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Louisa\Desktop\NDPIII Reprioritisation\Reprioritisation Matrices\Matrixes for Consolidation\"/>
    </mc:Choice>
  </mc:AlternateContent>
  <xr:revisionPtr revIDLastSave="0" documentId="13_ncr:1_{4C512AAA-98C9-43BF-8E2B-FE3D9936367C}" xr6:coauthVersionLast="44" xr6:coauthVersionMax="47" xr10:uidLastSave="{00000000-0000-0000-0000-000000000000}"/>
  <bookViews>
    <workbookView xWindow="-108" yWindow="-108" windowWidth="23256" windowHeight="12696" activeTab="1" xr2:uid="{A0873F29-0B6E-43F5-824A-2F4878A91D9F}"/>
  </bookViews>
  <sheets>
    <sheet name="Sheet2" sheetId="4" r:id="rId1"/>
    <sheet name="Merged PIAP" sheetId="2" r:id="rId2"/>
    <sheet name="Sheet1" sheetId="6" r:id="rId3"/>
    <sheet name="Merged PIAP_Green" sheetId="5" state="hidden"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_____raw99">#REF!</definedName>
    <definedName name="_____raw99">#REF!</definedName>
    <definedName name="____raw99">#REF!</definedName>
    <definedName name="___raw99">#REF!</definedName>
    <definedName name="__123Graph_C" hidden="1">[1]SEI!#REF!</definedName>
    <definedName name="__123Graph_D" hidden="1">[1]SEI!#REF!</definedName>
    <definedName name="__123Graph_E" hidden="1">[1]SEI!#REF!</definedName>
    <definedName name="__123Graph_F" hidden="1">[1]SEI!#REF!</definedName>
    <definedName name="__raw99">#REF!</definedName>
    <definedName name="__TAB1">#REF!</definedName>
    <definedName name="__TAB2">#REF!</definedName>
    <definedName name="__TAB3">#REF!</definedName>
    <definedName name="__TAB4">#REF!</definedName>
    <definedName name="__TAB5">#REF!</definedName>
    <definedName name="__TAB6">#REF!</definedName>
    <definedName name="_1">#REF!</definedName>
    <definedName name="_Fill" hidden="1">#REF!</definedName>
    <definedName name="_Fill1" hidden="1">#REF!</definedName>
    <definedName name="_xlnm._FilterDatabase" localSheetId="1" hidden="1">'Merged PIAP'!$A$1:$AP$5900</definedName>
    <definedName name="_xlnm._FilterDatabase" localSheetId="3" hidden="1">'Merged PIAP_Green'!$A$2:$AP$3584</definedName>
    <definedName name="_Key1" hidden="1">#REF!</definedName>
    <definedName name="_Order1" hidden="1">255</definedName>
    <definedName name="_Order2" hidden="1">255</definedName>
    <definedName name="_Parse_Out" hidden="1">#REF!</definedName>
    <definedName name="_raw99">#REF!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TAB1">#REF!</definedName>
    <definedName name="_TAB2">#REF!</definedName>
    <definedName name="_TAB3">#REF!</definedName>
    <definedName name="_TAB4">#REF!</definedName>
    <definedName name="_TAB5">#REF!</definedName>
    <definedName name="_TAB6">#REF!</definedName>
    <definedName name="a">[2]Changes!$A$6</definedName>
    <definedName name="AA" hidden="1">{"Main Economic Indicators",#N/A,FALSE,"C"}</definedName>
    <definedName name="AAA" hidden="1">{"Main Economic Indicators",#N/A,FALSE,"C"}</definedName>
    <definedName name="additional">'[3]Projected &amp; Requested'!$H:$H</definedName>
    <definedName name="Agric_Ext_321466">'[3]wage_16''17'!$R:$R</definedName>
    <definedName name="Balance">'[3]wage_16''17'!$CB:$CB</definedName>
    <definedName name="BFP">#REF!</definedName>
    <definedName name="broad_m">OFFSET(#REF!,0,MATCH(#REF!,years)-1,1,MATCH(#REF!,years)-MATCH(#REF!,years)+1)</definedName>
    <definedName name="bud_est">#REF!</definedName>
    <definedName name="Budget">[4]Sheet1!$C:$C</definedName>
    <definedName name="budget1">#REF!</definedName>
    <definedName name="c_1">#REF!</definedName>
    <definedName name="c_2">#REF!</definedName>
    <definedName name="c_3">#REF!</definedName>
    <definedName name="cab">OFFSET(#REF!,0,MATCH(#REF!,years)-1,1,MATCH(#REF!,years)-MATCH(#REF!,years)+1)</definedName>
    <definedName name="capital_transfers">OFFSET(#REF!,0,MATCH(#REF!,years)-1,1,MATCH(#REF!,years)-MATCH(#REF!,years)+1)</definedName>
    <definedName name="CASH">#REF!</definedName>
    <definedName name="cashflow">OFFSET(#REF!,0,MATCH(#REF!,years)-1,1,MATCH(#REF!,years)-MATCH(#REF!,years)+1)</definedName>
    <definedName name="category">[5]Input!$E$3:$E$221</definedName>
    <definedName name="cb">OFFSET(#REF!,0,MATCH(#REF!,years)-1,1,MATCH(#REF!,years)-MATCH(#REF!,years)+1)</definedName>
    <definedName name="cbr">OFFSET(#REF!,0,MATCH(#REF!,years)-1,1,MATCH(#REF!,years)-MATCH(#REF!,years)+1)</definedName>
    <definedName name="cgc">OFFSET(#REF!,0,MATCH(#REF!,years)-1,1,MATCH(#REF!,years)-MATCH(#REF!,years)+1)</definedName>
    <definedName name="CHANGESWRITE">#REF!</definedName>
    <definedName name="consumption">OFFSET(#REF!,0,MATCH(#REF!,years)-1,1,MATCH(#REF!,years)-MATCH(#REF!,years)+1)</definedName>
    <definedName name="Contract_211102">'[3]wage_16''17'!$I:$I</definedName>
    <definedName name="core">OFFSET(#REF!,0,MATCH(#REF!,years)-1,1,MATCH(#REF!,years)-MATCH(#REF!,years)+1)</definedName>
    <definedName name="debt_dom">OFFSET(#REF!,0,MATCH(#REF!,years)-1,1,MATCH(#REF!,years)-MATCH(#REF!,years)+1)</definedName>
    <definedName name="debt_ext">OFFSET(#REF!,0,MATCH(#REF!,years)-1,1,MATCH(#REF!,years)-MATCH(#REF!,years)+1)</definedName>
    <definedName name="dev">#REF!</definedName>
    <definedName name="Development">#REF!</definedName>
    <definedName name="District_Wage_321451">'[3]wage_16''17'!$L:$L</definedName>
    <definedName name="donor">OFFSET(#REF!,0,MATCH(#REF!,years)-1,1,MATCH(#REF!,years)-MATCH(#REF!,years)+1)</definedName>
    <definedName name="DSC">#REF!</definedName>
    <definedName name="DUW">#REF!</definedName>
    <definedName name="Educ_Wage_321466">'[3]wage_16''17'!$T:$T</definedName>
    <definedName name="efu">OFFSET(#REF!,0,MATCH(#REF!,years)-1,1,MATCH(#REF!,years)-MATCH(#REF!,years)+1)</definedName>
    <definedName name="ergferger" hidden="1">{"Main Economic Indicators",#N/A,FALSE,"C"}</definedName>
    <definedName name="errors">OFFSET(#REF!,0,MATCH(#REF!,years)-1,1,MATCH(#REF!,years)-MATCH(#REF!,years)+1)</definedName>
    <definedName name="excises">OFFSET(#REF!,0,MATCH(#REF!,years)-1,1,MATCH(#REF!,years)-MATCH(#REF!,years)+1)</definedName>
    <definedName name="exports">OFFSET(#REF!,0,MATCH(#REF!,years)-1,1,MATCH(#REF!,years)-MATCH(#REF!,years)+1)</definedName>
    <definedName name="exports_gdp">OFFSET(#REF!,0,MATCH(#REF!,years)-1,1,MATCH(#REF!,years)-MATCH(#REF!,years)+1)</definedName>
    <definedName name="external_debt">OFFSET(#REF!,0,MATCH(#REF!,years)-1,1,MATCH(#REF!,years)-MATCH(#REF!,years)+1)</definedName>
    <definedName name="fdi">OFFSET(#REF!,0,MATCH(#REF!,years)-1,1,MATCH(#REF!,years)-MATCH(#REF!,years)+1)</definedName>
    <definedName name="financial_account">OFFSET(#REF!,0,MATCH(#REF!,years)-1,1,MATCH(#REF!,years)-MATCH(#REF!,years)+1)</definedName>
    <definedName name="fiscaldeficit">OFFSET(#REF!,0,MATCH(#REF!,years)-1,1,MATCH(#REF!,years)-MATCH(#REF!,years)+1)</definedName>
    <definedName name="food">OFFSET(#REF!,0,MATCH(#REF!,years)-1,1,MATCH(#REF!,years)-MATCH(#REF!,years)+1)</definedName>
    <definedName name="ft">#REF!</definedName>
    <definedName name="FundingSource">[6]!Table5[Funding Source]</definedName>
    <definedName name="General_211101">'[3]wage_16''17'!$H:$H</definedName>
    <definedName name="gou_dev">OFFSET(#REF!,0,MATCH(#REF!,years)-1,1,MATCH(#REF!,years)-MATCH(#REF!,years)+1)</definedName>
    <definedName name="Grant">[5]Input!$D$3:$D$221</definedName>
    <definedName name="growth">OFFSET(#REF!,0,MATCH(#REF!,years)-1,1,MATCH(#REF!,years)-MATCH(#REF!,years)+1)</definedName>
    <definedName name="headline">OFFSET(#REF!,0,MATCH(#REF!,years)-1,1,MATCH(#REF!,years)-MATCH(#REF!,years)+1)</definedName>
    <definedName name="import">[5]Input!$CO$3:$CO$221</definedName>
    <definedName name="import_duty">OFFSET(#REF!,0,MATCH(#REF!,years)-1,1,MATCH(#REF!,years)-MATCH(#REF!,years)+1)</definedName>
    <definedName name="imports">OFFSET(#REF!,0,MATCH(#REF!,years)-1,1,MATCH(#REF!,years)-MATCH(#REF!,years)+1)</definedName>
    <definedName name="imports_gdp">OFFSET(#REF!,0,MATCH(#REF!,years)-1,1,MATCH(#REF!,years)-MATCH(#REF!,years)+1)</definedName>
    <definedName name="impulse">OFFSET(#REF!,0,MATCH(#REF!,years)-1,1,MATCH(#REF!,years)-MATCH(#REF!,years)+1)</definedName>
    <definedName name="interest">OFFSET(#REF!,0,MATCH(#REF!,years)-1,1,MATCH(#REF!,years)-MATCH(#REF!,years)+1)</definedName>
    <definedName name="investment">OFFSET(#REF!,0,MATCH(#REF!,years)-1,1,MATCH(#REF!,years)-MATCH(#REF!,years)+1)</definedName>
    <definedName name="investment_gdp">OFFSET(#REF!,0,MATCH(#REF!,years)-1,1,MATCH(#REF!,years)-MATCH(#REF!,years)+1)</definedName>
    <definedName name="investmentincome">OFFSET(#REF!,0,MATCH(#REF!,years)-1,1,MATCH(#REF!,years)-MATCH(#REF!,years)+1)</definedName>
    <definedName name="ipf">'[3]Projected &amp; Requested'!$F:$F</definedName>
    <definedName name="ipp">OFFSET(#REF!,0,MATCH(#REF!,years)-1,1,MATCH(#REF!,years)-MATCH(#REF!,years)+1)</definedName>
    <definedName name="karuma">OFFSET(#REF!,0,MATCH(#REF!,years)-1,1,MATCH(#REF!,years)-MATCH(#REF!,years)+1)</definedName>
    <definedName name="lr">OFFSET(#REF!,0,MATCH(#REF!,years)-1,1,MATCH(#REF!,years)-MATCH(#REF!,years)+1)</definedName>
    <definedName name="marcus">#REF!</definedName>
    <definedName name="MDF_Funds_Print__Area">#REF!</definedName>
    <definedName name="Missions_211105">'[3]wage_16''17'!$K:$K</definedName>
    <definedName name="Monthly_Payments_Print_Area">#REF!</definedName>
    <definedName name="mtef">#REF!</definedName>
    <definedName name="ncb">OFFSET(#REF!,0,MATCH(#REF!,years)-1,1,MATCH(#REF!,years)-MATCH(#REF!,years)+1)</definedName>
    <definedName name="ndf">OFFSET(#REF!,0,MATCH(#REF!,years)-1,1,MATCH(#REF!,years)-MATCH(#REF!,years)+1)</definedName>
    <definedName name="ner">OFFSET(#REF!,0,MATCH(#REF!,years)-1,1,MATCH(#REF!,years)-MATCH(#REF!,years)+1)</definedName>
    <definedName name="nfa">OFFSET(#REF!,0,MATCH(#REF!,years)-1,1,MATCH(#REF!,years)-MATCH(#REF!,years)+1)</definedName>
    <definedName name="nnn" hidden="1">{"Main Economic Indicators",#N/A,FALSE,"C"}</definedName>
    <definedName name="non_conc">OFFSET(#REF!,0,MATCH(#REF!,years)-1,1,MATCH(#REF!,years)-MATCH(#REF!,years)+1)</definedName>
    <definedName name="oin">OFFSET(#REF!,0,MATCH(#REF!,years)-1,1,MATCH(#REF!,years)-MATCH(#REF!,years)+1)</definedName>
    <definedName name="other_current">OFFSET(#REF!,0,MATCH(#REF!,years)-1,1,MATCH(#REF!,years)-MATCH(#REF!,years)+1)</definedName>
    <definedName name="other_investment">OFFSET(#REF!,0,MATCH(#REF!,years)-1,1,MATCH(#REF!,years)-MATCH(#REF!,years)+1)</definedName>
    <definedName name="other_revenue">OFFSET(#REF!,0,MATCH(#REF!,years)-1,1,MATCH(#REF!,years)-MATCH(#REF!,years)+1)</definedName>
    <definedName name="outputgap">OFFSET(#REF!,0,MATCH(#REF!,years)-1,1,MATCH(#REF!,years)-MATCH(#REF!,years)+1)</definedName>
    <definedName name="P" hidden="1">#REF!,#REF!,#REF!</definedName>
    <definedName name="PHC_321466">'[3]wage_16''17'!$S:$S</definedName>
    <definedName name="Political">#REF!</definedName>
    <definedName name="portfolio">OFFSET(#REF!,0,MATCH(#REF!,years)-1,1,MATCH(#REF!,years)-MATCH(#REF!,years)+1)</definedName>
    <definedName name="Pr" hidden="1">#REF!,#REF!,#REF!</definedName>
    <definedName name="primary_wage">'[3]wage_16''17'!$U:$U</definedName>
    <definedName name="print00">#REF!</definedName>
    <definedName name="print000">#REF!</definedName>
    <definedName name="print01">#REF!</definedName>
    <definedName name="print95">#REF!</definedName>
    <definedName name="print96">#REF!</definedName>
    <definedName name="print97">#REF!</definedName>
    <definedName name="print98">#REF!</definedName>
    <definedName name="print98o">#REF!</definedName>
    <definedName name="print99">#REF!</definedName>
    <definedName name="pro" hidden="1">#REF!</definedName>
    <definedName name="proj">#REF!</definedName>
    <definedName name="ProjectClass">[6]!Table4[Project classification]</definedName>
    <definedName name="Projects" hidden="1">#REF!,#REF!,#REF!</definedName>
    <definedName name="ProjectStatus">[6]!Table3[Status]</definedName>
    <definedName name="psc">OFFSET(#REF!,0,MATCH(#REF!,years)-1,1,MATCH(#REF!,years)-MATCH(#REF!,years)+1)</definedName>
    <definedName name="psc_shs">OFFSET(#REF!,0,MATCH(#REF!,years)-1,1,MATCH(#REF!,years)-MATCH(#REF!,years)+1)</definedName>
    <definedName name="psc_usd">OFFSET(#REF!,0,MATCH(#REF!,years)-1,1,MATCH(#REF!,years)-MATCH(#REF!,years)+1)</definedName>
    <definedName name="psc_wa">OFFSET(#REF!,0,MATCH(#REF!,years)-1,1,MATCH(#REF!,years)-MATCH(#REF!,years)+1)</definedName>
    <definedName name="pto_supp" hidden="1">#REF!</definedName>
    <definedName name="q1_percent">'[3]wage_16''17'!$X$3</definedName>
    <definedName name="q2_percent">'[3]wage_16''17'!$AK$3</definedName>
    <definedName name="q3_percent">'[3]wage_16''17'!$AX$3</definedName>
    <definedName name="q4_percent">'[3]wage_16''17'!$BK$3</definedName>
    <definedName name="QA">'[3]wage_16''17'!$AX:$AX</definedName>
    <definedName name="Qtr_1">'[3]wage_16''17'!$X:$X</definedName>
    <definedName name="Qtr_2">'[3]wage_16''17'!$AK:$AK</definedName>
    <definedName name="Qtr_3">'[3]wage_16''17'!$AX:$AX</definedName>
    <definedName name="Qtr_4">'[3]wage_16''17'!$BK:$BK</definedName>
    <definedName name="Rec">#REF!</definedName>
    <definedName name="rer">OFFSET(#REF!,0,MATCH(#REF!,years)-1,1,MATCH(#REF!,years)-MATCH(#REF!,years)+1)</definedName>
    <definedName name="rergap">OFFSET(#REF!,0,MATCH(#REF!,years)-1,1,MATCH(#REF!,years)-MATCH(#REF!,years)+1)</definedName>
    <definedName name="reserves_gdp">OFFSET(#REF!,0,MATCH(#REF!,years)-1,1,MATCH(#REF!,years)-MATCH(#REF!,years)+1)</definedName>
    <definedName name="reserves_imports">OFFSET(#REF!,0,MATCH(#REF!,years)-1,1,MATCH(#REF!,years)-MATCH(#REF!,years)+1)</definedName>
    <definedName name="reserves_imports2">OFFSET(#REF!,0,MATCH(#REF!,years)-1,1,MATCH(#REF!,years)-MATCH(#REF!,years)+1)</definedName>
    <definedName name="reserves_m3">OFFSET(#REF!,0,MATCH(#REF!,years)-1,1,MATCH(#REF!,years)-MATCH(#REF!,years)+1)</definedName>
    <definedName name="rtre" hidden="1">{"Main Economic Indicators",#N/A,FALSE,"C"}</definedName>
    <definedName name="Rwvu.Print." hidden="1">#N/A</definedName>
    <definedName name="savings_gdp">OFFSET(#REF!,0,MATCH(#REF!,years)-1,1,MATCH(#REF!,years)-MATCH(#REF!,years)+1)</definedName>
    <definedName name="secondary_wage">'[3]wage_16''17'!$V:$V</definedName>
    <definedName name="si_balance">OFFSET(#REF!,0,MATCH(#REF!,years)-1,1,MATCH(#REF!,years)-MATCH(#REF!,years)+1)</definedName>
    <definedName name="spending">[5]Input!$B$3:$B$221</definedName>
    <definedName name="Statutory_211104">'[3]wage_16''17'!$J:$J</definedName>
    <definedName name="TABCASH">#REF!</definedName>
    <definedName name="TABEXCEPTFIN">#REF!</definedName>
    <definedName name="TABEXTERNAL">#REF!</definedName>
    <definedName name="TABMEMO">#REF!</definedName>
    <definedName name="tbill_rate">OFFSET(#REF!,0,MATCH(#REF!,years)-1,1,MATCH(#REF!,years)-MATCH(#REF!,years)+1)</definedName>
    <definedName name="tertiary_wage">'[3]wage_16''17'!$W:$W</definedName>
    <definedName name="Titus">#REF!</definedName>
    <definedName name="transfers">OFFSET(#REF!,0,MATCH(#REF!,years)-1,1,MATCH(#REF!,years)-MATCH(#REF!,years)+1)</definedName>
    <definedName name="TRANSFERTEST">[1]Gin:Din!$C$2:$O$2</definedName>
    <definedName name="u">#REF!</definedName>
    <definedName name="Urban_Wage_321450">'[3]wage_16''17'!$M:$M</definedName>
    <definedName name="UUW">#REF!</definedName>
    <definedName name="vat">OFFSET(#REF!,0,MATCH(#REF!,years)-1,1,MATCH(#REF!,years)-MATCH(#REF!,years)+1)</definedName>
    <definedName name="verified">[4]Sheet1!$D:$D</definedName>
    <definedName name="vote">#REF!</definedName>
    <definedName name="wages">OFFSET(#REF!,0,MATCH(#REF!,years)-1,1,MATCH(#REF!,years)-MATCH(#REF!,years)+1)</definedName>
    <definedName name="wrn.Main._.Economic._.Indicators." hidden="1">{"Main Economic Indicators",#N/A,FALSE,"C"}</definedName>
    <definedName name="wrn.STAFF_REPORT_TABLES." hidden="1">{"SR_tbs",#N/A,FALSE,"MGSSEI";"SR_tbs",#N/A,FALSE,"MGSBOX";"SR_tbs",#N/A,FALSE,"MGSOCIND"}</definedName>
    <definedName name="wvu.Print." hidden="1">{TRUE,TRUE,-0.5,-14.75,603,387,FALSE,TRUE,TRUE,TRUE,0,1,2,1,2,1,1,4,TRUE,TRUE,3,TRUE,1,TRUE,75,"Swvu.Print.","ACwvu.Print.",#N/A,FALSE,FALSE,1,0.75,0.6,0.5,1,"","",TRUE,FALSE,TRUE,FALSE,1,#N/A,1,1,#DIV/0!,FALSE,"Rwvu.Print.",#N/A,FALSE,FALSE,FALSE,1,65532,300,FALSE,FALSE,TRUE,TRUE,TRUE}</definedName>
    <definedName name="WW" hidden="1">{"Main Economic Indicators",#N/A,FALSE,"C"}</definedName>
    <definedName name="years">[7]Assns!$C$3:$Z$3</definedName>
    <definedName name="years_subset">OFFSET([7]Assns!$C$3,0,MATCH(#REF!,years)-1,1,MATCH(#REF!,years)-MATCH(#REF!,years)+1)</definedName>
    <definedName name="YHT">#REF!</definedName>
    <definedName name="ytax">OFFSET(#REF!,0,MATCH(#REF!,years)-1,1,MATCH(#REF!,years)-MATCH(#REF!,years)+1)</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s>
  <calcPr calcId="191029"/>
  <pivotCaches>
    <pivotCache cacheId="1"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M4930" i="2" l="1"/>
  <c r="AM4959" i="2"/>
  <c r="AM4958" i="2"/>
  <c r="AM4957" i="2"/>
  <c r="AM4956" i="2"/>
  <c r="AM4955" i="2"/>
  <c r="AM4954" i="2"/>
  <c r="AM4953" i="2"/>
  <c r="AM4952" i="2"/>
  <c r="AM4951" i="2"/>
  <c r="AM4950" i="2"/>
  <c r="AM4949" i="2"/>
  <c r="AM4948" i="2"/>
  <c r="AM4947" i="2"/>
  <c r="AM4946" i="2"/>
  <c r="AM4945" i="2"/>
  <c r="AM4944" i="2"/>
  <c r="AM4943" i="2"/>
  <c r="AM4942" i="2"/>
  <c r="AM4941" i="2"/>
  <c r="AM4940" i="2"/>
  <c r="AM4939" i="2"/>
  <c r="AM4938" i="2"/>
  <c r="AM4937" i="2"/>
  <c r="AM4936" i="2"/>
  <c r="AM4935" i="2"/>
  <c r="AM4934" i="2"/>
  <c r="AM4933" i="2"/>
  <c r="AM4932" i="2"/>
  <c r="AM4931" i="2"/>
  <c r="AM4929" i="2" l="1"/>
  <c r="AE4929" i="2"/>
  <c r="U4929" i="2"/>
  <c r="AM4928" i="2"/>
  <c r="AE4928" i="2"/>
  <c r="U4928" i="2"/>
  <c r="AM4927" i="2"/>
  <c r="AE4927" i="2"/>
  <c r="U4927" i="2"/>
  <c r="AM4926" i="2"/>
  <c r="AE4926" i="2"/>
  <c r="U4926" i="2"/>
  <c r="AM4925" i="2"/>
  <c r="AE4925" i="2"/>
  <c r="U4925" i="2"/>
  <c r="AM4924" i="2"/>
  <c r="AE4924" i="2"/>
  <c r="U4924" i="2"/>
  <c r="AM4923" i="2"/>
  <c r="AE4923" i="2"/>
  <c r="U4923" i="2"/>
  <c r="AM4922" i="2"/>
  <c r="AE4922" i="2"/>
  <c r="U4922" i="2"/>
  <c r="AM4921" i="2"/>
  <c r="AE4921" i="2"/>
  <c r="U4921" i="2"/>
  <c r="AM4920" i="2"/>
  <c r="AE4920" i="2"/>
  <c r="U4920" i="2"/>
  <c r="AM4919" i="2"/>
  <c r="AE4919" i="2"/>
  <c r="U4919" i="2"/>
  <c r="AM4918" i="2"/>
  <c r="AE4918" i="2"/>
  <c r="U4918" i="2"/>
  <c r="AM4917" i="2"/>
  <c r="AE4917" i="2"/>
  <c r="U4917" i="2"/>
  <c r="AM4916" i="2"/>
  <c r="AE4916" i="2"/>
  <c r="U4916" i="2"/>
  <c r="AM4915" i="2"/>
  <c r="AE4915" i="2"/>
  <c r="U4915" i="2"/>
  <c r="AM4914" i="2"/>
  <c r="AE4914" i="2"/>
  <c r="U4914" i="2"/>
  <c r="AM4913" i="2"/>
  <c r="AE4913" i="2"/>
  <c r="U4913" i="2"/>
  <c r="AM4912" i="2"/>
  <c r="AE4912" i="2"/>
  <c r="U4912" i="2"/>
  <c r="AM4911" i="2"/>
  <c r="AE4911" i="2"/>
  <c r="U4911" i="2"/>
  <c r="AM4910" i="2"/>
  <c r="AE4910" i="2"/>
  <c r="U4910" i="2"/>
  <c r="AM4909" i="2"/>
  <c r="AE4909" i="2"/>
  <c r="U4909" i="2"/>
  <c r="AM4908" i="2"/>
  <c r="AE4908" i="2"/>
  <c r="U4908" i="2"/>
  <c r="AM4907" i="2"/>
  <c r="AE4907" i="2"/>
  <c r="U4907" i="2"/>
  <c r="AM4906" i="2"/>
  <c r="AE4906" i="2"/>
  <c r="U4906" i="2"/>
  <c r="AM4905" i="2"/>
  <c r="AE4905" i="2"/>
  <c r="U4905" i="2"/>
  <c r="AM4904" i="2"/>
  <c r="AE4904" i="2"/>
  <c r="U4904" i="2"/>
  <c r="AM4903" i="2"/>
  <c r="AE4903" i="2"/>
  <c r="U4903" i="2"/>
  <c r="AM4902" i="2"/>
  <c r="AE4902" i="2"/>
  <c r="U4902" i="2"/>
  <c r="AM4901" i="2"/>
  <c r="AE4901" i="2"/>
  <c r="U4901" i="2"/>
  <c r="AM4900" i="2"/>
  <c r="AE4900" i="2"/>
  <c r="U4900" i="2"/>
  <c r="AM4899" i="2"/>
  <c r="AE4899" i="2"/>
  <c r="U4899" i="2"/>
  <c r="AM4898" i="2"/>
  <c r="AE4898" i="2"/>
  <c r="U4898" i="2"/>
  <c r="AM4897" i="2"/>
  <c r="AE4897" i="2"/>
  <c r="U4897" i="2"/>
  <c r="AM4896" i="2"/>
  <c r="AE4896" i="2"/>
  <c r="U4896" i="2"/>
  <c r="AM4895" i="2"/>
  <c r="AE4895" i="2"/>
  <c r="U4895" i="2"/>
  <c r="AM4894" i="2"/>
  <c r="AE4894" i="2"/>
  <c r="U4894" i="2"/>
  <c r="AM4893" i="2"/>
  <c r="AE4893" i="2"/>
  <c r="U4893" i="2"/>
  <c r="AM4892" i="2"/>
  <c r="AE4892" i="2"/>
  <c r="U4892" i="2"/>
  <c r="AM4891" i="2"/>
  <c r="AE4891" i="2"/>
  <c r="U4891" i="2"/>
  <c r="AM4890" i="2"/>
  <c r="AE4890" i="2"/>
  <c r="U4890" i="2"/>
  <c r="AM4889" i="2"/>
  <c r="AE4889" i="2"/>
  <c r="U4889" i="2"/>
  <c r="AM4888" i="2"/>
  <c r="AE4888" i="2"/>
  <c r="U4888" i="2"/>
  <c r="AM4887" i="2"/>
  <c r="AE4887" i="2"/>
  <c r="U4887" i="2"/>
  <c r="AM4886" i="2"/>
  <c r="AE4886" i="2"/>
  <c r="U4886" i="2"/>
  <c r="AM4885" i="2"/>
  <c r="AE4885" i="2"/>
  <c r="U4885" i="2"/>
  <c r="AM4884" i="2"/>
  <c r="AE4884" i="2"/>
  <c r="U4884" i="2"/>
  <c r="AM4883" i="2"/>
  <c r="AE4883" i="2"/>
  <c r="U4883" i="2"/>
  <c r="AM4882" i="2"/>
  <c r="AE4882" i="2"/>
  <c r="U4882" i="2"/>
  <c r="AM4881" i="2"/>
  <c r="AE4881" i="2"/>
  <c r="U4881" i="2"/>
  <c r="AM4880" i="2"/>
  <c r="AE4880" i="2"/>
  <c r="U4880" i="2"/>
  <c r="AM4879" i="2"/>
  <c r="AE4879" i="2"/>
  <c r="U4879" i="2"/>
  <c r="AM4878" i="2"/>
  <c r="AE4878" i="2"/>
  <c r="U4878" i="2"/>
  <c r="AM4877" i="2"/>
  <c r="AE4877" i="2"/>
  <c r="U4877" i="2"/>
  <c r="AM4876" i="2"/>
  <c r="AE4876" i="2"/>
  <c r="U4876" i="2"/>
  <c r="AM4875" i="2"/>
  <c r="AE4875" i="2"/>
  <c r="U4875" i="2"/>
  <c r="AM4874" i="2"/>
  <c r="AE4874" i="2"/>
  <c r="U4874" i="2"/>
  <c r="AM4873" i="2"/>
  <c r="AE4873" i="2"/>
  <c r="U4873" i="2"/>
  <c r="AM4872" i="2"/>
  <c r="AE4872" i="2"/>
  <c r="U4872" i="2"/>
  <c r="AM4871" i="2"/>
  <c r="AE4871" i="2"/>
  <c r="U4871" i="2"/>
  <c r="AM4870" i="2"/>
  <c r="AE4870" i="2"/>
  <c r="U4870" i="2"/>
  <c r="AM4869" i="2"/>
  <c r="AE4869" i="2"/>
  <c r="U4869" i="2"/>
  <c r="AM4868" i="2"/>
  <c r="AE4868" i="2"/>
  <c r="U4868" i="2"/>
  <c r="AM4867" i="2"/>
  <c r="AE4867" i="2"/>
  <c r="U4867" i="2"/>
  <c r="AM4866" i="2"/>
  <c r="AE4866" i="2"/>
  <c r="U4866" i="2"/>
  <c r="AM4865" i="2"/>
  <c r="AE4865" i="2"/>
  <c r="U4865" i="2"/>
  <c r="AM4864" i="2"/>
  <c r="AE4864" i="2"/>
  <c r="U4864" i="2"/>
  <c r="AM4863" i="2"/>
  <c r="AE4863" i="2"/>
  <c r="U4863" i="2"/>
  <c r="AM4862" i="2"/>
  <c r="AE4862" i="2"/>
  <c r="U4862" i="2"/>
  <c r="AL4861" i="2"/>
  <c r="AM4861" i="2" s="1"/>
  <c r="AE4861" i="2"/>
  <c r="U4861" i="2"/>
  <c r="AM4860" i="2"/>
  <c r="AE4860" i="2"/>
  <c r="U4860" i="2"/>
  <c r="AM4859" i="2"/>
  <c r="AE4859" i="2"/>
  <c r="U4859" i="2"/>
  <c r="AM4858" i="2"/>
  <c r="AE4858" i="2"/>
  <c r="U4858" i="2"/>
  <c r="AM4857" i="2"/>
  <c r="AE4857" i="2"/>
  <c r="U4857" i="2"/>
  <c r="AM4856" i="2"/>
  <c r="AE4856" i="2"/>
  <c r="U4856" i="2"/>
  <c r="AM4855" i="2"/>
  <c r="AE4855" i="2"/>
  <c r="U4855" i="2"/>
  <c r="AM4854" i="2"/>
  <c r="AE4854" i="2"/>
  <c r="U4854" i="2"/>
  <c r="AM4853" i="2"/>
  <c r="AE4853" i="2"/>
  <c r="U4853" i="2"/>
  <c r="AM4852" i="2"/>
  <c r="AE4852" i="2"/>
  <c r="U4852" i="2"/>
  <c r="AM4851" i="2"/>
  <c r="AE4851" i="2"/>
  <c r="U4851" i="2"/>
  <c r="AM4850" i="2"/>
  <c r="AE4850" i="2"/>
  <c r="U4850" i="2"/>
  <c r="AM4849" i="2"/>
  <c r="AE4849" i="2"/>
  <c r="U4849" i="2"/>
  <c r="AM4848" i="2"/>
  <c r="AE4848" i="2"/>
  <c r="U4848" i="2"/>
  <c r="AM4847" i="2"/>
  <c r="AE4847" i="2"/>
  <c r="U4847" i="2"/>
  <c r="AM4846" i="2"/>
  <c r="AE4846" i="2"/>
  <c r="U4846" i="2"/>
  <c r="AM4845" i="2"/>
  <c r="AE4845" i="2"/>
  <c r="U4845" i="2"/>
  <c r="AM4844" i="2"/>
  <c r="AE4844" i="2"/>
  <c r="U4844" i="2"/>
  <c r="AM4843" i="2"/>
  <c r="AE4843" i="2"/>
  <c r="U4843" i="2"/>
  <c r="AM4842" i="2"/>
  <c r="AE4842" i="2"/>
  <c r="U4842" i="2"/>
  <c r="AM4841" i="2"/>
  <c r="AE4841" i="2"/>
  <c r="U4841" i="2"/>
  <c r="AM4840" i="2"/>
  <c r="AE4840" i="2"/>
  <c r="U4840" i="2"/>
  <c r="AM4839" i="2"/>
  <c r="AE4839" i="2"/>
  <c r="U4839" i="2"/>
  <c r="AM4838" i="2"/>
  <c r="AE4838" i="2"/>
  <c r="U4838" i="2"/>
  <c r="AM4837" i="2"/>
  <c r="AE4837" i="2"/>
  <c r="U4837" i="2"/>
  <c r="AM4836" i="2"/>
  <c r="AE4836" i="2"/>
  <c r="U4836" i="2"/>
  <c r="AM4835" i="2"/>
  <c r="AE4835" i="2"/>
  <c r="U4835" i="2"/>
  <c r="AM4834" i="2"/>
  <c r="AE4834" i="2"/>
  <c r="U4834" i="2"/>
  <c r="AM4833" i="2"/>
  <c r="AE4833" i="2"/>
  <c r="U4833" i="2"/>
  <c r="AM4832" i="2"/>
  <c r="AE4832" i="2"/>
  <c r="U4832" i="2"/>
  <c r="AM4831" i="2"/>
  <c r="AE4831" i="2"/>
  <c r="U4831" i="2"/>
  <c r="AM4830" i="2"/>
  <c r="AE4830" i="2"/>
  <c r="U4830" i="2"/>
  <c r="AM4829" i="2"/>
  <c r="AE4829" i="2"/>
  <c r="U4829" i="2"/>
  <c r="AM4828" i="2"/>
  <c r="AE4828" i="2"/>
  <c r="U4828" i="2"/>
  <c r="AM4827" i="2"/>
  <c r="AE4827" i="2"/>
  <c r="U4827" i="2"/>
  <c r="AM4826" i="2"/>
  <c r="AE4826" i="2"/>
  <c r="U4826" i="2"/>
  <c r="AM4825" i="2"/>
  <c r="AE4825" i="2"/>
  <c r="U4825" i="2"/>
  <c r="AM4824" i="2"/>
  <c r="AE4824" i="2"/>
  <c r="U4824" i="2"/>
  <c r="AM4823" i="2"/>
  <c r="AE4823" i="2"/>
  <c r="U4823" i="2"/>
  <c r="AM4822" i="2"/>
  <c r="AE4822" i="2"/>
  <c r="U4822" i="2"/>
  <c r="AM4821" i="2"/>
  <c r="AE4821" i="2"/>
  <c r="U4821" i="2"/>
  <c r="AM4820" i="2"/>
  <c r="AE4820" i="2"/>
  <c r="U4820" i="2"/>
  <c r="AM4819" i="2"/>
  <c r="AE4819" i="2"/>
  <c r="U4819" i="2"/>
  <c r="AM4818" i="2"/>
  <c r="AE4818" i="2"/>
  <c r="U4818" i="2"/>
  <c r="AM4817" i="2"/>
  <c r="AE4817" i="2"/>
  <c r="U4817" i="2"/>
  <c r="AM4816" i="2"/>
  <c r="AE4816" i="2"/>
  <c r="U4816" i="2"/>
  <c r="AM4815" i="2"/>
  <c r="AE4815" i="2"/>
  <c r="U4815" i="2"/>
  <c r="AM4814" i="2"/>
  <c r="AE4814" i="2"/>
  <c r="U4814" i="2"/>
  <c r="AM4813" i="2"/>
  <c r="AE4813" i="2"/>
  <c r="U4813" i="2"/>
  <c r="AM4812" i="2"/>
  <c r="AE4812" i="2"/>
  <c r="U4812" i="2"/>
  <c r="AM4811" i="2"/>
  <c r="AE4811" i="2"/>
  <c r="U4811" i="2"/>
  <c r="AM4810" i="2"/>
  <c r="AE4810" i="2"/>
  <c r="U4810" i="2"/>
  <c r="AM4809" i="2"/>
  <c r="AE4809" i="2"/>
  <c r="U4809" i="2"/>
  <c r="AM4808" i="2"/>
  <c r="AE4808" i="2"/>
  <c r="U4808" i="2"/>
  <c r="AM4807" i="2"/>
  <c r="AE4807" i="2"/>
  <c r="U4807" i="2"/>
  <c r="AM4806" i="2"/>
  <c r="AE4806" i="2"/>
  <c r="U4806" i="2"/>
  <c r="AM4805" i="2"/>
  <c r="AE4805" i="2"/>
  <c r="U4805" i="2"/>
  <c r="AM4804" i="2"/>
  <c r="AE4804" i="2"/>
  <c r="U4804" i="2"/>
  <c r="AM4803" i="2"/>
  <c r="AE4803" i="2"/>
  <c r="U4803" i="2"/>
  <c r="AM4802" i="2"/>
  <c r="AE4802" i="2"/>
  <c r="U4802" i="2"/>
  <c r="AM4801" i="2"/>
  <c r="AE4801" i="2"/>
  <c r="U4801" i="2"/>
  <c r="AM4800" i="2"/>
  <c r="AE4800" i="2"/>
  <c r="U4800" i="2"/>
  <c r="AM4799" i="2"/>
  <c r="AE4799" i="2"/>
  <c r="U4799" i="2"/>
  <c r="AM4798" i="2"/>
  <c r="AE4798" i="2"/>
  <c r="U4798" i="2"/>
  <c r="AM4797" i="2"/>
  <c r="AE4797" i="2"/>
  <c r="U4797" i="2"/>
  <c r="AM4796" i="2"/>
  <c r="AE4796" i="2"/>
  <c r="U4796" i="2"/>
  <c r="AM4795" i="2"/>
  <c r="AE4795" i="2"/>
  <c r="U4795" i="2"/>
  <c r="AM4794" i="2"/>
  <c r="AE4794" i="2"/>
  <c r="U4794" i="2"/>
  <c r="AM4793" i="2"/>
  <c r="AE4793" i="2"/>
  <c r="U4793" i="2"/>
  <c r="AM4792" i="2"/>
  <c r="AE4792" i="2"/>
  <c r="U4792" i="2"/>
  <c r="AM4791" i="2"/>
  <c r="AE4791" i="2"/>
  <c r="U4791" i="2"/>
  <c r="AM4790" i="2"/>
  <c r="AE4790" i="2"/>
  <c r="U4790" i="2"/>
  <c r="AM4789" i="2"/>
  <c r="AE4789" i="2"/>
  <c r="U4789" i="2"/>
  <c r="AM4788" i="2"/>
  <c r="AE4788" i="2"/>
  <c r="U4788" i="2"/>
  <c r="AM4787" i="2"/>
  <c r="AE4787" i="2"/>
  <c r="U4787" i="2"/>
  <c r="AM4786" i="2"/>
  <c r="AE4786" i="2"/>
  <c r="U4786" i="2"/>
  <c r="AM4785" i="2"/>
  <c r="AE4785" i="2"/>
  <c r="U4785" i="2"/>
  <c r="AM4784" i="2"/>
  <c r="AE4784" i="2"/>
  <c r="U4784" i="2"/>
  <c r="AM4783" i="2"/>
  <c r="AE4783" i="2"/>
  <c r="U4783" i="2"/>
  <c r="AM4782" i="2"/>
  <c r="AE4782" i="2"/>
  <c r="U4782" i="2"/>
  <c r="AM4781" i="2"/>
  <c r="AE4781" i="2"/>
  <c r="U4781" i="2"/>
  <c r="AM4780" i="2"/>
  <c r="AE4780" i="2"/>
  <c r="U4780" i="2"/>
  <c r="AM4779" i="2"/>
  <c r="AE4779" i="2"/>
  <c r="U4779" i="2"/>
  <c r="AM4778" i="2"/>
  <c r="AE4778" i="2"/>
  <c r="U4778" i="2"/>
  <c r="AM4777" i="2"/>
  <c r="AE4777" i="2"/>
  <c r="U4777" i="2"/>
  <c r="AM4776" i="2"/>
  <c r="AE4776" i="2"/>
  <c r="U4776" i="2"/>
  <c r="AM4775" i="2"/>
  <c r="AE4775" i="2"/>
  <c r="U4775" i="2"/>
  <c r="AM4774" i="2"/>
  <c r="AE4774" i="2"/>
  <c r="U4774" i="2"/>
  <c r="AM4773" i="2"/>
  <c r="AE4773" i="2"/>
  <c r="U4773" i="2"/>
  <c r="AM4772" i="2"/>
  <c r="AE4772" i="2"/>
  <c r="U4772" i="2"/>
  <c r="AM4771" i="2"/>
  <c r="AE4771" i="2"/>
  <c r="U4771" i="2"/>
  <c r="AM4770" i="2"/>
  <c r="AE4770" i="2"/>
  <c r="U4770" i="2"/>
  <c r="AM4769" i="2"/>
  <c r="AE4769" i="2"/>
  <c r="U4769" i="2"/>
  <c r="AM4768" i="2"/>
  <c r="AE4768" i="2"/>
  <c r="U4768" i="2"/>
  <c r="AM4767" i="2"/>
  <c r="AE4767" i="2"/>
  <c r="U4767" i="2"/>
  <c r="AM4766" i="2"/>
  <c r="AE4766" i="2"/>
  <c r="U4766" i="2"/>
  <c r="AM4765" i="2"/>
  <c r="AE4765" i="2"/>
  <c r="U4765" i="2"/>
  <c r="AM4764" i="2"/>
  <c r="AE4764" i="2"/>
  <c r="U4764" i="2"/>
  <c r="AM4763" i="2"/>
  <c r="AE4763" i="2"/>
  <c r="U4763" i="2"/>
  <c r="AM4762" i="2"/>
  <c r="AE4762" i="2"/>
  <c r="U4762" i="2"/>
  <c r="AM4761" i="2"/>
  <c r="AE4761" i="2"/>
  <c r="U4761" i="2"/>
  <c r="AM4760" i="2"/>
  <c r="AE4760" i="2"/>
  <c r="U4760" i="2"/>
  <c r="AM4759" i="2"/>
  <c r="AE4759" i="2"/>
  <c r="U4759" i="2"/>
  <c r="AM4758" i="2"/>
  <c r="AE4758" i="2"/>
  <c r="U4758" i="2"/>
  <c r="AM4757" i="2"/>
  <c r="AE4757" i="2"/>
  <c r="U4757" i="2"/>
  <c r="AM4756" i="2"/>
  <c r="AE4756" i="2"/>
  <c r="U4756" i="2"/>
  <c r="AM4755" i="2"/>
  <c r="AE4755" i="2"/>
  <c r="U4755" i="2"/>
  <c r="AM4754" i="2"/>
  <c r="AE4754" i="2"/>
  <c r="U4754" i="2"/>
  <c r="AM4753" i="2"/>
  <c r="AE4753" i="2"/>
  <c r="U4753" i="2"/>
  <c r="AM4752" i="2"/>
  <c r="AE4752" i="2"/>
  <c r="U4752" i="2"/>
  <c r="AM4751" i="2"/>
  <c r="AE4751" i="2"/>
  <c r="U4751" i="2"/>
  <c r="AM4750" i="2"/>
  <c r="AE4750" i="2"/>
  <c r="U4750" i="2"/>
  <c r="AM4749" i="2"/>
  <c r="AE4749" i="2"/>
  <c r="U4749" i="2"/>
  <c r="AM4748" i="2"/>
  <c r="AE4748" i="2"/>
  <c r="U4748" i="2"/>
  <c r="AM4747" i="2"/>
  <c r="AE4747" i="2"/>
  <c r="U4747" i="2"/>
  <c r="AM4746" i="2"/>
  <c r="AE4746" i="2"/>
  <c r="U4746" i="2"/>
  <c r="AM4745" i="2"/>
  <c r="AE4745" i="2"/>
  <c r="U4745" i="2"/>
  <c r="AM4744" i="2"/>
  <c r="AE4744" i="2"/>
  <c r="U4744" i="2"/>
  <c r="AM4743" i="2"/>
  <c r="AE4743" i="2"/>
  <c r="U4743" i="2"/>
  <c r="AM4742" i="2"/>
  <c r="AE4742" i="2"/>
  <c r="U4742" i="2"/>
  <c r="AM4741" i="2"/>
  <c r="AE4741" i="2"/>
  <c r="U4741" i="2"/>
  <c r="AM4740" i="2"/>
  <c r="AE4740" i="2"/>
  <c r="U4740" i="2"/>
  <c r="AM4739" i="2"/>
  <c r="AE4739" i="2"/>
  <c r="U4739" i="2"/>
  <c r="AM4738" i="2"/>
  <c r="AE4738" i="2"/>
  <c r="U4738" i="2"/>
  <c r="AM4737" i="2"/>
  <c r="AE4737" i="2"/>
  <c r="U4737" i="2"/>
  <c r="AM4736" i="2"/>
  <c r="AE4736" i="2"/>
  <c r="U4736" i="2"/>
  <c r="AM4735" i="2"/>
  <c r="AE4735" i="2"/>
  <c r="U4735" i="2"/>
  <c r="AM4734" i="2"/>
  <c r="AE4734" i="2"/>
  <c r="U4734" i="2"/>
  <c r="AM4733" i="2"/>
  <c r="AE4733" i="2"/>
  <c r="U4733" i="2"/>
  <c r="AM4732" i="2"/>
  <c r="AE4732" i="2"/>
  <c r="U4732" i="2"/>
  <c r="AM4731" i="2"/>
  <c r="AE4731" i="2"/>
  <c r="U4731" i="2"/>
  <c r="AM4730" i="2"/>
  <c r="AE4730" i="2"/>
  <c r="U4730" i="2"/>
  <c r="AM4729" i="2"/>
  <c r="AE4729" i="2"/>
  <c r="U4729" i="2"/>
  <c r="AM4728" i="2"/>
  <c r="AE4728" i="2"/>
  <c r="U4728" i="2"/>
  <c r="AM4727" i="2"/>
  <c r="AE4727" i="2"/>
  <c r="U4727" i="2"/>
  <c r="AM4726" i="2"/>
  <c r="AE4726" i="2"/>
  <c r="U4726" i="2"/>
  <c r="AM4725" i="2"/>
  <c r="AE4725" i="2"/>
  <c r="U4725" i="2"/>
  <c r="AM4724" i="2"/>
  <c r="AE4724" i="2"/>
  <c r="U4724" i="2"/>
  <c r="AM4723" i="2"/>
  <c r="AE4723" i="2"/>
  <c r="U4723" i="2"/>
  <c r="AM4722" i="2"/>
  <c r="AE4722" i="2"/>
  <c r="U4722" i="2"/>
  <c r="AM4721" i="2"/>
  <c r="AE4721" i="2"/>
  <c r="U4721" i="2"/>
  <c r="AM4720" i="2"/>
  <c r="AE4720" i="2"/>
  <c r="U4720" i="2"/>
  <c r="AM4719" i="2"/>
  <c r="AE4719" i="2"/>
  <c r="U4719" i="2"/>
  <c r="AM4718" i="2"/>
  <c r="AE4718" i="2"/>
  <c r="U4718" i="2"/>
  <c r="AM4717" i="2"/>
  <c r="AE4717" i="2"/>
  <c r="U4717" i="2"/>
  <c r="AM4716" i="2"/>
  <c r="AE4716" i="2"/>
  <c r="U4716" i="2"/>
  <c r="AM4715" i="2"/>
  <c r="AE4715" i="2"/>
  <c r="U4715" i="2"/>
  <c r="AM4714" i="2"/>
  <c r="AE4714" i="2"/>
  <c r="U4714" i="2"/>
  <c r="AM4713" i="2"/>
  <c r="AE4713" i="2"/>
  <c r="U4713" i="2"/>
  <c r="AM4712" i="2"/>
  <c r="AE4712" i="2"/>
  <c r="U4712" i="2"/>
  <c r="AM4711" i="2"/>
  <c r="AE4711" i="2"/>
  <c r="U4711" i="2"/>
  <c r="AM4710" i="2"/>
  <c r="AE4710" i="2"/>
  <c r="U4710" i="2"/>
  <c r="AM4709" i="2"/>
  <c r="AE4709" i="2"/>
  <c r="U4709" i="2"/>
  <c r="AM4708" i="2"/>
  <c r="AE4708" i="2"/>
  <c r="U4708" i="2"/>
  <c r="AM4707" i="2"/>
  <c r="AE4707" i="2"/>
  <c r="U4707" i="2"/>
  <c r="AM4706" i="2"/>
  <c r="AE4706" i="2"/>
  <c r="U4706" i="2"/>
  <c r="AM4705" i="2"/>
  <c r="AE4705" i="2"/>
  <c r="U4705" i="2"/>
  <c r="AM4704" i="2"/>
  <c r="AE4704" i="2"/>
  <c r="U4704" i="2"/>
  <c r="AM4703" i="2"/>
  <c r="AE4703" i="2"/>
  <c r="U4703" i="2"/>
  <c r="AM4702" i="2"/>
  <c r="AE4702" i="2"/>
  <c r="U4702" i="2"/>
  <c r="AM4701" i="2"/>
  <c r="AE4701" i="2"/>
  <c r="U4701" i="2"/>
  <c r="AM4700" i="2"/>
  <c r="AE4700" i="2"/>
  <c r="U4700" i="2"/>
  <c r="AM4699" i="2"/>
  <c r="AE4699" i="2"/>
  <c r="U4699" i="2"/>
  <c r="AM4698" i="2"/>
  <c r="AE4698" i="2"/>
  <c r="U4698" i="2"/>
  <c r="AM4697" i="2"/>
  <c r="AE4697" i="2"/>
  <c r="U4697" i="2"/>
  <c r="AM4696" i="2"/>
  <c r="AE4696" i="2"/>
  <c r="U4696" i="2"/>
  <c r="AM4695" i="2"/>
  <c r="AE4695" i="2"/>
  <c r="U4695" i="2"/>
  <c r="AM4694" i="2"/>
  <c r="AE4694" i="2"/>
  <c r="U4694" i="2"/>
  <c r="AM4693" i="2"/>
  <c r="AE4693" i="2"/>
  <c r="U4693" i="2"/>
  <c r="AM4692" i="2"/>
  <c r="AE4692" i="2"/>
  <c r="U4692" i="2"/>
  <c r="AM4691" i="2"/>
  <c r="AE4691" i="2"/>
  <c r="U4691" i="2"/>
  <c r="AM4690" i="2"/>
  <c r="AE4690" i="2"/>
  <c r="U4690" i="2"/>
  <c r="AM4689" i="2"/>
  <c r="AE4689" i="2"/>
  <c r="U4689" i="2"/>
  <c r="AM4688" i="2"/>
  <c r="AE4688" i="2"/>
  <c r="U4688" i="2"/>
  <c r="AM4687" i="2"/>
  <c r="AE4687" i="2"/>
  <c r="U4687" i="2"/>
  <c r="AM4686" i="2"/>
  <c r="AE4686" i="2"/>
  <c r="U4686" i="2"/>
  <c r="AM4685" i="2"/>
  <c r="AE4685" i="2"/>
  <c r="U4685" i="2"/>
  <c r="AM4684" i="2"/>
  <c r="AE4684" i="2"/>
  <c r="U4684" i="2"/>
  <c r="AM4683" i="2"/>
  <c r="AE4683" i="2"/>
  <c r="U4683" i="2"/>
  <c r="AM4682" i="2"/>
  <c r="AE4682" i="2"/>
  <c r="U4682" i="2"/>
  <c r="AM4681" i="2"/>
  <c r="AE4681" i="2"/>
  <c r="U4681" i="2"/>
  <c r="AM4680" i="2"/>
  <c r="AE4680" i="2"/>
  <c r="U4680" i="2"/>
  <c r="AM4679" i="2"/>
  <c r="AE4679" i="2"/>
  <c r="U4679" i="2"/>
  <c r="AM4678" i="2"/>
  <c r="AE4678" i="2"/>
  <c r="U4678" i="2"/>
  <c r="AM4677" i="2"/>
  <c r="AE4677" i="2"/>
  <c r="U4677" i="2"/>
  <c r="AM4676" i="2"/>
  <c r="AE4676" i="2"/>
  <c r="U4676" i="2"/>
  <c r="AM4675" i="2"/>
  <c r="AE4675" i="2"/>
  <c r="U4675" i="2"/>
  <c r="AM4674" i="2"/>
  <c r="AE4674" i="2"/>
  <c r="U4674" i="2"/>
  <c r="AM4673" i="2"/>
  <c r="AE4673" i="2"/>
  <c r="U4673" i="2"/>
  <c r="AM4672" i="2"/>
  <c r="AE4672" i="2"/>
  <c r="U4672" i="2"/>
  <c r="AM4671" i="2"/>
  <c r="AE4671" i="2"/>
  <c r="U4671" i="2"/>
  <c r="AM4670" i="2"/>
  <c r="AE4670" i="2"/>
  <c r="U4670" i="2"/>
  <c r="AM4669" i="2"/>
  <c r="AE4669" i="2"/>
  <c r="U4669" i="2"/>
  <c r="AM4668" i="2"/>
  <c r="AE4668" i="2"/>
  <c r="U4668" i="2"/>
  <c r="AM4667" i="2"/>
  <c r="AE4667" i="2"/>
  <c r="U4667" i="2"/>
  <c r="AM4666" i="2"/>
  <c r="AE4666" i="2"/>
  <c r="U4666" i="2"/>
  <c r="AM4665" i="2"/>
  <c r="AE4665" i="2"/>
  <c r="U4665" i="2"/>
  <c r="AM4664" i="2"/>
  <c r="AE4664" i="2"/>
  <c r="U4664" i="2"/>
  <c r="AM4663" i="2"/>
  <c r="AE4663" i="2"/>
  <c r="U4663" i="2"/>
  <c r="AM4662" i="2"/>
  <c r="AE4662" i="2"/>
  <c r="U4662" i="2"/>
  <c r="AM4661" i="2"/>
  <c r="AE4661" i="2"/>
  <c r="U4661" i="2"/>
  <c r="AM4660" i="2"/>
  <c r="AE4660" i="2"/>
  <c r="U4660" i="2"/>
  <c r="AM4659" i="2"/>
  <c r="AE4659" i="2"/>
  <c r="U4659" i="2"/>
  <c r="AM4658" i="2"/>
  <c r="AE4658" i="2"/>
  <c r="U4658" i="2"/>
  <c r="AM4657" i="2"/>
  <c r="AE4657" i="2"/>
  <c r="U4657" i="2"/>
  <c r="AM4656" i="2"/>
  <c r="AE4656" i="2"/>
  <c r="U4656" i="2"/>
  <c r="AM4655" i="2"/>
  <c r="AE4655" i="2"/>
  <c r="U4655" i="2"/>
  <c r="AM4654" i="2"/>
  <c r="AE4654" i="2"/>
  <c r="U4654" i="2"/>
  <c r="AM4653" i="2"/>
  <c r="AE4653" i="2"/>
  <c r="U4653" i="2"/>
  <c r="AM4652" i="2"/>
  <c r="AE4652" i="2"/>
  <c r="U4652" i="2"/>
  <c r="AM4651" i="2"/>
  <c r="AE4651" i="2"/>
  <c r="U4651" i="2"/>
  <c r="AM4650" i="2"/>
  <c r="AE4650" i="2"/>
  <c r="U4650" i="2"/>
  <c r="AM4649" i="2"/>
  <c r="AE4649" i="2"/>
  <c r="U4649" i="2"/>
  <c r="AM4648" i="2"/>
  <c r="AE4648" i="2"/>
  <c r="U4648" i="2"/>
  <c r="AM4647" i="2"/>
  <c r="AE4647" i="2"/>
  <c r="U4647" i="2"/>
  <c r="AM4646" i="2"/>
  <c r="AE4646" i="2"/>
  <c r="U4646" i="2"/>
  <c r="AM4645" i="2"/>
  <c r="AE4645" i="2"/>
  <c r="U4645" i="2"/>
  <c r="AM4644" i="2"/>
  <c r="AE4644" i="2"/>
  <c r="U4644" i="2"/>
  <c r="AM4643" i="2"/>
  <c r="AE4643" i="2"/>
  <c r="U4643" i="2"/>
  <c r="AM4642" i="2"/>
  <c r="AE4642" i="2"/>
  <c r="U4642" i="2"/>
  <c r="AM4641" i="2"/>
  <c r="AE4641" i="2"/>
  <c r="U4641" i="2"/>
  <c r="AM4640" i="2"/>
  <c r="AE4640" i="2"/>
  <c r="U4640" i="2"/>
  <c r="AM4639" i="2"/>
  <c r="AE4639" i="2"/>
  <c r="U4639" i="2"/>
  <c r="AM4638" i="2"/>
  <c r="AE4638" i="2"/>
  <c r="U4638" i="2"/>
  <c r="AM4637" i="2"/>
  <c r="AE4637" i="2"/>
  <c r="U4637" i="2"/>
  <c r="AM4636" i="2"/>
  <c r="AE4636" i="2"/>
  <c r="U4636" i="2"/>
  <c r="AM4635" i="2"/>
  <c r="AE4635" i="2"/>
  <c r="U4635" i="2"/>
  <c r="AM4634" i="2"/>
  <c r="AE4634" i="2"/>
  <c r="U4634" i="2"/>
  <c r="AM4633" i="2"/>
  <c r="AE4633" i="2"/>
  <c r="U4633" i="2"/>
  <c r="AM4632" i="2"/>
  <c r="AE4632" i="2"/>
  <c r="U4632" i="2"/>
  <c r="AM4631" i="2"/>
  <c r="AE4631" i="2"/>
  <c r="U4631" i="2"/>
  <c r="AM4630" i="2"/>
  <c r="AE4630" i="2"/>
  <c r="U4630" i="2"/>
  <c r="AM4629" i="2"/>
  <c r="AE4629" i="2"/>
  <c r="U4629" i="2"/>
  <c r="AM4628" i="2"/>
  <c r="AE4628" i="2"/>
  <c r="U4628" i="2"/>
  <c r="AM4627" i="2"/>
  <c r="AE4627" i="2"/>
  <c r="U4627" i="2"/>
  <c r="AM4626" i="2"/>
  <c r="AE4626" i="2"/>
  <c r="U4626" i="2"/>
  <c r="AM4625" i="2"/>
  <c r="AE4625" i="2"/>
  <c r="U4625" i="2"/>
  <c r="AM4624" i="2"/>
  <c r="AE4624" i="2"/>
  <c r="U4624" i="2"/>
  <c r="AM4623" i="2"/>
  <c r="AE4623" i="2"/>
  <c r="U4623" i="2"/>
  <c r="AM4622" i="2"/>
  <c r="AE4622" i="2"/>
  <c r="U4622" i="2"/>
  <c r="AM4621" i="2"/>
  <c r="AE4621" i="2"/>
  <c r="U4621" i="2"/>
  <c r="AM4620" i="2"/>
  <c r="AE4620" i="2"/>
  <c r="U4620" i="2"/>
  <c r="AM4619" i="2"/>
  <c r="AE4619" i="2"/>
  <c r="U4619" i="2"/>
  <c r="AM4618" i="2"/>
  <c r="AE4618" i="2"/>
  <c r="U4618" i="2"/>
  <c r="AM4617" i="2"/>
  <c r="AE4617" i="2"/>
  <c r="U4617" i="2"/>
  <c r="AM4616" i="2"/>
  <c r="AE4616" i="2"/>
  <c r="U4616" i="2"/>
  <c r="AM4615" i="2"/>
  <c r="AE4615" i="2"/>
  <c r="U4615" i="2"/>
  <c r="AM4614" i="2"/>
  <c r="AE4614" i="2"/>
  <c r="U4614" i="2"/>
  <c r="AM4613" i="2"/>
  <c r="AE4613" i="2"/>
  <c r="U4613" i="2"/>
  <c r="AM4612" i="2"/>
  <c r="AE4612" i="2"/>
  <c r="U4612" i="2"/>
  <c r="AM4611" i="2"/>
  <c r="AE4611" i="2"/>
  <c r="U4611" i="2"/>
  <c r="AM4610" i="2"/>
  <c r="AE4610" i="2"/>
  <c r="U4610" i="2"/>
  <c r="AM4609" i="2"/>
  <c r="AE4609" i="2"/>
  <c r="U4609" i="2"/>
  <c r="AM4608" i="2"/>
  <c r="AE4608" i="2"/>
  <c r="U4608" i="2"/>
  <c r="AM4607" i="2"/>
  <c r="AE4607" i="2"/>
  <c r="U4607" i="2"/>
  <c r="AM4606" i="2"/>
  <c r="AE4606" i="2"/>
  <c r="U4606" i="2"/>
  <c r="AM4605" i="2"/>
  <c r="AE4605" i="2"/>
  <c r="U4605" i="2"/>
  <c r="AM4604" i="2"/>
  <c r="AE4604" i="2"/>
  <c r="U4604" i="2"/>
  <c r="AM4603" i="2"/>
  <c r="AE4603" i="2"/>
  <c r="U4603" i="2"/>
  <c r="AM4602" i="2"/>
  <c r="AE4602" i="2"/>
  <c r="U4602" i="2"/>
  <c r="AM4601" i="2"/>
  <c r="AE4601" i="2"/>
  <c r="U4601" i="2"/>
  <c r="AM4600" i="2"/>
  <c r="AE4600" i="2"/>
  <c r="U4600" i="2"/>
  <c r="AM4599" i="2"/>
  <c r="AE4599" i="2"/>
  <c r="U4599" i="2"/>
  <c r="AM4598" i="2"/>
  <c r="AE4598" i="2"/>
  <c r="U4598" i="2"/>
  <c r="AM4597" i="2"/>
  <c r="AE4597" i="2"/>
  <c r="U4597" i="2"/>
  <c r="AM4596" i="2"/>
  <c r="AE4596" i="2"/>
  <c r="U4596" i="2"/>
  <c r="AM4595" i="2"/>
  <c r="AE4595" i="2"/>
  <c r="U4595" i="2"/>
  <c r="AM4594" i="2"/>
  <c r="AE4594" i="2"/>
  <c r="U4594" i="2"/>
  <c r="AM4593" i="2"/>
  <c r="AE4593" i="2"/>
  <c r="U4593" i="2"/>
  <c r="AM4592" i="2"/>
  <c r="AE4592" i="2"/>
  <c r="U4592" i="2"/>
  <c r="AM4591" i="2"/>
  <c r="AE4591" i="2"/>
  <c r="U4591" i="2"/>
  <c r="AM4590" i="2"/>
  <c r="AE4590" i="2"/>
  <c r="U4590" i="2"/>
  <c r="AM4589" i="2"/>
  <c r="AE4589" i="2"/>
  <c r="U4589" i="2"/>
  <c r="AM4588" i="2"/>
  <c r="AE4588" i="2"/>
  <c r="U4588" i="2"/>
  <c r="AM4587" i="2"/>
  <c r="AE4587" i="2"/>
  <c r="U4587" i="2"/>
  <c r="AM4586" i="2"/>
  <c r="AE4586" i="2"/>
  <c r="U4586" i="2"/>
  <c r="AM4585" i="2"/>
  <c r="AE4585" i="2"/>
  <c r="U4585" i="2"/>
  <c r="AM4584" i="2"/>
  <c r="AE4584" i="2"/>
  <c r="U4584" i="2"/>
  <c r="AM4583" i="2"/>
  <c r="AE4583" i="2"/>
  <c r="U4583" i="2"/>
  <c r="AM4582" i="2"/>
  <c r="AE4582" i="2"/>
  <c r="U4582" i="2"/>
  <c r="AM4581" i="2"/>
  <c r="AE4581" i="2"/>
  <c r="U4581" i="2"/>
  <c r="AM4580" i="2"/>
  <c r="AE4580" i="2"/>
  <c r="U4580" i="2"/>
  <c r="AM4579" i="2"/>
  <c r="AE4579" i="2"/>
  <c r="U4579" i="2"/>
  <c r="AM4578" i="2"/>
  <c r="AE4578" i="2"/>
  <c r="U4578" i="2"/>
  <c r="AM4577" i="2"/>
  <c r="AE4577" i="2"/>
  <c r="U4577" i="2"/>
  <c r="AM4576" i="2"/>
  <c r="AE4576" i="2"/>
  <c r="U4576" i="2"/>
  <c r="AM4575" i="2"/>
  <c r="AE4575" i="2"/>
  <c r="U4575" i="2"/>
  <c r="AM4574" i="2"/>
  <c r="AE4574" i="2"/>
  <c r="U4574" i="2"/>
  <c r="AM4573" i="2"/>
  <c r="AE4573" i="2"/>
  <c r="U4573" i="2"/>
  <c r="AM4572" i="2"/>
  <c r="AE4572" i="2"/>
  <c r="U4572" i="2"/>
  <c r="AM4571" i="2"/>
  <c r="AE4571" i="2"/>
  <c r="U4571" i="2"/>
  <c r="AM4570" i="2"/>
  <c r="AE4570" i="2"/>
  <c r="U4570" i="2"/>
  <c r="AM4569" i="2"/>
  <c r="AE4569" i="2"/>
  <c r="U4569" i="2"/>
  <c r="AM4568" i="2"/>
  <c r="AE4568" i="2"/>
  <c r="U4568" i="2"/>
  <c r="AM4567" i="2"/>
  <c r="AE4567" i="2"/>
  <c r="U4567" i="2"/>
  <c r="AM4566" i="2"/>
  <c r="AE4566" i="2"/>
  <c r="U4566" i="2"/>
  <c r="AM4565" i="2"/>
  <c r="AE4565" i="2"/>
  <c r="U4565" i="2"/>
  <c r="AM4564" i="2"/>
  <c r="AE4564" i="2"/>
  <c r="U4564" i="2"/>
  <c r="AM4563" i="2"/>
  <c r="AE4563" i="2"/>
  <c r="U4563" i="2"/>
  <c r="AM4562" i="2"/>
  <c r="AE4562" i="2"/>
  <c r="U4562" i="2"/>
  <c r="AM4561" i="2"/>
  <c r="AK4561" i="2"/>
  <c r="AE4561" i="2"/>
  <c r="U4561" i="2"/>
  <c r="AL4560" i="2"/>
  <c r="AK4560" i="2"/>
  <c r="AM4560" i="2" s="1"/>
  <c r="AE4560" i="2"/>
  <c r="U4560" i="2"/>
  <c r="AM4559" i="2"/>
  <c r="AK4559" i="2"/>
  <c r="AE4559" i="2"/>
  <c r="U4559" i="2"/>
  <c r="AL4558" i="2"/>
  <c r="AK4558" i="2"/>
  <c r="AE4558" i="2"/>
  <c r="U4558" i="2"/>
  <c r="AM4557" i="2"/>
  <c r="AE4557" i="2"/>
  <c r="U4557" i="2"/>
  <c r="AM4556" i="2"/>
  <c r="AE4556" i="2"/>
  <c r="U4556" i="2"/>
  <c r="AM4555" i="2"/>
  <c r="AE4555" i="2"/>
  <c r="U4555" i="2"/>
  <c r="AM4554" i="2"/>
  <c r="AE4554" i="2"/>
  <c r="U4554" i="2"/>
  <c r="AM4553" i="2"/>
  <c r="AE4553" i="2"/>
  <c r="U4553" i="2"/>
  <c r="AM4552" i="2"/>
  <c r="AE4552" i="2"/>
  <c r="U4552" i="2"/>
  <c r="AM4551" i="2"/>
  <c r="AE4551" i="2"/>
  <c r="U4551" i="2"/>
  <c r="AM4550" i="2"/>
  <c r="AE4550" i="2"/>
  <c r="U4550" i="2"/>
  <c r="AM4549" i="2"/>
  <c r="AE4549" i="2"/>
  <c r="U4549" i="2"/>
  <c r="AM4548" i="2"/>
  <c r="AE4548" i="2"/>
  <c r="U4548" i="2"/>
  <c r="AM4547" i="2"/>
  <c r="AE4547" i="2"/>
  <c r="U4547" i="2"/>
  <c r="AM4546" i="2"/>
  <c r="AE4546" i="2"/>
  <c r="U4546" i="2"/>
  <c r="AM4545" i="2"/>
  <c r="AE4545" i="2"/>
  <c r="U4545" i="2"/>
  <c r="AM4544" i="2"/>
  <c r="AE4544" i="2"/>
  <c r="U4544" i="2"/>
  <c r="AM4543" i="2"/>
  <c r="AE4543" i="2"/>
  <c r="U4543" i="2"/>
  <c r="AM4542" i="2"/>
  <c r="AE4542" i="2"/>
  <c r="U4542" i="2"/>
  <c r="AM4541" i="2"/>
  <c r="AE4541" i="2"/>
  <c r="U4541" i="2"/>
  <c r="AM4540" i="2"/>
  <c r="AE4540" i="2"/>
  <c r="U4540" i="2"/>
  <c r="AM4539" i="2"/>
  <c r="AE4539" i="2"/>
  <c r="U4539" i="2"/>
  <c r="AM4538" i="2"/>
  <c r="AE4538" i="2"/>
  <c r="U4538" i="2"/>
  <c r="AM4537" i="2"/>
  <c r="AE4537" i="2"/>
  <c r="U4537" i="2"/>
  <c r="AM4536" i="2"/>
  <c r="AE4536" i="2"/>
  <c r="U4536" i="2"/>
  <c r="AM4535" i="2"/>
  <c r="AE4535" i="2"/>
  <c r="U4535" i="2"/>
  <c r="AM4534" i="2"/>
  <c r="AE4534" i="2"/>
  <c r="U4534" i="2"/>
  <c r="AM4533" i="2"/>
  <c r="AE4533" i="2"/>
  <c r="U4533" i="2"/>
  <c r="AM4532" i="2"/>
  <c r="AE4532" i="2"/>
  <c r="U4532" i="2"/>
  <c r="AM4531" i="2"/>
  <c r="AE4531" i="2"/>
  <c r="U4531" i="2"/>
  <c r="AM4530" i="2"/>
  <c r="AE4530" i="2"/>
  <c r="U4530" i="2"/>
  <c r="AM4529" i="2"/>
  <c r="AE4529" i="2"/>
  <c r="U4529" i="2"/>
  <c r="AM4528" i="2"/>
  <c r="AE4528" i="2"/>
  <c r="U4528" i="2"/>
  <c r="AM4527" i="2"/>
  <c r="AE4527" i="2"/>
  <c r="U4527" i="2"/>
  <c r="AM4526" i="2"/>
  <c r="AE4526" i="2"/>
  <c r="U4526" i="2"/>
  <c r="AM4525" i="2"/>
  <c r="AE4525" i="2"/>
  <c r="U4525" i="2"/>
  <c r="AM4524" i="2"/>
  <c r="AE4524" i="2"/>
  <c r="U4524" i="2"/>
  <c r="AM4523" i="2"/>
  <c r="AE4523" i="2"/>
  <c r="U4523" i="2"/>
  <c r="AM4522" i="2"/>
  <c r="AE4522" i="2"/>
  <c r="U4522" i="2"/>
  <c r="AM4521" i="2"/>
  <c r="AE4521" i="2"/>
  <c r="U4521" i="2"/>
  <c r="AM4520" i="2"/>
  <c r="AE4520" i="2"/>
  <c r="U4520" i="2"/>
  <c r="AM4519" i="2"/>
  <c r="AE4519" i="2"/>
  <c r="U4519" i="2"/>
  <c r="AM4518" i="2"/>
  <c r="AE4518" i="2"/>
  <c r="U4518" i="2"/>
  <c r="AM4517" i="2"/>
  <c r="AE4517" i="2"/>
  <c r="U4517" i="2"/>
  <c r="AM4516" i="2"/>
  <c r="AE4516" i="2"/>
  <c r="U4516" i="2"/>
  <c r="AM4515" i="2"/>
  <c r="AE4515" i="2"/>
  <c r="U4515" i="2"/>
  <c r="AM4514" i="2"/>
  <c r="AE4514" i="2"/>
  <c r="U4514" i="2"/>
  <c r="AM4513" i="2"/>
  <c r="AE4513" i="2"/>
  <c r="U4513" i="2"/>
  <c r="AM4512" i="2"/>
  <c r="AE4512" i="2"/>
  <c r="U4512" i="2"/>
  <c r="AM4511" i="2"/>
  <c r="AE4511" i="2"/>
  <c r="U4511" i="2"/>
  <c r="AM4510" i="2"/>
  <c r="AE4510" i="2"/>
  <c r="U4510" i="2"/>
  <c r="AM4509" i="2"/>
  <c r="AE4509" i="2"/>
  <c r="U4509" i="2"/>
  <c r="AM4508" i="2"/>
  <c r="AE4508" i="2"/>
  <c r="U4508" i="2"/>
  <c r="AM4507" i="2"/>
  <c r="AE4507" i="2"/>
  <c r="U4507" i="2"/>
  <c r="AM4506" i="2"/>
  <c r="AE4506" i="2"/>
  <c r="U4506" i="2"/>
  <c r="AM4505" i="2"/>
  <c r="AE4505" i="2"/>
  <c r="U4505" i="2"/>
  <c r="AM4504" i="2"/>
  <c r="AE4504" i="2"/>
  <c r="U4504" i="2"/>
  <c r="AM4503" i="2"/>
  <c r="AE4503" i="2"/>
  <c r="U4503" i="2"/>
  <c r="AM4502" i="2"/>
  <c r="AE4502" i="2"/>
  <c r="U4502" i="2"/>
  <c r="AM4501" i="2"/>
  <c r="AE4501" i="2"/>
  <c r="U4501" i="2"/>
  <c r="AM4500" i="2"/>
  <c r="AE4500" i="2"/>
  <c r="U4500" i="2"/>
  <c r="AM4499" i="2"/>
  <c r="AE4499" i="2"/>
  <c r="U4499" i="2"/>
  <c r="AM4498" i="2"/>
  <c r="AE4498" i="2"/>
  <c r="U4498" i="2"/>
  <c r="AM4497" i="2"/>
  <c r="AE4497" i="2"/>
  <c r="U4497" i="2"/>
  <c r="AM4496" i="2"/>
  <c r="AE4496" i="2"/>
  <c r="U4496" i="2"/>
  <c r="AM4495" i="2"/>
  <c r="AE4495" i="2"/>
  <c r="U4495" i="2"/>
  <c r="AM4494" i="2"/>
  <c r="AE4494" i="2"/>
  <c r="U4494" i="2"/>
  <c r="AM4493" i="2"/>
  <c r="AE4493" i="2"/>
  <c r="U4493" i="2"/>
  <c r="AM4492" i="2"/>
  <c r="AE4492" i="2"/>
  <c r="U4492" i="2"/>
  <c r="AM4491" i="2"/>
  <c r="AE4491" i="2"/>
  <c r="U4491" i="2"/>
  <c r="AM4490" i="2"/>
  <c r="AE4490" i="2"/>
  <c r="U4490" i="2"/>
  <c r="AM4489" i="2"/>
  <c r="AE4489" i="2"/>
  <c r="U4489" i="2"/>
  <c r="AM4488" i="2"/>
  <c r="AE4488" i="2"/>
  <c r="U4488" i="2"/>
  <c r="AM4487" i="2"/>
  <c r="AE4487" i="2"/>
  <c r="U4487" i="2"/>
  <c r="AM4486" i="2"/>
  <c r="AE4486" i="2"/>
  <c r="U4486" i="2"/>
  <c r="AM4485" i="2"/>
  <c r="AE4485" i="2"/>
  <c r="U4485" i="2"/>
  <c r="AM4484" i="2"/>
  <c r="AE4484" i="2"/>
  <c r="U4484" i="2"/>
  <c r="AM4483" i="2"/>
  <c r="AE4483" i="2"/>
  <c r="U4483" i="2"/>
  <c r="AM4482" i="2"/>
  <c r="AE4482" i="2"/>
  <c r="U4482" i="2"/>
  <c r="AM4481" i="2"/>
  <c r="AE4481" i="2"/>
  <c r="U4481" i="2"/>
  <c r="AM4480" i="2"/>
  <c r="AE4480" i="2"/>
  <c r="U4480" i="2"/>
  <c r="AM4479" i="2"/>
  <c r="AE4479" i="2"/>
  <c r="U4479" i="2"/>
  <c r="AM4478" i="2"/>
  <c r="AE4478" i="2"/>
  <c r="U4478" i="2"/>
  <c r="AM4477" i="2"/>
  <c r="AE4477" i="2"/>
  <c r="U4477" i="2"/>
  <c r="AM4476" i="2"/>
  <c r="AE4476" i="2"/>
  <c r="U4476" i="2"/>
  <c r="AM4475" i="2"/>
  <c r="AE4475" i="2"/>
  <c r="U4475" i="2"/>
  <c r="AM4474" i="2"/>
  <c r="AE4474" i="2"/>
  <c r="U4474" i="2"/>
  <c r="AM4473" i="2"/>
  <c r="AE4473" i="2"/>
  <c r="U4473" i="2"/>
  <c r="AM4472" i="2"/>
  <c r="AE4472" i="2"/>
  <c r="U4472" i="2"/>
  <c r="AM4471" i="2"/>
  <c r="AE4471" i="2"/>
  <c r="U4471" i="2"/>
  <c r="AM4470" i="2"/>
  <c r="AE4470" i="2"/>
  <c r="U4470" i="2"/>
  <c r="AM4469" i="2"/>
  <c r="AE4469" i="2"/>
  <c r="U4469" i="2"/>
  <c r="AM4468" i="2"/>
  <c r="AE4468" i="2"/>
  <c r="U4468" i="2"/>
  <c r="AM4467" i="2"/>
  <c r="AE4467" i="2"/>
  <c r="U4467" i="2"/>
  <c r="AM4466" i="2"/>
  <c r="AE4466" i="2"/>
  <c r="U4466" i="2"/>
  <c r="AM4465" i="2"/>
  <c r="AE4465" i="2"/>
  <c r="U4465" i="2"/>
  <c r="AM4464" i="2"/>
  <c r="AE4464" i="2"/>
  <c r="U4464" i="2"/>
  <c r="AM4463" i="2"/>
  <c r="AE4463" i="2"/>
  <c r="U4463" i="2"/>
  <c r="AM4462" i="2"/>
  <c r="AE4462" i="2"/>
  <c r="U4462" i="2"/>
  <c r="AM4461" i="2"/>
  <c r="AE4461" i="2"/>
  <c r="U4461" i="2"/>
  <c r="AM4460" i="2"/>
  <c r="AE4460" i="2"/>
  <c r="U4460" i="2"/>
  <c r="AM4459" i="2"/>
  <c r="AE4459" i="2"/>
  <c r="U4459" i="2"/>
  <c r="AM4458" i="2"/>
  <c r="AE4458" i="2"/>
  <c r="U4458" i="2"/>
  <c r="AM4457" i="2"/>
  <c r="AE4457" i="2"/>
  <c r="U4457" i="2"/>
  <c r="AM4456" i="2"/>
  <c r="AE4456" i="2"/>
  <c r="U4456" i="2"/>
  <c r="AM4455" i="2"/>
  <c r="AE4455" i="2"/>
  <c r="U4455" i="2"/>
  <c r="AM4454" i="2"/>
  <c r="AE4454" i="2"/>
  <c r="U4454" i="2"/>
  <c r="AM4453" i="2"/>
  <c r="AE4453" i="2"/>
  <c r="U4453" i="2"/>
  <c r="AM4452" i="2"/>
  <c r="AE4452" i="2"/>
  <c r="U4452" i="2"/>
  <c r="AM4451" i="2"/>
  <c r="AE4451" i="2"/>
  <c r="U4451" i="2"/>
  <c r="AM4450" i="2"/>
  <c r="AE4450" i="2"/>
  <c r="U4450" i="2"/>
  <c r="AM4449" i="2"/>
  <c r="AE4449" i="2"/>
  <c r="U4449" i="2"/>
  <c r="AM4448" i="2"/>
  <c r="AE4448" i="2"/>
  <c r="U4448" i="2"/>
  <c r="AM4447" i="2"/>
  <c r="AE4447" i="2"/>
  <c r="U4447" i="2"/>
  <c r="AM4446" i="2"/>
  <c r="AE4446" i="2"/>
  <c r="U4446" i="2"/>
  <c r="AM4445" i="2"/>
  <c r="AE4445" i="2"/>
  <c r="U4445" i="2"/>
  <c r="AM4444" i="2"/>
  <c r="AE4444" i="2"/>
  <c r="U4444" i="2"/>
  <c r="AM4443" i="2"/>
  <c r="AE4443" i="2"/>
  <c r="U4443" i="2"/>
  <c r="AM4442" i="2"/>
  <c r="AL4442" i="2"/>
  <c r="AE4442" i="2"/>
  <c r="U4442" i="2"/>
  <c r="AM4441" i="2"/>
  <c r="AE4441" i="2"/>
  <c r="U4441" i="2"/>
  <c r="AM4440" i="2"/>
  <c r="AE4440" i="2"/>
  <c r="U4440" i="2"/>
  <c r="AM4439" i="2"/>
  <c r="AE4439" i="2"/>
  <c r="U4439" i="2"/>
  <c r="AM4438" i="2"/>
  <c r="AE4438" i="2"/>
  <c r="U4438" i="2"/>
  <c r="AM4437" i="2"/>
  <c r="AE4437" i="2"/>
  <c r="U4437" i="2"/>
  <c r="AM4436" i="2"/>
  <c r="AE4436" i="2"/>
  <c r="U4436" i="2"/>
  <c r="AM4435" i="2"/>
  <c r="AE4435" i="2"/>
  <c r="U4435" i="2"/>
  <c r="AM4434" i="2"/>
  <c r="AE4434" i="2"/>
  <c r="U4434" i="2"/>
  <c r="AM4433" i="2"/>
  <c r="AE4433" i="2"/>
  <c r="U4433" i="2"/>
  <c r="AM4432" i="2"/>
  <c r="AE4432" i="2"/>
  <c r="U4432" i="2"/>
  <c r="AM4431" i="2"/>
  <c r="AE4431" i="2"/>
  <c r="U4431" i="2"/>
  <c r="AM4430" i="2"/>
  <c r="AE4430" i="2"/>
  <c r="U4430" i="2"/>
  <c r="AM4429" i="2"/>
  <c r="AE4429" i="2"/>
  <c r="U4429" i="2"/>
  <c r="AM4428" i="2"/>
  <c r="AE4428" i="2"/>
  <c r="U4428" i="2"/>
  <c r="AM4427" i="2"/>
  <c r="AE4427" i="2"/>
  <c r="U4427" i="2"/>
  <c r="AM4426" i="2"/>
  <c r="AE4426" i="2"/>
  <c r="U4426" i="2"/>
  <c r="AM4425" i="2"/>
  <c r="AE4425" i="2"/>
  <c r="U4425" i="2"/>
  <c r="AM4424" i="2"/>
  <c r="AE4424" i="2"/>
  <c r="U4424" i="2"/>
  <c r="AM4423" i="2"/>
  <c r="AE4423" i="2"/>
  <c r="U4423" i="2"/>
  <c r="AM4422" i="2"/>
  <c r="AE4422" i="2"/>
  <c r="U4422" i="2"/>
  <c r="AM4421" i="2"/>
  <c r="AE4421" i="2"/>
  <c r="U4421" i="2"/>
  <c r="AM4420" i="2"/>
  <c r="AE4420" i="2"/>
  <c r="U4420" i="2"/>
  <c r="AM4419" i="2"/>
  <c r="AE4419" i="2"/>
  <c r="U4419" i="2"/>
  <c r="AM4418" i="2"/>
  <c r="AE4418" i="2"/>
  <c r="U4418" i="2"/>
  <c r="AM4417" i="2"/>
  <c r="AE4417" i="2"/>
  <c r="U4417" i="2"/>
  <c r="AM4416" i="2"/>
  <c r="AE4416" i="2"/>
  <c r="U4416" i="2"/>
  <c r="AM4415" i="2"/>
  <c r="AE4415" i="2"/>
  <c r="U4415" i="2"/>
  <c r="AM4414" i="2"/>
  <c r="AE4414" i="2"/>
  <c r="U4414" i="2"/>
  <c r="AM4413" i="2"/>
  <c r="AE4413" i="2"/>
  <c r="U4413" i="2"/>
  <c r="AM4412" i="2"/>
  <c r="AE4412" i="2"/>
  <c r="U4412" i="2"/>
  <c r="AM4411" i="2"/>
  <c r="AE4411" i="2"/>
  <c r="U4411" i="2"/>
  <c r="AM4410" i="2"/>
  <c r="AE4410" i="2"/>
  <c r="U4410" i="2"/>
  <c r="AM4409" i="2"/>
  <c r="AE4409" i="2"/>
  <c r="U4409" i="2"/>
  <c r="AM4408" i="2"/>
  <c r="AE4408" i="2"/>
  <c r="U4408" i="2"/>
  <c r="AM4407" i="2"/>
  <c r="AE4407" i="2"/>
  <c r="U4407" i="2"/>
  <c r="AM4406" i="2"/>
  <c r="AE4406" i="2"/>
  <c r="U4406" i="2"/>
  <c r="AM4405" i="2"/>
  <c r="AE4405" i="2"/>
  <c r="U4405" i="2"/>
  <c r="AM4404" i="2"/>
  <c r="AE4404" i="2"/>
  <c r="U4404" i="2"/>
  <c r="AM4403" i="2"/>
  <c r="AE4403" i="2"/>
  <c r="U4403" i="2"/>
  <c r="AM4402" i="2"/>
  <c r="AE4402" i="2"/>
  <c r="U4402" i="2"/>
  <c r="AM4401" i="2"/>
  <c r="AE4401" i="2"/>
  <c r="U4401" i="2"/>
  <c r="AM4400" i="2"/>
  <c r="AE4400" i="2"/>
  <c r="U4400" i="2"/>
  <c r="AM4399" i="2"/>
  <c r="AE4399" i="2"/>
  <c r="U4399" i="2"/>
  <c r="AM4398" i="2"/>
  <c r="AE4398" i="2"/>
  <c r="U4398" i="2"/>
  <c r="AM4397" i="2"/>
  <c r="AE4397" i="2"/>
  <c r="U4397" i="2"/>
  <c r="AM4396" i="2"/>
  <c r="AE4396" i="2"/>
  <c r="U4396" i="2"/>
  <c r="AM4395" i="2"/>
  <c r="AE4395" i="2"/>
  <c r="U4395" i="2"/>
  <c r="AM4394" i="2"/>
  <c r="AE4394" i="2"/>
  <c r="U4394" i="2"/>
  <c r="AM4393" i="2"/>
  <c r="AE4393" i="2"/>
  <c r="U4393" i="2"/>
  <c r="AM4392" i="2"/>
  <c r="AE4392" i="2"/>
  <c r="U4392" i="2"/>
  <c r="AM4391" i="2"/>
  <c r="AE4391" i="2"/>
  <c r="U4391" i="2"/>
  <c r="AM4390" i="2"/>
  <c r="AE4390" i="2"/>
  <c r="U4390" i="2"/>
  <c r="AM4389" i="2"/>
  <c r="AE4389" i="2"/>
  <c r="U4389" i="2"/>
  <c r="AM4388" i="2"/>
  <c r="AE4388" i="2"/>
  <c r="U4388" i="2"/>
  <c r="AM4387" i="2"/>
  <c r="AE4387" i="2"/>
  <c r="U4387" i="2"/>
  <c r="AM4386" i="2"/>
  <c r="AE4386" i="2"/>
  <c r="U4386" i="2"/>
  <c r="AM4385" i="2"/>
  <c r="AE4385" i="2"/>
  <c r="U4385" i="2"/>
  <c r="AM4384" i="2"/>
  <c r="AE4384" i="2"/>
  <c r="U4384" i="2"/>
  <c r="AM4383" i="2"/>
  <c r="AE4383" i="2"/>
  <c r="U4383" i="2"/>
  <c r="AM4382" i="2"/>
  <c r="AE4382" i="2"/>
  <c r="U4382" i="2"/>
  <c r="AM4381" i="2"/>
  <c r="AE4381" i="2"/>
  <c r="U4381" i="2"/>
  <c r="AM4380" i="2"/>
  <c r="AE4380" i="2"/>
  <c r="U4380" i="2"/>
  <c r="AM4379" i="2"/>
  <c r="AE4379" i="2"/>
  <c r="U4379" i="2"/>
  <c r="AM4378" i="2"/>
  <c r="AE4378" i="2"/>
  <c r="U4378" i="2"/>
  <c r="AM4377" i="2"/>
  <c r="AE4377" i="2"/>
  <c r="U4377" i="2"/>
  <c r="AM4376" i="2"/>
  <c r="AE4376" i="2"/>
  <c r="U4376" i="2"/>
  <c r="AM4375" i="2"/>
  <c r="AE4375" i="2"/>
  <c r="U4375" i="2"/>
  <c r="AM4374" i="2"/>
  <c r="AE4374" i="2"/>
  <c r="U4374" i="2"/>
  <c r="AM4373" i="2"/>
  <c r="AE4373" i="2"/>
  <c r="U4373" i="2"/>
  <c r="AM4372" i="2"/>
  <c r="AE4372" i="2"/>
  <c r="U4372" i="2"/>
  <c r="AM4371" i="2"/>
  <c r="AE4371" i="2"/>
  <c r="U4371" i="2"/>
  <c r="AM4370" i="2"/>
  <c r="AE4370" i="2"/>
  <c r="U4370" i="2"/>
  <c r="AM4369" i="2"/>
  <c r="AE4369" i="2"/>
  <c r="U4369" i="2"/>
  <c r="AM4368" i="2"/>
  <c r="AE4368" i="2"/>
  <c r="U4368" i="2"/>
  <c r="AM4367" i="2"/>
  <c r="AE4367" i="2"/>
  <c r="U4367" i="2"/>
  <c r="AM4366" i="2"/>
  <c r="AE4366" i="2"/>
  <c r="U4366" i="2"/>
  <c r="AM4365" i="2"/>
  <c r="AE4365" i="2"/>
  <c r="U4365" i="2"/>
  <c r="AM4364" i="2"/>
  <c r="AE4364" i="2"/>
  <c r="U4364" i="2"/>
  <c r="AM4363" i="2"/>
  <c r="AE4363" i="2"/>
  <c r="U4363" i="2"/>
  <c r="AM4362" i="2"/>
  <c r="AE4362" i="2"/>
  <c r="U4362" i="2"/>
  <c r="AM4361" i="2"/>
  <c r="AE4361" i="2"/>
  <c r="U4361" i="2"/>
  <c r="AM4360" i="2"/>
  <c r="AE4360" i="2"/>
  <c r="U4360" i="2"/>
  <c r="AM4359" i="2"/>
  <c r="AE4359" i="2"/>
  <c r="U4359" i="2"/>
  <c r="AM4358" i="2"/>
  <c r="AE4358" i="2"/>
  <c r="U4358" i="2"/>
  <c r="AM4357" i="2"/>
  <c r="AE4357" i="2"/>
  <c r="U4357" i="2"/>
  <c r="AM4356" i="2"/>
  <c r="AE4356" i="2"/>
  <c r="U4356" i="2"/>
  <c r="AM4355" i="2"/>
  <c r="AE4355" i="2"/>
  <c r="U4355" i="2"/>
  <c r="AM4354" i="2"/>
  <c r="AE4354" i="2"/>
  <c r="U4354" i="2"/>
  <c r="AM4353" i="2"/>
  <c r="AE4353" i="2"/>
  <c r="U4353" i="2"/>
  <c r="AM4352" i="2"/>
  <c r="AE4352" i="2"/>
  <c r="U4352" i="2"/>
  <c r="AM4351" i="2"/>
  <c r="AE4351" i="2"/>
  <c r="U4351" i="2"/>
  <c r="AM4350" i="2"/>
  <c r="AE4350" i="2"/>
  <c r="U4350" i="2"/>
  <c r="AM4349" i="2"/>
  <c r="AE4349" i="2"/>
  <c r="U4349" i="2"/>
  <c r="AM4348" i="2"/>
  <c r="AE4348" i="2"/>
  <c r="U4348" i="2"/>
  <c r="AM4347" i="2"/>
  <c r="AE4347" i="2"/>
  <c r="U4347" i="2"/>
  <c r="AM4346" i="2"/>
  <c r="AE4346" i="2"/>
  <c r="U4346" i="2"/>
  <c r="AM4345" i="2"/>
  <c r="AE4345" i="2"/>
  <c r="U4345" i="2"/>
  <c r="AM4344" i="2"/>
  <c r="AE4344" i="2"/>
  <c r="U4344" i="2"/>
  <c r="AM4343" i="2"/>
  <c r="AE4343" i="2"/>
  <c r="U4343" i="2"/>
  <c r="AM4342" i="2"/>
  <c r="AE4342" i="2"/>
  <c r="U4342" i="2"/>
  <c r="AM4341" i="2"/>
  <c r="AE4341" i="2"/>
  <c r="U4341" i="2"/>
  <c r="AM4340" i="2"/>
  <c r="AE4340" i="2"/>
  <c r="U4340" i="2"/>
  <c r="AM4339" i="2"/>
  <c r="AE4339" i="2"/>
  <c r="U4339" i="2"/>
  <c r="AM4338" i="2"/>
  <c r="AE4338" i="2"/>
  <c r="U4338" i="2"/>
  <c r="AM4337" i="2"/>
  <c r="AE4337" i="2"/>
  <c r="U4337" i="2"/>
  <c r="AM4336" i="2"/>
  <c r="AE4336" i="2"/>
  <c r="U4336" i="2"/>
  <c r="AM4335" i="2"/>
  <c r="AE4335" i="2"/>
  <c r="U4335" i="2"/>
  <c r="AM4334" i="2"/>
  <c r="AE4334" i="2"/>
  <c r="U4334" i="2"/>
  <c r="AM4333" i="2"/>
  <c r="AE4333" i="2"/>
  <c r="U4333" i="2"/>
  <c r="AM4332" i="2"/>
  <c r="AE4332" i="2"/>
  <c r="U4332" i="2"/>
  <c r="AM4331" i="2"/>
  <c r="AE4331" i="2"/>
  <c r="U4331" i="2"/>
  <c r="AM4330" i="2"/>
  <c r="AE4330" i="2"/>
  <c r="U4330" i="2"/>
  <c r="AM4329" i="2"/>
  <c r="AE4329" i="2"/>
  <c r="U4329" i="2"/>
  <c r="AM4328" i="2"/>
  <c r="AE4328" i="2"/>
  <c r="U4328" i="2"/>
  <c r="AM4327" i="2"/>
  <c r="AE4327" i="2"/>
  <c r="U4327" i="2"/>
  <c r="AM4326" i="2"/>
  <c r="AE4326" i="2"/>
  <c r="U4326" i="2"/>
  <c r="AM4325" i="2"/>
  <c r="AE4325" i="2"/>
  <c r="U4325" i="2"/>
  <c r="AM4324" i="2"/>
  <c r="AE4324" i="2"/>
  <c r="U4324" i="2"/>
  <c r="AM4323" i="2"/>
  <c r="AE4323" i="2"/>
  <c r="U4323" i="2"/>
  <c r="AM4322" i="2"/>
  <c r="AE4322" i="2"/>
  <c r="U4322" i="2"/>
  <c r="AM4321" i="2"/>
  <c r="AE4321" i="2"/>
  <c r="U4321" i="2"/>
  <c r="AM4320" i="2"/>
  <c r="AE4320" i="2"/>
  <c r="U4320" i="2"/>
  <c r="AM4319" i="2"/>
  <c r="AE4319" i="2"/>
  <c r="U4319" i="2"/>
  <c r="AM4318" i="2"/>
  <c r="AE4318" i="2"/>
  <c r="U4318" i="2"/>
  <c r="AM4317" i="2"/>
  <c r="AE4317" i="2"/>
  <c r="U4317" i="2"/>
  <c r="AM4316" i="2"/>
  <c r="AE4316" i="2"/>
  <c r="U4316" i="2"/>
  <c r="AM4315" i="2"/>
  <c r="AE4315" i="2"/>
  <c r="U4315" i="2"/>
  <c r="AM4314" i="2"/>
  <c r="AE4314" i="2"/>
  <c r="U4314" i="2"/>
  <c r="AM4313" i="2"/>
  <c r="AE4313" i="2"/>
  <c r="U4313" i="2"/>
  <c r="AM4312" i="2"/>
  <c r="AE4312" i="2"/>
  <c r="U4312" i="2"/>
  <c r="AM4311" i="2"/>
  <c r="AE4311" i="2"/>
  <c r="U4311" i="2"/>
  <c r="AM4310" i="2"/>
  <c r="AE4310" i="2"/>
  <c r="U4310" i="2"/>
  <c r="AM4309" i="2"/>
  <c r="AE4309" i="2"/>
  <c r="U4309" i="2"/>
  <c r="AM4308" i="2"/>
  <c r="AE4308" i="2"/>
  <c r="U4308" i="2"/>
  <c r="AM4307" i="2"/>
  <c r="AE4307" i="2"/>
  <c r="U4307" i="2"/>
  <c r="AM4306" i="2"/>
  <c r="AE4306" i="2"/>
  <c r="U4306" i="2"/>
  <c r="AM4305" i="2"/>
  <c r="AE4305" i="2"/>
  <c r="U4305" i="2"/>
  <c r="AM4304" i="2"/>
  <c r="AE4304" i="2"/>
  <c r="U4304" i="2"/>
  <c r="AM4303" i="2"/>
  <c r="AE4303" i="2"/>
  <c r="U4303" i="2"/>
  <c r="AM4302" i="2"/>
  <c r="AE4302" i="2"/>
  <c r="U4302" i="2"/>
  <c r="AM4301" i="2"/>
  <c r="AE4301" i="2"/>
  <c r="U4301" i="2"/>
  <c r="AM4300" i="2"/>
  <c r="AE4300" i="2"/>
  <c r="U4300" i="2"/>
  <c r="AM4299" i="2"/>
  <c r="AE4299" i="2"/>
  <c r="U4299" i="2"/>
  <c r="AM4298" i="2"/>
  <c r="AE4298" i="2"/>
  <c r="U4298" i="2"/>
  <c r="AM4297" i="2"/>
  <c r="AE4297" i="2"/>
  <c r="U4297" i="2"/>
  <c r="AM4296" i="2"/>
  <c r="AE4296" i="2"/>
  <c r="U4296" i="2"/>
  <c r="AM4295" i="2"/>
  <c r="AE4295" i="2"/>
  <c r="U4295" i="2"/>
  <c r="AM4294" i="2"/>
  <c r="AE4294" i="2"/>
  <c r="U4294" i="2"/>
  <c r="AM4293" i="2"/>
  <c r="AE4293" i="2"/>
  <c r="U4293" i="2"/>
  <c r="AM4292" i="2"/>
  <c r="AE4292" i="2"/>
  <c r="U4292" i="2"/>
  <c r="AM4291" i="2"/>
  <c r="AE4291" i="2"/>
  <c r="U4291" i="2"/>
  <c r="AM4290" i="2"/>
  <c r="AE4290" i="2"/>
  <c r="U4290" i="2"/>
  <c r="AM4289" i="2"/>
  <c r="AE4289" i="2"/>
  <c r="U4289" i="2"/>
  <c r="AM4288" i="2"/>
  <c r="AE4288" i="2"/>
  <c r="U4288" i="2"/>
  <c r="AM4287" i="2"/>
  <c r="AE4287" i="2"/>
  <c r="U4287" i="2"/>
  <c r="AM4286" i="2"/>
  <c r="AE4286" i="2"/>
  <c r="U4286" i="2"/>
  <c r="AM4285" i="2"/>
  <c r="AE4285" i="2"/>
  <c r="U4285" i="2"/>
  <c r="AM4284" i="2"/>
  <c r="AE4284" i="2"/>
  <c r="U4284" i="2"/>
  <c r="AM4283" i="2"/>
  <c r="AE4283" i="2"/>
  <c r="U4283" i="2"/>
  <c r="AM4282" i="2"/>
  <c r="AE4282" i="2"/>
  <c r="U4282" i="2"/>
  <c r="AM4281" i="2"/>
  <c r="AE4281" i="2"/>
  <c r="U4281" i="2"/>
  <c r="AM4280" i="2"/>
  <c r="AE4280" i="2"/>
  <c r="U4280" i="2"/>
  <c r="AM4279" i="2"/>
  <c r="AE4279" i="2"/>
  <c r="U4279" i="2"/>
  <c r="AM4278" i="2"/>
  <c r="AE4278" i="2"/>
  <c r="U4278" i="2"/>
  <c r="AM4277" i="2"/>
  <c r="AE4277" i="2"/>
  <c r="U4277" i="2"/>
  <c r="AM4276" i="2"/>
  <c r="AE4276" i="2"/>
  <c r="U4276" i="2"/>
  <c r="AM4275" i="2"/>
  <c r="AE4275" i="2"/>
  <c r="U4275" i="2"/>
  <c r="AM4274" i="2"/>
  <c r="AE4274" i="2"/>
  <c r="U4274" i="2"/>
  <c r="AM4273" i="2"/>
  <c r="AE4273" i="2"/>
  <c r="U4273" i="2"/>
  <c r="AM4272" i="2"/>
  <c r="AE4272" i="2"/>
  <c r="U4272" i="2"/>
  <c r="AM4271" i="2"/>
  <c r="AE4271" i="2"/>
  <c r="U4271" i="2"/>
  <c r="AM4270" i="2"/>
  <c r="AE4270" i="2"/>
  <c r="U4270" i="2"/>
  <c r="AM4269" i="2"/>
  <c r="AE4269" i="2"/>
  <c r="U4269" i="2"/>
  <c r="AM4268" i="2"/>
  <c r="AE4268" i="2"/>
  <c r="U4268" i="2"/>
  <c r="AM4267" i="2"/>
  <c r="AE4267" i="2"/>
  <c r="U4267" i="2"/>
  <c r="AM4266" i="2"/>
  <c r="AE4266" i="2"/>
  <c r="U4266" i="2"/>
  <c r="AM4265" i="2"/>
  <c r="AE4265" i="2"/>
  <c r="U4265" i="2"/>
  <c r="AM4264" i="2"/>
  <c r="AE4264" i="2"/>
  <c r="U4264" i="2"/>
  <c r="AM4263" i="2"/>
  <c r="AE4263" i="2"/>
  <c r="U4263" i="2"/>
  <c r="AM4262" i="2"/>
  <c r="AE4262" i="2"/>
  <c r="U4262" i="2"/>
  <c r="AM4261" i="2"/>
  <c r="AE4261" i="2"/>
  <c r="U4261" i="2"/>
  <c r="AM4260" i="2"/>
  <c r="AE4260" i="2"/>
  <c r="U4260" i="2"/>
  <c r="AM4259" i="2"/>
  <c r="AE4259" i="2"/>
  <c r="U4259" i="2"/>
  <c r="AM4258" i="2"/>
  <c r="AE4258" i="2"/>
  <c r="U4258" i="2"/>
  <c r="AM4257" i="2"/>
  <c r="AE4257" i="2"/>
  <c r="U4257" i="2"/>
  <c r="AM4256" i="2"/>
  <c r="AE4256" i="2"/>
  <c r="U4256" i="2"/>
  <c r="AM4255" i="2"/>
  <c r="AE4255" i="2"/>
  <c r="U4255" i="2"/>
  <c r="AM4254" i="2"/>
  <c r="AE4254" i="2"/>
  <c r="U4254" i="2"/>
  <c r="AM4253" i="2"/>
  <c r="AE4253" i="2"/>
  <c r="U4253" i="2"/>
  <c r="AM4252" i="2"/>
  <c r="AE4252" i="2"/>
  <c r="U4252" i="2"/>
  <c r="AM4251" i="2"/>
  <c r="AE4251" i="2"/>
  <c r="U4251" i="2"/>
  <c r="AM4250" i="2"/>
  <c r="AE4250" i="2"/>
  <c r="U4250" i="2"/>
  <c r="AM4249" i="2"/>
  <c r="AE4249" i="2"/>
  <c r="U4249" i="2"/>
  <c r="AM4248" i="2"/>
  <c r="AE4248" i="2"/>
  <c r="U4248" i="2"/>
  <c r="AM4247" i="2"/>
  <c r="AE4247" i="2"/>
  <c r="U4247" i="2"/>
  <c r="AM4246" i="2"/>
  <c r="AE4246" i="2"/>
  <c r="U4246" i="2"/>
  <c r="AM4245" i="2"/>
  <c r="AE4245" i="2"/>
  <c r="U4245" i="2"/>
  <c r="AM4244" i="2"/>
  <c r="AE4244" i="2"/>
  <c r="U4244" i="2"/>
  <c r="AM4243" i="2"/>
  <c r="AE4243" i="2"/>
  <c r="U4243" i="2"/>
  <c r="AM4242" i="2"/>
  <c r="AE4242" i="2"/>
  <c r="U4242" i="2"/>
  <c r="AM4241" i="2"/>
  <c r="AE4241" i="2"/>
  <c r="U4241" i="2"/>
  <c r="AM4240" i="2"/>
  <c r="AE4240" i="2"/>
  <c r="U4240" i="2"/>
  <c r="AM4239" i="2"/>
  <c r="AE4239" i="2"/>
  <c r="U4239" i="2"/>
  <c r="AM4238" i="2"/>
  <c r="AE4238" i="2"/>
  <c r="U4238" i="2"/>
  <c r="AM4237" i="2"/>
  <c r="AE4237" i="2"/>
  <c r="U4237" i="2"/>
  <c r="AM4236" i="2"/>
  <c r="AE4236" i="2"/>
  <c r="U4236" i="2"/>
  <c r="AM4235" i="2"/>
  <c r="AE4235" i="2"/>
  <c r="U4235" i="2"/>
  <c r="AM4234" i="2"/>
  <c r="AE4234" i="2"/>
  <c r="U4234" i="2"/>
  <c r="AM4233" i="2"/>
  <c r="AE4233" i="2"/>
  <c r="U4233" i="2"/>
  <c r="AM4232" i="2"/>
  <c r="AE4232" i="2"/>
  <c r="U4232" i="2"/>
  <c r="AM4231" i="2"/>
  <c r="AE4231" i="2"/>
  <c r="U4231" i="2"/>
  <c r="AM4230" i="2"/>
  <c r="AE4230" i="2"/>
  <c r="U4230" i="2"/>
  <c r="AM4229" i="2"/>
  <c r="AE4229" i="2"/>
  <c r="U4229" i="2"/>
  <c r="AM4228" i="2"/>
  <c r="AE4228" i="2"/>
  <c r="U4228" i="2"/>
  <c r="AM4227" i="2"/>
  <c r="AE4227" i="2"/>
  <c r="U4227" i="2"/>
  <c r="AM4226" i="2"/>
  <c r="AE4226" i="2"/>
  <c r="U4226" i="2"/>
  <c r="AM4225" i="2"/>
  <c r="AE4225" i="2"/>
  <c r="U4225" i="2"/>
  <c r="AM4224" i="2"/>
  <c r="AE4224" i="2"/>
  <c r="U4224" i="2"/>
  <c r="AM4223" i="2"/>
  <c r="AE4223" i="2"/>
  <c r="U4223" i="2"/>
  <c r="AM4222" i="2"/>
  <c r="AE4222" i="2"/>
  <c r="U4222" i="2"/>
  <c r="AM4221" i="2"/>
  <c r="AE4221" i="2"/>
  <c r="U4221" i="2"/>
  <c r="AM4220" i="2"/>
  <c r="AE4220" i="2"/>
  <c r="U4220" i="2"/>
  <c r="AM4219" i="2"/>
  <c r="AE4219" i="2"/>
  <c r="U4219" i="2"/>
  <c r="AM4218" i="2"/>
  <c r="AE4218" i="2"/>
  <c r="U4218" i="2"/>
  <c r="AM4217" i="2"/>
  <c r="AE4217" i="2"/>
  <c r="U4217" i="2"/>
  <c r="AM4216" i="2"/>
  <c r="AE4216" i="2"/>
  <c r="U4216" i="2"/>
  <c r="AM4215" i="2"/>
  <c r="AE4215" i="2"/>
  <c r="U4215" i="2"/>
  <c r="AM4214" i="2"/>
  <c r="AE4214" i="2"/>
  <c r="U4214" i="2"/>
  <c r="AM4213" i="2"/>
  <c r="AE4213" i="2"/>
  <c r="U4213" i="2"/>
  <c r="AM4212" i="2"/>
  <c r="AE4212" i="2"/>
  <c r="U4212" i="2"/>
  <c r="AM4211" i="2"/>
  <c r="AE4211" i="2"/>
  <c r="U4211" i="2"/>
  <c r="AM4210" i="2"/>
  <c r="AE4210" i="2"/>
  <c r="U4210" i="2"/>
  <c r="AM4209" i="2"/>
  <c r="AE4209" i="2"/>
  <c r="U4209" i="2"/>
  <c r="AM4208" i="2"/>
  <c r="AE4208" i="2"/>
  <c r="U4208" i="2"/>
  <c r="AM4207" i="2"/>
  <c r="AE4207" i="2"/>
  <c r="U4207" i="2"/>
  <c r="AM4206" i="2"/>
  <c r="AE4206" i="2"/>
  <c r="U4206" i="2"/>
  <c r="AM4205" i="2"/>
  <c r="AE4205" i="2"/>
  <c r="U4205" i="2"/>
  <c r="AM4204" i="2"/>
  <c r="AE4204" i="2"/>
  <c r="U4204" i="2"/>
  <c r="AM4203" i="2"/>
  <c r="AE4203" i="2"/>
  <c r="U4203" i="2"/>
  <c r="AM4202" i="2"/>
  <c r="AE4202" i="2"/>
  <c r="U4202" i="2"/>
  <c r="AM4201" i="2"/>
  <c r="AE4201" i="2"/>
  <c r="U4201" i="2"/>
  <c r="AM4200" i="2"/>
  <c r="AE4200" i="2"/>
  <c r="U4200" i="2"/>
  <c r="AM4199" i="2"/>
  <c r="AE4199" i="2"/>
  <c r="U4199" i="2"/>
  <c r="AM4198" i="2"/>
  <c r="AE4198" i="2"/>
  <c r="U4198" i="2"/>
  <c r="AM4197" i="2"/>
  <c r="AE4197" i="2"/>
  <c r="U4197" i="2"/>
  <c r="AM4196" i="2"/>
  <c r="AE4196" i="2"/>
  <c r="U4196" i="2"/>
  <c r="AM4195" i="2"/>
  <c r="AE4195" i="2"/>
  <c r="U4195" i="2"/>
  <c r="AM4194" i="2"/>
  <c r="AE4194" i="2"/>
  <c r="U4194" i="2"/>
  <c r="AM4193" i="2"/>
  <c r="AE4193" i="2"/>
  <c r="U4193" i="2"/>
  <c r="AM4192" i="2"/>
  <c r="AE4192" i="2"/>
  <c r="U4192" i="2"/>
  <c r="AM4191" i="2"/>
  <c r="AE4191" i="2"/>
  <c r="U4191" i="2"/>
  <c r="AM4190" i="2"/>
  <c r="AE4190" i="2"/>
  <c r="U4190" i="2"/>
  <c r="AM4189" i="2"/>
  <c r="AE4189" i="2"/>
  <c r="U4189" i="2"/>
  <c r="AM4188" i="2"/>
  <c r="AE4188" i="2"/>
  <c r="U4188" i="2"/>
  <c r="AM4187" i="2"/>
  <c r="AE4187" i="2"/>
  <c r="U4187" i="2"/>
  <c r="AM4186" i="2"/>
  <c r="AE4186" i="2"/>
  <c r="U4186" i="2"/>
  <c r="AM4185" i="2"/>
  <c r="AE4185" i="2"/>
  <c r="U4185" i="2"/>
  <c r="AM4184" i="2"/>
  <c r="AE4184" i="2"/>
  <c r="U4184" i="2"/>
  <c r="AM4183" i="2"/>
  <c r="AE4183" i="2"/>
  <c r="U4183" i="2"/>
  <c r="AM4182" i="2"/>
  <c r="AE4182" i="2"/>
  <c r="U4182" i="2"/>
  <c r="AM4181" i="2"/>
  <c r="AE4181" i="2"/>
  <c r="U4181" i="2"/>
  <c r="AM4180" i="2"/>
  <c r="AE4180" i="2"/>
  <c r="U4180" i="2"/>
  <c r="AM4179" i="2"/>
  <c r="AE4179" i="2"/>
  <c r="U4179" i="2"/>
  <c r="AM4178" i="2"/>
  <c r="AE4178" i="2"/>
  <c r="U4178" i="2"/>
  <c r="AM4177" i="2"/>
  <c r="AE4177" i="2"/>
  <c r="U4177" i="2"/>
  <c r="AM4176" i="2"/>
  <c r="AE4176" i="2"/>
  <c r="U4176" i="2"/>
  <c r="AM4175" i="2"/>
  <c r="AE4175" i="2"/>
  <c r="U4175" i="2"/>
  <c r="AM4174" i="2"/>
  <c r="AE4174" i="2"/>
  <c r="U4174" i="2"/>
  <c r="AM4173" i="2"/>
  <c r="AE4173" i="2"/>
  <c r="U4173" i="2"/>
  <c r="AM4172" i="2"/>
  <c r="AE4172" i="2"/>
  <c r="U4172" i="2"/>
  <c r="AM4171" i="2"/>
  <c r="AE4171" i="2"/>
  <c r="U4171" i="2"/>
  <c r="AM4170" i="2"/>
  <c r="AE4170" i="2"/>
  <c r="U4170" i="2"/>
  <c r="AM4169" i="2"/>
  <c r="AE4169" i="2"/>
  <c r="U4169" i="2"/>
  <c r="AM4168" i="2"/>
  <c r="AE4168" i="2"/>
  <c r="U4168" i="2"/>
  <c r="AM4167" i="2"/>
  <c r="AE4167" i="2"/>
  <c r="U4167" i="2"/>
  <c r="AM4166" i="2"/>
  <c r="AE4166" i="2"/>
  <c r="U4166" i="2"/>
  <c r="AM4165" i="2"/>
  <c r="AE4165" i="2"/>
  <c r="U4165" i="2"/>
  <c r="AM4164" i="2"/>
  <c r="AE4164" i="2"/>
  <c r="U4164" i="2"/>
  <c r="AM4163" i="2"/>
  <c r="AE4163" i="2"/>
  <c r="U4163" i="2"/>
  <c r="AM4162" i="2"/>
  <c r="AE4162" i="2"/>
  <c r="U4162" i="2"/>
  <c r="AM4161" i="2"/>
  <c r="AE4161" i="2"/>
  <c r="U4161" i="2"/>
  <c r="AM4160" i="2"/>
  <c r="AE4160" i="2"/>
  <c r="U4160" i="2"/>
  <c r="AM4159" i="2"/>
  <c r="AE4159" i="2"/>
  <c r="U4159" i="2"/>
  <c r="AM4158" i="2"/>
  <c r="AE4158" i="2"/>
  <c r="U4158" i="2"/>
  <c r="AM4157" i="2"/>
  <c r="AE4157" i="2"/>
  <c r="U4157" i="2"/>
  <c r="AM4156" i="2"/>
  <c r="AE4156" i="2"/>
  <c r="U4156" i="2"/>
  <c r="AM4155" i="2"/>
  <c r="AE4155" i="2"/>
  <c r="U4155" i="2"/>
  <c r="AM4154" i="2"/>
  <c r="AE4154" i="2"/>
  <c r="U4154" i="2"/>
  <c r="AM4153" i="2"/>
  <c r="AE4153" i="2"/>
  <c r="U4153" i="2"/>
  <c r="AM4152" i="2"/>
  <c r="AE4152" i="2"/>
  <c r="U4152" i="2"/>
  <c r="AM4151" i="2"/>
  <c r="AE4151" i="2"/>
  <c r="U4151" i="2"/>
  <c r="AM4150" i="2"/>
  <c r="AE4150" i="2"/>
  <c r="U4150" i="2"/>
  <c r="AM4149" i="2"/>
  <c r="AE4149" i="2"/>
  <c r="U4149" i="2"/>
  <c r="AM4148" i="2"/>
  <c r="AE4148" i="2"/>
  <c r="U4148" i="2"/>
  <c r="AM4147" i="2"/>
  <c r="AE4147" i="2"/>
  <c r="U4147" i="2"/>
  <c r="AM4146" i="2"/>
  <c r="AE4146" i="2"/>
  <c r="U4146" i="2"/>
  <c r="AM4145" i="2"/>
  <c r="AE4145" i="2"/>
  <c r="U4145" i="2"/>
  <c r="AM4144" i="2"/>
  <c r="AE4144" i="2"/>
  <c r="U4144" i="2"/>
  <c r="AM4143" i="2"/>
  <c r="AE4143" i="2"/>
  <c r="U4143" i="2"/>
  <c r="AM4142" i="2"/>
  <c r="AE4142" i="2"/>
  <c r="U4142" i="2"/>
  <c r="AM4141" i="2"/>
  <c r="AE4141" i="2"/>
  <c r="U4141" i="2"/>
  <c r="AM4140" i="2"/>
  <c r="AE4140" i="2"/>
  <c r="U4140" i="2"/>
  <c r="AM4139" i="2"/>
  <c r="AE4139" i="2"/>
  <c r="U4139" i="2"/>
  <c r="AM4138" i="2"/>
  <c r="AE4138" i="2"/>
  <c r="U4138" i="2"/>
  <c r="AM4137" i="2"/>
  <c r="AE4137" i="2"/>
  <c r="U4137" i="2"/>
  <c r="AM4136" i="2"/>
  <c r="AE4136" i="2"/>
  <c r="U4136" i="2"/>
  <c r="AM4135" i="2"/>
  <c r="AE4135" i="2"/>
  <c r="U4135" i="2"/>
  <c r="AM4134" i="2"/>
  <c r="AE4134" i="2"/>
  <c r="U4134" i="2"/>
  <c r="AM4133" i="2"/>
  <c r="AE4133" i="2"/>
  <c r="U4133" i="2"/>
  <c r="AM4132" i="2"/>
  <c r="AE4132" i="2"/>
  <c r="U4132" i="2"/>
  <c r="AM4131" i="2"/>
  <c r="AE4131" i="2"/>
  <c r="U4131" i="2"/>
  <c r="AM4130" i="2"/>
  <c r="AE4130" i="2"/>
  <c r="U4130" i="2"/>
  <c r="AM4129" i="2"/>
  <c r="AE4129" i="2"/>
  <c r="U4129" i="2"/>
  <c r="AM4128" i="2"/>
  <c r="AE4128" i="2"/>
  <c r="U4128" i="2"/>
  <c r="AM4127" i="2"/>
  <c r="AE4127" i="2"/>
  <c r="U4127" i="2"/>
  <c r="AM4126" i="2"/>
  <c r="AE4126" i="2"/>
  <c r="U4126" i="2"/>
  <c r="AM4125" i="2"/>
  <c r="AE4125" i="2"/>
  <c r="U4125" i="2"/>
  <c r="AM4124" i="2"/>
  <c r="AE4124" i="2"/>
  <c r="U4124" i="2"/>
  <c r="AM4123" i="2"/>
  <c r="AE4123" i="2"/>
  <c r="U4123" i="2"/>
  <c r="AM4122" i="2"/>
  <c r="AE4122" i="2"/>
  <c r="U4122" i="2"/>
  <c r="AM4121" i="2"/>
  <c r="AE4121" i="2"/>
  <c r="U4121" i="2"/>
  <c r="AM4120" i="2"/>
  <c r="AE4120" i="2"/>
  <c r="U4120" i="2"/>
  <c r="AM4119" i="2"/>
  <c r="AE4119" i="2"/>
  <c r="U4119" i="2"/>
  <c r="AM4118" i="2"/>
  <c r="AE4118" i="2"/>
  <c r="U4118" i="2"/>
  <c r="AM4117" i="2"/>
  <c r="AE4117" i="2"/>
  <c r="U4117" i="2"/>
  <c r="AM4116" i="2"/>
  <c r="AE4116" i="2"/>
  <c r="U4116" i="2"/>
  <c r="AM4115" i="2"/>
  <c r="AE4115" i="2"/>
  <c r="U4115" i="2"/>
  <c r="AM4114" i="2"/>
  <c r="AE4114" i="2"/>
  <c r="U4114" i="2"/>
  <c r="AM4113" i="2"/>
  <c r="AE4113" i="2"/>
  <c r="U4113" i="2"/>
  <c r="AM4112" i="2"/>
  <c r="AE4112" i="2"/>
  <c r="U4112" i="2"/>
  <c r="AM4111" i="2"/>
  <c r="AE4111" i="2"/>
  <c r="U4111" i="2"/>
  <c r="AM4110" i="2"/>
  <c r="AE4110" i="2"/>
  <c r="U4110" i="2"/>
  <c r="AM4109" i="2"/>
  <c r="AE4109" i="2"/>
  <c r="U4109" i="2"/>
  <c r="AM4108" i="2"/>
  <c r="AE4108" i="2"/>
  <c r="U4108" i="2"/>
  <c r="AM4107" i="2"/>
  <c r="AE4107" i="2"/>
  <c r="U4107" i="2"/>
  <c r="AM4106" i="2"/>
  <c r="AE4106" i="2"/>
  <c r="U4106" i="2"/>
  <c r="AM4105" i="2"/>
  <c r="AE4105" i="2"/>
  <c r="U4105" i="2"/>
  <c r="AM4104" i="2"/>
  <c r="AE4104" i="2"/>
  <c r="U4104" i="2"/>
  <c r="AM4103" i="2"/>
  <c r="AE4103" i="2"/>
  <c r="U4103" i="2"/>
  <c r="AM4102" i="2"/>
  <c r="AE4102" i="2"/>
  <c r="U4102" i="2"/>
  <c r="AM4101" i="2"/>
  <c r="AE4101" i="2"/>
  <c r="U4101" i="2"/>
  <c r="AM4100" i="2"/>
  <c r="AE4100" i="2"/>
  <c r="U4100" i="2"/>
  <c r="AM4099" i="2"/>
  <c r="AE4099" i="2"/>
  <c r="U4099" i="2"/>
  <c r="AM4098" i="2"/>
  <c r="AE4098" i="2"/>
  <c r="U4098" i="2"/>
  <c r="AM4097" i="2"/>
  <c r="AE4097" i="2"/>
  <c r="U4097" i="2"/>
  <c r="AM4096" i="2"/>
  <c r="AE4096" i="2"/>
  <c r="U4096" i="2"/>
  <c r="AM4095" i="2"/>
  <c r="AE4095" i="2"/>
  <c r="U4095" i="2"/>
  <c r="AM4094" i="2"/>
  <c r="AE4094" i="2"/>
  <c r="U4094" i="2"/>
  <c r="AM4093" i="2"/>
  <c r="AE4093" i="2"/>
  <c r="U4093" i="2"/>
  <c r="AM4092" i="2"/>
  <c r="AE4092" i="2"/>
  <c r="U4092" i="2"/>
  <c r="AM4091" i="2"/>
  <c r="AE4091" i="2"/>
  <c r="U4091" i="2"/>
  <c r="AM4090" i="2"/>
  <c r="AE4090" i="2"/>
  <c r="U4090" i="2"/>
  <c r="AM4089" i="2"/>
  <c r="AE4089" i="2"/>
  <c r="U4089" i="2"/>
  <c r="AM4088" i="2"/>
  <c r="AE4088" i="2"/>
  <c r="U4088" i="2"/>
  <c r="AM4087" i="2"/>
  <c r="AE4087" i="2"/>
  <c r="U4087" i="2"/>
  <c r="AM4086" i="2"/>
  <c r="AE4086" i="2"/>
  <c r="U4086" i="2"/>
  <c r="AM4085" i="2"/>
  <c r="AE4085" i="2"/>
  <c r="U4085" i="2"/>
  <c r="AM4084" i="2"/>
  <c r="AE4084" i="2"/>
  <c r="U4084" i="2"/>
  <c r="AM4083" i="2"/>
  <c r="AE4083" i="2"/>
  <c r="U4083" i="2"/>
  <c r="AM4082" i="2"/>
  <c r="AE4082" i="2"/>
  <c r="U4082" i="2"/>
  <c r="AM4081" i="2"/>
  <c r="AE4081" i="2"/>
  <c r="U4081" i="2"/>
  <c r="AM4080" i="2"/>
  <c r="AE4080" i="2"/>
  <c r="U4080" i="2"/>
  <c r="AM4079" i="2"/>
  <c r="AE4079" i="2"/>
  <c r="U4079" i="2"/>
  <c r="AM4078" i="2"/>
  <c r="AE4078" i="2"/>
  <c r="U4078" i="2"/>
  <c r="AM4077" i="2"/>
  <c r="AE4077" i="2"/>
  <c r="U4077" i="2"/>
  <c r="AM4076" i="2"/>
  <c r="AE4076" i="2"/>
  <c r="U4076" i="2"/>
  <c r="AM4075" i="2"/>
  <c r="AE4075" i="2"/>
  <c r="U4075" i="2"/>
  <c r="AM4074" i="2"/>
  <c r="AE4074" i="2"/>
  <c r="U4074" i="2"/>
  <c r="AM4073" i="2"/>
  <c r="AE4073" i="2"/>
  <c r="U4073" i="2"/>
  <c r="AM4072" i="2"/>
  <c r="AE4072" i="2"/>
  <c r="U4072" i="2"/>
  <c r="AM4071" i="2"/>
  <c r="AE4071" i="2"/>
  <c r="U4071" i="2"/>
  <c r="AM4070" i="2"/>
  <c r="AE4070" i="2"/>
  <c r="U4070" i="2"/>
  <c r="AM4069" i="2"/>
  <c r="AE4069" i="2"/>
  <c r="U4069" i="2"/>
  <c r="AM4068" i="2"/>
  <c r="AE4068" i="2"/>
  <c r="U4068" i="2"/>
  <c r="AM4067" i="2"/>
  <c r="AE4067" i="2"/>
  <c r="U4067" i="2"/>
  <c r="AM4066" i="2"/>
  <c r="AE4066" i="2"/>
  <c r="U4066" i="2"/>
  <c r="AM4065" i="2"/>
  <c r="AE4065" i="2"/>
  <c r="U4065" i="2"/>
  <c r="AM4064" i="2"/>
  <c r="AE4064" i="2"/>
  <c r="U4064" i="2"/>
  <c r="AM4063" i="2"/>
  <c r="AE4063" i="2"/>
  <c r="U4063" i="2"/>
  <c r="AM4062" i="2"/>
  <c r="AE4062" i="2"/>
  <c r="U4062" i="2"/>
  <c r="AM4061" i="2"/>
  <c r="AE4061" i="2"/>
  <c r="U4061" i="2"/>
  <c r="AM4060" i="2"/>
  <c r="AE4060" i="2"/>
  <c r="U4060" i="2"/>
  <c r="AM4059" i="2"/>
  <c r="AE4059" i="2"/>
  <c r="U4059" i="2"/>
  <c r="AM4058" i="2"/>
  <c r="AE4058" i="2"/>
  <c r="U4058" i="2"/>
  <c r="AM4057" i="2"/>
  <c r="AE4057" i="2"/>
  <c r="U4057" i="2"/>
  <c r="AM4056" i="2"/>
  <c r="AE4056" i="2"/>
  <c r="U4056" i="2"/>
  <c r="AM4055" i="2"/>
  <c r="AE4055" i="2"/>
  <c r="U4055" i="2"/>
  <c r="AM4054" i="2"/>
  <c r="AE4054" i="2"/>
  <c r="U4054" i="2"/>
  <c r="AM4053" i="2"/>
  <c r="AE4053" i="2"/>
  <c r="U4053" i="2"/>
  <c r="AM4052" i="2"/>
  <c r="AE4052" i="2"/>
  <c r="U4052" i="2"/>
  <c r="AM4051" i="2"/>
  <c r="AE4051" i="2"/>
  <c r="U4051" i="2"/>
  <c r="AM4050" i="2"/>
  <c r="AE4050" i="2"/>
  <c r="U4050" i="2"/>
  <c r="AM4049" i="2"/>
  <c r="AE4049" i="2"/>
  <c r="U4049" i="2"/>
  <c r="AM4048" i="2"/>
  <c r="AE4048" i="2"/>
  <c r="U4048" i="2"/>
  <c r="AM4047" i="2"/>
  <c r="AE4047" i="2"/>
  <c r="U4047" i="2"/>
  <c r="AM4046" i="2"/>
  <c r="AE4046" i="2"/>
  <c r="U4046" i="2"/>
  <c r="AM4045" i="2"/>
  <c r="AE4045" i="2"/>
  <c r="U4045" i="2"/>
  <c r="AM4044" i="2"/>
  <c r="AE4044" i="2"/>
  <c r="U4044" i="2"/>
  <c r="AM4043" i="2"/>
  <c r="AE4043" i="2"/>
  <c r="U4043" i="2"/>
  <c r="AM4042" i="2"/>
  <c r="AE4042" i="2"/>
  <c r="U4042" i="2"/>
  <c r="AM4041" i="2"/>
  <c r="AE4041" i="2"/>
  <c r="U4041" i="2"/>
  <c r="AM4040" i="2"/>
  <c r="AE4040" i="2"/>
  <c r="U4040" i="2"/>
  <c r="AM4039" i="2"/>
  <c r="AE4039" i="2"/>
  <c r="U4039" i="2"/>
  <c r="AM4038" i="2"/>
  <c r="AE4038" i="2"/>
  <c r="U4038" i="2"/>
  <c r="AM4037" i="2"/>
  <c r="AE4037" i="2"/>
  <c r="U4037" i="2"/>
  <c r="AM4036" i="2"/>
  <c r="AE4036" i="2"/>
  <c r="U4036" i="2"/>
  <c r="AM4035" i="2"/>
  <c r="AE4035" i="2"/>
  <c r="U4035" i="2"/>
  <c r="AM4034" i="2"/>
  <c r="AE4034" i="2"/>
  <c r="U4034" i="2"/>
  <c r="AM4033" i="2"/>
  <c r="AE4033" i="2"/>
  <c r="U4033" i="2"/>
  <c r="AM4032" i="2"/>
  <c r="AE4032" i="2"/>
  <c r="U4032" i="2"/>
  <c r="AM4031" i="2"/>
  <c r="AE4031" i="2"/>
  <c r="U4031" i="2"/>
  <c r="AM4030" i="2"/>
  <c r="AE4030" i="2"/>
  <c r="U4030" i="2"/>
  <c r="AM4029" i="2"/>
  <c r="AE4029" i="2"/>
  <c r="U4029" i="2"/>
  <c r="AM4028" i="2"/>
  <c r="AE4028" i="2"/>
  <c r="U4028" i="2"/>
  <c r="AM4027" i="2"/>
  <c r="AE4027" i="2"/>
  <c r="U4027" i="2"/>
  <c r="AM4026" i="2"/>
  <c r="AE4026" i="2"/>
  <c r="U4026" i="2"/>
  <c r="AM4025" i="2"/>
  <c r="AE4025" i="2"/>
  <c r="U4025" i="2"/>
  <c r="AM4024" i="2"/>
  <c r="AE4024" i="2"/>
  <c r="U4024" i="2"/>
  <c r="AM4023" i="2"/>
  <c r="AE4023" i="2"/>
  <c r="U4023" i="2"/>
  <c r="AM4022" i="2"/>
  <c r="AE4022" i="2"/>
  <c r="U4022" i="2"/>
  <c r="AM4021" i="2"/>
  <c r="AE4021" i="2"/>
  <c r="U4021" i="2"/>
  <c r="AM4020" i="2"/>
  <c r="AE4020" i="2"/>
  <c r="U4020" i="2"/>
  <c r="AM4019" i="2"/>
  <c r="AE4019" i="2"/>
  <c r="U4019" i="2"/>
  <c r="AM4018" i="2"/>
  <c r="AE4018" i="2"/>
  <c r="U4018" i="2"/>
  <c r="AM4017" i="2"/>
  <c r="AE4017" i="2"/>
  <c r="U4017" i="2"/>
  <c r="AM4016" i="2"/>
  <c r="AE4016" i="2"/>
  <c r="U4016" i="2"/>
  <c r="AM4015" i="2"/>
  <c r="AE4015" i="2"/>
  <c r="U4015" i="2"/>
  <c r="AM4014" i="2"/>
  <c r="AE4014" i="2"/>
  <c r="U4014" i="2"/>
  <c r="AM4013" i="2"/>
  <c r="AE4013" i="2"/>
  <c r="U4013" i="2"/>
  <c r="AM4012" i="2"/>
  <c r="AE4012" i="2"/>
  <c r="U4012" i="2"/>
  <c r="AM4011" i="2"/>
  <c r="AE4011" i="2"/>
  <c r="U4011" i="2"/>
  <c r="AM4010" i="2"/>
  <c r="AE4010" i="2"/>
  <c r="U4010" i="2"/>
  <c r="AM4009" i="2"/>
  <c r="AE4009" i="2"/>
  <c r="U4009" i="2"/>
  <c r="AM4008" i="2"/>
  <c r="AE4008" i="2"/>
  <c r="U4008" i="2"/>
  <c r="AM4007" i="2"/>
  <c r="AE4007" i="2"/>
  <c r="U4007" i="2"/>
  <c r="AM4006" i="2"/>
  <c r="AE4006" i="2"/>
  <c r="U4006" i="2"/>
  <c r="AM4005" i="2"/>
  <c r="AE4005" i="2"/>
  <c r="U4005" i="2"/>
  <c r="AM4004" i="2"/>
  <c r="AE4004" i="2"/>
  <c r="U4004" i="2"/>
  <c r="AM4003" i="2"/>
  <c r="AE4003" i="2"/>
  <c r="U4003" i="2"/>
  <c r="AM4002" i="2"/>
  <c r="AE4002" i="2"/>
  <c r="U4002" i="2"/>
  <c r="AM4001" i="2"/>
  <c r="AE4001" i="2"/>
  <c r="U4001" i="2"/>
  <c r="AM4000" i="2"/>
  <c r="AE4000" i="2"/>
  <c r="U4000" i="2"/>
  <c r="AM3999" i="2"/>
  <c r="AE3999" i="2"/>
  <c r="U3999" i="2"/>
  <c r="AM3998" i="2"/>
  <c r="AE3998" i="2"/>
  <c r="U3998" i="2"/>
  <c r="AM3997" i="2"/>
  <c r="AE3997" i="2"/>
  <c r="U3997" i="2"/>
  <c r="AM3996" i="2"/>
  <c r="AE3996" i="2"/>
  <c r="U3996" i="2"/>
  <c r="AM3995" i="2"/>
  <c r="AE3995" i="2"/>
  <c r="U3995" i="2"/>
  <c r="AM3994" i="2"/>
  <c r="AE3994" i="2"/>
  <c r="U3994" i="2"/>
  <c r="AM3993" i="2"/>
  <c r="AE3993" i="2"/>
  <c r="U3993" i="2"/>
  <c r="AM3992" i="2"/>
  <c r="AE3992" i="2"/>
  <c r="U3992" i="2"/>
  <c r="AM3991" i="2"/>
  <c r="AE3991" i="2"/>
  <c r="U3991" i="2"/>
  <c r="AM3990" i="2"/>
  <c r="AE3990" i="2"/>
  <c r="U3990" i="2"/>
  <c r="AM3989" i="2"/>
  <c r="AE3989" i="2"/>
  <c r="U3989" i="2"/>
  <c r="AM3988" i="2"/>
  <c r="AE3988" i="2"/>
  <c r="U3988" i="2"/>
  <c r="AM3987" i="2"/>
  <c r="AE3987" i="2"/>
  <c r="U3987" i="2"/>
  <c r="AM3986" i="2"/>
  <c r="AE3986" i="2"/>
  <c r="U3986" i="2"/>
  <c r="AM3985" i="2"/>
  <c r="AE3985" i="2"/>
  <c r="U3985" i="2"/>
  <c r="AM3984" i="2"/>
  <c r="AE3984" i="2"/>
  <c r="U3984" i="2"/>
  <c r="AM3983" i="2"/>
  <c r="AE3983" i="2"/>
  <c r="U3983" i="2"/>
  <c r="AM3982" i="2"/>
  <c r="AE3982" i="2"/>
  <c r="U3982" i="2"/>
  <c r="AM3981" i="2"/>
  <c r="AE3981" i="2"/>
  <c r="U3981" i="2"/>
  <c r="AM3980" i="2"/>
  <c r="AE3980" i="2"/>
  <c r="U3980" i="2"/>
  <c r="AM3979" i="2"/>
  <c r="AE3979" i="2"/>
  <c r="U3979" i="2"/>
  <c r="AM3978" i="2"/>
  <c r="AE3978" i="2"/>
  <c r="U3978" i="2"/>
  <c r="AM3977" i="2"/>
  <c r="AE3977" i="2"/>
  <c r="U3977" i="2"/>
  <c r="AM3976" i="2"/>
  <c r="AE3976" i="2"/>
  <c r="U3976" i="2"/>
  <c r="AM3975" i="2"/>
  <c r="AE3975" i="2"/>
  <c r="U3975" i="2"/>
  <c r="AM3974" i="2"/>
  <c r="AE3974" i="2"/>
  <c r="U3974" i="2"/>
  <c r="AM3973" i="2"/>
  <c r="AE3973" i="2"/>
  <c r="U3973" i="2"/>
  <c r="AM3972" i="2"/>
  <c r="AE3972" i="2"/>
  <c r="U3972" i="2"/>
  <c r="AM3971" i="2"/>
  <c r="AE3971" i="2"/>
  <c r="U3971" i="2"/>
  <c r="AM3970" i="2"/>
  <c r="AE3970" i="2"/>
  <c r="U3970" i="2"/>
  <c r="AM3969" i="2"/>
  <c r="AE3969" i="2"/>
  <c r="U3969" i="2"/>
  <c r="AM3968" i="2"/>
  <c r="AE3968" i="2"/>
  <c r="U3968" i="2"/>
  <c r="AM3967" i="2"/>
  <c r="AE3967" i="2"/>
  <c r="U3967" i="2"/>
  <c r="AM3966" i="2"/>
  <c r="AE3966" i="2"/>
  <c r="U3966" i="2"/>
  <c r="AM3965" i="2"/>
  <c r="AE3965" i="2"/>
  <c r="U3965" i="2"/>
  <c r="AM3964" i="2"/>
  <c r="AE3964" i="2"/>
  <c r="U3964" i="2"/>
  <c r="AM3963" i="2"/>
  <c r="AE3963" i="2"/>
  <c r="U3963" i="2"/>
  <c r="AM3962" i="2"/>
  <c r="AE3962" i="2"/>
  <c r="U3962" i="2"/>
  <c r="AM3961" i="2"/>
  <c r="AE3961" i="2"/>
  <c r="U3961" i="2"/>
  <c r="AM3960" i="2"/>
  <c r="AE3960" i="2"/>
  <c r="U3960" i="2"/>
  <c r="AM3959" i="2"/>
  <c r="AE3959" i="2"/>
  <c r="U3959" i="2"/>
  <c r="AM3958" i="2"/>
  <c r="AE3958" i="2"/>
  <c r="U3958" i="2"/>
  <c r="AM3957" i="2"/>
  <c r="AE3957" i="2"/>
  <c r="U3957" i="2"/>
  <c r="AM3956" i="2"/>
  <c r="AE3956" i="2"/>
  <c r="U3956" i="2"/>
  <c r="AM3955" i="2"/>
  <c r="AE3955" i="2"/>
  <c r="U3955" i="2"/>
  <c r="AM3954" i="2"/>
  <c r="AE3954" i="2"/>
  <c r="U3954" i="2"/>
  <c r="AM3953" i="2"/>
  <c r="AE3953" i="2"/>
  <c r="U3953" i="2"/>
  <c r="AM3952" i="2"/>
  <c r="AE3952" i="2"/>
  <c r="U3952" i="2"/>
  <c r="AM3951" i="2"/>
  <c r="AE3951" i="2"/>
  <c r="U3951" i="2"/>
  <c r="AM3950" i="2"/>
  <c r="AE3950" i="2"/>
  <c r="U3950" i="2"/>
  <c r="AM3949" i="2"/>
  <c r="AE3949" i="2"/>
  <c r="U3949" i="2"/>
  <c r="AM3948" i="2"/>
  <c r="AE3948" i="2"/>
  <c r="U3948" i="2"/>
  <c r="AM3947" i="2"/>
  <c r="AE3947" i="2"/>
  <c r="U3947" i="2"/>
  <c r="AM3946" i="2"/>
  <c r="AE3946" i="2"/>
  <c r="U3946" i="2"/>
  <c r="AM3945" i="2"/>
  <c r="AE3945" i="2"/>
  <c r="U3945" i="2"/>
  <c r="AM3944" i="2"/>
  <c r="AE3944" i="2"/>
  <c r="U3944" i="2"/>
  <c r="AM3943" i="2"/>
  <c r="AE3943" i="2"/>
  <c r="U3943" i="2"/>
  <c r="AM3942" i="2"/>
  <c r="AE3942" i="2"/>
  <c r="U3942" i="2"/>
  <c r="AM3941" i="2"/>
  <c r="AE3941" i="2"/>
  <c r="U3941" i="2"/>
  <c r="AM3940" i="2"/>
  <c r="AE3940" i="2"/>
  <c r="U3940" i="2"/>
  <c r="AM3939" i="2"/>
  <c r="AE3939" i="2"/>
  <c r="U3939" i="2"/>
  <c r="AM3938" i="2"/>
  <c r="AE3938" i="2"/>
  <c r="U3938" i="2"/>
  <c r="AM3937" i="2"/>
  <c r="AE3937" i="2"/>
  <c r="U3937" i="2"/>
  <c r="AM3936" i="2"/>
  <c r="AE3936" i="2"/>
  <c r="U3936" i="2"/>
  <c r="AM3935" i="2"/>
  <c r="AE3935" i="2"/>
  <c r="U3935" i="2"/>
  <c r="AM3934" i="2"/>
  <c r="AE3934" i="2"/>
  <c r="U3934" i="2"/>
  <c r="AM3933" i="2"/>
  <c r="AE3933" i="2"/>
  <c r="U3933" i="2"/>
  <c r="AM3932" i="2"/>
  <c r="AE3932" i="2"/>
  <c r="U3932" i="2"/>
  <c r="AM3931" i="2"/>
  <c r="AE3931" i="2"/>
  <c r="U3931" i="2"/>
  <c r="AM3930" i="2"/>
  <c r="AE3930" i="2"/>
  <c r="U3930" i="2"/>
  <c r="AM3929" i="2"/>
  <c r="AE3929" i="2"/>
  <c r="U3929" i="2"/>
  <c r="AM3928" i="2"/>
  <c r="AE3928" i="2"/>
  <c r="U3928" i="2"/>
  <c r="AM3927" i="2"/>
  <c r="AE3927" i="2"/>
  <c r="U3927" i="2"/>
  <c r="AM3926" i="2"/>
  <c r="AE3926" i="2"/>
  <c r="U3926" i="2"/>
  <c r="AM3925" i="2"/>
  <c r="AE3925" i="2"/>
  <c r="U3925" i="2"/>
  <c r="AM3924" i="2"/>
  <c r="AE3924" i="2"/>
  <c r="U3924" i="2"/>
  <c r="AM3923" i="2"/>
  <c r="AE3923" i="2"/>
  <c r="U3923" i="2"/>
  <c r="AM3922" i="2"/>
  <c r="AE3922" i="2"/>
  <c r="U3922" i="2"/>
  <c r="AM3921" i="2"/>
  <c r="AE3921" i="2"/>
  <c r="U3921" i="2"/>
  <c r="AM3920" i="2"/>
  <c r="AE3920" i="2"/>
  <c r="U3920" i="2"/>
  <c r="AM3919" i="2"/>
  <c r="AE3919" i="2"/>
  <c r="U3919" i="2"/>
  <c r="AM3918" i="2"/>
  <c r="AE3918" i="2"/>
  <c r="U3918" i="2"/>
  <c r="AM3917" i="2"/>
  <c r="AE3917" i="2"/>
  <c r="U3917" i="2"/>
  <c r="AM3916" i="2"/>
  <c r="AE3916" i="2"/>
  <c r="U3916" i="2"/>
  <c r="AM3915" i="2"/>
  <c r="AE3915" i="2"/>
  <c r="U3915" i="2"/>
  <c r="AM3914" i="2"/>
  <c r="AE3914" i="2"/>
  <c r="U3914" i="2"/>
  <c r="AM3913" i="2"/>
  <c r="AE3913" i="2"/>
  <c r="U3913" i="2"/>
  <c r="AM3912" i="2"/>
  <c r="AE3912" i="2"/>
  <c r="U3912" i="2"/>
  <c r="AM3911" i="2"/>
  <c r="AE3911" i="2"/>
  <c r="U3911" i="2"/>
  <c r="AM3910" i="2"/>
  <c r="AE3910" i="2"/>
  <c r="U3910" i="2"/>
  <c r="AM3909" i="2"/>
  <c r="AE3909" i="2"/>
  <c r="U3909" i="2"/>
  <c r="AM3908" i="2"/>
  <c r="AE3908" i="2"/>
  <c r="U3908" i="2"/>
  <c r="AM3907" i="2"/>
  <c r="AE3907" i="2"/>
  <c r="U3907" i="2"/>
  <c r="AM3906" i="2"/>
  <c r="AE3906" i="2"/>
  <c r="U3906" i="2"/>
  <c r="AM3905" i="2"/>
  <c r="AE3905" i="2"/>
  <c r="U3905" i="2"/>
  <c r="AM3904" i="2"/>
  <c r="AE3904" i="2"/>
  <c r="U3904" i="2"/>
  <c r="AM3903" i="2"/>
  <c r="AE3903" i="2"/>
  <c r="U3903" i="2"/>
  <c r="AM3902" i="2"/>
  <c r="AE3902" i="2"/>
  <c r="U3902" i="2"/>
  <c r="AM3901" i="2"/>
  <c r="AE3901" i="2"/>
  <c r="U3901" i="2"/>
  <c r="AM3900" i="2"/>
  <c r="AE3900" i="2"/>
  <c r="U3900" i="2"/>
  <c r="AM3899" i="2"/>
  <c r="AE3899" i="2"/>
  <c r="U3899" i="2"/>
  <c r="AM3898" i="2"/>
  <c r="AE3898" i="2"/>
  <c r="U3898" i="2"/>
  <c r="AM3897" i="2"/>
  <c r="AE3897" i="2"/>
  <c r="U3897" i="2"/>
  <c r="AM3896" i="2"/>
  <c r="AE3896" i="2"/>
  <c r="U3896" i="2"/>
  <c r="AM3895" i="2"/>
  <c r="AE3895" i="2"/>
  <c r="U3895" i="2"/>
  <c r="AM3894" i="2"/>
  <c r="AE3894" i="2"/>
  <c r="U3894" i="2"/>
  <c r="AM3893" i="2"/>
  <c r="AE3893" i="2"/>
  <c r="U3893" i="2"/>
  <c r="AM3892" i="2"/>
  <c r="AE3892" i="2"/>
  <c r="U3892" i="2"/>
  <c r="AM3891" i="2"/>
  <c r="AE3891" i="2"/>
  <c r="U3891" i="2"/>
  <c r="AM3890" i="2"/>
  <c r="AE3890" i="2"/>
  <c r="U3890" i="2"/>
  <c r="AM3889" i="2"/>
  <c r="AE3889" i="2"/>
  <c r="U3889" i="2"/>
  <c r="AM3888" i="2"/>
  <c r="AE3888" i="2"/>
  <c r="U3888" i="2"/>
  <c r="AM3887" i="2"/>
  <c r="AE3887" i="2"/>
  <c r="U3887" i="2"/>
  <c r="AM3886" i="2"/>
  <c r="AE3886" i="2"/>
  <c r="U3886" i="2"/>
  <c r="AM3885" i="2"/>
  <c r="AE3885" i="2"/>
  <c r="U3885" i="2"/>
  <c r="AM3884" i="2"/>
  <c r="AE3884" i="2"/>
  <c r="U3884" i="2"/>
  <c r="AM3883" i="2"/>
  <c r="AE3883" i="2"/>
  <c r="U3883" i="2"/>
  <c r="AM3882" i="2"/>
  <c r="AE3882" i="2"/>
  <c r="U3882" i="2"/>
  <c r="AM3881" i="2"/>
  <c r="AE3881" i="2"/>
  <c r="U3881" i="2"/>
  <c r="AM3880" i="2"/>
  <c r="AE3880" i="2"/>
  <c r="U3880" i="2"/>
  <c r="AM3879" i="2"/>
  <c r="AE3879" i="2"/>
  <c r="U3879" i="2"/>
  <c r="AM3878" i="2"/>
  <c r="AE3878" i="2"/>
  <c r="U3878" i="2"/>
  <c r="AM3877" i="2"/>
  <c r="AE3877" i="2"/>
  <c r="U3877" i="2"/>
  <c r="AM3876" i="2"/>
  <c r="AE3876" i="2"/>
  <c r="U3876" i="2"/>
  <c r="AM3875" i="2"/>
  <c r="AE3875" i="2"/>
  <c r="U3875" i="2"/>
  <c r="AM3874" i="2"/>
  <c r="AE3874" i="2"/>
  <c r="U3874" i="2"/>
  <c r="AM3873" i="2"/>
  <c r="AE3873" i="2"/>
  <c r="U3873" i="2"/>
  <c r="AM3872" i="2"/>
  <c r="AE3872" i="2"/>
  <c r="U3872" i="2"/>
  <c r="AM3871" i="2"/>
  <c r="AE3871" i="2"/>
  <c r="U3871" i="2"/>
  <c r="AM3870" i="2"/>
  <c r="AE3870" i="2"/>
  <c r="U3870" i="2"/>
  <c r="AM3869" i="2"/>
  <c r="AE3869" i="2"/>
  <c r="U3869" i="2"/>
  <c r="AM3868" i="2"/>
  <c r="AE3868" i="2"/>
  <c r="U3868" i="2"/>
  <c r="AM3867" i="2"/>
  <c r="AE3867" i="2"/>
  <c r="U3867" i="2"/>
  <c r="AM3866" i="2"/>
  <c r="AE3866" i="2"/>
  <c r="U3866" i="2"/>
  <c r="AM3865" i="2"/>
  <c r="AE3865" i="2"/>
  <c r="U3865" i="2"/>
  <c r="AM3864" i="2"/>
  <c r="AE3864" i="2"/>
  <c r="U3864" i="2"/>
  <c r="AM3863" i="2"/>
  <c r="AE3863" i="2"/>
  <c r="U3863" i="2"/>
  <c r="AM3862" i="2"/>
  <c r="AE3862" i="2"/>
  <c r="U3862" i="2"/>
  <c r="AM3861" i="2"/>
  <c r="AE3861" i="2"/>
  <c r="U3861" i="2"/>
  <c r="AM3860" i="2"/>
  <c r="AE3860" i="2"/>
  <c r="U3860" i="2"/>
  <c r="AM3859" i="2"/>
  <c r="AE3859" i="2"/>
  <c r="U3859" i="2"/>
  <c r="AM3858" i="2"/>
  <c r="AE3858" i="2"/>
  <c r="U3858" i="2"/>
  <c r="AM3857" i="2"/>
  <c r="AE3857" i="2"/>
  <c r="U3857" i="2"/>
  <c r="AM3856" i="2"/>
  <c r="AE3856" i="2"/>
  <c r="U3856" i="2"/>
  <c r="AM3855" i="2"/>
  <c r="AE3855" i="2"/>
  <c r="U3855" i="2"/>
  <c r="AM3854" i="2"/>
  <c r="AE3854" i="2"/>
  <c r="U3854" i="2"/>
  <c r="AM3853" i="2"/>
  <c r="AE3853" i="2"/>
  <c r="U3853" i="2"/>
  <c r="AM3852" i="2"/>
  <c r="AE3852" i="2"/>
  <c r="U3852" i="2"/>
  <c r="AM3851" i="2"/>
  <c r="AE3851" i="2"/>
  <c r="U3851" i="2"/>
  <c r="AM3850" i="2"/>
  <c r="AE3850" i="2"/>
  <c r="U3850" i="2"/>
  <c r="AM3849" i="2"/>
  <c r="AE3849" i="2"/>
  <c r="U3849" i="2"/>
  <c r="AM3848" i="2"/>
  <c r="AE3848" i="2"/>
  <c r="U3848" i="2"/>
  <c r="AM3847" i="2"/>
  <c r="AE3847" i="2"/>
  <c r="U3847" i="2"/>
  <c r="AM3846" i="2"/>
  <c r="AE3846" i="2"/>
  <c r="U3846" i="2"/>
  <c r="AM3845" i="2"/>
  <c r="AE3845" i="2"/>
  <c r="U3845" i="2"/>
  <c r="AM3844" i="2"/>
  <c r="AE3844" i="2"/>
  <c r="U3844" i="2"/>
  <c r="AM3843" i="2"/>
  <c r="AE3843" i="2"/>
  <c r="U3843" i="2"/>
  <c r="AM3842" i="2"/>
  <c r="AE3842" i="2"/>
  <c r="U3842" i="2"/>
  <c r="AM3841" i="2"/>
  <c r="AE3841" i="2"/>
  <c r="U3841" i="2"/>
  <c r="AM3840" i="2"/>
  <c r="AE3840" i="2"/>
  <c r="U3840" i="2"/>
  <c r="AM3839" i="2"/>
  <c r="AE3839" i="2"/>
  <c r="U3839" i="2"/>
  <c r="AM3838" i="2"/>
  <c r="AE3838" i="2"/>
  <c r="U3838" i="2"/>
  <c r="AM3837" i="2"/>
  <c r="AE3837" i="2"/>
  <c r="U3837" i="2"/>
  <c r="AM3836" i="2"/>
  <c r="AE3836" i="2"/>
  <c r="U3836" i="2"/>
  <c r="AM3835" i="2"/>
  <c r="AE3835" i="2"/>
  <c r="U3835" i="2"/>
  <c r="AM3834" i="2"/>
  <c r="AE3834" i="2"/>
  <c r="U3834" i="2"/>
  <c r="AM3833" i="2"/>
  <c r="AE3833" i="2"/>
  <c r="U3833" i="2"/>
  <c r="AM3832" i="2"/>
  <c r="AE3832" i="2"/>
  <c r="U3832" i="2"/>
  <c r="AM3831" i="2"/>
  <c r="AE3831" i="2"/>
  <c r="U3831" i="2"/>
  <c r="AM3830" i="2"/>
  <c r="AE3830" i="2"/>
  <c r="U3830" i="2"/>
  <c r="AM3829" i="2"/>
  <c r="AE3829" i="2"/>
  <c r="U3829" i="2"/>
  <c r="AM3828" i="2"/>
  <c r="AE3828" i="2"/>
  <c r="U3828" i="2"/>
  <c r="AM3827" i="2"/>
  <c r="AE3827" i="2"/>
  <c r="U3827" i="2"/>
  <c r="AM3826" i="2"/>
  <c r="AE3826" i="2"/>
  <c r="U3826" i="2"/>
  <c r="AM3825" i="2"/>
  <c r="AE3825" i="2"/>
  <c r="U3825" i="2"/>
  <c r="AM3824" i="2"/>
  <c r="AE3824" i="2"/>
  <c r="U3824" i="2"/>
  <c r="AM3823" i="2"/>
  <c r="AE3823" i="2"/>
  <c r="U3823" i="2"/>
  <c r="AM3822" i="2"/>
  <c r="AE3822" i="2"/>
  <c r="U3822" i="2"/>
  <c r="AM3821" i="2"/>
  <c r="AE3821" i="2"/>
  <c r="U3821" i="2"/>
  <c r="AM3820" i="2"/>
  <c r="AE3820" i="2"/>
  <c r="U3820" i="2"/>
  <c r="AM3819" i="2"/>
  <c r="AE3819" i="2"/>
  <c r="U3819" i="2"/>
  <c r="AM3818" i="2"/>
  <c r="AE3818" i="2"/>
  <c r="U3818" i="2"/>
  <c r="AM3817" i="2"/>
  <c r="AE3817" i="2"/>
  <c r="U3817" i="2"/>
  <c r="AM3816" i="2"/>
  <c r="AE3816" i="2"/>
  <c r="U3816" i="2"/>
  <c r="AM3815" i="2"/>
  <c r="AE3815" i="2"/>
  <c r="U3815" i="2"/>
  <c r="AM3814" i="2"/>
  <c r="AE3814" i="2"/>
  <c r="U3814" i="2"/>
  <c r="AM3813" i="2"/>
  <c r="AE3813" i="2"/>
  <c r="U3813" i="2"/>
  <c r="AM3812" i="2"/>
  <c r="AE3812" i="2"/>
  <c r="U3812" i="2"/>
  <c r="AM3811" i="2"/>
  <c r="AE3811" i="2"/>
  <c r="U3811" i="2"/>
  <c r="AM3810" i="2"/>
  <c r="AE3810" i="2"/>
  <c r="U3810" i="2"/>
  <c r="AM3809" i="2"/>
  <c r="AE3809" i="2"/>
  <c r="U3809" i="2"/>
  <c r="AM3808" i="2"/>
  <c r="AE3808" i="2"/>
  <c r="U3808" i="2"/>
  <c r="AM3807" i="2"/>
  <c r="AE3807" i="2"/>
  <c r="U3807" i="2"/>
  <c r="AM3806" i="2"/>
  <c r="AE3806" i="2"/>
  <c r="U3806" i="2"/>
  <c r="AM3805" i="2"/>
  <c r="AE3805" i="2"/>
  <c r="U3805" i="2"/>
  <c r="AM3804" i="2"/>
  <c r="AE3804" i="2"/>
  <c r="U3804" i="2"/>
  <c r="AM3803" i="2"/>
  <c r="AE3803" i="2"/>
  <c r="U3803" i="2"/>
  <c r="AM3802" i="2"/>
  <c r="AE3802" i="2"/>
  <c r="U3802" i="2"/>
  <c r="AM3801" i="2"/>
  <c r="AE3801" i="2"/>
  <c r="U3801" i="2"/>
  <c r="AM3800" i="2"/>
  <c r="AE3800" i="2"/>
  <c r="U3800" i="2"/>
  <c r="AM3799" i="2"/>
  <c r="AE3799" i="2"/>
  <c r="U3799" i="2"/>
  <c r="AM3798" i="2"/>
  <c r="AE3798" i="2"/>
  <c r="U3798" i="2"/>
  <c r="AM3797" i="2"/>
  <c r="AE3797" i="2"/>
  <c r="U3797" i="2"/>
  <c r="AM3796" i="2"/>
  <c r="AE3796" i="2"/>
  <c r="U3796" i="2"/>
  <c r="AM3795" i="2"/>
  <c r="AE3795" i="2"/>
  <c r="U3795" i="2"/>
  <c r="AM3794" i="2"/>
  <c r="AE3794" i="2"/>
  <c r="U3794" i="2"/>
  <c r="AM3793" i="2"/>
  <c r="AE3793" i="2"/>
  <c r="U3793" i="2"/>
  <c r="AM3792" i="2"/>
  <c r="AE3792" i="2"/>
  <c r="U3792" i="2"/>
  <c r="AM3791" i="2"/>
  <c r="AE3791" i="2"/>
  <c r="U3791" i="2"/>
  <c r="AM3790" i="2"/>
  <c r="AE3790" i="2"/>
  <c r="U3790" i="2"/>
  <c r="AM3789" i="2"/>
  <c r="AE3789" i="2"/>
  <c r="U3789" i="2"/>
  <c r="AM3788" i="2"/>
  <c r="AE3788" i="2"/>
  <c r="U3788" i="2"/>
  <c r="AM3787" i="2"/>
  <c r="AE3787" i="2"/>
  <c r="U3787" i="2"/>
  <c r="AM3786" i="2"/>
  <c r="AE3786" i="2"/>
  <c r="U3786" i="2"/>
  <c r="AM3785" i="2"/>
  <c r="AE3785" i="2"/>
  <c r="U3785" i="2"/>
  <c r="AM3784" i="2"/>
  <c r="AE3784" i="2"/>
  <c r="U3784" i="2"/>
  <c r="AM3783" i="2"/>
  <c r="AE3783" i="2"/>
  <c r="U3783" i="2"/>
  <c r="AM3782" i="2"/>
  <c r="AE3782" i="2"/>
  <c r="U3782" i="2"/>
  <c r="AM3781" i="2"/>
  <c r="AE3781" i="2"/>
  <c r="U3781" i="2"/>
  <c r="AM3780" i="2"/>
  <c r="AE3780" i="2"/>
  <c r="U3780" i="2"/>
  <c r="AM3779" i="2"/>
  <c r="AE3779" i="2"/>
  <c r="U3779" i="2"/>
  <c r="AM3778" i="2"/>
  <c r="AE3778" i="2"/>
  <c r="U3778" i="2"/>
  <c r="AM3777" i="2"/>
  <c r="AE3777" i="2"/>
  <c r="U3777" i="2"/>
  <c r="AM3776" i="2"/>
  <c r="AE3776" i="2"/>
  <c r="U3776" i="2"/>
  <c r="AM3775" i="2"/>
  <c r="AE3775" i="2"/>
  <c r="U3775" i="2"/>
  <c r="AM3774" i="2"/>
  <c r="AE3774" i="2"/>
  <c r="U3774" i="2"/>
  <c r="AM3773" i="2"/>
  <c r="AE3773" i="2"/>
  <c r="U3773" i="2"/>
  <c r="AM3772" i="2"/>
  <c r="AE3772" i="2"/>
  <c r="U3772" i="2"/>
  <c r="AM3771" i="2"/>
  <c r="AE3771" i="2"/>
  <c r="U3771" i="2"/>
  <c r="AM3770" i="2"/>
  <c r="AE3770" i="2"/>
  <c r="U3770" i="2"/>
  <c r="AM3769" i="2"/>
  <c r="AE3769" i="2"/>
  <c r="U3769" i="2"/>
  <c r="AM3768" i="2"/>
  <c r="AE3768" i="2"/>
  <c r="U3768" i="2"/>
  <c r="AM3767" i="2"/>
  <c r="AE3767" i="2"/>
  <c r="U3767" i="2"/>
  <c r="AM3766" i="2"/>
  <c r="AE3766" i="2"/>
  <c r="U3766" i="2"/>
  <c r="AM3765" i="2"/>
  <c r="AE3765" i="2"/>
  <c r="U3765" i="2"/>
  <c r="AM3764" i="2"/>
  <c r="AE3764" i="2"/>
  <c r="U3764" i="2"/>
  <c r="AM3763" i="2"/>
  <c r="AE3763" i="2"/>
  <c r="U3763" i="2"/>
  <c r="AM3762" i="2"/>
  <c r="AE3762" i="2"/>
  <c r="U3762" i="2"/>
  <c r="AM3761" i="2"/>
  <c r="AE3761" i="2"/>
  <c r="U3761" i="2"/>
  <c r="AM3760" i="2"/>
  <c r="AE3760" i="2"/>
  <c r="U3760" i="2"/>
  <c r="AM3759" i="2"/>
  <c r="AE3759" i="2"/>
  <c r="U3759" i="2"/>
  <c r="AM3758" i="2"/>
  <c r="AE3758" i="2"/>
  <c r="U3758" i="2"/>
  <c r="AM3757" i="2"/>
  <c r="AE3757" i="2"/>
  <c r="U3757" i="2"/>
  <c r="AM3756" i="2"/>
  <c r="AE3756" i="2"/>
  <c r="U3756" i="2"/>
  <c r="AM3755" i="2"/>
  <c r="AE3755" i="2"/>
  <c r="U3755" i="2"/>
  <c r="AM3754" i="2"/>
  <c r="AE3754" i="2"/>
  <c r="U3754" i="2"/>
  <c r="AM3753" i="2"/>
  <c r="AE3753" i="2"/>
  <c r="U3753" i="2"/>
  <c r="AM3752" i="2"/>
  <c r="AE3752" i="2"/>
  <c r="U3752" i="2"/>
  <c r="AM3751" i="2"/>
  <c r="AE3751" i="2"/>
  <c r="U3751" i="2"/>
  <c r="AM3750" i="2"/>
  <c r="AE3750" i="2"/>
  <c r="U3750" i="2"/>
  <c r="AM3749" i="2"/>
  <c r="AE3749" i="2"/>
  <c r="U3749" i="2"/>
  <c r="AM3748" i="2"/>
  <c r="AE3748" i="2"/>
  <c r="U3748" i="2"/>
  <c r="AM3747" i="2"/>
  <c r="AE3747" i="2"/>
  <c r="U3747" i="2"/>
  <c r="AM3746" i="2"/>
  <c r="AE3746" i="2"/>
  <c r="U3746" i="2"/>
  <c r="AM3745" i="2"/>
  <c r="AE3745" i="2"/>
  <c r="U3745" i="2"/>
  <c r="AM3744" i="2"/>
  <c r="AE3744" i="2"/>
  <c r="U3744" i="2"/>
  <c r="AM3743" i="2"/>
  <c r="AE3743" i="2"/>
  <c r="U3743" i="2"/>
  <c r="AM3742" i="2"/>
  <c r="AE3742" i="2"/>
  <c r="U3742" i="2"/>
  <c r="AM3741" i="2"/>
  <c r="AE3741" i="2"/>
  <c r="U3741" i="2"/>
  <c r="AM3740" i="2"/>
  <c r="AE3740" i="2"/>
  <c r="U3740" i="2"/>
  <c r="AM3739" i="2"/>
  <c r="AE3739" i="2"/>
  <c r="U3739" i="2"/>
  <c r="AM3738" i="2"/>
  <c r="AE3738" i="2"/>
  <c r="U3738" i="2"/>
  <c r="AM3737" i="2"/>
  <c r="AE3737" i="2"/>
  <c r="U3737" i="2"/>
  <c r="AM3736" i="2"/>
  <c r="AE3736" i="2"/>
  <c r="U3736" i="2"/>
  <c r="AM3735" i="2"/>
  <c r="AE3735" i="2"/>
  <c r="U3735" i="2"/>
  <c r="AM3734" i="2"/>
  <c r="AE3734" i="2"/>
  <c r="U3734" i="2"/>
  <c r="AM3733" i="2"/>
  <c r="AE3733" i="2"/>
  <c r="U3733" i="2"/>
  <c r="AM3732" i="2"/>
  <c r="AE3732" i="2"/>
  <c r="U3732" i="2"/>
  <c r="AM3731" i="2"/>
  <c r="AE3731" i="2"/>
  <c r="U3731" i="2"/>
  <c r="AM3730" i="2"/>
  <c r="AE3730" i="2"/>
  <c r="U3730" i="2"/>
  <c r="AM3729" i="2"/>
  <c r="AE3729" i="2"/>
  <c r="U3729" i="2"/>
  <c r="AM3728" i="2"/>
  <c r="AE3728" i="2"/>
  <c r="U3728" i="2"/>
  <c r="AM3727" i="2"/>
  <c r="AE3727" i="2"/>
  <c r="U3727" i="2"/>
  <c r="AM3726" i="2"/>
  <c r="AE3726" i="2"/>
  <c r="U3726" i="2"/>
  <c r="AM3725" i="2"/>
  <c r="AE3725" i="2"/>
  <c r="U3725" i="2"/>
  <c r="AM3724" i="2"/>
  <c r="AE3724" i="2"/>
  <c r="U3724" i="2"/>
  <c r="AM3723" i="2"/>
  <c r="AE3723" i="2"/>
  <c r="U3723" i="2"/>
  <c r="AM3722" i="2"/>
  <c r="AE3722" i="2"/>
  <c r="U3722" i="2"/>
  <c r="AM3721" i="2"/>
  <c r="AE3721" i="2"/>
  <c r="U3721" i="2"/>
  <c r="AM3720" i="2"/>
  <c r="AE3720" i="2"/>
  <c r="U3720" i="2"/>
  <c r="AM3719" i="2"/>
  <c r="AE3719" i="2"/>
  <c r="U3719" i="2"/>
  <c r="AM3718" i="2"/>
  <c r="AE3718" i="2"/>
  <c r="U3718" i="2"/>
  <c r="AM3717" i="2"/>
  <c r="AE3717" i="2"/>
  <c r="U3717" i="2"/>
  <c r="AM3716" i="2"/>
  <c r="AE3716" i="2"/>
  <c r="U3716" i="2"/>
  <c r="AM3715" i="2"/>
  <c r="AE3715" i="2"/>
  <c r="U3715" i="2"/>
  <c r="AM3714" i="2"/>
  <c r="AE3714" i="2"/>
  <c r="U3714" i="2"/>
  <c r="AM3713" i="2"/>
  <c r="AE3713" i="2"/>
  <c r="U3713" i="2"/>
  <c r="AM3712" i="2"/>
  <c r="AE3712" i="2"/>
  <c r="U3712" i="2"/>
  <c r="AM3711" i="2"/>
  <c r="AE3711" i="2"/>
  <c r="U3711" i="2"/>
  <c r="AM3710" i="2"/>
  <c r="AE3710" i="2"/>
  <c r="U3710" i="2"/>
  <c r="AM3709" i="2"/>
  <c r="AE3709" i="2"/>
  <c r="U3709" i="2"/>
  <c r="AM3708" i="2"/>
  <c r="AE3708" i="2"/>
  <c r="U3708" i="2"/>
  <c r="AM3707" i="2"/>
  <c r="AE3707" i="2"/>
  <c r="U3707" i="2"/>
  <c r="AM3706" i="2"/>
  <c r="AE3706" i="2"/>
  <c r="U3706" i="2"/>
  <c r="AM3705" i="2"/>
  <c r="AE3705" i="2"/>
  <c r="U3705" i="2"/>
  <c r="AM3704" i="2"/>
  <c r="AE3704" i="2"/>
  <c r="U3704" i="2"/>
  <c r="AM3703" i="2"/>
  <c r="AE3703" i="2"/>
  <c r="U3703" i="2"/>
  <c r="AM3702" i="2"/>
  <c r="AE3702" i="2"/>
  <c r="U3702" i="2"/>
  <c r="AM3701" i="2"/>
  <c r="AE3701" i="2"/>
  <c r="U3701" i="2"/>
  <c r="AM3700" i="2"/>
  <c r="AE3700" i="2"/>
  <c r="U3700" i="2"/>
  <c r="AM3699" i="2"/>
  <c r="AE3699" i="2"/>
  <c r="U3699" i="2"/>
  <c r="AM3698" i="2"/>
  <c r="AE3698" i="2"/>
  <c r="U3698" i="2"/>
  <c r="AM3697" i="2"/>
  <c r="AE3697" i="2"/>
  <c r="U3697" i="2"/>
  <c r="AM3696" i="2"/>
  <c r="AE3696" i="2"/>
  <c r="U3696" i="2"/>
  <c r="AM3695" i="2"/>
  <c r="AE3695" i="2"/>
  <c r="U3695" i="2"/>
  <c r="AM3694" i="2"/>
  <c r="AE3694" i="2"/>
  <c r="U3694" i="2"/>
  <c r="AM3693" i="2"/>
  <c r="AE3693" i="2"/>
  <c r="U3693" i="2"/>
  <c r="AM3692" i="2"/>
  <c r="AE3692" i="2"/>
  <c r="U3692" i="2"/>
  <c r="AM3691" i="2"/>
  <c r="AE3691" i="2"/>
  <c r="U3691" i="2"/>
  <c r="AM3690" i="2"/>
  <c r="AE3690" i="2"/>
  <c r="U3690" i="2"/>
  <c r="AM3689" i="2"/>
  <c r="AE3689" i="2"/>
  <c r="U3689" i="2"/>
  <c r="AM3688" i="2"/>
  <c r="AE3688" i="2"/>
  <c r="U3688" i="2"/>
  <c r="AM3687" i="2"/>
  <c r="AE3687" i="2"/>
  <c r="U3687" i="2"/>
  <c r="AM3686" i="2"/>
  <c r="AE3686" i="2"/>
  <c r="U3686" i="2"/>
  <c r="AM3685" i="2"/>
  <c r="AE3685" i="2"/>
  <c r="U3685" i="2"/>
  <c r="AM3684" i="2"/>
  <c r="AE3684" i="2"/>
  <c r="U3684" i="2"/>
  <c r="AM3683" i="2"/>
  <c r="AE3683" i="2"/>
  <c r="U3683" i="2"/>
  <c r="AM3682" i="2"/>
  <c r="AE3682" i="2"/>
  <c r="U3682" i="2"/>
  <c r="AM3681" i="2"/>
  <c r="AE3681" i="2"/>
  <c r="U3681" i="2"/>
  <c r="AM3680" i="2"/>
  <c r="AE3680" i="2"/>
  <c r="U3680" i="2"/>
  <c r="AM3679" i="2"/>
  <c r="AE3679" i="2"/>
  <c r="U3679" i="2"/>
  <c r="AM3678" i="2"/>
  <c r="AE3678" i="2"/>
  <c r="U3678" i="2"/>
  <c r="AM3677" i="2"/>
  <c r="AE3677" i="2"/>
  <c r="U3677" i="2"/>
  <c r="AM3676" i="2"/>
  <c r="AE3676" i="2"/>
  <c r="U3676" i="2"/>
  <c r="AM3675" i="2"/>
  <c r="AE3675" i="2"/>
  <c r="U3675" i="2"/>
  <c r="AM3674" i="2"/>
  <c r="AE3674" i="2"/>
  <c r="U3674" i="2"/>
  <c r="AM3673" i="2"/>
  <c r="AE3673" i="2"/>
  <c r="U3673" i="2"/>
  <c r="AM3672" i="2"/>
  <c r="AE3672" i="2"/>
  <c r="U3672" i="2"/>
  <c r="AM3671" i="2"/>
  <c r="AE3671" i="2"/>
  <c r="U3671" i="2"/>
  <c r="AM3670" i="2"/>
  <c r="AE3670" i="2"/>
  <c r="U3670" i="2"/>
  <c r="AM3669" i="2"/>
  <c r="AE3669" i="2"/>
  <c r="U3669" i="2"/>
  <c r="AM3668" i="2"/>
  <c r="AE3668" i="2"/>
  <c r="U3668" i="2"/>
  <c r="AM3667" i="2"/>
  <c r="AE3667" i="2"/>
  <c r="U3667" i="2"/>
  <c r="AM3666" i="2"/>
  <c r="AE3666" i="2"/>
  <c r="U3666" i="2"/>
  <c r="AM3665" i="2"/>
  <c r="AE3665" i="2"/>
  <c r="U3665" i="2"/>
  <c r="AM3664" i="2"/>
  <c r="AE3664" i="2"/>
  <c r="U3664" i="2"/>
  <c r="AM3663" i="2"/>
  <c r="AE3663" i="2"/>
  <c r="U3663" i="2"/>
  <c r="AM3662" i="2"/>
  <c r="AE3662" i="2"/>
  <c r="U3662" i="2"/>
  <c r="AM3661" i="2"/>
  <c r="AE3661" i="2"/>
  <c r="U3661" i="2"/>
  <c r="AM3660" i="2"/>
  <c r="AE3660" i="2"/>
  <c r="U3660" i="2"/>
  <c r="AM3659" i="2"/>
  <c r="AE3659" i="2"/>
  <c r="U3659" i="2"/>
  <c r="AM3658" i="2"/>
  <c r="AE3658" i="2"/>
  <c r="U3658" i="2"/>
  <c r="AM3657" i="2"/>
  <c r="AE3657" i="2"/>
  <c r="U3657" i="2"/>
  <c r="AM3656" i="2"/>
  <c r="AE3656" i="2"/>
  <c r="U3656" i="2"/>
  <c r="AM3655" i="2"/>
  <c r="AE3655" i="2"/>
  <c r="U3655" i="2"/>
  <c r="AM3654" i="2"/>
  <c r="AE3654" i="2"/>
  <c r="U3654" i="2"/>
  <c r="AM3653" i="2"/>
  <c r="AE3653" i="2"/>
  <c r="U3653" i="2"/>
  <c r="AM3652" i="2"/>
  <c r="AE3652" i="2"/>
  <c r="U3652" i="2"/>
  <c r="AM3651" i="2"/>
  <c r="AE3651" i="2"/>
  <c r="U3651" i="2"/>
  <c r="AM3650" i="2"/>
  <c r="AE3650" i="2"/>
  <c r="U3650" i="2"/>
  <c r="AM3649" i="2"/>
  <c r="AE3649" i="2"/>
  <c r="U3649" i="2"/>
  <c r="AM3648" i="2"/>
  <c r="AE3648" i="2"/>
  <c r="U3648" i="2"/>
  <c r="AM3647" i="2"/>
  <c r="AE3647" i="2"/>
  <c r="U3647" i="2"/>
  <c r="AM3646" i="2"/>
  <c r="AE3646" i="2"/>
  <c r="U3646" i="2"/>
  <c r="AM3645" i="2"/>
  <c r="AE3645" i="2"/>
  <c r="U3645" i="2"/>
  <c r="AM3644" i="2"/>
  <c r="AE3644" i="2"/>
  <c r="U3644" i="2"/>
  <c r="AM3643" i="2"/>
  <c r="AE3643" i="2"/>
  <c r="U3643" i="2"/>
  <c r="AM3642" i="2"/>
  <c r="AE3642" i="2"/>
  <c r="U3642" i="2"/>
  <c r="AM3641" i="2"/>
  <c r="AE3641" i="2"/>
  <c r="U3641" i="2"/>
  <c r="AM3640" i="2"/>
  <c r="AE3640" i="2"/>
  <c r="U3640" i="2"/>
  <c r="AM3639" i="2"/>
  <c r="AE3639" i="2"/>
  <c r="U3639" i="2"/>
  <c r="AM3638" i="2"/>
  <c r="AE3638" i="2"/>
  <c r="U3638" i="2"/>
  <c r="AM3637" i="2"/>
  <c r="AE3637" i="2"/>
  <c r="U3637" i="2"/>
  <c r="AM3636" i="2"/>
  <c r="AE3636" i="2"/>
  <c r="U3636" i="2"/>
  <c r="AM3635" i="2"/>
  <c r="AE3635" i="2"/>
  <c r="U3635" i="2"/>
  <c r="AM3634" i="2"/>
  <c r="AE3634" i="2"/>
  <c r="U3634" i="2"/>
  <c r="AM3633" i="2"/>
  <c r="AE3633" i="2"/>
  <c r="U3633" i="2"/>
  <c r="AM3632" i="2"/>
  <c r="AE3632" i="2"/>
  <c r="U3632" i="2"/>
  <c r="AM3631" i="2"/>
  <c r="AE3631" i="2"/>
  <c r="U3631" i="2"/>
  <c r="AM3630" i="2"/>
  <c r="AE3630" i="2"/>
  <c r="U3630" i="2"/>
  <c r="AM3629" i="2"/>
  <c r="AE3629" i="2"/>
  <c r="U3629" i="2"/>
  <c r="AM3628" i="2"/>
  <c r="AE3628" i="2"/>
  <c r="U3628" i="2"/>
  <c r="AM3627" i="2"/>
  <c r="AE3627" i="2"/>
  <c r="U3627" i="2"/>
  <c r="AM3626" i="2"/>
  <c r="AE3626" i="2"/>
  <c r="U3626" i="2"/>
  <c r="AM3625" i="2"/>
  <c r="AE3625" i="2"/>
  <c r="U3625" i="2"/>
  <c r="AM3624" i="2"/>
  <c r="AE3624" i="2"/>
  <c r="U3624" i="2"/>
  <c r="AM3623" i="2"/>
  <c r="AE3623" i="2"/>
  <c r="U3623" i="2"/>
  <c r="AM3622" i="2"/>
  <c r="AE3622" i="2"/>
  <c r="U3622" i="2"/>
  <c r="AM3621" i="2"/>
  <c r="AE3621" i="2"/>
  <c r="U3621" i="2"/>
  <c r="AM3620" i="2"/>
  <c r="AE3620" i="2"/>
  <c r="U3620" i="2"/>
  <c r="AM3619" i="2"/>
  <c r="AE3619" i="2"/>
  <c r="U3619" i="2"/>
  <c r="AM3618" i="2"/>
  <c r="AE3618" i="2"/>
  <c r="U3618" i="2"/>
  <c r="AM3617" i="2"/>
  <c r="AE3617" i="2"/>
  <c r="U3617" i="2"/>
  <c r="AM3616" i="2"/>
  <c r="AE3616" i="2"/>
  <c r="U3616" i="2"/>
  <c r="AM3615" i="2"/>
  <c r="AE3615" i="2"/>
  <c r="U3615" i="2"/>
  <c r="AM3614" i="2"/>
  <c r="AE3614" i="2"/>
  <c r="U3614" i="2"/>
  <c r="AM3613" i="2"/>
  <c r="AE3613" i="2"/>
  <c r="U3613" i="2"/>
  <c r="AM3612" i="2"/>
  <c r="AE3612" i="2"/>
  <c r="U3612" i="2"/>
  <c r="AM3611" i="2"/>
  <c r="AE3611" i="2"/>
  <c r="U3611" i="2"/>
  <c r="AM3610" i="2"/>
  <c r="AE3610" i="2"/>
  <c r="U3610" i="2"/>
  <c r="AM3609" i="2"/>
  <c r="AE3609" i="2"/>
  <c r="U3609" i="2"/>
  <c r="AM3608" i="2"/>
  <c r="AE3608" i="2"/>
  <c r="U3608" i="2"/>
  <c r="AM3607" i="2"/>
  <c r="AE3607" i="2"/>
  <c r="U3607" i="2"/>
  <c r="AM3606" i="2"/>
  <c r="AE3606" i="2"/>
  <c r="U3606" i="2"/>
  <c r="AM3605" i="2"/>
  <c r="AE3605" i="2"/>
  <c r="U3605" i="2"/>
  <c r="AM3604" i="2"/>
  <c r="AE3604" i="2"/>
  <c r="U3604" i="2"/>
  <c r="AM3603" i="2"/>
  <c r="AE3603" i="2"/>
  <c r="U3603" i="2"/>
  <c r="AM3602" i="2"/>
  <c r="AE3602" i="2"/>
  <c r="U3602" i="2"/>
  <c r="AM3601" i="2"/>
  <c r="AE3601" i="2"/>
  <c r="U3601" i="2"/>
  <c r="AM3600" i="2"/>
  <c r="AE3600" i="2"/>
  <c r="U3600" i="2"/>
  <c r="AM3599" i="2"/>
  <c r="AE3599" i="2"/>
  <c r="U3599" i="2"/>
  <c r="AM3598" i="2"/>
  <c r="AE3598" i="2"/>
  <c r="U3598" i="2"/>
  <c r="AM3597" i="2"/>
  <c r="AE3597" i="2"/>
  <c r="U3597" i="2"/>
  <c r="AM3596" i="2"/>
  <c r="AE3596" i="2"/>
  <c r="U3596" i="2"/>
  <c r="AM3595" i="2"/>
  <c r="AE3595" i="2"/>
  <c r="U3595" i="2"/>
  <c r="AM3594" i="2"/>
  <c r="AE3594" i="2"/>
  <c r="U3594" i="2"/>
  <c r="AM3593" i="2"/>
  <c r="AE3593" i="2"/>
  <c r="U3593" i="2"/>
  <c r="AM3592" i="2"/>
  <c r="AE3592" i="2"/>
  <c r="U3592" i="2"/>
  <c r="AM3591" i="2"/>
  <c r="AE3591" i="2"/>
  <c r="U3591" i="2"/>
  <c r="AM3590" i="2"/>
  <c r="AE3590" i="2"/>
  <c r="U3590" i="2"/>
  <c r="AM3589" i="2"/>
  <c r="AE3589" i="2"/>
  <c r="U3589" i="2"/>
  <c r="AM3588" i="2"/>
  <c r="AE3588" i="2"/>
  <c r="U3588" i="2"/>
  <c r="AM3587" i="2"/>
  <c r="AE3587" i="2"/>
  <c r="U3587" i="2"/>
  <c r="AM3586" i="2"/>
  <c r="AE3586" i="2"/>
  <c r="U3586" i="2"/>
  <c r="AM3585" i="2"/>
  <c r="AE3585" i="2"/>
  <c r="U3585" i="2"/>
  <c r="AM3584" i="2"/>
  <c r="AE3584" i="2"/>
  <c r="U3584" i="2"/>
  <c r="AM3583" i="2"/>
  <c r="AE3583" i="2"/>
  <c r="U3583" i="2"/>
  <c r="AM3582" i="2"/>
  <c r="AE3582" i="2"/>
  <c r="U3582" i="2"/>
  <c r="AM3581" i="2"/>
  <c r="AE3581" i="2"/>
  <c r="U3581" i="2"/>
  <c r="AM3580" i="2"/>
  <c r="AE3580" i="2"/>
  <c r="U3580" i="2"/>
  <c r="AM3579" i="2"/>
  <c r="AE3579" i="2"/>
  <c r="U3579" i="2"/>
  <c r="AM3578" i="2"/>
  <c r="AE3578" i="2"/>
  <c r="U3578" i="2"/>
  <c r="AM3577" i="2"/>
  <c r="AE3577" i="2"/>
  <c r="U3577" i="2"/>
  <c r="AM3576" i="2"/>
  <c r="AE3576" i="2"/>
  <c r="U3576" i="2"/>
  <c r="AM3575" i="2"/>
  <c r="AE3575" i="2"/>
  <c r="U3575" i="2"/>
  <c r="AM3574" i="2"/>
  <c r="AE3574" i="2"/>
  <c r="U3574" i="2"/>
  <c r="AM3573" i="2"/>
  <c r="AE3573" i="2"/>
  <c r="U3573" i="2"/>
  <c r="AM3572" i="2"/>
  <c r="AE3572" i="2"/>
  <c r="U3572" i="2"/>
  <c r="AM3571" i="2"/>
  <c r="AE3571" i="2"/>
  <c r="U3571" i="2"/>
  <c r="AM3570" i="2"/>
  <c r="AE3570" i="2"/>
  <c r="U3570" i="2"/>
  <c r="AM3569" i="2"/>
  <c r="AE3569" i="2"/>
  <c r="U3569" i="2"/>
  <c r="AM3568" i="2"/>
  <c r="AE3568" i="2"/>
  <c r="U3568" i="2"/>
  <c r="AM3567" i="2"/>
  <c r="AE3567" i="2"/>
  <c r="U3567" i="2"/>
  <c r="AM3566" i="2"/>
  <c r="AE3566" i="2"/>
  <c r="U3566" i="2"/>
  <c r="AM3565" i="2"/>
  <c r="AE3565" i="2"/>
  <c r="U3565" i="2"/>
  <c r="AM3564" i="2"/>
  <c r="AE3564" i="2"/>
  <c r="U3564" i="2"/>
  <c r="AM3563" i="2"/>
  <c r="AE3563" i="2"/>
  <c r="U3563" i="2"/>
  <c r="AM3562" i="2"/>
  <c r="AE3562" i="2"/>
  <c r="U3562" i="2"/>
  <c r="AM3561" i="2"/>
  <c r="AE3561" i="2"/>
  <c r="U3561" i="2"/>
  <c r="AM3560" i="2"/>
  <c r="AE3560" i="2"/>
  <c r="U3560" i="2"/>
  <c r="AM3559" i="2"/>
  <c r="AE3559" i="2"/>
  <c r="U3559" i="2"/>
  <c r="AM3558" i="2"/>
  <c r="AE3558" i="2"/>
  <c r="U3558" i="2"/>
  <c r="AM3557" i="2"/>
  <c r="AE3557" i="2"/>
  <c r="U3557" i="2"/>
  <c r="AM3556" i="2"/>
  <c r="AE3556" i="2"/>
  <c r="U3556" i="2"/>
  <c r="AM3555" i="2"/>
  <c r="AE3555" i="2"/>
  <c r="U3555" i="2"/>
  <c r="AM3554" i="2"/>
  <c r="AE3554" i="2"/>
  <c r="U3554" i="2"/>
  <c r="AM3553" i="2"/>
  <c r="AE3553" i="2"/>
  <c r="U3553" i="2"/>
  <c r="AM3552" i="2"/>
  <c r="AE3552" i="2"/>
  <c r="U3552" i="2"/>
  <c r="AM3551" i="2"/>
  <c r="AE3551" i="2"/>
  <c r="U3551" i="2"/>
  <c r="AM3550" i="2"/>
  <c r="AE3550" i="2"/>
  <c r="U3550" i="2"/>
  <c r="AM3549" i="2"/>
  <c r="AE3549" i="2"/>
  <c r="U3549" i="2"/>
  <c r="AM3548" i="2"/>
  <c r="AE3548" i="2"/>
  <c r="U3548" i="2"/>
  <c r="AM3547" i="2"/>
  <c r="AE3547" i="2"/>
  <c r="U3547" i="2"/>
  <c r="AM3546" i="2"/>
  <c r="AE3546" i="2"/>
  <c r="U3546" i="2"/>
  <c r="AM3545" i="2"/>
  <c r="AE3545" i="2"/>
  <c r="U3545" i="2"/>
  <c r="AM3544" i="2"/>
  <c r="AE3544" i="2"/>
  <c r="U3544" i="2"/>
  <c r="AM3543" i="2"/>
  <c r="AE3543" i="2"/>
  <c r="U3543" i="2"/>
  <c r="AM3542" i="2"/>
  <c r="AE3542" i="2"/>
  <c r="U3542" i="2"/>
  <c r="AM3541" i="2"/>
  <c r="AE3541" i="2"/>
  <c r="U3541" i="2"/>
  <c r="AM3540" i="2"/>
  <c r="AE3540" i="2"/>
  <c r="U3540" i="2"/>
  <c r="AM3539" i="2"/>
  <c r="AE3539" i="2"/>
  <c r="U3539" i="2"/>
  <c r="AM3538" i="2"/>
  <c r="AE3538" i="2"/>
  <c r="U3538" i="2"/>
  <c r="AM3537" i="2"/>
  <c r="AE3537" i="2"/>
  <c r="U3537" i="2"/>
  <c r="AM3536" i="2"/>
  <c r="AE3536" i="2"/>
  <c r="U3536" i="2"/>
  <c r="AM3535" i="2"/>
  <c r="AE3535" i="2"/>
  <c r="U3535" i="2"/>
  <c r="AM3534" i="2"/>
  <c r="AE3534" i="2"/>
  <c r="U3534" i="2"/>
  <c r="AM3533" i="2"/>
  <c r="AE3533" i="2"/>
  <c r="U3533" i="2"/>
  <c r="AM3532" i="2"/>
  <c r="AE3532" i="2"/>
  <c r="U3532" i="2"/>
  <c r="AM3531" i="2"/>
  <c r="AE3531" i="2"/>
  <c r="U3531" i="2"/>
  <c r="AM3530" i="2"/>
  <c r="AE3530" i="2"/>
  <c r="U3530" i="2"/>
  <c r="AM3529" i="2"/>
  <c r="AE3529" i="2"/>
  <c r="U3529" i="2"/>
  <c r="AM3528" i="2"/>
  <c r="AE3528" i="2"/>
  <c r="U3528" i="2"/>
  <c r="AM3527" i="2"/>
  <c r="AE3527" i="2"/>
  <c r="U3527" i="2"/>
  <c r="AM3526" i="2"/>
  <c r="AE3526" i="2"/>
  <c r="U3526" i="2"/>
  <c r="AM3525" i="2"/>
  <c r="AE3525" i="2"/>
  <c r="U3525" i="2"/>
  <c r="AM3524" i="2"/>
  <c r="AE3524" i="2"/>
  <c r="U3524" i="2"/>
  <c r="AM3523" i="2"/>
  <c r="AE3523" i="2"/>
  <c r="U3523" i="2"/>
  <c r="AM3522" i="2"/>
  <c r="AE3522" i="2"/>
  <c r="U3522" i="2"/>
  <c r="AM3521" i="2"/>
  <c r="AE3521" i="2"/>
  <c r="U3521" i="2"/>
  <c r="AM3520" i="2"/>
  <c r="AE3520" i="2"/>
  <c r="U3520" i="2"/>
  <c r="AM3519" i="2"/>
  <c r="AE3519" i="2"/>
  <c r="U3519" i="2"/>
  <c r="AM3518" i="2"/>
  <c r="AE3518" i="2"/>
  <c r="U3518" i="2"/>
  <c r="AM3517" i="2"/>
  <c r="AE3517" i="2"/>
  <c r="U3517" i="2"/>
  <c r="AM3516" i="2"/>
  <c r="AE3516" i="2"/>
  <c r="U3516" i="2"/>
  <c r="AM3515" i="2"/>
  <c r="AE3515" i="2"/>
  <c r="U3515" i="2"/>
  <c r="AM3514" i="2"/>
  <c r="AE3514" i="2"/>
  <c r="U3514" i="2"/>
  <c r="AM3513" i="2"/>
  <c r="AM3512" i="2"/>
  <c r="AM3511" i="2"/>
  <c r="AM4558" i="2" l="1"/>
  <c r="AM5856" i="2"/>
  <c r="AM5854" i="2"/>
  <c r="AM5855" i="2"/>
  <c r="AM85" i="2" l="1"/>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366" i="2"/>
  <c r="AM3367" i="2"/>
  <c r="AM3368" i="2"/>
  <c r="AM3369" i="2"/>
  <c r="AM3370" i="2"/>
  <c r="AM3371" i="2"/>
  <c r="AM3372" i="2"/>
  <c r="AM3373" i="2"/>
  <c r="AM3374" i="2"/>
  <c r="AM3375" i="2"/>
  <c r="AM3376" i="2"/>
  <c r="AM3377" i="2"/>
  <c r="AM3378" i="2"/>
  <c r="AM3379" i="2"/>
  <c r="AM3380" i="2"/>
  <c r="AM3381" i="2"/>
  <c r="AM3382" i="2"/>
  <c r="AM3383" i="2"/>
  <c r="AM3384" i="2"/>
  <c r="AM3385" i="2"/>
  <c r="AM3386" i="2"/>
  <c r="AM3387" i="2"/>
  <c r="AM3388" i="2"/>
  <c r="AM3389" i="2"/>
  <c r="AM3390" i="2"/>
  <c r="AM3391" i="2"/>
  <c r="AM3392" i="2"/>
  <c r="AM3393" i="2"/>
  <c r="AM3394" i="2"/>
  <c r="AM3395" i="2"/>
  <c r="AM3396" i="2"/>
  <c r="AM3397" i="2"/>
  <c r="AM3398" i="2"/>
  <c r="AM3399" i="2"/>
  <c r="AM3400" i="2"/>
  <c r="AM3401" i="2"/>
  <c r="AM3402" i="2"/>
  <c r="AM3403" i="2"/>
  <c r="AM3404" i="2"/>
  <c r="AM3406" i="2"/>
  <c r="AM3407" i="2"/>
  <c r="AM3408" i="2"/>
  <c r="AM3409" i="2"/>
  <c r="AM3410" i="2"/>
  <c r="AM3411" i="2"/>
  <c r="AM3412" i="2"/>
  <c r="AM3413" i="2"/>
  <c r="AM3414" i="2"/>
  <c r="AM3415" i="2"/>
  <c r="AM3416" i="2"/>
  <c r="AM3418" i="2"/>
  <c r="AM3419" i="2"/>
  <c r="AM3420" i="2"/>
  <c r="AM3421" i="2"/>
  <c r="AM3422" i="2"/>
  <c r="AM3423" i="2"/>
  <c r="AM3424" i="2"/>
  <c r="AM3425" i="2"/>
  <c r="AM3426" i="2"/>
  <c r="AM3427" i="2"/>
  <c r="AM3428" i="2"/>
  <c r="AM3429" i="2"/>
  <c r="AM3430" i="2"/>
  <c r="AM3431" i="2"/>
  <c r="AM3433" i="2"/>
  <c r="AM3434" i="2"/>
  <c r="AM3435" i="2"/>
  <c r="AM3436" i="2"/>
  <c r="AM3437" i="2"/>
  <c r="AM3438" i="2"/>
  <c r="AM3439" i="2"/>
  <c r="AM3440" i="2"/>
  <c r="AM3441" i="2"/>
  <c r="AM3442" i="2"/>
  <c r="AM3443" i="2"/>
  <c r="AM3444" i="2"/>
  <c r="AM3445" i="2"/>
  <c r="AM3446" i="2"/>
  <c r="AM3447" i="2"/>
  <c r="AM3448" i="2"/>
  <c r="AM3449" i="2"/>
  <c r="AM3450" i="2"/>
  <c r="AM3451" i="2"/>
  <c r="AM3452" i="2"/>
  <c r="AM3453" i="2"/>
  <c r="AM3454" i="2"/>
  <c r="AM3455" i="2"/>
  <c r="AM3456" i="2"/>
  <c r="AM3457" i="2"/>
  <c r="AM3458" i="2"/>
  <c r="AM3459" i="2"/>
  <c r="AM3460" i="2"/>
  <c r="AM3461" i="2"/>
  <c r="AM3462" i="2"/>
  <c r="AM3463" i="2"/>
  <c r="AM3464" i="2"/>
  <c r="AM3465" i="2"/>
  <c r="AM3466" i="2"/>
  <c r="AM3467" i="2"/>
  <c r="AM3468" i="2"/>
  <c r="AM3469" i="2"/>
  <c r="AM3470" i="2"/>
  <c r="AM3471" i="2"/>
  <c r="AM3472" i="2"/>
  <c r="AM3473" i="2"/>
  <c r="AM3474" i="2"/>
  <c r="AM3475" i="2"/>
  <c r="AM3476" i="2"/>
  <c r="AM3477" i="2"/>
  <c r="AM3478" i="2"/>
  <c r="AM3479" i="2"/>
  <c r="AM3480" i="2"/>
  <c r="AM3481" i="2"/>
  <c r="AM3482" i="2"/>
  <c r="AM3483" i="2"/>
  <c r="AM3484" i="2"/>
  <c r="AM3485" i="2"/>
  <c r="AM3486" i="2"/>
  <c r="AM3487" i="2"/>
  <c r="AM3488" i="2"/>
  <c r="AM2162" i="2"/>
  <c r="AM2163" i="2"/>
  <c r="AM2164" i="2"/>
  <c r="AM2165" i="2"/>
  <c r="AM2166" i="2"/>
  <c r="AM2167" i="2"/>
  <c r="AM2168" i="2"/>
  <c r="AM2169" i="2"/>
  <c r="AM2170" i="2"/>
  <c r="AM2171" i="2"/>
  <c r="AM2172" i="2"/>
  <c r="AM2173" i="2"/>
  <c r="AM2174" i="2"/>
  <c r="AM2175" i="2"/>
  <c r="AM2176" i="2"/>
  <c r="AM2177" i="2"/>
  <c r="AM2178" i="2"/>
  <c r="AM2179" i="2"/>
  <c r="AM2180" i="2"/>
  <c r="AM2181" i="2"/>
  <c r="AM2182" i="2"/>
  <c r="AM2183" i="2"/>
  <c r="AM2184" i="2"/>
  <c r="AM2185" i="2"/>
  <c r="AM2186" i="2"/>
  <c r="AM2187" i="2"/>
  <c r="AM2188" i="2"/>
  <c r="AM2189" i="2"/>
  <c r="AM2190" i="2"/>
  <c r="AM2191" i="2"/>
  <c r="AM2192" i="2"/>
  <c r="AM2193" i="2"/>
  <c r="AM2194" i="2"/>
  <c r="AM2195" i="2"/>
  <c r="AM2196" i="2"/>
  <c r="AM2197" i="2"/>
  <c r="AM2198" i="2"/>
  <c r="AM2199" i="2"/>
  <c r="AM2200" i="2"/>
  <c r="AM2201" i="2"/>
  <c r="AM2202" i="2"/>
  <c r="AM2203" i="2"/>
  <c r="AM2204" i="2"/>
  <c r="AM2205" i="2"/>
  <c r="AM2206" i="2"/>
  <c r="AM2207" i="2"/>
  <c r="AM2208" i="2"/>
  <c r="AM2209" i="2"/>
  <c r="AM2210" i="2"/>
  <c r="AM2211" i="2"/>
  <c r="AM2212" i="2"/>
  <c r="AM2213" i="2"/>
  <c r="AM2214" i="2"/>
  <c r="AM2215" i="2"/>
  <c r="AM2216" i="2"/>
  <c r="AM2217" i="2"/>
  <c r="AM2218" i="2"/>
  <c r="AM2219" i="2"/>
  <c r="AM2220" i="2"/>
  <c r="AM2221" i="2"/>
  <c r="AM2222" i="2"/>
  <c r="AM2223" i="2"/>
  <c r="AM2224" i="2"/>
  <c r="AM2225" i="2"/>
  <c r="AM2226" i="2"/>
  <c r="AM2227" i="2"/>
  <c r="AM2228" i="2"/>
  <c r="AM2229" i="2"/>
  <c r="AM2230" i="2"/>
  <c r="AM2231" i="2"/>
  <c r="AM2232" i="2"/>
  <c r="AM2233" i="2"/>
  <c r="AM2234" i="2"/>
  <c r="AM2235" i="2"/>
  <c r="AM2236" i="2"/>
  <c r="AM2237" i="2"/>
  <c r="AM2238" i="2"/>
  <c r="AM2239" i="2"/>
  <c r="AM2240" i="2"/>
  <c r="AM2241" i="2"/>
  <c r="AM2242" i="2"/>
  <c r="AM2243" i="2"/>
  <c r="AM2244" i="2"/>
  <c r="AM2245" i="2"/>
  <c r="AM2246" i="2"/>
  <c r="AM2247" i="2"/>
  <c r="AM2248" i="2"/>
  <c r="AM2249" i="2"/>
  <c r="AM2250" i="2"/>
  <c r="AM2251" i="2"/>
  <c r="AM2252" i="2"/>
  <c r="AM2253" i="2"/>
  <c r="AM2254" i="2"/>
  <c r="AM2255" i="2"/>
  <c r="AM2256" i="2"/>
  <c r="AM2257" i="2"/>
  <c r="AM2258" i="2"/>
  <c r="AM2259" i="2"/>
  <c r="AM2260" i="2"/>
  <c r="AM2261" i="2"/>
  <c r="AM2262" i="2"/>
  <c r="AM2263" i="2"/>
  <c r="AM2264" i="2"/>
  <c r="AM2265" i="2"/>
  <c r="AM2266" i="2"/>
  <c r="AM2267" i="2"/>
  <c r="AM2268" i="2"/>
  <c r="AM2269" i="2"/>
  <c r="AM2270" i="2"/>
  <c r="AM2271" i="2"/>
  <c r="AM2272" i="2"/>
  <c r="AM2273" i="2"/>
  <c r="AM2274" i="2"/>
  <c r="AM2275" i="2"/>
  <c r="AM2276" i="2"/>
  <c r="AM2277" i="2"/>
  <c r="AM2278" i="2"/>
  <c r="AM2279" i="2"/>
  <c r="AM2280" i="2"/>
  <c r="AM2281" i="2"/>
  <c r="AM2282" i="2"/>
  <c r="AM2283" i="2"/>
  <c r="AM2284" i="2"/>
  <c r="AM2285" i="2"/>
  <c r="AM2286" i="2"/>
  <c r="AM2287" i="2"/>
  <c r="AM2288" i="2"/>
  <c r="AM2289" i="2"/>
  <c r="AM2290" i="2"/>
  <c r="AM2291" i="2"/>
  <c r="AM2292" i="2"/>
  <c r="AM2293" i="2"/>
  <c r="AM2294" i="2"/>
  <c r="AM2295" i="2"/>
  <c r="AM2296" i="2"/>
  <c r="AM2297" i="2"/>
  <c r="AM2298" i="2"/>
  <c r="AM2299" i="2"/>
  <c r="AM2300" i="2"/>
  <c r="AM2301" i="2"/>
  <c r="AM2302" i="2"/>
  <c r="AM2303" i="2"/>
  <c r="AM2304" i="2"/>
  <c r="AM2305" i="2"/>
  <c r="AM2306" i="2"/>
  <c r="AM2307" i="2"/>
  <c r="AM2308" i="2"/>
  <c r="AM2309" i="2"/>
  <c r="AM2310" i="2"/>
  <c r="AM2311" i="2"/>
  <c r="AM2312" i="2"/>
  <c r="AM2313" i="2"/>
  <c r="AM2314" i="2"/>
  <c r="AM2315" i="2"/>
  <c r="AM2316" i="2"/>
  <c r="AM2317" i="2"/>
  <c r="AM2318" i="2"/>
  <c r="AM1685" i="2"/>
  <c r="AM1686" i="2"/>
  <c r="AM1687" i="2"/>
  <c r="AM1688" i="2"/>
  <c r="AM1689" i="2"/>
  <c r="AM1690" i="2"/>
  <c r="AM1691" i="2"/>
  <c r="AM1692" i="2"/>
  <c r="AM1693" i="2"/>
  <c r="AM1694" i="2"/>
  <c r="AM1695" i="2"/>
  <c r="AM1696" i="2"/>
  <c r="AM1697" i="2"/>
  <c r="AM1698" i="2"/>
  <c r="AM1699" i="2"/>
  <c r="AM1700" i="2"/>
  <c r="AM1701" i="2"/>
  <c r="AM1702" i="2"/>
  <c r="AM1703" i="2"/>
  <c r="AM1704" i="2"/>
  <c r="AM1705" i="2"/>
  <c r="AM1706" i="2"/>
  <c r="AM1707" i="2"/>
  <c r="AM1708" i="2"/>
  <c r="AM1709" i="2"/>
  <c r="AM1710" i="2"/>
  <c r="AM1711" i="2"/>
  <c r="AM1712" i="2"/>
  <c r="AM1713" i="2"/>
  <c r="AM1714" i="2"/>
  <c r="AM1715" i="2"/>
  <c r="AM1716" i="2"/>
  <c r="AM1717" i="2"/>
  <c r="AM1718" i="2"/>
  <c r="AM1719" i="2"/>
  <c r="AM1720" i="2"/>
  <c r="AM1721" i="2"/>
  <c r="AM1722" i="2"/>
  <c r="AM1723" i="2"/>
  <c r="AM1724" i="2"/>
  <c r="AM1725" i="2"/>
  <c r="AM1726" i="2"/>
  <c r="AM1727" i="2"/>
  <c r="AM1728" i="2"/>
  <c r="AM1729" i="2"/>
  <c r="AM1730" i="2"/>
  <c r="AM1731" i="2"/>
  <c r="AM1732" i="2"/>
  <c r="AM1733" i="2"/>
  <c r="AM1734" i="2"/>
  <c r="AM1735" i="2"/>
  <c r="AM1736" i="2"/>
  <c r="AM1737" i="2"/>
  <c r="AM1738" i="2"/>
  <c r="AM1739" i="2"/>
  <c r="AM1740" i="2"/>
  <c r="AM1741" i="2"/>
  <c r="AM1742" i="2"/>
  <c r="AM1743" i="2"/>
  <c r="AM1744" i="2"/>
  <c r="AM1745" i="2"/>
  <c r="AM1746" i="2"/>
  <c r="AM1747" i="2"/>
  <c r="AM1748" i="2"/>
  <c r="AM1749" i="2"/>
  <c r="AM1750" i="2"/>
  <c r="AM1751" i="2"/>
  <c r="AM1752" i="2"/>
  <c r="AM1753" i="2"/>
  <c r="AM1754" i="2"/>
  <c r="AM1755" i="2"/>
  <c r="AM1756" i="2"/>
  <c r="AM1757" i="2"/>
  <c r="AM1758" i="2"/>
  <c r="AM1759" i="2"/>
  <c r="AM1760" i="2"/>
  <c r="AM1761" i="2"/>
  <c r="AM1762" i="2"/>
  <c r="AM1763" i="2"/>
  <c r="AM1764" i="2"/>
  <c r="AM1765" i="2"/>
  <c r="AM1766" i="2"/>
  <c r="AM1767" i="2"/>
  <c r="AM1768" i="2"/>
  <c r="AM1769" i="2"/>
  <c r="AM1770" i="2"/>
  <c r="AM1771" i="2"/>
  <c r="AM1772" i="2"/>
  <c r="AM1773" i="2"/>
  <c r="AM1774" i="2"/>
  <c r="AM1775" i="2"/>
  <c r="AM1776" i="2"/>
  <c r="AM1777" i="2"/>
  <c r="AM1778" i="2"/>
  <c r="AM1779" i="2"/>
  <c r="AM1780" i="2"/>
  <c r="AM1781" i="2"/>
  <c r="AM1782" i="2"/>
  <c r="AM1783" i="2"/>
  <c r="AM1784" i="2"/>
  <c r="AM1785" i="2"/>
  <c r="AM1786" i="2"/>
  <c r="AM1787" i="2"/>
  <c r="AM1788" i="2"/>
  <c r="AM1789" i="2"/>
  <c r="AM1790" i="2"/>
  <c r="AM1791" i="2"/>
  <c r="AM1792" i="2"/>
  <c r="AM1793" i="2"/>
  <c r="AM1794" i="2"/>
  <c r="AM1795" i="2"/>
  <c r="AM1796" i="2"/>
  <c r="AM1797" i="2"/>
  <c r="AM1798" i="2"/>
  <c r="AM1799" i="2"/>
  <c r="AM1800" i="2"/>
  <c r="AM1801" i="2"/>
  <c r="AM1802" i="2"/>
  <c r="AM1803" i="2"/>
  <c r="AM1804" i="2"/>
  <c r="AM1805" i="2"/>
  <c r="AM1806" i="2"/>
  <c r="AM1807" i="2"/>
  <c r="AM1808" i="2"/>
  <c r="AM1809" i="2"/>
  <c r="AM1810" i="2"/>
  <c r="AM1811" i="2"/>
  <c r="AM1812" i="2"/>
  <c r="AM1813" i="2"/>
  <c r="AM1814" i="2"/>
  <c r="AM1815" i="2"/>
  <c r="AM1816" i="2"/>
  <c r="AM1817" i="2"/>
  <c r="AM1818" i="2"/>
  <c r="AM1819" i="2"/>
  <c r="AM1820" i="2"/>
  <c r="AM1821" i="2"/>
  <c r="AM1822" i="2"/>
  <c r="AM1823" i="2"/>
  <c r="AM1824" i="2"/>
  <c r="AM1825" i="2"/>
  <c r="AM1826" i="2"/>
  <c r="AM1827" i="2"/>
  <c r="AM1828" i="2"/>
  <c r="AM1829" i="2"/>
  <c r="AM1830" i="2"/>
  <c r="AM1831" i="2"/>
  <c r="AM1832" i="2"/>
  <c r="AM1833" i="2"/>
  <c r="AM1834" i="2"/>
  <c r="AM1835" i="2"/>
  <c r="AM1836" i="2"/>
  <c r="AM1837" i="2"/>
  <c r="AM1838" i="2"/>
  <c r="AM1839" i="2"/>
  <c r="AM1840" i="2"/>
  <c r="AM1841" i="2"/>
  <c r="AM1842" i="2"/>
  <c r="AM1843" i="2"/>
  <c r="AM1844" i="2"/>
  <c r="AM1845" i="2"/>
  <c r="AM1846" i="2"/>
  <c r="AM1847" i="2"/>
  <c r="AM1848" i="2"/>
  <c r="AM1849" i="2"/>
  <c r="AM1850" i="2"/>
  <c r="AM1851" i="2"/>
  <c r="AM1852" i="2"/>
  <c r="AM1853" i="2"/>
  <c r="AM1854" i="2"/>
  <c r="AM1855" i="2"/>
  <c r="AM1856" i="2"/>
  <c r="AM1857" i="2"/>
  <c r="AM1858" i="2"/>
  <c r="AM1859" i="2"/>
  <c r="AM1860" i="2"/>
  <c r="AM1861" i="2"/>
  <c r="AM1862" i="2"/>
  <c r="AM1863" i="2"/>
  <c r="AM1864" i="2"/>
  <c r="AM1865" i="2"/>
  <c r="AM1866" i="2"/>
  <c r="AM1867" i="2"/>
  <c r="AM1868" i="2"/>
  <c r="AM1869" i="2"/>
  <c r="AM1870" i="2"/>
  <c r="AM1871" i="2"/>
  <c r="AM1872" i="2"/>
  <c r="AM1873" i="2"/>
  <c r="AM1874" i="2"/>
  <c r="AM1875" i="2"/>
  <c r="AM1876" i="2"/>
  <c r="AM1877" i="2"/>
  <c r="AM1878" i="2"/>
  <c r="AM1879" i="2"/>
  <c r="AM1880" i="2"/>
  <c r="AM1881" i="2"/>
  <c r="AM1882" i="2"/>
  <c r="AM1883" i="2"/>
  <c r="AM1884" i="2"/>
  <c r="AM1885" i="2"/>
  <c r="AM1886" i="2"/>
  <c r="AM1887" i="2"/>
  <c r="AM1888" i="2"/>
  <c r="AM1889" i="2"/>
  <c r="AM1890" i="2"/>
  <c r="AM1891" i="2"/>
  <c r="AM1892" i="2"/>
  <c r="AM1893" i="2"/>
  <c r="AM1894" i="2"/>
  <c r="AM1895" i="2"/>
  <c r="AM1896" i="2"/>
  <c r="AM1897" i="2"/>
  <c r="AM1898" i="2"/>
  <c r="AM1899" i="2"/>
  <c r="AM1900" i="2"/>
  <c r="AM1901" i="2"/>
  <c r="AM1902" i="2"/>
  <c r="AM1903" i="2"/>
  <c r="AM1904" i="2"/>
  <c r="AM1905" i="2"/>
  <c r="AM1906" i="2"/>
  <c r="AM1907" i="2"/>
  <c r="AM1908" i="2"/>
  <c r="AM1909" i="2"/>
  <c r="AM1910" i="2"/>
  <c r="AM1911" i="2"/>
  <c r="AM1912" i="2"/>
  <c r="AM1913" i="2"/>
  <c r="AM1914" i="2"/>
  <c r="AM1915" i="2"/>
  <c r="AM1916" i="2"/>
  <c r="AM1917" i="2"/>
  <c r="AM1918" i="2"/>
  <c r="AM1919" i="2"/>
  <c r="AM1920" i="2"/>
  <c r="AM1921" i="2"/>
  <c r="AM1922" i="2"/>
  <c r="AM1923" i="2"/>
  <c r="AM3050" i="2"/>
  <c r="AM3051" i="2"/>
  <c r="AM3052" i="2"/>
  <c r="AM3053" i="2"/>
  <c r="AM3054" i="2"/>
  <c r="AM3055" i="2"/>
  <c r="AM3056" i="2"/>
  <c r="AM3057" i="2"/>
  <c r="AM3058" i="2"/>
  <c r="AM3059" i="2"/>
  <c r="AM3060" i="2"/>
  <c r="AM3061" i="2"/>
  <c r="AM3062" i="2"/>
  <c r="AM3063" i="2"/>
  <c r="AM3064" i="2"/>
  <c r="AM3065" i="2"/>
  <c r="AM3066" i="2"/>
  <c r="AM3067" i="2"/>
  <c r="AM3068" i="2"/>
  <c r="AM3069" i="2"/>
  <c r="AM3070" i="2"/>
  <c r="AM3071" i="2"/>
  <c r="AM3072" i="2"/>
  <c r="AM3073" i="2"/>
  <c r="AM3074" i="2"/>
  <c r="AM3075" i="2"/>
  <c r="AM3076" i="2"/>
  <c r="AM3077" i="2"/>
  <c r="AM3078" i="2"/>
  <c r="AM3079" i="2"/>
  <c r="AM3080" i="2"/>
  <c r="AM3081" i="2"/>
  <c r="AM3082" i="2"/>
  <c r="AM3083" i="2"/>
  <c r="AM3084" i="2"/>
  <c r="AM3085" i="2"/>
  <c r="AM3086" i="2"/>
  <c r="AM3087" i="2"/>
  <c r="AM3088" i="2"/>
  <c r="AM3090" i="2"/>
  <c r="AM3091" i="2"/>
  <c r="AM3093" i="2"/>
  <c r="AM3094" i="2"/>
  <c r="AM3095" i="2"/>
  <c r="AM3096" i="2"/>
  <c r="AM3097" i="2"/>
  <c r="AM3098" i="2"/>
  <c r="AM3099" i="2"/>
  <c r="AM700" i="2"/>
  <c r="AM701" i="2"/>
  <c r="AM702" i="2"/>
  <c r="AM703" i="2"/>
  <c r="AM704" i="2"/>
  <c r="AM705" i="2"/>
  <c r="AM706" i="2"/>
  <c r="AM707" i="2"/>
  <c r="AM708" i="2"/>
  <c r="AM709" i="2"/>
  <c r="AM710" i="2"/>
  <c r="AM711" i="2"/>
  <c r="AM712" i="2"/>
  <c r="AM713" i="2"/>
  <c r="AM714" i="2"/>
  <c r="AM715"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6" i="2"/>
  <c r="AM847" i="2"/>
  <c r="AM848" i="2"/>
  <c r="AM849" i="2"/>
  <c r="AM850" i="2"/>
  <c r="AM851" i="2"/>
  <c r="AM852" i="2"/>
  <c r="AM853" i="2"/>
  <c r="AM854" i="2"/>
  <c r="AM855" i="2"/>
  <c r="AM856" i="2"/>
  <c r="AM857" i="2"/>
  <c r="AM858" i="2"/>
  <c r="AM859" i="2"/>
  <c r="AM860" i="2"/>
  <c r="AM861" i="2"/>
  <c r="AM862" i="2"/>
  <c r="AM863" i="2"/>
  <c r="AM864" i="2"/>
  <c r="AM865" i="2"/>
  <c r="AM866" i="2"/>
  <c r="AM867" i="2"/>
  <c r="AM868" i="2"/>
  <c r="AM869" i="2"/>
  <c r="AM870" i="2"/>
  <c r="AM871" i="2"/>
  <c r="AM872" i="2"/>
  <c r="AM873" i="2"/>
  <c r="AM874" i="2"/>
  <c r="AM875" i="2"/>
  <c r="AM876" i="2"/>
  <c r="AM877" i="2"/>
  <c r="AM878" i="2"/>
  <c r="AM879" i="2"/>
  <c r="AM880" i="2"/>
  <c r="AM881" i="2"/>
  <c r="AM882" i="2"/>
  <c r="AM883" i="2"/>
  <c r="AM884" i="2"/>
  <c r="AM885" i="2"/>
  <c r="AM886" i="2"/>
  <c r="AM887" i="2"/>
  <c r="AM888" i="2"/>
  <c r="AM889" i="2"/>
  <c r="AM890" i="2"/>
  <c r="AM891" i="2"/>
  <c r="AM892" i="2"/>
  <c r="AM893" i="2"/>
  <c r="AM894" i="2"/>
  <c r="AM895" i="2"/>
  <c r="AM89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430" i="2"/>
  <c r="AM431" i="2"/>
  <c r="AM432" i="2"/>
  <c r="AM433" i="2"/>
  <c r="AM434" i="2"/>
  <c r="AM435" i="2"/>
  <c r="AM436" i="2"/>
  <c r="AM437" i="2"/>
  <c r="AM438" i="2"/>
  <c r="AM439" i="2"/>
  <c r="AM440" i="2"/>
  <c r="AM441" i="2"/>
  <c r="AM442" i="2"/>
  <c r="AM443" i="2"/>
  <c r="AM444" i="2"/>
  <c r="AM445" i="2"/>
  <c r="AM446" i="2"/>
  <c r="AM447" i="2"/>
  <c r="AM448" i="2"/>
  <c r="AM449" i="2"/>
  <c r="AM450" i="2"/>
  <c r="AM451" i="2"/>
  <c r="AM452" i="2"/>
  <c r="AM453" i="2"/>
  <c r="AM454" i="2"/>
  <c r="AM455" i="2"/>
  <c r="AM456" i="2"/>
  <c r="AM457" i="2"/>
  <c r="AM458" i="2"/>
  <c r="AM459" i="2"/>
  <c r="AM460" i="2"/>
  <c r="AM461" i="2"/>
  <c r="AM462" i="2"/>
  <c r="AM463" i="2"/>
  <c r="AM464" i="2"/>
  <c r="AM465" i="2"/>
  <c r="AM466" i="2"/>
  <c r="AM467" i="2"/>
  <c r="AM468" i="2"/>
  <c r="AM469" i="2"/>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5" i="2"/>
  <c r="AM496" i="2"/>
  <c r="AM497" i="2"/>
  <c r="AM498" i="2"/>
  <c r="AM499" i="2"/>
  <c r="AM500" i="2"/>
  <c r="AM501" i="2"/>
  <c r="AM502" i="2"/>
  <c r="AM503" i="2"/>
  <c r="AM504" i="2"/>
  <c r="AM505" i="2"/>
  <c r="AM506" i="2"/>
  <c r="AM507" i="2"/>
  <c r="AM508" i="2"/>
  <c r="AM509" i="2"/>
  <c r="AM510" i="2"/>
  <c r="AM511" i="2"/>
  <c r="AM512" i="2"/>
  <c r="AM513" i="2"/>
  <c r="AM514" i="2"/>
  <c r="AM515" i="2"/>
  <c r="AM516" i="2"/>
  <c r="AM517" i="2"/>
  <c r="AM518" i="2"/>
  <c r="AM519" i="2"/>
  <c r="AM520" i="2"/>
  <c r="AM521" i="2"/>
  <c r="AM522" i="2"/>
  <c r="AM523" i="2"/>
  <c r="AM524" i="2"/>
  <c r="AM525" i="2"/>
  <c r="AM526" i="2"/>
  <c r="AM527" i="2"/>
  <c r="AM528" i="2"/>
  <c r="AM529" i="2"/>
  <c r="AM530" i="2"/>
  <c r="AM531" i="2"/>
  <c r="AM532" i="2"/>
  <c r="AM533" i="2"/>
  <c r="AM534" i="2"/>
  <c r="AM535" i="2"/>
  <c r="AM536" i="2"/>
  <c r="AM537" i="2"/>
  <c r="AM538" i="2"/>
  <c r="AM539" i="2"/>
  <c r="AM540" i="2"/>
  <c r="AM541" i="2"/>
  <c r="AM542" i="2"/>
  <c r="AM543" i="2"/>
  <c r="AM544" i="2"/>
  <c r="AM545" i="2"/>
  <c r="AM546" i="2"/>
  <c r="AM547" i="2"/>
  <c r="AM548" i="2"/>
  <c r="AM549" i="2"/>
  <c r="AM550" i="2"/>
  <c r="AM551" i="2"/>
  <c r="AM552" i="2"/>
  <c r="AM553" i="2"/>
  <c r="AM554" i="2"/>
  <c r="AM555" i="2"/>
  <c r="AM556" i="2"/>
  <c r="AM557" i="2"/>
  <c r="AM558" i="2"/>
  <c r="AM559" i="2"/>
  <c r="AM560" i="2"/>
  <c r="AM561" i="2"/>
  <c r="AM562" i="2"/>
  <c r="AM563" i="2"/>
  <c r="AM586" i="2"/>
  <c r="AM587" i="2"/>
  <c r="AM588" i="2"/>
  <c r="AM589" i="2"/>
  <c r="AM590" i="2"/>
  <c r="AM591" i="2"/>
  <c r="AM592" i="2"/>
  <c r="AM593" i="2"/>
  <c r="AM594" i="2"/>
  <c r="AM595" i="2"/>
  <c r="AM596" i="2"/>
  <c r="AM597" i="2"/>
  <c r="AM598" i="2"/>
  <c r="AM599" i="2"/>
  <c r="AM600" i="2"/>
  <c r="AM601" i="2"/>
  <c r="AM602" i="2"/>
  <c r="AM603" i="2"/>
  <c r="AM604" i="2"/>
  <c r="AM605" i="2"/>
  <c r="AM606" i="2"/>
  <c r="AM607" i="2"/>
  <c r="AM608" i="2"/>
  <c r="AM609" i="2"/>
  <c r="AM610" i="2"/>
  <c r="AM611" i="2"/>
  <c r="AM612" i="2"/>
  <c r="AM613" i="2"/>
  <c r="AM614" i="2"/>
  <c r="AM615" i="2"/>
  <c r="AM616" i="2"/>
  <c r="AM617" i="2"/>
  <c r="AM618" i="2"/>
  <c r="AM619" i="2"/>
  <c r="AM620" i="2"/>
  <c r="AM621" i="2"/>
  <c r="AM622" i="2"/>
  <c r="AM623" i="2"/>
  <c r="AM624" i="2"/>
  <c r="AM625" i="2"/>
  <c r="AM626" i="2"/>
  <c r="AM627" i="2"/>
  <c r="AM628" i="2"/>
  <c r="AM629" i="2"/>
  <c r="AM630" i="2"/>
  <c r="AM631" i="2"/>
  <c r="AM632" i="2"/>
  <c r="AM633" i="2"/>
  <c r="AM634" i="2"/>
  <c r="AM635" i="2"/>
  <c r="AM636" i="2"/>
  <c r="AM637" i="2"/>
  <c r="AM638" i="2"/>
  <c r="AM639" i="2"/>
  <c r="AM640" i="2"/>
  <c r="AM641" i="2"/>
  <c r="AM642" i="2"/>
  <c r="AM643" i="2"/>
  <c r="AM644" i="2"/>
  <c r="AM645" i="2"/>
  <c r="AM646" i="2"/>
  <c r="AM647" i="2"/>
  <c r="AM648" i="2"/>
  <c r="AM649" i="2"/>
  <c r="AM650" i="2"/>
  <c r="AM651" i="2"/>
  <c r="AM652" i="2"/>
  <c r="AM653" i="2"/>
  <c r="AM654" i="2"/>
  <c r="AM655" i="2"/>
  <c r="AM656" i="2"/>
  <c r="AM657" i="2"/>
  <c r="AM658" i="2"/>
  <c r="AM659" i="2"/>
  <c r="AM660" i="2"/>
  <c r="AM661" i="2"/>
  <c r="AM662" i="2"/>
  <c r="AM663" i="2"/>
  <c r="AM664" i="2"/>
  <c r="AM665" i="2"/>
  <c r="AM666" i="2"/>
  <c r="AM667" i="2"/>
  <c r="AM668" i="2"/>
  <c r="AM669" i="2"/>
  <c r="AM670" i="2"/>
  <c r="AM671" i="2"/>
  <c r="AM672" i="2"/>
  <c r="AM673" i="2"/>
  <c r="AM674" i="2"/>
  <c r="AM675" i="2"/>
  <c r="AM676" i="2"/>
  <c r="AM677" i="2"/>
  <c r="AM1110" i="2"/>
  <c r="AM1111" i="2"/>
  <c r="AM1112" i="2"/>
  <c r="AM1113" i="2"/>
  <c r="AM1114" i="2"/>
  <c r="AM1115" i="2"/>
  <c r="AM1116" i="2"/>
  <c r="AM1117" i="2"/>
  <c r="AM1118" i="2"/>
  <c r="AM1119" i="2"/>
  <c r="AM1120" i="2"/>
  <c r="AM1121" i="2"/>
  <c r="AM1122" i="2"/>
  <c r="AM1123" i="2"/>
  <c r="AM1124" i="2"/>
  <c r="AM1125" i="2"/>
  <c r="AM1126" i="2"/>
  <c r="AM1127" i="2"/>
  <c r="AM1128" i="2"/>
  <c r="AM1129" i="2"/>
  <c r="AM1130" i="2"/>
  <c r="AM1131" i="2"/>
  <c r="AM1132" i="2"/>
  <c r="AM1133" i="2"/>
  <c r="AM1134" i="2"/>
  <c r="AM1135" i="2"/>
  <c r="AM1136" i="2"/>
  <c r="AM1137" i="2"/>
  <c r="AM1138" i="2"/>
  <c r="AM1139" i="2"/>
  <c r="AM1140" i="2"/>
  <c r="AM1141" i="2"/>
  <c r="AM1142" i="2"/>
  <c r="AM1143" i="2"/>
  <c r="AM1144" i="2"/>
  <c r="AM1145" i="2"/>
  <c r="AM1146" i="2"/>
  <c r="AM1147" i="2"/>
  <c r="AM1148" i="2"/>
  <c r="AM1149" i="2"/>
  <c r="AM1150" i="2"/>
  <c r="AM1151" i="2"/>
  <c r="AM1152" i="2"/>
  <c r="AM1153" i="2"/>
  <c r="AM1154" i="2"/>
  <c r="AM1155" i="2"/>
  <c r="AM1156" i="2"/>
  <c r="AM1157" i="2"/>
  <c r="AM1158" i="2"/>
  <c r="AM1159" i="2"/>
  <c r="AM1160" i="2"/>
  <c r="AM1161" i="2"/>
  <c r="AM1162" i="2"/>
  <c r="AM1163" i="2"/>
  <c r="AM1164" i="2"/>
  <c r="AM1165" i="2"/>
  <c r="AM1166" i="2"/>
  <c r="AM1167" i="2"/>
  <c r="AM1168" i="2"/>
  <c r="AM1169" i="2"/>
  <c r="AM1170" i="2"/>
  <c r="AM1171" i="2"/>
  <c r="AM1172" i="2"/>
  <c r="AM1173" i="2"/>
  <c r="AM1174" i="2"/>
  <c r="AM1175" i="2"/>
  <c r="AM1176" i="2"/>
  <c r="AM1177" i="2"/>
  <c r="AM1178" i="2"/>
  <c r="AM1179" i="2"/>
  <c r="AM1180" i="2"/>
  <c r="AM1181" i="2"/>
  <c r="AM1182" i="2"/>
  <c r="AM1183" i="2"/>
  <c r="AM1184" i="2"/>
  <c r="AM1185" i="2"/>
  <c r="AM1186" i="2"/>
  <c r="AM1187" i="2"/>
  <c r="AM1188" i="2"/>
  <c r="AM1189" i="2"/>
  <c r="AM1190" i="2"/>
  <c r="AM1191" i="2"/>
  <c r="AM1192" i="2"/>
  <c r="AM1193" i="2"/>
  <c r="AM1194" i="2"/>
  <c r="AM1195" i="2"/>
  <c r="AM1196" i="2"/>
  <c r="AM1197" i="2"/>
  <c r="AM1198" i="2"/>
  <c r="AM1199" i="2"/>
  <c r="AM1200" i="2"/>
  <c r="AM1201" i="2"/>
  <c r="AM1202" i="2"/>
  <c r="AM1203" i="2"/>
  <c r="AM1204" i="2"/>
  <c r="AM1205" i="2"/>
  <c r="AM1206" i="2"/>
  <c r="AM1207" i="2"/>
  <c r="AM1208" i="2"/>
  <c r="AM1209" i="2"/>
  <c r="AM1210" i="2"/>
  <c r="AM1211" i="2"/>
  <c r="AM1212" i="2"/>
  <c r="AM1213" i="2"/>
  <c r="AM1214" i="2"/>
  <c r="AM1215" i="2"/>
  <c r="AM1216" i="2"/>
  <c r="AM1217" i="2"/>
  <c r="AM1218" i="2"/>
  <c r="AM1219" i="2"/>
  <c r="AM1220" i="2"/>
  <c r="AM1221" i="2"/>
  <c r="AM1222" i="2"/>
  <c r="AM1223" i="2"/>
  <c r="AM1224" i="2"/>
  <c r="AM1225" i="2"/>
  <c r="AM1226" i="2"/>
  <c r="AM1227" i="2"/>
  <c r="AM1228" i="2"/>
  <c r="AM1229" i="2"/>
  <c r="AM1230" i="2"/>
  <c r="AM1231" i="2"/>
  <c r="AM1232" i="2"/>
  <c r="AM1233" i="2"/>
  <c r="AM1234" i="2"/>
  <c r="AM1235" i="2"/>
  <c r="AM1236" i="2"/>
  <c r="AM1237" i="2"/>
  <c r="AM1238" i="2"/>
  <c r="AM1239" i="2"/>
  <c r="AM1240" i="2"/>
  <c r="AM1241" i="2"/>
  <c r="AM1242" i="2"/>
  <c r="AM1243" i="2"/>
  <c r="AM1244" i="2"/>
  <c r="AM1245" i="2"/>
  <c r="AM1246" i="2"/>
  <c r="AM1247" i="2"/>
  <c r="AM1248" i="2"/>
  <c r="AM1249" i="2"/>
  <c r="AM1250" i="2"/>
  <c r="AM1251" i="2"/>
  <c r="AM1252" i="2"/>
  <c r="AM1253" i="2"/>
  <c r="AM1254" i="2"/>
  <c r="AM1255" i="2"/>
  <c r="AM1256" i="2"/>
  <c r="AM1257" i="2"/>
  <c r="AM1258" i="2"/>
  <c r="AM1259" i="2"/>
  <c r="AM1260" i="2"/>
  <c r="AM1261" i="2"/>
  <c r="AM1262" i="2"/>
  <c r="AM1263" i="2"/>
  <c r="AM1264" i="2"/>
  <c r="AM1265" i="2"/>
  <c r="AM1266" i="2"/>
  <c r="AM1267" i="2"/>
  <c r="AM1268" i="2"/>
  <c r="AM1269" i="2"/>
  <c r="AM1270" i="2"/>
  <c r="AM1271" i="2"/>
  <c r="AM1272" i="2"/>
  <c r="AM1273" i="2"/>
  <c r="AM1274" i="2"/>
  <c r="AM1275" i="2"/>
  <c r="AM1276" i="2"/>
  <c r="AM1277" i="2"/>
  <c r="AM1278" i="2"/>
  <c r="AM1279" i="2"/>
  <c r="AM1280" i="2"/>
  <c r="AM1281" i="2"/>
  <c r="AM1282" i="2"/>
  <c r="AM1283" i="2"/>
  <c r="AM1284" i="2"/>
  <c r="AM1285" i="2"/>
  <c r="AM1286" i="2"/>
  <c r="AM1287" i="2"/>
  <c r="AM1288" i="2"/>
  <c r="AM1289" i="2"/>
  <c r="AM1290" i="2"/>
  <c r="AM1291" i="2"/>
  <c r="AM1292" i="2"/>
  <c r="AM1293" i="2"/>
  <c r="AM1294" i="2"/>
  <c r="AM1295" i="2"/>
  <c r="AM1296" i="2"/>
  <c r="AM1297" i="2"/>
  <c r="AM1298" i="2"/>
  <c r="AM1299" i="2"/>
  <c r="AM1300" i="2"/>
  <c r="AM1301" i="2"/>
  <c r="AM1302" i="2"/>
  <c r="AM1303" i="2"/>
  <c r="AM1304" i="2"/>
  <c r="AM1305" i="2"/>
  <c r="AM1306" i="2"/>
  <c r="AM1307" i="2"/>
  <c r="AM1308" i="2"/>
  <c r="AM1309" i="2"/>
  <c r="AM1310" i="2"/>
  <c r="AM1311" i="2"/>
  <c r="AM1312" i="2"/>
  <c r="AM1313" i="2"/>
  <c r="AM1314" i="2"/>
  <c r="AM1315" i="2"/>
  <c r="AM1316" i="2"/>
  <c r="AM1317" i="2"/>
  <c r="AM1318" i="2"/>
  <c r="AM1319" i="2"/>
  <c r="AM1320" i="2"/>
  <c r="AM1321" i="2"/>
  <c r="AM1322" i="2"/>
  <c r="AM1323" i="2"/>
  <c r="AM1324" i="2"/>
  <c r="AM1325" i="2"/>
  <c r="AM1326" i="2"/>
  <c r="AM1327" i="2"/>
  <c r="AM1328" i="2"/>
  <c r="AM1329" i="2"/>
  <c r="AM1330" i="2"/>
  <c r="AM1331" i="2"/>
  <c r="AM1332" i="2"/>
  <c r="AM1333" i="2"/>
  <c r="AM1334" i="2"/>
  <c r="AM1335" i="2"/>
  <c r="AM1336" i="2"/>
  <c r="AM1337" i="2"/>
  <c r="AM1338" i="2"/>
  <c r="AM1339" i="2"/>
  <c r="AM1340" i="2"/>
  <c r="AM1341" i="2"/>
  <c r="AM1342" i="2"/>
  <c r="AM1343" i="2"/>
  <c r="AM1344" i="2"/>
  <c r="AM1345" i="2"/>
  <c r="AM1346" i="2"/>
  <c r="AM1347" i="2"/>
  <c r="AM1348" i="2"/>
  <c r="AM1349" i="2"/>
  <c r="AM1350" i="2"/>
  <c r="AM1351" i="2"/>
  <c r="AM1352" i="2"/>
  <c r="AM1353" i="2"/>
  <c r="AM1354" i="2"/>
  <c r="AM1355" i="2"/>
  <c r="AM1356" i="2"/>
  <c r="AM1357" i="2"/>
  <c r="AM1358" i="2"/>
  <c r="AM1359" i="2"/>
  <c r="AM1360" i="2"/>
  <c r="AM1361" i="2"/>
  <c r="AM1362" i="2"/>
  <c r="AM1363" i="2"/>
  <c r="AM1364" i="2"/>
  <c r="AM1365" i="2"/>
  <c r="AM1366" i="2"/>
  <c r="AM1367" i="2"/>
  <c r="AM1368" i="2"/>
  <c r="AM1369" i="2"/>
  <c r="AM1370" i="2"/>
  <c r="AM1371" i="2"/>
  <c r="AM1372" i="2"/>
  <c r="AM1373" i="2"/>
  <c r="AM1374" i="2"/>
  <c r="AM1375" i="2"/>
  <c r="AM1376" i="2"/>
  <c r="AM1377" i="2"/>
  <c r="AM1378" i="2"/>
  <c r="AM1379" i="2"/>
  <c r="AM1380" i="2"/>
  <c r="AM1381" i="2"/>
  <c r="AM1382" i="2"/>
  <c r="AM1383" i="2"/>
  <c r="AM1384" i="2"/>
  <c r="AM1385" i="2"/>
  <c r="AM1386" i="2"/>
  <c r="AM1387" i="2"/>
  <c r="AM1388" i="2"/>
  <c r="AM1389" i="2"/>
  <c r="AM1390" i="2"/>
  <c r="AM1391" i="2"/>
  <c r="AM1392" i="2"/>
  <c r="AM1393" i="2"/>
  <c r="AM1394" i="2"/>
  <c r="AM1395" i="2"/>
  <c r="AM1396" i="2"/>
  <c r="AM1397" i="2"/>
  <c r="AM1398" i="2"/>
  <c r="AM1399" i="2"/>
  <c r="AM1400" i="2"/>
  <c r="AM1401" i="2"/>
  <c r="AM1402" i="2"/>
  <c r="AM1403" i="2"/>
  <c r="AM1404" i="2"/>
  <c r="AM1405" i="2"/>
  <c r="AM1406" i="2"/>
  <c r="AM1407" i="2"/>
  <c r="AM1408" i="2"/>
  <c r="AM1409" i="2"/>
  <c r="AM1410" i="2"/>
  <c r="AM1946" i="2"/>
  <c r="AM1947" i="2"/>
  <c r="AM1948" i="2"/>
  <c r="AM1949" i="2"/>
  <c r="AM1950" i="2"/>
  <c r="AM1951" i="2"/>
  <c r="AM1952" i="2"/>
  <c r="AM1953" i="2"/>
  <c r="AM1954" i="2"/>
  <c r="AM1955" i="2"/>
  <c r="AM1956" i="2"/>
  <c r="AM1957" i="2"/>
  <c r="AM1958" i="2"/>
  <c r="AM1959" i="2"/>
  <c r="AM1960" i="2"/>
  <c r="AM1961" i="2"/>
  <c r="AM1962" i="2"/>
  <c r="AM1963" i="2"/>
  <c r="AM1964" i="2"/>
  <c r="AM1965" i="2"/>
  <c r="AM1966" i="2"/>
  <c r="AM1967" i="2"/>
  <c r="AM1968" i="2"/>
  <c r="AM1969" i="2"/>
  <c r="AM1970" i="2"/>
  <c r="AM1971" i="2"/>
  <c r="AM1972" i="2"/>
  <c r="AM1973" i="2"/>
  <c r="AM1974" i="2"/>
  <c r="AM1975" i="2"/>
  <c r="AM1976" i="2"/>
  <c r="AM1977" i="2"/>
  <c r="AM1978" i="2"/>
  <c r="AM1979" i="2"/>
  <c r="AM1980" i="2"/>
  <c r="AM1981" i="2"/>
  <c r="AM1982" i="2"/>
  <c r="AM1983" i="2"/>
  <c r="AM1984" i="2"/>
  <c r="AM1985" i="2"/>
  <c r="AM1986" i="2"/>
  <c r="AM1987" i="2"/>
  <c r="AM1988" i="2"/>
  <c r="AM1989" i="2"/>
  <c r="AM1990" i="2"/>
  <c r="AM1991" i="2"/>
  <c r="AM1992" i="2"/>
  <c r="AM1993" i="2"/>
  <c r="AM1994" i="2"/>
  <c r="AM1995" i="2"/>
  <c r="AM1996" i="2"/>
  <c r="AM1997" i="2"/>
  <c r="AM1998" i="2"/>
  <c r="AM1999" i="2"/>
  <c r="AM2000" i="2"/>
  <c r="AM2001" i="2"/>
  <c r="AM2002" i="2"/>
  <c r="AM2003" i="2"/>
  <c r="AM2004" i="2"/>
  <c r="AM2005" i="2"/>
  <c r="AM2006" i="2"/>
  <c r="AM2007" i="2"/>
  <c r="AM2008" i="2"/>
  <c r="AM2009" i="2"/>
  <c r="AM2010" i="2"/>
  <c r="AM2011" i="2"/>
  <c r="AM2012" i="2"/>
  <c r="AM2013" i="2"/>
  <c r="AM2014" i="2"/>
  <c r="AM2015" i="2"/>
  <c r="AM2016" i="2"/>
  <c r="AM2017" i="2"/>
  <c r="AM2018" i="2"/>
  <c r="AM2019" i="2"/>
  <c r="AM2020" i="2"/>
  <c r="AM2021" i="2"/>
  <c r="AM2022" i="2"/>
  <c r="AM2023" i="2"/>
  <c r="AM2024" i="2"/>
  <c r="AM2025" i="2"/>
  <c r="AM2026" i="2"/>
  <c r="AM2027" i="2"/>
  <c r="AM2028" i="2"/>
  <c r="AM2029" i="2"/>
  <c r="AM2030" i="2"/>
  <c r="AM2031" i="2"/>
  <c r="AM2032" i="2"/>
  <c r="AM2033" i="2"/>
  <c r="AM2034" i="2"/>
  <c r="AM2035" i="2"/>
  <c r="AM2036" i="2"/>
  <c r="AM2037" i="2"/>
  <c r="AM2038" i="2"/>
  <c r="AM2039" i="2"/>
  <c r="AM2040" i="2"/>
  <c r="AM2041" i="2"/>
  <c r="AM2042" i="2"/>
  <c r="AM2043" i="2"/>
  <c r="AM2044" i="2"/>
  <c r="AM2045" i="2"/>
  <c r="AM2046" i="2"/>
  <c r="AM2047" i="2"/>
  <c r="AM2048" i="2"/>
  <c r="AM2049" i="2"/>
  <c r="AM2050" i="2"/>
  <c r="AM2051" i="2"/>
  <c r="AM2052" i="2"/>
  <c r="AM2053" i="2"/>
  <c r="AM2054" i="2"/>
  <c r="AM2055" i="2"/>
  <c r="AM2056" i="2"/>
  <c r="AM2057" i="2"/>
  <c r="AM2058" i="2"/>
  <c r="AM2059" i="2"/>
  <c r="AM2060" i="2"/>
  <c r="AM2061" i="2"/>
  <c r="AM2062" i="2"/>
  <c r="AM2063" i="2"/>
  <c r="AM2064" i="2"/>
  <c r="AM2065" i="2"/>
  <c r="AM2066" i="2"/>
  <c r="AM2067" i="2"/>
  <c r="AM2068" i="2"/>
  <c r="AM2069" i="2"/>
  <c r="AM2070" i="2"/>
  <c r="AM2071" i="2"/>
  <c r="AM2072" i="2"/>
  <c r="AM2073" i="2"/>
  <c r="AM2074" i="2"/>
  <c r="AM2075" i="2"/>
  <c r="AM2076" i="2"/>
  <c r="AM2077" i="2"/>
  <c r="AM2078" i="2"/>
  <c r="AM2079" i="2"/>
  <c r="AM2080" i="2"/>
  <c r="AM2081" i="2"/>
  <c r="AM2082" i="2"/>
  <c r="AM2083" i="2"/>
  <c r="AM2084" i="2"/>
  <c r="AM2085" i="2"/>
  <c r="AM2086" i="2"/>
  <c r="AM2087" i="2"/>
  <c r="AM2088" i="2"/>
  <c r="AM2089" i="2"/>
  <c r="AM2090" i="2"/>
  <c r="AM2091" i="2"/>
  <c r="AM2092" i="2"/>
  <c r="AM2093" i="2"/>
  <c r="AM2094" i="2"/>
  <c r="AM2095" i="2"/>
  <c r="AM2096" i="2"/>
  <c r="AM2097" i="2"/>
  <c r="AM2098" i="2"/>
  <c r="AM2099" i="2"/>
  <c r="AM2100" i="2"/>
  <c r="AM2101" i="2"/>
  <c r="AM2102" i="2"/>
  <c r="AM2103" i="2"/>
  <c r="AM2104" i="2"/>
  <c r="AM2105" i="2"/>
  <c r="AM2106" i="2"/>
  <c r="AM2107" i="2"/>
  <c r="AM2108" i="2"/>
  <c r="AM2109" i="2"/>
  <c r="AM2110" i="2"/>
  <c r="AM2111" i="2"/>
  <c r="AM2112" i="2"/>
  <c r="AM2113" i="2"/>
  <c r="AM2114" i="2"/>
  <c r="AM2115" i="2"/>
  <c r="AM2116" i="2"/>
  <c r="AM2117" i="2"/>
  <c r="AM2118" i="2"/>
  <c r="AM2119" i="2"/>
  <c r="AM2120" i="2"/>
  <c r="AM2121" i="2"/>
  <c r="AM2122" i="2"/>
  <c r="AM2123" i="2"/>
  <c r="AM2124" i="2"/>
  <c r="AM2125" i="2"/>
  <c r="AM2126" i="2"/>
  <c r="AM2127" i="2"/>
  <c r="AM2128" i="2"/>
  <c r="AM2129" i="2"/>
  <c r="AM2130" i="2"/>
  <c r="AM2131" i="2"/>
  <c r="AM2132" i="2"/>
  <c r="AM2133" i="2"/>
  <c r="AM2134" i="2"/>
  <c r="AM2135" i="2"/>
  <c r="AM2136" i="2"/>
  <c r="AM2137" i="2"/>
  <c r="AM2138" i="2"/>
  <c r="AM2139" i="2"/>
  <c r="AM919" i="2"/>
  <c r="AM920" i="2"/>
  <c r="AM921" i="2"/>
  <c r="AM922" i="2"/>
  <c r="AM923" i="2"/>
  <c r="AM924" i="2"/>
  <c r="AM925" i="2"/>
  <c r="AM926" i="2"/>
  <c r="AM927" i="2"/>
  <c r="AM928" i="2"/>
  <c r="AM929" i="2"/>
  <c r="AM930" i="2"/>
  <c r="AM931" i="2"/>
  <c r="AM932" i="2"/>
  <c r="AM933" i="2"/>
  <c r="AM934" i="2"/>
  <c r="AM935" i="2"/>
  <c r="AM936" i="2"/>
  <c r="AM937" i="2"/>
  <c r="AM938" i="2"/>
  <c r="AM939" i="2"/>
  <c r="AM940" i="2"/>
  <c r="AM941" i="2"/>
  <c r="AM942" i="2"/>
  <c r="AM943" i="2"/>
  <c r="AM944" i="2"/>
  <c r="AM945" i="2"/>
  <c r="AM946" i="2"/>
  <c r="AM947" i="2"/>
  <c r="AM948" i="2"/>
  <c r="AM949" i="2"/>
  <c r="AM950" i="2"/>
  <c r="AM951" i="2"/>
  <c r="AM952" i="2"/>
  <c r="AM953" i="2"/>
  <c r="AM954" i="2"/>
  <c r="AM955" i="2"/>
  <c r="AM956" i="2"/>
  <c r="AM957" i="2"/>
  <c r="AM958" i="2"/>
  <c r="AM959" i="2"/>
  <c r="AM960" i="2"/>
  <c r="AM961" i="2"/>
  <c r="AM962" i="2"/>
  <c r="AM963" i="2"/>
  <c r="AM964" i="2"/>
  <c r="AM965" i="2"/>
  <c r="AM966" i="2"/>
  <c r="AM967" i="2"/>
  <c r="AM968" i="2"/>
  <c r="AM969" i="2"/>
  <c r="AM970" i="2"/>
  <c r="AM971" i="2"/>
  <c r="AM972" i="2"/>
  <c r="AM973" i="2"/>
  <c r="AM974" i="2"/>
  <c r="AM975" i="2"/>
  <c r="AM976" i="2"/>
  <c r="AM977" i="2"/>
  <c r="AM978" i="2"/>
  <c r="AM979" i="2"/>
  <c r="AM980" i="2"/>
  <c r="AM981" i="2"/>
  <c r="AM982" i="2"/>
  <c r="AM983" i="2"/>
  <c r="AM984" i="2"/>
  <c r="AM985" i="2"/>
  <c r="AM986" i="2"/>
  <c r="AM987" i="2"/>
  <c r="AM988" i="2"/>
  <c r="AM989" i="2"/>
  <c r="AM990" i="2"/>
  <c r="AM991" i="2"/>
  <c r="AM992" i="2"/>
  <c r="AM993" i="2"/>
  <c r="AM994" i="2"/>
  <c r="AM995" i="2"/>
  <c r="AM996" i="2"/>
  <c r="AM997" i="2"/>
  <c r="AM998" i="2"/>
  <c r="AM999" i="2"/>
  <c r="AM1000" i="2"/>
  <c r="AM1001" i="2"/>
  <c r="AM1002" i="2"/>
  <c r="AM1003" i="2"/>
  <c r="AM1004" i="2"/>
  <c r="AM1005" i="2"/>
  <c r="AM1006" i="2"/>
  <c r="AM1007" i="2"/>
  <c r="AM1008" i="2"/>
  <c r="AM1009" i="2"/>
  <c r="AM1010" i="2"/>
  <c r="AM1011" i="2"/>
  <c r="AM1012" i="2"/>
  <c r="AM1013" i="2"/>
  <c r="AM1014" i="2"/>
  <c r="AM1015" i="2"/>
  <c r="AM1016" i="2"/>
  <c r="AM1017" i="2"/>
  <c r="AM1018" i="2"/>
  <c r="AM1019" i="2"/>
  <c r="AM1020" i="2"/>
  <c r="AM1021" i="2"/>
  <c r="AM1022" i="2"/>
  <c r="AM1023" i="2"/>
  <c r="AM1024" i="2"/>
  <c r="AM1025" i="2"/>
  <c r="AM1026" i="2"/>
  <c r="AM1027" i="2"/>
  <c r="AM1028" i="2"/>
  <c r="AM1029" i="2"/>
  <c r="AM1030" i="2"/>
  <c r="AM1031" i="2"/>
  <c r="AM1032" i="2"/>
  <c r="AM1033" i="2"/>
  <c r="AM1034" i="2"/>
  <c r="AM1035" i="2"/>
  <c r="AM1036" i="2"/>
  <c r="AM1037" i="2"/>
  <c r="AM1038" i="2"/>
  <c r="AM1039" i="2"/>
  <c r="AM1040" i="2"/>
  <c r="AM1041" i="2"/>
  <c r="AM1042" i="2"/>
  <c r="AM1043" i="2"/>
  <c r="AM1044" i="2"/>
  <c r="AM1045" i="2"/>
  <c r="AM1046" i="2"/>
  <c r="AM1047" i="2"/>
  <c r="AM1048" i="2"/>
  <c r="AM1049" i="2"/>
  <c r="AM1050" i="2"/>
  <c r="AM1051" i="2"/>
  <c r="AM1052" i="2"/>
  <c r="AM1053" i="2"/>
  <c r="AM1054" i="2"/>
  <c r="AM1055" i="2"/>
  <c r="AM1056" i="2"/>
  <c r="AM1057" i="2"/>
  <c r="AM1058" i="2"/>
  <c r="AM1059" i="2"/>
  <c r="AM1060" i="2"/>
  <c r="AM1061" i="2"/>
  <c r="AM1062" i="2"/>
  <c r="AM1063" i="2"/>
  <c r="AM1064" i="2"/>
  <c r="AM1065" i="2"/>
  <c r="AM1433" i="2"/>
  <c r="AM1434" i="2"/>
  <c r="AM1435" i="2"/>
  <c r="AM1436" i="2"/>
  <c r="AM1437" i="2"/>
  <c r="AM1438" i="2"/>
  <c r="AM1439" i="2"/>
  <c r="AM1440" i="2"/>
  <c r="AM1441" i="2"/>
  <c r="AM1442" i="2"/>
  <c r="AM1443" i="2"/>
  <c r="AM1444" i="2"/>
  <c r="AM1445" i="2"/>
  <c r="AM1446" i="2"/>
  <c r="AM1447" i="2"/>
  <c r="AM1448" i="2"/>
  <c r="AM1449" i="2"/>
  <c r="AM1450" i="2"/>
  <c r="AM1451" i="2"/>
  <c r="AM1452" i="2"/>
  <c r="AM1453" i="2"/>
  <c r="AM1454" i="2"/>
  <c r="AM1455" i="2"/>
  <c r="AM1456" i="2"/>
  <c r="AM1457" i="2"/>
  <c r="AM1458" i="2"/>
  <c r="AM1459" i="2"/>
  <c r="AM1460" i="2"/>
  <c r="AM1461" i="2"/>
  <c r="AM1462" i="2"/>
  <c r="AM1463" i="2"/>
  <c r="AM1464" i="2"/>
  <c r="AM1465" i="2"/>
  <c r="AM1466" i="2"/>
  <c r="AM1467" i="2"/>
  <c r="AM1468" i="2"/>
  <c r="AM1469" i="2"/>
  <c r="AM1470" i="2"/>
  <c r="AM1471" i="2"/>
  <c r="AM1472" i="2"/>
  <c r="AM1473" i="2"/>
  <c r="AM1474" i="2"/>
  <c r="AM1475" i="2"/>
  <c r="AM1476" i="2"/>
  <c r="AM1477" i="2"/>
  <c r="AM1478" i="2"/>
  <c r="AM1479" i="2"/>
  <c r="AM1480" i="2"/>
  <c r="AM1481" i="2"/>
  <c r="AM1482" i="2"/>
  <c r="AM1483" i="2"/>
  <c r="AM1484" i="2"/>
  <c r="AM1485" i="2"/>
  <c r="AM1486" i="2"/>
  <c r="AM1487" i="2"/>
  <c r="AM1488" i="2"/>
  <c r="AM1489" i="2"/>
  <c r="AM1490" i="2"/>
  <c r="AM1491" i="2"/>
  <c r="AM1492" i="2"/>
  <c r="AM1493" i="2"/>
  <c r="AM1494" i="2"/>
  <c r="AM1495" i="2"/>
  <c r="AM1496" i="2"/>
  <c r="AM1497" i="2"/>
  <c r="AM1498" i="2"/>
  <c r="AM1499" i="2"/>
  <c r="AM1500" i="2"/>
  <c r="AM1501" i="2"/>
  <c r="AM1502" i="2"/>
  <c r="AM1503" i="2"/>
  <c r="AM1504" i="2"/>
  <c r="AM1505" i="2"/>
  <c r="AM1506" i="2"/>
  <c r="AM1507" i="2"/>
  <c r="AM1508" i="2"/>
  <c r="AM1509" i="2"/>
  <c r="AM1510" i="2"/>
  <c r="AM1511" i="2"/>
  <c r="AM1512" i="2"/>
  <c r="AM1513" i="2"/>
  <c r="AM1514" i="2"/>
  <c r="AM1515" i="2"/>
  <c r="AM1516" i="2"/>
  <c r="AM1517" i="2"/>
  <c r="AM1518" i="2"/>
  <c r="AM1519" i="2"/>
  <c r="AM1520" i="2"/>
  <c r="AM1521" i="2"/>
  <c r="AM1522" i="2"/>
  <c r="AM1523" i="2"/>
  <c r="AM1524" i="2"/>
  <c r="AM1525" i="2"/>
  <c r="AM1526" i="2"/>
  <c r="AM1527" i="2"/>
  <c r="AM1528" i="2"/>
  <c r="AM1529" i="2"/>
  <c r="AM1530" i="2"/>
  <c r="AM1531" i="2"/>
  <c r="AM1532" i="2"/>
  <c r="AM1533" i="2"/>
  <c r="AM1534" i="2"/>
  <c r="AM1535" i="2"/>
  <c r="AM1536" i="2"/>
  <c r="AM1537" i="2"/>
  <c r="AM1538" i="2"/>
  <c r="AM1539" i="2"/>
  <c r="AM1540" i="2"/>
  <c r="AM1541" i="2"/>
  <c r="AM1542" i="2"/>
  <c r="AM1543" i="2"/>
  <c r="AM1544" i="2"/>
  <c r="AM1545" i="2"/>
  <c r="AM1546" i="2"/>
  <c r="AM1547" i="2"/>
  <c r="AM1548" i="2"/>
  <c r="AM1549" i="2"/>
  <c r="AM1550" i="2"/>
  <c r="AM1551" i="2"/>
  <c r="AM1552" i="2"/>
  <c r="AM1553" i="2"/>
  <c r="AM1554" i="2"/>
  <c r="AM1555" i="2"/>
  <c r="AM1556" i="2"/>
  <c r="AM1557" i="2"/>
  <c r="AM1558" i="2"/>
  <c r="AM1559" i="2"/>
  <c r="AM1560" i="2"/>
  <c r="AM1561" i="2"/>
  <c r="AM1562" i="2"/>
  <c r="AM1563" i="2"/>
  <c r="AM1564" i="2"/>
  <c r="AM1565" i="2"/>
  <c r="AM1566" i="2"/>
  <c r="AM1567" i="2"/>
  <c r="AM1568" i="2"/>
  <c r="AM1569" i="2"/>
  <c r="AM1570" i="2"/>
  <c r="AM1571" i="2"/>
  <c r="AM1572" i="2"/>
  <c r="AM1573" i="2"/>
  <c r="AM1574" i="2"/>
  <c r="AM1575" i="2"/>
  <c r="AM1576" i="2"/>
  <c r="AM1577" i="2"/>
  <c r="AM1578" i="2"/>
  <c r="AM1579" i="2"/>
  <c r="AM1580" i="2"/>
  <c r="AM1581" i="2"/>
  <c r="AM1582" i="2"/>
  <c r="AM1583" i="2"/>
  <c r="AM1584" i="2"/>
  <c r="AM1585" i="2"/>
  <c r="AM1586" i="2"/>
  <c r="AM1587" i="2"/>
  <c r="AM1588" i="2"/>
  <c r="AM1589" i="2"/>
  <c r="AM1590" i="2"/>
  <c r="AM1591" i="2"/>
  <c r="AM1592" i="2"/>
  <c r="AM1593" i="2"/>
  <c r="AM1594" i="2"/>
  <c r="AM1595" i="2"/>
  <c r="AM1596" i="2"/>
  <c r="AM1597" i="2"/>
  <c r="AM1598" i="2"/>
  <c r="AM1599" i="2"/>
  <c r="AM1600" i="2"/>
  <c r="AM1601" i="2"/>
  <c r="AM1602" i="2"/>
  <c r="AM1603" i="2"/>
  <c r="AM1604" i="2"/>
  <c r="AM1605" i="2"/>
  <c r="AM1606" i="2"/>
  <c r="AM1607" i="2"/>
  <c r="AM1608" i="2"/>
  <c r="AM1609" i="2"/>
  <c r="AM1610" i="2"/>
  <c r="AM1611" i="2"/>
  <c r="AM1612" i="2"/>
  <c r="AM1613" i="2"/>
  <c r="AM1614" i="2"/>
  <c r="AM1615" i="2"/>
  <c r="AM1616" i="2"/>
  <c r="AM1617" i="2"/>
  <c r="AM1618" i="2"/>
  <c r="AM1619" i="2"/>
  <c r="AM1620" i="2"/>
  <c r="AM1621" i="2"/>
  <c r="AM1622" i="2"/>
  <c r="AM1623" i="2"/>
  <c r="AM1624" i="2"/>
  <c r="AM1625" i="2"/>
  <c r="AM1626" i="2"/>
  <c r="AM1627" i="2"/>
  <c r="AM1628" i="2"/>
  <c r="AM1629" i="2"/>
  <c r="AM1630" i="2"/>
  <c r="AM1631" i="2"/>
  <c r="AM1632" i="2"/>
  <c r="AM1633" i="2"/>
  <c r="AM1634" i="2"/>
  <c r="AM1635" i="2"/>
  <c r="AM1636" i="2"/>
  <c r="AM1637" i="2"/>
  <c r="AM1638" i="2"/>
  <c r="AM1639" i="2"/>
  <c r="AM1640" i="2"/>
  <c r="AM1641" i="2"/>
  <c r="AM1642" i="2"/>
  <c r="AM1643" i="2"/>
  <c r="AM1644" i="2"/>
  <c r="AM1645" i="2"/>
  <c r="AM1646" i="2"/>
  <c r="AM1647" i="2"/>
  <c r="AM1648" i="2"/>
  <c r="AM1649" i="2"/>
  <c r="AM1650" i="2"/>
  <c r="AM1651" i="2"/>
  <c r="AM1652" i="2"/>
  <c r="AM1653" i="2"/>
  <c r="AM1654" i="2"/>
  <c r="AM1655" i="2"/>
  <c r="AM1656" i="2"/>
  <c r="AM1657" i="2"/>
  <c r="AM1658" i="2"/>
  <c r="AM1659" i="2"/>
  <c r="AM1660" i="2"/>
  <c r="AM1661" i="2"/>
  <c r="AM1662" i="2"/>
  <c r="AM4982" i="2"/>
  <c r="AM4983" i="2"/>
  <c r="AM4984" i="2"/>
  <c r="AM4985" i="2"/>
  <c r="AM4986" i="2"/>
  <c r="AM4987" i="2"/>
  <c r="AM4988" i="2"/>
  <c r="AM4989" i="2"/>
  <c r="AM4990" i="2"/>
  <c r="AM4991" i="2"/>
  <c r="AM4992" i="2"/>
  <c r="AM4993" i="2"/>
  <c r="AM4994" i="2"/>
  <c r="AM4995" i="2"/>
  <c r="AM4996" i="2"/>
  <c r="AM4997" i="2"/>
  <c r="AM4998" i="2"/>
  <c r="AM4999" i="2"/>
  <c r="AM5000" i="2"/>
  <c r="AM5001" i="2"/>
  <c r="AM5002" i="2"/>
  <c r="AM5003" i="2"/>
  <c r="AM5004" i="2"/>
  <c r="AM5005" i="2"/>
  <c r="AM5006" i="2"/>
  <c r="AM5007" i="2"/>
  <c r="AM5008" i="2"/>
  <c r="AM5009" i="2"/>
  <c r="AM5010" i="2"/>
  <c r="AM5011" i="2"/>
  <c r="AM5012" i="2"/>
  <c r="AM5013" i="2"/>
  <c r="AM5015" i="2"/>
  <c r="AM5016" i="2"/>
  <c r="AM5017" i="2"/>
  <c r="AM5018" i="2"/>
  <c r="AM5019" i="2"/>
  <c r="AM5020" i="2"/>
  <c r="AM5021" i="2"/>
  <c r="AM5022" i="2"/>
  <c r="AM5023" i="2"/>
  <c r="AM5024" i="2"/>
  <c r="AM5025" i="2"/>
  <c r="AM5026" i="2"/>
  <c r="AM5027" i="2"/>
  <c r="AM5028" i="2"/>
  <c r="AM5029" i="2"/>
  <c r="AM5030" i="2"/>
  <c r="AM5031" i="2"/>
  <c r="AM5032" i="2"/>
  <c r="AM5033" i="2"/>
  <c r="AM5034" i="2"/>
  <c r="AM5035" i="2"/>
  <c r="AM5036" i="2"/>
  <c r="AM5037" i="2"/>
  <c r="AM5038" i="2"/>
  <c r="AM5039" i="2"/>
  <c r="AM5040" i="2"/>
  <c r="AM5041" i="2"/>
  <c r="AM5042" i="2"/>
  <c r="AM5043" i="2"/>
  <c r="AM5044" i="2"/>
  <c r="AM5045" i="2"/>
  <c r="AM5046" i="2"/>
  <c r="AM5047" i="2"/>
  <c r="AM5048" i="2"/>
  <c r="AM5049" i="2"/>
  <c r="AM5050" i="2"/>
  <c r="AM5051" i="2"/>
  <c r="AM5052" i="2"/>
  <c r="AM5053" i="2"/>
  <c r="AM5054" i="2"/>
  <c r="AM5055" i="2"/>
  <c r="AM5056" i="2"/>
  <c r="AM5057" i="2"/>
  <c r="AM5058" i="2"/>
  <c r="AM5059" i="2"/>
  <c r="AM5060" i="2"/>
  <c r="AM5061" i="2"/>
  <c r="AM5062" i="2"/>
  <c r="AM5063" i="2"/>
  <c r="AM5064" i="2"/>
  <c r="AM5065" i="2"/>
  <c r="AM5066" i="2"/>
  <c r="AM5067" i="2"/>
  <c r="AM5068" i="2"/>
  <c r="AM5069" i="2"/>
  <c r="AM5070" i="2"/>
  <c r="AM5071" i="2"/>
  <c r="AM5072" i="2"/>
  <c r="AM5073" i="2"/>
  <c r="AM5074" i="2"/>
  <c r="AM5075" i="2"/>
  <c r="AM5077" i="2"/>
  <c r="AM5078" i="2"/>
  <c r="AM5080" i="2"/>
  <c r="AM5081" i="2"/>
  <c r="AM5082" i="2"/>
  <c r="AM5083" i="2"/>
  <c r="AM5084" i="2"/>
  <c r="AM5085" i="2"/>
  <c r="AM5086" i="2"/>
  <c r="AM5087" i="2"/>
  <c r="AM5088" i="2"/>
  <c r="AM5089" i="2"/>
  <c r="AM5090" i="2"/>
  <c r="AM5091" i="2"/>
  <c r="AM5092" i="2"/>
  <c r="AM5093" i="2"/>
  <c r="AM5094" i="2"/>
  <c r="AM5095" i="2"/>
  <c r="AM5096" i="2"/>
  <c r="AM5097" i="2"/>
  <c r="AM5098" i="2"/>
  <c r="AM5099" i="2"/>
  <c r="AM5100" i="2"/>
  <c r="AM5101" i="2"/>
  <c r="AM5102" i="2"/>
  <c r="AM5103" i="2"/>
  <c r="AM5104" i="2"/>
  <c r="AM5105" i="2"/>
  <c r="AM5106" i="2"/>
  <c r="AM5107" i="2"/>
  <c r="AM5108" i="2"/>
  <c r="AM5109" i="2"/>
  <c r="AM5110" i="2"/>
  <c r="AM5111" i="2"/>
  <c r="AM5112" i="2"/>
  <c r="AM5113" i="2"/>
  <c r="AM5114" i="2"/>
  <c r="AM5115" i="2"/>
  <c r="AM5116" i="2"/>
  <c r="AM5117" i="2"/>
  <c r="AM5118" i="2"/>
  <c r="AM5119" i="2"/>
  <c r="AM5120" i="2"/>
  <c r="AM5121" i="2"/>
  <c r="AM5122" i="2"/>
  <c r="AM5123" i="2"/>
  <c r="AM5124" i="2"/>
  <c r="AM5125" i="2"/>
  <c r="AM5126" i="2"/>
  <c r="AM5127" i="2"/>
  <c r="AM5128" i="2"/>
  <c r="AM5129" i="2"/>
  <c r="AM5130" i="2"/>
  <c r="AM2344" i="2"/>
  <c r="AM2345" i="2"/>
  <c r="AM2346" i="2"/>
  <c r="AM2347" i="2"/>
  <c r="AM2348" i="2"/>
  <c r="AM2349" i="2"/>
  <c r="AM2350" i="2"/>
  <c r="AM2352" i="2"/>
  <c r="AM2353" i="2"/>
  <c r="AM2354" i="2"/>
  <c r="AM2355" i="2"/>
  <c r="AM2356" i="2"/>
  <c r="AM2357" i="2"/>
  <c r="AM2358" i="2"/>
  <c r="AM2359" i="2"/>
  <c r="AM2360" i="2"/>
  <c r="AM2361" i="2"/>
  <c r="AM2362" i="2"/>
  <c r="AM2363" i="2"/>
  <c r="AM2364" i="2"/>
  <c r="AM2365" i="2"/>
  <c r="AM2366" i="2"/>
  <c r="AM2367" i="2"/>
  <c r="AM2368" i="2"/>
  <c r="AM2369" i="2"/>
  <c r="AM2370" i="2"/>
  <c r="AM2371" i="2"/>
  <c r="AM2372" i="2"/>
  <c r="AM2373" i="2"/>
  <c r="AM2374" i="2"/>
  <c r="AM2375" i="2"/>
  <c r="AM2376" i="2"/>
  <c r="AM2377" i="2"/>
  <c r="AM2378" i="2"/>
  <c r="AM2379" i="2"/>
  <c r="AM2380" i="2"/>
  <c r="AM2381" i="2"/>
  <c r="AM2382" i="2"/>
  <c r="AM2383" i="2"/>
  <c r="AM2384" i="2"/>
  <c r="AM2385" i="2"/>
  <c r="AM2386" i="2"/>
  <c r="AM2387" i="2"/>
  <c r="AM2388" i="2"/>
  <c r="AM2389" i="2"/>
  <c r="AM2390" i="2"/>
  <c r="AM2391" i="2"/>
  <c r="AM2392" i="2"/>
  <c r="AM2393" i="2"/>
  <c r="AM2394" i="2"/>
  <c r="AM2395" i="2"/>
  <c r="AM2396" i="2"/>
  <c r="AM2397" i="2"/>
  <c r="AM2398" i="2"/>
  <c r="AM2399" i="2"/>
  <c r="AM2400" i="2"/>
  <c r="AM2401" i="2"/>
  <c r="AM2402" i="2"/>
  <c r="AM2403" i="2"/>
  <c r="AM2404" i="2"/>
  <c r="AM2405" i="2"/>
  <c r="AM2406" i="2"/>
  <c r="AM2407" i="2"/>
  <c r="AM2408" i="2"/>
  <c r="AM2409" i="2"/>
  <c r="AM2410" i="2"/>
  <c r="AM2411" i="2"/>
  <c r="AM2412" i="2"/>
  <c r="AM2413" i="2"/>
  <c r="AM2414" i="2"/>
  <c r="AM2415" i="2"/>
  <c r="AM2416" i="2"/>
  <c r="AM2417" i="2"/>
  <c r="AM2418" i="2"/>
  <c r="AM2419" i="2"/>
  <c r="AM2420" i="2"/>
  <c r="AM2421" i="2"/>
  <c r="AM2422" i="2"/>
  <c r="AM2423" i="2"/>
  <c r="AM2424" i="2"/>
  <c r="AM2425" i="2"/>
  <c r="AM2426" i="2"/>
  <c r="AM2427" i="2"/>
  <c r="AM2428" i="2"/>
  <c r="AM2429" i="2"/>
  <c r="AM2430" i="2"/>
  <c r="AM2431" i="2"/>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50" i="2"/>
  <c r="AM2551" i="2"/>
  <c r="AM2552" i="2"/>
  <c r="AM2553" i="2"/>
  <c r="AM2554" i="2"/>
  <c r="AM2555" i="2"/>
  <c r="AM2556" i="2"/>
  <c r="AM2557" i="2"/>
  <c r="AM2558" i="2"/>
  <c r="AM2559" i="2"/>
  <c r="AM2560" i="2"/>
  <c r="AM2561" i="2"/>
  <c r="AM2562" i="2"/>
  <c r="AM2563" i="2"/>
  <c r="AM2564" i="2"/>
  <c r="AM2565" i="2"/>
  <c r="AM2566" i="2"/>
  <c r="AM2567" i="2"/>
  <c r="AM2568" i="2"/>
  <c r="AM2569" i="2"/>
  <c r="AM2570" i="2"/>
  <c r="AM2571" i="2"/>
  <c r="AM2572" i="2"/>
  <c r="AM2573" i="2"/>
  <c r="AM2574" i="2"/>
  <c r="AM2575" i="2"/>
  <c r="AM2576" i="2"/>
  <c r="AM2577" i="2"/>
  <c r="AM2578" i="2"/>
  <c r="AM2579" i="2"/>
  <c r="AM2580" i="2"/>
  <c r="AM2581" i="2"/>
  <c r="AM2582" i="2"/>
  <c r="AM2583" i="2"/>
  <c r="AM2584" i="2"/>
  <c r="AM2585" i="2"/>
  <c r="AM2586" i="2"/>
  <c r="AM2587" i="2"/>
  <c r="AM2588" i="2"/>
  <c r="AM2589" i="2"/>
  <c r="AM2590" i="2"/>
  <c r="AM2591" i="2"/>
  <c r="AM2592" i="2"/>
  <c r="AM2593" i="2"/>
  <c r="AM2594" i="2"/>
  <c r="AM2595" i="2"/>
  <c r="AM2596" i="2"/>
  <c r="AM2597" i="2"/>
  <c r="AM2598" i="2"/>
  <c r="AM2599" i="2"/>
  <c r="AM2600" i="2"/>
  <c r="AM2601" i="2"/>
  <c r="AM2602" i="2"/>
  <c r="AM2603" i="2"/>
  <c r="AM2604" i="2"/>
  <c r="AM2605" i="2"/>
  <c r="AM2606" i="2"/>
  <c r="AM2607" i="2"/>
  <c r="AM2608" i="2"/>
  <c r="AM2609" i="2"/>
  <c r="AM2610" i="2"/>
  <c r="AM2611" i="2"/>
  <c r="AM2612" i="2"/>
  <c r="AM2613" i="2"/>
  <c r="AM2614" i="2"/>
  <c r="AM2615" i="2"/>
  <c r="AM2616" i="2"/>
  <c r="AM2617" i="2"/>
  <c r="AM2618" i="2"/>
  <c r="AM2619" i="2"/>
  <c r="AM2620" i="2"/>
  <c r="AM2621" i="2"/>
  <c r="AM2622" i="2"/>
  <c r="AM2623" i="2"/>
  <c r="AM2624" i="2"/>
  <c r="AM2625" i="2"/>
  <c r="AM2626" i="2"/>
  <c r="AM2627" i="2"/>
  <c r="AM2628" i="2"/>
  <c r="AM2629" i="2"/>
  <c r="AM2630" i="2"/>
  <c r="AM2631" i="2"/>
  <c r="AM2632" i="2"/>
  <c r="AM2633" i="2"/>
  <c r="AM2634" i="2"/>
  <c r="AM2635" i="2"/>
  <c r="AM2636" i="2"/>
  <c r="AM2637" i="2"/>
  <c r="AM2638" i="2"/>
  <c r="AM2639" i="2"/>
  <c r="AM2640" i="2"/>
  <c r="AM2641" i="2"/>
  <c r="AM2642" i="2"/>
  <c r="AM2643" i="2"/>
  <c r="AM2644" i="2"/>
  <c r="AM2645" i="2"/>
  <c r="AM2646" i="2"/>
  <c r="AM2647" i="2"/>
  <c r="AM2648" i="2"/>
  <c r="AM2649" i="2"/>
  <c r="AM2650" i="2"/>
  <c r="AM2651" i="2"/>
  <c r="AM2652" i="2"/>
  <c r="AM2653" i="2"/>
  <c r="AM2654" i="2"/>
  <c r="AM2655" i="2"/>
  <c r="AM2656" i="2"/>
  <c r="AM2657" i="2"/>
  <c r="AM2658" i="2"/>
  <c r="AM2659" i="2"/>
  <c r="AM2660" i="2"/>
  <c r="AM2661" i="2"/>
  <c r="AM2662" i="2"/>
  <c r="AM2663" i="2"/>
  <c r="AM2664" i="2"/>
  <c r="AM2665" i="2"/>
  <c r="AM2666" i="2"/>
  <c r="AM2667" i="2"/>
  <c r="AM2668" i="2"/>
  <c r="AM2669" i="2"/>
  <c r="AM2670" i="2"/>
  <c r="AM2671" i="2"/>
  <c r="AM2672" i="2"/>
  <c r="AM2673" i="2"/>
  <c r="AM2674" i="2"/>
  <c r="AM2675" i="2"/>
  <c r="AM2676" i="2"/>
  <c r="AM2677" i="2"/>
  <c r="AM2678" i="2"/>
  <c r="AM2679" i="2"/>
  <c r="AM2680" i="2"/>
  <c r="AM2681" i="2"/>
  <c r="AM2682" i="2"/>
  <c r="AM2683" i="2"/>
  <c r="AM2684" i="2"/>
  <c r="AM2685" i="2"/>
  <c r="AM2686" i="2"/>
  <c r="AM2687" i="2"/>
  <c r="AM2688" i="2"/>
  <c r="AM2689" i="2"/>
  <c r="AM2690" i="2"/>
  <c r="AM2691" i="2"/>
  <c r="AM2692" i="2"/>
  <c r="AM2693" i="2"/>
  <c r="AM2694" i="2"/>
  <c r="AM2695" i="2"/>
  <c r="AM2696" i="2"/>
  <c r="AM2697" i="2"/>
  <c r="AM2698" i="2"/>
  <c r="AM2699" i="2"/>
  <c r="AM2700" i="2"/>
  <c r="AM2701" i="2"/>
  <c r="AM2702" i="2"/>
  <c r="AM2703" i="2"/>
  <c r="AM2704" i="2"/>
  <c r="AM2705" i="2"/>
  <c r="AM2706" i="2"/>
  <c r="AM2707" i="2"/>
  <c r="AM2708" i="2"/>
  <c r="AM2709" i="2"/>
  <c r="AM2710" i="2"/>
  <c r="AM2711" i="2"/>
  <c r="AM2712" i="2"/>
  <c r="AM2713" i="2"/>
  <c r="AM2714" i="2"/>
  <c r="AM2715" i="2"/>
  <c r="AM2716" i="2"/>
  <c r="AM2717" i="2"/>
  <c r="AM2718" i="2"/>
  <c r="AM2719" i="2"/>
  <c r="AM2720" i="2"/>
  <c r="AM2721" i="2"/>
  <c r="AM2722" i="2"/>
  <c r="AM2723" i="2"/>
  <c r="AM2724" i="2"/>
  <c r="AM2725" i="2"/>
  <c r="AM2726" i="2"/>
  <c r="AM2727" i="2"/>
  <c r="AM2728" i="2"/>
  <c r="AM2729" i="2"/>
  <c r="AM2730" i="2"/>
  <c r="AM2731" i="2"/>
  <c r="AM2732" i="2"/>
  <c r="AM2733" i="2"/>
  <c r="AM2734" i="2"/>
  <c r="AM2735" i="2"/>
  <c r="AM2736" i="2"/>
  <c r="AM2737" i="2"/>
  <c r="AM2738" i="2"/>
  <c r="AM2739" i="2"/>
  <c r="AM2740" i="2"/>
  <c r="AM2741" i="2"/>
  <c r="AM2742" i="2"/>
  <c r="AM2743" i="2"/>
  <c r="AM2744" i="2"/>
  <c r="AM2745" i="2"/>
  <c r="AM2746" i="2"/>
  <c r="AM2747" i="2"/>
  <c r="AM2748" i="2"/>
  <c r="AM2749" i="2"/>
  <c r="AM2750" i="2"/>
  <c r="AM2751" i="2"/>
  <c r="AM2752" i="2"/>
  <c r="AM2753" i="2"/>
  <c r="AM2754" i="2"/>
  <c r="AM2755" i="2"/>
  <c r="AM2756" i="2"/>
  <c r="AM2757" i="2"/>
  <c r="AM2758" i="2"/>
  <c r="AM2759" i="2"/>
  <c r="AM2760" i="2"/>
  <c r="AM2761" i="2"/>
  <c r="AM2762" i="2"/>
  <c r="AM2763" i="2"/>
  <c r="AM2764" i="2"/>
  <c r="AM2765" i="2"/>
  <c r="AM2766" i="2"/>
  <c r="AM2767" i="2"/>
  <c r="AM2768" i="2"/>
  <c r="AM2769" i="2"/>
  <c r="AM2770" i="2"/>
  <c r="AM2771" i="2"/>
  <c r="AM2772" i="2"/>
  <c r="AM2773" i="2"/>
  <c r="AM2774" i="2"/>
  <c r="AM2775" i="2"/>
  <c r="AM2776" i="2"/>
  <c r="AM2777" i="2"/>
  <c r="AM2778" i="2"/>
  <c r="AM2779" i="2"/>
  <c r="AM2780" i="2"/>
  <c r="AM2781" i="2"/>
  <c r="AM2782" i="2"/>
  <c r="AM2783" i="2"/>
  <c r="AM2784" i="2"/>
  <c r="AM2785" i="2"/>
  <c r="AM2786" i="2"/>
  <c r="AM2787" i="2"/>
  <c r="AM2788" i="2"/>
  <c r="AM2789" i="2"/>
  <c r="AM2790" i="2"/>
  <c r="AM2791" i="2"/>
  <c r="AM2792" i="2"/>
  <c r="AM2793" i="2"/>
  <c r="AM2794" i="2"/>
  <c r="AM2795" i="2"/>
  <c r="AM2796" i="2"/>
  <c r="AM2797" i="2"/>
  <c r="AM2798" i="2"/>
  <c r="AM2799" i="2"/>
  <c r="AM2800" i="2"/>
  <c r="AM2801" i="2"/>
  <c r="AM2802" i="2"/>
  <c r="AM2803" i="2"/>
  <c r="AM2804" i="2"/>
  <c r="AM2805" i="2"/>
  <c r="AM2806" i="2"/>
  <c r="AM2807" i="2"/>
  <c r="AM2808" i="2"/>
  <c r="AM2809" i="2"/>
  <c r="AM2810" i="2"/>
  <c r="AM2811" i="2"/>
  <c r="AM2812" i="2"/>
  <c r="AM2813" i="2"/>
  <c r="AM2814" i="2"/>
  <c r="AM2815" i="2"/>
  <c r="AM2816" i="2"/>
  <c r="AM2817" i="2"/>
  <c r="AM2818" i="2"/>
  <c r="AM2819" i="2"/>
  <c r="AM2820" i="2"/>
  <c r="AM2821" i="2"/>
  <c r="AM2822" i="2"/>
  <c r="AM2823" i="2"/>
  <c r="AM2824" i="2"/>
  <c r="AM2825" i="2"/>
  <c r="AM2826" i="2"/>
  <c r="AM2827" i="2"/>
  <c r="AM2828" i="2"/>
  <c r="AM2829" i="2"/>
  <c r="AM2830" i="2"/>
  <c r="AM2831" i="2"/>
  <c r="AM2832" i="2"/>
  <c r="AM2833" i="2"/>
  <c r="AM2834" i="2"/>
  <c r="AM2835" i="2"/>
  <c r="AM2836" i="2"/>
  <c r="AM2837" i="2"/>
  <c r="AM2838" i="2"/>
  <c r="AM2839" i="2"/>
  <c r="AM2840" i="2"/>
  <c r="AM2841" i="2"/>
  <c r="AM2842" i="2"/>
  <c r="AM2843" i="2"/>
  <c r="AM2844" i="2"/>
  <c r="AM2845" i="2"/>
  <c r="AM2846" i="2"/>
  <c r="AM2847" i="2"/>
  <c r="AM2848" i="2"/>
  <c r="AM2849" i="2"/>
  <c r="AM2850" i="2"/>
  <c r="AM2851" i="2"/>
  <c r="AM2852" i="2"/>
  <c r="AM2853" i="2"/>
  <c r="AM2854" i="2"/>
  <c r="AM2855" i="2"/>
  <c r="AM2856" i="2"/>
  <c r="AM2857" i="2"/>
  <c r="AM2858" i="2"/>
  <c r="AM2859" i="2"/>
  <c r="AM2860" i="2"/>
  <c r="AM2861" i="2"/>
  <c r="AM2862" i="2"/>
  <c r="AM2863" i="2"/>
  <c r="AM2864" i="2"/>
  <c r="AM2865" i="2"/>
  <c r="AM2866" i="2"/>
  <c r="AM2867" i="2"/>
  <c r="AM2868" i="2"/>
  <c r="AM2869" i="2"/>
  <c r="AM2870" i="2"/>
  <c r="AM2871" i="2"/>
  <c r="AM2872" i="2"/>
  <c r="AM2873" i="2"/>
  <c r="AM2874" i="2"/>
  <c r="AM2875" i="2"/>
  <c r="AM2876" i="2"/>
  <c r="AM2877" i="2"/>
  <c r="AM2878" i="2"/>
  <c r="AM2879" i="2"/>
  <c r="AM2880" i="2"/>
  <c r="AM2881" i="2"/>
  <c r="AM2882" i="2"/>
  <c r="AM2883" i="2"/>
  <c r="AM2884" i="2"/>
  <c r="AM2885" i="2"/>
  <c r="AM2886" i="2"/>
  <c r="AM2887" i="2"/>
  <c r="AM2888" i="2"/>
  <c r="AM2889" i="2"/>
  <c r="AM2890" i="2"/>
  <c r="AM2891" i="2"/>
  <c r="AM2892" i="2"/>
  <c r="AM2893" i="2"/>
  <c r="AM2894" i="2"/>
  <c r="AM2895" i="2"/>
  <c r="AM2896" i="2"/>
  <c r="AM2897" i="2"/>
  <c r="AM2898" i="2"/>
  <c r="AM2899" i="2"/>
  <c r="AM2900" i="2"/>
  <c r="AM2901" i="2"/>
  <c r="AM2902" i="2"/>
  <c r="AM2903" i="2"/>
  <c r="AM2904" i="2"/>
  <c r="AM2905" i="2"/>
  <c r="AM2906" i="2"/>
  <c r="AM2907" i="2"/>
  <c r="AM2908" i="2"/>
  <c r="AM2909" i="2"/>
  <c r="AM2910" i="2"/>
  <c r="AM2911" i="2"/>
  <c r="AM2912" i="2"/>
  <c r="AM2913" i="2"/>
  <c r="AM2914" i="2"/>
  <c r="AM2915" i="2"/>
  <c r="AM2916" i="2"/>
  <c r="AM2917" i="2"/>
  <c r="AM2918" i="2"/>
  <c r="AM2919" i="2"/>
  <c r="AM2920" i="2"/>
  <c r="AM2921" i="2"/>
  <c r="AM2922" i="2"/>
  <c r="AM2923" i="2"/>
  <c r="AM2924" i="2"/>
  <c r="AM2925" i="2"/>
  <c r="AM2926" i="2"/>
  <c r="AM2927" i="2"/>
  <c r="AM2928" i="2"/>
  <c r="AM2929" i="2"/>
  <c r="AM2930" i="2"/>
  <c r="AM2931" i="2"/>
  <c r="AM2932" i="2"/>
  <c r="AM2933" i="2"/>
  <c r="AM2934" i="2"/>
  <c r="AM2935" i="2"/>
  <c r="AM2936" i="2"/>
  <c r="AM2937" i="2"/>
  <c r="AM2938" i="2"/>
  <c r="AM2939" i="2"/>
  <c r="AM2940" i="2"/>
  <c r="AM2941" i="2"/>
  <c r="AM2942" i="2"/>
  <c r="AM2943" i="2"/>
  <c r="AM2944" i="2"/>
  <c r="AM2945" i="2"/>
  <c r="AM2946" i="2"/>
  <c r="AM2947" i="2"/>
  <c r="AM2948" i="2"/>
  <c r="AM2949" i="2"/>
  <c r="AM2950" i="2"/>
  <c r="AM2951" i="2"/>
  <c r="AM2952" i="2"/>
  <c r="AM2953" i="2"/>
  <c r="AM2954" i="2"/>
  <c r="AM2955" i="2"/>
  <c r="AM2956" i="2"/>
  <c r="AM2957" i="2"/>
  <c r="AM2958" i="2"/>
  <c r="AM2959" i="2"/>
  <c r="AM2960" i="2"/>
  <c r="AM2961" i="2"/>
  <c r="AM2962" i="2"/>
  <c r="AM2963" i="2"/>
  <c r="AM2964" i="2"/>
  <c r="AM2965" i="2"/>
  <c r="AM2966" i="2"/>
  <c r="AM2967" i="2"/>
  <c r="AM2968" i="2"/>
  <c r="AM2969" i="2"/>
  <c r="AM2970" i="2"/>
  <c r="AM2971" i="2"/>
  <c r="AM2972" i="2"/>
  <c r="AM2973" i="2"/>
  <c r="AM2974" i="2"/>
  <c r="AM2975" i="2"/>
  <c r="AM2976" i="2"/>
  <c r="AM2977" i="2"/>
  <c r="AM2978" i="2"/>
  <c r="AM2979" i="2"/>
  <c r="AM2980" i="2"/>
  <c r="AM2981" i="2"/>
  <c r="AM2982" i="2"/>
  <c r="AM2983" i="2"/>
  <c r="AM2984" i="2"/>
  <c r="AM2985" i="2"/>
  <c r="AM2986" i="2"/>
  <c r="AM2987" i="2"/>
  <c r="AM2988" i="2"/>
  <c r="AM2989" i="2"/>
  <c r="AM2990" i="2"/>
  <c r="AM2991" i="2"/>
  <c r="AM2992" i="2"/>
  <c r="AM2993" i="2"/>
  <c r="AM2994" i="2"/>
  <c r="AM2995" i="2"/>
  <c r="AM2996" i="2"/>
  <c r="AM2997" i="2"/>
  <c r="AM2998" i="2"/>
  <c r="AM2999" i="2"/>
  <c r="AM3000" i="2"/>
  <c r="AM3001" i="2"/>
  <c r="AM3002" i="2"/>
  <c r="AM3003" i="2"/>
  <c r="AM3004" i="2"/>
  <c r="AM3005" i="2"/>
  <c r="AM3006" i="2"/>
  <c r="AM3007" i="2"/>
  <c r="AM3008" i="2"/>
  <c r="AM3009" i="2"/>
  <c r="AM3010" i="2"/>
  <c r="AM3011" i="2"/>
  <c r="AM3012" i="2"/>
  <c r="AM3013" i="2"/>
  <c r="AM3014" i="2"/>
  <c r="AM3015" i="2"/>
  <c r="AM3016" i="2"/>
  <c r="AM3017" i="2"/>
  <c r="AM3018" i="2"/>
  <c r="AM3019" i="2"/>
  <c r="AM3020" i="2"/>
  <c r="AM3021" i="2"/>
  <c r="AM3022" i="2"/>
  <c r="AM3023" i="2"/>
  <c r="AM3024" i="2"/>
  <c r="AM3025" i="2"/>
  <c r="AM3026" i="2"/>
  <c r="AM3027" i="2"/>
  <c r="AM2341" i="2"/>
  <c r="AM2342" i="2"/>
  <c r="AM2343" i="2"/>
  <c r="AM5153" i="2"/>
  <c r="AM5154" i="2"/>
  <c r="AM5155" i="2"/>
  <c r="AM5156" i="2"/>
  <c r="AM5161" i="2"/>
  <c r="AM5162" i="2"/>
  <c r="AM5164" i="2"/>
  <c r="AM5166" i="2"/>
  <c r="AM5171" i="2"/>
  <c r="AM5172" i="2"/>
  <c r="AM5173" i="2"/>
  <c r="AM5174" i="2"/>
  <c r="AM5175" i="2"/>
  <c r="AM5176" i="2"/>
  <c r="AM5178" i="2"/>
  <c r="AM5181" i="2"/>
  <c r="AM5182" i="2"/>
  <c r="AM5184" i="2"/>
  <c r="AM5186" i="2"/>
  <c r="AM5187" i="2"/>
  <c r="AM5188" i="2"/>
  <c r="AM5189" i="2"/>
  <c r="AM5190" i="2"/>
  <c r="AM5192" i="2"/>
  <c r="AM5193" i="2"/>
  <c r="AM5194" i="2"/>
  <c r="AM5200" i="2"/>
  <c r="AM5206" i="2"/>
  <c r="AM5208" i="2"/>
  <c r="AM5209" i="2"/>
  <c r="AM5210" i="2"/>
  <c r="AM5211" i="2"/>
  <c r="AM5212" i="2"/>
  <c r="AM5213" i="2"/>
  <c r="AM5216" i="2"/>
  <c r="AM5220" i="2"/>
  <c r="AM5222" i="2"/>
  <c r="AM5223" i="2"/>
  <c r="AM5224" i="2"/>
  <c r="AM5225" i="2"/>
  <c r="AM5230" i="2"/>
  <c r="AM5231" i="2"/>
  <c r="AM5233" i="2"/>
  <c r="AM5234" i="2"/>
  <c r="AM5235" i="2"/>
  <c r="AM5236" i="2"/>
  <c r="AM5237" i="2"/>
  <c r="AM5238" i="2"/>
  <c r="AM5239" i="2"/>
  <c r="AM5240" i="2"/>
  <c r="AM5241" i="2"/>
  <c r="AM5242" i="2"/>
  <c r="AM5243" i="2"/>
  <c r="AM5244" i="2"/>
  <c r="AM5246" i="2"/>
  <c r="AM5247" i="2"/>
  <c r="AM5248" i="2"/>
  <c r="AM5251" i="2"/>
  <c r="AM5254" i="2"/>
  <c r="AM5255" i="2"/>
  <c r="AM5257" i="2"/>
  <c r="AM5260" i="2"/>
  <c r="AM5264" i="2"/>
  <c r="AM5267" i="2"/>
  <c r="AM5270" i="2"/>
  <c r="AM5274" i="2"/>
  <c r="AM5275" i="2"/>
  <c r="AM5276" i="2"/>
  <c r="AM5278" i="2"/>
  <c r="AM5279" i="2"/>
  <c r="AM5280" i="2"/>
  <c r="AM5281" i="2"/>
  <c r="AM5284" i="2"/>
  <c r="AM5285" i="2"/>
  <c r="AM5286" i="2"/>
  <c r="AM5287" i="2"/>
  <c r="AM5288" i="2"/>
  <c r="AM5290" i="2"/>
  <c r="AM5293" i="2"/>
  <c r="AM5294" i="2"/>
  <c r="AM5295" i="2"/>
  <c r="AM5296" i="2"/>
  <c r="AM5297" i="2"/>
  <c r="AM5299" i="2"/>
  <c r="AM5300" i="2"/>
  <c r="AM5302" i="2"/>
  <c r="AM5304" i="2"/>
  <c r="AM5308" i="2"/>
  <c r="AM5309" i="2"/>
  <c r="AM5310" i="2"/>
  <c r="AM5311" i="2"/>
  <c r="AM5312" i="2"/>
  <c r="AM5313" i="2"/>
  <c r="AM5314" i="2"/>
  <c r="AM5320" i="2"/>
  <c r="AM5321" i="2"/>
  <c r="AM5322" i="2"/>
  <c r="AM5326" i="2"/>
  <c r="AM5327" i="2"/>
  <c r="AM5329" i="2"/>
  <c r="AM5332" i="2"/>
  <c r="AM5333" i="2"/>
  <c r="AM5335" i="2"/>
  <c r="AM5336" i="2"/>
  <c r="AM5337" i="2"/>
  <c r="AM5338" i="2"/>
  <c r="AM5341" i="2"/>
  <c r="AM5342" i="2"/>
  <c r="AM5345" i="2"/>
  <c r="AM5351" i="2"/>
  <c r="AM5353" i="2"/>
  <c r="AM5354" i="2"/>
  <c r="AM5355" i="2"/>
  <c r="AM5356" i="2"/>
  <c r="AM5360" i="2"/>
  <c r="AM5361" i="2"/>
  <c r="AM5362" i="2"/>
  <c r="AM5363" i="2"/>
  <c r="AM5364" i="2"/>
  <c r="AM5367" i="2"/>
  <c r="AM5368" i="2"/>
  <c r="AM5369" i="2"/>
  <c r="AM5370" i="2"/>
  <c r="AM5375" i="2"/>
  <c r="AM5376" i="2"/>
  <c r="AM5377" i="2"/>
  <c r="AM5378" i="2"/>
  <c r="AM5379" i="2"/>
  <c r="AM5381" i="2"/>
  <c r="AM5383" i="2"/>
  <c r="AM5384" i="2"/>
  <c r="AM5386" i="2"/>
  <c r="AM5387" i="2"/>
  <c r="AM5388" i="2"/>
  <c r="AM5390" i="2"/>
  <c r="AM5391" i="2"/>
  <c r="AM5392" i="2"/>
  <c r="AM5393" i="2"/>
  <c r="AM5396" i="2"/>
  <c r="AM5397" i="2"/>
  <c r="AM5398" i="2"/>
  <c r="AM5399" i="2"/>
  <c r="AM5400" i="2"/>
  <c r="AM5402" i="2"/>
  <c r="AM5403" i="2"/>
  <c r="AM5404" i="2"/>
  <c r="AM5405" i="2"/>
  <c r="AM5409" i="2"/>
  <c r="AM3122" i="2"/>
  <c r="AM3123" i="2"/>
  <c r="AM3124" i="2"/>
  <c r="AM3125" i="2"/>
  <c r="AM3126" i="2"/>
  <c r="AM3127" i="2"/>
  <c r="AM3128" i="2"/>
  <c r="AM3129" i="2"/>
  <c r="AM3130" i="2"/>
  <c r="AM3131" i="2"/>
  <c r="AM3132" i="2"/>
  <c r="AM3133" i="2"/>
  <c r="AM3134" i="2"/>
  <c r="AM3135" i="2"/>
  <c r="AM3136" i="2"/>
  <c r="AM3137" i="2"/>
  <c r="AM3138" i="2"/>
  <c r="AM3139" i="2"/>
  <c r="AM3140" i="2"/>
  <c r="AM3141" i="2"/>
  <c r="AM3142" i="2"/>
  <c r="AM3143" i="2"/>
  <c r="AM3144" i="2"/>
  <c r="AM3145" i="2"/>
  <c r="AM3146" i="2"/>
  <c r="AM3147" i="2"/>
  <c r="AM3148" i="2"/>
  <c r="AM3149" i="2"/>
  <c r="AM315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 i="2"/>
  <c r="AM9" i="2"/>
  <c r="AM10" i="2"/>
  <c r="AM11" i="2"/>
  <c r="AM12" i="2"/>
  <c r="AM13" i="2"/>
  <c r="AM14" i="2"/>
  <c r="AM15" i="2"/>
  <c r="AM16" i="2"/>
  <c r="AM17" i="2"/>
  <c r="AM18" i="2"/>
  <c r="AM19" i="2"/>
  <c r="AM20" i="2"/>
  <c r="AM5853" i="2"/>
  <c r="AE5853" i="2"/>
  <c r="AM5852" i="2"/>
  <c r="AE5852" i="2"/>
  <c r="AM5851" i="2"/>
  <c r="AE5851" i="2"/>
  <c r="AM5850" i="2"/>
  <c r="AE5850" i="2"/>
  <c r="AM5849" i="2"/>
  <c r="AE5849" i="2"/>
  <c r="AM5848" i="2"/>
  <c r="AE5848" i="2"/>
  <c r="AM5847" i="2"/>
  <c r="AE5847" i="2"/>
  <c r="AM5846" i="2"/>
  <c r="AE5846" i="2"/>
  <c r="AM5845" i="2"/>
  <c r="AE5845" i="2"/>
  <c r="AM5844" i="2"/>
  <c r="AE5844" i="2"/>
  <c r="AM5843" i="2"/>
  <c r="AE5843" i="2"/>
  <c r="AM5842" i="2"/>
  <c r="AE5842" i="2"/>
  <c r="AM5841" i="2"/>
  <c r="AE5841" i="2"/>
  <c r="AM5840" i="2"/>
  <c r="AE5840" i="2"/>
  <c r="AM5839" i="2"/>
  <c r="AE5839" i="2"/>
  <c r="AM5838" i="2"/>
  <c r="AE5838" i="2"/>
  <c r="AM5837" i="2"/>
  <c r="AE5837" i="2"/>
  <c r="AM5836" i="2"/>
  <c r="AE5836" i="2"/>
  <c r="AM5835" i="2"/>
  <c r="AE5835" i="2"/>
  <c r="AM5834" i="2"/>
  <c r="AE5834" i="2"/>
  <c r="AM5833" i="2"/>
  <c r="AE5833" i="2"/>
  <c r="AM5832" i="2"/>
  <c r="AE5832" i="2"/>
  <c r="AM5831" i="2"/>
  <c r="AE5831" i="2"/>
  <c r="AM5830" i="2"/>
  <c r="AE5830" i="2"/>
  <c r="AM5829" i="2"/>
  <c r="AE5829" i="2"/>
  <c r="AM5828" i="2"/>
  <c r="AE5828" i="2"/>
  <c r="AM5827" i="2"/>
  <c r="AE5827" i="2"/>
  <c r="AM5826" i="2"/>
  <c r="AE5826" i="2"/>
  <c r="AM5825" i="2"/>
  <c r="AE5825" i="2"/>
  <c r="AM5824" i="2"/>
  <c r="AE5824" i="2"/>
  <c r="AM5823" i="2"/>
  <c r="AE5823" i="2"/>
  <c r="AM5822" i="2"/>
  <c r="AE5822" i="2"/>
  <c r="AM5821" i="2"/>
  <c r="AE5821" i="2"/>
  <c r="AM5820" i="2"/>
  <c r="AE5820" i="2"/>
  <c r="AM5819" i="2"/>
  <c r="AE5819" i="2"/>
  <c r="AM5818" i="2"/>
  <c r="AE5818" i="2"/>
  <c r="AM5817" i="2"/>
  <c r="AE5817" i="2"/>
  <c r="AM5816" i="2"/>
  <c r="AE5816" i="2"/>
  <c r="AM5815" i="2"/>
  <c r="AE5815" i="2"/>
  <c r="AM5814" i="2"/>
  <c r="AE5814" i="2"/>
  <c r="AM5813" i="2"/>
  <c r="AE5813" i="2"/>
  <c r="AM5812" i="2"/>
  <c r="AE5812" i="2"/>
  <c r="AM5811" i="2"/>
  <c r="AE5811" i="2"/>
  <c r="AM5810" i="2"/>
  <c r="AE5810" i="2"/>
  <c r="AM5809" i="2"/>
  <c r="AE5809" i="2"/>
  <c r="AM5808" i="2"/>
  <c r="AE5808" i="2"/>
  <c r="AM5807" i="2"/>
  <c r="AE5807" i="2"/>
  <c r="AM5806" i="2"/>
  <c r="AE5806" i="2"/>
  <c r="AM5805" i="2"/>
  <c r="AE5805" i="2"/>
  <c r="AM5804" i="2"/>
  <c r="AE5804" i="2"/>
  <c r="AM5803" i="2"/>
  <c r="AE5803" i="2"/>
  <c r="AM5802" i="2"/>
  <c r="AE5802" i="2"/>
  <c r="AM5801" i="2"/>
  <c r="AE5801" i="2"/>
  <c r="AM5800" i="2"/>
  <c r="AE5800" i="2"/>
  <c r="AM5799" i="2"/>
  <c r="AE5799" i="2"/>
  <c r="AM5798" i="2"/>
  <c r="AE5798" i="2"/>
  <c r="AM5797" i="2"/>
  <c r="AE5797" i="2"/>
  <c r="AM5796" i="2"/>
  <c r="AE5796" i="2"/>
  <c r="AM5795" i="2"/>
  <c r="AE5795" i="2"/>
  <c r="AM5794" i="2"/>
  <c r="AE5794" i="2"/>
  <c r="AM5793" i="2"/>
  <c r="AE5793" i="2"/>
  <c r="AM5792" i="2"/>
  <c r="AE5792" i="2"/>
  <c r="AM5791" i="2"/>
  <c r="AE5791" i="2"/>
  <c r="AM5790" i="2"/>
  <c r="AE5790" i="2"/>
  <c r="AM5789" i="2"/>
  <c r="AE5789" i="2"/>
  <c r="AM5788" i="2"/>
  <c r="AE5788" i="2"/>
  <c r="AM5787" i="2"/>
  <c r="AE5787" i="2"/>
  <c r="AM5786" i="2"/>
  <c r="AE5786" i="2"/>
  <c r="AM5785" i="2"/>
  <c r="AE5785" i="2"/>
  <c r="AM5784" i="2"/>
  <c r="AE5784" i="2"/>
  <c r="AM5783" i="2"/>
  <c r="AE5783" i="2"/>
  <c r="AM5782" i="2"/>
  <c r="AE5782" i="2"/>
  <c r="AM5781" i="2"/>
  <c r="AE5781" i="2"/>
  <c r="AM5780" i="2"/>
  <c r="AE5780" i="2"/>
  <c r="AM5779" i="2"/>
  <c r="AE5779" i="2"/>
  <c r="AM5778" i="2"/>
  <c r="AE5778" i="2"/>
  <c r="AM5777" i="2"/>
  <c r="AE5777" i="2"/>
  <c r="AM5776" i="2"/>
  <c r="AE5776" i="2"/>
  <c r="AM5775" i="2"/>
  <c r="AE5775" i="2"/>
  <c r="AM5774" i="2"/>
  <c r="AE5774" i="2"/>
  <c r="AM5773" i="2"/>
  <c r="AE5773" i="2"/>
  <c r="AM5772" i="2"/>
  <c r="AE5772" i="2"/>
  <c r="AM5771" i="2"/>
  <c r="AE5771" i="2"/>
  <c r="AM5770" i="2"/>
  <c r="AE5770" i="2"/>
  <c r="AM5769" i="2"/>
  <c r="AE5769" i="2"/>
  <c r="AM5768" i="2"/>
  <c r="AE5768" i="2"/>
  <c r="AM5767" i="2"/>
  <c r="AE5767" i="2"/>
  <c r="AM5766" i="2"/>
  <c r="AE5766" i="2"/>
  <c r="AM5765" i="2"/>
  <c r="AE5765" i="2"/>
  <c r="AM5764" i="2"/>
  <c r="AE5764" i="2"/>
  <c r="AM5763" i="2"/>
  <c r="AE5763" i="2"/>
  <c r="AL5762" i="2"/>
  <c r="AK5762" i="2"/>
  <c r="AE5762" i="2"/>
  <c r="AM5761" i="2"/>
  <c r="AE5761" i="2"/>
  <c r="AM5760" i="2"/>
  <c r="AE5760" i="2"/>
  <c r="AM5759" i="2"/>
  <c r="AE5759" i="2"/>
  <c r="AM5758" i="2"/>
  <c r="AE5758" i="2"/>
  <c r="AM5757" i="2"/>
  <c r="AE5757" i="2"/>
  <c r="AM5756" i="2"/>
  <c r="AE5756" i="2"/>
  <c r="AM5755" i="2"/>
  <c r="AE5755" i="2"/>
  <c r="AM5754" i="2"/>
  <c r="AE5754" i="2"/>
  <c r="AM5753" i="2"/>
  <c r="AE5753" i="2"/>
  <c r="AM5752" i="2"/>
  <c r="AE5752" i="2"/>
  <c r="AM5751" i="2"/>
  <c r="AE5751" i="2"/>
  <c r="AM5750" i="2"/>
  <c r="AE5750" i="2"/>
  <c r="AM5749" i="2"/>
  <c r="AE5749" i="2"/>
  <c r="AM5748" i="2"/>
  <c r="AE5748" i="2"/>
  <c r="AM5747" i="2"/>
  <c r="AE5747" i="2"/>
  <c r="AM5746" i="2"/>
  <c r="AE5746" i="2"/>
  <c r="AM5745" i="2"/>
  <c r="AE5745" i="2"/>
  <c r="AM5744" i="2"/>
  <c r="AE5744" i="2"/>
  <c r="AM5743" i="2"/>
  <c r="AE5743" i="2"/>
  <c r="AM5742" i="2"/>
  <c r="AE5742" i="2"/>
  <c r="AM5741" i="2"/>
  <c r="AE5741" i="2"/>
  <c r="AM5740" i="2"/>
  <c r="AE5740" i="2"/>
  <c r="AM5739" i="2"/>
  <c r="AE5739" i="2"/>
  <c r="AM5738" i="2"/>
  <c r="AE5738" i="2"/>
  <c r="AM5737" i="2"/>
  <c r="AE5737" i="2"/>
  <c r="AM5736" i="2"/>
  <c r="AE5736" i="2"/>
  <c r="AM5735" i="2"/>
  <c r="AE5735" i="2"/>
  <c r="AM5734" i="2"/>
  <c r="AE5734" i="2"/>
  <c r="AM5733" i="2"/>
  <c r="AE5733" i="2"/>
  <c r="AM5732" i="2"/>
  <c r="AE5732" i="2"/>
  <c r="AM5731" i="2"/>
  <c r="AE5731" i="2"/>
  <c r="AM5730" i="2"/>
  <c r="AE5730" i="2"/>
  <c r="AM5729" i="2"/>
  <c r="AE5729" i="2"/>
  <c r="AM5728" i="2"/>
  <c r="AE5728" i="2"/>
  <c r="AM5727" i="2"/>
  <c r="AE5727" i="2"/>
  <c r="AM5726" i="2"/>
  <c r="AE5726" i="2"/>
  <c r="AM5725" i="2"/>
  <c r="AE5725" i="2"/>
  <c r="AM5724" i="2"/>
  <c r="AE5724" i="2"/>
  <c r="AM5723" i="2"/>
  <c r="AJ5723" i="2"/>
  <c r="AI5723" i="2"/>
  <c r="AH5723" i="2"/>
  <c r="AE5723" i="2"/>
  <c r="AM5722" i="2"/>
  <c r="AJ5722" i="2"/>
  <c r="AI5722" i="2"/>
  <c r="AH5722" i="2"/>
  <c r="AE5722" i="2"/>
  <c r="AM5721" i="2"/>
  <c r="AJ5721" i="2"/>
  <c r="AI5721" i="2"/>
  <c r="AH5721" i="2"/>
  <c r="AE5721" i="2"/>
  <c r="AM5720" i="2"/>
  <c r="AJ5720" i="2"/>
  <c r="AI5720" i="2"/>
  <c r="AH5720" i="2"/>
  <c r="AE5720" i="2"/>
  <c r="AM5719" i="2"/>
  <c r="AE5719" i="2"/>
  <c r="AM5718" i="2"/>
  <c r="AE5718" i="2"/>
  <c r="AM5717" i="2"/>
  <c r="AE5717" i="2"/>
  <c r="AM5716" i="2"/>
  <c r="AE5716" i="2"/>
  <c r="AM5715" i="2"/>
  <c r="AE5715" i="2"/>
  <c r="AM5714" i="2"/>
  <c r="AE5714" i="2"/>
  <c r="AM5713" i="2"/>
  <c r="AE5713" i="2"/>
  <c r="AM5712" i="2"/>
  <c r="AE5712" i="2"/>
  <c r="AM5711" i="2"/>
  <c r="AE5711" i="2"/>
  <c r="AM5710" i="2"/>
  <c r="AE5710" i="2"/>
  <c r="AM5709" i="2"/>
  <c r="AE5709" i="2"/>
  <c r="AM5708" i="2"/>
  <c r="AE5708" i="2"/>
  <c r="AM5707" i="2"/>
  <c r="AE5707" i="2"/>
  <c r="AM5706" i="2"/>
  <c r="AE5706" i="2"/>
  <c r="AM5705" i="2"/>
  <c r="AE5705" i="2"/>
  <c r="AM5704" i="2"/>
  <c r="AE5704" i="2"/>
  <c r="AM5703" i="2"/>
  <c r="AE5703" i="2"/>
  <c r="AM5702" i="2"/>
  <c r="AE5702" i="2"/>
  <c r="AM5701" i="2"/>
  <c r="AE5701" i="2"/>
  <c r="AM5700" i="2"/>
  <c r="AE5700" i="2"/>
  <c r="AM5699" i="2"/>
  <c r="AE5699" i="2"/>
  <c r="AM5698" i="2"/>
  <c r="AE5698" i="2"/>
  <c r="AM5697" i="2"/>
  <c r="AE5697" i="2"/>
  <c r="AM5696" i="2"/>
  <c r="AE5696" i="2"/>
  <c r="AM5695" i="2"/>
  <c r="AE5695" i="2"/>
  <c r="AM5694" i="2"/>
  <c r="AE5694" i="2"/>
  <c r="AM5693" i="2"/>
  <c r="AE5693" i="2"/>
  <c r="AM5692" i="2"/>
  <c r="AE5692" i="2"/>
  <c r="AM5691" i="2"/>
  <c r="AE5691" i="2"/>
  <c r="AM5690" i="2"/>
  <c r="AE5690" i="2"/>
  <c r="AM5689" i="2"/>
  <c r="AE5689" i="2"/>
  <c r="AM5688" i="2"/>
  <c r="AE5688" i="2"/>
  <c r="AM5687" i="2"/>
  <c r="AE5687" i="2"/>
  <c r="AM5686" i="2"/>
  <c r="AE5686" i="2"/>
  <c r="AM5685" i="2"/>
  <c r="AE5685" i="2"/>
  <c r="AM5684" i="2"/>
  <c r="AE5684" i="2"/>
  <c r="AM5683" i="2"/>
  <c r="AE5683" i="2"/>
  <c r="AM5682" i="2"/>
  <c r="AE5682" i="2"/>
  <c r="AM5681" i="2"/>
  <c r="AE5681" i="2"/>
  <c r="AM5680" i="2"/>
  <c r="AE5680" i="2"/>
  <c r="AM5679" i="2"/>
  <c r="AE5679" i="2"/>
  <c r="AM5678" i="2"/>
  <c r="AE5678" i="2"/>
  <c r="AM5677" i="2"/>
  <c r="AE5677" i="2"/>
  <c r="AM5676" i="2"/>
  <c r="AE5676" i="2"/>
  <c r="AM5675" i="2"/>
  <c r="AE5675" i="2"/>
  <c r="AM5674" i="2"/>
  <c r="AE5674" i="2"/>
  <c r="AM5673" i="2"/>
  <c r="AE5673" i="2"/>
  <c r="AM5672" i="2"/>
  <c r="AE5672" i="2"/>
  <c r="AM5671" i="2"/>
  <c r="AE5671" i="2"/>
  <c r="AM5670" i="2"/>
  <c r="AE5670" i="2"/>
  <c r="AM5669" i="2"/>
  <c r="AE5669" i="2"/>
  <c r="AM5668" i="2"/>
  <c r="AE5668" i="2"/>
  <c r="AM5667" i="2"/>
  <c r="AE5667" i="2"/>
  <c r="AM5666" i="2"/>
  <c r="AE5666" i="2"/>
  <c r="AM5665" i="2"/>
  <c r="AE5665" i="2"/>
  <c r="AM5664" i="2"/>
  <c r="AE5664" i="2"/>
  <c r="AM5663" i="2"/>
  <c r="AE5663" i="2"/>
  <c r="AM5662" i="2"/>
  <c r="AE5662" i="2"/>
  <c r="AM5661" i="2"/>
  <c r="AE5661" i="2"/>
  <c r="AM5660" i="2"/>
  <c r="AE5660" i="2"/>
  <c r="AM5659" i="2"/>
  <c r="AE5659" i="2"/>
  <c r="AM5658" i="2"/>
  <c r="AE5658" i="2"/>
  <c r="AM5657" i="2"/>
  <c r="AE5657" i="2"/>
  <c r="AM5656" i="2"/>
  <c r="AE5656" i="2"/>
  <c r="AM5655" i="2"/>
  <c r="AE5655" i="2"/>
  <c r="AM5654" i="2"/>
  <c r="AE5654" i="2"/>
  <c r="AM5653" i="2"/>
  <c r="AE5653" i="2"/>
  <c r="AM5652" i="2"/>
  <c r="AE5652" i="2"/>
  <c r="AM5651" i="2"/>
  <c r="AE5651" i="2"/>
  <c r="AM5650" i="2"/>
  <c r="AE5650" i="2"/>
  <c r="AM5649" i="2"/>
  <c r="AE5649" i="2"/>
  <c r="AM5648" i="2"/>
  <c r="AE5648" i="2"/>
  <c r="AM5647" i="2"/>
  <c r="AE5647" i="2"/>
  <c r="AM5646" i="2"/>
  <c r="AE5646" i="2"/>
  <c r="AM5645" i="2"/>
  <c r="AE5645" i="2"/>
  <c r="AM5644" i="2"/>
  <c r="AE5644" i="2"/>
  <c r="AM5643" i="2"/>
  <c r="AE5643" i="2"/>
  <c r="AM5642" i="2"/>
  <c r="AE5642" i="2"/>
  <c r="AM5641" i="2"/>
  <c r="AE5641" i="2"/>
  <c r="AM5640" i="2"/>
  <c r="AE5640" i="2"/>
  <c r="AM5639" i="2"/>
  <c r="AE5639" i="2"/>
  <c r="AM5638" i="2"/>
  <c r="AE5638" i="2"/>
  <c r="AM5637" i="2"/>
  <c r="AE5637" i="2"/>
  <c r="AM5636" i="2"/>
  <c r="AE5636" i="2"/>
  <c r="AM5635" i="2"/>
  <c r="AE5635" i="2"/>
  <c r="AM5634" i="2"/>
  <c r="AE5634" i="2"/>
  <c r="AM5633" i="2"/>
  <c r="AE5633" i="2"/>
  <c r="AM5632" i="2"/>
  <c r="AE5632" i="2"/>
  <c r="AM5631" i="2"/>
  <c r="AE5631" i="2"/>
  <c r="AM5630" i="2"/>
  <c r="AE5630" i="2"/>
  <c r="AM5629" i="2"/>
  <c r="AE5629" i="2"/>
  <c r="AM5628" i="2"/>
  <c r="AE5628" i="2"/>
  <c r="AM5627" i="2"/>
  <c r="AE5627" i="2"/>
  <c r="AM5626" i="2"/>
  <c r="AE5626" i="2"/>
  <c r="AM5625" i="2"/>
  <c r="AE5625" i="2"/>
  <c r="AM5624" i="2"/>
  <c r="AE5624" i="2"/>
  <c r="AM5623" i="2"/>
  <c r="AE5623" i="2"/>
  <c r="AM5622" i="2"/>
  <c r="AE5622" i="2"/>
  <c r="AM5621" i="2"/>
  <c r="AE5621" i="2"/>
  <c r="AM5620" i="2"/>
  <c r="AE5620" i="2"/>
  <c r="AM5619" i="2"/>
  <c r="AE5619" i="2"/>
  <c r="AM5618" i="2"/>
  <c r="AE5618" i="2"/>
  <c r="AM5617" i="2"/>
  <c r="AE5617" i="2"/>
  <c r="AM5616" i="2"/>
  <c r="AE5616" i="2"/>
  <c r="AM5615" i="2"/>
  <c r="AE5615" i="2"/>
  <c r="AM5614" i="2"/>
  <c r="AE5614" i="2"/>
  <c r="AM5613" i="2"/>
  <c r="AE5613" i="2"/>
  <c r="AM5612" i="2"/>
  <c r="AE5612" i="2"/>
  <c r="AM5611" i="2"/>
  <c r="AE5611" i="2"/>
  <c r="AM5610" i="2"/>
  <c r="AE5610" i="2"/>
  <c r="AM5609" i="2"/>
  <c r="AE5609" i="2"/>
  <c r="AM5608" i="2"/>
  <c r="AE5608" i="2"/>
  <c r="AM5607" i="2"/>
  <c r="AE5607" i="2"/>
  <c r="AM5606" i="2"/>
  <c r="AE5606" i="2"/>
  <c r="AM5605" i="2"/>
  <c r="AE5605" i="2"/>
  <c r="AM5604" i="2"/>
  <c r="AE5604" i="2"/>
  <c r="AM5603" i="2"/>
  <c r="AE5603" i="2"/>
  <c r="AM5602" i="2"/>
  <c r="AE5602" i="2"/>
  <c r="AM5601" i="2"/>
  <c r="AE5601" i="2"/>
  <c r="AM5600" i="2"/>
  <c r="AE5600" i="2"/>
  <c r="AM5599" i="2"/>
  <c r="AE5599" i="2"/>
  <c r="AM5598" i="2"/>
  <c r="AE5598" i="2"/>
  <c r="AM5597" i="2"/>
  <c r="AE5597" i="2"/>
  <c r="AM5596" i="2"/>
  <c r="AE5596" i="2"/>
  <c r="AM5595" i="2"/>
  <c r="AE5595" i="2"/>
  <c r="AM5594" i="2"/>
  <c r="AE5594" i="2"/>
  <c r="AM5593" i="2"/>
  <c r="AE5593" i="2"/>
  <c r="AM5592" i="2"/>
  <c r="AE5592" i="2"/>
  <c r="AM5591" i="2"/>
  <c r="AE5591" i="2"/>
  <c r="AM5590" i="2"/>
  <c r="AE5590" i="2"/>
  <c r="AM5589" i="2"/>
  <c r="AE5589" i="2"/>
  <c r="AM5588" i="2"/>
  <c r="AE5588" i="2"/>
  <c r="AM5587" i="2"/>
  <c r="AE5587" i="2"/>
  <c r="AM5586" i="2"/>
  <c r="AE5586" i="2"/>
  <c r="AM5585" i="2"/>
  <c r="AE5585" i="2"/>
  <c r="AM5584" i="2"/>
  <c r="AE5584" i="2"/>
  <c r="AM5583" i="2"/>
  <c r="AE5583" i="2"/>
  <c r="AM5582" i="2"/>
  <c r="AE5582" i="2"/>
  <c r="AM5581" i="2"/>
  <c r="AE5581" i="2"/>
  <c r="AM5580" i="2"/>
  <c r="AE5580" i="2"/>
  <c r="AM5579" i="2"/>
  <c r="AE5579" i="2"/>
  <c r="AM5578" i="2"/>
  <c r="AE5578" i="2"/>
  <c r="AM5577" i="2"/>
  <c r="AJ5577" i="2"/>
  <c r="AI5577" i="2"/>
  <c r="AH5577" i="2"/>
  <c r="AE5577" i="2"/>
  <c r="AM5576" i="2"/>
  <c r="AJ5576" i="2"/>
  <c r="AI5576" i="2"/>
  <c r="AH5576" i="2"/>
  <c r="AE5576" i="2"/>
  <c r="AM5575" i="2"/>
  <c r="AJ5575" i="2"/>
  <c r="AI5575" i="2"/>
  <c r="AH5575" i="2"/>
  <c r="AE5575" i="2"/>
  <c r="AM5574" i="2"/>
  <c r="AJ5574" i="2"/>
  <c r="AI5574" i="2"/>
  <c r="AH5574" i="2"/>
  <c r="AE5574" i="2"/>
  <c r="AM5573" i="2"/>
  <c r="AE5573" i="2"/>
  <c r="AM5572" i="2"/>
  <c r="AE5572" i="2"/>
  <c r="AM5571" i="2"/>
  <c r="AE5571" i="2"/>
  <c r="AM5570" i="2"/>
  <c r="AJ5570" i="2"/>
  <c r="AI5570" i="2"/>
  <c r="AH5570" i="2"/>
  <c r="AE5570" i="2"/>
  <c r="AM5569" i="2"/>
  <c r="AJ5569" i="2"/>
  <c r="AI5569" i="2"/>
  <c r="AH5569" i="2"/>
  <c r="AE5569" i="2"/>
  <c r="AM5568" i="2"/>
  <c r="AE5568" i="2"/>
  <c r="AM5567" i="2"/>
  <c r="AE5567" i="2"/>
  <c r="AM5566" i="2"/>
  <c r="AE5566" i="2"/>
  <c r="AM5565" i="2"/>
  <c r="AE5565" i="2"/>
  <c r="AM5564" i="2"/>
  <c r="AE5564" i="2"/>
  <c r="AM5563" i="2"/>
  <c r="AE5563" i="2"/>
  <c r="AM5562" i="2"/>
  <c r="AJ5562" i="2"/>
  <c r="AI5562" i="2"/>
  <c r="AH5562" i="2"/>
  <c r="AE5562" i="2"/>
  <c r="AM5561" i="2"/>
  <c r="AJ5561" i="2"/>
  <c r="AI5561" i="2"/>
  <c r="AH5561" i="2"/>
  <c r="AE5561" i="2"/>
  <c r="AM5560" i="2"/>
  <c r="AJ5560" i="2"/>
  <c r="AI5560" i="2"/>
  <c r="AH5560" i="2"/>
  <c r="AE5560" i="2"/>
  <c r="AM5559" i="2"/>
  <c r="AJ5559" i="2"/>
  <c r="AI5559" i="2"/>
  <c r="AH5559" i="2"/>
  <c r="AE5559" i="2"/>
  <c r="AM5558" i="2"/>
  <c r="AJ5558" i="2"/>
  <c r="AI5558" i="2"/>
  <c r="AH5558" i="2"/>
  <c r="AE5558" i="2"/>
  <c r="AM5557" i="2"/>
  <c r="AJ5557" i="2"/>
  <c r="AI5557" i="2"/>
  <c r="AH5557" i="2"/>
  <c r="AE5557" i="2"/>
  <c r="AM5556" i="2"/>
  <c r="AJ5556" i="2"/>
  <c r="AI5556" i="2"/>
  <c r="AH5556" i="2"/>
  <c r="AE5556" i="2"/>
  <c r="AM5555" i="2"/>
  <c r="AJ5555" i="2"/>
  <c r="AI5555" i="2"/>
  <c r="AH5555" i="2"/>
  <c r="AE5555" i="2"/>
  <c r="AM5554" i="2"/>
  <c r="AJ5554" i="2"/>
  <c r="AI5554" i="2"/>
  <c r="AH5554" i="2"/>
  <c r="AE5554" i="2"/>
  <c r="AM5553" i="2"/>
  <c r="AJ5553" i="2"/>
  <c r="AI5553" i="2"/>
  <c r="AH5553" i="2"/>
  <c r="AE5553" i="2"/>
  <c r="AM5552" i="2"/>
  <c r="AJ5552" i="2"/>
  <c r="AI5552" i="2"/>
  <c r="AH5552" i="2"/>
  <c r="AE5552" i="2"/>
  <c r="AM5551" i="2"/>
  <c r="AJ5551" i="2"/>
  <c r="AI5551" i="2"/>
  <c r="AH5551" i="2"/>
  <c r="AE5551" i="2"/>
  <c r="AM5550" i="2"/>
  <c r="AE5550" i="2"/>
  <c r="AM5549" i="2"/>
  <c r="AE5549" i="2"/>
  <c r="AM5548" i="2"/>
  <c r="AE5548" i="2"/>
  <c r="AM5547" i="2"/>
  <c r="AE5547" i="2"/>
  <c r="AM5546" i="2"/>
  <c r="AE5546" i="2"/>
  <c r="AM5545" i="2"/>
  <c r="AE5545" i="2"/>
  <c r="AM5544" i="2"/>
  <c r="AE5544" i="2"/>
  <c r="AM5543" i="2"/>
  <c r="AE5543" i="2"/>
  <c r="AM5542" i="2"/>
  <c r="AE5542" i="2"/>
  <c r="AM5541" i="2"/>
  <c r="AE5541" i="2"/>
  <c r="AM5540" i="2"/>
  <c r="AE5540" i="2"/>
  <c r="AM5539" i="2"/>
  <c r="AE5539" i="2"/>
  <c r="AM5538" i="2"/>
  <c r="AE5538" i="2"/>
  <c r="AM5537" i="2"/>
  <c r="AE5537" i="2"/>
  <c r="AM5536" i="2"/>
  <c r="AE5536" i="2"/>
  <c r="AM5535" i="2"/>
  <c r="AE5535" i="2"/>
  <c r="AM5534" i="2"/>
  <c r="AE5534" i="2"/>
  <c r="AM5533" i="2"/>
  <c r="AE5533" i="2"/>
  <c r="AM5532" i="2"/>
  <c r="AE5532" i="2"/>
  <c r="AM5531" i="2"/>
  <c r="AE5531" i="2"/>
  <c r="AM5530" i="2"/>
  <c r="AE5530" i="2"/>
  <c r="AM5529" i="2"/>
  <c r="AE5529" i="2"/>
  <c r="AM5528" i="2"/>
  <c r="AE5528" i="2"/>
  <c r="AM5527" i="2"/>
  <c r="AE5527" i="2"/>
  <c r="AM5526" i="2"/>
  <c r="AE5526" i="2"/>
  <c r="AM5525" i="2"/>
  <c r="AE5525" i="2"/>
  <c r="AM5524" i="2"/>
  <c r="AE5524" i="2"/>
  <c r="AM5523" i="2"/>
  <c r="AE5523" i="2"/>
  <c r="AM5522" i="2"/>
  <c r="AE5522" i="2"/>
  <c r="AM5521" i="2"/>
  <c r="AE5521" i="2"/>
  <c r="AM5520" i="2"/>
  <c r="AE5520" i="2"/>
  <c r="AM5519" i="2"/>
  <c r="AE5519" i="2"/>
  <c r="AM5518" i="2"/>
  <c r="AE5518" i="2"/>
  <c r="AM5517" i="2"/>
  <c r="AE5517" i="2"/>
  <c r="AM5516" i="2"/>
  <c r="AE5516" i="2"/>
  <c r="AM5515" i="2"/>
  <c r="AE5515" i="2"/>
  <c r="AM5514" i="2"/>
  <c r="AE5514" i="2"/>
  <c r="AM5513" i="2"/>
  <c r="AE5513" i="2"/>
  <c r="AM5512" i="2"/>
  <c r="AE5512" i="2"/>
  <c r="AM5511" i="2"/>
  <c r="AE5511" i="2"/>
  <c r="AM5510" i="2"/>
  <c r="AE5510" i="2"/>
  <c r="AM5509" i="2"/>
  <c r="AE5509" i="2"/>
  <c r="AM5508" i="2"/>
  <c r="AE5508" i="2"/>
  <c r="AM5507" i="2"/>
  <c r="AE5507" i="2"/>
  <c r="AM5506" i="2"/>
  <c r="AJ5506" i="2"/>
  <c r="AI5506" i="2"/>
  <c r="AH5506" i="2"/>
  <c r="AE5506" i="2"/>
  <c r="AM5505" i="2"/>
  <c r="AJ5505" i="2"/>
  <c r="AI5505" i="2"/>
  <c r="AH5505" i="2"/>
  <c r="AE5505" i="2"/>
  <c r="AM5504" i="2"/>
  <c r="AJ5504" i="2"/>
  <c r="AI5504" i="2"/>
  <c r="AH5504" i="2"/>
  <c r="AE5504" i="2"/>
  <c r="AM5503" i="2"/>
  <c r="AE5503" i="2"/>
  <c r="AM5502" i="2"/>
  <c r="AJ5502" i="2"/>
  <c r="AI5502" i="2"/>
  <c r="AH5502" i="2"/>
  <c r="AE5502" i="2"/>
  <c r="AM5501" i="2"/>
  <c r="AJ5501" i="2"/>
  <c r="AI5501" i="2"/>
  <c r="AH5501" i="2"/>
  <c r="AE5501" i="2"/>
  <c r="AM5500" i="2"/>
  <c r="AE5500" i="2"/>
  <c r="AM5499" i="2"/>
  <c r="AE5499" i="2"/>
  <c r="AM5498" i="2"/>
  <c r="AE5498" i="2"/>
  <c r="AM5497" i="2"/>
  <c r="AE5497" i="2"/>
  <c r="AM5496" i="2"/>
  <c r="AE5496" i="2"/>
  <c r="AM5495" i="2"/>
  <c r="AE5495" i="2"/>
  <c r="AM5494" i="2"/>
  <c r="AE5494" i="2"/>
  <c r="AM5493" i="2"/>
  <c r="AE5493" i="2"/>
  <c r="AM5492" i="2"/>
  <c r="AE5492" i="2"/>
  <c r="AM5491" i="2"/>
  <c r="AE5491" i="2"/>
  <c r="AM5490" i="2"/>
  <c r="AE5490" i="2"/>
  <c r="AM5489" i="2"/>
  <c r="AE5489" i="2"/>
  <c r="AM5488" i="2"/>
  <c r="AE5488" i="2"/>
  <c r="AM5487" i="2"/>
  <c r="AE5487" i="2"/>
  <c r="AM5486" i="2"/>
  <c r="AE5486" i="2"/>
  <c r="AM5485" i="2"/>
  <c r="AE5485" i="2"/>
  <c r="AM5484" i="2"/>
  <c r="AE5484" i="2"/>
  <c r="AM5483" i="2"/>
  <c r="AE5483" i="2"/>
  <c r="AM5482" i="2"/>
  <c r="AE5482" i="2"/>
  <c r="AM5481" i="2"/>
  <c r="AE5481" i="2"/>
  <c r="AM5480" i="2"/>
  <c r="AE5480" i="2"/>
  <c r="AM5479" i="2"/>
  <c r="AE5479" i="2"/>
  <c r="AM5478" i="2"/>
  <c r="AE5478" i="2"/>
  <c r="AM5477" i="2"/>
  <c r="AE5477" i="2"/>
  <c r="AM5476" i="2"/>
  <c r="AE5476" i="2"/>
  <c r="AM5475" i="2"/>
  <c r="AE5475" i="2"/>
  <c r="AM5474" i="2"/>
  <c r="AE5474" i="2"/>
  <c r="AM5473" i="2"/>
  <c r="AE5473" i="2"/>
  <c r="AM5472" i="2"/>
  <c r="AE5472" i="2"/>
  <c r="AM5471" i="2"/>
  <c r="AE5471" i="2"/>
  <c r="AM5470" i="2"/>
  <c r="AE5470" i="2"/>
  <c r="AM5469" i="2"/>
  <c r="AE5469" i="2"/>
  <c r="AM5468" i="2"/>
  <c r="AE5468" i="2"/>
  <c r="AM5467" i="2"/>
  <c r="AE5467" i="2"/>
  <c r="AM5466" i="2"/>
  <c r="AE5466" i="2"/>
  <c r="AM5465" i="2"/>
  <c r="AE5465" i="2"/>
  <c r="AM5464" i="2"/>
  <c r="AE5464" i="2"/>
  <c r="AM5463" i="2"/>
  <c r="AE5463" i="2"/>
  <c r="AM5462" i="2"/>
  <c r="AE5462" i="2"/>
  <c r="AM5461" i="2"/>
  <c r="AE5461" i="2"/>
  <c r="AM5460" i="2"/>
  <c r="AE5460" i="2"/>
  <c r="AM5459" i="2"/>
  <c r="AE5459" i="2"/>
  <c r="AM5458" i="2"/>
  <c r="AE5458" i="2"/>
  <c r="AM5457" i="2"/>
  <c r="AE5457" i="2"/>
  <c r="AM5456" i="2"/>
  <c r="AE5456" i="2"/>
  <c r="AM5455" i="2"/>
  <c r="AE5455" i="2"/>
  <c r="AM5454" i="2"/>
  <c r="AE5454" i="2"/>
  <c r="AM5453" i="2"/>
  <c r="AE5453" i="2"/>
  <c r="AM5452" i="2"/>
  <c r="AE5452" i="2"/>
  <c r="AM5451" i="2"/>
  <c r="AE5451" i="2"/>
  <c r="AM5450" i="2"/>
  <c r="AE5450" i="2"/>
  <c r="AM5449" i="2"/>
  <c r="AE5449" i="2"/>
  <c r="AM5448" i="2"/>
  <c r="AE5448" i="2"/>
  <c r="AM5447" i="2"/>
  <c r="AE5447" i="2"/>
  <c r="AM5446" i="2"/>
  <c r="AE5446" i="2"/>
  <c r="AM5445" i="2"/>
  <c r="AE5445" i="2"/>
  <c r="AM5444" i="2"/>
  <c r="AE5444" i="2"/>
  <c r="AM5443" i="2"/>
  <c r="AE5443" i="2"/>
  <c r="AM5442" i="2"/>
  <c r="AE5442" i="2"/>
  <c r="AM5441" i="2"/>
  <c r="AE5441" i="2"/>
  <c r="AM5440" i="2"/>
  <c r="AE5440" i="2"/>
  <c r="AM5439" i="2"/>
  <c r="AE5439" i="2"/>
  <c r="AM5438" i="2"/>
  <c r="AE5438" i="2"/>
  <c r="AM5437" i="2"/>
  <c r="AE5437" i="2"/>
  <c r="AM5436" i="2"/>
  <c r="AE5436" i="2"/>
  <c r="AM5435" i="2"/>
  <c r="AE5435" i="2"/>
  <c r="AM5434" i="2"/>
  <c r="AM5433" i="2"/>
  <c r="AM5432" i="2"/>
  <c r="AM5762" i="2" l="1"/>
  <c r="AE3126" i="2"/>
  <c r="U3278" i="2"/>
  <c r="U3277" i="2"/>
  <c r="AM3241" i="2"/>
  <c r="U3241" i="2"/>
  <c r="AM3222" i="2"/>
  <c r="U3222" i="2"/>
  <c r="AM3221" i="2"/>
  <c r="U3221" i="2"/>
  <c r="AM3214" i="2"/>
  <c r="AM3213" i="2"/>
  <c r="AK3157" i="2"/>
  <c r="U3126" i="2"/>
  <c r="AE5409" i="2" l="1"/>
  <c r="AL5408" i="2"/>
  <c r="AK5408" i="2"/>
  <c r="AE5408" i="2"/>
  <c r="U5408" i="2"/>
  <c r="AL5407" i="2"/>
  <c r="AK5407" i="2"/>
  <c r="AE5407" i="2"/>
  <c r="U5407" i="2"/>
  <c r="AL5406" i="2"/>
  <c r="AK5406" i="2"/>
  <c r="AE5406" i="2"/>
  <c r="U5406" i="2"/>
  <c r="AE5405" i="2"/>
  <c r="AE5404" i="2"/>
  <c r="U5404" i="2"/>
  <c r="AE5403" i="2"/>
  <c r="U5403" i="2"/>
  <c r="AE5402" i="2"/>
  <c r="U5402" i="2"/>
  <c r="AL5401" i="2"/>
  <c r="AK5401" i="2"/>
  <c r="AE5401" i="2"/>
  <c r="U5401" i="2"/>
  <c r="AE5400" i="2"/>
  <c r="U5400" i="2"/>
  <c r="AE5399" i="2"/>
  <c r="U5399" i="2"/>
  <c r="AE5398" i="2"/>
  <c r="U5398" i="2"/>
  <c r="AE5397" i="2"/>
  <c r="U5397" i="2"/>
  <c r="AE5396" i="2"/>
  <c r="U5396" i="2"/>
  <c r="AL5395" i="2"/>
  <c r="AK5395" i="2"/>
  <c r="AE5395" i="2"/>
  <c r="U5395" i="2"/>
  <c r="AL5394" i="2"/>
  <c r="AK5394" i="2"/>
  <c r="AE5394" i="2"/>
  <c r="U5394" i="2"/>
  <c r="AE5393" i="2"/>
  <c r="U5393" i="2"/>
  <c r="AE5392" i="2"/>
  <c r="U5392" i="2"/>
  <c r="AE5391" i="2"/>
  <c r="U5391" i="2"/>
  <c r="AE5390" i="2"/>
  <c r="U5390" i="2"/>
  <c r="AL5389" i="2"/>
  <c r="AK5389" i="2"/>
  <c r="AE5389" i="2"/>
  <c r="U5389" i="2"/>
  <c r="AE5388" i="2"/>
  <c r="U5388" i="2"/>
  <c r="AE5387" i="2"/>
  <c r="U5387" i="2"/>
  <c r="AE5386" i="2"/>
  <c r="U5386" i="2"/>
  <c r="AL5385" i="2"/>
  <c r="AK5385" i="2"/>
  <c r="AE5385" i="2"/>
  <c r="U5385" i="2"/>
  <c r="AE5384" i="2"/>
  <c r="U5384" i="2"/>
  <c r="AE5383" i="2"/>
  <c r="U5383" i="2"/>
  <c r="AL5382" i="2"/>
  <c r="AK5382" i="2"/>
  <c r="AE5382" i="2"/>
  <c r="U5382" i="2"/>
  <c r="AE5381" i="2"/>
  <c r="U5381" i="2"/>
  <c r="AL5380" i="2"/>
  <c r="AK5380" i="2"/>
  <c r="AE5380" i="2"/>
  <c r="U5380" i="2"/>
  <c r="AE5379" i="2"/>
  <c r="U5379" i="2"/>
  <c r="AE5378" i="2"/>
  <c r="U5378" i="2"/>
  <c r="AE5377" i="2"/>
  <c r="U5377" i="2"/>
  <c r="AE5376" i="2"/>
  <c r="U5376" i="2"/>
  <c r="AE5375" i="2"/>
  <c r="U5375" i="2"/>
  <c r="AL5374" i="2"/>
  <c r="AK5374" i="2"/>
  <c r="AM5374" i="2" s="1"/>
  <c r="AE5374" i="2"/>
  <c r="U5374" i="2"/>
  <c r="AL5373" i="2"/>
  <c r="AK5373" i="2"/>
  <c r="AE5373" i="2"/>
  <c r="U5373" i="2"/>
  <c r="AL5372" i="2"/>
  <c r="AK5372" i="2"/>
  <c r="AM5372" i="2" s="1"/>
  <c r="AE5372" i="2"/>
  <c r="U5372" i="2"/>
  <c r="AL5371" i="2"/>
  <c r="AK5371" i="2"/>
  <c r="AE5371" i="2"/>
  <c r="U5371" i="2"/>
  <c r="AE5370" i="2"/>
  <c r="U5370" i="2"/>
  <c r="AE5369" i="2"/>
  <c r="U5369" i="2"/>
  <c r="AE5368" i="2"/>
  <c r="U5368" i="2"/>
  <c r="AE5367" i="2"/>
  <c r="U5367" i="2"/>
  <c r="AL5366" i="2"/>
  <c r="AK5366" i="2"/>
  <c r="AM5366" i="2" s="1"/>
  <c r="AE5366" i="2"/>
  <c r="U5366" i="2"/>
  <c r="AL5365" i="2"/>
  <c r="AK5365" i="2"/>
  <c r="AM5365" i="2" s="1"/>
  <c r="AE5365" i="2"/>
  <c r="U5365" i="2"/>
  <c r="AE5364" i="2"/>
  <c r="U5364" i="2"/>
  <c r="AE5363" i="2"/>
  <c r="U5363" i="2"/>
  <c r="AE5362" i="2"/>
  <c r="U5362" i="2"/>
  <c r="AE5361" i="2"/>
  <c r="U5361" i="2"/>
  <c r="AE5360" i="2"/>
  <c r="U5360" i="2"/>
  <c r="AL5359" i="2"/>
  <c r="AK5359" i="2"/>
  <c r="AE5359" i="2"/>
  <c r="U5359" i="2"/>
  <c r="AL5358" i="2"/>
  <c r="AK5358" i="2"/>
  <c r="AM5358" i="2" s="1"/>
  <c r="AE5358" i="2"/>
  <c r="U5358" i="2"/>
  <c r="AL5357" i="2"/>
  <c r="AK5357" i="2"/>
  <c r="AE5357" i="2"/>
  <c r="U5357" i="2"/>
  <c r="AE5356" i="2"/>
  <c r="U5356" i="2"/>
  <c r="AE5355" i="2"/>
  <c r="U5355" i="2"/>
  <c r="AE5354" i="2"/>
  <c r="U5354" i="2"/>
  <c r="AE5353" i="2"/>
  <c r="U5353" i="2"/>
  <c r="AL5352" i="2"/>
  <c r="AM5352" i="2" s="1"/>
  <c r="AE5352" i="2"/>
  <c r="U5352" i="2"/>
  <c r="AE5351" i="2"/>
  <c r="U5351" i="2"/>
  <c r="AL5350" i="2"/>
  <c r="AK5350" i="2"/>
  <c r="AE5350" i="2"/>
  <c r="U5350" i="2"/>
  <c r="AL5349" i="2"/>
  <c r="AK5349" i="2"/>
  <c r="AE5349" i="2"/>
  <c r="U5349" i="2"/>
  <c r="AL5348" i="2"/>
  <c r="AK5348" i="2"/>
  <c r="AE5348" i="2"/>
  <c r="U5348" i="2"/>
  <c r="AL5347" i="2"/>
  <c r="AK5347" i="2"/>
  <c r="AE5347" i="2"/>
  <c r="U5347" i="2"/>
  <c r="AL5346" i="2"/>
  <c r="AK5346" i="2"/>
  <c r="AE5346" i="2"/>
  <c r="U5346" i="2"/>
  <c r="AE5345" i="2"/>
  <c r="U5345" i="2"/>
  <c r="AL5344" i="2"/>
  <c r="AK5344" i="2"/>
  <c r="AE5344" i="2"/>
  <c r="U5344" i="2"/>
  <c r="AL5343" i="2"/>
  <c r="AK5343" i="2"/>
  <c r="AE5343" i="2"/>
  <c r="U5343" i="2"/>
  <c r="AE5342" i="2"/>
  <c r="U5342" i="2"/>
  <c r="AE5341" i="2"/>
  <c r="U5341" i="2"/>
  <c r="AL5340" i="2"/>
  <c r="AK5340" i="2"/>
  <c r="AE5340" i="2"/>
  <c r="U5340" i="2"/>
  <c r="AL5339" i="2"/>
  <c r="AK5339" i="2"/>
  <c r="AE5339" i="2"/>
  <c r="U5339" i="2"/>
  <c r="AE5338" i="2"/>
  <c r="U5338" i="2"/>
  <c r="AE5337" i="2"/>
  <c r="U5337" i="2"/>
  <c r="AE5336" i="2"/>
  <c r="U5336" i="2"/>
  <c r="AE5335" i="2"/>
  <c r="U5335" i="2"/>
  <c r="AL5334" i="2"/>
  <c r="AK5334" i="2"/>
  <c r="AE5334" i="2"/>
  <c r="U5334" i="2"/>
  <c r="AE5333" i="2"/>
  <c r="U5333" i="2"/>
  <c r="AE5332" i="2"/>
  <c r="U5332" i="2"/>
  <c r="AL5331" i="2"/>
  <c r="AK5331" i="2"/>
  <c r="AE5331" i="2"/>
  <c r="U5331" i="2"/>
  <c r="AL5330" i="2"/>
  <c r="AK5330" i="2"/>
  <c r="AE5330" i="2"/>
  <c r="U5330" i="2"/>
  <c r="AE5329" i="2"/>
  <c r="U5329" i="2"/>
  <c r="AL5328" i="2"/>
  <c r="AK5328" i="2"/>
  <c r="AE5328" i="2"/>
  <c r="U5328" i="2"/>
  <c r="AE5327" i="2"/>
  <c r="U5327" i="2"/>
  <c r="AE5326" i="2"/>
  <c r="U5326" i="2"/>
  <c r="AL5325" i="2"/>
  <c r="AK5325" i="2"/>
  <c r="AE5325" i="2"/>
  <c r="U5325" i="2"/>
  <c r="AL5324" i="2"/>
  <c r="AK5324" i="2"/>
  <c r="AE5324" i="2"/>
  <c r="U5324" i="2"/>
  <c r="AL5323" i="2"/>
  <c r="AK5323" i="2"/>
  <c r="AE5323" i="2"/>
  <c r="U5323" i="2"/>
  <c r="AE5322" i="2"/>
  <c r="U5322" i="2"/>
  <c r="AE5321" i="2"/>
  <c r="U5321" i="2"/>
  <c r="AE5320" i="2"/>
  <c r="U5320" i="2"/>
  <c r="AL5319" i="2"/>
  <c r="AK5319" i="2"/>
  <c r="AE5319" i="2"/>
  <c r="U5319" i="2"/>
  <c r="AL5318" i="2"/>
  <c r="AK5318" i="2"/>
  <c r="AE5318" i="2"/>
  <c r="U5318" i="2"/>
  <c r="AL5317" i="2"/>
  <c r="AK5317" i="2"/>
  <c r="AE5317" i="2"/>
  <c r="U5317" i="2"/>
  <c r="AL5316" i="2"/>
  <c r="AK5316" i="2"/>
  <c r="AE5316" i="2"/>
  <c r="U5316" i="2"/>
  <c r="AL5315" i="2"/>
  <c r="AK5315" i="2"/>
  <c r="AE5315" i="2"/>
  <c r="U5315" i="2"/>
  <c r="AE5314" i="2"/>
  <c r="U5314" i="2"/>
  <c r="AE5313" i="2"/>
  <c r="U5313" i="2"/>
  <c r="AE5312" i="2"/>
  <c r="U5312" i="2"/>
  <c r="AE5311" i="2"/>
  <c r="U5311" i="2"/>
  <c r="AE5310" i="2"/>
  <c r="U5310" i="2"/>
  <c r="AE5309" i="2"/>
  <c r="U5309" i="2"/>
  <c r="AE5308" i="2"/>
  <c r="U5308" i="2"/>
  <c r="AL5307" i="2"/>
  <c r="AK5307" i="2"/>
  <c r="AE5307" i="2"/>
  <c r="U5307" i="2"/>
  <c r="AL5306" i="2"/>
  <c r="AK5306" i="2"/>
  <c r="AE5306" i="2"/>
  <c r="U5306" i="2"/>
  <c r="AL5305" i="2"/>
  <c r="AK5305" i="2"/>
  <c r="AE5305" i="2"/>
  <c r="U5305" i="2"/>
  <c r="AE5304" i="2"/>
  <c r="U5304" i="2"/>
  <c r="AL5303" i="2"/>
  <c r="AK5303" i="2"/>
  <c r="AE5303" i="2"/>
  <c r="U5303" i="2"/>
  <c r="AE5302" i="2"/>
  <c r="U5302" i="2"/>
  <c r="AK5301" i="2"/>
  <c r="AM5301" i="2" s="1"/>
  <c r="AE5301" i="2"/>
  <c r="U5301" i="2"/>
  <c r="AE5300" i="2"/>
  <c r="U5300" i="2"/>
  <c r="AE5299" i="2"/>
  <c r="U5299" i="2"/>
  <c r="AL5298" i="2"/>
  <c r="AK5298" i="2"/>
  <c r="AE5298" i="2"/>
  <c r="U5298" i="2"/>
  <c r="AE5297" i="2"/>
  <c r="U5297" i="2"/>
  <c r="AE5296" i="2"/>
  <c r="U5296" i="2"/>
  <c r="AE5295" i="2"/>
  <c r="U5295" i="2"/>
  <c r="AE5294" i="2"/>
  <c r="U5294" i="2"/>
  <c r="AE5293" i="2"/>
  <c r="U5293" i="2"/>
  <c r="AL5292" i="2"/>
  <c r="AK5292" i="2"/>
  <c r="AE5292" i="2"/>
  <c r="U5292" i="2"/>
  <c r="AL5291" i="2"/>
  <c r="AK5291" i="2"/>
  <c r="AM5291" i="2" s="1"/>
  <c r="AE5291" i="2"/>
  <c r="U5291" i="2"/>
  <c r="AE5290" i="2"/>
  <c r="U5290" i="2"/>
  <c r="AL5289" i="2"/>
  <c r="AM5289" i="2" s="1"/>
  <c r="AE5289" i="2"/>
  <c r="U5289" i="2"/>
  <c r="AE5288" i="2"/>
  <c r="U5288" i="2"/>
  <c r="AE5287" i="2"/>
  <c r="U5287" i="2"/>
  <c r="AE5286" i="2"/>
  <c r="U5286" i="2"/>
  <c r="AE5285" i="2"/>
  <c r="U5285" i="2"/>
  <c r="AE5284" i="2"/>
  <c r="U5284" i="2"/>
  <c r="AL5283" i="2"/>
  <c r="AK5283" i="2"/>
  <c r="AE5283" i="2"/>
  <c r="U5283" i="2"/>
  <c r="AL5282" i="2"/>
  <c r="AK5282" i="2"/>
  <c r="AE5282" i="2"/>
  <c r="U5282" i="2"/>
  <c r="AE5281" i="2"/>
  <c r="U5281" i="2"/>
  <c r="AE5280" i="2"/>
  <c r="U5280" i="2"/>
  <c r="AE5279" i="2"/>
  <c r="U5279" i="2"/>
  <c r="AE5278" i="2"/>
  <c r="U5278" i="2"/>
  <c r="AL5277" i="2"/>
  <c r="AK5277" i="2"/>
  <c r="AE5277" i="2"/>
  <c r="U5277" i="2"/>
  <c r="AE5276" i="2"/>
  <c r="U5276" i="2"/>
  <c r="AE5275" i="2"/>
  <c r="U5275" i="2"/>
  <c r="AE5274" i="2"/>
  <c r="U5274" i="2"/>
  <c r="AL5273" i="2"/>
  <c r="AK5273" i="2"/>
  <c r="AE5273" i="2"/>
  <c r="U5273" i="2"/>
  <c r="AL5272" i="2"/>
  <c r="AK5272" i="2"/>
  <c r="AE5272" i="2"/>
  <c r="U5272" i="2"/>
  <c r="AL5271" i="2"/>
  <c r="AK5271" i="2"/>
  <c r="AE5271" i="2"/>
  <c r="U5271" i="2"/>
  <c r="AE5270" i="2"/>
  <c r="U5270" i="2"/>
  <c r="AL5269" i="2"/>
  <c r="AK5269" i="2"/>
  <c r="AE5269" i="2"/>
  <c r="U5269" i="2"/>
  <c r="AL5268" i="2"/>
  <c r="AK5268" i="2"/>
  <c r="AE5268" i="2"/>
  <c r="U5268" i="2"/>
  <c r="AE5267" i="2"/>
  <c r="U5267" i="2"/>
  <c r="AL5266" i="2"/>
  <c r="AK5266" i="2"/>
  <c r="AE5266" i="2"/>
  <c r="U5266" i="2"/>
  <c r="AL5265" i="2"/>
  <c r="AK5265" i="2"/>
  <c r="AE5265" i="2"/>
  <c r="U5265" i="2"/>
  <c r="AE5264" i="2"/>
  <c r="U5264" i="2"/>
  <c r="AL5263" i="2"/>
  <c r="AK5263" i="2"/>
  <c r="AE5263" i="2"/>
  <c r="U5263" i="2"/>
  <c r="AL5262" i="2"/>
  <c r="AK5262" i="2"/>
  <c r="AE5262" i="2"/>
  <c r="U5262" i="2"/>
  <c r="AL5261" i="2"/>
  <c r="AK5261" i="2"/>
  <c r="AE5261" i="2"/>
  <c r="U5261" i="2"/>
  <c r="AE5260" i="2"/>
  <c r="U5260" i="2"/>
  <c r="AL5259" i="2"/>
  <c r="AK5259" i="2"/>
  <c r="AE5259" i="2"/>
  <c r="U5259" i="2"/>
  <c r="AL5258" i="2"/>
  <c r="AK5258" i="2"/>
  <c r="AE5258" i="2"/>
  <c r="U5258" i="2"/>
  <c r="AE5257" i="2"/>
  <c r="U5257" i="2"/>
  <c r="AL5256" i="2"/>
  <c r="AK5256" i="2"/>
  <c r="AE5256" i="2"/>
  <c r="U5256" i="2"/>
  <c r="AE5255" i="2"/>
  <c r="U5255" i="2"/>
  <c r="AE5254" i="2"/>
  <c r="U5254" i="2"/>
  <c r="AL5253" i="2"/>
  <c r="AK5253" i="2"/>
  <c r="AE5253" i="2"/>
  <c r="U5253" i="2"/>
  <c r="AL5252" i="2"/>
  <c r="AK5252" i="2"/>
  <c r="AE5252" i="2"/>
  <c r="AE5251" i="2"/>
  <c r="U5251" i="2"/>
  <c r="AL5250" i="2"/>
  <c r="AK5250" i="2"/>
  <c r="AE5250" i="2"/>
  <c r="AL5249" i="2"/>
  <c r="AM5249" i="2" s="1"/>
  <c r="AE5249" i="2"/>
  <c r="AE5248" i="2"/>
  <c r="U5248" i="2"/>
  <c r="AE5247" i="2"/>
  <c r="U5247" i="2"/>
  <c r="AE5246" i="2"/>
  <c r="U5246" i="2"/>
  <c r="AL5245" i="2"/>
  <c r="AK5245" i="2"/>
  <c r="AE5245" i="2"/>
  <c r="AE5244" i="2"/>
  <c r="U5244" i="2"/>
  <c r="AE5243" i="2"/>
  <c r="U5243" i="2"/>
  <c r="AE5242" i="2"/>
  <c r="U5242" i="2"/>
  <c r="AE5241" i="2"/>
  <c r="U5241" i="2"/>
  <c r="AE5240" i="2"/>
  <c r="U5240" i="2"/>
  <c r="AE5239" i="2"/>
  <c r="U5239" i="2"/>
  <c r="AE5238" i="2"/>
  <c r="U5238" i="2"/>
  <c r="AE5237" i="2"/>
  <c r="U5237" i="2"/>
  <c r="AE5236" i="2"/>
  <c r="U5236" i="2"/>
  <c r="AE5235" i="2"/>
  <c r="U5235" i="2"/>
  <c r="AE5234" i="2"/>
  <c r="U5234" i="2"/>
  <c r="AE5233" i="2"/>
  <c r="U5233" i="2"/>
  <c r="AL5232" i="2"/>
  <c r="AK5232" i="2"/>
  <c r="AE5232" i="2"/>
  <c r="U5232" i="2"/>
  <c r="AE5231" i="2"/>
  <c r="U5231" i="2"/>
  <c r="AE5230" i="2"/>
  <c r="U5230" i="2"/>
  <c r="AL5229" i="2"/>
  <c r="AK5229" i="2"/>
  <c r="AE5229" i="2"/>
  <c r="U5229" i="2"/>
  <c r="AL5228" i="2"/>
  <c r="AK5228" i="2"/>
  <c r="AE5228" i="2"/>
  <c r="U5228" i="2"/>
  <c r="AL5227" i="2"/>
  <c r="AK5227" i="2"/>
  <c r="AE5227" i="2"/>
  <c r="U5227" i="2"/>
  <c r="AL5226" i="2"/>
  <c r="AK5226" i="2"/>
  <c r="AE5226" i="2"/>
  <c r="U5226" i="2"/>
  <c r="AE5225" i="2"/>
  <c r="U5225" i="2"/>
  <c r="AE5224" i="2"/>
  <c r="U5224" i="2"/>
  <c r="AE5223" i="2"/>
  <c r="U5223" i="2"/>
  <c r="AE5222" i="2"/>
  <c r="U5222" i="2"/>
  <c r="AL5221" i="2"/>
  <c r="AK5221" i="2"/>
  <c r="AE5221" i="2"/>
  <c r="U5221" i="2"/>
  <c r="AE5220" i="2"/>
  <c r="U5220" i="2"/>
  <c r="AL5219" i="2"/>
  <c r="AK5219" i="2"/>
  <c r="AE5219" i="2"/>
  <c r="AL5218" i="2"/>
  <c r="AK5218" i="2"/>
  <c r="AE5218" i="2"/>
  <c r="AL5217" i="2"/>
  <c r="AK5217" i="2"/>
  <c r="AE5217" i="2"/>
  <c r="U5217" i="2"/>
  <c r="AE5216" i="2"/>
  <c r="U5216" i="2"/>
  <c r="AL5215" i="2"/>
  <c r="AK5215" i="2"/>
  <c r="AE5215" i="2"/>
  <c r="U5215" i="2"/>
  <c r="AL5214" i="2"/>
  <c r="AK5214" i="2"/>
  <c r="AE5214" i="2"/>
  <c r="U5214" i="2"/>
  <c r="AE5213" i="2"/>
  <c r="U5213" i="2"/>
  <c r="AE5212" i="2"/>
  <c r="U5212" i="2"/>
  <c r="AE5211" i="2"/>
  <c r="U5211" i="2"/>
  <c r="AE5210" i="2"/>
  <c r="U5210" i="2"/>
  <c r="AE5209" i="2"/>
  <c r="U5209" i="2"/>
  <c r="AE5208" i="2"/>
  <c r="U5208" i="2"/>
  <c r="AL5207" i="2"/>
  <c r="AK5207" i="2"/>
  <c r="AE5207" i="2"/>
  <c r="U5207" i="2"/>
  <c r="AE5206" i="2"/>
  <c r="U5206" i="2"/>
  <c r="AL5205" i="2"/>
  <c r="AK5205" i="2"/>
  <c r="AE5205" i="2"/>
  <c r="U5205" i="2"/>
  <c r="AL5204" i="2"/>
  <c r="AK5204" i="2"/>
  <c r="AM5204" i="2" s="1"/>
  <c r="AE5204" i="2"/>
  <c r="U5204" i="2"/>
  <c r="AL5203" i="2"/>
  <c r="AK5203" i="2"/>
  <c r="AE5203" i="2"/>
  <c r="U5203" i="2"/>
  <c r="AK5202" i="2"/>
  <c r="AM5202" i="2" s="1"/>
  <c r="AE5202" i="2"/>
  <c r="U5202" i="2"/>
  <c r="AK5201" i="2"/>
  <c r="AM5201" i="2" s="1"/>
  <c r="AE5201" i="2"/>
  <c r="U5201" i="2"/>
  <c r="AE5200" i="2"/>
  <c r="U5200" i="2"/>
  <c r="AL5199" i="2"/>
  <c r="AK5199" i="2"/>
  <c r="AM5199" i="2" s="1"/>
  <c r="AE5199" i="2"/>
  <c r="U5199" i="2"/>
  <c r="AL5198" i="2"/>
  <c r="AK5198" i="2"/>
  <c r="AE5198" i="2"/>
  <c r="U5198" i="2"/>
  <c r="AL5197" i="2"/>
  <c r="AK5197" i="2"/>
  <c r="AM5197" i="2" s="1"/>
  <c r="AE5197" i="2"/>
  <c r="U5197" i="2"/>
  <c r="AL5196" i="2"/>
  <c r="AK5196" i="2"/>
  <c r="AE5196" i="2"/>
  <c r="U5196" i="2"/>
  <c r="AL5195" i="2"/>
  <c r="AK5195" i="2"/>
  <c r="AM5195" i="2" s="1"/>
  <c r="AE5195" i="2"/>
  <c r="U5195" i="2"/>
  <c r="AE5194" i="2"/>
  <c r="U5194" i="2"/>
  <c r="AE5193" i="2"/>
  <c r="U5193" i="2"/>
  <c r="AE5192" i="2"/>
  <c r="U5192" i="2"/>
  <c r="AK5191" i="2"/>
  <c r="AM5191" i="2" s="1"/>
  <c r="AE5191" i="2"/>
  <c r="U5191" i="2"/>
  <c r="AE5190" i="2"/>
  <c r="U5190" i="2"/>
  <c r="AE5189" i="2"/>
  <c r="U5189" i="2"/>
  <c r="AE5188" i="2"/>
  <c r="U5188" i="2"/>
  <c r="AE5187" i="2"/>
  <c r="U5187" i="2"/>
  <c r="AE5186" i="2"/>
  <c r="U5186" i="2"/>
  <c r="AL5185" i="2"/>
  <c r="AK5185" i="2"/>
  <c r="AE5185" i="2"/>
  <c r="U5185" i="2"/>
  <c r="AE5184" i="2"/>
  <c r="U5184" i="2"/>
  <c r="AL5183" i="2"/>
  <c r="AK5183" i="2"/>
  <c r="AE5183" i="2"/>
  <c r="U5183" i="2"/>
  <c r="AE5182" i="2"/>
  <c r="U5182" i="2"/>
  <c r="AE5181" i="2"/>
  <c r="U5181" i="2"/>
  <c r="AL5180" i="2"/>
  <c r="AK5180" i="2"/>
  <c r="AE5180" i="2"/>
  <c r="U5180" i="2"/>
  <c r="AL5179" i="2"/>
  <c r="AK5179" i="2"/>
  <c r="AE5179" i="2"/>
  <c r="U5179" i="2"/>
  <c r="AE5178" i="2"/>
  <c r="U5178" i="2"/>
  <c r="AL5177" i="2"/>
  <c r="AK5177" i="2"/>
  <c r="AE5177" i="2"/>
  <c r="U5177" i="2"/>
  <c r="AE5176" i="2"/>
  <c r="U5176" i="2"/>
  <c r="AE5175" i="2"/>
  <c r="U5175" i="2"/>
  <c r="AE5174" i="2"/>
  <c r="U5174" i="2"/>
  <c r="AE5173" i="2"/>
  <c r="U5173" i="2"/>
  <c r="AE5172" i="2"/>
  <c r="U5172" i="2"/>
  <c r="AE5171" i="2"/>
  <c r="U5171" i="2"/>
  <c r="AL5170" i="2"/>
  <c r="AK5170" i="2"/>
  <c r="AE5170" i="2"/>
  <c r="U5170" i="2"/>
  <c r="AL5169" i="2"/>
  <c r="AK5169" i="2"/>
  <c r="AE5169" i="2"/>
  <c r="U5169" i="2"/>
  <c r="AL5168" i="2"/>
  <c r="AK5168" i="2"/>
  <c r="AE5168" i="2"/>
  <c r="U5168" i="2"/>
  <c r="AL5167" i="2"/>
  <c r="AK5167" i="2"/>
  <c r="AE5167" i="2"/>
  <c r="U5167" i="2"/>
  <c r="AE5166" i="2"/>
  <c r="U5166" i="2"/>
  <c r="AL5165" i="2"/>
  <c r="AK5165" i="2"/>
  <c r="AE5165" i="2"/>
  <c r="U5165" i="2"/>
  <c r="AE5164" i="2"/>
  <c r="U5164" i="2"/>
  <c r="AL5163" i="2"/>
  <c r="AM5163" i="2" s="1"/>
  <c r="AE5163" i="2"/>
  <c r="U5163" i="2"/>
  <c r="AE5162" i="2"/>
  <c r="U5162" i="2"/>
  <c r="AE5161" i="2"/>
  <c r="U5161" i="2"/>
  <c r="AL5160" i="2"/>
  <c r="AK5160" i="2"/>
  <c r="AE5160" i="2"/>
  <c r="U5160" i="2"/>
  <c r="AL5159" i="2"/>
  <c r="AK5159" i="2"/>
  <c r="AE5159" i="2"/>
  <c r="U5159" i="2"/>
  <c r="AL5158" i="2"/>
  <c r="AK5158" i="2"/>
  <c r="AE5158" i="2"/>
  <c r="U5158" i="2"/>
  <c r="AL5157" i="2"/>
  <c r="AK5157" i="2"/>
  <c r="AE5157" i="2"/>
  <c r="U5157" i="2"/>
  <c r="AM5371" i="2" l="1"/>
  <c r="AM5158" i="2"/>
  <c r="AM5160" i="2"/>
  <c r="AM5207" i="2"/>
  <c r="AM5214" i="2"/>
  <c r="AM5219" i="2"/>
  <c r="AM5292" i="2"/>
  <c r="AM5394" i="2"/>
  <c r="AM5196" i="2"/>
  <c r="AM5198" i="2"/>
  <c r="AM5203" i="2"/>
  <c r="AM5205" i="2"/>
  <c r="AM5217" i="2"/>
  <c r="AM5226" i="2"/>
  <c r="AM5228" i="2"/>
  <c r="AM5357" i="2"/>
  <c r="AM5359" i="2"/>
  <c r="AM5380" i="2"/>
  <c r="AM5389" i="2"/>
  <c r="AM5373" i="2"/>
  <c r="AM5157" i="2"/>
  <c r="AM5159" i="2"/>
  <c r="AM5221" i="2"/>
  <c r="AM5227" i="2"/>
  <c r="AM5229" i="2"/>
  <c r="AM5232" i="2"/>
  <c r="AM5215" i="2"/>
  <c r="AM5250" i="2"/>
  <c r="AM5407" i="2"/>
  <c r="AM5298" i="2"/>
  <c r="AM5406" i="2"/>
  <c r="AM5408" i="2"/>
  <c r="AM5245" i="2"/>
  <c r="AM5252" i="2"/>
  <c r="AM5262" i="2"/>
  <c r="AM5269" i="2"/>
  <c r="AM5395" i="2"/>
  <c r="AM5168" i="2"/>
  <c r="AM5170" i="2"/>
  <c r="AM5177" i="2"/>
  <c r="AM5185" i="2"/>
  <c r="AM5259" i="2"/>
  <c r="AM5266" i="2"/>
  <c r="AM5271" i="2"/>
  <c r="AM5273" i="2"/>
  <c r="AM5316" i="2"/>
  <c r="AM5318" i="2"/>
  <c r="AM5331" i="2"/>
  <c r="AM5334" i="2"/>
  <c r="AM5340" i="2"/>
  <c r="AM5343" i="2"/>
  <c r="AM5382" i="2"/>
  <c r="AM5385" i="2"/>
  <c r="AM5401" i="2"/>
  <c r="AM5180" i="2"/>
  <c r="AM5183" i="2"/>
  <c r="AM5277" i="2"/>
  <c r="AM5283" i="2"/>
  <c r="AM5305" i="2"/>
  <c r="AM5307" i="2"/>
  <c r="AM5324" i="2"/>
  <c r="AM5346" i="2"/>
  <c r="AM5348" i="2"/>
  <c r="AM5350" i="2"/>
  <c r="AM5167" i="2"/>
  <c r="AM5169" i="2"/>
  <c r="AM5258" i="2"/>
  <c r="AM5265" i="2"/>
  <c r="AM5272" i="2"/>
  <c r="AM5303" i="2"/>
  <c r="AM5315" i="2"/>
  <c r="AM5317" i="2"/>
  <c r="AM5319" i="2"/>
  <c r="AM5330" i="2"/>
  <c r="AM5339" i="2"/>
  <c r="AM5344" i="2"/>
  <c r="AM5165" i="2"/>
  <c r="AM5179" i="2"/>
  <c r="AM5218" i="2"/>
  <c r="AM5253" i="2"/>
  <c r="AM5256" i="2"/>
  <c r="AM5261" i="2"/>
  <c r="AM5263" i="2"/>
  <c r="AM5268" i="2"/>
  <c r="AM5282" i="2"/>
  <c r="AM5306" i="2"/>
  <c r="AM5323" i="2"/>
  <c r="AM5325" i="2"/>
  <c r="AM5328" i="2"/>
  <c r="AM5347" i="2"/>
  <c r="AM5349" i="2"/>
  <c r="AM3584" i="5"/>
  <c r="AM3583" i="5"/>
  <c r="AM3582" i="5"/>
  <c r="AM3581" i="5"/>
  <c r="AE3581" i="5"/>
  <c r="AM3580" i="5"/>
  <c r="AE3580" i="5"/>
  <c r="AM3579" i="5"/>
  <c r="AE3579" i="5"/>
  <c r="AM3578" i="5"/>
  <c r="AE3578" i="5"/>
  <c r="AM3577" i="5"/>
  <c r="AE3577" i="5"/>
  <c r="AM3576" i="5"/>
  <c r="AE3576" i="5"/>
  <c r="AM3575" i="5"/>
  <c r="AE3575" i="5"/>
  <c r="AM3574" i="5"/>
  <c r="AE3574" i="5"/>
  <c r="AM3573" i="5"/>
  <c r="AE3573" i="5"/>
  <c r="AM3572" i="5"/>
  <c r="AE3572" i="5"/>
  <c r="AM3571" i="5"/>
  <c r="AE3571" i="5"/>
  <c r="AM3570" i="5"/>
  <c r="AE3570" i="5"/>
  <c r="AM3569" i="5"/>
  <c r="AE3569" i="5"/>
  <c r="AM3568" i="5"/>
  <c r="AE3568" i="5"/>
  <c r="AM3567" i="5"/>
  <c r="AE3567" i="5"/>
  <c r="AM3566" i="5"/>
  <c r="AE3566" i="5"/>
  <c r="AM3565" i="5"/>
  <c r="AE3565" i="5"/>
  <c r="AM3564" i="5"/>
  <c r="AE3564" i="5"/>
  <c r="AM3563" i="5"/>
  <c r="AE3563" i="5"/>
  <c r="AM3562" i="5"/>
  <c r="AE3562" i="5"/>
  <c r="AM3561" i="5"/>
  <c r="AE3561" i="5"/>
  <c r="AM3560" i="5"/>
  <c r="AE3560" i="5"/>
  <c r="AM3559" i="5"/>
  <c r="AE3559" i="5"/>
  <c r="AM3558" i="5"/>
  <c r="AE3558" i="5"/>
  <c r="AM3557" i="5"/>
  <c r="AE3557" i="5"/>
  <c r="AM3556" i="5"/>
  <c r="AE3556" i="5"/>
  <c r="AM3555" i="5"/>
  <c r="AE3555" i="5"/>
  <c r="AM3554" i="5"/>
  <c r="AE3554" i="5"/>
  <c r="AM3553" i="5"/>
  <c r="AE3553" i="5"/>
  <c r="AM3552" i="5"/>
  <c r="AE3552" i="5"/>
  <c r="AM3551" i="5"/>
  <c r="AE3551" i="5"/>
  <c r="AM3550" i="5"/>
  <c r="AE3550" i="5"/>
  <c r="AM3549" i="5"/>
  <c r="AE3549" i="5"/>
  <c r="AM3548" i="5"/>
  <c r="AE3548" i="5"/>
  <c r="AM3547" i="5"/>
  <c r="AE3547" i="5"/>
  <c r="AM3546" i="5"/>
  <c r="AE3546" i="5"/>
  <c r="AM3545" i="5"/>
  <c r="AE3545" i="5"/>
  <c r="AM3544" i="5"/>
  <c r="AE3544" i="5"/>
  <c r="AM3543" i="5"/>
  <c r="AE3543" i="5"/>
  <c r="AM3542" i="5"/>
  <c r="AE3542" i="5"/>
  <c r="AM3541" i="5"/>
  <c r="AE3541" i="5"/>
  <c r="AM3540" i="5"/>
  <c r="AE3540" i="5"/>
  <c r="AM3539" i="5"/>
  <c r="AE3539" i="5"/>
  <c r="AM3538" i="5"/>
  <c r="AE3538" i="5"/>
  <c r="AM3537" i="5"/>
  <c r="AE3537" i="5"/>
  <c r="AM3536" i="5"/>
  <c r="AE3536" i="5"/>
  <c r="AM3535" i="5"/>
  <c r="AE3535" i="5"/>
  <c r="AM3534" i="5"/>
  <c r="AE3534" i="5"/>
  <c r="AM3533" i="5"/>
  <c r="AE3533" i="5"/>
  <c r="AM3532" i="5"/>
  <c r="AE3532" i="5"/>
  <c r="AM3531" i="5"/>
  <c r="AE3531" i="5"/>
  <c r="AM3530" i="5"/>
  <c r="AE3530" i="5"/>
  <c r="AM3529" i="5"/>
  <c r="AE3529" i="5"/>
  <c r="AM3528" i="5"/>
  <c r="AE3528" i="5"/>
  <c r="AM3527" i="5"/>
  <c r="AE3527" i="5"/>
  <c r="AM3526" i="5"/>
  <c r="AE3526" i="5"/>
  <c r="AM3525" i="5"/>
  <c r="AE3525" i="5"/>
  <c r="AM3524" i="5"/>
  <c r="AE3524" i="5"/>
  <c r="AM3523" i="5"/>
  <c r="AE3523" i="5"/>
  <c r="AM3522" i="5"/>
  <c r="AE3522" i="5"/>
  <c r="AM3521" i="5"/>
  <c r="AE3521" i="5"/>
  <c r="AM3520" i="5"/>
  <c r="AE3520" i="5"/>
  <c r="AM3519" i="5"/>
  <c r="AE3519" i="5"/>
  <c r="AM3518" i="5"/>
  <c r="AE3518" i="5"/>
  <c r="AM3517" i="5"/>
  <c r="AE3517" i="5"/>
  <c r="AM3516" i="5"/>
  <c r="AE3516" i="5"/>
  <c r="AM3515" i="5"/>
  <c r="AE3515" i="5"/>
  <c r="AM3514" i="5"/>
  <c r="AE3514" i="5"/>
  <c r="AM3513" i="5"/>
  <c r="AE3513" i="5"/>
  <c r="AM3512" i="5"/>
  <c r="AE3512" i="5"/>
  <c r="AM3511" i="5"/>
  <c r="AE3511" i="5"/>
  <c r="AM3510" i="5"/>
  <c r="AE3510" i="5"/>
  <c r="AM3509" i="5"/>
  <c r="AE3509" i="5"/>
  <c r="AM3508" i="5"/>
  <c r="AE3508" i="5"/>
  <c r="AM3507" i="5"/>
  <c r="AE3507" i="5"/>
  <c r="AM3506" i="5"/>
  <c r="AE3506" i="5"/>
  <c r="AM3505" i="5"/>
  <c r="AE3505" i="5"/>
  <c r="AM3504" i="5"/>
  <c r="AE3504" i="5"/>
  <c r="AM3503" i="5"/>
  <c r="AE3503" i="5"/>
  <c r="AM3502" i="5"/>
  <c r="AE3502" i="5"/>
  <c r="AM3501" i="5"/>
  <c r="AE3501" i="5"/>
  <c r="AM3500" i="5"/>
  <c r="AE3500" i="5"/>
  <c r="AM3499" i="5"/>
  <c r="AE3499" i="5"/>
  <c r="AM3498" i="5"/>
  <c r="AE3498" i="5"/>
  <c r="AM3497" i="5"/>
  <c r="AE3497" i="5"/>
  <c r="AM3496" i="5"/>
  <c r="AE3496" i="5"/>
  <c r="AM3495" i="5"/>
  <c r="AE3495" i="5"/>
  <c r="AM3494" i="5"/>
  <c r="AE3494" i="5"/>
  <c r="AM3493" i="5"/>
  <c r="AE3493" i="5"/>
  <c r="AM3492" i="5"/>
  <c r="AE3492" i="5"/>
  <c r="AM3491" i="5"/>
  <c r="AE3491" i="5"/>
  <c r="AM3490" i="5"/>
  <c r="AE3490" i="5"/>
  <c r="AM3489" i="5"/>
  <c r="AE3489" i="5"/>
  <c r="AM3488" i="5"/>
  <c r="AE3488" i="5"/>
  <c r="AM3487" i="5"/>
  <c r="AE3487" i="5"/>
  <c r="AM3486" i="5"/>
  <c r="AE3486" i="5"/>
  <c r="AM3485" i="5"/>
  <c r="AE3485" i="5"/>
  <c r="AM3484" i="5"/>
  <c r="AE3484" i="5"/>
  <c r="AM3483" i="5"/>
  <c r="AE3483" i="5"/>
  <c r="AM3482" i="5"/>
  <c r="AE3482" i="5"/>
  <c r="AM3481" i="5"/>
  <c r="AE3481" i="5"/>
  <c r="AM3480" i="5"/>
  <c r="AE3480" i="5"/>
  <c r="AM3479" i="5"/>
  <c r="AE3479" i="5"/>
  <c r="AM3478" i="5"/>
  <c r="AE3478" i="5"/>
  <c r="AM3477" i="5"/>
  <c r="AE3477" i="5"/>
  <c r="AM3476" i="5"/>
  <c r="AE3476" i="5"/>
  <c r="AM3475" i="5"/>
  <c r="AE3475" i="5"/>
  <c r="AM3474" i="5"/>
  <c r="AE3474" i="5"/>
  <c r="AM3473" i="5"/>
  <c r="AE3473" i="5"/>
  <c r="AM3472" i="5"/>
  <c r="AE3472" i="5"/>
  <c r="AM3471" i="5"/>
  <c r="AE3471" i="5"/>
  <c r="AM3470" i="5"/>
  <c r="AE3470" i="5"/>
  <c r="AM3469" i="5"/>
  <c r="AE3469" i="5"/>
  <c r="AM3468" i="5"/>
  <c r="AE3468" i="5"/>
  <c r="AM3467" i="5"/>
  <c r="AE3467" i="5"/>
  <c r="AM3466" i="5"/>
  <c r="AE3466" i="5"/>
  <c r="AM3465" i="5"/>
  <c r="AE3465" i="5"/>
  <c r="AM3464" i="5"/>
  <c r="AE3464" i="5"/>
  <c r="AM3463" i="5"/>
  <c r="AE3463" i="5"/>
  <c r="AM3462" i="5"/>
  <c r="AE3462" i="5"/>
  <c r="AM3461" i="5"/>
  <c r="AE3461" i="5"/>
  <c r="AM3460" i="5"/>
  <c r="AE3460" i="5"/>
  <c r="AM3459" i="5"/>
  <c r="AE3459" i="5"/>
  <c r="AM3458" i="5"/>
  <c r="AE3458" i="5"/>
  <c r="AM3457" i="5"/>
  <c r="AE3457" i="5"/>
  <c r="AM3456" i="5"/>
  <c r="AE3456" i="5"/>
  <c r="AM3455" i="5"/>
  <c r="AE3455" i="5"/>
  <c r="AM3454" i="5"/>
  <c r="AE3454" i="5"/>
  <c r="AM3453" i="5"/>
  <c r="AE3453" i="5"/>
  <c r="AM3452" i="5"/>
  <c r="AE3452" i="5"/>
  <c r="AM3451" i="5"/>
  <c r="AE3451" i="5"/>
  <c r="AM3450" i="5"/>
  <c r="AE3450" i="5"/>
  <c r="AM3449" i="5"/>
  <c r="AE3449" i="5"/>
  <c r="AM3448" i="5"/>
  <c r="AE3448" i="5"/>
  <c r="AM3447" i="5"/>
  <c r="AE3447" i="5"/>
  <c r="AM3446" i="5"/>
  <c r="AE3446" i="5"/>
  <c r="AM3445" i="5"/>
  <c r="AE3445" i="5"/>
  <c r="AM3444" i="5"/>
  <c r="AE3444" i="5"/>
  <c r="AM3443" i="5"/>
  <c r="AE3443" i="5"/>
  <c r="AM3442" i="5"/>
  <c r="AE3442" i="5"/>
  <c r="AM3441" i="5"/>
  <c r="AE3441" i="5"/>
  <c r="AM3440" i="5"/>
  <c r="AE3440" i="5"/>
  <c r="AM3439" i="5"/>
  <c r="AE3439" i="5"/>
  <c r="AM3438" i="5"/>
  <c r="AE3438" i="5"/>
  <c r="AM3437" i="5"/>
  <c r="AE3437" i="5"/>
  <c r="AM3436" i="5"/>
  <c r="AE3436" i="5"/>
  <c r="AM3435" i="5"/>
  <c r="AE3435" i="5"/>
  <c r="AM3434" i="5"/>
  <c r="AE3434" i="5"/>
  <c r="AM3433" i="5"/>
  <c r="AE3433" i="5"/>
  <c r="AM3432" i="5"/>
  <c r="AE3432" i="5"/>
  <c r="AM3431" i="5"/>
  <c r="AE3431" i="5"/>
  <c r="AM3430" i="5"/>
  <c r="AE3430" i="5"/>
  <c r="AM3429" i="5"/>
  <c r="AE3429" i="5"/>
  <c r="AM3428" i="5"/>
  <c r="AE3428" i="5"/>
  <c r="AM3427" i="5"/>
  <c r="AE3427" i="5"/>
  <c r="AM3426" i="5"/>
  <c r="AE3426" i="5"/>
  <c r="AM3425" i="5"/>
  <c r="AE3425" i="5"/>
  <c r="AM3424" i="5"/>
  <c r="AE3424" i="5"/>
  <c r="AM3423" i="5"/>
  <c r="AE3423" i="5"/>
  <c r="AM3422" i="5"/>
  <c r="AE3422" i="5"/>
  <c r="AM3421" i="5"/>
  <c r="AE3421" i="5"/>
  <c r="AM3420" i="5"/>
  <c r="AE3420" i="5"/>
  <c r="AM3419" i="5"/>
  <c r="AE3419" i="5"/>
  <c r="AM3418" i="5"/>
  <c r="AE3418" i="5"/>
  <c r="AM3417" i="5"/>
  <c r="AE3417" i="5"/>
  <c r="AM3416" i="5"/>
  <c r="AE3416" i="5"/>
  <c r="AM3415" i="5"/>
  <c r="AE3415" i="5"/>
  <c r="AM3414" i="5"/>
  <c r="AE3414" i="5"/>
  <c r="AM3413" i="5"/>
  <c r="AE3413" i="5"/>
  <c r="AM3412" i="5"/>
  <c r="AE3412" i="5"/>
  <c r="AM3411" i="5"/>
  <c r="AE3411" i="5"/>
  <c r="AM3410" i="5"/>
  <c r="AE3410" i="5"/>
  <c r="AM3409" i="5"/>
  <c r="AE3409" i="5"/>
  <c r="AM3408" i="5"/>
  <c r="AE3408" i="5"/>
  <c r="AM3407" i="5"/>
  <c r="AE3407" i="5"/>
  <c r="AM3406" i="5"/>
  <c r="AE3406" i="5"/>
  <c r="AM3405" i="5"/>
  <c r="AE3405" i="5"/>
  <c r="AM3404" i="5"/>
  <c r="AE3404" i="5"/>
  <c r="AM3403" i="5"/>
  <c r="AE3403" i="5"/>
  <c r="AM3402" i="5"/>
  <c r="AE3402" i="5"/>
  <c r="AM3401" i="5"/>
  <c r="AE3401" i="5"/>
  <c r="AM3400" i="5"/>
  <c r="AE3400" i="5"/>
  <c r="AM3399" i="5"/>
  <c r="AE3399" i="5"/>
  <c r="AM3398" i="5"/>
  <c r="AE3398" i="5"/>
  <c r="AM3397" i="5"/>
  <c r="AE3397" i="5"/>
  <c r="AM3396" i="5"/>
  <c r="AE3396" i="5"/>
  <c r="AM3395" i="5"/>
  <c r="AE3395" i="5"/>
  <c r="AM3394" i="5"/>
  <c r="AE3394" i="5"/>
  <c r="AM3393" i="5"/>
  <c r="AE3393" i="5"/>
  <c r="AM3392" i="5"/>
  <c r="AE3392" i="5"/>
  <c r="AM3391" i="5"/>
  <c r="AE3391" i="5"/>
  <c r="AM3390" i="5"/>
  <c r="AE3390" i="5"/>
  <c r="AM3389" i="5"/>
  <c r="AE3389" i="5"/>
  <c r="AM3388" i="5"/>
  <c r="AE3388" i="5"/>
  <c r="AM3387" i="5"/>
  <c r="AE3387" i="5"/>
  <c r="AM3386" i="5"/>
  <c r="AE3386" i="5"/>
  <c r="AM3385" i="5"/>
  <c r="AE3385" i="5"/>
  <c r="AM3384" i="5"/>
  <c r="AE3384" i="5"/>
  <c r="AM3383" i="5"/>
  <c r="AE3383" i="5"/>
  <c r="AM3382" i="5"/>
  <c r="AE3382" i="5"/>
  <c r="AM3381" i="5"/>
  <c r="AE3381" i="5"/>
  <c r="AM3380" i="5"/>
  <c r="AE3380" i="5"/>
  <c r="AM3379" i="5"/>
  <c r="AE3379" i="5"/>
  <c r="AM3378" i="5"/>
  <c r="AE3378" i="5"/>
  <c r="AM3377" i="5"/>
  <c r="AE3377" i="5"/>
  <c r="AM3376" i="5"/>
  <c r="AE3376" i="5"/>
  <c r="AM3375" i="5"/>
  <c r="AE3375" i="5"/>
  <c r="AM3374" i="5"/>
  <c r="AE3374" i="5"/>
  <c r="AM3373" i="5"/>
  <c r="AE3373" i="5"/>
  <c r="AM3372" i="5"/>
  <c r="AE3372" i="5"/>
  <c r="AM3371" i="5"/>
  <c r="AE3371" i="5"/>
  <c r="AM3370" i="5"/>
  <c r="AE3370" i="5"/>
  <c r="AM3369" i="5"/>
  <c r="AE3369" i="5"/>
  <c r="AM3368" i="5"/>
  <c r="AE3368" i="5"/>
  <c r="AM3367" i="5"/>
  <c r="AE3367" i="5"/>
  <c r="AM3366" i="5"/>
  <c r="AE3366" i="5"/>
  <c r="AM3365" i="5"/>
  <c r="AE3365" i="5"/>
  <c r="AM3364" i="5"/>
  <c r="AE3364" i="5"/>
  <c r="AM3363" i="5"/>
  <c r="AE3363" i="5"/>
  <c r="AM3362" i="5"/>
  <c r="AE3362" i="5"/>
  <c r="AM3361" i="5"/>
  <c r="AE3361" i="5"/>
  <c r="AM3360" i="5"/>
  <c r="AE3360" i="5"/>
  <c r="AM3359" i="5"/>
  <c r="AE3359" i="5"/>
  <c r="AM3358" i="5"/>
  <c r="AE3358" i="5"/>
  <c r="AM3357" i="5"/>
  <c r="AE3357" i="5"/>
  <c r="AM3356" i="5"/>
  <c r="AE3356" i="5"/>
  <c r="AM3355" i="5"/>
  <c r="AE3355" i="5"/>
  <c r="AM3354" i="5"/>
  <c r="AE3354" i="5"/>
  <c r="AM3353" i="5"/>
  <c r="AE3353" i="5"/>
  <c r="AM3352" i="5"/>
  <c r="AE3352" i="5"/>
  <c r="AM3351" i="5"/>
  <c r="AE3351" i="5"/>
  <c r="AM3350" i="5"/>
  <c r="AE3350" i="5"/>
  <c r="AM3349" i="5"/>
  <c r="AE3349" i="5"/>
  <c r="AM3348" i="5"/>
  <c r="AE3348" i="5"/>
  <c r="AM3347" i="5"/>
  <c r="AE3347" i="5"/>
  <c r="AM3346" i="5"/>
  <c r="AE3346" i="5"/>
  <c r="AM3345" i="5"/>
  <c r="AE3345" i="5"/>
  <c r="AM3344" i="5"/>
  <c r="AE3344" i="5"/>
  <c r="AM3343" i="5"/>
  <c r="AE3343" i="5"/>
  <c r="AM3342" i="5"/>
  <c r="AE3342" i="5"/>
  <c r="AM3341" i="5"/>
  <c r="AE3341" i="5"/>
  <c r="AM3340" i="5"/>
  <c r="AE3340" i="5"/>
  <c r="AM3339" i="5"/>
  <c r="AE3339" i="5"/>
  <c r="AM3338" i="5"/>
  <c r="AE3338" i="5"/>
  <c r="AM3337" i="5"/>
  <c r="AE3337" i="5"/>
  <c r="AM3336" i="5"/>
  <c r="AE3336" i="5"/>
  <c r="AM3335" i="5"/>
  <c r="AE3335" i="5"/>
  <c r="AM3334" i="5"/>
  <c r="AE3334" i="5"/>
  <c r="AM3333" i="5"/>
  <c r="AE3333" i="5"/>
  <c r="AM3332" i="5"/>
  <c r="AE3332" i="5"/>
  <c r="AM3331" i="5"/>
  <c r="AE3331" i="5"/>
  <c r="AM3330" i="5"/>
  <c r="AE3330" i="5"/>
  <c r="AM3329" i="5"/>
  <c r="AE3329" i="5"/>
  <c r="AM3328" i="5"/>
  <c r="AE3328" i="5"/>
  <c r="AM3327" i="5"/>
  <c r="AE3327" i="5"/>
  <c r="AM3326" i="5"/>
  <c r="AE3326" i="5"/>
  <c r="AM3325" i="5"/>
  <c r="AE3325" i="5"/>
  <c r="AM3324" i="5"/>
  <c r="AE3324" i="5"/>
  <c r="AM3323" i="5"/>
  <c r="AE3323" i="5"/>
  <c r="AM3322" i="5"/>
  <c r="AE3322" i="5"/>
  <c r="AM3321" i="5"/>
  <c r="AE3321" i="5"/>
  <c r="AM3320" i="5"/>
  <c r="AE3320" i="5"/>
  <c r="AM3319" i="5"/>
  <c r="AE3319" i="5"/>
  <c r="AM3318" i="5"/>
  <c r="AE3318" i="5"/>
  <c r="AM3317" i="5"/>
  <c r="AE3317" i="5"/>
  <c r="AM3316" i="5"/>
  <c r="AE3316" i="5"/>
  <c r="AM3315" i="5"/>
  <c r="AE3315" i="5"/>
  <c r="AM3314" i="5"/>
  <c r="AE3314" i="5"/>
  <c r="AM3313" i="5"/>
  <c r="AE3313" i="5"/>
  <c r="AM3312" i="5"/>
  <c r="AE3312" i="5"/>
  <c r="AM3311" i="5"/>
  <c r="AE3311" i="5"/>
  <c r="AM3310" i="5"/>
  <c r="AE3310" i="5"/>
  <c r="AM3309" i="5"/>
  <c r="AE3309" i="5"/>
  <c r="AM3308" i="5"/>
  <c r="AE3308" i="5"/>
  <c r="AM3307" i="5"/>
  <c r="AE3307" i="5"/>
  <c r="AM3306" i="5"/>
  <c r="AE3306" i="5"/>
  <c r="AM3305" i="5"/>
  <c r="AE3305" i="5"/>
  <c r="AM3304" i="5"/>
  <c r="AE3304" i="5"/>
  <c r="AM3303" i="5"/>
  <c r="AE3303" i="5"/>
  <c r="AM3302" i="5"/>
  <c r="AE3302" i="5"/>
  <c r="AM3301" i="5"/>
  <c r="AE3301" i="5"/>
  <c r="AM3300" i="5"/>
  <c r="AE3300" i="5"/>
  <c r="AM3299" i="5"/>
  <c r="AE3299" i="5"/>
  <c r="AM3298" i="5"/>
  <c r="AE3298" i="5"/>
  <c r="AM3297" i="5"/>
  <c r="AE3297" i="5"/>
  <c r="AM3296" i="5"/>
  <c r="AE3296" i="5"/>
  <c r="AM3295" i="5"/>
  <c r="AE3295" i="5"/>
  <c r="AM3294" i="5"/>
  <c r="AE3294" i="5"/>
  <c r="AM3293" i="5"/>
  <c r="AE3293" i="5"/>
  <c r="AM3292" i="5"/>
  <c r="AE3292" i="5"/>
  <c r="AM3291" i="5"/>
  <c r="AE3291" i="5"/>
  <c r="AM3290" i="5"/>
  <c r="AE3290" i="5"/>
  <c r="AM3289" i="5"/>
  <c r="AE3289" i="5"/>
  <c r="AM3288" i="5"/>
  <c r="AE3288" i="5"/>
  <c r="AM3287" i="5"/>
  <c r="AE3287" i="5"/>
  <c r="AM3286" i="5"/>
  <c r="AE3286" i="5"/>
  <c r="AM3285" i="5"/>
  <c r="AE3285" i="5"/>
  <c r="AM3284" i="5"/>
  <c r="AE3284" i="5"/>
  <c r="AM3283" i="5"/>
  <c r="AE3283" i="5"/>
  <c r="AM3282" i="5"/>
  <c r="AE3282" i="5"/>
  <c r="AM3281" i="5"/>
  <c r="AE3281" i="5"/>
  <c r="AM3280" i="5"/>
  <c r="AE3280" i="5"/>
  <c r="AM3279" i="5"/>
  <c r="AE3279" i="5"/>
  <c r="AM3278" i="5"/>
  <c r="AE3278" i="5"/>
  <c r="AM3277" i="5"/>
  <c r="AE3277" i="5"/>
  <c r="AM3276" i="5"/>
  <c r="AE3276" i="5"/>
  <c r="AM3275" i="5"/>
  <c r="AE3275" i="5"/>
  <c r="AM3274" i="5"/>
  <c r="AE3274" i="5"/>
  <c r="AM3273" i="5"/>
  <c r="AE3273" i="5"/>
  <c r="AM3272" i="5"/>
  <c r="AE3272" i="5"/>
  <c r="AM3271" i="5"/>
  <c r="AE3271" i="5"/>
  <c r="AM3270" i="5"/>
  <c r="AE3270" i="5"/>
  <c r="AM3269" i="5"/>
  <c r="AE3269" i="5"/>
  <c r="AM3268" i="5"/>
  <c r="AE3268" i="5"/>
  <c r="AM3267" i="5"/>
  <c r="AE3267" i="5"/>
  <c r="AM3266" i="5"/>
  <c r="AE3266" i="5"/>
  <c r="AM3265" i="5"/>
  <c r="AE3265" i="5"/>
  <c r="AM3264" i="5"/>
  <c r="AE3264" i="5"/>
  <c r="AM3263" i="5"/>
  <c r="AE3263" i="5"/>
  <c r="AM3262" i="5"/>
  <c r="AE3262" i="5"/>
  <c r="AM3261" i="5"/>
  <c r="AE3261" i="5"/>
  <c r="AM3260" i="5"/>
  <c r="AE3260" i="5"/>
  <c r="AM3259" i="5"/>
  <c r="AE3259" i="5"/>
  <c r="AM3258" i="5"/>
  <c r="AE3258" i="5"/>
  <c r="AM3257" i="5"/>
  <c r="AE3257" i="5"/>
  <c r="AM3256" i="5"/>
  <c r="AE3256" i="5"/>
  <c r="AM3255" i="5"/>
  <c r="AE3255" i="5"/>
  <c r="AM3254" i="5"/>
  <c r="AE3254" i="5"/>
  <c r="AM3253" i="5"/>
  <c r="AE3253" i="5"/>
  <c r="AM3252" i="5"/>
  <c r="AE3252" i="5"/>
  <c r="AM3251" i="5"/>
  <c r="AE3251" i="5"/>
  <c r="AM3250" i="5"/>
  <c r="AE3250" i="5"/>
  <c r="AM3249" i="5"/>
  <c r="AE3249" i="5"/>
  <c r="AM3248" i="5"/>
  <c r="AE3248" i="5"/>
  <c r="AM3247" i="5"/>
  <c r="AE3247" i="5"/>
  <c r="AM3246" i="5"/>
  <c r="AE3246" i="5"/>
  <c r="AM3245" i="5"/>
  <c r="AE3245" i="5"/>
  <c r="AM3244" i="5"/>
  <c r="AE3244" i="5"/>
  <c r="AM3243" i="5"/>
  <c r="AE3243" i="5"/>
  <c r="AM3242" i="5"/>
  <c r="AE3242" i="5"/>
  <c r="AM3241" i="5"/>
  <c r="AE3241" i="5"/>
  <c r="AM3240" i="5"/>
  <c r="AE3240" i="5"/>
  <c r="AM3239" i="5"/>
  <c r="AE3239" i="5"/>
  <c r="AM3238" i="5"/>
  <c r="AE3238" i="5"/>
  <c r="AM3237" i="5"/>
  <c r="AE3237" i="5"/>
  <c r="AM3236" i="5"/>
  <c r="AE3236" i="5"/>
  <c r="AM3235" i="5"/>
  <c r="AE3235" i="5"/>
  <c r="AM3234" i="5"/>
  <c r="AE3234" i="5"/>
  <c r="AM3233" i="5"/>
  <c r="AE3233" i="5"/>
  <c r="AM3232" i="5"/>
  <c r="AE3232" i="5"/>
  <c r="AM3231" i="5"/>
  <c r="AE3231" i="5"/>
  <c r="AM3230" i="5"/>
  <c r="AE3230" i="5"/>
  <c r="AM3229" i="5"/>
  <c r="AE3229" i="5"/>
  <c r="AM3228" i="5"/>
  <c r="AE3228" i="5"/>
  <c r="AM3227" i="5"/>
  <c r="AE3227" i="5"/>
  <c r="AM3226" i="5"/>
  <c r="AE3226" i="5"/>
  <c r="AM3225" i="5"/>
  <c r="AE3225" i="5"/>
  <c r="AM3224" i="5"/>
  <c r="AE3224" i="5"/>
  <c r="AM3223" i="5"/>
  <c r="AE3223" i="5"/>
  <c r="AM3222" i="5"/>
  <c r="AE3222" i="5"/>
  <c r="AM3221" i="5"/>
  <c r="AE3221" i="5"/>
  <c r="AM3220" i="5"/>
  <c r="AE3220" i="5"/>
  <c r="AM3219" i="5"/>
  <c r="AE3219" i="5"/>
  <c r="AM3218" i="5"/>
  <c r="AE3218" i="5"/>
  <c r="AM3217" i="5"/>
  <c r="AE3217" i="5"/>
  <c r="AM3216" i="5"/>
  <c r="AE3216" i="5"/>
  <c r="AM3215" i="5"/>
  <c r="AE3215" i="5"/>
  <c r="AM3214" i="5"/>
  <c r="AE3214" i="5"/>
  <c r="AM3213" i="5"/>
  <c r="AE3213" i="5"/>
  <c r="AM3212" i="5"/>
  <c r="AE3212" i="5"/>
  <c r="AM3211" i="5"/>
  <c r="AE3211" i="5"/>
  <c r="AM3210" i="5"/>
  <c r="AE3210" i="5"/>
  <c r="AM3209" i="5"/>
  <c r="AE3209" i="5"/>
  <c r="AM3208" i="5"/>
  <c r="AE3208" i="5"/>
  <c r="AM3207" i="5"/>
  <c r="AE3207" i="5"/>
  <c r="AM3206" i="5"/>
  <c r="AE3206" i="5"/>
  <c r="AM3205" i="5"/>
  <c r="AE3205" i="5"/>
  <c r="AM3204" i="5"/>
  <c r="AE3204" i="5"/>
  <c r="AM3203" i="5"/>
  <c r="AE3203" i="5"/>
  <c r="AM3202" i="5"/>
  <c r="AE3202" i="5"/>
  <c r="AM3201" i="5"/>
  <c r="AE3201" i="5"/>
  <c r="AM3200" i="5"/>
  <c r="AE3200" i="5"/>
  <c r="AM3199" i="5"/>
  <c r="AE3199" i="5"/>
  <c r="AM3198" i="5"/>
  <c r="AE3198" i="5"/>
  <c r="AM3197" i="5"/>
  <c r="AE3197" i="5"/>
  <c r="AM3196" i="5"/>
  <c r="AE3196" i="5"/>
  <c r="AM3195" i="5"/>
  <c r="AE3195" i="5"/>
  <c r="AM3194" i="5"/>
  <c r="AE3194" i="5"/>
  <c r="AM3193" i="5"/>
  <c r="AE3193" i="5"/>
  <c r="AM3192" i="5"/>
  <c r="AE3192" i="5"/>
  <c r="AM3191" i="5"/>
  <c r="AE3191" i="5"/>
  <c r="AM3190" i="5"/>
  <c r="AE3190" i="5"/>
  <c r="AM3189" i="5"/>
  <c r="AE3189" i="5"/>
  <c r="AM3188" i="5"/>
  <c r="AE3188" i="5"/>
  <c r="AM3187" i="5"/>
  <c r="AE3187" i="5"/>
  <c r="AM3186" i="5"/>
  <c r="AE3186" i="5"/>
  <c r="AM3185" i="5"/>
  <c r="AE3185" i="5"/>
  <c r="AM3184" i="5"/>
  <c r="AE3184" i="5"/>
  <c r="AM3183" i="5"/>
  <c r="AE3183" i="5"/>
  <c r="AM3182" i="5"/>
  <c r="AE3182" i="5"/>
  <c r="AM3181" i="5"/>
  <c r="AE3181" i="5"/>
  <c r="AM3180" i="5"/>
  <c r="AE3180" i="5"/>
  <c r="AM3179" i="5"/>
  <c r="AE3179" i="5"/>
  <c r="AM3178" i="5"/>
  <c r="AE3178" i="5"/>
  <c r="AM3177" i="5"/>
  <c r="AE3177" i="5"/>
  <c r="AM3176" i="5"/>
  <c r="AE3176" i="5"/>
  <c r="AM3175" i="5"/>
  <c r="AE3175" i="5"/>
  <c r="AM3174" i="5"/>
  <c r="AE3174" i="5"/>
  <c r="AM3173" i="5"/>
  <c r="AE3173" i="5"/>
  <c r="AM3172" i="5"/>
  <c r="AE3172" i="5"/>
  <c r="AM3171" i="5"/>
  <c r="AE3171" i="5"/>
  <c r="AM3170" i="5"/>
  <c r="AE3170" i="5"/>
  <c r="AM3169" i="5"/>
  <c r="AE3169" i="5"/>
  <c r="AM3168" i="5"/>
  <c r="AE3168" i="5"/>
  <c r="AM3167" i="5"/>
  <c r="AE3167" i="5"/>
  <c r="AM3166" i="5"/>
  <c r="AE3166" i="5"/>
  <c r="AM3165" i="5"/>
  <c r="AE3165" i="5"/>
  <c r="AM3164" i="5"/>
  <c r="AE3164" i="5"/>
  <c r="AM3163" i="5"/>
  <c r="AE3163" i="5"/>
  <c r="AM3162" i="5"/>
  <c r="AE3162" i="5"/>
  <c r="AM3161" i="5"/>
  <c r="AE3161" i="5"/>
  <c r="AM3160" i="5"/>
  <c r="AE3160" i="5"/>
  <c r="AM3159" i="5"/>
  <c r="AE3159" i="5"/>
  <c r="AM3158" i="5"/>
  <c r="AE3158" i="5"/>
  <c r="AM3157" i="5"/>
  <c r="AE3157" i="5"/>
  <c r="AM3156" i="5"/>
  <c r="AE3156" i="5"/>
  <c r="AM3155" i="5"/>
  <c r="AE3155" i="5"/>
  <c r="AM3154" i="5"/>
  <c r="AE3154" i="5"/>
  <c r="AM3153" i="5"/>
  <c r="AE3153" i="5"/>
  <c r="AM3152" i="5"/>
  <c r="AE3152" i="5"/>
  <c r="AM3151" i="5"/>
  <c r="AE3151" i="5"/>
  <c r="AM3150" i="5"/>
  <c r="AE3150" i="5"/>
  <c r="AM3149" i="5"/>
  <c r="AE3149" i="5"/>
  <c r="AM3148" i="5"/>
  <c r="AE3148" i="5"/>
  <c r="AM3147" i="5"/>
  <c r="AE3147" i="5"/>
  <c r="AM3146" i="5"/>
  <c r="AE3146" i="5"/>
  <c r="AM3145" i="5"/>
  <c r="AE3145" i="5"/>
  <c r="AM3144" i="5"/>
  <c r="AE3144" i="5"/>
  <c r="AM3143" i="5"/>
  <c r="AE3143" i="5"/>
  <c r="AM3142" i="5"/>
  <c r="AE3142" i="5"/>
  <c r="AM3141" i="5"/>
  <c r="AE3141" i="5"/>
  <c r="AM3140" i="5"/>
  <c r="AE3140" i="5"/>
  <c r="AM3139" i="5"/>
  <c r="AE3139" i="5"/>
  <c r="AM3138" i="5"/>
  <c r="AE3138" i="5"/>
  <c r="AM3137" i="5"/>
  <c r="AE3137" i="5"/>
  <c r="AM3136" i="5"/>
  <c r="AE3136" i="5"/>
  <c r="AM3135" i="5"/>
  <c r="AE3135" i="5"/>
  <c r="AM3134" i="5"/>
  <c r="AE3134" i="5"/>
  <c r="AM3133" i="5"/>
  <c r="AE3133" i="5"/>
  <c r="AM3132" i="5"/>
  <c r="AE3132" i="5"/>
  <c r="AM3131" i="5"/>
  <c r="AE3131" i="5"/>
  <c r="AM3130" i="5"/>
  <c r="AE3130" i="5"/>
  <c r="AM3129" i="5"/>
  <c r="AE3129" i="5"/>
  <c r="AM3128" i="5"/>
  <c r="AE3128" i="5"/>
  <c r="AM3127" i="5"/>
  <c r="AE3127" i="5"/>
  <c r="AM3126" i="5"/>
  <c r="AE3126" i="5"/>
  <c r="AM3125" i="5"/>
  <c r="AE3125" i="5"/>
  <c r="AM3124" i="5"/>
  <c r="AE3124" i="5"/>
  <c r="AM3123" i="5"/>
  <c r="AE3123" i="5"/>
  <c r="AM3122" i="5"/>
  <c r="AE3122" i="5"/>
  <c r="AM3121" i="5"/>
  <c r="AE3121" i="5"/>
  <c r="AM3120" i="5"/>
  <c r="AE3120" i="5"/>
  <c r="AM3119" i="5"/>
  <c r="AE3119" i="5"/>
  <c r="AM3118" i="5"/>
  <c r="AE3118" i="5"/>
  <c r="AM3117" i="5"/>
  <c r="AE3117" i="5"/>
  <c r="AM3116" i="5"/>
  <c r="AE3116" i="5"/>
  <c r="AM3115" i="5"/>
  <c r="AE3115" i="5"/>
  <c r="AM3114" i="5"/>
  <c r="AE3114" i="5"/>
  <c r="AM3113" i="5"/>
  <c r="AE3113" i="5"/>
  <c r="AM3112" i="5"/>
  <c r="AE3112" i="5"/>
  <c r="AM3111" i="5"/>
  <c r="AE3111" i="5"/>
  <c r="AM3110" i="5"/>
  <c r="AE3110" i="5"/>
  <c r="AM3109" i="5"/>
  <c r="AE3109" i="5"/>
  <c r="AM3108" i="5"/>
  <c r="AE3108" i="5"/>
  <c r="AM3107" i="5"/>
  <c r="AE3107" i="5"/>
  <c r="AM3106" i="5"/>
  <c r="AE3106" i="5"/>
  <c r="AM3105" i="5"/>
  <c r="AE3105" i="5"/>
  <c r="AM3104" i="5"/>
  <c r="AE3104" i="5"/>
  <c r="AM3103" i="5"/>
  <c r="AL3103" i="5"/>
  <c r="AK3103" i="5"/>
  <c r="AE3103" i="5"/>
  <c r="AM3102" i="5"/>
  <c r="AE3102" i="5"/>
  <c r="AM3101" i="5"/>
  <c r="AE3101" i="5"/>
  <c r="AM3100" i="5"/>
  <c r="AE3100" i="5"/>
  <c r="AM3099" i="5"/>
  <c r="AE3099" i="5"/>
  <c r="AM3098" i="5"/>
  <c r="AE3098" i="5"/>
  <c r="AM3097" i="5"/>
  <c r="AE3097" i="5"/>
  <c r="AM3096" i="5"/>
  <c r="AE3096" i="5"/>
  <c r="AM3095" i="5"/>
  <c r="AE3095" i="5"/>
  <c r="AM3094" i="5"/>
  <c r="AE3094" i="5"/>
  <c r="AM3093" i="5"/>
  <c r="AE3093" i="5"/>
  <c r="AM3092" i="5"/>
  <c r="AE3092" i="5"/>
  <c r="AM3091" i="5"/>
  <c r="AE3091" i="5"/>
  <c r="AM3090" i="5"/>
  <c r="AE3090" i="5"/>
  <c r="AM3089" i="5"/>
  <c r="AE3089" i="5"/>
  <c r="AM3088" i="5"/>
  <c r="AE3088" i="5"/>
  <c r="AM3087" i="5"/>
  <c r="AE3087" i="5"/>
  <c r="AM3086" i="5"/>
  <c r="AE3086" i="5"/>
  <c r="AM3085" i="5"/>
  <c r="AE3085" i="5"/>
  <c r="AM3084" i="5"/>
  <c r="AE3084" i="5"/>
  <c r="AM3083" i="5"/>
  <c r="AE3083" i="5"/>
  <c r="AM3082" i="5"/>
  <c r="AE3082" i="5"/>
  <c r="AM3081" i="5"/>
  <c r="AE3081" i="5"/>
  <c r="AM3080" i="5"/>
  <c r="AE3080" i="5"/>
  <c r="AM3079" i="5"/>
  <c r="AE3079" i="5"/>
  <c r="AM3078" i="5"/>
  <c r="AE3078" i="5"/>
  <c r="AM3077" i="5"/>
  <c r="AE3077" i="5"/>
  <c r="AM3076" i="5"/>
  <c r="AE3076" i="5"/>
  <c r="AM3075" i="5"/>
  <c r="AE3075" i="5"/>
  <c r="AM3074" i="5"/>
  <c r="AE3074" i="5"/>
  <c r="AM3073" i="5"/>
  <c r="AE3073" i="5"/>
  <c r="AM3072" i="5"/>
  <c r="AE3072" i="5"/>
  <c r="AM3071" i="5"/>
  <c r="AE3071" i="5"/>
  <c r="AM3070" i="5"/>
  <c r="AE3070" i="5"/>
  <c r="AM3069" i="5"/>
  <c r="AE3069" i="5"/>
  <c r="AM3068" i="5"/>
  <c r="AE3068" i="5"/>
  <c r="AM3067" i="5"/>
  <c r="AE3067" i="5"/>
  <c r="AM3066" i="5"/>
  <c r="AE3066" i="5"/>
  <c r="AM3065" i="5"/>
  <c r="AE3065" i="5"/>
  <c r="AM3064" i="5"/>
  <c r="AE3064" i="5"/>
  <c r="AM3063" i="5"/>
  <c r="AE3063" i="5"/>
  <c r="AM3062" i="5"/>
  <c r="AE3062" i="5"/>
  <c r="AM3061" i="5"/>
  <c r="AE3061" i="5"/>
  <c r="AM3060" i="5"/>
  <c r="AE3060" i="5"/>
  <c r="AM3059" i="5"/>
  <c r="AE3059" i="5"/>
  <c r="AM3058" i="5"/>
  <c r="AE3058" i="5"/>
  <c r="AM3057" i="5"/>
  <c r="AE3057" i="5"/>
  <c r="AM3056" i="5"/>
  <c r="AE3056" i="5"/>
  <c r="AM3055" i="5"/>
  <c r="AE3055" i="5"/>
  <c r="AM3054" i="5"/>
  <c r="AE3054" i="5"/>
  <c r="AM3053" i="5"/>
  <c r="AE3053" i="5"/>
  <c r="AM3052" i="5"/>
  <c r="AE3052" i="5"/>
  <c r="AM3051" i="5"/>
  <c r="AE3051" i="5"/>
  <c r="AM3050" i="5"/>
  <c r="AE3050" i="5"/>
  <c r="AM3049" i="5"/>
  <c r="AE3049" i="5"/>
  <c r="AM3048" i="5"/>
  <c r="AE3048" i="5"/>
  <c r="AM3047" i="5"/>
  <c r="AE3047" i="5"/>
  <c r="AM3046" i="5"/>
  <c r="AE3046" i="5"/>
  <c r="AM3045" i="5"/>
  <c r="AE3045" i="5"/>
  <c r="AM3044" i="5"/>
  <c r="AE3044" i="5"/>
  <c r="AM3043" i="5"/>
  <c r="AE3043" i="5"/>
  <c r="AM3042" i="5"/>
  <c r="AE3042" i="5"/>
  <c r="AM3041" i="5"/>
  <c r="AE3041" i="5"/>
  <c r="AM3040" i="5"/>
  <c r="AE3040" i="5"/>
  <c r="AM3039" i="5"/>
  <c r="AE3039" i="5"/>
  <c r="AM3038" i="5"/>
  <c r="AE3038" i="5"/>
  <c r="AM3037" i="5"/>
  <c r="AE3037" i="5"/>
  <c r="AM3036" i="5"/>
  <c r="AE3036" i="5"/>
  <c r="AM3035" i="5"/>
  <c r="AE3035" i="5"/>
  <c r="AM3034" i="5"/>
  <c r="AE3034" i="5"/>
  <c r="AM3033" i="5"/>
  <c r="AE3033" i="5"/>
  <c r="AM3032" i="5"/>
  <c r="AE3032" i="5"/>
  <c r="AM3031" i="5"/>
  <c r="AE3031" i="5"/>
  <c r="AL3030" i="5"/>
  <c r="AK3030" i="5"/>
  <c r="AM3030" i="5" s="1"/>
  <c r="AE3030" i="5"/>
  <c r="AM3029" i="5"/>
  <c r="AE3029" i="5"/>
  <c r="AM3028" i="5"/>
  <c r="AE3028" i="5"/>
  <c r="AM3027" i="5"/>
  <c r="AE3027" i="5"/>
  <c r="AM3026" i="5"/>
  <c r="AE3026" i="5"/>
  <c r="AM3025" i="5"/>
  <c r="AE3025" i="5"/>
  <c r="AM3024" i="5"/>
  <c r="AE3024" i="5"/>
  <c r="AM3023" i="5"/>
  <c r="AE3023" i="5"/>
  <c r="AM3022" i="5"/>
  <c r="AE3022" i="5"/>
  <c r="AM3021" i="5"/>
  <c r="AE3021" i="5"/>
  <c r="AM3020" i="5"/>
  <c r="AE3020" i="5"/>
  <c r="AM3019" i="5"/>
  <c r="AE3019" i="5"/>
  <c r="AM3018" i="5"/>
  <c r="AE3018" i="5"/>
  <c r="AM3017" i="5"/>
  <c r="AE3017" i="5"/>
  <c r="AM3016" i="5"/>
  <c r="AE3016" i="5"/>
  <c r="AM3015" i="5"/>
  <c r="AE3015" i="5"/>
  <c r="AM3014" i="5"/>
  <c r="AE3014" i="5"/>
  <c r="AM3013" i="5"/>
  <c r="AE3013" i="5"/>
  <c r="AM3012" i="5"/>
  <c r="AE3012" i="5"/>
  <c r="AM3011" i="5"/>
  <c r="AE3011" i="5"/>
  <c r="AM3010" i="5"/>
  <c r="AE3010" i="5"/>
  <c r="AM3009" i="5"/>
  <c r="AE3009" i="5"/>
  <c r="AM3008" i="5"/>
  <c r="AE3008" i="5"/>
  <c r="AM3007" i="5"/>
  <c r="AE3007" i="5"/>
  <c r="AM3006" i="5"/>
  <c r="AE3006" i="5"/>
  <c r="AM3005" i="5"/>
  <c r="AE3005" i="5"/>
  <c r="AM3004" i="5"/>
  <c r="AE3004" i="5"/>
  <c r="AM3003" i="5"/>
  <c r="AE3003" i="5"/>
  <c r="AM3002" i="5"/>
  <c r="AE3002" i="5"/>
  <c r="AM3001" i="5"/>
  <c r="AE3001" i="5"/>
  <c r="AM3000" i="5"/>
  <c r="AE3000" i="5"/>
  <c r="AM2999" i="5"/>
  <c r="AE2999" i="5"/>
  <c r="AM2998" i="5"/>
  <c r="AE2998" i="5"/>
  <c r="AM2997" i="5"/>
  <c r="AE2997" i="5"/>
  <c r="AM2996" i="5"/>
  <c r="AE2996" i="5"/>
  <c r="AM2995" i="5"/>
  <c r="AE2995" i="5"/>
  <c r="AM2994" i="5"/>
  <c r="AE2994" i="5"/>
  <c r="AM2993" i="5"/>
  <c r="AE2993" i="5"/>
  <c r="AM2992" i="5"/>
  <c r="AE2992" i="5"/>
  <c r="AM2991" i="5"/>
  <c r="AE2991" i="5"/>
  <c r="AM2990" i="5"/>
  <c r="AE2990" i="5"/>
  <c r="AM2989" i="5"/>
  <c r="AE2989" i="5"/>
  <c r="AM2988" i="5"/>
  <c r="AE2988" i="5"/>
  <c r="AM2987" i="5"/>
  <c r="AE2987" i="5"/>
  <c r="AM2986" i="5"/>
  <c r="AE2986" i="5"/>
  <c r="AM2985" i="5"/>
  <c r="AE2985" i="5"/>
  <c r="AM2984" i="5"/>
  <c r="AE2984" i="5"/>
  <c r="AM2983" i="5"/>
  <c r="AE2983" i="5"/>
  <c r="AM2982" i="5"/>
  <c r="AE2982" i="5"/>
  <c r="AM2981" i="5"/>
  <c r="AE2981" i="5"/>
  <c r="AM2980" i="5"/>
  <c r="AE2980" i="5"/>
  <c r="AM2979" i="5"/>
  <c r="AE2979" i="5"/>
  <c r="AM2978" i="5"/>
  <c r="AE2978" i="5"/>
  <c r="AM2977" i="5"/>
  <c r="AE2977" i="5"/>
  <c r="AM2976" i="5"/>
  <c r="AE2976" i="5"/>
  <c r="AM2975" i="5"/>
  <c r="AE2975" i="5"/>
  <c r="AM2974" i="5"/>
  <c r="AE2974" i="5"/>
  <c r="AM2973" i="5"/>
  <c r="AE2973" i="5"/>
  <c r="AM2972" i="5"/>
  <c r="AE2972" i="5"/>
  <c r="AM2971" i="5"/>
  <c r="AE2971" i="5"/>
  <c r="AM2970" i="5"/>
  <c r="AE2970" i="5"/>
  <c r="AM2969" i="5"/>
  <c r="AE2969" i="5"/>
  <c r="AM2968" i="5"/>
  <c r="AE2968" i="5"/>
  <c r="AM2967" i="5"/>
  <c r="AE2967" i="5"/>
  <c r="AM2966" i="5"/>
  <c r="AE2966" i="5"/>
  <c r="AM2965" i="5"/>
  <c r="AE2965" i="5"/>
  <c r="AM2964" i="5"/>
  <c r="AE2964" i="5"/>
  <c r="AM2963" i="5"/>
  <c r="AE2963" i="5"/>
  <c r="AM2962" i="5"/>
  <c r="AE2962" i="5"/>
  <c r="AM2961" i="5"/>
  <c r="AE2961" i="5"/>
  <c r="AM2960" i="5"/>
  <c r="AE2960" i="5"/>
  <c r="AM2959" i="5"/>
  <c r="AE2959" i="5"/>
  <c r="AM2958" i="5"/>
  <c r="AE2958" i="5"/>
  <c r="AM2957" i="5"/>
  <c r="AE2957" i="5"/>
  <c r="AM2956" i="5"/>
  <c r="AE2956" i="5"/>
  <c r="AM2955" i="5"/>
  <c r="AE2955" i="5"/>
  <c r="AM2954" i="5"/>
  <c r="AE2954" i="5"/>
  <c r="AM2953" i="5"/>
  <c r="AE2953" i="5"/>
  <c r="AM2952" i="5"/>
  <c r="AE2952" i="5"/>
  <c r="AM2951" i="5"/>
  <c r="AE2951" i="5"/>
  <c r="AM2950" i="5"/>
  <c r="AE2950" i="5"/>
  <c r="AM2949" i="5"/>
  <c r="AE2949" i="5"/>
  <c r="AM2948" i="5"/>
  <c r="AE2948" i="5"/>
  <c r="AM2947" i="5"/>
  <c r="AE2947" i="5"/>
  <c r="AM2946" i="5"/>
  <c r="AE2946" i="5"/>
  <c r="AM2945" i="5"/>
  <c r="AE2945" i="5"/>
  <c r="AM2944" i="5"/>
  <c r="AE2944" i="5"/>
  <c r="AM2943" i="5"/>
  <c r="AE2943" i="5"/>
  <c r="AM2942" i="5"/>
  <c r="AE2942" i="5"/>
  <c r="AM2941" i="5"/>
  <c r="AE2941" i="5"/>
  <c r="AM2940" i="5"/>
  <c r="AE2940" i="5"/>
  <c r="AM2939" i="5"/>
  <c r="AE2939" i="5"/>
  <c r="AM2938" i="5"/>
  <c r="AE2938" i="5"/>
  <c r="AM2937" i="5"/>
  <c r="AE2937" i="5"/>
  <c r="AM2936" i="5"/>
  <c r="AE2936" i="5"/>
  <c r="AM2935" i="5"/>
  <c r="AE2935" i="5"/>
  <c r="AM2934" i="5"/>
  <c r="AE2934" i="5"/>
  <c r="AM2933" i="5"/>
  <c r="AE2933" i="5"/>
  <c r="AM2932" i="5"/>
  <c r="AE2932" i="5"/>
  <c r="AM2931" i="5"/>
  <c r="AE2931" i="5"/>
  <c r="AM2930" i="5"/>
  <c r="AE2930" i="5"/>
  <c r="AM2929" i="5"/>
  <c r="AE2929" i="5"/>
  <c r="AM2928" i="5"/>
  <c r="AE2928" i="5"/>
  <c r="AM2927" i="5"/>
  <c r="AE2927" i="5"/>
  <c r="AM2926" i="5"/>
  <c r="AE2926" i="5"/>
  <c r="AM2925" i="5"/>
  <c r="AE2925" i="5"/>
  <c r="AM2924" i="5"/>
  <c r="AE2924" i="5"/>
  <c r="AM2923" i="5"/>
  <c r="AE2923" i="5"/>
  <c r="AM2922" i="5"/>
  <c r="AE2922" i="5"/>
  <c r="AM2921" i="5"/>
  <c r="AE2921" i="5"/>
  <c r="AM2920" i="5"/>
  <c r="AE2920" i="5"/>
  <c r="AM2919" i="5"/>
  <c r="AE2919" i="5"/>
  <c r="AM2918" i="5"/>
  <c r="AE2918" i="5"/>
  <c r="AM2917" i="5"/>
  <c r="AE2917" i="5"/>
  <c r="AM2916" i="5"/>
  <c r="AE2916" i="5"/>
  <c r="AM2915" i="5"/>
  <c r="AE2915" i="5"/>
  <c r="AM2914" i="5"/>
  <c r="AE2914" i="5"/>
  <c r="AM2913" i="5"/>
  <c r="AE2913" i="5"/>
  <c r="AM2912" i="5"/>
  <c r="AE2912" i="5"/>
  <c r="AM2911" i="5"/>
  <c r="AE2911" i="5"/>
  <c r="AM2910" i="5"/>
  <c r="AE2910" i="5"/>
  <c r="AM2909" i="5"/>
  <c r="AE2909" i="5"/>
  <c r="AM2908" i="5"/>
  <c r="AE2908" i="5"/>
  <c r="AM2907" i="5"/>
  <c r="AE2907" i="5"/>
  <c r="AM2906" i="5"/>
  <c r="AE2906" i="5"/>
  <c r="AM2905" i="5"/>
  <c r="AL2905" i="5"/>
  <c r="AE2905" i="5"/>
  <c r="AM2904" i="5"/>
  <c r="AE2904" i="5"/>
  <c r="AM2903" i="5"/>
  <c r="AE2903" i="5"/>
  <c r="AM2902" i="5"/>
  <c r="AE2902" i="5"/>
  <c r="AM2901" i="5"/>
  <c r="AE2901" i="5"/>
  <c r="AM2900" i="5"/>
  <c r="AE2900" i="5"/>
  <c r="AM2899" i="5"/>
  <c r="AE2899" i="5"/>
  <c r="AM2898" i="5"/>
  <c r="AE2898" i="5"/>
  <c r="AM2897" i="5"/>
  <c r="AE2897" i="5"/>
  <c r="U2897" i="5"/>
  <c r="AM2896" i="5"/>
  <c r="AE2896" i="5"/>
  <c r="U2896" i="5"/>
  <c r="AM2895" i="5"/>
  <c r="AE2895" i="5"/>
  <c r="U2895" i="5"/>
  <c r="AM2894" i="5"/>
  <c r="AE2894" i="5"/>
  <c r="U2894" i="5"/>
  <c r="AM2893" i="5"/>
  <c r="AE2893" i="5"/>
  <c r="U2893" i="5"/>
  <c r="AM2892" i="5"/>
  <c r="AE2892" i="5"/>
  <c r="U2892" i="5"/>
  <c r="AM2891" i="5"/>
  <c r="AE2891" i="5"/>
  <c r="U2891" i="5"/>
  <c r="AM2890" i="5"/>
  <c r="AE2890" i="5"/>
  <c r="U2890" i="5"/>
  <c r="AM2889" i="5"/>
  <c r="AE2889" i="5"/>
  <c r="U2889" i="5"/>
  <c r="AM2888" i="5"/>
  <c r="AE2888" i="5"/>
  <c r="U2888" i="5"/>
  <c r="AM2887" i="5"/>
  <c r="AE2887" i="5"/>
  <c r="U2887" i="5"/>
  <c r="AM2886" i="5"/>
  <c r="AE2886" i="5"/>
  <c r="U2886" i="5"/>
  <c r="AM2885" i="5"/>
  <c r="AE2885" i="5"/>
  <c r="U2885" i="5"/>
  <c r="AM2884" i="5"/>
  <c r="AE2884" i="5"/>
  <c r="U2884" i="5"/>
  <c r="AM2883" i="5"/>
  <c r="AE2883" i="5"/>
  <c r="U2883" i="5"/>
  <c r="AM2882" i="5"/>
  <c r="AE2882" i="5"/>
  <c r="U2882" i="5"/>
  <c r="AM2881" i="5"/>
  <c r="AE2881" i="5"/>
  <c r="U2881" i="5"/>
  <c r="AM2880" i="5"/>
  <c r="AE2880" i="5"/>
  <c r="U2880" i="5"/>
  <c r="AM2879" i="5"/>
  <c r="AE2879" i="5"/>
  <c r="U2879" i="5"/>
  <c r="AM2878" i="5"/>
  <c r="AE2878" i="5"/>
  <c r="U2878" i="5"/>
  <c r="AM2877" i="5"/>
  <c r="AE2877" i="5"/>
  <c r="U2877" i="5"/>
  <c r="AM2876" i="5"/>
  <c r="AE2876" i="5"/>
  <c r="U2876" i="5"/>
  <c r="AM2875" i="5"/>
  <c r="AE2875" i="5"/>
  <c r="U2875" i="5"/>
  <c r="AM2874" i="5"/>
  <c r="AE2874" i="5"/>
  <c r="U2874" i="5"/>
  <c r="AM2873" i="5"/>
  <c r="AE2873" i="5"/>
  <c r="U2873" i="5"/>
  <c r="AM2872" i="5"/>
  <c r="AE2872" i="5"/>
  <c r="U2872" i="5"/>
  <c r="AM2871" i="5"/>
  <c r="AE2871" i="5"/>
  <c r="U2871" i="5"/>
  <c r="AM2870" i="5"/>
  <c r="AE2870" i="5"/>
  <c r="U2870" i="5"/>
  <c r="AM2869" i="5"/>
  <c r="AE2869" i="5"/>
  <c r="U2869" i="5"/>
  <c r="AM2868" i="5"/>
  <c r="AE2868" i="5"/>
  <c r="U2868" i="5"/>
  <c r="AM2867" i="5"/>
  <c r="AE2867" i="5"/>
  <c r="U2867" i="5"/>
  <c r="AM2866" i="5"/>
  <c r="AE2866" i="5"/>
  <c r="U2866" i="5"/>
  <c r="AM2865" i="5"/>
  <c r="AE2865" i="5"/>
  <c r="U2865" i="5"/>
  <c r="AM2864" i="5"/>
  <c r="AE2864" i="5"/>
  <c r="U2864" i="5"/>
  <c r="AM2863" i="5"/>
  <c r="AE2863" i="5"/>
  <c r="U2863" i="5"/>
  <c r="AM2862" i="5"/>
  <c r="AE2862" i="5"/>
  <c r="U2862" i="5"/>
  <c r="AM2861" i="5"/>
  <c r="AE2861" i="5"/>
  <c r="U2861" i="5"/>
  <c r="AM2860" i="5"/>
  <c r="AE2860" i="5"/>
  <c r="U2860" i="5"/>
  <c r="AM2859" i="5"/>
  <c r="AE2859" i="5"/>
  <c r="U2859" i="5"/>
  <c r="AM2858" i="5"/>
  <c r="AE2858" i="5"/>
  <c r="U2858" i="5"/>
  <c r="AM2857" i="5"/>
  <c r="AE2857" i="5"/>
  <c r="U2857" i="5"/>
  <c r="AM2856" i="5"/>
  <c r="AE2856" i="5"/>
  <c r="U2856" i="5"/>
  <c r="AM2855" i="5"/>
  <c r="AE2855" i="5"/>
  <c r="U2855" i="5"/>
  <c r="AM2854" i="5"/>
  <c r="AE2854" i="5"/>
  <c r="U2854" i="5"/>
  <c r="AM2853" i="5"/>
  <c r="AE2853" i="5"/>
  <c r="U2853" i="5"/>
  <c r="AM2852" i="5"/>
  <c r="AE2852" i="5"/>
  <c r="U2852" i="5"/>
  <c r="AM2851" i="5"/>
  <c r="AE2851" i="5"/>
  <c r="U2851" i="5"/>
  <c r="AM2850" i="5"/>
  <c r="AE2850" i="5"/>
  <c r="U2850" i="5"/>
  <c r="AM2849" i="5"/>
  <c r="AE2849" i="5"/>
  <c r="U2849" i="5"/>
  <c r="AM2848" i="5"/>
  <c r="AE2848" i="5"/>
  <c r="U2848" i="5"/>
  <c r="AM2847" i="5"/>
  <c r="AE2847" i="5"/>
  <c r="U2847" i="5"/>
  <c r="AL2846" i="5"/>
  <c r="AM2846" i="5" s="1"/>
  <c r="AE2846" i="5"/>
  <c r="U2846" i="5"/>
  <c r="AM2845" i="5"/>
  <c r="AE2845" i="5"/>
  <c r="U2845" i="5"/>
  <c r="AM2844" i="5"/>
  <c r="AE2844" i="5"/>
  <c r="U2844" i="5"/>
  <c r="AM2843" i="5"/>
  <c r="AL2843" i="5"/>
  <c r="AE2843" i="5"/>
  <c r="U2843" i="5"/>
  <c r="AM2842" i="5"/>
  <c r="AE2842" i="5"/>
  <c r="U2842" i="5"/>
  <c r="AM2841" i="5"/>
  <c r="AE2841" i="5"/>
  <c r="U2841" i="5"/>
  <c r="AM2840" i="5"/>
  <c r="AE2840" i="5"/>
  <c r="U2840" i="5"/>
  <c r="AM2839" i="5"/>
  <c r="AE2839" i="5"/>
  <c r="U2839" i="5"/>
  <c r="AM2838" i="5"/>
  <c r="AE2838" i="5"/>
  <c r="U2838" i="5"/>
  <c r="AM2837" i="5"/>
  <c r="AE2837" i="5"/>
  <c r="U2837" i="5"/>
  <c r="AM2836" i="5"/>
  <c r="AE2836" i="5"/>
  <c r="U2836" i="5"/>
  <c r="AM2835" i="5"/>
  <c r="AE2835" i="5"/>
  <c r="U2835" i="5"/>
  <c r="AM2834" i="5"/>
  <c r="AE2834" i="5"/>
  <c r="U2834" i="5"/>
  <c r="AM2833" i="5"/>
  <c r="AE2833" i="5"/>
  <c r="U2833" i="5"/>
  <c r="AM2832" i="5"/>
  <c r="AE2832" i="5"/>
  <c r="U2832" i="5"/>
  <c r="AM2831" i="5"/>
  <c r="AE2831" i="5"/>
  <c r="U2831" i="5"/>
  <c r="AM2830" i="5"/>
  <c r="AE2830" i="5"/>
  <c r="U2830" i="5"/>
  <c r="AM2829" i="5"/>
  <c r="AE2829" i="5"/>
  <c r="U2829" i="5"/>
  <c r="AM2828" i="5"/>
  <c r="AE2828" i="5"/>
  <c r="U2828" i="5"/>
  <c r="AM2827" i="5"/>
  <c r="AE2827" i="5"/>
  <c r="U2827" i="5"/>
  <c r="AM2826" i="5"/>
  <c r="AE2826" i="5"/>
  <c r="U2826" i="5"/>
  <c r="AM2825" i="5"/>
  <c r="AE2825" i="5"/>
  <c r="U2825" i="5"/>
  <c r="AM2824" i="5"/>
  <c r="AE2824" i="5"/>
  <c r="U2824" i="5"/>
  <c r="AM2823" i="5"/>
  <c r="AE2823" i="5"/>
  <c r="U2823" i="5"/>
  <c r="AM2822" i="5"/>
  <c r="AE2822" i="5"/>
  <c r="U2822" i="5"/>
  <c r="AM2821" i="5"/>
  <c r="AE2821" i="5"/>
  <c r="U2821" i="5"/>
  <c r="AM2820" i="5"/>
  <c r="AE2820" i="5"/>
  <c r="U2820" i="5"/>
  <c r="AM2819" i="5"/>
  <c r="AE2819" i="5"/>
  <c r="U2819" i="5"/>
  <c r="AM2818" i="5"/>
  <c r="AE2818" i="5"/>
  <c r="U2818" i="5"/>
  <c r="AM2817" i="5"/>
  <c r="AE2817" i="5"/>
  <c r="U2817" i="5"/>
  <c r="AM2816" i="5"/>
  <c r="AE2816" i="5"/>
  <c r="U2816" i="5"/>
  <c r="AM2815" i="5"/>
  <c r="AE2815" i="5"/>
  <c r="U2815" i="5"/>
  <c r="AM2814" i="5"/>
  <c r="AE2814" i="5"/>
  <c r="U2814" i="5"/>
  <c r="AM2813" i="5"/>
  <c r="AE2813" i="5"/>
  <c r="U2813" i="5"/>
  <c r="AM2812" i="5"/>
  <c r="AE2812" i="5"/>
  <c r="U2812" i="5"/>
  <c r="AM2811" i="5"/>
  <c r="AE2811" i="5"/>
  <c r="U2811" i="5"/>
  <c r="AM2810" i="5"/>
  <c r="AE2810" i="5"/>
  <c r="U2810" i="5"/>
  <c r="AM2809" i="5"/>
  <c r="AE2809" i="5"/>
  <c r="U2809" i="5"/>
  <c r="AM2808" i="5"/>
  <c r="AE2808" i="5"/>
  <c r="U2808" i="5"/>
  <c r="AM2807" i="5"/>
  <c r="AE2807" i="5"/>
  <c r="U2807" i="5"/>
  <c r="AM2806" i="5"/>
  <c r="AE2806" i="5"/>
  <c r="U2806" i="5"/>
  <c r="AM2805" i="5"/>
  <c r="AE2805" i="5"/>
  <c r="U2805" i="5"/>
  <c r="AM2804" i="5"/>
  <c r="AE2804" i="5"/>
  <c r="U2804" i="5"/>
  <c r="AM2803" i="5"/>
  <c r="AE2803" i="5"/>
  <c r="U2803" i="5"/>
  <c r="AM2802" i="5"/>
  <c r="AE2802" i="5"/>
  <c r="U2802" i="5"/>
  <c r="AM2801" i="5"/>
  <c r="AE2801" i="5"/>
  <c r="U2801" i="5"/>
  <c r="AM2800" i="5"/>
  <c r="AE2800" i="5"/>
  <c r="U2800" i="5"/>
  <c r="AM2799" i="5"/>
  <c r="AE2799" i="5"/>
  <c r="U2799" i="5"/>
  <c r="AM2798" i="5"/>
  <c r="AE2798" i="5"/>
  <c r="U2798" i="5"/>
  <c r="AM2797" i="5"/>
  <c r="AE2797" i="5"/>
  <c r="U2797" i="5"/>
  <c r="AM2796" i="5"/>
  <c r="AE2796" i="5"/>
  <c r="U2796" i="5"/>
  <c r="AM2795" i="5"/>
  <c r="AE2795" i="5"/>
  <c r="U2795" i="5"/>
  <c r="AM2794" i="5"/>
  <c r="AE2794" i="5"/>
  <c r="U2794" i="5"/>
  <c r="AM2793" i="5"/>
  <c r="AE2793" i="5"/>
  <c r="U2793" i="5"/>
  <c r="AM2792" i="5"/>
  <c r="AE2792" i="5"/>
  <c r="U2792" i="5"/>
  <c r="AM2791" i="5"/>
  <c r="AE2791" i="5"/>
  <c r="U2791" i="5"/>
  <c r="AM2790" i="5"/>
  <c r="AE2790" i="5"/>
  <c r="U2790" i="5"/>
  <c r="AM2789" i="5"/>
  <c r="AE2789" i="5"/>
  <c r="U2789" i="5"/>
  <c r="AM2788" i="5"/>
  <c r="AE2788" i="5"/>
  <c r="U2788" i="5"/>
  <c r="AM2787" i="5"/>
  <c r="AE2787" i="5"/>
  <c r="U2787" i="5"/>
  <c r="AM2786" i="5"/>
  <c r="AE2786" i="5"/>
  <c r="U2786" i="5"/>
  <c r="AM2785" i="5"/>
  <c r="AE2785" i="5"/>
  <c r="U2785" i="5"/>
  <c r="AM2784" i="5"/>
  <c r="AE2784" i="5"/>
  <c r="U2784" i="5"/>
  <c r="AM2783" i="5"/>
  <c r="AE2783" i="5"/>
  <c r="U2783" i="5"/>
  <c r="AM2782" i="5"/>
  <c r="AE2782" i="5"/>
  <c r="U2782" i="5"/>
  <c r="AL2781" i="5"/>
  <c r="AM2781" i="5" s="1"/>
  <c r="AE2781" i="5"/>
  <c r="U2781" i="5"/>
  <c r="AM2780" i="5"/>
  <c r="AE2780" i="5"/>
  <c r="U2780" i="5"/>
  <c r="AM2779" i="5"/>
  <c r="AE2779" i="5"/>
  <c r="U2779" i="5"/>
  <c r="AM2778" i="5"/>
  <c r="AE2778" i="5"/>
  <c r="U2778" i="5"/>
  <c r="AM2777" i="5"/>
  <c r="AE2777" i="5"/>
  <c r="U2777" i="5"/>
  <c r="AM2776" i="5"/>
  <c r="AE2776" i="5"/>
  <c r="U2776" i="5"/>
  <c r="AM2775" i="5"/>
  <c r="AE2775" i="5"/>
  <c r="U2775" i="5"/>
  <c r="AM2774" i="5"/>
  <c r="AE2774" i="5"/>
  <c r="U2774" i="5"/>
  <c r="AM2773" i="5"/>
  <c r="AE2773" i="5"/>
  <c r="U2773" i="5"/>
  <c r="AM2772" i="5"/>
  <c r="AE2772" i="5"/>
  <c r="U2772" i="5"/>
  <c r="AM2771" i="5"/>
  <c r="AE2771" i="5"/>
  <c r="U2771" i="5"/>
  <c r="AM2770" i="5"/>
  <c r="AE2770" i="5"/>
  <c r="U2770" i="5"/>
  <c r="AM2769" i="5"/>
  <c r="AE2769" i="5"/>
  <c r="U2769" i="5"/>
  <c r="AM2768" i="5"/>
  <c r="AE2768" i="5"/>
  <c r="U2768" i="5"/>
  <c r="AM2767" i="5"/>
  <c r="AE2767" i="5"/>
  <c r="U2767" i="5"/>
  <c r="AM2766" i="5"/>
  <c r="AE2766" i="5"/>
  <c r="U2766" i="5"/>
  <c r="AM2765" i="5"/>
  <c r="AE2765" i="5"/>
  <c r="U2765" i="5"/>
  <c r="AM2764" i="5"/>
  <c r="AE2764" i="5"/>
  <c r="U2764" i="5"/>
  <c r="AM2763" i="5"/>
  <c r="AE2763" i="5"/>
  <c r="U2763" i="5"/>
  <c r="AM2762" i="5"/>
  <c r="AE2762" i="5"/>
  <c r="U2762" i="5"/>
  <c r="AM2761" i="5"/>
  <c r="AE2761" i="5"/>
  <c r="U2761" i="5"/>
  <c r="AM2760" i="5"/>
  <c r="AE2760" i="5"/>
  <c r="U2760" i="5"/>
  <c r="AM2759" i="5"/>
  <c r="AE2759" i="5"/>
  <c r="U2759" i="5"/>
  <c r="AM2758" i="5"/>
  <c r="AE2758" i="5"/>
  <c r="U2758" i="5"/>
  <c r="AM2757" i="5"/>
  <c r="AE2757" i="5"/>
  <c r="U2757" i="5"/>
  <c r="AM2756" i="5"/>
  <c r="AE2756" i="5"/>
  <c r="U2756" i="5"/>
  <c r="AM2755" i="5"/>
  <c r="AE2755" i="5"/>
  <c r="U2755" i="5"/>
  <c r="AM2754" i="5"/>
  <c r="AE2754" i="5"/>
  <c r="U2754" i="5"/>
  <c r="AM2753" i="5"/>
  <c r="AE2753" i="5"/>
  <c r="U2753" i="5"/>
  <c r="AM2752" i="5"/>
  <c r="AE2752" i="5"/>
  <c r="U2752" i="5"/>
  <c r="AM2751" i="5"/>
  <c r="AM2750" i="5"/>
  <c r="AM2749" i="5"/>
  <c r="AM2748" i="5"/>
  <c r="AE2748" i="5"/>
  <c r="U2748" i="5"/>
  <c r="AM2747" i="5"/>
  <c r="AE2747" i="5"/>
  <c r="U2747" i="5"/>
  <c r="AM2746" i="5"/>
  <c r="AE2746" i="5"/>
  <c r="U2746" i="5"/>
  <c r="AM2745" i="5"/>
  <c r="AE2745" i="5"/>
  <c r="U2745" i="5"/>
  <c r="AM2744" i="5"/>
  <c r="AE2744" i="5"/>
  <c r="U2744" i="5"/>
  <c r="AM2743" i="5"/>
  <c r="AE2743" i="5"/>
  <c r="U2743" i="5"/>
  <c r="AM2742" i="5"/>
  <c r="AE2742" i="5"/>
  <c r="U2742" i="5"/>
  <c r="AM2741" i="5"/>
  <c r="AE2741" i="5"/>
  <c r="U2741" i="5"/>
  <c r="AM2740" i="5"/>
  <c r="AE2740" i="5"/>
  <c r="U2740" i="5"/>
  <c r="AM2739" i="5"/>
  <c r="AE2739" i="5"/>
  <c r="U2739" i="5"/>
  <c r="AM2738" i="5"/>
  <c r="AE2738" i="5"/>
  <c r="U2738" i="5"/>
  <c r="AM2737" i="5"/>
  <c r="AE2737" i="5"/>
  <c r="U2737" i="5"/>
  <c r="AM2736" i="5"/>
  <c r="AE2736" i="5"/>
  <c r="U2736" i="5"/>
  <c r="AM2735" i="5"/>
  <c r="AE2735" i="5"/>
  <c r="U2735" i="5"/>
  <c r="AM2734" i="5"/>
  <c r="AE2734" i="5"/>
  <c r="U2734" i="5"/>
  <c r="AM2733" i="5"/>
  <c r="AE2733" i="5"/>
  <c r="U2733" i="5"/>
  <c r="AM2732" i="5"/>
  <c r="AE2732" i="5"/>
  <c r="U2732" i="5"/>
  <c r="AM2731" i="5"/>
  <c r="AE2731" i="5"/>
  <c r="U2731" i="5"/>
  <c r="AM2730" i="5"/>
  <c r="AE2730" i="5"/>
  <c r="U2730" i="5"/>
  <c r="AM2729" i="5"/>
  <c r="AE2729" i="5"/>
  <c r="U2729" i="5"/>
  <c r="AM2728" i="5"/>
  <c r="AE2728" i="5"/>
  <c r="U2728" i="5"/>
  <c r="AM2727" i="5"/>
  <c r="AE2727" i="5"/>
  <c r="U2727" i="5"/>
  <c r="AM2726" i="5"/>
  <c r="AE2726" i="5"/>
  <c r="U2726" i="5"/>
  <c r="AM2725" i="5"/>
  <c r="AE2725" i="5"/>
  <c r="U2725" i="5"/>
  <c r="AM2724" i="5"/>
  <c r="AE2724" i="5"/>
  <c r="U2724" i="5"/>
  <c r="AM2723" i="5"/>
  <c r="AE2723" i="5"/>
  <c r="U2723" i="5"/>
  <c r="AM2722" i="5"/>
  <c r="AE2722" i="5"/>
  <c r="U2722" i="5"/>
  <c r="AM2721" i="5"/>
  <c r="AE2721" i="5"/>
  <c r="U2721" i="5"/>
  <c r="AM2720" i="5"/>
  <c r="AE2720" i="5"/>
  <c r="U2720" i="5"/>
  <c r="AM2719" i="5"/>
  <c r="AE2719" i="5"/>
  <c r="U2719" i="5"/>
  <c r="AM2718" i="5"/>
  <c r="AE2718" i="5"/>
  <c r="U2718" i="5"/>
  <c r="AM2717" i="5"/>
  <c r="AE2717" i="5"/>
  <c r="U2717" i="5"/>
  <c r="AM2716" i="5"/>
  <c r="AE2716" i="5"/>
  <c r="U2716" i="5"/>
  <c r="AM2715" i="5"/>
  <c r="AE2715" i="5"/>
  <c r="U2715" i="5"/>
  <c r="AM2714" i="5"/>
  <c r="AE2714" i="5"/>
  <c r="U2714" i="5"/>
  <c r="AM2713" i="5"/>
  <c r="AE2713" i="5"/>
  <c r="U2713" i="5"/>
  <c r="AM2712" i="5"/>
  <c r="AE2712" i="5"/>
  <c r="U2712" i="5"/>
  <c r="AM2711" i="5"/>
  <c r="AE2711" i="5"/>
  <c r="U2711" i="5"/>
  <c r="AM2710" i="5"/>
  <c r="AE2710" i="5"/>
  <c r="U2710" i="5"/>
  <c r="AM2709" i="5"/>
  <c r="AE2709" i="5"/>
  <c r="U2709" i="5"/>
  <c r="AM2708" i="5"/>
  <c r="AE2708" i="5"/>
  <c r="U2708" i="5"/>
  <c r="AM2707" i="5"/>
  <c r="AE2707" i="5"/>
  <c r="U2707" i="5"/>
  <c r="AM2706" i="5"/>
  <c r="AE2706" i="5"/>
  <c r="U2706" i="5"/>
  <c r="AM2705" i="5"/>
  <c r="AE2705" i="5"/>
  <c r="U2705" i="5"/>
  <c r="AM2704" i="5"/>
  <c r="AE2704" i="5"/>
  <c r="U2704" i="5"/>
  <c r="AM2703" i="5"/>
  <c r="AE2703" i="5"/>
  <c r="U2703" i="5"/>
  <c r="AM2702" i="5"/>
  <c r="AE2702" i="5"/>
  <c r="U2702" i="5"/>
  <c r="AM2701" i="5"/>
  <c r="AE2701" i="5"/>
  <c r="U2701" i="5"/>
  <c r="AM2700" i="5"/>
  <c r="AE2700" i="5"/>
  <c r="U2700" i="5"/>
  <c r="AM2699" i="5"/>
  <c r="AE2699" i="5"/>
  <c r="U2699" i="5"/>
  <c r="AM2698" i="5"/>
  <c r="AE2698" i="5"/>
  <c r="U2698" i="5"/>
  <c r="AM2697" i="5"/>
  <c r="AE2697" i="5"/>
  <c r="U2697" i="5"/>
  <c r="AM2696" i="5"/>
  <c r="AE2696" i="5"/>
  <c r="U2696" i="5"/>
  <c r="AM2695" i="5"/>
  <c r="AE2695" i="5"/>
  <c r="U2695" i="5"/>
  <c r="AM2694" i="5"/>
  <c r="AE2694" i="5"/>
  <c r="U2694" i="5"/>
  <c r="AM2693" i="5"/>
  <c r="AE2693" i="5"/>
  <c r="U2693" i="5"/>
  <c r="AM2692" i="5"/>
  <c r="AE2692" i="5"/>
  <c r="U2692" i="5"/>
  <c r="AM2691" i="5"/>
  <c r="AE2691" i="5"/>
  <c r="U2691" i="5"/>
  <c r="AM2690" i="5"/>
  <c r="AE2690" i="5"/>
  <c r="U2690" i="5"/>
  <c r="AM2689" i="5"/>
  <c r="AE2689" i="5"/>
  <c r="U2689" i="5"/>
  <c r="AM2688" i="5"/>
  <c r="AE2688" i="5"/>
  <c r="U2688" i="5"/>
  <c r="AM2687" i="5"/>
  <c r="AE2687" i="5"/>
  <c r="U2687" i="5"/>
  <c r="AM2686" i="5"/>
  <c r="AE2686" i="5"/>
  <c r="U2686" i="5"/>
  <c r="AM2685" i="5"/>
  <c r="AE2685" i="5"/>
  <c r="U2685" i="5"/>
  <c r="AM2684" i="5"/>
  <c r="AE2684" i="5"/>
  <c r="U2684" i="5"/>
  <c r="AM2683" i="5"/>
  <c r="AE2683" i="5"/>
  <c r="U2683" i="5"/>
  <c r="AM2682" i="5"/>
  <c r="AE2682" i="5"/>
  <c r="U2682" i="5"/>
  <c r="AM2681" i="5"/>
  <c r="AE2681" i="5"/>
  <c r="U2681" i="5"/>
  <c r="AM2680" i="5"/>
  <c r="AE2680" i="5"/>
  <c r="U2680" i="5"/>
  <c r="AM2679" i="5"/>
  <c r="AE2679" i="5"/>
  <c r="U2679" i="5"/>
  <c r="AM2678" i="5"/>
  <c r="AE2678" i="5"/>
  <c r="U2678" i="5"/>
  <c r="AM2677" i="5"/>
  <c r="AE2677" i="5"/>
  <c r="U2677" i="5"/>
  <c r="AM2676" i="5"/>
  <c r="AE2676" i="5"/>
  <c r="U2676" i="5"/>
  <c r="AM2675" i="5"/>
  <c r="AE2675" i="5"/>
  <c r="U2675" i="5"/>
  <c r="AM2674" i="5"/>
  <c r="AE2674" i="5"/>
  <c r="U2674" i="5"/>
  <c r="AM2673" i="5"/>
  <c r="AE2673" i="5"/>
  <c r="U2673" i="5"/>
  <c r="AM2672" i="5"/>
  <c r="AE2672" i="5"/>
  <c r="U2672" i="5"/>
  <c r="AM2671" i="5"/>
  <c r="AE2671" i="5"/>
  <c r="U2671" i="5"/>
  <c r="AM2670" i="5"/>
  <c r="AE2670" i="5"/>
  <c r="U2670" i="5"/>
  <c r="AM2669" i="5"/>
  <c r="AE2669" i="5"/>
  <c r="U2669" i="5"/>
  <c r="AM2668" i="5"/>
  <c r="AE2668" i="5"/>
  <c r="U2668" i="5"/>
  <c r="AM2667" i="5"/>
  <c r="AE2667" i="5"/>
  <c r="U2667" i="5"/>
  <c r="AM2666" i="5"/>
  <c r="AE2666" i="5"/>
  <c r="U2666" i="5"/>
  <c r="AM2665" i="5"/>
  <c r="AE2665" i="5"/>
  <c r="U2665" i="5"/>
  <c r="AM2664" i="5"/>
  <c r="AE2664" i="5"/>
  <c r="U2664" i="5"/>
  <c r="AM2663" i="5"/>
  <c r="AE2663" i="5"/>
  <c r="U2663" i="5"/>
  <c r="AM2662" i="5"/>
  <c r="AE2662" i="5"/>
  <c r="U2662" i="5"/>
  <c r="AM2661" i="5"/>
  <c r="AE2661" i="5"/>
  <c r="U2661" i="5"/>
  <c r="AM2660" i="5"/>
  <c r="AE2660" i="5"/>
  <c r="U2660" i="5"/>
  <c r="AM2659" i="5"/>
  <c r="AE2659" i="5"/>
  <c r="U2659" i="5"/>
  <c r="AM2658" i="5"/>
  <c r="AE2658" i="5"/>
  <c r="U2658" i="5"/>
  <c r="AM2657" i="5"/>
  <c r="AE2657" i="5"/>
  <c r="U2657" i="5"/>
  <c r="AM2656" i="5"/>
  <c r="AE2656" i="5"/>
  <c r="U2656" i="5"/>
  <c r="AM2655" i="5"/>
  <c r="AE2655" i="5"/>
  <c r="U2655" i="5"/>
  <c r="AM2654" i="5"/>
  <c r="AE2654" i="5"/>
  <c r="U2654" i="5"/>
  <c r="AM2653" i="5"/>
  <c r="AE2653" i="5"/>
  <c r="U2653" i="5"/>
  <c r="AM2652" i="5"/>
  <c r="AE2652" i="5"/>
  <c r="U2652" i="5"/>
  <c r="AM2651" i="5"/>
  <c r="AE2651" i="5"/>
  <c r="U2651" i="5"/>
  <c r="AM2650" i="5"/>
  <c r="AE2650" i="5"/>
  <c r="U2650" i="5"/>
  <c r="AM2649" i="5"/>
  <c r="AE2649" i="5"/>
  <c r="U2649" i="5"/>
  <c r="AM2648" i="5"/>
  <c r="AE2648" i="5"/>
  <c r="U2648" i="5"/>
  <c r="AM2647" i="5"/>
  <c r="AE2647" i="5"/>
  <c r="U2647" i="5"/>
  <c r="AM2646" i="5"/>
  <c r="AE2646" i="5"/>
  <c r="U2646" i="5"/>
  <c r="AM2645" i="5"/>
  <c r="AE2645" i="5"/>
  <c r="U2645" i="5"/>
  <c r="AM2644" i="5"/>
  <c r="AE2644" i="5"/>
  <c r="U2644" i="5"/>
  <c r="AM2643" i="5"/>
  <c r="AE2643" i="5"/>
  <c r="U2643" i="5"/>
  <c r="AM2642" i="5"/>
  <c r="AE2642" i="5"/>
  <c r="U2642" i="5"/>
  <c r="AM2641" i="5"/>
  <c r="AE2641" i="5"/>
  <c r="U2641" i="5"/>
  <c r="AM2640" i="5"/>
  <c r="AE2640" i="5"/>
  <c r="U2640" i="5"/>
  <c r="AM2639" i="5"/>
  <c r="AE2639" i="5"/>
  <c r="U2639" i="5"/>
  <c r="AM2638" i="5"/>
  <c r="AE2638" i="5"/>
  <c r="U2638" i="5"/>
  <c r="AM2637" i="5"/>
  <c r="AE2637" i="5"/>
  <c r="U2637" i="5"/>
  <c r="AM2636" i="5"/>
  <c r="AE2636" i="5"/>
  <c r="U2636" i="5"/>
  <c r="AM2635" i="5"/>
  <c r="AE2635" i="5"/>
  <c r="U2635" i="5"/>
  <c r="AM2634" i="5"/>
  <c r="AE2634" i="5"/>
  <c r="U2634" i="5"/>
  <c r="AM2633" i="5"/>
  <c r="AE2633" i="5"/>
  <c r="U2633" i="5"/>
  <c r="AM2632" i="5"/>
  <c r="AE2632" i="5"/>
  <c r="U2632" i="5"/>
  <c r="AM2631" i="5"/>
  <c r="AE2631" i="5"/>
  <c r="U2631" i="5"/>
  <c r="AM2630" i="5"/>
  <c r="AE2630" i="5"/>
  <c r="U2630" i="5"/>
  <c r="AM2629" i="5"/>
  <c r="AE2629" i="5"/>
  <c r="U2629" i="5"/>
  <c r="AM2628" i="5"/>
  <c r="AE2628" i="5"/>
  <c r="U2628" i="5"/>
  <c r="AM2627" i="5"/>
  <c r="AE2627" i="5"/>
  <c r="U2627" i="5"/>
  <c r="AM2626" i="5"/>
  <c r="AE2626" i="5"/>
  <c r="U2626" i="5"/>
  <c r="AM2625" i="5"/>
  <c r="AE2625" i="5"/>
  <c r="U2625" i="5"/>
  <c r="AM2624" i="5"/>
  <c r="AE2624" i="5"/>
  <c r="U2624" i="5"/>
  <c r="AM2623" i="5"/>
  <c r="AE2623" i="5"/>
  <c r="U2623" i="5"/>
  <c r="AM2622" i="5"/>
  <c r="AE2622" i="5"/>
  <c r="U2622" i="5"/>
  <c r="AM2621" i="5"/>
  <c r="AE2621" i="5"/>
  <c r="U2621" i="5"/>
  <c r="AM2620" i="5"/>
  <c r="AE2620" i="5"/>
  <c r="U2620" i="5"/>
  <c r="AM2619" i="5"/>
  <c r="AE2619" i="5"/>
  <c r="U2619" i="5"/>
  <c r="AM2618" i="5"/>
  <c r="AE2618" i="5"/>
  <c r="U2618" i="5"/>
  <c r="AM2617" i="5"/>
  <c r="AE2617" i="5"/>
  <c r="U2617" i="5"/>
  <c r="AM2616" i="5"/>
  <c r="AE2616" i="5"/>
  <c r="U2616" i="5"/>
  <c r="AM2615" i="5"/>
  <c r="AE2615" i="5"/>
  <c r="U2615" i="5"/>
  <c r="AM2614" i="5"/>
  <c r="AE2614" i="5"/>
  <c r="U2614" i="5"/>
  <c r="AM2613" i="5"/>
  <c r="AE2613" i="5"/>
  <c r="U2613" i="5"/>
  <c r="AM2612" i="5"/>
  <c r="AE2612" i="5"/>
  <c r="U2612" i="5"/>
  <c r="AM2611" i="5"/>
  <c r="AE2611" i="5"/>
  <c r="U2611" i="5"/>
  <c r="AM2610" i="5"/>
  <c r="AE2610" i="5"/>
  <c r="U2610" i="5"/>
  <c r="AM2609" i="5"/>
  <c r="AE2609" i="5"/>
  <c r="U2609" i="5"/>
  <c r="AM2608" i="5"/>
  <c r="AE2608" i="5"/>
  <c r="U2608" i="5"/>
  <c r="AM2607" i="5"/>
  <c r="AE2607" i="5"/>
  <c r="U2607" i="5"/>
  <c r="AM2606" i="5"/>
  <c r="AE2606" i="5"/>
  <c r="U2606" i="5"/>
  <c r="AM2605" i="5"/>
  <c r="AE2605" i="5"/>
  <c r="U2605" i="5"/>
  <c r="AM2604" i="5"/>
  <c r="AE2604" i="5"/>
  <c r="U2604" i="5"/>
  <c r="AM2603" i="5"/>
  <c r="AE2603" i="5"/>
  <c r="U2603" i="5"/>
  <c r="AM2602" i="5"/>
  <c r="AE2602" i="5"/>
  <c r="U2602" i="5"/>
  <c r="AM2601" i="5"/>
  <c r="AE2601" i="5"/>
  <c r="U2601" i="5"/>
  <c r="AM2600" i="5"/>
  <c r="AE2600" i="5"/>
  <c r="U2600" i="5"/>
  <c r="AM2599" i="5"/>
  <c r="AE2599" i="5"/>
  <c r="U2599" i="5"/>
  <c r="AM2598" i="5"/>
  <c r="AE2598" i="5"/>
  <c r="U2598" i="5"/>
  <c r="AM2597" i="5"/>
  <c r="AE2597" i="5"/>
  <c r="U2597" i="5"/>
  <c r="AM2596" i="5"/>
  <c r="AE2596" i="5"/>
  <c r="U2596" i="5"/>
  <c r="AM2595" i="5"/>
  <c r="AE2595" i="5"/>
  <c r="U2595" i="5"/>
  <c r="AM2594" i="5"/>
  <c r="AE2594" i="5"/>
  <c r="U2594" i="5"/>
  <c r="AM2593" i="5"/>
  <c r="AE2593" i="5"/>
  <c r="U2593" i="5"/>
  <c r="AM2592" i="5"/>
  <c r="AE2592" i="5"/>
  <c r="U2592" i="5"/>
  <c r="AM2591" i="5"/>
  <c r="AE2591" i="5"/>
  <c r="U2591" i="5"/>
  <c r="AM2590" i="5"/>
  <c r="AE2590" i="5"/>
  <c r="U2590" i="5"/>
  <c r="AM2589" i="5"/>
  <c r="AE2589" i="5"/>
  <c r="U2589" i="5"/>
  <c r="AM2588" i="5"/>
  <c r="AE2588" i="5"/>
  <c r="U2588" i="5"/>
  <c r="AM2587" i="5"/>
  <c r="AE2587" i="5"/>
  <c r="U2587" i="5"/>
  <c r="AM2586" i="5"/>
  <c r="AE2586" i="5"/>
  <c r="U2586" i="5"/>
  <c r="AM2585" i="5"/>
  <c r="AE2585" i="5"/>
  <c r="U2585" i="5"/>
  <c r="AM2584" i="5"/>
  <c r="AE2584" i="5"/>
  <c r="U2584" i="5"/>
  <c r="AM2583" i="5"/>
  <c r="AE2583" i="5"/>
  <c r="U2583" i="5"/>
  <c r="AM2582" i="5"/>
  <c r="AE2582" i="5"/>
  <c r="U2582" i="5"/>
  <c r="AM2581" i="5"/>
  <c r="AE2581" i="5"/>
  <c r="U2581" i="5"/>
  <c r="AM2580" i="5"/>
  <c r="AE2580" i="5"/>
  <c r="U2580" i="5"/>
  <c r="AM2579" i="5"/>
  <c r="AE2579" i="5"/>
  <c r="U2579" i="5"/>
  <c r="AM2578" i="5"/>
  <c r="AE2578" i="5"/>
  <c r="U2578" i="5"/>
  <c r="AM2577" i="5"/>
  <c r="AE2577" i="5"/>
  <c r="U2577" i="5"/>
  <c r="AM2576" i="5"/>
  <c r="AE2576" i="5"/>
  <c r="U2576" i="5"/>
  <c r="AM2575" i="5"/>
  <c r="AE2575" i="5"/>
  <c r="U2575" i="5"/>
  <c r="AM2574" i="5"/>
  <c r="AE2574" i="5"/>
  <c r="U2574" i="5"/>
  <c r="AM2573" i="5"/>
  <c r="AE2573" i="5"/>
  <c r="U2573" i="5"/>
  <c r="AM2572" i="5"/>
  <c r="AE2572" i="5"/>
  <c r="U2572" i="5"/>
  <c r="AM2571" i="5"/>
  <c r="AE2571" i="5"/>
  <c r="U2571" i="5"/>
  <c r="AM2570" i="5"/>
  <c r="AE2570" i="5"/>
  <c r="U2570" i="5"/>
  <c r="AM2569" i="5"/>
  <c r="AE2569" i="5"/>
  <c r="U2569" i="5"/>
  <c r="AM2568" i="5"/>
  <c r="AE2568" i="5"/>
  <c r="U2568" i="5"/>
  <c r="AM2567" i="5"/>
  <c r="AE2567" i="5"/>
  <c r="U2567" i="5"/>
  <c r="AM2566" i="5"/>
  <c r="AE2566" i="5"/>
  <c r="U2566" i="5"/>
  <c r="AM2565" i="5"/>
  <c r="AE2565" i="5"/>
  <c r="U2565" i="5"/>
  <c r="AM2564" i="5"/>
  <c r="AE2564" i="5"/>
  <c r="U2564" i="5"/>
  <c r="AM2563" i="5"/>
  <c r="AE2563" i="5"/>
  <c r="U2563" i="5"/>
  <c r="AM2562" i="5"/>
  <c r="AE2562" i="5"/>
  <c r="U2562" i="5"/>
  <c r="AM2561" i="5"/>
  <c r="AE2561" i="5"/>
  <c r="U2561" i="5"/>
  <c r="AM2560" i="5"/>
  <c r="AE2560" i="5"/>
  <c r="U2560" i="5"/>
  <c r="AM2559" i="5"/>
  <c r="AE2559" i="5"/>
  <c r="U2559" i="5"/>
  <c r="AM2558" i="5"/>
  <c r="AE2558" i="5"/>
  <c r="U2558" i="5"/>
  <c r="AM2557" i="5"/>
  <c r="AE2557" i="5"/>
  <c r="U2557" i="5"/>
  <c r="AM2556" i="5"/>
  <c r="AE2556" i="5"/>
  <c r="U2556" i="5"/>
  <c r="AM2555" i="5"/>
  <c r="AE2555" i="5"/>
  <c r="U2555" i="5"/>
  <c r="AM2554" i="5"/>
  <c r="AE2554" i="5"/>
  <c r="U2554" i="5"/>
  <c r="AM2553" i="5"/>
  <c r="AE2553" i="5"/>
  <c r="U2553" i="5"/>
  <c r="AM2552" i="5"/>
  <c r="AE2552" i="5"/>
  <c r="U2552" i="5"/>
  <c r="AM2551" i="5"/>
  <c r="AE2551" i="5"/>
  <c r="U2551" i="5"/>
  <c r="AM2550" i="5"/>
  <c r="AE2550" i="5"/>
  <c r="U2550" i="5"/>
  <c r="AM2549" i="5"/>
  <c r="AE2549" i="5"/>
  <c r="U2549" i="5"/>
  <c r="AM2548" i="5"/>
  <c r="AE2548" i="5"/>
  <c r="U2548" i="5"/>
  <c r="AM2547" i="5"/>
  <c r="AE2547" i="5"/>
  <c r="U2547" i="5"/>
  <c r="AM2546" i="5"/>
  <c r="AE2546" i="5"/>
  <c r="U2546" i="5"/>
  <c r="AM2545" i="5"/>
  <c r="AE2545" i="5"/>
  <c r="U2545" i="5"/>
  <c r="AM2544" i="5"/>
  <c r="AE2544" i="5"/>
  <c r="U2544" i="5"/>
  <c r="AM2543" i="5"/>
  <c r="AE2543" i="5"/>
  <c r="U2543" i="5"/>
  <c r="AM2542" i="5"/>
  <c r="AE2542" i="5"/>
  <c r="U2542" i="5"/>
  <c r="AM2541" i="5"/>
  <c r="AE2541" i="5"/>
  <c r="U2541" i="5"/>
  <c r="AM2540" i="5"/>
  <c r="AE2540" i="5"/>
  <c r="U2540" i="5"/>
  <c r="AM2539" i="5"/>
  <c r="AE2539" i="5"/>
  <c r="U2539" i="5"/>
  <c r="AM2538" i="5"/>
  <c r="AE2538" i="5"/>
  <c r="U2538" i="5"/>
  <c r="AM2537" i="5"/>
  <c r="AE2537" i="5"/>
  <c r="U2537" i="5"/>
  <c r="AM2536" i="5"/>
  <c r="AE2536" i="5"/>
  <c r="U2536" i="5"/>
  <c r="AM2535" i="5"/>
  <c r="AE2535" i="5"/>
  <c r="U2535" i="5"/>
  <c r="AM2534" i="5"/>
  <c r="AE2534" i="5"/>
  <c r="U2534" i="5"/>
  <c r="AM2533" i="5"/>
  <c r="AE2533" i="5"/>
  <c r="U2533" i="5"/>
  <c r="AM2532" i="5"/>
  <c r="AE2532" i="5"/>
  <c r="U2532" i="5"/>
  <c r="AM2531" i="5"/>
  <c r="AE2531" i="5"/>
  <c r="U2531" i="5"/>
  <c r="AM2530" i="5"/>
  <c r="AE2530" i="5"/>
  <c r="U2530" i="5"/>
  <c r="AM2529" i="5"/>
  <c r="AE2529" i="5"/>
  <c r="U2529" i="5"/>
  <c r="AM2528" i="5"/>
  <c r="AE2528" i="5"/>
  <c r="U2528" i="5"/>
  <c r="AM2527" i="5"/>
  <c r="AE2527" i="5"/>
  <c r="U2527" i="5"/>
  <c r="AM2526" i="5"/>
  <c r="AE2526" i="5"/>
  <c r="U2526" i="5"/>
  <c r="AM2525" i="5"/>
  <c r="AE2525" i="5"/>
  <c r="U2525" i="5"/>
  <c r="AM2524" i="5"/>
  <c r="AE2524" i="5"/>
  <c r="U2524" i="5"/>
  <c r="AM2523" i="5"/>
  <c r="AE2523" i="5"/>
  <c r="U2523" i="5"/>
  <c r="AM2522" i="5"/>
  <c r="AE2522" i="5"/>
  <c r="U2522" i="5"/>
  <c r="AM2521" i="5"/>
  <c r="AM2520" i="5"/>
  <c r="AM2519" i="5"/>
  <c r="AM2518" i="5"/>
  <c r="AE2518" i="5"/>
  <c r="U2518" i="5"/>
  <c r="AM2517" i="5"/>
  <c r="AE2517" i="5"/>
  <c r="U2517" i="5"/>
  <c r="AM2516" i="5"/>
  <c r="AE2516" i="5"/>
  <c r="U2516" i="5"/>
  <c r="AM2515" i="5"/>
  <c r="AE2515" i="5"/>
  <c r="U2515" i="5"/>
  <c r="AM2514" i="5"/>
  <c r="AE2514" i="5"/>
  <c r="U2514" i="5"/>
  <c r="AM2513" i="5"/>
  <c r="AE2513" i="5"/>
  <c r="U2513" i="5"/>
  <c r="AM2512" i="5"/>
  <c r="AE2512" i="5"/>
  <c r="U2512" i="5"/>
  <c r="AM2511" i="5"/>
  <c r="AE2511" i="5"/>
  <c r="U2511" i="5"/>
  <c r="AM2510" i="5"/>
  <c r="AE2510" i="5"/>
  <c r="U2510" i="5"/>
  <c r="AM2509" i="5"/>
  <c r="AE2509" i="5"/>
  <c r="U2509" i="5"/>
  <c r="AM2508" i="5"/>
  <c r="AE2508" i="5"/>
  <c r="U2508" i="5"/>
  <c r="AM2507" i="5"/>
  <c r="AE2507" i="5"/>
  <c r="U2507" i="5"/>
  <c r="AM2506" i="5"/>
  <c r="AE2506" i="5"/>
  <c r="U2506" i="5"/>
  <c r="AM2505" i="5"/>
  <c r="AE2505" i="5"/>
  <c r="U2505" i="5"/>
  <c r="AM2504" i="5"/>
  <c r="AE2504" i="5"/>
  <c r="U2504" i="5"/>
  <c r="AM2503" i="5"/>
  <c r="AE2503" i="5"/>
  <c r="U2503" i="5"/>
  <c r="AM2502" i="5"/>
  <c r="AE2502" i="5"/>
  <c r="U2502" i="5"/>
  <c r="AM2501" i="5"/>
  <c r="AE2501" i="5"/>
  <c r="U2501" i="5"/>
  <c r="AM2500" i="5"/>
  <c r="AE2500" i="5"/>
  <c r="U2500" i="5"/>
  <c r="AM2499" i="5"/>
  <c r="AE2499" i="5"/>
  <c r="U2499" i="5"/>
  <c r="AM2498" i="5"/>
  <c r="AE2498" i="5"/>
  <c r="U2498" i="5"/>
  <c r="AM2497" i="5"/>
  <c r="AE2497" i="5"/>
  <c r="U2497" i="5"/>
  <c r="AM2496" i="5"/>
  <c r="AE2496" i="5"/>
  <c r="U2496" i="5"/>
  <c r="AM2495" i="5"/>
  <c r="AE2495" i="5"/>
  <c r="U2495" i="5"/>
  <c r="AM2494" i="5"/>
  <c r="AE2494" i="5"/>
  <c r="U2494" i="5"/>
  <c r="AM2493" i="5"/>
  <c r="AE2493" i="5"/>
  <c r="U2493" i="5"/>
  <c r="AM2492" i="5"/>
  <c r="AE2492" i="5"/>
  <c r="U2492" i="5"/>
  <c r="AM2491" i="5"/>
  <c r="AE2491" i="5"/>
  <c r="U2491" i="5"/>
  <c r="AM2490" i="5"/>
  <c r="AE2490" i="5"/>
  <c r="U2490" i="5"/>
  <c r="AM2489" i="5"/>
  <c r="AE2489" i="5"/>
  <c r="U2489" i="5"/>
  <c r="AM2488" i="5"/>
  <c r="AE2488" i="5"/>
  <c r="U2488" i="5"/>
  <c r="AM2487" i="5"/>
  <c r="AE2487" i="5"/>
  <c r="U2487" i="5"/>
  <c r="AM2486" i="5"/>
  <c r="AE2486" i="5"/>
  <c r="U2486" i="5"/>
  <c r="AM2485" i="5"/>
  <c r="AE2485" i="5"/>
  <c r="U2485" i="5"/>
  <c r="AM2484" i="5"/>
  <c r="AE2484" i="5"/>
  <c r="U2484" i="5"/>
  <c r="AM2483" i="5"/>
  <c r="AE2483" i="5"/>
  <c r="U2483" i="5"/>
  <c r="AM2482" i="5"/>
  <c r="AE2482" i="5"/>
  <c r="U2482" i="5"/>
  <c r="AM2481" i="5"/>
  <c r="AE2481" i="5"/>
  <c r="U2481" i="5"/>
  <c r="AM2480" i="5"/>
  <c r="AE2480" i="5"/>
  <c r="U2480" i="5"/>
  <c r="AM2479" i="5"/>
  <c r="AE2479" i="5"/>
  <c r="U2479" i="5"/>
  <c r="AM2478" i="5"/>
  <c r="AE2478" i="5"/>
  <c r="U2478" i="5"/>
  <c r="AM2477" i="5"/>
  <c r="AE2477" i="5"/>
  <c r="U2477" i="5"/>
  <c r="AM2476" i="5"/>
  <c r="AE2476" i="5"/>
  <c r="U2476" i="5"/>
  <c r="AM2475" i="5"/>
  <c r="AE2475" i="5"/>
  <c r="U2475" i="5"/>
  <c r="AM2474" i="5"/>
  <c r="AE2474" i="5"/>
  <c r="U2474" i="5"/>
  <c r="AM2473" i="5"/>
  <c r="AE2473" i="5"/>
  <c r="U2473" i="5"/>
  <c r="AM2472" i="5"/>
  <c r="AE2472" i="5"/>
  <c r="U2472" i="5"/>
  <c r="AM2471" i="5"/>
  <c r="AE2471" i="5"/>
  <c r="U2471" i="5"/>
  <c r="AM2470" i="5"/>
  <c r="AE2470" i="5"/>
  <c r="U2470" i="5"/>
  <c r="AM2469" i="5"/>
  <c r="AE2469" i="5"/>
  <c r="U2469" i="5"/>
  <c r="AM2468" i="5"/>
  <c r="AE2468" i="5"/>
  <c r="U2468" i="5"/>
  <c r="AM2467" i="5"/>
  <c r="AE2467" i="5"/>
  <c r="U2467" i="5"/>
  <c r="AM2466" i="5"/>
  <c r="AE2466" i="5"/>
  <c r="U2466" i="5"/>
  <c r="AM2465" i="5"/>
  <c r="AE2465" i="5"/>
  <c r="U2465" i="5"/>
  <c r="AM2464" i="5"/>
  <c r="AE2464" i="5"/>
  <c r="U2464" i="5"/>
  <c r="AM2463" i="5"/>
  <c r="AE2463" i="5"/>
  <c r="U2463" i="5"/>
  <c r="AM2462" i="5"/>
  <c r="AE2462" i="5"/>
  <c r="U2462" i="5"/>
  <c r="AM2461" i="5"/>
  <c r="AE2461" i="5"/>
  <c r="U2461" i="5"/>
  <c r="AM2460" i="5"/>
  <c r="AE2460" i="5"/>
  <c r="U2460" i="5"/>
  <c r="AM2459" i="5"/>
  <c r="AE2459" i="5"/>
  <c r="U2459" i="5"/>
  <c r="AM2458" i="5"/>
  <c r="AE2458" i="5"/>
  <c r="U2458" i="5"/>
  <c r="AM2457" i="5"/>
  <c r="AE2457" i="5"/>
  <c r="U2457" i="5"/>
  <c r="AM2456" i="5"/>
  <c r="AE2456" i="5"/>
  <c r="U2456" i="5"/>
  <c r="AM2455" i="5"/>
  <c r="AE2455" i="5"/>
  <c r="U2455" i="5"/>
  <c r="AM2454" i="5"/>
  <c r="AE2454" i="5"/>
  <c r="U2454" i="5"/>
  <c r="AM2453" i="5"/>
  <c r="AE2453" i="5"/>
  <c r="U2453" i="5"/>
  <c r="AM2452" i="5"/>
  <c r="AE2452" i="5"/>
  <c r="U2452" i="5"/>
  <c r="AM2451" i="5"/>
  <c r="AE2451" i="5"/>
  <c r="U2451" i="5"/>
  <c r="AM2450" i="5"/>
  <c r="AE2450" i="5"/>
  <c r="U2450" i="5"/>
  <c r="AM2449" i="5"/>
  <c r="AE2449" i="5"/>
  <c r="U2449" i="5"/>
  <c r="AM2448" i="5"/>
  <c r="AE2448" i="5"/>
  <c r="U2448" i="5"/>
  <c r="AM2447" i="5"/>
  <c r="AE2447" i="5"/>
  <c r="U2447" i="5"/>
  <c r="AM2446" i="5"/>
  <c r="AE2446" i="5"/>
  <c r="U2446" i="5"/>
  <c r="AM2445" i="5"/>
  <c r="AE2445" i="5"/>
  <c r="U2445" i="5"/>
  <c r="AM2444" i="5"/>
  <c r="AE2444" i="5"/>
  <c r="U2444" i="5"/>
  <c r="AM2443" i="5"/>
  <c r="AE2443" i="5"/>
  <c r="U2443" i="5"/>
  <c r="AM2442" i="5"/>
  <c r="AE2442" i="5"/>
  <c r="U2442" i="5"/>
  <c r="AM2441" i="5"/>
  <c r="AE2441" i="5"/>
  <c r="U2441" i="5"/>
  <c r="AM2440" i="5"/>
  <c r="AE2440" i="5"/>
  <c r="U2440" i="5"/>
  <c r="AM2439" i="5"/>
  <c r="AE2439" i="5"/>
  <c r="U2439" i="5"/>
  <c r="AM2438" i="5"/>
  <c r="AE2438" i="5"/>
  <c r="U2438" i="5"/>
  <c r="AM2437" i="5"/>
  <c r="AE2437" i="5"/>
  <c r="U2437" i="5"/>
  <c r="AM2436" i="5"/>
  <c r="AE2436" i="5"/>
  <c r="U2436" i="5"/>
  <c r="AM2435" i="5"/>
  <c r="AE2435" i="5"/>
  <c r="U2435" i="5"/>
  <c r="AM2434" i="5"/>
  <c r="AE2434" i="5"/>
  <c r="U2434" i="5"/>
  <c r="AM2433" i="5"/>
  <c r="AE2433" i="5"/>
  <c r="U2433" i="5"/>
  <c r="AM2432" i="5"/>
  <c r="AE2432" i="5"/>
  <c r="U2432" i="5"/>
  <c r="AM2431" i="5"/>
  <c r="AE2431" i="5"/>
  <c r="U2431" i="5"/>
  <c r="AM2430" i="5"/>
  <c r="AE2430" i="5"/>
  <c r="U2430" i="5"/>
  <c r="AM2429" i="5"/>
  <c r="AE2429" i="5"/>
  <c r="U2429" i="5"/>
  <c r="AM2428" i="5"/>
  <c r="AE2428" i="5"/>
  <c r="U2428" i="5"/>
  <c r="AM2427" i="5"/>
  <c r="AE2427" i="5"/>
  <c r="U2427" i="5"/>
  <c r="AM2426" i="5"/>
  <c r="AE2426" i="5"/>
  <c r="U2426" i="5"/>
  <c r="AM2425" i="5"/>
  <c r="AE2425" i="5"/>
  <c r="U2425" i="5"/>
  <c r="AM2424" i="5"/>
  <c r="AE2424" i="5"/>
  <c r="U2424" i="5"/>
  <c r="AM2423" i="5"/>
  <c r="AE2423" i="5"/>
  <c r="U2423" i="5"/>
  <c r="AM2422" i="5"/>
  <c r="AE2422" i="5"/>
  <c r="U2422" i="5"/>
  <c r="AM2421" i="5"/>
  <c r="AE2421" i="5"/>
  <c r="U2421" i="5"/>
  <c r="AM2420" i="5"/>
  <c r="AE2420" i="5"/>
  <c r="U2420" i="5"/>
  <c r="AM2419" i="5"/>
  <c r="AE2419" i="5"/>
  <c r="U2419" i="5"/>
  <c r="AM2418" i="5"/>
  <c r="AE2418" i="5"/>
  <c r="U2418" i="5"/>
  <c r="AM2417" i="5"/>
  <c r="AE2417" i="5"/>
  <c r="U2417" i="5"/>
  <c r="AM2416" i="5"/>
  <c r="AE2416" i="5"/>
  <c r="U2416" i="5"/>
  <c r="AM2415" i="5"/>
  <c r="AE2415" i="5"/>
  <c r="U2415" i="5"/>
  <c r="AM2414" i="5"/>
  <c r="AE2414" i="5"/>
  <c r="U2414" i="5"/>
  <c r="AM2413" i="5"/>
  <c r="AE2413" i="5"/>
  <c r="U2413" i="5"/>
  <c r="AM2412" i="5"/>
  <c r="AE2412" i="5"/>
  <c r="U2412" i="5"/>
  <c r="AM2411" i="5"/>
  <c r="AE2411" i="5"/>
  <c r="U2411" i="5"/>
  <c r="AM2410" i="5"/>
  <c r="AE2410" i="5"/>
  <c r="U2410" i="5"/>
  <c r="AM2409" i="5"/>
  <c r="AE2409" i="5"/>
  <c r="U2409" i="5"/>
  <c r="AM2408" i="5"/>
  <c r="AE2408" i="5"/>
  <c r="U2408" i="5"/>
  <c r="AM2407" i="5"/>
  <c r="AE2407" i="5"/>
  <c r="U2407" i="5"/>
  <c r="AM2406" i="5"/>
  <c r="AE2406" i="5"/>
  <c r="U2406" i="5"/>
  <c r="AM2405" i="5"/>
  <c r="AE2405" i="5"/>
  <c r="U2405" i="5"/>
  <c r="AM2404" i="5"/>
  <c r="AE2404" i="5"/>
  <c r="U2404" i="5"/>
  <c r="AM2403" i="5"/>
  <c r="AE2403" i="5"/>
  <c r="U2403" i="5"/>
  <c r="AM2402" i="5"/>
  <c r="AE2402" i="5"/>
  <c r="U2402" i="5"/>
  <c r="AM2401" i="5"/>
  <c r="AE2401" i="5"/>
  <c r="U2401" i="5"/>
  <c r="AM2400" i="5"/>
  <c r="AE2400" i="5"/>
  <c r="U2400" i="5"/>
  <c r="AM2399" i="5"/>
  <c r="AE2399" i="5"/>
  <c r="U2399" i="5"/>
  <c r="AM2398" i="5"/>
  <c r="AE2398" i="5"/>
  <c r="U2398" i="5"/>
  <c r="AM2397" i="5"/>
  <c r="AE2397" i="5"/>
  <c r="U2397" i="5"/>
  <c r="AM2396" i="5"/>
  <c r="AE2396" i="5"/>
  <c r="U2396" i="5"/>
  <c r="AM2395" i="5"/>
  <c r="AE2395" i="5"/>
  <c r="U2395" i="5"/>
  <c r="AM2394" i="5"/>
  <c r="AE2394" i="5"/>
  <c r="U2394" i="5"/>
  <c r="AM2393" i="5"/>
  <c r="AE2393" i="5"/>
  <c r="U2393" i="5"/>
  <c r="AM2392" i="5"/>
  <c r="AE2392" i="5"/>
  <c r="U2392" i="5"/>
  <c r="AM2391" i="5"/>
  <c r="AE2391" i="5"/>
  <c r="U2391" i="5"/>
  <c r="AM2390" i="5"/>
  <c r="AE2390" i="5"/>
  <c r="U2390" i="5"/>
  <c r="AM2389" i="5"/>
  <c r="AE2389" i="5"/>
  <c r="U2389" i="5"/>
  <c r="AM2388" i="5"/>
  <c r="AE2388" i="5"/>
  <c r="U2388" i="5"/>
  <c r="AM2387" i="5"/>
  <c r="AE2387" i="5"/>
  <c r="U2387" i="5"/>
  <c r="AM2386" i="5"/>
  <c r="AE2386" i="5"/>
  <c r="U2386" i="5"/>
  <c r="AM2385" i="5"/>
  <c r="AE2385" i="5"/>
  <c r="U2385" i="5"/>
  <c r="AM2384" i="5"/>
  <c r="AE2384" i="5"/>
  <c r="U2384" i="5"/>
  <c r="AM2383" i="5"/>
  <c r="AE2383" i="5"/>
  <c r="U2383" i="5"/>
  <c r="AM2382" i="5"/>
  <c r="AE2382" i="5"/>
  <c r="U2382" i="5"/>
  <c r="AM2381" i="5"/>
  <c r="AE2381" i="5"/>
  <c r="U2381" i="5"/>
  <c r="AM2380" i="5"/>
  <c r="AE2380" i="5"/>
  <c r="U2380" i="5"/>
  <c r="AM2379" i="5"/>
  <c r="AE2379" i="5"/>
  <c r="U2379" i="5"/>
  <c r="AM2378" i="5"/>
  <c r="AE2378" i="5"/>
  <c r="U2378" i="5"/>
  <c r="AM2377" i="5"/>
  <c r="AE2377" i="5"/>
  <c r="U2377" i="5"/>
  <c r="AM2376" i="5"/>
  <c r="AE2376" i="5"/>
  <c r="U2376" i="5"/>
  <c r="AM2375" i="5"/>
  <c r="AE2375" i="5"/>
  <c r="U2375" i="5"/>
  <c r="AM2374" i="5"/>
  <c r="AE2374" i="5"/>
  <c r="U2374" i="5"/>
  <c r="AM2373" i="5"/>
  <c r="AE2373" i="5"/>
  <c r="U2373" i="5"/>
  <c r="AM2372" i="5"/>
  <c r="AE2372" i="5"/>
  <c r="U2372" i="5"/>
  <c r="AM2371" i="5"/>
  <c r="AE2371" i="5"/>
  <c r="U2371" i="5"/>
  <c r="AM2370" i="5"/>
  <c r="AE2370" i="5"/>
  <c r="U2370" i="5"/>
  <c r="AM2369" i="5"/>
  <c r="AE2369" i="5"/>
  <c r="U2369" i="5"/>
  <c r="AM2368" i="5"/>
  <c r="AE2368" i="5"/>
  <c r="U2368" i="5"/>
  <c r="AM2367" i="5"/>
  <c r="AE2367" i="5"/>
  <c r="U2367" i="5"/>
  <c r="AM2366" i="5"/>
  <c r="AE2366" i="5"/>
  <c r="U2366" i="5"/>
  <c r="AM2365" i="5"/>
  <c r="AE2365" i="5"/>
  <c r="U2365" i="5"/>
  <c r="AM2364" i="5"/>
  <c r="AE2364" i="5"/>
  <c r="U2364" i="5"/>
  <c r="AM2363" i="5"/>
  <c r="AE2363" i="5"/>
  <c r="U2363" i="5"/>
  <c r="AM2362" i="5"/>
  <c r="AE2362" i="5"/>
  <c r="U2362" i="5"/>
  <c r="AM2361" i="5"/>
  <c r="AE2361" i="5"/>
  <c r="U2361" i="5"/>
  <c r="AM2360" i="5"/>
  <c r="AE2360" i="5"/>
  <c r="U2360" i="5"/>
  <c r="AM2359" i="5"/>
  <c r="AE2359" i="5"/>
  <c r="U2359" i="5"/>
  <c r="AM2358" i="5"/>
  <c r="AE2358" i="5"/>
  <c r="U2358" i="5"/>
  <c r="AM2357" i="5"/>
  <c r="AE2357" i="5"/>
  <c r="U2357" i="5"/>
  <c r="AM2356" i="5"/>
  <c r="AE2356" i="5"/>
  <c r="U2356" i="5"/>
  <c r="AM2355" i="5"/>
  <c r="AE2355" i="5"/>
  <c r="U2355" i="5"/>
  <c r="AM2354" i="5"/>
  <c r="AE2354" i="5"/>
  <c r="U2354" i="5"/>
  <c r="AM2353" i="5"/>
  <c r="AE2353" i="5"/>
  <c r="U2353" i="5"/>
  <c r="AM2352" i="5"/>
  <c r="AE2352" i="5"/>
  <c r="U2352" i="5"/>
  <c r="AM2351" i="5"/>
  <c r="AE2351" i="5"/>
  <c r="U2351" i="5"/>
  <c r="AM2350" i="5"/>
  <c r="AE2350" i="5"/>
  <c r="U2350" i="5"/>
  <c r="AM2349" i="5"/>
  <c r="AE2349" i="5"/>
  <c r="U2349" i="5"/>
  <c r="AM2348" i="5"/>
  <c r="AE2348" i="5"/>
  <c r="U2348" i="5"/>
  <c r="AM2347" i="5"/>
  <c r="AE2347" i="5"/>
  <c r="U2347" i="5"/>
  <c r="AM2346" i="5"/>
  <c r="AE2346" i="5"/>
  <c r="U2346" i="5"/>
  <c r="AM2345" i="5"/>
  <c r="AE2345" i="5"/>
  <c r="U2345" i="5"/>
  <c r="AM2344" i="5"/>
  <c r="AE2344" i="5"/>
  <c r="U2344" i="5"/>
  <c r="AM2343" i="5"/>
  <c r="AE2343" i="5"/>
  <c r="U2343" i="5"/>
  <c r="AM2342" i="5"/>
  <c r="AE2342" i="5"/>
  <c r="U2342" i="5"/>
  <c r="AM2341" i="5"/>
  <c r="AE2341" i="5"/>
  <c r="U2341" i="5"/>
  <c r="AM2340" i="5"/>
  <c r="AE2340" i="5"/>
  <c r="U2340" i="5"/>
  <c r="AM2339" i="5"/>
  <c r="AE2339" i="5"/>
  <c r="U2339" i="5"/>
  <c r="AM2338" i="5"/>
  <c r="AE2338" i="5"/>
  <c r="U2338" i="5"/>
  <c r="AM2337" i="5"/>
  <c r="AE2337" i="5"/>
  <c r="U2337" i="5"/>
  <c r="AM2336" i="5"/>
  <c r="AE2336" i="5"/>
  <c r="U2336" i="5"/>
  <c r="AM2335" i="5"/>
  <c r="AE2335" i="5"/>
  <c r="U2335" i="5"/>
  <c r="AM2334" i="5"/>
  <c r="AE2334" i="5"/>
  <c r="U2334" i="5"/>
  <c r="AM2333" i="5"/>
  <c r="AE2333" i="5"/>
  <c r="U2333" i="5"/>
  <c r="AM2332" i="5"/>
  <c r="AE2332" i="5"/>
  <c r="U2332" i="5"/>
  <c r="AM2331" i="5"/>
  <c r="AE2331" i="5"/>
  <c r="U2331" i="5"/>
  <c r="AM2330" i="5"/>
  <c r="AE2330" i="5"/>
  <c r="U2330" i="5"/>
  <c r="AM2329" i="5"/>
  <c r="AE2329" i="5"/>
  <c r="U2329" i="5"/>
  <c r="AM2328" i="5"/>
  <c r="AE2328" i="5"/>
  <c r="U2328" i="5"/>
  <c r="AM2327" i="5"/>
  <c r="AE2327" i="5"/>
  <c r="U2327" i="5"/>
  <c r="AM2326" i="5"/>
  <c r="AE2326" i="5"/>
  <c r="U2326" i="5"/>
  <c r="AM2325" i="5"/>
  <c r="AE2325" i="5"/>
  <c r="U2325" i="5"/>
  <c r="AM2324" i="5"/>
  <c r="AE2324" i="5"/>
  <c r="U2324" i="5"/>
  <c r="AM2323" i="5"/>
  <c r="AE2323" i="5"/>
  <c r="U2323" i="5"/>
  <c r="AM2322" i="5"/>
  <c r="AE2322" i="5"/>
  <c r="U2322" i="5"/>
  <c r="AM2321" i="5"/>
  <c r="AE2321" i="5"/>
  <c r="U2321" i="5"/>
  <c r="AM2320" i="5"/>
  <c r="AE2320" i="5"/>
  <c r="U2320" i="5"/>
  <c r="AM2319" i="5"/>
  <c r="AE2319" i="5"/>
  <c r="U2319" i="5"/>
  <c r="AM2318" i="5"/>
  <c r="AE2318" i="5"/>
  <c r="U2318" i="5"/>
  <c r="AM2317" i="5"/>
  <c r="AE2317" i="5"/>
  <c r="U2317" i="5"/>
  <c r="AM2316" i="5"/>
  <c r="AE2316" i="5"/>
  <c r="U2316" i="5"/>
  <c r="AM2315" i="5"/>
  <c r="AE2315" i="5"/>
  <c r="U2315" i="5"/>
  <c r="AM2314" i="5"/>
  <c r="AE2314" i="5"/>
  <c r="U2314" i="5"/>
  <c r="AM2313" i="5"/>
  <c r="AE2313" i="5"/>
  <c r="U2313" i="5"/>
  <c r="AM2312" i="5"/>
  <c r="AE2312" i="5"/>
  <c r="U2312" i="5"/>
  <c r="AM2311" i="5"/>
  <c r="AE2311" i="5"/>
  <c r="U2311" i="5"/>
  <c r="AM2310" i="5"/>
  <c r="AE2310" i="5"/>
  <c r="U2310" i="5"/>
  <c r="AM2309" i="5"/>
  <c r="AE2309" i="5"/>
  <c r="U2309" i="5"/>
  <c r="AM2308" i="5"/>
  <c r="AE2308" i="5"/>
  <c r="U2308" i="5"/>
  <c r="AM2307" i="5"/>
  <c r="AE2307" i="5"/>
  <c r="U2307" i="5"/>
  <c r="AM2306" i="5"/>
  <c r="AE2306" i="5"/>
  <c r="U2306" i="5"/>
  <c r="AM2305" i="5"/>
  <c r="AE2305" i="5"/>
  <c r="U2305" i="5"/>
  <c r="AM2304" i="5"/>
  <c r="AE2304" i="5"/>
  <c r="U2304" i="5"/>
  <c r="AM2303" i="5"/>
  <c r="AE2303" i="5"/>
  <c r="U2303" i="5"/>
  <c r="AM2302" i="5"/>
  <c r="AE2302" i="5"/>
  <c r="U2302" i="5"/>
  <c r="AM2301" i="5"/>
  <c r="AE2301" i="5"/>
  <c r="U2301" i="5"/>
  <c r="AM2300" i="5"/>
  <c r="AE2300" i="5"/>
  <c r="U2300" i="5"/>
  <c r="AM2299" i="5"/>
  <c r="AE2299" i="5"/>
  <c r="U2299" i="5"/>
  <c r="AM2298" i="5"/>
  <c r="AE2298" i="5"/>
  <c r="U2298" i="5"/>
  <c r="AM2297" i="5"/>
  <c r="AE2297" i="5"/>
  <c r="U2297" i="5"/>
  <c r="AM2296" i="5"/>
  <c r="AE2296" i="5"/>
  <c r="U2296" i="5"/>
  <c r="AM2295" i="5"/>
  <c r="AE2295" i="5"/>
  <c r="U2295" i="5"/>
  <c r="AM2294" i="5"/>
  <c r="AE2294" i="5"/>
  <c r="U2294" i="5"/>
  <c r="AM2293" i="5"/>
  <c r="AE2293" i="5"/>
  <c r="U2293" i="5"/>
  <c r="AM2292" i="5"/>
  <c r="AE2292" i="5"/>
  <c r="U2292" i="5"/>
  <c r="AM2291" i="5"/>
  <c r="AE2291" i="5"/>
  <c r="U2291" i="5"/>
  <c r="AM2290" i="5"/>
  <c r="AE2290" i="5"/>
  <c r="U2290" i="5"/>
  <c r="AM2289" i="5"/>
  <c r="AE2289" i="5"/>
  <c r="U2289" i="5"/>
  <c r="AM2288" i="5"/>
  <c r="AE2288" i="5"/>
  <c r="U2288" i="5"/>
  <c r="AM2287" i="5"/>
  <c r="AE2287" i="5"/>
  <c r="U2287" i="5"/>
  <c r="AM2286" i="5"/>
  <c r="AE2286" i="5"/>
  <c r="U2286" i="5"/>
  <c r="AM2285" i="5"/>
  <c r="AE2285" i="5"/>
  <c r="U2285" i="5"/>
  <c r="AM2284" i="5"/>
  <c r="AE2284" i="5"/>
  <c r="U2284" i="5"/>
  <c r="AM2283" i="5"/>
  <c r="AE2283" i="5"/>
  <c r="U2283" i="5"/>
  <c r="AM2282" i="5"/>
  <c r="AE2282" i="5"/>
  <c r="U2282" i="5"/>
  <c r="AM2281" i="5"/>
  <c r="AE2281" i="5"/>
  <c r="U2281" i="5"/>
  <c r="AM2280" i="5"/>
  <c r="AE2280" i="5"/>
  <c r="U2280" i="5"/>
  <c r="AM2279" i="5"/>
  <c r="AE2279" i="5"/>
  <c r="U2279" i="5"/>
  <c r="AM2278" i="5"/>
  <c r="AE2278" i="5"/>
  <c r="U2278" i="5"/>
  <c r="AM2277" i="5"/>
  <c r="AE2277" i="5"/>
  <c r="U2277" i="5"/>
  <c r="AM2276" i="5"/>
  <c r="AE2276" i="5"/>
  <c r="U2276" i="5"/>
  <c r="AM2275" i="5"/>
  <c r="AE2275" i="5"/>
  <c r="U2275" i="5"/>
  <c r="AM2274" i="5"/>
  <c r="AE2274" i="5"/>
  <c r="U2274" i="5"/>
  <c r="AM2273" i="5"/>
  <c r="AE2273" i="5"/>
  <c r="U2273" i="5"/>
  <c r="AM2272" i="5"/>
  <c r="AE2272" i="5"/>
  <c r="U2272" i="5"/>
  <c r="AM2271" i="5"/>
  <c r="AE2271" i="5"/>
  <c r="U2271" i="5"/>
  <c r="AM2270" i="5"/>
  <c r="AE2270" i="5"/>
  <c r="U2270" i="5"/>
  <c r="AM2269" i="5"/>
  <c r="AE2269" i="5"/>
  <c r="U2269" i="5"/>
  <c r="AM2268" i="5"/>
  <c r="AE2268" i="5"/>
  <c r="U2268" i="5"/>
  <c r="AM2267" i="5"/>
  <c r="AE2267" i="5"/>
  <c r="U2267" i="5"/>
  <c r="AM2266" i="5"/>
  <c r="AE2266" i="5"/>
  <c r="U2266" i="5"/>
  <c r="AM2265" i="5"/>
  <c r="AE2265" i="5"/>
  <c r="U2265" i="5"/>
  <c r="AM2264" i="5"/>
  <c r="AM2263" i="5"/>
  <c r="AM2262" i="5"/>
  <c r="AM2261" i="5"/>
  <c r="AE2261" i="5"/>
  <c r="AM2260" i="5"/>
  <c r="AE2260" i="5"/>
  <c r="AM2259" i="5"/>
  <c r="AE2259" i="5"/>
  <c r="AM2258" i="5"/>
  <c r="AE2258" i="5"/>
  <c r="AM2257" i="5"/>
  <c r="AE2257" i="5"/>
  <c r="AM2256" i="5"/>
  <c r="AE2256" i="5"/>
  <c r="AM2255" i="5"/>
  <c r="AE2255" i="5"/>
  <c r="AM2254" i="5"/>
  <c r="AE2254" i="5"/>
  <c r="AM2253" i="5"/>
  <c r="AE2253" i="5"/>
  <c r="AM2252" i="5"/>
  <c r="AE2252" i="5"/>
  <c r="AM2251" i="5"/>
  <c r="AE2251" i="5"/>
  <c r="AM2250" i="5"/>
  <c r="AE2250" i="5"/>
  <c r="AM2249" i="5"/>
  <c r="AE2249" i="5"/>
  <c r="AM2248" i="5"/>
  <c r="AE2248" i="5"/>
  <c r="AM2247" i="5"/>
  <c r="AE2247" i="5"/>
  <c r="AM2246" i="5"/>
  <c r="AE2246" i="5"/>
  <c r="AM2245" i="5"/>
  <c r="AE2245" i="5"/>
  <c r="AM2244" i="5"/>
  <c r="AE2244" i="5"/>
  <c r="AM2243" i="5"/>
  <c r="AE2243" i="5"/>
  <c r="AM2242" i="5"/>
  <c r="AE2242" i="5"/>
  <c r="AM2241" i="5"/>
  <c r="AE2241" i="5"/>
  <c r="AM2240" i="5"/>
  <c r="AE2240" i="5"/>
  <c r="AM2239" i="5"/>
  <c r="AE2239" i="5"/>
  <c r="AM2238" i="5"/>
  <c r="AE2238" i="5"/>
  <c r="AM2237" i="5"/>
  <c r="AE2237" i="5"/>
  <c r="AM2236" i="5"/>
  <c r="AE2236" i="5"/>
  <c r="AM2235" i="5"/>
  <c r="AE2235" i="5"/>
  <c r="AM2234" i="5"/>
  <c r="AE2234" i="5"/>
  <c r="AM2233" i="5"/>
  <c r="AE2233" i="5"/>
  <c r="AM2232" i="5"/>
  <c r="AE2232" i="5"/>
  <c r="AM2231" i="5"/>
  <c r="AE2231" i="5"/>
  <c r="AM2230" i="5"/>
  <c r="AE2230" i="5"/>
  <c r="AM2229" i="5"/>
  <c r="AE2229" i="5"/>
  <c r="AM2228" i="5"/>
  <c r="AE2228" i="5"/>
  <c r="AM2227" i="5"/>
  <c r="AE2227" i="5"/>
  <c r="AM2226" i="5"/>
  <c r="AE2226" i="5"/>
  <c r="AM2225" i="5"/>
  <c r="AE2225" i="5"/>
  <c r="AM2224" i="5"/>
  <c r="AE2224" i="5"/>
  <c r="AM2223" i="5"/>
  <c r="AE2223" i="5"/>
  <c r="AM2222" i="5"/>
  <c r="AE2222" i="5"/>
  <c r="AM2221" i="5"/>
  <c r="AE2221" i="5"/>
  <c r="AM2220" i="5"/>
  <c r="AE2220" i="5"/>
  <c r="AM2219" i="5"/>
  <c r="AE2219" i="5"/>
  <c r="AM2218" i="5"/>
  <c r="AE2218" i="5"/>
  <c r="AM2217" i="5"/>
  <c r="AE2217" i="5"/>
  <c r="AM2216" i="5"/>
  <c r="AE2216" i="5"/>
  <c r="AM2215" i="5"/>
  <c r="AE2215" i="5"/>
  <c r="AM2214" i="5"/>
  <c r="AE2214" i="5"/>
  <c r="AM2213" i="5"/>
  <c r="AE2213" i="5"/>
  <c r="AM2212" i="5"/>
  <c r="AE2212" i="5"/>
  <c r="AM2211" i="5"/>
  <c r="AE2211" i="5"/>
  <c r="AM2210" i="5"/>
  <c r="AE2210" i="5"/>
  <c r="AM2209" i="5"/>
  <c r="AE2209" i="5"/>
  <c r="AM2208" i="5"/>
  <c r="AE2208" i="5"/>
  <c r="AM2207" i="5"/>
  <c r="AE2207" i="5"/>
  <c r="AM2206" i="5"/>
  <c r="AE2206" i="5"/>
  <c r="AM2205" i="5"/>
  <c r="AE2205" i="5"/>
  <c r="AM2204" i="5"/>
  <c r="AE2204" i="5"/>
  <c r="AM2203" i="5"/>
  <c r="AE2203" i="5"/>
  <c r="AM2202" i="5"/>
  <c r="AE2202" i="5"/>
  <c r="AM2201" i="5"/>
  <c r="AE2201" i="5"/>
  <c r="AM2200" i="5"/>
  <c r="AE2200" i="5"/>
  <c r="AM2199" i="5"/>
  <c r="AE2199" i="5"/>
  <c r="AM2198" i="5"/>
  <c r="AE2198" i="5"/>
  <c r="AM2197" i="5"/>
  <c r="AE2197" i="5"/>
  <c r="AM2196" i="5"/>
  <c r="AE2196" i="5"/>
  <c r="AM2195" i="5"/>
  <c r="AE2195" i="5"/>
  <c r="AM2194" i="5"/>
  <c r="AE2194" i="5"/>
  <c r="AM2193" i="5"/>
  <c r="AE2193" i="5"/>
  <c r="AM2192" i="5"/>
  <c r="AE2192" i="5"/>
  <c r="AM2191" i="5"/>
  <c r="AE2191" i="5"/>
  <c r="AM2190" i="5"/>
  <c r="AE2190" i="5"/>
  <c r="AM2189" i="5"/>
  <c r="AE2189" i="5"/>
  <c r="AM2188" i="5"/>
  <c r="AE2188" i="5"/>
  <c r="AM2187" i="5"/>
  <c r="AE2187" i="5"/>
  <c r="AM2186" i="5"/>
  <c r="AE2186" i="5"/>
  <c r="AM2185" i="5"/>
  <c r="AE2185" i="5"/>
  <c r="AM2184" i="5"/>
  <c r="AE2184" i="5"/>
  <c r="AM2183" i="5"/>
  <c r="AE2183" i="5"/>
  <c r="AM2182" i="5"/>
  <c r="AE2182" i="5"/>
  <c r="AM2181" i="5"/>
  <c r="AE2181" i="5"/>
  <c r="AM2180" i="5"/>
  <c r="AE2180" i="5"/>
  <c r="AM2179" i="5"/>
  <c r="AE2179" i="5"/>
  <c r="AM2178" i="5"/>
  <c r="AE2178" i="5"/>
  <c r="AM2177" i="5"/>
  <c r="AE2177" i="5"/>
  <c r="AM2176" i="5"/>
  <c r="AE2176" i="5"/>
  <c r="AM2175" i="5"/>
  <c r="AE2175" i="5"/>
  <c r="AM2174" i="5"/>
  <c r="AE2174" i="5"/>
  <c r="AM2173" i="5"/>
  <c r="AE2173" i="5"/>
  <c r="AM2172" i="5"/>
  <c r="AE2172" i="5"/>
  <c r="AM2171" i="5"/>
  <c r="AE2171" i="5"/>
  <c r="AM2170" i="5"/>
  <c r="AE2170" i="5"/>
  <c r="AM2169" i="5"/>
  <c r="AE2169" i="5"/>
  <c r="AM2168" i="5"/>
  <c r="AE2168" i="5"/>
  <c r="AM2167" i="5"/>
  <c r="AE2167" i="5"/>
  <c r="AM2166" i="5"/>
  <c r="AE2166" i="5"/>
  <c r="AM2165" i="5"/>
  <c r="AE2165" i="5"/>
  <c r="AM2164" i="5"/>
  <c r="AE2164" i="5"/>
  <c r="R2164" i="5"/>
  <c r="AM2163" i="5"/>
  <c r="AE2163" i="5"/>
  <c r="AM2162" i="5"/>
  <c r="AE2162" i="5"/>
  <c r="AM2161" i="5"/>
  <c r="AE2161" i="5"/>
  <c r="AM2160" i="5"/>
  <c r="AE2160" i="5"/>
  <c r="AM2159" i="5"/>
  <c r="AE2159" i="5"/>
  <c r="AM2158" i="5"/>
  <c r="AE2158" i="5"/>
  <c r="AM2157" i="5"/>
  <c r="AE2157" i="5"/>
  <c r="AM2156" i="5"/>
  <c r="AE2156" i="5"/>
  <c r="AM2155" i="5"/>
  <c r="AE2155" i="5"/>
  <c r="AM2154" i="5"/>
  <c r="AE2154" i="5"/>
  <c r="AM2153" i="5"/>
  <c r="AE2153" i="5"/>
  <c r="AM2152" i="5"/>
  <c r="AE2152" i="5"/>
  <c r="AM2151" i="5"/>
  <c r="AE2151" i="5"/>
  <c r="AM2150" i="5"/>
  <c r="AE2150" i="5"/>
  <c r="AM2149" i="5"/>
  <c r="AE2149" i="5"/>
  <c r="AM2148" i="5"/>
  <c r="AE2148" i="5"/>
  <c r="AM2147" i="5"/>
  <c r="AE2147" i="5"/>
  <c r="AM2146" i="5"/>
  <c r="AE2146" i="5"/>
  <c r="AM2145" i="5"/>
  <c r="AE2145" i="5"/>
  <c r="AM2144" i="5"/>
  <c r="AE2144" i="5"/>
  <c r="AM2143" i="5"/>
  <c r="AE2143" i="5"/>
  <c r="AM2142" i="5"/>
  <c r="AE2142" i="5"/>
  <c r="AM2141" i="5"/>
  <c r="AE2141" i="5"/>
  <c r="AM2140" i="5"/>
  <c r="AE2140" i="5"/>
  <c r="AM2139" i="5"/>
  <c r="AE2139" i="5"/>
  <c r="AM2138" i="5"/>
  <c r="AE2138" i="5"/>
  <c r="AM2137" i="5"/>
  <c r="AE2137" i="5"/>
  <c r="AM2136" i="5"/>
  <c r="AE2136" i="5"/>
  <c r="AM2135" i="5"/>
  <c r="AE2135" i="5"/>
  <c r="AM2134" i="5"/>
  <c r="AE2134" i="5"/>
  <c r="AM2133" i="5"/>
  <c r="AE2133" i="5"/>
  <c r="AM2132" i="5"/>
  <c r="AE2132" i="5"/>
  <c r="AM2131" i="5"/>
  <c r="AE2131" i="5"/>
  <c r="AM2130" i="5"/>
  <c r="AE2130" i="5"/>
  <c r="AM2129" i="5"/>
  <c r="AE2129" i="5"/>
  <c r="AM2128" i="5"/>
  <c r="AE2128" i="5"/>
  <c r="AM2127" i="5"/>
  <c r="AE2127" i="5"/>
  <c r="AM2126" i="5"/>
  <c r="AE2126" i="5"/>
  <c r="AM2125" i="5"/>
  <c r="AE2125" i="5"/>
  <c r="AM2124" i="5"/>
  <c r="AE2124" i="5"/>
  <c r="AM2123" i="5"/>
  <c r="AE2123" i="5"/>
  <c r="AM2122" i="5"/>
  <c r="AE2122" i="5"/>
  <c r="AM2121" i="5"/>
  <c r="AE2121" i="5"/>
  <c r="AM2120" i="5"/>
  <c r="AE2120" i="5"/>
  <c r="AM2119" i="5"/>
  <c r="AE2119" i="5"/>
  <c r="AM2118" i="5"/>
  <c r="AE2118" i="5"/>
  <c r="AM2117" i="5"/>
  <c r="AM2116" i="5"/>
  <c r="AM2115" i="5"/>
  <c r="AM2114" i="5"/>
  <c r="AE2114" i="5"/>
  <c r="AM2113" i="5"/>
  <c r="AE2113" i="5"/>
  <c r="AM2112" i="5"/>
  <c r="AE2112" i="5"/>
  <c r="AM2111" i="5"/>
  <c r="AE2111" i="5"/>
  <c r="AM2110" i="5"/>
  <c r="AE2110" i="5"/>
  <c r="AM2109" i="5"/>
  <c r="AE2109" i="5"/>
  <c r="AM2108" i="5"/>
  <c r="AE2108" i="5"/>
  <c r="AM2107" i="5"/>
  <c r="AE2107" i="5"/>
  <c r="AM2106" i="5"/>
  <c r="AE2106" i="5"/>
  <c r="AM2105" i="5"/>
  <c r="AE2105" i="5"/>
  <c r="AM2104" i="5"/>
  <c r="AE2104" i="5"/>
  <c r="AM2103" i="5"/>
  <c r="AE2103" i="5"/>
  <c r="AM2102" i="5"/>
  <c r="AE2102" i="5"/>
  <c r="AM2101" i="5"/>
  <c r="AE2101" i="5"/>
  <c r="AM2100" i="5"/>
  <c r="AE2100" i="5"/>
  <c r="AM2099" i="5"/>
  <c r="AE2099" i="5"/>
  <c r="AM2098" i="5"/>
  <c r="AE2098" i="5"/>
  <c r="AM2097" i="5"/>
  <c r="AE2097" i="5"/>
  <c r="AM2096" i="5"/>
  <c r="AE2096" i="5"/>
  <c r="AM2095" i="5"/>
  <c r="AE2095" i="5"/>
  <c r="AM2094" i="5"/>
  <c r="AE2094" i="5"/>
  <c r="AM2093" i="5"/>
  <c r="AE2093" i="5"/>
  <c r="AM2092" i="5"/>
  <c r="AE2092" i="5"/>
  <c r="AM2091" i="5"/>
  <c r="AE2091" i="5"/>
  <c r="AM2090" i="5"/>
  <c r="AE2090" i="5"/>
  <c r="AM2089" i="5"/>
  <c r="AE2089" i="5"/>
  <c r="AM2088" i="5"/>
  <c r="AE2088" i="5"/>
  <c r="AM2087" i="5"/>
  <c r="AE2087" i="5"/>
  <c r="AM2086" i="5"/>
  <c r="AE2086" i="5"/>
  <c r="AM2085" i="5"/>
  <c r="AE2085" i="5"/>
  <c r="AM2084" i="5"/>
  <c r="AE2084" i="5"/>
  <c r="AM2083" i="5"/>
  <c r="AE2083" i="5"/>
  <c r="AM2082" i="5"/>
  <c r="AE2082" i="5"/>
  <c r="AM2081" i="5"/>
  <c r="AE2081" i="5"/>
  <c r="AM2080" i="5"/>
  <c r="AE2080" i="5"/>
  <c r="AM2079" i="5"/>
  <c r="AE2079" i="5"/>
  <c r="AM2078" i="5"/>
  <c r="AE2078" i="5"/>
  <c r="AM2077" i="5"/>
  <c r="AE2077" i="5"/>
  <c r="AM2076" i="5"/>
  <c r="AE2076" i="5"/>
  <c r="AM2075" i="5"/>
  <c r="AE2075" i="5"/>
  <c r="AM2074" i="5"/>
  <c r="AE2074" i="5"/>
  <c r="AM2073" i="5"/>
  <c r="AE2073" i="5"/>
  <c r="AM2072" i="5"/>
  <c r="AE2072" i="5"/>
  <c r="AM2071" i="5"/>
  <c r="AE2071" i="5"/>
  <c r="AM2070" i="5"/>
  <c r="AE2070" i="5"/>
  <c r="AM2069" i="5"/>
  <c r="AE2069" i="5"/>
  <c r="AM2068" i="5"/>
  <c r="AE2068" i="5"/>
  <c r="AM2067" i="5"/>
  <c r="AE2067" i="5"/>
  <c r="AM2066" i="5"/>
  <c r="AE2066" i="5"/>
  <c r="AM2065" i="5"/>
  <c r="AE2065" i="5"/>
  <c r="AM2064" i="5"/>
  <c r="AE2064" i="5"/>
  <c r="AM2063" i="5"/>
  <c r="AE2063" i="5"/>
  <c r="AM2062" i="5"/>
  <c r="AE2062" i="5"/>
  <c r="AM2061" i="5"/>
  <c r="AE2061" i="5"/>
  <c r="AM2060" i="5"/>
  <c r="AE2060" i="5"/>
  <c r="AM2059" i="5"/>
  <c r="AE2059" i="5"/>
  <c r="AM2058" i="5"/>
  <c r="AE2058" i="5"/>
  <c r="AM2057" i="5"/>
  <c r="AE2057" i="5"/>
  <c r="AM2056" i="5"/>
  <c r="AE2056" i="5"/>
  <c r="AM2055" i="5"/>
  <c r="AE2055" i="5"/>
  <c r="AM2054" i="5"/>
  <c r="AE2054" i="5"/>
  <c r="AM2053" i="5"/>
  <c r="AE2053" i="5"/>
  <c r="AM2052" i="5"/>
  <c r="AE2052" i="5"/>
  <c r="AM2051" i="5"/>
  <c r="AE2051" i="5"/>
  <c r="AM2050" i="5"/>
  <c r="AE2050" i="5"/>
  <c r="AM2049" i="5"/>
  <c r="AE2049" i="5"/>
  <c r="AM2048" i="5"/>
  <c r="AE2048" i="5"/>
  <c r="AM2047" i="5"/>
  <c r="AE2047" i="5"/>
  <c r="AM2046" i="5"/>
  <c r="AE2046" i="5"/>
  <c r="AM2045" i="5"/>
  <c r="AE2045" i="5"/>
  <c r="AM2044" i="5"/>
  <c r="AE2044" i="5"/>
  <c r="AM2043" i="5"/>
  <c r="AE2043" i="5"/>
  <c r="AM2042" i="5"/>
  <c r="AE2042" i="5"/>
  <c r="AM2041" i="5"/>
  <c r="AE2041" i="5"/>
  <c r="AM2040" i="5"/>
  <c r="AE2040" i="5"/>
  <c r="AM2039" i="5"/>
  <c r="AE2039" i="5"/>
  <c r="AM2038" i="5"/>
  <c r="AE2038" i="5"/>
  <c r="AM2037" i="5"/>
  <c r="AE2037" i="5"/>
  <c r="AM2036" i="5"/>
  <c r="AE2036" i="5"/>
  <c r="AM2035" i="5"/>
  <c r="AE2035" i="5"/>
  <c r="AM2034" i="5"/>
  <c r="AE2034" i="5"/>
  <c r="AM2033" i="5"/>
  <c r="AE2033" i="5"/>
  <c r="AM2032" i="5"/>
  <c r="AE2032" i="5"/>
  <c r="AM2031" i="5"/>
  <c r="AE2031" i="5"/>
  <c r="AM2030" i="5"/>
  <c r="AE2030" i="5"/>
  <c r="AM2029" i="5"/>
  <c r="AE2029" i="5"/>
  <c r="AM2028" i="5"/>
  <c r="AE2028" i="5"/>
  <c r="AM2027" i="5"/>
  <c r="AE2027" i="5"/>
  <c r="AM2026" i="5"/>
  <c r="AE2026" i="5"/>
  <c r="AM2025" i="5"/>
  <c r="AE2025" i="5"/>
  <c r="AM2024" i="5"/>
  <c r="AE2024" i="5"/>
  <c r="AM2023" i="5"/>
  <c r="AE2023" i="5"/>
  <c r="AM2022" i="5"/>
  <c r="AE2022" i="5"/>
  <c r="AM2021" i="5"/>
  <c r="AE2021" i="5"/>
  <c r="AM2020" i="5"/>
  <c r="AE2020" i="5"/>
  <c r="AM2019" i="5"/>
  <c r="AE2019" i="5"/>
  <c r="AM2018" i="5"/>
  <c r="AE2018" i="5"/>
  <c r="AM2017" i="5"/>
  <c r="AE2017" i="5"/>
  <c r="AM2016" i="5"/>
  <c r="AE2016" i="5"/>
  <c r="AM2015" i="5"/>
  <c r="AE2015" i="5"/>
  <c r="AM2014" i="5"/>
  <c r="AE2014" i="5"/>
  <c r="AM2013" i="5"/>
  <c r="AE2013" i="5"/>
  <c r="AM2012" i="5"/>
  <c r="AE2012" i="5"/>
  <c r="AM2011" i="5"/>
  <c r="AE2011" i="5"/>
  <c r="AM2010" i="5"/>
  <c r="AE2010" i="5"/>
  <c r="AM2009" i="5"/>
  <c r="AE2009" i="5"/>
  <c r="AM2008" i="5"/>
  <c r="AE2008" i="5"/>
  <c r="AM2007" i="5"/>
  <c r="AE2007" i="5"/>
  <c r="AM2006" i="5"/>
  <c r="AE2006" i="5"/>
  <c r="AM2005" i="5"/>
  <c r="AE2005" i="5"/>
  <c r="AM2004" i="5"/>
  <c r="AE2004" i="5"/>
  <c r="AM2003" i="5"/>
  <c r="AE2003" i="5"/>
  <c r="AM2002" i="5"/>
  <c r="AE2002" i="5"/>
  <c r="AM2001" i="5"/>
  <c r="AE2001" i="5"/>
  <c r="AM2000" i="5"/>
  <c r="AE2000" i="5"/>
  <c r="AM1999" i="5"/>
  <c r="AE1999" i="5"/>
  <c r="AM1998" i="5"/>
  <c r="AE1998" i="5"/>
  <c r="AM1997" i="5"/>
  <c r="AE1997" i="5"/>
  <c r="AM1996" i="5"/>
  <c r="AE1996" i="5"/>
  <c r="AM1995" i="5"/>
  <c r="AE1995" i="5"/>
  <c r="AM1994" i="5"/>
  <c r="AE1994" i="5"/>
  <c r="AM1993" i="5"/>
  <c r="AE1993" i="5"/>
  <c r="AM1992" i="5"/>
  <c r="AE1992" i="5"/>
  <c r="AM1991" i="5"/>
  <c r="AE1991" i="5"/>
  <c r="AM1990" i="5"/>
  <c r="AE1990" i="5"/>
  <c r="AM1989" i="5"/>
  <c r="AE1989" i="5"/>
  <c r="AM1988" i="5"/>
  <c r="AE1988" i="5"/>
  <c r="AM1987" i="5"/>
  <c r="AE1987" i="5"/>
  <c r="AM1986" i="5"/>
  <c r="AE1986" i="5"/>
  <c r="AM1985" i="5"/>
  <c r="AE1985" i="5"/>
  <c r="AM1984" i="5"/>
  <c r="AE1984" i="5"/>
  <c r="AM1983" i="5"/>
  <c r="AE1983" i="5"/>
  <c r="AM1982" i="5"/>
  <c r="AE1982" i="5"/>
  <c r="AM1981" i="5"/>
  <c r="AE1981" i="5"/>
  <c r="AM1980" i="5"/>
  <c r="AE1980" i="5"/>
  <c r="AM1979" i="5"/>
  <c r="AE1979" i="5"/>
  <c r="AM1978" i="5"/>
  <c r="AE1978" i="5"/>
  <c r="AM1977" i="5"/>
  <c r="AE1977" i="5"/>
  <c r="AM1976" i="5"/>
  <c r="AE1976" i="5"/>
  <c r="AM1975" i="5"/>
  <c r="AE1975" i="5"/>
  <c r="AM1974" i="5"/>
  <c r="AE1974" i="5"/>
  <c r="AM1973" i="5"/>
  <c r="AE1973" i="5"/>
  <c r="AM1972" i="5"/>
  <c r="AE1972" i="5"/>
  <c r="AM1971" i="5"/>
  <c r="AE1971" i="5"/>
  <c r="AM1970" i="5"/>
  <c r="AE1970" i="5"/>
  <c r="AM1969" i="5"/>
  <c r="AE1969" i="5"/>
  <c r="AM1968" i="5"/>
  <c r="AE1968" i="5"/>
  <c r="AM1967" i="5"/>
  <c r="AE1967" i="5"/>
  <c r="AM1966" i="5"/>
  <c r="AE1966" i="5"/>
  <c r="AM1965" i="5"/>
  <c r="AE1965" i="5"/>
  <c r="AM1964" i="5"/>
  <c r="AE1964" i="5"/>
  <c r="AM1963" i="5"/>
  <c r="AE1963" i="5"/>
  <c r="AM1962" i="5"/>
  <c r="AE1962" i="5"/>
  <c r="AM1961" i="5"/>
  <c r="AE1961" i="5"/>
  <c r="AM1960" i="5"/>
  <c r="AE1960" i="5"/>
  <c r="AM1959" i="5"/>
  <c r="AE1959" i="5"/>
  <c r="AM1958" i="5"/>
  <c r="AE1958" i="5"/>
  <c r="AM1957" i="5"/>
  <c r="AE1957" i="5"/>
  <c r="AM1956" i="5"/>
  <c r="AE1956" i="5"/>
  <c r="AM1955" i="5"/>
  <c r="AE1955" i="5"/>
  <c r="AM1954" i="5"/>
  <c r="AE1954" i="5"/>
  <c r="AM1953" i="5"/>
  <c r="AE1953" i="5"/>
  <c r="AM1952" i="5"/>
  <c r="AE1952" i="5"/>
  <c r="AM1951" i="5"/>
  <c r="AE1951" i="5"/>
  <c r="AM1950" i="5"/>
  <c r="AE1950" i="5"/>
  <c r="AM1949" i="5"/>
  <c r="AE1949" i="5"/>
  <c r="AM1948" i="5"/>
  <c r="AE1948" i="5"/>
  <c r="AM1947" i="5"/>
  <c r="AE1947" i="5"/>
  <c r="AM1946" i="5"/>
  <c r="AE1946" i="5"/>
  <c r="AM1945" i="5"/>
  <c r="AE1945" i="5"/>
  <c r="AM1944" i="5"/>
  <c r="AE1944" i="5"/>
  <c r="AM1943" i="5"/>
  <c r="AE1943" i="5"/>
  <c r="AM1942" i="5"/>
  <c r="AE1942" i="5"/>
  <c r="AM1941" i="5"/>
  <c r="AE1941" i="5"/>
  <c r="AM1940" i="5"/>
  <c r="AE1940" i="5"/>
  <c r="AM1939" i="5"/>
  <c r="AE1939" i="5"/>
  <c r="AM1938" i="5"/>
  <c r="AE1938" i="5"/>
  <c r="AM1937" i="5"/>
  <c r="AE1937" i="5"/>
  <c r="AM1936" i="5"/>
  <c r="AE1936" i="5"/>
  <c r="AM1935" i="5"/>
  <c r="AE1935" i="5"/>
  <c r="AM1934" i="5"/>
  <c r="AE1934" i="5"/>
  <c r="AM1933" i="5"/>
  <c r="AE1933" i="5"/>
  <c r="AM1932" i="5"/>
  <c r="AE1932" i="5"/>
  <c r="AM1931" i="5"/>
  <c r="AE1931" i="5"/>
  <c r="AM1930" i="5"/>
  <c r="AE1930" i="5"/>
  <c r="AM1929" i="5"/>
  <c r="AE1929" i="5"/>
  <c r="AM1928" i="5"/>
  <c r="AE1928" i="5"/>
  <c r="AM1927" i="5"/>
  <c r="AE1927" i="5"/>
  <c r="AM1926" i="5"/>
  <c r="AE1926" i="5"/>
  <c r="AM1925" i="5"/>
  <c r="AE1925" i="5"/>
  <c r="AM1924" i="5"/>
  <c r="AE1924" i="5"/>
  <c r="AM1923" i="5"/>
  <c r="AM1922" i="5"/>
  <c r="AM1921" i="5"/>
  <c r="AM1829" i="5"/>
  <c r="AM1809" i="5"/>
  <c r="AE1809" i="5"/>
  <c r="AM1808" i="5"/>
  <c r="AE1808" i="5"/>
  <c r="AK1740" i="5"/>
  <c r="AM1709" i="5"/>
  <c r="AE1709" i="5"/>
  <c r="AM1701" i="5"/>
  <c r="AE1701" i="5"/>
  <c r="AM1700" i="5"/>
  <c r="AE1700" i="5"/>
  <c r="AM1699" i="5"/>
  <c r="AE1699" i="5"/>
  <c r="AM1698" i="5"/>
  <c r="AE1698" i="5"/>
  <c r="AM1697" i="5"/>
  <c r="AE1697" i="5"/>
  <c r="AM1696" i="5"/>
  <c r="AE1696" i="5"/>
  <c r="AM1695" i="5"/>
  <c r="AE1695" i="5"/>
  <c r="AM1694" i="5"/>
  <c r="AE1694" i="5"/>
  <c r="AM1693" i="5"/>
  <c r="AE1693" i="5"/>
  <c r="AM1692" i="5"/>
  <c r="AE1692" i="5"/>
  <c r="AM1691" i="5"/>
  <c r="AE1691" i="5"/>
  <c r="AM1690" i="5"/>
  <c r="AE1690" i="5"/>
  <c r="AM1689" i="5"/>
  <c r="AE1689" i="5"/>
  <c r="AM1688" i="5"/>
  <c r="AE1688" i="5"/>
  <c r="AM1687" i="5"/>
  <c r="AE1687" i="5"/>
  <c r="AM1686" i="5"/>
  <c r="AE1686" i="5"/>
  <c r="AM1685" i="5"/>
  <c r="AE1685" i="5"/>
  <c r="AM1684" i="5"/>
  <c r="AE1684" i="5"/>
  <c r="AM1683" i="5"/>
  <c r="AE1683" i="5"/>
  <c r="AM1682" i="5"/>
  <c r="AE1682" i="5"/>
  <c r="AM1681" i="5"/>
  <c r="AE1681" i="5"/>
  <c r="AM1680" i="5"/>
  <c r="AE1680" i="5"/>
  <c r="AM1679" i="5"/>
  <c r="AE1679" i="5"/>
  <c r="AM1678" i="5"/>
  <c r="AE1678" i="5"/>
  <c r="AM1677" i="5"/>
  <c r="AE1677" i="5"/>
  <c r="AM1676" i="5"/>
  <c r="AE1676" i="5"/>
  <c r="AM1675" i="5"/>
  <c r="AE1675" i="5"/>
  <c r="AM1674" i="5"/>
  <c r="AE1674" i="5"/>
  <c r="AM1673" i="5"/>
  <c r="AE1673" i="5"/>
  <c r="AM1672" i="5"/>
  <c r="AE1672" i="5"/>
  <c r="AM1671" i="5"/>
  <c r="AE1671" i="5"/>
  <c r="AM1670" i="5"/>
  <c r="AE1670" i="5"/>
  <c r="AM1669" i="5"/>
  <c r="AE1669" i="5"/>
  <c r="AM1668" i="5"/>
  <c r="AE1668" i="5"/>
  <c r="AM1667" i="5"/>
  <c r="AE1667" i="5"/>
  <c r="AM1666" i="5"/>
  <c r="AE1666" i="5"/>
  <c r="AM1665" i="5"/>
  <c r="AE1665" i="5"/>
  <c r="AM1664" i="5"/>
  <c r="AE1664" i="5"/>
  <c r="AM1663" i="5"/>
  <c r="AE1663" i="5"/>
  <c r="AM1662" i="5"/>
  <c r="AE1662" i="5"/>
  <c r="AM1661" i="5"/>
  <c r="AE1661" i="5"/>
  <c r="AM1660" i="5"/>
  <c r="AE1660" i="5"/>
  <c r="AM1659" i="5"/>
  <c r="AE1659" i="5"/>
  <c r="AM1658" i="5"/>
  <c r="AE1658" i="5"/>
  <c r="AM1657" i="5"/>
  <c r="AE1657" i="5"/>
  <c r="AM1656" i="5"/>
  <c r="AE1656" i="5"/>
  <c r="AM1655" i="5"/>
  <c r="AE1655" i="5"/>
  <c r="AM1654" i="5"/>
  <c r="AE1654" i="5"/>
  <c r="AM1653" i="5"/>
  <c r="AE1653" i="5"/>
  <c r="AM1652" i="5"/>
  <c r="AE1652" i="5"/>
  <c r="AM1651" i="5"/>
  <c r="AE1651" i="5"/>
  <c r="AM1650" i="5"/>
  <c r="AE1650" i="5"/>
  <c r="AM1649" i="5"/>
  <c r="AE1649" i="5"/>
  <c r="AM1648" i="5"/>
  <c r="AE1648" i="5"/>
  <c r="AM1647" i="5"/>
  <c r="AE1647" i="5"/>
  <c r="AM1646" i="5"/>
  <c r="AE1646" i="5"/>
  <c r="AM1645" i="5"/>
  <c r="AE1645" i="5"/>
  <c r="AM1644" i="5"/>
  <c r="AE1644" i="5"/>
  <c r="AM1643" i="5"/>
  <c r="AE1643" i="5"/>
  <c r="AM1642" i="5"/>
  <c r="AE1642" i="5"/>
  <c r="AM1641" i="5"/>
  <c r="AE1641" i="5"/>
  <c r="AM1640" i="5"/>
  <c r="AE1640" i="5"/>
  <c r="AM1639" i="5"/>
  <c r="AE1639" i="5"/>
  <c r="AM1638" i="5"/>
  <c r="AE1638" i="5"/>
  <c r="AM1637" i="5"/>
  <c r="AE1637" i="5"/>
  <c r="AM1636" i="5"/>
  <c r="AE1636" i="5"/>
  <c r="AM1635" i="5"/>
  <c r="AE1635" i="5"/>
  <c r="AM1634" i="5"/>
  <c r="AE1634" i="5"/>
  <c r="AM1633" i="5"/>
  <c r="AE1633" i="5"/>
  <c r="AM1632" i="5"/>
  <c r="AE1632" i="5"/>
  <c r="AM1631" i="5"/>
  <c r="AE1631" i="5"/>
  <c r="AM1630" i="5"/>
  <c r="AE1630" i="5"/>
  <c r="AM1629" i="5"/>
  <c r="AE1629" i="5"/>
  <c r="AM1628" i="5"/>
  <c r="AE1628" i="5"/>
  <c r="AM1627" i="5"/>
  <c r="AE1627" i="5"/>
  <c r="AM1626" i="5"/>
  <c r="AE1626" i="5"/>
  <c r="AM1625" i="5"/>
  <c r="AE1625" i="5"/>
  <c r="AM1624" i="5"/>
  <c r="AE1624" i="5"/>
  <c r="AM1623" i="5"/>
  <c r="AE1623" i="5"/>
  <c r="AM1622" i="5"/>
  <c r="AE1622" i="5"/>
  <c r="AM1621" i="5"/>
  <c r="AE1621" i="5"/>
  <c r="AM1620" i="5"/>
  <c r="AE1620" i="5"/>
  <c r="AM1619" i="5"/>
  <c r="AE1619" i="5"/>
  <c r="AM1618" i="5"/>
  <c r="AE1618" i="5"/>
  <c r="AM1617" i="5"/>
  <c r="AE1617" i="5"/>
  <c r="AM1616" i="5"/>
  <c r="AE1616" i="5"/>
  <c r="AM1615" i="5"/>
  <c r="AE1615" i="5"/>
  <c r="AM1614" i="5"/>
  <c r="AE1614" i="5"/>
  <c r="AM1613" i="5"/>
  <c r="AE1613" i="5"/>
  <c r="AM1612" i="5"/>
  <c r="AE1612" i="5"/>
  <c r="AM1611" i="5"/>
  <c r="AE1611" i="5"/>
  <c r="AM1610" i="5"/>
  <c r="AE1610" i="5"/>
  <c r="AM1609" i="5"/>
  <c r="AE1609" i="5"/>
  <c r="AM1608" i="5"/>
  <c r="AE1608" i="5"/>
  <c r="AM1607" i="5"/>
  <c r="AE1607" i="5"/>
  <c r="AM1606" i="5"/>
  <c r="AE1606" i="5"/>
  <c r="AM1605" i="5"/>
  <c r="AE1605" i="5"/>
  <c r="AM1604" i="5"/>
  <c r="AE1604" i="5"/>
  <c r="AM1603" i="5"/>
  <c r="AE1603" i="5"/>
  <c r="AM1602" i="5"/>
  <c r="AE1602" i="5"/>
  <c r="AM1601" i="5"/>
  <c r="AE1601" i="5"/>
  <c r="AM1600" i="5"/>
  <c r="AE1600" i="5"/>
  <c r="AM1599" i="5"/>
  <c r="AE1599" i="5"/>
  <c r="AM1598" i="5"/>
  <c r="AE1598" i="5"/>
  <c r="AM1597" i="5"/>
  <c r="AE1597" i="5"/>
  <c r="AM1596" i="5"/>
  <c r="AE1596" i="5"/>
  <c r="AM1595" i="5"/>
  <c r="AE1595" i="5"/>
  <c r="AM1594" i="5"/>
  <c r="AE1594" i="5"/>
  <c r="AM1593" i="5"/>
  <c r="AE1593" i="5"/>
  <c r="AM1592" i="5"/>
  <c r="AE1592" i="5"/>
  <c r="AM1591" i="5"/>
  <c r="AE1591" i="5"/>
  <c r="AM1590" i="5"/>
  <c r="AE1590" i="5"/>
  <c r="AM1589" i="5"/>
  <c r="AE1589" i="5"/>
  <c r="AM1588" i="5"/>
  <c r="AE1588" i="5"/>
  <c r="AM1587" i="5"/>
  <c r="AE1587" i="5"/>
  <c r="AM1586" i="5"/>
  <c r="AE1586" i="5"/>
  <c r="AM1585" i="5"/>
  <c r="AE1585" i="5"/>
  <c r="AM1584" i="5"/>
  <c r="AE1584" i="5"/>
  <c r="AM1583" i="5"/>
  <c r="AE1583" i="5"/>
  <c r="AM1582" i="5"/>
  <c r="AE1582" i="5"/>
  <c r="AM1581" i="5"/>
  <c r="AE1581" i="5"/>
  <c r="AM1580" i="5"/>
  <c r="AE1580" i="5"/>
  <c r="AM1579" i="5"/>
  <c r="AE1579" i="5"/>
  <c r="AM1578" i="5"/>
  <c r="AE1578" i="5"/>
  <c r="AM1577" i="5"/>
  <c r="AE1577" i="5"/>
  <c r="AM1576" i="5"/>
  <c r="AE1576" i="5"/>
  <c r="AM1575" i="5"/>
  <c r="AE1575" i="5"/>
  <c r="AM1574" i="5"/>
  <c r="AE1574" i="5"/>
  <c r="AM1573" i="5"/>
  <c r="AE1573" i="5"/>
  <c r="AM1572" i="5"/>
  <c r="AE1572" i="5"/>
  <c r="AM1571" i="5"/>
  <c r="AE1571" i="5"/>
  <c r="AM1570" i="5"/>
  <c r="AE1570" i="5"/>
  <c r="AM1569" i="5"/>
  <c r="AE1569" i="5"/>
  <c r="AM1568" i="5"/>
  <c r="AE1568" i="5"/>
  <c r="AM1567" i="5"/>
  <c r="AE1567" i="5"/>
  <c r="AM1566" i="5"/>
  <c r="AE1566" i="5"/>
  <c r="AM1565" i="5"/>
  <c r="AE1565" i="5"/>
  <c r="AM1564" i="5"/>
  <c r="AE1564" i="5"/>
  <c r="AM1563" i="5"/>
  <c r="AE1563" i="5"/>
  <c r="AM1562" i="5"/>
  <c r="AE1562" i="5"/>
  <c r="AM1561" i="5"/>
  <c r="AE1561" i="5"/>
  <c r="AM1560" i="5"/>
  <c r="AE1560" i="5"/>
  <c r="AM1559" i="5"/>
  <c r="AE1559" i="5"/>
  <c r="AM1558" i="5"/>
  <c r="AE1558" i="5"/>
  <c r="AM1557" i="5"/>
  <c r="AE1557" i="5"/>
  <c r="AM1556" i="5"/>
  <c r="AE1556" i="5"/>
  <c r="AM1555" i="5"/>
  <c r="AE1555" i="5"/>
  <c r="AM1554" i="5"/>
  <c r="AE1554" i="5"/>
  <c r="AM1553" i="5"/>
  <c r="AE1553" i="5"/>
  <c r="AM1552" i="5"/>
  <c r="AE1552" i="5"/>
  <c r="AM1551" i="5"/>
  <c r="AE1551" i="5"/>
  <c r="AM1550" i="5"/>
  <c r="AE1550" i="5"/>
  <c r="AM1549" i="5"/>
  <c r="AE1549" i="5"/>
  <c r="AM1548" i="5"/>
  <c r="AE1548" i="5"/>
  <c r="AM1547" i="5"/>
  <c r="AE1547" i="5"/>
  <c r="AM1546" i="5"/>
  <c r="AE1546" i="5"/>
  <c r="AM1545" i="5"/>
  <c r="AE1545" i="5"/>
  <c r="AM1544" i="5"/>
  <c r="AE1544" i="5"/>
  <c r="AM1543" i="5"/>
  <c r="AE1543" i="5"/>
  <c r="AM1542" i="5"/>
  <c r="AE1542" i="5"/>
  <c r="AM1541" i="5"/>
  <c r="AE1541" i="5"/>
  <c r="AM1540" i="5"/>
  <c r="AE1540" i="5"/>
  <c r="AM1539" i="5"/>
  <c r="AE1539" i="5"/>
  <c r="AM1538" i="5"/>
  <c r="AE1538" i="5"/>
  <c r="AM1537" i="5"/>
  <c r="AE1537" i="5"/>
  <c r="AM1536" i="5"/>
  <c r="AE1536" i="5"/>
  <c r="AM1535" i="5"/>
  <c r="AE1535" i="5"/>
  <c r="AM1534" i="5"/>
  <c r="AE1534" i="5"/>
  <c r="AM1533" i="5"/>
  <c r="AE1533" i="5"/>
  <c r="AM1532" i="5"/>
  <c r="AE1532" i="5"/>
  <c r="AM1531" i="5"/>
  <c r="AE1531" i="5"/>
  <c r="AM1530" i="5"/>
  <c r="AE1530" i="5"/>
  <c r="AM1529" i="5"/>
  <c r="AE1529" i="5"/>
  <c r="AM1528" i="5"/>
  <c r="AE1528" i="5"/>
  <c r="AM1527" i="5"/>
  <c r="AE1527" i="5"/>
  <c r="AM1526" i="5"/>
  <c r="AE1526" i="5"/>
  <c r="AM1525" i="5"/>
  <c r="AE1525" i="5"/>
  <c r="AM1524" i="5"/>
  <c r="AE1524" i="5"/>
  <c r="AM1523" i="5"/>
  <c r="AE1523" i="5"/>
  <c r="AM1522" i="5"/>
  <c r="AE1522" i="5"/>
  <c r="AM1521" i="5"/>
  <c r="AE1521" i="5"/>
  <c r="AM1520" i="5"/>
  <c r="AE1520" i="5"/>
  <c r="AM1519" i="5"/>
  <c r="AE1519" i="5"/>
  <c r="AM1518" i="5"/>
  <c r="AE1518" i="5"/>
  <c r="AM1517" i="5"/>
  <c r="AE1517" i="5"/>
  <c r="AM1516" i="5"/>
  <c r="AE1516" i="5"/>
  <c r="AM1515" i="5"/>
  <c r="AE1515" i="5"/>
  <c r="AM1514" i="5"/>
  <c r="AE1514" i="5"/>
  <c r="AM1513" i="5"/>
  <c r="AE1513" i="5"/>
  <c r="AM1512" i="5"/>
  <c r="AE1512" i="5"/>
  <c r="AM1511" i="5"/>
  <c r="AE1511" i="5"/>
  <c r="AM1510" i="5"/>
  <c r="AE1510" i="5"/>
  <c r="AM1509" i="5"/>
  <c r="AE1509" i="5"/>
  <c r="AM1508" i="5"/>
  <c r="AE1508" i="5"/>
  <c r="AM1507" i="5"/>
  <c r="AE1507" i="5"/>
  <c r="AM1506" i="5"/>
  <c r="AE1506" i="5"/>
  <c r="AM1505" i="5"/>
  <c r="AE1505" i="5"/>
  <c r="AM1504" i="5"/>
  <c r="AE1504" i="5"/>
  <c r="AM1503" i="5"/>
  <c r="AE1503" i="5"/>
  <c r="AM1502" i="5"/>
  <c r="AE1502" i="5"/>
  <c r="AM1501" i="5"/>
  <c r="AE1501" i="5"/>
  <c r="AM1500" i="5"/>
  <c r="AE1500" i="5"/>
  <c r="AM1499" i="5"/>
  <c r="AE1499" i="5"/>
  <c r="AM1498" i="5"/>
  <c r="AE1498" i="5"/>
  <c r="AM1497" i="5"/>
  <c r="AE1497" i="5"/>
  <c r="AM1496" i="5"/>
  <c r="AE1496" i="5"/>
  <c r="AM1495" i="5"/>
  <c r="AE1495" i="5"/>
  <c r="AM1494" i="5"/>
  <c r="AE1494" i="5"/>
  <c r="AM1493" i="5"/>
  <c r="AE1493" i="5"/>
  <c r="AM1492" i="5"/>
  <c r="AE1492" i="5"/>
  <c r="AM1491" i="5"/>
  <c r="AE1491" i="5"/>
  <c r="AM1490" i="5"/>
  <c r="AE1490" i="5"/>
  <c r="AM1489" i="5"/>
  <c r="AE1489" i="5"/>
  <c r="AM1488" i="5"/>
  <c r="AE1488" i="5"/>
  <c r="AM1487" i="5"/>
  <c r="AE1487" i="5"/>
  <c r="AM1486" i="5"/>
  <c r="AE1486" i="5"/>
  <c r="AM1485" i="5"/>
  <c r="AE1485" i="5"/>
  <c r="AM1484" i="5"/>
  <c r="AE1484" i="5"/>
  <c r="AM1483" i="5"/>
  <c r="AE1483" i="5"/>
  <c r="AM1482" i="5"/>
  <c r="AE1482" i="5"/>
  <c r="AM1481" i="5"/>
  <c r="AE1481" i="5"/>
  <c r="AM1480" i="5"/>
  <c r="AE1480" i="5"/>
  <c r="AM1479" i="5"/>
  <c r="AE1479" i="5"/>
  <c r="AM1478" i="5"/>
  <c r="AE1478" i="5"/>
  <c r="AM1477" i="5"/>
  <c r="AE1477" i="5"/>
  <c r="AM1476" i="5"/>
  <c r="AE1476" i="5"/>
  <c r="AM1475" i="5"/>
  <c r="AE1475" i="5"/>
  <c r="AM1474" i="5"/>
  <c r="AE1474" i="5"/>
  <c r="AM1473" i="5"/>
  <c r="AE1473" i="5"/>
  <c r="AM1472" i="5"/>
  <c r="AE1472" i="5"/>
  <c r="AM1471" i="5"/>
  <c r="AE1471" i="5"/>
  <c r="AM1470" i="5"/>
  <c r="AE1470" i="5"/>
  <c r="AM1469" i="5"/>
  <c r="AE1469" i="5"/>
  <c r="AM1468" i="5"/>
  <c r="AE1468" i="5"/>
  <c r="AM1467" i="5"/>
  <c r="AE1467" i="5"/>
  <c r="AM1466" i="5"/>
  <c r="AE1466" i="5"/>
  <c r="AM1465" i="5"/>
  <c r="AE1465" i="5"/>
  <c r="AM1464" i="5"/>
  <c r="AE1464" i="5"/>
  <c r="AM1463" i="5"/>
  <c r="AE1463" i="5"/>
  <c r="AM1462" i="5"/>
  <c r="AE1462" i="5"/>
  <c r="AM1461" i="5"/>
  <c r="AE1461" i="5"/>
  <c r="AM1460" i="5"/>
  <c r="AE1460" i="5"/>
  <c r="AM1459" i="5"/>
  <c r="AE1459" i="5"/>
  <c r="AM1458" i="5"/>
  <c r="AE1458" i="5"/>
  <c r="AM1457" i="5"/>
  <c r="AE1457" i="5"/>
  <c r="AM1456" i="5"/>
  <c r="AE1456" i="5"/>
  <c r="AM1455" i="5"/>
  <c r="AE1455" i="5"/>
  <c r="AM1454" i="5"/>
  <c r="AE1454" i="5"/>
  <c r="AM1453" i="5"/>
  <c r="AE1453" i="5"/>
  <c r="AM1452" i="5"/>
  <c r="AE1452" i="5"/>
  <c r="AM1451" i="5"/>
  <c r="AE1451" i="5"/>
  <c r="AM1450" i="5"/>
  <c r="AE1450" i="5"/>
  <c r="AM1449" i="5"/>
  <c r="AE1449" i="5"/>
  <c r="AM1448" i="5"/>
  <c r="AE1448" i="5"/>
  <c r="AM1447" i="5"/>
  <c r="AE1447" i="5"/>
  <c r="AM1446" i="5"/>
  <c r="AE1446" i="5"/>
  <c r="AM1445" i="5"/>
  <c r="AE1445" i="5"/>
  <c r="AM1444" i="5"/>
  <c r="AE1444" i="5"/>
  <c r="AM1443" i="5"/>
  <c r="AE1443" i="5"/>
  <c r="AM1442" i="5"/>
  <c r="AE1442" i="5"/>
  <c r="AM1441" i="5"/>
  <c r="AE1441" i="5"/>
  <c r="AM1440" i="5"/>
  <c r="AE1440" i="5"/>
  <c r="AM1439" i="5"/>
  <c r="AE1439" i="5"/>
  <c r="AM1438" i="5"/>
  <c r="AE1438" i="5"/>
  <c r="AM1437" i="5"/>
  <c r="AE1437" i="5"/>
  <c r="AM1436" i="5"/>
  <c r="AE1436" i="5"/>
  <c r="AM1435" i="5"/>
  <c r="AE1435" i="5"/>
  <c r="AM1434" i="5"/>
  <c r="AE1434" i="5"/>
  <c r="AM1433" i="5"/>
  <c r="AE1433" i="5"/>
  <c r="AM1432" i="5"/>
  <c r="AE1432" i="5"/>
  <c r="AM1431" i="5"/>
  <c r="AE1431" i="5"/>
  <c r="AM1430" i="5"/>
  <c r="AE1430" i="5"/>
  <c r="AM1429" i="5"/>
  <c r="AE1429" i="5"/>
  <c r="AM1428" i="5"/>
  <c r="AE1428" i="5"/>
  <c r="AM1427" i="5"/>
  <c r="AE1427" i="5"/>
  <c r="AM1426" i="5"/>
  <c r="AE1426" i="5"/>
  <c r="AM1425" i="5"/>
  <c r="AE1425" i="5"/>
  <c r="AM1424" i="5"/>
  <c r="AE1424" i="5"/>
  <c r="AM1423" i="5"/>
  <c r="AE1423" i="5"/>
  <c r="AM1422" i="5"/>
  <c r="AE1422" i="5"/>
  <c r="AM1421" i="5"/>
  <c r="AE1421" i="5"/>
  <c r="AM1420" i="5"/>
  <c r="AE1420" i="5"/>
  <c r="AM1419" i="5"/>
  <c r="AE1419" i="5"/>
  <c r="AM1418" i="5"/>
  <c r="AE1418" i="5"/>
  <c r="AM1417" i="5"/>
  <c r="AE1417" i="5"/>
  <c r="AM1416" i="5"/>
  <c r="AE1416" i="5"/>
  <c r="AM1415" i="5"/>
  <c r="AE1415" i="5"/>
  <c r="AM1414" i="5"/>
  <c r="AE1414" i="5"/>
  <c r="AM1413" i="5"/>
  <c r="AE1413" i="5"/>
  <c r="AM1412" i="5"/>
  <c r="AE1412" i="5"/>
  <c r="AM1408" i="5"/>
  <c r="AE1408" i="5"/>
  <c r="AM1407" i="5"/>
  <c r="AE1407" i="5"/>
  <c r="AM1406" i="5"/>
  <c r="AE1406" i="5"/>
  <c r="AM1405" i="5"/>
  <c r="AE1405" i="5"/>
  <c r="AM1404" i="5"/>
  <c r="AM1403" i="5"/>
  <c r="AM1402" i="5"/>
  <c r="AM1401" i="5"/>
  <c r="AM1400" i="5"/>
  <c r="AE1400" i="5"/>
  <c r="AM1399" i="5"/>
  <c r="AE1399" i="5"/>
  <c r="AM1398" i="5"/>
  <c r="AE1398" i="5"/>
  <c r="AM1397" i="5"/>
  <c r="AE1397" i="5"/>
  <c r="AM1396" i="5"/>
  <c r="AE1396" i="5"/>
  <c r="AM1395" i="5"/>
  <c r="AE1395" i="5"/>
  <c r="AM1394" i="5"/>
  <c r="AE1394" i="5"/>
  <c r="AM1393" i="5"/>
  <c r="AE1393" i="5"/>
  <c r="AM1392" i="5"/>
  <c r="AE1392" i="5"/>
  <c r="AM1391" i="5"/>
  <c r="AE1391" i="5"/>
  <c r="AM1390" i="5"/>
  <c r="AE1390" i="5"/>
  <c r="AM1389" i="5"/>
  <c r="AE1389" i="5"/>
  <c r="AM1388" i="5"/>
  <c r="AE1388" i="5"/>
  <c r="AM1387" i="5"/>
  <c r="AE1387" i="5"/>
  <c r="AM1386" i="5"/>
  <c r="AE1386" i="5"/>
  <c r="AM1385" i="5"/>
  <c r="AE1385" i="5"/>
  <c r="AM1384" i="5"/>
  <c r="AE1384" i="5"/>
  <c r="AM1383" i="5"/>
  <c r="AE1383" i="5"/>
  <c r="AM1382" i="5"/>
  <c r="AE1382" i="5"/>
  <c r="AM1381" i="5"/>
  <c r="AE1381" i="5"/>
  <c r="AM1380" i="5"/>
  <c r="AE1380" i="5"/>
  <c r="AM1379" i="5"/>
  <c r="AE1379" i="5"/>
  <c r="AM1378" i="5"/>
  <c r="AE1378" i="5"/>
  <c r="AM1377" i="5"/>
  <c r="AE1377" i="5"/>
  <c r="AM1376" i="5"/>
  <c r="AE1376" i="5"/>
  <c r="AM1375" i="5"/>
  <c r="AE1375" i="5"/>
  <c r="AM1374" i="5"/>
  <c r="AE1374" i="5"/>
  <c r="AM1373" i="5"/>
  <c r="AE1373" i="5"/>
  <c r="AM1372" i="5"/>
  <c r="AE1372" i="5"/>
  <c r="AM1371" i="5"/>
  <c r="AE1371" i="5"/>
  <c r="AM1370" i="5"/>
  <c r="AE1370" i="5"/>
  <c r="AM1369" i="5"/>
  <c r="AE1369" i="5"/>
  <c r="AM1368" i="5"/>
  <c r="AE1368" i="5"/>
  <c r="AM1367" i="5"/>
  <c r="AE1367" i="5"/>
  <c r="AM1366" i="5"/>
  <c r="AE1366" i="5"/>
  <c r="AM1365" i="5"/>
  <c r="AE1365" i="5"/>
  <c r="AM1364" i="5"/>
  <c r="AE1364" i="5"/>
  <c r="AM1363" i="5"/>
  <c r="AE1363" i="5"/>
  <c r="AM1362" i="5"/>
  <c r="AE1362" i="5"/>
  <c r="AM1361" i="5"/>
  <c r="AE1361" i="5"/>
  <c r="AM1360" i="5"/>
  <c r="AE1360" i="5"/>
  <c r="AM1359" i="5"/>
  <c r="AE1359" i="5"/>
  <c r="AM1358" i="5"/>
  <c r="AE1358" i="5"/>
  <c r="AM1357" i="5"/>
  <c r="AE1357" i="5"/>
  <c r="AM1356" i="5"/>
  <c r="AE1356" i="5"/>
  <c r="AM1355" i="5"/>
  <c r="AE1355" i="5"/>
  <c r="AM1354" i="5"/>
  <c r="AE1354" i="5"/>
  <c r="AM1353" i="5"/>
  <c r="AE1353" i="5"/>
  <c r="AM1352" i="5"/>
  <c r="AE1352" i="5"/>
  <c r="AM1351" i="5"/>
  <c r="AE1351" i="5"/>
  <c r="AM1350" i="5"/>
  <c r="AE1350" i="5"/>
  <c r="AM1349" i="5"/>
  <c r="AE1349" i="5"/>
  <c r="AM1348" i="5"/>
  <c r="AE1348" i="5"/>
  <c r="AM1347" i="5"/>
  <c r="AE1347" i="5"/>
  <c r="AM1346" i="5"/>
  <c r="AE1346" i="5"/>
  <c r="AM1345" i="5"/>
  <c r="AE1345" i="5"/>
  <c r="AM1344" i="5"/>
  <c r="AE1344" i="5"/>
  <c r="AM1343" i="5"/>
  <c r="AE1343" i="5"/>
  <c r="AM1342" i="5"/>
  <c r="AE1342" i="5"/>
  <c r="AM1341" i="5"/>
  <c r="AE1341" i="5"/>
  <c r="AM1340" i="5"/>
  <c r="AE1340" i="5"/>
  <c r="AM1339" i="5"/>
  <c r="AE1339" i="5"/>
  <c r="AM1338" i="5"/>
  <c r="AE1338" i="5"/>
  <c r="AM1337" i="5"/>
  <c r="AE1337" i="5"/>
  <c r="AM1336" i="5"/>
  <c r="AE1336" i="5"/>
  <c r="AM1335" i="5"/>
  <c r="AE1335" i="5"/>
  <c r="AM1334" i="5"/>
  <c r="AE1334" i="5"/>
  <c r="AM1333" i="5"/>
  <c r="AE1333" i="5"/>
  <c r="AM1332" i="5"/>
  <c r="AE1332" i="5"/>
  <c r="AM1331" i="5"/>
  <c r="AE1331" i="5"/>
  <c r="AM1330" i="5"/>
  <c r="AE1330" i="5"/>
  <c r="AM1329" i="5"/>
  <c r="AE1329" i="5"/>
  <c r="AM1328" i="5"/>
  <c r="AE1328" i="5"/>
  <c r="AM1327" i="5"/>
  <c r="AE1327" i="5"/>
  <c r="AM1326" i="5"/>
  <c r="AE1326" i="5"/>
  <c r="AM1325" i="5"/>
  <c r="AE1325" i="5"/>
  <c r="AM1324" i="5"/>
  <c r="AE1324" i="5"/>
  <c r="AM1323" i="5"/>
  <c r="AE1323" i="5"/>
  <c r="AM1322" i="5"/>
  <c r="AE1322" i="5"/>
  <c r="AM1321" i="5"/>
  <c r="AE1321" i="5"/>
  <c r="AM1320" i="5"/>
  <c r="AE1320" i="5"/>
  <c r="AM1319" i="5"/>
  <c r="AE1319" i="5"/>
  <c r="AM1318" i="5"/>
  <c r="AE1318" i="5"/>
  <c r="AM1317" i="5"/>
  <c r="AE1317" i="5"/>
  <c r="AM1316" i="5"/>
  <c r="AE1316" i="5"/>
  <c r="AM1315" i="5"/>
  <c r="AE1315" i="5"/>
  <c r="AM1314" i="5"/>
  <c r="AE1314" i="5"/>
  <c r="AM1313" i="5"/>
  <c r="AE1313" i="5"/>
  <c r="AM1312" i="5"/>
  <c r="AE1312" i="5"/>
  <c r="AM1311" i="5"/>
  <c r="AM1310" i="5"/>
  <c r="AM1309" i="5"/>
  <c r="AM1308" i="5"/>
  <c r="AE1308" i="5"/>
  <c r="AM1307" i="5"/>
  <c r="AE1307" i="5"/>
  <c r="AM1306" i="5"/>
  <c r="AE1306" i="5"/>
  <c r="AM1305" i="5"/>
  <c r="AE1305" i="5"/>
  <c r="AM1304" i="5"/>
  <c r="AE1304" i="5"/>
  <c r="AM1303" i="5"/>
  <c r="AE1303" i="5"/>
  <c r="AM1302" i="5"/>
  <c r="AE1302" i="5"/>
  <c r="AM1301" i="5"/>
  <c r="AE1301" i="5"/>
  <c r="AM1300" i="5"/>
  <c r="AE1300" i="5"/>
  <c r="AM1299" i="5"/>
  <c r="AE1299" i="5"/>
  <c r="AM1298" i="5"/>
  <c r="AE1298" i="5"/>
  <c r="AM1297" i="5"/>
  <c r="AE1297" i="5"/>
  <c r="AM1296" i="5"/>
  <c r="AE1296" i="5"/>
  <c r="AM1295" i="5"/>
  <c r="AE1295" i="5"/>
  <c r="AM1294" i="5"/>
  <c r="AE1294" i="5"/>
  <c r="AM1293" i="5"/>
  <c r="AE1293" i="5"/>
  <c r="AM1292" i="5"/>
  <c r="AE1292" i="5"/>
  <c r="AM1291" i="5"/>
  <c r="AE1291" i="5"/>
  <c r="AM1290" i="5"/>
  <c r="AE1290" i="5"/>
  <c r="AM1289" i="5"/>
  <c r="AE1289" i="5"/>
  <c r="AM1288" i="5"/>
  <c r="AE1288" i="5"/>
  <c r="AM1287" i="5"/>
  <c r="AE1287" i="5"/>
  <c r="AM1286" i="5"/>
  <c r="AE1286" i="5"/>
  <c r="AM1285" i="5"/>
  <c r="AE1285" i="5"/>
  <c r="AM1284" i="5"/>
  <c r="AE1284" i="5"/>
  <c r="AM1283" i="5"/>
  <c r="AE1283" i="5"/>
  <c r="AM1282" i="5"/>
  <c r="AE1282" i="5"/>
  <c r="AM1281" i="5"/>
  <c r="AE1281" i="5"/>
  <c r="AM1280" i="5"/>
  <c r="AE1280" i="5"/>
  <c r="AM1279" i="5"/>
  <c r="AE1279" i="5"/>
  <c r="AM1278" i="5"/>
  <c r="AE1278" i="5"/>
  <c r="AM1277" i="5"/>
  <c r="AE1277" i="5"/>
  <c r="AM1276" i="5"/>
  <c r="AE1276" i="5"/>
  <c r="AM1275" i="5"/>
  <c r="AE1275" i="5"/>
  <c r="AM1274" i="5"/>
  <c r="AE1274" i="5"/>
  <c r="AM1273" i="5"/>
  <c r="AE1273" i="5"/>
  <c r="AM1272" i="5"/>
  <c r="AE1272" i="5"/>
  <c r="AM1271" i="5"/>
  <c r="AE1271" i="5"/>
  <c r="AM1270" i="5"/>
  <c r="AE1270" i="5"/>
  <c r="AM1269" i="5"/>
  <c r="AE1269" i="5"/>
  <c r="AM1268" i="5"/>
  <c r="AE1268" i="5"/>
  <c r="AM1267" i="5"/>
  <c r="AE1267" i="5"/>
  <c r="AM1266" i="5"/>
  <c r="AE1266" i="5"/>
  <c r="AM1265" i="5"/>
  <c r="AE1265" i="5"/>
  <c r="AM1264" i="5"/>
  <c r="AE1264" i="5"/>
  <c r="AM1263" i="5"/>
  <c r="AE1263" i="5"/>
  <c r="AM1262" i="5"/>
  <c r="AE1262" i="5"/>
  <c r="AM1261" i="5"/>
  <c r="AE1261" i="5"/>
  <c r="AM1260" i="5"/>
  <c r="AE1260" i="5"/>
  <c r="AM1259" i="5"/>
  <c r="AE1259" i="5"/>
  <c r="AM1258" i="5"/>
  <c r="AE1258" i="5"/>
  <c r="AM1257" i="5"/>
  <c r="AE1257" i="5"/>
  <c r="AM1256" i="5"/>
  <c r="AE1256" i="5"/>
  <c r="AM1255" i="5"/>
  <c r="AE1255" i="5"/>
  <c r="AM1254" i="5"/>
  <c r="AE1254" i="5"/>
  <c r="AM1253" i="5"/>
  <c r="AE1253" i="5"/>
  <c r="AM1252" i="5"/>
  <c r="AE1252" i="5"/>
  <c r="AM1251" i="5"/>
  <c r="AE1251" i="5"/>
  <c r="AM1250" i="5"/>
  <c r="AE1250" i="5"/>
  <c r="AM1249" i="5"/>
  <c r="AE1249" i="5"/>
  <c r="AM1248" i="5"/>
  <c r="AE1248" i="5"/>
  <c r="AM1247" i="5"/>
  <c r="AE1247" i="5"/>
  <c r="AM1246" i="5"/>
  <c r="AE1246" i="5"/>
  <c r="AM1245" i="5"/>
  <c r="AE1245" i="5"/>
  <c r="AM1244" i="5"/>
  <c r="AE1244" i="5"/>
  <c r="AM1243" i="5"/>
  <c r="AE1243" i="5"/>
  <c r="AM1242" i="5"/>
  <c r="AE1242" i="5"/>
  <c r="AM1241" i="5"/>
  <c r="AE1241" i="5"/>
  <c r="AM1240" i="5"/>
  <c r="AE1240" i="5"/>
  <c r="AM1239" i="5"/>
  <c r="AE1239" i="5"/>
  <c r="AM1238" i="5"/>
  <c r="AE1238" i="5"/>
  <c r="AM1237" i="5"/>
  <c r="AE1237" i="5"/>
  <c r="AM1236" i="5"/>
  <c r="AE1236" i="5"/>
  <c r="AM1235" i="5"/>
  <c r="AE1235" i="5"/>
  <c r="AM1234" i="5"/>
  <c r="AE1234" i="5"/>
  <c r="AM1233" i="5"/>
  <c r="AE1233" i="5"/>
  <c r="AM1232" i="5"/>
  <c r="AE1232" i="5"/>
  <c r="AM1231" i="5"/>
  <c r="AE1231" i="5"/>
  <c r="AM1230" i="5"/>
  <c r="AE1230" i="5"/>
  <c r="AM1229" i="5"/>
  <c r="AE1229" i="5"/>
  <c r="AM1228" i="5"/>
  <c r="AE1228" i="5"/>
  <c r="AM1227" i="5"/>
  <c r="AE1227" i="5"/>
  <c r="AM1226" i="5"/>
  <c r="AE1226" i="5"/>
  <c r="AM1225" i="5"/>
  <c r="AE1225" i="5"/>
  <c r="AM1224" i="5"/>
  <c r="AE1224" i="5"/>
  <c r="AM1223" i="5"/>
  <c r="AE1223" i="5"/>
  <c r="AM1222" i="5"/>
  <c r="AE1222" i="5"/>
  <c r="AM1221" i="5"/>
  <c r="AE1221" i="5"/>
  <c r="AM1220" i="5"/>
  <c r="AE1220" i="5"/>
  <c r="AM1219" i="5"/>
  <c r="AE1219" i="5"/>
  <c r="AM1218" i="5"/>
  <c r="AE1218" i="5"/>
  <c r="AM1217" i="5"/>
  <c r="AE1217" i="5"/>
  <c r="AM1216" i="5"/>
  <c r="AE1216" i="5"/>
  <c r="AM1215" i="5"/>
  <c r="AE1215" i="5"/>
  <c r="AM1214" i="5"/>
  <c r="AE1214" i="5"/>
  <c r="AM1213" i="5"/>
  <c r="AE1213" i="5"/>
  <c r="AM1212" i="5"/>
  <c r="AE1212" i="5"/>
  <c r="AM1211" i="5"/>
  <c r="AE1211" i="5"/>
  <c r="AM1210" i="5"/>
  <c r="AE1210" i="5"/>
  <c r="AM1209" i="5"/>
  <c r="AE1209" i="5"/>
  <c r="AM1208" i="5"/>
  <c r="AE1208" i="5"/>
  <c r="AM1207" i="5"/>
  <c r="AE1207" i="5"/>
  <c r="AM1206" i="5"/>
  <c r="AE1206" i="5"/>
  <c r="AM1205" i="5"/>
  <c r="AE1205" i="5"/>
  <c r="AM1204" i="5"/>
  <c r="AE1204" i="5"/>
  <c r="AM1203" i="5"/>
  <c r="AE1203" i="5"/>
  <c r="AM1202" i="5"/>
  <c r="AE1202" i="5"/>
  <c r="AM1201" i="5"/>
  <c r="AE1201" i="5"/>
  <c r="AM1200" i="5"/>
  <c r="AE1200" i="5"/>
  <c r="AM1199" i="5"/>
  <c r="AE1199" i="5"/>
  <c r="AM1198" i="5"/>
  <c r="AE1198" i="5"/>
  <c r="AM1197" i="5"/>
  <c r="AE1197" i="5"/>
  <c r="AM1196" i="5"/>
  <c r="AE1196" i="5"/>
  <c r="AM1195" i="5"/>
  <c r="AE1195" i="5"/>
  <c r="AM1194" i="5"/>
  <c r="AE1194" i="5"/>
  <c r="AM1193" i="5"/>
  <c r="AE1193" i="5"/>
  <c r="AM1192" i="5"/>
  <c r="AE1192" i="5"/>
  <c r="AM1191" i="5"/>
  <c r="AE1191" i="5"/>
  <c r="AM1190" i="5"/>
  <c r="AE1190" i="5"/>
  <c r="AM1189" i="5"/>
  <c r="AE1189" i="5"/>
  <c r="AM1188" i="5"/>
  <c r="AE1188" i="5"/>
  <c r="AM1187" i="5"/>
  <c r="AE1187" i="5"/>
  <c r="AM1186" i="5"/>
  <c r="AE1186" i="5"/>
  <c r="AM1185" i="5"/>
  <c r="AE1185" i="5"/>
  <c r="AM1184" i="5"/>
  <c r="AE1184" i="5"/>
  <c r="AM1183" i="5"/>
  <c r="AE1183" i="5"/>
  <c r="AM1182" i="5"/>
  <c r="AE1182" i="5"/>
  <c r="AM1181" i="5"/>
  <c r="AE1181" i="5"/>
  <c r="AM1180" i="5"/>
  <c r="AE1180" i="5"/>
  <c r="AM1179" i="5"/>
  <c r="AE1179" i="5"/>
  <c r="AM1178" i="5"/>
  <c r="AE1178" i="5"/>
  <c r="AM1177" i="5"/>
  <c r="AE1177" i="5"/>
  <c r="AM1176" i="5"/>
  <c r="AE1176" i="5"/>
  <c r="AM1175" i="5"/>
  <c r="AE1175" i="5"/>
  <c r="AM1174" i="5"/>
  <c r="AE1174" i="5"/>
  <c r="AM1173" i="5"/>
  <c r="AE1173" i="5"/>
  <c r="AM1172" i="5"/>
  <c r="AE1172" i="5"/>
  <c r="AM1171" i="5"/>
  <c r="AE1171" i="5"/>
  <c r="AM1170" i="5"/>
  <c r="AE1170" i="5"/>
  <c r="AM1169" i="5"/>
  <c r="AE1169" i="5"/>
  <c r="AM1168" i="5"/>
  <c r="AE1168" i="5"/>
  <c r="AM1167" i="5"/>
  <c r="AE1167" i="5"/>
  <c r="AM1166" i="5"/>
  <c r="AE1166" i="5"/>
  <c r="AM1165" i="5"/>
  <c r="AE1165" i="5"/>
  <c r="AM1164" i="5"/>
  <c r="AE1164" i="5"/>
  <c r="AM1163" i="5"/>
  <c r="AE1163" i="5"/>
  <c r="AM1162" i="5"/>
  <c r="AE1162" i="5"/>
  <c r="AM1161" i="5"/>
  <c r="AE1161" i="5"/>
  <c r="AM1160" i="5"/>
  <c r="AE1160" i="5"/>
  <c r="AM1159" i="5"/>
  <c r="AE1159" i="5"/>
  <c r="AM1158" i="5"/>
  <c r="AE1158" i="5"/>
  <c r="AM1157" i="5"/>
  <c r="AE1157" i="5"/>
  <c r="AM1156" i="5"/>
  <c r="AE1156" i="5"/>
  <c r="AM1155" i="5"/>
  <c r="AE1155" i="5"/>
  <c r="AM1154" i="5"/>
  <c r="AE1154" i="5"/>
  <c r="AM1153" i="5"/>
  <c r="AE1153" i="5"/>
  <c r="AM1152" i="5"/>
  <c r="AE1152" i="5"/>
  <c r="AM1151" i="5"/>
  <c r="AE1151" i="5"/>
  <c r="AM1150" i="5"/>
  <c r="AE1150" i="5"/>
  <c r="AM1149" i="5"/>
  <c r="AE1149" i="5"/>
  <c r="AM1148" i="5"/>
  <c r="AE1148" i="5"/>
  <c r="AM1147" i="5"/>
  <c r="AE1147" i="5"/>
  <c r="AM1146" i="5"/>
  <c r="AE1146" i="5"/>
  <c r="AM1145" i="5"/>
  <c r="AE1145" i="5"/>
  <c r="AM1144" i="5"/>
  <c r="AE1144" i="5"/>
  <c r="AM1143" i="5"/>
  <c r="AE1143" i="5"/>
  <c r="AM1142" i="5"/>
  <c r="AE1142" i="5"/>
  <c r="AM1141" i="5"/>
  <c r="AE1141" i="5"/>
  <c r="AM1140" i="5"/>
  <c r="AE1140" i="5"/>
  <c r="AM1139" i="5"/>
  <c r="AE1139" i="5"/>
  <c r="AM1138" i="5"/>
  <c r="AE1138" i="5"/>
  <c r="AM1137" i="5"/>
  <c r="AE1137" i="5"/>
  <c r="AM1136" i="5"/>
  <c r="AE1136" i="5"/>
  <c r="AM1135" i="5"/>
  <c r="AE1135" i="5"/>
  <c r="AM1134" i="5"/>
  <c r="AE1134" i="5"/>
  <c r="AM1133" i="5"/>
  <c r="AE1133" i="5"/>
  <c r="AM1132" i="5"/>
  <c r="AE1132" i="5"/>
  <c r="AM1131" i="5"/>
  <c r="AE1131" i="5"/>
  <c r="AM1130" i="5"/>
  <c r="AE1130" i="5"/>
  <c r="AM1129" i="5"/>
  <c r="AE1129" i="5"/>
  <c r="AM1128" i="5"/>
  <c r="AE1128" i="5"/>
  <c r="AM1127" i="5"/>
  <c r="AE1127" i="5"/>
  <c r="AM1126" i="5"/>
  <c r="AE1126" i="5"/>
  <c r="AM1125" i="5"/>
  <c r="AE1125" i="5"/>
  <c r="AM1124" i="5"/>
  <c r="AE1124" i="5"/>
  <c r="AM1123" i="5"/>
  <c r="AE1123" i="5"/>
  <c r="AM1122" i="5"/>
  <c r="AE1122" i="5"/>
  <c r="AM1121" i="5"/>
  <c r="AE1121" i="5"/>
  <c r="AM1120" i="5"/>
  <c r="AE1120" i="5"/>
  <c r="AM1119" i="5"/>
  <c r="AE1119" i="5"/>
  <c r="AM1118" i="5"/>
  <c r="AE1118" i="5"/>
  <c r="AM1117" i="5"/>
  <c r="AE1117" i="5"/>
  <c r="AM1116" i="5"/>
  <c r="AE1116" i="5"/>
  <c r="AM1115" i="5"/>
  <c r="AE1115" i="5"/>
  <c r="AM1114" i="5"/>
  <c r="AE1114" i="5"/>
  <c r="AM1113" i="5"/>
  <c r="AE1113" i="5"/>
  <c r="AM1112" i="5"/>
  <c r="AE1112" i="5"/>
  <c r="AM1111" i="5"/>
  <c r="AE1111" i="5"/>
  <c r="AM1110" i="5"/>
  <c r="AE1110" i="5"/>
  <c r="AM1109" i="5"/>
  <c r="AE1109" i="5"/>
  <c r="AM1108" i="5"/>
  <c r="AE1108" i="5"/>
  <c r="AM1107" i="5"/>
  <c r="AE1107" i="5"/>
  <c r="AM1106" i="5"/>
  <c r="AE1106" i="5"/>
  <c r="AM1105" i="5"/>
  <c r="AE1105" i="5"/>
  <c r="AM1104" i="5"/>
  <c r="AE1104" i="5"/>
  <c r="AM1103" i="5"/>
  <c r="AE1103" i="5"/>
  <c r="AM1102" i="5"/>
  <c r="AE1102" i="5"/>
  <c r="AM1101" i="5"/>
  <c r="AE1101" i="5"/>
  <c r="AM1100" i="5"/>
  <c r="AE1100" i="5"/>
  <c r="AM1099" i="5"/>
  <c r="AE1099" i="5"/>
  <c r="AM1098" i="5"/>
  <c r="AE1098" i="5"/>
  <c r="AM1097" i="5"/>
  <c r="AE1097" i="5"/>
  <c r="AM1096" i="5"/>
  <c r="AE1096" i="5"/>
  <c r="AM1095" i="5"/>
  <c r="AE1095" i="5"/>
  <c r="AM1094" i="5"/>
  <c r="AM1093" i="5"/>
  <c r="AM1092" i="5"/>
  <c r="AM1091" i="5"/>
  <c r="AE1091" i="5"/>
  <c r="AM1090" i="5"/>
  <c r="AE1090" i="5"/>
  <c r="AM1089" i="5"/>
  <c r="AE1089" i="5"/>
  <c r="AM1088" i="5"/>
  <c r="AE1088" i="5"/>
  <c r="AM1087" i="5"/>
  <c r="AE1087" i="5"/>
  <c r="AM1086" i="5"/>
  <c r="AE1086" i="5"/>
  <c r="AM1085" i="5"/>
  <c r="AE1085" i="5"/>
  <c r="AM1084" i="5"/>
  <c r="AE1084" i="5"/>
  <c r="AM1083" i="5"/>
  <c r="AE1083" i="5"/>
  <c r="AM1082" i="5"/>
  <c r="AE1082" i="5"/>
  <c r="AM1081" i="5"/>
  <c r="AE1081" i="5"/>
  <c r="AM1080" i="5"/>
  <c r="AE1080" i="5"/>
  <c r="AM1079" i="5"/>
  <c r="AE1079" i="5"/>
  <c r="AM1078" i="5"/>
  <c r="AE1078" i="5"/>
  <c r="AM1077" i="5"/>
  <c r="AE1077" i="5"/>
  <c r="AM1076" i="5"/>
  <c r="AE1076" i="5"/>
  <c r="AM1075" i="5"/>
  <c r="AE1075" i="5"/>
  <c r="AM1074" i="5"/>
  <c r="AE1074" i="5"/>
  <c r="AM1073" i="5"/>
  <c r="AE1073" i="5"/>
  <c r="AM1072" i="5"/>
  <c r="AE1072" i="5"/>
  <c r="AM1071" i="5"/>
  <c r="AE1071" i="5"/>
  <c r="AM1070" i="5"/>
  <c r="AE1070" i="5"/>
  <c r="AM1069" i="5"/>
  <c r="AE1069" i="5"/>
  <c r="AM1068" i="5"/>
  <c r="AE1068" i="5"/>
  <c r="AM1067" i="5"/>
  <c r="AE1067" i="5"/>
  <c r="AM1066" i="5"/>
  <c r="AE1066" i="5"/>
  <c r="AM1065" i="5"/>
  <c r="AE1065" i="5"/>
  <c r="AM1064" i="5"/>
  <c r="AE1064" i="5"/>
  <c r="AM1063" i="5"/>
  <c r="AE1063" i="5"/>
  <c r="AM1062" i="5"/>
  <c r="AE1062" i="5"/>
  <c r="AM1061" i="5"/>
  <c r="AE1061" i="5"/>
  <c r="AM1060" i="5"/>
  <c r="AE1060" i="5"/>
  <c r="AM1059" i="5"/>
  <c r="AE1059" i="5"/>
  <c r="AM1058" i="5"/>
  <c r="AE1058" i="5"/>
  <c r="AM1057" i="5"/>
  <c r="AE1057" i="5"/>
  <c r="AM1056" i="5"/>
  <c r="AE1056" i="5"/>
  <c r="AM1055" i="5"/>
  <c r="AE1055" i="5"/>
  <c r="AM1054" i="5"/>
  <c r="AE1054" i="5"/>
  <c r="AM1053" i="5"/>
  <c r="AE1053" i="5"/>
  <c r="AM1052" i="5"/>
  <c r="AE1052" i="5"/>
  <c r="AM1051" i="5"/>
  <c r="AE1051" i="5"/>
  <c r="AM1050" i="5"/>
  <c r="AE1050" i="5"/>
  <c r="AM1049" i="5"/>
  <c r="AE1049" i="5"/>
  <c r="AM1048" i="5"/>
  <c r="AE1048" i="5"/>
  <c r="AM1047" i="5"/>
  <c r="AE1047" i="5"/>
  <c r="AM1046" i="5"/>
  <c r="AE1046" i="5"/>
  <c r="AM1045" i="5"/>
  <c r="AE1045" i="5"/>
  <c r="AM1044" i="5"/>
  <c r="AE1044" i="5"/>
  <c r="AM1043" i="5"/>
  <c r="AE1043" i="5"/>
  <c r="AM1042" i="5"/>
  <c r="AE1042" i="5"/>
  <c r="AM1041" i="5"/>
  <c r="AE1041" i="5"/>
  <c r="AM1040" i="5"/>
  <c r="AE1040" i="5"/>
  <c r="AM1039" i="5"/>
  <c r="AE1039" i="5"/>
  <c r="AM1038" i="5"/>
  <c r="AE1038" i="5"/>
  <c r="AM1037" i="5"/>
  <c r="AE1037" i="5"/>
  <c r="AM1036" i="5"/>
  <c r="AE1036" i="5"/>
  <c r="AM1035" i="5"/>
  <c r="AE1035" i="5"/>
  <c r="AM1034" i="5"/>
  <c r="AE1034" i="5"/>
  <c r="AM1033" i="5"/>
  <c r="AE1033" i="5"/>
  <c r="AM1032" i="5"/>
  <c r="AE1032" i="5"/>
  <c r="AM1031" i="5"/>
  <c r="AE1031" i="5"/>
  <c r="AM1030" i="5"/>
  <c r="AE1030" i="5"/>
  <c r="AM1029" i="5"/>
  <c r="AE1029" i="5"/>
  <c r="AM1028" i="5"/>
  <c r="AE1028" i="5"/>
  <c r="AM1027" i="5"/>
  <c r="AE1027" i="5"/>
  <c r="AM1026" i="5"/>
  <c r="AE1026" i="5"/>
  <c r="AM1025" i="5"/>
  <c r="AE1025" i="5"/>
  <c r="AM1024" i="5"/>
  <c r="AE1024" i="5"/>
  <c r="AM1023" i="5"/>
  <c r="AE1023" i="5"/>
  <c r="AM1022" i="5"/>
  <c r="AE1022" i="5"/>
  <c r="AM1021" i="5"/>
  <c r="AE1021" i="5"/>
  <c r="AM1020" i="5"/>
  <c r="AE1020" i="5"/>
  <c r="AM1019" i="5"/>
  <c r="AE1019" i="5"/>
  <c r="AM1018" i="5"/>
  <c r="AE1018" i="5"/>
  <c r="AM1017" i="5"/>
  <c r="AE1017" i="5"/>
  <c r="AM1016" i="5"/>
  <c r="AE1016" i="5"/>
  <c r="AM1015" i="5"/>
  <c r="AE1015" i="5"/>
  <c r="AM1014" i="5"/>
  <c r="AE1014" i="5"/>
  <c r="AM1013" i="5"/>
  <c r="AE1013" i="5"/>
  <c r="AM1012" i="5"/>
  <c r="AE1012" i="5"/>
  <c r="AM1011" i="5"/>
  <c r="AE1011" i="5"/>
  <c r="AM1010" i="5"/>
  <c r="AE1010" i="5"/>
  <c r="AM1009" i="5"/>
  <c r="AE1009" i="5"/>
  <c r="AM1008" i="5"/>
  <c r="AE1008" i="5"/>
  <c r="AM1007" i="5"/>
  <c r="AE1007" i="5"/>
  <c r="AM1006" i="5"/>
  <c r="AE1006" i="5"/>
  <c r="AM1005" i="5"/>
  <c r="AE1005" i="5"/>
  <c r="AM1004" i="5"/>
  <c r="AE1004" i="5"/>
  <c r="AM1003" i="5"/>
  <c r="AE1003" i="5"/>
  <c r="AM1002" i="5"/>
  <c r="AE1002" i="5"/>
  <c r="AM1001" i="5"/>
  <c r="AE1001" i="5"/>
  <c r="AM1000" i="5"/>
  <c r="AE1000" i="5"/>
  <c r="AM999" i="5"/>
  <c r="AE999" i="5"/>
  <c r="AM998" i="5"/>
  <c r="AE998" i="5"/>
  <c r="AM997" i="5"/>
  <c r="AE997" i="5"/>
  <c r="AM996" i="5"/>
  <c r="AE996" i="5"/>
  <c r="AM995" i="5"/>
  <c r="AE995" i="5"/>
  <c r="AM994" i="5"/>
  <c r="AE994" i="5"/>
  <c r="AM993" i="5"/>
  <c r="AE993" i="5"/>
  <c r="AM992" i="5"/>
  <c r="AE992" i="5"/>
  <c r="AM991" i="5"/>
  <c r="AE991" i="5"/>
  <c r="AM990" i="5"/>
  <c r="AE990" i="5"/>
  <c r="AM989" i="5"/>
  <c r="AE989" i="5"/>
  <c r="AM988" i="5"/>
  <c r="AE988" i="5"/>
  <c r="AM987" i="5"/>
  <c r="AE987" i="5"/>
  <c r="AM986" i="5"/>
  <c r="AE986" i="5"/>
  <c r="AM985" i="5"/>
  <c r="AE985" i="5"/>
  <c r="AM984" i="5"/>
  <c r="AE984" i="5"/>
  <c r="AM983" i="5"/>
  <c r="AE983" i="5"/>
  <c r="AM982" i="5"/>
  <c r="AE982" i="5"/>
  <c r="AM981" i="5"/>
  <c r="AE981" i="5"/>
  <c r="AM980" i="5"/>
  <c r="AE980" i="5"/>
  <c r="AM979" i="5"/>
  <c r="AE979" i="5"/>
  <c r="AM978" i="5"/>
  <c r="AE978" i="5"/>
  <c r="AM977" i="5"/>
  <c r="AE977" i="5"/>
  <c r="AM976" i="5"/>
  <c r="AE976" i="5"/>
  <c r="AM975" i="5"/>
  <c r="AE975" i="5"/>
  <c r="AM974" i="5"/>
  <c r="AE974" i="5"/>
  <c r="AM973" i="5"/>
  <c r="AE973" i="5"/>
  <c r="AM972" i="5"/>
  <c r="AE972" i="5"/>
  <c r="AM971" i="5"/>
  <c r="AE971" i="5"/>
  <c r="AM970" i="5"/>
  <c r="AE970" i="5"/>
  <c r="AM969" i="5"/>
  <c r="AE969" i="5"/>
  <c r="AM968" i="5"/>
  <c r="AE968" i="5"/>
  <c r="AM967" i="5"/>
  <c r="AE967" i="5"/>
  <c r="AM966" i="5"/>
  <c r="AE966" i="5"/>
  <c r="AM965" i="5"/>
  <c r="AE965" i="5"/>
  <c r="AM964" i="5"/>
  <c r="AE964" i="5"/>
  <c r="AM963" i="5"/>
  <c r="AE963" i="5"/>
  <c r="AM962" i="5"/>
  <c r="AE962" i="5"/>
  <c r="AM961" i="5"/>
  <c r="AE961" i="5"/>
  <c r="AM960" i="5"/>
  <c r="AE960" i="5"/>
  <c r="AM959" i="5"/>
  <c r="AE959" i="5"/>
  <c r="AM958" i="5"/>
  <c r="AE958" i="5"/>
  <c r="AM957" i="5"/>
  <c r="AE957" i="5"/>
  <c r="AM956" i="5"/>
  <c r="AE956" i="5"/>
  <c r="AM955" i="5"/>
  <c r="AE955" i="5"/>
  <c r="AM954" i="5"/>
  <c r="AE954" i="5"/>
  <c r="AM953" i="5"/>
  <c r="AE953" i="5"/>
  <c r="AM952" i="5"/>
  <c r="AE952" i="5"/>
  <c r="AM951" i="5"/>
  <c r="AE951" i="5"/>
  <c r="AM950" i="5"/>
  <c r="AE950" i="5"/>
  <c r="AM949" i="5"/>
  <c r="AE949" i="5"/>
  <c r="AM948" i="5"/>
  <c r="AE948" i="5"/>
  <c r="AM947" i="5"/>
  <c r="AE947" i="5"/>
  <c r="AM946" i="5"/>
  <c r="AE946" i="5"/>
  <c r="AM945" i="5"/>
  <c r="AE945" i="5"/>
  <c r="AM944" i="5"/>
  <c r="AE944" i="5"/>
  <c r="AM943" i="5"/>
  <c r="AE943" i="5"/>
  <c r="AM942" i="5"/>
  <c r="AE942" i="5"/>
  <c r="AM941" i="5"/>
  <c r="AE941" i="5"/>
  <c r="AM940" i="5"/>
  <c r="AE940" i="5"/>
  <c r="AM939" i="5"/>
  <c r="AE939" i="5"/>
  <c r="AM938" i="5"/>
  <c r="AE938" i="5"/>
  <c r="AM937" i="5"/>
  <c r="AE937" i="5"/>
  <c r="AM936" i="5"/>
  <c r="AE936" i="5"/>
  <c r="AM935" i="5"/>
  <c r="AE935" i="5"/>
  <c r="AM934" i="5"/>
  <c r="AE934" i="5"/>
  <c r="AM933" i="5"/>
  <c r="AE933" i="5"/>
  <c r="AM932" i="5"/>
  <c r="AE932" i="5"/>
  <c r="AM931" i="5"/>
  <c r="AE931" i="5"/>
  <c r="AM930" i="5"/>
  <c r="AE930" i="5"/>
  <c r="AM929" i="5"/>
  <c r="AE929" i="5"/>
  <c r="AM928" i="5"/>
  <c r="AE928" i="5"/>
  <c r="AM927" i="5"/>
  <c r="AE927" i="5"/>
  <c r="AM926" i="5"/>
  <c r="AE926" i="5"/>
  <c r="AM925" i="5"/>
  <c r="AE925" i="5"/>
  <c r="AM924" i="5"/>
  <c r="AE924" i="5"/>
  <c r="AM923" i="5"/>
  <c r="AE923" i="5"/>
  <c r="AM922" i="5"/>
  <c r="AE922" i="5"/>
  <c r="AM921" i="5"/>
  <c r="AE921" i="5"/>
  <c r="AM920" i="5"/>
  <c r="AE920" i="5"/>
  <c r="AM919" i="5"/>
  <c r="AE919" i="5"/>
  <c r="AM918" i="5"/>
  <c r="AE918" i="5"/>
  <c r="AM917" i="5"/>
  <c r="AE917" i="5"/>
  <c r="AM916" i="5"/>
  <c r="AE916" i="5"/>
  <c r="AM915" i="5"/>
  <c r="AE915" i="5"/>
  <c r="AM914" i="5"/>
  <c r="AE914" i="5"/>
  <c r="AM913" i="5"/>
  <c r="AE913" i="5"/>
  <c r="AM912" i="5"/>
  <c r="AE912" i="5"/>
  <c r="AL911" i="5"/>
  <c r="AM911" i="5" s="1"/>
  <c r="AE911" i="5"/>
  <c r="AM910" i="5"/>
  <c r="AE910" i="5"/>
  <c r="AM909" i="5"/>
  <c r="AE909" i="5"/>
  <c r="AM908" i="5"/>
  <c r="AE908" i="5"/>
  <c r="AM907" i="5"/>
  <c r="AE907" i="5"/>
  <c r="AM906" i="5"/>
  <c r="AE906" i="5"/>
  <c r="AM905" i="5"/>
  <c r="AE905" i="5"/>
  <c r="AM904" i="5"/>
  <c r="AE904" i="5"/>
  <c r="AM903" i="5"/>
  <c r="AE903" i="5"/>
  <c r="AM902" i="5"/>
  <c r="AE902" i="5"/>
  <c r="AM901" i="5"/>
  <c r="AE901" i="5"/>
  <c r="AM900" i="5"/>
  <c r="AE900" i="5"/>
  <c r="AM899" i="5"/>
  <c r="AE899" i="5"/>
  <c r="AM898" i="5"/>
  <c r="AE898" i="5"/>
  <c r="AM897" i="5"/>
  <c r="AM896" i="5"/>
  <c r="AM895" i="5"/>
  <c r="AE894" i="5"/>
  <c r="AE893" i="5"/>
  <c r="AE892" i="5"/>
  <c r="AE891" i="5"/>
  <c r="AE890" i="5"/>
  <c r="AE889" i="5"/>
  <c r="AE888" i="5"/>
  <c r="AL887" i="5"/>
  <c r="AK887" i="5"/>
  <c r="AE887" i="5"/>
  <c r="AE886" i="5"/>
  <c r="AE885" i="5"/>
  <c r="AK884" i="5"/>
  <c r="AE884" i="5"/>
  <c r="AE883" i="5"/>
  <c r="AE882" i="5"/>
  <c r="AE881" i="5"/>
  <c r="AE880" i="5"/>
  <c r="AE879" i="5"/>
  <c r="AE878" i="5"/>
  <c r="AE877" i="5"/>
  <c r="AE876" i="5"/>
  <c r="AE875" i="5"/>
  <c r="AE874" i="5"/>
  <c r="AE873" i="5"/>
  <c r="AE872" i="5"/>
  <c r="AE871" i="5"/>
  <c r="AE870" i="5"/>
  <c r="AE869" i="5"/>
  <c r="AE868" i="5"/>
  <c r="AE867" i="5"/>
  <c r="AE866" i="5"/>
  <c r="AE865" i="5"/>
  <c r="AE864" i="5"/>
  <c r="AE863" i="5"/>
  <c r="AE862" i="5"/>
  <c r="AE861" i="5"/>
  <c r="AE860" i="5"/>
  <c r="AE859" i="5"/>
  <c r="AE858" i="5"/>
  <c r="AE857" i="5"/>
  <c r="AE856" i="5"/>
  <c r="AE855" i="5"/>
  <c r="AE854" i="5"/>
  <c r="AE853" i="5"/>
  <c r="AE852" i="5"/>
  <c r="AE851" i="5"/>
  <c r="AE850" i="5"/>
  <c r="AE849" i="5"/>
  <c r="AE848" i="5"/>
  <c r="AM847" i="5"/>
  <c r="AM846" i="5"/>
  <c r="AM845" i="5"/>
  <c r="AM844" i="5"/>
  <c r="AE844" i="5"/>
  <c r="AM843" i="5"/>
  <c r="AE843" i="5"/>
  <c r="AM842" i="5"/>
  <c r="AE842" i="5"/>
  <c r="AM841" i="5"/>
  <c r="AE841" i="5"/>
  <c r="AM840" i="5"/>
  <c r="AE840" i="5"/>
  <c r="AM839" i="5"/>
  <c r="AE839" i="5"/>
  <c r="AM838" i="5"/>
  <c r="AE838" i="5"/>
  <c r="AM837" i="5"/>
  <c r="AE837" i="5"/>
  <c r="AM836" i="5"/>
  <c r="AE836" i="5"/>
  <c r="AM835" i="5"/>
  <c r="AE835" i="5"/>
  <c r="AM834" i="5"/>
  <c r="AE834" i="5"/>
  <c r="AM833" i="5"/>
  <c r="AE833" i="5"/>
  <c r="AM832" i="5"/>
  <c r="AE832" i="5"/>
  <c r="AM831" i="5"/>
  <c r="AE831" i="5"/>
  <c r="AM830" i="5"/>
  <c r="AE830" i="5"/>
  <c r="AM829" i="5"/>
  <c r="AE829" i="5"/>
  <c r="AM828" i="5"/>
  <c r="AE828" i="5"/>
  <c r="AM827" i="5"/>
  <c r="AE827" i="5"/>
  <c r="AM826" i="5"/>
  <c r="AE826" i="5"/>
  <c r="AM825" i="5"/>
  <c r="AE825" i="5"/>
  <c r="AM824" i="5"/>
  <c r="AE824" i="5"/>
  <c r="AM823" i="5"/>
  <c r="AE823" i="5"/>
  <c r="AM822" i="5"/>
  <c r="AE822" i="5"/>
  <c r="AM821" i="5"/>
  <c r="AE821" i="5"/>
  <c r="AM820" i="5"/>
  <c r="AE820" i="5"/>
  <c r="AM819" i="5"/>
  <c r="AE819" i="5"/>
  <c r="AM818" i="5"/>
  <c r="AE818" i="5"/>
  <c r="AM817" i="5"/>
  <c r="AE817" i="5"/>
  <c r="AM816" i="5"/>
  <c r="AE816" i="5"/>
  <c r="AM815" i="5"/>
  <c r="AE815" i="5"/>
  <c r="AM814" i="5"/>
  <c r="AE814" i="5"/>
  <c r="AM813" i="5"/>
  <c r="AE813" i="5"/>
  <c r="AM812" i="5"/>
  <c r="AE812" i="5"/>
  <c r="AM811" i="5"/>
  <c r="AE811" i="5"/>
  <c r="AM810" i="5"/>
  <c r="AE810" i="5"/>
  <c r="AM809" i="5"/>
  <c r="AE809" i="5"/>
  <c r="AM808" i="5"/>
  <c r="AE808" i="5"/>
  <c r="AM807" i="5"/>
  <c r="AE807" i="5"/>
  <c r="AM806" i="5"/>
  <c r="AE806" i="5"/>
  <c r="AM805" i="5"/>
  <c r="AE805" i="5"/>
  <c r="AM804" i="5"/>
  <c r="AE804" i="5"/>
  <c r="AM803" i="5"/>
  <c r="AE803" i="5"/>
  <c r="AM802" i="5"/>
  <c r="AE802" i="5"/>
  <c r="AM801" i="5"/>
  <c r="AE801" i="5"/>
  <c r="AM800" i="5"/>
  <c r="AE800" i="5"/>
  <c r="AM799" i="5"/>
  <c r="AE799" i="5"/>
  <c r="AM798" i="5"/>
  <c r="AE798" i="5"/>
  <c r="AM797" i="5"/>
  <c r="AE797" i="5"/>
  <c r="AM796" i="5"/>
  <c r="AE796" i="5"/>
  <c r="AM795" i="5"/>
  <c r="AE795" i="5"/>
  <c r="AM794" i="5"/>
  <c r="AE794" i="5"/>
  <c r="AM793" i="5"/>
  <c r="AE793" i="5"/>
  <c r="AM792" i="5"/>
  <c r="AE792" i="5"/>
  <c r="AM791" i="5"/>
  <c r="AE791" i="5"/>
  <c r="AM790" i="5"/>
  <c r="AE790" i="5"/>
  <c r="AM789" i="5"/>
  <c r="AE789" i="5"/>
  <c r="AM788" i="5"/>
  <c r="AE788" i="5"/>
  <c r="AM787" i="5"/>
  <c r="AE787" i="5"/>
  <c r="AM786" i="5"/>
  <c r="AE786" i="5"/>
  <c r="AM785" i="5"/>
  <c r="AE785" i="5"/>
  <c r="AM784" i="5"/>
  <c r="AE784" i="5"/>
  <c r="AM783" i="5"/>
  <c r="AE783" i="5"/>
  <c r="AM782" i="5"/>
  <c r="AE782" i="5"/>
  <c r="AM781" i="5"/>
  <c r="AE781" i="5"/>
  <c r="AM780" i="5"/>
  <c r="AE780" i="5"/>
  <c r="AM779" i="5"/>
  <c r="AE779" i="5"/>
  <c r="AM778" i="5"/>
  <c r="AE778" i="5"/>
  <c r="AM777" i="5"/>
  <c r="AE777" i="5"/>
  <c r="AM776" i="5"/>
  <c r="AE776" i="5"/>
  <c r="AM775" i="5"/>
  <c r="AE775" i="5"/>
  <c r="AM774" i="5"/>
  <c r="AE774" i="5"/>
  <c r="AM773" i="5"/>
  <c r="AE773" i="5"/>
  <c r="AM772" i="5"/>
  <c r="AE772" i="5"/>
  <c r="AM771" i="5"/>
  <c r="AE771" i="5"/>
  <c r="AM770" i="5"/>
  <c r="AE770" i="5"/>
  <c r="AM769" i="5"/>
  <c r="AE769" i="5"/>
  <c r="AM768" i="5"/>
  <c r="AE768" i="5"/>
  <c r="AM767" i="5"/>
  <c r="AE767" i="5"/>
  <c r="AM766" i="5"/>
  <c r="AE766" i="5"/>
  <c r="AM765" i="5"/>
  <c r="AE765" i="5"/>
  <c r="AM764" i="5"/>
  <c r="AE764" i="5"/>
  <c r="AM763" i="5"/>
  <c r="AE763" i="5"/>
  <c r="AM762" i="5"/>
  <c r="AE762" i="5"/>
  <c r="AM761" i="5"/>
  <c r="AE761" i="5"/>
  <c r="AM760" i="5"/>
  <c r="AE760" i="5"/>
  <c r="AM759" i="5"/>
  <c r="AE759" i="5"/>
  <c r="AM758" i="5"/>
  <c r="AE758" i="5"/>
  <c r="AM757" i="5"/>
  <c r="AE757" i="5"/>
  <c r="AM756" i="5"/>
  <c r="AE756" i="5"/>
  <c r="AM755" i="5"/>
  <c r="AE755" i="5"/>
  <c r="AM754" i="5"/>
  <c r="AE754" i="5"/>
  <c r="AM753" i="5"/>
  <c r="AE753" i="5"/>
  <c r="AM752" i="5"/>
  <c r="AE752" i="5"/>
  <c r="AM751" i="5"/>
  <c r="AE751" i="5"/>
  <c r="AM750" i="5"/>
  <c r="AE750" i="5"/>
  <c r="AM749" i="5"/>
  <c r="AE749" i="5"/>
  <c r="AM748" i="5"/>
  <c r="AE748" i="5"/>
  <c r="AM747" i="5"/>
  <c r="AE747" i="5"/>
  <c r="AM746" i="5"/>
  <c r="AE746" i="5"/>
  <c r="AM745" i="5"/>
  <c r="AE745" i="5"/>
  <c r="AM744" i="5"/>
  <c r="AE744" i="5"/>
  <c r="AM743" i="5"/>
  <c r="AE743" i="5"/>
  <c r="AM742" i="5"/>
  <c r="AE742" i="5"/>
  <c r="AM741" i="5"/>
  <c r="AE741" i="5"/>
  <c r="AM740" i="5"/>
  <c r="AE740" i="5"/>
  <c r="AM739" i="5"/>
  <c r="AE739" i="5"/>
  <c r="AM738" i="5"/>
  <c r="AE738" i="5"/>
  <c r="AM737" i="5"/>
  <c r="AE737" i="5"/>
  <c r="AM736" i="5"/>
  <c r="AE736" i="5"/>
  <c r="AM735" i="5"/>
  <c r="AE735" i="5"/>
  <c r="AM734" i="5"/>
  <c r="AE734" i="5"/>
  <c r="AM733" i="5"/>
  <c r="AE733" i="5"/>
  <c r="AM732" i="5"/>
  <c r="AE732" i="5"/>
  <c r="AM731" i="5"/>
  <c r="AE731" i="5"/>
  <c r="AM730" i="5"/>
  <c r="AE730" i="5"/>
  <c r="AM729" i="5"/>
  <c r="AE729" i="5"/>
  <c r="AM728" i="5"/>
  <c r="AE728" i="5"/>
  <c r="AM727" i="5"/>
  <c r="AE727" i="5"/>
  <c r="AM726" i="5"/>
  <c r="AE726" i="5"/>
  <c r="AM725" i="5"/>
  <c r="AE725" i="5"/>
  <c r="AM724" i="5"/>
  <c r="AE724" i="5"/>
  <c r="AM723" i="5"/>
  <c r="AE723" i="5"/>
  <c r="AM722" i="5"/>
  <c r="AE722" i="5"/>
  <c r="AM721" i="5"/>
  <c r="AE721" i="5"/>
  <c r="AM720" i="5"/>
  <c r="AE720" i="5"/>
  <c r="AM719" i="5"/>
  <c r="AE719" i="5"/>
  <c r="AM718" i="5"/>
  <c r="AE718" i="5"/>
  <c r="AM717" i="5"/>
  <c r="AE717" i="5"/>
  <c r="AM716" i="5"/>
  <c r="AE716" i="5"/>
  <c r="AM715" i="5"/>
  <c r="AE715" i="5"/>
  <c r="AM714" i="5"/>
  <c r="AE714" i="5"/>
  <c r="AM713" i="5"/>
  <c r="AE713" i="5"/>
  <c r="AM712" i="5"/>
  <c r="AE712" i="5"/>
  <c r="AM711" i="5"/>
  <c r="AE711" i="5"/>
  <c r="AM710" i="5"/>
  <c r="AE710" i="5"/>
  <c r="AM709" i="5"/>
  <c r="AE709" i="5"/>
  <c r="AM708" i="5"/>
  <c r="AE708" i="5"/>
  <c r="AM707" i="5"/>
  <c r="AE707" i="5"/>
  <c r="AM706" i="5"/>
  <c r="AE706" i="5"/>
  <c r="AM705" i="5"/>
  <c r="AE705" i="5"/>
  <c r="AM704" i="5"/>
  <c r="AE704" i="5"/>
  <c r="AM703" i="5"/>
  <c r="AE703" i="5"/>
  <c r="AM702" i="5"/>
  <c r="AE702" i="5"/>
  <c r="AM701" i="5"/>
  <c r="AE701" i="5"/>
  <c r="AM700" i="5"/>
  <c r="AE700" i="5"/>
  <c r="AM699" i="5"/>
  <c r="AE699" i="5"/>
  <c r="AM698" i="5"/>
  <c r="AE698" i="5"/>
  <c r="AM697" i="5"/>
  <c r="AE697" i="5"/>
  <c r="AM696" i="5"/>
  <c r="AE696" i="5"/>
  <c r="AM695" i="5"/>
  <c r="AE695" i="5"/>
  <c r="AM694" i="5"/>
  <c r="AE694" i="5"/>
  <c r="AM693" i="5"/>
  <c r="AE693" i="5"/>
  <c r="AM692" i="5"/>
  <c r="AE692" i="5"/>
  <c r="AM691" i="5"/>
  <c r="AE691" i="5"/>
  <c r="AM690" i="5"/>
  <c r="AE690" i="5"/>
  <c r="AM689" i="5"/>
  <c r="AE689" i="5"/>
  <c r="AM688" i="5"/>
  <c r="AE688" i="5"/>
  <c r="AM687" i="5"/>
  <c r="AE687" i="5"/>
  <c r="AM686" i="5"/>
  <c r="AE686" i="5"/>
  <c r="AM685" i="5"/>
  <c r="AE685" i="5"/>
  <c r="AM684" i="5"/>
  <c r="AE684" i="5"/>
  <c r="AM683" i="5"/>
  <c r="AE683" i="5"/>
  <c r="AM682" i="5"/>
  <c r="AE682" i="5"/>
  <c r="AM681" i="5"/>
  <c r="AE681" i="5"/>
  <c r="AM680" i="5"/>
  <c r="AE680" i="5"/>
  <c r="AM679" i="5"/>
  <c r="AE679" i="5"/>
  <c r="AM678" i="5"/>
  <c r="AE678" i="5"/>
  <c r="AM677" i="5"/>
  <c r="AE677" i="5"/>
  <c r="AM676" i="5"/>
  <c r="AE676" i="5"/>
  <c r="AM675" i="5"/>
  <c r="AJ675" i="5"/>
  <c r="AE675" i="5"/>
  <c r="AM674" i="5"/>
  <c r="AE674" i="5"/>
  <c r="AM673" i="5"/>
  <c r="AE673" i="5"/>
  <c r="AM672" i="5"/>
  <c r="AE672" i="5"/>
  <c r="AM671" i="5"/>
  <c r="AE671" i="5"/>
  <c r="AM670" i="5"/>
  <c r="AE670" i="5"/>
  <c r="AM669" i="5"/>
  <c r="AE669" i="5"/>
  <c r="AM668" i="5"/>
  <c r="AE668" i="5"/>
  <c r="AM667" i="5"/>
  <c r="AE667" i="5"/>
  <c r="AM666" i="5"/>
  <c r="AE666" i="5"/>
  <c r="AM665" i="5"/>
  <c r="AE665" i="5"/>
  <c r="AM664" i="5"/>
  <c r="AE664" i="5"/>
  <c r="AM663" i="5"/>
  <c r="AE663" i="5"/>
  <c r="AM662" i="5"/>
  <c r="AE662" i="5"/>
  <c r="AM661" i="5"/>
  <c r="AE661" i="5"/>
  <c r="AM660" i="5"/>
  <c r="AE660" i="5"/>
  <c r="AM659" i="5"/>
  <c r="AE659" i="5"/>
  <c r="AM658" i="5"/>
  <c r="AE658" i="5"/>
  <c r="AM657" i="5"/>
  <c r="AE657" i="5"/>
  <c r="AM656" i="5"/>
  <c r="AE656" i="5"/>
  <c r="AM655" i="5"/>
  <c r="AE655" i="5"/>
  <c r="AM654" i="5"/>
  <c r="AE654" i="5"/>
  <c r="AM653" i="5"/>
  <c r="AE653" i="5"/>
  <c r="AM652" i="5"/>
  <c r="AE652" i="5"/>
  <c r="AM651" i="5"/>
  <c r="AE651" i="5"/>
  <c r="AM650" i="5"/>
  <c r="AE650" i="5"/>
  <c r="AM649" i="5"/>
  <c r="AE649" i="5"/>
  <c r="AM648" i="5"/>
  <c r="AE648" i="5"/>
  <c r="AM647" i="5"/>
  <c r="AE647" i="5"/>
  <c r="AM646" i="5"/>
  <c r="AE646" i="5"/>
  <c r="AM645" i="5"/>
  <c r="AE645" i="5"/>
  <c r="AM644" i="5"/>
  <c r="AE644" i="5"/>
  <c r="AM643" i="5"/>
  <c r="AE643" i="5"/>
  <c r="AM642" i="5"/>
  <c r="AE642" i="5"/>
  <c r="AM641" i="5"/>
  <c r="AE641" i="5"/>
  <c r="AM640" i="5"/>
  <c r="AE640" i="5"/>
  <c r="AM639" i="5"/>
  <c r="AE639" i="5"/>
  <c r="AM638" i="5"/>
  <c r="AE638" i="5"/>
  <c r="AM637" i="5"/>
  <c r="AE637" i="5"/>
  <c r="AM636" i="5"/>
  <c r="AE636" i="5"/>
  <c r="AM635" i="5"/>
  <c r="AE635" i="5"/>
  <c r="AM634" i="5"/>
  <c r="AE634" i="5"/>
  <c r="AM633" i="5"/>
  <c r="AE633" i="5"/>
  <c r="AM632" i="5"/>
  <c r="AE632" i="5"/>
  <c r="AM631" i="5"/>
  <c r="AE631" i="5"/>
  <c r="AM630" i="5"/>
  <c r="AE630" i="5"/>
  <c r="AM629" i="5"/>
  <c r="AE629" i="5"/>
  <c r="AM628" i="5"/>
  <c r="AE628" i="5"/>
  <c r="AM627" i="5"/>
  <c r="AE627" i="5"/>
  <c r="AM626" i="5"/>
  <c r="AE626" i="5"/>
  <c r="AM625" i="5"/>
  <c r="AE625" i="5"/>
  <c r="AM624" i="5"/>
  <c r="AE624" i="5"/>
  <c r="AM623" i="5"/>
  <c r="AE623" i="5"/>
  <c r="AM622" i="5"/>
  <c r="AE622" i="5"/>
  <c r="AM621" i="5"/>
  <c r="AE621" i="5"/>
  <c r="AM620" i="5"/>
  <c r="AE620" i="5"/>
  <c r="AM619" i="5"/>
  <c r="AE619" i="5"/>
  <c r="AM618" i="5"/>
  <c r="AE618" i="5"/>
  <c r="AM617" i="5"/>
  <c r="AE617" i="5"/>
  <c r="AM616" i="5"/>
  <c r="AE616" i="5"/>
  <c r="AM615" i="5"/>
  <c r="AE615" i="5"/>
  <c r="AM614" i="5"/>
  <c r="AE614" i="5"/>
  <c r="AM613" i="5"/>
  <c r="AE613" i="5"/>
  <c r="AM612" i="5"/>
  <c r="AE612" i="5"/>
  <c r="AM611" i="5"/>
  <c r="AE611" i="5"/>
  <c r="AM610" i="5"/>
  <c r="AE610" i="5"/>
  <c r="AM609" i="5"/>
  <c r="AE609" i="5"/>
  <c r="AM608" i="5"/>
  <c r="AM607" i="5"/>
  <c r="AM606" i="5"/>
  <c r="AM605" i="5"/>
  <c r="AE605" i="5"/>
  <c r="AM604" i="5"/>
  <c r="AE604" i="5"/>
  <c r="AM603" i="5"/>
  <c r="AE603" i="5"/>
  <c r="AM602" i="5"/>
  <c r="AE602" i="5"/>
  <c r="AM601" i="5"/>
  <c r="AE601" i="5"/>
  <c r="AM600" i="5"/>
  <c r="AE600" i="5"/>
  <c r="AM599" i="5"/>
  <c r="AE599" i="5"/>
  <c r="AM598" i="5"/>
  <c r="AE598" i="5"/>
  <c r="AM597" i="5"/>
  <c r="AE597" i="5"/>
  <c r="AM596" i="5"/>
  <c r="AE596" i="5"/>
  <c r="AM595" i="5"/>
  <c r="AE595" i="5"/>
  <c r="AM594" i="5"/>
  <c r="AE594" i="5"/>
  <c r="AM593" i="5"/>
  <c r="AE593" i="5"/>
  <c r="AM592" i="5"/>
  <c r="AE592" i="5"/>
  <c r="AM591" i="5"/>
  <c r="AE591" i="5"/>
  <c r="AM590" i="5"/>
  <c r="AE590" i="5"/>
  <c r="AM589" i="5"/>
  <c r="AE589" i="5"/>
  <c r="AM588" i="5"/>
  <c r="AE588" i="5"/>
  <c r="AM587" i="5"/>
  <c r="AE587" i="5"/>
  <c r="AM586" i="5"/>
  <c r="AE586" i="5"/>
  <c r="AM585" i="5"/>
  <c r="AE585" i="5"/>
  <c r="AM584" i="5"/>
  <c r="AE584" i="5"/>
  <c r="AM583" i="5"/>
  <c r="AE583" i="5"/>
  <c r="AM582" i="5"/>
  <c r="AE582" i="5"/>
  <c r="AM581" i="5"/>
  <c r="AE581" i="5"/>
  <c r="AM580" i="5"/>
  <c r="AE580" i="5"/>
  <c r="AM579" i="5"/>
  <c r="AE579" i="5"/>
  <c r="AM578" i="5"/>
  <c r="AE578" i="5"/>
  <c r="AM577" i="5"/>
  <c r="AE577" i="5"/>
  <c r="AM576" i="5"/>
  <c r="AE576" i="5"/>
  <c r="AM575" i="5"/>
  <c r="AE575" i="5"/>
  <c r="AM574" i="5"/>
  <c r="AE574" i="5"/>
  <c r="AM573" i="5"/>
  <c r="AE573" i="5"/>
  <c r="AM572" i="5"/>
  <c r="AE572" i="5"/>
  <c r="AM571" i="5"/>
  <c r="AE571" i="5"/>
  <c r="AM570" i="5"/>
  <c r="AE570" i="5"/>
  <c r="AM569" i="5"/>
  <c r="AE569" i="5"/>
  <c r="AM568" i="5"/>
  <c r="AE568" i="5"/>
  <c r="AM567" i="5"/>
  <c r="AE567" i="5"/>
  <c r="AM566" i="5"/>
  <c r="AE566" i="5"/>
  <c r="AM565" i="5"/>
  <c r="AE565" i="5"/>
  <c r="AM564" i="5"/>
  <c r="AE564" i="5"/>
  <c r="AM563" i="5"/>
  <c r="AE563" i="5"/>
  <c r="AM562" i="5"/>
  <c r="AE562" i="5"/>
  <c r="AM561" i="5"/>
  <c r="AE561" i="5"/>
  <c r="AM560" i="5"/>
  <c r="AE560" i="5"/>
  <c r="AM559" i="5"/>
  <c r="AE559" i="5"/>
  <c r="AM558" i="5"/>
  <c r="AE558" i="5"/>
  <c r="AM557" i="5"/>
  <c r="AE557" i="5"/>
  <c r="AM556" i="5"/>
  <c r="AE556" i="5"/>
  <c r="AM555" i="5"/>
  <c r="AE555" i="5"/>
  <c r="AM554" i="5"/>
  <c r="AE554" i="5"/>
  <c r="AM553" i="5"/>
  <c r="AE553" i="5"/>
  <c r="AM552" i="5"/>
  <c r="AE552" i="5"/>
  <c r="AM551" i="5"/>
  <c r="AE551" i="5"/>
  <c r="AM550" i="5"/>
  <c r="AE550" i="5"/>
  <c r="AM549" i="5"/>
  <c r="AE549" i="5"/>
  <c r="AM548" i="5"/>
  <c r="AE548" i="5"/>
  <c r="AM547" i="5"/>
  <c r="AE547" i="5"/>
  <c r="AM546" i="5"/>
  <c r="AE546" i="5"/>
  <c r="AM545" i="5"/>
  <c r="AE545" i="5"/>
  <c r="AM544" i="5"/>
  <c r="AE544" i="5"/>
  <c r="AM543" i="5"/>
  <c r="AE543" i="5"/>
  <c r="AM542" i="5"/>
  <c r="AE542" i="5"/>
  <c r="AM541" i="5"/>
  <c r="AE541" i="5"/>
  <c r="AM540" i="5"/>
  <c r="AE540" i="5"/>
  <c r="AM539" i="5"/>
  <c r="AE539" i="5"/>
  <c r="AM538" i="5"/>
  <c r="AE538" i="5"/>
  <c r="AM537" i="5"/>
  <c r="AE537" i="5"/>
  <c r="AM536" i="5"/>
  <c r="AE536" i="5"/>
  <c r="AM535" i="5"/>
  <c r="AE535" i="5"/>
  <c r="AM534" i="5"/>
  <c r="AE534" i="5"/>
  <c r="AM533" i="5"/>
  <c r="AE533" i="5"/>
  <c r="AM532" i="5"/>
  <c r="AE532" i="5"/>
  <c r="AM531" i="5"/>
  <c r="AE531" i="5"/>
  <c r="AM530" i="5"/>
  <c r="AE530" i="5"/>
  <c r="AM529" i="5"/>
  <c r="AE529" i="5"/>
  <c r="AM528" i="5"/>
  <c r="AE528" i="5"/>
  <c r="AM527" i="5"/>
  <c r="AE527" i="5"/>
  <c r="AM526" i="5"/>
  <c r="AE526" i="5"/>
  <c r="AM525" i="5"/>
  <c r="AE525" i="5"/>
  <c r="AM524" i="5"/>
  <c r="AE524" i="5"/>
  <c r="AM523" i="5"/>
  <c r="AE523" i="5"/>
  <c r="AM522" i="5"/>
  <c r="AE522" i="5"/>
  <c r="AM521" i="5"/>
  <c r="AE521" i="5"/>
  <c r="AM520" i="5"/>
  <c r="AE520" i="5"/>
  <c r="AM519" i="5"/>
  <c r="AE519" i="5"/>
  <c r="AM518" i="5"/>
  <c r="AE518" i="5"/>
  <c r="AM517" i="5"/>
  <c r="AE517" i="5"/>
  <c r="AM516" i="5"/>
  <c r="AE516" i="5"/>
  <c r="AM515" i="5"/>
  <c r="AE515" i="5"/>
  <c r="AM514" i="5"/>
  <c r="AE514" i="5"/>
  <c r="AM513" i="5"/>
  <c r="AE513" i="5"/>
  <c r="AM512" i="5"/>
  <c r="AE512" i="5"/>
  <c r="AM511" i="5"/>
  <c r="AE511" i="5"/>
  <c r="AM510" i="5"/>
  <c r="AE510" i="5"/>
  <c r="AM509" i="5"/>
  <c r="AE509" i="5"/>
  <c r="AM508" i="5"/>
  <c r="AE508" i="5"/>
  <c r="AM507" i="5"/>
  <c r="AE507" i="5"/>
  <c r="AM506" i="5"/>
  <c r="AE506" i="5"/>
  <c r="AM505" i="5"/>
  <c r="AE505" i="5"/>
  <c r="AM504" i="5"/>
  <c r="AE504" i="5"/>
  <c r="AM503" i="5"/>
  <c r="AE503" i="5"/>
  <c r="AM502" i="5"/>
  <c r="AE502" i="5"/>
  <c r="AM501" i="5"/>
  <c r="AE501" i="5"/>
  <c r="AM500" i="5"/>
  <c r="AE500" i="5"/>
  <c r="AM499" i="5"/>
  <c r="AE499" i="5"/>
  <c r="AM498" i="5"/>
  <c r="AE498" i="5"/>
  <c r="AM497" i="5"/>
  <c r="AE497" i="5"/>
  <c r="AM496" i="5"/>
  <c r="AE496" i="5"/>
  <c r="AM495" i="5"/>
  <c r="AE495" i="5"/>
  <c r="AM494" i="5"/>
  <c r="AE494" i="5"/>
  <c r="AM493" i="5"/>
  <c r="AE493" i="5"/>
  <c r="AM492" i="5"/>
  <c r="AE492" i="5"/>
  <c r="AM491" i="5"/>
  <c r="AE491" i="5"/>
  <c r="AM490" i="5"/>
  <c r="AE490" i="5"/>
  <c r="AM489" i="5"/>
  <c r="AE489" i="5"/>
  <c r="AM488" i="5"/>
  <c r="AE488" i="5"/>
  <c r="AM487" i="5"/>
  <c r="AE487" i="5"/>
  <c r="AM486" i="5"/>
  <c r="AE486" i="5"/>
  <c r="AM485" i="5"/>
  <c r="AE485" i="5"/>
  <c r="AM484" i="5"/>
  <c r="AE484" i="5"/>
  <c r="AM483" i="5"/>
  <c r="AE483" i="5"/>
  <c r="AM482" i="5"/>
  <c r="AE482" i="5"/>
  <c r="AM481" i="5"/>
  <c r="AE481" i="5"/>
  <c r="AM480" i="5"/>
  <c r="AE480" i="5"/>
  <c r="AM479" i="5"/>
  <c r="AE479" i="5"/>
  <c r="AM478" i="5"/>
  <c r="AE478" i="5"/>
  <c r="AM477" i="5"/>
  <c r="AE477" i="5"/>
  <c r="AM476" i="5"/>
  <c r="AE476" i="5"/>
  <c r="AM475" i="5"/>
  <c r="AE475" i="5"/>
  <c r="AM474" i="5"/>
  <c r="AE474" i="5"/>
  <c r="AM473" i="5"/>
  <c r="AE473" i="5"/>
  <c r="AM472" i="5"/>
  <c r="AE472" i="5"/>
  <c r="AM471" i="5"/>
  <c r="AE471" i="5"/>
  <c r="AM470" i="5"/>
  <c r="AE470" i="5"/>
  <c r="AM469" i="5"/>
  <c r="AE469" i="5"/>
  <c r="AM468" i="5"/>
  <c r="AE468" i="5"/>
  <c r="AM467" i="5"/>
  <c r="AE467" i="5"/>
  <c r="AM466" i="5"/>
  <c r="AE466" i="5"/>
  <c r="AM465" i="5"/>
  <c r="AE465" i="5"/>
  <c r="AM464" i="5"/>
  <c r="AE464" i="5"/>
  <c r="AM463" i="5"/>
  <c r="AE463" i="5"/>
  <c r="AM462" i="5"/>
  <c r="AE462" i="5"/>
  <c r="AM461" i="5"/>
  <c r="AE461" i="5"/>
  <c r="AM460" i="5"/>
  <c r="AE460" i="5"/>
  <c r="AM459" i="5"/>
  <c r="AE459" i="5"/>
  <c r="AM458" i="5"/>
  <c r="AE458" i="5"/>
  <c r="AM457" i="5"/>
  <c r="AE457" i="5"/>
  <c r="AM456" i="5"/>
  <c r="AE456" i="5"/>
  <c r="AM455" i="5"/>
  <c r="AE455" i="5"/>
  <c r="AM454" i="5"/>
  <c r="AE454" i="5"/>
  <c r="AM453" i="5"/>
  <c r="AE453" i="5"/>
  <c r="AM452" i="5"/>
  <c r="AE452" i="5"/>
  <c r="AM451" i="5"/>
  <c r="AM450" i="5"/>
  <c r="AM449" i="5"/>
  <c r="AM448" i="5"/>
  <c r="AE448" i="5"/>
  <c r="AM447" i="5"/>
  <c r="AE447" i="5"/>
  <c r="AM446" i="5"/>
  <c r="AE446" i="5"/>
  <c r="AM445" i="5"/>
  <c r="AE445" i="5"/>
  <c r="AM444" i="5"/>
  <c r="AE444" i="5"/>
  <c r="AM443" i="5"/>
  <c r="AE443" i="5"/>
  <c r="AM442" i="5"/>
  <c r="AE442" i="5"/>
  <c r="AM441" i="5"/>
  <c r="AE441" i="5"/>
  <c r="AM440" i="5"/>
  <c r="AE440" i="5"/>
  <c r="AM439" i="5"/>
  <c r="AE439" i="5"/>
  <c r="AM438" i="5"/>
  <c r="AE438" i="5"/>
  <c r="AM437" i="5"/>
  <c r="AE437" i="5"/>
  <c r="AM436" i="5"/>
  <c r="AE436" i="5"/>
  <c r="AM435" i="5"/>
  <c r="AE435" i="5"/>
  <c r="AM434" i="5"/>
  <c r="AE434" i="5"/>
  <c r="AM433" i="5"/>
  <c r="AE433" i="5"/>
  <c r="AM432" i="5"/>
  <c r="AE432" i="5"/>
  <c r="AM431" i="5"/>
  <c r="AE431" i="5"/>
  <c r="AM430" i="5"/>
  <c r="AE430" i="5"/>
  <c r="AM429" i="5"/>
  <c r="AE429" i="5"/>
  <c r="AM428" i="5"/>
  <c r="AE428" i="5"/>
  <c r="AM427" i="5"/>
  <c r="AE427" i="5"/>
  <c r="AM426" i="5"/>
  <c r="AE426" i="5"/>
  <c r="AM425" i="5"/>
  <c r="AE425" i="5"/>
  <c r="AM424" i="5"/>
  <c r="AE424" i="5"/>
  <c r="AM423" i="5"/>
  <c r="AE423" i="5"/>
  <c r="AM422" i="5"/>
  <c r="AE422" i="5"/>
  <c r="AM421" i="5"/>
  <c r="AE421" i="5"/>
  <c r="AM420" i="5"/>
  <c r="AE420" i="5"/>
  <c r="AM419" i="5"/>
  <c r="AE419" i="5"/>
  <c r="AM418" i="5"/>
  <c r="AE418" i="5"/>
  <c r="AM417" i="5"/>
  <c r="AE417" i="5"/>
  <c r="AM416" i="5"/>
  <c r="AE416" i="5"/>
  <c r="AM415" i="5"/>
  <c r="AE415" i="5"/>
  <c r="AM414" i="5"/>
  <c r="AE414" i="5"/>
  <c r="AM413" i="5"/>
  <c r="AE413" i="5"/>
  <c r="AM412" i="5"/>
  <c r="AE412" i="5"/>
  <c r="AM411" i="5"/>
  <c r="AE411" i="5"/>
  <c r="AM410" i="5"/>
  <c r="AE410" i="5"/>
  <c r="AM409" i="5"/>
  <c r="AE409" i="5"/>
  <c r="AM408" i="5"/>
  <c r="AE408" i="5"/>
  <c r="AM407" i="5"/>
  <c r="AE407" i="5"/>
  <c r="AM406" i="5"/>
  <c r="AE406" i="5"/>
  <c r="AM405" i="5"/>
  <c r="AE405" i="5"/>
  <c r="AM404" i="5"/>
  <c r="AE404" i="5"/>
  <c r="AM403" i="5"/>
  <c r="AE403" i="5"/>
  <c r="AM402" i="5"/>
  <c r="AE402" i="5"/>
  <c r="AM401" i="5"/>
  <c r="AE401" i="5"/>
  <c r="AM400" i="5"/>
  <c r="AE400" i="5"/>
  <c r="AM399" i="5"/>
  <c r="AE399" i="5"/>
  <c r="AM398" i="5"/>
  <c r="AE398" i="5"/>
  <c r="AM397" i="5"/>
  <c r="AE397" i="5"/>
  <c r="AM396" i="5"/>
  <c r="AE396" i="5"/>
  <c r="AM395" i="5"/>
  <c r="AE395" i="5"/>
  <c r="AM394" i="5"/>
  <c r="AE394" i="5"/>
  <c r="AM393" i="5"/>
  <c r="AE393" i="5"/>
  <c r="AL392" i="5"/>
  <c r="AK392" i="5"/>
  <c r="AM392" i="5" s="1"/>
  <c r="AE392" i="5"/>
  <c r="AM391" i="5"/>
  <c r="AE391" i="5"/>
  <c r="AM390" i="5"/>
  <c r="AE390" i="5"/>
  <c r="AM389" i="5"/>
  <c r="AE389" i="5"/>
  <c r="AM388" i="5"/>
  <c r="AE388" i="5"/>
  <c r="AM387" i="5"/>
  <c r="AE387" i="5"/>
  <c r="AM386" i="5"/>
  <c r="AE386" i="5"/>
  <c r="AM385" i="5"/>
  <c r="AE385" i="5"/>
  <c r="AM384" i="5"/>
  <c r="AE384" i="5"/>
  <c r="AM383" i="5"/>
  <c r="AE383" i="5"/>
  <c r="AM382" i="5"/>
  <c r="AE382" i="5"/>
  <c r="AM381" i="5"/>
  <c r="AE381" i="5"/>
  <c r="AM380" i="5"/>
  <c r="AE380" i="5"/>
  <c r="AM379" i="5"/>
  <c r="AE379" i="5"/>
  <c r="AM378" i="5"/>
  <c r="AE378" i="5"/>
  <c r="AK377" i="5"/>
  <c r="AM377" i="5" s="1"/>
  <c r="AE377" i="5"/>
  <c r="AM376" i="5"/>
  <c r="AE376" i="5"/>
  <c r="AM375" i="5"/>
  <c r="AE375" i="5"/>
  <c r="AM374" i="5"/>
  <c r="AE374" i="5"/>
  <c r="AM373" i="5"/>
  <c r="AE373" i="5"/>
  <c r="AM372" i="5"/>
  <c r="AE372" i="5"/>
  <c r="AM371" i="5"/>
  <c r="AE371" i="5"/>
  <c r="AM370" i="5"/>
  <c r="AE370" i="5"/>
  <c r="AM369" i="5"/>
  <c r="AE369" i="5"/>
  <c r="AM368" i="5"/>
  <c r="AE368" i="5"/>
  <c r="AM367" i="5"/>
  <c r="AE367" i="5"/>
  <c r="AM366" i="5"/>
  <c r="AE366" i="5"/>
  <c r="AM365" i="5"/>
  <c r="AL365" i="5"/>
  <c r="AK365" i="5"/>
  <c r="AL1" i="5" s="1"/>
  <c r="AE365" i="5"/>
  <c r="AM364" i="5"/>
  <c r="AE364" i="5"/>
  <c r="AM363" i="5"/>
  <c r="AE363" i="5"/>
  <c r="AM362" i="5"/>
  <c r="AE362" i="5"/>
  <c r="AM361" i="5"/>
  <c r="AE361" i="5"/>
  <c r="AM360" i="5"/>
  <c r="AE360" i="5"/>
  <c r="AM359" i="5"/>
  <c r="AE359" i="5"/>
  <c r="AM358" i="5"/>
  <c r="AE358" i="5"/>
  <c r="AM357" i="5"/>
  <c r="AE357" i="5"/>
  <c r="AM356" i="5"/>
  <c r="AE356" i="5"/>
  <c r="AM355" i="5"/>
  <c r="AE355" i="5"/>
  <c r="AM354" i="5"/>
  <c r="AE354" i="5"/>
  <c r="AM353" i="5"/>
  <c r="AE353" i="5"/>
  <c r="AM352" i="5"/>
  <c r="AE352" i="5"/>
  <c r="AM351" i="5"/>
  <c r="AE351" i="5"/>
  <c r="AM350" i="5"/>
  <c r="AE350" i="5"/>
  <c r="AM349" i="5"/>
  <c r="AE349" i="5"/>
  <c r="AM348" i="5"/>
  <c r="AE348" i="5"/>
  <c r="AM347" i="5"/>
  <c r="AE347" i="5"/>
  <c r="AM346" i="5"/>
  <c r="AE346" i="5"/>
  <c r="AM345" i="5"/>
  <c r="AE345" i="5"/>
  <c r="AM344" i="5"/>
  <c r="AE344" i="5"/>
  <c r="AM343" i="5"/>
  <c r="AE343" i="5"/>
  <c r="AM342" i="5"/>
  <c r="AE342" i="5"/>
  <c r="AM341" i="5"/>
  <c r="AE341" i="5"/>
  <c r="AM340" i="5"/>
  <c r="AE340" i="5"/>
  <c r="AM339" i="5"/>
  <c r="AE339" i="5"/>
  <c r="AM338" i="5"/>
  <c r="AE338" i="5"/>
  <c r="AM337" i="5"/>
  <c r="AE337" i="5"/>
  <c r="AM336" i="5"/>
  <c r="AE336" i="5"/>
  <c r="AM335" i="5"/>
  <c r="AE335" i="5"/>
  <c r="AM334" i="5"/>
  <c r="AE334" i="5"/>
  <c r="AM333" i="5"/>
  <c r="AE333" i="5"/>
  <c r="AM332" i="5"/>
  <c r="AE332" i="5"/>
  <c r="AM331" i="5"/>
  <c r="AE331" i="5"/>
  <c r="AM330" i="5"/>
  <c r="AE330" i="5"/>
  <c r="AM329" i="5"/>
  <c r="AE329" i="5"/>
  <c r="AM328" i="5"/>
  <c r="AM327" i="5"/>
  <c r="AM326" i="5"/>
  <c r="AM325" i="5"/>
  <c r="AE325" i="5"/>
  <c r="AM324" i="5"/>
  <c r="AE324" i="5"/>
  <c r="AM323" i="5"/>
  <c r="AE323" i="5"/>
  <c r="AM322" i="5"/>
  <c r="AE322" i="5"/>
  <c r="AM321" i="5"/>
  <c r="AE321" i="5"/>
  <c r="AM320" i="5"/>
  <c r="AE320" i="5"/>
  <c r="AM319" i="5"/>
  <c r="AE319" i="5"/>
  <c r="AM318" i="5"/>
  <c r="AE318" i="5"/>
  <c r="AM317" i="5"/>
  <c r="AE317" i="5"/>
  <c r="AM316" i="5"/>
  <c r="AE316" i="5"/>
  <c r="AM315" i="5"/>
  <c r="AE315" i="5"/>
  <c r="AM314" i="5"/>
  <c r="AE314" i="5"/>
  <c r="AM313" i="5"/>
  <c r="AE313" i="5"/>
  <c r="AM312" i="5"/>
  <c r="AE312" i="5"/>
  <c r="AM311" i="5"/>
  <c r="AE311" i="5"/>
  <c r="AM310" i="5"/>
  <c r="AE310" i="5"/>
  <c r="AM309" i="5"/>
  <c r="AE309" i="5"/>
  <c r="AM308" i="5"/>
  <c r="AE308" i="5"/>
  <c r="AM307" i="5"/>
  <c r="AE307" i="5"/>
  <c r="AM306" i="5"/>
  <c r="AE306" i="5"/>
  <c r="AM305" i="5"/>
  <c r="AE305" i="5"/>
  <c r="AM304" i="5"/>
  <c r="AE304" i="5"/>
  <c r="AM303" i="5"/>
  <c r="AE303" i="5"/>
  <c r="AM302" i="5"/>
  <c r="AE302" i="5"/>
  <c r="AM301" i="5"/>
  <c r="AE301" i="5"/>
  <c r="AM300" i="5"/>
  <c r="AE300" i="5"/>
  <c r="AM299" i="5"/>
  <c r="AE299" i="5"/>
  <c r="AM298" i="5"/>
  <c r="AE298" i="5"/>
  <c r="AM297" i="5"/>
  <c r="AE297" i="5"/>
  <c r="AM296" i="5"/>
  <c r="AE296" i="5"/>
  <c r="AM295" i="5"/>
  <c r="AE295" i="5"/>
  <c r="AM294" i="5"/>
  <c r="AE294" i="5"/>
  <c r="AM293" i="5"/>
  <c r="AE293" i="5"/>
  <c r="AM292" i="5"/>
  <c r="AE292" i="5"/>
  <c r="AM291" i="5"/>
  <c r="AE291" i="5"/>
  <c r="AM290" i="5"/>
  <c r="AE290" i="5"/>
  <c r="AM289" i="5"/>
  <c r="AE289" i="5"/>
  <c r="AM288" i="5"/>
  <c r="AE288" i="5"/>
  <c r="AM287" i="5"/>
  <c r="AE287" i="5"/>
  <c r="AM286" i="5"/>
  <c r="AE286" i="5"/>
  <c r="AM285" i="5"/>
  <c r="AE285" i="5"/>
  <c r="AM284" i="5"/>
  <c r="AE284" i="5"/>
  <c r="AM283" i="5"/>
  <c r="AE283" i="5"/>
  <c r="AM282" i="5"/>
  <c r="AE282" i="5"/>
  <c r="AM281" i="5"/>
  <c r="AE281" i="5"/>
  <c r="AM280" i="5"/>
  <c r="AE280" i="5"/>
  <c r="AM279" i="5"/>
  <c r="AE279" i="5"/>
  <c r="AM278" i="5"/>
  <c r="AE278" i="5"/>
  <c r="AM277" i="5"/>
  <c r="AE277" i="5"/>
  <c r="AM276" i="5"/>
  <c r="AE276" i="5"/>
  <c r="AM275" i="5"/>
  <c r="AE275" i="5"/>
  <c r="AM274" i="5"/>
  <c r="AE274" i="5"/>
  <c r="AM273" i="5"/>
  <c r="AE273" i="5"/>
  <c r="AM272" i="5"/>
  <c r="AE272" i="5"/>
  <c r="AM271" i="5"/>
  <c r="AE271" i="5"/>
  <c r="AM270" i="5"/>
  <c r="AE270" i="5"/>
  <c r="AM269" i="5"/>
  <c r="AE269" i="5"/>
  <c r="AM268" i="5"/>
  <c r="AE268" i="5"/>
  <c r="AM267" i="5"/>
  <c r="AE267" i="5"/>
  <c r="AM266" i="5"/>
  <c r="AE266" i="5"/>
  <c r="AM265" i="5"/>
  <c r="AE265" i="5"/>
  <c r="AM264" i="5"/>
  <c r="AE264" i="5"/>
  <c r="AM263" i="5"/>
  <c r="AE263" i="5"/>
  <c r="AM262" i="5"/>
  <c r="AE262" i="5"/>
  <c r="AM261" i="5"/>
  <c r="AE261" i="5"/>
  <c r="AM260" i="5"/>
  <c r="AE260" i="5"/>
  <c r="AM259" i="5"/>
  <c r="AE259" i="5"/>
  <c r="AM258" i="5"/>
  <c r="AE258" i="5"/>
  <c r="AM257" i="5"/>
  <c r="AE257" i="5"/>
  <c r="AM256" i="5"/>
  <c r="AE256" i="5"/>
  <c r="AM255" i="5"/>
  <c r="AE255" i="5"/>
  <c r="AM254" i="5"/>
  <c r="AE254" i="5"/>
  <c r="AM253" i="5"/>
  <c r="AE253" i="5"/>
  <c r="AM252" i="5"/>
  <c r="AE252" i="5"/>
  <c r="AM251" i="5"/>
  <c r="AE251" i="5"/>
  <c r="AM250" i="5"/>
  <c r="AE250" i="5"/>
  <c r="AM249" i="5"/>
  <c r="AE249" i="5"/>
  <c r="AM248" i="5"/>
  <c r="AE248" i="5"/>
  <c r="AM247" i="5"/>
  <c r="AE247" i="5"/>
  <c r="AM246" i="5"/>
  <c r="AE246" i="5"/>
  <c r="AM245" i="5"/>
  <c r="AE245" i="5"/>
  <c r="AM244" i="5"/>
  <c r="AE244" i="5"/>
  <c r="AM243" i="5"/>
  <c r="AE243" i="5"/>
  <c r="AM242" i="5"/>
  <c r="AE242" i="5"/>
  <c r="AM241" i="5"/>
  <c r="AE241" i="5"/>
  <c r="AM240" i="5"/>
  <c r="AE240" i="5"/>
  <c r="AM239" i="5"/>
  <c r="AE239" i="5"/>
  <c r="AM238" i="5"/>
  <c r="AE238" i="5"/>
  <c r="AM237" i="5"/>
  <c r="AE237" i="5"/>
  <c r="AM236" i="5"/>
  <c r="AE236" i="5"/>
  <c r="AM235" i="5"/>
  <c r="AE235" i="5"/>
  <c r="AM234" i="5"/>
  <c r="AE234" i="5"/>
  <c r="AM233" i="5"/>
  <c r="AE233" i="5"/>
  <c r="AM232" i="5"/>
  <c r="AE232" i="5"/>
  <c r="AM231" i="5"/>
  <c r="AE231" i="5"/>
  <c r="AM230" i="5"/>
  <c r="AE230" i="5"/>
  <c r="AM229" i="5"/>
  <c r="AE229" i="5"/>
  <c r="AM228" i="5"/>
  <c r="AE228" i="5"/>
  <c r="AM227" i="5"/>
  <c r="AE227" i="5"/>
  <c r="AM226" i="5"/>
  <c r="AE226" i="5"/>
  <c r="AM225" i="5"/>
  <c r="AE225" i="5"/>
  <c r="AM224" i="5"/>
  <c r="AE224" i="5"/>
  <c r="AM223" i="5"/>
  <c r="AE223" i="5"/>
  <c r="AM222" i="5"/>
  <c r="AE222" i="5"/>
  <c r="AM221" i="5"/>
  <c r="AE221" i="5"/>
  <c r="AM220" i="5"/>
  <c r="AE220" i="5"/>
  <c r="AM219" i="5"/>
  <c r="AE219" i="5"/>
  <c r="AM218" i="5"/>
  <c r="AE218" i="5"/>
  <c r="AM217" i="5"/>
  <c r="AE217" i="5"/>
  <c r="AM216" i="5"/>
  <c r="AE216" i="5"/>
  <c r="AM215" i="5"/>
  <c r="AE215" i="5"/>
  <c r="AM214" i="5"/>
  <c r="AE214" i="5"/>
  <c r="AM213" i="5"/>
  <c r="AE213" i="5"/>
  <c r="AM212" i="5"/>
  <c r="AE212" i="5"/>
  <c r="AM211" i="5"/>
  <c r="AE211" i="5"/>
  <c r="AM210" i="5"/>
  <c r="AE210" i="5"/>
  <c r="AM209" i="5"/>
  <c r="AE209" i="5"/>
  <c r="AM208" i="5"/>
  <c r="AE208" i="5"/>
  <c r="AM207" i="5"/>
  <c r="AE207" i="5"/>
  <c r="AM206" i="5"/>
  <c r="AE206" i="5"/>
  <c r="AM205" i="5"/>
  <c r="AE205" i="5"/>
  <c r="AM204" i="5"/>
  <c r="AE204" i="5"/>
  <c r="AM203" i="5"/>
  <c r="AE203" i="5"/>
  <c r="AM202" i="5"/>
  <c r="AE202" i="5"/>
  <c r="AM201" i="5"/>
  <c r="AE201" i="5"/>
  <c r="AM200" i="5"/>
  <c r="AE200" i="5"/>
  <c r="AM199" i="5"/>
  <c r="AE199" i="5"/>
  <c r="AM198" i="5"/>
  <c r="AE198" i="5"/>
  <c r="AM197" i="5"/>
  <c r="AE197" i="5"/>
  <c r="AM196" i="5"/>
  <c r="AE196" i="5"/>
  <c r="AM195" i="5"/>
  <c r="AE195" i="5"/>
  <c r="AM194" i="5"/>
  <c r="AE194" i="5"/>
  <c r="AM193" i="5"/>
  <c r="AE193" i="5"/>
  <c r="AM192" i="5"/>
  <c r="AE192" i="5"/>
  <c r="AM191" i="5"/>
  <c r="AE191" i="5"/>
  <c r="AM190" i="5"/>
  <c r="AE190" i="5"/>
  <c r="AM189" i="5"/>
  <c r="AE189" i="5"/>
  <c r="AM188" i="5"/>
  <c r="AE188" i="5"/>
  <c r="AM187" i="5"/>
  <c r="AE187" i="5"/>
  <c r="AM186" i="5"/>
  <c r="AE186" i="5"/>
  <c r="AM185" i="5"/>
  <c r="AE185" i="5"/>
  <c r="AM184" i="5"/>
  <c r="AE184" i="5"/>
  <c r="AM183" i="5"/>
  <c r="AE183" i="5"/>
  <c r="AM182" i="5"/>
  <c r="AE182" i="5"/>
  <c r="AM181" i="5"/>
  <c r="AE181" i="5"/>
  <c r="AM180" i="5"/>
  <c r="AE180" i="5"/>
  <c r="AM179" i="5"/>
  <c r="AE179" i="5"/>
  <c r="AM178" i="5"/>
  <c r="AE178" i="5"/>
  <c r="AM177" i="5"/>
  <c r="AE177" i="5"/>
  <c r="AM176" i="5"/>
  <c r="AE176" i="5"/>
  <c r="AM175" i="5"/>
  <c r="AE175" i="5"/>
  <c r="AM174" i="5"/>
  <c r="AE174" i="5"/>
  <c r="AM173" i="5"/>
  <c r="AE173" i="5"/>
  <c r="AM172" i="5"/>
  <c r="AE172" i="5"/>
  <c r="AM171" i="5"/>
  <c r="AE171" i="5"/>
  <c r="AM170" i="5"/>
  <c r="AE170" i="5"/>
  <c r="AM169" i="5"/>
  <c r="AE169" i="5"/>
  <c r="AM168" i="5"/>
  <c r="AE168" i="5"/>
  <c r="AM167" i="5"/>
  <c r="AE167" i="5"/>
  <c r="AM166" i="5"/>
  <c r="AE166" i="5"/>
  <c r="AM165" i="5"/>
  <c r="AE165" i="5"/>
  <c r="AM164" i="5"/>
  <c r="AE164" i="5"/>
  <c r="AM163" i="5"/>
  <c r="AE163" i="5"/>
  <c r="AM162" i="5"/>
  <c r="AE162" i="5"/>
  <c r="AM161" i="5"/>
  <c r="AE161" i="5"/>
  <c r="AM160" i="5"/>
  <c r="AE160" i="5"/>
  <c r="AM159" i="5"/>
  <c r="AE159" i="5"/>
  <c r="AM158" i="5"/>
  <c r="AE158" i="5"/>
  <c r="AM157" i="5"/>
  <c r="AE157" i="5"/>
  <c r="AM156" i="5"/>
  <c r="AE156" i="5"/>
  <c r="AM155" i="5"/>
  <c r="AE155" i="5"/>
  <c r="AM154" i="5"/>
  <c r="AE154" i="5"/>
  <c r="AM153" i="5"/>
  <c r="AE153" i="5"/>
  <c r="AM152" i="5"/>
  <c r="AE152" i="5"/>
  <c r="AM151" i="5"/>
  <c r="AE151" i="5"/>
  <c r="AM150" i="5"/>
  <c r="AE150" i="5"/>
  <c r="AM149" i="5"/>
  <c r="AE149" i="5"/>
  <c r="AM148" i="5"/>
  <c r="AE148" i="5"/>
  <c r="AM147" i="5"/>
  <c r="AE147" i="5"/>
  <c r="AM146" i="5"/>
  <c r="AE146" i="5"/>
  <c r="AM145" i="5"/>
  <c r="AE145" i="5"/>
  <c r="AM144" i="5"/>
  <c r="AE144" i="5"/>
  <c r="AM143" i="5"/>
  <c r="AE143" i="5"/>
  <c r="AM142" i="5"/>
  <c r="AE142" i="5"/>
  <c r="AM141" i="5"/>
  <c r="AE141" i="5"/>
  <c r="AM140" i="5"/>
  <c r="AE140" i="5"/>
  <c r="AM139" i="5"/>
  <c r="AE139" i="5"/>
  <c r="AM138" i="5"/>
  <c r="AE138" i="5"/>
  <c r="AM137" i="5"/>
  <c r="AE137" i="5"/>
  <c r="AM136" i="5"/>
  <c r="AE136" i="5"/>
  <c r="AM135" i="5"/>
  <c r="AE135" i="5"/>
  <c r="AM134" i="5"/>
  <c r="AE134" i="5"/>
  <c r="AM133" i="5"/>
  <c r="AE133" i="5"/>
  <c r="AM132" i="5"/>
  <c r="AE132" i="5"/>
  <c r="AM131" i="5"/>
  <c r="AK131" i="5"/>
  <c r="AK1" i="5" s="1"/>
  <c r="AE131" i="5"/>
  <c r="AM130" i="5"/>
  <c r="AE130" i="5"/>
  <c r="AM129" i="5"/>
  <c r="AE129" i="5"/>
  <c r="AM128" i="5"/>
  <c r="AE128" i="5"/>
  <c r="AM127" i="5"/>
  <c r="AE127" i="5"/>
  <c r="AM126" i="5"/>
  <c r="AE126" i="5"/>
  <c r="AM125" i="5"/>
  <c r="AE125" i="5"/>
  <c r="AM124" i="5"/>
  <c r="AE124" i="5"/>
  <c r="AM123" i="5"/>
  <c r="AE123" i="5"/>
  <c r="AM122" i="5"/>
  <c r="AE122" i="5"/>
  <c r="AM121" i="5"/>
  <c r="AE121" i="5"/>
  <c r="AM120" i="5"/>
  <c r="AE120" i="5"/>
  <c r="AM119" i="5"/>
  <c r="AE119" i="5"/>
  <c r="AM118" i="5"/>
  <c r="AE118" i="5"/>
  <c r="AM117" i="5"/>
  <c r="AE117" i="5"/>
  <c r="AM116" i="5"/>
  <c r="AE116" i="5"/>
  <c r="AM115" i="5"/>
  <c r="AE115" i="5"/>
  <c r="AM114" i="5"/>
  <c r="AE114" i="5"/>
  <c r="AM113" i="5"/>
  <c r="AE113" i="5"/>
  <c r="AM112" i="5"/>
  <c r="AE112" i="5"/>
  <c r="AM111" i="5"/>
  <c r="AE111" i="5"/>
  <c r="AM110" i="5"/>
  <c r="AE110" i="5"/>
  <c r="AM109" i="5"/>
  <c r="AE109" i="5"/>
  <c r="AM108" i="5"/>
  <c r="AE108" i="5"/>
  <c r="AM107" i="5"/>
  <c r="AE107" i="5"/>
  <c r="AM106" i="5"/>
  <c r="AE106" i="5"/>
  <c r="AM105" i="5"/>
  <c r="AE105" i="5"/>
  <c r="AM104" i="5"/>
  <c r="AE104" i="5"/>
  <c r="AM103" i="5"/>
  <c r="AE103" i="5"/>
  <c r="AM102" i="5"/>
  <c r="AE102" i="5"/>
  <c r="AM101" i="5"/>
  <c r="AE101" i="5"/>
  <c r="AM100" i="5"/>
  <c r="AE100" i="5"/>
  <c r="AM99" i="5"/>
  <c r="AE99" i="5"/>
  <c r="AM98" i="5"/>
  <c r="AE98" i="5"/>
  <c r="AM97" i="5"/>
  <c r="AE97" i="5"/>
  <c r="AM96" i="5"/>
  <c r="AE96" i="5"/>
  <c r="AM95" i="5"/>
  <c r="AE95" i="5"/>
  <c r="AM94" i="5"/>
  <c r="AE94" i="5"/>
  <c r="AM93" i="5"/>
  <c r="AE93" i="5"/>
  <c r="AM92" i="5"/>
  <c r="AE92" i="5"/>
  <c r="AM91" i="5"/>
  <c r="AE91" i="5"/>
  <c r="AM90" i="5"/>
  <c r="AE90" i="5"/>
  <c r="AM89" i="5"/>
  <c r="AE89" i="5"/>
  <c r="AM88" i="5"/>
  <c r="AE88" i="5"/>
  <c r="AM87" i="5"/>
  <c r="AE87" i="5"/>
  <c r="AM86" i="5"/>
  <c r="AE86" i="5"/>
  <c r="AM85" i="5"/>
  <c r="AE85" i="5"/>
  <c r="AM84" i="5"/>
  <c r="AE84" i="5"/>
  <c r="AM83" i="5"/>
  <c r="AE83" i="5"/>
  <c r="AM82" i="5"/>
  <c r="AE82" i="5"/>
  <c r="AM81" i="5"/>
  <c r="AE81" i="5"/>
  <c r="AM80" i="5"/>
  <c r="AE80" i="5"/>
  <c r="AM79" i="5"/>
  <c r="AE79" i="5"/>
  <c r="AM78" i="5"/>
  <c r="AE78" i="5"/>
  <c r="AM77" i="5"/>
  <c r="AE77" i="5"/>
  <c r="AM76" i="5"/>
  <c r="AE76" i="5"/>
  <c r="AM75" i="5"/>
  <c r="AE75" i="5"/>
  <c r="AM74" i="5"/>
  <c r="AE74" i="5"/>
  <c r="AM73" i="5"/>
  <c r="AE73" i="5"/>
  <c r="AM72" i="5"/>
  <c r="AE72" i="5"/>
  <c r="AM71" i="5"/>
  <c r="AE71" i="5"/>
  <c r="AM70" i="5"/>
  <c r="AE70" i="5"/>
  <c r="AM69" i="5"/>
  <c r="AE69" i="5"/>
  <c r="AM68" i="5"/>
  <c r="AE68" i="5"/>
  <c r="AM67" i="5"/>
  <c r="AE67" i="5"/>
  <c r="AM66" i="5"/>
  <c r="AE66" i="5"/>
  <c r="AM65" i="5"/>
  <c r="AE65" i="5"/>
  <c r="AM64" i="5"/>
  <c r="AE64" i="5"/>
  <c r="AM63" i="5"/>
  <c r="AE63" i="5"/>
  <c r="AM62" i="5"/>
  <c r="AE62" i="5"/>
  <c r="AM61" i="5"/>
  <c r="AE61" i="5"/>
  <c r="AM60" i="5"/>
  <c r="AE60" i="5"/>
  <c r="AM59" i="5"/>
  <c r="AE59" i="5"/>
  <c r="AM58" i="5"/>
  <c r="AE58" i="5"/>
  <c r="AM57" i="5"/>
  <c r="AE57" i="5"/>
  <c r="AM56" i="5"/>
  <c r="AE56" i="5"/>
  <c r="AM55" i="5"/>
  <c r="AE55" i="5"/>
  <c r="AM54" i="5"/>
  <c r="AE54" i="5"/>
  <c r="AM53" i="5"/>
  <c r="AE53" i="5"/>
  <c r="AM52" i="5"/>
  <c r="AE52" i="5"/>
  <c r="AM51" i="5"/>
  <c r="AE51" i="5"/>
  <c r="AM50" i="5"/>
  <c r="AE50" i="5"/>
  <c r="AM49" i="5"/>
  <c r="AE49" i="5"/>
  <c r="AM48" i="5"/>
  <c r="AE48" i="5"/>
  <c r="AM47" i="5"/>
  <c r="AE47" i="5"/>
  <c r="AM46" i="5"/>
  <c r="AE46" i="5"/>
  <c r="AM45" i="5"/>
  <c r="AE45" i="5"/>
  <c r="AM44" i="5"/>
  <c r="AE44" i="5"/>
  <c r="AM43" i="5"/>
  <c r="AE43" i="5"/>
  <c r="AM42" i="5"/>
  <c r="AE42" i="5"/>
  <c r="AM41" i="5"/>
  <c r="AE41" i="5"/>
  <c r="AM40" i="5"/>
  <c r="AE40" i="5"/>
  <c r="AM39" i="5"/>
  <c r="AE39" i="5"/>
  <c r="AM38" i="5"/>
  <c r="AE38" i="5"/>
  <c r="AM37" i="5"/>
  <c r="AE37" i="5"/>
  <c r="AM36" i="5"/>
  <c r="AE36" i="5"/>
  <c r="AM35" i="5"/>
  <c r="AE35" i="5"/>
  <c r="AM34" i="5"/>
  <c r="AE34" i="5"/>
  <c r="AM33" i="5"/>
  <c r="AE33" i="5"/>
  <c r="AM32" i="5"/>
  <c r="AE32" i="5"/>
  <c r="AM31" i="5"/>
  <c r="AE31" i="5"/>
  <c r="AM30" i="5"/>
  <c r="AE30" i="5"/>
  <c r="AM29" i="5"/>
  <c r="AE29" i="5"/>
  <c r="AM28" i="5"/>
  <c r="AE28" i="5"/>
  <c r="AM27" i="5"/>
  <c r="AE27" i="5"/>
  <c r="AM26" i="5"/>
  <c r="AE26" i="5"/>
  <c r="AM25" i="5"/>
  <c r="AE25" i="5"/>
  <c r="AM24" i="5"/>
  <c r="AE24" i="5"/>
  <c r="AM23" i="5"/>
  <c r="AE23" i="5"/>
  <c r="AM22" i="5"/>
  <c r="AE22" i="5"/>
  <c r="AM21" i="5"/>
  <c r="AE21" i="5"/>
  <c r="AM20" i="5"/>
  <c r="AE20" i="5"/>
  <c r="AM19" i="5"/>
  <c r="AE19" i="5"/>
  <c r="AM18" i="5"/>
  <c r="AE18" i="5"/>
  <c r="AM17" i="5"/>
  <c r="AE17" i="5"/>
  <c r="AM16" i="5"/>
  <c r="AE16" i="5"/>
  <c r="AM15" i="5"/>
  <c r="AE15" i="5"/>
  <c r="AM14" i="5"/>
  <c r="AE14" i="5"/>
  <c r="AM13" i="5"/>
  <c r="AE13" i="5"/>
  <c r="AM12" i="5"/>
  <c r="AE12" i="5"/>
  <c r="AM11" i="5"/>
  <c r="AE11" i="5"/>
  <c r="AM10" i="5"/>
  <c r="AE10" i="5"/>
  <c r="AM9" i="5"/>
  <c r="AE9" i="5"/>
  <c r="AM8" i="5"/>
  <c r="AE8" i="5"/>
  <c r="AM7" i="5"/>
  <c r="AE7" i="5"/>
  <c r="AM6" i="5"/>
  <c r="AE6" i="5"/>
  <c r="AM5" i="5"/>
  <c r="AM4" i="5"/>
  <c r="AM3" i="5"/>
  <c r="AE3027" i="2"/>
  <c r="AE3026" i="2"/>
  <c r="AE3025" i="2"/>
  <c r="AE3024" i="2"/>
  <c r="AE3023" i="2"/>
  <c r="AE3022" i="2"/>
  <c r="AE3021" i="2"/>
  <c r="AE3020" i="2"/>
  <c r="AE3019" i="2"/>
  <c r="AE3018" i="2"/>
  <c r="AE3017" i="2"/>
  <c r="AE3016" i="2"/>
  <c r="AE3015" i="2"/>
  <c r="AE3014" i="2"/>
  <c r="AE3013" i="2"/>
  <c r="AE3012" i="2"/>
  <c r="AE3011" i="2"/>
  <c r="AE3010" i="2"/>
  <c r="AE3009" i="2"/>
  <c r="AE3008" i="2"/>
  <c r="AE3007" i="2"/>
  <c r="AE3006" i="2"/>
  <c r="AE3005" i="2"/>
  <c r="AE3004" i="2"/>
  <c r="AE3003" i="2"/>
  <c r="AE3002" i="2"/>
  <c r="AE3001" i="2"/>
  <c r="AE3000" i="2"/>
  <c r="AE2999" i="2"/>
  <c r="AE2998" i="2"/>
  <c r="AE2997" i="2"/>
  <c r="AE2996" i="2"/>
  <c r="AE2995" i="2"/>
  <c r="AE2994" i="2"/>
  <c r="AE2993" i="2"/>
  <c r="AE2992" i="2"/>
  <c r="AE2991" i="2"/>
  <c r="AE2990" i="2"/>
  <c r="AE2989" i="2"/>
  <c r="AE2988" i="2"/>
  <c r="AE2987" i="2"/>
  <c r="AE2986" i="2"/>
  <c r="AE2985" i="2"/>
  <c r="AE2984" i="2"/>
  <c r="AE2983" i="2"/>
  <c r="AE2982" i="2"/>
  <c r="AE2981" i="2"/>
  <c r="AE2980" i="2"/>
  <c r="AE2979" i="2"/>
  <c r="AE2978" i="2"/>
  <c r="AE2977" i="2"/>
  <c r="AE2976" i="2"/>
  <c r="AE2975" i="2"/>
  <c r="AE2974" i="2"/>
  <c r="AE2973" i="2"/>
  <c r="AE2972" i="2"/>
  <c r="AE2971" i="2"/>
  <c r="AE2970" i="2"/>
  <c r="AE2969" i="2"/>
  <c r="AE2968" i="2"/>
  <c r="AE2967" i="2"/>
  <c r="AE2966" i="2"/>
  <c r="AE2965" i="2"/>
  <c r="AE2964" i="2"/>
  <c r="AE2963" i="2"/>
  <c r="AE2962" i="2"/>
  <c r="AE2961" i="2"/>
  <c r="AE2960" i="2"/>
  <c r="AE2959" i="2"/>
  <c r="AE2958" i="2"/>
  <c r="AE2957" i="2"/>
  <c r="AE2956" i="2"/>
  <c r="AE2955" i="2"/>
  <c r="AE2954" i="2"/>
  <c r="AE2953" i="2"/>
  <c r="AE2952" i="2"/>
  <c r="AE2951" i="2"/>
  <c r="AE2950" i="2"/>
  <c r="AE2949" i="2"/>
  <c r="AE2948" i="2"/>
  <c r="AE2947" i="2"/>
  <c r="AE2946" i="2"/>
  <c r="AE2945" i="2"/>
  <c r="AE2944" i="2"/>
  <c r="AE2943" i="2"/>
  <c r="AE2942" i="2"/>
  <c r="AE2941" i="2"/>
  <c r="AE2940" i="2"/>
  <c r="AE2939" i="2"/>
  <c r="AE2938" i="2"/>
  <c r="AE2937" i="2"/>
  <c r="AE2936" i="2"/>
  <c r="AE2935" i="2"/>
  <c r="AE2934" i="2"/>
  <c r="AE2933" i="2"/>
  <c r="AE2932" i="2"/>
  <c r="AE2931" i="2"/>
  <c r="AE2930" i="2"/>
  <c r="AE2929" i="2"/>
  <c r="AE2928" i="2"/>
  <c r="AE2927" i="2"/>
  <c r="AE2926" i="2"/>
  <c r="AE2925" i="2"/>
  <c r="AE2924" i="2"/>
  <c r="AE2923" i="2"/>
  <c r="AE2922" i="2"/>
  <c r="AE2921" i="2"/>
  <c r="AE2920" i="2"/>
  <c r="AE2919" i="2"/>
  <c r="AE2918" i="2"/>
  <c r="AE2917" i="2"/>
  <c r="AE2916" i="2"/>
  <c r="AE2915" i="2"/>
  <c r="AE2914" i="2"/>
  <c r="AE2913" i="2"/>
  <c r="AE2912" i="2"/>
  <c r="AE2911" i="2"/>
  <c r="AE2910" i="2"/>
  <c r="AE2909" i="2"/>
  <c r="AE2908" i="2"/>
  <c r="AE2907" i="2"/>
  <c r="AE2906" i="2"/>
  <c r="AE2905" i="2"/>
  <c r="AE2904" i="2"/>
  <c r="AE2903" i="2"/>
  <c r="AE2902" i="2"/>
  <c r="AE2901" i="2"/>
  <c r="AE2900" i="2"/>
  <c r="AE2899" i="2"/>
  <c r="AE2898" i="2"/>
  <c r="AE2897" i="2"/>
  <c r="AE2896" i="2"/>
  <c r="AE2895" i="2"/>
  <c r="AE2894" i="2"/>
  <c r="AE2893" i="2"/>
  <c r="AE2892" i="2"/>
  <c r="AE2891" i="2"/>
  <c r="AE2890" i="2"/>
  <c r="AE2889" i="2"/>
  <c r="AE2888" i="2"/>
  <c r="AE2887" i="2"/>
  <c r="AE2886" i="2"/>
  <c r="AE2885" i="2"/>
  <c r="AE2884" i="2"/>
  <c r="AE2883" i="2"/>
  <c r="AE2882" i="2"/>
  <c r="AE2881" i="2"/>
  <c r="AE2880" i="2"/>
  <c r="AE2879" i="2"/>
  <c r="AE2878" i="2"/>
  <c r="AE2877" i="2"/>
  <c r="AE2876" i="2"/>
  <c r="AE2875" i="2"/>
  <c r="AE2874" i="2"/>
  <c r="AE2873" i="2"/>
  <c r="AE2872" i="2"/>
  <c r="AE2871" i="2"/>
  <c r="AE2870" i="2"/>
  <c r="AE2869" i="2"/>
  <c r="AE2868" i="2"/>
  <c r="AE2867" i="2"/>
  <c r="AE2866" i="2"/>
  <c r="AE2865" i="2"/>
  <c r="AE2864" i="2"/>
  <c r="AE2863" i="2"/>
  <c r="AE2862" i="2"/>
  <c r="AE2861" i="2"/>
  <c r="AE2860" i="2"/>
  <c r="AE2859" i="2"/>
  <c r="AE2858" i="2"/>
  <c r="AE2857" i="2"/>
  <c r="AE2856" i="2"/>
  <c r="AE2855" i="2"/>
  <c r="AE2854" i="2"/>
  <c r="AE2853" i="2"/>
  <c r="AE2852" i="2"/>
  <c r="AE2851" i="2"/>
  <c r="AE2850" i="2"/>
  <c r="AE2849" i="2"/>
  <c r="AE2848" i="2"/>
  <c r="AE2847" i="2"/>
  <c r="AE2846" i="2"/>
  <c r="AE2845" i="2"/>
  <c r="AE2844" i="2"/>
  <c r="AE2843" i="2"/>
  <c r="AE2842" i="2"/>
  <c r="AE2841" i="2"/>
  <c r="AE2840" i="2"/>
  <c r="AE2839" i="2"/>
  <c r="AE2838" i="2"/>
  <c r="AE2837" i="2"/>
  <c r="AE2836" i="2"/>
  <c r="AE2835" i="2"/>
  <c r="AE2834" i="2"/>
  <c r="AE2833" i="2"/>
  <c r="AE2832" i="2"/>
  <c r="AE2831" i="2"/>
  <c r="AE2830" i="2"/>
  <c r="AE2829" i="2"/>
  <c r="AE2828" i="2"/>
  <c r="AE2827" i="2"/>
  <c r="AE2826" i="2"/>
  <c r="AE2825" i="2"/>
  <c r="AE2824" i="2"/>
  <c r="AE2823" i="2"/>
  <c r="AE2822" i="2"/>
  <c r="AE2821" i="2"/>
  <c r="AE2820" i="2"/>
  <c r="AE2819" i="2"/>
  <c r="AE2818" i="2"/>
  <c r="AE2817" i="2"/>
  <c r="AE2816" i="2"/>
  <c r="AE2815" i="2"/>
  <c r="AE2814" i="2"/>
  <c r="AE2813" i="2"/>
  <c r="AE2812" i="2"/>
  <c r="AE2811" i="2"/>
  <c r="AE2810" i="2"/>
  <c r="AE2809" i="2"/>
  <c r="AE2808" i="2"/>
  <c r="AE2807" i="2"/>
  <c r="AE2806" i="2"/>
  <c r="AE2805" i="2"/>
  <c r="AE2804" i="2"/>
  <c r="AE2803" i="2"/>
  <c r="AE2802" i="2"/>
  <c r="AE2801" i="2"/>
  <c r="AE2800" i="2"/>
  <c r="AE2799" i="2"/>
  <c r="AE2798" i="2"/>
  <c r="AE2797" i="2"/>
  <c r="AE2796" i="2"/>
  <c r="AE2795" i="2"/>
  <c r="AE2794" i="2"/>
  <c r="AE2793" i="2"/>
  <c r="AE2792" i="2"/>
  <c r="AE2791" i="2"/>
  <c r="AE2790" i="2"/>
  <c r="AE2789" i="2"/>
  <c r="AE2788" i="2"/>
  <c r="AE2787" i="2"/>
  <c r="AE2786" i="2"/>
  <c r="AE2785" i="2"/>
  <c r="AE2784" i="2"/>
  <c r="AE2783" i="2"/>
  <c r="AE2782" i="2"/>
  <c r="AE2781" i="2"/>
  <c r="AE2780" i="2"/>
  <c r="AE2779" i="2"/>
  <c r="AE2778" i="2"/>
  <c r="AE2777" i="2"/>
  <c r="AE2776" i="2"/>
  <c r="AE2775" i="2"/>
  <c r="AE2774" i="2"/>
  <c r="AE2773" i="2"/>
  <c r="AE2772" i="2"/>
  <c r="AE2771" i="2"/>
  <c r="AE2770" i="2"/>
  <c r="AE2769" i="2"/>
  <c r="AE2768" i="2"/>
  <c r="AE2767" i="2"/>
  <c r="AE2766" i="2"/>
  <c r="AE2765" i="2"/>
  <c r="AE2764" i="2"/>
  <c r="AE2763" i="2"/>
  <c r="AE2762" i="2"/>
  <c r="AE2761" i="2"/>
  <c r="AE2760" i="2"/>
  <c r="AE2759" i="2"/>
  <c r="AE2758" i="2"/>
  <c r="AE2757" i="2"/>
  <c r="AE2756" i="2"/>
  <c r="AE2755" i="2"/>
  <c r="AE2754" i="2"/>
  <c r="AE2753" i="2"/>
  <c r="AE2752" i="2"/>
  <c r="AE2751" i="2"/>
  <c r="AE2750" i="2"/>
  <c r="AE2749" i="2"/>
  <c r="AE2748" i="2"/>
  <c r="AE2747" i="2"/>
  <c r="AE2746" i="2"/>
  <c r="AE2745" i="2"/>
  <c r="AE2744" i="2"/>
  <c r="AE2743" i="2"/>
  <c r="AE2742" i="2"/>
  <c r="AE2741" i="2"/>
  <c r="AE2740" i="2"/>
  <c r="AE2739" i="2"/>
  <c r="AE2738" i="2"/>
  <c r="AE2737" i="2"/>
  <c r="AE2736" i="2"/>
  <c r="AE2735" i="2"/>
  <c r="AE2734" i="2"/>
  <c r="AE2733" i="2"/>
  <c r="AE2732" i="2"/>
  <c r="AE2731" i="2"/>
  <c r="AE2730" i="2"/>
  <c r="AE2729" i="2"/>
  <c r="AE2728" i="2"/>
  <c r="AE2727" i="2"/>
  <c r="AE2726" i="2"/>
  <c r="AE2725" i="2"/>
  <c r="AE2724" i="2"/>
  <c r="AE2723" i="2"/>
  <c r="AE2722" i="2"/>
  <c r="AE2721" i="2"/>
  <c r="AE2720" i="2"/>
  <c r="AE2719" i="2"/>
  <c r="AE2718" i="2"/>
  <c r="AE2717" i="2"/>
  <c r="AE2716" i="2"/>
  <c r="AE2715" i="2"/>
  <c r="AE2714" i="2"/>
  <c r="AE2713" i="2"/>
  <c r="AE2712" i="2"/>
  <c r="AE2711" i="2"/>
  <c r="AE2710" i="2"/>
  <c r="AE2709" i="2"/>
  <c r="AE2708" i="2"/>
  <c r="AE2707" i="2"/>
  <c r="AE2706" i="2"/>
  <c r="AE2705" i="2"/>
  <c r="AE2704" i="2"/>
  <c r="AE2703" i="2"/>
  <c r="AE2702" i="2"/>
  <c r="AE2701" i="2"/>
  <c r="AE2700" i="2"/>
  <c r="AE2699" i="2"/>
  <c r="AE2698" i="2"/>
  <c r="AE2697" i="2"/>
  <c r="AE2696" i="2"/>
  <c r="AE2695" i="2"/>
  <c r="AE2694" i="2"/>
  <c r="AE2693" i="2"/>
  <c r="AE2692" i="2"/>
  <c r="AE2691" i="2"/>
  <c r="AE2690" i="2"/>
  <c r="AE2689" i="2"/>
  <c r="AE2688" i="2"/>
  <c r="AE2687" i="2"/>
  <c r="AE2686" i="2"/>
  <c r="AE2685" i="2"/>
  <c r="AE2684" i="2"/>
  <c r="AE2683" i="2"/>
  <c r="AE2682" i="2"/>
  <c r="AE2681" i="2"/>
  <c r="AE2680" i="2"/>
  <c r="AE2679" i="2"/>
  <c r="AE2678" i="2"/>
  <c r="AE2677" i="2"/>
  <c r="AE2676" i="2"/>
  <c r="AE2675" i="2"/>
  <c r="AE2674" i="2"/>
  <c r="AE2673" i="2"/>
  <c r="AE2672" i="2"/>
  <c r="AE2671" i="2"/>
  <c r="AE2670" i="2"/>
  <c r="AE2669" i="2"/>
  <c r="AE2668" i="2"/>
  <c r="AE2667" i="2"/>
  <c r="AE2666" i="2"/>
  <c r="AE2665" i="2"/>
  <c r="AE2664" i="2"/>
  <c r="AE2663" i="2"/>
  <c r="AE2662" i="2"/>
  <c r="AE2661" i="2"/>
  <c r="AE2660" i="2"/>
  <c r="AE2659" i="2"/>
  <c r="AE2658" i="2"/>
  <c r="AE2657" i="2"/>
  <c r="AE2656" i="2"/>
  <c r="AE2655" i="2"/>
  <c r="AE2654" i="2"/>
  <c r="AE2653" i="2"/>
  <c r="AE2652" i="2"/>
  <c r="AE2651" i="2"/>
  <c r="AE2650" i="2"/>
  <c r="AE2649" i="2"/>
  <c r="AE2648" i="2"/>
  <c r="AE2647" i="2"/>
  <c r="AE2646" i="2"/>
  <c r="AE2645" i="2"/>
  <c r="AE2644" i="2"/>
  <c r="AE2643" i="2"/>
  <c r="AE2642" i="2"/>
  <c r="AE2641" i="2"/>
  <c r="AE2640" i="2"/>
  <c r="AE2639" i="2"/>
  <c r="AE2638" i="2"/>
  <c r="AE2637" i="2"/>
  <c r="AE2636" i="2"/>
  <c r="AE2635" i="2"/>
  <c r="AE2634" i="2"/>
  <c r="AE2633" i="2"/>
  <c r="AE2632" i="2"/>
  <c r="AE2631" i="2"/>
  <c r="AE2630" i="2"/>
  <c r="AE2629" i="2"/>
  <c r="AE2628" i="2"/>
  <c r="AE2627" i="2"/>
  <c r="AE2626" i="2"/>
  <c r="AE2625" i="2"/>
  <c r="AE2624" i="2"/>
  <c r="AE2623" i="2"/>
  <c r="AE2622" i="2"/>
  <c r="AE2621" i="2"/>
  <c r="AE2620" i="2"/>
  <c r="AE2619" i="2"/>
  <c r="AE2618" i="2"/>
  <c r="AE2617" i="2"/>
  <c r="AE2616" i="2"/>
  <c r="AE2615" i="2"/>
  <c r="AE2614" i="2"/>
  <c r="AE2613" i="2"/>
  <c r="AE2612" i="2"/>
  <c r="AE2611" i="2"/>
  <c r="AE2610" i="2"/>
  <c r="AE2609" i="2"/>
  <c r="AE2608" i="2"/>
  <c r="AE2607" i="2"/>
  <c r="AE2606" i="2"/>
  <c r="AE2605" i="2"/>
  <c r="AE2604" i="2"/>
  <c r="AE2603" i="2"/>
  <c r="AE2602" i="2"/>
  <c r="AE2601" i="2"/>
  <c r="AE2600" i="2"/>
  <c r="AE2599" i="2"/>
  <c r="AE2598" i="2"/>
  <c r="AE2597" i="2"/>
  <c r="AE2596" i="2"/>
  <c r="AE2595" i="2"/>
  <c r="AE2594" i="2"/>
  <c r="AE2593" i="2"/>
  <c r="AE2592" i="2"/>
  <c r="AE2591" i="2"/>
  <c r="AE2590" i="2"/>
  <c r="AE2589" i="2"/>
  <c r="AE2588" i="2"/>
  <c r="AE2587" i="2"/>
  <c r="AE2586" i="2"/>
  <c r="AE2585" i="2"/>
  <c r="AE2584" i="2"/>
  <c r="AE2583" i="2"/>
  <c r="AE2582" i="2"/>
  <c r="AE2581" i="2"/>
  <c r="AE2580" i="2"/>
  <c r="AE2579" i="2"/>
  <c r="AE2578" i="2"/>
  <c r="AE2577" i="2"/>
  <c r="AE2576" i="2"/>
  <c r="AE2575" i="2"/>
  <c r="AE2574" i="2"/>
  <c r="AE2573" i="2"/>
  <c r="AE2572" i="2"/>
  <c r="AE2571" i="2"/>
  <c r="AE2570" i="2"/>
  <c r="AE2569" i="2"/>
  <c r="AE2568" i="2"/>
  <c r="AE2567" i="2"/>
  <c r="AE2566" i="2"/>
  <c r="AE2565" i="2"/>
  <c r="AE2564" i="2"/>
  <c r="AE2563" i="2"/>
  <c r="AE2562" i="2"/>
  <c r="AE2561" i="2"/>
  <c r="AE2560" i="2"/>
  <c r="AE2559" i="2"/>
  <c r="AE2558" i="2"/>
  <c r="AE2557" i="2"/>
  <c r="AE2556" i="2"/>
  <c r="AE2555" i="2"/>
  <c r="AE2554" i="2"/>
  <c r="AE2553" i="2"/>
  <c r="AE2552" i="2"/>
  <c r="AE2551" i="2"/>
  <c r="AE2550" i="2"/>
  <c r="AL2549" i="2"/>
  <c r="AK2549" i="2"/>
  <c r="AE2549" i="2"/>
  <c r="AE2548" i="2"/>
  <c r="AE2547" i="2"/>
  <c r="AE2546" i="2"/>
  <c r="AE2545" i="2"/>
  <c r="AE2544" i="2"/>
  <c r="AE2543" i="2"/>
  <c r="AE2542" i="2"/>
  <c r="AE2541" i="2"/>
  <c r="AE2540" i="2"/>
  <c r="AE2539" i="2"/>
  <c r="AE2538" i="2"/>
  <c r="AE2537" i="2"/>
  <c r="AE2536" i="2"/>
  <c r="AE2535" i="2"/>
  <c r="AE2534" i="2"/>
  <c r="AE2533" i="2"/>
  <c r="AE2532" i="2"/>
  <c r="AE2531" i="2"/>
  <c r="AE2530" i="2"/>
  <c r="AE2529" i="2"/>
  <c r="AE2528" i="2"/>
  <c r="AE2527" i="2"/>
  <c r="AE2526" i="2"/>
  <c r="AE2525" i="2"/>
  <c r="AE2524" i="2"/>
  <c r="AE2523" i="2"/>
  <c r="AE2522" i="2"/>
  <c r="AE2521" i="2"/>
  <c r="AE2520" i="2"/>
  <c r="AE2519" i="2"/>
  <c r="AE2518" i="2"/>
  <c r="AE2517" i="2"/>
  <c r="AE2516" i="2"/>
  <c r="AE2515" i="2"/>
  <c r="AE2514" i="2"/>
  <c r="AE2513" i="2"/>
  <c r="AE2512" i="2"/>
  <c r="AE2511"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L2476" i="2"/>
  <c r="AK2476"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L2351" i="2"/>
  <c r="AM2351" i="2" s="1"/>
  <c r="AE2351" i="2"/>
  <c r="AE2350" i="2"/>
  <c r="AE2349" i="2"/>
  <c r="AE2348" i="2"/>
  <c r="AE2347" i="2"/>
  <c r="AE2346" i="2"/>
  <c r="AE2345" i="2"/>
  <c r="AE2344" i="2"/>
  <c r="AM2476" i="2" l="1"/>
  <c r="AM2549" i="2"/>
  <c r="AE5130" i="2"/>
  <c r="U5130" i="2"/>
  <c r="AE5129" i="2"/>
  <c r="U5129" i="2"/>
  <c r="AE5128" i="2"/>
  <c r="U5128" i="2"/>
  <c r="AE5127" i="2"/>
  <c r="U5127" i="2"/>
  <c r="AE5126" i="2"/>
  <c r="U5126" i="2"/>
  <c r="AE5125" i="2"/>
  <c r="U5125" i="2"/>
  <c r="AE5124" i="2"/>
  <c r="U5124" i="2"/>
  <c r="AE5123" i="2"/>
  <c r="U5123" i="2"/>
  <c r="AE5122" i="2"/>
  <c r="U5122" i="2"/>
  <c r="AE5121" i="2"/>
  <c r="U5121" i="2"/>
  <c r="AE5120" i="2"/>
  <c r="U5120" i="2"/>
  <c r="AE5119" i="2"/>
  <c r="U5119" i="2"/>
  <c r="AE5118" i="2"/>
  <c r="U5118" i="2"/>
  <c r="AE5117" i="2"/>
  <c r="U5117" i="2"/>
  <c r="AE5116" i="2"/>
  <c r="U5116" i="2"/>
  <c r="AE5115" i="2"/>
  <c r="U5115" i="2"/>
  <c r="AE5114" i="2"/>
  <c r="U5114" i="2"/>
  <c r="AE5113" i="2"/>
  <c r="U5113" i="2"/>
  <c r="AE5112" i="2"/>
  <c r="U5112" i="2"/>
  <c r="AE5111" i="2"/>
  <c r="U5111" i="2"/>
  <c r="AE5110" i="2"/>
  <c r="U5110" i="2"/>
  <c r="AE5109" i="2"/>
  <c r="U5109" i="2"/>
  <c r="AE5108" i="2"/>
  <c r="U5108" i="2"/>
  <c r="AE5107" i="2"/>
  <c r="U5107" i="2"/>
  <c r="AE5106" i="2"/>
  <c r="U5106" i="2"/>
  <c r="AE5105" i="2"/>
  <c r="U5105" i="2"/>
  <c r="AE5104" i="2"/>
  <c r="U5104" i="2"/>
  <c r="AE5103" i="2"/>
  <c r="U5103" i="2"/>
  <c r="AE5102" i="2"/>
  <c r="U5102" i="2"/>
  <c r="AE5101" i="2"/>
  <c r="U5101" i="2"/>
  <c r="AE5100" i="2"/>
  <c r="U5100" i="2"/>
  <c r="AE5099" i="2"/>
  <c r="U5099" i="2"/>
  <c r="AE5098" i="2"/>
  <c r="U5098" i="2"/>
  <c r="AE5097" i="2"/>
  <c r="U5097" i="2"/>
  <c r="AE5096" i="2"/>
  <c r="U5096" i="2"/>
  <c r="AE5095" i="2"/>
  <c r="U5095" i="2"/>
  <c r="AE5094" i="2"/>
  <c r="U5094" i="2"/>
  <c r="AE5093" i="2"/>
  <c r="U5093" i="2"/>
  <c r="AE5092" i="2"/>
  <c r="U5092" i="2"/>
  <c r="AE5091" i="2"/>
  <c r="U5091" i="2"/>
  <c r="AE5090" i="2"/>
  <c r="U5090" i="2"/>
  <c r="AE5089" i="2"/>
  <c r="U5089" i="2"/>
  <c r="AE5088" i="2"/>
  <c r="U5088" i="2"/>
  <c r="AE5087" i="2"/>
  <c r="U5087" i="2"/>
  <c r="AE5086" i="2"/>
  <c r="U5086" i="2"/>
  <c r="AE5085" i="2"/>
  <c r="U5085" i="2"/>
  <c r="AE5084" i="2"/>
  <c r="U5084" i="2"/>
  <c r="AE5083" i="2"/>
  <c r="U5083" i="2"/>
  <c r="AE5082" i="2"/>
  <c r="U5082" i="2"/>
  <c r="AE5081" i="2"/>
  <c r="U5081" i="2"/>
  <c r="AE5080" i="2"/>
  <c r="U5080" i="2"/>
  <c r="AL5079" i="2"/>
  <c r="AM5079" i="2" s="1"/>
  <c r="AE5079" i="2"/>
  <c r="U5079" i="2"/>
  <c r="AE5078" i="2"/>
  <c r="U5078" i="2"/>
  <c r="AE5077" i="2"/>
  <c r="U5077" i="2"/>
  <c r="AL5076" i="2"/>
  <c r="AM5076" i="2" s="1"/>
  <c r="AE5076" i="2"/>
  <c r="U5076" i="2"/>
  <c r="AE5075" i="2"/>
  <c r="U5075" i="2"/>
  <c r="AE5074" i="2"/>
  <c r="U5074" i="2"/>
  <c r="AE5073" i="2"/>
  <c r="U5073" i="2"/>
  <c r="AE5072" i="2"/>
  <c r="U5072" i="2"/>
  <c r="AE5071" i="2"/>
  <c r="U5071" i="2"/>
  <c r="AE5070" i="2"/>
  <c r="U5070" i="2"/>
  <c r="AE5069" i="2"/>
  <c r="U5069" i="2"/>
  <c r="AE5068" i="2"/>
  <c r="U5068" i="2"/>
  <c r="AE5067" i="2"/>
  <c r="U5067" i="2"/>
  <c r="AE5066" i="2"/>
  <c r="U5066" i="2"/>
  <c r="AE5065" i="2"/>
  <c r="U5065" i="2"/>
  <c r="AE5064" i="2"/>
  <c r="U5064" i="2"/>
  <c r="AE5063" i="2"/>
  <c r="U5063" i="2"/>
  <c r="AE5062" i="2"/>
  <c r="U5062" i="2"/>
  <c r="AE5061" i="2"/>
  <c r="U5061" i="2"/>
  <c r="AE5060" i="2"/>
  <c r="U5060" i="2"/>
  <c r="AE5059" i="2"/>
  <c r="U5059" i="2"/>
  <c r="AE5058" i="2"/>
  <c r="U5058" i="2"/>
  <c r="AE5057" i="2"/>
  <c r="U5057" i="2"/>
  <c r="AE5056" i="2"/>
  <c r="U5056" i="2"/>
  <c r="AE5055" i="2"/>
  <c r="U5055" i="2"/>
  <c r="AE5054" i="2"/>
  <c r="U5054" i="2"/>
  <c r="AE5053" i="2"/>
  <c r="U5053" i="2"/>
  <c r="AE5052" i="2"/>
  <c r="U5052" i="2"/>
  <c r="AE5051" i="2"/>
  <c r="U5051" i="2"/>
  <c r="AE5050" i="2"/>
  <c r="U5050" i="2"/>
  <c r="AE5049" i="2"/>
  <c r="U5049" i="2"/>
  <c r="AE5048" i="2"/>
  <c r="U5048" i="2"/>
  <c r="AE5047" i="2"/>
  <c r="U5047" i="2"/>
  <c r="AE5046" i="2"/>
  <c r="U5046" i="2"/>
  <c r="AE5045" i="2"/>
  <c r="U5045" i="2"/>
  <c r="AE5044" i="2"/>
  <c r="U5044" i="2"/>
  <c r="AE5043" i="2"/>
  <c r="U5043" i="2"/>
  <c r="AE5042" i="2"/>
  <c r="U5042" i="2"/>
  <c r="AE5041" i="2"/>
  <c r="U5041" i="2"/>
  <c r="AE5040" i="2"/>
  <c r="U5040" i="2"/>
  <c r="AE5039" i="2"/>
  <c r="U5039" i="2"/>
  <c r="AE5038" i="2"/>
  <c r="U5038" i="2"/>
  <c r="AE5037" i="2"/>
  <c r="U5037" i="2"/>
  <c r="AE5036" i="2"/>
  <c r="U5036" i="2"/>
  <c r="AE5035" i="2"/>
  <c r="U5035" i="2"/>
  <c r="AE5034" i="2"/>
  <c r="U5034" i="2"/>
  <c r="AE5033" i="2"/>
  <c r="U5033" i="2"/>
  <c r="AE5032" i="2"/>
  <c r="U5032" i="2"/>
  <c r="AE5031" i="2"/>
  <c r="U5031" i="2"/>
  <c r="AE5030" i="2"/>
  <c r="U5030" i="2"/>
  <c r="AE5029" i="2"/>
  <c r="U5029" i="2"/>
  <c r="AE5028" i="2"/>
  <c r="U5028" i="2"/>
  <c r="AE5027" i="2"/>
  <c r="U5027" i="2"/>
  <c r="AE5026" i="2"/>
  <c r="U5026" i="2"/>
  <c r="AE5025" i="2"/>
  <c r="U5025" i="2"/>
  <c r="AE5024" i="2"/>
  <c r="U5024" i="2"/>
  <c r="AE5023" i="2"/>
  <c r="U5023" i="2"/>
  <c r="AE5022" i="2"/>
  <c r="U5022" i="2"/>
  <c r="AE5021" i="2"/>
  <c r="U5021" i="2"/>
  <c r="AE5020" i="2"/>
  <c r="U5020" i="2"/>
  <c r="AE5019" i="2"/>
  <c r="U5019" i="2"/>
  <c r="AE5018" i="2"/>
  <c r="U5018" i="2"/>
  <c r="AE5017" i="2"/>
  <c r="U5017" i="2"/>
  <c r="AE5016" i="2"/>
  <c r="U5016" i="2"/>
  <c r="AE5015" i="2"/>
  <c r="U5015" i="2"/>
  <c r="AL5014" i="2"/>
  <c r="AM5014" i="2" s="1"/>
  <c r="AE5014" i="2"/>
  <c r="U5014" i="2"/>
  <c r="AE5013" i="2"/>
  <c r="U5013" i="2"/>
  <c r="AE5012" i="2"/>
  <c r="U5012" i="2"/>
  <c r="AE5011" i="2"/>
  <c r="U5011" i="2"/>
  <c r="AE5010" i="2"/>
  <c r="U5010" i="2"/>
  <c r="AE5009" i="2"/>
  <c r="U5009" i="2"/>
  <c r="AE5008" i="2"/>
  <c r="U5008" i="2"/>
  <c r="AE5007" i="2"/>
  <c r="U5007" i="2"/>
  <c r="AE5006" i="2"/>
  <c r="U5006" i="2"/>
  <c r="AE5005" i="2"/>
  <c r="U5005" i="2"/>
  <c r="AE5004" i="2"/>
  <c r="U5004" i="2"/>
  <c r="AE5003" i="2"/>
  <c r="U5003" i="2"/>
  <c r="AE5002" i="2"/>
  <c r="U5002" i="2"/>
  <c r="AE5001" i="2"/>
  <c r="U5001" i="2"/>
  <c r="AE5000" i="2"/>
  <c r="U5000" i="2"/>
  <c r="AE4999" i="2"/>
  <c r="U4999" i="2"/>
  <c r="AE4998" i="2"/>
  <c r="U4998" i="2"/>
  <c r="AE4997" i="2"/>
  <c r="U4997" i="2"/>
  <c r="AE4996" i="2"/>
  <c r="U4996" i="2"/>
  <c r="AE4995" i="2"/>
  <c r="U4995" i="2"/>
  <c r="AE4994" i="2"/>
  <c r="U4994" i="2"/>
  <c r="AE4993" i="2"/>
  <c r="U4993" i="2"/>
  <c r="AE4992" i="2"/>
  <c r="U4992" i="2"/>
  <c r="AE4991" i="2"/>
  <c r="U4991" i="2"/>
  <c r="AE4990" i="2"/>
  <c r="U4990" i="2"/>
  <c r="AE4989" i="2"/>
  <c r="U4989" i="2"/>
  <c r="AE4988" i="2"/>
  <c r="U4988" i="2"/>
  <c r="AE4987" i="2"/>
  <c r="U4987" i="2"/>
  <c r="AE4986" i="2"/>
  <c r="U4986" i="2"/>
  <c r="AE4985" i="2"/>
  <c r="U4985" i="2"/>
  <c r="AE1662" i="2" l="1"/>
  <c r="U1662" i="2"/>
  <c r="AE1661" i="2"/>
  <c r="U1661" i="2"/>
  <c r="AE1660" i="2"/>
  <c r="U1660" i="2"/>
  <c r="AE1659" i="2"/>
  <c r="U1659" i="2"/>
  <c r="AE1658" i="2"/>
  <c r="U1658" i="2"/>
  <c r="AE1657" i="2"/>
  <c r="U1657" i="2"/>
  <c r="AE1656" i="2"/>
  <c r="U1656" i="2"/>
  <c r="AE1655" i="2"/>
  <c r="U1655" i="2"/>
  <c r="AE1654" i="2"/>
  <c r="U1654" i="2"/>
  <c r="AE1653" i="2"/>
  <c r="U1653" i="2"/>
  <c r="AE1652" i="2"/>
  <c r="U1652" i="2"/>
  <c r="AE1651" i="2"/>
  <c r="U1651" i="2"/>
  <c r="AE1650" i="2"/>
  <c r="U1650" i="2"/>
  <c r="AE1649" i="2"/>
  <c r="U1649" i="2"/>
  <c r="AE1648" i="2"/>
  <c r="U1648" i="2"/>
  <c r="AE1647" i="2"/>
  <c r="U1647" i="2"/>
  <c r="AE1646" i="2"/>
  <c r="U1646" i="2"/>
  <c r="AE1645" i="2"/>
  <c r="U1645" i="2"/>
  <c r="AE1644" i="2"/>
  <c r="U1644" i="2"/>
  <c r="AE1643" i="2"/>
  <c r="U1643" i="2"/>
  <c r="AE1642" i="2"/>
  <c r="U1642" i="2"/>
  <c r="AE1641" i="2"/>
  <c r="U1641" i="2"/>
  <c r="AE1640" i="2"/>
  <c r="U1640" i="2"/>
  <c r="AE1639" i="2"/>
  <c r="U1639" i="2"/>
  <c r="AE1638" i="2"/>
  <c r="U1638" i="2"/>
  <c r="AE1637" i="2"/>
  <c r="U1637" i="2"/>
  <c r="AE1636" i="2"/>
  <c r="U1636" i="2"/>
  <c r="AE1635" i="2"/>
  <c r="U1635" i="2"/>
  <c r="AE1634" i="2"/>
  <c r="U1634" i="2"/>
  <c r="AE1633" i="2"/>
  <c r="U1633" i="2"/>
  <c r="AE1632" i="2"/>
  <c r="U1632" i="2"/>
  <c r="AE1631" i="2"/>
  <c r="U1631" i="2"/>
  <c r="AE1630" i="2"/>
  <c r="U1630" i="2"/>
  <c r="AE1629" i="2"/>
  <c r="U1629" i="2"/>
  <c r="AE1628" i="2"/>
  <c r="U1628" i="2"/>
  <c r="AE1627" i="2"/>
  <c r="U1627" i="2"/>
  <c r="AE1626" i="2"/>
  <c r="U1626" i="2"/>
  <c r="AE1625" i="2"/>
  <c r="U1625" i="2"/>
  <c r="AE1624" i="2"/>
  <c r="U1624" i="2"/>
  <c r="AE1623" i="2"/>
  <c r="U1623" i="2"/>
  <c r="AE1622" i="2"/>
  <c r="U1622" i="2"/>
  <c r="AE1621" i="2"/>
  <c r="U1621" i="2"/>
  <c r="AE1620" i="2"/>
  <c r="U1620" i="2"/>
  <c r="AE1619" i="2"/>
  <c r="U1619" i="2"/>
  <c r="AE1618" i="2"/>
  <c r="U1618" i="2"/>
  <c r="AE1617" i="2"/>
  <c r="U1617" i="2"/>
  <c r="AE1616" i="2"/>
  <c r="U1616" i="2"/>
  <c r="AE1615" i="2"/>
  <c r="U1615" i="2"/>
  <c r="AE1614" i="2"/>
  <c r="U1614" i="2"/>
  <c r="AE1613" i="2"/>
  <c r="U1613" i="2"/>
  <c r="AE1612" i="2"/>
  <c r="U1612" i="2"/>
  <c r="AE1611" i="2"/>
  <c r="U1611" i="2"/>
  <c r="AE1610" i="2"/>
  <c r="U1610" i="2"/>
  <c r="AE1609" i="2"/>
  <c r="U1609" i="2"/>
  <c r="AE1608" i="2"/>
  <c r="U1608" i="2"/>
  <c r="AE1607" i="2"/>
  <c r="U1607" i="2"/>
  <c r="AE1606" i="2"/>
  <c r="U1606" i="2"/>
  <c r="AE1605" i="2"/>
  <c r="U1605" i="2"/>
  <c r="AE1604" i="2"/>
  <c r="U1604" i="2"/>
  <c r="AE1603" i="2"/>
  <c r="U1603" i="2"/>
  <c r="AE1602" i="2"/>
  <c r="U1602" i="2"/>
  <c r="AE1601" i="2"/>
  <c r="U1601" i="2"/>
  <c r="AE1600" i="2"/>
  <c r="U1600" i="2"/>
  <c r="AE1599" i="2"/>
  <c r="U1599" i="2"/>
  <c r="AE1598" i="2"/>
  <c r="U1598" i="2"/>
  <c r="AE1597" i="2"/>
  <c r="U1597" i="2"/>
  <c r="AE1596" i="2"/>
  <c r="U1596" i="2"/>
  <c r="AE1595" i="2"/>
  <c r="U1595" i="2"/>
  <c r="AE1594" i="2"/>
  <c r="U1594" i="2"/>
  <c r="AE1593" i="2"/>
  <c r="U1593" i="2"/>
  <c r="AE1592" i="2"/>
  <c r="U1592" i="2"/>
  <c r="AE1591" i="2"/>
  <c r="U1591" i="2"/>
  <c r="AE1590" i="2"/>
  <c r="U1590" i="2"/>
  <c r="AE1589" i="2"/>
  <c r="U1589" i="2"/>
  <c r="AE1588" i="2"/>
  <c r="U1588" i="2"/>
  <c r="AE1587" i="2"/>
  <c r="U1587" i="2"/>
  <c r="AE1586" i="2"/>
  <c r="U1586" i="2"/>
  <c r="AE1585" i="2"/>
  <c r="U1585" i="2"/>
  <c r="AE1584" i="2"/>
  <c r="U1584" i="2"/>
  <c r="AE1583" i="2"/>
  <c r="U1583" i="2"/>
  <c r="AE1582" i="2"/>
  <c r="U1582" i="2"/>
  <c r="AE1581" i="2"/>
  <c r="U1581" i="2"/>
  <c r="AE1580" i="2"/>
  <c r="U1580" i="2"/>
  <c r="AE1579" i="2"/>
  <c r="U1579" i="2"/>
  <c r="AE1578" i="2"/>
  <c r="U1578" i="2"/>
  <c r="AE1577" i="2"/>
  <c r="U1577" i="2"/>
  <c r="AE1576" i="2"/>
  <c r="U1576" i="2"/>
  <c r="AE1575" i="2"/>
  <c r="U1575" i="2"/>
  <c r="AE1574" i="2"/>
  <c r="U1574" i="2"/>
  <c r="AE1573" i="2"/>
  <c r="U1573" i="2"/>
  <c r="AE1572" i="2"/>
  <c r="U1572" i="2"/>
  <c r="AE1571" i="2"/>
  <c r="U1571" i="2"/>
  <c r="AE1570" i="2"/>
  <c r="U1570" i="2"/>
  <c r="AE1569" i="2"/>
  <c r="U1569" i="2"/>
  <c r="AE1568" i="2"/>
  <c r="U1568" i="2"/>
  <c r="AE1567" i="2"/>
  <c r="U1567" i="2"/>
  <c r="AE1566" i="2"/>
  <c r="U1566" i="2"/>
  <c r="AE1565" i="2"/>
  <c r="U1565" i="2"/>
  <c r="AE1564" i="2"/>
  <c r="U1564" i="2"/>
  <c r="AE1563" i="2"/>
  <c r="U1563" i="2"/>
  <c r="AE1562" i="2"/>
  <c r="U1562" i="2"/>
  <c r="AE1561" i="2"/>
  <c r="U1561" i="2"/>
  <c r="AE1560" i="2"/>
  <c r="U1560" i="2"/>
  <c r="AE1559" i="2"/>
  <c r="U1559" i="2"/>
  <c r="AE1558" i="2"/>
  <c r="U1558" i="2"/>
  <c r="AE1557" i="2"/>
  <c r="U1557" i="2"/>
  <c r="AE1556" i="2"/>
  <c r="U1556" i="2"/>
  <c r="AE1555" i="2"/>
  <c r="U1555" i="2"/>
  <c r="AE1554" i="2"/>
  <c r="U1554" i="2"/>
  <c r="AE1553" i="2"/>
  <c r="U1553" i="2"/>
  <c r="AE1552" i="2"/>
  <c r="U1552" i="2"/>
  <c r="AE1551" i="2"/>
  <c r="U1551" i="2"/>
  <c r="AE1550" i="2"/>
  <c r="U1550" i="2"/>
  <c r="AE1549" i="2"/>
  <c r="U1549" i="2"/>
  <c r="AE1548" i="2"/>
  <c r="U1548" i="2"/>
  <c r="AE1547" i="2"/>
  <c r="U1547" i="2"/>
  <c r="AE1546" i="2"/>
  <c r="U1546" i="2"/>
  <c r="AE1545" i="2"/>
  <c r="U1545" i="2"/>
  <c r="AE1544" i="2"/>
  <c r="U1544" i="2"/>
  <c r="AE1543" i="2"/>
  <c r="U1543" i="2"/>
  <c r="AE1542" i="2"/>
  <c r="U1542" i="2"/>
  <c r="AE1541" i="2"/>
  <c r="U1541" i="2"/>
  <c r="AE1540" i="2"/>
  <c r="U1540" i="2"/>
  <c r="AE1539" i="2"/>
  <c r="U1539" i="2"/>
  <c r="AE1538" i="2"/>
  <c r="U1538" i="2"/>
  <c r="AE1537" i="2"/>
  <c r="U1537" i="2"/>
  <c r="AE1536" i="2"/>
  <c r="U1536" i="2"/>
  <c r="AE1535" i="2"/>
  <c r="U1535" i="2"/>
  <c r="AE1534" i="2"/>
  <c r="U1534" i="2"/>
  <c r="AE1533" i="2"/>
  <c r="U1533" i="2"/>
  <c r="AE1532" i="2"/>
  <c r="U1532" i="2"/>
  <c r="AE1531" i="2"/>
  <c r="U1531" i="2"/>
  <c r="AE1530" i="2"/>
  <c r="U1530" i="2"/>
  <c r="AE1529" i="2"/>
  <c r="U1529" i="2"/>
  <c r="AE1528" i="2"/>
  <c r="U1528" i="2"/>
  <c r="AE1527" i="2"/>
  <c r="U1527" i="2"/>
  <c r="AE1526" i="2"/>
  <c r="U1526" i="2"/>
  <c r="AE1525" i="2"/>
  <c r="U1525" i="2"/>
  <c r="AE1524" i="2"/>
  <c r="U1524" i="2"/>
  <c r="AE1523" i="2"/>
  <c r="U1523" i="2"/>
  <c r="AE1522" i="2"/>
  <c r="U1522" i="2"/>
  <c r="AE1521" i="2"/>
  <c r="U1521" i="2"/>
  <c r="AE1520" i="2"/>
  <c r="U1520" i="2"/>
  <c r="AE1519" i="2"/>
  <c r="U1519" i="2"/>
  <c r="AE1518" i="2"/>
  <c r="U1518" i="2"/>
  <c r="AE1517" i="2"/>
  <c r="U1517" i="2"/>
  <c r="AE1516" i="2"/>
  <c r="U1516" i="2"/>
  <c r="AE1515" i="2"/>
  <c r="U1515" i="2"/>
  <c r="AE1514" i="2"/>
  <c r="U1514" i="2"/>
  <c r="AE1513" i="2"/>
  <c r="U1513" i="2"/>
  <c r="AE1512" i="2"/>
  <c r="U1512" i="2"/>
  <c r="AE1511" i="2"/>
  <c r="U1511" i="2"/>
  <c r="AE1510" i="2"/>
  <c r="U1510" i="2"/>
  <c r="AE1509" i="2"/>
  <c r="U1509" i="2"/>
  <c r="AE1508" i="2"/>
  <c r="U1508" i="2"/>
  <c r="AE1507" i="2"/>
  <c r="U1507" i="2"/>
  <c r="AE1506" i="2"/>
  <c r="U1506" i="2"/>
  <c r="AE1505" i="2"/>
  <c r="U1505" i="2"/>
  <c r="AE1504" i="2"/>
  <c r="U1504" i="2"/>
  <c r="AE1503" i="2"/>
  <c r="U1503" i="2"/>
  <c r="AE1502" i="2"/>
  <c r="U1502" i="2"/>
  <c r="AE1501" i="2"/>
  <c r="U1501" i="2"/>
  <c r="AE1500" i="2"/>
  <c r="U1500" i="2"/>
  <c r="AE1499" i="2"/>
  <c r="U1499" i="2"/>
  <c r="AE1498" i="2"/>
  <c r="U1498" i="2"/>
  <c r="AE1497" i="2"/>
  <c r="U1497" i="2"/>
  <c r="AE1496" i="2"/>
  <c r="U1496" i="2"/>
  <c r="AE1495" i="2"/>
  <c r="U1495" i="2"/>
  <c r="AE1494" i="2"/>
  <c r="U1494" i="2"/>
  <c r="AE1493" i="2"/>
  <c r="U1493" i="2"/>
  <c r="AE1492" i="2"/>
  <c r="U1492" i="2"/>
  <c r="AE1491" i="2"/>
  <c r="U1491" i="2"/>
  <c r="AE1490" i="2"/>
  <c r="U1490" i="2"/>
  <c r="AE1489" i="2"/>
  <c r="U1489" i="2"/>
  <c r="AE1488" i="2"/>
  <c r="U1488" i="2"/>
  <c r="AE1487" i="2"/>
  <c r="U1487" i="2"/>
  <c r="AE1486" i="2"/>
  <c r="U1486" i="2"/>
  <c r="AE1485" i="2"/>
  <c r="U1485" i="2"/>
  <c r="AE1484" i="2"/>
  <c r="U1484" i="2"/>
  <c r="AE1483" i="2"/>
  <c r="U1483" i="2"/>
  <c r="AE1482" i="2"/>
  <c r="U1482" i="2"/>
  <c r="AE1481" i="2"/>
  <c r="U1481" i="2"/>
  <c r="AE1480" i="2"/>
  <c r="U1480" i="2"/>
  <c r="AE1479" i="2"/>
  <c r="U1479" i="2"/>
  <c r="AE1478" i="2"/>
  <c r="U1478" i="2"/>
  <c r="AE1477" i="2"/>
  <c r="U1477" i="2"/>
  <c r="AE1476" i="2"/>
  <c r="U1476" i="2"/>
  <c r="AE1475" i="2"/>
  <c r="U1475" i="2"/>
  <c r="AE1474" i="2"/>
  <c r="U1474" i="2"/>
  <c r="AE1473" i="2"/>
  <c r="U1473" i="2"/>
  <c r="AE1472" i="2"/>
  <c r="U1472" i="2"/>
  <c r="AE1471" i="2"/>
  <c r="U1471" i="2"/>
  <c r="AE1470" i="2"/>
  <c r="U1470" i="2"/>
  <c r="AE1469" i="2"/>
  <c r="U1469" i="2"/>
  <c r="AE1468" i="2"/>
  <c r="U1468" i="2"/>
  <c r="AE1467" i="2"/>
  <c r="U1467" i="2"/>
  <c r="AE1466" i="2"/>
  <c r="U1466" i="2"/>
  <c r="AE1465" i="2"/>
  <c r="U1465" i="2"/>
  <c r="AE1464" i="2"/>
  <c r="U1464" i="2"/>
  <c r="AE1463" i="2"/>
  <c r="U1463" i="2"/>
  <c r="AE1462" i="2"/>
  <c r="U1462" i="2"/>
  <c r="AE1461" i="2"/>
  <c r="U1461" i="2"/>
  <c r="AE1460" i="2"/>
  <c r="U1460" i="2"/>
  <c r="AE1459" i="2"/>
  <c r="U1459" i="2"/>
  <c r="AE1458" i="2"/>
  <c r="U1458" i="2"/>
  <c r="AE1457" i="2"/>
  <c r="U1457" i="2"/>
  <c r="AE1456" i="2"/>
  <c r="U1456" i="2"/>
  <c r="AE1455" i="2"/>
  <c r="U1455" i="2"/>
  <c r="AE1454" i="2"/>
  <c r="U1454" i="2"/>
  <c r="AE1453" i="2"/>
  <c r="U1453" i="2"/>
  <c r="AE1452" i="2"/>
  <c r="U1452" i="2"/>
  <c r="AE1451" i="2"/>
  <c r="U1451" i="2"/>
  <c r="AE1450" i="2"/>
  <c r="U1450" i="2"/>
  <c r="AE1449" i="2"/>
  <c r="U1449" i="2"/>
  <c r="AE1448" i="2"/>
  <c r="U1448" i="2"/>
  <c r="AE1447" i="2"/>
  <c r="U1447" i="2"/>
  <c r="AE1446" i="2"/>
  <c r="U1446" i="2"/>
  <c r="AE1445" i="2"/>
  <c r="U1445" i="2"/>
  <c r="AE1444" i="2"/>
  <c r="U1444" i="2"/>
  <c r="AE1443" i="2"/>
  <c r="U1443" i="2"/>
  <c r="AE1442" i="2"/>
  <c r="U1442" i="2"/>
  <c r="AE1441" i="2"/>
  <c r="U1441" i="2"/>
  <c r="AE1440" i="2"/>
  <c r="U1440" i="2"/>
  <c r="AE1439" i="2"/>
  <c r="U1439" i="2"/>
  <c r="AE1438" i="2"/>
  <c r="U1438" i="2"/>
  <c r="AE1437" i="2"/>
  <c r="U1437" i="2"/>
  <c r="AE1436" i="2"/>
  <c r="U1436" i="2"/>
  <c r="AE1065" i="2" l="1"/>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R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2139" i="2" l="1"/>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410" i="2" l="1"/>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17" i="2"/>
  <c r="AE1116" i="2"/>
  <c r="AE1115" i="2"/>
  <c r="AE1114" i="2"/>
  <c r="AE677" i="2" l="1"/>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63" i="2" l="1"/>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896" i="2" l="1"/>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L716" i="2"/>
  <c r="AM716" i="2" s="1"/>
  <c r="AE716" i="2"/>
  <c r="AE715" i="2"/>
  <c r="AE714" i="2"/>
  <c r="AE713" i="2"/>
  <c r="AE712" i="2"/>
  <c r="AE711" i="2"/>
  <c r="AE710" i="2"/>
  <c r="AE709" i="2"/>
  <c r="AE708" i="2"/>
  <c r="AE707" i="2"/>
  <c r="AE706" i="2"/>
  <c r="AE705" i="2"/>
  <c r="AE704" i="2"/>
  <c r="AE703" i="2"/>
  <c r="AE3099" i="2" l="1"/>
  <c r="AE3098" i="2"/>
  <c r="AE3097" i="2"/>
  <c r="AE3096" i="2"/>
  <c r="AE3095" i="2"/>
  <c r="AE3094" i="2"/>
  <c r="AE3093" i="2"/>
  <c r="AL3092" i="2"/>
  <c r="AK3092" i="2"/>
  <c r="AE3092" i="2"/>
  <c r="AE3091" i="2"/>
  <c r="AE3090" i="2"/>
  <c r="AK3089" i="2"/>
  <c r="AM3089" i="2" s="1"/>
  <c r="AE3089" i="2"/>
  <c r="AE3088" i="2"/>
  <c r="AE3087" i="2"/>
  <c r="AE3086" i="2"/>
  <c r="AE3085" i="2"/>
  <c r="AE3084" i="2"/>
  <c r="AE3083" i="2"/>
  <c r="AE3082" i="2"/>
  <c r="AE3081" i="2"/>
  <c r="AE3080" i="2"/>
  <c r="AE3079" i="2"/>
  <c r="AE3078" i="2"/>
  <c r="AE3077" i="2"/>
  <c r="AE3076" i="2"/>
  <c r="AE3075" i="2"/>
  <c r="AE3074" i="2"/>
  <c r="AE3073" i="2"/>
  <c r="AE3072" i="2"/>
  <c r="AE3071" i="2"/>
  <c r="AE3070" i="2"/>
  <c r="AE3069" i="2"/>
  <c r="AE3068" i="2"/>
  <c r="AE3067" i="2"/>
  <c r="AE3066" i="2"/>
  <c r="AE3065" i="2"/>
  <c r="AE3064" i="2"/>
  <c r="AE3063" i="2"/>
  <c r="AE3062" i="2"/>
  <c r="AE3061" i="2"/>
  <c r="AE3060" i="2"/>
  <c r="AE3059" i="2"/>
  <c r="AE3058" i="2"/>
  <c r="AE3057" i="2"/>
  <c r="AE3056" i="2"/>
  <c r="AE3055" i="2"/>
  <c r="AE3054" i="2"/>
  <c r="AE3053" i="2"/>
  <c r="AM3092" i="2" l="1"/>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J1754"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2318" i="2" l="1"/>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3488" i="2" l="1"/>
  <c r="AE3487" i="2"/>
  <c r="AE3486" i="2"/>
  <c r="AE3485" i="2"/>
  <c r="AE3484" i="2"/>
  <c r="AE3483" i="2"/>
  <c r="AE3482" i="2"/>
  <c r="AE3481" i="2"/>
  <c r="AE3480" i="2"/>
  <c r="AE3479" i="2"/>
  <c r="AE3478" i="2"/>
  <c r="AE3477" i="2"/>
  <c r="AE3476" i="2"/>
  <c r="AE3475" i="2"/>
  <c r="AE3474" i="2"/>
  <c r="AE3473" i="2"/>
  <c r="AE3472" i="2"/>
  <c r="AE3471" i="2"/>
  <c r="AE3470" i="2"/>
  <c r="AE3469" i="2"/>
  <c r="AE3468" i="2"/>
  <c r="AE3467" i="2"/>
  <c r="AE3466" i="2"/>
  <c r="AE3465" i="2"/>
  <c r="AE3464" i="2"/>
  <c r="AE3463" i="2"/>
  <c r="AE3462" i="2"/>
  <c r="AE3461" i="2"/>
  <c r="AE3460" i="2"/>
  <c r="AE3459" i="2"/>
  <c r="AE3458" i="2"/>
  <c r="AE3457" i="2"/>
  <c r="AE3456" i="2"/>
  <c r="AE3455" i="2"/>
  <c r="AE3454" i="2"/>
  <c r="AE3453" i="2"/>
  <c r="AE3452" i="2"/>
  <c r="AE3451" i="2"/>
  <c r="AE3450" i="2"/>
  <c r="AE3449" i="2"/>
  <c r="AE3448" i="2"/>
  <c r="AE3447" i="2"/>
  <c r="AE3446" i="2"/>
  <c r="AE3445" i="2"/>
  <c r="AE3444" i="2"/>
  <c r="AE3443" i="2"/>
  <c r="AE3442" i="2"/>
  <c r="AE3441" i="2"/>
  <c r="AE3440" i="2"/>
  <c r="AE3439" i="2"/>
  <c r="AE3438" i="2"/>
  <c r="AE3437" i="2"/>
  <c r="AE3436" i="2"/>
  <c r="AE3435" i="2"/>
  <c r="AE3434" i="2"/>
  <c r="AE3433" i="2"/>
  <c r="AL3432" i="2"/>
  <c r="AK3432" i="2"/>
  <c r="AE3432" i="2"/>
  <c r="AE3431" i="2"/>
  <c r="AE3430" i="2"/>
  <c r="AE3429" i="2"/>
  <c r="AE3428" i="2"/>
  <c r="AE3427" i="2"/>
  <c r="AE3426" i="2"/>
  <c r="AE3425" i="2"/>
  <c r="AE3424" i="2"/>
  <c r="AE3423" i="2"/>
  <c r="AE3422" i="2"/>
  <c r="AE3421" i="2"/>
  <c r="AE3420" i="2"/>
  <c r="AE3419" i="2"/>
  <c r="AE3418" i="2"/>
  <c r="AK3417" i="2"/>
  <c r="AM3417" i="2" s="1"/>
  <c r="AE3417" i="2"/>
  <c r="AE3416" i="2"/>
  <c r="AE3415" i="2"/>
  <c r="AE3414" i="2"/>
  <c r="AE3413" i="2"/>
  <c r="AE3412" i="2"/>
  <c r="AE3411" i="2"/>
  <c r="AE3410" i="2"/>
  <c r="AE3409" i="2"/>
  <c r="AE3408" i="2"/>
  <c r="AE3407" i="2"/>
  <c r="AE3406" i="2"/>
  <c r="AL3405" i="2"/>
  <c r="AK3405" i="2"/>
  <c r="AE3405" i="2"/>
  <c r="AE3404" i="2"/>
  <c r="AE3403" i="2"/>
  <c r="AE3402" i="2"/>
  <c r="AE3401" i="2"/>
  <c r="AE3400" i="2"/>
  <c r="AE3399" i="2"/>
  <c r="AE3398" i="2"/>
  <c r="AE3397" i="2"/>
  <c r="AE3396" i="2"/>
  <c r="AE3395" i="2"/>
  <c r="AE3394" i="2"/>
  <c r="AE3393" i="2"/>
  <c r="AE3392" i="2"/>
  <c r="AE3391" i="2"/>
  <c r="AE3390" i="2"/>
  <c r="AE3389" i="2"/>
  <c r="AE3388" i="2"/>
  <c r="AE3387" i="2"/>
  <c r="AE3386" i="2"/>
  <c r="AE3385" i="2"/>
  <c r="AE3384" i="2"/>
  <c r="AE3383" i="2"/>
  <c r="AE3382" i="2"/>
  <c r="AE3381" i="2"/>
  <c r="AE3380" i="2"/>
  <c r="AE3379" i="2"/>
  <c r="AE3378" i="2"/>
  <c r="AE3377" i="2"/>
  <c r="AE3376" i="2"/>
  <c r="AE3375" i="2"/>
  <c r="AE3374" i="2"/>
  <c r="AE3373" i="2"/>
  <c r="AE3372" i="2"/>
  <c r="AE3371" i="2"/>
  <c r="AE3370" i="2"/>
  <c r="AE3369" i="2"/>
  <c r="AM3405" i="2" l="1"/>
  <c r="AM3432" i="2"/>
  <c r="AM7" i="2"/>
  <c r="AM6" i="2"/>
  <c r="AM5" i="2"/>
  <c r="AM3" i="2"/>
  <c r="AM4" i="2"/>
  <c r="AM2" i="2"/>
  <c r="AK130" i="2" l="1"/>
  <c r="AM130" i="2" s="1"/>
  <c r="AE324" i="2" l="1"/>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E8" i="2"/>
  <c r="AE7" i="2"/>
  <c r="AE6" i="2"/>
  <c r="AE5" i="2"/>
  <c r="AG50" i="2" l="1"/>
  <c r="AG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Abbey M. W</author>
    <author>ISRAEL MUGEZI</author>
    <author>NPA</author>
    <author>Microsoft Office User</author>
    <author>William Mutumba</author>
    <author/>
  </authors>
  <commentList>
    <comment ref="W1" authorId="0" shapeId="0" xr:uid="{EAB1270E-8FAE-4E08-8847-970C09679AC8}">
      <text>
        <r>
          <rPr>
            <b/>
            <sz val="9"/>
            <color indexed="81"/>
            <rFont val="Tahoma"/>
            <family val="2"/>
          </rPr>
          <t>Defn:</t>
        </r>
        <r>
          <rPr>
            <sz val="9"/>
            <color indexed="81"/>
            <rFont val="Tahoma"/>
            <family val="2"/>
          </rPr>
          <t xml:space="preserve">
</t>
        </r>
      </text>
    </comment>
    <comment ref="AF1" authorId="0" shapeId="0" xr:uid="{5ABE6F57-7330-4B72-A0D0-08A190F41D8F}">
      <text>
        <r>
          <rPr>
            <b/>
            <sz val="9"/>
            <color indexed="81"/>
            <rFont val="Tahoma"/>
            <family val="2"/>
          </rPr>
          <t>Directives:</t>
        </r>
        <r>
          <rPr>
            <sz val="9"/>
            <color indexed="81"/>
            <rFont val="Tahoma"/>
            <family val="2"/>
          </rPr>
          <t xml:space="preserve">
Security, Irrigation, Electricity, Industrialisation
Oil &amp; Gas
MGR &amp; SGR
Private Sector Development</t>
        </r>
      </text>
    </comment>
    <comment ref="AG268" authorId="1" shapeId="0" xr:uid="{EBC8A32F-8200-41F8-9814-96F11A806DCC}">
      <text>
        <r>
          <rPr>
            <b/>
            <sz val="9"/>
            <color indexed="81"/>
            <rFont val="Tahoma"/>
            <family val="2"/>
          </rPr>
          <t>ISRAEL MUGEZI:</t>
        </r>
        <r>
          <rPr>
            <sz val="9"/>
            <color indexed="81"/>
            <rFont val="Tahoma"/>
            <family val="2"/>
          </rPr>
          <t xml:space="preserve">
MATIP project</t>
        </r>
      </text>
    </comment>
    <comment ref="L592" authorId="2" shapeId="0" xr:uid="{5874AD8F-A0BA-4120-A370-2904B1AB8329}">
      <text>
        <r>
          <rPr>
            <b/>
            <sz val="9"/>
            <color indexed="81"/>
            <rFont val="Tahoma"/>
            <family val="2"/>
          </rPr>
          <t>NPA:</t>
        </r>
        <r>
          <rPr>
            <sz val="9"/>
            <color indexed="81"/>
            <rFont val="Tahoma"/>
            <family val="2"/>
          </rPr>
          <t xml:space="preserve">
The output should be exploration licenses </t>
        </r>
      </text>
    </comment>
    <comment ref="M628" authorId="2" shapeId="0" xr:uid="{8394839D-01FC-4529-BABE-83994840A706}">
      <text>
        <r>
          <rPr>
            <b/>
            <sz val="9"/>
            <color indexed="81"/>
            <rFont val="Tahoma"/>
            <family val="2"/>
          </rPr>
          <t>NPA:</t>
        </r>
        <r>
          <rPr>
            <sz val="9"/>
            <color indexed="81"/>
            <rFont val="Tahoma"/>
            <family val="2"/>
          </rPr>
          <t xml:space="preserve">
Law enacted </t>
        </r>
      </text>
    </comment>
    <comment ref="R662" authorId="2" shapeId="0" xr:uid="{92206441-D7C1-48FB-AC2E-1B0B3A22D47F}">
      <text>
        <r>
          <rPr>
            <b/>
            <sz val="9"/>
            <color indexed="81"/>
            <rFont val="Tahoma"/>
            <family val="2"/>
          </rPr>
          <t>NPA:</t>
        </r>
        <r>
          <rPr>
            <sz val="9"/>
            <color indexed="81"/>
            <rFont val="Tahoma"/>
            <family val="2"/>
          </rPr>
          <t xml:space="preserve">
Number of engagements </t>
        </r>
      </text>
    </comment>
    <comment ref="R667" authorId="2" shapeId="0" xr:uid="{D8C85E2E-44D0-4071-A2D8-9C14E1DE7925}">
      <text>
        <r>
          <rPr>
            <b/>
            <sz val="9"/>
            <color indexed="81"/>
            <rFont val="Tahoma"/>
            <family val="2"/>
          </rPr>
          <t>NPA:</t>
        </r>
        <r>
          <rPr>
            <sz val="9"/>
            <color indexed="81"/>
            <rFont val="Tahoma"/>
            <family val="2"/>
          </rPr>
          <t xml:space="preserve">
Monitoring activities done </t>
        </r>
      </text>
    </comment>
    <comment ref="R671" authorId="2" shapeId="0" xr:uid="{DBA0D347-703D-4BC1-B76D-2CB4E33CA4CC}">
      <text>
        <r>
          <rPr>
            <b/>
            <sz val="9"/>
            <color indexed="81"/>
            <rFont val="Tahoma"/>
            <family val="2"/>
          </rPr>
          <t>NPA:</t>
        </r>
        <r>
          <rPr>
            <sz val="9"/>
            <color indexed="81"/>
            <rFont val="Tahoma"/>
            <family val="2"/>
          </rPr>
          <t xml:space="preserve">
Number of regulations developed </t>
        </r>
      </text>
    </comment>
    <comment ref="V722" authorId="2" shapeId="0" xr:uid="{333119A0-58ED-4F4B-86F5-3C73E1EF83F3}">
      <text>
        <r>
          <rPr>
            <b/>
            <sz val="9"/>
            <color indexed="81"/>
            <rFont val="Tahoma"/>
            <family val="2"/>
          </rPr>
          <t>NPA:</t>
        </r>
        <r>
          <rPr>
            <sz val="9"/>
            <color indexed="81"/>
            <rFont val="Tahoma"/>
            <family val="2"/>
          </rPr>
          <t xml:space="preserve">
Provide technical support for operation and maintenance of zonal hubs</t>
        </r>
      </text>
    </comment>
    <comment ref="V769" authorId="2" shapeId="0" xr:uid="{A9C131F7-F2AC-43B4-90DA-2CBD3B3F3BA6}">
      <text>
        <r>
          <rPr>
            <b/>
            <sz val="9"/>
            <color indexed="81"/>
            <rFont val="Tahoma"/>
            <family val="2"/>
          </rPr>
          <t>NPA:</t>
        </r>
        <r>
          <rPr>
            <sz val="9"/>
            <color indexed="81"/>
            <rFont val="Tahoma"/>
            <family val="2"/>
          </rPr>
          <t xml:space="preserve">
Already scored. Copy Action 3i nspection on </t>
        </r>
      </text>
    </comment>
    <comment ref="V803" authorId="2" shapeId="0" xr:uid="{9EB5B038-04B0-49FE-B3DE-AC607D2AA1E9}">
      <text>
        <r>
          <rPr>
            <b/>
            <sz val="9"/>
            <color indexed="81"/>
            <rFont val="Tahoma"/>
            <family val="2"/>
          </rPr>
          <t>NPA:</t>
        </r>
        <r>
          <rPr>
            <sz val="9"/>
            <color indexed="81"/>
            <rFont val="Tahoma"/>
            <family val="2"/>
          </rPr>
          <t xml:space="preserve">
Strategic market profiling for Uganda's exports </t>
        </r>
      </text>
    </comment>
    <comment ref="V826" authorId="2" shapeId="0" xr:uid="{7A658F19-7115-4C1E-BA7B-6F67076DACF1}">
      <text>
        <r>
          <rPr>
            <b/>
            <sz val="9"/>
            <color indexed="81"/>
            <rFont val="Tahoma"/>
            <family val="2"/>
          </rPr>
          <t>NPA:</t>
        </r>
        <r>
          <rPr>
            <sz val="9"/>
            <color indexed="81"/>
            <rFont val="Tahoma"/>
            <family val="2"/>
          </rPr>
          <t xml:space="preserve">
Prepare MOUs and Contracts on clear instructions</t>
        </r>
      </text>
    </comment>
    <comment ref="V858" authorId="2" shapeId="0" xr:uid="{BAD399E0-F671-4644-8619-D8305A55EDA7}">
      <text>
        <r>
          <rPr>
            <b/>
            <sz val="9"/>
            <color indexed="81"/>
            <rFont val="Tahoma"/>
            <family val="2"/>
          </rPr>
          <t>NPA:</t>
        </r>
        <r>
          <rPr>
            <sz val="9"/>
            <color indexed="81"/>
            <rFont val="Tahoma"/>
            <family val="2"/>
          </rPr>
          <t xml:space="preserve">
Done</t>
        </r>
      </text>
    </comment>
    <comment ref="V861" authorId="2" shapeId="0" xr:uid="{F1454FBD-1CF5-41E9-9647-7B6021CB0151}">
      <text>
        <r>
          <rPr>
            <b/>
            <sz val="9"/>
            <color indexed="81"/>
            <rFont val="Tahoma"/>
            <family val="2"/>
          </rPr>
          <t>NPA:</t>
        </r>
        <r>
          <rPr>
            <sz val="9"/>
            <color indexed="81"/>
            <rFont val="Tahoma"/>
            <family val="2"/>
          </rPr>
          <t xml:space="preserve">
Remove the specifics in brackets</t>
        </r>
      </text>
    </comment>
    <comment ref="V868" authorId="2" shapeId="0" xr:uid="{32668028-BBE3-49D6-84C5-3567014FA523}">
      <text>
        <r>
          <rPr>
            <b/>
            <sz val="9"/>
            <color indexed="81"/>
            <rFont val="Tahoma"/>
            <family val="2"/>
          </rPr>
          <t>NPA:</t>
        </r>
        <r>
          <rPr>
            <sz val="9"/>
            <color indexed="81"/>
            <rFont val="Tahoma"/>
            <family val="2"/>
          </rPr>
          <t xml:space="preserve">
TO benefit from BUBU</t>
        </r>
      </text>
    </comment>
    <comment ref="V874" authorId="2" shapeId="0" xr:uid="{29AB4C69-F634-4EEF-B437-69FA3662FB2B}">
      <text>
        <r>
          <rPr>
            <b/>
            <sz val="9"/>
            <color indexed="81"/>
            <rFont val="Tahoma"/>
            <family val="2"/>
          </rPr>
          <t>NPA:</t>
        </r>
        <r>
          <rPr>
            <sz val="9"/>
            <color indexed="81"/>
            <rFont val="Tahoma"/>
            <family val="2"/>
          </rPr>
          <t xml:space="preserve">
(Barcoding, Other marketing avenues like networking like Dubai Expo)</t>
        </r>
      </text>
    </comment>
    <comment ref="V875" authorId="2" shapeId="0" xr:uid="{CECAE00B-6C65-4D39-AFA1-23D920657FF4}">
      <text>
        <r>
          <rPr>
            <b/>
            <sz val="9"/>
            <color indexed="81"/>
            <rFont val="Tahoma"/>
            <family val="2"/>
          </rPr>
          <t>NPA:</t>
        </r>
        <r>
          <rPr>
            <sz val="9"/>
            <color indexed="81"/>
            <rFont val="Tahoma"/>
            <family val="2"/>
          </rPr>
          <t xml:space="preserve">
Revise it to: ENFORCE law of Contract</t>
        </r>
      </text>
    </comment>
    <comment ref="AN1697" authorId="3" shapeId="0" xr:uid="{CCAA8A67-5EF5-45ED-8F8B-4DD336927CD3}">
      <text>
        <r>
          <rPr>
            <b/>
            <sz val="9"/>
            <color indexed="81"/>
            <rFont val="Tahoma"/>
            <family val="2"/>
          </rPr>
          <t>Microsoft Office User:</t>
        </r>
        <r>
          <rPr>
            <sz val="9"/>
            <color indexed="81"/>
            <rFont val="Tahoma"/>
            <family val="2"/>
          </rPr>
          <t xml:space="preserve">
MoWT</t>
        </r>
      </text>
    </comment>
    <comment ref="AN1698" authorId="3" shapeId="0" xr:uid="{F1218743-B1B0-4289-B265-7D9034A1790E}">
      <text>
        <r>
          <rPr>
            <b/>
            <sz val="9"/>
            <color indexed="81"/>
            <rFont val="Tahoma"/>
            <family val="2"/>
          </rPr>
          <t>Microsoft Office User:</t>
        </r>
        <r>
          <rPr>
            <sz val="9"/>
            <color indexed="81"/>
            <rFont val="Tahoma"/>
            <family val="2"/>
          </rPr>
          <t xml:space="preserve">
UNRA</t>
        </r>
      </text>
    </comment>
    <comment ref="AN1699" authorId="3" shapeId="0" xr:uid="{5662E0AE-28A1-4E82-8B46-9AAF66C7A302}">
      <text>
        <r>
          <rPr>
            <b/>
            <sz val="9"/>
            <color indexed="81"/>
            <rFont val="Tahoma"/>
            <family val="2"/>
          </rPr>
          <t>Microsoft Office User:</t>
        </r>
        <r>
          <rPr>
            <sz val="9"/>
            <color indexed="81"/>
            <rFont val="Tahoma"/>
            <family val="2"/>
          </rPr>
          <t xml:space="preserve">
UNRA</t>
        </r>
      </text>
    </comment>
    <comment ref="AN1700" authorId="3" shapeId="0" xr:uid="{9EEA9E05-70CA-4F2C-88B1-18AD9C9C5E78}">
      <text>
        <r>
          <rPr>
            <b/>
            <sz val="9"/>
            <color indexed="81"/>
            <rFont val="Tahoma"/>
            <family val="2"/>
          </rPr>
          <t>Microsoft Office User:</t>
        </r>
        <r>
          <rPr>
            <sz val="9"/>
            <color indexed="81"/>
            <rFont val="Tahoma"/>
            <family val="2"/>
          </rPr>
          <t xml:space="preserve">
UNRA</t>
        </r>
      </text>
    </comment>
    <comment ref="AN1701" authorId="3" shapeId="0" xr:uid="{A34F5264-8878-469D-A168-02B79056C83C}">
      <text>
        <r>
          <rPr>
            <b/>
            <sz val="9"/>
            <color indexed="81"/>
            <rFont val="Tahoma"/>
            <family val="2"/>
          </rPr>
          <t>Microsoft Office User:</t>
        </r>
        <r>
          <rPr>
            <sz val="9"/>
            <color indexed="81"/>
            <rFont val="Tahoma"/>
            <family val="2"/>
          </rPr>
          <t xml:space="preserve">
UNRA</t>
        </r>
      </text>
    </comment>
    <comment ref="AN1702" authorId="3" shapeId="0" xr:uid="{04D11E83-0FA1-4DC9-AC81-0EDDC8B3CD27}">
      <text>
        <r>
          <rPr>
            <b/>
            <sz val="9"/>
            <color indexed="81"/>
            <rFont val="Tahoma"/>
            <family val="2"/>
          </rPr>
          <t>Microsoft Office User:</t>
        </r>
        <r>
          <rPr>
            <sz val="9"/>
            <color indexed="81"/>
            <rFont val="Tahoma"/>
            <family val="2"/>
          </rPr>
          <t xml:space="preserve">
MoWT
</t>
        </r>
      </text>
    </comment>
    <comment ref="AN1704" authorId="3" shapeId="0" xr:uid="{9D27195B-6D42-4A62-9B3B-6A08AFB8C323}">
      <text>
        <r>
          <rPr>
            <b/>
            <sz val="9"/>
            <color indexed="81"/>
            <rFont val="Tahoma"/>
            <family val="2"/>
          </rPr>
          <t>Microsoft Office User:</t>
        </r>
        <r>
          <rPr>
            <sz val="9"/>
            <color indexed="81"/>
            <rFont val="Tahoma"/>
            <family val="2"/>
          </rPr>
          <t xml:space="preserve">
UNRA</t>
        </r>
      </text>
    </comment>
    <comment ref="AN1705" authorId="3" shapeId="0" xr:uid="{8468BBD7-90C0-49F9-874C-5E1CF5B17D51}">
      <text>
        <r>
          <rPr>
            <b/>
            <sz val="9"/>
            <color indexed="81"/>
            <rFont val="Tahoma"/>
            <family val="2"/>
          </rPr>
          <t>Microsoft Office User:</t>
        </r>
        <r>
          <rPr>
            <sz val="9"/>
            <color indexed="81"/>
            <rFont val="Tahoma"/>
            <family val="2"/>
          </rPr>
          <t xml:space="preserve">
KCCA
</t>
        </r>
      </text>
    </comment>
    <comment ref="AN1765" authorId="3" shapeId="0" xr:uid="{ABAE3AE8-B0A6-4E81-B339-FCBE2D9D82AC}">
      <text>
        <r>
          <rPr>
            <b/>
            <sz val="9"/>
            <color indexed="81"/>
            <rFont val="Tahoma"/>
            <family val="2"/>
          </rPr>
          <t>Microsoft Office User:</t>
        </r>
        <r>
          <rPr>
            <sz val="9"/>
            <color indexed="81"/>
            <rFont val="Tahoma"/>
            <family val="2"/>
          </rPr>
          <t xml:space="preserve">
KCCA
</t>
        </r>
      </text>
    </comment>
    <comment ref="AN1768" authorId="3" shapeId="0" xr:uid="{7B074BAA-3F94-44BC-8D49-3C1A4B11748C}">
      <text>
        <r>
          <rPr>
            <b/>
            <sz val="9"/>
            <color indexed="81"/>
            <rFont val="Tahoma"/>
            <family val="2"/>
          </rPr>
          <t>Microsoft Office User:</t>
        </r>
        <r>
          <rPr>
            <sz val="9"/>
            <color indexed="81"/>
            <rFont val="Tahoma"/>
            <family val="2"/>
          </rPr>
          <t xml:space="preserve">
KCCA
</t>
        </r>
      </text>
    </comment>
    <comment ref="AN1864" authorId="3" shapeId="0" xr:uid="{38C243D0-5424-40AA-A327-77A0961A71A3}">
      <text>
        <r>
          <rPr>
            <b/>
            <sz val="9"/>
            <color indexed="81"/>
            <rFont val="Tahoma"/>
            <family val="2"/>
          </rPr>
          <t>Microsoft Office User:</t>
        </r>
        <r>
          <rPr>
            <sz val="9"/>
            <color indexed="81"/>
            <rFont val="Tahoma"/>
            <family val="2"/>
          </rPr>
          <t xml:space="preserve">
KCCA
</t>
        </r>
      </text>
    </comment>
    <comment ref="V2191" authorId="4" shapeId="0" xr:uid="{4E3A1F00-8704-466C-B7E6-AF125D64476B}">
      <text>
        <r>
          <rPr>
            <b/>
            <sz val="9"/>
            <color indexed="81"/>
            <rFont val="Tahoma"/>
            <family val="2"/>
          </rPr>
          <t>William Mutumba:</t>
        </r>
        <r>
          <rPr>
            <sz val="9"/>
            <color indexed="81"/>
            <rFont val="Tahoma"/>
            <family val="2"/>
          </rPr>
          <t xml:space="preserve">
These activities were accomplished </t>
        </r>
      </text>
    </comment>
    <comment ref="V2195" authorId="4" shapeId="0" xr:uid="{33776DFB-4057-4BC4-8869-9767387BDAB6}">
      <text>
        <r>
          <rPr>
            <b/>
            <sz val="9"/>
            <color indexed="81"/>
            <rFont val="Tahoma"/>
            <family val="2"/>
          </rPr>
          <t>William Mutumba:</t>
        </r>
        <r>
          <rPr>
            <sz val="9"/>
            <color indexed="81"/>
            <rFont val="Tahoma"/>
            <family val="2"/>
          </rPr>
          <t xml:space="preserve">
This action should change since the platform was conducted. 
Roll out the platform to additional entities in both the public and private sector. </t>
        </r>
      </text>
    </comment>
    <comment ref="V2219" authorId="4" shapeId="0" xr:uid="{233DCB19-0398-454E-A79A-49A5B9DC3759}">
      <text>
        <r>
          <rPr>
            <b/>
            <sz val="9"/>
            <color indexed="81"/>
            <rFont val="Tahoma"/>
            <family val="2"/>
          </rPr>
          <t>William Mutumba:</t>
        </r>
        <r>
          <rPr>
            <sz val="9"/>
            <color indexed="81"/>
            <rFont val="Tahoma"/>
            <family val="2"/>
          </rPr>
          <t xml:space="preserve">
This activity is so specific its being under the JLOs sector. </t>
        </r>
      </text>
    </comment>
    <comment ref="M3083" authorId="2" shapeId="0" xr:uid="{BF3D068B-22BF-41BD-AAFD-90D285F90305}">
      <text>
        <r>
          <rPr>
            <b/>
            <sz val="9"/>
            <color indexed="81"/>
            <rFont val="Tahoma"/>
            <family val="2"/>
          </rPr>
          <t>NPA:</t>
        </r>
        <r>
          <rPr>
            <sz val="9"/>
            <color indexed="81"/>
            <rFont val="Tahoma"/>
            <family val="2"/>
          </rPr>
          <t xml:space="preserve">
Number of types of circuit boards</t>
        </r>
      </text>
    </comment>
    <comment ref="M3085" authorId="2" shapeId="0" xr:uid="{6440BB77-DAC8-496B-A71B-E99A6315BC51}">
      <text>
        <r>
          <rPr>
            <b/>
            <sz val="9"/>
            <color indexed="81"/>
            <rFont val="Tahoma"/>
            <family val="2"/>
          </rPr>
          <t>NPA:</t>
        </r>
        <r>
          <rPr>
            <sz val="9"/>
            <color indexed="81"/>
            <rFont val="Tahoma"/>
            <family val="2"/>
          </rPr>
          <t xml:space="preserve">
Tonnes of Silk Yarn Produced Locally </t>
        </r>
      </text>
    </comment>
    <comment ref="V3098" authorId="2" shapeId="0" xr:uid="{DB4B13D0-6101-483C-B82B-1ECD1EC3F859}">
      <text>
        <r>
          <rPr>
            <b/>
            <sz val="9"/>
            <color indexed="81"/>
            <rFont val="Tahoma"/>
            <family val="2"/>
          </rPr>
          <t>NPA:</t>
        </r>
        <r>
          <rPr>
            <sz val="9"/>
            <color indexed="81"/>
            <rFont val="Tahoma"/>
            <family val="2"/>
          </rPr>
          <t xml:space="preserve">
Innovation Fund Established
</t>
        </r>
      </text>
    </comment>
    <comment ref="A4273" authorId="5" shapeId="0" xr:uid="{EA63928C-0282-460E-BC90-0654C4C1105E}">
      <text>
        <r>
          <rPr>
            <sz val="11"/>
            <color theme="1"/>
            <rFont val="Arial"/>
            <family val="2"/>
          </rPr>
          <t>======
ID#AAAAPnMYt3Y
user    (2021-09-16 14:31:50)
need for further clarification or review. Recommended for deleting</t>
        </r>
      </text>
    </comment>
    <comment ref="T4295" authorId="5" shapeId="0" xr:uid="{4E7B4962-1FDD-4DF9-BC4B-FAE15A4CBE6C}">
      <text>
        <r>
          <rPr>
            <sz val="11"/>
            <color theme="1"/>
            <rFont val="Arial"/>
            <family val="2"/>
          </rPr>
          <t>======
ID#AAAAPnMYt3Q
user    (2021-09-16 14:31:50)
This goes to Administration of justice</t>
        </r>
      </text>
    </comment>
    <comment ref="M4358" authorId="5" shapeId="0" xr:uid="{A4567248-6ECF-45F6-B7C8-EE903A9D706F}">
      <text>
        <r>
          <rPr>
            <sz val="11"/>
            <color theme="1"/>
            <rFont val="Arial"/>
            <family val="2"/>
          </rPr>
          <t>======
ID#AAAAPnMYt28
user    (2021-09-16 14:31:50)
DPP offer details</t>
        </r>
      </text>
    </comment>
    <comment ref="V4363" authorId="5" shapeId="0" xr:uid="{C4E6FA72-43CF-4FC1-8AAD-95E89825FA80}">
      <text>
        <r>
          <rPr>
            <sz val="11"/>
            <color theme="1"/>
            <rFont val="Arial"/>
            <family val="2"/>
          </rPr>
          <t>======
ID#AAAAPnMYt3M
user    (2021-09-16 14:31:50)
put where to construct the female prison</t>
        </r>
      </text>
    </comment>
    <comment ref="M4372" authorId="5" shapeId="0" xr:uid="{7B76EC9E-1221-4146-A6A3-BB45E836AF2A}">
      <text>
        <r>
          <rPr>
            <sz val="11"/>
            <color theme="1"/>
            <rFont val="Arial"/>
            <family val="2"/>
          </rPr>
          <t>======
ID#AAAAPneQ5B4
user    (2021-09-16 14:31:50)
this should be recasted to proportion of hospital completed</t>
        </r>
      </text>
    </comment>
    <comment ref="AL4380" authorId="5" shapeId="0" xr:uid="{2991CD13-8F60-4CD4-BEDC-6850406402C1}">
      <text>
        <r>
          <rPr>
            <sz val="11"/>
            <color theme="1"/>
            <rFont val="Arial"/>
            <family val="2"/>
          </rPr>
          <t>======
ID#AAAAPnMYt24
Guest User    (2021-09-16 14:31:50)
Unknown User:</t>
        </r>
      </text>
    </comment>
    <comment ref="L4383" authorId="5" shapeId="0" xr:uid="{9FF298E1-5F59-4646-9698-C6F810A35D7C}">
      <text>
        <r>
          <rPr>
            <sz val="11"/>
            <color theme="1"/>
            <rFont val="Arial"/>
            <family val="2"/>
          </rPr>
          <t>======
ID#AAAAPnMYt3A
user    (2021-09-16 14:31:50)
MGLSD insert remand homes contruction</t>
        </r>
      </text>
    </comment>
    <comment ref="L4409" authorId="5" shapeId="0" xr:uid="{6BF0F8DC-057C-4932-A8AB-28B47DB43EBB}">
      <text>
        <r>
          <rPr>
            <sz val="11"/>
            <color theme="1"/>
            <rFont val="Arial"/>
            <family val="2"/>
          </rPr>
          <t>======
ID#AAAAPneQ5CM
user    (2021-09-16 14:31:50)
take to 3.5</t>
        </r>
      </text>
    </comment>
    <comment ref="AN4989" authorId="3" shapeId="0" xr:uid="{FB1BD24D-6B77-4F1B-BF0D-39E73341E5CF}">
      <text>
        <r>
          <rPr>
            <b/>
            <sz val="9"/>
            <color indexed="81"/>
            <rFont val="Tahoma"/>
            <family val="2"/>
          </rPr>
          <t>Microsoft Office User:</t>
        </r>
        <r>
          <rPr>
            <sz val="9"/>
            <color indexed="81"/>
            <rFont val="Tahoma"/>
            <family val="2"/>
          </rPr>
          <t xml:space="preserve">
LGs</t>
        </r>
      </text>
    </comment>
    <comment ref="AN4990" authorId="3" shapeId="0" xr:uid="{06E929F8-86FD-4CAB-83E1-303288C975F4}">
      <text>
        <r>
          <rPr>
            <b/>
            <sz val="9"/>
            <color indexed="81"/>
            <rFont val="Tahoma"/>
            <family val="2"/>
          </rPr>
          <t>Microsoft Office User:</t>
        </r>
        <r>
          <rPr>
            <sz val="9"/>
            <color indexed="81"/>
            <rFont val="Tahoma"/>
            <family val="2"/>
          </rPr>
          <t xml:space="preserve">
LGs</t>
        </r>
      </text>
    </comment>
    <comment ref="AN4991" authorId="3" shapeId="0" xr:uid="{6CC6874C-6C2D-47C1-A732-C3555DD51B5C}">
      <text>
        <r>
          <rPr>
            <b/>
            <sz val="9"/>
            <color indexed="81"/>
            <rFont val="Tahoma"/>
            <family val="2"/>
          </rPr>
          <t>Microsoft Office User:</t>
        </r>
        <r>
          <rPr>
            <sz val="9"/>
            <color indexed="81"/>
            <rFont val="Tahoma"/>
            <family val="2"/>
          </rPr>
          <t xml:space="preserve">
LGs</t>
        </r>
      </text>
    </comment>
    <comment ref="AN5013" authorId="3" shapeId="0" xr:uid="{D6B1F15C-500E-4990-AE24-E40E5D218604}">
      <text>
        <r>
          <rPr>
            <b/>
            <sz val="9"/>
            <color indexed="81"/>
            <rFont val="Tahoma"/>
            <family val="2"/>
          </rPr>
          <t xml:space="preserve">Microsoft Office User:
</t>
        </r>
        <r>
          <rPr>
            <sz val="9"/>
            <color indexed="81"/>
            <rFont val="Tahoma"/>
            <family val="2"/>
          </rPr>
          <t>MAAIF</t>
        </r>
      </text>
    </comment>
    <comment ref="AN5014" authorId="3" shapeId="0" xr:uid="{5BE188AD-2B55-4B4C-B156-C21676DEA0D6}">
      <text>
        <r>
          <rPr>
            <b/>
            <sz val="9"/>
            <color indexed="81"/>
            <rFont val="Tahoma"/>
            <family val="2"/>
          </rPr>
          <t xml:space="preserve">Microsoft Office User:
</t>
        </r>
        <r>
          <rPr>
            <sz val="9"/>
            <color indexed="81"/>
            <rFont val="Tahoma"/>
            <family val="2"/>
          </rPr>
          <t>MAAIF</t>
        </r>
      </text>
    </comment>
    <comment ref="AN5015" authorId="3" shapeId="0" xr:uid="{9D328753-A53B-443D-A536-28496EAB25C7}">
      <text>
        <r>
          <rPr>
            <b/>
            <sz val="9"/>
            <color indexed="81"/>
            <rFont val="Tahoma"/>
            <family val="2"/>
          </rPr>
          <t xml:space="preserve">Microsoft Office User:
</t>
        </r>
        <r>
          <rPr>
            <sz val="9"/>
            <color indexed="81"/>
            <rFont val="Tahoma"/>
            <family val="2"/>
          </rPr>
          <t>MAAIF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Abbey M. W</author>
    <author>ISRAEL MUGEZI</author>
    <author>William Mutumba</author>
    <author>Microsoft Office User</author>
    <author>NPA</author>
  </authors>
  <commentList>
    <comment ref="W2" authorId="0" shapeId="0" xr:uid="{B038673C-A817-4B56-A954-F67B46CDA876}">
      <text>
        <r>
          <rPr>
            <b/>
            <sz val="9"/>
            <color indexed="81"/>
            <rFont val="Tahoma"/>
            <family val="2"/>
          </rPr>
          <t>Defn:</t>
        </r>
        <r>
          <rPr>
            <sz val="9"/>
            <color indexed="81"/>
            <rFont val="Tahoma"/>
            <family val="2"/>
          </rPr>
          <t xml:space="preserve">
</t>
        </r>
      </text>
    </comment>
    <comment ref="AF2" authorId="0" shapeId="0" xr:uid="{1AFE87E4-DA96-49AE-A921-21B6385D2880}">
      <text>
        <r>
          <rPr>
            <b/>
            <sz val="9"/>
            <color indexed="81"/>
            <rFont val="Tahoma"/>
            <family val="2"/>
          </rPr>
          <t>Directives:</t>
        </r>
        <r>
          <rPr>
            <sz val="9"/>
            <color indexed="81"/>
            <rFont val="Tahoma"/>
            <family val="2"/>
          </rPr>
          <t xml:space="preserve">
Security, Irrigation, Electricity, Industrialisation
Oil &amp; Gas
MGR &amp; SGR
Private Sector Development</t>
        </r>
      </text>
    </comment>
    <comment ref="AG269" authorId="1" shapeId="0" xr:uid="{D5E5A72F-34E3-419D-80EF-1743F8E7A61D}">
      <text>
        <r>
          <rPr>
            <b/>
            <sz val="9"/>
            <color indexed="81"/>
            <rFont val="Tahoma"/>
            <family val="2"/>
          </rPr>
          <t>ISRAEL MUGEZI:</t>
        </r>
        <r>
          <rPr>
            <sz val="9"/>
            <color indexed="81"/>
            <rFont val="Tahoma"/>
            <family val="2"/>
          </rPr>
          <t xml:space="preserve">
MATIP project</t>
        </r>
      </text>
    </comment>
    <comment ref="V478" authorId="2" shapeId="0" xr:uid="{6D157EB7-5A28-462E-9D32-F7BBA28C8466}">
      <text>
        <r>
          <rPr>
            <b/>
            <sz val="9"/>
            <color indexed="81"/>
            <rFont val="Tahoma"/>
            <family val="2"/>
          </rPr>
          <t>William Mutumba:</t>
        </r>
        <r>
          <rPr>
            <sz val="9"/>
            <color indexed="81"/>
            <rFont val="Tahoma"/>
            <family val="2"/>
          </rPr>
          <t xml:space="preserve">
These activities were accomplished </t>
        </r>
      </text>
    </comment>
    <comment ref="V482" authorId="2" shapeId="0" xr:uid="{9085EA20-DC7E-4759-A126-DA8CAD245FC9}">
      <text>
        <r>
          <rPr>
            <b/>
            <sz val="9"/>
            <color indexed="81"/>
            <rFont val="Tahoma"/>
            <family val="2"/>
          </rPr>
          <t>William Mutumba:</t>
        </r>
        <r>
          <rPr>
            <sz val="9"/>
            <color indexed="81"/>
            <rFont val="Tahoma"/>
            <family val="2"/>
          </rPr>
          <t xml:space="preserve">
This action should change since the platform was conducted. 
Roll out the platform to additional entities in both the public and private sector. </t>
        </r>
      </text>
    </comment>
    <comment ref="V506" authorId="2" shapeId="0" xr:uid="{21C89B3F-F9BE-4F02-870A-CC41ECB6CF84}">
      <text>
        <r>
          <rPr>
            <b/>
            <sz val="9"/>
            <color indexed="81"/>
            <rFont val="Tahoma"/>
            <family val="2"/>
          </rPr>
          <t>William Mutumba:</t>
        </r>
        <r>
          <rPr>
            <sz val="9"/>
            <color indexed="81"/>
            <rFont val="Tahoma"/>
            <family val="2"/>
          </rPr>
          <t xml:space="preserve">
This activity is so specific its being under the JLOs sector. </t>
        </r>
      </text>
    </comment>
    <comment ref="AN618" authorId="3" shapeId="0" xr:uid="{B824BA6E-897B-4816-9ACE-BB9C81D6D869}">
      <text>
        <r>
          <rPr>
            <b/>
            <sz val="9"/>
            <color indexed="81"/>
            <rFont val="Tahoma"/>
            <family val="2"/>
          </rPr>
          <t>Microsoft Office User:</t>
        </r>
        <r>
          <rPr>
            <sz val="9"/>
            <color indexed="81"/>
            <rFont val="Tahoma"/>
            <family val="2"/>
          </rPr>
          <t xml:space="preserve">
MoWT</t>
        </r>
      </text>
    </comment>
    <comment ref="AN619" authorId="3" shapeId="0" xr:uid="{6C34A1C4-0744-44A8-B621-EB5EE6A313B7}">
      <text>
        <r>
          <rPr>
            <b/>
            <sz val="9"/>
            <color indexed="81"/>
            <rFont val="Tahoma"/>
            <family val="2"/>
          </rPr>
          <t>Microsoft Office User:</t>
        </r>
        <r>
          <rPr>
            <sz val="9"/>
            <color indexed="81"/>
            <rFont val="Tahoma"/>
            <family val="2"/>
          </rPr>
          <t xml:space="preserve">
UNRA</t>
        </r>
      </text>
    </comment>
    <comment ref="AN620" authorId="3" shapeId="0" xr:uid="{E6CF7E32-2259-4A30-969B-E1307BA2121E}">
      <text>
        <r>
          <rPr>
            <b/>
            <sz val="9"/>
            <color indexed="81"/>
            <rFont val="Tahoma"/>
            <family val="2"/>
          </rPr>
          <t>Microsoft Office User:</t>
        </r>
        <r>
          <rPr>
            <sz val="9"/>
            <color indexed="81"/>
            <rFont val="Tahoma"/>
            <family val="2"/>
          </rPr>
          <t xml:space="preserve">
UNRA</t>
        </r>
      </text>
    </comment>
    <comment ref="AN621" authorId="3" shapeId="0" xr:uid="{201B4AB5-F53F-45EB-BD23-80FDBFF347F5}">
      <text>
        <r>
          <rPr>
            <b/>
            <sz val="9"/>
            <color indexed="81"/>
            <rFont val="Tahoma"/>
            <family val="2"/>
          </rPr>
          <t>Microsoft Office User:</t>
        </r>
        <r>
          <rPr>
            <sz val="9"/>
            <color indexed="81"/>
            <rFont val="Tahoma"/>
            <family val="2"/>
          </rPr>
          <t xml:space="preserve">
UNRA</t>
        </r>
      </text>
    </comment>
    <comment ref="AN622" authorId="3" shapeId="0" xr:uid="{37AC89BF-DA37-45B3-8B5B-15BF029845C7}">
      <text>
        <r>
          <rPr>
            <b/>
            <sz val="9"/>
            <color indexed="81"/>
            <rFont val="Tahoma"/>
            <family val="2"/>
          </rPr>
          <t>Microsoft Office User:</t>
        </r>
        <r>
          <rPr>
            <sz val="9"/>
            <color indexed="81"/>
            <rFont val="Tahoma"/>
            <family val="2"/>
          </rPr>
          <t xml:space="preserve">
UNRA</t>
        </r>
      </text>
    </comment>
    <comment ref="AN623" authorId="3" shapeId="0" xr:uid="{6F03C0A6-F511-4A57-B343-49AF229E9381}">
      <text>
        <r>
          <rPr>
            <b/>
            <sz val="9"/>
            <color indexed="81"/>
            <rFont val="Tahoma"/>
            <family val="2"/>
          </rPr>
          <t>Microsoft Office User:</t>
        </r>
        <r>
          <rPr>
            <sz val="9"/>
            <color indexed="81"/>
            <rFont val="Tahoma"/>
            <family val="2"/>
          </rPr>
          <t xml:space="preserve">
MoWT
</t>
        </r>
      </text>
    </comment>
    <comment ref="AN625" authorId="3" shapeId="0" xr:uid="{78C0DA86-AC9C-4EDE-9021-60F0CDD4B6F9}">
      <text>
        <r>
          <rPr>
            <b/>
            <sz val="9"/>
            <color indexed="81"/>
            <rFont val="Tahoma"/>
            <family val="2"/>
          </rPr>
          <t>Microsoft Office User:</t>
        </r>
        <r>
          <rPr>
            <sz val="9"/>
            <color indexed="81"/>
            <rFont val="Tahoma"/>
            <family val="2"/>
          </rPr>
          <t xml:space="preserve">
UNRA</t>
        </r>
      </text>
    </comment>
    <comment ref="AN626" authorId="3" shapeId="0" xr:uid="{BAB3E650-2E41-4EFF-B42B-F3FBBF270612}">
      <text>
        <r>
          <rPr>
            <b/>
            <sz val="9"/>
            <color indexed="81"/>
            <rFont val="Tahoma"/>
            <family val="2"/>
          </rPr>
          <t>Microsoft Office User:</t>
        </r>
        <r>
          <rPr>
            <sz val="9"/>
            <color indexed="81"/>
            <rFont val="Tahoma"/>
            <family val="2"/>
          </rPr>
          <t xml:space="preserve">
KCCA
</t>
        </r>
      </text>
    </comment>
    <comment ref="AN686" authorId="3" shapeId="0" xr:uid="{EF09B5A5-C2B6-4A9B-8FBC-2699F09A2CCA}">
      <text>
        <r>
          <rPr>
            <b/>
            <sz val="9"/>
            <color indexed="81"/>
            <rFont val="Tahoma"/>
            <family val="2"/>
          </rPr>
          <t>Microsoft Office User:</t>
        </r>
        <r>
          <rPr>
            <sz val="9"/>
            <color indexed="81"/>
            <rFont val="Tahoma"/>
            <family val="2"/>
          </rPr>
          <t xml:space="preserve">
KCCA
</t>
        </r>
      </text>
    </comment>
    <comment ref="AN689" authorId="3" shapeId="0" xr:uid="{1FFB43E1-5509-4BC1-A3E9-F345D1CD3202}">
      <text>
        <r>
          <rPr>
            <b/>
            <sz val="9"/>
            <color indexed="81"/>
            <rFont val="Tahoma"/>
            <family val="2"/>
          </rPr>
          <t>Microsoft Office User:</t>
        </r>
        <r>
          <rPr>
            <sz val="9"/>
            <color indexed="81"/>
            <rFont val="Tahoma"/>
            <family val="2"/>
          </rPr>
          <t xml:space="preserve">
KCCA
</t>
        </r>
      </text>
    </comment>
    <comment ref="AN785" authorId="3" shapeId="0" xr:uid="{F40BBB04-58B7-487B-8711-D9382EB6C15F}">
      <text>
        <r>
          <rPr>
            <b/>
            <sz val="9"/>
            <color indexed="81"/>
            <rFont val="Tahoma"/>
            <family val="2"/>
          </rPr>
          <t>Microsoft Office User:</t>
        </r>
        <r>
          <rPr>
            <sz val="9"/>
            <color indexed="81"/>
            <rFont val="Tahoma"/>
            <family val="2"/>
          </rPr>
          <t xml:space="preserve">
KCCA
</t>
        </r>
      </text>
    </comment>
    <comment ref="M878" authorId="4" shapeId="0" xr:uid="{F8AE493A-4AE1-4C36-B2F9-2A811C4B4EC0}">
      <text>
        <r>
          <rPr>
            <b/>
            <sz val="9"/>
            <color indexed="81"/>
            <rFont val="Tahoma"/>
            <family val="2"/>
          </rPr>
          <t>NPA:</t>
        </r>
        <r>
          <rPr>
            <sz val="9"/>
            <color indexed="81"/>
            <rFont val="Tahoma"/>
            <family val="2"/>
          </rPr>
          <t xml:space="preserve">
Number of types of circuit boards</t>
        </r>
      </text>
    </comment>
    <comment ref="M880" authorId="4" shapeId="0" xr:uid="{A48A7F2B-23FB-4512-8549-B578877CC7D9}">
      <text>
        <r>
          <rPr>
            <b/>
            <sz val="9"/>
            <color indexed="81"/>
            <rFont val="Tahoma"/>
            <family val="2"/>
          </rPr>
          <t>NPA:</t>
        </r>
        <r>
          <rPr>
            <sz val="9"/>
            <color indexed="81"/>
            <rFont val="Tahoma"/>
            <family val="2"/>
          </rPr>
          <t xml:space="preserve">
Tonnes of Silk Yarn Produced Locally </t>
        </r>
      </text>
    </comment>
    <comment ref="V893" authorId="4" shapeId="0" xr:uid="{D87A909F-EC55-4F86-8333-893386FF4189}">
      <text>
        <r>
          <rPr>
            <b/>
            <sz val="9"/>
            <color indexed="81"/>
            <rFont val="Tahoma"/>
            <family val="2"/>
          </rPr>
          <t>NPA:</t>
        </r>
        <r>
          <rPr>
            <sz val="9"/>
            <color indexed="81"/>
            <rFont val="Tahoma"/>
            <family val="2"/>
          </rPr>
          <t xml:space="preserve">
Innovation Fund Established
</t>
        </r>
      </text>
    </comment>
    <comment ref="V917" authorId="4" shapeId="0" xr:uid="{09A88651-D256-4890-BC6A-F042E9A4D79F}">
      <text>
        <r>
          <rPr>
            <b/>
            <sz val="9"/>
            <color indexed="81"/>
            <rFont val="Tahoma"/>
            <family val="2"/>
          </rPr>
          <t>NPA:</t>
        </r>
        <r>
          <rPr>
            <sz val="9"/>
            <color indexed="81"/>
            <rFont val="Tahoma"/>
            <family val="2"/>
          </rPr>
          <t xml:space="preserve">
Provide technical support for operation and maintenance of zonal hubs</t>
        </r>
      </text>
    </comment>
    <comment ref="V964" authorId="4" shapeId="0" xr:uid="{3053B9FE-2B79-4FEF-A3D7-A171258EB319}">
      <text>
        <r>
          <rPr>
            <b/>
            <sz val="9"/>
            <color indexed="81"/>
            <rFont val="Tahoma"/>
            <family val="2"/>
          </rPr>
          <t>NPA:</t>
        </r>
        <r>
          <rPr>
            <sz val="9"/>
            <color indexed="81"/>
            <rFont val="Tahoma"/>
            <family val="2"/>
          </rPr>
          <t xml:space="preserve">
Already scored. Copy Action 3i nspection on </t>
        </r>
      </text>
    </comment>
    <comment ref="V998" authorId="4" shapeId="0" xr:uid="{CFDF07DE-B848-4F97-A279-668AB4BE0727}">
      <text>
        <r>
          <rPr>
            <b/>
            <sz val="9"/>
            <color indexed="81"/>
            <rFont val="Tahoma"/>
            <family val="2"/>
          </rPr>
          <t>NPA:</t>
        </r>
        <r>
          <rPr>
            <sz val="9"/>
            <color indexed="81"/>
            <rFont val="Tahoma"/>
            <family val="2"/>
          </rPr>
          <t xml:space="preserve">
Strategic market profiling for Uganda's exports </t>
        </r>
      </text>
    </comment>
    <comment ref="V1021" authorId="4" shapeId="0" xr:uid="{653787AC-D2D9-4E84-A363-4DE71BA7CB65}">
      <text>
        <r>
          <rPr>
            <b/>
            <sz val="9"/>
            <color indexed="81"/>
            <rFont val="Tahoma"/>
            <family val="2"/>
          </rPr>
          <t>NPA:</t>
        </r>
        <r>
          <rPr>
            <sz val="9"/>
            <color indexed="81"/>
            <rFont val="Tahoma"/>
            <family val="2"/>
          </rPr>
          <t xml:space="preserve">
Prepare MOUs and Contracts on clear instructions</t>
        </r>
      </text>
    </comment>
    <comment ref="V1053" authorId="4" shapeId="0" xr:uid="{A5B8E259-252C-4589-895B-8FE8436E0070}">
      <text>
        <r>
          <rPr>
            <b/>
            <sz val="9"/>
            <color indexed="81"/>
            <rFont val="Tahoma"/>
            <family val="2"/>
          </rPr>
          <t>NPA:</t>
        </r>
        <r>
          <rPr>
            <sz val="9"/>
            <color indexed="81"/>
            <rFont val="Tahoma"/>
            <family val="2"/>
          </rPr>
          <t xml:space="preserve">
Done</t>
        </r>
      </text>
    </comment>
    <comment ref="V1056" authorId="4" shapeId="0" xr:uid="{1C538123-03B9-40BF-B1D7-128174F96DDC}">
      <text>
        <r>
          <rPr>
            <b/>
            <sz val="9"/>
            <color indexed="81"/>
            <rFont val="Tahoma"/>
            <family val="2"/>
          </rPr>
          <t>NPA:</t>
        </r>
        <r>
          <rPr>
            <sz val="9"/>
            <color indexed="81"/>
            <rFont val="Tahoma"/>
            <family val="2"/>
          </rPr>
          <t xml:space="preserve">
Remove the specifics in brackets</t>
        </r>
      </text>
    </comment>
    <comment ref="V1063" authorId="4" shapeId="0" xr:uid="{23912E6A-25D9-4F0B-AD41-1D4525069556}">
      <text>
        <r>
          <rPr>
            <b/>
            <sz val="9"/>
            <color indexed="81"/>
            <rFont val="Tahoma"/>
            <family val="2"/>
          </rPr>
          <t>NPA:</t>
        </r>
        <r>
          <rPr>
            <sz val="9"/>
            <color indexed="81"/>
            <rFont val="Tahoma"/>
            <family val="2"/>
          </rPr>
          <t xml:space="preserve">
TO benefit from BUBU</t>
        </r>
      </text>
    </comment>
    <comment ref="V1069" authorId="4" shapeId="0" xr:uid="{26B48065-DDDE-4DE2-BC6D-9195CF0ABCB7}">
      <text>
        <r>
          <rPr>
            <b/>
            <sz val="9"/>
            <color indexed="81"/>
            <rFont val="Tahoma"/>
            <family val="2"/>
          </rPr>
          <t>NPA:</t>
        </r>
        <r>
          <rPr>
            <sz val="9"/>
            <color indexed="81"/>
            <rFont val="Tahoma"/>
            <family val="2"/>
          </rPr>
          <t xml:space="preserve">
(Barcoding, Other marketing avenues like networking like Dubai Expo)</t>
        </r>
      </text>
    </comment>
    <comment ref="V1070" authorId="4" shapeId="0" xr:uid="{98B32AD4-91F3-4D76-BE29-EB502F4F2E05}">
      <text>
        <r>
          <rPr>
            <b/>
            <sz val="9"/>
            <color indexed="81"/>
            <rFont val="Tahoma"/>
            <family val="2"/>
          </rPr>
          <t>NPA:</t>
        </r>
        <r>
          <rPr>
            <sz val="9"/>
            <color indexed="81"/>
            <rFont val="Tahoma"/>
            <family val="2"/>
          </rPr>
          <t xml:space="preserve">
Revise it to: ENFORCE law of Contract</t>
        </r>
      </text>
    </comment>
    <comment ref="L1315" authorId="4" shapeId="0" xr:uid="{EE4B7D57-FD66-443E-91BF-92287820CA37}">
      <text>
        <r>
          <rPr>
            <b/>
            <sz val="9"/>
            <color indexed="81"/>
            <rFont val="Tahoma"/>
            <family val="2"/>
          </rPr>
          <t>NPA:</t>
        </r>
        <r>
          <rPr>
            <sz val="9"/>
            <color indexed="81"/>
            <rFont val="Tahoma"/>
            <family val="2"/>
          </rPr>
          <t xml:space="preserve">
The output should be exploration licenses </t>
        </r>
      </text>
    </comment>
    <comment ref="M1351" authorId="4" shapeId="0" xr:uid="{9549F1C4-2A72-4F59-953E-30C1E6C093B1}">
      <text>
        <r>
          <rPr>
            <b/>
            <sz val="9"/>
            <color indexed="81"/>
            <rFont val="Tahoma"/>
            <family val="2"/>
          </rPr>
          <t>NPA:</t>
        </r>
        <r>
          <rPr>
            <sz val="9"/>
            <color indexed="81"/>
            <rFont val="Tahoma"/>
            <family val="2"/>
          </rPr>
          <t xml:space="preserve">
Law enacted </t>
        </r>
      </text>
    </comment>
    <comment ref="R1385" authorId="4" shapeId="0" xr:uid="{24FD2DAA-6EDE-4FCD-B8CE-21D4FAEB9DC0}">
      <text>
        <r>
          <rPr>
            <b/>
            <sz val="9"/>
            <color indexed="81"/>
            <rFont val="Tahoma"/>
            <family val="2"/>
          </rPr>
          <t>NPA:</t>
        </r>
        <r>
          <rPr>
            <sz val="9"/>
            <color indexed="81"/>
            <rFont val="Tahoma"/>
            <family val="2"/>
          </rPr>
          <t xml:space="preserve">
Number of engagements </t>
        </r>
      </text>
    </comment>
    <comment ref="R1390" authorId="4" shapeId="0" xr:uid="{BA91F7A9-F0FD-44C2-A794-535256E129D0}">
      <text>
        <r>
          <rPr>
            <b/>
            <sz val="9"/>
            <color indexed="81"/>
            <rFont val="Tahoma"/>
            <family val="2"/>
          </rPr>
          <t>NPA:</t>
        </r>
        <r>
          <rPr>
            <sz val="9"/>
            <color indexed="81"/>
            <rFont val="Tahoma"/>
            <family val="2"/>
          </rPr>
          <t xml:space="preserve">
Monitoring activities done </t>
        </r>
      </text>
    </comment>
    <comment ref="R1394" authorId="4" shapeId="0" xr:uid="{EE5E6347-3421-4E84-B810-3188BF0112BE}">
      <text>
        <r>
          <rPr>
            <b/>
            <sz val="9"/>
            <color indexed="81"/>
            <rFont val="Tahoma"/>
            <family val="2"/>
          </rPr>
          <t>NPA:</t>
        </r>
        <r>
          <rPr>
            <sz val="9"/>
            <color indexed="81"/>
            <rFont val="Tahoma"/>
            <family val="2"/>
          </rPr>
          <t xml:space="preserve">
Number of regulations developed </t>
        </r>
      </text>
    </comment>
    <comment ref="AN2756" authorId="3" shapeId="0" xr:uid="{74B443ED-BF76-451E-BB5B-E9BB8CDDD51F}">
      <text>
        <r>
          <rPr>
            <b/>
            <sz val="9"/>
            <color indexed="81"/>
            <rFont val="Tahoma"/>
            <family val="2"/>
          </rPr>
          <t>Microsoft Office User:</t>
        </r>
        <r>
          <rPr>
            <sz val="9"/>
            <color indexed="81"/>
            <rFont val="Tahoma"/>
            <family val="2"/>
          </rPr>
          <t xml:space="preserve">
LGs</t>
        </r>
      </text>
    </comment>
    <comment ref="AN2757" authorId="3" shapeId="0" xr:uid="{57468F0A-D6BF-4392-AFA7-49C6E6A3AA68}">
      <text>
        <r>
          <rPr>
            <b/>
            <sz val="9"/>
            <color indexed="81"/>
            <rFont val="Tahoma"/>
            <family val="2"/>
          </rPr>
          <t>Microsoft Office User:</t>
        </r>
        <r>
          <rPr>
            <sz val="9"/>
            <color indexed="81"/>
            <rFont val="Tahoma"/>
            <family val="2"/>
          </rPr>
          <t xml:space="preserve">
LGs</t>
        </r>
      </text>
    </comment>
    <comment ref="AN2758" authorId="3" shapeId="0" xr:uid="{184CF46E-E4B4-43E6-8985-5DB72536F129}">
      <text>
        <r>
          <rPr>
            <b/>
            <sz val="9"/>
            <color indexed="81"/>
            <rFont val="Tahoma"/>
            <family val="2"/>
          </rPr>
          <t>Microsoft Office User:</t>
        </r>
        <r>
          <rPr>
            <sz val="9"/>
            <color indexed="81"/>
            <rFont val="Tahoma"/>
            <family val="2"/>
          </rPr>
          <t xml:space="preserve">
LGs</t>
        </r>
      </text>
    </comment>
    <comment ref="AN2780" authorId="3" shapeId="0" xr:uid="{A6E1D3D6-2DB5-450B-9FEB-906252844333}">
      <text>
        <r>
          <rPr>
            <b/>
            <sz val="9"/>
            <color indexed="81"/>
            <rFont val="Tahoma"/>
            <family val="2"/>
          </rPr>
          <t xml:space="preserve">Microsoft Office User:
</t>
        </r>
        <r>
          <rPr>
            <sz val="9"/>
            <color indexed="81"/>
            <rFont val="Tahoma"/>
            <family val="2"/>
          </rPr>
          <t>MAAIF</t>
        </r>
      </text>
    </comment>
    <comment ref="AN2781" authorId="3" shapeId="0" xr:uid="{59BCD43A-CB86-404F-933D-7A0078D3DDF6}">
      <text>
        <r>
          <rPr>
            <b/>
            <sz val="9"/>
            <color indexed="81"/>
            <rFont val="Tahoma"/>
            <family val="2"/>
          </rPr>
          <t xml:space="preserve">Microsoft Office User:
</t>
        </r>
        <r>
          <rPr>
            <sz val="9"/>
            <color indexed="81"/>
            <rFont val="Tahoma"/>
            <family val="2"/>
          </rPr>
          <t>MAAIF</t>
        </r>
      </text>
    </comment>
    <comment ref="AN2782" authorId="3" shapeId="0" xr:uid="{45C0EEA0-DC8D-483E-ACFE-998FE0501AA5}">
      <text>
        <r>
          <rPr>
            <b/>
            <sz val="9"/>
            <color indexed="81"/>
            <rFont val="Tahoma"/>
            <family val="2"/>
          </rPr>
          <t xml:space="preserve">Microsoft Office User:
</t>
        </r>
        <r>
          <rPr>
            <sz val="9"/>
            <color indexed="81"/>
            <rFont val="Tahoma"/>
            <family val="2"/>
          </rPr>
          <t>MAAIF</t>
        </r>
      </text>
    </comment>
  </commentList>
</comments>
</file>

<file path=xl/sharedStrings.xml><?xml version="1.0" encoding="utf-8"?>
<sst xmlns="http://schemas.openxmlformats.org/spreadsheetml/2006/main" count="152473" uniqueCount="17247">
  <si>
    <t>Programme code</t>
  </si>
  <si>
    <t>Programme</t>
  </si>
  <si>
    <t>Sub-programme_code</t>
  </si>
  <si>
    <t>Sub-programme</t>
  </si>
  <si>
    <t>Objective_code</t>
  </si>
  <si>
    <t>Objective</t>
  </si>
  <si>
    <t>Intervention_code</t>
  </si>
  <si>
    <t>Intervention</t>
  </si>
  <si>
    <t>Subintervention code</t>
  </si>
  <si>
    <t>Subintervention</t>
  </si>
  <si>
    <t>Output_Code</t>
  </si>
  <si>
    <t>Output</t>
  </si>
  <si>
    <t>Indicator</t>
  </si>
  <si>
    <t>Baseline</t>
  </si>
  <si>
    <t>T20/21</t>
  </si>
  <si>
    <t>T21/22</t>
  </si>
  <si>
    <t>T22/23</t>
  </si>
  <si>
    <t>T23/24</t>
  </si>
  <si>
    <t>T24/25</t>
  </si>
  <si>
    <t>MDA</t>
  </si>
  <si>
    <t>Vote</t>
  </si>
  <si>
    <t>Action</t>
  </si>
  <si>
    <t>20/21</t>
  </si>
  <si>
    <t>21/22</t>
  </si>
  <si>
    <t>22/23</t>
  </si>
  <si>
    <t>23/24</t>
  </si>
  <si>
    <t>24/25</t>
  </si>
  <si>
    <t>Total budget</t>
  </si>
  <si>
    <t>Lead MDA</t>
  </si>
  <si>
    <t>Other MDAs</t>
  </si>
  <si>
    <t>01</t>
  </si>
  <si>
    <t>Agro-Industrialisation</t>
  </si>
  <si>
    <t>011</t>
  </si>
  <si>
    <t>Agricultural Production and Productivity</t>
  </si>
  <si>
    <t>0111</t>
  </si>
  <si>
    <t>Increase production and productivity</t>
  </si>
  <si>
    <t>011101</t>
  </si>
  <si>
    <t>Strengthen agricultural research and technology development</t>
  </si>
  <si>
    <t>011101a</t>
  </si>
  <si>
    <t xml:space="preserve"> Invest in new and rehabilitate old infrastructure for agriculture research including laboratories, offices, technology demonstration and training centers</t>
  </si>
  <si>
    <t>011101a01</t>
  </si>
  <si>
    <t>Animal breeding stock multiplied and distributed to farmers country wide for cattle, poultry, goats, pigs, fish</t>
  </si>
  <si>
    <t>Number of regional community breeding satellite centers established and maintained</t>
  </si>
  <si>
    <t>NAGRC&amp;DB</t>
  </si>
  <si>
    <t>Establish 11 regional community breeding satellite centres; multiply and distribute 25,000,000 commercial and parent stock poultry genetic resources for cattle, poultry, goats, pigs and fish; introduce tropicalized superior breeding stock</t>
  </si>
  <si>
    <t>125 National Animal Genetic Res. Centre and Data Bank</t>
  </si>
  <si>
    <t>OWC, LGS, MAAIF</t>
  </si>
  <si>
    <t>Number of poultry varieties developed, multiplied and promoted</t>
  </si>
  <si>
    <t>Number of tropicalised superior breeding stock introduced</t>
  </si>
  <si>
    <t>011101a02</t>
  </si>
  <si>
    <t>Animal breeding,production, administrative units and research facilities constructed and equipped</t>
  </si>
  <si>
    <t>Number of administrative units constructed</t>
  </si>
  <si>
    <t>Construct and equip 8 Administrative units</t>
  </si>
  <si>
    <t>MAAIF, MoWT</t>
  </si>
  <si>
    <t xml:space="preserve">Number of farmer animal genetic learning centres established </t>
  </si>
  <si>
    <t xml:space="preserve">Construct and equip 4 farmers animal genetic learning centres </t>
  </si>
  <si>
    <t>Animal breeding and production support facilities constructed</t>
  </si>
  <si>
    <t>Construct and equip 5 all inclusive animal breeding and production support facilities</t>
  </si>
  <si>
    <t>MoWT, MAAIF</t>
  </si>
  <si>
    <t>Number of ART specialised Mobile laboratories acquired</t>
  </si>
  <si>
    <t>Acquire 18 ART specialised Mobile laboratory vans</t>
  </si>
  <si>
    <t>Number of Regional Mini Liquid Nitrogen Production plants installed</t>
  </si>
  <si>
    <t>Installs two (2) regional mini Liquid Nitrogen production plants</t>
  </si>
  <si>
    <t>MoWT</t>
  </si>
  <si>
    <t xml:space="preserve">Satelite ART laboratories and genetic evaluation centres constructed </t>
  </si>
  <si>
    <t>Construct and equip 11 Satellite ART laboratories and genetic evaluation centers</t>
  </si>
  <si>
    <t xml:space="preserve">Number of Agricultural Research institute land secured </t>
  </si>
  <si>
    <t>NARO</t>
  </si>
  <si>
    <t>142 National Agricultural Research Organisation</t>
  </si>
  <si>
    <t>011101a03</t>
  </si>
  <si>
    <t>Research and administrative infrastructure constructed, equipped</t>
  </si>
  <si>
    <t>Number of research laboratories constructed and equipped</t>
  </si>
  <si>
    <t>Construct and equip 5 research laboratories</t>
  </si>
  <si>
    <t>Number of demonstration facilities constructed</t>
  </si>
  <si>
    <t xml:space="preserve">Construct and  equip 25 demonstration facilities </t>
  </si>
  <si>
    <t>LG, MoWT</t>
  </si>
  <si>
    <t>Number of laboratories rehabiliteted</t>
  </si>
  <si>
    <t xml:space="preserve">Construct and furnish 6 administrative  units </t>
  </si>
  <si>
    <t>011101a04</t>
  </si>
  <si>
    <t>Research and administrative infrastructure rehabilitated</t>
  </si>
  <si>
    <t>Number of laboratories equpped</t>
  </si>
  <si>
    <t xml:space="preserve">Rehabilitate (5)and equip (20) research laboratories; </t>
  </si>
  <si>
    <t>Rehabilitate the national Bull Stud and Semen Evaluation Centre</t>
  </si>
  <si>
    <t>011101b</t>
  </si>
  <si>
    <t>Undertake strategic recruitment and training agricultural research staff</t>
  </si>
  <si>
    <t>011101b01</t>
  </si>
  <si>
    <t>Agricultural research staff recruited and trained</t>
  </si>
  <si>
    <t>Researchers recruited according to establishment</t>
  </si>
  <si>
    <t>Undertake Recruitment and training of scientists(70), technicians and allied practitioners(50); additional agricultural research staff(115)</t>
  </si>
  <si>
    <t>Universities, MAAIF</t>
  </si>
  <si>
    <t>Scientists supported to undertake long term training (MSC and PHD)</t>
  </si>
  <si>
    <t>Undertake Recruitment of 20 Animal breeding scientists</t>
  </si>
  <si>
    <t>MAAIF</t>
  </si>
  <si>
    <t>011101b02</t>
  </si>
  <si>
    <t>Agri Research IP and innovations commercialised</t>
  </si>
  <si>
    <t xml:space="preserve">Number of Agriculture Research Innovations and IPs commercialised </t>
  </si>
  <si>
    <t xml:space="preserve">Commercialize 50 all-inclusive Agri-Research IP and innovations </t>
  </si>
  <si>
    <t>MAAIF, MoSTI</t>
  </si>
  <si>
    <t>011101b03</t>
  </si>
  <si>
    <t>Agricultural Innovations and IPRs profiled</t>
  </si>
  <si>
    <t>Profiling tool developed</t>
  </si>
  <si>
    <t>MoSTI</t>
  </si>
  <si>
    <t>Profile Agricultural Innovations and IPRs</t>
  </si>
  <si>
    <t>023 Ministry of Science,Technology and Innovation</t>
  </si>
  <si>
    <t xml:space="preserve">Number of profiled Innovations in Agriculture. </t>
  </si>
  <si>
    <t>011101b04</t>
  </si>
  <si>
    <t>Agricultural Research platforms established</t>
  </si>
  <si>
    <t>Number of Agricultural research platforms established</t>
  </si>
  <si>
    <t>Establish Agriculture Research Platforms</t>
  </si>
  <si>
    <t>011101b05</t>
  </si>
  <si>
    <t>Agricultural Researchers profiled and registered</t>
  </si>
  <si>
    <t>Number of researchers profiled and registered</t>
  </si>
  <si>
    <t xml:space="preserve">Profile and Register Agricultural Researchers </t>
  </si>
  <si>
    <t>011101c</t>
  </si>
  <si>
    <t>Strengthen research standards and quality assurance through formulation of regulations and enforcement</t>
  </si>
  <si>
    <t>011101c01</t>
  </si>
  <si>
    <t>Research standards developed</t>
  </si>
  <si>
    <t>Research standards in place</t>
  </si>
  <si>
    <t>010 Ministry of Agriculture, Animal &amp; Fisheries</t>
  </si>
  <si>
    <t>N/A</t>
  </si>
  <si>
    <t>011101d</t>
  </si>
  <si>
    <t>Establish climate smart technology demonstration and multiplication centers at all the ZARDIs and BTVET institutions engaged in agroindustry programs for technology dissemination and commercialization</t>
  </si>
  <si>
    <t>011101d01</t>
  </si>
  <si>
    <t>Climate smart technology demonstration and multiplication centres established</t>
  </si>
  <si>
    <t>Number of Climate smart centres established in all the 8 ZARDIs</t>
  </si>
  <si>
    <t>Establish climate smart technology and demonstration centers in 9 ZARDIs;</t>
  </si>
  <si>
    <t>LGs, MAAIF</t>
  </si>
  <si>
    <t xml:space="preserve"> 10 centres established in selected BTVET Institutions </t>
  </si>
  <si>
    <t>Establish climate smart technology and demonstration centers in selected BTVET institutions;</t>
  </si>
  <si>
    <t>MoES, MAAIF</t>
  </si>
  <si>
    <t>011101d02</t>
  </si>
  <si>
    <t>Functional public-private partnerships established for technology development and promotion</t>
  </si>
  <si>
    <t>Number of functional public-private partnerships established for technology development and promotion</t>
  </si>
  <si>
    <t>Develop 155 partnerships for technology development and promotion by 2025</t>
  </si>
  <si>
    <t>MoICT&amp;NG, LGs, MAAIF</t>
  </si>
  <si>
    <t>011101d03</t>
  </si>
  <si>
    <t>Demand driven agriculture technologies developed</t>
  </si>
  <si>
    <t>Doses of semen produced and extended to farmers</t>
  </si>
  <si>
    <t xml:space="preserve">Produce 2,500,000 Doses of semen and extend to dairy, beef, pigs and goat farmers; </t>
  </si>
  <si>
    <t>MAAIF, LGs</t>
  </si>
  <si>
    <t xml:space="preserve">Litres of Nitrogen produced </t>
  </si>
  <si>
    <t>Produce 2,500,000 litres of liquid nitrogen for distribution of semen, ova and embryos along the ART value chain,</t>
  </si>
  <si>
    <t>Establish functional public-private partnerships for technology development and promotion</t>
  </si>
  <si>
    <t xml:space="preserve">Number of   market-oriented products generated </t>
  </si>
  <si>
    <t xml:space="preserve">Generate and promote improved technologies and innovations for food, nutrition and Industry: 78 market-oriented products; 223 research products for food and nutritional security, 278 production technologies including varieties: </t>
  </si>
  <si>
    <t>Universities, LGs</t>
  </si>
  <si>
    <t>Number of research products and services suitable for industry developed</t>
  </si>
  <si>
    <t>Number of research products and services for food and nutrition security generated</t>
  </si>
  <si>
    <t xml:space="preserve">Number of improved technologies and innovations adopted </t>
  </si>
  <si>
    <t>Number of markets created along product lines</t>
  </si>
  <si>
    <t>Number of improved cotton varieties developed</t>
  </si>
  <si>
    <t>CDO</t>
  </si>
  <si>
    <t>Develop and release improved cotton varieties</t>
  </si>
  <si>
    <t>155 Uganda Cotton Development Organisation</t>
  </si>
  <si>
    <t>NARO, MAAIF, LGs</t>
  </si>
  <si>
    <t>Number of market responsive coffee varities developed</t>
  </si>
  <si>
    <t>UCDA</t>
  </si>
  <si>
    <t>Develop and release market responsive coffee varieties</t>
  </si>
  <si>
    <t>160 Uganda Coffee Development Authority</t>
  </si>
  <si>
    <t>NARO, LGs, MAAIF</t>
  </si>
  <si>
    <t>Number of Niche markets for livestock industrial products created</t>
  </si>
  <si>
    <t>MAAIF, NARO</t>
  </si>
  <si>
    <t>011101d04</t>
  </si>
  <si>
    <t>Animal and Crop genetic resources conserved</t>
  </si>
  <si>
    <t xml:space="preserve">Number of Gene banks established </t>
  </si>
  <si>
    <t>Conserve 10,122 genetic resources; Construct, equip and maintain the National and regional Gene banks (21); Conserve 50 animal genetic resources</t>
  </si>
  <si>
    <t>NAGRC&amp;DB, NARO, MAAIF, DLG, Universities</t>
  </si>
  <si>
    <t xml:space="preserve">Number of genetic resources conserved for sustainable utilisation </t>
  </si>
  <si>
    <t>011101d05</t>
  </si>
  <si>
    <t>Sugar Research Centre   established</t>
  </si>
  <si>
    <t>One sugar Research Institute established</t>
  </si>
  <si>
    <t xml:space="preserve">Establish a sugar research centre  </t>
  </si>
  <si>
    <t>MTIC, MAAIF, MoICT&amp;NG</t>
  </si>
  <si>
    <t>011101d06</t>
  </si>
  <si>
    <t>Technology incubation centres established and operational</t>
  </si>
  <si>
    <t>Technology incubation and business centres set up</t>
  </si>
  <si>
    <t>Set up 14 technology incubation and business centers and Incubate 28 technologies;</t>
  </si>
  <si>
    <t>NARO, UIRI, MoTIC, MAAIF</t>
  </si>
  <si>
    <t>Number of technologies and innovations incubated</t>
  </si>
  <si>
    <t>Number of prison farms with established seed multiplication centres</t>
  </si>
  <si>
    <t>UPS</t>
  </si>
  <si>
    <t>Establish seed multiplication centres in prison farms</t>
  </si>
  <si>
    <t>145 Uganda Prisons</t>
  </si>
  <si>
    <t>NARO, MAAIF, DLG</t>
  </si>
  <si>
    <t>Number of parishes in which coffee agronomic practises are demonstrated</t>
  </si>
  <si>
    <t>Demonstrate coffee good agronomical practices and good business practices in 2,538 parishes</t>
  </si>
  <si>
    <t>MAAIF, DLG</t>
  </si>
  <si>
    <t>011101e</t>
  </si>
  <si>
    <t>Establish and strengthen linkages between agricultural research institutions, BTVET institutions engaged in agro-industry and agro-industry enterprises</t>
  </si>
  <si>
    <t>011101e01</t>
  </si>
  <si>
    <t>Research-extension farmer linkages developed and strengthened</t>
  </si>
  <si>
    <t>Number of technologies adopted</t>
  </si>
  <si>
    <t>Research extension farmer linkages developed</t>
  </si>
  <si>
    <t>LGs, NARO</t>
  </si>
  <si>
    <t xml:space="preserve">Number of District Adaptive Research Support Teams (DARSTs) developed </t>
  </si>
  <si>
    <t xml:space="preserve">Develop District Adaptive Research Support Teams (DARSTs) </t>
  </si>
  <si>
    <t>011101f</t>
  </si>
  <si>
    <t>Upscale research on biofortification and the multiplication of nutrient dense food staples such as beans, cassava and sweet potatoes, rice, among others</t>
  </si>
  <si>
    <t>011101f01</t>
  </si>
  <si>
    <t xml:space="preserve">Research on biofortification and the multiplication of nutrient dense food staples such as beans, cassava and sweet potatoes, rice upscaled
</t>
  </si>
  <si>
    <t>Number of bio-fortified seed tecchnologies distributed to farmers</t>
  </si>
  <si>
    <t>Production of Zinc and Iron beans, cassava, orange fleshed sweet potatoes distributed to farmers</t>
  </si>
  <si>
    <t>LGs, MoH, MAAIF, OWC</t>
  </si>
  <si>
    <t>011102</t>
  </si>
  <si>
    <t>Strengthen the agricultural extension system</t>
  </si>
  <si>
    <t>011102a</t>
  </si>
  <si>
    <t>Operationalize agricultural extension system</t>
  </si>
  <si>
    <t>011102a01</t>
  </si>
  <si>
    <t>Extension workers recruited and equipped</t>
  </si>
  <si>
    <t>No. of new extension workers recruited</t>
  </si>
  <si>
    <t xml:space="preserve">Recruit additional extension  workers ( general practitioners) at districts and sub-counties; </t>
  </si>
  <si>
    <t>MoLG, UCDA, LGs, NAGRC&amp;DB, CDO, DDA</t>
  </si>
  <si>
    <t>No. of extension workers supported with equipment</t>
  </si>
  <si>
    <t>Provide logistical support to public extension service workers under the Parish Model</t>
  </si>
  <si>
    <t>MoLG, LGs, NAGRIC, NARO, Public Service, UCDA, CDO,OWC</t>
  </si>
  <si>
    <t>Number of specialised value chain extension workers recruited</t>
  </si>
  <si>
    <t>Recruit additional extension  workers (specialist in the 10 Agricultural zones)</t>
  </si>
  <si>
    <t>011102a02</t>
  </si>
  <si>
    <t>Innovative Extension models service delivery models scaled up</t>
  </si>
  <si>
    <t>Structures for village agents and parish models in place</t>
  </si>
  <si>
    <t xml:space="preserve">Set structures for village agents, nucleus farmers and parish model </t>
  </si>
  <si>
    <t>011102a03</t>
  </si>
  <si>
    <t xml:space="preserve">No. of village agents and nucleus farmers supported </t>
  </si>
  <si>
    <t>Support village agents and nucleus farmers</t>
  </si>
  <si>
    <t>011102a04</t>
  </si>
  <si>
    <t>Value chain focussed training packages developed</t>
  </si>
  <si>
    <t>No. of training packages developed in partnership with DIT and BTVET institutions</t>
  </si>
  <si>
    <t>Incorporate BTVET institutions into the agricultural extension system to ensure that what is taught in these institutions is adopted and utilised by farmers. BTVET institutions with large acreages of land to be used as demonstration centres</t>
  </si>
  <si>
    <t>MoES, LGs,MoLG</t>
  </si>
  <si>
    <t>011102a05</t>
  </si>
  <si>
    <t>Extension workers trained in entire value chain focused skills</t>
  </si>
  <si>
    <t>No. of LG and private sector extension workers trained</t>
  </si>
  <si>
    <t>Continously identify capacity gaps, equip and retool extension workers</t>
  </si>
  <si>
    <t xml:space="preserve">OWC, CDO, UCDA, DDA, NAGRC&amp;DB, DLGs, </t>
  </si>
  <si>
    <t>011102b</t>
  </si>
  <si>
    <t>Develop and operationalize an ICT-enabled agricultural extension supervision and traceability system</t>
  </si>
  <si>
    <t>011102b01</t>
  </si>
  <si>
    <t>ICT-enabled agricultural extension supervision system developed and operationalised</t>
  </si>
  <si>
    <t>Number of districts using ICT enabled agricultural extension applications</t>
  </si>
  <si>
    <t>MoICT&amp;NG</t>
  </si>
  <si>
    <t>Develop and extend ICT applications, provide ICT equipment and train staff on their usage; retooling and equipping Zonal Training Centres with the necessary infrastructure, equipment and ICT innovations</t>
  </si>
  <si>
    <t>020 Ministry of ICT and National Guidance</t>
  </si>
  <si>
    <t>MoLG, UCDA,  MAAIF, LG</t>
  </si>
  <si>
    <t>No of districts using the ICT-enabled agricultural extension supervision system</t>
  </si>
  <si>
    <t>No of  e-learning centers at zonal level established</t>
  </si>
  <si>
    <t>011102b02</t>
  </si>
  <si>
    <t>A National Register of accredited private extension services providers</t>
  </si>
  <si>
    <t>Number of Extension service providers profiled and registered</t>
  </si>
  <si>
    <t xml:space="preserve">Register and accredit private extension services providers at village and parish levels for targeted support </t>
  </si>
  <si>
    <t xml:space="preserve">OWC, MLG, LGs,  </t>
  </si>
  <si>
    <t>011102c</t>
  </si>
  <si>
    <t>Scale-up innovative extension models such as nucleus farmers in all agro-ecological zones</t>
  </si>
  <si>
    <t>011102c01</t>
  </si>
  <si>
    <t xml:space="preserve">Enhanced access to agricultural extension services </t>
  </si>
  <si>
    <t>No. of village agents supported</t>
  </si>
  <si>
    <t>LGs</t>
  </si>
  <si>
    <t>No. of parish model farms supported</t>
  </si>
  <si>
    <t>Number of nucleus farmers trained</t>
  </si>
  <si>
    <t>011102d</t>
  </si>
  <si>
    <t>Strengthen the research-extension-farmer linkages to increase uptake of new technologies</t>
  </si>
  <si>
    <t>011102d01</t>
  </si>
  <si>
    <t xml:space="preserve">Research-extension-farmer linkages developed and strengthened </t>
  </si>
  <si>
    <t>9 Zonal agricultural extension coordinators recruited</t>
  </si>
  <si>
    <t xml:space="preserve">281 Functional commodity-based platforms and commercialization approaches established at different levels (National and district) </t>
  </si>
  <si>
    <t xml:space="preserve">Number of demonstrations sites for the different value chain innovations demonstrated established </t>
  </si>
  <si>
    <t>MoTIC</t>
  </si>
  <si>
    <t>011102e</t>
  </si>
  <si>
    <t>Strengthen the research-extension-farmer linkages to increase uptake of new climate smart technologies</t>
  </si>
  <si>
    <t>011102e01</t>
  </si>
  <si>
    <t>Commodity-based platforms/Forum and commercialization approaches established at different levels (National and district)</t>
  </si>
  <si>
    <t xml:space="preserve"> Number of commodity-based platforms/Forum and commercialization approaches established at different levels (National and district) </t>
  </si>
  <si>
    <t>-</t>
  </si>
  <si>
    <t>Establish commodity-based platforms</t>
  </si>
  <si>
    <t>NARO, NAADS, OWC, CDO, UCDA, DDA, NAGRC&amp;DB, MLG</t>
  </si>
  <si>
    <t>011102f</t>
  </si>
  <si>
    <t>Develop and equip youth with knowledge, skills and facilities for access and utilisation of modern extension services</t>
  </si>
  <si>
    <t>011102f01</t>
  </si>
  <si>
    <t>Agribusiness incubation centres established</t>
  </si>
  <si>
    <t>No. of Agribusiness incubation centres established</t>
  </si>
  <si>
    <t xml:space="preserve"> Develop and equip youth with knowledge, skills and facilities for access and utilisation of modern extension services</t>
  </si>
  <si>
    <t>MoLG</t>
  </si>
  <si>
    <t>011103</t>
  </si>
  <si>
    <t>Strengthen the agricultural inputs markets and distribution systems to adhere to quality standards and grades</t>
  </si>
  <si>
    <t>011103a</t>
  </si>
  <si>
    <t>Setup and equip farm service centers within the public service e-service centers for bulk input procurement, storage and distribution</t>
  </si>
  <si>
    <t>011103a01</t>
  </si>
  <si>
    <t>Two Fry centres fully operational</t>
  </si>
  <si>
    <t>Number of Regional Fry Centres rehabilitated</t>
  </si>
  <si>
    <t>Rehabilitate and fully operationalize the two Fry centres in Gulu and Bushenyi</t>
  </si>
  <si>
    <t>011103b</t>
  </si>
  <si>
    <t>Strengthen licensing procedures, inspection, certification, import processing and regulation for improved inputs and new seed varieties</t>
  </si>
  <si>
    <t>011103b01</t>
  </si>
  <si>
    <t>Quality inputs on the market</t>
  </si>
  <si>
    <t>No. of input dealers, manufacturers, importers and exporters of inputs and agricultural products registered and licensed.</t>
  </si>
  <si>
    <t>Register and accredit agro-inputs  producers and dealers (certification and regulation of inputs)</t>
  </si>
  <si>
    <t>UNBS, MTIC, LGs, OWC, Uganda Police Force</t>
  </si>
  <si>
    <t>No. of animal breeders, dealers, importers and exporters of animal genetic/breeding materials and equipment registered and licenced</t>
  </si>
  <si>
    <t>011103b02</t>
  </si>
  <si>
    <t>Agro chemicals registered</t>
  </si>
  <si>
    <t>No. of agro chemicals registered</t>
  </si>
  <si>
    <t xml:space="preserve">Register agro chemicals </t>
  </si>
  <si>
    <t>MTIC,UNBS</t>
  </si>
  <si>
    <t>011103b03</t>
  </si>
  <si>
    <t>E-Verification system of agricultural inputs fully rolled out</t>
  </si>
  <si>
    <t>No. of districts implementing E-Verification system</t>
  </si>
  <si>
    <t>Develop and roll out the necessary technology for E-verification of inputs</t>
  </si>
  <si>
    <t>MAAIF,MTIC, MoLG</t>
  </si>
  <si>
    <t>011103b04</t>
  </si>
  <si>
    <t>Number of National level agricultural Inspectors recruited (Veterinary, crop and fisheries)</t>
  </si>
  <si>
    <t xml:space="preserve">Recruit, train and equip agricultural inspectors </t>
  </si>
  <si>
    <t xml:space="preserve">Number of farmer groups trained in quality seed production </t>
  </si>
  <si>
    <t>Mobilise and train farmers in quality seed production</t>
  </si>
  <si>
    <t>MAAIF, LGs, OWC, MoTIC</t>
  </si>
  <si>
    <t>In put  traceability system in place</t>
  </si>
  <si>
    <t>Develop an input traceability system</t>
  </si>
  <si>
    <t>MTIC, LGs, UCDA, NARO, CDO, NAGRC&amp;DB</t>
  </si>
  <si>
    <t>Namalere Analytical/Diagnostic laboratories renovated</t>
  </si>
  <si>
    <t xml:space="preserve">Renovate and equip Namalare analytical diagnostic lab; </t>
  </si>
  <si>
    <t>NARO, UNBS</t>
  </si>
  <si>
    <t>National Animal Disease Diagnostic and Epidemiology Centre (NADDEC) renovated and equipped</t>
  </si>
  <si>
    <t>Renovate and Equip the National Animal Disease Diagnostic and Epidemiology Centre (NADDEC)</t>
  </si>
  <si>
    <t>UNBS</t>
  </si>
  <si>
    <t>Number of Coffee seedlings distributed</t>
  </si>
  <si>
    <t>Procure &amp; distribute 25,000,000 coffee seedling; 500,000 bags of fertilisers; support 500 nursery operator; 75,000 litres of fungicide</t>
  </si>
  <si>
    <t>LGs, MAAIF, NARO</t>
  </si>
  <si>
    <t>National Dairy Laboratory Acredited</t>
  </si>
  <si>
    <t>DDA</t>
  </si>
  <si>
    <t>Equip and accredit National Dairy Laboratory</t>
  </si>
  <si>
    <t>121 Dairy Development Authority</t>
  </si>
  <si>
    <t>UNBS, MAAIF, MTIC</t>
  </si>
  <si>
    <t>011103b05</t>
  </si>
  <si>
    <t>Assorted sets of Agric mechanization equipment acquired and deployed</t>
  </si>
  <si>
    <t>Mechanisation service centres equipped</t>
  </si>
  <si>
    <t xml:space="preserve">Equip 2 regional mechanization service centres </t>
  </si>
  <si>
    <t xml:space="preserve">Number of regional mechanization centers established </t>
  </si>
  <si>
    <t>Support the private sector to self-regulate for quality inputs</t>
  </si>
  <si>
    <t>MAAIF (OWC)</t>
  </si>
  <si>
    <t>UDC, MSCL,UDB, MAAIF, MTIC, NAADS</t>
  </si>
  <si>
    <t>011103b06</t>
  </si>
  <si>
    <t>Farmers sensitised on productivity enhancement technologies</t>
  </si>
  <si>
    <t xml:space="preserve">Number of parishes in which sensitisation has been conducted </t>
  </si>
  <si>
    <t>Sensitise farmers on productivity enhancement technologies at a Parish level in order to increase uptake</t>
  </si>
  <si>
    <t>Practical training centres established</t>
  </si>
  <si>
    <t xml:space="preserve">Number of practicaltraining centres established </t>
  </si>
  <si>
    <t>Using the Parish Model, work with  Zonal Agricultural offices to establish practical training centres (and revamp the former DFIs) to equip farmers in good agriculture practices as well as good business practices.</t>
  </si>
  <si>
    <t>NARO,MAAIF</t>
  </si>
  <si>
    <t>011103b07</t>
  </si>
  <si>
    <t>Treatment facility using Gamma ray radiation technology, for pest treatment of horticultural exports and imports established at exit points.</t>
  </si>
  <si>
    <t>Number of treatment facilities maintained</t>
  </si>
  <si>
    <t>Establish and maintain a treatment facility using Gamma ray radiation technology, for pest treatment of horticultural exports and imports established at exit points.</t>
  </si>
  <si>
    <t>015 Ministry of Trade, Industry and Cooperatives</t>
  </si>
  <si>
    <t>MoE, MoWT, MoLG, MAAIF, UDC</t>
  </si>
  <si>
    <t>011103b08</t>
  </si>
  <si>
    <t>Coffee productivity enhanced</t>
  </si>
  <si>
    <t>Number of unproductive trees stumped</t>
  </si>
  <si>
    <t xml:space="preserve">Support the stumping of unproductive coffee trees </t>
  </si>
  <si>
    <t>011103b09</t>
  </si>
  <si>
    <t>Farm level production increased</t>
  </si>
  <si>
    <t>No. of farming households supported with critical farm inputs</t>
  </si>
  <si>
    <t>NAADS</t>
  </si>
  <si>
    <t>Provide critical farm inputs using the Parish Model</t>
  </si>
  <si>
    <t>152 NAADS Secretariat</t>
  </si>
  <si>
    <t>OWC, MAAIF, UCDA, LGs</t>
  </si>
  <si>
    <t>011103b10</t>
  </si>
  <si>
    <t>Extension staff trained and equipped in inspection, certification and regulation</t>
  </si>
  <si>
    <t>No. of extension staff trained in inspection, certification and regulation of inputs</t>
  </si>
  <si>
    <t>Train and equip extension staff in inspection,certification and regulation of inputs</t>
  </si>
  <si>
    <t>011103b11</t>
  </si>
  <si>
    <t>Animal holding grounds quaratine stations and animal check points established</t>
  </si>
  <si>
    <t>Number of Animal holding grounds quaratine stations and animal check points established</t>
  </si>
  <si>
    <t>MoL, MoWT</t>
  </si>
  <si>
    <t>011103b12</t>
  </si>
  <si>
    <t>Isolation units for infected material, products, animals, plants, fish) established</t>
  </si>
  <si>
    <t>No. of isolation units for infected material, products, animals, plants, fish) established</t>
  </si>
  <si>
    <t xml:space="preserve">Construct isolation units for planting material </t>
  </si>
  <si>
    <t>MoLG, MoWT</t>
  </si>
  <si>
    <t>011103c</t>
  </si>
  <si>
    <t xml:space="preserve">Reform the current input subsidy program including: Scaling up the e-voucher model of inputs distribution </t>
  </si>
  <si>
    <t>011103c01</t>
  </si>
  <si>
    <t xml:space="preserve">Enhanced efficiency in inputs distribution </t>
  </si>
  <si>
    <t xml:space="preserve">Proportion of farmers registered in e-voucher </t>
  </si>
  <si>
    <t>011103c02</t>
  </si>
  <si>
    <t xml:space="preserve">Number of regional mechanization centers established and operational </t>
  </si>
  <si>
    <t>011103c03</t>
  </si>
  <si>
    <t>011103c04</t>
  </si>
  <si>
    <t>011103c05</t>
  </si>
  <si>
    <t>011103d</t>
  </si>
  <si>
    <t>Establish and equip 9 regional mechanization centers to increase uptake of agricultural mechanization and labour- saving technologies</t>
  </si>
  <si>
    <t>011103d01</t>
  </si>
  <si>
    <t>Capacity of Pest and disease Risk Assessors (PRAs) strenghtened</t>
  </si>
  <si>
    <t>No. of Pest and disease Risk Assessor  trained</t>
  </si>
  <si>
    <t>Train pests and Disease Risk assessors trained (crop,livestock and fish diseases)</t>
  </si>
  <si>
    <t>Number of Pest and disease Risk Assessments for high risk crops conducted</t>
  </si>
  <si>
    <t>Conduct pests and Disease Risk assessments (crop,livestock and fish diseases)</t>
  </si>
  <si>
    <t>011103e</t>
  </si>
  <si>
    <t>Enforce pre-export verification for all agricultural inputs at source of origin</t>
  </si>
  <si>
    <t>011103e01</t>
  </si>
  <si>
    <t>E-voucher scaled up</t>
  </si>
  <si>
    <t>Number of new districts enrolled on the e-voucher management system</t>
  </si>
  <si>
    <t>Develop and scale up the e-voucher model of inputs distribution</t>
  </si>
  <si>
    <t>011104</t>
  </si>
  <si>
    <t>Increase access and use of water for agricultural production</t>
  </si>
  <si>
    <t>011104a</t>
  </si>
  <si>
    <t>Complete the irrigation schemes under construction/ rehabilitation including; Doho Phase II, Mubuku Phase II, Wadelai, Tochi, and Olweny</t>
  </si>
  <si>
    <t>011104a01</t>
  </si>
  <si>
    <t>5 Irrigation schemes completed</t>
  </si>
  <si>
    <t>Number of completed irrigation schemes completing defect liability period</t>
  </si>
  <si>
    <t>MWE</t>
  </si>
  <si>
    <t>Complete defect liability period for 5 schemes Doho Phase II, Mubuku Phase II, Wadelai, Tochi, Ngenge, Rwengaaju, Agoro and Olweny.</t>
  </si>
  <si>
    <t>019 Ministry of Water and Environment</t>
  </si>
  <si>
    <t>MAAIF, MTIC, MLGSD, MLG</t>
  </si>
  <si>
    <t>011104b</t>
  </si>
  <si>
    <t>Construct new irrigation schemes; Ngenge, Acomai, Atari, Amagoro, Nabigaga, Rwimi, Nyimur, Musambya, Kibimba, Kabuyanda, Matanda, Igogero, Angololo, Namatala, Namulu, Sipi, Unyama, Lumbuye, Palyec, Porongo, Lopei and Imyepi</t>
  </si>
  <si>
    <t>011104b01</t>
  </si>
  <si>
    <t>23 new irrigation schemes constructed.</t>
  </si>
  <si>
    <t>Number of new irrigation schemes constructed (23)</t>
  </si>
  <si>
    <t>Construct 23 new irrigation schemes. Acomai, Atari, Amagoro, Nabigaga, Rwimi, Nyimur, Musambya, Kibimba, Kabuyanda, Matanda/Enengo, Igogero, Angololo, Kagera, Namatala, Namulu, Sipi, Unyama, Lumbuye, Nyabanja, Palyec, Porongo, Lopei and Imvepi irrigation schemes constructed; complete feasibility studies and detailed for new schemes kiige, Odina, Ongom, Agwata and Atera</t>
  </si>
  <si>
    <t>011104b02</t>
  </si>
  <si>
    <t>Sustainable management institutions for effective utilization of the Irrigation schemes and water for production facilities established</t>
  </si>
  <si>
    <t>No. of irrigation schemes with established operation and maintenance institutional management structures established</t>
  </si>
  <si>
    <t xml:space="preserve">Establish O&amp;M and institutional management structures for irrigation schemes and water for production facilities </t>
  </si>
  <si>
    <t>MAAIF, MTIC, MLGSD, LGs</t>
  </si>
  <si>
    <t>011104b03</t>
  </si>
  <si>
    <t>Model irrigation schemes developed to support technology irrigation at public institution</t>
  </si>
  <si>
    <t>Number of model irrigation schemes developed at Public research institutes</t>
  </si>
  <si>
    <t>Develop 16 model irrigation schemes at the 16 Public research institutes</t>
  </si>
  <si>
    <t>LGs, Universities</t>
  </si>
  <si>
    <t>011104c</t>
  </si>
  <si>
    <t>Develop solar powered small-scale irrigation systems for small holder farmers outside conventional irrigation schemes</t>
  </si>
  <si>
    <t>011104c01</t>
  </si>
  <si>
    <t>Micro and small-scale irrigation systems constructed under UgIFT-AF-IRR program</t>
  </si>
  <si>
    <t>68,000 Micro and small-scale irrigation systems constructed by 2025</t>
  </si>
  <si>
    <t>Construct micro small-scale irrigation schemes</t>
  </si>
  <si>
    <t>LGs, NAADS, UCDA, OWC</t>
  </si>
  <si>
    <t>011104c02</t>
  </si>
  <si>
    <t>Small-scale irrigation systems constructed</t>
  </si>
  <si>
    <t>Number of small-scale irrigation systems/schemes constructed (681)</t>
  </si>
  <si>
    <t>Make designs and construct small-scale irrigation systems/ schemes</t>
  </si>
  <si>
    <t>MWE, LGs</t>
  </si>
  <si>
    <t>011104c03</t>
  </si>
  <si>
    <t>Solar powered water supply and small-scale irrigation systems developed.</t>
  </si>
  <si>
    <t>No of operational solar powered water supply and small-scale irrigation systems developed</t>
  </si>
  <si>
    <t>Construct  small scale solar powered water supply irrigation systems</t>
  </si>
  <si>
    <t>MAAIF,MLG, NAADS, UCDA</t>
  </si>
  <si>
    <t>011104d</t>
  </si>
  <si>
    <t>Develop infrastructure and services for bulk water storage and transfer including water abstraction systems, transmission mains, water pumping systems, storage tanks, water distribution networks</t>
  </si>
  <si>
    <t>011104d01</t>
  </si>
  <si>
    <t>Multi-purpose water development schemes including valley dams, valley tanks developed</t>
  </si>
  <si>
    <t>Number of feasibility studies for  dams</t>
  </si>
  <si>
    <t xml:space="preserve">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t>
  </si>
  <si>
    <t xml:space="preserve">Number of new detailed dam designs </t>
  </si>
  <si>
    <t>Equipment for construction of Valley tanks for livestock watering procured</t>
  </si>
  <si>
    <t>570 new community valley tanks/farm ponds constructed by 2025</t>
  </si>
  <si>
    <t>10 new valley dams constructed by 2025</t>
  </si>
  <si>
    <t>500 Motorised production wells drilled for water for agriculture production by 2025</t>
  </si>
  <si>
    <t>1000 individual valley tanks for livestock watering constructed by 2025</t>
  </si>
  <si>
    <t>570 community valley tanks for livestock watering constructed</t>
  </si>
  <si>
    <t>12 water reticulation systems established</t>
  </si>
  <si>
    <t>No. of water facilities for industrial, tourism and other commercial uses developed.</t>
  </si>
  <si>
    <t>120 micro- irrigation schemes constructed</t>
  </si>
  <si>
    <t>Establish micro-small scale irrigation schemes for coffee</t>
  </si>
  <si>
    <t>MWE, MAAIF, LGs</t>
  </si>
  <si>
    <t>011104d02</t>
  </si>
  <si>
    <t>Management structures for water for agriculture production developed</t>
  </si>
  <si>
    <t>No. of Bulk water systems with operation and maintenance institutional management structures established</t>
  </si>
  <si>
    <t>Establish management structures for multi-purpose bulk water schemes; Select, form and train water user associations</t>
  </si>
  <si>
    <t>011104d03</t>
  </si>
  <si>
    <t>No. of water user association formed and trained by 2025</t>
  </si>
  <si>
    <t>MAAIF, MTIC,MoLG, MLGSD</t>
  </si>
  <si>
    <t>011104d04</t>
  </si>
  <si>
    <t>National Irrigation Master Plan finalized</t>
  </si>
  <si>
    <t xml:space="preserve">National Irrigation Master Plan in place   </t>
  </si>
  <si>
    <t>Finalize the preparation of National Irrigation Master Plan</t>
  </si>
  <si>
    <t>MAAIF, OWC</t>
  </si>
  <si>
    <t>011104d05</t>
  </si>
  <si>
    <t>Water management technologies   promoted among smallholder farmers (e.g. water harvesting, irrigation).</t>
  </si>
  <si>
    <t xml:space="preserve">Number of parishes supported with water management technologies </t>
  </si>
  <si>
    <t>Using the Parish Model, promote water management technologies for smallholder farmers (e.g. water harvesting, irrigation).</t>
  </si>
  <si>
    <t>011104e</t>
  </si>
  <si>
    <t>Promote Water use efficiency in agricultural production</t>
  </si>
  <si>
    <t>011104e01</t>
  </si>
  <si>
    <t>Community based management system for water for agriculture production developed</t>
  </si>
  <si>
    <t>500 water user association formed by 2025</t>
  </si>
  <si>
    <t>500 water user association trained by 2025</t>
  </si>
  <si>
    <t>011105</t>
  </si>
  <si>
    <t>Increase access to and use of agricultural mechanisation</t>
  </si>
  <si>
    <t>011105a</t>
  </si>
  <si>
    <t>Expand and equip regional agricultural mechanisation and service centers in the 9 agroecological zones</t>
  </si>
  <si>
    <t>011105a01</t>
  </si>
  <si>
    <t>Mechanisation service centres established</t>
  </si>
  <si>
    <t xml:space="preserve">Develop designs, construct and equip 2 regional mechanization service centres </t>
  </si>
  <si>
    <t>NARO, LGs, OWC</t>
  </si>
  <si>
    <t>Number of agriculture mechanisation outreach services extended</t>
  </si>
  <si>
    <t>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t>
  </si>
  <si>
    <t>UDC, MSCL,UDB, MAAIF</t>
  </si>
  <si>
    <t>No. of assorted sets of Agric mechanization equipment, services and machinery availed and deployed</t>
  </si>
  <si>
    <t>No. of tested and certified LST machinery equipment</t>
  </si>
  <si>
    <t>No. of tractors acquired and deployed</t>
  </si>
  <si>
    <t>011105a02</t>
  </si>
  <si>
    <t>AMT users, operators, technician trained</t>
  </si>
  <si>
    <t>Number of AMT users, operators and techniciains trained</t>
  </si>
  <si>
    <t>011105a03</t>
  </si>
  <si>
    <t>Farm access roads opened, improved, rehabilitated and constructed</t>
  </si>
  <si>
    <t xml:space="preserve">Total No of kilometers of farm roads developed, </t>
  </si>
  <si>
    <t>011105b</t>
  </si>
  <si>
    <t>Establish agricultural mechanisation manufacturing plants</t>
  </si>
  <si>
    <t>011105b01</t>
  </si>
  <si>
    <t>Agricultural mechanisation plants established.</t>
  </si>
  <si>
    <t>Number of agricultural mechanisation plants established.</t>
  </si>
  <si>
    <t>UDB</t>
  </si>
  <si>
    <t xml:space="preserve">Establish agricultural mechanisation manufacturing plants. </t>
  </si>
  <si>
    <t>MAAIF,MOFPED,MOWT, Private sector</t>
  </si>
  <si>
    <t>011105c</t>
  </si>
  <si>
    <t>Establish appropriate public and private financing options for agricultural mechanisation</t>
  </si>
  <si>
    <t>011105c01</t>
  </si>
  <si>
    <t>Equipment and machinery suppliers, dealers and manufacturers accredited</t>
  </si>
  <si>
    <t>Number of Agriculture equipment and machinery importers, suppliers, dealers, fabricators and manufacturers identified and accredited</t>
  </si>
  <si>
    <t>Identify and accredit mechanisation equipment suppliers, dealers, manufacturers or importers and fabricators</t>
  </si>
  <si>
    <t>UNBS, MoSTI</t>
  </si>
  <si>
    <t>011106</t>
  </si>
  <si>
    <t>Increase access and use of digital technologies in agriculture</t>
  </si>
  <si>
    <t>011106a</t>
  </si>
  <si>
    <t>Empower youth to use ICT in developing agro-enterprise innovations</t>
  </si>
  <si>
    <t>011106a01</t>
  </si>
  <si>
    <t>Integrated livestock information management system developed and operationalized</t>
  </si>
  <si>
    <t>Number of animals enrolled on the Traceability system</t>
  </si>
  <si>
    <t>Develop and operationalize the Livestock Identification and Traceability System and animal health information management system</t>
  </si>
  <si>
    <t>NAGRC&amp;DB, MoICT&amp;NG, LG, DDA</t>
  </si>
  <si>
    <t>Integrated livestock information management system developed</t>
  </si>
  <si>
    <t>011106a02</t>
  </si>
  <si>
    <t>Youth capacity enhanced  to develop agro-enterprise innovations</t>
  </si>
  <si>
    <t xml:space="preserve">Number of youth groups trained </t>
  </si>
  <si>
    <t>Use ICT in developing agro-enterprise innovations among Youths</t>
  </si>
  <si>
    <t>011106b</t>
  </si>
  <si>
    <t>Develop ICT modules that can improve extension services and delivery of government input support</t>
  </si>
  <si>
    <t>011106b01</t>
  </si>
  <si>
    <t>ICT modules that improve extension services and delivery of government input support developed</t>
  </si>
  <si>
    <t>Number of mobile extension apps developed (Mechanization; irrigation; pests and disease; artifitial insemination)</t>
  </si>
  <si>
    <t>Mobile extension apps developed</t>
  </si>
  <si>
    <t>Establish e-learning centers at zonal level</t>
  </si>
  <si>
    <t>No. of mobile information stalls established</t>
  </si>
  <si>
    <t>Mobile information stall established</t>
  </si>
  <si>
    <t>Information laboratory for management and analysis of satelite data</t>
  </si>
  <si>
    <t>Information laboratory for management and analysis of satelite data established</t>
  </si>
  <si>
    <t xml:space="preserve">Information Labaratory  for management and analysis of satelite data operational </t>
  </si>
  <si>
    <t>Information laboratory for management and analysis of satelite data operationalised</t>
  </si>
  <si>
    <t>NFA, MoICT&amp;NG</t>
  </si>
  <si>
    <t>No. of staff trained to analyze satellite data</t>
  </si>
  <si>
    <t>Staff trained in satellite data analysis</t>
  </si>
  <si>
    <t>011107</t>
  </si>
  <si>
    <t>Improve land tenure systems and  security mechnaisms that promote inclusive agriculture investments</t>
  </si>
  <si>
    <t>011107a</t>
  </si>
  <si>
    <t>Increase the number of farmers with titled land to ensure land tenure security with special attention to the youth, women, PWDS and other vulnerable groups</t>
  </si>
  <si>
    <t>011107a01</t>
  </si>
  <si>
    <t>Partnerships entered into between farming communities and land owners of large tracts of farm land for increased production</t>
  </si>
  <si>
    <t xml:space="preserve">Number of food and animal feed reserves established </t>
  </si>
  <si>
    <t>Facilitate partnerships between the farming communities and  owners of large tracts of land for mass production to build a strategic food and animal feeds reserves.</t>
  </si>
  <si>
    <t>OWC, MAAIF, MoLHUD, MoKCC&amp;MA, LGs</t>
  </si>
  <si>
    <t>011107b</t>
  </si>
  <si>
    <t>Promote the policy of non-fragmentation of Agricultural land among family members in all agro-ecological zones</t>
  </si>
  <si>
    <t>011107b01</t>
  </si>
  <si>
    <t>Certificates of Customary Ownership, Certificates of Occupancy for bibanja holders on mailo land, longer-term leasing and other collaborative farming arrangements embraced by farmers</t>
  </si>
  <si>
    <t xml:space="preserve">Number of certificates of  ownership aqcuired by farmers </t>
  </si>
  <si>
    <t xml:space="preserve">Engage with the farming communities to embrace Certificates of Customary Ownership, Certificates of Occupancy for bibanja holders on mailo land, longer-term leasing and other collaborative farming arrangements to help resolve land tenure challenges (popularise the use of these). </t>
  </si>
  <si>
    <t>MLHUD, MAAIF</t>
  </si>
  <si>
    <t>011107c</t>
  </si>
  <si>
    <t>Secure and efficiently use public agriculture farmlands and ranches</t>
  </si>
  <si>
    <t>011107c01</t>
  </si>
  <si>
    <t>Efficient utilization of public agriculture farmlands and ranches</t>
  </si>
  <si>
    <t>Proportion of agricultural land secured (fenced, titled)</t>
  </si>
  <si>
    <t>MoLHUD</t>
  </si>
  <si>
    <t>Secure and effeciently use public agriculture farmlands and ranches</t>
  </si>
  <si>
    <t>MLHUD</t>
  </si>
  <si>
    <t>011108</t>
  </si>
  <si>
    <t>Strengthen farmer organizations and cooperatives</t>
  </si>
  <si>
    <t>011108a</t>
  </si>
  <si>
    <t>Sensitize farmers on the benefits of cooperating</t>
  </si>
  <si>
    <t>011108a01</t>
  </si>
  <si>
    <t>Cooperative and entrepreneurial skills inculcated to the farmers and farmers groups</t>
  </si>
  <si>
    <t>Number of farmer groups trained in entrepreneurial skills</t>
  </si>
  <si>
    <t>Engage cooperative colleges and colleges of commerce to inculcate cooperative and entrepreneurial skills to the farmers and farmers groups;</t>
  </si>
  <si>
    <t>011108a02</t>
  </si>
  <si>
    <t>Farmer organisation registered and profiled</t>
  </si>
  <si>
    <t>No. of farmer organisation registered and profiled</t>
  </si>
  <si>
    <t>Register and profile farmer organisations</t>
  </si>
  <si>
    <t>Number of breeders' and breed associations registered</t>
  </si>
  <si>
    <t>Register breeder associations</t>
  </si>
  <si>
    <t>011108b</t>
  </si>
  <si>
    <t>Support up-coming farmer groups and cooperatives to effectively manage themselves</t>
  </si>
  <si>
    <t>011108b01</t>
  </si>
  <si>
    <t>Farmer organizations strengthened</t>
  </si>
  <si>
    <t>No. of farmer groups trained along the value chain</t>
  </si>
  <si>
    <t>Undertake capacity assessment of farmer groups, identify and fill their capacity gaps</t>
  </si>
  <si>
    <t>OWC, MLG, UCDA, CDO, DDA, NAGRC&amp;DB, NAADS, MAAIF</t>
  </si>
  <si>
    <t>011109</t>
  </si>
  <si>
    <t>Strengthen systems for management of pests, vectors and diseases</t>
  </si>
  <si>
    <t>011109a</t>
  </si>
  <si>
    <t>Develop and equip infrastructure and facilities for disease diagnosis and control</t>
  </si>
  <si>
    <t>011109a01</t>
  </si>
  <si>
    <t>Disease diagnosis and control capacity and facilities developed and equipped</t>
  </si>
  <si>
    <t xml:space="preserve">235 Mobile plant and livestock clinics established across the country </t>
  </si>
  <si>
    <t xml:space="preserve">Establish 235 Mobile plant and livestock clinics across the country </t>
  </si>
  <si>
    <t>LGs, MoWT</t>
  </si>
  <si>
    <t>Area under invasive aquatic weeds cleared</t>
  </si>
  <si>
    <t xml:space="preserve">Acquire additional heavy earth moving and biological equipment’s to support robust mechanical removal of the mass water weed in all major water bodies. </t>
  </si>
  <si>
    <t>MLG,NARO, MAAIF, MoWE, UNRA, MoWT</t>
  </si>
  <si>
    <t xml:space="preserve">Number of district local governments supported to control pests and disease epidemics  </t>
  </si>
  <si>
    <t>Acquire  pest, vector and disease control equipment and laboratory consumables</t>
  </si>
  <si>
    <t>MLG, LGs</t>
  </si>
  <si>
    <t>Number of animal movement certificates issued</t>
  </si>
  <si>
    <t>Enforce animal movement control, surveillance and investigation of disease outbreaks, acquire movement control certificates</t>
  </si>
  <si>
    <t>Number of disease free compartments certified</t>
  </si>
  <si>
    <t>011109b</t>
  </si>
  <si>
    <t>Develop human capacity for management of pests, vectors and diseases</t>
  </si>
  <si>
    <t>011109b01</t>
  </si>
  <si>
    <t>No. of local government staff trained in pest, vector and disease surveillance, diagnostics and control control</t>
  </si>
  <si>
    <t>Train and provide technical backstopping in pests, vectors and diseases surveillance, diagnostics and control</t>
  </si>
  <si>
    <t>MLG, CDO, UCDA, DDA, NAGRC&amp;DB, LGs</t>
  </si>
  <si>
    <t>National Agriculture and veterinary  drug center established</t>
  </si>
  <si>
    <t>MoTIC (UDC)</t>
  </si>
  <si>
    <t>Complete modalities for engaging the Private Sector to set-up pesticides, acaricides, animal vaccine and drug manufacturing in-country. Conduct feasibility studies, draft national veterinary medicines bill</t>
  </si>
  <si>
    <t>NPA, NDA, UDC, MoFPED, Min of justice, OWC, NARO</t>
  </si>
  <si>
    <t>Number of zonal disease diagnostic laboratories established</t>
  </si>
  <si>
    <t>Establish zonal Veterinary diagnostic laboratories</t>
  </si>
  <si>
    <t xml:space="preserve">Number of district veterinary labs established/ rehabilitated and operational. </t>
  </si>
  <si>
    <t>Establish /rehabilitate   district veterinary laboratories</t>
  </si>
  <si>
    <t xml:space="preserve">No. of district-based crop mini-diagnostic labs established/ rehabilitated and operational </t>
  </si>
  <si>
    <t>Establish /rehabilitate   district mini-diagnostic laboratories</t>
  </si>
  <si>
    <t>8 ART animal health laboratories constructed, equipped and operational by 2025</t>
  </si>
  <si>
    <t>Construct Assisted Reproductive Technology (ART) laboratories</t>
  </si>
  <si>
    <t>011109c</t>
  </si>
  <si>
    <t>Invest in agricultural drugs manufacture and distribution</t>
  </si>
  <si>
    <t>011109c01</t>
  </si>
  <si>
    <t>Animal Disease vaccines acquired and distributed</t>
  </si>
  <si>
    <t>No. of animal disease vaccines acquired and distributed for state-controlled diseases.</t>
  </si>
  <si>
    <t>Acquire vaccines for endemic, emerging pandemic animal and crop diseases such as FMD, CBPP, crop diseases</t>
  </si>
  <si>
    <t>011109c02</t>
  </si>
  <si>
    <t>Vaccine cold chain maintained from manufacture to animal delivery</t>
  </si>
  <si>
    <t>Number of cold chain delivery vans procured</t>
  </si>
  <si>
    <t xml:space="preserve">Procure cold chain distribution equipment, expand and maintain the existing  cold room </t>
  </si>
  <si>
    <t>MLG</t>
  </si>
  <si>
    <t>Storage capacity of the cold room (cubic metres)</t>
  </si>
  <si>
    <t>011109c03</t>
  </si>
  <si>
    <t>Pest, disease and vector control staff recruited</t>
  </si>
  <si>
    <t>No of staff recruited against establishment</t>
  </si>
  <si>
    <t>Recruit Pest, disease and vector control staff</t>
  </si>
  <si>
    <t>011110</t>
  </si>
  <si>
    <t>Promote sustainable land and environment management practices in line with the agroecological needs:</t>
  </si>
  <si>
    <t>011110a</t>
  </si>
  <si>
    <t>Strengthen land, water and soil conservation practices</t>
  </si>
  <si>
    <t>011110a01</t>
  </si>
  <si>
    <t>Land, water and soil conservation practices strengthened</t>
  </si>
  <si>
    <t>No of Catchment Management Plans (CMPs) developed</t>
  </si>
  <si>
    <t>Develop and implement Catchment Management Plans (CMPs) in the 9 Agricultural Zones; Fastrack and integrate all SLM practices within the extension service systems</t>
  </si>
  <si>
    <t>LGs, UCDA, MWE</t>
  </si>
  <si>
    <t>SLM practices intergrated within the extension service systems</t>
  </si>
  <si>
    <t>Kms of conservation structures constructed/ established by type</t>
  </si>
  <si>
    <t>Number of technologies for management practices for pasture and rangeland improvement</t>
  </si>
  <si>
    <t>Develop Technologies for management practices for pasture and rangeland improvement</t>
  </si>
  <si>
    <t>NARO, NAGRC&amp;DB,DLG, UNIVERSITIES, UPS</t>
  </si>
  <si>
    <t>No of district local government  Staff trained in farmland planning and farming systems. No of farmland use plans developed.</t>
  </si>
  <si>
    <t xml:space="preserve">Promote Farmland planning (FP) and Farming systems activities and technologies </t>
  </si>
  <si>
    <t>011110a02</t>
  </si>
  <si>
    <t>Aquaculture production increased</t>
  </si>
  <si>
    <t>One Cage based Aquaculture park in Mwena-Kalangala established</t>
  </si>
  <si>
    <t>Complete construction of One Cage based Aquaculture park in Mwena-Kalangala</t>
  </si>
  <si>
    <t>One Pond based aquaculture park in Apac established</t>
  </si>
  <si>
    <t>Construct one Pond based aquaculture park in Apac</t>
  </si>
  <si>
    <t>NAGRC&amp;DB, LGs, Apac DLG</t>
  </si>
  <si>
    <t>No. of fish breeding grounds in water bodies gazetted</t>
  </si>
  <si>
    <t>Identify, map, mark, gazette and protect fish breeding grounds</t>
  </si>
  <si>
    <t>No. of minor water bodies restocked</t>
  </si>
  <si>
    <t>Restock minor water bodies</t>
  </si>
  <si>
    <t>LG, NARO</t>
  </si>
  <si>
    <t xml:space="preserve">Number of fishers and  fishing vessels licenced </t>
  </si>
  <si>
    <t>Enforce fisheries regulation along major water bodies, Procure vessel identification plates, fishing materials and license vessels to operate on the lakes</t>
  </si>
  <si>
    <t>MoD</t>
  </si>
  <si>
    <t>No of one acre ponds constructed and stocked</t>
  </si>
  <si>
    <t>Construct one acre ponds</t>
  </si>
  <si>
    <t>No. of youth and women groups supported in setting up ponds and required inputs</t>
  </si>
  <si>
    <t>Set up ponds for youths and women groups</t>
  </si>
  <si>
    <t>MoLG, MGL&amp;SD</t>
  </si>
  <si>
    <t>011110b</t>
  </si>
  <si>
    <t>Introduce and upscale Agro-forestry for mitigation and climate resilience</t>
  </si>
  <si>
    <t>011110b01</t>
  </si>
  <si>
    <t>Agro-forestry upscaled</t>
  </si>
  <si>
    <t>Number of seedlings purchased and distributed</t>
  </si>
  <si>
    <t>Purchase and distribute 8 million seedlings</t>
  </si>
  <si>
    <t>NFA, MWE</t>
  </si>
  <si>
    <t>011110c</t>
  </si>
  <si>
    <t>Reduce and mitigate emissions from agricultural systems through converting waste to energy and other green technologies</t>
  </si>
  <si>
    <t>011110c01</t>
  </si>
  <si>
    <t>Emissions from agricultural systems reduced and mitgated through converting waste to energy and other green technologies</t>
  </si>
  <si>
    <t>Number of farmers trained (TOT)</t>
  </si>
  <si>
    <t xml:space="preserve">Train farmers to manage agricultural waste </t>
  </si>
  <si>
    <t>011110e</t>
  </si>
  <si>
    <t>Undertake Soil profiling and mapping</t>
  </si>
  <si>
    <t>011110e01</t>
  </si>
  <si>
    <t>Soil, crop suitability and fertilizer blend maps developed</t>
  </si>
  <si>
    <t xml:space="preserve">Number of soil, crop suitability maps   and fertilizer blends developed </t>
  </si>
  <si>
    <t>Develop two Soil, crop suitability maps and fertilizer blends</t>
  </si>
  <si>
    <t>MAAIF, LG, UCDA, MoLHUD</t>
  </si>
  <si>
    <t>011110e02</t>
  </si>
  <si>
    <t>Soil testing laboratories at the 9 ZARDIs established</t>
  </si>
  <si>
    <t>3 soil testing laboratories established by 2025</t>
  </si>
  <si>
    <t>Design and construct 3 soil testing labaratories</t>
  </si>
  <si>
    <t>NARO, MUK</t>
  </si>
  <si>
    <t>011110e03</t>
  </si>
  <si>
    <t>Youth groups trained to practice climate smart agriculture</t>
  </si>
  <si>
    <t>Train youth groups in climate smart Agriculture</t>
  </si>
  <si>
    <t>011110f</t>
  </si>
  <si>
    <t>Build the capacity of youth to practice climate smart agriculture</t>
  </si>
  <si>
    <t>011110f01</t>
  </si>
  <si>
    <t>Agricultural value chain actors trained to manage  Agrochemicals</t>
  </si>
  <si>
    <t xml:space="preserve">Number of Agricultural value chain actors trained </t>
  </si>
  <si>
    <t>Train Agricultural value chain actors  to manage  Agrochemicals</t>
  </si>
  <si>
    <t>011111</t>
  </si>
  <si>
    <t>Improve skills and competencies of agricultural labor force at technical and managerial levels</t>
  </si>
  <si>
    <t>011111a</t>
  </si>
  <si>
    <t>Strengthen training and skilling centres for new skills in agroindustry</t>
  </si>
  <si>
    <t>011113a01</t>
  </si>
  <si>
    <t>Agriculuture training and skilling centers expanded</t>
  </si>
  <si>
    <t>Number of training and skilling centers for agro-industry expanded</t>
  </si>
  <si>
    <t>MoES</t>
  </si>
  <si>
    <t>Expand Agricultural training and skilling centres</t>
  </si>
  <si>
    <t>Number of training and skilling centers for agro-industry equipped</t>
  </si>
  <si>
    <t>Equip (with industrial training machines and tools), adequately fund and sufficiently staff (with a focus on academic staff) BTVET institutions engaged in agro-industry to implement agro-industrialization program</t>
  </si>
  <si>
    <t xml:space="preserve">Reviewed agricultural education curriculum </t>
  </si>
  <si>
    <t>Review the agricultural education curriculum to suit the agroindustry skill needs, including needs of out-of- school youth and focus other areas beyond agronomy, animal science and extension</t>
  </si>
  <si>
    <t>013 Ministry of Education and Sports</t>
  </si>
  <si>
    <t>011111b</t>
  </si>
  <si>
    <t>011113b01</t>
  </si>
  <si>
    <t xml:space="preserve">Agro-industrialization program mainstreamed and implemented in BTVET institutions  </t>
  </si>
  <si>
    <t xml:space="preserve">Number of BTVET institutions implementing the agro-industrialization program </t>
  </si>
  <si>
    <t>14 Ministry of Education and Sports</t>
  </si>
  <si>
    <t>011111c</t>
  </si>
  <si>
    <t>Review the agricultural education curriculum to suit the agroindustry skill needs, including needs of out-of-school youth and focus other areas beyond agronomy, animal science and extension</t>
  </si>
  <si>
    <t>011113c01</t>
  </si>
  <si>
    <t>Reviewed agricultural education curriculum</t>
  </si>
  <si>
    <t>Review agricultural education curriculum</t>
  </si>
  <si>
    <t>15 Ministry of Education and Sports</t>
  </si>
  <si>
    <t>011111e</t>
  </si>
  <si>
    <t>Strengthen the capacity of technical and vocational institutions for training</t>
  </si>
  <si>
    <t>011113e01</t>
  </si>
  <si>
    <t>Capacity of technical and vocational institutions in agricultural mechanization developed</t>
  </si>
  <si>
    <t xml:space="preserve">Number of tutors in technical and Vocational Institutions trained in agriculture mechanics </t>
  </si>
  <si>
    <t xml:space="preserve">Train tutors in technical and Vocational Institutions in agriculture mechanics </t>
  </si>
  <si>
    <t>011111f</t>
  </si>
  <si>
    <t>Enable access to technical and vocational training to improve skills in the agro-industry, particularly for women, persons with disabilities and the youth.</t>
  </si>
  <si>
    <t>011113f01</t>
  </si>
  <si>
    <t>Access to technical and vocational trained for specific groups increased</t>
  </si>
  <si>
    <t>Number of scholarships issued to women, PWDs and the youth in vocational training centers</t>
  </si>
  <si>
    <t>Issue scholarships to women, PWDs and the youth in vocational training centers</t>
  </si>
  <si>
    <t>011112</t>
  </si>
  <si>
    <t>Strengthen the capacity to collect, report, disseminate and use weather or accurate meteorological information</t>
  </si>
  <si>
    <t>01111201</t>
  </si>
  <si>
    <t>Infrastructure for collecting accurate weather information in place</t>
  </si>
  <si>
    <t>Infrastructure established and operational</t>
  </si>
  <si>
    <t>UNMA</t>
  </si>
  <si>
    <t>Develop and maintain requisite infrastructure to collect accurate weather information (e.g. weather stations etc.).</t>
  </si>
  <si>
    <t>302 Uganda National Meteorological Authority</t>
  </si>
  <si>
    <t>MFPED, MAAIF</t>
  </si>
  <si>
    <t>01111202</t>
  </si>
  <si>
    <t>ICT-enabled agricultural weather forecasting system developed and operationalised</t>
  </si>
  <si>
    <t>ICT-Weather equipment acquired</t>
  </si>
  <si>
    <t>Upgrade the existing weather forecasting and dissemination system; Acquire 5 servers, 2 supercomputers, 20 High Processing Computers to run dynamic models.</t>
  </si>
  <si>
    <t>011113</t>
  </si>
  <si>
    <t>Strengthen and develop mechanisms to prevent incidences of child labour within the sector and exploitation of the agricultural labour force</t>
  </si>
  <si>
    <t>01111301</t>
  </si>
  <si>
    <t>Mechanisms to prevent incidences of child labour within agriculture in place</t>
  </si>
  <si>
    <t>Percentage reduction in usage of child labor in agriculture</t>
  </si>
  <si>
    <t>MoGLSD</t>
  </si>
  <si>
    <t>Develop mechanisms to prevent incidences of child labour within agriculture</t>
  </si>
  <si>
    <t>018 Ministry of Gender, Labour and Social Development</t>
  </si>
  <si>
    <t>012</t>
  </si>
  <si>
    <t>Storage, Agro-Processing and Value addition</t>
  </si>
  <si>
    <t>0122</t>
  </si>
  <si>
    <t>Improve post-harvest handling and storage</t>
  </si>
  <si>
    <t>012201</t>
  </si>
  <si>
    <t>Establish post-harvest handling, storage and processing infrastructure including silos, dryers, warehouses, and cold rooms of various scale and</t>
  </si>
  <si>
    <t>01220101</t>
  </si>
  <si>
    <t>1,382 Cooperative Societies supported with small scale post harvest handling technologies and storage in the 10 agro-ecological zones</t>
  </si>
  <si>
    <t>Number of aggregation and collective marketing societies supported with equipment</t>
  </si>
  <si>
    <t>Using the Parish Model, conduct physical assessments; assess and recommend appropriate technologies for small scale post harvest handling and storage; procure, deliver and install the value addition machinery; commission and monitor the performance of the equipment</t>
  </si>
  <si>
    <t>MoTIC (OWC)</t>
  </si>
  <si>
    <t xml:space="preserve">MTIC, MAAIF, UCDA, </t>
  </si>
  <si>
    <t>01220102</t>
  </si>
  <si>
    <t>Capacity of cooperatives, communities, farmers and traders developed in post-harvest handling and storage including; business management; value addition; quality requirements and principles of cooperative movements</t>
  </si>
  <si>
    <t>Number of beneficiary cooperative members trained</t>
  </si>
  <si>
    <t>Develop training modules; train 40,000 beneficiaries in business management; post harvest handling and storage; value addition; quality requirements and principles of cooperative movements</t>
  </si>
  <si>
    <t>UCDA, MAAIF, DDA,OWC</t>
  </si>
  <si>
    <t xml:space="preserve">Number of cooperatives supported with value addition equipment </t>
  </si>
  <si>
    <t xml:space="preserve">Support Cooperative societies with value addition equipment by ecological zones </t>
  </si>
  <si>
    <t>Train and Support coffee farmer cooperatives</t>
  </si>
  <si>
    <t>MTIC, MAAIF, LGs</t>
  </si>
  <si>
    <t>01220103</t>
  </si>
  <si>
    <t>Two silos constructed, one in Bunyoro and one in Busoga</t>
  </si>
  <si>
    <t>Number of silos constructed</t>
  </si>
  <si>
    <t>UDC</t>
  </si>
  <si>
    <t>Construct two silos</t>
  </si>
  <si>
    <t>MAAIF, MoTIC</t>
  </si>
  <si>
    <t>01220104</t>
  </si>
  <si>
    <t>5 grain stores and one Silo established at the major prisons grain farms</t>
  </si>
  <si>
    <t>Number of grain stores established</t>
  </si>
  <si>
    <t>Establish silos and grain stores</t>
  </si>
  <si>
    <t>01220105</t>
  </si>
  <si>
    <t>8 specialized demonstration trucks, 6 for transporting of live animals  and 2 for animal products procured</t>
  </si>
  <si>
    <t>Number of trucks procured</t>
  </si>
  <si>
    <t>Acquire specialised demonstration trucks for transportation of live animals and animal products</t>
  </si>
  <si>
    <t>01220106</t>
  </si>
  <si>
    <t>10 modern fish handling infrastructure rehabilitated and operationalized</t>
  </si>
  <si>
    <t>10 public fisheries infrastructure rehabilitated</t>
  </si>
  <si>
    <t>Rehabilitate equipment, establish operational and management structures, commission and monitor the operationalization of  fish handling facilities</t>
  </si>
  <si>
    <t>NAADS, MAAIF, OWC</t>
  </si>
  <si>
    <t>01220107</t>
  </si>
  <si>
    <t>Cooperative societies, communities supported with cleaning, drying, grading and processing equipment</t>
  </si>
  <si>
    <t xml:space="preserve">No. of community fish drying racks constructed at the major landing sites </t>
  </si>
  <si>
    <t xml:space="preserve">Construct 40 community fish drying racks at major landing sites </t>
  </si>
  <si>
    <t>500 solar drying demonstrations established</t>
  </si>
  <si>
    <t>Establish 500 demonstration of solar drying, and demonstrate raised drying racks in 10 coffee growing regions</t>
  </si>
  <si>
    <t>MTIC, LGs</t>
  </si>
  <si>
    <t>No. of milk collection centres rehabilitated and equipped</t>
  </si>
  <si>
    <t>Rehabilitate and equip 43 milk collection centers; support 250 women and youths farmer cooperative societies with dairy farm equipment; support 750 farmer Cooperatives with milk handling and milk cooling equipment</t>
  </si>
  <si>
    <t>MTIC, LGs, MAAIF</t>
  </si>
  <si>
    <t>No. of chuff cutters, milking cans, milking buckets and milking machines for youth and women groups</t>
  </si>
  <si>
    <t>No. of cooperatives supported with milk handling and milk cooling equipment</t>
  </si>
  <si>
    <t>Number of animal feed production, packaging, and storage facilities on 7 NAGRC&amp;DB centre farms</t>
  </si>
  <si>
    <t xml:space="preserve">Establish 7 animal feed production, packaging and storage facilities on the NAGRC&amp;DB farms  </t>
  </si>
  <si>
    <t>01220108</t>
  </si>
  <si>
    <t>Storage and post-harvest handling facilities established at a Parish level</t>
  </si>
  <si>
    <t xml:space="preserve">140 facilities established  in 140 districts </t>
  </si>
  <si>
    <t>NPA</t>
  </si>
  <si>
    <t>Using the Parish Model, undertake diagnostic and feasibility studies, procure and establish small scale storage and post-harvest handling facilities.</t>
  </si>
  <si>
    <t>NPA (OWC)</t>
  </si>
  <si>
    <t>108 National Planning Authority</t>
  </si>
  <si>
    <t>MAAIF, MTIC, LGs, UDC</t>
  </si>
  <si>
    <t>01220109</t>
  </si>
  <si>
    <t>Awareness on post-harvest handling and management created</t>
  </si>
  <si>
    <t xml:space="preserve">Districts in which awareness campaigns are undertaken </t>
  </si>
  <si>
    <t>Create awareness campaigns on post-harvest handling and management and its benefits. The campaigns will also create awareness of aflatoxins and its effects.</t>
  </si>
  <si>
    <t>MAAIF, MTIC</t>
  </si>
  <si>
    <t>01220110</t>
  </si>
  <si>
    <t>Post-harvest handling and storage facilities for priority commodities (both dry and wet) established in greater  Masaka, Luwero, Arua, Kanungu,  and Bundibugyo, Nwoya,kayunga, Yumbe, Soroti, Nakaseke and around Regional Farm Service Centres</t>
  </si>
  <si>
    <t>Number of post-harvest handling, storage and processing facilities established by 2025</t>
  </si>
  <si>
    <t>Undertake detailed diagnostic and feasibility studies; design and construct storage facilities; procurement and installation of the equipment; establish operation and management structures with the private sector; Commission the infrastructure.</t>
  </si>
  <si>
    <t>NPA,MAAIF, OWC, NAADS &amp;UDC</t>
  </si>
  <si>
    <t>Number of feasibility studies conducted for agricultural mechanization, post harvest handling, storage and processing infrastructure equipment relevant for Uganda</t>
  </si>
  <si>
    <t>01220111</t>
  </si>
  <si>
    <t>Storage facilities consolidated under MTIC</t>
  </si>
  <si>
    <t>Profile of functional storage and processing facilities in place</t>
  </si>
  <si>
    <t>Profile, consolidate and maintain all storage and processing facilities that were established and handed over to communities under different government projects/programme eg CAIIP</t>
  </si>
  <si>
    <t>OWC,MAAIF,LGs</t>
  </si>
  <si>
    <t>012202</t>
  </si>
  <si>
    <t>Establish regional post-harvest handling, storage and value addition facilities in key strategic locations; grain in Jinja; Cassava in Gulu; Dairy in Mbarara; Meat in Nakasongola; fresh fruits in Soroti; vegetable oil in Kalangala; cotton in Lira; beverages in Fort Portal, Fish in Mukono and Rice in Butaleja</t>
  </si>
  <si>
    <t>01220201</t>
  </si>
  <si>
    <t xml:space="preserve">Regional post-harvest handling, storage and value addition facilities established </t>
  </si>
  <si>
    <t xml:space="preserve">Number of regional post-harvest handling, storage and value addition facilities established. </t>
  </si>
  <si>
    <t>012203</t>
  </si>
  <si>
    <t>Improve the transportation and logistics infrastructure such as refrigerated trucks and cold rooms for priority commodities</t>
  </si>
  <si>
    <t>01220301</t>
  </si>
  <si>
    <t xml:space="preserve">Transportation and logistics infrastructure enhanced </t>
  </si>
  <si>
    <t xml:space="preserve">Proportion of  agro-industry actors with access to transportation and logistics facilities </t>
  </si>
  <si>
    <t>0123</t>
  </si>
  <si>
    <t>Increase agro-processing and value addition</t>
  </si>
  <si>
    <t>012301</t>
  </si>
  <si>
    <t>Establish eco-friendly fully serviced agro-industrial parks/export processing zones  and equip regional farm service centers</t>
  </si>
  <si>
    <t>01230101</t>
  </si>
  <si>
    <t>Agro-industrial Parks and export processing zones established and functional</t>
  </si>
  <si>
    <t>A survey report in place</t>
  </si>
  <si>
    <t>UIA</t>
  </si>
  <si>
    <t>Carry out a survey on the status of all agro processing and value addition establishments; Conduct feasibility studies for agro-industrial parks; Identification, selection of sites and acquisition of land; Develop master plans and designs, construct agro-industrial parks infrastructure; Extend water mains network and medium to high voltage electricity to the agro-industrial parks</t>
  </si>
  <si>
    <t>310 Uganda Investment Authority (UIA)</t>
  </si>
  <si>
    <t>NAADS, OWC, MoLG, MTIC, UDC, NAGRC&amp;DB, MAAIF</t>
  </si>
  <si>
    <t>Number of Agro-industrial parks established</t>
  </si>
  <si>
    <t>01230102</t>
  </si>
  <si>
    <t>Export agro-processing zones established and functional</t>
  </si>
  <si>
    <t>Number of SMEs linked to free zones</t>
  </si>
  <si>
    <t>UFZA</t>
  </si>
  <si>
    <t xml:space="preserve">Link SMEs to free zones agro-processors for sub-contracting &amp; access to export markets; Mapping local export clusters for production &amp; bulking of supply side for Free Zones; Develop climate change and environment sustainability plan for free zones; supervision, monitoring and facilitation of Free Zones </t>
  </si>
  <si>
    <t>MoFPED (UFZA)</t>
  </si>
  <si>
    <t>008 Ministry of Finance, Planning &amp; Economic Dev.</t>
  </si>
  <si>
    <t>UIA, MTIC, MAAIF</t>
  </si>
  <si>
    <t>01230103</t>
  </si>
  <si>
    <t>Value addition equipment Acquired</t>
  </si>
  <si>
    <t>Number of value addition incubation facilities to mentor and promote  agro-based MSMEs  established</t>
  </si>
  <si>
    <t>Acquire value addition Plant and Equipment for each RFSC in regions where none exist (including Agro product Processing Units (APPU)</t>
  </si>
  <si>
    <t>OWC, MTIC, LGs</t>
  </si>
  <si>
    <t>01230104</t>
  </si>
  <si>
    <t>Acres of land acquired for establishment of free zones</t>
  </si>
  <si>
    <t xml:space="preserve">Acres of land acquired for establishment of free zones </t>
  </si>
  <si>
    <t>Acquire at least 1000 acres of land for setting up agro-industrial infrastructure for free zones</t>
  </si>
  <si>
    <t>LGs, MLHUD, UIA, MoWT</t>
  </si>
  <si>
    <t>01230105</t>
  </si>
  <si>
    <t>Export processing zones and farm service centers established</t>
  </si>
  <si>
    <t>Number of export processing zones and farm service centers established</t>
  </si>
  <si>
    <t>Conduct feasibility studies, Masterplan, Engineering design &amp; ESIA for free zones, and construction of Free zones</t>
  </si>
  <si>
    <t>MoWT, NEMA, MoKCC&amp;MA</t>
  </si>
  <si>
    <t>012302</t>
  </si>
  <si>
    <t>Establish a strategic mechanism for importation of agro-processing technology</t>
  </si>
  <si>
    <t>012302a</t>
  </si>
  <si>
    <t>Establish a scholarship and apprenticeship programme in strategic agro-industries</t>
  </si>
  <si>
    <t>012302a01</t>
  </si>
  <si>
    <t>FDI established to focus on export market</t>
  </si>
  <si>
    <t xml:space="preserve">Number of new operational external firms investing in Agriculture </t>
  </si>
  <si>
    <t xml:space="preserve">Encourage Foreign Direct Investment (FDI)  in agri-food sector to locate in Uganda and targeting the export market through investor friendly laws,free zones, land, fiscal incentives etc. </t>
  </si>
  <si>
    <t>MTIC,OWC,MFPED, EFZA</t>
  </si>
  <si>
    <t>012302a02</t>
  </si>
  <si>
    <t>Scholarship and apprenticeship programme for strategic agro-industries in place</t>
  </si>
  <si>
    <t>Number of personnel supported in the different  apprenticeship programs in agroindustry</t>
  </si>
  <si>
    <t xml:space="preserve">Establish a scholarship, exchange and apprenticeship programme in strategic agro-industries.  </t>
  </si>
  <si>
    <t>MTIC,OWC,MFPED, EFZA, MoES, Universities</t>
  </si>
  <si>
    <t>012302b</t>
  </si>
  <si>
    <t>Establish an exchange programme for practitioners in the agro-industry value chain with countries that have appropriate agro-processing technologies</t>
  </si>
  <si>
    <t>012302b01</t>
  </si>
  <si>
    <t xml:space="preserve">Exchange programme for practitioners in the agro-industrial value chain </t>
  </si>
  <si>
    <t xml:space="preserve">Number of beneficiaries of the exchange program for practitioners in the agro-industry </t>
  </si>
  <si>
    <t>012302c</t>
  </si>
  <si>
    <t>Amend the investment law to enable foreign and local investment partnership</t>
  </si>
  <si>
    <t>012302c01</t>
  </si>
  <si>
    <t xml:space="preserve">Investment law reviewed to enable foreign and local investment partnership </t>
  </si>
  <si>
    <t xml:space="preserve">Reviewed investment law </t>
  </si>
  <si>
    <t>MoFPED</t>
  </si>
  <si>
    <t>012303</t>
  </si>
  <si>
    <t>Establish new and rehabilitate existing agro-processing industries to minimize
negative environmental impacts for processing of key agricultural</t>
  </si>
  <si>
    <t>012303a</t>
  </si>
  <si>
    <t xml:space="preserve">Establish 2 Starch and 3 ethanol processing factories from cassava in Gulu, Tororo and Lira </t>
  </si>
  <si>
    <t>012303a01</t>
  </si>
  <si>
    <t>2 starch and 3 ethanol processing factories from cassava established in Gulu, Tororo, Lira and Kibuku</t>
  </si>
  <si>
    <t xml:space="preserve">Completion status of each factory </t>
  </si>
  <si>
    <t>Design, construct, equip  and provide working capital for 2 starch and 3 ethanol processing factories from cassava established in Gulu, Tororo, Lira and Kibuku</t>
  </si>
  <si>
    <t>NAADS, MAAIF, MTIC</t>
  </si>
  <si>
    <t>012303c</t>
  </si>
  <si>
    <t>Complete the Uganda Crane Creameries Cooperative Union in Mbarara with a capacity of 500,000 liters per day</t>
  </si>
  <si>
    <t>012303c01</t>
  </si>
  <si>
    <t>Dairies and milk processing plants established</t>
  </si>
  <si>
    <t>Completion rate of the UCCCU milk processing plant</t>
  </si>
  <si>
    <t>Complete civil works, acquire and fit machinery, and construct waste treatment plant of UCCCU milk processing plant; undertake a diagnostic and pre-feasibility study to construct two dairy factories established in Gulu and Soroti; subject to the outcome of the pre-feasibility, construct two dairy factories established in Gulu and Soroti; Rehabilitate and equip Mbale Dairy; Train and Incubate dairy private entreprenuers</t>
  </si>
  <si>
    <t>DDA, MAAIF, MoWT</t>
  </si>
  <si>
    <t>Reports on the diagnostic and pre-feasibility studies</t>
  </si>
  <si>
    <t>No. of new dairy processing factories established</t>
  </si>
  <si>
    <t>Functionality status of dairy factory in Mbale</t>
  </si>
  <si>
    <t>012303d</t>
  </si>
  <si>
    <t xml:space="preserve">Complete Kayonza, Mabale and Zombo tea factories </t>
  </si>
  <si>
    <t>012303d01</t>
  </si>
  <si>
    <t>Construction and completion of 3 tea factories</t>
  </si>
  <si>
    <t>Completion status of the Kayonza, Mabale and Zombo tea factories</t>
  </si>
  <si>
    <t xml:space="preserve">Design, construct, equip  the factory, provide working capital for Kayonza, Mabale and Zombo tea factories completed </t>
  </si>
  <si>
    <t>012303f</t>
  </si>
  <si>
    <t>Establish two soluble coffee plants and 20 coffee washing stations in central and eastern Uganda</t>
  </si>
  <si>
    <t>012303f01</t>
  </si>
  <si>
    <t>Atleast 2 coffee soluble plants and 20 coffee washing stations established in central and Eastern Uganda</t>
  </si>
  <si>
    <t xml:space="preserve">Completion status of each soluble coffee plant and coffee washing station </t>
  </si>
  <si>
    <t xml:space="preserve">Design, construct and equip  the factory, provide working capital for atleast 2 soluble coffee plants and 20 coffee washing stations established in central and eastern Uganda </t>
  </si>
  <si>
    <t>UCDA, UIA,OWC, MoWT</t>
  </si>
  <si>
    <t>012303g</t>
  </si>
  <si>
    <t>Establish five new and expand the existing 2 spinning and textile mills</t>
  </si>
  <si>
    <t>012303g01</t>
  </si>
  <si>
    <t>Spinning and gameting capacity increased through establishment of 5 new and expanding  the existing 2 spinning and textile mills; 10 new garmenting factories</t>
  </si>
  <si>
    <t>Completion status of the 2 newly constructed and 5 expanded spinning and textile mills</t>
  </si>
  <si>
    <t xml:space="preserve">In partnership with the private sector, design, construct, equip and provide  working capital for 5 new and existing 2 spinning and textile mills and 10 new garmenting factories; Capitalize  the Revolving Lint  Buffer Stock Fund; Develop bankable projects for attracting investors; and rehabilitate an absorbent cotton processing facility in Luuka </t>
  </si>
  <si>
    <t>UDC, UDB,MTIC, OWC</t>
  </si>
  <si>
    <t>012303h</t>
  </si>
  <si>
    <t>Establish 10 new garment making factories the cities</t>
  </si>
  <si>
    <t>012303h01</t>
  </si>
  <si>
    <t xml:space="preserve">Garmenting factories established </t>
  </si>
  <si>
    <t>Level of completion and operation of garmenting factories</t>
  </si>
  <si>
    <t>012303h02</t>
  </si>
  <si>
    <t>Entebbe Dairy Training School upgraded to Regional Dairy Training and Incubation Centre</t>
  </si>
  <si>
    <t>Number of facilities and structures established</t>
  </si>
  <si>
    <t xml:space="preserve">Construct and equip Workshops, Library, dormitories and factories;Develop skilling curriculum; Recruit staff for the College, acquisition of training and incubation equipment, provision of working capital, establish a training workshop for diary technicians and milk technologists, establish waste  management system </t>
  </si>
  <si>
    <t>MAAIF, MoES, LGs</t>
  </si>
  <si>
    <t>Number of skilled courses registered and accredited</t>
  </si>
  <si>
    <t>Number of staff recruited</t>
  </si>
  <si>
    <t>012303h03</t>
  </si>
  <si>
    <t>Agro processing plants in key priority commodities established at Regional Farm Service Centres</t>
  </si>
  <si>
    <t>Number of regional farm service centers in which agro-processing facilities are established</t>
  </si>
  <si>
    <t xml:space="preserve">Undertake diagnostic and feasibility studies, design, construct and equip agro-processing facilities at Regional Farm Service Centres. </t>
  </si>
  <si>
    <t>MoLG, NAADS, MTIC, UDC, UCDA</t>
  </si>
  <si>
    <t>012303h04</t>
  </si>
  <si>
    <t>Agro-processing advisory unit established</t>
  </si>
  <si>
    <t xml:space="preserve">Number of MSMEs supported technically </t>
  </si>
  <si>
    <t xml:space="preserve">Establish an Agro-processing Advisory Unit to provide technical support to MSMEs that are involved in agricultural value addition across the country. </t>
  </si>
  <si>
    <t>OWC</t>
  </si>
  <si>
    <t>012303h05</t>
  </si>
  <si>
    <t>Small scale agro-processing facilities supplied to communities (MSMEs) under the Parish Model</t>
  </si>
  <si>
    <t>Number of parishes  supported with  agro-processing equipment</t>
  </si>
  <si>
    <t>Using the Parish Model, undertake diagnostic and feasibility studies; establish common user facilities; procure and supply small scale  agro-processing equipment to communities, farmer groups and cooperatives.</t>
  </si>
  <si>
    <t>012303i</t>
  </si>
  <si>
    <t>Establish 2 new vegetable oil mills in Lira and Kiryandongo and expand the vegetable oil refinery in Jinja</t>
  </si>
  <si>
    <t>012303i01</t>
  </si>
  <si>
    <t>2 new vegetable oil mills in Lira and Kiryandongo established and the vegetable oil refinery in Jinja expanded</t>
  </si>
  <si>
    <t xml:space="preserve">Completion status of the establishments </t>
  </si>
  <si>
    <t>Civil works, acquisition and fitting of machinery, and construction of waste treatment plants for the 2 vegetable oil mills</t>
  </si>
  <si>
    <t>UDC, MAAIF, OWC</t>
  </si>
  <si>
    <t>012303j</t>
  </si>
  <si>
    <t xml:space="preserve">Upgrade Soroti fruit factory and establish 5 more fruit factories including; Masaka, Arua, Kanungu, and Bundibugyo </t>
  </si>
  <si>
    <t>012303j01</t>
  </si>
  <si>
    <t>11 fruit factories constructed</t>
  </si>
  <si>
    <t>Completion status of each constructed fruit factories</t>
  </si>
  <si>
    <t>Undertake diagnostic and feasibility studies, design, construct and equip,  11 fruit factories in Greater Masaka, Arua, Kanungu, Bundibugyo, Nwoya, Kayunga, Yumbe, Busoga Sub region, Rwenzori Sub region, Nakaseke</t>
  </si>
  <si>
    <t>NAADS,UDC, NPA</t>
  </si>
  <si>
    <t>012303k</t>
  </si>
  <si>
    <t>Establish meat processing factories in Nakasongola and Mbarara</t>
  </si>
  <si>
    <t>012303k01</t>
  </si>
  <si>
    <t>Meat and Fish Processing factories established</t>
  </si>
  <si>
    <t>Completion status of each meat processing factory established in Kiruhura, Mubende, Nakasongola and Mbarara</t>
  </si>
  <si>
    <t>Undertake feasibility studies, design, construct and equip meat processing factories in Kiruhura, Mubende, Nakasongola and Mbarara and fish processing factories in Mukono, Jinja, Kamuli and Serere</t>
  </si>
  <si>
    <t>OWC, MTIC, MAAIF</t>
  </si>
  <si>
    <t>012303m</t>
  </si>
  <si>
    <t>Complete Atiak Sugar factory and construct a farmer-based sugar factory in Busoga</t>
  </si>
  <si>
    <t>012303m01</t>
  </si>
  <si>
    <t>Atiak sugar factory completed  and a farmer based sugar factory established in Busoga</t>
  </si>
  <si>
    <t xml:space="preserve">Completion status of Atiak sugar factory and number of farmer based sugar factories established in Busoga </t>
  </si>
  <si>
    <t>Design, construct, equip and provide working capital for Atiak Sugar Company and a farmer based sugar factory in Busoga</t>
  </si>
  <si>
    <t>012303n</t>
  </si>
  <si>
    <t>Establish a rice processing factory along the entire value chain in Butaleja</t>
  </si>
  <si>
    <t>012303n01</t>
  </si>
  <si>
    <t>Rice processing factory established</t>
  </si>
  <si>
    <t>No. of rice processing factory established</t>
  </si>
  <si>
    <t>012303o</t>
  </si>
  <si>
    <t>Establish a cocoa value addition factory in Bundibugyo</t>
  </si>
  <si>
    <t>012303o01</t>
  </si>
  <si>
    <t>A cocoa processing plant established in Bundibugyo</t>
  </si>
  <si>
    <t>Completion rate of the cocoa processing plant in Bundibugyo</t>
  </si>
  <si>
    <t>Undertake diagnostic and feasibility studies, design, construct, equip and provide working capital for the cocoa processing plant</t>
  </si>
  <si>
    <t>UCDA, NPA, OWC</t>
  </si>
  <si>
    <t>012303p</t>
  </si>
  <si>
    <t>Establish youth led agro processing facilities focusing on incubation and demonstration centres</t>
  </si>
  <si>
    <t>012303p01</t>
  </si>
  <si>
    <t>Youth led agro processing facilities established</t>
  </si>
  <si>
    <t>012304</t>
  </si>
  <si>
    <t xml:space="preserve">Provide affordable, adequate and reliable electricity in the various production zones of the country 
</t>
  </si>
  <si>
    <t>01230401</t>
  </si>
  <si>
    <t>Affordable, adequate and reliable electricity provided for agro-processors</t>
  </si>
  <si>
    <t>Number of production zones with reliable and adequate electricity</t>
  </si>
  <si>
    <t>MEMD</t>
  </si>
  <si>
    <t xml:space="preserve">Provide affordable, adequate and reliable electricity for agro-processors
</t>
  </si>
  <si>
    <t>017 Ministry of Energy and Mineral Development</t>
  </si>
  <si>
    <t>UEDCL, ERA,UMEME, MAAIF</t>
  </si>
  <si>
    <t>012305</t>
  </si>
  <si>
    <t>Construct and regularly maintain community access &amp; feeder roads for market access</t>
  </si>
  <si>
    <t>01230501</t>
  </si>
  <si>
    <t>Community access &amp; feeder roads constructed &amp; maintained to facilitate market access</t>
  </si>
  <si>
    <t xml:space="preserve">Total Length(in Km) of acces roads maintained </t>
  </si>
  <si>
    <t>Construct and regularly maintain community access &amp; feeder roads (including bridges) in rural areas to facilitate market access</t>
  </si>
  <si>
    <t>500 501-850 Local Governments</t>
  </si>
  <si>
    <t>012306</t>
  </si>
  <si>
    <t>Improve skills and competencies of agricultural labor force at technical and managerial levels in post-harvest handling, storage and value addition</t>
  </si>
  <si>
    <t>01230601</t>
  </si>
  <si>
    <t>Enhanced skills and competencies of agricultural labor force</t>
  </si>
  <si>
    <t xml:space="preserve">Proportion of agricultural labor force skilled in post-harvest handling, storage and value addition </t>
  </si>
  <si>
    <t>013</t>
  </si>
  <si>
    <t>Agricultural Market Access and Competitiveness</t>
  </si>
  <si>
    <t>0134</t>
  </si>
  <si>
    <t>Increase market access and competitiveness of agricultural products in domestic and international markets</t>
  </si>
  <si>
    <t>013401</t>
  </si>
  <si>
    <t>Strengthen enforcement and adherence to product quality requirements including; food safety, social and environmental standards, grades, etc</t>
  </si>
  <si>
    <t>013401a</t>
  </si>
  <si>
    <t>Enforce product certification</t>
  </si>
  <si>
    <t>013401a01</t>
  </si>
  <si>
    <t>Food safety surveillance plan, policies, regulations, laws and standards developed and reviewed</t>
  </si>
  <si>
    <t>Food safety monitoring/surveillance plan in place</t>
  </si>
  <si>
    <t>Develop and implement the food safety surveillance plan; Review the National food safety surveillance policy</t>
  </si>
  <si>
    <t>MTIC, UCDA, UEPB</t>
  </si>
  <si>
    <t>Inventory of standards for Agricultural Commodities in place</t>
  </si>
  <si>
    <t>Develop animal feed rations and standards; Develop an inventory of standards for Agricultural Commodities in conformity with bi lateral and multi lateral international standards and harmonise them as Uganda Standards</t>
  </si>
  <si>
    <t>154 Uganda National Bureau of Standards</t>
  </si>
  <si>
    <t>NARO, MTIC, MAAIF</t>
  </si>
  <si>
    <t>013401a02</t>
  </si>
  <si>
    <t>Certification permits for products and firms issued.</t>
  </si>
  <si>
    <t xml:space="preserve">Number of compliance, sanitary and phytosanitary  certificates issued </t>
  </si>
  <si>
    <t>Enhance and implement the system of inspections, verification of compliance, capacity building  and issuance of the certificates of compliance with standards.</t>
  </si>
  <si>
    <t>MAAIF, MTIC,  UCDA, UEPB, OWC</t>
  </si>
  <si>
    <t>Number of production and processing facilities receiving  Veterinary establishment numbers</t>
  </si>
  <si>
    <t>013401a03</t>
  </si>
  <si>
    <t>300 coffee traders, primary processors, roasters, brewers, exporters inspected</t>
  </si>
  <si>
    <t xml:space="preserve">Number of traders and processors inspected </t>
  </si>
  <si>
    <t>Undertake regular coffee inspection and enforcement mission of coffee traders, primary processors, roasters, brewers, exporters.</t>
  </si>
  <si>
    <t>LG, MTIC</t>
  </si>
  <si>
    <t>013401a04</t>
  </si>
  <si>
    <t>Local firms supported to produce  fishing gear</t>
  </si>
  <si>
    <t>Number of local firms supported to produce  fishing gear</t>
  </si>
  <si>
    <t>Certify and support local production of quality fishing gear  (nets, vessels and engines )</t>
  </si>
  <si>
    <t>MTIC</t>
  </si>
  <si>
    <t>013401b</t>
  </si>
  <si>
    <t>Train farmers and manufacturers on sanitary and phytosanitary standards</t>
  </si>
  <si>
    <t>013401b01</t>
  </si>
  <si>
    <t>Capacity of MSMEs to comply with quality standards built</t>
  </si>
  <si>
    <t xml:space="preserve">Number of SMEs complying with the minimum safety requirement </t>
  </si>
  <si>
    <t xml:space="preserve">Identify, train and ''handhold'' agro-processing MSMEs in compliance to quality standards. </t>
  </si>
  <si>
    <t>UNBS, UEPB, MAAIF</t>
  </si>
  <si>
    <t>013401b02</t>
  </si>
  <si>
    <t>A mentoring programme on standards compliance developed and implemented</t>
  </si>
  <si>
    <t xml:space="preserve">Number of agri-prenuers enrolled on the mentoring program </t>
  </si>
  <si>
    <t>Develop and implement a mentoring programme for helping agripreneurs articulate their compliance efforts to key customers and stakeholders and to gain recognition in the marketplace.</t>
  </si>
  <si>
    <t>MTIC, OWC</t>
  </si>
  <si>
    <t>013401b03</t>
  </si>
  <si>
    <t>A messaging programme to communicate the benefits of quality/standards developed and implemented</t>
  </si>
  <si>
    <t>Value chain actors reached by sms</t>
  </si>
  <si>
    <t>Develop and run a messaging programme to communicate the benefits of quality/standards to value chain actors to ensure greater adoption and engagement by producers across all priority value chains</t>
  </si>
  <si>
    <t>MTIC, OWC, MAAIF</t>
  </si>
  <si>
    <t>013401b04</t>
  </si>
  <si>
    <t>Farmers and manufacturer trainings and exposure on SPS conducted</t>
  </si>
  <si>
    <t>No. of farmers and manufacturers trainings conducted</t>
  </si>
  <si>
    <t>Identify and train farmers and manufacturers in best management practices; Organize and expose farmers and processors to appropriate best practices on sanitary and phytosanitary standards (SPS) and industry standards applied in other economies or market players</t>
  </si>
  <si>
    <t>MTIC, UCDA</t>
  </si>
  <si>
    <t xml:space="preserve">No. of farmers and manufacturers exposed to best practices </t>
  </si>
  <si>
    <t>013401b05</t>
  </si>
  <si>
    <t>500 value chain actors and staff trained</t>
  </si>
  <si>
    <t xml:space="preserve">Value chain actors trained </t>
  </si>
  <si>
    <t>Train 500 coffee value chain actors including processors, traders and exporters etc in standards and coffee quality management</t>
  </si>
  <si>
    <t>013401c</t>
  </si>
  <si>
    <t>Renovate, build and adequately equip certification laboratory facilities in various strategic locations</t>
  </si>
  <si>
    <t>013401c01</t>
  </si>
  <si>
    <t>Certification laboratory facilities renovated, built and equipped</t>
  </si>
  <si>
    <t xml:space="preserve">No. crop, veterinary and fisheries certification laboratory facilities renovated, built and equipped </t>
  </si>
  <si>
    <t>013401c02</t>
  </si>
  <si>
    <t>Regional Milk Certification laboratory facilities renovated and equipped</t>
  </si>
  <si>
    <t>No. of regional milk testing laboratories equipped</t>
  </si>
  <si>
    <t>Equip regional milk testing laboratories(5), Certification laboratories (6) with equipment  and consumables; Acquire measurement standards and equipment</t>
  </si>
  <si>
    <t>No. of  laboratory facilities for milk  built and equipped</t>
  </si>
  <si>
    <t>MAAIF, UNVS</t>
  </si>
  <si>
    <t>013401c03</t>
  </si>
  <si>
    <t>Coffee Certification laboratory facilities built and equipped</t>
  </si>
  <si>
    <t>No. of coffee certification laboratory facilities built and equipped</t>
  </si>
  <si>
    <t>Establish and adequately equip Coffee certification laboratory facilities in various strategic locations</t>
  </si>
  <si>
    <t>UNBS, MTIC</t>
  </si>
  <si>
    <t>013401d</t>
  </si>
  <si>
    <t>Regulate cross border informal trade in agro-products.</t>
  </si>
  <si>
    <t>013401d01</t>
  </si>
  <si>
    <t xml:space="preserve">Engagement of OSBP (One stop boarder posts) sensitisation for promotion of formal crossboarder trade </t>
  </si>
  <si>
    <t>No of OSBP monitored and evaluated</t>
  </si>
  <si>
    <t>MEACA</t>
  </si>
  <si>
    <t>Develop a programme for carrying out of quarterly Monitoring vists and engagements of all the operational OSBPs to enhance Formal crossboarder trade</t>
  </si>
  <si>
    <t>021 East African Community</t>
  </si>
  <si>
    <t>013402</t>
  </si>
  <si>
    <t>Digitalize acquisition and distribution of agricultural market information</t>
  </si>
  <si>
    <t>013402a</t>
  </si>
  <si>
    <t>Develop and implement an integrated agriculture market information system</t>
  </si>
  <si>
    <t>013402a01</t>
  </si>
  <si>
    <t>Agricultural Market Information Hubs established across the value chain</t>
  </si>
  <si>
    <t>Agricultural market information hubs in place</t>
  </si>
  <si>
    <t>Establish and maintain Agricultural Market Information Hubs that are linked to the Regional Farm Service Centres and the local communities under the Parish Model.</t>
  </si>
  <si>
    <t>MAAIF, UCDA, UEPB, OWC</t>
  </si>
  <si>
    <t>013403</t>
  </si>
  <si>
    <t>Improve agricultural market infrastructure in rural and urban areas</t>
  </si>
  <si>
    <t>013403a</t>
  </si>
  <si>
    <t>Develop infrastructure and facilities for rural and urban agricultural markets at district and community levels to meet quality standards. Develop urban agricultural markets in all districts</t>
  </si>
  <si>
    <t>013403a01</t>
  </si>
  <si>
    <t>Mordern Agricultural markets constructed in  strategic locations and infrastructure to facilitate their  effective performance built</t>
  </si>
  <si>
    <t>Number of modern markets  developed</t>
  </si>
  <si>
    <t>011 Ministry of Local Government</t>
  </si>
  <si>
    <t>MAAIF, MTIC, LGs</t>
  </si>
  <si>
    <t>013402a02</t>
  </si>
  <si>
    <t>Digital platform constructed for goods produced by the locals and linking them to potential markets.</t>
  </si>
  <si>
    <t xml:space="preserve">Operational national digital marketing platform in place </t>
  </si>
  <si>
    <t xml:space="preserve">Establish and regularly update a national digital marketing platform for goods that are produced by the locals and link them to potential markets. </t>
  </si>
  <si>
    <t>OWC, MAAIF</t>
  </si>
  <si>
    <t>013402a03</t>
  </si>
  <si>
    <t>Trade Information Portal upgraded</t>
  </si>
  <si>
    <t xml:space="preserve">Operational trade information portal </t>
  </si>
  <si>
    <t>Upgrade and regularly update the Trade Information Portal to support market prioritization strategies and market decision making by the industry through provision of consumer insights in specific domestic, regional and international markets</t>
  </si>
  <si>
    <t>013403b</t>
  </si>
  <si>
    <t>Revitalize the warehouse receipt system</t>
  </si>
  <si>
    <t>013403b01</t>
  </si>
  <si>
    <t>A national strategic food reserve established at the Regional Farm Service Centres</t>
  </si>
  <si>
    <t>Number of relief food reservoirs at national and regional levels</t>
  </si>
  <si>
    <t>OPM</t>
  </si>
  <si>
    <t>Procure, store and manage food stocks at the Regional Farm Service Centres for the national strategic food reserve</t>
  </si>
  <si>
    <t>OPM (OWC)</t>
  </si>
  <si>
    <t>003 Office of the Prime Minister</t>
  </si>
  <si>
    <t>MoLG, MTIC,MAAIF</t>
  </si>
  <si>
    <t>013403b02</t>
  </si>
  <si>
    <t>Warehouse receipt system linked to rural supply chains, storage points and Government Institutions</t>
  </si>
  <si>
    <t>Number of warehouses and storage facilities linked to the reciept system</t>
  </si>
  <si>
    <t>UWRSA</t>
  </si>
  <si>
    <t>Revitalize the warehouse receipt system; Link warehouse receipt system  to rural supply chains, storage points, Government Institutions like Police, Army, Schools and Disaster &amp; Relief Food supplies</t>
  </si>
  <si>
    <t>MoTIC (UWRSA)</t>
  </si>
  <si>
    <t>Warehouses standardised, incentivized for trading  and awareness created under the WRS and the CE</t>
  </si>
  <si>
    <t>No. of Warehouses licensed as public facilities</t>
  </si>
  <si>
    <t xml:space="preserve">Standardize warehouses and incentivize the use of warehouses and trading under the WRS and the UCE; Build the Capacity of Public Licensing of  Warehouses under WRS , create awareness and facilitate uptake of licenses </t>
  </si>
  <si>
    <t>MTIC, UNBS</t>
  </si>
  <si>
    <t>No of Institutions of Government procuring Warehouse Receipts for Food Security</t>
  </si>
  <si>
    <t>013404</t>
  </si>
  <si>
    <t>Improve transportation and logistics facilities for effective product  marketing and distribution</t>
  </si>
  <si>
    <t>013404a</t>
  </si>
  <si>
    <t>Provide incentives for the acquisition of refrigerated trucks and warehouses at boarder points and landing sites</t>
  </si>
  <si>
    <t>013404a01</t>
  </si>
  <si>
    <t>Incentives for acquisition of refrigerated trucks and warehouses at border points and landing sites developed</t>
  </si>
  <si>
    <t>No. of incentives developed</t>
  </si>
  <si>
    <t>Provide tax incentives for the private sector to deal in specialized vehicles for transportation of fresh agricultural products such as milk, beef, fish etc.</t>
  </si>
  <si>
    <t>MFPED</t>
  </si>
  <si>
    <t>013404b</t>
  </si>
  <si>
    <t>Complete the rehabilitation of the meter gauge to facilitate connectivity of agro-industries to markets</t>
  </si>
  <si>
    <t>013404b01</t>
  </si>
  <si>
    <t>A report and recommendations on the study into improving transportation and logistics links across the African continent</t>
  </si>
  <si>
    <t>Study report</t>
  </si>
  <si>
    <t>Conduct a study into, and implement recommendations for, improving transportation and logistics links across the African continent for Ugandan agribusinesses to identify opportunities to increase supply chain efficiency and reduce costs.</t>
  </si>
  <si>
    <t>013405</t>
  </si>
  <si>
    <t>Strengthen capacities of public institutions in analysis, negotiation and development of international market opportunities particularly for the selected commodities</t>
  </si>
  <si>
    <t>013405a</t>
  </si>
  <si>
    <t>Facilitate Uganda’s diplomatic missions to promote Ugandan products abroad</t>
  </si>
  <si>
    <t>013405a01</t>
  </si>
  <si>
    <t>Product markets for Uganda's key products mapped, profiled and market frameworks with countries of export interest negotiated</t>
  </si>
  <si>
    <t>Number of product market frameworks with countries of export negotiated</t>
  </si>
  <si>
    <t xml:space="preserve">Negotiate product market deals with emerging markets and countries of export interest (regional and international); Map, profile and develop markets for Uganda's key products; Conduct enterprise development to facilitate enterprises to tap into the key markets </t>
  </si>
  <si>
    <t>MTIC, MoFA</t>
  </si>
  <si>
    <t>UCDA, MAAIF</t>
  </si>
  <si>
    <t>Number of product  markets developed</t>
  </si>
  <si>
    <t>013405a02</t>
  </si>
  <si>
    <t>Ugandan coffee  profiled and branded for speciality markets.</t>
  </si>
  <si>
    <t xml:space="preserve">Coffee brands promoted </t>
  </si>
  <si>
    <t>Collect, profile, brand and promote 250 coffee samples of sustainable and speciality coffees from farmers and cooperatives in all coffee growing regions</t>
  </si>
  <si>
    <t>013405a03</t>
  </si>
  <si>
    <t>A system for promoting Ugandan agri-products in niche markets developed and operational</t>
  </si>
  <si>
    <t>Operational Promotional system inplace</t>
  </si>
  <si>
    <t>UEPB</t>
  </si>
  <si>
    <t>Develop and implement a system for promoting Ugandan agri-products in niche markets and to attract investments in the country’s agri-food industry particularly through enhanced consular services.</t>
  </si>
  <si>
    <t>306 Uganda Export Promotion Board</t>
  </si>
  <si>
    <t>MTIC,MOFA,OWC,UCDA</t>
  </si>
  <si>
    <t>013405a04</t>
  </si>
  <si>
    <t>B2B joint venture partnerships facilitated</t>
  </si>
  <si>
    <t>Functional joint ventures and partnerships</t>
  </si>
  <si>
    <t>Facilitate B2B joint venture/partnership opportunities between Ugandan agri-SMEs and their African and global counterparts in order to enhance market access opportunities</t>
  </si>
  <si>
    <t>OWC,UCDA</t>
  </si>
  <si>
    <t>013405a05</t>
  </si>
  <si>
    <t>A lead generation programme on the African continent established</t>
  </si>
  <si>
    <t xml:space="preserve">Lead generation program in place </t>
  </si>
  <si>
    <t xml:space="preserve">Establish a lead generation programme on the African continent to deliver market and business prospects for Ugandan agribusinesses </t>
  </si>
  <si>
    <t>013405a06</t>
  </si>
  <si>
    <t>Strategic trade missions established</t>
  </si>
  <si>
    <t xml:space="preserve">Number of new markets secured </t>
  </si>
  <si>
    <t>Optimize the use of strategic trade missions to emerging markets to ensure market entry conversion</t>
  </si>
  <si>
    <t>MoFA</t>
  </si>
  <si>
    <t>013405a07</t>
  </si>
  <si>
    <t>Support establishment of a system infrastructure (Hardware and software) for issuance and management of internationally recognized product bar code</t>
  </si>
  <si>
    <t>Internationally recognised Bar code system in place and operational</t>
  </si>
  <si>
    <t>A system infrastructure (Hardware and software) for issuance and management of internationally recognized product bar code established</t>
  </si>
  <si>
    <t>013405a08</t>
  </si>
  <si>
    <t>Domestic, regional and International consumption of agro industrial products increased</t>
  </si>
  <si>
    <t>Number of expos and trade shows in and outside the country carried out</t>
  </si>
  <si>
    <t xml:space="preserve">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t>
  </si>
  <si>
    <t>MAAIF, UCDA,MTIC</t>
  </si>
  <si>
    <t>Number of of products with enhanced  branding, packaging and labelling systems</t>
  </si>
  <si>
    <t xml:space="preserve">Number of export countries profilled </t>
  </si>
  <si>
    <t>Number of supermarkets or retail chainslinked to farmers and producers</t>
  </si>
  <si>
    <t xml:space="preserve">Number of market studies conducted       </t>
  </si>
  <si>
    <t>Facilitate Uganda’s Bilateral engagements/ diplomatic missions to promote Ugandan products abroad</t>
  </si>
  <si>
    <t>013405a09</t>
  </si>
  <si>
    <t>Engage EAC &amp; other trade blocs on trade related issues</t>
  </si>
  <si>
    <t>No of engagements conducted</t>
  </si>
  <si>
    <t>014</t>
  </si>
  <si>
    <t>Agricultural Financing</t>
  </si>
  <si>
    <t>0145</t>
  </si>
  <si>
    <t>Increase the mobilization, equitable access and utilization of Agricultural Finance</t>
  </si>
  <si>
    <t>014501</t>
  </si>
  <si>
    <t>Finalize and implement the Agricultural Finance and insurance Policy</t>
  </si>
  <si>
    <t>014501a</t>
  </si>
  <si>
    <t>Scale up the Uganda Agriculture Insurance Scheme</t>
  </si>
  <si>
    <t>014501a01</t>
  </si>
  <si>
    <t>National Agricultural Finance Policy approved</t>
  </si>
  <si>
    <t>National Agriculture Finance policy launched</t>
  </si>
  <si>
    <t>Finalize, launch and disseminate the National Agricultural Finance policy, and its implementation strategy</t>
  </si>
  <si>
    <t>014501a02</t>
  </si>
  <si>
    <t>Agricultural finance technical support function established</t>
  </si>
  <si>
    <t>Existing and functional technical support unit</t>
  </si>
  <si>
    <t xml:space="preserve">Establish a Technical Support Unit for Agricultural Finance within MFPED </t>
  </si>
  <si>
    <t>014501a03</t>
  </si>
  <si>
    <t>Regular dialogue on agricultural finance held</t>
  </si>
  <si>
    <t>Frequency of  dialogue meetings on agricultural finance in mass media</t>
  </si>
  <si>
    <t xml:space="preserve">Facilitate regular dialogue on agricultural finance (including an Annual Agri-Finance &amp; Investment Forum, etc.)  </t>
  </si>
  <si>
    <t>OWC, MAAIF, MTIC</t>
  </si>
  <si>
    <t>014501a04</t>
  </si>
  <si>
    <t>Satellite pasture drought index insurance developed</t>
  </si>
  <si>
    <t>No. of pasture drought index insurance products</t>
  </si>
  <si>
    <t xml:space="preserve">Promote the design and delivery of a satellite pasture drought index insurance for the cattle corridor.  </t>
  </si>
  <si>
    <t>IRA,Uganda Insurers Association</t>
  </si>
  <si>
    <t>014501a05</t>
  </si>
  <si>
    <t>A National Register of accredited private sector agribusiness development services providers</t>
  </si>
  <si>
    <t>Register and accredit private sector agribusiness development services providers</t>
  </si>
  <si>
    <t>014501a06</t>
  </si>
  <si>
    <t>Micro Insurance Regulations gazetted</t>
  </si>
  <si>
    <t>Gazzete with Micro Insurance Regulations</t>
  </si>
  <si>
    <t>IRA</t>
  </si>
  <si>
    <t>Issue the Micro Insurance Regulations in order to guide micro insurance in the agriculture sector.</t>
  </si>
  <si>
    <t>MoFPED (IRA)</t>
  </si>
  <si>
    <t>014501a07</t>
  </si>
  <si>
    <t>Insurance distribution platforms established</t>
  </si>
  <si>
    <t xml:space="preserve">Number of extension workers trained in dissemination ofAgricultural insurance information </t>
  </si>
  <si>
    <t>Invest in insurance distribution platforms as well as claim support structures for example, by developing the capacity of extension workers and OWC officer to understand and provide agriculture insurance information, mainstreaming agriculture insurance in extension messages.</t>
  </si>
  <si>
    <t>IRA,Uganda Insurers Association, OWC, MAAIF</t>
  </si>
  <si>
    <t>014501a08</t>
  </si>
  <si>
    <t>Area Yield Index Insurance products developed and used by farmers</t>
  </si>
  <si>
    <t>No. of farmers holding an Area Yield Index Insurance  policy</t>
  </si>
  <si>
    <t>Develop agriculture yield databases at county level to support the Area Yield Index Insurance (AYII) project</t>
  </si>
  <si>
    <t>014501a09</t>
  </si>
  <si>
    <t>High quality micro-insurance products targeting the needs of smallholder farmers developed</t>
  </si>
  <si>
    <t>Number of high quality micro-insurance products developed</t>
  </si>
  <si>
    <t>Support the design and scaling-up of micro insurance products in the agricultural industry and promoting the coherence between social protection and agriculture</t>
  </si>
  <si>
    <t>014501a10</t>
  </si>
  <si>
    <t>UDB lending capacity strengthened</t>
  </si>
  <si>
    <t>Capacity assessment Report  of UDB and MSCL</t>
  </si>
  <si>
    <t>MoFPED (OWC)</t>
  </si>
  <si>
    <t>Undertake an organisational capacity assessment of UDB and MSCL, identify and fill any capacity gaps in agricultural lending</t>
  </si>
  <si>
    <t>MoFPED, UDB</t>
  </si>
  <si>
    <t>014501a11</t>
  </si>
  <si>
    <t>MSCL capitalised</t>
  </si>
  <si>
    <t xml:space="preserve">Value (billions UGX) of funds invested in MSCL </t>
  </si>
  <si>
    <t>Increase investment in MSCL to support increased development and delivery of agricultural financing products by Microfinance institutions.</t>
  </si>
  <si>
    <t>MSCL</t>
  </si>
  <si>
    <t>014501a12</t>
  </si>
  <si>
    <t>Value chain analyses &amp; business cases produced for all the priority value chains</t>
  </si>
  <si>
    <t>No. of value chain analyses produced annually and  regularly updated</t>
  </si>
  <si>
    <t>Facilitate the development and regular updates of value chain analyses, as well as business cases and make these available (as a public good), in order to inform decision making by financial services providers, agricultural value chain actors and value chain supporters.</t>
  </si>
  <si>
    <t xml:space="preserve">NPA, UDC, MAAIF, MTIC, </t>
  </si>
  <si>
    <t>014501b</t>
  </si>
  <si>
    <t>Increase the pool of funds available for agricultural lending including women, youths and rural populations</t>
  </si>
  <si>
    <t>014501b01</t>
  </si>
  <si>
    <t>Ugandan Diaspora mobilised to invest in the agricultural industry</t>
  </si>
  <si>
    <t>Value (US$Million) of Diaspora investments mobilized and invested in the Agro-Industrialisation Programme</t>
  </si>
  <si>
    <t>Promote initiatives that facilitate the Ugandan Diaspora to invest in specific agribusiness opportunities or projects in the country.</t>
  </si>
  <si>
    <t>OWC, MoFPED,CMA, BOU, MAAIF</t>
  </si>
  <si>
    <t>014501b02</t>
  </si>
  <si>
    <t>Feasibility study on the possibility of establishing a National Farmers’ Bank conducted</t>
  </si>
  <si>
    <t>Feasibility study report</t>
  </si>
  <si>
    <t>Conduct feasibility studies to guide the possibility of establishing a National Farmers’ Bank.</t>
  </si>
  <si>
    <t>NPA,MFPED</t>
  </si>
  <si>
    <t>014501c</t>
  </si>
  <si>
    <t>Revise the Agricultural credit Facility (ACF) to fund all levels of the Agriculture value chains</t>
  </si>
  <si>
    <t>014501c01</t>
  </si>
  <si>
    <t>Capacity of agricultural industry apex organisations to support agricultural finance development strengthened</t>
  </si>
  <si>
    <t>No. of agricultural industry apex organisations supported to enhance their members’ knowledge of agriculture finance.</t>
  </si>
  <si>
    <t>OP (OWC)</t>
  </si>
  <si>
    <t>Develop and implement an agricultural finance capacity building plan for agricultural industry apex organisations.</t>
  </si>
  <si>
    <t>001 Office of the President</t>
  </si>
  <si>
    <t>014501c02</t>
  </si>
  <si>
    <t>An agriculture finance technical assistance facility established under UDC</t>
  </si>
  <si>
    <t>No. of farmer organisations and other small-but-growing agribusinesses supported &amp; access finance</t>
  </si>
  <si>
    <t>Establish a technical assistance facility under UDC to provide capacity building support to farmer organisations and other small-but-growing agribusinesses in order to help them build bankable business models, as well as put in place adequate governance, accounting and operational structures that will make them attractive to financial services providers. This will help the Agro-Industrialisation  Programme build a pipeline of profitable, competitive, market oriented and sustainable agri-MSMEs which will incentivise financial services providers to increase their agricultural lending.</t>
  </si>
  <si>
    <t>OWC,MTIC</t>
  </si>
  <si>
    <t>014501d</t>
  </si>
  <si>
    <t>Provide incentives to financial institutions to increase agricultural lending</t>
  </si>
  <si>
    <t>014501d01</t>
  </si>
  <si>
    <t>Public sector agricultural finance initiatives, mechanisms and institutions streamed</t>
  </si>
  <si>
    <t>Value (trillions Ugx) of loans to agriculture value chain actors from public sector  initiatives, mechanisms and institutions</t>
  </si>
  <si>
    <t>OP</t>
  </si>
  <si>
    <t>Rationalise, streamline and coordinate public sector initiatives, mechanisms and institutions (e.g. Postbank, UDB, Pride Microfinance, Housefinance Bank, e.t.c.) for agriculture finance in order to enable them to collectively address agricultural finance market failures through the formulation, design and implementation of a wide range of appropriate financing mechanisms, products and services specifically targeting value chain actors of all sizes (including smallholder farmers and agri-MSMEs, start-ups, youth and women).</t>
  </si>
  <si>
    <t>OPM, MFPED, OWC,NPA</t>
  </si>
  <si>
    <t>014501d02</t>
  </si>
  <si>
    <t>Capacity of MDAs and agriculture industry apex organisations to support agricultural finance development strengthened</t>
  </si>
  <si>
    <t>No. MDAs supported to enhance their members’ knowledge of agriculture finance.</t>
  </si>
  <si>
    <t>Develop and implement an agricultural finance capacity building plan for government MDAs.</t>
  </si>
  <si>
    <t>OWC, MAAIF, MTIC,IRA</t>
  </si>
  <si>
    <t>014502</t>
  </si>
  <si>
    <t>Review tax levies and other incentives on agricultural insurance products to encourage uptake by farmers</t>
  </si>
  <si>
    <t>01450201</t>
  </si>
  <si>
    <t>Comprehesive tax assessment undertaken and measures identified</t>
  </si>
  <si>
    <t>Profile of  measures identified</t>
  </si>
  <si>
    <t>Review the tax and other incentives that stimulate the development and distribution of agriculture insurance</t>
  </si>
  <si>
    <t>IRA, Uganda Insurers Association</t>
  </si>
  <si>
    <t>014503</t>
  </si>
  <si>
    <t>Facilitate organic bottom-up formation of farmer groups (including youth) and cooperatives (production, collective marketing, provision of financial services and savings mobilisation)</t>
  </si>
  <si>
    <t>014503a</t>
  </si>
  <si>
    <t>Review legislation aimed at supporting organic bottom up formation of farmer groups and cooperatives</t>
  </si>
  <si>
    <t>014503a01</t>
  </si>
  <si>
    <t>Organically grown farmers groups mobilised,registered and profiled  using the Parish Model</t>
  </si>
  <si>
    <t>No. of farmers registered, profiled and have access to finance</t>
  </si>
  <si>
    <t xml:space="preserve">Using the Parish Model, register, profile and mobilise farmers and other agri-MSMEs into organically grown groups/cooperatives (especially production and financial cooperatives) in order to allow them pool resources, support collective risk management efforts and provide a counterparty through which financial services providers may finance them. </t>
  </si>
  <si>
    <t>MTIC, MAAIF, UBOS, LGs</t>
  </si>
  <si>
    <t>014504</t>
  </si>
  <si>
    <t>Strengthen existing agricultural commodity price stabilization mechanisms for commodities that are vulnerable to high price fluctuations particularly grains, cotton and dairy</t>
  </si>
  <si>
    <t>014504a</t>
  </si>
  <si>
    <t xml:space="preserve">Scale up the warehouse receipt system and Uganda Commodities Exchange </t>
  </si>
  <si>
    <t>014504a02</t>
  </si>
  <si>
    <t xml:space="preserve">Warehouse receipt system and Uganda commodities exchange strengthened </t>
  </si>
  <si>
    <t xml:space="preserve">Level of functionality of the warehouse receipt system and commodities exchange </t>
  </si>
  <si>
    <t>014504b</t>
  </si>
  <si>
    <t>Support Uganda securities exchange (USE) to complete the development of a commodity segment to trade commodities in addition to equities and bonds</t>
  </si>
  <si>
    <t>014504b01</t>
  </si>
  <si>
    <t xml:space="preserve">Commodity segment developed on the Uganda securities exchange </t>
  </si>
  <si>
    <t xml:space="preserve">Level of operation of the commodity segment on the Uganda commodities exchange </t>
  </si>
  <si>
    <t>014505</t>
  </si>
  <si>
    <t>Develop concensional long-term financing for agricultural infrastructure and capital investments</t>
  </si>
  <si>
    <t>01450501</t>
  </si>
  <si>
    <t>ACF and Grain Trade Facility recapitalised</t>
  </si>
  <si>
    <t>Value (billions UGX) invested in ACF, and  under the Grain Trade Facility</t>
  </si>
  <si>
    <t>Recapitalise the ACF &amp; and  the Grain Trade Facility to support the agro-industrialisation agenda</t>
  </si>
  <si>
    <t>BOU</t>
  </si>
  <si>
    <t>01450502</t>
  </si>
  <si>
    <t>Risk sharing facility established</t>
  </si>
  <si>
    <t>No. of financial institutions providing financial services for targeted farmers and SMEs in ag value chains</t>
  </si>
  <si>
    <t xml:space="preserve">Establish and fund a risk sharing facility to incentivise financial institutions to lend more to agriculture. </t>
  </si>
  <si>
    <t>MoFPED (UDB)</t>
  </si>
  <si>
    <t>UDB, MFPED, OWC</t>
  </si>
  <si>
    <t>014506</t>
  </si>
  <si>
    <t>Support women farmers to transition to agro-business, export trade, and more profitable agricultural enterprises, including skilling and financial incentives</t>
  </si>
  <si>
    <t>01450601</t>
  </si>
  <si>
    <t>Agribusiness incubation and accelerator programmes promoted</t>
  </si>
  <si>
    <t>No. of agri-MSMEs supported through agribusiness incubation</t>
  </si>
  <si>
    <t>Facilitate and invest in the scaling-up of agribusiness incubation and accelerator programmes in order to enhance the efficiency, productivity, profitability, resilience and viability of agri-based startups and early stage agri-MSMEs (especially those that are owned by the youth and women).</t>
  </si>
  <si>
    <t>OWC,MOLG, MOFPED,NAADS</t>
  </si>
  <si>
    <t>01450602</t>
  </si>
  <si>
    <t>Agricultural finance related research agenda developed and implemented</t>
  </si>
  <si>
    <t>No. of  agriculture finance research products published per annum</t>
  </si>
  <si>
    <t xml:space="preserve">Draw up and implement a short-term, medium-term and long-term research agenda for agricultural financing in Uganda with emphasis on women and youth. </t>
  </si>
  <si>
    <t>MAAIF, OWC,MOLG, IRA, UBOS, EPRC</t>
  </si>
  <si>
    <t>01450603</t>
  </si>
  <si>
    <t>Financial education and awareness on agfinance created</t>
  </si>
  <si>
    <t xml:space="preserve">No. of call centres established  </t>
  </si>
  <si>
    <t>in line with the National Financial Literacy Strategy 2019, expand investments in financial education and awareness creation, to bolster financial capability  as well as consumer protection especially for women and youth operating along the agricultural value chains.</t>
  </si>
  <si>
    <t>BOU OWC,MOLG, MTIC, UMRA, IRA</t>
  </si>
  <si>
    <t>conduct cross- Boarder sensitisations of women farmers to transition to agro-business, export trade, and more profitable agricultural enterprises, including skilling and financial incentives</t>
  </si>
  <si>
    <t>01450604</t>
  </si>
  <si>
    <t>Enhanced agro-business, export trade, and more profitable agricultural enterprises.</t>
  </si>
  <si>
    <t>Number of sensitisation engagements with women traders</t>
  </si>
  <si>
    <t>Conduct sensitisation meetings with women to promote agro-business, export trade, and more profitable agricultural enterprises.</t>
  </si>
  <si>
    <t>015</t>
  </si>
  <si>
    <t>Institutional strengthening and coordination</t>
  </si>
  <si>
    <t>0156</t>
  </si>
  <si>
    <t>Strengthen Institutional Coordination for Improved Service Delivery</t>
  </si>
  <si>
    <t>015601</t>
  </si>
  <si>
    <t>Strengthen linkages between public and private sector in Agro-industry</t>
  </si>
  <si>
    <t>015601a</t>
  </si>
  <si>
    <t>Strengthen public private partnership models in agro-industrialization</t>
  </si>
  <si>
    <t>015601a01</t>
  </si>
  <si>
    <t>Pipeline of agri-PPP bankable projects developed</t>
  </si>
  <si>
    <t xml:space="preserve">No. of bankable projects developed and promoted </t>
  </si>
  <si>
    <t>Develop and promote a pipeline of agri-PPP bankable projects  and promote these globally.</t>
  </si>
  <si>
    <t>UDC, NPA,UIA, MFPED,OWC,MTIC</t>
  </si>
  <si>
    <t>015602</t>
  </si>
  <si>
    <t>Strengthen coordination of public institutions in design and implementation of policies including access to quality food and food security</t>
  </si>
  <si>
    <t>01560201</t>
  </si>
  <si>
    <t>A digital job centre established</t>
  </si>
  <si>
    <t>Digital Job centre established and operational</t>
  </si>
  <si>
    <t>MoICT&amp;NG (OWC)</t>
  </si>
  <si>
    <t>Using the Parish Model, establish and operate a digital platform (job centre) to link labour to available job &amp; wealth creation opportunities across the agricultural value chain</t>
  </si>
  <si>
    <t>MTIC, MoICT&amp;NG, MAAIF, LGs,MoLGSD</t>
  </si>
  <si>
    <t>01560202</t>
  </si>
  <si>
    <t>Regular collection and disemination of agriculture data undertaken</t>
  </si>
  <si>
    <t>A functional Agriculture management information system</t>
  </si>
  <si>
    <t>Using the Parish Model, invest in the regular collection, analysis, auditing and management of agricultural finance industry relevant data up to a parish level and make this widely available to support the development of relevant, scalable, accurate and accessible agricultural finance products.</t>
  </si>
  <si>
    <t>MTIC, MoICT&amp;NG, MAAIF, UBOS, MOLG,EPRC, MFPED,LGs</t>
  </si>
  <si>
    <t>Administrative Agriculture data collection system rolled out country wide</t>
  </si>
  <si>
    <t>Number of district local government with statisticians responsible for agriculture statistics</t>
  </si>
  <si>
    <t>02</t>
  </si>
  <si>
    <t>021</t>
  </si>
  <si>
    <t>URA</t>
  </si>
  <si>
    <t>03</t>
  </si>
  <si>
    <t>04</t>
  </si>
  <si>
    <t>State House</t>
  </si>
  <si>
    <t>05</t>
  </si>
  <si>
    <t>07</t>
  </si>
  <si>
    <t>PPDA</t>
  </si>
  <si>
    <t>09</t>
  </si>
  <si>
    <t>10</t>
  </si>
  <si>
    <t>11</t>
  </si>
  <si>
    <t>13</t>
  </si>
  <si>
    <t>131</t>
  </si>
  <si>
    <t>1313</t>
  </si>
  <si>
    <t>132</t>
  </si>
  <si>
    <t>1322</t>
  </si>
  <si>
    <t>1325</t>
  </si>
  <si>
    <t>1323</t>
  </si>
  <si>
    <t>14</t>
  </si>
  <si>
    <t>141</t>
  </si>
  <si>
    <t>142</t>
  </si>
  <si>
    <t>143</t>
  </si>
  <si>
    <t>1433</t>
  </si>
  <si>
    <t>144</t>
  </si>
  <si>
    <t>1444</t>
  </si>
  <si>
    <t>15</t>
  </si>
  <si>
    <t>151</t>
  </si>
  <si>
    <t>152</t>
  </si>
  <si>
    <t>1522</t>
  </si>
  <si>
    <t>153</t>
  </si>
  <si>
    <t>1533</t>
  </si>
  <si>
    <t>1534</t>
  </si>
  <si>
    <t>Presidential Directive</t>
  </si>
  <si>
    <t>REPRIORITISATION CRITERIA</t>
  </si>
  <si>
    <t>Multiplier Effect</t>
  </si>
  <si>
    <t>Economic Recovery</t>
  </si>
  <si>
    <t>Achievable in 2yrs</t>
  </si>
  <si>
    <t>Within Fiscal Space</t>
  </si>
  <si>
    <t>Economic Resilience to shocks</t>
  </si>
  <si>
    <t>Operationalises the PDM</t>
  </si>
  <si>
    <t>Average Score</t>
  </si>
  <si>
    <t>Multi-Year Commitment</t>
  </si>
  <si>
    <t>HH income &amp; FoodSec</t>
  </si>
  <si>
    <t>Government Efficiency and Revenue</t>
  </si>
  <si>
    <t>Wage</t>
  </si>
  <si>
    <t>Non-Wage (Statutory)</t>
  </si>
  <si>
    <t>Government Commitments</t>
  </si>
  <si>
    <t>01X</t>
  </si>
  <si>
    <t>Provision for Government Commitments</t>
  </si>
  <si>
    <t>Total Cost</t>
  </si>
  <si>
    <t>Multi-Year Commitments</t>
  </si>
  <si>
    <t>Makerere University</t>
  </si>
  <si>
    <t>Construct animal holding grounds and quarantine stations</t>
  </si>
  <si>
    <t>(i) Construct/renovate and equip certification laboratories  (ii) Procure equipment  and consumables  (iii) Hire and train 25 staff (iv) Obtain laboratory international accreditation</t>
  </si>
  <si>
    <t>Develop and release livestock products for nich markets</t>
  </si>
  <si>
    <t>Retargeted</t>
  </si>
  <si>
    <t>Non-wage(Statutory)</t>
  </si>
  <si>
    <t>Community Mobilisation and Mindset Change</t>
  </si>
  <si>
    <t>15X</t>
  </si>
  <si>
    <t>Community sensitization and empowerment</t>
  </si>
  <si>
    <t>1511</t>
  </si>
  <si>
    <t>Enhance effective mobilization of families, communities and citizens for national development</t>
  </si>
  <si>
    <t>151101</t>
  </si>
  <si>
    <t>Review and implement a Comprehensive Community Mobilization Strategy</t>
  </si>
  <si>
    <t>151101a</t>
  </si>
  <si>
    <t>Prepare a Community Mobilization and Empowerment (CME) Coordination Framework</t>
  </si>
  <si>
    <t>151101a01</t>
  </si>
  <si>
    <t xml:space="preserve">CME Strategy reviewed and operatonalised  </t>
  </si>
  <si>
    <t>A reviewed CME strategy in place</t>
  </si>
  <si>
    <t>MOGLSD, MoH, MOES, OP, MWE, OWC, MICT&amp;NG</t>
  </si>
  <si>
    <t>Review and disseminate Community Mobilisation and Empowerment (CME) Strategy</t>
  </si>
  <si>
    <t>MoH, MOES, OP, MWE, OWC, MICT&amp;NG</t>
  </si>
  <si>
    <t>151101a02</t>
  </si>
  <si>
    <t>CME coordination mechanism developed</t>
  </si>
  <si>
    <t>CME coordination mechanism in place</t>
  </si>
  <si>
    <t>Capacity building  on the CME Strategy for National and LG staff (Agric Extension, Vet Officers, Health Inspectors, CDOs, Commercial Officers, Educ officers, Supervisors of Works, OWC staff, etc)</t>
  </si>
  <si>
    <t>MoH, MOES, OP, MWE, OWC, MICT&amp;NG, MODVA</t>
  </si>
  <si>
    <t>151101a03</t>
  </si>
  <si>
    <t>CME multi-sectoral taskforce constituted and operationalised</t>
  </si>
  <si>
    <t>No. of CME joint monitoring reports produced</t>
  </si>
  <si>
    <t>MOGLSD, MOH, MOES, OP, MWE, OWC, MICT&amp;NG</t>
  </si>
  <si>
    <t>Constitute and operationalise the multi-sectoral taskforce  for CME</t>
  </si>
  <si>
    <t>151101b</t>
  </si>
  <si>
    <t>Design and implement activities aimed at promoting awareness and participation in existing government Programs</t>
  </si>
  <si>
    <t>151101b01</t>
  </si>
  <si>
    <t>Sensitization and mobilisation programmes undertaken</t>
  </si>
  <si>
    <t>No. of Community Development Initiatives (CDIs)developed and disseminated</t>
  </si>
  <si>
    <t>MoGLSD, ICT&amp;NG, MoLG</t>
  </si>
  <si>
    <t xml:space="preserve">Using the Parish Model design and implement activities aimed at promoting awareness and participation in existing government programmes. This includes disseminating govt policies, strategies &amp; guidelines (health, education, water, energy, infrastructure, social development) </t>
  </si>
  <si>
    <t>MGLSD, MoH, MOES, OP, MWE, OWC, LGs, media</t>
  </si>
  <si>
    <t>Community awareness levels on existing government programmes</t>
  </si>
  <si>
    <t>MGLSD</t>
  </si>
  <si>
    <t>Develop and implement a National Communication Strategy on socio-economic development. This includes communicating laws, policies, strategies, guidelines, initiatives.</t>
  </si>
  <si>
    <t>MGLSD, MoH, MOES, OP, MWE, OWC, LGs,</t>
  </si>
  <si>
    <t>Number of public awareness campaigns</t>
  </si>
  <si>
    <t>LGs/ CBS, MGLSD, MoH, MOES, OP, MWE, OWC</t>
  </si>
  <si>
    <t>151101c</t>
  </si>
  <si>
    <t>Establish feedback mechanism to capture public views on Government performance and enhance citizen participation in the development process</t>
  </si>
  <si>
    <t>151101c01</t>
  </si>
  <si>
    <t>Citizens feedback foras organsized (Community Barazas)</t>
  </si>
  <si>
    <t>Number of districts covered on the Baraza initiative</t>
  </si>
  <si>
    <t>151101d</t>
  </si>
  <si>
    <t>Identify transformational youth champions per district to create a critical mass required to effect mind-set change in country</t>
  </si>
  <si>
    <t>151101d01</t>
  </si>
  <si>
    <t>Transformational youth champions per district identified</t>
  </si>
  <si>
    <t xml:space="preserve">No. of transformational youth champions per district identified </t>
  </si>
  <si>
    <t>Identify and partner with socio-economic change agents per district to power the national development &amp; transformation agenda. In addition promote peer to peer conversations which includes sharing lessons based on social norms, culture, religion etc,</t>
  </si>
  <si>
    <t>MoH, MOES, OP, MWE, OWC, LGs,</t>
  </si>
  <si>
    <t>151102</t>
  </si>
  <si>
    <t>Develop and implement a national civic education programme aimed at improving the level of awareness of roles and responsibilities of families, communities and individual citizens</t>
  </si>
  <si>
    <t>15110201</t>
  </si>
  <si>
    <t xml:space="preserve">National Civic Education Program awareness campaigns conducted  </t>
  </si>
  <si>
    <t xml:space="preserve">Number of Civic Education programmes conducted  </t>
  </si>
  <si>
    <t xml:space="preserve">Develop &amp; implement the  Civic Education program                                                                   </t>
  </si>
  <si>
    <t>EC, EOC, MGLSD, MOES, LGs,OWC</t>
  </si>
  <si>
    <t>15110202</t>
  </si>
  <si>
    <t>Public awareness campaign created on equal opportunities</t>
  </si>
  <si>
    <t>Number of dialogues conducted</t>
  </si>
  <si>
    <t>EOC</t>
  </si>
  <si>
    <t xml:space="preserve">Conduct public awareness campaigns (including dialogues/debates) on the need to promote equal opportunities for inclusive development </t>
  </si>
  <si>
    <t>124 Equal Opportunities Commission</t>
  </si>
  <si>
    <t>MICT&amp;NG, MGLSD,LGs</t>
  </si>
  <si>
    <t>15110203</t>
  </si>
  <si>
    <t>State and non-State actors  mobilised for positive response towards the needs and interests of marginalised/vulnerable individuals and groups</t>
  </si>
  <si>
    <t>Organise  dialogues/debates to mobilise state and non-state actors  for positive response towards the needs and interests of marginalised/vulnerable individuals and groups</t>
  </si>
  <si>
    <t>MGLDS, LGs, MoFPED</t>
  </si>
  <si>
    <t>15110204</t>
  </si>
  <si>
    <t>TV &amp; Radio programmes broadcasted</t>
  </si>
  <si>
    <t>No. of programmes broadcast</t>
  </si>
  <si>
    <t>MICT&amp;NG (UBC)</t>
  </si>
  <si>
    <t xml:space="preserve">Strengthen capacity UBC to compete at national, regional and international level and to deliver government Programmes. </t>
  </si>
  <si>
    <t>MoICT&amp;NG (UBC)</t>
  </si>
  <si>
    <t>MICT&amp;NG,OWC</t>
  </si>
  <si>
    <t>15110205</t>
  </si>
  <si>
    <t>Comprehensive communication strategy on registration services developed and implemented</t>
  </si>
  <si>
    <t>Comprehensive communication strategy on registration services in place</t>
  </si>
  <si>
    <t>URSB</t>
  </si>
  <si>
    <t>Develop and implement a comprehensive communication strategy on registration services</t>
  </si>
  <si>
    <t>119 Uganda Registration Services Bureau</t>
  </si>
  <si>
    <t>LGs, KCCA, URA</t>
  </si>
  <si>
    <t>15110206</t>
  </si>
  <si>
    <t>Public legal sensitisations conducted</t>
  </si>
  <si>
    <t>Number of Public legal sensitisation conducted</t>
  </si>
  <si>
    <t>JSC</t>
  </si>
  <si>
    <t>Conduct public legal sensitisation through the radio, television and sensitisation meetings</t>
  </si>
  <si>
    <t>148 Judicial Service Commission</t>
  </si>
  <si>
    <t>15110207</t>
  </si>
  <si>
    <t xml:space="preserve">IEC materials on the different laws produced and disseminated </t>
  </si>
  <si>
    <t>Number of IEC materials (‘000s)</t>
  </si>
  <si>
    <t xml:space="preserve">Produce and disseminate IEC materials </t>
  </si>
  <si>
    <t>15110208</t>
  </si>
  <si>
    <t>Vehicles for Public sensitisation and judicial education procured</t>
  </si>
  <si>
    <t>Number of vehicles procured</t>
  </si>
  <si>
    <t>Procure vehicles for conducting publis sensitisation ,judicial education and dissemination of IEC materials</t>
  </si>
  <si>
    <t>15110209</t>
  </si>
  <si>
    <t>Judicial education programs conducted</t>
  </si>
  <si>
    <t>Number of judicial education programs conducted</t>
  </si>
  <si>
    <t>Conduct judical education programs</t>
  </si>
  <si>
    <t>151103</t>
  </si>
  <si>
    <t>Design and implement a programme aimed at promoting household engagement in culture and creative industries for income generation</t>
  </si>
  <si>
    <t>15110301</t>
  </si>
  <si>
    <t>Arts &amp; crafts markets established  countrywide</t>
  </si>
  <si>
    <t>No. of arts and craft markets established</t>
  </si>
  <si>
    <t>MGLSD (UNCC)</t>
  </si>
  <si>
    <t>Faciliate the establishment of art &amp; craft market</t>
  </si>
  <si>
    <t>MoGLSD (UNCC)</t>
  </si>
  <si>
    <t>UTB, MTWA,MTIC</t>
  </si>
  <si>
    <t>No. of art &amp; craft digital platforms developed</t>
  </si>
  <si>
    <t>Establish digital platforms for marketing Ugandan cultural goods &amp; services</t>
  </si>
  <si>
    <t>MICT&amp;NG</t>
  </si>
  <si>
    <t>15110302</t>
  </si>
  <si>
    <t>International networks for export for cultural goods &amp; services established</t>
  </si>
  <si>
    <t>No. of companies exporting cultural goods &amp; services</t>
  </si>
  <si>
    <t>Establish linkages to international markets for Ugandan cultural goods &amp; services (Market identification, promotions, negotiations, training, exhibitions)</t>
  </si>
  <si>
    <t xml:space="preserve"> MOFA, MTIC, MTWA,UEPB,  Private Sector </t>
  </si>
  <si>
    <t>15110303</t>
  </si>
  <si>
    <t>Bussiness skilling/capacity building programs for cultural practioners implemented</t>
  </si>
  <si>
    <t>No. of cultural practioners equiped with bussiness skills</t>
  </si>
  <si>
    <t>Conduct bussiness skills development programs for different types of cultural practioners</t>
  </si>
  <si>
    <t xml:space="preserve"> PSFU, MTIC, MTWA,UEPB,  Private Sector </t>
  </si>
  <si>
    <t>15110304</t>
  </si>
  <si>
    <t xml:space="preserve">Artist and community cultural training programmes developed </t>
  </si>
  <si>
    <t>No. of creative Artist trained</t>
  </si>
  <si>
    <t>Build creative capacity of artists</t>
  </si>
  <si>
    <t>MUK, UBOS, NPA</t>
  </si>
  <si>
    <t>15110305</t>
  </si>
  <si>
    <t>Creative and cultural industries studies conducted</t>
  </si>
  <si>
    <t>Number of creative and cultural industries conducted</t>
  </si>
  <si>
    <t>Conduct  studies on the development potential of creative and cultural industries</t>
  </si>
  <si>
    <t>MICT&amp;NG, UCC, UBC, UIA, UTB, UWA</t>
  </si>
  <si>
    <t>15110306</t>
  </si>
  <si>
    <t>Local film industry strengthened</t>
  </si>
  <si>
    <t>Number of local films produced and distributed</t>
  </si>
  <si>
    <t>Strengthen UNCC to support development of the film industry (training, production, pormotion and distribution)</t>
  </si>
  <si>
    <t>15110307</t>
  </si>
  <si>
    <t>Local Artisits, Musicians, CMO's sensitized on IP Rights in the Culture and Creative industry</t>
  </si>
  <si>
    <t>Number of engagements and interactions on IP conducted with the Collective Management Organizations &amp; Musician Associations.</t>
  </si>
  <si>
    <t>Conduct awareness on Intellectual Property (IP) rights to stakeholders in the culture and creative industry</t>
  </si>
  <si>
    <t>UMA, UPRS</t>
  </si>
  <si>
    <t>151104</t>
  </si>
  <si>
    <t>Develop a policy on Diaspora engagement</t>
  </si>
  <si>
    <t>15110401</t>
  </si>
  <si>
    <t>Diaspora engagement policy developed &amp; implemented</t>
  </si>
  <si>
    <t>Diaspora engagement policy in place</t>
  </si>
  <si>
    <t>Interact and inspire the diaspora community on development opportunities</t>
  </si>
  <si>
    <t>006 Ministry of Foreign Affairs</t>
  </si>
  <si>
    <t>MICT&amp;NG, UEPB,MTIC, MTWA, UIA</t>
  </si>
  <si>
    <t>No. of diaspora engagement initiatives</t>
  </si>
  <si>
    <t>151105</t>
  </si>
  <si>
    <t>Implement the 15 Household model for social economic empowerment</t>
  </si>
  <si>
    <t>15110501</t>
  </si>
  <si>
    <t>Village Savings and Loans Associations established</t>
  </si>
  <si>
    <t>No. of Households benefiting from VSLA &amp; investment clubs</t>
  </si>
  <si>
    <t>LGs/ CBS</t>
  </si>
  <si>
    <t>Design and implement a program aimed at promoting household engagement in improving  H/H Income</t>
  </si>
  <si>
    <t>OWC, OPM, MTIC, LGs, MAAIF, MOES</t>
  </si>
  <si>
    <t>15110502</t>
  </si>
  <si>
    <t>Village Cluster HH Model Expanded</t>
  </si>
  <si>
    <t>Proportion of Households benefiting from one time investments</t>
  </si>
  <si>
    <t>Design and implement the VCM (Carry out the needs assessment, develop actions plans, and training) on  identified 5 investments e.g water point, a road, agricultural  inputs, livelihood support, Coffee huller)</t>
  </si>
  <si>
    <t>LGs, SH, OWC, UBOS, MAAIF</t>
  </si>
  <si>
    <t>15110503</t>
  </si>
  <si>
    <t>Jobs and Livelihood Refugee Integrated Plan implemented</t>
  </si>
  <si>
    <t>No. of districts plans operationalised</t>
  </si>
  <si>
    <t>Support districts to operationalise the JLRIP</t>
  </si>
  <si>
    <t>OPM, MoH, MOES, MWE, LGs,</t>
  </si>
  <si>
    <t>No. of refugees HHs mobilised &amp; trained</t>
  </si>
  <si>
    <t>Mobilise and train refugees in livelihood activities</t>
  </si>
  <si>
    <t>MGLSD, MOES, LGs</t>
  </si>
  <si>
    <t xml:space="preserve">Strengthening institutional support </t>
  </si>
  <si>
    <t>Strengthen institutional capacity of central, local government and non-state actors for effective mobilization of communities</t>
  </si>
  <si>
    <t>152201</t>
  </si>
  <si>
    <t>Equip and operationalize Community Mobilization and Empowerment (CME) institutions/ structures of central, local government and non-state actors for effective citizen mobilization and dissemination of information to guide and shape the mindsets/ attitudes of the population</t>
  </si>
  <si>
    <t>15220101</t>
  </si>
  <si>
    <t>CDOs and Parish chiefs retooled</t>
  </si>
  <si>
    <t>No. of Community Development Officers and Parish Chiefs retooled</t>
  </si>
  <si>
    <t>Using the Parish Model, train &amp; equip Community Development Officers and Parish Chiefs to revitalise the Community Development function and structures to deliver services</t>
  </si>
  <si>
    <t>15220102</t>
  </si>
  <si>
    <t xml:space="preserve">Regional Rural Training Centers renovated and equipped  </t>
  </si>
  <si>
    <t>No. of community development centers renovated and equiped at parish level</t>
  </si>
  <si>
    <t xml:space="preserve">MoGLSD </t>
  </si>
  <si>
    <t xml:space="preserve">Renovate and equip dilapidated Regional Rural Training Centers </t>
  </si>
  <si>
    <t>MoLG, LGs</t>
  </si>
  <si>
    <t>15220103</t>
  </si>
  <si>
    <t>Community Development Centres constructed</t>
  </si>
  <si>
    <t>Number of Community Development Centres constructed</t>
  </si>
  <si>
    <t>Establish Community Development Centres at sub-county level</t>
  </si>
  <si>
    <t>15220104</t>
  </si>
  <si>
    <t>The role of RDCs strengthened in the mobilization of communities to engage in National Development</t>
  </si>
  <si>
    <t>No. of RDCs with the necessary equipment to operate</t>
  </si>
  <si>
    <t>Equip the RDCs</t>
  </si>
  <si>
    <t>15220105</t>
  </si>
  <si>
    <t>District communication offices facilitated with communication tools</t>
  </si>
  <si>
    <t xml:space="preserve">Number of district communication offices facilitated. </t>
  </si>
  <si>
    <t xml:space="preserve"> MGLSD </t>
  </si>
  <si>
    <t>Procure computers, voice recorders and cameras for district communication offices</t>
  </si>
  <si>
    <t>15220106</t>
  </si>
  <si>
    <t>Intergrated Community Learning for Wealth Creation rolled out</t>
  </si>
  <si>
    <t>Number of PDM beneficiaries trained under  Intergrated Community Learning for wealth creation in all DLGs</t>
  </si>
  <si>
    <t xml:space="preserve"> MGLSD (NLU) </t>
  </si>
  <si>
    <t>Using the Parish model, rollout the Intergrated Community Learning for wealth creation programme nationally</t>
  </si>
  <si>
    <t>OWC, MOES</t>
  </si>
  <si>
    <t>15220107</t>
  </si>
  <si>
    <t>Themed wealth creation events</t>
  </si>
  <si>
    <t xml:space="preserve">Organise themed events across the country to mobilise communities on wealth creation </t>
  </si>
  <si>
    <t>15220108</t>
  </si>
  <si>
    <t>Public  Libraries established and equipped</t>
  </si>
  <si>
    <t>Number of public Libraries established and equipped</t>
  </si>
  <si>
    <t>Establish and equip Public libraries</t>
  </si>
  <si>
    <t>MoGLSD (NLU)</t>
  </si>
  <si>
    <t>MOES, LGs, MICT&amp;NG</t>
  </si>
  <si>
    <t>15220109</t>
  </si>
  <si>
    <t>National Library of Uganda headquaters constructed and equipped</t>
  </si>
  <si>
    <t>Modern State of the art National Library of Uganda  in place</t>
  </si>
  <si>
    <t>Construct and equip the National Library of Uganda building</t>
  </si>
  <si>
    <t>15220110</t>
  </si>
  <si>
    <t xml:space="preserve">Legal and regulatory framework for library and information service reviewed </t>
  </si>
  <si>
    <t xml:space="preserve">Reviewed Legal and regulatory framework for library and information service </t>
  </si>
  <si>
    <t>Review the Legal and regulatory framework for library and information services</t>
  </si>
  <si>
    <t>15220111</t>
  </si>
  <si>
    <t xml:space="preserve">Functional Open Access Centers  in Public libraries </t>
  </si>
  <si>
    <t xml:space="preserve">No. of Open Access Centers in Public  libraries </t>
  </si>
  <si>
    <t xml:space="preserve"> MGLSD (UNCC) </t>
  </si>
  <si>
    <t xml:space="preserve">Establish and equip Open Access Centers (Digital services) in Public   libraries </t>
  </si>
  <si>
    <t>15220112</t>
  </si>
  <si>
    <t xml:space="preserve">District Art and Culture committees  established </t>
  </si>
  <si>
    <t xml:space="preserve">No of District CulturE and Art Committees established </t>
  </si>
  <si>
    <t>Institutionalise the District Art and Culture Committees</t>
  </si>
  <si>
    <t xml:space="preserve"> LGs </t>
  </si>
  <si>
    <t>15220113</t>
  </si>
  <si>
    <t xml:space="preserve">Intellectual Property and  Traditional Knowledge Rights Laws reviewed </t>
  </si>
  <si>
    <t>Revised Copy right law</t>
  </si>
  <si>
    <t xml:space="preserve">Review the exisiting laws on Intellectual Property and Traditional Knowledge. </t>
  </si>
  <si>
    <t xml:space="preserve"> UPRS, URSB, UCC </t>
  </si>
  <si>
    <t xml:space="preserve">No. creators sensitized </t>
  </si>
  <si>
    <t>15220114</t>
  </si>
  <si>
    <t xml:space="preserve">A Culture Statistic framework established </t>
  </si>
  <si>
    <t xml:space="preserve">Culture Statistic framework in place </t>
  </si>
  <si>
    <t xml:space="preserve">Establish a national culture statistics framework </t>
  </si>
  <si>
    <t xml:space="preserve"> UBOS, NPA </t>
  </si>
  <si>
    <t>15220115</t>
  </si>
  <si>
    <t>One stop ART and Culture Centre established</t>
  </si>
  <si>
    <t>Centre in place</t>
  </si>
  <si>
    <t>Construct and equip the One stop art and  Culture Centre</t>
  </si>
  <si>
    <t xml:space="preserve"> MLHUD </t>
  </si>
  <si>
    <t>152202</t>
  </si>
  <si>
    <t>Establish and operationalize Community Development Management Information System (CDMIS) at Parish and Sub-county level</t>
  </si>
  <si>
    <t>15220201</t>
  </si>
  <si>
    <t>CDMIS established and operationalized</t>
  </si>
  <si>
    <t>CDMIS in place &amp; operational</t>
  </si>
  <si>
    <t xml:space="preserve">Design and put in place a CMIS to monitor community development initiatives </t>
  </si>
  <si>
    <t>MICT&amp;NG, LGs</t>
  </si>
  <si>
    <t>152203</t>
  </si>
  <si>
    <t>Institutionalize cultural, religious and other non-state actors in community development initiatives</t>
  </si>
  <si>
    <t>15220301</t>
  </si>
  <si>
    <t>Participation of Religious and Faith Organisations (RFOs) participation in Community and National Development coordinated</t>
  </si>
  <si>
    <t>No. of Religious and Faith Organisations (RFOs) participating in Community and National Development</t>
  </si>
  <si>
    <t xml:space="preserve"> DEI </t>
  </si>
  <si>
    <t xml:space="preserve">Coordinate Religious and Faith Organisations (RFOs) participation in Community and National Development </t>
  </si>
  <si>
    <t>OP, OWC, MOES, DEI</t>
  </si>
  <si>
    <t>15220302</t>
  </si>
  <si>
    <t>A framework in place to partner with RFOs and other non-state actors to support development initiatives</t>
  </si>
  <si>
    <t xml:space="preserve">A framework on partnership with Religious &amp; Faith Institutions developed </t>
  </si>
  <si>
    <t xml:space="preserve"> MGLSD/ IRCU </t>
  </si>
  <si>
    <t xml:space="preserve">Develop a framework for RFOs to mainstream spirituality for mindset change among the populace for development </t>
  </si>
  <si>
    <t>OP,  MOES, IRCU</t>
  </si>
  <si>
    <t>15220303</t>
  </si>
  <si>
    <t>RFO database for collaboration between government and RFOs developed and operationalised</t>
  </si>
  <si>
    <t>RFO database for collaboration between government and RFOs in place</t>
  </si>
  <si>
    <t>Develop, manage/operationalise RFO database for collaborative between government and RFOs</t>
  </si>
  <si>
    <t>DEI</t>
  </si>
  <si>
    <t>112 Ethics and Integrity</t>
  </si>
  <si>
    <t>OP, MGLSD, MOES, MICT&amp;NG, UBOS</t>
  </si>
  <si>
    <t>Functional RFO database for collaboration between government and RFOs in place</t>
  </si>
  <si>
    <t>15220304</t>
  </si>
  <si>
    <t>A National Arts Council established</t>
  </si>
  <si>
    <t>Legal instruments establishing the National Arts Concil in place</t>
  </si>
  <si>
    <t xml:space="preserve">Establish &amp; operationalise a National Arts Council. </t>
  </si>
  <si>
    <t xml:space="preserve">MOES, UBC, </t>
  </si>
  <si>
    <t>15220305</t>
  </si>
  <si>
    <t xml:space="preserve">National Arts regulations developed </t>
  </si>
  <si>
    <t>Regulatory framework for Arts in Uganda in place</t>
  </si>
  <si>
    <t>Develop and Implement regulations for Arts in Uganda</t>
  </si>
  <si>
    <t xml:space="preserve">MWT, </t>
  </si>
  <si>
    <t>15220306</t>
  </si>
  <si>
    <t>National Art and regional cultural events organised and promoted</t>
  </si>
  <si>
    <t xml:space="preserve">No. of national festivals, art fairs, biennials, exhibitions, auctions, concerts </t>
  </si>
  <si>
    <t xml:space="preserve">Conduct regular ethno cultural exchanges through events such as cultural festivals, performances, forum and exhibitions, especially among artists and youths  </t>
  </si>
  <si>
    <t>MWT, LGs</t>
  </si>
  <si>
    <t>15220307</t>
  </si>
  <si>
    <t>Uganda national cultural centre redeveloped</t>
  </si>
  <si>
    <t xml:space="preserve">Modern Uganda national cultural centre </t>
  </si>
  <si>
    <t xml:space="preserve">Redevelop the Uganda National Cultural Centre </t>
  </si>
  <si>
    <t>MoFA, MTIC, MTWA</t>
  </si>
  <si>
    <t>15220308</t>
  </si>
  <si>
    <t xml:space="preserve">Modern regional cultural centres developed </t>
  </si>
  <si>
    <t xml:space="preserve">No. of regional Cultural Centres  developed </t>
  </si>
  <si>
    <t xml:space="preserve">Develop 2 modern regional cultural centres </t>
  </si>
  <si>
    <t>UBC, UCC, MICT&amp;NG</t>
  </si>
  <si>
    <t>15220309</t>
  </si>
  <si>
    <t xml:space="preserve">Active  memorandum of understandings (MOUs)/ strategic Partnerships with cultural partners developed </t>
  </si>
  <si>
    <t>MOUs with foreign cultural institutions, cultural tourism stakeholders, research and private cultural institutions</t>
  </si>
  <si>
    <t>Promote cultural diplomacy and heritage tourism</t>
  </si>
  <si>
    <t>15220310</t>
  </si>
  <si>
    <t>National cultural collection (visual, performing and literary)  initiative conducted</t>
  </si>
  <si>
    <t>No. of National Cultural Collection Initiative in place</t>
  </si>
  <si>
    <t>Preserve cultural resources and assets</t>
  </si>
  <si>
    <t>UBC, UCC, MICT&amp;NG,MTWA</t>
  </si>
  <si>
    <t>15220311</t>
  </si>
  <si>
    <t>A National Traditional healers regulatory framework developed</t>
  </si>
  <si>
    <t>Traditional healers regulations in place</t>
  </si>
  <si>
    <t xml:space="preserve">Develop and implement a national regulatory framework for traditional healers </t>
  </si>
  <si>
    <t>15220312</t>
  </si>
  <si>
    <t>National Documented Heritage preserved</t>
  </si>
  <si>
    <t>No. of Documented Heritage collected, preserved and availed to the public</t>
  </si>
  <si>
    <t>Collect, conserve and preserve documented heritage</t>
  </si>
  <si>
    <t>Civic Education &amp; Mindset change</t>
  </si>
  <si>
    <t>Promote and inculcate the National Vision and value system</t>
  </si>
  <si>
    <t>153301</t>
  </si>
  <si>
    <t>Develop and implement a national service program</t>
  </si>
  <si>
    <t>15330101</t>
  </si>
  <si>
    <t>Talent academy strengthened</t>
  </si>
  <si>
    <t>Number of talent academies certified and supported</t>
  </si>
  <si>
    <t>Register and support talent academies</t>
  </si>
  <si>
    <t xml:space="preserve">MGLSD, MICT&amp;NG, </t>
  </si>
  <si>
    <t>15330102</t>
  </si>
  <si>
    <t>National Service Program established</t>
  </si>
  <si>
    <t>A national service programme in place</t>
  </si>
  <si>
    <t>Develop the National Service Program</t>
  </si>
  <si>
    <t>MDVA, MGLSD, MOES, MICT&amp;NG, MoPS, MoLG, OWC, LGs</t>
  </si>
  <si>
    <t>15330103</t>
  </si>
  <si>
    <t>National Service Program rolled out</t>
  </si>
  <si>
    <t>No. of Training centres implementing the national service program</t>
  </si>
  <si>
    <t xml:space="preserve">Conduct roll out/ training for the National Service Program </t>
  </si>
  <si>
    <t>MOES, MGLSD,  MICT&amp;NG, MoPS, MoLG, LGs</t>
  </si>
  <si>
    <t>15330104</t>
  </si>
  <si>
    <t>Coordination and Implementation Framework for the National Service operationalised</t>
  </si>
  <si>
    <t>No. of ToTs in National Service trainings</t>
  </si>
  <si>
    <t>Strengthen the capacity of the National Secretariat for Patriotism Club to implement the National Service Program</t>
  </si>
  <si>
    <t>15330105</t>
  </si>
  <si>
    <t>Conduct Patriotism training in schools, training institions and centers</t>
  </si>
  <si>
    <t>No. of teachers and students trained in patriotism ideology</t>
  </si>
  <si>
    <t>MoGLSD, MoD, MoES</t>
  </si>
  <si>
    <t>15330106</t>
  </si>
  <si>
    <t>National incentives framework established</t>
  </si>
  <si>
    <t xml:space="preserve">Develop and implement the National incentives framework </t>
  </si>
  <si>
    <t>MGLSD, MDVA</t>
  </si>
  <si>
    <t>15330107</t>
  </si>
  <si>
    <t>Mindset change programme established</t>
  </si>
  <si>
    <t xml:space="preserve">Develop and operationalise mindset change programme </t>
  </si>
  <si>
    <t>MGLSD, MOES, MoPS, OP, UBC</t>
  </si>
  <si>
    <t>15330108</t>
  </si>
  <si>
    <t>Integration of values of  culture  in school curriculums and other education programmes up to the tertiary level conducted</t>
  </si>
  <si>
    <t>Conduct integration of values of  culture  in school curriculums and other education programmes up to the tertiary level</t>
  </si>
  <si>
    <t>15330109</t>
  </si>
  <si>
    <t xml:space="preserve">National MDD and Visual Arts Competitions established </t>
  </si>
  <si>
    <t>Organise the National MDD and Visual Arts Competitions</t>
  </si>
  <si>
    <t>15330110</t>
  </si>
  <si>
    <t>Kiswahili as an official language in Uganda promoted</t>
  </si>
  <si>
    <t xml:space="preserve">Swahili Council in place </t>
  </si>
  <si>
    <t>Swahili Curriculum reviewed</t>
  </si>
  <si>
    <t xml:space="preserve">Number of Swahili facilitators trained </t>
  </si>
  <si>
    <t>153302</t>
  </si>
  <si>
    <t>Popularize the national vision, interest and common good for the citizenry</t>
  </si>
  <si>
    <t>15330201</t>
  </si>
  <si>
    <t>A national vision, interest and common good popularized</t>
  </si>
  <si>
    <t>No. of dissemination activities for the National Vision, interests and common good conducted</t>
  </si>
  <si>
    <t>National value system in place</t>
  </si>
  <si>
    <t>No. of patriotic clubs</t>
  </si>
  <si>
    <t>15330202</t>
  </si>
  <si>
    <t>A Bill approved on the duties of the Citizenry and popularised</t>
  </si>
  <si>
    <t>Initiate the Bill to effect the National objectives XXIX (29) on the duties of the Citizenry</t>
  </si>
  <si>
    <t>15330203</t>
  </si>
  <si>
    <t>National Guidance policy fast tracked and approved</t>
  </si>
  <si>
    <t>Finalise the National Guidance policy</t>
  </si>
  <si>
    <t>MGLSD, MOES, MoPS, OP, UBC, MIA, MOFPED, NPA</t>
  </si>
  <si>
    <t>153303</t>
  </si>
  <si>
    <t>Establish a National incentives framework including rewards and sanctions for best performing workers, leaders and communities</t>
  </si>
  <si>
    <t>15330301</t>
  </si>
  <si>
    <t>Medals conferred to outstanding performers by H.E the President</t>
  </si>
  <si>
    <t>Number of investure ceremonies (Chancery) conducted</t>
  </si>
  <si>
    <t xml:space="preserve"> OP </t>
  </si>
  <si>
    <t>Conduct Investiture ceremonies (Chancery)</t>
  </si>
  <si>
    <t xml:space="preserve">        -   </t>
  </si>
  <si>
    <t>15330302</t>
  </si>
  <si>
    <t xml:space="preserve">A frame work for Identification and recognition of exemplary achievers established </t>
  </si>
  <si>
    <t xml:space="preserve">Framework place in place </t>
  </si>
  <si>
    <t>Track the record, verify and award   persons deserving honors at national and diaspora levels</t>
  </si>
  <si>
    <t>LGs, MGLSD</t>
  </si>
  <si>
    <t>15330303</t>
  </si>
  <si>
    <t>Necessary Insignia, Medals and Certificates purchased</t>
  </si>
  <si>
    <t>Number of medals purchased.</t>
  </si>
  <si>
    <t>Honour persons approved by H.E the President</t>
  </si>
  <si>
    <t>MDAs</t>
  </si>
  <si>
    <t>15330304</t>
  </si>
  <si>
    <t>Hall of fame established</t>
  </si>
  <si>
    <t>Hall of fame in place</t>
  </si>
  <si>
    <t>Operationalize the hall of fame</t>
  </si>
  <si>
    <t xml:space="preserve">         -   </t>
  </si>
  <si>
    <t>15330305</t>
  </si>
  <si>
    <t>Capacity of 34 staff built in management and administration of Honours</t>
  </si>
  <si>
    <t>No. of staff trained in management and administration of Honours</t>
  </si>
  <si>
    <t>Conduct training of staff in management and administration of Honours</t>
  </si>
  <si>
    <t>15330306</t>
  </si>
  <si>
    <t>Annual Integrity Awards framework for exemplary service (for both public and private) established and implemented</t>
  </si>
  <si>
    <t xml:space="preserve">Awards framework in place </t>
  </si>
  <si>
    <t>Establish the Annual Integrity Awards framework for exemplary service (for both public and private)</t>
  </si>
  <si>
    <t>MoPS, RFO, Private Sector</t>
  </si>
  <si>
    <t>No. of people receiving Awards</t>
  </si>
  <si>
    <t>Operationalise Annual Integrity Awards framework for exemplary service (for both public and private)</t>
  </si>
  <si>
    <t>MICT&amp;NG, MOES, MoPS</t>
  </si>
  <si>
    <t>153304</t>
  </si>
  <si>
    <t>Develop and/or operationalize a system for inculcating ethical standards in the formal, informal and all communities</t>
  </si>
  <si>
    <t>15330401</t>
  </si>
  <si>
    <t>National Ethical Values inculcated in community</t>
  </si>
  <si>
    <t>No. of categories inculcating National Ethical Values in community</t>
  </si>
  <si>
    <t>Inculcate National Ethical Values in the community (through Religious and Faith Organisations (RFOs), family structure in collaboration with MoGLSD</t>
  </si>
  <si>
    <t>15330402</t>
  </si>
  <si>
    <t>Code of business ethics for business communities popularised</t>
  </si>
  <si>
    <t>No. of business communities adhering to Code of business ethics</t>
  </si>
  <si>
    <t>Popularise the code of business ethics for business communities</t>
  </si>
  <si>
    <t>Private sector, LGs</t>
  </si>
  <si>
    <t>15330403</t>
  </si>
  <si>
    <t>National Ethical Values integrated into the education instititions</t>
  </si>
  <si>
    <t>Categories of education institutions integrating National Ethical Values</t>
  </si>
  <si>
    <t xml:space="preserve"> MOES </t>
  </si>
  <si>
    <t>Integrate the National Ethical Values into the education institutions</t>
  </si>
  <si>
    <t>15330404</t>
  </si>
  <si>
    <t xml:space="preserve">National Arts and Culture awards initiated and organised </t>
  </si>
  <si>
    <t>Nomination sheets, awards, jury sheets, award concept, invitations, reviews, participation call</t>
  </si>
  <si>
    <t xml:space="preserve">Develop platform  for recognition, tapping and rewarding cultural industry players that have exemplary product quality and marketing strategies to promote best practices to small and medium enterprises  </t>
  </si>
  <si>
    <t>153305</t>
  </si>
  <si>
    <t xml:space="preserve">Develop and enforce ordinances and by-laws to ensure the national vision and value system is adhered to </t>
  </si>
  <si>
    <t>15330501</t>
  </si>
  <si>
    <t>Development of ordinances and By-laws in Local governments to promote ethical conduct supported</t>
  </si>
  <si>
    <t>No. of LGs supported to develop ordinances and By-laws to promote ethical conduct</t>
  </si>
  <si>
    <t xml:space="preserve"> MoLG </t>
  </si>
  <si>
    <t xml:space="preserve">Support the development of ordinances and By-laws in Local governments to promote ethical conduct </t>
  </si>
  <si>
    <t>LGs, DEI</t>
  </si>
  <si>
    <t>15330502</t>
  </si>
  <si>
    <t xml:space="preserve">50 LGs monitored and evaluated on the enforcement of ordinances and Bylaws that promote ethical conduct </t>
  </si>
  <si>
    <t xml:space="preserve">No. of LGs monitored and evaluated on the enforcement of ordinances and Bylaws that promote ethical conduct </t>
  </si>
  <si>
    <t xml:space="preserve">Monitor and evaluate the enforcement of ordinances and Bylaws that promote ethical conduct </t>
  </si>
  <si>
    <t>15330503</t>
  </si>
  <si>
    <t xml:space="preserve">Uganda national culture Policy implemented </t>
  </si>
  <si>
    <t>No. of stakeholders engaged</t>
  </si>
  <si>
    <t xml:space="preserve">Rollout a Dessimination, Sensitization, and Evalution programme on the policy implementation </t>
  </si>
  <si>
    <t>Reduce negative cultural practices and attitudes</t>
  </si>
  <si>
    <t>153401</t>
  </si>
  <si>
    <t>Conduct awareness campaigns and enforce laws enacted against negative and/or harmful religious, traditional/cultural practices and beliefs</t>
  </si>
  <si>
    <t>15340101</t>
  </si>
  <si>
    <t xml:space="preserve">Capacity of state and non-state actors to enforce laws enacted against negative and/or harmful religious, traditional and cultural practices and beliefs </t>
  </si>
  <si>
    <t>No of Actors trained on negative practices</t>
  </si>
  <si>
    <t xml:space="preserve">Train state and non-state actors to enforce laws and implement policies against negative and/or harmful religious, traditional and cultural practices and beliefs such as Anti-Pornography, FGM, GBV, Child marriages, among others </t>
  </si>
  <si>
    <t>LGs, DEI, UPF, MJCA</t>
  </si>
  <si>
    <t>15340102</t>
  </si>
  <si>
    <t>Cultural Institutions supported</t>
  </si>
  <si>
    <t>No. of cultural institutions supported</t>
  </si>
  <si>
    <t>Support Cultural Institutions to mobilise communities for development</t>
  </si>
  <si>
    <t>OWC, Cultural institutions,  MGLSD</t>
  </si>
  <si>
    <t>15340103</t>
  </si>
  <si>
    <t xml:space="preserve">Media programmes on cultural heritage promotion established </t>
  </si>
  <si>
    <t>No of programmes established</t>
  </si>
  <si>
    <t>Establish Media programmes that promote Uganda's cultural heritage and diversity (documentaries, talkshows, supplements, etc).</t>
  </si>
  <si>
    <t>15340104</t>
  </si>
  <si>
    <t>Uganda respresented at various regional and international cultural programmes (EAC, AU, UNESCO)</t>
  </si>
  <si>
    <t>No.of Regional &amp; international events attended</t>
  </si>
  <si>
    <t xml:space="preserve">Strengthen collaboration with regional/ internatinal networks, in cultural heritage promotion and development </t>
  </si>
  <si>
    <t>15340105</t>
  </si>
  <si>
    <t xml:space="preserve"> A Cultural Heritage Programme designed and implemented</t>
  </si>
  <si>
    <t>Programe in place</t>
  </si>
  <si>
    <t>Develop and implement  Heritage Education Programme</t>
  </si>
  <si>
    <t>NCDC</t>
  </si>
  <si>
    <t>15340106</t>
  </si>
  <si>
    <t>National Standard for Gazetting Cultural Sites developed</t>
  </si>
  <si>
    <t xml:space="preserve">Develop a National Standard for Gazetting Cultural Sites </t>
  </si>
  <si>
    <t>15340107</t>
  </si>
  <si>
    <t>Cultural Sites Gazetted</t>
  </si>
  <si>
    <t>Updated national profiles for cultural &amp; heritage sites</t>
  </si>
  <si>
    <t>Conduct a national profiling of existing Cultural Sites for gazetting</t>
  </si>
  <si>
    <t>15340108</t>
  </si>
  <si>
    <t>Gazetted Cultural Sites Developed and maintained</t>
  </si>
  <si>
    <t> Provide support to Cultural Institutions to  develop and maintain gazetted cultural sites</t>
  </si>
  <si>
    <t>15340109</t>
  </si>
  <si>
    <t>Research and documentation of  the intangible cultural heritage undertaken</t>
  </si>
  <si>
    <t xml:space="preserve">Conduct research and documentation of the intangible heritage countrywide </t>
  </si>
  <si>
    <t>15340110</t>
  </si>
  <si>
    <t>Conduct public awareness about laws enacted against harmful traditional practices</t>
  </si>
  <si>
    <t>Public awareness about laws enacted against harmful traditional practices conducted</t>
  </si>
  <si>
    <t>15340111</t>
  </si>
  <si>
    <t>National campaigns against harmful religious, traditional/cultural practices and beliefs conducted</t>
  </si>
  <si>
    <t>Number of National campaigns against harmful religious, traditional/cultural practices and beliefs conducted</t>
  </si>
  <si>
    <t xml:space="preserve">MOGLSD, JLOS, LGs, OP, DPs, UBC, Religious and Cultural institutions and other Non-State Actors </t>
  </si>
  <si>
    <t>No. of negative cultural practices and beliefs eliminated (FGM, Child sacrifice)</t>
  </si>
  <si>
    <t>No. of awareness campaigns conducted</t>
  </si>
  <si>
    <t>15340112</t>
  </si>
  <si>
    <t>Relevant legislation enacted and or enforced.</t>
  </si>
  <si>
    <t>No. of laws enacted and enforced</t>
  </si>
  <si>
    <t>MGLSD. MoLG</t>
  </si>
  <si>
    <t>15340113</t>
  </si>
  <si>
    <t xml:space="preserve">Community intangible cultural heritage researched and documented </t>
  </si>
  <si>
    <t xml:space="preserve">Community intangible cultural heritage profiled  </t>
  </si>
  <si>
    <t>15340114</t>
  </si>
  <si>
    <t>Cultural heritage education programs promoted</t>
  </si>
  <si>
    <t>Number of campaigns conducted to promote Uganda’s intangible cultural heritage</t>
  </si>
  <si>
    <t>MGLSD. MoES, MoTW</t>
  </si>
  <si>
    <t>153402</t>
  </si>
  <si>
    <t>Promote advocacy, Social mobilisation and Behavioural Change Communication for community development</t>
  </si>
  <si>
    <t>15340201</t>
  </si>
  <si>
    <t>Communication strategy on promotion of norms, values and positive mindsets among young people implemented</t>
  </si>
  <si>
    <t>No. of national and regional diologues conducted</t>
  </si>
  <si>
    <t>NPC</t>
  </si>
  <si>
    <t>Conduct national and regional dialogues for policy makers, religious &amp; cultural leaders on population &amp; development</t>
  </si>
  <si>
    <t>UBOS (NPC)</t>
  </si>
  <si>
    <t>143 Uganda Bureau of Statistics</t>
  </si>
  <si>
    <t>15340202</t>
  </si>
  <si>
    <t>Population and Communication Strategy operationalized</t>
  </si>
  <si>
    <t>No of advocacy campaigns</t>
  </si>
  <si>
    <t>Operationalise the population programme communication and advocacy strategy</t>
  </si>
  <si>
    <t>MGLSD, MOES, MoH, NPA</t>
  </si>
  <si>
    <t>15340203</t>
  </si>
  <si>
    <t>National campaign to reduce teenage pregancy, FGM, GBV, malnutrition &amp; other harmful practices rolled out</t>
  </si>
  <si>
    <t>No. of advocacy campaigns on TP</t>
  </si>
  <si>
    <t>Roll out a national campaign to reduce teenage pregancy, FGM, GBV, malnutrition &amp; other harmful practices</t>
  </si>
  <si>
    <t>MOES, MoH</t>
  </si>
  <si>
    <t>15340204</t>
  </si>
  <si>
    <t>TV &amp; Radio programmes broadcasted on marriage registration (cultural, religious&amp; civil) and licensing places of worship</t>
  </si>
  <si>
    <t>Conduct awareness campaigns on marriage registration (cultural, religious&amp; civil) and licensing places of worship</t>
  </si>
  <si>
    <t>LG's</t>
  </si>
  <si>
    <t>15340205</t>
  </si>
  <si>
    <t>Youths, Women, PWD's, Older persons sensitized on business formalization</t>
  </si>
  <si>
    <t>Conduct awareness campaigns on formalization of businesses and enterprises for vulnerable groups (youth, women, PWDs, Older Persons)</t>
  </si>
  <si>
    <t>15340206</t>
  </si>
  <si>
    <t xml:space="preserve">Blind, the deaf, elderly persons sensitized on business, chattels, civil, intellectual property, insolvency registration services </t>
  </si>
  <si>
    <t>Design and make use of promotional materials for business, chattels, civil, intellectual property, insolvency registration tailored towards targeted interest groups (blind, the deaf, elderly)</t>
  </si>
  <si>
    <t>15340207</t>
  </si>
  <si>
    <t xml:space="preserve">Guidelines popularised </t>
  </si>
  <si>
    <t>Popularize guidelines on prevention and management of teenage pregnancies</t>
  </si>
  <si>
    <t>MGLSD, LGs</t>
  </si>
  <si>
    <t>15340208</t>
  </si>
  <si>
    <t>Social impact assessments conducted and plans implemented</t>
  </si>
  <si>
    <t>Implement social safeguards for infrastructure development projects</t>
  </si>
  <si>
    <t>MEMD, MWT, MWE, MOES, NPA</t>
  </si>
  <si>
    <t>15340209</t>
  </si>
  <si>
    <t>Capacity of Community Based structures built</t>
  </si>
  <si>
    <t>No. of community devlpment structures trained</t>
  </si>
  <si>
    <t>Build Capacity of Community Based structures(FAL groups, PDCs, Community Own Resource Persons, and Community Based informal groups to triger and  deliver community based advocacy, social mobilisation and behavioural change communication on nutrition interventions</t>
  </si>
  <si>
    <t>15340210</t>
  </si>
  <si>
    <t>Relevant policies and Strategies on reducing negative cultural practices developed</t>
  </si>
  <si>
    <t>Review and develop appropriate policies and strategies, aimed at reducing  negative cultural practices and attitudes</t>
  </si>
  <si>
    <t>15340211</t>
  </si>
  <si>
    <t xml:space="preserve">Mobilize and Provide Support to Cultural Institutions to Reduce negative cultural practices and attitudes. </t>
  </si>
  <si>
    <t>No of Cultural Institutions supported</t>
  </si>
  <si>
    <t>15340212</t>
  </si>
  <si>
    <t>Indeginuous languages taught and promoted</t>
  </si>
  <si>
    <t xml:space="preserve">Mainstream the development of indeginous languages and swahili in higher institutions of learning </t>
  </si>
  <si>
    <t>Digital Transformation</t>
  </si>
  <si>
    <t>11X</t>
  </si>
  <si>
    <t>ICT Infrastructure</t>
  </si>
  <si>
    <t>Increase the national ICT infrastructure coverage</t>
  </si>
  <si>
    <t>Extend broadband ICT infrastructure coverage countrywide   in partnership with the private sector and implement last mile connectivity to key areas (Districts, sub counties, schools, hospitals, post offices, tourism sites, police, LGs etc.)</t>
  </si>
  <si>
    <t>National Backbone infrastructure extended</t>
  </si>
  <si>
    <t>Percentage of Parishes with broadband connectivity</t>
  </si>
  <si>
    <t>UCC</t>
  </si>
  <si>
    <t>Extend broadband connectivity to parish level, RCDF subsidy for suppy side interventions, Monitor the techniclal implementation plans of the national broadband infrastructure</t>
  </si>
  <si>
    <t>MoICT&amp;NG, NITAU, POSTA, UTL,MEMD, UETCL,UEDCL, UBC/SIGNET,Other Utility serviceproviders (MoWE,MoWT),Communication service providers</t>
  </si>
  <si>
    <t>Length of fibre optic network</t>
  </si>
  <si>
    <t>NITAU</t>
  </si>
  <si>
    <t>Implement Last mile connectivity and Uganda Digital Acceleration Program to expand accesss to affordable high speed internet through the NBI</t>
  </si>
  <si>
    <t>NITA-U</t>
  </si>
  <si>
    <t>126 National Information Technology Authority</t>
  </si>
  <si>
    <t>MoICT&amp;NG, UCC, POSTA, UTL,MEMD, UETCL,UEDCL, UBC/SIGNET,Other Utility serviceproviders (MoWE,MoWT),Communication service providers</t>
  </si>
  <si>
    <t>Government service delivery units (schools, hospitals, post offices, tourism sites, police, LGs etc) connected to the NBI</t>
  </si>
  <si>
    <t xml:space="preserve">Number of MDAs connected </t>
  </si>
  <si>
    <t>Number of districts Hq connected</t>
  </si>
  <si>
    <t>Supply and installation of Equipment and management system (Routers, switches, VPs, Access points, Racks, Network management system)</t>
  </si>
  <si>
    <t>Number of Government units schools, hospitals, post offices, tourism sites, police, LGs etc) connected to the NBI</t>
  </si>
  <si>
    <t>Number of  educational Institutions connected to High speed broadband</t>
  </si>
  <si>
    <t>Connect schools and Tertiary institutions to Highspeed broadband</t>
  </si>
  <si>
    <t>MoICT&amp;NG (UCC)</t>
  </si>
  <si>
    <t>MOES, ACADEMIA</t>
  </si>
  <si>
    <t>Number of assessments/audits undertaken</t>
  </si>
  <si>
    <t>MoICT&amp; NG</t>
  </si>
  <si>
    <t>Carryout an ICT infrastructure audit, engage key stakeholders (private sector, NITA, UETCL,UTL) to guide the planning and deployment of common core infrastrucuture, and evaluate existing initiatives for broadband connectivity in hard to reach areas</t>
  </si>
  <si>
    <t xml:space="preserve">               -   </t>
  </si>
  <si>
    <t>NITA-U,UETCL,UEDCL,UTL,PRIVATE SECTOR</t>
  </si>
  <si>
    <t>Wireless hotspots (MyUg) deployed at strategic locations</t>
  </si>
  <si>
    <t>Number of wireless hotspots (MyUg)</t>
  </si>
  <si>
    <t>Deploy wireless hotspots at strategic locations through the MYUG including district WiFi zones for learning</t>
  </si>
  <si>
    <t>Digital Terrestrial Transmission sites (DTT) connected to the NBI</t>
  </si>
  <si>
    <t>No DTTs connected to the NBI</t>
  </si>
  <si>
    <t>Connect Digital Terrestrial Transmission sites (DTT) to the NBI</t>
  </si>
  <si>
    <r>
      <t xml:space="preserve">Expand the Digital Terrestrial Television and Radio </t>
    </r>
    <r>
      <rPr>
        <sz val="11"/>
        <color rgb="FF000000"/>
        <rFont val="Calibri"/>
        <family val="2"/>
        <scheme val="minor"/>
      </rPr>
      <t>Broadcasting</t>
    </r>
    <r>
      <rPr>
        <sz val="11"/>
        <color theme="1"/>
        <rFont val="Calibri"/>
        <family val="2"/>
        <scheme val="minor"/>
      </rPr>
      <t xml:space="preserve"> network</t>
    </r>
  </si>
  <si>
    <t>Existing transmission sites upgraded to ensure redundancy and provision of local regional program stream insertions –</t>
  </si>
  <si>
    <t>Number of new DTT transmission sites</t>
  </si>
  <si>
    <t>SIGNET</t>
  </si>
  <si>
    <t>Establish more DTT transmission sites across the country and integrate them into the DTT Network to complete the digital migration project</t>
  </si>
  <si>
    <t>MoICT&amp;NG (SIGNET)</t>
  </si>
  <si>
    <t>MoICT&amp;NG, NITAU, UCC, UBC/SIGNET, Broadcast service providers</t>
  </si>
  <si>
    <t>Number of Gap fillers with hybrid power back up system</t>
  </si>
  <si>
    <t>Cover all TV signal shadow areas in 10 major towns and cities with Digital Tv signal from gap fillers</t>
  </si>
  <si>
    <t>Number of existing transmission sites with redundancy</t>
  </si>
  <si>
    <t>Upgrade existing transmission sites to ensure redundancy and provision of local regional program stream insertions</t>
  </si>
  <si>
    <t>Number of sites with Local regional program stream insertion capability</t>
  </si>
  <si>
    <t>Install local insertion equipment in 10 major towns and cities to enable establishment of regional TV channels</t>
  </si>
  <si>
    <t>Existing radio transmission sites upgraded to ensure redundancy and provision of local regional program stream</t>
  </si>
  <si>
    <t>No. of new radio transmission sites</t>
  </si>
  <si>
    <t> -</t>
  </si>
  <si>
    <t>Establish radio transmission sites in the shadow and border areas</t>
  </si>
  <si>
    <t>No. of radio transmission sites with redundancy</t>
  </si>
  <si>
    <t>Ugrade existing transmission sites to ensure redundancy and replacement of obsolete equipment</t>
  </si>
  <si>
    <t xml:space="preserve">Alternative signal transmission </t>
  </si>
  <si>
    <t>Over The Top and Internet Protocol Tv platforms) for content implemented</t>
  </si>
  <si>
    <t>Create multiple Free to Air program streams through provision of alternative signal transmission using the over the top and internet protocol TV platforms</t>
  </si>
  <si>
    <t>A national DTT/DTH hybrid broadcast system designed and deployed</t>
  </si>
  <si>
    <t>Number of FTA TV channels with a national or hybrid broadcast license</t>
  </si>
  <si>
    <t>Contribute and distribute all TV channels with a national license by satellite to the DTT sutes and also direct to viewers homes</t>
  </si>
  <si>
    <t>Television and radio studio facilities enhanced</t>
  </si>
  <si>
    <t>Number of TV studio facilities established</t>
  </si>
  <si>
    <t>Build 4 new TV studios and 7 new radio studios and furnish them with state of the art equipment</t>
  </si>
  <si>
    <t>Number of radio studio facilities upgraded</t>
  </si>
  <si>
    <t>Replace all obsolte radio studio equipment for radio and Television studios</t>
  </si>
  <si>
    <t>Establish and enhance national common core infrastructure (data centres, high power computing centers, specialized labs)</t>
  </si>
  <si>
    <t>Third National Data Centre established</t>
  </si>
  <si>
    <t>Third National Data Centre</t>
  </si>
  <si>
    <t xml:space="preserve">Acquisition of space/land </t>
  </si>
  <si>
    <t>NITA, MoICT &amp; NG, UCC, Private Sector players</t>
  </si>
  <si>
    <t>Installation of Data Centre Infrastructure  and facilities (equipment, power, Cooling, Network, Security)</t>
  </si>
  <si>
    <t>Awareness and Sensitisation, Capacity building</t>
  </si>
  <si>
    <t>Enhancement of usage of National Data Centre (NDC)</t>
  </si>
  <si>
    <t>Number of applications and systems hosted centrally in the NDC</t>
  </si>
  <si>
    <t>Upgrade of  existing National Data Centre Infrastructure and Disaster |Recovery (DR) site</t>
  </si>
  <si>
    <t>Number of MDAs enrolled in National Data Centre</t>
  </si>
  <si>
    <t xml:space="preserve">Consolidate requirements and enrollment MDAs applications &amp; systems into the Data Centre </t>
  </si>
  <si>
    <t xml:space="preserve">Maintenance of Data Centre Infrastructure &amp; Facilities </t>
  </si>
  <si>
    <t>Awareness Creation</t>
  </si>
  <si>
    <t>E-services</t>
  </si>
  <si>
    <t>Enhance usage of ICT in national development and service delivery</t>
  </si>
  <si>
    <r>
      <t xml:space="preserve">Mainstream ICT in all sectors of the economy and </t>
    </r>
    <r>
      <rPr>
        <sz val="11"/>
        <color rgb="FF000000"/>
        <rFont val="Calibri"/>
        <family val="2"/>
        <scheme val="minor"/>
      </rPr>
      <t>digitize</t>
    </r>
    <r>
      <rPr>
        <sz val="11"/>
        <color theme="1"/>
        <rFont val="Calibri"/>
        <family val="2"/>
        <scheme val="minor"/>
      </rPr>
      <t xml:space="preserve"> service delivery</t>
    </r>
  </si>
  <si>
    <t xml:space="preserve">Frameworks in place to guide interoperability of Government systems </t>
  </si>
  <si>
    <t>Number of frameworks guiding interoperability of Government systems developed</t>
  </si>
  <si>
    <t>Develop Government Enterprise Architecture(GEA) and Interoperability Framework (GIF)</t>
  </si>
  <si>
    <t>MoICT &amp;NG , NITA-U</t>
  </si>
  <si>
    <t>Implement the GEA &amp; GIF across Government</t>
  </si>
  <si>
    <t xml:space="preserve">Creation of awareness, Change management and Capacity building across  Government </t>
  </si>
  <si>
    <t>Develop an Education Enterprise Architecture and Interoperability framework</t>
  </si>
  <si>
    <t>A data sharing and integration platform developed to enhance the delivery of services in government and private sector and operationalized</t>
  </si>
  <si>
    <t>Number of integration platforms</t>
  </si>
  <si>
    <t>Develop a common platform through which data shall be shared between MDAs in a cost effective, secure, harmonized and reliable manner to improve e-service deliver, expedite decision making and implementation of Government Programs.</t>
  </si>
  <si>
    <t>MTIC , ALL MDAs</t>
  </si>
  <si>
    <t>Number of Government and private institutions utilizing the data sharing and integration platform</t>
  </si>
  <si>
    <t xml:space="preserve">Awareness Creation, Change Management and Capacity building </t>
  </si>
  <si>
    <t>Government Public Key Infrastructure (PKI) services developed and enforced</t>
  </si>
  <si>
    <t>Number of e-services enabled for digital signatures</t>
  </si>
  <si>
    <t>Setup the Digital authentication and electronic Signatures Platform and Integrate e-services into the Digital signatures Platform</t>
  </si>
  <si>
    <t>Develop a signing Portal for Digital Signatures</t>
  </si>
  <si>
    <t>Awareness Changement and Capacity building</t>
  </si>
  <si>
    <t>e-Citizens Portal enhanced (e-Services added onto the Portal)</t>
  </si>
  <si>
    <t>Number of public services offered online and accessed through the e-citizens portal</t>
  </si>
  <si>
    <t>Integrate e-services onto the e-Citizens Portal and Create awareness</t>
  </si>
  <si>
    <t>Public and Private institutions supported to review, re-engineer their processes, automate and deliver services online</t>
  </si>
  <si>
    <t>Number of e-services developed/ rolled out</t>
  </si>
  <si>
    <t>Coordinate, develop and expand flagship e-services and rollout e-services across all NDPIII programs</t>
  </si>
  <si>
    <t>All MDAs</t>
  </si>
  <si>
    <t xml:space="preserve">Development of applications for Mobile GOU Container </t>
  </si>
  <si>
    <t>Support MDAs/LGs to review/re-engineer their processes and also in the development of e-solutions</t>
  </si>
  <si>
    <t xml:space="preserve">Change Management, Awareness Creation and Capacity building targeting the general population </t>
  </si>
  <si>
    <t>MoPS</t>
  </si>
  <si>
    <t>Establishment of Regional eGovernment support Service Desk</t>
  </si>
  <si>
    <t>ICT needs assessments in key sectors conducted</t>
  </si>
  <si>
    <t xml:space="preserve">Number of sectors </t>
  </si>
  <si>
    <t>Carry out ICT infrastructure needs assessment /mapping carried in key sectors of Education, Health, Trade and Industry, Gender and Agriculture</t>
  </si>
  <si>
    <t>Unified Messaging and Collaboration System rolled out</t>
  </si>
  <si>
    <t>Number of government institutions enrolled</t>
  </si>
  <si>
    <t xml:space="preserve">Acquire UMCS licences and enroll all Government entities to improve communication and  public service delivery </t>
  </si>
  <si>
    <t>E-payment gateway in place</t>
  </si>
  <si>
    <t>Number of services enabled through the E-payment gateway</t>
  </si>
  <si>
    <t>Rollout of the e-payment Gateway, Security Audit of the e-Payment Gateway</t>
  </si>
  <si>
    <t>SMS gateway in place</t>
  </si>
  <si>
    <t>Sms gateway</t>
  </si>
  <si>
    <t>Rollout of SMS services (USSD, Bulk, Notifications) across MDAs</t>
  </si>
  <si>
    <t>National ICT statistics system</t>
  </si>
  <si>
    <t>National ICT statistics system developed</t>
  </si>
  <si>
    <t>Develop ICT statistics system</t>
  </si>
  <si>
    <t>Strengthen Cyber Security in the country</t>
  </si>
  <si>
    <t xml:space="preserve">National Information Security Framework reviewed and implemented </t>
  </si>
  <si>
    <t xml:space="preserve">Number of government MDAs implementing the National Information Security Framework </t>
  </si>
  <si>
    <t xml:space="preserve">Conduct Assessment of  Institutions on NISF implementation and handhold MDAs in the implementation of the Framework </t>
  </si>
  <si>
    <t>NITAU, UCC, Licenced operators, Private Sector players, Security, KCCA, UPF, agencies</t>
  </si>
  <si>
    <t>National cyber security strategy developed</t>
  </si>
  <si>
    <t xml:space="preserve">National Cyber Security strategy  </t>
  </si>
  <si>
    <t>MOICT&amp; NG</t>
  </si>
  <si>
    <t>Develop the Strategy and implement guidelines for subsector CERTs</t>
  </si>
  <si>
    <t>Coordinate Implementation  of the strategy</t>
  </si>
  <si>
    <t>Computer Emergency Response Teams (CERTs) strengthened</t>
  </si>
  <si>
    <t>Number of CERT services</t>
  </si>
  <si>
    <t xml:space="preserve">Strengthen national CERT/SOC capabilities </t>
  </si>
  <si>
    <t>Proportion of National Cyber Incident Response plan targets achieved</t>
  </si>
  <si>
    <t xml:space="preserve">Strengthen sectoral CERT/SOC capabilities </t>
  </si>
  <si>
    <t xml:space="preserve">Number of empaneled  cybersecurity companies </t>
  </si>
  <si>
    <t>Assessment of cybersecurity companies</t>
  </si>
  <si>
    <t>Number of entities utilizing the National Cyber threat intelligence platform</t>
  </si>
  <si>
    <t>Development and awareness of the National Cyber threat intelligence platform</t>
  </si>
  <si>
    <t xml:space="preserve">Number of services enrolled under the Responsible Disclosure Framework </t>
  </si>
  <si>
    <t>Development and awareness of the Responsible Disclosure Framework</t>
  </si>
  <si>
    <t>Number of trained JLOS staff on the cybercrime investigation and prosecution</t>
  </si>
  <si>
    <t>Design and implementation of re-tooling program for JLOS on cybercrime matters</t>
  </si>
  <si>
    <t>Technical capacity building and support for priority institutions within key sectors to Reach ISO 27001 or similar cybersecurity certification</t>
  </si>
  <si>
    <t>Public Key Infrastructure developed and implemented</t>
  </si>
  <si>
    <t>Number of services enabled for PKI</t>
  </si>
  <si>
    <t>Development and implementation of the Digital Authentication and Electronic Signatures Platform</t>
  </si>
  <si>
    <t>Development of PKI Infrastructure</t>
  </si>
  <si>
    <t>Develop and implement the Data Protection and Privacy Program</t>
  </si>
  <si>
    <t>Develop data protection and Privacy regulations</t>
  </si>
  <si>
    <t>Number of Regulations</t>
  </si>
  <si>
    <t>Develop the Data Protection and Privacy Regulation</t>
  </si>
  <si>
    <t>NITAU, UCC, Private Sector</t>
  </si>
  <si>
    <t xml:space="preserve">Awareness Creation and Sensitization </t>
  </si>
  <si>
    <t>Leverage the existing Government infrastructure to deliver public and private services</t>
  </si>
  <si>
    <t>Services (government &amp; non-government) provided through the postal outlets</t>
  </si>
  <si>
    <t>Number of government services accessed at postal outlets.</t>
  </si>
  <si>
    <t>POSTA</t>
  </si>
  <si>
    <t>New auxiliary services introduced for access at postal outlets</t>
  </si>
  <si>
    <t>MoICT&amp;NG (POSTA)</t>
  </si>
  <si>
    <t>Number of non-government services accessed at postal outlets.</t>
  </si>
  <si>
    <t>Postal outlets well facilitated with the requisite equipment and systems that transforms them into e-service delivery points</t>
  </si>
  <si>
    <t>Number of postal outlets transformed to deliver e-services</t>
  </si>
  <si>
    <t>Service Uganda centers established and equiped</t>
  </si>
  <si>
    <t>Number of Service centers and digital kiosks established</t>
  </si>
  <si>
    <t>MOPS</t>
  </si>
  <si>
    <t>Establish information and service Uganda centers and digital kiosks</t>
  </si>
  <si>
    <t>005 Ministry of Public Service</t>
  </si>
  <si>
    <t>MoLG, POSTA,UCC,MoICT, NITA-U</t>
  </si>
  <si>
    <t>Number of citizens accessing services from the service uganda centers (‘000S)</t>
  </si>
  <si>
    <t>National infrastructure information sharing and coordination platform established</t>
  </si>
  <si>
    <t>Platform in place</t>
  </si>
  <si>
    <t xml:space="preserve">Establish and operationalise a Management and Coordination Tool for a Guided ICT Infrastrucuture roll out in collaboration with utility providers. </t>
  </si>
  <si>
    <t xml:space="preserve">Establish and operationalise a Management Framework for a National Infrastructure Information Sharing and Coordination Tool </t>
  </si>
  <si>
    <t>POSTA,KCCA,NITAU,MWE,MOWT,UNRA,UEDCL,UETCL,MEMD, Private sector</t>
  </si>
  <si>
    <t>New postal services introduced</t>
  </si>
  <si>
    <t>Number of new services introduced</t>
  </si>
  <si>
    <t>Rollout new services that position the Post as an essential infrastructure for the development of the economy</t>
  </si>
  <si>
    <r>
      <t xml:space="preserve">Digitize, archive and </t>
    </r>
    <r>
      <rPr>
        <sz val="11"/>
        <color rgb="FF000000"/>
        <rFont val="Calibri"/>
        <family val="2"/>
        <scheme val="minor"/>
      </rPr>
      <t>commercialize</t>
    </r>
    <r>
      <rPr>
        <sz val="11"/>
        <color theme="1"/>
        <rFont val="Calibri"/>
        <family val="2"/>
        <scheme val="minor"/>
      </rPr>
      <t xml:space="preserve"> Local Content and data</t>
    </r>
  </si>
  <si>
    <t xml:space="preserve">Platforms for digitization and documentation of ongoing government programmes for MDAs &amp;LGs provided </t>
  </si>
  <si>
    <t>Digitised archives (UBC)</t>
  </si>
  <si>
    <t>UBC</t>
  </si>
  <si>
    <t>Develop centralised Archiving systems</t>
  </si>
  <si>
    <t>Digital Repository Infrastructure and Facilities for MDAs &amp; LGs provided</t>
  </si>
  <si>
    <t>Local Content Digital Repository infrastructure</t>
  </si>
  <si>
    <t>Develop Digital Repository Infrastructure and Facilities for MDAs and LGs</t>
  </si>
  <si>
    <t xml:space="preserve">MoICT &amp;NG </t>
  </si>
  <si>
    <t>Local content commercially available</t>
  </si>
  <si>
    <t>Number of web portals</t>
  </si>
  <si>
    <t>Establishment of the regional centre to get additional information</t>
  </si>
  <si>
    <t>Programming that contains Local content (%)</t>
  </si>
  <si>
    <t>Digitize available local content</t>
  </si>
  <si>
    <t>MoICT &amp;NG</t>
  </si>
  <si>
    <t>Nationwide capacity building of local audio visual capacity building of local production industry</t>
  </si>
  <si>
    <t>Implementation of the local content development fund and partnerghips with academia and private sector for commercialization of film products</t>
  </si>
  <si>
    <t>Digitization of delivery platforms for PWDs developed</t>
  </si>
  <si>
    <t>Operational sign language delivery platform in place</t>
  </si>
  <si>
    <t>Digitise delivery platforms for PWDs (sign language, different languages, PWDs digital programmes)</t>
  </si>
  <si>
    <t>Number of different language delivery platforms</t>
  </si>
  <si>
    <t>Developent of Educational platform with Assistive Technologies for all Digital Educational Content</t>
  </si>
  <si>
    <t>An operational PDWs digital educational content platform</t>
  </si>
  <si>
    <t>Deployment of Assitive technologies at PWD Institutions</t>
  </si>
  <si>
    <t>No. of Institutions with Assistive Technologies</t>
  </si>
  <si>
    <t>Development of senstitisation and training programs geared towards enhancing Digital Literacy of PWDs</t>
  </si>
  <si>
    <t>Number of PDWs digital programmes</t>
  </si>
  <si>
    <t xml:space="preserve">Digital Literacy of special interest groups (PWDs, women, youth etc.) </t>
  </si>
  <si>
    <t>Implement the national addressing system</t>
  </si>
  <si>
    <t>GIS addressing and postcode database developed</t>
  </si>
  <si>
    <t>Geocoded national addressing and postcode system</t>
  </si>
  <si>
    <t>Review the national postcode system to upgrade it to a digital layout</t>
  </si>
  <si>
    <t>POSTA,MoICT &amp;NG, NITAU,MOLG,LGs,KCCA</t>
  </si>
  <si>
    <t>Training and awareness on the system</t>
  </si>
  <si>
    <t>National Postcode and Addressing system rolled out</t>
  </si>
  <si>
    <t xml:space="preserve">No of districts </t>
  </si>
  <si>
    <t>Rollout the addressing system to facilitate service delivery (postal, ecommerce, ambulance services, fire brigade, security patrol, tax collection)</t>
  </si>
  <si>
    <t>Research, innovation and ICT skills development</t>
  </si>
  <si>
    <t>Promote ICT research, innovation and commercialization of indigenous knowledge products</t>
  </si>
  <si>
    <t>Develop and implement ICT Research and Innovation ecosystem</t>
  </si>
  <si>
    <t>An internship and placement framework developed</t>
  </si>
  <si>
    <t>Framework in place</t>
  </si>
  <si>
    <t>Develop an internship and placement framework</t>
  </si>
  <si>
    <t>UICT,MOSTI,UCC,NITAU,ACADEMIA,PRIVATE SECTOR</t>
  </si>
  <si>
    <t>Joint research program between Private sector, academia and Governmnent</t>
  </si>
  <si>
    <t>Number of collaborations</t>
  </si>
  <si>
    <t>Collaborate with private sector, academia and government on ICT Research and Innovation</t>
  </si>
  <si>
    <t>UICT,Public and private universitites, Researcher Institutions, private sector, MOSTI, and other MDAs and LGs</t>
  </si>
  <si>
    <t>ICT research agenda developed, implemented and monitored</t>
  </si>
  <si>
    <t>An updated ICT research agenda in place</t>
  </si>
  <si>
    <t>Conduct consultations on ICT research needs and priorities with private sector, academia and government</t>
  </si>
  <si>
    <t>MOSTI, NPA</t>
  </si>
  <si>
    <t>Develop innovation and incubation Centers</t>
  </si>
  <si>
    <t>National ICT park established</t>
  </si>
  <si>
    <t>%age of National ICT Park infrastructure developed</t>
  </si>
  <si>
    <t>Establish supporting Infrastructure for the National ICT Park which include Internet connectivity, Roads and Utilities (Water, Sewerage,  electricity)</t>
  </si>
  <si>
    <t>MOICT ,MOSTI</t>
  </si>
  <si>
    <t>Govenrment owned ICT incubation Hubs established and supported</t>
  </si>
  <si>
    <t>Number of ICT Regional Hubs established by GOU</t>
  </si>
  <si>
    <t xml:space="preserve">Establish and support regional ICT incubation hubs </t>
  </si>
  <si>
    <t>MOSTI,NITAU</t>
  </si>
  <si>
    <t>Privately owned innovation hubs supported</t>
  </si>
  <si>
    <t>No. of hubs supported</t>
  </si>
  <si>
    <t>Support technology transfer, marketing and awareness activities for privately owned innovation hubs</t>
  </si>
  <si>
    <t>MOSTI,NITA-U,UICT,PRIVATE SECTOR, CIVIL SOCIETY, ACADEMIA</t>
  </si>
  <si>
    <t xml:space="preserve">BPO /ITES centres supported </t>
  </si>
  <si>
    <t>Number of centres supported</t>
  </si>
  <si>
    <t>Extension of connectivity &amp; provision of Bandwidth to the BPO centers</t>
  </si>
  <si>
    <t>MOICT</t>
  </si>
  <si>
    <t>Enterprenuership and Incubation programmes developed</t>
  </si>
  <si>
    <t>No of  Enteteprenuership and Incubation Programmes Developed and Implemented</t>
  </si>
  <si>
    <t>MoICT&amp; NG (UICT)</t>
  </si>
  <si>
    <t xml:space="preserve">Promotion of the BPO/ITES Industry </t>
  </si>
  <si>
    <t xml:space="preserve">Establish BPO/ITES Regional Centres </t>
  </si>
  <si>
    <t>Capacity building on BPO/ITES Global standards</t>
  </si>
  <si>
    <t xml:space="preserve">Development of Enteteprenuership and Incubation Programmes </t>
  </si>
  <si>
    <t>MoICT&amp;NG (UICT)</t>
  </si>
  <si>
    <t>Establish partnerships with Industry and Academia</t>
  </si>
  <si>
    <t>No of MoUs signed</t>
  </si>
  <si>
    <t>Development of partnerships with Industry and Academia</t>
  </si>
  <si>
    <t>Support local innovation and promote export of knowledge products</t>
  </si>
  <si>
    <t>Local ICT products developed</t>
  </si>
  <si>
    <t>No. of Innovations supported by Government and commercialized</t>
  </si>
  <si>
    <t>Support development and commercialisation of local ICT products including those for women and PWDs</t>
  </si>
  <si>
    <t>MTIC, MOSTI</t>
  </si>
  <si>
    <t>No. of innovators hosted in the GOU ICT innovation hubs</t>
  </si>
  <si>
    <t>Facilitate innovators on GOU ICT Innovation Hubs and capacity building</t>
  </si>
  <si>
    <t>URSB, MOSTI, NITA-U, UCC</t>
  </si>
  <si>
    <t>Export of knowledge products promoted</t>
  </si>
  <si>
    <t>Number of ICT exports promotion campaigns conducted</t>
  </si>
  <si>
    <t>Promote export of knowledge products through trade expos, trade missions</t>
  </si>
  <si>
    <t>UEPB, MTIC, Private Sector Associations</t>
  </si>
  <si>
    <t>Local digital media content products</t>
  </si>
  <si>
    <t>Promote local manufacturing and assembly of ICT products</t>
  </si>
  <si>
    <t xml:space="preserve">Local assembly plants supported </t>
  </si>
  <si>
    <t>No. of partnerships with manufacturing companies signed</t>
  </si>
  <si>
    <t>Collaborate with private sector and partner in developed of local assembly plants</t>
  </si>
  <si>
    <t>Local Manufacturing promoted</t>
  </si>
  <si>
    <t xml:space="preserve">No. of companies supported </t>
  </si>
  <si>
    <t>Provide incentives to local manufacturers</t>
  </si>
  <si>
    <t>MoICT&amp;NG, UCC, NITA, MSTI, PRIVATE SECTOR</t>
  </si>
  <si>
    <t>Undertake innovative management of e-waste</t>
  </si>
  <si>
    <t>Regional e-waste collection centres established</t>
  </si>
  <si>
    <t>E-waste Database in Place</t>
  </si>
  <si>
    <t>Development and maintenance of an e-waste Database</t>
  </si>
  <si>
    <t>Moh,UPF,MoLG</t>
  </si>
  <si>
    <t>Number of regional collection centres established</t>
  </si>
  <si>
    <t>Establish collection centres and set up transportation mechanisms</t>
  </si>
  <si>
    <t>MOICT&amp;NG, MoH, UPF, MoLG, MoWE</t>
  </si>
  <si>
    <t xml:space="preserve">Increase the ICT human resource capital </t>
  </si>
  <si>
    <t>Develop a well-grounded ICT professional workforce</t>
  </si>
  <si>
    <t>Develop a National Digital Skills Framework</t>
  </si>
  <si>
    <t>Digital skills framework developed</t>
  </si>
  <si>
    <t>Conduct a survey on existing skills at the different levels to identify gaps, hold stakeholder engagements and prepare a digital skills framework</t>
  </si>
  <si>
    <t>MOSTI</t>
  </si>
  <si>
    <t>ICT training for professionally certified courses and specialized short courses carried  carried out at UICT</t>
  </si>
  <si>
    <t>Number of participants trained</t>
  </si>
  <si>
    <t>UICT</t>
  </si>
  <si>
    <t>Conduct ICT training needs assessment</t>
  </si>
  <si>
    <t>MoICT &amp; NG, MoES, NCDC, NCHE, ACADEMIA</t>
  </si>
  <si>
    <t>Conduct Curriculum Review</t>
  </si>
  <si>
    <t>Course design</t>
  </si>
  <si>
    <t>Government ICT officers trained</t>
  </si>
  <si>
    <t>No. of  Government officers trained in ICT Related short courses</t>
  </si>
  <si>
    <t>Identification and Mobilisation of Government officers</t>
  </si>
  <si>
    <t>Designing Course manuals, Course scheduling and delivery, Course evaluation and Review</t>
  </si>
  <si>
    <t>Basic ICT competencies established in the public service</t>
  </si>
  <si>
    <t>Number of cadres with an approved ICT requirements specificaton</t>
  </si>
  <si>
    <t>Identify ICT competence requirements by cadre</t>
  </si>
  <si>
    <t>UICT, MOICT, Civil Service College, Public Universities</t>
  </si>
  <si>
    <t>Collaborative framework developed</t>
  </si>
  <si>
    <t>Develop a collaborative framework for training of Public Service officers</t>
  </si>
  <si>
    <t>Percentage of officers in Public Service with basic ICT competencies</t>
  </si>
  <si>
    <t>Continous training and assessment of Public Officers</t>
  </si>
  <si>
    <t>Develop an ICT professional’s quality assurance framework</t>
  </si>
  <si>
    <t>Certification framework to regulate ICT professional standards developed</t>
  </si>
  <si>
    <t xml:space="preserve">No. of ICT products and service providers certified  </t>
  </si>
  <si>
    <t xml:space="preserve">Certify ICT Products and service providers </t>
  </si>
  <si>
    <t>Provide digital literacy training</t>
  </si>
  <si>
    <t>Communities &amp; SMEs trained in digital literacy</t>
  </si>
  <si>
    <t>No. of communities &amp; SMEs trained in digital literacy</t>
  </si>
  <si>
    <t>Identification and Mobilisation of community groups and SMEs</t>
  </si>
  <si>
    <t>MoICT &amp; NG, UICT, UCC, NITA-U, MOSTI, NCHE ACADEMIA</t>
  </si>
  <si>
    <t>No. of participants</t>
  </si>
  <si>
    <t>Designing Course manuals, Course scheduling and delivery</t>
  </si>
  <si>
    <t>No. of courses developed</t>
  </si>
  <si>
    <t>Train communities and SMEs in digital literacy</t>
  </si>
  <si>
    <t>No  PWD groups trained</t>
  </si>
  <si>
    <t>Awarness and empowerment of women and girl child for use of ICT products</t>
  </si>
  <si>
    <t>e-training programmes developed</t>
  </si>
  <si>
    <t>No. of e-training programmes</t>
  </si>
  <si>
    <t>Conduct a needs assessment and develop e-training programmes on digital literacy</t>
  </si>
  <si>
    <t>Inclusive awareness campaigns on the ICTs and 4IR opportunities and risks</t>
  </si>
  <si>
    <t>No of campaigns conducted</t>
  </si>
  <si>
    <t>Conduct awareness campaigns on the ICTs and 4IR opportunities and risks                                                                   Awarness and empowerment of women and girl child for use of ICT products</t>
  </si>
  <si>
    <r>
      <t xml:space="preserve">Develop ICT centres of excellence and vocational </t>
    </r>
    <r>
      <rPr>
        <sz val="11"/>
        <color theme="1"/>
        <rFont val="Calibri"/>
        <family val="2"/>
        <scheme val="minor"/>
      </rPr>
      <t>institutions</t>
    </r>
    <r>
      <rPr>
        <sz val="11"/>
        <color rgb="FF000000"/>
        <rFont val="Calibri"/>
        <family val="2"/>
        <scheme val="minor"/>
      </rPr>
      <t xml:space="preserve">  </t>
    </r>
  </si>
  <si>
    <t>Specialized training programmes conducted at UICT</t>
  </si>
  <si>
    <t>No of specialized programs conducted</t>
  </si>
  <si>
    <t>Conduct specialised ICT training programmes</t>
  </si>
  <si>
    <t>MoICT &amp; NG, MOSTI, UCC, MoES, NCHE</t>
  </si>
  <si>
    <t>No. of partnerships</t>
  </si>
  <si>
    <t>Pursue representation of UICT on joint admission board</t>
  </si>
  <si>
    <t>Business Development Centre operationalised</t>
  </si>
  <si>
    <t>No. of business consultancies conducted</t>
  </si>
  <si>
    <t>Business consultancy conducted</t>
  </si>
  <si>
    <t>4IR lab etablished</t>
  </si>
  <si>
    <t>4IR lab</t>
  </si>
  <si>
    <t>Establish 4IR lab with latest equipment and software such as 3D printers, testing tools for 5G design, new drone technology, nano technology</t>
  </si>
  <si>
    <t>Enhance the capacity of the institute to support specialised ICT training</t>
  </si>
  <si>
    <t>No. of labs upgraded and equipped</t>
  </si>
  <si>
    <t>Upgrading 5 specialised labs</t>
  </si>
  <si>
    <t>No. of lecture rooms equipped with smart technology</t>
  </si>
  <si>
    <t>Equip lecture rooms with smart technology</t>
  </si>
  <si>
    <t>No. of virtual labs established</t>
  </si>
  <si>
    <t>Establish virtual labs at UICT</t>
  </si>
  <si>
    <t>ICT vocational training including 4IRs supported and ICT practical training enhanced</t>
  </si>
  <si>
    <t>No of Vocational training institutions supported</t>
  </si>
  <si>
    <t xml:space="preserve">labs in teacher training colleges, equiping, connecting to internet </t>
  </si>
  <si>
    <t>MOICT, NCDC, NCHE, UICT, ACADEMIA</t>
  </si>
  <si>
    <t>Review and implement ICT training curriculum at all levels of Education system in line with the emerging technologies</t>
  </si>
  <si>
    <t>Relevant Curriculum developed.</t>
  </si>
  <si>
    <t>National ICT curriculum reviewed</t>
  </si>
  <si>
    <t>NCHE, MOES</t>
  </si>
  <si>
    <t>Digital Skills Curricula developed for the various levels of learning (Tertially, Secondary, Pre-Primary, Primary, Early Chuldhood) in line with the UNESCO ICT competency Framework</t>
  </si>
  <si>
    <t>Percentage of educational institutions that adopted blended learning/ODeL curricula in each level</t>
  </si>
  <si>
    <t>MOES</t>
  </si>
  <si>
    <t>Review curriculla for blended learning/ODeL delivery at all schooling levels</t>
  </si>
  <si>
    <t>Develop digital skills curricula for each schooling levels</t>
  </si>
  <si>
    <t>Implement targeted capacity building for teachers to incorporate ICT in Pedagogy</t>
  </si>
  <si>
    <t>Teachers, tutors, instructors and lecturers trained in ICT skills</t>
  </si>
  <si>
    <t>No. of teachers, tutors, instructors and lecturers trained in ICT skills</t>
  </si>
  <si>
    <t>Train 55% of all teachers, tutors, instructors and lecturers in ICT skills by 2025 taking into consideration the gender parity.</t>
  </si>
  <si>
    <t>Enabling Environment</t>
  </si>
  <si>
    <t>Strengthen the policy, legal and regulatory framework</t>
  </si>
  <si>
    <t>Regulate, coordinate and harmonize ICT infrastructure planning, sharing and deployment within the public and private sector</t>
  </si>
  <si>
    <t>Framework for a coordinated rollout of ICT infrastructure and services  established</t>
  </si>
  <si>
    <t>National strategy for implementation of digital-services</t>
  </si>
  <si>
    <t>Develop the national strategy for implementation of digital-services</t>
  </si>
  <si>
    <t>MoICT&amp;NG, NITAU, UCC, PRIVATE SECTOR, ACADEMIA, NEMA, MWE, LGs</t>
  </si>
  <si>
    <t>ICT Infrastructure Master Plan</t>
  </si>
  <si>
    <t xml:space="preserve">Develop and implement ICT Infrastructure Master Plan (Assessment of existing infrastructure, development of infrastructure blueprint, identification and plan for existing gaps) </t>
  </si>
  <si>
    <t>Framework for deployment of broadband as a public utility in place</t>
  </si>
  <si>
    <t>Develop and review of frameworks for broadband as a public utility</t>
  </si>
  <si>
    <t>National internet  infrastructure coordinated</t>
  </si>
  <si>
    <t xml:space="preserve"> National Internet Exchange Point in place</t>
  </si>
  <si>
    <t>Equipment, develop operational and governance frameworks, stakeholder engagements, consultancy, equipments, staff</t>
  </si>
  <si>
    <t>CCTLD Government oversight framework reviewed &amp; implemented</t>
  </si>
  <si>
    <t>Equipment, institutional frameworks/ governance established, staff to manage</t>
  </si>
  <si>
    <t>Environment and human safety ensured</t>
  </si>
  <si>
    <t>Number of e-waste  management frameworks</t>
  </si>
  <si>
    <t>Review the policy and strategy, guidelines and develop and e-waste management framework, stakeholder engagements, drafting</t>
  </si>
  <si>
    <t xml:space="preserve">Review and develop appropriate policies, strategies, standards and regulations that respond to industry needs </t>
  </si>
  <si>
    <t>Policies, strategies, standards and regulations developed/reviewed</t>
  </si>
  <si>
    <t>E-commerce strategy developed</t>
  </si>
  <si>
    <t>Develop the E-commerce strategy</t>
  </si>
  <si>
    <t>Postal policy reviewed</t>
  </si>
  <si>
    <t>Review the postal policy</t>
  </si>
  <si>
    <t>National 4IRs strategies and frameworks developed</t>
  </si>
  <si>
    <t>Develop the national 4IRs strategies and frameworks</t>
  </si>
  <si>
    <t>National addressing and postcode policy developed</t>
  </si>
  <si>
    <t>Develop the national addressing and postcode policy</t>
  </si>
  <si>
    <t>National ICT Professionals’ Act developed</t>
  </si>
  <si>
    <t>Develop the national ICT Professionals’ Act</t>
  </si>
  <si>
    <t>Local ICT manufacturing and assembly policy developed</t>
  </si>
  <si>
    <t>Develop the local ICT manufacturing and assembly policy (carryout regulatory impact assessments, hold stakeholder engagements, draft policies and production)</t>
  </si>
  <si>
    <t>e-government law trained</t>
  </si>
  <si>
    <t>Carry out benchmarking activities, regulatory impact assessments to inform the process
Develop the e-government law</t>
  </si>
  <si>
    <t>MOICT &amp; NG,UCC,NITAU</t>
  </si>
  <si>
    <t>ICT policy reviewed</t>
  </si>
  <si>
    <t>Review the ICT policy to address emerging trends</t>
  </si>
  <si>
    <t>National data protection and privacy regulations developed</t>
  </si>
  <si>
    <t>Develop the national data protection and privacy regulations (stakeholder engagements, drafting, production of reports)</t>
  </si>
  <si>
    <t>Spectrum management policy developed</t>
  </si>
  <si>
    <t>Develop a spectrum management policy</t>
  </si>
  <si>
    <t>Broadcasting policy reviewed</t>
  </si>
  <si>
    <t>Review the broadcasting policy</t>
  </si>
  <si>
    <t>National ICT Incubation strategy developed</t>
  </si>
  <si>
    <t>Develop and implement a National ICT Incubation strategy</t>
  </si>
  <si>
    <t>BPO/ ITES strategy reviewed</t>
  </si>
  <si>
    <t>Review the BPO/ ITES strategy</t>
  </si>
  <si>
    <t>ICT research, innovation and development policy and strategy developed</t>
  </si>
  <si>
    <t>Develop ICT research, innovation and development policy and strategy</t>
  </si>
  <si>
    <t>Analog to Digital Migration policy reviewed</t>
  </si>
  <si>
    <t>Review the Analog to Digital Migration policy</t>
  </si>
  <si>
    <t>ICT related laws to harmonise ICT Infrastructure reviewed</t>
  </si>
  <si>
    <t>Review ICT related laws to harmonise ICT Infrastructure</t>
  </si>
  <si>
    <t>Number of standards, regulations and guidelines developed</t>
  </si>
  <si>
    <t>Develop ICT Standards and Guidelines</t>
  </si>
  <si>
    <t>MOICT, NITA-U</t>
  </si>
  <si>
    <t>Integrated Transport Infrastructure and Services</t>
  </si>
  <si>
    <t>09X</t>
  </si>
  <si>
    <t>093</t>
  </si>
  <si>
    <t>Transport Infrastructure and Services Development</t>
  </si>
  <si>
    <t>0931</t>
  </si>
  <si>
    <t xml:space="preserve">Optimize transport infrastructure and services investment across all modes </t>
  </si>
  <si>
    <t>093101</t>
  </si>
  <si>
    <t xml:space="preserve">Implement an integrated multi-modal transportation hub (air, rail, road, water) </t>
  </si>
  <si>
    <t>09310101</t>
  </si>
  <si>
    <t>Public transport hubs developed</t>
  </si>
  <si>
    <t>Number of train/ tram stations built</t>
  </si>
  <si>
    <t>URC</t>
  </si>
  <si>
    <t>Construction of train stations</t>
  </si>
  <si>
    <t>MoWT (URC)</t>
  </si>
  <si>
    <t>016 Ministry of Works and Transport</t>
  </si>
  <si>
    <t>Number of bus terminals constructed in MKCCA&amp;MA</t>
  </si>
  <si>
    <t xml:space="preserve">MKCC&amp;MA, MoWT  </t>
  </si>
  <si>
    <t>Construction of bus terminals in MKCCA &amp; MA</t>
  </si>
  <si>
    <t>MoKCC&amp;MA</t>
  </si>
  <si>
    <t>024 Minstry of Kampala Capital City and Metropolitan Affairs</t>
  </si>
  <si>
    <t>MoWT, KCCA, UNRA</t>
  </si>
  <si>
    <t>%ge of civil works for rehabilitation and expansion of Entebbe Int. Airport</t>
  </si>
  <si>
    <t>UCAA</t>
  </si>
  <si>
    <t xml:space="preserve">Rehabilitation and expansion of Entebbe Int. Airport </t>
  </si>
  <si>
    <t>MoWT (UCAA)</t>
  </si>
  <si>
    <t>No. of LPG train wagons acquired</t>
  </si>
  <si>
    <t>Acquire LPG wagons</t>
  </si>
  <si>
    <t>No. of landing sites or jetties (Gaba, Bule, Butebo, Nakiwogo and Lutoboka) constructed</t>
  </si>
  <si>
    <t>MWT</t>
  </si>
  <si>
    <t>Construction of landing sites or jetties ( Gaba, Bule, Butebo, Nakiwogo and Lutoboka)</t>
  </si>
  <si>
    <t xml:space="preserve">                   - </t>
  </si>
  <si>
    <t>No. of landing sites or jetties [BKK (3 no), Sigulu (3no), Wanseko, Bunyonyi, Kalangala (4no), Koome (4no), Kasensero] rehabilitated</t>
  </si>
  <si>
    <t>UNRA</t>
  </si>
  <si>
    <t>Construct or rehabilitate landing sites or jetties [BKK (3 no), Sigulu (3no), Wanseko, Bunyonyi, Kalangala (4no), Koome (4no), Kasensero]</t>
  </si>
  <si>
    <t>113 Uganda National Roads Authority</t>
  </si>
  <si>
    <t>Existing ferry Infrastructure (Zengebe, Namasale, Panyimur, Kiyindi, Bisina, Obongi, Lake Victoria Slipway) upgraded</t>
  </si>
  <si>
    <t>Upgrade existing ferry Infrastructure (Zengebe, Namasale, Panyimur, Kiyindi, Bisina, Obongi, Lake Victoria Slipway)</t>
  </si>
  <si>
    <t>Pilot public transport service on water ways between Kampala- Entebbe – Jinja introduced</t>
  </si>
  <si>
    <t>Introduction of a pilot public transport service on water ways between Kampala- Entebbe - Jinja</t>
  </si>
  <si>
    <t>MOWT</t>
  </si>
  <si>
    <t>Private Sector</t>
  </si>
  <si>
    <t>No. of logistics hubs developed</t>
  </si>
  <si>
    <t>Develop Gulu Logistics hubs</t>
  </si>
  <si>
    <t>09310102</t>
  </si>
  <si>
    <t>Bankable projects developed</t>
  </si>
  <si>
    <t>Number of feasibility studies and detailed designs prepared</t>
  </si>
  <si>
    <t>Undertake feasibility studies, generate detailed designs for road network in GKMA up to 334km</t>
  </si>
  <si>
    <t>Undertake feasibility studies, generate detailed designs for road network outside GKMA</t>
  </si>
  <si>
    <t>09310103</t>
  </si>
  <si>
    <t>Land For Right of Way secured</t>
  </si>
  <si>
    <t>Number of MoUs/land agreements with land owners for RoW secured</t>
  </si>
  <si>
    <t>MKCC&amp; MA</t>
  </si>
  <si>
    <t>Negotiate/demarcate RoW corridors for the roads network in GKMA up to 334km</t>
  </si>
  <si>
    <t>UNRA, MoLHUD, MoKCC&amp;MA</t>
  </si>
  <si>
    <t>Number MoU agreements signed for RoW in GKMA</t>
  </si>
  <si>
    <t xml:space="preserve">Stakeholder dialogue and consultations with communities for RoW </t>
  </si>
  <si>
    <t>09310104</t>
  </si>
  <si>
    <t>Roads connecting GKMA upgraded</t>
  </si>
  <si>
    <t>Number of km of roads upgraded in GKMA</t>
  </si>
  <si>
    <t>Upgrade roads network for connectivity in GKMA up to 334km</t>
  </si>
  <si>
    <t>09310105</t>
  </si>
  <si>
    <t>Mukono-Ssisa satellite city road completed</t>
  </si>
  <si>
    <t>No. of km of road to Mukono-Ssisa satellite city improved to link with KCCA-15kms</t>
  </si>
  <si>
    <t>Upgrade road to Mukono-Ssisa satellite city to link with KCCA-15kms</t>
  </si>
  <si>
    <t>09310106</t>
  </si>
  <si>
    <t>Bridge constructed</t>
  </si>
  <si>
    <t>Level of progress (%) on projects completion[6]</t>
  </si>
  <si>
    <t>Construction of bridge from Nakiwogo to Buwaya (0.5km) connecting Kasanje to Entebbe Airport (design &amp; build)</t>
  </si>
  <si>
    <t>09310107</t>
  </si>
  <si>
    <t>Named streets in GKMA</t>
  </si>
  <si>
    <t>Proportion of streets named in GKMA area, %</t>
  </si>
  <si>
    <t xml:space="preserve">Street naming/ numbering </t>
  </si>
  <si>
    <t>09310108</t>
  </si>
  <si>
    <t>KCCA Roads and junctions improved</t>
  </si>
  <si>
    <t>Number of km of KCCA roads improved (KCCA)</t>
  </si>
  <si>
    <t>KCCA</t>
  </si>
  <si>
    <t xml:space="preserve">Upgrade roads and Junction improvement/ include signalization on KCCA roads </t>
  </si>
  <si>
    <t>122 Kampala Capital City Authority</t>
  </si>
  <si>
    <t>Number of km of KCCA roads improved (UNRA)</t>
  </si>
  <si>
    <t>Junction improvement/ including signalization on national roads (4 junctions (Kireka, Bweyogerere, Seeta, Mukono)</t>
  </si>
  <si>
    <t>093102</t>
  </si>
  <si>
    <t>Construct, upgrade and climate proof strategic transport infrastructure (tourism, oil, minerals and agriculture)</t>
  </si>
  <si>
    <t>09310201</t>
  </si>
  <si>
    <t>Climate proof strategic transport infrastructure constructed and upgraded.</t>
  </si>
  <si>
    <t>Km of strategic roads upgraded</t>
  </si>
  <si>
    <t>Upgrade strategic roads from gravel to bituminous surface</t>
  </si>
  <si>
    <t>Percentage of civil works constructed at Kabaale Airport</t>
  </si>
  <si>
    <t>Construct Kabaale International Airport</t>
  </si>
  <si>
    <t>UNRA, MEMD</t>
  </si>
  <si>
    <t>Percentage of progress of operationalization</t>
  </si>
  <si>
    <t>Operationalise the Hoima International airport (Kabaale)</t>
  </si>
  <si>
    <t xml:space="preserve">Number aerodromes rehabilitated and upgraded </t>
  </si>
  <si>
    <t>UCAA, MWT</t>
  </si>
  <si>
    <t>% of civil works of strategic airports/ aerodromes rehabilitated and upgraded (Kasese)</t>
  </si>
  <si>
    <t xml:space="preserve">Kasese </t>
  </si>
  <si>
    <t>% of civil works of strategic airports/ aerodromes rehabilitated and upgraded (Arua)</t>
  </si>
  <si>
    <t>Arua</t>
  </si>
  <si>
    <t>% of civil works of strategic airports/ aerodromes rehabilitated and upgraded (Gulu)</t>
  </si>
  <si>
    <t>Gulu</t>
  </si>
  <si>
    <t>% of civil works of strategic airports/ aerodromes rehabilitated and upgraded (Kidepo)</t>
  </si>
  <si>
    <t>Kidepo</t>
  </si>
  <si>
    <t>% of civil works of strategic airports/ aerodromes rehabilitated and upgraded (Pakuba)</t>
  </si>
  <si>
    <t>Pakuba</t>
  </si>
  <si>
    <t>% of civil works of strategic airports/ aerodromes rehabilitated and upgraded (Mbarara)</t>
  </si>
  <si>
    <t>Mbarara</t>
  </si>
  <si>
    <t>No.of international airports rehabilitaed</t>
  </si>
  <si>
    <t>Rehabilitate International airport</t>
  </si>
  <si>
    <t>No of aviation academies maintained</t>
  </si>
  <si>
    <t>Rehabilitate and maintain aviation academies</t>
  </si>
  <si>
    <t>Km of MGR Rehabilitated (Kampala – Malaba)</t>
  </si>
  <si>
    <t xml:space="preserve">Rehabilitate Kampala-Malaba MGR line </t>
  </si>
  <si>
    <t>Number of PAPs for the Tororo-Gulu MGR line  compensated</t>
  </si>
  <si>
    <t xml:space="preserve">Compensate the PAPs for the Tororo-Gulu MGR line  </t>
  </si>
  <si>
    <t>Km of Tororo - Gulu MGR Line Rehabilitated</t>
  </si>
  <si>
    <t>Rehabilitate Tororo - Gulu MGR Line</t>
  </si>
  <si>
    <t>Km of Gulu -Pakwach MGR rehabilitated and develop an inland port on L. Albert</t>
  </si>
  <si>
    <t>Rehabilitate Gulu -Pakwach MGR and develop an inland port on L. Albert</t>
  </si>
  <si>
    <t>Km of civil works for Tororo - Gulu MGR Line supervised</t>
  </si>
  <si>
    <t>Supervision of civil works for Tororo - Gulu MGR Line</t>
  </si>
  <si>
    <t>Kms of Kampala- Kasese MGR Line reconstructed</t>
  </si>
  <si>
    <t xml:space="preserve">Reconstruction of Kampala- Kasese MGR Line </t>
  </si>
  <si>
    <t>Number of PAPs compensated for the Bukasa Port</t>
  </si>
  <si>
    <t xml:space="preserve">Compensate the PAPs for the Bukasa Port </t>
  </si>
  <si>
    <t>% of civil works for inland Ports constructed Bukasa Port </t>
  </si>
  <si>
    <t>Construction of Bukasa Port </t>
  </si>
  <si>
    <t>% of civil works for inland Ports constructed L.Albert Port</t>
  </si>
  <si>
    <t>Construction of Lake Albert Port</t>
  </si>
  <si>
    <t>% of civil works for ship yard and floating dock at Bukasa Port</t>
  </si>
  <si>
    <t xml:space="preserve">Construction of the ship yard &amp; Floating dock  </t>
  </si>
  <si>
    <t>093103</t>
  </si>
  <si>
    <t>Increase capacity of existing transport infrastructure and services</t>
  </si>
  <si>
    <t>09310301</t>
  </si>
  <si>
    <t>Capacity of existing transport infrastructure and services increased.</t>
  </si>
  <si>
    <t>Kms of road dueled (Northern Bypass, Kampala - Mukono, Zana - Kajansi and Bwaise - Matuga)</t>
  </si>
  <si>
    <t>Dualing of roads (Northern Bypass, Kampala - Mukono, Zana - Kajansi and Bwaise - Matuga)</t>
  </si>
  <si>
    <t xml:space="preserve">                            - </t>
  </si>
  <si>
    <t>MKCC&amp;MA</t>
  </si>
  <si>
    <t>No. of road junctions improved</t>
  </si>
  <si>
    <t>Improvement of road junctions</t>
  </si>
  <si>
    <t>No. of high  capacity public passenger vehicles added</t>
  </si>
  <si>
    <t>KCCA &amp; MoWT</t>
  </si>
  <si>
    <t>High capacity public passenger  vehicles added</t>
  </si>
  <si>
    <t>No of Aircraft Procured /purchased (UNACOL)</t>
  </si>
  <si>
    <t xml:space="preserve">UNACOL  </t>
  </si>
  <si>
    <t>Acquisition of aircrafts</t>
  </si>
  <si>
    <t>MoWT (UNACOL)</t>
  </si>
  <si>
    <t>No of Aircraft Procured /purchased (EACAA)</t>
  </si>
  <si>
    <t>EACAA</t>
  </si>
  <si>
    <t>MoWT (EACAA)</t>
  </si>
  <si>
    <t>No of personnel trained at Railway training Institute</t>
  </si>
  <si>
    <t>Training of personnel</t>
  </si>
  <si>
    <t xml:space="preserve">No. of railway platforms improved </t>
  </si>
  <si>
    <t>3[9]</t>
  </si>
  <si>
    <t>Upgrade of railway platforms</t>
  </si>
  <si>
    <t>No. of railway stations (Mukono, Namanve, Bujuuko &amp; Kyengera) constructed</t>
  </si>
  <si>
    <t>Rehabilitation of passenger train stations (Mukono, Namanve, Bujuuko &amp; Kyengera)</t>
  </si>
  <si>
    <t>Number of existing train coaches rehabilitated</t>
  </si>
  <si>
    <t>Rehabilitation of existing train coaches</t>
  </si>
  <si>
    <t>Number of locomotives rehabilitated</t>
  </si>
  <si>
    <t>Rehabilitate locomotives</t>
  </si>
  <si>
    <t>Number of railway coaches acquired</t>
  </si>
  <si>
    <t>Procurement and use of railway coaches</t>
  </si>
  <si>
    <t>Number of coaches/ locomotives/ wagons acquired</t>
  </si>
  <si>
    <t>Procurement and use of railway wagons/coaches</t>
  </si>
  <si>
    <t>No. of regional workshops upgraded</t>
  </si>
  <si>
    <t xml:space="preserve">MoWT </t>
  </si>
  <si>
    <t xml:space="preserve">Refurbishment of mechanical Workshops </t>
  </si>
  <si>
    <t>No. of Zonal Centers established and equipped</t>
  </si>
  <si>
    <t>Establishment of Zonal Centers and equipping them</t>
  </si>
  <si>
    <t>Percent availability of district and zonal equipment</t>
  </si>
  <si>
    <t>Pre and post repair road equipment condition assessment, procurement of spares parts and repair services.</t>
  </si>
  <si>
    <t>No of road equipment units added</t>
  </si>
  <si>
    <t>Procure new road equipment</t>
  </si>
  <si>
    <t xml:space="preserve">No of Operator training schools established </t>
  </si>
  <si>
    <t xml:space="preserve">Construction of training center, furnishing and operationalizing it. </t>
  </si>
  <si>
    <t>Percentage of works  for establishment of a Master vehicle testing center completed</t>
  </si>
  <si>
    <t xml:space="preserve">Establish and operationalize the master vehicle testing center for government vehicles </t>
  </si>
  <si>
    <t>No. of road equipment rehabilitated</t>
  </si>
  <si>
    <t>Rehabilitation of road equipment</t>
  </si>
  <si>
    <t>Percent availability of protocol fleet</t>
  </si>
  <si>
    <t>Maintenance of the protocol fleet, coordination of  National functions</t>
  </si>
  <si>
    <t>Percent availability of ministry vehicles</t>
  </si>
  <si>
    <t>Repair and maintenance of government vehicles</t>
  </si>
  <si>
    <t>No. of new bailey/compact panel bridges acquired</t>
  </si>
  <si>
    <t>Procurement of bailey/compact panel bridges</t>
  </si>
  <si>
    <t>% of works for establishment of an engineering plant and equipment Remanufacturing center completed</t>
  </si>
  <si>
    <t xml:space="preserve">Pre-feasibility studies and designs, acquisition of land, Construction of the Remanufacturing center, equipment installation </t>
  </si>
  <si>
    <t>No. of existing ferries (Buvuma, Ferry Machinery) rehabilitated</t>
  </si>
  <si>
    <t>Rehabilitate existing  ferries (Buvuma, Ferry Machinery)</t>
  </si>
  <si>
    <t>No of ferries added (Sigulu, 2no BKK, 2no Bunyonyi, 1 no Nakiwogo, 1no Kalangala, 1no Koome 1no)</t>
  </si>
  <si>
    <t>Procurement and operationalization of ferries (Sigulu, 2no BKK, 2no Bunyonyi, 1 no Nakiwogo, 1no Kalangala, 1no Koome 1no)</t>
  </si>
  <si>
    <t>No. of wagon ferries added</t>
  </si>
  <si>
    <t>Procurement of wagon ferries</t>
  </si>
  <si>
    <t>percentage of civil works for EACAA infrastructure[10] upgraded</t>
  </si>
  <si>
    <t>Upgrade EACAA infrastructure (lecture hall/auditorium &amp;aviation library)</t>
  </si>
  <si>
    <t>Percentage equivalent of civil works undertaken on the One Stop Centre Building for Driver Licensing, Motor Vehicle registration</t>
  </si>
  <si>
    <t xml:space="preserve">Construction of the One Stop Centre Building for Driver Licensing, Motor Vehicle registration </t>
  </si>
  <si>
    <t>Number of Search and Rescue (SAR) centers constructed and equipped</t>
  </si>
  <si>
    <t>Construct and equip Search and Rescue (SAR) centers</t>
  </si>
  <si>
    <t>Number of navigable water bodies surveyed and charted[11]</t>
  </si>
  <si>
    <t>1[12]</t>
  </si>
  <si>
    <t>1[13]</t>
  </si>
  <si>
    <t>(3) Lake Victoria, Kyoga, R. Nile</t>
  </si>
  <si>
    <t>(5) Lake Bunyonyi, Albert, Bisina</t>
  </si>
  <si>
    <t>Edward, &amp; George</t>
  </si>
  <si>
    <t>Conduct hydrographic survey and produce navigation charts of Lakes Victoria, Kyoga, Bunyonyi, Albert, Bisina, Edward, George and R. Nile</t>
  </si>
  <si>
    <t>No. of Aids to Navigation installed and Maintained</t>
  </si>
  <si>
    <t>Install and maintain Aids to Navigation (AToNs)</t>
  </si>
  <si>
    <t>Number of SAR boats acquired</t>
  </si>
  <si>
    <t>Acquire SAR boats</t>
  </si>
  <si>
    <t>Percentage of Regional Driver testing centres developed</t>
  </si>
  <si>
    <t xml:space="preserve">Development of Regional Driver testing centres </t>
  </si>
  <si>
    <t>Percentage of Regional Driver testing training and testing system developed</t>
  </si>
  <si>
    <t>Development of an automated driver training and testing system</t>
  </si>
  <si>
    <t>093104</t>
  </si>
  <si>
    <t>Implement an inclusive mass rapid transport system ((LRT), BRT and cable cars)</t>
  </si>
  <si>
    <t>09310401</t>
  </si>
  <si>
    <t>Mass rapid Transport Systems (LRT, BRT, MRT) developed</t>
  </si>
  <si>
    <t>% of project preparation  of LRT project[14]</t>
  </si>
  <si>
    <t xml:space="preserve">                               - </t>
  </si>
  <si>
    <t>Preparation of Feasibility study on  LRT project</t>
  </si>
  <si>
    <t>MoKCC&amp;MA, URC</t>
  </si>
  <si>
    <t>% of physical works on  BRT system developed</t>
  </si>
  <si>
    <t>Review designs</t>
  </si>
  <si>
    <t xml:space="preserve">50% civil works </t>
  </si>
  <si>
    <t>operations</t>
  </si>
  <si>
    <t>Develop BRT system</t>
  </si>
  <si>
    <t>MoKCC&amp;MA, UNRA</t>
  </si>
  <si>
    <t>% of preparation of cable car project</t>
  </si>
  <si>
    <t>Detailed designs for the cable car project developed</t>
  </si>
  <si>
    <t>Railway ridership per annum</t>
  </si>
  <si>
    <t>4800000 Pax</t>
  </si>
  <si>
    <t>No. of passengers moved by high capacity vehicles('000')</t>
  </si>
  <si>
    <t>M0WT</t>
  </si>
  <si>
    <t>MKCC&amp;MA, KCCA</t>
  </si>
  <si>
    <t>093105</t>
  </si>
  <si>
    <t>Provide Non-Motorized Transport infrastructure within urban areas</t>
  </si>
  <si>
    <t>09310501</t>
  </si>
  <si>
    <t>Non-Motorized transport infrastructure provided.</t>
  </si>
  <si>
    <t>Km of NMT facilities constructed/ upgraded</t>
  </si>
  <si>
    <t>Construction of NMT facilities</t>
  </si>
  <si>
    <t xml:space="preserve">Km of Walk ways on National roads constructed </t>
  </si>
  <si>
    <t xml:space="preserve">UNRA </t>
  </si>
  <si>
    <t>Construction of walkways alongurban roads (Cost part of the road upgrading costs)</t>
  </si>
  <si>
    <t xml:space="preserve">Km of Walk ways on Urban roads constructed </t>
  </si>
  <si>
    <t>LGs &amp; URF</t>
  </si>
  <si>
    <t>Construction of walkways along national roads (Cost part of the road upgrading costs)</t>
  </si>
  <si>
    <t>Uganda Road Fund</t>
  </si>
  <si>
    <t>093106</t>
  </si>
  <si>
    <t>Rationalize development partner and government financing conditions</t>
  </si>
  <si>
    <t>09310601</t>
  </si>
  <si>
    <t>Infrastructure prioritization criteria developed</t>
  </si>
  <si>
    <t>Infrastructure prioritization criteria in place</t>
  </si>
  <si>
    <t>Development of infrastructure prioritization criteria</t>
  </si>
  <si>
    <t>094</t>
  </si>
  <si>
    <t>Transport Asset Management</t>
  </si>
  <si>
    <t>0942</t>
  </si>
  <si>
    <t>Prioritize transport asset management</t>
  </si>
  <si>
    <t>094201</t>
  </si>
  <si>
    <t>Rehabilitate and maintain transport infrastructure</t>
  </si>
  <si>
    <t>09420101</t>
  </si>
  <si>
    <t>Transport infrastructure rehabilitated and maintained.</t>
  </si>
  <si>
    <t xml:space="preserve">Km of National Roads Network maintained Periodic Paved </t>
  </si>
  <si>
    <t>Periodic maintenance of paved national roads</t>
  </si>
  <si>
    <t>Km of National Roads Network maintained Periodic un Paved</t>
  </si>
  <si>
    <t>Periodic maintenance of unpaved national roads</t>
  </si>
  <si>
    <t xml:space="preserve">Km of National Roads Network maintained Routine Manual </t>
  </si>
  <si>
    <t>Manual routine maintenance of national roads</t>
  </si>
  <si>
    <t>Km of National Roads Network maintained Routine Mechanized Paved</t>
  </si>
  <si>
    <t>Routine mechanized maintenance of paved national roads</t>
  </si>
  <si>
    <t>No. of kms of National Roads Network maintained Routine Mechanized un Paved</t>
  </si>
  <si>
    <t>Routine mechanized maintenance of unpaved national roads</t>
  </si>
  <si>
    <t xml:space="preserve">Km of DUCAR Network maintained Periodically </t>
  </si>
  <si>
    <t xml:space="preserve">LGs/ URF </t>
  </si>
  <si>
    <t>Periodic maintenance of DUCAR network</t>
  </si>
  <si>
    <t xml:space="preserve">Km of DUCAR Network maintained Routine Manual </t>
  </si>
  <si>
    <t>Routine manual maintenance of DUCAR network</t>
  </si>
  <si>
    <t>Km of DUCAR Network maintained Routine Mechanized</t>
  </si>
  <si>
    <t>LGs/ URF</t>
  </si>
  <si>
    <t>Routine mechanized maintenance of DUCAR network</t>
  </si>
  <si>
    <t>Km of District gravel roads rehabilitated</t>
  </si>
  <si>
    <t>Rehabilitation of district unsealed roads</t>
  </si>
  <si>
    <t>Km of District low cost selead roads rehabilitated</t>
  </si>
  <si>
    <t>Rehabilitation of district sealed roads</t>
  </si>
  <si>
    <t>Km of Urban roads   sealed</t>
  </si>
  <si>
    <t xml:space="preserve"> Sealing of urban roads</t>
  </si>
  <si>
    <t>km of Community Access Roads Rehabilitated</t>
  </si>
  <si>
    <t>Rehabilitation of community access roads</t>
  </si>
  <si>
    <t>MoKCC&amp;MA, LGs</t>
  </si>
  <si>
    <t>No of Bridges constructed on the DUCAR network Bridges on DUCAR network</t>
  </si>
  <si>
    <t>Construction of bridges on DUCAR network</t>
  </si>
  <si>
    <t>No of Bridges constructed on the DUCAR network Cable foot bridges</t>
  </si>
  <si>
    <t xml:space="preserve">Construction of cable foot bridges </t>
  </si>
  <si>
    <t>No of bridges constructed on National network</t>
  </si>
  <si>
    <t>Construction of bridges on national road network</t>
  </si>
  <si>
    <t>Number of Ports (Port-bell and Jinja) rehabilitated</t>
  </si>
  <si>
    <t>Rehabilitation of existing Ports. (Port bell and Jinja)</t>
  </si>
  <si>
    <t>No. of Km of Railway Network maintained</t>
  </si>
  <si>
    <t>Maintenance of railway network</t>
  </si>
  <si>
    <t>Km of KCCA roads rehabilitated</t>
  </si>
  <si>
    <t>Rehabilitate KCCA roads</t>
  </si>
  <si>
    <t>No. of Km of Railway Network rehabilitated</t>
  </si>
  <si>
    <t>094202</t>
  </si>
  <si>
    <t>Implement a transport infrastructure planning and Public Investment Management system</t>
  </si>
  <si>
    <t>09420201</t>
  </si>
  <si>
    <t xml:space="preserve">PIMS system prepared </t>
  </si>
  <si>
    <t>% of implementation of the PIMs system</t>
  </si>
  <si>
    <t xml:space="preserve">Establish  and Implement the PIMs system </t>
  </si>
  <si>
    <t>094203</t>
  </si>
  <si>
    <t xml:space="preserve">Enforce loading limits </t>
  </si>
  <si>
    <t>09420301</t>
  </si>
  <si>
    <t xml:space="preserve">Reduction in overloading </t>
  </si>
  <si>
    <t>Percentage of vehicles complying to axle load control requirement</t>
  </si>
  <si>
    <t>Weighing of vehicles (does not require funding)</t>
  </si>
  <si>
    <t>094204</t>
  </si>
  <si>
    <t>Adopt cost-efficient technologies to reduce maintenance backlog</t>
  </si>
  <si>
    <t>09420401</t>
  </si>
  <si>
    <t>Reduced maintenance backlog.</t>
  </si>
  <si>
    <t>No. of Kms re-sealed on the urban roads network</t>
  </si>
  <si>
    <t>URF</t>
  </si>
  <si>
    <t>Reducing maintenance backlog (resealing 1km of TC network (20 TCs are selected each FY)</t>
  </si>
  <si>
    <t>118 Uganda Road Fund</t>
  </si>
  <si>
    <t>No. of Kms re-graveled on the DUCAR network</t>
  </si>
  <si>
    <t>Reduce maintenance backlog on DUCAR (gravelling)</t>
  </si>
  <si>
    <t>No. of Kms paved on the urban roads network in the new cities</t>
  </si>
  <si>
    <t>Reduce maintenance backlog (upgrading  new cities network to paved)</t>
  </si>
  <si>
    <t>094205</t>
  </si>
  <si>
    <t>Develop local construction hire pools</t>
  </si>
  <si>
    <t>09420501</t>
  </si>
  <si>
    <t>Develop local construction Equipment  hire pools</t>
  </si>
  <si>
    <t>No of construction hire pools guidelines developed</t>
  </si>
  <si>
    <t>Develop construction equipment hire pool guidelines</t>
  </si>
  <si>
    <t>No of construction hire pools developed</t>
  </si>
  <si>
    <t>Establish construction equipment hire pools</t>
  </si>
  <si>
    <t>094206</t>
  </si>
  <si>
    <t>Scale up transport infrastructure and services information management systems</t>
  </si>
  <si>
    <t>094206a</t>
  </si>
  <si>
    <t>Develop an information system on road management</t>
  </si>
  <si>
    <t>094206a01</t>
  </si>
  <si>
    <t>Road management information system developed</t>
  </si>
  <si>
    <t xml:space="preserve">Develop a road management system </t>
  </si>
  <si>
    <t>A Road Crash Data system developed</t>
  </si>
  <si>
    <t xml:space="preserve">Establish a Road Crash Data system </t>
  </si>
  <si>
    <t>No. of reports produced and informed by data from the system</t>
  </si>
  <si>
    <t>2[16]</t>
  </si>
  <si>
    <t>094206b</t>
  </si>
  <si>
    <t>Scale up the transport sector data management system</t>
  </si>
  <si>
    <t>094206b01</t>
  </si>
  <si>
    <t xml:space="preserve">Transport Management Systems Developed  </t>
  </si>
  <si>
    <t>An inland water transport vessels' and seafarers' register/ licensing system</t>
  </si>
  <si>
    <t>Develop an inland water transport vessels' and seafarers' register/licensing system</t>
  </si>
  <si>
    <t>Computerized fleet management system developed</t>
  </si>
  <si>
    <t>40%                       -</t>
  </si>
  <si>
    <t>Development of computerized fleet management systems</t>
  </si>
  <si>
    <t>094206c</t>
  </si>
  <si>
    <t>Develop an integrated meter-gauge rail service information system</t>
  </si>
  <si>
    <t>094206c01</t>
  </si>
  <si>
    <t>% of works/ activities for automation of Government Vehicle Registry Database completed</t>
  </si>
  <si>
    <t>Automation of the Government Vehicle Registry Databases</t>
  </si>
  <si>
    <t>An integrated meter-gauge rail service information System in place</t>
  </si>
  <si>
    <t>URC, MoWT</t>
  </si>
  <si>
    <t>Develop an integrated railway service information system</t>
  </si>
  <si>
    <t>092</t>
  </si>
  <si>
    <t>Land Use and Transport Planning</t>
  </si>
  <si>
    <t>0923</t>
  </si>
  <si>
    <t>Promote integrated land use and transport planning</t>
  </si>
  <si>
    <t>092301</t>
  </si>
  <si>
    <t>Acquire infrastructure/ utility corridors</t>
  </si>
  <si>
    <t>09230101</t>
  </si>
  <si>
    <t>Infrastructure/utility corridor acquired</t>
  </si>
  <si>
    <t>Km of infrastructure/ utility corridors acquired – (National Roads)</t>
  </si>
  <si>
    <t xml:space="preserve">Acquisition of infrastructure utility corridors-National Roads </t>
  </si>
  <si>
    <t>Number of acres corridors  (SGR Right of way) acquired</t>
  </si>
  <si>
    <t xml:space="preserve">Acquisition of SGR Right of way </t>
  </si>
  <si>
    <t>Number of hectares  acquired (utility corridors-BRT)</t>
  </si>
  <si>
    <t>Acquisition of infrastructure utility corridors-BRT</t>
  </si>
  <si>
    <t>UNRA, MKCC&amp;MA</t>
  </si>
  <si>
    <t>Hectares of land valued for land acquisition</t>
  </si>
  <si>
    <t>Valuation for land acquisition</t>
  </si>
  <si>
    <t>012 Ministry of Lands, Housing &amp; Urban Development</t>
  </si>
  <si>
    <t>092302</t>
  </si>
  <si>
    <t>Develop and strengthen transport planning capacity</t>
  </si>
  <si>
    <t>09230201</t>
  </si>
  <si>
    <t>Acquisition and use of transport planning systems increased</t>
  </si>
  <si>
    <t>Number of selected staff trained in specialized transport planning systems (MoWT)</t>
  </si>
  <si>
    <t xml:space="preserve">MoWT, </t>
  </si>
  <si>
    <t>Specialised Training of selected staff in transport planning systems</t>
  </si>
  <si>
    <t>Number of selected staff trained in specialized transport planning systems (UNRA)</t>
  </si>
  <si>
    <t>Number of selected staff trained in specialized transport planning systems (URC)</t>
  </si>
  <si>
    <t xml:space="preserve">URC </t>
  </si>
  <si>
    <t>Number of selected staff trained in specialized transport planning systems (UCAA)</t>
  </si>
  <si>
    <t>Number of selected staff trained in specialized transport planning systems (URF)</t>
  </si>
  <si>
    <t>Number of selected staff trained in specialized transport planning systems (UNACOL)</t>
  </si>
  <si>
    <t>UNACOL</t>
  </si>
  <si>
    <t>092303</t>
  </si>
  <si>
    <t>Develop the National Transport Masterplan aligned to the National Physical Development Plan</t>
  </si>
  <si>
    <t>09230301</t>
  </si>
  <si>
    <t>National Transport masterplan developed and aligned to the National Physical Development Plan</t>
  </si>
  <si>
    <t>National Transport Masterplan aligned to the NPDP developed</t>
  </si>
  <si>
    <t xml:space="preserve">Develop National Integrated Transport Masterplan </t>
  </si>
  <si>
    <t>UNRA, URC, MoLHUD, MEMD, UCAA</t>
  </si>
  <si>
    <t>Number of transport planning tools acquired (MoWT)</t>
  </si>
  <si>
    <t>Acquisition of transport planning tools</t>
  </si>
  <si>
    <t>Number of transport planning tools acquired (URC)</t>
  </si>
  <si>
    <t>Number of transport planning tools acquired (UCAA)</t>
  </si>
  <si>
    <t>No. of MDAs using transport planning systems</t>
  </si>
  <si>
    <t>Number of transport surveys carried out by UNRA</t>
  </si>
  <si>
    <t>Carry out specific National road Transport  Surveys</t>
  </si>
  <si>
    <t>Number of transport surveys carried out by MoWT</t>
  </si>
  <si>
    <t>Carry out Nation wide multi model Transport  Surveys</t>
  </si>
  <si>
    <t>Number annual classification surveys</t>
  </si>
  <si>
    <t>Conduct annual classification surveys on water bodies</t>
  </si>
  <si>
    <t>Programme Statistics Plan prepared</t>
  </si>
  <si>
    <t>Prepare Programme Statistics Plan</t>
  </si>
  <si>
    <t>Number of transport planning systems reviewed and updated</t>
  </si>
  <si>
    <t>Review and update transport planning systems</t>
  </si>
  <si>
    <t>Number of transport planning systems developed</t>
  </si>
  <si>
    <t>Design and develop transport planning systems ( Transport Model, M&amp;E and Statistics etc)</t>
  </si>
  <si>
    <t>NMT Implementation Strategy prepared</t>
  </si>
  <si>
    <t>Preparation of the NMT Implementation Strategy</t>
  </si>
  <si>
    <t>Number of MDAs/Sub national governments using transport planning systems</t>
  </si>
  <si>
    <t>Application of transport planning systems by MDAs/sub nationals</t>
  </si>
  <si>
    <t>092304</t>
  </si>
  <si>
    <t>Develop Transit-Oriented developments along transport infrastructure corridors (such as roadside stations)</t>
  </si>
  <si>
    <t>09230401</t>
  </si>
  <si>
    <t>Transit oriented developments constructed</t>
  </si>
  <si>
    <t>No. of road side stations developed</t>
  </si>
  <si>
    <t>Development of road side stations</t>
  </si>
  <si>
    <t>Number of Transit Oriented Development Studies undertaken</t>
  </si>
  <si>
    <t>Undertake TOD studies on transport infrastructure corridors</t>
  </si>
  <si>
    <t>0934</t>
  </si>
  <si>
    <t xml:space="preserve">Reduce the cost of transport infrastructure and services </t>
  </si>
  <si>
    <t>093401</t>
  </si>
  <si>
    <t>Implement cost-efficient technologies for provision of transport infrastructure and services</t>
  </si>
  <si>
    <t>09340101</t>
  </si>
  <si>
    <t>Cost-efficient transport infrastructure/ services technologies adopted</t>
  </si>
  <si>
    <t>Number of km of low volume roads sealed</t>
  </si>
  <si>
    <t>Sealing low volume roads using low cost seal technologies</t>
  </si>
  <si>
    <t>Number of km of medium volume roads sealed</t>
  </si>
  <si>
    <t>Sealing of medium volume roads</t>
  </si>
  <si>
    <t>Number of km constructed using low cost seals on National Roads</t>
  </si>
  <si>
    <t>Construction of national roads using low cost seal technologies</t>
  </si>
  <si>
    <t>Number of steel bridges constructed</t>
  </si>
  <si>
    <t>Construction of steel bridges</t>
  </si>
  <si>
    <t>Number of electronic transport ticketing system developed</t>
  </si>
  <si>
    <t>Develop a framework for the transport ticketing system</t>
  </si>
  <si>
    <t xml:space="preserve">Number of Cable foot bridges </t>
  </si>
  <si>
    <t>Number of electronic tickets issued for transport services</t>
  </si>
  <si>
    <t>MoWT, URC, KCCA</t>
  </si>
  <si>
    <t>MoWT(URC, KCCA)</t>
  </si>
  <si>
    <t>URC, KCCA, MoKCC&amp;MA</t>
  </si>
  <si>
    <t>093402</t>
  </si>
  <si>
    <t>Strengthen local construction capacity (industries, construction companies, access to finance, human resource etc.)</t>
  </si>
  <si>
    <t>093402a</t>
  </si>
  <si>
    <t>Develop and implement a strategy for strengthening local construction capacity</t>
  </si>
  <si>
    <t>093402a01</t>
  </si>
  <si>
    <t xml:space="preserve">Local construction industry strengthened </t>
  </si>
  <si>
    <t>Value of construction works carried out by local contractors (% allocation for road works)</t>
  </si>
  <si>
    <t>Award a proportion of construction works to local contractors</t>
  </si>
  <si>
    <t>Value of construction works carried out by local contractors</t>
  </si>
  <si>
    <t xml:space="preserve">KCCA </t>
  </si>
  <si>
    <t>MoWT (KCCA)</t>
  </si>
  <si>
    <t>MoKCC&amp;MA, KCCA</t>
  </si>
  <si>
    <t xml:space="preserve">Number of local contractors classified  </t>
  </si>
  <si>
    <t>Classification and registration of local contractors</t>
  </si>
  <si>
    <t xml:space="preserve">Number of local raw material depots set up. </t>
  </si>
  <si>
    <t>Project preparation completed</t>
  </si>
  <si>
    <t>Setting up and operationalization of local materials depots</t>
  </si>
  <si>
    <t>No. of regional laboratories constructed and upgraded</t>
  </si>
  <si>
    <t xml:space="preserve">Construction and upgrade  of Laboratory facilities </t>
  </si>
  <si>
    <t xml:space="preserve">No. of local contractors benefiting from the preference schemes </t>
  </si>
  <si>
    <t xml:space="preserve">Monitoring performance of the local content and  preference schemes </t>
  </si>
  <si>
    <t>Amount of guarantee fund available for contractors</t>
  </si>
  <si>
    <t>Establish and operationalize construction guarantee fund</t>
  </si>
  <si>
    <t>093402b</t>
  </si>
  <si>
    <t>Establish a construction equipment hiring pool</t>
  </si>
  <si>
    <t>093402b01</t>
  </si>
  <si>
    <t>Equipment operators trained</t>
  </si>
  <si>
    <t>No. of equipment operators trained</t>
  </si>
  <si>
    <t xml:space="preserve">Training of operators </t>
  </si>
  <si>
    <t>Local contractors trained</t>
  </si>
  <si>
    <t>No. of local contractors trained</t>
  </si>
  <si>
    <t>Training of local contractors</t>
  </si>
  <si>
    <t>093403</t>
  </si>
  <si>
    <t>Promote Research, Development and Innovation (RDI) including design manuals, standards and specifications</t>
  </si>
  <si>
    <t>09340301</t>
  </si>
  <si>
    <t xml:space="preserve">Research studies under taken </t>
  </si>
  <si>
    <t>Works &amp; Transport resource center established</t>
  </si>
  <si>
    <t>Establish the Works &amp; Transport resource center</t>
  </si>
  <si>
    <t>Number of in-service training centers (colleges) developed/ upgraded</t>
  </si>
  <si>
    <t>Develop/upgrade in-service training centers (colleges)</t>
  </si>
  <si>
    <t>Number of research study reports produced (UNRA)</t>
  </si>
  <si>
    <t>Conducting specific National road studies</t>
  </si>
  <si>
    <t>Number of research study reports produced (MoWT)</t>
  </si>
  <si>
    <t>Conducting  National multi model transport studies</t>
  </si>
  <si>
    <t xml:space="preserve">No. of operator training schools established </t>
  </si>
  <si>
    <t>Establish operator training schools</t>
  </si>
  <si>
    <t>09340302</t>
  </si>
  <si>
    <t xml:space="preserve">Specifications and Manuals developed/ revised </t>
  </si>
  <si>
    <t>Number of road Specifications and manuals developed/ reviewed</t>
  </si>
  <si>
    <t>Preparation or revision of road specifications and manuals</t>
  </si>
  <si>
    <t xml:space="preserve">Number of Railway Specifications and manuals prepared </t>
  </si>
  <si>
    <t>Prepare Railway specifications and manuals</t>
  </si>
  <si>
    <t>Number of inland water Specifications and manuals prepared</t>
  </si>
  <si>
    <t>Prepare inland water specifications and manuals</t>
  </si>
  <si>
    <t>% preparation of manual with  standards on Plant, equipment, bailey bridges  and vehicles  updated</t>
  </si>
  <si>
    <t>Preparation of manual with standards on plant, equipment, vehicles and  bailey bridges installation and maintenance guidelines/manuals</t>
  </si>
  <si>
    <t>091</t>
  </si>
  <si>
    <t>Transport Regulation</t>
  </si>
  <si>
    <t>0915</t>
  </si>
  <si>
    <t>Strengthen, and harmonize policy, legal, regulatory, and institutional framework for infrastructure and services</t>
  </si>
  <si>
    <t>091501</t>
  </si>
  <si>
    <t>Review, update and develop transport infrastructure and services policies, plans, regulations and standards and laws</t>
  </si>
  <si>
    <t>09150101</t>
  </si>
  <si>
    <t>Policies developed/updated</t>
  </si>
  <si>
    <t>Number of policies developed/ updated</t>
  </si>
  <si>
    <t>Develop/update policies</t>
  </si>
  <si>
    <t>09150102</t>
  </si>
  <si>
    <t>Plans and budgets developed</t>
  </si>
  <si>
    <t>Number of plans developed (MoWT)</t>
  </si>
  <si>
    <t>Preparation of plans</t>
  </si>
  <si>
    <t>Number of plans developed (UNRA)</t>
  </si>
  <si>
    <t>Number of plans developed (URC)</t>
  </si>
  <si>
    <t>Number of plans developed (URF)</t>
  </si>
  <si>
    <t>Number of plans developed (UCAA)</t>
  </si>
  <si>
    <t>Number of plans developed (KCCA)</t>
  </si>
  <si>
    <t>Number of plans developed (UNACOL)</t>
  </si>
  <si>
    <t>09150103</t>
  </si>
  <si>
    <t>Regulations and laws developed/ updated</t>
  </si>
  <si>
    <t>Number of Regulations and laws developed/ updated</t>
  </si>
  <si>
    <t>Develop/update regulations and laws</t>
  </si>
  <si>
    <t>09150104</t>
  </si>
  <si>
    <t>Standards and guidelines developed/ updated</t>
  </si>
  <si>
    <t>Number of Standards and guidelines developed/ updated</t>
  </si>
  <si>
    <t>Develop/ update Standards and guidelines</t>
  </si>
  <si>
    <t>091502</t>
  </si>
  <si>
    <t>Enforce relevant transport infrastructure and services policy, legal, regulatory and institutional frameworks</t>
  </si>
  <si>
    <t>09150201</t>
  </si>
  <si>
    <t xml:space="preserve">Transport infrastructure and services policy, legal and regulations and standards implemented.  </t>
  </si>
  <si>
    <t>Number of commercial vehicle licenses issued</t>
  </si>
  <si>
    <t>Issuance of commercial vehicle licenses.</t>
  </si>
  <si>
    <t>Number of IWT licenses issued</t>
  </si>
  <si>
    <t>Issuance of IWT licenses.</t>
  </si>
  <si>
    <t>Number of driving permits issued</t>
  </si>
  <si>
    <t>Issuance of driving permits</t>
  </si>
  <si>
    <t xml:space="preserve">Number of Driving Schools licensed  </t>
  </si>
  <si>
    <t>Licensing of driving schools</t>
  </si>
  <si>
    <t xml:space="preserve">Number of road safety campaigns carried out </t>
  </si>
  <si>
    <t>Road safety campaigns</t>
  </si>
  <si>
    <t xml:space="preserve">Number of Km of road inspected or /assessed </t>
  </si>
  <si>
    <t>Inspection or assessment of road condition including traffic survey</t>
  </si>
  <si>
    <t>Number of motor vehicles inspected annually</t>
  </si>
  <si>
    <t>Inspection of motor vehicles</t>
  </si>
  <si>
    <t>Percentage implementation of management and administration of motor vehicle registration streamlined</t>
  </si>
  <si>
    <t>Streamlining the management and administration of motor vehicle registration</t>
  </si>
  <si>
    <t>Percentage of integration and term maintenance of Regulatory systems</t>
  </si>
  <si>
    <t>Integration and Term Maintenance of Regulatory systems</t>
  </si>
  <si>
    <t>Percentage of development of E-payment portal</t>
  </si>
  <si>
    <t xml:space="preserve">Development of E-payment portal </t>
  </si>
  <si>
    <t>Number of Detailed Road Crash accidents investigations undertaken</t>
  </si>
  <si>
    <t xml:space="preserve">Detailed Road Crash Accident Investigations </t>
  </si>
  <si>
    <t>Percentage completion of update of the High way Code</t>
  </si>
  <si>
    <t xml:space="preserve">Update and enforce the High Code </t>
  </si>
  <si>
    <t>Number of Road Safety inspections Carried out</t>
  </si>
  <si>
    <t>Road Safety inspections</t>
  </si>
  <si>
    <t>Percentage of Establishment of an Aircraft Accident and Incident Investigation Unit in the Ministry</t>
  </si>
  <si>
    <t>Establish an Aircraft Accident and Incident Investigation Unit in the Ministry</t>
  </si>
  <si>
    <t>Percentage of Establishment of a Civil Aviation Tribunal.</t>
  </si>
  <si>
    <t>Establish a Civil Aviation Tribunal.</t>
  </si>
  <si>
    <t>Number of accreditations (i.e. ICAO, ATO &amp; IATA, IMO) received</t>
  </si>
  <si>
    <t xml:space="preserve">Maintain accreditation with regional and international bodies (i.e ICAO, ATO &amp; IATA, IMO) </t>
  </si>
  <si>
    <t>Number of seafarers certified</t>
  </si>
  <si>
    <t>Number of IWT safety campaigns carried out</t>
  </si>
  <si>
    <t>IWT safety campaigns</t>
  </si>
  <si>
    <t>Number of Km of road inspected or /assessed</t>
  </si>
  <si>
    <t>Number of vessels inspected</t>
  </si>
  <si>
    <t>Inspect IWT vessels.</t>
  </si>
  <si>
    <t>Training of building committees</t>
  </si>
  <si>
    <t>MoWT (NBRB)</t>
  </si>
  <si>
    <t>Compliance audits of local authorities</t>
  </si>
  <si>
    <t>Provision of tools and equipment to local authorities</t>
  </si>
  <si>
    <t>091503</t>
  </si>
  <si>
    <t>Streamline governance and coordination of transport infrastructure and services</t>
  </si>
  <si>
    <t>09150301</t>
  </si>
  <si>
    <t xml:space="preserve">MoU among entities ratified </t>
  </si>
  <si>
    <t>Number of MoUs ratified</t>
  </si>
  <si>
    <t>Ratification of MoUs</t>
  </si>
  <si>
    <t>09150302</t>
  </si>
  <si>
    <t>PWG activities coordinated</t>
  </si>
  <si>
    <t>Number of PWG activities coordinated</t>
  </si>
  <si>
    <t>Coordinate PWG activities</t>
  </si>
  <si>
    <t>091504</t>
  </si>
  <si>
    <t>Monitor and evaluate transport infrastructure and services policy, legal and regulatory framework</t>
  </si>
  <si>
    <t>09150401</t>
  </si>
  <si>
    <t>Monitoring and Evaluation reports produced</t>
  </si>
  <si>
    <t>Number of Monitoring reports produced</t>
  </si>
  <si>
    <t>Monitoring implementation of transport infrastructure and services programme</t>
  </si>
  <si>
    <t>Number of Evaluation reports produced</t>
  </si>
  <si>
    <t>Evaluating  implementation of transport infrastructure and services programme</t>
  </si>
  <si>
    <t>09150402</t>
  </si>
  <si>
    <t>Condition monitoring and inspection of road equipment, vehicles and bailey bridges in MDAs and LGs conducted.</t>
  </si>
  <si>
    <t>No. of district local governments covered</t>
  </si>
  <si>
    <t>Monitoring of equipment and assessment of equipment operator performance.</t>
  </si>
  <si>
    <t>No. of bailey bridges inspected</t>
  </si>
  <si>
    <t xml:space="preserve">Condition inspection </t>
  </si>
  <si>
    <t>Number of vehicles in MDAs and LGs inspected</t>
  </si>
  <si>
    <t>Mandatory annual inspection of Government vehicles in all MDAs</t>
  </si>
  <si>
    <t>091505</t>
  </si>
  <si>
    <t>Strengthen existing mechanisms to deal with negative social and environmental effects</t>
  </si>
  <si>
    <t>09150501</t>
  </si>
  <si>
    <t xml:space="preserve">Strategic Environment Assessment (SEA) done for the transport masterplan </t>
  </si>
  <si>
    <t>% SEA Sector Level Framework recommendations applied in all transport plans and strategies</t>
  </si>
  <si>
    <t>Application of SEA Sector Level Framework recommendations in all transport plans and strategies</t>
  </si>
  <si>
    <t>0936</t>
  </si>
  <si>
    <t>Transport interconnectivity to promote inter and inra-regional trade and reduce poverty</t>
  </si>
  <si>
    <t>093601</t>
  </si>
  <si>
    <t>Upgrade transport infrastructure around L. Kyoga, Albert, Victoria and River Nile to facilitate connections</t>
  </si>
  <si>
    <t>09360101</t>
  </si>
  <si>
    <t>Transport infrastructure around L. Kyoga, Albert, Victoria and River Nile constructed and upgraded.</t>
  </si>
  <si>
    <t>Number of RoRo wagon ferries rehabilitated or procured</t>
  </si>
  <si>
    <t>Rehabilitation or procurement of railway RoRo marine vessels/wagon ferries</t>
  </si>
  <si>
    <t>Number of ports, landing sites and jetties around Lake Kyoga, Albert, Victoria and River Nile developed/rehabilitated</t>
  </si>
  <si>
    <t>Rehabilitation of ports, landing sites and jetties</t>
  </si>
  <si>
    <t>Km of roads upgraded around L. Kyoga, Albert, Victoria and River Nile constructed and upgraded</t>
  </si>
  <si>
    <t>Upgrading of roads around L. Kyoga, Albert, Victoria and River Nile constructed and upgraded.</t>
  </si>
  <si>
    <t>09360102</t>
  </si>
  <si>
    <t>Transport Infrastructure and  Services around Kalangala Islands improved</t>
  </si>
  <si>
    <t>Quarterly road support payments</t>
  </si>
  <si>
    <t xml:space="preserve">Review of invoices and adjustment factors in accordance to the Implementation Agreement of Kalangala Infrastructure Services </t>
  </si>
  <si>
    <t>No. of ferry trips made</t>
  </si>
  <si>
    <t>Monitoring of ferry service and review of adjustment factors.</t>
  </si>
  <si>
    <t>Percent availability of MV Kalangala</t>
  </si>
  <si>
    <t>Periodic inspection, maintenance and repair, monitor ferry operator</t>
  </si>
  <si>
    <t>Valid marine insurance policy</t>
  </si>
  <si>
    <t>Risk assessment and payment of insurance premium.</t>
  </si>
  <si>
    <t>Digital ticketing and payment system installed on MV Kalangala</t>
  </si>
  <si>
    <t>Develop specifications and TOR, procure digital system, installation, testing and commissioning of system and periodic upgrades</t>
  </si>
  <si>
    <t>093602</t>
  </si>
  <si>
    <t>Develop the Tororo Inland Port</t>
  </si>
  <si>
    <t>09360201</t>
  </si>
  <si>
    <t>Functional Tororo inland port</t>
  </si>
  <si>
    <t>%ge of preparation of feasibility study</t>
  </si>
  <si>
    <t>Tororo inland port operational</t>
  </si>
  <si>
    <t>093603</t>
  </si>
  <si>
    <t>Rehabilitate, upgrade and extend the meter-gauge railway (including Jinja/Bukakata to Bukasa inland port)</t>
  </si>
  <si>
    <t>09360301</t>
  </si>
  <si>
    <t>Functional meter-gauge railway inclusive of Jinja/ Bukakata to Bukasa inland port</t>
  </si>
  <si>
    <t xml:space="preserve">Km of MGR between PortBell and Bukasa constructed  </t>
  </si>
  <si>
    <t>Construction of MGR from jinja, Bukasa Inland port to PortBell</t>
  </si>
  <si>
    <t>No of Kms of MGR at Jinja Pier rehabilitated</t>
  </si>
  <si>
    <t>Km of Meter gauge railway between Namanve and Bukasa constructed</t>
  </si>
  <si>
    <t>093604</t>
  </si>
  <si>
    <t>Upgrade transport infrastructure particularly in the Karamoja area to promote mineral exploitation and industrialization in that area</t>
  </si>
  <si>
    <t>09360401</t>
  </si>
  <si>
    <t>Transport Infrastructure in Karamoja area, upgraded.</t>
  </si>
  <si>
    <t>Km of paved roads in the Karamoja region upgraded</t>
  </si>
  <si>
    <t>Upgrading of roads in Karamoja region</t>
  </si>
  <si>
    <t>Km of railway in Karamoja region upgraded</t>
  </si>
  <si>
    <t>Upgrade of railway in Karamoja region</t>
  </si>
  <si>
    <t>093605</t>
  </si>
  <si>
    <t>Construct and upgrade cross border multi-modal transport infrastructure</t>
  </si>
  <si>
    <t>09360501</t>
  </si>
  <si>
    <t>Cross border multi-modal transport infrastructure constructed and upgraded.</t>
  </si>
  <si>
    <t>Km of SGR constructed</t>
  </si>
  <si>
    <t>Construction of SGR</t>
  </si>
  <si>
    <t>09360502</t>
  </si>
  <si>
    <t>87km road from Rwebisengo (Uganda) to Bunia (DRC); and Budiba Bridge</t>
  </si>
  <si>
    <t>Construction of Rwebisengo–Budiba/Bohuma–Kagoro–Bogoro–Bunia Road, including Budiba Bridge: 74km</t>
  </si>
  <si>
    <t>MoWT, MoFA, MoDVA</t>
  </si>
  <si>
    <t>09360503</t>
  </si>
  <si>
    <t xml:space="preserve">Goli, Ntoroko, Katuna OSBPs constructed. </t>
  </si>
  <si>
    <t>% of construction works at Gulu facility</t>
  </si>
  <si>
    <t>Construction of facility at Gulu</t>
  </si>
  <si>
    <t>% of construction works at Malaba facility</t>
  </si>
  <si>
    <t>Construction of facility at Malaba</t>
  </si>
  <si>
    <t>% of construction works at Katuna facility</t>
  </si>
  <si>
    <t>Construction of facility at Katuna</t>
  </si>
  <si>
    <t>% of construction works at Goli facility</t>
  </si>
  <si>
    <t>Construction of facility at Goli</t>
  </si>
  <si>
    <t>% of construction works at Ntoroko facility</t>
  </si>
  <si>
    <t>Construction of facility at Ntoroko</t>
  </si>
  <si>
    <t>% of construction works at Mpondwe facility</t>
  </si>
  <si>
    <t>Construction of facility at Mpondwe</t>
  </si>
  <si>
    <t>% of construction works at Bunagana facility</t>
  </si>
  <si>
    <t>Construction of facility at Bunagana</t>
  </si>
  <si>
    <t>09360504</t>
  </si>
  <si>
    <t>Tororo Inland Port developed</t>
  </si>
  <si>
    <t>Development of Tororo inland port</t>
  </si>
  <si>
    <t>Innovation, Technology Development and Transfer</t>
  </si>
  <si>
    <t>13X</t>
  </si>
  <si>
    <t>STI Ecosystem Development</t>
  </si>
  <si>
    <t>1. Develop requisite STI infrastructure</t>
  </si>
  <si>
    <t>131310</t>
  </si>
  <si>
    <t>1.4. Establish a material science, nano &amp; bio science technology centres, Space Science and Aeronautics Technology Institute</t>
  </si>
  <si>
    <t>13131001</t>
  </si>
  <si>
    <t>National Space Science and Aeronautics Program Feasibility Study and Strategy</t>
  </si>
  <si>
    <t>National Space Science and Aeronautics Program Strategy in place &amp; Feasibility Study Completed</t>
  </si>
  <si>
    <t>STI-OP</t>
  </si>
  <si>
    <t xml:space="preserve">Undertake a Feasibility Study to Operationalise the National Aeronautics and Space Science Program and Develop a Strategy  </t>
  </si>
  <si>
    <t>UPDF, MICT&amp;NG, MoWE, NPA</t>
  </si>
  <si>
    <t>2. Build institutional and human resource capacity in STI</t>
  </si>
  <si>
    <t xml:space="preserve">2.3. Design and conduct practical skills development programmes </t>
  </si>
  <si>
    <t>13131002</t>
  </si>
  <si>
    <t>Operational Skilling Centre</t>
  </si>
  <si>
    <t>Number of Persons Trained</t>
  </si>
  <si>
    <t>UIRI</t>
  </si>
  <si>
    <t>Operationalise the UIRI Machining Manufacturing Industrial Skilling and Production Centre at the Kampala Industrial Business Park in Namanve</t>
  </si>
  <si>
    <t>131308</t>
  </si>
  <si>
    <t>13130801</t>
  </si>
  <si>
    <t>Internship, Apprenticeship and Exchange Participants in ST&amp;I Strategic Areas</t>
  </si>
  <si>
    <t>Number of technical persons in STI special programmes</t>
  </si>
  <si>
    <t>Establish internship, apprenticeship and exchange program in the prioritized strategic areas within STI Development and Transfer Program both within and between countries</t>
  </si>
  <si>
    <t>MoES, MoFA, Mission Abroad</t>
  </si>
  <si>
    <t>132203</t>
  </si>
  <si>
    <t>13220301</t>
  </si>
  <si>
    <t>STI Personnel Trained</t>
  </si>
  <si>
    <t>Number of STI Personnel Trained</t>
  </si>
  <si>
    <t>Supporting training of STI personnel in higher and research institutions</t>
  </si>
  <si>
    <t>Research and Development</t>
  </si>
  <si>
    <t>2.4. Design and implement special programmes for Nano technology, space exploration, nuclear technology, bio sciences, ICT and engineering;</t>
  </si>
  <si>
    <t>13220302</t>
  </si>
  <si>
    <t>Applied Research in Industry 4.0 + Technologies and Themes</t>
  </si>
  <si>
    <t>Number of Research Projects Supported</t>
  </si>
  <si>
    <t>Support Applied Research in Industry 4.0 + Technologies and Themes (IOT, Artificial Intelligence, Machine Learning, Robotics, Big Data, Block Chain, Additive  Manufacturing e.t.c)</t>
  </si>
  <si>
    <t>MICT&amp;NG, NITA, UNCST, UIRI, BIRDC</t>
  </si>
  <si>
    <t>2.2. Support the review of the curriculum and delivery methods at all levels of education with a view of promoting innovation;</t>
  </si>
  <si>
    <t>13220303</t>
  </si>
  <si>
    <t>STI human capital raised in schools and higher institutions of learning</t>
  </si>
  <si>
    <t>Number of competitions conducted per year</t>
  </si>
  <si>
    <t>Conduct Nattional STI competitions in schools &amp; higher institutions  of learning</t>
  </si>
  <si>
    <t>MoES, UNCST</t>
  </si>
  <si>
    <t>132204</t>
  </si>
  <si>
    <t>2.5. Develop a framework for promotion of multi-sectoral and multilateral collaborations</t>
  </si>
  <si>
    <t>b. Strengthen the capacity of MDAs to effectively implement ST&amp;I interventions including deployment of ST&amp;I advisers to MDAs</t>
  </si>
  <si>
    <t>13220401</t>
  </si>
  <si>
    <t>National ST&amp;I Advisory role strenghened</t>
  </si>
  <si>
    <t>National ST&amp;I Advisory, Foresight and Compliance System Established and Operationalised</t>
  </si>
  <si>
    <t>Establish the National ST&amp;I Advisory, Foresight and Compliance System (Structures, Procedures &amp; HR)</t>
  </si>
  <si>
    <t>3. To strengthen R&amp;D capacities and applications</t>
  </si>
  <si>
    <t>3.2. Develop and implement a National Science and Technology Innovation Strategy;</t>
  </si>
  <si>
    <t>13220402</t>
  </si>
  <si>
    <t>National Strategy for ST&amp;I Integration in place</t>
  </si>
  <si>
    <t>STI integrated in the different aspects of the economy</t>
  </si>
  <si>
    <t>Develop and implement a National Strategy for ST&amp;I Integration</t>
  </si>
  <si>
    <t>UNCST</t>
  </si>
  <si>
    <t>5. To improve the legal, institutional and regulatory framework</t>
  </si>
  <si>
    <t>132205</t>
  </si>
  <si>
    <t>5.2. Develop policies, laws and regulations for technology development, transfer and market development and attraction of private funding and FDI in STI.</t>
  </si>
  <si>
    <t>132205a</t>
  </si>
  <si>
    <t>132205a01</t>
  </si>
  <si>
    <t>Programme administrative and operational costs met</t>
  </si>
  <si>
    <t>PWG Operational</t>
  </si>
  <si>
    <t xml:space="preserve">Provide for Programme Admin costs </t>
  </si>
  <si>
    <t>132205b</t>
  </si>
  <si>
    <t>a. Monitor and evaluate the mainstreaming of ST&amp;I in all sectors</t>
  </si>
  <si>
    <t>132205b01</t>
  </si>
  <si>
    <t>Program reviews, evaluations conducted</t>
  </si>
  <si>
    <t>Review Reports compiled</t>
  </si>
  <si>
    <t>Undertake annual, mid term and end term programme reviews</t>
  </si>
  <si>
    <t>UIRI, UNCST, BIRDC</t>
  </si>
  <si>
    <t xml:space="preserve">3.1. Develop and popularize a National STI Research Agenda for STI; </t>
  </si>
  <si>
    <t>132205b02</t>
  </si>
  <si>
    <t>National STI Strategy</t>
  </si>
  <si>
    <t>Strategy in place</t>
  </si>
  <si>
    <t>Develop and implement a National Science and Technology Innovation Strategy</t>
  </si>
  <si>
    <t>023 STI-OP</t>
  </si>
  <si>
    <t>STI-OP, UIRI, KMC, BIRDC</t>
  </si>
  <si>
    <t>2.1. Develop and Implement a National STI Advancement and Outreach Strategy;</t>
  </si>
  <si>
    <t>132205b03</t>
  </si>
  <si>
    <t>A National STI Advancement and Outreach Strategy</t>
  </si>
  <si>
    <t xml:space="preserve">A National STI Advancement and Outreach Strategy in place </t>
  </si>
  <si>
    <t>Formulate the National STEI Advancement and Outreach Strategy</t>
  </si>
  <si>
    <t>MICT&amp;NG, STI-OP, UIRI, BIRDC</t>
  </si>
  <si>
    <t>3.4. Develop and maintain a national STI Information Management System (including a database of new and on-going Scientific Research, technologies innovations and indigenous knowledge from public and private sectors);</t>
  </si>
  <si>
    <t>132205b04</t>
  </si>
  <si>
    <t>Record of all scientific research carried out in the country</t>
  </si>
  <si>
    <t>Number of research activities registered</t>
  </si>
  <si>
    <t>Undertake research registration and clearance</t>
  </si>
  <si>
    <t>132205b05</t>
  </si>
  <si>
    <t>A functional national STI Information system maintained</t>
  </si>
  <si>
    <t>Online Catalogue Profiling ST&amp;I Activities and IPs registered in Uganda</t>
  </si>
  <si>
    <t>Develop and operationalize the STEI information system</t>
  </si>
  <si>
    <t>132504</t>
  </si>
  <si>
    <t>13250401</t>
  </si>
  <si>
    <t>STI Policies, laws and regulations developed</t>
  </si>
  <si>
    <t>Number of STEI Policies, laws and regulations developed</t>
  </si>
  <si>
    <t xml:space="preserve">Review &amp; Formulate Relevant ST&amp;I Laws, Regulations, Polices and Legal Instruments (Indigenous knowledge, Genetic Engineering, Biosecurity, Biosafety, ST&amp;I Policy, ST&amp;I Law &amp; Regulations, Technology Transfer, TRIPS Agreement, …) </t>
  </si>
  <si>
    <t xml:space="preserve">1.7. Establish a Research and Innovation Fund. </t>
  </si>
  <si>
    <t>Innovations Fund Framework</t>
  </si>
  <si>
    <t>Innovations Fund Framework in Place</t>
  </si>
  <si>
    <t>Develop an Innovation Fund Framework</t>
  </si>
  <si>
    <t>5.3. Develop, review and amend policies to promote the development and uptake of technologies</t>
  </si>
  <si>
    <t>13250402</t>
  </si>
  <si>
    <t>National Automotive Industry Policy, and Tax and Non-Tax Measures</t>
  </si>
  <si>
    <t>National Automotive Industry Policy, and Tax and Non-Tax Measures in Place</t>
  </si>
  <si>
    <t xml:space="preserve">Develop and Operationalize the National Automotive Industry Policy, and Tax and Non-Tax Measures to Incentivize Value Chain Actors; </t>
  </si>
  <si>
    <t>KMC</t>
  </si>
  <si>
    <t>Industrial Value Chain Development</t>
  </si>
  <si>
    <t>4. Increase development, transfer and adoption of appropriate technologies and innovations</t>
  </si>
  <si>
    <t>4.2. Develop strategic local and international partnerships and cooperation on technology transfer and adoption;</t>
  </si>
  <si>
    <t>13250403</t>
  </si>
  <si>
    <t>JVS, Partnership Agreements &amp; Offtake Agreements</t>
  </si>
  <si>
    <t>Number of  JVS, Partnership Agreements &amp; Offtake Agreements signed</t>
  </si>
  <si>
    <t>Enact Offtake Agreements to Guarantee Offtake Market for Key Government Segments as well as contract manufacturing with Global Vehicle Manufacturer to build capacity to Develop Make and Sell Vehicles Targeting Regional Market</t>
  </si>
  <si>
    <t>STI-OP, MJCA, AG</t>
  </si>
  <si>
    <t>132302</t>
  </si>
  <si>
    <t>4.6. Strengthen the function of technology acquisition, promotion as well as transfer and adoption</t>
  </si>
  <si>
    <t>13230201</t>
  </si>
  <si>
    <t>Locally Manufactured Key Vehcile Parts and Mobility System</t>
  </si>
  <si>
    <t>Number of Vehicle Parts and Vehicle Systems Localized</t>
  </si>
  <si>
    <t>Support the Localization/Technology Transfer of Key Vehicle Parts and Mobility Systems</t>
  </si>
  <si>
    <t>STI-OP, MJCA, AG, MFA</t>
  </si>
  <si>
    <t>132201</t>
  </si>
  <si>
    <t xml:space="preserve">3.3. Strengthen the Intellectual Property (IP) value chain management; </t>
  </si>
  <si>
    <t>13220101</t>
  </si>
  <si>
    <t>Intellectual Property Rights registered</t>
  </si>
  <si>
    <t>Number of Intellectual Property Rights registered</t>
  </si>
  <si>
    <t>Support the registration of intellectual property rights</t>
  </si>
  <si>
    <t>132304</t>
  </si>
  <si>
    <t>3.7. Develop, oversee and implement programmes in new and emerging areas of space science, marine, nuclear, data and climate science, nanotechnology, bio-technology, among others;</t>
  </si>
  <si>
    <t>13230401</t>
  </si>
  <si>
    <t>STEI think tank established</t>
  </si>
  <si>
    <t>Number of ST&amp;I Think Tanks in place</t>
  </si>
  <si>
    <t>Establish and operationalize the STEI interaction think tank</t>
  </si>
  <si>
    <t xml:space="preserve">3.6. Establish research collaborations at local, regional and international level; </t>
  </si>
  <si>
    <t>13230402</t>
  </si>
  <si>
    <t>Increased ST&amp;I collaborations at the different levels</t>
  </si>
  <si>
    <t>Number of research outputs commercialised</t>
  </si>
  <si>
    <t>MOSTI, UNCST, UIRI</t>
  </si>
  <si>
    <t xml:space="preserve"> Development  of country specific areas of collaborations in research </t>
  </si>
  <si>
    <t>132301</t>
  </si>
  <si>
    <t>13230101</t>
  </si>
  <si>
    <t>Banana Processing Machinery &amp; Equipment</t>
  </si>
  <si>
    <t xml:space="preserve">Number of Banana Products on Market </t>
  </si>
  <si>
    <t>BIRDC</t>
  </si>
  <si>
    <t xml:space="preserve">Support the Development and Industrialization of the Banana Value Chain </t>
  </si>
  <si>
    <t>132502</t>
  </si>
  <si>
    <t>13250201</t>
  </si>
  <si>
    <t>Casava Industrial Development</t>
  </si>
  <si>
    <t xml:space="preserve">Number of Cassava Products on Market </t>
  </si>
  <si>
    <t xml:space="preserve">Support the Development and Industrialization of the Casava Value Chain </t>
  </si>
  <si>
    <t>13250202</t>
  </si>
  <si>
    <t>Bamboo Industrial Development</t>
  </si>
  <si>
    <t xml:space="preserve">Number of Bambo Products on Market </t>
  </si>
  <si>
    <t xml:space="preserve">Support the Development and Industrialization of the Bamboo Value Chain </t>
  </si>
  <si>
    <t>13250203</t>
  </si>
  <si>
    <t xml:space="preserve">Apparel Products from Indigenous Materials </t>
  </si>
  <si>
    <t>Apparel Products from Indigenous Materials Develooped and Commercialised</t>
  </si>
  <si>
    <t>Develop and Commercialise (Including Marketing, Branidng, Packaging) Apparel Products from Indigenous Materials (Banana Fibre, Sisal, Backcloth, Cotton, Emerging Fibres, Bamboo, Leather, Petro-Chemical Fibres etc)</t>
  </si>
  <si>
    <t>13250204</t>
  </si>
  <si>
    <t>Beauty and Dematology Products from Indigenous Materials (Hair, Body, Health &amp; Hygiene)</t>
  </si>
  <si>
    <t>Beauty and Dematology Products from Indigenous Materials (Hair, Body, Health &amp; Hygiene) Developed and Commercialised</t>
  </si>
  <si>
    <t>Develop and Commercialise (Including Marketing, Branidng, Packaging) Beauty and Dermatology Products from Indigenous Materials (Hair, Body, Health &amp; Hygiene)</t>
  </si>
  <si>
    <t>1324</t>
  </si>
  <si>
    <t>132402</t>
  </si>
  <si>
    <t>13240201</t>
  </si>
  <si>
    <t>The Technology for Commercial Extraction of Mineral Salts from National Brine Deposits</t>
  </si>
  <si>
    <t>Prototype Production Line for Commercial Salt Production</t>
  </si>
  <si>
    <t>Develop Technology for Commercial Extraction of Mineral Salts from National Brine Deposits</t>
  </si>
  <si>
    <t>132501</t>
  </si>
  <si>
    <t>13250101</t>
  </si>
  <si>
    <t>Production Line for Round the Clock Crop Drier with Quality-Water Recovery</t>
  </si>
  <si>
    <t xml:space="preserve">Operational solar drying System Assembly </t>
  </si>
  <si>
    <t>Utilization of Solar Energy for Rural Agro-Industrialization (Solar Irrigation System)</t>
  </si>
  <si>
    <t>13250102</t>
  </si>
  <si>
    <t>Setting Up an Assembly Line for Engine Technology</t>
  </si>
  <si>
    <t>Number Engines Produced</t>
  </si>
  <si>
    <t>Advancement of Engine Research, Development &amp; Deployment for Agricultural Mechanization and Technology Validation</t>
  </si>
  <si>
    <t>132503</t>
  </si>
  <si>
    <t>13250301</t>
  </si>
  <si>
    <t>4 types of circuit boards produced</t>
  </si>
  <si>
    <t>Number of patents registered &amp; circuit boards produced</t>
  </si>
  <si>
    <t>Building Capacity for Local Printed Circuit Board Assembly Design and Manufacturing</t>
  </si>
  <si>
    <t>132404</t>
  </si>
  <si>
    <t>13240401</t>
  </si>
  <si>
    <t>Plant for Inputs to VDT Production</t>
  </si>
  <si>
    <t>Plant VDT production established</t>
  </si>
  <si>
    <t>UVRI</t>
  </si>
  <si>
    <t>Develop and Produce Vaccines &amp; Inputs for Humans, Animals or Plants</t>
  </si>
  <si>
    <t>STI-OP, MoH, UIRI, UNCST, NDA</t>
  </si>
  <si>
    <t>13240402</t>
  </si>
  <si>
    <t>Silk Factory and Mulbery Plantions</t>
  </si>
  <si>
    <t>Number of products from Sericulture</t>
  </si>
  <si>
    <t>Development and Industrialisation of Sericulture Value Chain</t>
  </si>
  <si>
    <t>MLG, UNCST</t>
  </si>
  <si>
    <t>132306</t>
  </si>
  <si>
    <t>13230601</t>
  </si>
  <si>
    <t>Vacines, Theraputics and Diagnotics Developed</t>
  </si>
  <si>
    <t>Number of Vacines, Theraputics and Diagnotics Developed and Commercialised</t>
  </si>
  <si>
    <t>Develop and Produce  Acricides,  Pestcides, &amp; Insectcides</t>
  </si>
  <si>
    <t xml:space="preserve">MAAIF, UVRI, NDA, </t>
  </si>
  <si>
    <t>1.1. Support the establishment and operations of Technology &amp; Business incubators and Technology Transfer centres;</t>
  </si>
  <si>
    <t>13230602</t>
  </si>
  <si>
    <t>Innovation Accelerators</t>
  </si>
  <si>
    <t>Number of Innovation Accelerators Established &amp; Operationalised</t>
  </si>
  <si>
    <t xml:space="preserve">Establish and Operationalize Innovation Accelerators </t>
  </si>
  <si>
    <t>UNCST, KMC, UIRI</t>
  </si>
  <si>
    <t>13230603</t>
  </si>
  <si>
    <t>ST&amp;I Exchange Centre &amp; TTO</t>
  </si>
  <si>
    <t>Number of ST&amp;I Exchange Centre &amp; TTO  Established and Operationalised</t>
  </si>
  <si>
    <t>Establish a Science, Technology &amp; Innovation Exchange Centre  &amp; Technology Transfer Office</t>
  </si>
  <si>
    <t>132305</t>
  </si>
  <si>
    <t>1.3. Support academia and research institutions to acquire R&amp;D infrastructure;</t>
  </si>
  <si>
    <t>13230501</t>
  </si>
  <si>
    <t>Virus research Infrastructure developed</t>
  </si>
  <si>
    <t>Bio Bank established</t>
  </si>
  <si>
    <t>Establish and operationalize a Large capacity incenerator</t>
  </si>
  <si>
    <t>13230502</t>
  </si>
  <si>
    <t>Operational Centres of Excellency</t>
  </si>
  <si>
    <t>Number of R&amp;D facilities established in academic and research institutions</t>
  </si>
  <si>
    <t>Establishment of specialized research and teaching  labs for selected  universities and Research Institutes (Establishment of Centres of Excellence for research, and development of technologies &amp; products)</t>
  </si>
  <si>
    <t>1.2. Support the establishment and operations of Science and Technology Parks to facilitate commercialization;</t>
  </si>
  <si>
    <t>13230503</t>
  </si>
  <si>
    <t>Automotive industrial and technology park in place</t>
  </si>
  <si>
    <t>Automotive Industrial and Technology Park Established</t>
  </si>
  <si>
    <t>Establish an automotive industrial and technology park</t>
  </si>
  <si>
    <t xml:space="preserve">STI-OP </t>
  </si>
  <si>
    <t>13230504</t>
  </si>
  <si>
    <t>STI Park in Place</t>
  </si>
  <si>
    <t xml:space="preserve">STI Park </t>
  </si>
  <si>
    <t>Establishment of S&amp;T Parks</t>
  </si>
  <si>
    <t>13230505</t>
  </si>
  <si>
    <t>Functional Vehicle Plant</t>
  </si>
  <si>
    <t>Vehicle Plant Start-Up Facilities Operationalised</t>
  </si>
  <si>
    <t>Operationalize the  Kiira vehicle plant in Jinja industrial park</t>
  </si>
  <si>
    <t>MoWT, UIA, LGs</t>
  </si>
  <si>
    <t>13230506</t>
  </si>
  <si>
    <t>Engineering and skills enhancement centres Centres established</t>
  </si>
  <si>
    <t>No. of Engineering and skills enhancement Centres established</t>
  </si>
  <si>
    <t>Establish and operationalize the National Engineering and Skills Enhancement centre</t>
  </si>
  <si>
    <t>OWC, MoES, STI-OP</t>
  </si>
  <si>
    <t>4.4. Establish platforms for the interaction between the academia, research institutions, industry and state and non-state actors.</t>
  </si>
  <si>
    <t>13230507</t>
  </si>
  <si>
    <t>Enhanced Understanding of STI by Stakeholders</t>
  </si>
  <si>
    <t>Number of Articles, Conferences etc Executed</t>
  </si>
  <si>
    <t>Make publications and documents to explain the activities of STI</t>
  </si>
  <si>
    <t>UNCST, UIRI, PIRBC, KMC</t>
  </si>
  <si>
    <t>3.5. Increase investment in R &amp; D in key priority sectors like; agriculture, Oil &amp; Gas, Minerals, Energy, Health, Transport;</t>
  </si>
  <si>
    <t>13230508</t>
  </si>
  <si>
    <t>R &amp; D laboratories and centres of excellence established</t>
  </si>
  <si>
    <t>No. of R &amp; D laboratories and centres of excellence established</t>
  </si>
  <si>
    <t>Establish Centre of excellence for indigenous technologies</t>
  </si>
  <si>
    <t>13230509</t>
  </si>
  <si>
    <t>Materials Science Institute established</t>
  </si>
  <si>
    <t xml:space="preserve">Establish a Centre of Excellence in Material Science </t>
  </si>
  <si>
    <t>13230510</t>
  </si>
  <si>
    <t>Develop an Innovations Fund Framework and Operationalise the Innovations Funds</t>
  </si>
  <si>
    <t>13230511</t>
  </si>
  <si>
    <t>Functional Pilot Plant for banana production</t>
  </si>
  <si>
    <t>Number of Products Certified and on Market</t>
  </si>
  <si>
    <t>Establish a plant for production of products from banana</t>
  </si>
  <si>
    <t>Manufacturing</t>
  </si>
  <si>
    <t>04X</t>
  </si>
  <si>
    <t>041</t>
  </si>
  <si>
    <t>Industrial and Technological Development</t>
  </si>
  <si>
    <t>0411</t>
  </si>
  <si>
    <t>Develop the requisite infrastructure to support manufacturing in line with Uganda’s planned growth corridors (triangle)</t>
  </si>
  <si>
    <t>041101</t>
  </si>
  <si>
    <t>Construct 4 fully serviced industrial parks (1 per region)</t>
  </si>
  <si>
    <t>04110101</t>
  </si>
  <si>
    <t>Standards and guidelines for establishment and operation of Industrial parks developed and enforced</t>
  </si>
  <si>
    <t>Number of Industrial Park standards and guidelines developed or updated</t>
  </si>
  <si>
    <t>Bench-marking with other country standards for park development, stakeholder consultations, research on industrial park development, compilation of Uganda’s standards</t>
  </si>
  <si>
    <t>UIA, MoFA</t>
  </si>
  <si>
    <t>Number of Industrial parks monitored</t>
  </si>
  <si>
    <t xml:space="preserve">Visits to industrial parks under operation and development to assess compliance to approved standards and license conditions </t>
  </si>
  <si>
    <t>Number of industries in industrial parks monitored</t>
  </si>
  <si>
    <t xml:space="preserve">Inspection of industries in the parks to analyse operations and management to ensure compliance to required standards &amp; procedures </t>
  </si>
  <si>
    <t>UIA, MoGLSD, UNBS, NEMA</t>
  </si>
  <si>
    <t>Number of people trained in industrial park Development, management and operation</t>
  </si>
  <si>
    <t>Training courses offered and attended</t>
  </si>
  <si>
    <t>MoES,  DIT</t>
  </si>
  <si>
    <t>04110102</t>
  </si>
  <si>
    <t>4 Fully Serviced Industrial parks established</t>
  </si>
  <si>
    <t>Number of feasibility studies towards development of industrial parks undertaken</t>
  </si>
  <si>
    <t>Sites visits, data collection, stakeholder consultations, research on parks development, ESIAs conducted, data compilation and analysis, analysis of business activities in proposed areas</t>
  </si>
  <si>
    <t>UIA, NEMA</t>
  </si>
  <si>
    <t>Number of sites (Land) for establishment of industrial parks acquired &amp; secured (UIA)</t>
  </si>
  <si>
    <t>MoTIC, NEMA</t>
  </si>
  <si>
    <t>Number of sites (Land) for establishment of industrial parks acquired &amp; secured (UFZA)</t>
  </si>
  <si>
    <t xml:space="preserve">UIA, MoTIC, NEMA </t>
  </si>
  <si>
    <t>Number of Masterplans and ESIAs for Industrial parks developed (MTIC)</t>
  </si>
  <si>
    <t xml:space="preserve">Land acquisition for the 2 sites; LG engagements, land surveys </t>
  </si>
  <si>
    <t>MoLHUD, MoLG, MoTIC</t>
  </si>
  <si>
    <t>Number of Masterplans and ESIAs for Industrial parks developed (UIA)</t>
  </si>
  <si>
    <t>Number of Masterplans and ESIAs for Industrial parks developed (UFZA)</t>
  </si>
  <si>
    <t>Economic activity analysis for industrial parks, stakeholder engagement, data collection and analysis</t>
  </si>
  <si>
    <t>NPA, UIA, UFZA, MoLG</t>
  </si>
  <si>
    <t>Number of Industrial park sites Equipped with Requisite Infrastructure (Designed, constructed and maintained)</t>
  </si>
  <si>
    <t>NPA, MoTIC, UFZA, MoLG</t>
  </si>
  <si>
    <t>Number of Industrial park sites Equipped with Requisite Infrastructure (UIA)</t>
  </si>
  <si>
    <t>NPA, MoTIC, UIA, MoLG</t>
  </si>
  <si>
    <t>Number of Industrial park sites Equipped with Requisite Infrastructure (UFZA)</t>
  </si>
  <si>
    <t>Prepare designs for 4 industrial parks, construct and maintain infrastructure for 2 industrial parks (roads, water reticulation, HV power, solid waste management/ waste water system, ICT/CCTV, service ducts, perimeter wall fencing and landscaping MSME and common user Buildings, one stop centre)</t>
  </si>
  <si>
    <t>MoWT, MoWE, MEMD, NEMA, UIA, UFZA, MoTIC &amp; NG</t>
  </si>
  <si>
    <t>Number of fully equipped labs established in Industrial parks</t>
  </si>
  <si>
    <t>MoWT, MoWE, MEMD, NEMA, UFZA, MoTIC, ICT</t>
  </si>
  <si>
    <t>MoWT, MoWE, MEMD, NEMA, MoTIC, ICT, UIA</t>
  </si>
  <si>
    <t>Construction of labour (civil, mechanical and electrical works), sourcing and purchase of laboratory equipment, sourcing and hiring and/or training laboratory personnel, sourcing and availing laboratory reagents</t>
  </si>
  <si>
    <t>MoWT, MoFPED, MoTIC</t>
  </si>
  <si>
    <t>04110103</t>
  </si>
  <si>
    <t>30 fully equipped zonal industrial hubs, and integrated leather processing factory established and operated</t>
  </si>
  <si>
    <t>Number of fully equipped and operational facilities linking communities to Industrial parks (State house)</t>
  </si>
  <si>
    <t xml:space="preserve">Acquire land from LGs, construct the hubs (civil, mechanical &amp; electrical works), equip the facilities, </t>
  </si>
  <si>
    <t>002 State House</t>
  </si>
  <si>
    <t>MoTIC, MoLHUD, MoLG</t>
  </si>
  <si>
    <t>Provide technical support for operation and maintenance of the Strategic zonal manufacturing support Infrastructure linking local communities to the Industrial parks</t>
  </si>
  <si>
    <t>MoWT, MoLG</t>
  </si>
  <si>
    <t>04110104</t>
  </si>
  <si>
    <t>Industrialisation Master Plan 2020-2040 and Database</t>
  </si>
  <si>
    <t>Industrialisation Master Plan 2020-2040 and Database in place</t>
  </si>
  <si>
    <t>Carryout industrial surveys, survey and analyse economic activities in and around proposed industrial park sites, stakeholder consultations</t>
  </si>
  <si>
    <t>MoTIC, UIA, UFZA, UBOS</t>
  </si>
  <si>
    <t>041102</t>
  </si>
  <si>
    <t xml:space="preserve">Provide appropriate financing mechanisms to support manufacturing </t>
  </si>
  <si>
    <t>041102a</t>
  </si>
  <si>
    <t xml:space="preserve">Develop local finance solutions </t>
  </si>
  <si>
    <t>041102a01</t>
  </si>
  <si>
    <t>Suitable finance solutions for manufacturers developed</t>
  </si>
  <si>
    <t>Number of suitable financing packages (manufacturing Credit Facility) for manufacturers established and continuously reviewed</t>
  </si>
  <si>
    <t> 3</t>
  </si>
  <si>
    <t>Establish a manufacturing Credit Facility, develop and continuously review guidelines and criteria for suitable financing packages for Manufacturers</t>
  </si>
  <si>
    <t>Number of industries invested in by UDC</t>
  </si>
  <si>
    <t>Capitalize the Industrial development economic fund established under the UDC act to invest in strategic Manufacturing projects</t>
  </si>
  <si>
    <t>MoFPED, MoTIC</t>
  </si>
  <si>
    <t>Number of Industries sensitized and supported to acquire affordable financing</t>
  </si>
  <si>
    <t>50 </t>
  </si>
  <si>
    <t>Sensitize and Provide technical support (through business development services, business plan development, book keeping trainings) to enable manufacturers access affordable finance from the Manufacturing Credit Facility, UDC and other ventures</t>
  </si>
  <si>
    <t>PSF</t>
  </si>
  <si>
    <t>Number of cooperative organizations audited/inspected</t>
  </si>
  <si>
    <t>Register and audit cooperative organizations to ensure a functional and effective community financing mechanism</t>
  </si>
  <si>
    <t>041102b</t>
  </si>
  <si>
    <t xml:space="preserve">Build strategic partnerships that increase sustainable FDI to manufacturing </t>
  </si>
  <si>
    <t>041102b01</t>
  </si>
  <si>
    <t>Sustainable FDI to Manufacturing Increased</t>
  </si>
  <si>
    <t>Number of feasibility studies to develop Manufacturing investment profiles conducted</t>
  </si>
  <si>
    <t> 1</t>
  </si>
  <si>
    <t xml:space="preserve">Undertake feasibility studies to develop investment profiles for key industrial subsectors to inform investment </t>
  </si>
  <si>
    <t>MoTIC, UIA</t>
  </si>
  <si>
    <t>UIA, UDC, MoFA</t>
  </si>
  <si>
    <t>Number of MoUs and Bilateral Agreements Signed</t>
  </si>
  <si>
    <t xml:space="preserve">Support strategic engagement for securing both inward and outward FDI (Bilateral trade and investment negotiations focusing on international trade in services, linking Ugandan enterprises with foreign companies </t>
  </si>
  <si>
    <t>MoFPED, MoFA, State House</t>
  </si>
  <si>
    <t>MoFPED, MoTIC, State House</t>
  </si>
  <si>
    <t>Number of Investments secured through partnerships with Missions Abroad</t>
  </si>
  <si>
    <t>Work with Uganda Missions Abroad to attract investments in the manufacturing sector</t>
  </si>
  <si>
    <t xml:space="preserve">Number of Attaches Placed </t>
  </si>
  <si>
    <t>Support the placement of commercial attaches in strategic countries to promote Uganda’s trade and commercial interests</t>
  </si>
  <si>
    <t>Number of Feasibility Studies Undertaken</t>
  </si>
  <si>
    <t>2 </t>
  </si>
  <si>
    <t>Conduct feasibility studies in strategic sectors for outward FDI interest</t>
  </si>
  <si>
    <t>Number of investment promotion missions Undertaken</t>
  </si>
  <si>
    <t> 5</t>
  </si>
  <si>
    <t>6 </t>
  </si>
  <si>
    <t> 8</t>
  </si>
  <si>
    <t xml:space="preserve">Undertake investment promotion missions for targeted industrial value chains </t>
  </si>
  <si>
    <t>MoTIC, MoFA, UEPB</t>
  </si>
  <si>
    <t>Number of Incentive regime reviews undertaken to attract FDI</t>
  </si>
  <si>
    <t>1 </t>
  </si>
  <si>
    <t>Review the Incentive regime to attract FDI</t>
  </si>
  <si>
    <t xml:space="preserve">Number of Bankable manufacturing projects Developed </t>
  </si>
  <si>
    <t>Develop bankable manufacturing projects and market them for  uptake or funding by prospective investors</t>
  </si>
  <si>
    <t>NPA, UIA</t>
  </si>
  <si>
    <t>Number of Manufactures Supported in attracting FDI and DDI</t>
  </si>
  <si>
    <t> 10</t>
  </si>
  <si>
    <t>10 </t>
  </si>
  <si>
    <t>Support to Local Manufacturers in identifying, attracting and establishing partnerships and joint ventures to attract FDI and DDI (Domestic Direct Investment)</t>
  </si>
  <si>
    <t>MoTIC, MoFPED, UEPB, MoFA</t>
  </si>
  <si>
    <t>Number of Investor Forums</t>
  </si>
  <si>
    <t> 2</t>
  </si>
  <si>
    <t xml:space="preserve">Organize forums where local and foreign investors can interact to forge partnerships </t>
  </si>
  <si>
    <t>MoTIC, MoFA, MIA</t>
  </si>
  <si>
    <t>041103</t>
  </si>
  <si>
    <t xml:space="preserve">Develop the transport networks to support manufacturing especially in resource areas like Muko, Karamoja region; road, water, rail and air </t>
  </si>
  <si>
    <t>04110301</t>
  </si>
  <si>
    <t>Improved access to resource areas to source raw materials for manufacturing</t>
  </si>
  <si>
    <t>Km of roads Constructed/Rehabilitated linking resource areas to Industrial parks</t>
  </si>
  <si>
    <t>Construct/ rehabilitate roads linking resource areas like Muko and Karamoja to industrial parks</t>
  </si>
  <si>
    <t>MoWT, MoFPED</t>
  </si>
  <si>
    <t>Km of rail network constructed/ rehabilitated linking resource areas to industrial parks</t>
  </si>
  <si>
    <t>Construct/rehabilitate railway lines linking resource areas to industrial parks</t>
  </si>
  <si>
    <t>MoWT, MoTIC, UIA</t>
  </si>
  <si>
    <t>041104</t>
  </si>
  <si>
    <t xml:space="preserve">Develop infrastructure linking the neighbouring countries especially DRC and South Sudan </t>
  </si>
  <si>
    <t>04110401</t>
  </si>
  <si>
    <t>Increased cross border trade</t>
  </si>
  <si>
    <t>Km of road linking Uganda to DRC and South Sudan constructed</t>
  </si>
  <si>
    <t>Construct road network linking Uganda to DRC and South Sudan</t>
  </si>
  <si>
    <t>Number of one stop border posts constructed linking Uganda to DRC and Southern Sudan</t>
  </si>
  <si>
    <t>Construction of one stop border posts between DRC, South Sudan and Uganda</t>
  </si>
  <si>
    <t>MoWT, MoWE</t>
  </si>
  <si>
    <t>04110402</t>
  </si>
  <si>
    <t xml:space="preserve">Kampala to Mpondwe and Kampala to Elegu Transformed from transit to development corridors  </t>
  </si>
  <si>
    <t xml:space="preserve">Undertake feasibility studies and develop master plans to inform the transformation of   Kampala to Mpondwe and Kampala to Elegu into development corridors  </t>
  </si>
  <si>
    <t>NPA, UIA, MoLG, State House</t>
  </si>
  <si>
    <t>Number of projects developed and implemented</t>
  </si>
  <si>
    <t xml:space="preserve">Develop and implement projects (Regional production center, logistical hubs, Common user facilites, storage facilities, markets, manufacturing and trade information centres etc) along the Kampala to Mpondwe and Kampala to Elegu development corridors  </t>
  </si>
  <si>
    <t xml:space="preserve"> ICT Enabled Commodity Trading Platform in place </t>
  </si>
  <si>
    <t>Setup and maintain an ICT- enabled commodity trading platform linked to others in partner states through the National Commodity Exchange</t>
  </si>
  <si>
    <t>MoTIC &amp; NG, MoFA</t>
  </si>
  <si>
    <t>MoTIC, MoFA</t>
  </si>
  <si>
    <t>041105</t>
  </si>
  <si>
    <t>Upgrade industries to make them sustainable, with increased resource-use efficiency and greater adoption of clean and environmentally sound technologies and industrial processes</t>
  </si>
  <si>
    <t>04110501</t>
  </si>
  <si>
    <t>Resource efficient and cleaner production technologies and industrial processes adopted</t>
  </si>
  <si>
    <t xml:space="preserve">Number of cleaner production technologies adopted in industry </t>
  </si>
  <si>
    <t>Develop guidelines for implementing RECP in manufacturing subsectors</t>
  </si>
  <si>
    <t>Number of Industries supported to diversify their product value chains into cleaner and environmentally friendly processes</t>
  </si>
  <si>
    <t>Build capacity of local Industries to diversify their product value chains into cleaner and environmentally friendly processes</t>
  </si>
  <si>
    <t>NEMA</t>
  </si>
  <si>
    <t>Eco certification Program for Industries and Industrial products Established and Implemented</t>
  </si>
  <si>
    <t>Develop and implement a program to certify eco-friendly and eco-sensitive industries and products</t>
  </si>
  <si>
    <t>Sets of tools and Equipment for Undertaking RECP training and Assessment</t>
  </si>
  <si>
    <t xml:space="preserve">Strengthen the capacity of relevant institutions by providing tools, equipment to undertake RECP Assessment and training in Industries </t>
  </si>
  <si>
    <t>Number of industries assessed to determine baseline and ex-post resource efficiency and pollution intensity</t>
  </si>
  <si>
    <t>Carry out mapping to determine baseline and ex-post resource efficiency and pollution intensity for industries in the targeted subsectors</t>
  </si>
  <si>
    <t>NEMA, UIA, UBOS, MoGLSD</t>
  </si>
  <si>
    <t>Number of industries Trained in RECP</t>
  </si>
  <si>
    <t>Conduct RECP training and awareness creation in industries</t>
  </si>
  <si>
    <t>NEMA, MoGLSD</t>
  </si>
  <si>
    <t>Number of industries assessed and supported to identify and implement measures for RECP</t>
  </si>
  <si>
    <t>Carry out continuous RECP in plant assessments and provide technical support in industries to identify and implement measures for improving resource efficiency.</t>
  </si>
  <si>
    <t>Annual National RECP catalogue of RECP best practices and success stories published</t>
  </si>
  <si>
    <t>1S</t>
  </si>
  <si>
    <t xml:space="preserve">Develop, and annually disseminate a catalogue of RECP best practices and success stories </t>
  </si>
  <si>
    <t>0412</t>
  </si>
  <si>
    <t>Increase value addition for import replacement and enhanced exports</t>
  </si>
  <si>
    <t>041201</t>
  </si>
  <si>
    <t>Support existing local manufactures for both medical products and pharmaceuticals</t>
  </si>
  <si>
    <t>04120101</t>
  </si>
  <si>
    <t>Improved product volumes and quality in pharma subsector</t>
  </si>
  <si>
    <t>Number of Updated standards, regulations and guidelines chains into cleaner and environmentally friendly processes</t>
  </si>
  <si>
    <t>Review and update standards, regulations and guidelines to cater for indigenous Pharma remedies (incl. Dissemination, enforcement and M&amp;E)</t>
  </si>
  <si>
    <t>MoH (NDA)</t>
  </si>
  <si>
    <t>014 Ministry of Health</t>
  </si>
  <si>
    <t>Number of pharmaceutical industries supported</t>
  </si>
  <si>
    <t>Provide technical support to local pharmaceutical industries in Good Manufacturing Practices and prequalification standards.</t>
  </si>
  <si>
    <t>UNBS, NDA</t>
  </si>
  <si>
    <t>NDA</t>
  </si>
  <si>
    <t>MoTIC, UNBS</t>
  </si>
  <si>
    <t>Number of new Pharmaceutical products certified</t>
  </si>
  <si>
    <t xml:space="preserve">Facilitate local industries especially those involved in production of indigenous pharma remedies to acquire appropriate technologies and product certification </t>
  </si>
  <si>
    <t>MoSTI, UVRI, MoH, UNCST, NDA</t>
  </si>
  <si>
    <t>Number of sensitization campaigns on locally produced Pharma products conducted (MOH)</t>
  </si>
  <si>
    <t>MOH</t>
  </si>
  <si>
    <t>Conduct sensitization and awareness campaigns on locally produced pharma products</t>
  </si>
  <si>
    <t>Number of sensitization campaigns on locally produced Pharma products conducted (MTIC)</t>
  </si>
  <si>
    <t>MoH</t>
  </si>
  <si>
    <t>MoSTI, UVRI, UNCST, NDA</t>
  </si>
  <si>
    <t>Number of pharma industries invested in</t>
  </si>
  <si>
    <t>Undertake Investment in strategic local pharmaceutical industries e.g starch, herbal extracts, Cotton based medical Sundries, I.V fluids.</t>
  </si>
  <si>
    <t>UIA, MoTIC, NDA, MoH</t>
  </si>
  <si>
    <t>04120102</t>
  </si>
  <si>
    <t>Number of negotiation meetings for the extension of WTO TRIPS Agreement participated in</t>
  </si>
  <si>
    <t>Participate in the negotiations for the extension of WTO TRIPS Agreement on access to essential medicine beyond 2033</t>
  </si>
  <si>
    <t>0.5 </t>
  </si>
  <si>
    <t>Participate in the negotiations for the extension of WTO TRIPS Agreement on access to essential medicine beyond 2034</t>
  </si>
  <si>
    <t>Increased market share of Uganda’s  Pharmaceutical industry in the regional markets</t>
  </si>
  <si>
    <t>Number of Policies reviewed in line with trade of Pharma products</t>
  </si>
  <si>
    <t xml:space="preserve">Review existing policies on trade of pharmaceuticals to address competitiveness issues </t>
  </si>
  <si>
    <t>NDA, MoH, UNBS, Parliament, Cabinet Secretary</t>
  </si>
  <si>
    <t>Number of markets attained for pharma products</t>
  </si>
  <si>
    <t xml:space="preserve">Promote Market entry of Uganda’s Pharma products in the region markets </t>
  </si>
  <si>
    <t>MoFA, MEACA</t>
  </si>
  <si>
    <t>041202</t>
  </si>
  <si>
    <t>Provide government support for installation of recycling facilities for Polyethylene terephthalate (PET), High-Density Polyethylene (HDPE) Low-Density Polyethylene (LDPE) and Polypropylene (PP)</t>
  </si>
  <si>
    <t>04120201</t>
  </si>
  <si>
    <t>Improved quality of plastic products</t>
  </si>
  <si>
    <t>Guidelines and standards for establishment and Operation of Plastic recycling facilities in place and enforced</t>
  </si>
  <si>
    <t>Develop and implement Guidelines and standards for establishment and Operation of Plastic recycling facilities</t>
  </si>
  <si>
    <t>Number of inspection and technical guidance field visits conducted to plastic industries</t>
  </si>
  <si>
    <t xml:space="preserve">Undertake Inspection and technical guidance to plastic industries </t>
  </si>
  <si>
    <t>MoTIC, UIRI, Makerere University</t>
  </si>
  <si>
    <t xml:space="preserve">Number of plastic products certified </t>
  </si>
  <si>
    <t>Support plastic recycling industries to acquire appropriate technologies and product certification</t>
  </si>
  <si>
    <t>04120202</t>
  </si>
  <si>
    <t>Increased investment in plastics recycling</t>
  </si>
  <si>
    <t>Number of youth incubated I plastic recycling</t>
  </si>
  <si>
    <t>Develop incubation facilities and undertake incubation of youth in participation in the plastics recycling value chain</t>
  </si>
  <si>
    <t>MoFPED, UIRI, MoES</t>
  </si>
  <si>
    <t>Number of investors attracted in the plastic recycling industry</t>
  </si>
  <si>
    <t>Facilitate private sector and local Governments to Invest in strategic Plastic recycling to reduce environmental pollution and the import bill</t>
  </si>
  <si>
    <t>MoFPED, PSF</t>
  </si>
  <si>
    <t>Number of innovators supported in the plastic recycling industry</t>
  </si>
  <si>
    <t>Support R&amp;D and local innovators to develop environmentally friendly technologies</t>
  </si>
  <si>
    <t>UNCST, MoES, Makerere University, MoTIC</t>
  </si>
  <si>
    <t>041203</t>
  </si>
  <si>
    <t>Support local automotive assembling and manufacturing</t>
  </si>
  <si>
    <t>04120301</t>
  </si>
  <si>
    <t xml:space="preserve">Increased quantity and quality of production in  the Automotive assembly and Manufacturing  Industry </t>
  </si>
  <si>
    <t>Number of standards and guidelines developed for the Automotive Assembly and Manufacturing Industry</t>
  </si>
  <si>
    <t>Develop and regionally harmonize Standards and Guidelines for the Automotive Assembly and Manufacturing Industry</t>
  </si>
  <si>
    <t>KMC, MoFA, MoSTI, MoTIC</t>
  </si>
  <si>
    <t>Updated vehicle register in place</t>
  </si>
  <si>
    <t>Update vehicle registration to provide for power train type of vehicle, place of assembly/manufacture</t>
  </si>
  <si>
    <t>MoSTI (KMC)</t>
  </si>
  <si>
    <t>Guidelines in place and enforced</t>
  </si>
  <si>
    <t xml:space="preserve">Guidelines for VIN for vehicles made in Uganda </t>
  </si>
  <si>
    <t>Develop and enforce guidelines for disposal and recycling of end of life vehicles, used vehicles parts and electric vehicle waste management</t>
  </si>
  <si>
    <t>%age level of equipping the Kiira Vehicle Plant</t>
  </si>
  <si>
    <t> 100</t>
  </si>
  <si>
    <t xml:space="preserve">Purchase and install plant machinery, equipment and tools </t>
  </si>
  <si>
    <t>MoSTI, MoFPED</t>
  </si>
  <si>
    <t>Number of Vehicles Purchased (Buses, Pickups and Tractors)</t>
  </si>
  <si>
    <t>Facilitate offtake market by Government for locally made vehicles and part</t>
  </si>
  <si>
    <t>MoFPED, MoSTI, KMC</t>
  </si>
  <si>
    <t>Number of Vehicle Plants and Parts Manufacturing Facilities Established</t>
  </si>
  <si>
    <t xml:space="preserve">Establishment of Vehicle Plants and Parts Manufacturing Facilities </t>
  </si>
  <si>
    <t>Number of times the Tax regime is reviewed to limit importation of the used vehicles and parts</t>
  </si>
  <si>
    <t>MOFPED</t>
  </si>
  <si>
    <t>Review the Tax regime to limit importation of the used vehicles and parts and incentivize importation of SKDs and CKDs</t>
  </si>
  <si>
    <t>KMC, MoSTI, Parliament</t>
  </si>
  <si>
    <t>Number of domestic industries supported in the automotive Industry Value chain</t>
  </si>
  <si>
    <t> 6</t>
  </si>
  <si>
    <t xml:space="preserve">Develop capacity of domestic industries to participate in the Automotive Industry Value Chain </t>
  </si>
  <si>
    <t> Number of recycling plants established</t>
  </si>
  <si>
    <t>Facilitate establishment of recycling facilities for end-of-life automotive technology</t>
  </si>
  <si>
    <t>Number of Calibration capabilities developed</t>
  </si>
  <si>
    <t>Establish and develop calibration and measurement capacity for the automotive sector</t>
  </si>
  <si>
    <t>141 Uganda Revenue Authority</t>
  </si>
  <si>
    <t>MoWT, KMC</t>
  </si>
  <si>
    <t>Homologation center in place</t>
  </si>
  <si>
    <t xml:space="preserve">Establish a homologation Centre for testing of automotive </t>
  </si>
  <si>
    <t>Number of agreements, joint ventures and partnerships</t>
  </si>
  <si>
    <t>Facilitate technology development, transfer and diffusion Joint Ventures and Partnerships with global automotive industry players</t>
  </si>
  <si>
    <t>041204</t>
  </si>
  <si>
    <t>Support existing sugar factories to produce industrial sugar</t>
  </si>
  <si>
    <t>04120401</t>
  </si>
  <si>
    <t>Forex expenditure on industrial sugar importation reduced</t>
  </si>
  <si>
    <t>Scheme developed</t>
  </si>
  <si>
    <t>Develop and implement an incentive scheme for industrial sugar production</t>
  </si>
  <si>
    <t>Number of industries supported</t>
  </si>
  <si>
    <t>Provide technical support to sugar industries to diversify into industrial sugar production</t>
  </si>
  <si>
    <t>Functional National sugar board in place</t>
  </si>
  <si>
    <t>Establish and operationalise the National sugar board</t>
  </si>
  <si>
    <t>Number of local confectionery industries</t>
  </si>
  <si>
    <t>Facilitate local Industries in sugar confectioneries to acquire appropriate technologies and product certification for products made with industrial sugar</t>
  </si>
  <si>
    <t>04120402</t>
  </si>
  <si>
    <t>Quantity of industrial sugar exported</t>
  </si>
  <si>
    <t>Number of new markets for manufactured industrial sugar identified</t>
  </si>
  <si>
    <t>Identify and negotiate new markets for manufactured industrial sugar</t>
  </si>
  <si>
    <t>MEACA, MoFA, UEPB</t>
  </si>
  <si>
    <t>MoTIC, MEACA, UEPB</t>
  </si>
  <si>
    <t>021 Ministry of East African Community Affairs Uganda</t>
  </si>
  <si>
    <t>MoFA, MoTIC, UEPB</t>
  </si>
  <si>
    <t>%age of NTBS addressed</t>
  </si>
  <si>
    <t>Hold engagements with regional partners to reduce NTBs for industrial sugar</t>
  </si>
  <si>
    <t>MEACA, MoFA</t>
  </si>
  <si>
    <t>042</t>
  </si>
  <si>
    <t>Trade Development</t>
  </si>
  <si>
    <t>0423</t>
  </si>
  <si>
    <t>Increase access to regional and international markets</t>
  </si>
  <si>
    <t>042301</t>
  </si>
  <si>
    <t xml:space="preserve">Expand the range of manufacturing standards and enforce applicable regulations </t>
  </si>
  <si>
    <t>04230101</t>
  </si>
  <si>
    <t>Enhanced quality of Ugandan manufactured products</t>
  </si>
  <si>
    <t>Number of standards developed for products on the Ugandan market</t>
  </si>
  <si>
    <t>700 </t>
  </si>
  <si>
    <t>750 </t>
  </si>
  <si>
    <t>800 </t>
  </si>
  <si>
    <t xml:space="preserve">UNBS </t>
  </si>
  <si>
    <t>Develop standards for products on the Ugandan market</t>
  </si>
  <si>
    <t>Number of priority value chain standards developed</t>
  </si>
  <si>
    <t>Develop standards implementation guidelines for selected priority value chains</t>
  </si>
  <si>
    <t>Number of manufacturers sensitized</t>
  </si>
  <si>
    <t>Sensitize manufacturers and traders on available standards and the requirements for standardisation</t>
  </si>
  <si>
    <t> Number of studies conducted</t>
  </si>
  <si>
    <t> 4</t>
  </si>
  <si>
    <t xml:space="preserve">Conduct detailed studies in target export markets to identify additional standards-related requirements essential to market-entry and competitiveness </t>
  </si>
  <si>
    <t>UEPB, MoTIC, MoFA</t>
  </si>
  <si>
    <t>%age increase in the Value of exports</t>
  </si>
  <si>
    <t> 12</t>
  </si>
  <si>
    <t>Promote market compliant products in target export markets and link manufacturers to foreign buyers</t>
  </si>
  <si>
    <t>0.7 </t>
  </si>
  <si>
    <t>UNBS, MoTIC, MoFA</t>
  </si>
  <si>
    <t>Number of Ugandan brands registered and exported</t>
  </si>
  <si>
    <t>Enhance the packaging and branding of Ugandan products to improve on their competitiveness</t>
  </si>
  <si>
    <t>UNBS, UEPB</t>
  </si>
  <si>
    <t>Number of export readiness assessments conducted</t>
  </si>
  <si>
    <t>Carry out export readiness assessment on budding export firms and build capacity of firms to ready them for export</t>
  </si>
  <si>
    <t>04230102</t>
  </si>
  <si>
    <t>Improved Uganda’s doing business rank</t>
  </si>
  <si>
    <t>Number of reform measures implemented</t>
  </si>
  <si>
    <t xml:space="preserve">Support the implementation of trade facilitation initiatives to improve the Uganda’s doing business environment and ranking </t>
  </si>
  <si>
    <t>Number of export markets profiled</t>
  </si>
  <si>
    <t>Strategic market profiling for Uganda’s export both product and countries to exploit / develop</t>
  </si>
  <si>
    <t>0 </t>
  </si>
  <si>
    <t>Develop and implement a framework for issuance and management of internationally recognised product codes for Ugandan manufactured products</t>
  </si>
  <si>
    <t>Percentage of NTBs eliminated</t>
  </si>
  <si>
    <t>Support the NTB removal / monitoring mechanism in our strategic markets (NTB online reporting system, enhanced legal reforms, NMC, etc)</t>
  </si>
  <si>
    <t>04230103</t>
  </si>
  <si>
    <t xml:space="preserve">Improved market access for the products through certification services </t>
  </si>
  <si>
    <t> Number of products certified</t>
  </si>
  <si>
    <t>Undertake certification of products to increase market access</t>
  </si>
  <si>
    <t>Number of MSMEs supported for products certification</t>
  </si>
  <si>
    <t xml:space="preserve">Provide technical, equipment and financial support certification of MSMEs products. </t>
  </si>
  <si>
    <t> Number of commercial offices supported</t>
  </si>
  <si>
    <t>Support Commercial Offices in the local governments to promote implementation of standards and quality requirements of manufactured products and ensure compliance</t>
  </si>
  <si>
    <t> Number of products tested</t>
  </si>
  <si>
    <t>Provide testing services to support manufacturing in the identified sectors</t>
  </si>
  <si>
    <t xml:space="preserve">Number of inspections conducted </t>
  </si>
  <si>
    <t>Undertake enforcement activities in the market through market surveillance and inspection</t>
  </si>
  <si>
    <t>MoTIC, UPF</t>
  </si>
  <si>
    <t>Number of consignments inspected</t>
  </si>
  <si>
    <t>Undertake enforcement activities at entry points for imported products to enforce compliance to standards</t>
  </si>
  <si>
    <t>MoTIC, UPF, URA</t>
  </si>
  <si>
    <t> NQE award established</t>
  </si>
  <si>
    <t>Establish a national quality excellence award</t>
  </si>
  <si>
    <t>042302</t>
  </si>
  <si>
    <t xml:space="preserve">Establish a sliding scale export incentive regime </t>
  </si>
  <si>
    <t>04230201</t>
  </si>
  <si>
    <t xml:space="preserve">Increased forex earning from sliding scale export incentive regime </t>
  </si>
  <si>
    <t>Percentage value &amp; volume of manufactured exports</t>
  </si>
  <si>
    <t>Develop and implement a policy framework to Implement a sliding scale export incentive regime</t>
  </si>
  <si>
    <t>MoFPED, Parliament</t>
  </si>
  <si>
    <t>042303</t>
  </si>
  <si>
    <t>Establish a sliding scale export financing rate</t>
  </si>
  <si>
    <t>04230301</t>
  </si>
  <si>
    <t>Increased volume of manufactured goods for export</t>
  </si>
  <si>
    <t>Short term study on appropriate export financing mechanism undertaken</t>
  </si>
  <si>
    <t>Undertake short term study on appropriate export financing mechanism</t>
  </si>
  <si>
    <t>UEPB, MoFPED</t>
  </si>
  <si>
    <t>Tailor-made financing facilities to enhance export of manufactured products developed</t>
  </si>
  <si>
    <t>Develop tailor-made financing facilities to enhance export of manufactured products</t>
  </si>
  <si>
    <t>MoTIC, MEACA, MoFA</t>
  </si>
  <si>
    <t>Operationalization of export development financing in the National Export Development Strategy supported</t>
  </si>
  <si>
    <t>Support the operationalization of export development financing in the National Export Development Strategy</t>
  </si>
  <si>
    <t>042304</t>
  </si>
  <si>
    <t xml:space="preserve">Establish 4 export logistics centres </t>
  </si>
  <si>
    <t>04230401</t>
  </si>
  <si>
    <t>Improved seamless export of Ugandan products</t>
  </si>
  <si>
    <t>Locations and land availability identified</t>
  </si>
  <si>
    <t>Identify locations and land availability</t>
  </si>
  <si>
    <t>MoLHUD, MoLG</t>
  </si>
  <si>
    <t>Feasibility studies undertaken</t>
  </si>
  <si>
    <t xml:space="preserve">Undertake feasibility studies  </t>
  </si>
  <si>
    <t>Master plans and ESIAs developed</t>
  </si>
  <si>
    <t>Develop master plans and ESIAs</t>
  </si>
  <si>
    <t>NPA, UIA, NEMA</t>
  </si>
  <si>
    <t>4 export Logistics centers constructed and operationalised</t>
  </si>
  <si>
    <t>Construct and operationalise the Logistics centers</t>
  </si>
  <si>
    <t>042305</t>
  </si>
  <si>
    <t>Establish 4 border markets to facilitate trade with regional neighbours (especially at the South Sudan and Congo borders)</t>
  </si>
  <si>
    <t>04230501</t>
  </si>
  <si>
    <t>Increased exports to targeted neighbouring markets</t>
  </si>
  <si>
    <t>Number of border markets established</t>
  </si>
  <si>
    <t xml:space="preserve">Undertake feasibility studies, </t>
  </si>
  <si>
    <t>NPA, MEACA, UEPB</t>
  </si>
  <si>
    <t>Proportion of agreed partnership expectations/ actions implemented as per MOUs/ written commitment</t>
  </si>
  <si>
    <t>Develop master plans and designs</t>
  </si>
  <si>
    <t>Average Time (hrs) Goods Clearance (Exports)</t>
  </si>
  <si>
    <t>Construct and operationalise 2 border export zone/border market facilities</t>
  </si>
  <si>
    <t>MoWT, MoWE, MEMD, URA</t>
  </si>
  <si>
    <t>Proportion of stakeholder groups involved in Customs interventions (revenue &amp; non-revenue related)</t>
  </si>
  <si>
    <t>Hold Regional training centres (RTC) heads meeting</t>
  </si>
  <si>
    <t>Hold/participate in International forums (WCO)</t>
  </si>
  <si>
    <t>Well prepared error free contracts and MOUs grounded on clear instructions.</t>
  </si>
  <si>
    <t>MoFA, MJCA, AG</t>
  </si>
  <si>
    <t>Complete roll out of SCT clearance</t>
  </si>
  <si>
    <t>Engage MDAs (Information exchange, Enforcement initiatives)</t>
  </si>
  <si>
    <t>MoTIC &amp; NG, MEACA</t>
  </si>
  <si>
    <t>042306</t>
  </si>
  <si>
    <t>Sign bilateral agreements to guarantee market access especially to DRC &amp; South Sudan</t>
  </si>
  <si>
    <t>04230601</t>
  </si>
  <si>
    <t>Increased revenue from cross border trade</t>
  </si>
  <si>
    <t>Number of market studies undertaken</t>
  </si>
  <si>
    <t xml:space="preserve">Undertake detailed market studies to identify offensive and defensive options to inform national negotiating position </t>
  </si>
  <si>
    <t>NPA, MoFPED</t>
  </si>
  <si>
    <t> Number of sensitisation campaigns conducted</t>
  </si>
  <si>
    <t> 24</t>
  </si>
  <si>
    <t xml:space="preserve">Sensitize the business community on negotiated market opportunities  </t>
  </si>
  <si>
    <t xml:space="preserve">%age of increment of Uganda’s exports into the negotiated markets </t>
  </si>
  <si>
    <t xml:space="preserve">Develop and implement a response strategy for the different negotiated markets </t>
  </si>
  <si>
    <t>Number of trade agreements signed</t>
  </si>
  <si>
    <t>Initiate, negotiate and sign trade agreements within bilateral frameworks (MoTIC)</t>
  </si>
  <si>
    <t>MoFA, MJCA, OAG, MIA</t>
  </si>
  <si>
    <t>MoFa</t>
  </si>
  <si>
    <t>Initiate, negotiate and sign trade agreements within bilateral frameworks (MoFA)</t>
  </si>
  <si>
    <t>MoTIC, MJCA, OAG, MIA</t>
  </si>
  <si>
    <t>MoJCA</t>
  </si>
  <si>
    <t>Initiate, negotiate and sign trade agreements within bilateral frameworks (MoJCA)</t>
  </si>
  <si>
    <t>007 Ministry of Justice and Constitutional Affairs</t>
  </si>
  <si>
    <t>MoTIC, MoFA, OAG, MIA</t>
  </si>
  <si>
    <t>MoIA</t>
  </si>
  <si>
    <t>Initiate, negotiate and sign trade agreements within bilateral frameworks (MoIA)</t>
  </si>
  <si>
    <t>009 Ministry of Internal Affairs</t>
  </si>
  <si>
    <t>MoTIC, MoFA, OAG, MJCA</t>
  </si>
  <si>
    <t>042307</t>
  </si>
  <si>
    <t>Strengthen information management and negotiation for greater access to targeted markets</t>
  </si>
  <si>
    <t>04230701</t>
  </si>
  <si>
    <t>Enhanced effective market intelligence</t>
  </si>
  <si>
    <t>Institutional capacity for market intelligence (training, retooling, exposure visits for staff) enhanced</t>
  </si>
  <si>
    <t>Build institutional capacity for market intelligence (training, retooling, exposure visits for staff)</t>
  </si>
  <si>
    <t>Information management system on Uganda's markets in place</t>
  </si>
  <si>
    <t>Build an information management system on Uganda’s markets</t>
  </si>
  <si>
    <t>MoTIC, MoFA, MEACA</t>
  </si>
  <si>
    <t>Integrated market information system (leveraging on Uganda’s foreign missions and international partners) developed</t>
  </si>
  <si>
    <t>Develop integrated market information system (leveraging on Uganda’s foreign missions and international partners)</t>
  </si>
  <si>
    <t>No. of sensitization and awareness campaigns conducted</t>
  </si>
  <si>
    <t>Conduct Sensitisation and awareness campaigns</t>
  </si>
  <si>
    <t>MoTIC, ICT &amp; NG</t>
  </si>
  <si>
    <t>042308</t>
  </si>
  <si>
    <t>Support the national conformity assessment system to attain international recognition through Accreditation</t>
  </si>
  <si>
    <t>04230801</t>
  </si>
  <si>
    <t>Increased testing capability of the country</t>
  </si>
  <si>
    <t>Law on Accreditation enacted</t>
  </si>
  <si>
    <t>Develop Bill on Accreditation and regulations there of</t>
  </si>
  <si>
    <t xml:space="preserve">MJCA, Parliamnet </t>
  </si>
  <si>
    <t>National accreditation body established</t>
  </si>
  <si>
    <t>Establish a National Accreditation Body (NAB) for Uganda</t>
  </si>
  <si>
    <t>MoFPED, OAG</t>
  </si>
  <si>
    <t>National conformity assessment system in place (Build capacity of the NAB)</t>
  </si>
  <si>
    <t>Build capacity of the NAB to develop expertise and enforce accreditation procedures and standards</t>
  </si>
  <si>
    <t>Twinning agreements with internationally recognized accreditation bodies established</t>
  </si>
  <si>
    <t>Establish twinning agreements with internationally recognized accreditation bodies and subscribe to international accreditation agencies</t>
  </si>
  <si>
    <t>0.35 </t>
  </si>
  <si>
    <t>OAG, MJCA, MoFPED</t>
  </si>
  <si>
    <t>04230802</t>
  </si>
  <si>
    <t>Internationally recognized National Measurement system to support the National Accreditation and conformity assessment system developed</t>
  </si>
  <si>
    <t>%age expansion of accreditation</t>
  </si>
  <si>
    <t>Expand the existing scope for accreditation to ensure recognition of UNBS certification services regionally and internationally (testing, training, procurement)</t>
  </si>
  <si>
    <t>MoFA, OAG, MJCA, MEACA</t>
  </si>
  <si>
    <t>MRAs signed Membership to CGPM</t>
  </si>
  <si>
    <t xml:space="preserve">Obtain and maintain international recognition of the National measurement system </t>
  </si>
  <si>
    <t>MoFA, OAG, MJCA</t>
  </si>
  <si>
    <t>042309</t>
  </si>
  <si>
    <t>Establish Export Credit Guarantee Schemes for SMEs</t>
  </si>
  <si>
    <t>04230901</t>
  </si>
  <si>
    <t>Increased revenue to SMEs</t>
  </si>
  <si>
    <t>Credit guarantee program in place</t>
  </si>
  <si>
    <t> 0</t>
  </si>
  <si>
    <t> Develop a credit guarantee program</t>
  </si>
  <si>
    <t>Number of financing institutions attracted</t>
  </si>
  <si>
    <t xml:space="preserve">Attract financing institutions </t>
  </si>
  <si>
    <t>MoFPED, MoFA, MEACA, UEPB</t>
  </si>
  <si>
    <t>Number of sensitization programs conducted</t>
  </si>
  <si>
    <t> 20</t>
  </si>
  <si>
    <t>Popularize scheme across the country</t>
  </si>
  <si>
    <t>043</t>
  </si>
  <si>
    <t>0434</t>
  </si>
  <si>
    <t>Strengthen the legal and institutional framework to support manufacturing</t>
  </si>
  <si>
    <t>043401</t>
  </si>
  <si>
    <t xml:space="preserve">Enact and enforce the local content law </t>
  </si>
  <si>
    <t>04340101</t>
  </si>
  <si>
    <t>Local content law enacted and enforced</t>
  </si>
  <si>
    <t xml:space="preserve">Facilitate the finalisation of the Local Content Law and development of regulations </t>
  </si>
  <si>
    <t>Complicance of the law monitored</t>
  </si>
  <si>
    <t>Monitor compliance of the law</t>
  </si>
  <si>
    <t>Local content law disseminated</t>
  </si>
  <si>
    <t>Disseminate and Create awareness to popularize the law</t>
  </si>
  <si>
    <t>`</t>
  </si>
  <si>
    <t>Industrial surveys to establish capacity of local manufacturers established</t>
  </si>
  <si>
    <t>Undertake industrial surveys to establish capacity of local manufacturers</t>
  </si>
  <si>
    <t>NPA, UIA, MoGLSD</t>
  </si>
  <si>
    <t>Functional (updated) industrial database in place</t>
  </si>
  <si>
    <t xml:space="preserve">Update the database of local manufacturers </t>
  </si>
  <si>
    <t>Number of Manufacturers Supported</t>
  </si>
  <si>
    <t>Provide firm level technical support to manufacturers to improve manufacturing capabilities</t>
  </si>
  <si>
    <t>MoLG, MoGLSD, UNBS</t>
  </si>
  <si>
    <t>% of the processes that are re-engineered</t>
  </si>
  <si>
    <t xml:space="preserve">Implement Quality Management Systems </t>
  </si>
  <si>
    <t>UNBS, MoTIC</t>
  </si>
  <si>
    <t>043402</t>
  </si>
  <si>
    <t xml:space="preserve">Enforce the laws on counterfeits and poor-quality products </t>
  </si>
  <si>
    <t>04340201</t>
  </si>
  <si>
    <t>Anti-counterfeits and quality product laws enforced</t>
  </si>
  <si>
    <t>Number of bills developed</t>
  </si>
  <si>
    <t>Develop Legal metrology bill and Industrial and Scientific metrology bill and their regulations</t>
  </si>
  <si>
    <t>UNMA, Parliament, MJCA</t>
  </si>
  <si>
    <t>Number of laws and regulations on Intellectual property rights reviewed</t>
  </si>
  <si>
    <t xml:space="preserve">Review laws on intellectual property rights to address counterfeits in manufacturing </t>
  </si>
  <si>
    <t>MoTIC, Parliament</t>
  </si>
  <si>
    <t>Weights and Measures Amendment Act in place and enforced</t>
  </si>
  <si>
    <t>Amend the Weights and Measures regulations and rules.</t>
  </si>
  <si>
    <t>Number of inspections undertaken</t>
  </si>
  <si>
    <t> 210,000</t>
  </si>
  <si>
    <t> 220,000</t>
  </si>
  <si>
    <t> 223,000</t>
  </si>
  <si>
    <t>250,000 </t>
  </si>
  <si>
    <t>MoTIC &amp; NG, MJCA</t>
  </si>
  <si>
    <t xml:space="preserve"> FairTrade Remedies Bill developed and enacted</t>
  </si>
  <si>
    <t>Develop and enact the FairTrade Remedies Bill</t>
  </si>
  <si>
    <t>Number of trained and licensed manufacturers</t>
  </si>
  <si>
    <t>Train and license local manufacturers of weighing and measuring instruments (Mbale, Iganga, Kampala each at 15 m</t>
  </si>
  <si>
    <t>0.2 </t>
  </si>
  <si>
    <t>Enforce existing laws in the sector of manufacturing (Trade Licensing Act, Industrial Licensing Act, Liquor Act, Enguli Act, Sugar Act, Hire Purchase Act, Sale of Goods Act and Supply of Services Act, etc)</t>
  </si>
  <si>
    <t>UNBS, UPF</t>
  </si>
  <si>
    <t>% of DRMS Initiatives implemented</t>
  </si>
  <si>
    <t>Conduct inspections on pre-packages, Market surveillance and enforcement on local and imported goods</t>
  </si>
  <si>
    <t>Develop and implement regulations under the Trade Licensing Act on distributing manufactured products along the supply chain</t>
  </si>
  <si>
    <t>UNBS, MJCA</t>
  </si>
  <si>
    <t>Finalise the enactment of the Competition Bill</t>
  </si>
  <si>
    <t>Finalise the Consumer Protection Bill</t>
  </si>
  <si>
    <t>Implement the BUBU Strategy</t>
  </si>
  <si>
    <t>Identify locally produced products and services</t>
  </si>
  <si>
    <t>Build capacity of local suppliers</t>
  </si>
  <si>
    <t>Formalise local business entities</t>
  </si>
  <si>
    <t>Improve reliability and sustainability of suppliers</t>
  </si>
  <si>
    <t>Implement mandatory application of preservation schemes as stipulated in PPDA law</t>
  </si>
  <si>
    <t>Ensure conformity and compliance to standards</t>
  </si>
  <si>
    <t>Brand and market Ugandan products</t>
  </si>
  <si>
    <t>UIA, MEACA, UEPB, MoFA</t>
  </si>
  <si>
    <t>Ensure timely payments to suppliers</t>
  </si>
  <si>
    <t>Engage stockists to give local products shelf display</t>
  </si>
  <si>
    <t>Mainstream BUBU in plans and strategies</t>
  </si>
  <si>
    <t>Develop and implement the BUBU communication strategy</t>
  </si>
  <si>
    <t>Coordinate BUBU Strategy implementation among private sector players</t>
  </si>
  <si>
    <t xml:space="preserve">Strengthen inter institutional enforcement initiatives </t>
  </si>
  <si>
    <t>Implement the Automatic Exchange of Information and   common reporting standards for tax purposes</t>
  </si>
  <si>
    <t>043403</t>
  </si>
  <si>
    <t>Change the tax regime to attract more investors in manufacturing; upstream parts of the value chains</t>
  </si>
  <si>
    <t>04340301</t>
  </si>
  <si>
    <t xml:space="preserve">Tax Regime reviewed </t>
  </si>
  <si>
    <t>Number of cost optimization studies to inform tax relief and cost management support to industries undertaken</t>
  </si>
  <si>
    <t>Undertake cost optimization studies to inform tax relief and cost management support to industries in priority subsectors</t>
  </si>
  <si>
    <t>Uganda’s participation in the review of CET to incentivize backward integration in industrial value chains facilitated</t>
  </si>
  <si>
    <t>Facilitate Uganda’s participation in the review of CET to incentivize backward integration in industrial value chains</t>
  </si>
  <si>
    <t xml:space="preserve">MoTIC, MoFA, MEACA </t>
  </si>
  <si>
    <t>Review the domestic tax and non-tax regime effect on attracting FDI/DDI, promoting investments into manufacturing and off take of manufactured products</t>
  </si>
  <si>
    <t>Parliamnet, MoTIC</t>
  </si>
  <si>
    <t>Provide cost management support to upstream industries in the value chains of steel, pharmaceuticals, textiles, petrochemicals and auto spare parts,</t>
  </si>
  <si>
    <t>No of regulations for the metal scrap industry to increase availability of raw materials for local industries established and implemented</t>
  </si>
  <si>
    <t xml:space="preserve">Establish and implement regulations for the metal scrap industry to increase availability of raw materials for local industries </t>
  </si>
  <si>
    <t>MoIA, UPF</t>
  </si>
  <si>
    <t>Proportion of LSBA process improvement interventions executed (%)</t>
  </si>
  <si>
    <t>Implement 12 technical support engagements (engagements with departments) – Debt Collection Unit (DCU), Policy reviews, tax amendment proposals, legal provisions in customs and domestic laws.</t>
  </si>
  <si>
    <t>MoTIC, MoFPED</t>
  </si>
  <si>
    <t>043404</t>
  </si>
  <si>
    <t>Formulate, implement and enforce standards, laws, and regulations to facilitate adoption to green manufacturing</t>
  </si>
  <si>
    <t>04340401</t>
  </si>
  <si>
    <t>Industrial Licensing Act amended and enforced</t>
  </si>
  <si>
    <t>Industrial licensing Amendment Act and relevant regulations enforced</t>
  </si>
  <si>
    <t>Amend and enforce the industrial licensing Act</t>
  </si>
  <si>
    <t>04340402</t>
  </si>
  <si>
    <t>Green Manufacturing Practices Adopted</t>
  </si>
  <si>
    <t>Number of green manufacturing technologies adopted</t>
  </si>
  <si>
    <t>Re-tool, design and capacity building through eco-sensitization programme for existing industrial parks, including compliance with UNBS Act, NEMA Act, Investment Code Act, etc.</t>
  </si>
  <si>
    <t>UNBS, UIA, NEMA</t>
  </si>
  <si>
    <t>Number of regulations and guidelines developed and enforced</t>
  </si>
  <si>
    <t>Develop and implement Regulations and guidelines to facilitate green manufacturing e.g phasing out importation of obsolete technology, utilization and recycling of waste among others</t>
  </si>
  <si>
    <t>NEMA, UPF</t>
  </si>
  <si>
    <t>Number of Industrialists supported to adopt and comply with international (ISO 14000) and national environmental management requirements/standards</t>
  </si>
  <si>
    <t> 200</t>
  </si>
  <si>
    <t xml:space="preserve">Formulate and implement laws on competition, consumer protection trade remedies etc. to protect the market from unfair practices </t>
  </si>
  <si>
    <t xml:space="preserve">Amend the Tobacco production and Marketing Act to ensure supply of good quality tobacco, enhanced value addition and protection of farmers </t>
  </si>
  <si>
    <t>Review the Hire Purchase Act Regulations 2012 to promote off take of locally manufactured products</t>
  </si>
  <si>
    <t>Provide technical guidance to industrialists to adopt and comply with international (ISO 14000) and national environmental management requirements/standards</t>
  </si>
  <si>
    <t>UNBS, NEMA</t>
  </si>
  <si>
    <t>04340403</t>
  </si>
  <si>
    <t>Environmental assessment and compliance capacity developed</t>
  </si>
  <si>
    <t>Number of MTIC staff trained</t>
  </si>
  <si>
    <t>Train and equip staff to monitor and assess environmental standards compliance of industries in partnership with NEMA and other authorities</t>
  </si>
  <si>
    <t>Baseline study on the status of industrial waste management in Uganda undertaken</t>
  </si>
  <si>
    <t>Undertake a baseline study on the status of industrial waste management in Uganda to inform interventions</t>
  </si>
  <si>
    <t>Mineral Development</t>
  </si>
  <si>
    <t>02X</t>
  </si>
  <si>
    <t>Mineral exploration, development and value addition</t>
  </si>
  <si>
    <t>0211</t>
  </si>
  <si>
    <t>Explore and quantify priority mineral and geothermal resources across the country</t>
  </si>
  <si>
    <t>021101</t>
  </si>
  <si>
    <t>Establish and equip a dedicated exploration unit, with access to functional laboratories</t>
  </si>
  <si>
    <t>02110101</t>
  </si>
  <si>
    <t>Functional exploration unit</t>
  </si>
  <si>
    <t>Functional explorational unit</t>
  </si>
  <si>
    <t>Institutional rearrangement through restructuring</t>
  </si>
  <si>
    <t>DGSM, MPS</t>
  </si>
  <si>
    <t>DGSM</t>
  </si>
  <si>
    <t>DGSM, MEMD</t>
  </si>
  <si>
    <t>Establishment and staffing of functional operation units with consideration to gender and equity issues</t>
  </si>
  <si>
    <t>DGSM, MPS, MoFPED</t>
  </si>
  <si>
    <t>Equip the exploration unit</t>
  </si>
  <si>
    <t>MEMD (DGSM)</t>
  </si>
  <si>
    <t xml:space="preserve">MEMD, MoFPED </t>
  </si>
  <si>
    <t>021102</t>
  </si>
  <si>
    <t>Undertake a detailed exploration and quantification of minerals and geothermal resources in the country</t>
  </si>
  <si>
    <t>02110201</t>
  </si>
  <si>
    <t>Mineral reserves established</t>
  </si>
  <si>
    <t>Quantity of known mineral reserves</t>
  </si>
  <si>
    <t>Complete aerial geophysical survey of Karamoja</t>
  </si>
  <si>
    <t xml:space="preserve">MEMD, MLG </t>
  </si>
  <si>
    <t xml:space="preserve">Evaluation of mineral reserves </t>
  </si>
  <si>
    <t>Evaluation of geothermal prospects</t>
  </si>
  <si>
    <t>MEMD, MLG</t>
  </si>
  <si>
    <t>02110202</t>
  </si>
  <si>
    <t>Geological and minerals information system developed (geothermal, geological surveys)</t>
  </si>
  <si>
    <t>Information system in place</t>
  </si>
  <si>
    <t>Undertake regional and national geochemical surveys</t>
  </si>
  <si>
    <t>Upgrade and maintain a comprehensive geological and mineral information system</t>
  </si>
  <si>
    <t>MEMD, MICT</t>
  </si>
  <si>
    <t>DGSM, MEMD, ICT</t>
  </si>
  <si>
    <t>Upgrade and maintain a comprehensive geothermal information system</t>
  </si>
  <si>
    <t>MEMD, ICT</t>
  </si>
  <si>
    <t>MEMD, DGSM, ICT</t>
  </si>
  <si>
    <t>021103</t>
  </si>
  <si>
    <t>Establish a mineral classification system</t>
  </si>
  <si>
    <t>02110301</t>
  </si>
  <si>
    <t>Mineral classification system established</t>
  </si>
  <si>
    <t>Number of mineral deposits classified;</t>
  </si>
  <si>
    <t>Domesticate mineral classification system</t>
  </si>
  <si>
    <t>MEMD, MoFA, OAG</t>
  </si>
  <si>
    <t>MEMD, DGSM, OAG</t>
  </si>
  <si>
    <t>Train and sensitize stakeholders</t>
  </si>
  <si>
    <t>021104</t>
  </si>
  <si>
    <t>Undertake feasibility studies in priority mineral value chains to guide investment</t>
  </si>
  <si>
    <t>02110401</t>
  </si>
  <si>
    <t>Number of bankable projects;</t>
  </si>
  <si>
    <t>Undertake feasibility studies of the proposed projects</t>
  </si>
  <si>
    <t>NPA, MEMD</t>
  </si>
  <si>
    <t>NPA, MEMD, DGSM</t>
  </si>
  <si>
    <t>Develop sector briefs of selected mineral value chains</t>
  </si>
  <si>
    <t>0212</t>
  </si>
  <si>
    <t>Increase adoption and use of appropriate and affordable technology along the value chain</t>
  </si>
  <si>
    <t>021201</t>
  </si>
  <si>
    <t xml:space="preserve">Organize, formalize and regulate the artisanal and small-scale miners. </t>
  </si>
  <si>
    <t>02120101</t>
  </si>
  <si>
    <t>Artisanal miners Groups formalized</t>
  </si>
  <si>
    <t>Number of artisanal miner groups formalized by gender</t>
  </si>
  <si>
    <t xml:space="preserve">Register and develop a database for artisanal miners </t>
  </si>
  <si>
    <t>MLG, ICT</t>
  </si>
  <si>
    <t>NIRA</t>
  </si>
  <si>
    <t>309 National Identification and Registration Authority (NIRA)</t>
  </si>
  <si>
    <t>MLG, DGSM, ICT</t>
  </si>
  <si>
    <t>MEMD, DGSM</t>
  </si>
  <si>
    <t>Identifying and gazetting areas for artisanal and small-scale miners</t>
  </si>
  <si>
    <t xml:space="preserve">Sensitization and training </t>
  </si>
  <si>
    <t>Sensitization and training</t>
  </si>
  <si>
    <t>Licensing of artisanal miners</t>
  </si>
  <si>
    <t xml:space="preserve">Robust mineral development tax compliance improvement plan developed </t>
  </si>
  <si>
    <t>Develop and implement a robust mineral development tax compliance improvement plan</t>
  </si>
  <si>
    <t>DGSM, MLG</t>
  </si>
  <si>
    <t xml:space="preserve">Sensitization of ASMs on HSE issues </t>
  </si>
  <si>
    <t>Inspections and audits of mining projects</t>
  </si>
  <si>
    <t>Develop training strategy on HSE for the mining sector</t>
  </si>
  <si>
    <t>MGLSD, DGSM</t>
  </si>
  <si>
    <t>021202</t>
  </si>
  <si>
    <t>Provide incentives for acquisition of appropriate and clean technology</t>
  </si>
  <si>
    <t>02120201</t>
  </si>
  <si>
    <t>Increased utilization of appropriate technology</t>
  </si>
  <si>
    <t>Number of artisanal miners utilizing the appropriate technology</t>
  </si>
  <si>
    <t>Put in place and implement a small grants schemes with consideration to marginalized groups</t>
  </si>
  <si>
    <t>MGLSD, MoFPED</t>
  </si>
  <si>
    <t>Establish centralized processing facilities</t>
  </si>
  <si>
    <t>Put in place model mine and training center</t>
  </si>
  <si>
    <t>MEMD, MLG, MoWT</t>
  </si>
  <si>
    <t>DGSM, MEMD, MLG</t>
  </si>
  <si>
    <t>Facilitate peer to peer learning</t>
  </si>
  <si>
    <t>Put in place and implement a scheme for promoting local innovation in mineral value addition technologies with consideration to gender and equity issues</t>
  </si>
  <si>
    <t>MSTI</t>
  </si>
  <si>
    <t>Conduct studies on the available technology and level of its adoption by the artisanal miners</t>
  </si>
  <si>
    <t>MoSTI, NPA</t>
  </si>
  <si>
    <t>DGSM, NPA</t>
  </si>
  <si>
    <t>021203</t>
  </si>
  <si>
    <t>Promote research and development</t>
  </si>
  <si>
    <t>02120301</t>
  </si>
  <si>
    <t>Appropriate technologies being used in mining</t>
  </si>
  <si>
    <t>Number of appropriate technologies developed/transferred</t>
  </si>
  <si>
    <t>Collaborate with MOSTI to establish a material science &amp; extractive metallurgy and nano-materials &amp; nano-technology research facilities</t>
  </si>
  <si>
    <t>MoSTI, DGSM, MoFPED, MoES</t>
  </si>
  <si>
    <t>MoSTI, DGSM, MoFPED, MEMD</t>
  </si>
  <si>
    <t xml:space="preserve">Develop and popularise a National agenda on research and development (R&amp;D for minerals development </t>
  </si>
  <si>
    <t>NPA, MEMD, MoSTI</t>
  </si>
  <si>
    <t>Develop and implement a capacity development framework in minerals research and development with consideration to gender and equity issues</t>
  </si>
  <si>
    <t>DGSM, MGLSD</t>
  </si>
  <si>
    <t>MoES, MGLSD</t>
  </si>
  <si>
    <t>Develop and test technology prototypes for use by the artisanal miners</t>
  </si>
  <si>
    <t>MLG, MoSTI, MoES</t>
  </si>
  <si>
    <t>DGSM, MLG, MoES</t>
  </si>
  <si>
    <t>DGSM, MLG, MoSTI</t>
  </si>
  <si>
    <t>021204</t>
  </si>
  <si>
    <t>Provide training and extension services to ease the adoption of the acquired technology</t>
  </si>
  <si>
    <t>02120401</t>
  </si>
  <si>
    <t>Skilled artisanal miners</t>
  </si>
  <si>
    <t>Number of skilled artisans (Male)</t>
  </si>
  <si>
    <t xml:space="preserve">Train artisanal miners in basic mineral exploration </t>
  </si>
  <si>
    <t>DGSM, MoES</t>
  </si>
  <si>
    <t>Number of skilled artisans (Female)</t>
  </si>
  <si>
    <t>Train artisanal miners in mining methods with least impacts on environment</t>
  </si>
  <si>
    <t>DGSM, NEMA</t>
  </si>
  <si>
    <t>Train artisanal miners in mineral processing and value addition</t>
  </si>
  <si>
    <t>DGSM, MTIC</t>
  </si>
  <si>
    <t>Train artisanal miners in HSE</t>
  </si>
  <si>
    <t>MEMD, MGLSD</t>
  </si>
  <si>
    <t>150 National Environment Management Authority</t>
  </si>
  <si>
    <t>Train artisanal miners in business and enterprise skills</t>
  </si>
  <si>
    <t>PSF, DGSM</t>
  </si>
  <si>
    <t>Train artisanal miners on compliance and conditions of grant of mineral rights</t>
  </si>
  <si>
    <t>Provide extension services to artisanal miners to acquire geoscience data</t>
  </si>
  <si>
    <t>0213</t>
  </si>
  <si>
    <t>Strengthen the legal and regulatory framework as well as the human and institutional capacity</t>
  </si>
  <si>
    <t>021301</t>
  </si>
  <si>
    <t>Review (Mining Act 2003, Industrial Licensing Act 1969, Competition Bill, Legal and Industrial Metrology Bills) and develop relevant laws and regulations</t>
  </si>
  <si>
    <t>02130101</t>
  </si>
  <si>
    <t xml:space="preserve">Laws enacted </t>
  </si>
  <si>
    <t>Number of laws enacted</t>
  </si>
  <si>
    <t>Enact a new mining law with consideration to gender and equity issues</t>
  </si>
  <si>
    <t>MJCA, Parliament, DGSM</t>
  </si>
  <si>
    <t>OP (Cabinet Secretariat)</t>
  </si>
  <si>
    <t xml:space="preserve">DGSM, MEMD, MJCA, Parliament </t>
  </si>
  <si>
    <t xml:space="preserve">MEMD, DGSM, Parliament </t>
  </si>
  <si>
    <t>Parliament</t>
  </si>
  <si>
    <t>104 Parliamentary Commission</t>
  </si>
  <si>
    <t>MEMD, DGSM, MJCA</t>
  </si>
  <si>
    <t>Review and enact the Industrial Licensing Act 1969, Competition Bill, Legal and Industrial Metrology Bills, Water Act and other relevant laws</t>
  </si>
  <si>
    <t>MJCA, MTIC, Parliament, Cabinet Secretary, MWE</t>
  </si>
  <si>
    <t>MJCA, MEMD, Parliament, Cabinet Secretary, MWE</t>
  </si>
  <si>
    <t>MJCA, MEMD, Parliament, Cabinet Secretary</t>
  </si>
  <si>
    <t>MEMD, MWE, MJCA, Parliament</t>
  </si>
  <si>
    <t>MEMD, MWE, Parliament, Cabinet Secretary</t>
  </si>
  <si>
    <t>Translate enacted laws into local languages</t>
  </si>
  <si>
    <t>MEMD, Makerere University</t>
  </si>
  <si>
    <t>MJCA, Makerere University</t>
  </si>
  <si>
    <t>02130102</t>
  </si>
  <si>
    <t>Regulations gazzetted</t>
  </si>
  <si>
    <t>Number of regulations gazetted</t>
  </si>
  <si>
    <t>Review, gazette and enact the following regulations: Licensing, Mineral Certification, Geothermal Energy Regulations, Artisanal and Small-scale Mining, Building substance, Hazardous chemical, Mineral processing, smelting and refining</t>
  </si>
  <si>
    <t>UPPC, BRD</t>
  </si>
  <si>
    <t>Mine OSH</t>
  </si>
  <si>
    <t>UPPC</t>
  </si>
  <si>
    <t>Earth Scientists</t>
  </si>
  <si>
    <t>Water Resources, Water (Waste) Regulations, and other necessary regulations to cater for emerging issues in the mining industry</t>
  </si>
  <si>
    <t>021302</t>
  </si>
  <si>
    <t>Streamline administrative functions of licensing, inspection and monitoring of compliance</t>
  </si>
  <si>
    <t>02130201</t>
  </si>
  <si>
    <t>Administration of minerals sub-sector streamlined</t>
  </si>
  <si>
    <t>Licensing and inspection units in place</t>
  </si>
  <si>
    <t>Establish the new institutions in line with the new mining legal framework</t>
  </si>
  <si>
    <t>Staffing and equipping of the new institutions with consideration to gender and equity issues</t>
  </si>
  <si>
    <t>MoPS, MGLSD, DGSM</t>
  </si>
  <si>
    <t>MEMD, DGSM, MoFPED</t>
  </si>
  <si>
    <t>021303</t>
  </si>
  <si>
    <t>Develop and implement training and apprenticeship programmes</t>
  </si>
  <si>
    <t>02130301</t>
  </si>
  <si>
    <t>Skilled human resource</t>
  </si>
  <si>
    <t>Number of professionals and technicians trained by gender</t>
  </si>
  <si>
    <t>Develop and implement a training  program integrated into the education system for mining industry professionals with consideration to gender and equity issues</t>
  </si>
  <si>
    <t>MoGLSD, MoTIC, MoES</t>
  </si>
  <si>
    <t>MoES, DGSM</t>
  </si>
  <si>
    <t>021304</t>
  </si>
  <si>
    <t>Incentivize private sector to offer industrial training and apprenticeship opportunities</t>
  </si>
  <si>
    <t>02130401</t>
  </si>
  <si>
    <t>Increased apprenticeship opportunities;</t>
  </si>
  <si>
    <t xml:space="preserve">Number of institutions offering industrial training and apprenticeship; </t>
  </si>
  <si>
    <t>Identify and short-list private institutions to offer apprenticeships</t>
  </si>
  <si>
    <t>MEMD, MoES</t>
  </si>
  <si>
    <t>Facilitate trainees and apprentices for purposes of cost sharing with consideration to gender and equity issues</t>
  </si>
  <si>
    <t>021305</t>
  </si>
  <si>
    <t>Strengthen professionalization of geo-scientists and its associated professionals </t>
  </si>
  <si>
    <t>021305a</t>
  </si>
  <si>
    <t>Develop professional standards and necessary legislations</t>
  </si>
  <si>
    <t>021305a01</t>
  </si>
  <si>
    <t>Law regulating geo-scientists and its associated professionals in place</t>
  </si>
  <si>
    <t>Law in place</t>
  </si>
  <si>
    <t>Enact a law to regulate geo-scientists</t>
  </si>
  <si>
    <t>Formulate and gazette regulations</t>
  </si>
  <si>
    <t>Put in place professional standards for geoscientists</t>
  </si>
  <si>
    <t>MoES, UNBS</t>
  </si>
  <si>
    <t>021305b</t>
  </si>
  <si>
    <t>Establish a professional registration body</t>
  </si>
  <si>
    <t>021305b01</t>
  </si>
  <si>
    <t>Professional registration body established</t>
  </si>
  <si>
    <t>Establish and staff a professional registration body for geoscientists and associated professionals with consideration to gender and equity issues</t>
  </si>
  <si>
    <t xml:space="preserve"> MoJCA </t>
  </si>
  <si>
    <t>021306</t>
  </si>
  <si>
    <t>Strengthen the capacity to undertake mineral certification, trading, testing, inspection, regulation and enforcement</t>
  </si>
  <si>
    <t>02130601</t>
  </si>
  <si>
    <t>Institutions equipped (tools and human resource)</t>
  </si>
  <si>
    <t>Staffing Level</t>
  </si>
  <si>
    <t>MPS</t>
  </si>
  <si>
    <t>Number of institutions equipped</t>
  </si>
  <si>
    <t>Staffing and training</t>
  </si>
  <si>
    <t>MEMD,MoES</t>
  </si>
  <si>
    <t>Providing physical and administrative infrastructure for new institutions</t>
  </si>
  <si>
    <t>MEMD, MoFPED</t>
  </si>
  <si>
    <t>Procure mineral certification, trading, testing, inspection, regulation and enforcement equipment</t>
  </si>
  <si>
    <t>MEMD, MoFPED, UNBS</t>
  </si>
  <si>
    <t>021307</t>
  </si>
  <si>
    <t>Strengthen monitoring and inspection of mining operations to minimize negative social and environmental impacts</t>
  </si>
  <si>
    <t>02130701</t>
  </si>
  <si>
    <t>Technical standards on HSE developed to minimize degradation of environment by mining activities and ensure safety of miners</t>
  </si>
  <si>
    <t>Number of companies/miners complying with regulations</t>
  </si>
  <si>
    <t>Compliance enforcement and supervision of miners</t>
  </si>
  <si>
    <t>NEMA, LGs, UPF, DGSM, MGLSD</t>
  </si>
  <si>
    <t>Development of technical standards on HSE with consideration to gender and equity issues</t>
  </si>
  <si>
    <t>Undertake risks assessment, Strategic environment assessments for Policy, Plan and Programmes (PPPs)</t>
  </si>
  <si>
    <t>NEMA, DGSM</t>
  </si>
  <si>
    <t>Review, design &amp; construct monitoring network to improve water resources monitoring in mineral exploration/ reserve areas</t>
  </si>
  <si>
    <t>MWT, MWE</t>
  </si>
  <si>
    <t>MWT, MEMD</t>
  </si>
  <si>
    <t>021308</t>
  </si>
  <si>
    <t>Require mining companies to enter into Community Development Agreements (CDAs) with mining host communities</t>
  </si>
  <si>
    <t>02130801</t>
  </si>
  <si>
    <t>Increased household incomes among the mining communities</t>
  </si>
  <si>
    <t>Number of agreements signed between mining companies and host communities</t>
  </si>
  <si>
    <t xml:space="preserve">Develop and publicize model agreements </t>
  </si>
  <si>
    <t>MEMD, MJCA, LGs</t>
  </si>
  <si>
    <t>Implement and enforce CDAs requirements</t>
  </si>
  <si>
    <t>MEMD, LGs</t>
  </si>
  <si>
    <t>Sensitization and awareness campaigns on CDAs</t>
  </si>
  <si>
    <t>021309</t>
  </si>
  <si>
    <t>Provide a framework for gender mainstreaming, equity and human rights and eradication of child labour in the mining industry</t>
  </si>
  <si>
    <t>02130901</t>
  </si>
  <si>
    <t>Equal opportunities (EO) for all and eradication of child labour in mining</t>
  </si>
  <si>
    <t xml:space="preserve">Develop an equal opportunity and gender mainstreaming tool and ensure its implementation </t>
  </si>
  <si>
    <t>MGLSD, MEMD, DGSM</t>
  </si>
  <si>
    <t>021310</t>
  </si>
  <si>
    <t>Domesticate appropriate regional and international treaties, conventions, agreements, protocols which support good governance in the mining industry</t>
  </si>
  <si>
    <t>02131001</t>
  </si>
  <si>
    <t>Good governance and best practices applied in the mining industry</t>
  </si>
  <si>
    <t xml:space="preserve">Number of treaties, conventions, agreements, protocols domesticated </t>
  </si>
  <si>
    <t>Domesticate relevant treaties, protocols and conventions</t>
  </si>
  <si>
    <t>MJCA, MoFA, OAG</t>
  </si>
  <si>
    <t>MEMD, MJCA, OAG</t>
  </si>
  <si>
    <t>Formulate and gazette regulations for the ICGLR (Implementation of the Pact on Security, Stability and Development in the Great Lakes Region) Act 2017</t>
  </si>
  <si>
    <t>MGLSD, Cabinet Secretary, Parlaiment, MJCA</t>
  </si>
  <si>
    <t>Formulate and gazette regulations for the ICGLR (Implementation of the Pact on Security, Stability and Development in the Great Lakes Region) Act 2018</t>
  </si>
  <si>
    <t>Formulate and gazette regulations for the ICGLR (Implementation of the Pact on Security, Stability and Development in the Great Lakes Region) Act 2019</t>
  </si>
  <si>
    <t>021311</t>
  </si>
  <si>
    <t>Establish and strengthen earthquake, landslides and other geohazard monitoring systems</t>
  </si>
  <si>
    <t>02131101</t>
  </si>
  <si>
    <t>Measures to avoid destruction of life and property due to geo hazards put in place</t>
  </si>
  <si>
    <t>Frequency of early warnings to potential geohazards</t>
  </si>
  <si>
    <t>In time</t>
  </si>
  <si>
    <t>Develop an earthquake and geo-hazard (earthquakes, landslides, volcanism, flooding) monitoring systems and guarantee their use to ensure timely warning and mitigation  of geohazards</t>
  </si>
  <si>
    <t>MWE, OPM</t>
  </si>
  <si>
    <t>021312</t>
  </si>
  <si>
    <t>Strengthen capacity to monitor, inspect and enforce health, safety and environmental provisions</t>
  </si>
  <si>
    <t>02131201</t>
  </si>
  <si>
    <t>Safe working conditions in the mining industry and a protected environment</t>
  </si>
  <si>
    <t>Percentage of mining sites having safe working conditions and clean/ protected environment</t>
  </si>
  <si>
    <t xml:space="preserve">Inspect and assess mining sites for health, safety and environment </t>
  </si>
  <si>
    <t>MoGLSD, NEMA, LGs</t>
  </si>
  <si>
    <t>DGSM, MGLSD, NEMA</t>
  </si>
  <si>
    <t>0214</t>
  </si>
  <si>
    <t>Increase investment in mining and value addition</t>
  </si>
  <si>
    <t>021401</t>
  </si>
  <si>
    <t>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t>
  </si>
  <si>
    <t>02140101</t>
  </si>
  <si>
    <t xml:space="preserve">Increased employment, business activity and incomes associated with infrastructure projects </t>
  </si>
  <si>
    <t>Number of companies supplying local materials to the infrastructure projects/ Iron and Steel</t>
  </si>
  <si>
    <t>Incentivize local companies to produce and supply mineral products to infrastructure projects</t>
  </si>
  <si>
    <t>MoFPED, MTIC, MWT, Cabinet, Parlaiment</t>
  </si>
  <si>
    <t>Number of companies supplying local materials to the infrastructure projects/ Sand</t>
  </si>
  <si>
    <t>MTIC, MEMD, MWT, Cabinet, Parlaiment</t>
  </si>
  <si>
    <t>Number of companies supplying local materials to the infrastructure projects/ Cement</t>
  </si>
  <si>
    <t xml:space="preserve">Develop and/ or adopt standards for products for infrastructural projects </t>
  </si>
  <si>
    <t>MoWT, MEMD, Cabinet, Parlaiment</t>
  </si>
  <si>
    <t>Number of companies supplying local materials to the infrastructure projects/ Aggregates</t>
  </si>
  <si>
    <t>Register and recognize companies supplying required materials for infrastructure projects (Purpose to make this a supplier data base)</t>
  </si>
  <si>
    <t>MEMD, MWT, Cabinet, Parlaiment, MJCA</t>
  </si>
  <si>
    <t>URA, MEMD, MWT</t>
  </si>
  <si>
    <t>021402</t>
  </si>
  <si>
    <t>Establish and equip state-of-the-art mineral testing laboratories</t>
  </si>
  <si>
    <t>02140201</t>
  </si>
  <si>
    <t xml:space="preserve">Database for known properties and characteristics of Uganda’s minerals updated </t>
  </si>
  <si>
    <t>State of the art laboratories in place</t>
  </si>
  <si>
    <t xml:space="preserve">Construct and equip state of the art laboratories which are accessible to all </t>
  </si>
  <si>
    <t>MWT, MoFPED, MoES</t>
  </si>
  <si>
    <t>021403</t>
  </si>
  <si>
    <t>Extend transport, energy, water and ICT infrastructure to mining areas and mineral processing facilities/industries</t>
  </si>
  <si>
    <t>02140301</t>
  </si>
  <si>
    <t>Adequate and reliable infrastructure extended to mining and minerals processing zones;</t>
  </si>
  <si>
    <t>Kms of mineral roads constructed</t>
  </si>
  <si>
    <t xml:space="preserve">Construct mineral roads </t>
  </si>
  <si>
    <t xml:space="preserve">Proportion of rail networks to mining and minerals processing zones; </t>
  </si>
  <si>
    <t>Number of functional Aerodromes</t>
  </si>
  <si>
    <t>Construct rail networks</t>
  </si>
  <si>
    <t>Electricity grid extended to mining and minerals processing zones</t>
  </si>
  <si>
    <t>MWT, DGSM, MoFPED</t>
  </si>
  <si>
    <t>Natural gas pipeline extended to mining and minerals processing zones;</t>
  </si>
  <si>
    <t>Construct transmission lines to the mining and mineral processing zones (431 km[12], 163 km[13], 22 km[14], 30 km[15], 155 km[16])</t>
  </si>
  <si>
    <t>Stable ICT networks extended to mining and minerals processing zones;</t>
  </si>
  <si>
    <t>Construct natural gas pipeline</t>
  </si>
  <si>
    <t>MWT, MEACA, MoFA, MoFPED, UNOC, MLHUD, MJCA</t>
  </si>
  <si>
    <t xml:space="preserve">Issue water abstraction permits and construct or extend water pipelines to mines </t>
  </si>
  <si>
    <t>MWE (DWRM)</t>
  </si>
  <si>
    <t>MEMD, DGSM, MWE</t>
  </si>
  <si>
    <t>Build stable ICT network systems and fibre cables to mining areas and ensure accessibility and affordability by all</t>
  </si>
  <si>
    <t>MEMD, DGSM, MWT</t>
  </si>
  <si>
    <t>Percentage of mining and mineral processing sites connected to the grid</t>
  </si>
  <si>
    <t>Attract investors in infrastructure for mining and minerals processing zones;</t>
  </si>
  <si>
    <t>Missions Abroad</t>
  </si>
  <si>
    <t>021404</t>
  </si>
  <si>
    <t>Establish research and development infrastructure</t>
  </si>
  <si>
    <t>02140401</t>
  </si>
  <si>
    <t>Research and development infrastructure in place</t>
  </si>
  <si>
    <t>Percent progress in establishing research and development infrastructure (%)</t>
  </si>
  <si>
    <t>Construct, equip and staff research and development hubs which are accessible and affordable by all</t>
  </si>
  <si>
    <t>MoSTI, MoES</t>
  </si>
  <si>
    <t>Conducting technology mapping, assessments and forecasts of the minerals research and development (R&amp;D) infrastructure in Uganda</t>
  </si>
  <si>
    <t>MoSTI (UNCST)</t>
  </si>
  <si>
    <t>MSTI, UNCST</t>
  </si>
  <si>
    <t>021405</t>
  </si>
  <si>
    <t>Increase public investment in priority mineral processing</t>
  </si>
  <si>
    <t>02140501</t>
  </si>
  <si>
    <t>Increased domestic production of mineral-based products</t>
  </si>
  <si>
    <t>Percentage change in the volume of locally produced mineral-based products (%);</t>
  </si>
  <si>
    <t>Develop and implement a mineral value addition strategy for the country</t>
  </si>
  <si>
    <t>MEMD, NPA</t>
  </si>
  <si>
    <t>Promote investment in processing of priority minerals</t>
  </si>
  <si>
    <t>DGSM, MEMD, MTIC</t>
  </si>
  <si>
    <t>Setup value addition facilities in the mineral sector (cement plant in Karamoja, Sheet Glass)</t>
  </si>
  <si>
    <t>MWT, DGSM</t>
  </si>
  <si>
    <t>Conduct the feasibility study to develop the chemical industry</t>
  </si>
  <si>
    <t>MTIC, DGSM, MEMD</t>
  </si>
  <si>
    <t>021406</t>
  </si>
  <si>
    <t>Undertake PPPs to invest in mineral value addition</t>
  </si>
  <si>
    <t>02140601</t>
  </si>
  <si>
    <t>Increased private sector investment along the minerals value chain</t>
  </si>
  <si>
    <t>Percentage change in the value of private sector investment in minerals value chain (%);</t>
  </si>
  <si>
    <t>Develop and implement a strategy on foreign direct investment (FDI)</t>
  </si>
  <si>
    <t> 0.5</t>
  </si>
  <si>
    <t>MoFA, MTIC</t>
  </si>
  <si>
    <t>MoFPED, MTIC</t>
  </si>
  <si>
    <t xml:space="preserve">Establish and support partnerships with the private sector to increase mineral based products </t>
  </si>
  <si>
    <t>MoFPED (PPPU)</t>
  </si>
  <si>
    <t>MEMD, MTIC</t>
  </si>
  <si>
    <t>Establish a prospectus of bankable projects</t>
  </si>
  <si>
    <t>NPA, MTIC, UIA</t>
  </si>
  <si>
    <t>DGSM, NPA, UIA</t>
  </si>
  <si>
    <t>021407</t>
  </si>
  <si>
    <t>Increase levels of production of selected minerals to ensure adequate and consistent supply of raw materials</t>
  </si>
  <si>
    <t>02140701</t>
  </si>
  <si>
    <t>Establish mineral reserves</t>
  </si>
  <si>
    <t>Establish and enforce standard mining procedures to ensure sustainable utilization of raw materials</t>
  </si>
  <si>
    <t>021408</t>
  </si>
  <si>
    <t>Increase public investment in mining operations through for instance, UDB and UDC</t>
  </si>
  <si>
    <t>02140801</t>
  </si>
  <si>
    <t xml:space="preserve">Increased exploration and quantification of mineral reserves and opening up of potential areas </t>
  </si>
  <si>
    <t>Number of new and existing mining ventures supported with public funds</t>
  </si>
  <si>
    <t xml:space="preserve">Identify, short-list and support new mining ventures opening up in potential areas </t>
  </si>
  <si>
    <t>LGs, UDC</t>
  </si>
  <si>
    <t>DGSM, LGs</t>
  </si>
  <si>
    <t>Allocate grant or loan schemes to support both new and existing mining ventures which are accessible and affordable by all persons</t>
  </si>
  <si>
    <t>0215</t>
  </si>
  <si>
    <t>Expand mineral processing and marketing</t>
  </si>
  <si>
    <t>021501</t>
  </si>
  <si>
    <t>Engage in bi-lateral and multi-lateral negotiations for increased access to external markets</t>
  </si>
  <si>
    <t>02150101</t>
  </si>
  <si>
    <t>Increased market access</t>
  </si>
  <si>
    <t>Percentage change of mineral-based products exported</t>
  </si>
  <si>
    <t xml:space="preserve">Engage in multi-lateral negotiations to increase export market </t>
  </si>
  <si>
    <t>Engage in multi-lateral negotiations for tax purposes</t>
  </si>
  <si>
    <t>URA, MoFA</t>
  </si>
  <si>
    <t>MTIC, MEMD</t>
  </si>
  <si>
    <t>021502</t>
  </si>
  <si>
    <t>Introduce incentive packages to attract investment in priority mineral value chain</t>
  </si>
  <si>
    <t>02150201</t>
  </si>
  <si>
    <t>Increased exploitation of mineral resources for industrialization</t>
  </si>
  <si>
    <t>Number of mineral-based industries established</t>
  </si>
  <si>
    <t>Develop and implement an incentive regime for actors in the priority mineral value chain</t>
  </si>
  <si>
    <t>MTIC, UIA</t>
  </si>
  <si>
    <t>MTIC, DGSM</t>
  </si>
  <si>
    <t>MEMD, DGSM, UIA</t>
  </si>
  <si>
    <t>Develop incentive regime for operators and developers in free zones to promote export of mineral based products</t>
  </si>
  <si>
    <t>021503</t>
  </si>
  <si>
    <t>Streamline the process for acquisition and dissemination of market information</t>
  </si>
  <si>
    <t>02150301</t>
  </si>
  <si>
    <t>Available market information</t>
  </si>
  <si>
    <t>Number of Mineral Investment Promotions participated in.</t>
  </si>
  <si>
    <t xml:space="preserve">Participate and organize mineral based conferences, workshops and any other fora to promote these areas for investment </t>
  </si>
  <si>
    <t>LGs, MTIC</t>
  </si>
  <si>
    <t>E-platform to disseminate market information developed</t>
  </si>
  <si>
    <t xml:space="preserve">Participate in the development of an E-platform to disseminate market information </t>
  </si>
  <si>
    <t>MoFA, MEACA, MICT&amp;NG</t>
  </si>
  <si>
    <t>Maintain a communication strategy for the mineral sector</t>
  </si>
  <si>
    <t xml:space="preserve">Develop and sustainably run websites and any other e-platforms for information sharing </t>
  </si>
  <si>
    <t>Subscribe and acquire license to access international mining industry databases to list the bankable projects</t>
  </si>
  <si>
    <t>MoFPED, MEMD, DGSM</t>
  </si>
  <si>
    <t>021504</t>
  </si>
  <si>
    <t>Review the tax regime to reduce the importation of cheap and substandard products</t>
  </si>
  <si>
    <t>02150401</t>
  </si>
  <si>
    <t>Quality goods and services on the market</t>
  </si>
  <si>
    <t>Number of taxes reviewed</t>
  </si>
  <si>
    <t xml:space="preserve">Review and formulate laws and regulations to stop counterfeits and fake products </t>
  </si>
  <si>
    <t>021505</t>
  </si>
  <si>
    <t>Enhance the capacity of UNBS to undertake quality assurance and standard inspection</t>
  </si>
  <si>
    <t>02150501</t>
  </si>
  <si>
    <t>Quality products from mineral processing &amp; imported products</t>
  </si>
  <si>
    <t>Number of standards enforced</t>
  </si>
  <si>
    <t xml:space="preserve">Develop relevant standards to ensure sustainable production and monitoring of quality products </t>
  </si>
  <si>
    <t>MoTIC, DGSM</t>
  </si>
  <si>
    <t>021506</t>
  </si>
  <si>
    <t>Establish a mineral certification mechanism for tin, tungsten &amp; tantalite (3Ts) and Gold (G)</t>
  </si>
  <si>
    <t>02150601</t>
  </si>
  <si>
    <t>Increased revenue earned from the 3Ts &amp; Gold</t>
  </si>
  <si>
    <t>Mineral certification mechanism in place</t>
  </si>
  <si>
    <t xml:space="preserve">Establish and sustainably run a mineral certification system </t>
  </si>
  <si>
    <t xml:space="preserve">Coordinate regional and international engagements on mineral certification and traceability </t>
  </si>
  <si>
    <t>MEMD, MEACA</t>
  </si>
  <si>
    <t>Sustainable Petroleum Development</t>
  </si>
  <si>
    <t>03X</t>
  </si>
  <si>
    <t>031</t>
  </si>
  <si>
    <t>Upstream</t>
  </si>
  <si>
    <t>0311</t>
  </si>
  <si>
    <t>To ensure sustainable production and utilization of the Country’s oil and gas revenue</t>
  </si>
  <si>
    <t>031101</t>
  </si>
  <si>
    <t>Undertake further exploration and ventures of the Albertine Graben</t>
  </si>
  <si>
    <t>03110101</t>
  </si>
  <si>
    <t>New exploration activities undertaken</t>
  </si>
  <si>
    <t>Volume of additional petroleum resources (Billion barrels STOIIP)</t>
  </si>
  <si>
    <t> Undertake basin Analysis and resource assessment.</t>
  </si>
  <si>
    <t>PAU</t>
  </si>
  <si>
    <t>  Undertake basin Analysis and resource assessment.</t>
  </si>
  <si>
    <t>312 Petroleum Authority of Uganda (PAU)</t>
  </si>
  <si>
    <t xml:space="preserve">Evaluate and approve Reservoir Management Plans. </t>
  </si>
  <si>
    <t>PAU, UNOC</t>
  </si>
  <si>
    <t>Undertake licensing rounds and award licenses to the successful bidders with due consideration to gender issues.</t>
  </si>
  <si>
    <t xml:space="preserve">Review and approve the submitted Field Development Plans. </t>
  </si>
  <si>
    <t>Award Production licenses.</t>
  </si>
  <si>
    <t>031102</t>
  </si>
  <si>
    <t>Undertake construction and operationalisation of infrastructure projects in the Albertine Region to ease movement of goods, labour and provision of services</t>
  </si>
  <si>
    <t>031102a</t>
  </si>
  <si>
    <t>Roads, energy, water and ICT network</t>
  </si>
  <si>
    <t>031102a01</t>
  </si>
  <si>
    <t xml:space="preserve">Designs for pre-requisite infrastructure developed and construction completed  </t>
  </si>
  <si>
    <t xml:space="preserve">%age completion of construction </t>
  </si>
  <si>
    <t>UNOC</t>
  </si>
  <si>
    <t>Design and Construct Pre - requisite infrastructure in Kabaale Industrial Park (fencing, access roads, power and ICT); considering the elderly, PWDs, women and children.</t>
  </si>
  <si>
    <t>311 Uganda National Oil Company (UNOC)</t>
  </si>
  <si>
    <t>MEMD, MoICT&amp;NG, MoWT, UNRA</t>
  </si>
  <si>
    <t>Construct Regional Offices in Albertine Graben region</t>
  </si>
  <si>
    <t>031102b</t>
  </si>
  <si>
    <t>Oil refinery</t>
  </si>
  <si>
    <t>031102b01</t>
  </si>
  <si>
    <t>Refinery construction completed</t>
  </si>
  <si>
    <t xml:space="preserve">%age completion 
</t>
  </si>
  <si>
    <t xml:space="preserve">Complete implementation of the Resettlement Action Plan for the Refinery </t>
  </si>
  <si>
    <t>PAU, MoLHUD</t>
  </si>
  <si>
    <t>Implement the RAP for the refined products pipeline with due consideration of gender and equity issues.</t>
  </si>
  <si>
    <t>Undertake FEED and ESIA for the refined products pipeline and storage terminal.</t>
  </si>
  <si>
    <t>NEMA, UWA, PAU, UNOC</t>
  </si>
  <si>
    <t>Construct the oil refinery.</t>
  </si>
  <si>
    <t>MEMD, PAU</t>
  </si>
  <si>
    <t>Construct the refined products pipeline and associated terminals</t>
  </si>
  <si>
    <t>031102c</t>
  </si>
  <si>
    <t>East African Crude Oil Pipeline</t>
  </si>
  <si>
    <t>031102c01</t>
  </si>
  <si>
    <t>EACOP Project construction completed</t>
  </si>
  <si>
    <t xml:space="preserve">%age completion
</t>
  </si>
  <si>
    <t xml:space="preserve"> UNOC</t>
  </si>
  <si>
    <t>Construct the EACOP.</t>
  </si>
  <si>
    <t>PAU, MEMD</t>
  </si>
  <si>
    <t xml:space="preserve">Undertake EACOP RAP with the consideration of the elderly, youth, women and PWDs. </t>
  </si>
  <si>
    <t>PAU, MoLHUD, UNOC, MoGLSD</t>
  </si>
  <si>
    <t>Implement the Intergovernmental agreements and other transboundary harmonisation issues.</t>
  </si>
  <si>
    <t>MoFA, MOFPED, PAU, UNOC</t>
  </si>
  <si>
    <t>031102d</t>
  </si>
  <si>
    <t>Storage terminals and the auxiliary facilities</t>
  </si>
  <si>
    <t>031102d01</t>
  </si>
  <si>
    <t>Storage facilities and auxiliary terminals constructed</t>
  </si>
  <si>
    <t>%age completion of construction</t>
  </si>
  <si>
    <t xml:space="preserve">Construct the Kampala Storage Terminal and auxiliary facilities  </t>
  </si>
  <si>
    <t>031102e</t>
  </si>
  <si>
    <t>Geoscience laboratory</t>
  </si>
  <si>
    <t>031102e01</t>
  </si>
  <si>
    <t>Petroleum Geoscience Laboratory established</t>
  </si>
  <si>
    <t>%age progress of Petroleum Geoscience Laboratory upgrade</t>
  </si>
  <si>
    <t xml:space="preserve">Undertake the feasibility study on the upgrade of the Petroleum Geoscience Laboratory </t>
  </si>
  <si>
    <t>Develop National calibration and measurement capacity.</t>
  </si>
  <si>
    <t>MoTIC, MEMD</t>
  </si>
  <si>
    <t>Equip the Petroleum Geoscience laboratory.</t>
  </si>
  <si>
    <t>031102f</t>
  </si>
  <si>
    <t>National Petroleum Data Repository</t>
  </si>
  <si>
    <t>031102f01</t>
  </si>
  <si>
    <t>National Petroleum Data Repository established</t>
  </si>
  <si>
    <t>Stage of development of National Petroleum Data Repository (%)</t>
  </si>
  <si>
    <t>Establish and equip the National Petroleum Data Repository</t>
  </si>
  <si>
    <t>031103</t>
  </si>
  <si>
    <t>Construct the Central Processing Facilities (CPFs) for Tilenga and Kingfisher projects</t>
  </si>
  <si>
    <t>03110301</t>
  </si>
  <si>
    <t>Upstream facilities for Tilenga and Kingfisher projects constructed</t>
  </si>
  <si>
    <t xml:space="preserve">%age completion of the facilities for Tilenga and Kingfisher projects </t>
  </si>
  <si>
    <t>Implement RAP for Tilenga and Kingfisher projects while ensuring that gender and equity aspects are considered.</t>
  </si>
  <si>
    <t>031104</t>
  </si>
  <si>
    <t>Conduct a feasibility study to establish a robust and adequate petrochemical industry</t>
  </si>
  <si>
    <t>03110401</t>
  </si>
  <si>
    <t xml:space="preserve">Feasibility studies to establish the viability of the petrochemical industry conducted </t>
  </si>
  <si>
    <t>%age progress of the feasibility studies</t>
  </si>
  <si>
    <t xml:space="preserve">Undertake the feasibility study on establishment of a robust petrochemical industry </t>
  </si>
  <si>
    <t>NPA, UNOC, PAU</t>
  </si>
  <si>
    <t>03110402</t>
  </si>
  <si>
    <t>Petrochemical Industry Masterplan developed and implemented</t>
  </si>
  <si>
    <t>%age progress of implementation</t>
  </si>
  <si>
    <t xml:space="preserve">Develop and implement the Petrochemical Industry Masterplan </t>
  </si>
  <si>
    <t>031105</t>
  </si>
  <si>
    <t>Development of the Natural Gas Pipeline from Tanzania to Uganda to support EACOP, Iron Ore industry and other industrial and domestic uses</t>
  </si>
  <si>
    <t>03110501</t>
  </si>
  <si>
    <t>Uganda – Tanzania Natural Gas Pipeline developed</t>
  </si>
  <si>
    <t>%age completion of the natural gas pipeline and associated storage facilities</t>
  </si>
  <si>
    <t>Undertake Natural gas pipeline relevant studies.</t>
  </si>
  <si>
    <t>Acquire Land for the pipeline and storage facilities.</t>
  </si>
  <si>
    <t>MEMD, PAU, UNOC</t>
  </si>
  <si>
    <t xml:space="preserve">Negotiate and execute Project associated agreements. </t>
  </si>
  <si>
    <t>Develop the natural gas pipeline and associated storage facilities from Tanzania to Uganda.</t>
  </si>
  <si>
    <t>MoFPED, PAU, UNOC</t>
  </si>
  <si>
    <t>0312</t>
  </si>
  <si>
    <t>To strengthen policy, legal and regulatory frameworks as well as institutional capacity of oil and gas industry</t>
  </si>
  <si>
    <t>031201</t>
  </si>
  <si>
    <t>Complete the relevant oil and gas project commercial agreements</t>
  </si>
  <si>
    <t>031201a</t>
  </si>
  <si>
    <t>Share Holders Agreement (SHA), Host Governmental Agreements (HGA),
Transportation and Tariff Agreement (TTA)</t>
  </si>
  <si>
    <t>031201a01</t>
  </si>
  <si>
    <t xml:space="preserve">Project commercial and legal agreements negotiated and executed </t>
  </si>
  <si>
    <t>Number of Agreements negotiated and concluded</t>
  </si>
  <si>
    <t>Negotiate and execute all commercial and legal agreements for the oil and gas projects</t>
  </si>
  <si>
    <t>UNOC, PAU, MoFA</t>
  </si>
  <si>
    <t>031202</t>
  </si>
  <si>
    <t>Review and update relevant policies; and fast-track harmonization of conflicting laws and regulations</t>
  </si>
  <si>
    <t>03120201</t>
  </si>
  <si>
    <t>Conflicting policies, laws and regulations harmonized</t>
  </si>
  <si>
    <t>Number of laws and regulations enacted</t>
  </si>
  <si>
    <t>Undertake a regulatory impact assessment for the National Oil and Gas Policy considering the elderly, youth, women and PWDs.</t>
  </si>
  <si>
    <t>NPA, Parliament</t>
  </si>
  <si>
    <t>Revise and update the National Oil and Gas Policy.</t>
  </si>
  <si>
    <t>Review, update and formulate laws, regulations and guidelines</t>
  </si>
  <si>
    <t>031203</t>
  </si>
  <si>
    <t>Operationalize the National Content policy to enhance local Content and national participation in oil and gas</t>
  </si>
  <si>
    <t>03120301</t>
  </si>
  <si>
    <t>National Content Policy implemented</t>
  </si>
  <si>
    <t xml:space="preserve">Percentage of local participation in the oil and gas subsector </t>
  </si>
  <si>
    <t xml:space="preserve">Implement initiatives that enhance the local Service providers’ capacity considering the women, youth and PWDs. </t>
  </si>
  <si>
    <t>Implement initiatives that enhance Ugandan citizens competitiveness for jobs in the sector with consideration of gender and equity aspects.</t>
  </si>
  <si>
    <t>MoGLSD, PAU, UNOC</t>
  </si>
  <si>
    <t>031204</t>
  </si>
  <si>
    <t>Develop strategy for an oil and gas innovation hub</t>
  </si>
  <si>
    <t>03120401</t>
  </si>
  <si>
    <t>Innovation strategy developed and implemented</t>
  </si>
  <si>
    <t xml:space="preserve">% Progress </t>
  </si>
  <si>
    <t>Undertake a technology needs assessment for the industry</t>
  </si>
  <si>
    <t>PAU, MEMD, UNOC</t>
  </si>
  <si>
    <t>Number of innovations</t>
  </si>
  <si>
    <t>Develop an innovation strategy for Oil and Gas</t>
  </si>
  <si>
    <t xml:space="preserve">Undertake Research and Development on oil and gas development and production </t>
  </si>
  <si>
    <t>031205</t>
  </si>
  <si>
    <t>Improve operations of the National Petroleum Information System (NPIS)</t>
  </si>
  <si>
    <t>03120501</t>
  </si>
  <si>
    <t>NPIS upgraded and maintained</t>
  </si>
  <si>
    <t>Level of upgrade (%)</t>
  </si>
  <si>
    <t xml:space="preserve">Upgrade and update the NPIS </t>
  </si>
  <si>
    <t>031206</t>
  </si>
  <si>
    <t>Strengthen governance and transparency in the oil and gas sector</t>
  </si>
  <si>
    <t>03120601</t>
  </si>
  <si>
    <t>EITI Medium term workplan implemented</t>
  </si>
  <si>
    <t xml:space="preserve">%age progress of implementation </t>
  </si>
  <si>
    <t>Implement the EITI oil and gas medium term action plan</t>
  </si>
  <si>
    <t>NPA, CSOs, NGOs</t>
  </si>
  <si>
    <t>032</t>
  </si>
  <si>
    <t>Midstream</t>
  </si>
  <si>
    <t>0323</t>
  </si>
  <si>
    <t>To enhance local capacity to participate in oil and gas operations</t>
  </si>
  <si>
    <t>032301</t>
  </si>
  <si>
    <t>Establish an oil and gas incubation fund to promote local entrepreneurship and SME’s</t>
  </si>
  <si>
    <t>03230101</t>
  </si>
  <si>
    <t>Fund in place and operational</t>
  </si>
  <si>
    <t>No. of local companies funded</t>
  </si>
  <si>
    <t>Enact the Local Content development Fund Act</t>
  </si>
  <si>
    <t>MoFPED, Parliament, UDB, MoJCA</t>
  </si>
  <si>
    <t>Establish and operationalise the fund considering the gender and equity aspects.</t>
  </si>
  <si>
    <t>Percentage of contracts awarded to local businesses</t>
  </si>
  <si>
    <t>JVPs</t>
  </si>
  <si>
    <t>Unbundle the contracts principle to allow for local participation.</t>
  </si>
  <si>
    <t>MEMD, UNOC</t>
  </si>
  <si>
    <t>032302</t>
  </si>
  <si>
    <t>Capitalize and/or license UNOC to execute its mandate as an investment arm of government in oil and gas industry</t>
  </si>
  <si>
    <t>03230201</t>
  </si>
  <si>
    <t>UNOC capitalized</t>
  </si>
  <si>
    <t xml:space="preserve">Proportion of funds provided as a %age of the required financing. </t>
  </si>
  <si>
    <t>Secure financing for UNOC operations</t>
  </si>
  <si>
    <t>032303</t>
  </si>
  <si>
    <t>Fast Track Skilling (e.g., apprenticeship), Training and International Accreditation of Ugandans for employment and service provision in the development/phase of the oil and gas sector</t>
  </si>
  <si>
    <t>03230301</t>
  </si>
  <si>
    <t xml:space="preserve">At least 5 Vocational Training Institutions internationally accredited </t>
  </si>
  <si>
    <t>Number of VTIs internationally accredited</t>
  </si>
  <si>
    <t>Localize the accreditation process in the Country</t>
  </si>
  <si>
    <t>Train and certify Ugandans to international oil and gas industry standards</t>
  </si>
  <si>
    <t>NCHE, MEMD, PAU</t>
  </si>
  <si>
    <t>At least 50% of local suppliers internationally accredited in ISO and related certifications</t>
  </si>
  <si>
    <t>Percentage of local suppliers internationally accredited</t>
  </si>
  <si>
    <t xml:space="preserve">Localize the accreditation process in the Country. </t>
  </si>
  <si>
    <t>MEMD, NCHE, MoTIC</t>
  </si>
  <si>
    <t>Train and certify local suppliers considering the youth, women, elderly and PWDs.</t>
  </si>
  <si>
    <t>MoTIC, PAU, UNOC, MEMD</t>
  </si>
  <si>
    <t>032304</t>
  </si>
  <si>
    <t>Implementation of a strategy on value addition and marketing of goods and services that will be demanded by the oil and gas sector</t>
  </si>
  <si>
    <t>03230401</t>
  </si>
  <si>
    <t>Value Addition and Marketing strategy for Goods and Services developed and implemented</t>
  </si>
  <si>
    <t>progress of implementation (%)</t>
  </si>
  <si>
    <t>Develop and implement the Value Addition and Marketing strategy for Goods and Services in Oil and Gas</t>
  </si>
  <si>
    <t>UNOC, PAU</t>
  </si>
  <si>
    <t>National supplier database upgraded to a Joint Qualification System (JQS) and E-market place</t>
  </si>
  <si>
    <t>Standardize, test and certify local products to product standards</t>
  </si>
  <si>
    <t>MEMD, MoTIC</t>
  </si>
  <si>
    <t>032305</t>
  </si>
  <si>
    <t>Provide SMEs both technical (training) and financial support to enhance their participation in tendering and of delivery of contracts. (Direct and indirect participants in the oil and gas value chain)</t>
  </si>
  <si>
    <t>03230501</t>
  </si>
  <si>
    <t>Industry Enhancement Centre operationalized</t>
  </si>
  <si>
    <t xml:space="preserve">Number local businesses upskilled in oil and gas </t>
  </si>
  <si>
    <t>Establish and operationalize the Industry Enhancement Centre</t>
  </si>
  <si>
    <t>UIRI, MoTIC</t>
  </si>
  <si>
    <t>032306</t>
  </si>
  <si>
    <t>Establish a framework for adoption and transfer of knowledge and technology within the oil and gas sector</t>
  </si>
  <si>
    <t>03230601</t>
  </si>
  <si>
    <t>Workforce Skills Development Strategy and Plan updated and implemented</t>
  </si>
  <si>
    <t>No. of Ugandans trained with appropriate skills relevant to the sector</t>
  </si>
  <si>
    <t>Update and implement the workforce skills development strategy and plan with the promotion of gender and equity aspects.</t>
  </si>
  <si>
    <t>032307</t>
  </si>
  <si>
    <t>Implement the Agricultural Development Strategy for the Albertine Region</t>
  </si>
  <si>
    <t>03230701</t>
  </si>
  <si>
    <t>Capacity of Local agricultural suppliers developed to supply the oil and gas sector</t>
  </si>
  <si>
    <t>N0. of Local suppliers developed in agricultural capacity</t>
  </si>
  <si>
    <t>Implement the Agricultural Development Strategy for the Albertine Region considering gender and equity aspects.</t>
  </si>
  <si>
    <t>PAU, UNOC, MEMD</t>
  </si>
  <si>
    <t>Amount of local Agro- based products supplied to the sector</t>
  </si>
  <si>
    <t>Upscale the agricultural development project to cover the pipeline districts</t>
  </si>
  <si>
    <t>0324</t>
  </si>
  <si>
    <t>To promote private investment in oil and gas industry</t>
  </si>
  <si>
    <t>032401</t>
  </si>
  <si>
    <t>Develop and implement sustainable financing strategy</t>
  </si>
  <si>
    <t>03240101</t>
  </si>
  <si>
    <t>Financing strategy developed and implemented</t>
  </si>
  <si>
    <t>No. of Financing Agreements secured</t>
  </si>
  <si>
    <t>Develop and implement a sustainable financing strategy for oil and gas.</t>
  </si>
  <si>
    <t>MoFPED, PAU</t>
  </si>
  <si>
    <t>Number of investors in oil and gas attracted.</t>
  </si>
  <si>
    <t>Undertake promotional activities for   private investment in oil and gas industry.</t>
  </si>
  <si>
    <t xml:space="preserve">Assess and implement the approved optimal financing options for Programme projects and operations. </t>
  </si>
  <si>
    <t>PAU, UNOC, MoFPED</t>
  </si>
  <si>
    <t>Undertake targeted visits to potential investors.</t>
  </si>
  <si>
    <t>032402</t>
  </si>
  <si>
    <t>Implement a communication strategy to deal with public anxiety and managing expectations</t>
  </si>
  <si>
    <t>03240201</t>
  </si>
  <si>
    <t>Oil and Gas Communication Strategies implemented</t>
  </si>
  <si>
    <t>Number of stakeholder engagements held</t>
  </si>
  <si>
    <t>Implement the Oil and Gas Communication Strategies.</t>
  </si>
  <si>
    <t>032403</t>
  </si>
  <si>
    <t>Develop and implement a marketing and promotional strategy for oil and gas projects</t>
  </si>
  <si>
    <t>03240301</t>
  </si>
  <si>
    <t>Marketing strategy for oil and gas projects developed and implemented</t>
  </si>
  <si>
    <t xml:space="preserve">Marketing strategy for oil and gas projects </t>
  </si>
  <si>
    <t>Develop and implement project specific Marketing Strategies</t>
  </si>
  <si>
    <t>0315</t>
  </si>
  <si>
    <t>To enhance Quality Health, Safety, Security and Environment (QHSSE)</t>
  </si>
  <si>
    <t>031501</t>
  </si>
  <si>
    <t>Develop and implement oil and gas QHSSE systems and standards</t>
  </si>
  <si>
    <t>03150101</t>
  </si>
  <si>
    <t>QHSSE systems and standards developed and implemented</t>
  </si>
  <si>
    <t>Number of QHSSE standards in place.</t>
  </si>
  <si>
    <t xml:space="preserve">Develop and implement the Oil and gas QHSSE standards for infrastructure  </t>
  </si>
  <si>
    <t>Number of Quality Management systems in Place</t>
  </si>
  <si>
    <t>Establish Quality Management System for Oil and Gas operations</t>
  </si>
  <si>
    <t>Number of standards on Climate Change developed</t>
  </si>
  <si>
    <t>Develop and implement standards on Climate Change</t>
  </si>
  <si>
    <t>UNBS, MEMD</t>
  </si>
  <si>
    <t>031502</t>
  </si>
  <si>
    <t>Establish QHSSE governance and assurance framework</t>
  </si>
  <si>
    <t>03150201</t>
  </si>
  <si>
    <t>QHSSE governance and assurance framework established</t>
  </si>
  <si>
    <t>% of QHSSE governance and assurance framework developed</t>
  </si>
  <si>
    <t xml:space="preserve">NEMA </t>
  </si>
  <si>
    <t>Develop a measurement verification and regulatory framework.</t>
  </si>
  <si>
    <t>MEMD, PAU, MoTIC</t>
  </si>
  <si>
    <t xml:space="preserve">Establishment of regional standards and metrological offices </t>
  </si>
  <si>
    <t xml:space="preserve">Establish measurement and calibration needs of QHSSE. </t>
  </si>
  <si>
    <t>Support development of bylaws and ordinances to boost enforcement on environment</t>
  </si>
  <si>
    <t>MoJICA, Parliament, NEMA</t>
  </si>
  <si>
    <t>031503</t>
  </si>
  <si>
    <t>Develop and implement an oil and gas disaster preparedness and contingency plan</t>
  </si>
  <si>
    <t>03150301</t>
  </si>
  <si>
    <t>Emergency response and disaster recovery plan developed and implemented.</t>
  </si>
  <si>
    <t>Emergency response and disaster recovery plan in place</t>
  </si>
  <si>
    <t xml:space="preserve">Develop and implement Disaster Recovery Plans  </t>
  </si>
  <si>
    <t>OPM, MEMD, UNOC</t>
  </si>
  <si>
    <t>Number of disaster recovery initiatives implemented.</t>
  </si>
  <si>
    <t>Implement the National Oil Spill Contingency Plan</t>
  </si>
  <si>
    <t>Conduct an oil and gas hazard risk and vulnerability profiling and mapping of the districts involved</t>
  </si>
  <si>
    <t>MEMD, UNOC, PAU</t>
  </si>
  <si>
    <t>031504</t>
  </si>
  <si>
    <t>Develop decommissioning and closure management plans</t>
  </si>
  <si>
    <t>03150401</t>
  </si>
  <si>
    <t>Decommissioning and closure management plans developed</t>
  </si>
  <si>
    <t> Decommissioning and closure management plans in place</t>
  </si>
  <si>
    <t xml:space="preserve">Develop a decommissioning strategy for oil and gas projects. </t>
  </si>
  <si>
    <t>031505</t>
  </si>
  <si>
    <t>Develop and implement environmental and social management plans</t>
  </si>
  <si>
    <t>03150501</t>
  </si>
  <si>
    <t>Environment and social management plan developed and implemented</t>
  </si>
  <si>
    <t>Environment and social management plan developed</t>
  </si>
  <si>
    <t>Undertake Project specific Environmental and Social Impact Assessment studies, risks and audits.</t>
  </si>
  <si>
    <t xml:space="preserve">Compliance enforcement </t>
  </si>
  <si>
    <t>Implement the Strategic Environmental Assessment (SEA) for the new Albertine Graben and basins</t>
  </si>
  <si>
    <t>Number of initiatives implemented.</t>
  </si>
  <si>
    <t>Develop environmental tools to monitor impacts of oil and gas on environment such as environmental atlases, Monitoring plans, checklists, guidelines etc.</t>
  </si>
  <si>
    <t>Undertake capacity building for government agencies in better environmental management with emphasis on gender and equity aspects</t>
  </si>
  <si>
    <t>031506</t>
  </si>
  <si>
    <t>Develop standards for storage infrastructure including LPG, transportation and other facilities</t>
  </si>
  <si>
    <t>03150601</t>
  </si>
  <si>
    <t xml:space="preserve">LPG and Natural Gas Transportation, Storage and other LPG infrastructure standards developed </t>
  </si>
  <si>
    <t>Number of LPG and Natural Gas standards developed</t>
  </si>
  <si>
    <t>Develop LPG and Natural Gas Transportation, Storage and other infrastructure Standards and codes of practice.</t>
  </si>
  <si>
    <t>033</t>
  </si>
  <si>
    <t xml:space="preserve">Downstream </t>
  </si>
  <si>
    <t>0336</t>
  </si>
  <si>
    <t>To improve security of supply of refined petroleum products</t>
  </si>
  <si>
    <t>033601</t>
  </si>
  <si>
    <t>Development of standards for storage infrastructure and other facilities</t>
  </si>
  <si>
    <t>03360101</t>
  </si>
  <si>
    <t xml:space="preserve">Standards for Petroleum storage infrastructure developed </t>
  </si>
  <si>
    <t>No. of petroleum storage standards and codes of practice developed (%)</t>
  </si>
  <si>
    <t>Develop Standards and codes of practice for Petroleum storage infrastructure.</t>
  </si>
  <si>
    <t>Monitor Petroleum quality for compliance with EAS</t>
  </si>
  <si>
    <t>033602</t>
  </si>
  <si>
    <t>Develop operations standards of transportation of petroleum products on Lake and Rail</t>
  </si>
  <si>
    <t>03360201</t>
  </si>
  <si>
    <t>Standard operating procedures developed and implemented</t>
  </si>
  <si>
    <t>Number of standard operating procedures developed and implemented</t>
  </si>
  <si>
    <t xml:space="preserve">Develop and implement standards for transportation of petroleum products on lake and rail </t>
  </si>
  <si>
    <t>Develop measurement and metrological controls</t>
  </si>
  <si>
    <t>lake transport master plan/routing for refined products in place</t>
  </si>
  <si>
    <t>Master plan/routing for refined products on the lake prepared</t>
  </si>
  <si>
    <t>UNOC, MoWT</t>
  </si>
  <si>
    <t>Lake transportation of refined petroleum products regulated</t>
  </si>
  <si>
    <t>regulations for Lake/water petroleum products transportation developed</t>
  </si>
  <si>
    <t>033603</t>
  </si>
  <si>
    <t>Develop strategic regional storage terminals for petroleum products</t>
  </si>
  <si>
    <t>03360301</t>
  </si>
  <si>
    <t xml:space="preserve">Strategic storage terminals and auxiliary infrastructure developed </t>
  </si>
  <si>
    <t>Number of Strategic terminals developed</t>
  </si>
  <si>
    <t>Develop regional storage facilities (Arua, Gulu, Mbale, Mbarara and Soroti)</t>
  </si>
  <si>
    <t>Refurbish the Nakasongola Storage Facility</t>
  </si>
  <si>
    <t>MoDVA</t>
  </si>
  <si>
    <t>004 Ministry of Defence</t>
  </si>
  <si>
    <t>Implement the National Strategy and plan for Petroleum Transportation and Storage.</t>
  </si>
  <si>
    <t>MoWT, UNOC</t>
  </si>
  <si>
    <t>Promote Midstream and Downstream Petroleum Infrastructure</t>
  </si>
  <si>
    <t>033604</t>
  </si>
  <si>
    <t>Restock and manage Jinja Storage Terminal</t>
  </si>
  <si>
    <t>03360401</t>
  </si>
  <si>
    <t>Jinja Storage Terminal restocked and managed</t>
  </si>
  <si>
    <t>Percentage storage utilization</t>
  </si>
  <si>
    <t xml:space="preserve"> </t>
  </si>
  <si>
    <t xml:space="preserve">Secure financing for the JST Oil jetty and pipeline construction  </t>
  </si>
  <si>
    <t>Secure financing for National Strategic Reserves</t>
  </si>
  <si>
    <t>Private Sector Development</t>
  </si>
  <si>
    <t>07X</t>
  </si>
  <si>
    <t>Financial inclusion Pillar (PDM)</t>
  </si>
  <si>
    <t>071</t>
  </si>
  <si>
    <t>0711</t>
  </si>
  <si>
    <t xml:space="preserve">Sustainably lower the costs of doing business </t>
  </si>
  <si>
    <t>071101</t>
  </si>
  <si>
    <t xml:space="preserve">Increase access to affordable credit largely targeting MSMEs </t>
  </si>
  <si>
    <t>071101a</t>
  </si>
  <si>
    <t xml:space="preserve">Capitalize and strengthen government owned commercial banks  </t>
  </si>
  <si>
    <t>071101a01</t>
  </si>
  <si>
    <t xml:space="preserve">Government owned financial institutions capitalized </t>
  </si>
  <si>
    <t>Feasibility study report on public financial institution including a capitalisation framework</t>
  </si>
  <si>
    <t xml:space="preserve">Conduct Feasibility studies on public sector financial institutions </t>
  </si>
  <si>
    <t>BoU, PostBank Uganda, Housing Finance Bank, MoFPED</t>
  </si>
  <si>
    <t>Amount of funds for recapitalizing 4 Government-owned banks per year (UGX Bn)</t>
  </si>
  <si>
    <t xml:space="preserve">Develop a strategy for capitalization for 4 public financial institutions </t>
  </si>
  <si>
    <t>BoU</t>
  </si>
  <si>
    <t>Average lead time for loan processing at MSCL (Days)</t>
  </si>
  <si>
    <t xml:space="preserve"> Capitalise 4 government owned financial institutions  </t>
  </si>
  <si>
    <t>Proportion of commercial banks passing the stress test (%)</t>
  </si>
  <si>
    <t xml:space="preserve"> Review and implement effective risk assessment, modelling and stress testing for SFIs </t>
  </si>
  <si>
    <t xml:space="preserve">BoU </t>
  </si>
  <si>
    <t>071101b</t>
  </si>
  <si>
    <t xml:space="preserve">Set up a short-term development credit window for MSMEs </t>
  </si>
  <si>
    <t>071101b01</t>
  </si>
  <si>
    <t>A short term development credit window for MSMEs set up</t>
  </si>
  <si>
    <t>No. of tier 4 institutions licensed</t>
  </si>
  <si>
    <t>UMRA</t>
  </si>
  <si>
    <t>Uganda Microfinance Regulatory Authority</t>
  </si>
  <si>
    <t> Conduct regular supervision, regulation and licensing of tier 4 financial institutions </t>
  </si>
  <si>
    <t>MSC</t>
  </si>
  <si>
    <t>No of registered institutions sensitized on compliance regulations.</t>
  </si>
  <si>
    <t>Conduct capacity building for tier4 financial institutions</t>
  </si>
  <si>
    <t>An MIS system for tier4 sector</t>
  </si>
  <si>
    <t>Needs assessment</t>
  </si>
  <si>
    <t>Develop MIS</t>
  </si>
  <si>
    <t>Rolling out MIS</t>
  </si>
  <si>
    <t>Maintenance and upgrading</t>
  </si>
  <si>
    <t>Develop an MIS system for the tier4 sector</t>
  </si>
  <si>
    <t xml:space="preserve"> Conduct regular supervision of financial institutions </t>
  </si>
  <si>
    <t>Number of MSME beneficiaries under the INVITE project</t>
  </si>
  <si>
    <t xml:space="preserve"> Establish a platform for financing of SME receivables </t>
  </si>
  <si>
    <t>Number of skilled enterprise groups accessing EMYOOGA fund</t>
  </si>
  <si>
    <t xml:space="preserve"> Review the MSCL loan approval processes including the required documentation </t>
  </si>
  <si>
    <t xml:space="preserve">Proportion of MSMES accessing credit from government owned commercial banks </t>
  </si>
  <si>
    <t xml:space="preserve"> Build capacity of MSMEs to access credit </t>
  </si>
  <si>
    <t>Enterprise Uganda, MoTIC, PSFU, UIA</t>
  </si>
  <si>
    <t xml:space="preserve"> Set up a factoring house for Private Sector Receivables </t>
  </si>
  <si>
    <t xml:space="preserve"> Establish and operationalise the  EMYOOGA fund for MSMEs, in  the specialised trades </t>
  </si>
  <si>
    <t>MoFPED (MSC)</t>
  </si>
  <si>
    <t xml:space="preserve"> Strategic design and technical oversight of the Investment for Industrial Transformation and Employment (INVITE) strategy for the Growth Triangle </t>
  </si>
  <si>
    <t>UIA, UDB</t>
  </si>
  <si>
    <t>071101c</t>
  </si>
  <si>
    <t xml:space="preserve">Strengthen use of the Security Interest in Movable Property Registry System </t>
  </si>
  <si>
    <t>071101c01</t>
  </si>
  <si>
    <t xml:space="preserve">Security Interest in Movable Property Registry System fully functional and accepted by the industry </t>
  </si>
  <si>
    <t>Number of security interests registered at the movable property registry</t>
  </si>
  <si>
    <t>1,930S</t>
  </si>
  <si>
    <t xml:space="preserve"> Popularize use of security  interest  in Movable registry </t>
  </si>
  <si>
    <t>URA, NITA-U, NIRA</t>
  </si>
  <si>
    <t> No. of MSMEs sensitized and trained on usage of Security Interest in Movable Property Registry System (SIMPRS)</t>
  </si>
  <si>
    <t xml:space="preserve"> Integration with the motor vehicle registry and SIMPO system upgrade </t>
  </si>
  <si>
    <t>No. of women and youths sensitized and trained on usage of Security Interest in Movable Property Registry System (SIMPRS)</t>
  </si>
  <si>
    <t xml:space="preserve"> Harmonize legal framework for registration of security interests in movable property with existing commercial laws (Companies Act on debentures and Insolvency Act on priority of debts) for ease of doing business and access to credit </t>
  </si>
  <si>
    <t>MoJICA</t>
  </si>
  <si>
    <t xml:space="preserve"> Mass education of the movable property registry system </t>
  </si>
  <si>
    <t>URA, UNRA</t>
  </si>
  <si>
    <t>% of EOI requests completed within the Stipulated International standards</t>
  </si>
  <si>
    <t xml:space="preserve"> Boost lender confidence to promote prudent lending against movable assets through trainings and availability of borrowers’ information on SIMPO for risk analysis </t>
  </si>
  <si>
    <t xml:space="preserve"> Strengthen partnerships with stakeholders e.g. URA, FSDU, World Bank, UNCITRAL, UNDROIT, JLOS for funding and smooth operation of the registry </t>
  </si>
  <si>
    <t xml:space="preserve"> Exchange of information with the Movable property registry </t>
  </si>
  <si>
    <t xml:space="preserve"> Strengthen use of e-movable chattels registry </t>
  </si>
  <si>
    <t xml:space="preserve"> Building synergies with regulators and associations to increase system usage and non-tax revenue collection. </t>
  </si>
  <si>
    <t>URA, PSFU</t>
  </si>
  <si>
    <t xml:space="preserve"> Implement the Automatic Exchange of Information and common reporting standards for tax purposes  </t>
  </si>
  <si>
    <t>071101d</t>
  </si>
  <si>
    <t xml:space="preserve">De-risk private sector lending by adopting appropriate measures, such as public partial credit guarantee schemes targeted to the key growth opportunities </t>
  </si>
  <si>
    <t>071101d01</t>
  </si>
  <si>
    <t xml:space="preserve">Credit guarantee scheme in place </t>
  </si>
  <si>
    <t>Number of MSME credit lines/ loans guaranteed</t>
  </si>
  <si>
    <t xml:space="preserve"> Set up Credit Guarantee Scheme in UDB for financing eligible SME operations </t>
  </si>
  <si>
    <t>071101d02</t>
  </si>
  <si>
    <t xml:space="preserve">Increased availability of borrower information </t>
  </si>
  <si>
    <t>No. of new measures put in place to increase availability of borrower information</t>
  </si>
  <si>
    <t> 2 (CRB regulations updated, guidelines on data collection)</t>
  </si>
  <si>
    <t> 2 (Upgrade CRB system, awareness for Tier 4 providers)</t>
  </si>
  <si>
    <t> 1 (integration NIN with financial sector databases)</t>
  </si>
  <si>
    <t> 1 (public credit registry)</t>
  </si>
  <si>
    <t xml:space="preserve"> Establish mechanisms for facilitating access to borrower information by financial institutions with a view to increasing certainty in the credit market (e.g. through Credit reference bureaus) </t>
  </si>
  <si>
    <t>BoU, Financial Institutions</t>
  </si>
  <si>
    <t>071101d03</t>
  </si>
  <si>
    <t xml:space="preserve">Reduced turnaround time of commercial civil cases in court </t>
  </si>
  <si>
    <t>No. of years it takes to dispose a commercial civil case</t>
  </si>
  <si>
    <t>MOJCA</t>
  </si>
  <si>
    <t xml:space="preserve"> Increase manpower (Judges, and State Attorneys) dealing with Commercial, civil cases </t>
  </si>
  <si>
    <t>071101d04</t>
  </si>
  <si>
    <t xml:space="preserve">Asset Reconstruction Company (ARC) established and operational  </t>
  </si>
  <si>
    <t>Operational ARC</t>
  </si>
  <si>
    <t>No</t>
  </si>
  <si>
    <t>NO</t>
  </si>
  <si>
    <t>Yes</t>
  </si>
  <si>
    <t xml:space="preserve"> Support the establishment of an Asset Reconstruction Company </t>
  </si>
  <si>
    <t>071101d05</t>
  </si>
  <si>
    <t xml:space="preserve">Insurance products range adopted </t>
  </si>
  <si>
    <t xml:space="preserve">Proportion of MSMEs Credit rated </t>
  </si>
  <si>
    <t xml:space="preserve"> Promote innovations for appropriate insurance products for key growth sectors </t>
  </si>
  <si>
    <t>071101d06</t>
  </si>
  <si>
    <t xml:space="preserve">Increased understanding of MSMEs Credit rating  </t>
  </si>
  <si>
    <t xml:space="preserve"> Simplify, popularize and massively train MSMEs in the processes of credit rating </t>
  </si>
  <si>
    <t>Enterprise Uganda, PSFU, UIA</t>
  </si>
  <si>
    <t>Strengthen financial consumer protection</t>
  </si>
  <si>
    <t>071101d07</t>
  </si>
  <si>
    <t xml:space="preserve"> De-risking mechanisms in place</t>
  </si>
  <si>
    <t>No. of financial institutions accessing new de-risking mechanisms in place</t>
  </si>
  <si>
    <t>071102</t>
  </si>
  <si>
    <t xml:space="preserve">Increase access to long-term finance </t>
  </si>
  <si>
    <t>071102a</t>
  </si>
  <si>
    <t xml:space="preserve">Capitalize and strengthen UDB  </t>
  </si>
  <si>
    <t>071102a01</t>
  </si>
  <si>
    <t>UDB capitalized and strengthened</t>
  </si>
  <si>
    <t>Amount of funds injected into UDB (UGX billion)</t>
  </si>
  <si>
    <t xml:space="preserve"> Mobilise concessional loans through Lines of Credits from potentials financiers and grants for capitalisation and capacity enhancement of UDB </t>
  </si>
  <si>
    <t>MoFPED, BoU</t>
  </si>
  <si>
    <t>A revised framework for capitalization of UDB</t>
  </si>
  <si>
    <t xml:space="preserve"> Develop a revised framework for capitalization of UDB to facilitate MSME based growth via selected commodity value chains </t>
  </si>
  <si>
    <t xml:space="preserve"> Mobilize and appropriate resources to UDB based on a results-oriented capitalization framework </t>
  </si>
  <si>
    <t>071102b</t>
  </si>
  <si>
    <t xml:space="preserve">Develop a Development Finance Institutions (DFIs) Policy </t>
  </si>
  <si>
    <t>071102b01</t>
  </si>
  <si>
    <t xml:space="preserve">Development Finance Institutions Policy in place </t>
  </si>
  <si>
    <t xml:space="preserve">A developed DFI policy </t>
  </si>
  <si>
    <t xml:space="preserve"> Develop a policy on DFI </t>
  </si>
  <si>
    <t>UDB, NPA</t>
  </si>
  <si>
    <t>071102c</t>
  </si>
  <si>
    <t>Capitalize the Project Development Facilitation Fund</t>
  </si>
  <si>
    <t>071102c01</t>
  </si>
  <si>
    <t>Project Development Facilitation Fund capitalised</t>
  </si>
  <si>
    <t>amount of funding to the project capitalisation fund  (UGX)</t>
  </si>
  <si>
    <t>Capitalise the project development facilitation fund</t>
  </si>
  <si>
    <t>071102d</t>
  </si>
  <si>
    <t xml:space="preserve">Expand the pension and insurance coverage to increase formal sector savings </t>
  </si>
  <si>
    <t>071102d01</t>
  </si>
  <si>
    <t xml:space="preserve">Savings mobilization strategy in place  </t>
  </si>
  <si>
    <t>Savings mobilization strategy</t>
  </si>
  <si>
    <t xml:space="preserve"> Developing and popularizing savings mobilization strategy </t>
  </si>
  <si>
    <t>BoU, NPA, EPRC</t>
  </si>
  <si>
    <t>071102d02</t>
  </si>
  <si>
    <t xml:space="preserve">Insurance coverage Expanded </t>
  </si>
  <si>
    <t>Number of insurance service providers supervised</t>
  </si>
  <si>
    <t xml:space="preserve"> Conduct regular supervision to insurance service providers           </t>
  </si>
  <si>
    <t>Number of insurance innovations tested in a regulatory sandbox</t>
  </si>
  <si>
    <t xml:space="preserve"> Provide an incentive package for life and pension products </t>
  </si>
  <si>
    <t>071102d03</t>
  </si>
  <si>
    <t xml:space="preserve">Increased coverage and growth of the Retirement Benefits Sector </t>
  </si>
  <si>
    <t>Sector Operating Ratio (Cost to Asset ratio)</t>
  </si>
  <si>
    <t xml:space="preserve"> Invest in innovations and insurance products range for expanding insurance penetration; </t>
  </si>
  <si>
    <t>Annual Retirement Benefits Sector Asset Growth Rate</t>
  </si>
  <si>
    <t xml:space="preserve"> Undertake scheme Risk Reviews </t>
  </si>
  <si>
    <t xml:space="preserve">Coverage (% of labour force enrolled) </t>
  </si>
  <si>
    <t>URBRA</t>
  </si>
  <si>
    <t xml:space="preserve"> Developing a regulatory and supervisory framework for Informal Sector Retirement Benefit Arrangements </t>
  </si>
  <si>
    <t>MoFPED (URBRA)</t>
  </si>
  <si>
    <t>Overall Scheme Risk Rating in the Retirement Benefits Sector</t>
  </si>
  <si>
    <t xml:space="preserve"> Establish  micro-pension scheme(s) to facilitate extension of coverage to Informal Sector </t>
  </si>
  <si>
    <t>071102d04</t>
  </si>
  <si>
    <t xml:space="preserve">Retirement benefits sector coverage and scope increased </t>
  </si>
  <si>
    <t xml:space="preserve"> Establish a Centralised Micro-Pension Administration System  </t>
  </si>
  <si>
    <t xml:space="preserve"> Undertake pension sector legislative reforms </t>
  </si>
  <si>
    <t xml:space="preserve"> Establish Risk Based Supervision Tool and acquire Risk Based Supervision Software, for effective risk assessment, response and monitoring of the Retirement Benefits Sector </t>
  </si>
  <si>
    <t>071103</t>
  </si>
  <si>
    <t xml:space="preserve">Mobilize alternative financing sources to finance private investment </t>
  </si>
  <si>
    <t>071103a</t>
  </si>
  <si>
    <t xml:space="preserve">Deepen and widen the capital markets </t>
  </si>
  <si>
    <t>071103a01</t>
  </si>
  <si>
    <t xml:space="preserve">A conducive environment for capital markets is in place </t>
  </si>
  <si>
    <t>Number of CIS Accounts opened to invest in government securities through mobile phones</t>
  </si>
  <si>
    <t xml:space="preserve"> Develop a technical system for investment in government securities via the mobile phone </t>
  </si>
  <si>
    <t xml:space="preserve">Number of CIS accounts </t>
  </si>
  <si>
    <t>CMA</t>
  </si>
  <si>
    <t xml:space="preserve"> Link the Central Securities Depository (CSD) to the Uganda Securities Exchange (USE) </t>
  </si>
  <si>
    <t>MoFPED (CMA)</t>
  </si>
  <si>
    <t>MoFPED, Uganda Securities Exchange</t>
  </si>
  <si>
    <t>CIS assets under management (UGX bn)</t>
  </si>
  <si>
    <t>156 (end2018)</t>
  </si>
  <si>
    <t xml:space="preserve"> Popularize capital markets investment opportunities, to increase the uptake of collective investment schemes </t>
  </si>
  <si>
    <t>Measures implemented to encourage public interest companies list</t>
  </si>
  <si>
    <t>CMA, MoFPED</t>
  </si>
  <si>
    <t xml:space="preserve"> Develop provisions under the licensing regulations for the registration of Private Equity Funds and Venture Capital Funds </t>
  </si>
  <si>
    <t xml:space="preserve">Number of companies supported by a functional deal flow facility </t>
  </si>
  <si>
    <t>Number of firms that received private equity funding by local private equity funds</t>
  </si>
  <si>
    <t>071103a02</t>
  </si>
  <si>
    <t xml:space="preserve">Increased participation in the financial markets </t>
  </si>
  <si>
    <t xml:space="preserve">Number of initiatives undertaken to increase market participation </t>
  </si>
  <si>
    <t> CMA</t>
  </si>
  <si>
    <t xml:space="preserve"> Develop measures that will lead to the listing of public interest entities. </t>
  </si>
  <si>
    <t>Functional financial market reforms</t>
  </si>
  <si>
    <t> BOU</t>
  </si>
  <si>
    <t xml:space="preserve"> Establish a Deal Flow Facility that will prepare companies to tap into market based finance </t>
  </si>
  <si>
    <t>BoU, Uganda Securities Exchange</t>
  </si>
  <si>
    <t xml:space="preserve"> Implement financial market reforms including; Training of market participants, Sensitisation of the retail sector, Development of products specific to the retail market, e.g., mobile phone application for securities trading </t>
  </si>
  <si>
    <t>BoU, Capital Markets Authority, Uganda Securities Exchange</t>
  </si>
  <si>
    <t>071103b</t>
  </si>
  <si>
    <t xml:space="preserve">Strengthen the legal and regulatory frameworks for Private Equity and Venture Capital </t>
  </si>
  <si>
    <t>071103b01</t>
  </si>
  <si>
    <t xml:space="preserve">Legal and regulatory framework for Private Equity and Venture Capital strengthened  </t>
  </si>
  <si>
    <t>Number of domestically registered Private Equity and Venture Capital Funds</t>
  </si>
  <si>
    <t xml:space="preserve"> Develop provisions under the licensing regulations for the registration of Private Equity Funds and Venture Capital Funds  </t>
  </si>
  <si>
    <t>BoU, MoFPED, Uganda Securities Exchange</t>
  </si>
  <si>
    <t>Number of new investors resulting from the establishment of the special purpose vehicles/fund of funds</t>
  </si>
  <si>
    <t xml:space="preserve"> Using a fund of funds approach, utilize existing investment management firms to become limited partners in investment vehicles that invest in mature firms seeking capital growth  </t>
  </si>
  <si>
    <t>CMA, MoFPED, MTIC</t>
  </si>
  <si>
    <t xml:space="preserve"> Identify and advance financial policies and regulations that encourage start up innovation </t>
  </si>
  <si>
    <t>071103b02</t>
  </si>
  <si>
    <t xml:space="preserve">Increased local firms’ Access to Venture and Private equity and support grants  </t>
  </si>
  <si>
    <t>Top 100 SMEs for support to access Private Equity</t>
  </si>
  <si>
    <t xml:space="preserve"> Review the investment code to support investments backed by SPVs, Joint  Venture Mergers &amp;acquisitions  and investments for green growth </t>
  </si>
  <si>
    <t>UIA, CMA</t>
  </si>
  <si>
    <t xml:space="preserve"> Dissemination and popularisation of the new investment code to support investments by SPVs; </t>
  </si>
  <si>
    <t>071103c</t>
  </si>
  <si>
    <t xml:space="preserve">Build private sector capacity to access green financing and green growth response </t>
  </si>
  <si>
    <t>071103c01</t>
  </si>
  <si>
    <t xml:space="preserve">Resources mobilised from the Global Environment Facility to support private sector  </t>
  </si>
  <si>
    <t xml:space="preserve"> Number of measures undertaken to build private sector capacity access green financing and green growth response</t>
  </si>
  <si>
    <t xml:space="preserve"> Mobilise resources under the Global Environment Facility small grants programme to support private sector in undertaking biodiversity, land degradation and climate change related activities; </t>
  </si>
  <si>
    <t xml:space="preserve"> Build capacity of institutions to access funds from the Global Green environment facility; </t>
  </si>
  <si>
    <t xml:space="preserve"> Adopt protocols with Banks to report on their exposure to direct and indirect green finance; </t>
  </si>
  <si>
    <t xml:space="preserve"> Conduct a feasibility study for establishing a publicly supported green refinancing revolving loan fund, focusing on uses such as biogas, solar assembly plants and energy-efficient brick kilns. </t>
  </si>
  <si>
    <t xml:space="preserve"> Popularize the integration of Green financing and green growth responses in the implementation of policies and regulations for sustainable trade, industrialization, and co-operative development. </t>
  </si>
  <si>
    <t xml:space="preserve"> Instituting measures that enhance private sector capacity to access green growth response financing </t>
  </si>
  <si>
    <t>071104</t>
  </si>
  <si>
    <t xml:space="preserve">Address non-financial factors (power, transport, business processes etc.) leading to high costs of doing business </t>
  </si>
  <si>
    <t>07110401</t>
  </si>
  <si>
    <t xml:space="preserve">Warehouse receipt system strengthened </t>
  </si>
  <si>
    <t>Number of warehouses licensed under the UWRSA</t>
  </si>
  <si>
    <t xml:space="preserve"> License additional ware houses </t>
  </si>
  <si>
    <t>UWRSA, URA, Uganda Commodities Exchange (UCE)</t>
  </si>
  <si>
    <t>Number of warehouse receipts generated at warehouses</t>
  </si>
  <si>
    <t xml:space="preserve">Build capacity at UWRSA </t>
  </si>
  <si>
    <t>Number of green growth investments supported across the 4 Priority Programme Areas-Tourism, Agro-industrialization, Sustainable Energy Development, Infrastructure and Transport</t>
  </si>
  <si>
    <t xml:space="preserve">Provide training to stakeholders on warehouse receipting system. </t>
  </si>
  <si>
    <t>MoTIC, Uganda Commodities Exchange (UCE)</t>
  </si>
  <si>
    <t>Proportion of Customs Warehouse connected to the online system</t>
  </si>
  <si>
    <t xml:space="preserve"> Integrate the warehousing receipt system with Electronic Fiscal Receipt and Invoicing Solution (EFRIS) </t>
  </si>
  <si>
    <t> Proportion of warehouses complying with URA controls, %</t>
  </si>
  <si>
    <t xml:space="preserve"> Carry out taxpayer visits to constantly monitor them on the use of E-invoices </t>
  </si>
  <si>
    <t xml:space="preserve">Implement the DRMS compliance continuum initiatives </t>
  </si>
  <si>
    <t xml:space="preserve">Enhance URA Warehousing Controls </t>
  </si>
  <si>
    <t>PSFU, UWRSA, UMA</t>
  </si>
  <si>
    <t>07110402</t>
  </si>
  <si>
    <t xml:space="preserve">Private firm transacting using ICT increased </t>
  </si>
  <si>
    <t>Proportion of private firm transacting using ICT, %</t>
  </si>
  <si>
    <t>UIA, MoICT</t>
  </si>
  <si>
    <t xml:space="preserve">Invest in new and improve existing ICT infrastructure  </t>
  </si>
  <si>
    <t xml:space="preserve"> Develop investment clusters along the NDP III growth triangle/corridors for value addition </t>
  </si>
  <si>
    <t>MoFPED, MTIC, UDC</t>
  </si>
  <si>
    <t xml:space="preserve">Implement the Electronic Fiscal Receipt and Invoices (EFRIS)  </t>
  </si>
  <si>
    <t>MoFPED, PSFU</t>
  </si>
  <si>
    <t xml:space="preserve"> Digital Tax Stamps  (DTS)  </t>
  </si>
  <si>
    <t>UMA, PSFU</t>
  </si>
  <si>
    <t>07110403</t>
  </si>
  <si>
    <t xml:space="preserve">Regional network of OSCs for business processes and licensing implemented </t>
  </si>
  <si>
    <t xml:space="preserve">Number &amp; functionality of One-Stop Centers </t>
  </si>
  <si>
    <t xml:space="preserve"> Continuous review and re-engineering of key business processes for investment and licensing </t>
  </si>
  <si>
    <t>MoFPED, URSB</t>
  </si>
  <si>
    <t xml:space="preserve"> Automation of key government business processes for investment and licensing </t>
  </si>
  <si>
    <t>NITA-U, MoICT&amp;NG</t>
  </si>
  <si>
    <t xml:space="preserve"> Undertake competitiveness studies to identify bottlenecks and policy issues </t>
  </si>
  <si>
    <t>EPRC, NPA, MoFPED</t>
  </si>
  <si>
    <t xml:space="preserve"> Establishment (construct) Regional OSCs  starting with Mbale, Mbarara, Gulu, Arua </t>
  </si>
  <si>
    <t>URSB, MoWT</t>
  </si>
  <si>
    <t>07110404</t>
  </si>
  <si>
    <t xml:space="preserve">Industrial Parks and Free trade zones connected to electricity </t>
  </si>
  <si>
    <t>No. of Industrial Parks and free Trade zones connected to the national grid</t>
  </si>
  <si>
    <t> 9</t>
  </si>
  <si>
    <t xml:space="preserve"> Expand the Electricity Transmission Grid to Industrial Parks and Free Trade zones </t>
  </si>
  <si>
    <t>072</t>
  </si>
  <si>
    <t xml:space="preserve">Private Sector Institutional and Organizational Capacity   </t>
  </si>
  <si>
    <t>0722</t>
  </si>
  <si>
    <t xml:space="preserve">Strengthen the organizational and institutional capacity of the private sector to drive growth </t>
  </si>
  <si>
    <t>072201</t>
  </si>
  <si>
    <t xml:space="preserve">Improve management capacities of local enterprises through massive provision of business development services geared towards improving firm capabilities </t>
  </si>
  <si>
    <t>072201a</t>
  </si>
  <si>
    <t xml:space="preserve">Strengthen Business Development Services centres  </t>
  </si>
  <si>
    <t>072201a01</t>
  </si>
  <si>
    <t>Clients’ Business continuity and sustainability Strengthened</t>
  </si>
  <si>
    <t>Number of functional BDS centres</t>
  </si>
  <si>
    <t xml:space="preserve"> BDSs provided with analysed national and international market information for rational enterprise decision-making in prioritized growth activities </t>
  </si>
  <si>
    <t>UIA, Enterprise Uganda</t>
  </si>
  <si>
    <t>No. of Regional Business Development Service Centres established</t>
  </si>
  <si>
    <t xml:space="preserve"> Review and generate a functional SME data base to enable delivery of BDS as well as profiling servicing of Youth and SMEs </t>
  </si>
  <si>
    <t>MTIC, Enterprise Uganda, MoGLSD</t>
  </si>
  <si>
    <t>Number of clients served by the Regional Business Development Service Centres</t>
  </si>
  <si>
    <t xml:space="preserve"> Establishing and operationalise Regional Business Development Service Centres to provide services massively </t>
  </si>
  <si>
    <t>Number of SMEs facilitated in BDS</t>
  </si>
  <si>
    <t xml:space="preserve">  Formulate and Coordinate the National Business Development Services Strategy to support enterprise growth and development </t>
  </si>
  <si>
    <t>Number of Youth served through the Interactive SME Web-based System</t>
  </si>
  <si>
    <t>Enterprise Uganda</t>
  </si>
  <si>
    <t xml:space="preserve"> Developed mechanisms to incentivize businesses that have been formalized and have complied with conditions precedent </t>
  </si>
  <si>
    <t xml:space="preserve"> Conduct a needs assessment and Identification of Jua-Kalis and harmonize all support to them. </t>
  </si>
  <si>
    <t xml:space="preserve"> Increase funding and support to youth and women businesses initiatives through the YLP and UWEP </t>
  </si>
  <si>
    <t>MoFPED, OWC, LGs</t>
  </si>
  <si>
    <t xml:space="preserve"> Undertake Youth and SME BDS </t>
  </si>
  <si>
    <t xml:space="preserve"> Promote functional adult literacy through providing training in basic literacy and numeracy skills </t>
  </si>
  <si>
    <t xml:space="preserve"> Strengthen Business rescue services, continuity and sustainability  </t>
  </si>
  <si>
    <t>MoJICA, PSFU</t>
  </si>
  <si>
    <t xml:space="preserve"> Increase capacity of the PSD programme stakeholders to deliver researched solutions and products for MSMEs adoption </t>
  </si>
  <si>
    <t xml:space="preserve"> Deliver Business Development Services to MSMEs </t>
  </si>
  <si>
    <t>MoFPED (Enterprise Uganda)</t>
  </si>
  <si>
    <t>UIA, PSFU, MoFPED</t>
  </si>
  <si>
    <t xml:space="preserve"> Provision of support to peer to peer learning of new developments around manufacturing </t>
  </si>
  <si>
    <t xml:space="preserve"> Facilitate Jua-kalis business start-up with toolkits </t>
  </si>
  <si>
    <t xml:space="preserve">Strengthening Private Sector Institutional and Organizational Capacity   </t>
  </si>
  <si>
    <t>072201a02</t>
  </si>
  <si>
    <t>Bilateral agreements entered</t>
  </si>
  <si>
    <t xml:space="preserve">No. of Bilateral engagements </t>
  </si>
  <si>
    <t>Coordinate Bilarateral arragements for uganda with the rest of the EAC Partner states</t>
  </si>
  <si>
    <t>072201b</t>
  </si>
  <si>
    <t xml:space="preserve">Establish Business Development Services framework  </t>
  </si>
  <si>
    <t>072201b01</t>
  </si>
  <si>
    <t xml:space="preserve">Business Development Services framework established </t>
  </si>
  <si>
    <t>Business Development Services framework</t>
  </si>
  <si>
    <t xml:space="preserve"> Developing a BDS Policy </t>
  </si>
  <si>
    <t>SME specific Business Development Service Framework</t>
  </si>
  <si>
    <t xml:space="preserve"> Developing, adoption and implementation of the National BDS Framework including SME specific BDSframework </t>
  </si>
  <si>
    <t>072201c</t>
  </si>
  <si>
    <t xml:space="preserve">Strengthen Industry associations, chambers of commerce and trade unions  </t>
  </si>
  <si>
    <t>072201c01</t>
  </si>
  <si>
    <t xml:space="preserve">Industry associations (chambers of commerce and trade unions) strengthened </t>
  </si>
  <si>
    <t>Number of functional industry associations in place</t>
  </si>
  <si>
    <t> 15</t>
  </si>
  <si>
    <t xml:space="preserve"> Assessing capacities of Associations and enterprises </t>
  </si>
  <si>
    <t>PSFU, UNCCI, CSOs, Farmers Associations</t>
  </si>
  <si>
    <t>Number of firms registered as members of GSI Uganda</t>
  </si>
  <si>
    <t xml:space="preserve"> Support the provision of value addition/COMMON USER facilities for associations / cooperatives </t>
  </si>
  <si>
    <t>Proportion of members of trade unions in the tax register</t>
  </si>
  <si>
    <t xml:space="preserve"> Strengthening mechanisms for public, private dialogue especially to include small scale industries </t>
  </si>
  <si>
    <t>MoFPED (PSFU)</t>
  </si>
  <si>
    <t xml:space="preserve">Number of tax education programs implemented </t>
  </si>
  <si>
    <t xml:space="preserve"> Establish and integrate Management Information Systems to support Associations, trade unions and Cooperatives </t>
  </si>
  <si>
    <t>NITA-U, UNCCI, PSFU</t>
  </si>
  <si>
    <t xml:space="preserve"> Provision of oversight (investigations, inspection, audit and arbitration) services to associations, trade unions and cooperatives.  </t>
  </si>
  <si>
    <t>CSOs</t>
  </si>
  <si>
    <t xml:space="preserve"> Supporting industry associations, chambers of Commerce and trade union networks along their respective value chains </t>
  </si>
  <si>
    <t xml:space="preserve"> Establish an incentive framework to build membership for  industry-specific associations </t>
  </si>
  <si>
    <t xml:space="preserve"> Strengthen stakeholder Management with trade unions </t>
  </si>
  <si>
    <t xml:space="preserve"> Implement Tax education programs  </t>
  </si>
  <si>
    <t>PSFU, Enterprise Uganda</t>
  </si>
  <si>
    <t>072201d</t>
  </si>
  <si>
    <t xml:space="preserve">Establish National, regional, global and business links for registered local enterprises </t>
  </si>
  <si>
    <t>072201d01</t>
  </si>
  <si>
    <t xml:space="preserve">Measures undertaken to create national, regional and global business links for registered local enterprises </t>
  </si>
  <si>
    <t xml:space="preserve">No. of specific Compliance improvement plans implemented across different value chains of economic operators </t>
  </si>
  <si>
    <t xml:space="preserve"> Establish Trade and market information system/centres in the MDAS &amp; LGs to support National, regional and global linkages </t>
  </si>
  <si>
    <t>No. of investors targeted in the Priority Programme Areas using the FDI intelligence tools</t>
  </si>
  <si>
    <t xml:space="preserve"> Support and coordinate engagements and international Trade Fairs, Exhibitions and Expositions for priority products and markets </t>
  </si>
  <si>
    <t>UEPB, MoFA, UIA</t>
  </si>
  <si>
    <t>No of Free Zones accessing regional and international markets</t>
  </si>
  <si>
    <t xml:space="preserve"> Negotiate trade agreements to secure duty free and quota free market access and favourable arrangements for Ugandan products  </t>
  </si>
  <si>
    <t>MoFA, MoFPED, UIA</t>
  </si>
  <si>
    <t>No. of additional local firms that are accredited to Authorized Economic Operators (AEOs)</t>
  </si>
  <si>
    <t xml:space="preserve"> Popularize priority global commodities value chains to provide opportunities for local participation. </t>
  </si>
  <si>
    <t xml:space="preserve"> Promote formalization and certification of products, processes and services in enterprises </t>
  </si>
  <si>
    <t>UNBS, UMA, URBS, Uganda Small Scale Industries Association (USSIA)</t>
  </si>
  <si>
    <t xml:space="preserve"> Develop and implement a framework for issuance and management of Internationally recognized product bar codes  for Ugandan products, and firms </t>
  </si>
  <si>
    <t>UNBS, URBS</t>
  </si>
  <si>
    <t xml:space="preserve"> Promote the backward and forward linkages between SMEs and business associations and Free Zones to access regional and international market </t>
  </si>
  <si>
    <t>UIA, MTIC, UEPB, PSFU</t>
  </si>
  <si>
    <t xml:space="preserve"> Mainstream and implement Local Content in Free Zones </t>
  </si>
  <si>
    <t>PPDA, MoFPED</t>
  </si>
  <si>
    <t xml:space="preserve"> Strengthen the Authorized Economic Operators (AEO) Programme at national and regional level </t>
  </si>
  <si>
    <t>PSFU</t>
  </si>
  <si>
    <t>072201e</t>
  </si>
  <si>
    <t xml:space="preserve">Increase Automation of business processes  </t>
  </si>
  <si>
    <t>072201e01</t>
  </si>
  <si>
    <t>Measures  to increase the automation of business processes  undertaken</t>
  </si>
  <si>
    <t>No. of measures undertaken to increase the automation of business processes</t>
  </si>
  <si>
    <t xml:space="preserve"> Support the generation of electronic Warehouse Receipts against Deposits (Commodities) for purposes to facilitate trading on the Commodity Exchange </t>
  </si>
  <si>
    <t>UCE, UWRSA, URA</t>
  </si>
  <si>
    <t>Number of new e-services launched on the online e-Biz portal</t>
  </si>
  <si>
    <t xml:space="preserve"> Improve URA business processes </t>
  </si>
  <si>
    <t xml:space="preserve">Number of transactions under the Electronic single window </t>
  </si>
  <si>
    <t xml:space="preserve"> Develop, operationalize, and upgrade interactive web-based information access at one-stop investment and BDS Centres </t>
  </si>
  <si>
    <t>Number of key businesses processed and re-engineered thru the OSC</t>
  </si>
  <si>
    <t xml:space="preserve"> Organise regular hands-on trainings on business automation for SMEs </t>
  </si>
  <si>
    <t>Number of hands-on trainings in business automation held</t>
  </si>
  <si>
    <t xml:space="preserve"> Developing and disseminating localized I.T solutions for small business </t>
  </si>
  <si>
    <t>NITA-U, TELECOS</t>
  </si>
  <si>
    <t>Business Process maturity level</t>
  </si>
  <si>
    <t xml:space="preserve"> Automate systems for application, monitoring, supervision and control of  Free Zones </t>
  </si>
  <si>
    <t>NITA-U, MoICT&amp;NG, PSFU</t>
  </si>
  <si>
    <t xml:space="preserve">Number of Free Zones licensed </t>
  </si>
  <si>
    <t xml:space="preserve"> Increase innovation and automation of business processes to simplify registration services </t>
  </si>
  <si>
    <t>072201e02</t>
  </si>
  <si>
    <t xml:space="preserve">Established a unique identifier for all businesses across agencies  </t>
  </si>
  <si>
    <t>A unique identifier for all businesses across agencies established</t>
  </si>
  <si>
    <t xml:space="preserve"> Re-engineer business processes that serve the private sector  </t>
  </si>
  <si>
    <t>No of businesses registered under the single registration form reform</t>
  </si>
  <si>
    <t xml:space="preserve"> Implement a single registration form to ease formalization </t>
  </si>
  <si>
    <t>UIA, URA</t>
  </si>
  <si>
    <t>072201e03</t>
  </si>
  <si>
    <t xml:space="preserve">National E-Commerce platform for Ugandan products and services established </t>
  </si>
  <si>
    <t>Number of firms with e-commerce applications hooked onto the National e-commerce platform</t>
  </si>
  <si>
    <t xml:space="preserve"> Establish Agency registration points to increase access to formalization </t>
  </si>
  <si>
    <t>E-commerce transaction register</t>
  </si>
  <si>
    <t xml:space="preserve"> Integrate URA systems with the national E-Commerce platform </t>
  </si>
  <si>
    <t>No of tax payers in the E-Commerce Tax payer register</t>
  </si>
  <si>
    <t>TBD</t>
  </si>
  <si>
    <t>072201f</t>
  </si>
  <si>
    <t xml:space="preserve">De-risk Sub-county skills-based enterprise associations (EMYOGA) </t>
  </si>
  <si>
    <t>072201f01</t>
  </si>
  <si>
    <t xml:space="preserve">Formation of producer cooperatives and pooling of resources for credit facilitated </t>
  </si>
  <si>
    <t>Number of Youth and Women mobilised for entrepreneurship, business familiarisation and compliance to regulations</t>
  </si>
  <si>
    <t xml:space="preserve"> Mobilizing Youth and women for entrepreneurship, business formalization and compliance to regulations </t>
  </si>
  <si>
    <t>Number of Partnerships in form of contractual linkages between skills-based enterprises with established manufacturing firms formed</t>
  </si>
  <si>
    <t xml:space="preserve"> Promote business linkages between skills-based enterprises/MSMEs with established business firms </t>
  </si>
  <si>
    <t>OWC, UMA, PSFU, MoTIC</t>
  </si>
  <si>
    <t>072201g</t>
  </si>
  <si>
    <t xml:space="preserve">Support organic bottom up formation of cooperatives </t>
  </si>
  <si>
    <t>072201g01</t>
  </si>
  <si>
    <t xml:space="preserve">Support measures undertaken to foster organic bottom up formation of cooperatives </t>
  </si>
  <si>
    <t>No. of new producer cooperatives formed</t>
  </si>
  <si>
    <t xml:space="preserve"> Promotion, registration, inspection, and auditing of Cooperative activities </t>
  </si>
  <si>
    <t>OWC, MoGLSD</t>
  </si>
  <si>
    <t> Number of Partnerships in form of contractual linkages between skills-based enterprises with established manufacturing firms formed</t>
  </si>
  <si>
    <t xml:space="preserve"> Conducting intensive skills training for cooperatives leadership in governance, credit and default management, financial literacy, and enterprise management. </t>
  </si>
  <si>
    <t xml:space="preserve"> Popularize cooperatives formation </t>
  </si>
  <si>
    <t xml:space="preserve"> Design and deliver tailor-made skills and training programs for co-operators </t>
  </si>
  <si>
    <t>Enterprise Uganda, PSFU</t>
  </si>
  <si>
    <t xml:space="preserve"> Enable the process of matching manufacturing firms in need of raw materials with farmer and producer cooperatives </t>
  </si>
  <si>
    <t>072201g02</t>
  </si>
  <si>
    <t>Strengthened Corporate Rescue Framework in Uganda</t>
  </si>
  <si>
    <t>No. of Companies that successfully go through business rescue (Avoid liquidation)</t>
  </si>
  <si>
    <t xml:space="preserve"> Creating public awareness on insolvency services </t>
  </si>
  <si>
    <t> Number of public awareness events on insolvency undertaken</t>
  </si>
  <si>
    <t xml:space="preserve"> Automating Insolvency procedures </t>
  </si>
  <si>
    <t xml:space="preserve"> Promote foreign participation in Uganda's insolvency regime </t>
  </si>
  <si>
    <t xml:space="preserve"> Review of the Insolvency legal framework in Uganda </t>
  </si>
  <si>
    <t>MoJICA, Parliament</t>
  </si>
  <si>
    <t>072202</t>
  </si>
  <si>
    <t xml:space="preserve">Strengthen system capacities to enable and harness benefits of coordinated private sector activities </t>
  </si>
  <si>
    <t>072202a</t>
  </si>
  <si>
    <t xml:space="preserve">Establish and Strengthen research and innovation for Micro, Small, and Medium Scale Enterprises (MSMEs) </t>
  </si>
  <si>
    <t>072202a01</t>
  </si>
  <si>
    <t xml:space="preserve">Research and innovation strengthened for MSMEs </t>
  </si>
  <si>
    <t>No. of Research projects undertaken to support private sector development</t>
  </si>
  <si>
    <t xml:space="preserve"> Establishing research and innovation resources and ensuring access by MSMEs </t>
  </si>
  <si>
    <t>110 Uganda Industrial Research Institute</t>
  </si>
  <si>
    <t> No of MSMEs accessing Technical, advisory and analytical lab services</t>
  </si>
  <si>
    <t> 50</t>
  </si>
  <si>
    <t> 75</t>
  </si>
  <si>
    <t>80 </t>
  </si>
  <si>
    <t> 90</t>
  </si>
  <si>
    <t xml:space="preserve"> Increase capacity of the PSD programme stakeholders to deliver researched solutions and products for MSMEs adoption  </t>
  </si>
  <si>
    <t> No. of new products from the incubation centres established</t>
  </si>
  <si>
    <t xml:space="preserve"> Design and build the CVC online portal and; Design and compilation of DINE Profiles </t>
  </si>
  <si>
    <t> No. of new products scaled for commercial production</t>
  </si>
  <si>
    <t>7 </t>
  </si>
  <si>
    <t> 14</t>
  </si>
  <si>
    <t xml:space="preserve"> Provide Technical Advisory and Analytical Laboratory services </t>
  </si>
  <si>
    <t>UIRI, MoSTI</t>
  </si>
  <si>
    <t xml:space="preserve"> Strengthen applied Research for development of Value-Added Products </t>
  </si>
  <si>
    <t>UNCST, UIRI, MoSTI</t>
  </si>
  <si>
    <t xml:space="preserve"> Expand/scale up provision industrial production infrastructure and facilities  in all regions </t>
  </si>
  <si>
    <t>UDC, MoSTI, UNBS</t>
  </si>
  <si>
    <t xml:space="preserve"> Develop electronic and automated solutions for utilization by various sectors </t>
  </si>
  <si>
    <t>NITA-U, MDAs</t>
  </si>
  <si>
    <t xml:space="preserve"> Develop partnerships with the private sector to conduct research on key issues affecting private sector growth </t>
  </si>
  <si>
    <t>PSFU, EPRC, NPA, MKCC&amp;MA</t>
  </si>
  <si>
    <t xml:space="preserve"> Operationalize Machining and Manufacturing Production and Training Centre for Industrial Skills Capacity Training </t>
  </si>
  <si>
    <t>UMA, Uganda Small Scale Industries Association (USSIA)</t>
  </si>
  <si>
    <t xml:space="preserve"> Develop a national Research Agenda in STEI </t>
  </si>
  <si>
    <t xml:space="preserve"> Assess and accredit  an inventory of Institutions and Laboratories  </t>
  </si>
  <si>
    <t xml:space="preserve"> Develop a Research and Development database </t>
  </si>
  <si>
    <t xml:space="preserve"> Undertake Start-up business mentorships  seminars </t>
  </si>
  <si>
    <t>UIRI, Enterprise Uganda</t>
  </si>
  <si>
    <t xml:space="preserve"> Support business enterprises to mine and exploit scientific intellectual property rights </t>
  </si>
  <si>
    <t xml:space="preserve"> Establish and implement research dissemination f/w on Private Sector issues to the relevant stakeholders ensuring flexible learning and establishment of 2 incubation centres </t>
  </si>
  <si>
    <t>EPRC, MoSTI, UIRI</t>
  </si>
  <si>
    <t xml:space="preserve"> Develop partnerships with the private sector to conduct research on key issues affecting private sector growth.  </t>
  </si>
  <si>
    <t>072202b</t>
  </si>
  <si>
    <t xml:space="preserve">Develop product and market information systems  </t>
  </si>
  <si>
    <t>072202b01</t>
  </si>
  <si>
    <t>Product and market information systems developed</t>
  </si>
  <si>
    <t>No. of functional information systems in place by type</t>
  </si>
  <si>
    <t>MTIC, UIRI</t>
  </si>
  <si>
    <t xml:space="preserve"> Support the equipping of regional and local government-based offices with e-kits for market information </t>
  </si>
  <si>
    <t>UIA, MoLG, LGs</t>
  </si>
  <si>
    <t xml:space="preserve"> Support increased Product Management Info Sys  information dissemination by Central and Local government BDS Centres </t>
  </si>
  <si>
    <t xml:space="preserve"> Acquisition of FDI intelligence tools targeting investors for Africa </t>
  </si>
  <si>
    <t>072202c</t>
  </si>
  <si>
    <t xml:space="preserve">Strengthen the system of incubation centres to support growth of SMEs in strategic areas </t>
  </si>
  <si>
    <t>072202c01</t>
  </si>
  <si>
    <t xml:space="preserve">System of incubation centres strengthened to support growth of SMEs in strategic areas </t>
  </si>
  <si>
    <t xml:space="preserve">No. of Incubation Centres </t>
  </si>
  <si>
    <t xml:space="preserve"> Support the development, equipping and operationalization of design studios and incubation centres covering Science Technology and Innovation with specific attention to youths and women </t>
  </si>
  <si>
    <t>MoSTI, UIRI, UNBS, MoGLSD</t>
  </si>
  <si>
    <t>072202d</t>
  </si>
  <si>
    <t xml:space="preserve">Establish  a One stop centre for business registration and licensing </t>
  </si>
  <si>
    <t>072202d01</t>
  </si>
  <si>
    <t xml:space="preserve">One stop centres for business registration and licensing established </t>
  </si>
  <si>
    <t xml:space="preserve">Number of additional business services accessed at the One Stop Centres (OSC) per year </t>
  </si>
  <si>
    <t xml:space="preserve"> Establishment of a one-stop centre for business registration and licensing &amp; other services  (Fortportal, Masaka, Hoima, Lira, Soroti, Gulu, Jinja, Entebbe,  </t>
  </si>
  <si>
    <t>URSB, URA</t>
  </si>
  <si>
    <t> Number of one stop centres established in (Fort Portal, Masaka, Hoima, Lira, Soroti, Gulu, Jinja &amp; Entebe)</t>
  </si>
  <si>
    <t xml:space="preserve"> Support Intellectual Property registration and exploitation </t>
  </si>
  <si>
    <t xml:space="preserve"> Strengthen TREP collaboration </t>
  </si>
  <si>
    <t>UNBS, PSFU, URSB</t>
  </si>
  <si>
    <t>MoSTI, UMA, USSIA</t>
  </si>
  <si>
    <t>072202d02</t>
  </si>
  <si>
    <t>OSBPs establised and strengthened</t>
  </si>
  <si>
    <t>Number of fully operational and built OSBP</t>
  </si>
  <si>
    <t>Cordinating the construction and operationalisation of OSBPs across the boarder posts</t>
  </si>
  <si>
    <t>0713</t>
  </si>
  <si>
    <t xml:space="preserve">Promote local content in public programmes </t>
  </si>
  <si>
    <t>071301</t>
  </si>
  <si>
    <t xml:space="preserve">Develop and implement a holistic local content policy, legal and institutional framework </t>
  </si>
  <si>
    <t>07130101</t>
  </si>
  <si>
    <t xml:space="preserve">An overarching local content policy framework developed  </t>
  </si>
  <si>
    <t>Proportion of contracts by value awarded to local providers.</t>
  </si>
  <si>
    <t xml:space="preserve"> Implement the existing local content policy, and other related legal and institutional framework </t>
  </si>
  <si>
    <t>PPDA, MoJICA, MKCC&amp;MA</t>
  </si>
  <si>
    <t> No of standards for goods and services developed that are subject to local content preference schemes</t>
  </si>
  <si>
    <t xml:space="preserve"> Establishing and operationalizing structures for implementation of the local content framework, a Local Content monitoring Committee at entity and National level </t>
  </si>
  <si>
    <t xml:space="preserve"> Building capacity of local providers to compete favourably in public procurement </t>
  </si>
  <si>
    <t>153 Public Procurement and Disposal of Public Assets Authority</t>
  </si>
  <si>
    <t>URA, MoFPED, MKCC&amp;MA</t>
  </si>
  <si>
    <t xml:space="preserve"> Dissemination of the comprehensive local content framework </t>
  </si>
  <si>
    <t xml:space="preserve"> Develop standards for the goods and services that are subject to local content </t>
  </si>
  <si>
    <t xml:space="preserve"> Develop a system of equating and harmonizing international standards with Uganda standards e.g. Chinese or European standards to support local content policy </t>
  </si>
  <si>
    <t xml:space="preserve"> Support local producers to attain Certification, testing and calibration of services to support local content </t>
  </si>
  <si>
    <t>PPDA, MoTIC, MoFPED</t>
  </si>
  <si>
    <t xml:space="preserve"> Mainstream and implement the Local content policy in Free Zones </t>
  </si>
  <si>
    <t>PPDA, MoFPED, MKCC&amp;MA</t>
  </si>
  <si>
    <t xml:space="preserve"> Monitor and enforce the Implementation of the Guidelines on Preference and Reservation Schemes </t>
  </si>
  <si>
    <t>MoTIC, MFPED</t>
  </si>
  <si>
    <t xml:space="preserve"> Promote and enforce local content in labour market </t>
  </si>
  <si>
    <t>PPDA, PSFU</t>
  </si>
  <si>
    <t xml:space="preserve"> Monitoring and reporting the implementation of local content in public procurement </t>
  </si>
  <si>
    <t xml:space="preserve"> Review labour laws in line with the provisions in the local content framework </t>
  </si>
  <si>
    <t xml:space="preserve"> Set up a fund to support local firms to be competitive in the domestic and international markets with the focus on high valued products. </t>
  </si>
  <si>
    <t xml:space="preserve"> Attract Greenfield Investments along the new growth corridors </t>
  </si>
  <si>
    <t>UIA, UDC, PSFU, MoTIC</t>
  </si>
  <si>
    <t xml:space="preserve"> Review of legal and regulatory frameworks to remove restrictive legislation and fast track pending bills (National Investment Policy; Economic Development Policy; and National Population Policy and Process the Annual Agenda of the Development Committee) </t>
  </si>
  <si>
    <t>071302</t>
  </si>
  <si>
    <t xml:space="preserve">Build the capacity of local firms to benefit from public investments </t>
  </si>
  <si>
    <t>07130201</t>
  </si>
  <si>
    <t>Measures undertaken to increase the capacity of  the local contractors to participate in public investment programmes across sectors</t>
  </si>
  <si>
    <t xml:space="preserve">No of local contractors benefitting from local content capacity development initiatives </t>
  </si>
  <si>
    <t xml:space="preserve"> Training of local contractors in investment partnership management </t>
  </si>
  <si>
    <t>A public construction company in place</t>
  </si>
  <si>
    <t>1 public company</t>
  </si>
  <si>
    <t xml:space="preserve"> Undertake assessment of industry processes and systems </t>
  </si>
  <si>
    <t>UIRI, URA</t>
  </si>
  <si>
    <t> No of local contractors trained in investment partnership management</t>
  </si>
  <si>
    <t xml:space="preserve"> Conduct an inventory of locally produced goods services and works that can be purchased by government </t>
  </si>
  <si>
    <t>PPDA, MoTIC</t>
  </si>
  <si>
    <t xml:space="preserve"> Develop a database of SMEs and Marginalised groups. </t>
  </si>
  <si>
    <t xml:space="preserve"> Reserve goods, services and works for SMEs and marginalised groups </t>
  </si>
  <si>
    <t xml:space="preserve"> Conduct various studies sustainable procurement   </t>
  </si>
  <si>
    <t xml:space="preserve"> Loans agreements to observe the local content enhancement policy   </t>
  </si>
  <si>
    <t>PPDA, UDB</t>
  </si>
  <si>
    <t xml:space="preserve"> Fast-track the rollout of the E-Government procurement and provide training to stakeholders  </t>
  </si>
  <si>
    <t xml:space="preserve"> Mobilise local firms’ participation in public investment programmes across sectors </t>
  </si>
  <si>
    <t>071303</t>
  </si>
  <si>
    <t>Establish a public construction company</t>
  </si>
  <si>
    <t>07130301</t>
  </si>
  <si>
    <t>Construction company established</t>
  </si>
  <si>
    <t>Construction company developed</t>
  </si>
  <si>
    <t xml:space="preserve"> Establish/create and capitalize a National Construction Company </t>
  </si>
  <si>
    <t>071304</t>
  </si>
  <si>
    <t xml:space="preserve">Develop and publicize a transparent incentive framework that supports local investors </t>
  </si>
  <si>
    <t>07130401</t>
  </si>
  <si>
    <t>Transparent incentive framework developed</t>
  </si>
  <si>
    <t>Transparent incentive framework in place</t>
  </si>
  <si>
    <t xml:space="preserve"> Development and adoption of the incentive’s framework </t>
  </si>
  <si>
    <t xml:space="preserve"> Establish mechanisms for evaluating costs and benefits of incentives in place, their appropriate duration, and their impact on the economy. </t>
  </si>
  <si>
    <t xml:space="preserve"> Develop and publicise a transparent incentive framework that supports local investors (Mobilise SMEs to access PE) </t>
  </si>
  <si>
    <t>0714</t>
  </si>
  <si>
    <t xml:space="preserve">Strengthen the role of government in unlocking investment in strategic economic sectors </t>
  </si>
  <si>
    <t>071401</t>
  </si>
  <si>
    <t xml:space="preserve">Undertake strategic and sustainable government investment and promote private sector partnerships in key growth areas  </t>
  </si>
  <si>
    <t>07140101</t>
  </si>
  <si>
    <t>Pipeline of bankable priority NDP3 projects developed for private investment</t>
  </si>
  <si>
    <t xml:space="preserve">Number of FDI attracted in the developed bankable strategic projects </t>
  </si>
  <si>
    <t>MOFA</t>
  </si>
  <si>
    <t xml:space="preserve"> Conduct feasibility studies in strategic NDPIII areas for government and private sector investment </t>
  </si>
  <si>
    <t>UIA. MoFPED, UDC, MDAs</t>
  </si>
  <si>
    <t xml:space="preserve"> Number of Feasibility Studies in strategic NDPIII areas for private and Government sector </t>
  </si>
  <si>
    <t>5 </t>
  </si>
  <si>
    <t xml:space="preserve"> Coordinate the continuous development, review and approval of bankable strategic investment projects in the pipeline for  </t>
  </si>
  <si>
    <t> No. of symposiums, summits, engagements organized to market investment opportunities in Uganda</t>
  </si>
  <si>
    <t xml:space="preserve"> Structural Transformation: Follow up and review of the Public Investment Management for Agro-industry (PIMA) Strategy </t>
  </si>
  <si>
    <t> Regional Public Free zones along the Eastern and Albertine Growth corridors</t>
  </si>
  <si>
    <t xml:space="preserve"> Production and Publication of the Poverty Status Reports; Sustainable Development Reports; Annual Private Sector Development Report; and Background to the Budget </t>
  </si>
  <si>
    <t>Export Values from Freezones (USD Million)</t>
  </si>
  <si>
    <t xml:space="preserve"> Negotiation on EAC investment and fair implementation of the Common Market Protocol </t>
  </si>
  <si>
    <t>Value of remittances (USD Million)</t>
  </si>
  <si>
    <t xml:space="preserve"> Review and amendment of the Public Enterprises Reform and Divestiture(PERD) Act 1993 </t>
  </si>
  <si>
    <t xml:space="preserve"> Developing of national capacity for rapid development and appraisal of investment projects in national priority areas. </t>
  </si>
  <si>
    <t xml:space="preserve"> Mobilizing and facilitating private partnerships for equity investment in projects implemented by UDC </t>
  </si>
  <si>
    <t xml:space="preserve"> Promoting Public Private Partnerships Dialogue and engagement for Local Economic Development  </t>
  </si>
  <si>
    <t>MoLG, LGs, PSFU, UMA</t>
  </si>
  <si>
    <t xml:space="preserve"> Undertake economic and commercial diplomacy activities involving promoting global awareness of Investment opportunities in Uganda </t>
  </si>
  <si>
    <t xml:space="preserve"> Develop the diaspora engagement on infrastructure and address barriers limiting direct diaspora investment </t>
  </si>
  <si>
    <t xml:space="preserve"> Set up and fully equip 2 regional  public Free Zones along the Eastern and Albertine Growth Corridors </t>
  </si>
  <si>
    <t xml:space="preserve"> Conduct Feasibility Studies for Buwaya, Kasese &amp; Soroti private Free Zones </t>
  </si>
  <si>
    <t xml:space="preserve"> Identify and implement policies and strategies for mobilizing blended finance  </t>
  </si>
  <si>
    <t xml:space="preserve"> Mobilize and incentivize the Ugandan diaspora to participate in  national development </t>
  </si>
  <si>
    <t xml:space="preserve"> Review and amend the PERD Act </t>
  </si>
  <si>
    <t>MoFPED, Parliament, MoJICA</t>
  </si>
  <si>
    <t>07140102</t>
  </si>
  <si>
    <t xml:space="preserve">Private sector funding through UDC increased </t>
  </si>
  <si>
    <t>Value of UDC investment in strategic private companies (UGX BN)</t>
  </si>
  <si>
    <t xml:space="preserve"> Increase the Total private equity investment facilitated by UDC </t>
  </si>
  <si>
    <t xml:space="preserve"> Investment in government's key priority bankable projects </t>
  </si>
  <si>
    <t xml:space="preserve">  Build the investment and management competence of UDC </t>
  </si>
  <si>
    <t xml:space="preserve">  Provide risk capital to SMEs with entrepreneurial and growth potential record. </t>
  </si>
  <si>
    <t>promote Bilateral engagements for the benefit of Uganda and the eac</t>
  </si>
  <si>
    <t>07140103</t>
  </si>
  <si>
    <t xml:space="preserve">Improved value of uganda's exportto the EAC </t>
  </si>
  <si>
    <t>Coordinating of Bilaterals for enhanced trade</t>
  </si>
  <si>
    <t>071402</t>
  </si>
  <si>
    <t xml:space="preserve">Strengthen research and innovation capacity in support of private and public investment </t>
  </si>
  <si>
    <t>07140201</t>
  </si>
  <si>
    <t xml:space="preserve">Capacity for research and development strengthened to support private and public investment </t>
  </si>
  <si>
    <t>Number of Research projects undertaken to support private sector development</t>
  </si>
  <si>
    <t xml:space="preserve"> Establish partnerships between developed manufacturing firms and upcoming or starts-up </t>
  </si>
  <si>
    <t>UIA (UMA)</t>
  </si>
  <si>
    <t xml:space="preserve">No. of new Products developed through Research Partnerships </t>
  </si>
  <si>
    <t xml:space="preserve"> Establish national, Regional and International partnerships and networks in research and innovation </t>
  </si>
  <si>
    <t>No. of outcomes and recommendations from research studies on private sector issues adopted in Government Policy eg. Annual Budgets</t>
  </si>
  <si>
    <t>EPRC</t>
  </si>
  <si>
    <t xml:space="preserve"> Increase funding to the innovation fund </t>
  </si>
  <si>
    <t xml:space="preserve"> Develop guidelines for integration of ST&amp;I in MDAs &amp; LGs development processes </t>
  </si>
  <si>
    <t xml:space="preserve"> Build Capacity of staff and stakeholders involved in research and innovation </t>
  </si>
  <si>
    <t xml:space="preserve"> Develop a National Policy and strategy for Technology Development and Transfer </t>
  </si>
  <si>
    <t xml:space="preserve"> Conduct Innovation and intellectual awareness  </t>
  </si>
  <si>
    <t xml:space="preserve"> Incorporate ST&amp;I in the school curriculum </t>
  </si>
  <si>
    <t xml:space="preserve"> Conduct research on policies and complementary initiatives that would promote SMEs in value addition in key sectors </t>
  </si>
  <si>
    <t>MoFPED (EPRC)</t>
  </si>
  <si>
    <t xml:space="preserve"> Conduct research on the necessary skills development requirements and how best to address the currently very low productivity due to lack of relevant skills among SMEs </t>
  </si>
  <si>
    <t xml:space="preserve"> Undertake research on the institutional reforms required to promote private sector  </t>
  </si>
  <si>
    <t xml:space="preserve"> Facilitate research on the critical issues for private sector access to credit, and markets </t>
  </si>
  <si>
    <t xml:space="preserve"> Produce new products/innovations from research and development </t>
  </si>
  <si>
    <t xml:space="preserve"> Conduct SME, student and community training and outreach </t>
  </si>
  <si>
    <t>MoSTI, UMA, LGs</t>
  </si>
  <si>
    <t>071403</t>
  </si>
  <si>
    <t>Implement regional commitments to accelerate intra-regional trade</t>
  </si>
  <si>
    <t>07140301</t>
  </si>
  <si>
    <t>Regioanal commitments implemented</t>
  </si>
  <si>
    <t>Number of regional commitments implemented</t>
  </si>
  <si>
    <t>0715</t>
  </si>
  <si>
    <t xml:space="preserve">Strengthen the enabling environment and enforcement of standards </t>
  </si>
  <si>
    <t>071501</t>
  </si>
  <si>
    <t xml:space="preserve">Support the national conformity assessment system to attain international recognition through Accreditation </t>
  </si>
  <si>
    <t>07150101</t>
  </si>
  <si>
    <t xml:space="preserve">National conformity assessment system supported </t>
  </si>
  <si>
    <t>Number of measures to support the national conformity assessment system implemented</t>
  </si>
  <si>
    <t xml:space="preserve"> Support the Development and popularization  system for assessment to guide international accreditation of trade and industry services in the region. </t>
  </si>
  <si>
    <t>URSB, UNBS</t>
  </si>
  <si>
    <t> No of enterprises conforming to national standards developed by UNBS</t>
  </si>
  <si>
    <t xml:space="preserve"> Develop, implement and popularize standards and procedures for conformity assessment </t>
  </si>
  <si>
    <t xml:space="preserve">No of standards and procedures for conformity developed </t>
  </si>
  <si>
    <t xml:space="preserve"> Maintain and expand the existing scope for accreditation to ensure recognition of UNBS certification services, testing  and metrology services, as well as inclusion of Imports Inspection, market surveillance and Legal Metrology </t>
  </si>
  <si>
    <t xml:space="preserve"> Undertake training of Auditors for maintenance of competence and registration in fulfilment of accreditation requirements </t>
  </si>
  <si>
    <t xml:space="preserve"> Increase testing capacity by strengthening the laboratory recognition scheme for private and Government laboratories. </t>
  </si>
  <si>
    <t>071502</t>
  </si>
  <si>
    <t xml:space="preserve">Rationalize and harmonize standards institutions, and policies at local and regional level </t>
  </si>
  <si>
    <t>07150201</t>
  </si>
  <si>
    <t xml:space="preserve">Institutional and policy frameworks for investment and trade harmonized </t>
  </si>
  <si>
    <t>Harmonized policy frameworks on Investment and trade in place</t>
  </si>
  <si>
    <t xml:space="preserve"> Review and harmonize policy frameworks on regional investment and trade </t>
  </si>
  <si>
    <t>MEACA, URA</t>
  </si>
  <si>
    <t>No. of nontariff barriers to trade and investment eliminated</t>
  </si>
  <si>
    <t xml:space="preserve"> Support the tracking of goods and services to prevent counterfeits and nontrade barriers </t>
  </si>
  <si>
    <t xml:space="preserve">No. of seizures and destruction of substandard good </t>
  </si>
  <si>
    <t xml:space="preserve"> Review and resolve Nontariff barriers issues constraining trade and investment in the EAC </t>
  </si>
  <si>
    <t> No. of seizures and destruction of substandard good (Metric tonnes)</t>
  </si>
  <si>
    <t xml:space="preserve"> 518 </t>
  </si>
  <si>
    <t> 567</t>
  </si>
  <si>
    <t> 627</t>
  </si>
  <si>
    <t> 689</t>
  </si>
  <si>
    <t> 758</t>
  </si>
  <si>
    <t> 835</t>
  </si>
  <si>
    <t xml:space="preserve"> Intensify the tracking and elimination of substandard goods and services and counterfeit goods  </t>
  </si>
  <si>
    <t>Number of new standards developed</t>
  </si>
  <si>
    <t xml:space="preserve"> Develop new standards in line with products and services innovations  </t>
  </si>
  <si>
    <t>No. of counterfeits tracked and destroyed (No. of seizures)</t>
  </si>
  <si>
    <t xml:space="preserve"> Increase the number of accredited labs  </t>
  </si>
  <si>
    <t>Institutional and policy frameworks for investment and trade harmonized</t>
  </si>
  <si>
    <t xml:space="preserve"> Support local SMEs especially manufacturers to meet the standards requires to export their products </t>
  </si>
  <si>
    <t>No. of mutual recognition arrangements ( MRAs) concluded) on  Conformity Assessment processes and Procedures  harmonized at Regional Level to facilitate trade</t>
  </si>
  <si>
    <t xml:space="preserve"> Participate in developing trade and investment frameworks </t>
  </si>
  <si>
    <t> No of decentralized quality infrastructure in place (food safety laboratories)</t>
  </si>
  <si>
    <t xml:space="preserve"> Collaborate with MDAs &amp; EAC revenue authorities on standard  development and harmonization  </t>
  </si>
  <si>
    <t xml:space="preserve"> Strengthen verification and enforcement </t>
  </si>
  <si>
    <t xml:space="preserve">  Decentralization of UNBS services and quality infrastructure (Food safety laboratories)  </t>
  </si>
  <si>
    <t>MoTIC, URA</t>
  </si>
  <si>
    <t xml:space="preserve"> Harmonize Legal Metrology  procedures and processes in accordance with EAC and other Regional Agreements to minimize technical barriers to trade (NTBs) </t>
  </si>
  <si>
    <t xml:space="preserve">Harmonize certification procedures and processes in accordance with EAC and other Regional Agreements to minimize technical barriers to trade (NTBs) </t>
  </si>
  <si>
    <t xml:space="preserve"> Undertake Peer Assessment to promote mutual recognition of certification services to facilitate trade </t>
  </si>
  <si>
    <t xml:space="preserve">Harmonize Imports Inspection  procedures and processes in accordance with EAC and other Regional Agreements to minimize technical barriers to trade (NTBs </t>
  </si>
  <si>
    <t xml:space="preserve">Harmonize Market Surveillance procedures and processes in accordance with EAC and other Regional Agreements to minimize technical barriers to trade (NTBs) </t>
  </si>
  <si>
    <t>UNBS, URA</t>
  </si>
  <si>
    <t xml:space="preserve"> Undertake Peer Assessment to promote mutual recognition of Market Surveillance services to facilitate trade </t>
  </si>
  <si>
    <t>07150202</t>
  </si>
  <si>
    <t>Institutional capacity at UNBS strengthened</t>
  </si>
  <si>
    <t>Number of fully functional Regional offices in place</t>
  </si>
  <si>
    <t>Number of labs accredited</t>
  </si>
  <si>
    <t>Prevalence of substandard goods in the market, %</t>
  </si>
  <si>
    <t>No of decentralization quality infrastructure (Food safety laboratories)</t>
  </si>
  <si>
    <t>071503</t>
  </si>
  <si>
    <t xml:space="preserve">Review the legal and regulatory frameworks to remove restrictive legislation and fast track pending bills and incentivize the formalization of businesses  </t>
  </si>
  <si>
    <t>07150301</t>
  </si>
  <si>
    <t>Legal and regulatory frameworks reviewed to remove restrictions and provide incentives for formalization</t>
  </si>
  <si>
    <t>No. of Legal and regulatory framework in place, that removes restrictions</t>
  </si>
  <si>
    <t>URSB, MTIC</t>
  </si>
  <si>
    <t xml:space="preserve">  Conduct reviews of existing laws and regulations </t>
  </si>
  <si>
    <t> National formalization policy and action implementation plan</t>
  </si>
  <si>
    <t xml:space="preserve"> Enhance tax education activities </t>
  </si>
  <si>
    <t>No. of incentives for formalization in place</t>
  </si>
  <si>
    <t xml:space="preserve"> Reform and update Commercial laws to promote competitiveness and regional integration </t>
  </si>
  <si>
    <t>No. of Commercial laws reformed and updated to promote competitiveness and regional integration</t>
  </si>
  <si>
    <t xml:space="preserve">  Formulate a National Policy on business formalization </t>
  </si>
  <si>
    <t>URA, NPA, MoFPED, MoTIC, PSFU</t>
  </si>
  <si>
    <t>National Policy on business formalization formulated and implemented</t>
  </si>
  <si>
    <t>1 policy</t>
  </si>
  <si>
    <t xml:space="preserve"> Develop and Implement measures eliminating creation of new domestic arrears </t>
  </si>
  <si>
    <t xml:space="preserve"> Undertake the study on the structure, composition and challenges of the informal sector </t>
  </si>
  <si>
    <t>07150302</t>
  </si>
  <si>
    <t xml:space="preserve">Outstanding court awards, mandamus orders and compensation arrears settled </t>
  </si>
  <si>
    <t>No of outstanding court awards, mandamus, orders and compensation arrears settled</t>
  </si>
  <si>
    <t xml:space="preserve"> Pay and clear court awards, mandamus orders and compensation arrears </t>
  </si>
  <si>
    <t xml:space="preserve"> Mainstream policy aspects of Public Investment Management in the National Investment Policy </t>
  </si>
  <si>
    <t>07150303</t>
  </si>
  <si>
    <t xml:space="preserve">Faster settlement of awards resulting from tax appeals won by the private sector </t>
  </si>
  <si>
    <t>Percentage of tax appeals awards settled with the private sector</t>
  </si>
  <si>
    <t>TAT</t>
  </si>
  <si>
    <t xml:space="preserve"> Strengthen the capacity of tax appeals mechanisms to reduce on the time taken to resolve tax complaints. </t>
  </si>
  <si>
    <t>MoFPED (TAT)</t>
  </si>
  <si>
    <t>MoFPED, URA</t>
  </si>
  <si>
    <t>Turnaround time for resolving time complaints (Months)</t>
  </si>
  <si>
    <t>07150304</t>
  </si>
  <si>
    <t xml:space="preserve">Domestic arrears eliminated </t>
  </si>
  <si>
    <t>Not in results framework</t>
  </si>
  <si>
    <t xml:space="preserve">  Develop and Implement measures eliminating domestic arrears </t>
  </si>
  <si>
    <t>07150305</t>
  </si>
  <si>
    <t>Harmaonised legal and regulatory frameworks</t>
  </si>
  <si>
    <t>No. of laws and policies harmonised at National level/ by the respective MDA's</t>
  </si>
  <si>
    <t>Coordinating the Hamonisation of laws and regulations by the respective MDA'S</t>
  </si>
  <si>
    <t>071504</t>
  </si>
  <si>
    <t xml:space="preserve">Improve data availability on the private sector; and Improve Dialogue between the private sector and Government </t>
  </si>
  <si>
    <t>07150401</t>
  </si>
  <si>
    <t xml:space="preserve">Adequate framework for a MSME database in place </t>
  </si>
  <si>
    <t>Establishment of adequate framework for a MSMEs database</t>
  </si>
  <si>
    <t xml:space="preserve"> Establishment of adequate framework for a MSMEs database </t>
  </si>
  <si>
    <t>MSMEs enterprises database in place</t>
  </si>
  <si>
    <t xml:space="preserve"> Collaborate and join platforms and working groups involved in data management and its standardisation </t>
  </si>
  <si>
    <t xml:space="preserve"> Integrate the MSME with the URA tax register </t>
  </si>
  <si>
    <t xml:space="preserve"> Monitor and report on PIRT points </t>
  </si>
  <si>
    <t>071505</t>
  </si>
  <si>
    <t xml:space="preserve">Create appropriate incentives and regulatory frameworks to attract the private sector to finance green growth and promote LED </t>
  </si>
  <si>
    <t>07150501</t>
  </si>
  <si>
    <t>Incentives and regulatory frameworks to attract the private sector to finance green growth and promote LED in place</t>
  </si>
  <si>
    <t xml:space="preserve">Value of green growth projects of the private sector (USD Million) </t>
  </si>
  <si>
    <t xml:space="preserve"> Review of Investment code to support investments for green growth </t>
  </si>
  <si>
    <t> Value of green finance resources financing NDPIII priorities (USD Million)</t>
  </si>
  <si>
    <t xml:space="preserve"> Support the design of policies to encourage private sector involvement in green projects </t>
  </si>
  <si>
    <t xml:space="preserve"> Developing and popularizing a preferred Local Economic development investment portfolio  </t>
  </si>
  <si>
    <t xml:space="preserve"> Popularize the integration of Green financing and green growth responses in policies and regulations for sustainable trade, industrialization, and co-operative development. </t>
  </si>
  <si>
    <t xml:space="preserve"> Conduct sensitizations drives for the private sector on Green Growth and LED </t>
  </si>
  <si>
    <t xml:space="preserve">Put in place incentives to attract the private sector to finance green growth  </t>
  </si>
  <si>
    <t xml:space="preserve"> Partner with the private sector to mobilise financial resources and knowhow on green growth </t>
  </si>
  <si>
    <t xml:space="preserve"> Developing an incentives policy on green growth investment financing by the private sector. </t>
  </si>
  <si>
    <t xml:space="preserve"> Build the in-country capacity of government agencies and other involved stakeholders and institutions to design, implement and monitor policies to foster green growth objectives </t>
  </si>
  <si>
    <t xml:space="preserve">Establishing institutional mechanisms for accessing privileges for investing in green growth financing. </t>
  </si>
  <si>
    <t xml:space="preserve"> Build capacity of the private sector to access funds from the Green Climate fund </t>
  </si>
  <si>
    <t>071506</t>
  </si>
  <si>
    <t xml:space="preserve">Increase accessibility to serviced industrial parks  </t>
  </si>
  <si>
    <t>07150601</t>
  </si>
  <si>
    <t xml:space="preserve">Increased fully serviced industrial parks </t>
  </si>
  <si>
    <t>Number of fully serviced industrial parks</t>
  </si>
  <si>
    <t xml:space="preserve"> Developing  and servicing 2 new industrial parks/economic zones </t>
  </si>
  <si>
    <t>No. of local private investors operating in industrial parks</t>
  </si>
  <si>
    <t xml:space="preserve">Rally the local private sector to seize the opportunities in industrial parks </t>
  </si>
  <si>
    <t>PSFU, MoKCC&amp;MA</t>
  </si>
  <si>
    <t>Number of new industrial parks/economic zones developed</t>
  </si>
  <si>
    <t xml:space="preserve">Undertake a cost-benefit analysis for the local private sector to operate in industrial parks </t>
  </si>
  <si>
    <t>071507</t>
  </si>
  <si>
    <t xml:space="preserve">Increase accessibility to export processing zones </t>
  </si>
  <si>
    <t>07150701</t>
  </si>
  <si>
    <t xml:space="preserve">Export processing zones established </t>
  </si>
  <si>
    <t>No of gazetted Free Zones.</t>
  </si>
  <si>
    <t xml:space="preserve">Develop unique Customs Procedure Code for Free Zones developed in collaboration with UFZA </t>
  </si>
  <si>
    <t> No. of Unique Customs procedure codes developed</t>
  </si>
  <si>
    <t> 25</t>
  </si>
  <si>
    <t> 35</t>
  </si>
  <si>
    <t> 40</t>
  </si>
  <si>
    <t xml:space="preserve">Provision of incentives to local enterprises to operate in free zones </t>
  </si>
  <si>
    <t>No of public Free Zones with fully built industrial infrastructure and utilities</t>
  </si>
  <si>
    <t xml:space="preserve">Market and attract developers and operators in the Public and Private Free Zones </t>
  </si>
  <si>
    <t>PSFU, UMA, URA</t>
  </si>
  <si>
    <t>Entebbe Free Zone fully built with industrial infrastructure</t>
  </si>
  <si>
    <t>35% Industrial Infrustructure in place</t>
  </si>
  <si>
    <t>50%  Industrial Infrustructure built</t>
  </si>
  <si>
    <t>75% Industrial Infrustructure built</t>
  </si>
  <si>
    <t>100% Construction completion</t>
  </si>
  <si>
    <t>50% occupancy by private operators</t>
  </si>
  <si>
    <t>100% occupancy by private operators</t>
  </si>
  <si>
    <t xml:space="preserve">Completion of the construction of Entebbe International Airport Free Zone  </t>
  </si>
  <si>
    <t>No. of export-ready EPZ operators</t>
  </si>
  <si>
    <t xml:space="preserve"> Review the legal and regulatory framework for Free Zones (Free Zones Act 2014; PERD Act; Annual Business Licensing Reform Agenda) </t>
  </si>
  <si>
    <t>MoJICA, MoFPED, Parliament</t>
  </si>
  <si>
    <t>No. of manufacturers/ exporters (EPZ operators) linked to export markets</t>
  </si>
  <si>
    <t xml:space="preserve"> Collaborate with the EAC/ COMESA /ACFTA countries to streamline the Policy environment for Free Zones </t>
  </si>
  <si>
    <t xml:space="preserve"> Set up physical/industrial infrastructure and provide utilities in Buwaya, Kasese, Soroti &amp; Jinja  Free Zones </t>
  </si>
  <si>
    <t>MoWT, UIA, MoFPED, UEPB</t>
  </si>
  <si>
    <t xml:space="preserve"> Undertake detailed market studies, in priority export markets, to inform business development and investment strategy of emerging enterprises especially in EPZ </t>
  </si>
  <si>
    <t>UIA, MoTIC, MoFA, PSFU</t>
  </si>
  <si>
    <t xml:space="preserve"> Provide information, advisory and support services to develop export marketing capabilities (Export-readiness) </t>
  </si>
  <si>
    <t>PSFU, UMA</t>
  </si>
  <si>
    <t xml:space="preserve"> Collaborate with manufacturers and exporters to develop Uganda’s export markets for target products (market studies, promotion and branding campaigns, buyer-seller networking etc) </t>
  </si>
  <si>
    <t>URA, PSFU, UNBS, UMA, MoTIC</t>
  </si>
  <si>
    <t xml:space="preserve"> Link export-ready EPZ operators (manufacturers/exporters) to foreign buyers  </t>
  </si>
  <si>
    <t>PSFU, UMA, MoTIC, UIA</t>
  </si>
  <si>
    <t>Public Sector Transformation</t>
  </si>
  <si>
    <t>14X</t>
  </si>
  <si>
    <t>Strengthening Accountability</t>
  </si>
  <si>
    <t>1411</t>
  </si>
  <si>
    <t>Strengthen accountability for results across government</t>
  </si>
  <si>
    <t>141101</t>
  </si>
  <si>
    <t>Review and strengthen the client chatter feedback mechanism to enhance the public demand for accountability</t>
  </si>
  <si>
    <t>14110101</t>
  </si>
  <si>
    <t>Client charters developed and implemented</t>
  </si>
  <si>
    <t xml:space="preserve">No. of MDAs and LGs supported to develop Client Charters </t>
  </si>
  <si>
    <t>Provide technical support to MDAs and LGs to develop client charters</t>
  </si>
  <si>
    <t> 0.1</t>
  </si>
  <si>
    <t>PSC</t>
  </si>
  <si>
    <t>% of MDAs and LGs implementing client feedback mechanisms</t>
  </si>
  <si>
    <t xml:space="preserve">Undertake a survey on status of implementation of client charter feedback mechanism and prepare a report  </t>
  </si>
  <si>
    <t>Client charters’ coverage in MDAs and LGs</t>
  </si>
  <si>
    <t xml:space="preserve">Undertake Annual surveys on status of development and implementation of client charter and produce a report </t>
  </si>
  <si>
    <t>% of BTVET education institutions with developed client charters</t>
  </si>
  <si>
    <t>Provide technical support to BTVET education institutions to develop client charters.</t>
  </si>
  <si>
    <t>14110103</t>
  </si>
  <si>
    <t>Baraza program implementation scaled up</t>
  </si>
  <si>
    <t xml:space="preserve">Number of sub counties covered by the Barraza model </t>
  </si>
  <si>
    <t xml:space="preserve">Conduct Barraza in different sub counties </t>
  </si>
  <si>
    <t>141102</t>
  </si>
  <si>
    <t>Develop and enforce service and service delivery standards</t>
  </si>
  <si>
    <t>Service Delivery Standards developed and implemented</t>
  </si>
  <si>
    <t xml:space="preserve">No of MDAs and LGs supported to develop  Service Delivery Standards </t>
  </si>
  <si>
    <t>Provide technical support to MDAs to develop and implement SDS</t>
  </si>
  <si>
    <t> 0.97</t>
  </si>
  <si>
    <t>OPM, NPA</t>
  </si>
  <si>
    <t>14110201</t>
  </si>
  <si>
    <t>% of MDAs and LGs with Service Delivery Standards</t>
  </si>
  <si>
    <t xml:space="preserve">MOPS </t>
  </si>
  <si>
    <t xml:space="preserve">Undertake a status survey and prepare a report </t>
  </si>
  <si>
    <t>UBOS</t>
  </si>
  <si>
    <t>No of outreach programs undertaken to disseminate SDS to the citizens</t>
  </si>
  <si>
    <t xml:space="preserve">Conduct outreach programs  to disseminate SDS to the citizens </t>
  </si>
  <si>
    <t>Capacity of Government Institutions in undertaking compliance inspection  strengthened</t>
  </si>
  <si>
    <t>Number of inspectors trained</t>
  </si>
  <si>
    <t>Develop and implement a training programme for inspectors in undertaking compliance inspection</t>
  </si>
  <si>
    <t>Number of LG Political leaders trained</t>
  </si>
  <si>
    <t>Develop and implement a training programme for political leaders  in undertaking compliance inspection</t>
  </si>
  <si>
    <t>OP, MoLG</t>
  </si>
  <si>
    <t>Number of Technical staff trained</t>
  </si>
  <si>
    <t>Develop and implement a training programme for Technical Officers  in undertaking compliance inspection</t>
  </si>
  <si>
    <t>Joint Inspection framework for the Public Service developed</t>
  </si>
  <si>
    <t>Inspection framework in place</t>
  </si>
  <si>
    <t>Develop an Inspection policy</t>
  </si>
  <si>
    <t>Compliance Inspection undertaken in MDAs and LGs</t>
  </si>
  <si>
    <t>Number of MDAs and LGs inspected for compliance with SDS per annum</t>
  </si>
  <si>
    <t>Undertake compliance inspections</t>
  </si>
  <si>
    <t>Inspection Manuals reviewed to accommodate new Service Delivery Trends</t>
  </si>
  <si>
    <t>Revised Manual in place</t>
  </si>
  <si>
    <t>Revise the Inspection Manual to cater for the identified gaps during compliance inspection</t>
  </si>
  <si>
    <t xml:space="preserve">Implementation of inspection findings tracked </t>
  </si>
  <si>
    <t xml:space="preserve">Inspection Technical and Steering Committees in place and functional  </t>
  </si>
  <si>
    <t xml:space="preserve">Organize technical and steering committee meetings and prepare minutes </t>
  </si>
  <si>
    <t xml:space="preserve">Half-year and Annual Reports on Status of Implementation of  Inspection Recommendations in place </t>
  </si>
  <si>
    <t>Half-year and Annual Reports on Status of Implementation of  Inspection Recommendations produced</t>
  </si>
  <si>
    <t>Application of the Pearl of Africa Institutional Performance  Scorecard (PAIPAS) to measure instructional compliance levels  scaled up</t>
  </si>
  <si>
    <t>Number of MDAs and LGs where PAIPAS is administered</t>
  </si>
  <si>
    <t xml:space="preserve">Administer PAIPAS to MDAs &amp; LGs; </t>
  </si>
  <si>
    <t xml:space="preserve">No. of Annual PAIPAS reports produced </t>
  </si>
  <si>
    <t xml:space="preserve">Prepare PAIPAS report and award the best performing institutions </t>
  </si>
  <si>
    <t>e-inspection tools developed and operationalized</t>
  </si>
  <si>
    <t xml:space="preserve">e-inspection tool in place </t>
  </si>
  <si>
    <t xml:space="preserve">Develop and operationalize e-inspection tools </t>
  </si>
  <si>
    <t>Number of MDAs and LGs where the e-inspection tool is rolled out</t>
  </si>
  <si>
    <t>Roll out e-inspection tool to MDAs and LGS</t>
  </si>
  <si>
    <t>Performance standards and minimum conditions for DSCs reviewed</t>
  </si>
  <si>
    <t>No. of performance standards and minimum conditions  reviewed</t>
  </si>
  <si>
    <t>146 Public Service Commission</t>
  </si>
  <si>
    <t>Review the performance standards and minimum conditions for DSCs</t>
  </si>
  <si>
    <t>141103</t>
  </si>
  <si>
    <t xml:space="preserve">Strengthening public sector performance management </t>
  </si>
  <si>
    <t>141103b</t>
  </si>
  <si>
    <t>Administer and enforce performance contracts across public service from Commissioner- level upwards</t>
  </si>
  <si>
    <t>141103b01</t>
  </si>
  <si>
    <t>Performance agreements rolled Out across public service</t>
  </si>
  <si>
    <t xml:space="preserve">% of targeted officers covered </t>
  </si>
  <si>
    <t xml:space="preserve">100% of Directors </t>
  </si>
  <si>
    <t>100% of PSs</t>
  </si>
  <si>
    <t xml:space="preserve">100% of TCs </t>
  </si>
  <si>
    <t>100% of CAOs</t>
  </si>
  <si>
    <t>Administer and enforce performance contracts for directors, CAOS, TCs , PSs</t>
  </si>
  <si>
    <t>OP, MoFPED</t>
  </si>
  <si>
    <t>141103c</t>
  </si>
  <si>
    <t xml:space="preserve">Administer a pay reform and welfare system (eg housing) commensurate with performance contracts </t>
  </si>
  <si>
    <t>141103c01</t>
  </si>
  <si>
    <t>The long term pay policy of the Public Service implemented</t>
  </si>
  <si>
    <t>% of Public Officers receiving salary according to the approved pay plan</t>
  </si>
  <si>
    <t>MoPs</t>
  </si>
  <si>
    <t>Preparation of wage estimates, stakeholder consultations; Review the salary structure in line with the appropriated budget</t>
  </si>
  <si>
    <t>%  of the required budget for the year approved for  implementation  of the Pay Policy</t>
  </si>
  <si>
    <t xml:space="preserve">Engage Ministry of Finance, Planning and Economic Development to prioritise salary enhancement </t>
  </si>
  <si>
    <t>MoFPED, OPM</t>
  </si>
  <si>
    <t>Report on Impact of pay enhancement on performance in place</t>
  </si>
  <si>
    <t>Assess the effectiveness of pay enhancement on service delivery</t>
  </si>
  <si>
    <t>141103d</t>
  </si>
  <si>
    <t xml:space="preserve">Institute the practice of strategic human resource management in all MDAs and LGs </t>
  </si>
  <si>
    <t>141103c02</t>
  </si>
  <si>
    <t>Capacity of Human Resource Managers in the Public Service built in Strategic Human Resource Management</t>
  </si>
  <si>
    <t>Number of  HR Managers trained</t>
  </si>
  <si>
    <t>Conduct trainings for Human Resource Managers in the Public Service in Strategic Human Resource Management</t>
  </si>
  <si>
    <t>OP, PSC</t>
  </si>
  <si>
    <t>141103c10</t>
  </si>
  <si>
    <t>Programme /Performance Budgeting integrated into the individual performance management framework</t>
  </si>
  <si>
    <t xml:space="preserve">Revised Performance management  tools in place </t>
  </si>
  <si>
    <t xml:space="preserve">Review the performance management tools and align them to organizational plans using the balanced scorecard  framework </t>
  </si>
  <si>
    <t>NPA, OP</t>
  </si>
  <si>
    <t>Number of MDAs and LGs implementing the Balanced scorecard Framework</t>
  </si>
  <si>
    <t xml:space="preserve">Train MDAs on use of the tool, monitor and evaluate application of the tool </t>
  </si>
  <si>
    <t>Performance targets relating to teacher presence, time-on-task and teacher effectiveness and learners achievement developed.</t>
  </si>
  <si>
    <t>Develop performance targets relating  to teacher presence, time-on-task and teacher effectiveness and learners achievement</t>
  </si>
  <si>
    <t>141103c11</t>
  </si>
  <si>
    <t>Programme plans aligned to budget priorities and National planning framework</t>
  </si>
  <si>
    <t>Coordinating Audit and Risk Management</t>
  </si>
  <si>
    <t xml:space="preserve">Manage Facilities and Equipment </t>
  </si>
  <si>
    <t>Coordinate Finance and Accounting</t>
  </si>
  <si>
    <t>Coordinate Procurement and Disposal Services</t>
  </si>
  <si>
    <t xml:space="preserve">Manage Records </t>
  </si>
  <si>
    <t>Facilitate Leadership and Management</t>
  </si>
  <si>
    <t>Coordinate Communication and Public Relations</t>
  </si>
  <si>
    <t>Mainstream cross cutting issues</t>
  </si>
  <si>
    <t>Coodrinate Planning and Budgeting Services</t>
  </si>
  <si>
    <t>Conduct Monitoring and Evaluation</t>
  </si>
  <si>
    <t>Cordinate Policy formulation and Analysis</t>
  </si>
  <si>
    <t>Cordinate PSTP Secretariat</t>
  </si>
  <si>
    <t>141103c12</t>
  </si>
  <si>
    <t>Capacity of Public officers built in performance management</t>
  </si>
  <si>
    <t>Number of Public  Officers trained in performance management</t>
  </si>
  <si>
    <t>Conduct refresher trainings in performance management</t>
  </si>
  <si>
    <t>141103c13</t>
  </si>
  <si>
    <t xml:space="preserve">Attendance to duty monitored  </t>
  </si>
  <si>
    <t>Number of MDAs monitored</t>
  </si>
  <si>
    <t xml:space="preserve">Conduct monitoring in MDAs and LGs on attendance </t>
  </si>
  <si>
    <t xml:space="preserve">Number of MDAs using biometric machines to monitor attendance  </t>
  </si>
  <si>
    <t xml:space="preserve">Procure and install biometrics to monitor attendance  </t>
  </si>
  <si>
    <t>141103c14</t>
  </si>
  <si>
    <t>Performance Improvement based approach to Capacity Building institutionalized</t>
  </si>
  <si>
    <t>% of MDAs and LGs supported to prepare PIPs linked to Capacity Building</t>
  </si>
  <si>
    <t>Support MDAs and LG Institutionalize PIPS</t>
  </si>
  <si>
    <t>141103c15</t>
  </si>
  <si>
    <t xml:space="preserve">Results Oriented Framework reviewed </t>
  </si>
  <si>
    <t xml:space="preserve">Revised Results Oriented Framework in place </t>
  </si>
  <si>
    <t xml:space="preserve">Revise the Results Oriented Framework to create a hybrid between ROM and BSC </t>
  </si>
  <si>
    <t>141103c16</t>
  </si>
  <si>
    <t xml:space="preserve">A Framework for  measuring productivity in the Public Service developed  and operationalized </t>
  </si>
  <si>
    <t>A Framework for  measuring productivity in the Public Service developed  and operationalized</t>
  </si>
  <si>
    <t xml:space="preserve">Develop a Framework for  measuring productivity in the Public Service </t>
  </si>
  <si>
    <t>Statistical Report  on productivity in the public service produced</t>
  </si>
  <si>
    <t>MOPS, NPA</t>
  </si>
  <si>
    <t xml:space="preserve">Collect data on productivity in the public service, analyze and produce a report </t>
  </si>
  <si>
    <t>NPA, UBOS</t>
  </si>
  <si>
    <t>141103c17</t>
  </si>
  <si>
    <t>Performance Assessment tool for Permanent Secretaries and other officers across government reviewed and aligned to the emerging reforms</t>
  </si>
  <si>
    <t xml:space="preserve">Revised Performance Assessment tool in place and operational </t>
  </si>
  <si>
    <t>review the draft document and have it approved; obtain statutory approval and disseminate for use.</t>
  </si>
  <si>
    <t>141104</t>
  </si>
  <si>
    <t>Enforce compliance to the rules and regulations</t>
  </si>
  <si>
    <t>14110401</t>
  </si>
  <si>
    <t>Citizens’ complaints concerning Maladministration in Public Offices handled</t>
  </si>
  <si>
    <t>% of cases concluded within the set timelines</t>
  </si>
  <si>
    <t xml:space="preserve">IG </t>
  </si>
  <si>
    <t>Respond to Citizens’ complaints concerning Maladministration in Public Offices</t>
  </si>
  <si>
    <t>IG</t>
  </si>
  <si>
    <t>103 Inspectorate of Government</t>
  </si>
  <si>
    <t>OP, OPM</t>
  </si>
  <si>
    <t>14110402</t>
  </si>
  <si>
    <t>Assets Declarations for all leaders received on time</t>
  </si>
  <si>
    <t>Compliance rate of Leaders declarations, %</t>
  </si>
  <si>
    <t>IG, Anti-Corruption</t>
  </si>
  <si>
    <t>Receive and examine declaration forms for all Leaders in Government</t>
  </si>
  <si>
    <t>ANTI CORRUPTION</t>
  </si>
  <si>
    <t>Number of declarations verified</t>
  </si>
  <si>
    <t>103 Inspectorate of Government (IG)</t>
  </si>
  <si>
    <t>Verify contents of the leaders declaration of income, assets and liabilities</t>
  </si>
  <si>
    <t>14110404</t>
  </si>
  <si>
    <t>Records and information management policy and regulatory framework reviewed and developed</t>
  </si>
  <si>
    <t xml:space="preserve">Number of policies, regulations and guidelines developed </t>
  </si>
  <si>
    <t xml:space="preserve">Develop 2 policies (NRIM Policy, NAM Policy), 2 guidelines (E-records Management Guidelines, Disaster Management guidelines, 2 regulations (Access and Use of Archives Regulations, and Fees structure for services at NRCA). </t>
  </si>
  <si>
    <t>Number of policies, regulations and guidelines  reviewed</t>
  </si>
  <si>
    <t xml:space="preserve">Review 3 (NRA Act, 2001; Retention and Disposal Schedule, RM Procedures Manual) </t>
  </si>
  <si>
    <t>14110405</t>
  </si>
  <si>
    <t>Compliance to RIM standards in MDAs and LGs assessed and technical support provided to address the  identified gaps</t>
  </si>
  <si>
    <t xml:space="preserve">Number of MDAs and LGs records management systems audited and streamlined   </t>
  </si>
  <si>
    <t>Conduct Auditing and streamlining of Records Management  systems in MDAs &amp; LGs</t>
  </si>
  <si>
    <t>14110406</t>
  </si>
  <si>
    <t>Capacity of staff built in records and Information Management</t>
  </si>
  <si>
    <t>Number of staff trained in RIM</t>
  </si>
  <si>
    <t>Build capacity of RIM staff to enforce compliance to RIM standards</t>
  </si>
  <si>
    <t>14110407</t>
  </si>
  <si>
    <t>Performance audits of DSC conducted and reports produced</t>
  </si>
  <si>
    <t>Number of DSC audited</t>
  </si>
  <si>
    <t xml:space="preserve">Conduct DSC audits to assess performance </t>
  </si>
  <si>
    <t xml:space="preserve">Number of DSCs sensitised </t>
  </si>
  <si>
    <t>Sensitize and disseminate to DSCs standards and guidelines</t>
  </si>
  <si>
    <t>14110408</t>
  </si>
  <si>
    <t>Appeals  of the DSC decisions handled</t>
  </si>
  <si>
    <t>Proportion  of appeals of DSC decisions handled, %</t>
  </si>
  <si>
    <t xml:space="preserve">Hold meetings to address the appeals of DSC decisions </t>
  </si>
  <si>
    <t>14110409</t>
  </si>
  <si>
    <t>Guidance provided on recruitments and selection</t>
  </si>
  <si>
    <t xml:space="preserve">No. of trainings and support supervision to entities conducted </t>
  </si>
  <si>
    <r>
      <t>Conduct trainings and support supervision on</t>
    </r>
    <r>
      <rPr>
        <sz val="11"/>
        <color rgb="FFFF0000"/>
        <rFont val="Calibri"/>
        <family val="2"/>
        <scheme val="minor"/>
      </rPr>
      <t xml:space="preserve"> recruitments and selections</t>
    </r>
  </si>
  <si>
    <t xml:space="preserve">Disciplinary cases with complete submissions considered and concluded  </t>
  </si>
  <si>
    <t xml:space="preserve">% of disciplinary cases received and concluded within a financial year </t>
  </si>
  <si>
    <t>Receive and process submissions, and conduct disciplinary hearings.</t>
  </si>
  <si>
    <t>Government Structures and Systems</t>
  </si>
  <si>
    <t>1422</t>
  </si>
  <si>
    <t>Streamline government architecture for efficient and effective service delivery</t>
  </si>
  <si>
    <t>Restructure government institutions (MDAs &amp; sectors) to align with new program planning, budgeting and implementation</t>
  </si>
  <si>
    <t>142201a</t>
  </si>
  <si>
    <t xml:space="preserve">Undertake functional analysis and reforms of government institutions </t>
  </si>
  <si>
    <t>142201a01</t>
  </si>
  <si>
    <t>Compressive Restructuring of MDAs and LGs undertaken and Reports produced</t>
  </si>
  <si>
    <r>
      <t> </t>
    </r>
    <r>
      <rPr>
        <sz val="11"/>
        <color rgb="FF000000"/>
        <rFont val="Calibri"/>
        <family val="2"/>
        <scheme val="minor"/>
      </rPr>
      <t>%MDAs and LGs restructured and reports  produced</t>
    </r>
  </si>
  <si>
    <t>MOPS, OP, NPA, OPM, MOFPED, OWC</t>
  </si>
  <si>
    <t xml:space="preserve">Comprehensively review the current functional architecture of government  to deliver results under the Programme approach </t>
  </si>
  <si>
    <t xml:space="preserve">OP,NPA, OPM, MOFPED,OWC </t>
  </si>
  <si>
    <t>142201b</t>
  </si>
  <si>
    <t xml:space="preserve">Review and implement the recommendations on harmonization and restructuring of institutions report (2018) </t>
  </si>
  <si>
    <t>142201b02</t>
  </si>
  <si>
    <t>Government Rationalization Report implemented</t>
  </si>
  <si>
    <t xml:space="preserve">Proportion of Rationalization Report recommendations implemented, % </t>
  </si>
  <si>
    <t>Restructure affected MDAs by Rationalisation; Develop structures for new MDAs created due to mergers Compensate the affected staff;  Under take comprehensive job evaluation; Review the salary structure; Review and align the structure for PSC with its mandate and functions</t>
  </si>
  <si>
    <t>No of Agencies mainstreamed in line Ministries</t>
  </si>
  <si>
    <t>Structures, mandates and functions of Agencies to be MAINSTREAMED studied and reviewed; Data, functional and workload analysis carried out; Structures mainstreamed and re-organised; Cost implications of the structures prepared; Reports prepared, presented and discussed; and Implementation guidelines for structures developed and disseminated</t>
  </si>
  <si>
    <t>Number of retained institutions restructured.</t>
  </si>
  <si>
    <t>Structures, mandates and functions of Agencies to be RETAINED studied and reviewed; Data, functional and workload analysis carried out; Structures for institutions to be retained reviewed  and re-organised; Cost implications of the structures prepared; Reports prepared, presented and discussed; and Implementation guidelines for structures developed and disseminated</t>
  </si>
  <si>
    <t>No. of institutions merged to form 19 new institutions</t>
  </si>
  <si>
    <t>Structures, mandates and functions of Agencies to be MERGED studied and reviewed; Data, functional and workload analysis carried out; Structures for institutions to be merged reviewed  and re-organised; Cost implications of the structures prepared; Reports prepared, presented and discussed; and Implementation guidelines for structures developed and disseminated</t>
  </si>
  <si>
    <t>142202</t>
  </si>
  <si>
    <t xml:space="preserve">Review and develop management and operational structures, systems and standards </t>
  </si>
  <si>
    <t>14220201</t>
  </si>
  <si>
    <t>Structures for Government institutions  reviewed, customized and implemented</t>
  </si>
  <si>
    <t xml:space="preserve">No. of MDA Structures reviewed and customized  </t>
  </si>
  <si>
    <t xml:space="preserve">MoPS, OPM, MoLG </t>
  </si>
  <si>
    <t>Restructure the current government functional architecture to support the delivery results under the Programme approach</t>
  </si>
  <si>
    <t>Number of LG structures customized</t>
  </si>
  <si>
    <t xml:space="preserve">Provide technical support to LGs to customise and implement the revised struture </t>
  </si>
  <si>
    <t>Number of MDAs and LGs supported to implement the revised structures</t>
  </si>
  <si>
    <t>MoPS, OP, NPA, OPM, MOFPED, OWC</t>
  </si>
  <si>
    <t xml:space="preserve">Provide technical support to MDAs to customise and implement the revised struture </t>
  </si>
  <si>
    <t>Job description and person specifications reviewed and developed</t>
  </si>
  <si>
    <t>% of Jobs in the Public  Service with valid Job descriptions and Person Specifications</t>
  </si>
  <si>
    <t xml:space="preserve">Job analysis; Functional analysis; Qualification and competence profiling; Stakeholder consultations; Approval and dissemination  </t>
  </si>
  <si>
    <t xml:space="preserve">JDs for jobs in new cities developed  </t>
  </si>
  <si>
    <t xml:space="preserve">Number of cities with JDs developed </t>
  </si>
  <si>
    <t xml:space="preserve">Develop job decription for the 15 new cities </t>
  </si>
  <si>
    <t>Schemes of service for cadres developed</t>
  </si>
  <si>
    <t xml:space="preserve">Number of Cadres with valid Schemes of Service  </t>
  </si>
  <si>
    <t>Draft the Schemes of Service, undertake stakeholder consultations , finalise and sign off</t>
  </si>
  <si>
    <t>Records Management Systems set up in MDAs and LGs where they are lacking</t>
  </si>
  <si>
    <t xml:space="preserve">Number of MDAs and LGs supported to set up RIM Systems </t>
  </si>
  <si>
    <t>Training and sensitisation of records staff and users; Introduction of records Management Systems</t>
  </si>
  <si>
    <t>Phase II of NRCA constructed and operationalized</t>
  </si>
  <si>
    <t>%ge of required equipment installed</t>
  </si>
  <si>
    <t>Profile the required equipment for Phase I; Develop Specifications; Procure Suppliers; Train users; Develop and implement an operational and maintenance plan; Conduct outreach programs to create awareness</t>
  </si>
  <si>
    <t>Phase I of NRCA equipped and utilized</t>
  </si>
  <si>
    <t>Number of clients served</t>
  </si>
  <si>
    <t>Avail information to clients; Update records catalogues; Describe the archives</t>
  </si>
  <si>
    <t>Number of MDAs and LGs where archival records are acquired</t>
  </si>
  <si>
    <t>Train and sensitise the user; Appraise the records</t>
  </si>
  <si>
    <t>UPDF Establishment Reviewed</t>
  </si>
  <si>
    <t>Revised establishment in place</t>
  </si>
  <si>
    <t>MODVA</t>
  </si>
  <si>
    <t>004 Ministry of Defence and Veteran Affairs</t>
  </si>
  <si>
    <t xml:space="preserve">Revise the establishment for UPDF </t>
  </si>
  <si>
    <t xml:space="preserve">004 Ministry of Defence and Veteran Affairs </t>
  </si>
  <si>
    <t>MODVA structure able to support the UPDF reviewed</t>
  </si>
  <si>
    <t>Revised MODVA structure able to support the UPDF in place</t>
  </si>
  <si>
    <t>Structures, mandates and functions of MODVA studied and reviewed; Data, functional and workload analysis carried out; Structures mainstreamed and re-organised; Cost implications of the structures prepared; Reports prepared, presented and discussed; and Implementation guidelines for structures developed and disseminated</t>
  </si>
  <si>
    <t>Distribution of teacher between educational institutions at various levels of education Standardized (Staffing Norms)</t>
  </si>
  <si>
    <t>National teacher guidelines for teacher utilization to guide deployment in place and disseminated to all districts.</t>
  </si>
  <si>
    <t>Conduct countrywide mapping to determine existing gaps of teachers at all education levels and recruitment to fill the gaps.</t>
  </si>
  <si>
    <t xml:space="preserve">Human Resource Management </t>
  </si>
  <si>
    <t>Strengthen human resource management function of Government for improved service delivery</t>
  </si>
  <si>
    <t>143301</t>
  </si>
  <si>
    <t>Undertake nurturing of civil servants through patriotic and long-term national service training</t>
  </si>
  <si>
    <t>14330101</t>
  </si>
  <si>
    <t>National Service Scheme developed and Implemented</t>
  </si>
  <si>
    <t>National Service Scheme developed</t>
  </si>
  <si>
    <t xml:space="preserve">Develop and implement a National Service Training Scheme for civil servants </t>
  </si>
  <si>
    <t>Number of Officers trained under the National Service Scheme</t>
  </si>
  <si>
    <r>
      <t xml:space="preserve">Conduct training </t>
    </r>
    <r>
      <rPr>
        <sz val="11"/>
        <color rgb="FFFF0000"/>
        <rFont val="Calibri"/>
        <family val="2"/>
        <scheme val="minor"/>
      </rPr>
      <t>under the National Service Scheme</t>
    </r>
  </si>
  <si>
    <t>14330103</t>
  </si>
  <si>
    <t xml:space="preserve">A National Capacity Building Plan aligned to NDPIII prepared and implemented </t>
  </si>
  <si>
    <t xml:space="preserve">Cummulative % of the capacity building plan implemented </t>
  </si>
  <si>
    <t>Undertake a Capacity Needs Assessment, Prepare the plan and disseminate to stakeholders for implementation</t>
  </si>
  <si>
    <t>Number of MDAs and LGs supported to develop and implement Annual Insitutional Capacity Building Plans alined to NDPIII</t>
  </si>
  <si>
    <t xml:space="preserve">Disseminate the National Capacity Building Plan; Provide technical support to MDAs and LGs to develop and implement insitutional plans </t>
  </si>
  <si>
    <t>14330104</t>
  </si>
  <si>
    <t xml:space="preserve">Mind Set Change Program developed integrated in all training programs  </t>
  </si>
  <si>
    <t>Change Management program in place  and implemented</t>
  </si>
  <si>
    <t>MoPS, MoGLSD</t>
  </si>
  <si>
    <r>
      <t xml:space="preserve">Develop the </t>
    </r>
    <r>
      <rPr>
        <sz val="11"/>
        <color rgb="FFFF0000"/>
        <rFont val="Calibri"/>
        <family val="2"/>
        <scheme val="minor"/>
      </rPr>
      <t>mindset</t>
    </r>
    <r>
      <rPr>
        <sz val="11"/>
        <color theme="1"/>
        <rFont val="Calibri"/>
        <family val="2"/>
        <scheme val="minor"/>
      </rPr>
      <t xml:space="preserve"> change programme and conduct training of public officers in mindset change. </t>
    </r>
  </si>
  <si>
    <t>14330106</t>
  </si>
  <si>
    <t xml:space="preserve">Guidelines for Professionalizing all Cadres in the Public Service developed &amp; Implemented </t>
  </si>
  <si>
    <t xml:space="preserve">Guidelines in place </t>
  </si>
  <si>
    <t xml:space="preserve">Develop and disseminate guidelines on Professionalization of all cadres of the Public Service </t>
  </si>
  <si>
    <t xml:space="preserve">Number of MDAs supported to form professional development committees </t>
  </si>
  <si>
    <t xml:space="preserve">Disseminate  guidelines; provide technical support to line ministries to form and orient professional development committees </t>
  </si>
  <si>
    <t>14330108</t>
  </si>
  <si>
    <t xml:space="preserve">Professional development Programmes for teachers instituted in the Public Service for all Cadres  </t>
  </si>
  <si>
    <t>Number of Teachers &amp; TVET Trainers trained per annum</t>
  </si>
  <si>
    <t>MoES, MOPS</t>
  </si>
  <si>
    <r>
      <t xml:space="preserve">Conduct </t>
    </r>
    <r>
      <rPr>
        <sz val="11"/>
        <color rgb="FFFF0000"/>
        <rFont val="Calibri"/>
        <family val="2"/>
        <scheme val="minor"/>
      </rPr>
      <t>Continuous Professional</t>
    </r>
    <r>
      <rPr>
        <sz val="11"/>
        <color theme="1"/>
        <rFont val="Calibri"/>
        <family val="2"/>
        <scheme val="minor"/>
      </rPr>
      <t xml:space="preserve"> Development for Teachers &amp; TVET trainers </t>
    </r>
  </si>
  <si>
    <t>14330109</t>
  </si>
  <si>
    <t>Training curriculum on mainstreaming cross cutting issues  implemented</t>
  </si>
  <si>
    <t>Number of public Offices trained in mainstreaming cross cutting issues</t>
  </si>
  <si>
    <r>
      <t xml:space="preserve">Undertake Targeted Trainings in </t>
    </r>
    <r>
      <rPr>
        <sz val="11"/>
        <color rgb="FFFF0000"/>
        <rFont val="Calibri"/>
        <family val="2"/>
        <scheme val="minor"/>
      </rPr>
      <t xml:space="preserve">mainstreaming cross cutting issues </t>
    </r>
  </si>
  <si>
    <t>14330111</t>
  </si>
  <si>
    <t xml:space="preserve">Phase II of the Civil Service College constructed </t>
  </si>
  <si>
    <t>% completion of Phase II of the CSCU</t>
  </si>
  <si>
    <t>Procure Consultancy to under feasibility for Phase II; Seek clearance &amp; funding from DC; Commence construction</t>
  </si>
  <si>
    <t>14330112</t>
  </si>
  <si>
    <t xml:space="preserve">Civil Service Strategic Plan implemented </t>
  </si>
  <si>
    <t>% implementation of the Strategic Plan for the College</t>
  </si>
  <si>
    <t xml:space="preserve">Operationalize the Structure of the College; Implement the Communication &amp; Marketing Strategy;  Undertake Collaboration &amp; Partnerships with Similar institutions &amp; Development Partners  </t>
  </si>
  <si>
    <t>%  achievement of the objective Targets set in the Strategic Plan (This is an M&amp;E tool)</t>
  </si>
  <si>
    <t xml:space="preserve">Undertake Mid-term and end of term evaluation to establish the level of achievement </t>
  </si>
  <si>
    <t>14330121</t>
  </si>
  <si>
    <t>Reward and recognition schemes implemented</t>
  </si>
  <si>
    <t xml:space="preserve"> Reward and recognition schemes implemented</t>
  </si>
  <si>
    <t>MOPS, URA</t>
  </si>
  <si>
    <t xml:space="preserve">Implement Reward and recognition schemes </t>
  </si>
  <si>
    <t>14330122</t>
  </si>
  <si>
    <t>Framework  for Talent sourcing, development, retention, reward and accreditation developed and rolled out</t>
  </si>
  <si>
    <t>Succession Management Framework in place and operational</t>
  </si>
  <si>
    <t>MoPS/URA</t>
  </si>
  <si>
    <t xml:space="preserve">Develop and disseminate the succession management  framework </t>
  </si>
  <si>
    <t>14330123</t>
  </si>
  <si>
    <t>Work-based development frameworks developed and rolled out</t>
  </si>
  <si>
    <t xml:space="preserve"> Attachment and Secondment Frameworks in place and operational </t>
  </si>
  <si>
    <t>Attachments and Secondments Evaluation reports; Pilot &amp; then Rollout On-job Training in all business areas and evaluate the impact of the OJT; Development of the criteria for coaches, identification of coaches and mentors; Training of the coaches and mentors (Professional and then Mastery Training); Training of all line-managers in performance coaching; Rollout leadership development coaching; Rollout executive coaching; Rollout Attachments and Secondments</t>
  </si>
  <si>
    <t>14330125</t>
  </si>
  <si>
    <t>Integrity enhancement Schemes developed and rolled out</t>
  </si>
  <si>
    <t>Public Service code of conduct reviewed and operational</t>
  </si>
  <si>
    <t>Develop Integrity enhancement initiatives and schemes</t>
  </si>
  <si>
    <t xml:space="preserve">Fraud prevention schemes developed and operationalised </t>
  </si>
  <si>
    <t xml:space="preserve">Develop and rollout fraud prevention schemes </t>
  </si>
  <si>
    <t>Whistle-blowing schemes instited and operational</t>
  </si>
  <si>
    <t>MoPS/MoFPED, URA</t>
  </si>
  <si>
    <t>Develop and operationalise the whitle blowing scheme</t>
  </si>
  <si>
    <t>143302</t>
  </si>
  <si>
    <t>Design and implement a rewards and sanctions system</t>
  </si>
  <si>
    <t>143302a</t>
  </si>
  <si>
    <t>Rewards and Sanctions Committees Constituted and operationalized in MDAs and LGs</t>
  </si>
  <si>
    <t>143302a02</t>
  </si>
  <si>
    <t>Number of MDAs and LGs Supported to form R&amp;S Committees</t>
  </si>
  <si>
    <t xml:space="preserve">Support MDAs &amp; LGs in operationalizing the Rewards &amp; Sanctions Committees </t>
  </si>
  <si>
    <t>% of MDAs and LGs with functional Rewards and Sanction Committees</t>
  </si>
  <si>
    <t>Sensitise MDAs and LGs on the rewards and sanctions framework and provide technical support to form the committees</t>
  </si>
  <si>
    <t>143303</t>
  </si>
  <si>
    <t>Empower MDAs to customize talent management (Attract, retain and motivate public servants)</t>
  </si>
  <si>
    <t>14330301</t>
  </si>
  <si>
    <t>Leadership and Technical Competency Framework for the Public Service developed</t>
  </si>
  <si>
    <t>Leadership Development and competency Framework in place and operational</t>
  </si>
  <si>
    <t xml:space="preserve">MoPS </t>
  </si>
  <si>
    <t xml:space="preserve">develop  and operationalise a Leadership Development and competency Framework </t>
  </si>
  <si>
    <t>14330302</t>
  </si>
  <si>
    <t xml:space="preserve">A framework for Onboarding  of all new Executives and other staff developed and rolled out </t>
  </si>
  <si>
    <t xml:space="preserve">Onboarding framework in place </t>
  </si>
  <si>
    <t>Develop the framework for onboarding of the executives and other staff in the Public Service</t>
  </si>
  <si>
    <t xml:space="preserve">% of new executives and other staff onboarded in accordance with the framework </t>
  </si>
  <si>
    <t>Evaluation of the impact of the onboarding of the executives and the other new staff</t>
  </si>
  <si>
    <t>14330303</t>
  </si>
  <si>
    <t>Public Service Cultural change programs developed and rolled out</t>
  </si>
  <si>
    <t>Public Service  cultural in place and known by all public officers</t>
  </si>
  <si>
    <t>Define the Public Service culture; Develop and rollout cultural change programs; Conduct an impact assessment of the cultural change programs</t>
  </si>
  <si>
    <t>14330304</t>
  </si>
  <si>
    <t xml:space="preserve">Competence-based recruitment systems instituted in the Public Service </t>
  </si>
  <si>
    <t>Competence based recruitment user manual developed and disseminated to MDAs and LGs</t>
  </si>
  <si>
    <t>Develop the user manual, Train the users, pilot,  Disseminate and institute the systems in MDAs and LGs.</t>
  </si>
  <si>
    <t xml:space="preserve">Number of Jobs with profiled  compendium of competencies </t>
  </si>
  <si>
    <t>Develop Competence Profiles for Jobs in the UPS; Develop Selection Instruments to Update the Question Data Bank; Train Users of Selection Examinations on the handling and management of test administration</t>
  </si>
  <si>
    <t>14330307</t>
  </si>
  <si>
    <t>Decentralized management of salary, pension and gratuity  strengthened to promote efficiency and transparency and eliminate graft</t>
  </si>
  <si>
    <t>Guidelines on Management of Wage, Pension and gratuity and issued to the public service</t>
  </si>
  <si>
    <t>Carry out monthly Wage bill performance and reconciliations</t>
  </si>
  <si>
    <t xml:space="preserve">% of MDAs &amp; LGs supported on payroll management. </t>
  </si>
  <si>
    <t xml:space="preserve">Provide Technical &amp; Functional Support   provided to  MDAs and LGs on Wage, Pension &amp; Gratuity </t>
  </si>
  <si>
    <t xml:space="preserve">Number of Payroll managers in MDA/LGs trained in wage performance analysis </t>
  </si>
  <si>
    <t xml:space="preserve">Train Payroll Mangers in Wage &amp; Payroll Analysis </t>
  </si>
  <si>
    <t xml:space="preserve">Quarterly Wage Bill performance  for the whole of Government analysed and Reports produced </t>
  </si>
  <si>
    <t>Analyze Quarterly Wage bill expenditure analysis</t>
  </si>
  <si>
    <t>14330308</t>
  </si>
  <si>
    <t xml:space="preserve">Recruitment plan for the whole of Public Service prepared </t>
  </si>
  <si>
    <t>Number of MDAs/LGs whose recruitment plans have been considered and forwarded</t>
  </si>
  <si>
    <t>Receive and Consolidate Recruitment Plans from MDAs &amp; LGs for consideration and track the staffing levels of Government”</t>
  </si>
  <si>
    <t>14330309</t>
  </si>
  <si>
    <t>Public officers in both the active and pension service empowered with survival skills after retirement to ensure that they leave descent life after retirement</t>
  </si>
  <si>
    <t>Revised curriculum for pre and post retirement in place</t>
  </si>
  <si>
    <t xml:space="preserve">Revise the Curriculum on Pre &amp; Post Retirement </t>
  </si>
  <si>
    <t xml:space="preserve">No of staff equipped with ToT skills  </t>
  </si>
  <si>
    <r>
      <t xml:space="preserve">Conduct ToTs </t>
    </r>
    <r>
      <rPr>
        <sz val="11"/>
        <color rgb="FFFF0000"/>
        <rFont val="Calibri"/>
        <family val="2"/>
        <scheme val="minor"/>
      </rPr>
      <t>on survival skills after retirement to ensure that they leave descent life after retirement</t>
    </r>
  </si>
  <si>
    <t xml:space="preserve">No of serving Public Officers trained </t>
  </si>
  <si>
    <r>
      <t xml:space="preserve">Undertake training of public officers </t>
    </r>
    <r>
      <rPr>
        <sz val="11"/>
        <color rgb="FFFF0000"/>
        <rFont val="Calibri"/>
        <family val="2"/>
        <scheme val="minor"/>
      </rPr>
      <t>on survival skills after retirement to ensure that they leave descent life after retirement</t>
    </r>
  </si>
  <si>
    <t xml:space="preserve">Number of pensioners trained </t>
  </si>
  <si>
    <t xml:space="preserve">Undertake Post Retirement Training/ Pension Clinics </t>
  </si>
  <si>
    <t xml:space="preserve">The Public Service Pension Fund/ Scheme established and operationalized </t>
  </si>
  <si>
    <t>Actuarial  report in place</t>
  </si>
  <si>
    <t xml:space="preserve">Hire the services of a consultant ; Implement the report of the actuarial valuation on scheme design proposals
</t>
  </si>
  <si>
    <t xml:space="preserve">Interview Assessment tools and Recruitment and Selection Guidelines reviewed </t>
  </si>
  <si>
    <t xml:space="preserve">Revised Interview assessment tools, and Recruitment and Selection Guidelines in place </t>
  </si>
  <si>
    <t>Hold assessment tool review meetings; Training on use of new tools; Issue guidelines</t>
  </si>
  <si>
    <t xml:space="preserve">Approved Recruitment Plans of MDAs and LGs  implemented </t>
  </si>
  <si>
    <t xml:space="preserve">% of vacancies declared within the year filled </t>
  </si>
  <si>
    <t>Shortlist; Conduct selection; Communicate decision</t>
  </si>
  <si>
    <t xml:space="preserve">District Service Commissions constituted and empowered to execute their Mandate </t>
  </si>
  <si>
    <t xml:space="preserve">Number of DLGs with fully constituted DSC </t>
  </si>
  <si>
    <t xml:space="preserve">Provide technical support to districts to constitute service commissions </t>
  </si>
  <si>
    <t xml:space="preserve">Number of Commissionners trained  </t>
  </si>
  <si>
    <t xml:space="preserve">Conduct training for members of the commission </t>
  </si>
  <si>
    <t xml:space="preserve">Capacity of Central Government Service Commissions Strengthened </t>
  </si>
  <si>
    <t xml:space="preserve">Partnerships with other Human Resource outsourcing and Research  institutions established </t>
  </si>
  <si>
    <t>Identify partners; Develop and share checklist; Collaboration visits; Generate report</t>
  </si>
  <si>
    <t xml:space="preserve">Performance and career progression of recruited staff evaluated to establish the effectiveness of the selection and recruitment system  </t>
  </si>
  <si>
    <t xml:space="preserve">Evaluation reports produced </t>
  </si>
  <si>
    <t>Develop concept, and research tools; Conduct research; Generate report</t>
  </si>
  <si>
    <t xml:space="preserve">Service Commissions equipped with assistive devices for persons with special needs to ensure inclusiveness  </t>
  </si>
  <si>
    <t>% of Commissions equipped with assistive devises</t>
  </si>
  <si>
    <t>Asses the equipment needs; Do procurement; Conduct user training</t>
  </si>
  <si>
    <t xml:space="preserve">Number of staff trained in competence based recruitment systems </t>
  </si>
  <si>
    <t>Develop of training materials; Staff training; Assessment of uptake.</t>
  </si>
  <si>
    <t>Human Resource Planning and Development Framework for the Public Service finalized and disseminated</t>
  </si>
  <si>
    <t xml:space="preserve">number of staff reained in human resource planning and development </t>
  </si>
  <si>
    <t xml:space="preserve">Undertake  training for HR managers in Human Resource Planning and Development </t>
  </si>
  <si>
    <t>Career guidance provided to students  in Public Service to Universities</t>
  </si>
  <si>
    <t>Number of career guidance sessions held with University finalists</t>
  </si>
  <si>
    <t>Interaction with the finalists at the various Universities.</t>
  </si>
  <si>
    <t>143304</t>
  </si>
  <si>
    <t xml:space="preserve">Roll out the Human Resource Management System (Payroll management, productivity management, work leave, e-inspection) </t>
  </si>
  <si>
    <t>14330401</t>
  </si>
  <si>
    <t>Human Capital Management (HCM) System Rolled  out</t>
  </si>
  <si>
    <t>Cumulative number of Votes where HCM is operational</t>
  </si>
  <si>
    <t xml:space="preserve">MoPS, MoFPED, MoLG </t>
  </si>
  <si>
    <t>Reconfigure and Rollout the Human Resource Management System in support of the Programme approach</t>
  </si>
  <si>
    <t xml:space="preserve">MoFPED, MoLG </t>
  </si>
  <si>
    <t xml:space="preserve">Number of MDAs and LGs where HCM is Rolled out </t>
  </si>
  <si>
    <t xml:space="preserve">Identify the votes; undertake  data cleaning, undertake readiness assessment for the selected votes ; train users, and provide technical support </t>
  </si>
  <si>
    <t xml:space="preserve">Number of vehicles procured </t>
  </si>
  <si>
    <t xml:space="preserve">Procure the vehicles in acoordance with the PPDA Act and Regulations </t>
  </si>
  <si>
    <t>% coverage of HCM</t>
  </si>
  <si>
    <t xml:space="preserve">Roll out of the HCM to selected votes </t>
  </si>
  <si>
    <t>% of HR functions automated</t>
  </si>
  <si>
    <t xml:space="preserve">Automate Human Resource Management functions into the HCM, Undertake consultations with the module owners and customise to suit the user needs </t>
  </si>
  <si>
    <t>HCM integrated with other Key Government Systems  ( IFMS, PBS, TMIS and NIS)</t>
  </si>
  <si>
    <t xml:space="preserve">Undertake a compatibility test, configure the systems to faciliate integration, test the system functionality </t>
  </si>
  <si>
    <t>% of data cleaned,  and migrated to the HCM</t>
  </si>
  <si>
    <t xml:space="preserve">Undertake data clearning of the payroll records   and migrate the cleaned records onto the system </t>
  </si>
  <si>
    <t xml:space="preserve"> % of Public Officers managing HR functions trained in use of the human resource information management systems ( ( Certification))</t>
  </si>
  <si>
    <t>Undertake a survey to establish the uptake rates</t>
  </si>
  <si>
    <t>% Public Officers using the HCM trained in the automated HR functions &amp; processes</t>
  </si>
  <si>
    <t xml:space="preserve">Undertake hands on training for  HCM users </t>
  </si>
  <si>
    <t xml:space="preserve">Monthly Salary for project staff paid </t>
  </si>
  <si>
    <t xml:space="preserve">Preparare monthly payroll and process payment for the staff; transfer NSSF deductions and PAYE to the relevant accounts </t>
  </si>
  <si>
    <t>14330402</t>
  </si>
  <si>
    <t xml:space="preserve">Communication, Change Management and Stakeholder Engagement Strategy implemented  </t>
  </si>
  <si>
    <t xml:space="preserve">% of the Strategy implemented </t>
  </si>
  <si>
    <t xml:space="preserve">Conduct change management trainings for  both the technical staff and political leaders in the selected votes </t>
  </si>
  <si>
    <t>14330403</t>
  </si>
  <si>
    <t xml:space="preserve">Post Implementation Support provided to Votes where HCM has been rolled out </t>
  </si>
  <si>
    <t xml:space="preserve">Number of votes supported </t>
  </si>
  <si>
    <t xml:space="preserve">Identify votes with challenges in using the HCM and provide tailored support </t>
  </si>
  <si>
    <t>14330404</t>
  </si>
  <si>
    <t>Suport users/module owners, TOTs, Backend Officers trained in HCM product and use</t>
  </si>
  <si>
    <t xml:space="preserve">Number of supper  users/module owners, TOTs, Backend Officers trained </t>
  </si>
  <si>
    <t xml:space="preserve">Undertake training for of module owners, ToT and back end users </t>
  </si>
  <si>
    <t>14330405</t>
  </si>
  <si>
    <t>Maintenance of IPPS Current application and related contractual obligations</t>
  </si>
  <si>
    <t>%age of contract obligations fulfilled</t>
  </si>
  <si>
    <t xml:space="preserve">Undertake quarterly audit of the management of the IPPS contractual obligations </t>
  </si>
  <si>
    <t xml:space="preserve">Number of regional IPPS Centers supported </t>
  </si>
  <si>
    <t xml:space="preserve">undertook regular trouble shooting to address any functionality issues; pay quaterly subscription to the vendors </t>
  </si>
  <si>
    <t>Fully operationalise e-recruitment system across government</t>
  </si>
  <si>
    <t>% of LGs and Central Government agencies using Government e-recruitment platform</t>
  </si>
  <si>
    <t>Rollout e-recruitment system to DSCs.</t>
  </si>
  <si>
    <t>143305</t>
  </si>
  <si>
    <t xml:space="preserve">Develop and operationalize an e-document management system </t>
  </si>
  <si>
    <t>14330501</t>
  </si>
  <si>
    <t>Electronic Document and Records Management System (EDRMS) developed and rolled out to MDAs and LGs</t>
  </si>
  <si>
    <t>Number of EDRMS  users trained</t>
  </si>
  <si>
    <t xml:space="preserve">Create accounts and Undertake  trainings for records managers in use of EDRMS </t>
  </si>
  <si>
    <t>Number of MDAs and LGs where EDRMS is operational</t>
  </si>
  <si>
    <t xml:space="preserve">Undertake a readiness assessment, deploy the system, undertake user trainings </t>
  </si>
  <si>
    <t>143306</t>
  </si>
  <si>
    <t xml:space="preserve">Review the existing legal, policy, regulatory and institutional frameworks to standardize regulation and benefits in the public service </t>
  </si>
  <si>
    <t xml:space="preserve">Salaries Review body   established and operationalized                                                                                                                                                                                                                                                                                                                                                                                                                                                                                                                              </t>
  </si>
  <si>
    <t>Salary review Body in place</t>
  </si>
  <si>
    <t xml:space="preserve">Review of the Existing Laws; Establishing the Salaries Review body   </t>
  </si>
  <si>
    <t>Institutional framework for implementation of “The Public Service (Negotiating, Consultative And Disputes Settlement Machinery) Act, 2008 established and operationalized</t>
  </si>
  <si>
    <t>Number of Institutional consultative Committees established and supported</t>
  </si>
  <si>
    <t>Sensitize the MDAs &amp; LGs on the roles of consultative Committees; Provide technical support supervision to MDAs &amp; LGs; Develop guidelines &amp; Regulations on Consultative Committees</t>
  </si>
  <si>
    <t>Number of MDAs and LGs supported per Annum</t>
  </si>
  <si>
    <t xml:space="preserve">Undertake field visits to MDAs and LGs and provide technical support on areas of weakness </t>
  </si>
  <si>
    <t>% of employee grievances received and disposed off by the dispute settlement council</t>
  </si>
  <si>
    <t xml:space="preserve">Register grievances and organise council meetings, prepare Minutes and provide feedback to the agrieved </t>
  </si>
  <si>
    <t>% of employee grievances cases received and disposed off by the Public Service Tribunal</t>
  </si>
  <si>
    <t xml:space="preserve">Register grievances and organise tribual meetings, prepare Minutes and provide feedback to the agrieved </t>
  </si>
  <si>
    <t>Recruitment and deployment guidelines of PWDs developed and operationalized</t>
  </si>
  <si>
    <t>Guidelines on recruitment and deployment of PWDs in place</t>
  </si>
  <si>
    <t>Develop inclusive recruitment guidelines in the Public Service; (Needs further Consultations)</t>
  </si>
  <si>
    <t xml:space="preserve">Capacity of MDAs built in formulation, implementation and evaluation of HR Policies </t>
  </si>
  <si>
    <t>No. of MDAs and LGs supported to implement  Human Resource Management Policies Procedures</t>
  </si>
  <si>
    <t xml:space="preserve">Undertake field visits to the Local Governments and MDAs  and provide the required support </t>
  </si>
  <si>
    <t xml:space="preserve">Systems, procedures and practices of high risk corruption MDALGs reviewed  </t>
  </si>
  <si>
    <t>Number of systemic interventions conducted</t>
  </si>
  <si>
    <t xml:space="preserve">Review systems, procedures and practices of high risk corruption in MDA/ LGs to prevent corruption </t>
  </si>
  <si>
    <t>% System recommendations implemented</t>
  </si>
  <si>
    <t>Follow up on the Implementation of System reviews</t>
  </si>
  <si>
    <t xml:space="preserve">The Ombudsman complaints handling systems in DALGs reviewed </t>
  </si>
  <si>
    <t>Percentage of MDALGs supported</t>
  </si>
  <si>
    <t xml:space="preserve">Support MDAs &amp; LGs to review the Ombudsman complaints handling systems </t>
  </si>
  <si>
    <t>( The Constitution, Public Service Act, Public Service Commission Act, Public Service Commission Regulations, Local Government Act on establishment of service commissions for local governments)</t>
  </si>
  <si>
    <t>Number of legal and institutional frameworks standardized.</t>
  </si>
  <si>
    <t>MOPS, PSC, MoLG</t>
  </si>
  <si>
    <t>Make input into the review of the various laws; Legislature drafting; Issue of statutory instrument; Publish and disseminate the Public Service Commission Regulations.</t>
  </si>
  <si>
    <t>143307</t>
  </si>
  <si>
    <t>Upgrade Public sector training to improve relevance and impact.</t>
  </si>
  <si>
    <t>143307a</t>
  </si>
  <si>
    <t xml:space="preserve">Strengthen training partnerships with tertiary institutions </t>
  </si>
  <si>
    <t>143307a01</t>
  </si>
  <si>
    <t>Training partnerships with tertiary institutions strengthened</t>
  </si>
  <si>
    <t>Number of Training partnerships with tertiary institutions Strengthened</t>
  </si>
  <si>
    <t xml:space="preserve">MoPS, MoE, NCHE, tertiary institutions </t>
  </si>
  <si>
    <t xml:space="preserve">Develop memorandum of understanding and put in place a institutional framework to operationalise them </t>
  </si>
  <si>
    <t xml:space="preserve">Level of achievement of the objectives of the Partnership  </t>
  </si>
  <si>
    <t xml:space="preserve">Undertake period evaluation of the level of achievement of the objectives of the partnership </t>
  </si>
  <si>
    <t>MOPS/NCHE</t>
  </si>
  <si>
    <t>143307b</t>
  </si>
  <si>
    <t xml:space="preserve">Implement E-learning programmes at the civil service college </t>
  </si>
  <si>
    <t>143307b01</t>
  </si>
  <si>
    <t xml:space="preserve">E-laboratory established and operationalized  </t>
  </si>
  <si>
    <t xml:space="preserve">e-learning platforms and systems at the CSC including the Learning Management System established </t>
  </si>
  <si>
    <t>Establish an e-learning platform and systems at the Civil Service College including the Learning Management System</t>
  </si>
  <si>
    <t>e-learning programmes developed and implemented</t>
  </si>
  <si>
    <t xml:space="preserve">Design and execute digital content for the existing curricula </t>
  </si>
  <si>
    <t>Guidelines for E- learning prepared and implemented</t>
  </si>
  <si>
    <t>Develop &amp; Disseminate Guidelines for E- learning</t>
  </si>
  <si>
    <t>143307b02</t>
  </si>
  <si>
    <t>Civil Service College upgraded into a technology enabled teaching and learning centre</t>
  </si>
  <si>
    <t>% of Training facilities at CSCU equipped with ICT equipment</t>
  </si>
  <si>
    <t xml:space="preserve">Identify ICT needs to assess the ICT gaps to support E-learning; Equip facilities with ICT facilities to support E-learning at CSCU; Train Users in the utilization of the ICT facilities; Establish maintenance support systems for the E-learning Systems at CSCU  </t>
  </si>
  <si>
    <t>Decentralization and Local Economic Development</t>
  </si>
  <si>
    <t>Deepen decentralization and citizen participation in local development</t>
  </si>
  <si>
    <t>144401</t>
  </si>
  <si>
    <t xml:space="preserve">Strengthen collaboration of all stakeholders to promote local economic development; </t>
  </si>
  <si>
    <t>144401a</t>
  </si>
  <si>
    <t>Provide a conducive environment to facilitate Private Sector participation in investment in the local economy</t>
  </si>
  <si>
    <t>144401a01</t>
  </si>
  <si>
    <t>Local Economic Development Strategy developed</t>
  </si>
  <si>
    <t xml:space="preserve">Number of districts where the LED policy and stratgy are disseminated </t>
  </si>
  <si>
    <t>Roll out the LED policy and strategy to all LGs</t>
  </si>
  <si>
    <t>144401a02</t>
  </si>
  <si>
    <t>Private sector fora established at district level</t>
  </si>
  <si>
    <t>No. of Private sector fora established at district level</t>
  </si>
  <si>
    <t xml:space="preserve">MoLG, OP, MoFPED, LGs, PSFU, DPs </t>
  </si>
  <si>
    <t>Develop and market investment Profiles of bankable projects at the local government levels</t>
  </si>
  <si>
    <t>OWC, NPA,LGs, UIA</t>
  </si>
  <si>
    <t>144401a03</t>
  </si>
  <si>
    <t>Critical positions at in Local Governments filled  (CAOs, DCAOs, Town Clerks of Cities and municipalities and Heads of Department and Units)</t>
  </si>
  <si>
    <t xml:space="preserve">% of critical positions filled </t>
  </si>
  <si>
    <t>PSC/MOPS</t>
  </si>
  <si>
    <t>Advertise posts, receive submissions, interview and selection,</t>
  </si>
  <si>
    <t>144401a04</t>
  </si>
  <si>
    <t xml:space="preserve">Investment Profiles of Bankable projects at the LG levels developed and marketed </t>
  </si>
  <si>
    <t>LGs, OWC, NPA,LGs, UIA</t>
  </si>
  <si>
    <t>Mobilise and sensitise the private sector players on the bebefits of the for a, Support them to elect the leaders and to develop the memorandum and articles of association</t>
  </si>
  <si>
    <t>144401a06</t>
  </si>
  <si>
    <t>Enhanced trade across the EAC</t>
  </si>
  <si>
    <t>Number of Bilateral engagements cordinated</t>
  </si>
  <si>
    <t>Coordinating of Bilaterals for the benefit of Uganda</t>
  </si>
  <si>
    <t>144402</t>
  </si>
  <si>
    <t>Increase participation of Non-State Actors in Planning and Budgeting</t>
  </si>
  <si>
    <t>CSO Development Planning and Budgeting Issues Papers</t>
  </si>
  <si>
    <t>No. of engagements of CSOs on Development Planning and Budgeting Issues</t>
  </si>
  <si>
    <t xml:space="preserve">MoFPED, NPA, MoLG, LGs </t>
  </si>
  <si>
    <t>Undertake regular engagements, of CSOs on Development Planning and Budgeting Issues, at the local levels</t>
  </si>
  <si>
    <t>144403</t>
  </si>
  <si>
    <t>Operationalize the parish model</t>
  </si>
  <si>
    <t>14440301</t>
  </si>
  <si>
    <t>Parish level Structures to implement the Parish Model established and empowered</t>
  </si>
  <si>
    <t>Number of parish chiefs recruited</t>
  </si>
  <si>
    <t xml:space="preserve">MOLG </t>
  </si>
  <si>
    <t>Recruit, train  and equip Parish Chiefs</t>
  </si>
  <si>
    <t>% of approved positions for parish chiefs filled</t>
  </si>
  <si>
    <t xml:space="preserve">Develop and roll out data tools, collect information for community information system to implement  Parish model  </t>
  </si>
  <si>
    <t>OWC, NPA,LGs, MoICT&amp;NG</t>
  </si>
  <si>
    <t>Number of parish chiefs oriented on the parish model conceptual framework</t>
  </si>
  <si>
    <t>MoLG, OPM, OP, LGs, UBC, NPA</t>
  </si>
  <si>
    <t xml:space="preserve">organise orientation workshops for both existing and newly recruited parish chiefs </t>
  </si>
  <si>
    <t xml:space="preserve">Number of Parish covered </t>
  </si>
  <si>
    <t xml:space="preserve">develop the criteria and sample the beneficiary parishes in accordance with the criteria </t>
  </si>
  <si>
    <t xml:space="preserve">Number of Parish developed committees oriented </t>
  </si>
  <si>
    <t xml:space="preserve">Develop and roll out data tools for community information system to implement  Parish model  
Train and equip parish frontline extension staff in data collection and reporting.
</t>
  </si>
  <si>
    <t>Number of trainings for Assistant community development officer for all parishes from 40 PMDU pilot districts</t>
  </si>
  <si>
    <t>Conduct trainings of the Assistant community development officers on  the deliverology methodology at parishes in the 40 PMDU Pilot districts</t>
  </si>
  <si>
    <t>14440302</t>
  </si>
  <si>
    <t>Delivery LABs on the parish model Implementation delivered</t>
  </si>
  <si>
    <t xml:space="preserve">Number of delivery LABs on the parish model Implementation conducted </t>
  </si>
  <si>
    <t>Conduct delivery LABs on the parish model Implementation; Producing a Food and nutrition Roadmap</t>
  </si>
  <si>
    <t>14440303</t>
  </si>
  <si>
    <t xml:space="preserve">Documentaries on the status of implementation of the parish model and its impact on the beneficiary communities developed and broadcast to the citizens   </t>
  </si>
  <si>
    <t xml:space="preserve">No of new dilates brought on board </t>
  </si>
  <si>
    <t xml:space="preserve">Ensure that developed content is translated to various local languages </t>
  </si>
  <si>
    <t xml:space="preserve">020 Ministry of ICT and National Guidance-UBC </t>
  </si>
  <si>
    <t xml:space="preserve">% of developed content disseminated </t>
  </si>
  <si>
    <t>Program and disseminate developed         content</t>
  </si>
  <si>
    <t xml:space="preserve">Approved collaborative framework with implementing partners  in place </t>
  </si>
  <si>
    <t>Formulation of UBC and MDAs collaboration frameworks for content development, preservation and broadcasting</t>
  </si>
  <si>
    <t>14440304</t>
  </si>
  <si>
    <t>A framework for monitoring and evaluation of implementation of the parish model developed and operationalised</t>
  </si>
  <si>
    <t>No. of PMI coordination meetings/ engagements conducted</t>
  </si>
  <si>
    <t>Coordinate harmonization of  implementation of the parish model approach across government</t>
  </si>
  <si>
    <t>Number of parishes using online application for collecting data on implementation of the parish model in place</t>
  </si>
  <si>
    <r>
      <t xml:space="preserve">Develop and roll out </t>
    </r>
    <r>
      <rPr>
        <sz val="11"/>
        <color rgb="FFFF0000"/>
        <rFont val="Calibri"/>
        <family val="2"/>
        <scheme val="minor"/>
      </rPr>
      <t>the online application for collecting data on implementation of the parish model in place</t>
    </r>
  </si>
  <si>
    <t>No. of quarterly PMI monitoring and follow up field visits</t>
  </si>
  <si>
    <t xml:space="preserve">MoLG </t>
  </si>
  <si>
    <t>Conduct quarterly PMI monitoring and follow up field visits</t>
  </si>
  <si>
    <t>PM operationalization Plan in place and implemented</t>
  </si>
  <si>
    <t xml:space="preserve">Support MoLG develop and implement  PM operationalization Plan </t>
  </si>
  <si>
    <t xml:space="preserve">Number of Supportive supervision field visits </t>
  </si>
  <si>
    <t>Conduct quarterly supportive supervision visits to parishes in the 40 pilot districts</t>
  </si>
  <si>
    <t xml:space="preserve">Number of  check in meetings with sectors and stakeholders involved in parish model implementation conducted </t>
  </si>
  <si>
    <t>Conduct quarterly check in meetings sectors and stakeholders involved in parish model implementation</t>
  </si>
  <si>
    <t>Number of report from field visits to fast track the minimum parish implementation actions in place</t>
  </si>
  <si>
    <t>Conduct a quarterly field activity to fast track the minimum parish implementation actions</t>
  </si>
  <si>
    <t>144404</t>
  </si>
  <si>
    <t>Build LG fiscal decentralization and self-reliance capacity</t>
  </si>
  <si>
    <t>144404a</t>
  </si>
  <si>
    <t>Evaluate the fiscal decentralization policy</t>
  </si>
  <si>
    <t>144404a01</t>
  </si>
  <si>
    <t xml:space="preserve">Local Government  Revenue Enhancement Plans developed and implemented </t>
  </si>
  <si>
    <t>Percentage of LG Budgets financed by LR (Average)</t>
  </si>
  <si>
    <t>LGFC</t>
  </si>
  <si>
    <t>147 Local Government Finance Commission</t>
  </si>
  <si>
    <t xml:space="preserve">Implement the Local revenue enhancement management plans </t>
  </si>
  <si>
    <t>MoLG, MoPS</t>
  </si>
  <si>
    <t>No. LG Technical Planning Committees supported</t>
  </si>
  <si>
    <t>Review the Grants allocation formula and models in light of emerging socio-economic shocks</t>
  </si>
  <si>
    <t>MoPS, MoLG, MoFPED</t>
  </si>
  <si>
    <t>144404a02</t>
  </si>
  <si>
    <t>Grants allocation formula and models reviewed</t>
  </si>
  <si>
    <t>% of the recommendations of the review of LG financing study adopted and implemented by Government</t>
  </si>
  <si>
    <t>Conduct reviews on the Grants allocation formula and models in light of sector policies reviewed to in-build crosscutting issues like poverty, HIV/AIDS, gender and environment.</t>
  </si>
  <si>
    <t>144404a03</t>
  </si>
  <si>
    <t xml:space="preserve">Guidelines for transfers to lower LGs reviewed </t>
  </si>
  <si>
    <t>No. of Reviewed guidelines for transfers of funds to LLGs</t>
  </si>
  <si>
    <t xml:space="preserve">Review guidelines for grants transfers </t>
  </si>
  <si>
    <t>144404a04</t>
  </si>
  <si>
    <t>Fiscal reforms on LG funding evaluated and policy briefs prepared and presented to key stakeholders:</t>
  </si>
  <si>
    <t>No. of policy briefs on trends of grants transfers to LGs</t>
  </si>
  <si>
    <t>Collect, consolidate and validate data on grants transfers and produce statistical trends by sector</t>
  </si>
  <si>
    <t>No. of policy briefs on sharing of resources among LGs disseminated</t>
  </si>
  <si>
    <t>Plan, facilitate, conduct, and disseminate findings from a review on sharing of resources among LGs</t>
  </si>
  <si>
    <t>No. of policy briefs on LGs lagging behind from national average service delivery</t>
  </si>
  <si>
    <t>Collect and analyze data to identify local governments lagging behind using socio economic development indicators</t>
  </si>
  <si>
    <t>144404a07</t>
  </si>
  <si>
    <t xml:space="preserve">Utilization of locally raised revenue in LGs evaluated and report produced </t>
  </si>
  <si>
    <t>No. of technical activity reports produced</t>
  </si>
  <si>
    <t>Plan, facilitate, and conducted an action research on the utilisation of locally raised revenue in selected LGs</t>
  </si>
  <si>
    <t>144404a08</t>
  </si>
  <si>
    <t>A Consolidated LGs Annual Approved Budget Analysis Report on all the Vote Holder LGs produced</t>
  </si>
  <si>
    <t xml:space="preserve">Number of reports produced </t>
  </si>
  <si>
    <t xml:space="preserve">Data analysis to establish the share of resources </t>
  </si>
  <si>
    <t>144404a10</t>
  </si>
  <si>
    <t xml:space="preserve">Technical support provided in identified areas of weaknesses in compliance with legal requirements </t>
  </si>
  <si>
    <t xml:space="preserve">Number of LGs provided with technical support </t>
  </si>
  <si>
    <t>Provide Technical support in identified areas of weaknesses in compliance with legal requirements in 100 LGs.</t>
  </si>
  <si>
    <t>144404a12</t>
  </si>
  <si>
    <t>A macro budget financial analysis framework that will link both national and local government annual budgets developed</t>
  </si>
  <si>
    <t>An operational financial analysis system in place</t>
  </si>
  <si>
    <r>
      <rPr>
        <sz val="11"/>
        <color rgb="FFFF0000"/>
        <rFont val="Calibri"/>
        <family val="2"/>
        <scheme val="minor"/>
      </rPr>
      <t xml:space="preserve">Develop a </t>
    </r>
    <r>
      <rPr>
        <sz val="11"/>
        <color theme="1"/>
        <rFont val="Calibri"/>
        <family val="2"/>
        <scheme val="minor"/>
      </rPr>
      <t>macro budget financial analysis framework that will link both national and local government annual budgets</t>
    </r>
  </si>
  <si>
    <t>144404a14</t>
  </si>
  <si>
    <t>Reviews on the Implementation of FDA Conducted</t>
  </si>
  <si>
    <t>No. of  FDA recommendations reviewed for effective implementation</t>
  </si>
  <si>
    <t>Reviews on the Implementation of FDA recommendations</t>
  </si>
  <si>
    <t>Business Process Re-engineering and Information Management</t>
  </si>
  <si>
    <t>Increase accountability and transparency in the delivery of services</t>
  </si>
  <si>
    <t>144501</t>
  </si>
  <si>
    <t xml:space="preserve">Reengineer public service delivery business processes </t>
  </si>
  <si>
    <t>144501a</t>
  </si>
  <si>
    <t>Implement service delivery process reforms</t>
  </si>
  <si>
    <t>144501a01</t>
  </si>
  <si>
    <t>Regional Service in Uganda Centres established</t>
  </si>
  <si>
    <t>Number of Service Uganda Centres established</t>
  </si>
  <si>
    <t xml:space="preserve">Construct and equip Service Uganda Centres </t>
  </si>
  <si>
    <t> 7.5</t>
  </si>
  <si>
    <t>% of Service Uganda Centers established, equipped and operationalized.</t>
  </si>
  <si>
    <t>Construction of office buildings; equipping and deployment of desk officers; sensitisation of the stakeholders</t>
  </si>
  <si>
    <t>144501b</t>
  </si>
  <si>
    <t xml:space="preserve">Automate institutional management functions </t>
  </si>
  <si>
    <t>144501b01</t>
  </si>
  <si>
    <t>Institutional management functions automated through e-Services</t>
  </si>
  <si>
    <t>No of new e-services introduced</t>
  </si>
  <si>
    <t xml:space="preserve">MoICT&amp;NG; NITA-U; MoPS, UBC </t>
  </si>
  <si>
    <t xml:space="preserve">New e-services introduced </t>
  </si>
  <si>
    <t>No. of citizens accessing government services online</t>
  </si>
  <si>
    <t>MoICT&amp;NG; NITA-U; MoPS, UBC</t>
  </si>
  <si>
    <t xml:space="preserve">e-services integrated </t>
  </si>
  <si>
    <t>144501c</t>
  </si>
  <si>
    <t>Implement e-governance across public sector</t>
  </si>
  <si>
    <t>144501c01</t>
  </si>
  <si>
    <t>E-governance implemented (across public sector)</t>
  </si>
  <si>
    <t xml:space="preserve">Percentage of  MDA/LGs  with reliable e-government capacity </t>
  </si>
  <si>
    <t>MoICT</t>
  </si>
  <si>
    <t>Capacity building in e-government; Training, skilling and capacity building in the Public Service</t>
  </si>
  <si>
    <t xml:space="preserve">MoICT </t>
  </si>
  <si>
    <t>144502</t>
  </si>
  <si>
    <t xml:space="preserve">Design and implement electronic citizen (e-citizen) system </t>
  </si>
  <si>
    <t>144502a</t>
  </si>
  <si>
    <t>Develop a mechanism that links vital personal data systems</t>
  </si>
  <si>
    <t>144502a01</t>
  </si>
  <si>
    <t>Popularized, operationalized and enhanced e-Citizens portal</t>
  </si>
  <si>
    <t>Number of public services offered online and accessed through e-citizens portal</t>
  </si>
  <si>
    <t>NIRA, MoICT&amp;NG, NITA, OP, OPM, URA, MoH, MoES, Security Agencies, UBC</t>
  </si>
  <si>
    <t> Conduct stakeholder engagements and provide technical support to MDA/LGs.</t>
  </si>
  <si>
    <t>144502a02</t>
  </si>
  <si>
    <t>Integrated data sharing bus developed and implemented</t>
  </si>
  <si>
    <t>Percent of MDAs and LGs utilizing the integration bus</t>
  </si>
  <si>
    <t xml:space="preserve">Develop and operationalise the data sharing bus </t>
  </si>
  <si>
    <t>144503</t>
  </si>
  <si>
    <t>Improve access to timely, accurate and comprehensible public information</t>
  </si>
  <si>
    <t>144503a</t>
  </si>
  <si>
    <t>Develop a common public data/information sharing platform</t>
  </si>
  <si>
    <t>144503a01</t>
  </si>
  <si>
    <t>Data and information sharing platform developed (e.g. radios and TV, websites, web portals, dashboards and social media platforms )</t>
  </si>
  <si>
    <t>Access to information turnaround time (Time/Hours taken to get the required information)</t>
  </si>
  <si>
    <t xml:space="preserve">Develop and operationalise the data and information sharing plat form </t>
  </si>
  <si>
    <t>NITA-U, MoPS</t>
  </si>
  <si>
    <t>144503a03</t>
  </si>
  <si>
    <t>Government Citizen Interaction Centres and Platforms maintained and responsive to information requests</t>
  </si>
  <si>
    <t>% of public information requests made and Responded to in  timely manner</t>
  </si>
  <si>
    <t>Government Citizen Interaction Centres and Platforms maintained and responsive to information requests e.g. GCIC and AskYourGov</t>
  </si>
  <si>
    <t>144503a05</t>
  </si>
  <si>
    <t>Authentic key data sources integrated with URA data warehouse</t>
  </si>
  <si>
    <t>Number of authentic key data sources integrated with URA Data Warehouse</t>
  </si>
  <si>
    <t>Develop and publicise the Compendium of Datasets in the Uganda Public Service</t>
  </si>
  <si>
    <t>144503a06</t>
  </si>
  <si>
    <t>A comprehensive data management program developed and implemented</t>
  </si>
  <si>
    <t>Government Web Portal Maintained and updated</t>
  </si>
  <si>
    <t>Implement a Govt single-sign on for all common eService’s</t>
  </si>
  <si>
    <t>144503a09</t>
  </si>
  <si>
    <t>Integrated PKI for data and information sharing established</t>
  </si>
  <si>
    <t>Percent of Govt eServices with shared authentication</t>
  </si>
  <si>
    <t>NITA, NIRA</t>
  </si>
  <si>
    <t>144503c</t>
  </si>
  <si>
    <t>Review and enforce standards of communicators and information disseminators on government business</t>
  </si>
  <si>
    <t>144503c01</t>
  </si>
  <si>
    <t>Standards for information communication and dissemination reviewed</t>
  </si>
  <si>
    <t>Number of standards of communicators and information disseminators on government business reviewed</t>
  </si>
  <si>
    <t xml:space="preserve">MoICT&amp;NG, Uganda Media Centre, UBC, UCC, GCIC </t>
  </si>
  <si>
    <t>144503c03</t>
  </si>
  <si>
    <t>Content data on NDP III Planning, Implementation, and  performance monitoring and evaluation by various MDAs activities collected</t>
  </si>
  <si>
    <t xml:space="preserve"> Number of content data sets on NDP III developed( Semi-Annual and Annual)</t>
  </si>
  <si>
    <t>Collection of content data on NDP III Planning, Implementation, and  performance monitoring and evaluation by various MDAs activities</t>
  </si>
  <si>
    <t>144503c04</t>
  </si>
  <si>
    <t>MDAs NDP III digital content (documentaries, feature stories, talk shows, and promotion materials) developed and broadcast</t>
  </si>
  <si>
    <t>Number of MDAs NDP III digital content (documentaries, feature stories, talk shows, and promotion materials) developed and broadcast</t>
  </si>
  <si>
    <t xml:space="preserve">Development and broadcasting MDAs NDP III digital content (documentaries, feature stories, talk shows, and promotion materials) </t>
  </si>
  <si>
    <t>144503c05</t>
  </si>
  <si>
    <t>Materials translated in selected languages</t>
  </si>
  <si>
    <t>Sets of content for different audiences in English and other selected languages</t>
  </si>
  <si>
    <t xml:space="preserve">Select the languages and translate  the materials </t>
  </si>
  <si>
    <t>144503c07</t>
  </si>
  <si>
    <t>MER strategy and system for for UBC and MDAs content development, broadcasting, promotion, and preservation activities formulated and operationalized</t>
  </si>
  <si>
    <t xml:space="preserve">MER strategy and system for for UBC and MDAs content development, broadcasting, promotion, and preservation developed </t>
  </si>
  <si>
    <t xml:space="preserve"> Formulation of a monitoring, evaluation and reporting (MER) strategy and system for UBC and MDAs content development, broadcasting, promotion, and preservation activities</t>
  </si>
  <si>
    <t xml:space="preserve">Number of Periodic M&amp;E reports on implementation of MER Strategy produced </t>
  </si>
  <si>
    <t xml:space="preserve">undertake periodic monitoring and evaluation of implementation of the MER strategy </t>
  </si>
  <si>
    <t xml:space="preserve">List of titles of preserved and archived content produced </t>
  </si>
  <si>
    <t xml:space="preserve"> Preservation and archiving of UBC and MDAs digital content</t>
  </si>
  <si>
    <t>Sustainable Urbanisation and Housing</t>
  </si>
  <si>
    <t>10X</t>
  </si>
  <si>
    <t xml:space="preserve">Physical Planning and Urbanization </t>
  </si>
  <si>
    <t>1011</t>
  </si>
  <si>
    <t>Enhance economic opportunities in cities and urban areas</t>
  </si>
  <si>
    <t>101101</t>
  </si>
  <si>
    <t>Support establishment of labor-intensive manufacturing, services, and projects for employment creation including development of bankable business plans</t>
  </si>
  <si>
    <t>10110101</t>
  </si>
  <si>
    <r>
      <t>Jobs created</t>
    </r>
    <r>
      <rPr>
        <b/>
        <sz val="11"/>
        <color theme="1"/>
        <rFont val="Calibri"/>
        <family val="2"/>
        <scheme val="minor"/>
      </rPr>
      <t xml:space="preserve"> </t>
    </r>
  </si>
  <si>
    <t xml:space="preserve">Number of labor-intensive jobs created </t>
  </si>
  <si>
    <t>Construction of Free Zone</t>
  </si>
  <si>
    <t>UFZA, MoLHUD, MoGLSD</t>
  </si>
  <si>
    <t>Market &amp; attract Free Zones operators in labour intensive industries</t>
  </si>
  <si>
    <t>Train and sensitise free zone operators on standards to ensure consistency in the products exported.</t>
  </si>
  <si>
    <t>MoTIC, MoGLSD</t>
  </si>
  <si>
    <t>Establish Export Business Accelerator in Public Free Zones.</t>
  </si>
  <si>
    <t>Link SMEs to free zones agro processors  for sub-contracting &amp; access to export markets</t>
  </si>
  <si>
    <t>MoKCC&amp;MA, MoTIC</t>
  </si>
  <si>
    <t>Develop Bankable projects for investment in value added sectors</t>
  </si>
  <si>
    <t>Mapping local export clusters for production &amp; bulking of supply side for Free Zones</t>
  </si>
  <si>
    <t>Develop climate change and environment sustainability plan for free zones</t>
  </si>
  <si>
    <t>UFZA, MoTIC</t>
  </si>
  <si>
    <t>Supervision, Monitoring and facilitation of Free Zones</t>
  </si>
  <si>
    <t>Support informal enterprises / street vendors to form associations</t>
  </si>
  <si>
    <t>OWC, MoGLSD, MoTIC</t>
  </si>
  <si>
    <t>Establish business engagement centers/incubators at KCCA and all the GKMA LGs</t>
  </si>
  <si>
    <t xml:space="preserve">Undertake feasibility study, project design, preparation for the development of Artisan Parks in GKMA, namely Mpigi, Wakiso, KCCA &amp; Mukono district </t>
  </si>
  <si>
    <t>Create spaces for informal enterprises in existing markets</t>
  </si>
  <si>
    <t>MoGLSD, MoTIC</t>
  </si>
  <si>
    <t xml:space="preserve">Organize Monthly Market Days – In addition to the weekly gazzeted street markets.  </t>
  </si>
  <si>
    <t>Undertake baseline study  / profiling to establish  decent working conditions in available jobs</t>
  </si>
  <si>
    <t>Develop and disseminate Guidelines on gender, equity, rights, culture, youth employment  and Occupational Safety and Health (OSH) in formal and informal workplaces</t>
  </si>
  <si>
    <t>Conduct bi-annual awareness campaigns on gender, equity, rights, culture, youth employment  and Occupational Safety and Health (OSH) in formal and informal workplaces</t>
  </si>
  <si>
    <t>Undertake implementation of gender, equity, rights, culture, youth employment  and Occupational Safety and Health (OSH) related legislation in cities and urban areas</t>
  </si>
  <si>
    <t>Recruit qualified technical staff on gender, equity, rights, culture, youth employment  and Occupational Safety and Health (OSH)</t>
  </si>
  <si>
    <t>Carryout quarterly trainings and sensitizations about gender, equity, rights, culture, youth employment  and Occupational Safety and Health (OSH) in the cities and urban area workplaces</t>
  </si>
  <si>
    <t xml:space="preserve">Conduct stakeholder analysis in the business development centres to assess aspects of gender, equity, rights, culture, youth employment  and Occupational Safety and Health (OSH)  </t>
  </si>
  <si>
    <t>Undertake SWOT analysis of the MoGLSD with all its departments, programs and projects in regard to gender, equity, rights,  labour productivity, industrial relations, employment, culture, family affairs  and Occupational Safety and Health (OSH)</t>
  </si>
  <si>
    <t>Map up OSH champions in the business development centres across the country and utilize them to help others  improve their OSH systems</t>
  </si>
  <si>
    <t>Carryout trainings on gender, equity, rights,  labour productivity, industrial relations, employment, culture, family affairs  and Occupational Safety and Health (OSH)</t>
  </si>
  <si>
    <t>Undertake baseline study   to establish  the gender, equity, rights, culture, youth employment in urban areas</t>
  </si>
  <si>
    <t>Develop and disseminate Guidelines on mainstreaming gender, equity, rights, culture, youth employment  and Occupational Safety and Health (OSH) in the cities and urban areas</t>
  </si>
  <si>
    <t>101102</t>
  </si>
  <si>
    <t>Upgrade accredited institutions to offer certified skilling, entrepreneurship and incubation development in sustainable urbanization and housing related fields</t>
  </si>
  <si>
    <t>10110201</t>
  </si>
  <si>
    <t>Skilling and entrepreneurship development centres upgraded in urban areas</t>
  </si>
  <si>
    <t xml:space="preserve">Number of Skilling and entrepreneurship development centres upgraded </t>
  </si>
  <si>
    <t>MoE&amp;S</t>
  </si>
  <si>
    <t>Upgrade skilling and entrepreneurship centers in 16 cities with curriculum and infrastructure also catering for  aspects of gender, equity, youth and women employment, Occupational Safety and Health (OSH) responsiveness</t>
  </si>
  <si>
    <t>Create STEi Incubation Centres</t>
  </si>
  <si>
    <t>MoKCC&amp;MA, UIA, MoGLSD</t>
  </si>
  <si>
    <t>Facilitate apprentice accessing Jobs and Profiled and ready for job market</t>
  </si>
  <si>
    <t xml:space="preserve">Skill and certify entrepreneurs in 15 cities, with curriculum </t>
  </si>
  <si>
    <t>MoKCC&amp;MA, MoGLSD, MoTIC</t>
  </si>
  <si>
    <t>undertake gender, equity, rights, culture, youth employment  and OSH related legislation (Acts, regulations and policies) through targeted inspections and annual Audits in various skilling and entrepreneurship centers in 16 cities</t>
  </si>
  <si>
    <t>MoKCC&amp;MA, MoGLSD</t>
  </si>
  <si>
    <t>Number of people skilled and certified in urban and housing related fields</t>
  </si>
  <si>
    <t>Promote the establishment of training institutions for OSH at tertiary education levels</t>
  </si>
  <si>
    <t>Integrate OSH education in the curricula of primary, secondary and tertiary institutions of learning</t>
  </si>
  <si>
    <t>101103</t>
  </si>
  <si>
    <t>Reform and improve business processes in cities and urban areas to facilitate private sector development</t>
  </si>
  <si>
    <t>10110301</t>
  </si>
  <si>
    <t>Integrated revenue management &amp; administration system deployed</t>
  </si>
  <si>
    <t>Number of cities and Municipalities using the system</t>
  </si>
  <si>
    <t>Roll out the integrated revenue management and administration system</t>
  </si>
  <si>
    <t>NITA-U, MoKCC&amp;MA</t>
  </si>
  <si>
    <t>Develop and implement the E-governance frameworks</t>
  </si>
  <si>
    <t>Empower LGs on the use of integrated revenue management &amp; administration system, expand TREP activities to cover every municipality and retool with computers, printers and other facilities</t>
  </si>
  <si>
    <t>10110302</t>
  </si>
  <si>
    <t>PPP implementation strategy</t>
  </si>
  <si>
    <t>Number of Urban Authorities with PPP action plans</t>
  </si>
  <si>
    <t>Develop PPP implementation strategy for urban authorities</t>
  </si>
  <si>
    <t>OWC, MoKCC&amp;MA, MoGLSD, MoFPED</t>
  </si>
  <si>
    <t>Develop &amp; Implemenet individual city investment profiles &amp; bankable projects</t>
  </si>
  <si>
    <t>OWC, MoLHUD, MoTIC</t>
  </si>
  <si>
    <t>101104</t>
  </si>
  <si>
    <t>Develop and implement an integrated rapid mass transport system (Light Railway Transport and Mass Bus Transport) to reduce traffic congestion and improve connectivity in urban areas</t>
  </si>
  <si>
    <t>10110401</t>
  </si>
  <si>
    <t>Mass rapid transport system in place</t>
  </si>
  <si>
    <t>Number of cities with mass rapid transport master plan</t>
  </si>
  <si>
    <t>Prepare city mass rapid transport master plans</t>
  </si>
  <si>
    <t>MoKCC&amp;MA, MoLHUD, MoLG</t>
  </si>
  <si>
    <t>Construct and improve urban infrastructure i.e. Urban Roads and related infrastructure</t>
  </si>
  <si>
    <t>MoWT, UNRA, MKCC&amp;MA, MoLG</t>
  </si>
  <si>
    <t>Functional Light Railway Transport</t>
  </si>
  <si>
    <t>Implement light railway transport</t>
  </si>
  <si>
    <t>Functional Mass Bus Transport</t>
  </si>
  <si>
    <t>Construction of bus terminals</t>
  </si>
  <si>
    <t>Feasibility study and design for phase 1 - Bus Rapid Transit (BRT) key Corridors- City centre Circuit; Bwaise, Kireka-Mukono, Kalerwe &amp; Entebbe Road</t>
  </si>
  <si>
    <t>Develop BRT system: Pilot the Bus Rapid Transit (BRT) key Corridors- City centre Circuit; Bwaise, Kireka-Mukono, Kalerwe &amp; Entebbe Road</t>
  </si>
  <si>
    <t>Develop and disseminate Guidelines on mainstreaming gender, equity, rights, culture, youth employment  and Occupational Safety and Health (OSH) into the master plans of  all public transport systems as workplaces,  including small and medium scale transporters and the informal sector in the 16 cities and urban areas</t>
  </si>
  <si>
    <t>101105</t>
  </si>
  <si>
    <t>Improve urban safe water and waste management services and associated infrastructure for value addition and revenue generation</t>
  </si>
  <si>
    <t>10110501</t>
  </si>
  <si>
    <t>Access to safe water</t>
  </si>
  <si>
    <t>Percentage coverage of access to safe water</t>
  </si>
  <si>
    <t>Provide adequate water for commercial and industrial use in all cities</t>
  </si>
  <si>
    <t>10110502</t>
  </si>
  <si>
    <t xml:space="preserve">Access to solid waste management services </t>
  </si>
  <si>
    <t xml:space="preserve">Percentage coverage of solid waste management  </t>
  </si>
  <si>
    <t>Develop the public sewerage systems in the 16 cities and other Urban areas</t>
  </si>
  <si>
    <t>Develop public sewage system</t>
  </si>
  <si>
    <t>Implement the ‘4R’ - Reuse, reduce, recycle, recover in both residential and commercial settings</t>
  </si>
  <si>
    <t xml:space="preserve">Develop solid waste and waste-water treatment plants  </t>
  </si>
  <si>
    <t>Feasibility study of   GKMA-wide solid waste management facility</t>
  </si>
  <si>
    <t>MoWE</t>
  </si>
  <si>
    <t>Implement the new, modern solid waste processing and transfer facilities in at least 2 strategic locations throughout GKMA</t>
  </si>
  <si>
    <t>MoKCC&amp;MA, LGs in GKMA, MoLG, MoWE</t>
  </si>
  <si>
    <t xml:space="preserve">Undertake community sensitization campaigns to raise awareness of importance of maintaining a waste-free metropolitan area </t>
  </si>
  <si>
    <t>MoLG, MoWE</t>
  </si>
  <si>
    <t>Engage Recycling Companies and/or other partners to work with GKMA Local governments to deliver waste collection and processing services</t>
  </si>
  <si>
    <t>101106</t>
  </si>
  <si>
    <t>Improve the provision of quality social services to address the peculiar issues of urban settlements</t>
  </si>
  <si>
    <t>10110601</t>
  </si>
  <si>
    <t>Physical Devt plans for all Urban Areas in place</t>
  </si>
  <si>
    <t>Number of Urban Councils with PDPs guiding social services provision</t>
  </si>
  <si>
    <t>Prepare PDPs for urban councils to guide social services provision</t>
  </si>
  <si>
    <t>MoLG, NPPB</t>
  </si>
  <si>
    <t>Prepare Action area plans that address peculiar aspects and being sensitive to needs of all</t>
  </si>
  <si>
    <t>1012</t>
  </si>
  <si>
    <t>Promote urban housing market and provide decent housing for all</t>
  </si>
  <si>
    <t>102201</t>
  </si>
  <si>
    <t>Develop and implement an investment plan for adequate and affordable housing</t>
  </si>
  <si>
    <t>10220101</t>
  </si>
  <si>
    <t>Affordable &amp; adequate housing investment plan developed</t>
  </si>
  <si>
    <t>Number of affordable &amp; adequate housing projects implemented</t>
  </si>
  <si>
    <t xml:space="preserve">Undertake housing market research </t>
  </si>
  <si>
    <t>MoKCC&amp;MA, MoLG</t>
  </si>
  <si>
    <t>Affordable &amp; adequate housing units in place</t>
  </si>
  <si>
    <t>No. of new affordable &amp; adequate housing units built (‘000)</t>
  </si>
  <si>
    <t>Conduct stakeholder engagements,  harmonization of project objectives and markets assessment for appropriate factor inputs for affordable and adequate housing in 16 cities</t>
  </si>
  <si>
    <t>MoKCC&amp;MA, NHCC, ULG</t>
  </si>
  <si>
    <t>Unit cost of housing (Ugx million)</t>
  </si>
  <si>
    <t>Undertake feasibility studies</t>
  </si>
  <si>
    <t xml:space="preserve">MoKCC&amp;MA, MoLG, NPA, MoFPED </t>
  </si>
  <si>
    <t>Prepare Housing Investment plans</t>
  </si>
  <si>
    <t>Design, prepare and  develop affordable Housing projects</t>
  </si>
  <si>
    <t>MoKCC&amp;MA, NHCC, MoLG</t>
  </si>
  <si>
    <t>Develop, procure and operationalize a housing database</t>
  </si>
  <si>
    <t>MoKCC&amp;MA, MoLG, NHCC</t>
  </si>
  <si>
    <t xml:space="preserve">Build affordable, safe &amp; adequate housing units </t>
  </si>
  <si>
    <t>Conduct Feasibility study for developing a High Density Affordable Housing facility in GKMA slums, starting with Kisenyi</t>
  </si>
  <si>
    <t>MoKCC&amp;MA, MoLHUD, MoLG, MoFPED</t>
  </si>
  <si>
    <t>102202</t>
  </si>
  <si>
    <t>Develop, promote and enforce building codes/ standards</t>
  </si>
  <si>
    <t>10220201</t>
  </si>
  <si>
    <t xml:space="preserve">Building codes and standards in place </t>
  </si>
  <si>
    <t>Percentage compliance to building code/standards</t>
  </si>
  <si>
    <t>Review and revise national building codes and standards</t>
  </si>
  <si>
    <t>NBRB, MoLHUD, MoLG, MoKCC&amp;MA</t>
  </si>
  <si>
    <t>Automate/ Digitise the building control processes</t>
  </si>
  <si>
    <t>NBRB, MoWT, MoLHUD, MoKCC&amp;MA</t>
  </si>
  <si>
    <t xml:space="preserve">Disseminate, enforce and implement building codes and standards; </t>
  </si>
  <si>
    <t>NBRB, MoKCC&amp;MA, MoLG</t>
  </si>
  <si>
    <t>Train stakeholders in implementation of real estate and building laws and standards;</t>
  </si>
  <si>
    <t>Formulate a comprehensive Housing Law</t>
  </si>
  <si>
    <t>Develop &amp; operationalize real Estates Bill</t>
  </si>
  <si>
    <t>Map up potential real estate developers in the Country</t>
  </si>
  <si>
    <t>MoLG, MoFPED</t>
  </si>
  <si>
    <t>Amend and enforce compliance to the Architects Registration Act.</t>
  </si>
  <si>
    <t>NBRB, NPPB, Association of Uganda Architects</t>
  </si>
  <si>
    <t>Review and update the Building Control Regulatory Framework</t>
  </si>
  <si>
    <t>NBRB, MoLG</t>
  </si>
  <si>
    <t>Formulate the National Building Maintenance policy.</t>
  </si>
  <si>
    <t>NBRB, NPPB</t>
  </si>
  <si>
    <t>Consolidate the asset inventory of Govt buildings in various MDAs</t>
  </si>
  <si>
    <t>UBOS, MoLHUD, MoLG</t>
  </si>
  <si>
    <t>Training MDAs and LGs to enforce  compliance with Construction Laws and  Regulations</t>
  </si>
  <si>
    <t>NBRB, MoLHUD, MoLG</t>
  </si>
  <si>
    <t>Monitor and Enforce the Compliance of Building projects to Laws, Regulations and standards.</t>
  </si>
  <si>
    <t>NBRB, KCCA, MoLHUD</t>
  </si>
  <si>
    <t xml:space="preserve">Build LG Capacity to Monitor and Enforce the Compliance of Building Laws, Regulations and standards </t>
  </si>
  <si>
    <t>Assess and test Building Infrastructure projects to ascertain resistance to Earthquakes, seismic forces, fires and other natural disasters.</t>
  </si>
  <si>
    <t>NBRB, MoLHUD</t>
  </si>
  <si>
    <t xml:space="preserve">Construct and equip MoWT and NBRB Offices. </t>
  </si>
  <si>
    <t xml:space="preserve">Undertake construction and rehabilitation of Public Buildings </t>
  </si>
  <si>
    <t>Review, Develop, and harmonize OSH, gender, equity related legislation (Policy, Acts, regulations, standards, codes of practice and guidelines)</t>
  </si>
  <si>
    <t>Ratification of ILO conventions on OSH, gender, equity, etc.</t>
  </si>
  <si>
    <t>Develop National standards on OSH, gender, equity</t>
  </si>
  <si>
    <t>Strengthen inspection and audit and enforcement of laws</t>
  </si>
  <si>
    <t>MoLHUD, MoLG, NPPB</t>
  </si>
  <si>
    <t>102203</t>
  </si>
  <si>
    <t>Develop an inclusive housing finance mechanism including capitalization of Housing Finance Bank to provide affordable mortgages and revisiting the mandate of NHCC to support housing development for all</t>
  </si>
  <si>
    <t>10220301</t>
  </si>
  <si>
    <t xml:space="preserve">Inclusive housing finance mechanism developed </t>
  </si>
  <si>
    <t>Housing finance capitalized (USD Millions)</t>
  </si>
  <si>
    <t>Review and revise the mandate of Housing Finance Bank in providing affordable mortgages</t>
  </si>
  <si>
    <t>10220302</t>
  </si>
  <si>
    <t>NHCC mandate revised to deliver affordable housing for all</t>
  </si>
  <si>
    <t>Number of affordable housing delivered by NHCC</t>
  </si>
  <si>
    <t xml:space="preserve">Capitalizing Housing Finance Bank </t>
  </si>
  <si>
    <t>Establish Housing Cooperatives and SACCOs as financing mechanisms</t>
  </si>
  <si>
    <t>Establish and operationalize Housing Revolving Fund for public servants</t>
  </si>
  <si>
    <t>Establish a mortgage liquidity facility</t>
  </si>
  <si>
    <t>Establish a Mortgage Information/Registration System.</t>
  </si>
  <si>
    <t xml:space="preserve">Review and revise the National Housing &amp; Construction Corporation  Act </t>
  </si>
  <si>
    <t>MoKCC&amp;MA, NHCC, MoLG, NPA</t>
  </si>
  <si>
    <t>Review and revise the mandate of NHCC in provision of affordable housing</t>
  </si>
  <si>
    <t>MoKCC&amp;MA, NHCC, MoFPED, MoLG</t>
  </si>
  <si>
    <t>Adequately Capitalize National Housing &amp; Construction Co</t>
  </si>
  <si>
    <t>102204</t>
  </si>
  <si>
    <t>Incentivize real estate companies to undertake affordable housing projects to address the housing deficit</t>
  </si>
  <si>
    <t>10220401</t>
  </si>
  <si>
    <r>
      <t>Real Estate Companies incentivize</t>
    </r>
    <r>
      <rPr>
        <b/>
        <sz val="11"/>
        <color theme="1"/>
        <rFont val="Calibri"/>
        <family val="2"/>
        <scheme val="minor"/>
      </rPr>
      <t xml:space="preserve"> </t>
    </r>
  </si>
  <si>
    <t>Number of housing development sites serviced by government with tenet infrastructure</t>
  </si>
  <si>
    <t>Establish a rollout plan under the PPP framework for real estate dev’t</t>
  </si>
  <si>
    <t>Number of affordable housing delivered by Real Estate developers</t>
  </si>
  <si>
    <t>Develop affordable Housing Estates under PPP</t>
  </si>
  <si>
    <t>MoKCC&amp;MA, MoFPED, MoLG</t>
  </si>
  <si>
    <t>Sign MoU with selected partners in housing development</t>
  </si>
  <si>
    <t>MoKCC&amp;MA, MoFPED</t>
  </si>
  <si>
    <t>Identify and operationalize  incentives to housing from both the supply and demand side e.g. guarantees, land, tax wavers, etc.</t>
  </si>
  <si>
    <t>Acquire land for dev’t of low cost residential houses for industrial workers</t>
  </si>
  <si>
    <t>MoKCC&amp;MA, MoLG, ULC</t>
  </si>
  <si>
    <t>Provide incentives, land to real estate developers in industrial parks to develop low cost residential housing for industrial workers and Link real estate companies to potential investors</t>
  </si>
  <si>
    <t>102205</t>
  </si>
  <si>
    <t>Address infrastructure in slums and undertake slum upgrading including operationalization of the Condominium Law in slums and cities.</t>
  </si>
  <si>
    <t>10220501</t>
  </si>
  <si>
    <t>Improved infrastructure and housing in slums</t>
  </si>
  <si>
    <t>Proportion of   slums upgraded</t>
  </si>
  <si>
    <t>Design and develop integrated slum and informal settlement plans</t>
  </si>
  <si>
    <t>Condominium Law implemented</t>
  </si>
  <si>
    <t>Proportion of upgraded slums complying to the Condominium Law, %</t>
  </si>
  <si>
    <t>Identify and profile slums and informal settlement in all urban areas</t>
  </si>
  <si>
    <t>Undertake community mobilization to implement slum redevelopment</t>
  </si>
  <si>
    <t>Support community structures to implement slum redevelopment</t>
  </si>
  <si>
    <t>o</t>
  </si>
  <si>
    <t>Promote condominium property development especially in the newly created 16 Cities, KCCA and 31 Municipalities</t>
  </si>
  <si>
    <t>Construct High Density Affordable, safe, equitable and inclusive Housing Units in 5 slums (e.g. Kisenyi, Namugona, Kasokoso, etc)</t>
  </si>
  <si>
    <t>Promote adoption of modern energy services in slums and cities such as access to electricity, clean cooking, energy efficient and renewable energy technologies</t>
  </si>
  <si>
    <t>MoLHUD, MoLG, MoGLSD</t>
  </si>
  <si>
    <t>102206</t>
  </si>
  <si>
    <t>Design and build inclusive housing units for government workers</t>
  </si>
  <si>
    <t>10220601</t>
  </si>
  <si>
    <t>Housing for formally employed workers</t>
  </si>
  <si>
    <t>Number of housing units developed for formally employed workers</t>
  </si>
  <si>
    <t xml:space="preserve">Carryout a housing needs assessment for public servants </t>
  </si>
  <si>
    <t>MoLG, NHCC</t>
  </si>
  <si>
    <t>Design and build core Institutional housing units beginning with hard to reach areas</t>
  </si>
  <si>
    <t>102207</t>
  </si>
  <si>
    <t>Promote the production and use of sustainable housing materials and technologies</t>
  </si>
  <si>
    <t>10220701</t>
  </si>
  <si>
    <t>Sustainable low-cost housing materials produced</t>
  </si>
  <si>
    <t>Type of housing material</t>
  </si>
  <si>
    <t>Establish a housing research and demonstration Park</t>
  </si>
  <si>
    <t>Technology for delivering housing</t>
  </si>
  <si>
    <t>Undertake research into local and international housing building materials and appropriate technologies for delivering low cost houses</t>
  </si>
  <si>
    <t>Cost of housing materials</t>
  </si>
  <si>
    <t>211[1]</t>
  </si>
  <si>
    <t xml:space="preserve">Develop and adopt appropriate technologies for delivering low cost houses  </t>
  </si>
  <si>
    <t>Construct, Rehabilitate or upgrade Government Material Laboratories</t>
  </si>
  <si>
    <t>NBRB</t>
  </si>
  <si>
    <t>Establish a housing development database for management of building costs</t>
  </si>
  <si>
    <t>Determination of unit cost in building Construction</t>
  </si>
  <si>
    <t>1013</t>
  </si>
  <si>
    <t>Promote green and inclusive cities and urban areas</t>
  </si>
  <si>
    <t>101301</t>
  </si>
  <si>
    <t>Conserve and restore urban natural resource assets and increase urban carbon sinks</t>
  </si>
  <si>
    <t>10130101</t>
  </si>
  <si>
    <t xml:space="preserve">Urban wetlands and forests restored and preserved </t>
  </si>
  <si>
    <t>Proportion of wetlands restored, %</t>
  </si>
  <si>
    <t>Map and gazette all urban natural resources assets in 16 cities</t>
  </si>
  <si>
    <t>MoKCC&amp;MA, MoWE, MoLG</t>
  </si>
  <si>
    <t>Proportion of urban forest restored, %</t>
  </si>
  <si>
    <t>Prepare and implement restoration plans for 16 cities</t>
  </si>
  <si>
    <t>MoKCC&amp;MA, MoWE</t>
  </si>
  <si>
    <t xml:space="preserve">Amount of GHG emissions </t>
  </si>
  <si>
    <t>Create public awareness on importance of preserving carbon sinks</t>
  </si>
  <si>
    <t>Scale up the PHE model in cities and urban areas</t>
  </si>
  <si>
    <t>101302</t>
  </si>
  <si>
    <t>Undertake waste to wealth initiatives which promote a circular economy</t>
  </si>
  <si>
    <t>10130201</t>
  </si>
  <si>
    <t>Waste recycling technologies promoted</t>
  </si>
  <si>
    <t>Number of urban areas recycling waste</t>
  </si>
  <si>
    <t>Conduct mapping of waste collectors in GKMA, cities and Municipalities</t>
  </si>
  <si>
    <t>Build capacity of urban councils in waste management</t>
  </si>
  <si>
    <t>MoKCC&amp;MA, MoLG, MoWE</t>
  </si>
  <si>
    <t>Conduct research on appropriate technology to manage solid waste in urban centres</t>
  </si>
  <si>
    <t>Conduct behavior change and enforcement campaigns</t>
  </si>
  <si>
    <t>MoKCC&amp;MA, MoLG, MoGLSD</t>
  </si>
  <si>
    <t>Establish waste recycling enterprises and decentralized waste management centres</t>
  </si>
  <si>
    <t>Promote investments in PPPs in waste recovery and landfill management</t>
  </si>
  <si>
    <t>Promote waste to energy  conversion</t>
  </si>
  <si>
    <t>Promote Energy Efficiency, Conservation and provision of EE and RE technologies</t>
  </si>
  <si>
    <t>Review of the green building related aspects of the NBC and develop guidelines for enforcement</t>
  </si>
  <si>
    <t>101303</t>
  </si>
  <si>
    <t>Develop green buildings, risk sensitive building codes and systems to promote energy efficient housing</t>
  </si>
  <si>
    <t>10130301</t>
  </si>
  <si>
    <t>Adequate, affordable and appropriate buildings constructed</t>
  </si>
  <si>
    <t>Reduce the amount of energy produced by houses, %</t>
  </si>
  <si>
    <t xml:space="preserve">66.2%[2] </t>
  </si>
  <si>
    <t>Implement energy efficient building codes</t>
  </si>
  <si>
    <t>Percentage of houses complying with green technology</t>
  </si>
  <si>
    <t xml:space="preserve">Establish  Nationwide House Energy Star Rating (NatHER) council </t>
  </si>
  <si>
    <t>NBRB, MoWE</t>
  </si>
  <si>
    <t>Percentage of houses with codes</t>
  </si>
  <si>
    <t>Create public awareness in green building in cities and MCs</t>
  </si>
  <si>
    <t>NBRB, MoKCC&amp;MA, MoWE</t>
  </si>
  <si>
    <t>Capacity enhancement in green building concept</t>
  </si>
  <si>
    <t>Conduct research on the relationship between green buildings and occupational accidents, injuries and diseases</t>
  </si>
  <si>
    <t>101304</t>
  </si>
  <si>
    <t>Promote mass transport and non-motorized transit in city</t>
  </si>
  <si>
    <t>10130401</t>
  </si>
  <si>
    <t>Urban Physical Devt plans produced</t>
  </si>
  <si>
    <t>Number of Urban areas with updated physical plans</t>
  </si>
  <si>
    <t>Develop and implement non-motorized transport (NMT) plans for 16 cities  &amp; 31 MCs</t>
  </si>
  <si>
    <t>MoWT, MoLHUD, MoLG</t>
  </si>
  <si>
    <t>10130402</t>
  </si>
  <si>
    <t>NMT Strategy in place</t>
  </si>
  <si>
    <t>Number of Urban Authorities adopting NMT Strategy action plan</t>
  </si>
  <si>
    <t>Integrate NMT facilities in 16 cities &amp; 31 MCs</t>
  </si>
  <si>
    <t>Promote use of NMT designated routes in 16 cities and 31 MCs</t>
  </si>
  <si>
    <t>101305</t>
  </si>
  <si>
    <t>Increase urban resilience by mitigating against risks of accidents, fires and flood flooding specifically focusing on</t>
  </si>
  <si>
    <t>10130501</t>
  </si>
  <si>
    <t>Increased urban resilience by mitigating against risks of accidents, fires and flood flooding</t>
  </si>
  <si>
    <t xml:space="preserve">Develop policy tools to build urban resilience </t>
  </si>
  <si>
    <t xml:space="preserve">Undertake urban risk assessment </t>
  </si>
  <si>
    <t>Design climate proof urban infrastructure plans for the 16 cities</t>
  </si>
  <si>
    <t>101305a</t>
  </si>
  <si>
    <t>Strengthen effective early warning systems</t>
  </si>
  <si>
    <t>101305a01</t>
  </si>
  <si>
    <t>Effective early warning system structures set</t>
  </si>
  <si>
    <t>Number of early warning systems set in Urban Areas</t>
  </si>
  <si>
    <t>Develop early warning and detection (Flooding, earthquake and Landslides) systems in 7 regions as per NPDP</t>
  </si>
  <si>
    <t>Generate and disseminate early warning information at all levels through UNIEWS</t>
  </si>
  <si>
    <t>Develop disaster contingency Plans for national and LGs</t>
  </si>
  <si>
    <t>Carry out community sensitization on disaster risk avoidance, mitigation and rapid response</t>
  </si>
  <si>
    <t>Implement drainage master plans for 16 cities and 31 municipalities</t>
  </si>
  <si>
    <t>101305b</t>
  </si>
  <si>
    <t>Improve emergency responses</t>
  </si>
  <si>
    <t>101305b01</t>
  </si>
  <si>
    <t>Timely responses to emergencies promoted</t>
  </si>
  <si>
    <t>Hours taken to respond to an emergency</t>
  </si>
  <si>
    <t xml:space="preserve">Establish and implement paramedical units to timely respond to emergencies  </t>
  </si>
  <si>
    <t>Develop SOPs and Emergency evacuation guidelines for the public</t>
  </si>
  <si>
    <t>Procure rapid response capability at national and sub-national levels</t>
  </si>
  <si>
    <t>Train first responders in Incident Command Systems at all levels</t>
  </si>
  <si>
    <t>Resettle persons at high risk of disasters like landslides to safe areas</t>
  </si>
  <si>
    <t>101306</t>
  </si>
  <si>
    <t>Develop and protect green belts</t>
  </si>
  <si>
    <t>10130601</t>
  </si>
  <si>
    <t>Green belts protected</t>
  </si>
  <si>
    <t>Hectare of green belts protected</t>
  </si>
  <si>
    <t>Plant and protect green belts</t>
  </si>
  <si>
    <t>10130602</t>
  </si>
  <si>
    <t>Road islands developed and protected</t>
  </si>
  <si>
    <t>Proportion of urban roads with green road islands developed</t>
  </si>
  <si>
    <t xml:space="preserve">Plant and beautify road islands and reserves. </t>
  </si>
  <si>
    <t>101307</t>
  </si>
  <si>
    <t>Establish and develop public open spaces</t>
  </si>
  <si>
    <t>10130701</t>
  </si>
  <si>
    <t>Open spaces developed and protected</t>
  </si>
  <si>
    <t xml:space="preserve">Proportion of open spaces protected </t>
  </si>
  <si>
    <t>Develop and protect public open spaces in 16 cities and 31 MCs</t>
  </si>
  <si>
    <t>Housing Development</t>
  </si>
  <si>
    <t>1024</t>
  </si>
  <si>
    <t>Enable balanced and productive national urban system</t>
  </si>
  <si>
    <t>102401</t>
  </si>
  <si>
    <t>Develop and implement integrated physical and economic development plans in the new cities and other urban areas</t>
  </si>
  <si>
    <t>10240101</t>
  </si>
  <si>
    <t>Integrated physical and economic development plans for cities</t>
  </si>
  <si>
    <t>Proportion of cities with integrated physical and economic development plans</t>
  </si>
  <si>
    <t xml:space="preserve">Prepare integrated physical and economic development plans (16) cities and implement basic infrastructure. </t>
  </si>
  <si>
    <t>Prepare and implement detailed plans for all cities and Municipal Councils</t>
  </si>
  <si>
    <t>10240102</t>
  </si>
  <si>
    <t xml:space="preserve">Integrated physical and economic development plans for regions </t>
  </si>
  <si>
    <t>Proportion of regions with integrated physical and economic development plans</t>
  </si>
  <si>
    <t>Sensitize stakeholders on physical development planning during planning and implementation for orderly dev’t</t>
  </si>
  <si>
    <t>Integrated physical and economic development plans for cities developed</t>
  </si>
  <si>
    <t xml:space="preserve">Prepare detailed large scale topographic maps for 16 cities to address prior challenges caused by inaccurate road alignments, buildings, utility line, etc responding to orderly and cost effective urban development.  </t>
  </si>
  <si>
    <t>10240103</t>
  </si>
  <si>
    <t>Integrated physical and economic development plans for LGs</t>
  </si>
  <si>
    <t xml:space="preserve">Proportion of LGs with Integrated physical and economic development plans </t>
  </si>
  <si>
    <t>Develop an urban growth and development strategy taking into account Population &amp; Development priorities</t>
  </si>
  <si>
    <t>10240104</t>
  </si>
  <si>
    <t xml:space="preserve">Integrated physical and economic development plans for municipalities </t>
  </si>
  <si>
    <t>Proportion of municipalities with Integrated physical and economic development plans</t>
  </si>
  <si>
    <t>Undertake investigative studies to inform planning for cities and other urban areas</t>
  </si>
  <si>
    <t>Build capacity of leaders in cities and urban areas on Population &amp; Development issues including harnessing the Demographic Dividend</t>
  </si>
  <si>
    <t>Implement PDPs in 16 cities, 20 municipalities  and 422 town councils</t>
  </si>
  <si>
    <t>Undertake training in integrated physical and economic development plans in GKMA and other urban areas</t>
  </si>
  <si>
    <t>Development of comprehensive guidelines for integrated development planning</t>
  </si>
  <si>
    <t>Develop and implement bankable projects in line with GKMA Strategy</t>
  </si>
  <si>
    <t>102402</t>
  </si>
  <si>
    <t>Implement the Greater Kampala Metropolitan Area Economic Development Strategy</t>
  </si>
  <si>
    <t>10240201</t>
  </si>
  <si>
    <t>Integrated development Plan for GKMA</t>
  </si>
  <si>
    <t xml:space="preserve">Proportion of development projects complying to GKMA arrangement </t>
  </si>
  <si>
    <t>Develop World Class Economic Infrastructure as per GKMA strategy</t>
  </si>
  <si>
    <t>MoKCC&amp;MA, MoWT</t>
  </si>
  <si>
    <t>10240202</t>
  </si>
  <si>
    <t xml:space="preserve">Nucleated settlement models prepared and implemented </t>
  </si>
  <si>
    <t>Number of nucleated settlements planned and implemented</t>
  </si>
  <si>
    <t>Implement  projects for Conservation and protection of environment Assets</t>
  </si>
  <si>
    <t>MoKCC&amp;MA, MoWE, MoLHUD</t>
  </si>
  <si>
    <t>Provide business Support to the informal sector, the youth and economic clusters projects</t>
  </si>
  <si>
    <t>MoKCC&amp;MA, MoGLSD, MoLHUD</t>
  </si>
  <si>
    <t>Create a Unique Centre for Tourism Projects</t>
  </si>
  <si>
    <t>Plan and develop nucleated settlements</t>
  </si>
  <si>
    <t>Institutional Coordination</t>
  </si>
  <si>
    <t>Strengthen urban policies, governance, planning and finance</t>
  </si>
  <si>
    <t>103501</t>
  </si>
  <si>
    <t>Review, develop and enforce urban development policies, laws, regulations, standards and guidelines</t>
  </si>
  <si>
    <t>10350101</t>
  </si>
  <si>
    <t>Urban development law, regulations and guidelines formulated</t>
  </si>
  <si>
    <t>Proportion of districts complying to physical planning regulatory framework</t>
  </si>
  <si>
    <t xml:space="preserve">Implement the physical planning regulatory framework </t>
  </si>
  <si>
    <t>Proportion of cities complying to physical planning regulatory framework</t>
  </si>
  <si>
    <t>Formulate Urban Development Laws, regulations and guidelines</t>
  </si>
  <si>
    <t>Proportion of municipalities complying to physical planning regulatory framework</t>
  </si>
  <si>
    <t>Formulate Urban Development Regulations including an internal migration regulation initiative to enhance organized urbanization</t>
  </si>
  <si>
    <t xml:space="preserve">Promote the establishment of City/ Municipal wide Development strategies that enhance rural-urban linkages. </t>
  </si>
  <si>
    <t>Formulate Urban Development Guidelines</t>
  </si>
  <si>
    <t>Implement physical planning regulatory framework in all cities and MCs</t>
  </si>
  <si>
    <t>Implement physical planning regulatory framework in all town councils</t>
  </si>
  <si>
    <t>Development of a guideline for land banking in GKMA</t>
  </si>
  <si>
    <t>MoLG, MoLHUD</t>
  </si>
  <si>
    <t>Roll out tax simplification and e-governance across the GKMA local governments</t>
  </si>
  <si>
    <t>Develop street vending regulations</t>
  </si>
  <si>
    <t>Develop and implement working frameworks on new, modern solid waste processing and transfer facilities in GKMA</t>
  </si>
  <si>
    <t>Develop an all-encompassing Urban Health Policy and guidelines</t>
  </si>
  <si>
    <t>Support Health Inspectors and Environmental Health Officers to enforce the Public Health Act in Cities &amp; Municipalities</t>
  </si>
  <si>
    <t>103502</t>
  </si>
  <si>
    <t>Implement participatory and all-inclusive planning and implementation mechanism to enforce the implementation of land use regulatory and compliance frameworks</t>
  </si>
  <si>
    <t>10350201</t>
  </si>
  <si>
    <t>Effective utilization of land resources promoted</t>
  </si>
  <si>
    <t>Percentage compliance to land use regulatory frameworks</t>
  </si>
  <si>
    <t>Build the capacities of Urban LGs to implement the land use regulatory framework</t>
  </si>
  <si>
    <t>Monitor and support urban LGs in land use regulatory framework</t>
  </si>
  <si>
    <t>Undertake community awareness on the LURF</t>
  </si>
  <si>
    <t>Formulate, review and disseminate the land-use regulatory framework</t>
  </si>
  <si>
    <t>Assess the performance of urban Councils (Cities, MCs and Town councils) in implementation of the LURF</t>
  </si>
  <si>
    <t>103503</t>
  </si>
  <si>
    <t>Scale up the physical planning and urban management information system</t>
  </si>
  <si>
    <t>10350301</t>
  </si>
  <si>
    <t>Physical Planning &amp; Urban management system scaled.</t>
  </si>
  <si>
    <t>Number of municipalities with PPUMIS installed &amp; staff trained in GIS</t>
  </si>
  <si>
    <t xml:space="preserve">Operationalize and rollout PPUMIS in Cities and Municipalities </t>
  </si>
  <si>
    <t>Establish  Urban Forums in Urban Authorities</t>
  </si>
  <si>
    <t>Develop an e-governance system for urban authorities</t>
  </si>
  <si>
    <t>Train staff in municipalities in GIS</t>
  </si>
  <si>
    <t>Roll out the e-governance management system  in all GKMA LGs and MDAs</t>
  </si>
  <si>
    <t>Tourism Development</t>
  </si>
  <si>
    <t>05X</t>
  </si>
  <si>
    <t>051</t>
  </si>
  <si>
    <t>Marketing and Promotion</t>
  </si>
  <si>
    <t>0511</t>
  </si>
  <si>
    <t>Promote domestic and inbound tourism</t>
  </si>
  <si>
    <t>051101</t>
  </si>
  <si>
    <t>Review and implement a national tourism marketing strategy targeting both elite and mass tourism segments by</t>
  </si>
  <si>
    <t>051101a</t>
  </si>
  <si>
    <t>Brand Image: Build a positive and competitive image of the destination by increasing market presence in key source markets and improving destination awareness in domestic and key source markets</t>
  </si>
  <si>
    <t>051101a01</t>
  </si>
  <si>
    <t xml:space="preserve">National Tourism Marketing Strategy developed </t>
  </si>
  <si>
    <t xml:space="preserve">Tourism Marketing strategy </t>
  </si>
  <si>
    <t>UTB</t>
  </si>
  <si>
    <t>Undertake consultations, review an National Tourism Marketing Strategy</t>
  </si>
  <si>
    <t>117 Uganda Tourism Board</t>
  </si>
  <si>
    <t>MoTWA, MoFA, UEPB</t>
  </si>
  <si>
    <t xml:space="preserve">Level of implementation of  the National tourism marketing strategy, % </t>
  </si>
  <si>
    <t>Carry our decentralization of tourism development services.</t>
  </si>
  <si>
    <t>MoTWA</t>
  </si>
  <si>
    <t>022 Ministry of Tourism, Wildlife and Antiquities</t>
  </si>
  <si>
    <t xml:space="preserve">Number of International Tourist arrivals (Million) </t>
  </si>
  <si>
    <t>MTWA</t>
  </si>
  <si>
    <t>Participate in selected Tourism expos</t>
  </si>
  <si>
    <t>UIA, MoFA, UEPB</t>
  </si>
  <si>
    <t xml:space="preserve">Proportion of leisure to total tourists, % </t>
  </si>
  <si>
    <t>Market new products</t>
  </si>
  <si>
    <t>UEPB, UWA</t>
  </si>
  <si>
    <t>No of international MICE (meetings, conferences) hosted in Uganda</t>
  </si>
  <si>
    <t>Bid and secure international MICE (meetings, conferences).</t>
  </si>
  <si>
    <t>UIA, MoFA, MoKCC&amp;MA</t>
  </si>
  <si>
    <t>No of international expos attended</t>
  </si>
  <si>
    <t>Conduct solo-country joint promotion and country branding activities in target markets</t>
  </si>
  <si>
    <t>UIA, UTB</t>
  </si>
  <si>
    <t>Provide fiscal incentives for building the capacity of local businesses to engage in local, regional and global tourism</t>
  </si>
  <si>
    <t>UIA, MoKCC&amp;MA</t>
  </si>
  <si>
    <t>Provide promotional and marketing information and materials to facilitate FSO promotion activities</t>
  </si>
  <si>
    <t>UTB, UWA</t>
  </si>
  <si>
    <t>051101a02</t>
  </si>
  <si>
    <t xml:space="preserve">Brand manual, logos, slogans and materials developed, produced and rolled out. </t>
  </si>
  <si>
    <t>Proportion of Ugandan enterprises associating with Uganda’s brand, %</t>
  </si>
  <si>
    <t>Carry out brand campaigns</t>
  </si>
  <si>
    <t>MoTWA, UEPB, UIA</t>
  </si>
  <si>
    <t xml:space="preserve">Number of 360 roll-out campaigns done in the regional and international source markets </t>
  </si>
  <si>
    <t>Develop and market a brand development (film project) on Uganda as a global priority Religious Tourism Destination</t>
  </si>
  <si>
    <t>MoFA, MoGLSD, MoKCC&amp;MA, MoICT&amp;NG</t>
  </si>
  <si>
    <t xml:space="preserve">Number of 360 roll-out campaigns done in the domestic market </t>
  </si>
  <si>
    <t>Information on Uganda’s tourism archived; Digitization on tourism</t>
  </si>
  <si>
    <t>MoICT&amp;NG, MoLG, MoGLSD</t>
  </si>
  <si>
    <t>Provide fiscal incentives for private sector to invest in accommodation in selected national parks.</t>
  </si>
  <si>
    <t>UIA, MoTWA, UWA</t>
  </si>
  <si>
    <t>051101a03</t>
  </si>
  <si>
    <t xml:space="preserve">Promotional materials such as notebooks, flash disks, shirts, fliers etc. </t>
  </si>
  <si>
    <t xml:space="preserve">Number of tourism promotional materials produced, (‘000s) </t>
  </si>
  <si>
    <t>Collection of promotional materials content for domestic and inbound tourism products; Marketing of Tourism products digital content</t>
  </si>
  <si>
    <t>Uganda Airlines, NITA-U, UTB</t>
  </si>
  <si>
    <t>Develop Tourism Development Area plans</t>
  </si>
  <si>
    <t>MoLG, UTB</t>
  </si>
  <si>
    <t>Develop the promotional material (digitize material for virtual tours of investment sites, videos, online documentation), Marketing the projects for investment (dissemination through various channels- participation in promotional activities, media, exhibitions e.tc)</t>
  </si>
  <si>
    <t>UTB, UBC, MoTWA</t>
  </si>
  <si>
    <t>Development (programming) and broadcasting of promotional materials content for domestic and inbound tourism products (documentaries, feature stories, talk shows, etc.)</t>
  </si>
  <si>
    <t>UBC, NITA-U, UCC</t>
  </si>
  <si>
    <t>051101a04</t>
  </si>
  <si>
    <t xml:space="preserve">Domestic tourism intensified with domestic tourism initiatives including drives/ campaigns </t>
  </si>
  <si>
    <t xml:space="preserve">No of domestic drives /campaigns conducted </t>
  </si>
  <si>
    <t>Carry out domestic promotional campaigns</t>
  </si>
  <si>
    <t>MoLG, MoTWA</t>
  </si>
  <si>
    <t xml:space="preserve">Number of Ugandans Visiting Tourist sites (National Parks, Museums and UWEC) </t>
  </si>
  <si>
    <t>MoTWA, UTB, UCAA</t>
  </si>
  <si>
    <t>Developing and profiling new tourism products</t>
  </si>
  <si>
    <t>MoTWA, UTA</t>
  </si>
  <si>
    <t>Regulate, Train and support wildlife enterprises</t>
  </si>
  <si>
    <t>UWEC, UTB</t>
  </si>
  <si>
    <t xml:space="preserve">Design and procure destination Kampala Tourism marketing  and promotion materials </t>
  </si>
  <si>
    <t>Regular updating of the kampala web portal and associated</t>
  </si>
  <si>
    <t>MoTWA, UTB</t>
  </si>
  <si>
    <t>Participate in 1 regional tourism expos</t>
  </si>
  <si>
    <t xml:space="preserve">Organize the Kampala culinary &amp; foodie street and support other social events in the city </t>
  </si>
  <si>
    <t>UTB, MoKCC&amp;MA</t>
  </si>
  <si>
    <t xml:space="preserve">Coordinate the staging of tourism galas at division level every year </t>
  </si>
  <si>
    <t>Promote institutional based tourism to Ugandans using school tours, work based tours etc; Develop and market non-traditional tourism sites eg farms, industrial parks, historical monument</t>
  </si>
  <si>
    <t>UWEC, UBC</t>
  </si>
  <si>
    <t>051101b</t>
  </si>
  <si>
    <t>Build Market Structures to promote access to Source Markets through trade representation and Tourism Information centres</t>
  </si>
  <si>
    <t>051101b01</t>
  </si>
  <si>
    <t>Digital marketing implemented</t>
  </si>
  <si>
    <t xml:space="preserve">Number of digital marketing campaigns undertaken in the source markets </t>
  </si>
  <si>
    <t>Number of products with digital marketing Materials developed</t>
  </si>
  <si>
    <t>051101b02</t>
  </si>
  <si>
    <t xml:space="preserve">Market Destination Representative firms hired and deployed in key markets </t>
  </si>
  <si>
    <t xml:space="preserve">Number of MDR firms contracted in key source markets </t>
  </si>
  <si>
    <t>Undertake aggressive marketing in key source markets using MOFA, leverage Ugandan branded and other international personalities/celebrities and MDR firms</t>
  </si>
  <si>
    <t>MoFA, UWA, UIA</t>
  </si>
  <si>
    <t>Establish market intelligence frameworks to monitor trends and status of Tourism growth</t>
  </si>
  <si>
    <t>MoFA, UBOS, MoTWA, UIA</t>
  </si>
  <si>
    <t>051101b03</t>
  </si>
  <si>
    <t xml:space="preserve">Information centers designed and constructed in designated tourism development </t>
  </si>
  <si>
    <t xml:space="preserve">Number of information centers constructed/ established (cumulative) </t>
  </si>
  <si>
    <t>051101b04</t>
  </si>
  <si>
    <t xml:space="preserve">Destination management system developed. </t>
  </si>
  <si>
    <t xml:space="preserve">Level of development of the Destination Management System, % </t>
  </si>
  <si>
    <t>051101c</t>
  </si>
  <si>
    <t>Establish a Market Intelligence Framework to monitor trends and status of Tourism Growth</t>
  </si>
  <si>
    <t>051101c01</t>
  </si>
  <si>
    <t xml:space="preserve">Market Intelligence Framework </t>
  </si>
  <si>
    <t xml:space="preserve">Market Intelligence Framework in place </t>
  </si>
  <si>
    <t>051102</t>
  </si>
  <si>
    <t>Develop international, regional and domestic connectivity with countries already attracting large numbers of tourists and for domestic markets. In particular, upgrade and expand Entebbe airport and regional aerodromes</t>
  </si>
  <si>
    <t>05110201</t>
  </si>
  <si>
    <t xml:space="preserve">Regional aerodromes developed </t>
  </si>
  <si>
    <t xml:space="preserve">No. of regional aerodromes developed (Arua, Gulu, Kidepo, Pakuba, and Kasese) </t>
  </si>
  <si>
    <t>Engage UCAA to rehabilitate 4 strategic aerodromes</t>
  </si>
  <si>
    <t>05110202</t>
  </si>
  <si>
    <t xml:space="preserve">Entebbe airport upgrade completed </t>
  </si>
  <si>
    <t xml:space="preserve">Number of airlines with flights into Uganda </t>
  </si>
  <si>
    <t xml:space="preserve">Number of direct flight routes to America, Europe, Asia, etc. </t>
  </si>
  <si>
    <t>05110203</t>
  </si>
  <si>
    <t>Domestic tourists increased</t>
  </si>
  <si>
    <t xml:space="preserve">No. of domestic tourists, millions </t>
  </si>
  <si>
    <t>051103</t>
  </si>
  <si>
    <t>Develop a more robust public/ private sector system to collect and analyse information on the industry in a timely fashion. In particular, establish partnerships with domestic, regional and international airlines/carriers</t>
  </si>
  <si>
    <t>05110301</t>
  </si>
  <si>
    <t>A framework developed to strengthen public/private sector partnerships.</t>
  </si>
  <si>
    <t>A framework developed to strengthen public/ private sector partnerships.</t>
  </si>
  <si>
    <t>Private Sector, MTWA, UWA, UTB, UWEC, UHTTI, UWRTI, UIA</t>
  </si>
  <si>
    <t>Develop a framework for strengthening public/private sector partnerships.</t>
  </si>
  <si>
    <t>PSFU, UTB, Uganda Tourism Association (UTA)</t>
  </si>
  <si>
    <t>051104</t>
  </si>
  <si>
    <t>Upgrade handling and negotiation capacity of frontier services and foreign intermediaries</t>
  </si>
  <si>
    <t>051104a</t>
  </si>
  <si>
    <t>Train Ugandan diplomats to support tourism marketing and handling, and Visa/ consular staff in customer care</t>
  </si>
  <si>
    <t>051104a01</t>
  </si>
  <si>
    <t>Ugandan diplomats and Visa/consular staff trained to support tourism marketing and handling and in customer care.</t>
  </si>
  <si>
    <r>
      <t>Number of Ugandan diplomats and Visa /consular staff trained to support tourism marketing and handling and in customer care (</t>
    </r>
    <r>
      <rPr>
        <i/>
        <sz val="11"/>
        <rFont val="Calibri"/>
        <family val="2"/>
        <scheme val="minor"/>
      </rPr>
      <t>all missions abroad)</t>
    </r>
  </si>
  <si>
    <t>Train selected embassy staff in foreign missions to support tourism marketing and handling; use the foreign missions to aggressively market Ugandan tourism; Train consular staff in customer care</t>
  </si>
  <si>
    <t>UTB, DCIC, MoTWA, UEPB</t>
  </si>
  <si>
    <t>051104b</t>
  </si>
  <si>
    <t>Introduce mechanisms to allow online purchase or pre-approval of visas</t>
  </si>
  <si>
    <t>051104b01</t>
  </si>
  <si>
    <t>Mechanisms introduced to allow online purchase or pre-approval of visas</t>
  </si>
  <si>
    <t>e- visa operational</t>
  </si>
  <si>
    <t>None</t>
  </si>
  <si>
    <t>MOIA, MoFA, Uganda Airlines, MTIC, MTWA, UEPB, and UTB.</t>
  </si>
  <si>
    <t>Proportion of Visas pre-approved or purchased online, %</t>
  </si>
  <si>
    <t>051104b02</t>
  </si>
  <si>
    <t>Improved coordination with intermediaries</t>
  </si>
  <si>
    <t xml:space="preserve">Global tourism competitiveness </t>
  </si>
  <si>
    <t>052</t>
  </si>
  <si>
    <t>Infrastructure, Product Development and Conservation</t>
  </si>
  <si>
    <t>0522</t>
  </si>
  <si>
    <t>Increase the stock and quality of tourism infrastructure</t>
  </si>
  <si>
    <t>052201</t>
  </si>
  <si>
    <t>Expand, upgrade and maintain tourism national transport infrastructure and services</t>
  </si>
  <si>
    <t>052201a</t>
  </si>
  <si>
    <t>Improve the road for southern access to Bwindi National Park</t>
  </si>
  <si>
    <t>052201a01</t>
  </si>
  <si>
    <t>Roads upgraded and paved</t>
  </si>
  <si>
    <t>Kms paved Roads</t>
  </si>
  <si>
    <t>052201b</t>
  </si>
  <si>
    <t>Build a bridge across the Nile at Murchison Falls National Park</t>
  </si>
  <si>
    <t>052201b01</t>
  </si>
  <si>
    <t>A bridge constructed across the Nile at Murchison Falls National Park</t>
  </si>
  <si>
    <t>Level of Completion of the bridge, %</t>
  </si>
  <si>
    <t>052201c</t>
  </si>
  <si>
    <t>Relocate and upgrade the airstrip at the periphery of Kidepo Valley National Park</t>
  </si>
  <si>
    <t>052201c01</t>
  </si>
  <si>
    <t>Airstrip constructed at the periphery of Kidepo Valley National Park</t>
  </si>
  <si>
    <t>Level of completion of construction of Airstrip at the periphery of Kidepo Valley National Park</t>
  </si>
  <si>
    <t>Relocate and upgrade the airstrip at periphery of Kidepo N.Park</t>
  </si>
  <si>
    <t>MoWT, UNRA</t>
  </si>
  <si>
    <t>No. of innovations (handicraft products) patented</t>
  </si>
  <si>
    <t>Support artisans acquire IPs for innovations</t>
  </si>
  <si>
    <t>MoSTI, MoJICA</t>
  </si>
  <si>
    <t>052201d</t>
  </si>
  <si>
    <t>Expand, upgrade and/or maintain National tourism roads</t>
  </si>
  <si>
    <t>052201d01</t>
  </si>
  <si>
    <t xml:space="preserve">National tourism roads expanded, upgraded and/or maintained </t>
  </si>
  <si>
    <t>Km. of identified tourism roads network paved</t>
  </si>
  <si>
    <t>Upgrade the road access to critical tourism P.A.s especially access to northern and southern sections of Bwindi Impenetrable N.Park</t>
  </si>
  <si>
    <t>MoWT, LG</t>
  </si>
  <si>
    <t>052201e</t>
  </si>
  <si>
    <t>Improve infrastructure around Mt Elgon</t>
  </si>
  <si>
    <t>052201e01</t>
  </si>
  <si>
    <t xml:space="preserve">Mt. Elgon trails improved with infrastructure and facilities </t>
  </si>
  <si>
    <t>Proportion of the required Mt. Elgon tourism infrastructure developed, %</t>
  </si>
  <si>
    <t>052201f</t>
  </si>
  <si>
    <t>Improve and/or maintain access to Protected Areas</t>
  </si>
  <si>
    <t>052201f01</t>
  </si>
  <si>
    <t>Trails inside protected areas maintained</t>
  </si>
  <si>
    <t>Length of trails maintained</t>
  </si>
  <si>
    <t>UWA</t>
  </si>
  <si>
    <t>Maintain and improve trails in Protected Areas</t>
  </si>
  <si>
    <t>MoTWA (UWA)</t>
  </si>
  <si>
    <t>MoLG, UNRA</t>
  </si>
  <si>
    <t>052201g</t>
  </si>
  <si>
    <t>Construct/rehabilitate/upgrade marine/water routes including 20 docking piers on Lake Victoria and Lake Albert</t>
  </si>
  <si>
    <t>052201g01</t>
  </si>
  <si>
    <t>Marine/water routes developed/ upgraded including 20 docking piers and access roads on Lake Victoria constructed/ rehabilitated</t>
  </si>
  <si>
    <t>Number of Piers/docking facilities (including the access roads) constructed/ rehabilitated at selected islands (Bugala, Ngamba, Dolwe, Buvuma etc) and identified areas such as Port Bell, Jinja, Mukono (Bule), Munyonyo, Entebbe (Port Alice and Nakiwogo), Ggaba, Butebo, Lutoboka and Lambu, etc</t>
  </si>
  <si>
    <t>Construct/ Rehabilitate/ Upgrade marine or water routes including 20 docking piers on L. Victoria, L.Albert, Mulehe, Kyahapi ,L.Mburo, L. Kyoga, bunyonyi.</t>
  </si>
  <si>
    <t>UNRA, MoTWA, LGs</t>
  </si>
  <si>
    <t>Number of Cruise Ships and Water Buses provided</t>
  </si>
  <si>
    <t>052201h</t>
  </si>
  <si>
    <t>Develop and improve the roads to cultural heritage sites of Bigo Byamugenyi archaeological heritage, Nyero, Patiko, Emin Pasha’s fort</t>
  </si>
  <si>
    <t>052201h01</t>
  </si>
  <si>
    <t>Roads leading to cultural heritage sites of Bigo Byamugenyi archaeological heritage, Nyero, Patiko, Emin Pasha’s fort improved</t>
  </si>
  <si>
    <t xml:space="preserve">No of Kms of roads to cultural heritage sites of Bigo Byamugenyi, Nyero rock paintings upgraded. </t>
  </si>
  <si>
    <t>Develop and improve the roads to cultural heritage sites of Bigo Byamugenyi, Nyero rock paintings improved (207 km)</t>
  </si>
  <si>
    <t>Develop and improve the roads to cultural heritage site of Patiko, Emin Pasha’s fort improved (60 km)</t>
  </si>
  <si>
    <t>MoWT, LG, UNRA</t>
  </si>
  <si>
    <t>052202</t>
  </si>
  <si>
    <t>Support the development and/or upgrade of accommodation and conference facilities of all types and sizes as well as leisure attractions and facilities (including, restaurants, bars and cafes)</t>
  </si>
  <si>
    <t>052202a</t>
  </si>
  <si>
    <t>Increase the number of hotel rooms and food and beverage facilities</t>
  </si>
  <si>
    <t>052202a01</t>
  </si>
  <si>
    <t>Room Stock increased</t>
  </si>
  <si>
    <t>No hotel rooms available</t>
  </si>
  <si>
    <t>8 training facilities constructed</t>
  </si>
  <si>
    <t>MoES, UIA</t>
  </si>
  <si>
    <t>2 student hostels / dormitories constructed</t>
  </si>
  <si>
    <t>MoTWA (UHTTI)</t>
  </si>
  <si>
    <t>MoES, MoTWA</t>
  </si>
  <si>
    <t>Extend ICT infrastructure</t>
  </si>
  <si>
    <t>NITA-U, UCC</t>
  </si>
  <si>
    <t>052202b</t>
  </si>
  <si>
    <t>Facilitate the establishment of International hotel chains</t>
  </si>
  <si>
    <t>052202b01</t>
  </si>
  <si>
    <t>International hotel chains established</t>
  </si>
  <si>
    <t>No. of international hotel chains established</t>
  </si>
  <si>
    <t>052202c</t>
  </si>
  <si>
    <t>Construct a National Convention center to scale up MICE tourism</t>
  </si>
  <si>
    <t>052202c01</t>
  </si>
  <si>
    <t>National convention center established</t>
  </si>
  <si>
    <t>Level of development of the National convention Center</t>
  </si>
  <si>
    <t>052203</t>
  </si>
  <si>
    <t>Support the private sector to provide low-cost accommodation facilities in protected areas</t>
  </si>
  <si>
    <t>05220301</t>
  </si>
  <si>
    <t>Accommodation and catering services developed and/or upgraded in protected areas</t>
  </si>
  <si>
    <t>No of tourist accommodation beds in protected areas</t>
  </si>
  <si>
    <t>Undertake consultations and upgrade Key Wildlife Reserves and Natural Central Forest Reserves</t>
  </si>
  <si>
    <t>NFA, UWA</t>
  </si>
  <si>
    <t>052204</t>
  </si>
  <si>
    <t>Develop digital capability in the tourism industry to market and improve access to products</t>
  </si>
  <si>
    <t>052204a</t>
  </si>
  <si>
    <t>Provide fast, accessible and reliable internet connectivity all wildlife protected areas and other major tourists’ attractions</t>
  </si>
  <si>
    <t>052204a01</t>
  </si>
  <si>
    <t>Access to fast accessible and reliable internet connectivity in PAs</t>
  </si>
  <si>
    <t>Number of Wildlife Protected areas with fast accessible and reliable internet connectivity</t>
  </si>
  <si>
    <t>052204b</t>
  </si>
  <si>
    <t>Promote use of e-tourism services</t>
  </si>
  <si>
    <t>052204b01</t>
  </si>
  <si>
    <t>e-tourism services provided</t>
  </si>
  <si>
    <t>Proportion of Tourism service providers (Tour operators, accommodation, recreational/ tourism site) that offer online services such as bookings</t>
  </si>
  <si>
    <t xml:space="preserve">Permitting processes automated and permit management systems developed </t>
  </si>
  <si>
    <t>Skill staff in the management of the e-immigration system</t>
  </si>
  <si>
    <t>MoIA (DCIC)</t>
  </si>
  <si>
    <t>Procurement, delivery and Installation of hardware and software (change requests for e-immigration systems) for 53 border stations, 6 regional offices and 19 missions</t>
  </si>
  <si>
    <t>UCAA, MoFA</t>
  </si>
  <si>
    <t>052205</t>
  </si>
  <si>
    <t>Construct water dams in Toro Semuliki Wildlife Reserve, Lake Mburo National park, Kidepo Valley National Park, Murchison Falls National Park, Pian Upe Wildlife Reserve and Bokora-Matheniko Wildlife Reserve savannah wildlife protected areas</t>
  </si>
  <si>
    <t>05220501</t>
  </si>
  <si>
    <t>Water dams established in selected savannah wildlife protected areas</t>
  </si>
  <si>
    <t>Number of water dams constructed in Protected Areas</t>
  </si>
  <si>
    <t>20 dams constructed in Protected Areas</t>
  </si>
  <si>
    <t>052206</t>
  </si>
  <si>
    <t>Establish trade and service facilities, including; insurance, banking, sports and recreation, cultural and craft facilities and services at the different tourist attraction points</t>
  </si>
  <si>
    <t>05220601</t>
  </si>
  <si>
    <t>Trade and service facilities established</t>
  </si>
  <si>
    <t>No. of tourist stopovers developed.</t>
  </si>
  <si>
    <t>Construct stop over points</t>
  </si>
  <si>
    <t>UTB, UNRA, MoWT</t>
  </si>
  <si>
    <t>No. souvenir and craft facilities /centres established/ rehabilitated</t>
  </si>
  <si>
    <t>0523</t>
  </si>
  <si>
    <t>Develop, conserve and diversify tourism products</t>
  </si>
  <si>
    <t>052301</t>
  </si>
  <si>
    <t>Develop new tourist attraction sites profiled by region to include new products such as:  Community tourism; Adventure tourism further enhanced by developing hiking, climbing and cable cars in the Rwenzori Mountains; Water-based (marine) tourism; e.g. from Semuiki National Park to East Madi wildlife reserve through Lake Albert, Semuliki river and River Nile; MICE; Agro-tourism</t>
  </si>
  <si>
    <t>05230101</t>
  </si>
  <si>
    <t>Tourist attractions developed, upgraded and/or maintained (Source of the Nile, Kagulu Hill and Namugongo)</t>
  </si>
  <si>
    <t>Number of Tourism Products upgraded/ developed(cumulative)</t>
  </si>
  <si>
    <t>Facilitate the development and profile new tourism tourism products with a special focus on non-traditional tourism sites</t>
  </si>
  <si>
    <t>MoLG, UTB, UIA</t>
  </si>
  <si>
    <t>Restored degraded wildlife habitats</t>
  </si>
  <si>
    <t>Maintain existing tourism products.</t>
  </si>
  <si>
    <t>052302</t>
  </si>
  <si>
    <t xml:space="preserve">Upgrade, maintain and redevelop existing tourist attraction sites profiled by region to include new products like dark tourism, culinary tourism, adventure tourism, wellness ‘tourism, war tourism </t>
  </si>
  <si>
    <t>05230201</t>
  </si>
  <si>
    <t>Source of the Nile &amp; Namugongo developed into major domestic tourism centres</t>
  </si>
  <si>
    <t>052303</t>
  </si>
  <si>
    <t xml:space="preserve">Diversify tourism products eg cultural and map potential across the country including conducting hazard risk and vulnerability mapping for tourism areas  </t>
  </si>
  <si>
    <t>05230301</t>
  </si>
  <si>
    <t>Tourism products profiled by region to include new products like dark tourism, culinary tourism, adventure tourism, wellness tourism, war tourism</t>
  </si>
  <si>
    <t xml:space="preserve">No. of regional tourism product portfolios developed </t>
  </si>
  <si>
    <t>Develop regional tourism product portfolios</t>
  </si>
  <si>
    <t>052304</t>
  </si>
  <si>
    <t>Establish and enforce quality marks/ standards for the tourism industry and its sub-segments through regular inspection and grading of tourism-related facilities such as accommodation, attractions, beaches, restaurants and travel as well as enforce service standards for tour operators</t>
  </si>
  <si>
    <t>05230401</t>
  </si>
  <si>
    <t>Quality marks/ standards enforced through regular inspecting, grading of tourism-related facilities such as accommodation, attractions, beaches, restaurants and travel</t>
  </si>
  <si>
    <t>Number of Tourism enterprises inspected, graded and classified</t>
  </si>
  <si>
    <t>No. of star-rated hotels, lodges, apartments, hostels, camping sites, etc</t>
  </si>
  <si>
    <t>Level of facilities/ operators complying to standards, %</t>
  </si>
  <si>
    <t>052305</t>
  </si>
  <si>
    <t>Develop competitive tour packages (including transportation, lodging, and excursions)</t>
  </si>
  <si>
    <t>05230501</t>
  </si>
  <si>
    <t>A competitive tour package</t>
  </si>
  <si>
    <t>Number of Tour packages developed</t>
  </si>
  <si>
    <t>AUTO</t>
  </si>
  <si>
    <t>Visitor satisfaction %</t>
  </si>
  <si>
    <t>% of package tourists to total tourist arrivals</t>
  </si>
  <si>
    <t>052306</t>
  </si>
  <si>
    <t>Provide security at tourist attraction sites including addressing human-wildlife conflicts</t>
  </si>
  <si>
    <t>05230601</t>
  </si>
  <si>
    <t xml:space="preserve">Tourism police strengthened </t>
  </si>
  <si>
    <t>Tourism police units recruited, trained and equipped</t>
  </si>
  <si>
    <t>UPF</t>
  </si>
  <si>
    <t xml:space="preserve">Joint Tourism Security Committee strengthened </t>
  </si>
  <si>
    <t>05230602</t>
  </si>
  <si>
    <t>Adequate accommodation for Tourism security personnel provided</t>
  </si>
  <si>
    <t>Proportion of tourism sites/facilities with appropriate safety and rescue facilities, %</t>
  </si>
  <si>
    <t>UPDF</t>
  </si>
  <si>
    <t>05230603</t>
  </si>
  <si>
    <t>Human-wildlife conflicts managed</t>
  </si>
  <si>
    <t>No. of new ranger outposts established in protected areas</t>
  </si>
  <si>
    <t>Recover populations of selected rare, threatened, endemic, endangered and locally extinct species</t>
  </si>
  <si>
    <t>UWEC</t>
  </si>
  <si>
    <t>Kms of protected areas fenced off</t>
  </si>
  <si>
    <t>Conduct valuation of protected areas</t>
  </si>
  <si>
    <t>Establish buffer areas and corridors around Conservation areas to prevent encroachment on Protected Areas</t>
  </si>
  <si>
    <t>Boundary maintenance and patrols.</t>
  </si>
  <si>
    <t>Animal health management</t>
  </si>
  <si>
    <t>MoLG, NARO</t>
  </si>
  <si>
    <t>Install/construct electric fencing.</t>
  </si>
  <si>
    <t>Undertake maintenance.</t>
  </si>
  <si>
    <t>052307</t>
  </si>
  <si>
    <t>Develop and implement a framework for conserving natural and cultural heritage</t>
  </si>
  <si>
    <t>05230701</t>
  </si>
  <si>
    <t>Uganda National museum upgraded</t>
  </si>
  <si>
    <t>Modernize, expand and equip the National Museum</t>
  </si>
  <si>
    <t>UTB, MoGLSD</t>
  </si>
  <si>
    <t>Celebrate international Museums day.</t>
  </si>
  <si>
    <t>05230702</t>
  </si>
  <si>
    <t>Regional museums established/ developed at Jinja, Soroti, Moroto, Arua, Fort portal and Gulu</t>
  </si>
  <si>
    <t xml:space="preserve">No of Regional museums established/ developed </t>
  </si>
  <si>
    <t>5 Regional Museums developed/modernized.</t>
  </si>
  <si>
    <t>MoGLSD, MoLG</t>
  </si>
  <si>
    <t>Upgrade UWEC</t>
  </si>
  <si>
    <t>MoTWA (UWEC)</t>
  </si>
  <si>
    <t xml:space="preserve">No of tourists visiting Museums and cultural heritage sites </t>
  </si>
  <si>
    <t>9 cultural sites developed.</t>
  </si>
  <si>
    <t>Conduct program and create public awareness on Cultural heritage Conservation in Uganda.</t>
  </si>
  <si>
    <t>Process land titles for natural/historical heritage sites</t>
  </si>
  <si>
    <t>Establish a Satellite Wildlife conservation Education Centre in Mbale</t>
  </si>
  <si>
    <t>05230703</t>
  </si>
  <si>
    <t>New National and regional Theatres established</t>
  </si>
  <si>
    <t>New National and regional Theatres in place</t>
  </si>
  <si>
    <t>Routine maintenance of museums and cultural heritage sites.</t>
  </si>
  <si>
    <t>05230704</t>
  </si>
  <si>
    <t>Key Wildlife Reserves and Natural Central Forest Reserves upgraded to National Park status</t>
  </si>
  <si>
    <t>No of Key Wildlife Reserves and Natural Central Forest Reserves upgraded to National Park status</t>
  </si>
  <si>
    <t>Activate new wildlife clubs</t>
  </si>
  <si>
    <t>Conduct program to promote and create public awareness on wildlife heritage Conservation in Uganda</t>
  </si>
  <si>
    <t>UTB, MoTWA</t>
  </si>
  <si>
    <t>052308</t>
  </si>
  <si>
    <t>Strengthen enforcement against tourism crime</t>
  </si>
  <si>
    <t>05230801</t>
  </si>
  <si>
    <t>Reduced tourism crime</t>
  </si>
  <si>
    <t>No. of security incidents at various tourist attraction sites</t>
  </si>
  <si>
    <t>Rescue wildlife, Undertake rehabilitation and release back to the wild.</t>
  </si>
  <si>
    <t>052309</t>
  </si>
  <si>
    <t>Remove evasive species in protected areas</t>
  </si>
  <si>
    <t>05230901</t>
  </si>
  <si>
    <t>Spread of evasive species controlled</t>
  </si>
  <si>
    <t>Proportion of Protected Areas encroached by invasive species, %</t>
  </si>
  <si>
    <t>UWA, NFA, UWRTI, MAAIF, NARO</t>
  </si>
  <si>
    <t>Map out invasive species.</t>
  </si>
  <si>
    <t>053</t>
  </si>
  <si>
    <t>Regulation and Skills Development</t>
  </si>
  <si>
    <t>0534</t>
  </si>
  <si>
    <t>Develop a pool of skilled personnel along the tourism value chain and ensure decent working conditions</t>
  </si>
  <si>
    <t>053401</t>
  </si>
  <si>
    <t>Implement the tourism curriculum at the Uganda Hotel and Tourism Training Institute (HTTI)</t>
  </si>
  <si>
    <t>05340101</t>
  </si>
  <si>
    <t>HTTI curriculum revised and implemented</t>
  </si>
  <si>
    <t>Reviewed UHTTI curriculum operationalized</t>
  </si>
  <si>
    <t>Diseminate and implement the new UHTTI Curriculum at UHTTI</t>
  </si>
  <si>
    <t>Identify the equipment need of the institutions. Provide the training equipment.</t>
  </si>
  <si>
    <t>Standardization of the training and certifications (scope to include informal sector)</t>
  </si>
  <si>
    <t>Target enrollment of students from underserved regions especially Busoga, Teso, Bukedi and Karamoja</t>
  </si>
  <si>
    <t>Equip institutes with instruction material</t>
  </si>
  <si>
    <t>Scale up and conduct apprenticeship programs</t>
  </si>
  <si>
    <t>UWRTI, UHTTI</t>
  </si>
  <si>
    <t>Scale up internship programmes for the students</t>
  </si>
  <si>
    <t>Provide specialized trainings in the Tourism sector including Trainings of museologists, museography, curatorship and heritage experts</t>
  </si>
  <si>
    <t>Introduce teacher and student study exchange programs with regional and international centres of excellence like UTALI in Kenya</t>
  </si>
  <si>
    <t>Engage enterprises to participate in on job trainings.</t>
  </si>
  <si>
    <t>MoES, UHTTI</t>
  </si>
  <si>
    <t>Identify and train staff in the private sector</t>
  </si>
  <si>
    <t>Undertake outreaches to communities and schools/institutions.</t>
  </si>
  <si>
    <t>053402</t>
  </si>
  <si>
    <t>Provide tailor-made training for actors across the entire tourism value chain</t>
  </si>
  <si>
    <t>053402a</t>
  </si>
  <si>
    <t>Develop the Jinja and Kasese institutes to international standards</t>
  </si>
  <si>
    <t>053402a01</t>
  </si>
  <si>
    <t>UHTTI infrastructure developed (training application hotel, class rooms, labs, admin block)</t>
  </si>
  <si>
    <t>Level of development of UHTTI infrastructure (training application hotel, class rooms, labs, admin block), %</t>
  </si>
  <si>
    <t>MTWA, UHTTI</t>
  </si>
  <si>
    <t>053402a02</t>
  </si>
  <si>
    <t>Students enrolled at Uganda Hotel and Tourism Training Institute (UHTTI)-Jinja</t>
  </si>
  <si>
    <t>No of students enrolled Uganda Hotel and Tourism Training Institute (UHTTI)-Jinja</t>
  </si>
  <si>
    <t>MTWA, UHTTI,</t>
  </si>
  <si>
    <t>Enroll students at UHTTI</t>
  </si>
  <si>
    <t>053402a03</t>
  </si>
  <si>
    <t>UWRTI infrastructure developed (class rooms, labs, admin block, fence, staff housing, guest house, etc)</t>
  </si>
  <si>
    <t>Level of development of UWRTI infrastructure (class rooms, labs, admin block, fence, staff housing, guest house, etc), %</t>
  </si>
  <si>
    <t>MTWA, UWRTI</t>
  </si>
  <si>
    <t>8 training facilities/structures constructed/rehabilitated</t>
  </si>
  <si>
    <t>053402a04</t>
  </si>
  <si>
    <t>Students enrolled at Uganda Wildlife Research Training Institute (UWRTI)</t>
  </si>
  <si>
    <t>No of students enrolled at Uganda Wildlife Research Training Institute (UWRTI)</t>
  </si>
  <si>
    <t>Enroll, train and manage students</t>
  </si>
  <si>
    <t>UHTTI</t>
  </si>
  <si>
    <t>UWRTI</t>
  </si>
  <si>
    <t>Recruit researchers</t>
  </si>
  <si>
    <t>MoTWA (UWRTI)</t>
  </si>
  <si>
    <t>Revise and modularize training programmes</t>
  </si>
  <si>
    <t>UHTTI, UWRTI, MoES</t>
  </si>
  <si>
    <t>053402b</t>
  </si>
  <si>
    <t>Provide a financing framework for this training</t>
  </si>
  <si>
    <t>053402b01</t>
  </si>
  <si>
    <t>Financing framework for tourism tailor-made training provided</t>
  </si>
  <si>
    <t>053403</t>
  </si>
  <si>
    <t>Incentivize the private sector to provide skills through internship and apprenticeship programs</t>
  </si>
  <si>
    <t>05340301</t>
  </si>
  <si>
    <t>Incentives provided</t>
  </si>
  <si>
    <t>Number of incentives provided to the private sector</t>
  </si>
  <si>
    <t>MTWA, MoES</t>
  </si>
  <si>
    <t>Partnerships with private sector created for apprenticeship projects</t>
  </si>
  <si>
    <t>No. of private sector companies partnered with</t>
  </si>
  <si>
    <t>MTWA, DIT, UTB, MOES</t>
  </si>
  <si>
    <t>053404</t>
  </si>
  <si>
    <t>Nurture local hospitality sector enterprises for participation in local, regional and global tourism value chains</t>
  </si>
  <si>
    <t>05340401</t>
  </si>
  <si>
    <t>Capacity built for local hospitality sector enterprises for increased participation in local, regional and global tourism value chains</t>
  </si>
  <si>
    <t>Number of trainings conducted to nurture local hospitality sector enterprises</t>
  </si>
  <si>
    <t>UTB, MTWA, MoFPED, MTIC</t>
  </si>
  <si>
    <t>05340402</t>
  </si>
  <si>
    <t>Tourism Business Development Services strengthened through best practice training and benchmarking</t>
  </si>
  <si>
    <t>Proportion of hospitality enterprises complying to international standards</t>
  </si>
  <si>
    <t>Undertake mobilization, identification, appraisal development, review and approval of bankable strategic investment projects</t>
  </si>
  <si>
    <t>NPA, MoTWA, MoKCC&amp;MA</t>
  </si>
  <si>
    <t>053405</t>
  </si>
  <si>
    <t>Establish and operationalize a tourism investment fund to enable private investors get access to affordable finance</t>
  </si>
  <si>
    <t>05340501</t>
  </si>
  <si>
    <t>A tourism investment fund established and operationalized by BOU</t>
  </si>
  <si>
    <t>Tourism Investment Fund in Place</t>
  </si>
  <si>
    <t>Formalize and link the SMEs clusters along the tourism products value chain</t>
  </si>
  <si>
    <t>UEPB, MoTWA, UTB</t>
  </si>
  <si>
    <t>053406</t>
  </si>
  <si>
    <t>Strengthen/ develop the legal and policy framework and mechanisms to ensure decent working conditions in the industry so as to reduce incidences of exploitation</t>
  </si>
  <si>
    <t>05340601</t>
  </si>
  <si>
    <t>Policies, Standards and regulations developed for the Management and Utilization of Natural and Cultural Heritage Resources.</t>
  </si>
  <si>
    <t xml:space="preserve">No of regulations and standards developed to operationalize the Uganda Wildlife Act 2019  </t>
  </si>
  <si>
    <t>MTWA, UWA</t>
  </si>
  <si>
    <t>Develop regulations and standards to operationalize the Tourism Act</t>
  </si>
  <si>
    <t xml:space="preserve">No of regulations and standards developed to operationalize Museums and Monuments Bill once enacted. </t>
  </si>
  <si>
    <t>Review policies on Wildlife, cultural heritage, Tourism, Gender &amp; Equity</t>
  </si>
  <si>
    <t>MoGLSD, UWA</t>
  </si>
  <si>
    <t>Develop regulations and standards to operationalize the Uganda Wildlife Act 2019</t>
  </si>
  <si>
    <t>UWA, UTB, MWE</t>
  </si>
  <si>
    <t>Develop regulations and standards to operationalize Museums and Monuments Bill once enacted.</t>
  </si>
  <si>
    <t>MoGLSD, UTB</t>
  </si>
  <si>
    <t>0535</t>
  </si>
  <si>
    <t>Enhance regulation, coordination and management of the tourism</t>
  </si>
  <si>
    <t>053501</t>
  </si>
  <si>
    <t>Develop a Tourism Information Management System</t>
  </si>
  <si>
    <t>05350101</t>
  </si>
  <si>
    <t>Tourism Information Management System developed</t>
  </si>
  <si>
    <t>Level of development of the Tourism Information Management System, %</t>
  </si>
  <si>
    <t>Develop and operationalize an online Tourism information Management System (TIMS)</t>
  </si>
  <si>
    <t>UBOS, NITA-U, UTB</t>
  </si>
  <si>
    <t xml:space="preserve">No. of tourism information centers established </t>
  </si>
  <si>
    <t>MTWA, MoFA</t>
  </si>
  <si>
    <t xml:space="preserve">Establish an online tourism information hub for the entire country </t>
  </si>
  <si>
    <t>053502</t>
  </si>
  <si>
    <t>Establish and operationalize a tourism investment fund to enable private investors get access to affordable</t>
  </si>
  <si>
    <t>05350201</t>
  </si>
  <si>
    <t>Framework for the Tourism levy reviewed and operationalized</t>
  </si>
  <si>
    <t>Tourism fund established from collection of the levy</t>
  </si>
  <si>
    <t>MTWA, MoFPED, LGs</t>
  </si>
  <si>
    <t>053503</t>
  </si>
  <si>
    <t>Establish quality marks/ standards for grading of tourism-related facilities such as accommodation, attractions, beaches, restaurants and travel</t>
  </si>
  <si>
    <t>05350301</t>
  </si>
  <si>
    <t>Quality marks/ standards for grading of tourism-related facilities</t>
  </si>
  <si>
    <t>No. of quality marks/ standards for grading of tourism-related facilities developed</t>
  </si>
  <si>
    <t>MTWA, UTB</t>
  </si>
  <si>
    <t>Develop standards for grading of tourism-related facilities</t>
  </si>
  <si>
    <t>Conduct regular surveys and studies on Tourism performance</t>
  </si>
  <si>
    <t>UBOS, UTB</t>
  </si>
  <si>
    <t>053504</t>
  </si>
  <si>
    <t>Strengthen inspection and enforcement of service standards for tourism facilities and tour operators</t>
  </si>
  <si>
    <t>05350401</t>
  </si>
  <si>
    <t>Capacity building conducted for the actors in quality assurance of Tourism service standards.</t>
  </si>
  <si>
    <t xml:space="preserve">No. of tour and travel agents registered and trained. </t>
  </si>
  <si>
    <t>Register, train, assess and license tour guides</t>
  </si>
  <si>
    <t>UWA, MoTWA</t>
  </si>
  <si>
    <t>No. of Tour guides registered, trained, assessed and licensed (5-10% growth rate)</t>
  </si>
  <si>
    <t>Design and conduct training</t>
  </si>
  <si>
    <t>UEPB, UIA, MoTWA</t>
  </si>
  <si>
    <t>No. of accommodation and restaurant facilities registered, inspected</t>
  </si>
  <si>
    <t>Register and inspect accommodation facilities</t>
  </si>
  <si>
    <t>MoTWA, Uganda Tourism Association (UTA)</t>
  </si>
  <si>
    <t>Capacity building. Financial support towards operations</t>
  </si>
  <si>
    <t>Sensitise and equip local communities/community tourism enterprises to develop, promote and market their tourism offering</t>
  </si>
  <si>
    <t>Hold quarterly meetings of the Working Group.</t>
  </si>
  <si>
    <t>UTB, UWA, NPA</t>
  </si>
  <si>
    <t>304 Uganda Virus Research Institute (UVRI)</t>
  </si>
  <si>
    <t>144 Uganda Police Force</t>
  </si>
  <si>
    <t>18</t>
  </si>
  <si>
    <t>Development Plan Implementation</t>
  </si>
  <si>
    <t>18X</t>
  </si>
  <si>
    <t>181</t>
  </si>
  <si>
    <t>Development Planning, Research, Evaluation and Statistics</t>
  </si>
  <si>
    <t>1811</t>
  </si>
  <si>
    <t>Strengthen capacity for development planning</t>
  </si>
  <si>
    <t>181101</t>
  </si>
  <si>
    <t>Strengthen capacity for development planning, particularly at the MDAs and local governments</t>
  </si>
  <si>
    <t>181101a</t>
  </si>
  <si>
    <t xml:space="preserve">Facilitate Professional training and retraining in planning competences in MDAs and LGs </t>
  </si>
  <si>
    <t>181101a01</t>
  </si>
  <si>
    <t>Aligned MDA and LGs plans to NDPIII programmes</t>
  </si>
  <si>
    <t>Proportion of  LGs Plans aligned to  NDPIII Programmes</t>
  </si>
  <si>
    <t>Technical backstopping done to LGs to align their plans to NDP III Programs</t>
  </si>
  <si>
    <t>Proportion of  MDAs with aligned plans to the NDPIII Programmes</t>
  </si>
  <si>
    <t>Technical backstopping done to MDAs to align plans to NDP III Programs</t>
  </si>
  <si>
    <t>181101a02</t>
  </si>
  <si>
    <t>Capacity building done in development planning, particularly for MDAs and local governments.</t>
  </si>
  <si>
    <t>Proportion of LGs capacity built in development planning.</t>
  </si>
  <si>
    <t>Capacity building  in development planning, particularly for LGs</t>
  </si>
  <si>
    <t>Proportion of MDAs capacity built in development planning.</t>
  </si>
  <si>
    <t>Capacity building  in development planning, particularly for MDAs</t>
  </si>
  <si>
    <t>181101a03</t>
  </si>
  <si>
    <t xml:space="preserve">New Office Building for National Planning Authority. </t>
  </si>
  <si>
    <t>Proportion of the New Office Building for NPA completed.</t>
  </si>
  <si>
    <t>Construction of the New Planning House to enhance capacity for the National Planners to execute their functions.</t>
  </si>
  <si>
    <t>181101a04</t>
  </si>
  <si>
    <t>National Development Plan IV</t>
  </si>
  <si>
    <t>Approved NDP IV in place</t>
  </si>
  <si>
    <t>Consultations and development of NDP IV</t>
  </si>
  <si>
    <t>181101a05</t>
  </si>
  <si>
    <t xml:space="preserve">Capacity building Strategy for PIM </t>
  </si>
  <si>
    <t>Capacity Building Strategy for PIM Developed</t>
  </si>
  <si>
    <t xml:space="preserve">Develop capacity building Strategy for PIM </t>
  </si>
  <si>
    <t>181101a06</t>
  </si>
  <si>
    <t>Curriculum for PIM for universities and tertiary institutions</t>
  </si>
  <si>
    <t>Curriculum for PIM developed</t>
  </si>
  <si>
    <t>Develop curriculum for PIM for universities and tertiary institutions</t>
  </si>
  <si>
    <t>181101a07</t>
  </si>
  <si>
    <t>Capacity built in Gender mainstreaming and responsive budgeting among the LGs and MDAs</t>
  </si>
  <si>
    <t>Proportion of MDAs capacity built in Gender mainstreaming and responsive budgeting</t>
  </si>
  <si>
    <t xml:space="preserve">Build capacity among the MDAs and LGs in Gender mainstreaming and Gender responsive budgeting </t>
  </si>
  <si>
    <t>Proportion of LGs capacity built in Gender mainstreaming and responsive budgeting</t>
  </si>
  <si>
    <t>181101b</t>
  </si>
  <si>
    <t>Develop a platform to facilitate sharing of spatial data for Planning (Spatial Data infrastructure)</t>
  </si>
  <si>
    <t>181101b01</t>
  </si>
  <si>
    <t>Spatial data platform developed and operationalized</t>
  </si>
  <si>
    <t xml:space="preserve">Number of users of spatial data  </t>
  </si>
  <si>
    <t xml:space="preserve">Establish a spatial data  regulation to guide NSDI development and utilization process </t>
  </si>
  <si>
    <t>Number of geodetic control points established</t>
  </si>
  <si>
    <t>Rehabilitate destroyed geodetic control points</t>
  </si>
  <si>
    <t>% level of development of the NSDI regulation</t>
  </si>
  <si>
    <t>Recruit and build capacity of the NSDI management team</t>
  </si>
  <si>
    <t>Number of GCPs rehabilitated</t>
  </si>
  <si>
    <t>Acquire required machinery and equipment for NSDI implementation.</t>
  </si>
  <si>
    <t>No of MDAs using the NSDI system</t>
  </si>
  <si>
    <t xml:space="preserve">Design, build, test and roll out a spatial data platform.                            </t>
  </si>
  <si>
    <t>No. of LGs using NSDI system</t>
  </si>
  <si>
    <t>No. of MDAs with requisite NSDI infrastructure</t>
  </si>
  <si>
    <t>No. of LGs with requisite NSDI infrastructure</t>
  </si>
  <si>
    <t>No. of MDAs and LGs trained in spatial data collection, manipulation and Usage</t>
  </si>
  <si>
    <t>181101c</t>
  </si>
  <si>
    <t>Integrate Migration, refugee planning, and all other cross cutting issues in national, Sectoral and Local Governments Plans.</t>
  </si>
  <si>
    <t>181101c01</t>
  </si>
  <si>
    <t>Updated Development Planning guidelines with integrated Migration, Refugee and other Cross cutting issues in programmes, MDA, LG Plans for NDP IV.</t>
  </si>
  <si>
    <t>Updated Development Planning guidelines with integrated Migration, Refugee and other Cross cutting issues in programmes, MDA, LG Plans for NDP IV in Place.</t>
  </si>
  <si>
    <t>Review, Update and make Consultations with the Key stakeholders on the Development planning guidelines with migration, refugees and other cross cutting issues for NDP IV.</t>
  </si>
  <si>
    <t>181101d</t>
  </si>
  <si>
    <t xml:space="preserve"> Build sustainable capacity in government agencies to undertake Economic Policy Analysis with the aim of improving household incomes</t>
  </si>
  <si>
    <t>181101d01</t>
  </si>
  <si>
    <t xml:space="preserve">Training provided to government economists on  economic policy analysis </t>
  </si>
  <si>
    <t>No. of trainings conducted</t>
  </si>
  <si>
    <t xml:space="preserve">Build capacity of the Economist and Statistics cadre to undertake economic monitoring and surveillance </t>
  </si>
  <si>
    <t>181101d02</t>
  </si>
  <si>
    <t>Capacity built to undertake economic monitoring and surveillance</t>
  </si>
  <si>
    <t>Number of Economists trained in economic surveillance</t>
  </si>
  <si>
    <t>181101e</t>
  </si>
  <si>
    <t>Global engagements for development planning</t>
  </si>
  <si>
    <t>181101e01</t>
  </si>
  <si>
    <t>East African Monetary Union effectively implemented</t>
  </si>
  <si>
    <t>Medium term convergence program in place by 2024/25</t>
  </si>
  <si>
    <t>Produce the medium term convergence programme</t>
  </si>
  <si>
    <t>181101e02</t>
  </si>
  <si>
    <t xml:space="preserve">Global engagements and commitments under African Peer Review Mechanism, Agenda 2063; ….etc followed up, reviewed and implemented. </t>
  </si>
  <si>
    <t xml:space="preserve">Proportion of Global engagements and commitments under African Peer Review Mechanism, Agenda 2063; ….etc followed up, reviewed and implemented. </t>
  </si>
  <si>
    <t>Formulation and Implementation of the EAC Investment Policy; Follow-up and review of the African Peer Review Mechanism; Agenda 2063; Agenda 2030</t>
  </si>
  <si>
    <t>181101e03</t>
  </si>
  <si>
    <t>Aligned plans to the global agenda i.e. SDGs, Agenda 2063, APRM, EAC</t>
  </si>
  <si>
    <t>Proportion of Plans aligned to Global agenda</t>
  </si>
  <si>
    <t xml:space="preserve">Coordinate and participate in global undertakings for development planning such as APRM, EAC etc </t>
  </si>
  <si>
    <t>181102</t>
  </si>
  <si>
    <t xml:space="preserve"> Strengthen the planning and development function at the Parish level to bring delivery of services closer to the people</t>
  </si>
  <si>
    <t>181102a</t>
  </si>
  <si>
    <t>Strengthen the planning and development function at the Parish level to bring delivery of services closer to the people</t>
  </si>
  <si>
    <t>181102a01</t>
  </si>
  <si>
    <t>Functional Service delivery structure at parish level</t>
  </si>
  <si>
    <t>Proportion of parishes with Functional Service delivery structures</t>
  </si>
  <si>
    <t>MoLG (LGs)</t>
  </si>
  <si>
    <t>Equip and resource parishes to operationalize service delivery structures.</t>
  </si>
  <si>
    <t>181103</t>
  </si>
  <si>
    <t>Strengthen human resource planning to inform skills projections and delivery of national human resource capacity to support expansion of the economy;</t>
  </si>
  <si>
    <t>181103a</t>
  </si>
  <si>
    <t>181103a01</t>
  </si>
  <si>
    <t>National Human Resource Plan</t>
  </si>
  <si>
    <t>National Human Resource Plan Developed and disseminated</t>
  </si>
  <si>
    <t>Develop and disseminate the national human resource plan</t>
  </si>
  <si>
    <t>181104</t>
  </si>
  <si>
    <t>Strengthen Public Investment Management across the entire government to be able to develop bankable projects on time</t>
  </si>
  <si>
    <t>18110401</t>
  </si>
  <si>
    <t>Functional Monitoring system for projects in place at all MDAs</t>
  </si>
  <si>
    <t>Proportion of MDAs with functional monitoring system for Projects</t>
  </si>
  <si>
    <t>181104a</t>
  </si>
  <si>
    <t>Strengthen capacity for implementation/ multi-Program planning (identify, design, appraise and execute projects and programmes that cut across MDAs and take advantage of synergies across Programs) along the implementation chain.</t>
  </si>
  <si>
    <t>181104a01</t>
  </si>
  <si>
    <t>Capacity built in contract management of large and complex projects</t>
  </si>
  <si>
    <t>Proportion of MDAs trained in contract management of large and complex projects</t>
  </si>
  <si>
    <t>Build the capacity of MDAs in contract management of large and complex projects</t>
  </si>
  <si>
    <t>181104a02</t>
  </si>
  <si>
    <t>Capacity built in multi program planning and implementation of interventions along the  value chain</t>
  </si>
  <si>
    <t xml:space="preserve">Percentage of Projects with Inter ministerial planning/implementing committees </t>
  </si>
  <si>
    <t>Form inter-ministerial technical committees for all Gov't projects</t>
  </si>
  <si>
    <t>Number of pre-feasibility and feasibility studies in priority NDP III projects/areas supported</t>
  </si>
  <si>
    <t>Support the preparation of the pre-feasibility, feasibility and value chain studies in priority NDP III projects/areas</t>
  </si>
  <si>
    <t>Undertake the preparation of pre-feasibility and feasibility studies for programme level projects in all MDAs</t>
  </si>
  <si>
    <t>NPA, MFPED</t>
  </si>
  <si>
    <t>181104a03</t>
  </si>
  <si>
    <t>Policy on licensing and permit planning, implementation of infrastructure corridors and better manage compensation for large infrastructure</t>
  </si>
  <si>
    <t>Feasibility study for the PIM System in Uganda and develop a policy on licensing and permit planning, implementation of infrastructure corridors and better manage compensation for large infrastructure investments.</t>
  </si>
  <si>
    <t>181104a04</t>
  </si>
  <si>
    <t>Automated Business Processes for PIMs</t>
  </si>
  <si>
    <t>A functional PIM Management Information System in place</t>
  </si>
  <si>
    <t>Automation of business processes in a phased manner up to 5 PIM PEAs.  Re-Engineering (BPR) in at least five relevant authorities,</t>
  </si>
  <si>
    <t>181104a05</t>
  </si>
  <si>
    <t>Reviewed Public Private Partnership (PPP) Act</t>
  </si>
  <si>
    <t>Revised Public Private Partnership (PPP) Act</t>
  </si>
  <si>
    <t>Undertake a review of the PPP act in order to harmonize the PIMS framework with the PPP legal &amp; regulatory framework.</t>
  </si>
  <si>
    <t>181104a06</t>
  </si>
  <si>
    <t>Thematic leaders and experts for the project Unit Recruited.</t>
  </si>
  <si>
    <t xml:space="preserve"> Number of thematic leaders and experts recruited for the project staff.</t>
  </si>
  <si>
    <t>Recruit and equip staff(4 thematic leaders, 8 experts).</t>
  </si>
  <si>
    <t>181104a07</t>
  </si>
  <si>
    <t>IT systems for the project Unit procured and installed</t>
  </si>
  <si>
    <t>Number of units of IT systems procured and installed for the Project Unit.</t>
  </si>
  <si>
    <t>181104b</t>
  </si>
  <si>
    <t>Review the Development Committee guidelines in view of the emerging developments in PIMs to include gender and equity and green growth principles, among others</t>
  </si>
  <si>
    <t>181104b01</t>
  </si>
  <si>
    <t>Development Committee Guidelines reviewed and updated to include gender equity, green growth principles and other emerging issues.</t>
  </si>
  <si>
    <t>Reviewed and updated Development Committee guidelines in place by 2021.</t>
  </si>
  <si>
    <t>Review, update Development Committee guidelines and Build capacity of DC members in green growth responsive project designs</t>
  </si>
  <si>
    <t>181104c</t>
  </si>
  <si>
    <t>Strengthen the capacity of the Development Committee and MDA project units to support the PIMs process</t>
  </si>
  <si>
    <t>181104c01</t>
  </si>
  <si>
    <t>Bankable projects prepared  by MDAs</t>
  </si>
  <si>
    <t>Number of bankable projects</t>
  </si>
  <si>
    <t>Train, resource and equip Development Committee and MDA Project Units</t>
  </si>
  <si>
    <t>181104d</t>
  </si>
  <si>
    <t>Undertake real time monitoring of project and budget spending across all MDAs through the Integrated bank of projects</t>
  </si>
  <si>
    <t>181104d01</t>
  </si>
  <si>
    <t>Upgraded and functional IBP to allow performance reporting for both MDAs and LGs.</t>
  </si>
  <si>
    <t>An Upgraded and functional IBP in Place.</t>
  </si>
  <si>
    <t>Implement the IBP II including training and change management for proper monitoring of project implementation</t>
  </si>
  <si>
    <t>181104d02</t>
  </si>
  <si>
    <t>Quarterly spot check field visits conducted in  PMDU  districts</t>
  </si>
  <si>
    <t xml:space="preserve">Number of quarterly spot check field visits in 40 PMDU districts </t>
  </si>
  <si>
    <t>(blank)</t>
  </si>
  <si>
    <t>Conduct quarterly spot checks field visits &amp; joint quarterly supportive supervision for projects</t>
  </si>
  <si>
    <t>Monitor implementation and reporting for all government projects and programmes</t>
  </si>
  <si>
    <t>181104d03</t>
  </si>
  <si>
    <t xml:space="preserve">Joint quarterly supportive supervision field visits conducted </t>
  </si>
  <si>
    <t xml:space="preserve">Number of Joint quarterly supportive supervision field conducted </t>
  </si>
  <si>
    <t>Coordinate implementation of government programmes</t>
  </si>
  <si>
    <t>181104d04</t>
  </si>
  <si>
    <t>Government flagship projects  Fast tracked</t>
  </si>
  <si>
    <t>Number of flagship projects fast-tracked D81</t>
  </si>
  <si>
    <t xml:space="preserve">Develop programme specific delivery plans. Establish delivery plan implementation roadmaps, conduct specific project real time assessment  </t>
  </si>
  <si>
    <t>181104e</t>
  </si>
  <si>
    <t>Develop and implement a PIMs policy</t>
  </si>
  <si>
    <t>181104e01</t>
  </si>
  <si>
    <t>PIMs Policy developed and implemented</t>
  </si>
  <si>
    <t>PIMs Policy developed and in place by 2021</t>
  </si>
  <si>
    <t>Develop  and implement the PIMs policy</t>
  </si>
  <si>
    <t>181104f</t>
  </si>
  <si>
    <t>Operationalize the Project Preparation fund</t>
  </si>
  <si>
    <t>181104f01</t>
  </si>
  <si>
    <t>Programme Specific project preparation and appraisal manuals and guidelines</t>
  </si>
  <si>
    <t>No of programmes with Specific project preparation and appraisal manuals/guidelines</t>
  </si>
  <si>
    <t>Develop and implement programme specific project preparation and appraisal manuals/guidelines</t>
  </si>
  <si>
    <t>181104f02</t>
  </si>
  <si>
    <t>A functional Project preparation fund for both public and PPP projects.</t>
  </si>
  <si>
    <t>A functional Project preparation fund for public and PPP projects in place by 2022</t>
  </si>
  <si>
    <t>Establish and operationalize a project preparation fund</t>
  </si>
  <si>
    <t>182</t>
  </si>
  <si>
    <t xml:space="preserve">Resource Mobilization and Budgeting </t>
  </si>
  <si>
    <t>1822</t>
  </si>
  <si>
    <t>Strengthen budgeting and resource mobilization</t>
  </si>
  <si>
    <t>182201</t>
  </si>
  <si>
    <t>Fast track the implementation of the integrated identification solution linking taxation and service delivery (e-citizen)</t>
  </si>
  <si>
    <t>18220101</t>
  </si>
  <si>
    <t>Integrated identification system developed</t>
  </si>
  <si>
    <t>Functional Integrated identification system</t>
  </si>
  <si>
    <t>Develop the integrated identification system</t>
  </si>
  <si>
    <t xml:space="preserve">Facilitate the development of an Integrated identification system </t>
  </si>
  <si>
    <t xml:space="preserve">Coordinate with NIRA &amp; MLHUD, URSB </t>
  </si>
  <si>
    <t>18220102</t>
  </si>
  <si>
    <t>Integrated government tax system</t>
  </si>
  <si>
    <t>Integrated government tax system in place </t>
  </si>
  <si>
    <t>Develop the integrated Government tax system</t>
  </si>
  <si>
    <t>18220103</t>
  </si>
  <si>
    <t>Tax Payer engagements and consultations with private sector associations undertaken for improved compliance</t>
  </si>
  <si>
    <t xml:space="preserve">No of tax payer engagements undertaken </t>
  </si>
  <si>
    <t>Conduct the Tax Payers engagements</t>
  </si>
  <si>
    <t>18220104</t>
  </si>
  <si>
    <t>Tax compliance improved through increased efficiency in revenue administration</t>
  </si>
  <si>
    <t>Tax Payer education strategy</t>
  </si>
  <si>
    <t>Develop Taxpayer education strategy</t>
  </si>
  <si>
    <t>Functional Data Analysis function/unit within URA</t>
  </si>
  <si>
    <t>Establish the Data Analysis function/unit within URA</t>
  </si>
  <si>
    <t>Risk management strategy disseminated</t>
  </si>
  <si>
    <t>Develop a risk management policy and operational framework</t>
  </si>
  <si>
    <t>Assessment report on cost benefit analysis on possibility of outsourcing some compliance</t>
  </si>
  <si>
    <t>Conduct an assessment of cost benefit analysis on possibility of outsourcing some compliance e.g. educating of and providing support to the informal sector etc.</t>
  </si>
  <si>
    <t>Timely assessment report on efficacy and integration of IT systems</t>
  </si>
  <si>
    <t>A study to assess efficacy and integration of IT systems for tax administration &amp; Action plan</t>
  </si>
  <si>
    <t>No of integrity promotional campaigns conducted</t>
  </si>
  <si>
    <t>Implement a promotion of integrity campaign (ant-corruption) based on tax payer consultation feedback</t>
  </si>
  <si>
    <t>182202</t>
  </si>
  <si>
    <t>Amend and develop relevant legal frameworks to facilitate resource mobilization and budget execution.</t>
  </si>
  <si>
    <t>18220201</t>
  </si>
  <si>
    <t>Resource mobilization and Budget execution legal framework developed and amended</t>
  </si>
  <si>
    <t>No.  of legal frameworks amended</t>
  </si>
  <si>
    <t>Review and Amend/develop the different legal frameworks to facilitate effective and efficient Resource Mobilization and Budget execution.</t>
  </si>
  <si>
    <t>Charter for Fiscal Responsibility in place</t>
  </si>
  <si>
    <t>Implement Domestic Revenue Mobilization Strategy (DRMS)</t>
  </si>
  <si>
    <t>Guidelines for the issuance of Certificates of Financial Implications  in Place.</t>
  </si>
  <si>
    <t>Cash management policy in place</t>
  </si>
  <si>
    <t xml:space="preserve">Develop a Cash ,management legal framework </t>
  </si>
  <si>
    <t>18220202</t>
  </si>
  <si>
    <t>KCCA relevant revenue laws and regulations are reviewed and amended.</t>
  </si>
  <si>
    <t>No. of Revenue enhancement Policies/ laws reviewed and approved.</t>
  </si>
  <si>
    <t>Continuously assess the revenue mobilisation measures</t>
  </si>
  <si>
    <t>182203</t>
  </si>
  <si>
    <t>Expand financing beyond the traditional sources</t>
  </si>
  <si>
    <t>18220301</t>
  </si>
  <si>
    <t>Non-traditional financing sources developed to finance the budget (e.g. diaspora bonds, blended financing, infrastructure bonds, pension funds, a fund of funds, and sovereign wealth funds, among others)</t>
  </si>
  <si>
    <t>No. of Non-traditional financing sources developed to finance the budget</t>
  </si>
  <si>
    <t xml:space="preserve">Implement the Public Financing Strategy </t>
  </si>
  <si>
    <t>Proportion of budget financed by non-traditional sources</t>
  </si>
  <si>
    <t>Development Cooperation Policy  (DCP) developed and disseminated</t>
  </si>
  <si>
    <t>Study report on debt instruments to support effective cash management and budget financing</t>
  </si>
  <si>
    <t>No of alternative financing instruments introduced to increase domestic financing</t>
  </si>
  <si>
    <t>18220302</t>
  </si>
  <si>
    <t>Government borrowing aligned to NDP priorities</t>
  </si>
  <si>
    <t>No. of DSA reports produced</t>
  </si>
  <si>
    <t xml:space="preserve">Undertake Annual Debt Sustainability Analysis  </t>
  </si>
  <si>
    <t>18220303</t>
  </si>
  <si>
    <t xml:space="preserve">Strategy for investment of short-term cash surpluses prepared and implemented </t>
  </si>
  <si>
    <t>Strategy for investment of short-term cash surpluses in place.</t>
  </si>
  <si>
    <t>Develop a strategy to implement short term cash surpluses</t>
  </si>
  <si>
    <t>18220304</t>
  </si>
  <si>
    <t>Monitoring and evaluation framework for Debt management strengthened</t>
  </si>
  <si>
    <t>Monitoring and evaluation framework for the Debt management in Place</t>
  </si>
  <si>
    <t>Develop a Moitoring and Evaluation frame work for Debt Management</t>
  </si>
  <si>
    <t>18220305</t>
  </si>
  <si>
    <t>capacity building programme for sustainable debt management developed</t>
  </si>
  <si>
    <t>Capacity Building programme for Debt, cash policy Developed</t>
  </si>
  <si>
    <t xml:space="preserve">Develop a capacity building programme for sustainable debt management as prescribed in the MTDS. </t>
  </si>
  <si>
    <t>18220306</t>
  </si>
  <si>
    <t>Financing Strategy including new financing options for priority projects developed</t>
  </si>
  <si>
    <t>A strategy on new financing options in place.</t>
  </si>
  <si>
    <t>Map and implement the new financing options for priority NDP III projects.</t>
  </si>
  <si>
    <t>Establish a monitoring framework for the adherence to the MTDS which supports the implementation of the Development plan</t>
  </si>
  <si>
    <t>18220307</t>
  </si>
  <si>
    <t>A policy framework for listing of public and private entities.</t>
  </si>
  <si>
    <t>A policy framework for listing of public and private entities in place and operational.</t>
  </si>
  <si>
    <t>MoFPED  (CMA)</t>
  </si>
  <si>
    <t>Develop and implement a policy framework to enable public listing of public and private entities.</t>
  </si>
  <si>
    <t>Number of nontraditional sources developed to finance the budget</t>
  </si>
  <si>
    <t>18220308</t>
  </si>
  <si>
    <t>Revenue analytical reports produced and disseminated.</t>
  </si>
  <si>
    <t>Number of Revenue analytical reports produced and disseminated.</t>
  </si>
  <si>
    <t>Automate the revenue analysis and production of planning reports</t>
  </si>
  <si>
    <t>18220309</t>
  </si>
  <si>
    <t>Bilateral and multilateral resources for national development sourced</t>
  </si>
  <si>
    <t>Value (USD Million) of bilateral and multilateral resources for national development</t>
  </si>
  <si>
    <t>Source bilateral and multilateral  resources for national development</t>
  </si>
  <si>
    <t>Misions abroad</t>
  </si>
  <si>
    <t>182204</t>
  </si>
  <si>
    <t>Deepening the reduction of informality and streamlining taxation at national and local government levels</t>
  </si>
  <si>
    <t>18220401</t>
  </si>
  <si>
    <t>Tax Registration expansion programme fast tracked</t>
  </si>
  <si>
    <t>% growth in amount of NTR collected</t>
  </si>
  <si>
    <t>Collect tax revenue (all forms of taxes)</t>
  </si>
  <si>
    <t>% growth in Tax revenue</t>
  </si>
  <si>
    <t>Continuously register new tax payers; update the tax register</t>
  </si>
  <si>
    <t>Domestic tax Revenues collected.( Billion shs)</t>
  </si>
  <si>
    <t>LG revenues as a Percentage of their Budgets.</t>
  </si>
  <si>
    <t>Roll out Integrated Revenue Administration System to LGs</t>
  </si>
  <si>
    <t>Non-Tax Revenue collected (Billions Shs)</t>
  </si>
  <si>
    <t>18220402</t>
  </si>
  <si>
    <t xml:space="preserve">Research on alternative  financing for Local Gov't established </t>
  </si>
  <si>
    <t>18220403</t>
  </si>
  <si>
    <t>Revenue mobilisation communication Strategy reviewed and implemented</t>
  </si>
  <si>
    <t>Proportion of the Revenue communication Strategy reviewed and implemented</t>
  </si>
  <si>
    <t>Review and implement KCCA Revenue mobilisation communication Strategy,  update the existing tax payer register;automate revenuw administration processes</t>
  </si>
  <si>
    <t>18220404</t>
  </si>
  <si>
    <t xml:space="preserve"> Revenue base/ register expanded.</t>
  </si>
  <si>
    <t>% Growth in Tax payer register</t>
  </si>
  <si>
    <t>No. of tax payers in the tax Register Data base.</t>
  </si>
  <si>
    <t>182205</t>
  </si>
  <si>
    <t>Implement electronic tax systems to improve compliance both at National and LG levels.</t>
  </si>
  <si>
    <t>18220501</t>
  </si>
  <si>
    <t>Electronic tax systems at National and LG levels. i.e. E-invoicing ,e- logrev and Digital stamps</t>
  </si>
  <si>
    <t>% of LGs with e-tax system (Interface with e-logrev)</t>
  </si>
  <si>
    <t xml:space="preserve">Upgrade the e-tax system to be able to accommodate the task at the National level each year. </t>
  </si>
  <si>
    <t>A functional &amp; integrated e-tax system at the National and LG level</t>
  </si>
  <si>
    <t xml:space="preserve">Interface e-tax with e-Local Gov't </t>
  </si>
  <si>
    <t>Proportion of assessments  are automated ( human interface )</t>
  </si>
  <si>
    <t>18220502</t>
  </si>
  <si>
    <t>Revenue collection enhanced.</t>
  </si>
  <si>
    <t>Amount of revenue collected (Billions Ushs)</t>
  </si>
  <si>
    <t>182206</t>
  </si>
  <si>
    <t>Establish an appropriate, evidence-based tax expenditure “governance framework” to limit leakages and improve transparency</t>
  </si>
  <si>
    <t>18220601</t>
  </si>
  <si>
    <t>Governance Framework on tax expenditure is established.</t>
  </si>
  <si>
    <t>Governance Framework on tax expenditure in Place.</t>
  </si>
  <si>
    <t>Establish and implement a governance Framework on tax expenditure</t>
  </si>
  <si>
    <t>18220602</t>
  </si>
  <si>
    <t>Capacity Building Program (CBP) for effective implementation of the DRMS</t>
  </si>
  <si>
    <t>Capacity Building programme for Tax policy &amp; URA Developed</t>
  </si>
  <si>
    <t>18220603</t>
  </si>
  <si>
    <t>Revenue monitoring unit under BMAU</t>
  </si>
  <si>
    <t>Functional revenue monitoring unit under BMAU</t>
  </si>
  <si>
    <t>Budget monitoring under BMAU (to include revenue monitoring)</t>
  </si>
  <si>
    <t>18220604</t>
  </si>
  <si>
    <t>Tax policy and legislative framework reviewed in line with priorities in DRM strategy</t>
  </si>
  <si>
    <t>Reviewed Tax policy and legislative framework</t>
  </si>
  <si>
    <t>Review &amp; Develop Tax policy and legislative framework in line with priorities in DRM strategy</t>
  </si>
  <si>
    <t>18220605</t>
  </si>
  <si>
    <t xml:space="preserve">Policy on centralized collection of NTR </t>
  </si>
  <si>
    <t xml:space="preserve">Develop and implement a Policy on centralized collection of NTR </t>
  </si>
  <si>
    <t>182207</t>
  </si>
  <si>
    <t>Build capacity in government agencies to negotiate better terms of borrowing and PPPs</t>
  </si>
  <si>
    <t>18220701</t>
  </si>
  <si>
    <t>Capacity built in Government agencies to negotiate better terms of borrowing and PPPs</t>
  </si>
  <si>
    <t>Proportion of Government Agencies trained to negotiate better terms of borrowing and PPPs.</t>
  </si>
  <si>
    <t>Train government agencies to negotiate better terms of borrowing in order to implement the debt financing strategy</t>
  </si>
  <si>
    <t>182208</t>
  </si>
  <si>
    <t>Align government borrowing with NDP priorities</t>
  </si>
  <si>
    <t>18220801</t>
  </si>
  <si>
    <t>Proportion of the Government borrowing aligned to the priorities in the NDP</t>
  </si>
  <si>
    <t>Prepare the Domestic and external financing Cash Flow Forecasts</t>
  </si>
  <si>
    <t>Annual cash flow plan in place</t>
  </si>
  <si>
    <t>Analyse Cash Flow performance in line with NDP borrowing targets</t>
  </si>
  <si>
    <t>Number of trainings for MPs and Staff conducted to effectively scrutinize government loans.</t>
  </si>
  <si>
    <t>PC</t>
  </si>
  <si>
    <t xml:space="preserve">Build capacity of MPs and Staff on the National Economy Committee to effectively scrutinize government loans </t>
  </si>
  <si>
    <t>18220802</t>
  </si>
  <si>
    <t xml:space="preserve">Integrated debt management strengthened </t>
  </si>
  <si>
    <t xml:space="preserve">An updated debt management system in place </t>
  </si>
  <si>
    <t>Upgrade and update the debt management system (DMFAS)</t>
  </si>
  <si>
    <t>Integrated debt management strategy developed</t>
  </si>
  <si>
    <t>Monitor Donor financed projects</t>
  </si>
  <si>
    <t>Conduct Technical working meetings with sectors/MDAs on alignment of Loans and grants to NDP3</t>
  </si>
  <si>
    <t>182209</t>
  </si>
  <si>
    <t>Impose sanctions for accumulation of domestic arrears</t>
  </si>
  <si>
    <t>18220901</t>
  </si>
  <si>
    <t>Systems and Sanctions to enforce commitment controls and prevent accumulation of domestic arrears in place</t>
  </si>
  <si>
    <t xml:space="preserve">Proportion of verified domestic arrears to budget  </t>
  </si>
  <si>
    <t> 4.5</t>
  </si>
  <si>
    <t> 1.5</t>
  </si>
  <si>
    <t>Impose Sanctions to MDAs LGs with Domestic arrears that are beyond a certain threshold.</t>
  </si>
  <si>
    <t>182210</t>
  </si>
  <si>
    <t>Harmonize the PFMA, PPDA, LGA, and regulations to improve the Public Financial Management systems (PFMs).</t>
  </si>
  <si>
    <t>18221001</t>
  </si>
  <si>
    <t>PFMA, PPDA and LGA regulations harmonized</t>
  </si>
  <si>
    <t>Proportion of PFMA, PPDA and LGA regulations reviewed and harmonized</t>
  </si>
  <si>
    <t>Review and Amend the different legal frameworks to improve the Public Financial Management systems (PFMs).</t>
  </si>
  <si>
    <t>182211</t>
  </si>
  <si>
    <t>Develop a Comprehensive Asset Management Policy</t>
  </si>
  <si>
    <t>18221101</t>
  </si>
  <si>
    <t xml:space="preserve">Asset management policy developed and implemented </t>
  </si>
  <si>
    <t>Asset management policy in Place.</t>
  </si>
  <si>
    <t>Develop  the asset management policy</t>
  </si>
  <si>
    <t>Proportion of the Asset management Policy implemented.</t>
  </si>
  <si>
    <t xml:space="preserve">Develop inventory Management System </t>
  </si>
  <si>
    <t xml:space="preserve">Develop the Asset Accounting Guidelines </t>
  </si>
  <si>
    <t xml:space="preserve">Develop Asset management framework and guidelines </t>
  </si>
  <si>
    <t>Develop an asset management information system</t>
  </si>
  <si>
    <t xml:space="preserve">Update Fixed Asset Registers. </t>
  </si>
  <si>
    <t>18221102</t>
  </si>
  <si>
    <t>IPSAS Accrual accounting adopted across Government. (SAMTRAC)</t>
  </si>
  <si>
    <t>Proportion of Government Agencies having adopted the IPSAS Accrual accounting</t>
  </si>
  <si>
    <t xml:space="preserve">Implement IPSAS Accrual Accounting and reporting </t>
  </si>
  <si>
    <t>182212</t>
  </si>
  <si>
    <t>Strengthen the alignment of the Programmes, MDA and LG Plans to the NDP III</t>
  </si>
  <si>
    <t>18221201</t>
  </si>
  <si>
    <t>Adequacy for and equity in financing of  LGs</t>
  </si>
  <si>
    <t xml:space="preserve"> % increase in grants to LGs.</t>
  </si>
  <si>
    <t xml:space="preserve">Review grants allocation formula for compliance with program objectives  and promotion of discretion for LGs </t>
  </si>
  <si>
    <t>18221202</t>
  </si>
  <si>
    <t>Assessment of the Compliance of the MDA &amp; LG Plans and Budgets to NDPIII programmes.</t>
  </si>
  <si>
    <t>Level of Compliance of the MDA plans and Budgets to NDPIII programmes</t>
  </si>
  <si>
    <t>Assess the compliance of the MDA and LG Plans and Budgets to NDPIII programmes</t>
  </si>
  <si>
    <t>Level of Compliance of the LG plans and Budgets to NDPIII programmes</t>
  </si>
  <si>
    <t>18221203</t>
  </si>
  <si>
    <t xml:space="preserve">Reviewed Assessment framework for the Certificate of Compliance to NDP III programmes </t>
  </si>
  <si>
    <t xml:space="preserve">Reviewed Assessment framework for the Certificate of Compliance to NDP III programmes in Place. </t>
  </si>
  <si>
    <t>Review and Develop an assessment framework for the certificate of compliance for NDPIII on MDA and LG Strategic plans</t>
  </si>
  <si>
    <t>182213</t>
  </si>
  <si>
    <t>Alignment of budgets to development plans at national and sub-national levels</t>
  </si>
  <si>
    <t>18221301</t>
  </si>
  <si>
    <t>Aligned MALGs budgets to the NDP priorities</t>
  </si>
  <si>
    <t xml:space="preserve">Level of budget transparency index </t>
  </si>
  <si>
    <t>Implement budget transparency and consultations</t>
  </si>
  <si>
    <t>Level of alignment /Compliance of the National Budget to NDP</t>
  </si>
  <si>
    <t>Technical backstopping of MDAs and LGs in collaboration with MFPED</t>
  </si>
  <si>
    <t>Level of alignment /Compliance of the LGs Budget to NDP</t>
  </si>
  <si>
    <t>Level of alignment /Compliance of the MDA Budget to NDP</t>
  </si>
  <si>
    <t>Proportion (%) of Parliamentary Sessional (programme) Committees trained in alignment of Plans, Budgets to NDP III priorities</t>
  </si>
  <si>
    <t>Build capacity of Parliamentary Sessional Committees to effectively analyze Plans and Budgets of MDAs</t>
  </si>
  <si>
    <t>18221302</t>
  </si>
  <si>
    <t>A Review on the functionality of PWGs done.</t>
  </si>
  <si>
    <t>No of reviews undertaken to assess the functionality of PWGs and related capacity</t>
  </si>
  <si>
    <t>Review the functionality of PWGs and related capacity to develop strategic plans and use of the revised planning guidelines</t>
  </si>
  <si>
    <t>18221303</t>
  </si>
  <si>
    <t>Medium Term Budget Framework report produced</t>
  </si>
  <si>
    <t>Medium Term Budget Framework report in place</t>
  </si>
  <si>
    <t xml:space="preserve">Produce the MTEF </t>
  </si>
  <si>
    <t>18221304</t>
  </si>
  <si>
    <t>Regular  assessment of risks to the economy to enhance budget credibility conducted</t>
  </si>
  <si>
    <t>Number of risk assessments to enhance budget credibility conducted</t>
  </si>
  <si>
    <t xml:space="preserve">Produce a report on the Fiscal risks and corresponding  mitigation measures </t>
  </si>
  <si>
    <t>18221305</t>
  </si>
  <si>
    <t xml:space="preserve"> Aligned budgets to Gender and Equity Outcomes</t>
  </si>
  <si>
    <t>Proportion of aligned BFPs for MDAs aligned to Gender and Equity Planning and Budgeting requirements.</t>
  </si>
  <si>
    <t>Assess and Enforce the compliance for  Gender and Equity among the MDAs, LGs and national budgets</t>
  </si>
  <si>
    <t>Proportion of aligned MPSs for MDAs aligned to Gender and Equity Planning and Budgeting requirements.</t>
  </si>
  <si>
    <t>Proportion of LG  Budgets aligned to Gender and Equity Planning and Budgeting requirements.</t>
  </si>
  <si>
    <t>182214</t>
  </si>
  <si>
    <t>Roll out Automated Procurement systems to all MDAs and LGs (e-GP).</t>
  </si>
  <si>
    <t>18221401</t>
  </si>
  <si>
    <t>Automated Procurement Systems (e-GP) rolled out to all MDAs and LGs</t>
  </si>
  <si>
    <t>Share of public government procurement expenditure Transacted through EGP.</t>
  </si>
  <si>
    <t xml:space="preserve">Proportion of MDAs linked to the Automated Procurement Systems (e-GP)  </t>
  </si>
  <si>
    <t>182215</t>
  </si>
  <si>
    <t>Strengthen Parliament to effectively play its role in the national budget processes for proper implementation of NDPIII priorities</t>
  </si>
  <si>
    <t>182215a</t>
  </si>
  <si>
    <t xml:space="preserve">Review and strengthen the support structure in Parliament along the PFM reforms </t>
  </si>
  <si>
    <t>182215a01</t>
  </si>
  <si>
    <t>Appropriate support structure for PFM reform change Management.</t>
  </si>
  <si>
    <t>No. of Staff assigned to support Parliamentary committees along the PFM reforms.</t>
  </si>
  <si>
    <t>Facilitate MFPED assigned staff to support the Parliamentary committees along the PFM reforms.</t>
  </si>
  <si>
    <t>Proportion (%) of Parliamentary Committees with adequate staff to support them along the PFM reforms.</t>
  </si>
  <si>
    <t>Restructure / Recruit / Facilitate  staff to support the Parliament committees along the PFM reforms.</t>
  </si>
  <si>
    <t>OAG</t>
  </si>
  <si>
    <t>Facilitate OAG assigned staff to support the Parliamentary committees along the PFM reforms.</t>
  </si>
  <si>
    <t>131 Auditor General</t>
  </si>
  <si>
    <t>182215a02</t>
  </si>
  <si>
    <t>Capacity built among the MPs and Staff on PFM reforms</t>
  </si>
  <si>
    <t>Proportion of Staff and MPs trained on the PFM reforms.</t>
  </si>
  <si>
    <t>Build Capacity of MPS and staff along the PFM reforms.</t>
  </si>
  <si>
    <t>182215b</t>
  </si>
  <si>
    <t>Ensure compliance of all provisions of the PFMA (2015) by MDAs</t>
  </si>
  <si>
    <t>182215b01</t>
  </si>
  <si>
    <t>Compliance check list on all PFMA (2015) provisions.</t>
  </si>
  <si>
    <t>Operational checklist on all PFMA (2015) provisions.</t>
  </si>
  <si>
    <t>Develop a Compliance check list on all PFMA (2015) provisions to be followed by MDAs, Missions abroad and LGs</t>
  </si>
  <si>
    <t>182215b02</t>
  </si>
  <si>
    <t>MDAs, LGs and Missions Abroad Complied with all PFMA (2015) provisions.</t>
  </si>
  <si>
    <t>Proportion (%) of MDAs, LGs and Missions Abroad inspected to ensure compliance with the operational checklist on the PFMA 2015 provisions.</t>
  </si>
  <si>
    <t>Enforce Compliance of all Provisions of the PFMA by MDAs, Missions abroad and LGs</t>
  </si>
  <si>
    <t>182215b03</t>
  </si>
  <si>
    <t xml:space="preserve">Capacity for all PFM cadres built to ensure compliance </t>
  </si>
  <si>
    <t>182216</t>
  </si>
  <si>
    <t>Integrate GoU Public Financial Management (PFM) Systems for integrated PFM systems.</t>
  </si>
  <si>
    <t xml:space="preserve">GoU Public Financial Management (PFM) systems integrated into one PFM system i.e HCM ,e-GP ,e-tax </t>
  </si>
  <si>
    <t xml:space="preserve">Attain at least 75% of PFM systems interoperability </t>
  </si>
  <si>
    <t>Support development and maintenance of the integrated PFM system</t>
  </si>
  <si>
    <t>Accounting and Financial reports generated through IFMS</t>
  </si>
  <si>
    <t>No of new sites rolled out on IFMS</t>
  </si>
  <si>
    <t>No of PFM Systems integrated for ease of information sharing</t>
  </si>
  <si>
    <t>Capacity building programme for AGO</t>
  </si>
  <si>
    <t>Build capacity for accounts and audit cadre in MDALGs for AGO</t>
  </si>
  <si>
    <t xml:space="preserve">Percentage of MDALGs using PFM system </t>
  </si>
  <si>
    <t>An upgraded financial reporting system rolled out at missions abroad.</t>
  </si>
  <si>
    <t xml:space="preserve">Proportion of missions upgraded to the new system. </t>
  </si>
  <si>
    <t>Upgrade Missions system  and offer second level support to Navision system</t>
  </si>
  <si>
    <t>IFMS  rolled out to the remaining LGs</t>
  </si>
  <si>
    <t>Proportion of remaining LGs rolled onto IFMS</t>
  </si>
  <si>
    <t>Undertake readiness assessment of sites for rollout and offer go live support to votes</t>
  </si>
  <si>
    <t>Upgrade IFMS (to a Programme based approach) and roll out to all MDAs and LGs</t>
  </si>
  <si>
    <t>Offer technical system support to users of PFM systems</t>
  </si>
  <si>
    <t xml:space="preserve">IFMS (Ver. 12.2.9) rolled out to MALGs </t>
  </si>
  <si>
    <t xml:space="preserve">Proportion of MALGS where IFMS (Ver. 12.2.9)  has been rolled out </t>
  </si>
  <si>
    <t xml:space="preserve">Robust, secure and integrated PFM systems in all MDAs and LGs </t>
  </si>
  <si>
    <t>Provide support and maintainance of PFM systems</t>
  </si>
  <si>
    <t>182217</t>
  </si>
  <si>
    <t>Operationalize the system for tracking off-budget financing.</t>
  </si>
  <si>
    <t xml:space="preserve"> An off-budget tracking mechanism for external support to MDA and LGs.</t>
  </si>
  <si>
    <t xml:space="preserve">A functional off-budget tracking mechanism </t>
  </si>
  <si>
    <t>Operationalize the system for tracking off budget financing</t>
  </si>
  <si>
    <t>182218</t>
  </si>
  <si>
    <t>Fast-track the review and amendment of the relevant procurement laws, policies and regulations to simplify the procurement process</t>
  </si>
  <si>
    <t>18221801</t>
  </si>
  <si>
    <t xml:space="preserve">Procurement laws, policies and regulations reviewed </t>
  </si>
  <si>
    <t>Reviewed Procurement PPDA laws, policies and regulations in place</t>
  </si>
  <si>
    <t>Review of the PPDA regulations and LG(PPDA) Regulations to harmonize them with the amended PPDA Act together with the standard bid documents</t>
  </si>
  <si>
    <t>Proportion of NPSPP implemented</t>
  </si>
  <si>
    <t>18221802</t>
  </si>
  <si>
    <t>IPPU ACT and regulation developed to Professionalise and support standards in Procurement.</t>
  </si>
  <si>
    <t>IPPU Act and regulations in place</t>
  </si>
  <si>
    <t xml:space="preserve">Develop a legal framework to govern the procurement professionals </t>
  </si>
  <si>
    <t>18221803</t>
  </si>
  <si>
    <t xml:space="preserve">Capacity building program for Public Procurement </t>
  </si>
  <si>
    <t xml:space="preserve">Capacity building programme for public procurement </t>
  </si>
  <si>
    <t xml:space="preserve">Develop and Implement Capacity building program for Public Procurement </t>
  </si>
  <si>
    <t>18221804</t>
  </si>
  <si>
    <t>Sustainable procurement practices  promoted  in public sector procurement of  goods, services and works</t>
  </si>
  <si>
    <t>Number of Market readiness assessment,national spend analysis and Studies on sustainable procurement conducted.</t>
  </si>
  <si>
    <t>Number of Sustainable procurement practices integrated in the government procurement system</t>
  </si>
  <si>
    <t>18221805</t>
  </si>
  <si>
    <t>Diagnostic Assessment of the public procurement undertaken using the MAPs tools</t>
  </si>
  <si>
    <t>An assessment report on public sector procurement system for Uganda using Methodology Assessment for Procurements (MAPs) tool</t>
  </si>
  <si>
    <t>Undertake an assessment of public sector procurement system for Uganda using Methodology Assessment for Procurements (MAPs) tool</t>
  </si>
  <si>
    <t>182219</t>
  </si>
  <si>
    <t>Conduct a cost-benefit analysis of current tax exemptions and government subsidies</t>
  </si>
  <si>
    <t>Analytical report on the Cost benefit analysis for Gov't tax exemptions and Subsidies.</t>
  </si>
  <si>
    <t xml:space="preserve">An analytical report on Government tax exemptions and Subsidies in place </t>
  </si>
  <si>
    <t>Develop analytical capacity within Government on the impact of tax policy e.g. tax exemptions and subsidies</t>
  </si>
  <si>
    <t>183</t>
  </si>
  <si>
    <t xml:space="preserve">Oversight, Implementation, Coordination and Monitoring </t>
  </si>
  <si>
    <t>1833</t>
  </si>
  <si>
    <t xml:space="preserve">Strengthen capacity for implementation to ensure a focus on results </t>
  </si>
  <si>
    <t>183301</t>
  </si>
  <si>
    <t>Review and re-orient the institutional architecture for Community Development (from the parish to the national level) to focus on mind-set change and poverty eradication</t>
  </si>
  <si>
    <t>18330101</t>
  </si>
  <si>
    <t>A Reviewed institutional architecture for community development to focus mind set change and poverty eradication.</t>
  </si>
  <si>
    <t>Reviewed and functional institutional architecture for community Development to focus mind set change and poverty eradication</t>
  </si>
  <si>
    <t>Review institutional architecture for community development to focus mind set change and poverty eradication.</t>
  </si>
  <si>
    <t>18330102</t>
  </si>
  <si>
    <t>Re-orientation of community development to focus on mind-set change and poverty eradication done.</t>
  </si>
  <si>
    <t>Percentage of LGs re-oriented on community development to focus on mind-set change and poverty eradication.</t>
  </si>
  <si>
    <t> Re-orient community development to focus on mindset change and poverty eradication.</t>
  </si>
  <si>
    <t>OP, MoPS</t>
  </si>
  <si>
    <t>183302</t>
  </si>
  <si>
    <t>Review and reform the Government Annual Performance Report (GAPR) to focus on achievement of key national development results.</t>
  </si>
  <si>
    <t>18330201</t>
  </si>
  <si>
    <t xml:space="preserve">GAPR reviewed and implemented to focus on the achievement of key national development results. </t>
  </si>
  <si>
    <t xml:space="preserve">No.of GAPR reports produced to focus on the achievement of key national development results. </t>
  </si>
  <si>
    <t> Conduct a review and operationalize of the GAPR to focus on the achievement of the Development results.</t>
  </si>
  <si>
    <t>18330202</t>
  </si>
  <si>
    <t>Performance related rewards and sanctions developed and implemented</t>
  </si>
  <si>
    <t>Rewards and Sanctions Developed and implemented</t>
  </si>
  <si>
    <t xml:space="preserve">Design and implement  performance related rewards and sanctions under  GAPPR  </t>
  </si>
  <si>
    <t>183303</t>
  </si>
  <si>
    <t>Strengthen implementation, monitoring and reporting of local governments</t>
  </si>
  <si>
    <t>18330301</t>
  </si>
  <si>
    <t>Monitoring Report on LG implementation of NDPIII prepared.</t>
  </si>
  <si>
    <t>Monitoring Report on LG implementation of NDPIII in place.</t>
  </si>
  <si>
    <t>Collect data and Prepare the monitoring Report on LG implementation of NDPIII.</t>
  </si>
  <si>
    <t>NPA, OWC</t>
  </si>
  <si>
    <t>Develop and pretest data collection tools.</t>
  </si>
  <si>
    <t>18330302</t>
  </si>
  <si>
    <t>Strategy for NDP III implementation coordination developed.</t>
  </si>
  <si>
    <t>Strategy for NDP III implementation coordination in Place.</t>
  </si>
  <si>
    <t>Develop and implement a strategy for NDP III implementation coordination.</t>
  </si>
  <si>
    <t>Level of implementation of the NDPIII implementation coordination stretegy</t>
  </si>
  <si>
    <t>18330303</t>
  </si>
  <si>
    <t>NDPIII results and reporting framework for LGs.</t>
  </si>
  <si>
    <t>NDPIII results and reporting framework for LGs in place.</t>
  </si>
  <si>
    <t>Develop and implement  the NDPIII results and the reporting framework for LGs.</t>
  </si>
  <si>
    <t>18330304</t>
  </si>
  <si>
    <t xml:space="preserve">Facilitated Programme Secretariats with financial resources to be  able facilitate the programme Working Groups to execute their roles as highlighted in the NDPIII programme guidelines </t>
  </si>
  <si>
    <t>No. of NDPIII Programme Secretariats allocated resources to facilitate the PWGs to be able to execute their roles as provided in the NDPIII Programme Guidelines.</t>
  </si>
  <si>
    <t>PROGRAMME LEAD MINISTRIES</t>
  </si>
  <si>
    <t>Allocate financial resources to the Programme Secretariat through the Programme lead Agency to be able to facilitate the PWGs to be able to execute their roles as guided by the NDPIII programme Guidelines</t>
  </si>
  <si>
    <t>Programme Leads</t>
  </si>
  <si>
    <t>1814</t>
  </si>
  <si>
    <t xml:space="preserve">Strengthen coordination, monitoring and reporting frameworks and systems </t>
  </si>
  <si>
    <t>181401</t>
  </si>
  <si>
    <t>Operationalize the High-Level Public Policy Management Executive Forum (Apex Platform)</t>
  </si>
  <si>
    <t>18140101</t>
  </si>
  <si>
    <t>APEX Platform operationalized.</t>
  </si>
  <si>
    <t>An Operational Apex Platform.</t>
  </si>
  <si>
    <t>Convene the Apex Platform</t>
  </si>
  <si>
    <t>18140102</t>
  </si>
  <si>
    <t>Oversight Monitoring Reports of NDP III Programmes by the RDCs produced.</t>
  </si>
  <si>
    <t>Number of Monitoring Reports produced on NDPIII programmes by RDCs.</t>
  </si>
  <si>
    <t>Undertaking oversight monitoring of Government Programmes</t>
  </si>
  <si>
    <t>18140103</t>
  </si>
  <si>
    <t>Manifesto commitments and implementation monitored and evaluated</t>
  </si>
  <si>
    <t>Number of monitoring and evaluation Reports on the Manifesto Produced</t>
  </si>
  <si>
    <t>Conducting  monitoring and evaluation of Manifesto commitments.</t>
  </si>
  <si>
    <t>18140104</t>
  </si>
  <si>
    <t>Apex Platform Communication Strategy developed.</t>
  </si>
  <si>
    <t>Apex Platform Communication Strategy in place.</t>
  </si>
  <si>
    <t>Preparation of Apex Platform Communication Strategy</t>
  </si>
  <si>
    <t>18140105</t>
  </si>
  <si>
    <t>Apex Platform MIS developed.</t>
  </si>
  <si>
    <t>Apex Platform MIS in place.</t>
  </si>
  <si>
    <t>Developing of Apex Platform MIS</t>
  </si>
  <si>
    <t>1834</t>
  </si>
  <si>
    <t>183402</t>
  </si>
  <si>
    <t>Expand the Terms of Reference for the Budget and National Economy Committees to include consideration of the NDP</t>
  </si>
  <si>
    <t>18340201</t>
  </si>
  <si>
    <t>Expanded Terms of Reference (TORs) for Parliamentary Committees to include consideration of the NDP.</t>
  </si>
  <si>
    <t>Expanded Terms of Reference (TORs) for Parliamentary Committees in place.</t>
  </si>
  <si>
    <t>Review the Terms of Reference (TORs) under the Rules of Procedure of Parliament for Parliamentary Committees to include consideration of the NDP.</t>
  </si>
  <si>
    <t>183403</t>
  </si>
  <si>
    <t>Develop an effective communication strategy for NDPIII</t>
  </si>
  <si>
    <t>18340301</t>
  </si>
  <si>
    <t xml:space="preserve">Communication Strategy for NDP III implementation </t>
  </si>
  <si>
    <t>NDPIII communication strategy in Place.</t>
  </si>
  <si>
    <t>Develop and implement a communication strategy for NDPIII.</t>
  </si>
  <si>
    <t>Proportion of the NDPIII communication strategy implemented.</t>
  </si>
  <si>
    <t>183404</t>
  </si>
  <si>
    <t>Develop integrated M&amp;E framework and system for the NDP</t>
  </si>
  <si>
    <t>18340401</t>
  </si>
  <si>
    <t>Oversight M&amp;E framework produced.</t>
  </si>
  <si>
    <t>No. of Oversight M&amp;E Frameworks in place.</t>
  </si>
  <si>
    <t>Develop and operationalize the oversight M&amp;E framework</t>
  </si>
  <si>
    <t xml:space="preserve">Operational Integrated NDP M&amp;E system </t>
  </si>
  <si>
    <t>Functional Integrated NDP M&amp;E system</t>
  </si>
  <si>
    <t>Develop and Operationalize the integrated M&amp;E framework and system for the NDP.</t>
  </si>
  <si>
    <t>Quarterly and monthly NDP implementation reports</t>
  </si>
  <si>
    <t>18340402</t>
  </si>
  <si>
    <t>Timely and quality national development reports informing policy decisions</t>
  </si>
  <si>
    <t>National Development Report (NDR) in place.</t>
  </si>
  <si>
    <t>18340403</t>
  </si>
  <si>
    <t>A National Evaluation Agenda</t>
  </si>
  <si>
    <t>A National Evaluation Agenda in Place</t>
  </si>
  <si>
    <t>Develop and implement a National Evaluation Agenda.</t>
  </si>
  <si>
    <t>Proportion of the National Evaluation Agenda implemented.</t>
  </si>
  <si>
    <t>18340404</t>
  </si>
  <si>
    <t xml:space="preserve">A functional Secretariat for NDPIII programmes Coordination </t>
  </si>
  <si>
    <t>A functional Secretariat for NDPIII programmes Coordination in place</t>
  </si>
  <si>
    <t>18340405</t>
  </si>
  <si>
    <t>Effective DPI Programme Secretariat</t>
  </si>
  <si>
    <t xml:space="preserve">Proportion of programme outcome indicator targets achieved </t>
  </si>
  <si>
    <t>Proportion of the programme Outputs implemented.</t>
  </si>
  <si>
    <t>18340406</t>
  </si>
  <si>
    <t xml:space="preserve">Baraza Forum scaled up to all districts </t>
  </si>
  <si>
    <t>No. of Districts with the Baraza Forums</t>
  </si>
  <si>
    <t>Conduct  baraza  in different LGs &amp; follow-up implementation of of the findings and proposals</t>
  </si>
  <si>
    <t>184</t>
  </si>
  <si>
    <t>Accountability Systems and Service Delivery</t>
  </si>
  <si>
    <t>1844</t>
  </si>
  <si>
    <t>184405</t>
  </si>
  <si>
    <t>Develop and roll out of the National Public Risk Management system in line with international best practices</t>
  </si>
  <si>
    <t>18440501</t>
  </si>
  <si>
    <t>National Public Risk Management system developed in line with international best practices</t>
  </si>
  <si>
    <t xml:space="preserve">Functional National Public Risk Management system </t>
  </si>
  <si>
    <t>Develop  and implement a Public Risk system the different MDAs and LGs</t>
  </si>
  <si>
    <t xml:space="preserve">Percentage of MDAs where the National Public Risk Management system has been rolled out to. </t>
  </si>
  <si>
    <t xml:space="preserve"> No of risk registers developed</t>
  </si>
  <si>
    <t>184406</t>
  </si>
  <si>
    <t>Enhance staff capacity to conduct high quality and impact-driven performance audits across government</t>
  </si>
  <si>
    <t>18440601</t>
  </si>
  <si>
    <t>Capacity built to conduct high quality and impact - driven performance Audits</t>
  </si>
  <si>
    <t xml:space="preserve"> % of planned training activities undertaken  </t>
  </si>
  <si>
    <t>Develop and Implement a comprehensive capacity building programme to undertake high quality and impact driven audits across government addressing emerging areas, public sector priorities stakeholder needs and enhanced organizational performance Construct and equip OAG off – site facility which will accommodate a Regional training center, Engineering and Forensic Laboratories and Kampala branch.</t>
  </si>
  <si>
    <t>Percentage increase in Audits undertaken.</t>
  </si>
  <si>
    <t>Carry out performance Audits</t>
  </si>
  <si>
    <t>No. of OAG off site facilities (Forensic Labaratories,..etc) constructed and commissioned by 2024.</t>
  </si>
  <si>
    <t>Construct and equip OAG off – site facility which will accommodate a Regional training center, Engineering and Forensic Laboratories and Kampala branch.</t>
  </si>
  <si>
    <t>Proportion of MDA/LG internal audit staff trained to conduct high quality impact driven performance audits.</t>
  </si>
  <si>
    <t>Build capacity in conducting high quality and impact - driven performance Audits across government addressing emerging areas, public sector priorities stakeholder needs</t>
  </si>
  <si>
    <t>IT and PA manuals, standards and guidelines in place.</t>
  </si>
  <si>
    <t>Develop manuals, standards and guidelines for performance audit across government</t>
  </si>
  <si>
    <t>Carry out IT Audits in MDALGs</t>
  </si>
  <si>
    <t>MFPED, MoICT</t>
  </si>
  <si>
    <t>18440602</t>
  </si>
  <si>
    <t xml:space="preserve">Internal Audit Service delivery standards to increase efficiency and effectiveness defined </t>
  </si>
  <si>
    <t>Internal Audit Service delivery Standards in Place.</t>
  </si>
  <si>
    <t>Develop and implement internal Audit service delivery standards</t>
  </si>
  <si>
    <t xml:space="preserve">Enforce compliance to Internal Audit Service delivery standards to increase efficiency and effectiveness </t>
  </si>
  <si>
    <t>18440603</t>
  </si>
  <si>
    <t>Internal Audit strategy developed and implemented</t>
  </si>
  <si>
    <t xml:space="preserve">Approved Internal Audit strategy </t>
  </si>
  <si>
    <t>Develop and implement the internal audit strategy</t>
  </si>
  <si>
    <t>18440604</t>
  </si>
  <si>
    <t>Audit committee manuals developed and updated.</t>
  </si>
  <si>
    <t>Updated Audit committee manuals in place</t>
  </si>
  <si>
    <t>Develop and update Audit committee manuals</t>
  </si>
  <si>
    <t>1824</t>
  </si>
  <si>
    <t>182407</t>
  </si>
  <si>
    <t>Strengthen expenditure tracking, inspection and accountability on green growth</t>
  </si>
  <si>
    <t>18240701</t>
  </si>
  <si>
    <t>A Green Growth Expenditure review report</t>
  </si>
  <si>
    <t>A Green growth Expenditure review report in Place.</t>
  </si>
  <si>
    <t xml:space="preserve">Conduct a Green Expenditure review </t>
  </si>
  <si>
    <t>18240702</t>
  </si>
  <si>
    <t>Inspection reports on Green growth.</t>
  </si>
  <si>
    <t>No. of inspection reports on green growth expenditure and Accountability</t>
  </si>
  <si>
    <t>Monitor the implementation of Green Growth Strategy</t>
  </si>
  <si>
    <t>1815</t>
  </si>
  <si>
    <t xml:space="preserve">Strengthen the capacity of the statistical system to generate data for national development </t>
  </si>
  <si>
    <t>181501</t>
  </si>
  <si>
    <t>Align and synchronize national survey and census programmes to NDPIII, Africa Agenda 2063, SDGs and other development framework data requirements</t>
  </si>
  <si>
    <t>18150101</t>
  </si>
  <si>
    <t>Censuses and Surveys aligned to NDPIII ,Africa Agenda 2063, SDGs and other development framework data requirements</t>
  </si>
  <si>
    <t>Proportions of Census aligned to NDPIII, Africa Agenda 2063,SDGs and other Development framework data requirements</t>
  </si>
  <si>
    <t>UBoS</t>
  </si>
  <si>
    <t xml:space="preserve">Undertake long-term censuses and surveys intergrating NDPIII,Agenda 2063,SDGs.. data requirements </t>
  </si>
  <si>
    <t>18150102</t>
  </si>
  <si>
    <t xml:space="preserve">NSS Integrated Long-term censuses and surveys Plan </t>
  </si>
  <si>
    <t>Proportion of the long-term censuses and survey plan implemented as scheduled.</t>
  </si>
  <si>
    <t>181502</t>
  </si>
  <si>
    <t>Acquire and/or develop necessary statistical infrastructure in the NSS including physical, Information and Communication Technology and Human Resources</t>
  </si>
  <si>
    <t>18150201</t>
  </si>
  <si>
    <t>Functional statistical units in MDAs and LGs.</t>
  </si>
  <si>
    <t>Proportion of MDAs and LGs implementing the PNSD with functional statistics units.</t>
  </si>
  <si>
    <t>Equip and resource MDA and LG statistical units.</t>
  </si>
  <si>
    <t>18150202</t>
  </si>
  <si>
    <t>Functional e-data dissemination Platform</t>
  </si>
  <si>
    <t>No. of Users of the UBOS e-data dissemination Platform</t>
  </si>
  <si>
    <t>Update the UBOS website with data for dissemination</t>
  </si>
  <si>
    <t>181503</t>
  </si>
  <si>
    <t>Harness new data sources including big data, data science, block chain technologies and geospatial technologies in statistical production</t>
  </si>
  <si>
    <t>18150301</t>
  </si>
  <si>
    <t>New data sources integrated in the production of Official Statistics.</t>
  </si>
  <si>
    <t>Number of experts trained in compilation and use of non-traditional data.</t>
  </si>
  <si>
    <t>Build capacity to compile and use nontraditional data sources for statistical production.</t>
  </si>
  <si>
    <t>181504</t>
  </si>
  <si>
    <t>Amend the UBOS Act, 1998 to be inclusive of the NSS to better coordinate the NSS and define the roles of other players within the NSS Framework</t>
  </si>
  <si>
    <t>18150401</t>
  </si>
  <si>
    <t>Updated UBOS Act</t>
  </si>
  <si>
    <t>Amended UBOS Act in place.</t>
  </si>
  <si>
    <t>Review and amend the UBOS Act.</t>
  </si>
  <si>
    <t>181505</t>
  </si>
  <si>
    <t>Review and update the National Standard Indicator Framework in line with the NDP III, Agenda 2063 and SDGs</t>
  </si>
  <si>
    <t>18150501</t>
  </si>
  <si>
    <t>Updated National Standard Indicator (NSI) framework</t>
  </si>
  <si>
    <t>Proportion of National, regional and international development frameworks indicators integrated in the NSI.</t>
  </si>
  <si>
    <t>Review and update the NSI framework with National, regional and international development frameworks indicators.</t>
  </si>
  <si>
    <t>Updated national standard indicator (NSI) framework in place and online.</t>
  </si>
  <si>
    <t>181506</t>
  </si>
  <si>
    <t>Standardize and operationalize use of standard statistical infrastructure including the rules, regulations and instruments for conducting Censuses and Surveys among data producers</t>
  </si>
  <si>
    <t>18150601</t>
  </si>
  <si>
    <t>Statistical Rules, regulations and instruments Standardized and operationalized.</t>
  </si>
  <si>
    <t>Proportion of MDAs and HLGs trained in the use of statistical standards</t>
  </si>
  <si>
    <t>Popularize, Statistical Rules, regulations and Standards</t>
  </si>
  <si>
    <t>181507</t>
  </si>
  <si>
    <t>Mainstream documentation of methodologies (Metadata) for NSS indicators</t>
  </si>
  <si>
    <t>18150701</t>
  </si>
  <si>
    <t xml:space="preserve">Updated NSS Metadata Handbook and Compendium  of Statistical Concepts and Definition </t>
  </si>
  <si>
    <t>Proportion of NSI with up-to-date metadata</t>
  </si>
  <si>
    <t>Develop metadata for MDA and LG indicators.</t>
  </si>
  <si>
    <t>18150702</t>
  </si>
  <si>
    <t>Updated statistical standards profile.</t>
  </si>
  <si>
    <t>Proportion of NSI compiled using international standards.</t>
  </si>
  <si>
    <t>Integrate international standards in statistical production.</t>
  </si>
  <si>
    <t>181508</t>
  </si>
  <si>
    <t>Build the capacity the civil society and private sector associations in the production and use of statistics</t>
  </si>
  <si>
    <t>18150801</t>
  </si>
  <si>
    <t>1CSOs, private sector associations trained in production and use of statistics</t>
  </si>
  <si>
    <t>Number of CSOs and private sector associations trained in production of and use of statistics.</t>
  </si>
  <si>
    <t>Train CSOs and private sector associations in statistical production.</t>
  </si>
  <si>
    <t>181509</t>
  </si>
  <si>
    <t>Undertake research to improve methodologies for key statistics and indicators</t>
  </si>
  <si>
    <t>18150901</t>
  </si>
  <si>
    <t xml:space="preserve">Statistical Methodological research reports </t>
  </si>
  <si>
    <t>Number of new statistical indicators compiled</t>
  </si>
  <si>
    <t>Develop methodologies for new statistical products.</t>
  </si>
  <si>
    <t>181510</t>
  </si>
  <si>
    <t>Support Statistical professional development and application through collaboration with the academia and relevant international organizations</t>
  </si>
  <si>
    <t>18151001</t>
  </si>
  <si>
    <t xml:space="preserve">New global trends in statistics integrated in the Statistics academic curriculum. </t>
  </si>
  <si>
    <t>Proportion of new concepts integrated in the Statistics academic curriculum.</t>
  </si>
  <si>
    <t>Review and update the Statistics academic curriculum.</t>
  </si>
  <si>
    <t>181511</t>
  </si>
  <si>
    <t xml:space="preserve">Enhance the compilation, management and use of Administrative data among the MDAs and LGs; </t>
  </si>
  <si>
    <t>181511a</t>
  </si>
  <si>
    <t>Strengthen compilation of statistics for cross-cutting issues e.g. (migration, gender, refugees and others)</t>
  </si>
  <si>
    <t>181511a01</t>
  </si>
  <si>
    <t>Statistics on cross cutting issues compiled and disseminated.</t>
  </si>
  <si>
    <t>Proportion of statistical reports with cross-cutting issues. (e.g. migration, gender, refugees and others) integrated.</t>
  </si>
  <si>
    <t>Produce statistical reports on crosscutting issues produced.</t>
  </si>
  <si>
    <t>181511a02</t>
  </si>
  <si>
    <t>Number of Briefs compiled on Statistics for Cross cutting issues and disseminated.</t>
  </si>
  <si>
    <t>181511a03</t>
  </si>
  <si>
    <t>Government Finance Statistics produced to guide Policy analysis</t>
  </si>
  <si>
    <t>Government Finance Statistics in Place and used to guide Policy analysis</t>
  </si>
  <si>
    <t>Undertake collection of  government financial statistics</t>
  </si>
  <si>
    <t>181511a04</t>
  </si>
  <si>
    <t>Administrative data Collected among the MDAs and LGs with a focus on cross cutting issues.</t>
  </si>
  <si>
    <t>Proportion of MDAs and LGs collecting administrative data focusing on cross cutting issues</t>
  </si>
  <si>
    <t>Build capacity in, and coordinate the collection and storage of  administrative and high frequency data  across government .</t>
  </si>
  <si>
    <t>181511b</t>
  </si>
  <si>
    <t>Strengthenproduction and use of disaggregated district level statistics for planning</t>
  </si>
  <si>
    <t>181511b01</t>
  </si>
  <si>
    <t>Functional community information system at parish level.</t>
  </si>
  <si>
    <t>Proportion of parishes with functional Community information system</t>
  </si>
  <si>
    <t>Develop and operationalize real time community information systems at parish level.</t>
  </si>
  <si>
    <t>181511b02</t>
  </si>
  <si>
    <t>Effective and efficient birth and death registration services at district level.</t>
  </si>
  <si>
    <t xml:space="preserve">Proportion of districts with effective and efficient birth and death registration services </t>
  </si>
  <si>
    <t>Resource, train and equip districts in the compilation of BDR data.</t>
  </si>
  <si>
    <t>1816</t>
  </si>
  <si>
    <t>Strengthen the Research and Evaluation function to better inform planning and plan implementation</t>
  </si>
  <si>
    <t>181601</t>
  </si>
  <si>
    <t>Develop the National Development Planning Research Agenda</t>
  </si>
  <si>
    <t>18160101</t>
  </si>
  <si>
    <t>National Development Planning Research Agenda</t>
  </si>
  <si>
    <t>National Development Planning Research Agenda in place and operational.</t>
  </si>
  <si>
    <t xml:space="preserve">Develop the National Research Agenda to suppport Development Planning </t>
  </si>
  <si>
    <t>Proportion of the research agenda implemented.</t>
  </si>
  <si>
    <t>Undertake research in line with the national research agenda.</t>
  </si>
  <si>
    <t xml:space="preserve"> No. of Evidence based research using modelling techniques done.</t>
  </si>
  <si>
    <t>Undertake Evidence based research using modelling techniques</t>
  </si>
  <si>
    <t>181602</t>
  </si>
  <si>
    <t>Develop an integrated system for tracking implementation of internal and external audit recommendations</t>
  </si>
  <si>
    <t>18160201</t>
  </si>
  <si>
    <t>Integrated and functional system for tracking implementation of Audit recommendations developed and rolled out.</t>
  </si>
  <si>
    <t>Integrated system in place by December 2021.</t>
  </si>
  <si>
    <t>Develop and rollout an Integrated system for tracking implementation of Audit recommendations</t>
  </si>
  <si>
    <t>Proportion of audit and investigation recommendations tracked.</t>
  </si>
  <si>
    <t>Maintain the Integrated system for tracking implementation of Audit recommendations</t>
  </si>
  <si>
    <t>181603</t>
  </si>
  <si>
    <t xml:space="preserve">Expand the Performance/Value for Money Audits, Specialized Audits and Forensic Investigations undertakings </t>
  </si>
  <si>
    <t>18160301</t>
  </si>
  <si>
    <t>Increased Performance / Value for Money Audits, Specialized Audits and Forensics investigations undertaken.</t>
  </si>
  <si>
    <t>Number of Performance / Value for Money Audits, Specialized Audits and Forensics investigations undertaken.</t>
  </si>
  <si>
    <t>Undertake more Performance / Value for Money Audits, Specialized Audits and Forensics investigations.</t>
  </si>
  <si>
    <t>18160302</t>
  </si>
  <si>
    <t>Proportion of Forensic/Special audit investigations undertaken</t>
  </si>
  <si>
    <t>Gender and Equity Compliance Enhanced (Annual Report on the State of Equal Opportunities in Uganda)</t>
  </si>
  <si>
    <t>Number of Annual Report on the State of equal opportunities in Uganda</t>
  </si>
  <si>
    <t>Conduct Gender &amp;Equity Audits and research AND Produce and disseminate the Annual Report on the State of Equal Opportunities in Uganda</t>
  </si>
  <si>
    <t>181604</t>
  </si>
  <si>
    <t>Strengthen the follow up mechanism to streamline the roles of the relevant oversight committees to avoid duplication of roles</t>
  </si>
  <si>
    <t>18160401</t>
  </si>
  <si>
    <t>Updated terms of reference for oversight committees</t>
  </si>
  <si>
    <t>Proportion of oversight committees with updated TORs.</t>
  </si>
  <si>
    <t>Review and harmonize TORs for oversight committees.</t>
  </si>
  <si>
    <t>18160402</t>
  </si>
  <si>
    <t>Harmonized Oversight Committees roles.</t>
  </si>
  <si>
    <t>Harmonized Oversight Committees roles in Place.</t>
  </si>
  <si>
    <t>Review,harmonise and compile a unified document with harmonized oversight committee roles/functions..</t>
  </si>
  <si>
    <t>18160403</t>
  </si>
  <si>
    <t>Number of meetings with oversight committees</t>
  </si>
  <si>
    <t>Regular coordination meetings with the various oversight committees.</t>
  </si>
  <si>
    <t>18160404</t>
  </si>
  <si>
    <t>Inter-Ministerial activities coordinated to address the bottlenecks in service delivery.</t>
  </si>
  <si>
    <t xml:space="preserve">Number Inter ministerial meetings convened </t>
  </si>
  <si>
    <t xml:space="preserve">Convening inter-ministerial meetings </t>
  </si>
  <si>
    <t>18160405</t>
  </si>
  <si>
    <t>PACOB reports on programme Budgets alignment to NDPIII</t>
  </si>
  <si>
    <t>Number of PACOB reports on Programme Budgets alignment to NDPIII (along the 5 NDPIII strategic Objectives)</t>
  </si>
  <si>
    <t>Conduct PACOB meetings to interrogate programme/MDA Budgets in respect to the PIAPs</t>
  </si>
  <si>
    <t>Proportion of the PACOB report recommendations implemented by respective MDAs.</t>
  </si>
  <si>
    <t>18160406</t>
  </si>
  <si>
    <t>Status report on the implementation of the SDGs across MDAs.</t>
  </si>
  <si>
    <t>Status report on the implementation of the SDGs across MDAs in Place.</t>
  </si>
  <si>
    <t xml:space="preserve">Monitor the implementation of SDGs and facilitate meetings to fast track the SDGs. </t>
  </si>
  <si>
    <t>Proportion of recommendations in the SDG status report implemented.</t>
  </si>
  <si>
    <t>Number of SGDs on track</t>
  </si>
  <si>
    <t>181605</t>
  </si>
  <si>
    <t>Promote the use of big data analysis techniques in Audit and Investigations</t>
  </si>
  <si>
    <t>18160501</t>
  </si>
  <si>
    <t>Big data analysis techniques incorporated in Audit and Investigations promoted</t>
  </si>
  <si>
    <t>Number of audits undertaken using big data analytics</t>
  </si>
  <si>
    <t>Acquire technology (software and hardware) and undertake audits requiring big data analysis.</t>
  </si>
  <si>
    <t>Number of OAG staff trained in big data analysis</t>
  </si>
  <si>
    <t>Train OAG staff in the use of big data analytics</t>
  </si>
  <si>
    <t>Number of URA staff trained in big data analysis</t>
  </si>
  <si>
    <t>Train URA staff in the use of big data analytics</t>
  </si>
  <si>
    <t>Build Internal Auditors capacity in using big data and Undertake Audits using the big data analysis</t>
  </si>
  <si>
    <t>18160502</t>
  </si>
  <si>
    <t>Capacity for use of big data analysis techniques in Financial Analysis and management to aid decision and policy formulation built.</t>
  </si>
  <si>
    <t>Number of staff trained in use of big data analysis techniques in Financial Analysis</t>
  </si>
  <si>
    <t>Number of Internal Audit staff trained in big data analysis</t>
  </si>
  <si>
    <t>181606</t>
  </si>
  <si>
    <t>Amend the relevant laws and regulations to strengthen institutional evaluation, policy evaluation, plan/program and project evaluation</t>
  </si>
  <si>
    <t>18160601</t>
  </si>
  <si>
    <t>Relevant laws and regulations amended to strengthen institutional evaluation, policy evaluation, plan/program and project evaluation</t>
  </si>
  <si>
    <t>Updated laws and regulations amended to strengthen institutional evaluation, policy evaluation, plan/program and project evaluation</t>
  </si>
  <si>
    <t>Amend legal framework to provide for effective evaluation.</t>
  </si>
  <si>
    <t>18160602</t>
  </si>
  <si>
    <t>Research and Evaluation Capacity built</t>
  </si>
  <si>
    <t xml:space="preserve">Number of staff trained in Research and Evaluation </t>
  </si>
  <si>
    <t>Population and Development: Population Research Agenda; Technical Oversight of the Demographic Dividend Strategy</t>
  </si>
  <si>
    <t>Flagship Reports: Production and Publication of the Poverty Status Reports; Sustainable Development Reports; Annual Private Sector Development Report; and Background to the Budget</t>
  </si>
  <si>
    <t>181607</t>
  </si>
  <si>
    <t>Build research and evaluation capacity to inform planning, implementation as well as monitoring and evaluation;</t>
  </si>
  <si>
    <t>18160701</t>
  </si>
  <si>
    <t>Evaluation Capacity built in MDAs and LGs.</t>
  </si>
  <si>
    <t>Proportion of staff trained in  Evaluation Capacity built in MDAs and LGs.</t>
  </si>
  <si>
    <t>Build capacity in evaluation in MDAs and LGs.</t>
  </si>
  <si>
    <t xml:space="preserve">Proportion of MDAs capacity built in Research and Evaluation </t>
  </si>
  <si>
    <t>18160702</t>
  </si>
  <si>
    <t xml:space="preserve">The Public Sector Research and Innovations function which is aligned to NDPIII is developed and implemented </t>
  </si>
  <si>
    <t xml:space="preserve">A revised Public Sector Research Agenda in place </t>
  </si>
  <si>
    <t>Develop, align and implement the Research function in the Public Sector</t>
  </si>
  <si>
    <t>18160703</t>
  </si>
  <si>
    <t>A Centre for Public Service Policy Research and Innovations for enhanced performance developed and implemented</t>
  </si>
  <si>
    <t>%age completion of Phase II construction (in terms of components completed)</t>
  </si>
  <si>
    <t xml:space="preserve">Develop a Centre for Public Service Policy Research and Innovations </t>
  </si>
  <si>
    <t xml:space="preserve">NDPIII wont prioritize build centres but operationalize the research functions </t>
  </si>
  <si>
    <t>18160704</t>
  </si>
  <si>
    <t xml:space="preserve">Evidence based research output on financing of local governments </t>
  </si>
  <si>
    <t xml:space="preserve">No of Policy briefs on LG financing </t>
  </si>
  <si>
    <t>Develop policy brief on financing of LGs</t>
  </si>
  <si>
    <t>18160705</t>
  </si>
  <si>
    <t>Research and Evaluation Capacity in taxation built.</t>
  </si>
  <si>
    <t>Number of research papers on key emerging issues in taxation</t>
  </si>
  <si>
    <t xml:space="preserve">Strengthen URA capacity in Research and Evaluation </t>
  </si>
  <si>
    <t>18160706</t>
  </si>
  <si>
    <t>Process Evaluation Report on key interventions conducted in the 18 programs.</t>
  </si>
  <si>
    <t>Number of Process Evaluation reports on key interventions conducted in the 18 programs</t>
  </si>
  <si>
    <t>Conduct process evaluations of the key interventions in the 18 programs.</t>
  </si>
  <si>
    <t>18160707</t>
  </si>
  <si>
    <t>High level strategic policy impact evaluations i.e. NDP evaluations, Decentralization Policy, YLP etc.</t>
  </si>
  <si>
    <t>Number of High level strategic policy impact evaluations conducted.</t>
  </si>
  <si>
    <t>Undertake High level strategic policy impact evaluations.</t>
  </si>
  <si>
    <t>Row Labels</t>
  </si>
  <si>
    <t>Grand Total</t>
  </si>
  <si>
    <t>06</t>
  </si>
  <si>
    <t>Natural Resource, Environment, Climate Change, Land and Water Resources Mgt</t>
  </si>
  <si>
    <t>08</t>
  </si>
  <si>
    <t>Sustainable Energy Development</t>
  </si>
  <si>
    <t>12</t>
  </si>
  <si>
    <t>Human Capital Development</t>
  </si>
  <si>
    <t>16</t>
  </si>
  <si>
    <t>Governance and Security</t>
  </si>
  <si>
    <t>17</t>
  </si>
  <si>
    <t>Regional Balanced Development</t>
  </si>
  <si>
    <t>19</t>
  </si>
  <si>
    <t>Administration of Justice</t>
  </si>
  <si>
    <t>20</t>
  </si>
  <si>
    <t>Legislature</t>
  </si>
  <si>
    <t>08X</t>
  </si>
  <si>
    <t>081</t>
  </si>
  <si>
    <t>Transmission and Distribution</t>
  </si>
  <si>
    <t>0811</t>
  </si>
  <si>
    <t>Increase access and utilization of electricity</t>
  </si>
  <si>
    <t>081101</t>
  </si>
  <si>
    <t>Rehabilitate the existing transmission network</t>
  </si>
  <si>
    <t>08110101</t>
  </si>
  <si>
    <t>Rehabilitated transmission network</t>
  </si>
  <si>
    <t>Km of Transmission line rehabilitated</t>
  </si>
  <si>
    <t>UETCL</t>
  </si>
  <si>
    <t xml:space="preserve">Implementation of Kampala Metropolitan Project (Reconductoring 47.3km of TL and Buloba Substation 330MVA, Mukono Substation-375MVA, Kawaala Substation-140MVA, Bujagali-250MVA, and Mobile SS 20MVA) </t>
  </si>
  <si>
    <t>MEMD (UETCL)</t>
  </si>
  <si>
    <t>Transformation Capacity (MVA)</t>
  </si>
  <si>
    <t xml:space="preserve">Upgrade of Mutundwe – Buloba – Kabulasoke – Masaka and Kabulasoke – Nkonge – Rugonjo – Nkenda 132kV transmission line (357.8km) and associated </t>
  </si>
  <si>
    <t>Upgrade of Kabulasoke switching station to 80MW and Nkonge substation to 80 MW</t>
  </si>
  <si>
    <t>Power Transformers Project to reinforce Substations: 2x60/80MVA 132/33kV Mutundwe SS, 2x32/40MVA 132/11kV Mutundwe SS, 1x32/40MVA 132/33kV Lugogo SS, 2x50/60MVA 132/11kV Lugogo SS, 2x50/60MVA Masaka West SS, 2x32/40MVA  132/33kV Lira substation 2x80MVA 132/33kV Tororo substation, Mbarara North 2x63MVA 132/33kV, Nkenda 2x80MVA 132/33kV, Mbarara South interbus 2x250MVA 220/132kV, Mirama 2x63MVA 132/33kV, Tororo Interbus 2x250MVA 220/132Kv</t>
  </si>
  <si>
    <t>Undertake awareness on GBV, VAC and sexual exploitation</t>
  </si>
  <si>
    <t>CSOs, NGOs</t>
  </si>
  <si>
    <t>Land Acquisition with consideration of gender and equity issues</t>
  </si>
  <si>
    <t>Number of Environmental and Social Impact Assessments and environmental Audits undertaken.</t>
  </si>
  <si>
    <t>Undertake Environmental and Social Impact Assessments and Environmental Audits for the projects.</t>
  </si>
  <si>
    <t>No. of awareness meetings undertaken.</t>
  </si>
  <si>
    <t>MEMD, UETCL</t>
  </si>
  <si>
    <t xml:space="preserve">No. of transmitted Internet Bandwidth in Mbps </t>
  </si>
  <si>
    <t>MEMD, NITA-U</t>
  </si>
  <si>
    <t>Implementation of Environment and Social Management Plans and environment audits monitoring and supervision of transmission projects</t>
  </si>
  <si>
    <t>Implement Environment and Social Management Plans and environment audits. Monitoring and supervision of transmission projects.</t>
  </si>
  <si>
    <t>081102</t>
  </si>
  <si>
    <t>Expand the transmission network to key growth economic zones (industrial and science parks, mining areas and free zones, etc.)</t>
  </si>
  <si>
    <t>08110201</t>
  </si>
  <si>
    <t xml:space="preserve">Expanded transmission network </t>
  </si>
  <si>
    <t>Km of Transmission line added to the grid</t>
  </si>
  <si>
    <t>Construction of Karuma-Kawanda Transmission line.</t>
  </si>
  <si>
    <t>Complete construction of Karuma-Olwiyo Transmission line.</t>
  </si>
  <si>
    <t>Complete construction of Karuma-Lira Transmission line.</t>
  </si>
  <si>
    <t>Complete construction of Kabale-Mirama Transmission line (83.5km, 80MVA).</t>
  </si>
  <si>
    <t>Complete construction of Opuyo-Moroto Transmission line (160km, 120MVA).</t>
  </si>
  <si>
    <t>Complete construction of Gulu-Agago Transmission line.</t>
  </si>
  <si>
    <t>Construction of Wobulenzi – Kapeeka T-Line</t>
  </si>
  <si>
    <t>Construction of Kapeeka-Kaweeta-Nakasongola T-Line</t>
  </si>
  <si>
    <t>Construction of Namanve South– Luzira T-Line-(43km, 515MVA)</t>
  </si>
  <si>
    <t>Construction of Kawanda-Kasana T-line (45km, Kasana SS-20MVA)</t>
  </si>
  <si>
    <t>Construction of 132kV Tororo – Opuyo (147.48km)</t>
  </si>
  <si>
    <t>Construction of 132kV Tororo - Lessos T-Off to Sukulu SS (1km, 160MVA)</t>
  </si>
  <si>
    <t>Construction of 220kV Bujagali – Tororo Transmission line(127km)</t>
  </si>
  <si>
    <t>Construction of 132kV Mutundwe – Entebbe TL (23.5km), Entebbe-160MVA</t>
  </si>
  <si>
    <t>Construction of 132kV Lira-Gulu-Nebbi-Arua Transmission lines and associated substations (313km,240MVA)</t>
  </si>
  <si>
    <t>Construction of 400kV Masaka – Mbarara 130.5km</t>
  </si>
  <si>
    <t xml:space="preserve">-Implementation of 220kV Hoima-Kinyara (43km,400 MVA) </t>
  </si>
  <si>
    <t>Construction of 220kV Kinyara – Kafu (49km, 500MVA)</t>
  </si>
  <si>
    <t>Construction of 132kV Mirama - Kikagati – Nsongenzi (37.3km,80MVA)</t>
  </si>
  <si>
    <t xml:space="preserve">Upgrade of Nkenda-Forptportal – Lyanda – Kabaale - Hoima to 220kV (Fortportal 160MVA, Lyanda 200MVA, Kabaale (90MVA) </t>
  </si>
  <si>
    <t>Electrification of Industrial Parks Phase III (118.5km), Jinja Industrial Park 240MVA, Njeru 160MVA, Masese 160MVA, Kasese Industrial Park 160MVA, Ishaka Industrial Park 160MVA)</t>
  </si>
  <si>
    <t>Upgrade of Mirama, Mbarara, Tororo, Nkenda substations (1520MVA)</t>
  </si>
  <si>
    <t>Construction of Transmission lines under the Standard Gauge Railway Project (174.4km, 100MVA)</t>
  </si>
  <si>
    <t>Construction of Ntinda Substation (1km,120MVA)</t>
  </si>
  <si>
    <t>Construction of 400kV Karuma-Tororo Line (690km,500MVA)</t>
  </si>
  <si>
    <t>132Kv Arua-Adjumani-Elegu</t>
  </si>
  <si>
    <t>Construction of Nkonge-Mubende-Kiboga- Kasana Transmission line (211km) and associated substations (Mubende 2x60/80MVA, Rakai 2x60/80MVA, Kiboga 2x50/60MVA, Lugazi 2x50/60MVA, Kasana 2x50/60.)</t>
  </si>
  <si>
    <t>Monitor the construction works for transmission lines and substations and report on the grid reliability</t>
  </si>
  <si>
    <t>Power generation infrastructure &amp; construction of transmission lines to Entebbe International Airport Free Zone, (33kVA) Buwaya Free Zone 37MVA, Kasese Free Zone 7.4MVA, Jinja Free Zone 7.4MVA &amp; Soroti Free Zone 7.4MVA.</t>
  </si>
  <si>
    <t>Value of development assistance attracted for expansion of transmission network (USD Millions)</t>
  </si>
  <si>
    <t>Engage development partners for support towards expansion of transmission network.</t>
  </si>
  <si>
    <t>Comprehensive study on power demand projections for 14 proposed Special Agro-industrial</t>
  </si>
  <si>
    <t>MAAIF, MoTIC, UFZA</t>
  </si>
  <si>
    <t>Valuation for  land Acquisition</t>
  </si>
  <si>
    <t>Profiling gazetted areas for industrial development in the different local governments for consideration for power transmission network</t>
  </si>
  <si>
    <t>081103</t>
  </si>
  <si>
    <t>Construct transmission lines to the DRC Congo, Northern Tanzania and Southern Sudan</t>
  </si>
  <si>
    <t>08110301</t>
  </si>
  <si>
    <t>Transmission lines to DRC Congo, Northern Tanzania and Southern Sudan</t>
  </si>
  <si>
    <t>Km of transmission lines to DRC Congo, Northern Tanzania and Southern Sudan</t>
  </si>
  <si>
    <t>Construction of 220kV Masaka - Mutukula – Mwanza (82km)</t>
  </si>
  <si>
    <t>Kilometers of land Valued for  Acquisition</t>
  </si>
  <si>
    <t>Construction of 220kV Nkenda - Mpondwe - Beni- Bunia (72.5km)</t>
  </si>
  <si>
    <t>Construction of 400kV Olwiyo - Elegu - Juba (134km, Elegu SS-160MVA)</t>
  </si>
  <si>
    <t>Km of Protected Areas electrified (Paraa ,Mubako, Wankwar Gate, Sambiya River Lodge, Pakuba lodge, Geremech, Apoka)</t>
  </si>
  <si>
    <t>Electrification of Protected Areas in National Parks (Paraa ,Mubako, Wankwar Gate, Sambiya River Lodge, Pakuba lodge, Geremech, Apoka)</t>
  </si>
  <si>
    <t>Finalize the hearing of existing complaints as well as receive, hear and resolve complaints in regards to transmission, regulation and distribution of Electricity including People with Disability (PWDs), elderly, women and youth.</t>
  </si>
  <si>
    <t>MEMD (ERA)</t>
  </si>
  <si>
    <t>MEMD, UETCL, REA</t>
  </si>
  <si>
    <t>Create public awareness in regards to EDT Mandate for purposes of where to seek redress for aggrieved parties in regards to the electricity sector including gender and equity issues.</t>
  </si>
  <si>
    <t>UETCL, MEMD</t>
  </si>
  <si>
    <t>Establish EDT regional offices to bring redress services closer to the people.</t>
  </si>
  <si>
    <t>Roll out EDT Sittings to other Districts to enhance access with consideration to women, elderly and PWDs</t>
  </si>
  <si>
    <t>081104</t>
  </si>
  <si>
    <t>Expand and rehabilitate the distribution network (grid expansion and densification, last mile connections, evacuation of small generation plants, quality of supply projects)</t>
  </si>
  <si>
    <t>08110401</t>
  </si>
  <si>
    <t>Expanded distribution network</t>
  </si>
  <si>
    <t>Km of Medium Voltage lines constructed</t>
  </si>
  <si>
    <t>REA</t>
  </si>
  <si>
    <t>Electrification of sub-counties in Uganda</t>
  </si>
  <si>
    <t>MEMD (UEDCL)</t>
  </si>
  <si>
    <t>Km of low Voltage lines constructed</t>
  </si>
  <si>
    <t>Implementation of Grid densification projects.</t>
  </si>
  <si>
    <t>123 Rural Electrification Agency (REA)</t>
  </si>
  <si>
    <t>MEMD, UEDCL</t>
  </si>
  <si>
    <t>Construction and rehabilitation of distribution network.</t>
  </si>
  <si>
    <t>Land acquisition with consideration to gender and equity issues.</t>
  </si>
  <si>
    <t>MEMD, UEDCL, REA</t>
  </si>
  <si>
    <t>Monitor construction works for projects in the power Distribution segment and report on the grid reliability</t>
  </si>
  <si>
    <t>ERA, REA</t>
  </si>
  <si>
    <t>Construction of 10 switching station across 8 territories (Atiak, Lwala, Ntungamo, Bobi, Kyabirikwa, Kazo, Kyarutanga, Namayingo, Kisiizi, Kagadi/Muhororo, Acholibur, Lumbugu, Sembabule)</t>
  </si>
  <si>
    <t xml:space="preserve">Grid intensification (East, Central North, North East, North North West, North West, South, South West, MidWest) </t>
  </si>
  <si>
    <t>UEDCL, MEMD, ERA</t>
  </si>
  <si>
    <t>System improvement (East, Central North, North East, North North West, North West, South, South West, Midwest)</t>
  </si>
  <si>
    <t>ERA</t>
  </si>
  <si>
    <t>Automate network operations (Autorecloser circuit breakers, load break switches &amp; air break switches)</t>
  </si>
  <si>
    <t>MEMD, ERA, REA</t>
  </si>
  <si>
    <t>LAA MV feeder refurbishment (km)</t>
  </si>
  <si>
    <t>REA, ERA</t>
  </si>
  <si>
    <t>LAA LV refurbishment (km)</t>
  </si>
  <si>
    <t>UETCL, ERA, REA</t>
  </si>
  <si>
    <t>LAA substation redesign</t>
  </si>
  <si>
    <t>33kV evacuation lines from UETCL substations (km)</t>
  </si>
  <si>
    <t>MEMD, ERA</t>
  </si>
  <si>
    <t>LV bare wire to ABC conversion (km)</t>
  </si>
  <si>
    <t>Installation of concrete poles</t>
  </si>
  <si>
    <t>Conversion of Overhead MV lines to underground (km)</t>
  </si>
  <si>
    <t>Procurement of 33/11kV mobile substation</t>
  </si>
  <si>
    <t>MoFPED, PPDU, MEMD</t>
  </si>
  <si>
    <t>Electrification of Protected Areas in KM (Chobe, Kichumbanyobo Gate, Bukorwe, Katokye Gate, Ishasha, Katunguru Gate</t>
  </si>
  <si>
    <t>UWA, UTB, MoTIC</t>
  </si>
  <si>
    <t>Katatoro gate, Kisenyi Gate, Kikorongo Gate, Jacana Safari, Buhoma and Ruhija, Nkuringo, Rushaga, Ntebeko, Kananchu, Mainaro, Sebitoli, Karugutu, Rwonyo, Sanga Gate Education Centre, Nshara Gate, Suam, Kapkwai)</t>
  </si>
  <si>
    <t>MV Length</t>
  </si>
  <si>
    <t>Ongoing Projects</t>
  </si>
  <si>
    <t>LV Length</t>
  </si>
  <si>
    <t>Number</t>
  </si>
  <si>
    <t>No. of Sub counties electrified</t>
  </si>
  <si>
    <t>Planned projects</t>
  </si>
  <si>
    <t>403,740(ECP and OBA)</t>
  </si>
  <si>
    <t>Last Mile Connections</t>
  </si>
  <si>
    <t>UEDCL, MEMD</t>
  </si>
  <si>
    <t>Ongoing Evacuation Lines</t>
  </si>
  <si>
    <t xml:space="preserve">Planned evacuation lines </t>
  </si>
  <si>
    <t>UEDCL</t>
  </si>
  <si>
    <t>Quality of Supply projects (Inclusive of densification)</t>
  </si>
  <si>
    <t>ERA, MoFPED</t>
  </si>
  <si>
    <t>UEDCL, MEMD, REA</t>
  </si>
  <si>
    <t>081105</t>
  </si>
  <si>
    <t>Develop renewable off-grid energy solutions (Construct 10,000 km of medium voltage networks and 15,000 km of low voltage network)</t>
  </si>
  <si>
    <t>08110501</t>
  </si>
  <si>
    <t>Off-grid and mini-grids constructed</t>
  </si>
  <si>
    <t>Number of off-grid mini-grids constructed</t>
  </si>
  <si>
    <t>REA, MEMD</t>
  </si>
  <si>
    <t>Construction of mini-grids in northern and south western Uganda</t>
  </si>
  <si>
    <t>MEMD (UEGCL)</t>
  </si>
  <si>
    <t>08110502</t>
  </si>
  <si>
    <t>Medium and low voltage networks constructed</t>
  </si>
  <si>
    <t>Km of medium voltage networks constructed</t>
  </si>
  <si>
    <t>Land acquisition</t>
  </si>
  <si>
    <t>MEMD, UEGCL, UEDCL</t>
  </si>
  <si>
    <t>Km of  low voltage networks constructed</t>
  </si>
  <si>
    <t>Renewable off-grid mini-grids</t>
  </si>
  <si>
    <t>081106</t>
  </si>
  <si>
    <t>Establish mechanisms to reduce the end-user tariffs</t>
  </si>
  <si>
    <t>08110601</t>
  </si>
  <si>
    <t>Consumers connected to the grid</t>
  </si>
  <si>
    <t>Number of consumers connected to the grid per consumer category (Large Industrial, Medium industrial, Commercial and domestic</t>
  </si>
  <si>
    <t>REA/ UEDCL</t>
  </si>
  <si>
    <t>Implementation of free connections policy taking into consideration people with disabilities, the elderly, the male and female headed houselds.</t>
  </si>
  <si>
    <t>Tariff stabilization to enable affordability by all.</t>
  </si>
  <si>
    <t>MEMD, REA, UEDCL</t>
  </si>
  <si>
    <t>Demand side management</t>
  </si>
  <si>
    <t>UEDCL, REA</t>
  </si>
  <si>
    <t>Promotion of energy efficiency</t>
  </si>
  <si>
    <t>REA, ERA, UEDCL</t>
  </si>
  <si>
    <t>Substations improvement in industrial parks</t>
  </si>
  <si>
    <t>Network loss reduction</t>
  </si>
  <si>
    <t>MEMD, REA</t>
  </si>
  <si>
    <t>Provide Credit Support Facility in support of wiring for on-grid household &amp; SME connections and three phase connections for commercial enterprises including women, elderly and persons with disabilities.</t>
  </si>
  <si>
    <t>MEMD (UECCC)</t>
  </si>
  <si>
    <t>MEMD, REA, ERA, UEDCL</t>
  </si>
  <si>
    <t>Population connected to national grid (%)</t>
  </si>
  <si>
    <t>Implementation of free connections policy with consideration to gender and equity issues.</t>
  </si>
  <si>
    <t>MEMD, REA, ERA</t>
  </si>
  <si>
    <t>Implementation of rural electrification project with consideration to gender and equity issues.</t>
  </si>
  <si>
    <t>Construction and rehabilitation of transmission and distribution network.</t>
  </si>
  <si>
    <t>REA, MEMD, ERA, UEDCL</t>
  </si>
  <si>
    <t>REA, MEMD, UETCL</t>
  </si>
  <si>
    <t>Implement ERA strategic plan to ensure quality of service enforcement in the electricity service industry.</t>
  </si>
  <si>
    <t>Promotion of standalone solar home systems and mini-grids (test lab for solar home system components: test equipment, test methods training &amp; test facility) including the marginalized groups.</t>
  </si>
  <si>
    <t>MEMD, UEDCL, UEGCL, ERA, REA</t>
  </si>
  <si>
    <t>081107</t>
  </si>
  <si>
    <t>Develop ICT solution to enable efficient and effective cascade Management of the dams along the Nile</t>
  </si>
  <si>
    <t>08110701</t>
  </si>
  <si>
    <t>ICT solution along the Nile developed</t>
  </si>
  <si>
    <t>ICT solutions in place</t>
  </si>
  <si>
    <t>Software systems (SCADA) developed</t>
  </si>
  <si>
    <t>Software systems in place</t>
  </si>
  <si>
    <t>Implementation of modern SCADA systems--Network systems upgrade and improvements.</t>
  </si>
  <si>
    <t>UEGCL, MEMD, ERA</t>
  </si>
  <si>
    <t>081108</t>
  </si>
  <si>
    <t>Develop and enforce standards on quality of service in the energy industry</t>
  </si>
  <si>
    <t>08110801</t>
  </si>
  <si>
    <t>Increased compliance to energy standards</t>
  </si>
  <si>
    <t>Standards on quality of service in the energy industry in place</t>
  </si>
  <si>
    <t>Number of quality management systems developed</t>
  </si>
  <si>
    <t xml:space="preserve">Development of a net metering framework </t>
  </si>
  <si>
    <t>UETCL, ERA, MEMD</t>
  </si>
  <si>
    <t xml:space="preserve">Develop, gazette and popularise standards </t>
  </si>
  <si>
    <t>Level of compliance to energy standards, %</t>
  </si>
  <si>
    <t>Enforce standards for imports and internal production. Equipping the Testing laboratories at UNBS (Materials  and  Electrical labs)</t>
  </si>
  <si>
    <t>Develop QHSSE standards for the energy sector</t>
  </si>
  <si>
    <t>Develop QMS</t>
  </si>
  <si>
    <t>Climate change adaptation and mitigation</t>
  </si>
  <si>
    <t>Number of adaptation and mitigation activities undertaken</t>
  </si>
  <si>
    <t>Amendment of the energy meter rules (2015) to include IT, PT, Sub-metering and metering software of Electricity meters.</t>
  </si>
  <si>
    <t>No. of the mobile verification laboratories enhanced</t>
  </si>
  <si>
    <t>Procure more mobile laboratories</t>
  </si>
  <si>
    <t>MoFPED, UNBS</t>
  </si>
  <si>
    <t>No. of the stationary laboratory to test DC meters, climatic effects on meters enhanced</t>
  </si>
  <si>
    <t xml:space="preserve">Procurement of IT/PT, Climatic Chamber and DC meters test bench </t>
  </si>
  <si>
    <t>MoICT, MoFPED</t>
  </si>
  <si>
    <t>Accreditation and proficiency testing  of the Electricity meters laboratory</t>
  </si>
  <si>
    <t>Accredited testing laboratory (energy meters, electrical and Materials Laboratories)</t>
  </si>
  <si>
    <t>UNBS, MTIC, ERA</t>
  </si>
  <si>
    <t>081109</t>
  </si>
  <si>
    <t>Review the existing Acts (Electricity Act, 1999 and Atomic Energy Act, 2008) and develop legislation for geothermal to promote exploration, development and utilization of Uganda’s geothermal resources for social and economic transformation and energy efficiency</t>
  </si>
  <si>
    <t>08110901</t>
  </si>
  <si>
    <t>Electricity Act, 1999  Amended</t>
  </si>
  <si>
    <t>Number of existing policies and Acts reviewed</t>
  </si>
  <si>
    <t>Gazette the amended Electricity Act</t>
  </si>
  <si>
    <t>Carry out and implement tax amendment changes/ budgets (including policy proposals and regulations FY22/23)</t>
  </si>
  <si>
    <t>Complete Regulatory Impact Assessment (RIA) for Atomic  Energy</t>
  </si>
  <si>
    <t>MEMD (AEC)</t>
  </si>
  <si>
    <t>MEMD, ERA, NEMA</t>
  </si>
  <si>
    <t>Atomic Energy Act, 2008 amended</t>
  </si>
  <si>
    <t>Amended Atomic Energy legislation in place</t>
  </si>
  <si>
    <t xml:space="preserve"> AEC</t>
  </si>
  <si>
    <t>Gazette the amended Atomic Energy Act, 2008</t>
  </si>
  <si>
    <t>Promotion of the amended Atomic Energy Act, 2008</t>
  </si>
  <si>
    <t>Ratify the relevant international treaties and conventions.</t>
  </si>
  <si>
    <t>MEMD, MoFA, ERA</t>
  </si>
  <si>
    <t>Develop regulations on sitting, construction, operation of nuclear power plants and for other non-nuclear power applications putting issues of gender and equity into consideration.</t>
  </si>
  <si>
    <t xml:space="preserve">Develop and/or adopt international industrial codes for construction and operation of nuclear power plants putting issues of gender and equity into consideration. </t>
  </si>
  <si>
    <t>MoFA, MEMD, ERA</t>
  </si>
  <si>
    <t>Develop practice specific codes of practice for operation of nuclear power plants and other non-nuclear power applications</t>
  </si>
  <si>
    <t>UNBS, MoD, MEMD, MoS, ERA</t>
  </si>
  <si>
    <t>Energy Efficiency and Conservation Legislation developed</t>
  </si>
  <si>
    <t>Energy Efficiency and Conservation Act Enacted</t>
  </si>
  <si>
    <t>Presentation for Cabinet Approval</t>
  </si>
  <si>
    <t>ERA, Parliament</t>
  </si>
  <si>
    <t>Presentation for Parliamentary Approval</t>
  </si>
  <si>
    <t>Presentation for Ascentment and Enactment of the ACT</t>
  </si>
  <si>
    <t>Sensitization, Awareness creation and dissemination</t>
  </si>
  <si>
    <t>08110902</t>
  </si>
  <si>
    <t>Geothermal legislation developed</t>
  </si>
  <si>
    <t>Geothermal legislation in place</t>
  </si>
  <si>
    <t>Finalize the geothermal legislation</t>
  </si>
  <si>
    <t>082</t>
  </si>
  <si>
    <t>Generation</t>
  </si>
  <si>
    <t>0822</t>
  </si>
  <si>
    <t>Increase electricity generation capacity</t>
  </si>
  <si>
    <t>082201</t>
  </si>
  <si>
    <t>Develop medium and small power plants (Muzizi HPP, Nyagak, biogas cogeneration)</t>
  </si>
  <si>
    <t>08220101</t>
  </si>
  <si>
    <t>Muzizi HPP, Nyagak and biogas cogenerations plants constructed</t>
  </si>
  <si>
    <t xml:space="preserve">Installed electricity generation capacity, MW </t>
  </si>
  <si>
    <t>UEGCL</t>
  </si>
  <si>
    <t>Construction of Nyagak III (6.5MW) and Muzizi (44MW)HPPs, Agago Achwa I,</t>
  </si>
  <si>
    <t>Muzizi HPP</t>
  </si>
  <si>
    <t>Completion of construction of  (Kikagati 16MW, Nyamagasani I (5.9MW), Nyamagasani II (15MW) and Agago Achwa (44MW)</t>
  </si>
  <si>
    <t>Nyagak III</t>
  </si>
  <si>
    <t>6.6MW</t>
  </si>
  <si>
    <t>Completion of SCOUL cogeneration Project(23MW)</t>
  </si>
  <si>
    <t>ERA, UEDCL, UETCL</t>
  </si>
  <si>
    <t>Monitoring and supervision of operational power plants.</t>
  </si>
  <si>
    <t>UEGCL, UETCL, UEDCL</t>
  </si>
  <si>
    <t>Land Acquisition for the construction of Muzizi HPPP with consideration of the marginalized groups.</t>
  </si>
  <si>
    <t xml:space="preserve">Biogas cogeneration plant constructed </t>
  </si>
  <si>
    <t>3MW</t>
  </si>
  <si>
    <t>Construction of Biogas plants</t>
  </si>
  <si>
    <t>UEDCL, UETCL</t>
  </si>
  <si>
    <t>5km power evacuation lines for Muzizi HPP Constructed</t>
  </si>
  <si>
    <t>Distance (km) of Evacuation Transmission line</t>
  </si>
  <si>
    <t>Construction of 5km 132kV  FortPortal - Hoima – Muzizi Transmission Line</t>
  </si>
  <si>
    <t>79km power evacuation line Mbale-Bulambuli  to evacuate Siti 2 HPP, Sisi, Simu constructed</t>
  </si>
  <si>
    <t xml:space="preserve">Construction of 79km 132kV – Mbale- Bulambuli Line and associated substations </t>
  </si>
  <si>
    <t>MEMD, UEGCL</t>
  </si>
  <si>
    <t>082202</t>
  </si>
  <si>
    <t>Undertake preliminary development of large generation plants (construction for Ayago 840 MW, feasibility for Kiba 330 MW and Oriang 392 MW)</t>
  </si>
  <si>
    <t>08220201</t>
  </si>
  <si>
    <t>Large generation plants initial activities finalized</t>
  </si>
  <si>
    <t>Generation Capacity added</t>
  </si>
  <si>
    <t>Successful completion of the Defects Liability Period (DLP) for Isimba HPP &amp; Associated Infrastructure as well as CDAP implementation for Isimba HPP.</t>
  </si>
  <si>
    <t>Large generation plants designs finalized</t>
  </si>
  <si>
    <t>Completion of construction of Karuma HPP</t>
  </si>
  <si>
    <t>Completion of feasibility study and commencement of construction works for Ayago HPP (840 MW)</t>
  </si>
  <si>
    <t>Commencement of Construction Works for Kiba HPP.</t>
  </si>
  <si>
    <t>Completion of feasibility study for Oriang HPP and licencing</t>
  </si>
  <si>
    <t>Rehabilitation of Nalubaale HPP</t>
  </si>
  <si>
    <t>Execution of Factory Acceptance Tests for projects.</t>
  </si>
  <si>
    <t>ESIA/RAP implementation for projects.</t>
  </si>
  <si>
    <t>MoLHUD, NEMA</t>
  </si>
  <si>
    <t>CDAP implementation for projects Karuma HPP</t>
  </si>
  <si>
    <t>Assessments of the hydrological river regimes</t>
  </si>
  <si>
    <t>Monitoring and supervision of feasibility studies.</t>
  </si>
  <si>
    <t>ERA, MEMD</t>
  </si>
  <si>
    <t>Updated Hydropower Master Plan</t>
  </si>
  <si>
    <t>Update the Hydropower Master plan</t>
  </si>
  <si>
    <t xml:space="preserve">4 MW of solar power plant at Busitema </t>
  </si>
  <si>
    <t>4MW  Busitema solar power plant</t>
  </si>
  <si>
    <t>4MW of solar power plant at  Jinja</t>
  </si>
  <si>
    <t xml:space="preserve">4MW in Jinja </t>
  </si>
  <si>
    <t>EIA recommendations implemented</t>
  </si>
  <si>
    <t>No. of EIA recommendations implemented</t>
  </si>
  <si>
    <t>MEMD/ NEMA</t>
  </si>
  <si>
    <t>Implementation of Environment and social  management plans</t>
  </si>
  <si>
    <t>08220202</t>
  </si>
  <si>
    <t>No. of SEA undertaken</t>
  </si>
  <si>
    <t>Carry out environment audits on projects putting issues of gender and equity into consideration.</t>
  </si>
  <si>
    <t>Undertake Gender inclusion activities</t>
  </si>
  <si>
    <t>Carry out strategic Environment assessments (SEA) for Plans, Programmes and Policies.</t>
  </si>
  <si>
    <t>08220203</t>
  </si>
  <si>
    <t>Construction of 72km Gulu-Agago Transmission line to evacuate Agago-Achwa HPP</t>
  </si>
  <si>
    <t xml:space="preserve">Distance (km) of Evacuation Transmission line </t>
  </si>
  <si>
    <t>Construction of 132kV Gulu-Agago Transmission line</t>
  </si>
  <si>
    <t>08220204</t>
  </si>
  <si>
    <t>GOU take over operation of the Namanve thermal power plant – 50MW</t>
  </si>
  <si>
    <t xml:space="preserve">Due diligence study  report </t>
  </si>
  <si>
    <t>Complete the due diligence study</t>
  </si>
  <si>
    <t>New Agreements (PPA and IA) signed</t>
  </si>
  <si>
    <t>Sign new Power Purchase Agreement</t>
  </si>
  <si>
    <t>Sign New Implementation Agreement and monitoring</t>
  </si>
  <si>
    <t>082203</t>
  </si>
  <si>
    <t>Seek approvals for construction of a nuclear power generation plant</t>
  </si>
  <si>
    <t>08220301</t>
  </si>
  <si>
    <t>Approvals for construction of a nuclear power plant finalized</t>
  </si>
  <si>
    <t>Number of approvals finalized</t>
  </si>
  <si>
    <t xml:space="preserve">MEMD &amp; ERA </t>
  </si>
  <si>
    <t>Complete site selection and evaluation</t>
  </si>
  <si>
    <t>Complete feasibility studies for the Nuclear Power Project</t>
  </si>
  <si>
    <t>Conduct an Environmental and Social Impact Assessment (ESIA) for the nuclear power project.</t>
  </si>
  <si>
    <t>Acquire land for the Nuclear Power Project</t>
  </si>
  <si>
    <t>MEMD, AEC</t>
  </si>
  <si>
    <t>Finalise a nuclear fuel supply strategy</t>
  </si>
  <si>
    <t>Complete a spent fuel and radioactive waste management strategy</t>
  </si>
  <si>
    <t>MEMD, NEMA</t>
  </si>
  <si>
    <t>Procure an EPC contractor for the Nuclear Power Project</t>
  </si>
  <si>
    <t>Develop and approve Preliminary Safety Analysis Report</t>
  </si>
  <si>
    <t>NEMA, MEMD</t>
  </si>
  <si>
    <t>Promote nuclear science and applications in health, industry and research.</t>
  </si>
  <si>
    <t>MoSTI, MEMD</t>
  </si>
  <si>
    <t>Establish a licensing criteria and process for nuclear power plants.</t>
  </si>
  <si>
    <t>Develop human resources for development and regulation of nuclear power plants.</t>
  </si>
  <si>
    <t xml:space="preserve">Enhance and harmonise national capabilities for nuclear and radiological emergency preparedness and response. </t>
  </si>
  <si>
    <t>MEMD, OPM</t>
  </si>
  <si>
    <t>Strengthen international, regional cooperation on nuclear energy.</t>
  </si>
  <si>
    <t>MEMD, MoFA</t>
  </si>
  <si>
    <t>083</t>
  </si>
  <si>
    <t>Renewable Energy Development</t>
  </si>
  <si>
    <t>0833</t>
  </si>
  <si>
    <t>Increase adoption and use of clean energy</t>
  </si>
  <si>
    <t>083301</t>
  </si>
  <si>
    <t>Construct 200 off-grid min-grids based on renewable energies</t>
  </si>
  <si>
    <t>08330101</t>
  </si>
  <si>
    <t>Off-grid min-grids based on renewable energies constructed</t>
  </si>
  <si>
    <t>No. of off-grid min-grids constructed</t>
  </si>
  <si>
    <t>MEMD, DLG, UECCC</t>
  </si>
  <si>
    <t>Construction of mini-grids in Northern and Western Uganda</t>
  </si>
  <si>
    <t>ESIA undertakings</t>
  </si>
  <si>
    <t>Sensitizations on productive and safe use of electricity</t>
  </si>
  <si>
    <t>Implement a Mini-Grid Financing Facility/mechanism  to support construction of 200 off-grid Mini – Grids</t>
  </si>
  <si>
    <t>MEMD, ERA, UEGCL</t>
  </si>
  <si>
    <t>083302</t>
  </si>
  <si>
    <t>Promote use of new renewable energy solutions (solar water heating, solar drying, solar cookers, wind water pumping solutions, solar water pumping solutions)</t>
  </si>
  <si>
    <t>08330201</t>
  </si>
  <si>
    <t>Increased deployment of new renewable energy solutions</t>
  </si>
  <si>
    <t>Number of solar water heaters installed</t>
  </si>
  <si>
    <t>1,000  solar water heaters Installed in schools and health units</t>
  </si>
  <si>
    <t>No. of new renewable energy solutions including: solar water heaters, solar water pumping solutions, solar irrigation solutions, solar driers installed</t>
  </si>
  <si>
    <t>UECCC</t>
  </si>
  <si>
    <t>Implement a Financial support mechanism/Facility to facilitate uptake of new renewable energy solutions (solar water heaters, solar water pumping, irrigation, driers) putting into consideration the marginalized groups.</t>
  </si>
  <si>
    <t>UEGCL, ERA, MoFPED, MEMD</t>
  </si>
  <si>
    <t>Number of households, SMEs connected to off-grid solar for lighting</t>
  </si>
  <si>
    <t xml:space="preserve">Develop and implement a Financing Facility to facilitate uptake of new renewable energy solutions (solar water heaters, solar water pumping, irrigation, driers) </t>
  </si>
  <si>
    <t>UEGCL, MoFPED, MEMD, ERA</t>
  </si>
  <si>
    <t>Number of solar dryers, installed</t>
  </si>
  <si>
    <t>MEMD, DLG</t>
  </si>
  <si>
    <t>200 low cost solar driers promoted and  installed</t>
  </si>
  <si>
    <t>Number of cookers installed</t>
  </si>
  <si>
    <t>1000 solar cookers promoted and  installed</t>
  </si>
  <si>
    <t>Number of mosquito killers  installed</t>
  </si>
  <si>
    <t>MEMD/ RED/ MOH</t>
  </si>
  <si>
    <t>10,000 mosquito killers promoted and disseminated</t>
  </si>
  <si>
    <t>MoGLSD (CSOS, NGOS)</t>
  </si>
  <si>
    <t>No. of water pumping systems disseminated</t>
  </si>
  <si>
    <t>MEMD, MWE, MAAIF</t>
  </si>
  <si>
    <t>200 solar  water pumping systems promoted and installed</t>
  </si>
  <si>
    <t>Number of wind water pumping solutions installed</t>
  </si>
  <si>
    <t>MEMD, MWE, LDG</t>
  </si>
  <si>
    <t>10 electric wind turbines for water pumping piloted</t>
  </si>
  <si>
    <t>Implement Solar Financing Facility/mechanisms to address demand side and supply side financing barriers for solar home systems acquisition putting into consideration the marginalized groups.</t>
  </si>
  <si>
    <t>UEGCL, MEMD, MoFPED, ERA</t>
  </si>
  <si>
    <t xml:space="preserve">1MW  of wind turbine power generation plant installed </t>
  </si>
  <si>
    <t>UEGCL, ERA</t>
  </si>
  <si>
    <t>083303</t>
  </si>
  <si>
    <t>Adopt the use of electric transport solutions e.g. solar powered motor cycles, bicycles and tricycles</t>
  </si>
  <si>
    <t>08330301</t>
  </si>
  <si>
    <r>
      <t>Electric transport solutions promoted</t>
    </r>
    <r>
      <rPr>
        <sz val="11"/>
        <color theme="1"/>
        <rFont val="Calibri"/>
        <family val="2"/>
        <scheme val="minor"/>
      </rPr>
      <t xml:space="preserve"> </t>
    </r>
  </si>
  <si>
    <t>Percentage of the electric transport adapted</t>
  </si>
  <si>
    <t>MEMD, MOW, MEMD, MoTI, MoST, UNBS</t>
  </si>
  <si>
    <t xml:space="preserve">Two solar electric charging stations for electric cars set up (test lab for batteries and accessories involved: test equipment, test method training and test facility)  </t>
  </si>
  <si>
    <t xml:space="preserve">Support Two (2) local  battery manufacturing  factories to producing solar /electric car batteries </t>
  </si>
  <si>
    <t>083304</t>
  </si>
  <si>
    <t>Develop a framework for net metering</t>
  </si>
  <si>
    <t>08330401</t>
  </si>
  <si>
    <t>Net metering framework developed</t>
  </si>
  <si>
    <t>A framework for net metering in place</t>
  </si>
  <si>
    <t>ERA-MEMD</t>
  </si>
  <si>
    <t>Setup guidelines and specifications for Net metering</t>
  </si>
  <si>
    <t>Regulations  for net metering in place</t>
  </si>
  <si>
    <t>MEMD, MoWT, ERA, UEGCL, UETCL</t>
  </si>
  <si>
    <t>10 electricity grid tied systems without grid export</t>
  </si>
  <si>
    <t>100 small net metering solar  systems piloted and tested on the grid</t>
  </si>
  <si>
    <t>083305</t>
  </si>
  <si>
    <t>Build local technical capacity in renewable energy solutions</t>
  </si>
  <si>
    <t>08330501</t>
  </si>
  <si>
    <t>Technical capacity in renewable energy solutions built</t>
  </si>
  <si>
    <t>Increased skilled energy experts in the sector</t>
  </si>
  <si>
    <t>Inspection of renewable energy companies, associations, products,  installed systems and trouble shooting</t>
  </si>
  <si>
    <t>Number of laboratories established</t>
  </si>
  <si>
    <t>2 laboratories for renewable energy technologies retooled and established</t>
  </si>
  <si>
    <t>Number of personnel trained</t>
  </si>
  <si>
    <t>500 technicians, trainers, officers , engineers trained in energy systems</t>
  </si>
  <si>
    <t>MoES, MoPS</t>
  </si>
  <si>
    <t>Number of Financial Institutions (FIs) supported to develop credit products for renewable energy technologies</t>
  </si>
  <si>
    <t>12 Financial Institutions</t>
  </si>
  <si>
    <t>Provide Technical Assistance (TA) to local Financial Institutions (FIs) to enhance their capacity in appraising and on-lending for Renewable Energy technologies.</t>
  </si>
  <si>
    <t>MoFPED, MEMD</t>
  </si>
  <si>
    <t>Minimum quality standards for renewable energy solutions in place</t>
  </si>
  <si>
    <t>10 standards for renewable energy technologies developed, updated and reviewed (biofuels, ethanol stoves, insecticidal solar lamp, solar driers, large biogas plant)</t>
  </si>
  <si>
    <t>084</t>
  </si>
  <si>
    <t>Energy Efficiency</t>
  </si>
  <si>
    <t>0844</t>
  </si>
  <si>
    <t>Promote utilization of energy efficient practices and technologies</t>
  </si>
  <si>
    <t>084401</t>
  </si>
  <si>
    <t>Promote uptake of alternative and efficient cooking technologies (electric cooking, domestic and institutional biogas and LPG)</t>
  </si>
  <si>
    <t>08440101</t>
  </si>
  <si>
    <t>Increased uptake of improved cook stoves</t>
  </si>
  <si>
    <t>No. of households using improved cook stoves (‘000s)</t>
  </si>
  <si>
    <t>MEMD, MoLG, UECCC</t>
  </si>
  <si>
    <t>Household charcoal stoves disseminated</t>
  </si>
  <si>
    <t>Number of standards developed and reviewed</t>
  </si>
  <si>
    <t>MEMD, UNBS</t>
  </si>
  <si>
    <t>Develop and implement a Financing mechanism to address supply side and demand side financial barriers inhibiting uptake of improved clean cooking technologies (including improved cook stoves, domestic biogas systems and LPGs).</t>
  </si>
  <si>
    <t>MEMD, UECCC</t>
  </si>
  <si>
    <t>Development of cook stoves standards</t>
  </si>
  <si>
    <t>Local production of ethanol stoves developed and ethanol stoves disseminated putting into consideration the marginalized groups.</t>
  </si>
  <si>
    <t>Grant research to scientist/researcher to develop, test and disseminate high efficient models of biomass cook stoves, briquettes, and charcoal kilns.</t>
  </si>
  <si>
    <t>Motorized briquetting machines systems with waste carbonize component disseminated.</t>
  </si>
  <si>
    <t>08440102</t>
  </si>
  <si>
    <t>Increased utilization of alternative and efficient cooking technologies</t>
  </si>
  <si>
    <t>Proportion of population using alternative and efficient cooking technologies (electric cooking, domestic and institutional biogas and LPG</t>
  </si>
  <si>
    <t>Dissemination of biogas system at households and schools level for cooking. (Replacement of septic tanks for with biogas digester)</t>
  </si>
  <si>
    <t>Establishment of 2,000 ha of bamboo trees farming for energy in North</t>
  </si>
  <si>
    <t>NFA</t>
  </si>
  <si>
    <t xml:space="preserve">Support the establishment of 5 distillers for producing ethanol for cooking and blending </t>
  </si>
  <si>
    <t>Schools and  institutional using  high efficient Fire wood / charcoal stoves disseminated  No. of Institutions  with improved cook stoves</t>
  </si>
  <si>
    <t>Increase adoption and transfer of energy efficient technologies into the local population putting into consideration the marginalized groups.</t>
  </si>
  <si>
    <t xml:space="preserve">Increase Research and development into indigenous energy efficient technologies </t>
  </si>
  <si>
    <t>MEMD, UIRI</t>
  </si>
  <si>
    <t>Promote uptake of alternative and efficient cooking technologies such as electric cooking (%) putting into consideration the marginalized groups.</t>
  </si>
  <si>
    <t xml:space="preserve">Bio gas systems at institutional level </t>
  </si>
  <si>
    <t>MoESP, MoSTI</t>
  </si>
  <si>
    <t xml:space="preserve">Establishment of security Energy woodlots in districts through bylaws of sustainable charcoal production and utilization </t>
  </si>
  <si>
    <t>MoLSG, NFA, ERA</t>
  </si>
  <si>
    <t>Establishment of energy wood lots in schools coupled with Energy Efficient stoves.</t>
  </si>
  <si>
    <t xml:space="preserve">MoESP, </t>
  </si>
  <si>
    <t>084402</t>
  </si>
  <si>
    <t>Invest in LPG infrastructure</t>
  </si>
  <si>
    <t>08440201</t>
  </si>
  <si>
    <t>Increased uptake of LPG</t>
  </si>
  <si>
    <t>Proportion of households (7.3millions ) using LPG</t>
  </si>
  <si>
    <t>Promote uptake of LPG for cooking putting into consideration the marginalized groups.</t>
  </si>
  <si>
    <t>LPG awareness campaigns and usage safety information disseminated to mapped public putting into consideration the marginalized groups.</t>
  </si>
  <si>
    <t>Number of LPG cylinders and accessories distributed (‘000s)</t>
  </si>
  <si>
    <t>One million cylinders and accessories distributed</t>
  </si>
  <si>
    <t>Number of investors attracted in LPG infrastructure</t>
  </si>
  <si>
    <t>Attract investors in LPG infrastructure</t>
  </si>
  <si>
    <t>MoFPED, UIA</t>
  </si>
  <si>
    <t>Construction of LPG main and regional plants completed</t>
  </si>
  <si>
    <t>Construct LPG terminals</t>
  </si>
  <si>
    <t>Number of LPG wagons for Lake and rail transport acquired</t>
  </si>
  <si>
    <t>LPG wagons acquired</t>
  </si>
  <si>
    <t>Develop LPG business case (Import 2000 tons per year)</t>
  </si>
  <si>
    <t>084403</t>
  </si>
  <si>
    <t>Promote the use of energy efficient equipment for both industrial and residential consumers</t>
  </si>
  <si>
    <t>08440301</t>
  </si>
  <si>
    <t>Reduced energy losses in the transmission network</t>
  </si>
  <si>
    <t>Energy losses</t>
  </si>
  <si>
    <t>MEMD/ ERA</t>
  </si>
  <si>
    <t xml:space="preserve">Upgrade of transmission and distribution networks </t>
  </si>
  <si>
    <t>Reactive power compensation installation</t>
  </si>
  <si>
    <t>UETCL, UEDCL</t>
  </si>
  <si>
    <t>08440302</t>
  </si>
  <si>
    <t>Increased energy saving</t>
  </si>
  <si>
    <t>MW of energy saved (%)</t>
  </si>
  <si>
    <t>Number of electric charging transport stations established</t>
  </si>
  <si>
    <t>Energy efficiency promotion</t>
  </si>
  <si>
    <t>Enforcement of energy efficiency standards</t>
  </si>
  <si>
    <t>084404</t>
  </si>
  <si>
    <t>Introduce Minimum Performance Standards for selected electrical appliances</t>
  </si>
  <si>
    <t>08440401</t>
  </si>
  <si>
    <t>Energy Management Standards integrated</t>
  </si>
  <si>
    <t>No. of Minimum performance Standards for critical electrical appliances in place</t>
  </si>
  <si>
    <t>MEMD/ UNBS</t>
  </si>
  <si>
    <t>Develop and enforce Minimum Energy Performance  Standards (Enforcement of Standards needs Quality Tests in a well-equipped and accredited test lab: Test equipment, test method training for analysts and designed test rooms)</t>
  </si>
  <si>
    <t>Enhancement of the Electrical Test laboratory to conduct efficiency tests on the selected appliances</t>
  </si>
  <si>
    <t>17X</t>
  </si>
  <si>
    <t>171</t>
  </si>
  <si>
    <t>Production and Productivity</t>
  </si>
  <si>
    <t>1711</t>
  </si>
  <si>
    <t>Stimulate the growth potential of the sub-regions through area-based agribusiness LED initiatives</t>
  </si>
  <si>
    <t>Organize farmers into cooperatives at district level</t>
  </si>
  <si>
    <t>17110101</t>
  </si>
  <si>
    <t>District Farmers’ cooperatives established</t>
  </si>
  <si>
    <t>Number of farmers in cooperatives/ associations</t>
  </si>
  <si>
    <t xml:space="preserve">LGs, MGLD, Farmers groups </t>
  </si>
  <si>
    <t>Mobilization of beneficiaries and special interest groups (youth and women) into creation of these cooperatives</t>
  </si>
  <si>
    <t>OWC, MAAIF, MoTIC, MoLG</t>
  </si>
  <si>
    <t>171101a</t>
  </si>
  <si>
    <t>Support Youth and Women cooperatives</t>
  </si>
  <si>
    <t>171101a01</t>
  </si>
  <si>
    <t>Youth and Women cooperatives supported</t>
  </si>
  <si>
    <t>No. of Youth and Women cooperatives supported</t>
  </si>
  <si>
    <t xml:space="preserve">Distribute quality inputs, livestock, storage facilities and processing equipments  to farmer groups </t>
  </si>
  <si>
    <t>OWC, MAAIF,MTIC,NAADS, NAGRC&amp;DB</t>
  </si>
  <si>
    <t>171101b</t>
  </si>
  <si>
    <t>Provide financing and extension services</t>
  </si>
  <si>
    <t>171101b01</t>
  </si>
  <si>
    <t>Financing and extension services provided</t>
  </si>
  <si>
    <t>Amount of financing provided</t>
  </si>
  <si>
    <t>17110102</t>
  </si>
  <si>
    <t xml:space="preserve">Support youth with scholarships </t>
  </si>
  <si>
    <t>Number of scholarship provided to youths</t>
  </si>
  <si>
    <t>Support scholarship beneficiaries with tuition and requirements to complete their studies in Higher institutions of learning (training of farmers)</t>
  </si>
  <si>
    <t>MAAIF, MoLG</t>
  </si>
  <si>
    <t>17110103</t>
  </si>
  <si>
    <t>Agricultural tractors and ox-ploughs provided for mechanization of agriculture</t>
  </si>
  <si>
    <t>Number of tractors and oxploughs forvide to youths and women</t>
  </si>
  <si>
    <t>Identification of beneficiary cooperatives, Procurement and distribution of tractors,ox-ploughs, Training of beneficiary cooperatives,monitoring of beneficiary cooperatives</t>
  </si>
  <si>
    <t>OWC,NAADS, MAAIF</t>
  </si>
  <si>
    <t>Identification of beneficiary cooperatives</t>
  </si>
  <si>
    <t>17110104</t>
  </si>
  <si>
    <t>Support to value chain development for key commodities through provision of cassava chippers , maize mills, oil extraction machines</t>
  </si>
  <si>
    <t>Number of f cassava chippers , maize mills, oil extraction machines provided</t>
  </si>
  <si>
    <t>Procurement and distribution of cassava chippers</t>
  </si>
  <si>
    <t>OWC,NAADS</t>
  </si>
  <si>
    <t>Monitoring of beneficiary cooperatives</t>
  </si>
  <si>
    <t>OWC,NAADS, LGs</t>
  </si>
  <si>
    <t>Procurement and distribution of oil extraction machines</t>
  </si>
  <si>
    <t>OWC,NAADS,LGs</t>
  </si>
  <si>
    <t>Training of beneficiary cooperatives</t>
  </si>
  <si>
    <t>Procurement and distribution of maize mills</t>
  </si>
  <si>
    <t>17110105</t>
  </si>
  <si>
    <t>Women and Youth enterprises supported with motorcycles and sewing machines</t>
  </si>
  <si>
    <t>Number of  motorcycles and sewing machines</t>
  </si>
  <si>
    <t>OWC, MoTIC</t>
  </si>
  <si>
    <t>Procurement and distribution of motorcycles</t>
  </si>
  <si>
    <t>OWC, LGs</t>
  </si>
  <si>
    <t>Procurement and distribution of sewing machines</t>
  </si>
  <si>
    <t>17110106</t>
  </si>
  <si>
    <t>3300 farmer Groups provided with a revolving fund</t>
  </si>
  <si>
    <t>Shs. Provided as revolving fund</t>
  </si>
  <si>
    <t>Using the Parish Model, provide a revolving fund for self-help groups and enterprises at a Parish level</t>
  </si>
  <si>
    <t>OWC, MGLSD, MSC</t>
  </si>
  <si>
    <t>Increase regulation of farm input markets to reduce adulteration</t>
  </si>
  <si>
    <t>17110201</t>
  </si>
  <si>
    <t xml:space="preserve">More farm input dealers assessed and certified </t>
  </si>
  <si>
    <t>Number of certified farm input dealers</t>
  </si>
  <si>
    <t xml:space="preserve">MAAIF, LGs </t>
  </si>
  <si>
    <t xml:space="preserve">Certify farm input dealers in each district </t>
  </si>
  <si>
    <t>Identify/establish and gazette regional shopping zones for farm input dealers</t>
  </si>
  <si>
    <t>Set up public-private partnership seed/farm inputs production /centers</t>
  </si>
  <si>
    <t xml:space="preserve"> Support enforcement of existing laws on farm inputs </t>
  </si>
  <si>
    <t>Construct irrigation schemes and valley dams to ensure production all year round</t>
  </si>
  <si>
    <t>17110301</t>
  </si>
  <si>
    <t xml:space="preserve">Irrigation schemes and valley dams constructed </t>
  </si>
  <si>
    <t>Number of Irrigation schemes and valley dams constructed</t>
  </si>
  <si>
    <t>Construct valley dams</t>
  </si>
  <si>
    <t>OWC, LGs, MoLG</t>
  </si>
  <si>
    <t>Conduct pre-feasibility (1) and feasibility studies for water for production (1)</t>
  </si>
  <si>
    <t>OWC,NPA,MWE</t>
  </si>
  <si>
    <t>Construct large scale irrigation schemes</t>
  </si>
  <si>
    <t>OWC, MWE, MAAIF</t>
  </si>
  <si>
    <t xml:space="preserve">Support /Construct small scale irrigation scheme </t>
  </si>
  <si>
    <t>17110302</t>
  </si>
  <si>
    <t>20,000 cubic meter Parish Valley tanks constructed</t>
  </si>
  <si>
    <t>Cummul tanksative cubic meter</t>
  </si>
  <si>
    <t>Development of bills of quantities</t>
  </si>
  <si>
    <t>,Procurement of contractors</t>
  </si>
  <si>
    <t>OWC, MWE, LGs</t>
  </si>
  <si>
    <t>,Construction of parish valley tanks</t>
  </si>
  <si>
    <t>OWC, MWE, LGs, MAAIF</t>
  </si>
  <si>
    <t>17110303</t>
  </si>
  <si>
    <t xml:space="preserve">3 piped water systems constructed </t>
  </si>
  <si>
    <t>number of piped water system constructed</t>
  </si>
  <si>
    <t xml:space="preserve">Open transmission lines, instal overhead tanks and establish connections on all the systems </t>
  </si>
  <si>
    <t>  Strengthen agricultural extension services through increased supervision   and implementation of the parish model</t>
  </si>
  <si>
    <t>17110401</t>
  </si>
  <si>
    <t>Agricultural extension services established at parish level</t>
  </si>
  <si>
    <t xml:space="preserve">Number of parishes with functional agricultural extension services </t>
  </si>
  <si>
    <r>
      <t>LGs, CSOs, Farmers grouping</t>
    </r>
    <r>
      <rPr>
        <sz val="11"/>
        <color rgb="FF000000"/>
        <rFont val="Calibri"/>
        <family val="2"/>
        <scheme val="minor"/>
      </rPr>
      <t xml:space="preserve"> </t>
    </r>
  </si>
  <si>
    <t>Number of extension assistants recruited</t>
  </si>
  <si>
    <t>Provide critical farm inputs to farming households.</t>
  </si>
  <si>
    <t>MAAIF, NAGRC&amp;DB</t>
  </si>
  <si>
    <t>Strengthen research into the prioritized agro-enterprises for increase productivity</t>
  </si>
  <si>
    <t>17110501</t>
  </si>
  <si>
    <t>Agro-commodity research centres established in the sub-regions</t>
  </si>
  <si>
    <r>
      <t>NARO, MAAIF, OWC, Cooperatives</t>
    </r>
    <r>
      <rPr>
        <sz val="11"/>
        <color rgb="FF000000"/>
        <rFont val="Calibri"/>
        <family val="2"/>
        <scheme val="minor"/>
      </rPr>
      <t xml:space="preserve"> </t>
    </r>
  </si>
  <si>
    <t>Set up Agro-commodity research centres for the identified enterprises at ZADIC</t>
  </si>
  <si>
    <t>Set up pilot farmer demonstrations on priority enterprises in every parish.</t>
  </si>
  <si>
    <t>Capitalize agricultural SACCOs at parish level in addition to what is provided elsewhere</t>
  </si>
  <si>
    <t>OWC, MSC</t>
  </si>
  <si>
    <t>17110502</t>
  </si>
  <si>
    <t xml:space="preserve">Customary tenure land registered </t>
  </si>
  <si>
    <t>Acres of customary land registered</t>
  </si>
  <si>
    <t>Support area land committees</t>
  </si>
  <si>
    <t>LGs, MoLG</t>
  </si>
  <si>
    <t>Sensitization of communities at Subcounty level</t>
  </si>
  <si>
    <t xml:space="preserve">Demarcation and survey of customary land </t>
  </si>
  <si>
    <t>17110503</t>
  </si>
  <si>
    <t xml:space="preserve">Parish Community Associations (PCAs) establishes and supported </t>
  </si>
  <si>
    <t>Number of active parish community associations established</t>
  </si>
  <si>
    <t>Mobilisation and sensitization of beneficiary parishes</t>
  </si>
  <si>
    <t>OWC, MoLG</t>
  </si>
  <si>
    <t>Disbursement of funds to beneficiary parishes</t>
  </si>
  <si>
    <t>Monitoring of beneficiary parishes</t>
  </si>
  <si>
    <t>Operationalize the Industrial and Business Parks situated in the target regions</t>
  </si>
  <si>
    <t>17110701</t>
  </si>
  <si>
    <t>Industrial and Business Parks set up in the targeted regions</t>
  </si>
  <si>
    <t>Number of locals employed in the regional Industrial and Business Parks</t>
  </si>
  <si>
    <t>Support Locals to attain relevant skills to be used in the industrial parks</t>
  </si>
  <si>
    <t>17110702</t>
  </si>
  <si>
    <t>4 Regional Industrial and Business Parks established</t>
  </si>
  <si>
    <t>Number of industrial and business parks</t>
  </si>
  <si>
    <t>Draw a master plan for the feasibility study</t>
  </si>
  <si>
    <t>Conduct pre-feasibility and feasibility studies</t>
  </si>
  <si>
    <t>NPA, MAAIF, LGFC, MoLG, MoFPED</t>
  </si>
  <si>
    <t>MAAIF, LGFC, MoLG, MoFPED</t>
  </si>
  <si>
    <t xml:space="preserve">Set up sub-regional/ district agro-industrial parks </t>
  </si>
  <si>
    <t>MoLG, MoTIC</t>
  </si>
  <si>
    <t>Extend power transmission lines to key growth opportunity areas of the regions</t>
  </si>
  <si>
    <t>Provide bulk water supply to support production and service industrial parks</t>
  </si>
  <si>
    <t>MAAIF, OPM</t>
  </si>
  <si>
    <t xml:space="preserve">Build Solar Thermal Electricity (STE) Plants </t>
  </si>
  <si>
    <t>Land acquisition for the four sites (Arua, Nakasongola, Tororo, Arua)</t>
  </si>
  <si>
    <t>UETCL, District Local Govts, UNBS, NEMA, UNRA, MoLHUD</t>
  </si>
  <si>
    <t>ERA, OWC, MoLHUD</t>
  </si>
  <si>
    <t xml:space="preserve">Environmental Management Plans, Livelihood restoration plans, EIA, Master Plans, boundary opening, surveying and installation of border markers  </t>
  </si>
  <si>
    <t>MWE, MoLHUD, MoLG, UIA</t>
  </si>
  <si>
    <t>Design and construct infrastructure facilities (roads, water reticulation, HV power, solid waste management/ waste water system, ICT/CCTV, service ducts, etc)</t>
  </si>
  <si>
    <t>MoWT, MEMD, MoICT&amp;NG</t>
  </si>
  <si>
    <t>Design and construct public and SME buildings</t>
  </si>
  <si>
    <t>Solar power generation systems in industrial parks</t>
  </si>
  <si>
    <t>Project management, support services AND Maintenance of infrastructure facilities</t>
  </si>
  <si>
    <t>Build technical capacity of relevant institutions and Local Governments in industrial park development and management</t>
  </si>
  <si>
    <t>MoLG,UFZA, UIA, MoFPED</t>
  </si>
  <si>
    <t xml:space="preserve">Undertake feasibility studies  for the 4 industrial parks and ESIAs </t>
  </si>
  <si>
    <t>UIA,MFPED,NEMA,EPRC,MoTIC</t>
  </si>
  <si>
    <t>Review and update incentive regime to attract industries into   the parks</t>
  </si>
  <si>
    <t>MoTIC,URA,UMA</t>
  </si>
  <si>
    <t>Supervise and Monitor industrial parks operations</t>
  </si>
  <si>
    <t>Set up district/sub-regional based Agri-LED/commodity value addition industries</t>
  </si>
  <si>
    <t>MoTIC, UIA, OP, MAAIF, LGs</t>
  </si>
  <si>
    <t>Support LGs to operationalize the framework linking LR to LED initiatives</t>
  </si>
  <si>
    <t>Establish post-harvest handling, storage and processing infrastructure including silos, dryers, warehouses, cold rooms and a warehouse receipt system for farmers in those regions</t>
  </si>
  <si>
    <t>17110801</t>
  </si>
  <si>
    <t>Post-harvest handling, storage and processing infrastructure established in the poverty-stricken sub-regions</t>
  </si>
  <si>
    <t>Number of post-harvest handling, storage and processing infrastructure in the poverty-stricken sub-regions</t>
  </si>
  <si>
    <t xml:space="preserve">MTIC, MAAIF </t>
  </si>
  <si>
    <t>Purchase and install agricultural post-harvest handling and processing facilities in each  S/C</t>
  </si>
  <si>
    <t>OWC, UWRSA, MAAIF</t>
  </si>
  <si>
    <t>Purchase and install agricultural post-harvest handling and processing facilities at parish level</t>
  </si>
  <si>
    <t>17110802</t>
  </si>
  <si>
    <t xml:space="preserve">Support the functionality of the 4 already established grain stores  </t>
  </si>
  <si>
    <t xml:space="preserve">Number of functional grain stores  </t>
  </si>
  <si>
    <t xml:space="preserve">Conduct training on management and utilization of the constructed grain stores </t>
  </si>
  <si>
    <t>UWRSA, MAAIF</t>
  </si>
  <si>
    <t xml:space="preserve">Establish demonstration farms for regionally identified commodities </t>
  </si>
  <si>
    <t>17110901</t>
  </si>
  <si>
    <t xml:space="preserve">Demonstration farms for Export potential Commodities established in the poverty-stricken sub-regions </t>
  </si>
  <si>
    <t>Number of sub-regional demonstration farms with a bias on agricultural commodities for export</t>
  </si>
  <si>
    <t xml:space="preserve">MAAIF, MOLG, LGs </t>
  </si>
  <si>
    <t>Set up demonstration farms for 12 high value export crops in the sub-regions embedding elements of green incubation</t>
  </si>
  <si>
    <t>OWC, NARO</t>
  </si>
  <si>
    <t>Establish a marketing system for the selected agro-enterprises (market information centers, standards, Packaging)</t>
  </si>
  <si>
    <t>17111001</t>
  </si>
  <si>
    <t>Functional marketing system established in the sub-region</t>
  </si>
  <si>
    <t xml:space="preserve">Number of sub-regional agro-enterprise products </t>
  </si>
  <si>
    <t xml:space="preserve">MTIC, MAAIF, LGs </t>
  </si>
  <si>
    <t>Hold agricultural trade shows and exhibition centres per regionlevel</t>
  </si>
  <si>
    <t>MAAIF,OWC</t>
  </si>
  <si>
    <t>Develop regional agricultural production databases/MIS’s</t>
  </si>
  <si>
    <t>MOICT, MAAIF</t>
  </si>
  <si>
    <t>Provide market and prices information to farmers</t>
  </si>
  <si>
    <t>OWC,UBOS</t>
  </si>
  <si>
    <t>Develop targeted agri-LED interventions for refugees and host communities</t>
  </si>
  <si>
    <t>17111101</t>
  </si>
  <si>
    <t xml:space="preserve">Agri-LED enterprises established in refugees and host communities </t>
  </si>
  <si>
    <t>Number of Agri-LED enterprises in refugees and host communities</t>
  </si>
  <si>
    <t>Train and support agricultural enterprise groups in refugee communities with value addition facilities</t>
  </si>
  <si>
    <t>MoTIC, MAAIF</t>
  </si>
  <si>
    <t>Strengthen the capacity and skills of women/ youth for entrepreneurship, increased production and productivity</t>
  </si>
  <si>
    <t>MAAIF, MoFPED</t>
  </si>
  <si>
    <t>172</t>
  </si>
  <si>
    <t>Infrastructure Development</t>
  </si>
  <si>
    <t>1722</t>
  </si>
  <si>
    <t>Close regional infrastructure gaps for exploitation of local economic potential</t>
  </si>
  <si>
    <t>172201</t>
  </si>
  <si>
    <t>Develop community access and motorable feeder roads for market access</t>
  </si>
  <si>
    <t>17220101</t>
  </si>
  <si>
    <t>More community access roads constructed/extended to productive areas</t>
  </si>
  <si>
    <t xml:space="preserve">Number of parishes connected to motorable community access roads </t>
  </si>
  <si>
    <t xml:space="preserve">MWT, URF, LGs </t>
  </si>
  <si>
    <t xml:space="preserve">Construct/open access roads leading to productive areas of the regions </t>
  </si>
  <si>
    <t>MoLG,MoWT,UNRA</t>
  </si>
  <si>
    <t>Rehabilitate existing district, urban and community access roads</t>
  </si>
  <si>
    <t>UNRA, MoLG</t>
  </si>
  <si>
    <t xml:space="preserve"> Maintain existing district, urban and community access roads</t>
  </si>
  <si>
    <t>172202</t>
  </si>
  <si>
    <t>Increase transport interconnectivity in these programme regions to promote intra-regional trade and reduce poverty</t>
  </si>
  <si>
    <t>17220201</t>
  </si>
  <si>
    <t>More regional roads constructed to connect the regions for increased trade</t>
  </si>
  <si>
    <t>Number of Km of roads constructed in the 8 sub regions</t>
  </si>
  <si>
    <t>Construct/ rehabilitate regional roads within and across regions</t>
  </si>
  <si>
    <t>UNRA, LGs</t>
  </si>
  <si>
    <t>17220202</t>
  </si>
  <si>
    <t>Periodic road maintenance</t>
  </si>
  <si>
    <t>Number of kms of road maintained in the sub-regions</t>
  </si>
  <si>
    <t xml:space="preserve">Maintenance of regional roads to make them all weather roads </t>
  </si>
  <si>
    <t>172203</t>
  </si>
  <si>
    <t xml:space="preserve">Increase energy connectivity in these programme regions </t>
  </si>
  <si>
    <t>17220301</t>
  </si>
  <si>
    <t>275 APFs connected to 3 phase, and 200 RGCs connected to electricity</t>
  </si>
  <si>
    <t xml:space="preserve">Km of transmission lines </t>
  </si>
  <si>
    <t>Connect more towns and RGCs to the national grid</t>
  </si>
  <si>
    <t>REA, LGs, UEDCL</t>
  </si>
  <si>
    <t>17220302</t>
  </si>
  <si>
    <t xml:space="preserve">Regional mini-hydro power stations constructed </t>
  </si>
  <si>
    <t>Number of mini-hydro-power stations constructed</t>
  </si>
  <si>
    <t>Construct Mini- hydro electric power to connect remote parts of the program regions</t>
  </si>
  <si>
    <t>172204</t>
  </si>
  <si>
    <t xml:space="preserve">Increase ICT interconnectivity in these programme regions </t>
  </si>
  <si>
    <t>17220401</t>
  </si>
  <si>
    <t>ICT infrastructure extended/availed in all programme regions</t>
  </si>
  <si>
    <t>Carry out ICT infrastructure needs assessment/demand in the programme areas.</t>
  </si>
  <si>
    <t>Number of LGs profiled for ICT needs</t>
  </si>
  <si>
    <t>Extend broadband infrastructure connectivity to  regions.</t>
  </si>
  <si>
    <t>additional Km of broadband extended in the sub-regions</t>
  </si>
  <si>
    <t>Provide end users office access devices /equipment</t>
  </si>
  <si>
    <t>Number of LGs in the su-regions supported with end user office devices</t>
  </si>
  <si>
    <t>Continuously invest and improve on the quality of established ICT infrastructure</t>
  </si>
  <si>
    <t xml:space="preserve">Number of ICT infratructure maintained perodically </t>
  </si>
  <si>
    <t>Identify resources requirements for LGs to make use of the ICT infrastructure</t>
  </si>
  <si>
    <t>1713</t>
  </si>
  <si>
    <t>Strengthen and develop regional based value chains for LED;</t>
  </si>
  <si>
    <t>171301</t>
  </si>
  <si>
    <t>Develop and implement regional specific development plans</t>
  </si>
  <si>
    <t>17130101</t>
  </si>
  <si>
    <t>Regional Development Plans/LED Projects</t>
  </si>
  <si>
    <t>Number of regional specific development plans</t>
  </si>
  <si>
    <t>Develop evidence based Regional Development Plans</t>
  </si>
  <si>
    <t>NPA,MoLG,LGs,OPM</t>
  </si>
  <si>
    <t>17130102</t>
  </si>
  <si>
    <t>Bankable/ready projects generated</t>
  </si>
  <si>
    <t>Number of bankable project generated</t>
  </si>
  <si>
    <t>Develop Investment Profiles of bankable projects.</t>
  </si>
  <si>
    <t>NPA,LGs,UIA</t>
  </si>
  <si>
    <t>17130103</t>
  </si>
  <si>
    <t>regional Investment Expos</t>
  </si>
  <si>
    <t>Number of sub-regional expos</t>
  </si>
  <si>
    <t>Conduct regional Investment Expos</t>
  </si>
  <si>
    <t>17130104</t>
  </si>
  <si>
    <t>LED Projects generated and implemented</t>
  </si>
  <si>
    <t>Number of Karamoja LED projects implemented</t>
  </si>
  <si>
    <t>Karamoja Income Enhancement</t>
  </si>
  <si>
    <t>OPM, NPA, MFPED, MoLG</t>
  </si>
  <si>
    <t>Number of Bukedi LED projects implemented</t>
  </si>
  <si>
    <t>Bukedi Income Enhancement</t>
  </si>
  <si>
    <t>Number of West Nile LED projects implemented</t>
  </si>
  <si>
    <t>Westnile Income Enhancement</t>
  </si>
  <si>
    <t>Number of Acholi LED projects implemented</t>
  </si>
  <si>
    <t>Acholi Income Enhancement</t>
  </si>
  <si>
    <t>Number of Teso LED projects implemented</t>
  </si>
  <si>
    <t>Teso Income Enhancement</t>
  </si>
  <si>
    <t>Number of Busoga LED projects implemented</t>
  </si>
  <si>
    <t>Busoga Income Enhancement</t>
  </si>
  <si>
    <t>Number of Bugisu LED projects implemented</t>
  </si>
  <si>
    <t>Bugisu Income Enhancement</t>
  </si>
  <si>
    <t>Number of Bunyoro LED projects implemented</t>
  </si>
  <si>
    <t>Bunyoro Income Enhancement</t>
  </si>
  <si>
    <t>Number of Rwenzori LED projects implemented</t>
  </si>
  <si>
    <t>Rwenzori Income Enhancement</t>
  </si>
  <si>
    <t>Number of Luwero LED projects implemented</t>
  </si>
  <si>
    <t>Luwero Income Enhancement</t>
  </si>
  <si>
    <t>171302</t>
  </si>
  <si>
    <t>Develop region-specific tourism products in poverty-stricken regions</t>
  </si>
  <si>
    <t>17130201</t>
  </si>
  <si>
    <t xml:space="preserve">Tourism products unique to the sub-regions </t>
  </si>
  <si>
    <t>Number of regional tourism portfoilios developed</t>
  </si>
  <si>
    <t>Support development and marketing of tourism products in the sub-regions</t>
  </si>
  <si>
    <t>LGs, MTWA</t>
  </si>
  <si>
    <t>171303</t>
  </si>
  <si>
    <t>Facilitate formation of tourism groups in target communities (e.g. arts and crafts);</t>
  </si>
  <si>
    <t>17130301</t>
  </si>
  <si>
    <t>Tourism groups established</t>
  </si>
  <si>
    <t>Number of tourism groups per region</t>
  </si>
  <si>
    <t xml:space="preserve">Provide technical assistance to tourism groups </t>
  </si>
  <si>
    <t>171304</t>
  </si>
  <si>
    <t>Establish regional tourism information centers;</t>
  </si>
  <si>
    <t>17130401</t>
  </si>
  <si>
    <t>Regional tourism information centers created</t>
  </si>
  <si>
    <t>Number of regional tourism information centres established</t>
  </si>
  <si>
    <t>Setup tourism information centres in the regions</t>
  </si>
  <si>
    <t>17130402</t>
  </si>
  <si>
    <t>LG Torism Officers recruited and equiped</t>
  </si>
  <si>
    <t>Number of LG Tourism Officers on payroll</t>
  </si>
  <si>
    <t>Recruit LG Tourism Officers</t>
  </si>
  <si>
    <t>171305</t>
  </si>
  <si>
    <t>Skill locals in hospitality (tour guide, hoteliers);</t>
  </si>
  <si>
    <t>17130501</t>
  </si>
  <si>
    <t>Locals skilled in hospitality</t>
  </si>
  <si>
    <t>Number of scholarships provided to the locals in the 8 sub-regions</t>
  </si>
  <si>
    <t>Setup public-private partnership hospitality training institutions in the regions</t>
  </si>
  <si>
    <t>MoTWA, UHTTI, UTB</t>
  </si>
  <si>
    <t>17130502</t>
  </si>
  <si>
    <t>Apprentice  Institutions established in the sub-regions</t>
  </si>
  <si>
    <t>Number of Apprentice institutes established in the sub-regions</t>
  </si>
  <si>
    <t>Establish apprenticeship scheme in the hotel industry</t>
  </si>
  <si>
    <t>171306</t>
  </si>
  <si>
    <t>Nurture local private sector to participate in local, regional and global tourism value chains through training and credit extension</t>
  </si>
  <si>
    <t>17130601</t>
  </si>
  <si>
    <t>Local private sector supported to participate in local, regional and global tourism value chains</t>
  </si>
  <si>
    <t>Number of private sector individual supported</t>
  </si>
  <si>
    <t>Set up tourists stop centers</t>
  </si>
  <si>
    <t>17130602</t>
  </si>
  <si>
    <t>LGs implementing PPP projects in the sub-region</t>
  </si>
  <si>
    <t>Number of LGs implementing PPP projects in the sub-region</t>
  </si>
  <si>
    <t>Provide support to LGs to tap into alternative financing through PPP arrangement</t>
  </si>
  <si>
    <t>171307</t>
  </si>
  <si>
    <t>Expand, upgrade and maintain tourism support infrastructure</t>
  </si>
  <si>
    <t>17130701</t>
  </si>
  <si>
    <t>Roads leading leading to potential tourism sites constructed</t>
  </si>
  <si>
    <t>Km or tourism raods constructed</t>
  </si>
  <si>
    <t>Construct roads leading to potential tourism sites</t>
  </si>
  <si>
    <t>LGs, UNRA</t>
  </si>
  <si>
    <t>17130702</t>
  </si>
  <si>
    <t>Expand ICT networks to tourism potential areas</t>
  </si>
  <si>
    <t>Number of ICT infratructure installed in potential tourism areas</t>
  </si>
  <si>
    <t>17130703</t>
  </si>
  <si>
    <t>Tourism infrastructurs expanded, upgraded and maintained</t>
  </si>
  <si>
    <t>Km of tourim roads expanded, upgraded and maintained</t>
  </si>
  <si>
    <t xml:space="preserve">MoWT, MOLG, UNRA, LGs </t>
  </si>
  <si>
    <t xml:space="preserve">Provide incentives to local investors put up tourism facilities in the sub-regions </t>
  </si>
  <si>
    <t>171308</t>
  </si>
  <si>
    <t>Organize the artisanal and small-scale miners into groups/ cooperatives;</t>
  </si>
  <si>
    <t>17130801</t>
  </si>
  <si>
    <t>Artisanal and small-scale miners’ groups/ cooperatives supported</t>
  </si>
  <si>
    <t>Number of active artisanal and small-scale miners’ groups/ cooperatives</t>
  </si>
  <si>
    <t xml:space="preserve">Support formation of small-scale miners’ cooperatives </t>
  </si>
  <si>
    <t>MoLG, MEMD, LGs</t>
  </si>
  <si>
    <t>171309</t>
  </si>
  <si>
    <t>Provide incentives for acquisition of appropriate technology;</t>
  </si>
  <si>
    <t>17130901</t>
  </si>
  <si>
    <t xml:space="preserve">Artisanal and small-scale miners’ groups/ cooperatives supported with appropriate technologies </t>
  </si>
  <si>
    <t>Number of Artisanal and small-scale miners’ groups have acquired appropriate technologies</t>
  </si>
  <si>
    <t>MEMD, MTIC, LGs</t>
  </si>
  <si>
    <t>Provide appropriate technologies to small scale miners cooperatives</t>
  </si>
  <si>
    <t>171310</t>
  </si>
  <si>
    <t>Provide training and extension services to ease the adoption of the acquired technology;</t>
  </si>
  <si>
    <t>17131001</t>
  </si>
  <si>
    <t>Artisanal and small-scale miners’ groups/ cooperatives adopted appropriate technologies</t>
  </si>
  <si>
    <t>Number of Artisanal and small-scale miners’ groups using appropriate technologies</t>
  </si>
  <si>
    <t>Train members of small-scale miners' cooperatives on use of appropriate technologies</t>
  </si>
  <si>
    <t>Provide extension services</t>
  </si>
  <si>
    <t>171311</t>
  </si>
  <si>
    <t>Incentivize private sector to offer industrial training and apprenticeship opportunities;</t>
  </si>
  <si>
    <t>17131101</t>
  </si>
  <si>
    <t xml:space="preserve">Private sector supported to provide industrial training and apprenticeship </t>
  </si>
  <si>
    <t>Number of private sector/groups providing industrial training and apprenticeship</t>
  </si>
  <si>
    <t>MFPED, MEMD, MTIC, LGs, Private Sector</t>
  </si>
  <si>
    <t>Support selected Private Sector Organizations to train members of small-scale miners cooperatives in application of appropriate technologies</t>
  </si>
  <si>
    <t>171312</t>
  </si>
  <si>
    <t>Construct roads to support mining and mineral processing in the regions;</t>
  </si>
  <si>
    <t>17131201</t>
  </si>
  <si>
    <t xml:space="preserve">Mining roads constructed in sub-regions with commercially viable minerals  </t>
  </si>
  <si>
    <t>Length of mineral roads in the sub-region (km)</t>
  </si>
  <si>
    <t xml:space="preserve">MTW, UNRA, MEMD </t>
  </si>
  <si>
    <t>Construct/open, rehabilitate and maintain access roads  leading to mining areas</t>
  </si>
  <si>
    <t>MEMD, MoLG</t>
  </si>
  <si>
    <t>171313</t>
  </si>
  <si>
    <t>Extend adequate and reliable energy to support mining and mineral processing industries;</t>
  </si>
  <si>
    <t>17131301</t>
  </si>
  <si>
    <t>Mineral products processed from within the sub-regions</t>
  </si>
  <si>
    <t xml:space="preserve">Proportion of value-added mineral products </t>
  </si>
  <si>
    <t xml:space="preserve">MEMD, Private Sector, MFPED, UIA </t>
  </si>
  <si>
    <t>Provide incentives to local and foreign investors set up mineral processing plants/factories in the regions</t>
  </si>
  <si>
    <t>171314</t>
  </si>
  <si>
    <t>Provide water to support mining and mineral processing;</t>
  </si>
  <si>
    <t>17131401</t>
  </si>
  <si>
    <t>Water facilities constructed in mining areas</t>
  </si>
  <si>
    <t>Number of mining areas with water facilities</t>
  </si>
  <si>
    <t xml:space="preserve">MWE </t>
  </si>
  <si>
    <t>Provide water facilities in mining areas</t>
  </si>
  <si>
    <t>171315</t>
  </si>
  <si>
    <t>Promote value addition through LED in the mining activities;</t>
  </si>
  <si>
    <t>17131501</t>
  </si>
  <si>
    <t xml:space="preserve">Value added mineral-LED enterprises established in the sub-regions with commercially viable minerals  </t>
  </si>
  <si>
    <t>Number of value-added mineral-LED enterprises in the sub-regions</t>
  </si>
  <si>
    <t>MEMD, UIA, Private Sector, MFPED, UIA</t>
  </si>
  <si>
    <t>Identify and gazette regional centres for mineral processing plants</t>
  </si>
  <si>
    <t>Provide incentives to local and foreign investors put up mineral processing facilities in the sub-regions</t>
  </si>
  <si>
    <t>171316</t>
  </si>
  <si>
    <t>Restore degraded excavation sites;</t>
  </si>
  <si>
    <t>17131601</t>
  </si>
  <si>
    <t>Degraded excavation sites restored</t>
  </si>
  <si>
    <t>Land area restored (hectares)</t>
  </si>
  <si>
    <t xml:space="preserve">MWE, NEMA </t>
  </si>
  <si>
    <t>Develop and disseminate IEC materials on relation mining related environmental</t>
  </si>
  <si>
    <t>171317</t>
  </si>
  <si>
    <t>Provide support to youth and women enterprises;</t>
  </si>
  <si>
    <t>17131701</t>
  </si>
  <si>
    <t>Youths and women owned enterprises established.</t>
  </si>
  <si>
    <t xml:space="preserve">Number of functional youths and women enterprises </t>
  </si>
  <si>
    <t>- Sensitization and mobilisation of youth and women owned enterprises.</t>
  </si>
  <si>
    <t>Youths and women enterprises appraised.</t>
  </si>
  <si>
    <t>Number of youths and women enterprises appraised</t>
  </si>
  <si>
    <t>-Selection and appraisal of beneficiary enterprises.</t>
  </si>
  <si>
    <t>17131702</t>
  </si>
  <si>
    <t>Amount of funds disbursed to youth and women enterprises</t>
  </si>
  <si>
    <t>Ushs. Disbursed to youth and women enterprises</t>
  </si>
  <si>
    <t>-Disbursement of funds to beneficiary enterprises.</t>
  </si>
  <si>
    <t>17131703</t>
  </si>
  <si>
    <t>Performance of youth and women enterprises monitored</t>
  </si>
  <si>
    <t>Frequency of monitoring visits to the enterprises</t>
  </si>
  <si>
    <t xml:space="preserve">-Monitoring of beneficiary enterprises. </t>
  </si>
  <si>
    <t>171318</t>
  </si>
  <si>
    <t>Undertake massive sensitization and awareness campaigns on environment.</t>
  </si>
  <si>
    <t>17131801</t>
  </si>
  <si>
    <t>Awareness on environment degradation created</t>
  </si>
  <si>
    <t>Number of communities that have received massive sensitization on environment</t>
  </si>
  <si>
    <t>MWE, NEMA, LGs</t>
  </si>
  <si>
    <t>Organize sub-regional sensitization meetings on environment</t>
  </si>
  <si>
    <t>NEMA, LGs</t>
  </si>
  <si>
    <t>Number of sub-counties were enforcment was undertaken</t>
  </si>
  <si>
    <t>Enforce compliance with the environmental regulations</t>
  </si>
  <si>
    <t>Number of sub-counties where awareness was created</t>
  </si>
  <si>
    <t>Conduct both sub county and parish level community awareness events on environmental regeneration</t>
  </si>
  <si>
    <t>Degraded areas (hectares)  restored</t>
  </si>
  <si>
    <t>Identification and Sensitization and mobilisation</t>
  </si>
  <si>
    <t>17131802</t>
  </si>
  <si>
    <t>Water and soil conservation activities implemented</t>
  </si>
  <si>
    <t xml:space="preserve">Number of sub-counties implemeting  conservation activities </t>
  </si>
  <si>
    <t>Undertake water and soil conservation activities</t>
  </si>
  <si>
    <t>17131803</t>
  </si>
  <si>
    <t xml:space="preserve">  Tree nursery beds established in the sub-regions</t>
  </si>
  <si>
    <t>Number of tree nurseries in the sub-regions</t>
  </si>
  <si>
    <t xml:space="preserve"> Support establishment of tree nursery beds</t>
  </si>
  <si>
    <t>157 National Forestry Authority</t>
  </si>
  <si>
    <t>NFA, NEMA</t>
  </si>
  <si>
    <t>17131804</t>
  </si>
  <si>
    <t xml:space="preserve"> Trees Planted</t>
  </si>
  <si>
    <t>Hectares of new trees plantation in the sub-regions</t>
  </si>
  <si>
    <t xml:space="preserve"> Plan trees</t>
  </si>
  <si>
    <t>17131805</t>
  </si>
  <si>
    <t>Conduct community awareness on environment protection</t>
  </si>
  <si>
    <t>Conserved Environmental area</t>
  </si>
  <si>
    <t>173</t>
  </si>
  <si>
    <t>Capacity building for leaders</t>
  </si>
  <si>
    <t>1734</t>
  </si>
  <si>
    <t xml:space="preserve">Strengthen the performance measurement and management frameworks for local leadership and public sector management </t>
  </si>
  <si>
    <t>173401</t>
  </si>
  <si>
    <t>Introduce community score cards of local government performance</t>
  </si>
  <si>
    <t>17340101</t>
  </si>
  <si>
    <t>Leaders sensitized and mentored on their roles and responsibilities</t>
  </si>
  <si>
    <t xml:space="preserve">Number of leaders annually assessed </t>
  </si>
  <si>
    <t>Undertake periodic performance score card assessments</t>
  </si>
  <si>
    <t>17340102</t>
  </si>
  <si>
    <t>LG Devt projects and priorities funded from royalties</t>
  </si>
  <si>
    <t>Number of LGs funded from royalties</t>
  </si>
  <si>
    <t>Develop expenditure structure/policy for royalty fees</t>
  </si>
  <si>
    <t>17340103</t>
  </si>
  <si>
    <t>CSOs and Private Sector participate in formulation of LG development plans and budget process</t>
  </si>
  <si>
    <t>Number of CSOs and Private Sector participation in the planning and budget process</t>
  </si>
  <si>
    <t>Organize Annual Planning and Budget Workshops for stakeholders</t>
  </si>
  <si>
    <t>CSOs and Private Sector support the implementation of agreed development programmes and projects</t>
  </si>
  <si>
    <t>Number of CSOs and Private Sector supporting the implementation of agreed development programmes and projects</t>
  </si>
  <si>
    <t>Coordinate implementation of LGDP Programmes and Projects</t>
  </si>
  <si>
    <t>NPA, LGs</t>
  </si>
  <si>
    <t>17340104</t>
  </si>
  <si>
    <t>Communication and Feedback mechanism established</t>
  </si>
  <si>
    <t>Number of Communication and feedback channels established</t>
  </si>
  <si>
    <t>Provide information on the implementation progress of LGDP and NDPIII</t>
  </si>
  <si>
    <t>17340105</t>
  </si>
  <si>
    <t>Communities mobilized to participate in project identification, implementation, monitoring and evaluation</t>
  </si>
  <si>
    <t>Number of groups/beneficiaris involved in project identification, implementation, monitoring and evaluation</t>
  </si>
  <si>
    <t>Engage beneficiaries and other stakeholders in project identification and development</t>
  </si>
  <si>
    <t>Number of communities (sub-counties/parishes) mobilized in project identification, implementation, monitoring and evaluation</t>
  </si>
  <si>
    <t>Organize joint monitoring of on-going projects</t>
  </si>
  <si>
    <t xml:space="preserve">Build capacity of communities in project monitoring and evaluation </t>
  </si>
  <si>
    <t>NPA, OPM, LGs</t>
  </si>
  <si>
    <t>17340106</t>
  </si>
  <si>
    <t>Achievements of earlier regional affirmative programmes consolidated</t>
  </si>
  <si>
    <t>Number of recommendations adopted for implementation</t>
  </si>
  <si>
    <t>Review successes. challenges and design success Projects</t>
  </si>
  <si>
    <t>OWC, NPA</t>
  </si>
  <si>
    <t>Strengthen regional offices for coordination</t>
  </si>
  <si>
    <t>17340107</t>
  </si>
  <si>
    <t>Enhanced capacity of Local Government leadership</t>
  </si>
  <si>
    <t xml:space="preserve">Number of local leaders trained in governance and administration </t>
  </si>
  <si>
    <t>Training and capacity building of Local leaders</t>
  </si>
  <si>
    <t>121</t>
  </si>
  <si>
    <t>Education, Sports and Skills</t>
  </si>
  <si>
    <t>1211</t>
  </si>
  <si>
    <t>Improve the foundations for human capital development</t>
  </si>
  <si>
    <t>121102</t>
  </si>
  <si>
    <t>Promote optimal Maternal, Infant, Young Child and Adolescent Nutrition practices</t>
  </si>
  <si>
    <t>121102a</t>
  </si>
  <si>
    <t xml:space="preserve">Strengthen the enabling environment for scaling up nutrition at all levels </t>
  </si>
  <si>
    <t>121102a01</t>
  </si>
  <si>
    <t>Child and maternal nutrition enhanced</t>
  </si>
  <si>
    <t>% of Day-school going Children having atleast a healthy meal a day</t>
  </si>
  <si>
    <t>MoES, LGs</t>
  </si>
  <si>
    <t xml:space="preserve">Mobilize parents to provide meals to school going children </t>
  </si>
  <si>
    <t>MoES, MGLSD, MOI, NG, OP</t>
  </si>
  <si>
    <t>Promote establishment of Schools Gardens for food</t>
  </si>
  <si>
    <t>MAAIF, MoES</t>
  </si>
  <si>
    <t>121102b</t>
  </si>
  <si>
    <t>Promote consumption of fortified foods especially in schools with focus on beans, rice, sweat potatoes, cooking oil, maize.</t>
  </si>
  <si>
    <t>121102b01</t>
  </si>
  <si>
    <t>Nutritious meals provided at schools</t>
  </si>
  <si>
    <t>% of schools (primary and secondary) providing safe and fortified foods to children</t>
  </si>
  <si>
    <t>NA</t>
  </si>
  <si>
    <t>MOH, MoES</t>
  </si>
  <si>
    <t>Promote and enforce mandatory consumption of safe and  fortified foods in schools</t>
  </si>
  <si>
    <t>MoH, LGs</t>
  </si>
  <si>
    <t>124</t>
  </si>
  <si>
    <t>Labour and Employment Services</t>
  </si>
  <si>
    <t>1242</t>
  </si>
  <si>
    <t>Produce appropriate knowledgeable, skilled and ethical labour force (with strong emphasis on science and technology, TVET and Sports)</t>
  </si>
  <si>
    <t>124201</t>
  </si>
  <si>
    <t xml:space="preserve">Establish a functional labour market </t>
  </si>
  <si>
    <t>124201a</t>
  </si>
  <si>
    <t>Establish a functional labour market information system</t>
  </si>
  <si>
    <t>124201a10</t>
  </si>
  <si>
    <t>Labour standards enforcement mechanisms strengthened</t>
  </si>
  <si>
    <t xml:space="preserve">No of workplaces inspected </t>
  </si>
  <si>
    <r>
      <t xml:space="preserve">Conduct Workplace inspection for compliance to  labour standards </t>
    </r>
    <r>
      <rPr>
        <sz val="11"/>
        <color rgb="FFFF0000"/>
        <rFont val="Calibri"/>
        <family val="2"/>
        <scheme val="minor"/>
      </rPr>
      <t>&amp; Decent work</t>
    </r>
  </si>
  <si>
    <t xml:space="preserve">Number of stakeholders sensitized </t>
  </si>
  <si>
    <t>Conduct awareness and sensitisation of stakeholders on labour standards</t>
  </si>
  <si>
    <t> 0.3</t>
  </si>
  <si>
    <t>124201b</t>
  </si>
  <si>
    <t>Develop and implement an apprenticeship and job placement policy and programme (work-based learning)</t>
  </si>
  <si>
    <t>124201b02</t>
  </si>
  <si>
    <t>University, TVET students and graduates benefiting from work-based learning</t>
  </si>
  <si>
    <t>No. of university graduates benefiting from internships, apprenticeships and volunteer placement schemes</t>
  </si>
  <si>
    <t xml:space="preserve">Streamline &amp; operationalise apprenticeship programme for the youth </t>
  </si>
  <si>
    <t>UIA, OWC, MoES, MTII, MoTA</t>
  </si>
  <si>
    <t>124201c</t>
  </si>
  <si>
    <t>Extend internship programme to out-of-school youth</t>
  </si>
  <si>
    <t>124201c01</t>
  </si>
  <si>
    <t>Out-of-school youth (early school leavers) benefiting from internship, apprenticeships</t>
  </si>
  <si>
    <t>No. of  out-of-school youth (early school leavers)  benefiting from internship, apprenticeships</t>
  </si>
  <si>
    <t> 10,000</t>
  </si>
  <si>
    <t>-Create internship &amp; apprenticeship opportunities for the out-of-school youth (early school leavers)</t>
  </si>
  <si>
    <t>1213</t>
  </si>
  <si>
    <t>Streamline STEI/ STEM in the education system</t>
  </si>
  <si>
    <t>121304</t>
  </si>
  <si>
    <t>Promote STEM/STEI focused strategic alliances between schools, training institutions, high calibre scientists and industry</t>
  </si>
  <si>
    <t>121304c</t>
  </si>
  <si>
    <t>Prioritize investment in STEI/STEM Research and incubation to transform it into goods and services for national growth and societal wellbeing</t>
  </si>
  <si>
    <t>121304c04</t>
  </si>
  <si>
    <t>STEM/STEI Incubation Centres established in universities</t>
  </si>
  <si>
    <t>No of STEM/STEI incubation centres</t>
  </si>
  <si>
    <t>MoES, MoST, HEIs</t>
  </si>
  <si>
    <t>Establish additional STEM/STEI incubation centres in public universities</t>
  </si>
  <si>
    <t>MoES (Universities)</t>
  </si>
  <si>
    <t>122</t>
  </si>
  <si>
    <t>Population Health, Safety and Management</t>
  </si>
  <si>
    <t>1224</t>
  </si>
  <si>
    <t xml:space="preserve">Improve population health, safety and management </t>
  </si>
  <si>
    <t>122401</t>
  </si>
  <si>
    <t>Reduce the burden of communicable diseases with focus on high burden diseases (Malaria, HIV/AIDS, TB, Neglected Tropical Diseases, Hepatitis), epidemic prone diseases and malnutrition across all age groups emphasizing Primary Health Care Approach</t>
  </si>
  <si>
    <t>12240101</t>
  </si>
  <si>
    <t>Reduced morbidity and mortality due to HIV/AIDS, TB and malaria and othejr communicable diseases</t>
  </si>
  <si>
    <t>No. of youth-led HIV prevention programs designed and implemented</t>
  </si>
  <si>
    <t xml:space="preserve">Routine LLIN distribution undertaken using different channels </t>
  </si>
  <si>
    <t>No. of stakeholder engagements in the HIV prevention effort to address the  socio-cultural, gender and other structural factors that drive the HIV epidemic</t>
  </si>
  <si>
    <t>MoH, MoGLSD, UAC, LG</t>
  </si>
  <si>
    <t>Design and implement/scale up innovative HIV prevention programs to improve comprehensive HIV knowledge, impart life skills, reduce risky sexual behaviours, address gender-based violence and improve sexual and reproductive health status among in and out-of-school children and youth.</t>
  </si>
  <si>
    <t>LGs, UAC</t>
  </si>
  <si>
    <t>No. of CSOs and service providers trained</t>
  </si>
  <si>
    <t>Design and implement youth-led HIV prevention programs utilizing innovative approaches such as adaptive leadership and human centered design and diversify SBCC channels to predominantly include media-based outreach platforms and other technology based-approaches to reach young people with HIV prevention messages</t>
  </si>
  <si>
    <t>MoH, MGLSD</t>
  </si>
  <si>
    <t>12240102</t>
  </si>
  <si>
    <t>Reduced morbidity and mortality due to HIV/AIDS, TB and malaria</t>
  </si>
  <si>
    <t>Malaria incidence rate (cases per 1,000 population)</t>
  </si>
  <si>
    <t>Scale-up coverage of universal HIV counseling and testing services to the general population and differentiated HIV testing services to high-risk groups (such as pregnant women, HIV&amp;TB co-infected persons, HIV-discordant couples, most-at-risk populations and children &lt;15 years of age)</t>
  </si>
  <si>
    <t>MoH (Referral Hospitals)</t>
  </si>
  <si>
    <t>LGs, MoH</t>
  </si>
  <si>
    <t>Malaria prevalence rate (%)</t>
  </si>
  <si>
    <t xml:space="preserve">Forecast, procure and distribute HIV testing kits </t>
  </si>
  <si>
    <t>Referral Hospitals, LGs, NMS</t>
  </si>
  <si>
    <t xml:space="preserve">HIV incidence rate </t>
  </si>
  <si>
    <t>Revitalize the four-pronged EMTCT approach and optimize EMTCT services by addressing EMTCT program coverage and quality of services, retention of Mother-Baby pairs, access of HIV-exposed infants to PCR and final diagnosis at 18 months.</t>
  </si>
  <si>
    <t>12240104</t>
  </si>
  <si>
    <t xml:space="preserve">Target population fully immunized </t>
  </si>
  <si>
    <t xml:space="preserve">% of children under one year fully immunized </t>
  </si>
  <si>
    <t>12240105</t>
  </si>
  <si>
    <t xml:space="preserve">Epidemic diseases timely detected and controlled </t>
  </si>
  <si>
    <t>% of epidemics detected timely and controlled</t>
  </si>
  <si>
    <t>Epidemics detected and controlled timely</t>
  </si>
  <si>
    <t>LGs, Referrals</t>
  </si>
  <si>
    <t>Establish an emergency fund readily accessible to support all relevant sectors to carry out immediate investigation of outbreaks</t>
  </si>
  <si>
    <t>MAAIF, MoFPED, LGs</t>
  </si>
  <si>
    <t>122403</t>
  </si>
  <si>
    <t>Improve the functionality of the health system to deliver quality and affordable preventive, promotive, curative and palliative health care services focusing on:</t>
  </si>
  <si>
    <t>122403b</t>
  </si>
  <si>
    <t>Strengthen an emergency medical service and referral system</t>
  </si>
  <si>
    <t>122403b01</t>
  </si>
  <si>
    <t>Nationally coordinated ambulance services in place</t>
  </si>
  <si>
    <t>National ES Policy and Strategic Plan in place.</t>
  </si>
  <si>
    <t>Dissemination of the EMS Policy and strategic Plan 2020/21 - 24/25</t>
  </si>
  <si>
    <t>LGs, Referral Hospitals, LGs</t>
  </si>
  <si>
    <t>122403f</t>
  </si>
  <si>
    <t>Develop and implement service and service delivery standards targeting lower middle-income standards</t>
  </si>
  <si>
    <t>122403f02</t>
  </si>
  <si>
    <t>Uganda National Minimum Health Care Package (UMNHCP) implemented in all health facilities based on the level</t>
  </si>
  <si>
    <t>Implement the Uganda National Minimum Health Care Package (UMNHCP) with focus on high impact intervention packages for each life stage</t>
  </si>
  <si>
    <t xml:space="preserve">MoH, Referrals </t>
  </si>
  <si>
    <t>122405</t>
  </si>
  <si>
    <t>Increase access to inclusive safe water, sanitation and hygiene (WASH) with emphasis on increasing coverage of improved toilet facilities and handwashing practices</t>
  </si>
  <si>
    <t>122405a</t>
  </si>
  <si>
    <t>Invest in effective management of the entire WASH value chain segments such as containment, emptying, transportation, treatment, safe reuse or disposal</t>
  </si>
  <si>
    <t>122405a01</t>
  </si>
  <si>
    <t>Increased access to inclusive sanitation and hygiene services in rural areas</t>
  </si>
  <si>
    <t>Social behavior change communication for use of hand washing with water, investment in public hand washing facilities in rural and urban areas (number of households)(Covered above in social behavioral change)</t>
  </si>
  <si>
    <t>MoH, MGLSD, MICT-NG</t>
  </si>
  <si>
    <t>122408</t>
  </si>
  <si>
    <t>Promote health research, innovation and technology uptake</t>
  </si>
  <si>
    <t>12240801</t>
  </si>
  <si>
    <t>Health research &amp; innovation promoted</t>
  </si>
  <si>
    <t xml:space="preserve"> Number of IPRs generated.  </t>
  </si>
  <si>
    <t xml:space="preserve">Conduct  high quality scientific and operational health research </t>
  </si>
  <si>
    <t>304 Uganda Virus Research Institute</t>
  </si>
  <si>
    <t>MoH, MOSTI, Research Institutions, Academia, UNHRO</t>
  </si>
  <si>
    <t>122416</t>
  </si>
  <si>
    <t>Reduce the burden of HIV epidemic and its impact on the socio-development of communities, using the multisectoral approach</t>
  </si>
  <si>
    <t>12241602</t>
  </si>
  <si>
    <t xml:space="preserve">HIV and AIDS mainstreaming guidelines rolled out to MDAs and DLGs </t>
  </si>
  <si>
    <t>Proportion of DLGs with HIV and AIDS Mainstreamed  in their development Plans</t>
  </si>
  <si>
    <t>UAC, OPM, MOFPED</t>
  </si>
  <si>
    <t>Regular assessments,  monitoring/mentoring to MDAs/DLGs</t>
  </si>
  <si>
    <t>12241603</t>
  </si>
  <si>
    <t xml:space="preserve">Capacity of DLGs and MDAs AIDS Committees built to monitor HIV and AIDS services in their sectors/ districts </t>
  </si>
  <si>
    <t>Proportion of MDAs/DLGs with functional HIV and AIDS structures (DACs &amp; PHA Networks)</t>
  </si>
  <si>
    <t>UAC, NPA, MoLG, MoH</t>
  </si>
  <si>
    <t>Capacity assessment of coordination structures</t>
  </si>
  <si>
    <t>UAC</t>
  </si>
  <si>
    <t>107 Uganda AIDS Commission</t>
  </si>
  <si>
    <t>Training and Technical support of Coordination Committee members</t>
  </si>
  <si>
    <t>UAC, LGs, UBOS</t>
  </si>
  <si>
    <t>Equipping of Coordination Committees to improve timely reporting</t>
  </si>
  <si>
    <t>123</t>
  </si>
  <si>
    <t>Gender and Social Protection</t>
  </si>
  <si>
    <t>1235</t>
  </si>
  <si>
    <t>Reduce vulnerability and gender inequality along the lifecycle</t>
  </si>
  <si>
    <t>123501</t>
  </si>
  <si>
    <t>Expand scope and coverage of care, support and social protection services of the most vulnerable groups and disaster-prone communities</t>
  </si>
  <si>
    <t>12350101</t>
  </si>
  <si>
    <t>Senior citizens grant expanded to all aged above 75years</t>
  </si>
  <si>
    <t>No. of eligible older persons accessing the Senior citizens grant (‘000s)</t>
  </si>
  <si>
    <t xml:space="preserve">1.Progressively lower eligibility age for SAGE from 80 to 75 yrs 2. Conduct National ID registration &amp; verification for all older persons  3. Provide regular &amp; predictable SAGE  grants to beneficiaries </t>
  </si>
  <si>
    <t>LGs, OWC</t>
  </si>
  <si>
    <t>12350103</t>
  </si>
  <si>
    <t>Adult disability benefits provided</t>
  </si>
  <si>
    <t>No. of eligible adults accessing disability benefit (‘000s)</t>
  </si>
  <si>
    <t>Review &amp; implement Adult disability grant Programme</t>
  </si>
  <si>
    <t>12350105</t>
  </si>
  <si>
    <t>Special Grants for Persons with Disabilities enhanced</t>
  </si>
  <si>
    <t>No of PWDs benefitting from the grant</t>
  </si>
  <si>
    <t>Increase special grants for PWDs</t>
  </si>
  <si>
    <t>12350106</t>
  </si>
  <si>
    <t>Service providers trained in provision of economic empowerment programs for PWDs</t>
  </si>
  <si>
    <t>No of service providers trained</t>
  </si>
  <si>
    <t>Train service providers on disability</t>
  </si>
  <si>
    <t>12350111</t>
  </si>
  <si>
    <t>Assistive devices procured</t>
  </si>
  <si>
    <t>No of devices procured</t>
  </si>
  <si>
    <t>Procure assistive devices</t>
  </si>
  <si>
    <t>12350114</t>
  </si>
  <si>
    <t>Habitation &amp; rehabilitation programs scaled up</t>
  </si>
  <si>
    <t>No of administrative units</t>
  </si>
  <si>
    <t>Scale up habilitation &amp; rehabilitation programs for PWDs</t>
  </si>
  <si>
    <t>123503</t>
  </si>
  <si>
    <t>Expand livelihood support, public works, and labour market programs to promote green and resilient growth</t>
  </si>
  <si>
    <t>12350302</t>
  </si>
  <si>
    <t>Youth livelihood Programme strengthened</t>
  </si>
  <si>
    <t> Proportion of eligible youth accessing revolving funds under YLP</t>
  </si>
  <si>
    <t xml:space="preserve"> Provide revolving funds to youth groups </t>
  </si>
  <si>
    <t>OWC, LGs, KCCA</t>
  </si>
  <si>
    <t>12350303</t>
  </si>
  <si>
    <t>Youth Venture Capital Fund strengthened</t>
  </si>
  <si>
    <t>Number of beneficiaries accessing the Youth Venture Capital Fund </t>
  </si>
  <si>
    <t>Youth groups supported with start-up capital under Youth Venture Capital Fund</t>
  </si>
  <si>
    <t>123505</t>
  </si>
  <si>
    <t>Promote Women’s economic empowerment, leadership and participation in decision making through investment in entrepreneurship programs, business centres</t>
  </si>
  <si>
    <t>12350501</t>
  </si>
  <si>
    <t>Women participation in development processes increased</t>
  </si>
  <si>
    <t>Number of women trained on leadership skills </t>
  </si>
  <si>
    <t>MGLSD/ NWC</t>
  </si>
  <si>
    <t>Develop and roll out Household model for socioeconomic empowerment</t>
  </si>
  <si>
    <t>NWC, OWC</t>
  </si>
  <si>
    <t>123509</t>
  </si>
  <si>
    <t>Implement the Uganda Gender Policy Action Plan</t>
  </si>
  <si>
    <t>12350902</t>
  </si>
  <si>
    <t>Tailored non-formal vocational, entrepreneurial and life skills training provided to out of school youth</t>
  </si>
  <si>
    <t xml:space="preserve"> Number of Youth trained </t>
  </si>
  <si>
    <t xml:space="preserve">Provide non-formal vocational, entrepreneurial and life skills trainings  to out of school youth for wealth creation </t>
  </si>
  <si>
    <t>121101</t>
  </si>
  <si>
    <t xml:space="preserve">Institutionalize training of ECD caregivers at Public PTCs and enforce the regulatory and quality assurance system of ECD standards </t>
  </si>
  <si>
    <t>12110101</t>
  </si>
  <si>
    <t>ECD caregiver trainees on state sponsorship in public PTCs; and In-service ECD caregiver and pre-primary teachers trained on the ECCE national training framework</t>
  </si>
  <si>
    <t>Proportion of in-service care givers and pre-primary teachers trained, %</t>
  </si>
  <si>
    <t>b. Train in-service pre-primary teachers and ECD caregivers on the ECCE national training framework.</t>
  </si>
  <si>
    <t>121106</t>
  </si>
  <si>
    <t>Equip and support all lagging primary, secondary schools and higher education institutions to meet the basic requirements and minimum standards</t>
  </si>
  <si>
    <t>12110601</t>
  </si>
  <si>
    <t>Basic Requirements and Minimum standards met by schools and training institutions</t>
  </si>
  <si>
    <t>Amount of capitation grants to secondary schools in light of the cost of educational inputs</t>
  </si>
  <si>
    <t>Recruit teachers to ensure that each secondary school achieves student-to-teacher ratio not exceeding 50:1</t>
  </si>
  <si>
    <t>ESC, KCCA</t>
  </si>
  <si>
    <t>No. of inspection and monitor TVET inputs, processes and learning outcomes atleast once a term</t>
  </si>
  <si>
    <t>Enhance capitation grant to secondary schools in light of the cost of educational inputs</t>
  </si>
  <si>
    <t> 8.38</t>
  </si>
  <si>
    <t> 13.15</t>
  </si>
  <si>
    <t>124201a01</t>
  </si>
  <si>
    <t>Labour market information system established</t>
  </si>
  <si>
    <t>Functional web-based Labour Market Information System (LMIS) in place</t>
  </si>
  <si>
    <t>MoGLSD, NPA, MoES, PSFU, UMA, FUE, MoFPED</t>
  </si>
  <si>
    <t>Design and operationalize a  web-based LMIS</t>
  </si>
  <si>
    <t>124201a02</t>
  </si>
  <si>
    <t>Digital job matching tool</t>
  </si>
  <si>
    <t>Digital job matching tool developed and operationalized</t>
  </si>
  <si>
    <t>Develop &amp; operationalise digital job matching tool</t>
  </si>
  <si>
    <t>124201a07</t>
  </si>
  <si>
    <t>Decent &amp; productive employment increased</t>
  </si>
  <si>
    <t>Number of awareness campaigns on safe labour migration to increase uptake of decent employment abroad</t>
  </si>
  <si>
    <t>Conduct awareness raising on safe labour migration to increase uptake of decent employment abroad</t>
  </si>
  <si>
    <t>No. of BLAs &amp; MoUs Negotiated, signed &amp; implemented with destination countries for expansion of external decent employment opportunities</t>
  </si>
  <si>
    <t>Negotiate, sign &amp; implement BLAs &amp; MoUs with destination countries for expansion of external decent employment opportunities</t>
  </si>
  <si>
    <t>No. of common user production facilities constructed and equipped</t>
  </si>
  <si>
    <t xml:space="preserve">Construct and equip common user production facilities </t>
  </si>
  <si>
    <t>OP, OWC</t>
  </si>
  <si>
    <t>Relief mechanisms for vulnerable workers affected by COVID-19 pandemic in place</t>
  </si>
  <si>
    <t xml:space="preserve">Develop &amp; roll out relief mechanisms for vulnerable workers, creative industries actors and youth affected by COVID-19 pandemic </t>
  </si>
  <si>
    <r>
      <t xml:space="preserve">OWC, </t>
    </r>
    <r>
      <rPr>
        <sz val="11"/>
        <color rgb="FFFF0000"/>
        <rFont val="Calibri"/>
        <family val="2"/>
        <scheme val="minor"/>
      </rPr>
      <t>OPM</t>
    </r>
  </si>
  <si>
    <t>-Certify skills acquired by out-of-school youths through work-based learning</t>
  </si>
  <si>
    <t>Enrol out-of-school youth interested in the skilling programme,</t>
  </si>
  <si>
    <t>OWC, MGLSD</t>
  </si>
  <si>
    <t>124205</t>
  </si>
  <si>
    <t>Provide incentives to increase enrolment in skills-scarce TVET programmes to reverse the currently inverted skills triangle</t>
  </si>
  <si>
    <t>12420501</t>
  </si>
  <si>
    <t>Increased TVET enrolment ('000s)</t>
  </si>
  <si>
    <t>Provide relevant career guidance to O and A-level students to increase transition rates from secondary to TVET</t>
  </si>
  <si>
    <t>12420506</t>
  </si>
  <si>
    <t>TVET students admitted in accordance with the NHRDP</t>
  </si>
  <si>
    <t>% of TVET students admitted in accordance with NHRDP</t>
  </si>
  <si>
    <t>MoES, TVET Institutions</t>
  </si>
  <si>
    <t>Link TVET admissions to the NHRDP</t>
  </si>
  <si>
    <t>No. of health workers in the public and private sector trained in integrated management of malaria</t>
  </si>
  <si>
    <t>MoH,  NMS</t>
  </si>
  <si>
    <t xml:space="preserve">Development and dissemination of the Uganda Malaria Reduction and Elimination Strategic Plan 2020 - 25 at all levels </t>
  </si>
  <si>
    <t>Number of new HIV infections per 1,000 uninfected population, by sex, age and key populations (incidence rate)</t>
  </si>
  <si>
    <t>Carry out mass LLIN  campaign and distribution</t>
  </si>
  <si>
    <t>No. of condoms procured and distributed (Millions)</t>
  </si>
  <si>
    <t>MoH, NMS</t>
  </si>
  <si>
    <t>Carry out  IRS in high transmission districts in West Nile, Acholi, Lango, Teso, Bukedi, and Busoga regions</t>
  </si>
  <si>
    <t>% of key populations accessing HIV prevention interventions</t>
  </si>
  <si>
    <t>Carry out LSM (larviciding habitat modification, habitat manipulation and biological control) for urban cities and the cattle corridor</t>
  </si>
  <si>
    <t>No. of voluntary medical male circumcisions done</t>
  </si>
  <si>
    <t xml:space="preserve">Referral Hospitals, LGs </t>
  </si>
  <si>
    <t xml:space="preserve">Implementation of parasite-based diagnosis with microscopy or Rapid Diagnostic Tests (mRDTs) before treatment in all health facilities including in the private sector and at community level. </t>
  </si>
  <si>
    <t>% of Hospitals, HC IVs and IIIs conducting routine HIV counseling and testing</t>
  </si>
  <si>
    <t>Referral Hospitals, LGs</t>
  </si>
  <si>
    <t xml:space="preserve">Comprehensive trainings and mentorships through clinical audits and supportive supervision for health workers in the public and private sector in integrated malaria management </t>
  </si>
  <si>
    <t>Referral, Hospitals, LGs, Private Health providers, NMS</t>
  </si>
  <si>
    <t>No. of HIV test kits procured and distributed</t>
  </si>
  <si>
    <t>MOH, RRH</t>
  </si>
  <si>
    <t xml:space="preserve">Develop and implement National and District HIV/AIDS Strategic Plans 2020 -2025 </t>
  </si>
  <si>
    <t>% of HIV positive pregnant women initiated on ARVs for EMTCT</t>
  </si>
  <si>
    <t>Conduct the UPHIA 2020</t>
  </si>
  <si>
    <t>UAC, UBOS</t>
  </si>
  <si>
    <t>No. of workplaces with male-friendly interventions to attract men to use HIV prevention and care services</t>
  </si>
  <si>
    <t>MoGLSD, MoH</t>
  </si>
  <si>
    <t xml:space="preserve">Increase availability of and access to quality condoms through targeted distribution of free condoms, improved social marketing approaches, and adoption of the total market approach. </t>
  </si>
  <si>
    <t>NMS, LGs</t>
  </si>
  <si>
    <t>No. of health workers trained to deliver KP friendly services</t>
  </si>
  <si>
    <t>MoH, LG</t>
  </si>
  <si>
    <t>Mapping and size estimation and determine HIV prevalence among all key populations and scale-up comprehensive interventions targeting key populations including drop-in centers in regional referral and general hospitals as well as outside hospital settings</t>
  </si>
  <si>
    <t>UAC, MoH, MGLSD</t>
  </si>
  <si>
    <t>TB incidence rate per 1,000</t>
  </si>
  <si>
    <t>Expand coverage and access to quality voluntary medical male circumcision targeting males of all age groups, with priority given to adolescents and adults; and move towards a systems approach to sustain VMMC services.</t>
  </si>
  <si>
    <t>ART Coverage (%)</t>
  </si>
  <si>
    <t>Expand coverage and eliminate all barriers to accessing PrEP and PEP for those at high risk of exposure to HIV infection.</t>
  </si>
  <si>
    <t>Viral Load suppression (%)</t>
  </si>
  <si>
    <t xml:space="preserve">Forecast, procure and distribute HIV Testing kits and ARVs </t>
  </si>
  <si>
    <t>NMS</t>
  </si>
  <si>
    <t xml:space="preserve">Initiate all those who test positive on treatment </t>
  </si>
  <si>
    <t xml:space="preserve">Community empowerment to keep clients engaged in care and help them access treatment, adhere to their medications and prevent the transmission of HIV </t>
  </si>
  <si>
    <t>Referrals, MGLSD</t>
  </si>
  <si>
    <t xml:space="preserve">Integration of HIV care and treatment across programs </t>
  </si>
  <si>
    <t>Referral Hospitals, MoH</t>
  </si>
  <si>
    <t>Create male-friendly interventions (e.g. work-place programs; mobile HIV testing, etc.) to attract men to use HIV prevention and care services.</t>
  </si>
  <si>
    <t>MoH, LGs, MGLSD</t>
  </si>
  <si>
    <t xml:space="preserve">Build capacity of service providers in delivery of KP-friendly services and address health worker-stigma for effective utilization of health facility-based services and scale out peer-led community outreaches </t>
  </si>
  <si>
    <t>LGs, Regional referrals</t>
  </si>
  <si>
    <t>Carryout Hepatitis B vaccination</t>
  </si>
  <si>
    <t xml:space="preserve">Undetrtake Treatmen t of Hepatitis B patients </t>
  </si>
  <si>
    <t>MoH, Referrals</t>
  </si>
  <si>
    <t>12240103</t>
  </si>
  <si>
    <t xml:space="preserve">Reduced morbidity and mortality due to Neglected Tropical Diseases </t>
  </si>
  <si>
    <t>NTD Control and Elimination Plan revised</t>
  </si>
  <si>
    <t xml:space="preserve">Plan revised </t>
  </si>
  <si>
    <t>Revise and implement the NTD Control and Elimination Plan</t>
  </si>
  <si>
    <t>Referrals, LGs</t>
  </si>
  <si>
    <t>Proportion of people accessing interventions against the target Population</t>
  </si>
  <si>
    <t xml:space="preserve">Implementation of the National NTD control and elimination plan towards intensified and integrated vector control programming and NTD case management </t>
  </si>
  <si>
    <t>122402</t>
  </si>
  <si>
    <t>Prevent and control Non-Communicable Diseases with specific focus on cancer, cardiovascular diseases and trauma</t>
  </si>
  <si>
    <t>122402a</t>
  </si>
  <si>
    <t>Establish centres of excellence in provision of oncology, cardiovascular and trauma services at both national and regional levels and foster regional integration</t>
  </si>
  <si>
    <t>122402a01</t>
  </si>
  <si>
    <t>Centres of excellence (Heart, Cancer) established</t>
  </si>
  <si>
    <t>No. of centres of excellence established commissioned and functional</t>
  </si>
  <si>
    <t xml:space="preserve">Establish and functionalize centers of excellence for Heart national and regional levels. </t>
  </si>
  <si>
    <t>UHI</t>
  </si>
  <si>
    <t>115 Uganda Heart Institute</t>
  </si>
  <si>
    <t>MoH, Regional referrals, Public Universities</t>
  </si>
  <si>
    <t xml:space="preserve">Establish and functionalize centers of excellence for trauma at national level. </t>
  </si>
  <si>
    <t>Naguru Referral Hospital</t>
  </si>
  <si>
    <t>176 Naguru Referral Hospital</t>
  </si>
  <si>
    <t>122402a02</t>
  </si>
  <si>
    <t>Super-specialised human resources trained and recruited</t>
  </si>
  <si>
    <t>No. of super-specialized HR recruited</t>
  </si>
  <si>
    <t>HSC</t>
  </si>
  <si>
    <t>134 Health Service Commission</t>
  </si>
  <si>
    <t xml:space="preserve">Recruit the trained super- specialists </t>
  </si>
  <si>
    <t>MoH, MoPS</t>
  </si>
  <si>
    <t>122403a</t>
  </si>
  <si>
    <t>Ensure adequate human resources for health at all levels, with special focus on specialized and super specialized human resources</t>
  </si>
  <si>
    <t>122403a01</t>
  </si>
  <si>
    <t>Integrated Authority to improve quality assurance and regulatory control systems and accreditation across public and private providers established.</t>
  </si>
  <si>
    <t xml:space="preserve">Joint Health Professionals law in place </t>
  </si>
  <si>
    <t>UHPA law enacted</t>
  </si>
  <si>
    <t>Submission of the Draft Bill for the Uganda Health Professions Authority bill to Cabinet for legislation</t>
  </si>
  <si>
    <t>ULRC, Professional councils</t>
  </si>
  <si>
    <t>Regulations for the UHPA developed</t>
  </si>
  <si>
    <t xml:space="preserve">MoH, Professional Councils </t>
  </si>
  <si>
    <t>Development of Regulations for the UHPA</t>
  </si>
  <si>
    <t>Professional Councils, ULRC</t>
  </si>
  <si>
    <t>Joint Health Professionals Authority in place</t>
  </si>
  <si>
    <t>UHPA in place</t>
  </si>
  <si>
    <t>MoH, UHPA</t>
  </si>
  <si>
    <t>Establish and functionalize a JHP Authority to regulate and coordinate activities of the health professions</t>
  </si>
  <si>
    <t>UHPA, ULRC</t>
  </si>
  <si>
    <t>No. of Health Professionals registered</t>
  </si>
  <si>
    <t xml:space="preserve">Professional Councils </t>
  </si>
  <si>
    <t xml:space="preserve">Registration of Health Professionals </t>
  </si>
  <si>
    <t xml:space="preserve">No. of private health facilities inspected </t>
  </si>
  <si>
    <t xml:space="preserve">Inspection and licensing of private health providers </t>
  </si>
  <si>
    <t xml:space="preserve">%. of HTIs accredited </t>
  </si>
  <si>
    <t xml:space="preserve">Professional Councils, </t>
  </si>
  <si>
    <t>Accreditation of Health Training Institutions (HTIs)</t>
  </si>
  <si>
    <t xml:space="preserve">No. of HTIs accredited and supervised </t>
  </si>
  <si>
    <t xml:space="preserve">Professional  </t>
  </si>
  <si>
    <t xml:space="preserve">Supervision of Health Training Institutions </t>
  </si>
  <si>
    <t xml:space="preserve">%. of disciplinary cases presented were handled </t>
  </si>
  <si>
    <t>Professional Councils</t>
  </si>
  <si>
    <t xml:space="preserve">Handle Professional code of conduct issues presented to the Councils </t>
  </si>
  <si>
    <t>122403a02</t>
  </si>
  <si>
    <t xml:space="preserve">Human resources recruited to fill vacant posts </t>
  </si>
  <si>
    <t>Salaries paid</t>
  </si>
  <si>
    <t xml:space="preserve">Pension and gratuity paid </t>
  </si>
  <si>
    <t>122403a04</t>
  </si>
  <si>
    <t xml:space="preserve">Schemes of service developed </t>
  </si>
  <si>
    <t>% of health cadres with Up-to-date schemes of service and standards of practice</t>
  </si>
  <si>
    <t xml:space="preserve">Develop schemes of service, standards of practice and job descriptions for all health cadres </t>
  </si>
  <si>
    <t>122403a05</t>
  </si>
  <si>
    <t xml:space="preserve">E-personnel performance management, monitoring and reporting system developed </t>
  </si>
  <si>
    <t>Annual performance analysis for all staff (E- performance management system linked to the iHRIS)</t>
  </si>
  <si>
    <t>Establish the E- performance management system linked to the iHRIS</t>
  </si>
  <si>
    <t>The E-performance management system at all levels Roll-out and operationalize</t>
  </si>
  <si>
    <t xml:space="preserve">Roll-out and operationalize the E-performance management system at all levels </t>
  </si>
  <si>
    <t>122403a08</t>
  </si>
  <si>
    <t>Health facilities at all levels equipped with appropriate and modern medical equipment.</t>
  </si>
  <si>
    <t>% basic equipment available</t>
  </si>
  <si>
    <t>% of referral hospitals with CT Scan</t>
  </si>
  <si>
    <t>10 (2/19)</t>
  </si>
  <si>
    <t>42 (8/19)</t>
  </si>
  <si>
    <t>% of hospitals with functional x-rays.</t>
  </si>
  <si>
    <t>% of HC IVs with functional Ultra-Sound machines</t>
  </si>
  <si>
    <t>122403a09</t>
  </si>
  <si>
    <t>Comprehensive Electronic Medical Record System scaled up</t>
  </si>
  <si>
    <t>% of hospitals and HC IVs with a functional EMRS</t>
  </si>
  <si>
    <t xml:space="preserve">MoH </t>
  </si>
  <si>
    <t>Number of Regional Ambulance Hubs established</t>
  </si>
  <si>
    <t>Establish and functionalize the EMS Call Centre and Regional Ambulance Hubs</t>
  </si>
  <si>
    <t>122403b03</t>
  </si>
  <si>
    <t>Functional Intensive Care Units (ICUs) at all Regional Referral Hospitals (RRHs)</t>
  </si>
  <si>
    <t>No. of RRHs with functional ICUs &amp; HDUs</t>
  </si>
  <si>
    <t>16[4]</t>
  </si>
  <si>
    <t>Establish and functionalize ICUs and High Dependency Units in all the RRHs</t>
  </si>
  <si>
    <t>Referral Hospitals</t>
  </si>
  <si>
    <t>122403c</t>
  </si>
  <si>
    <t>Expand geographical access</t>
  </si>
  <si>
    <t>122403c07</t>
  </si>
  <si>
    <t>Health facilities at all levels equipped with appropriate and modern medical and diagnostic equipment.</t>
  </si>
  <si>
    <t>No. of fully equipped and adequately funded equipment maintenance workshops</t>
  </si>
  <si>
    <t>MoH, Referral Hospitals,</t>
  </si>
  <si>
    <t>Operationalise the Regional Equipment Maintenance Workshops to ensure equipment maintenance</t>
  </si>
  <si>
    <t xml:space="preserve">Medical Equipment list and specifications reviewed </t>
  </si>
  <si>
    <t>MoH, Central levels Health Institutions, LGs</t>
  </si>
  <si>
    <t>Review of the Medical Equipment list and specifications</t>
  </si>
  <si>
    <t>Central levels Health Institutions, LGs</t>
  </si>
  <si>
    <t xml:space="preserve">No. of health workers trained </t>
  </si>
  <si>
    <t xml:space="preserve">Conduct ME User training </t>
  </si>
  <si>
    <t xml:space="preserve">Medical equipment inventory maintained and updated </t>
  </si>
  <si>
    <t xml:space="preserve">Maintain and update the Annual equipment inventory </t>
  </si>
  <si>
    <t>Referrals, LGs, MoH</t>
  </si>
  <si>
    <t>122403d</t>
  </si>
  <si>
    <t>Avail affordable medicine and health supplies including promoting local production of medicines (including complementary medicine)</t>
  </si>
  <si>
    <t>122403d01</t>
  </si>
  <si>
    <t>Basket of 41 essential medicines availed.</t>
  </si>
  <si>
    <t>Pharmaceutical Industrial Park developed</t>
  </si>
  <si>
    <t>MoTIC, MoFPED, MoH, Private Sector</t>
  </si>
  <si>
    <t>Development of the regulations for the implementation of the TCMP Law</t>
  </si>
  <si>
    <t>UNCRI</t>
  </si>
  <si>
    <t xml:space="preserve">No. of health workers trained in Supply Chain Management </t>
  </si>
  <si>
    <t>Moh, NMS</t>
  </si>
  <si>
    <t>Train health workers on quantification, procurement, storage and distribution of health commodities, cold chain infrastructures and waste management</t>
  </si>
  <si>
    <t>NMS, NDA, LGs</t>
  </si>
  <si>
    <t xml:space="preserve">% of health facilities utilizing the e-LIMIS (LICS) </t>
  </si>
  <si>
    <t xml:space="preserve">MoH, Referral hospitals, Partners, LGs </t>
  </si>
  <si>
    <t>Expand the roll out of e-LIMIS (LICS) from RRHs to lower level health facilities</t>
  </si>
  <si>
    <t xml:space="preserve">Referral hospitals, Partners, LGs </t>
  </si>
  <si>
    <t>122403d02</t>
  </si>
  <si>
    <t xml:space="preserve">Blood products available </t>
  </si>
  <si>
    <t>Blood products available</t>
  </si>
  <si>
    <t>UBTS, URCS</t>
  </si>
  <si>
    <t xml:space="preserve">Blood collection, screening, storage and distribution </t>
  </si>
  <si>
    <t>UBTS</t>
  </si>
  <si>
    <t>151 Uganda Blood Transfusion Service (UBTS)</t>
  </si>
  <si>
    <t xml:space="preserve">URCS, MoH, Referrals </t>
  </si>
  <si>
    <t>No. of Regional Blood Banks (Masaka, Moroto and Arua) constructed</t>
  </si>
  <si>
    <t>MoH, UBTS</t>
  </si>
  <si>
    <t>Construction of Regional Blood Banks in Masaka, Moroto and Arua</t>
  </si>
  <si>
    <t>UBTS, Referrals</t>
  </si>
  <si>
    <t>122403d03</t>
  </si>
  <si>
    <t>Quality medicines and health products on the market</t>
  </si>
  <si>
    <t>NDA Strategic Plan finalized and Implemented</t>
  </si>
  <si>
    <t xml:space="preserve">NDA </t>
  </si>
  <si>
    <t xml:space="preserve">Implement the National Drug Authority Strategic Plan </t>
  </si>
  <si>
    <t>122403e</t>
  </si>
  <si>
    <t>Undertake continuous training and capacity building for in-service health workers</t>
  </si>
  <si>
    <t>122403e01</t>
  </si>
  <si>
    <t>Health workers trained</t>
  </si>
  <si>
    <t>No. of health workers trained</t>
  </si>
  <si>
    <t>Carry out In-service training for Health workers</t>
  </si>
  <si>
    <t>RHs, LGs, Private Sector, DPs</t>
  </si>
  <si>
    <t>122403f03</t>
  </si>
  <si>
    <t>Laboratory quality management system in place</t>
  </si>
  <si>
    <t>% of target laboratories accredited</t>
  </si>
  <si>
    <t>Implementation of laboratory quality management System</t>
  </si>
  <si>
    <t>Referrals</t>
  </si>
  <si>
    <t>122403f04</t>
  </si>
  <si>
    <t xml:space="preserve">Functional Quality of Care Assessment program and CQI Committees at all levels </t>
  </si>
  <si>
    <t>% of functional CQI Committees at district and health facility level</t>
  </si>
  <si>
    <t>MoH, RRHs, LGs</t>
  </si>
  <si>
    <t xml:space="preserve">Organisational capacity building for continuous quality improvement at all levels </t>
  </si>
  <si>
    <t>RRHs, LGs</t>
  </si>
  <si>
    <t>122407</t>
  </si>
  <si>
    <t xml:space="preserve">Increase financial risk protection for health with emphasis on implementing the national health insurance scheme  </t>
  </si>
  <si>
    <t>12240701</t>
  </si>
  <si>
    <t>Prepayment mechanisms for health insurance promoted</t>
  </si>
  <si>
    <t>% of the population accessing health Insurance</t>
  </si>
  <si>
    <t>Roll out Health Insurance Scheme</t>
  </si>
  <si>
    <t>122409</t>
  </si>
  <si>
    <t>Establish and operationalize mechanisms for effective collaboration and partnership for UHC at all levels</t>
  </si>
  <si>
    <t>12240905</t>
  </si>
  <si>
    <t xml:space="preserve">Strategic plans developed </t>
  </si>
  <si>
    <t>Support preparation of Operational plans aligned to the PIAP</t>
  </si>
  <si>
    <t>12240906</t>
  </si>
  <si>
    <t xml:space="preserve">Comprehensive District Health Plans developed </t>
  </si>
  <si>
    <t xml:space="preserve">Capacity building and support to LGs in District Health management, evidence based planning and budgeting for population health </t>
  </si>
  <si>
    <t>LGs, NPA, MoFPED</t>
  </si>
  <si>
    <t>12240907</t>
  </si>
  <si>
    <t>Laws, regulations, policies, byelaws and ordinances reviewed/developed amended/repealed.</t>
  </si>
  <si>
    <t xml:space="preserve">Review, amend or repeal existing laws, regulations, policies, byelaws and ordinances relevant to health, enact new ones and monitor their implementation </t>
  </si>
  <si>
    <t>LGs, ULRC</t>
  </si>
  <si>
    <t>12240908</t>
  </si>
  <si>
    <t xml:space="preserve">Guidelines and SOPs reviewed/developed, disseminated </t>
  </si>
  <si>
    <t>Proportion of the population implementing SoPs</t>
  </si>
  <si>
    <t xml:space="preserve">Review/ develop and disseminate guidelines and SOPs for health service delivery </t>
  </si>
  <si>
    <t>Proportion of MDAs with HIV and AIDS Mainstreamed  in their development Plans</t>
  </si>
  <si>
    <t>Technical Support provided to MDAs/DLGs on Mainstreaming of HIV interventions</t>
  </si>
  <si>
    <t>Performance review meetings</t>
  </si>
  <si>
    <t>12350107</t>
  </si>
  <si>
    <t>Social care programs implemented</t>
  </si>
  <si>
    <t>No of Social care and support institutions equipped</t>
  </si>
  <si>
    <t xml:space="preserve">Equip Social Care Institutions </t>
  </si>
  <si>
    <t>12350115</t>
  </si>
  <si>
    <t>PWDs rehabilitation centres renovated &amp; equipped</t>
  </si>
  <si>
    <t>No of rehabilitation centres</t>
  </si>
  <si>
    <t>Ronovate PWDs rehabilitation centres</t>
  </si>
  <si>
    <t>123502</t>
  </si>
  <si>
    <t>Establish early warning systems for disaster preparedness including risk reduction and management of national and global health risks</t>
  </si>
  <si>
    <t>12350201</t>
  </si>
  <si>
    <t>Early warning systems for disaster preparedness</t>
  </si>
  <si>
    <t>Early warning systems and centres for disaster preparedness established</t>
  </si>
  <si>
    <t xml:space="preserve">MoGLSD, UNMA, OPM, MoFPED, NEMA, MoH, LGs </t>
  </si>
  <si>
    <t>1. Develop early warning centres 2. Sensitize communities of disaster preparedness. 3. Put in place a fund for relief for risk mitigation</t>
  </si>
  <si>
    <t>123504</t>
  </si>
  <si>
    <t>Expand and reform contributory social security schemes to the informal sector to cover more risks and provide wider range of benefits</t>
  </si>
  <si>
    <t>12350405</t>
  </si>
  <si>
    <t>Increased resilience of workforce</t>
  </si>
  <si>
    <t xml:space="preserve">Develop &amp; implement a strategy for extending social security to informal sector workers </t>
  </si>
  <si>
    <t>Number of women benefiting from the Household Model for Socio-economic empowerment</t>
  </si>
  <si>
    <t>MGLSD/NWC</t>
  </si>
  <si>
    <t>Profile women owned business and train them in business management</t>
  </si>
  <si>
    <t>NWC, LGs</t>
  </si>
  <si>
    <t>ECD training Curriculum reviewed and disseminated</t>
  </si>
  <si>
    <t>Draft</t>
  </si>
  <si>
    <t>Revised copy</t>
  </si>
  <si>
    <t>Printed</t>
  </si>
  <si>
    <t>0[1]</t>
  </si>
  <si>
    <t>303 National Curriculum Development Centre</t>
  </si>
  <si>
    <t>Review and Disseminate the ECD training Curriculum</t>
  </si>
  <si>
    <t>12110102</t>
  </si>
  <si>
    <t>ECD centres registered</t>
  </si>
  <si>
    <t>% of ECD centres registered in accordance with the BRMS</t>
  </si>
  <si>
    <t>Register all ECD centres in accordance with the BRMS</t>
  </si>
  <si>
    <t>Proportion of children 0-8 years accessing ECD services (Nutrition, PHC, Sanitation, Child protection, Family strengthening and support), %</t>
  </si>
  <si>
    <t>MoGLSD, MoH, MoES</t>
  </si>
  <si>
    <t>Sensitize private players to spread to the under-served areas</t>
  </si>
  <si>
    <t xml:space="preserve">Roll out Integrated Early Childhood Development Service Delivery Framework </t>
  </si>
  <si>
    <t>MoES, MoH, LGs</t>
  </si>
  <si>
    <t>% of health facilities designated mother-baby friendly (Hospitals, HC IVs and IIIs)</t>
  </si>
  <si>
    <t>MOH, LGs</t>
  </si>
  <si>
    <t>Educate and provide all pregnant women attending ANC for uptake of iron and folate supplementation (women receiving iron/folate)</t>
  </si>
  <si>
    <t>121102c</t>
  </si>
  <si>
    <t>Promote dietary diversification</t>
  </si>
  <si>
    <t>121102c01</t>
  </si>
  <si>
    <t>Balanced diet consumed in households</t>
  </si>
  <si>
    <t>% of households with access to diverse nutritious foods</t>
  </si>
  <si>
    <t>MoH, MAAIF</t>
  </si>
  <si>
    <t>Mobilise and sensitize communities on production &amp; consumption of nutritious foods</t>
  </si>
  <si>
    <t>121103</t>
  </si>
  <si>
    <t xml:space="preserve">Increase access to immunization against childhood diseases  </t>
  </si>
  <si>
    <t>12110301</t>
  </si>
  <si>
    <t>Target population fully immunized</t>
  </si>
  <si>
    <t>% of Children Under One Year Fully Immunized</t>
  </si>
  <si>
    <t>Mobilise and sensitise communities to increase uptake for child immunisation services in all LGs with focus on hard to reach areas</t>
  </si>
  <si>
    <t>MoH, MGLSD, MoES</t>
  </si>
  <si>
    <t>121105</t>
  </si>
  <si>
    <t>Strengthen the family unit to reduce domestic violence, child deprivation, abuse and child labour</t>
  </si>
  <si>
    <t>12110504</t>
  </si>
  <si>
    <t>Family support institutions strengthened</t>
  </si>
  <si>
    <t>Percentage of vulnerable households accessing family support</t>
  </si>
  <si>
    <t>Provide counselling &amp; vulnerable family support services at village, parish, sub-county &amp; district levels</t>
  </si>
  <si>
    <t>No. of schools installed with solar energy (IIS)</t>
  </si>
  <si>
    <t>Establish and operationalise an integrated e-inspection system for all schools and education institutions (intergrated inspection System)</t>
  </si>
  <si>
    <t>LGs,MoICT&amp;NG, OWC</t>
  </si>
  <si>
    <t>No. of textbooks procured to ensure that each secondary school achieves a pupil-to-textbook ratio not exceeding 3:1 (Millions)</t>
  </si>
  <si>
    <t>Construct additional classrooms to ensure that each Secondary school achieves a student-to-classroom ratio not exceeding 50:1</t>
  </si>
  <si>
    <t>No. of units of furniture procured to ensure that all secondary school students  have where to sit and write by 2025 taking into account learners SNCs.</t>
  </si>
  <si>
    <t>Rehabilitate and renovate existing public secondary schools to ensure they are disability friendly with a special focus on traditional schools</t>
  </si>
  <si>
    <t>No. of secondary schools and lower secondary school teachers retooled to enable them implement the new lower secondary curriculum (CPDS)</t>
  </si>
  <si>
    <t>Construct teachers’ houses to ensure that each rural secondary school has atleast 4 teachers accommodated at school</t>
  </si>
  <si>
    <t>No. of lecture theatres/ teaching facilities constructed in TVET institutions to conform to NCHE standards</t>
  </si>
  <si>
    <t>-Procure textbooks to ensure that each secondary school achieves a pupil-to-textbook ratio not exceeding 3:1 by 2025</t>
  </si>
  <si>
    <t>No. of existing TVET institutions equipped with appropriate infrastructure, Equipment and materials</t>
  </si>
  <si>
    <t>-Procure units of furniture to ensure that all secondary school students  have where to sit and write by 2025 taking into account learners SNCs.</t>
  </si>
  <si>
    <t xml:space="preserve">Cost of Classroom incorportates this </t>
  </si>
  <si>
    <t>An internationally accredited certification system developed, and high quality TVET certifications delivered</t>
  </si>
  <si>
    <t>MOES (UBTEB, UAHEB, UNMEB, DIT)</t>
  </si>
  <si>
    <t>Retool secondary schools and lower secondary school teachers to enable them implement the new lower secondary curriculum (CPDS)</t>
  </si>
  <si>
    <t>No. of inclusive lecture theatres/ teaching facilities constructed in Higher Education Institutions (HEIs) to conform to NCHE standard</t>
  </si>
  <si>
    <t>Construct lecture theatres/teaching facilities in TVET institutions to conform to NCHE standards</t>
  </si>
  <si>
    <t>Public Universities</t>
  </si>
  <si>
    <t>NCHE approved quality assurance systems established in all HEIs</t>
  </si>
  <si>
    <t xml:space="preserve">Equip existing TVET institutions with appropriate infrastructure, Equipment and materials </t>
  </si>
  <si>
    <t xml:space="preserve">Construct inclusive teaching facilities &amp; office space starting with MUK &amp; KYU to conform to NCHE standard </t>
  </si>
  <si>
    <t>MUK</t>
  </si>
  <si>
    <t>136 Makerere University</t>
  </si>
  <si>
    <t>Mainstream Open, Distance and eLearning (ODeL)</t>
  </si>
  <si>
    <t>MoES (Public Universities)</t>
  </si>
  <si>
    <t>UCC, NITA-U</t>
  </si>
  <si>
    <t>Employment planning framework developed and implemented</t>
  </si>
  <si>
    <t>Develop and operationalise employment planning framework</t>
  </si>
  <si>
    <t>Number of Labour Productivity promotional campaigns</t>
  </si>
  <si>
    <r>
      <t xml:space="preserve">Conduct Labour Productivity Promotion Campaigns </t>
    </r>
    <r>
      <rPr>
        <sz val="11"/>
        <color rgb="FFFF0000"/>
        <rFont val="Calibri"/>
        <family val="2"/>
        <scheme val="minor"/>
      </rPr>
      <t>&amp; establish a National Productivity Centre</t>
    </r>
  </si>
  <si>
    <t xml:space="preserve">No. of business startup toolkits and green technology provided to jua kali women and youth </t>
  </si>
  <si>
    <t xml:space="preserve">Provide business toolkits, equipment and green technology to jua kali women and youth </t>
  </si>
  <si>
    <t>124201a09</t>
  </si>
  <si>
    <t>Industrial peace and harmony created</t>
  </si>
  <si>
    <t>No of Labour Officers trained</t>
  </si>
  <si>
    <t xml:space="preserve">Conduct training of workers on industrial relations </t>
  </si>
  <si>
    <t>124201b01</t>
  </si>
  <si>
    <t>Apprenticeship, Internship, and volunteer placement policy</t>
  </si>
  <si>
    <t>Approved work-based learning policy</t>
  </si>
  <si>
    <t>Policy approved</t>
  </si>
  <si>
    <t>Finalise the work- based learning policy</t>
  </si>
  <si>
    <t>Complete construction of 22 TVET institutions by 2025</t>
  </si>
  <si>
    <t>Equip and, Rehabilitate and expand 60 TVET Institutions by 2025 to increase enrolment capacity of TVET institute</t>
  </si>
  <si>
    <t xml:space="preserve">Expand the  students loans scheme for TVET students </t>
  </si>
  <si>
    <t>121302</t>
  </si>
  <si>
    <t>Provide the critical physical and virtual science infrastructure in all secondary schools and training institutions</t>
  </si>
  <si>
    <t>12130201</t>
  </si>
  <si>
    <t>Science laboratories constructed</t>
  </si>
  <si>
    <t>Proportion of secondary schools with science labs</t>
  </si>
  <si>
    <t>Construct science laboratories in secondary schools</t>
  </si>
  <si>
    <t>12130203</t>
  </si>
  <si>
    <t>Science-based equipment and instruction materials in place</t>
  </si>
  <si>
    <t>% secondary schools with basic science-based equipment and instruction materials</t>
  </si>
  <si>
    <t>Provide basic science-based instruction materials to facilitate the teaching and learning of science</t>
  </si>
  <si>
    <t>Scale up differentiated service delivery models to reach 100% of accredited ART sites.</t>
  </si>
  <si>
    <t xml:space="preserve">Viral load monitoring, Adherence counselling and appropriate allocation of drugs </t>
  </si>
  <si>
    <t>Strategic engagement of the media, civil society organizations, religious, cultural, and political institutions in the HIV prevention effort</t>
  </si>
  <si>
    <t>MoGLSD, UAC, LG</t>
  </si>
  <si>
    <t>Build capacity of CSOs and service providers to manage SGBV cases, deliver integrated youth-friendly HIV, SRH services that include prevention of GBV and address health worker-stigma</t>
  </si>
  <si>
    <t>122402a03</t>
  </si>
  <si>
    <t xml:space="preserve">Preventive programs for NCDs implemented   </t>
  </si>
  <si>
    <t>%. of eligible population screened</t>
  </si>
  <si>
    <t>UCI</t>
  </si>
  <si>
    <t>114 Uganda Cancer Institute</t>
  </si>
  <si>
    <t>Carryout Screening of the most common cancers like: Cervical Cancer Screening in women aged 30-49 years; Breast Cancer Screening in women aged 30-49 years; Prostate Cancer Screening in Men above 40 years (Cost Captured under immunization)</t>
  </si>
  <si>
    <t>MoH, Regional Referrals</t>
  </si>
  <si>
    <t>No. of girls immunized against cervical cancer by 10 years (%)</t>
  </si>
  <si>
    <t>HPV Vaccination for girls at 10 years (Cost Captured under immunization)</t>
  </si>
  <si>
    <t>Staffing levels, %</t>
  </si>
  <si>
    <t xml:space="preserve">Recruitment of health workers to fill the gaps </t>
  </si>
  <si>
    <t>MoPS, MoLG, MoFPED, MoH</t>
  </si>
  <si>
    <t>122403a06</t>
  </si>
  <si>
    <t>Multi-sectoral plan for training of health workforce in appropriate skills and numbers</t>
  </si>
  <si>
    <t>Health training Multisectoral plan developed</t>
  </si>
  <si>
    <t xml:space="preserve">MOH   </t>
  </si>
  <si>
    <t xml:space="preserve">Develop Multisectoral Training Plan </t>
  </si>
  <si>
    <t>122403b02</t>
  </si>
  <si>
    <t>Emergency Medical Services critical cadre trained and recruited</t>
  </si>
  <si>
    <t>No. of EMS cadre trained (in-service)</t>
  </si>
  <si>
    <t xml:space="preserve">Sponsorship and training of EMS cadres </t>
  </si>
  <si>
    <t>MoES, Referral Hospitals</t>
  </si>
  <si>
    <t xml:space="preserve">No. of EMS cadre recruited </t>
  </si>
  <si>
    <t>% of health facilities with 95% availability of 41 basket of EMHS</t>
  </si>
  <si>
    <t xml:space="preserve">Procure and distribute essential medicines and health supplies </t>
  </si>
  <si>
    <t>116 National Medical Stores</t>
  </si>
  <si>
    <t>MoFPED, Private Sector, Development Partners</t>
  </si>
  <si>
    <t>% SPARS score for all LGs</t>
  </si>
  <si>
    <t>Implement the Supervision Performance Assessment and Recognition Strategy (SPARS) in all LGs</t>
  </si>
  <si>
    <t>LGs, NMS</t>
  </si>
  <si>
    <t xml:space="preserve">% of facilities with Annual Training plans based on the TNA </t>
  </si>
  <si>
    <t>MoH, RHs, LGs, Private Sector, DPs</t>
  </si>
  <si>
    <t xml:space="preserve">Conduct training needs assessment and develop annual training plan at all levels </t>
  </si>
  <si>
    <t>122404</t>
  </si>
  <si>
    <t>Improve maternal, adolescent and child health services at all levels of care</t>
  </si>
  <si>
    <t>122404c</t>
  </si>
  <si>
    <t>Increase investment in child and maternal health services at all levels of care</t>
  </si>
  <si>
    <t>122404c01</t>
  </si>
  <si>
    <t xml:space="preserve">RMNCAH Sharpened Plan funded </t>
  </si>
  <si>
    <t xml:space="preserve">Train Health workers Integrated Management of Childhood Illnesses (IMCI) in all HC IIIs and IVs </t>
  </si>
  <si>
    <t xml:space="preserve">Scale up ICCM in targeted villages </t>
  </si>
  <si>
    <t>Training VHTs in ICCM; supplying VHTs with required medicines, supplies and tools.</t>
  </si>
  <si>
    <t>Partners, LGs</t>
  </si>
  <si>
    <t xml:space="preserve">Conduct ICCM supervision by HC IIIs and IIs </t>
  </si>
  <si>
    <t>122406</t>
  </si>
  <si>
    <t>Increase access to Sexual Reproductive Health (SRH) and Rights with special focus to family planning services and harmonised information</t>
  </si>
  <si>
    <t>12240601</t>
  </si>
  <si>
    <t xml:space="preserve">Increased access to Sexual and Reproductive Health services and age appropriate information  </t>
  </si>
  <si>
    <t>No. of obstetric fistula repairs done</t>
  </si>
  <si>
    <t>Promote and and nurture change in social and individual behaviour to address myths, misconceptions, and side effects and improve acceptance and continued use of family planning to prevent unintended pregnancies.</t>
  </si>
  <si>
    <t>MoGLSD, LGs, NPC</t>
  </si>
  <si>
    <t>%. of districts with District Male Engagement Plans</t>
  </si>
  <si>
    <t xml:space="preserve">Provide age-appropriate quality SRH information and services to all age groups as part of the Minimum Health Care Package </t>
  </si>
  <si>
    <t xml:space="preserve">LGs, Referrals </t>
  </si>
  <si>
    <t>12240909</t>
  </si>
  <si>
    <t xml:space="preserve">Drug outlets accredited </t>
  </si>
  <si>
    <t xml:space="preserve">Strengthen mechanism for regulation and accreditation of drug outlets within the overall district health system </t>
  </si>
  <si>
    <t>12240914</t>
  </si>
  <si>
    <t>Data collection, quality and use at facility and community levels strengthened</t>
  </si>
  <si>
    <t>Operationalization and scale up of the Community Health Information System.</t>
  </si>
  <si>
    <t>LGs, NITA-U, UBOS</t>
  </si>
  <si>
    <t>12241604</t>
  </si>
  <si>
    <t>Resources for HIV and AIDS mobilized and their management streamlined for efficient utilization and accountability</t>
  </si>
  <si>
    <t>Percentage of HIV and AIDS budget that is funded, disaggregated by funding source</t>
  </si>
  <si>
    <t>MoFPED, UAC, MoH</t>
  </si>
  <si>
    <t xml:space="preserve">Regularly track resources allocated to HIV and AIDS services, by source </t>
  </si>
  <si>
    <t>UAC, MoFPED</t>
  </si>
  <si>
    <t>No of Social care and support institutions constructed</t>
  </si>
  <si>
    <t xml:space="preserve">Social care and support institutions constructed </t>
  </si>
  <si>
    <t>No of Social care and support institutions rehabilitated</t>
  </si>
  <si>
    <t>Social care and support institutions  rehabilitated  (Older person, PWDs, GBV survivors, OVCs, Drug addicts)</t>
  </si>
  <si>
    <t>12350112</t>
  </si>
  <si>
    <t>MDAs trained</t>
  </si>
  <si>
    <t>No of persons trained</t>
  </si>
  <si>
    <t>Train MDAs on disability rights,mainstreaming and inclusion</t>
  </si>
  <si>
    <t>OWC, EOC</t>
  </si>
  <si>
    <t>12350116</t>
  </si>
  <si>
    <t>Assistive technologies &amp; devices produced locally</t>
  </si>
  <si>
    <t>No of assistive devices</t>
  </si>
  <si>
    <t>Local production of assistive technologies &amp; devices</t>
  </si>
  <si>
    <t>OWC, Private Sector, MTIC, UIA</t>
  </si>
  <si>
    <t>12350301</t>
  </si>
  <si>
    <t xml:space="preserve">Labour Intensive Public Works Programme implemented </t>
  </si>
  <si>
    <t>No of beneficiaries enrolled on Urban cash program </t>
  </si>
  <si>
    <t>Develop &amp; implement an Urban cash for work program</t>
  </si>
  <si>
    <t>123507</t>
  </si>
  <si>
    <t>Support Gender equality and Equity Responsive Budgeting in all sectors and LGs</t>
  </si>
  <si>
    <t>12350702</t>
  </si>
  <si>
    <t>Gender and equity compliance assessments conducted</t>
  </si>
  <si>
    <t xml:space="preserve">Number of LGs complying with Gender and equity responsive planning and budgeting </t>
  </si>
  <si>
    <t>Carry out annual assessment of LG BFPs on gender and equity responsive planning &amp; budgeting</t>
  </si>
  <si>
    <t>Number of MDAs and LGs certified</t>
  </si>
  <si>
    <t>Carry out annual assessment on MDAs/MPS on gender and equity planning &amp; budgeting 2. Assess national &amp; sector BFPs</t>
  </si>
  <si>
    <t>% of private players sensitized to spread to the under-served areas</t>
  </si>
  <si>
    <t>MoES, Propriators</t>
  </si>
  <si>
    <t>Review guidelines on the establishment and management of ECCE centres including integration of coordinated services under the NIECD service delivery framework</t>
  </si>
  <si>
    <t>Roll out the National Integrated Communication and Advocacy Strategy for ECD</t>
  </si>
  <si>
    <t>MoIST &amp; NG, MoES, MoH, LGs</t>
  </si>
  <si>
    <t>12110103</t>
  </si>
  <si>
    <t>ECD Inspection reports</t>
  </si>
  <si>
    <t>Percentage of ECD centers inspected at least once a term</t>
  </si>
  <si>
    <t>Inspect all ECD centers at least once a term</t>
  </si>
  <si>
    <t>MoES, MoH, MGLSD</t>
  </si>
  <si>
    <t>Proportion of ECD centers implementing standardized learning framework, %.</t>
  </si>
  <si>
    <t>Train Centre Management Committees (CMCs) to enhance school level inspections.</t>
  </si>
  <si>
    <t>MoES, MoH</t>
  </si>
  <si>
    <t xml:space="preserve">% of pregnant women receiving iron/folate supplement </t>
  </si>
  <si>
    <t xml:space="preserve">Provide Routine Vitamin A supplementation to all children U5 years during Integrated Child Health Days in April and October (children receiving Vit A)  </t>
  </si>
  <si>
    <t>121102d</t>
  </si>
  <si>
    <t xml:space="preserve">Develop the national food fortification policy and law </t>
  </si>
  <si>
    <t>121102d01</t>
  </si>
  <si>
    <t>National food fortification policy and law developed</t>
  </si>
  <si>
    <t>National food fortification policy and law in place</t>
  </si>
  <si>
    <t>1 (Policy)</t>
  </si>
  <si>
    <t>1 (Law)</t>
  </si>
  <si>
    <t xml:space="preserve">Develop the National food fortification policy and law </t>
  </si>
  <si>
    <t>MTIC, ULRC, UNBS</t>
  </si>
  <si>
    <t>% Availability of vaccines (zero stock outs)</t>
  </si>
  <si>
    <t>Procure and distribute adequate vaccines (budget for procurement is Part of the medical supplies Budget)</t>
  </si>
  <si>
    <t>% of functional EPI fridges</t>
  </si>
  <si>
    <t>Maintenance of the District Vaccine Stores and EPI Fridges in all health facilities</t>
  </si>
  <si>
    <t>% of health facilities providing immunization services by level</t>
  </si>
  <si>
    <t>LGs, RRH</t>
  </si>
  <si>
    <t xml:space="preserve">Carry out childhood immunization for all the approved childhood vaccines in all health facilities </t>
  </si>
  <si>
    <t>Average number of active family support institutions per district</t>
  </si>
  <si>
    <t>Strengthen Functionality of probation and social welfare office in districts</t>
  </si>
  <si>
    <t>% of Pre-primary schools meeting the BRMS</t>
  </si>
  <si>
    <t>Develop &amp; disseminate ECCE specific BRMS</t>
  </si>
  <si>
    <t xml:space="preserve">Number of BRMS inspections in ECCEs conducted </t>
  </si>
  <si>
    <t>Enforce the BRMS in ECCEs through regular inspections</t>
  </si>
  <si>
    <t>No. of teachers’ houses (2300) constructed (4 unit blocks) to ensure that each rural primary school has atleast 4 teachers accommodated at school</t>
  </si>
  <si>
    <t>Recruit teachers to ensure that each primary school achieves pupil-to-teacher ratio not exceeding 50:1</t>
  </si>
  <si>
    <t>MoES, ESC</t>
  </si>
  <si>
    <t>No. of primary schools  inspected atleast once a term</t>
  </si>
  <si>
    <t>Procure textbooks and other instructional materials to ensure that each primary school achieves a pupil-textbook ratio not exceeding 3:1 by 2025</t>
  </si>
  <si>
    <t>NCDC, UNEB</t>
  </si>
  <si>
    <t>No. of visits conducted to monitor  the inspection of primary schools by the LG inspectors to ensure adharence to the gudelines of inspecting each primary school  atleast once a term</t>
  </si>
  <si>
    <t>Inspect all  primary schools  atleast once a term</t>
  </si>
  <si>
    <t> 9.27</t>
  </si>
  <si>
    <t> 10.69</t>
  </si>
  <si>
    <t>No. of school improvement plans developed and implemented in primary schools arising from inspection reports</t>
  </si>
  <si>
    <t>Monitor the inspection of primary schools by the local goverment inspectors to ensure adharence to the gudelines of inspecting each primary school  atleast once a term</t>
  </si>
  <si>
    <t>An integrated e-inspection system for all schools and education institutions established and operationalised (intergrated inspection System)</t>
  </si>
  <si>
    <t>Develop and implement school improvement plans in primary schools arising from inspection reports. Training the District inspectors to train the headteachers on the process of developing school improvement plans</t>
  </si>
  <si>
    <t>MoES, NPA</t>
  </si>
  <si>
    <t>An Inspection and Quality Assurance policy for education and sports formulated</t>
  </si>
  <si>
    <t>Maintain IT Infrastructure for the intergrated inspection System (in server room)</t>
  </si>
  <si>
    <t>MICT - NG</t>
  </si>
  <si>
    <t>High quality examinations and certification systems developed</t>
  </si>
  <si>
    <t>UNEB</t>
  </si>
  <si>
    <t>128 Uganda National Examinations Board</t>
  </si>
  <si>
    <t>Train District Inspectors of schools and Associate Assessors on Intergrated Inspection System and Head teachers, Deputy head teachers and ICT teachers (IIS)</t>
  </si>
  <si>
    <t>National Assessments on Progress in Education (NAPE) in numeracy and literacy at P.3 and P.6  and S2 once in every 2 years conducted, in order to effectively track learner achievements</t>
  </si>
  <si>
    <t>Print Training materials for e-Inspection and user manuals for schools (IIS)</t>
  </si>
  <si>
    <t>UPE policy Documented and disseminated</t>
  </si>
  <si>
    <t>Review training materials and manuals (IIS)</t>
  </si>
  <si>
    <t>Selection criteria of school management committees reviewed</t>
  </si>
  <si>
    <t>Designate senior-teachers as mentors to provide school support supervision in 60% of the primary schools by 2025</t>
  </si>
  <si>
    <t>A strategy to increase parental participation in the education of their children developed</t>
  </si>
  <si>
    <t>Conduct regular National Assessment of Progress in Education (NAPE) in numeracy and literacy at P.3 and P.6  and S2 once in every 2 years, in order to effectively track learner achievements</t>
  </si>
  <si>
    <t>No. of new secondary schools (300) constructed in sub counties without</t>
  </si>
  <si>
    <t>Document and disseminate the UPE policy</t>
  </si>
  <si>
    <t>No. of additional classrooms constructed to ensure that each Secondary school achieves a student-to-classroom ratio not exceeding 50:1</t>
  </si>
  <si>
    <t>Develop a policy to guide Curriculum development, Assessment and placement</t>
  </si>
  <si>
    <t>UNEB, NCDC</t>
  </si>
  <si>
    <t>No. of existing public secondary schools rehabilitated and renovated to ensure they are disability friendly with a special focus on traditional schools</t>
  </si>
  <si>
    <t>Develop a textbook policy</t>
  </si>
  <si>
    <t>No. of toilets that are disability friendly &amp; gender sensitive constructed to achieves a pupil-to-toilet stance ratio not exceeding 60:1</t>
  </si>
  <si>
    <t>Implement the selection criteria of school management committees</t>
  </si>
  <si>
    <t>No. of teachers recruited to ensure that each secondary school achieves student-to-teacher ratio not exceeding 50:1</t>
  </si>
  <si>
    <t>Under the parish model, train CDOs to increase parental participation in the education of their children</t>
  </si>
  <si>
    <t>MGLSD, MoES</t>
  </si>
  <si>
    <t>No. of teachers’ houses constructed to ensure that each rural secondary school has atleast 4 teachers accommodated at school</t>
  </si>
  <si>
    <t>Construct  new secondary schools in subcounties without</t>
  </si>
  <si>
    <t>No. of industry-based practioners recruited as TVET instructors to ensure that each TVET institution achieves 100% staffing levels</t>
  </si>
  <si>
    <t>Conduct a study to inform capitation grant to secondary schools in light of the cost of educational inputs</t>
  </si>
  <si>
    <t>MoFPED, MoES</t>
  </si>
  <si>
    <t>121107</t>
  </si>
  <si>
    <t>Roll out Early Grade Reading (EGR) and Early Grade Maths (EGM) in all primary schools to enhance proficiency in literacy and numeracy</t>
  </si>
  <si>
    <t>12110701</t>
  </si>
  <si>
    <t>EGR and EGMA Primers in schools</t>
  </si>
  <si>
    <t>No. of schools implementing the requirement for local language medium of instruction in lower primary</t>
  </si>
  <si>
    <t xml:space="preserve">Roll-out EGRA and EGMA in all schools.  Enforce the implementation of EGR and EGMA in atleast 50% of primary schools </t>
  </si>
  <si>
    <t>% of accessible EGRA and EGMA primers procured and distributed to achieves a pupil-to-primer ratio not exceeding 3:1</t>
  </si>
  <si>
    <t xml:space="preserve">Enforce the requirement for local language medium of instruction in lower primary </t>
  </si>
  <si>
    <t>NCDC, LGs</t>
  </si>
  <si>
    <t>Procure and distribute accessible EGRA and EGMA primers to ensure that each primary school achieves a pupil-to-primer ratio not exceeding 3:1</t>
  </si>
  <si>
    <t>LGs, NCDC</t>
  </si>
  <si>
    <t>121108</t>
  </si>
  <si>
    <t>Implement an integrated ICT enabled teaching</t>
  </si>
  <si>
    <t>12110801</t>
  </si>
  <si>
    <t>ICT enabled teaching undertaken</t>
  </si>
  <si>
    <t>55% of all teachers, tutors, instructors and lecturers trained in ICT skills</t>
  </si>
  <si>
    <t>MICT</t>
  </si>
  <si>
    <t>121109</t>
  </si>
  <si>
    <t>Develop and implement a distance learning strategy</t>
  </si>
  <si>
    <t>121109b</t>
  </si>
  <si>
    <t xml:space="preserve">Liaise with Higher Education Institutions, and Technology Companies and Entrepreneurs to design and roll-out remote learning platforms/software with greater penetration in marginalized communities </t>
  </si>
  <si>
    <t>121109b01</t>
  </si>
  <si>
    <t>Locally designed remote learning platforms</t>
  </si>
  <si>
    <t xml:space="preserve">No. of locally designed remote learning platforms </t>
  </si>
  <si>
    <t>MoES, Telecom cos, HEIs,ICT Entrepreneurs</t>
  </si>
  <si>
    <t xml:space="preserve">Constitute and operationalize a working group including Higher Education Institutions, and Technology Companies and Entrepreneurs to design and roll-out remote learning platforms/software </t>
  </si>
  <si>
    <t>121110</t>
  </si>
  <si>
    <t>Upgrade the Education Management Information System to include functions for tracking enrolment, drop-out, retention, and uniquely identify learners, teachers, and institutions</t>
  </si>
  <si>
    <t>12111001</t>
  </si>
  <si>
    <t>Revamped EMIS</t>
  </si>
  <si>
    <t>Revamped and functional  EMIS in place</t>
  </si>
  <si>
    <t>MoES,UBOS,NITA</t>
  </si>
  <si>
    <t>a.Design new EMIS solution architecture, functionalities and features.                                                                                                                                              b. Automate key statistical operations particularly data collection, transmission, analysis, reporting and feedback.                                                                        c. Strengthen the human resource base of EMIS by recruiting additional statisticians and ICT specialists</t>
  </si>
  <si>
    <t>MICT - NG, UCC, NITA-U</t>
  </si>
  <si>
    <t>121112</t>
  </si>
  <si>
    <t>Implement a National Strategy against Child Marriage and Teenage Pregnancy</t>
  </si>
  <si>
    <t>12111201</t>
  </si>
  <si>
    <t>National Strategy on girl child education implemented.</t>
  </si>
  <si>
    <t>Child marriage and teenage pregnancy prevalence rates.</t>
  </si>
  <si>
    <t>MoES, MoGLSD, NPC</t>
  </si>
  <si>
    <t>Identify key stakeholders and adopt a multisectoral implementation of the strategy</t>
  </si>
  <si>
    <t>124201a03</t>
  </si>
  <si>
    <t>Labour Market analysis, skills profiling and audit report</t>
  </si>
  <si>
    <t>No. of Labour Market analysis, skills profiling and audit reports produced</t>
  </si>
  <si>
    <t>Undertake Labour Market analysis, skills profiling and audit</t>
  </si>
  <si>
    <t>UBOS, NPA, MoFPED, BOU</t>
  </si>
  <si>
    <t>124201a04</t>
  </si>
  <si>
    <t>Stakeholders trained on utilisation of LMIS</t>
  </si>
  <si>
    <t>No. of stakeholders trained on utilisation of LMIS</t>
  </si>
  <si>
    <t>Conduct capacity building of stakeholders on utilisation on LMIS</t>
  </si>
  <si>
    <t>124201a05</t>
  </si>
  <si>
    <t>Labour Market research &amp; employment diagnostic studies undertaken</t>
  </si>
  <si>
    <t>No. of studies or surveys</t>
  </si>
  <si>
    <t xml:space="preserve">Undertake Labour Market research &amp; employment diagnostic studies </t>
  </si>
  <si>
    <t>Number of companies licensed  for externalization of labour</t>
  </si>
  <si>
    <t>Licence private recruitment companies for internal &amp; external employment</t>
  </si>
  <si>
    <t>Conduct Jua Kali needs assessment</t>
  </si>
  <si>
    <t>Jua-Kali Management Information System upgraded and operationalized</t>
  </si>
  <si>
    <r>
      <t xml:space="preserve">Upgrade and operationalize Jua-Kali Management Information System </t>
    </r>
    <r>
      <rPr>
        <sz val="11"/>
        <color rgb="FFFF0000"/>
        <rFont val="Calibri"/>
        <family val="2"/>
        <scheme val="minor"/>
      </rPr>
      <t>(Generating Reliable Labour, Employment &amp; Productivity Statistics and Retruns)</t>
    </r>
  </si>
  <si>
    <t>MoICT&amp;NG, OWC</t>
  </si>
  <si>
    <t>No. of initiatives in the Uganda National Green Jobs Creation Strategy and Plan implemented</t>
  </si>
  <si>
    <t>Implement Uganda National Green Jobs Creation Strategy and Plan</t>
  </si>
  <si>
    <r>
      <t xml:space="preserve">Establish sub-regional Uganda Green Incubation Centres-Songhai model centres </t>
    </r>
    <r>
      <rPr>
        <sz val="11"/>
        <color rgb="FFFF0000"/>
        <rFont val="Calibri"/>
        <family val="2"/>
        <scheme val="minor"/>
      </rPr>
      <t xml:space="preserve"> (Climate Smart Organic Integrated Production Skilling Centre(s)) </t>
    </r>
  </si>
  <si>
    <t xml:space="preserve">No. of labour unions &amp; employers' organisations trained in collective bargaining and negotiations </t>
  </si>
  <si>
    <t>Undertake the Registration and Regulation of the labour unions</t>
  </si>
  <si>
    <t>No. of Labour Unions registered</t>
  </si>
  <si>
    <t>Conduct training of employers on industrial relations</t>
  </si>
  <si>
    <t>No of workers trained</t>
  </si>
  <si>
    <t xml:space="preserve">Equip Labour Offices to be able to effectively handle labour disputes </t>
  </si>
  <si>
    <t>No of Regional Labour Resource Centres constructed</t>
  </si>
  <si>
    <t xml:space="preserve">Review and update provisions for compensation of govt workers </t>
  </si>
  <si>
    <t>Number of non-compliant employers prosecuted</t>
  </si>
  <si>
    <t>Prosecute employers for non compliance to labour laws and standards</t>
  </si>
  <si>
    <t> 0.03</t>
  </si>
  <si>
    <t> 0.05</t>
  </si>
  <si>
    <t>TVET Enrollment (‘000)</t>
  </si>
  <si>
    <t xml:space="preserve">Increase capitation grant to TVET institutions </t>
  </si>
  <si>
    <t>Rebrand TVET to attract youths through Community Engagements and media campaigns  for communicating returns to TVET education</t>
  </si>
  <si>
    <t>Upgrade of 6 BTVET Institutions into centres of excellence: Kicwamba Kigumba, Elgon, Bukalasa, Bushenyi &amp; Lira.</t>
  </si>
  <si>
    <t>12420505</t>
  </si>
  <si>
    <t>Scarce-skills TVET scholarships.</t>
  </si>
  <si>
    <t>No of TVET students enrolled on skill-scarce TVET programme who are on state scholarships</t>
  </si>
  <si>
    <t xml:space="preserve">MoES, HESFEB, </t>
  </si>
  <si>
    <t>Expand the students loans scheme to specifically target students enrolling on scarce skills programmes</t>
  </si>
  <si>
    <t>12420507</t>
  </si>
  <si>
    <t>Strengthened Competence-Based Training for Agriculture</t>
  </si>
  <si>
    <t>No. of ATPs for Agriculture and fisheries developed by 2024</t>
  </si>
  <si>
    <t>DIT, MoES</t>
  </si>
  <si>
    <t>Develop assessment and training packages and Modules for agriculture and fisheries institutions.</t>
  </si>
  <si>
    <t>MAAIF, NCDC</t>
  </si>
  <si>
    <t>121301</t>
  </si>
  <si>
    <t>Provide early exposure of STEM/STEI to children (eg introduction of innovative science projects primary schools)</t>
  </si>
  <si>
    <t>12130101</t>
  </si>
  <si>
    <t>Innovative pupil-led science projects in primary schools</t>
  </si>
  <si>
    <t>No. of  schools undertaking innovative pupil-led science-based projects</t>
  </si>
  <si>
    <t>MoES, MoST</t>
  </si>
  <si>
    <t xml:space="preserve">Initiate pupil-led innovative science-based projects </t>
  </si>
  <si>
    <t xml:space="preserve">Undertake innovative science fairs to showcase application of science in real life </t>
  </si>
  <si>
    <t>121304b</t>
  </si>
  <si>
    <t>Prioritize STEI/STEM admissions and financing at Higher Education Institutions</t>
  </si>
  <si>
    <t>121304b01</t>
  </si>
  <si>
    <t>Students admitted in STEM/STEI in HEI</t>
  </si>
  <si>
    <t>Conduct careers guidance to primary and O-level students to interest them in pursuing STEM/STEI careers</t>
  </si>
  <si>
    <t>121305</t>
  </si>
  <si>
    <t>Link primary and secondary schools to existing science-based innovation hubs</t>
  </si>
  <si>
    <t>12130501</t>
  </si>
  <si>
    <t>Programme to link primary and secondary schools to existing science-based innovation hubs in place</t>
  </si>
  <si>
    <t xml:space="preserve">Programme to link primary and secondary schools to existing science-based innovation hubs </t>
  </si>
  <si>
    <t xml:space="preserve">MoES, FENU </t>
  </si>
  <si>
    <t>Develop and implement a programme that links primary and secondary schools to science intensive universities and hubs</t>
  </si>
  <si>
    <t>Universities</t>
  </si>
  <si>
    <t>12130502</t>
  </si>
  <si>
    <t>Linked schools (primary and secondary) to existing science-based innovation hubs</t>
  </si>
  <si>
    <t>No. of linked schools (primary and secondary) to existing science-based innovation hubs</t>
  </si>
  <si>
    <t>MoES, FENU</t>
  </si>
  <si>
    <t>MoLG, MoSTI</t>
  </si>
  <si>
    <t>Epidemic Response Financing Mechanism established</t>
  </si>
  <si>
    <t xml:space="preserve">Establish Port Health Facilities for enhanced surveillance </t>
  </si>
  <si>
    <t>MAAIF, MoD, MoTA, MoEAC</t>
  </si>
  <si>
    <t>Cancer</t>
  </si>
  <si>
    <t>Heart</t>
  </si>
  <si>
    <t>Trauma</t>
  </si>
  <si>
    <t xml:space="preserve">Establish and functionalize centers of excellence for Cancer  at national and regional levels. </t>
  </si>
  <si>
    <t xml:space="preserve">No. of super-specialized HR trained </t>
  </si>
  <si>
    <t xml:space="preserve">Support training of super-specialists through sponsorships and study grants </t>
  </si>
  <si>
    <t>Public Universities, UHI, Naguru, UCI</t>
  </si>
  <si>
    <t>% of lower level health facilities  (HC IVs and IIIs) routinely screening for NCDs</t>
  </si>
  <si>
    <t xml:space="preserve">Training and equipping of lower level health facilities (HC IVs and Iis) in screening and care continuation of chronic NCDs and home based care including linkages of patients to community resources </t>
  </si>
  <si>
    <t>122402b</t>
  </si>
  <si>
    <t>Position Uganda as a medical tourism destination in the region</t>
  </si>
  <si>
    <t>122402b01</t>
  </si>
  <si>
    <t xml:space="preserve">Establishment of specialized and super specialized hospitals </t>
  </si>
  <si>
    <t>No. of functional specialized and super specialized hospitals</t>
  </si>
  <si>
    <t xml:space="preserve">Upgrade specialized services to international standards   </t>
  </si>
  <si>
    <t>MoH (National Referrals)</t>
  </si>
  <si>
    <t>122403a03</t>
  </si>
  <si>
    <t>Health workforce restructured.</t>
  </si>
  <si>
    <t xml:space="preserve">Levels restructured </t>
  </si>
  <si>
    <t xml:space="preserve">LGs </t>
  </si>
  <si>
    <t>RRH</t>
  </si>
  <si>
    <t>NRH</t>
  </si>
  <si>
    <t>Review staffing norms for all levels</t>
  </si>
  <si>
    <t>122403a07</t>
  </si>
  <si>
    <t xml:space="preserve">Community Health Workforce established </t>
  </si>
  <si>
    <t>CHEW policy and strategy approved and operationalized</t>
  </si>
  <si>
    <t>Establishment and operationalization of the CHEWs</t>
  </si>
  <si>
    <t>122403c01</t>
  </si>
  <si>
    <t xml:space="preserve">Planned expansion of health infrastructure linked to  overall urban, roads and transport, electricity and water development plans </t>
  </si>
  <si>
    <t>National Master Plan for establishment, expansion and maintenance of public health infrastructure developed</t>
  </si>
  <si>
    <t xml:space="preserve">Master Plan developed </t>
  </si>
  <si>
    <t xml:space="preserve">Develop a National Master Plan  for establishment, expansion and maintenance of public health infrastructure linked to overall urban, roads and transport, electricity and water development plans </t>
  </si>
  <si>
    <t>MoLHUD, MoWT, LGs</t>
  </si>
  <si>
    <t>122403c02</t>
  </si>
  <si>
    <t>Health Center IIIs constructed in the 132 sub counties without any health facility</t>
  </si>
  <si>
    <t>Number of HC IIIs constructed and equipped</t>
  </si>
  <si>
    <t>Construct and equip HC IIIs</t>
  </si>
  <si>
    <t>122403c03</t>
  </si>
  <si>
    <t>HC IVs constructed in 66 Constituencies without HC IVs</t>
  </si>
  <si>
    <t>Number of HC IVs constructed and equipped</t>
  </si>
  <si>
    <t>Construct and equip HC IVs</t>
  </si>
  <si>
    <t>122403c04</t>
  </si>
  <si>
    <t xml:space="preserve">HC IIs upgraded in subcounties without </t>
  </si>
  <si>
    <t>No. of HC IIs upgraded to HC IIIs and equipped</t>
  </si>
  <si>
    <t xml:space="preserve">Upgrade HC IIs to IIIs and equip them </t>
  </si>
  <si>
    <t>122403c05</t>
  </si>
  <si>
    <t xml:space="preserve">Hospitals and HCs rehabilitated/expanded </t>
  </si>
  <si>
    <t>No. of Health Center Rehabilitated and Expanded</t>
  </si>
  <si>
    <t>MoH, Health Institutions, LGs</t>
  </si>
  <si>
    <t>Rehabilitation and expansion of hospitals and HCs in all RRHs and LGs</t>
  </si>
  <si>
    <t>Health Institutions, LGs</t>
  </si>
  <si>
    <t>122403c06</t>
  </si>
  <si>
    <t>Increased coverage of health workers  accommodations</t>
  </si>
  <si>
    <t xml:space="preserve">No. of public health sector staff houses constructed </t>
  </si>
  <si>
    <t xml:space="preserve">Construction of public health sector staff houses </t>
  </si>
  <si>
    <t>% recommended medical and diagnostic equipment available and functional by level</t>
  </si>
  <si>
    <t>MoH, Referral, Hospitals, COE, LGs</t>
  </si>
  <si>
    <t>Procure and equip health facilities with the appropirate medical and diagnostic equipment to provide the range of services at that level</t>
  </si>
  <si>
    <t>Referral, Hospitals, COE, LGs</t>
  </si>
  <si>
    <t>Average % availability of a basket of 41 commodities at all reporting facilities</t>
  </si>
  <si>
    <t>Support local pharmaceutical industries with low cost credit facilities targeting first Anti-malarial &amp; Anti-HIV/AIDS medicines.</t>
  </si>
  <si>
    <t>MoFPED, MoH, MoTIC, NDA</t>
  </si>
  <si>
    <t>No. of local manufacturers supported with low cost credit facilities</t>
  </si>
  <si>
    <t xml:space="preserve">Develop a Pharmaceutical Industrial Park </t>
  </si>
  <si>
    <t>PPP</t>
  </si>
  <si>
    <t>MoFPED, MoH Private Sector, NDA, MoTIC</t>
  </si>
  <si>
    <t>122404b</t>
  </si>
  <si>
    <t>Develop and implement a comprehensive set of interventions to reduce teenage pregnancies, with a special focus on hot spot districts</t>
  </si>
  <si>
    <t>122404b01</t>
  </si>
  <si>
    <t>Adolescent Health Policy developed and disseminated</t>
  </si>
  <si>
    <t>% of young people outside school accessing RH services</t>
  </si>
  <si>
    <t>MoH, MoGLSD</t>
  </si>
  <si>
    <t>Develop and disseminate information packages for Adolescent health</t>
  </si>
  <si>
    <t>MOES, MoLG, MoGLSD</t>
  </si>
  <si>
    <t>% of health facilities providing SRH services</t>
  </si>
  <si>
    <t>Train health workers in provision and counselling for family planning</t>
  </si>
  <si>
    <t>12240704</t>
  </si>
  <si>
    <t>Equity and efficiency in resource mobilization</t>
  </si>
  <si>
    <t xml:space="preserve">Expand coverage of Results Based Financing mechanism across the key health sector outputs </t>
  </si>
  <si>
    <t xml:space="preserve">National Health, Research and Innovation strategy  developed </t>
  </si>
  <si>
    <t>Develop the National Health,  Research and Innovation  Strategy</t>
  </si>
  <si>
    <t>MOSTI, UNHRO, UNCST, Research Institutions, Academia, MoST</t>
  </si>
  <si>
    <t>12240902</t>
  </si>
  <si>
    <t>Intersectoral health promotion and prevention structures (Parish, LC, Sub County Chiefs, VHT, and Health Assistants, extension workers) and schools in place</t>
  </si>
  <si>
    <t xml:space="preserve">Develop amd implement the Community Health Policy and Strategy </t>
  </si>
  <si>
    <t>12240911</t>
  </si>
  <si>
    <t>Service delivery monitored</t>
  </si>
  <si>
    <t xml:space="preserve">Quarterly Support supervision undertaken at all levels </t>
  </si>
  <si>
    <t xml:space="preserve">Printing and distribution of HMIS tools at all health facilities </t>
  </si>
  <si>
    <t>Establish and scale up a national Electronic Medical Records System in all public and private hospitals, HC IVs and high volume HC IIIs with access to internet.</t>
  </si>
  <si>
    <t>NMS, NITA-U, UBOS</t>
  </si>
  <si>
    <t>Conduct population health surveys (UPHIA, MIS)</t>
  </si>
  <si>
    <t>Partners, MoH</t>
  </si>
  <si>
    <t>12241601</t>
  </si>
  <si>
    <t xml:space="preserve">HIV and AIDS, strategies, and guidelines, developed and disseminated to MDAs, DLGs and non-state actors </t>
  </si>
  <si>
    <t>Proportion of MDAs/DLGs with institutional HIV and AIDS strategic plans aligned to NSP</t>
  </si>
  <si>
    <t> HIV/AIDS National Strategic Plan developed &amp; disseminated, institutional HIV/AIDS Action plans developed &amp; implemented; communication &amp; national advocacy programmes implemented</t>
  </si>
  <si>
    <t>NPA, NPC</t>
  </si>
  <si>
    <t>12241606</t>
  </si>
  <si>
    <t>Regulate and regularize AIDS service providers</t>
  </si>
  <si>
    <t>12350102</t>
  </si>
  <si>
    <t>Child disability benefits provided</t>
  </si>
  <si>
    <t>No. of eligible children accessing disability benefit (‘000s)</t>
  </si>
  <si>
    <t>MoGLSD, MoES</t>
  </si>
  <si>
    <t xml:space="preserve">1. Register all children with disabilities 2. Develop and implement child disability grant Programme </t>
  </si>
  <si>
    <t xml:space="preserve">Functional social care and support system in place </t>
  </si>
  <si>
    <t xml:space="preserve">Develop &amp; implement an operational framework for Social care and support system </t>
  </si>
  <si>
    <t>12350113</t>
  </si>
  <si>
    <t>OPDs, CSOs, care-givers PWDs support groups trained</t>
  </si>
  <si>
    <t>Build capacity of OPDs, CSOs, care-givers &amp; PWD support groups</t>
  </si>
  <si>
    <t>12350118</t>
  </si>
  <si>
    <t xml:space="preserve">16 Newly elected/ appointed members of the National Council for older Persons inducted on the mandate of the National Council </t>
  </si>
  <si>
    <t xml:space="preserve">No. of Newly elected/ appointed members of the National Council for older Persons inducted on the mandate of the National Council </t>
  </si>
  <si>
    <t>MLSD/ NCOP</t>
  </si>
  <si>
    <t>Induct the newly elected/ appointed members of the National Council for Older Persons</t>
  </si>
  <si>
    <t>OWC, NCOP</t>
  </si>
  <si>
    <t>12350119</t>
  </si>
  <si>
    <t>490 Newly elected chairpersons Council for older persons  at City, District and Municipalities inducted on the older Persons Council Structure and mandate</t>
  </si>
  <si>
    <t>No. of Newly elected chairpersons Council for older persons  at City, District and Municipalities inducted on the older Persons Council Structure and mandate</t>
  </si>
  <si>
    <t>Induct newly elected Chairpersons of Councils for older persons including;  11 chairpersons of  City Councils for older persons, 41  Chairperson of Municipality Councils,and 146 Chairpersons of District Councils for older persons to orient them in their roles and responsibilities.</t>
  </si>
  <si>
    <t xml:space="preserve">Number of women representations in decision making structures at all levels  </t>
  </si>
  <si>
    <t>1. Promote women representation at various structures 2. Train and empower women in leadership</t>
  </si>
  <si>
    <t xml:space="preserve">Number of women skilled under the Programme </t>
  </si>
  <si>
    <t> MoGLSD</t>
  </si>
  <si>
    <t xml:space="preserve">Conduct Capacity building of 50 newly elected women councils on leadership skills  </t>
  </si>
  <si>
    <t>NWC</t>
  </si>
  <si>
    <t>12350502</t>
  </si>
  <si>
    <t>Communication strategy on women for women's  participation in decision making in place</t>
  </si>
  <si>
    <t>Communication strategy women participation in decision making in place</t>
  </si>
  <si>
    <t xml:space="preserve">Develop and implement a communication strategy women participation in decision making </t>
  </si>
  <si>
    <t>123506</t>
  </si>
  <si>
    <t>Scale up Gender Based Violence (GBV) interventions at all levels</t>
  </si>
  <si>
    <t>12350601</t>
  </si>
  <si>
    <t>Gender Based Violence prevention and response system strengthened</t>
  </si>
  <si>
    <t xml:space="preserve"> GBV Case monitoring programme in place </t>
  </si>
  <si>
    <t>Develop and rollout a monitoring program for GBV cases, 2) Support and sensitize GBV victims, 3) Creating awareness and strengthening sensitization on positive social norms and attitudes within the community</t>
  </si>
  <si>
    <t>MoES, LGs, UPF</t>
  </si>
  <si>
    <t>12350701</t>
  </si>
  <si>
    <t xml:space="preserve">Gender compacts developed </t>
  </si>
  <si>
    <t>Number of MDA Gender compacts developed</t>
  </si>
  <si>
    <t>1. Conduct reviews with MDAs to develop gender compacts</t>
  </si>
  <si>
    <t>MGLSD, UBOS</t>
  </si>
  <si>
    <t> Number of MDAs implement G&amp;E COMMITMENTS</t>
  </si>
  <si>
    <t>Tracking implementation of G&amp;E commitments of the respective Votes.</t>
  </si>
  <si>
    <t>123508</t>
  </si>
  <si>
    <t>Implement a National Male Involvement Strategies in promotion of gender equality</t>
  </si>
  <si>
    <t>12350801</t>
  </si>
  <si>
    <t>National Male Involvement Strategies in promotion of gender equality implemented</t>
  </si>
  <si>
    <t>No. of Social behavoural change communication conducted</t>
  </si>
  <si>
    <t xml:space="preserve">Implement National Male involvement strategy on GE         </t>
  </si>
  <si>
    <t>Number of Districts where the strategy has been implemented</t>
  </si>
  <si>
    <t xml:space="preserve">Mobilise &amp; train male change agents on GBV prevention &amp; response   </t>
  </si>
  <si>
    <t>Conduct Social behavoural change communication</t>
  </si>
  <si>
    <t>LGs, MICT-NG</t>
  </si>
  <si>
    <t>1216</t>
  </si>
  <si>
    <t>Promote Sports, recreation, and physical education</t>
  </si>
  <si>
    <t>121601</t>
  </si>
  <si>
    <t>Develop a framework for talent identification in Sports, Performing and creative Arts</t>
  </si>
  <si>
    <t>12160101</t>
  </si>
  <si>
    <t xml:space="preserve">Framework for institutionalizing talent identification and nurturing </t>
  </si>
  <si>
    <t>Framework for institutionalizing talent identification and professionalization in place</t>
  </si>
  <si>
    <t>Criteria for early talent identification in place</t>
  </si>
  <si>
    <t>MoES, NCS, Sports associations</t>
  </si>
  <si>
    <t>Establish &amp; Operationalize a framework for early identification of talent</t>
  </si>
  <si>
    <t>12160106</t>
  </si>
  <si>
    <t>Framework for talent identification in performing and creative arts developed</t>
  </si>
  <si>
    <t>No. of Govt performing and creative art academies</t>
  </si>
  <si>
    <t>MoES, MoGLSD</t>
  </si>
  <si>
    <t>Under PPP arrangement establish/support performing &amp; creative arts academies</t>
  </si>
  <si>
    <t>121602</t>
  </si>
  <si>
    <t>Introduce accredited sports and physical education as stand-alone curricular subject(s) in schools and for sports coaches, administrators, and technical officials</t>
  </si>
  <si>
    <t>12160201</t>
  </si>
  <si>
    <t>Sports and physical education added on examinable subjects</t>
  </si>
  <si>
    <t>Sports and PE subjects examined (Primary)</t>
  </si>
  <si>
    <t>Curriculum, assessment and placement policy in place</t>
  </si>
  <si>
    <t>NCDC, UNEB, MoES</t>
  </si>
  <si>
    <t>Develop and implement a curriculum, assessment and placement policy that recognizes PE and sports as examinable</t>
  </si>
  <si>
    <t>121603</t>
  </si>
  <si>
    <t>Establish regional sports-focused schools/sports academies to support early talent identification and development, and the training of requisite human resources for the sports sub-sector</t>
  </si>
  <si>
    <t>12160302</t>
  </si>
  <si>
    <t>Schools participating in district and regional competitions</t>
  </si>
  <si>
    <t>Support schools to participate in zonal, district and regional MDD competitions</t>
  </si>
  <si>
    <t>121605</t>
  </si>
  <si>
    <t>Leverage public private partnerships for funding of sports and recreation programmes</t>
  </si>
  <si>
    <t>12160501</t>
  </si>
  <si>
    <t xml:space="preserve">PPP MoU’s signed </t>
  </si>
  <si>
    <t>NCS, MoES, Sponsors</t>
  </si>
  <si>
    <t>Identify, engage, and sign MoUs with prospective sponsors for sports</t>
  </si>
  <si>
    <t>NCS</t>
  </si>
  <si>
    <t>121606</t>
  </si>
  <si>
    <t>Develop and implement professional sports club structures to promote formal sports participation</t>
  </si>
  <si>
    <t>12160602</t>
  </si>
  <si>
    <t>International sports competitions participated in.</t>
  </si>
  <si>
    <t>Support professionals, Schools and national teams to prepare and participate in international competitions</t>
  </si>
  <si>
    <t>% of ECD Centers Licensed under new guideline</t>
  </si>
  <si>
    <t>MOES, DPs</t>
  </si>
  <si>
    <t>Review and develop a licencing system for ECCEs</t>
  </si>
  <si>
    <t>Monitor delivery of integrated ECD services in Local Governments</t>
  </si>
  <si>
    <t>MoH, MoES, MGLSD, NPA, OPM</t>
  </si>
  <si>
    <t>Strengthen coordination of ECD service providers at National and Local Government levels. (FBOs, Private sector, CSOs &amp; MDAs)</t>
  </si>
  <si>
    <t>Proportion of work places with breastfeeding corners, %</t>
  </si>
  <si>
    <t xml:space="preserve">Develop standards and guidelines for Child care facilities at Formal work places. </t>
  </si>
  <si>
    <t>Prevalence of stunting among children under 5years (%)</t>
  </si>
  <si>
    <t xml:space="preserve">Promote Exclusive  breastfeeding   for the first six months  </t>
  </si>
  <si>
    <t>% of children exclusively breastfed for 6 months</t>
  </si>
  <si>
    <t>MOH, MoGLSD</t>
  </si>
  <si>
    <t>Promote and Monitor implementation of the code of Marketing of Breast milk substitutes in Health Facilities and Commercial outlets</t>
  </si>
  <si>
    <t>No. of peer mothers trained</t>
  </si>
  <si>
    <t>Train Peer mothers to mobilise &amp; sensitize breastfeeding mothers to adopt optimal breastfeeding &amp; complimentary feeding pratices (sensitization activities)</t>
  </si>
  <si>
    <t>MGLSD, MoH</t>
  </si>
  <si>
    <t>121104</t>
  </si>
  <si>
    <t xml:space="preserve">Improve adolescent and youth health </t>
  </si>
  <si>
    <t>121104a</t>
  </si>
  <si>
    <t>Provide adolescent friendly health services</t>
  </si>
  <si>
    <t>121104a01</t>
  </si>
  <si>
    <t>Health facilities providing adolescent friendly services</t>
  </si>
  <si>
    <t>% of health facilities providing adolescent friendly service package including information on positive health and development and risk factors</t>
  </si>
  <si>
    <t>Establish and provide youth friendly corners and services in all public &amp; private health facilities</t>
  </si>
  <si>
    <t>No. of peer educators trained and recruited to support provision of   Adolescent friendly services</t>
  </si>
  <si>
    <t xml:space="preserve">Recruit and train peer educators for the  adolescent friendly corners in hospitals and HC IVs </t>
  </si>
  <si>
    <t>121104c</t>
  </si>
  <si>
    <t>Include youth among the Village Health Teams</t>
  </si>
  <si>
    <t>121104c01</t>
  </si>
  <si>
    <t xml:space="preserve">VHT membership revised to include the youth </t>
  </si>
  <si>
    <t xml:space="preserve">% of VHTs with youth members </t>
  </si>
  <si>
    <t>MoH, MoLG</t>
  </si>
  <si>
    <t>Review and disseminate the VHT guidelines to provide for youth inclusion with emphasis on gender parity</t>
  </si>
  <si>
    <t>12110507</t>
  </si>
  <si>
    <t>Reduce incidences of child labor</t>
  </si>
  <si>
    <t>Reduced incidences of child labor</t>
  </si>
  <si>
    <t>MoGLSD, MoES, MoLG</t>
  </si>
  <si>
    <t>Review the National Elimination of Child Labour Policy, 2006</t>
  </si>
  <si>
    <t>Routine activity</t>
  </si>
  <si>
    <t>Proportion of Child Labour victims integrated in schools</t>
  </si>
  <si>
    <t xml:space="preserve">Integrate children from Child labour into school system </t>
  </si>
  <si>
    <t>MoES, MGLSD, NPA</t>
  </si>
  <si>
    <t>No. of CCTs facilitated to provide support supervision of ECCEs</t>
  </si>
  <si>
    <t>Facilitate CCTs to provide support supervision of ECCEs</t>
  </si>
  <si>
    <t xml:space="preserve">No. of classrooms (1.5k) constructed to improve pupil-to-classroom ratio </t>
  </si>
  <si>
    <t>Enforce construction of age and disability appropriate WASH facilities in selected ECCEs through regular inspection and adherence to the BRMS before licencing and registration of ECCE centres</t>
  </si>
  <si>
    <t>No. (5500) of additional Gender &amp; disability sensitive and climate resilient emptiable VIP Latrines constructed to ensure that each Public primary school achieves a pupil-to-toilet stance ratio not exceeding 60:1</t>
  </si>
  <si>
    <t>Conduct a study on double shift teaching system to address congestion in classrooms in urban schools.</t>
  </si>
  <si>
    <t>No. of teachers recruited to achieve pupil-to-teacher ratio not exceeding 45:1</t>
  </si>
  <si>
    <t>Construct 5500 additional Gender &amp; disability sensitive and climate resilient Emptiable VIP Latrines to ensure that each Public primary school achieves a pupil-to-toilet stance ratio not exceeding 60:1</t>
  </si>
  <si>
    <t>MoES, MWE</t>
  </si>
  <si>
    <t>No. of classroom furniture procured to ensure that 100% of  primary school pupils have where to sit and write by 2025</t>
  </si>
  <si>
    <t xml:space="preserve">Construct teachers’ houses 2300 (4 unit blocks) to ensure that each rural primary school has atleast 4 teachers accommodated at school </t>
  </si>
  <si>
    <t>No. of textbooks and other instructional materials procured to ensure that each primary school achieves a pupil-to-textbook ratio not exceeding 3:1 by 2025</t>
  </si>
  <si>
    <t>Procure classroom furniture to ensure that 100% of  primary school pupils have where to sit and write by 2025</t>
  </si>
  <si>
    <t xml:space="preserve">  </t>
  </si>
  <si>
    <t>No. of District Inspectors of schools and Associate Assessors on Intergrated Inspection System and Head teachers, Deputy head teachers and ICT teachers (IIS) trained</t>
  </si>
  <si>
    <t>Install solar energy in the schools for the intergrated inspection System</t>
  </si>
  <si>
    <t> 3.2</t>
  </si>
  <si>
    <t>A study to inform capitation grant to secondary schools conducted in light of the cost of educational inputs</t>
  </si>
  <si>
    <t>Construct toilets that are disability friendly &amp; gender sensitive and to ensure that each Secondary school achieves a pupil-toilet stance ratio not exceeding 60:1</t>
  </si>
  <si>
    <t>Digital libraries established in HEIs that are accessible to all categories of learners including those with Special Needs</t>
  </si>
  <si>
    <t>Inspect and monitor TVET inputs, processes and learning outcomes atleast once a term</t>
  </si>
  <si>
    <t>Operationalize NCHE approved quality assurance systems in all HEIs</t>
  </si>
  <si>
    <t>MoES (NCHE)</t>
  </si>
  <si>
    <t>Establish digital libraries in HEIs that are accesible to all categories of learners including those with Special Needs</t>
  </si>
  <si>
    <t>NCHE</t>
  </si>
  <si>
    <t>Inspect and monitor HEIs'  inputs, processes and learning outcomes</t>
  </si>
  <si>
    <t>No. of primary school teachers trained in EGRA and EGMA methodologies taking into consideration gender parity</t>
  </si>
  <si>
    <t>LGs, MoES, DPs</t>
  </si>
  <si>
    <t>Mainstream EGR and EGM in the primary teacher curriculum.</t>
  </si>
  <si>
    <t>EGRA and EGMA rolled out in all schools</t>
  </si>
  <si>
    <t xml:space="preserve">Train primary school teachers in EGRA and EGMA methodologies taking into consideration gender parity. </t>
  </si>
  <si>
    <t>No. of learning platforms designed in liaison with HEIs, telecom coies and entrepreneurs</t>
  </si>
  <si>
    <t>-Design local learning platforms in liaison with HEIs, telecom coies and entrepreneurs</t>
  </si>
  <si>
    <t>MoES, Public Universities</t>
  </si>
  <si>
    <t>121109a</t>
  </si>
  <si>
    <t xml:space="preserve">Invest in basic remote ICT-enabled learning infrastructure </t>
  </si>
  <si>
    <t>121109a01</t>
  </si>
  <si>
    <t>Distance learning strategy</t>
  </si>
  <si>
    <t>Distance learning policy and strategy in place</t>
  </si>
  <si>
    <t>Develop a distance learning policy and strategy</t>
  </si>
  <si>
    <t>focus on implementing existing policies</t>
  </si>
  <si>
    <t>121109a02</t>
  </si>
  <si>
    <t xml:space="preserve">Remote ICT-enabled learning infrastructure installed </t>
  </si>
  <si>
    <t>% of education institutions with remote ICT-enabled learning infrastructure installed</t>
  </si>
  <si>
    <t>MoES, NITA</t>
  </si>
  <si>
    <t>Develop a distance learning strategy</t>
  </si>
  <si>
    <t>124201a06</t>
  </si>
  <si>
    <t>Undertake Labour Market surveys</t>
  </si>
  <si>
    <t>MGLSD, BOU, NPA, MoFPED</t>
  </si>
  <si>
    <t>No of pre-departure training companies accredited</t>
  </si>
  <si>
    <t>Accredit pre-departure training companies</t>
  </si>
  <si>
    <t> 0.01</t>
  </si>
  <si>
    <t>No. of Labour attachees deployed</t>
  </si>
  <si>
    <t>Deploy Labour attachees in major host countries</t>
  </si>
  <si>
    <t>No of migrant workers provided with counseling</t>
  </si>
  <si>
    <t>Provide psychosocial counseling to migrant &amp; returnee workers</t>
  </si>
  <si>
    <t>No of legal frameworks on employment revised</t>
  </si>
  <si>
    <t xml:space="preserve">Review &amp; develop legal, policy &amp; institutional frameworks on employment </t>
  </si>
  <si>
    <t xml:space="preserve">No. of national job centres established &amp; operationalised </t>
  </si>
  <si>
    <t>Establish &amp; operationalise national job centres</t>
  </si>
  <si>
    <t>124201a08</t>
  </si>
  <si>
    <t>Minimum Wage Advisory Board, Medical Arbitration Board, Labour Advisory Board in place</t>
  </si>
  <si>
    <t>Revitalise the Minimum Wage Advisory Board, Medical Arbitration Board, Labour Advisory Board</t>
  </si>
  <si>
    <t>EOC, MoPS</t>
  </si>
  <si>
    <t xml:space="preserve">Number of labour complaints and disputes registered and settled </t>
  </si>
  <si>
    <t>Conduct mediation and arbitration meetings to resolve labour disputes</t>
  </si>
  <si>
    <t>MoJCA, LGs</t>
  </si>
  <si>
    <t>124201d</t>
  </si>
  <si>
    <t>Conduct regular tracer studies</t>
  </si>
  <si>
    <t>124201d01</t>
  </si>
  <si>
    <t xml:space="preserve">Tracer study reports </t>
  </si>
  <si>
    <t>No. of tracer studies undertaken by universities, MoES, and NCHE</t>
  </si>
  <si>
    <t>Universities, NCHE</t>
  </si>
  <si>
    <t>All HEIs to undertake regular tracer studies</t>
  </si>
  <si>
    <t>UIA, OWC, NCHE, NPA</t>
  </si>
  <si>
    <t>124202</t>
  </si>
  <si>
    <t>Roll out the modularised TVET curricula for all formal TVET programmes as to attain a flexible demand driven TVET system in Uganda</t>
  </si>
  <si>
    <t>12420201</t>
  </si>
  <si>
    <t>Centers of excellence in Universities established</t>
  </si>
  <si>
    <t>Establish and enhance centres of excellence in Universities (MUK, MUST &amp; UMU) and link them with the industry</t>
  </si>
  <si>
    <t>12420202</t>
  </si>
  <si>
    <t xml:space="preserve">Modularized TVET programmes </t>
  </si>
  <si>
    <t>% of TVET training programs modularised and used in training</t>
  </si>
  <si>
    <t>Constitute a working group including TVET staff, Employers, and Entrepreneurs to undertake modularization and implementation of modular TVET programmes</t>
  </si>
  <si>
    <t>Proportion of TVET institutions implementing demand driven modular curriculum.</t>
  </si>
  <si>
    <t>Enforce the requirement for TVET institutions to rollout a modularized curricular</t>
  </si>
  <si>
    <t>12420203</t>
  </si>
  <si>
    <t>TVET trainees meeting employer demands</t>
  </si>
  <si>
    <t>% of TVET graduates meeting employer demands.</t>
  </si>
  <si>
    <t>Undertake employer satisfaction survey of TVET graduates</t>
  </si>
  <si>
    <t>124203</t>
  </si>
  <si>
    <t>Support the TVET institutions that have the minimum requisite standards to acquire International accreditation Status</t>
  </si>
  <si>
    <t>12420301</t>
  </si>
  <si>
    <t>Internationally accredited TVET training providers</t>
  </si>
  <si>
    <t>No. of internationally accredited TVET training providers</t>
  </si>
  <si>
    <t xml:space="preserve">Equip the  selected TVET institutions for international accreditation by providing the necessary  Infrastructure, Equipment and materials </t>
  </si>
  <si>
    <t>124204</t>
  </si>
  <si>
    <t>Refocus and support Vocational Training Institutions (schools, institutes and colleges) to deliver a dual training system for TVET (i.e. 80 percent training in industry and 20 percent learning in the institution) and Universities (ie 40 percent training in industry and 60 percent training in institution).</t>
  </si>
  <si>
    <t>12420401</t>
  </si>
  <si>
    <t>Restructured TVET and University training programmes in light of dual system</t>
  </si>
  <si>
    <t>No of TVET programmes restructured for dual mode delivery</t>
  </si>
  <si>
    <t>MoES, TVET Institutions, DIT, UBTEB, NCDC</t>
  </si>
  <si>
    <t xml:space="preserve">Earmark and restructure 10 TVET programmes for phased delivery through a defined dual mode </t>
  </si>
  <si>
    <t>12420402</t>
  </si>
  <si>
    <t>Signed MoUs between Employer-Training institution</t>
  </si>
  <si>
    <t>No of MoUs signed between employers and training institutions</t>
  </si>
  <si>
    <t>Training institutions, FUE, UMA, PSFU</t>
  </si>
  <si>
    <t>Sign MoUs with employers and training institutions</t>
  </si>
  <si>
    <t>Review entry requirements to increase enrolment</t>
  </si>
  <si>
    <t>124207</t>
  </si>
  <si>
    <t>Accelerate the acquisition of urgently needed skills in key growth areas.</t>
  </si>
  <si>
    <t>124207a</t>
  </si>
  <si>
    <t>Develop comprehensive national and MDA Human Resource Development Plans (HRDP)</t>
  </si>
  <si>
    <t>124207a01</t>
  </si>
  <si>
    <t>National and sectoral Human Resource Development Plans developed</t>
  </si>
  <si>
    <t>Comprehensive National Human Resource Plan</t>
  </si>
  <si>
    <t>Complete and disseminate the NHRDP</t>
  </si>
  <si>
    <t>Proportion of Programme Human Resource Plans developed (18)</t>
  </si>
  <si>
    <t>Backstop the development of the sectoral and MDA HRDPs</t>
  </si>
  <si>
    <t>124207h</t>
  </si>
  <si>
    <t>Assess and certify the competencies acquired by trainee beneficiaries during apprenticeship, traineeship, indenture training, and further training and or upgrading in order to foster promote the relevancy of skills training and lifelong learning</t>
  </si>
  <si>
    <t>124207h01</t>
  </si>
  <si>
    <t xml:space="preserve">Nationally assessed and certified beneficiaries of work-based training  </t>
  </si>
  <si>
    <t xml:space="preserve">No. of nationally assessed and certified beneficiaries of apprenticeships, traineeships, indenture training (‘000s). </t>
  </si>
  <si>
    <t>DIT, UBTEB,MoES, MoGLSD</t>
  </si>
  <si>
    <t>(a)Develop occupation, training and assessment standards for work-based training/learning</t>
  </si>
  <si>
    <t>12130202</t>
  </si>
  <si>
    <t>Virtual Laboratories in place</t>
  </si>
  <si>
    <t>No. of secondary schools with virtual science labs</t>
  </si>
  <si>
    <t>Establish virtual labs in secondary schools as an alternative to physical labs</t>
  </si>
  <si>
    <t>12130204</t>
  </si>
  <si>
    <t>Science teachers Recruited</t>
  </si>
  <si>
    <t>Science teachers to pupil ratio (secondary)</t>
  </si>
  <si>
    <t>Recruit more science teachers to lower the ratio of science teacher-to pupil ratio</t>
  </si>
  <si>
    <t>ESC</t>
  </si>
  <si>
    <t>121303</t>
  </si>
  <si>
    <t>Adopt science project-based assessment in the education curricular</t>
  </si>
  <si>
    <t>12130301</t>
  </si>
  <si>
    <t>Guidelines for project-based assessment in place</t>
  </si>
  <si>
    <t>Develop and implement a  practical project-based assessment methodology particularly for for science-based subjects</t>
  </si>
  <si>
    <t>NPA, MoES</t>
  </si>
  <si>
    <t>121304a</t>
  </si>
  <si>
    <t>Prioritize STEI/STEM for programme and institutional accreditation</t>
  </si>
  <si>
    <t>121304a01</t>
  </si>
  <si>
    <t>Reviewed institutional and programmes accreditation criterion</t>
  </si>
  <si>
    <t>NCHE, MoES</t>
  </si>
  <si>
    <t>Review and amend the related policies and laws</t>
  </si>
  <si>
    <t>HEIs, NCHE</t>
  </si>
  <si>
    <t>121304a02</t>
  </si>
  <si>
    <t>Increased number of STEM/STEI programmes accredited</t>
  </si>
  <si>
    <t>Proportion of the programmes accredited that are STEM/STEI (%)</t>
  </si>
  <si>
    <t>Revise and implement the criterion for licensing HEIs and accrediting programmes for HEIs that prioritises STEM/STEI</t>
  </si>
  <si>
    <t>Ratio of STEI/STEM students to Arts students</t>
  </si>
  <si>
    <t>NCHE, HESFEB,MoES</t>
  </si>
  <si>
    <t>Link HEI admissions and HE financing to the NHRDP</t>
  </si>
  <si>
    <t>No. of more scholarships and bursaries that target STEM/STEI provided</t>
  </si>
  <si>
    <t>Provide more scholarships and bursaries that target STEM/STEI</t>
  </si>
  <si>
    <t>MoFPED, State House</t>
  </si>
  <si>
    <t>121304b02</t>
  </si>
  <si>
    <t xml:space="preserve">Catalogue of priority STEM/STEI programmes </t>
  </si>
  <si>
    <t>Catalogue of priority STEM/ STEI programmes</t>
  </si>
  <si>
    <t>Develop and disseminate a catalogue of STEM/STEI programmes</t>
  </si>
  <si>
    <t>121304b03</t>
  </si>
  <si>
    <t>Budget for STEI/STEM programmes</t>
  </si>
  <si>
    <t>% increase in budget for STEM/STEI programmes</t>
  </si>
  <si>
    <t>HEIs, NCHE, MoES</t>
  </si>
  <si>
    <t>Lobby for extra funding and conduct fundraising initiatives of STEM/STEI programmes</t>
  </si>
  <si>
    <t>121304c01</t>
  </si>
  <si>
    <t>Research and Innovation fund established in public universities</t>
  </si>
  <si>
    <t>No. of public universities with a Research and Innovation Fund</t>
  </si>
  <si>
    <t>MoES, MoFPED, HEIs</t>
  </si>
  <si>
    <t>Expand the scope of the Research and Innovation Fund to cover Centres of Excellence in Universities.</t>
  </si>
  <si>
    <t>121304c02</t>
  </si>
  <si>
    <t>STEM/STEI PhD staff trained/recruited</t>
  </si>
  <si>
    <t>% STEM/STEI programmes with atleast 60% PhD staff levels (only universities)</t>
  </si>
  <si>
    <t>MoES, HEIs</t>
  </si>
  <si>
    <t>Establish a National PhD fund in order to increase the number of academic staff required in Higher Education and Training institutions in Uganda</t>
  </si>
  <si>
    <t>12130503</t>
  </si>
  <si>
    <t xml:space="preserve">Cooperation assistance for Human Capital Development under TVET secured from Development Partners </t>
  </si>
  <si>
    <t>Number of links created between TVET institutions and their Counter Parts Abroad</t>
  </si>
  <si>
    <t>Link TVET institutions and their Counter Parts Abroad</t>
  </si>
  <si>
    <t>Missions abroad, Universities</t>
  </si>
  <si>
    <t xml:space="preserve">Number of Science based Capacity Building/Training/Scholarships sourced. </t>
  </si>
  <si>
    <t xml:space="preserve">Source for science based scholarships with </t>
  </si>
  <si>
    <t>Port Health Facilities established</t>
  </si>
  <si>
    <t>Implement the National Action Plan for Health Security 2020 - 2025</t>
  </si>
  <si>
    <t>MAIFF, MoIA, MoD, MoEAC</t>
  </si>
  <si>
    <t>International Specialized Hospital (Lubowa) constructed and operationalized - Public Private Partnership Project -PPP</t>
  </si>
  <si>
    <t>Construction and operationalization of the International Specialized Hospital (Lubowa) - Public Private Partnership Project -PPP</t>
  </si>
  <si>
    <t xml:space="preserve">Medical Equipment Policy developed </t>
  </si>
  <si>
    <t xml:space="preserve">Develop the Medical Equipment Policy </t>
  </si>
  <si>
    <t xml:space="preserve">NDA Quality Laboratory constructed </t>
  </si>
  <si>
    <t xml:space="preserve">Construct a Quality Laboratory for National Drug Authority </t>
  </si>
  <si>
    <t xml:space="preserve">Training database updated at all levels </t>
  </si>
  <si>
    <t xml:space="preserve">Maintain a Training Data base for health workers at all levels </t>
  </si>
  <si>
    <t>LGs, Referral Hospitals</t>
  </si>
  <si>
    <t>Support Development of MDA Strategic Plans alligned to PIAP and NDPIII</t>
  </si>
  <si>
    <t>12240913</t>
  </si>
  <si>
    <t xml:space="preserve">Resources mobilized and utilized efficiently </t>
  </si>
  <si>
    <t xml:space="preserve">Prepare annual MPS, BFP, work plans and budgets </t>
  </si>
  <si>
    <t>Central levels Health Institutions, NPA, MoFPED</t>
  </si>
  <si>
    <t xml:space="preserve">Undertake Annual National Health Accounts Studies </t>
  </si>
  <si>
    <t>Central levels Health Institutions, UBOS</t>
  </si>
  <si>
    <t>12240915</t>
  </si>
  <si>
    <t xml:space="preserve">Sector performance monitored and evaluated </t>
  </si>
  <si>
    <t>Conduct progress review meetings at national, regional and district level focusing on achievements, challenges, lessons learnt and actions for improvement.</t>
  </si>
  <si>
    <t>RRHs, LGs, NPA</t>
  </si>
  <si>
    <t>122412</t>
  </si>
  <si>
    <t>Promote physical health activities and behavioural change across all categories of the population</t>
  </si>
  <si>
    <t>12241201</t>
  </si>
  <si>
    <t>Physical fitness increased</t>
  </si>
  <si>
    <t xml:space="preserve">National physical exercise days held </t>
  </si>
  <si>
    <t xml:space="preserve">Have a national physical exercise day </t>
  </si>
  <si>
    <t>MoH MoGLSD</t>
  </si>
  <si>
    <t xml:space="preserve">No. of Social Care Institutions provided food to feed the vulnerable </t>
  </si>
  <si>
    <t>Provide food to Social Care Institutions</t>
  </si>
  <si>
    <t xml:space="preserve">Number of Social Care and support institutions registered and inspected </t>
  </si>
  <si>
    <t xml:space="preserve">Social care and support institutions regulated and certified </t>
  </si>
  <si>
    <t>No of vulnerable persons provided with comprehensive care and support services</t>
  </si>
  <si>
    <t>Case management system on GBV &amp; Child abuse, neglect and exploitation strengthened ( Case clinics, sauti toll free helpline, GBV MIS)</t>
  </si>
  <si>
    <t>LGs, UPF</t>
  </si>
  <si>
    <t>12350108</t>
  </si>
  <si>
    <t xml:space="preserve">Enhanced capacity of social work force to deliver social care and support to the most vulnerable </t>
  </si>
  <si>
    <t xml:space="preserve">No. of staff trained </t>
  </si>
  <si>
    <t>Conduct capacity building of Social workforce (Probation officers, DCDOs, Youth Officers, Rehabilitation officers)</t>
  </si>
  <si>
    <t>12350117</t>
  </si>
  <si>
    <t>Social Protection Single Registry developed and Operationalised</t>
  </si>
  <si>
    <t xml:space="preserve">Functional Social Protection Single Registry in place </t>
  </si>
  <si>
    <t xml:space="preserve">Design and Operationalise Single Registry for social protection </t>
  </si>
  <si>
    <t>OWC, NITA-U</t>
  </si>
  <si>
    <t xml:space="preserve">Number of Youth Groups trained and mentored </t>
  </si>
  <si>
    <t xml:space="preserve">Continuously review the performance of the YLP &amp; other livelihood programmes </t>
  </si>
  <si>
    <t>12350403</t>
  </si>
  <si>
    <t>Social Security reforms carried out</t>
  </si>
  <si>
    <t> Social security reforms in Uganda in place</t>
  </si>
  <si>
    <t>Fast track the amendment  of the NSSF Bill and approval</t>
  </si>
  <si>
    <t>ULRC</t>
  </si>
  <si>
    <t>12350602</t>
  </si>
  <si>
    <t>National GBV Database strengthened</t>
  </si>
  <si>
    <t> Number of stakeholders trained</t>
  </si>
  <si>
    <t>Conduct capacity building training with LG stakeholders (LGs and CSOs) on NGBVD management</t>
  </si>
  <si>
    <t>12350603</t>
  </si>
  <si>
    <t>Helpline strengthened</t>
  </si>
  <si>
    <t xml:space="preserve"> GBV Helpline operational </t>
  </si>
  <si>
    <t>Strengthen Helpline</t>
  </si>
  <si>
    <t>12350710</t>
  </si>
  <si>
    <t>Standard guidelines on child rights responsive planning and budgeting developed</t>
  </si>
  <si>
    <t xml:space="preserve">Local Governments assessed on performance in fulfilling children rights </t>
  </si>
  <si>
    <t>MGLSD/ NCA</t>
  </si>
  <si>
    <t xml:space="preserve">Assess Local Governments performance in fulfilling children rights </t>
  </si>
  <si>
    <t>NCA</t>
  </si>
  <si>
    <t xml:space="preserve">No. of male change agents mobilized &amp; trained on GBV prevention &amp; response   </t>
  </si>
  <si>
    <t>Conduct capacity building of Duty breares on child rights responsive planning and budgeting</t>
  </si>
  <si>
    <t>12350901</t>
  </si>
  <si>
    <t xml:space="preserve">Uganda Gender Policy reviewed </t>
  </si>
  <si>
    <t>Uganda Gender Policy in place</t>
  </si>
  <si>
    <t>1. Finalise &amp; fast track approval the Uganda Gender Policy along with the Action Plan 2. dissemination of the UGP &amp; implement the Action plan</t>
  </si>
  <si>
    <t>12350904</t>
  </si>
  <si>
    <t>GEWE advocacy and networking days marked and commemorated</t>
  </si>
  <si>
    <t>Commemorating the International Women's Day</t>
  </si>
  <si>
    <t>Marking the 16 days of Activism against GBV</t>
  </si>
  <si>
    <t>Commision on the Status of Women held</t>
  </si>
  <si>
    <t>12160102</t>
  </si>
  <si>
    <t>Grassroot Sports and Performing Arts Competitions Organised</t>
  </si>
  <si>
    <t xml:space="preserve">No. of Local Govt holding atleast 3 grassroot competitions </t>
  </si>
  <si>
    <t>-Organize grassroot sports competitions in all the regions of Uganda</t>
  </si>
  <si>
    <t>12160202</t>
  </si>
  <si>
    <t xml:space="preserve">Qualified sports coaches </t>
  </si>
  <si>
    <t>Proportion of qualified sports coaches (%)</t>
  </si>
  <si>
    <t>HEIs, NCS, MoES, Sports Assns</t>
  </si>
  <si>
    <t xml:space="preserve">Develop accredited sports coach and administrator training programmes and certify skills acquired </t>
  </si>
  <si>
    <t>121604</t>
  </si>
  <si>
    <t>Maintain existing facilities and construct appropriate and standardized recreation and sports infrastructure at national, regional, local government and schools in line with the country’s niche’ sports (ie football, netball, athletics, and boxing)</t>
  </si>
  <si>
    <t>12160401</t>
  </si>
  <si>
    <t>Sports and recreation infrastructure standards in place</t>
  </si>
  <si>
    <t>Sports and recreation infrastructure standards</t>
  </si>
  <si>
    <t>NCS,MoES, Sports Assns</t>
  </si>
  <si>
    <t>Develop and implement standards for sports and recreation infrastructure</t>
  </si>
  <si>
    <t>12160402</t>
  </si>
  <si>
    <t xml:space="preserve">Sports and recreation infrastructure established at national, regional, local and school </t>
  </si>
  <si>
    <t>No. of standard sports stadia/grounds established at national, regional level</t>
  </si>
  <si>
    <t>NCS, MoES</t>
  </si>
  <si>
    <t>Process land titles for all public sports and recreational facilities</t>
  </si>
  <si>
    <t>Proportion of schools with standard sports grounds (Primary)</t>
  </si>
  <si>
    <t>Construct/rehabilitate standard regional based sports stadia and grounds in accordance with the developed infrastructure standards</t>
  </si>
  <si>
    <t>OWC, Sports Associations</t>
  </si>
  <si>
    <t>12160601</t>
  </si>
  <si>
    <t xml:space="preserve">Professional sports club structures established </t>
  </si>
  <si>
    <t xml:space="preserve">% sports clubs with formal structures </t>
  </si>
  <si>
    <t>NCS, MoES, Sports Assns.</t>
  </si>
  <si>
    <t>Enforce the requirement for all sports clubs and associations to have approved formal structures</t>
  </si>
  <si>
    <t>Develop and implement The Employment (Breastfeeding and Child Care Facilities at Workplaces) Regulations</t>
  </si>
  <si>
    <t>Employment Act to provide for Child care facilities at work place amended</t>
  </si>
  <si>
    <t>Amend the Employment Act to provide for Child care facilities at work place</t>
  </si>
  <si>
    <t>ULRC, MoPS</t>
  </si>
  <si>
    <t>Vitamin A second dose coverage for under-fives (%)</t>
  </si>
  <si>
    <t xml:space="preserve">Promote Breast Feeding/ baby care corners in public &amp; private institutions </t>
  </si>
  <si>
    <t>No. of health workers re-oriented in Adolescent and youth friendly Health services</t>
  </si>
  <si>
    <t>Re-orient Health Workers to provide adolescent and youth friendly services</t>
  </si>
  <si>
    <t>Number of youths mobilized for uptake of Health  services</t>
  </si>
  <si>
    <t>Mobilise Youth for uptake of services</t>
  </si>
  <si>
    <t>12110501</t>
  </si>
  <si>
    <t>Parenting initiatives implemented</t>
  </si>
  <si>
    <t xml:space="preserve">No of community male champions </t>
  </si>
  <si>
    <t xml:space="preserve">Identify and establish male champions to promote male participation in parenting </t>
  </si>
  <si>
    <t>12110502</t>
  </si>
  <si>
    <t>Paternal responsibility enhanced</t>
  </si>
  <si>
    <t>No. of parenting forums created at village level for sensitization of communities on positive parenting</t>
  </si>
  <si>
    <t xml:space="preserve">Create parenting forums at village level for sensitisation of communities on positive parenting </t>
  </si>
  <si>
    <t>A study on double shift teaching system to address congestion in classrooms in urban schools</t>
  </si>
  <si>
    <t>Establish 400 Public Primary Schools in Parishes without a public primary school</t>
  </si>
  <si>
    <t>Open, Distance and eLearning (ODeL) mainstreamed</t>
  </si>
  <si>
    <t>Recruit industry-based practioners as TVET instructors to ensure that each TVET institution achieves 100% staffing levels</t>
  </si>
  <si>
    <t>132 Education Service Commission</t>
  </si>
  <si>
    <t>No. of existing computer laboratories equipped with computers and tablets (1100 secondary schools, 1266 primary schools and 176 BTVET institutions)</t>
  </si>
  <si>
    <t>MoES, MoICT</t>
  </si>
  <si>
    <t>Equip existing computer laboratories with computers and tablets in 1100 secondary schools, 1266 primary schools and 176 BTVET institutions</t>
  </si>
  <si>
    <t>No of Labour Offices rehabilitated and equipped</t>
  </si>
  <si>
    <t>Construct and equip a National Labour Institute</t>
  </si>
  <si>
    <t>Conference communique</t>
  </si>
  <si>
    <t>Convene annual Labour Conference</t>
  </si>
  <si>
    <t> 0.32</t>
  </si>
  <si>
    <t>-Develop a complete National Vocational Qualifications Framework</t>
  </si>
  <si>
    <t> 2.0</t>
  </si>
  <si>
    <t>12420508</t>
  </si>
  <si>
    <t>2000 A-Level students undergoing compulsory TVET training  by 2025</t>
  </si>
  <si>
    <t>Develop and disseminate a catalogue of skill-scarce HE programmes</t>
  </si>
  <si>
    <t>122404a</t>
  </si>
  <si>
    <t>Invest in appropriate guidelines, health care package, infrastructure, technologies and human resource capacity for neonatal services at all levels of health care</t>
  </si>
  <si>
    <t>122404a01</t>
  </si>
  <si>
    <t xml:space="preserve">Neonatal Intensive Care Units established in all hospitals </t>
  </si>
  <si>
    <t>% of hospitals with functional NICUs</t>
  </si>
  <si>
    <t>Equip and functionalize neonatology units in the hospitals</t>
  </si>
  <si>
    <t>MoH, NPA</t>
  </si>
  <si>
    <t>No. of Primary Health workers trained in Newborn Care</t>
  </si>
  <si>
    <t>Build capacity of health workers to manage neonates in the health care facilities,</t>
  </si>
  <si>
    <t>MoES, Referrals</t>
  </si>
  <si>
    <t>No. / type of Health innovations adapted</t>
  </si>
  <si>
    <t xml:space="preserve">(2) Malaria RDTs, self-testing </t>
  </si>
  <si>
    <t>12240910</t>
  </si>
  <si>
    <t xml:space="preserve">Regional Technical Supervisory Structures established </t>
  </si>
  <si>
    <t>Establish the Regional Technical Supervisory Structure to support District Health Service delivery.</t>
  </si>
  <si>
    <t xml:space="preserve">Referral Hospitals, Partners </t>
  </si>
  <si>
    <t>Mentorship and training of health workers in  data analysis, interpretation and dissemination to ensure collected data is well utilised</t>
  </si>
  <si>
    <t>RRHs, UBOS</t>
  </si>
  <si>
    <t xml:space="preserve">Update the Health Master Facility List with GIS coding </t>
  </si>
  <si>
    <t>LGs, MoLHUD</t>
  </si>
  <si>
    <t>Conduct mid-term review and end-term evaluation of strategic plans and health interventions and disseminate findings</t>
  </si>
  <si>
    <t>Central levels Health Institutions, NPA</t>
  </si>
  <si>
    <t>12350104</t>
  </si>
  <si>
    <t>Child benefits provided</t>
  </si>
  <si>
    <t>No. of eligible children accessing child benefit (‘000s)</t>
  </si>
  <si>
    <t>1. Develop &amp; implement Schemes to provide child benefits targeting OVC  2. Review &amp; implement the OVC program plan of action</t>
  </si>
  <si>
    <t>Alternative care framework in place</t>
  </si>
  <si>
    <t>1. Amend the probation &amp; welfare Act  2. Implement the alternative care framework</t>
  </si>
  <si>
    <t>URRC</t>
  </si>
  <si>
    <t>12350109</t>
  </si>
  <si>
    <t>A functional social care and support MIS developed</t>
  </si>
  <si>
    <t>A functional social care and support MIS in place</t>
  </si>
  <si>
    <t>MoGLSD, NITA-U</t>
  </si>
  <si>
    <t>1. Put in place a social care and support MIS system to monitor all social protection programmes</t>
  </si>
  <si>
    <t>12350110</t>
  </si>
  <si>
    <t>Policy and legal framework on social protection strengthened/developed</t>
  </si>
  <si>
    <t xml:space="preserve">Number of laws, policies, frameworks on social protection, care and support  developed/reviewed </t>
  </si>
  <si>
    <t>Review social protection policies and laws. 2 Develop new policies and laws on social protection</t>
  </si>
  <si>
    <t xml:space="preserve"> Statistics Strategy on G&amp;E budgeting in place </t>
  </si>
  <si>
    <t>1.Development and implement a Statistics Strategy on GEWE 2. F</t>
  </si>
  <si>
    <t>12350703</t>
  </si>
  <si>
    <t>Gender Management Information System (GMIS) for GDD developed</t>
  </si>
  <si>
    <t>GMIS developed and implemented</t>
  </si>
  <si>
    <t>1. Develop the GMIS 2. Implement the GMIS</t>
  </si>
  <si>
    <t>12160203</t>
  </si>
  <si>
    <t>Qualified sports administrators and technical officials</t>
  </si>
  <si>
    <t xml:space="preserve">% of qualified sports administrators and technical officials </t>
  </si>
  <si>
    <t>NCS, MoES, Sports Assns</t>
  </si>
  <si>
    <t>Provide Sponsorships for trainings in sports</t>
  </si>
  <si>
    <t>12160301</t>
  </si>
  <si>
    <t>Regional Sports focused schools (sports centres of excellence) established and supported</t>
  </si>
  <si>
    <t>Regional Sports focused schools</t>
  </si>
  <si>
    <t>Earmark and support regional sports focused schools</t>
  </si>
  <si>
    <t>No. of ECD caregiver trainees on state sponsorship in public PTCs</t>
  </si>
  <si>
    <t xml:space="preserve">Admit and provide state sponsorship to ECD caregivers in public PTCs. With a parity level of 50:50                                            </t>
  </si>
  <si>
    <t>121104b</t>
  </si>
  <si>
    <t>Establish community adolescent and youth friendly spaces at sub county level</t>
  </si>
  <si>
    <t>121104b01</t>
  </si>
  <si>
    <t>Community adolescent and youth friendly spaces at sub county level</t>
  </si>
  <si>
    <t>No. of sub counties with adolescent and youth friendly spaces</t>
  </si>
  <si>
    <t>LGs, MoGLSD, MoH, MoLG</t>
  </si>
  <si>
    <t>Establish, resource &amp; functionalise community adolescent &amp; youth resource centres</t>
  </si>
  <si>
    <t>12110503</t>
  </si>
  <si>
    <t xml:space="preserve">Reduced Child violence and child labor </t>
  </si>
  <si>
    <t>Incidence rate of child violence (sexual, Physical and emotional violence), %</t>
  </si>
  <si>
    <t xml:space="preserve">Provide operational funds for the maintenance of the Uganda Child Helpline to enable it receive and handle child abuse cases </t>
  </si>
  <si>
    <t>Proportion of LG Authority implementing Action Plan for Child Labour</t>
  </si>
  <si>
    <t>Implement the National Action Plan on Child Labour</t>
  </si>
  <si>
    <t>No. of Public Primary Schools (400) established in Parishes without a public primary school</t>
  </si>
  <si>
    <t xml:space="preserve">Construct 500 classrooms  annually to improve the pupil-classroom ratio </t>
  </si>
  <si>
    <t>A policy to guide Curriculum development, Assessment and placement developed</t>
  </si>
  <si>
    <t>Formulate an Inspection and Quality Assurance policy for education and sports</t>
  </si>
  <si>
    <t>A textbook policy developed</t>
  </si>
  <si>
    <t>Develop high quality examinations and certification systems that focus on quality assurance and performance excellence, and deliver high quality national examinations (750K PLE; 400K UCE; 125K UACE)</t>
  </si>
  <si>
    <t> 125.0</t>
  </si>
  <si>
    <t> 145.0</t>
  </si>
  <si>
    <t>NCDC, MoES, NPA</t>
  </si>
  <si>
    <t>A central digital repository for all education resources for all subsectors established</t>
  </si>
  <si>
    <t>Develop an internationally accredited certification system, and deliver high quality TVET certifications</t>
  </si>
  <si>
    <t xml:space="preserve"> (UBTEB, UAHEB, UNMEB, DIT, MoH)</t>
  </si>
  <si>
    <t>Establish a central digital repository for all education resources for all subsectors</t>
  </si>
  <si>
    <t>No. of primary and secondary schools (60%) provided with TV sets for learning purposes</t>
  </si>
  <si>
    <t>-Provide 60% of primary and secondary schools with TV sets for learning purposes by 2025</t>
  </si>
  <si>
    <t> 0.75</t>
  </si>
  <si>
    <t>No. of primary and secondary schools provided with radiosets for learning</t>
  </si>
  <si>
    <t>-Provide 100% of primary and secondary schools with radiosets for learning purposes by 2025</t>
  </si>
  <si>
    <t> 0.24</t>
  </si>
  <si>
    <t> 0.4</t>
  </si>
  <si>
    <t>No. of updatable offline servers provided to primary and secondary schools</t>
  </si>
  <si>
    <t>-Provide updatable offline servers to primary and secondary schools</t>
  </si>
  <si>
    <t>121109c</t>
  </si>
  <si>
    <t xml:space="preserve">Procure and distribute solar powered radio sets for all households in the country to support distance learning and community mobilisation </t>
  </si>
  <si>
    <t>121109c01</t>
  </si>
  <si>
    <t>Radio sets provided to households to support distance learning and community mobilisation</t>
  </si>
  <si>
    <t>No. of solar powered radio sets provided to all households in the country for distance learning and community mobilization</t>
  </si>
  <si>
    <t>MoES, MoFPED, MoLG</t>
  </si>
  <si>
    <t>Provide solar powered radio sets to all households in the country for distance learning and community mobilization</t>
  </si>
  <si>
    <t>121109d</t>
  </si>
  <si>
    <t xml:space="preserve">Procure and distribute two solar powered TV sets to each village in the country to support distance learning and community mobilisation. This should be first piloted before full roll-out </t>
  </si>
  <si>
    <t>121109d01</t>
  </si>
  <si>
    <t>TV sets provided to households to support distance learning and community mobilisation</t>
  </si>
  <si>
    <t>No. of solar powered TV sets provided</t>
  </si>
  <si>
    <t>Provide two solar powered TV sets to each village in the country for distance learning and community mobilization.</t>
  </si>
  <si>
    <t xml:space="preserve">Operatioanlise the National Service Scheme jointly with TVET and other HEIs </t>
  </si>
  <si>
    <t>MGLSD, MICT-NG, MoES</t>
  </si>
  <si>
    <t>124207b</t>
  </si>
  <si>
    <t>Consolidate and centralize capacity building initiatives in the public service in line with the HRDP</t>
  </si>
  <si>
    <t>124207b01</t>
  </si>
  <si>
    <t>An aligned capacity building scheme for public servants in place.</t>
  </si>
  <si>
    <t>Central Capacity Building scheme for public servants in established.</t>
  </si>
  <si>
    <t>MoPS, MoFPED</t>
  </si>
  <si>
    <t>Establish and align a central capacity building scheme for public servants to the NHRDP</t>
  </si>
  <si>
    <t>Number of specialized and super specialized hospitals Accredited by international standards</t>
  </si>
  <si>
    <t xml:space="preserve">Establish a quality management system for international accreditation </t>
  </si>
  <si>
    <t>National Referrals</t>
  </si>
  <si>
    <t>122403f01</t>
  </si>
  <si>
    <t>Service Delivery Standards disseminated and implemented.</t>
  </si>
  <si>
    <t>Service standards and service delivery standards for health reviewed and disseminated</t>
  </si>
  <si>
    <t xml:space="preserve">Conduct Service Availability and Readiness Assessment </t>
  </si>
  <si>
    <t>Referrals, LGs, NPA, UBOS</t>
  </si>
  <si>
    <t>122403f05</t>
  </si>
  <si>
    <t xml:space="preserve">Client satisfaction surveys undertaken </t>
  </si>
  <si>
    <t>No. of client satisfaction studies undertaken</t>
  </si>
  <si>
    <t xml:space="preserve">Conduct client satisfaction surveys </t>
  </si>
  <si>
    <t xml:space="preserve">Number of children rescued, rehabilitated and resettled from the streets </t>
  </si>
  <si>
    <t xml:space="preserve">Rescue, rehabilitate and resettle street children </t>
  </si>
  <si>
    <t>LGs, KCCA</t>
  </si>
  <si>
    <t>Proportion of schools with standard sports grounds (Secondary).</t>
  </si>
  <si>
    <t>Enforce the requirement for all  schools to have a sports ground</t>
  </si>
  <si>
    <t>12110505</t>
  </si>
  <si>
    <t>LC Village Registers established</t>
  </si>
  <si>
    <t>Number of Villages with LC Registers</t>
  </si>
  <si>
    <t>Operationalize LC1 family courts across the country</t>
  </si>
  <si>
    <t>MoGLSD, MJCA</t>
  </si>
  <si>
    <t>No. of rural-based primary and secondary schools (30% of schools connected) to power supply</t>
  </si>
  <si>
    <t>MoES, NITA, UCC, NCHE, MEMD</t>
  </si>
  <si>
    <t>Connect 30% of rural-based primary and secondary schools to power supply by 2025</t>
  </si>
  <si>
    <t>NITA, UCC, NCHE, MEMD</t>
  </si>
  <si>
    <t>No. of Newborn care specialists trained</t>
  </si>
  <si>
    <t>Train newborn care Specialists (fellowship program)</t>
  </si>
  <si>
    <t>12160104</t>
  </si>
  <si>
    <t>Talent academies licensed</t>
  </si>
  <si>
    <t>No of Govt Talent academies</t>
  </si>
  <si>
    <t xml:space="preserve">MoES, NCS, </t>
  </si>
  <si>
    <t>Under PPP arrangement promote community talent management academies</t>
  </si>
  <si>
    <t xml:space="preserve">Proportion of Public PTCs training ECD caregivers, % </t>
  </si>
  <si>
    <t>MoES, DPs</t>
  </si>
  <si>
    <t>% of Pre-school teachers and caregivers who are qualified</t>
  </si>
  <si>
    <t>% of the population not able to meet the required daily dietary intake of 2200-Kilo calories</t>
  </si>
  <si>
    <t>MOH &amp; OPM</t>
  </si>
  <si>
    <t xml:space="preserve">% contribution of staples to daily caloric intake </t>
  </si>
  <si>
    <t>Share of total HH expenditure on food and non-alcoholic beverages</t>
  </si>
  <si>
    <t>UBOS, MoFPED</t>
  </si>
  <si>
    <t>12110506</t>
  </si>
  <si>
    <t xml:space="preserve">Local Government Authorities capacity built in child protection issues </t>
  </si>
  <si>
    <t>No. of LG Authorities whose capacity have been built in child protection issues</t>
  </si>
  <si>
    <t>Monitor the implementation of the parenting Guidelines</t>
  </si>
  <si>
    <t>An ICT policy for education and sports formulated</t>
  </si>
  <si>
    <t>No. of rural-based primary and secondary schools  (30% connected) to internet Options such as google loon should be explored for remote schools</t>
  </si>
  <si>
    <t>Connect 30% of rural-based primary and secondary schools  to internet Options such as google loon should be explored for remote schools</t>
  </si>
  <si>
    <t>Not feasible given the resource constraints</t>
  </si>
  <si>
    <t xml:space="preserve">80% of HEIs provided with campus wi-fi </t>
  </si>
  <si>
    <t>Provide campus wi-fi to 80% of HEIs by 2025</t>
  </si>
  <si>
    <t>Already in place through grants</t>
  </si>
  <si>
    <t>No. of ICT Teachers recruited for Secondary schools (3,570)</t>
  </si>
  <si>
    <t>121109e</t>
  </si>
  <si>
    <t>  Establish a national Radio and TV station dedicated to education and distance learning</t>
  </si>
  <si>
    <t>121109e01</t>
  </si>
  <si>
    <t xml:space="preserve">National Radio and TV station for education </t>
  </si>
  <si>
    <t>A national radio and TV station for education established</t>
  </si>
  <si>
    <t>MoES, UCC</t>
  </si>
  <si>
    <t>121111</t>
  </si>
  <si>
    <t>Integrate Education for Sustainable Development (ESD) into the school curriculum</t>
  </si>
  <si>
    <t>12111101</t>
  </si>
  <si>
    <t>Approved Education for Sustainable Development policy in place.</t>
  </si>
  <si>
    <t>Approved Education for Sustainable Development policy</t>
  </si>
  <si>
    <t>MoES, UNATCOM,NEMA</t>
  </si>
  <si>
    <t>National Labour Institute in place</t>
  </si>
  <si>
    <t>No of eligible workers accessing timely compensation</t>
  </si>
  <si>
    <t>No of awareness campaigns conducted</t>
  </si>
  <si>
    <t>124201c02</t>
  </si>
  <si>
    <t>Apprenticeship program to out-of-school youths</t>
  </si>
  <si>
    <t>Number of Institutions conducting formal apprenticeship programmes to out of school youth</t>
  </si>
  <si>
    <t>No. of awareness campaigns conducted about the available internship opportunities for the out-of-school youths to participate</t>
  </si>
  <si>
    <t>A complete National Vocational Qualifications Framework developed</t>
  </si>
  <si>
    <t>Number of youth benefiting from short term  skilling programme</t>
  </si>
  <si>
    <t>No. of internationally accredited TVET programmes</t>
  </si>
  <si>
    <t>No of University programmes restructured for dual mode delivery</t>
  </si>
  <si>
    <t>MoES, Universities</t>
  </si>
  <si>
    <t xml:space="preserve">Incentive system for employer-based training developed </t>
  </si>
  <si>
    <t>No. of incentives created for employers to provide places for TVET Institutions and work-based training.</t>
  </si>
  <si>
    <t>No. of TVET trainees and graduates  with access to relevant on-job training opportunities</t>
  </si>
  <si>
    <t>MoGLSD, UMA, FUE</t>
  </si>
  <si>
    <t>12420502</t>
  </si>
  <si>
    <t>TVET institutions constructed</t>
  </si>
  <si>
    <t>22 TVET institutions constructed</t>
  </si>
  <si>
    <t>12420503</t>
  </si>
  <si>
    <t>TVET Institutions equipped rehabilitated and expanded</t>
  </si>
  <si>
    <t>60 TVET Institutions equipped rehabilitated and expanded</t>
  </si>
  <si>
    <t>12420504</t>
  </si>
  <si>
    <t>Students loans scheme expanded</t>
  </si>
  <si>
    <t>Students loans scheme expanded to 16,000 TVET students</t>
  </si>
  <si>
    <t>124206</t>
  </si>
  <si>
    <t>Implement the National Strategy for Girls Education, by among others strengthening affirmative action for enrolment of girls and PWDs in BTVET</t>
  </si>
  <si>
    <t>12420601</t>
  </si>
  <si>
    <t>Affirmative action for increased enrolment of girls and PWDs in BTVET in place.</t>
  </si>
  <si>
    <t>% of girls enrolled in BTVET education.</t>
  </si>
  <si>
    <t>i) Review and operationalize a National Strategy for Girls Education                                                                                                                                                                                            ii) Provide state scholarships and bursaries specifically targeting females and PWDs on TVET programmes</t>
  </si>
  <si>
    <t>% of PWDs completing skills training programmes, are assessed and certified</t>
  </si>
  <si>
    <t>MoES, MoGLSD, NUDIPU, EoC</t>
  </si>
  <si>
    <t>No. of public servants benefiting from the national capacity building scheme</t>
  </si>
  <si>
    <t>Provide  in-service training opportunities and funding  for public servants toimprove their capacities</t>
  </si>
  <si>
    <t>124207c</t>
  </si>
  <si>
    <t>Operationalise the Skills Development Fund as provided for by the TVET Policy and incentivise the private sector to offer training of their employees in the scare skills areas</t>
  </si>
  <si>
    <t>124207c01</t>
  </si>
  <si>
    <t>Skills development fund operationalized.</t>
  </si>
  <si>
    <t>40% of the skills devt fund contributed by Industry/Employers</t>
  </si>
  <si>
    <t>40% of the skills devt fund contributed by Govt</t>
  </si>
  <si>
    <t>20% of the skills devt fund contributed by Devt partners</t>
  </si>
  <si>
    <t>MoES, EDPs</t>
  </si>
  <si>
    <t>Skills development fund and incentive scheme operationalized.</t>
  </si>
  <si>
    <t>No of TVET training providers (public and private) benefiting from skills development funds.</t>
  </si>
  <si>
    <t>MoES, PSFU,UMA, TVET Institutions</t>
  </si>
  <si>
    <t>124207d</t>
  </si>
  <si>
    <t>Align the issuance of work permits in line with the HRDP</t>
  </si>
  <si>
    <t>124207d01</t>
  </si>
  <si>
    <t>Guidelines on issuance of work permits in line with HRDP in place.</t>
  </si>
  <si>
    <t>No. of guidelines developed on issuance of work permits in alignment with the NHRDP</t>
  </si>
  <si>
    <t>MoIA, MoFA</t>
  </si>
  <si>
    <t>Develop and implement guidelines on issuance of work permits in alignment with the NHRDP</t>
  </si>
  <si>
    <t>124207e</t>
  </si>
  <si>
    <t>Establish and implement a National Central Admission System for higher education and link higher education admissions and financing to the critical skill needs identified in the plan</t>
  </si>
  <si>
    <t>124207e01</t>
  </si>
  <si>
    <t>Reconstituted Joint Admissions Board</t>
  </si>
  <si>
    <t xml:space="preserve">% of HEI students centrally admitted </t>
  </si>
  <si>
    <t>Preparations for centralised admissions</t>
  </si>
  <si>
    <t>124207e02</t>
  </si>
  <si>
    <t>Catalogue of skill-scarce HE academic programs in place</t>
  </si>
  <si>
    <t>Preparations for reconsitution of the JAB</t>
  </si>
  <si>
    <t>Reconstituted JAB in place</t>
  </si>
  <si>
    <t>HEIs, NCHE, NPA PSFU,UMA</t>
  </si>
  <si>
    <t>A catalogue of skill-scarce HE programmes developed and disseminated</t>
  </si>
  <si>
    <t>Start the Devt of catalogue</t>
  </si>
  <si>
    <t>Skills scarce catalogue in place</t>
  </si>
  <si>
    <t>124207f</t>
  </si>
  <si>
    <t>Introduce a minimum of one year of compulsory TVET training immediately after A’level before enrolling for further education</t>
  </si>
  <si>
    <t>124207f01</t>
  </si>
  <si>
    <t>Guidelines for compulsory TVET training immediately after A-level in place.</t>
  </si>
  <si>
    <t>MoDVA, MoES, MoGLSD</t>
  </si>
  <si>
    <t>124207f02</t>
  </si>
  <si>
    <t>No. of A-level students undergoing compulsory TVET training</t>
  </si>
  <si>
    <t>124207g</t>
  </si>
  <si>
    <t>Link allocation of scholarships and loan financing to critical skill needs identified in the plan</t>
  </si>
  <si>
    <t>124207g01</t>
  </si>
  <si>
    <t>Criterion for financing critical skills established.</t>
  </si>
  <si>
    <t>Criterion for financing critical skills.</t>
  </si>
  <si>
    <t>MoES, HESFEB, NPA</t>
  </si>
  <si>
    <t>124207g02</t>
  </si>
  <si>
    <t xml:space="preserve">State funded Students in critical skills training </t>
  </si>
  <si>
    <t>Proportion of state scholarship and loan scheme allocated toward critical skills training, %</t>
  </si>
  <si>
    <t>HESFEB, MoES</t>
  </si>
  <si>
    <t>124208</t>
  </si>
  <si>
    <t>Provide the required physical infrastructure, instruction materials and human resources for Higher Education Institutions including Special Needs Education</t>
  </si>
  <si>
    <t>12420801</t>
  </si>
  <si>
    <t>NCHE’s Basic Requirements and Minimum Standards in HEIs enforced</t>
  </si>
  <si>
    <t>% of HEIs meeting the BRMS</t>
  </si>
  <si>
    <t>MoES, NCHE,Universities</t>
  </si>
  <si>
    <t>Provide necessary support and enforce the requirement for HEIs to have in place institutional governance as per the NCHE standards</t>
  </si>
  <si>
    <t>124209</t>
  </si>
  <si>
    <t>Implement an incentive structure for the recruitment, training, and retention of the best brains into the teaching profession across the entire education system</t>
  </si>
  <si>
    <t>12420901</t>
  </si>
  <si>
    <t xml:space="preserve">Teacher incentive scheme implemented </t>
  </si>
  <si>
    <t xml:space="preserve"> Teacher incentive scheme operational </t>
  </si>
  <si>
    <t>Operationalise the teacher incentive scheme</t>
  </si>
  <si>
    <t>12420902</t>
  </si>
  <si>
    <t>Targeted continuous professional development programme in place</t>
  </si>
  <si>
    <t>No. of primary schools benefiting from professional support on-site('000s)</t>
  </si>
  <si>
    <t xml:space="preserve">Implement school-based support supervision </t>
  </si>
  <si>
    <t>No. of secondary schools benefiting from professional support on-site ('000s)</t>
  </si>
  <si>
    <t>Conduct regular CPD for teachers</t>
  </si>
  <si>
    <t>12420903</t>
  </si>
  <si>
    <t>CCTs Recruited</t>
  </si>
  <si>
    <t>No. of CCTs recruited to achieve a CCT-to-school ratio of 1:18</t>
  </si>
  <si>
    <t> 132</t>
  </si>
  <si>
    <t>Recruit CCTs to achieve a CCT-to-school ratio of 1:18 by 2025</t>
  </si>
  <si>
    <t>CCT to School Ratio</t>
  </si>
  <si>
    <t>12420904</t>
  </si>
  <si>
    <t>Zonal CPD’s held</t>
  </si>
  <si>
    <t>CPD Training held per term</t>
  </si>
  <si>
    <t>12420905</t>
  </si>
  <si>
    <t>Senior-Teacher mentors in school</t>
  </si>
  <si>
    <t>Proportion of schools with senior-teacher /peer mentors, %</t>
  </si>
  <si>
    <t>12420906</t>
  </si>
  <si>
    <t>Guidelines to increase school autonomy in place and enforced.</t>
  </si>
  <si>
    <t>No. of functions previously played by LGs and central govt decentralized to schools (ie Tr recruitment and Mgt; Procurement of school materials &amp; assets; and support supervision)</t>
  </si>
  <si>
    <t>MoES, MoLG</t>
  </si>
  <si>
    <t>Decentralise further the functions previously played by LGs and central govt to schools (Procurement of school materials &amp; assets; and support supervision)</t>
  </si>
  <si>
    <t>12420907</t>
  </si>
  <si>
    <t>National Institute of Teacher Education and Professional Development established</t>
  </si>
  <si>
    <t>Continue with the transformation of Shimoni PTC into a National Institute of Teacher Education and Professionalism.                                 2.Develop a CPD framework for all teachers                                                                                      3. Phase out the exiting PTCs</t>
  </si>
  <si>
    <t>12420908</t>
  </si>
  <si>
    <t>Enhanced daily outreach capitation grant</t>
  </si>
  <si>
    <t>Increase in daily outreach capitation grant (UGX)</t>
  </si>
  <si>
    <t>MoES, MoFPED</t>
  </si>
  <si>
    <t>Enhance the daily outreach capitation grant to facilitate CPD for more teachers(806 per day)</t>
  </si>
  <si>
    <t>12420909</t>
  </si>
  <si>
    <t>New All-Through-Schools with primary and secondary sections established in one place</t>
  </si>
  <si>
    <t>Establish All-through-schools as a strategy to alleviate school dropout and low transition from primary to secondary;</t>
  </si>
  <si>
    <t>124210</t>
  </si>
  <si>
    <t>Introduce initiatives for retaining children in formal school for at least 11 years</t>
  </si>
  <si>
    <t>12421001</t>
  </si>
  <si>
    <t>School feeding enforced</t>
  </si>
  <si>
    <t>Ratio of schools with school feeding</t>
  </si>
  <si>
    <t>12421002</t>
  </si>
  <si>
    <t>School fees/tuition regulation enforced</t>
  </si>
  <si>
    <t xml:space="preserve">% increase in school fees/tuition charged </t>
  </si>
  <si>
    <t>12421003</t>
  </si>
  <si>
    <t>Parish-based school retention strategy in place</t>
  </si>
  <si>
    <t>% of parishes reporting school-age going children in parishes who have been out of school at least for a term</t>
  </si>
  <si>
    <t>Parish Chief, LGs, MoES</t>
  </si>
  <si>
    <t>12421004</t>
  </si>
  <si>
    <t>Parents &amp; learners provided with information on the returns to education</t>
  </si>
  <si>
    <t>Existence of a programme providing information to parents and learners on returns to education</t>
  </si>
  <si>
    <t>MoES, MoGLSD, MoICT</t>
  </si>
  <si>
    <t>12421005</t>
  </si>
  <si>
    <t>200 All-Through-Schools established in sub counties without a secondary school</t>
  </si>
  <si>
    <t>12421006</t>
  </si>
  <si>
    <t>Double-shift secondary schools in place</t>
  </si>
  <si>
    <t>No. of Double-shift secondary schools in place</t>
  </si>
  <si>
    <t>Double shift policy in place</t>
  </si>
  <si>
    <t>124211</t>
  </si>
  <si>
    <t>Develop digital learning materials and operationalize Digital Repository</t>
  </si>
  <si>
    <t>12421101</t>
  </si>
  <si>
    <t>Digital repository developed for all education resource materials</t>
  </si>
  <si>
    <t>Established education resources repository</t>
  </si>
  <si>
    <t xml:space="preserve">NCDC, MoES,MoICT </t>
  </si>
  <si>
    <t xml:space="preserve">Establish a digital repository of all education resource materials </t>
  </si>
  <si>
    <t>121304a03</t>
  </si>
  <si>
    <t>Increased number of STEI/STEM institutions accredited</t>
  </si>
  <si>
    <t>% of accredited institutions that are STEM/STEI</t>
  </si>
  <si>
    <t>121304c03</t>
  </si>
  <si>
    <t>STEM/STEI staff financed to undertake PhDs</t>
  </si>
  <si>
    <t>No. of STEM/STEI staff on state funded PhD programmes</t>
  </si>
  <si>
    <t>UPHIA 2020 conducted and results disseminated</t>
  </si>
  <si>
    <t>Strengthen community-based behavioural change actions to harness and sustain positive malaria practices</t>
  </si>
  <si>
    <t>HIV prevalence Rate (%)</t>
  </si>
  <si>
    <t>National Action Plan for Health Security 2020 - 2025 developed and disseminated</t>
  </si>
  <si>
    <t>Develop and disseminate the National Action Plan for Health Security 2020 - 2025</t>
  </si>
  <si>
    <t>HMDC and Regional hubs Functional</t>
  </si>
  <si>
    <t>Strengthen and support the functionality of the Health Manpower Development Centre and establish regional hubs for operational and mid-level health managers’ training</t>
  </si>
  <si>
    <t>RHs, DPs, Professional Councils</t>
  </si>
  <si>
    <t>Service availability and readiness index (%)</t>
  </si>
  <si>
    <t>Review and disseminate the service standards and service delivery standards for health</t>
  </si>
  <si>
    <t xml:space="preserve">NPA, Referrals </t>
  </si>
  <si>
    <t>122403f06</t>
  </si>
  <si>
    <t xml:space="preserve">Governance and management structures reformed and functional </t>
  </si>
  <si>
    <t xml:space="preserve">Institutional analysis of governance structures to generate evidence for innovative governance reforms                          Dissemination and orientation on the guidelines for governance and management structures in all RRHs and LGs </t>
  </si>
  <si>
    <t>Referrals, MoPS</t>
  </si>
  <si>
    <t>Guidelines, SOPs/manuals developed</t>
  </si>
  <si>
    <t>Develop/Review and disseminate neonatology guidelines and SoPs</t>
  </si>
  <si>
    <t>NPA, Referrals</t>
  </si>
  <si>
    <t>Adolescent Health policy finalized and disseminated</t>
  </si>
  <si>
    <t>MoH, MOES</t>
  </si>
  <si>
    <t>Finalize and disseminate the Adolescent Health policy</t>
  </si>
  <si>
    <t>Map hot spot teenage pregnancy district</t>
  </si>
  <si>
    <t>NPA, MoES, MoH</t>
  </si>
  <si>
    <t xml:space="preserve">Establish and functionalize youth community centers for the provision of information to out of school youth </t>
  </si>
  <si>
    <t>No. of quarterly RMNCAH Parliamentary Forum Advocacy meetings held for increased funding to child and maternal health services</t>
  </si>
  <si>
    <t xml:space="preserve">Hold quarterly RMNCAH Parliamentary Forum Advocacy meetings for increased funding to child and maternal health services </t>
  </si>
  <si>
    <t xml:space="preserve">% of the costed RMNCAH Sharpened Plan funded </t>
  </si>
  <si>
    <t>Develop and disseminate the Costed RMNCAH Sharpened Plan  2020 - 25</t>
  </si>
  <si>
    <t>% of sub counties with functional HC IIIs</t>
  </si>
  <si>
    <t>Scale up implementation of the Maternal and Newborn Health   package of evidence based high impact interventions at HC IIIs &amp; HC Ivs</t>
  </si>
  <si>
    <t>Train and mentor District and Health Facility Health Managers in RMNCAH leadership</t>
  </si>
  <si>
    <t xml:space="preserve">Expansion of ICCM from the current 73 (54.5%) districts </t>
  </si>
  <si>
    <t xml:space="preserve">Implement Malaria in pregnancy interventions (IPTp, use of LLINs and MIP diagnosis and treatment) </t>
  </si>
  <si>
    <t>Referral, Hospitals, LGs, Private Health providers</t>
  </si>
  <si>
    <t>122405a02</t>
  </si>
  <si>
    <t>Increased Stock of Appropriate Technologies and Innovations to Improve water Supply and Sanitation Services</t>
  </si>
  <si>
    <t>Innovative approaches developed and promoted(covered immediately above)</t>
  </si>
  <si>
    <t>122405a03</t>
  </si>
  <si>
    <t>Increased access to inclusive safe water supply in urban areas</t>
  </si>
  <si>
    <t>% of people accessing safe and clean water sources in rural areas</t>
  </si>
  <si>
    <t>Construction of pro-poor public stand posts in Small Towns (number)(already costed under small towns)</t>
  </si>
  <si>
    <t>No. of Solar/ Wind Powered Water Supply Systems constructed</t>
  </si>
  <si>
    <t>Construction of pro-poor public stand posts in Large Towns (number)(Already costed under large towns)</t>
  </si>
  <si>
    <t>MWE (NWSC)</t>
  </si>
  <si>
    <t>No. of New Point Water Sources constructed</t>
  </si>
  <si>
    <t>Rehabilitation/ Upgrade of existing water supply system in Large Towns (number of towns)( cost covered under construction and upgrade in large towns)</t>
  </si>
  <si>
    <t>No. of an improved water point constructed per village</t>
  </si>
  <si>
    <t>Increased number of household connection in Small Towns (number) (cost covered)</t>
  </si>
  <si>
    <t>Increased number of household connection in Large Towns (number)</t>
  </si>
  <si>
    <t>122405a04</t>
  </si>
  <si>
    <t>Population using safely managed drinking water services located on premises</t>
  </si>
  <si>
    <t xml:space="preserve">Km of the Water Pipe Network expanded in Large Towns </t>
  </si>
  <si>
    <t>122405a05</t>
  </si>
  <si>
    <t>Increased access to inclusive sanitation and hygiene services in urban areas</t>
  </si>
  <si>
    <t>Number of urban centres with access to basic sanitation in urban areas (Improved toilet not shared with other households)</t>
  </si>
  <si>
    <t>Social behavior change communication for construction and use of improved sanitation facilities in urban areas (number of urban Centres)</t>
  </si>
  <si>
    <t>LGs, MOI-NG, MoH, MGLSD</t>
  </si>
  <si>
    <t>Social behavior change communication for use of hand washing with water, investment in public hand washing facilities in urban areas (number of urban Centres) (item cost covered in social behavior item above)</t>
  </si>
  <si>
    <t>122405a06</t>
  </si>
  <si>
    <t>Population using safely managed sanitation services</t>
  </si>
  <si>
    <t>New Faecal sludge treatment plants</t>
  </si>
  <si>
    <t>NWSC</t>
  </si>
  <si>
    <t>Upgrade Waste Water Treatment Plants</t>
  </si>
  <si>
    <t>Emptier trucks</t>
  </si>
  <si>
    <t>Small trucks</t>
  </si>
  <si>
    <t>Transfer Stations/Collection points constructed</t>
  </si>
  <si>
    <t>Construction of public toilets</t>
  </si>
  <si>
    <t>Expansion of the Sewerage Pipe Network (Km Laid)</t>
  </si>
  <si>
    <t>Connection of new sewer customers to increase access to Sewerage Services (New sewer connections)</t>
  </si>
  <si>
    <t>122405a07</t>
  </si>
  <si>
    <t>Support to improved water and sanitation infrastructure in industrial parks</t>
  </si>
  <si>
    <t>Number of water supply system developed/expanded targeting industrial parks</t>
  </si>
  <si>
    <t>MWE NWSC</t>
  </si>
  <si>
    <t xml:space="preserve">No. of Sewerage /Waste water treatment systems development/expansion targeting industrial parks </t>
  </si>
  <si>
    <t>122405a08</t>
  </si>
  <si>
    <t>Improved water quality supplied</t>
  </si>
  <si>
    <t>No. of water samples taken that comply with national standards</t>
  </si>
  <si>
    <t>MWE/ NWSC</t>
  </si>
  <si>
    <t>Catchment and water source protection measures in rural and urban areas (number)</t>
  </si>
  <si>
    <t>122405a09</t>
  </si>
  <si>
    <t>Improved energy efficiency in water supply system</t>
  </si>
  <si>
    <t>No. of solar energy packages constructed to improve energy efficiency of existing schemes</t>
  </si>
  <si>
    <t>122405a10</t>
  </si>
  <si>
    <t>Support to improved WASH services in institutions</t>
  </si>
  <si>
    <t>Number of institutions (schools, prisons, Barracks, Religious establishment, health facilities, etc) with Water supply infrastructure constructed/ extended</t>
  </si>
  <si>
    <t>MoES/ MWE</t>
  </si>
  <si>
    <t>No. of schools provided with basic sanitation and hand washing facilities</t>
  </si>
  <si>
    <t>Water Supply and Sanitation Master Plan Developed</t>
  </si>
  <si>
    <t>122405a11</t>
  </si>
  <si>
    <t>Improve nutrition and food safety with emphasis on children aged under 5, school</t>
  </si>
  <si>
    <t xml:space="preserve">No. of households using safe water </t>
  </si>
  <si>
    <t>MWE/NWSC</t>
  </si>
  <si>
    <t>Family Planning (FP) Implementation Plan developed</t>
  </si>
  <si>
    <t xml:space="preserve">Develop and implement the Family Planning Implementation Plan </t>
  </si>
  <si>
    <t>MGLSD, NPC</t>
  </si>
  <si>
    <t>No. of health workers trained in FP counselling and provision</t>
  </si>
  <si>
    <t>MoH, Partners, LGs</t>
  </si>
  <si>
    <t xml:space="preserve">Forecast and procure family planning commodities for use by the community </t>
  </si>
  <si>
    <t>No. of health facilities providing specialised infertility care</t>
  </si>
  <si>
    <t>Improving services for prevention, treatment and management of obstetric fistula in Uganda</t>
  </si>
  <si>
    <t xml:space="preserve">Referral Hospitals, Private Sector </t>
  </si>
  <si>
    <t>Modern Contraceptive Prevalence Rate for all women of reproductive age (%)</t>
  </si>
  <si>
    <t>Promote and increase access to the management of infertility by integrating the management of infertility into existing SRHR services</t>
  </si>
  <si>
    <t>Modern Contraceptive Prevalence Rate for married women and those in union (%)</t>
  </si>
  <si>
    <t>Integrate appropriate services for menopause/andropause into the existing sexual and reproductive health service delivery</t>
  </si>
  <si>
    <t xml:space="preserve">Unmet need for family planning </t>
  </si>
  <si>
    <t xml:space="preserve">Roll out the National Male Engagement strategy in health in all LGs </t>
  </si>
  <si>
    <t xml:space="preserve">NHIS Regulations and Strategic Plan developed </t>
  </si>
  <si>
    <t>MoH, MoFPED</t>
  </si>
  <si>
    <t xml:space="preserve">Develop NHIS Regulations and Strategic Plan </t>
  </si>
  <si>
    <t xml:space="preserve">NHIS established </t>
  </si>
  <si>
    <t xml:space="preserve">Establishment of the NHIS </t>
  </si>
  <si>
    <t xml:space="preserve">Community sensitization about Health Insurance </t>
  </si>
  <si>
    <t xml:space="preserve">Promotion of prepayment mechanisms like Community Health Insurance Schemes </t>
  </si>
  <si>
    <t>12240702</t>
  </si>
  <si>
    <t xml:space="preserve">Increased local financing for HIV/AIDs </t>
  </si>
  <si>
    <t xml:space="preserve">Aids Trust Fund established and operational </t>
  </si>
  <si>
    <t>MoFPED, MoH, UAC</t>
  </si>
  <si>
    <t xml:space="preserve">Establish and operationalize the AIDS Trust Fund </t>
  </si>
  <si>
    <t>MoH UAC</t>
  </si>
  <si>
    <t>12240703</t>
  </si>
  <si>
    <t xml:space="preserve">Increased local financing for immunization </t>
  </si>
  <si>
    <t xml:space="preserve">Immunization Fund established and operational </t>
  </si>
  <si>
    <t>MoFPED, MoH</t>
  </si>
  <si>
    <t xml:space="preserve">Establish and operationalize the Immunization Fund </t>
  </si>
  <si>
    <t>12240705</t>
  </si>
  <si>
    <t xml:space="preserve">Private Health Sector financing enhanced </t>
  </si>
  <si>
    <t>Medical Credit Fund provided</t>
  </si>
  <si>
    <t>MCF in place</t>
  </si>
  <si>
    <t xml:space="preserve">Provision of a Medical Credit Fund to fill critical gaps in health care provision </t>
  </si>
  <si>
    <t xml:space="preserve"> National health research, and innovation agenda in place. </t>
  </si>
  <si>
    <t>UNHRO</t>
  </si>
  <si>
    <t xml:space="preserve">Develop and disseminate the annual national health research and innovation agenda </t>
  </si>
  <si>
    <t>MoH MOSTI, Research Institutions, Academia, UNHRO</t>
  </si>
  <si>
    <t>No. of Health innovations  and technologies developed and supported</t>
  </si>
  <si>
    <t>MOSTI, MOH</t>
  </si>
  <si>
    <t>Establish the national health innovation cluster and specific sub-clusters</t>
  </si>
  <si>
    <t xml:space="preserve">Health research publications </t>
  </si>
  <si>
    <t>Enhance capacity of hospitals to conduct operational research and disseminate findings</t>
  </si>
  <si>
    <t xml:space="preserve">Referrals Hospitals </t>
  </si>
  <si>
    <t>12240802</t>
  </si>
  <si>
    <t xml:space="preserve">Medical technologies transferred and adopted </t>
  </si>
  <si>
    <t>No.  of  medical technologies adopted</t>
  </si>
  <si>
    <t>Gen expert machines</t>
  </si>
  <si>
    <t xml:space="preserve">MoH, </t>
  </si>
  <si>
    <t xml:space="preserve">Adapt and build capacity for utilization of new medical technologies </t>
  </si>
  <si>
    <t>12240901</t>
  </si>
  <si>
    <t xml:space="preserve">Functional multi-sectoral framework, compact and accountability framework developed </t>
  </si>
  <si>
    <t xml:space="preserve">Multi-sectoral framework, compact and accountability framework developed </t>
  </si>
  <si>
    <t>Develop a multi-sectoral framework, compact and accountability framework for joint planning, coordination, common deliverables and performance indicators for UHC.</t>
  </si>
  <si>
    <t>MWE, MoES, MEMD</t>
  </si>
  <si>
    <t>% of sub counties &amp; TCs with functional intersectoral health promotion and prevention structures</t>
  </si>
  <si>
    <t>Capacity building for intersectoral health promotion and prevention for LGs and community level structures (Parish, LC, Sub County Chiefs, VHT, and Health Assistants, extension workers) and schools</t>
  </si>
  <si>
    <t>Scale up health education and promotion activities at all levels to improve health literacy and facilitate informed decisions about health care, behaviours and more effective engagement with health providers.</t>
  </si>
  <si>
    <t>MICT-NG, LGs, MGLSD</t>
  </si>
  <si>
    <t>12240903</t>
  </si>
  <si>
    <t xml:space="preserve">Urban Health improved </t>
  </si>
  <si>
    <t xml:space="preserve">Implementation of the Urban Health Policy </t>
  </si>
  <si>
    <t>12240904</t>
  </si>
  <si>
    <t xml:space="preserve">Partnerships and multi-sectoral networks established and strengthened </t>
  </si>
  <si>
    <t xml:space="preserve">Update of stakeholder analysis and mapping to identify the roles and influence of stakeholders in health </t>
  </si>
  <si>
    <t xml:space="preserve">Hold quarterly stakeholder engagement meetings / workshops at all levels </t>
  </si>
  <si>
    <t xml:space="preserve">i) Disseminate and support  Implemention of the Multi-sectoral  framework for UHC   </t>
  </si>
  <si>
    <t xml:space="preserve">Central levels Health Institutions </t>
  </si>
  <si>
    <t xml:space="preserve">ii) Health impact assessments of investments in the 18 programmes (to be undertaken in Y5)  </t>
  </si>
  <si>
    <t>iii) Annual documentation of non-state actor contribution to health system investments</t>
  </si>
  <si>
    <t>12240912</t>
  </si>
  <si>
    <t>National accreditation mechamisms for health providers and laboratories developed and operational</t>
  </si>
  <si>
    <t>Establish a national accreditation mechanism for public and private health providers and health laboratories</t>
  </si>
  <si>
    <t xml:space="preserve"> Professional Councils </t>
  </si>
  <si>
    <t xml:space="preserve">Develop Grant and project proposals for resource mobilization </t>
  </si>
  <si>
    <t xml:space="preserve">Strengthen financial (allocations, disbursements, expenditures) and programmatic accountability against set targets on a quarterly and annual basis </t>
  </si>
  <si>
    <t>Institutionalize resource tracking mechanisms to enhance monitoring of the utilization, efficiency and effectiveness of resources for health</t>
  </si>
  <si>
    <t xml:space="preserve">Financial Audits </t>
  </si>
  <si>
    <t>Central levels Health Institutions, MoFPED</t>
  </si>
  <si>
    <t>Develop &amp; disseminate the Health Information Strategy 2020 - 2025</t>
  </si>
  <si>
    <t xml:space="preserve">Referrals </t>
  </si>
  <si>
    <t xml:space="preserve">Compile and submit monthly HMIS reports </t>
  </si>
  <si>
    <t>Central levels Health Institutions, LGs, Referrals</t>
  </si>
  <si>
    <t xml:space="preserve">Develop and share health information products including dashboards, bulletins / newsletters </t>
  </si>
  <si>
    <t>UBOS, LGs</t>
  </si>
  <si>
    <t>Integrating the electronic information systems within the health sector (HMIS, HRIS, CHIS, EMRS, WAOS, ERP, RX Solution, NDAMIS, HPRIS, e-Recruitment,  CRVS, etc).</t>
  </si>
  <si>
    <t>NITA-U, UBOS</t>
  </si>
  <si>
    <t>Conduct regular Data Quality Assurance and Assessments</t>
  </si>
  <si>
    <t>RRHs, LGs, MoLHUD</t>
  </si>
  <si>
    <t xml:space="preserve">Develop A Health Facility Atlas </t>
  </si>
  <si>
    <t xml:space="preserve">Update and maintain the National Health Data Repository </t>
  </si>
  <si>
    <t>RRHs, LGs, Private Sectors, NITA-U</t>
  </si>
  <si>
    <t xml:space="preserve">Develop M&amp;E plans and performance indicators at all levels </t>
  </si>
  <si>
    <t>Central levels Health Institutions, NPA, Referrals</t>
  </si>
  <si>
    <t xml:space="preserve">Compile and disseminate performance reports </t>
  </si>
  <si>
    <t>12240916</t>
  </si>
  <si>
    <t xml:space="preserve">MoH Management and Leadership function supported  </t>
  </si>
  <si>
    <t xml:space="preserve">Support logistical needs of all departments </t>
  </si>
  <si>
    <t>Facilitate Top and Senior Top Management to accomplish oversight roles in the Health Sub-programs</t>
  </si>
  <si>
    <t>122410</t>
  </si>
  <si>
    <t>Improve nutrition and food safety with emphasis on children aged under 5, school children, adolescents, pregnant and lactating women and vulnerable groups</t>
  </si>
  <si>
    <t>12241001</t>
  </si>
  <si>
    <t>Hunger and malnutrition reduced</t>
  </si>
  <si>
    <t>Regulations on sweetened beverages and alcohol developed</t>
  </si>
  <si>
    <t>Regulations</t>
  </si>
  <si>
    <t xml:space="preserve">Develop legislature and regulation to regulate production &amp; consumption of sweetened beverages </t>
  </si>
  <si>
    <t>MTII</t>
  </si>
  <si>
    <t>Food procurement policy for schools and institutions developed</t>
  </si>
  <si>
    <t>Policy</t>
  </si>
  <si>
    <t>Establish forum for the development of multisectoral teams to develop the schools feeding and institutional policy</t>
  </si>
  <si>
    <t xml:space="preserve">Support use of hand washing facilities in public places like markets </t>
  </si>
  <si>
    <t>MoH, MWE</t>
  </si>
  <si>
    <t>Develop and disseminate  school feeding programs to all schools in Uganda</t>
  </si>
  <si>
    <t>12241002</t>
  </si>
  <si>
    <t xml:space="preserve">Food safety improved </t>
  </si>
  <si>
    <t xml:space="preserve">Food safety policy and regulations developed </t>
  </si>
  <si>
    <t xml:space="preserve">Social behaviour change communication on feeding habits and behaviors 2. screening for obesity and overnutrition </t>
  </si>
  <si>
    <t>122411</t>
  </si>
  <si>
    <t xml:space="preserve">Improve Occupational Safety and Health (OSH) management </t>
  </si>
  <si>
    <t>12241101</t>
  </si>
  <si>
    <t>Workplace injuries, accidents and health hazards reduced</t>
  </si>
  <si>
    <t>No of frameworks developed/reviewed &amp; enforced</t>
  </si>
  <si>
    <t xml:space="preserve">Develop, review &amp; enforce OSH legal &amp; regulatory framework to reduce workplace injuries and health hazards </t>
  </si>
  <si>
    <t>No of Acts, regulations and policies coordinated  </t>
  </si>
  <si>
    <t xml:space="preserve">Coordinate implementation of OSH Act, regulations and policies </t>
  </si>
  <si>
    <t>No of workplaces inspected</t>
  </si>
  <si>
    <t>Review regulations &amp; guidelines for inspection of workplaces</t>
  </si>
  <si>
    <t xml:space="preserve">No. of specialised machinery and equipment procured </t>
  </si>
  <si>
    <t>Inspect workplaces &amp; enforce standards</t>
  </si>
  <si>
    <t> 1.3611</t>
  </si>
  <si>
    <t>No of OSH Inspectors trained</t>
  </si>
  <si>
    <t>Procure specialised machinery &amp; equipment for detection of hazardous substances</t>
  </si>
  <si>
    <t xml:space="preserve">No. of regional OSH centres established </t>
  </si>
  <si>
    <t xml:space="preserve">Train and skill OSH Inspectors </t>
  </si>
  <si>
    <t> 0.15</t>
  </si>
  <si>
    <t>OSH Analytical laboratory in place</t>
  </si>
  <si>
    <t>Investigate occupational accidents</t>
  </si>
  <si>
    <t>MoPS, MoWT, MoIA</t>
  </si>
  <si>
    <t>No of occupational accidents investigated</t>
  </si>
  <si>
    <t>Undertake Registration of workplaces</t>
  </si>
  <si>
    <t>No of workplaces registered</t>
  </si>
  <si>
    <t>Undertake study of impact of occupational hazards on health of workers</t>
  </si>
  <si>
    <t>No of studies conducted</t>
  </si>
  <si>
    <t xml:space="preserve">Certify statutory equipments for workplaces </t>
  </si>
  <si>
    <t> 0.65</t>
  </si>
  <si>
    <t>No o surveillance visits conducted</t>
  </si>
  <si>
    <t xml:space="preserve">1. Implement traffic regulations and policies 2. train traffic officers on first Aid in handling road traffic accidents </t>
  </si>
  <si>
    <t>No. of statutory equipment certified</t>
  </si>
  <si>
    <t xml:space="preserve">1. community social mobilization for prevention of domestic violence </t>
  </si>
  <si>
    <t>OHS guidelines for the health sector revised and disseminated to all LGs</t>
  </si>
  <si>
    <t>12241102</t>
  </si>
  <si>
    <t>Chemical safety &amp; security management strengthened</t>
  </si>
  <si>
    <t>CBRNe policy developed</t>
  </si>
  <si>
    <t>MGLSD, MoD</t>
  </si>
  <si>
    <t>Develop &amp; disseminate the CBRNe Policy</t>
  </si>
  <si>
    <t>MoDVA, MoSTI</t>
  </si>
  <si>
    <t xml:space="preserve">No of specialised machinery for for workplace chemical detection procured </t>
  </si>
  <si>
    <t>Procure specialised machinery for  workplace chemical detection &amp; handling</t>
  </si>
  <si>
    <t>No of people trained</t>
  </si>
  <si>
    <t>Train workers, employers &amp; Labour Officers on chemical handling</t>
  </si>
  <si>
    <t>No of awareness campaigns</t>
  </si>
  <si>
    <t>Conduct research on silicosis in construction, chemical poisoning in agriculture, Musleskeletal disorders,occupational stress</t>
  </si>
  <si>
    <t>No of equipment</t>
  </si>
  <si>
    <t>Conduct awareness campaigns on chemical safety</t>
  </si>
  <si>
    <t>LGs, MoSTI, MWE</t>
  </si>
  <si>
    <t>Procure ICT equipment</t>
  </si>
  <si>
    <t>CBRNe command centre in place</t>
  </si>
  <si>
    <t>Inspect workplaces for chemical safety</t>
  </si>
  <si>
    <t>Establish CBRNe centre of excellence &amp; emergency command centre</t>
  </si>
  <si>
    <t>12241103</t>
  </si>
  <si>
    <t>Work place inspections conducted</t>
  </si>
  <si>
    <t>Number of workplaces registered</t>
  </si>
  <si>
    <t>Number of workplaces inspected</t>
  </si>
  <si>
    <t>Number of statutory equipment certified</t>
  </si>
  <si>
    <t>12241104</t>
  </si>
  <si>
    <t>Social safety and health safeguards integrated in infrastructure projects</t>
  </si>
  <si>
    <t xml:space="preserve">Social Safety &amp; Health guidelines in place </t>
  </si>
  <si>
    <t>Develop Social Safety &amp; Health Safeguards guidelines</t>
  </si>
  <si>
    <t>No of infrastructure projects &amp; workplaces monitored</t>
  </si>
  <si>
    <t>Conduct monitoring of infrastructure projects &amp; workplaces for compliance to social safeguards standards</t>
  </si>
  <si>
    <t>No of stakeholders trained</t>
  </si>
  <si>
    <t>Conduct training of employers, Safety &amp; Health Committees,  workers , CDOs &amp; Labour Officers on Social Safeguards standards &amp; compliance</t>
  </si>
  <si>
    <t>12241105</t>
  </si>
  <si>
    <t>GBV at workplaces reduced</t>
  </si>
  <si>
    <t>No of workplaces with operational GBV and Child Helpline Toll free line</t>
  </si>
  <si>
    <t>Strengthen systems reporting &amp; management of GBV at workplaces</t>
  </si>
  <si>
    <t>EOC, LGs, UPF</t>
  </si>
  <si>
    <t xml:space="preserve">No of GBV cases at workplace reported </t>
  </si>
  <si>
    <t xml:space="preserve">Conduct Behavioural change communication on GBV at workplaces </t>
  </si>
  <si>
    <t>0.12 </t>
  </si>
  <si>
    <t>0.14 </t>
  </si>
  <si>
    <t>0.16 </t>
  </si>
  <si>
    <t>EOC, LGs</t>
  </si>
  <si>
    <t>No of workplaces with physical exercise initiatives</t>
  </si>
  <si>
    <t>Conduct sensitisation of employers and workers on workplace physical activities for staff</t>
  </si>
  <si>
    <t> 0.13</t>
  </si>
  <si>
    <t> 0.16</t>
  </si>
  <si>
    <t> 0.17</t>
  </si>
  <si>
    <t> 0.22</t>
  </si>
  <si>
    <t>MoPS, MoH</t>
  </si>
  <si>
    <t>122413</t>
  </si>
  <si>
    <t>Promote delivery of disability friendly health services including physical accessibility and appropriate equipment</t>
  </si>
  <si>
    <t>12241301</t>
  </si>
  <si>
    <t xml:space="preserve">Inclusive HCs and equipment </t>
  </si>
  <si>
    <t>No. of PWDS provided with assistive and rehabilitative devices</t>
  </si>
  <si>
    <t xml:space="preserve">Review construction design of health facilities to ensure they cater for disability issues </t>
  </si>
  <si>
    <t>No. of staff trained on Special Needs Education</t>
  </si>
  <si>
    <t xml:space="preserve">Provide assistive &amp; rehabilitative equipment for PWDs </t>
  </si>
  <si>
    <t xml:space="preserve">Number of assistive devices provided by category </t>
  </si>
  <si>
    <t>Train staff in special needs communication</t>
  </si>
  <si>
    <t>122414</t>
  </si>
  <si>
    <t>Strengthen population planning and development including civil registration, vital statistics registration and population data bank at National and Sub national levels</t>
  </si>
  <si>
    <t>12241401</t>
  </si>
  <si>
    <t>Population Policy actions mainstreamed in institutional strategic plans and budgets</t>
  </si>
  <si>
    <t xml:space="preserve">No. of policy and decision makers sensitized and appreciating  the impact of population on harnessing the DD </t>
  </si>
  <si>
    <t>12241402</t>
  </si>
  <si>
    <t xml:space="preserve">Demographic dividend priorities mainstreamed at all development levels. </t>
  </si>
  <si>
    <t>No. of LGs that have integrated DD priorities in development plans and budgets</t>
  </si>
  <si>
    <t>12241403</t>
  </si>
  <si>
    <t>In Depth analytical reports on DD mainstreaming generated</t>
  </si>
  <si>
    <t>% of LGs assessed and complying to DD</t>
  </si>
  <si>
    <t>Assess compliance of LGs on integration of demographic dividend priorities in development plans</t>
  </si>
  <si>
    <t>LGs, NPC</t>
  </si>
  <si>
    <t>12241404</t>
  </si>
  <si>
    <t>Women and young people are empowered to make informed choices and utilize high quality, integrated, sexual and reproductive health and rights, information, and services</t>
  </si>
  <si>
    <t xml:space="preserve">No. Parish Pregnancy Committees established and empowered. </t>
  </si>
  <si>
    <t xml:space="preserve">Establish Community (Parish) Pregnancy Prevention Committees (parish model) and support them to create awareness on the negative implications of child marriages, teenage pregnancies, school dro out and youth unemployment on development              </t>
  </si>
  <si>
    <t>12241405</t>
  </si>
  <si>
    <t>Knowledge and skills for better health, reduced poverty and capacity to sustainably manage natural resources increased</t>
  </si>
  <si>
    <t xml:space="preserve">No. of PHEE model homes established and supported </t>
  </si>
  <si>
    <t>Advocate for integrated population interventions that provide social, health, environmental and economic (PHEE) empowerment for vulnerable groups of the society who have a major role in the population and poverty</t>
  </si>
  <si>
    <t>12241406</t>
  </si>
  <si>
    <t>Population data stystems to address development inequalities and accountability established</t>
  </si>
  <si>
    <t>A National Population Data Bank in place</t>
  </si>
  <si>
    <t>Establish a National Population Data Bank providing for socio-economic and demographic relationships at sub national levels</t>
  </si>
  <si>
    <t>UBOS, NPA</t>
  </si>
  <si>
    <t>122415</t>
  </si>
  <si>
    <t>Establish and operationalize a multisectoral home-grown school feeding initiative</t>
  </si>
  <si>
    <t>12241501</t>
  </si>
  <si>
    <t xml:space="preserve">Home-grown school feeding initiative established </t>
  </si>
  <si>
    <t>A home-grown school feeding initiative established and operational</t>
  </si>
  <si>
    <t>Monitoring implementation and compliance (item already covered)</t>
  </si>
  <si>
    <t>12241605</t>
  </si>
  <si>
    <t>UAC regulations operationalized to ensure non-state actors’ compliance  with policies, guidelines and laws</t>
  </si>
  <si>
    <t xml:space="preserve">Proportion of Non state actors that are accredited to offer HIV and AIDS services </t>
  </si>
  <si>
    <t>UAC, MDAs/DLGs</t>
  </si>
  <si>
    <t>12350120</t>
  </si>
  <si>
    <t xml:space="preserve">Social care and support institutions constructed and rehabilitated </t>
  </si>
  <si>
    <t xml:space="preserve">Number of Social care and support institutions rehabilitated  </t>
  </si>
  <si>
    <t xml:space="preserve">Number of Social care and support institutions licensed </t>
  </si>
  <si>
    <t xml:space="preserve">Number of Social Care and support institutions inspected </t>
  </si>
  <si>
    <t>12350121</t>
  </si>
  <si>
    <t>Number of beneficiaries on labor intensive public works</t>
  </si>
  <si>
    <t>MoGLS</t>
  </si>
  <si>
    <t>Number of beneficiaries accessing youth friendly credit facilities </t>
  </si>
  <si>
    <t>MGLSD,MoFPED</t>
  </si>
  <si>
    <t>12350304</t>
  </si>
  <si>
    <t>Women entrepreneurship Programme strengthened</t>
  </si>
  <si>
    <t>Proportion of women entrepreneurs empowered under UWEP</t>
  </si>
  <si>
    <t>12350305</t>
  </si>
  <si>
    <t>Enterprise Fund for older persons developed</t>
  </si>
  <si>
    <t> Number of Older Persons accessing the Enterprise Fund</t>
  </si>
  <si>
    <t>12350306</t>
  </si>
  <si>
    <t>National Youth Service Scheme developed</t>
  </si>
  <si>
    <t> Number of Youth participating in the National Youth Service Scheme</t>
  </si>
  <si>
    <t>MGLSD,MDVA, MoLG</t>
  </si>
  <si>
    <t xml:space="preserve"> National Youth Service Scheme developed</t>
  </si>
  <si>
    <t>Number of beneficiaries</t>
  </si>
  <si>
    <t>MGLSD,MDVA,MoLG</t>
  </si>
  <si>
    <t>12350401</t>
  </si>
  <si>
    <t xml:space="preserve">Social Protection Single Registry in developed </t>
  </si>
  <si>
    <t xml:space="preserve">Social Protection Single Registry in place </t>
  </si>
  <si>
    <t>12350402</t>
  </si>
  <si>
    <t xml:space="preserve">Social security schemes expanded to cover the informal sector </t>
  </si>
  <si>
    <t>Strategy for extending social security to informal sector worker in place</t>
  </si>
  <si>
    <t xml:space="preserve">No. of social security schemes established </t>
  </si>
  <si>
    <t>No. of informal sector workers enrolled in contributory schemes</t>
  </si>
  <si>
    <t>12350404</t>
  </si>
  <si>
    <t xml:space="preserve">Social Security legal framework reviewed </t>
  </si>
  <si>
    <t xml:space="preserve">Reviewed legal framework in place </t>
  </si>
  <si>
    <t>Number of business women profiled </t>
  </si>
  <si>
    <t xml:space="preserve"> No. of GBV Victims supported </t>
  </si>
  <si>
    <t>No. of persons sensitized on positive social norms and attitudes  </t>
  </si>
  <si>
    <t xml:space="preserve"> No. of MDASs and LGs mainstreaming GBV in their policies, plans and programmes </t>
  </si>
  <si>
    <t> % of victims/ survivors reporting GBV</t>
  </si>
  <si>
    <t> No. of functional GBV Shelters, for coordinated survivor service delivery</t>
  </si>
  <si>
    <t>No. of GBV victims provided psychological support </t>
  </si>
  <si>
    <t>12350604</t>
  </si>
  <si>
    <t>Prevalence of GBV cases among men, women and children reduced</t>
  </si>
  <si>
    <t>GBV prevalence</t>
  </si>
  <si>
    <t>No. of functional GBV Shelters, for coordinated survivor service delivery</t>
  </si>
  <si>
    <t>12350704</t>
  </si>
  <si>
    <t>Capacity of MDAs and LGs in Gender mainstreaming and gender responsive budgeting is built</t>
  </si>
  <si>
    <t>Number of MDAs with capacity gaps trained in GEB</t>
  </si>
  <si>
    <t>Conducting GEB training in LGs and MDAs with capacity gaps</t>
  </si>
  <si>
    <t>Number of LGs supported</t>
  </si>
  <si>
    <t>Conduct technical backstopping in LGs on Gender and Equity mainstreaming</t>
  </si>
  <si>
    <t>12350705</t>
  </si>
  <si>
    <t>Complaints resolution mechanisms strengthened</t>
  </si>
  <si>
    <t>Number of Pre-tribunal sessions  conducted  </t>
  </si>
  <si>
    <t>Conduct EOC Pre-Tribunal sessions</t>
  </si>
  <si>
    <t>Number of Tribunal Hearings conducted</t>
  </si>
  <si>
    <t xml:space="preserve">Conduct Tribunal Hearings </t>
  </si>
  <si>
    <t>12350706</t>
  </si>
  <si>
    <t>Access to social justice enhanced</t>
  </si>
  <si>
    <t>No. of complaints investigation undertaken</t>
  </si>
  <si>
    <t xml:space="preserve">Undertake complaints investigation </t>
  </si>
  <si>
    <t>Mobile Legal Aid Clinics conducted in the four regions of the country</t>
  </si>
  <si>
    <t>Conduct Mobile Legal Aid Clinics in the four regions of the country</t>
  </si>
  <si>
    <t>No. of periodic audit of Systems, practices and programmes undertaken in selected public and private enterprises</t>
  </si>
  <si>
    <t>Periodic audit of Systems, Practices and programmes in selected public and private enterprises</t>
  </si>
  <si>
    <t>No. of bills, laws for compliance with Equal Opportunities reviewed and assessed</t>
  </si>
  <si>
    <t>Review and assessment of bills, laws for compliance with Equal Opportunities</t>
  </si>
  <si>
    <t>No. of Regional and International Instruments on Equal Opportunities  analysed</t>
  </si>
  <si>
    <t>Analysis of Regional and International Instruments on Equal Opportunities</t>
  </si>
  <si>
    <t>12350707</t>
  </si>
  <si>
    <t xml:space="preserve">Compliance to G&amp; E enhanced </t>
  </si>
  <si>
    <t>Research in thematic areas conducted to identify the State identify of Equal Opportunities in order to improve access and quality of social services</t>
  </si>
  <si>
    <t>Conduct research in thematic areas to identify the State identify of Equal Opportunities in order to improve access and quality of social services</t>
  </si>
  <si>
    <t xml:space="preserve">No. of audits in thematic areas conducted </t>
  </si>
  <si>
    <t>Produce and disseminate the Annual Report on the State of Equal Opportunities in Uganda</t>
  </si>
  <si>
    <t>No. of Annual Reports on the State of Equal Opportunities in Uganda produced and disseminated</t>
  </si>
  <si>
    <t>12350708</t>
  </si>
  <si>
    <t>Increased public awareness and understanding of equal opportunities, affirmative action</t>
  </si>
  <si>
    <t xml:space="preserve">No. of office space acquired for regional offices </t>
  </si>
  <si>
    <t xml:space="preserve">Acquire office space for regional offices </t>
  </si>
  <si>
    <t xml:space="preserve">No. of regional offices established and equipped with office equipment  </t>
  </si>
  <si>
    <t xml:space="preserve">Establish and equip regional offices with office equipment  </t>
  </si>
  <si>
    <t>12350709</t>
  </si>
  <si>
    <t>Human resource and physical infrastructure managed</t>
  </si>
  <si>
    <t>Administration support services provided and Institutional capacity building undertaken</t>
  </si>
  <si>
    <t>No. of standard guidelines on child rights responsive planning and budgeting developed and disseminated</t>
  </si>
  <si>
    <t>MGLSD/NCA</t>
  </si>
  <si>
    <t>1. Develop standard guidelines on child rights responsive planning and budgeting, 2. Disseminate the Guidelines</t>
  </si>
  <si>
    <t>12350903</t>
  </si>
  <si>
    <t>Commonwealth youth programs implemented</t>
  </si>
  <si>
    <t>123510</t>
  </si>
  <si>
    <t>Reform and strengthen youth employment policies and programmes towards a demand driven approach</t>
  </si>
  <si>
    <t>12351001</t>
  </si>
  <si>
    <t xml:space="preserve">National Action Plan on Youth Employment developed </t>
  </si>
  <si>
    <t>National Action Plan on Youth Employment in place</t>
  </si>
  <si>
    <t>12351002</t>
  </si>
  <si>
    <t xml:space="preserve">National Youth Service Scheme developed </t>
  </si>
  <si>
    <t>Number of Youth enrolled into the National Youth Service Scheme </t>
  </si>
  <si>
    <t>12351003</t>
  </si>
  <si>
    <t>Youth training institutions rehabilitated and equipped</t>
  </si>
  <si>
    <t xml:space="preserve"> Number of institutions renovated </t>
  </si>
  <si>
    <t>12351004</t>
  </si>
  <si>
    <t>Youth service work professionalised</t>
  </si>
  <si>
    <t xml:space="preserve"> Youth Service work curriculum developed </t>
  </si>
  <si>
    <t>Number of Youth workers trained  </t>
  </si>
  <si>
    <t>12160103</t>
  </si>
  <si>
    <t xml:space="preserve">Regional Talent identification centers established </t>
  </si>
  <si>
    <t>Number of Regional Talent identification centers established</t>
  </si>
  <si>
    <t xml:space="preserve">No. of performing and creative art academies licensed </t>
  </si>
  <si>
    <t>12160105</t>
  </si>
  <si>
    <t xml:space="preserve">Regulatory framework on creative industry strengthened </t>
  </si>
  <si>
    <t>Regulatory framework on creative industry strengthened</t>
  </si>
  <si>
    <t>Sports and PE subjects examined (secondary)</t>
  </si>
  <si>
    <t>Regional Sports academies established</t>
  </si>
  <si>
    <t>Regional Sports academies</t>
  </si>
  <si>
    <t>12160502</t>
  </si>
  <si>
    <t>Sports Sponsorships signed</t>
  </si>
  <si>
    <t>Sponsorships signed</t>
  </si>
  <si>
    <t>12X</t>
  </si>
  <si>
    <t>Fixed Costs</t>
  </si>
  <si>
    <t>No.  of the gaming legal frameworks developed and amended</t>
  </si>
  <si>
    <t>NLGRB</t>
  </si>
  <si>
    <t>123 National Lotteries and Gaming Regulatory Board</t>
  </si>
  <si>
    <t>Review and Amend/develop the gaming legal frameworks to facilitate effective and efficient Resource Mobilization and Budget execution.</t>
  </si>
  <si>
    <t>Improved Compliance by gaming operators through audits checks and reviews</t>
  </si>
  <si>
    <t>Percentage/ Nunber of gaming operators compliant to rules and regulations of the Gaming industry.</t>
  </si>
  <si>
    <t xml:space="preserve">Enforce compliance of gaming rules and regulation </t>
  </si>
  <si>
    <t>18220203</t>
  </si>
  <si>
    <t>No. of  Gaming equipment and devices Registered in NLGRB Data base.</t>
  </si>
  <si>
    <t xml:space="preserve"> Update the gaming equipment and devices Register in the Data base</t>
  </si>
  <si>
    <t>1842</t>
  </si>
  <si>
    <t>184205</t>
  </si>
  <si>
    <t>18420501</t>
  </si>
  <si>
    <t>18420502</t>
  </si>
  <si>
    <t>National Central Electronic Monitoring System to Gaming Operators Developed and rolled out</t>
  </si>
  <si>
    <t>A functional National Central Electronic Monitoring System in place</t>
  </si>
  <si>
    <t>123 National Lotteries band Gaming Regulatory Board</t>
  </si>
  <si>
    <t>Develop the National Central Electronic Monitoring System to Gaming Operators</t>
  </si>
  <si>
    <t>No. of Gaming Operators rolled onto the National Central Electronic Monitoring System.</t>
  </si>
  <si>
    <t>Roll out the National Central Electronic Monitoring System to Gaming Operators</t>
  </si>
  <si>
    <t>Amount of revenue collected from the Gaming activities(Billions Ushs)</t>
  </si>
  <si>
    <t>Carry out the Compliance Monitoring of the Gaming Sector</t>
  </si>
  <si>
    <t>184216</t>
  </si>
  <si>
    <t>184217</t>
  </si>
  <si>
    <t>184404</t>
  </si>
  <si>
    <t>18440401</t>
  </si>
  <si>
    <t>Coordinate the DPI programme institutions</t>
  </si>
  <si>
    <t>18340407</t>
  </si>
  <si>
    <t>1846</t>
  </si>
  <si>
    <t>184602</t>
  </si>
  <si>
    <t>18460201</t>
  </si>
  <si>
    <t>18160708</t>
  </si>
  <si>
    <t>Research in gaming sector conducted.</t>
  </si>
  <si>
    <t>Number of research papers on key emerging areas of revenue collection in the Gaming Sector.</t>
  </si>
  <si>
    <t>Conduct research in the gaming sector in order to enhance revenue collection from Gaming.</t>
  </si>
  <si>
    <t>MKCCMKA, UBOS</t>
  </si>
  <si>
    <t>1434</t>
  </si>
  <si>
    <t>14330126</t>
  </si>
  <si>
    <t xml:space="preserve">In- service training programs developed &amp; implemented to enhance skills and performance of public officers  </t>
  </si>
  <si>
    <t>Number of staff trained in fudiciary and social safe guards)</t>
  </si>
  <si>
    <t>train GKMA local Governments and MoKCC&amp;MA staff (fudiciary and social safeguard management)</t>
  </si>
  <si>
    <t>mkCCMKA</t>
  </si>
  <si>
    <t>023 Ministry for Kampala</t>
  </si>
  <si>
    <t>145</t>
  </si>
  <si>
    <t>1435</t>
  </si>
  <si>
    <t>Number of staff trained in project planning and management</t>
  </si>
  <si>
    <t xml:space="preserve">Undertake Project Planning and Management training and certification </t>
  </si>
  <si>
    <t xml:space="preserve">training and skilling programmes for  GKMA officers  developed and implemented </t>
  </si>
  <si>
    <t>No. of staff trained in urban development and management specific skills</t>
  </si>
  <si>
    <t>MKCCMKA</t>
  </si>
  <si>
    <t>Undertake training of staff in urban development and management in MoKCC&amp;MA and GKMA entities</t>
  </si>
  <si>
    <t>14330406</t>
  </si>
  <si>
    <t>Improving implementation of the Teacher Management Information System (TMIS)</t>
  </si>
  <si>
    <t>Number of modules in the TMIS system in use for improved teacher management</t>
  </si>
  <si>
    <t>Populate all modules in the TMIS system; Sensitizing and train ESC, MoES headquarters and Local governments on the usage of TMIS.</t>
  </si>
  <si>
    <t>14330407</t>
  </si>
  <si>
    <t>Continue the roll out of the Employee information system (EISE)</t>
  </si>
  <si>
    <t>% of teacher data updated</t>
  </si>
  <si>
    <t>Collection and updating of teacher information for primary and secondary</t>
  </si>
  <si>
    <t>14330408</t>
  </si>
  <si>
    <t xml:space="preserve">Establishment of a Teacher Licensing &amp; E-Certification System </t>
  </si>
  <si>
    <t xml:space="preserve">Teacher Licensing &amp; E-Certification System in Place </t>
  </si>
  <si>
    <t>Update the Teacher Licensing &amp; E-Certification System</t>
  </si>
  <si>
    <t xml:space="preserve">Number of operational modules in the system </t>
  </si>
  <si>
    <t xml:space="preserve">Operationalize the Teacher Licensing &amp; E-Certification System.   </t>
  </si>
  <si>
    <t xml:space="preserve">% of Teachers certified on the System </t>
  </si>
  <si>
    <r>
      <t>Sensitize and train stakeholders on</t>
    </r>
    <r>
      <rPr>
        <sz val="11"/>
        <color rgb="FFFF0000"/>
        <rFont val="Calibri"/>
        <family val="2"/>
        <scheme val="minor"/>
      </rPr>
      <t xml:space="preserve"> E-Certification System </t>
    </r>
  </si>
  <si>
    <t xml:space="preserve">Roll out of the Employee information system for Education (EISE) </t>
  </si>
  <si>
    <t xml:space="preserve">% of schools &amp; education institutions using  the System </t>
  </si>
  <si>
    <t>Collect &amp; update data on the System; Undertake Data Validation</t>
  </si>
  <si>
    <t xml:space="preserve">Number of operational modules in the EISE system </t>
  </si>
  <si>
    <t xml:space="preserve">Generate Reports for decision making. </t>
  </si>
  <si>
    <t>GMKA waste management regulated</t>
  </si>
  <si>
    <t>waste managemet strategy</t>
  </si>
  <si>
    <t>Develop waste management Strategy</t>
  </si>
  <si>
    <t>No. waste management practices awareness events conducted</t>
  </si>
  <si>
    <t>Sensitisation of communities appropriate waste management practices in GKMA</t>
  </si>
  <si>
    <t>146</t>
  </si>
  <si>
    <t>1436</t>
  </si>
  <si>
    <t>No. of waste management profiles produced</t>
  </si>
  <si>
    <t xml:space="preserve">undertake profiling of GKMA landfillS, transfer facilities and waste collection centres </t>
  </si>
  <si>
    <t>144503c08</t>
  </si>
  <si>
    <t>Local content for universal access to electronic Governance (e-Governance) services, e-citizen portal services, other private sector e-services, other communication channels developed and packaged (programmed)</t>
  </si>
  <si>
    <t xml:space="preserve">Number of Content data sets  in place </t>
  </si>
  <si>
    <t>Jointly with MDAs/Partners develop and package local content for universal access to electronic Governance (e-Governance) services, e-citizen portal services, other private sector ICT services, other communication channels</t>
  </si>
  <si>
    <t>19X</t>
  </si>
  <si>
    <t>193</t>
  </si>
  <si>
    <t>1931</t>
  </si>
  <si>
    <t>Strengthen people centered Justice service delivery system;</t>
  </si>
  <si>
    <t>193101</t>
  </si>
  <si>
    <t>Construct  and equip additional Administration of Justice service delivery points</t>
  </si>
  <si>
    <t>19310101</t>
  </si>
  <si>
    <t xml:space="preserve">Land acquired </t>
  </si>
  <si>
    <t>Number of land titles acquired</t>
  </si>
  <si>
    <t>Judiciary</t>
  </si>
  <si>
    <t>101 Judiciary</t>
  </si>
  <si>
    <t>Acquire land and process land titles</t>
  </si>
  <si>
    <t>19310102</t>
  </si>
  <si>
    <t xml:space="preserve">Justice centres constructed </t>
  </si>
  <si>
    <t>Judiciary Infrastructure master plan in place</t>
  </si>
  <si>
    <t>1 (0)</t>
  </si>
  <si>
    <t>Develop the Judiciary Infrastructure master plan</t>
  </si>
  <si>
    <t xml:space="preserve">Judiciary </t>
  </si>
  <si>
    <t>% completion of Supreme Court and Court of Appeal building</t>
  </si>
  <si>
    <t xml:space="preserve">Complete the construction of Supreme Court and Court of Appeal building </t>
  </si>
  <si>
    <t>% Completion of Mukono High Court building</t>
  </si>
  <si>
    <t>Complete the construction of Mukono High Court building</t>
  </si>
  <si>
    <t>Number of Chief Magistrates Court completed</t>
  </si>
  <si>
    <t>Complete the construction of Chief Magistrates Court building (Kamwenge, Butambala and Mayuge )</t>
  </si>
  <si>
    <t>Number of Magistrates Grade I Courts completed</t>
  </si>
  <si>
    <t>Complete the construction of Magistrates Grade I Court buildings (Kole, Rubirizi, Buhweju, Sheema and Sembabule)</t>
  </si>
  <si>
    <t>Number of regional Court of Appeal Centres constructed</t>
  </si>
  <si>
    <t>Construct Regional Court of Appeal Centres</t>
  </si>
  <si>
    <t>Number of High Court Circuits constructed.</t>
  </si>
  <si>
    <t>Construct High Court Circuits</t>
  </si>
  <si>
    <t>Number of New Chief Magistrate Courts constructed</t>
  </si>
  <si>
    <t>Construct Chief Magistrate Courts</t>
  </si>
  <si>
    <t>Number of New Magistrate Grade One Courts constructed</t>
  </si>
  <si>
    <t xml:space="preserve">Construct Magistrate Grade One Courts </t>
  </si>
  <si>
    <t>Number of Institutional Houses at hard-to-reach/ hard-to-live areas constructed</t>
  </si>
  <si>
    <t>Construct Institutional Houses at hard to hard-to-reach/ hard-to-live areas</t>
  </si>
  <si>
    <t>Judiciary Archives building in place</t>
  </si>
  <si>
    <t>Construct the Judiciary archives</t>
  </si>
  <si>
    <t>Percentage expansion of the Judicial Training Institute</t>
  </si>
  <si>
    <t>Expansion of Judicial Training Institute</t>
  </si>
  <si>
    <t>Number of JSC Regional offices constructed</t>
  </si>
  <si>
    <t>Acquire land for Moroto regional office.</t>
  </si>
  <si>
    <t>Number of JSC regional office constructed</t>
  </si>
  <si>
    <t>Construct Moroto regional offices</t>
  </si>
  <si>
    <t xml:space="preserve"> JSC academy in place </t>
  </si>
  <si>
    <t>Conduct bench marking</t>
  </si>
  <si>
    <t>Acquire land</t>
  </si>
  <si>
    <t>Construct the academy</t>
  </si>
  <si>
    <t>Equiping and retooling</t>
  </si>
  <si>
    <t xml:space="preserve">Number of National and Regional Labour Resource Centres constructed </t>
  </si>
  <si>
    <t xml:space="preserve">Construct National and Regional Labour Resource Centres </t>
  </si>
  <si>
    <t xml:space="preserve">Number of Regional Industrial Court centres and Registries for Labour complaints and dispute settlement constructed and equipped </t>
  </si>
  <si>
    <t>Construct and equip Regional Industrial Court centres and Registries for Labour complaints and dispute settlement</t>
  </si>
  <si>
    <t xml:space="preserve">Number of  Industrial Court   premises with court halls Constructed </t>
  </si>
  <si>
    <t xml:space="preserve">Construct Industrial Court   premise with 10 court halls </t>
  </si>
  <si>
    <t>19310103</t>
  </si>
  <si>
    <t xml:space="preserve">Justice centres equipped </t>
  </si>
  <si>
    <t>Number of Water harvesting tanks constructed</t>
  </si>
  <si>
    <t xml:space="preserve">Construct water harvesting tanks </t>
  </si>
  <si>
    <t>Number of walk through Scanners procured</t>
  </si>
  <si>
    <t>Procure walk through Scanners to Courts</t>
  </si>
  <si>
    <t>Number of metal detectors procured</t>
  </si>
  <si>
    <t>Procure metal detectors to Court</t>
  </si>
  <si>
    <t>Number of fire suppression systems to Courts.</t>
  </si>
  <si>
    <t>Procure fire suppression systems to Courts.</t>
  </si>
  <si>
    <t>Number of Luggage scanner for Supreme Court, Court of Appeal, High Courts</t>
  </si>
  <si>
    <t>Procure Luggage scanner for Supreme Court, Court of Appeal, High Courts</t>
  </si>
  <si>
    <t>Number of under-carriage security search mirrors</t>
  </si>
  <si>
    <t>Procure under-carriage security search mirrors</t>
  </si>
  <si>
    <t>Number of regional offices established.</t>
  </si>
  <si>
    <t>Retool and equip regional offices (Mbale,Arua, Gulu, Masaka , Mbarara)</t>
  </si>
  <si>
    <t xml:space="preserve">Number of labour offices equipped </t>
  </si>
  <si>
    <t xml:space="preserve">Equip Labour Offices as quasi Courts of first instance </t>
  </si>
  <si>
    <t>193102</t>
  </si>
  <si>
    <t>Rehabilitate Justice service delivery points</t>
  </si>
  <si>
    <t>19310201</t>
  </si>
  <si>
    <t xml:space="preserve">Justice service delivery points rehabilitated </t>
  </si>
  <si>
    <t>Number of High Court Circuits and Divisions renovated</t>
  </si>
  <si>
    <t>Renovate High Court Circuits and Divisions</t>
  </si>
  <si>
    <t>Number of Chief Magistrate Courts renovated</t>
  </si>
  <si>
    <t xml:space="preserve">Renovate Chief Magistrate Courts </t>
  </si>
  <si>
    <t>Number of Magistrate Grade One Courts renovated</t>
  </si>
  <si>
    <t>Renovate Magistrate Grade One Courts</t>
  </si>
  <si>
    <t xml:space="preserve">Number of Courts with standard Court Signage </t>
  </si>
  <si>
    <t>Set up Standard Signage for all Courts and offices</t>
  </si>
  <si>
    <t>192</t>
  </si>
  <si>
    <t>Criminal Justice</t>
  </si>
  <si>
    <t>1921</t>
  </si>
  <si>
    <t>192103</t>
  </si>
  <si>
    <t>Implement special programmes that promote equal opportunities to reduce vulnerability</t>
  </si>
  <si>
    <t>19210301</t>
  </si>
  <si>
    <t xml:space="preserve"> GBV cases disposed of</t>
  </si>
  <si>
    <t>Number of Gender Based Violence sessions conducted</t>
  </si>
  <si>
    <t>Conduct Special Court Sessions for Gender Based Violence cases.</t>
  </si>
  <si>
    <t>194</t>
  </si>
  <si>
    <t>Legal Education, Training and Research</t>
  </si>
  <si>
    <t>1941</t>
  </si>
  <si>
    <t>194103</t>
  </si>
  <si>
    <t>19410301</t>
  </si>
  <si>
    <t xml:space="preserve">Number of Judicial Officers trained </t>
  </si>
  <si>
    <t>Train Judicial Officers in the management of Gender Based Violence cases</t>
  </si>
  <si>
    <t>19210302</t>
  </si>
  <si>
    <t xml:space="preserve">Cases involving juveniles disposed of  </t>
  </si>
  <si>
    <t xml:space="preserve"> Number of juvenile cases disposed of </t>
  </si>
  <si>
    <t>LDC</t>
  </si>
  <si>
    <t>109 Law Development Centre</t>
  </si>
  <si>
    <t xml:space="preserve">Handle and Dispose Juvenile cases  successfully </t>
  </si>
  <si>
    <t>19210303</t>
  </si>
  <si>
    <t xml:space="preserve"> Cases for refugees disposed of </t>
  </si>
  <si>
    <t>Number of Mobile Courts established in refugee camps</t>
  </si>
  <si>
    <t>Establish mobile Courts in refugee camps</t>
  </si>
  <si>
    <t>193103</t>
  </si>
  <si>
    <t>19310304</t>
  </si>
  <si>
    <t>Facilities responsive to persons with special needs established.</t>
  </si>
  <si>
    <t>Number of Courts rehabilitated to accommodate toilets for   people with Special Needs</t>
  </si>
  <si>
    <t>Rehabilitate toilets to accommodate People with Special Needs</t>
  </si>
  <si>
    <t>Number of courts rehabilitated to accommodate ramps</t>
  </si>
  <si>
    <t>Rehabilitate Courts to accommodate Ramps</t>
  </si>
  <si>
    <t xml:space="preserve">Number of Courts with Breastfeeding and children’s play  rooms </t>
  </si>
  <si>
    <t>Establish breastfeeding and children’s playrooms at Courts</t>
  </si>
  <si>
    <t>Number of High Court Circuits with Sign language Services</t>
  </si>
  <si>
    <t>Provide Sign language Services at all High Court Circuits</t>
  </si>
  <si>
    <t>Number of High Court Circuits with Braille Service</t>
  </si>
  <si>
    <t>Provide Braille Services at all High Court Circuits</t>
  </si>
  <si>
    <t>Number of Judiciary documents translated into Braille and Local Languages</t>
  </si>
  <si>
    <t>Translate Judiciary documents into Braille and local languages</t>
  </si>
  <si>
    <t>Number of Courts of Appeal operationalised</t>
  </si>
  <si>
    <t>Operationalise regional Courts of Appeal</t>
  </si>
  <si>
    <t>Number of High Court Circuits Operationalized</t>
  </si>
  <si>
    <t>Operationalize the six non-operational High Court Circuits</t>
  </si>
  <si>
    <t>Number of Chief Magistrate Courts Operationalised</t>
  </si>
  <si>
    <t>Operationalise Chief Magistrate Courts</t>
  </si>
  <si>
    <t xml:space="preserve">Number of Magistrate Grade I Courts Operationalised </t>
  </si>
  <si>
    <t>Operationalise Magistrate Grade I Courts</t>
  </si>
  <si>
    <t>Percentage of staff living with HIV/AIDS supported</t>
  </si>
  <si>
    <t>Support Judiciary staff living with HIV/AIDS</t>
  </si>
  <si>
    <t>19410304</t>
  </si>
  <si>
    <t>Number of HIV/AIDS awareness campaigns conducted</t>
  </si>
  <si>
    <t>Conduct HIV/AIDS awareness campaigns</t>
  </si>
  <si>
    <t>HIV/AIDS Workplace Policy popularized</t>
  </si>
  <si>
    <t>Popularize the HIV/AIDS Workplace Policy</t>
  </si>
  <si>
    <t>Percentage of Staff seeking Psycho-social services supported</t>
  </si>
  <si>
    <t xml:space="preserve"> Provide professional counselling services to Judiciary staff</t>
  </si>
  <si>
    <t xml:space="preserve">Number of Anti-sexual Harassment Policy awareness campaigns   </t>
  </si>
  <si>
    <t xml:space="preserve">Conduct Anti-sexual Harassment Policy awareness campaigns   </t>
  </si>
  <si>
    <t>Percentage of the Sexual Harassment complaints handled</t>
  </si>
  <si>
    <t>Investigate Sexual Harassment complaints</t>
  </si>
  <si>
    <t>Number of the Popularization campaigns</t>
  </si>
  <si>
    <t>Popularize the Judiciary Gender and Equity Policy</t>
  </si>
  <si>
    <t>Percentage of Judiciary staff insured</t>
  </si>
  <si>
    <t>Provide health insurance to all Judiciary staff</t>
  </si>
  <si>
    <t>Proportion of criminal appeals and miscellaneous applications handled</t>
  </si>
  <si>
    <t>ODPP</t>
  </si>
  <si>
    <t>133 Office of the Director of Public Prosecutions</t>
  </si>
  <si>
    <t xml:space="preserve">Conduct research, prosecute, coordinate, drafting pleadings. </t>
  </si>
  <si>
    <t>Number of reports produced</t>
  </si>
  <si>
    <t xml:space="preserve">Carry out regular surveys and review of all appeal in the courts </t>
  </si>
  <si>
    <t xml:space="preserve">Number of Juvenile attended too both in the  lower and higher courts </t>
  </si>
  <si>
    <t xml:space="preserve">Attend to Juvenile  both in lower and higher courts </t>
  </si>
  <si>
    <t>194104</t>
  </si>
  <si>
    <t>Strengthen the use of prosecution-led investigations in the handling of cases.</t>
  </si>
  <si>
    <t>19410401</t>
  </si>
  <si>
    <t>Investigation personnel trained.</t>
  </si>
  <si>
    <t>Number of detectives trained</t>
  </si>
  <si>
    <t xml:space="preserve">Train investigators in prosection led investigations  </t>
  </si>
  <si>
    <t>192104</t>
  </si>
  <si>
    <t>19210402</t>
  </si>
  <si>
    <t xml:space="preserve">Investigation personnel equipped </t>
  </si>
  <si>
    <t>Number of sessions prosecuted in</t>
  </si>
  <si>
    <t xml:space="preserve">Prosecute cases in sessions, conduct pre and during trial witness interviews. </t>
  </si>
  <si>
    <t>Number of Child/ juvenile cases prosecuted</t>
  </si>
  <si>
    <t>Prosecute cases in special child/juvenile court sessions</t>
  </si>
  <si>
    <t>193104</t>
  </si>
  <si>
    <t>19310402</t>
  </si>
  <si>
    <t xml:space="preserve">Percentage of Police Stations with steamlined case file and  exhibit management systems </t>
  </si>
  <si>
    <t>Streamline management of case files and exhibits</t>
  </si>
  <si>
    <t>Strengthen  communication coordination and cooperation with ODPP</t>
  </si>
  <si>
    <t>194105</t>
  </si>
  <si>
    <t>Strengthen provision of legal aid services and state brief scheme.</t>
  </si>
  <si>
    <t>19410501</t>
  </si>
  <si>
    <t xml:space="preserve">Capacity of Legal Aid practitioners enhanced. </t>
  </si>
  <si>
    <t>Number of Legal Aid practitioners trained</t>
  </si>
  <si>
    <t xml:space="preserve"> Train legal practitioners </t>
  </si>
  <si>
    <t xml:space="preserve"> Number of Labour Officers trained  in Conciliation, Mediation and Arbitration of labour complaints and disputes settlement</t>
  </si>
  <si>
    <t>Train Labour Officers in Conciliation, Mediation and Arbitration of labour complaints and disputes settlement</t>
  </si>
  <si>
    <t>192105</t>
  </si>
  <si>
    <t>19210502</t>
  </si>
  <si>
    <t>Legal Aid and State brief services provided.</t>
  </si>
  <si>
    <t xml:space="preserve">Number of High Court Circuts providing State Briefs  </t>
  </si>
  <si>
    <t>Provide State Briefs at  High Court Circuts</t>
  </si>
  <si>
    <t xml:space="preserve">Number of Chief Magistarte Courts  providing State Briefs  </t>
  </si>
  <si>
    <t xml:space="preserve">Provide State Briefs at  Chief Magistarte Courts  </t>
  </si>
  <si>
    <t>191</t>
  </si>
  <si>
    <t>Civil Justice</t>
  </si>
  <si>
    <t>1911</t>
  </si>
  <si>
    <t>191105</t>
  </si>
  <si>
    <t>19110502</t>
  </si>
  <si>
    <t>Number of firms contracted to undertake conciliation and mediation of labour complaints and disputes</t>
  </si>
  <si>
    <t>Contract firms  to undertake conciliation and mediation of labour complaints and disputes</t>
  </si>
  <si>
    <t>193106</t>
  </si>
  <si>
    <t>Increase public awareness and advocacy on  Justice services.</t>
  </si>
  <si>
    <t>19310601</t>
  </si>
  <si>
    <t xml:space="preserve">Court open days conducted </t>
  </si>
  <si>
    <t xml:space="preserve">No of open days held at  High Court </t>
  </si>
  <si>
    <t xml:space="preserve">Hold open days at High Court </t>
  </si>
  <si>
    <t xml:space="preserve">No of open days held at  Chief Magistrate Courts  </t>
  </si>
  <si>
    <t xml:space="preserve">Hold open days at Chief Magistarte Courts  </t>
  </si>
  <si>
    <t xml:space="preserve">No of open days held at  Magistrate Grade 1 Courts  </t>
  </si>
  <si>
    <t xml:space="preserve">Hold open days at  Magistarte Grade 1 Courts  </t>
  </si>
  <si>
    <t>194106</t>
  </si>
  <si>
    <t>19410602</t>
  </si>
  <si>
    <t xml:space="preserve">Barazas conducted </t>
  </si>
  <si>
    <t>Number of anti-corruption barazas conducted</t>
  </si>
  <si>
    <t>Conduct barazas</t>
  </si>
  <si>
    <t>19410603</t>
  </si>
  <si>
    <t>Print, electronic and social media campaigns conducted.</t>
  </si>
  <si>
    <t>Number of Courts with E-Boards</t>
  </si>
  <si>
    <t>Establish E-Boards at High Court Circuits and Chief Magistrate Courts</t>
  </si>
  <si>
    <t>Number of TV talk shows</t>
  </si>
  <si>
    <t>Hold TV talk shows</t>
  </si>
  <si>
    <t>Number of radio talk shows</t>
  </si>
  <si>
    <t>Hold Radio talk shows</t>
  </si>
  <si>
    <t xml:space="preserve">Number of Information, Educational and Communication materials and promotional items disseminated </t>
  </si>
  <si>
    <t>Develop and disseminate Judiciary Information, Educational and Communication materials and promotional items</t>
  </si>
  <si>
    <t>19310603</t>
  </si>
  <si>
    <t xml:space="preserve">Number of brochures published  </t>
  </si>
  <si>
    <t xml:space="preserve">Publish brochures in English and local languages </t>
  </si>
  <si>
    <t>19410604</t>
  </si>
  <si>
    <t>Community outreaches conducted</t>
  </si>
  <si>
    <t>Number of outreach programmes held</t>
  </si>
  <si>
    <t>Conduct field visits, community meetings, referrals for cases that call for psycho-social support and witness protection</t>
  </si>
  <si>
    <t>Number of platforms updated and maintained</t>
  </si>
  <si>
    <t>Maintain and update information sharing platforms</t>
  </si>
  <si>
    <t>19310605</t>
  </si>
  <si>
    <t>Annual National forums conducted.</t>
  </si>
  <si>
    <t>New Law Year ceremony</t>
  </si>
  <si>
    <t>Hold the New Law Year ceremony</t>
  </si>
  <si>
    <t>Annual Judges' Conference</t>
  </si>
  <si>
    <t>Hold the Annual Judges' Conference</t>
  </si>
  <si>
    <t>Benedicto Kiwanuka Memorial Lecture</t>
  </si>
  <si>
    <t>Hold the Benedicto Kiwanuka Memorial Lecture</t>
  </si>
  <si>
    <t>Annual Magistrates' Conference</t>
  </si>
  <si>
    <t>Hold the Annual Magistrates' Conference</t>
  </si>
  <si>
    <t>Annual National forums on Labour Justice in Uganda</t>
  </si>
  <si>
    <t xml:space="preserve">Conduct Annual National forums on Labour Justice in Uganda </t>
  </si>
  <si>
    <t xml:space="preserve">Number of linkages between  TAT with the EAC and COMESA Tribunals revived </t>
  </si>
  <si>
    <t xml:space="preserve"> Revive linkages between  TAT with the EAC and COMESA Tribunals.</t>
  </si>
  <si>
    <t xml:space="preserve">Number of TAT Law Reports  published </t>
  </si>
  <si>
    <t xml:space="preserve">Publish TAT Law Reports  </t>
  </si>
  <si>
    <t>193107</t>
  </si>
  <si>
    <t>Strengthen implementation of Court decisions.</t>
  </si>
  <si>
    <t>19310701</t>
  </si>
  <si>
    <t xml:space="preserve">Bailliffs supervised </t>
  </si>
  <si>
    <t xml:space="preserve">Number of ballifs managed </t>
  </si>
  <si>
    <t>License and discpline balliffs</t>
  </si>
  <si>
    <t>193108</t>
  </si>
  <si>
    <t>Strengthen complaint handling in the Justice system</t>
  </si>
  <si>
    <t>19310801</t>
  </si>
  <si>
    <t xml:space="preserve">Complaint handling mechanisms strengthened </t>
  </si>
  <si>
    <t>Number of suggestion boxes established at Courts</t>
  </si>
  <si>
    <t>Establish functional suggestion boxes at Courts</t>
  </si>
  <si>
    <t>19310802</t>
  </si>
  <si>
    <t>Functional customer care desks established</t>
  </si>
  <si>
    <t>Number of functional information desks at courts established and maintained</t>
  </si>
  <si>
    <t>Establish functional information desks at courts</t>
  </si>
  <si>
    <t>Number of Judicial Service Commission Call center established</t>
  </si>
  <si>
    <t>Establish and maintain a Judicial Service Commission Call center</t>
  </si>
  <si>
    <t>194108</t>
  </si>
  <si>
    <t>19410803</t>
  </si>
  <si>
    <t>Client Charters developed and popularized</t>
  </si>
  <si>
    <t>Number of dissemination campaigns for the Judiciary Client Charter conducted</t>
  </si>
  <si>
    <t>Conduct campaigns on the Judiciary and its services</t>
  </si>
  <si>
    <t>Copies of the reviewed client charter produced and disseminated</t>
  </si>
  <si>
    <t xml:space="preserve">Review the existing client charter </t>
  </si>
  <si>
    <t xml:space="preserve"> Print copies of the Charter</t>
  </si>
  <si>
    <t>Disseminate the charter to stakeholders</t>
  </si>
  <si>
    <t>1932</t>
  </si>
  <si>
    <t xml:space="preserve">Reform and strengthen Justice business processes; </t>
  </si>
  <si>
    <t>193201</t>
  </si>
  <si>
    <t>Strengthen case and records  management systems</t>
  </si>
  <si>
    <t>19320101</t>
  </si>
  <si>
    <t xml:space="preserve">Case and records management improved </t>
  </si>
  <si>
    <t xml:space="preserve"> Judiciary Records Center Manual </t>
  </si>
  <si>
    <t>Records Center Manual developed</t>
  </si>
  <si>
    <t xml:space="preserve">Judiciary Retention and Disposal manual </t>
  </si>
  <si>
    <t xml:space="preserve">Retention and Disposal manual developed </t>
  </si>
  <si>
    <t xml:space="preserve">Judiiary Registry manual </t>
  </si>
  <si>
    <t>Registry Manual developed</t>
  </si>
  <si>
    <t xml:space="preserve">Number of manuals disseminated </t>
  </si>
  <si>
    <t>Judiciary Records Center manual Retention and Disposal manual and Registry Manual disseminated</t>
  </si>
  <si>
    <t xml:space="preserve">Number of Records Centers </t>
  </si>
  <si>
    <t>Establishment of Record Centers in Courts</t>
  </si>
  <si>
    <t xml:space="preserve">Records Automated </t>
  </si>
  <si>
    <t>Automation of the Records Management System</t>
  </si>
  <si>
    <t xml:space="preserve">Number of Registry classification scheme updated </t>
  </si>
  <si>
    <t>Reviewing of Registry classification scheme</t>
  </si>
  <si>
    <t>Number of storage facilities procured</t>
  </si>
  <si>
    <t xml:space="preserve">Procurement of storage facilities for storage of records </t>
  </si>
  <si>
    <t xml:space="preserve">Number of Registry Audit reports </t>
  </si>
  <si>
    <t xml:space="preserve">Conducting of  Registry Audits </t>
  </si>
  <si>
    <t xml:space="preserve">Number of courts Inspected </t>
  </si>
  <si>
    <t>Inspection of Court Registries &amp; Record Centres</t>
  </si>
  <si>
    <t xml:space="preserve">Number of files handled </t>
  </si>
  <si>
    <t xml:space="preserve">File Conservation &amp; Preservation </t>
  </si>
  <si>
    <t>1942</t>
  </si>
  <si>
    <t>194201</t>
  </si>
  <si>
    <t>19420101</t>
  </si>
  <si>
    <t>Number of staff  trained</t>
  </si>
  <si>
    <t>Conduct consultative meetings and train the target staff, Print and disseminate the development plan</t>
  </si>
  <si>
    <t xml:space="preserve">Number ofrecords storage equipment procured </t>
  </si>
  <si>
    <t>Procrure records storage equipment</t>
  </si>
  <si>
    <t>Data bank on staff in place</t>
  </si>
  <si>
    <t xml:space="preserve">Develop a data bank to profile Judicial Officers and staff of Judiciary </t>
  </si>
  <si>
    <t>193202</t>
  </si>
  <si>
    <t>Reform rules and procedures</t>
  </si>
  <si>
    <t>19320201</t>
  </si>
  <si>
    <t>Rules and procedures reviewed</t>
  </si>
  <si>
    <t>New Court fees in place</t>
  </si>
  <si>
    <t>Review court fees.</t>
  </si>
  <si>
    <t>New Pecuniary Jurisidiction of Magistrates</t>
  </si>
  <si>
    <t>Review of Pecuniary Jurisdiction of Magistrates</t>
  </si>
  <si>
    <t>The Administration of Judiciary Act Regulations</t>
  </si>
  <si>
    <t>Develop Regulations to implement the Administration of Judiciary Act</t>
  </si>
  <si>
    <t xml:space="preserve">Court Registry Operations Manual </t>
  </si>
  <si>
    <t>Develop Registry Operations Manual.</t>
  </si>
  <si>
    <t>Number of Rules, Procedures, Guidelines and Regulations developed</t>
  </si>
  <si>
    <t>Develop Court Rules, Procedures, Guidelines and Regulations.</t>
  </si>
  <si>
    <t xml:space="preserve">Number of innovations developed for improvement of work and workflow processes </t>
  </si>
  <si>
    <t>Conduct studies for process improvements, design and developnew processes and solutions</t>
  </si>
  <si>
    <t>193203</t>
  </si>
  <si>
    <t>Increase efficiency of Justice delivery  Processes</t>
  </si>
  <si>
    <t>19320301</t>
  </si>
  <si>
    <t>Speed of case disposal increased</t>
  </si>
  <si>
    <t xml:space="preserve">Case Clearance Strategy </t>
  </si>
  <si>
    <t>Review, Set and Monitor case disposal targets</t>
  </si>
  <si>
    <t>1922</t>
  </si>
  <si>
    <t>192203</t>
  </si>
  <si>
    <t>19220301</t>
  </si>
  <si>
    <t>Number of cases disposed of at the Supreme Court</t>
  </si>
  <si>
    <t>Dispose of criminal cases at Supreme Court</t>
  </si>
  <si>
    <t>1912</t>
  </si>
  <si>
    <t>191203</t>
  </si>
  <si>
    <t>19120301</t>
  </si>
  <si>
    <t>Dispose of civil cases at Supreme Court</t>
  </si>
  <si>
    <t xml:space="preserve">Number of cases disposed of at the Court of Appeal </t>
  </si>
  <si>
    <t>Dispose of criminal cases at Court of Appeal.</t>
  </si>
  <si>
    <t>Dispose of civil cases at Court of Appeal.</t>
  </si>
  <si>
    <t>Number of cases disposed of at the High Court</t>
  </si>
  <si>
    <t>Dispose of criminal cases at High Court</t>
  </si>
  <si>
    <t>Dispose of civil cases at High Court</t>
  </si>
  <si>
    <t>Number of Cases disposed of at the Chief Magistrate Courts</t>
  </si>
  <si>
    <t>Dispose of criminal cases at Chief Magistrates’ Courts</t>
  </si>
  <si>
    <t>Dispose of civil cases at Chief Magistrates’ Courts</t>
  </si>
  <si>
    <t>Number of Cases disposed of at the Magistrate Grade I Courts</t>
  </si>
  <si>
    <t>Dispose of criminal cases at Magistrates’ Grade I Courts</t>
  </si>
  <si>
    <t>Dispose of civil cases at Magistrates’ Grade I Courts</t>
  </si>
  <si>
    <t>Number of Cases disposed of at the Magistrate Grade II Courts</t>
  </si>
  <si>
    <t>Dispose of criminal cases at Magistrates’ Grade II Courts</t>
  </si>
  <si>
    <t>Dispose of civil cases at Magistrates’ Grade II Courts</t>
  </si>
  <si>
    <t>Case Backlog Census Report</t>
  </si>
  <si>
    <t>Conduct Case backlog census</t>
  </si>
  <si>
    <t>The Judiciary Case Backlog Reduction Strategy</t>
  </si>
  <si>
    <t>Develop the Judiciary Case Backlog Reduction Strategy</t>
  </si>
  <si>
    <t>Case backlog reduction progress report</t>
  </si>
  <si>
    <t>Produce Case backlog reduction progress report</t>
  </si>
  <si>
    <t>Annual Backlog case disposal Plan</t>
  </si>
  <si>
    <t>Setting backlog case disposal targets</t>
  </si>
  <si>
    <t>Monitoring report</t>
  </si>
  <si>
    <t>Monitoring backlog case disposal</t>
  </si>
  <si>
    <t xml:space="preserve">Number of backlog reduction sessions conducted at Supreme Court </t>
  </si>
  <si>
    <t>Conduct  backlog reduction sessions for civil cases at Supreme Court</t>
  </si>
  <si>
    <t xml:space="preserve">Number of backlog reduction sessions conducted at Court of Appeal for criminal cases </t>
  </si>
  <si>
    <t xml:space="preserve">Conduct backlog reduction sessions for criminal cases  at Court of Appeal </t>
  </si>
  <si>
    <t> Number of backlog reduction sessions conducted at Court of Appeal for civil cases</t>
  </si>
  <si>
    <t>Conduct backlog reduction sessions  for civil cases at Court of Appeal</t>
  </si>
  <si>
    <t xml:space="preserve">Number of backlog reduction sessions conducted at High Court </t>
  </si>
  <si>
    <t>Conduct backlog reduction sessions  at High Court for Civil cases</t>
  </si>
  <si>
    <t>Number of backlog reduction sessions conducted at High Court for civil cases</t>
  </si>
  <si>
    <t>Conduct backlog reduction sessions  at High Court for Criminal cases</t>
  </si>
  <si>
    <t> Number of backlog reduction sessions conducted at High Court for criminal cases</t>
  </si>
  <si>
    <t xml:space="preserve">Conduct backlog reduction sessions  at International Crimes Division </t>
  </si>
  <si>
    <t>Number of backlog reduction sessions conducted at the Chief Magistrate Court</t>
  </si>
  <si>
    <t>Conduct backlog reduction sessions at for civil cases at Chief Magistrates' Court</t>
  </si>
  <si>
    <t xml:space="preserve">Number of backlog reduction sessions conducted at the Chief Magistrate Courts for Criminal  Cases </t>
  </si>
  <si>
    <t>Conduct backlog reduction sessions  for criminal cases at Chief Magistrates' Court</t>
  </si>
  <si>
    <t>Number of backlog reduction sessions conducted at the Magistrate Grade I courts</t>
  </si>
  <si>
    <t>Conduct backlog reduction sessions for civil cases at Magistrate Grade I Courts</t>
  </si>
  <si>
    <t>Number of backlog reduction sessions conducted at the Magistrate Grade I Courts for criminal cases</t>
  </si>
  <si>
    <t>Conduct backlog reduction sessions for criminal cases at Magistrate Grade I Courts</t>
  </si>
  <si>
    <t xml:space="preserve">Number of Labour disputes disposed of </t>
  </si>
  <si>
    <t xml:space="preserve">Disposal of   Labour disputes </t>
  </si>
  <si>
    <t xml:space="preserve">Number of regular court sessions conducted </t>
  </si>
  <si>
    <t xml:space="preserve">Conduct regular court sessions </t>
  </si>
  <si>
    <t xml:space="preserve">Number of Backlog reduction sessions Conducted </t>
  </si>
  <si>
    <t>Conduct backlog reduction sessions</t>
  </si>
  <si>
    <t xml:space="preserve">Number of Regional Circuits Conducted  </t>
  </si>
  <si>
    <t>Conduct Regional Circuits</t>
  </si>
  <si>
    <t>Number of Case Weeding out exercisesConducted</t>
  </si>
  <si>
    <t xml:space="preserve">Conduct Case Weeding out exercises </t>
  </si>
  <si>
    <t>19220302</t>
  </si>
  <si>
    <t xml:space="preserve">Plea Bargaining rolled out </t>
  </si>
  <si>
    <t>Number of Courts and Prisons where Plea Bargaining is rolled out</t>
  </si>
  <si>
    <t>Roll-out Plea Bargaining to Courts and Prisons around the country</t>
  </si>
  <si>
    <t>19320302</t>
  </si>
  <si>
    <t>Annual Plea Bargaining Plan</t>
  </si>
  <si>
    <t>Set targets on disposal of cases through Plea Bargaining</t>
  </si>
  <si>
    <t xml:space="preserve">Number of Plea Bargaining sessions conducted </t>
  </si>
  <si>
    <t>Conduct Plea Bargaining  sessions at High Court Circuits and High Court Division</t>
  </si>
  <si>
    <t>194203</t>
  </si>
  <si>
    <t>19420302</t>
  </si>
  <si>
    <t xml:space="preserve">Number of Sensitization and awareness campaigns conducted </t>
  </si>
  <si>
    <t>Conduct plea bargaining Sensitization and awareness campaigns</t>
  </si>
  <si>
    <t>Automate and Integrate information management systems</t>
  </si>
  <si>
    <t>19320303</t>
  </si>
  <si>
    <t xml:space="preserve">Justice delivery systems automated </t>
  </si>
  <si>
    <t>Judiciary ICT Infrastructure Master Plan in place</t>
  </si>
  <si>
    <t>Develop a Judiciary ICT infrastructure Master Plan.</t>
  </si>
  <si>
    <t>Percentage operationalization of ECCMIS</t>
  </si>
  <si>
    <t>Design, develop, deploy, implement and maintain the Electronic Court Case Management Information System (ECCMIS).</t>
  </si>
  <si>
    <t>Number of Court Stations using ECCMIS</t>
  </si>
  <si>
    <t>Roll out the ECCMIS</t>
  </si>
  <si>
    <t> Number of Registries provided with equipment for Registry operations</t>
  </si>
  <si>
    <t>Provide equipment for registries.</t>
  </si>
  <si>
    <t>Number of sets of digital court recording and transcription system.</t>
  </si>
  <si>
    <t>Roll out digital court recording and transcription system.</t>
  </si>
  <si>
    <t>Number of Regional Courts of Appeal with Video Conferencing System</t>
  </si>
  <si>
    <t>Roll out video conferencing system to 8 Regional Courts of Appeal</t>
  </si>
  <si>
    <t> Number of High Court Circuits with Video Conferencing System</t>
  </si>
  <si>
    <t>Roll out video conferencing system to 20 High Court Circuits</t>
  </si>
  <si>
    <t> Number of High Court Divisions and Registries with Video Conferencing System</t>
  </si>
  <si>
    <t>Roll out video conferencing system to all High Court Divisions and Registries</t>
  </si>
  <si>
    <t>Number of Chief Magistrates Courts with Video Conferencing System</t>
  </si>
  <si>
    <t>Roll out video conferencing system to 18 Chief Magistrates Courts</t>
  </si>
  <si>
    <t>Electronic Document Management Systems (EDMS)</t>
  </si>
  <si>
    <t>Establish electronic document management systems</t>
  </si>
  <si>
    <t> Number of Interconnected Court Registries</t>
  </si>
  <si>
    <t>Establish interconnectivity of Court Registries.</t>
  </si>
  <si>
    <t>Level of automation of JSC systems</t>
  </si>
  <si>
    <t>Automate  complaints management system</t>
  </si>
  <si>
    <t>Online recruitment system upgraded</t>
  </si>
  <si>
    <t>Upgrade the existing system</t>
  </si>
  <si>
    <t>19220303</t>
  </si>
  <si>
    <t>Number of Prisons with video conferencing facilities</t>
  </si>
  <si>
    <t xml:space="preserve">UPS </t>
  </si>
  <si>
    <t xml:space="preserve">Video conferencing facilities established to operationalise virtual courts </t>
  </si>
  <si>
    <t>19320304</t>
  </si>
  <si>
    <t xml:space="preserve">Justice delivery systems integrated </t>
  </si>
  <si>
    <t>JSC system linked to the Judiciary performance tool</t>
  </si>
  <si>
    <t>Link the JSC system to Judiciary performance tool</t>
  </si>
  <si>
    <t>Number of MDAs MIS linked to PROCAMIS</t>
  </si>
  <si>
    <t>Conduct studies oftarget MDAs MIS, design and develop APIs, test APIs, Launch APIs</t>
  </si>
  <si>
    <t>19320305</t>
  </si>
  <si>
    <t xml:space="preserve">Use of digital solutions increased </t>
  </si>
  <si>
    <t>An ICT Forensic Audit Report</t>
  </si>
  <si>
    <t>Undertake ICT Audit</t>
  </si>
  <si>
    <t>Strategy for promoting use of ICT in administration of justice</t>
  </si>
  <si>
    <t>Review and develop a strategy for promoting use of ICT in administration of justice</t>
  </si>
  <si>
    <t>Number of courts with Digital evidence presentation system rolled out</t>
  </si>
  <si>
    <t>Roll out digital evidence presentation system to courts</t>
  </si>
  <si>
    <t>Number of computers and other equipment procured</t>
  </si>
  <si>
    <t>Procure and provide computers and other equipment</t>
  </si>
  <si>
    <t>Number of High Court Circuits and Courts of Appeal with operational One Stop Shop Registries</t>
  </si>
  <si>
    <t>Introduce Court Kiosks at all Operational   High Court Circuits and Courts of Appeal</t>
  </si>
  <si>
    <t>Operational e-Court Fee payment system</t>
  </si>
  <si>
    <t>Develop and implement e-Court fee payment system.</t>
  </si>
  <si>
    <t>Number of Court Stations connected to the Internet</t>
  </si>
  <si>
    <t>Install Internet connectivity to Courts Stations.</t>
  </si>
  <si>
    <t>Number of ICT Technical Report for Court Stations</t>
  </si>
  <si>
    <t>Provide ICT support to courts and Judiciary staff.</t>
  </si>
  <si>
    <t> % of Court ICT infrastructure in serviceable condition</t>
  </si>
  <si>
    <t>Undertake routine maintenance and servicing of ICT infrastructure.</t>
  </si>
  <si>
    <t>Rate of access (%) to required Applications &amp; Software for courts</t>
  </si>
  <si>
    <t>Enable access to required Applications and Software.</t>
  </si>
  <si>
    <t>Number of Software Licenses for ICT Security procured.</t>
  </si>
  <si>
    <t>Maintain ICT Security of ICT Systems and infrastructure</t>
  </si>
  <si>
    <t>Judiciary Fleet Management Information System</t>
  </si>
  <si>
    <t>Establish Fleet Management Information System</t>
  </si>
  <si>
    <t>Number of Labour Courts with Digitalized  Court Case information management system in court and sub registries</t>
  </si>
  <si>
    <t>Digitalize Labour Courts with Court Case information management system in court and sub registries</t>
  </si>
  <si>
    <t>Number of Judicial Officers and staff of the Judiciary subscribing to E-Libraries</t>
  </si>
  <si>
    <t>Subscribe to E-Libraries</t>
  </si>
  <si>
    <t>193204</t>
  </si>
  <si>
    <t>Strengthen capacity of duty bearers</t>
  </si>
  <si>
    <t>19320401</t>
  </si>
  <si>
    <t xml:space="preserve">Capacity of duty bearers strengthened. </t>
  </si>
  <si>
    <t xml:space="preserve">Number of health run sessions conducted </t>
  </si>
  <si>
    <t>Health run/walk sessions/Aerobic sessions</t>
  </si>
  <si>
    <t>Percentage of Court premises provided with cleaning services</t>
  </si>
  <si>
    <t xml:space="preserve">Provide cleaning services in all Court premises  </t>
  </si>
  <si>
    <t xml:space="preserve">Percentage  of rented premises managed </t>
  </si>
  <si>
    <t>Manage rented premises</t>
  </si>
  <si>
    <t xml:space="preserve">Number of rented buildings customized and aligned to Judiciary business process </t>
  </si>
  <si>
    <t xml:space="preserve">Identify, Customize and align rented buildings to Judiciary business </t>
  </si>
  <si>
    <t xml:space="preserve">Number of Courts covered  </t>
  </si>
  <si>
    <t>Sensitization on awareness, Planting of trees</t>
  </si>
  <si>
    <t>Judiciary Asset Management Strategy in place</t>
  </si>
  <si>
    <t>Develop a three-year asset management strategy</t>
  </si>
  <si>
    <t>Updated Judiciary Asset Register</t>
  </si>
  <si>
    <t>Update the Judiciary asset register</t>
  </si>
  <si>
    <t>Disposal of Public Assets Report</t>
  </si>
  <si>
    <t>Dispose of assets</t>
  </si>
  <si>
    <t>Percentage of Court premises and designated residences with security personnel</t>
  </si>
  <si>
    <t>Provide security personnel in all Court premises and designated residences</t>
  </si>
  <si>
    <t>Number of Court orderlies and guards inducted</t>
  </si>
  <si>
    <t>Induct Court orderlies and guards</t>
  </si>
  <si>
    <t>Percentage of Judiciary fleet, motorcycles and boats maintained</t>
  </si>
  <si>
    <t>_</t>
  </si>
  <si>
    <t xml:space="preserve">Maintain Judiciary fleet, motorcycles and boats </t>
  </si>
  <si>
    <t>The Judiciary Council Rules of Procedure</t>
  </si>
  <si>
    <t>Develop the Judiciary Council Rules of Procedure</t>
  </si>
  <si>
    <t>Number of Judiciary Council meetings held</t>
  </si>
  <si>
    <t>Hold Judiciary Council meetings</t>
  </si>
  <si>
    <t>Planning, Development and Finance Committee</t>
  </si>
  <si>
    <t>Operationalize Planning, Development and Finance Committee</t>
  </si>
  <si>
    <t>Human capital Development, Gender and Equity mainstreaming Committee</t>
  </si>
  <si>
    <t>Operationalize Human capital Development, Gender and Equity mainstreaming committee</t>
  </si>
  <si>
    <t>Information, Communication Technology and documentation Committee</t>
  </si>
  <si>
    <t>Operationalize Information, Communication Technology and documentation Committee</t>
  </si>
  <si>
    <t>Audit Committee</t>
  </si>
  <si>
    <t>Operationalize Audit Committee</t>
  </si>
  <si>
    <t>Number of Administration of Justice Programme engagements participated in</t>
  </si>
  <si>
    <t>Participate in the Administration of Justice Programme engagements</t>
  </si>
  <si>
    <t>Number of engagements with development partners participated in</t>
  </si>
  <si>
    <t>Participate in engagements with development partners</t>
  </si>
  <si>
    <t>Number of Justice Law and Order engagements participated in</t>
  </si>
  <si>
    <t>Participate in Justice, Law and Order stakeholder engagements</t>
  </si>
  <si>
    <t>194204</t>
  </si>
  <si>
    <t>19420401</t>
  </si>
  <si>
    <t>Number of engagements with academia participated in</t>
  </si>
  <si>
    <t>Participate in engagements with academia</t>
  </si>
  <si>
    <t xml:space="preserve">Number of Trainer of Trainees trained </t>
  </si>
  <si>
    <t>Training of Trainers in the use of Performance Enhancement Tool</t>
  </si>
  <si>
    <t>Development of the Weighting System for the Performance Enhancement Tool</t>
  </si>
  <si>
    <t>Number of Courts with operational Performance Enhancement Tool</t>
  </si>
  <si>
    <t>Roll out the Judiciary performance enhancement tool</t>
  </si>
  <si>
    <t>Number of Court users, Prosecutors, Public and Advocates trained  in  PET surveys in the Pilot Courts</t>
  </si>
  <si>
    <t>Train Court users, Prosecutors, Public and Advocates on PET surveys in the Pilot Courts</t>
  </si>
  <si>
    <t>Number of  Key stakeholders  senstized on the Performance enhancement tool</t>
  </si>
  <si>
    <t>Sensitize Key stakeholders  on the Performance enhancement tool</t>
  </si>
  <si>
    <t>Operational Performance enhancement tool</t>
  </si>
  <si>
    <t>Manage Performance Enhancement Tool</t>
  </si>
  <si>
    <t>Number of staff appraised</t>
  </si>
  <si>
    <t>Conduct staff performance appraisal</t>
  </si>
  <si>
    <t>Number of biometric time attendance machines installed at Courts</t>
  </si>
  <si>
    <t>Install biometric time attendance machines at Courts</t>
  </si>
  <si>
    <t>Analyse data from Biometric Machines</t>
  </si>
  <si>
    <t>Analyze data of biometric machines</t>
  </si>
  <si>
    <t>Annual report of the Judiciary/State of the Judiciary</t>
  </si>
  <si>
    <t>Prepare and publish the Annual report of the Judiciary/State of the Judiciary</t>
  </si>
  <si>
    <t>Number of project proposals and concept notes</t>
  </si>
  <si>
    <t>Develop project proposals and concept notes targeting new partnerships</t>
  </si>
  <si>
    <t>Percentage of activities in the Annual Work Plan aligned to the Strategic Plan</t>
  </si>
  <si>
    <t>Align Annual Work Plans to strategic plan.</t>
  </si>
  <si>
    <t>Financial statements prepared and submitted</t>
  </si>
  <si>
    <t>Prepare and submit financial statements</t>
  </si>
  <si>
    <t>Periodic procurement and disposal reports</t>
  </si>
  <si>
    <t>Prepare and submit periodic procurement and disposal reports</t>
  </si>
  <si>
    <t>Periodic performance reports</t>
  </si>
  <si>
    <t>Prepare  and submit Periodic performance report</t>
  </si>
  <si>
    <t>Unqualified Audit opinion</t>
  </si>
  <si>
    <t>Respond to audit queries</t>
  </si>
  <si>
    <t>Number of Internal Audit Reports</t>
  </si>
  <si>
    <t>Produce internal Audit Reports</t>
  </si>
  <si>
    <t>Number of dissemination workshops</t>
  </si>
  <si>
    <t>Disseminate The Judiciary Strategic Plan V</t>
  </si>
  <si>
    <t>Number of managers coached on alignment of work plans to the JSP V</t>
  </si>
  <si>
    <t>Coaching managers on alignment of work plans to the JSP V</t>
  </si>
  <si>
    <t>JSP V progress report</t>
  </si>
  <si>
    <t>Prepare progress report on the performance of the JSP V</t>
  </si>
  <si>
    <t>Number of Monitoring and Evaluation reports</t>
  </si>
  <si>
    <t>Conduct Monitoring and Evaluation visits</t>
  </si>
  <si>
    <t>Periodic reviews of  Judiciary Monitoring and Evaluation Frameworks</t>
  </si>
  <si>
    <t>Periodic review and update of Judiciary Monitoring and Evaluation Frameworks</t>
  </si>
  <si>
    <t>Monthly surveys to  collect data to validate work plan performance</t>
  </si>
  <si>
    <t>Collect data to validate work plan performance through surveys</t>
  </si>
  <si>
    <t>M&amp;E Action Log</t>
  </si>
  <si>
    <t>Develop the M&amp;E action log and monitor the implementation of recommendations</t>
  </si>
  <si>
    <t>Periodic Progress Reports</t>
  </si>
  <si>
    <t>Prepare, document, review and submit periodic progress reports to relevant internal and external stakeholders</t>
  </si>
  <si>
    <t>Updated Compendium of best practices for performance reporting, Monitoring and Evaluation</t>
  </si>
  <si>
    <t>Establish and update best practices for performance reporting, monitoring and evaluation</t>
  </si>
  <si>
    <t>Percentage of projects provided with technical support</t>
  </si>
  <si>
    <t>Provide technical support to project development, data collection tools and project plans</t>
  </si>
  <si>
    <t>Midterm Review Report of JSPV</t>
  </si>
  <si>
    <t>Conduct Midterm Review of JSPV</t>
  </si>
  <si>
    <t>End Term review report of JSP V</t>
  </si>
  <si>
    <t>Conduct End of  Term Review of JSP V</t>
  </si>
  <si>
    <t>Number of Budget Consultative workshop held</t>
  </si>
  <si>
    <t>Hold budget Consultative workshops</t>
  </si>
  <si>
    <t>Number of Research Reports</t>
  </si>
  <si>
    <t>Undertake research on topical issues to inform policy/decision making</t>
  </si>
  <si>
    <t>Number of Policy Directives and Circulars issued and followed up and implemented</t>
  </si>
  <si>
    <t>Implementation and follow up of Policy Directives and Circulars issued</t>
  </si>
  <si>
    <t>The Judiciary Policy Statement</t>
  </si>
  <si>
    <t>Prepare and submit the Judiciary Policy Statement</t>
  </si>
  <si>
    <t>The Judiciary Budget Framework paper</t>
  </si>
  <si>
    <t>Prepare and submit the Judiciary Budget Framework paper</t>
  </si>
  <si>
    <t>The Judiciary Performance Report</t>
  </si>
  <si>
    <t>Prepare and submit Judiciary Performance Report</t>
  </si>
  <si>
    <t>The Judiciary Statistics Strategy</t>
  </si>
  <si>
    <t xml:space="preserve">Develop the Judiciary Statistics Strategy  </t>
  </si>
  <si>
    <t>Number of Implementation Progress Reports produced</t>
  </si>
  <si>
    <t>Monitor implementation of the Judiciary Strategy for Statistics</t>
  </si>
  <si>
    <t>Number of key stakeholders coached</t>
  </si>
  <si>
    <t xml:space="preserve">Coach key stakeholders on alignment of the statistical interventions to the Judiciary Statistics Strategy  </t>
  </si>
  <si>
    <t>Number of Data Management Committee and Technical meetings held</t>
  </si>
  <si>
    <t>Conduct Data Management Committee and Technical meetings</t>
  </si>
  <si>
    <t>Number of dialogues between key data producers and users held</t>
  </si>
  <si>
    <t>Hold dialogues between key data producers and users.</t>
  </si>
  <si>
    <t>Number of formal collaborations and cooperation established</t>
  </si>
  <si>
    <t>Strengthen and formalize collaboration and cooperation arrangements between Judiciary and other stakeholders</t>
  </si>
  <si>
    <t xml:space="preserve">Number of formal partnerships with professional bodies and associations established  </t>
  </si>
  <si>
    <t>Strengthen partnerships with professional bodies and associations.</t>
  </si>
  <si>
    <t>Statistical capacity building/training plan</t>
  </si>
  <si>
    <t>Develop a statistical capacity building/training plan</t>
  </si>
  <si>
    <t>Number of gender responsive statistical training for Judicial, Statistical and Clerical staff conducted</t>
  </si>
  <si>
    <t>Conduct gender responsive statistical training for Judicial, Statistical and Clerical staff.</t>
  </si>
  <si>
    <t>Number of skills and competency based trainings conducted</t>
  </si>
  <si>
    <t>Conduct skills and competency-based training in line with identified statistical capacity needs</t>
  </si>
  <si>
    <t>Number of coaching and mentoring sessions in statistical production and services conducted</t>
  </si>
  <si>
    <t>Conduct coaching and mentoring sessions in statistical production and services.</t>
  </si>
  <si>
    <t>Number of institutional surveys on statistical user requirements conducted</t>
  </si>
  <si>
    <t>Conduct institutional surveys on statistical user requirements.</t>
  </si>
  <si>
    <t>Number of data visualization technologies acquired</t>
  </si>
  <si>
    <t>Acquire data visualization technologies</t>
  </si>
  <si>
    <t xml:space="preserve">Number of review reports on the list of unmet statistical needs produced  </t>
  </si>
  <si>
    <t>Review the list of unmet statistical needs at the end of each Financial Year</t>
  </si>
  <si>
    <t>Number of reports on standards and guidelines for compilation of Administrative Data produced</t>
  </si>
  <si>
    <t>Document standards and guidelines for compilation of Administrative Data.</t>
  </si>
  <si>
    <t>Number of case registers to capture emerging data needs reviewed, pretested and printed</t>
  </si>
  <si>
    <t>Review, pretest and print case registers to capture emerging data needs.</t>
  </si>
  <si>
    <t xml:space="preserve">Number of update activities of the available Case Management Information Systems conducted  </t>
  </si>
  <si>
    <t>Update the available Case Management Information Systems to address emerging data needs</t>
  </si>
  <si>
    <t>Number of Case file censuses conducted</t>
  </si>
  <si>
    <t>Conduct Court Case File Census.</t>
  </si>
  <si>
    <t>Number of reports on statistical quality standards by each stage of the data value chain produced</t>
  </si>
  <si>
    <t>Profile statistical quality standards by each stage of the statistical value chain.</t>
  </si>
  <si>
    <t>Number of field visits conducted for triangulation of monthly case statistics.</t>
  </si>
  <si>
    <t>Undertake Triangulation of monthly case statistics</t>
  </si>
  <si>
    <t>Number of statistical quality audits conducted</t>
  </si>
  <si>
    <t>Conduct statistical quality audits.</t>
  </si>
  <si>
    <t>Number of quality assurance field visits and other engagements conducted</t>
  </si>
  <si>
    <t>Conduct quality assurance field visits and other engagements to ensure compliance with acceptable standards, methodologies and classifications.</t>
  </si>
  <si>
    <t>Number of capacity building engagements on statistical quality conducted</t>
  </si>
  <si>
    <t>Conduct capacity building engagements on statistical quality.</t>
  </si>
  <si>
    <t>Number of institutional environmental assessments with regard to statistical production conducted</t>
  </si>
  <si>
    <t>Conduct institutional environmental assessment with regard to statistical production</t>
  </si>
  <si>
    <t>Number of activities for compliance with   the National Statistical Quality Assurance and Certification Framework (SQACF) conducted</t>
  </si>
  <si>
    <t>Ensure compliance with the National Statistical Quality Assurance and Certification Framework (SQACF).</t>
  </si>
  <si>
    <t xml:space="preserve">Number of types of ICT equipment and systems acquired to support mobile data collection systems </t>
  </si>
  <si>
    <t xml:space="preserve"> Procure ICT equipment and systems to support mobile data collection systems (Open Data Kit, Team scope, Survey CTO, GIS)</t>
  </si>
  <si>
    <t>Standard Operating Procedures (SOPs) for dissemination of statistics</t>
  </si>
  <si>
    <t>Develop Standard Operating Procedures (SOPs) for dissemination of statistics.</t>
  </si>
  <si>
    <t>Number of capacity building activities in the use of data visualization technologies conducted</t>
  </si>
  <si>
    <t>Conduct capacity building activities in the use of data visualization technologies.</t>
  </si>
  <si>
    <t>Number of reviews of statistical packaging conducted</t>
  </si>
  <si>
    <t>Conduct reviews on statistical packaging in consultation with the users.</t>
  </si>
  <si>
    <t>Number of avenues, channels and modes for dissemination of statistics applied</t>
  </si>
  <si>
    <t>Disseminate statistics using wider avenues, channels and modes</t>
  </si>
  <si>
    <t>Number of capacity building engagements on analysis and interpretation  of  statistics</t>
  </si>
  <si>
    <t>Strengthen statistics user capacity to analyze and interpret statistics</t>
  </si>
  <si>
    <t>Number of open data portal established</t>
  </si>
  <si>
    <t>Establish and maintain open data portals.</t>
  </si>
  <si>
    <t>A one stop centre for case data</t>
  </si>
  <si>
    <t>Establish a one stop centre for case data in the Judiciary.</t>
  </si>
  <si>
    <t>A Judiciary Statistics Dashboard.</t>
  </si>
  <si>
    <t>Develop a Judiciary Statistics Dashboard.</t>
  </si>
  <si>
    <t>Percentage of stakeholder engagements in the Judiciary Statistical System where statistical frameworks are integrated</t>
  </si>
  <si>
    <t>Integrate awareness about Statistical   frameworks in all stakeholder engagements in the Judiciary Statistical System</t>
  </si>
  <si>
    <t>The Judiciary Fund</t>
  </si>
  <si>
    <t xml:space="preserve">Operationalize the Judiciary Fund </t>
  </si>
  <si>
    <t>Develop regulations to operationalize the Judiciary Fund</t>
  </si>
  <si>
    <t>Conduct consultative meetings for staff training and development plan, conduct training of target staff, Print and disseminate the plan</t>
  </si>
  <si>
    <t xml:space="preserve">Number of Courts established </t>
  </si>
  <si>
    <t>Establishing special designated Courts for Environmental Justice </t>
  </si>
  <si>
    <t>Capacity building in Environmental Justice and Climate Change</t>
  </si>
  <si>
    <t xml:space="preserve">Number of exchange visits </t>
  </si>
  <si>
    <t>Exchange visits to jurisdictions already handling Environmental Justice</t>
  </si>
  <si>
    <t>Number of compediums</t>
  </si>
  <si>
    <t>Preparations of compediums on Environmental Justice and  Climate Change.</t>
  </si>
  <si>
    <t xml:space="preserve">No. of Regional Offices retooled </t>
  </si>
  <si>
    <t>Develop the capacity of and empower regional offices to offer services that are adequate</t>
  </si>
  <si>
    <t>193205</t>
  </si>
  <si>
    <t>Roll out alternative dispute resolution</t>
  </si>
  <si>
    <t>19320501</t>
  </si>
  <si>
    <t xml:space="preserve">Mediation strengthened </t>
  </si>
  <si>
    <t xml:space="preserve">Number of Courts with Mediation spaces established and equipped </t>
  </si>
  <si>
    <t>Establish and equip Mediation spaces at Courts</t>
  </si>
  <si>
    <t>Number of Mediators accredited</t>
  </si>
  <si>
    <t>Accredit Mediators.</t>
  </si>
  <si>
    <t>194205</t>
  </si>
  <si>
    <t>19420501</t>
  </si>
  <si>
    <t>Number of mediation sensitization and awareness campaigns conducted</t>
  </si>
  <si>
    <t>Conduct mediation sensitization and awareness</t>
  </si>
  <si>
    <t>191205</t>
  </si>
  <si>
    <t>19120501</t>
  </si>
  <si>
    <t xml:space="preserve">No of Appellate Courts applying court annexed mediation  </t>
  </si>
  <si>
    <t xml:space="preserve">Application of court annexed mediation at High Court Circuits </t>
  </si>
  <si>
    <t xml:space="preserve">No of High Court Divisions applying court annexed mediation </t>
  </si>
  <si>
    <t xml:space="preserve">Application of court annexed mediation at High Court Divisions </t>
  </si>
  <si>
    <t xml:space="preserve">No of High Court Circuits applying court annexed mediation </t>
  </si>
  <si>
    <t xml:space="preserve">No of Chief Magistrate Courts applying court annexed mediation </t>
  </si>
  <si>
    <t xml:space="preserve">Application of court annexed mediation at Chief Magistarte Courts  </t>
  </si>
  <si>
    <t xml:space="preserve">No of Magistrate Grade 1 Courts applying court annexed mediation </t>
  </si>
  <si>
    <t xml:space="preserve">Application of court annexed mediation at  Magistarte Grade 1 Courts  </t>
  </si>
  <si>
    <t>Percentage of accredited mediators monitored</t>
  </si>
  <si>
    <t>Monitor the performance of accredited mediators</t>
  </si>
  <si>
    <t xml:space="preserve">Number of labour disputes resolved through mediation </t>
  </si>
  <si>
    <t xml:space="preserve">Conduct mediation sessions </t>
  </si>
  <si>
    <t>191206</t>
  </si>
  <si>
    <t xml:space="preserve">Strengthen Courts to resolve disputes in special areas including; land, Commercial, Family disputes, Environment, Standards and Utilities; and Tax disputes </t>
  </si>
  <si>
    <t>19120601</t>
  </si>
  <si>
    <t>Courts strengthened in the resolution of land, commercial and family disputes.</t>
  </si>
  <si>
    <t xml:space="preserve">Number of Land cases disposed of at High Court </t>
  </si>
  <si>
    <t xml:space="preserve">Conduct of Land backlog reduction sessions conducted at High Court </t>
  </si>
  <si>
    <t xml:space="preserve">Number of Commercial cases disposed of High Court </t>
  </si>
  <si>
    <t xml:space="preserve">Conduct of Commercial backlog reduction sessions conducted at High Court </t>
  </si>
  <si>
    <t xml:space="preserve">Number of Family cases disposed of High Court </t>
  </si>
  <si>
    <t xml:space="preserve">Conduct of Family backlog reduction sessions conducted at High Court </t>
  </si>
  <si>
    <t>Number of Tax disputes disposed of</t>
  </si>
  <si>
    <t>Disposal of Case backlog (cases pending for 6 months)</t>
  </si>
  <si>
    <t xml:space="preserve">Number of environmental and climate related cases sessions conducted </t>
  </si>
  <si>
    <t>Conduct Special Court Sessions for environmental and climate related cases.</t>
  </si>
  <si>
    <t>194206</t>
  </si>
  <si>
    <t>19420602</t>
  </si>
  <si>
    <t xml:space="preserve">Small claims procedure Rolled </t>
  </si>
  <si>
    <t>Number of sensitization and awareness campaigns of the public on Small Claims Procedure conducted</t>
  </si>
  <si>
    <t>Conduct sensitization and awareness of the public on Small Claims Procedure.</t>
  </si>
  <si>
    <t>193206</t>
  </si>
  <si>
    <t>19320602</t>
  </si>
  <si>
    <t>Reward and Recognition Strategy</t>
  </si>
  <si>
    <t>Develop a Reward and Recognition Strategy for  Small Claims Procedure Court</t>
  </si>
  <si>
    <t>Number of Magistrate Courts where Small Claims Procedure is rolled out</t>
  </si>
  <si>
    <t>Roll-out Small Claims Procedure to all Magistrate Courts.</t>
  </si>
  <si>
    <t>Number of Officers trained in Small Claims Procedure</t>
  </si>
  <si>
    <t>Train Judicial and non-Judicial Officers in Small Claims Procedure.</t>
  </si>
  <si>
    <t>Number of Courts Coached on Small Claims Procedure.</t>
  </si>
  <si>
    <t>Conduct on-station Small Claims Procedure Coaching sessions in Courts.</t>
  </si>
  <si>
    <t>19120602</t>
  </si>
  <si>
    <t>Number of specialised Land Courts established at High Court Circuits</t>
  </si>
  <si>
    <t>Establish Specialised Land Courts   at High Court Circuits</t>
  </si>
  <si>
    <t>Number of specialised Commercial Courts established at High Court Circuits</t>
  </si>
  <si>
    <t>Establish Specialised Commercial Courts at High Court Circuits</t>
  </si>
  <si>
    <t>Number of specialised Family   Courts established at High Court Circuits</t>
  </si>
  <si>
    <t>Establish Specialised Family   Courts at High Court Circuits</t>
  </si>
  <si>
    <t>192206</t>
  </si>
  <si>
    <t>19220603</t>
  </si>
  <si>
    <t>Plea-bargain mechanism used to resolve cases</t>
  </si>
  <si>
    <t>Number of cases resolved through plea-bargain mechanism</t>
  </si>
  <si>
    <t>Conduct case file reviews; visit targets prisons to meet and counsel accused persons, register progress and developments</t>
  </si>
  <si>
    <t>19120604</t>
  </si>
  <si>
    <t>Arbitration strengthened</t>
  </si>
  <si>
    <t>No. of ADR mechanism</t>
  </si>
  <si>
    <t>Introduce ADR mechanism (Apply Abitration in settlement of disputes)</t>
  </si>
  <si>
    <t>1933</t>
  </si>
  <si>
    <t>Strengthen the fight against corruption</t>
  </si>
  <si>
    <t>193301</t>
  </si>
  <si>
    <t>Strengthen prevention, detection/investigation and response/ adjudication of corruption cases</t>
  </si>
  <si>
    <t>19330101</t>
  </si>
  <si>
    <t>Public awareness on Justice processes increased.</t>
  </si>
  <si>
    <t>The Judiciary Communication Strategy</t>
  </si>
  <si>
    <t>Develop the Judiciary Communication Strategy</t>
  </si>
  <si>
    <t>Percentage of media for the Judiciary accredited</t>
  </si>
  <si>
    <t>Accredit media for the Judiciary</t>
  </si>
  <si>
    <t>1943</t>
  </si>
  <si>
    <t>194301</t>
  </si>
  <si>
    <t>19430101</t>
  </si>
  <si>
    <t>Number of court reporters trained</t>
  </si>
  <si>
    <t>Train court reporters</t>
  </si>
  <si>
    <t>19330102</t>
  </si>
  <si>
    <t>Handle appeals on corruption cases</t>
  </si>
  <si>
    <t>Number of prosecution-led-investigations on corruption cases</t>
  </si>
  <si>
    <t>Hire and supervise special investigators, conduct pre-trial prosecution led investigations;  post-conviction prosecution-led investigations to trace assets;  prepare and file or present and examine legal documents, witnesses and legal submissions; witness interviews; process MLA for asset recovery.</t>
  </si>
  <si>
    <t>19330103</t>
  </si>
  <si>
    <t>Handle upcountry sessions for corruption cases</t>
  </si>
  <si>
    <t>Number of upcountry sessions for corruption cases</t>
  </si>
  <si>
    <t>Conduct upcountry sessions for corruption cases</t>
  </si>
  <si>
    <t>19330104</t>
  </si>
  <si>
    <t>Capacity of Anti-Corruption Agencies and Departments within the Justice system strengthened.</t>
  </si>
  <si>
    <t>The Judiciary Anti-corruption strategy</t>
  </si>
  <si>
    <t>Develop the Judiciary Anti-corruption strategy</t>
  </si>
  <si>
    <t>1923</t>
  </si>
  <si>
    <t>192301</t>
  </si>
  <si>
    <t>19230104</t>
  </si>
  <si>
    <t xml:space="preserve">Number of Ant-Corruption cases disposed of at High Court </t>
  </si>
  <si>
    <t xml:space="preserve">Conduct of Ant-Corruption backlog reduction sessions conducted at High Court </t>
  </si>
  <si>
    <t xml:space="preserve">Number inspection visits by Inspectorate of Courts  </t>
  </si>
  <si>
    <t xml:space="preserve">Implement the Judiciary Anti-corruption strategy </t>
  </si>
  <si>
    <t>19430104</t>
  </si>
  <si>
    <t>Number of Inspectorate of Courts trainings</t>
  </si>
  <si>
    <t>Conduct training in monitoring and specialised investigation skills.</t>
  </si>
  <si>
    <t>Number of specialised Anti-corruption Courts established at High Court Circuits</t>
  </si>
  <si>
    <t>Establish specialised Anti-Corruption Courts at High Court Circuits</t>
  </si>
  <si>
    <t>Conduct Human Resource Support Supervision</t>
  </si>
  <si>
    <t>Provide Human Resource Support Supervision</t>
  </si>
  <si>
    <t>Number of investigators trained</t>
  </si>
  <si>
    <t xml:space="preserve">Conduct training </t>
  </si>
  <si>
    <t>Percentage of registered complaints investigated to conclusion.</t>
  </si>
  <si>
    <t>Investigate complaints</t>
  </si>
  <si>
    <t>Number of prosecutors trained</t>
  </si>
  <si>
    <t>Number of Commissioners trained on anti-corruption .</t>
  </si>
  <si>
    <t>Conduct trainings.</t>
  </si>
  <si>
    <t>Anti-corruption strategy developed</t>
  </si>
  <si>
    <t>Develope and implement anti-corruption strategy</t>
  </si>
  <si>
    <t>Number of investigative equipment(Gadgets) acquired</t>
  </si>
  <si>
    <t>Procure investigative equipment</t>
  </si>
  <si>
    <t>19330105</t>
  </si>
  <si>
    <t>Remuneration of duty bearers enhanced.</t>
  </si>
  <si>
    <t>Number of reports on recommendations made.</t>
  </si>
  <si>
    <t>Make recommendations on improvement of terms and conditions of service of Judiciary</t>
  </si>
  <si>
    <t>Develop a Judiciary staff rewards  and sanctions  framework</t>
  </si>
  <si>
    <t xml:space="preserve">Develop a Judiciary rewards and sanctions framework  </t>
  </si>
  <si>
    <t>Implement the Judiciary staff rewards and sanctions framework</t>
  </si>
  <si>
    <t>193302</t>
  </si>
  <si>
    <t>Strengthen the inspectorate functions in the Justice systems</t>
  </si>
  <si>
    <t>19330201</t>
  </si>
  <si>
    <t>Integrity Committees established and facilitated.</t>
  </si>
  <si>
    <t>Number of Courts inspected</t>
  </si>
  <si>
    <t>Monitor performance on the Annual Court Inspection Plan (Inspections).</t>
  </si>
  <si>
    <t>Number of field visits/ inspections conducted</t>
  </si>
  <si>
    <t>Conduct support supervision and adhoc field inspections for Courts</t>
  </si>
  <si>
    <t>Number of visits conducted</t>
  </si>
  <si>
    <t>Conduct quality assurance visits</t>
  </si>
  <si>
    <t>Number of peer review activities conducted</t>
  </si>
  <si>
    <t>Conduct peer review Committee activities</t>
  </si>
  <si>
    <t>Number of meetings</t>
  </si>
  <si>
    <t>Conduct Disciplinary Committee meetings</t>
  </si>
  <si>
    <t>Conduct Integrity Committee meetings</t>
  </si>
  <si>
    <t>Number of  Court watchgroup established</t>
  </si>
  <si>
    <t>Create Court watchgroups</t>
  </si>
  <si>
    <t xml:space="preserve">Establish and operationalise Committees </t>
  </si>
  <si>
    <t>19330202</t>
  </si>
  <si>
    <t>Complaint handling improved.</t>
  </si>
  <si>
    <t>Number of Regional Offices established and operationalized</t>
  </si>
  <si>
    <t>Establish and operationalise Regional Offices.</t>
  </si>
  <si>
    <t>Annual Court Inspection Plan</t>
  </si>
  <si>
    <t>Develop Judiciary Annual Court Inspection Plan</t>
  </si>
  <si>
    <t>194302</t>
  </si>
  <si>
    <t>19430202</t>
  </si>
  <si>
    <t>Number of call centre agents trained</t>
  </si>
  <si>
    <t>Train call centre agents</t>
  </si>
  <si>
    <t xml:space="preserve">Number of feedback reports </t>
  </si>
  <si>
    <t>Provide feedback on complaints and inquiries</t>
  </si>
  <si>
    <t>Conduct a court user satisfaction survey</t>
  </si>
  <si>
    <t>Proportion of registered cases against Judicial Officers concluded</t>
  </si>
  <si>
    <t>Register complaints</t>
  </si>
  <si>
    <t>Conduct hearings</t>
  </si>
  <si>
    <t>Proportion of registered cases against Judicial Officers concluded concluded</t>
  </si>
  <si>
    <t>Investigate and hear complaints</t>
  </si>
  <si>
    <t>19330203</t>
  </si>
  <si>
    <t xml:space="preserve">Ethical standards harmonized </t>
  </si>
  <si>
    <t>Compendium of Service Delivery Standards</t>
  </si>
  <si>
    <t>Develop Service Delivery standards for Courts</t>
  </si>
  <si>
    <t>Number of compliance visits</t>
  </si>
  <si>
    <t>Monitor compliance with Service Delivery Standards</t>
  </si>
  <si>
    <t xml:space="preserve">Number of stations and delegated prosecution agencies adhering to set  performance standards </t>
  </si>
  <si>
    <t>Carry out inspections; submit inspection reports; seek action on inspection reports.</t>
  </si>
  <si>
    <t>1934</t>
  </si>
  <si>
    <t xml:space="preserve">Strengthen regulatory and institutional frameworks for effective and efficient delivery of Justice </t>
  </si>
  <si>
    <t>193401</t>
  </si>
  <si>
    <t>Review and develop relevant legal, regulatory and policy frameworks</t>
  </si>
  <si>
    <t>19340101</t>
  </si>
  <si>
    <t>Relevant laws and policies reviewed and developed</t>
  </si>
  <si>
    <t xml:space="preserve">Gazette for Regional Court of Appeal  </t>
  </si>
  <si>
    <t>Gazette regional Court of Appeals</t>
  </si>
  <si>
    <t xml:space="preserve">Gazette for Magisterial Areas </t>
  </si>
  <si>
    <t xml:space="preserve">Re-gazette Magisterial areas  </t>
  </si>
  <si>
    <t>The new Judiciary ICT Policy</t>
  </si>
  <si>
    <t>Review the Judiciary ICT policy</t>
  </si>
  <si>
    <t>Judiciary Backup, Disaster Recovery &amp; Business continuity Strategy</t>
  </si>
  <si>
    <t>Develop a Judiciary backup, Disaster Recovery &amp; Business Continuity strategy</t>
  </si>
  <si>
    <t>Digital Document Policy</t>
  </si>
  <si>
    <t>Develop a Digital Document Policy</t>
  </si>
  <si>
    <t>Enabling Regulatory Framework for e-filing and automatic Court recording and transcription</t>
  </si>
  <si>
    <t>Review, develop and implement laws to support electronic filling and automatic Court recording and transcription</t>
  </si>
  <si>
    <t>Development of Judiciary Service Regulations</t>
  </si>
  <si>
    <t>Develop a Judiciary Human Resources Manual</t>
  </si>
  <si>
    <t>Develop Judiciary Deployment and Transfer Policy</t>
  </si>
  <si>
    <t>The Judiciary Gender and Equity Policy</t>
  </si>
  <si>
    <t>Review the Judiciary Gender and Equity Policy</t>
  </si>
  <si>
    <t>Judiciary occupational health and safety policy</t>
  </si>
  <si>
    <t>Customize the occupational health and safety policy</t>
  </si>
  <si>
    <t>No. of reviewed existing handling systems (hearing sessions)</t>
  </si>
  <si>
    <t>Review existing handling case management systems (hearing sessions)</t>
  </si>
  <si>
    <t>Reviewed Tax Appeals Tribunal Act</t>
  </si>
  <si>
    <t>Initiate review of the Tax Appeals Tribunal Act</t>
  </si>
  <si>
    <t>193402</t>
  </si>
  <si>
    <t xml:space="preserve">Strengthen human resource in the delivery of Justice </t>
  </si>
  <si>
    <t>19340201</t>
  </si>
  <si>
    <t>Staff structures reviewed and implemented.</t>
  </si>
  <si>
    <t>New Judiciary staff structure</t>
  </si>
  <si>
    <t>Review Judiciary Staff Structure</t>
  </si>
  <si>
    <t>19340202</t>
  </si>
  <si>
    <t xml:space="preserve">Relevant staff recruited </t>
  </si>
  <si>
    <t>Percentage of Justices of the Supreme Court in place</t>
  </si>
  <si>
    <t>Fill staffing gaps for Justices of the Supreme Court</t>
  </si>
  <si>
    <t>Percentage of Justices of the Court of Appeal in place</t>
  </si>
  <si>
    <t>Fill staffing gaps for Justices of the Court of Appeal</t>
  </si>
  <si>
    <t>Percentage of Judges of the High Court in place</t>
  </si>
  <si>
    <t xml:space="preserve">Fill staffing gaps for  Judges of the High Court  </t>
  </si>
  <si>
    <t>Percentage Registrars, Deputy and Assistant Registrars in place</t>
  </si>
  <si>
    <t xml:space="preserve">Fill staffing gaps for Registrars, Deputy and Assistant Registrars   </t>
  </si>
  <si>
    <t>Percentage of Chief Magistrates in place</t>
  </si>
  <si>
    <t>Fill staffing gaps for Chief Magistrates</t>
  </si>
  <si>
    <t>Percentage of Magistrates Grade One in place</t>
  </si>
  <si>
    <t>Fill staffing gaps for Magistrates Grade One</t>
  </si>
  <si>
    <t>Percentage of Research Officers in place</t>
  </si>
  <si>
    <t>Fill staffing gaps for Research Officers</t>
  </si>
  <si>
    <t>Percentage of Non-Judicial staff in place</t>
  </si>
  <si>
    <t>Fill staffing gaps for Non-Judicial staff</t>
  </si>
  <si>
    <t>Judiciary Staff emoluments and retirement benefits</t>
  </si>
  <si>
    <t>Pay Staff emoluments and retirement benefits</t>
  </si>
  <si>
    <t>Percentage of approved position for  Judiciary  staff filled</t>
  </si>
  <si>
    <t>Recruit Judiciary staff</t>
  </si>
  <si>
    <t>Conduct background checks during recruitment</t>
  </si>
  <si>
    <t>Recruitment of other staff of the Judiciary</t>
  </si>
  <si>
    <t>Gratuity paid</t>
  </si>
  <si>
    <t>Pay staff gruituty</t>
  </si>
  <si>
    <t>Monthly Pension paid</t>
  </si>
  <si>
    <t>Pay Commission  pensioners</t>
  </si>
  <si>
    <t>Members Monthly emoluments paid</t>
  </si>
  <si>
    <t>Paymembers emoluments</t>
  </si>
  <si>
    <t>Office accomodation secured</t>
  </si>
  <si>
    <t>Pay Office rent</t>
  </si>
  <si>
    <t>Other operations supported</t>
  </si>
  <si>
    <t>Support operations</t>
  </si>
  <si>
    <t>1944</t>
  </si>
  <si>
    <t>194402</t>
  </si>
  <si>
    <t>19440203</t>
  </si>
  <si>
    <t xml:space="preserve">Capacity of staff strengthened </t>
  </si>
  <si>
    <t> Number of Judiciary Staff trained on ICT</t>
  </si>
  <si>
    <t>Undertake ICT training of judiciary staff</t>
  </si>
  <si>
    <t>Conduct staff training needs assessment</t>
  </si>
  <si>
    <t>Conduct induction for new Judiciary staff</t>
  </si>
  <si>
    <t>19340203</t>
  </si>
  <si>
    <t>Develop Judiciary staff training calendar</t>
  </si>
  <si>
    <t xml:space="preserve">Develop Judiciary staff training calendar   </t>
  </si>
  <si>
    <t>Conduct staff training</t>
  </si>
  <si>
    <t>Train Judicial Officers in the management of environmental and climate related cases</t>
  </si>
  <si>
    <t>Number of staff trained</t>
  </si>
  <si>
    <t xml:space="preserve">Conduct trainings for Judicial Officers </t>
  </si>
  <si>
    <t>Conduct trainings for other staff of the Judiciary</t>
  </si>
  <si>
    <t>Conduct training for staff of the Commission</t>
  </si>
  <si>
    <t>Number of capacity development workshops held</t>
  </si>
  <si>
    <t xml:space="preserve">Carry out hands-on training of actors; </t>
  </si>
  <si>
    <t>Number  of Judges , Registrars,Panelists , Labour Officers and Staff trained on Court proceedings</t>
  </si>
  <si>
    <t>Train Judges , Registrars,Panelists , Labour Officers and Staff  on Court proceedings</t>
  </si>
  <si>
    <t>Number of Judges trained on International Labour Standards</t>
  </si>
  <si>
    <t>Train  Judges on International Labour Standards</t>
  </si>
  <si>
    <t xml:space="preserve">No.of TAT Officers trained </t>
  </si>
  <si>
    <t>Conduct training in Tax emerging trends</t>
  </si>
  <si>
    <t>19340204</t>
  </si>
  <si>
    <t>Capacity of key stakeholders in the delivery of Justice enhanced</t>
  </si>
  <si>
    <t>Number of RCC Meetings</t>
  </si>
  <si>
    <t>Hold Regional Chain linked (RCC) Committee Meetings in all High Court Circuits.</t>
  </si>
  <si>
    <t>Number of DCC Meetings</t>
  </si>
  <si>
    <t>Hold District Chain linked (DCC) Committee Meetings   in all Magistrate Courts.</t>
  </si>
  <si>
    <t>Number of Court users’ meetings held</t>
  </si>
  <si>
    <t>Hold Court Users meetings.</t>
  </si>
  <si>
    <t>Number of  courts facilitated</t>
  </si>
  <si>
    <t>Facilitate Magistrate Courts to supervise  Local Council Courts</t>
  </si>
  <si>
    <t>1914</t>
  </si>
  <si>
    <t>191403</t>
  </si>
  <si>
    <t xml:space="preserve">Retool institutions in the delivery of Justice </t>
  </si>
  <si>
    <t>19140301</t>
  </si>
  <si>
    <t xml:space="preserve">Transport equipment acquired </t>
  </si>
  <si>
    <t>Number of Vehicles procured</t>
  </si>
  <si>
    <t>Procure vehicles</t>
  </si>
  <si>
    <t>193403</t>
  </si>
  <si>
    <t>19340301</t>
  </si>
  <si>
    <t xml:space="preserve">Number of Motorcycles procured </t>
  </si>
  <si>
    <t>Procure Motorcycles</t>
  </si>
  <si>
    <t>Number of Boats procured</t>
  </si>
  <si>
    <t>Procure Boats for Courts in Island areas</t>
  </si>
  <si>
    <t xml:space="preserve"> Number of Vehicles and  Motorcycles for Labour Courts Procured</t>
  </si>
  <si>
    <t xml:space="preserve">Procure vehicles and  Motorcycles for Labour Courts </t>
  </si>
  <si>
    <t>19340302</t>
  </si>
  <si>
    <t xml:space="preserve">ICT equipment acquired and installed </t>
  </si>
  <si>
    <t>Number of CCTV systems procured</t>
  </si>
  <si>
    <t>Procure and install CCTV systems to Courts</t>
  </si>
  <si>
    <t>Sets  of ICT equipment procured</t>
  </si>
  <si>
    <t xml:space="preserve">Procure Computers and other ICT equipment  </t>
  </si>
  <si>
    <t>Procure Printers and photocopiers</t>
  </si>
  <si>
    <t>Number of personal computers sets acquired and installed in ODPP field stations</t>
  </si>
  <si>
    <t>Procure personal computers, printers, UPS; distribute to the various field stations and install for use</t>
  </si>
  <si>
    <t>Number of  computers and other ICT equipment for Labour Court Procured</t>
  </si>
  <si>
    <t xml:space="preserve">Procure computers and other ICT equipment for Labour Courts </t>
  </si>
  <si>
    <t>19340303</t>
  </si>
  <si>
    <t xml:space="preserve">Justice delivery points furnished </t>
  </si>
  <si>
    <t>Number of Courts equipped with adequate furniture</t>
  </si>
  <si>
    <t>Equip courts with adequate furniture</t>
  </si>
  <si>
    <t>Sets of furniture procured</t>
  </si>
  <si>
    <t>Procure furniture</t>
  </si>
  <si>
    <t xml:space="preserve">Number of Labour Courts furnished </t>
  </si>
  <si>
    <t>Procure furniture for Court halls and chambers</t>
  </si>
  <si>
    <t>19340304</t>
  </si>
  <si>
    <t xml:space="preserve">Alternative power sources acquired and installed.  </t>
  </si>
  <si>
    <t>Number of Courts equipped with generators</t>
  </si>
  <si>
    <t>Equip Courts with Generators</t>
  </si>
  <si>
    <t>Number of Courts equipped with Solar systems</t>
  </si>
  <si>
    <t xml:space="preserve"> Equip Courts with Solar systems</t>
  </si>
  <si>
    <t>193404</t>
  </si>
  <si>
    <t xml:space="preserve">Undertake Research and Development  in improved delivery of Justice </t>
  </si>
  <si>
    <t>19340401</t>
  </si>
  <si>
    <t>Resource centres established and equipped</t>
  </si>
  <si>
    <t>Number of library spaces established at courts</t>
  </si>
  <si>
    <t>Provide library space at Courts</t>
  </si>
  <si>
    <t>Number of Courts with adequately stocked libraries</t>
  </si>
  <si>
    <t>Stock libraries with reference materials</t>
  </si>
  <si>
    <t>Functioning Uganda Legal Information Institute</t>
  </si>
  <si>
    <t>Support operations of Uganda Legal Information Institute (ULII)</t>
  </si>
  <si>
    <t>Number of resource centers equiped</t>
  </si>
  <si>
    <t>Equip the Judicial Service Commission resource center</t>
  </si>
  <si>
    <t>194404</t>
  </si>
  <si>
    <t>19440401</t>
  </si>
  <si>
    <t>Number of research undertakings on criminal cases conducted</t>
  </si>
  <si>
    <t>Conduct research</t>
  </si>
  <si>
    <t>No of Law Reports Published (Volumes)</t>
  </si>
  <si>
    <t>Publish Law Reports Published (Volumes)</t>
  </si>
  <si>
    <t>No. of Volumes of High Court Bulletins published</t>
  </si>
  <si>
    <t xml:space="preserve">Publish Volumes of High Court Bulletins </t>
  </si>
  <si>
    <t>Number of Legal reference materials procured</t>
  </si>
  <si>
    <t xml:space="preserve">Procure Legal reference materials </t>
  </si>
  <si>
    <t>19440402</t>
  </si>
  <si>
    <t>Research undertaken</t>
  </si>
  <si>
    <t>Number of research studies conducted</t>
  </si>
  <si>
    <t>Conduct reserach studies for improved adminstration of justice</t>
  </si>
  <si>
    <t>No of curriculum reviews undertaken</t>
  </si>
  <si>
    <t xml:space="preserve">Undertake Curriculum Review </t>
  </si>
  <si>
    <t>Improved Human rights observance and practice</t>
  </si>
  <si>
    <t xml:space="preserve">Number of visiting justices facilitated to inspect Prisons Units </t>
  </si>
  <si>
    <t xml:space="preserve">Facilitating &amp; Conducting Induction Training of all Groups of Visiting Justices </t>
  </si>
  <si>
    <t xml:space="preserve">Average length (months) of stay on remand for offenders </t>
  </si>
  <si>
    <t>Monitoring court operations; Transporting prisoners to court and linking remand prisoners with other actors in the Criminal Justice System; Sureties, lawyers, benefactors, family, etc.</t>
  </si>
  <si>
    <t xml:space="preserve">Asset management </t>
  </si>
  <si>
    <t>Number of support service delivery areas with vehicles.</t>
  </si>
  <si>
    <t>Procurement and maintenenace of fleet to support service delivery</t>
  </si>
  <si>
    <t>1925</t>
  </si>
  <si>
    <t>192501</t>
  </si>
  <si>
    <t>19250101</t>
  </si>
  <si>
    <t>19250102</t>
  </si>
  <si>
    <t>Government institutions retooled</t>
  </si>
  <si>
    <t>Retooling of government institutions</t>
  </si>
  <si>
    <t>Human resources managed in the Ministry</t>
  </si>
  <si>
    <t>Audit and Risk Management coordinated</t>
  </si>
  <si>
    <t>No. of audit reports produced and submitted</t>
  </si>
  <si>
    <t>Facilities and equipment managed</t>
  </si>
  <si>
    <t>% of facilities and equipment maintained</t>
  </si>
  <si>
    <t>Finance and Accounting coordinated</t>
  </si>
  <si>
    <t>No. of financial reports produced and submitted</t>
  </si>
  <si>
    <t>Procurement and Disposal Services coordinated</t>
  </si>
  <si>
    <t>No. of procurement reports produced and submitted</t>
  </si>
  <si>
    <t>Records Management coordinated</t>
  </si>
  <si>
    <t>% of mails received, processed and dispatched</t>
  </si>
  <si>
    <t>Leadership and Management coordinated</t>
  </si>
  <si>
    <t>No. of oversight visits undertaken</t>
  </si>
  <si>
    <t>Communication and Public Relations Coordinated</t>
  </si>
  <si>
    <t>No. of Ministry activities events covered</t>
  </si>
  <si>
    <t>Cross cutting issues mainstreamed</t>
  </si>
  <si>
    <t>No. of cross cutting issues coordinated</t>
  </si>
  <si>
    <t>Information Technology Coordinated</t>
  </si>
  <si>
    <t>% of IT equipment operational</t>
  </si>
  <si>
    <t>Planning and Budgeting Services coordinated</t>
  </si>
  <si>
    <t>No. of statutory reports produced and submitted</t>
  </si>
  <si>
    <t>Monitoring and Evaluation conducted</t>
  </si>
  <si>
    <t>No. of M&amp;E visits conducted</t>
  </si>
  <si>
    <t xml:space="preserve">Policy formulation and Analysis coordinated </t>
  </si>
  <si>
    <t>No. of units supported in policy formulation</t>
  </si>
  <si>
    <t>No. of reseraches undertaken</t>
  </si>
  <si>
    <t>Statistics</t>
  </si>
  <si>
    <t>PWG Secretariat coordinated</t>
  </si>
  <si>
    <t>No. of PWG meetings held</t>
  </si>
  <si>
    <t>Strategic Plan developed</t>
  </si>
  <si>
    <t>Strategic Plan in place</t>
  </si>
  <si>
    <t>Mid-term of the Strategic plan Undertaken</t>
  </si>
  <si>
    <t>Mid-Term review report</t>
  </si>
  <si>
    <t>Board Meeting Held</t>
  </si>
  <si>
    <t>No. of Board meeting held</t>
  </si>
  <si>
    <t>Staff Salaries and related benefits paid</t>
  </si>
  <si>
    <t>Manage Human resources in the Ministry</t>
  </si>
  <si>
    <t>Coordinate Audit and Risk Management</t>
  </si>
  <si>
    <t>Manage Facilities and equipment</t>
  </si>
  <si>
    <t>Coordinate Records Management</t>
  </si>
  <si>
    <t>Coordinate Leadership and Management</t>
  </si>
  <si>
    <t>Coordinate Information Technology</t>
  </si>
  <si>
    <t>Coordinate Planning and Budgeting Services</t>
  </si>
  <si>
    <t>Coordinate Policy formulation and Analysis</t>
  </si>
  <si>
    <t>Mainstream Cross cutting issues</t>
  </si>
  <si>
    <t>Develop Strategic Plan</t>
  </si>
  <si>
    <t>Undertake Mid-term Review of the Strategic plan</t>
  </si>
  <si>
    <t>Hold Board Meetings</t>
  </si>
  <si>
    <t>Pay Staff Salaries and related benefits</t>
  </si>
  <si>
    <t>Undertake Research and Development</t>
  </si>
  <si>
    <t>Research &amp; Development undertaken</t>
  </si>
  <si>
    <t>All staff salary and related benefits paid</t>
  </si>
  <si>
    <t>Government institutional infrastructure constructed and/or rehabilitated</t>
  </si>
  <si>
    <t>Construct and/or rehabilitate Government institutional infrastructure</t>
  </si>
  <si>
    <t>189</t>
  </si>
  <si>
    <t>To strengthen government institutions for effective and efficient service delivery</t>
  </si>
  <si>
    <t>Strengthen government institutions for effective and efficient service delivery</t>
  </si>
  <si>
    <t>189101</t>
  </si>
  <si>
    <t>18910101</t>
  </si>
  <si>
    <t>18910102</t>
  </si>
  <si>
    <t>18910103</t>
  </si>
  <si>
    <t>18910104</t>
  </si>
  <si>
    <t>18910105</t>
  </si>
  <si>
    <t>18910106</t>
  </si>
  <si>
    <t>18910107</t>
  </si>
  <si>
    <t>18910108</t>
  </si>
  <si>
    <t>18910109</t>
  </si>
  <si>
    <t>18910110</t>
  </si>
  <si>
    <t>18910111</t>
  </si>
  <si>
    <t>18910112</t>
  </si>
  <si>
    <t>18910113</t>
  </si>
  <si>
    <t>18910114</t>
  </si>
  <si>
    <t>18910115</t>
  </si>
  <si>
    <t>18910116</t>
  </si>
  <si>
    <t>18910117</t>
  </si>
  <si>
    <t>18910118</t>
  </si>
  <si>
    <t>18910119</t>
  </si>
  <si>
    <t>18910120</t>
  </si>
  <si>
    <t>18910121</t>
  </si>
  <si>
    <t>18910122</t>
  </si>
  <si>
    <t>199</t>
  </si>
  <si>
    <t>199101</t>
  </si>
  <si>
    <t>19910101</t>
  </si>
  <si>
    <t>19910102</t>
  </si>
  <si>
    <t>19910103</t>
  </si>
  <si>
    <t>19910104</t>
  </si>
  <si>
    <t>19910105</t>
  </si>
  <si>
    <t>19910106</t>
  </si>
  <si>
    <t>19910107</t>
  </si>
  <si>
    <t>19910108</t>
  </si>
  <si>
    <t>19910109</t>
  </si>
  <si>
    <t>19910110</t>
  </si>
  <si>
    <t>19910111</t>
  </si>
  <si>
    <t>19910112</t>
  </si>
  <si>
    <t>19910113</t>
  </si>
  <si>
    <t>19910114</t>
  </si>
  <si>
    <t>19910115</t>
  </si>
  <si>
    <t>19910116</t>
  </si>
  <si>
    <t>19910117</t>
  </si>
  <si>
    <t>19910119</t>
  </si>
  <si>
    <t>19910120</t>
  </si>
  <si>
    <t>19910121</t>
  </si>
  <si>
    <t>19910122</t>
  </si>
  <si>
    <t>1991</t>
  </si>
  <si>
    <t>1891</t>
  </si>
  <si>
    <t>019</t>
  </si>
  <si>
    <t>0191</t>
  </si>
  <si>
    <t>019101</t>
  </si>
  <si>
    <t>01910101</t>
  </si>
  <si>
    <t>01910102</t>
  </si>
  <si>
    <t>01910103</t>
  </si>
  <si>
    <t>01910104</t>
  </si>
  <si>
    <t>01910105</t>
  </si>
  <si>
    <t>01910106</t>
  </si>
  <si>
    <t>01910107</t>
  </si>
  <si>
    <t>01910108</t>
  </si>
  <si>
    <t>01910109</t>
  </si>
  <si>
    <t>01910110</t>
  </si>
  <si>
    <t>01910111</t>
  </si>
  <si>
    <t>01910112</t>
  </si>
  <si>
    <t>01910113</t>
  </si>
  <si>
    <t>01910114</t>
  </si>
  <si>
    <t>01910115</t>
  </si>
  <si>
    <t>01910116</t>
  </si>
  <si>
    <t>01910117</t>
  </si>
  <si>
    <t>01910120</t>
  </si>
  <si>
    <t>01910121</t>
  </si>
  <si>
    <t>01910122</t>
  </si>
  <si>
    <t>029</t>
  </si>
  <si>
    <t>0291</t>
  </si>
  <si>
    <t>029101</t>
  </si>
  <si>
    <t>02910101</t>
  </si>
  <si>
    <t>02910102</t>
  </si>
  <si>
    <t>02910103</t>
  </si>
  <si>
    <t>02910104</t>
  </si>
  <si>
    <t>02910105</t>
  </si>
  <si>
    <t>02910106</t>
  </si>
  <si>
    <t>02910107</t>
  </si>
  <si>
    <t>02910108</t>
  </si>
  <si>
    <t>02910109</t>
  </si>
  <si>
    <t>02910110</t>
  </si>
  <si>
    <t>02910111</t>
  </si>
  <si>
    <t>02910112</t>
  </si>
  <si>
    <t>02910113</t>
  </si>
  <si>
    <t>02910114</t>
  </si>
  <si>
    <t>02910115</t>
  </si>
  <si>
    <t>02910116</t>
  </si>
  <si>
    <t>02910117</t>
  </si>
  <si>
    <t>02910120</t>
  </si>
  <si>
    <t>02910121</t>
  </si>
  <si>
    <t>02910122</t>
  </si>
  <si>
    <t>039</t>
  </si>
  <si>
    <t>0391</t>
  </si>
  <si>
    <t>039101</t>
  </si>
  <si>
    <t>03910102</t>
  </si>
  <si>
    <t>03910103</t>
  </si>
  <si>
    <t>03910104</t>
  </si>
  <si>
    <t>03910105</t>
  </si>
  <si>
    <t>03910106</t>
  </si>
  <si>
    <t>03910107</t>
  </si>
  <si>
    <t>03910108</t>
  </si>
  <si>
    <t>03910109</t>
  </si>
  <si>
    <t>03910110</t>
  </si>
  <si>
    <t>03910111</t>
  </si>
  <si>
    <t>03910112</t>
  </si>
  <si>
    <t>03910113</t>
  </si>
  <si>
    <t>03910114</t>
  </si>
  <si>
    <t>03910115</t>
  </si>
  <si>
    <t>03910116</t>
  </si>
  <si>
    <t>03910117</t>
  </si>
  <si>
    <t>03910101</t>
  </si>
  <si>
    <t>03910120</t>
  </si>
  <si>
    <t>03910121</t>
  </si>
  <si>
    <t>03910122</t>
  </si>
  <si>
    <t>049</t>
  </si>
  <si>
    <t>0491</t>
  </si>
  <si>
    <t>049101</t>
  </si>
  <si>
    <t>04910101</t>
  </si>
  <si>
    <t>04910102</t>
  </si>
  <si>
    <t>04910103</t>
  </si>
  <si>
    <t>04910104</t>
  </si>
  <si>
    <t>04910105</t>
  </si>
  <si>
    <t>04910106</t>
  </si>
  <si>
    <t>04910107</t>
  </si>
  <si>
    <t>04910108</t>
  </si>
  <si>
    <t>04910109</t>
  </si>
  <si>
    <t>04910110</t>
  </si>
  <si>
    <t>04910111</t>
  </si>
  <si>
    <t>04910112</t>
  </si>
  <si>
    <t>04910113</t>
  </si>
  <si>
    <t>04910114</t>
  </si>
  <si>
    <t>04910115</t>
  </si>
  <si>
    <t>04910116</t>
  </si>
  <si>
    <t>04910117</t>
  </si>
  <si>
    <t>04910120</t>
  </si>
  <si>
    <t>04910121</t>
  </si>
  <si>
    <t>04910122</t>
  </si>
  <si>
    <t>059</t>
  </si>
  <si>
    <t>0591</t>
  </si>
  <si>
    <t>059101</t>
  </si>
  <si>
    <t>05910101</t>
  </si>
  <si>
    <t>05910102</t>
  </si>
  <si>
    <t>05910103</t>
  </si>
  <si>
    <t>05910104</t>
  </si>
  <si>
    <t>05910105</t>
  </si>
  <si>
    <t>05910106</t>
  </si>
  <si>
    <t>05910107</t>
  </si>
  <si>
    <t>05910108</t>
  </si>
  <si>
    <t>05910109</t>
  </si>
  <si>
    <t>05910110</t>
  </si>
  <si>
    <t>05910111</t>
  </si>
  <si>
    <t>05910112</t>
  </si>
  <si>
    <t>05910113</t>
  </si>
  <si>
    <t>05910114</t>
  </si>
  <si>
    <t>05910115</t>
  </si>
  <si>
    <t>05910116</t>
  </si>
  <si>
    <t>05910117</t>
  </si>
  <si>
    <t>05910120</t>
  </si>
  <si>
    <t>05910121</t>
  </si>
  <si>
    <t>05910122</t>
  </si>
  <si>
    <t>069</t>
  </si>
  <si>
    <t>0691</t>
  </si>
  <si>
    <t>069101</t>
  </si>
  <si>
    <t>06910101</t>
  </si>
  <si>
    <t>06910102</t>
  </si>
  <si>
    <t>06910103</t>
  </si>
  <si>
    <t>06910104</t>
  </si>
  <si>
    <t>06910105</t>
  </si>
  <si>
    <t>06910106</t>
  </si>
  <si>
    <t>06910107</t>
  </si>
  <si>
    <t>06910108</t>
  </si>
  <si>
    <t>06910109</t>
  </si>
  <si>
    <t>06910110</t>
  </si>
  <si>
    <t>06910111</t>
  </si>
  <si>
    <t>06910112</t>
  </si>
  <si>
    <t>06910113</t>
  </si>
  <si>
    <t>06910114</t>
  </si>
  <si>
    <t>06910115</t>
  </si>
  <si>
    <t>06910116</t>
  </si>
  <si>
    <t>06910117</t>
  </si>
  <si>
    <t>06910120</t>
  </si>
  <si>
    <t>06910121</t>
  </si>
  <si>
    <t>06910122</t>
  </si>
  <si>
    <t>079</t>
  </si>
  <si>
    <t>0791</t>
  </si>
  <si>
    <t>079101</t>
  </si>
  <si>
    <t>07910101</t>
  </si>
  <si>
    <t>07910102</t>
  </si>
  <si>
    <t>07910103</t>
  </si>
  <si>
    <t>07910104</t>
  </si>
  <si>
    <t>07910105</t>
  </si>
  <si>
    <t>07910106</t>
  </si>
  <si>
    <t>07910107</t>
  </si>
  <si>
    <t>07910108</t>
  </si>
  <si>
    <t>07910109</t>
  </si>
  <si>
    <t>07910110</t>
  </si>
  <si>
    <t>07910111</t>
  </si>
  <si>
    <t>07910112</t>
  </si>
  <si>
    <t>07910113</t>
  </si>
  <si>
    <t>07910114</t>
  </si>
  <si>
    <t>07910115</t>
  </si>
  <si>
    <t>07910116</t>
  </si>
  <si>
    <t>07910117</t>
  </si>
  <si>
    <t>07910120</t>
  </si>
  <si>
    <t>07910121</t>
  </si>
  <si>
    <t>07910122</t>
  </si>
  <si>
    <t>089</t>
  </si>
  <si>
    <t>0891</t>
  </si>
  <si>
    <t>089101</t>
  </si>
  <si>
    <t>08910101</t>
  </si>
  <si>
    <t>08910102</t>
  </si>
  <si>
    <t>08910103</t>
  </si>
  <si>
    <t>08910104</t>
  </si>
  <si>
    <t>08910105</t>
  </si>
  <si>
    <t>08910106</t>
  </si>
  <si>
    <t>08910107</t>
  </si>
  <si>
    <t>08910108</t>
  </si>
  <si>
    <t>08910109</t>
  </si>
  <si>
    <t>08910110</t>
  </si>
  <si>
    <t>08910111</t>
  </si>
  <si>
    <t>08910112</t>
  </si>
  <si>
    <t>08910113</t>
  </si>
  <si>
    <t>08910114</t>
  </si>
  <si>
    <t>08910115</t>
  </si>
  <si>
    <t>08910116</t>
  </si>
  <si>
    <t>08910117</t>
  </si>
  <si>
    <t>08910120</t>
  </si>
  <si>
    <t>08910121</t>
  </si>
  <si>
    <t>08910122</t>
  </si>
  <si>
    <t>099</t>
  </si>
  <si>
    <t>0991</t>
  </si>
  <si>
    <t>099101</t>
  </si>
  <si>
    <t>09910101</t>
  </si>
  <si>
    <t>09910102</t>
  </si>
  <si>
    <t>09910103</t>
  </si>
  <si>
    <t>09910104</t>
  </si>
  <si>
    <t>09910105</t>
  </si>
  <si>
    <t>09910106</t>
  </si>
  <si>
    <t>09910107</t>
  </si>
  <si>
    <t>09910108</t>
  </si>
  <si>
    <t>09910109</t>
  </si>
  <si>
    <t>09910110</t>
  </si>
  <si>
    <t>09910111</t>
  </si>
  <si>
    <t>09910112</t>
  </si>
  <si>
    <t>09910113</t>
  </si>
  <si>
    <t>09910114</t>
  </si>
  <si>
    <t>09910115</t>
  </si>
  <si>
    <t>09910116</t>
  </si>
  <si>
    <t>09910117</t>
  </si>
  <si>
    <t>09910120</t>
  </si>
  <si>
    <t>09910121</t>
  </si>
  <si>
    <t>09910122</t>
  </si>
  <si>
    <t>109</t>
  </si>
  <si>
    <t>1091</t>
  </si>
  <si>
    <t>109101</t>
  </si>
  <si>
    <t>10910101</t>
  </si>
  <si>
    <t>10910102</t>
  </si>
  <si>
    <t>10910103</t>
  </si>
  <si>
    <t>10910104</t>
  </si>
  <si>
    <t>10910105</t>
  </si>
  <si>
    <t>10910106</t>
  </si>
  <si>
    <t>10910107</t>
  </si>
  <si>
    <t>10910108</t>
  </si>
  <si>
    <t>10910109</t>
  </si>
  <si>
    <t>10910110</t>
  </si>
  <si>
    <t>10910111</t>
  </si>
  <si>
    <t>10910112</t>
  </si>
  <si>
    <t>10910113</t>
  </si>
  <si>
    <t>10910114</t>
  </si>
  <si>
    <t>10910115</t>
  </si>
  <si>
    <t>10910116</t>
  </si>
  <si>
    <t>10910117</t>
  </si>
  <si>
    <t>10910120</t>
  </si>
  <si>
    <t>10910121</t>
  </si>
  <si>
    <t>10910122</t>
  </si>
  <si>
    <t>119</t>
  </si>
  <si>
    <t>1191</t>
  </si>
  <si>
    <t>119101</t>
  </si>
  <si>
    <t>11910101</t>
  </si>
  <si>
    <t>11910102</t>
  </si>
  <si>
    <t>11910103</t>
  </si>
  <si>
    <t>11910104</t>
  </si>
  <si>
    <t>11910105</t>
  </si>
  <si>
    <t>11910106</t>
  </si>
  <si>
    <t>11910107</t>
  </si>
  <si>
    <t>11910108</t>
  </si>
  <si>
    <t>11910110</t>
  </si>
  <si>
    <t>11910111</t>
  </si>
  <si>
    <t>11910112</t>
  </si>
  <si>
    <t>11910113</t>
  </si>
  <si>
    <t>11910114</t>
  </si>
  <si>
    <t>11910115</t>
  </si>
  <si>
    <t>11910116</t>
  </si>
  <si>
    <t>11910117</t>
  </si>
  <si>
    <t>11910120</t>
  </si>
  <si>
    <t>11910121</t>
  </si>
  <si>
    <t>11910122</t>
  </si>
  <si>
    <t>11910109</t>
  </si>
  <si>
    <t>129</t>
  </si>
  <si>
    <t>1291</t>
  </si>
  <si>
    <t>129101</t>
  </si>
  <si>
    <t>12910101</t>
  </si>
  <si>
    <t>12910102</t>
  </si>
  <si>
    <t>12910103</t>
  </si>
  <si>
    <t>12910104</t>
  </si>
  <si>
    <t>12910105</t>
  </si>
  <si>
    <t>12910106</t>
  </si>
  <si>
    <t>12910107</t>
  </si>
  <si>
    <t>12910108</t>
  </si>
  <si>
    <t>12910109</t>
  </si>
  <si>
    <t>12910110</t>
  </si>
  <si>
    <t>12910111</t>
  </si>
  <si>
    <t>12910112</t>
  </si>
  <si>
    <t>12910113</t>
  </si>
  <si>
    <t>12910114</t>
  </si>
  <si>
    <t>12910115</t>
  </si>
  <si>
    <t>12910116</t>
  </si>
  <si>
    <t>12910117</t>
  </si>
  <si>
    <t>12910120</t>
  </si>
  <si>
    <t>12910121</t>
  </si>
  <si>
    <t>12910122</t>
  </si>
  <si>
    <t>139</t>
  </si>
  <si>
    <t>1391</t>
  </si>
  <si>
    <t>139101</t>
  </si>
  <si>
    <t>13910101</t>
  </si>
  <si>
    <t>13910102</t>
  </si>
  <si>
    <t>13910103</t>
  </si>
  <si>
    <t>13910104</t>
  </si>
  <si>
    <t>13910105</t>
  </si>
  <si>
    <t>13910106</t>
  </si>
  <si>
    <t>13910107</t>
  </si>
  <si>
    <t>13910108</t>
  </si>
  <si>
    <t>13910109</t>
  </si>
  <si>
    <t>13910110</t>
  </si>
  <si>
    <t>13910111</t>
  </si>
  <si>
    <t>13910112</t>
  </si>
  <si>
    <t>13910113</t>
  </si>
  <si>
    <t>13910114</t>
  </si>
  <si>
    <t>13910115</t>
  </si>
  <si>
    <t>13910116</t>
  </si>
  <si>
    <t>13910117</t>
  </si>
  <si>
    <t>13910120</t>
  </si>
  <si>
    <t>13910121</t>
  </si>
  <si>
    <t>13910122</t>
  </si>
  <si>
    <t>149</t>
  </si>
  <si>
    <t>1491</t>
  </si>
  <si>
    <t>149101</t>
  </si>
  <si>
    <t>14910101</t>
  </si>
  <si>
    <t>14910102</t>
  </si>
  <si>
    <t>14910103</t>
  </si>
  <si>
    <t>14910104</t>
  </si>
  <si>
    <t>14910105</t>
  </si>
  <si>
    <t>14910106</t>
  </si>
  <si>
    <t>14910107</t>
  </si>
  <si>
    <t>14910108</t>
  </si>
  <si>
    <t>14910109</t>
  </si>
  <si>
    <t>14910110</t>
  </si>
  <si>
    <t>14910111</t>
  </si>
  <si>
    <t>14910112</t>
  </si>
  <si>
    <t>14910113</t>
  </si>
  <si>
    <t>14910114</t>
  </si>
  <si>
    <t>14910115</t>
  </si>
  <si>
    <t>14910116</t>
  </si>
  <si>
    <t>14910117</t>
  </si>
  <si>
    <t>14910120</t>
  </si>
  <si>
    <t>14910121</t>
  </si>
  <si>
    <t>14910122</t>
  </si>
  <si>
    <t>159</t>
  </si>
  <si>
    <t>1591</t>
  </si>
  <si>
    <t>159101</t>
  </si>
  <si>
    <t>15910101</t>
  </si>
  <si>
    <t>15910102</t>
  </si>
  <si>
    <t>15910103</t>
  </si>
  <si>
    <t>15910104</t>
  </si>
  <si>
    <t>15910105</t>
  </si>
  <si>
    <t>15910106</t>
  </si>
  <si>
    <t>15910107</t>
  </si>
  <si>
    <t>15910108</t>
  </si>
  <si>
    <t>15910109</t>
  </si>
  <si>
    <t>15910110</t>
  </si>
  <si>
    <t>15910111</t>
  </si>
  <si>
    <t>15910112</t>
  </si>
  <si>
    <t>15910113</t>
  </si>
  <si>
    <t>15910114</t>
  </si>
  <si>
    <t>15910115</t>
  </si>
  <si>
    <t>15910116</t>
  </si>
  <si>
    <t>15910117</t>
  </si>
  <si>
    <t>15910120</t>
  </si>
  <si>
    <t>15910121</t>
  </si>
  <si>
    <t>15910122</t>
  </si>
  <si>
    <t>169</t>
  </si>
  <si>
    <t>1691</t>
  </si>
  <si>
    <t>169101</t>
  </si>
  <si>
    <t>16910101</t>
  </si>
  <si>
    <t>16910102</t>
  </si>
  <si>
    <t>16910103</t>
  </si>
  <si>
    <t>16910104</t>
  </si>
  <si>
    <t>16910105</t>
  </si>
  <si>
    <t>16910106</t>
  </si>
  <si>
    <t>16910107</t>
  </si>
  <si>
    <t>16910108</t>
  </si>
  <si>
    <t>16910109</t>
  </si>
  <si>
    <t>16910110</t>
  </si>
  <si>
    <t>16910111</t>
  </si>
  <si>
    <t>16910112</t>
  </si>
  <si>
    <t>16910113</t>
  </si>
  <si>
    <t>16910114</t>
  </si>
  <si>
    <t>16910115</t>
  </si>
  <si>
    <t>16910116</t>
  </si>
  <si>
    <t>16910117</t>
  </si>
  <si>
    <t>16910120</t>
  </si>
  <si>
    <t>16910121</t>
  </si>
  <si>
    <t>16910122</t>
  </si>
  <si>
    <t>179</t>
  </si>
  <si>
    <t>1791</t>
  </si>
  <si>
    <t>179101</t>
  </si>
  <si>
    <t>17910101</t>
  </si>
  <si>
    <t>17910102</t>
  </si>
  <si>
    <t>17910103</t>
  </si>
  <si>
    <t>17910104</t>
  </si>
  <si>
    <t>17910105</t>
  </si>
  <si>
    <t>17910106</t>
  </si>
  <si>
    <t>17910107</t>
  </si>
  <si>
    <t>17910108</t>
  </si>
  <si>
    <t>17910109</t>
  </si>
  <si>
    <t>17910110</t>
  </si>
  <si>
    <t>17910111</t>
  </si>
  <si>
    <t>17910112</t>
  </si>
  <si>
    <t>17910113</t>
  </si>
  <si>
    <t>17910114</t>
  </si>
  <si>
    <t>17910115</t>
  </si>
  <si>
    <t>17910116</t>
  </si>
  <si>
    <t>17910117</t>
  </si>
  <si>
    <t>17910120</t>
  </si>
  <si>
    <t>17910121</t>
  </si>
  <si>
    <t>17910122</t>
  </si>
  <si>
    <t>209</t>
  </si>
  <si>
    <t>2091</t>
  </si>
  <si>
    <t>209101</t>
  </si>
  <si>
    <t>20910101</t>
  </si>
  <si>
    <t>20910102</t>
  </si>
  <si>
    <t>20910103</t>
  </si>
  <si>
    <t>20910104</t>
  </si>
  <si>
    <t>20910105</t>
  </si>
  <si>
    <t>20910106</t>
  </si>
  <si>
    <t>20910107</t>
  </si>
  <si>
    <t>20910108</t>
  </si>
  <si>
    <t>20910109</t>
  </si>
  <si>
    <t>20910110</t>
  </si>
  <si>
    <t>20910111</t>
  </si>
  <si>
    <t>20910112</t>
  </si>
  <si>
    <t>20910113</t>
  </si>
  <si>
    <t>20910114</t>
  </si>
  <si>
    <t>20910115</t>
  </si>
  <si>
    <t>20910116</t>
  </si>
  <si>
    <t>20910117</t>
  </si>
  <si>
    <t>20910120</t>
  </si>
  <si>
    <t>20910121</t>
  </si>
  <si>
    <t>20910122</t>
  </si>
  <si>
    <t>Legislature, Representation and Oversight</t>
  </si>
  <si>
    <t>16X</t>
  </si>
  <si>
    <t>161</t>
  </si>
  <si>
    <t>Security</t>
  </si>
  <si>
    <t>1611</t>
  </si>
  <si>
    <t xml:space="preserve">Strengthen the capacity of security agencies to address emerging security threats </t>
  </si>
  <si>
    <t>161101</t>
  </si>
  <si>
    <t>Improve the capacity and capability of the Security Sector through training and equipping personnel.</t>
  </si>
  <si>
    <t>16110101</t>
  </si>
  <si>
    <t xml:space="preserve">Visibility of Police presence increased </t>
  </si>
  <si>
    <t xml:space="preserve">Proportion of sub counties with police presence
</t>
  </si>
  <si>
    <t>Deploy Human and non-human resourses  at Sub-county level Police Stations</t>
  </si>
  <si>
    <t>16110102</t>
  </si>
  <si>
    <t>An effective territorial policing system built</t>
  </si>
  <si>
    <t>Number of "model sub-county" police stations operationalised</t>
  </si>
  <si>
    <t xml:space="preserve">Strengthen UPF institutional capacity for human rights based approach to law and order enhancement </t>
  </si>
  <si>
    <t>Implement the model Sub-county policing idealogy</t>
  </si>
  <si>
    <t>Develop, coordinate, monitor and evaluate police operation doctrines and policies</t>
  </si>
  <si>
    <t>Strengthen existing mechanisms for policing cities, municipalities and high ways</t>
  </si>
  <si>
    <t>16110103</t>
  </si>
  <si>
    <t>Policing of Oil &amp; Gas as well as railway security provided</t>
  </si>
  <si>
    <t>No of intllations secured</t>
  </si>
  <si>
    <t>Provide security to Oil &amp; Gas and Railway infrastructure</t>
  </si>
  <si>
    <t>16110104</t>
  </si>
  <si>
    <t xml:space="preserve">Enforcement and maintenance of Law and Order enhanced </t>
  </si>
  <si>
    <t xml:space="preserve">Proportion of public disorders and civil disturbances professionallly managed </t>
  </si>
  <si>
    <t xml:space="preserve">Promote citizens roles and responsibilities for maintenance of law and order </t>
  </si>
  <si>
    <t>Professionally manage public disorders, civil disturbances and riots</t>
  </si>
  <si>
    <t>Strengthen collaboration with state and non-state actors to promote observence of law and order</t>
  </si>
  <si>
    <t>16110105</t>
  </si>
  <si>
    <t>Security personnel trained</t>
  </si>
  <si>
    <t>% of  UPF personnel trained</t>
  </si>
  <si>
    <t xml:space="preserve">Conduct specialized training for career development (Criminal Law, Management, Patriotism, Fire Fighting, Mechanical, Defensive Driving, CT &amp; use of IBIS etc ) </t>
  </si>
  <si>
    <t>% of  UPF personnel recruited,trained &amp; deployed</t>
  </si>
  <si>
    <t>Recruit, train ans deploy police personnel.</t>
  </si>
  <si>
    <t>Conduct refresher and specialized in-service training for police officers</t>
  </si>
  <si>
    <t xml:space="preserve">Number of staff inducted and trained in CID </t>
  </si>
  <si>
    <t xml:space="preserve">Recruit and  train more CID staff </t>
  </si>
  <si>
    <t>161102</t>
  </si>
  <si>
    <t>Strengthen capacity and handle emerging and prevailing sophisticated crimes such as cyber-crimes</t>
  </si>
  <si>
    <t>16110201</t>
  </si>
  <si>
    <t>Enhanced UPF Technical capability</t>
  </si>
  <si>
    <t>Value of security equipment acquired (bn)</t>
  </si>
  <si>
    <t>Acquire and maintain equipment for policing.</t>
  </si>
  <si>
    <t>16110202</t>
  </si>
  <si>
    <t>Enhanced scientific-based Technical capability for investigations</t>
  </si>
  <si>
    <t xml:space="preserve">Value (bn) of UPF Forensic equipment acquired </t>
  </si>
  <si>
    <t xml:space="preserve">UPF </t>
  </si>
  <si>
    <t xml:space="preserve">Equip UPF Regional Foresenic Referral Centre (RFRC) of excellence </t>
  </si>
  <si>
    <t>16110203</t>
  </si>
  <si>
    <t>Police Training Schools &amp; College constructed, equipped and maintained</t>
  </si>
  <si>
    <t>Number of required Police Training Schools and collge developed</t>
  </si>
  <si>
    <t>Develop and equip police training schools and college</t>
  </si>
  <si>
    <t>16110204</t>
  </si>
  <si>
    <t xml:space="preserve">Early warning and response mechanisms enhanced </t>
  </si>
  <si>
    <t>Proportion of required Crime intelligence Police personnel deployed</t>
  </si>
  <si>
    <t xml:space="preserve">Recruit, train &amp; Equip Police Crime Intelligence personnel </t>
  </si>
  <si>
    <t>16110205</t>
  </si>
  <si>
    <t xml:space="preserve">Insecurity, civil disorders &amp; emergencies within metropolitan cities reduced; </t>
  </si>
  <si>
    <t>No of personnel deployed in metropolitan cities</t>
  </si>
  <si>
    <t>Rejuvenate and Extend coverage of the 999-patrol system as well as foot patrols within KMP, new cities and municipalities. Coordinate Security agencies &amp; stakeholders in urban areas inn the management of security related matters in urban areas</t>
  </si>
  <si>
    <t>16110206</t>
  </si>
  <si>
    <t xml:space="preserve">Logistical support provided to security personnel </t>
  </si>
  <si>
    <t xml:space="preserve">Proportion of required policing logistical support </t>
  </si>
  <si>
    <t xml:space="preserve">Provide logistics to UPF personnel </t>
  </si>
  <si>
    <t>161103</t>
  </si>
  <si>
    <t>Enhance the welfare and housing of security sector personnel</t>
  </si>
  <si>
    <t>16110301</t>
  </si>
  <si>
    <t>Improved Staff welfare</t>
  </si>
  <si>
    <t xml:space="preserve">Percentage of enhanced salary </t>
  </si>
  <si>
    <t>Salary,  allowances enhancement;. Etc. for Police Personnel</t>
  </si>
  <si>
    <t>% of Police officers accessing welfare schemes</t>
  </si>
  <si>
    <t>Increase personnel enrollment into welfare schemes</t>
  </si>
  <si>
    <t>Proportion of police land surveyed and titled</t>
  </si>
  <si>
    <t>Acquire land for policing purposes</t>
  </si>
  <si>
    <t xml:space="preserve">% of entitled police personnel provided with decent accommodation </t>
  </si>
  <si>
    <t>Construct and renovate staff houses for the police</t>
  </si>
  <si>
    <t>Proportion of police medical requirements met</t>
  </si>
  <si>
    <t>Provide medical facilities (Police health facilities &amp; Hospital), health personnel, medicines, specialized services etc</t>
  </si>
  <si>
    <t>No. of police children enrolled in Police schools</t>
  </si>
  <si>
    <t>Provide education services to UPF staff 's children</t>
  </si>
  <si>
    <t>161104</t>
  </si>
  <si>
    <t>Seamlessly transition, resettle and reintegrate veterans into productive civilian livelihoods</t>
  </si>
  <si>
    <t>Veterans and retirees integrated and resettled into productive civilian livelihoods.</t>
  </si>
  <si>
    <t>% of retiring police personnel prepared for life in retirement.</t>
  </si>
  <si>
    <t>Prepare and support police officers for life in retirement.</t>
  </si>
  <si>
    <t xml:space="preserve">Proportion of districts with coordination offices for retired police officers  </t>
  </si>
  <si>
    <t xml:space="preserve">Establish and operationalize district retired police officers coordination offices </t>
  </si>
  <si>
    <t>Proportion of registered retired police officers accessing welfare schemes</t>
  </si>
  <si>
    <t xml:space="preserve">Establish and ensure accessibility of welfare schemes to registered retired police officers </t>
  </si>
  <si>
    <t>161105</t>
  </si>
  <si>
    <t>Strengthen research and development to address emerging security threats</t>
  </si>
  <si>
    <t>Research and Technical directorates equipped and facilitated</t>
  </si>
  <si>
    <t>Level of automation of police processes</t>
  </si>
  <si>
    <t>Automate police processes and systems</t>
  </si>
  <si>
    <t>Forensic Science Centres facilitated and equipped in R&amp;D</t>
  </si>
  <si>
    <t>Level of implementation of the Regional Forensic Referral Centre project</t>
  </si>
  <si>
    <t xml:space="preserve">Leverage research in crime management protocols by the police Regional Forensic Referral Centre (RFRC) </t>
  </si>
  <si>
    <t>% expenditure on R&amp;D</t>
  </si>
  <si>
    <t>Facilitate Police forensic science labs</t>
  </si>
  <si>
    <t>No. of ICT Innovations developed</t>
  </si>
  <si>
    <t>Harness utilization of ICT in policing</t>
  </si>
  <si>
    <t>161106</t>
  </si>
  <si>
    <t xml:space="preserve">Rollout CCTV surveillance project </t>
  </si>
  <si>
    <t>CCTV system rolled out to subsidiary cities, municipalities, major towns and highways across the country.</t>
  </si>
  <si>
    <t>% completion of CCTV project</t>
  </si>
  <si>
    <t xml:space="preserve">Expand the National CCTV surveillance project to subsidiary cities, municipalities, major towns, "black spots" and highways </t>
  </si>
  <si>
    <t>CCTV system operational</t>
  </si>
  <si>
    <t>% of the CCTV system in proper running condition</t>
  </si>
  <si>
    <t>Maintenance costs for the national CCTV project</t>
  </si>
  <si>
    <t>161107</t>
  </si>
  <si>
    <t>Strengthen border control and security</t>
  </si>
  <si>
    <t>Border policing strengthened</t>
  </si>
  <si>
    <t>% of border points with police deployment.</t>
  </si>
  <si>
    <t xml:space="preserve">Set up police establishments at border points. </t>
  </si>
  <si>
    <t xml:space="preserve">Border conflicts resolved </t>
  </si>
  <si>
    <t xml:space="preserve">Number of border conflicts resolved </t>
  </si>
  <si>
    <t xml:space="preserve">Hold security cross border meetings </t>
  </si>
  <si>
    <t>Border security and control strengthened</t>
  </si>
  <si>
    <t>Proportion of gazetted border points connected on i24/7 system</t>
  </si>
  <si>
    <r>
      <t xml:space="preserve">Extend the </t>
    </r>
    <r>
      <rPr>
        <i/>
        <sz val="11"/>
        <rFont val="Calibri"/>
        <family val="2"/>
        <scheme val="minor"/>
      </rPr>
      <t xml:space="preserve">i24/7 </t>
    </r>
    <r>
      <rPr>
        <sz val="11"/>
        <rFont val="Calibri"/>
        <family val="2"/>
        <scheme val="minor"/>
      </rPr>
      <t>System to border points</t>
    </r>
  </si>
  <si>
    <t>Proportion of border points covered with police deployments</t>
  </si>
  <si>
    <t>Deploy police personnel at border points</t>
  </si>
  <si>
    <t>161108</t>
  </si>
  <si>
    <t>Strengthen prevention of trafficking in persons (TIP)</t>
  </si>
  <si>
    <t>Capacity of UPF to curb human trafficking enhanced</t>
  </si>
  <si>
    <t>Number of Detectives trained in human trafficking detection and investigations</t>
  </si>
  <si>
    <t>Train detectives in investigation of human trafficking</t>
  </si>
  <si>
    <t>Number of Crime intelligence officers trained in human trafficking detection</t>
  </si>
  <si>
    <t>Support Crime Intelligence (CI) to identify incidents of human trafficking</t>
  </si>
  <si>
    <t>161109</t>
  </si>
  <si>
    <t>Strengthen counter terrorism</t>
  </si>
  <si>
    <t>Terror threats detected and neutralized</t>
  </si>
  <si>
    <t>% of terror threats detected and neutralized</t>
  </si>
  <si>
    <t>Invest in counter terrorism measures (sensitization, training, equipment, intelligence)</t>
  </si>
  <si>
    <t>161110</t>
  </si>
  <si>
    <t>Strengthen conflict early warning and response mechanisms</t>
  </si>
  <si>
    <t>District Security Reports produced</t>
  </si>
  <si>
    <t>Number of District Security Reports produced</t>
  </si>
  <si>
    <t>Enforce agreed  procedures of the district security committee</t>
  </si>
  <si>
    <t>161111</t>
  </si>
  <si>
    <t>Strengthen the prevention of Trans-National organized crime</t>
  </si>
  <si>
    <t>Interpol and EAPCCO AGMs attended; Cross border crimes investigated.</t>
  </si>
  <si>
    <t xml:space="preserve">Proportion of reported cross border crimes investigated </t>
  </si>
  <si>
    <t>Coordinate Bilateral and International Police Cooperation &amp; Information sharing to curb transnational &amp; organized border crimes.</t>
  </si>
  <si>
    <t>161112</t>
  </si>
  <si>
    <t>Strengthen the control and management of small arms and light weapons</t>
  </si>
  <si>
    <t xml:space="preserve">A comprehensive database of PSOs developed and maintained </t>
  </si>
  <si>
    <t>Proportion of PSOs profiled into the database</t>
  </si>
  <si>
    <t>Develop and maintain a comprehensive database of PSOs</t>
  </si>
  <si>
    <t>All fire arms profiled</t>
  </si>
  <si>
    <t xml:space="preserve">Proportion of firearms in the country profiled into the IBIS </t>
  </si>
  <si>
    <t>Conduct finger printing (Profiling all fire arms)</t>
  </si>
  <si>
    <t>Fire arms in the hands of public and private security organisations regulated</t>
  </si>
  <si>
    <t>Proportion of PSOs inspected and monitored</t>
  </si>
  <si>
    <t xml:space="preserve">Conduct inspections and monitoring of use of fire armns </t>
  </si>
  <si>
    <t>All fire arms possessed by the public regulated</t>
  </si>
  <si>
    <t>% of Private firearms holders assessed and profiled</t>
  </si>
  <si>
    <t>Enhance regulation of Fire Arms in possession of the Public</t>
  </si>
  <si>
    <t>161113</t>
  </si>
  <si>
    <t>Strengthen management of commercial explosives</t>
  </si>
  <si>
    <t xml:space="preserve">Capacity of UPF to monitor use and management of explosives strengthened </t>
  </si>
  <si>
    <t xml:space="preserve">	Number of police personnel trained in management of explosives</t>
  </si>
  <si>
    <t>Train &amp; Equip police officers on management of explosives to avert terro activities</t>
  </si>
  <si>
    <t>161114</t>
  </si>
  <si>
    <t>Enhance capacity of Uganda Police to secure life and property</t>
  </si>
  <si>
    <t>Establish and equip additional  fire stations</t>
  </si>
  <si>
    <t xml:space="preserve">% of districts/divisions with required fire emergency and rescue services </t>
  </si>
  <si>
    <t>Establish and equip additional fire stations</t>
  </si>
  <si>
    <t>Establish and equip additional marine stations</t>
  </si>
  <si>
    <t xml:space="preserve">% of maritime policing zones with required marine emergency and rescue services </t>
  </si>
  <si>
    <t xml:space="preserve">Police airwing services established and operationalized </t>
  </si>
  <si>
    <t>Flight hours</t>
  </si>
  <si>
    <t>Revitalise Police airfields for police airwing services</t>
  </si>
  <si>
    <t xml:space="preserve">Traffic operations to enforce safety &amp; security on roads undertaken; </t>
  </si>
  <si>
    <t>Road Traffic accident fatality rate</t>
  </si>
  <si>
    <t>Conduct traffic operations to minimise road accidents</t>
  </si>
  <si>
    <t>162</t>
  </si>
  <si>
    <t>Democratic Processes</t>
  </si>
  <si>
    <t>1622</t>
  </si>
  <si>
    <t>Strengthen citizen participation and engagement in the democratic processes</t>
  </si>
  <si>
    <t>Strengthen democracy and electoral processes</t>
  </si>
  <si>
    <t>162201a</t>
  </si>
  <si>
    <t>Election Security</t>
  </si>
  <si>
    <t>162201a01</t>
  </si>
  <si>
    <t>Obsevance of law and order before, during and after elections strengthened</t>
  </si>
  <si>
    <t>Number of security personnel trained in basic polling stations mangement skills</t>
  </si>
  <si>
    <t>Provide training to security personnel deploy on election day</t>
  </si>
  <si>
    <t>Number of police personnel deployed to secure elction  premises, properties  materials and guard candidates and  officials</t>
  </si>
  <si>
    <t xml:space="preserve">Ensure  law and order before, during and after elections </t>
  </si>
  <si>
    <t>162201a02</t>
  </si>
  <si>
    <t>Compliance  of Public Order Management with HRBA and Standards  in democratic processes enhanced</t>
  </si>
  <si>
    <t>Proportion of Anti-Riot personnel equipped with appropriate tools  and trained in HRBA and Standards  to  Public Order Management</t>
  </si>
  <si>
    <t xml:space="preserve">Ensure compliance of Public Order Management with HRBA and Standards </t>
  </si>
  <si>
    <t>163</t>
  </si>
  <si>
    <t>Access to justice</t>
  </si>
  <si>
    <t>1633</t>
  </si>
  <si>
    <t>Strengthen compliance with the Uganda Bill of Rights</t>
  </si>
  <si>
    <t>Finalize and Implement the Uganda National Action Plan on Human Rights and adopt the National Action Plan on Business and Human Rights</t>
  </si>
  <si>
    <t>163301a</t>
  </si>
  <si>
    <t>Improve compliance to Human Rights standards and reporting requirements</t>
  </si>
  <si>
    <t>163301a01</t>
  </si>
  <si>
    <t>Popularize the   Uganda Bill of Rights</t>
  </si>
  <si>
    <t>% of Police Officers sensitised on the  Uganda Bill of Rights</t>
  </si>
  <si>
    <t>Sensitise and create awareness among police officers on the  Uganda Bill of Rights</t>
  </si>
  <si>
    <t>163301b</t>
  </si>
  <si>
    <t xml:space="preserve">Improve access to improved water, sanitation and hygiene in detention facilities </t>
  </si>
  <si>
    <t>163301b01</t>
  </si>
  <si>
    <t>Sanitation and hygiene in detention facilities improved</t>
  </si>
  <si>
    <t>Proportion of detention facilities with appropriate sanitation facilities</t>
  </si>
  <si>
    <t>Remodel police detention facilities to appropriate sanitation and hygiene</t>
  </si>
  <si>
    <t>163301a02</t>
  </si>
  <si>
    <t>Compliance to human rights observance enhanced</t>
  </si>
  <si>
    <t>Compliance rate to the 48hr rule</t>
  </si>
  <si>
    <t>Enhance supervision of police detention facilities for compliance to 48hr rule</t>
  </si>
  <si>
    <t>Integrate HRBA in policies, legislation, plans and programmes</t>
  </si>
  <si>
    <t>HRBA mainstreamed in policy, legislation, plans and programmes</t>
  </si>
  <si>
    <t>Percentage compliance score  of all cross cutting issues in UPF</t>
  </si>
  <si>
    <t>Mainstream and implement Cross-cutting issues (Gender &amp; equity,COVID-19, Heamophragic  fever,  HIV/AIds, Malaria,  Environment and climate change, Population and urbanization,  nutrition and sanitation, Human rights) in Planning and budgeting</t>
  </si>
  <si>
    <t>UPF policies, procedures/SOPs, guidelines, forms and books,  systems and processes developed and/or reviewed and aligned to HRBA</t>
  </si>
  <si>
    <t>No of non compliant policies reviewed</t>
  </si>
  <si>
    <t>Undertake HRBA mainstreaming of UPF  policies,  proceedures, plans and programmes</t>
  </si>
  <si>
    <t>164</t>
  </si>
  <si>
    <t>Refugee Protection &amp; immigration Management</t>
  </si>
  <si>
    <t>1644</t>
  </si>
  <si>
    <t>Enhance Refugee protection and Migration Management</t>
  </si>
  <si>
    <t>Coordinating responses that address refugee protection and assistance</t>
  </si>
  <si>
    <t>Security and escort ssrvices provided at refugee entry points, reception centres, transit routes and camps</t>
  </si>
  <si>
    <t xml:space="preserve">Number of refugees camps protected and secured </t>
  </si>
  <si>
    <t>Provide security at refugee entry points, reception centres, transit routes and camps</t>
  </si>
  <si>
    <t>165</t>
  </si>
  <si>
    <t>Anti-Corruption and Accountability</t>
  </si>
  <si>
    <t>1655</t>
  </si>
  <si>
    <t>Strengthen transparency, accountability and anti-corruption systems</t>
  </si>
  <si>
    <t>Enhance the Public Demand for Accountability</t>
  </si>
  <si>
    <t>Client Charter feedback mechanisms reviewed and strengthened</t>
  </si>
  <si>
    <t xml:space="preserve">% of police units that undertake regular sensitization in relation to police cl;ient charter </t>
  </si>
  <si>
    <t xml:space="preserve">Hold a full range community outreach and sensitization programmes </t>
  </si>
  <si>
    <t>Strengthen the prevention, detection and elimination of corruption</t>
  </si>
  <si>
    <t>16550201</t>
  </si>
  <si>
    <t>Police officers trained in detection and investigation of corruption related cases</t>
  </si>
  <si>
    <t xml:space="preserve">No of police officers trained in anti-corruption </t>
  </si>
  <si>
    <t xml:space="preserve">Train and equip police to investigate corruption related cases.  </t>
  </si>
  <si>
    <t>16550202</t>
  </si>
  <si>
    <t xml:space="preserve">UPF capacity to fight corruption strengthened </t>
  </si>
  <si>
    <t xml:space="preserve">Number of corrpution cases investigated </t>
  </si>
  <si>
    <t xml:space="preserve">Build UPF Capacity to fight corruption </t>
  </si>
  <si>
    <t>16550203</t>
  </si>
  <si>
    <t xml:space="preserve">UPF anti-corruption strategy implemented </t>
  </si>
  <si>
    <t xml:space="preserve">% of anti corruption strategy implemented </t>
  </si>
  <si>
    <t xml:space="preserve">Implement UPF anti-corruption strategy </t>
  </si>
  <si>
    <t>16550204</t>
  </si>
  <si>
    <t>UPF client Charter Popularized</t>
  </si>
  <si>
    <t>Proportion of police units to which the UPF client charter has been disseminated</t>
  </si>
  <si>
    <t xml:space="preserve">Disseminate and sensitise stakeholder on the client charter </t>
  </si>
  <si>
    <t>166</t>
  </si>
  <si>
    <t>Policy and Legislation Processes</t>
  </si>
  <si>
    <t>1666</t>
  </si>
  <si>
    <t>Strengthen policy, legal, regulatory and Institutional frameworks for effective governance and security</t>
  </si>
  <si>
    <t>Review and enact appropriate legislation</t>
  </si>
  <si>
    <t>Legislation relevant to Police reviewed for amendment</t>
  </si>
  <si>
    <t>No. of laws reviewed and developed.</t>
  </si>
  <si>
    <t>Review and Propose amendment to areas of policing such as POM, fire prevention, drugs and narcotics, etc.</t>
  </si>
  <si>
    <t>Review, and develop appropriate policies for effective governance and security</t>
  </si>
  <si>
    <t>Policies and SOPs relevant to policing developed</t>
  </si>
  <si>
    <t>No. of policies and SOPs relevant to policing developed.</t>
  </si>
  <si>
    <t>Develop appropriate policies and SOPs for delivery of policing services</t>
  </si>
  <si>
    <t>% of police services with standards developed</t>
  </si>
  <si>
    <t>Develop minimum service delivery standards for police work</t>
  </si>
  <si>
    <t>Access to Justice</t>
  </si>
  <si>
    <t>1637</t>
  </si>
  <si>
    <t>Strengthen people centered delivery of security, justice, law and order services</t>
  </si>
  <si>
    <t>Develop appropriate infrastructure for legislation, security, justice, law and order</t>
  </si>
  <si>
    <t>Modern security infrastructure developed and/or maintained</t>
  </si>
  <si>
    <t xml:space="preserve">% of police facilities with customer friendly infrastructure </t>
  </si>
  <si>
    <t>Modify police infrastructure and facilities to meet customer care requirements includinding disability apsects eg ramps, recreation facilities, breast feeding rooms etc</t>
  </si>
  <si>
    <t>% of sub counties with a standard police station.</t>
  </si>
  <si>
    <t xml:space="preserve">Build Police stations based on the "sub-county model" </t>
  </si>
  <si>
    <t>No. of district police offices built</t>
  </si>
  <si>
    <t xml:space="preserve">Build district police offices </t>
  </si>
  <si>
    <t>No. of police maintenance facilities built and equipped</t>
  </si>
  <si>
    <t xml:space="preserve">Build police  infrastructure (Maintenance facilities-Marina, Hanger, Motor Vehicle &amp; ICT mechanical workshops, etc ) </t>
  </si>
  <si>
    <t>Strengthen response to crime</t>
  </si>
  <si>
    <t>UPF crime fighting capacity strengthened</t>
  </si>
  <si>
    <t>Crime rate</t>
  </si>
  <si>
    <t xml:space="preserve">Enhance UPF Capacity to effectively detect and conclusively investigate crime </t>
  </si>
  <si>
    <t>Percentage reduction in crime volume.</t>
  </si>
  <si>
    <t>Build UPF crime fighting capacity</t>
  </si>
  <si>
    <t>Use of scientific evidence in crime management strengthened</t>
  </si>
  <si>
    <t>% of investigated cases where forensic evidence requested has been offered</t>
  </si>
  <si>
    <t xml:space="preserve">strengthen Use of scientific evidence(forensic) in crime management </t>
  </si>
  <si>
    <t>Coordination in response to crime by crime fighting agencies Improved</t>
  </si>
  <si>
    <t>No of crimes resolved through security coordination mechanisms</t>
  </si>
  <si>
    <t>Improve coordination in response to crime by crime fighting agencies</t>
  </si>
  <si>
    <t>Case load per detective improved</t>
  </si>
  <si>
    <t>Detective case workload</t>
  </si>
  <si>
    <t>Induct 4,428 personnel into CID to reduce Case load per detective</t>
  </si>
  <si>
    <t>Coverage and range of canine services enhanced</t>
  </si>
  <si>
    <t>% of districts with canine services</t>
  </si>
  <si>
    <t xml:space="preserve">Expand Coverage and range of canine services </t>
  </si>
  <si>
    <t>ASTU Operations in the cattle corridor to eradicate cattle rustling/ theft especially in the Karamoja region and its neighbourhood  strengthened</t>
  </si>
  <si>
    <t>Proportion of stollen animals recovred</t>
  </si>
  <si>
    <t>Conduct ambushes, snap check operations, strategic visibility deployments and patrols for recovery of suspected stolen animals.</t>
  </si>
  <si>
    <t>A peaceful and secure environment created for developmental activities in Karamoja and neighboring districts as well as all cattle corridors across the country.</t>
  </si>
  <si>
    <t>No of ASTU establishments/deployments across the country</t>
  </si>
  <si>
    <t>New detaches, foot and motorized patrols in the ASTU deployments conducted to enhance strategic visibility;</t>
  </si>
  <si>
    <t>UPF institutional arrangements  to investigate crime enhanced</t>
  </si>
  <si>
    <t>Level of public satisfaction with UPF services</t>
  </si>
  <si>
    <t xml:space="preserve">Embrace UPF institutional arrangements  to investigate crime </t>
  </si>
  <si>
    <t>Strengthen transitional justice and informal justice processes</t>
  </si>
  <si>
    <t>Intelligence led investigations strengthened</t>
  </si>
  <si>
    <t>Crime Intelligence collected</t>
  </si>
  <si>
    <t>Enhance crime intelligence services</t>
  </si>
  <si>
    <t>Management of treatment programs</t>
  </si>
  <si>
    <t>Enhance crime prevention and strengthen community policing</t>
  </si>
  <si>
    <t>Community policing initiatives implemented</t>
  </si>
  <si>
    <t>Proportion of villages implementing a community policing model</t>
  </si>
  <si>
    <t xml:space="preserve">Engage communities in community policing mechanisms </t>
  </si>
  <si>
    <t>Dog handlers trained in crime management using canines</t>
  </si>
  <si>
    <t xml:space="preserve">No of trained canine handlers deployed </t>
  </si>
  <si>
    <t>Deploy and train dog handlers as well as detectives</t>
  </si>
  <si>
    <t>Comprehensive standards for investigation developed and implemented</t>
  </si>
  <si>
    <t>Comprehensive standards in place</t>
  </si>
  <si>
    <t>Develop comprehensive standards</t>
  </si>
  <si>
    <t>UPF Crime intelligence enhanced</t>
  </si>
  <si>
    <t>Proportion (by value) of required intelligence equipment and infrastructure acquired</t>
  </si>
  <si>
    <t xml:space="preserve">Strengthen UPF Crime intelligence </t>
  </si>
  <si>
    <t>Patriotism within the police fraternity enhanced &amp; promoted</t>
  </si>
  <si>
    <t>No of police officers trained in patriotism</t>
  </si>
  <si>
    <t>Promote patriotism amaongst police officers</t>
  </si>
  <si>
    <t>Promote equitable access to justice through legal aid services</t>
  </si>
  <si>
    <t>163705a</t>
  </si>
  <si>
    <t xml:space="preserve">Strengthen family justice </t>
  </si>
  <si>
    <t>163705a01</t>
  </si>
  <si>
    <t>Functional legal aid clinics established</t>
  </si>
  <si>
    <t>Number of indigent persons accessing legal aid (by gender)</t>
  </si>
  <si>
    <t>Strengthen UPF Child and Family protection services</t>
  </si>
  <si>
    <t>163705a02</t>
  </si>
  <si>
    <t>Child &amp; SGBV victims as well as Witnesses Interview rooms/spaces established at police stations</t>
  </si>
  <si>
    <t>No. of rooms/spaces established</t>
  </si>
  <si>
    <t>Provide child friendly services at police stations</t>
  </si>
  <si>
    <t>163705b</t>
  </si>
  <si>
    <t xml:space="preserve"> Promote child friendly justice procedures</t>
  </si>
  <si>
    <t>163705b01</t>
  </si>
  <si>
    <t>Capacity of UPF Child and Family protection services strengthened</t>
  </si>
  <si>
    <t>% of child and familiy cases reported to police resolved</t>
  </si>
  <si>
    <t>Build and improve the capacity of UPF Child and Family protection services</t>
  </si>
  <si>
    <t>163705b02</t>
  </si>
  <si>
    <t>Child reception centres established at UPF police stations</t>
  </si>
  <si>
    <t>Proportion of police stations with child reception centres</t>
  </si>
  <si>
    <t>Establish Child reception centres at UPF police stations</t>
  </si>
  <si>
    <t>Gender &amp; Equity friendly services enhanced at police units</t>
  </si>
  <si>
    <t>% score on G&amp;E compliance</t>
  </si>
  <si>
    <t>Enhance Gender &amp; Equity friendly services at police units</t>
  </si>
  <si>
    <t>1638</t>
  </si>
  <si>
    <t>Reform and strengthen JLOS business processes to facilitate private sector development</t>
  </si>
  <si>
    <t>Re-engineer business processes to reduce red tape in service delivery especially regarding commercial and land dispute resolution</t>
  </si>
  <si>
    <t>163801a</t>
  </si>
  <si>
    <t>163801a01</t>
  </si>
  <si>
    <t>Cases that are over 2-years disposed</t>
  </si>
  <si>
    <t>% of backlog cases disposed</t>
  </si>
  <si>
    <t>Weed-out backlog cases in the police system</t>
  </si>
  <si>
    <t>167</t>
  </si>
  <si>
    <t>1676</t>
  </si>
  <si>
    <t>167601</t>
  </si>
  <si>
    <t>Undertake financing and administration of programme services</t>
  </si>
  <si>
    <t> </t>
  </si>
  <si>
    <t>16760101</t>
  </si>
  <si>
    <t>Reliable communication systems provided; i) Enhancing coverage of radio communication and call centres to all units across the country</t>
  </si>
  <si>
    <t>Proportion of police units with radio communication</t>
  </si>
  <si>
    <t>Provide prompt communications systems for UPF operations. Increase coverage of radio communication and call centres to all units across the country</t>
  </si>
  <si>
    <t>16760102</t>
  </si>
  <si>
    <t>Crime detection and prevention supported using appropriate technologies;</t>
  </si>
  <si>
    <t>Proportion of police unit equipped with computers and accessories</t>
  </si>
  <si>
    <t>Implement and roll out appropriate technologies (Prototypes) such asCCTV, Crime Records Management  System (CRMS) to faciliate crime prevention and investigations</t>
  </si>
  <si>
    <t>16760103</t>
  </si>
  <si>
    <t>Personnel skills to handle existing and emerging ICT demands enhanced;</t>
  </si>
  <si>
    <t>Proportion of police personnel with skills in ICT</t>
  </si>
  <si>
    <t>Capacity of UPF personnel in ICT related fields such as Cyber crime and other analytics built; Change management embraced</t>
  </si>
  <si>
    <t>16760104</t>
  </si>
  <si>
    <t>Computerization and integration of UPF Management Information Systems &amp; processes improved</t>
  </si>
  <si>
    <t xml:space="preserve">Proportion of UPF systems and functions automated and/or integrated </t>
  </si>
  <si>
    <t>Develop innovative Prototypes such as Crime Records Management  System (CRMS), HRMIS, Fleet management system for crime as well as other resources management</t>
  </si>
  <si>
    <t>167602</t>
  </si>
  <si>
    <t>Coordinate programme planning, budgeting, M&amp;E and policy development</t>
  </si>
  <si>
    <t>16760201</t>
  </si>
  <si>
    <t xml:space="preserve">Strategic and annual policing plans developed and implemented; </t>
  </si>
  <si>
    <t>No of plans developed</t>
  </si>
  <si>
    <t>Develop UPF plans for proper institutional management</t>
  </si>
  <si>
    <t>16760202</t>
  </si>
  <si>
    <t xml:space="preserve">Statistical and applied researches conducted as per UPF institutional research agenda; </t>
  </si>
  <si>
    <t>No of statistical products developed</t>
  </si>
  <si>
    <t>Collect and carry out statistical analysis to inform planning; Conduct researches for informed decision making</t>
  </si>
  <si>
    <t>16760203</t>
  </si>
  <si>
    <t>M&amp;E of UPF programmes and project implementation conducted</t>
  </si>
  <si>
    <t>No of M&amp;E reports produced</t>
  </si>
  <si>
    <t xml:space="preserve">Conduct M&amp;E of UPF programmes and projects for timely corrective actions and replication of documented good practices </t>
  </si>
  <si>
    <t>16760105</t>
  </si>
  <si>
    <t>UPF Financial management systems strengthened and office support services effectively managed</t>
  </si>
  <si>
    <t>Budget absoprtion rate</t>
  </si>
  <si>
    <t>Regularly review UPF Financial management systems and office support services to identify gaps and areas of effectiveness</t>
  </si>
  <si>
    <t>16760106</t>
  </si>
  <si>
    <t>UPF Financial &amp; Non-financial resources efficiently Managed and accounted for in conformity to the budgetary provisions and government financial regulations;</t>
  </si>
  <si>
    <t>Timely and accurate submission of financial reports</t>
  </si>
  <si>
    <t>Proactively guide management and account for UPF Financial &amp; Non-financial resources  in conformity to the budgetary provisions and government financial regulations;</t>
  </si>
  <si>
    <t>16760107</t>
  </si>
  <si>
    <t>Government administrative support policies, standards, guidelines and regulations implemented in UPF;</t>
  </si>
  <si>
    <t xml:space="preserve">No of top management recommendations implemented. </t>
  </si>
  <si>
    <t>Provide technical support for implementation of Government administrative policies, standards, guidelines and regulations in UPF;</t>
  </si>
  <si>
    <t>16760108</t>
  </si>
  <si>
    <t>All UPF procurement and disposal needs for works, goods and services consolidated &amp;  well managed;</t>
  </si>
  <si>
    <t>Procurement process compliance rate</t>
  </si>
  <si>
    <t>Procure and dispose All UPF required works, goods and services in consonance with PPDA guidelines</t>
  </si>
  <si>
    <t>16760109</t>
  </si>
  <si>
    <t>UPF Budget Estimates, Cashflow Plans, quarterly and annual workplans, BFPs and MPS developed and presented to relevant authorities;</t>
  </si>
  <si>
    <t>Budget cycle phases executed</t>
  </si>
  <si>
    <t>Develop and present UPF Budget Estimates, Cashflow Plans, quarterly and annual workplans, BFPs and MPS  to relevant authorities and stakeholders</t>
  </si>
  <si>
    <t>16760204</t>
  </si>
  <si>
    <t xml:space="preserve">Budgeting, performance reviews &amp; reporting undertaken </t>
  </si>
  <si>
    <t>No of budget performance reports produced</t>
  </si>
  <si>
    <t xml:space="preserve">Prepare UPF Budgets, performance reviews &amp; reports. Undertake resounce mobilization </t>
  </si>
  <si>
    <t>16760205</t>
  </si>
  <si>
    <t>UPF project development undertaken</t>
  </si>
  <si>
    <t>Stages of project development undertaken</t>
  </si>
  <si>
    <t xml:space="preserve">Undertake development of UPF project concept notes, profiles, prefeasibility &amp; feasibility studies, proposals and execution  </t>
  </si>
  <si>
    <t>16760110</t>
  </si>
  <si>
    <t>Capacity of Internal Audit in UPF built to Identify, profile, prevent and detect potential areas of financial risk and systems put in place for adherence to financial regulations</t>
  </si>
  <si>
    <t>No. of audit staff capacitated</t>
  </si>
  <si>
    <t>Capacitate Internal Audit in UPF to Identify, profile, prevent and detect potential areas of financial risk and systems put in place for adherence to financial regulations</t>
  </si>
  <si>
    <t>16760111</t>
  </si>
  <si>
    <t>Continuously review and appraise the soundness, adequacy, application and efficiency of financial, accounting and other operational controls;</t>
  </si>
  <si>
    <t>No of internal audit reviews done</t>
  </si>
  <si>
    <t>Carryout continuous reviews and appraise the soundness, adequacy, application and efficiency of UPF financial, accounting and other operational controls;</t>
  </si>
  <si>
    <t>16760112</t>
  </si>
  <si>
    <t xml:space="preserve">Qualified opinion of UPF financial audits reduced; </t>
  </si>
  <si>
    <t>No of audit reports produced</t>
  </si>
  <si>
    <t>Provide auidt reports to  UPF management decision</t>
  </si>
  <si>
    <t>16760113</t>
  </si>
  <si>
    <t>Systems, controls and operations of UPF programmes and projects reviewed and recommendations for improvements provided;</t>
  </si>
  <si>
    <t>No of audit recommendations implemented</t>
  </si>
  <si>
    <t>Review and recommend for improvements in UPF Systems, controls and operations of  programmes and projects;</t>
  </si>
  <si>
    <t>167603</t>
  </si>
  <si>
    <t>Develop and implement human resource policies to attract and retain competent staff</t>
  </si>
  <si>
    <t>16760301</t>
  </si>
  <si>
    <t>UPF Disciplinary systems and mechanisms strengthened</t>
  </si>
  <si>
    <t>No of Police disciplinary cases disposed</t>
  </si>
  <si>
    <t xml:space="preserve">Strengthen operations of UPF Disciplinary systems and mechanisms </t>
  </si>
  <si>
    <t>16760302</t>
  </si>
  <si>
    <t>UPF Performance and appraisal management systems improved</t>
  </si>
  <si>
    <t>No of officers appraised</t>
  </si>
  <si>
    <t>Conduct UPF Performance and appraisal management exercises</t>
  </si>
  <si>
    <t>16760303</t>
  </si>
  <si>
    <t>UPF Records Management Systems strengthened</t>
  </si>
  <si>
    <t>Speed of retrieval and delivery of records from storage</t>
  </si>
  <si>
    <t>10mins</t>
  </si>
  <si>
    <t>05mins</t>
  </si>
  <si>
    <t xml:space="preserve">Invigoate and update UPF Records Management Systems </t>
  </si>
  <si>
    <t>16760304</t>
  </si>
  <si>
    <t>Competent, professional, task specific, skilled and knowledgeable police officers developed;</t>
  </si>
  <si>
    <t>No of officers trained per year in various police disciplines</t>
  </si>
  <si>
    <t>Develop Competent, professional, task specific, skilled and knowledgeable police officers; Accredite UPF study programmes and develop curricula for UPF courses</t>
  </si>
  <si>
    <t>16110106</t>
  </si>
  <si>
    <t>Security personnel Recruited</t>
  </si>
  <si>
    <t>percentage of  personnel recruited (%)</t>
  </si>
  <si>
    <t xml:space="preserve">ISO </t>
  </si>
  <si>
    <t>Recruitment of personnel</t>
  </si>
  <si>
    <t>ISO</t>
  </si>
  <si>
    <t>158 Internal Security Organisation</t>
  </si>
  <si>
    <t>161101a</t>
  </si>
  <si>
    <t>Strengthening the capacity of Prisons Safety and Security Unit</t>
  </si>
  <si>
    <t>161101a01</t>
  </si>
  <si>
    <t>Enhanced Technical capability of the UPS safety and Security Unit</t>
  </si>
  <si>
    <t>No of prisons equipped and retooled with safety and security equipment</t>
  </si>
  <si>
    <t>161101b</t>
  </si>
  <si>
    <t>Recruitment and training of Prisons Staff</t>
  </si>
  <si>
    <t>161101b01</t>
  </si>
  <si>
    <t>Number or percentage (%) of  personnel recruited and trained</t>
  </si>
  <si>
    <t>Conduct recruitment, training and retraining of prisons staff</t>
  </si>
  <si>
    <t>Able bodied Ugandans recruited across the Country on District Quota system</t>
  </si>
  <si>
    <t>UPDF personnel trained for both combat and operations other than war.</t>
  </si>
  <si>
    <t>ESO</t>
  </si>
  <si>
    <t>Recruitment and training of security personnel in basic advanced and specialized courses</t>
  </si>
  <si>
    <t>159 External Security Organisation</t>
  </si>
  <si>
    <t>Number or percentage (%) of  personnel trained</t>
  </si>
  <si>
    <t>Advanced training</t>
  </si>
  <si>
    <t xml:space="preserve">Number of  personnel recruited </t>
  </si>
  <si>
    <t>FIA</t>
  </si>
  <si>
    <t>Conduct regular recruitment to fill vacant positions in the organogram and training of staff</t>
  </si>
  <si>
    <t>129 Financial Intelligence Authority (FIA)</t>
  </si>
  <si>
    <t>Number of  personnel trained</t>
  </si>
  <si>
    <t>Provide strategic training for FIA staff to effectively and efficiently address emerging ML/TF/PF trends and techniques and methods</t>
  </si>
  <si>
    <t>DCIC</t>
  </si>
  <si>
    <t>Recruit and train immigration border patrol force</t>
  </si>
  <si>
    <t>120 National Citizenship and Immigration Control</t>
  </si>
  <si>
    <t xml:space="preserve">Develop and strengthen cooperation frameworks in areas of Political, Peace and Security </t>
  </si>
  <si>
    <t>Percentage of personnel trained and re-trained (%)</t>
  </si>
  <si>
    <t>Training and re-training of personnel</t>
  </si>
  <si>
    <t xml:space="preserve">Number of personnel trained </t>
  </si>
  <si>
    <t>Carry out refresher training of in-service immigration officers to adapt to changing dimension of migration management</t>
  </si>
  <si>
    <t>Forensic scientists trained in cyber security</t>
  </si>
  <si>
    <t>Number of computer/cyber forensic scientists trained and retrained tabs at DGAL</t>
  </si>
  <si>
    <t>DGAL</t>
  </si>
  <si>
    <t>Training of scientists in digital forensics to match  emerging trends and sophisticated digital  and fraud crimes</t>
  </si>
  <si>
    <t>305 Directorate of Government Analytical Laboratory</t>
  </si>
  <si>
    <t>Provide training for KCCA law enforcement personnel.</t>
  </si>
  <si>
    <t>16110107</t>
  </si>
  <si>
    <t>Appointment,Discipline and Grievances of Police Officers of Rank U4 and above handled</t>
  </si>
  <si>
    <t>Proportion of cases disposed off within 3 months</t>
  </si>
  <si>
    <t>Process submissions received from the Uganda Police Force</t>
  </si>
  <si>
    <t>16110108</t>
  </si>
  <si>
    <t>E-recruitment system for Police Officers of Rank U4 and above developed</t>
  </si>
  <si>
    <t>E-recruitment system in place</t>
  </si>
  <si>
    <t>Develop and implement the e-recruitment system</t>
  </si>
  <si>
    <t>16110109</t>
  </si>
  <si>
    <t>The structure of Police Authority reviewed</t>
  </si>
  <si>
    <t>A reviewed structure in place</t>
  </si>
  <si>
    <t>Restructure and implement the new structure</t>
  </si>
  <si>
    <t>16110110</t>
  </si>
  <si>
    <t>Appointment,Discipline and Grievances of Prisons Officers of Rank U4 and above handled</t>
  </si>
  <si>
    <t>Process submissions received from the Uganda Prisons Service</t>
  </si>
  <si>
    <t>16110111</t>
  </si>
  <si>
    <t>E-recruitment system for Prisons Officers of Rank U4 and above developed</t>
  </si>
  <si>
    <t>develop and maintain the e-recruitment system</t>
  </si>
  <si>
    <t>16110207</t>
  </si>
  <si>
    <t>Enhanced Technical capability</t>
  </si>
  <si>
    <t>Purchase  of specialized modern equipment and classified assets</t>
  </si>
  <si>
    <t>161102c</t>
  </si>
  <si>
    <t xml:space="preserve">Equipping the prisons with specialised techinical and communication equipment </t>
  </si>
  <si>
    <t>161102c01</t>
  </si>
  <si>
    <t>Enhanced Technical capability of the UPS</t>
  </si>
  <si>
    <t>Acquisition of assorted security equipment for the security of Prisons including firefighting, service delivery vehicles, and canine Unit Operations</t>
  </si>
  <si>
    <t>161102d</t>
  </si>
  <si>
    <t>Establishment of the mordern communication system to facilitate management of prisons</t>
  </si>
  <si>
    <t>Acquisition of UPS modern Communication Equipment (Revamp the Radio Communication)</t>
  </si>
  <si>
    <t xml:space="preserve">Acquire modern equipment and reengineer systems and business processes to increase efficiency and effectiveness in detection and prevention of financial crimes </t>
  </si>
  <si>
    <t>Acquire transport equipment to support operations o FIA</t>
  </si>
  <si>
    <t>Acquisition and maintenance of immigration border surveillance drones</t>
  </si>
  <si>
    <t>Proportion of logistical and technical equipment acquired (%)</t>
  </si>
  <si>
    <t>Acquire Logistical and technical equipments (communication, transport, specialized, training, medical and strategic facilities)</t>
  </si>
  <si>
    <t>16110209</t>
  </si>
  <si>
    <t>Enhanced Technical capability in handling sophisticated crimes</t>
  </si>
  <si>
    <t>Number of technical cyber equipment acquired</t>
  </si>
  <si>
    <t>Acquisition of modern cyber scientific equipment for DGAL.</t>
  </si>
  <si>
    <t xml:space="preserve">Value of military equipment acquired </t>
  </si>
  <si>
    <t xml:space="preserve">Acquisition of military equipment in sync with technological advancement </t>
  </si>
  <si>
    <t xml:space="preserve">Acquire equipment to enhance combat service support </t>
  </si>
  <si>
    <t>16110210</t>
  </si>
  <si>
    <t>Prosecutors trained in handling sophisticated d crimes.</t>
  </si>
  <si>
    <t xml:space="preserve">No. of ODPP staff trained  in handling sophisticated crimes </t>
  </si>
  <si>
    <t>Train  ODPP Prosecutors in handling sophisticated crimes such as money laundering, human trafficking.</t>
  </si>
  <si>
    <t>16110211</t>
  </si>
  <si>
    <t>Prosecutors equipped in handling sophisticated d crimes.</t>
  </si>
  <si>
    <t>No. of ODPP offices equipped with special office equipment to handle sophisticated crimes.</t>
  </si>
  <si>
    <t xml:space="preserve">ODPP </t>
  </si>
  <si>
    <t>Equipping ODPP offices with special office equipment to handle sophisticated crimes</t>
  </si>
  <si>
    <t>16110212</t>
  </si>
  <si>
    <t>Prosecutors equipped with skills in handling sophisticated d crimes.</t>
  </si>
  <si>
    <t>Proportion of prosecutors equipped with skills in handling terrorism cases</t>
  </si>
  <si>
    <t>Enhancing ODPP staff with skills in prosecution of Sophisticated crimes</t>
  </si>
  <si>
    <t>16110213</t>
  </si>
  <si>
    <t>Foreign and strategic stations increased.</t>
  </si>
  <si>
    <t>No of foreign and strategic stations opened</t>
  </si>
  <si>
    <t>Establish and maintain foreign and strategic stations.</t>
  </si>
  <si>
    <t>16110214</t>
  </si>
  <si>
    <t>Transport equipment provided</t>
  </si>
  <si>
    <t>No of transport equipment provided.</t>
  </si>
  <si>
    <t>Purchase transport equipment.</t>
  </si>
  <si>
    <t>16110215</t>
  </si>
  <si>
    <t xml:space="preserve">Trasport equipment for MoIA increased </t>
  </si>
  <si>
    <t xml:space="preserve">No of transport equipment acquired and maintained </t>
  </si>
  <si>
    <t xml:space="preserve">MoIA </t>
  </si>
  <si>
    <t>Acquire transport equipment</t>
  </si>
  <si>
    <t>16110216</t>
  </si>
  <si>
    <t>Technical Communication center constructed and operationalised</t>
  </si>
  <si>
    <t>Construct and fully equip Katonga International Technical Communication center</t>
  </si>
  <si>
    <t>Strategic Headquarters constructed</t>
  </si>
  <si>
    <t>Construct and fully equip ESO Headquarters</t>
  </si>
  <si>
    <t xml:space="preserve">Car tracking Facility constructed </t>
  </si>
  <si>
    <t xml:space="preserve">Construct, equip and operationalise the Car tracking facility </t>
  </si>
  <si>
    <t>Car tracking operationalised</t>
  </si>
  <si>
    <t>Ministry of Internal Affairs Headquarters constructed</t>
  </si>
  <si>
    <t>Construct the Ministry headquarters , fully equip Ministry of internal Affairs Headquarters, acquiring furniture and fittings, ICT equipment, relocation of offices during construction</t>
  </si>
  <si>
    <t>161102e</t>
  </si>
  <si>
    <t>Provision of adequate uniform and accessories to all uniformed prisons officers</t>
  </si>
  <si>
    <t>16110217</t>
  </si>
  <si>
    <t>Prisons uniformed staff dressed</t>
  </si>
  <si>
    <t>No of Prisons staff dressed with at least a pair of uniform per year</t>
  </si>
  <si>
    <t xml:space="preserve"> Provision of working uniform and accessories to all Prisons staff</t>
  </si>
  <si>
    <t>161102f</t>
  </si>
  <si>
    <t xml:space="preserve">Establishment of a mordern Prisons Academy and Training School </t>
  </si>
  <si>
    <t>16110218</t>
  </si>
  <si>
    <t>Functional Prisons Academy and Staff College constructed</t>
  </si>
  <si>
    <t>No. of Prisons Academy established</t>
  </si>
  <si>
    <t>Design, construct and equip a new Prisons Academy and Staff College at Kitalya</t>
  </si>
  <si>
    <t>16110219</t>
  </si>
  <si>
    <t>Proportion of intelligence coverage (%)</t>
  </si>
  <si>
    <t>Enhancement of Early warning and response mechanisms country wide</t>
  </si>
  <si>
    <t>16110220</t>
  </si>
  <si>
    <t>Logistical support to security personnel provided</t>
  </si>
  <si>
    <t>Value of food and agricultural products</t>
  </si>
  <si>
    <t xml:space="preserve">Provide well balanced feeding diet to security personnel </t>
  </si>
  <si>
    <t>Value of fuel and other Petroleum, Oils and Lubricants (POL)</t>
  </si>
  <si>
    <t xml:space="preserve">Provide fuel for transportation of troops, equipment and training of personnel </t>
  </si>
  <si>
    <t>Value of clothing items to security personnel</t>
  </si>
  <si>
    <t xml:space="preserve">Fully dress all UPDF  personnel </t>
  </si>
  <si>
    <t>16110221</t>
  </si>
  <si>
    <t xml:space="preserve">Peace and Security processes of neighbouring countries supported </t>
  </si>
  <si>
    <t xml:space="preserve">Number of countries supported in their Peace Processes </t>
  </si>
  <si>
    <t xml:space="preserve">Coordinate the participation of relevant stakeholders to support peace processes of the neighbouring countries </t>
  </si>
  <si>
    <t>16110222</t>
  </si>
  <si>
    <t xml:space="preserve">Regional Peace and Security Frameworks (AU, IGAD, ICGLR and EAC) supported </t>
  </si>
  <si>
    <t>Number of regional peace and security frameworks supported</t>
  </si>
  <si>
    <t>Coordinate and participate in peace and security under regional frameworks (AU, IGAD, ICGLR and EAC)</t>
  </si>
  <si>
    <t>16110223</t>
  </si>
  <si>
    <t>Uganda's national interests well catered for in the Resolutions at AU and UN on matters of Peace and Security as well Human Rights at the Global level</t>
  </si>
  <si>
    <t xml:space="preserve">Number of Resolutions at Regional, AU and UN on strengthening Regional and International Peace and Security Supported </t>
  </si>
  <si>
    <t>Support Resolutions at Regional, AU and UN on strengthening Regional and International Peace and Security</t>
  </si>
  <si>
    <t xml:space="preserve">Political Consultations undertaken with neighbouring Countries and rest of the world </t>
  </si>
  <si>
    <t xml:space="preserve">Number of Political Consultations undertaken with neighbouring Countries and rest of the world </t>
  </si>
  <si>
    <t>Strengthen bi-lateral relations with neighbouring Countries and rest of the World.</t>
  </si>
  <si>
    <t xml:space="preserve">Mandate of AMISOM Forces in Somalia extended </t>
  </si>
  <si>
    <t>Quarterly reports on security situation in Somalia produced</t>
  </si>
  <si>
    <t xml:space="preserve">Update on the scurity situation in Somalia </t>
  </si>
  <si>
    <t xml:space="preserve">Sustained funding of the AMISOM Forces in Somalia </t>
  </si>
  <si>
    <t xml:space="preserve">Negotiate resolutions at the UN for extended mandate and sustained funding of the AMISOM Forces in Somalia </t>
  </si>
  <si>
    <t>Outcome docments in favour of the country's interests at regional and International Organisations</t>
  </si>
  <si>
    <t>Number outcome documents in favour of the country's interests at regional and International Organisations</t>
  </si>
  <si>
    <t>Negotiate for the economic and political interests of the Country at the international organisations such as Common wealth, ACP -EU, OIC and NAM among others.</t>
  </si>
  <si>
    <t>Implementation of UN Sanctions coordinated</t>
  </si>
  <si>
    <t>Number of  UN country Sanctions  coordinated</t>
  </si>
  <si>
    <t>Develop a framework and coordinate relevant national stakeholders on the implementation of UN sanctions.</t>
  </si>
  <si>
    <t xml:space="preserve">National leaders supported in their engagements with foreign diginitaries </t>
  </si>
  <si>
    <t>Number of briefs prepared to facilitate the engagements b national leaders with foreign dignitaries</t>
  </si>
  <si>
    <t>Support national leaders in their engagemet with foreign dignitaries</t>
  </si>
  <si>
    <t xml:space="preserve"> ISS-U Constructed </t>
  </si>
  <si>
    <t>Proportion of Strategic Security Institute (ISS-U) developed  (%)</t>
  </si>
  <si>
    <t>Construct and equip the ISS - U</t>
  </si>
  <si>
    <t>ISS-U Operationalised</t>
  </si>
  <si>
    <t>Proportion of ISS-U operationalised (%)</t>
  </si>
  <si>
    <t>Operationalise ISS-U</t>
  </si>
  <si>
    <t xml:space="preserve">Operational National Intelligence Academy constructed </t>
  </si>
  <si>
    <t>Proportion of National Intelligence Academy developed and operationalised (%)</t>
  </si>
  <si>
    <t>Construct and equip a National Intelligence Academy</t>
  </si>
  <si>
    <t>Modern security infrastructure developed</t>
  </si>
  <si>
    <t>Percentage completion of the Headquarter (%)</t>
  </si>
  <si>
    <t>Construct the Strategic Headquarters</t>
  </si>
  <si>
    <t>Modern Security Laboratory Developed</t>
  </si>
  <si>
    <t>Proportion of the security laboratory constructed and equipped (%)</t>
  </si>
  <si>
    <t>Construct and equip a security laboratory</t>
  </si>
  <si>
    <t>Hospital Constructed</t>
  </si>
  <si>
    <t>Proportion of Hospital Constructed</t>
  </si>
  <si>
    <t>Construct Hospital</t>
  </si>
  <si>
    <t>strengthen capacity and handle emerging and prevailing sophisticated crimes such as cyber-crimes</t>
  </si>
  <si>
    <t xml:space="preserve">Field offices, marine and strategic sites developed </t>
  </si>
  <si>
    <t>Proportion of field offices, marines and strategic sites constructed</t>
  </si>
  <si>
    <t xml:space="preserve">Construct of field offices, marine and strategic sites </t>
  </si>
  <si>
    <t xml:space="preserve">Number of transport equipment procured </t>
  </si>
  <si>
    <t xml:space="preserve">Purchase transport equipment </t>
  </si>
  <si>
    <t>Transport equipment maintained ans status report produced</t>
  </si>
  <si>
    <t>Maintain transport equipment</t>
  </si>
  <si>
    <t>security</t>
  </si>
  <si>
    <t xml:space="preserve">strengthen the capacity of security agencies to address emerging security threats </t>
  </si>
  <si>
    <t>improved Staff welfare</t>
  </si>
  <si>
    <t>Enhance ESO Staff Salaries (Figures inclued salary and the increment)</t>
  </si>
  <si>
    <t xml:space="preserve">Enhance Staff Salaries </t>
  </si>
  <si>
    <t>161102g</t>
  </si>
  <si>
    <t>Enhancement of salaries and benefits of lower cadre uniformed officers</t>
  </si>
  <si>
    <t>Salary enhancement; Enhance allowances. Etc. for prisons staff</t>
  </si>
  <si>
    <t>Percentage value of Support extended to welfare schemes (%)</t>
  </si>
  <si>
    <t>Support welfare schemes</t>
  </si>
  <si>
    <t>161102h</t>
  </si>
  <si>
    <t>Establishment and strengthening of welfare schemes for the benefit of all uniformed officers</t>
  </si>
  <si>
    <t>Number of staff benefiting from the prisons staff welfare schemes</t>
  </si>
  <si>
    <t>Expanding the Prisons Duty Free Shop, Prisons SACCO, funeral management scheme and staff spouses empowerment projects</t>
  </si>
  <si>
    <t>161102i</t>
  </si>
  <si>
    <t>Establishment of decent workplace accommodation for prisons officers</t>
  </si>
  <si>
    <t>Proportion of prisons staff properly housed</t>
  </si>
  <si>
    <t>Construct 1500 prisons staff housing units per year; Renovation of prisons staff houses in various barracks across the country</t>
  </si>
  <si>
    <t>161102j</t>
  </si>
  <si>
    <t>Establishment, upgrade and equipping Prisons health facilities</t>
  </si>
  <si>
    <t xml:space="preserve">No. of prisons medical facilities </t>
  </si>
  <si>
    <t>Construction, rennovation and provision of logistical medical supplies to Prisons health facilities</t>
  </si>
  <si>
    <t>161102k</t>
  </si>
  <si>
    <t>Establishment staff medical facilities</t>
  </si>
  <si>
    <t>No. of security Medical facilities</t>
  </si>
  <si>
    <t>Constructing and equipping the staff hospital</t>
  </si>
  <si>
    <t>Construction of Jumbo Medical facility</t>
  </si>
  <si>
    <t>161102l</t>
  </si>
  <si>
    <t>Strengthen provision of medical logistical supplies to facilitate  prisons health care provision</t>
  </si>
  <si>
    <t>% of security personnel and families accessing medical care</t>
  </si>
  <si>
    <t>Provide health services to prisons officers and their families.</t>
  </si>
  <si>
    <t>Provide health services to security officers and their families.</t>
  </si>
  <si>
    <t>No  of medical equipment acquired</t>
  </si>
  <si>
    <t>Purchase medical equipment</t>
  </si>
  <si>
    <t>Number  of immigration border posts with staff accommodation</t>
  </si>
  <si>
    <t>Construct accommodation blocks for immigration border posts</t>
  </si>
  <si>
    <t>Number of immigration training facilities</t>
  </si>
  <si>
    <t>Construct classroom blocks</t>
  </si>
  <si>
    <t>Construct staff accommodation</t>
  </si>
  <si>
    <t>Amount of salary enhancement</t>
  </si>
  <si>
    <t xml:space="preserve">DCIC </t>
  </si>
  <si>
    <t>Enhance salaries of immigration staff</t>
  </si>
  <si>
    <t>161102m</t>
  </si>
  <si>
    <t>Improve logisticl ad dietray provisions to all staff living with HIV in prisons</t>
  </si>
  <si>
    <t>Number of staff living with HIV/AIDS supported per year</t>
  </si>
  <si>
    <t>Nutrition supplementation to all Prisons staff known to be living with HIV/AIDS per year</t>
  </si>
  <si>
    <t>Value of salaries and emoluments paid</t>
  </si>
  <si>
    <t xml:space="preserve">Pay UPDF salaries by the 28th of each month </t>
  </si>
  <si>
    <t xml:space="preserve">Percentage UPDF Staff and Families accessing medical services </t>
  </si>
  <si>
    <t xml:space="preserve">MoDVA </t>
  </si>
  <si>
    <t>Provide Health Services to UPDF staff and their families and sorrounding communities</t>
  </si>
  <si>
    <t>Number of new housing units constructed</t>
  </si>
  <si>
    <t>Construct/renovate and maintain UPDF barracks including the new 30,000 housing units, MoDVA HQs</t>
  </si>
  <si>
    <t>Number of UPDF personnel served by the Defence Forces Shops (DFS)</t>
  </si>
  <si>
    <t>Provide construction, non-construction and consumable items to UPDF soldiers</t>
  </si>
  <si>
    <t>Number of new DFS branches opened</t>
  </si>
  <si>
    <t>Open up new and expand the DFS country wide</t>
  </si>
  <si>
    <t>No. of children enrolled in army schools</t>
  </si>
  <si>
    <t>Provide education services to UPDF staff children</t>
  </si>
  <si>
    <t xml:space="preserve">Number of Foreign Visits of H.E the President provided with protocol services </t>
  </si>
  <si>
    <t>Accompany the president in the foreign visits to rovide protocol services and offer foreign policy coherence services</t>
  </si>
  <si>
    <t>National functions , international conferences and summits provided with protocol services</t>
  </si>
  <si>
    <t>Number of national functions, international conferences and summits provided with protocol services</t>
  </si>
  <si>
    <t xml:space="preserve">provide protocol services at national functions, international conferences and summits </t>
  </si>
  <si>
    <t>Privileges and immunities provided</t>
  </si>
  <si>
    <t>Number authorisations for diplomats processed</t>
  </si>
  <si>
    <t xml:space="preserve">processe authorisations for diplomats </t>
  </si>
  <si>
    <t>Number of URA related requests handled</t>
  </si>
  <si>
    <t xml:space="preserve">Handle URA related requests </t>
  </si>
  <si>
    <t>Number of diplomatic requests handled</t>
  </si>
  <si>
    <t>Handle diplomatic requests</t>
  </si>
  <si>
    <t>Presentations of letters of credence coordinated</t>
  </si>
  <si>
    <t>Number of presentations of letters of credence coordinated</t>
  </si>
  <si>
    <t xml:space="preserve">Cordinate presentations of letters of credence </t>
  </si>
  <si>
    <t>Appointments for HE. The president and other government officials sought and facilitated</t>
  </si>
  <si>
    <t>Number of appointments for foreign dignitaries with HE. The president and other government officials sought and facilitated</t>
  </si>
  <si>
    <t xml:space="preserve">Facilitate appointments for foreign dignitaries with HE. The president and other government officials sought </t>
  </si>
  <si>
    <t>161115</t>
  </si>
  <si>
    <t>Engage in productive activities in line with strengthening capacity of Security Agencies to counter prevailing and emerging threats.</t>
  </si>
  <si>
    <t>Productive activities of the UPDF enhanced (NEC and UACC)</t>
  </si>
  <si>
    <t>Amount spent on production Capitalisation of NEC</t>
  </si>
  <si>
    <t xml:space="preserve">Support MoDVA production activities </t>
  </si>
  <si>
    <t xml:space="preserve">Total tonnage worked on per year </t>
  </si>
  <si>
    <t>Support UACC to achieve on its  mandate</t>
  </si>
  <si>
    <t>Increased production on prisons production enterprises</t>
  </si>
  <si>
    <t>Non Tax Revenue  generated from prisons production enterprises</t>
  </si>
  <si>
    <t>7,000 acres</t>
  </si>
  <si>
    <t>8,000 acres</t>
  </si>
  <si>
    <t>8, 000 acres</t>
  </si>
  <si>
    <t>Establishment of complete production systems for cotton production and processing</t>
  </si>
  <si>
    <t>1,200 acres</t>
  </si>
  <si>
    <t>1,500 acres</t>
  </si>
  <si>
    <t>2,000 acres</t>
  </si>
  <si>
    <t>1,000 acres</t>
  </si>
  <si>
    <t>Establishment of complete production systems for seed production, processing and distribution</t>
  </si>
  <si>
    <t>11,000 acres</t>
  </si>
  <si>
    <t>12,000 acres</t>
  </si>
  <si>
    <t>10,000 acres</t>
  </si>
  <si>
    <t>Food production to reduce tax payers’ burden of looking after offenders in custody</t>
  </si>
  <si>
    <t>Support to revitalization of prisons industries</t>
  </si>
  <si>
    <t>Percentage of retirees mobilized and skilled</t>
  </si>
  <si>
    <t>Mobilize and  prepare   for retirement</t>
  </si>
  <si>
    <t>% of retirees integrated in productive activities.</t>
  </si>
  <si>
    <t>Empower security retirees with vocational skills for self-reliance</t>
  </si>
  <si>
    <t>Number of Military veterans Associations/SACCOs supported on financial literacy</t>
  </si>
  <si>
    <t>Empower Military Veterans with revolving capital, startup kit and skills for self-reliance to increase income at household levels.</t>
  </si>
  <si>
    <t>National Veterans’ Association established</t>
  </si>
  <si>
    <t>Establish a national veteran’s association, establishment of a comprehensive veteran data base, provision of IT services, legal support services and Monitoring and evaluation of District level SACCOs/Associations</t>
  </si>
  <si>
    <t xml:space="preserve">Number of Pensions, gratuity and backlog cases cleared. </t>
  </si>
  <si>
    <t xml:space="preserve">Verify pensions and gratuity backlog cases </t>
  </si>
  <si>
    <t>Amount of money required to pay the pensions and gratuity backlog cases, %</t>
  </si>
  <si>
    <t xml:space="preserve">Clear Pensions, gratuity and survivors benefits backlog </t>
  </si>
  <si>
    <t>Increased R&amp;D to enhance operations</t>
  </si>
  <si>
    <t>No. of systems and tools developed</t>
  </si>
  <si>
    <t>Develop systems &amp; Tools from R&amp;D</t>
  </si>
  <si>
    <t>Annual expenditure on R&amp;D</t>
  </si>
  <si>
    <t>Provide and increase R&amp;D activities and innovations</t>
  </si>
  <si>
    <t>Increase budget allocation for R&amp;D For DGAL</t>
  </si>
  <si>
    <t>Work together with OECD, ATAF, EARA, TIWB, FIA, CID, Police, and IALEIA etc. to combat tax crime, financial crime, cybercrime, and crypto currency threats.</t>
  </si>
  <si>
    <t xml:space="preserve">FIA </t>
  </si>
  <si>
    <t>Carry out research to establish emerging trends of Tax fraud , abusive tax schemes , tax scams, money laundering , financial crime , cybercrime etc.</t>
  </si>
  <si>
    <t>Percentage increase in prototype development and innovation</t>
  </si>
  <si>
    <t xml:space="preserve">DGAL Prototype development and innovation </t>
  </si>
  <si>
    <t>R &amp; D agenda institutionalized for DGAL</t>
  </si>
  <si>
    <t>R &amp; D plan to guide, direct and streamline the priorities for R &amp; D; Committee, Division and actual R&amp;D undertakings.</t>
  </si>
  <si>
    <t>No. of Research  Innovations developed DGAL</t>
  </si>
  <si>
    <t>Develop a Research and Development Agenda for DGAL to systematize, direct and nurture the R&amp;D potential and efforts of the Directorate, including actual R&amp;D concept notes, proposals and undertakings.</t>
  </si>
  <si>
    <t>RDI Institutional structure developed and in place</t>
  </si>
  <si>
    <t>Develop an RDI institutional structure – designate a Focal Person or R&amp;D Committee to take charge of R&amp;D and to harness the Directorate’s R&amp;D Agenda.</t>
  </si>
  <si>
    <t>Number of R&amp;D profiled, documented and disseminated</t>
  </si>
  <si>
    <t>Strengthen the documentation, profiling and dissemination of the previous and current R&amp;D undertakings for appropriate knowledge management and sharing.</t>
  </si>
  <si>
    <t>No. of laboratory testing equipment  that aids research in forensic analysis serviced</t>
  </si>
  <si>
    <t>Servicing of Laboratory testing equipment that aids research in forensic analysis</t>
  </si>
  <si>
    <t>FIA typology studies/risk assessment undertaken to identify trends and methods of Money laundering and Terrorism financing</t>
  </si>
  <si>
    <t>Number of studies under taken per year and results disseminated to stakeholders</t>
  </si>
  <si>
    <t>Identify sectors that expose the country to threats of financial crimes and undertake typology studies and risk assessments.</t>
  </si>
  <si>
    <t>161102n</t>
  </si>
  <si>
    <t>Develop a Research and Development Agenda and conduct prisons research studies</t>
  </si>
  <si>
    <t>Research and Development Agenda developed</t>
  </si>
  <si>
    <t>Prisons Research Studies conducted</t>
  </si>
  <si>
    <t xml:space="preserve">Develop a Research and Development Agenda and conduct prisons research studies </t>
  </si>
  <si>
    <t>No. of Research studies conducted</t>
  </si>
  <si>
    <t>Undertake research into better approaches to forensic cyber policing</t>
  </si>
  <si>
    <t>161116</t>
  </si>
  <si>
    <t>Establish and operationalize a National Service Program</t>
  </si>
  <si>
    <t xml:space="preserve">National service program established </t>
  </si>
  <si>
    <t>National service programme designed and operationalized</t>
  </si>
  <si>
    <t xml:space="preserve">Fast track an implementation plan for the National Service programme </t>
  </si>
  <si>
    <t>National service program operationalized.</t>
  </si>
  <si>
    <t xml:space="preserve">Enrolment in the National service </t>
  </si>
  <si>
    <t>Roll out the curriculum for national service</t>
  </si>
  <si>
    <t>National service program established and operationalized.</t>
  </si>
  <si>
    <t>Proportion  of URA staff participating in the National service college</t>
  </si>
  <si>
    <t xml:space="preserve">URA </t>
  </si>
  <si>
    <t>Send URA staff to the National service college</t>
  </si>
  <si>
    <t>No. of training institutions conducting the National service program</t>
  </si>
  <si>
    <t>Incorporate the national service program in training syllabus for all institutions</t>
  </si>
  <si>
    <t>161102o</t>
  </si>
  <si>
    <t>Establishment of security monitoring systems</t>
  </si>
  <si>
    <t>Strengthened security monitoring systems</t>
  </si>
  <si>
    <t>Number of prions with Electronic offender monitoring systems</t>
  </si>
  <si>
    <t>Install Electronic Security monitoring systems in prisons</t>
  </si>
  <si>
    <t>Percentage of ICT Equipment acquired</t>
  </si>
  <si>
    <t>Acquisition of assorted ICT Equipment - Lots</t>
  </si>
  <si>
    <t>No of prisons with complete information systems</t>
  </si>
  <si>
    <t>Development and installation of Management Information Systems across all prisons countrywide and staff capacity building</t>
  </si>
  <si>
    <t>161117</t>
  </si>
  <si>
    <t>Strengthen identification and registration of persons’ services</t>
  </si>
  <si>
    <t>Citizens in the National Identification Register</t>
  </si>
  <si>
    <t>% of Citizens identified, registered and assigned NINs</t>
  </si>
  <si>
    <t xml:space="preserve">NIRA </t>
  </si>
  <si>
    <t>Identify, register and assign NINs to all citizens into the National Identification Register</t>
  </si>
  <si>
    <t>% of Citizens identified
% of citizens registered and assigned NINS</t>
  </si>
  <si>
    <t>Review the NIRA structure upto the subcounty level</t>
  </si>
  <si>
    <t xml:space="preserve">Fully populate the existing NIRA structure </t>
  </si>
  <si>
    <t>Strengthen partnership between NIRA , MoH and MoLGs</t>
  </si>
  <si>
    <t xml:space="preserve">Equip all registration centres with Functional equipment </t>
  </si>
  <si>
    <t>Decentralize registration services to sub-national levels.</t>
  </si>
  <si>
    <t xml:space="preserve">Legally resident Aliens registered in the country </t>
  </si>
  <si>
    <t xml:space="preserve">% of eligible Aliens registered in the country </t>
  </si>
  <si>
    <t>Registration of legally resident aliens</t>
  </si>
  <si>
    <t xml:space="preserve">Legally resident Aliens issued with Alien ID Cards in the country </t>
  </si>
  <si>
    <t>% of eligible Aliens issued with Alien ID cards</t>
  </si>
  <si>
    <t>Issuance of Alien ID cards</t>
  </si>
  <si>
    <t>Eligible Citizens issued with National IDs</t>
  </si>
  <si>
    <t xml:space="preserve">% of eligible citizens issued with National IDs </t>
  </si>
  <si>
    <t xml:space="preserve">Issuance of National IDs Cards to eligible citizens </t>
  </si>
  <si>
    <t>Births registered</t>
  </si>
  <si>
    <t>Number of births registered in the year of occurence</t>
  </si>
  <si>
    <t>Births certified</t>
  </si>
  <si>
    <t>Number of births certified</t>
  </si>
  <si>
    <t>Issuance  of birth certificates</t>
  </si>
  <si>
    <t xml:space="preserve">Fully populate the NIRA structure </t>
  </si>
  <si>
    <t>Strengthen partnership between NIRA, MoLGs and MoH</t>
  </si>
  <si>
    <t>Deaths registered</t>
  </si>
  <si>
    <t xml:space="preserve">Number of deaths registered </t>
  </si>
  <si>
    <t>Deaths certified</t>
  </si>
  <si>
    <t>Number of deaths certified</t>
  </si>
  <si>
    <t>Issuance of death certificates</t>
  </si>
  <si>
    <t>Number of deaths registered</t>
  </si>
  <si>
    <t>Clean the NIR of the dead persons</t>
  </si>
  <si>
    <t>First generation National IDs renewed</t>
  </si>
  <si>
    <t>Number of National IDs renewed</t>
  </si>
  <si>
    <t>Procure and install the Identification and Registration system</t>
  </si>
  <si>
    <t xml:space="preserve">Procure registration KITs per parish </t>
  </si>
  <si>
    <t>Mass renewal of all first generation IDs</t>
  </si>
  <si>
    <t>Strengthen Institutional Capacity of NIRA to deliver Identification Service</t>
  </si>
  <si>
    <t xml:space="preserve">Number of systems integrated </t>
  </si>
  <si>
    <t>Integrate BDR and NID System</t>
  </si>
  <si>
    <t xml:space="preserve">National ID Card with enhanced features developed </t>
  </si>
  <si>
    <t xml:space="preserve">New National IDs enhanced </t>
  </si>
  <si>
    <t>Upgrade the National ID Card</t>
  </si>
  <si>
    <t>% increase in tax register</t>
  </si>
  <si>
    <t>Carry on the Tax Payer Registration Expansion Project (TREP), collection of 3rd party information, Standardization of data, Single National Identifier</t>
  </si>
  <si>
    <t xml:space="preserve">Citizens issued passports </t>
  </si>
  <si>
    <t>Annual number of citizens issued with passports</t>
  </si>
  <si>
    <t xml:space="preserve">Stock passport booklets and accessories </t>
  </si>
  <si>
    <t xml:space="preserve">E-passport system upgraded </t>
  </si>
  <si>
    <t>E-passport system capable of issuing other travel documents</t>
  </si>
  <si>
    <t>Upgrade e-passport system</t>
  </si>
  <si>
    <t xml:space="preserve">E-passport system decentralised </t>
  </si>
  <si>
    <t>Number of new immigration service points with e-passport system</t>
  </si>
  <si>
    <t xml:space="preserve">exrend e-passport enrollment centres to regional offices and missions abroad </t>
  </si>
  <si>
    <t>Aliens issued migration facilitates</t>
  </si>
  <si>
    <t>Proportion of application for migratrion facilities issued</t>
  </si>
  <si>
    <t>Maintain the e-immigration system and stock immigration saleable documents</t>
  </si>
  <si>
    <t>Persons under diaspora communities facilitated</t>
  </si>
  <si>
    <t>No. of Uganda Missions operationalised with e-passport services</t>
  </si>
  <si>
    <t>Provide the required immigration services to diaspora individuals</t>
  </si>
  <si>
    <t>Immigration diaspora services provided</t>
  </si>
  <si>
    <t xml:space="preserve">Number of missions established and operationalised with e-immigration system </t>
  </si>
  <si>
    <t>Provide immigration services to diaspora community</t>
  </si>
  <si>
    <t>Number of scanners procured</t>
  </si>
  <si>
    <t>Procure scanners.</t>
  </si>
  <si>
    <t>Border security strengthened</t>
  </si>
  <si>
    <t xml:space="preserve">Number of  border points covered </t>
  </si>
  <si>
    <t xml:space="preserve">Coverage of Border points </t>
  </si>
  <si>
    <t>% of  deployment at border points</t>
  </si>
  <si>
    <t>Deploy officers at border points</t>
  </si>
  <si>
    <t xml:space="preserve">Regional peace and security initiatives coordinated </t>
  </si>
  <si>
    <t>proportion of regional peace and security initiatives coordinated</t>
  </si>
  <si>
    <t xml:space="preserve">1) Host and/participate in summit &amp; ministerial meetings
2) Host and/participate in command post exercises &amp; training exercises for peace &amp; security
3) Participate in border community peace &amp; security cluster meetings
4) Participate in policy organs
</t>
  </si>
  <si>
    <t xml:space="preserve">Cross Border declaration of cash and bearer negotiable instruments strengthened  </t>
  </si>
  <si>
    <t>Proportion of travelers declaring cash and bearer negotiable instruments  analysed</t>
  </si>
  <si>
    <t>Coordinate with other security agencies at border points to enforce declaration of cash and bearer negotiable instruments</t>
  </si>
  <si>
    <t xml:space="preserve">Uganda's Border Points re-affired and demacated </t>
  </si>
  <si>
    <t xml:space="preserve">Number of cross border meetings undertaken </t>
  </si>
  <si>
    <t>Coordinate cross border meetings with neighbouring countries</t>
  </si>
  <si>
    <t xml:space="preserve">Number of border points inspected </t>
  </si>
  <si>
    <t xml:space="preserve">Coordinate inspection of border points by all stakeholders </t>
  </si>
  <si>
    <t xml:space="preserve">Percentage of Uganda's borders demacated </t>
  </si>
  <si>
    <t>Coordinate the demacation of Uganda's border points</t>
  </si>
  <si>
    <t>Cross border conflicts resolved</t>
  </si>
  <si>
    <t>Number of cross border conflicts resolved</t>
  </si>
  <si>
    <t xml:space="preserve">Hold cross border meetings and Joint Commissioners meetings </t>
  </si>
  <si>
    <t>Immigration Border services automated</t>
  </si>
  <si>
    <t>percentage of gazetted immigration border posts automated</t>
  </si>
  <si>
    <t>Equip all 53 border posts with e-immigation system to facilitate full automatio and enhanced  traveller clearance and verifications</t>
  </si>
  <si>
    <t>procurement of e-consumables , AFIS licenses, operation and maintenance service</t>
  </si>
  <si>
    <t>Border patrols and surveillance enhanced</t>
  </si>
  <si>
    <t>Number of  Vehicles procured</t>
  </si>
  <si>
    <t>Procurement of fit-for-purpose vehicles for border patrol</t>
  </si>
  <si>
    <t xml:space="preserve">Number of border posts with document examination laboratory </t>
  </si>
  <si>
    <t>Establish fully functional document laboratories at selected border posts</t>
  </si>
  <si>
    <t>Compliance to immigration laws enhanced</t>
  </si>
  <si>
    <t>Level of compliance to immigration laws</t>
  </si>
  <si>
    <t>Manage immigration custody facilities</t>
  </si>
  <si>
    <t>Provide legal advisory on immigration services</t>
  </si>
  <si>
    <t>Carry out enforcements and investigations for compliance</t>
  </si>
  <si>
    <t>Conduct prosecution of offenders of  immigration laws, policies and regulations</t>
  </si>
  <si>
    <t>Immigration services decentralised</t>
  </si>
  <si>
    <t>Number of Uganda Missions with e-immigration system</t>
  </si>
  <si>
    <t>Equip 19 missions abroad with e-immigration system for personalisation of immigration facilities</t>
  </si>
  <si>
    <t>Border control and security strengthened</t>
  </si>
  <si>
    <t>Proportion of boorders surveilled</t>
  </si>
  <si>
    <t>Conduct regular patrols at all gazetted border posts and illegal entry routes</t>
  </si>
  <si>
    <t>Number of new biometric enrollment equipment procured</t>
  </si>
  <si>
    <t>Replace old personalisation equipment for e-immigration system</t>
  </si>
  <si>
    <t>Registration and certification of refugees enhanced</t>
  </si>
  <si>
    <t>Register births in refugee camps</t>
  </si>
  <si>
    <t>Register deaths in refugee camps</t>
  </si>
  <si>
    <t>Refugees movements facilitated</t>
  </si>
  <si>
    <t>Number of refugees issued with travel documents</t>
  </si>
  <si>
    <t>Provide conventional travel documents to resident refugees</t>
  </si>
  <si>
    <t>Refugee, migration, Registration services and identification of persons security measures strengthened</t>
  </si>
  <si>
    <t>Proportion of deployment (%)</t>
  </si>
  <si>
    <t>Enhance coverage for refugee Camps, Immigration, registration services and persons</t>
  </si>
  <si>
    <t>National Migration Policy developed</t>
  </si>
  <si>
    <t>Approved National Migration Policy in place</t>
  </si>
  <si>
    <t>Undertake consultations and develop a comprehensive National Migration Policy</t>
  </si>
  <si>
    <t>Coordination office of Prevention in trafficking in persons(PTIP)  strengthened</t>
  </si>
  <si>
    <t>Reviewed structure in place</t>
  </si>
  <si>
    <t>Restructure of the Coordination of PTIP unit, recruit staff  and equip and facilitate coordination activities</t>
  </si>
  <si>
    <t>Victims of human trafficking supported</t>
  </si>
  <si>
    <t>Number of victims of human trafficking supported</t>
  </si>
  <si>
    <t>Provide temporary shelter, medication , among others</t>
  </si>
  <si>
    <t>Awareness on trafficking in persons created</t>
  </si>
  <si>
    <t>Number of national awareness campaigns conducted.</t>
  </si>
  <si>
    <t>Conducting radio/TV talk shows, print media, awareness weeks</t>
  </si>
  <si>
    <t>A data collection &amp; information management system on TIP established and maintained</t>
  </si>
  <si>
    <t>A system in place</t>
  </si>
  <si>
    <t>Procuring a consultant to develop a data management system, facilitate continuous data collection and analysis</t>
  </si>
  <si>
    <t>Exported labour force monitoring strenthened.</t>
  </si>
  <si>
    <t>level of coordination in monitoring exported labour force.</t>
  </si>
  <si>
    <t>Low</t>
  </si>
  <si>
    <t>Medium</t>
  </si>
  <si>
    <t>High</t>
  </si>
  <si>
    <t>HIgh</t>
  </si>
  <si>
    <t>Monitor the activities of exported labout force</t>
  </si>
  <si>
    <t>ODPP staff Equipped with skills in prevention of human trafficking.</t>
  </si>
  <si>
    <t xml:space="preserve">No. of ODPP staff equipped with skills in prevention of human trafficking </t>
  </si>
  <si>
    <t>Training ODPP in handling human trafficking crimes</t>
  </si>
  <si>
    <t>ODPP staff Equipped with special office equipment (e.g. computers, printers, Photocopiers, etc.) to handle human trafficking</t>
  </si>
  <si>
    <t>No. of ODPP offices equipped with special office equipment to handle human trafficking cases</t>
  </si>
  <si>
    <t>Equipping ODPP offices with special office equipment to handle human trafficking cases</t>
  </si>
  <si>
    <t xml:space="preserve">Human Trafficking crimes prosecuted </t>
  </si>
  <si>
    <t>Proportion of ODPP offices equipped with special office equipment to handle human trafficking cases</t>
  </si>
  <si>
    <t>Equip ODPP offices with office equipment to handle prosecution of human Trafficking crimes</t>
  </si>
  <si>
    <t>Inter-agency coordination for investigations and prosecutions of human trafficking cases</t>
  </si>
  <si>
    <t>No. of coordination meetings held</t>
  </si>
  <si>
    <t>Hold coordination and case management meetings in handling human trafficking cases</t>
  </si>
  <si>
    <t>Consular services provided to Ugandans both at home and abroad</t>
  </si>
  <si>
    <t>Number of Ugandans at home and abroad provided wth consular assistance and protection</t>
  </si>
  <si>
    <t>Provide consular assistance and protection both at home and abroad</t>
  </si>
  <si>
    <t>Number of Ugandans facilitated to return home</t>
  </si>
  <si>
    <t>Faclitate distressed Ugandans to return back home</t>
  </si>
  <si>
    <t>Number of cases of deceased Ugandans repatriated</t>
  </si>
  <si>
    <t>repatriate deceased Ugandans back home</t>
  </si>
  <si>
    <t>Number ofcomplaints raised by Ugandans against Resident Foreign Missions arbitrated</t>
  </si>
  <si>
    <t>Arbitrate complaints raised by Ugandans against Resident Foreign Missions</t>
  </si>
  <si>
    <t>Number of Documents certified for foreign use</t>
  </si>
  <si>
    <t>Certify documents for Foreign Use</t>
  </si>
  <si>
    <t xml:space="preserve">Number of government officials failitated to obtain travel visas </t>
  </si>
  <si>
    <t>Facilitate government officials to obtain travel vias</t>
  </si>
  <si>
    <t>Joint Anti-terrorism Task Force (JATT) coordinated</t>
  </si>
  <si>
    <t>% of counter terrorism activities managed</t>
  </si>
  <si>
    <t>Meetings, training, operations, Reports.</t>
  </si>
  <si>
    <t>Level of coordination in countering terrorism</t>
  </si>
  <si>
    <t>Meetings, trainings, Reports.</t>
  </si>
  <si>
    <t>ODPP staff Equipped in prosecuting terrorism cases</t>
  </si>
  <si>
    <t>No. of ODPP staff equipped with skills in prosecuting terrorism crimes.</t>
  </si>
  <si>
    <t>Equip ODPP with skills  in handling terrorism crimes</t>
  </si>
  <si>
    <t>ODPP staff Equipped with special office equipment (e.g. computers, printers, Photocopiers, etc.) to handle terrorism crimes cases</t>
  </si>
  <si>
    <t>Number of staff equipped with special office equipment to handle terrorism crime cases.</t>
  </si>
  <si>
    <t>Equip ODPP with tools to handle terrorism crime cases</t>
  </si>
  <si>
    <t>Security assesments of vital Government &amp; private installations conducted</t>
  </si>
  <si>
    <t>No. of security assesements conducted</t>
  </si>
  <si>
    <t>Conduct security assesements</t>
  </si>
  <si>
    <t>Security Inspection of vital Government &amp; private installations conducted</t>
  </si>
  <si>
    <t>No. of security inspections conducted</t>
  </si>
  <si>
    <t>Conduct security inspections</t>
  </si>
  <si>
    <t xml:space="preserve">Implementation of the National Strategy for Preventing and Countering ViolentExtremism(PCVE) coordinated  </t>
  </si>
  <si>
    <t xml:space="preserve">Proportion of PCVE measures implemented  </t>
  </si>
  <si>
    <t>Establish and sustain a coorinating mechanism for PCVE</t>
  </si>
  <si>
    <t xml:space="preserve">Terrorism financing cases identified and reported to counter terrorism Agencies </t>
  </si>
  <si>
    <t>Number terrorism financing cases identified and reported to law enforcement</t>
  </si>
  <si>
    <t xml:space="preserve">Implement robust systems to identify and prevent financing of terrorism in our economy </t>
  </si>
  <si>
    <t>Communications Centers with modern situation room established</t>
  </si>
  <si>
    <t>No of modern situation rooms and centers established</t>
  </si>
  <si>
    <t>Establish and operationalize situation rooms (Acquiring equipment, recruiting data analysts, preparing conflict early warning reports)</t>
  </si>
  <si>
    <t>Districts peace committees established</t>
  </si>
  <si>
    <t>Number of district peace committees established</t>
  </si>
  <si>
    <t>Establish, train, and revive committees</t>
  </si>
  <si>
    <t>Conflict Early warning and early response (CEWER) Unit strengthened</t>
  </si>
  <si>
    <t>Restructure of the CEWER unit, recruit staff  and equip</t>
  </si>
  <si>
    <t xml:space="preserve">Conflict prevention and early warning mechanisms publicized </t>
  </si>
  <si>
    <t>Number of national awareness campaigns conducted</t>
  </si>
  <si>
    <t>Conducting radio/tv talk shows, print media, awareness weeks &amp; sharing reports</t>
  </si>
  <si>
    <t>Communications Centers with modern situation rooms</t>
  </si>
  <si>
    <t>Establish and operationalize modern situation rooms and centers</t>
  </si>
  <si>
    <t>Office accomodation for RDCs constructed</t>
  </si>
  <si>
    <t>Number of offcies constructed</t>
  </si>
  <si>
    <t>Construct office accomodation for RDCs</t>
  </si>
  <si>
    <t>Number of District Security Meetings held</t>
  </si>
  <si>
    <t>Hold monthly security meetings</t>
  </si>
  <si>
    <t>Sensetise local communities</t>
  </si>
  <si>
    <t>Security guidelines developed</t>
  </si>
  <si>
    <t xml:space="preserve">Number of guidelines developed </t>
  </si>
  <si>
    <t>Issue guidelines</t>
  </si>
  <si>
    <t xml:space="preserve">Security agencies coordinated and reports provided </t>
  </si>
  <si>
    <t>Number of security agencies coordinated</t>
  </si>
  <si>
    <t xml:space="preserve">Coordinate security agencies </t>
  </si>
  <si>
    <t>Transnational organized crime countered</t>
  </si>
  <si>
    <t>Level of reduction in trans-national organized crime.</t>
  </si>
  <si>
    <t>Enhancing ESO staff with skills in handling of Trans-national organized crime</t>
  </si>
  <si>
    <t>Witness protection Legislation enacted</t>
  </si>
  <si>
    <t>Witness Protection Law</t>
  </si>
  <si>
    <t>Conduct the RIA, submit the Bill for approval</t>
  </si>
  <si>
    <t>New SALW Law enacted &amp; implemented</t>
  </si>
  <si>
    <t>SALW Law in place</t>
  </si>
  <si>
    <t>Consultations, Approval,Implementation of the SALW Act</t>
  </si>
  <si>
    <t>Awareness created on the dangers of proliferation of illicit SALW</t>
  </si>
  <si>
    <t>No. of national awareness campaigns conducted</t>
  </si>
  <si>
    <t>Conducting radio/TV talk shows, print media, awareness weeks &amp; sharing reports</t>
  </si>
  <si>
    <t>District taskforces/committees established</t>
  </si>
  <si>
    <t>Number of district taskforces/ committees established</t>
  </si>
  <si>
    <t>Establish, train, revive taskforce/committees, meetings</t>
  </si>
  <si>
    <t>Armouries inspected</t>
  </si>
  <si>
    <t>Number of armoury inspections conducted</t>
  </si>
  <si>
    <t>Conduct Field visits, identufy UXOs and obsolete fire arms</t>
  </si>
  <si>
    <t>Security officers trained in Armoury management</t>
  </si>
  <si>
    <t>No. of officers trained in Armory management</t>
  </si>
  <si>
    <t>Conduct trainings</t>
  </si>
  <si>
    <t>Participation of the security forces in regional and international frameworks coordinated</t>
  </si>
  <si>
    <t>Number of meetings coordinated</t>
  </si>
  <si>
    <t>Participate in regional ad international frameworks aimed at controlingand management of small arms and light weapons</t>
  </si>
  <si>
    <t>161118</t>
  </si>
  <si>
    <t xml:space="preserve">Strengthen the capacity to register, monitor, inspect, coordinate and regulate the NGOs </t>
  </si>
  <si>
    <t>Registration process automated</t>
  </si>
  <si>
    <t>Automated NGO registration system in place</t>
  </si>
  <si>
    <t>Developing NGO mobile app and USSD enabled app, integrate cashless payment models, GIS countrywide NGO  mapping and maintenance of the system</t>
  </si>
  <si>
    <t>District NGO monitoring committees (DNMCs) established</t>
  </si>
  <si>
    <t>No. of  DNMCs established</t>
  </si>
  <si>
    <t>Establish, train, revive committees, meetings</t>
  </si>
  <si>
    <t>Sub county NGO monitoring committees (SNMCs) established</t>
  </si>
  <si>
    <t>No. of SNMCs established</t>
  </si>
  <si>
    <t>NGO Bureau regional offices established</t>
  </si>
  <si>
    <t>No. of Bureau regional offices established</t>
  </si>
  <si>
    <t>Procuring office space and fixtures and fittings and staffing</t>
  </si>
  <si>
    <t>NGOs inspected</t>
  </si>
  <si>
    <t>No. of NGOs inspected</t>
  </si>
  <si>
    <t>Conducting field visits and in-depth investigation on the NGOs</t>
  </si>
  <si>
    <t>NGO Regulatory framework disseminated</t>
  </si>
  <si>
    <t>No of regions to which regulatory framework is disseminated</t>
  </si>
  <si>
    <t>Hold dissemination workshops and meetings</t>
  </si>
  <si>
    <t xml:space="preserve">NGO Policy 2010 reviewed </t>
  </si>
  <si>
    <t>Reviewed Policy in place</t>
  </si>
  <si>
    <t>Consultations, regulatory impact assessments (RIA)</t>
  </si>
  <si>
    <t xml:space="preserve">NGO Act, 2016 reviewed </t>
  </si>
  <si>
    <t>Reviewed  Act in place</t>
  </si>
  <si>
    <t xml:space="preserve">NGO Bureau approved staff structure populated </t>
  </si>
  <si>
    <t xml:space="preserve">Percentage of filled positions </t>
  </si>
  <si>
    <t>Recruitment and training of the staff</t>
  </si>
  <si>
    <t xml:space="preserve"> -   </t>
  </si>
  <si>
    <t>NGO adjudication committee established</t>
  </si>
  <si>
    <t>NGO Adjudication committee in place</t>
  </si>
  <si>
    <t>Consultations, meetings and facilitation of the committee</t>
  </si>
  <si>
    <t>Coordination arrangements for NGOs and partners formulated and implemented</t>
  </si>
  <si>
    <t>No of NGO dialogues held</t>
  </si>
  <si>
    <t>Dialogue workshops and meetings held</t>
  </si>
  <si>
    <t>Explosives Act 1936 reviewed/amended and implemented</t>
  </si>
  <si>
    <t>A new Explosives Act in place</t>
  </si>
  <si>
    <t>Law enacted</t>
  </si>
  <si>
    <t>Implementation of the Act</t>
  </si>
  <si>
    <t>Consultations , drafting ,approval and implementation</t>
  </si>
  <si>
    <t>Magazine for storage of explosives in the central region constructed</t>
  </si>
  <si>
    <t>% completion</t>
  </si>
  <si>
    <t>Aquire land, develop building designs and construct the magazine</t>
  </si>
  <si>
    <t>Permits and licenses issued</t>
  </si>
  <si>
    <t>Turnaround time (days)</t>
  </si>
  <si>
    <t>procure license books, carry out due diligence on applicants for permits and licenses</t>
  </si>
  <si>
    <t>162201b</t>
  </si>
  <si>
    <t>Increase participation of the population (including vulnerable persons) in civic activities</t>
  </si>
  <si>
    <t>162201b01</t>
  </si>
  <si>
    <t>Effective and comprehensive Voter Education  conducted</t>
  </si>
  <si>
    <t>Number of stakeholder consultations and outreaches conducted</t>
  </si>
  <si>
    <t>EC</t>
  </si>
  <si>
    <t xml:space="preserve">Conduct voter Education consultations and outreaches through institutions, organizations, national events, roadshows, mobile vans, </t>
  </si>
  <si>
    <t>102 Electoral Commission</t>
  </si>
  <si>
    <t>Number of talkshows, spot messages and jingles conducted</t>
  </si>
  <si>
    <t>Conduct sensitization  through electronic media and billboards, Commission hour on regional televisions</t>
  </si>
  <si>
    <t>Number of stakeholders reached throgh social media (SMS, Twitter, facebook, whatsapp, Instagram, etc) in million</t>
  </si>
  <si>
    <t>Disseminate information through social media platforms</t>
  </si>
  <si>
    <t>Numbers of media talk shows conducted</t>
  </si>
  <si>
    <t>Conduct Voter education radio and TV talk shows</t>
  </si>
  <si>
    <t>Number of Voter Educators deployed</t>
  </si>
  <si>
    <t>Recruit and deploy Parish Voter Educators</t>
  </si>
  <si>
    <t>Number of Voter Education equipment deployed</t>
  </si>
  <si>
    <t>Procure and deploy voter education equipment/ facilities (mega phones, etc)</t>
  </si>
  <si>
    <t>Number of Voter IEC materials (disaggregated as T-shirts,  umbrellas , reflector jackets  , posters, etc ) disseminated</t>
  </si>
  <si>
    <t xml:space="preserve">Produce and disseminate voter eduction IEC materials, popular celebrities, </t>
  </si>
  <si>
    <t>Number of sensitization workshops conducted</t>
  </si>
  <si>
    <t>Conduct sensitization workshops</t>
  </si>
  <si>
    <t>Proportion of the public aware of the electoral processes (disaggregated by gender, Special Interst Groups, etc.)</t>
  </si>
  <si>
    <t>Sensitization  through electronic media, road shows, drama competitions and institutions</t>
  </si>
  <si>
    <t>162201b02</t>
  </si>
  <si>
    <t>Effective publicity of electoral activitis conducted</t>
  </si>
  <si>
    <t>Number of branded items distributed</t>
  </si>
  <si>
    <t>Production of corporate wear and branded items (shirts, caps, pens, souvenirs, etc)</t>
  </si>
  <si>
    <t>Status of the implementation of the General Elections Roadmap</t>
  </si>
  <si>
    <t>Conduct national event to launch the 2025/2026 General Elections Roadmap</t>
  </si>
  <si>
    <t xml:space="preserve">conduct Publicity talkshows </t>
  </si>
  <si>
    <t>Number of print media distributed</t>
  </si>
  <si>
    <t xml:space="preserve"> Publicise Electoral activites  through print media (News papers and magazines)</t>
  </si>
  <si>
    <t>Number of stakeholders reached through social media  engagement (million)</t>
  </si>
  <si>
    <t xml:space="preserve">carry out stakeholder engagement through social media  </t>
  </si>
  <si>
    <t>Number of media personnel trained on basic election reporting skills</t>
  </si>
  <si>
    <t>Train media personnel on basic election reporting skills</t>
  </si>
  <si>
    <t>Number of media workshops conducted</t>
  </si>
  <si>
    <t>Conduct media workshops</t>
  </si>
  <si>
    <t>162201b03</t>
  </si>
  <si>
    <t>Credible, acurate and accessible Voter Registers produced</t>
  </si>
  <si>
    <t>Proportion  of eligible voters on the National Voters Register (disaggregated by gender, Special Interst Groups, diaspora, detention, etc.)</t>
  </si>
  <si>
    <t xml:space="preserve">Demarcate electoral areas and reorganise polling stations </t>
  </si>
  <si>
    <t>NIRA, MoLGSD</t>
  </si>
  <si>
    <t>Status of Registers for Special interest Groups (Youth, Older Persons, PWDs and Workers)</t>
  </si>
  <si>
    <t xml:space="preserve">Compile, verify update and display Voter Registers  </t>
  </si>
  <si>
    <t>Number of voter location slips issued ( million)</t>
  </si>
  <si>
    <t>Production of Voter Location Slips</t>
  </si>
  <si>
    <t>162201b04</t>
  </si>
  <si>
    <t>Free, fair and transparent elections conducted</t>
  </si>
  <si>
    <t>Number of supervisors deployed</t>
  </si>
  <si>
    <t>Recruitment and deployment of sub county and parish supervisors and specialized training</t>
  </si>
  <si>
    <t>Number of election observers accredited</t>
  </si>
  <si>
    <t>Carry out accreditation of election observers</t>
  </si>
  <si>
    <t>Number of nominated candidates</t>
  </si>
  <si>
    <t>Carry out nomination of Candidates</t>
  </si>
  <si>
    <t>status of capaign programme</t>
  </si>
  <si>
    <t>Supervise and coordinate campaign programmes</t>
  </si>
  <si>
    <t xml:space="preserve">Number of polling day officials trained </t>
  </si>
  <si>
    <t xml:space="preserve">Carry out training of election officials  (update, display, polling, tallying) </t>
  </si>
  <si>
    <t>Number training materials procured</t>
  </si>
  <si>
    <t>Procure training materials</t>
  </si>
  <si>
    <t>Number of polling forms printed</t>
  </si>
  <si>
    <t>Print Polling Forms</t>
  </si>
  <si>
    <t>Number of ballot papers and declaration of results forms printed ( million)</t>
  </si>
  <si>
    <t xml:space="preserve">Print Ballot Papers and Declarartion of Results forms </t>
  </si>
  <si>
    <t>Number of generic polling materials procured (in million)</t>
  </si>
  <si>
    <t xml:space="preserve">Procure Generic Polling materials </t>
  </si>
  <si>
    <t>Number of polling Kits dispatched</t>
  </si>
  <si>
    <t xml:space="preserve">Pack and dispatch Polling materials </t>
  </si>
  <si>
    <t>Voter turnout %</t>
  </si>
  <si>
    <t>Conduct and Supervise Polling day activities</t>
  </si>
  <si>
    <t>Number of polling day officials paid</t>
  </si>
  <si>
    <t xml:space="preserve">Remunerate Polling day officials </t>
  </si>
  <si>
    <t>Proportion of elective positions filled</t>
  </si>
  <si>
    <t xml:space="preserve">Disseminate Election results </t>
  </si>
  <si>
    <t>Number of gazette notices published</t>
  </si>
  <si>
    <t>Gazette Election events, date and results</t>
  </si>
  <si>
    <t>%ge of Election ressults upheld</t>
  </si>
  <si>
    <t>respond to and handling election petitions</t>
  </si>
  <si>
    <t>Proportion of Special Interest Groups (women, youth, PWDs, older Persons and workers) election positions filled</t>
  </si>
  <si>
    <t>Organise and conduct  elections of special interest groups (SIGs)  from village to national level</t>
  </si>
  <si>
    <t>Proportion of Election complaints resolved</t>
  </si>
  <si>
    <t>handle pre-polling and post-election complaints</t>
  </si>
  <si>
    <t>Proportion of Election materials procured, packed and delivered on time</t>
  </si>
  <si>
    <t>Timely procurement and  packing aof election materials, goods and services</t>
  </si>
  <si>
    <t>%ge of By-Elections conducted within stipulated time frame</t>
  </si>
  <si>
    <t>Organise and conduct by-elections as and when they occur</t>
  </si>
  <si>
    <t>Proportion of polling stations that received materials on time</t>
  </si>
  <si>
    <t>Timely delivery and retreival of  of polling materials and services and paymeny of polling official and polling day costs</t>
  </si>
  <si>
    <t>Number of Special Interest Groups elective positions filled</t>
  </si>
  <si>
    <t>Conduct elections for Special Interest Groups (Youth, PWDs, Older Persons, Workers) form village to national level</t>
  </si>
  <si>
    <t>Number of  elective positions filled</t>
  </si>
  <si>
    <t>Conduct Administrative Units (LC 1 &amp; II) Elections</t>
  </si>
  <si>
    <t>Conduct Women Councils/ Committees Elections from Village to National level</t>
  </si>
  <si>
    <t>162201b05</t>
  </si>
  <si>
    <t>Institutionally strengthened  Election Management Body (EMB)</t>
  </si>
  <si>
    <t>Porption of reports delivered within the statutory time frame</t>
  </si>
  <si>
    <t>Conduct election evaluation, general monitoring and evaluation activities</t>
  </si>
  <si>
    <t xml:space="preserve">proportion of purpose-built office and storage facilities </t>
  </si>
  <si>
    <t>Construct  headquarters, regional and district offices and storage facilities</t>
  </si>
  <si>
    <t>Number of transport equipment and machinery procured,mobilised  and hired</t>
  </si>
  <si>
    <t>Procure, mobilise and Hire Transport equipment/ machinery</t>
  </si>
  <si>
    <t>Proportion of Electoral Processes  fully automated</t>
  </si>
  <si>
    <t>Automated the electoral process (Biometric verification,  transmission), etc</t>
  </si>
  <si>
    <t xml:space="preserve">Percentage scores for mainstream and implement cross-cutting issues in elections </t>
  </si>
  <si>
    <t>Mainstream and implement Cross-cutting issues (Gender &amp; Equity,COVID-19, HIV/AIds,  Environment and climate change, Population and urbanization,  ICT, etc) in election planning and budgeting</t>
  </si>
  <si>
    <t>Institutionally strengthened and coordinated Election Management Body (EMB)</t>
  </si>
  <si>
    <t xml:space="preserve">Number of monitoring &amp; evaluation Reports analyzed and acted upon </t>
  </si>
  <si>
    <t>Carry out regular Monitoring and Evaluation</t>
  </si>
  <si>
    <t>162201b06</t>
  </si>
  <si>
    <t>Political Party/ Organizations  activities hamonised</t>
  </si>
  <si>
    <t>Number of National Consultative Forum resolutions forwarded to government for action</t>
  </si>
  <si>
    <t>Forward National Consultative Forum( NCF) resolutions to OPM</t>
  </si>
  <si>
    <t>Number of NCF plenary an committee meetings conducted</t>
  </si>
  <si>
    <t>Hold national consultative forum  (NCF) committtee and plenary meetings</t>
  </si>
  <si>
    <t>162201b07</t>
  </si>
  <si>
    <t>Transfers to Political Parties/ Organisations with representations in Parliament effected</t>
  </si>
  <si>
    <t>Number of disbursements to represented political Parties or Organisation in Parliament per annum</t>
  </si>
  <si>
    <t xml:space="preserve">Disburse funds to Political  Partues/ Organizations with representations in Parliament </t>
  </si>
  <si>
    <t>162201c</t>
  </si>
  <si>
    <t>162201c01</t>
  </si>
  <si>
    <t>Research and Development undertaken</t>
  </si>
  <si>
    <t xml:space="preserve"> The number of research initiatives achieved per annum</t>
  </si>
  <si>
    <t>Conduct  election research and policy development</t>
  </si>
  <si>
    <t>Institutional Coordinations</t>
  </si>
  <si>
    <t>162201c02</t>
  </si>
  <si>
    <t>Strong programme coordination, communication and cooperation</t>
  </si>
  <si>
    <t>Number of quarterly inter-sectors,  MDAs &amp; LG meeting resolution acted upon</t>
  </si>
  <si>
    <t>Holding quarterly meetings with sectors, MDA &amp; LG that impact on the work of EC (NIRA, MoLG, MoLGSD)</t>
  </si>
  <si>
    <t>162201c03</t>
  </si>
  <si>
    <t xml:space="preserve">Records management </t>
  </si>
  <si>
    <t>Proportion of  election document converted to digital format (Millions)</t>
  </si>
  <si>
    <t xml:space="preserve">Ensuring functional enterprise electronic document management system </t>
  </si>
  <si>
    <t>162201c04</t>
  </si>
  <si>
    <t>Planning and budgeting  reporting undertaken</t>
  </si>
  <si>
    <t>Proportion of Plans and budgets implemented on schedule</t>
  </si>
  <si>
    <t>Ensure EC Plans and budget are regularity updated</t>
  </si>
  <si>
    <t>162201c05</t>
  </si>
  <si>
    <t>M&amp;E undertaken</t>
  </si>
  <si>
    <t>Number M&amp;E Reports analyzed and acted upon</t>
  </si>
  <si>
    <t>Monitoring, review and evalaute every stage of the electoral process</t>
  </si>
  <si>
    <t>162201c06</t>
  </si>
  <si>
    <t>Internal audit undertaken</t>
  </si>
  <si>
    <t>Number of quarterly internal audit progress reports per annum prepared</t>
  </si>
  <si>
    <t>Carry out regular internal audit  of electoral process</t>
  </si>
  <si>
    <t>162201c07</t>
  </si>
  <si>
    <t>Human Resource management services provided</t>
  </si>
  <si>
    <t>Proportion of permanent staff who were provided with developmental training interventions per annum</t>
  </si>
  <si>
    <t xml:space="preserve">Recruit, train, deploy and pay  adequate staff </t>
  </si>
  <si>
    <t>162201c08</t>
  </si>
  <si>
    <t>Administrative and ICT support services enhanced</t>
  </si>
  <si>
    <t xml:space="preserve">Proportion of ICT upgrades of platforms and systems to be aligned with business needs and technological
developments 
</t>
  </si>
  <si>
    <t xml:space="preserve">Procurement of Specialised ICT Equipment/Materials plus administrative support services </t>
  </si>
  <si>
    <t>162201c09</t>
  </si>
  <si>
    <t>Management Information Systems developed/integrated</t>
  </si>
  <si>
    <t xml:space="preserve">Proportion of the Election Mangement Processes Integrated/Automated
developments 
</t>
  </si>
  <si>
    <t>Developing Election management system integrating voter registration to polling</t>
  </si>
  <si>
    <t>162201c10</t>
  </si>
  <si>
    <t>Number of assets maintaned</t>
  </si>
  <si>
    <t>Maintain transport, Communication, estates, machinery and equipment</t>
  </si>
  <si>
    <t>162201c11</t>
  </si>
  <si>
    <t>Financial Management</t>
  </si>
  <si>
    <t xml:space="preserve">Number of quarterly financial  reports per annum submitted on time
</t>
  </si>
  <si>
    <t>Quarterly provision of financing and administration of support services</t>
  </si>
  <si>
    <t>162201c12</t>
  </si>
  <si>
    <t>Legal  services enhanced</t>
  </si>
  <si>
    <t>Number of cases handled by external lawyers</t>
  </si>
  <si>
    <t>Procurement of  legal issues</t>
  </si>
  <si>
    <t>162201c13</t>
  </si>
  <si>
    <t xml:space="preserve">General Administration (utilities, bills and  top management and corporate services) </t>
  </si>
  <si>
    <t>Number of monthly Utility bills paid</t>
  </si>
  <si>
    <t>Provide utilities, bills, top management and corporate  services on time</t>
  </si>
  <si>
    <t>162201a03</t>
  </si>
  <si>
    <t>Sources of election funding  established</t>
  </si>
  <si>
    <t>Number of election funding sources established</t>
  </si>
  <si>
    <t xml:space="preserve">Tracking election and campaign finiancing </t>
  </si>
  <si>
    <t>162201d</t>
  </si>
  <si>
    <t>Inform and empower citizens to participate in governance</t>
  </si>
  <si>
    <t>162201d01</t>
  </si>
  <si>
    <t>National civic education program implemented</t>
  </si>
  <si>
    <t>UHRC</t>
  </si>
  <si>
    <t>Dissemination and implementation of the National Civic Education Program</t>
  </si>
  <si>
    <t xml:space="preserve">1
</t>
  </si>
  <si>
    <t>106 Uganda Human Rights Commission</t>
  </si>
  <si>
    <t>162201d02</t>
  </si>
  <si>
    <t>Sensitisation and mobilisation programs using convetional means undertaken</t>
  </si>
  <si>
    <t>Number of community members reached(by sex, age, vulnerability, and location)</t>
  </si>
  <si>
    <t>Intensify convetional civic education mechanisms (community outreaches, ToTs and stake holder engagements)</t>
  </si>
  <si>
    <t>Number of trainers of trainees skilled</t>
  </si>
  <si>
    <t>ToTs skilled</t>
  </si>
  <si>
    <t>162201d03</t>
  </si>
  <si>
    <t>Sensitisation and mobilisation programs undertaken</t>
  </si>
  <si>
    <t>Number of social media live streaming events conducted</t>
  </si>
  <si>
    <t>Live stream events</t>
  </si>
  <si>
    <t>Dedicated App commissioned and upgraded regulary</t>
  </si>
  <si>
    <t>UHRC dedicated App commissioned</t>
  </si>
  <si>
    <t>Number of duty bearers provided with human rights knowledge</t>
  </si>
  <si>
    <t>Duty bearers provided with knowledge on human rights</t>
  </si>
  <si>
    <t xml:space="preserve">0.300
</t>
  </si>
  <si>
    <t xml:space="preserve">Number of radio talk shows on human rights conducted </t>
  </si>
  <si>
    <t>Radio talk shows conducted</t>
  </si>
  <si>
    <t>Number of spot messages on human rights aired out</t>
  </si>
  <si>
    <t>Spot messages aired out</t>
  </si>
  <si>
    <t>162201d04</t>
  </si>
  <si>
    <t>An approved National Civic Education Policy in place</t>
  </si>
  <si>
    <t>Number of stake holders engaged on the National civic education policy by 2024/25</t>
  </si>
  <si>
    <t>Fast track the approval of the National Civic Education Policy</t>
  </si>
  <si>
    <t>162201d05</t>
  </si>
  <si>
    <t>MPs, Local Government councillors and the Public sensitized on the concept of multiparty democracy and the role of an MP</t>
  </si>
  <si>
    <t>Percentage of population sensitized</t>
  </si>
  <si>
    <t>Carry out sensitization campaigns on democracy country wide</t>
  </si>
  <si>
    <t>162201d06</t>
  </si>
  <si>
    <t>Civic education and mobilisation vans provided</t>
  </si>
  <si>
    <t>Number of civic education and mobilisation vans provided</t>
  </si>
  <si>
    <t>Carry out sensitization campaigns on democracy country wide using the civic education vans</t>
  </si>
  <si>
    <t>Develop and implement a UHRC  Research Policy</t>
  </si>
  <si>
    <t>Streamline research in the Commission</t>
  </si>
  <si>
    <t>Functional research Unit established</t>
  </si>
  <si>
    <t>Establish a fully-fledged research unit to guide and manage research.</t>
  </si>
  <si>
    <t>A continuous research program established</t>
  </si>
  <si>
    <t>Number of researches done</t>
  </si>
  <si>
    <t>Establish a continuous programme for research</t>
  </si>
  <si>
    <t>162201d07</t>
  </si>
  <si>
    <t>National civic awareness campaigns conducted targeting the elderly, youth, PWDs, women and in hard-to-reach areas</t>
  </si>
  <si>
    <t>No. of civic programs developed and undertaken on electoral processes</t>
  </si>
  <si>
    <t>Partner with CSOs and Development partners to design specific civic program favorable to all citizens.</t>
  </si>
  <si>
    <t>162201d08</t>
  </si>
  <si>
    <t>Updated training manuals</t>
  </si>
  <si>
    <t>Training needs assessment</t>
  </si>
  <si>
    <t>Carry out a needs assessment to identify priority cohorts for training</t>
  </si>
  <si>
    <t>Revised and up to date mannuals in place by 2024/25</t>
  </si>
  <si>
    <t>Review existing training mannuals and develope new ones</t>
  </si>
  <si>
    <t>162201d09</t>
  </si>
  <si>
    <t>Impact evaluations conducted</t>
  </si>
  <si>
    <t>Number of evaluations conducted</t>
  </si>
  <si>
    <t>Undertake tracer studies to assess the impact of awareness creation and training activities</t>
  </si>
  <si>
    <t>162201d10</t>
  </si>
  <si>
    <t>Capacity building programs developed and implemented</t>
  </si>
  <si>
    <t>Number of capacity building programs conducted</t>
  </si>
  <si>
    <t>Roll out a civic program/s favorable to specific groups to create awareness</t>
  </si>
  <si>
    <t>162201d11</t>
  </si>
  <si>
    <t>M.Ps sensitised on democracy and human rights</t>
  </si>
  <si>
    <t>No. of MPs sensitized;</t>
  </si>
  <si>
    <t>Carry out sensitization campaigns on democracy and human rights within Parliament for M.Ps</t>
  </si>
  <si>
    <t>162201d12</t>
  </si>
  <si>
    <t>LG leaders sensitised on democracy and human rights</t>
  </si>
  <si>
    <t xml:space="preserve">No of Local Government councillors sensitized </t>
  </si>
  <si>
    <t>Carry out sensitization campaigns on democracy and human rights at LG level</t>
  </si>
  <si>
    <t>162201d13</t>
  </si>
  <si>
    <t>Security agents trained in HRBA to POMA</t>
  </si>
  <si>
    <t>No. of security agents trained</t>
  </si>
  <si>
    <t>conduct training of Security agents in all UHRC  regions  in HRBA to POM</t>
  </si>
  <si>
    <t>UPF, OP ( RDCs, ISO, etc)</t>
  </si>
  <si>
    <t>162201d14</t>
  </si>
  <si>
    <t xml:space="preserve"> National Civic Education Policy fast tracked, approved  and disseminated</t>
  </si>
  <si>
    <t xml:space="preserve">No of Stakeholders engagements  </t>
  </si>
  <si>
    <t>Conduct meetings with stakeholders for approval and dissemination</t>
  </si>
  <si>
    <t>Strengthen the representative role of MPs, Local Government councilors and the Public</t>
  </si>
  <si>
    <t>162202a</t>
  </si>
  <si>
    <t>162202a01</t>
  </si>
  <si>
    <t>The capacity of MPs, Local Government councillors and the Public on the concept of multiparty democracy and the role of an MP built</t>
  </si>
  <si>
    <t xml:space="preserve">No. of sensitization sessions for MPs </t>
  </si>
  <si>
    <t>EC,Parliament</t>
  </si>
  <si>
    <t>Carry out sensitization campaigns on democracy at LG level</t>
  </si>
  <si>
    <t>(KCCA)</t>
  </si>
  <si>
    <t>163301a03</t>
  </si>
  <si>
    <t>National Action Plan (NAP) on Human Rights Reviewed in line with NDPIII planning framework</t>
  </si>
  <si>
    <t>Revised National Action Plan (NAP) in place</t>
  </si>
  <si>
    <t>Review the National Action Plan to conform to NDPIII planning framework</t>
  </si>
  <si>
    <t>Credible, accessible, valid, reliable, authentic, relevant and authoritative stock</t>
  </si>
  <si>
    <t>New editions and updated versions of Legal reference materials on market stocked</t>
  </si>
  <si>
    <t>Procure New editions and updated Legal Reference materials.</t>
  </si>
  <si>
    <t>Annual subscription fees paid</t>
  </si>
  <si>
    <t>Payment of subscription fees for Gazettes and supplement</t>
  </si>
  <si>
    <t>16760206</t>
  </si>
  <si>
    <t>enhanced research</t>
  </si>
  <si>
    <t>Library upgrades and equiped with ICT equipment.</t>
  </si>
  <si>
    <t>Access to Justice Strengthened</t>
  </si>
  <si>
    <t>Public Statisfaction in Justice Law and Order services</t>
  </si>
  <si>
    <t>Implement the Access to Justice Sub Program Strategic plan</t>
  </si>
  <si>
    <t>Approved NAP</t>
  </si>
  <si>
    <t>Regional Launch and awareness creation of revised plan</t>
  </si>
  <si>
    <t>163301a04</t>
  </si>
  <si>
    <t>Noi. of MDAs with whom meetings are held</t>
  </si>
  <si>
    <t>Hold dialogue meetings with MDAs with a view to reduce Human Rights cases.</t>
  </si>
  <si>
    <t>163301a05</t>
  </si>
  <si>
    <t>Bill of rights translated and disseminated</t>
  </si>
  <si>
    <t>Number of local languages the bill of rights is translated into</t>
  </si>
  <si>
    <t>Translate and disseminate the bill of rights in local languages</t>
  </si>
  <si>
    <t>163301a06</t>
  </si>
  <si>
    <t>National Action Plan disseminated in various districts</t>
  </si>
  <si>
    <t>Number of districts in which the NAP is disseminated</t>
  </si>
  <si>
    <t>Disseminate and popularize NAP on human rights  and Business and Human Rights once approved</t>
  </si>
  <si>
    <t>163301a07</t>
  </si>
  <si>
    <t>Capacity of Members of the Parliamentary committee on HRs and other key stakeholders on observance of Human Rights enhanced</t>
  </si>
  <si>
    <t>Number of stakeholders trained</t>
  </si>
  <si>
    <t>163301a08</t>
  </si>
  <si>
    <t>Human rights Recognition framework formulated and implemented</t>
  </si>
  <si>
    <t>Recognition framework in place</t>
  </si>
  <si>
    <t>Framework for recognizing outstanding human rights personalities</t>
  </si>
  <si>
    <t>Number of human rights personalities recognized</t>
  </si>
  <si>
    <t>Nomination and Assessment of personalities</t>
  </si>
  <si>
    <t>163301a09</t>
  </si>
  <si>
    <t>capacity of MDAs, MOFA, CSOs,  in  domestication of  regional and international HR treaties and conventions as well as regional &amp; international reporting obligations improved</t>
  </si>
  <si>
    <t>Number trained</t>
  </si>
  <si>
    <t>Capacity building undertaken</t>
  </si>
  <si>
    <t>163301a10</t>
  </si>
  <si>
    <t>capacity of MDAs &amp; LGs to effectively formulate HR compliant policies and laws enhanced</t>
  </si>
  <si>
    <t>Staff of MDAs and LGs trained to effectively formulate HR compliant policies and laws</t>
  </si>
  <si>
    <t>0
%</t>
  </si>
  <si>
    <t>163301a11</t>
  </si>
  <si>
    <t>business and human rights for selected business entities monitored</t>
  </si>
  <si>
    <t>Number of businesses monitored</t>
  </si>
  <si>
    <t>Undertake visits to business enterprises</t>
  </si>
  <si>
    <t>163301a12</t>
  </si>
  <si>
    <t>Jails, detention facilities regularly inspected for human rights compliance</t>
  </si>
  <si>
    <t>Number of detention facilities inspected</t>
  </si>
  <si>
    <t>Visits to detention facilities</t>
  </si>
  <si>
    <t>Number of stakeholders engaged on findings and recomendations from places of detention</t>
  </si>
  <si>
    <t>Meetings to discuss recommendations</t>
  </si>
  <si>
    <t>163301a13</t>
  </si>
  <si>
    <t>Bills reviewed for human rights compliance</t>
  </si>
  <si>
    <t>Proportion of bills reviewed (including ordinances)</t>
  </si>
  <si>
    <t>Stakeholders meetings</t>
  </si>
  <si>
    <t>163301a14</t>
  </si>
  <si>
    <t>Selected Economic, Social and Cultural rights (ESCRs) monitored</t>
  </si>
  <si>
    <t>Number of ESCRs monitored</t>
  </si>
  <si>
    <t>Visits to selected entities</t>
  </si>
  <si>
    <t>conduct field compliance visits</t>
  </si>
  <si>
    <t>163301a15</t>
  </si>
  <si>
    <t>Human rights complaints attended to</t>
  </si>
  <si>
    <t>No. of human rights complaints reported by type, gender, age, etc.</t>
  </si>
  <si>
    <t>Human rights desk in the Ministry in place and functional (preparing annual human rights reports, attending regional and international human rights assemblies, and addressing human rights issues in-country)</t>
  </si>
  <si>
    <t>163301a16</t>
  </si>
  <si>
    <t>Human Rights cases disposed of</t>
  </si>
  <si>
    <t>Proportion of human rights complaints disposed of (% of total)</t>
  </si>
  <si>
    <t>Defend human rights cases</t>
  </si>
  <si>
    <t>163301a17</t>
  </si>
  <si>
    <t>Number of convicts pardoned</t>
  </si>
  <si>
    <t>Advisory Committee sittings held and deserving cases recommended for clemency</t>
  </si>
  <si>
    <t xml:space="preserve">Build the capacity of the Advisory Committee on the Prerogative of Mercy to carry out its mandate, obtain case information, conduct meetings, and advise the President. </t>
  </si>
  <si>
    <t>163301a18</t>
  </si>
  <si>
    <t>Staff trained on Human Rights</t>
  </si>
  <si>
    <t>No of staff trained</t>
  </si>
  <si>
    <t>Refresher training on Human rights conducted to State attorneys and Prerogative of Mercy Committee members</t>
  </si>
  <si>
    <t>163301a19</t>
  </si>
  <si>
    <t>18 months for capital offenders and 2 months for petty offenders</t>
  </si>
  <si>
    <t>163301a20</t>
  </si>
  <si>
    <t>Remodel prison detention facilities to appropriate sanitation and hygiene</t>
  </si>
  <si>
    <t>Proportion of detention facilities with clean water sources</t>
  </si>
  <si>
    <t>Installation of clean water systems (Gravity flow, boreholes, shallow wells and rain water harvesting systems) in prisons</t>
  </si>
  <si>
    <t>Improve domestic and medical waste management in prisons</t>
  </si>
  <si>
    <t>Proportion of detention facilities with clean cooking facilities</t>
  </si>
  <si>
    <t>Acquire efficient and clean cooking systems in prisons Including LPG systems</t>
  </si>
  <si>
    <t>163301c</t>
  </si>
  <si>
    <t>Strengthen efforts to combat SGBV</t>
  </si>
  <si>
    <t>163301a21</t>
  </si>
  <si>
    <t>Number of functional human rights committees in Uganda prisons</t>
  </si>
  <si>
    <t>Establish and equip human rights committees in all prisons and prisons regions</t>
  </si>
  <si>
    <t>Number of staff undergoing human rights training annually</t>
  </si>
  <si>
    <t>Conduct refresher training for 200 staff annually</t>
  </si>
  <si>
    <t>Improved access to the DGAL laboratory services by poor and vulnerable users;</t>
  </si>
  <si>
    <t>Assorted DNA extraction equipment acquired to facilitate Collection and analysis of forensic evidence in Regional laboratories (DGAL) to improve access by vulnerable persons</t>
  </si>
  <si>
    <t>Improved access to forensic evidence essential in SGBV cases for court users categorized as poor</t>
  </si>
  <si>
    <t>Improve access to forensic evidence essential in SGBV cases for court users categorized as poor</t>
  </si>
  <si>
    <t>163301d</t>
  </si>
  <si>
    <t>Provision of 3 wholesome meals, beddings, uniform and other utilities to all prisoners</t>
  </si>
  <si>
    <t>Daily average of prisoners looked after (provided with meals, clothing, utilities and other basic necessities of life)</t>
  </si>
  <si>
    <t xml:space="preserve">Provision of 3 wholesome meals, beddings, uniform and other utilities to all prisoners </t>
  </si>
  <si>
    <t>163301e</t>
  </si>
  <si>
    <t>Mainstreaming cross cutting issues into UPS operations</t>
  </si>
  <si>
    <t>Percentage implementation of all cross cutting issues in UPS</t>
  </si>
  <si>
    <t>Strengthen mainstreaming and implementation of  Cross-cutting issues (Gender, HIV, Environment and Human rights) in Planning and implementation</t>
  </si>
  <si>
    <t>Human Rights Based SDPs, and institutional strategic Plans produced</t>
  </si>
  <si>
    <t>Assess and certify MDAs and LGs Annual budgets for  Human Rights compliance</t>
  </si>
  <si>
    <t>Refugees and asylum seekers settled</t>
  </si>
  <si>
    <t>Number of activities of asylum seeekers and refugees coordinated</t>
  </si>
  <si>
    <t>Coordinate activities of refugee management</t>
  </si>
  <si>
    <t xml:space="preserve">National Refugee Policy </t>
  </si>
  <si>
    <t>Number of refugees received and settled with documentation (‘000s)</t>
  </si>
  <si>
    <t>Receive, document, settle, and protect refugees.</t>
  </si>
  <si>
    <t xml:space="preserve">Manage and monitor the refugee operations. </t>
  </si>
  <si>
    <t>Obtain Cabinet approval</t>
  </si>
  <si>
    <t>Of the policy</t>
  </si>
  <si>
    <t>Legislation on the policy.</t>
  </si>
  <si>
    <t>Disseminate the National Refugee Policy</t>
  </si>
  <si>
    <t xml:space="preserve">Monitor Economic Social and Cultural Rights </t>
  </si>
  <si>
    <t>Number of monitoring interventions undertaken</t>
  </si>
  <si>
    <t>i.	Participate in building capacity of MDAs &amp; LGs to effectively formulate HR compliant policies and laws.</t>
  </si>
  <si>
    <t>Ensure regular reporting to Parliament and follow up on implementation of the recommendations mechanisms/requirements</t>
  </si>
  <si>
    <t>Number of copies of the translated bill of rights disseminated</t>
  </si>
  <si>
    <t>iv. launch and widely disseminate the Annual and Implementation status reports</t>
  </si>
  <si>
    <t>Annual state of human rights report produced</t>
  </si>
  <si>
    <t>Annual state of human rights report presented to Parliament on time</t>
  </si>
  <si>
    <t>Annual state of humn rights report produced and presented to parliament</t>
  </si>
  <si>
    <t>Number of copies of Annual report produced and disseminated</t>
  </si>
  <si>
    <t>Production and dissemination</t>
  </si>
  <si>
    <t>Number of copies of special/complementary reports on the status of implementation of UHRC recomendations of the previous Annual state of Human Rights reports</t>
  </si>
  <si>
    <t>special/complementary reports on the status of implementation of UHRC recomendations produced and disseminated</t>
  </si>
  <si>
    <t>Annual state of human rights report disseminated</t>
  </si>
  <si>
    <t>Regional meetings</t>
  </si>
  <si>
    <t>Number of popular version copies of the Annual state of the human rights report produced and disseminated</t>
  </si>
  <si>
    <t>Production and dissemination of popular version copies of the Annual state of human Rights report</t>
  </si>
  <si>
    <t>Number of braile copies of the Annual state of the human rights report produced and disseminated</t>
  </si>
  <si>
    <t>Production and dissemination of braile copies of the Annual state of human Rights report</t>
  </si>
  <si>
    <t>Number of media programs</t>
  </si>
  <si>
    <t>Radio and TV programs</t>
  </si>
  <si>
    <t>Monitoring guide on places of detention developed in line with regional and international standards.</t>
  </si>
  <si>
    <t>Monitoring guide</t>
  </si>
  <si>
    <t>i.	Develop a Comprehensive Monitoring &amp; Reporting Framework</t>
  </si>
  <si>
    <t>Periodic report prepared and submitted to relevant regional and international organizations</t>
  </si>
  <si>
    <t>Number of periodic reports prepared and submitted</t>
  </si>
  <si>
    <t>Coordinate and prepare, with the relrvant stakeholders, reports on status of observance of Human Rights in Uganda</t>
  </si>
  <si>
    <t>Rights of vulnerable persons monitored</t>
  </si>
  <si>
    <t>Number of settlement areas monitored</t>
  </si>
  <si>
    <t>Monitor rights of vulnerable persons</t>
  </si>
  <si>
    <t>Migration Policy Developed</t>
  </si>
  <si>
    <t>Migration policy developed</t>
  </si>
  <si>
    <t>Develop a Migration Policy</t>
  </si>
  <si>
    <t>Refugees and asylum seekers vetted</t>
  </si>
  <si>
    <t>Number of vetting reports on refugees and asylum seekers</t>
  </si>
  <si>
    <t>Receive, document and vet refugees and asylum seekers</t>
  </si>
  <si>
    <t>Operational migration policy in place.</t>
  </si>
  <si>
    <t>Develop migration policy</t>
  </si>
  <si>
    <t>Strengthen the oversight role of Parliament over the Executive</t>
  </si>
  <si>
    <t>16550301</t>
  </si>
  <si>
    <t>No. of institutions where performance assessment on the Client Charters are institutionalized.</t>
  </si>
  <si>
    <t>Conduct Annual Performance assessment on the client charter.</t>
  </si>
  <si>
    <t>Proportion of the revision and circulation of the Client Charter</t>
  </si>
  <si>
    <t>Review and circulate the client Charter</t>
  </si>
  <si>
    <t>Implement Tax Payer education</t>
  </si>
  <si>
    <t>Strengthen the oversight role of Office of the President</t>
  </si>
  <si>
    <t>16550401</t>
  </si>
  <si>
    <t>MDAs and LGs held accountable for results</t>
  </si>
  <si>
    <t>Proportion of MDAs and LGs held accountable</t>
  </si>
  <si>
    <t>41 MDAs &amp; 141 LGs</t>
  </si>
  <si>
    <t>Hold meetings and recommend for rewards and sanctions</t>
  </si>
  <si>
    <t>Monitoring of Government Programs for effective service delivery</t>
  </si>
  <si>
    <t>16550501</t>
  </si>
  <si>
    <t xml:space="preserve">Enhanced Utilization of Audit results </t>
  </si>
  <si>
    <t xml:space="preserve">%-age level of stakeholder satisfaction with OAG products </t>
  </si>
  <si>
    <t xml:space="preserve">Engage stakeholders, Publicize and disseminate audit results and other OAG products and collect relevant feedback </t>
  </si>
  <si>
    <t>% of OAG audit reports published within 30 days.</t>
  </si>
  <si>
    <t>Number of annual stakeholder engagements on audit findings undertaken</t>
  </si>
  <si>
    <t>16550502</t>
  </si>
  <si>
    <t>Government Programs and Projects monitored</t>
  </si>
  <si>
    <t>Number of Districts whose projects and Programs have been monitored</t>
  </si>
  <si>
    <t>Field visits and verification</t>
  </si>
  <si>
    <t>16550503</t>
  </si>
  <si>
    <t>Population sensitised on Government programs and projects</t>
  </si>
  <si>
    <t>Number of Radio and TV shows conducted</t>
  </si>
  <si>
    <t>Radio talk shows and TVs</t>
  </si>
  <si>
    <t>Proportion of feedback recommendations implemented</t>
  </si>
  <si>
    <t>16550504</t>
  </si>
  <si>
    <t>The health facilities monitored and reports produced</t>
  </si>
  <si>
    <t>Number of Health Centre 4s monitored, Number of Health Centre 3s monitored, Number of District Hospitals Monitored</t>
  </si>
  <si>
    <t>Monitor service delivery in health facilities</t>
  </si>
  <si>
    <t>16550505</t>
  </si>
  <si>
    <t>The Parish Model operations monitored</t>
  </si>
  <si>
    <t>Number of functional Parish Models and Number of Parishes Monitored</t>
  </si>
  <si>
    <t>Monitor Parish Development Model operations</t>
  </si>
  <si>
    <t>Level of stakeholder satisfaction with Integrated system for tracking audit recommendations</t>
  </si>
  <si>
    <t>Develop and deploy an integrated system for tracking implementation of audit recommendations</t>
  </si>
  <si>
    <t>16550506</t>
  </si>
  <si>
    <t>Barazas conducted</t>
  </si>
  <si>
    <t>Number of community sensitisation meetings held</t>
  </si>
  <si>
    <t>Conduct community sensitisation meetings</t>
  </si>
  <si>
    <t>16550507</t>
  </si>
  <si>
    <t>Number of MDAs and LGs held accountable for results</t>
  </si>
  <si>
    <t>Check compliance to the set standars of service delivery and recommend for reward and sanction accordingly</t>
  </si>
  <si>
    <t>Proportion of audit recommendations uploaded and tracked</t>
  </si>
  <si>
    <t>Percentage of planned post audit products developed</t>
  </si>
  <si>
    <t>Develop post audit products (videos, abridged versions, flyers etc.) to enhance utilization and follow up of audit results</t>
  </si>
  <si>
    <t>16550508</t>
  </si>
  <si>
    <t>Enhanced OAG technical support towards Parliamentary oversight function</t>
  </si>
  <si>
    <t>%-age of submitted OAG reports discussed by parliament</t>
  </si>
  <si>
    <t>Support Parliamentary oversight scrutiny and feedback</t>
  </si>
  <si>
    <t>Number of oversight  committee sessions supported</t>
  </si>
  <si>
    <t>16550509</t>
  </si>
  <si>
    <t>IAF Institutions coordinated</t>
  </si>
  <si>
    <t xml:space="preserve">Number of IAF Institutions Coordinated </t>
  </si>
  <si>
    <t>Coordinate IAF institutions</t>
  </si>
  <si>
    <t>16550510</t>
  </si>
  <si>
    <t>Projects/Programs inspected by IAF</t>
  </si>
  <si>
    <t>No. of projects/Programs inspected by IAF</t>
  </si>
  <si>
    <t>Carry out IAF inspections to assess levels of service delivery</t>
  </si>
  <si>
    <t>16550511</t>
  </si>
  <si>
    <t xml:space="preserve">Implementation of NACS in Districts monitored </t>
  </si>
  <si>
    <t>No. of Districts monitored</t>
  </si>
  <si>
    <t>Monitor implementation of NACS in Districts</t>
  </si>
  <si>
    <t>16550512</t>
  </si>
  <si>
    <t>Improve public awareness of the dangers of financial crimes</t>
  </si>
  <si>
    <t>Number of engagements with the public on matters related to ML/TF/PF</t>
  </si>
  <si>
    <t xml:space="preserve">Sensitization of the public on financial crime </t>
  </si>
  <si>
    <t>16550513</t>
  </si>
  <si>
    <t>Functional IAF TWG</t>
  </si>
  <si>
    <t>No. of functional IAF TWGs</t>
  </si>
  <si>
    <t>Support IAF Technical Working Groups</t>
  </si>
  <si>
    <t>16550514</t>
  </si>
  <si>
    <t xml:space="preserve">Performance of the public procurement and disposal systems monitored </t>
  </si>
  <si>
    <t>Number bid preparatory audits conducted</t>
  </si>
  <si>
    <t>Conduct periodic risk and bid preparatory Audits</t>
  </si>
  <si>
    <t>Number of  compliance checks done</t>
  </si>
  <si>
    <t>Conduct Periodic risk and compliance inspections</t>
  </si>
  <si>
    <t>Number of   contract Audits done</t>
  </si>
  <si>
    <t>Conduct Periodic risk and entity contract Audits</t>
  </si>
  <si>
    <t>Number of Performance Audits done</t>
  </si>
  <si>
    <t>Conduct Periodic risk and entity performance Audits</t>
  </si>
  <si>
    <t>Number of providers suspended</t>
  </si>
  <si>
    <t>Conduct investigation into suspension of providers</t>
  </si>
  <si>
    <t>Number of procurement and disposal related investigations successfully completed</t>
  </si>
  <si>
    <t>Conduct procurement and disposal investigations</t>
  </si>
  <si>
    <t>Number of follow ups conducted on PPDA Audit recommendations</t>
  </si>
  <si>
    <t>Conduct follow ups on PPDA Audit recommendations</t>
  </si>
  <si>
    <t>16550515</t>
  </si>
  <si>
    <t xml:space="preserve">Capacity built for stakeholders in the public procurement systems </t>
  </si>
  <si>
    <t xml:space="preserve">No. of Anti corruption agencies trained  </t>
  </si>
  <si>
    <t>Conduct specialized and other capacity building initiatives for Anti-Corruption Agencies to enhance their skills to cope with changing trends of corruption.</t>
  </si>
  <si>
    <t xml:space="preserve">Number of stakholders trained </t>
  </si>
  <si>
    <t xml:space="preserve">Training of stakeholders </t>
  </si>
  <si>
    <t>16550516</t>
  </si>
  <si>
    <t>Veterans mobilised to engage in Development agenda</t>
  </si>
  <si>
    <t>Number of vererans mobilised</t>
  </si>
  <si>
    <t>Mobiisation of veterans</t>
  </si>
  <si>
    <t>16550517</t>
  </si>
  <si>
    <t>Youth mobilised to engage in National Developmenr</t>
  </si>
  <si>
    <t>Number of youth mobilised</t>
  </si>
  <si>
    <t>Mobilisation of youth</t>
  </si>
  <si>
    <t>16550601</t>
  </si>
  <si>
    <t xml:space="preserve">Corruption related cases investigated </t>
  </si>
  <si>
    <t>Percentage of corruption related cases investigated</t>
  </si>
  <si>
    <t>Investigation of Corruption related cases by the RDC Anti-corruption Secretariat</t>
  </si>
  <si>
    <t>16550602</t>
  </si>
  <si>
    <t xml:space="preserve">Reports of corruption incidences on District prepared </t>
  </si>
  <si>
    <t>Reports on Corruption related issues at the District submitted to the RDC Anti-Corruption Secretariat</t>
  </si>
  <si>
    <t>Corruption related issues at the District reported to the Centre for futher management</t>
  </si>
  <si>
    <t>16550603</t>
  </si>
  <si>
    <t xml:space="preserve">Corruption related recommendation by RDC implemented </t>
  </si>
  <si>
    <t xml:space="preserve">Percentage of corruption related recommendations implemented </t>
  </si>
  <si>
    <t>Corruption related reports with recommendations</t>
  </si>
  <si>
    <t>16550604</t>
  </si>
  <si>
    <t>Functional District Integrity Promotion Forums</t>
  </si>
  <si>
    <t>Number of active District Integrity Promotion Forums</t>
  </si>
  <si>
    <t xml:space="preserve">Establish District Integrity Promotion Forums </t>
  </si>
  <si>
    <t>16550605</t>
  </si>
  <si>
    <t>Capacity of RDCs to detect and handle corruption related issues built</t>
  </si>
  <si>
    <t>Percentage of RDCs whose capacity to detect and handle corruption related issues was built</t>
  </si>
  <si>
    <t>Training of RDCs to detect and handle corruption related issues</t>
  </si>
  <si>
    <t>16550606</t>
  </si>
  <si>
    <t>Implementation of Government Policies and Programs monitored</t>
  </si>
  <si>
    <t>Number of reports on implementation of Government Policies and Programs produced</t>
  </si>
  <si>
    <t xml:space="preserve">Monitoring of implementation of Government Policies and Programs </t>
  </si>
  <si>
    <t>16550607</t>
  </si>
  <si>
    <t>Masses sensitized on Government policies, programs and projects for ownership</t>
  </si>
  <si>
    <t>Percentage of the population knowledgeable on government  policies, programs and projects for ownership</t>
  </si>
  <si>
    <t>Conduct radio and television talk shows on corruption related issues and implementation of government programmes</t>
  </si>
  <si>
    <t xml:space="preserve">Number of sensitization conducted </t>
  </si>
  <si>
    <t>Hold community barazas on anti-corruption and implementation of government programmes</t>
  </si>
  <si>
    <t>16550608</t>
  </si>
  <si>
    <t>Revise and roll out MOJCA client charter</t>
  </si>
  <si>
    <t>16550609</t>
  </si>
  <si>
    <t>Sustainable partnerships and collaboration networks with State and Non State actors developed.</t>
  </si>
  <si>
    <t>No. of collaborations and networks 
established/ strengthened</t>
  </si>
  <si>
    <t>Establish and strengthen domestic and 
international collaborations and networks</t>
  </si>
  <si>
    <t>No. of collaboration initiatives with state actors</t>
  </si>
  <si>
    <t>Implement Joint initiatives with State actors</t>
  </si>
  <si>
    <t>No. of collaboration initiatives 
implemented with non-state actors</t>
  </si>
  <si>
    <t>Implement Joint initiatives with State and non state actors</t>
  </si>
  <si>
    <t>16550610</t>
  </si>
  <si>
    <t>Integrity and Public awareness Promotional Programmes designed and implemented.</t>
  </si>
  <si>
    <t>Number of institutions with active integrity programs</t>
  </si>
  <si>
    <t>Implement integrity promotional programmes for Primary Schools, Secondary Schools, Tertiary Institutions, youths and Public and Private Sector.</t>
  </si>
  <si>
    <t>No of anti corruption campaigns conducted</t>
  </si>
  <si>
    <t>Conduct anti-corruption campaigns</t>
  </si>
  <si>
    <t>% of advocacy strategy targets achieved</t>
  </si>
  <si>
    <t>Develop and operationalize the IG 
advocacy strategy</t>
  </si>
  <si>
    <t>16550611</t>
  </si>
  <si>
    <t>Citizens empowered to monitor Government projects</t>
  </si>
  <si>
    <t xml:space="preserve"> % of participating Parishes where SA 
tools are implemented</t>
  </si>
  <si>
    <t>Design and implement Social 
Accountability (SA) mechanisms/tools for 
government funded projects</t>
  </si>
  <si>
    <t xml:space="preserve">% of district functional TAAC partnerships  </t>
  </si>
  <si>
    <t xml:space="preserve"> Develop and implement a framework 
to strengthen citizens’ demand for 
accountability and improved service delivery</t>
  </si>
  <si>
    <t>16550612</t>
  </si>
  <si>
    <t>Improved compliance in implememntation of Government Projects and Programmes.</t>
  </si>
  <si>
    <t xml:space="preserve"> % of projects monitored</t>
  </si>
  <si>
    <t>Conduct monitoring, inspection and 
control of project risks</t>
  </si>
  <si>
    <t>% of misappropriated assets recovered</t>
  </si>
  <si>
    <t xml:space="preserve"> Recover misappropriated assets</t>
  </si>
  <si>
    <t>% of TAAC related complaints investigated and resolved</t>
  </si>
  <si>
    <t xml:space="preserve"> Investigate and resolve TAAC related 
complaints and grievances.</t>
  </si>
  <si>
    <t>16550613</t>
  </si>
  <si>
    <t>Court Users’ watch groups created</t>
  </si>
  <si>
    <t>Client satisfaction level.</t>
  </si>
  <si>
    <t>Implement effective Client relationship &amp; feedback management mechanisms.</t>
  </si>
  <si>
    <t>Implement public relations outreach initiatives</t>
  </si>
  <si>
    <t>Implement the enterprise wide contact center concept</t>
  </si>
  <si>
    <t>Implement anti-corruption and integrity enhancement initiatives</t>
  </si>
  <si>
    <t>16550614</t>
  </si>
  <si>
    <t>Client Charter  and citizen feedback mechanisms developed</t>
  </si>
  <si>
    <t>Development of the OAG Client charter and Performance Assessment tools, based on the Client Charter, the ISO Standard and other instruments conducted annually</t>
  </si>
  <si>
    <t>16550615</t>
  </si>
  <si>
    <t>Client charter for Prisons in place</t>
  </si>
  <si>
    <t>Developing and Disseminating of the Prisons Client Charter to enhance visibility of prisons programs</t>
  </si>
  <si>
    <t>Percentage of public complaints on prosecution service attended to</t>
  </si>
  <si>
    <t>Addressing public complaints on prosecution processes</t>
  </si>
  <si>
    <t>16550616</t>
  </si>
  <si>
    <t xml:space="preserve">Improved performance Management  </t>
  </si>
  <si>
    <t xml:space="preserve">%age of achievement of all Targets  </t>
  </si>
  <si>
    <t>Prisons Performance management (Developing Annual Work Plans, Project Planning &amp; Management, Statistical Reporting, M&amp;E, Financial Accountability, Setting Annual Performance Targets</t>
  </si>
  <si>
    <t>16550617</t>
  </si>
  <si>
    <t xml:space="preserve">Public Awareness created about Government efforts to fight Corruption  </t>
  </si>
  <si>
    <t xml:space="preserve">% of the citizen aware of government measures instituted to fight corruption  </t>
  </si>
  <si>
    <t>Sensitize the masses on the dangers of corruption and its rumifications.</t>
  </si>
  <si>
    <t>16550618</t>
  </si>
  <si>
    <t>Impact survey carried out and reports produced</t>
  </si>
  <si>
    <t xml:space="preserve"> Percentage of people aware of Government Programs</t>
  </si>
  <si>
    <t>Carry out the Impact Survey and Produce reprot</t>
  </si>
  <si>
    <t>16550619</t>
  </si>
  <si>
    <t>Widely inform and educate the public about measures instituted by government to fight corruption</t>
  </si>
  <si>
    <t>16550620</t>
  </si>
  <si>
    <t>DIPFs retooled</t>
  </si>
  <si>
    <t>No. of retooled DIPFs</t>
  </si>
  <si>
    <t>Retool DIPFs to monitor government projects and programs</t>
  </si>
  <si>
    <t>16550621</t>
  </si>
  <si>
    <t>Functional DIPFs</t>
  </si>
  <si>
    <t>No. of LGs trained</t>
  </si>
  <si>
    <t>Build capacity of District official to fight corruption</t>
  </si>
  <si>
    <t>16550622</t>
  </si>
  <si>
    <t>Functional Anti-Corruption Public Private Partnership (ACPPP) Frame work</t>
  </si>
  <si>
    <t>No of functional ACPPP organisations</t>
  </si>
  <si>
    <t>Enhance coordination of ACPPP to fight corruption</t>
  </si>
  <si>
    <t>16550623</t>
  </si>
  <si>
    <t xml:space="preserve">Capacity of ACPPP organisations built </t>
  </si>
  <si>
    <t>No of  ACPPP Organisations trained</t>
  </si>
  <si>
    <t>Train ACPPP Organisations  in Governance</t>
  </si>
  <si>
    <t>16550624</t>
  </si>
  <si>
    <t>Functional Anti-Corruption Public Private Partnership (ACPPP)</t>
  </si>
  <si>
    <t>No of Annual reviews on performance of ACPPP</t>
  </si>
  <si>
    <t>Conduct stakeholder analysis, awareness and educational programs.</t>
  </si>
  <si>
    <t>16550625</t>
  </si>
  <si>
    <t xml:space="preserve">Sustainable partnerships </t>
  </si>
  <si>
    <t>Number of Sustainable partnerships</t>
  </si>
  <si>
    <t>Create sustainable partnerships and collaboration with other Government anti-corruption entities to enhance demand for accountability.</t>
  </si>
  <si>
    <t>16550626</t>
  </si>
  <si>
    <t>Capacity built in Integrity Promotional Programs.</t>
  </si>
  <si>
    <t xml:space="preserve">Number of organisations trained </t>
  </si>
  <si>
    <t>Support Intergrity promotion programs in the private sectore</t>
  </si>
  <si>
    <t>Number of MDAs/LGs trained in Integrity promotional programs</t>
  </si>
  <si>
    <t>Support integrity promotional programs in MDAs/LGs</t>
  </si>
  <si>
    <t>16550627</t>
  </si>
  <si>
    <t>National Ethical Values promoted</t>
  </si>
  <si>
    <t>No. of District Officals promoting NEVs(National Ethical Values)</t>
  </si>
  <si>
    <t xml:space="preserve">Sensitize and equip RFO members to mainstream the National Ethical Values policy in their programs and projects </t>
  </si>
  <si>
    <t>Scale-up dissemination and integration of the National Ethical values within MDAs/LGs</t>
  </si>
  <si>
    <t>16550701</t>
  </si>
  <si>
    <t xml:space="preserve">Activities of RFO coordinated </t>
  </si>
  <si>
    <t>RFO data base in place</t>
  </si>
  <si>
    <t xml:space="preserve">Establish a database and maintain a data management system of all RFOs in Uganda </t>
  </si>
  <si>
    <t>16550702</t>
  </si>
  <si>
    <t>National Ethical Values (NEVs) popularised</t>
  </si>
  <si>
    <t>No. of Schools where NEVs has been integrated</t>
  </si>
  <si>
    <t>Implement NEVs in Primary and Secondary Schools</t>
  </si>
  <si>
    <t>No. of Institutions where NEVs has been integrated</t>
  </si>
  <si>
    <t>Implement NEVs in Tertiary Institutions</t>
  </si>
  <si>
    <t>No. of State and Non State Institutions where NEVs has been integrated</t>
  </si>
  <si>
    <t>Implement NEVs in public and Private Sector</t>
  </si>
  <si>
    <t>16550703</t>
  </si>
  <si>
    <t>IEC materials developed</t>
  </si>
  <si>
    <t>No of Iistitutions that have received IEC materials on NEVs and RFO Policy</t>
  </si>
  <si>
    <t xml:space="preserve">Develop IEC materials, training manuals and handbooks on integrating the national ethical values and RFO Policy in the education institutions. </t>
  </si>
  <si>
    <t>16550704</t>
  </si>
  <si>
    <t>Exemplary Service recognised</t>
  </si>
  <si>
    <t>No of individual/Institutions awarded</t>
  </si>
  <si>
    <t xml:space="preserve">Establish the Annual Integrity Awards for exemplary service </t>
  </si>
  <si>
    <t>16550705</t>
  </si>
  <si>
    <t>Awareness on dangers of Pornography in Education Institutions created</t>
  </si>
  <si>
    <t>No of educational institutions where awareness on dangers of Pornography has been created</t>
  </si>
  <si>
    <t xml:space="preserve">Establish mechanisms to strengthen the stamping out of pornography in education institutions. </t>
  </si>
  <si>
    <t>16550706</t>
  </si>
  <si>
    <t>Pornography offenders prosecuted</t>
  </si>
  <si>
    <t>No of programs to operationalise the Pornography Act</t>
  </si>
  <si>
    <t xml:space="preserve">Operationalize the Anti-Pornography Act </t>
  </si>
  <si>
    <t>16550707</t>
  </si>
  <si>
    <t xml:space="preserve">Cases adjudicated </t>
  </si>
  <si>
    <t>No of cases adjudicated by the Leadership Code Tribunal</t>
  </si>
  <si>
    <t>DEI (LCT)</t>
  </si>
  <si>
    <t xml:space="preserve">Adjudicate cases of breach of the Leadership Code of Conduct </t>
  </si>
  <si>
    <t>16550708</t>
  </si>
  <si>
    <t>Regional registries setup to adjudicate cases</t>
  </si>
  <si>
    <t>No of regional registries set up</t>
  </si>
  <si>
    <t>Set up regional registries to adjudicate cases</t>
  </si>
  <si>
    <t>16550709</t>
  </si>
  <si>
    <t>Reduced Corruption tendencies among Leaders in Public Service</t>
  </si>
  <si>
    <t>No of cases resolved by LCT through Alternative Dispute Resolution (ADR).</t>
  </si>
  <si>
    <t>Mediate between the accused and the prosecutor</t>
  </si>
  <si>
    <t>16550710</t>
  </si>
  <si>
    <t>Public Awareness created</t>
  </si>
  <si>
    <t>Number of public awareness campaigns conducted</t>
  </si>
  <si>
    <t>DEI/LCT</t>
  </si>
  <si>
    <t>Create public awareness about the roles of the Leadership Code Tribunal (LCT)</t>
  </si>
  <si>
    <t>16550711</t>
  </si>
  <si>
    <t>Implementation of Zero tolerance to corruption policy coordinated</t>
  </si>
  <si>
    <t xml:space="preserve">No. of categories of stakeholders trained  </t>
  </si>
  <si>
    <t>Support (Train FPO) in  implementation of the Zero Tolerance to Corruption Policy in all MDAs/LGs  and other stakeholders.</t>
  </si>
  <si>
    <t xml:space="preserve">No. of categories of stakeholders implementing the Policy countrywide </t>
  </si>
  <si>
    <t>Conduct Reviews/examination systems, procedures and practices of high corruption risks entities in order to prevent corruption from occurring.</t>
  </si>
  <si>
    <t>Investigation of corruption related complaints</t>
  </si>
  <si>
    <t>16550712</t>
  </si>
  <si>
    <t>Capacity built among the Anti-corruption Institutions on PFM System</t>
  </si>
  <si>
    <t>Number of stakeholders trained on PFM Systems</t>
  </si>
  <si>
    <t>Train stakeholders in audit related functions in PFM systems</t>
  </si>
  <si>
    <t>16550713</t>
  </si>
  <si>
    <t>Internal Audit Capacity to Prevent and Detect fraud built across government</t>
  </si>
  <si>
    <t>Number of Internal Auditors trained in Fraud Risk assessment.</t>
  </si>
  <si>
    <t>Training Internal Auditors in fraud Risk identification and assessment</t>
  </si>
  <si>
    <t>Retooling Internal Audit to detect and prevent fraud</t>
  </si>
  <si>
    <t>16550714</t>
  </si>
  <si>
    <t>Capacity of all key stake holders in audit process built</t>
  </si>
  <si>
    <t>Number of key stakeholders sensitized</t>
  </si>
  <si>
    <t>Anti-Fraud Awareness</t>
  </si>
  <si>
    <t>16550715</t>
  </si>
  <si>
    <t>Enhanced Quality and Impact of Audits</t>
  </si>
  <si>
    <t>%-age level of compliance with International Audit Standards (ISSAIs)</t>
  </si>
  <si>
    <t>Review and implement audit approaches and reporting guidelines to promote efficiency and enhance value of audits</t>
  </si>
  <si>
    <t>Percentage of planned financial and compliance audits undertaken</t>
  </si>
  <si>
    <t xml:space="preserve">Enhance thematic area audit reporting and conduct Compliance Audits and Financial audits. </t>
  </si>
  <si>
    <t>%-age coverage of the audit population</t>
  </si>
  <si>
    <t>%-age of audit recommendations adopted out of the  reports discussed by Parliament</t>
  </si>
  <si>
    <t>Management of post audit activities to harness desired  outcomes</t>
  </si>
  <si>
    <t xml:space="preserve">%-age of Parliament recommendations implementation by Executive (Treasury memoranda)  </t>
  </si>
  <si>
    <t xml:space="preserve">%-age of audit recommendation implemented </t>
  </si>
  <si>
    <t>Number of Forensic audits, VFM, specialized PSA and any others audits undertaken</t>
  </si>
  <si>
    <t>Undertake Audits targeting stakeholder needs and emerging issues</t>
  </si>
  <si>
    <t>%-age level of stakeholder satisfaction with OAG work</t>
  </si>
  <si>
    <t xml:space="preserve">Number of e- government system Audits undertaken </t>
  </si>
  <si>
    <t>Enhance capacity in undertaking e-government system audits and use of BIG Data analytics.</t>
  </si>
  <si>
    <t xml:space="preserve">Number of staff trained </t>
  </si>
  <si>
    <t>Number of Audits undertaken using Big Data analytics</t>
  </si>
  <si>
    <t>Number of performance audits undertaken</t>
  </si>
  <si>
    <t>Increase performance, specialized, forensic audits PSA and any other audits mapped onto SDGs and to  enhance value to stakeholders</t>
  </si>
  <si>
    <t>Percentage of planned real time audits undertaken</t>
  </si>
  <si>
    <t>%-age of forensic and special audits  requests undertaken</t>
  </si>
  <si>
    <t>Number of Cost Recovery/PSA audits planned</t>
  </si>
  <si>
    <t>%-age of Cost Recovery/PSA audits undertaken</t>
  </si>
  <si>
    <t>%age of  recoverable cost claims Allowed</t>
  </si>
  <si>
    <t>%age of planned collaborative activities undertaken</t>
  </si>
  <si>
    <t>Strengthen collaboration with other Anti-corruption institutions</t>
  </si>
  <si>
    <t>16550716</t>
  </si>
  <si>
    <t xml:space="preserve">Prosecution standards adhered to by ODPP and Agencies with delegated prosecutorial functions </t>
  </si>
  <si>
    <t>No. of ODPP offices and Delegated prosecuting Agencies adhering to set standards</t>
  </si>
  <si>
    <t>Carry out inspections to establish adherence to set standards</t>
  </si>
  <si>
    <t>16550717</t>
  </si>
  <si>
    <t>Financial due diligence undertaken  on investors</t>
  </si>
  <si>
    <t xml:space="preserve">No . of financial due diligence reports  produced </t>
  </si>
  <si>
    <t>undertake financial due  diligence to support MDAs identify credible investors</t>
  </si>
  <si>
    <t>16550718</t>
  </si>
  <si>
    <t xml:space="preserve">Financial intellegence disseminated to law enforcement agencies </t>
  </si>
  <si>
    <t xml:space="preserve">No. of financial intelligence reports disseminated  </t>
  </si>
  <si>
    <t xml:space="preserve">analyse all the reports submitted to FIA in relation to financial crime </t>
  </si>
  <si>
    <t>16550719</t>
  </si>
  <si>
    <t>High profile and other corruption cases in Local Governments investigated</t>
  </si>
  <si>
    <t>No. of high profile corruption cases investigated and concluded (disaggregated by MDA &amp; LG level)</t>
  </si>
  <si>
    <t>Investigate and conclude high profile corruption cases</t>
  </si>
  <si>
    <t>No. of other corruption cases investigated and concluded (disaggregated by MDA &amp; LG level)</t>
  </si>
  <si>
    <t>Investigate and conclude other corruption cases</t>
  </si>
  <si>
    <t>% of other corruption cases investigated and concluded within 6 months</t>
  </si>
  <si>
    <t>Investigate and conclude other corruption cases within 6 months from time of registration</t>
  </si>
  <si>
    <t>No. of life style audit reports produced</t>
  </si>
  <si>
    <t>Conduct lifestyle audits on Public Officials</t>
  </si>
  <si>
    <t>% of IG recommendations implemented</t>
  </si>
  <si>
    <t>Follow-up implementation of IG recommendations resulting from 
investigations</t>
  </si>
  <si>
    <t>16550720</t>
  </si>
  <si>
    <t>Surveys and studies conducted on corruption perception and trends.</t>
  </si>
  <si>
    <t>No. of periodic surveys</t>
  </si>
  <si>
    <t>Conduct periodic surveys</t>
  </si>
  <si>
    <t>No. of research studies conducted</t>
  </si>
  <si>
    <t xml:space="preserve">Conduct research on corruption and maladministration </t>
  </si>
  <si>
    <t>No. of policy briefs developed out of the 
research studies</t>
  </si>
  <si>
    <t>16550721</t>
  </si>
  <si>
    <t>IG decisions and reports  defended  in Courts of Law and Courts of Tribunals</t>
  </si>
  <si>
    <t>% of IG decisions and reports successfully defended in Courts of Law</t>
  </si>
  <si>
    <t>Defend IG decisions and reports in 
Courts of Law</t>
  </si>
  <si>
    <t>% of IG decisions and reports successfully defended Courts of Tribunal</t>
  </si>
  <si>
    <t>16550722</t>
  </si>
  <si>
    <t>ODPP staff trained in handling Anti-corruption cases</t>
  </si>
  <si>
    <t>No. of ODPP staff trained in handling Anti-corruption cases</t>
  </si>
  <si>
    <t>Train and equip ODPP prosecutors to lead investigations into corruption cases</t>
  </si>
  <si>
    <t>16550723</t>
  </si>
  <si>
    <t>ODPP staff Equipped with special office equipment (e.g. computers, printers, Photocopiers, etc.) to handle Anti-corruption  cases</t>
  </si>
  <si>
    <t>No. of ODPP offices equipped with special equipment to handle Anti-corruption  cases</t>
  </si>
  <si>
    <t>Equipping ODPP offices with special office equipment to handle Anti- corruption cases</t>
  </si>
  <si>
    <t>16550724</t>
  </si>
  <si>
    <t>ODPP corruption and money- laundering cases prosecuted and managed</t>
  </si>
  <si>
    <t>Number of corruption and money- laundering cases prosecuted and managed</t>
  </si>
  <si>
    <t>Conduct case file reviews; conduct prosecution-led investigations; hold case coordination and management meetings; conduct pre-trial witness interviews; conduct legal research; carry out disclosure of evidence; prepare and file or present and examine legal documents, witnesses and legal submissions; conduct criminal applications and appeals; pre and post session visits; conduct stakeholder meetings; commissioning and servicing of legal documents; hold plea-bargain camps; negotiate, prepare and present plea-bargain agreements.</t>
  </si>
  <si>
    <t>16550725</t>
  </si>
  <si>
    <t>Measures for assets-recovery and proceeds of crime developed and enforced</t>
  </si>
  <si>
    <t>Assets recovery and Proceeds of crime strategy in place</t>
  </si>
  <si>
    <t>Hold consultations measures for assets-recovery and proceeds of crime</t>
  </si>
  <si>
    <t>Conduct pre-trial prosecutions-led-investigations</t>
  </si>
  <si>
    <t>Assets recovery and proceeds of crime implementation guidelines in place</t>
  </si>
  <si>
    <t>Conduct post-conviction prosecution-led-investigations for asset tracing</t>
  </si>
  <si>
    <t>Percentage of recoveries made out of the value of recovery orders due for execution</t>
  </si>
  <si>
    <t>File and prosecute applications in court to ensure preservation of assets</t>
  </si>
  <si>
    <t xml:space="preserve">Restrain and confiscate assets </t>
  </si>
  <si>
    <t>Percentage of administrative recoveries made out of value recoveries that are due for recovery</t>
  </si>
  <si>
    <t>Hire and supervise special investigators valuers court bailiffs financial analysts etc</t>
  </si>
  <si>
    <t>Prepare and file or present and examine legal documents, witnesses and legal submissions</t>
  </si>
  <si>
    <t>Number of outreach and public awareness programs conducted</t>
  </si>
  <si>
    <t>Conduct witness interviews, outreaches and public awareness</t>
  </si>
  <si>
    <t>Number of coordination meetings held/participated in</t>
  </si>
  <si>
    <t>Process MLAs for assets recovery</t>
  </si>
  <si>
    <t>Hold coordination meetings and participate in assets recovery international engagements</t>
  </si>
  <si>
    <t>16550726</t>
  </si>
  <si>
    <t>AML/CFT/CPF compliance enforced in accordance to the relevant laws</t>
  </si>
  <si>
    <t xml:space="preserve">Number of sanction issued for non compliance with the AML/CFT/CPF standard </t>
  </si>
  <si>
    <t>Develop a programme to undertake AML/CFT/CPF compliance inspections among all accountable person</t>
  </si>
  <si>
    <t>16550727</t>
  </si>
  <si>
    <t>Compliance to accountability rules and regulations enforced</t>
  </si>
  <si>
    <t>Domesticated law</t>
  </si>
  <si>
    <t>Anti-Corruption Strategy domesticated</t>
  </si>
  <si>
    <t xml:space="preserve">Strengthen Internal Audit function to enhance operational controls, improve risk management and promote high standards of Accountability  </t>
  </si>
  <si>
    <t>Number of Analytical Laboratory equipment capacity acquired for fraud detection and questioned document examinations</t>
  </si>
  <si>
    <t xml:space="preserve">To  train and equip staff DGAL in forensic investigation of corruption cases submitted by anticorruption agencies </t>
  </si>
  <si>
    <t>16550728</t>
  </si>
  <si>
    <t>IT&amp;Performance internal audits systems strengthened to conform to international Standards</t>
  </si>
  <si>
    <t>Build capacity to conduct high quality and impact - driven performance internal  Audits</t>
  </si>
  <si>
    <t>16550729</t>
  </si>
  <si>
    <t xml:space="preserve">Internal Audit function strengthened  to enhance operational controls, improve risk management and promote high standards of Accountability  </t>
  </si>
  <si>
    <t xml:space="preserve">Internal Audit Capacity to Prevent and Detect fraud built across government
</t>
  </si>
  <si>
    <t>Capacity of all key stake holders in internal audit process built.</t>
  </si>
  <si>
    <t>Strengthen and enforce Compliance to accountability rules and regulations</t>
  </si>
  <si>
    <t>16550801</t>
  </si>
  <si>
    <t>16550802</t>
  </si>
  <si>
    <t>Compliance to Rules and Regulations enforced</t>
  </si>
  <si>
    <t>No of contracts cleared within 14 days</t>
  </si>
  <si>
    <t xml:space="preserve">MoJCA  </t>
  </si>
  <si>
    <t>Review contracts to ascertain conformity to rules and regulations</t>
  </si>
  <si>
    <t>OAG, MoFPED, Parliament</t>
  </si>
  <si>
    <t>Anti-Corruption Strategy domesticated and implemented</t>
  </si>
  <si>
    <t>No. of Law Chambers and Universities teaching Law inspected</t>
  </si>
  <si>
    <t xml:space="preserve">Inspect Law Chambers and Universities teaching Law </t>
  </si>
  <si>
    <t>16550803</t>
  </si>
  <si>
    <t>Approved and Not Approved Law Chambers Published</t>
  </si>
  <si>
    <t>Number of publications in the print media</t>
  </si>
  <si>
    <t>Publish Approved and Non-Approved Law Chambers in the print media</t>
  </si>
  <si>
    <t>16550804</t>
  </si>
  <si>
    <t>Treasury Memoranda prepared and submitted to parliament</t>
  </si>
  <si>
    <t>Number of Treasury Memoranda printed and submitted to Parliament.</t>
  </si>
  <si>
    <t>Carry out on/off site verification of responses by Accounting Officers  to the recomendations of parliament</t>
  </si>
  <si>
    <t>Preparation and printing of Treasury Memoranda</t>
  </si>
  <si>
    <t>16550805</t>
  </si>
  <si>
    <t>Entities assessed for suitability of vote status</t>
  </si>
  <si>
    <t>Number of entities assessed for Vote status</t>
  </si>
  <si>
    <t>Undertake Assessment of entities to give an opinion for vote status</t>
  </si>
  <si>
    <t>16550806</t>
  </si>
  <si>
    <t xml:space="preserve">Strenthened compliance to PFM accountability rules and regulations </t>
  </si>
  <si>
    <t>Proportion (%) of MDAs, LGs and Missions Abroad supported to comply with the PFM Legal and regulatory frameworks.</t>
  </si>
  <si>
    <t>Carryout routine and adhoc Treasury Inspections of MDAs, LGs and Missions Abroad to check compliance with Accountability Rules and Regulations.</t>
  </si>
  <si>
    <t>Provide guidance on interpretation and application of the PFMA and other accountability rules and regulations.</t>
  </si>
  <si>
    <t>Carry out sensitization. Capacity building and change Management of MDAs, LGs and  Missions Abroad on PFM Legal and regulatory frameworks</t>
  </si>
  <si>
    <t>16550807</t>
  </si>
  <si>
    <t xml:space="preserve">Critical IFMS processes automated </t>
  </si>
  <si>
    <t xml:space="preserve">Automate critical processes </t>
  </si>
  <si>
    <t>16550808</t>
  </si>
  <si>
    <t>Governance Risk and Compliance (GRC) requirements on IFMS identified and implemented</t>
  </si>
  <si>
    <t>%ge of implementation of SoDs on IFMS</t>
  </si>
  <si>
    <t>Implement and enforce Segregation of Duties  on IFMS</t>
  </si>
  <si>
    <t>16550809</t>
  </si>
  <si>
    <t>Terms and Conditions of DFP financing agreement monitored</t>
  </si>
  <si>
    <t>Percentage of DFPs in compliance with the provision of the Financing Agreements</t>
  </si>
  <si>
    <t>Monitor the Terms and conditions of financing Agreements</t>
  </si>
  <si>
    <t>16550810</t>
  </si>
  <si>
    <t>Final Consolidated Financial Statements produced and submitted to Parliament and OAG</t>
  </si>
  <si>
    <t>Number of Financial Statements from MALGs Consolidated</t>
  </si>
  <si>
    <t>Undertake regional trainings for MDAs, LGs and Missions abroad to build capacity</t>
  </si>
  <si>
    <r>
      <t>Timely submission of consolidated financial statements by 15</t>
    </r>
    <r>
      <rPr>
        <vertAlign val="superscript"/>
        <sz val="11"/>
        <color theme="1"/>
        <rFont val="Calibri"/>
        <family val="2"/>
        <scheme val="minor"/>
      </rPr>
      <t>th</t>
    </r>
    <r>
      <rPr>
        <sz val="11"/>
        <color theme="1"/>
        <rFont val="Calibri"/>
        <family val="2"/>
        <scheme val="minor"/>
      </rPr>
      <t xml:space="preserve"> March and 30</t>
    </r>
    <r>
      <rPr>
        <vertAlign val="superscript"/>
        <sz val="11"/>
        <color theme="1"/>
        <rFont val="Calibri"/>
        <family val="2"/>
        <scheme val="minor"/>
      </rPr>
      <t>th</t>
    </r>
    <r>
      <rPr>
        <sz val="11"/>
        <color theme="1"/>
        <rFont val="Calibri"/>
        <family val="2"/>
        <scheme val="minor"/>
      </rPr>
      <t xml:space="preserve"> September.</t>
    </r>
  </si>
  <si>
    <t>Offer online system support to Votes for timely resolution of issues.</t>
  </si>
  <si>
    <t>Capacity built on the applicable accounting policies and treatment of financial transactions provided.</t>
  </si>
  <si>
    <t xml:space="preserve">Formulate accounting policies, standards and guidelines </t>
  </si>
  <si>
    <t xml:space="preserve">Sensitize Votes on updated reporting standards and guidelines </t>
  </si>
  <si>
    <t>1W</t>
  </si>
  <si>
    <t xml:space="preserve">Reconcile Government revenue collection and treasury bank accounts and Maintain stock of all Government of Uganda Bank Accounts </t>
  </si>
  <si>
    <t>16550811</t>
  </si>
  <si>
    <t xml:space="preserve">Petroleum Fund and Revenues efficiently managed and invested  </t>
  </si>
  <si>
    <t xml:space="preserve">Timely submission of financial  and other reports submitted by 1st April and 31st December </t>
  </si>
  <si>
    <t xml:space="preserve">Routinely receipt and reconcile petroleum related revenues  </t>
  </si>
  <si>
    <t>Update the petroleum revenue investment policy and advice the MInister on investments made under the petroleum revenue investment reserve.</t>
  </si>
  <si>
    <t>Benchmark the performance of revenue investment reserves in other countries.</t>
  </si>
  <si>
    <t xml:space="preserve">Prepare and submit quarterly and annual reports submitted by the investment advisory committee to the Minister within a month after the end of quarter and Financial year respectively.  </t>
  </si>
  <si>
    <t>16550812</t>
  </si>
  <si>
    <t>Compliance to International Public Sector Accounting Standards enforced</t>
  </si>
  <si>
    <t xml:space="preserve">Proportion of MALGs adopting the IPSAS Accrual Accounting </t>
  </si>
  <si>
    <t>Develop and disseminate IPSAS Accrual compliant financial reporting templates</t>
  </si>
  <si>
    <t>Proportion of MALGs with quality and complete financial reports</t>
  </si>
  <si>
    <t xml:space="preserve">Train all PFM cadre on IPSAS Accrual Accounting and reporting   </t>
  </si>
  <si>
    <t>Implement the Accrual Accounting and asset management project</t>
  </si>
  <si>
    <t>16550813</t>
  </si>
  <si>
    <t xml:space="preserve">MOU on East African Tourism Visa (EATV) operationalized </t>
  </si>
  <si>
    <t>Timely sharing of quarterly remittances with member states by the 15th of the month preceding the quarter.</t>
  </si>
  <si>
    <t xml:space="preserve">Facilitate the national and regional physical verification of EATV revenues at all border posts/points of entry annually </t>
  </si>
  <si>
    <t>16550814</t>
  </si>
  <si>
    <t xml:space="preserve">Effective Audit Committees operationalized </t>
  </si>
  <si>
    <t xml:space="preserve">18 programme audit committee operationalized </t>
  </si>
  <si>
    <t>Create more audit committees and appoint more audit committee members.</t>
  </si>
  <si>
    <t xml:space="preserve">Number of audit committee performance assessments </t>
  </si>
  <si>
    <t xml:space="preserve">Carry out audit committee performance assessment </t>
  </si>
  <si>
    <t xml:space="preserve">Number of audit committee meetings conducted </t>
  </si>
  <si>
    <t xml:space="preserve">MOFPED </t>
  </si>
  <si>
    <t xml:space="preserve">Conduct more audit committee meetings </t>
  </si>
  <si>
    <t>16550815</t>
  </si>
  <si>
    <t>Quality and timely consolidated internal audit reports produced.</t>
  </si>
  <si>
    <t xml:space="preserve">Number of audit recommendations implemented by due dates on the issues raised </t>
  </si>
  <si>
    <t xml:space="preserve">Consolidation of Internal audit reports </t>
  </si>
  <si>
    <t>Number of audit committee members trained</t>
  </si>
  <si>
    <t>Consolidation of audit committee reports</t>
  </si>
  <si>
    <t xml:space="preserve">Consolidation of annual internal audit performance reports </t>
  </si>
  <si>
    <t xml:space="preserve">MOPFED </t>
  </si>
  <si>
    <t>Carry out audit committee trainings  (18) audit committees</t>
  </si>
  <si>
    <t>16550816</t>
  </si>
  <si>
    <t>Improved coordination, collaboration and information sharing for Mutual Legal Assistance.</t>
  </si>
  <si>
    <t>No. of policies and guidelines for handling legal research and advisory developed, disseminated and implemented</t>
  </si>
  <si>
    <t>Develop, disseminate and implement 
policies and guidelines for handling legal 
research and advisory</t>
  </si>
  <si>
    <t>No. of asset recovery campaigns 
conducted</t>
  </si>
  <si>
    <t>Conduct asset recovery campaigns</t>
  </si>
  <si>
    <t>16550817</t>
  </si>
  <si>
    <t>Unexplained and or illicitly acquired wealth recovered.</t>
  </si>
  <si>
    <t>No. of assets recovered</t>
  </si>
  <si>
    <t xml:space="preserve"> Pursue recovery of assets</t>
  </si>
  <si>
    <t>Value of assets recovered</t>
  </si>
  <si>
    <t>16550818</t>
  </si>
  <si>
    <t>High profile and other corruption cases in MDALGs prosecuted.</t>
  </si>
  <si>
    <t>Number of cases prosecuted (disaggregated by type)</t>
  </si>
  <si>
    <t xml:space="preserve"> Prosecute and conclude cases</t>
  </si>
  <si>
    <t>No. of breaches of the Leadership Code prosecuted</t>
  </si>
  <si>
    <t xml:space="preserve"> Prosecute breaches of the Leadership 
Code before the Tribunal</t>
  </si>
  <si>
    <t>Develop and implement an asset recovery framework</t>
  </si>
  <si>
    <t>16550901</t>
  </si>
  <si>
    <t>Breaches of the Leadership Code investigated and forwarded to the Leadership Code Tribunal</t>
  </si>
  <si>
    <t>No. of the leadership code breaches investigated</t>
  </si>
  <si>
    <t>Investigate breaches of the leadership code</t>
  </si>
  <si>
    <t>16550902</t>
  </si>
  <si>
    <t>Framework on asset recovery Developed and implemented.</t>
  </si>
  <si>
    <t>Asset recovery framework</t>
  </si>
  <si>
    <t>Set up working Committee and prequalify Court Bailiffs</t>
  </si>
  <si>
    <t>Estimated cost of assets recovered</t>
  </si>
  <si>
    <t>Recover assets</t>
  </si>
  <si>
    <t>16550903</t>
  </si>
  <si>
    <t>Increased Amount recovered from cases won by Government</t>
  </si>
  <si>
    <t>List of bailiffs (Cost for service provision)</t>
  </si>
  <si>
    <t>Strengthen the Execution capacity to enforce judgments and follow up costs after cases are won</t>
  </si>
  <si>
    <t>No. of staff trained</t>
  </si>
  <si>
    <t>Staff trained in Asset recovery and management processes</t>
  </si>
  <si>
    <t>Mainstream Anti-Corruption initiative (transparency, Accountability and Anti-Corruption- TAAC) initiative in all MDA Plans, Projects/Programmes</t>
  </si>
  <si>
    <t>16551001</t>
  </si>
  <si>
    <t>TAAC mainstreamed in all government projects/programmes.</t>
  </si>
  <si>
    <t xml:space="preserve"> % of districts with functional TAAC partnerships </t>
  </si>
  <si>
    <t xml:space="preserve">Develop and implement a framework 
to strengthen citizens’ demand for 
accountability and improved service delivery </t>
  </si>
  <si>
    <t>% of Districts with functional TAAC implementing partners</t>
  </si>
  <si>
    <t>Develop and operationalize training 
Programs for TAAC implementing partners ( 
CSOs, Sub project leaders and CMGs)</t>
  </si>
  <si>
    <t>% of Parishes/Districts with 
active partners</t>
  </si>
  <si>
    <t>Implement the URSB Anti-Corruption Strategy, develop &amp; implement NGO Bureau Anti-corruption manual</t>
  </si>
  <si>
    <t>MIA</t>
  </si>
  <si>
    <t>16551002</t>
  </si>
  <si>
    <t>Anti-corruption initiatives (Barraza’s and public hearings) implemented</t>
  </si>
  <si>
    <t>Number of Anti-corruption initiatives implemented</t>
  </si>
  <si>
    <t xml:space="preserve">Conduct anti -corruption Barraza’s and public hearings </t>
  </si>
  <si>
    <t>16551003</t>
  </si>
  <si>
    <t xml:space="preserve">Strong control environment </t>
  </si>
  <si>
    <t xml:space="preserve">%-age level of internal audit recommendations implemented  </t>
  </si>
  <si>
    <t>Strengthen internal controls and mitigation of risks for improved governance and compliance</t>
  </si>
  <si>
    <t>16551004</t>
  </si>
  <si>
    <t xml:space="preserve">Effective policies and structures developed and implemented </t>
  </si>
  <si>
    <t xml:space="preserve">%-age level of staff satisfaction with implementation of  policies </t>
  </si>
  <si>
    <t>Implement appropriate Human Resources policies and structures to effectively manage staff</t>
  </si>
  <si>
    <t>16551005</t>
  </si>
  <si>
    <t xml:space="preserve">Enhanced integrity of staff </t>
  </si>
  <si>
    <t xml:space="preserve">Improved internal integrity rating </t>
  </si>
  <si>
    <t>Establish a system that enables the highest ethical and professional standards in all our work</t>
  </si>
  <si>
    <t>16551006</t>
  </si>
  <si>
    <t>Service delivery standards developed and enforced</t>
  </si>
  <si>
    <t xml:space="preserve">No. of MDAs supported to develop Service Delivery Standards </t>
  </si>
  <si>
    <t>provide technical support to MDAs to document and implement SDS</t>
  </si>
  <si>
    <t xml:space="preserve">% of MDAs and LGs with Service Delivery standards </t>
  </si>
  <si>
    <t xml:space="preserve">MoPs </t>
  </si>
  <si>
    <t xml:space="preserve">Number of Outreach Program Undertaken </t>
  </si>
  <si>
    <t xml:space="preserve">Mops </t>
  </si>
  <si>
    <t xml:space="preserve">conduct Outreach programs to disseminate SDS to the Citzens </t>
  </si>
  <si>
    <t>16551007</t>
  </si>
  <si>
    <t xml:space="preserve">National Service Delivery Survey Under taken </t>
  </si>
  <si>
    <t>Number  of National Service Delivery Survey Undertaken</t>
  </si>
  <si>
    <t xml:space="preserve">Conduct the National Service Delivery and disseminate findings of the survey  </t>
  </si>
  <si>
    <t>16551008</t>
  </si>
  <si>
    <t xml:space="preserve">Stakeholders collaboration on SDS promotion established </t>
  </si>
  <si>
    <t xml:space="preserve">No. of collaborative Partnership established  </t>
  </si>
  <si>
    <t xml:space="preserve">prepare and Sign MoUs and Operationalise then </t>
  </si>
  <si>
    <t>16551009</t>
  </si>
  <si>
    <t xml:space="preserve">Capacity of Governemnt institutions in Undertaking Compliance inspection strengthened </t>
  </si>
  <si>
    <t xml:space="preserve">Number of inspectors trained </t>
  </si>
  <si>
    <t xml:space="preserve">Develop and implement a Training program </t>
  </si>
  <si>
    <t xml:space="preserve">Number of political leaders trained </t>
  </si>
  <si>
    <t>Develop and implement a training program</t>
  </si>
  <si>
    <t xml:space="preserve">Number of technical staff trained </t>
  </si>
  <si>
    <t>Develop and Implement a training program</t>
  </si>
  <si>
    <t>16551010</t>
  </si>
  <si>
    <t xml:space="preserve">Inspection Policy for the Public Service Developed </t>
  </si>
  <si>
    <t xml:space="preserve">Inspection policy in place </t>
  </si>
  <si>
    <t xml:space="preserve">Develop an inspection policy </t>
  </si>
  <si>
    <t>16551011</t>
  </si>
  <si>
    <t xml:space="preserve">Compliance inspection undertaken in MDAs and LGs </t>
  </si>
  <si>
    <t xml:space="preserve">Number of MDAs and LGs Per annum </t>
  </si>
  <si>
    <t xml:space="preserve">conduct the compliance inspection, prepare and disseminate the reports </t>
  </si>
  <si>
    <t>16551012</t>
  </si>
  <si>
    <t xml:space="preserve">Implementation of Inspection Findings tracked </t>
  </si>
  <si>
    <t xml:space="preserve">Inspection Technical and Steering committees inplace and functional </t>
  </si>
  <si>
    <t xml:space="preserve">Organise technical and streering committee meetings and prepare minutes </t>
  </si>
  <si>
    <t xml:space="preserve">Half year and annual report on status of implementation of inspection recommendations in place </t>
  </si>
  <si>
    <t xml:space="preserve">Half year And annual report on status of implementation of inspectionrecommendations in produced </t>
  </si>
  <si>
    <t>16551013</t>
  </si>
  <si>
    <t xml:space="preserve">Inspection Mannuals reviewed to Accommodate New Service Delivery trends </t>
  </si>
  <si>
    <t xml:space="preserve">Revised Manual inplace </t>
  </si>
  <si>
    <t>MopS</t>
  </si>
  <si>
    <t xml:space="preserve">revise the Manual to cater for the Identifed gaps </t>
  </si>
  <si>
    <t>16551014</t>
  </si>
  <si>
    <t>Application of Pearl of Africa Institutional Performance scorecard (PAIPS) to measure institutional compliance levels scaled up</t>
  </si>
  <si>
    <t xml:space="preserve">Number of MDAs and LGs where PAIPS is Administered </t>
  </si>
  <si>
    <t xml:space="preserve">Administer PAIPS to MDAs and LGs </t>
  </si>
  <si>
    <t xml:space="preserve">Annual PAIPS report produced and best peforming Institutions awarded </t>
  </si>
  <si>
    <t xml:space="preserve">Prepare PAIPS report and award the best performing institutions </t>
  </si>
  <si>
    <t>16760207</t>
  </si>
  <si>
    <t xml:space="preserve">E- inspection tools developed and operationalsied </t>
  </si>
  <si>
    <t xml:space="preserve">E-inspection tools in place and uploaded on the Ministry website </t>
  </si>
  <si>
    <t>Mops</t>
  </si>
  <si>
    <t>Develop and operationalise E- inspection tool</t>
  </si>
  <si>
    <t xml:space="preserve">E- inspection tools developed and operationalised </t>
  </si>
  <si>
    <t xml:space="preserve">Number of MDAs and LGs where the E-inspection tool is rolled out </t>
  </si>
  <si>
    <t xml:space="preserve">Roll out E-inspection tool to MDAs and LGs </t>
  </si>
  <si>
    <t>16551015</t>
  </si>
  <si>
    <t xml:space="preserve">Automated information management system implemented </t>
  </si>
  <si>
    <t xml:space="preserve">%-age level of Staff satisfaction with Automated OAG systems </t>
  </si>
  <si>
    <t>Improve information management and analytics to promote transparency and support robust decision making.</t>
  </si>
  <si>
    <t>166601a</t>
  </si>
  <si>
    <t>Domesticate international and regional treaties.</t>
  </si>
  <si>
    <t xml:space="preserve">Appropriate international and regional laws harmonized and domesticated. </t>
  </si>
  <si>
    <t>No. of international and regional laws harmonised &amp; domesticated</t>
  </si>
  <si>
    <t xml:space="preserve">MoJCA </t>
  </si>
  <si>
    <t>Negotiate, Consult and Draft regional laws</t>
  </si>
  <si>
    <t xml:space="preserve">% of International conventions, treaties and protocols domesticated  </t>
  </si>
  <si>
    <t xml:space="preserve">Domesticate United Nations Convention  (UNCAC) Implementation Review Mechanism </t>
  </si>
  <si>
    <t>No of treaties reviewed to to ensure compliance to the international and Regional conventions, treaties and protocols</t>
  </si>
  <si>
    <t xml:space="preserve">Review Uganda’s compliance to UNCAC. </t>
  </si>
  <si>
    <t>Uganda's Compliance with its obligations under UNCAC</t>
  </si>
  <si>
    <t>Legal Aid Law drafted and presented to Parliament for enactment</t>
  </si>
  <si>
    <t>Legal Aid Law in place</t>
  </si>
  <si>
    <t>Draft, negotiate, Consult on legal aid law and present to Parliament</t>
  </si>
  <si>
    <t>A comprehensive law on the recovery of proceeds of crime management and disposal of the recovered assets drafted and presented to Parliameny for enactment.</t>
  </si>
  <si>
    <t>Develop and operationalize a law on recovery of proceeds of crime management and disposal of the recovered assets in place</t>
  </si>
  <si>
    <t>Enact  and operationalize Law on recovery of corruption proceeds management and disposal of the recovered assets, advocacy and popularisation</t>
  </si>
  <si>
    <t>Draft law presented to Parliament for enactment</t>
  </si>
  <si>
    <t>Operationalize Law on recovery of corruption proceeds management and disposal of the recovered assets, advocacy and popularisation</t>
  </si>
  <si>
    <t xml:space="preserve">A law on mutual legal assistance developed </t>
  </si>
  <si>
    <t xml:space="preserve">Draft law on mutual legal assistance in place </t>
  </si>
  <si>
    <t>Draft a law a law on mutual legal assistance and present to Parliament</t>
  </si>
  <si>
    <t>Research Proposals for law reform</t>
  </si>
  <si>
    <t>No. of laws reviewed</t>
  </si>
  <si>
    <t>Carry out research to inform reform of laws for sustainable development</t>
  </si>
  <si>
    <t>105 Law Reform Commission</t>
  </si>
  <si>
    <t>Leadership Code Act amended to enforce income and asset disclosure</t>
  </si>
  <si>
    <t>Amended Leadership Code Act to enforce income and asset disclosure</t>
  </si>
  <si>
    <t>Enactment of Leadership Code Amendment Act</t>
  </si>
  <si>
    <t>Review and draft amendment to areas of policing such as POM, fire prevention, drugs and narcotics, etc.</t>
  </si>
  <si>
    <t>The IG Act reviewed to promote modern governance practices.</t>
  </si>
  <si>
    <t>Draft IG amendment Bill in place</t>
  </si>
  <si>
    <t>Draft the IG Amendment Bill</t>
  </si>
  <si>
    <t>The law on Narcotic and psychotropic substance and Control Act (2015) operationalized</t>
  </si>
  <si>
    <t xml:space="preserve">Narcotics and psychotropic substance and control Act (2015) implemented </t>
  </si>
  <si>
    <t>Development of Regulations and establishment of the secretariat;</t>
  </si>
  <si>
    <t xml:space="preserve">Law on  Narcotics and psychotropic substance and control Act (2015) implemented </t>
  </si>
  <si>
    <t>Enforcement and Forensic Quality Assurance and Control</t>
  </si>
  <si>
    <t>Legislation for DGAL reviewed and developed</t>
  </si>
  <si>
    <t>Forensic Evidence and DNA Database Law in place</t>
  </si>
  <si>
    <t>Forensic Evidence and DNA Database Law enacted;</t>
  </si>
  <si>
    <t>Updated laws of Uganda</t>
  </si>
  <si>
    <t>No of laws updated</t>
  </si>
  <si>
    <t>Updating and consolidation of laws</t>
  </si>
  <si>
    <t>Appropriate international and regional laws harmonized and domesticated.</t>
  </si>
  <si>
    <t>No of policies developed and/or reviewed</t>
  </si>
  <si>
    <t>Work with ESAAMLG and FATF  to develop appropriate international and regional laws and ensure that they are harmonized and domesticated.</t>
  </si>
  <si>
    <t>AML/CFT International standards implemented</t>
  </si>
  <si>
    <t>No. of FATF Technical Compliance recommendations rated compliant.</t>
  </si>
  <si>
    <t>undertake the mutual evaluation of AML/CFT framework and regularly review implementation progress</t>
  </si>
  <si>
    <t xml:space="preserve">Labour &amp; employment laws,  regulations, guidelines reviewed   </t>
  </si>
  <si>
    <t>Number of laws, regulations and guidelines reviewed</t>
  </si>
  <si>
    <t>Undertake Regulation Impact Assessment for review of Labour Laws</t>
  </si>
  <si>
    <t xml:space="preserve">MGLSD </t>
  </si>
  <si>
    <t>Review Labour Laws and Attendant Regulations</t>
  </si>
  <si>
    <t>Review  and draft Labour Laws and Attendant Regulations</t>
  </si>
  <si>
    <t>Develop Rules and guidelines for handling violence and harassment cases</t>
  </si>
  <si>
    <t>Print and disseminate Labour Laws, Regulations and Guidelines</t>
  </si>
  <si>
    <t xml:space="preserve">Review Regulations for Election of Workers Representatives in District Councils and Parliament </t>
  </si>
  <si>
    <t>Commercial laws implemented by URSB reviewed as required</t>
  </si>
  <si>
    <t>Number of laws reviewed</t>
  </si>
  <si>
    <t>Review the laws</t>
  </si>
  <si>
    <t>Legal framework for establishment of non individual entities register formulated</t>
  </si>
  <si>
    <t>% progress attained with formulation of legal framework for establishment of non individual register</t>
  </si>
  <si>
    <t>Formulate the legal framework for establishment of non individual entities register</t>
  </si>
  <si>
    <t>Review Children Laws and Attendant Regulations</t>
  </si>
  <si>
    <t>No of policies and pieces of legislation developed/ reviewed</t>
  </si>
  <si>
    <t>Undertake Children Law Audits</t>
  </si>
  <si>
    <t>Conduct research for informing review of Children Laws, Polices and regulations</t>
  </si>
  <si>
    <t>Ratify the Hague Convention on Intercountry Adoption</t>
  </si>
  <si>
    <t>The Constitution Reviewed</t>
  </si>
  <si>
    <t>Reviewed Constitution</t>
  </si>
  <si>
    <t>Establish a Constitutional Review Commission and review the Constitution</t>
  </si>
  <si>
    <t>Criminal related bills drafted and submitted to Cabinet for Approval</t>
  </si>
  <si>
    <t xml:space="preserve">Number of criminal related bills drafted </t>
  </si>
  <si>
    <t xml:space="preserve">Undertake Regulatory Impact Assessment for review of criminal related laws and make necessary amendments </t>
  </si>
  <si>
    <t>Policies and legal framework for effective governance and security developed/reviewed</t>
  </si>
  <si>
    <t>Develop and implement the National Corrections Policy, Prisons HRD plan,  operationalize  the Prisons Reward and Sanction Guidelines and Prisons Standing Orders</t>
  </si>
  <si>
    <t>Laws and policies developed/reviewed for effective governance and security</t>
  </si>
  <si>
    <t>Number of policies developed/reviewed</t>
  </si>
  <si>
    <t>Review policies to enhance effective and efficient security service delivery</t>
  </si>
  <si>
    <t xml:space="preserve">Develop the corrections Policy to harmonize all Uganda’s national correctional approaches </t>
  </si>
  <si>
    <t xml:space="preserve"> Reform and update 16 laws and formulate 2 new laws to promote competiveness and regional integration </t>
  </si>
  <si>
    <t>Review  and draft the Uganda Citizenship and Immigration Control Law</t>
  </si>
  <si>
    <t xml:space="preserve">Develop the framework for collaboration and partnership between Government and RFOs in the fight against Corruption. </t>
  </si>
  <si>
    <t xml:space="preserve">Develop a policy for enjoyment of freedom of worship as enshrined in the Constitution </t>
  </si>
  <si>
    <t xml:space="preserve">No. of laws developed/reviewed </t>
  </si>
  <si>
    <t>Reform/develop laws through research</t>
  </si>
  <si>
    <t>Research study and survey report</t>
  </si>
  <si>
    <t>Undertake research on the development process of regulation of legal profession and understanding unmet need in the Legal Aid service provision</t>
  </si>
  <si>
    <t xml:space="preserve">Number of Research studies conducted </t>
  </si>
  <si>
    <t>Conduct research to inform development of policies on law and administration of justice</t>
  </si>
  <si>
    <t>No of policies developed/reviewed</t>
  </si>
  <si>
    <t>Develop Intelligence and Security policy</t>
  </si>
  <si>
    <t>Compendia of laws developed</t>
  </si>
  <si>
    <t xml:space="preserve">No. of compendia prepared </t>
  </si>
  <si>
    <t>Prepare compendia of selected laws</t>
  </si>
  <si>
    <t xml:space="preserve">Revised NOTERUP </t>
  </si>
  <si>
    <t>Revised NOTERUP in place</t>
  </si>
  <si>
    <t>Prepare NOTERUP to the revised edition of the laws of Uganda (both Principal and Subsidiary Laws) and publication</t>
  </si>
  <si>
    <t>Governance and security Policies reviewed and developed</t>
  </si>
  <si>
    <t xml:space="preserve">Number of policies and developed and reviewed </t>
  </si>
  <si>
    <t>Conduct research for informing review of labour                                                                                                                       policies</t>
  </si>
  <si>
    <t>Develop Uganda National Access to Labour Justice Policy</t>
  </si>
  <si>
    <t>Develop Uganda National Elimination of Sexual Harassment Policy</t>
  </si>
  <si>
    <t xml:space="preserve">Number of ILO Conventions ratified </t>
  </si>
  <si>
    <t xml:space="preserve">Ratify Convection 190 (violence and harassment in the world of work) </t>
  </si>
  <si>
    <t>Ratify 03 Convections of 190 (violence and harassment in the world of work);  C189 Domestic Workers Convention and C.183 Maternity Protection.</t>
  </si>
  <si>
    <t>Submissions to Cabinet  reviewed for adequacy and harmony with national frameworks and international commitments</t>
  </si>
  <si>
    <t>Number of submissions to Cabinet reviewed for adequacy and harmony with national frameworks and international commitments</t>
  </si>
  <si>
    <t>-Quality assurance of submissions to Cabinet for Compliance with RBP/RIA</t>
  </si>
  <si>
    <t>Cabinet forward Agenda plan, National Policy Research Agenda, and Inventory of public policies, laws and regulations produced, validated and disseminated</t>
  </si>
  <si>
    <t>Production of Cabinet forward Agenda Plan, National Policy Research Agenda, and Inventory of public policies, laws and regulations</t>
  </si>
  <si>
    <t>Capacity of Government officials built in RBP/RIA and Policy Management</t>
  </si>
  <si>
    <t>Number of Government officials hose capacty has been built in RBP/RIA and Policy Management</t>
  </si>
  <si>
    <t xml:space="preserve">Capacity building in RBP/RIA and Policy Management for MDAs, LGs </t>
  </si>
  <si>
    <t>Capacity of staff of D PD&amp;CB in Policy Development enhanced</t>
  </si>
  <si>
    <t>Capacity building for staff of D PD&amp;CB in Policy Management</t>
  </si>
  <si>
    <t>Cabinet Decisions monitored and reports produced</t>
  </si>
  <si>
    <t xml:space="preserve">Number of cabinet decisions monitored </t>
  </si>
  <si>
    <t>Monitoring and evaluation of Cabinet Decsions and production of reports</t>
  </si>
  <si>
    <t xml:space="preserve">Capacity of the Policy analysis cadre and DCUS forum built. </t>
  </si>
  <si>
    <t xml:space="preserve">Number of officers trained. </t>
  </si>
  <si>
    <t>Capacity building for Policy Analyst Cadre and stakeholders in M&amp;E and preparation of policy briefs</t>
  </si>
  <si>
    <t>Public Policy implementation monitored</t>
  </si>
  <si>
    <t xml:space="preserve">Number of Public Policies whose implementation has been monitored </t>
  </si>
  <si>
    <t>Public Policies reviewed and aligned to NDP III and International Frameworks</t>
  </si>
  <si>
    <t>Number of Public Policies reviewed and aligned to NDP III and International Frameworks</t>
  </si>
  <si>
    <t>Review of Public policies</t>
  </si>
  <si>
    <t>Policy briefs and Cabinet Memoranda on the status of implementation of Cabinet Decisions and Public Policies produced.</t>
  </si>
  <si>
    <t>Number of policy briefs and Cabinet Memoranda produced and disseminated</t>
  </si>
  <si>
    <t>Production and dissemination of Policy briefs and Cabinet Memoranda</t>
  </si>
  <si>
    <t>Guidance on policy development provided to MDAs and reports produced</t>
  </si>
  <si>
    <t xml:space="preserve">Number of MDAs guided in policy development </t>
  </si>
  <si>
    <t>Provision of guidance on policy development to MDAs</t>
  </si>
  <si>
    <t>Policies for effective governance developed</t>
  </si>
  <si>
    <t>No of policies developed</t>
  </si>
  <si>
    <t>Develop the policy to guide compensation and ex-gratia; reparation policy and strategy; and Government liability mitigation policy and plan.</t>
  </si>
  <si>
    <t xml:space="preserve"> Simplify, translate and disseminate laws, policies and standards</t>
  </si>
  <si>
    <t xml:space="preserve">Laws Translated and simplified </t>
  </si>
  <si>
    <t>No. of laws, policies and standards simplified</t>
  </si>
  <si>
    <t>Scale up the simplification, translation, publication and dissemination of Anti-corruption Laws and Policies to all stakeholders.</t>
  </si>
  <si>
    <t>No. of laws Disseminated</t>
  </si>
  <si>
    <t>Simplify priority laws for effective governance</t>
  </si>
  <si>
    <t>No. of laws translated</t>
  </si>
  <si>
    <t>Translation of priority laws into local languages and other minority languages</t>
  </si>
  <si>
    <t>Constitution translated into local languages</t>
  </si>
  <si>
    <t>Translation of the Constitution</t>
  </si>
  <si>
    <t>No. of laws transcribed into brail</t>
  </si>
  <si>
    <t>Brail transcription</t>
  </si>
  <si>
    <t xml:space="preserve">Number of Labour Laws Translated in major languages </t>
  </si>
  <si>
    <t xml:space="preserve">Translate Labour Laws in major languages </t>
  </si>
  <si>
    <t>Translated policies and standards</t>
  </si>
  <si>
    <t>No. of policies and standards translated</t>
  </si>
  <si>
    <t xml:space="preserve">Simplify and translate the Religious and Faith Organizations framework into 5 languages </t>
  </si>
  <si>
    <t xml:space="preserve">Simplify and translate the National Ethical Values policy  into 5 languages </t>
  </si>
  <si>
    <t>Published laws and study reports</t>
  </si>
  <si>
    <t>No. of laws/study reports published</t>
  </si>
  <si>
    <t>Equip the public with knowledge of the law</t>
  </si>
  <si>
    <t>7th Revised edition of Principal laws Published</t>
  </si>
  <si>
    <t>No. of copies published</t>
  </si>
  <si>
    <t>Print the red volumes and make them available to the general public</t>
  </si>
  <si>
    <t>Number of policies developed</t>
  </si>
  <si>
    <t>Develop policies for improved service delivery</t>
  </si>
  <si>
    <t>Draft National Legal Aid Policy</t>
  </si>
  <si>
    <t>National Legal Aid Policy Reviewed</t>
  </si>
  <si>
    <t>Review and finalize the draft National Legal Aid Policy</t>
  </si>
  <si>
    <t xml:space="preserve">Policies reviewed for effective governance </t>
  </si>
  <si>
    <t>Number of policies reviewed</t>
  </si>
  <si>
    <t xml:space="preserve">Review the National Interlectual Property Rights Policy </t>
  </si>
  <si>
    <t>No. of publications</t>
  </si>
  <si>
    <t>Publish laws and study reports</t>
  </si>
  <si>
    <t xml:space="preserve">Laws (Compendiums) and IEC Materials translated into Local languages, Arabic and French </t>
  </si>
  <si>
    <t>Public legal education programs.</t>
  </si>
  <si>
    <t>Number of public legal sensitisations conducted</t>
  </si>
  <si>
    <t>Sensitize the public about different laws through the radio and  workshops</t>
  </si>
  <si>
    <t xml:space="preserve">Number of public legal sensitisations conducted </t>
  </si>
  <si>
    <t>Sensitise the public about the expected conduct and standards of Law firms</t>
  </si>
  <si>
    <t>No. of users guide and will writing guides printed and disseminated</t>
  </si>
  <si>
    <t>Print and disseminate users' guides and will writing guides</t>
  </si>
  <si>
    <t>No. of stakeholder engagements/dialogue conducted</t>
  </si>
  <si>
    <t>Conduct stakeholder engagements/dialogue to enhance knowledge and information on law rights obligation and duties by users of Administrator General</t>
  </si>
  <si>
    <t xml:space="preserve">IEC material on different laws produced </t>
  </si>
  <si>
    <t>No. of IEC materials produced.</t>
  </si>
  <si>
    <t>IEC materials produced and disseminated</t>
  </si>
  <si>
    <t xml:space="preserve">Disseminate the translated  version of the Religious and Faith Organizations framework and the National Ethical Values Policy in 80 districts </t>
  </si>
  <si>
    <t xml:space="preserve">Labour Laws, Policies and Standards disseminated </t>
  </si>
  <si>
    <t xml:space="preserve">Number of Labour Law Audits undertaken </t>
  </si>
  <si>
    <t xml:space="preserve">Undertake Labour Law Audits </t>
  </si>
  <si>
    <t xml:space="preserve">Number of Labour Laws printed and distributed </t>
  </si>
  <si>
    <t xml:space="preserve">Print and disseminate Labour Policies, Laws and Regulations </t>
  </si>
  <si>
    <t>Number of sensitization programmes undertaken</t>
  </si>
  <si>
    <t xml:space="preserve">Conduct  awareness campaigns on labour laws and regulations </t>
  </si>
  <si>
    <t xml:space="preserve">Conduct annual National Forum for disemination of labour laws </t>
  </si>
  <si>
    <t>Sensitize Labour Officers and workers on Labour Policies, Laws and Regulations</t>
  </si>
  <si>
    <t>Number of Judges sensitised on National and International Labour Standards</t>
  </si>
  <si>
    <t>Sensitise all Judges on International and National Labour Standards</t>
  </si>
  <si>
    <t>Number of Boards  sensitised on National and International Standards</t>
  </si>
  <si>
    <t>Medial Arbitration Board and Labour Advisory Board Trained on National and International Standards</t>
  </si>
  <si>
    <t xml:space="preserve">Number of cases investigated </t>
  </si>
  <si>
    <t xml:space="preserve">Conduct investigation of cases related to violation of workers’ rights </t>
  </si>
  <si>
    <t xml:space="preserve">Number of Special Interest Groups sensitized </t>
  </si>
  <si>
    <t>Conduct awareness and sensitization of special interest groups on the labour policies and laws</t>
  </si>
  <si>
    <t xml:space="preserve">Children Laws, Policies and Standards disseminated </t>
  </si>
  <si>
    <t>No of Children, Policies, Laws and Regulations printed and diseminated</t>
  </si>
  <si>
    <t>Print and disseminate Children, Policies, Laws and Regulations</t>
  </si>
  <si>
    <t>No of persons sensitised on children laws and regulations</t>
  </si>
  <si>
    <t>Conduct awareness campaigns on children laws and regulations</t>
  </si>
  <si>
    <t>No of persons in Annual National Forum on Child Justice in Uganda</t>
  </si>
  <si>
    <t>Conduct annual National Forum on Child Justice in Uganda</t>
  </si>
  <si>
    <t>No of District Probation and Welfare Officers on Child Policies, Laws and Regulations</t>
  </si>
  <si>
    <t>Train District Probation and Welfare Officers on Child Policies, Laws and Regulations</t>
  </si>
  <si>
    <t>Public awareness of existing laws</t>
  </si>
  <si>
    <t>No. of law awareness campaigns conducted</t>
  </si>
  <si>
    <t>Pre and post enactment awareness of laws</t>
  </si>
  <si>
    <t xml:space="preserve">Justice Law and Order Services delivery DE concentrated </t>
  </si>
  <si>
    <t>Percentage of districts with a complete chain of JLOS service</t>
  </si>
  <si>
    <t>80% of districts with a complete chain of JLOS service by FY 2024/25.</t>
  </si>
  <si>
    <t xml:space="preserve">Construction, expansion, upgrading and equipping of 45 prisons and reception prison centers to complete the chain of Justice </t>
  </si>
  <si>
    <t>No. of Regional MoJCA Offices Constructed</t>
  </si>
  <si>
    <t>Construction and equiping of Regional Offices in Soroti, Masaka, Lira, Jinja and Rukungiri</t>
  </si>
  <si>
    <t>Proportion of JLOS House constructed</t>
  </si>
  <si>
    <t>Construction of JLOS House</t>
  </si>
  <si>
    <t>Equiping of the JLOS House</t>
  </si>
  <si>
    <t>Number of UHRC New regional offices established and operationalised</t>
  </si>
  <si>
    <t>Establish and operationalize new  UHRC Regional Offices</t>
  </si>
  <si>
    <t>No. of one stop business registration services points (URSB)</t>
  </si>
  <si>
    <t xml:space="preserve">Strengthen existing and establish new one-stop business registration services points </t>
  </si>
  <si>
    <t>Percentage of districts with ODPP presence</t>
  </si>
  <si>
    <t>Establish and operationalise prosecution services in 16 districts</t>
  </si>
  <si>
    <t>DEvelop appropriate infrastructure for legislation, security, justice, law and order</t>
  </si>
  <si>
    <t xml:space="preserve">JUstice Law and Order Services delivery DE concentrated </t>
  </si>
  <si>
    <t>No. of acres of land acquired</t>
  </si>
  <si>
    <t>Procure land for construction of immigration service delivery points</t>
  </si>
  <si>
    <t>No. of complete One Stop Border Posts constructed</t>
  </si>
  <si>
    <t>Construct border posts for improved service delivery</t>
  </si>
  <si>
    <t>STRengthen people centered delivery of security, justice, law and order services</t>
  </si>
  <si>
    <t>No. of complete Immigration  Regional offices constructed</t>
  </si>
  <si>
    <t>Construct regional offices for decentralised immigration service delivery</t>
  </si>
  <si>
    <t>Security infrastructure in place</t>
  </si>
  <si>
    <t>Construct Min-Max security prisons in 2 regions and a super maxi prison at Kasanje and Kitalya Mini Maxi</t>
  </si>
  <si>
    <t>Construction, expansion, renovation, upgrading and equipping of High security prisons including female prisons</t>
  </si>
  <si>
    <t xml:space="preserve">Electronic Offender Monitoring Systems  </t>
  </si>
  <si>
    <t>261 prisons</t>
  </si>
  <si>
    <t>Maintenance of prisons infrastructure</t>
  </si>
  <si>
    <t>20 prisons</t>
  </si>
  <si>
    <t xml:space="preserve">Construction of security infrastructure to enhance security of prisons (sentries, lighting, armory stores, gate lodges and security stores): </t>
  </si>
  <si>
    <t>Construct and maintain police facilities (offices, stations, maintenance centres and other specialized facilities)</t>
  </si>
  <si>
    <t>Security infrastructure for ODPP assets across the country in place</t>
  </si>
  <si>
    <t>Procure and install security equipment and gourd services in all ODPP assets across the country</t>
  </si>
  <si>
    <t>ODPP office premises constructed and equipped with security infrastructure</t>
  </si>
  <si>
    <t>Construct ODPP office premises and equip them with security infrastructure</t>
  </si>
  <si>
    <t xml:space="preserve">Number of prisons whose land is surveyed and titled. &amp; Acquired </t>
  </si>
  <si>
    <t xml:space="preserve">Land Management (Land Surveying &amp; Titling, Boundary Opening) &amp; Acquisition for construction of Prisons Infrastructure </t>
  </si>
  <si>
    <t xml:space="preserve">No. of  prisons offices constructed and retooled </t>
  </si>
  <si>
    <t xml:space="preserve">Construct and retool offices in various regions and prisons </t>
  </si>
  <si>
    <t xml:space="preserve">Infrastructure developed </t>
  </si>
  <si>
    <t>Proportion of the Security Hospital constructed (%)</t>
  </si>
  <si>
    <t>Construct Security Hospital</t>
  </si>
  <si>
    <t>Proportion of Strategic Security Institute (ISS-U) developed and Operationalised (%)</t>
  </si>
  <si>
    <t>Develop (ISS-U)</t>
  </si>
  <si>
    <t>Operationalise (ISSU)</t>
  </si>
  <si>
    <t>Proportion of National Intelligence Academy constructed and equipped (%)</t>
  </si>
  <si>
    <t>Construct and equip the National Intelligence Academy</t>
  </si>
  <si>
    <t>Proportion of Headquarter Constructed (%)</t>
  </si>
  <si>
    <t xml:space="preserve">Construction of Headquarters </t>
  </si>
  <si>
    <t>Proportion of Field Offices, marines and strategic sites constructed (%)</t>
  </si>
  <si>
    <t xml:space="preserve">Construction of Field Offices, marines and strategic sites </t>
  </si>
  <si>
    <t>Proportion of the Security Laboratory Constructed &amp; Equipped (%)</t>
  </si>
  <si>
    <t>Construction of a Security Laboratory</t>
  </si>
  <si>
    <t>Bar Course Graduates</t>
  </si>
  <si>
    <t>Pass rate/Completion rate</t>
  </si>
  <si>
    <t xml:space="preserve">Train Bar Course Students </t>
  </si>
  <si>
    <t>Paralegals and Administrative Officers trained</t>
  </si>
  <si>
    <t xml:space="preserve">% of students graduating the Diploma in Law </t>
  </si>
  <si>
    <t>Train Diploma in Law Students</t>
  </si>
  <si>
    <t>% of students graduating the Diploma in Human Rights</t>
  </si>
  <si>
    <t>Train Diploma in Human Rights Students</t>
  </si>
  <si>
    <t>% of students graduating the Administrative Law Officers Course, Court Bailifs, Law Clerks,Law Officers and tailor made courses</t>
  </si>
  <si>
    <t>Train Administrative Law officers, Court Bailifs, Law Clerks,Law Officers and tailor made courses</t>
  </si>
  <si>
    <t>Remand homes constructed and equipped</t>
  </si>
  <si>
    <t xml:space="preserve">No of Remand Homes Constructed </t>
  </si>
  <si>
    <t>Construction and equipping of 4 Regional Remand Homes</t>
  </si>
  <si>
    <t>Amount paid in Legal Fees</t>
  </si>
  <si>
    <t>Payment of external lawyers (legal Fees) engaged by Government of Uganda at the International Courts, Tribunals and Arbitrations</t>
  </si>
  <si>
    <t xml:space="preserve">No of vehicles procured </t>
  </si>
  <si>
    <t xml:space="preserve">Procure 4 vehicles for remand homes </t>
  </si>
  <si>
    <t xml:space="preserve">No of functional Remand Home Management Information System designed </t>
  </si>
  <si>
    <t>Design and establish functional Remand Home Management Information System</t>
  </si>
  <si>
    <t>Functional Case management systems automated for Probation and Welfare Officers</t>
  </si>
  <si>
    <t xml:space="preserve">No of case management systems automated </t>
  </si>
  <si>
    <t>Procure case management automated system for probation and welfare officers</t>
  </si>
  <si>
    <t xml:space="preserve">No of computers and eqquipments procured for Probation and Welfare Officers </t>
  </si>
  <si>
    <t>Procure computers and equipments for Probation and Welfare officers</t>
  </si>
  <si>
    <t>No of persons trained on case management system</t>
  </si>
  <si>
    <t xml:space="preserve">Train Probation and Welfare Officers, State Artoneys and Judges on case management system </t>
  </si>
  <si>
    <t xml:space="preserve">No of Legal Materials procured </t>
  </si>
  <si>
    <t>Procure Legal material for Probation and Welfare Officers</t>
  </si>
  <si>
    <t>No of vehicles and motorcycles for District Probation and Welfare Officers</t>
  </si>
  <si>
    <t>Procure vehicles and motorcycles for District Probation and Welfare Officers</t>
  </si>
  <si>
    <t xml:space="preserve">Juvenile Court Sessions conducted </t>
  </si>
  <si>
    <t xml:space="preserve">% of Juvenile cases concluded </t>
  </si>
  <si>
    <t>Conduct regular Juvenile court sessions</t>
  </si>
  <si>
    <t>Transitional justice policy implemented</t>
  </si>
  <si>
    <t>Guidelines/standards on reparations, traditional justice and nation building in place</t>
  </si>
  <si>
    <t>Consultations on TJ Guidelines</t>
  </si>
  <si>
    <t xml:space="preserve">Undertake Consultations on reparations, traditional justice and nation building </t>
  </si>
  <si>
    <t>LG courts, MoLG, ULRC</t>
  </si>
  <si>
    <t>Number of reporters demobilized.</t>
  </si>
  <si>
    <t>Conducting meetings with rebel groups, receiving reporters</t>
  </si>
  <si>
    <t>Number of reporters and victims reintegrated</t>
  </si>
  <si>
    <t>Provide reparation for post conflict situations (, training, equipping, reinserting)</t>
  </si>
  <si>
    <t>Transitional Justice Act in place</t>
  </si>
  <si>
    <t>Consultations , draft TJ guidelines, TJ Act passed and implemention</t>
  </si>
  <si>
    <t>Draft Transitional Justice Act in place</t>
  </si>
  <si>
    <t xml:space="preserve">Draft the Transitional Justice Act </t>
  </si>
  <si>
    <t>Outreach for war crimes cases conducted</t>
  </si>
  <si>
    <t>Transitional Justice Act enacted and operationalized</t>
  </si>
  <si>
    <t>TJ Act passed and implemented</t>
  </si>
  <si>
    <t xml:space="preserve">War crimes cases investigated and prosecuted </t>
  </si>
  <si>
    <t>No. of war crimes cases investigated and prosecuted</t>
  </si>
  <si>
    <t>Meetings, consultation</t>
  </si>
  <si>
    <t xml:space="preserve">Capacity building for ODPP staff in handling war crimes enhanced </t>
  </si>
  <si>
    <t>No. of equipment procured for war crimes prosecution</t>
  </si>
  <si>
    <t>Procure equipment</t>
  </si>
  <si>
    <t>No. of ODPP staff trained to handle war crimes cases</t>
  </si>
  <si>
    <t>Training of staff</t>
  </si>
  <si>
    <t>Proceeds of crime generated from transnational organized crimes detected and prevented</t>
  </si>
  <si>
    <t>Proportion of proceeds of transnational organized crimes detected and reported to LEAs</t>
  </si>
  <si>
    <t xml:space="preserve">Identify proceeds of transnational organized crimes and disseminate intelligence reports for investigation and prosecution </t>
  </si>
  <si>
    <t>Offender rehabilitation strengthened</t>
  </si>
  <si>
    <t>Number of offenders undergoing rehabilitation programs</t>
  </si>
  <si>
    <t>Infrastructure development for Treatment Programs</t>
  </si>
  <si>
    <t>Infrastructure for Formal education and FAL Programs</t>
  </si>
  <si>
    <t>Management of formal education and FAL programs</t>
  </si>
  <si>
    <t>Infrastructure for Industrial training of offenders</t>
  </si>
  <si>
    <t>Training of offenders in Industrial skills</t>
  </si>
  <si>
    <t>Infrastructure for offender vocational skills training in Agriculture</t>
  </si>
  <si>
    <t>Narcotics and psychotropic substance and control Act (2016) operationalised</t>
  </si>
  <si>
    <t>Proportion of the provisions of the Act implemented</t>
  </si>
  <si>
    <t xml:space="preserve">Establishment of a National Co-ordination
Committee and for Drug Control, Establishment of Secretariat, Establishment of Advisory Committee for the Rehabilitation of Narcotic
Addicts, among others
</t>
  </si>
  <si>
    <t>DGAL,UPF</t>
  </si>
  <si>
    <t xml:space="preserve">% of cases investigated using scientific evidence  </t>
  </si>
  <si>
    <t>Promote application of science in crime investigation</t>
  </si>
  <si>
    <t>Increase of case disposal rate</t>
  </si>
  <si>
    <t>Forensic and General Scientific Services provided</t>
  </si>
  <si>
    <t>% of case disposal</t>
  </si>
  <si>
    <t xml:space="preserve">Timely analysis of received forensic cases </t>
  </si>
  <si>
    <t>Number of modern scientific machinery and equipment acquired</t>
  </si>
  <si>
    <t xml:space="preserve">Acquire Critical modern scientific Machinery &amp; Equipment </t>
  </si>
  <si>
    <t xml:space="preserve">Strengthen response to crime </t>
  </si>
  <si>
    <t xml:space="preserve">Number of scientific equipment maintained and calibrated </t>
  </si>
  <si>
    <t xml:space="preserve">Calibrate and maintain Scientific Equipment </t>
  </si>
  <si>
    <t>Reagents, Chemicals &amp; Consumables in place</t>
  </si>
  <si>
    <t>Acquire Reagents, Chemicals &amp; Consumables for forensic case analysis.</t>
  </si>
  <si>
    <t xml:space="preserve">Number of Scene of Crime Officers trained </t>
  </si>
  <si>
    <t>Train Scene of Crime Officers SOCOs on crime scene evidence recovery &amp; preservation</t>
  </si>
  <si>
    <t xml:space="preserve">DGAL Laboratories accredited </t>
  </si>
  <si>
    <t>Fast track Implementation of Laboratory Quality management systems</t>
  </si>
  <si>
    <t>Rapid response to crime scene improved by a day</t>
  </si>
  <si>
    <t>Acquire and maintain mobile forensic laboratory van for crime scene management; train users</t>
  </si>
  <si>
    <t>National DNA Databank Infrastructure Building constructed and operationalized</t>
  </si>
  <si>
    <t>Construction of the National DNA Databank Infrastructure  Building</t>
  </si>
  <si>
    <t>Number of equipment acquired for the National DNA Databank Infrastructure.</t>
  </si>
  <si>
    <t>Acquire equipment for the National DNA Databank Infrastructure.</t>
  </si>
  <si>
    <t xml:space="preserve">Regional forensic laboratories operationalized </t>
  </si>
  <si>
    <t>04 Regional forensic laboratories operationalized in a forensic manner</t>
  </si>
  <si>
    <t>Develop comprehensive standards; Development of minimum performance service delivery standards (DGAL)</t>
  </si>
  <si>
    <t>Occupational health and safety Standard Operating Procedures in place</t>
  </si>
  <si>
    <t>Develop occupational health and safety SOPs for protection forensic scientists against  health hazards in the workplace (DGAL)</t>
  </si>
  <si>
    <t xml:space="preserve">Protective gears and equipment against epidemics in place </t>
  </si>
  <si>
    <t>Acquire protective gears and Equipment against epidemics (DGAL)</t>
  </si>
  <si>
    <t>Mutual Legal Assistance (MLA) requests handled</t>
  </si>
  <si>
    <t>Number of Mutual Legal Assistance requests handled</t>
  </si>
  <si>
    <t>Conduct investigations, carryout research, hold stakeholder meetings, preparation and transmission of requests and responses. Service of international Court documents</t>
  </si>
  <si>
    <t>Extradition requests processed and handled</t>
  </si>
  <si>
    <t>Number of Extradition requests processed and handled</t>
  </si>
  <si>
    <t>Carryout research, investigations, prosecution and repatriation of fugitives</t>
  </si>
  <si>
    <t>International collaborations in criminal matters participated in</t>
  </si>
  <si>
    <t>No. of collaborations in criminal matters participated in
 Number of international MoUs in criminal matters entered into</t>
  </si>
  <si>
    <t>Participate in international meetings and conferences, preparation and submission of reports. Preparation and submission of MoUs</t>
  </si>
  <si>
    <t>Criminal appeals and miscellaneous applications handled</t>
  </si>
  <si>
    <t>Conduct research, prosecute, coordinate, drafting pleadings. 
 Handle appeal related complaints, service of Court processes</t>
  </si>
  <si>
    <t>Strategies for managing Criminal appeals and miscellaneous applications developed</t>
  </si>
  <si>
    <t>No. of reports produced</t>
  </si>
  <si>
    <t>Carry out regular surveys and review of all appeal in the courts</t>
  </si>
  <si>
    <t>Environmental criminal cases managed and prosecuted</t>
  </si>
  <si>
    <t>Number of environmental cases criminal cases managed and prosecuted</t>
  </si>
  <si>
    <t>Lead investigations, perusal, case management meetings, stakeholder engagement meetings, drafting court documents, disclose and service.</t>
  </si>
  <si>
    <t>Wild life crimes cases managed and prosecuted</t>
  </si>
  <si>
    <t>Number of Wild life crimes cases managed and prosecuted</t>
  </si>
  <si>
    <t>Consultancy services to design the Criminal case witness protection programme procured</t>
  </si>
  <si>
    <t>Criminal case witness protection programme established.</t>
  </si>
  <si>
    <t>Procuring the consultancy services to design the Criminal case witness protection programme</t>
  </si>
  <si>
    <t>Criminal case witness protection programme implemented</t>
  </si>
  <si>
    <t>Mechanisms applied in Criminal case witness protection.</t>
  </si>
  <si>
    <t>Implementing criminal case witness protection programme</t>
  </si>
  <si>
    <t>Public Complaints on Prosecution Services Managed.</t>
  </si>
  <si>
    <t>Cyber crimes managed and prosecuted</t>
  </si>
  <si>
    <t>Proportion of cyber crime cases investigated and prosecuted</t>
  </si>
  <si>
    <t>Perusal and making decisions, prosecution-led-investigations, stakeholder engagements and coordination, training , conducting prosecutions in court, pre-trial and witness interviews, manage cybercrime complaints</t>
  </si>
  <si>
    <t>Proportion of Cyber crimes prosecuted</t>
  </si>
  <si>
    <t xml:space="preserve">Prosecuting cases, plea-bargaining, witnesses. Initiate and negotiate conclusion of criminal cases under plea-bargain processes </t>
  </si>
  <si>
    <t xml:space="preserve"> ODDP</t>
  </si>
  <si>
    <t>Comprehensive standards for investigation, prosecution, adjudication and correctional services developed and implemented</t>
  </si>
  <si>
    <t>Strengthen Institutional capacity of URSB to deliver registration services</t>
  </si>
  <si>
    <t>Support legal reviews and a national Policy on Business formalization</t>
  </si>
  <si>
    <t>NIRA, DCIC, URSB, LGs, ULRC,NIRA</t>
  </si>
  <si>
    <t>No. of functional legal aid clinics established</t>
  </si>
  <si>
    <t>Legal aid clinics to be established and mainatained in Lira, Mbale, Kamuli, Masindi, Arua, Hoima</t>
  </si>
  <si>
    <t>No of technical support engagements</t>
  </si>
  <si>
    <t>Provide Legal Advisory services to departments (Legal opinions)</t>
  </si>
  <si>
    <t>163705a03</t>
  </si>
  <si>
    <t>Legal aid service providers regulated</t>
  </si>
  <si>
    <t>Percentage of legal aid service providers meeting service standards</t>
  </si>
  <si>
    <t>Supervise Legal Aid Service providers</t>
  </si>
  <si>
    <t>163705a04</t>
  </si>
  <si>
    <t>Pro bono services strengthened</t>
  </si>
  <si>
    <t>No. of Evaluations on the level of satisfaction of the Probono Services</t>
  </si>
  <si>
    <t>Conduct an evaluation on the  level of satisfaction of Probono services provided</t>
  </si>
  <si>
    <t>163705a05</t>
  </si>
  <si>
    <t>Timely Conclusion of cases involving children</t>
  </si>
  <si>
    <t>Number of complaints involving children disposed of</t>
  </si>
  <si>
    <t>Fast track hearing of complaints involving children</t>
  </si>
  <si>
    <t>163705a06</t>
  </si>
  <si>
    <t>Family arbitrations and mediations conducted</t>
  </si>
  <si>
    <t>Number of family disputes resolved through  mediations and arbitration</t>
  </si>
  <si>
    <t>Resolve family disputes through mediation and arbitrations</t>
  </si>
  <si>
    <t>163705a07</t>
  </si>
  <si>
    <t>Letters of Administration issued and Land transfers made</t>
  </si>
  <si>
    <t>No. of certificates of No objection issues, No of family arbitrations held</t>
  </si>
  <si>
    <t>Issue Certificates of No objection, hold family arbitrations held</t>
  </si>
  <si>
    <t>163705a08</t>
  </si>
  <si>
    <t>Estates of deceased persons and persons of unsound mind Administered</t>
  </si>
  <si>
    <t>No. of files opened</t>
  </si>
  <si>
    <t>Open up new files for clients</t>
  </si>
  <si>
    <t>No. of application made</t>
  </si>
  <si>
    <t>Apply to Courts to grant letters of Administrations</t>
  </si>
  <si>
    <t>No. of estates wound up</t>
  </si>
  <si>
    <t>Wind up estates</t>
  </si>
  <si>
    <t>163705a09</t>
  </si>
  <si>
    <t>Estates of deceased persons and persons of unsound mind inspected and registered</t>
  </si>
  <si>
    <t>Number of estates inspected</t>
  </si>
  <si>
    <t>Inspect estates of deceased persons, persons of unsound minds</t>
  </si>
  <si>
    <t>No. of Estates in respective Volumes concluded</t>
  </si>
  <si>
    <t>Fast track conclusion of Estates recorded in various volumes of the Succession Register</t>
  </si>
  <si>
    <t>Level of operation (Scale of 1-5) of the working Committee handling Succession Register</t>
  </si>
  <si>
    <t xml:space="preserve">Operationalise the Committee handling Succession Register by training and facilitating their meetings and other activities </t>
  </si>
  <si>
    <t>163705b03</t>
  </si>
  <si>
    <t>Public Trustee Role of Administrator General Strengthened</t>
  </si>
  <si>
    <t>Level of efficiency (scale of 1-5) in handling Public Trstee role</t>
  </si>
  <si>
    <t>Strengthen Public Trustee Role by reviving Trust Causes for purposes of winding up Estates, reducing lead time and ensuring quality services</t>
  </si>
  <si>
    <t>163705b04</t>
  </si>
  <si>
    <t>Child friendly rooms established &amp; equipped in all JLOS Service Points</t>
  </si>
  <si>
    <t>No. of child friendly rooms established&amp; equipped</t>
  </si>
  <si>
    <t>Establish&amp; equip child friendly rooms in all regional offices for Administrator General’s Clients</t>
  </si>
  <si>
    <t>Establish&amp; equip child friendly rooms in all JLOS regional offices</t>
  </si>
  <si>
    <t>163705b05</t>
  </si>
  <si>
    <t>Child/juvenile cases prosecuted</t>
  </si>
  <si>
    <t>No of Child/juvenile cases prosecuted</t>
  </si>
  <si>
    <t>163705b06</t>
  </si>
  <si>
    <t>Capacity of prosecutors in child friendly procedures enhanced</t>
  </si>
  <si>
    <t>No. of prosecutors trained in child friendly procedures</t>
  </si>
  <si>
    <t>Train prosecutors in child friendly procedures</t>
  </si>
  <si>
    <t>163705b07</t>
  </si>
  <si>
    <t>Access to prosecution services for vulnerable and special needs children promoted</t>
  </si>
  <si>
    <t>No of outreaches carried out</t>
  </si>
  <si>
    <t>Hold outreach programs</t>
  </si>
  <si>
    <t>163705b08</t>
  </si>
  <si>
    <t>Illustration tools to support prosecution of child cases in place</t>
  </si>
  <si>
    <t>Number of illustration tools procured.</t>
  </si>
  <si>
    <t>Distributing illustration tools.</t>
  </si>
  <si>
    <t>163705b09</t>
  </si>
  <si>
    <t>Child victim emergency kits in place</t>
  </si>
  <si>
    <t>Number of child victim emergency kits procured.</t>
  </si>
  <si>
    <t>Distributing child victim emergency kits.</t>
  </si>
  <si>
    <t>163705b10</t>
  </si>
  <si>
    <t xml:space="preserve">Administration of properties of the deceased and those of unsound mind enhanced </t>
  </si>
  <si>
    <t xml:space="preserve">No. of certificates of No objection issues, No of family arbitrations held </t>
  </si>
  <si>
    <t xml:space="preserve">Issue Certificates of No objection, hold family arbitrations held </t>
  </si>
  <si>
    <t>No. of illustration tools procured</t>
  </si>
  <si>
    <t>Distributing illustration tools</t>
  </si>
  <si>
    <t>No. of child victim emergency kits procured</t>
  </si>
  <si>
    <t>Distributing child victim emergency kits</t>
  </si>
  <si>
    <t>163705b11</t>
  </si>
  <si>
    <t>Child friendly rooms established &amp; equipped in all ODDP the regional offices</t>
  </si>
  <si>
    <t>Establish&amp; equip child friendly rooms in all ODPP regional offices</t>
  </si>
  <si>
    <t>163705b12</t>
  </si>
  <si>
    <t>LC courts legally constituted</t>
  </si>
  <si>
    <t>percentage of LC courts legally constituted</t>
  </si>
  <si>
    <t xml:space="preserve">Conduct LC elections to legally constitute LC courts </t>
  </si>
  <si>
    <t>Percentage of LC courts trained (cumulative)</t>
  </si>
  <si>
    <t>Train 100% of LC courts by FY 2024/25</t>
  </si>
  <si>
    <t>163705b13</t>
  </si>
  <si>
    <t>Timely conclusion of cases involving children</t>
  </si>
  <si>
    <t>Number of staff trained on family justice related complaints</t>
  </si>
  <si>
    <t>Child victim emergency kits in place.</t>
  </si>
  <si>
    <t>Complaints resolved</t>
  </si>
  <si>
    <t>Number of Pre-Tribunal visits conducted</t>
  </si>
  <si>
    <t>Number of complaints resolved by the Tribunal Hearings</t>
  </si>
  <si>
    <t>Conduct Tribunal Hearings</t>
  </si>
  <si>
    <t xml:space="preserve">Complaints handled </t>
  </si>
  <si>
    <t>Percentage of received complaints and petitions investigated and resolved/referred by the Commission</t>
  </si>
  <si>
    <t>Undertake complaints investigation</t>
  </si>
  <si>
    <t>Number of Mobile Legal Aid Clinics conducted</t>
  </si>
  <si>
    <t xml:space="preserve">Number of disciplinary committee meetings held </t>
  </si>
  <si>
    <t xml:space="preserve">Hold disciplinary committee sittings to handle complaints against Advocates </t>
  </si>
  <si>
    <t>Complaints handling system established</t>
  </si>
  <si>
    <t>Percentage of complaints backlog reduced</t>
  </si>
  <si>
    <t>• Procure an online Complaints handling system 
 • Conduct capacity building for system users</t>
  </si>
  <si>
    <t>Instruments reviewed for compliance with Equal Opportunities</t>
  </si>
  <si>
    <t>No. of bills, laws, policies and culture assessed for compliance with Equal Opportunities</t>
  </si>
  <si>
    <t>No. of Regional and International Instruments analysed for compliance with Equal Opportunities</t>
  </si>
  <si>
    <t>Complaint tracking system designed and implemented</t>
  </si>
  <si>
    <t>A functional complaint tracking system in place</t>
  </si>
  <si>
    <t>Undertake consultations and hire consultant</t>
  </si>
  <si>
    <t>Toll free lines popularised</t>
  </si>
  <si>
    <t>Number of callers through the toll free lines</t>
  </si>
  <si>
    <t xml:space="preserve">Popularize toll free lines     </t>
  </si>
  <si>
    <t>Investigations of compliants initiated by the UHRC</t>
  </si>
  <si>
    <t>Number of investigations complaints initiated by the UHRC</t>
  </si>
  <si>
    <t>Proactively initiate investigations of complaints</t>
  </si>
  <si>
    <t>Complaints registration services simplified</t>
  </si>
  <si>
    <t>Number of complaints registered through Mobile complaints handling clinics</t>
  </si>
  <si>
    <t>Conduct mobile complaints handling clinics</t>
  </si>
  <si>
    <t>Systemic investigations and public hearings conducted</t>
  </si>
  <si>
    <t>Number of systemic investigations conducted</t>
  </si>
  <si>
    <t>Conduct systematic investigations</t>
  </si>
  <si>
    <t>Alternative dispute resolution (ADR) mechanisms implemented</t>
  </si>
  <si>
    <t>Proportion of cases  disposed of using ADR</t>
  </si>
  <si>
    <t xml:space="preserve">0.10			</t>
  </si>
  <si>
    <t>Review alternative dispute resolution (ADR) processes to address matters before the Tribunal; formulate ADR handbook</t>
  </si>
  <si>
    <t>Meaningful redress for complainants referred</t>
  </si>
  <si>
    <t>%age of referred complaints followed up</t>
  </si>
  <si>
    <t xml:space="preserve">10%				</t>
  </si>
  <si>
    <t>Strengthen follow-up mechanisms of complaints referred</t>
  </si>
  <si>
    <t>Referral path-way developed by 2022/23</t>
  </si>
  <si>
    <t>Design,  develop and implement referral path-way</t>
  </si>
  <si>
    <t>Timeliness in  disposal of cases at investigations and Tribunal enhanced</t>
  </si>
  <si>
    <t>Disposal rate of human rights cases (%)</t>
  </si>
  <si>
    <t>Review the UHRC Act to ensure timely appointment and renewal of contracts of Chairperson and Members of Commission</t>
  </si>
  <si>
    <t xml:space="preserve">00				</t>
  </si>
  <si>
    <t>Dispose human rights cases at tribunal</t>
  </si>
  <si>
    <t xml:space="preserve">840				</t>
  </si>
  <si>
    <t>Fully investigate human rights cases</t>
  </si>
  <si>
    <t>conduct collaboration meetings with the Attorney General’s chambers to ensure the attendance by State Attorneys of the Commission’s Tribunal</t>
  </si>
  <si>
    <t>conduct collaboration meetings with MDAs to improve the level of compliance with payments of tribunal awards</t>
  </si>
  <si>
    <t>Functional computerised complaints handling system in place</t>
  </si>
  <si>
    <t>%ge of complaints registered using the computerised system</t>
  </si>
  <si>
    <t>Improve computerised complaints handling mechanism</t>
  </si>
  <si>
    <t>Complainants regulary updated on the status of their matters</t>
  </si>
  <si>
    <t>%ge of complainants who access information/feedback</t>
  </si>
  <si>
    <t>Strenghten feedback mechanisms</t>
  </si>
  <si>
    <t>ADR handbook developed</t>
  </si>
  <si>
    <t>Develop content for Alternative Despute resolution handbook</t>
  </si>
  <si>
    <t>Review alternative despute resolution process to adress matters before the Commission</t>
  </si>
  <si>
    <t>Print and disseminate Alternative Despute resolution handbook</t>
  </si>
  <si>
    <t>Human rights cases and complaints managed and prosecuted</t>
  </si>
  <si>
    <t>Proportion of  human rights complaints managed</t>
  </si>
  <si>
    <t>Perusal and making prosecutorial decisions, stakeholder engagements, prosecution-led-investigations</t>
  </si>
  <si>
    <t>Proportion of human rights cases prosecuted</t>
  </si>
  <si>
    <t>Research, pre-trial case management meetings, pre-trial disclosures, drafting and filling court documents, interfacing with witnesses</t>
  </si>
  <si>
    <t>Number of prosecutors and investigators trained and equipped with skills to manage and prosecute  cases involving human rights violations</t>
  </si>
  <si>
    <t>Conduct hand-on training of prosecutors and investigators, equip officers with laws guidelines manuals and other reference material, hold stakeholder engagements, outreach and public awareness</t>
  </si>
  <si>
    <t xml:space="preserve">Enhance  implementation of community service as a sentence </t>
  </si>
  <si>
    <t>Community service orders supervised</t>
  </si>
  <si>
    <t>No. of CS orders supervised</t>
  </si>
  <si>
    <t>conduct home visits, prepare social inquiry reports</t>
  </si>
  <si>
    <t>District community service committees(DCSC) established</t>
  </si>
  <si>
    <t>No. of operational district community service committees</t>
  </si>
  <si>
    <t>Establish, train and facilitate DCSC</t>
  </si>
  <si>
    <t xml:space="preserve">Compliance to the law, regulations and proceses enhanced </t>
  </si>
  <si>
    <t>level of compliance</t>
  </si>
  <si>
    <t>Supervise offenders, monitor community service programs and conduct compliance checks</t>
  </si>
  <si>
    <t>Stakeholders  trained and sensitized</t>
  </si>
  <si>
    <t>No. of stakeholders  trained and sensitized</t>
  </si>
  <si>
    <t xml:space="preserve">Train and sensitize  stakeholders </t>
  </si>
  <si>
    <t>Offenders social reintegrated</t>
  </si>
  <si>
    <t>No. of offenders reintegrated enrolled under social reintegrated</t>
  </si>
  <si>
    <t>Counsel and train/empower of offenders</t>
  </si>
  <si>
    <t>Directorate of Community service approved staff structure populated</t>
  </si>
  <si>
    <t xml:space="preserve">% of filled positions </t>
  </si>
  <si>
    <t>Recruit and train staff</t>
  </si>
  <si>
    <t>Strengthen citizenship identification, registration, preservation and control</t>
  </si>
  <si>
    <t>Strengthen Institutional capacity of NIRA to deliver civil registration services</t>
  </si>
  <si>
    <t>% of all births and deaths registered, certified and issued with birth certificate</t>
  </si>
  <si>
    <t>Integrate the Birth/Death and Identification registration systems</t>
  </si>
  <si>
    <t>All Births registered</t>
  </si>
  <si>
    <t>% of births registered in the year of occurrence</t>
  </si>
  <si>
    <t xml:space="preserve">Decentralise the registration services to subnational levels </t>
  </si>
  <si>
    <t>Strengthen partnerships with other MDAs i.e. MOH and MOLG</t>
  </si>
  <si>
    <t>Review the NIRA structure and populate it to subnational levels</t>
  </si>
  <si>
    <t>All Registered Births certified</t>
  </si>
  <si>
    <t>% of all registered births certified</t>
  </si>
  <si>
    <t>Certifying and issuing of birth certificates</t>
  </si>
  <si>
    <t>All Deaths registered</t>
  </si>
  <si>
    <t>% of deaths registered in the year of occurrence</t>
  </si>
  <si>
    <t>All Registered Deaths certified</t>
  </si>
  <si>
    <t>% of all registered deaths certified</t>
  </si>
  <si>
    <t>Certifying and issuing of death certificates</t>
  </si>
  <si>
    <t>STrengthen people centered delivery of security, justice, law and order services</t>
  </si>
  <si>
    <t>STrengthen citizenship identification, registration, preservation and control</t>
  </si>
  <si>
    <t>Alien and citizenship registration strengthened</t>
  </si>
  <si>
    <t>Proportion of citizenship applications granted out of applications received</t>
  </si>
  <si>
    <t>Process, verify and grant citizenship for eligible persons</t>
  </si>
  <si>
    <t>Implement ISO 2015 Quality Management Systems for sustained high Quality of registration Services</t>
  </si>
  <si>
    <t>Systems developed and integrated in JLO institutions</t>
  </si>
  <si>
    <t>An improved integrated Case Management System developed</t>
  </si>
  <si>
    <t xml:space="preserve">No. of JLO institutions with improved case management systems </t>
  </si>
  <si>
    <t>Support JLO institutions to develop and integrate their information Systems</t>
  </si>
  <si>
    <t>163801b</t>
  </si>
  <si>
    <t>Strengthen case management systems</t>
  </si>
  <si>
    <t>163801b01</t>
  </si>
  <si>
    <t xml:space="preserve">Develop an integrated Case Management System Rules and procedures reformed </t>
  </si>
  <si>
    <t xml:space="preserve">No. of Prison Units Implementing Prisons Mgt Information Systems </t>
  </si>
  <si>
    <t>10 prisons</t>
  </si>
  <si>
    <t xml:space="preserve"> Acquisition of ICT Equipment &amp; Development of Management Information Systems   </t>
  </si>
  <si>
    <t>No. of prisons connected to virtual courts to improve access to justice</t>
  </si>
  <si>
    <t>ICT Development, Communication and Offender monitoring systems</t>
  </si>
  <si>
    <t>Establihment of Video conferencing facilities in prisons</t>
  </si>
  <si>
    <t>Procure and install video conferencing facilities in 50 prisons to facilitate access to justice</t>
  </si>
  <si>
    <t>% of backlog cases cleared</t>
  </si>
  <si>
    <t>Establish and operationalise the identification and registration committee</t>
  </si>
  <si>
    <t xml:space="preserve">Time taken to register a business(days) </t>
  </si>
  <si>
    <t xml:space="preserve">Carry out reforms on the commercial laws to simplify processes; undertake administrative changes  </t>
  </si>
  <si>
    <t>163801c</t>
  </si>
  <si>
    <t xml:space="preserve">Reform rules and procedures </t>
  </si>
  <si>
    <t>163801c01</t>
  </si>
  <si>
    <t>Rules and procedures reformed</t>
  </si>
  <si>
    <t>Time taken to register and NGO(days)</t>
  </si>
  <si>
    <t>Appraisal/Auditing of the current  process, consultations , approval of new process and implement the new processes</t>
  </si>
  <si>
    <t>Time taken to resolve disputes among NGOs(days)</t>
  </si>
  <si>
    <t>163801c02</t>
  </si>
  <si>
    <t>Government and Allied Institutions effectively represented in Courts of Law, Tribunals and Commissions</t>
  </si>
  <si>
    <t>Percentage of scheduled Court proceedings attended by State Attorneys</t>
  </si>
  <si>
    <t>Attend scheduled Court and effectively represent Government and Allied Institutions</t>
  </si>
  <si>
    <t>163801c03</t>
  </si>
  <si>
    <t>Outstanding cout awards, mandamus orders and compensation arrears settled</t>
  </si>
  <si>
    <t>Percentage of Outstanding Court Award Arrears paid</t>
  </si>
  <si>
    <t>Payment of Court Award arrears</t>
  </si>
  <si>
    <t>Percentage of verified compensations paid</t>
  </si>
  <si>
    <t>Payment of war debt and other claimants and other compensations</t>
  </si>
  <si>
    <t>List of Outstanding Amount of Court awars by MDA</t>
  </si>
  <si>
    <t>Establish and regularly update a list of Court Awards against each MDA</t>
  </si>
  <si>
    <t>163801d</t>
  </si>
  <si>
    <t>Integrate and automate information management systems</t>
  </si>
  <si>
    <t>163801d01</t>
  </si>
  <si>
    <t>Information management systems automated and integrated</t>
  </si>
  <si>
    <t>No. of e-Govt systems intergrated with e-immigration system</t>
  </si>
  <si>
    <t>Develop Application Programming Interfaces for integration of e-services accross government</t>
  </si>
  <si>
    <t>No. of immigration manual files digitized and electronically archived</t>
  </si>
  <si>
    <t>Digitize manual files and integrate  electronic document management system in operations</t>
  </si>
  <si>
    <t>Average clearance times for, IDs</t>
  </si>
  <si>
    <t>Automate all NIRA revised business process to provide online services</t>
  </si>
  <si>
    <t>Systems integrated</t>
  </si>
  <si>
    <t>Integrate the systems to ease access and use of information from the NIR</t>
  </si>
  <si>
    <t xml:space="preserve">Registration materials (forms) reviewed and simplified the various </t>
  </si>
  <si>
    <t>Review and simplify the various registration materials (forms) and tools</t>
  </si>
  <si>
    <t>Manual records digitised</t>
  </si>
  <si>
    <t>Digitise all the available manual records</t>
  </si>
  <si>
    <t>Data bank created</t>
  </si>
  <si>
    <t>Creation of a data bank profiling the conduct of judicial officers and other staff of the judiciary</t>
  </si>
  <si>
    <t xml:space="preserve">Level of system integration with institutions involved in the start of business </t>
  </si>
  <si>
    <t>Integrate information Systems to achieve the ‘once only’ principle for inter institutional sharing of information</t>
  </si>
  <si>
    <t>Level of system integration within MOJCA</t>
  </si>
  <si>
    <t>Develop Integrated Management System with five modules (Bill Tracking, Case management, Contract &amp; MoU tracking, Estate management and Law Council Module)</t>
  </si>
  <si>
    <t>Proportion of E-library and automated services</t>
  </si>
  <si>
    <t>Implement e-library and automated services, to strengthen access to legal reference materails</t>
  </si>
  <si>
    <t>Equip the MOJCA Records and Registry Unit with High capacity equipment including scanners, photocopiers, digitization machine.</t>
  </si>
  <si>
    <t>Level of automation of case management systems</t>
  </si>
  <si>
    <t>CADER</t>
  </si>
  <si>
    <t>Equip the Records Management Unit of CADER with High capacity equipment including scanners, duplicating machine, digitization machine.</t>
  </si>
  <si>
    <t>MoJCA (CADER)</t>
  </si>
  <si>
    <t>Upgrading the complaints handling system and development of the e-records system,</t>
  </si>
  <si>
    <t xml:space="preserve">No. of JLOS institutions with improved case management systems </t>
  </si>
  <si>
    <t>% of backlog cases</t>
  </si>
  <si>
    <t xml:space="preserve">MOJCA </t>
  </si>
  <si>
    <t>Clear backlog cases from the system</t>
  </si>
  <si>
    <t>163801d02</t>
  </si>
  <si>
    <t>DCIC Command Center established</t>
  </si>
  <si>
    <t>No, of border posts connected to the DCIC Command Center</t>
  </si>
  <si>
    <t>Procure systems and hardware  for the DCIC Command Center</t>
  </si>
  <si>
    <t>163801d03</t>
  </si>
  <si>
    <t>Clear backlog cases from the JSC system</t>
  </si>
  <si>
    <t>163801a02</t>
  </si>
  <si>
    <t>Capacity of duty bearers strengthened</t>
  </si>
  <si>
    <t>Proportion of Districts and Sub counties re-tooled and supported (%)</t>
  </si>
  <si>
    <t>Equip duty bearers for enhanced accomplishment of their roles</t>
  </si>
  <si>
    <t>163801a03</t>
  </si>
  <si>
    <t>Cultural institutions engaged on registration of cultural marriages and CAOs, Sub county chiefs sentized</t>
  </si>
  <si>
    <t>Number of engaments held</t>
  </si>
  <si>
    <t>Engage and sensitize all duty bearers and stakeholders for marriage registration</t>
  </si>
  <si>
    <t>163801a04</t>
  </si>
  <si>
    <t>National Marriage Registration System (NMRS) rolled out</t>
  </si>
  <si>
    <t>Number of duty bearers covered with the roll out of NMRS</t>
  </si>
  <si>
    <t>Rollout the National Marriage Registration System</t>
  </si>
  <si>
    <t>163801a05</t>
  </si>
  <si>
    <t>Survey on licensing of churches, marriage registration and filing of marriage returns conducted</t>
  </si>
  <si>
    <t>Whether the survey is conducted or not</t>
  </si>
  <si>
    <t>Conduct the survey on licensing of churches, marriage registration and filing of marriage returns</t>
  </si>
  <si>
    <t>163801a06</t>
  </si>
  <si>
    <t>Completely automate all Registration services and integrate with relevant Agencies</t>
  </si>
  <si>
    <t>Automate all Registration services and integrate with relevant Agencies</t>
  </si>
  <si>
    <t>163801e</t>
  </si>
  <si>
    <t>Enforce commercial laws</t>
  </si>
  <si>
    <t>163801e01</t>
  </si>
  <si>
    <t>Commercial laws enforced</t>
  </si>
  <si>
    <t>Level of Automation of business registries</t>
  </si>
  <si>
    <t>Establish a Non-Individual Entities Register (with an online training module for users)Establish and operationalize pending Registers (Non Individual Register, Geographical Indications Register, Real Estate Register</t>
  </si>
  <si>
    <t>Establish a Divorce Register</t>
  </si>
  <si>
    <t>Establish a Geographical Indications Register</t>
  </si>
  <si>
    <t xml:space="preserve">Strengthen Compliance and Enforcement </t>
  </si>
  <si>
    <t>Alternative dispute resolution rolled out</t>
  </si>
  <si>
    <t>Mediation success rate</t>
  </si>
  <si>
    <t>Facilitate mediation (mediation success rate stands at 53%</t>
  </si>
  <si>
    <t>Strengthen Compliance and Enforcement (Strengthen Partnerships, Capacity to Monitor, investigate and prosecute)</t>
  </si>
  <si>
    <t>163801e02</t>
  </si>
  <si>
    <t>Data clean up and update of business and civil registers project implemented</t>
  </si>
  <si>
    <t>Whether the project is implemented</t>
  </si>
  <si>
    <t>Implement Data clean up and update of business and civil registers project</t>
  </si>
  <si>
    <t>163801e03</t>
  </si>
  <si>
    <t>Data conversion of administrative / support units and directorate records project implemented</t>
  </si>
  <si>
    <t>Implement Data conversion of administrative / support units and directorate records project</t>
  </si>
  <si>
    <t>163801f</t>
  </si>
  <si>
    <t xml:space="preserve">Roll out alternative dispute resolution </t>
  </si>
  <si>
    <t>163801f01</t>
  </si>
  <si>
    <t>CADER Alternative Dispute Resolution integrated into Court trial processes.</t>
  </si>
  <si>
    <t>No. of cases diverted for resolution through arbitration and mediation ADR take up success rate</t>
  </si>
  <si>
    <t>Arbitrate and mediate land disputes</t>
  </si>
  <si>
    <t>163801f02</t>
  </si>
  <si>
    <t>Mainstream CADER Alternative dispute resolution operations.</t>
  </si>
  <si>
    <t>% of arbitrations successfully handled</t>
  </si>
  <si>
    <t>More civil and commercial cases arbitrated and mediated at CADER</t>
  </si>
  <si>
    <t>163801f03</t>
  </si>
  <si>
    <t>Number of Dispute management reports prepared</t>
  </si>
  <si>
    <t>Prepare  Dispute Management reports</t>
  </si>
  <si>
    <t>163801c04</t>
  </si>
  <si>
    <t xml:space="preserve"> ISO 2015 Quality Management Systems for sustained high Quality of registration Services implemented</t>
  </si>
  <si>
    <t>% progress with the implementation of ISO</t>
  </si>
  <si>
    <t>Continually review and enhance service quality standards</t>
  </si>
  <si>
    <t>166604a</t>
  </si>
  <si>
    <t>Offer administrative and logistical support to the Presidency</t>
  </si>
  <si>
    <t>166604a01</t>
  </si>
  <si>
    <t>Administrative support services provided to the Presidency</t>
  </si>
  <si>
    <t>Auditor General's Opinion of Vote's FInancial Reports</t>
  </si>
  <si>
    <t>Unqualified Opinion</t>
  </si>
  <si>
    <t>SH</t>
  </si>
  <si>
    <t>Offer accounting and audit support to the Presidency</t>
  </si>
  <si>
    <t xml:space="preserve">Certificate of Compliance Score </t>
  </si>
  <si>
    <t>Offer policy and planning support to the Presidency</t>
  </si>
  <si>
    <t>166604a02</t>
  </si>
  <si>
    <t>Logistical Support to the Presidency provided</t>
  </si>
  <si>
    <t xml:space="preserve">Number of Presidency programmes supported </t>
  </si>
  <si>
    <t xml:space="preserve">Support the Presidency for effective and efficient leadership </t>
  </si>
  <si>
    <t>166604a03</t>
  </si>
  <si>
    <t>Presidential Initiatives supported</t>
  </si>
  <si>
    <t>% of presidential initiative targets met</t>
  </si>
  <si>
    <t>Implement Presidential Initiatives supported under State House</t>
  </si>
  <si>
    <t xml:space="preserve">Bills approved by Cabinet </t>
  </si>
  <si>
    <t>Number of Bills reviewed, considered and approved by Cabinet</t>
  </si>
  <si>
    <t>Review Bills from MDAs and place them on the Agenda of Cabinet</t>
  </si>
  <si>
    <t xml:space="preserve">Policies approved by Cabinet </t>
  </si>
  <si>
    <t>Number of Policies reviewed, considered and approved by Cabinet</t>
  </si>
  <si>
    <t>Review Policy submissions from MDAs and place them on the Agenda of Cabinet</t>
  </si>
  <si>
    <t xml:space="preserve">Policy guidance provided to H. E the President </t>
  </si>
  <si>
    <t>Number of Briefing Notes to H.E the President</t>
  </si>
  <si>
    <t>Research by the various Presidential Advisors</t>
  </si>
  <si>
    <t>Draft Policies discussed and recommendations made in the Permanent Secretaries’ Forum</t>
  </si>
  <si>
    <t>Number of Draft Policies discussed and recommendations made in the Permanent Secretaries’ Forum</t>
  </si>
  <si>
    <t>Organise Permanent Secretaries’ Forum meetings</t>
  </si>
  <si>
    <t>Cabinet Memoranda considered and approved</t>
  </si>
  <si>
    <t>Percentage of Cabinet Memoranda approved</t>
  </si>
  <si>
    <t>Present Cabinet Memoranda for consideration and approval</t>
  </si>
  <si>
    <t>A compendium of Cabinet Records (Minutes and Memoranda) from 2000-2025 developed</t>
  </si>
  <si>
    <t>Compendium of Cabinet Records (Minutes and Memoranda) from 2000-2025 in place</t>
  </si>
  <si>
    <t xml:space="preserve">Compile Cabinet Records (Minutes and Memoranda) from 2000-2025 </t>
  </si>
  <si>
    <t>A Database of Policies and Cabinet Decisions established</t>
  </si>
  <si>
    <t>Level of completion of the database of Policies and Cabinet Decisions</t>
  </si>
  <si>
    <t xml:space="preserve">Develop a database of Policies and Cabinet Decisions </t>
  </si>
  <si>
    <t>Capacity of Staff built to support Cabinet in executing its mandate.</t>
  </si>
  <si>
    <t>Percentage of Staff whose capacity was built</t>
  </si>
  <si>
    <t>Train Staff to support Cabinet in executing its mandate.</t>
  </si>
  <si>
    <t>Capacity of Permanent Secretaries built in various areas</t>
  </si>
  <si>
    <t>Percentage of Permanent Secretaries whose capacity was built in various areas</t>
  </si>
  <si>
    <t>Train Permanent Secretaries in various areas</t>
  </si>
  <si>
    <t>16760208</t>
  </si>
  <si>
    <t>Planning, budgeting  reporting, Research and M&amp;E undertaken</t>
  </si>
  <si>
    <t>BFP prepared and submitted by 15th November</t>
  </si>
  <si>
    <t>Prepare the Authority Budget Frame work Paper (BFP) for FY and Submit to Program Secretariat by 12th November</t>
  </si>
  <si>
    <t>16760209</t>
  </si>
  <si>
    <t xml:space="preserve">MPS prepared and submitted by 15th of March </t>
  </si>
  <si>
    <t>Preparation and submission of the MPS and workplans by 15th March</t>
  </si>
  <si>
    <t>Number of M&amp;E reports produced</t>
  </si>
  <si>
    <t xml:space="preserve">Undertake Quarterly Monotoring and supervision 
</t>
  </si>
  <si>
    <t>Client satisfaction survey report produced</t>
  </si>
  <si>
    <t>Undertake client satisfaction survey</t>
  </si>
  <si>
    <t>Number of relevant policies reviewed/developed</t>
  </si>
  <si>
    <t>Review/develop relevant Policy</t>
  </si>
  <si>
    <t>Quarterly Performance reports</t>
  </si>
  <si>
    <t>Quarterly Performance reports produced and Submitted to relevant authorities in line with PFM Act 2015 as Amended</t>
  </si>
  <si>
    <t>BFP prepared by 15th November</t>
  </si>
  <si>
    <t xml:space="preserve">Timely preparation of the Budget Framework Paper </t>
  </si>
  <si>
    <t xml:space="preserve">MPS prepared by 15th of March </t>
  </si>
  <si>
    <t>Timely preparation of the Ministerial Policy Statement</t>
  </si>
  <si>
    <t>BFP prepared by 15th of November</t>
  </si>
  <si>
    <t>Timely preparation of the Budget Framework Paper</t>
  </si>
  <si>
    <t>MPS prepared by 15th of March</t>
  </si>
  <si>
    <t>Number of performance reports prepared</t>
  </si>
  <si>
    <t xml:space="preserve">Timely preparation of performance reports </t>
  </si>
  <si>
    <t>Vote Strategic Plan, FY 2025/26 to FY 2029/30</t>
  </si>
  <si>
    <t>Prepare Vote Strategic Plan for FY 2025/26-2029/30</t>
  </si>
  <si>
    <t>Number of Monitoring and Evaluation activities undertaken</t>
  </si>
  <si>
    <t>Monitoring and Evaluation to regional forensic laboratories undertaken</t>
  </si>
  <si>
    <t>Number of budget consultative meetings undertaken</t>
  </si>
  <si>
    <t>Undertake  budget consultative meetings</t>
  </si>
  <si>
    <t xml:space="preserve">Number of Planning staff trained </t>
  </si>
  <si>
    <t>Undertake training for planning staff to enhance performance</t>
  </si>
  <si>
    <t>16760305</t>
  </si>
  <si>
    <t>Human Resources Management Services provided</t>
  </si>
  <si>
    <t>Human Resource function enhanced</t>
  </si>
  <si>
    <t>Undertake and implement  human resource activities in DGAL</t>
  </si>
  <si>
    <t>Staff salaries, pension and gratuity paid by 28th of every month</t>
  </si>
  <si>
    <t>Pay salaries, pension and gratuity by the 28th of every month</t>
  </si>
  <si>
    <t>16760210</t>
  </si>
  <si>
    <t>Number of Internal Audit reports prepared</t>
  </si>
  <si>
    <t>Undertake internal audits and prepare reports</t>
  </si>
  <si>
    <t>16760114</t>
  </si>
  <si>
    <t xml:space="preserve">Improved procurement management </t>
  </si>
  <si>
    <t>Procurement activities undertaken</t>
  </si>
  <si>
    <t xml:space="preserve">Undertake and implement DGAL procurement activities </t>
  </si>
  <si>
    <t>16760115</t>
  </si>
  <si>
    <t>DGAL administered</t>
  </si>
  <si>
    <t xml:space="preserve">General Adminstration undertaken </t>
  </si>
  <si>
    <t>Coordinate, Administer, Monitor and Supervise DGAL activities</t>
  </si>
  <si>
    <t>16760116</t>
  </si>
  <si>
    <t>Improved financial management</t>
  </si>
  <si>
    <t>Financial managament undertaken</t>
  </si>
  <si>
    <t>Implement financial management functions</t>
  </si>
  <si>
    <t>16760117</t>
  </si>
  <si>
    <t>Directorate of Government Analytical Laboratory retooled</t>
  </si>
  <si>
    <t>DGAL retooled</t>
  </si>
  <si>
    <t>Retool Directorate of Government Analytical Laboratory through acquisition of modern scientific equipment, furniture, ICT equipment, Government buildings and infrastructure and Forensic and general scientific services</t>
  </si>
  <si>
    <t xml:space="preserve">Vote BFP </t>
  </si>
  <si>
    <t>Prepare Budget Frame work Paper (BFP) for FY and Submit to Program Secretariat, MFPED and Parliament by 15th November</t>
  </si>
  <si>
    <t>Vote Ministerial Policy Statement (MPS)</t>
  </si>
  <si>
    <t xml:space="preserve">Prepare Vote MPS for FY and Submit to Program Secretariat, Equal Opportunities Commission, MFPED and Parliament by 15th November </t>
  </si>
  <si>
    <t>16760211</t>
  </si>
  <si>
    <t>Number of performance reports produced</t>
  </si>
  <si>
    <t>Carry out Quarterly Monitoring of Implementation of Vote planned Out puts and produce  reports</t>
  </si>
  <si>
    <t xml:space="preserve">Number of M&amp;E reports on the implementation status of Cabinet decisions/directives and sectoral public policies in the Ministry produced </t>
  </si>
  <si>
    <t xml:space="preserve">Implementation status of Cabinet decisions/directives and sectoral public policies in the Ministry monitored and evaluated </t>
  </si>
  <si>
    <t>Number of M&amp;E visits conducted</t>
  </si>
  <si>
    <t xml:space="preserve">Monitoring and Evaluation (M&amp;E) of Advocates Chambers  and Universities teaching Law </t>
  </si>
  <si>
    <t xml:space="preserve">Strategic Plan FY 2025/26-2029/30 Prepared and  aligned to NDP IV </t>
  </si>
  <si>
    <t>Prepare Strategic Plan FY 2025/26-2029/30</t>
  </si>
  <si>
    <t>Percentage of the project implemented</t>
  </si>
  <si>
    <t>Implement the retooling project to enhance performance of the Ministry in service delivery</t>
  </si>
  <si>
    <t>First Quarter reports prepared by the last working day of the month after close of the quarter</t>
  </si>
  <si>
    <t>Monitoring and Evaluation carried out and quarterly monitoring reports prepared</t>
  </si>
  <si>
    <t>No of Internal Audit reports</t>
  </si>
  <si>
    <t>Monitor and evaluate Vote activities and produce Internal Audit reports</t>
  </si>
  <si>
    <t>16760212</t>
  </si>
  <si>
    <t>Policy development and analysis udnertaken</t>
  </si>
  <si>
    <t xml:space="preserve">No. of Policy Briefs and Position Papers drafted, printed and published </t>
  </si>
  <si>
    <t xml:space="preserve">Policy Briefs and Position Papers on MoJCA policy issues drafted, printed, published and disseminated </t>
  </si>
  <si>
    <t xml:space="preserve">No of policies analyzed and harmonized </t>
  </si>
  <si>
    <t xml:space="preserve">Analyze and Harmonize policies </t>
  </si>
  <si>
    <t xml:space="preserve">No of reports on the status of Implementation of Cabinet Decisions/Directives compiled and submitted to Cabinet Secretariat </t>
  </si>
  <si>
    <t xml:space="preserve">Status of Implementation of Cabinet Decisions/Directives compiled and submitted to Cabinet Secretariat </t>
  </si>
  <si>
    <t xml:space="preserve">Up to date Inventory of laws, policies, regulations for the Ministry of Justice and Constitutional Affairs in place 	</t>
  </si>
  <si>
    <t xml:space="preserve">Develop, Update and Maintain the Inventory of laws, policies, regulations for the Ministry of Justice and Constitutional Affairs 	</t>
  </si>
  <si>
    <t xml:space="preserve">Cabinet Forward Agenda Plan developed and submitted to Cabinet Secretariat by 30th April </t>
  </si>
  <si>
    <t xml:space="preserve">Collect data to support the compilation of the Cabinet Forward Agenda Plan for submission to Cabinet Secretariat </t>
  </si>
  <si>
    <t>No of reports discussed and submitted to Cabinet for input and approval</t>
  </si>
  <si>
    <t>Hold meetings to discuss reports to be circulated to International fora before submission to Cabinet for input and approval</t>
  </si>
  <si>
    <t xml:space="preserve">No of Regulatory Impact Assessment Reports produced </t>
  </si>
  <si>
    <t xml:space="preserve">Conduct stakeholder engagements to draft Regulatory Impact Assessments to support policy and law proposals in Cabinet </t>
  </si>
  <si>
    <t>167602a</t>
  </si>
  <si>
    <t>16760213</t>
  </si>
  <si>
    <t>Financial reports prepared and submitted to Accountant General</t>
  </si>
  <si>
    <t>Number of Financial reports prepared and submitted to Accountant General</t>
  </si>
  <si>
    <t>Preparing and updating primary ledgers (Books of Accounts), quarterly financial reporting templates and supporting documents and Annual Financial reports</t>
  </si>
  <si>
    <t>16760214</t>
  </si>
  <si>
    <t>No of research studies conducted</t>
  </si>
  <si>
    <t>Conduct reserach studies to improve implementation of DEI Policies</t>
  </si>
  <si>
    <t>16760118</t>
  </si>
  <si>
    <t>Approved payments processed</t>
  </si>
  <si>
    <t>proportion of Approved payments processed</t>
  </si>
  <si>
    <t>Recording and tracking of budgets, Recording and tracking of payment requests, Processing of invoices for payment requests on IFMS &amp; PBS, Following up on processed payments with the Treasury and Printing and distribution of payment vouchers.</t>
  </si>
  <si>
    <t>16760119</t>
  </si>
  <si>
    <t>Responses to Audit queries &amp; PAC prepared</t>
  </si>
  <si>
    <t>Number of Responses to Audit queries &amp; PAC prepared</t>
  </si>
  <si>
    <t>Preparing responses on audit queries, Preparing for audit reports and Preparing and attending audit meetings</t>
  </si>
  <si>
    <t>16760120</t>
  </si>
  <si>
    <t>Financial management advice tendered and Budgets executed</t>
  </si>
  <si>
    <t>Percentage of Financial management advice tendered and Budgets executed</t>
  </si>
  <si>
    <t>MOJCA Financial Management finctions coordinated (including training of staff)</t>
  </si>
  <si>
    <t>MoJCA Public Policy Research Agenda compiled and updated. 
Conduct research studies to support evidence based decision making</t>
  </si>
  <si>
    <t>16760215</t>
  </si>
  <si>
    <t>Service and service delivery standards developed</t>
  </si>
  <si>
    <t>No. of evaluations conducted</t>
  </si>
  <si>
    <t>Undertake periodic evaluations on attainment of service delivery standards</t>
  </si>
  <si>
    <t>16760216</t>
  </si>
  <si>
    <t>Functional secretariat</t>
  </si>
  <si>
    <t>Facilitate the GSP secretariat</t>
  </si>
  <si>
    <t>Strong programme coordination, communication and cooporation</t>
  </si>
  <si>
    <t xml:space="preserve">No of Policy Meetings for allied institutions held/conducted </t>
  </si>
  <si>
    <t>Conduct Quarterly Policy Meetings for allied institutions chaired by Hon. Minister</t>
  </si>
  <si>
    <t xml:space="preserve">EC, ULRC, UHRC, LDC, URSB, ODPP &amp; JSC </t>
  </si>
  <si>
    <t>No of Staff receiving their salaries by 28th of each month</t>
  </si>
  <si>
    <t>Pay Staff Salaries and Pension by 28th of each month</t>
  </si>
  <si>
    <t>No of LCT Staff receiving their salaries by 28th of each month</t>
  </si>
  <si>
    <t>Pay Salaries for LCT Staff by 28th of each month</t>
  </si>
  <si>
    <t>No of Staff Staff receiving Gratuity</t>
  </si>
  <si>
    <t>Pay Gratuity for DEI and LCT Staff</t>
  </si>
  <si>
    <t>No of areas in which Capacity of Staff has been enhanced</t>
  </si>
  <si>
    <t>Build capacity of DEI and LCT Staff in different areas to enhance their performance in the fight against corruption.</t>
  </si>
  <si>
    <t>No of months that salary, pension and gratuity are paid by 28th day of the month</t>
  </si>
  <si>
    <t xml:space="preserve">Pay monthly salaries, Pension and Gratuity </t>
  </si>
  <si>
    <t>New staff structure in place</t>
  </si>
  <si>
    <t>Review the Ministry structure to align it to the new mandate in relation to NDPIII</t>
  </si>
  <si>
    <t>Training of staff to equip them for improved service delivery</t>
  </si>
  <si>
    <t>167601a</t>
  </si>
  <si>
    <t>Acquisition of assorted communication equipment for prisons</t>
  </si>
  <si>
    <t>167601a01</t>
  </si>
  <si>
    <t>ICT services enhanced</t>
  </si>
  <si>
    <t>No. of prisons connected on the central UPS radio communication System</t>
  </si>
  <si>
    <t>Procurement of assorted prisons communication equipment; staff capacity building and Communication system Earthling.</t>
  </si>
  <si>
    <t>16760121</t>
  </si>
  <si>
    <t>% Completion of MIS Data base</t>
  </si>
  <si>
    <t>Develope a Management Information System for proper management of Religious and Faith Organisations (RFOs) in Uganda.</t>
  </si>
  <si>
    <t>% Completion of Electronic Court Management System for LCT</t>
  </si>
  <si>
    <t>Develope Electronic Court Management System for LCT.</t>
  </si>
  <si>
    <t>167601b</t>
  </si>
  <si>
    <t>Acquisition and installation of ICT Equipment &amp; development and management Information Systems in prisons</t>
  </si>
  <si>
    <t>167601b01</t>
  </si>
  <si>
    <t>No. of prisons equipped with ICT &amp; Information systems</t>
  </si>
  <si>
    <t>Enhancement and re-engineering of systems - HRMIS and PMIS; Stores, Assets and Inventory; Transport and Fleet; Security; Enterprise Risk Management and Business Continuity; Prisons Farms Prisons; Acquisition of assorted communication, ICT and security equipment; installation of CCTV camera and surveillance systems and staff capacity building for sustainability</t>
  </si>
  <si>
    <t>No. of MoJCA's Libraries Automated</t>
  </si>
  <si>
    <t>Automate and maintain MoJCA's Libraries</t>
  </si>
  <si>
    <t>167601c</t>
  </si>
  <si>
    <t xml:space="preserve">Acquisition and installation of ICT Equipment &amp; development and management Information Systems </t>
  </si>
  <si>
    <t>167601c01</t>
  </si>
  <si>
    <t>Proportion of MoJCA's Information Management Sytems integrated</t>
  </si>
  <si>
    <t xml:space="preserve">Integrate MoJCA's Management System to other Systems  </t>
  </si>
  <si>
    <t>No. of subscriptions to e-libraries</t>
  </si>
  <si>
    <t>Subscribe to E-Libraries (for legal reference material)</t>
  </si>
  <si>
    <t>16760122</t>
  </si>
  <si>
    <t>Immigration Board facilitated</t>
  </si>
  <si>
    <t>No. of Board meetings conducted</t>
  </si>
  <si>
    <t>Facilitate the National Citizenship and Immigration Board meetings to deliver on its constitutional mandate</t>
  </si>
  <si>
    <t>167601d</t>
  </si>
  <si>
    <t xml:space="preserve">Equipment management and maintenance of  immigration information systems  </t>
  </si>
  <si>
    <t>167601d01</t>
  </si>
  <si>
    <t>ICT Maintenance and support provided</t>
  </si>
  <si>
    <t>Level of functionality of Immigration ICT System</t>
  </si>
  <si>
    <t>Provide support services for all ICT Platforms at DCIC</t>
  </si>
  <si>
    <t>16760217</t>
  </si>
  <si>
    <t>NTR activities coordinated and monitored</t>
  </si>
  <si>
    <t>Percentage of NTR collected, receipted, reconciled and reported against the target</t>
  </si>
  <si>
    <t>moJCA</t>
  </si>
  <si>
    <t>Issuing and receipting of NTR, Reconciling and reporting of NTR collections, Undertaking monitoring and supervision of NTR activities</t>
  </si>
  <si>
    <t>16760123</t>
  </si>
  <si>
    <t>Number of Support delivery centres retooled with  office furniture and other office facilities</t>
  </si>
  <si>
    <t>DEI &amp;LCT</t>
  </si>
  <si>
    <t>Procure office Furniture and Fixtures and other office equipment to facilitate DEI and LCT Staff in the fight against corruption</t>
  </si>
  <si>
    <t>No of Support delivery centres retooled with   vehicles.</t>
  </si>
  <si>
    <t>DEI&amp;LCT</t>
  </si>
  <si>
    <t>Procure transport equipment to facilitate DEI and LCT staff in the fight against corruption</t>
  </si>
  <si>
    <t>No of categories of facilities maintained</t>
  </si>
  <si>
    <t>Maintain DEI and LCT facilities to support service delivery</t>
  </si>
  <si>
    <t>167601e</t>
  </si>
  <si>
    <t>Retooling of offices in Prisons to improve staff working conditions</t>
  </si>
  <si>
    <t>167601e01</t>
  </si>
  <si>
    <t>No. of  prisons offices retooled with office furniture</t>
  </si>
  <si>
    <t>Procurement of office furniture and other office equipment to improve working conditions</t>
  </si>
  <si>
    <t>167601f</t>
  </si>
  <si>
    <t>Prisons fleet improvement</t>
  </si>
  <si>
    <t>167601f01</t>
  </si>
  <si>
    <t>167601g</t>
  </si>
  <si>
    <t>MoJCA's fleet improvement</t>
  </si>
  <si>
    <t>167601g01</t>
  </si>
  <si>
    <t>Number of vehicles procured to support service delivery.</t>
  </si>
  <si>
    <t>Procurement of vehicles to support service delivery centers</t>
  </si>
  <si>
    <t>No. of vehicles maintained</t>
  </si>
  <si>
    <t>Maintenance of vehicle fleet</t>
  </si>
  <si>
    <t>Number of support service delivery centers with motorcycles</t>
  </si>
  <si>
    <t>Procure Motor Cycles for process serving in Regional Offices</t>
  </si>
  <si>
    <t>167601h</t>
  </si>
  <si>
    <t>Immigration Fleet Management and Improvement</t>
  </si>
  <si>
    <t>167601h01</t>
  </si>
  <si>
    <t>Asset Management</t>
  </si>
  <si>
    <t>Proportion of immigration service delivery points supported with transport logistics</t>
  </si>
  <si>
    <t>Undertake maintenance of DCIC fleet for improved service delivery</t>
  </si>
  <si>
    <t>16760124</t>
  </si>
  <si>
    <t>Finance and Administration managed</t>
  </si>
  <si>
    <t>Funds disbursed to different units</t>
  </si>
  <si>
    <t xml:space="preserve">Manage HQ and 117 district expenses (rent, utilities, cleaning covid 19 response,assorted stationery, staff welfare, fuel as well as maintain 140 MVs </t>
  </si>
  <si>
    <t>16760125</t>
  </si>
  <si>
    <t>Legal Advisory Services undertaken</t>
  </si>
  <si>
    <t>Number of CV cases completed
Number of Board Committee meetings held
Number of Board Meetings held
Number of CoPs handled</t>
  </si>
  <si>
    <t>Manage Board Affairs, undertake compliance and enforcement and handle legal related matters (CoP, Cv verifications and investigations).</t>
  </si>
  <si>
    <t>16760218</t>
  </si>
  <si>
    <t>Coordination and oversight 
of day today activites across 
the country</t>
  </si>
  <si>
    <t>Number of coordination and oversight field visits held</t>
  </si>
  <si>
    <t>Coordination, support and oversight of day today activities of the Authority across the country</t>
  </si>
  <si>
    <t>16760126</t>
  </si>
  <si>
    <t>Internal Audit strengthened</t>
  </si>
  <si>
    <t>Number of internal audit reports produced</t>
  </si>
  <si>
    <t>Provide internal audit services to the Authority</t>
  </si>
  <si>
    <t>16760127</t>
  </si>
  <si>
    <t>Procurement and Disposal services provided</t>
  </si>
  <si>
    <t>Number of procurement and disposal reports produced</t>
  </si>
  <si>
    <t>Provide procurement and disposal services to the
Authority</t>
  </si>
  <si>
    <t>16760128</t>
  </si>
  <si>
    <t>Public Relations &amp; Corporate Affairs enhanced</t>
  </si>
  <si>
    <t>Number of awareness campaigns conducted</t>
  </si>
  <si>
    <t>Conduct sensitization campaigns on NIRA services</t>
  </si>
  <si>
    <t>16760129</t>
  </si>
  <si>
    <t>Human Resource Management Services strengthened</t>
  </si>
  <si>
    <t>Salary paid by 28th of every month</t>
  </si>
  <si>
    <t>Process staff salaries on time</t>
  </si>
  <si>
    <t>16760219</t>
  </si>
  <si>
    <t>HIV/AIDS activities
mainstreamed</t>
  </si>
  <si>
    <t>Number of Health camps organised</t>
  </si>
  <si>
    <t>Conduct HIV/AIDs awareness campaigns</t>
  </si>
  <si>
    <t>16760220</t>
  </si>
  <si>
    <t>Medical Insurance to staff</t>
  </si>
  <si>
    <t>Number of staff benefitting from medical insurance scheme of the Authority</t>
  </si>
  <si>
    <t>Provide medical insurance to all staff</t>
  </si>
  <si>
    <t>167601i</t>
  </si>
  <si>
    <t>Retooling the National Identification &amp; Registration Authority</t>
  </si>
  <si>
    <t>167601i01</t>
  </si>
  <si>
    <t>Office and residential furniture procured</t>
  </si>
  <si>
    <t>Proportion of Office &amp;Residentail Furniture and fittings purchased</t>
  </si>
  <si>
    <t>Purchase of Office and Residential Furntiture and Fittings</t>
  </si>
  <si>
    <t>167601i02</t>
  </si>
  <si>
    <t>Purchase of Specialized Machinery and Equipment</t>
  </si>
  <si>
    <t>Number of kits procured
Number of vehicles procured</t>
  </si>
  <si>
    <t>Procure 150 new registration kits comprising of a 
laptop, camera with a tripod, signature pad, 
document scanner, backup battery, background 
cloth and casing with foam</t>
  </si>
  <si>
    <t>167601i03</t>
  </si>
  <si>
    <t>Purchase of office and ICT Equipment including software</t>
  </si>
  <si>
    <t>Purchase of office and ICT Equipment including 
software</t>
  </si>
  <si>
    <t>16760130</t>
  </si>
  <si>
    <t>Number of records managed</t>
  </si>
  <si>
    <t>Manage staff records</t>
  </si>
  <si>
    <t>167601j</t>
  </si>
  <si>
    <t>Retooling the National Citizenship and Immigration Control</t>
  </si>
  <si>
    <t>167601j01</t>
  </si>
  <si>
    <t>ICT Equipment procured</t>
  </si>
  <si>
    <t>Proportion of planned ICT Equipment procured</t>
  </si>
  <si>
    <t xml:space="preserve">Procure assorted ICT Equipment including software </t>
  </si>
  <si>
    <t>INstitutional Coordination</t>
  </si>
  <si>
    <t>undertake financing and administration of programme services</t>
  </si>
  <si>
    <t>167601j02</t>
  </si>
  <si>
    <t>Office furniture and fittings</t>
  </si>
  <si>
    <t>Proportion of planned furniture and fittings procured</t>
  </si>
  <si>
    <t>Procure assorted Office Furniture and fittings</t>
  </si>
  <si>
    <t>No. of inetrnal audit reports produced</t>
  </si>
  <si>
    <t>Carry out internal audit of the Directorate to enforce compliance to transparency and accountability rules</t>
  </si>
  <si>
    <t>institutional Coordination</t>
  </si>
  <si>
    <t>16760221</t>
  </si>
  <si>
    <t>Policy, Planning, budgeting and Monitoring coordinated</t>
  </si>
  <si>
    <t>No. of Performance Reports produced</t>
  </si>
  <si>
    <t>Produce Vote Policy Statements, Budget Framework Papers, Strategic Plans; generate quarterly reports</t>
  </si>
  <si>
    <t>Level of automation of DCIC Records</t>
  </si>
  <si>
    <t>Digitize manual immigration records and electronically archive for electronic document management</t>
  </si>
  <si>
    <t>16760131</t>
  </si>
  <si>
    <t>Level of absorption of released funds</t>
  </si>
  <si>
    <t>Support all planned activities, conduct finance committee meetigs  and produce annual financial reports and financial statements</t>
  </si>
  <si>
    <t>16760132</t>
  </si>
  <si>
    <t>Procurement and Disposal of Assets Managed</t>
  </si>
  <si>
    <t>Level of implementation of the annual procurement plan</t>
  </si>
  <si>
    <t>Provide procurement and disposal of assets activities to the Directorate, conduct contract committee meetngs, produce the annual procurement reports</t>
  </si>
  <si>
    <t>16760133</t>
  </si>
  <si>
    <t>Public Relations Managed</t>
  </si>
  <si>
    <t>Proportion of Clients queries and concerns responded to</t>
  </si>
  <si>
    <t>Create awareness on immigration services and provide appropriate responses to public concerns</t>
  </si>
  <si>
    <t>No. of staff receiving salary by the 28th day of each month</t>
  </si>
  <si>
    <t>Provide Human Resource Management Services including payment of salaries, pension and gratuity, training and performance management</t>
  </si>
  <si>
    <t>16760134</t>
  </si>
  <si>
    <t>Administration and support services coordinated</t>
  </si>
  <si>
    <t>General Administration</t>
  </si>
  <si>
    <t>Administration, coordination, monitoring and supervision of DCIC activities, programs and projects</t>
  </si>
  <si>
    <t>167601k</t>
  </si>
  <si>
    <t>MoJCA's Records management Improved</t>
  </si>
  <si>
    <t>167601k01</t>
  </si>
  <si>
    <t xml:space="preserve">Proportion of MoJCA's Records Management Sytems Automated </t>
  </si>
  <si>
    <t>Automate MoJCA's Records Management Systems</t>
  </si>
  <si>
    <t>No of reports developed and submitted</t>
  </si>
  <si>
    <t xml:space="preserve">•	Half year accounts developed and submitted.
•	Nine months accounts developed and submitted.
•	Final accounts developed and submitted.
•	Board of survey reports developed and submitted.
</t>
  </si>
  <si>
    <t>No of items e.g. rent, Utilities financed</t>
  </si>
  <si>
    <t>Provide financial Support for smooth running of the DEI and LCT</t>
  </si>
  <si>
    <t>16760135</t>
  </si>
  <si>
    <t xml:space="preserve">General Administation (utilities,legal services, top management) </t>
  </si>
  <si>
    <t>Value of utilites,rent and subscriptions paid.                         value of logistical suport provided.</t>
  </si>
  <si>
    <t>•	Utilities bills paid.                           •	Rent bills paid
•	Subscriptions bills paid.
•losgistical support provided.</t>
  </si>
  <si>
    <t>Percentage of utilities cleared and Legal services provided.</t>
  </si>
  <si>
    <t>Payment of utility bills including Internet Guard and Cleaning services</t>
  </si>
  <si>
    <t>167601l</t>
  </si>
  <si>
    <t>167601l01</t>
  </si>
  <si>
    <t>16760136</t>
  </si>
  <si>
    <t>Proportion of required ICT equipment procured</t>
  </si>
  <si>
    <t>Procure  assorted office ICT equipment to improve service delivery</t>
  </si>
  <si>
    <t>16760137</t>
  </si>
  <si>
    <t>Proportion of  the Monitoring and Evaluation Database updated</t>
  </si>
  <si>
    <t>Update the Monitoring and Evaluation Database</t>
  </si>
  <si>
    <t>167601m</t>
  </si>
  <si>
    <t>Payment of UPS Staff salaries</t>
  </si>
  <si>
    <t>167601m01</t>
  </si>
  <si>
    <t>Timely payment of staff salaries</t>
  </si>
  <si>
    <t>12,789 staff</t>
  </si>
  <si>
    <t>14289 staff</t>
  </si>
  <si>
    <t>Prepare and submit payrolls for payment of staff salaries</t>
  </si>
  <si>
    <t>16760138</t>
  </si>
  <si>
    <t>Administrative support services enhanced</t>
  </si>
  <si>
    <t>No. of accounts reports prepared</t>
  </si>
  <si>
    <t>Prepare and submit accounting reports</t>
  </si>
  <si>
    <t>No. of Mission inspection done and support supervision provided</t>
  </si>
  <si>
    <t>Carry out Mission inspection ans support supervision to Uganda Missions Abroad</t>
  </si>
  <si>
    <t>No. of Finance comiittee meetings held</t>
  </si>
  <si>
    <t>Organise finance committee meetings</t>
  </si>
  <si>
    <t>No. of Advertisements for procurement and supply services to MoFA issued</t>
  </si>
  <si>
    <t xml:space="preserve">Issue publish advertisements for procurement and supply services to MoFA </t>
  </si>
  <si>
    <t>No. of Mobile phones and UTL tele-savers loaded with Airtime quarterly.</t>
  </si>
  <si>
    <t>load Mobile phones and UTL tele-savers with Airtime quarterly.</t>
  </si>
  <si>
    <t>No. of  Missions provided with technical advice on Accounts related matters.</t>
  </si>
  <si>
    <t>Provide Missions  with technical advice on Accounts related matters.</t>
  </si>
  <si>
    <t>No. of  Finance and Administration Department meetings organised</t>
  </si>
  <si>
    <t>Organise and faciliate Finance and Administration Department meetings</t>
  </si>
  <si>
    <t>No. of  Senior management meetings held</t>
  </si>
  <si>
    <t>Organise and facilitate senior management meetings</t>
  </si>
  <si>
    <t>No. of Fitness sessions organised</t>
  </si>
  <si>
    <t>Organise  and faciliate fitness sessions</t>
  </si>
  <si>
    <t>No. of  physical verification, Maintenance, transfer, repair, security, loss, and disposal activities of assets managed</t>
  </si>
  <si>
    <t xml:space="preserve">Carry out physical verification, Maintenance, transfer, repair, security, loss, and disposal activities of assets </t>
  </si>
  <si>
    <t>No. of procurement and disposal report prepared</t>
  </si>
  <si>
    <t>Prepare the annual procurement and disposal report</t>
  </si>
  <si>
    <t xml:space="preserve">No. of quarterly office supplies procured </t>
  </si>
  <si>
    <t>Procure  assorted office supplies on a quarterly basis.</t>
  </si>
  <si>
    <t xml:space="preserve">No. of national functions facilitated </t>
  </si>
  <si>
    <t>Facilitate the Ministry's No. OF Ministry's participation at eight (8) National Events Facilitated ; NRM Victory day, International Women's day, International Labour day, Heroes day, Africa Public Service day; Independence, day; 2021 Rotary Cancer, National budget day</t>
  </si>
  <si>
    <t>No. of managerial reports prepared</t>
  </si>
  <si>
    <t>Prepare Quarterly managerial reports</t>
  </si>
  <si>
    <t>16760139</t>
  </si>
  <si>
    <t>Subscriptions and subventions to International/Regional Organisations made</t>
  </si>
  <si>
    <t>No. of entitled staff whose emoluments are processed</t>
  </si>
  <si>
    <t>Process emoluments to entitled officers</t>
  </si>
  <si>
    <t>No. of national, regional and International organisations whose Membership contributions are made.</t>
  </si>
  <si>
    <t>Process Membership contributions to four (4) International/Regional/National organizations and Institutions; - UN Agencies, Common Wealth, ICGLR, African Union, OIC &amp; IGAD.</t>
  </si>
  <si>
    <t>No. of International organisations whose Membership contributions are made.</t>
  </si>
  <si>
    <t>Membership to International Organisations paid</t>
  </si>
  <si>
    <t>16760140</t>
  </si>
  <si>
    <t>Security at Office premises enhanced</t>
  </si>
  <si>
    <t>No of office premises (including Regional Offices) with CCTV cameras installed</t>
  </si>
  <si>
    <t>Install and maintain CCTV cameras at Head Office and all Regional Offices</t>
  </si>
  <si>
    <t>No. of national institutions where Subventions made.</t>
  </si>
  <si>
    <t>Process Subventions  to two (2) National Institutions; - Pan-African Movement and Pan African Women Organisation and   Uganda Embassy in Angola</t>
  </si>
  <si>
    <t>16760141</t>
  </si>
  <si>
    <t>No. of Finance Committee meetings organized</t>
  </si>
  <si>
    <t>Organise Four (4) Quarterly Finance Committee meetings organized</t>
  </si>
  <si>
    <t>No. of quarterly Performance reports produced.</t>
  </si>
  <si>
    <t>Produce quarterly Performance reports.</t>
  </si>
  <si>
    <t>Ministry's BFP produced</t>
  </si>
  <si>
    <t>Ministry's MPS produced</t>
  </si>
  <si>
    <t>16760142</t>
  </si>
  <si>
    <t>Policy development undertaken</t>
  </si>
  <si>
    <t>No. of Cabinet Memos
prepared.</t>
  </si>
  <si>
    <t>Prepare Cabinet Memos.</t>
  </si>
  <si>
    <t>Percentage of issues raised by Parliament on BFP and MPS prepared.</t>
  </si>
  <si>
    <t>Responses to issues raised by Parliament on BFP and MPS prepared</t>
  </si>
  <si>
    <t>167601n</t>
  </si>
  <si>
    <t>Enhancement of performance management</t>
  </si>
  <si>
    <t>167601n01</t>
  </si>
  <si>
    <t>Percentage achievement of performance targets</t>
  </si>
  <si>
    <t>Development of the development plans 't Plan; developing work plans and budgets; conducting performance reviews; reviewing and profiling all Projects; conducting and coordinating M&amp;E of all program and project activities; strengthening the M&amp;E function; Data collection , Analysis and Reporting</t>
  </si>
  <si>
    <t>167601n02</t>
  </si>
  <si>
    <t>Strengthened prisons research and development function</t>
  </si>
  <si>
    <t>No of reserach studies conducted</t>
  </si>
  <si>
    <t>Developing a research agenda; Conducting researches to support decision making; Develop performance work improvement initiatives</t>
  </si>
  <si>
    <t>167601n03</t>
  </si>
  <si>
    <t>Strengthened quality assurance and complaince</t>
  </si>
  <si>
    <t>No. of stations complying with the set standards and systems</t>
  </si>
  <si>
    <t>261 stations</t>
  </si>
  <si>
    <t>Conduct inspections and support supervisions; Developing and disseminating Service delivery performance checklist; Production of prisons regulations, and PSOs; Opening and maintaining up-to-date assets register; Pilot Ethical Leadership Committees established at stations and regions (3 regions, 10 stations, 4 staff per station); Facilitate groups of visiting justices; Establish the reward system</t>
  </si>
  <si>
    <t xml:space="preserve">Number of Missions abroad provided with Support supervision </t>
  </si>
  <si>
    <t xml:space="preserve">Porvide Support supervision  to Missions abroad </t>
  </si>
  <si>
    <t>No. of Missions abroad supported in planning, budgeting and performance reporting</t>
  </si>
  <si>
    <t>Support Missions  in planning, Budgeting and Performance Reporting</t>
  </si>
  <si>
    <t>16760145</t>
  </si>
  <si>
    <t>Percentage of Ad hoc management request reports produced</t>
  </si>
  <si>
    <t xml:space="preserve">Prepare and submit Ad hoc management request reports </t>
  </si>
  <si>
    <t>Percentage of Follow ups made on all Auditor General's recommendations</t>
  </si>
  <si>
    <t>Make follow up made on all Auditor General's recommendations</t>
  </si>
  <si>
    <t>Number of  audits conducted in the
areas of; procurement; Asset management
report; Reports on cash advances and
allowances and Payroll report.</t>
  </si>
  <si>
    <t>Conduct routine audits  in the
areas of; procurement; Asset management
report; Reports on cash advances and
allowances and Payroll report.</t>
  </si>
  <si>
    <t>No. of Internal Audit Reports on status of compliance, Governance arrangements and risk mitigation  for Missions abroad prepared</t>
  </si>
  <si>
    <t>Prepare Internal Audit Reports on status of compliance, Governance arrangements and risk mitigation prepared for  Missions abroad</t>
  </si>
  <si>
    <t>No. of Internal Audit Reports prepared</t>
  </si>
  <si>
    <t>Prepare Internal Audit Reports on status of compliance, efficiency and effectiveness of resource utilisation</t>
  </si>
  <si>
    <t>16760146</t>
  </si>
  <si>
    <t>Improved prisons staff welfare</t>
  </si>
  <si>
    <t xml:space="preserve">No of </t>
  </si>
  <si>
    <t>500 staff</t>
  </si>
  <si>
    <t>Expanding the stock of available products for the duty free shop ; Decentralization of payments for duty free shop materials; Establishment  of additional duty free shop outlets; Lobbying and networking with NAADS and women entrepreneurship groups; Funeral management; Nutrition supplementation; Recruit new members to the SACCO; Expansion of  the Prisons SACCO; Develop and implement staff welfare initiatives</t>
  </si>
  <si>
    <t>16760147</t>
  </si>
  <si>
    <t>HIV/AIDS Activities mainstreamed</t>
  </si>
  <si>
    <t>Number of health camps organised</t>
  </si>
  <si>
    <t xml:space="preserve">Organise health camps </t>
  </si>
  <si>
    <t>Number of HIV/AIDS sensitization workshops organised</t>
  </si>
  <si>
    <t>Organise HIV/AIDS sensitization workshops.</t>
  </si>
  <si>
    <t>No. of  HIV/AIDS committee meetings organised.</t>
  </si>
  <si>
    <t>Organise HIV/AIDS committee meetings.</t>
  </si>
  <si>
    <t>16760148</t>
  </si>
  <si>
    <t>Human resource Management strengthened</t>
  </si>
  <si>
    <t>Percentage of staff  whose salaries have been processed</t>
  </si>
  <si>
    <t>Process salaries of all staff</t>
  </si>
  <si>
    <t>Percentage of entitled persons whose pension is processed</t>
  </si>
  <si>
    <t>Process pension for entitled persons</t>
  </si>
  <si>
    <t>Percentage of entitled persons whose gratuity is processed</t>
  </si>
  <si>
    <t>Process gratuity for entitled persons</t>
  </si>
  <si>
    <t>No. of  best employees rewarded</t>
  </si>
  <si>
    <t>Assess and reward employees.</t>
  </si>
  <si>
    <t>No. of officers facilitated to attend professional
conferences</t>
  </si>
  <si>
    <t>Facilitate officers to attend professional
conferences</t>
  </si>
  <si>
    <t>Percentage of staff medical claims refunded</t>
  </si>
  <si>
    <t>Process refund for staff with medical claims</t>
  </si>
  <si>
    <t>No. of Officers trained in accordance with the
needs assessment report</t>
  </si>
  <si>
    <t>Organise training for officers in accordance with the needs assessment report</t>
  </si>
  <si>
    <t>Ambassadors conference to review
performance organised</t>
  </si>
  <si>
    <t>Organise Ambassadors conference to review
performance</t>
  </si>
  <si>
    <t>Percentage of performance agreements and plans for
staff developed</t>
  </si>
  <si>
    <t>Develop performance agreements and plans for
staff</t>
  </si>
  <si>
    <t>Percentage of performance assessment and reporting for staff conducted</t>
  </si>
  <si>
    <t>Conduct performance assessment and reporting for staff conducted</t>
  </si>
  <si>
    <t>No. of performance improvement plans for staff
and Ministry developed</t>
  </si>
  <si>
    <t>Develop a performance improvement plan</t>
  </si>
  <si>
    <t>No. of  performance meetings on
Performance Agreements &amp; Plans
organised</t>
  </si>
  <si>
    <t>Organise performance meetings on Performance Agreements &amp; Plans.</t>
  </si>
  <si>
    <t>16760149</t>
  </si>
  <si>
    <t>Records Management Services enhanced</t>
  </si>
  <si>
    <t>Number of staff sensitized on RIM best practices</t>
  </si>
  <si>
    <t>Sensitise staff  on RIM best practices</t>
  </si>
  <si>
    <t>Annual Retention and disposal schedule
prepared</t>
  </si>
  <si>
    <t xml:space="preserve">Prepare Annual Retention and disposal schedule
</t>
  </si>
  <si>
    <t>16760150</t>
  </si>
  <si>
    <t>Ministry Property Management services strengthened</t>
  </si>
  <si>
    <t>No. of conctruction projects in Missions Abroad cordinated and monitored</t>
  </si>
  <si>
    <t>Support construction  projects in Missions Abroad</t>
  </si>
  <si>
    <t>Number of Staff Units Constructed</t>
  </si>
  <si>
    <t>Construct staff Houses in hard to reach and stay service delivery centers (Moroto and Arua Regional Offices)</t>
  </si>
  <si>
    <t>Percentage of staff provided with end user ICT support</t>
  </si>
  <si>
    <t>Provide technical support to all staff</t>
  </si>
  <si>
    <t>No. of Websites redeveloped, deployed and maintained</t>
  </si>
  <si>
    <t>Redevelop, deploy and maintain websites</t>
  </si>
  <si>
    <t>16760151</t>
  </si>
  <si>
    <t>Ministry of Foreign Affairs Retooled</t>
  </si>
  <si>
    <t>MoFA's building renovated and maintained</t>
  </si>
  <si>
    <t>Renovate, repair and mentain MoFA's building</t>
  </si>
  <si>
    <t>No. of Vehicles purchased</t>
  </si>
  <si>
    <t>Procure Ministry's vehicles</t>
  </si>
  <si>
    <t xml:space="preserve"> Number of Computers ,printers and other assorted ICT equipment procured</t>
  </si>
  <si>
    <t>Procure computers, printers and other assorted ICT equipment for staff</t>
  </si>
  <si>
    <t>Percentage of  required assorted furniture and fixture procured</t>
  </si>
  <si>
    <t>Procure assorted furniture and fixture</t>
  </si>
  <si>
    <t>16760152</t>
  </si>
  <si>
    <t>Working environment improved</t>
  </si>
  <si>
    <t>75%%</t>
  </si>
  <si>
    <t xml:space="preserve">General Administation (utilities, meetings, welfare, etc) </t>
  </si>
  <si>
    <t>Fully operational offices</t>
  </si>
  <si>
    <t xml:space="preserve">Ensure that all offices are fully functional and well coordinated </t>
  </si>
  <si>
    <t xml:space="preserve">Number of planning and budgeting reports prepared </t>
  </si>
  <si>
    <t>preparation of planning documents including BFP, MPS, quarterly performance reports, annual budget,  strategic plan</t>
  </si>
  <si>
    <t>No. of offices retooled</t>
  </si>
  <si>
    <t>16760153</t>
  </si>
  <si>
    <t>Improved capacity of IG Admistration and Support services</t>
  </si>
  <si>
    <t xml:space="preserve">Staff retention rate </t>
  </si>
  <si>
    <t>Facilitate staff through provision of wages and other benefits</t>
  </si>
  <si>
    <t>16760154</t>
  </si>
  <si>
    <t>Transport and ICTequipment,  Office and residential furniture acquired</t>
  </si>
  <si>
    <t>IG office premises completed</t>
  </si>
  <si>
    <t>Construct IG Head office building</t>
  </si>
  <si>
    <t>16760155</t>
  </si>
  <si>
    <t>IG Office building completed</t>
  </si>
  <si>
    <t xml:space="preserve">No. of Regional Offices constructed </t>
  </si>
  <si>
    <t>Construct IG Regional Offices</t>
  </si>
  <si>
    <t>16760156</t>
  </si>
  <si>
    <t>Capacity of the IG to effectively deal with corruption, maladministration and administrative injustice strengthened</t>
  </si>
  <si>
    <t>% of clients whose issues have been addreessed through the call centre</t>
  </si>
  <si>
    <t>Review and operationalize the IG Complaints Handling Mechanism</t>
  </si>
  <si>
    <t>Anti-corruption Academy in place</t>
  </si>
  <si>
    <t xml:space="preserve">Establish an anti corruption academy </t>
  </si>
  <si>
    <t>No. of institutions integrated with IG ODS</t>
  </si>
  <si>
    <t>Integrate the IG ODS with other Government e-registriues</t>
  </si>
  <si>
    <t>16760157</t>
  </si>
  <si>
    <t>IG capacity in planning, budgeting, monitoring and evaluation strengthened</t>
  </si>
  <si>
    <t>Proportion of M&amp;E recommendations  implemented</t>
  </si>
  <si>
    <t>Follow up on implementation of M&amp;E recommendations</t>
  </si>
  <si>
    <t>Conduct evaluation of IG Interventions</t>
  </si>
  <si>
    <t>167602b</t>
  </si>
  <si>
    <t>Service and service delivery standards developed and implemented</t>
  </si>
  <si>
    <t>16760222</t>
  </si>
  <si>
    <t>Improved internal governance structures and systems for effective operations in the OAG</t>
  </si>
  <si>
    <t>Number of  legal litigation cases against AG and OAG</t>
  </si>
  <si>
    <t>Strengthen OAG legal framework and compliance for effective corporate governance</t>
  </si>
  <si>
    <t xml:space="preserve">% level of internal audit recommendations implemented  </t>
  </si>
  <si>
    <t xml:space="preserve">% of planned strategic activities implemented </t>
  </si>
  <si>
    <t>Improve performance management through robust Monitoring and Evaluation processes</t>
  </si>
  <si>
    <t>16760306</t>
  </si>
  <si>
    <t xml:space="preserve">Improved OAG human resource capacity to deliver </t>
  </si>
  <si>
    <t xml:space="preserve">% of OAG staff with satisfactory performance </t>
  </si>
  <si>
    <t>Implement performance management system and instil a culture of excellence.</t>
  </si>
  <si>
    <t>Percentage increase in overall staff performance</t>
  </si>
  <si>
    <t>Implement a comprehensive capacity building programme to enhance Performance.</t>
  </si>
  <si>
    <t xml:space="preserve">% level of staff satisfaction </t>
  </si>
  <si>
    <t>n/a</t>
  </si>
  <si>
    <t>Attract, retain and manage talent to strengthen office capacity in a dynamic environment</t>
  </si>
  <si>
    <t>Percentage level of compliance with HR Policies</t>
  </si>
  <si>
    <t>Internal Integrity Rating</t>
  </si>
  <si>
    <t>167601o</t>
  </si>
  <si>
    <t>167601o01</t>
  </si>
  <si>
    <t>Improved  financial management and operational efficiency in the OAG</t>
  </si>
  <si>
    <t xml:space="preserve">Budget performance rating  </t>
  </si>
  <si>
    <t>Enhance transparency and efficacy of planning, budgeting and performance reporting</t>
  </si>
  <si>
    <t xml:space="preserve">% level of implementation of external Audit recommendations </t>
  </si>
  <si>
    <t>95%%</t>
  </si>
  <si>
    <t>Improve efficiency and effectiveness of procurement and disposal processes to enhance compliance, value for money and transparency</t>
  </si>
  <si>
    <t>% of supplier satisfaction(including audit firms)</t>
  </si>
  <si>
    <t>Level of staff satisfaction with Office accomodation and ammenities</t>
  </si>
  <si>
    <t>Effective, efficient and sustainable construction and maintenance of all OAG premises</t>
  </si>
  <si>
    <t xml:space="preserve">% reduction of avaregae fleet maintenance and inventory cost </t>
  </si>
  <si>
    <t>Efficient acquisition and management of inventory,  fleet and security</t>
  </si>
  <si>
    <t>16760158</t>
  </si>
  <si>
    <t xml:space="preserve">Improved ICT Infrastructure, IT support and  automation of OAG business processes </t>
  </si>
  <si>
    <t>% level of user satisfaction with Integrated Management Informatiuon System</t>
  </si>
  <si>
    <t>Improve information management and analytics to support robust decision making</t>
  </si>
  <si>
    <t xml:space="preserve">%  of security incidences resolved </t>
  </si>
  <si>
    <t xml:space="preserve">Provision of secured IT information  and infrastructure </t>
  </si>
  <si>
    <t xml:space="preserve">% of network uptime </t>
  </si>
  <si>
    <t>Ensure availability of IT services to support continuity of business processes</t>
  </si>
  <si>
    <t xml:space="preserve">% of staff satisfaction with IT support services </t>
  </si>
  <si>
    <t>Provide quality IT services responsive to business needs to improve efficiency and performance</t>
  </si>
  <si>
    <t>167601p</t>
  </si>
  <si>
    <t>Communication and advocacy strategy developed and implemented</t>
  </si>
  <si>
    <t>167601p01</t>
  </si>
  <si>
    <t>Enhanced utilization of audit results, increased public demand for accountability and improved profile of the OAG</t>
  </si>
  <si>
    <t xml:space="preserve">% level of stakeholder satisfaction </t>
  </si>
  <si>
    <t>Manage internal and external communication to promote transparency and enhance utilization of audit results</t>
  </si>
  <si>
    <t>% of planned collaboration activities undertaken</t>
  </si>
  <si>
    <t>Strengthen collaboration with national and international stakeholders to enhance impact of our work</t>
  </si>
  <si>
    <t>% of audit reports discussed by parliament</t>
  </si>
  <si>
    <t>preparation of planning documents including BFP, MPS, quarterly performance reports, annual budget,  strategic plan, periodic evaluations, strategic planning</t>
  </si>
  <si>
    <t>16760159</t>
  </si>
  <si>
    <t>Timely payments made for PPDA suppliers and staff</t>
  </si>
  <si>
    <t>Annual Budget absorption rate</t>
  </si>
  <si>
    <t>Manage the Third party procurement agent, servicing of operational service agreements</t>
  </si>
  <si>
    <t>167602c</t>
  </si>
  <si>
    <t>Internal Audits undertaken</t>
  </si>
  <si>
    <t>16760223</t>
  </si>
  <si>
    <t>internal Audits undertaken</t>
  </si>
  <si>
    <t>No of internal audit reports prepared</t>
  </si>
  <si>
    <t>Undertake Internal Audits</t>
  </si>
  <si>
    <t>167602d</t>
  </si>
  <si>
    <t>Policy development and analysis udnertaken </t>
  </si>
  <si>
    <t>16760224</t>
  </si>
  <si>
    <t>PPDA Board activities supported</t>
  </si>
  <si>
    <t>Support operations of the Board of Directors</t>
  </si>
  <si>
    <t>16760307</t>
  </si>
  <si>
    <t xml:space="preserve">Improved PPDA human resource capacity to deliver </t>
  </si>
  <si>
    <t>Average Appraisal Score</t>
  </si>
  <si>
    <t>Manage staff benefits, recruitment, performance management</t>
  </si>
  <si>
    <t>167602e</t>
  </si>
  <si>
    <t>16760225</t>
  </si>
  <si>
    <t>Functional ICT systems</t>
  </si>
  <si>
    <t>% uptime of PPDA systems</t>
  </si>
  <si>
    <t>System user support, ICT licences, system audits</t>
  </si>
  <si>
    <t>16760160</t>
  </si>
  <si>
    <t>Enhanced visibility for PPDA Activities</t>
  </si>
  <si>
    <t>% implementation of the Communications strategy</t>
  </si>
  <si>
    <t>Undertake Communications campaigns</t>
  </si>
  <si>
    <t>16760161</t>
  </si>
  <si>
    <t>Office block constructed for headquarters and region</t>
  </si>
  <si>
    <t>No of Offices constructed</t>
  </si>
  <si>
    <t>Construct Office Block</t>
  </si>
  <si>
    <t>16760162</t>
  </si>
  <si>
    <t>Transport equipment procured</t>
  </si>
  <si>
    <t>No of vehicles acquired</t>
  </si>
  <si>
    <t>16760163</t>
  </si>
  <si>
    <t>Office quipment acquired</t>
  </si>
  <si>
    <t>No of Equipment acquired</t>
  </si>
  <si>
    <t>Acquire Office equipment</t>
  </si>
  <si>
    <t>167601o02</t>
  </si>
  <si>
    <t xml:space="preserve">Improved  financial management and operational efficiency </t>
  </si>
  <si>
    <t>Level of compliance to financial systems to SG, AG and MoFPED</t>
  </si>
  <si>
    <t>Institutional coordination</t>
  </si>
  <si>
    <t>Level of adherence to PPDA submissions and procurements</t>
  </si>
  <si>
    <t>16760226</t>
  </si>
  <si>
    <t xml:space="preserve">Planning, budgeting and M&amp;E reports developed </t>
  </si>
  <si>
    <t>Number of reports developed and submitted annually</t>
  </si>
  <si>
    <t>16760308</t>
  </si>
  <si>
    <t>Human resource services improved and delivered to all staffs</t>
  </si>
  <si>
    <t xml:space="preserve">Level of adherence to Human Resources Standards and Policies </t>
  </si>
  <si>
    <t>16760227</t>
  </si>
  <si>
    <t xml:space="preserve">BFP prepared </t>
  </si>
  <si>
    <t>BFP prepared by November</t>
  </si>
  <si>
    <t xml:space="preserve">Field stations inspection &amp; consultative meetings, validation of findings </t>
  </si>
  <si>
    <t>16760228</t>
  </si>
  <si>
    <t>MPS prepared</t>
  </si>
  <si>
    <t>MPS prepared by March</t>
  </si>
  <si>
    <t>Field stations inspection &amp; consultative meetings, validation of findings , printing policy statement</t>
  </si>
  <si>
    <t>167601q</t>
  </si>
  <si>
    <t>Acquisition and installation of Information and Communication Technology equipment &amp; services</t>
  </si>
  <si>
    <t>167601q01</t>
  </si>
  <si>
    <t>Management Information Systems integrated</t>
  </si>
  <si>
    <t>Number of Institutional Management Information Systems integrated with</t>
  </si>
  <si>
    <t xml:space="preserve">institutional consultative meetings, procure consultancy service, </t>
  </si>
  <si>
    <t>Number of reports</t>
  </si>
  <si>
    <t>Field stations inspection</t>
  </si>
  <si>
    <t>Number of Monitoring reports prepared</t>
  </si>
  <si>
    <t>Field stations studies</t>
  </si>
  <si>
    <t xml:space="preserve">Field data collection for policy and planning purpose monitored </t>
  </si>
  <si>
    <t>Number of monitoring reports prepared</t>
  </si>
  <si>
    <t>Field stations monitoring working visits, undetake ODPP annual case census</t>
  </si>
  <si>
    <t>16760309</t>
  </si>
  <si>
    <t>Human resource services provided</t>
  </si>
  <si>
    <t>Field stations inspections</t>
  </si>
  <si>
    <t>Communication strategy and advocacy strategy developed and impelemented</t>
  </si>
  <si>
    <t>Strategy implemented</t>
  </si>
  <si>
    <t>Open days, barazas, Electronic media talk shows, community outreach</t>
  </si>
  <si>
    <t>167601q02</t>
  </si>
  <si>
    <t>Information and Communication Technologies services provided</t>
  </si>
  <si>
    <t>Number of stations connected to information and communication services</t>
  </si>
  <si>
    <t>Field stations working visits, supervision of connectivity works, acquisition of relevant devices and gadgets</t>
  </si>
  <si>
    <t>16760164</t>
  </si>
  <si>
    <t>Subscription to Online Reference Materials libraries undertaken</t>
  </si>
  <si>
    <t>Number of libraries subscribed</t>
  </si>
  <si>
    <t>Aquisition of libraries access credentials</t>
  </si>
  <si>
    <t>16760165</t>
  </si>
  <si>
    <t>Procurement and disposal of assets services provided</t>
  </si>
  <si>
    <t>Number of reports prepared</t>
  </si>
  <si>
    <t>Facilitating contract committe meetings, field station visits for disposal assets, coordinating requisition submissions</t>
  </si>
  <si>
    <t>Number of quarterly procurement and disposal reports prepared</t>
  </si>
  <si>
    <t>Facilitating contract committe meetings, field station visits for procurement and disposal assets</t>
  </si>
  <si>
    <t>Coordinat with Field stations and MoFPED</t>
  </si>
  <si>
    <t>16760166</t>
  </si>
  <si>
    <t>Administration support services provided</t>
  </si>
  <si>
    <t>Coordinate field stations and service providers</t>
  </si>
  <si>
    <t>16760167</t>
  </si>
  <si>
    <t xml:space="preserve">ODPP owned non-residential premises renovated </t>
  </si>
  <si>
    <t xml:space="preserve">number of office premises renovated </t>
  </si>
  <si>
    <t xml:space="preserve">acquire contractor, supervise works, </t>
  </si>
  <si>
    <t>16760168</t>
  </si>
  <si>
    <t>ODPP Regional Offices Constructed</t>
  </si>
  <si>
    <t>Number of ODPP Regional Offices Constructed</t>
  </si>
  <si>
    <t xml:space="preserve">Acquire contractor, supervise works, </t>
  </si>
  <si>
    <t>Field stations and HQs computer hardware equipment maintained</t>
  </si>
  <si>
    <t>Number of computer maintenance reports prepared</t>
  </si>
  <si>
    <t>undertake working visits to stations, acquire service providers, supervise works</t>
  </si>
  <si>
    <t>PROCAMIS maintained</t>
  </si>
  <si>
    <t>PROCAMIS maintenance report prepared</t>
  </si>
  <si>
    <t>procure maintenance contract</t>
  </si>
  <si>
    <t>16760169</t>
  </si>
  <si>
    <t>Number of ODPP offices supplied with furniture</t>
  </si>
  <si>
    <t>Furniture delivered to stations</t>
  </si>
  <si>
    <t>Number of transport equipment procured</t>
  </si>
  <si>
    <t>Procure legal reference materials and subscribe to legal databases in all LDC Campus Libraries</t>
  </si>
  <si>
    <t>16760170</t>
  </si>
  <si>
    <t>Operations of Regional Offices facilitated</t>
  </si>
  <si>
    <t>No of Regional Offices facilitated</t>
  </si>
  <si>
    <t>Transfer Funds for operations to Regional Offices</t>
  </si>
  <si>
    <t>Procure 2 motorvehicles and 01 Motorcycle for each Regional Office</t>
  </si>
  <si>
    <t>16760171</t>
  </si>
  <si>
    <t>Laptops procured</t>
  </si>
  <si>
    <t>Number of Regional Offices equiped with Laptops</t>
  </si>
  <si>
    <t>Procure laptops for Regional Offices to support preparations for Court process</t>
  </si>
  <si>
    <t>Percentage increase in LDC staff performance</t>
  </si>
  <si>
    <t>Recruit Staff, Manage staff salaries,benefits, performance management, Renovations on existing infrastructure</t>
  </si>
  <si>
    <t>16760172</t>
  </si>
  <si>
    <t>Legal Reference Materials procured</t>
  </si>
  <si>
    <t>Ratio of students to books</t>
  </si>
  <si>
    <t>16760173</t>
  </si>
  <si>
    <t>General administration and support services at Law Development Centre</t>
  </si>
  <si>
    <t>No of Reports (Managerial, Audit, Procurement, ICT, Budget) produced per quarter</t>
  </si>
  <si>
    <t>Improved Strategic direction and coordination of the institution, effective planning and budgeting, improved efficiency and effectiveness of procurement and disposal processes, improved use of ICT, increased internal controls and risk management, decentralisation of LDC regionally</t>
  </si>
  <si>
    <t>Efficient and transparent resource utilisation and asset managemnet</t>
  </si>
  <si>
    <t>Academic Registar services provided</t>
  </si>
  <si>
    <t>% of Students graduating per course as a % of those who enrolled</t>
  </si>
  <si>
    <t>Efficient management of students academic records at LDC</t>
  </si>
  <si>
    <t>Conduct budget consultations and drafting annual workplans</t>
  </si>
  <si>
    <t>Prepare Vote MPS for FY and Submit to Program Secretariat, Equal Opportunities Commission, MFPED and Parliament by 15th March</t>
  </si>
  <si>
    <t>planning and budgeting  reporting undertaken</t>
  </si>
  <si>
    <t>Number of perfomance reports developed and submitted</t>
  </si>
  <si>
    <t xml:space="preserve">•	Quarterly performance reports developed and submitted to the relevant authorities in line with the PFM Act 2015 as amended.     
•	Ministerial Policy Statement developed and submitted.
•	Budget Framework Paper prepared and submitted.
•	Performance reports developed and submitted to the relevant authorities
•	Quarterly work plans developed and submitted
</t>
  </si>
  <si>
    <t>No. of M&amp;E reports prepared</t>
  </si>
  <si>
    <t>Conduct field visits, develop &amp;review m&amp;e tools</t>
  </si>
  <si>
    <t>No. of audit reports produced</t>
  </si>
  <si>
    <t>Conduct reserach studies for improved peace and stability</t>
  </si>
  <si>
    <t>Communication and advocacy strategy implemented</t>
  </si>
  <si>
    <t>No. of media engagements conducted</t>
  </si>
  <si>
    <t xml:space="preserve">Conduct radio, tv talk shows, and press conferences    and awareness weeks </t>
  </si>
  <si>
    <t>E-registry rolled out</t>
  </si>
  <si>
    <t>% roll out of the E-registry</t>
  </si>
  <si>
    <t>Train intended users, Develop applications to enable e-registry on mobile phones/tabs, and maitain the system</t>
  </si>
  <si>
    <t>No. of financial reports prepared</t>
  </si>
  <si>
    <t>Proportion of utilities and subsriptions fully paid</t>
  </si>
  <si>
    <t>Pay for utilities</t>
  </si>
  <si>
    <t>16760229</t>
  </si>
  <si>
    <t>Project Development undertaken</t>
  </si>
  <si>
    <t>No. of project concept notes drafted</t>
  </si>
  <si>
    <t xml:space="preserve">Develop Project profiles and concepts, </t>
  </si>
  <si>
    <t>16760310</t>
  </si>
  <si>
    <t>Service and service delivery standards in place</t>
  </si>
  <si>
    <t>Conduct consultations,drafting and seeking approval</t>
  </si>
  <si>
    <t>16760311</t>
  </si>
  <si>
    <t>Human Resource Management services provided</t>
  </si>
  <si>
    <t>Human Capacity Development Plan in place</t>
  </si>
  <si>
    <t>Develop a Human Capacity Development Plan</t>
  </si>
  <si>
    <t>No. of  Top management meetings held</t>
  </si>
  <si>
    <t>Organise and facilitate Top management meetings</t>
  </si>
  <si>
    <t>Proprtion of functional management committees</t>
  </si>
  <si>
    <t>Level (Scale of 1-5)of operation of of Managent Committee</t>
  </si>
  <si>
    <t>Organise and facilitate Senior and Top management meetings and trainings</t>
  </si>
  <si>
    <t>Asset management strategy developed implemented</t>
  </si>
  <si>
    <t>Level of implementation of the asset management strategy</t>
  </si>
  <si>
    <t xml:space="preserve">Procure assets, Carry out physical verification, update of inventory on IFMS, Maintenance, transfer, repair, security, and disposal of assets </t>
  </si>
  <si>
    <t>Quarterly Procurement Reports prepared and submitted to PPDA</t>
  </si>
  <si>
    <t>16760230</t>
  </si>
  <si>
    <t xml:space="preserve">Proportion of  policy development processes technically supported </t>
  </si>
  <si>
    <t>Prepare Cabinet Memos, support development of RIAs,prepare polcy briefs</t>
  </si>
  <si>
    <t>16760312</t>
  </si>
  <si>
    <t>HIV/AIDS workplace policy implemented</t>
  </si>
  <si>
    <t>Number of health campaigns organised</t>
  </si>
  <si>
    <t xml:space="preserve">Organise health camps,HIV/AIDS sensitization workshop,HIV/AIDS committee meetings </t>
  </si>
  <si>
    <t>Percentage of staff  whose salaries,and other entitlements have been processed by 28th of every month</t>
  </si>
  <si>
    <t>Prepare and submit payrolls for payment of staff salaries, gratuity, pension and allowances</t>
  </si>
  <si>
    <t>% of staff appraised on performance</t>
  </si>
  <si>
    <t>Prepare performance plans, appraise staf and prepare appraisal reports</t>
  </si>
  <si>
    <t xml:space="preserve">% of staff provided with End user ICT support </t>
  </si>
  <si>
    <t xml:space="preserve">Value of ICT services enhanced.	</t>
  </si>
  <si>
    <t xml:space="preserve">•	Regular Software upgrades.
•	Software licences procured and maintained.
•	Operationalise modern situation rooms and centters
</t>
  </si>
  <si>
    <t>Level of availability of network services</t>
  </si>
  <si>
    <t>Upgrade, security enhancement, maintenance of the network</t>
  </si>
  <si>
    <t>Ministry of Internal Affairs Retooled</t>
  </si>
  <si>
    <t>proportion of Ministry offices retooled</t>
  </si>
  <si>
    <t>Procure furniture, and ICT equipment and software systems</t>
  </si>
  <si>
    <t>16760313</t>
  </si>
  <si>
    <t>Salaries, gratuity expenses and NSSF contributions cleared</t>
  </si>
  <si>
    <t>Number of staff paid</t>
  </si>
  <si>
    <t xml:space="preserve">Enemuration of staff </t>
  </si>
  <si>
    <t>value of retirment benefits paid.</t>
  </si>
  <si>
    <t>•	Retiring ESO staff</t>
  </si>
  <si>
    <t>Rollout of Enterprise resource planning to cordinate and support administrative function</t>
  </si>
  <si>
    <t>% progress attained with rollout of ERP to coordinate and support administrative fuction</t>
  </si>
  <si>
    <t>Strengthen financial management system</t>
  </si>
  <si>
    <t>16760231</t>
  </si>
  <si>
    <t xml:space="preserve">Staff trained on key trends and reforms in strategy, planning and budgeting </t>
  </si>
  <si>
    <t>Number of staff trained in various disciplines.</t>
  </si>
  <si>
    <t>Train staff on planning, monitoring and evaluation, data management and analysis, project management and research</t>
  </si>
  <si>
    <t>16760232</t>
  </si>
  <si>
    <t>Annual performance reports, statistical abstracts, MPS, BFP and budgets prepared</t>
  </si>
  <si>
    <t>Whether performance reports are formulated</t>
  </si>
  <si>
    <t>Prepare Annual performance reports, statistical abstracts, MPS, BFP and budgets and strategic plan III evalauation report</t>
  </si>
  <si>
    <t>16760233</t>
  </si>
  <si>
    <t>Strategic Plan IV formulated</t>
  </si>
  <si>
    <t xml:space="preserve">Whether the startegic plan IV is formulated or not </t>
  </si>
  <si>
    <t>Formulation, design and printing of Strategic Plan IV</t>
  </si>
  <si>
    <t>16760234</t>
  </si>
  <si>
    <t>Surveys conducted</t>
  </si>
  <si>
    <t>Number of surveys conducted</t>
  </si>
  <si>
    <t>Conduct surveys</t>
  </si>
  <si>
    <t>16760235</t>
  </si>
  <si>
    <t>Monitoring and evaluation of performance conducted</t>
  </si>
  <si>
    <t>Number of m&amp;e field visits conducted</t>
  </si>
  <si>
    <t xml:space="preserve">Conduct M&amp;E </t>
  </si>
  <si>
    <t>General administration (utilities, Motor vehicle repaired and maintained and staff welfare enhanced)</t>
  </si>
  <si>
    <t>Whether utilities cleared and welfare enhanced</t>
  </si>
  <si>
    <t>Support the administration function on staff welafre, motor vehicle maintenance, clearance of utilities</t>
  </si>
  <si>
    <t>Retooling of URSB (Acquistion of ICT equipment,office furniture and purchase of motor vehicles) and systems maintenace done</t>
  </si>
  <si>
    <t>Number of directorates and units retooled</t>
  </si>
  <si>
    <t>Retool URSB (Acquistion of ICT equipment,office furniture and purchase of motor vehicles)</t>
  </si>
  <si>
    <t>Whether audit function strengthened</t>
  </si>
  <si>
    <t>Strengthen internal audit function</t>
  </si>
  <si>
    <t>UHRC Regional offices constructed</t>
  </si>
  <si>
    <t>Number of regional offices with new structures</t>
  </si>
  <si>
    <t>Construction of UHRC Regional offices</t>
  </si>
  <si>
    <t>UHRC Head office constructed</t>
  </si>
  <si>
    <t>UHRC headquarters construction</t>
  </si>
  <si>
    <t>Construction of UHRC headquarters at Buganda road</t>
  </si>
  <si>
    <t>Vehicles and Machinery provided</t>
  </si>
  <si>
    <t>Number of vehicles (15 pick-ups; 5 station wagons;  civic education vans</t>
  </si>
  <si>
    <t xml:space="preserve">14	</t>
  </si>
  <si>
    <t>Vehicles and machinery provided</t>
  </si>
  <si>
    <t>Computers and ICT equipments provided</t>
  </si>
  <si>
    <t>offices with effective ICT connections and infrastructure</t>
  </si>
  <si>
    <t>ICT equipment, connections and connectivity undertaken</t>
  </si>
  <si>
    <t>Funiture and fittings procured for all UHRC offices</t>
  </si>
  <si>
    <t>Number of office furniture and fittings procured</t>
  </si>
  <si>
    <t>Assorted furniture provided for members of commission and staff</t>
  </si>
  <si>
    <t>Staff development training and professional development undertaken</t>
  </si>
  <si>
    <t>M&amp;E framework and system developed</t>
  </si>
  <si>
    <t>A functional M&amp;E system developed</t>
  </si>
  <si>
    <t>Develop and implement a computerized M&amp;E and reporting system</t>
  </si>
  <si>
    <t>Human Resource Management system developed</t>
  </si>
  <si>
    <t xml:space="preserve"> A functional Human Resource Management system developed</t>
  </si>
  <si>
    <t>Develop and implement a compiterised Human Resource Management system</t>
  </si>
  <si>
    <t>Service delivery survey conducted</t>
  </si>
  <si>
    <t>Number of service delivery surveys</t>
  </si>
  <si>
    <t>Service delivry surveys</t>
  </si>
  <si>
    <t xml:space="preserve">Capacity to deliver human rights services strengthened  </t>
  </si>
  <si>
    <t xml:space="preserve">M&amp;E reporting framework /system developed and  institutionalised       </t>
  </si>
  <si>
    <t>Conduct a service delivery surveys(Stakeholder Perception Survey)</t>
  </si>
  <si>
    <t>16760236</t>
  </si>
  <si>
    <t>SP mid-term review conducted</t>
  </si>
  <si>
    <t>SP mid term reviewed</t>
  </si>
  <si>
    <t>16760237</t>
  </si>
  <si>
    <t>Monitoring and evaluation undertakings done quarterly</t>
  </si>
  <si>
    <t>Number of M&amp;Es undertaken</t>
  </si>
  <si>
    <t>Conduct regular  monitoring and evaluations</t>
  </si>
  <si>
    <t>16760238</t>
  </si>
  <si>
    <t>Quarterly and annual workplans developed and presented to relevant authorities</t>
  </si>
  <si>
    <t>Number of workplans developed and presented</t>
  </si>
  <si>
    <t>Preparation of quarterly and annual workplans</t>
  </si>
  <si>
    <t>16760239</t>
  </si>
  <si>
    <t>Budgeting, reporting and performance reviews undertaken quarterly</t>
  </si>
  <si>
    <t>Number of reviews conducted</t>
  </si>
  <si>
    <t>Review of budgets and performance</t>
  </si>
  <si>
    <t>16760240</t>
  </si>
  <si>
    <t>Institutional Statistical plan in place</t>
  </si>
  <si>
    <t>Statistical plan developed</t>
  </si>
  <si>
    <t>Preparation of the UHRC plan for statistics</t>
  </si>
  <si>
    <t>16760241</t>
  </si>
  <si>
    <t>Sttaff capacity on planning , M&amp;E, data project management enhanced</t>
  </si>
  <si>
    <t>Train staff on planning , M&amp;E, data project management enhanced</t>
  </si>
  <si>
    <t>16760242</t>
  </si>
  <si>
    <t>Strategic plan for FY 2025/25- 2029/30 aligned to NDP IV developed</t>
  </si>
  <si>
    <t>Strategic plan developed</t>
  </si>
  <si>
    <t xml:space="preserve">Preparation of the 2025/26 to 2029/30 UHRC strategic plan </t>
  </si>
  <si>
    <t>16760243</t>
  </si>
  <si>
    <t>Monitoring and evaluation reports disseminated</t>
  </si>
  <si>
    <t>Proportion of Monitoring and evaluation recommendations implemented</t>
  </si>
  <si>
    <t>Regular production and dissemination of monitoring and evaluation reports</t>
  </si>
  <si>
    <t>A comprehensive functional analysis of the Commission undertaken</t>
  </si>
  <si>
    <t>Functional analysis of the Commission done</t>
  </si>
  <si>
    <t>Undertake a comprehensive functional analysis of the Commission</t>
  </si>
  <si>
    <t>Vacant positions filled</t>
  </si>
  <si>
    <t>Staffing level</t>
  </si>
  <si>
    <t>Operational policies and procedures developed</t>
  </si>
  <si>
    <t>Number of new policies and procedures</t>
  </si>
  <si>
    <t>Develope and implement operational policies and procedures</t>
  </si>
  <si>
    <t>Policies, frameworks and strategies reviewed</t>
  </si>
  <si>
    <t>Number of policies and procedures updated</t>
  </si>
  <si>
    <t>Review and update existing operational policies and procedures</t>
  </si>
  <si>
    <t>Human rights services effectively cordinated</t>
  </si>
  <si>
    <t>Effective services</t>
  </si>
  <si>
    <t>Utilities, staff costs</t>
  </si>
  <si>
    <t>Number of staff sensitised</t>
  </si>
  <si>
    <t>Sensitise staff on HIV/AIDs</t>
  </si>
  <si>
    <t>Human Resource management services</t>
  </si>
  <si>
    <t>Human resource and managenment serices conducted</t>
  </si>
  <si>
    <t>Providing ID cards, Pay roll management, staff performance management among others</t>
  </si>
  <si>
    <t>Number of audit reports produced</t>
  </si>
  <si>
    <t>Internal audits</t>
  </si>
  <si>
    <t>Retooling the Uganda Human Rights Commission</t>
  </si>
  <si>
    <t>ICT equipment procured</t>
  </si>
  <si>
    <t>Procurement of ICT equipment</t>
  </si>
  <si>
    <t>Furniture anf fittings provided</t>
  </si>
  <si>
    <t>Purchase of office Furniture and fittings</t>
  </si>
  <si>
    <t>Purchase of vehicles</t>
  </si>
  <si>
    <t>Regional and field office management</t>
  </si>
  <si>
    <t>Functionality of regional and field offices</t>
  </si>
  <si>
    <t>Ensure that all regional and field offices are fully functional</t>
  </si>
  <si>
    <t xml:space="preserve">Visibility of the Commission enhanced </t>
  </si>
  <si>
    <t>Institutional visibility promoted</t>
  </si>
  <si>
    <t>Public relations for the Commission on emerging human rights situation</t>
  </si>
  <si>
    <t xml:space="preserve">MoJCA  Services delivery DE concentrated </t>
  </si>
  <si>
    <t>Number of titled land acquired</t>
  </si>
  <si>
    <t>Survey and title land for Regional Offices</t>
  </si>
  <si>
    <t>Number of Staff Houses Constructed</t>
  </si>
  <si>
    <t>Construct staff Houses for Moroto and Arua Regional Offices</t>
  </si>
  <si>
    <t>Number of Regional Offices Equipped</t>
  </si>
  <si>
    <t>Equip and retool Regional Offices</t>
  </si>
  <si>
    <t>Number of Regional Offices rehabilitated with a provision for people with Special Needs</t>
  </si>
  <si>
    <t>Rehabilitate Regional Offices and ensure a provision for People with Special Needs</t>
  </si>
  <si>
    <t>Publicity enhanced through open days</t>
  </si>
  <si>
    <t xml:space="preserve">No of open days held at MOJCA </t>
  </si>
  <si>
    <t xml:space="preserve">            -  </t>
  </si>
  <si>
    <t>Facilitate the Ministry's participation at eight (8) National Events Facilitated ; NRM Victory day, International Women's day, International Labour day, Heroes day, Africa Public Service day; Independence, day; 2021 Rotary Cancer, National budget day</t>
  </si>
  <si>
    <t>Integrated systems developed</t>
  </si>
  <si>
    <t>Integrated MOJCA management system in place</t>
  </si>
  <si>
    <t xml:space="preserve">Integrate management system to other Systems  </t>
  </si>
  <si>
    <t>MoJCA's Libraries automated</t>
  </si>
  <si>
    <t>No of MoJCA's Libraries automated</t>
  </si>
  <si>
    <t>Records of subscriptions for e-libraries</t>
  </si>
  <si>
    <t>New MoJCA staff structure in place</t>
  </si>
  <si>
    <t xml:space="preserve">        -  </t>
  </si>
  <si>
    <t xml:space="preserve">          -  </t>
  </si>
  <si>
    <t>Review the Ministry's Structure to align it to the new mandate in relation to NDPIII, 2020/2021-2024/2025</t>
  </si>
  <si>
    <t>16760244</t>
  </si>
  <si>
    <t>MOJCA Communication strategy</t>
  </si>
  <si>
    <t>Develop and implemen MOJCA Communication strategy</t>
  </si>
  <si>
    <t>163705a10</t>
  </si>
  <si>
    <t>Reduced Family Disputes</t>
  </si>
  <si>
    <t>Number of copies of  IEC materials distributed to the public</t>
  </si>
  <si>
    <t>16760245</t>
  </si>
  <si>
    <t>Ministry Public Relations enhanced</t>
  </si>
  <si>
    <t>Number of stakeholders engagements/dialogue Conducted</t>
  </si>
  <si>
    <t xml:space="preserve">No of customer care desks established at all Regional Offices </t>
  </si>
  <si>
    <t>Establish customer care desks at all Regional Offices</t>
  </si>
  <si>
    <t>Records Center manual, Retention and Disposal manual and Registry Manual in place</t>
  </si>
  <si>
    <t>Records Center manual, Retention and Disposal manual and Registry Manual developed and disseminated</t>
  </si>
  <si>
    <t>16760246</t>
  </si>
  <si>
    <t>MoJCA Anti-Corruption Strategy</t>
  </si>
  <si>
    <t xml:space="preserve">Develop MoJCA Anti-Corruption Strategy </t>
  </si>
  <si>
    <t>MOJCA Communication Strategy in place</t>
  </si>
  <si>
    <t>Develop and implement MOJCA Communication Strategy</t>
  </si>
  <si>
    <t>Set Ministry standards upheld in service delivery</t>
  </si>
  <si>
    <t>proportion  of complaints handled</t>
  </si>
  <si>
    <t>Handle complaints against MoJCA's Staff</t>
  </si>
  <si>
    <t>Number of priority laws that promote competitiveness and regional integration that are reformed</t>
  </si>
  <si>
    <t>Reform Laws that promote competitiveness and regional integration reformed.</t>
  </si>
  <si>
    <t>16760247</t>
  </si>
  <si>
    <t>Develop The Statistical Plan</t>
  </si>
  <si>
    <t>16760248</t>
  </si>
  <si>
    <t>International arbitartion and Court cases defended</t>
  </si>
  <si>
    <t>No. of International Cases</t>
  </si>
  <si>
    <t>facilitate international arbitartions and payment and legal fees</t>
  </si>
  <si>
    <t>Strengthen the capacity of security agencies to address emerging security threats</t>
  </si>
  <si>
    <t>Reduced cross boarder crimes</t>
  </si>
  <si>
    <t>No. of cross boarder crimes registered</t>
  </si>
  <si>
    <t>participate in cross boarder crime prevention meetings</t>
  </si>
  <si>
    <t>Intra EAC Terrorism reduced</t>
  </si>
  <si>
    <t>No. of counter terrorism cases</t>
  </si>
  <si>
    <t>Participate in Intra EAC COUNTER terrorism Alerts</t>
  </si>
  <si>
    <t>Reduced cross boarder crimes and conflicts</t>
  </si>
  <si>
    <t>cordinate the reduction of Cross boarder Crimes</t>
  </si>
  <si>
    <t>Reduced Human traficking across EAC</t>
  </si>
  <si>
    <t>No. of trafficking in persons registered.</t>
  </si>
  <si>
    <t>cordinate the reduction of Cross boarder Human Trafficking</t>
  </si>
  <si>
    <t>Reduction in prolifilation</t>
  </si>
  <si>
    <t>No. of Prolifilation cases</t>
  </si>
  <si>
    <t xml:space="preserve">Reviewing and enacting of enabling legal frameworks to reduce prolifilation </t>
  </si>
  <si>
    <t>Faclitation improved legislation and domestication of the regional legislations</t>
  </si>
  <si>
    <t>No. of Laws and policies domesticated</t>
  </si>
  <si>
    <t xml:space="preserve">cordinate the domistication and harmonisation of Laws </t>
  </si>
  <si>
    <t>Increase participation of the population (including vulnerable persons) 
in civic activities</t>
  </si>
  <si>
    <t>162201b08</t>
  </si>
  <si>
    <t>Enhanced democratisation across the EAC</t>
  </si>
  <si>
    <t>numbers</t>
  </si>
  <si>
    <t>Participate in enhancing democratication across the EAC Region</t>
  </si>
  <si>
    <t>An enabling framework on refugee management improved</t>
  </si>
  <si>
    <t xml:space="preserve">No. of refugee management engagements </t>
  </si>
  <si>
    <t>Participate in the monitoring of refugee camps and report the same</t>
  </si>
  <si>
    <t>168</t>
  </si>
  <si>
    <t xml:space="preserve">Foreign Relations </t>
  </si>
  <si>
    <t>1689</t>
  </si>
  <si>
    <t>To promote Uganda’s interests abroad for national development</t>
  </si>
  <si>
    <t>168901</t>
  </si>
  <si>
    <t>Strengthen bilateral and multilateral relationships at both regional and international level</t>
  </si>
  <si>
    <t>16890101</t>
  </si>
  <si>
    <t>Coordinate and participate in peace and security undertakings in regional frameworks (AU, IGAD, ICGLR and EAC)</t>
  </si>
  <si>
    <t>16890102</t>
  </si>
  <si>
    <t>Participate in regional and international frameworks aimed at controlling and management of small arms and light weapons</t>
  </si>
  <si>
    <t>16890103</t>
  </si>
  <si>
    <t xml:space="preserve">Peace and Security processes of neighboring countries supported </t>
  </si>
  <si>
    <t xml:space="preserve">Coordinate the participation of relevant stakeholders to support peace processes of the neighboring countries </t>
  </si>
  <si>
    <t>16890104</t>
  </si>
  <si>
    <t>16890105</t>
  </si>
  <si>
    <t xml:space="preserve">Political Consultations undertaken with neighboring Countries and rest of the world </t>
  </si>
  <si>
    <t xml:space="preserve">Number of Political Consultations undertaken with neighboring Countries and rest of the world </t>
  </si>
  <si>
    <t>Strengthen bi-lateral relations with neighboring Countries and rest of the World.</t>
  </si>
  <si>
    <t>16890106</t>
  </si>
  <si>
    <t xml:space="preserve">Update on the security situation in Somalia </t>
  </si>
  <si>
    <t>16890107</t>
  </si>
  <si>
    <t>Outcome documents in favor of the country's interests at regional and International Organizations</t>
  </si>
  <si>
    <t>Number outcome documents in favor of the country's interests at regional and International Organizations</t>
  </si>
  <si>
    <t>Negotiate for the economic and political interests of the Country at the international organizations such as Common wealth, ACP-EU, OIC and NAM among others.</t>
  </si>
  <si>
    <t>16890108</t>
  </si>
  <si>
    <t>16890109</t>
  </si>
  <si>
    <t xml:space="preserve">Uganda's Border Points re-affirmed and demarcated </t>
  </si>
  <si>
    <t>Coordinate cross border meetings with neighboring countries</t>
  </si>
  <si>
    <t xml:space="preserve">Percentage of Uganda's borders demarcated </t>
  </si>
  <si>
    <t>Coordinate the demarcation of Uganda's border points</t>
  </si>
  <si>
    <t>16890110</t>
  </si>
  <si>
    <t xml:space="preserve">National leaders supported in their engagements with foreign dignitaries </t>
  </si>
  <si>
    <t>Number of briefs prepared to facilitate the engagements of national leaders with foreign dignitaries</t>
  </si>
  <si>
    <t>Support national leaders in their engagement with foreign dignitaries</t>
  </si>
  <si>
    <t>16890111</t>
  </si>
  <si>
    <t>Number of activities of asylum seekers and refugees coordinated</t>
  </si>
  <si>
    <t xml:space="preserve">Coordinate activities of refugee management. </t>
  </si>
  <si>
    <t>16890112</t>
  </si>
  <si>
    <t>Cooperation frameworks in areas of Political, Peace and Security negotiated and concluded.</t>
  </si>
  <si>
    <t>Number of Cooperation frameworks in areas of Political, Peace and Security negotiated and concluded.</t>
  </si>
  <si>
    <t>168902</t>
  </si>
  <si>
    <t>Ensure adherence to regional and international laws and commitments</t>
  </si>
  <si>
    <t>16890201</t>
  </si>
  <si>
    <t>Coordinate and prepare, with the relevant stakeholders, reports on status of observance of Human Rights in Uganda</t>
  </si>
  <si>
    <t>16890202</t>
  </si>
  <si>
    <t>Relevant  regional and international Conventions ratified</t>
  </si>
  <si>
    <t>168903</t>
  </si>
  <si>
    <t xml:space="preserve">Provide diplomatic, protocol and consular services both at home and abroad. </t>
  </si>
  <si>
    <t>16890301</t>
  </si>
  <si>
    <t xml:space="preserve">Coordinate presentations of letters of credence </t>
  </si>
  <si>
    <t>16890302</t>
  </si>
  <si>
    <t>Appointments for HE. the president and other government officials sought and facilitated</t>
  </si>
  <si>
    <t xml:space="preserve">Facilitate appointments for foreign dignitaries with HE. the president and other government officials sought </t>
  </si>
  <si>
    <t>16890303</t>
  </si>
  <si>
    <t>Number of authorizations for diplomats processed</t>
  </si>
  <si>
    <t xml:space="preserve">Process authorizations for diplomats </t>
  </si>
  <si>
    <t>16890304</t>
  </si>
  <si>
    <t>Accompany H.E the President to foreign visits to provide protocol services and offer foreign policy coherence services</t>
  </si>
  <si>
    <t>16890305</t>
  </si>
  <si>
    <t xml:space="preserve">Provide protocol services at national functions, international conferences and summits </t>
  </si>
  <si>
    <t>16890306</t>
  </si>
  <si>
    <t>Number of Ugandans at home and abroad provided with consular assistance and protection</t>
  </si>
  <si>
    <t>Facilitate distressed Ugandans to return back home</t>
  </si>
  <si>
    <t>Repatriate deceased Ugandans back home</t>
  </si>
  <si>
    <t>Number of  complaints raised by Ugandans against Resident Foreign Missions arbitrated</t>
  </si>
  <si>
    <t xml:space="preserve">Number of government officials facilitated to obtain travel visas </t>
  </si>
  <si>
    <t>Facilitate government officials to obtain travel visas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</si>
</sst>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0.0"/>
    <numFmt numFmtId="169" formatCode="0_);\(0\)"/>
    <numFmt numFmtId="170" formatCode="0;[Red]0"/>
    <numFmt numFmtId="171" formatCode="_(* #,##0.000_);_(* \(#,##0.000\);_(* &quot;-&quot;??_);_(@_)"/>
    <numFmt numFmtId="172" formatCode="_(* #,##0.0_);_(* \(#,##0.0\);_(* &quot;-&quot;??_);_(@_)"/>
    <numFmt numFmtId="173" formatCode="_(* #,##0.0000_);_(* \(#,##0.0000\);_(* &quot;-&quot;??_);_(@_)"/>
    <numFmt numFmtId="174" formatCode="0.0%"/>
    <numFmt numFmtId="175" formatCode="0.0"/>
    <numFmt numFmtId="176" formatCode="#,##0.0_);\(#,##0.0\)"/>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0"/>
      <color theme="1"/>
      <name val="Garamond"/>
      <family val="2"/>
    </font>
    <font>
      <sz val="11"/>
      <color rgb="FF000000"/>
      <name val="Calibri"/>
      <family val="2"/>
      <scheme val="minor"/>
    </font>
    <font>
      <sz val="10"/>
      <name val="Arial"/>
      <family val="2"/>
    </font>
    <font>
      <b/>
      <sz val="11"/>
      <name val="Calibri"/>
      <family val="2"/>
      <scheme val="minor"/>
    </font>
    <font>
      <b/>
      <sz val="9"/>
      <color indexed="81"/>
      <name val="Tahoma"/>
      <family val="2"/>
    </font>
    <font>
      <sz val="9"/>
      <color indexed="81"/>
      <name val="Tahoma"/>
      <family val="2"/>
    </font>
    <font>
      <sz val="8"/>
      <name val="Calibri"/>
      <family val="2"/>
      <scheme val="minor"/>
    </font>
    <font>
      <sz val="10"/>
      <color theme="1"/>
      <name val="Arial"/>
      <family val="2"/>
    </font>
    <font>
      <sz val="11"/>
      <color rgb="FFFF0000"/>
      <name val="Calibri"/>
      <family val="2"/>
      <scheme val="minor"/>
    </font>
    <font>
      <u/>
      <sz val="11"/>
      <color theme="10"/>
      <name val="Calibri"/>
      <family val="2"/>
      <scheme val="minor"/>
    </font>
    <font>
      <u/>
      <sz val="11"/>
      <name val="Calibri"/>
      <family val="2"/>
      <scheme val="minor"/>
    </font>
    <font>
      <sz val="12"/>
      <color theme="1"/>
      <name val="Calibri"/>
      <family val="2"/>
      <scheme val="minor"/>
    </font>
    <font>
      <sz val="12"/>
      <color rgb="FFFF0000"/>
      <name val="Calibri"/>
      <family val="2"/>
      <scheme val="minor"/>
    </font>
    <font>
      <sz val="11"/>
      <color rgb="FF00B050"/>
      <name val="Calibri"/>
      <family val="2"/>
      <scheme val="minor"/>
    </font>
    <font>
      <sz val="11"/>
      <color theme="4"/>
      <name val="Calibri"/>
      <family val="2"/>
      <scheme val="minor"/>
    </font>
    <font>
      <sz val="11"/>
      <color rgb="FF0070C0"/>
      <name val="Calibri"/>
      <family val="2"/>
      <scheme val="minor"/>
    </font>
    <font>
      <b/>
      <sz val="11"/>
      <color rgb="FF0070C0"/>
      <name val="Calibri"/>
      <family val="2"/>
      <scheme val="minor"/>
    </font>
    <font>
      <b/>
      <sz val="11"/>
      <color rgb="FFFF0000"/>
      <name val="Calibri"/>
      <family val="2"/>
      <scheme val="minor"/>
    </font>
    <font>
      <sz val="11"/>
      <color rgb="FF0033CC"/>
      <name val="Calibri"/>
      <family val="2"/>
      <scheme val="minor"/>
    </font>
    <font>
      <sz val="9"/>
      <color theme="1"/>
      <name val="Times New Roman"/>
      <family val="1"/>
    </font>
    <font>
      <i/>
      <sz val="11"/>
      <name val="Calibri"/>
      <family val="2"/>
      <scheme val="minor"/>
    </font>
    <font>
      <b/>
      <i/>
      <sz val="11"/>
      <name val="Calibri"/>
      <family val="2"/>
      <scheme val="minor"/>
    </font>
    <font>
      <i/>
      <sz val="11"/>
      <color theme="1"/>
      <name val="Calibri"/>
      <family val="2"/>
      <scheme val="minor"/>
    </font>
    <font>
      <vertAlign val="superscript"/>
      <sz val="11"/>
      <color theme="1"/>
      <name val="Calibri"/>
      <family val="2"/>
      <scheme val="minor"/>
    </font>
    <font>
      <sz val="11"/>
      <color theme="1"/>
      <name val="Arial"/>
      <family val="2"/>
    </font>
  </fonts>
  <fills count="22">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7"/>
        <bgColor indexed="64"/>
      </patternFill>
    </fill>
    <fill>
      <patternFill patternType="solid">
        <fgColor rgb="FFFF0000"/>
        <bgColor indexed="64"/>
      </patternFill>
    </fill>
    <fill>
      <patternFill patternType="solid">
        <fgColor theme="1"/>
        <bgColor indexed="64"/>
      </patternFill>
    </fill>
    <fill>
      <patternFill patternType="solid">
        <fgColor rgb="FF00B050"/>
        <bgColor indexed="64"/>
      </patternFill>
    </fill>
    <fill>
      <patternFill patternType="solid">
        <fgColor theme="4"/>
        <bgColor indexed="64"/>
      </patternFill>
    </fill>
    <fill>
      <patternFill patternType="solid">
        <fgColor theme="0"/>
        <bgColor indexed="64"/>
      </patternFill>
    </fill>
    <fill>
      <patternFill patternType="solid">
        <fgColor theme="4" tint="-0.49998474074526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FF"/>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xf numFmtId="0" fontId="1" fillId="0" borderId="0"/>
    <xf numFmtId="165" fontId="1" fillId="0" borderId="0" applyFont="0" applyFill="0" applyBorder="0" applyAlignment="0" applyProtection="0"/>
    <xf numFmtId="43" fontId="12" fillId="0" borderId="0" applyFont="0" applyFill="0" applyBorder="0" applyAlignment="0" applyProtection="0"/>
    <xf numFmtId="164" fontId="1" fillId="0" borderId="0" applyFont="0" applyFill="0" applyBorder="0" applyAlignment="0" applyProtection="0"/>
    <xf numFmtId="0" fontId="12" fillId="0" borderId="0"/>
    <xf numFmtId="164" fontId="1" fillId="0" borderId="0" applyFont="0" applyFill="0" applyBorder="0" applyAlignment="0" applyProtection="0"/>
    <xf numFmtId="0" fontId="14" fillId="0" borderId="0" applyNumberFormat="0" applyFill="0" applyBorder="0" applyAlignment="0" applyProtection="0"/>
    <xf numFmtId="41" fontId="1" fillId="0" borderId="0" applyFont="0" applyFill="0" applyBorder="0" applyAlignment="0" applyProtection="0"/>
  </cellStyleXfs>
  <cellXfs count="551">
    <xf numFmtId="0" fontId="0" fillId="0" borderId="0" xfId="0"/>
    <xf numFmtId="0" fontId="0" fillId="0" borderId="0" xfId="0" applyAlignment="1">
      <alignment horizontal="left"/>
    </xf>
    <xf numFmtId="1" fontId="0" fillId="0" borderId="0" xfId="1" applyNumberFormat="1" applyFont="1" applyAlignment="1">
      <alignment horizontal="right"/>
    </xf>
    <xf numFmtId="0" fontId="0" fillId="0" borderId="0" xfId="0" applyAlignment="1">
      <alignment horizontal="right"/>
    </xf>
    <xf numFmtId="43" fontId="0" fillId="0" borderId="0" xfId="1" applyFont="1" applyAlignment="1">
      <alignment horizontal="right"/>
    </xf>
    <xf numFmtId="0" fontId="2" fillId="3" borderId="0" xfId="0" applyFont="1" applyFill="1" applyAlignment="1">
      <alignment horizontal="left"/>
    </xf>
    <xf numFmtId="1" fontId="2" fillId="3" borderId="0" xfId="1" applyNumberFormat="1" applyFont="1" applyFill="1" applyAlignment="1">
      <alignment horizontal="right"/>
    </xf>
    <xf numFmtId="0" fontId="2" fillId="3" borderId="0" xfId="0" applyFont="1" applyFill="1" applyAlignment="1">
      <alignment horizontal="right"/>
    </xf>
    <xf numFmtId="43" fontId="2" fillId="3" borderId="0" xfId="1" applyFont="1" applyFill="1" applyAlignment="1">
      <alignment horizontal="right"/>
    </xf>
    <xf numFmtId="49" fontId="0" fillId="0" borderId="0" xfId="0" applyNumberFormat="1" applyAlignment="1">
      <alignment vertical="top"/>
    </xf>
    <xf numFmtId="0" fontId="0" fillId="0" borderId="0" xfId="0" applyAlignment="1">
      <alignment vertical="top"/>
    </xf>
    <xf numFmtId="49" fontId="4" fillId="0" borderId="0" xfId="0" applyNumberFormat="1" applyFont="1" applyAlignment="1">
      <alignment vertical="top"/>
    </xf>
    <xf numFmtId="0" fontId="4" fillId="0" borderId="0" xfId="0" applyFont="1" applyAlignment="1">
      <alignment vertical="top"/>
    </xf>
    <xf numFmtId="49" fontId="4" fillId="0" borderId="0" xfId="0" applyNumberFormat="1" applyFont="1" applyAlignment="1">
      <alignment horizontal="left" vertical="top"/>
    </xf>
    <xf numFmtId="0" fontId="4" fillId="0" borderId="0" xfId="0" applyFont="1" applyAlignment="1">
      <alignment horizontal="left" vertical="top"/>
    </xf>
    <xf numFmtId="1" fontId="0" fillId="0" borderId="0" xfId="1" applyNumberFormat="1" applyFont="1" applyAlignment="1">
      <alignment horizontal="right" vertical="top"/>
    </xf>
    <xf numFmtId="0" fontId="0" fillId="0" borderId="0" xfId="0" applyAlignment="1">
      <alignment horizontal="right" vertical="top"/>
    </xf>
    <xf numFmtId="43" fontId="0" fillId="0" borderId="0" xfId="1" applyFont="1" applyAlignment="1">
      <alignment horizontal="right" vertical="top"/>
    </xf>
    <xf numFmtId="0" fontId="0" fillId="0" borderId="0" xfId="0" applyAlignment="1">
      <alignment horizontal="left" vertical="top"/>
    </xf>
    <xf numFmtId="166" fontId="0" fillId="0" borderId="0" xfId="1" applyNumberFormat="1" applyFont="1" applyAlignment="1">
      <alignment horizontal="right" vertical="top"/>
    </xf>
    <xf numFmtId="1" fontId="0" fillId="0" borderId="0" xfId="0" applyNumberFormat="1" applyAlignment="1">
      <alignment horizontal="right" vertical="top"/>
    </xf>
    <xf numFmtId="0" fontId="4" fillId="0" borderId="0" xfId="0" applyFont="1" applyAlignment="1">
      <alignment horizontal="right" vertical="top"/>
    </xf>
    <xf numFmtId="1" fontId="4" fillId="0" borderId="0" xfId="1" applyNumberFormat="1" applyFont="1" applyAlignment="1">
      <alignment horizontal="right" vertical="top"/>
    </xf>
    <xf numFmtId="43" fontId="4" fillId="0" borderId="0" xfId="1" applyFont="1" applyAlignment="1">
      <alignment horizontal="right" vertical="top"/>
    </xf>
    <xf numFmtId="1" fontId="4" fillId="0" borderId="0" xfId="0" applyNumberFormat="1" applyFont="1" applyAlignment="1">
      <alignment horizontal="right" vertical="top"/>
    </xf>
    <xf numFmtId="1" fontId="4" fillId="0" borderId="0" xfId="0" applyNumberFormat="1" applyFont="1" applyAlignment="1">
      <alignment vertical="top"/>
    </xf>
    <xf numFmtId="3" fontId="0" fillId="0" borderId="0" xfId="0" applyNumberFormat="1" applyAlignment="1">
      <alignment horizontal="right" vertical="top"/>
    </xf>
    <xf numFmtId="3" fontId="4" fillId="0" borderId="0" xfId="0" applyNumberFormat="1" applyFont="1" applyAlignment="1">
      <alignment horizontal="right" vertical="top"/>
    </xf>
    <xf numFmtId="3" fontId="4" fillId="0" borderId="0" xfId="0" applyNumberFormat="1" applyFont="1" applyAlignment="1">
      <alignment vertical="top"/>
    </xf>
    <xf numFmtId="167" fontId="0" fillId="0" borderId="0" xfId="0" applyNumberFormat="1" applyAlignment="1">
      <alignment horizontal="right" vertical="top"/>
    </xf>
    <xf numFmtId="3" fontId="0" fillId="0" borderId="0" xfId="0" applyNumberFormat="1" applyAlignment="1">
      <alignment vertical="top"/>
    </xf>
    <xf numFmtId="167" fontId="0" fillId="0" borderId="0" xfId="1" applyNumberFormat="1" applyFont="1" applyAlignment="1">
      <alignment horizontal="right" vertical="top"/>
    </xf>
    <xf numFmtId="43" fontId="0" fillId="0" borderId="0" xfId="1" applyFont="1" applyAlignment="1">
      <alignment vertical="top"/>
    </xf>
    <xf numFmtId="11" fontId="4" fillId="0" borderId="0" xfId="0" quotePrefix="1" applyNumberFormat="1" applyFont="1" applyAlignment="1">
      <alignment vertical="top"/>
    </xf>
    <xf numFmtId="49" fontId="0" fillId="0" borderId="0" xfId="0" applyNumberFormat="1" applyAlignment="1">
      <alignment horizontal="left" vertical="top"/>
    </xf>
    <xf numFmtId="1" fontId="0" fillId="0" borderId="0" xfId="0" applyNumberFormat="1" applyAlignment="1">
      <alignment vertical="top"/>
    </xf>
    <xf numFmtId="43" fontId="0" fillId="0" borderId="0" xfId="1" applyFont="1" applyAlignment="1">
      <alignment horizontal="center" vertical="top"/>
    </xf>
    <xf numFmtId="9" fontId="0" fillId="0" borderId="0" xfId="1" applyNumberFormat="1" applyFont="1" applyAlignment="1">
      <alignment horizontal="right" vertical="top"/>
    </xf>
    <xf numFmtId="9" fontId="0" fillId="0" borderId="0" xfId="0" applyNumberFormat="1" applyAlignment="1">
      <alignment horizontal="right" vertical="top"/>
    </xf>
    <xf numFmtId="9" fontId="0" fillId="0" borderId="0" xfId="0" applyNumberFormat="1" applyAlignment="1">
      <alignment vertical="top"/>
    </xf>
    <xf numFmtId="9" fontId="4" fillId="0" borderId="0" xfId="0" applyNumberFormat="1" applyFont="1" applyAlignment="1">
      <alignment horizontal="right" vertical="top"/>
    </xf>
    <xf numFmtId="9" fontId="4" fillId="0" borderId="0" xfId="0" applyNumberFormat="1" applyFont="1" applyAlignment="1">
      <alignment vertical="top"/>
    </xf>
    <xf numFmtId="165" fontId="0" fillId="0" borderId="0" xfId="1" applyNumberFormat="1" applyFont="1" applyAlignment="1">
      <alignment horizontal="right" vertical="top"/>
    </xf>
    <xf numFmtId="165" fontId="0" fillId="0" borderId="0" xfId="1" applyNumberFormat="1" applyFont="1" applyAlignment="1">
      <alignment vertical="top"/>
    </xf>
    <xf numFmtId="43" fontId="0" fillId="0" borderId="0" xfId="1" applyFont="1"/>
    <xf numFmtId="0" fontId="0" fillId="0" borderId="0" xfId="0" applyAlignment="1">
      <alignment wrapText="1"/>
    </xf>
    <xf numFmtId="43" fontId="0" fillId="2" borderId="1" xfId="1" applyFont="1" applyFill="1" applyBorder="1" applyAlignment="1">
      <alignment horizontal="right"/>
    </xf>
    <xf numFmtId="0" fontId="0" fillId="0" borderId="0" xfId="0" applyAlignment="1">
      <alignment vertical="top" wrapText="1"/>
    </xf>
    <xf numFmtId="0" fontId="0" fillId="0" borderId="0" xfId="0" applyAlignment="1">
      <alignment horizontal="left" vertical="top" wrapText="1"/>
    </xf>
    <xf numFmtId="9" fontId="0" fillId="0" borderId="0" xfId="2" applyFont="1" applyAlignment="1">
      <alignment vertical="top" wrapText="1"/>
    </xf>
    <xf numFmtId="49" fontId="2" fillId="6" borderId="0" xfId="0" applyNumberFormat="1" applyFont="1" applyFill="1" applyAlignment="1">
      <alignment vertical="top"/>
    </xf>
    <xf numFmtId="0" fontId="2" fillId="6" borderId="0" xfId="0" applyFont="1" applyFill="1" applyAlignment="1">
      <alignment vertical="top"/>
    </xf>
    <xf numFmtId="0" fontId="2" fillId="6" borderId="0" xfId="0" applyFont="1" applyFill="1" applyAlignment="1">
      <alignment horizontal="left" vertical="top"/>
    </xf>
    <xf numFmtId="0" fontId="2" fillId="6" borderId="0" xfId="0" applyFont="1" applyFill="1"/>
    <xf numFmtId="41" fontId="2" fillId="6" borderId="0" xfId="0" applyNumberFormat="1" applyFont="1" applyFill="1" applyAlignment="1">
      <alignment vertical="top" wrapText="1"/>
    </xf>
    <xf numFmtId="9" fontId="2" fillId="6" borderId="0" xfId="2" applyFont="1" applyFill="1" applyAlignment="1">
      <alignment vertical="top" wrapText="1"/>
    </xf>
    <xf numFmtId="43" fontId="2" fillId="6" borderId="0" xfId="1" applyFont="1" applyFill="1" applyAlignment="1">
      <alignment horizontal="right" vertical="top"/>
    </xf>
    <xf numFmtId="43" fontId="2" fillId="6" borderId="1" xfId="1" applyFont="1" applyFill="1" applyBorder="1" applyAlignment="1">
      <alignment horizontal="right" vertical="top"/>
    </xf>
    <xf numFmtId="43" fontId="2" fillId="8" borderId="0" xfId="1" applyFont="1" applyFill="1" applyAlignment="1">
      <alignment horizontal="left"/>
    </xf>
    <xf numFmtId="43" fontId="2" fillId="8" borderId="0" xfId="1" applyFont="1" applyFill="1" applyAlignment="1">
      <alignment horizontal="right"/>
    </xf>
    <xf numFmtId="0" fontId="2" fillId="6" borderId="0" xfId="0" quotePrefix="1" applyFont="1" applyFill="1" applyAlignment="1">
      <alignment horizontal="center" vertical="top"/>
    </xf>
    <xf numFmtId="43" fontId="2" fillId="3" borderId="0" xfId="1" applyFont="1" applyFill="1" applyAlignment="1">
      <alignment horizontal="center"/>
    </xf>
    <xf numFmtId="0" fontId="2" fillId="3" borderId="0" xfId="0" applyFont="1" applyFill="1" applyAlignment="1">
      <alignment horizontal="center"/>
    </xf>
    <xf numFmtId="2" fontId="0" fillId="0" borderId="0" xfId="1" applyNumberFormat="1" applyFont="1" applyAlignment="1">
      <alignment horizontal="right" vertical="top"/>
    </xf>
    <xf numFmtId="2" fontId="0" fillId="0" borderId="0" xfId="1" applyNumberFormat="1" applyFont="1" applyAlignment="1">
      <alignment horizontal="right"/>
    </xf>
    <xf numFmtId="2" fontId="2" fillId="6" borderId="0" xfId="1" applyNumberFormat="1" applyFont="1" applyFill="1" applyAlignment="1">
      <alignment horizontal="right" vertical="top"/>
    </xf>
    <xf numFmtId="49" fontId="0" fillId="0" borderId="0" xfId="0" applyNumberFormat="1" applyFill="1" applyAlignment="1">
      <alignment vertical="top"/>
    </xf>
    <xf numFmtId="0" fontId="0" fillId="0" borderId="0" xfId="0" applyFill="1" applyAlignment="1">
      <alignment vertical="top"/>
    </xf>
    <xf numFmtId="49" fontId="4" fillId="0" borderId="0" xfId="0" applyNumberFormat="1" applyFont="1" applyFill="1" applyAlignment="1">
      <alignment vertical="top"/>
    </xf>
    <xf numFmtId="0" fontId="4" fillId="0" borderId="0" xfId="0" applyFont="1" applyFill="1" applyAlignment="1">
      <alignment vertical="top"/>
    </xf>
    <xf numFmtId="1" fontId="0" fillId="0" borderId="0" xfId="1" applyNumberFormat="1" applyFont="1" applyFill="1" applyAlignment="1">
      <alignment horizontal="right" vertical="top"/>
    </xf>
    <xf numFmtId="0" fontId="0" fillId="0" borderId="0" xfId="0" applyFill="1" applyAlignment="1">
      <alignment horizontal="right" vertical="top"/>
    </xf>
    <xf numFmtId="2" fontId="0" fillId="0" borderId="0" xfId="1" applyNumberFormat="1" applyFont="1" applyFill="1" applyAlignment="1">
      <alignment horizontal="right" vertical="top"/>
    </xf>
    <xf numFmtId="43" fontId="0" fillId="0" borderId="0" xfId="1" applyFont="1" applyFill="1" applyAlignment="1">
      <alignment horizontal="right" vertical="top"/>
    </xf>
    <xf numFmtId="0" fontId="0" fillId="0" borderId="0" xfId="0" applyFill="1" applyAlignment="1">
      <alignment horizontal="left" vertical="top"/>
    </xf>
    <xf numFmtId="0" fontId="4" fillId="0" borderId="0" xfId="0" applyFont="1" applyFill="1" applyAlignment="1">
      <alignment horizontal="right" vertical="top"/>
    </xf>
    <xf numFmtId="49" fontId="4" fillId="0" borderId="0" xfId="0" applyNumberFormat="1" applyFont="1" applyFill="1" applyAlignment="1">
      <alignment horizontal="left" vertical="top"/>
    </xf>
    <xf numFmtId="49" fontId="0" fillId="0" borderId="0" xfId="0" applyNumberFormat="1" applyFill="1" applyAlignment="1">
      <alignment horizontal="left" vertical="top"/>
    </xf>
    <xf numFmtId="9" fontId="4" fillId="0" borderId="0" xfId="0" applyNumberFormat="1" applyFont="1" applyFill="1" applyAlignment="1">
      <alignment horizontal="right" vertical="top"/>
    </xf>
    <xf numFmtId="9" fontId="0" fillId="0" borderId="0" xfId="1" applyNumberFormat="1" applyFont="1" applyFill="1" applyAlignment="1">
      <alignment horizontal="right" vertical="top"/>
    </xf>
    <xf numFmtId="9" fontId="4" fillId="0" borderId="0" xfId="0" applyNumberFormat="1" applyFont="1" applyFill="1" applyAlignment="1">
      <alignment vertical="top"/>
    </xf>
    <xf numFmtId="0" fontId="0" fillId="0" borderId="0" xfId="0" applyFill="1" applyAlignment="1">
      <alignment horizontal="left"/>
    </xf>
    <xf numFmtId="43" fontId="0" fillId="0" borderId="0" xfId="1" applyFont="1" applyFill="1" applyAlignment="1">
      <alignment horizontal="center" vertical="top"/>
    </xf>
    <xf numFmtId="3" fontId="0" fillId="0" borderId="0" xfId="0" applyNumberFormat="1" applyFill="1" applyAlignment="1">
      <alignment horizontal="right" vertical="top"/>
    </xf>
    <xf numFmtId="3" fontId="0" fillId="0" borderId="0" xfId="0" applyNumberFormat="1" applyFill="1" applyAlignment="1">
      <alignment vertical="top"/>
    </xf>
    <xf numFmtId="49" fontId="0" fillId="2" borderId="0" xfId="0" applyNumberFormat="1" applyFill="1" applyAlignment="1">
      <alignment vertical="top"/>
    </xf>
    <xf numFmtId="0" fontId="0" fillId="2" borderId="0" xfId="0" applyFill="1" applyAlignment="1">
      <alignment vertical="top"/>
    </xf>
    <xf numFmtId="49" fontId="4" fillId="2" borderId="0" xfId="0" applyNumberFormat="1" applyFont="1" applyFill="1" applyAlignment="1">
      <alignment vertical="top"/>
    </xf>
    <xf numFmtId="0" fontId="4" fillId="2" borderId="0" xfId="0" applyFont="1" applyFill="1" applyAlignment="1">
      <alignment vertical="top"/>
    </xf>
    <xf numFmtId="43" fontId="0" fillId="2" borderId="0" xfId="1" applyFont="1" applyFill="1" applyAlignment="1">
      <alignment horizontal="right" vertical="top"/>
    </xf>
    <xf numFmtId="0" fontId="0" fillId="2" borderId="0" xfId="0" applyFill="1" applyAlignment="1">
      <alignment horizontal="left" vertical="top"/>
    </xf>
    <xf numFmtId="49" fontId="0" fillId="9" borderId="0" xfId="0" applyNumberFormat="1" applyFill="1" applyAlignment="1">
      <alignment vertical="top"/>
    </xf>
    <xf numFmtId="0" fontId="0" fillId="9" borderId="0" xfId="0" applyFill="1" applyAlignment="1">
      <alignment vertical="top"/>
    </xf>
    <xf numFmtId="49" fontId="4" fillId="9" borderId="0" xfId="0" applyNumberFormat="1" applyFont="1" applyFill="1" applyAlignment="1">
      <alignment vertical="top"/>
    </xf>
    <xf numFmtId="0" fontId="4" fillId="9" borderId="0" xfId="0" applyFont="1" applyFill="1" applyAlignment="1">
      <alignment vertical="top"/>
    </xf>
    <xf numFmtId="2" fontId="0" fillId="9" borderId="0" xfId="1" applyNumberFormat="1" applyFont="1" applyFill="1" applyAlignment="1">
      <alignment horizontal="right" vertical="top"/>
    </xf>
    <xf numFmtId="43" fontId="0" fillId="9" borderId="0" xfId="1" applyFont="1" applyFill="1" applyAlignment="1">
      <alignment horizontal="right" vertical="top"/>
    </xf>
    <xf numFmtId="0" fontId="0" fillId="9" borderId="0" xfId="0" applyFill="1" applyAlignment="1">
      <alignment horizontal="left" vertical="top"/>
    </xf>
    <xf numFmtId="43" fontId="0" fillId="9" borderId="0" xfId="1" applyFont="1" applyFill="1" applyAlignment="1">
      <alignment vertical="top"/>
    </xf>
    <xf numFmtId="0" fontId="4" fillId="0" borderId="0" xfId="0" applyFont="1" applyFill="1" applyAlignment="1">
      <alignment horizontal="left" vertical="top"/>
    </xf>
    <xf numFmtId="0" fontId="0" fillId="5" borderId="0" xfId="0" applyFill="1" applyAlignment="1">
      <alignment horizontal="left" vertical="top"/>
    </xf>
    <xf numFmtId="49" fontId="4" fillId="9" borderId="0" xfId="0" applyNumberFormat="1" applyFont="1" applyFill="1" applyAlignment="1">
      <alignment horizontal="left" vertical="top"/>
    </xf>
    <xf numFmtId="0" fontId="4" fillId="9" borderId="0" xfId="0" applyFont="1" applyFill="1" applyAlignment="1">
      <alignment horizontal="left" vertical="top"/>
    </xf>
    <xf numFmtId="1" fontId="0" fillId="9" borderId="0" xfId="1" applyNumberFormat="1" applyFont="1" applyFill="1" applyAlignment="1">
      <alignment horizontal="right" vertical="top"/>
    </xf>
    <xf numFmtId="0" fontId="0" fillId="9" borderId="0" xfId="0" applyFill="1" applyAlignment="1">
      <alignment horizontal="right" vertical="top"/>
    </xf>
    <xf numFmtId="166" fontId="0" fillId="9" borderId="0" xfId="1" applyNumberFormat="1" applyFont="1" applyFill="1" applyAlignment="1">
      <alignment horizontal="right" vertical="top"/>
    </xf>
    <xf numFmtId="1" fontId="0" fillId="0" borderId="0" xfId="0" applyNumberFormat="1" applyFill="1" applyAlignment="1">
      <alignment horizontal="right" vertical="top"/>
    </xf>
    <xf numFmtId="0" fontId="0" fillId="12" borderId="0" xfId="0" applyFill="1" applyAlignment="1">
      <alignment horizontal="left" vertical="top"/>
    </xf>
    <xf numFmtId="0" fontId="0" fillId="11" borderId="0" xfId="0" applyFill="1" applyAlignment="1">
      <alignment vertical="top"/>
    </xf>
    <xf numFmtId="43" fontId="0" fillId="14" borderId="1" xfId="1" applyFont="1" applyFill="1" applyBorder="1" applyAlignment="1">
      <alignment horizontal="right" vertical="top"/>
    </xf>
    <xf numFmtId="0" fontId="0" fillId="14" borderId="0" xfId="0" applyFill="1" applyAlignment="1">
      <alignment horizontal="right" vertical="top"/>
    </xf>
    <xf numFmtId="166" fontId="0" fillId="14" borderId="0" xfId="1" applyNumberFormat="1" applyFont="1" applyFill="1" applyAlignment="1">
      <alignment horizontal="right" vertical="top"/>
    </xf>
    <xf numFmtId="0" fontId="0" fillId="14" borderId="0" xfId="0" applyFill="1" applyAlignment="1">
      <alignment horizontal="right"/>
    </xf>
    <xf numFmtId="43" fontId="0" fillId="14" borderId="0" xfId="1" applyFont="1" applyFill="1" applyAlignment="1">
      <alignment horizontal="right" vertical="top"/>
    </xf>
    <xf numFmtId="1" fontId="0" fillId="14" borderId="0" xfId="0" applyNumberFormat="1" applyFill="1" applyAlignment="1">
      <alignment horizontal="right" vertical="top"/>
    </xf>
    <xf numFmtId="0" fontId="4" fillId="14" borderId="0" xfId="0" applyFont="1" applyFill="1" applyAlignment="1">
      <alignment horizontal="right" vertical="top"/>
    </xf>
    <xf numFmtId="1" fontId="4" fillId="14" borderId="0" xfId="0" applyNumberFormat="1" applyFont="1" applyFill="1" applyAlignment="1">
      <alignment horizontal="right" vertical="top"/>
    </xf>
    <xf numFmtId="3" fontId="4" fillId="14" borderId="0" xfId="0" applyNumberFormat="1" applyFont="1" applyFill="1" applyAlignment="1">
      <alignment horizontal="right" vertical="top"/>
    </xf>
    <xf numFmtId="3" fontId="0" fillId="14" borderId="0" xfId="0" applyNumberFormat="1" applyFill="1" applyAlignment="1">
      <alignment horizontal="right" vertical="top"/>
    </xf>
    <xf numFmtId="0" fontId="4" fillId="14" borderId="0" xfId="0" applyFont="1" applyFill="1" applyAlignment="1">
      <alignment vertical="top"/>
    </xf>
    <xf numFmtId="9" fontId="0" fillId="14" borderId="0" xfId="0" applyNumberFormat="1" applyFill="1" applyAlignment="1">
      <alignment horizontal="right" vertical="top"/>
    </xf>
    <xf numFmtId="9" fontId="4" fillId="14" borderId="0" xfId="0" applyNumberFormat="1" applyFont="1" applyFill="1" applyAlignment="1">
      <alignment horizontal="right" vertical="top"/>
    </xf>
    <xf numFmtId="165" fontId="0" fillId="14" borderId="0" xfId="1" applyNumberFormat="1" applyFont="1" applyFill="1" applyAlignment="1">
      <alignment horizontal="right" vertical="top"/>
    </xf>
    <xf numFmtId="43" fontId="0" fillId="14" borderId="1" xfId="1" applyFont="1" applyFill="1" applyBorder="1" applyAlignment="1">
      <alignment vertical="top"/>
    </xf>
    <xf numFmtId="43" fontId="0" fillId="14" borderId="1" xfId="1" applyFont="1" applyFill="1" applyBorder="1" applyAlignment="1">
      <alignment horizontal="center" vertical="top"/>
    </xf>
    <xf numFmtId="43" fontId="4" fillId="14" borderId="1" xfId="1" applyFont="1" applyFill="1" applyBorder="1" applyAlignment="1">
      <alignment horizontal="right" vertical="top"/>
    </xf>
    <xf numFmtId="0" fontId="0" fillId="13" borderId="0" xfId="0" applyFill="1" applyAlignment="1">
      <alignment horizontal="right" vertical="top"/>
    </xf>
    <xf numFmtId="43" fontId="0" fillId="13" borderId="1" xfId="1" applyFont="1" applyFill="1" applyBorder="1" applyAlignment="1">
      <alignment horizontal="right" vertical="top"/>
    </xf>
    <xf numFmtId="43" fontId="0" fillId="12" borderId="1" xfId="1" applyFont="1" applyFill="1" applyBorder="1" applyAlignment="1">
      <alignment horizontal="center" vertical="top"/>
    </xf>
    <xf numFmtId="0" fontId="4" fillId="13" borderId="0" xfId="0" applyFont="1" applyFill="1" applyAlignment="1">
      <alignment horizontal="right" vertical="top"/>
    </xf>
    <xf numFmtId="167" fontId="0" fillId="13" borderId="0" xfId="0" applyNumberFormat="1" applyFill="1" applyAlignment="1">
      <alignment horizontal="right" vertical="top"/>
    </xf>
    <xf numFmtId="167" fontId="0" fillId="13" borderId="0" xfId="1" applyNumberFormat="1" applyFont="1" applyFill="1" applyAlignment="1">
      <alignment horizontal="right" vertical="top"/>
    </xf>
    <xf numFmtId="43" fontId="0" fillId="13" borderId="1" xfId="1" applyFont="1" applyFill="1" applyBorder="1" applyAlignment="1">
      <alignment vertical="top"/>
    </xf>
    <xf numFmtId="3" fontId="0" fillId="13" borderId="0" xfId="0" applyNumberFormat="1" applyFill="1" applyAlignment="1">
      <alignment horizontal="right" vertical="top"/>
    </xf>
    <xf numFmtId="43" fontId="0" fillId="12" borderId="1" xfId="1" applyFont="1" applyFill="1" applyBorder="1" applyAlignment="1">
      <alignment vertical="top"/>
    </xf>
    <xf numFmtId="43" fontId="0" fillId="12" borderId="1" xfId="1" applyFont="1" applyFill="1" applyBorder="1" applyAlignment="1">
      <alignment horizontal="right" vertical="top"/>
    </xf>
    <xf numFmtId="0" fontId="0" fillId="12" borderId="0" xfId="0" applyFill="1" applyAlignment="1">
      <alignment horizontal="right" vertical="top"/>
    </xf>
    <xf numFmtId="3" fontId="0" fillId="12" borderId="0" xfId="0" applyNumberFormat="1" applyFill="1" applyAlignment="1">
      <alignment horizontal="right" vertical="top"/>
    </xf>
    <xf numFmtId="43" fontId="0" fillId="13" borderId="1" xfId="1" applyFont="1" applyFill="1" applyBorder="1" applyAlignment="1">
      <alignment horizontal="center" vertical="top"/>
    </xf>
    <xf numFmtId="43" fontId="0" fillId="4" borderId="1" xfId="1" applyFont="1" applyFill="1" applyBorder="1" applyAlignment="1">
      <alignment horizontal="right" vertical="top"/>
    </xf>
    <xf numFmtId="0" fontId="4" fillId="4" borderId="0" xfId="0" applyFont="1" applyFill="1" applyAlignment="1">
      <alignment horizontal="right" vertical="top"/>
    </xf>
    <xf numFmtId="43" fontId="0" fillId="4" borderId="1" xfId="1" applyFont="1" applyFill="1" applyBorder="1" applyAlignment="1">
      <alignment vertical="top"/>
    </xf>
    <xf numFmtId="0" fontId="0" fillId="4" borderId="0" xfId="0" applyFill="1" applyAlignment="1">
      <alignment horizontal="right" vertical="top"/>
    </xf>
    <xf numFmtId="43" fontId="4" fillId="13" borderId="1" xfId="1" applyFont="1" applyFill="1" applyBorder="1" applyAlignment="1">
      <alignment horizontal="right" vertical="top"/>
    </xf>
    <xf numFmtId="3" fontId="4" fillId="13" borderId="0" xfId="0" applyNumberFormat="1" applyFont="1" applyFill="1" applyAlignment="1">
      <alignment horizontal="right" vertical="top"/>
    </xf>
    <xf numFmtId="165" fontId="0" fillId="13" borderId="0" xfId="1" applyNumberFormat="1" applyFont="1" applyFill="1" applyAlignment="1">
      <alignment horizontal="right" vertical="top"/>
    </xf>
    <xf numFmtId="43" fontId="0" fillId="13" borderId="0" xfId="1" applyFont="1" applyFill="1" applyAlignment="1">
      <alignment horizontal="right" vertical="top"/>
    </xf>
    <xf numFmtId="43" fontId="8" fillId="0" borderId="0" xfId="1" applyFont="1" applyFill="1" applyAlignment="1">
      <alignment horizontal="right" vertical="top"/>
    </xf>
    <xf numFmtId="43" fontId="4" fillId="0" borderId="0" xfId="4" applyNumberFormat="1" applyFont="1"/>
    <xf numFmtId="166" fontId="0" fillId="0" borderId="0" xfId="1" applyNumberFormat="1" applyFont="1" applyAlignment="1">
      <alignment horizontal="right"/>
    </xf>
    <xf numFmtId="41" fontId="0" fillId="0" borderId="0" xfId="0" applyNumberFormat="1" applyAlignment="1">
      <alignment vertical="top" wrapText="1"/>
    </xf>
    <xf numFmtId="43" fontId="0" fillId="2" borderId="1" xfId="1" applyFont="1" applyFill="1" applyBorder="1"/>
    <xf numFmtId="166" fontId="4" fillId="0" borderId="0" xfId="1" applyNumberFormat="1" applyFont="1" applyAlignment="1">
      <alignment horizontal="right" vertical="top"/>
    </xf>
    <xf numFmtId="43" fontId="4" fillId="2" borderId="1" xfId="1" applyFont="1" applyFill="1" applyBorder="1" applyAlignment="1">
      <alignment horizontal="right" vertical="top"/>
    </xf>
    <xf numFmtId="43" fontId="0" fillId="2" borderId="1" xfId="1" applyFont="1" applyFill="1" applyBorder="1" applyAlignment="1">
      <alignment horizontal="right" vertical="top"/>
    </xf>
    <xf numFmtId="43" fontId="4" fillId="0" borderId="0" xfId="4" quotePrefix="1" applyNumberFormat="1" applyFont="1"/>
    <xf numFmtId="0" fontId="0" fillId="0" borderId="0" xfId="0" quotePrefix="1" applyAlignment="1">
      <alignment horizontal="left" vertical="top"/>
    </xf>
    <xf numFmtId="0" fontId="6" fillId="0" borderId="0" xfId="0" applyFont="1" applyAlignment="1">
      <alignment horizontal="left" vertical="top"/>
    </xf>
    <xf numFmtId="43" fontId="4" fillId="2" borderId="1" xfId="1" applyFont="1" applyFill="1" applyBorder="1"/>
    <xf numFmtId="0" fontId="4" fillId="0" borderId="0" xfId="0" applyFont="1"/>
    <xf numFmtId="166" fontId="6" fillId="0" borderId="0" xfId="1" applyNumberFormat="1" applyFont="1" applyAlignment="1">
      <alignment horizontal="right" vertical="top"/>
    </xf>
    <xf numFmtId="0" fontId="6" fillId="0" borderId="0" xfId="0" applyFont="1" applyAlignment="1">
      <alignment vertical="top"/>
    </xf>
    <xf numFmtId="0" fontId="0" fillId="0" borderId="0" xfId="0" applyAlignment="1">
      <alignment horizontal="left" vertical="center"/>
    </xf>
    <xf numFmtId="0" fontId="0" fillId="16" borderId="0" xfId="0" applyFill="1" applyAlignment="1">
      <alignment horizontal="left" vertical="top"/>
    </xf>
    <xf numFmtId="43" fontId="4" fillId="2" borderId="1" xfId="1" applyFont="1" applyFill="1" applyBorder="1" applyAlignment="1">
      <alignment horizontal="left"/>
    </xf>
    <xf numFmtId="43" fontId="4" fillId="2" borderId="1" xfId="1" applyFont="1" applyFill="1" applyBorder="1" applyAlignment="1">
      <alignment horizontal="left" vertical="top"/>
    </xf>
    <xf numFmtId="0" fontId="0" fillId="13" borderId="0" xfId="0" applyFill="1" applyAlignment="1">
      <alignment horizontal="left" vertical="top"/>
    </xf>
    <xf numFmtId="0" fontId="6" fillId="0" borderId="0" xfId="0" applyFont="1" applyAlignment="1">
      <alignment horizontal="left" vertical="center"/>
    </xf>
    <xf numFmtId="0" fontId="4" fillId="0" borderId="0" xfId="0" applyFont="1" applyAlignment="1">
      <alignment horizontal="left" vertical="center"/>
    </xf>
    <xf numFmtId="166" fontId="0" fillId="0" borderId="0" xfId="1" applyNumberFormat="1" applyFont="1" applyAlignment="1">
      <alignment horizontal="right" vertical="center"/>
    </xf>
    <xf numFmtId="0" fontId="4" fillId="13" borderId="0" xfId="0" applyFont="1" applyFill="1" applyAlignment="1">
      <alignment horizontal="left" vertical="center"/>
    </xf>
    <xf numFmtId="43" fontId="0" fillId="0" borderId="0" xfId="1" applyFont="1" applyAlignment="1">
      <alignment horizontal="left" vertical="center"/>
    </xf>
    <xf numFmtId="43" fontId="4" fillId="2" borderId="1" xfId="1" applyFont="1" applyFill="1" applyBorder="1" applyAlignment="1">
      <alignment horizontal="left" vertical="center"/>
    </xf>
    <xf numFmtId="43" fontId="0" fillId="2" borderId="1" xfId="1" applyFont="1" applyFill="1" applyBorder="1" applyAlignment="1">
      <alignment horizontal="left" vertical="center"/>
    </xf>
    <xf numFmtId="43" fontId="0" fillId="0" borderId="0" xfId="1" applyFont="1" applyAlignment="1">
      <alignment horizontal="left"/>
    </xf>
    <xf numFmtId="43" fontId="0" fillId="2" borderId="1" xfId="1" applyFont="1" applyFill="1" applyBorder="1" applyAlignment="1">
      <alignment horizontal="left"/>
    </xf>
    <xf numFmtId="43" fontId="0" fillId="0" borderId="0" xfId="1" applyFont="1" applyAlignment="1">
      <alignment horizontal="left" vertical="top"/>
    </xf>
    <xf numFmtId="43" fontId="0" fillId="2" borderId="1" xfId="1" applyFont="1" applyFill="1" applyBorder="1" applyAlignment="1">
      <alignment horizontal="left" vertical="top"/>
    </xf>
    <xf numFmtId="166" fontId="4" fillId="0" borderId="0" xfId="1" applyNumberFormat="1" applyFont="1" applyAlignment="1">
      <alignment horizontal="right" vertical="center"/>
    </xf>
    <xf numFmtId="0" fontId="4" fillId="2" borderId="0" xfId="0" applyFont="1" applyFill="1" applyAlignment="1">
      <alignment horizontal="left" vertical="center"/>
    </xf>
    <xf numFmtId="0" fontId="4" fillId="5" borderId="0" xfId="0" applyFont="1" applyFill="1" applyAlignment="1">
      <alignment horizontal="left" vertical="center"/>
    </xf>
    <xf numFmtId="0" fontId="4" fillId="2" borderId="0" xfId="0" applyFont="1" applyFill="1" applyAlignment="1">
      <alignment horizontal="left" vertical="top"/>
    </xf>
    <xf numFmtId="0" fontId="4" fillId="13" borderId="0" xfId="0" applyFont="1" applyFill="1" applyAlignment="1">
      <alignment horizontal="left" vertical="top"/>
    </xf>
    <xf numFmtId="43" fontId="4" fillId="0" borderId="0" xfId="4" applyNumberFormat="1" applyFont="1" applyAlignment="1">
      <alignment vertical="center"/>
    </xf>
    <xf numFmtId="0" fontId="4" fillId="0" borderId="0" xfId="0" applyFont="1" applyAlignment="1">
      <alignment vertical="center"/>
    </xf>
    <xf numFmtId="0" fontId="8" fillId="0" borderId="0" xfId="0" applyFont="1" applyAlignment="1">
      <alignment horizontal="right" vertical="center"/>
    </xf>
    <xf numFmtId="43" fontId="4" fillId="0" borderId="0" xfId="1" applyFont="1" applyAlignment="1">
      <alignment vertical="center"/>
    </xf>
    <xf numFmtId="43" fontId="4" fillId="2" borderId="1" xfId="1" applyFont="1" applyFill="1" applyBorder="1" applyAlignment="1">
      <alignment vertical="center"/>
    </xf>
    <xf numFmtId="0" fontId="4" fillId="0" borderId="0" xfId="0" applyFont="1" applyAlignment="1">
      <alignment horizontal="justify" vertical="center"/>
    </xf>
    <xf numFmtId="0" fontId="4" fillId="0" borderId="0" xfId="0" applyFont="1" applyAlignment="1">
      <alignment horizontal="right" vertical="center"/>
    </xf>
    <xf numFmtId="43" fontId="4" fillId="0" borderId="0" xfId="1" applyFont="1" applyAlignment="1">
      <alignment horizontal="right" vertical="center"/>
    </xf>
    <xf numFmtId="43" fontId="4" fillId="2" borderId="1" xfId="1" applyFont="1" applyFill="1" applyBorder="1" applyAlignment="1">
      <alignment horizontal="right" vertical="center"/>
    </xf>
    <xf numFmtId="3" fontId="4" fillId="0" borderId="0" xfId="0" applyNumberFormat="1" applyFont="1" applyAlignment="1">
      <alignment horizontal="right" vertical="center"/>
    </xf>
    <xf numFmtId="0" fontId="15" fillId="0" borderId="0" xfId="11" applyFont="1" applyAlignment="1">
      <alignment horizontal="justify" vertical="center"/>
    </xf>
    <xf numFmtId="168" fontId="4" fillId="0" borderId="0" xfId="0" applyNumberFormat="1" applyFont="1" applyAlignment="1">
      <alignment horizontal="right" vertical="center"/>
    </xf>
    <xf numFmtId="43" fontId="4" fillId="0" borderId="0" xfId="4" quotePrefix="1" applyNumberFormat="1" applyFont="1" applyAlignment="1">
      <alignment vertical="center"/>
    </xf>
    <xf numFmtId="0" fontId="4" fillId="0" borderId="0" xfId="0" quotePrefix="1" applyFont="1" applyAlignment="1">
      <alignment horizontal="justify" vertical="center"/>
    </xf>
    <xf numFmtId="9" fontId="8" fillId="0" borderId="0" xfId="2" applyFont="1" applyAlignment="1">
      <alignment horizontal="right" vertical="center"/>
    </xf>
    <xf numFmtId="9" fontId="4" fillId="0" borderId="0" xfId="2" applyFont="1" applyAlignment="1">
      <alignment horizontal="right" vertical="center"/>
    </xf>
    <xf numFmtId="9" fontId="4" fillId="0" borderId="0" xfId="2" applyFont="1" applyAlignment="1">
      <alignment vertical="center"/>
    </xf>
    <xf numFmtId="0" fontId="0" fillId="0" borderId="0" xfId="0" quotePrefix="1"/>
    <xf numFmtId="43" fontId="0" fillId="0" borderId="0" xfId="1" applyFont="1" applyAlignment="1">
      <alignment horizontal="center" vertical="center"/>
    </xf>
    <xf numFmtId="43" fontId="0" fillId="2" borderId="1" xfId="1" applyFont="1" applyFill="1" applyBorder="1" applyAlignment="1">
      <alignment horizontal="center" vertical="center"/>
    </xf>
    <xf numFmtId="0" fontId="13" fillId="0" borderId="0" xfId="0" applyFont="1" applyAlignment="1">
      <alignment horizontal="left" vertical="center"/>
    </xf>
    <xf numFmtId="0" fontId="13" fillId="0" borderId="0" xfId="0" quotePrefix="1" applyFont="1" applyAlignment="1">
      <alignment horizontal="left" vertical="center"/>
    </xf>
    <xf numFmtId="0" fontId="0" fillId="0" borderId="0" xfId="0" quotePrefix="1" applyAlignment="1">
      <alignment horizontal="left" vertical="center"/>
    </xf>
    <xf numFmtId="0" fontId="6" fillId="0" borderId="0" xfId="0" applyFont="1" applyAlignment="1">
      <alignment vertical="center"/>
    </xf>
    <xf numFmtId="43" fontId="4" fillId="0" borderId="0" xfId="4" applyNumberFormat="1" applyFont="1" applyAlignment="1">
      <alignment horizontal="left" vertical="top"/>
    </xf>
    <xf numFmtId="43" fontId="4" fillId="0" borderId="0" xfId="4" quotePrefix="1" applyNumberFormat="1" applyFont="1" applyAlignment="1">
      <alignment horizontal="left" vertical="top"/>
    </xf>
    <xf numFmtId="0" fontId="0" fillId="2" borderId="0" xfId="0" applyFill="1" applyAlignment="1">
      <alignment horizontal="right"/>
    </xf>
    <xf numFmtId="43" fontId="0" fillId="0" borderId="0" xfId="0" applyNumberFormat="1"/>
    <xf numFmtId="0" fontId="6" fillId="0" borderId="0" xfId="0" applyFont="1" applyAlignment="1">
      <alignment horizontal="right" vertical="center"/>
    </xf>
    <xf numFmtId="0" fontId="6" fillId="0" borderId="0" xfId="0" applyFont="1" applyAlignment="1">
      <alignment horizontal="center" vertical="center"/>
    </xf>
    <xf numFmtId="43" fontId="4" fillId="0" borderId="0" xfId="4" applyNumberFormat="1" applyFont="1" applyAlignment="1">
      <alignment vertical="top"/>
    </xf>
    <xf numFmtId="43" fontId="0" fillId="2" borderId="1" xfId="1" applyFont="1" applyFill="1" applyBorder="1" applyAlignment="1">
      <alignment vertical="top"/>
    </xf>
    <xf numFmtId="0" fontId="13" fillId="0" borderId="0" xfId="0" applyFont="1" applyAlignment="1">
      <alignment vertical="top"/>
    </xf>
    <xf numFmtId="43" fontId="0" fillId="0" borderId="0" xfId="4" applyNumberFormat="1" applyFont="1" applyAlignment="1">
      <alignment vertical="top"/>
    </xf>
    <xf numFmtId="43" fontId="0" fillId="0" borderId="0" xfId="4" quotePrefix="1" applyNumberFormat="1" applyFont="1" applyAlignment="1">
      <alignment vertical="top"/>
    </xf>
    <xf numFmtId="0" fontId="13" fillId="7" borderId="0" xfId="0" applyFont="1" applyFill="1" applyAlignment="1">
      <alignment vertical="top"/>
    </xf>
    <xf numFmtId="43" fontId="0" fillId="7" borderId="1" xfId="1" applyFont="1" applyFill="1" applyBorder="1" applyAlignment="1">
      <alignment vertical="top"/>
    </xf>
    <xf numFmtId="0" fontId="0" fillId="7" borderId="0" xfId="0" applyFill="1" applyAlignment="1">
      <alignment vertical="top"/>
    </xf>
    <xf numFmtId="43" fontId="13" fillId="0" borderId="0" xfId="1" applyFont="1" applyAlignment="1">
      <alignment vertical="top"/>
    </xf>
    <xf numFmtId="43" fontId="13" fillId="2" borderId="1" xfId="1" applyFont="1" applyFill="1" applyBorder="1" applyAlignment="1">
      <alignment vertical="top"/>
    </xf>
    <xf numFmtId="0" fontId="0" fillId="0" borderId="0" xfId="0" applyAlignment="1">
      <alignment vertical="center"/>
    </xf>
    <xf numFmtId="0" fontId="0" fillId="0" borderId="0" xfId="0" applyAlignment="1">
      <alignment horizontal="right" vertical="center"/>
    </xf>
    <xf numFmtId="0" fontId="0" fillId="0" borderId="0" xfId="0" applyAlignment="1">
      <alignment horizontal="justify" vertical="center"/>
    </xf>
    <xf numFmtId="0" fontId="3" fillId="0" borderId="0" xfId="0" applyFont="1" applyAlignment="1">
      <alignment horizontal="right" vertical="center"/>
    </xf>
    <xf numFmtId="49" fontId="4" fillId="0" borderId="0" xfId="4" applyNumberFormat="1" applyFont="1" applyAlignment="1">
      <alignment horizontal="left" vertical="top"/>
    </xf>
    <xf numFmtId="43" fontId="0" fillId="0" borderId="0" xfId="0" applyNumberFormat="1" applyAlignment="1">
      <alignment horizontal="left" vertical="top"/>
    </xf>
    <xf numFmtId="3" fontId="0" fillId="0" borderId="0" xfId="0" applyNumberFormat="1" applyAlignment="1">
      <alignment horizontal="right" vertical="center"/>
    </xf>
    <xf numFmtId="3" fontId="6" fillId="0" borderId="0" xfId="0" applyNumberFormat="1" applyFont="1" applyAlignment="1">
      <alignment horizontal="right" vertical="center"/>
    </xf>
    <xf numFmtId="0" fontId="14" fillId="0" borderId="0" xfId="11" applyAlignment="1">
      <alignment horizontal="justify" vertical="center"/>
    </xf>
    <xf numFmtId="9" fontId="6" fillId="0" borderId="0" xfId="0" applyNumberFormat="1" applyFont="1" applyAlignment="1">
      <alignment horizontal="right" vertical="center"/>
    </xf>
    <xf numFmtId="43" fontId="0" fillId="0" borderId="0" xfId="0" quotePrefix="1" applyNumberFormat="1" applyAlignment="1">
      <alignment horizontal="left" vertical="top"/>
    </xf>
    <xf numFmtId="43" fontId="3" fillId="0" borderId="0" xfId="1" applyFont="1" applyAlignment="1">
      <alignment horizontal="left" vertical="top"/>
    </xf>
    <xf numFmtId="43" fontId="3" fillId="2" borderId="1" xfId="1" applyFont="1" applyFill="1" applyBorder="1" applyAlignment="1">
      <alignment horizontal="left" vertical="top"/>
    </xf>
    <xf numFmtId="0" fontId="3" fillId="0" borderId="0" xfId="0" applyFont="1" applyAlignment="1">
      <alignment horizontal="left" vertical="top"/>
    </xf>
    <xf numFmtId="43" fontId="13" fillId="2" borderId="1" xfId="1" applyFont="1" applyFill="1" applyBorder="1" applyAlignment="1">
      <alignment horizontal="left" vertical="top"/>
    </xf>
    <xf numFmtId="43" fontId="6" fillId="2" borderId="1" xfId="1" applyFont="1" applyFill="1" applyBorder="1" applyAlignment="1">
      <alignment horizontal="left" vertical="top"/>
    </xf>
    <xf numFmtId="43" fontId="6" fillId="0" borderId="0" xfId="1" applyFont="1" applyAlignment="1">
      <alignment horizontal="left" vertical="top"/>
    </xf>
    <xf numFmtId="43" fontId="6" fillId="0" borderId="0" xfId="0" applyNumberFormat="1" applyFont="1" applyAlignment="1">
      <alignment horizontal="left" vertical="top"/>
    </xf>
    <xf numFmtId="43" fontId="20" fillId="2" borderId="1" xfId="1" applyFont="1" applyFill="1" applyBorder="1" applyAlignment="1">
      <alignment horizontal="left" vertical="top"/>
    </xf>
    <xf numFmtId="43" fontId="4" fillId="0" borderId="0" xfId="0" applyNumberFormat="1" applyFont="1" applyAlignment="1">
      <alignment horizontal="left" vertical="top"/>
    </xf>
    <xf numFmtId="0" fontId="13" fillId="0" borderId="0" xfId="0" applyFont="1" applyAlignment="1">
      <alignment horizontal="left" vertical="top"/>
    </xf>
    <xf numFmtId="43" fontId="13" fillId="0" borderId="0" xfId="1" applyFont="1" applyAlignment="1">
      <alignment horizontal="right" vertical="top"/>
    </xf>
    <xf numFmtId="43" fontId="13" fillId="2" borderId="1" xfId="1" applyFont="1" applyFill="1" applyBorder="1" applyAlignment="1">
      <alignment horizontal="right" vertical="top"/>
    </xf>
    <xf numFmtId="43" fontId="19" fillId="2" borderId="1" xfId="1" applyFont="1" applyFill="1" applyBorder="1" applyAlignment="1">
      <alignment horizontal="left" vertical="top"/>
    </xf>
    <xf numFmtId="43" fontId="21" fillId="2" borderId="1" xfId="1" applyFont="1" applyFill="1" applyBorder="1" applyAlignment="1">
      <alignment horizontal="left" vertical="top"/>
    </xf>
    <xf numFmtId="43" fontId="19" fillId="2" borderId="1" xfId="1" applyFont="1" applyFill="1" applyBorder="1" applyAlignment="1">
      <alignment vertical="top"/>
    </xf>
    <xf numFmtId="43" fontId="6" fillId="0" borderId="0" xfId="0" applyNumberFormat="1" applyFont="1" applyAlignment="1">
      <alignment vertical="top"/>
    </xf>
    <xf numFmtId="43" fontId="22" fillId="2" borderId="1" xfId="1" applyFont="1" applyFill="1" applyBorder="1" applyAlignment="1">
      <alignment horizontal="left" vertical="top"/>
    </xf>
    <xf numFmtId="43" fontId="6" fillId="0" borderId="0" xfId="1" applyFont="1" applyAlignment="1">
      <alignment horizontal="right" vertical="top"/>
    </xf>
    <xf numFmtId="43" fontId="6" fillId="2" borderId="1" xfId="1" applyFont="1" applyFill="1" applyBorder="1" applyAlignment="1">
      <alignment horizontal="right" vertical="top"/>
    </xf>
    <xf numFmtId="43" fontId="3" fillId="0" borderId="0" xfId="1" applyFont="1" applyAlignment="1">
      <alignment horizontal="right" vertical="top"/>
    </xf>
    <xf numFmtId="43" fontId="3" fillId="2" borderId="1" xfId="1" applyFont="1" applyFill="1" applyBorder="1" applyAlignment="1">
      <alignment horizontal="right" vertical="top"/>
    </xf>
    <xf numFmtId="43" fontId="1" fillId="0" borderId="0" xfId="1" applyAlignment="1">
      <alignment horizontal="left" vertical="top"/>
    </xf>
    <xf numFmtId="43" fontId="1" fillId="2" borderId="1" xfId="1" applyFill="1" applyBorder="1" applyAlignment="1">
      <alignment horizontal="left" vertical="top"/>
    </xf>
    <xf numFmtId="43" fontId="2" fillId="6" borderId="0" xfId="7" applyFont="1" applyFill="1" applyAlignment="1">
      <alignment horizontal="right" vertical="top"/>
    </xf>
    <xf numFmtId="43" fontId="2" fillId="6" borderId="1" xfId="7" applyFont="1" applyFill="1" applyBorder="1" applyAlignment="1">
      <alignment horizontal="right" vertical="top"/>
    </xf>
    <xf numFmtId="43" fontId="0" fillId="0" borderId="0" xfId="7" applyFont="1" applyAlignment="1">
      <alignment horizontal="right" vertical="top"/>
    </xf>
    <xf numFmtId="43" fontId="0" fillId="2" borderId="1" xfId="7" applyFont="1" applyFill="1" applyBorder="1" applyAlignment="1">
      <alignment horizontal="right" vertical="top"/>
    </xf>
    <xf numFmtId="0" fontId="0" fillId="0" borderId="0" xfId="0" applyAlignment="1">
      <alignment horizontal="center" vertical="top"/>
    </xf>
    <xf numFmtId="43" fontId="4" fillId="0" borderId="0" xfId="7" applyFont="1" applyAlignment="1">
      <alignment horizontal="right" vertical="top"/>
    </xf>
    <xf numFmtId="43" fontId="4" fillId="2" borderId="1" xfId="7" applyFont="1" applyFill="1" applyBorder="1" applyAlignment="1">
      <alignment horizontal="right" vertical="top"/>
    </xf>
    <xf numFmtId="165" fontId="0" fillId="2" borderId="1" xfId="6" applyFont="1" applyFill="1" applyBorder="1" applyAlignment="1">
      <alignment horizontal="right" vertical="top"/>
    </xf>
    <xf numFmtId="0" fontId="23" fillId="0" borderId="0" xfId="0" applyFont="1" applyAlignment="1">
      <alignment horizontal="left" vertical="top"/>
    </xf>
    <xf numFmtId="0" fontId="23" fillId="0" borderId="0" xfId="0" applyFont="1" applyAlignment="1">
      <alignment vertical="center"/>
    </xf>
    <xf numFmtId="9" fontId="0" fillId="0" borderId="0" xfId="0" applyNumberFormat="1" applyAlignment="1">
      <alignment vertical="center"/>
    </xf>
    <xf numFmtId="0" fontId="24" fillId="0" borderId="1" xfId="0" applyFont="1" applyBorder="1" applyAlignment="1">
      <alignment vertical="top"/>
    </xf>
    <xf numFmtId="0" fontId="0" fillId="2" borderId="1" xfId="0" applyFill="1" applyBorder="1" applyAlignment="1">
      <alignment vertical="top"/>
    </xf>
    <xf numFmtId="0" fontId="6" fillId="9" borderId="0" xfId="0" applyFont="1" applyFill="1" applyAlignment="1">
      <alignment horizontal="left" vertical="top"/>
    </xf>
    <xf numFmtId="0" fontId="23" fillId="9" borderId="0" xfId="0" applyFont="1" applyFill="1" applyAlignment="1">
      <alignment horizontal="left" vertical="top"/>
    </xf>
    <xf numFmtId="43" fontId="0" fillId="9" borderId="0" xfId="7" applyFont="1" applyFill="1" applyAlignment="1">
      <alignment horizontal="right" vertical="top"/>
    </xf>
    <xf numFmtId="43" fontId="0" fillId="9" borderId="1" xfId="7" applyFont="1" applyFill="1" applyBorder="1" applyAlignment="1">
      <alignment horizontal="right" vertical="top"/>
    </xf>
    <xf numFmtId="0" fontId="4" fillId="0" borderId="0" xfId="0" applyFont="1" applyAlignment="1">
      <alignment wrapText="1"/>
    </xf>
    <xf numFmtId="0" fontId="4" fillId="0" borderId="0" xfId="0" applyFont="1" applyAlignment="1">
      <alignment horizontal="right"/>
    </xf>
    <xf numFmtId="43" fontId="4" fillId="0" borderId="0" xfId="1" applyFont="1"/>
    <xf numFmtId="0" fontId="4" fillId="0" borderId="0" xfId="0" applyFont="1" applyAlignment="1">
      <alignment horizontal="left"/>
    </xf>
    <xf numFmtId="43" fontId="4" fillId="0" borderId="0" xfId="1" applyFont="1" applyAlignment="1">
      <alignment horizontal="right"/>
    </xf>
    <xf numFmtId="43" fontId="4" fillId="2" borderId="1" xfId="1" applyFont="1" applyFill="1" applyBorder="1" applyAlignment="1">
      <alignment horizontal="right"/>
    </xf>
    <xf numFmtId="9" fontId="4" fillId="0" borderId="0" xfId="0" applyNumberFormat="1" applyFont="1" applyAlignment="1">
      <alignment horizontal="right"/>
    </xf>
    <xf numFmtId="3" fontId="4" fillId="0" borderId="0" xfId="0" applyNumberFormat="1" applyFont="1" applyAlignment="1">
      <alignment horizontal="right"/>
    </xf>
    <xf numFmtId="0" fontId="0" fillId="0" borderId="0" xfId="0" applyAlignment="1">
      <alignment vertical="center" wrapText="1"/>
    </xf>
    <xf numFmtId="0" fontId="0" fillId="0" borderId="0" xfId="0" applyAlignment="1"/>
    <xf numFmtId="0" fontId="3" fillId="0" borderId="0" xfId="0" applyFont="1" applyAlignment="1"/>
    <xf numFmtId="49" fontId="2" fillId="3" borderId="0" xfId="0" applyNumberFormat="1" applyFont="1" applyFill="1" applyAlignment="1"/>
    <xf numFmtId="0" fontId="2" fillId="3" borderId="0" xfId="0" applyFont="1" applyFill="1" applyAlignment="1"/>
    <xf numFmtId="0" fontId="2" fillId="10" borderId="0" xfId="0" applyFont="1" applyFill="1" applyAlignment="1">
      <alignment horizontal="center"/>
    </xf>
    <xf numFmtId="2" fontId="2" fillId="3" borderId="0" xfId="1" applyNumberFormat="1" applyFont="1" applyFill="1" applyAlignment="1">
      <alignment horizontal="center"/>
    </xf>
    <xf numFmtId="0" fontId="2" fillId="5" borderId="0" xfId="0" applyFont="1" applyFill="1" applyAlignment="1">
      <alignment horizontal="center"/>
    </xf>
    <xf numFmtId="0" fontId="0" fillId="3" borderId="0" xfId="0" applyFill="1" applyAlignment="1"/>
    <xf numFmtId="41" fontId="2" fillId="6" borderId="0" xfId="0" applyNumberFormat="1" applyFont="1" applyFill="1" applyAlignment="1">
      <alignment vertical="top"/>
    </xf>
    <xf numFmtId="9" fontId="2" fillId="6" borderId="0" xfId="2" applyFont="1" applyFill="1" applyAlignment="1">
      <alignment vertical="top"/>
    </xf>
    <xf numFmtId="0" fontId="2" fillId="6" borderId="0" xfId="0" applyFont="1" applyFill="1" applyAlignment="1"/>
    <xf numFmtId="0" fontId="0" fillId="9" borderId="0" xfId="0" applyFill="1" applyAlignment="1"/>
    <xf numFmtId="0" fontId="0" fillId="9" borderId="0" xfId="0" applyFill="1" applyAlignment="1" applyProtection="1"/>
    <xf numFmtId="41" fontId="0" fillId="9" borderId="0" xfId="0" applyNumberFormat="1" applyFill="1" applyAlignment="1" applyProtection="1">
      <alignment vertical="top"/>
    </xf>
    <xf numFmtId="9" fontId="0" fillId="9" borderId="0" xfId="2" applyFont="1" applyFill="1" applyAlignment="1">
      <alignment vertical="top"/>
    </xf>
    <xf numFmtId="0" fontId="0" fillId="0" borderId="0" xfId="0" applyAlignment="1" applyProtection="1"/>
    <xf numFmtId="0" fontId="0" fillId="0" borderId="0" xfId="0" applyFill="1" applyAlignment="1" applyProtection="1"/>
    <xf numFmtId="0" fontId="0" fillId="0" borderId="0" xfId="0" applyFill="1" applyAlignment="1"/>
    <xf numFmtId="41" fontId="0" fillId="0" borderId="0" xfId="0" applyNumberFormat="1" applyAlignment="1" applyProtection="1">
      <alignment vertical="top"/>
    </xf>
    <xf numFmtId="9" fontId="0" fillId="0" borderId="0" xfId="2" applyFont="1" applyAlignment="1">
      <alignment vertical="top"/>
    </xf>
    <xf numFmtId="1" fontId="0" fillId="0" borderId="0" xfId="0" applyNumberFormat="1" applyFill="1" applyAlignment="1"/>
    <xf numFmtId="41" fontId="0" fillId="0" borderId="0" xfId="0" applyNumberFormat="1" applyFill="1" applyAlignment="1" applyProtection="1">
      <alignment vertical="top"/>
    </xf>
    <xf numFmtId="9" fontId="0" fillId="0" borderId="0" xfId="2" applyFont="1" applyFill="1" applyAlignment="1">
      <alignment vertical="top"/>
    </xf>
    <xf numFmtId="1" fontId="0" fillId="5" borderId="0" xfId="0" applyNumberFormat="1" applyFill="1" applyAlignment="1"/>
    <xf numFmtId="0" fontId="6" fillId="0" borderId="0" xfId="3" applyFont="1" applyAlignment="1">
      <alignment vertical="top"/>
    </xf>
    <xf numFmtId="9" fontId="0" fillId="2" borderId="0" xfId="2" applyFont="1" applyFill="1" applyAlignment="1">
      <alignment vertical="top"/>
    </xf>
    <xf numFmtId="0" fontId="0" fillId="2" borderId="0" xfId="0" applyFill="1" applyAlignment="1"/>
    <xf numFmtId="43" fontId="0" fillId="0" borderId="0" xfId="1" applyFont="1" applyAlignment="1"/>
    <xf numFmtId="43" fontId="0" fillId="14" borderId="1" xfId="1" applyFont="1" applyFill="1" applyBorder="1" applyAlignment="1"/>
    <xf numFmtId="43" fontId="0" fillId="13" borderId="1" xfId="1" applyFont="1" applyFill="1" applyBorder="1" applyAlignment="1"/>
    <xf numFmtId="43" fontId="0" fillId="0" borderId="0" xfId="3" applyNumberFormat="1" applyFont="1" applyAlignment="1">
      <alignment horizontal="left" vertical="top"/>
    </xf>
    <xf numFmtId="43" fontId="4" fillId="0" borderId="0" xfId="4" applyNumberFormat="1" applyFont="1" applyAlignment="1"/>
    <xf numFmtId="41" fontId="0" fillId="0" borderId="0" xfId="0" applyNumberFormat="1" applyAlignment="1"/>
    <xf numFmtId="41" fontId="0" fillId="0" borderId="0" xfId="0" applyNumberFormat="1" applyAlignment="1">
      <alignment vertical="top"/>
    </xf>
    <xf numFmtId="43" fontId="0" fillId="2" borderId="1" xfId="1" applyFont="1" applyFill="1" applyBorder="1" applyAlignment="1"/>
    <xf numFmtId="43" fontId="4" fillId="0" borderId="0" xfId="4" quotePrefix="1" applyNumberFormat="1" applyFont="1" applyAlignment="1"/>
    <xf numFmtId="43" fontId="4" fillId="2" borderId="1" xfId="1" applyFont="1" applyFill="1" applyBorder="1" applyAlignment="1"/>
    <xf numFmtId="0" fontId="4" fillId="0" borderId="0" xfId="0" applyFont="1" applyAlignment="1"/>
    <xf numFmtId="0" fontId="4" fillId="15" borderId="0" xfId="0" applyFont="1" applyFill="1" applyAlignment="1"/>
    <xf numFmtId="0" fontId="0" fillId="15" borderId="0" xfId="0" applyFill="1" applyAlignment="1"/>
    <xf numFmtId="0" fontId="0" fillId="16" borderId="0" xfId="0" applyFill="1" applyAlignment="1"/>
    <xf numFmtId="0" fontId="0" fillId="17" borderId="0" xfId="0" applyFill="1" applyAlignment="1"/>
    <xf numFmtId="0" fontId="0" fillId="18" borderId="0" xfId="0" applyFill="1" applyAlignment="1"/>
    <xf numFmtId="0" fontId="0" fillId="13" borderId="0" xfId="0" applyFill="1" applyAlignment="1"/>
    <xf numFmtId="0" fontId="0" fillId="19" borderId="0" xfId="0" applyFill="1" applyAlignment="1"/>
    <xf numFmtId="0" fontId="0" fillId="0" borderId="0" xfId="0" quotePrefix="1" applyAlignment="1"/>
    <xf numFmtId="0" fontId="0" fillId="0" borderId="0" xfId="0" applyAlignment="1">
      <alignment horizontal="center" vertical="center"/>
    </xf>
    <xf numFmtId="41" fontId="0" fillId="0" borderId="0" xfId="0" applyNumberFormat="1" applyAlignment="1">
      <alignment horizontal="center" vertical="center"/>
    </xf>
    <xf numFmtId="167" fontId="0" fillId="0" borderId="0" xfId="1" applyNumberFormat="1" applyFont="1" applyAlignment="1"/>
    <xf numFmtId="0" fontId="16" fillId="0" borderId="0" xfId="0" applyFont="1" applyAlignment="1">
      <alignment horizontal="center" vertical="center"/>
    </xf>
    <xf numFmtId="0" fontId="17" fillId="0" borderId="0" xfId="0" applyFont="1" applyAlignment="1">
      <alignment horizontal="center" vertical="center"/>
    </xf>
    <xf numFmtId="41" fontId="16" fillId="0" borderId="0" xfId="0" applyNumberFormat="1" applyFont="1" applyAlignment="1">
      <alignment horizontal="center" vertical="center"/>
    </xf>
    <xf numFmtId="0" fontId="13" fillId="0" borderId="0" xfId="0" applyFont="1" applyAlignment="1">
      <alignment horizontal="center" vertical="center"/>
    </xf>
    <xf numFmtId="41" fontId="13" fillId="0" borderId="0" xfId="0" applyNumberFormat="1" applyFont="1" applyAlignment="1">
      <alignment horizontal="center" vertical="center"/>
    </xf>
    <xf numFmtId="0" fontId="18" fillId="0" borderId="0" xfId="0" applyFont="1" applyAlignment="1"/>
    <xf numFmtId="0" fontId="0" fillId="2" borderId="0" xfId="0" applyFill="1" applyAlignment="1">
      <alignment horizontal="left"/>
    </xf>
    <xf numFmtId="43" fontId="4" fillId="2" borderId="0" xfId="4" applyNumberFormat="1" applyFont="1" applyFill="1" applyAlignment="1"/>
    <xf numFmtId="43" fontId="4" fillId="2" borderId="0" xfId="4" quotePrefix="1" applyNumberFormat="1" applyFont="1" applyFill="1" applyAlignment="1"/>
    <xf numFmtId="41" fontId="0" fillId="2" borderId="0" xfId="0" applyNumberFormat="1" applyFill="1" applyAlignment="1">
      <alignment vertical="top"/>
    </xf>
    <xf numFmtId="43" fontId="0" fillId="2" borderId="0" xfId="1" applyFont="1" applyFill="1" applyAlignment="1"/>
    <xf numFmtId="43" fontId="0" fillId="11" borderId="0" xfId="1" applyFont="1" applyFill="1" applyAlignment="1"/>
    <xf numFmtId="0" fontId="13" fillId="0" borderId="0" xfId="0" applyFont="1" applyAlignment="1">
      <alignment horizontal="left"/>
    </xf>
    <xf numFmtId="43" fontId="0" fillId="0" borderId="0" xfId="0" applyNumberFormat="1" applyAlignment="1"/>
    <xf numFmtId="41" fontId="0" fillId="0" borderId="0" xfId="0" quotePrefix="1" applyNumberFormat="1" applyAlignment="1">
      <alignment vertical="top"/>
    </xf>
    <xf numFmtId="0" fontId="6" fillId="0" borderId="0" xfId="0" applyFont="1" applyAlignment="1"/>
    <xf numFmtId="9" fontId="13" fillId="0" borderId="0" xfId="2" applyFont="1" applyAlignment="1">
      <alignment vertical="top"/>
    </xf>
    <xf numFmtId="0" fontId="19" fillId="0" borderId="0" xfId="0" applyFont="1" applyAlignment="1"/>
    <xf numFmtId="49" fontId="4" fillId="0" borderId="0" xfId="4" applyNumberFormat="1" applyFont="1" applyAlignment="1"/>
    <xf numFmtId="49" fontId="4" fillId="0" borderId="0" xfId="4" quotePrefix="1" applyNumberFormat="1" applyFont="1" applyAlignment="1"/>
    <xf numFmtId="41" fontId="0" fillId="9" borderId="0" xfId="0" applyNumberFormat="1" applyFill="1" applyAlignment="1">
      <alignment vertical="top"/>
    </xf>
    <xf numFmtId="0" fontId="4" fillId="0" borderId="0" xfId="0" quotePrefix="1" applyFont="1" applyAlignment="1"/>
    <xf numFmtId="43" fontId="4" fillId="0" borderId="0" xfId="1" applyFont="1" applyAlignment="1"/>
    <xf numFmtId="167" fontId="4" fillId="0" borderId="0" xfId="1" applyNumberFormat="1" applyFont="1" applyAlignment="1">
      <alignment horizontal="right" vertical="center"/>
    </xf>
    <xf numFmtId="167" fontId="4" fillId="0" borderId="0" xfId="1" applyNumberFormat="1" applyFont="1" applyAlignment="1">
      <alignment horizontal="right" vertical="top"/>
    </xf>
    <xf numFmtId="43" fontId="1" fillId="0" borderId="0" xfId="1" applyAlignment="1">
      <alignment horizontal="right" vertical="top"/>
    </xf>
    <xf numFmtId="43" fontId="1" fillId="2" borderId="1" xfId="1" applyFill="1" applyBorder="1" applyAlignment="1">
      <alignment horizontal="right" vertical="top"/>
    </xf>
    <xf numFmtId="11" fontId="0" fillId="0" borderId="0" xfId="0" quotePrefix="1" applyNumberFormat="1" applyAlignment="1">
      <alignment horizontal="left" vertical="top"/>
    </xf>
    <xf numFmtId="43" fontId="0" fillId="0" borderId="0" xfId="1" applyFont="1" applyAlignment="1">
      <alignment vertical="center"/>
    </xf>
    <xf numFmtId="43" fontId="0" fillId="2" borderId="1" xfId="1" applyFont="1" applyFill="1" applyBorder="1" applyAlignment="1">
      <alignment vertical="center"/>
    </xf>
    <xf numFmtId="43" fontId="1" fillId="0" borderId="0" xfId="1"/>
    <xf numFmtId="43" fontId="1" fillId="2" borderId="1" xfId="1" applyFill="1" applyBorder="1"/>
    <xf numFmtId="0" fontId="0" fillId="0" borderId="0" xfId="0" pivotButton="1"/>
    <xf numFmtId="0" fontId="0" fillId="0" borderId="0" xfId="0" applyAlignment="1">
      <alignment horizontal="left" indent="1"/>
    </xf>
    <xf numFmtId="0" fontId="0" fillId="4" borderId="0" xfId="0" applyFill="1"/>
    <xf numFmtId="49" fontId="0" fillId="0" borderId="0" xfId="0" quotePrefix="1" applyNumberFormat="1" applyAlignment="1">
      <alignment vertical="top"/>
    </xf>
    <xf numFmtId="0" fontId="0" fillId="0" borderId="0" xfId="0" quotePrefix="1" applyAlignment="1">
      <alignment vertical="top"/>
    </xf>
    <xf numFmtId="41" fontId="1" fillId="0" borderId="0" xfId="12" applyAlignment="1">
      <alignment vertical="top" wrapText="1"/>
    </xf>
    <xf numFmtId="0" fontId="19" fillId="0" borderId="0" xfId="0" applyFont="1" applyAlignment="1">
      <alignment vertical="top"/>
    </xf>
    <xf numFmtId="166" fontId="4" fillId="0" borderId="0" xfId="4" quotePrefix="1" applyNumberFormat="1" applyFont="1"/>
    <xf numFmtId="169" fontId="4" fillId="0" borderId="0" xfId="4" applyNumberFormat="1" applyFont="1" applyAlignment="1">
      <alignment horizontal="left"/>
    </xf>
    <xf numFmtId="166" fontId="4" fillId="0" borderId="0" xfId="4" applyNumberFormat="1" applyFont="1" applyAlignment="1">
      <alignment horizontal="right"/>
    </xf>
    <xf numFmtId="166" fontId="4" fillId="0" borderId="0" xfId="0" applyNumberFormat="1" applyFont="1" applyAlignment="1">
      <alignment horizontal="right"/>
    </xf>
    <xf numFmtId="170" fontId="4" fillId="0" borderId="0" xfId="4" applyNumberFormat="1" applyFont="1" applyAlignment="1">
      <alignment horizontal="left"/>
    </xf>
    <xf numFmtId="170" fontId="4" fillId="0" borderId="0" xfId="4" applyNumberFormat="1" applyFont="1"/>
    <xf numFmtId="43" fontId="13" fillId="2" borderId="1" xfId="1" applyFont="1" applyFill="1" applyBorder="1"/>
    <xf numFmtId="0" fontId="13" fillId="0" borderId="0" xfId="0" applyFont="1"/>
    <xf numFmtId="165" fontId="13" fillId="2" borderId="1" xfId="6" applyFont="1" applyFill="1" applyBorder="1"/>
    <xf numFmtId="9" fontId="0" fillId="0" borderId="0" xfId="0" applyNumberFormat="1" applyAlignment="1">
      <alignment horizontal="right"/>
    </xf>
    <xf numFmtId="0" fontId="13" fillId="0" borderId="0" xfId="0" applyFont="1" applyAlignment="1">
      <alignment wrapText="1"/>
    </xf>
    <xf numFmtId="165" fontId="13" fillId="2" borderId="1" xfId="6" applyFont="1" applyFill="1" applyBorder="1" applyAlignment="1">
      <alignment horizontal="right" vertical="top"/>
    </xf>
    <xf numFmtId="43" fontId="1" fillId="0" borderId="1" xfId="1" applyBorder="1" applyAlignment="1">
      <alignment horizontal="left" vertical="top"/>
    </xf>
    <xf numFmtId="43" fontId="0" fillId="0" borderId="1" xfId="1" applyFont="1" applyBorder="1" applyAlignment="1">
      <alignment horizontal="left" vertical="top"/>
    </xf>
    <xf numFmtId="43" fontId="0" fillId="0" borderId="1" xfId="1" applyFont="1" applyBorder="1" applyAlignment="1">
      <alignment horizontal="right" vertical="top"/>
    </xf>
    <xf numFmtId="0" fontId="4" fillId="0" borderId="0" xfId="0" quotePrefix="1" applyFont="1" applyAlignment="1">
      <alignment horizontal="left" vertical="top"/>
    </xf>
    <xf numFmtId="168" fontId="4" fillId="0" borderId="0" xfId="0" applyNumberFormat="1" applyFont="1"/>
    <xf numFmtId="0" fontId="4" fillId="0" borderId="0" xfId="0" applyFont="1" applyAlignment="1">
      <alignment horizontal="left" vertical="top" wrapText="1"/>
    </xf>
    <xf numFmtId="41" fontId="4" fillId="0" borderId="0" xfId="0" applyNumberFormat="1" applyFont="1" applyAlignment="1">
      <alignment vertical="top" wrapText="1"/>
    </xf>
    <xf numFmtId="9" fontId="4" fillId="0" borderId="0" xfId="2" applyFont="1" applyAlignment="1">
      <alignment vertical="top" wrapText="1"/>
    </xf>
    <xf numFmtId="43" fontId="1" fillId="0" borderId="1" xfId="1" applyBorder="1" applyAlignment="1">
      <alignment horizontal="right" vertical="top"/>
    </xf>
    <xf numFmtId="43" fontId="0" fillId="0" borderId="1" xfId="1" applyFont="1" applyBorder="1" applyAlignment="1">
      <alignment horizontal="right"/>
    </xf>
    <xf numFmtId="0" fontId="0" fillId="9" borderId="1" xfId="0" applyFill="1" applyBorder="1" applyAlignment="1">
      <alignment vertical="top"/>
    </xf>
    <xf numFmtId="0" fontId="0" fillId="9" borderId="1" xfId="0" applyFill="1" applyBorder="1" applyAlignment="1">
      <alignment horizontal="left" vertical="top"/>
    </xf>
    <xf numFmtId="0" fontId="0" fillId="0" borderId="1" xfId="0" applyBorder="1" applyAlignment="1">
      <alignment horizontal="left" vertical="top"/>
    </xf>
    <xf numFmtId="49" fontId="2" fillId="6" borderId="0" xfId="0" quotePrefix="1" applyNumberFormat="1" applyFont="1" applyFill="1" applyAlignment="1">
      <alignment vertical="top"/>
    </xf>
    <xf numFmtId="43" fontId="4" fillId="0" borderId="0" xfId="1" applyFont="1" applyAlignment="1">
      <alignment horizontal="center" vertical="top"/>
    </xf>
    <xf numFmtId="43" fontId="4" fillId="2" borderId="1" xfId="1" applyFont="1" applyFill="1" applyBorder="1" applyAlignment="1">
      <alignment horizontal="center" vertical="top"/>
    </xf>
    <xf numFmtId="171" fontId="4" fillId="0" borderId="0" xfId="1" applyNumberFormat="1" applyFont="1" applyAlignment="1">
      <alignment horizontal="left" vertical="top"/>
    </xf>
    <xf numFmtId="166" fontId="4" fillId="0" borderId="0" xfId="1" applyNumberFormat="1" applyFont="1" applyAlignment="1">
      <alignment horizontal="left" vertical="top"/>
    </xf>
    <xf numFmtId="43" fontId="4" fillId="0" borderId="0" xfId="1" applyFont="1" applyAlignment="1">
      <alignment vertical="top"/>
    </xf>
    <xf numFmtId="166" fontId="4" fillId="0" borderId="0" xfId="1" applyNumberFormat="1" applyFont="1" applyAlignment="1">
      <alignment vertical="top"/>
    </xf>
    <xf numFmtId="166" fontId="4" fillId="0" borderId="0" xfId="0" applyNumberFormat="1" applyFont="1" applyAlignment="1">
      <alignment vertical="top"/>
    </xf>
    <xf numFmtId="0" fontId="4" fillId="0" borderId="0" xfId="0" applyFont="1" applyAlignment="1">
      <alignment horizontal="center" vertical="top"/>
    </xf>
    <xf numFmtId="171" fontId="4" fillId="0" borderId="0" xfId="1" applyNumberFormat="1" applyFont="1" applyAlignment="1">
      <alignment vertical="top"/>
    </xf>
    <xf numFmtId="0" fontId="4" fillId="0" borderId="0" xfId="0" applyFont="1" applyAlignment="1">
      <alignment horizontal="left" vertical="top"/>
    </xf>
    <xf numFmtId="0" fontId="4" fillId="0" borderId="0" xfId="0" applyFont="1" applyAlignment="1">
      <alignment vertical="top" wrapText="1"/>
    </xf>
    <xf numFmtId="0" fontId="4" fillId="20" borderId="0" xfId="0" applyFont="1" applyFill="1" applyAlignment="1">
      <alignment horizontal="left" vertical="top"/>
    </xf>
    <xf numFmtId="0" fontId="4" fillId="20" borderId="0" xfId="0" applyFont="1" applyFill="1" applyAlignment="1">
      <alignment vertical="top"/>
    </xf>
    <xf numFmtId="0" fontId="4" fillId="20" borderId="0" xfId="0" applyFont="1" applyFill="1" applyAlignment="1">
      <alignment horizontal="left" vertical="top" wrapText="1"/>
    </xf>
    <xf numFmtId="166" fontId="4" fillId="0" borderId="0" xfId="0" applyNumberFormat="1" applyFont="1" applyAlignment="1">
      <alignment horizontal="left" vertical="top"/>
    </xf>
    <xf numFmtId="1" fontId="4" fillId="0" borderId="0" xfId="2" applyNumberFormat="1" applyFont="1" applyAlignment="1">
      <alignment vertical="top"/>
    </xf>
    <xf numFmtId="9" fontId="4" fillId="0" borderId="0" xfId="0" applyNumberFormat="1" applyFont="1" applyAlignment="1">
      <alignment horizontal="right" vertical="center"/>
    </xf>
    <xf numFmtId="0" fontId="13" fillId="0" borderId="0" xfId="0" applyFont="1" applyAlignment="1">
      <alignment horizontal="right" vertical="center"/>
    </xf>
    <xf numFmtId="0" fontId="13" fillId="0" borderId="0" xfId="0" applyFont="1" applyAlignment="1">
      <alignment horizontal="left" vertical="top" wrapText="1"/>
    </xf>
    <xf numFmtId="0" fontId="4" fillId="0" borderId="0" xfId="0" applyFont="1" applyAlignment="1">
      <alignment horizontal="left" vertical="center" wrapText="1"/>
    </xf>
    <xf numFmtId="172" fontId="4" fillId="0" borderId="0" xfId="1" applyNumberFormat="1" applyFont="1" applyAlignment="1">
      <alignment horizontal="left" vertical="top"/>
    </xf>
    <xf numFmtId="43" fontId="4" fillId="0" borderId="0" xfId="1" applyFont="1" applyAlignment="1">
      <alignment horizontal="left" vertical="top"/>
    </xf>
    <xf numFmtId="1" fontId="2" fillId="3" borderId="0" xfId="1" applyNumberFormat="1" applyFont="1" applyFill="1" applyAlignment="1">
      <alignment horizontal="left"/>
    </xf>
    <xf numFmtId="0" fontId="2" fillId="6" borderId="0" xfId="0" quotePrefix="1" applyFont="1" applyFill="1" applyAlignment="1">
      <alignment horizontal="left" vertical="top"/>
    </xf>
    <xf numFmtId="1" fontId="0" fillId="9" borderId="0" xfId="1" applyNumberFormat="1" applyFont="1" applyFill="1" applyAlignment="1">
      <alignment horizontal="left" vertical="top"/>
    </xf>
    <xf numFmtId="166" fontId="0" fillId="9" borderId="0" xfId="1" applyNumberFormat="1" applyFont="1" applyFill="1" applyAlignment="1">
      <alignment horizontal="left" vertical="top"/>
    </xf>
    <xf numFmtId="1" fontId="0" fillId="0" borderId="0" xfId="1" applyNumberFormat="1" applyFont="1" applyAlignment="1">
      <alignment horizontal="left"/>
    </xf>
    <xf numFmtId="1" fontId="0" fillId="0" borderId="0" xfId="1" applyNumberFormat="1" applyFont="1" applyAlignment="1">
      <alignment horizontal="left" vertical="top"/>
    </xf>
    <xf numFmtId="1" fontId="0" fillId="0" borderId="0" xfId="0" applyNumberFormat="1" applyAlignment="1">
      <alignment horizontal="left" vertical="top"/>
    </xf>
    <xf numFmtId="1" fontId="0" fillId="0" borderId="0" xfId="1" applyNumberFormat="1" applyFont="1" applyFill="1" applyAlignment="1">
      <alignment horizontal="left" vertical="top"/>
    </xf>
    <xf numFmtId="43" fontId="0" fillId="0" borderId="0" xfId="1" applyFont="1" applyFill="1" applyAlignment="1">
      <alignment horizontal="left" vertical="top"/>
    </xf>
    <xf numFmtId="0" fontId="6" fillId="0" borderId="0" xfId="3" applyFont="1" applyAlignment="1">
      <alignment horizontal="left" vertical="top"/>
    </xf>
    <xf numFmtId="1" fontId="4" fillId="0" borderId="0" xfId="1" applyNumberFormat="1" applyFont="1" applyAlignment="1">
      <alignment horizontal="left" vertical="top"/>
    </xf>
    <xf numFmtId="166" fontId="0" fillId="0" borderId="0" xfId="1" applyNumberFormat="1" applyFont="1" applyAlignment="1">
      <alignment horizontal="left" vertical="top"/>
    </xf>
    <xf numFmtId="3" fontId="0" fillId="0" borderId="0" xfId="0" applyNumberFormat="1" applyAlignment="1">
      <alignment horizontal="left" vertical="top"/>
    </xf>
    <xf numFmtId="167" fontId="0" fillId="0" borderId="0" xfId="0" applyNumberFormat="1" applyAlignment="1">
      <alignment horizontal="left" vertical="top"/>
    </xf>
    <xf numFmtId="167" fontId="0" fillId="0" borderId="0" xfId="1" applyNumberFormat="1" applyFont="1" applyAlignment="1">
      <alignment horizontal="left" vertical="top"/>
    </xf>
    <xf numFmtId="3" fontId="0" fillId="0" borderId="0" xfId="0" applyNumberFormat="1" applyFill="1" applyAlignment="1">
      <alignment horizontal="left" vertical="top"/>
    </xf>
    <xf numFmtId="9" fontId="0" fillId="0" borderId="0" xfId="1" applyNumberFormat="1" applyFont="1" applyAlignment="1">
      <alignment horizontal="left" vertical="top"/>
    </xf>
    <xf numFmtId="9" fontId="4" fillId="0" borderId="0" xfId="0" applyNumberFormat="1" applyFont="1" applyFill="1" applyAlignment="1">
      <alignment horizontal="left" vertical="top"/>
    </xf>
    <xf numFmtId="9" fontId="0" fillId="0" borderId="0" xfId="1" applyNumberFormat="1" applyFont="1" applyFill="1" applyAlignment="1">
      <alignment horizontal="left" vertical="top"/>
    </xf>
    <xf numFmtId="9" fontId="4" fillId="0" borderId="0" xfId="0" applyNumberFormat="1" applyFont="1" applyAlignment="1">
      <alignment horizontal="left" vertical="top"/>
    </xf>
    <xf numFmtId="1" fontId="4" fillId="0" borderId="0" xfId="0" applyNumberFormat="1" applyFont="1" applyAlignment="1">
      <alignment horizontal="left" vertical="top"/>
    </xf>
    <xf numFmtId="3" fontId="4" fillId="0" borderId="0" xfId="0" applyNumberFormat="1" applyFont="1" applyAlignment="1">
      <alignment horizontal="left" vertical="top"/>
    </xf>
    <xf numFmtId="165" fontId="0" fillId="0" borderId="0" xfId="1" applyNumberFormat="1" applyFont="1" applyAlignment="1">
      <alignment horizontal="left" vertical="top"/>
    </xf>
    <xf numFmtId="166" fontId="0" fillId="0" borderId="0" xfId="1" applyNumberFormat="1" applyFont="1" applyAlignment="1">
      <alignment horizontal="left"/>
    </xf>
    <xf numFmtId="166" fontId="4" fillId="0" borderId="0" xfId="1" applyNumberFormat="1" applyFont="1" applyAlignment="1">
      <alignment horizontal="left" vertical="center"/>
    </xf>
    <xf numFmtId="166" fontId="6" fillId="0" borderId="0" xfId="1" applyNumberFormat="1" applyFont="1" applyAlignment="1">
      <alignment horizontal="left" vertical="top"/>
    </xf>
    <xf numFmtId="166" fontId="0" fillId="0" borderId="0" xfId="1" applyNumberFormat="1" applyFont="1" applyAlignment="1">
      <alignment horizontal="left" vertical="center"/>
    </xf>
    <xf numFmtId="0" fontId="8" fillId="0" borderId="0" xfId="0" applyFont="1" applyAlignment="1">
      <alignment horizontal="left" vertical="center"/>
    </xf>
    <xf numFmtId="3" fontId="4" fillId="0" borderId="0" xfId="0" applyNumberFormat="1" applyFont="1" applyAlignment="1">
      <alignment horizontal="left" vertical="center"/>
    </xf>
    <xf numFmtId="9" fontId="4" fillId="0" borderId="0" xfId="2" applyFont="1" applyAlignment="1">
      <alignment horizontal="left" vertical="center"/>
    </xf>
    <xf numFmtId="0" fontId="6" fillId="0" borderId="0" xfId="0" applyFont="1" applyAlignment="1">
      <alignment horizontal="left"/>
    </xf>
    <xf numFmtId="3" fontId="0" fillId="0" borderId="0" xfId="0" applyNumberFormat="1" applyAlignment="1">
      <alignment horizontal="left" vertical="center"/>
    </xf>
    <xf numFmtId="3" fontId="6" fillId="0" borderId="0" xfId="0" applyNumberFormat="1" applyFont="1" applyAlignment="1">
      <alignment horizontal="left" vertical="center"/>
    </xf>
    <xf numFmtId="0" fontId="3" fillId="0" borderId="0" xfId="0" applyFont="1" applyAlignment="1">
      <alignment horizontal="left" vertical="center"/>
    </xf>
    <xf numFmtId="3" fontId="4" fillId="0" borderId="0" xfId="0" applyNumberFormat="1" applyFont="1" applyAlignment="1">
      <alignment horizontal="left"/>
    </xf>
    <xf numFmtId="167" fontId="4" fillId="0" borderId="0" xfId="1" applyNumberFormat="1" applyFont="1" applyAlignment="1">
      <alignment horizontal="left" vertical="center"/>
    </xf>
    <xf numFmtId="9" fontId="4" fillId="0" borderId="0" xfId="0" applyNumberFormat="1" applyFont="1" applyAlignment="1">
      <alignment horizontal="left"/>
    </xf>
    <xf numFmtId="167" fontId="4" fillId="0" borderId="0" xfId="1" applyNumberFormat="1" applyFont="1" applyAlignment="1">
      <alignment horizontal="left" vertical="top"/>
    </xf>
    <xf numFmtId="166" fontId="4" fillId="0" borderId="0" xfId="4" applyNumberFormat="1" applyFont="1" applyAlignment="1">
      <alignment horizontal="left"/>
    </xf>
    <xf numFmtId="166" fontId="4" fillId="0" borderId="0" xfId="0" applyNumberFormat="1" applyFont="1" applyAlignment="1">
      <alignment horizontal="left"/>
    </xf>
    <xf numFmtId="43" fontId="4" fillId="0" borderId="0" xfId="4" applyNumberFormat="1" applyFont="1" applyAlignment="1">
      <alignment horizontal="left"/>
    </xf>
    <xf numFmtId="9" fontId="0" fillId="0" borderId="0" xfId="0" applyNumberFormat="1" applyAlignment="1">
      <alignment horizontal="left" vertical="top"/>
    </xf>
    <xf numFmtId="168" fontId="4" fillId="0" borderId="0" xfId="0" applyNumberFormat="1" applyFont="1" applyAlignment="1">
      <alignment horizontal="left"/>
    </xf>
    <xf numFmtId="9" fontId="0" fillId="0" borderId="0" xfId="0" applyNumberFormat="1" applyAlignment="1">
      <alignment horizontal="left" vertical="center"/>
    </xf>
    <xf numFmtId="0" fontId="0" fillId="0" borderId="1" xfId="0" applyBorder="1" applyAlignment="1">
      <alignment horizontal="left"/>
    </xf>
    <xf numFmtId="0" fontId="24" fillId="0" borderId="1" xfId="0" applyFont="1" applyBorder="1" applyAlignment="1">
      <alignment horizontal="left" vertical="top"/>
    </xf>
    <xf numFmtId="173" fontId="4" fillId="0" borderId="0" xfId="1" applyNumberFormat="1" applyFont="1" applyAlignment="1">
      <alignment horizontal="left" vertical="top"/>
    </xf>
    <xf numFmtId="1" fontId="4" fillId="0" borderId="0" xfId="2" applyNumberFormat="1" applyFont="1" applyAlignment="1">
      <alignment horizontal="left" vertical="top"/>
    </xf>
    <xf numFmtId="9" fontId="4" fillId="0" borderId="0" xfId="0" applyNumberFormat="1" applyFont="1" applyAlignment="1">
      <alignment horizontal="left" vertical="center"/>
    </xf>
    <xf numFmtId="166" fontId="4" fillId="0" borderId="0" xfId="1" applyNumberFormat="1" applyFont="1" applyAlignment="1">
      <alignment horizontal="center" vertical="top"/>
    </xf>
    <xf numFmtId="0" fontId="4" fillId="0" borderId="0" xfId="0" applyFont="1" applyAlignment="1">
      <alignment horizontal="left" vertical="top"/>
    </xf>
    <xf numFmtId="166" fontId="4" fillId="0" borderId="0" xfId="1" applyNumberFormat="1" applyFont="1" applyAlignment="1">
      <alignment horizontal="left" vertical="top"/>
    </xf>
    <xf numFmtId="166" fontId="4" fillId="0" borderId="0" xfId="1" applyNumberFormat="1" applyFont="1" applyAlignment="1">
      <alignment vertical="top"/>
    </xf>
    <xf numFmtId="172" fontId="4" fillId="0" borderId="0" xfId="0" applyNumberFormat="1" applyFont="1" applyAlignment="1">
      <alignment horizontal="center" vertical="top"/>
    </xf>
    <xf numFmtId="172" fontId="4" fillId="0" borderId="0" xfId="0" applyNumberFormat="1" applyFont="1" applyAlignment="1">
      <alignment horizontal="left" vertical="top"/>
    </xf>
    <xf numFmtId="166" fontId="4" fillId="0" borderId="0" xfId="0" applyNumberFormat="1" applyFont="1" applyAlignment="1">
      <alignment horizontal="left" vertical="top"/>
    </xf>
    <xf numFmtId="166" fontId="4" fillId="0" borderId="0" xfId="0" applyNumberFormat="1" applyFont="1" applyAlignment="1">
      <alignment horizontal="center" vertical="top"/>
    </xf>
    <xf numFmtId="0" fontId="4" fillId="0" borderId="0" xfId="0" applyFont="1" applyAlignment="1">
      <alignment horizontal="center" vertical="top"/>
    </xf>
    <xf numFmtId="9" fontId="4" fillId="0" borderId="0" xfId="0" applyNumberFormat="1" applyFont="1" applyAlignment="1">
      <alignment horizontal="center" vertical="top"/>
    </xf>
    <xf numFmtId="43" fontId="3" fillId="4" borderId="0" xfId="1" applyFont="1" applyFill="1" applyAlignment="1">
      <alignment horizontal="center"/>
    </xf>
    <xf numFmtId="174" fontId="4" fillId="0" borderId="0" xfId="0" applyNumberFormat="1" applyFont="1" applyAlignment="1">
      <alignment horizontal="right" vertical="center"/>
    </xf>
    <xf numFmtId="10" fontId="4" fillId="0" borderId="0" xfId="0" applyNumberFormat="1" applyFont="1" applyAlignment="1">
      <alignment horizontal="right" vertical="center"/>
    </xf>
    <xf numFmtId="2" fontId="4" fillId="0" borderId="0" xfId="0" applyNumberFormat="1" applyFont="1" applyAlignment="1">
      <alignment horizontal="right" vertical="center"/>
    </xf>
    <xf numFmtId="175" fontId="4" fillId="0" borderId="0" xfId="0" applyNumberFormat="1" applyFont="1" applyAlignment="1">
      <alignment horizontal="right" vertical="center"/>
    </xf>
    <xf numFmtId="174" fontId="4" fillId="0" borderId="0" xfId="0" applyNumberFormat="1" applyFont="1" applyAlignment="1">
      <alignment horizontal="left" vertical="center"/>
    </xf>
    <xf numFmtId="0" fontId="8" fillId="0" borderId="0" xfId="0" applyFont="1" applyAlignment="1">
      <alignment horizontal="left" vertical="top"/>
    </xf>
    <xf numFmtId="43" fontId="0" fillId="0" borderId="0" xfId="1" applyFont="1" applyAlignment="1">
      <alignment horizontal="right" vertical="center"/>
    </xf>
    <xf numFmtId="3" fontId="4" fillId="0" borderId="0" xfId="12" applyNumberFormat="1" applyFont="1" applyAlignment="1">
      <alignment horizontal="right" vertical="top"/>
    </xf>
    <xf numFmtId="9" fontId="8" fillId="0" borderId="0" xfId="0" applyNumberFormat="1" applyFont="1" applyAlignment="1">
      <alignment horizontal="right" vertical="top"/>
    </xf>
    <xf numFmtId="43" fontId="25" fillId="0" borderId="0" xfId="1" applyFont="1" applyAlignment="1">
      <alignment horizontal="right" vertical="top"/>
    </xf>
    <xf numFmtId="43" fontId="25" fillId="2" borderId="1" xfId="1" applyFont="1" applyFill="1" applyBorder="1" applyAlignment="1">
      <alignment horizontal="right" vertical="top"/>
    </xf>
    <xf numFmtId="0" fontId="26" fillId="0" borderId="0" xfId="0" applyFont="1" applyAlignment="1">
      <alignment horizontal="right" vertical="top"/>
    </xf>
    <xf numFmtId="0" fontId="25" fillId="0" borderId="0" xfId="0" applyFont="1" applyAlignment="1">
      <alignment vertical="top"/>
    </xf>
    <xf numFmtId="9" fontId="0" fillId="0" borderId="0" xfId="0" applyNumberFormat="1" applyAlignment="1">
      <alignment horizontal="right" vertical="center"/>
    </xf>
    <xf numFmtId="43" fontId="0" fillId="2" borderId="1" xfId="1" applyFont="1" applyFill="1" applyBorder="1" applyAlignment="1">
      <alignment horizontal="right" vertical="center"/>
    </xf>
    <xf numFmtId="10" fontId="4" fillId="0" borderId="0" xfId="0" applyNumberFormat="1" applyFont="1" applyAlignment="1">
      <alignment horizontal="left" vertical="top"/>
    </xf>
    <xf numFmtId="10" fontId="4" fillId="0" borderId="0" xfId="0" applyNumberFormat="1" applyFont="1" applyAlignment="1">
      <alignment horizontal="right" vertical="top"/>
    </xf>
    <xf numFmtId="43" fontId="6" fillId="0" borderId="0" xfId="1" applyFont="1" applyAlignment="1">
      <alignment vertical="center"/>
    </xf>
    <xf numFmtId="43" fontId="6" fillId="2" borderId="1" xfId="1" applyFont="1" applyFill="1" applyBorder="1" applyAlignment="1">
      <alignment vertical="center"/>
    </xf>
    <xf numFmtId="43" fontId="4" fillId="2" borderId="1" xfId="1" applyFont="1" applyFill="1" applyBorder="1" applyAlignment="1">
      <alignment vertical="top"/>
    </xf>
    <xf numFmtId="20" fontId="4" fillId="0" borderId="0" xfId="0" applyNumberFormat="1" applyFont="1" applyAlignment="1">
      <alignment vertical="top"/>
    </xf>
    <xf numFmtId="20" fontId="4" fillId="0" borderId="0" xfId="0" applyNumberFormat="1" applyFont="1" applyAlignment="1">
      <alignment horizontal="right" vertical="top"/>
    </xf>
    <xf numFmtId="0" fontId="0" fillId="0" borderId="0" xfId="0" applyAlignment="1">
      <alignment horizontal="left" vertical="center" wrapText="1"/>
    </xf>
    <xf numFmtId="174" fontId="0" fillId="0" borderId="0" xfId="0" applyNumberFormat="1" applyAlignment="1">
      <alignment horizontal="right" vertical="center"/>
    </xf>
    <xf numFmtId="10" fontId="0" fillId="0" borderId="0" xfId="0" applyNumberFormat="1" applyAlignment="1">
      <alignment horizontal="right" vertical="center"/>
    </xf>
    <xf numFmtId="167" fontId="0" fillId="0" borderId="0" xfId="1" applyNumberFormat="1" applyFont="1" applyAlignment="1">
      <alignment horizontal="right" vertical="center"/>
    </xf>
    <xf numFmtId="9" fontId="27" fillId="0" borderId="0" xfId="0" applyNumberFormat="1" applyFont="1" applyAlignment="1">
      <alignment horizontal="right" vertical="center"/>
    </xf>
    <xf numFmtId="1" fontId="0" fillId="0" borderId="0" xfId="0" applyNumberFormat="1" applyAlignment="1">
      <alignment horizontal="right" vertical="center"/>
    </xf>
    <xf numFmtId="43" fontId="13" fillId="0" borderId="0" xfId="1" applyFont="1" applyAlignment="1">
      <alignment horizontal="right" vertical="center"/>
    </xf>
    <xf numFmtId="43" fontId="13" fillId="2" borderId="1" xfId="1" applyFont="1" applyFill="1" applyBorder="1" applyAlignment="1">
      <alignment horizontal="right" vertical="center"/>
    </xf>
    <xf numFmtId="3" fontId="0" fillId="0" borderId="0" xfId="12" applyNumberFormat="1" applyFont="1" applyAlignment="1">
      <alignment horizontal="right" vertical="center"/>
    </xf>
    <xf numFmtId="9" fontId="0" fillId="0" borderId="0" xfId="2" applyFont="1" applyAlignment="1">
      <alignment horizontal="right" vertical="center"/>
    </xf>
    <xf numFmtId="9" fontId="0" fillId="0" borderId="0" xfId="12" applyNumberFormat="1" applyFont="1" applyAlignment="1">
      <alignment horizontal="right" vertical="center"/>
    </xf>
    <xf numFmtId="3" fontId="0" fillId="0" borderId="0" xfId="2" applyNumberFormat="1" applyFont="1" applyAlignment="1">
      <alignment horizontal="right" vertical="center"/>
    </xf>
    <xf numFmtId="168" fontId="0" fillId="0" borderId="0" xfId="2" applyNumberFormat="1" applyFont="1" applyAlignment="1">
      <alignment horizontal="right" vertical="center"/>
    </xf>
    <xf numFmtId="168" fontId="0" fillId="0" borderId="0" xfId="0" applyNumberFormat="1" applyAlignment="1">
      <alignment horizontal="right" vertical="center"/>
    </xf>
    <xf numFmtId="168" fontId="0" fillId="0" borderId="0" xfId="12" applyNumberFormat="1" applyFont="1" applyAlignment="1">
      <alignment horizontal="right" vertical="center"/>
    </xf>
    <xf numFmtId="3" fontId="0" fillId="0" borderId="0" xfId="0" applyNumberFormat="1" applyAlignment="1">
      <alignment vertical="center"/>
    </xf>
    <xf numFmtId="10" fontId="0" fillId="0" borderId="0" xfId="0" applyNumberFormat="1" applyAlignment="1">
      <alignment horizontal="left" vertical="center"/>
    </xf>
    <xf numFmtId="174" fontId="0" fillId="0" borderId="0" xfId="0" applyNumberFormat="1" applyAlignment="1">
      <alignment horizontal="left" vertical="center"/>
    </xf>
    <xf numFmtId="174" fontId="0" fillId="0" borderId="0" xfId="2" applyNumberFormat="1" applyFont="1" applyAlignment="1">
      <alignment horizontal="right" vertical="center"/>
    </xf>
    <xf numFmtId="4" fontId="0" fillId="0" borderId="0" xfId="0" applyNumberFormat="1" applyAlignment="1">
      <alignment horizontal="right" vertical="center"/>
    </xf>
    <xf numFmtId="176" fontId="0" fillId="0" borderId="0" xfId="0" applyNumberFormat="1" applyAlignment="1">
      <alignment horizontal="right" vertical="center"/>
    </xf>
    <xf numFmtId="176" fontId="0" fillId="0" borderId="0" xfId="12" applyNumberFormat="1" applyFont="1" applyAlignment="1">
      <alignment horizontal="right" vertical="center"/>
    </xf>
    <xf numFmtId="176" fontId="0" fillId="0" borderId="0" xfId="12" applyNumberFormat="1" applyFont="1" applyAlignment="1">
      <alignment vertical="center"/>
    </xf>
    <xf numFmtId="43" fontId="0" fillId="2" borderId="1" xfId="1" applyFont="1" applyFill="1" applyBorder="1" applyAlignment="1">
      <alignment horizontal="right" vertical="center" wrapText="1"/>
    </xf>
    <xf numFmtId="9" fontId="0" fillId="0" borderId="0" xfId="0" applyNumberFormat="1" applyAlignment="1">
      <alignment horizontal="right" vertical="center" wrapText="1"/>
    </xf>
    <xf numFmtId="1" fontId="0" fillId="0" borderId="0" xfId="0" applyNumberFormat="1" applyAlignment="1">
      <alignment horizontal="left" vertical="center"/>
    </xf>
    <xf numFmtId="43" fontId="0" fillId="2" borderId="1" xfId="1" applyFont="1" applyFill="1" applyBorder="1" applyAlignment="1">
      <alignment vertical="center" wrapText="1"/>
    </xf>
    <xf numFmtId="0" fontId="27" fillId="0" borderId="0" xfId="0" applyFont="1" applyAlignment="1">
      <alignment horizontal="right" vertical="center"/>
    </xf>
    <xf numFmtId="0" fontId="13" fillId="0" borderId="0" xfId="0" applyFont="1" applyAlignment="1">
      <alignment vertical="center"/>
    </xf>
    <xf numFmtId="9" fontId="13" fillId="0" borderId="0" xfId="0" applyNumberFormat="1" applyFont="1" applyAlignment="1">
      <alignment horizontal="right" vertical="center"/>
    </xf>
    <xf numFmtId="43" fontId="3" fillId="0" borderId="0" xfId="1" applyFont="1" applyAlignment="1">
      <alignment horizontal="right" vertical="center"/>
    </xf>
    <xf numFmtId="43" fontId="3" fillId="2" borderId="1" xfId="1" applyFont="1" applyFill="1" applyBorder="1" applyAlignment="1">
      <alignment horizontal="right" vertical="center"/>
    </xf>
    <xf numFmtId="43" fontId="3" fillId="0" borderId="0" xfId="1" applyFont="1"/>
    <xf numFmtId="43" fontId="3" fillId="2" borderId="1" xfId="1" applyFont="1" applyFill="1" applyBorder="1"/>
    <xf numFmtId="11" fontId="0" fillId="0" borderId="0" xfId="0" quotePrefix="1" applyNumberFormat="1" applyAlignment="1">
      <alignment horizontal="left" vertical="center"/>
    </xf>
    <xf numFmtId="0" fontId="0" fillId="0" borderId="0" xfId="0" quotePrefix="1" applyAlignment="1">
      <alignment horizontal="left"/>
    </xf>
    <xf numFmtId="2" fontId="0" fillId="0" borderId="0" xfId="0" applyNumberFormat="1" applyAlignment="1">
      <alignment horizontal="right" vertical="center"/>
    </xf>
    <xf numFmtId="2" fontId="0" fillId="0" borderId="0" xfId="0" applyNumberFormat="1" applyAlignment="1">
      <alignment vertical="center"/>
    </xf>
    <xf numFmtId="9" fontId="0" fillId="0" borderId="0" xfId="0" applyNumberFormat="1"/>
    <xf numFmtId="10" fontId="0" fillId="0" borderId="0" xfId="0" applyNumberFormat="1"/>
    <xf numFmtId="20" fontId="0" fillId="0" borderId="0" xfId="0" applyNumberFormat="1" applyAlignment="1">
      <alignment horizontal="left" vertical="center"/>
    </xf>
    <xf numFmtId="20" fontId="0" fillId="0" borderId="0" xfId="0" applyNumberFormat="1" applyAlignment="1">
      <alignment horizontal="right" vertical="center"/>
    </xf>
    <xf numFmtId="2" fontId="0" fillId="0" borderId="0" xfId="0" applyNumberFormat="1" applyAlignment="1">
      <alignment horizontal="left" vertical="center"/>
    </xf>
    <xf numFmtId="43" fontId="0" fillId="0" borderId="0" xfId="1" applyFont="1" applyAlignment="1">
      <alignment horizontal="justify" vertical="top"/>
    </xf>
    <xf numFmtId="0" fontId="0" fillId="0" borderId="0" xfId="0" applyAlignment="1">
      <alignment horizontal="justify" vertical="top"/>
    </xf>
    <xf numFmtId="43" fontId="3" fillId="0" borderId="0" xfId="0" applyNumberFormat="1" applyFont="1" applyAlignment="1">
      <alignment vertical="top"/>
    </xf>
    <xf numFmtId="9" fontId="0" fillId="0" borderId="0" xfId="0" applyNumberFormat="1" applyAlignment="1">
      <alignment horizontal="justify" vertical="top"/>
    </xf>
    <xf numFmtId="0" fontId="0" fillId="21" borderId="0" xfId="0" applyFill="1" applyAlignment="1">
      <alignment horizontal="left" vertical="top"/>
    </xf>
    <xf numFmtId="0" fontId="0" fillId="21" borderId="0" xfId="0" applyFill="1" applyAlignment="1">
      <alignment horizontal="justify" vertical="top"/>
    </xf>
    <xf numFmtId="3" fontId="0" fillId="0" borderId="0" xfId="0" applyNumberFormat="1" applyAlignment="1">
      <alignment horizontal="justify" vertical="top"/>
    </xf>
  </cellXfs>
  <cellStyles count="13">
    <cellStyle name="Comma" xfId="1" builtinId="3"/>
    <cellStyle name="Comma [0]" xfId="12" builtinId="6"/>
    <cellStyle name="Comma [0] 2 2" xfId="10" xr:uid="{26DC48D8-BCDB-4D0C-8550-33011455D593}"/>
    <cellStyle name="Comma [0] 3 2" xfId="8" xr:uid="{7E7C56DD-8C7F-435D-8215-0FDE9F70C9D2}"/>
    <cellStyle name="Comma 2" xfId="7" xr:uid="{CA8C8418-C6D7-485A-A344-AABC6CFE9DBD}"/>
    <cellStyle name="Comma 4 2" xfId="6" xr:uid="{B7F63BA3-2859-45F8-BD99-3E053911338E}"/>
    <cellStyle name="Hyperlink" xfId="11" builtinId="8"/>
    <cellStyle name="Normal" xfId="0" builtinId="0"/>
    <cellStyle name="Normal 2" xfId="3" xr:uid="{AEABDA61-16FA-43DD-81A0-152FF4FCFFBA}"/>
    <cellStyle name="Normal 3" xfId="4" xr:uid="{6E5D3DCA-33F9-4CA1-957B-419296DB7F9F}"/>
    <cellStyle name="Normal 4" xfId="9" xr:uid="{1FF4F3F9-A992-4B7C-AC83-7EACEF3048B0}"/>
    <cellStyle name="Normal 5 2" xfId="5" xr:uid="{6A08661F-673C-4EDA-8851-D0FD453D2E9D}"/>
    <cellStyle name="Percent" xfId="2" builtinId="5"/>
  </cellStyles>
  <dxfs count="214">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swn05d\afr1\Documents%20and%20Settings\aespejo\My%20Local%20Documents\Uganda%20-%20BOP%20files\Total%20exercise\Documents%20and%20Settings\aespejo\My%20Local%20Documents\Uganda%20-%20BOP%20files\UG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M/MTEF/By%20Sector/LINEDATA%20FY%202020-21__%20%2007-05-21h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ikasozi\LOCALS~1\Temp\Wage%20Adequacy%20for%20FY%202016-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1\ikasozi\LOCALS~1\Temp\Annex%203_Pension%20Arrears%20item%203216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tlmonetaryfund-my.sharepoint.com/FY%202022-23%20BUDGET/07th%20%20September%202021-added%20NTR%20and%20projects%20-%20NDP%20III%20Project%20Classification/input_projec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LL/AppData/Local/Temp/MYC%20Template%20Uganda%20Workshop%20v22.1.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lmonetaryfund-my.sharepoint.com/FY%202022-23%20BUDGET/07th%20%20September%202021-added%20NTR%20and%20projects%20-%20NDP%20III%20Project%20Classification/macrofram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ouisa/Desktop/NDPIII%20Reprioritisation/Reprioritised%20NDPIII%20PI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seit01"/>
      <sheetName val="TOC"/>
      <sheetName val="Chartout"/>
      <sheetName val="SEI"/>
      <sheetName val="Con"/>
      <sheetName val="Asm"/>
      <sheetName val="AltAsm"/>
      <sheetName val="InOutQ"/>
      <sheetName val="InOutM"/>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ControlSheet"/>
      <sheetName val="WETA"/>
      <sheetName val="WETA-Consistency"/>
      <sheetName val="UGHUB"/>
      <sheetName val="Quarterly Program"/>
      <sheetName val="Sheet2"/>
      <sheetName val="Gin: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down and Summary (2)"/>
      <sheetName val="Summary DST (2)"/>
      <sheetName val="Donor FY21-22"/>
      <sheetName val="MTEF BY VOTE"/>
      <sheetName val="Projects FY10-11"/>
      <sheetName val="Projects"/>
      <sheetName val="Wage Changes"/>
      <sheetName val="Wages"/>
      <sheetName val="Development"/>
      <sheetName val="Non-Wage Recurrent"/>
      <sheetName val="MTEF"/>
      <sheetName val="Projects-new"/>
      <sheetName val="Resource 2012-13"/>
      <sheetName val="Summary MTEF"/>
      <sheetName val="Changes"/>
      <sheetName val="CG Vs LGs"/>
      <sheetName val="wage % share"/>
      <sheetName val="Rev Res Env "/>
      <sheetName val="emma"/>
      <sheetName val="1 BCC Resource "/>
      <sheetName val="Rev Donor projects"/>
      <sheetName val="Adjustments "/>
      <sheetName val="Res Env (Nov12)"/>
      <sheetName val="Resource (2)"/>
      <sheetName val="Cuts raise 6.5Bn"/>
      <sheetName val="Wage Allocation"/>
      <sheetName val="Public Service Wage 2010-11"/>
      <sheetName val="Resource"/>
      <sheetName val="Sheet1"/>
      <sheetName val="PAF"/>
      <sheetName val="Projects sector"/>
      <sheetName val="Sector break down"/>
      <sheetName val="Wage"/>
      <sheetName val="Votes"/>
      <sheetName val="Wage Changes for MTEF"/>
      <sheetName val="Summary"/>
      <sheetName val="Summary DST"/>
      <sheetName val="Rundown"/>
      <sheetName val="Hon. MoFPED"/>
      <sheetName val="DB Rundown"/>
      <sheetName val="DB New "/>
      <sheetName val="Res. Env Summary"/>
      <sheetName val="Summary MTEF (GoU)"/>
      <sheetName val="LG"/>
      <sheetName val="Original rundwon"/>
      <sheetName val="Changes in Resource"/>
      <sheetName val="DB"/>
      <sheetName val="Wage mode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Pay"/>
      <sheetName val="Universities"/>
      <sheetName val="Additional Q1 Limits"/>
      <sheetName val="wage_16'17"/>
      <sheetName val="ORIGINAL"/>
      <sheetName val="Projected &amp; Requested"/>
      <sheetName val="Requests Received"/>
      <sheetName val="LGs_Item.Classification"/>
      <sheetName val="add"/>
      <sheetName val="Initial"/>
      <sheetName val="OBT Analysis"/>
      <sheetName val="Non submission in OBT"/>
      <sheetName val="OBT Analysis Shortfalls"/>
      <sheetName val="Votes with Requests"/>
      <sheetName val="SALARY"/>
      <sheetName val="Projected New"/>
      <sheetName val="Requested New"/>
    </sheetNames>
    <sheetDataSet>
      <sheetData sheetId="0" refreshError="1"/>
      <sheetData sheetId="1" refreshError="1"/>
      <sheetData sheetId="2" refreshError="1"/>
      <sheetData sheetId="3">
        <row r="1">
          <cell r="X1" t="str">
            <v>QUARTER 0NE (Q1) FY 2016/17 WAGE EXPENDITURE LIMITS</v>
          </cell>
          <cell r="AK1" t="str">
            <v>QUARTER TWO (Q2) FY 2016/17 WAGE EXPENDITURE LIMITS</v>
          </cell>
          <cell r="AX1" t="str">
            <v>QUARTER THREE (Q3) FY 2016/17 WAGE EXPENDITURE LIMITS</v>
          </cell>
          <cell r="BK1" t="str">
            <v>QUARTER FOUR (Q4) FY 2016/17 WAGE EXPENDITURE LIMITS</v>
          </cell>
        </row>
        <row r="2">
          <cell r="H2" t="str">
            <v>General_211101</v>
          </cell>
          <cell r="I2" t="str">
            <v>Contract-211102</v>
          </cell>
          <cell r="J2" t="str">
            <v>Statutory_211104</v>
          </cell>
          <cell r="K2" t="str">
            <v>Missions_211105</v>
          </cell>
          <cell r="L2" t="str">
            <v>District UW_321451</v>
          </cell>
          <cell r="M2" t="str">
            <v>Urban UW_321450</v>
          </cell>
          <cell r="R2" t="str">
            <v>Agric. Extension_321466</v>
          </cell>
          <cell r="S2" t="str">
            <v>PHC_321466</v>
          </cell>
          <cell r="T2" t="str">
            <v>Education-321466</v>
          </cell>
          <cell r="U2" t="str">
            <v>o/w Primary</v>
          </cell>
          <cell r="V2" t="str">
            <v>o/w Secondary</v>
          </cell>
          <cell r="W2" t="str">
            <v>o/w Tertiary</v>
          </cell>
          <cell r="X2" t="str">
            <v>TOTAL Q1</v>
          </cell>
          <cell r="AK2" t="str">
            <v>TOTAL Q2</v>
          </cell>
          <cell r="AX2" t="str">
            <v>TOTAL Q3</v>
          </cell>
          <cell r="BK2" t="str">
            <v>TOTAL Q4</v>
          </cell>
        </row>
        <row r="3">
          <cell r="X3">
            <v>0.25</v>
          </cell>
          <cell r="AK3">
            <v>0.25</v>
          </cell>
          <cell r="AX3">
            <v>0.25</v>
          </cell>
          <cell r="BK3">
            <v>0.25</v>
          </cell>
          <cell r="CB3" t="str">
            <v>Budget Balance</v>
          </cell>
        </row>
        <row r="4">
          <cell r="H4">
            <v>47478147814.079994</v>
          </cell>
          <cell r="I4">
            <v>915365011</v>
          </cell>
          <cell r="J4">
            <v>85200000</v>
          </cell>
          <cell r="K4">
            <v>0</v>
          </cell>
          <cell r="L4">
            <v>0</v>
          </cell>
          <cell r="R4">
            <v>0</v>
          </cell>
          <cell r="S4">
            <v>0</v>
          </cell>
          <cell r="T4">
            <v>0</v>
          </cell>
          <cell r="U4">
            <v>0</v>
          </cell>
          <cell r="V4">
            <v>0</v>
          </cell>
          <cell r="W4">
            <v>0</v>
          </cell>
          <cell r="X4">
            <v>12119678206.269999</v>
          </cell>
          <cell r="AK4">
            <v>12119678206.269999</v>
          </cell>
          <cell r="AX4">
            <v>12119678206.269999</v>
          </cell>
          <cell r="BK4">
            <v>12119678206.269999</v>
          </cell>
          <cell r="CB4">
            <v>0</v>
          </cell>
        </row>
        <row r="5">
          <cell r="H5">
            <v>13225176438</v>
          </cell>
          <cell r="I5">
            <v>0</v>
          </cell>
          <cell r="J5">
            <v>0</v>
          </cell>
          <cell r="K5">
            <v>0</v>
          </cell>
          <cell r="L5">
            <v>0</v>
          </cell>
          <cell r="M5">
            <v>0</v>
          </cell>
          <cell r="R5">
            <v>0</v>
          </cell>
          <cell r="S5">
            <v>0</v>
          </cell>
          <cell r="T5">
            <v>0</v>
          </cell>
          <cell r="U5">
            <v>0</v>
          </cell>
          <cell r="V5">
            <v>0</v>
          </cell>
          <cell r="W5">
            <v>0</v>
          </cell>
          <cell r="X5">
            <v>3306294109.5</v>
          </cell>
          <cell r="AK5">
            <v>3306294109.5</v>
          </cell>
          <cell r="AX5">
            <v>3306294109.5</v>
          </cell>
          <cell r="BK5">
            <v>3306294109.5</v>
          </cell>
          <cell r="CB5">
            <v>0</v>
          </cell>
        </row>
        <row r="6">
          <cell r="H6">
            <v>2282870416</v>
          </cell>
          <cell r="I6">
            <v>426201764</v>
          </cell>
          <cell r="J6">
            <v>0</v>
          </cell>
          <cell r="K6">
            <v>0</v>
          </cell>
          <cell r="L6">
            <v>0</v>
          </cell>
          <cell r="M6">
            <v>0</v>
          </cell>
          <cell r="R6">
            <v>0</v>
          </cell>
          <cell r="S6">
            <v>0</v>
          </cell>
          <cell r="T6">
            <v>0</v>
          </cell>
          <cell r="U6">
            <v>0</v>
          </cell>
          <cell r="V6">
            <v>0</v>
          </cell>
          <cell r="W6">
            <v>0</v>
          </cell>
          <cell r="X6">
            <v>677268045</v>
          </cell>
          <cell r="AK6">
            <v>677268045</v>
          </cell>
          <cell r="AX6">
            <v>677268045</v>
          </cell>
          <cell r="BK6">
            <v>677268045</v>
          </cell>
          <cell r="CB6">
            <v>0</v>
          </cell>
        </row>
        <row r="7">
          <cell r="H7">
            <v>410393037130.42798</v>
          </cell>
          <cell r="I7">
            <v>0</v>
          </cell>
          <cell r="J7">
            <v>0</v>
          </cell>
          <cell r="K7">
            <v>0</v>
          </cell>
          <cell r="L7">
            <v>0</v>
          </cell>
          <cell r="M7">
            <v>0</v>
          </cell>
          <cell r="R7">
            <v>0</v>
          </cell>
          <cell r="S7">
            <v>0</v>
          </cell>
          <cell r="T7">
            <v>0</v>
          </cell>
          <cell r="U7">
            <v>0</v>
          </cell>
          <cell r="V7">
            <v>0</v>
          </cell>
          <cell r="W7">
            <v>0</v>
          </cell>
          <cell r="X7">
            <v>102598259282.60699</v>
          </cell>
          <cell r="AK7">
            <v>102598259282.60699</v>
          </cell>
          <cell r="AX7">
            <v>102598259282.60699</v>
          </cell>
          <cell r="BK7">
            <v>102598259282.60699</v>
          </cell>
          <cell r="CB7">
            <v>0</v>
          </cell>
        </row>
        <row r="8">
          <cell r="H8">
            <v>3946452554</v>
          </cell>
          <cell r="I8">
            <v>0</v>
          </cell>
          <cell r="J8">
            <v>0</v>
          </cell>
          <cell r="K8">
            <v>0</v>
          </cell>
          <cell r="L8">
            <v>0</v>
          </cell>
          <cell r="M8">
            <v>0</v>
          </cell>
          <cell r="R8">
            <v>0</v>
          </cell>
          <cell r="S8">
            <v>0</v>
          </cell>
          <cell r="T8">
            <v>0</v>
          </cell>
          <cell r="U8">
            <v>0</v>
          </cell>
          <cell r="V8">
            <v>0</v>
          </cell>
          <cell r="W8">
            <v>0</v>
          </cell>
          <cell r="X8">
            <v>986613138.5</v>
          </cell>
          <cell r="AK8">
            <v>986613138.5</v>
          </cell>
          <cell r="AX8">
            <v>986613138.5</v>
          </cell>
          <cell r="BK8">
            <v>986613138.5</v>
          </cell>
          <cell r="CB8">
            <v>0</v>
          </cell>
        </row>
        <row r="9">
          <cell r="H9">
            <v>4637964372</v>
          </cell>
          <cell r="I9">
            <v>42228000</v>
          </cell>
          <cell r="J9">
            <v>0</v>
          </cell>
          <cell r="K9">
            <v>0</v>
          </cell>
          <cell r="L9">
            <v>0</v>
          </cell>
          <cell r="M9">
            <v>0</v>
          </cell>
          <cell r="R9">
            <v>0</v>
          </cell>
          <cell r="S9">
            <v>0</v>
          </cell>
          <cell r="T9">
            <v>0</v>
          </cell>
          <cell r="U9">
            <v>0</v>
          </cell>
          <cell r="V9">
            <v>0</v>
          </cell>
          <cell r="W9">
            <v>0</v>
          </cell>
          <cell r="X9">
            <v>1170048093</v>
          </cell>
          <cell r="AK9">
            <v>1170048093</v>
          </cell>
          <cell r="AX9">
            <v>1170048093</v>
          </cell>
          <cell r="BK9">
            <v>1170048093</v>
          </cell>
          <cell r="CB9">
            <v>0</v>
          </cell>
        </row>
        <row r="10">
          <cell r="H10">
            <v>3548059391.9941368</v>
          </cell>
          <cell r="I10">
            <v>0</v>
          </cell>
          <cell r="J10">
            <v>0</v>
          </cell>
          <cell r="K10">
            <v>0</v>
          </cell>
          <cell r="L10">
            <v>0</v>
          </cell>
          <cell r="M10">
            <v>0</v>
          </cell>
          <cell r="R10">
            <v>0</v>
          </cell>
          <cell r="S10">
            <v>0</v>
          </cell>
          <cell r="T10">
            <v>0</v>
          </cell>
          <cell r="U10">
            <v>0</v>
          </cell>
          <cell r="V10">
            <v>0</v>
          </cell>
          <cell r="W10">
            <v>0</v>
          </cell>
          <cell r="X10">
            <v>887014847.9985342</v>
          </cell>
          <cell r="AK10">
            <v>887014847.9985342</v>
          </cell>
          <cell r="AX10">
            <v>887014847.9985342</v>
          </cell>
          <cell r="BK10">
            <v>887014847.9985342</v>
          </cell>
          <cell r="CB10">
            <v>0</v>
          </cell>
        </row>
        <row r="11">
          <cell r="H11">
            <v>4269510138.3519921</v>
          </cell>
          <cell r="I11">
            <v>0</v>
          </cell>
          <cell r="J11">
            <v>0</v>
          </cell>
          <cell r="K11">
            <v>0</v>
          </cell>
          <cell r="L11">
            <v>0</v>
          </cell>
          <cell r="M11">
            <v>0</v>
          </cell>
          <cell r="R11">
            <v>0</v>
          </cell>
          <cell r="S11">
            <v>0</v>
          </cell>
          <cell r="T11">
            <v>0</v>
          </cell>
          <cell r="U11">
            <v>0</v>
          </cell>
          <cell r="V11">
            <v>0</v>
          </cell>
          <cell r="W11">
            <v>0</v>
          </cell>
          <cell r="X11">
            <v>1067377534.587998</v>
          </cell>
          <cell r="AK11">
            <v>1067377534.587998</v>
          </cell>
          <cell r="AX11">
            <v>1067377534.587998</v>
          </cell>
          <cell r="BK11">
            <v>1067377534.587998</v>
          </cell>
          <cell r="CB11">
            <v>0</v>
          </cell>
        </row>
        <row r="12">
          <cell r="H12">
            <v>1784367889.7</v>
          </cell>
          <cell r="I12">
            <v>0</v>
          </cell>
          <cell r="J12">
            <v>0</v>
          </cell>
          <cell r="K12">
            <v>0</v>
          </cell>
          <cell r="L12">
            <v>0</v>
          </cell>
          <cell r="M12">
            <v>0</v>
          </cell>
          <cell r="R12">
            <v>0</v>
          </cell>
          <cell r="S12">
            <v>0</v>
          </cell>
          <cell r="T12">
            <v>0</v>
          </cell>
          <cell r="U12">
            <v>0</v>
          </cell>
          <cell r="V12">
            <v>0</v>
          </cell>
          <cell r="W12">
            <v>0</v>
          </cell>
          <cell r="X12">
            <v>446091972.42500001</v>
          </cell>
          <cell r="AK12">
            <v>446091972.42500001</v>
          </cell>
          <cell r="AX12">
            <v>446091972.42500001</v>
          </cell>
          <cell r="BK12">
            <v>446091972.42500001</v>
          </cell>
          <cell r="CB12">
            <v>0</v>
          </cell>
        </row>
        <row r="13">
          <cell r="H13">
            <v>5033560834.9993</v>
          </cell>
          <cell r="I13">
            <v>550000000</v>
          </cell>
          <cell r="J13">
            <v>0</v>
          </cell>
          <cell r="K13">
            <v>0</v>
          </cell>
          <cell r="L13">
            <v>0</v>
          </cell>
          <cell r="M13">
            <v>0</v>
          </cell>
          <cell r="R13">
            <v>0</v>
          </cell>
          <cell r="S13">
            <v>0</v>
          </cell>
          <cell r="T13">
            <v>0</v>
          </cell>
          <cell r="U13">
            <v>0</v>
          </cell>
          <cell r="V13">
            <v>0</v>
          </cell>
          <cell r="W13">
            <v>0</v>
          </cell>
          <cell r="X13">
            <v>1395890208.749825</v>
          </cell>
          <cell r="AK13">
            <v>1395890208.749825</v>
          </cell>
          <cell r="AX13">
            <v>1395890208.749825</v>
          </cell>
          <cell r="BK13">
            <v>1395890208.749825</v>
          </cell>
          <cell r="CB13">
            <v>0</v>
          </cell>
        </row>
        <row r="14">
          <cell r="H14">
            <v>6621313106</v>
          </cell>
          <cell r="I14">
            <v>0</v>
          </cell>
          <cell r="J14">
            <v>0</v>
          </cell>
          <cell r="K14">
            <v>0</v>
          </cell>
          <cell r="L14">
            <v>0</v>
          </cell>
          <cell r="M14">
            <v>0</v>
          </cell>
          <cell r="R14">
            <v>0</v>
          </cell>
          <cell r="S14">
            <v>0</v>
          </cell>
          <cell r="T14">
            <v>0</v>
          </cell>
          <cell r="U14">
            <v>0</v>
          </cell>
          <cell r="V14">
            <v>0</v>
          </cell>
          <cell r="W14">
            <v>0</v>
          </cell>
          <cell r="X14">
            <v>1655328276.5</v>
          </cell>
          <cell r="AK14">
            <v>1655328276.5</v>
          </cell>
          <cell r="AX14">
            <v>1655328276.5</v>
          </cell>
          <cell r="BK14">
            <v>1655328276.5</v>
          </cell>
          <cell r="CB14">
            <v>0</v>
          </cell>
        </row>
        <row r="15">
          <cell r="H15">
            <v>3623866762.970612</v>
          </cell>
          <cell r="I15">
            <v>577177000.02938795</v>
          </cell>
          <cell r="J15">
            <v>0</v>
          </cell>
          <cell r="K15">
            <v>0</v>
          </cell>
          <cell r="L15">
            <v>0</v>
          </cell>
          <cell r="M15">
            <v>0</v>
          </cell>
          <cell r="R15">
            <v>0</v>
          </cell>
          <cell r="S15">
            <v>0</v>
          </cell>
          <cell r="T15">
            <v>0</v>
          </cell>
          <cell r="U15">
            <v>0</v>
          </cell>
          <cell r="V15">
            <v>0</v>
          </cell>
          <cell r="W15">
            <v>0</v>
          </cell>
          <cell r="X15">
            <v>1050260940.75</v>
          </cell>
          <cell r="AK15">
            <v>1050260940.75</v>
          </cell>
          <cell r="AX15">
            <v>1050260940.75</v>
          </cell>
          <cell r="BK15">
            <v>1050260940.75</v>
          </cell>
          <cell r="CB15">
            <v>0</v>
          </cell>
        </row>
        <row r="16">
          <cell r="H16">
            <v>12378182907.31267</v>
          </cell>
          <cell r="I16">
            <v>445429564</v>
          </cell>
          <cell r="J16">
            <v>0</v>
          </cell>
          <cell r="K16">
            <v>0</v>
          </cell>
          <cell r="L16">
            <v>0</v>
          </cell>
          <cell r="M16">
            <v>0</v>
          </cell>
          <cell r="R16">
            <v>0</v>
          </cell>
          <cell r="S16">
            <v>0</v>
          </cell>
          <cell r="T16">
            <v>0</v>
          </cell>
          <cell r="U16">
            <v>0</v>
          </cell>
          <cell r="V16">
            <v>0</v>
          </cell>
          <cell r="W16">
            <v>0</v>
          </cell>
          <cell r="X16">
            <v>3205903117.8281674</v>
          </cell>
          <cell r="AK16">
            <v>3205903117.8281674</v>
          </cell>
          <cell r="AX16">
            <v>3205903117.8281674</v>
          </cell>
          <cell r="BK16">
            <v>3205903117.8281674</v>
          </cell>
          <cell r="CB16">
            <v>0</v>
          </cell>
        </row>
        <row r="17">
          <cell r="H17">
            <v>7349148746.000001</v>
          </cell>
          <cell r="I17">
            <v>1632037775</v>
          </cell>
          <cell r="J17">
            <v>0</v>
          </cell>
          <cell r="K17">
            <v>0</v>
          </cell>
          <cell r="L17">
            <v>0</v>
          </cell>
          <cell r="M17">
            <v>0</v>
          </cell>
          <cell r="R17">
            <v>0</v>
          </cell>
          <cell r="S17">
            <v>0</v>
          </cell>
          <cell r="T17">
            <v>0</v>
          </cell>
          <cell r="U17">
            <v>0</v>
          </cell>
          <cell r="V17">
            <v>0</v>
          </cell>
          <cell r="W17">
            <v>0</v>
          </cell>
          <cell r="X17">
            <v>2245296630.25</v>
          </cell>
          <cell r="AK17">
            <v>2245296630.25</v>
          </cell>
          <cell r="AX17">
            <v>2245296630.25</v>
          </cell>
          <cell r="BK17">
            <v>2245296630.25</v>
          </cell>
          <cell r="CB17">
            <v>0</v>
          </cell>
        </row>
        <row r="18">
          <cell r="H18">
            <v>1940541276.4000001</v>
          </cell>
          <cell r="I18">
            <v>0</v>
          </cell>
          <cell r="J18">
            <v>0</v>
          </cell>
          <cell r="K18">
            <v>0</v>
          </cell>
          <cell r="L18">
            <v>0</v>
          </cell>
          <cell r="M18">
            <v>0</v>
          </cell>
          <cell r="R18">
            <v>0</v>
          </cell>
          <cell r="S18">
            <v>0</v>
          </cell>
          <cell r="T18">
            <v>0</v>
          </cell>
          <cell r="U18">
            <v>0</v>
          </cell>
          <cell r="V18">
            <v>0</v>
          </cell>
          <cell r="W18">
            <v>0</v>
          </cell>
          <cell r="X18">
            <v>485135319.10000002</v>
          </cell>
          <cell r="AK18">
            <v>485135319.10000002</v>
          </cell>
          <cell r="AX18">
            <v>485135319.10000002</v>
          </cell>
          <cell r="BK18">
            <v>485135319.10000002</v>
          </cell>
          <cell r="CB18">
            <v>0</v>
          </cell>
        </row>
        <row r="19">
          <cell r="H19">
            <v>7352643709</v>
          </cell>
          <cell r="I19">
            <v>1660284759</v>
          </cell>
          <cell r="J19">
            <v>0</v>
          </cell>
          <cell r="K19">
            <v>0</v>
          </cell>
          <cell r="L19">
            <v>0</v>
          </cell>
          <cell r="M19">
            <v>0</v>
          </cell>
          <cell r="R19">
            <v>0</v>
          </cell>
          <cell r="S19">
            <v>0</v>
          </cell>
          <cell r="T19">
            <v>0</v>
          </cell>
          <cell r="U19">
            <v>0</v>
          </cell>
          <cell r="V19">
            <v>0</v>
          </cell>
          <cell r="W19">
            <v>0</v>
          </cell>
          <cell r="X19">
            <v>2253232117</v>
          </cell>
          <cell r="AK19">
            <v>2253232117</v>
          </cell>
          <cell r="AX19">
            <v>2253232117</v>
          </cell>
          <cell r="BK19">
            <v>2253232117</v>
          </cell>
          <cell r="CB19">
            <v>0</v>
          </cell>
        </row>
        <row r="20">
          <cell r="H20">
            <v>3862808958</v>
          </cell>
          <cell r="I20">
            <v>200000000</v>
          </cell>
          <cell r="J20">
            <v>0</v>
          </cell>
          <cell r="K20">
            <v>0</v>
          </cell>
          <cell r="L20">
            <v>0</v>
          </cell>
          <cell r="M20">
            <v>0</v>
          </cell>
          <cell r="R20">
            <v>0</v>
          </cell>
          <cell r="S20">
            <v>0</v>
          </cell>
          <cell r="T20">
            <v>0</v>
          </cell>
          <cell r="U20">
            <v>0</v>
          </cell>
          <cell r="V20">
            <v>0</v>
          </cell>
          <cell r="W20">
            <v>0</v>
          </cell>
          <cell r="X20">
            <v>1015702239.5</v>
          </cell>
          <cell r="AK20">
            <v>1015702239.5</v>
          </cell>
          <cell r="AX20">
            <v>1015702239.5</v>
          </cell>
          <cell r="BK20">
            <v>1015702239.5</v>
          </cell>
          <cell r="CB20">
            <v>0</v>
          </cell>
        </row>
        <row r="21">
          <cell r="H21">
            <v>3437288016.0900002</v>
          </cell>
          <cell r="I21">
            <v>0</v>
          </cell>
          <cell r="J21">
            <v>0</v>
          </cell>
          <cell r="K21">
            <v>0</v>
          </cell>
          <cell r="L21">
            <v>0</v>
          </cell>
          <cell r="M21">
            <v>0</v>
          </cell>
          <cell r="R21">
            <v>0</v>
          </cell>
          <cell r="S21">
            <v>0</v>
          </cell>
          <cell r="T21">
            <v>0</v>
          </cell>
          <cell r="U21">
            <v>0</v>
          </cell>
          <cell r="V21">
            <v>0</v>
          </cell>
          <cell r="W21">
            <v>0</v>
          </cell>
          <cell r="X21">
            <v>859322004.02250004</v>
          </cell>
          <cell r="AK21">
            <v>859322004.02250004</v>
          </cell>
          <cell r="AX21">
            <v>859322004.02250004</v>
          </cell>
          <cell r="BK21">
            <v>859322004.02250004</v>
          </cell>
          <cell r="CB21">
            <v>0</v>
          </cell>
        </row>
        <row r="22">
          <cell r="H22">
            <v>3989298500</v>
          </cell>
          <cell r="I22">
            <v>376386252</v>
          </cell>
          <cell r="J22">
            <v>0</v>
          </cell>
          <cell r="K22">
            <v>0</v>
          </cell>
          <cell r="L22">
            <v>0</v>
          </cell>
          <cell r="M22">
            <v>0</v>
          </cell>
          <cell r="R22">
            <v>0</v>
          </cell>
          <cell r="S22">
            <v>0</v>
          </cell>
          <cell r="T22">
            <v>0</v>
          </cell>
          <cell r="U22">
            <v>0</v>
          </cell>
          <cell r="V22">
            <v>0</v>
          </cell>
          <cell r="W22">
            <v>0</v>
          </cell>
          <cell r="X22">
            <v>1091421188</v>
          </cell>
          <cell r="AK22">
            <v>1091421188</v>
          </cell>
          <cell r="AX22">
            <v>1091421188</v>
          </cell>
          <cell r="BK22">
            <v>1091421188</v>
          </cell>
          <cell r="CB22">
            <v>0</v>
          </cell>
        </row>
        <row r="23">
          <cell r="H23">
            <v>817107861</v>
          </cell>
          <cell r="I23">
            <v>0</v>
          </cell>
          <cell r="J23">
            <v>0</v>
          </cell>
          <cell r="K23">
            <v>0</v>
          </cell>
          <cell r="L23">
            <v>0</v>
          </cell>
          <cell r="M23">
            <v>0</v>
          </cell>
          <cell r="R23">
            <v>0</v>
          </cell>
          <cell r="S23">
            <v>0</v>
          </cell>
          <cell r="T23">
            <v>0</v>
          </cell>
          <cell r="U23">
            <v>0</v>
          </cell>
          <cell r="V23">
            <v>0</v>
          </cell>
          <cell r="W23">
            <v>0</v>
          </cell>
          <cell r="X23">
            <v>204276965.25</v>
          </cell>
          <cell r="AK23">
            <v>204276965.25</v>
          </cell>
          <cell r="AX23">
            <v>204276965.25</v>
          </cell>
          <cell r="BK23">
            <v>204276965.25</v>
          </cell>
          <cell r="CB23">
            <v>0</v>
          </cell>
        </row>
        <row r="24">
          <cell r="H24">
            <v>568812090</v>
          </cell>
          <cell r="I24">
            <v>0</v>
          </cell>
          <cell r="J24">
            <v>0</v>
          </cell>
          <cell r="K24">
            <v>0</v>
          </cell>
          <cell r="L24">
            <v>0</v>
          </cell>
          <cell r="M24">
            <v>0</v>
          </cell>
          <cell r="R24">
            <v>0</v>
          </cell>
          <cell r="S24">
            <v>0</v>
          </cell>
          <cell r="T24">
            <v>0</v>
          </cell>
          <cell r="U24">
            <v>0</v>
          </cell>
          <cell r="V24">
            <v>0</v>
          </cell>
          <cell r="W24">
            <v>0</v>
          </cell>
          <cell r="X24">
            <v>142203022.5</v>
          </cell>
          <cell r="AK24">
            <v>142203022.5</v>
          </cell>
          <cell r="AX24">
            <v>142203022.5</v>
          </cell>
          <cell r="BK24">
            <v>142203022.5</v>
          </cell>
          <cell r="CB24">
            <v>0</v>
          </cell>
        </row>
        <row r="25">
          <cell r="H25">
            <v>1782582670.5</v>
          </cell>
          <cell r="I25">
            <v>0</v>
          </cell>
          <cell r="J25">
            <v>0</v>
          </cell>
          <cell r="K25">
            <v>0</v>
          </cell>
          <cell r="L25">
            <v>0</v>
          </cell>
          <cell r="M25">
            <v>0</v>
          </cell>
          <cell r="R25">
            <v>0</v>
          </cell>
          <cell r="S25">
            <v>0</v>
          </cell>
          <cell r="T25">
            <v>0</v>
          </cell>
          <cell r="U25">
            <v>0</v>
          </cell>
          <cell r="V25">
            <v>0</v>
          </cell>
          <cell r="W25">
            <v>0</v>
          </cell>
          <cell r="X25">
            <v>445645667.625</v>
          </cell>
          <cell r="AK25">
            <v>445645667.625</v>
          </cell>
          <cell r="AX25">
            <v>445645667.625</v>
          </cell>
          <cell r="BK25">
            <v>445645667.625</v>
          </cell>
          <cell r="CB25">
            <v>0</v>
          </cell>
        </row>
        <row r="26">
          <cell r="H26">
            <v>11980219623.2878</v>
          </cell>
          <cell r="I26">
            <v>2225290606</v>
          </cell>
          <cell r="J26">
            <v>12972497568</v>
          </cell>
          <cell r="K26">
            <v>0</v>
          </cell>
          <cell r="L26">
            <v>0</v>
          </cell>
          <cell r="M26">
            <v>0</v>
          </cell>
          <cell r="R26">
            <v>0</v>
          </cell>
          <cell r="S26">
            <v>0</v>
          </cell>
          <cell r="T26">
            <v>0</v>
          </cell>
          <cell r="U26">
            <v>0</v>
          </cell>
          <cell r="V26">
            <v>0</v>
          </cell>
          <cell r="W26">
            <v>0</v>
          </cell>
          <cell r="X26">
            <v>6794501949.32195</v>
          </cell>
          <cell r="AK26">
            <v>6794501949.32195</v>
          </cell>
          <cell r="AX26">
            <v>6794501949.32195</v>
          </cell>
          <cell r="BK26">
            <v>6794501949.32195</v>
          </cell>
          <cell r="CB26">
            <v>0</v>
          </cell>
        </row>
        <row r="27">
          <cell r="H27">
            <v>0</v>
          </cell>
          <cell r="I27">
            <v>0</v>
          </cell>
          <cell r="J27">
            <v>8298317068</v>
          </cell>
          <cell r="K27">
            <v>0</v>
          </cell>
          <cell r="L27">
            <v>0</v>
          </cell>
          <cell r="M27">
            <v>0</v>
          </cell>
          <cell r="R27">
            <v>0</v>
          </cell>
          <cell r="S27">
            <v>0</v>
          </cell>
          <cell r="T27">
            <v>0</v>
          </cell>
          <cell r="U27">
            <v>0</v>
          </cell>
          <cell r="V27">
            <v>0</v>
          </cell>
          <cell r="W27">
            <v>0</v>
          </cell>
          <cell r="X27">
            <v>2074579267</v>
          </cell>
          <cell r="AK27">
            <v>2074579267</v>
          </cell>
          <cell r="AX27">
            <v>2074579267</v>
          </cell>
          <cell r="BK27">
            <v>2074579267</v>
          </cell>
          <cell r="CB27">
            <v>0</v>
          </cell>
        </row>
        <row r="28">
          <cell r="H28">
            <v>0</v>
          </cell>
          <cell r="I28">
            <v>0</v>
          </cell>
          <cell r="J28">
            <v>19789498444</v>
          </cell>
          <cell r="K28">
            <v>0</v>
          </cell>
          <cell r="L28">
            <v>0</v>
          </cell>
          <cell r="M28">
            <v>0</v>
          </cell>
          <cell r="R28">
            <v>0</v>
          </cell>
          <cell r="S28">
            <v>0</v>
          </cell>
          <cell r="T28">
            <v>0</v>
          </cell>
          <cell r="U28">
            <v>0</v>
          </cell>
          <cell r="V28">
            <v>0</v>
          </cell>
          <cell r="W28">
            <v>0</v>
          </cell>
          <cell r="X28">
            <v>4947374611</v>
          </cell>
          <cell r="AK28">
            <v>4947374611</v>
          </cell>
          <cell r="AX28">
            <v>4947374611</v>
          </cell>
          <cell r="BK28">
            <v>4947374611</v>
          </cell>
          <cell r="CB28">
            <v>0</v>
          </cell>
        </row>
        <row r="29">
          <cell r="H29">
            <v>0</v>
          </cell>
          <cell r="I29">
            <v>0</v>
          </cell>
          <cell r="J29">
            <v>86863322595</v>
          </cell>
          <cell r="K29">
            <v>0</v>
          </cell>
          <cell r="L29">
            <v>0</v>
          </cell>
          <cell r="M29">
            <v>0</v>
          </cell>
          <cell r="R29">
            <v>0</v>
          </cell>
          <cell r="S29">
            <v>0</v>
          </cell>
          <cell r="T29">
            <v>0</v>
          </cell>
          <cell r="U29">
            <v>0</v>
          </cell>
          <cell r="V29">
            <v>0</v>
          </cell>
          <cell r="W29">
            <v>0</v>
          </cell>
          <cell r="X29">
            <v>21715830648.75</v>
          </cell>
          <cell r="AK29">
            <v>21715830648.75</v>
          </cell>
          <cell r="AX29">
            <v>21715830648.75</v>
          </cell>
          <cell r="BK29">
            <v>21715830648.75</v>
          </cell>
          <cell r="CB29">
            <v>0</v>
          </cell>
        </row>
        <row r="30">
          <cell r="H30">
            <v>0</v>
          </cell>
          <cell r="I30">
            <v>0</v>
          </cell>
          <cell r="J30">
            <v>4073396523.8800001</v>
          </cell>
          <cell r="K30">
            <v>0</v>
          </cell>
          <cell r="L30">
            <v>0</v>
          </cell>
          <cell r="M30">
            <v>0</v>
          </cell>
          <cell r="R30">
            <v>0</v>
          </cell>
          <cell r="S30">
            <v>0</v>
          </cell>
          <cell r="T30">
            <v>0</v>
          </cell>
          <cell r="U30">
            <v>0</v>
          </cell>
          <cell r="V30">
            <v>0</v>
          </cell>
          <cell r="W30">
            <v>0</v>
          </cell>
          <cell r="X30">
            <v>1018349130.97</v>
          </cell>
          <cell r="AK30">
            <v>1018349130.97</v>
          </cell>
          <cell r="AX30">
            <v>1018349130.97</v>
          </cell>
          <cell r="BK30">
            <v>1018349130.97</v>
          </cell>
          <cell r="CB30">
            <v>0</v>
          </cell>
        </row>
        <row r="31">
          <cell r="H31">
            <v>0</v>
          </cell>
          <cell r="I31">
            <v>0</v>
          </cell>
          <cell r="J31">
            <v>5591118479</v>
          </cell>
          <cell r="K31">
            <v>0</v>
          </cell>
          <cell r="L31">
            <v>0</v>
          </cell>
          <cell r="M31">
            <v>0</v>
          </cell>
          <cell r="R31">
            <v>0</v>
          </cell>
          <cell r="S31">
            <v>0</v>
          </cell>
          <cell r="T31">
            <v>0</v>
          </cell>
          <cell r="U31">
            <v>0</v>
          </cell>
          <cell r="V31">
            <v>0</v>
          </cell>
          <cell r="W31">
            <v>0</v>
          </cell>
          <cell r="X31">
            <v>1397779619.75</v>
          </cell>
          <cell r="AK31">
            <v>1397779619.75</v>
          </cell>
          <cell r="AX31">
            <v>1397779619.75</v>
          </cell>
          <cell r="BK31">
            <v>1397779619.75</v>
          </cell>
          <cell r="CB31">
            <v>0</v>
          </cell>
        </row>
        <row r="32">
          <cell r="H32">
            <v>0</v>
          </cell>
          <cell r="I32">
            <v>0</v>
          </cell>
          <cell r="J32">
            <v>1319679712.96</v>
          </cell>
          <cell r="K32">
            <v>0</v>
          </cell>
          <cell r="L32">
            <v>0</v>
          </cell>
          <cell r="M32">
            <v>0</v>
          </cell>
          <cell r="R32">
            <v>0</v>
          </cell>
          <cell r="S32">
            <v>0</v>
          </cell>
          <cell r="T32">
            <v>0</v>
          </cell>
          <cell r="U32">
            <v>0</v>
          </cell>
          <cell r="V32">
            <v>0</v>
          </cell>
          <cell r="W32">
            <v>0</v>
          </cell>
          <cell r="X32">
            <v>329919928.24000001</v>
          </cell>
          <cell r="AK32">
            <v>329919928.24000001</v>
          </cell>
          <cell r="AX32">
            <v>329919928.24000001</v>
          </cell>
          <cell r="BK32">
            <v>329919928.24000001</v>
          </cell>
          <cell r="CB32">
            <v>0</v>
          </cell>
        </row>
        <row r="33">
          <cell r="H33">
            <v>0</v>
          </cell>
          <cell r="I33">
            <v>0</v>
          </cell>
          <cell r="J33">
            <v>6755343460</v>
          </cell>
          <cell r="K33">
            <v>0</v>
          </cell>
          <cell r="L33">
            <v>0</v>
          </cell>
          <cell r="M33">
            <v>0</v>
          </cell>
          <cell r="R33">
            <v>0</v>
          </cell>
          <cell r="S33">
            <v>0</v>
          </cell>
          <cell r="T33">
            <v>0</v>
          </cell>
          <cell r="U33">
            <v>0</v>
          </cell>
          <cell r="V33">
            <v>0</v>
          </cell>
          <cell r="W33">
            <v>0</v>
          </cell>
          <cell r="X33">
            <v>1688835865</v>
          </cell>
          <cell r="AK33">
            <v>1688835865</v>
          </cell>
          <cell r="AX33">
            <v>1688835865</v>
          </cell>
          <cell r="BK33">
            <v>1688835865</v>
          </cell>
          <cell r="CB33">
            <v>0</v>
          </cell>
        </row>
        <row r="34">
          <cell r="H34">
            <v>0</v>
          </cell>
          <cell r="I34">
            <v>3803985000</v>
          </cell>
          <cell r="J34">
            <v>0</v>
          </cell>
          <cell r="K34">
            <v>0</v>
          </cell>
          <cell r="L34">
            <v>0</v>
          </cell>
          <cell r="M34">
            <v>0</v>
          </cell>
          <cell r="R34">
            <v>0</v>
          </cell>
          <cell r="S34">
            <v>0</v>
          </cell>
          <cell r="T34">
            <v>0</v>
          </cell>
          <cell r="U34">
            <v>0</v>
          </cell>
          <cell r="V34">
            <v>0</v>
          </cell>
          <cell r="W34">
            <v>0</v>
          </cell>
          <cell r="X34">
            <v>950996250</v>
          </cell>
          <cell r="AK34">
            <v>950996250</v>
          </cell>
          <cell r="AX34">
            <v>950996250</v>
          </cell>
          <cell r="BK34">
            <v>950996250</v>
          </cell>
          <cell r="CB34">
            <v>0</v>
          </cell>
        </row>
        <row r="35">
          <cell r="H35">
            <v>0</v>
          </cell>
          <cell r="I35">
            <v>3720150188</v>
          </cell>
          <cell r="J35">
            <v>0</v>
          </cell>
          <cell r="K35">
            <v>0</v>
          </cell>
          <cell r="L35">
            <v>0</v>
          </cell>
          <cell r="M35">
            <v>0</v>
          </cell>
          <cell r="R35">
            <v>0</v>
          </cell>
          <cell r="S35">
            <v>0</v>
          </cell>
          <cell r="T35">
            <v>0</v>
          </cell>
          <cell r="U35">
            <v>0</v>
          </cell>
          <cell r="V35">
            <v>0</v>
          </cell>
          <cell r="W35">
            <v>0</v>
          </cell>
          <cell r="X35">
            <v>930037547</v>
          </cell>
          <cell r="AK35">
            <v>930037547</v>
          </cell>
          <cell r="AX35">
            <v>930037547</v>
          </cell>
          <cell r="BK35">
            <v>930037547</v>
          </cell>
          <cell r="CB35">
            <v>0</v>
          </cell>
        </row>
        <row r="36">
          <cell r="H36">
            <v>16385376683.860001</v>
          </cell>
          <cell r="I36">
            <v>946944480</v>
          </cell>
          <cell r="J36">
            <v>0</v>
          </cell>
          <cell r="K36">
            <v>0</v>
          </cell>
          <cell r="L36">
            <v>0</v>
          </cell>
          <cell r="M36">
            <v>0</v>
          </cell>
          <cell r="R36">
            <v>0</v>
          </cell>
          <cell r="S36">
            <v>0</v>
          </cell>
          <cell r="T36">
            <v>0</v>
          </cell>
          <cell r="U36">
            <v>0</v>
          </cell>
          <cell r="V36">
            <v>0</v>
          </cell>
          <cell r="W36">
            <v>0</v>
          </cell>
          <cell r="X36">
            <v>4333080290.9650002</v>
          </cell>
          <cell r="AK36">
            <v>4333080290.9650002</v>
          </cell>
          <cell r="AX36">
            <v>4333080290.9650002</v>
          </cell>
          <cell r="BK36">
            <v>4333080290.9650002</v>
          </cell>
          <cell r="CB36">
            <v>0</v>
          </cell>
        </row>
        <row r="37">
          <cell r="H37">
            <v>586618776</v>
          </cell>
          <cell r="I37">
            <v>0</v>
          </cell>
          <cell r="J37">
            <v>0</v>
          </cell>
          <cell r="K37">
            <v>0</v>
          </cell>
          <cell r="L37">
            <v>0</v>
          </cell>
          <cell r="M37">
            <v>0</v>
          </cell>
          <cell r="R37">
            <v>0</v>
          </cell>
          <cell r="S37">
            <v>0</v>
          </cell>
          <cell r="T37">
            <v>0</v>
          </cell>
          <cell r="U37">
            <v>0</v>
          </cell>
          <cell r="V37">
            <v>0</v>
          </cell>
          <cell r="W37">
            <v>0</v>
          </cell>
          <cell r="X37">
            <v>146654694</v>
          </cell>
          <cell r="AK37">
            <v>146654694</v>
          </cell>
          <cell r="AX37">
            <v>146654694</v>
          </cell>
          <cell r="BK37">
            <v>146654694</v>
          </cell>
          <cell r="CB37">
            <v>0</v>
          </cell>
        </row>
        <row r="38">
          <cell r="H38">
            <v>0</v>
          </cell>
          <cell r="I38">
            <v>71105192984</v>
          </cell>
          <cell r="J38">
            <v>0</v>
          </cell>
          <cell r="K38">
            <v>0</v>
          </cell>
          <cell r="L38">
            <v>0</v>
          </cell>
          <cell r="M38">
            <v>0</v>
          </cell>
          <cell r="R38">
            <v>0</v>
          </cell>
          <cell r="S38">
            <v>0</v>
          </cell>
          <cell r="T38">
            <v>0</v>
          </cell>
          <cell r="U38">
            <v>0</v>
          </cell>
          <cell r="V38">
            <v>0</v>
          </cell>
          <cell r="W38">
            <v>0</v>
          </cell>
          <cell r="X38">
            <v>17776298246</v>
          </cell>
          <cell r="AK38">
            <v>17776298246</v>
          </cell>
          <cell r="AX38">
            <v>17776298246</v>
          </cell>
          <cell r="BK38">
            <v>17776298246</v>
          </cell>
          <cell r="CB38">
            <v>0</v>
          </cell>
        </row>
        <row r="39">
          <cell r="H39">
            <v>2349469491.9000001</v>
          </cell>
          <cell r="I39">
            <v>0</v>
          </cell>
          <cell r="J39">
            <v>0</v>
          </cell>
          <cell r="K39">
            <v>0</v>
          </cell>
          <cell r="L39">
            <v>0</v>
          </cell>
          <cell r="M39">
            <v>0</v>
          </cell>
          <cell r="R39">
            <v>0</v>
          </cell>
          <cell r="S39">
            <v>0</v>
          </cell>
          <cell r="T39">
            <v>0</v>
          </cell>
          <cell r="U39">
            <v>0</v>
          </cell>
          <cell r="V39">
            <v>0</v>
          </cell>
          <cell r="W39">
            <v>0</v>
          </cell>
          <cell r="X39">
            <v>587367372.97500002</v>
          </cell>
          <cell r="AK39">
            <v>587367372.97500002</v>
          </cell>
          <cell r="AX39">
            <v>587367372.97500002</v>
          </cell>
          <cell r="BK39">
            <v>587367372.97500002</v>
          </cell>
          <cell r="CB39">
            <v>0</v>
          </cell>
        </row>
        <row r="40">
          <cell r="H40">
            <v>2834987153</v>
          </cell>
          <cell r="I40">
            <v>0</v>
          </cell>
          <cell r="J40">
            <v>0</v>
          </cell>
          <cell r="K40">
            <v>0</v>
          </cell>
          <cell r="L40">
            <v>0</v>
          </cell>
          <cell r="M40">
            <v>0</v>
          </cell>
          <cell r="R40">
            <v>0</v>
          </cell>
          <cell r="S40">
            <v>0</v>
          </cell>
          <cell r="T40">
            <v>0</v>
          </cell>
          <cell r="U40">
            <v>0</v>
          </cell>
          <cell r="V40">
            <v>0</v>
          </cell>
          <cell r="W40">
            <v>0</v>
          </cell>
          <cell r="X40">
            <v>708746788.25</v>
          </cell>
          <cell r="AK40">
            <v>708746788.25</v>
          </cell>
          <cell r="AX40">
            <v>708746788.25</v>
          </cell>
          <cell r="BK40">
            <v>708746788.25</v>
          </cell>
          <cell r="CB40">
            <v>0</v>
          </cell>
        </row>
        <row r="41">
          <cell r="H41">
            <v>0</v>
          </cell>
          <cell r="I41">
            <v>1855392000.1998999</v>
          </cell>
          <cell r="J41">
            <v>0</v>
          </cell>
          <cell r="K41">
            <v>0</v>
          </cell>
          <cell r="L41">
            <v>0</v>
          </cell>
          <cell r="M41">
            <v>0</v>
          </cell>
          <cell r="R41">
            <v>0</v>
          </cell>
          <cell r="S41">
            <v>0</v>
          </cell>
          <cell r="T41">
            <v>0</v>
          </cell>
          <cell r="U41">
            <v>0</v>
          </cell>
          <cell r="V41">
            <v>0</v>
          </cell>
          <cell r="W41">
            <v>0</v>
          </cell>
          <cell r="X41">
            <v>463848000.04997498</v>
          </cell>
          <cell r="AK41">
            <v>463848000.04997498</v>
          </cell>
          <cell r="AX41">
            <v>463848000.04997498</v>
          </cell>
          <cell r="BK41">
            <v>463848000.04997498</v>
          </cell>
          <cell r="CB41">
            <v>0</v>
          </cell>
        </row>
        <row r="42">
          <cell r="H42">
            <v>0</v>
          </cell>
          <cell r="I42">
            <v>2511191000</v>
          </cell>
          <cell r="J42">
            <v>0</v>
          </cell>
          <cell r="K42">
            <v>0</v>
          </cell>
          <cell r="L42">
            <v>0</v>
          </cell>
          <cell r="M42">
            <v>0</v>
          </cell>
          <cell r="R42">
            <v>0</v>
          </cell>
          <cell r="S42">
            <v>0</v>
          </cell>
          <cell r="T42">
            <v>0</v>
          </cell>
          <cell r="U42">
            <v>0</v>
          </cell>
          <cell r="V42">
            <v>0</v>
          </cell>
          <cell r="W42">
            <v>0</v>
          </cell>
          <cell r="X42">
            <v>627797750</v>
          </cell>
          <cell r="AK42">
            <v>627797750</v>
          </cell>
          <cell r="AX42">
            <v>627797750</v>
          </cell>
          <cell r="BK42">
            <v>627797750</v>
          </cell>
          <cell r="CB42">
            <v>0</v>
          </cell>
        </row>
        <row r="43">
          <cell r="H43">
            <v>0</v>
          </cell>
          <cell r="I43">
            <v>7056700645</v>
          </cell>
          <cell r="J43">
            <v>0</v>
          </cell>
          <cell r="K43">
            <v>0</v>
          </cell>
          <cell r="L43">
            <v>0</v>
          </cell>
          <cell r="M43">
            <v>0</v>
          </cell>
          <cell r="R43">
            <v>0</v>
          </cell>
          <cell r="S43">
            <v>0</v>
          </cell>
          <cell r="T43">
            <v>0</v>
          </cell>
          <cell r="U43">
            <v>0</v>
          </cell>
          <cell r="V43">
            <v>0</v>
          </cell>
          <cell r="W43">
            <v>0</v>
          </cell>
          <cell r="X43">
            <v>1764175161.25</v>
          </cell>
          <cell r="AK43">
            <v>1764175161.25</v>
          </cell>
          <cell r="AX43">
            <v>1764175161.25</v>
          </cell>
          <cell r="BK43">
            <v>1764175161.25</v>
          </cell>
          <cell r="CB43">
            <v>0</v>
          </cell>
        </row>
        <row r="44">
          <cell r="H44">
            <v>4023486557.4400001</v>
          </cell>
          <cell r="I44">
            <v>0</v>
          </cell>
          <cell r="J44">
            <v>0</v>
          </cell>
          <cell r="K44">
            <v>0</v>
          </cell>
          <cell r="L44">
            <v>0</v>
          </cell>
          <cell r="M44">
            <v>0</v>
          </cell>
          <cell r="R44">
            <v>0</v>
          </cell>
          <cell r="S44">
            <v>0</v>
          </cell>
          <cell r="T44">
            <v>0</v>
          </cell>
          <cell r="U44">
            <v>0</v>
          </cell>
          <cell r="V44">
            <v>0</v>
          </cell>
          <cell r="W44">
            <v>0</v>
          </cell>
          <cell r="X44">
            <v>1005871639.36</v>
          </cell>
          <cell r="AK44">
            <v>1005871639.36</v>
          </cell>
          <cell r="AX44">
            <v>1005871639.36</v>
          </cell>
          <cell r="BK44">
            <v>1005871639.36</v>
          </cell>
          <cell r="CB44">
            <v>0</v>
          </cell>
        </row>
        <row r="45">
          <cell r="H45">
            <v>0</v>
          </cell>
          <cell r="I45">
            <v>1570400000</v>
          </cell>
          <cell r="J45">
            <v>0</v>
          </cell>
          <cell r="K45">
            <v>0</v>
          </cell>
          <cell r="L45">
            <v>0</v>
          </cell>
          <cell r="M45">
            <v>0</v>
          </cell>
          <cell r="R45">
            <v>0</v>
          </cell>
          <cell r="S45">
            <v>0</v>
          </cell>
          <cell r="T45">
            <v>0</v>
          </cell>
          <cell r="U45">
            <v>0</v>
          </cell>
          <cell r="V45">
            <v>0</v>
          </cell>
          <cell r="W45">
            <v>0</v>
          </cell>
          <cell r="X45">
            <v>392600000</v>
          </cell>
          <cell r="AK45">
            <v>392600000</v>
          </cell>
          <cell r="AX45">
            <v>392600000</v>
          </cell>
          <cell r="BK45">
            <v>392600000</v>
          </cell>
          <cell r="CB45">
            <v>0</v>
          </cell>
        </row>
        <row r="46">
          <cell r="H46">
            <v>52515960062.083878</v>
          </cell>
          <cell r="I46">
            <v>0</v>
          </cell>
          <cell r="J46">
            <v>0</v>
          </cell>
          <cell r="K46">
            <v>0</v>
          </cell>
          <cell r="L46">
            <v>0</v>
          </cell>
          <cell r="M46">
            <v>0</v>
          </cell>
          <cell r="R46">
            <v>0</v>
          </cell>
          <cell r="S46">
            <v>0</v>
          </cell>
          <cell r="T46">
            <v>0</v>
          </cell>
          <cell r="U46">
            <v>0</v>
          </cell>
          <cell r="V46">
            <v>0</v>
          </cell>
          <cell r="W46">
            <v>0</v>
          </cell>
          <cell r="X46">
            <v>13128990015.520969</v>
          </cell>
          <cell r="AK46">
            <v>13128990015.520969</v>
          </cell>
          <cell r="AX46">
            <v>13128990015.520969</v>
          </cell>
          <cell r="BK46">
            <v>13128990015.520969</v>
          </cell>
          <cell r="CB46">
            <v>0</v>
          </cell>
        </row>
        <row r="47">
          <cell r="H47">
            <v>0</v>
          </cell>
          <cell r="I47">
            <v>2966807972</v>
          </cell>
          <cell r="J47">
            <v>0</v>
          </cell>
          <cell r="K47">
            <v>0</v>
          </cell>
          <cell r="L47">
            <v>0</v>
          </cell>
          <cell r="M47">
            <v>0</v>
          </cell>
          <cell r="R47">
            <v>0</v>
          </cell>
          <cell r="S47">
            <v>0</v>
          </cell>
          <cell r="T47">
            <v>0</v>
          </cell>
          <cell r="U47">
            <v>0</v>
          </cell>
          <cell r="V47">
            <v>0</v>
          </cell>
          <cell r="W47">
            <v>0</v>
          </cell>
          <cell r="X47">
            <v>741701993</v>
          </cell>
          <cell r="AK47">
            <v>741701993</v>
          </cell>
          <cell r="AX47">
            <v>741701993</v>
          </cell>
          <cell r="BK47">
            <v>741701993</v>
          </cell>
          <cell r="CB47">
            <v>0</v>
          </cell>
        </row>
        <row r="48">
          <cell r="H48">
            <v>0</v>
          </cell>
          <cell r="I48">
            <v>1900000000</v>
          </cell>
          <cell r="J48">
            <v>0</v>
          </cell>
          <cell r="K48">
            <v>0</v>
          </cell>
          <cell r="L48">
            <v>0</v>
          </cell>
          <cell r="M48">
            <v>0</v>
          </cell>
          <cell r="R48">
            <v>0</v>
          </cell>
          <cell r="S48">
            <v>0</v>
          </cell>
          <cell r="T48">
            <v>0</v>
          </cell>
          <cell r="U48">
            <v>0</v>
          </cell>
          <cell r="V48">
            <v>0</v>
          </cell>
          <cell r="W48">
            <v>0</v>
          </cell>
          <cell r="X48">
            <v>475000000</v>
          </cell>
          <cell r="AK48">
            <v>475000000</v>
          </cell>
          <cell r="AX48">
            <v>475000000</v>
          </cell>
          <cell r="BK48">
            <v>475000000</v>
          </cell>
          <cell r="CB48">
            <v>0</v>
          </cell>
        </row>
        <row r="49">
          <cell r="H49">
            <v>6345161925</v>
          </cell>
          <cell r="I49">
            <v>0</v>
          </cell>
          <cell r="J49">
            <v>0</v>
          </cell>
          <cell r="K49">
            <v>0</v>
          </cell>
          <cell r="L49">
            <v>0</v>
          </cell>
          <cell r="M49">
            <v>0</v>
          </cell>
          <cell r="R49">
            <v>0</v>
          </cell>
          <cell r="S49">
            <v>0</v>
          </cell>
          <cell r="T49">
            <v>0</v>
          </cell>
          <cell r="U49">
            <v>0</v>
          </cell>
          <cell r="V49">
            <v>0</v>
          </cell>
          <cell r="W49">
            <v>0</v>
          </cell>
          <cell r="X49">
            <v>1586290481.25</v>
          </cell>
          <cell r="AK49">
            <v>1586290481.25</v>
          </cell>
          <cell r="AX49">
            <v>1586290481.25</v>
          </cell>
          <cell r="BK49">
            <v>1586290481.25</v>
          </cell>
          <cell r="CB49">
            <v>0</v>
          </cell>
        </row>
        <row r="50">
          <cell r="H50">
            <v>3143371126.1995997</v>
          </cell>
          <cell r="I50">
            <v>386876446.29960001</v>
          </cell>
          <cell r="J50">
            <v>0</v>
          </cell>
          <cell r="K50">
            <v>0</v>
          </cell>
          <cell r="L50">
            <v>0</v>
          </cell>
          <cell r="M50">
            <v>0</v>
          </cell>
          <cell r="R50">
            <v>0</v>
          </cell>
          <cell r="S50">
            <v>0</v>
          </cell>
          <cell r="T50">
            <v>0</v>
          </cell>
          <cell r="U50">
            <v>0</v>
          </cell>
          <cell r="V50">
            <v>0</v>
          </cell>
          <cell r="W50">
            <v>0</v>
          </cell>
          <cell r="X50">
            <v>882561893.12479997</v>
          </cell>
          <cell r="AK50">
            <v>882561893.12479997</v>
          </cell>
          <cell r="AX50">
            <v>882561893.12479997</v>
          </cell>
          <cell r="BK50">
            <v>882561893.12479997</v>
          </cell>
          <cell r="CB50">
            <v>0</v>
          </cell>
        </row>
        <row r="51">
          <cell r="H51">
            <v>0</v>
          </cell>
          <cell r="I51">
            <v>3950000000</v>
          </cell>
          <cell r="J51">
            <v>0</v>
          </cell>
          <cell r="K51">
            <v>0</v>
          </cell>
          <cell r="L51">
            <v>0</v>
          </cell>
          <cell r="M51">
            <v>0</v>
          </cell>
          <cell r="R51">
            <v>0</v>
          </cell>
          <cell r="S51">
            <v>0</v>
          </cell>
          <cell r="T51">
            <v>0</v>
          </cell>
          <cell r="U51">
            <v>0</v>
          </cell>
          <cell r="V51">
            <v>0</v>
          </cell>
          <cell r="W51">
            <v>0</v>
          </cell>
          <cell r="X51">
            <v>987500000</v>
          </cell>
          <cell r="AK51">
            <v>987500000</v>
          </cell>
          <cell r="AX51">
            <v>987500000</v>
          </cell>
          <cell r="BK51">
            <v>987500000</v>
          </cell>
          <cell r="CB51">
            <v>0</v>
          </cell>
        </row>
        <row r="52">
          <cell r="H52">
            <v>0</v>
          </cell>
          <cell r="I52">
            <v>2306000000</v>
          </cell>
          <cell r="J52">
            <v>0</v>
          </cell>
          <cell r="K52">
            <v>0</v>
          </cell>
          <cell r="L52">
            <v>0</v>
          </cell>
          <cell r="M52">
            <v>0</v>
          </cell>
          <cell r="R52">
            <v>0</v>
          </cell>
          <cell r="S52">
            <v>0</v>
          </cell>
          <cell r="T52">
            <v>0</v>
          </cell>
          <cell r="U52">
            <v>0</v>
          </cell>
          <cell r="V52">
            <v>0</v>
          </cell>
          <cell r="W52">
            <v>0</v>
          </cell>
          <cell r="X52">
            <v>576500000</v>
          </cell>
          <cell r="AK52">
            <v>576500000</v>
          </cell>
          <cell r="AX52">
            <v>576500000</v>
          </cell>
          <cell r="BK52">
            <v>576500000</v>
          </cell>
          <cell r="CB52">
            <v>0</v>
          </cell>
        </row>
        <row r="53">
          <cell r="H53">
            <v>0</v>
          </cell>
          <cell r="I53">
            <v>0</v>
          </cell>
          <cell r="J53">
            <v>19574846307</v>
          </cell>
          <cell r="K53">
            <v>0</v>
          </cell>
          <cell r="L53">
            <v>0</v>
          </cell>
          <cell r="M53">
            <v>0</v>
          </cell>
          <cell r="R53">
            <v>0</v>
          </cell>
          <cell r="S53">
            <v>0</v>
          </cell>
          <cell r="T53">
            <v>0</v>
          </cell>
          <cell r="U53">
            <v>0</v>
          </cell>
          <cell r="V53">
            <v>0</v>
          </cell>
          <cell r="W53">
            <v>0</v>
          </cell>
          <cell r="X53">
            <v>4893711576.75</v>
          </cell>
          <cell r="AK53">
            <v>4893711576.75</v>
          </cell>
          <cell r="AX53">
            <v>4893711576.75</v>
          </cell>
          <cell r="BK53">
            <v>4893711576.75</v>
          </cell>
          <cell r="CB53">
            <v>0</v>
          </cell>
        </row>
        <row r="54">
          <cell r="H54">
            <v>1256236439.28</v>
          </cell>
          <cell r="I54">
            <v>0</v>
          </cell>
          <cell r="J54">
            <v>0</v>
          </cell>
          <cell r="K54">
            <v>0</v>
          </cell>
          <cell r="L54">
            <v>0</v>
          </cell>
          <cell r="M54">
            <v>0</v>
          </cell>
          <cell r="R54">
            <v>0</v>
          </cell>
          <cell r="S54">
            <v>0</v>
          </cell>
          <cell r="T54">
            <v>0</v>
          </cell>
          <cell r="U54">
            <v>0</v>
          </cell>
          <cell r="V54">
            <v>0</v>
          </cell>
          <cell r="W54">
            <v>0</v>
          </cell>
          <cell r="X54">
            <v>314059109.81999999</v>
          </cell>
          <cell r="AK54">
            <v>314059109.81999999</v>
          </cell>
          <cell r="AX54">
            <v>314059109.81999999</v>
          </cell>
          <cell r="BK54">
            <v>314059109.81999999</v>
          </cell>
          <cell r="CB54">
            <v>0</v>
          </cell>
        </row>
        <row r="55">
          <cell r="H55">
            <v>7181109072.96</v>
          </cell>
          <cell r="I55">
            <v>0</v>
          </cell>
          <cell r="J55">
            <v>108900000</v>
          </cell>
          <cell r="K55">
            <v>0</v>
          </cell>
          <cell r="L55">
            <v>0</v>
          </cell>
          <cell r="M55">
            <v>0</v>
          </cell>
          <cell r="R55">
            <v>0</v>
          </cell>
          <cell r="S55">
            <v>0</v>
          </cell>
          <cell r="T55">
            <v>0</v>
          </cell>
          <cell r="U55">
            <v>0</v>
          </cell>
          <cell r="V55">
            <v>0</v>
          </cell>
          <cell r="W55">
            <v>0</v>
          </cell>
          <cell r="X55">
            <v>1822502268.24</v>
          </cell>
          <cell r="AK55">
            <v>1822502268.24</v>
          </cell>
          <cell r="AX55">
            <v>1822502268.24</v>
          </cell>
          <cell r="BK55">
            <v>1822502268.24</v>
          </cell>
          <cell r="CB55">
            <v>0</v>
          </cell>
        </row>
        <row r="56">
          <cell r="H56">
            <v>509005051</v>
          </cell>
          <cell r="I56">
            <v>680376999.72000003</v>
          </cell>
          <cell r="J56">
            <v>0</v>
          </cell>
          <cell r="K56">
            <v>0</v>
          </cell>
          <cell r="L56">
            <v>0</v>
          </cell>
          <cell r="M56">
            <v>0</v>
          </cell>
          <cell r="R56">
            <v>0</v>
          </cell>
          <cell r="S56">
            <v>0</v>
          </cell>
          <cell r="T56">
            <v>0</v>
          </cell>
          <cell r="U56">
            <v>0</v>
          </cell>
          <cell r="V56">
            <v>0</v>
          </cell>
          <cell r="W56">
            <v>0</v>
          </cell>
          <cell r="X56">
            <v>297345512.68000001</v>
          </cell>
          <cell r="AK56">
            <v>297345512.68000001</v>
          </cell>
          <cell r="AX56">
            <v>297345512.68000001</v>
          </cell>
          <cell r="BK56">
            <v>297345512.68000001</v>
          </cell>
          <cell r="CB56">
            <v>0</v>
          </cell>
        </row>
        <row r="57">
          <cell r="H57">
            <v>100077312793.2</v>
          </cell>
          <cell r="I57">
            <v>0</v>
          </cell>
          <cell r="J57">
            <v>0</v>
          </cell>
          <cell r="K57">
            <v>0</v>
          </cell>
          <cell r="L57">
            <v>0</v>
          </cell>
          <cell r="M57">
            <v>0</v>
          </cell>
          <cell r="R57">
            <v>0</v>
          </cell>
          <cell r="S57">
            <v>0</v>
          </cell>
          <cell r="T57">
            <v>0</v>
          </cell>
          <cell r="U57">
            <v>0</v>
          </cell>
          <cell r="V57">
            <v>0</v>
          </cell>
          <cell r="W57">
            <v>0</v>
          </cell>
          <cell r="X57">
            <v>30019328198.299999</v>
          </cell>
          <cell r="AK57">
            <v>25019328198.299999</v>
          </cell>
          <cell r="AX57">
            <v>25019328198.299999</v>
          </cell>
          <cell r="BK57">
            <v>20019328198.299999</v>
          </cell>
          <cell r="CB57">
            <v>0</v>
          </cell>
        </row>
        <row r="58">
          <cell r="H58">
            <v>21334974498.034191</v>
          </cell>
          <cell r="I58">
            <v>2594199550.965807</v>
          </cell>
          <cell r="J58">
            <v>0</v>
          </cell>
          <cell r="K58">
            <v>0</v>
          </cell>
          <cell r="L58">
            <v>0</v>
          </cell>
          <cell r="M58">
            <v>0</v>
          </cell>
          <cell r="R58">
            <v>0</v>
          </cell>
          <cell r="S58">
            <v>0</v>
          </cell>
          <cell r="T58">
            <v>0</v>
          </cell>
          <cell r="U58">
            <v>0</v>
          </cell>
          <cell r="V58">
            <v>0</v>
          </cell>
          <cell r="W58">
            <v>0</v>
          </cell>
          <cell r="X58">
            <v>5982293512.25</v>
          </cell>
          <cell r="AK58">
            <v>5982293512.25</v>
          </cell>
          <cell r="AX58">
            <v>5982293512.25</v>
          </cell>
          <cell r="BK58">
            <v>5982293512.25</v>
          </cell>
          <cell r="CB58">
            <v>0</v>
          </cell>
        </row>
        <row r="59">
          <cell r="H59">
            <v>16264136962</v>
          </cell>
          <cell r="I59">
            <v>0</v>
          </cell>
          <cell r="J59">
            <v>0</v>
          </cell>
          <cell r="K59">
            <v>0</v>
          </cell>
          <cell r="L59">
            <v>0</v>
          </cell>
          <cell r="M59">
            <v>0</v>
          </cell>
          <cell r="R59">
            <v>0</v>
          </cell>
          <cell r="S59">
            <v>0</v>
          </cell>
          <cell r="T59">
            <v>0</v>
          </cell>
          <cell r="U59">
            <v>0</v>
          </cell>
          <cell r="V59">
            <v>0</v>
          </cell>
          <cell r="W59">
            <v>0</v>
          </cell>
          <cell r="X59">
            <v>4066034240.5</v>
          </cell>
          <cell r="AK59">
            <v>4066034240.5</v>
          </cell>
          <cell r="AX59">
            <v>4066034240.5</v>
          </cell>
          <cell r="BK59">
            <v>4066034240.5</v>
          </cell>
          <cell r="CB59">
            <v>0</v>
          </cell>
        </row>
        <row r="60">
          <cell r="H60">
            <v>32183654073.200001</v>
          </cell>
          <cell r="I60">
            <v>0</v>
          </cell>
          <cell r="J60">
            <v>0</v>
          </cell>
          <cell r="K60">
            <v>0</v>
          </cell>
          <cell r="L60">
            <v>0</v>
          </cell>
          <cell r="M60">
            <v>0</v>
          </cell>
          <cell r="R60">
            <v>0</v>
          </cell>
          <cell r="S60">
            <v>0</v>
          </cell>
          <cell r="T60">
            <v>0</v>
          </cell>
          <cell r="U60">
            <v>0</v>
          </cell>
          <cell r="V60">
            <v>0</v>
          </cell>
          <cell r="W60">
            <v>0</v>
          </cell>
          <cell r="X60">
            <v>8045913518.3000002</v>
          </cell>
          <cell r="AK60">
            <v>8045913518.3000002</v>
          </cell>
          <cell r="AX60">
            <v>8045913518.3000002</v>
          </cell>
          <cell r="BK60">
            <v>8045913518.3000002</v>
          </cell>
          <cell r="CB60">
            <v>0</v>
          </cell>
        </row>
        <row r="61">
          <cell r="H61">
            <v>0</v>
          </cell>
          <cell r="I61">
            <v>1681776695.2</v>
          </cell>
          <cell r="J61">
            <v>0</v>
          </cell>
          <cell r="K61">
            <v>0</v>
          </cell>
          <cell r="L61">
            <v>0</v>
          </cell>
          <cell r="M61">
            <v>0</v>
          </cell>
          <cell r="R61">
            <v>0</v>
          </cell>
          <cell r="S61">
            <v>0</v>
          </cell>
          <cell r="T61">
            <v>0</v>
          </cell>
          <cell r="U61">
            <v>0</v>
          </cell>
          <cell r="V61">
            <v>0</v>
          </cell>
          <cell r="W61">
            <v>0</v>
          </cell>
          <cell r="X61">
            <v>420444173.80000001</v>
          </cell>
          <cell r="AK61">
            <v>420444173.80000001</v>
          </cell>
          <cell r="AX61">
            <v>420444173.80000001</v>
          </cell>
          <cell r="BK61">
            <v>420444173.80000001</v>
          </cell>
          <cell r="CB61">
            <v>0</v>
          </cell>
        </row>
        <row r="62">
          <cell r="H62">
            <v>0</v>
          </cell>
          <cell r="I62">
            <v>112131553133</v>
          </cell>
          <cell r="J62">
            <v>0</v>
          </cell>
          <cell r="K62">
            <v>0</v>
          </cell>
          <cell r="L62">
            <v>0</v>
          </cell>
          <cell r="M62">
            <v>0</v>
          </cell>
          <cell r="R62">
            <v>0</v>
          </cell>
          <cell r="S62">
            <v>0</v>
          </cell>
          <cell r="T62">
            <v>0</v>
          </cell>
          <cell r="U62">
            <v>0</v>
          </cell>
          <cell r="V62">
            <v>0</v>
          </cell>
          <cell r="W62">
            <v>0</v>
          </cell>
          <cell r="X62">
            <v>28032888283.25</v>
          </cell>
          <cell r="AK62">
            <v>28032888283.25</v>
          </cell>
          <cell r="AX62">
            <v>28032888283.25</v>
          </cell>
          <cell r="BK62">
            <v>28032888283.25</v>
          </cell>
          <cell r="CB62">
            <v>0</v>
          </cell>
        </row>
        <row r="63">
          <cell r="H63">
            <v>0</v>
          </cell>
          <cell r="I63">
            <v>22472228449</v>
          </cell>
          <cell r="J63">
            <v>0</v>
          </cell>
          <cell r="K63">
            <v>0</v>
          </cell>
          <cell r="L63">
            <v>0</v>
          </cell>
          <cell r="M63">
            <v>0</v>
          </cell>
          <cell r="R63">
            <v>0</v>
          </cell>
          <cell r="S63">
            <v>0</v>
          </cell>
          <cell r="T63">
            <v>0</v>
          </cell>
          <cell r="U63">
            <v>0</v>
          </cell>
          <cell r="V63">
            <v>0</v>
          </cell>
          <cell r="W63">
            <v>0</v>
          </cell>
          <cell r="X63">
            <v>5618057112.25</v>
          </cell>
          <cell r="AK63">
            <v>5618057112.25</v>
          </cell>
          <cell r="AX63">
            <v>5618057112.25</v>
          </cell>
          <cell r="BK63">
            <v>5618057112.25</v>
          </cell>
          <cell r="CB63">
            <v>0</v>
          </cell>
        </row>
        <row r="64">
          <cell r="H64">
            <v>0</v>
          </cell>
          <cell r="I64">
            <v>12849513885.800001</v>
          </cell>
          <cell r="J64">
            <v>0</v>
          </cell>
          <cell r="K64">
            <v>0</v>
          </cell>
          <cell r="L64">
            <v>0</v>
          </cell>
          <cell r="M64">
            <v>0</v>
          </cell>
          <cell r="R64">
            <v>0</v>
          </cell>
          <cell r="S64">
            <v>0</v>
          </cell>
          <cell r="T64">
            <v>0</v>
          </cell>
          <cell r="U64">
            <v>0</v>
          </cell>
          <cell r="V64">
            <v>0</v>
          </cell>
          <cell r="W64">
            <v>0</v>
          </cell>
          <cell r="X64">
            <v>3212378471.4500003</v>
          </cell>
          <cell r="AK64">
            <v>3212378471.4500003</v>
          </cell>
          <cell r="AX64">
            <v>3212378471.4500003</v>
          </cell>
          <cell r="BK64">
            <v>3212378471.4500003</v>
          </cell>
          <cell r="CB64">
            <v>0</v>
          </cell>
        </row>
        <row r="65">
          <cell r="H65">
            <v>230423034699.28</v>
          </cell>
          <cell r="I65">
            <v>5814576435</v>
          </cell>
          <cell r="J65">
            <v>163708200</v>
          </cell>
          <cell r="K65">
            <v>0</v>
          </cell>
          <cell r="L65">
            <v>0</v>
          </cell>
          <cell r="M65">
            <v>0</v>
          </cell>
          <cell r="R65">
            <v>0</v>
          </cell>
          <cell r="S65">
            <v>0</v>
          </cell>
          <cell r="T65">
            <v>0</v>
          </cell>
          <cell r="U65">
            <v>0</v>
          </cell>
          <cell r="V65">
            <v>0</v>
          </cell>
          <cell r="W65">
            <v>0</v>
          </cell>
          <cell r="X65">
            <v>59100329833.57</v>
          </cell>
          <cell r="AK65">
            <v>59100329833.57</v>
          </cell>
          <cell r="AX65">
            <v>59100329833.57</v>
          </cell>
          <cell r="BK65">
            <v>59100329833.57</v>
          </cell>
          <cell r="CB65">
            <v>0</v>
          </cell>
        </row>
        <row r="66">
          <cell r="H66">
            <v>52190683495.599998</v>
          </cell>
          <cell r="I66">
            <v>0</v>
          </cell>
          <cell r="J66">
            <v>163708206</v>
          </cell>
          <cell r="K66">
            <v>0</v>
          </cell>
          <cell r="L66">
            <v>0</v>
          </cell>
          <cell r="M66">
            <v>0</v>
          </cell>
          <cell r="R66">
            <v>0</v>
          </cell>
          <cell r="S66">
            <v>0</v>
          </cell>
          <cell r="T66">
            <v>0</v>
          </cell>
          <cell r="U66">
            <v>0</v>
          </cell>
          <cell r="V66">
            <v>0</v>
          </cell>
          <cell r="W66">
            <v>0</v>
          </cell>
          <cell r="X66">
            <v>13088597925.4</v>
          </cell>
          <cell r="AK66">
            <v>13088597925.4</v>
          </cell>
          <cell r="AX66">
            <v>13088597925.4</v>
          </cell>
          <cell r="BK66">
            <v>13088597925.4</v>
          </cell>
          <cell r="CB66">
            <v>0</v>
          </cell>
        </row>
        <row r="67">
          <cell r="H67">
            <v>1568271017</v>
          </cell>
          <cell r="I67">
            <v>0</v>
          </cell>
          <cell r="J67">
            <v>0</v>
          </cell>
          <cell r="K67">
            <v>0</v>
          </cell>
          <cell r="L67">
            <v>0</v>
          </cell>
          <cell r="M67">
            <v>0</v>
          </cell>
          <cell r="R67">
            <v>0</v>
          </cell>
          <cell r="S67">
            <v>0</v>
          </cell>
          <cell r="T67">
            <v>0</v>
          </cell>
          <cell r="U67">
            <v>0</v>
          </cell>
          <cell r="V67">
            <v>0</v>
          </cell>
          <cell r="W67">
            <v>0</v>
          </cell>
          <cell r="X67">
            <v>392067754.25</v>
          </cell>
          <cell r="AK67">
            <v>392067754.25</v>
          </cell>
          <cell r="AX67">
            <v>392067754.25</v>
          </cell>
          <cell r="BK67">
            <v>392067754.25</v>
          </cell>
          <cell r="CB67">
            <v>0</v>
          </cell>
        </row>
        <row r="68">
          <cell r="H68">
            <v>0</v>
          </cell>
          <cell r="I68">
            <v>1118818400</v>
          </cell>
          <cell r="J68">
            <v>0</v>
          </cell>
          <cell r="K68">
            <v>0</v>
          </cell>
          <cell r="L68">
            <v>0</v>
          </cell>
          <cell r="M68">
            <v>0</v>
          </cell>
          <cell r="R68">
            <v>0</v>
          </cell>
          <cell r="S68">
            <v>0</v>
          </cell>
          <cell r="T68">
            <v>0</v>
          </cell>
          <cell r="U68">
            <v>0</v>
          </cell>
          <cell r="V68">
            <v>0</v>
          </cell>
          <cell r="W68">
            <v>0</v>
          </cell>
          <cell r="X68">
            <v>279704600</v>
          </cell>
          <cell r="AK68">
            <v>279704600</v>
          </cell>
          <cell r="AX68">
            <v>279704600</v>
          </cell>
          <cell r="BK68">
            <v>279704600</v>
          </cell>
          <cell r="CB68">
            <v>0</v>
          </cell>
        </row>
        <row r="69">
          <cell r="H69">
            <v>779542430</v>
          </cell>
          <cell r="I69">
            <v>0</v>
          </cell>
          <cell r="J69">
            <v>0</v>
          </cell>
          <cell r="K69">
            <v>0</v>
          </cell>
          <cell r="L69">
            <v>0</v>
          </cell>
          <cell r="M69">
            <v>0</v>
          </cell>
          <cell r="R69">
            <v>0</v>
          </cell>
          <cell r="S69">
            <v>0</v>
          </cell>
          <cell r="T69">
            <v>0</v>
          </cell>
          <cell r="U69">
            <v>0</v>
          </cell>
          <cell r="V69">
            <v>0</v>
          </cell>
          <cell r="W69">
            <v>0</v>
          </cell>
          <cell r="X69">
            <v>194885607.5</v>
          </cell>
          <cell r="AK69">
            <v>194885607.5</v>
          </cell>
          <cell r="AX69">
            <v>194885607.5</v>
          </cell>
          <cell r="BK69">
            <v>194885607.5</v>
          </cell>
          <cell r="CB69">
            <v>0</v>
          </cell>
        </row>
        <row r="70">
          <cell r="H70">
            <v>17757875246.8964</v>
          </cell>
          <cell r="I70">
            <v>705027305.09260011</v>
          </cell>
          <cell r="J70">
            <v>0</v>
          </cell>
          <cell r="K70">
            <v>0</v>
          </cell>
          <cell r="L70">
            <v>0</v>
          </cell>
          <cell r="M70">
            <v>0</v>
          </cell>
          <cell r="R70">
            <v>0</v>
          </cell>
          <cell r="S70">
            <v>0</v>
          </cell>
          <cell r="T70">
            <v>0</v>
          </cell>
          <cell r="U70">
            <v>0</v>
          </cell>
          <cell r="V70">
            <v>0</v>
          </cell>
          <cell r="W70">
            <v>0</v>
          </cell>
          <cell r="X70">
            <v>4615725637.9972506</v>
          </cell>
          <cell r="AK70">
            <v>4615725637.9972506</v>
          </cell>
          <cell r="AX70">
            <v>4615725637.9972506</v>
          </cell>
          <cell r="BK70">
            <v>4615725637.9972506</v>
          </cell>
          <cell r="CB70">
            <v>0</v>
          </cell>
        </row>
        <row r="71">
          <cell r="H71">
            <v>3349988039.02</v>
          </cell>
          <cell r="I71">
            <v>350000000</v>
          </cell>
          <cell r="J71">
            <v>0</v>
          </cell>
          <cell r="K71">
            <v>0</v>
          </cell>
          <cell r="L71">
            <v>0</v>
          </cell>
          <cell r="M71">
            <v>0</v>
          </cell>
          <cell r="R71">
            <v>0</v>
          </cell>
          <cell r="S71">
            <v>0</v>
          </cell>
          <cell r="T71">
            <v>0</v>
          </cell>
          <cell r="U71">
            <v>0</v>
          </cell>
          <cell r="V71">
            <v>0</v>
          </cell>
          <cell r="W71">
            <v>0</v>
          </cell>
          <cell r="X71">
            <v>924997009.755</v>
          </cell>
          <cell r="AK71">
            <v>924997009.755</v>
          </cell>
          <cell r="AX71">
            <v>924997009.755</v>
          </cell>
          <cell r="BK71">
            <v>924997009.755</v>
          </cell>
          <cell r="CB71">
            <v>0</v>
          </cell>
        </row>
        <row r="72">
          <cell r="H72">
            <v>2714602636.04</v>
          </cell>
          <cell r="I72">
            <v>0</v>
          </cell>
          <cell r="J72">
            <v>0</v>
          </cell>
          <cell r="K72">
            <v>0</v>
          </cell>
          <cell r="L72">
            <v>0</v>
          </cell>
          <cell r="M72">
            <v>0</v>
          </cell>
          <cell r="R72">
            <v>0</v>
          </cell>
          <cell r="S72">
            <v>0</v>
          </cell>
          <cell r="T72">
            <v>0</v>
          </cell>
          <cell r="U72">
            <v>0</v>
          </cell>
          <cell r="V72">
            <v>0</v>
          </cell>
          <cell r="W72">
            <v>0</v>
          </cell>
          <cell r="X72">
            <v>678650659.00999999</v>
          </cell>
          <cell r="AK72">
            <v>678650659.00999999</v>
          </cell>
          <cell r="AX72">
            <v>678650659.00999999</v>
          </cell>
          <cell r="BK72">
            <v>678650659.00999999</v>
          </cell>
          <cell r="CB72">
            <v>0</v>
          </cell>
        </row>
        <row r="73">
          <cell r="H73">
            <v>0</v>
          </cell>
          <cell r="I73">
            <v>2184900000.0900002</v>
          </cell>
          <cell r="J73">
            <v>0</v>
          </cell>
          <cell r="K73">
            <v>0</v>
          </cell>
          <cell r="L73">
            <v>0</v>
          </cell>
          <cell r="M73">
            <v>0</v>
          </cell>
          <cell r="R73">
            <v>0</v>
          </cell>
          <cell r="S73">
            <v>0</v>
          </cell>
          <cell r="T73">
            <v>0</v>
          </cell>
          <cell r="U73">
            <v>0</v>
          </cell>
          <cell r="V73">
            <v>0</v>
          </cell>
          <cell r="W73">
            <v>0</v>
          </cell>
          <cell r="X73">
            <v>546225000.02250004</v>
          </cell>
          <cell r="AK73">
            <v>546225000.02250004</v>
          </cell>
          <cell r="AX73">
            <v>546225000.02250004</v>
          </cell>
          <cell r="BK73">
            <v>546225000.02250004</v>
          </cell>
          <cell r="CB73">
            <v>0</v>
          </cell>
        </row>
        <row r="74">
          <cell r="H74">
            <v>0</v>
          </cell>
          <cell r="I74">
            <v>6549591800</v>
          </cell>
          <cell r="J74">
            <v>0</v>
          </cell>
          <cell r="K74">
            <v>0</v>
          </cell>
          <cell r="L74">
            <v>0</v>
          </cell>
          <cell r="M74">
            <v>0</v>
          </cell>
          <cell r="R74">
            <v>0</v>
          </cell>
          <cell r="S74">
            <v>0</v>
          </cell>
          <cell r="T74">
            <v>0</v>
          </cell>
          <cell r="U74">
            <v>0</v>
          </cell>
          <cell r="V74">
            <v>0</v>
          </cell>
          <cell r="W74">
            <v>0</v>
          </cell>
          <cell r="X74">
            <v>1637397950</v>
          </cell>
          <cell r="AK74">
            <v>1637397950</v>
          </cell>
          <cell r="AX74">
            <v>1637397950</v>
          </cell>
          <cell r="BK74">
            <v>1637397950</v>
          </cell>
          <cell r="CB74">
            <v>0</v>
          </cell>
        </row>
        <row r="75">
          <cell r="H75">
            <v>0</v>
          </cell>
          <cell r="I75">
            <v>6355699000</v>
          </cell>
          <cell r="J75">
            <v>0</v>
          </cell>
          <cell r="K75">
            <v>0</v>
          </cell>
          <cell r="L75">
            <v>0</v>
          </cell>
          <cell r="M75">
            <v>0</v>
          </cell>
          <cell r="R75">
            <v>0</v>
          </cell>
          <cell r="S75">
            <v>0</v>
          </cell>
          <cell r="T75">
            <v>0</v>
          </cell>
          <cell r="U75">
            <v>0</v>
          </cell>
          <cell r="V75">
            <v>0</v>
          </cell>
          <cell r="W75">
            <v>0</v>
          </cell>
          <cell r="X75">
            <v>1588924750</v>
          </cell>
          <cell r="AK75">
            <v>1588924750</v>
          </cell>
          <cell r="AX75">
            <v>1588924750</v>
          </cell>
          <cell r="BK75">
            <v>1588924750</v>
          </cell>
          <cell r="CB75">
            <v>0</v>
          </cell>
        </row>
        <row r="76">
          <cell r="H76">
            <v>327510526.23983598</v>
          </cell>
          <cell r="I76">
            <v>38000000.002000198</v>
          </cell>
          <cell r="J76">
            <v>0</v>
          </cell>
          <cell r="K76">
            <v>0</v>
          </cell>
          <cell r="L76">
            <v>0</v>
          </cell>
          <cell r="M76">
            <v>0</v>
          </cell>
          <cell r="R76">
            <v>0</v>
          </cell>
          <cell r="S76">
            <v>0</v>
          </cell>
          <cell r="T76">
            <v>0</v>
          </cell>
          <cell r="U76">
            <v>0</v>
          </cell>
          <cell r="V76">
            <v>0</v>
          </cell>
          <cell r="W76">
            <v>0</v>
          </cell>
          <cell r="X76">
            <v>91377631.560459048</v>
          </cell>
          <cell r="AK76">
            <v>91377631.560459048</v>
          </cell>
          <cell r="AX76">
            <v>91377631.560459048</v>
          </cell>
          <cell r="BK76">
            <v>91377631.560459048</v>
          </cell>
          <cell r="CB76">
            <v>0</v>
          </cell>
        </row>
        <row r="77">
          <cell r="H77">
            <v>0</v>
          </cell>
          <cell r="I77">
            <v>5400000000</v>
          </cell>
          <cell r="J77">
            <v>0</v>
          </cell>
          <cell r="K77">
            <v>0</v>
          </cell>
          <cell r="L77">
            <v>0</v>
          </cell>
          <cell r="M77">
            <v>0</v>
          </cell>
          <cell r="R77">
            <v>0</v>
          </cell>
          <cell r="S77">
            <v>0</v>
          </cell>
          <cell r="T77">
            <v>0</v>
          </cell>
          <cell r="U77">
            <v>0</v>
          </cell>
          <cell r="V77">
            <v>0</v>
          </cell>
          <cell r="W77">
            <v>0</v>
          </cell>
          <cell r="X77">
            <v>1350000000</v>
          </cell>
          <cell r="AK77">
            <v>1350000000</v>
          </cell>
          <cell r="AX77">
            <v>1350000000</v>
          </cell>
          <cell r="BK77">
            <v>1350000000</v>
          </cell>
          <cell r="CB77">
            <v>0</v>
          </cell>
        </row>
        <row r="78">
          <cell r="H78">
            <v>11764319600</v>
          </cell>
          <cell r="I78">
            <v>0</v>
          </cell>
          <cell r="J78">
            <v>0</v>
          </cell>
          <cell r="K78">
            <v>0</v>
          </cell>
          <cell r="L78">
            <v>0</v>
          </cell>
          <cell r="M78">
            <v>0</v>
          </cell>
          <cell r="R78">
            <v>0</v>
          </cell>
          <cell r="S78">
            <v>0</v>
          </cell>
          <cell r="T78">
            <v>0</v>
          </cell>
          <cell r="U78">
            <v>0</v>
          </cell>
          <cell r="V78">
            <v>0</v>
          </cell>
          <cell r="W78">
            <v>0</v>
          </cell>
          <cell r="X78">
            <v>2941079900</v>
          </cell>
          <cell r="AK78">
            <v>2941079900</v>
          </cell>
          <cell r="AX78">
            <v>2941079900</v>
          </cell>
          <cell r="BK78">
            <v>2941079900</v>
          </cell>
          <cell r="CB78">
            <v>0</v>
          </cell>
        </row>
        <row r="79">
          <cell r="H79">
            <v>22705144756.599998</v>
          </cell>
          <cell r="I79">
            <v>0</v>
          </cell>
          <cell r="J79">
            <v>0</v>
          </cell>
          <cell r="K79">
            <v>0</v>
          </cell>
          <cell r="L79">
            <v>0</v>
          </cell>
          <cell r="M79">
            <v>0</v>
          </cell>
          <cell r="R79">
            <v>0</v>
          </cell>
          <cell r="S79">
            <v>0</v>
          </cell>
          <cell r="T79">
            <v>0</v>
          </cell>
          <cell r="U79">
            <v>0</v>
          </cell>
          <cell r="V79">
            <v>0</v>
          </cell>
          <cell r="W79">
            <v>0</v>
          </cell>
          <cell r="X79">
            <v>5676286189.1499996</v>
          </cell>
          <cell r="AK79">
            <v>5676286189.1499996</v>
          </cell>
          <cell r="AX79">
            <v>5676286189.1499996</v>
          </cell>
          <cell r="BK79">
            <v>5676286189.1499996</v>
          </cell>
          <cell r="CB79">
            <v>0</v>
          </cell>
        </row>
        <row r="80">
          <cell r="H80">
            <v>3798738364</v>
          </cell>
          <cell r="I80">
            <v>0</v>
          </cell>
          <cell r="J80">
            <v>0</v>
          </cell>
          <cell r="K80">
            <v>0</v>
          </cell>
          <cell r="L80">
            <v>0</v>
          </cell>
          <cell r="M80">
            <v>0</v>
          </cell>
          <cell r="R80">
            <v>0</v>
          </cell>
          <cell r="S80">
            <v>0</v>
          </cell>
          <cell r="T80">
            <v>0</v>
          </cell>
          <cell r="U80">
            <v>0</v>
          </cell>
          <cell r="V80">
            <v>0</v>
          </cell>
          <cell r="W80">
            <v>0</v>
          </cell>
          <cell r="X80">
            <v>949684591</v>
          </cell>
          <cell r="AK80">
            <v>949684591</v>
          </cell>
          <cell r="AX80">
            <v>949684591</v>
          </cell>
          <cell r="BK80">
            <v>949684591</v>
          </cell>
          <cell r="CB80">
            <v>0</v>
          </cell>
        </row>
        <row r="81">
          <cell r="H81">
            <v>3158269686</v>
          </cell>
          <cell r="I81">
            <v>543430314</v>
          </cell>
          <cell r="J81">
            <v>0</v>
          </cell>
          <cell r="K81">
            <v>0</v>
          </cell>
          <cell r="L81">
            <v>0</v>
          </cell>
          <cell r="M81">
            <v>0</v>
          </cell>
          <cell r="R81">
            <v>0</v>
          </cell>
          <cell r="S81">
            <v>0</v>
          </cell>
          <cell r="T81">
            <v>0</v>
          </cell>
          <cell r="U81">
            <v>0</v>
          </cell>
          <cell r="V81">
            <v>0</v>
          </cell>
          <cell r="W81">
            <v>0</v>
          </cell>
          <cell r="X81">
            <v>925425000</v>
          </cell>
          <cell r="AK81">
            <v>925425000</v>
          </cell>
          <cell r="AX81">
            <v>925425000</v>
          </cell>
          <cell r="BK81">
            <v>925425000</v>
          </cell>
          <cell r="CB81">
            <v>0</v>
          </cell>
        </row>
        <row r="82">
          <cell r="H82">
            <v>201035576</v>
          </cell>
          <cell r="I82">
            <v>1014000000</v>
          </cell>
          <cell r="J82">
            <v>0</v>
          </cell>
          <cell r="K82">
            <v>0</v>
          </cell>
          <cell r="L82">
            <v>0</v>
          </cell>
          <cell r="M82">
            <v>0</v>
          </cell>
          <cell r="R82">
            <v>0</v>
          </cell>
          <cell r="S82">
            <v>0</v>
          </cell>
          <cell r="T82">
            <v>0</v>
          </cell>
          <cell r="U82">
            <v>0</v>
          </cell>
          <cell r="V82">
            <v>0</v>
          </cell>
          <cell r="W82">
            <v>0</v>
          </cell>
          <cell r="X82">
            <v>303758894</v>
          </cell>
          <cell r="AK82">
            <v>303758894</v>
          </cell>
          <cell r="AX82">
            <v>303758894</v>
          </cell>
          <cell r="BK82">
            <v>303758894</v>
          </cell>
          <cell r="CB82">
            <v>0</v>
          </cell>
        </row>
        <row r="83">
          <cell r="H83">
            <v>3965680000</v>
          </cell>
          <cell r="I83">
            <v>0</v>
          </cell>
          <cell r="J83">
            <v>0</v>
          </cell>
          <cell r="K83">
            <v>0</v>
          </cell>
          <cell r="L83">
            <v>0</v>
          </cell>
          <cell r="M83">
            <v>0</v>
          </cell>
          <cell r="R83">
            <v>0</v>
          </cell>
          <cell r="S83">
            <v>0</v>
          </cell>
          <cell r="T83">
            <v>0</v>
          </cell>
          <cell r="U83">
            <v>0</v>
          </cell>
          <cell r="V83">
            <v>0</v>
          </cell>
          <cell r="W83">
            <v>0</v>
          </cell>
          <cell r="X83">
            <v>991420000</v>
          </cell>
          <cell r="AK83">
            <v>991420000</v>
          </cell>
          <cell r="AX83">
            <v>991420000</v>
          </cell>
          <cell r="BK83">
            <v>991420000</v>
          </cell>
          <cell r="CB83">
            <v>0</v>
          </cell>
        </row>
        <row r="84">
          <cell r="H84">
            <v>952000000</v>
          </cell>
          <cell r="I84">
            <v>0</v>
          </cell>
          <cell r="J84">
            <v>0</v>
          </cell>
          <cell r="K84">
            <v>0</v>
          </cell>
          <cell r="L84">
            <v>0</v>
          </cell>
          <cell r="M84">
            <v>0</v>
          </cell>
          <cell r="R84">
            <v>0</v>
          </cell>
          <cell r="S84">
            <v>0</v>
          </cell>
          <cell r="T84">
            <v>0</v>
          </cell>
          <cell r="U84">
            <v>0</v>
          </cell>
          <cell r="V84">
            <v>0</v>
          </cell>
          <cell r="W84">
            <v>0</v>
          </cell>
          <cell r="X84">
            <v>238000000</v>
          </cell>
          <cell r="AK84">
            <v>238000000</v>
          </cell>
          <cell r="AX84">
            <v>238000000</v>
          </cell>
          <cell r="BK84">
            <v>238000000</v>
          </cell>
          <cell r="CB84">
            <v>0</v>
          </cell>
        </row>
        <row r="85">
          <cell r="H85">
            <v>758815588</v>
          </cell>
          <cell r="I85">
            <v>0</v>
          </cell>
          <cell r="J85">
            <v>0</v>
          </cell>
          <cell r="K85">
            <v>0</v>
          </cell>
          <cell r="L85">
            <v>0</v>
          </cell>
          <cell r="M85">
            <v>0</v>
          </cell>
          <cell r="R85">
            <v>0</v>
          </cell>
          <cell r="S85">
            <v>0</v>
          </cell>
          <cell r="T85">
            <v>0</v>
          </cell>
          <cell r="U85">
            <v>0</v>
          </cell>
          <cell r="V85">
            <v>0</v>
          </cell>
          <cell r="W85">
            <v>0</v>
          </cell>
          <cell r="X85">
            <v>189703897</v>
          </cell>
          <cell r="AK85">
            <v>189703897</v>
          </cell>
          <cell r="AX85">
            <v>189703897</v>
          </cell>
          <cell r="BK85">
            <v>189703897</v>
          </cell>
          <cell r="CB85">
            <v>0</v>
          </cell>
        </row>
        <row r="86">
          <cell r="H86">
            <v>0</v>
          </cell>
          <cell r="I86">
            <v>1160400000</v>
          </cell>
          <cell r="J86">
            <v>0</v>
          </cell>
          <cell r="K86">
            <v>0</v>
          </cell>
          <cell r="L86">
            <v>0</v>
          </cell>
          <cell r="M86">
            <v>0</v>
          </cell>
          <cell r="R86">
            <v>0</v>
          </cell>
          <cell r="S86">
            <v>0</v>
          </cell>
          <cell r="T86">
            <v>0</v>
          </cell>
          <cell r="U86">
            <v>0</v>
          </cell>
          <cell r="V86">
            <v>0</v>
          </cell>
          <cell r="W86">
            <v>0</v>
          </cell>
          <cell r="X86">
            <v>290100000</v>
          </cell>
          <cell r="AK86">
            <v>290100000</v>
          </cell>
          <cell r="AX86">
            <v>290100000</v>
          </cell>
          <cell r="BK86">
            <v>290100000</v>
          </cell>
          <cell r="CB86">
            <v>0</v>
          </cell>
        </row>
        <row r="87">
          <cell r="H87">
            <v>4088311832.5553212</v>
          </cell>
          <cell r="I87">
            <v>602488167.44064212</v>
          </cell>
          <cell r="J87">
            <v>0</v>
          </cell>
          <cell r="K87">
            <v>0</v>
          </cell>
          <cell r="L87">
            <v>0</v>
          </cell>
          <cell r="M87">
            <v>0</v>
          </cell>
          <cell r="R87">
            <v>0</v>
          </cell>
          <cell r="S87">
            <v>0</v>
          </cell>
          <cell r="T87">
            <v>0</v>
          </cell>
          <cell r="U87">
            <v>0</v>
          </cell>
          <cell r="V87">
            <v>0</v>
          </cell>
          <cell r="W87">
            <v>0</v>
          </cell>
          <cell r="X87">
            <v>1172699999.9989908</v>
          </cell>
          <cell r="AK87">
            <v>1172699999.9989908</v>
          </cell>
          <cell r="AX87">
            <v>1172699999.9989908</v>
          </cell>
          <cell r="BK87">
            <v>1172699999.9989908</v>
          </cell>
          <cell r="CB87">
            <v>0</v>
          </cell>
        </row>
        <row r="88">
          <cell r="H88">
            <v>1863247706.4396338</v>
          </cell>
          <cell r="I88">
            <v>1521652293.5603671</v>
          </cell>
          <cell r="J88">
            <v>0</v>
          </cell>
          <cell r="K88">
            <v>0</v>
          </cell>
          <cell r="L88">
            <v>0</v>
          </cell>
          <cell r="M88">
            <v>0</v>
          </cell>
          <cell r="R88">
            <v>0</v>
          </cell>
          <cell r="S88">
            <v>0</v>
          </cell>
          <cell r="T88">
            <v>0</v>
          </cell>
          <cell r="U88">
            <v>0</v>
          </cell>
          <cell r="V88">
            <v>0</v>
          </cell>
          <cell r="W88">
            <v>0</v>
          </cell>
          <cell r="X88">
            <v>846225000.00000024</v>
          </cell>
          <cell r="AK88">
            <v>846225000.00000024</v>
          </cell>
          <cell r="AX88">
            <v>846225000.00000024</v>
          </cell>
          <cell r="BK88">
            <v>846225000.00000024</v>
          </cell>
          <cell r="CB88">
            <v>0</v>
          </cell>
        </row>
        <row r="89">
          <cell r="H89">
            <v>3094686031.43999</v>
          </cell>
          <cell r="I89">
            <v>0</v>
          </cell>
          <cell r="J89">
            <v>0</v>
          </cell>
          <cell r="K89">
            <v>0</v>
          </cell>
          <cell r="L89">
            <v>0</v>
          </cell>
          <cell r="M89">
            <v>0</v>
          </cell>
          <cell r="R89">
            <v>0</v>
          </cell>
          <cell r="S89">
            <v>0</v>
          </cell>
          <cell r="T89">
            <v>0</v>
          </cell>
          <cell r="U89">
            <v>0</v>
          </cell>
          <cell r="V89">
            <v>0</v>
          </cell>
          <cell r="W89">
            <v>0</v>
          </cell>
          <cell r="X89">
            <v>773671507.85999751</v>
          </cell>
          <cell r="AK89">
            <v>773671507.85999751</v>
          </cell>
          <cell r="AX89">
            <v>773671507.85999751</v>
          </cell>
          <cell r="BK89">
            <v>773671507.85999751</v>
          </cell>
          <cell r="CB89">
            <v>0</v>
          </cell>
        </row>
        <row r="90">
          <cell r="H90">
            <v>3552215075</v>
          </cell>
          <cell r="I90">
            <v>0</v>
          </cell>
          <cell r="J90">
            <v>0</v>
          </cell>
          <cell r="K90">
            <v>0</v>
          </cell>
          <cell r="L90">
            <v>0</v>
          </cell>
          <cell r="M90">
            <v>0</v>
          </cell>
          <cell r="R90">
            <v>0</v>
          </cell>
          <cell r="S90">
            <v>0</v>
          </cell>
          <cell r="T90">
            <v>0</v>
          </cell>
          <cell r="U90">
            <v>0</v>
          </cell>
          <cell r="V90">
            <v>0</v>
          </cell>
          <cell r="W90">
            <v>0</v>
          </cell>
          <cell r="X90">
            <v>888053768.75</v>
          </cell>
          <cell r="AK90">
            <v>888053768.75</v>
          </cell>
          <cell r="AX90">
            <v>888053768.75</v>
          </cell>
          <cell r="BK90">
            <v>888053768.75</v>
          </cell>
          <cell r="CB90">
            <v>0</v>
          </cell>
        </row>
        <row r="91">
          <cell r="H91">
            <v>3282674203.02</v>
          </cell>
          <cell r="I91">
            <v>0</v>
          </cell>
          <cell r="J91">
            <v>0</v>
          </cell>
          <cell r="K91">
            <v>0</v>
          </cell>
          <cell r="L91">
            <v>0</v>
          </cell>
          <cell r="M91">
            <v>0</v>
          </cell>
          <cell r="R91">
            <v>0</v>
          </cell>
          <cell r="S91">
            <v>0</v>
          </cell>
          <cell r="T91">
            <v>0</v>
          </cell>
          <cell r="U91">
            <v>0</v>
          </cell>
          <cell r="V91">
            <v>0</v>
          </cell>
          <cell r="W91">
            <v>0</v>
          </cell>
          <cell r="X91">
            <v>820668550.755</v>
          </cell>
          <cell r="AK91">
            <v>820668550.755</v>
          </cell>
          <cell r="AX91">
            <v>820668550.755</v>
          </cell>
          <cell r="BK91">
            <v>820668550.755</v>
          </cell>
          <cell r="CB91">
            <v>0</v>
          </cell>
        </row>
        <row r="92">
          <cell r="H92">
            <v>4138988105</v>
          </cell>
          <cell r="I92">
            <v>0</v>
          </cell>
          <cell r="J92">
            <v>0</v>
          </cell>
          <cell r="K92">
            <v>0</v>
          </cell>
          <cell r="L92">
            <v>0</v>
          </cell>
          <cell r="M92">
            <v>0</v>
          </cell>
          <cell r="R92">
            <v>0</v>
          </cell>
          <cell r="S92">
            <v>0</v>
          </cell>
          <cell r="T92">
            <v>0</v>
          </cell>
          <cell r="U92">
            <v>0</v>
          </cell>
          <cell r="V92">
            <v>0</v>
          </cell>
          <cell r="W92">
            <v>0</v>
          </cell>
          <cell r="X92">
            <v>1034747026.25</v>
          </cell>
          <cell r="AK92">
            <v>1034747026.25</v>
          </cell>
          <cell r="AX92">
            <v>1034747026.25</v>
          </cell>
          <cell r="BK92">
            <v>1034747026.25</v>
          </cell>
          <cell r="CB92">
            <v>0</v>
          </cell>
        </row>
        <row r="93">
          <cell r="H93">
            <v>4578054306.8800001</v>
          </cell>
          <cell r="I93">
            <v>0</v>
          </cell>
          <cell r="J93">
            <v>0</v>
          </cell>
          <cell r="K93">
            <v>0</v>
          </cell>
          <cell r="L93">
            <v>0</v>
          </cell>
          <cell r="M93">
            <v>0</v>
          </cell>
          <cell r="R93">
            <v>0</v>
          </cell>
          <cell r="S93">
            <v>0</v>
          </cell>
          <cell r="T93">
            <v>0</v>
          </cell>
          <cell r="U93">
            <v>0</v>
          </cell>
          <cell r="V93">
            <v>0</v>
          </cell>
          <cell r="W93">
            <v>0</v>
          </cell>
          <cell r="X93">
            <v>1144513576.72</v>
          </cell>
          <cell r="AK93">
            <v>1144513576.72</v>
          </cell>
          <cell r="AX93">
            <v>1144513576.72</v>
          </cell>
          <cell r="BK93">
            <v>1144513576.72</v>
          </cell>
          <cell r="CB93">
            <v>0</v>
          </cell>
        </row>
        <row r="94">
          <cell r="H94">
            <v>2718513365.8600001</v>
          </cell>
          <cell r="I94">
            <v>0</v>
          </cell>
          <cell r="J94">
            <v>0</v>
          </cell>
          <cell r="K94">
            <v>0</v>
          </cell>
          <cell r="L94">
            <v>0</v>
          </cell>
          <cell r="M94">
            <v>0</v>
          </cell>
          <cell r="R94">
            <v>0</v>
          </cell>
          <cell r="S94">
            <v>0</v>
          </cell>
          <cell r="T94">
            <v>0</v>
          </cell>
          <cell r="U94">
            <v>0</v>
          </cell>
          <cell r="V94">
            <v>0</v>
          </cell>
          <cell r="W94">
            <v>0</v>
          </cell>
          <cell r="X94">
            <v>679628341.46500003</v>
          </cell>
          <cell r="AK94">
            <v>679628341.46500003</v>
          </cell>
          <cell r="AX94">
            <v>679628341.46500003</v>
          </cell>
          <cell r="BK94">
            <v>679628341.46500003</v>
          </cell>
          <cell r="CB94">
            <v>0</v>
          </cell>
        </row>
        <row r="95">
          <cell r="H95">
            <v>2824865218.4399996</v>
          </cell>
          <cell r="I95">
            <v>0</v>
          </cell>
          <cell r="J95">
            <v>0</v>
          </cell>
          <cell r="K95">
            <v>0</v>
          </cell>
          <cell r="L95">
            <v>0</v>
          </cell>
          <cell r="M95">
            <v>0</v>
          </cell>
          <cell r="R95">
            <v>0</v>
          </cell>
          <cell r="S95">
            <v>0</v>
          </cell>
          <cell r="T95">
            <v>0</v>
          </cell>
          <cell r="U95">
            <v>0</v>
          </cell>
          <cell r="V95">
            <v>0</v>
          </cell>
          <cell r="W95">
            <v>0</v>
          </cell>
          <cell r="X95">
            <v>706216304.6099999</v>
          </cell>
          <cell r="AK95">
            <v>706216304.6099999</v>
          </cell>
          <cell r="AX95">
            <v>706216304.6099999</v>
          </cell>
          <cell r="BK95">
            <v>706216304.6099999</v>
          </cell>
          <cell r="CB95">
            <v>0</v>
          </cell>
        </row>
        <row r="96">
          <cell r="H96">
            <v>3945850744</v>
          </cell>
          <cell r="I96">
            <v>0</v>
          </cell>
          <cell r="J96">
            <v>0</v>
          </cell>
          <cell r="K96">
            <v>0</v>
          </cell>
          <cell r="L96">
            <v>0</v>
          </cell>
          <cell r="M96">
            <v>0</v>
          </cell>
          <cell r="R96">
            <v>0</v>
          </cell>
          <cell r="S96">
            <v>0</v>
          </cell>
          <cell r="T96">
            <v>0</v>
          </cell>
          <cell r="U96">
            <v>0</v>
          </cell>
          <cell r="V96">
            <v>0</v>
          </cell>
          <cell r="W96">
            <v>0</v>
          </cell>
          <cell r="X96">
            <v>986462686</v>
          </cell>
          <cell r="AK96">
            <v>986462686</v>
          </cell>
          <cell r="AX96">
            <v>986462686</v>
          </cell>
          <cell r="BK96">
            <v>986462686</v>
          </cell>
          <cell r="CB96">
            <v>0</v>
          </cell>
        </row>
        <row r="97">
          <cell r="H97">
            <v>2790615576</v>
          </cell>
          <cell r="I97">
            <v>0</v>
          </cell>
          <cell r="J97">
            <v>0</v>
          </cell>
          <cell r="K97">
            <v>0</v>
          </cell>
          <cell r="L97">
            <v>0</v>
          </cell>
          <cell r="M97">
            <v>0</v>
          </cell>
          <cell r="R97">
            <v>0</v>
          </cell>
          <cell r="S97">
            <v>0</v>
          </cell>
          <cell r="T97">
            <v>0</v>
          </cell>
          <cell r="U97">
            <v>0</v>
          </cell>
          <cell r="V97">
            <v>0</v>
          </cell>
          <cell r="W97">
            <v>0</v>
          </cell>
          <cell r="X97">
            <v>697653894</v>
          </cell>
          <cell r="AK97">
            <v>697653894</v>
          </cell>
          <cell r="AX97">
            <v>697653894</v>
          </cell>
          <cell r="BK97">
            <v>697653894</v>
          </cell>
          <cell r="CB97">
            <v>0</v>
          </cell>
        </row>
        <row r="98">
          <cell r="H98">
            <v>3227162022</v>
          </cell>
          <cell r="I98">
            <v>0</v>
          </cell>
          <cell r="J98">
            <v>0</v>
          </cell>
          <cell r="K98">
            <v>0</v>
          </cell>
          <cell r="L98">
            <v>0</v>
          </cell>
          <cell r="M98">
            <v>0</v>
          </cell>
          <cell r="R98">
            <v>0</v>
          </cell>
          <cell r="S98">
            <v>0</v>
          </cell>
          <cell r="T98">
            <v>0</v>
          </cell>
          <cell r="U98">
            <v>0</v>
          </cell>
          <cell r="V98">
            <v>0</v>
          </cell>
          <cell r="W98">
            <v>0</v>
          </cell>
          <cell r="X98">
            <v>806790505.5</v>
          </cell>
          <cell r="AK98">
            <v>806790505.5</v>
          </cell>
          <cell r="AX98">
            <v>806790505.5</v>
          </cell>
          <cell r="BK98">
            <v>806790505.5</v>
          </cell>
          <cell r="CB98">
            <v>0</v>
          </cell>
        </row>
        <row r="99">
          <cell r="H99">
            <v>3399398031</v>
          </cell>
          <cell r="I99">
            <v>0</v>
          </cell>
          <cell r="J99">
            <v>0</v>
          </cell>
          <cell r="K99">
            <v>0</v>
          </cell>
          <cell r="L99">
            <v>0</v>
          </cell>
          <cell r="M99">
            <v>0</v>
          </cell>
          <cell r="R99">
            <v>0</v>
          </cell>
          <cell r="S99">
            <v>0</v>
          </cell>
          <cell r="T99">
            <v>0</v>
          </cell>
          <cell r="U99">
            <v>0</v>
          </cell>
          <cell r="V99">
            <v>0</v>
          </cell>
          <cell r="W99">
            <v>0</v>
          </cell>
          <cell r="X99">
            <v>849849507.75</v>
          </cell>
          <cell r="AK99">
            <v>849849507.75</v>
          </cell>
          <cell r="AX99">
            <v>849849507.75</v>
          </cell>
          <cell r="BK99">
            <v>849849507.75</v>
          </cell>
          <cell r="CB99">
            <v>0</v>
          </cell>
        </row>
        <row r="100">
          <cell r="H100">
            <v>3438719012.04</v>
          </cell>
          <cell r="I100">
            <v>0</v>
          </cell>
          <cell r="J100">
            <v>0</v>
          </cell>
          <cell r="K100">
            <v>0</v>
          </cell>
          <cell r="L100">
            <v>0</v>
          </cell>
          <cell r="M100">
            <v>0</v>
          </cell>
          <cell r="R100">
            <v>0</v>
          </cell>
          <cell r="S100">
            <v>0</v>
          </cell>
          <cell r="T100">
            <v>0</v>
          </cell>
          <cell r="U100">
            <v>0</v>
          </cell>
          <cell r="V100">
            <v>0</v>
          </cell>
          <cell r="W100">
            <v>0</v>
          </cell>
          <cell r="X100">
            <v>859679753.00999999</v>
          </cell>
          <cell r="AK100">
            <v>859679753.00999999</v>
          </cell>
          <cell r="AX100">
            <v>859679753.00999999</v>
          </cell>
          <cell r="BK100">
            <v>859679753.00999999</v>
          </cell>
          <cell r="CB100">
            <v>0</v>
          </cell>
        </row>
        <row r="101">
          <cell r="H101">
            <v>2827342327.8000002</v>
          </cell>
          <cell r="I101">
            <v>0</v>
          </cell>
          <cell r="J101">
            <v>0</v>
          </cell>
          <cell r="K101">
            <v>0</v>
          </cell>
          <cell r="L101">
            <v>0</v>
          </cell>
          <cell r="M101">
            <v>0</v>
          </cell>
          <cell r="R101">
            <v>0</v>
          </cell>
          <cell r="S101">
            <v>0</v>
          </cell>
          <cell r="T101">
            <v>0</v>
          </cell>
          <cell r="U101">
            <v>0</v>
          </cell>
          <cell r="V101">
            <v>0</v>
          </cell>
          <cell r="W101">
            <v>0</v>
          </cell>
          <cell r="X101">
            <v>706835581.95000005</v>
          </cell>
          <cell r="AK101">
            <v>706835581.95000005</v>
          </cell>
          <cell r="AX101">
            <v>706835581.95000005</v>
          </cell>
          <cell r="BK101">
            <v>706835581.95000005</v>
          </cell>
          <cell r="CB101">
            <v>0</v>
          </cell>
        </row>
        <row r="102">
          <cell r="H102">
            <v>4246452193</v>
          </cell>
          <cell r="I102">
            <v>0</v>
          </cell>
          <cell r="J102">
            <v>0</v>
          </cell>
          <cell r="K102">
            <v>0</v>
          </cell>
          <cell r="L102">
            <v>0</v>
          </cell>
          <cell r="M102">
            <v>0</v>
          </cell>
          <cell r="R102">
            <v>0</v>
          </cell>
          <cell r="S102">
            <v>0</v>
          </cell>
          <cell r="T102">
            <v>0</v>
          </cell>
          <cell r="U102">
            <v>0</v>
          </cell>
          <cell r="V102">
            <v>0</v>
          </cell>
          <cell r="W102">
            <v>0</v>
          </cell>
          <cell r="X102">
            <v>1061613048.25</v>
          </cell>
          <cell r="AK102">
            <v>1061613048.25</v>
          </cell>
          <cell r="AX102">
            <v>1061613048.25</v>
          </cell>
          <cell r="BK102">
            <v>1061613048.25</v>
          </cell>
          <cell r="CB102">
            <v>0</v>
          </cell>
        </row>
        <row r="103">
          <cell r="H103">
            <v>0</v>
          </cell>
          <cell r="I103">
            <v>0</v>
          </cell>
          <cell r="J103">
            <v>0</v>
          </cell>
          <cell r="K103">
            <v>1951317368</v>
          </cell>
          <cell r="L103">
            <v>0</v>
          </cell>
          <cell r="M103">
            <v>0</v>
          </cell>
          <cell r="R103">
            <v>0</v>
          </cell>
          <cell r="S103">
            <v>0</v>
          </cell>
          <cell r="T103">
            <v>0</v>
          </cell>
          <cell r="U103">
            <v>0</v>
          </cell>
          <cell r="V103">
            <v>0</v>
          </cell>
          <cell r="W103">
            <v>0</v>
          </cell>
          <cell r="X103">
            <v>487829342</v>
          </cell>
          <cell r="AK103">
            <v>487829342</v>
          </cell>
          <cell r="AX103">
            <v>487829342</v>
          </cell>
          <cell r="BK103">
            <v>487829342</v>
          </cell>
          <cell r="CB103">
            <v>0</v>
          </cell>
        </row>
        <row r="104">
          <cell r="H104">
            <v>0</v>
          </cell>
          <cell r="I104">
            <v>0</v>
          </cell>
          <cell r="J104">
            <v>0</v>
          </cell>
          <cell r="K104">
            <v>1299723224</v>
          </cell>
          <cell r="L104">
            <v>0</v>
          </cell>
          <cell r="M104">
            <v>0</v>
          </cell>
          <cell r="R104">
            <v>0</v>
          </cell>
          <cell r="S104">
            <v>0</v>
          </cell>
          <cell r="T104">
            <v>0</v>
          </cell>
          <cell r="U104">
            <v>0</v>
          </cell>
          <cell r="V104">
            <v>0</v>
          </cell>
          <cell r="W104">
            <v>0</v>
          </cell>
          <cell r="X104">
            <v>324930806</v>
          </cell>
          <cell r="AK104">
            <v>324930806</v>
          </cell>
          <cell r="AX104">
            <v>324930806</v>
          </cell>
          <cell r="BK104">
            <v>324930806</v>
          </cell>
          <cell r="CB104">
            <v>0</v>
          </cell>
        </row>
        <row r="105">
          <cell r="H105">
            <v>0</v>
          </cell>
          <cell r="I105">
            <v>0</v>
          </cell>
          <cell r="J105">
            <v>0</v>
          </cell>
          <cell r="K105">
            <v>971934797</v>
          </cell>
          <cell r="L105">
            <v>0</v>
          </cell>
          <cell r="M105">
            <v>0</v>
          </cell>
          <cell r="R105">
            <v>0</v>
          </cell>
          <cell r="S105">
            <v>0</v>
          </cell>
          <cell r="T105">
            <v>0</v>
          </cell>
          <cell r="U105">
            <v>0</v>
          </cell>
          <cell r="V105">
            <v>0</v>
          </cell>
          <cell r="W105">
            <v>0</v>
          </cell>
          <cell r="X105">
            <v>242983699.25</v>
          </cell>
          <cell r="AK105">
            <v>242983699.25</v>
          </cell>
          <cell r="AX105">
            <v>242983699.25</v>
          </cell>
          <cell r="BK105">
            <v>242983699.25</v>
          </cell>
          <cell r="CB105">
            <v>0</v>
          </cell>
        </row>
        <row r="106">
          <cell r="H106">
            <v>0</v>
          </cell>
          <cell r="I106">
            <v>0</v>
          </cell>
          <cell r="J106">
            <v>0</v>
          </cell>
          <cell r="K106">
            <v>305552179</v>
          </cell>
          <cell r="L106">
            <v>0</v>
          </cell>
          <cell r="M106">
            <v>0</v>
          </cell>
          <cell r="R106">
            <v>0</v>
          </cell>
          <cell r="S106">
            <v>0</v>
          </cell>
          <cell r="T106">
            <v>0</v>
          </cell>
          <cell r="U106">
            <v>0</v>
          </cell>
          <cell r="V106">
            <v>0</v>
          </cell>
          <cell r="W106">
            <v>0</v>
          </cell>
          <cell r="X106">
            <v>76388044.75</v>
          </cell>
          <cell r="AK106">
            <v>76388044.75</v>
          </cell>
          <cell r="AX106">
            <v>76388044.75</v>
          </cell>
          <cell r="BK106">
            <v>76388044.75</v>
          </cell>
          <cell r="CB106">
            <v>0</v>
          </cell>
        </row>
        <row r="107">
          <cell r="H107">
            <v>0</v>
          </cell>
          <cell r="I107">
            <v>0</v>
          </cell>
          <cell r="J107">
            <v>0</v>
          </cell>
          <cell r="K107">
            <v>544097087</v>
          </cell>
          <cell r="L107">
            <v>0</v>
          </cell>
          <cell r="M107">
            <v>0</v>
          </cell>
          <cell r="R107">
            <v>0</v>
          </cell>
          <cell r="S107">
            <v>0</v>
          </cell>
          <cell r="T107">
            <v>0</v>
          </cell>
          <cell r="U107">
            <v>0</v>
          </cell>
          <cell r="V107">
            <v>0</v>
          </cell>
          <cell r="W107">
            <v>0</v>
          </cell>
          <cell r="X107">
            <v>136024271.75</v>
          </cell>
          <cell r="AK107">
            <v>136024271.75</v>
          </cell>
          <cell r="AX107">
            <v>136024271.75</v>
          </cell>
          <cell r="BK107">
            <v>136024271.75</v>
          </cell>
          <cell r="CB107">
            <v>0</v>
          </cell>
        </row>
        <row r="108">
          <cell r="H108">
            <v>0</v>
          </cell>
          <cell r="I108">
            <v>0</v>
          </cell>
          <cell r="J108">
            <v>0</v>
          </cell>
          <cell r="K108">
            <v>305936497</v>
          </cell>
          <cell r="L108">
            <v>0</v>
          </cell>
          <cell r="M108">
            <v>0</v>
          </cell>
          <cell r="R108">
            <v>0</v>
          </cell>
          <cell r="S108">
            <v>0</v>
          </cell>
          <cell r="T108">
            <v>0</v>
          </cell>
          <cell r="U108">
            <v>0</v>
          </cell>
          <cell r="V108">
            <v>0</v>
          </cell>
          <cell r="W108">
            <v>0</v>
          </cell>
          <cell r="X108">
            <v>76484124.25</v>
          </cell>
          <cell r="AK108">
            <v>76484124.25</v>
          </cell>
          <cell r="AX108">
            <v>76484124.25</v>
          </cell>
          <cell r="BK108">
            <v>76484124.25</v>
          </cell>
          <cell r="CB108">
            <v>0</v>
          </cell>
        </row>
        <row r="109">
          <cell r="H109">
            <v>0</v>
          </cell>
          <cell r="I109">
            <v>0</v>
          </cell>
          <cell r="J109">
            <v>0</v>
          </cell>
          <cell r="K109">
            <v>291663564</v>
          </cell>
          <cell r="L109">
            <v>0</v>
          </cell>
          <cell r="M109">
            <v>0</v>
          </cell>
          <cell r="R109">
            <v>0</v>
          </cell>
          <cell r="S109">
            <v>0</v>
          </cell>
          <cell r="T109">
            <v>0</v>
          </cell>
          <cell r="U109">
            <v>0</v>
          </cell>
          <cell r="V109">
            <v>0</v>
          </cell>
          <cell r="W109">
            <v>0</v>
          </cell>
          <cell r="X109">
            <v>72915891</v>
          </cell>
          <cell r="AK109">
            <v>72915891</v>
          </cell>
          <cell r="AX109">
            <v>72915891</v>
          </cell>
          <cell r="BK109">
            <v>72915891</v>
          </cell>
          <cell r="CB109">
            <v>0</v>
          </cell>
        </row>
        <row r="110">
          <cell r="H110">
            <v>0</v>
          </cell>
          <cell r="I110">
            <v>0</v>
          </cell>
          <cell r="J110">
            <v>0</v>
          </cell>
          <cell r="K110">
            <v>222440942</v>
          </cell>
          <cell r="L110">
            <v>0</v>
          </cell>
          <cell r="M110">
            <v>0</v>
          </cell>
          <cell r="R110">
            <v>0</v>
          </cell>
          <cell r="S110">
            <v>0</v>
          </cell>
          <cell r="T110">
            <v>0</v>
          </cell>
          <cell r="U110">
            <v>0</v>
          </cell>
          <cell r="V110">
            <v>0</v>
          </cell>
          <cell r="W110">
            <v>0</v>
          </cell>
          <cell r="X110">
            <v>55610235.5</v>
          </cell>
          <cell r="AK110">
            <v>55610235.5</v>
          </cell>
          <cell r="AX110">
            <v>55610235.5</v>
          </cell>
          <cell r="BK110">
            <v>55610235.5</v>
          </cell>
          <cell r="CB110">
            <v>0</v>
          </cell>
        </row>
        <row r="111">
          <cell r="H111">
            <v>0</v>
          </cell>
          <cell r="I111">
            <v>0</v>
          </cell>
          <cell r="J111">
            <v>0</v>
          </cell>
          <cell r="K111">
            <v>369896954</v>
          </cell>
          <cell r="L111">
            <v>0</v>
          </cell>
          <cell r="M111">
            <v>0</v>
          </cell>
          <cell r="R111">
            <v>0</v>
          </cell>
          <cell r="S111">
            <v>0</v>
          </cell>
          <cell r="T111">
            <v>0</v>
          </cell>
          <cell r="U111">
            <v>0</v>
          </cell>
          <cell r="V111">
            <v>0</v>
          </cell>
          <cell r="W111">
            <v>0</v>
          </cell>
          <cell r="X111">
            <v>92474238.5</v>
          </cell>
          <cell r="AK111">
            <v>92474238.5</v>
          </cell>
          <cell r="AX111">
            <v>92474238.5</v>
          </cell>
          <cell r="BK111">
            <v>92474238.5</v>
          </cell>
          <cell r="CB111">
            <v>0</v>
          </cell>
        </row>
        <row r="112">
          <cell r="H112">
            <v>0</v>
          </cell>
          <cell r="I112">
            <v>0</v>
          </cell>
          <cell r="J112">
            <v>0</v>
          </cell>
          <cell r="K112">
            <v>1214498163</v>
          </cell>
          <cell r="L112">
            <v>0</v>
          </cell>
          <cell r="M112">
            <v>0</v>
          </cell>
          <cell r="R112">
            <v>0</v>
          </cell>
          <cell r="S112">
            <v>0</v>
          </cell>
          <cell r="T112">
            <v>0</v>
          </cell>
          <cell r="U112">
            <v>0</v>
          </cell>
          <cell r="V112">
            <v>0</v>
          </cell>
          <cell r="W112">
            <v>0</v>
          </cell>
          <cell r="X112">
            <v>303624540.75</v>
          </cell>
          <cell r="AK112">
            <v>303624540.75</v>
          </cell>
          <cell r="AX112">
            <v>303624540.75</v>
          </cell>
          <cell r="BK112">
            <v>303624540.75</v>
          </cell>
          <cell r="CB112">
            <v>0</v>
          </cell>
        </row>
        <row r="113">
          <cell r="H113">
            <v>0</v>
          </cell>
          <cell r="I113">
            <v>0</v>
          </cell>
          <cell r="J113">
            <v>0</v>
          </cell>
          <cell r="K113">
            <v>308361458</v>
          </cell>
          <cell r="L113">
            <v>0</v>
          </cell>
          <cell r="M113">
            <v>0</v>
          </cell>
          <cell r="R113">
            <v>0</v>
          </cell>
          <cell r="S113">
            <v>0</v>
          </cell>
          <cell r="T113">
            <v>0</v>
          </cell>
          <cell r="U113">
            <v>0</v>
          </cell>
          <cell r="V113">
            <v>0</v>
          </cell>
          <cell r="W113">
            <v>0</v>
          </cell>
          <cell r="X113">
            <v>77090364.5</v>
          </cell>
          <cell r="AK113">
            <v>77090364.5</v>
          </cell>
          <cell r="AX113">
            <v>77090364.5</v>
          </cell>
          <cell r="BK113">
            <v>77090364.5</v>
          </cell>
          <cell r="CB113">
            <v>0</v>
          </cell>
        </row>
        <row r="114">
          <cell r="H114">
            <v>0</v>
          </cell>
          <cell r="I114">
            <v>0</v>
          </cell>
          <cell r="J114">
            <v>0</v>
          </cell>
          <cell r="K114">
            <v>388182714</v>
          </cell>
          <cell r="L114">
            <v>0</v>
          </cell>
          <cell r="M114">
            <v>0</v>
          </cell>
          <cell r="R114">
            <v>0</v>
          </cell>
          <cell r="S114">
            <v>0</v>
          </cell>
          <cell r="T114">
            <v>0</v>
          </cell>
          <cell r="U114">
            <v>0</v>
          </cell>
          <cell r="V114">
            <v>0</v>
          </cell>
          <cell r="W114">
            <v>0</v>
          </cell>
          <cell r="X114">
            <v>97045678.5</v>
          </cell>
          <cell r="AK114">
            <v>97045678.5</v>
          </cell>
          <cell r="AX114">
            <v>97045678.5</v>
          </cell>
          <cell r="BK114">
            <v>97045678.5</v>
          </cell>
          <cell r="CB114">
            <v>0</v>
          </cell>
        </row>
        <row r="115">
          <cell r="H115">
            <v>0</v>
          </cell>
          <cell r="I115">
            <v>0</v>
          </cell>
          <cell r="J115">
            <v>0</v>
          </cell>
          <cell r="K115">
            <v>395305670</v>
          </cell>
          <cell r="L115">
            <v>0</v>
          </cell>
          <cell r="M115">
            <v>0</v>
          </cell>
          <cell r="R115">
            <v>0</v>
          </cell>
          <cell r="S115">
            <v>0</v>
          </cell>
          <cell r="T115">
            <v>0</v>
          </cell>
          <cell r="U115">
            <v>0</v>
          </cell>
          <cell r="V115">
            <v>0</v>
          </cell>
          <cell r="W115">
            <v>0</v>
          </cell>
          <cell r="X115">
            <v>98826417.5</v>
          </cell>
          <cell r="AK115">
            <v>98826417.5</v>
          </cell>
          <cell r="AX115">
            <v>98826417.5</v>
          </cell>
          <cell r="BK115">
            <v>98826417.5</v>
          </cell>
          <cell r="CB115">
            <v>0</v>
          </cell>
        </row>
        <row r="116">
          <cell r="H116">
            <v>0</v>
          </cell>
          <cell r="I116">
            <v>0</v>
          </cell>
          <cell r="J116">
            <v>0</v>
          </cell>
          <cell r="K116">
            <v>1295007520</v>
          </cell>
          <cell r="L116">
            <v>0</v>
          </cell>
          <cell r="M116">
            <v>0</v>
          </cell>
          <cell r="R116">
            <v>0</v>
          </cell>
          <cell r="S116">
            <v>0</v>
          </cell>
          <cell r="T116">
            <v>0</v>
          </cell>
          <cell r="U116">
            <v>0</v>
          </cell>
          <cell r="V116">
            <v>0</v>
          </cell>
          <cell r="W116">
            <v>0</v>
          </cell>
          <cell r="X116">
            <v>323751880</v>
          </cell>
          <cell r="AK116">
            <v>323751880</v>
          </cell>
          <cell r="AX116">
            <v>323751880</v>
          </cell>
          <cell r="BK116">
            <v>323751880</v>
          </cell>
          <cell r="CB116">
            <v>0</v>
          </cell>
        </row>
        <row r="117">
          <cell r="H117">
            <v>0</v>
          </cell>
          <cell r="I117">
            <v>0</v>
          </cell>
          <cell r="J117">
            <v>0</v>
          </cell>
          <cell r="K117">
            <v>1068667400</v>
          </cell>
          <cell r="L117">
            <v>0</v>
          </cell>
          <cell r="M117">
            <v>0</v>
          </cell>
          <cell r="R117">
            <v>0</v>
          </cell>
          <cell r="S117">
            <v>0</v>
          </cell>
          <cell r="T117">
            <v>0</v>
          </cell>
          <cell r="U117">
            <v>0</v>
          </cell>
          <cell r="V117">
            <v>0</v>
          </cell>
          <cell r="W117">
            <v>0</v>
          </cell>
          <cell r="X117">
            <v>267166850</v>
          </cell>
          <cell r="AK117">
            <v>267166850</v>
          </cell>
          <cell r="AX117">
            <v>267166850</v>
          </cell>
          <cell r="BK117">
            <v>267166850</v>
          </cell>
          <cell r="CB117">
            <v>0</v>
          </cell>
        </row>
        <row r="118">
          <cell r="H118">
            <v>0</v>
          </cell>
          <cell r="I118">
            <v>0</v>
          </cell>
          <cell r="J118">
            <v>0</v>
          </cell>
          <cell r="K118">
            <v>381588166</v>
          </cell>
          <cell r="L118">
            <v>0</v>
          </cell>
          <cell r="M118">
            <v>0</v>
          </cell>
          <cell r="R118">
            <v>0</v>
          </cell>
          <cell r="S118">
            <v>0</v>
          </cell>
          <cell r="T118">
            <v>0</v>
          </cell>
          <cell r="U118">
            <v>0</v>
          </cell>
          <cell r="V118">
            <v>0</v>
          </cell>
          <cell r="W118">
            <v>0</v>
          </cell>
          <cell r="X118">
            <v>95397041.5</v>
          </cell>
          <cell r="AK118">
            <v>95397041.5</v>
          </cell>
          <cell r="AX118">
            <v>95397041.5</v>
          </cell>
          <cell r="BK118">
            <v>95397041.5</v>
          </cell>
          <cell r="CB118">
            <v>0</v>
          </cell>
        </row>
        <row r="119">
          <cell r="H119">
            <v>0</v>
          </cell>
          <cell r="I119">
            <v>0</v>
          </cell>
          <cell r="J119">
            <v>0</v>
          </cell>
          <cell r="K119">
            <v>511808738</v>
          </cell>
          <cell r="L119">
            <v>0</v>
          </cell>
          <cell r="M119">
            <v>0</v>
          </cell>
          <cell r="R119">
            <v>0</v>
          </cell>
          <cell r="S119">
            <v>0</v>
          </cell>
          <cell r="T119">
            <v>0</v>
          </cell>
          <cell r="U119">
            <v>0</v>
          </cell>
          <cell r="V119">
            <v>0</v>
          </cell>
          <cell r="W119">
            <v>0</v>
          </cell>
          <cell r="X119">
            <v>127952184.5</v>
          </cell>
          <cell r="AK119">
            <v>127952184.5</v>
          </cell>
          <cell r="AX119">
            <v>127952184.5</v>
          </cell>
          <cell r="BK119">
            <v>127952184.5</v>
          </cell>
          <cell r="CB119">
            <v>0</v>
          </cell>
        </row>
        <row r="120">
          <cell r="H120">
            <v>0</v>
          </cell>
          <cell r="I120">
            <v>0</v>
          </cell>
          <cell r="J120">
            <v>0</v>
          </cell>
          <cell r="K120">
            <v>742895394</v>
          </cell>
          <cell r="L120">
            <v>0</v>
          </cell>
          <cell r="M120">
            <v>0</v>
          </cell>
          <cell r="R120">
            <v>0</v>
          </cell>
          <cell r="S120">
            <v>0</v>
          </cell>
          <cell r="T120">
            <v>0</v>
          </cell>
          <cell r="U120">
            <v>0</v>
          </cell>
          <cell r="V120">
            <v>0</v>
          </cell>
          <cell r="W120">
            <v>0</v>
          </cell>
          <cell r="X120">
            <v>185723848.5</v>
          </cell>
          <cell r="AK120">
            <v>185723848.5</v>
          </cell>
          <cell r="AX120">
            <v>185723848.5</v>
          </cell>
          <cell r="BK120">
            <v>185723848.5</v>
          </cell>
          <cell r="CB120">
            <v>0</v>
          </cell>
        </row>
        <row r="121">
          <cell r="H121">
            <v>0</v>
          </cell>
          <cell r="I121">
            <v>0</v>
          </cell>
          <cell r="J121">
            <v>0</v>
          </cell>
          <cell r="K121">
            <v>830842800</v>
          </cell>
          <cell r="L121">
            <v>0</v>
          </cell>
          <cell r="M121">
            <v>0</v>
          </cell>
          <cell r="R121">
            <v>0</v>
          </cell>
          <cell r="S121">
            <v>0</v>
          </cell>
          <cell r="T121">
            <v>0</v>
          </cell>
          <cell r="U121">
            <v>0</v>
          </cell>
          <cell r="V121">
            <v>0</v>
          </cell>
          <cell r="W121">
            <v>0</v>
          </cell>
          <cell r="X121">
            <v>207710700</v>
          </cell>
          <cell r="AK121">
            <v>207710700</v>
          </cell>
          <cell r="AX121">
            <v>207710700</v>
          </cell>
          <cell r="BK121">
            <v>207710700</v>
          </cell>
          <cell r="CB121">
            <v>0</v>
          </cell>
        </row>
        <row r="122">
          <cell r="H122">
            <v>0</v>
          </cell>
          <cell r="I122">
            <v>0</v>
          </cell>
          <cell r="J122">
            <v>0</v>
          </cell>
          <cell r="K122">
            <v>847596800</v>
          </cell>
          <cell r="L122">
            <v>0</v>
          </cell>
          <cell r="M122">
            <v>0</v>
          </cell>
          <cell r="R122">
            <v>0</v>
          </cell>
          <cell r="S122">
            <v>0</v>
          </cell>
          <cell r="T122">
            <v>0</v>
          </cell>
          <cell r="U122">
            <v>0</v>
          </cell>
          <cell r="V122">
            <v>0</v>
          </cell>
          <cell r="W122">
            <v>0</v>
          </cell>
          <cell r="X122">
            <v>211899200</v>
          </cell>
          <cell r="AK122">
            <v>211899200</v>
          </cell>
          <cell r="AX122">
            <v>211899200</v>
          </cell>
          <cell r="BK122">
            <v>211899200</v>
          </cell>
          <cell r="CB122">
            <v>0</v>
          </cell>
        </row>
        <row r="123">
          <cell r="H123">
            <v>0</v>
          </cell>
          <cell r="I123">
            <v>0</v>
          </cell>
          <cell r="J123">
            <v>0</v>
          </cell>
          <cell r="K123">
            <v>465873282</v>
          </cell>
          <cell r="L123">
            <v>0</v>
          </cell>
          <cell r="M123">
            <v>0</v>
          </cell>
          <cell r="R123">
            <v>0</v>
          </cell>
          <cell r="S123">
            <v>0</v>
          </cell>
          <cell r="T123">
            <v>0</v>
          </cell>
          <cell r="U123">
            <v>0</v>
          </cell>
          <cell r="V123">
            <v>0</v>
          </cell>
          <cell r="W123">
            <v>0</v>
          </cell>
          <cell r="X123">
            <v>116468320.5</v>
          </cell>
          <cell r="AK123">
            <v>116468320.5</v>
          </cell>
          <cell r="AX123">
            <v>116468320.5</v>
          </cell>
          <cell r="BK123">
            <v>116468320.5</v>
          </cell>
          <cell r="CB123">
            <v>0</v>
          </cell>
        </row>
        <row r="124">
          <cell r="H124">
            <v>0</v>
          </cell>
          <cell r="I124">
            <v>0</v>
          </cell>
          <cell r="J124">
            <v>0</v>
          </cell>
          <cell r="K124">
            <v>297116710</v>
          </cell>
          <cell r="L124">
            <v>0</v>
          </cell>
          <cell r="M124">
            <v>0</v>
          </cell>
          <cell r="R124">
            <v>0</v>
          </cell>
          <cell r="S124">
            <v>0</v>
          </cell>
          <cell r="T124">
            <v>0</v>
          </cell>
          <cell r="U124">
            <v>0</v>
          </cell>
          <cell r="V124">
            <v>0</v>
          </cell>
          <cell r="W124">
            <v>0</v>
          </cell>
          <cell r="X124">
            <v>74279177.5</v>
          </cell>
          <cell r="AK124">
            <v>74279177.5</v>
          </cell>
          <cell r="AX124">
            <v>74279177.5</v>
          </cell>
          <cell r="BK124">
            <v>74279177.5</v>
          </cell>
          <cell r="CB124">
            <v>0</v>
          </cell>
        </row>
        <row r="125">
          <cell r="H125">
            <v>0</v>
          </cell>
          <cell r="I125">
            <v>0</v>
          </cell>
          <cell r="J125">
            <v>0</v>
          </cell>
          <cell r="K125">
            <v>951381400</v>
          </cell>
          <cell r="L125">
            <v>0</v>
          </cell>
          <cell r="M125">
            <v>0</v>
          </cell>
          <cell r="R125">
            <v>0</v>
          </cell>
          <cell r="S125">
            <v>0</v>
          </cell>
          <cell r="T125">
            <v>0</v>
          </cell>
          <cell r="U125">
            <v>0</v>
          </cell>
          <cell r="V125">
            <v>0</v>
          </cell>
          <cell r="W125">
            <v>0</v>
          </cell>
          <cell r="X125">
            <v>237845350</v>
          </cell>
          <cell r="AK125">
            <v>237845350</v>
          </cell>
          <cell r="AX125">
            <v>237845350</v>
          </cell>
          <cell r="BK125">
            <v>237845350</v>
          </cell>
          <cell r="CB125">
            <v>0</v>
          </cell>
        </row>
        <row r="126">
          <cell r="H126">
            <v>0</v>
          </cell>
          <cell r="I126">
            <v>0</v>
          </cell>
          <cell r="J126">
            <v>0</v>
          </cell>
          <cell r="K126">
            <v>926649370</v>
          </cell>
          <cell r="L126">
            <v>0</v>
          </cell>
          <cell r="M126">
            <v>0</v>
          </cell>
          <cell r="R126">
            <v>0</v>
          </cell>
          <cell r="S126">
            <v>0</v>
          </cell>
          <cell r="T126">
            <v>0</v>
          </cell>
          <cell r="U126">
            <v>0</v>
          </cell>
          <cell r="V126">
            <v>0</v>
          </cell>
          <cell r="W126">
            <v>0</v>
          </cell>
          <cell r="X126">
            <v>231662342.5</v>
          </cell>
          <cell r="AK126">
            <v>231662342.5</v>
          </cell>
          <cell r="AX126">
            <v>231662342.5</v>
          </cell>
          <cell r="BK126">
            <v>231662342.5</v>
          </cell>
          <cell r="CB126">
            <v>0</v>
          </cell>
        </row>
        <row r="127">
          <cell r="H127">
            <v>0</v>
          </cell>
          <cell r="I127">
            <v>0</v>
          </cell>
          <cell r="J127">
            <v>0</v>
          </cell>
          <cell r="K127">
            <v>407293700</v>
          </cell>
          <cell r="L127">
            <v>0</v>
          </cell>
          <cell r="M127">
            <v>0</v>
          </cell>
          <cell r="R127">
            <v>0</v>
          </cell>
          <cell r="S127">
            <v>0</v>
          </cell>
          <cell r="T127">
            <v>0</v>
          </cell>
          <cell r="U127">
            <v>0</v>
          </cell>
          <cell r="V127">
            <v>0</v>
          </cell>
          <cell r="W127">
            <v>0</v>
          </cell>
          <cell r="X127">
            <v>101823425</v>
          </cell>
          <cell r="AK127">
            <v>101823425</v>
          </cell>
          <cell r="AX127">
            <v>101823425</v>
          </cell>
          <cell r="BK127">
            <v>101823425</v>
          </cell>
          <cell r="CB127">
            <v>0</v>
          </cell>
        </row>
        <row r="128">
          <cell r="H128">
            <v>0</v>
          </cell>
          <cell r="I128">
            <v>0</v>
          </cell>
          <cell r="J128">
            <v>0</v>
          </cell>
          <cell r="K128">
            <v>332024173</v>
          </cell>
          <cell r="L128">
            <v>0</v>
          </cell>
          <cell r="M128">
            <v>0</v>
          </cell>
          <cell r="R128">
            <v>0</v>
          </cell>
          <cell r="S128">
            <v>0</v>
          </cell>
          <cell r="T128">
            <v>0</v>
          </cell>
          <cell r="U128">
            <v>0</v>
          </cell>
          <cell r="V128">
            <v>0</v>
          </cell>
          <cell r="W128">
            <v>0</v>
          </cell>
          <cell r="X128">
            <v>83006043.25</v>
          </cell>
          <cell r="AK128">
            <v>83006043.25</v>
          </cell>
          <cell r="AX128">
            <v>83006043.25</v>
          </cell>
          <cell r="BK128">
            <v>83006043.25</v>
          </cell>
          <cell r="CB128">
            <v>0</v>
          </cell>
        </row>
        <row r="129">
          <cell r="H129">
            <v>0</v>
          </cell>
          <cell r="I129">
            <v>0</v>
          </cell>
          <cell r="J129">
            <v>0</v>
          </cell>
          <cell r="K129">
            <v>606783496</v>
          </cell>
          <cell r="L129">
            <v>0</v>
          </cell>
          <cell r="M129">
            <v>0</v>
          </cell>
          <cell r="R129">
            <v>0</v>
          </cell>
          <cell r="S129">
            <v>0</v>
          </cell>
          <cell r="T129">
            <v>0</v>
          </cell>
          <cell r="U129">
            <v>0</v>
          </cell>
          <cell r="V129">
            <v>0</v>
          </cell>
          <cell r="W129">
            <v>0</v>
          </cell>
          <cell r="X129">
            <v>151695874</v>
          </cell>
          <cell r="AK129">
            <v>151695874</v>
          </cell>
          <cell r="AX129">
            <v>151695874</v>
          </cell>
          <cell r="BK129">
            <v>151695874</v>
          </cell>
          <cell r="CB129">
            <v>0</v>
          </cell>
        </row>
        <row r="130">
          <cell r="H130">
            <v>0</v>
          </cell>
          <cell r="I130">
            <v>0</v>
          </cell>
          <cell r="J130">
            <v>0</v>
          </cell>
          <cell r="K130">
            <v>321200000</v>
          </cell>
          <cell r="L130">
            <v>0</v>
          </cell>
          <cell r="M130">
            <v>0</v>
          </cell>
          <cell r="R130">
            <v>0</v>
          </cell>
          <cell r="S130">
            <v>0</v>
          </cell>
          <cell r="T130">
            <v>0</v>
          </cell>
          <cell r="U130">
            <v>0</v>
          </cell>
          <cell r="V130">
            <v>0</v>
          </cell>
          <cell r="W130">
            <v>0</v>
          </cell>
          <cell r="X130">
            <v>80300000</v>
          </cell>
          <cell r="AK130">
            <v>80300000</v>
          </cell>
          <cell r="AX130">
            <v>80300000</v>
          </cell>
          <cell r="BK130">
            <v>80300000</v>
          </cell>
          <cell r="CB130">
            <v>0</v>
          </cell>
        </row>
        <row r="131">
          <cell r="H131">
            <v>0</v>
          </cell>
          <cell r="I131">
            <v>0</v>
          </cell>
          <cell r="J131">
            <v>0</v>
          </cell>
          <cell r="K131">
            <v>502708800</v>
          </cell>
          <cell r="L131">
            <v>0</v>
          </cell>
          <cell r="M131">
            <v>0</v>
          </cell>
          <cell r="R131">
            <v>0</v>
          </cell>
          <cell r="S131">
            <v>0</v>
          </cell>
          <cell r="T131">
            <v>0</v>
          </cell>
          <cell r="U131">
            <v>0</v>
          </cell>
          <cell r="V131">
            <v>0</v>
          </cell>
          <cell r="W131">
            <v>0</v>
          </cell>
          <cell r="X131">
            <v>125677200</v>
          </cell>
          <cell r="AK131">
            <v>125677200</v>
          </cell>
          <cell r="AX131">
            <v>125677200</v>
          </cell>
          <cell r="BK131">
            <v>125677200</v>
          </cell>
          <cell r="CB131">
            <v>0</v>
          </cell>
        </row>
        <row r="132">
          <cell r="H132">
            <v>0</v>
          </cell>
          <cell r="I132">
            <v>0</v>
          </cell>
          <cell r="J132">
            <v>0</v>
          </cell>
          <cell r="K132">
            <v>176735528</v>
          </cell>
          <cell r="L132">
            <v>0</v>
          </cell>
          <cell r="M132">
            <v>0</v>
          </cell>
          <cell r="R132">
            <v>0</v>
          </cell>
          <cell r="S132">
            <v>0</v>
          </cell>
          <cell r="T132">
            <v>0</v>
          </cell>
          <cell r="U132">
            <v>0</v>
          </cell>
          <cell r="V132">
            <v>0</v>
          </cell>
          <cell r="W132">
            <v>0</v>
          </cell>
          <cell r="X132">
            <v>44183882</v>
          </cell>
          <cell r="AK132">
            <v>44183882</v>
          </cell>
          <cell r="AX132">
            <v>44183882</v>
          </cell>
          <cell r="BK132">
            <v>44183882</v>
          </cell>
          <cell r="CB132">
            <v>0</v>
          </cell>
        </row>
        <row r="133">
          <cell r="H133">
            <v>0</v>
          </cell>
          <cell r="I133">
            <v>0</v>
          </cell>
          <cell r="J133">
            <v>0</v>
          </cell>
          <cell r="K133">
            <v>419123898</v>
          </cell>
          <cell r="L133">
            <v>0</v>
          </cell>
          <cell r="M133">
            <v>0</v>
          </cell>
          <cell r="R133">
            <v>0</v>
          </cell>
          <cell r="S133">
            <v>0</v>
          </cell>
          <cell r="T133">
            <v>0</v>
          </cell>
          <cell r="U133">
            <v>0</v>
          </cell>
          <cell r="V133">
            <v>0</v>
          </cell>
          <cell r="W133">
            <v>0</v>
          </cell>
          <cell r="X133">
            <v>104780974.5</v>
          </cell>
          <cell r="AK133">
            <v>104780974.5</v>
          </cell>
          <cell r="AX133">
            <v>104780974.5</v>
          </cell>
          <cell r="BK133">
            <v>104780974.5</v>
          </cell>
          <cell r="CB133">
            <v>0</v>
          </cell>
        </row>
        <row r="134">
          <cell r="H134">
            <v>0</v>
          </cell>
          <cell r="I134">
            <v>0</v>
          </cell>
          <cell r="J134">
            <v>0</v>
          </cell>
          <cell r="K134">
            <v>589654094</v>
          </cell>
          <cell r="L134">
            <v>0</v>
          </cell>
          <cell r="M134">
            <v>0</v>
          </cell>
          <cell r="R134">
            <v>0</v>
          </cell>
          <cell r="S134">
            <v>0</v>
          </cell>
          <cell r="T134">
            <v>0</v>
          </cell>
          <cell r="U134">
            <v>0</v>
          </cell>
          <cell r="V134">
            <v>0</v>
          </cell>
          <cell r="W134">
            <v>0</v>
          </cell>
          <cell r="X134">
            <v>147413523.5</v>
          </cell>
          <cell r="AK134">
            <v>147413523.5</v>
          </cell>
          <cell r="AX134">
            <v>147413523.5</v>
          </cell>
          <cell r="BK134">
            <v>147413523.5</v>
          </cell>
          <cell r="CB134">
            <v>0</v>
          </cell>
        </row>
        <row r="135">
          <cell r="H135">
            <v>0</v>
          </cell>
          <cell r="I135">
            <v>0</v>
          </cell>
          <cell r="J135">
            <v>0</v>
          </cell>
          <cell r="K135">
            <v>119405764</v>
          </cell>
          <cell r="L135">
            <v>0</v>
          </cell>
          <cell r="M135">
            <v>0</v>
          </cell>
          <cell r="R135">
            <v>0</v>
          </cell>
          <cell r="S135">
            <v>0</v>
          </cell>
          <cell r="T135">
            <v>0</v>
          </cell>
          <cell r="U135">
            <v>0</v>
          </cell>
          <cell r="V135">
            <v>0</v>
          </cell>
          <cell r="W135">
            <v>0</v>
          </cell>
          <cell r="X135">
            <v>29851441</v>
          </cell>
          <cell r="AK135">
            <v>29851441</v>
          </cell>
          <cell r="AX135">
            <v>29851441</v>
          </cell>
          <cell r="BK135">
            <v>29851441</v>
          </cell>
          <cell r="CB135">
            <v>0</v>
          </cell>
        </row>
        <row r="136">
          <cell r="H136">
            <v>0</v>
          </cell>
          <cell r="I136">
            <v>0</v>
          </cell>
          <cell r="J136">
            <v>0</v>
          </cell>
          <cell r="K136">
            <v>410866786</v>
          </cell>
          <cell r="L136">
            <v>0</v>
          </cell>
          <cell r="M136">
            <v>0</v>
          </cell>
          <cell r="R136">
            <v>0</v>
          </cell>
          <cell r="S136">
            <v>0</v>
          </cell>
          <cell r="T136">
            <v>0</v>
          </cell>
          <cell r="U136">
            <v>0</v>
          </cell>
          <cell r="V136">
            <v>0</v>
          </cell>
          <cell r="W136">
            <v>0</v>
          </cell>
          <cell r="X136">
            <v>102716696.5</v>
          </cell>
          <cell r="AK136">
            <v>102716696.5</v>
          </cell>
          <cell r="AX136">
            <v>102716696.5</v>
          </cell>
          <cell r="BK136">
            <v>102716696.5</v>
          </cell>
          <cell r="CB136">
            <v>0</v>
          </cell>
        </row>
        <row r="137">
          <cell r="H137">
            <v>0</v>
          </cell>
          <cell r="I137">
            <v>0</v>
          </cell>
          <cell r="J137">
            <v>0</v>
          </cell>
          <cell r="K137">
            <v>92088568</v>
          </cell>
          <cell r="L137">
            <v>0</v>
          </cell>
          <cell r="M137">
            <v>0</v>
          </cell>
          <cell r="R137">
            <v>0</v>
          </cell>
          <cell r="S137">
            <v>0</v>
          </cell>
          <cell r="T137">
            <v>0</v>
          </cell>
          <cell r="U137">
            <v>0</v>
          </cell>
          <cell r="V137">
            <v>0</v>
          </cell>
          <cell r="W137">
            <v>0</v>
          </cell>
          <cell r="X137">
            <v>23022142</v>
          </cell>
          <cell r="AK137">
            <v>23022142</v>
          </cell>
          <cell r="AX137">
            <v>23022142</v>
          </cell>
          <cell r="BK137">
            <v>23022142</v>
          </cell>
          <cell r="CB137">
            <v>0</v>
          </cell>
        </row>
        <row r="138">
          <cell r="H138">
            <v>1239726429282.4238</v>
          </cell>
          <cell r="I138">
            <v>298898273875.40027</v>
          </cell>
          <cell r="J138">
            <v>165759536563.84</v>
          </cell>
          <cell r="K138">
            <v>20866223004</v>
          </cell>
          <cell r="L138">
            <v>0</v>
          </cell>
          <cell r="M138">
            <v>0</v>
          </cell>
          <cell r="R138">
            <v>0</v>
          </cell>
          <cell r="S138">
            <v>0</v>
          </cell>
          <cell r="T138">
            <v>0</v>
          </cell>
          <cell r="U138">
            <v>0</v>
          </cell>
          <cell r="V138">
            <v>0</v>
          </cell>
          <cell r="W138">
            <v>0</v>
          </cell>
          <cell r="X138">
            <v>436312615681.41602</v>
          </cell>
          <cell r="AK138">
            <v>431312615681.41602</v>
          </cell>
          <cell r="AX138">
            <v>431312615681.41602</v>
          </cell>
          <cell r="BK138">
            <v>426312615681.41602</v>
          </cell>
          <cell r="CB138">
            <v>0</v>
          </cell>
        </row>
        <row r="139">
          <cell r="H139">
            <v>0</v>
          </cell>
          <cell r="I139">
            <v>0</v>
          </cell>
          <cell r="J139">
            <v>0</v>
          </cell>
          <cell r="K139">
            <v>0</v>
          </cell>
          <cell r="L139">
            <v>2026701784.4414001</v>
          </cell>
          <cell r="M139">
            <v>139243872.00003001</v>
          </cell>
          <cell r="R139">
            <v>324575132.38193637</v>
          </cell>
          <cell r="S139">
            <v>4010897794.0474</v>
          </cell>
          <cell r="T139">
            <v>6195876490.6539507</v>
          </cell>
          <cell r="U139">
            <v>5020573997.0952988</v>
          </cell>
          <cell r="V139">
            <v>861744833.56175768</v>
          </cell>
          <cell r="W139">
            <v>313557659.99689364</v>
          </cell>
          <cell r="X139">
            <v>3174323768.3811789</v>
          </cell>
          <cell r="AK139">
            <v>3174323768.3811789</v>
          </cell>
          <cell r="AX139">
            <v>3174323768.3811789</v>
          </cell>
          <cell r="BK139">
            <v>3174323768.3811789</v>
          </cell>
          <cell r="CB139">
            <v>0</v>
          </cell>
        </row>
        <row r="140">
          <cell r="H140">
            <v>0</v>
          </cell>
          <cell r="I140">
            <v>0</v>
          </cell>
          <cell r="J140">
            <v>0</v>
          </cell>
          <cell r="K140">
            <v>0</v>
          </cell>
          <cell r="L140">
            <v>2227718573.4418001</v>
          </cell>
          <cell r="M140">
            <v>224896967.99996001</v>
          </cell>
          <cell r="R140">
            <v>208460387.51174703</v>
          </cell>
          <cell r="S140">
            <v>4022086420.6788998</v>
          </cell>
          <cell r="T140">
            <v>11360588361.336712</v>
          </cell>
          <cell r="U140">
            <v>9881699925.3425579</v>
          </cell>
          <cell r="V140">
            <v>1431559883.9965396</v>
          </cell>
          <cell r="W140">
            <v>47328551.997613788</v>
          </cell>
          <cell r="X140">
            <v>4510937677.7422791</v>
          </cell>
          <cell r="AK140">
            <v>4510937677.7422791</v>
          </cell>
          <cell r="AX140">
            <v>4510937677.7422791</v>
          </cell>
          <cell r="BK140">
            <v>4510937677.7422791</v>
          </cell>
          <cell r="CB140">
            <v>0</v>
          </cell>
        </row>
        <row r="141">
          <cell r="H141">
            <v>0</v>
          </cell>
          <cell r="I141">
            <v>0</v>
          </cell>
          <cell r="J141">
            <v>0</v>
          </cell>
          <cell r="K141">
            <v>0</v>
          </cell>
          <cell r="L141">
            <v>2427412180.3232002</v>
          </cell>
          <cell r="M141">
            <v>0</v>
          </cell>
          <cell r="R141">
            <v>314501001.35090464</v>
          </cell>
          <cell r="S141">
            <v>4263719946.4780998</v>
          </cell>
          <cell r="T141">
            <v>27591551033.867386</v>
          </cell>
          <cell r="U141">
            <v>22485076670.765457</v>
          </cell>
          <cell r="V141">
            <v>4268715063.1104212</v>
          </cell>
          <cell r="W141">
            <v>837759299.99151015</v>
          </cell>
          <cell r="X141">
            <v>8649296040.5048981</v>
          </cell>
          <cell r="AK141">
            <v>8649296040.5048981</v>
          </cell>
          <cell r="AX141">
            <v>8649296040.5048981</v>
          </cell>
          <cell r="BK141">
            <v>8649296040.5048981</v>
          </cell>
          <cell r="CB141">
            <v>0</v>
          </cell>
        </row>
        <row r="142">
          <cell r="H142">
            <v>0</v>
          </cell>
          <cell r="I142">
            <v>0</v>
          </cell>
          <cell r="J142">
            <v>0</v>
          </cell>
          <cell r="K142">
            <v>0</v>
          </cell>
          <cell r="L142">
            <v>1766980113.6012001</v>
          </cell>
          <cell r="M142">
            <v>43879439.999968</v>
          </cell>
          <cell r="R142">
            <v>469751629.1900242</v>
          </cell>
          <cell r="S142">
            <v>3023451129.2778001</v>
          </cell>
          <cell r="T142">
            <v>9893889876.0240898</v>
          </cell>
          <cell r="U142">
            <v>9160650742.346241</v>
          </cell>
          <cell r="V142">
            <v>726188077.67788792</v>
          </cell>
          <cell r="W142">
            <v>7051055.999961568</v>
          </cell>
          <cell r="X142">
            <v>3799488047.0232711</v>
          </cell>
          <cell r="AK142">
            <v>3799488047.0232711</v>
          </cell>
          <cell r="AX142">
            <v>3799488047.0232711</v>
          </cell>
          <cell r="BK142">
            <v>3799488047.0232711</v>
          </cell>
          <cell r="CB142">
            <v>0</v>
          </cell>
        </row>
        <row r="143">
          <cell r="H143">
            <v>0</v>
          </cell>
          <cell r="I143">
            <v>0</v>
          </cell>
          <cell r="J143">
            <v>0</v>
          </cell>
          <cell r="K143">
            <v>0</v>
          </cell>
          <cell r="L143">
            <v>1649534027.8069</v>
          </cell>
          <cell r="M143">
            <v>388466084.00010997</v>
          </cell>
          <cell r="R143">
            <v>414771841.42998421</v>
          </cell>
          <cell r="S143">
            <v>3907858894.8741002</v>
          </cell>
          <cell r="T143">
            <v>9645077013.5317554</v>
          </cell>
          <cell r="U143">
            <v>8185005800.3100996</v>
          </cell>
          <cell r="V143">
            <v>1202379959.6184053</v>
          </cell>
          <cell r="W143">
            <v>257691253.60325015</v>
          </cell>
          <cell r="X143">
            <v>4001426965.4107127</v>
          </cell>
          <cell r="AK143">
            <v>4001426965.4107127</v>
          </cell>
          <cell r="AX143">
            <v>4001426965.4107127</v>
          </cell>
          <cell r="BK143">
            <v>4001426965.4107127</v>
          </cell>
          <cell r="CB143">
            <v>0</v>
          </cell>
        </row>
        <row r="144">
          <cell r="H144">
            <v>0</v>
          </cell>
          <cell r="I144">
            <v>0</v>
          </cell>
          <cell r="J144">
            <v>0</v>
          </cell>
          <cell r="K144">
            <v>0</v>
          </cell>
          <cell r="L144">
            <v>1975141420.2816999</v>
          </cell>
          <cell r="M144">
            <v>124999999.99996001</v>
          </cell>
          <cell r="R144">
            <v>396821495.27032548</v>
          </cell>
          <cell r="S144">
            <v>1216420719.3585</v>
          </cell>
          <cell r="T144">
            <v>9390900256.7882195</v>
          </cell>
          <cell r="U144">
            <v>7331112902.1548338</v>
          </cell>
          <cell r="V144">
            <v>1703534654.6368768</v>
          </cell>
          <cell r="W144">
            <v>356252699.99651021</v>
          </cell>
          <cell r="X144">
            <v>3276070972.9246764</v>
          </cell>
          <cell r="AK144">
            <v>3276070972.9246764</v>
          </cell>
          <cell r="AX144">
            <v>3276070972.9246764</v>
          </cell>
          <cell r="BK144">
            <v>3276070972.9246764</v>
          </cell>
          <cell r="CB144">
            <v>0</v>
          </cell>
        </row>
        <row r="145">
          <cell r="H145">
            <v>0</v>
          </cell>
          <cell r="I145">
            <v>0</v>
          </cell>
          <cell r="J145">
            <v>0</v>
          </cell>
          <cell r="K145">
            <v>0</v>
          </cell>
          <cell r="L145">
            <v>1257883148.7618999</v>
          </cell>
          <cell r="M145">
            <v>0</v>
          </cell>
          <cell r="R145">
            <v>398706418.79035348</v>
          </cell>
          <cell r="S145">
            <v>2055088120.8778999</v>
          </cell>
          <cell r="T145">
            <v>10232499904.823099</v>
          </cell>
          <cell r="U145">
            <v>8131131567.3919973</v>
          </cell>
          <cell r="V145">
            <v>1614387445.4360611</v>
          </cell>
          <cell r="W145">
            <v>486980891.99504131</v>
          </cell>
          <cell r="X145">
            <v>3486044398.313313</v>
          </cell>
          <cell r="AK145">
            <v>3486044398.313313</v>
          </cell>
          <cell r="AX145">
            <v>3486044398.313313</v>
          </cell>
          <cell r="BK145">
            <v>3486044398.313313</v>
          </cell>
          <cell r="CB145">
            <v>0</v>
          </cell>
        </row>
        <row r="146">
          <cell r="H146">
            <v>0</v>
          </cell>
          <cell r="I146">
            <v>0</v>
          </cell>
          <cell r="J146">
            <v>0</v>
          </cell>
          <cell r="K146">
            <v>0</v>
          </cell>
          <cell r="L146">
            <v>2230458843.3164001</v>
          </cell>
          <cell r="M146">
            <v>0</v>
          </cell>
          <cell r="R146">
            <v>353069889.79731315</v>
          </cell>
          <cell r="S146">
            <v>1231486691.5825</v>
          </cell>
          <cell r="T146">
            <v>10869863363.122322</v>
          </cell>
          <cell r="U146">
            <v>8775549255.234663</v>
          </cell>
          <cell r="V146">
            <v>1608756781.4774144</v>
          </cell>
          <cell r="W146">
            <v>485557326.41024303</v>
          </cell>
          <cell r="X146">
            <v>3671219696.9546337</v>
          </cell>
          <cell r="AK146">
            <v>3671219696.9546337</v>
          </cell>
          <cell r="AX146">
            <v>3671219696.9546337</v>
          </cell>
          <cell r="BK146">
            <v>3671219696.9546337</v>
          </cell>
          <cell r="CB146">
            <v>0</v>
          </cell>
        </row>
        <row r="147">
          <cell r="H147">
            <v>0</v>
          </cell>
          <cell r="I147">
            <v>0</v>
          </cell>
          <cell r="J147">
            <v>0</v>
          </cell>
          <cell r="K147">
            <v>0</v>
          </cell>
          <cell r="L147">
            <v>1435904740.5613</v>
          </cell>
          <cell r="M147">
            <v>127739951.99999</v>
          </cell>
          <cell r="R147">
            <v>353345175.11077309</v>
          </cell>
          <cell r="S147">
            <v>3021507395.7593002</v>
          </cell>
          <cell r="T147">
            <v>9776108509.2960339</v>
          </cell>
          <cell r="U147">
            <v>7838776235.6242561</v>
          </cell>
          <cell r="V147">
            <v>1480500649.6763201</v>
          </cell>
          <cell r="W147">
            <v>456831623.99545836</v>
          </cell>
          <cell r="X147">
            <v>3678651443.18185</v>
          </cell>
          <cell r="AK147">
            <v>3678651443.18185</v>
          </cell>
          <cell r="AX147">
            <v>3678651443.18185</v>
          </cell>
          <cell r="BK147">
            <v>3678651443.18185</v>
          </cell>
          <cell r="CB147">
            <v>0</v>
          </cell>
        </row>
        <row r="148">
          <cell r="H148">
            <v>0</v>
          </cell>
          <cell r="I148">
            <v>0</v>
          </cell>
          <cell r="J148">
            <v>0</v>
          </cell>
          <cell r="K148">
            <v>0</v>
          </cell>
          <cell r="L148">
            <v>1581455156.5225</v>
          </cell>
          <cell r="M148">
            <v>129672096.0001</v>
          </cell>
          <cell r="R148">
            <v>301588086.23123145</v>
          </cell>
          <cell r="S148">
            <v>4201001821.7985001</v>
          </cell>
          <cell r="T148">
            <v>18991685085.88382</v>
          </cell>
          <cell r="U148">
            <v>14941066247.338379</v>
          </cell>
          <cell r="V148">
            <v>3317409634.5526843</v>
          </cell>
          <cell r="W148">
            <v>733209203.99275541</v>
          </cell>
          <cell r="X148">
            <v>6301350561.6090374</v>
          </cell>
          <cell r="AK148">
            <v>6301350561.6090374</v>
          </cell>
          <cell r="AX148">
            <v>6301350561.6090374</v>
          </cell>
          <cell r="BK148">
            <v>6301350561.6090374</v>
          </cell>
          <cell r="CB148">
            <v>0</v>
          </cell>
        </row>
        <row r="149">
          <cell r="H149">
            <v>0</v>
          </cell>
          <cell r="I149">
            <v>0</v>
          </cell>
          <cell r="J149">
            <v>0</v>
          </cell>
          <cell r="K149">
            <v>0</v>
          </cell>
          <cell r="L149">
            <v>1497119223.6008999</v>
          </cell>
          <cell r="M149">
            <v>401789352.00005001</v>
          </cell>
          <cell r="R149">
            <v>315387152.63082618</v>
          </cell>
          <cell r="S149">
            <v>5446174855.7154999</v>
          </cell>
          <cell r="T149">
            <v>14385158155.965343</v>
          </cell>
          <cell r="U149">
            <v>9222960942.3021774</v>
          </cell>
          <cell r="V149">
            <v>4497334609.6698704</v>
          </cell>
          <cell r="W149">
            <v>664862603.99329543</v>
          </cell>
          <cell r="X149">
            <v>5511407184.9781551</v>
          </cell>
          <cell r="AK149">
            <v>5511407184.9781551</v>
          </cell>
          <cell r="AX149">
            <v>5511407184.9781551</v>
          </cell>
          <cell r="BK149">
            <v>5511407184.9781551</v>
          </cell>
          <cell r="CB149">
            <v>0</v>
          </cell>
        </row>
        <row r="150">
          <cell r="H150">
            <v>0</v>
          </cell>
          <cell r="I150">
            <v>0</v>
          </cell>
          <cell r="J150">
            <v>0</v>
          </cell>
          <cell r="K150">
            <v>0</v>
          </cell>
          <cell r="L150">
            <v>2610938914.3232999</v>
          </cell>
          <cell r="M150">
            <v>265112891.00002</v>
          </cell>
          <cell r="R150">
            <v>568307845.42922235</v>
          </cell>
          <cell r="S150">
            <v>3750040747.3189998</v>
          </cell>
          <cell r="T150">
            <v>18551258171.857738</v>
          </cell>
          <cell r="U150">
            <v>15191114081.628246</v>
          </cell>
          <cell r="V150">
            <v>2883612738.2341976</v>
          </cell>
          <cell r="W150">
            <v>476531351.99529821</v>
          </cell>
          <cell r="X150">
            <v>6436414642.4823217</v>
          </cell>
          <cell r="AK150">
            <v>6436414642.4823217</v>
          </cell>
          <cell r="AX150">
            <v>6436414642.4823217</v>
          </cell>
          <cell r="BK150">
            <v>6436414642.4823217</v>
          </cell>
          <cell r="CB150">
            <v>0</v>
          </cell>
        </row>
        <row r="151">
          <cell r="H151">
            <v>0</v>
          </cell>
          <cell r="I151">
            <v>0</v>
          </cell>
          <cell r="J151">
            <v>0</v>
          </cell>
          <cell r="K151">
            <v>0</v>
          </cell>
          <cell r="L151">
            <v>2724520740.4826002</v>
          </cell>
          <cell r="M151">
            <v>462800363.99997997</v>
          </cell>
          <cell r="R151">
            <v>299111875.19105649</v>
          </cell>
          <cell r="S151">
            <v>3488015491.5588999</v>
          </cell>
          <cell r="T151">
            <v>12123457175.02445</v>
          </cell>
          <cell r="U151">
            <v>9656747173.673811</v>
          </cell>
          <cell r="V151">
            <v>1946099025.3560383</v>
          </cell>
          <cell r="W151">
            <v>520610975.99460077</v>
          </cell>
          <cell r="X151">
            <v>4774476411.5642462</v>
          </cell>
          <cell r="AK151">
            <v>4774476411.5642462</v>
          </cell>
          <cell r="AX151">
            <v>4774476411.5642462</v>
          </cell>
          <cell r="BK151">
            <v>4774476411.5642462</v>
          </cell>
          <cell r="CB151">
            <v>0</v>
          </cell>
        </row>
        <row r="152">
          <cell r="H152">
            <v>0</v>
          </cell>
          <cell r="I152">
            <v>0</v>
          </cell>
          <cell r="J152">
            <v>0</v>
          </cell>
          <cell r="K152">
            <v>0</v>
          </cell>
          <cell r="L152">
            <v>1266520223.6812999</v>
          </cell>
          <cell r="M152">
            <v>73618727.999981999</v>
          </cell>
          <cell r="R152">
            <v>342263707.59097773</v>
          </cell>
          <cell r="S152">
            <v>1567995276.4795001</v>
          </cell>
          <cell r="T152">
            <v>6393748035.7799187</v>
          </cell>
          <cell r="U152">
            <v>5337484955.4631786</v>
          </cell>
          <cell r="V152">
            <v>841433668.3189106</v>
          </cell>
          <cell r="W152">
            <v>214829411.99782953</v>
          </cell>
          <cell r="X152">
            <v>2411036492.8829198</v>
          </cell>
          <cell r="AK152">
            <v>2411036492.8829198</v>
          </cell>
          <cell r="AX152">
            <v>2411036492.8829198</v>
          </cell>
          <cell r="BK152">
            <v>2411036492.8829198</v>
          </cell>
          <cell r="CB152">
            <v>0</v>
          </cell>
        </row>
        <row r="153">
          <cell r="H153">
            <v>0</v>
          </cell>
          <cell r="I153">
            <v>0</v>
          </cell>
          <cell r="J153">
            <v>0</v>
          </cell>
          <cell r="K153">
            <v>0</v>
          </cell>
          <cell r="L153">
            <v>1085435157.0816</v>
          </cell>
          <cell r="M153">
            <v>44746679.999898002</v>
          </cell>
          <cell r="R153">
            <v>411413655.86971283</v>
          </cell>
          <cell r="S153">
            <v>1828087148.5838001</v>
          </cell>
          <cell r="T153">
            <v>1506943254.2759008</v>
          </cell>
          <cell r="U153">
            <v>1068067634.4220022</v>
          </cell>
          <cell r="V153">
            <v>349410948.53440529</v>
          </cell>
          <cell r="W153">
            <v>89464671.319493309</v>
          </cell>
          <cell r="X153">
            <v>1219156473.9527278</v>
          </cell>
          <cell r="AK153">
            <v>1219156473.9527278</v>
          </cell>
          <cell r="AX153">
            <v>1219156473.9527278</v>
          </cell>
          <cell r="BK153">
            <v>1219156473.9527278</v>
          </cell>
          <cell r="CB153">
            <v>0</v>
          </cell>
        </row>
        <row r="154">
          <cell r="H154">
            <v>0</v>
          </cell>
          <cell r="I154">
            <v>0</v>
          </cell>
          <cell r="J154">
            <v>0</v>
          </cell>
          <cell r="K154">
            <v>0</v>
          </cell>
          <cell r="L154">
            <v>2089958532.7224</v>
          </cell>
          <cell r="M154">
            <v>61405932.000014</v>
          </cell>
          <cell r="R154">
            <v>501746223.10968673</v>
          </cell>
          <cell r="S154">
            <v>4219034887.1587</v>
          </cell>
          <cell r="T154">
            <v>14512064231.365128</v>
          </cell>
          <cell r="U154">
            <v>12664177202.251066</v>
          </cell>
          <cell r="V154">
            <v>1534329369.1171691</v>
          </cell>
          <cell r="W154">
            <v>313557659.99689364</v>
          </cell>
          <cell r="X154">
            <v>5346052451.5889826</v>
          </cell>
          <cell r="AK154">
            <v>5346052451.5889826</v>
          </cell>
          <cell r="AX154">
            <v>5346052451.5889826</v>
          </cell>
          <cell r="BK154">
            <v>5346052451.5889826</v>
          </cell>
          <cell r="CB154">
            <v>0</v>
          </cell>
        </row>
        <row r="155">
          <cell r="H155">
            <v>0</v>
          </cell>
          <cell r="I155">
            <v>0</v>
          </cell>
          <cell r="J155">
            <v>0</v>
          </cell>
          <cell r="K155">
            <v>0</v>
          </cell>
          <cell r="L155">
            <v>1565551786.8013</v>
          </cell>
          <cell r="M155">
            <v>246807536.00005001</v>
          </cell>
          <cell r="R155">
            <v>342348586.5507912</v>
          </cell>
          <cell r="S155">
            <v>2862862743.9998999</v>
          </cell>
          <cell r="T155">
            <v>11457996449.138891</v>
          </cell>
          <cell r="U155">
            <v>8666069409.1468811</v>
          </cell>
          <cell r="V155">
            <v>2469516955.9950829</v>
          </cell>
          <cell r="W155">
            <v>322410083.9969272</v>
          </cell>
          <cell r="X155">
            <v>4118891775.6227331</v>
          </cell>
          <cell r="AK155">
            <v>4118891775.6227331</v>
          </cell>
          <cell r="AX155">
            <v>4118891775.6227331</v>
          </cell>
          <cell r="BK155">
            <v>4118891775.6227331</v>
          </cell>
          <cell r="CB155">
            <v>0</v>
          </cell>
        </row>
        <row r="156">
          <cell r="H156">
            <v>0</v>
          </cell>
          <cell r="I156">
            <v>0</v>
          </cell>
          <cell r="J156">
            <v>0</v>
          </cell>
          <cell r="K156">
            <v>0</v>
          </cell>
          <cell r="L156">
            <v>1642761402.7839</v>
          </cell>
          <cell r="M156">
            <v>526520135.99993998</v>
          </cell>
          <cell r="R156">
            <v>587160336.53433681</v>
          </cell>
          <cell r="S156">
            <v>4237300818.0917001</v>
          </cell>
          <cell r="T156">
            <v>11123295449.967613</v>
          </cell>
          <cell r="U156">
            <v>8474047725.4218092</v>
          </cell>
          <cell r="V156">
            <v>2031516110.2496672</v>
          </cell>
          <cell r="W156">
            <v>617731614.2961359</v>
          </cell>
          <cell r="X156">
            <v>4529259535.8443727</v>
          </cell>
          <cell r="AK156">
            <v>4529259535.8443727</v>
          </cell>
          <cell r="AX156">
            <v>4529259535.8443727</v>
          </cell>
          <cell r="BK156">
            <v>4529259535.8443727</v>
          </cell>
          <cell r="CB156">
            <v>0</v>
          </cell>
        </row>
        <row r="157">
          <cell r="H157">
            <v>0</v>
          </cell>
          <cell r="I157">
            <v>0</v>
          </cell>
          <cell r="J157">
            <v>0</v>
          </cell>
          <cell r="K157">
            <v>0</v>
          </cell>
          <cell r="L157">
            <v>1558070666.0418</v>
          </cell>
          <cell r="M157">
            <v>151128467.99992001</v>
          </cell>
          <cell r="R157">
            <v>284488199.19107968</v>
          </cell>
          <cell r="S157">
            <v>2465973300.8789001</v>
          </cell>
          <cell r="T157">
            <v>2954371254.1598415</v>
          </cell>
          <cell r="U157">
            <v>2126265169.3629696</v>
          </cell>
          <cell r="V157">
            <v>590862880.79941893</v>
          </cell>
          <cell r="W157">
            <v>237243203.99745253</v>
          </cell>
          <cell r="X157">
            <v>1853507972.0678849</v>
          </cell>
          <cell r="AK157">
            <v>1853507972.0678849</v>
          </cell>
          <cell r="AX157">
            <v>1853507972.0678849</v>
          </cell>
          <cell r="BK157">
            <v>1853507972.0678849</v>
          </cell>
          <cell r="CB157">
            <v>0</v>
          </cell>
        </row>
        <row r="158">
          <cell r="H158">
            <v>0</v>
          </cell>
          <cell r="I158">
            <v>0</v>
          </cell>
          <cell r="J158">
            <v>0</v>
          </cell>
          <cell r="K158">
            <v>0</v>
          </cell>
          <cell r="L158">
            <v>2540622663.1230001</v>
          </cell>
          <cell r="M158">
            <v>656283824.00009</v>
          </cell>
          <cell r="R158">
            <v>503514431.2698018</v>
          </cell>
          <cell r="S158">
            <v>6459425201.2363005</v>
          </cell>
          <cell r="T158">
            <v>22700815815.04538</v>
          </cell>
          <cell r="U158">
            <v>19275354537.533871</v>
          </cell>
          <cell r="V158">
            <v>3196561997.5137663</v>
          </cell>
          <cell r="W158">
            <v>228899279.99773997</v>
          </cell>
          <cell r="X158">
            <v>8215165483.668643</v>
          </cell>
          <cell r="AK158">
            <v>8215165483.668643</v>
          </cell>
          <cell r="AX158">
            <v>8215165483.668643</v>
          </cell>
          <cell r="BK158">
            <v>8215165483.668643</v>
          </cell>
          <cell r="CB158">
            <v>0</v>
          </cell>
        </row>
        <row r="159">
          <cell r="H159">
            <v>0</v>
          </cell>
          <cell r="I159">
            <v>0</v>
          </cell>
          <cell r="J159">
            <v>0</v>
          </cell>
          <cell r="K159">
            <v>0</v>
          </cell>
          <cell r="L159">
            <v>1421086604.2811999</v>
          </cell>
          <cell r="M159">
            <v>57976524.000001997</v>
          </cell>
          <cell r="R159">
            <v>181652173.91184554</v>
          </cell>
          <cell r="S159">
            <v>2198172680.1192002</v>
          </cell>
          <cell r="T159">
            <v>5733389842.0863771</v>
          </cell>
          <cell r="U159">
            <v>4691044687.2102365</v>
          </cell>
          <cell r="V159">
            <v>874854338.87772226</v>
          </cell>
          <cell r="W159">
            <v>167490815.99841747</v>
          </cell>
          <cell r="X159">
            <v>2398069456.0996561</v>
          </cell>
          <cell r="AK159">
            <v>2398069456.0996561</v>
          </cell>
          <cell r="AX159">
            <v>2398069456.0996561</v>
          </cell>
          <cell r="BK159">
            <v>2398069456.0996561</v>
          </cell>
          <cell r="CB159">
            <v>0</v>
          </cell>
        </row>
        <row r="160">
          <cell r="H160">
            <v>0</v>
          </cell>
          <cell r="I160">
            <v>0</v>
          </cell>
          <cell r="J160">
            <v>0</v>
          </cell>
          <cell r="K160">
            <v>0</v>
          </cell>
          <cell r="L160">
            <v>1346857345.4409001</v>
          </cell>
          <cell r="M160">
            <v>131882220.00004999</v>
          </cell>
          <cell r="R160">
            <v>181652173.91184554</v>
          </cell>
          <cell r="S160">
            <v>3142077016.4368</v>
          </cell>
          <cell r="T160">
            <v>12869299284.490736</v>
          </cell>
          <cell r="U160">
            <v>10234539518.417393</v>
          </cell>
          <cell r="V160">
            <v>2528248390.0743723</v>
          </cell>
          <cell r="W160">
            <v>106511375.99897142</v>
          </cell>
          <cell r="X160">
            <v>4417942010.0700827</v>
          </cell>
          <cell r="AK160">
            <v>4417942010.0700827</v>
          </cell>
          <cell r="AX160">
            <v>4417942010.0700827</v>
          </cell>
          <cell r="BK160">
            <v>4417942010.0700827</v>
          </cell>
          <cell r="CB160">
            <v>0</v>
          </cell>
        </row>
        <row r="161">
          <cell r="H161">
            <v>0</v>
          </cell>
          <cell r="I161">
            <v>0</v>
          </cell>
          <cell r="J161">
            <v>0</v>
          </cell>
          <cell r="K161">
            <v>0</v>
          </cell>
          <cell r="L161">
            <v>2396218822.0818</v>
          </cell>
          <cell r="M161">
            <v>159909900.00007999</v>
          </cell>
          <cell r="R161">
            <v>584706372.38920999</v>
          </cell>
          <cell r="S161">
            <v>1328684948.5585999</v>
          </cell>
          <cell r="T161">
            <v>4109287191.9722958</v>
          </cell>
          <cell r="U161">
            <v>3797766044.7727294</v>
          </cell>
          <cell r="V161">
            <v>301694059.19980609</v>
          </cell>
          <cell r="W161">
            <v>9827087.9997600466</v>
          </cell>
          <cell r="X161">
            <v>2144701808.7504964</v>
          </cell>
          <cell r="AK161">
            <v>2144701808.7504964</v>
          </cell>
          <cell r="AX161">
            <v>2144701808.7504964</v>
          </cell>
          <cell r="BK161">
            <v>2144701808.7504964</v>
          </cell>
          <cell r="CB161">
            <v>0</v>
          </cell>
        </row>
        <row r="162">
          <cell r="H162">
            <v>0</v>
          </cell>
          <cell r="I162">
            <v>0</v>
          </cell>
          <cell r="J162">
            <v>0</v>
          </cell>
          <cell r="K162">
            <v>0</v>
          </cell>
          <cell r="L162">
            <v>1323376527.2419</v>
          </cell>
          <cell r="M162">
            <v>371932579.99993002</v>
          </cell>
          <cell r="R162">
            <v>314110334.1509999</v>
          </cell>
          <cell r="S162">
            <v>2607411874.1197</v>
          </cell>
          <cell r="T162">
            <v>6433586998.5678339</v>
          </cell>
          <cell r="U162">
            <v>5455568323.452898</v>
          </cell>
          <cell r="V162">
            <v>664461015.11804223</v>
          </cell>
          <cell r="W162">
            <v>313557659.99689364</v>
          </cell>
          <cell r="X162">
            <v>2762604578.5200911</v>
          </cell>
          <cell r="AK162">
            <v>2762604578.5200911</v>
          </cell>
          <cell r="AX162">
            <v>2762604578.5200911</v>
          </cell>
          <cell r="BK162">
            <v>2762604578.5200911</v>
          </cell>
          <cell r="CB162">
            <v>0</v>
          </cell>
        </row>
        <row r="163">
          <cell r="H163">
            <v>0</v>
          </cell>
          <cell r="I163">
            <v>0</v>
          </cell>
          <cell r="J163">
            <v>0</v>
          </cell>
          <cell r="K163">
            <v>0</v>
          </cell>
          <cell r="L163">
            <v>2078755652.4796</v>
          </cell>
          <cell r="M163">
            <v>193085256.00005001</v>
          </cell>
          <cell r="R163">
            <v>325342097.5029338</v>
          </cell>
          <cell r="S163">
            <v>4932954915.8184004</v>
          </cell>
          <cell r="T163">
            <v>12240184561.168573</v>
          </cell>
          <cell r="U163">
            <v>10261637238.566467</v>
          </cell>
          <cell r="V163">
            <v>1797046054.2467399</v>
          </cell>
          <cell r="W163">
            <v>181501268.35536584</v>
          </cell>
          <cell r="X163">
            <v>4942580620.7423897</v>
          </cell>
          <cell r="AK163">
            <v>4942580620.7423897</v>
          </cell>
          <cell r="AX163">
            <v>4942580620.7423897</v>
          </cell>
          <cell r="BK163">
            <v>4942580620.7423897</v>
          </cell>
          <cell r="CB163">
            <v>0</v>
          </cell>
        </row>
        <row r="164">
          <cell r="H164">
            <v>0</v>
          </cell>
          <cell r="I164">
            <v>0</v>
          </cell>
          <cell r="J164">
            <v>0</v>
          </cell>
          <cell r="K164">
            <v>0</v>
          </cell>
          <cell r="L164">
            <v>1466789986.2751</v>
          </cell>
          <cell r="M164">
            <v>151205880.00002</v>
          </cell>
          <cell r="R164">
            <v>289219575.83123207</v>
          </cell>
          <cell r="S164">
            <v>3634441023.1925998</v>
          </cell>
          <cell r="T164">
            <v>7387119177.7009153</v>
          </cell>
          <cell r="U164">
            <v>6212431238.3567924</v>
          </cell>
          <cell r="V164">
            <v>1070999291.1915312</v>
          </cell>
          <cell r="W164">
            <v>103688648.15259132</v>
          </cell>
          <cell r="X164">
            <v>3232193910.7499666</v>
          </cell>
          <cell r="AK164">
            <v>3232193910.7499666</v>
          </cell>
          <cell r="AX164">
            <v>3232193910.7499666</v>
          </cell>
          <cell r="BK164">
            <v>3232193910.7499666</v>
          </cell>
          <cell r="CB164">
            <v>0</v>
          </cell>
        </row>
        <row r="165">
          <cell r="H165">
            <v>0</v>
          </cell>
          <cell r="I165">
            <v>0</v>
          </cell>
          <cell r="J165">
            <v>0</v>
          </cell>
          <cell r="K165">
            <v>0</v>
          </cell>
          <cell r="L165">
            <v>1093709531.931</v>
          </cell>
          <cell r="M165">
            <v>128403995.99995001</v>
          </cell>
          <cell r="R165">
            <v>358504475.52049339</v>
          </cell>
          <cell r="S165">
            <v>995432954.52127004</v>
          </cell>
          <cell r="T165">
            <v>1820237410.6076913</v>
          </cell>
          <cell r="U165">
            <v>1303387743.1871605</v>
          </cell>
          <cell r="V165">
            <v>149791135.71693167</v>
          </cell>
          <cell r="W165">
            <v>367058531.7035991</v>
          </cell>
          <cell r="X165">
            <v>1099072092.1451011</v>
          </cell>
          <cell r="AK165">
            <v>1099072092.1451011</v>
          </cell>
          <cell r="AX165">
            <v>1099072092.1451011</v>
          </cell>
          <cell r="BK165">
            <v>1099072092.1451011</v>
          </cell>
          <cell r="CB165">
            <v>0</v>
          </cell>
        </row>
        <row r="166">
          <cell r="H166">
            <v>0</v>
          </cell>
          <cell r="I166">
            <v>0</v>
          </cell>
          <cell r="J166">
            <v>0</v>
          </cell>
          <cell r="K166">
            <v>0</v>
          </cell>
          <cell r="L166">
            <v>1166067509.8814001</v>
          </cell>
          <cell r="M166">
            <v>188369207.99991</v>
          </cell>
          <cell r="R166">
            <v>275001877.91121328</v>
          </cell>
          <cell r="S166">
            <v>1748825232.089</v>
          </cell>
          <cell r="T166">
            <v>5608274194.9061632</v>
          </cell>
          <cell r="U166">
            <v>4646477655.1103611</v>
          </cell>
          <cell r="V166">
            <v>804297475.79753149</v>
          </cell>
          <cell r="W166">
            <v>157499063.99827111</v>
          </cell>
          <cell r="X166">
            <v>2246634505.6969218</v>
          </cell>
          <cell r="AK166">
            <v>2246634505.6969218</v>
          </cell>
          <cell r="AX166">
            <v>2246634505.6969218</v>
          </cell>
          <cell r="BK166">
            <v>2246634505.6969218</v>
          </cell>
          <cell r="CB166">
            <v>0</v>
          </cell>
        </row>
        <row r="167">
          <cell r="H167">
            <v>0</v>
          </cell>
          <cell r="I167">
            <v>0</v>
          </cell>
          <cell r="J167">
            <v>0</v>
          </cell>
          <cell r="K167">
            <v>0</v>
          </cell>
          <cell r="L167">
            <v>1806000120.1212001</v>
          </cell>
          <cell r="M167">
            <v>622793195.99998999</v>
          </cell>
          <cell r="R167">
            <v>566231751.1093781</v>
          </cell>
          <cell r="S167">
            <v>3228061377.2393999</v>
          </cell>
          <cell r="T167">
            <v>8385122262.8998585</v>
          </cell>
          <cell r="U167">
            <v>7071794159.2269535</v>
          </cell>
          <cell r="V167">
            <v>859711483.67737484</v>
          </cell>
          <cell r="W167">
            <v>453616619.99553001</v>
          </cell>
          <cell r="X167">
            <v>3652052176.8424559</v>
          </cell>
          <cell r="AK167">
            <v>3652052176.8424559</v>
          </cell>
          <cell r="AX167">
            <v>3652052176.8424559</v>
          </cell>
          <cell r="BK167">
            <v>3652052176.8424559</v>
          </cell>
          <cell r="CB167">
            <v>0</v>
          </cell>
        </row>
        <row r="168">
          <cell r="H168">
            <v>0</v>
          </cell>
          <cell r="I168">
            <v>0</v>
          </cell>
          <cell r="J168">
            <v>0</v>
          </cell>
          <cell r="K168">
            <v>0</v>
          </cell>
          <cell r="L168">
            <v>1353092377.5215001</v>
          </cell>
          <cell r="M168">
            <v>0</v>
          </cell>
          <cell r="R168">
            <v>341099075.51102298</v>
          </cell>
          <cell r="S168">
            <v>1787467985.5193999</v>
          </cell>
          <cell r="T168">
            <v>11826295341.466904</v>
          </cell>
          <cell r="U168">
            <v>9066298084.9182911</v>
          </cell>
          <cell r="V168">
            <v>2214195508.5541692</v>
          </cell>
          <cell r="W168">
            <v>545801747.99444389</v>
          </cell>
          <cell r="X168">
            <v>3826988695.0047064</v>
          </cell>
          <cell r="AK168">
            <v>3826988695.0047064</v>
          </cell>
          <cell r="AX168">
            <v>3826988695.0047064</v>
          </cell>
          <cell r="BK168">
            <v>3826988695.0047064</v>
          </cell>
          <cell r="CB168">
            <v>0</v>
          </cell>
        </row>
        <row r="169">
          <cell r="H169">
            <v>0</v>
          </cell>
          <cell r="I169">
            <v>0</v>
          </cell>
          <cell r="J169">
            <v>0</v>
          </cell>
          <cell r="K169">
            <v>0</v>
          </cell>
          <cell r="L169">
            <v>1632240514.9210999</v>
          </cell>
          <cell r="M169">
            <v>518764895.99994999</v>
          </cell>
          <cell r="R169">
            <v>504692755.42977172</v>
          </cell>
          <cell r="S169">
            <v>4626282814.9160004</v>
          </cell>
          <cell r="T169">
            <v>22245556561.128082</v>
          </cell>
          <cell r="U169">
            <v>16882266591.541676</v>
          </cell>
          <cell r="V169">
            <v>5107806033.5888157</v>
          </cell>
          <cell r="W169">
            <v>255483935.99758923</v>
          </cell>
          <cell r="X169">
            <v>7381884385.5987263</v>
          </cell>
          <cell r="AK169">
            <v>7381884385.5987263</v>
          </cell>
          <cell r="AX169">
            <v>7381884385.5987263</v>
          </cell>
          <cell r="BK169">
            <v>7381884385.5987263</v>
          </cell>
          <cell r="CB169">
            <v>0</v>
          </cell>
        </row>
        <row r="170">
          <cell r="H170">
            <v>0</v>
          </cell>
          <cell r="I170">
            <v>0</v>
          </cell>
          <cell r="J170">
            <v>0</v>
          </cell>
          <cell r="K170">
            <v>0</v>
          </cell>
          <cell r="L170">
            <v>1104863181.2807</v>
          </cell>
          <cell r="M170">
            <v>0</v>
          </cell>
          <cell r="R170">
            <v>295227055.1909529</v>
          </cell>
          <cell r="S170">
            <v>1579352512.0785999</v>
          </cell>
          <cell r="T170">
            <v>6453976667.5727406</v>
          </cell>
          <cell r="U170">
            <v>5000708019.1791105</v>
          </cell>
          <cell r="V170">
            <v>1130562476.3970373</v>
          </cell>
          <cell r="W170">
            <v>322706171.996593</v>
          </cell>
          <cell r="X170">
            <v>2358354854.0307484</v>
          </cell>
          <cell r="AK170">
            <v>2358354854.0307484</v>
          </cell>
          <cell r="AX170">
            <v>2358354854.0307484</v>
          </cell>
          <cell r="BK170">
            <v>2358354854.0307484</v>
          </cell>
          <cell r="CB170">
            <v>0</v>
          </cell>
        </row>
        <row r="171">
          <cell r="H171">
            <v>0</v>
          </cell>
          <cell r="I171">
            <v>0</v>
          </cell>
          <cell r="J171">
            <v>0</v>
          </cell>
          <cell r="K171">
            <v>0</v>
          </cell>
          <cell r="L171">
            <v>1458993194.6006999</v>
          </cell>
          <cell r="M171">
            <v>0</v>
          </cell>
          <cell r="R171">
            <v>329846050.07100135</v>
          </cell>
          <cell r="S171">
            <v>3193497621.1975999</v>
          </cell>
          <cell r="T171">
            <v>5810730278.0376568</v>
          </cell>
          <cell r="U171">
            <v>5049789453.0004969</v>
          </cell>
          <cell r="V171">
            <v>718373465.0377171</v>
          </cell>
          <cell r="W171">
            <v>42567359.999442711</v>
          </cell>
          <cell r="X171">
            <v>2698266785.9767394</v>
          </cell>
          <cell r="AK171">
            <v>2698266785.9767394</v>
          </cell>
          <cell r="AX171">
            <v>2698266785.9767394</v>
          </cell>
          <cell r="BK171">
            <v>2698266785.9767394</v>
          </cell>
          <cell r="CB171">
            <v>0</v>
          </cell>
        </row>
        <row r="172">
          <cell r="H172">
            <v>0</v>
          </cell>
          <cell r="I172">
            <v>0</v>
          </cell>
          <cell r="J172">
            <v>0</v>
          </cell>
          <cell r="K172">
            <v>0</v>
          </cell>
          <cell r="L172">
            <v>1507130978.8017001</v>
          </cell>
          <cell r="M172">
            <v>326955511.99997002</v>
          </cell>
          <cell r="R172">
            <v>645657396.78321648</v>
          </cell>
          <cell r="S172">
            <v>2676222041.5832</v>
          </cell>
          <cell r="T172">
            <v>13282054746.43693</v>
          </cell>
          <cell r="U172">
            <v>11293066437.242838</v>
          </cell>
          <cell r="V172">
            <v>1885035417.1951487</v>
          </cell>
          <cell r="W172">
            <v>103952891.99894421</v>
          </cell>
          <cell r="X172">
            <v>4609505168.9012537</v>
          </cell>
          <cell r="AK172">
            <v>4609505168.9012537</v>
          </cell>
          <cell r="AX172">
            <v>4609505168.9012537</v>
          </cell>
          <cell r="BK172">
            <v>4609505168.9012537</v>
          </cell>
          <cell r="CB172">
            <v>0</v>
          </cell>
        </row>
        <row r="173">
          <cell r="H173">
            <v>0</v>
          </cell>
          <cell r="I173">
            <v>0</v>
          </cell>
          <cell r="J173">
            <v>0</v>
          </cell>
          <cell r="K173">
            <v>0</v>
          </cell>
          <cell r="L173">
            <v>1817361793.2026999</v>
          </cell>
          <cell r="M173">
            <v>526102368</v>
          </cell>
          <cell r="R173">
            <v>280008392.15121251</v>
          </cell>
          <cell r="S173">
            <v>3567882816.9576001</v>
          </cell>
          <cell r="T173">
            <v>13743206509.658094</v>
          </cell>
          <cell r="U173">
            <v>10274812075.188614</v>
          </cell>
          <cell r="V173">
            <v>3015592818.4740324</v>
          </cell>
          <cell r="W173">
            <v>452801615.9954465</v>
          </cell>
          <cell r="X173">
            <v>4983640469.9924021</v>
          </cell>
          <cell r="AK173">
            <v>4983640469.9924021</v>
          </cell>
          <cell r="AX173">
            <v>4983640469.9924021</v>
          </cell>
          <cell r="BK173">
            <v>4983640469.9924021</v>
          </cell>
          <cell r="CB173">
            <v>0</v>
          </cell>
        </row>
        <row r="174">
          <cell r="H174">
            <v>0</v>
          </cell>
          <cell r="I174">
            <v>0</v>
          </cell>
          <cell r="J174">
            <v>0</v>
          </cell>
          <cell r="K174">
            <v>0</v>
          </cell>
          <cell r="L174">
            <v>1776892437.2425001</v>
          </cell>
          <cell r="M174">
            <v>0</v>
          </cell>
          <cell r="R174">
            <v>474938858.62998933</v>
          </cell>
          <cell r="S174">
            <v>2128821177.8392</v>
          </cell>
          <cell r="T174">
            <v>15749099024.183926</v>
          </cell>
          <cell r="U174">
            <v>11869593596.922487</v>
          </cell>
          <cell r="V174">
            <v>2515440515.275105</v>
          </cell>
          <cell r="W174">
            <v>1364064911.9863346</v>
          </cell>
          <cell r="X174">
            <v>5032437874.4739037</v>
          </cell>
          <cell r="AK174">
            <v>5032437874.4739037</v>
          </cell>
          <cell r="AX174">
            <v>5032437874.4739037</v>
          </cell>
          <cell r="BK174">
            <v>5032437874.4739037</v>
          </cell>
          <cell r="CB174">
            <v>0</v>
          </cell>
        </row>
        <row r="175">
          <cell r="H175">
            <v>0</v>
          </cell>
          <cell r="I175">
            <v>0</v>
          </cell>
          <cell r="J175">
            <v>0</v>
          </cell>
          <cell r="K175">
            <v>0</v>
          </cell>
          <cell r="L175">
            <v>1152210418.5214</v>
          </cell>
          <cell r="M175">
            <v>0</v>
          </cell>
          <cell r="R175">
            <v>317203034.05455577</v>
          </cell>
          <cell r="S175">
            <v>1125901459.3803</v>
          </cell>
          <cell r="T175">
            <v>3465351523.536427</v>
          </cell>
          <cell r="U175">
            <v>3386271677.9871955</v>
          </cell>
          <cell r="V175">
            <v>79079845.549231306</v>
          </cell>
          <cell r="W175">
            <v>0</v>
          </cell>
          <cell r="X175">
            <v>1515166608.8731709</v>
          </cell>
          <cell r="AK175">
            <v>1515166608.8731709</v>
          </cell>
          <cell r="AX175">
            <v>1515166608.8731709</v>
          </cell>
          <cell r="BK175">
            <v>1515166608.8731709</v>
          </cell>
          <cell r="CB175">
            <v>0</v>
          </cell>
        </row>
        <row r="176">
          <cell r="H176">
            <v>0</v>
          </cell>
          <cell r="I176">
            <v>0</v>
          </cell>
          <cell r="J176">
            <v>0</v>
          </cell>
          <cell r="K176">
            <v>0</v>
          </cell>
          <cell r="L176">
            <v>1679083182.1215999</v>
          </cell>
          <cell r="M176">
            <v>165175703.99996999</v>
          </cell>
          <cell r="R176">
            <v>415733073.03029585</v>
          </cell>
          <cell r="S176">
            <v>3895704084.9977999</v>
          </cell>
          <cell r="T176">
            <v>5865774699.0078039</v>
          </cell>
          <cell r="U176">
            <v>4777311348.6126909</v>
          </cell>
          <cell r="V176">
            <v>745840838.39842546</v>
          </cell>
          <cell r="W176">
            <v>342622511.99668801</v>
          </cell>
          <cell r="X176">
            <v>3005367685.7893677</v>
          </cell>
          <cell r="AK176">
            <v>3005367685.7893677</v>
          </cell>
          <cell r="AX176">
            <v>3005367685.7893677</v>
          </cell>
          <cell r="BK176">
            <v>3005367685.7893677</v>
          </cell>
          <cell r="CB176">
            <v>0</v>
          </cell>
        </row>
        <row r="177">
          <cell r="H177">
            <v>0</v>
          </cell>
          <cell r="I177">
            <v>0</v>
          </cell>
          <cell r="J177">
            <v>0</v>
          </cell>
          <cell r="K177">
            <v>0</v>
          </cell>
          <cell r="L177">
            <v>1169700656.0012999</v>
          </cell>
          <cell r="M177">
            <v>143021927.99992999</v>
          </cell>
          <cell r="R177">
            <v>335830407.35090894</v>
          </cell>
          <cell r="S177">
            <v>2199093143.9983001</v>
          </cell>
          <cell r="T177">
            <v>9568876808.4736176</v>
          </cell>
          <cell r="U177">
            <v>6781843028.4805269</v>
          </cell>
          <cell r="V177">
            <v>2603701295.9947629</v>
          </cell>
          <cell r="W177">
            <v>183332483.99832731</v>
          </cell>
          <cell r="X177">
            <v>3354130735.9560142</v>
          </cell>
          <cell r="AK177">
            <v>3354130735.9560142</v>
          </cell>
          <cell r="AX177">
            <v>3354130735.9560142</v>
          </cell>
          <cell r="BK177">
            <v>3354130735.9560142</v>
          </cell>
          <cell r="CB177">
            <v>0</v>
          </cell>
        </row>
        <row r="178">
          <cell r="H178">
            <v>0</v>
          </cell>
          <cell r="I178">
            <v>0</v>
          </cell>
          <cell r="J178">
            <v>0</v>
          </cell>
          <cell r="K178">
            <v>0</v>
          </cell>
          <cell r="L178">
            <v>1824244335.8418</v>
          </cell>
          <cell r="M178">
            <v>1.9997358322143555E-5</v>
          </cell>
          <cell r="R178">
            <v>474958651.42990732</v>
          </cell>
          <cell r="S178">
            <v>2459833773.3579998</v>
          </cell>
          <cell r="T178">
            <v>11852033218.316217</v>
          </cell>
          <cell r="U178">
            <v>9435302413.4412289</v>
          </cell>
          <cell r="V178">
            <v>2393702324.875411</v>
          </cell>
          <cell r="W178">
            <v>23028479.999577723</v>
          </cell>
          <cell r="X178">
            <v>4152767494.7364864</v>
          </cell>
          <cell r="AK178">
            <v>4152767494.7364864</v>
          </cell>
          <cell r="AX178">
            <v>4152767494.7364864</v>
          </cell>
          <cell r="BK178">
            <v>4152767494.7364864</v>
          </cell>
          <cell r="CB178">
            <v>0</v>
          </cell>
        </row>
        <row r="179">
          <cell r="H179">
            <v>0</v>
          </cell>
          <cell r="I179">
            <v>0</v>
          </cell>
          <cell r="J179">
            <v>0</v>
          </cell>
          <cell r="K179">
            <v>0</v>
          </cell>
          <cell r="L179">
            <v>1914637119.5223</v>
          </cell>
          <cell r="M179">
            <v>10953252.000062</v>
          </cell>
          <cell r="R179">
            <v>415229270.39050812</v>
          </cell>
          <cell r="S179">
            <v>2567181019.1188002</v>
          </cell>
          <cell r="T179">
            <v>16060393142.574705</v>
          </cell>
          <cell r="U179">
            <v>11146515409.305222</v>
          </cell>
          <cell r="V179">
            <v>4600320073.2725916</v>
          </cell>
          <cell r="W179">
            <v>313557659.99689364</v>
          </cell>
          <cell r="X179">
            <v>5242098450.9015951</v>
          </cell>
          <cell r="AK179">
            <v>5242098450.9015951</v>
          </cell>
          <cell r="AX179">
            <v>5242098450.9015951</v>
          </cell>
          <cell r="BK179">
            <v>5242098450.9015951</v>
          </cell>
          <cell r="CB179">
            <v>0</v>
          </cell>
        </row>
        <row r="180">
          <cell r="H180">
            <v>0</v>
          </cell>
          <cell r="I180">
            <v>0</v>
          </cell>
          <cell r="J180">
            <v>0</v>
          </cell>
          <cell r="K180">
            <v>0</v>
          </cell>
          <cell r="L180">
            <v>1341738251.4682</v>
          </cell>
          <cell r="M180">
            <v>42232932.000074998</v>
          </cell>
          <cell r="R180">
            <v>235431065.51140606</v>
          </cell>
          <cell r="S180">
            <v>1334490271.8529</v>
          </cell>
          <cell r="T180">
            <v>4103875073.4698653</v>
          </cell>
          <cell r="U180">
            <v>3757755912.2195539</v>
          </cell>
          <cell r="V180">
            <v>269105717.78471971</v>
          </cell>
          <cell r="W180">
            <v>77013443.465592071</v>
          </cell>
          <cell r="X180">
            <v>1764441898.5756116</v>
          </cell>
          <cell r="AK180">
            <v>1764441898.5756116</v>
          </cell>
          <cell r="AX180">
            <v>1764441898.5756116</v>
          </cell>
          <cell r="BK180">
            <v>1764441898.5756116</v>
          </cell>
          <cell r="CB180">
            <v>0</v>
          </cell>
        </row>
        <row r="181">
          <cell r="H181">
            <v>0</v>
          </cell>
          <cell r="I181">
            <v>0</v>
          </cell>
          <cell r="J181">
            <v>0</v>
          </cell>
          <cell r="K181">
            <v>0</v>
          </cell>
          <cell r="L181">
            <v>1261808896.9217</v>
          </cell>
          <cell r="M181">
            <v>351289704.00003999</v>
          </cell>
          <cell r="R181">
            <v>382655681.51056278</v>
          </cell>
          <cell r="S181">
            <v>2452989026.3193998</v>
          </cell>
          <cell r="T181">
            <v>8447604810.2403173</v>
          </cell>
          <cell r="U181">
            <v>7160191034.1648064</v>
          </cell>
          <cell r="V181">
            <v>957004492.07868004</v>
          </cell>
          <cell r="W181">
            <v>330409283.996831</v>
          </cell>
          <cell r="X181">
            <v>3224087029.7480049</v>
          </cell>
          <cell r="AK181">
            <v>3224087029.7480049</v>
          </cell>
          <cell r="AX181">
            <v>3224087029.7480049</v>
          </cell>
          <cell r="BK181">
            <v>3224087029.7480049</v>
          </cell>
          <cell r="CB181">
            <v>0</v>
          </cell>
        </row>
        <row r="182">
          <cell r="H182">
            <v>0</v>
          </cell>
          <cell r="I182">
            <v>0</v>
          </cell>
          <cell r="J182">
            <v>0</v>
          </cell>
          <cell r="K182">
            <v>0</v>
          </cell>
          <cell r="L182">
            <v>1976635074.0018001</v>
          </cell>
          <cell r="M182">
            <v>191177748.00009999</v>
          </cell>
          <cell r="R182">
            <v>284824676.63131601</v>
          </cell>
          <cell r="S182">
            <v>2876475982.947</v>
          </cell>
          <cell r="T182">
            <v>8487272132.4775267</v>
          </cell>
          <cell r="U182">
            <v>7569939170.7196655</v>
          </cell>
          <cell r="V182">
            <v>833790479.75879478</v>
          </cell>
          <cell r="W182">
            <v>83542481.999066144</v>
          </cell>
          <cell r="X182">
            <v>3454096403.5144358</v>
          </cell>
          <cell r="AK182">
            <v>3454096403.5144358</v>
          </cell>
          <cell r="AX182">
            <v>3454096403.5144358</v>
          </cell>
          <cell r="BK182">
            <v>3454096403.5144358</v>
          </cell>
          <cell r="CB182">
            <v>0</v>
          </cell>
        </row>
        <row r="183">
          <cell r="H183">
            <v>0</v>
          </cell>
          <cell r="I183">
            <v>0</v>
          </cell>
          <cell r="J183">
            <v>0</v>
          </cell>
          <cell r="K183">
            <v>0</v>
          </cell>
          <cell r="L183">
            <v>2013540492.8427</v>
          </cell>
          <cell r="M183">
            <v>365562392.00001001</v>
          </cell>
          <cell r="R183">
            <v>279251683.19105971</v>
          </cell>
          <cell r="S183">
            <v>4057121213.4373999</v>
          </cell>
          <cell r="T183">
            <v>17306665369.308029</v>
          </cell>
          <cell r="U183">
            <v>13865973806.039696</v>
          </cell>
          <cell r="V183">
            <v>3006893123.272737</v>
          </cell>
          <cell r="W183">
            <v>433798439.99559522</v>
          </cell>
          <cell r="X183">
            <v>6465617392.6947994</v>
          </cell>
          <cell r="AK183">
            <v>6005535287.6947994</v>
          </cell>
          <cell r="AX183">
            <v>6005535287.6947994</v>
          </cell>
          <cell r="BK183">
            <v>5545453182.6947994</v>
          </cell>
          <cell r="CB183">
            <v>0</v>
          </cell>
        </row>
        <row r="184">
          <cell r="H184">
            <v>0</v>
          </cell>
          <cell r="I184">
            <v>0</v>
          </cell>
          <cell r="J184">
            <v>0</v>
          </cell>
          <cell r="K184">
            <v>0</v>
          </cell>
          <cell r="L184">
            <v>1423389895.914</v>
          </cell>
          <cell r="M184">
            <v>39760835.999897003</v>
          </cell>
          <cell r="R184">
            <v>181652173.91184554</v>
          </cell>
          <cell r="S184">
            <v>2319335935.1280999</v>
          </cell>
          <cell r="T184">
            <v>7111149944.4337606</v>
          </cell>
          <cell r="U184">
            <v>5779556890.4418039</v>
          </cell>
          <cell r="V184">
            <v>865736934.28513503</v>
          </cell>
          <cell r="W184">
            <v>465856119.70682168</v>
          </cell>
          <cell r="X184">
            <v>2768822196.3469009</v>
          </cell>
          <cell r="AK184">
            <v>2768822196.3469009</v>
          </cell>
          <cell r="AX184">
            <v>2768822196.3469009</v>
          </cell>
          <cell r="BK184">
            <v>2768822196.3469009</v>
          </cell>
          <cell r="CB184">
            <v>0</v>
          </cell>
        </row>
        <row r="185">
          <cell r="H185">
            <v>0</v>
          </cell>
          <cell r="I185">
            <v>0</v>
          </cell>
          <cell r="J185">
            <v>0</v>
          </cell>
          <cell r="K185">
            <v>0</v>
          </cell>
          <cell r="L185">
            <v>1728371252.0423999</v>
          </cell>
          <cell r="M185">
            <v>98261543.999916002</v>
          </cell>
          <cell r="R185">
            <v>415286682.71044034</v>
          </cell>
          <cell r="S185">
            <v>3562598077.7982001</v>
          </cell>
          <cell r="T185">
            <v>11659771239.766788</v>
          </cell>
          <cell r="U185">
            <v>9634874194.9752407</v>
          </cell>
          <cell r="V185">
            <v>1481458708.7968583</v>
          </cell>
          <cell r="W185">
            <v>543438335.99469054</v>
          </cell>
          <cell r="X185">
            <v>4366072199.0794363</v>
          </cell>
          <cell r="AK185">
            <v>4366072199.0794363</v>
          </cell>
          <cell r="AX185">
            <v>4366072199.0794363</v>
          </cell>
          <cell r="BK185">
            <v>4366072199.0794363</v>
          </cell>
          <cell r="CB185">
            <v>0</v>
          </cell>
        </row>
        <row r="186">
          <cell r="H186">
            <v>0</v>
          </cell>
          <cell r="I186">
            <v>0</v>
          </cell>
          <cell r="J186">
            <v>0</v>
          </cell>
          <cell r="K186">
            <v>0</v>
          </cell>
          <cell r="L186">
            <v>2559196327.7233</v>
          </cell>
          <cell r="M186">
            <v>439046819.99992001</v>
          </cell>
          <cell r="R186">
            <v>474556529.98988819</v>
          </cell>
          <cell r="S186">
            <v>7240097419.9547997</v>
          </cell>
          <cell r="T186">
            <v>20909016004.792122</v>
          </cell>
          <cell r="U186">
            <v>17449827266.64201</v>
          </cell>
          <cell r="V186">
            <v>3065665130.1541162</v>
          </cell>
          <cell r="W186">
            <v>393523607.99599361</v>
          </cell>
          <cell r="X186">
            <v>7905478275.6150074</v>
          </cell>
          <cell r="AK186">
            <v>7905478275.6150074</v>
          </cell>
          <cell r="AX186">
            <v>7905478275.6150074</v>
          </cell>
          <cell r="BK186">
            <v>7905478275.6150074</v>
          </cell>
          <cell r="CB186">
            <v>0</v>
          </cell>
        </row>
        <row r="187">
          <cell r="H187">
            <v>0</v>
          </cell>
          <cell r="I187">
            <v>0</v>
          </cell>
          <cell r="J187">
            <v>0</v>
          </cell>
          <cell r="K187">
            <v>0</v>
          </cell>
          <cell r="L187">
            <v>1965593676.4816999</v>
          </cell>
          <cell r="M187">
            <v>377294615.99996001</v>
          </cell>
          <cell r="R187">
            <v>342236596.79073209</v>
          </cell>
          <cell r="S187">
            <v>2564578217.0391002</v>
          </cell>
          <cell r="T187">
            <v>13799941245.66449</v>
          </cell>
          <cell r="U187">
            <v>10545902668.875479</v>
          </cell>
          <cell r="V187">
            <v>2740615432.7941799</v>
          </cell>
          <cell r="W187">
            <v>513423143.99483055</v>
          </cell>
          <cell r="X187">
            <v>4762411087.9939957</v>
          </cell>
          <cell r="AK187">
            <v>4762411087.9939957</v>
          </cell>
          <cell r="AX187">
            <v>4762411087.9939957</v>
          </cell>
          <cell r="BK187">
            <v>4762411087.9939957</v>
          </cell>
          <cell r="CB187">
            <v>0</v>
          </cell>
        </row>
        <row r="188">
          <cell r="H188">
            <v>0</v>
          </cell>
          <cell r="I188">
            <v>0</v>
          </cell>
          <cell r="J188">
            <v>0</v>
          </cell>
          <cell r="K188">
            <v>0</v>
          </cell>
          <cell r="L188">
            <v>1384706284.3223</v>
          </cell>
          <cell r="M188">
            <v>87330034.999991998</v>
          </cell>
          <cell r="R188">
            <v>396607345.67030275</v>
          </cell>
          <cell r="S188">
            <v>1169524288.7205</v>
          </cell>
          <cell r="T188">
            <v>11683709236.952133</v>
          </cell>
          <cell r="U188">
            <v>10533609702.63512</v>
          </cell>
          <cell r="V188">
            <v>1004023246.3184228</v>
          </cell>
          <cell r="W188">
            <v>146076287.99858966</v>
          </cell>
          <cell r="X188">
            <v>3680469297.6663074</v>
          </cell>
          <cell r="AK188">
            <v>3680469297.6663074</v>
          </cell>
          <cell r="AX188">
            <v>3680469297.6663074</v>
          </cell>
          <cell r="BK188">
            <v>3680469297.6663074</v>
          </cell>
          <cell r="CB188">
            <v>0</v>
          </cell>
        </row>
        <row r="189">
          <cell r="H189">
            <v>0</v>
          </cell>
          <cell r="I189">
            <v>0</v>
          </cell>
          <cell r="J189">
            <v>0</v>
          </cell>
          <cell r="K189">
            <v>0</v>
          </cell>
          <cell r="L189">
            <v>1515716243.4424</v>
          </cell>
          <cell r="M189">
            <v>299624915.99992001</v>
          </cell>
          <cell r="R189">
            <v>303626118.67115664</v>
          </cell>
          <cell r="S189">
            <v>2420818972.3178</v>
          </cell>
          <cell r="T189">
            <v>9172637085.0816479</v>
          </cell>
          <cell r="U189">
            <v>7645129955.9653149</v>
          </cell>
          <cell r="V189">
            <v>1527507129.116333</v>
          </cell>
          <cell r="W189">
            <v>0</v>
          </cell>
          <cell r="X189">
            <v>3428105833.878231</v>
          </cell>
          <cell r="AK189">
            <v>3428105833.878231</v>
          </cell>
          <cell r="AX189">
            <v>3428105833.878231</v>
          </cell>
          <cell r="BK189">
            <v>3428105833.878231</v>
          </cell>
          <cell r="CB189">
            <v>0</v>
          </cell>
        </row>
        <row r="190">
          <cell r="H190">
            <v>0</v>
          </cell>
          <cell r="I190">
            <v>0</v>
          </cell>
          <cell r="J190">
            <v>0</v>
          </cell>
          <cell r="K190">
            <v>0</v>
          </cell>
          <cell r="L190">
            <v>1252931536.5613</v>
          </cell>
          <cell r="M190">
            <v>0</v>
          </cell>
          <cell r="R190">
            <v>365525264.6308009</v>
          </cell>
          <cell r="S190">
            <v>1227125531.6800001</v>
          </cell>
          <cell r="T190">
            <v>6875667874.1842375</v>
          </cell>
          <cell r="U190">
            <v>5379235311.9524155</v>
          </cell>
          <cell r="V190">
            <v>918430998.2377497</v>
          </cell>
          <cell r="W190">
            <v>578001563.9940722</v>
          </cell>
          <cell r="X190">
            <v>2430312551.7640843</v>
          </cell>
          <cell r="AK190">
            <v>2430312551.7640843</v>
          </cell>
          <cell r="AX190">
            <v>2430312551.7640843</v>
          </cell>
          <cell r="BK190">
            <v>2430312551.7640843</v>
          </cell>
          <cell r="CB190">
            <v>0</v>
          </cell>
        </row>
        <row r="191">
          <cell r="H191">
            <v>0</v>
          </cell>
          <cell r="I191">
            <v>0</v>
          </cell>
          <cell r="J191">
            <v>0</v>
          </cell>
          <cell r="K191">
            <v>0</v>
          </cell>
          <cell r="L191">
            <v>1777801129.0011001</v>
          </cell>
          <cell r="M191">
            <v>118885079.99993999</v>
          </cell>
          <cell r="R191">
            <v>501843199.18981892</v>
          </cell>
          <cell r="S191">
            <v>4989205961.1575003</v>
          </cell>
          <cell r="T191">
            <v>14925055118.092543</v>
          </cell>
          <cell r="U191">
            <v>11773964328.185713</v>
          </cell>
          <cell r="V191">
            <v>2406949681.914402</v>
          </cell>
          <cell r="W191">
            <v>744141107.9924283</v>
          </cell>
          <cell r="X191">
            <v>5578197621.8602257</v>
          </cell>
          <cell r="AK191">
            <v>5578197621.8602257</v>
          </cell>
          <cell r="AX191">
            <v>5578197621.8602257</v>
          </cell>
          <cell r="BK191">
            <v>5578197621.8602257</v>
          </cell>
          <cell r="CB191">
            <v>0</v>
          </cell>
        </row>
        <row r="192">
          <cell r="H192">
            <v>0</v>
          </cell>
          <cell r="I192">
            <v>0</v>
          </cell>
          <cell r="J192">
            <v>0</v>
          </cell>
          <cell r="K192">
            <v>0</v>
          </cell>
          <cell r="L192">
            <v>3144524126.0840998</v>
          </cell>
          <cell r="M192">
            <v>1329675800.0000999</v>
          </cell>
          <cell r="R192">
            <v>478036314.94987941</v>
          </cell>
          <cell r="S192">
            <v>3430288722.6366997</v>
          </cell>
          <cell r="T192">
            <v>19900494377.89838</v>
          </cell>
          <cell r="U192">
            <v>12080162505.042244</v>
          </cell>
          <cell r="V192">
            <v>7325651288.8627653</v>
          </cell>
          <cell r="W192">
            <v>494680583.99336922</v>
          </cell>
          <cell r="X192">
            <v>7070754835.3922901</v>
          </cell>
          <cell r="AK192">
            <v>7070754835.3922901</v>
          </cell>
          <cell r="AX192">
            <v>7070754835.3922901</v>
          </cell>
          <cell r="BK192">
            <v>7070754835.3922901</v>
          </cell>
          <cell r="CB192">
            <v>0</v>
          </cell>
        </row>
        <row r="193">
          <cell r="H193">
            <v>0</v>
          </cell>
          <cell r="I193">
            <v>0</v>
          </cell>
          <cell r="J193">
            <v>0</v>
          </cell>
          <cell r="K193">
            <v>0</v>
          </cell>
          <cell r="L193">
            <v>1652942186.2421</v>
          </cell>
          <cell r="M193">
            <v>137837556.00011</v>
          </cell>
          <cell r="R193">
            <v>480867087.1097703</v>
          </cell>
          <cell r="S193">
            <v>3155964551.4783001</v>
          </cell>
          <cell r="T193">
            <v>11323842245.078587</v>
          </cell>
          <cell r="U193">
            <v>9670405160.4494877</v>
          </cell>
          <cell r="V193">
            <v>749556692.63825512</v>
          </cell>
          <cell r="W193">
            <v>903880391.99084389</v>
          </cell>
          <cell r="X193">
            <v>4187863406.4772172</v>
          </cell>
          <cell r="AK193">
            <v>4187863406.4772172</v>
          </cell>
          <cell r="AX193">
            <v>4187863406.4772172</v>
          </cell>
          <cell r="BK193">
            <v>4187863406.4772172</v>
          </cell>
          <cell r="CB193">
            <v>0</v>
          </cell>
        </row>
        <row r="194">
          <cell r="H194">
            <v>0</v>
          </cell>
          <cell r="I194">
            <v>0</v>
          </cell>
          <cell r="J194">
            <v>0</v>
          </cell>
          <cell r="K194">
            <v>0</v>
          </cell>
          <cell r="L194">
            <v>1387585073.5216999</v>
          </cell>
          <cell r="M194">
            <v>60654480.000086002</v>
          </cell>
          <cell r="R194">
            <v>320575911.59115481</v>
          </cell>
          <cell r="S194">
            <v>2693180907.6789999</v>
          </cell>
          <cell r="T194">
            <v>9423562245.5691471</v>
          </cell>
          <cell r="U194">
            <v>7935042187.1749907</v>
          </cell>
          <cell r="V194">
            <v>1313739470.396065</v>
          </cell>
          <cell r="W194">
            <v>174780587.99809113</v>
          </cell>
          <cell r="X194">
            <v>3471389654.5902719</v>
          </cell>
          <cell r="AK194">
            <v>3471389654.5902719</v>
          </cell>
          <cell r="AX194">
            <v>3471389654.5902719</v>
          </cell>
          <cell r="BK194">
            <v>3471389654.5902719</v>
          </cell>
          <cell r="CB194">
            <v>0</v>
          </cell>
        </row>
        <row r="195">
          <cell r="H195">
            <v>0</v>
          </cell>
          <cell r="I195">
            <v>0</v>
          </cell>
          <cell r="J195">
            <v>0</v>
          </cell>
          <cell r="K195">
            <v>0</v>
          </cell>
          <cell r="L195">
            <v>1638923182.4419</v>
          </cell>
          <cell r="M195">
            <v>265361111.99991</v>
          </cell>
          <cell r="R195">
            <v>458222924.87021101</v>
          </cell>
          <cell r="S195">
            <v>1127265051.8400002</v>
          </cell>
          <cell r="T195">
            <v>6412049166.6624269</v>
          </cell>
          <cell r="U195">
            <v>5252647142.4289255</v>
          </cell>
          <cell r="V195">
            <v>1096598520.2358916</v>
          </cell>
          <cell r="W195">
            <v>62803503.997610003</v>
          </cell>
          <cell r="X195">
            <v>2475455359.4536123</v>
          </cell>
          <cell r="AK195">
            <v>2475455359.4536123</v>
          </cell>
          <cell r="AX195">
            <v>2475455359.4536123</v>
          </cell>
          <cell r="BK195">
            <v>2475455359.4536123</v>
          </cell>
          <cell r="CB195">
            <v>0</v>
          </cell>
        </row>
        <row r="196">
          <cell r="H196">
            <v>0</v>
          </cell>
          <cell r="I196">
            <v>0</v>
          </cell>
          <cell r="J196">
            <v>0</v>
          </cell>
          <cell r="K196">
            <v>0</v>
          </cell>
          <cell r="L196">
            <v>1516973561.9586999</v>
          </cell>
          <cell r="M196">
            <v>78029099.999910995</v>
          </cell>
          <cell r="R196">
            <v>195482263.19172159</v>
          </cell>
          <cell r="S196">
            <v>2724120094.3041</v>
          </cell>
          <cell r="T196">
            <v>3970634328.8144631</v>
          </cell>
          <cell r="U196">
            <v>3614660642.0884466</v>
          </cell>
          <cell r="V196">
            <v>250454791.41091761</v>
          </cell>
          <cell r="W196">
            <v>105518895.31509857</v>
          </cell>
          <cell r="X196">
            <v>2121309837.0672238</v>
          </cell>
          <cell r="AK196">
            <v>2121309837.0672238</v>
          </cell>
          <cell r="AX196">
            <v>2121309837.0672238</v>
          </cell>
          <cell r="BK196">
            <v>2121309837.0672238</v>
          </cell>
          <cell r="CB196">
            <v>0</v>
          </cell>
        </row>
        <row r="197">
          <cell r="H197">
            <v>0</v>
          </cell>
          <cell r="I197">
            <v>0</v>
          </cell>
          <cell r="J197">
            <v>0</v>
          </cell>
          <cell r="K197">
            <v>0</v>
          </cell>
          <cell r="L197">
            <v>1241875245.3613</v>
          </cell>
          <cell r="M197">
            <v>486641707.99994999</v>
          </cell>
          <cell r="R197">
            <v>448158375.8301757</v>
          </cell>
          <cell r="S197">
            <v>2842470450.9597001</v>
          </cell>
          <cell r="T197">
            <v>11699554931.659061</v>
          </cell>
          <cell r="U197">
            <v>9069268437.986887</v>
          </cell>
          <cell r="V197">
            <v>2287530061.6757698</v>
          </cell>
          <cell r="W197">
            <v>342756431.99640518</v>
          </cell>
          <cell r="X197">
            <v>4179675177.9525466</v>
          </cell>
          <cell r="AK197">
            <v>4179675177.9525466</v>
          </cell>
          <cell r="AX197">
            <v>4179675177.9525466</v>
          </cell>
          <cell r="BK197">
            <v>4179675177.9525466</v>
          </cell>
          <cell r="CB197">
            <v>0</v>
          </cell>
        </row>
        <row r="198">
          <cell r="H198">
            <v>0</v>
          </cell>
          <cell r="I198">
            <v>0</v>
          </cell>
          <cell r="J198">
            <v>0</v>
          </cell>
          <cell r="K198">
            <v>0</v>
          </cell>
          <cell r="L198">
            <v>1137861675.2419</v>
          </cell>
          <cell r="M198">
            <v>163510416.00007999</v>
          </cell>
          <cell r="R198">
            <v>355267161.11058587</v>
          </cell>
          <cell r="S198">
            <v>1331817014.8385</v>
          </cell>
          <cell r="T198">
            <v>7705188052.641263</v>
          </cell>
          <cell r="U198">
            <v>6210428114.2481298</v>
          </cell>
          <cell r="V198">
            <v>1079858942.3971851</v>
          </cell>
          <cell r="W198">
            <v>414900995.99594784</v>
          </cell>
          <cell r="X198">
            <v>2673411079.9580822</v>
          </cell>
          <cell r="AK198">
            <v>2673411079.9580822</v>
          </cell>
          <cell r="AX198">
            <v>2673411079.9580822</v>
          </cell>
          <cell r="BK198">
            <v>2673411079.9580822</v>
          </cell>
          <cell r="CB198">
            <v>0</v>
          </cell>
        </row>
        <row r="199">
          <cell r="H199">
            <v>0</v>
          </cell>
          <cell r="I199">
            <v>0</v>
          </cell>
          <cell r="J199">
            <v>0</v>
          </cell>
          <cell r="K199">
            <v>0</v>
          </cell>
          <cell r="L199">
            <v>1169246824.8413</v>
          </cell>
          <cell r="M199">
            <v>323648848.99993998</v>
          </cell>
          <cell r="R199">
            <v>260643682.31127307</v>
          </cell>
          <cell r="S199">
            <v>2456466737.7593999</v>
          </cell>
          <cell r="T199">
            <v>7786381713.9959183</v>
          </cell>
          <cell r="U199">
            <v>6826126628.5586739</v>
          </cell>
          <cell r="V199">
            <v>960255085.43724489</v>
          </cell>
          <cell r="W199">
            <v>0</v>
          </cell>
          <cell r="X199">
            <v>2999096951.9769578</v>
          </cell>
          <cell r="AK199">
            <v>2999096951.9769578</v>
          </cell>
          <cell r="AX199">
            <v>2999096951.9769578</v>
          </cell>
          <cell r="BK199">
            <v>2999096951.9769578</v>
          </cell>
          <cell r="CB199">
            <v>0</v>
          </cell>
        </row>
        <row r="200">
          <cell r="H200">
            <v>0</v>
          </cell>
          <cell r="I200">
            <v>0</v>
          </cell>
          <cell r="J200">
            <v>0</v>
          </cell>
          <cell r="K200">
            <v>0</v>
          </cell>
          <cell r="L200">
            <v>931043127.12161005</v>
          </cell>
          <cell r="M200">
            <v>118348992.00008</v>
          </cell>
          <cell r="R200">
            <v>208948603.9117713</v>
          </cell>
          <cell r="S200">
            <v>581971076.63959002</v>
          </cell>
          <cell r="T200">
            <v>4251780180.2857852</v>
          </cell>
          <cell r="U200">
            <v>3908983067.8062577</v>
          </cell>
          <cell r="V200">
            <v>342797112.47952735</v>
          </cell>
          <cell r="W200">
            <v>0</v>
          </cell>
          <cell r="X200">
            <v>1523022994.9897091</v>
          </cell>
          <cell r="AK200">
            <v>1523022994.9897091</v>
          </cell>
          <cell r="AX200">
            <v>1523022994.9897091</v>
          </cell>
          <cell r="BK200">
            <v>1523022994.9897091</v>
          </cell>
          <cell r="CB200">
            <v>0</v>
          </cell>
        </row>
        <row r="201">
          <cell r="H201">
            <v>0</v>
          </cell>
          <cell r="I201">
            <v>0</v>
          </cell>
          <cell r="J201">
            <v>0</v>
          </cell>
          <cell r="K201">
            <v>0</v>
          </cell>
          <cell r="L201">
            <v>1202335329.1617999</v>
          </cell>
          <cell r="M201">
            <v>197329811.99992999</v>
          </cell>
          <cell r="R201">
            <v>322035264.75082594</v>
          </cell>
          <cell r="S201">
            <v>1035244583.5197999</v>
          </cell>
          <cell r="T201">
            <v>5025771837.5605478</v>
          </cell>
          <cell r="U201">
            <v>4124536468.0427947</v>
          </cell>
          <cell r="V201">
            <v>771516293.51911962</v>
          </cell>
          <cell r="W201">
            <v>129719075.99863368</v>
          </cell>
          <cell r="X201">
            <v>1945679206.7482259</v>
          </cell>
          <cell r="AK201">
            <v>1945679206.7482259</v>
          </cell>
          <cell r="AX201">
            <v>1945679206.7482259</v>
          </cell>
          <cell r="BK201">
            <v>1945679206.7482259</v>
          </cell>
          <cell r="CB201">
            <v>0</v>
          </cell>
        </row>
        <row r="202">
          <cell r="H202">
            <v>0</v>
          </cell>
          <cell r="I202">
            <v>0</v>
          </cell>
          <cell r="J202">
            <v>0</v>
          </cell>
          <cell r="K202">
            <v>0</v>
          </cell>
          <cell r="L202">
            <v>1185373880.7618001</v>
          </cell>
          <cell r="M202">
            <v>144327637.00001001</v>
          </cell>
          <cell r="R202">
            <v>384542047.23063707</v>
          </cell>
          <cell r="S202">
            <v>2249293534.3188</v>
          </cell>
          <cell r="T202">
            <v>8237190809.4846458</v>
          </cell>
          <cell r="U202">
            <v>6449027775.8117924</v>
          </cell>
          <cell r="V202">
            <v>1344988177.677201</v>
          </cell>
          <cell r="W202">
            <v>443174855.99565262</v>
          </cell>
          <cell r="X202">
            <v>3050181977.1989732</v>
          </cell>
          <cell r="AK202">
            <v>3050181977.1989732</v>
          </cell>
          <cell r="AX202">
            <v>3050181977.1989732</v>
          </cell>
          <cell r="BK202">
            <v>3050181977.1989732</v>
          </cell>
          <cell r="CB202">
            <v>0</v>
          </cell>
        </row>
        <row r="203">
          <cell r="H203">
            <v>0</v>
          </cell>
          <cell r="I203">
            <v>0</v>
          </cell>
          <cell r="J203">
            <v>0</v>
          </cell>
          <cell r="K203">
            <v>0</v>
          </cell>
          <cell r="L203">
            <v>2031202090.0816</v>
          </cell>
          <cell r="M203">
            <v>164829960.00009999</v>
          </cell>
          <cell r="R203">
            <v>277190409.91118032</v>
          </cell>
          <cell r="S203">
            <v>2376447769.9194002</v>
          </cell>
          <cell r="T203">
            <v>13438911937.757839</v>
          </cell>
          <cell r="U203">
            <v>11325047596.16494</v>
          </cell>
          <cell r="V203">
            <v>1938164541.5946302</v>
          </cell>
          <cell r="W203">
            <v>175699799.99826875</v>
          </cell>
          <cell r="X203">
            <v>4572145541.9175291</v>
          </cell>
          <cell r="AK203">
            <v>4572145541.9175291</v>
          </cell>
          <cell r="AX203">
            <v>4572145541.9175291</v>
          </cell>
          <cell r="BK203">
            <v>4572145541.9175291</v>
          </cell>
          <cell r="CB203">
            <v>0</v>
          </cell>
        </row>
        <row r="204">
          <cell r="H204">
            <v>0</v>
          </cell>
          <cell r="I204">
            <v>0</v>
          </cell>
          <cell r="J204">
            <v>0</v>
          </cell>
          <cell r="K204">
            <v>0</v>
          </cell>
          <cell r="L204">
            <v>1460125231.2816</v>
          </cell>
          <cell r="M204">
            <v>154727928</v>
          </cell>
          <cell r="R204">
            <v>224692656.71151429</v>
          </cell>
          <cell r="S204">
            <v>1814075133.5783</v>
          </cell>
          <cell r="T204">
            <v>5237770725.3280544</v>
          </cell>
          <cell r="U204">
            <v>3849941386.8362765</v>
          </cell>
          <cell r="V204">
            <v>1387829338.4917784</v>
          </cell>
          <cell r="W204">
            <v>0</v>
          </cell>
          <cell r="X204">
            <v>2222847918.7248673</v>
          </cell>
          <cell r="AK204">
            <v>2222847918.7248673</v>
          </cell>
          <cell r="AX204">
            <v>2222847918.7248673</v>
          </cell>
          <cell r="BK204">
            <v>2222847918.7248673</v>
          </cell>
          <cell r="CB204">
            <v>0</v>
          </cell>
        </row>
        <row r="205">
          <cell r="H205">
            <v>0</v>
          </cell>
          <cell r="I205">
            <v>0</v>
          </cell>
          <cell r="J205">
            <v>0</v>
          </cell>
          <cell r="K205">
            <v>0</v>
          </cell>
          <cell r="L205">
            <v>1425729047.7616999</v>
          </cell>
          <cell r="M205">
            <v>328969735.99994999</v>
          </cell>
          <cell r="R205">
            <v>241901048.711604</v>
          </cell>
          <cell r="S205">
            <v>3848121561.5984998</v>
          </cell>
          <cell r="T205">
            <v>8202117402.225729</v>
          </cell>
          <cell r="U205">
            <v>6620511398.1489954</v>
          </cell>
          <cell r="V205">
            <v>1581606004.0767331</v>
          </cell>
          <cell r="W205">
            <v>0</v>
          </cell>
          <cell r="X205">
            <v>3511709699.0743704</v>
          </cell>
          <cell r="AK205">
            <v>3511709699.0743704</v>
          </cell>
          <cell r="AX205">
            <v>3511709699.0743704</v>
          </cell>
          <cell r="BK205">
            <v>3511709699.0743704</v>
          </cell>
          <cell r="CB205">
            <v>0</v>
          </cell>
        </row>
        <row r="206">
          <cell r="H206">
            <v>0</v>
          </cell>
          <cell r="I206">
            <v>0</v>
          </cell>
          <cell r="J206">
            <v>0</v>
          </cell>
          <cell r="K206">
            <v>0</v>
          </cell>
          <cell r="L206">
            <v>1188285964.5608001</v>
          </cell>
          <cell r="M206">
            <v>612582503.99995995</v>
          </cell>
          <cell r="R206">
            <v>412829360.15056026</v>
          </cell>
          <cell r="S206">
            <v>3793353701.1992002</v>
          </cell>
          <cell r="T206">
            <v>7622715828.8759804</v>
          </cell>
          <cell r="U206">
            <v>5501744593.1266088</v>
          </cell>
          <cell r="V206">
            <v>1388494391.7566674</v>
          </cell>
          <cell r="W206">
            <v>732476843.99270427</v>
          </cell>
          <cell r="X206">
            <v>3407441839.6966252</v>
          </cell>
          <cell r="AK206">
            <v>3407441839.6966252</v>
          </cell>
          <cell r="AX206">
            <v>3407441839.6966252</v>
          </cell>
          <cell r="BK206">
            <v>3407441839.6966252</v>
          </cell>
          <cell r="CB206">
            <v>0</v>
          </cell>
        </row>
        <row r="207">
          <cell r="H207">
            <v>0</v>
          </cell>
          <cell r="I207">
            <v>0</v>
          </cell>
          <cell r="J207">
            <v>0</v>
          </cell>
          <cell r="K207">
            <v>0</v>
          </cell>
          <cell r="L207">
            <v>2362945286.6457</v>
          </cell>
          <cell r="M207">
            <v>72290651.999969006</v>
          </cell>
          <cell r="R207">
            <v>181652173.91184554</v>
          </cell>
          <cell r="S207">
            <v>1026709787.0098</v>
          </cell>
          <cell r="T207">
            <v>5384224542.4572449</v>
          </cell>
          <cell r="U207">
            <v>4505746505.9256449</v>
          </cell>
          <cell r="V207">
            <v>705421524.88978565</v>
          </cell>
          <cell r="W207">
            <v>173056511.6418139</v>
          </cell>
          <cell r="X207">
            <v>2256955610.5061398</v>
          </cell>
          <cell r="AK207">
            <v>2256955610.5061398</v>
          </cell>
          <cell r="AX207">
            <v>2256955610.5061398</v>
          </cell>
          <cell r="BK207">
            <v>2256955610.5061398</v>
          </cell>
          <cell r="CB207">
            <v>0</v>
          </cell>
        </row>
        <row r="208">
          <cell r="H208">
            <v>0</v>
          </cell>
          <cell r="I208">
            <v>0</v>
          </cell>
          <cell r="J208">
            <v>0</v>
          </cell>
          <cell r="K208">
            <v>0</v>
          </cell>
          <cell r="L208">
            <v>1306502338.8011</v>
          </cell>
          <cell r="M208">
            <v>110469827.99992999</v>
          </cell>
          <cell r="R208">
            <v>194465081.99191931</v>
          </cell>
          <cell r="S208">
            <v>1311502048.0796001</v>
          </cell>
          <cell r="T208">
            <v>6706646354.7787027</v>
          </cell>
          <cell r="U208">
            <v>5419488835.5818291</v>
          </cell>
          <cell r="V208">
            <v>1283360803.1968374</v>
          </cell>
          <cell r="W208">
            <v>3796716.0000362312</v>
          </cell>
          <cell r="X208">
            <v>2407396412.9128132</v>
          </cell>
          <cell r="AK208">
            <v>2407396412.9128132</v>
          </cell>
          <cell r="AX208">
            <v>2407396412.9128132</v>
          </cell>
          <cell r="BK208">
            <v>2407396412.9128132</v>
          </cell>
          <cell r="CB208">
            <v>0</v>
          </cell>
        </row>
        <row r="209">
          <cell r="H209">
            <v>0</v>
          </cell>
          <cell r="I209">
            <v>0</v>
          </cell>
          <cell r="J209">
            <v>0</v>
          </cell>
          <cell r="K209">
            <v>0</v>
          </cell>
          <cell r="L209">
            <v>1374724641.6412001</v>
          </cell>
          <cell r="M209">
            <v>84615104.000018999</v>
          </cell>
          <cell r="R209">
            <v>384777797.03054947</v>
          </cell>
          <cell r="S209">
            <v>1668204662.8798001</v>
          </cell>
          <cell r="T209">
            <v>12443362899.002163</v>
          </cell>
          <cell r="U209">
            <v>10251726446.053419</v>
          </cell>
          <cell r="V209">
            <v>1414523916.9565766</v>
          </cell>
          <cell r="W209">
            <v>777112535.99216604</v>
          </cell>
          <cell r="X209">
            <v>3988921276.138433</v>
          </cell>
          <cell r="AK209">
            <v>3988921276.138433</v>
          </cell>
          <cell r="AX209">
            <v>3988921276.138433</v>
          </cell>
          <cell r="BK209">
            <v>3988921276.138433</v>
          </cell>
          <cell r="CB209">
            <v>0</v>
          </cell>
        </row>
        <row r="210">
          <cell r="H210">
            <v>0</v>
          </cell>
          <cell r="I210">
            <v>0</v>
          </cell>
          <cell r="J210">
            <v>0</v>
          </cell>
          <cell r="K210">
            <v>0</v>
          </cell>
          <cell r="L210">
            <v>1246392030.6417</v>
          </cell>
          <cell r="M210">
            <v>74114520.000069007</v>
          </cell>
          <cell r="R210">
            <v>181652173.91184554</v>
          </cell>
          <cell r="S210">
            <v>1941784081.7553</v>
          </cell>
          <cell r="T210">
            <v>4042351160.1771326</v>
          </cell>
          <cell r="U210">
            <v>3540927591.2244534</v>
          </cell>
          <cell r="V210">
            <v>418411540.95366573</v>
          </cell>
          <cell r="W210">
            <v>83012027.999013558</v>
          </cell>
          <cell r="X210">
            <v>1871573491.6215119</v>
          </cell>
          <cell r="AK210">
            <v>1871573491.6215119</v>
          </cell>
          <cell r="AX210">
            <v>1871573491.6215119</v>
          </cell>
          <cell r="BK210">
            <v>1871573491.6215119</v>
          </cell>
          <cell r="CB210">
            <v>0</v>
          </cell>
        </row>
        <row r="211">
          <cell r="H211">
            <v>0</v>
          </cell>
          <cell r="I211">
            <v>0</v>
          </cell>
          <cell r="J211">
            <v>0</v>
          </cell>
          <cell r="K211">
            <v>0</v>
          </cell>
          <cell r="L211">
            <v>1165309915.4417</v>
          </cell>
          <cell r="M211">
            <v>123054179.99996001</v>
          </cell>
          <cell r="R211">
            <v>305470814.87123352</v>
          </cell>
          <cell r="S211">
            <v>1198615844.1605999</v>
          </cell>
          <cell r="T211">
            <v>8832372131.4288025</v>
          </cell>
          <cell r="U211">
            <v>7680531530.5533743</v>
          </cell>
          <cell r="V211">
            <v>838282940.87853563</v>
          </cell>
          <cell r="W211">
            <v>313557659.99689364</v>
          </cell>
          <cell r="X211">
            <v>2906205721.4755745</v>
          </cell>
          <cell r="AK211">
            <v>2906205721.4755745</v>
          </cell>
          <cell r="AX211">
            <v>2906205721.4755745</v>
          </cell>
          <cell r="BK211">
            <v>2906205721.4755745</v>
          </cell>
          <cell r="CB211">
            <v>0</v>
          </cell>
        </row>
        <row r="212">
          <cell r="H212">
            <v>0</v>
          </cell>
          <cell r="I212">
            <v>0</v>
          </cell>
          <cell r="J212">
            <v>0</v>
          </cell>
          <cell r="K212">
            <v>0</v>
          </cell>
          <cell r="L212">
            <v>1240733745.3612001</v>
          </cell>
          <cell r="M212">
            <v>124398995.99997</v>
          </cell>
          <cell r="R212">
            <v>289319078.15125233</v>
          </cell>
          <cell r="S212">
            <v>1394432803.6784999</v>
          </cell>
          <cell r="T212">
            <v>5809316965.8981256</v>
          </cell>
          <cell r="U212">
            <v>4795032561.8218918</v>
          </cell>
          <cell r="V212">
            <v>852826180.0779146</v>
          </cell>
          <cell r="W212">
            <v>161458223.99831921</v>
          </cell>
          <cell r="X212">
            <v>2214550397.2722621</v>
          </cell>
          <cell r="AK212">
            <v>2214550397.2722621</v>
          </cell>
          <cell r="AX212">
            <v>2214550397.2722621</v>
          </cell>
          <cell r="BK212">
            <v>2214550397.2722621</v>
          </cell>
          <cell r="CB212">
            <v>0</v>
          </cell>
        </row>
        <row r="213">
          <cell r="H213">
            <v>0</v>
          </cell>
          <cell r="I213">
            <v>0</v>
          </cell>
          <cell r="J213">
            <v>0</v>
          </cell>
          <cell r="K213">
            <v>0</v>
          </cell>
          <cell r="L213">
            <v>655916737.40029001</v>
          </cell>
          <cell r="M213">
            <v>99053303.999961004</v>
          </cell>
          <cell r="R213">
            <v>320324929.67087448</v>
          </cell>
          <cell r="S213">
            <v>1985035690.7183001</v>
          </cell>
          <cell r="T213">
            <v>2471647624.5054593</v>
          </cell>
          <cell r="U213">
            <v>2208224259.5459495</v>
          </cell>
          <cell r="V213">
            <v>263423364.95950988</v>
          </cell>
          <cell r="W213">
            <v>0</v>
          </cell>
          <cell r="X213">
            <v>1382994571.5737212</v>
          </cell>
          <cell r="AK213">
            <v>1382994571.5737212</v>
          </cell>
          <cell r="AX213">
            <v>1382994571.5737212</v>
          </cell>
          <cell r="BK213">
            <v>1382994571.5737212</v>
          </cell>
          <cell r="CB213">
            <v>0</v>
          </cell>
        </row>
        <row r="214">
          <cell r="H214">
            <v>0</v>
          </cell>
          <cell r="I214">
            <v>0</v>
          </cell>
          <cell r="J214">
            <v>0</v>
          </cell>
          <cell r="K214">
            <v>0</v>
          </cell>
          <cell r="L214">
            <v>795231949.56150997</v>
          </cell>
          <cell r="M214">
            <v>146809391.99998</v>
          </cell>
          <cell r="R214">
            <v>275857441.43131769</v>
          </cell>
          <cell r="S214">
            <v>2048898430.3201001</v>
          </cell>
          <cell r="T214">
            <v>7572387210.6852732</v>
          </cell>
          <cell r="U214">
            <v>6655977862.2882996</v>
          </cell>
          <cell r="V214">
            <v>916409348.39697337</v>
          </cell>
          <cell r="W214">
            <v>0</v>
          </cell>
          <cell r="X214">
            <v>2709796105.9995451</v>
          </cell>
          <cell r="AK214">
            <v>2709796105.9995451</v>
          </cell>
          <cell r="AX214">
            <v>2709796105.9995451</v>
          </cell>
          <cell r="BK214">
            <v>2709796105.9995451</v>
          </cell>
          <cell r="CB214">
            <v>0</v>
          </cell>
        </row>
        <row r="215">
          <cell r="H215">
            <v>0</v>
          </cell>
          <cell r="I215">
            <v>0</v>
          </cell>
          <cell r="J215">
            <v>0</v>
          </cell>
          <cell r="K215">
            <v>0</v>
          </cell>
          <cell r="L215">
            <v>1011727143.3209</v>
          </cell>
          <cell r="M215">
            <v>118646015.99996001</v>
          </cell>
          <cell r="R215">
            <v>328685782.07096231</v>
          </cell>
          <cell r="S215">
            <v>1037952441.1195</v>
          </cell>
          <cell r="T215">
            <v>9906322659.0611725</v>
          </cell>
          <cell r="U215">
            <v>8454631830.1886902</v>
          </cell>
          <cell r="V215">
            <v>950876120.87745154</v>
          </cell>
          <cell r="W215">
            <v>500814707.99503231</v>
          </cell>
          <cell r="X215">
            <v>3100833510.3931236</v>
          </cell>
          <cell r="AK215">
            <v>3100833510.3931236</v>
          </cell>
          <cell r="AX215">
            <v>3100833510.3931236</v>
          </cell>
          <cell r="BK215">
            <v>3100833510.3931236</v>
          </cell>
          <cell r="CB215">
            <v>0</v>
          </cell>
        </row>
        <row r="216">
          <cell r="H216">
            <v>0</v>
          </cell>
          <cell r="I216">
            <v>0</v>
          </cell>
          <cell r="J216">
            <v>0</v>
          </cell>
          <cell r="K216">
            <v>0</v>
          </cell>
          <cell r="L216">
            <v>1038889015.4403</v>
          </cell>
          <cell r="M216">
            <v>154131600.00002</v>
          </cell>
          <cell r="R216">
            <v>303749844.71111053</v>
          </cell>
          <cell r="S216">
            <v>2105457949.1575999</v>
          </cell>
          <cell r="T216">
            <v>6177729300.0205936</v>
          </cell>
          <cell r="U216">
            <v>5247976255.9418268</v>
          </cell>
          <cell r="V216">
            <v>929753044.07876706</v>
          </cell>
          <cell r="W216">
            <v>0</v>
          </cell>
          <cell r="X216">
            <v>2444989427.332406</v>
          </cell>
          <cell r="AK216">
            <v>2444989427.332406</v>
          </cell>
          <cell r="AX216">
            <v>2444989427.332406</v>
          </cell>
          <cell r="BK216">
            <v>2444989427.332406</v>
          </cell>
          <cell r="CB216">
            <v>0</v>
          </cell>
        </row>
        <row r="217">
          <cell r="H217">
            <v>0</v>
          </cell>
          <cell r="I217">
            <v>0</v>
          </cell>
          <cell r="J217">
            <v>0</v>
          </cell>
          <cell r="K217">
            <v>0</v>
          </cell>
          <cell r="L217">
            <v>1118928819.7209001</v>
          </cell>
          <cell r="M217">
            <v>137889383.99991</v>
          </cell>
          <cell r="R217">
            <v>335144249.9910022</v>
          </cell>
          <cell r="S217">
            <v>2464116589.6785998</v>
          </cell>
          <cell r="T217">
            <v>3460793458.7760286</v>
          </cell>
          <cell r="U217">
            <v>2421102883.7797694</v>
          </cell>
          <cell r="V217">
            <v>726132914.99936557</v>
          </cell>
          <cell r="W217">
            <v>313557659.99689364</v>
          </cell>
          <cell r="X217">
            <v>1879218125.5416102</v>
          </cell>
          <cell r="AK217">
            <v>1879218125.5416102</v>
          </cell>
          <cell r="AX217">
            <v>1879218125.5416102</v>
          </cell>
          <cell r="BK217">
            <v>1879218125.5416102</v>
          </cell>
          <cell r="CB217">
            <v>0</v>
          </cell>
        </row>
        <row r="218">
          <cell r="H218">
            <v>0</v>
          </cell>
          <cell r="I218">
            <v>0</v>
          </cell>
          <cell r="J218">
            <v>0</v>
          </cell>
          <cell r="K218">
            <v>0</v>
          </cell>
          <cell r="L218">
            <v>653020697.28103995</v>
          </cell>
          <cell r="M218">
            <v>85303470</v>
          </cell>
          <cell r="R218">
            <v>275927067.91107959</v>
          </cell>
          <cell r="S218">
            <v>426636913.56355</v>
          </cell>
          <cell r="T218">
            <v>1065878190.8833127</v>
          </cell>
          <cell r="U218">
            <v>766383465.8354944</v>
          </cell>
          <cell r="V218">
            <v>299494725.0478183</v>
          </cell>
          <cell r="W218">
            <v>0</v>
          </cell>
          <cell r="X218">
            <v>626691584.90974557</v>
          </cell>
          <cell r="AK218">
            <v>626691584.90974557</v>
          </cell>
          <cell r="AX218">
            <v>626691584.90974557</v>
          </cell>
          <cell r="BK218">
            <v>626691584.90974557</v>
          </cell>
          <cell r="CB218">
            <v>0</v>
          </cell>
        </row>
        <row r="219">
          <cell r="H219">
            <v>0</v>
          </cell>
          <cell r="I219">
            <v>0</v>
          </cell>
          <cell r="J219">
            <v>0</v>
          </cell>
          <cell r="K219">
            <v>0</v>
          </cell>
          <cell r="L219">
            <v>1171867510.9207001</v>
          </cell>
          <cell r="M219">
            <v>599999999.99997997</v>
          </cell>
          <cell r="R219">
            <v>445297779.3502385</v>
          </cell>
          <cell r="S219">
            <v>2267369362.7586002</v>
          </cell>
          <cell r="T219">
            <v>5682375378.1620674</v>
          </cell>
          <cell r="U219">
            <v>4311808348.0067415</v>
          </cell>
          <cell r="V219">
            <v>1156582178.1575427</v>
          </cell>
          <cell r="W219">
            <v>213984851.99778408</v>
          </cell>
          <cell r="X219">
            <v>2541727507.7978969</v>
          </cell>
          <cell r="AK219">
            <v>2541727507.7978969</v>
          </cell>
          <cell r="AX219">
            <v>2541727507.7978969</v>
          </cell>
          <cell r="BK219">
            <v>2541727507.7978969</v>
          </cell>
          <cell r="CB219">
            <v>0</v>
          </cell>
        </row>
        <row r="220">
          <cell r="H220">
            <v>0</v>
          </cell>
          <cell r="I220">
            <v>0</v>
          </cell>
          <cell r="J220">
            <v>0</v>
          </cell>
          <cell r="K220">
            <v>0</v>
          </cell>
          <cell r="L220">
            <v>1054619024.2007</v>
          </cell>
          <cell r="M220">
            <v>104608619.99996001</v>
          </cell>
          <cell r="R220">
            <v>313367246.39112425</v>
          </cell>
          <cell r="S220">
            <v>1088475741.3598001</v>
          </cell>
          <cell r="T220">
            <v>6570843027.9263229</v>
          </cell>
          <cell r="U220">
            <v>6118444377.4470463</v>
          </cell>
          <cell r="V220">
            <v>452398650.47927648</v>
          </cell>
          <cell r="W220">
            <v>0</v>
          </cell>
          <cell r="X220">
            <v>2282978414.9694767</v>
          </cell>
          <cell r="AK220">
            <v>2282978414.9694767</v>
          </cell>
          <cell r="AX220">
            <v>2282978414.9694767</v>
          </cell>
          <cell r="BK220">
            <v>2282978414.9694767</v>
          </cell>
          <cell r="CB220">
            <v>0</v>
          </cell>
        </row>
        <row r="221">
          <cell r="H221">
            <v>0</v>
          </cell>
          <cell r="I221">
            <v>0</v>
          </cell>
          <cell r="J221">
            <v>0</v>
          </cell>
          <cell r="K221">
            <v>0</v>
          </cell>
          <cell r="L221">
            <v>1203847550.2021</v>
          </cell>
          <cell r="M221">
            <v>238343512.00009999</v>
          </cell>
          <cell r="R221">
            <v>295970479.5912599</v>
          </cell>
          <cell r="S221">
            <v>1666936707.7593</v>
          </cell>
          <cell r="T221">
            <v>4594942009.0992012</v>
          </cell>
          <cell r="U221">
            <v>3839214762.1400719</v>
          </cell>
          <cell r="V221">
            <v>755727246.95912981</v>
          </cell>
          <cell r="W221">
            <v>0</v>
          </cell>
          <cell r="X221">
            <v>2000010064.6629906</v>
          </cell>
          <cell r="AK221">
            <v>2000010064.6629906</v>
          </cell>
          <cell r="AX221">
            <v>2000010064.6629906</v>
          </cell>
          <cell r="BK221">
            <v>2000010064.6629906</v>
          </cell>
          <cell r="CB221">
            <v>0</v>
          </cell>
        </row>
        <row r="222">
          <cell r="H222">
            <v>0</v>
          </cell>
          <cell r="I222">
            <v>0</v>
          </cell>
          <cell r="J222">
            <v>0</v>
          </cell>
          <cell r="K222">
            <v>0</v>
          </cell>
          <cell r="L222">
            <v>1109193810.961</v>
          </cell>
          <cell r="M222">
            <v>42795648.000028998</v>
          </cell>
          <cell r="R222">
            <v>181652173.91184554</v>
          </cell>
          <cell r="S222">
            <v>1646489378.3866999</v>
          </cell>
          <cell r="T222">
            <v>4741076941.9698811</v>
          </cell>
          <cell r="U222">
            <v>4141751393.110167</v>
          </cell>
          <cell r="V222">
            <v>599325548.85971415</v>
          </cell>
          <cell r="W222">
            <v>0</v>
          </cell>
          <cell r="X222">
            <v>1930301988.307364</v>
          </cell>
          <cell r="AK222">
            <v>1930301988.307364</v>
          </cell>
          <cell r="AX222">
            <v>1930301988.307364</v>
          </cell>
          <cell r="BK222">
            <v>1930301988.307364</v>
          </cell>
          <cell r="CB222">
            <v>0</v>
          </cell>
        </row>
        <row r="223">
          <cell r="H223">
            <v>0</v>
          </cell>
          <cell r="I223">
            <v>0</v>
          </cell>
          <cell r="J223">
            <v>0</v>
          </cell>
          <cell r="K223">
            <v>0</v>
          </cell>
          <cell r="L223">
            <v>993522146.28137004</v>
          </cell>
          <cell r="M223">
            <v>135757439.99992001</v>
          </cell>
          <cell r="R223">
            <v>220146464.15169546</v>
          </cell>
          <cell r="S223">
            <v>868965768.72022998</v>
          </cell>
          <cell r="T223">
            <v>3863481528.8488531</v>
          </cell>
          <cell r="U223">
            <v>3207183741.2505393</v>
          </cell>
          <cell r="V223">
            <v>656297787.59831369</v>
          </cell>
          <cell r="W223">
            <v>0</v>
          </cell>
          <cell r="X223">
            <v>1520468337.0005171</v>
          </cell>
          <cell r="AK223">
            <v>1520468337.0005171</v>
          </cell>
          <cell r="AX223">
            <v>1520468337.0005171</v>
          </cell>
          <cell r="BK223">
            <v>1520468337.0005171</v>
          </cell>
          <cell r="CB223">
            <v>0</v>
          </cell>
        </row>
        <row r="224">
          <cell r="H224">
            <v>0</v>
          </cell>
          <cell r="I224">
            <v>0</v>
          </cell>
          <cell r="J224">
            <v>0</v>
          </cell>
          <cell r="K224">
            <v>0</v>
          </cell>
          <cell r="L224">
            <v>1020736943.2409</v>
          </cell>
          <cell r="M224">
            <v>285829043.99996001</v>
          </cell>
          <cell r="R224">
            <v>279824959.67110276</v>
          </cell>
          <cell r="S224">
            <v>1429667880.4798</v>
          </cell>
          <cell r="T224">
            <v>6992319349.4044561</v>
          </cell>
          <cell r="U224">
            <v>5998915436.368125</v>
          </cell>
          <cell r="V224">
            <v>712305893.03920889</v>
          </cell>
          <cell r="W224">
            <v>281098019.99712235</v>
          </cell>
          <cell r="X224">
            <v>2502094544.1990547</v>
          </cell>
          <cell r="AK224">
            <v>2502094544.1990547</v>
          </cell>
          <cell r="AX224">
            <v>2502094544.1990547</v>
          </cell>
          <cell r="BK224">
            <v>2502094544.1990547</v>
          </cell>
          <cell r="CB224">
            <v>0</v>
          </cell>
        </row>
        <row r="225">
          <cell r="H225">
            <v>0</v>
          </cell>
          <cell r="I225">
            <v>0</v>
          </cell>
          <cell r="J225">
            <v>0</v>
          </cell>
          <cell r="K225">
            <v>0</v>
          </cell>
          <cell r="L225">
            <v>985635622.68136001</v>
          </cell>
          <cell r="M225">
            <v>81406463.999907002</v>
          </cell>
          <cell r="R225">
            <v>217987234.07156131</v>
          </cell>
          <cell r="S225">
            <v>1035789635.9984</v>
          </cell>
          <cell r="T225">
            <v>7485868342.0724602</v>
          </cell>
          <cell r="U225">
            <v>6110337360.9596529</v>
          </cell>
          <cell r="V225">
            <v>892210761.11768699</v>
          </cell>
          <cell r="W225">
            <v>483320219.99511963</v>
          </cell>
          <cell r="X225">
            <v>2451671824.7059221</v>
          </cell>
          <cell r="AK225">
            <v>2451671824.7059221</v>
          </cell>
          <cell r="AX225">
            <v>2451671824.7059221</v>
          </cell>
          <cell r="BK225">
            <v>2451671824.7059221</v>
          </cell>
          <cell r="CB225">
            <v>0</v>
          </cell>
        </row>
        <row r="226">
          <cell r="H226">
            <v>0</v>
          </cell>
          <cell r="I226">
            <v>0</v>
          </cell>
          <cell r="J226">
            <v>0</v>
          </cell>
          <cell r="K226">
            <v>0</v>
          </cell>
          <cell r="L226">
            <v>1929863634.3622</v>
          </cell>
          <cell r="M226">
            <v>218129555.99992001</v>
          </cell>
          <cell r="R226">
            <v>384106204.63045776</v>
          </cell>
          <cell r="S226">
            <v>2164133106.2399998</v>
          </cell>
          <cell r="T226">
            <v>4722740850.8831215</v>
          </cell>
          <cell r="U226">
            <v>3961262211.2846675</v>
          </cell>
          <cell r="V226">
            <v>761478639.598454</v>
          </cell>
          <cell r="W226">
            <v>0</v>
          </cell>
          <cell r="X226">
            <v>2354743338.0289249</v>
          </cell>
          <cell r="AK226">
            <v>2354743338.0289249</v>
          </cell>
          <cell r="AX226">
            <v>2354743338.0289249</v>
          </cell>
          <cell r="BK226">
            <v>2354743338.0289249</v>
          </cell>
          <cell r="CB226">
            <v>0</v>
          </cell>
        </row>
        <row r="227">
          <cell r="H227">
            <v>0</v>
          </cell>
          <cell r="I227">
            <v>0</v>
          </cell>
          <cell r="J227">
            <v>0</v>
          </cell>
          <cell r="K227">
            <v>0</v>
          </cell>
          <cell r="L227">
            <v>1381871738.0416999</v>
          </cell>
          <cell r="M227">
            <v>98982287.999988005</v>
          </cell>
          <cell r="R227">
            <v>360825909.38051808</v>
          </cell>
          <cell r="S227">
            <v>741871486.87738001</v>
          </cell>
          <cell r="T227">
            <v>1296266144.0231664</v>
          </cell>
          <cell r="U227">
            <v>1179344921.5494306</v>
          </cell>
          <cell r="V227">
            <v>116921222.47373572</v>
          </cell>
          <cell r="W227">
            <v>0</v>
          </cell>
          <cell r="X227">
            <v>969954391.58068812</v>
          </cell>
          <cell r="AK227">
            <v>969954391.58068812</v>
          </cell>
          <cell r="AX227">
            <v>969954391.58068812</v>
          </cell>
          <cell r="BK227">
            <v>969954391.58068812</v>
          </cell>
          <cell r="CB227">
            <v>0</v>
          </cell>
        </row>
        <row r="228">
          <cell r="H228">
            <v>0</v>
          </cell>
          <cell r="I228">
            <v>0</v>
          </cell>
          <cell r="J228">
            <v>0</v>
          </cell>
          <cell r="K228">
            <v>0</v>
          </cell>
          <cell r="L228">
            <v>963102581.16114998</v>
          </cell>
          <cell r="M228">
            <v>91072151.999937996</v>
          </cell>
          <cell r="R228">
            <v>364969758.71067476</v>
          </cell>
          <cell r="S228">
            <v>1010732239.4384</v>
          </cell>
          <cell r="T228">
            <v>5890037895.098875</v>
          </cell>
          <cell r="U228">
            <v>4232655637.6665354</v>
          </cell>
          <cell r="V228">
            <v>1083894433.4379683</v>
          </cell>
          <cell r="W228">
            <v>573487823.99437106</v>
          </cell>
          <cell r="X228">
            <v>2079978656.6022594</v>
          </cell>
          <cell r="AK228">
            <v>2079978656.6022594</v>
          </cell>
          <cell r="AX228">
            <v>2079978656.6022594</v>
          </cell>
          <cell r="BK228">
            <v>2079978656.6022594</v>
          </cell>
          <cell r="CB228">
            <v>0</v>
          </cell>
        </row>
        <row r="229">
          <cell r="H229">
            <v>0</v>
          </cell>
          <cell r="I229">
            <v>0</v>
          </cell>
          <cell r="J229">
            <v>0</v>
          </cell>
          <cell r="K229">
            <v>0</v>
          </cell>
          <cell r="L229">
            <v>824406045.52022004</v>
          </cell>
          <cell r="M229">
            <v>355739532.00002998</v>
          </cell>
          <cell r="R229">
            <v>388305304.31064039</v>
          </cell>
          <cell r="S229">
            <v>2093638620.3578</v>
          </cell>
          <cell r="T229">
            <v>6096302368.9768066</v>
          </cell>
          <cell r="U229">
            <v>5301345707.6996384</v>
          </cell>
          <cell r="V229">
            <v>575370677.27922714</v>
          </cell>
          <cell r="W229">
            <v>219585983.99794149</v>
          </cell>
          <cell r="X229">
            <v>2439597967.7913742</v>
          </cell>
          <cell r="AK229">
            <v>2439597967.7913742</v>
          </cell>
          <cell r="AX229">
            <v>2439597967.7913742</v>
          </cell>
          <cell r="BK229">
            <v>2439597967.7913742</v>
          </cell>
          <cell r="CB229">
            <v>0</v>
          </cell>
        </row>
        <row r="230">
          <cell r="H230">
            <v>0</v>
          </cell>
          <cell r="I230">
            <v>0</v>
          </cell>
          <cell r="J230">
            <v>0</v>
          </cell>
          <cell r="K230">
            <v>0</v>
          </cell>
          <cell r="L230">
            <v>1017423827.4809999</v>
          </cell>
          <cell r="M230">
            <v>67736519.999960005</v>
          </cell>
          <cell r="R230">
            <v>313207223.35086954</v>
          </cell>
          <cell r="S230">
            <v>1387177236.4783001</v>
          </cell>
          <cell r="T230">
            <v>8944949224.8950386</v>
          </cell>
          <cell r="U230">
            <v>7997770800.8165131</v>
          </cell>
          <cell r="V230">
            <v>947178424.07852495</v>
          </cell>
          <cell r="W230">
            <v>0</v>
          </cell>
          <cell r="X230">
            <v>2932623508.0512919</v>
          </cell>
          <cell r="AK230">
            <v>2932623508.0512919</v>
          </cell>
          <cell r="AX230">
            <v>2932623508.0512919</v>
          </cell>
          <cell r="BK230">
            <v>2932623508.0512919</v>
          </cell>
          <cell r="CB230">
            <v>0</v>
          </cell>
        </row>
        <row r="231">
          <cell r="H231">
            <v>0</v>
          </cell>
          <cell r="I231">
            <v>0</v>
          </cell>
          <cell r="J231">
            <v>0</v>
          </cell>
          <cell r="K231">
            <v>0</v>
          </cell>
          <cell r="L231">
            <v>1146002942.2811999</v>
          </cell>
          <cell r="M231">
            <v>136557528.00009999</v>
          </cell>
          <cell r="R231">
            <v>353978640.07146907</v>
          </cell>
          <cell r="S231">
            <v>1381822051.8713</v>
          </cell>
          <cell r="T231">
            <v>6582356010.6553802</v>
          </cell>
          <cell r="U231">
            <v>6080059273.1339588</v>
          </cell>
          <cell r="V231">
            <v>502296737.52142149</v>
          </cell>
          <cell r="W231">
            <v>0</v>
          </cell>
          <cell r="X231">
            <v>2400179293.2198625</v>
          </cell>
          <cell r="AK231">
            <v>2400179293.2198625</v>
          </cell>
          <cell r="AX231">
            <v>2400179293.2198625</v>
          </cell>
          <cell r="BK231">
            <v>2400179293.2198625</v>
          </cell>
          <cell r="CB231">
            <v>0</v>
          </cell>
        </row>
        <row r="232">
          <cell r="H232">
            <v>0</v>
          </cell>
          <cell r="I232">
            <v>0</v>
          </cell>
          <cell r="J232">
            <v>0</v>
          </cell>
          <cell r="K232">
            <v>0</v>
          </cell>
          <cell r="L232">
            <v>1062069708.2409</v>
          </cell>
          <cell r="M232">
            <v>247249871.99996001</v>
          </cell>
          <cell r="R232">
            <v>306359029.17137569</v>
          </cell>
          <cell r="S232">
            <v>701496893.01558006</v>
          </cell>
          <cell r="T232">
            <v>2775430475.9379487</v>
          </cell>
          <cell r="U232">
            <v>2408022098.0978603</v>
          </cell>
          <cell r="V232">
            <v>367408377.84008843</v>
          </cell>
          <cell r="W232">
            <v>0</v>
          </cell>
          <cell r="X232">
            <v>1273151494.5914412</v>
          </cell>
          <cell r="AK232">
            <v>1273151494.5914412</v>
          </cell>
          <cell r="AX232">
            <v>1273151494.5914412</v>
          </cell>
          <cell r="BK232">
            <v>1273151494.5914412</v>
          </cell>
          <cell r="CB232">
            <v>0</v>
          </cell>
        </row>
        <row r="233">
          <cell r="H233">
            <v>0</v>
          </cell>
          <cell r="I233">
            <v>0</v>
          </cell>
          <cell r="J233">
            <v>0</v>
          </cell>
          <cell r="K233">
            <v>0</v>
          </cell>
          <cell r="L233">
            <v>1136814668.1608</v>
          </cell>
          <cell r="M233">
            <v>255399047.99996999</v>
          </cell>
          <cell r="R233">
            <v>269243005.91141146</v>
          </cell>
          <cell r="S233">
            <v>1529686386.4786</v>
          </cell>
          <cell r="T233">
            <v>8445969821.079464</v>
          </cell>
          <cell r="U233">
            <v>7088368249.2432127</v>
          </cell>
          <cell r="V233">
            <v>1239323883.8374627</v>
          </cell>
          <cell r="W233">
            <v>118277687.99878857</v>
          </cell>
          <cell r="X233">
            <v>2909278232.4075613</v>
          </cell>
          <cell r="AK233">
            <v>2909278232.4075613</v>
          </cell>
          <cell r="AX233">
            <v>2909278232.4075613</v>
          </cell>
          <cell r="BK233">
            <v>2909278232.4075613</v>
          </cell>
          <cell r="CB233">
            <v>0</v>
          </cell>
        </row>
        <row r="234">
          <cell r="H234">
            <v>0</v>
          </cell>
          <cell r="I234">
            <v>0</v>
          </cell>
          <cell r="J234">
            <v>0</v>
          </cell>
          <cell r="K234">
            <v>0</v>
          </cell>
          <cell r="L234">
            <v>875557538.04149997</v>
          </cell>
          <cell r="M234">
            <v>223263431.99994001</v>
          </cell>
          <cell r="R234">
            <v>374452811.03060722</v>
          </cell>
          <cell r="S234">
            <v>1305937592.4006</v>
          </cell>
          <cell r="T234">
            <v>6524021090.2734423</v>
          </cell>
          <cell r="U234">
            <v>5779456341.2343464</v>
          </cell>
          <cell r="V234">
            <v>744564749.03909624</v>
          </cell>
          <cell r="W234">
            <v>0</v>
          </cell>
          <cell r="X234">
            <v>2325808115.9365225</v>
          </cell>
          <cell r="AK234">
            <v>2325808115.9365225</v>
          </cell>
          <cell r="AX234">
            <v>2325808115.9365225</v>
          </cell>
          <cell r="BK234">
            <v>2325808115.9365225</v>
          </cell>
          <cell r="CB234">
            <v>0</v>
          </cell>
        </row>
        <row r="235">
          <cell r="H235">
            <v>0</v>
          </cell>
          <cell r="I235">
            <v>0</v>
          </cell>
          <cell r="J235">
            <v>0</v>
          </cell>
          <cell r="K235">
            <v>0</v>
          </cell>
          <cell r="L235">
            <v>956442185.04018998</v>
          </cell>
          <cell r="M235">
            <v>311581127.99992001</v>
          </cell>
          <cell r="R235">
            <v>222466770.95144597</v>
          </cell>
          <cell r="S235">
            <v>1287729208.0801001</v>
          </cell>
          <cell r="T235">
            <v>8211991113.1466703</v>
          </cell>
          <cell r="U235">
            <v>6542230532.6704226</v>
          </cell>
          <cell r="V235">
            <v>1561106316.4774466</v>
          </cell>
          <cell r="W235">
            <v>108654263.99880089</v>
          </cell>
          <cell r="X235">
            <v>2747552601.3045816</v>
          </cell>
          <cell r="AK235">
            <v>2747552601.3045816</v>
          </cell>
          <cell r="AX235">
            <v>2747552601.3045816</v>
          </cell>
          <cell r="BK235">
            <v>2747552601.3045816</v>
          </cell>
          <cell r="CB235">
            <v>0</v>
          </cell>
        </row>
        <row r="236">
          <cell r="H236">
            <v>0</v>
          </cell>
          <cell r="I236">
            <v>0</v>
          </cell>
          <cell r="J236">
            <v>0</v>
          </cell>
          <cell r="K236">
            <v>0</v>
          </cell>
          <cell r="L236">
            <v>1042189790.0018001</v>
          </cell>
          <cell r="M236">
            <v>294641271.99994004</v>
          </cell>
          <cell r="R236">
            <v>285746002.07111812</v>
          </cell>
          <cell r="S236">
            <v>1428294441.8389001</v>
          </cell>
          <cell r="T236">
            <v>9707193152.9698238</v>
          </cell>
          <cell r="U236">
            <v>8162825716.6549826</v>
          </cell>
          <cell r="V236">
            <v>1225144828.3179569</v>
          </cell>
          <cell r="W236">
            <v>319222607.99688518</v>
          </cell>
          <cell r="X236">
            <v>3189516164.7203956</v>
          </cell>
          <cell r="AK236">
            <v>3189516164.7203956</v>
          </cell>
          <cell r="AX236">
            <v>3189516164.7203956</v>
          </cell>
          <cell r="BK236">
            <v>3189516164.7203956</v>
          </cell>
          <cell r="CB236">
            <v>0</v>
          </cell>
        </row>
        <row r="237">
          <cell r="H237">
            <v>0</v>
          </cell>
          <cell r="I237">
            <v>0</v>
          </cell>
          <cell r="J237">
            <v>0</v>
          </cell>
          <cell r="K237">
            <v>0</v>
          </cell>
          <cell r="L237">
            <v>1008584304.801</v>
          </cell>
          <cell r="M237">
            <v>107947932.00003999</v>
          </cell>
          <cell r="R237">
            <v>338292963.11094147</v>
          </cell>
          <cell r="S237">
            <v>915878125.68053997</v>
          </cell>
          <cell r="T237">
            <v>5662794493.5174141</v>
          </cell>
          <cell r="U237">
            <v>4775251158.7986612</v>
          </cell>
          <cell r="V237">
            <v>887543334.71875262</v>
          </cell>
          <cell r="W237">
            <v>0</v>
          </cell>
          <cell r="X237">
            <v>2008374454.7774839</v>
          </cell>
          <cell r="AK237">
            <v>2008374454.7774839</v>
          </cell>
          <cell r="AX237">
            <v>2008374454.7774839</v>
          </cell>
          <cell r="BK237">
            <v>2008374454.7774839</v>
          </cell>
          <cell r="CB237">
            <v>0</v>
          </cell>
        </row>
        <row r="238">
          <cell r="H238">
            <v>0</v>
          </cell>
          <cell r="I238">
            <v>0</v>
          </cell>
          <cell r="J238">
            <v>0</v>
          </cell>
          <cell r="K238">
            <v>0</v>
          </cell>
          <cell r="L238">
            <v>1347202646.8817999</v>
          </cell>
          <cell r="M238">
            <v>99756120.000066802</v>
          </cell>
          <cell r="R238">
            <v>318149247.35096681</v>
          </cell>
          <cell r="S238">
            <v>1085741353.1991999</v>
          </cell>
          <cell r="T238">
            <v>8411454375.8189774</v>
          </cell>
          <cell r="U238">
            <v>6765283438.5432062</v>
          </cell>
          <cell r="V238">
            <v>1539184997.2768166</v>
          </cell>
          <cell r="W238">
            <v>106985939.99895512</v>
          </cell>
          <cell r="X238">
            <v>2815575935.8127527</v>
          </cell>
          <cell r="AK238">
            <v>2815575935.8127527</v>
          </cell>
          <cell r="AX238">
            <v>2815575935.8127527</v>
          </cell>
          <cell r="BK238">
            <v>2815575935.8127527</v>
          </cell>
          <cell r="CB238">
            <v>0</v>
          </cell>
        </row>
        <row r="239">
          <cell r="H239">
            <v>0</v>
          </cell>
          <cell r="I239">
            <v>0</v>
          </cell>
          <cell r="J239">
            <v>0</v>
          </cell>
          <cell r="K239">
            <v>0</v>
          </cell>
          <cell r="L239">
            <v>1428427348.0815001</v>
          </cell>
          <cell r="M239">
            <v>73176384.000058994</v>
          </cell>
          <cell r="R239">
            <v>327961767.83108127</v>
          </cell>
          <cell r="S239">
            <v>825141587.75899994</v>
          </cell>
          <cell r="T239">
            <v>3975671113.2356334</v>
          </cell>
          <cell r="U239">
            <v>3309348878.1963139</v>
          </cell>
          <cell r="V239">
            <v>666322235.03931963</v>
          </cell>
          <cell r="W239">
            <v>0</v>
          </cell>
          <cell r="X239">
            <v>1657594550.2268183</v>
          </cell>
          <cell r="AK239">
            <v>1657594550.2268183</v>
          </cell>
          <cell r="AX239">
            <v>1657594550.2268183</v>
          </cell>
          <cell r="BK239">
            <v>1657594550.2268183</v>
          </cell>
          <cell r="CB239">
            <v>0</v>
          </cell>
        </row>
        <row r="240">
          <cell r="H240">
            <v>0</v>
          </cell>
          <cell r="I240">
            <v>0</v>
          </cell>
          <cell r="J240">
            <v>0</v>
          </cell>
          <cell r="K240">
            <v>0</v>
          </cell>
          <cell r="L240">
            <v>656189222.16130996</v>
          </cell>
          <cell r="M240">
            <v>163084463.99992999</v>
          </cell>
          <cell r="R240">
            <v>369942671.75053197</v>
          </cell>
          <cell r="S240">
            <v>1174974657.3599</v>
          </cell>
          <cell r="T240">
            <v>5520900008.234643</v>
          </cell>
          <cell r="U240">
            <v>4127131473.6800561</v>
          </cell>
          <cell r="V240">
            <v>1075169242.5578225</v>
          </cell>
          <cell r="W240">
            <v>318599291.99676389</v>
          </cell>
          <cell r="X240">
            <v>1971272755.8765788</v>
          </cell>
          <cell r="AK240">
            <v>1971272755.8765788</v>
          </cell>
          <cell r="AX240">
            <v>1971272755.8765788</v>
          </cell>
          <cell r="BK240">
            <v>1971272755.8765788</v>
          </cell>
          <cell r="CB240">
            <v>0</v>
          </cell>
        </row>
        <row r="241">
          <cell r="H241">
            <v>0</v>
          </cell>
          <cell r="I241">
            <v>0</v>
          </cell>
          <cell r="J241">
            <v>0</v>
          </cell>
          <cell r="K241">
            <v>0</v>
          </cell>
          <cell r="L241">
            <v>1220881658.4631</v>
          </cell>
          <cell r="M241">
            <v>70459164.000101998</v>
          </cell>
          <cell r="R241">
            <v>181652173.91184554</v>
          </cell>
          <cell r="S241">
            <v>1152883812.8666</v>
          </cell>
          <cell r="T241">
            <v>2227302036.5917034</v>
          </cell>
          <cell r="U241">
            <v>1896507669.9602556</v>
          </cell>
          <cell r="V241">
            <v>244512145.2496261</v>
          </cell>
          <cell r="W241">
            <v>86282221.381821632</v>
          </cell>
          <cell r="X241">
            <v>1213294711.4583378</v>
          </cell>
          <cell r="AK241">
            <v>1213294711.4583378</v>
          </cell>
          <cell r="AX241">
            <v>1213294711.4583378</v>
          </cell>
          <cell r="BK241">
            <v>1213294711.4583378</v>
          </cell>
          <cell r="CB241">
            <v>0</v>
          </cell>
        </row>
        <row r="242">
          <cell r="H242">
            <v>0</v>
          </cell>
          <cell r="I242">
            <v>0</v>
          </cell>
          <cell r="J242">
            <v>0</v>
          </cell>
          <cell r="K242">
            <v>0</v>
          </cell>
          <cell r="L242">
            <v>1190662763.0016999</v>
          </cell>
          <cell r="M242">
            <v>140247384.00007001</v>
          </cell>
          <cell r="R242">
            <v>221112897.83141905</v>
          </cell>
          <cell r="S242">
            <v>1479725002.5604999</v>
          </cell>
          <cell r="T242">
            <v>6608756766.2817011</v>
          </cell>
          <cell r="U242">
            <v>5961165694.6024675</v>
          </cell>
          <cell r="V242">
            <v>647591071.67923355</v>
          </cell>
          <cell r="W242">
            <v>0</v>
          </cell>
          <cell r="X242">
            <v>2410126203.4188476</v>
          </cell>
          <cell r="AK242">
            <v>2410126203.4188476</v>
          </cell>
          <cell r="AX242">
            <v>2410126203.4188476</v>
          </cell>
          <cell r="BK242">
            <v>2410126203.4188476</v>
          </cell>
          <cell r="CB242">
            <v>0</v>
          </cell>
        </row>
        <row r="243">
          <cell r="H243">
            <v>0</v>
          </cell>
          <cell r="I243">
            <v>0</v>
          </cell>
          <cell r="J243">
            <v>0</v>
          </cell>
          <cell r="K243">
            <v>0</v>
          </cell>
          <cell r="L243">
            <v>1219956481.4814</v>
          </cell>
          <cell r="M243">
            <v>77942123.999916002</v>
          </cell>
          <cell r="R243">
            <v>208114079.03150392</v>
          </cell>
          <cell r="S243">
            <v>1691471217.8485999</v>
          </cell>
          <cell r="T243">
            <v>3466932296.9090381</v>
          </cell>
          <cell r="U243">
            <v>2726664723.9593902</v>
          </cell>
          <cell r="V243">
            <v>740267572.94964802</v>
          </cell>
          <cell r="W243">
            <v>0</v>
          </cell>
          <cell r="X243">
            <v>1666104049.8176146</v>
          </cell>
          <cell r="AK243">
            <v>1666104049.8176146</v>
          </cell>
          <cell r="AX243">
            <v>1666104049.8176146</v>
          </cell>
          <cell r="BK243">
            <v>1666104049.8176146</v>
          </cell>
          <cell r="CB243">
            <v>0</v>
          </cell>
        </row>
        <row r="244">
          <cell r="H244">
            <v>0</v>
          </cell>
          <cell r="I244">
            <v>0</v>
          </cell>
          <cell r="J244">
            <v>0</v>
          </cell>
          <cell r="K244">
            <v>0</v>
          </cell>
          <cell r="L244">
            <v>1116275987.0416</v>
          </cell>
          <cell r="M244">
            <v>122660208.00002</v>
          </cell>
          <cell r="R244">
            <v>314295787.91113108</v>
          </cell>
          <cell r="S244">
            <v>1270350850.6788001</v>
          </cell>
          <cell r="T244">
            <v>9763470885.7777824</v>
          </cell>
          <cell r="U244">
            <v>8116973299.8636513</v>
          </cell>
          <cell r="V244">
            <v>1379352061.9166517</v>
          </cell>
          <cell r="W244">
            <v>267145523.99747863</v>
          </cell>
          <cell r="X244">
            <v>3146763429.8523335</v>
          </cell>
          <cell r="AK244">
            <v>3146763429.8523335</v>
          </cell>
          <cell r="AX244">
            <v>3146763429.8523335</v>
          </cell>
          <cell r="BK244">
            <v>3146763429.8523335</v>
          </cell>
          <cell r="CB244">
            <v>0</v>
          </cell>
        </row>
        <row r="245">
          <cell r="H245">
            <v>0</v>
          </cell>
          <cell r="I245">
            <v>0</v>
          </cell>
          <cell r="J245">
            <v>0</v>
          </cell>
          <cell r="K245">
            <v>0</v>
          </cell>
          <cell r="L245">
            <v>808002466.08165002</v>
          </cell>
          <cell r="M245">
            <v>116430948.00007001</v>
          </cell>
          <cell r="R245">
            <v>241451809.1914328</v>
          </cell>
          <cell r="S245">
            <v>1766201452.1192</v>
          </cell>
          <cell r="T245">
            <v>6547783400.5984421</v>
          </cell>
          <cell r="U245">
            <v>3833194845.3260474</v>
          </cell>
          <cell r="V245">
            <v>2494387175.2746797</v>
          </cell>
          <cell r="W245">
            <v>220201379.99771452</v>
          </cell>
          <cell r="X245">
            <v>2369967518.9976988</v>
          </cell>
          <cell r="AK245">
            <v>2369967518.9976988</v>
          </cell>
          <cell r="AX245">
            <v>2369967518.9976988</v>
          </cell>
          <cell r="BK245">
            <v>2369967518.9976988</v>
          </cell>
          <cell r="CB245">
            <v>0</v>
          </cell>
        </row>
        <row r="246">
          <cell r="H246">
            <v>0</v>
          </cell>
          <cell r="I246">
            <v>0</v>
          </cell>
          <cell r="J246">
            <v>0</v>
          </cell>
          <cell r="K246">
            <v>0</v>
          </cell>
          <cell r="L246">
            <v>1331734684.1215</v>
          </cell>
          <cell r="M246">
            <v>688658003.99994004</v>
          </cell>
          <cell r="R246">
            <v>258529622.39150792</v>
          </cell>
          <cell r="S246">
            <v>2101506748.1182001</v>
          </cell>
          <cell r="T246">
            <v>7738853911.7580528</v>
          </cell>
          <cell r="U246">
            <v>5180860854.5646439</v>
          </cell>
          <cell r="V246">
            <v>2401971493.1948152</v>
          </cell>
          <cell r="W246">
            <v>156021563.9985939</v>
          </cell>
          <cell r="X246">
            <v>3029820742.5973005</v>
          </cell>
          <cell r="AK246">
            <v>3029820742.5973005</v>
          </cell>
          <cell r="AX246">
            <v>3029820742.5973005</v>
          </cell>
          <cell r="BK246">
            <v>3029820742.5973005</v>
          </cell>
          <cell r="CB246">
            <v>0</v>
          </cell>
        </row>
        <row r="247">
          <cell r="H247">
            <v>0</v>
          </cell>
          <cell r="I247">
            <v>0</v>
          </cell>
          <cell r="J247">
            <v>0</v>
          </cell>
          <cell r="K247">
            <v>0</v>
          </cell>
          <cell r="L247">
            <v>934797876.96026003</v>
          </cell>
          <cell r="M247">
            <v>85303470</v>
          </cell>
          <cell r="R247">
            <v>181652173.91184554</v>
          </cell>
          <cell r="S247">
            <v>630493631.04067004</v>
          </cell>
          <cell r="T247">
            <v>3314024949.0577807</v>
          </cell>
          <cell r="U247">
            <v>2945562875.2192421</v>
          </cell>
          <cell r="V247">
            <v>368462073.83853877</v>
          </cell>
          <cell r="W247">
            <v>0</v>
          </cell>
          <cell r="X247">
            <v>1286568025.2426393</v>
          </cell>
          <cell r="AK247">
            <v>1286568025.2426393</v>
          </cell>
          <cell r="AX247">
            <v>1286568025.2426393</v>
          </cell>
          <cell r="BK247">
            <v>1286568025.2426393</v>
          </cell>
          <cell r="CB247">
            <v>0</v>
          </cell>
        </row>
        <row r="248">
          <cell r="H248">
            <v>0</v>
          </cell>
          <cell r="I248">
            <v>0</v>
          </cell>
          <cell r="J248">
            <v>0</v>
          </cell>
          <cell r="K248">
            <v>0</v>
          </cell>
          <cell r="L248">
            <v>1174566754.2047999</v>
          </cell>
          <cell r="M248">
            <v>334189476</v>
          </cell>
          <cell r="R248">
            <v>181652173.91184554</v>
          </cell>
          <cell r="S248">
            <v>1483267198.6435001</v>
          </cell>
          <cell r="T248">
            <v>7170494368.6625843</v>
          </cell>
          <cell r="U248">
            <v>5794626379.2589979</v>
          </cell>
          <cell r="V248">
            <v>1252911133.4810233</v>
          </cell>
          <cell r="W248">
            <v>122956855.92256325</v>
          </cell>
          <cell r="X248">
            <v>2586042492.8556824</v>
          </cell>
          <cell r="AK248">
            <v>2586042492.8556824</v>
          </cell>
          <cell r="AX248">
            <v>2586042492.8556824</v>
          </cell>
          <cell r="BK248">
            <v>2586042492.8556824</v>
          </cell>
          <cell r="CB248">
            <v>0</v>
          </cell>
        </row>
        <row r="249">
          <cell r="H249">
            <v>0</v>
          </cell>
          <cell r="I249">
            <v>0</v>
          </cell>
          <cell r="J249">
            <v>0</v>
          </cell>
          <cell r="K249">
            <v>0</v>
          </cell>
          <cell r="L249">
            <v>1149094953.0806</v>
          </cell>
          <cell r="M249">
            <v>164686739.99998999</v>
          </cell>
          <cell r="R249">
            <v>236681141.75142643</v>
          </cell>
          <cell r="S249">
            <v>1427475384.7189</v>
          </cell>
          <cell r="T249">
            <v>3799209949.4004011</v>
          </cell>
          <cell r="U249">
            <v>2752326684.9221077</v>
          </cell>
          <cell r="V249">
            <v>1046883264.4782932</v>
          </cell>
          <cell r="W249">
            <v>0</v>
          </cell>
          <cell r="X249">
            <v>1694287042.2378292</v>
          </cell>
          <cell r="AK249">
            <v>1694287042.2378292</v>
          </cell>
          <cell r="AX249">
            <v>1694287042.2378292</v>
          </cell>
          <cell r="BK249">
            <v>1694287042.2378292</v>
          </cell>
          <cell r="CB249">
            <v>0</v>
          </cell>
        </row>
        <row r="250">
          <cell r="H250">
            <v>0</v>
          </cell>
          <cell r="I250">
            <v>0</v>
          </cell>
          <cell r="J250">
            <v>0</v>
          </cell>
          <cell r="K250">
            <v>0</v>
          </cell>
          <cell r="L250">
            <v>1068034765.0017999</v>
          </cell>
          <cell r="M250">
            <v>124999999.99996001</v>
          </cell>
          <cell r="R250">
            <v>181652173.91184554</v>
          </cell>
          <cell r="S250">
            <v>1695699755.9995999</v>
          </cell>
          <cell r="T250">
            <v>6736195248.0014782</v>
          </cell>
          <cell r="U250">
            <v>6018847584.0039768</v>
          </cell>
          <cell r="V250">
            <v>717347663.9975009</v>
          </cell>
          <cell r="W250">
            <v>0</v>
          </cell>
          <cell r="X250">
            <v>2451645485.7286706</v>
          </cell>
          <cell r="AK250">
            <v>2451645485.7286706</v>
          </cell>
          <cell r="AX250">
            <v>2451645485.7286706</v>
          </cell>
          <cell r="BK250">
            <v>2451645485.7286706</v>
          </cell>
          <cell r="CB250">
            <v>0</v>
          </cell>
        </row>
        <row r="251">
          <cell r="H251">
            <v>0</v>
          </cell>
          <cell r="I251">
            <v>0</v>
          </cell>
          <cell r="J251">
            <v>0</v>
          </cell>
          <cell r="K251">
            <v>0</v>
          </cell>
          <cell r="L251">
            <v>1068034765.0017999</v>
          </cell>
          <cell r="M251">
            <v>124999999.99996001</v>
          </cell>
          <cell r="R251">
            <v>181652173.91184554</v>
          </cell>
          <cell r="S251">
            <v>1027403927.9997</v>
          </cell>
          <cell r="T251">
            <v>4275702923.9974365</v>
          </cell>
          <cell r="U251">
            <v>3365108988.0007582</v>
          </cell>
          <cell r="V251">
            <v>808627739.99765265</v>
          </cell>
          <cell r="W251">
            <v>101966195.99902602</v>
          </cell>
          <cell r="X251">
            <v>1669448447.7276857</v>
          </cell>
          <cell r="AK251">
            <v>1669448447.7276857</v>
          </cell>
          <cell r="AX251">
            <v>1669448447.7276857</v>
          </cell>
          <cell r="BK251">
            <v>1669448447.7276857</v>
          </cell>
          <cell r="CB251">
            <v>0</v>
          </cell>
        </row>
        <row r="252">
          <cell r="H252">
            <v>0</v>
          </cell>
          <cell r="I252">
            <v>0</v>
          </cell>
          <cell r="J252">
            <v>0</v>
          </cell>
          <cell r="K252">
            <v>0</v>
          </cell>
          <cell r="L252">
            <v>1068034765.0017999</v>
          </cell>
          <cell r="M252">
            <v>124999999.99996001</v>
          </cell>
          <cell r="R252">
            <v>181652173.91184554</v>
          </cell>
          <cell r="S252">
            <v>1220667323.9990001</v>
          </cell>
          <cell r="T252">
            <v>8097340464.000802</v>
          </cell>
          <cell r="U252">
            <v>7130334960.0032454</v>
          </cell>
          <cell r="V252">
            <v>967005503.99755669</v>
          </cell>
          <cell r="W252">
            <v>0</v>
          </cell>
          <cell r="X252">
            <v>2213091576.7283521</v>
          </cell>
          <cell r="AK252">
            <v>2673173681.7283521</v>
          </cell>
          <cell r="AX252">
            <v>2673173681.7283521</v>
          </cell>
          <cell r="BK252">
            <v>3133255786.7283521</v>
          </cell>
          <cell r="CB252">
            <v>0</v>
          </cell>
        </row>
        <row r="253">
          <cell r="H253">
            <v>0</v>
          </cell>
          <cell r="I253">
            <v>0</v>
          </cell>
          <cell r="J253">
            <v>0</v>
          </cell>
          <cell r="K253">
            <v>0</v>
          </cell>
          <cell r="L253">
            <v>1068034765.0017999</v>
          </cell>
          <cell r="M253">
            <v>124999999.99996001</v>
          </cell>
          <cell r="R253">
            <v>181652173.91184554</v>
          </cell>
          <cell r="S253">
            <v>1658005799.9998</v>
          </cell>
          <cell r="T253">
            <v>3623287787.7052965</v>
          </cell>
          <cell r="U253">
            <v>2925183085.0753169</v>
          </cell>
          <cell r="V253">
            <v>536252260.49311686</v>
          </cell>
          <cell r="W253">
            <v>161852442.13686255</v>
          </cell>
          <cell r="X253">
            <v>1663995131.6546752</v>
          </cell>
          <cell r="AK253">
            <v>1663995131.6546752</v>
          </cell>
          <cell r="AX253">
            <v>1663995131.6546752</v>
          </cell>
          <cell r="BK253">
            <v>1663995131.6546752</v>
          </cell>
          <cell r="CB253">
            <v>0</v>
          </cell>
        </row>
        <row r="254">
          <cell r="H254">
            <v>0</v>
          </cell>
          <cell r="I254">
            <v>0</v>
          </cell>
          <cell r="J254">
            <v>0</v>
          </cell>
          <cell r="K254">
            <v>0</v>
          </cell>
          <cell r="M254">
            <v>642027306.31636</v>
          </cell>
          <cell r="R254">
            <v>38449841.439685434</v>
          </cell>
          <cell r="S254">
            <v>405874719.19985002</v>
          </cell>
          <cell r="T254">
            <v>3550433987.9984808</v>
          </cell>
          <cell r="U254">
            <v>2161203606.9639783</v>
          </cell>
          <cell r="V254">
            <v>1229517161.0362368</v>
          </cell>
          <cell r="W254">
            <v>159713219.99826565</v>
          </cell>
          <cell r="X254">
            <v>1159196463.7385941</v>
          </cell>
          <cell r="AK254">
            <v>1159196463.7385941</v>
          </cell>
          <cell r="AX254">
            <v>1159196463.7385941</v>
          </cell>
          <cell r="BK254">
            <v>1159196463.7385941</v>
          </cell>
          <cell r="CB254">
            <v>0</v>
          </cell>
        </row>
        <row r="255">
          <cell r="H255">
            <v>0</v>
          </cell>
          <cell r="I255">
            <v>0</v>
          </cell>
          <cell r="J255">
            <v>0</v>
          </cell>
          <cell r="K255">
            <v>0</v>
          </cell>
          <cell r="M255">
            <v>516614566.71696001</v>
          </cell>
          <cell r="R255">
            <v>24999999.999976017</v>
          </cell>
          <cell r="S255">
            <v>1436554876.4783001</v>
          </cell>
          <cell r="T255">
            <v>2730922714.3201704</v>
          </cell>
          <cell r="U255">
            <v>1557951960.9634624</v>
          </cell>
          <cell r="V255">
            <v>1172970753.3567078</v>
          </cell>
          <cell r="W255">
            <v>0</v>
          </cell>
          <cell r="X255">
            <v>1177273039.3788517</v>
          </cell>
          <cell r="AK255">
            <v>1177273039.3788517</v>
          </cell>
          <cell r="AX255">
            <v>1177273039.3788517</v>
          </cell>
          <cell r="BK255">
            <v>1177273039.3788517</v>
          </cell>
          <cell r="CB255">
            <v>0</v>
          </cell>
        </row>
        <row r="256">
          <cell r="H256">
            <v>0</v>
          </cell>
          <cell r="I256">
            <v>0</v>
          </cell>
          <cell r="J256">
            <v>0</v>
          </cell>
          <cell r="K256">
            <v>0</v>
          </cell>
          <cell r="M256">
            <v>775733326.67537999</v>
          </cell>
          <cell r="R256">
            <v>38830089.279852048</v>
          </cell>
          <cell r="S256">
            <v>527651302.08004999</v>
          </cell>
          <cell r="T256">
            <v>3446241258.4024372</v>
          </cell>
          <cell r="U256">
            <v>1899379532.5658638</v>
          </cell>
          <cell r="V256">
            <v>1523655693.8368142</v>
          </cell>
          <cell r="W256">
            <v>23206031.999759171</v>
          </cell>
          <cell r="X256">
            <v>1197113994.1094298</v>
          </cell>
          <cell r="AK256">
            <v>1197113994.1094298</v>
          </cell>
          <cell r="AX256">
            <v>1197113994.1094298</v>
          </cell>
          <cell r="BK256">
            <v>1197113994.1094298</v>
          </cell>
          <cell r="CB256">
            <v>0</v>
          </cell>
        </row>
        <row r="257">
          <cell r="H257">
            <v>0</v>
          </cell>
          <cell r="I257">
            <v>0</v>
          </cell>
          <cell r="J257">
            <v>0</v>
          </cell>
          <cell r="K257">
            <v>0</v>
          </cell>
          <cell r="M257">
            <v>747012513.59554994</v>
          </cell>
          <cell r="R257">
            <v>24999999.999976017</v>
          </cell>
          <cell r="S257">
            <v>484716294.71851999</v>
          </cell>
          <cell r="T257">
            <v>6370223939.3630838</v>
          </cell>
          <cell r="U257">
            <v>4572603086.7306051</v>
          </cell>
          <cell r="V257">
            <v>1464814004.6358671</v>
          </cell>
          <cell r="W257">
            <v>332806847.99661154</v>
          </cell>
          <cell r="X257">
            <v>1906738186.9192824</v>
          </cell>
          <cell r="AK257">
            <v>1906738186.9192824</v>
          </cell>
          <cell r="AX257">
            <v>1906738186.9192824</v>
          </cell>
          <cell r="BK257">
            <v>1906738186.9192824</v>
          </cell>
          <cell r="CB257">
            <v>0</v>
          </cell>
        </row>
        <row r="258">
          <cell r="H258">
            <v>0</v>
          </cell>
          <cell r="I258">
            <v>0</v>
          </cell>
          <cell r="J258">
            <v>0</v>
          </cell>
          <cell r="K258">
            <v>0</v>
          </cell>
          <cell r="M258">
            <v>1039328589.1938</v>
          </cell>
          <cell r="R258">
            <v>24999999.999976017</v>
          </cell>
          <cell r="S258">
            <v>1060349608.0792</v>
          </cell>
          <cell r="T258">
            <v>5280152163.5254307</v>
          </cell>
          <cell r="U258">
            <v>2770761876.654027</v>
          </cell>
          <cell r="V258">
            <v>2048316086.8759613</v>
          </cell>
          <cell r="W258">
            <v>461074199.99544203</v>
          </cell>
          <cell r="X258">
            <v>1851207590.1996017</v>
          </cell>
          <cell r="AK258">
            <v>1851207590.1996017</v>
          </cell>
          <cell r="AX258">
            <v>1851207590.1996017</v>
          </cell>
          <cell r="BK258">
            <v>1851207590.1996017</v>
          </cell>
          <cell r="CB258">
            <v>0</v>
          </cell>
        </row>
        <row r="259">
          <cell r="H259">
            <v>0</v>
          </cell>
          <cell r="I259">
            <v>0</v>
          </cell>
          <cell r="J259">
            <v>0</v>
          </cell>
          <cell r="K259">
            <v>0</v>
          </cell>
          <cell r="M259">
            <v>684274122.99620998</v>
          </cell>
          <cell r="R259">
            <v>24999999.999976017</v>
          </cell>
          <cell r="S259">
            <v>394957448.99958998</v>
          </cell>
          <cell r="T259">
            <v>4685292338.7752762</v>
          </cell>
          <cell r="U259">
            <v>2228773077.2645469</v>
          </cell>
          <cell r="V259">
            <v>2118132137.5142343</v>
          </cell>
          <cell r="W259">
            <v>338387123.99649507</v>
          </cell>
          <cell r="X259">
            <v>1447380977.6927631</v>
          </cell>
          <cell r="AK259">
            <v>1447380977.6927631</v>
          </cell>
          <cell r="AX259">
            <v>1447380977.6927631</v>
          </cell>
          <cell r="BK259">
            <v>1447380977.6927631</v>
          </cell>
          <cell r="CB259">
            <v>0</v>
          </cell>
        </row>
        <row r="260">
          <cell r="H260">
            <v>0</v>
          </cell>
          <cell r="I260">
            <v>0</v>
          </cell>
          <cell r="J260">
            <v>0</v>
          </cell>
          <cell r="K260">
            <v>0</v>
          </cell>
          <cell r="M260">
            <v>627791992.19613004</v>
          </cell>
          <cell r="R260">
            <v>32350787.919639323</v>
          </cell>
          <cell r="S260">
            <v>289633523.75871998</v>
          </cell>
          <cell r="T260">
            <v>3938512119.5379944</v>
          </cell>
          <cell r="U260">
            <v>2712583998.6621628</v>
          </cell>
          <cell r="V260">
            <v>1063930292.8773837</v>
          </cell>
          <cell r="W260">
            <v>161997827.99844784</v>
          </cell>
          <cell r="X260">
            <v>1222072105.8531208</v>
          </cell>
          <cell r="AK260">
            <v>1222072105.8531208</v>
          </cell>
          <cell r="AX260">
            <v>1222072105.8531208</v>
          </cell>
          <cell r="BK260">
            <v>1222072105.8531208</v>
          </cell>
          <cell r="CB260">
            <v>0</v>
          </cell>
        </row>
        <row r="261">
          <cell r="H261">
            <v>0</v>
          </cell>
          <cell r="I261">
            <v>0</v>
          </cell>
          <cell r="J261">
            <v>0</v>
          </cell>
          <cell r="K261">
            <v>0</v>
          </cell>
          <cell r="M261">
            <v>612208567.43638003</v>
          </cell>
          <cell r="R261">
            <v>24999999.999976017</v>
          </cell>
          <cell r="S261">
            <v>225913763.04089001</v>
          </cell>
          <cell r="T261">
            <v>3221361806.4007902</v>
          </cell>
          <cell r="U261">
            <v>1167175617.8476799</v>
          </cell>
          <cell r="V261">
            <v>1735983340.5564663</v>
          </cell>
          <cell r="W261">
            <v>318202847.9966439</v>
          </cell>
          <cell r="X261">
            <v>1021121034.2195091</v>
          </cell>
          <cell r="AK261">
            <v>1021121034.2195091</v>
          </cell>
          <cell r="AX261">
            <v>1021121034.2195091</v>
          </cell>
          <cell r="BK261">
            <v>1021121034.2195091</v>
          </cell>
          <cell r="CB261">
            <v>0</v>
          </cell>
        </row>
        <row r="262">
          <cell r="H262">
            <v>0</v>
          </cell>
          <cell r="I262">
            <v>0</v>
          </cell>
          <cell r="J262">
            <v>0</v>
          </cell>
          <cell r="K262">
            <v>0</v>
          </cell>
          <cell r="M262">
            <v>735436723.91551006</v>
          </cell>
          <cell r="R262">
            <v>24999999.999976017</v>
          </cell>
          <cell r="S262">
            <v>891810356.63847005</v>
          </cell>
          <cell r="T262">
            <v>6108780108.9840927</v>
          </cell>
          <cell r="U262">
            <v>3456480714.752408</v>
          </cell>
          <cell r="V262">
            <v>2372644374.2345977</v>
          </cell>
          <cell r="W262">
            <v>279655019.9970876</v>
          </cell>
          <cell r="X262">
            <v>1940256797.3845124</v>
          </cell>
          <cell r="AK262">
            <v>1940256797.3845124</v>
          </cell>
          <cell r="AX262">
            <v>1940256797.3845124</v>
          </cell>
          <cell r="BK262">
            <v>1940256797.3845124</v>
          </cell>
          <cell r="CB262">
            <v>0</v>
          </cell>
        </row>
        <row r="263">
          <cell r="H263">
            <v>0</v>
          </cell>
          <cell r="I263">
            <v>0</v>
          </cell>
          <cell r="J263">
            <v>0</v>
          </cell>
          <cell r="K263">
            <v>0</v>
          </cell>
          <cell r="M263">
            <v>656138859.35611999</v>
          </cell>
          <cell r="R263">
            <v>24999999.999976017</v>
          </cell>
          <cell r="S263">
            <v>485928162.72002</v>
          </cell>
          <cell r="T263">
            <v>5908938009.7095947</v>
          </cell>
          <cell r="U263">
            <v>2454634002.1215525</v>
          </cell>
          <cell r="V263">
            <v>2982424611.5927734</v>
          </cell>
          <cell r="W263">
            <v>471879395.99526906</v>
          </cell>
          <cell r="X263">
            <v>1769001257.9464278</v>
          </cell>
          <cell r="AK263">
            <v>1769001257.9464278</v>
          </cell>
          <cell r="AX263">
            <v>1769001257.9464278</v>
          </cell>
          <cell r="BK263">
            <v>1769001257.9464278</v>
          </cell>
          <cell r="CB263">
            <v>0</v>
          </cell>
        </row>
        <row r="264">
          <cell r="H264">
            <v>0</v>
          </cell>
          <cell r="I264">
            <v>0</v>
          </cell>
          <cell r="J264">
            <v>0</v>
          </cell>
          <cell r="K264">
            <v>0</v>
          </cell>
          <cell r="M264">
            <v>291664236.47823</v>
          </cell>
          <cell r="R264">
            <v>24999999.999976017</v>
          </cell>
          <cell r="S264">
            <v>152969552.39958</v>
          </cell>
          <cell r="T264">
            <v>799944299.97011447</v>
          </cell>
          <cell r="U264">
            <v>296766370.05274874</v>
          </cell>
          <cell r="V264">
            <v>233277733.92015415</v>
          </cell>
          <cell r="W264">
            <v>269900195.99721158</v>
          </cell>
          <cell r="X264">
            <v>317394522.2119751</v>
          </cell>
          <cell r="AK264">
            <v>317394522.2119751</v>
          </cell>
          <cell r="AX264">
            <v>317394522.2119751</v>
          </cell>
          <cell r="BK264">
            <v>317394522.2119751</v>
          </cell>
          <cell r="CB264">
            <v>0</v>
          </cell>
        </row>
        <row r="265">
          <cell r="H265">
            <v>0</v>
          </cell>
          <cell r="I265">
            <v>0</v>
          </cell>
          <cell r="J265">
            <v>0</v>
          </cell>
          <cell r="K265">
            <v>0</v>
          </cell>
          <cell r="M265">
            <v>574786666.91665006</v>
          </cell>
          <cell r="R265">
            <v>24999999.999976017</v>
          </cell>
          <cell r="S265">
            <v>700271097.11860001</v>
          </cell>
          <cell r="T265">
            <v>3726095765.658978</v>
          </cell>
          <cell r="U265">
            <v>2197299598.70435</v>
          </cell>
          <cell r="V265">
            <v>1217990502.9576325</v>
          </cell>
          <cell r="W265">
            <v>310805663.99699533</v>
          </cell>
          <cell r="X265">
            <v>1256538382.4235508</v>
          </cell>
          <cell r="AK265">
            <v>1256538382.4235508</v>
          </cell>
          <cell r="AX265">
            <v>1256538382.4235508</v>
          </cell>
          <cell r="BK265">
            <v>1256538382.4235508</v>
          </cell>
          <cell r="CB265">
            <v>0</v>
          </cell>
        </row>
        <row r="266">
          <cell r="H266">
            <v>0</v>
          </cell>
          <cell r="I266">
            <v>0</v>
          </cell>
          <cell r="J266">
            <v>0</v>
          </cell>
          <cell r="K266">
            <v>0</v>
          </cell>
          <cell r="M266">
            <v>464880437.15714997</v>
          </cell>
          <cell r="R266">
            <v>24999999.999976017</v>
          </cell>
          <cell r="S266">
            <v>420684117.83920997</v>
          </cell>
          <cell r="T266">
            <v>3363324569.8214741</v>
          </cell>
          <cell r="U266">
            <v>1693262791.2662518</v>
          </cell>
          <cell r="V266">
            <v>1670061778.555222</v>
          </cell>
          <cell r="W266">
            <v>0</v>
          </cell>
          <cell r="X266">
            <v>1068472281.2044525</v>
          </cell>
          <cell r="AK266">
            <v>1068472281.2044525</v>
          </cell>
          <cell r="AX266">
            <v>1068472281.2044525</v>
          </cell>
          <cell r="BK266">
            <v>1068472281.2044525</v>
          </cell>
          <cell r="CB266">
            <v>0</v>
          </cell>
        </row>
        <row r="267">
          <cell r="H267">
            <v>0</v>
          </cell>
          <cell r="I267">
            <v>0</v>
          </cell>
          <cell r="J267">
            <v>0</v>
          </cell>
          <cell r="K267">
            <v>0</v>
          </cell>
          <cell r="M267">
            <v>564393917.1566</v>
          </cell>
          <cell r="R267">
            <v>24999999.999976017</v>
          </cell>
          <cell r="S267">
            <v>1990172765.2794001</v>
          </cell>
          <cell r="T267">
            <v>3596396551.1419516</v>
          </cell>
          <cell r="U267">
            <v>2406181616.344532</v>
          </cell>
          <cell r="V267">
            <v>1129352842.7981601</v>
          </cell>
          <cell r="W267">
            <v>60862091.999259695</v>
          </cell>
          <cell r="X267">
            <v>1543990808.3944819</v>
          </cell>
          <cell r="AK267">
            <v>1543990808.3944819</v>
          </cell>
          <cell r="AX267">
            <v>1543990808.3944819</v>
          </cell>
          <cell r="BK267">
            <v>1543990808.3944819</v>
          </cell>
          <cell r="CB267">
            <v>0</v>
          </cell>
        </row>
        <row r="268">
          <cell r="H268">
            <v>0</v>
          </cell>
          <cell r="I268">
            <v>0</v>
          </cell>
          <cell r="J268">
            <v>0</v>
          </cell>
          <cell r="K268">
            <v>0</v>
          </cell>
          <cell r="M268">
            <v>447775019.35727</v>
          </cell>
          <cell r="R268">
            <v>24999999.999976017</v>
          </cell>
          <cell r="S268">
            <v>312528997.19950998</v>
          </cell>
          <cell r="T268">
            <v>3661762714.1348848</v>
          </cell>
          <cell r="U268">
            <v>2166016612.8608532</v>
          </cell>
          <cell r="V268">
            <v>1141876337.2777379</v>
          </cell>
          <cell r="W268">
            <v>353869763.99629408</v>
          </cell>
          <cell r="X268">
            <v>1111766682.6729102</v>
          </cell>
          <cell r="AK268">
            <v>1111766682.6729102</v>
          </cell>
          <cell r="AX268">
            <v>1111766682.6729102</v>
          </cell>
          <cell r="BK268">
            <v>1111766682.6729102</v>
          </cell>
          <cell r="CB268">
            <v>0</v>
          </cell>
        </row>
        <row r="269">
          <cell r="H269">
            <v>0</v>
          </cell>
          <cell r="I269">
            <v>0</v>
          </cell>
          <cell r="J269">
            <v>0</v>
          </cell>
          <cell r="K269">
            <v>0</v>
          </cell>
          <cell r="M269">
            <v>586000864.79653001</v>
          </cell>
          <cell r="R269">
            <v>24999999.999976017</v>
          </cell>
          <cell r="S269">
            <v>623169973.43830001</v>
          </cell>
          <cell r="T269">
            <v>5070562075.2120333</v>
          </cell>
          <cell r="U269">
            <v>3182564035.457335</v>
          </cell>
          <cell r="V269">
            <v>1887998039.7546983</v>
          </cell>
          <cell r="W269">
            <v>0</v>
          </cell>
          <cell r="X269">
            <v>1576183228.3617098</v>
          </cell>
          <cell r="AK269">
            <v>1576183228.3617098</v>
          </cell>
          <cell r="AX269">
            <v>1576183228.3617098</v>
          </cell>
          <cell r="BK269">
            <v>1576183228.3617098</v>
          </cell>
          <cell r="CB269">
            <v>0</v>
          </cell>
        </row>
        <row r="270">
          <cell r="H270">
            <v>0</v>
          </cell>
          <cell r="I270">
            <v>0</v>
          </cell>
          <cell r="J270">
            <v>0</v>
          </cell>
          <cell r="K270">
            <v>0</v>
          </cell>
          <cell r="M270">
            <v>645533757.99764001</v>
          </cell>
          <cell r="R270">
            <v>24999999.999976017</v>
          </cell>
          <cell r="S270">
            <v>235844600.87918001</v>
          </cell>
          <cell r="T270">
            <v>1702979987.4193611</v>
          </cell>
          <cell r="U270">
            <v>1196119422.4205468</v>
          </cell>
          <cell r="V270">
            <v>506860564.99881446</v>
          </cell>
          <cell r="W270">
            <v>0</v>
          </cell>
          <cell r="X270">
            <v>652339586.57403934</v>
          </cell>
          <cell r="AK270">
            <v>652339586.57403934</v>
          </cell>
          <cell r="AX270">
            <v>652339586.57403934</v>
          </cell>
          <cell r="BK270">
            <v>652339586.57403934</v>
          </cell>
          <cell r="CB270">
            <v>0</v>
          </cell>
        </row>
        <row r="271">
          <cell r="H271">
            <v>0</v>
          </cell>
          <cell r="I271">
            <v>0</v>
          </cell>
          <cell r="J271">
            <v>0</v>
          </cell>
          <cell r="K271">
            <v>0</v>
          </cell>
          <cell r="M271">
            <v>521657018.03678</v>
          </cell>
          <cell r="R271">
            <v>64460723.919549562</v>
          </cell>
          <cell r="S271">
            <v>304024823.75905001</v>
          </cell>
          <cell r="T271">
            <v>3659548874.0901279</v>
          </cell>
          <cell r="U271">
            <v>2403476477.2143316</v>
          </cell>
          <cell r="V271">
            <v>1099828280.8772027</v>
          </cell>
          <cell r="W271">
            <v>156244115.9985933</v>
          </cell>
          <cell r="X271">
            <v>1137422859.9513769</v>
          </cell>
          <cell r="AK271">
            <v>1137422859.9513769</v>
          </cell>
          <cell r="AX271">
            <v>1137422859.9513769</v>
          </cell>
          <cell r="BK271">
            <v>1137422859.9513769</v>
          </cell>
          <cell r="CB271">
            <v>0</v>
          </cell>
        </row>
        <row r="272">
          <cell r="H272">
            <v>0</v>
          </cell>
          <cell r="I272">
            <v>0</v>
          </cell>
          <cell r="J272">
            <v>0</v>
          </cell>
          <cell r="K272">
            <v>0</v>
          </cell>
          <cell r="M272">
            <v>371910311.15785003</v>
          </cell>
          <cell r="R272">
            <v>24999999.999976017</v>
          </cell>
          <cell r="S272">
            <v>245532124.31922999</v>
          </cell>
          <cell r="T272">
            <v>637834994.09568954</v>
          </cell>
          <cell r="U272">
            <v>417024000.89575422</v>
          </cell>
          <cell r="V272">
            <v>220810993.19993538</v>
          </cell>
          <cell r="W272">
            <v>0</v>
          </cell>
          <cell r="X272">
            <v>320069357.39318645</v>
          </cell>
          <cell r="AK272">
            <v>320069357.39318645</v>
          </cell>
          <cell r="AX272">
            <v>320069357.39318645</v>
          </cell>
          <cell r="BK272">
            <v>320069357.39318645</v>
          </cell>
          <cell r="CB272">
            <v>0</v>
          </cell>
        </row>
        <row r="273">
          <cell r="H273">
            <v>0</v>
          </cell>
          <cell r="I273">
            <v>0</v>
          </cell>
          <cell r="J273">
            <v>0</v>
          </cell>
          <cell r="K273">
            <v>0</v>
          </cell>
          <cell r="M273">
            <v>459033643.07729</v>
          </cell>
          <cell r="R273">
            <v>34168284.159939758</v>
          </cell>
          <cell r="S273">
            <v>287319143.99927998</v>
          </cell>
          <cell r="T273">
            <v>1348147147.6080022</v>
          </cell>
          <cell r="U273">
            <v>1132296792.8879838</v>
          </cell>
          <cell r="V273">
            <v>215850354.72001845</v>
          </cell>
          <cell r="W273">
            <v>0</v>
          </cell>
          <cell r="X273">
            <v>532167054.711128</v>
          </cell>
          <cell r="AK273">
            <v>532167054.711128</v>
          </cell>
          <cell r="AX273">
            <v>532167054.711128</v>
          </cell>
          <cell r="BK273">
            <v>532167054.711128</v>
          </cell>
          <cell r="CB273">
            <v>0</v>
          </cell>
        </row>
        <row r="274">
          <cell r="H274">
            <v>0</v>
          </cell>
          <cell r="I274">
            <v>0</v>
          </cell>
          <cell r="J274">
            <v>0</v>
          </cell>
          <cell r="K274">
            <v>0</v>
          </cell>
          <cell r="M274">
            <v>474508801.15723002</v>
          </cell>
          <cell r="R274">
            <v>24999999.999976017</v>
          </cell>
          <cell r="S274">
            <v>367936836.96002001</v>
          </cell>
          <cell r="T274">
            <v>3415008076.3426685</v>
          </cell>
          <cell r="U274">
            <v>1592150149.4693658</v>
          </cell>
          <cell r="V274">
            <v>1446227606.8769438</v>
          </cell>
          <cell r="W274">
            <v>376630319.99635869</v>
          </cell>
          <cell r="X274">
            <v>1070613428.6149737</v>
          </cell>
          <cell r="AK274">
            <v>1070613428.6149737</v>
          </cell>
          <cell r="AX274">
            <v>1070613428.6149737</v>
          </cell>
          <cell r="BK274">
            <v>1070613428.6149737</v>
          </cell>
          <cell r="CB274">
            <v>0</v>
          </cell>
        </row>
        <row r="275">
          <cell r="H275">
            <v>0</v>
          </cell>
          <cell r="I275">
            <v>0</v>
          </cell>
          <cell r="J275">
            <v>0</v>
          </cell>
          <cell r="K275">
            <v>0</v>
          </cell>
          <cell r="M275">
            <v>494423828.27709001</v>
          </cell>
          <cell r="R275">
            <v>32350787.919639323</v>
          </cell>
          <cell r="S275">
            <v>455762527.92101002</v>
          </cell>
          <cell r="T275">
            <v>2581943595.0960035</v>
          </cell>
          <cell r="U275">
            <v>1241591844.4599423</v>
          </cell>
          <cell r="V275">
            <v>1340351750.6360612</v>
          </cell>
          <cell r="W275">
            <v>0</v>
          </cell>
          <cell r="X275">
            <v>891120184.8034358</v>
          </cell>
          <cell r="AK275">
            <v>891120184.8034358</v>
          </cell>
          <cell r="AX275">
            <v>891120184.8034358</v>
          </cell>
          <cell r="BK275">
            <v>891120184.8034358</v>
          </cell>
          <cell r="CB275">
            <v>0</v>
          </cell>
        </row>
        <row r="276">
          <cell r="H276">
            <v>0</v>
          </cell>
          <cell r="I276">
            <v>0</v>
          </cell>
          <cell r="J276">
            <v>0</v>
          </cell>
          <cell r="K276">
            <v>0</v>
          </cell>
          <cell r="M276">
            <v>394257228.00000018</v>
          </cell>
          <cell r="R276">
            <v>24999999.999976017</v>
          </cell>
          <cell r="S276">
            <v>1006042883.9999957</v>
          </cell>
          <cell r="T276">
            <v>4290709380</v>
          </cell>
          <cell r="U276">
            <v>3139854432</v>
          </cell>
          <cell r="V276">
            <v>976583664</v>
          </cell>
          <cell r="W276">
            <v>174271284.00000003</v>
          </cell>
          <cell r="X276">
            <v>1429002372.9999928</v>
          </cell>
          <cell r="AK276">
            <v>1429002372.9999928</v>
          </cell>
          <cell r="AX276">
            <v>1429002372.9999928</v>
          </cell>
          <cell r="BK276">
            <v>1429002372.9999928</v>
          </cell>
          <cell r="CB276">
            <v>0</v>
          </cell>
        </row>
        <row r="277">
          <cell r="H277">
            <v>0</v>
          </cell>
          <cell r="I277">
            <v>0</v>
          </cell>
          <cell r="J277">
            <v>0</v>
          </cell>
          <cell r="K277">
            <v>0</v>
          </cell>
          <cell r="M277">
            <v>390417228.00000447</v>
          </cell>
          <cell r="R277">
            <v>24999999.999976017</v>
          </cell>
          <cell r="S277">
            <v>381106008</v>
          </cell>
          <cell r="T277">
            <v>1753187988</v>
          </cell>
          <cell r="U277">
            <v>1141617636</v>
          </cell>
          <cell r="V277">
            <v>611570352</v>
          </cell>
          <cell r="W277">
            <v>0</v>
          </cell>
          <cell r="X277">
            <v>637427805.99999511</v>
          </cell>
          <cell r="AK277">
            <v>637427805.99999511</v>
          </cell>
          <cell r="AX277">
            <v>637427805.99999511</v>
          </cell>
          <cell r="BK277">
            <v>637427805.99999511</v>
          </cell>
          <cell r="CB277">
            <v>0</v>
          </cell>
        </row>
        <row r="278">
          <cell r="H278">
            <v>0</v>
          </cell>
          <cell r="I278">
            <v>0</v>
          </cell>
          <cell r="J278">
            <v>0</v>
          </cell>
          <cell r="K278">
            <v>0</v>
          </cell>
          <cell r="M278">
            <v>390417227.99769002</v>
          </cell>
          <cell r="R278">
            <v>24999999.999976017</v>
          </cell>
          <cell r="S278">
            <v>259719299.99999958</v>
          </cell>
          <cell r="T278">
            <v>2182297464</v>
          </cell>
          <cell r="U278">
            <v>1654578156</v>
          </cell>
          <cell r="V278">
            <v>527719307.99999994</v>
          </cell>
          <cell r="W278">
            <v>0</v>
          </cell>
          <cell r="X278">
            <v>714358497.99941635</v>
          </cell>
          <cell r="AK278">
            <v>714358497.99941635</v>
          </cell>
          <cell r="AX278">
            <v>714358497.99941635</v>
          </cell>
          <cell r="BK278">
            <v>714358497.99941635</v>
          </cell>
          <cell r="CB278">
            <v>0</v>
          </cell>
        </row>
        <row r="279">
          <cell r="H279">
            <v>0</v>
          </cell>
          <cell r="I279">
            <v>0</v>
          </cell>
          <cell r="J279">
            <v>0</v>
          </cell>
          <cell r="K279">
            <v>0</v>
          </cell>
          <cell r="M279">
            <v>390417227.99769002</v>
          </cell>
          <cell r="R279">
            <v>24999999.999976017</v>
          </cell>
          <cell r="S279">
            <v>28969140.000002444</v>
          </cell>
          <cell r="T279">
            <v>651310284.00000012</v>
          </cell>
          <cell r="U279">
            <v>402764340</v>
          </cell>
          <cell r="V279">
            <v>125157384.00000012</v>
          </cell>
          <cell r="W279">
            <v>123388560</v>
          </cell>
          <cell r="X279">
            <v>273924162.99941719</v>
          </cell>
          <cell r="AK279">
            <v>273924162.99941719</v>
          </cell>
          <cell r="AX279">
            <v>273924162.99941719</v>
          </cell>
          <cell r="BK279">
            <v>273924162.99941719</v>
          </cell>
          <cell r="CB279">
            <v>0</v>
          </cell>
        </row>
        <row r="280">
          <cell r="H280">
            <v>0</v>
          </cell>
          <cell r="I280">
            <v>0</v>
          </cell>
          <cell r="J280">
            <v>0</v>
          </cell>
          <cell r="K280">
            <v>0</v>
          </cell>
          <cell r="M280">
            <v>386712000.00000018</v>
          </cell>
          <cell r="R280">
            <v>24999999.999976017</v>
          </cell>
          <cell r="S280">
            <v>422511400.00000435</v>
          </cell>
          <cell r="T280">
            <v>2976652220</v>
          </cell>
          <cell r="U280">
            <v>1954425671.9999998</v>
          </cell>
          <cell r="V280">
            <v>638708256</v>
          </cell>
          <cell r="W280">
            <v>383518292</v>
          </cell>
          <cell r="X280">
            <v>952718904.99999511</v>
          </cell>
          <cell r="AK280">
            <v>952718904.99999511</v>
          </cell>
          <cell r="AX280">
            <v>952718904.99999511</v>
          </cell>
          <cell r="BK280">
            <v>952718904.99999511</v>
          </cell>
          <cell r="CB280">
            <v>0</v>
          </cell>
        </row>
        <row r="281">
          <cell r="H281">
            <v>0</v>
          </cell>
          <cell r="I281">
            <v>0</v>
          </cell>
          <cell r="J281">
            <v>0</v>
          </cell>
          <cell r="K281">
            <v>0</v>
          </cell>
          <cell r="M281">
            <v>390417228.00000447</v>
          </cell>
          <cell r="R281">
            <v>24999999.999976017</v>
          </cell>
          <cell r="S281">
            <v>2.5779008865356445E-6</v>
          </cell>
          <cell r="T281">
            <v>1571131368.0000002</v>
          </cell>
          <cell r="U281">
            <v>1007504040.0000001</v>
          </cell>
          <cell r="V281">
            <v>174750576.00000006</v>
          </cell>
          <cell r="W281">
            <v>388876752</v>
          </cell>
          <cell r="X281">
            <v>496637148.99999583</v>
          </cell>
          <cell r="AK281">
            <v>496637148.99999583</v>
          </cell>
          <cell r="AX281">
            <v>496637148.99999583</v>
          </cell>
          <cell r="BK281">
            <v>496637148.99999583</v>
          </cell>
          <cell r="CB281">
            <v>0</v>
          </cell>
        </row>
        <row r="282">
          <cell r="H282">
            <v>0</v>
          </cell>
          <cell r="I282">
            <v>0</v>
          </cell>
          <cell r="J282">
            <v>0</v>
          </cell>
          <cell r="K282">
            <v>0</v>
          </cell>
          <cell r="M282">
            <v>390417227.99769002</v>
          </cell>
          <cell r="R282">
            <v>24999999.999976017</v>
          </cell>
          <cell r="S282">
            <v>398761932</v>
          </cell>
          <cell r="T282">
            <v>1970996781.7319999</v>
          </cell>
          <cell r="U282">
            <v>1293755037.7319999</v>
          </cell>
          <cell r="V282">
            <v>677241744</v>
          </cell>
          <cell r="W282">
            <v>0</v>
          </cell>
          <cell r="X282">
            <v>696293985.43241644</v>
          </cell>
          <cell r="AK282">
            <v>696293985.43241644</v>
          </cell>
          <cell r="AX282">
            <v>696293985.43241644</v>
          </cell>
          <cell r="BK282">
            <v>696293985.43241644</v>
          </cell>
          <cell r="CB282">
            <v>0</v>
          </cell>
        </row>
        <row r="283">
          <cell r="H283">
            <v>0</v>
          </cell>
          <cell r="I283">
            <v>0</v>
          </cell>
          <cell r="J283">
            <v>0</v>
          </cell>
          <cell r="K283">
            <v>0</v>
          </cell>
          <cell r="M283">
            <v>386577228.00000018</v>
          </cell>
          <cell r="R283">
            <v>24999999.999976017</v>
          </cell>
          <cell r="S283">
            <v>156204816</v>
          </cell>
          <cell r="T283">
            <v>2711667326</v>
          </cell>
          <cell r="U283">
            <v>1675693166</v>
          </cell>
          <cell r="V283">
            <v>673454820</v>
          </cell>
          <cell r="W283">
            <v>362519340</v>
          </cell>
          <cell r="X283">
            <v>819862342.49999404</v>
          </cell>
          <cell r="AK283">
            <v>819862342.49999404</v>
          </cell>
          <cell r="AX283">
            <v>819862342.49999404</v>
          </cell>
          <cell r="BK283">
            <v>819862342.49999404</v>
          </cell>
          <cell r="CB283">
            <v>0</v>
          </cell>
        </row>
        <row r="284">
          <cell r="H284">
            <v>0</v>
          </cell>
          <cell r="I284">
            <v>0</v>
          </cell>
          <cell r="J284">
            <v>0</v>
          </cell>
          <cell r="K284">
            <v>0</v>
          </cell>
          <cell r="M284">
            <v>386577228.00000018</v>
          </cell>
          <cell r="R284">
            <v>24999999.999976017</v>
          </cell>
          <cell r="S284">
            <v>582941744.03000438</v>
          </cell>
          <cell r="T284">
            <v>1869424731.6353853</v>
          </cell>
          <cell r="U284">
            <v>1548825885.0353854</v>
          </cell>
          <cell r="V284">
            <v>268099158.5999999</v>
          </cell>
          <cell r="W284">
            <v>52499688</v>
          </cell>
          <cell r="X284">
            <v>715985925.91634154</v>
          </cell>
          <cell r="AK284">
            <v>715985925.91634154</v>
          </cell>
          <cell r="AX284">
            <v>715985925.91634154</v>
          </cell>
          <cell r="BK284">
            <v>715985925.91634154</v>
          </cell>
          <cell r="CB284">
            <v>0</v>
          </cell>
        </row>
        <row r="285">
          <cell r="H285">
            <v>0</v>
          </cell>
          <cell r="I285">
            <v>0</v>
          </cell>
          <cell r="J285">
            <v>0</v>
          </cell>
          <cell r="K285">
            <v>0</v>
          </cell>
          <cell r="M285">
            <v>390417227.99769002</v>
          </cell>
          <cell r="R285">
            <v>24999999.999976017</v>
          </cell>
          <cell r="S285">
            <v>248480532.00000218</v>
          </cell>
          <cell r="T285">
            <v>2260090560</v>
          </cell>
          <cell r="U285">
            <v>2098813752</v>
          </cell>
          <cell r="V285">
            <v>161276808</v>
          </cell>
          <cell r="W285">
            <v>0</v>
          </cell>
          <cell r="X285">
            <v>730997079.99941707</v>
          </cell>
          <cell r="AK285">
            <v>730997079.99941707</v>
          </cell>
          <cell r="AX285">
            <v>730997079.99941707</v>
          </cell>
          <cell r="BK285">
            <v>730997079.99941707</v>
          </cell>
          <cell r="CB285">
            <v>0</v>
          </cell>
        </row>
        <row r="286">
          <cell r="H286">
            <v>0</v>
          </cell>
          <cell r="I286">
            <v>0</v>
          </cell>
          <cell r="J286">
            <v>0</v>
          </cell>
          <cell r="K286">
            <v>0</v>
          </cell>
          <cell r="M286">
            <v>386577227.99777001</v>
          </cell>
          <cell r="R286">
            <v>24999999.999976017</v>
          </cell>
          <cell r="S286">
            <v>3.9339065551757813E-6</v>
          </cell>
          <cell r="T286">
            <v>2572559568</v>
          </cell>
          <cell r="U286">
            <v>1983596100</v>
          </cell>
          <cell r="V286">
            <v>588963468</v>
          </cell>
          <cell r="W286">
            <v>0</v>
          </cell>
          <cell r="X286">
            <v>746034198.99943745</v>
          </cell>
          <cell r="AK286">
            <v>746034198.99943745</v>
          </cell>
          <cell r="AX286">
            <v>746034198.99943745</v>
          </cell>
          <cell r="BK286">
            <v>746034198.99943745</v>
          </cell>
          <cell r="CB286">
            <v>0</v>
          </cell>
        </row>
        <row r="287">
          <cell r="H287">
            <v>0</v>
          </cell>
          <cell r="I287">
            <v>0</v>
          </cell>
          <cell r="J287">
            <v>0</v>
          </cell>
          <cell r="K287">
            <v>0</v>
          </cell>
          <cell r="M287">
            <v>390417227.99999583</v>
          </cell>
          <cell r="R287">
            <v>24999999.999976017</v>
          </cell>
          <cell r="S287">
            <v>313186092</v>
          </cell>
          <cell r="T287">
            <v>2205567132</v>
          </cell>
          <cell r="U287">
            <v>1300266264</v>
          </cell>
          <cell r="V287">
            <v>771975060</v>
          </cell>
          <cell r="W287">
            <v>133325807.99999999</v>
          </cell>
          <cell r="X287">
            <v>733542612.99999297</v>
          </cell>
          <cell r="AK287">
            <v>733542612.99999297</v>
          </cell>
          <cell r="AX287">
            <v>733542612.99999297</v>
          </cell>
          <cell r="BK287">
            <v>733542612.99999297</v>
          </cell>
          <cell r="CB287">
            <v>0</v>
          </cell>
        </row>
        <row r="288">
          <cell r="H288">
            <v>0</v>
          </cell>
          <cell r="I288">
            <v>0</v>
          </cell>
          <cell r="J288">
            <v>0</v>
          </cell>
          <cell r="K288">
            <v>0</v>
          </cell>
          <cell r="M288">
            <v>390417227.99769002</v>
          </cell>
          <cell r="R288">
            <v>24999999.999976017</v>
          </cell>
          <cell r="S288">
            <v>823543536.00001001</v>
          </cell>
          <cell r="T288">
            <v>3117418617.9941773</v>
          </cell>
          <cell r="U288">
            <v>1859460475.9971039</v>
          </cell>
          <cell r="V288">
            <v>1018681781.9979851</v>
          </cell>
          <cell r="W288">
            <v>239276359.99908847</v>
          </cell>
          <cell r="X288">
            <v>1089094845.4979634</v>
          </cell>
          <cell r="AK288">
            <v>1089094845.4979634</v>
          </cell>
          <cell r="AX288">
            <v>1089094845.4979634</v>
          </cell>
          <cell r="BK288">
            <v>1089094845.4979634</v>
          </cell>
          <cell r="CB288">
            <v>0</v>
          </cell>
        </row>
        <row r="289">
          <cell r="H289">
            <v>0</v>
          </cell>
          <cell r="I289">
            <v>0</v>
          </cell>
          <cell r="J289">
            <v>0</v>
          </cell>
          <cell r="K289">
            <v>0</v>
          </cell>
          <cell r="M289">
            <v>390417227.99769002</v>
          </cell>
          <cell r="R289">
            <v>24999999.999976017</v>
          </cell>
          <cell r="S289">
            <v>444448427.99984998</v>
          </cell>
          <cell r="T289">
            <v>2916735515.9988661</v>
          </cell>
          <cell r="U289">
            <v>2272076400.0001521</v>
          </cell>
          <cell r="V289">
            <v>644659115.99871373</v>
          </cell>
          <cell r="W289">
            <v>0</v>
          </cell>
          <cell r="X289">
            <v>944150292.99909532</v>
          </cell>
          <cell r="AK289">
            <v>944150292.99909532</v>
          </cell>
          <cell r="AX289">
            <v>944150292.99909532</v>
          </cell>
          <cell r="BK289">
            <v>944150292.99909532</v>
          </cell>
          <cell r="CB289">
            <v>0</v>
          </cell>
        </row>
        <row r="290">
          <cell r="H290">
            <v>0</v>
          </cell>
          <cell r="I290">
            <v>0</v>
          </cell>
          <cell r="J290">
            <v>0</v>
          </cell>
          <cell r="K290">
            <v>0</v>
          </cell>
          <cell r="M290">
            <v>394257227.99760997</v>
          </cell>
          <cell r="R290">
            <v>24999999.999976017</v>
          </cell>
          <cell r="S290">
            <v>141732048.00022799</v>
          </cell>
          <cell r="T290">
            <v>1586560367.9991243</v>
          </cell>
          <cell r="U290">
            <v>1043932403.9991243</v>
          </cell>
          <cell r="V290">
            <v>360074352</v>
          </cell>
          <cell r="W290">
            <v>182553612</v>
          </cell>
          <cell r="X290">
            <v>536887410.99923456</v>
          </cell>
          <cell r="AK290">
            <v>536887410.99923456</v>
          </cell>
          <cell r="AX290">
            <v>536887410.99923456</v>
          </cell>
          <cell r="BK290">
            <v>536887410.99923456</v>
          </cell>
          <cell r="CB290">
            <v>0</v>
          </cell>
        </row>
        <row r="291">
          <cell r="H291">
            <v>0</v>
          </cell>
          <cell r="I291">
            <v>0</v>
          </cell>
          <cell r="J291">
            <v>0</v>
          </cell>
          <cell r="K291">
            <v>0</v>
          </cell>
          <cell r="M291">
            <v>390417227.99769002</v>
          </cell>
          <cell r="R291">
            <v>24999999.999976017</v>
          </cell>
          <cell r="S291">
            <v>958825327.64900005</v>
          </cell>
          <cell r="T291">
            <v>2829090710.8258419</v>
          </cell>
          <cell r="U291">
            <v>2523313056.9065552</v>
          </cell>
          <cell r="V291">
            <v>277930159.91959822</v>
          </cell>
          <cell r="W291">
            <v>27847493.999688715</v>
          </cell>
          <cell r="X291">
            <v>1050833316.618127</v>
          </cell>
          <cell r="AK291">
            <v>1050833316.618127</v>
          </cell>
          <cell r="AX291">
            <v>1050833316.618127</v>
          </cell>
          <cell r="BK291">
            <v>1050833316.618127</v>
          </cell>
          <cell r="CB291">
            <v>0</v>
          </cell>
        </row>
        <row r="292">
          <cell r="H292">
            <v>0</v>
          </cell>
          <cell r="I292">
            <v>0</v>
          </cell>
          <cell r="J292">
            <v>0</v>
          </cell>
          <cell r="K292">
            <v>0</v>
          </cell>
          <cell r="M292">
            <v>386577227.99777001</v>
          </cell>
          <cell r="R292">
            <v>24999999.999976017</v>
          </cell>
          <cell r="S292">
            <v>39415188.001138002</v>
          </cell>
          <cell r="T292">
            <v>969345299.99831903</v>
          </cell>
          <cell r="U292">
            <v>534057792.0000453</v>
          </cell>
          <cell r="V292">
            <v>268816031.99972576</v>
          </cell>
          <cell r="W292">
            <v>166471475.99854794</v>
          </cell>
          <cell r="X292">
            <v>355084428.99930078</v>
          </cell>
          <cell r="AK292">
            <v>355084428.99930078</v>
          </cell>
          <cell r="AX292">
            <v>355084428.99930078</v>
          </cell>
          <cell r="BK292">
            <v>355084428.99930078</v>
          </cell>
          <cell r="CB292">
            <v>0</v>
          </cell>
        </row>
        <row r="293">
          <cell r="H293">
            <v>0</v>
          </cell>
          <cell r="I293">
            <v>0</v>
          </cell>
          <cell r="J293">
            <v>0</v>
          </cell>
          <cell r="K293">
            <v>0</v>
          </cell>
          <cell r="M293">
            <v>394257227.99760997</v>
          </cell>
          <cell r="R293">
            <v>24999999.999976017</v>
          </cell>
          <cell r="S293">
            <v>689008656.00075996</v>
          </cell>
          <cell r="T293">
            <v>3927925403.9934921</v>
          </cell>
          <cell r="U293">
            <v>2732657603.9977088</v>
          </cell>
          <cell r="V293">
            <v>1082815739.9967735</v>
          </cell>
          <cell r="W293">
            <v>112452059.99900995</v>
          </cell>
          <cell r="X293">
            <v>1259047821.9979596</v>
          </cell>
          <cell r="AK293">
            <v>1259047821.9979596</v>
          </cell>
          <cell r="AX293">
            <v>1259047821.9979596</v>
          </cell>
          <cell r="BK293">
            <v>1259047821.9979596</v>
          </cell>
          <cell r="CB293">
            <v>0</v>
          </cell>
        </row>
        <row r="294">
          <cell r="H294">
            <v>0</v>
          </cell>
          <cell r="I294">
            <v>0</v>
          </cell>
          <cell r="J294">
            <v>0</v>
          </cell>
          <cell r="K294">
            <v>0</v>
          </cell>
          <cell r="M294">
            <v>394257227.99760997</v>
          </cell>
          <cell r="R294">
            <v>24999999.999976017</v>
          </cell>
          <cell r="S294">
            <v>331810984.84135699</v>
          </cell>
          <cell r="T294">
            <v>606745803.53944683</v>
          </cell>
          <cell r="U294">
            <v>434462581.06529123</v>
          </cell>
          <cell r="V294">
            <v>49930378.572955973</v>
          </cell>
          <cell r="W294">
            <v>122352843.9011997</v>
          </cell>
          <cell r="X294">
            <v>339453504.09459746</v>
          </cell>
          <cell r="AK294">
            <v>339453504.09459746</v>
          </cell>
          <cell r="AX294">
            <v>339453504.09459746</v>
          </cell>
          <cell r="BK294">
            <v>339453504.09459746</v>
          </cell>
          <cell r="CB294">
            <v>0</v>
          </cell>
        </row>
        <row r="295">
          <cell r="X295">
            <v>1281072478721.9675</v>
          </cell>
          <cell r="AK295">
            <v>1271072478721.9678</v>
          </cell>
          <cell r="AX295">
            <v>1271072478721.9678</v>
          </cell>
          <cell r="BK295">
            <v>1261072478721.9675</v>
          </cell>
          <cell r="CB295">
            <v>0</v>
          </cell>
        </row>
      </sheetData>
      <sheetData sheetId="4" refreshError="1"/>
      <sheetData sheetId="5">
        <row r="2">
          <cell r="F2" t="str">
            <v>Approved Budget FY 2016/17</v>
          </cell>
          <cell r="H2" t="str">
            <v>Shortfall</v>
          </cell>
        </row>
        <row r="3">
          <cell r="F3">
            <v>48478712825.079994</v>
          </cell>
          <cell r="H3">
            <v>0</v>
          </cell>
        </row>
        <row r="4">
          <cell r="F4">
            <v>13225176438</v>
          </cell>
          <cell r="H4">
            <v>0</v>
          </cell>
        </row>
        <row r="5">
          <cell r="F5">
            <v>2709072180</v>
          </cell>
          <cell r="H5">
            <v>1162196833</v>
          </cell>
        </row>
        <row r="6">
          <cell r="F6">
            <v>410393037130.42798</v>
          </cell>
          <cell r="H6">
            <v>0</v>
          </cell>
        </row>
        <row r="7">
          <cell r="F7">
            <v>3946452554</v>
          </cell>
          <cell r="H7">
            <v>0</v>
          </cell>
        </row>
        <row r="8">
          <cell r="F8">
            <v>4680192372</v>
          </cell>
          <cell r="H8">
            <v>0</v>
          </cell>
        </row>
        <row r="9">
          <cell r="F9">
            <v>3548059391.9941368</v>
          </cell>
          <cell r="H9">
            <v>208358274</v>
          </cell>
        </row>
        <row r="10">
          <cell r="F10">
            <v>4269510138.3519921</v>
          </cell>
          <cell r="H10">
            <v>0</v>
          </cell>
        </row>
        <row r="11">
          <cell r="F11">
            <v>1784367889.7</v>
          </cell>
          <cell r="H11">
            <v>515531706</v>
          </cell>
        </row>
        <row r="12">
          <cell r="F12">
            <v>5583560834.9993</v>
          </cell>
          <cell r="H12">
            <v>0</v>
          </cell>
        </row>
        <row r="13">
          <cell r="F13">
            <v>6621313106</v>
          </cell>
          <cell r="H13">
            <v>0</v>
          </cell>
        </row>
        <row r="14">
          <cell r="F14">
            <v>4201043763</v>
          </cell>
          <cell r="H14">
            <v>0</v>
          </cell>
        </row>
        <row r="15">
          <cell r="F15">
            <v>12823612471.31267</v>
          </cell>
          <cell r="H15">
            <v>0</v>
          </cell>
        </row>
        <row r="16">
          <cell r="F16">
            <v>8981186521</v>
          </cell>
          <cell r="H16">
            <v>0</v>
          </cell>
        </row>
        <row r="17">
          <cell r="F17">
            <v>1940541276.4000001</v>
          </cell>
          <cell r="H17">
            <v>0</v>
          </cell>
        </row>
        <row r="18">
          <cell r="F18">
            <v>9012928468</v>
          </cell>
          <cell r="H18">
            <v>1900284759</v>
          </cell>
        </row>
        <row r="19">
          <cell r="F19">
            <v>4062808958</v>
          </cell>
          <cell r="H19">
            <v>0</v>
          </cell>
        </row>
        <row r="20">
          <cell r="F20">
            <v>3437288016.0900002</v>
          </cell>
          <cell r="H20">
            <v>0</v>
          </cell>
        </row>
        <row r="21">
          <cell r="F21">
            <v>4365684752</v>
          </cell>
          <cell r="H21">
            <v>0</v>
          </cell>
        </row>
        <row r="22">
          <cell r="F22">
            <v>817107861</v>
          </cell>
          <cell r="H22">
            <v>0</v>
          </cell>
        </row>
        <row r="23">
          <cell r="F23">
            <v>568812090</v>
          </cell>
          <cell r="H23">
            <v>0</v>
          </cell>
        </row>
        <row r="24">
          <cell r="F24">
            <v>1782582670.5</v>
          </cell>
          <cell r="H24">
            <v>0</v>
          </cell>
        </row>
        <row r="25">
          <cell r="F25">
            <v>27178007797.2878</v>
          </cell>
          <cell r="H25">
            <v>0</v>
          </cell>
        </row>
        <row r="26">
          <cell r="F26">
            <v>8298317068</v>
          </cell>
          <cell r="H26">
            <v>0</v>
          </cell>
        </row>
        <row r="27">
          <cell r="F27">
            <v>19789498444</v>
          </cell>
          <cell r="H27">
            <v>0</v>
          </cell>
        </row>
        <row r="28">
          <cell r="F28">
            <v>86863322595</v>
          </cell>
          <cell r="H28">
            <v>0</v>
          </cell>
        </row>
        <row r="29">
          <cell r="F29">
            <v>4073396523.8800001</v>
          </cell>
          <cell r="H29">
            <v>0</v>
          </cell>
        </row>
        <row r="30">
          <cell r="F30">
            <v>5591118479</v>
          </cell>
          <cell r="H30">
            <v>429198968</v>
          </cell>
        </row>
        <row r="31">
          <cell r="F31">
            <v>1319679712.96</v>
          </cell>
          <cell r="H31">
            <v>54785218</v>
          </cell>
        </row>
        <row r="32">
          <cell r="F32">
            <v>6755343460</v>
          </cell>
          <cell r="H32">
            <v>0</v>
          </cell>
        </row>
        <row r="33">
          <cell r="F33">
            <v>3803985000</v>
          </cell>
          <cell r="H33">
            <v>0</v>
          </cell>
        </row>
        <row r="34">
          <cell r="F34">
            <v>3720150188</v>
          </cell>
          <cell r="H34">
            <v>0</v>
          </cell>
        </row>
        <row r="35">
          <cell r="F35">
            <v>17332321163.860001</v>
          </cell>
          <cell r="H35">
            <v>3277680516</v>
          </cell>
        </row>
        <row r="36">
          <cell r="F36">
            <v>586618776</v>
          </cell>
          <cell r="H36">
            <v>294276</v>
          </cell>
        </row>
        <row r="37">
          <cell r="F37">
            <v>71105192984</v>
          </cell>
          <cell r="H37">
            <v>0</v>
          </cell>
        </row>
        <row r="38">
          <cell r="F38">
            <v>2349469491.9000001</v>
          </cell>
          <cell r="H38">
            <v>0</v>
          </cell>
        </row>
        <row r="39">
          <cell r="F39">
            <v>2834987153</v>
          </cell>
          <cell r="H39">
            <v>0</v>
          </cell>
        </row>
        <row r="40">
          <cell r="F40">
            <v>1855392000.1998999</v>
          </cell>
          <cell r="H40">
            <v>0</v>
          </cell>
        </row>
        <row r="41">
          <cell r="F41">
            <v>2511191000</v>
          </cell>
          <cell r="H41">
            <v>0</v>
          </cell>
        </row>
        <row r="42">
          <cell r="F42">
            <v>7056700645</v>
          </cell>
          <cell r="H42">
            <v>493656000</v>
          </cell>
        </row>
        <row r="43">
          <cell r="F43">
            <v>4023486557.4400001</v>
          </cell>
          <cell r="H43">
            <v>0</v>
          </cell>
        </row>
        <row r="44">
          <cell r="F44">
            <v>1570400000</v>
          </cell>
          <cell r="H44">
            <v>0</v>
          </cell>
        </row>
        <row r="45">
          <cell r="F45">
            <v>52515960062.083878</v>
          </cell>
          <cell r="H45">
            <v>0</v>
          </cell>
        </row>
        <row r="46">
          <cell r="F46">
            <v>2966807972</v>
          </cell>
          <cell r="H46">
            <v>0</v>
          </cell>
        </row>
        <row r="47">
          <cell r="F47">
            <v>1900000000</v>
          </cell>
          <cell r="H47">
            <v>0</v>
          </cell>
        </row>
        <row r="48">
          <cell r="F48">
            <v>6345161925</v>
          </cell>
          <cell r="H48">
            <v>0</v>
          </cell>
        </row>
        <row r="49">
          <cell r="F49">
            <v>3530247572.4991999</v>
          </cell>
          <cell r="H49">
            <v>0</v>
          </cell>
        </row>
        <row r="50">
          <cell r="F50">
            <v>3950000000</v>
          </cell>
          <cell r="H50">
            <v>0</v>
          </cell>
        </row>
        <row r="51">
          <cell r="F51">
            <v>2306000000</v>
          </cell>
          <cell r="H51">
            <v>0</v>
          </cell>
        </row>
        <row r="52">
          <cell r="F52">
            <v>19574846307</v>
          </cell>
          <cell r="H52">
            <v>391731557</v>
          </cell>
        </row>
        <row r="53">
          <cell r="F53">
            <v>1256236439.28</v>
          </cell>
          <cell r="H53">
            <v>0</v>
          </cell>
        </row>
        <row r="54">
          <cell r="F54">
            <v>7290009072.96</v>
          </cell>
          <cell r="H54">
            <v>0</v>
          </cell>
        </row>
        <row r="55">
          <cell r="F55">
            <v>1189382050.72</v>
          </cell>
          <cell r="H55">
            <v>0</v>
          </cell>
        </row>
        <row r="56">
          <cell r="F56">
            <v>100077312793.2</v>
          </cell>
          <cell r="H56">
            <v>0</v>
          </cell>
        </row>
        <row r="57">
          <cell r="F57">
            <v>23929174049</v>
          </cell>
          <cell r="H57">
            <v>0</v>
          </cell>
        </row>
        <row r="58">
          <cell r="F58">
            <v>16264136962</v>
          </cell>
          <cell r="H58">
            <v>0</v>
          </cell>
        </row>
        <row r="59">
          <cell r="F59">
            <v>32183654073.200001</v>
          </cell>
          <cell r="H59">
            <v>0</v>
          </cell>
        </row>
        <row r="60">
          <cell r="F60">
            <v>1681776695.2</v>
          </cell>
          <cell r="H60">
            <v>0</v>
          </cell>
        </row>
        <row r="61">
          <cell r="F61">
            <v>112131553133</v>
          </cell>
          <cell r="H61">
            <v>0</v>
          </cell>
        </row>
        <row r="62">
          <cell r="F62">
            <v>22472228449</v>
          </cell>
          <cell r="H62">
            <v>0</v>
          </cell>
        </row>
        <row r="63">
          <cell r="F63">
            <v>12849513885.800001</v>
          </cell>
          <cell r="H63">
            <v>0</v>
          </cell>
        </row>
        <row r="64">
          <cell r="F64">
            <v>236401319334.28</v>
          </cell>
          <cell r="H64">
            <v>0</v>
          </cell>
        </row>
        <row r="65">
          <cell r="F65">
            <v>52354391701.599998</v>
          </cell>
          <cell r="H65">
            <v>0</v>
          </cell>
        </row>
        <row r="66">
          <cell r="F66">
            <v>1568271017</v>
          </cell>
          <cell r="H66">
            <v>0</v>
          </cell>
        </row>
        <row r="67">
          <cell r="F67">
            <v>1118818400</v>
          </cell>
          <cell r="H67">
            <v>0</v>
          </cell>
        </row>
        <row r="68">
          <cell r="F68">
            <v>779542430</v>
          </cell>
          <cell r="H68">
            <v>0</v>
          </cell>
        </row>
        <row r="69">
          <cell r="F69">
            <v>18462902551.989002</v>
          </cell>
          <cell r="H69">
            <v>2900937168</v>
          </cell>
        </row>
        <row r="70">
          <cell r="F70">
            <v>3699988039.02</v>
          </cell>
          <cell r="H70">
            <v>0</v>
          </cell>
        </row>
        <row r="71">
          <cell r="F71">
            <v>2714602636.04</v>
          </cell>
          <cell r="H71">
            <v>0</v>
          </cell>
        </row>
        <row r="72">
          <cell r="F72">
            <v>2184900000.0900002</v>
          </cell>
          <cell r="H72">
            <v>0</v>
          </cell>
        </row>
        <row r="73">
          <cell r="F73">
            <v>6549591800</v>
          </cell>
          <cell r="H73">
            <v>0</v>
          </cell>
        </row>
        <row r="74">
          <cell r="F74">
            <v>6355699000</v>
          </cell>
          <cell r="H74">
            <v>0</v>
          </cell>
        </row>
        <row r="75">
          <cell r="F75">
            <v>365510526.24183619</v>
          </cell>
          <cell r="H75">
            <v>0</v>
          </cell>
        </row>
        <row r="76">
          <cell r="F76">
            <v>5400000000</v>
          </cell>
          <cell r="H76">
            <v>0</v>
          </cell>
        </row>
        <row r="77">
          <cell r="F77">
            <v>11764319600</v>
          </cell>
          <cell r="H77">
            <v>0</v>
          </cell>
        </row>
        <row r="78">
          <cell r="F78">
            <v>22705144756.599998</v>
          </cell>
          <cell r="H78">
            <v>241642778</v>
          </cell>
        </row>
        <row r="79">
          <cell r="F79">
            <v>3798738364</v>
          </cell>
          <cell r="H79">
            <v>0</v>
          </cell>
        </row>
        <row r="80">
          <cell r="F80">
            <v>3701700000</v>
          </cell>
          <cell r="H80">
            <v>0</v>
          </cell>
        </row>
        <row r="81">
          <cell r="F81">
            <v>1215035576</v>
          </cell>
          <cell r="H81">
            <v>0</v>
          </cell>
        </row>
        <row r="82">
          <cell r="F82">
            <v>3965680000</v>
          </cell>
          <cell r="H82">
            <v>0</v>
          </cell>
        </row>
        <row r="83">
          <cell r="F83">
            <v>952000000</v>
          </cell>
          <cell r="H83">
            <v>0</v>
          </cell>
        </row>
        <row r="84">
          <cell r="F84">
            <v>758815588</v>
          </cell>
          <cell r="H84">
            <v>0</v>
          </cell>
        </row>
        <row r="85">
          <cell r="F85">
            <v>1160400000</v>
          </cell>
          <cell r="H85">
            <v>0</v>
          </cell>
        </row>
        <row r="86">
          <cell r="F86">
            <v>4690799999.9959631</v>
          </cell>
          <cell r="H86">
            <v>0</v>
          </cell>
        </row>
        <row r="87">
          <cell r="F87">
            <v>3384900000.000001</v>
          </cell>
          <cell r="H87">
            <v>0</v>
          </cell>
        </row>
        <row r="88">
          <cell r="F88">
            <v>3094686031.43999</v>
          </cell>
          <cell r="H88">
            <v>0</v>
          </cell>
        </row>
        <row r="89">
          <cell r="F89">
            <v>3552215075</v>
          </cell>
          <cell r="H89">
            <v>0</v>
          </cell>
        </row>
        <row r="90">
          <cell r="F90">
            <v>3282674203.02</v>
          </cell>
          <cell r="H90">
            <v>0</v>
          </cell>
        </row>
        <row r="91">
          <cell r="F91">
            <v>4138988105</v>
          </cell>
          <cell r="H91">
            <v>0</v>
          </cell>
        </row>
        <row r="92">
          <cell r="F92">
            <v>4578054306.8800001</v>
          </cell>
          <cell r="H92">
            <v>0</v>
          </cell>
        </row>
        <row r="93">
          <cell r="F93">
            <v>2718513365.8600001</v>
          </cell>
          <cell r="H93">
            <v>0</v>
          </cell>
        </row>
        <row r="94">
          <cell r="F94">
            <v>2824865218.4399996</v>
          </cell>
          <cell r="H94">
            <v>0</v>
          </cell>
        </row>
        <row r="95">
          <cell r="F95">
            <v>3945850744</v>
          </cell>
          <cell r="H95">
            <v>0</v>
          </cell>
        </row>
        <row r="96">
          <cell r="F96">
            <v>2790615576</v>
          </cell>
          <cell r="H96">
            <v>0</v>
          </cell>
        </row>
        <row r="97">
          <cell r="F97">
            <v>3227162022</v>
          </cell>
          <cell r="H97">
            <v>0</v>
          </cell>
        </row>
        <row r="98">
          <cell r="F98">
            <v>3399398031</v>
          </cell>
          <cell r="H98">
            <v>0</v>
          </cell>
        </row>
        <row r="99">
          <cell r="F99">
            <v>3438719012.04</v>
          </cell>
        </row>
        <row r="100">
          <cell r="F100">
            <v>2827342327.8000002</v>
          </cell>
          <cell r="H100">
            <v>0</v>
          </cell>
        </row>
        <row r="101">
          <cell r="F101">
            <v>4246452193</v>
          </cell>
          <cell r="H101">
            <v>0</v>
          </cell>
        </row>
        <row r="102">
          <cell r="F102">
            <v>1951317368</v>
          </cell>
          <cell r="H102">
            <v>0</v>
          </cell>
        </row>
        <row r="103">
          <cell r="F103">
            <v>1299723224</v>
          </cell>
          <cell r="H103">
            <v>0</v>
          </cell>
        </row>
        <row r="104">
          <cell r="F104">
            <v>971934797</v>
          </cell>
          <cell r="H104">
            <v>0</v>
          </cell>
        </row>
        <row r="105">
          <cell r="F105">
            <v>305552179</v>
          </cell>
          <cell r="H105">
            <v>0</v>
          </cell>
        </row>
        <row r="106">
          <cell r="F106">
            <v>544097087</v>
          </cell>
          <cell r="H106">
            <v>0</v>
          </cell>
        </row>
        <row r="107">
          <cell r="F107">
            <v>305936497</v>
          </cell>
          <cell r="H107">
            <v>0</v>
          </cell>
        </row>
        <row r="108">
          <cell r="F108">
            <v>291663564</v>
          </cell>
          <cell r="H108">
            <v>0</v>
          </cell>
        </row>
        <row r="109">
          <cell r="F109">
            <v>222440942</v>
          </cell>
          <cell r="H109">
            <v>0</v>
          </cell>
        </row>
        <row r="110">
          <cell r="F110">
            <v>369896954</v>
          </cell>
          <cell r="H110">
            <v>0</v>
          </cell>
        </row>
        <row r="111">
          <cell r="F111">
            <v>1214498163</v>
          </cell>
          <cell r="H111">
            <v>0</v>
          </cell>
        </row>
        <row r="112">
          <cell r="F112">
            <v>308361458</v>
          </cell>
          <cell r="H112">
            <v>0</v>
          </cell>
        </row>
        <row r="113">
          <cell r="F113">
            <v>388182714</v>
          </cell>
          <cell r="H113">
            <v>0</v>
          </cell>
        </row>
        <row r="114">
          <cell r="F114">
            <v>395305670</v>
          </cell>
          <cell r="H114">
            <v>0</v>
          </cell>
        </row>
        <row r="115">
          <cell r="F115">
            <v>1295007520</v>
          </cell>
          <cell r="H115">
            <v>0</v>
          </cell>
        </row>
        <row r="116">
          <cell r="F116">
            <v>1068667400</v>
          </cell>
          <cell r="H116">
            <v>0</v>
          </cell>
        </row>
        <row r="117">
          <cell r="F117">
            <v>381588166</v>
          </cell>
          <cell r="H117">
            <v>0</v>
          </cell>
        </row>
        <row r="118">
          <cell r="F118">
            <v>511808738</v>
          </cell>
          <cell r="H118">
            <v>0</v>
          </cell>
        </row>
        <row r="119">
          <cell r="F119">
            <v>742895394</v>
          </cell>
          <cell r="H119">
            <v>0</v>
          </cell>
        </row>
        <row r="120">
          <cell r="F120">
            <v>830842800</v>
          </cell>
          <cell r="H120">
            <v>0</v>
          </cell>
        </row>
        <row r="121">
          <cell r="F121">
            <v>847596800</v>
          </cell>
          <cell r="H121">
            <v>0</v>
          </cell>
        </row>
        <row r="122">
          <cell r="F122">
            <v>465873282</v>
          </cell>
          <cell r="H122">
            <v>0</v>
          </cell>
        </row>
        <row r="123">
          <cell r="F123">
            <v>297116710</v>
          </cell>
          <cell r="H123">
            <v>0</v>
          </cell>
        </row>
        <row r="124">
          <cell r="F124">
            <v>951381400</v>
          </cell>
          <cell r="H124">
            <v>0</v>
          </cell>
        </row>
        <row r="125">
          <cell r="F125">
            <v>926649370</v>
          </cell>
          <cell r="H125">
            <v>0</v>
          </cell>
        </row>
        <row r="126">
          <cell r="F126">
            <v>407293700</v>
          </cell>
          <cell r="H126">
            <v>0</v>
          </cell>
        </row>
        <row r="127">
          <cell r="F127">
            <v>332024173</v>
          </cell>
          <cell r="H127">
            <v>0</v>
          </cell>
        </row>
        <row r="128">
          <cell r="F128">
            <v>606783496</v>
          </cell>
          <cell r="H128">
            <v>0</v>
          </cell>
        </row>
        <row r="129">
          <cell r="F129">
            <v>321200000</v>
          </cell>
          <cell r="H129">
            <v>0</v>
          </cell>
        </row>
        <row r="130">
          <cell r="F130">
            <v>502708800</v>
          </cell>
          <cell r="H130">
            <v>0</v>
          </cell>
        </row>
        <row r="131">
          <cell r="F131">
            <v>176735528</v>
          </cell>
          <cell r="H131">
            <v>0</v>
          </cell>
        </row>
        <row r="132">
          <cell r="F132">
            <v>419123898</v>
          </cell>
          <cell r="H132">
            <v>0</v>
          </cell>
        </row>
        <row r="133">
          <cell r="F133">
            <v>589654094</v>
          </cell>
          <cell r="H133">
            <v>0</v>
          </cell>
        </row>
        <row r="134">
          <cell r="F134">
            <v>119405764</v>
          </cell>
          <cell r="H134">
            <v>0</v>
          </cell>
        </row>
        <row r="135">
          <cell r="F135">
            <v>410866786</v>
          </cell>
          <cell r="H135">
            <v>0</v>
          </cell>
        </row>
        <row r="136">
          <cell r="F136">
            <v>92088568</v>
          </cell>
          <cell r="H136">
            <v>0</v>
          </cell>
        </row>
        <row r="137">
          <cell r="F137">
            <v>12697295073.524715</v>
          </cell>
          <cell r="H137">
            <v>962315929</v>
          </cell>
        </row>
        <row r="138">
          <cell r="F138">
            <v>18043750710.969116</v>
          </cell>
          <cell r="H138">
            <v>2161428316</v>
          </cell>
        </row>
        <row r="139">
          <cell r="F139">
            <v>34597184162.019592</v>
          </cell>
          <cell r="H139">
            <v>79436517</v>
          </cell>
        </row>
        <row r="140">
          <cell r="F140">
            <v>15197952188.093084</v>
          </cell>
          <cell r="H140">
            <v>759960213</v>
          </cell>
        </row>
        <row r="141">
          <cell r="F141">
            <v>16005707861.642851</v>
          </cell>
          <cell r="H141">
            <v>0</v>
          </cell>
        </row>
        <row r="142">
          <cell r="F142">
            <v>13104283891.698706</v>
          </cell>
          <cell r="H142">
            <v>0</v>
          </cell>
        </row>
        <row r="143">
          <cell r="F143">
            <v>13944177593.253252</v>
          </cell>
          <cell r="H143">
            <v>0</v>
          </cell>
        </row>
        <row r="144">
          <cell r="F144">
            <v>14684878787.818535</v>
          </cell>
          <cell r="H144">
            <v>0</v>
          </cell>
        </row>
        <row r="145">
          <cell r="F145">
            <v>14714605772.7274</v>
          </cell>
        </row>
        <row r="146">
          <cell r="F146">
            <v>25205402246.43615</v>
          </cell>
          <cell r="H146">
            <v>0</v>
          </cell>
        </row>
        <row r="147">
          <cell r="F147">
            <v>22045628739.912621</v>
          </cell>
          <cell r="H147">
            <v>0</v>
          </cell>
        </row>
        <row r="148">
          <cell r="F148">
            <v>25745658569.929287</v>
          </cell>
          <cell r="H148">
            <v>155164893</v>
          </cell>
        </row>
        <row r="149">
          <cell r="F149">
            <v>19097905646.256985</v>
          </cell>
          <cell r="H149">
            <v>0</v>
          </cell>
        </row>
        <row r="150">
          <cell r="F150">
            <v>9644145971.5316792</v>
          </cell>
          <cell r="H150">
            <v>868309745</v>
          </cell>
        </row>
        <row r="151">
          <cell r="F151">
            <v>4876625895.8109112</v>
          </cell>
          <cell r="H151">
            <v>43892570</v>
          </cell>
        </row>
        <row r="152">
          <cell r="F152">
            <v>21384209806.35593</v>
          </cell>
          <cell r="H152">
            <v>0</v>
          </cell>
        </row>
        <row r="153">
          <cell r="F153">
            <v>16475567102.490932</v>
          </cell>
          <cell r="H153">
            <v>0</v>
          </cell>
        </row>
        <row r="154">
          <cell r="F154">
            <v>18117038143.377491</v>
          </cell>
          <cell r="H154">
            <v>0</v>
          </cell>
        </row>
        <row r="155">
          <cell r="F155">
            <v>7414031888.2715397</v>
          </cell>
          <cell r="H155">
            <v>0</v>
          </cell>
        </row>
        <row r="156">
          <cell r="F156">
            <v>32860661934.674572</v>
          </cell>
          <cell r="H156">
            <v>0</v>
          </cell>
        </row>
        <row r="157">
          <cell r="F157">
            <v>9592277824.3986244</v>
          </cell>
          <cell r="H157">
            <v>0</v>
          </cell>
        </row>
        <row r="158">
          <cell r="F158">
            <v>17671768040.280331</v>
          </cell>
          <cell r="H158">
            <v>0</v>
          </cell>
        </row>
        <row r="159">
          <cell r="F159">
            <v>8578807235.0019855</v>
          </cell>
          <cell r="H159">
            <v>0</v>
          </cell>
        </row>
        <row r="160">
          <cell r="F160">
            <v>11050418314.080364</v>
          </cell>
          <cell r="H160">
            <v>344436876</v>
          </cell>
        </row>
        <row r="161">
          <cell r="F161">
            <v>19770322482.969559</v>
          </cell>
          <cell r="H161">
            <v>0</v>
          </cell>
        </row>
        <row r="162">
          <cell r="F162">
            <v>12928775642.999866</v>
          </cell>
          <cell r="H162">
            <v>1442454183</v>
          </cell>
        </row>
        <row r="163">
          <cell r="F163">
            <v>4396288368.5804043</v>
          </cell>
          <cell r="H163">
            <v>0</v>
          </cell>
        </row>
        <row r="164">
          <cell r="F164">
            <v>8986538022.7876873</v>
          </cell>
          <cell r="H164">
            <v>0</v>
          </cell>
        </row>
        <row r="165">
          <cell r="F165">
            <v>14608208707.369823</v>
          </cell>
          <cell r="H165">
            <v>537301728</v>
          </cell>
        </row>
        <row r="166">
          <cell r="F166">
            <v>15307954780.018826</v>
          </cell>
          <cell r="H166">
            <v>0</v>
          </cell>
        </row>
        <row r="167">
          <cell r="F167">
            <v>29527537542.394905</v>
          </cell>
          <cell r="H167">
            <v>0</v>
          </cell>
        </row>
        <row r="168">
          <cell r="F168">
            <v>9433419416.1229935</v>
          </cell>
          <cell r="H168">
            <v>69457488</v>
          </cell>
        </row>
        <row r="169">
          <cell r="F169">
            <v>10793067143.906958</v>
          </cell>
          <cell r="H169">
            <v>0</v>
          </cell>
        </row>
        <row r="170">
          <cell r="F170">
            <v>18438020675.605015</v>
          </cell>
          <cell r="H170">
            <v>340786857</v>
          </cell>
        </row>
        <row r="171">
          <cell r="F171">
            <v>19934561879.969608</v>
          </cell>
          <cell r="H171">
            <v>0</v>
          </cell>
        </row>
        <row r="172">
          <cell r="F172">
            <v>20129751497.895615</v>
          </cell>
          <cell r="H172">
            <v>191521849</v>
          </cell>
        </row>
        <row r="173">
          <cell r="F173">
            <v>6060666435.4926834</v>
          </cell>
          <cell r="H173">
            <v>0</v>
          </cell>
        </row>
        <row r="174">
          <cell r="F174">
            <v>12021470743.157471</v>
          </cell>
          <cell r="H174">
            <v>0</v>
          </cell>
        </row>
        <row r="175">
          <cell r="F175">
            <v>13416522943.824057</v>
          </cell>
          <cell r="H175">
            <v>0</v>
          </cell>
        </row>
        <row r="176">
          <cell r="F176">
            <v>16611069978.945946</v>
          </cell>
          <cell r="H176">
            <v>0</v>
          </cell>
        </row>
        <row r="177">
          <cell r="F177">
            <v>20968393803.60638</v>
          </cell>
          <cell r="H177">
            <v>0</v>
          </cell>
        </row>
        <row r="178">
          <cell r="F178">
            <v>7057767594.3024464</v>
          </cell>
          <cell r="H178">
            <v>0</v>
          </cell>
        </row>
        <row r="179">
          <cell r="F179">
            <v>12896348118.99202</v>
          </cell>
          <cell r="H179">
            <v>0</v>
          </cell>
        </row>
        <row r="180">
          <cell r="F180">
            <v>13816385614.057743</v>
          </cell>
          <cell r="H180">
            <v>0</v>
          </cell>
        </row>
        <row r="181">
          <cell r="F181">
            <v>24022141150.779198</v>
          </cell>
          <cell r="H181">
            <v>0</v>
          </cell>
        </row>
        <row r="182">
          <cell r="F182">
            <v>11075288785.387604</v>
          </cell>
          <cell r="H182">
            <v>0</v>
          </cell>
        </row>
        <row r="183">
          <cell r="F183">
            <v>17464288796.317745</v>
          </cell>
          <cell r="H183">
            <v>0</v>
          </cell>
        </row>
        <row r="184">
          <cell r="F184">
            <v>31621913102.46003</v>
          </cell>
          <cell r="H184">
            <v>28000000</v>
          </cell>
        </row>
        <row r="185">
          <cell r="F185">
            <v>19049644351.975983</v>
          </cell>
          <cell r="H185">
            <v>0</v>
          </cell>
        </row>
        <row r="186">
          <cell r="F186">
            <v>14721877190.66523</v>
          </cell>
          <cell r="H186">
            <v>0</v>
          </cell>
        </row>
        <row r="187">
          <cell r="F187">
            <v>13712423335.512924</v>
          </cell>
          <cell r="H187">
            <v>0</v>
          </cell>
        </row>
        <row r="188">
          <cell r="F188">
            <v>9721250207.0563374</v>
          </cell>
          <cell r="H188">
            <v>266430339</v>
          </cell>
        </row>
        <row r="189">
          <cell r="F189">
            <v>22312790487.440903</v>
          </cell>
          <cell r="H189">
            <v>0</v>
          </cell>
        </row>
        <row r="190">
          <cell r="F190">
            <v>28283019341.56916</v>
          </cell>
          <cell r="H190">
            <v>0</v>
          </cell>
        </row>
        <row r="191">
          <cell r="F191">
            <v>16751453625.908869</v>
          </cell>
          <cell r="H191">
            <v>1618567838</v>
          </cell>
        </row>
        <row r="192">
          <cell r="F192">
            <v>13885558618.361088</v>
          </cell>
          <cell r="H192">
            <v>0</v>
          </cell>
        </row>
        <row r="193">
          <cell r="F193">
            <v>9901821437.8144493</v>
          </cell>
          <cell r="H193">
            <v>39332357</v>
          </cell>
        </row>
        <row r="194">
          <cell r="F194">
            <v>8485239348.2688951</v>
          </cell>
          <cell r="H194">
            <v>654605883</v>
          </cell>
        </row>
        <row r="195">
          <cell r="F195">
            <v>16718700711.810186</v>
          </cell>
          <cell r="H195">
            <v>867033561</v>
          </cell>
        </row>
        <row r="196">
          <cell r="F196">
            <v>10693644319.832329</v>
          </cell>
          <cell r="H196">
            <v>0</v>
          </cell>
        </row>
        <row r="197">
          <cell r="F197">
            <v>11996387807.907831</v>
          </cell>
          <cell r="H197">
            <v>0</v>
          </cell>
        </row>
        <row r="198">
          <cell r="F198">
            <v>6092091979.9588366</v>
          </cell>
          <cell r="H198">
            <v>999647924</v>
          </cell>
        </row>
        <row r="199">
          <cell r="F199">
            <v>7782716826.9929037</v>
          </cell>
          <cell r="H199">
            <v>0</v>
          </cell>
        </row>
        <row r="200">
          <cell r="F200">
            <v>12200727908.795893</v>
          </cell>
          <cell r="H200">
            <v>0</v>
          </cell>
        </row>
        <row r="201">
          <cell r="F201">
            <v>18288582167.670116</v>
          </cell>
          <cell r="H201">
            <v>0</v>
          </cell>
        </row>
        <row r="202">
          <cell r="F202">
            <v>8891391674.8994694</v>
          </cell>
          <cell r="H202">
            <v>0</v>
          </cell>
        </row>
        <row r="203">
          <cell r="F203">
            <v>14046838796.297482</v>
          </cell>
          <cell r="H203">
            <v>0</v>
          </cell>
        </row>
        <row r="204">
          <cell r="F204">
            <v>13629767358.786501</v>
          </cell>
          <cell r="H204">
            <v>274994097</v>
          </cell>
        </row>
        <row r="205">
          <cell r="F205">
            <v>9027822442.024559</v>
          </cell>
          <cell r="H205">
            <v>0</v>
          </cell>
        </row>
        <row r="206">
          <cell r="F206">
            <v>9629585651.6512527</v>
          </cell>
          <cell r="H206">
            <v>716746248</v>
          </cell>
        </row>
        <row r="207">
          <cell r="F207">
            <v>15955685104.553732</v>
          </cell>
          <cell r="H207">
            <v>0</v>
          </cell>
        </row>
        <row r="208">
          <cell r="F208">
            <v>7486293966.4860477</v>
          </cell>
          <cell r="H208">
            <v>197946649</v>
          </cell>
        </row>
        <row r="209">
          <cell r="F209">
            <v>11624822885.902298</v>
          </cell>
          <cell r="H209">
            <v>0</v>
          </cell>
        </row>
        <row r="210">
          <cell r="F210">
            <v>8858201589.0890484</v>
          </cell>
          <cell r="H210">
            <v>0</v>
          </cell>
        </row>
        <row r="211">
          <cell r="F211">
            <v>5531978286.2948847</v>
          </cell>
          <cell r="H211">
            <v>77896678</v>
          </cell>
        </row>
        <row r="212">
          <cell r="F212">
            <v>10839184423.99818</v>
          </cell>
          <cell r="H212">
            <v>0</v>
          </cell>
        </row>
        <row r="213">
          <cell r="F213">
            <v>12403334041.572495</v>
          </cell>
          <cell r="H213">
            <v>1008166648</v>
          </cell>
        </row>
        <row r="214">
          <cell r="F214">
            <v>9779957709.3296242</v>
          </cell>
          <cell r="H214">
            <v>0</v>
          </cell>
        </row>
        <row r="215">
          <cell r="F215">
            <v>7516872502.166441</v>
          </cell>
          <cell r="H215">
            <v>0</v>
          </cell>
        </row>
        <row r="216">
          <cell r="F216">
            <v>2506766339.6389823</v>
          </cell>
          <cell r="H216">
            <v>0</v>
          </cell>
        </row>
        <row r="217">
          <cell r="F217">
            <v>10166910031.191587</v>
          </cell>
          <cell r="H217">
            <v>0</v>
          </cell>
        </row>
        <row r="218">
          <cell r="F218">
            <v>9131913659.8779068</v>
          </cell>
          <cell r="H218">
            <v>66200550</v>
          </cell>
        </row>
        <row r="219">
          <cell r="F219">
            <v>8000040258.6519623</v>
          </cell>
          <cell r="H219">
            <v>0</v>
          </cell>
        </row>
        <row r="220">
          <cell r="F220">
            <v>7721207953.2294559</v>
          </cell>
          <cell r="H220">
            <v>109847393</v>
          </cell>
        </row>
        <row r="221">
          <cell r="F221">
            <v>6081873348.0020685</v>
          </cell>
          <cell r="H221">
            <v>284654512</v>
          </cell>
        </row>
        <row r="222">
          <cell r="F222">
            <v>10008378176.796219</v>
          </cell>
          <cell r="H222">
            <v>0</v>
          </cell>
        </row>
        <row r="223">
          <cell r="F223">
            <v>9806687298.8236885</v>
          </cell>
          <cell r="H223">
            <v>269060660</v>
          </cell>
        </row>
        <row r="224">
          <cell r="F224">
            <v>9418973352.1156998</v>
          </cell>
          <cell r="H224">
            <v>0</v>
          </cell>
        </row>
        <row r="225">
          <cell r="F225">
            <v>3879817566.3227525</v>
          </cell>
          <cell r="H225">
            <v>1143425904</v>
          </cell>
        </row>
        <row r="226">
          <cell r="F226">
            <v>8319914626.4090376</v>
          </cell>
          <cell r="H226">
            <v>0</v>
          </cell>
        </row>
        <row r="227">
          <cell r="F227">
            <v>9758391871.1654968</v>
          </cell>
          <cell r="H227">
            <v>0</v>
          </cell>
        </row>
        <row r="228">
          <cell r="F228">
            <v>11730494032.205168</v>
          </cell>
          <cell r="H228">
            <v>0</v>
          </cell>
        </row>
        <row r="229">
          <cell r="F229">
            <v>9600717172.8794498</v>
          </cell>
          <cell r="H229">
            <v>0</v>
          </cell>
        </row>
        <row r="230">
          <cell r="F230">
            <v>5092605978.3657646</v>
          </cell>
          <cell r="H230">
            <v>0</v>
          </cell>
        </row>
        <row r="231">
          <cell r="F231">
            <v>11637112929.630245</v>
          </cell>
          <cell r="H231">
            <v>4771574009</v>
          </cell>
        </row>
        <row r="232">
          <cell r="F232">
            <v>9303232463.7460899</v>
          </cell>
          <cell r="H232">
            <v>1202279833</v>
          </cell>
        </row>
        <row r="233">
          <cell r="F233">
            <v>10990210405.218327</v>
          </cell>
          <cell r="H233">
            <v>0</v>
          </cell>
        </row>
        <row r="234">
          <cell r="F234">
            <v>12758064658.881582</v>
          </cell>
          <cell r="H234">
            <v>2438261300</v>
          </cell>
        </row>
        <row r="235">
          <cell r="F235">
            <v>8033497819.1099358</v>
          </cell>
          <cell r="H235">
            <v>0</v>
          </cell>
        </row>
        <row r="236">
          <cell r="F236">
            <v>11262303743.251011</v>
          </cell>
          <cell r="H236">
            <v>1995674305</v>
          </cell>
        </row>
        <row r="237">
          <cell r="F237">
            <v>6630378200.9072733</v>
          </cell>
          <cell r="H237">
            <v>0</v>
          </cell>
        </row>
        <row r="238">
          <cell r="F238">
            <v>7885091023.5063152</v>
          </cell>
          <cell r="H238">
            <v>0</v>
          </cell>
        </row>
        <row r="239">
          <cell r="F239">
            <v>4853178845.8333511</v>
          </cell>
          <cell r="H239">
            <v>0</v>
          </cell>
        </row>
        <row r="240">
          <cell r="F240">
            <v>9640504813.6753902</v>
          </cell>
          <cell r="H240">
            <v>0</v>
          </cell>
        </row>
        <row r="241">
          <cell r="F241">
            <v>6664416199.2704582</v>
          </cell>
          <cell r="H241">
            <v>0</v>
          </cell>
        </row>
        <row r="242">
          <cell r="F242">
            <v>12587053719.409334</v>
          </cell>
          <cell r="H242">
            <v>0</v>
          </cell>
        </row>
        <row r="243">
          <cell r="F243">
            <v>9479870075.9907951</v>
          </cell>
          <cell r="H243">
            <v>72064016</v>
          </cell>
        </row>
        <row r="244">
          <cell r="F244">
            <v>12119282970.389202</v>
          </cell>
          <cell r="H244">
            <v>0</v>
          </cell>
        </row>
        <row r="245">
          <cell r="F245">
            <v>5146272100.9705572</v>
          </cell>
          <cell r="H245">
            <v>0</v>
          </cell>
        </row>
        <row r="246">
          <cell r="F246">
            <v>10344169971.422729</v>
          </cell>
          <cell r="H246">
            <v>0</v>
          </cell>
        </row>
        <row r="247">
          <cell r="F247">
            <v>6777148168.9513168</v>
          </cell>
          <cell r="H247">
            <v>0</v>
          </cell>
        </row>
        <row r="248">
          <cell r="F248">
            <v>9806581942.9146824</v>
          </cell>
          <cell r="H248">
            <v>263340684</v>
          </cell>
        </row>
        <row r="249">
          <cell r="F249">
            <v>6677793790.9107428</v>
          </cell>
          <cell r="H249">
            <v>0</v>
          </cell>
        </row>
        <row r="250">
          <cell r="F250">
            <v>10692694726.913408</v>
          </cell>
          <cell r="H250">
            <v>0</v>
          </cell>
        </row>
        <row r="251">
          <cell r="F251">
            <v>6655980526.618701</v>
          </cell>
          <cell r="H251">
            <v>0</v>
          </cell>
        </row>
        <row r="252">
          <cell r="F252">
            <v>4636785854.9543762</v>
          </cell>
          <cell r="H252">
            <v>359163514</v>
          </cell>
        </row>
        <row r="253">
          <cell r="F253">
            <v>4709092157.5154066</v>
          </cell>
          <cell r="H253">
            <v>75119563</v>
          </cell>
        </row>
        <row r="254">
          <cell r="F254">
            <v>4788455976.4377193</v>
          </cell>
          <cell r="H254">
            <v>0</v>
          </cell>
        </row>
        <row r="255">
          <cell r="F255">
            <v>7626952747.6771297</v>
          </cell>
          <cell r="H255">
            <v>0</v>
          </cell>
        </row>
        <row r="256">
          <cell r="F256">
            <v>7404830360.7984066</v>
          </cell>
          <cell r="H256">
            <v>0</v>
          </cell>
        </row>
        <row r="257">
          <cell r="F257">
            <v>5789523910.7710524</v>
          </cell>
          <cell r="H257">
            <v>0</v>
          </cell>
        </row>
        <row r="258">
          <cell r="F258">
            <v>4888288423.4124832</v>
          </cell>
          <cell r="H258">
            <v>0</v>
          </cell>
        </row>
        <row r="259">
          <cell r="F259">
            <v>4084484136.8780365</v>
          </cell>
          <cell r="H259">
            <v>0</v>
          </cell>
        </row>
        <row r="260">
          <cell r="F260">
            <v>7761027189.5380497</v>
          </cell>
          <cell r="H260">
            <v>0</v>
          </cell>
        </row>
        <row r="261">
          <cell r="F261">
            <v>7076005031.7857113</v>
          </cell>
        </row>
        <row r="262">
          <cell r="F262">
            <v>1269578088.8479004</v>
          </cell>
          <cell r="H262">
            <v>191651927</v>
          </cell>
        </row>
        <row r="263">
          <cell r="F263">
            <v>5026153529.6942034</v>
          </cell>
          <cell r="H263">
            <v>190414546</v>
          </cell>
        </row>
        <row r="264">
          <cell r="F264">
            <v>4273889124.8178101</v>
          </cell>
          <cell r="H264">
            <v>0</v>
          </cell>
        </row>
        <row r="265">
          <cell r="F265">
            <v>6175963233.5779276</v>
          </cell>
          <cell r="H265">
            <v>0</v>
          </cell>
        </row>
        <row r="266">
          <cell r="F266">
            <v>4447066730.6916409</v>
          </cell>
          <cell r="H266">
            <v>0</v>
          </cell>
        </row>
        <row r="267">
          <cell r="F267">
            <v>6304732913.4468393</v>
          </cell>
          <cell r="H267">
            <v>1186453336</v>
          </cell>
        </row>
        <row r="268">
          <cell r="F268">
            <v>2609358346.2961574</v>
          </cell>
          <cell r="H268">
            <v>0</v>
          </cell>
        </row>
        <row r="269">
          <cell r="F269">
            <v>4549691439.8055077</v>
          </cell>
          <cell r="H269">
            <v>0</v>
          </cell>
        </row>
        <row r="270">
          <cell r="F270">
            <v>1280277429.5727458</v>
          </cell>
          <cell r="H270">
            <v>163505140</v>
          </cell>
        </row>
        <row r="271">
          <cell r="F271">
            <v>2128668218.844512</v>
          </cell>
          <cell r="H271">
            <v>0</v>
          </cell>
        </row>
        <row r="272">
          <cell r="F272">
            <v>4282453714.4598947</v>
          </cell>
          <cell r="H272">
            <v>0</v>
          </cell>
        </row>
        <row r="273">
          <cell r="F273">
            <v>3564480739.2137432</v>
          </cell>
          <cell r="H273">
            <v>0</v>
          </cell>
        </row>
        <row r="274">
          <cell r="F274">
            <v>5716009491.9999714</v>
          </cell>
          <cell r="H274">
            <v>723826341.00002861</v>
          </cell>
        </row>
        <row r="275">
          <cell r="F275">
            <v>2549711223.9999804</v>
          </cell>
          <cell r="H275">
            <v>0</v>
          </cell>
        </row>
        <row r="276">
          <cell r="F276">
            <v>2857433991.9976654</v>
          </cell>
          <cell r="H276">
            <v>0</v>
          </cell>
        </row>
        <row r="277">
          <cell r="F277">
            <v>1095696651.9976687</v>
          </cell>
          <cell r="H277">
            <v>0</v>
          </cell>
        </row>
        <row r="278">
          <cell r="F278">
            <v>3810875619.9999804</v>
          </cell>
          <cell r="H278">
            <v>0</v>
          </cell>
        </row>
        <row r="279">
          <cell r="F279">
            <v>1986548595.9999833</v>
          </cell>
          <cell r="H279">
            <v>0</v>
          </cell>
        </row>
        <row r="280">
          <cell r="F280">
            <v>2785175941.7296658</v>
          </cell>
          <cell r="H280">
            <v>0</v>
          </cell>
        </row>
        <row r="281">
          <cell r="F281">
            <v>3279449369.9999762</v>
          </cell>
          <cell r="H281">
            <v>110085214</v>
          </cell>
        </row>
        <row r="282">
          <cell r="F282">
            <v>2863943703.6653662</v>
          </cell>
          <cell r="H282">
            <v>152041145</v>
          </cell>
        </row>
        <row r="283">
          <cell r="F283">
            <v>2923988319.9976683</v>
          </cell>
          <cell r="H283">
            <v>0</v>
          </cell>
        </row>
        <row r="284">
          <cell r="F284">
            <v>2984136795.9977498</v>
          </cell>
          <cell r="H284">
            <v>640141660</v>
          </cell>
        </row>
        <row r="285">
          <cell r="F285">
            <v>2934170451.9999719</v>
          </cell>
          <cell r="H285">
            <v>0</v>
          </cell>
        </row>
        <row r="286">
          <cell r="F286">
            <v>4356379381.9918537</v>
          </cell>
        </row>
        <row r="287">
          <cell r="F287">
            <v>3776601171.9963813</v>
          </cell>
          <cell r="H287">
            <v>0</v>
          </cell>
        </row>
        <row r="288">
          <cell r="F288">
            <v>2147549643.9969382</v>
          </cell>
          <cell r="H288">
            <v>0</v>
          </cell>
        </row>
        <row r="289">
          <cell r="F289">
            <v>4203333266.472508</v>
          </cell>
          <cell r="H289">
            <v>0</v>
          </cell>
        </row>
        <row r="290">
          <cell r="F290">
            <v>1420337715.9972031</v>
          </cell>
          <cell r="H290">
            <v>159762773</v>
          </cell>
        </row>
        <row r="291">
          <cell r="F291">
            <v>5036191287.9918385</v>
          </cell>
          <cell r="H291">
            <v>0</v>
          </cell>
        </row>
        <row r="292">
          <cell r="F292">
            <v>1357814016.3783898</v>
          </cell>
          <cell r="H292">
            <v>0</v>
          </cell>
        </row>
        <row r="293">
          <cell r="F293">
            <v>3359039452161.2026</v>
          </cell>
          <cell r="H293">
            <v>42850681764.000031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nnex 4"/>
      <sheetName val="Annex3"/>
      <sheetName val="Jabo"/>
    </sheetNames>
    <sheetDataSet>
      <sheetData sheetId="0">
        <row r="2">
          <cell r="C2" t="str">
            <v>Allocation for FY 2016/17</v>
          </cell>
          <cell r="D2" t="str">
            <v>Submissions from Accounting Officers in proper format</v>
          </cell>
        </row>
        <row r="3">
          <cell r="C3">
            <v>3595098621.5226812</v>
          </cell>
          <cell r="D3">
            <v>16563753638</v>
          </cell>
        </row>
        <row r="4">
          <cell r="C4">
            <v>84806712</v>
          </cell>
          <cell r="D4">
            <v>295920000</v>
          </cell>
        </row>
        <row r="5">
          <cell r="C5">
            <v>121602559</v>
          </cell>
          <cell r="D5">
            <v>781868335</v>
          </cell>
        </row>
        <row r="6">
          <cell r="C6">
            <v>66416064</v>
          </cell>
          <cell r="D6">
            <v>475723599</v>
          </cell>
        </row>
        <row r="7">
          <cell r="C7">
            <v>213939055</v>
          </cell>
          <cell r="D7">
            <v>160642304</v>
          </cell>
        </row>
        <row r="8">
          <cell r="C8">
            <v>656761858.20635498</v>
          </cell>
          <cell r="D8">
            <v>752989603</v>
          </cell>
        </row>
        <row r="9">
          <cell r="D9">
            <v>243057153</v>
          </cell>
        </row>
        <row r="10">
          <cell r="C10">
            <v>2831606754.0689063</v>
          </cell>
          <cell r="D10">
            <v>4347304652</v>
          </cell>
        </row>
        <row r="11">
          <cell r="C11">
            <v>20902083</v>
          </cell>
          <cell r="D11">
            <v>64640090</v>
          </cell>
        </row>
        <row r="12">
          <cell r="C12">
            <v>314793017.4999966</v>
          </cell>
          <cell r="D12">
            <v>258468135</v>
          </cell>
        </row>
        <row r="13">
          <cell r="C13">
            <v>94742956</v>
          </cell>
          <cell r="D13">
            <v>314597347</v>
          </cell>
        </row>
        <row r="14">
          <cell r="C14">
            <v>84789993</v>
          </cell>
          <cell r="D14">
            <v>106368042</v>
          </cell>
        </row>
        <row r="15">
          <cell r="C15">
            <v>8410114347.1358995</v>
          </cell>
          <cell r="D15">
            <v>41585594280</v>
          </cell>
        </row>
        <row r="16">
          <cell r="D16">
            <v>93354429</v>
          </cell>
        </row>
        <row r="17">
          <cell r="C17">
            <v>1348479572.4206843</v>
          </cell>
          <cell r="D17">
            <v>3203984986</v>
          </cell>
        </row>
        <row r="18">
          <cell r="C18">
            <v>510936110.92302871</v>
          </cell>
          <cell r="D18">
            <v>2244684800</v>
          </cell>
        </row>
        <row r="19">
          <cell r="C19">
            <v>126385551</v>
          </cell>
          <cell r="D19">
            <v>66259528</v>
          </cell>
        </row>
        <row r="20">
          <cell r="C20">
            <v>645504752.21686029</v>
          </cell>
          <cell r="D20">
            <v>1795796760</v>
          </cell>
        </row>
        <row r="21">
          <cell r="C21">
            <v>89221173</v>
          </cell>
          <cell r="D21">
            <v>766723037</v>
          </cell>
        </row>
        <row r="22">
          <cell r="D22">
            <v>14814138</v>
          </cell>
        </row>
        <row r="23">
          <cell r="C23">
            <v>1035797520.8890591</v>
          </cell>
          <cell r="D23">
            <v>2801628145</v>
          </cell>
        </row>
        <row r="24">
          <cell r="D24">
            <v>238325723</v>
          </cell>
        </row>
        <row r="25">
          <cell r="D25">
            <v>167025819</v>
          </cell>
        </row>
        <row r="26">
          <cell r="C26">
            <v>259618584.73263693</v>
          </cell>
          <cell r="D26">
            <v>403874077</v>
          </cell>
        </row>
        <row r="27">
          <cell r="D27">
            <v>522424829</v>
          </cell>
        </row>
        <row r="28">
          <cell r="D28">
            <v>111249207</v>
          </cell>
        </row>
        <row r="29">
          <cell r="C29">
            <v>254254824.73321408</v>
          </cell>
          <cell r="D29">
            <v>290041039</v>
          </cell>
        </row>
        <row r="30">
          <cell r="C30">
            <v>304416174.29230577</v>
          </cell>
          <cell r="D30">
            <v>617994661</v>
          </cell>
        </row>
        <row r="31">
          <cell r="D31">
            <v>14289223</v>
          </cell>
        </row>
        <row r="32">
          <cell r="C32">
            <v>133498344</v>
          </cell>
          <cell r="D32">
            <v>153907091</v>
          </cell>
        </row>
        <row r="33">
          <cell r="C33">
            <v>357513384.49397606</v>
          </cell>
          <cell r="D33">
            <v>778523760</v>
          </cell>
        </row>
        <row r="34">
          <cell r="C34">
            <v>128743376</v>
          </cell>
          <cell r="D34">
            <v>249451042</v>
          </cell>
        </row>
        <row r="35">
          <cell r="C35">
            <v>134100216</v>
          </cell>
          <cell r="D35">
            <v>417415426</v>
          </cell>
        </row>
        <row r="36">
          <cell r="C36">
            <v>259919873.93765703</v>
          </cell>
          <cell r="D36">
            <v>311298503</v>
          </cell>
        </row>
        <row r="37">
          <cell r="C37">
            <v>130338646</v>
          </cell>
          <cell r="D37">
            <v>1184951228</v>
          </cell>
        </row>
        <row r="38">
          <cell r="C38">
            <v>303144351.12838566</v>
          </cell>
          <cell r="D38">
            <v>1212142098</v>
          </cell>
        </row>
        <row r="39">
          <cell r="C39">
            <v>281081902.80101812</v>
          </cell>
          <cell r="D39">
            <v>609949523</v>
          </cell>
        </row>
        <row r="40">
          <cell r="C40">
            <v>355151994.70952129</v>
          </cell>
          <cell r="D40">
            <v>766845438</v>
          </cell>
        </row>
        <row r="41">
          <cell r="C41">
            <v>161636002</v>
          </cell>
          <cell r="D41">
            <v>399168241</v>
          </cell>
        </row>
        <row r="42">
          <cell r="C42">
            <v>331942965.94728279</v>
          </cell>
          <cell r="D42">
            <v>1197520053</v>
          </cell>
        </row>
        <row r="43">
          <cell r="C43">
            <v>282774677.43125528</v>
          </cell>
          <cell r="D43">
            <v>429505798</v>
          </cell>
        </row>
        <row r="44">
          <cell r="C44">
            <v>136266253</v>
          </cell>
          <cell r="D44">
            <v>247511486</v>
          </cell>
        </row>
        <row r="45">
          <cell r="C45">
            <v>77501329</v>
          </cell>
          <cell r="D45">
            <v>60334681</v>
          </cell>
        </row>
        <row r="46">
          <cell r="C46">
            <v>230138095</v>
          </cell>
          <cell r="D46">
            <v>1092669521</v>
          </cell>
        </row>
        <row r="47">
          <cell r="C47">
            <v>297084458.13133395</v>
          </cell>
          <cell r="D47">
            <v>1105684779</v>
          </cell>
        </row>
        <row r="48">
          <cell r="C48">
            <v>263884701.74446613</v>
          </cell>
          <cell r="D48">
            <v>559664765</v>
          </cell>
        </row>
        <row r="49">
          <cell r="C49">
            <v>311501316.01590669</v>
          </cell>
          <cell r="D49">
            <v>696056107</v>
          </cell>
        </row>
        <row r="50">
          <cell r="C50">
            <v>295444007.72549319</v>
          </cell>
          <cell r="D50">
            <v>175057505</v>
          </cell>
        </row>
        <row r="51">
          <cell r="C51">
            <v>315611674.53238487</v>
          </cell>
          <cell r="D51">
            <v>420275092</v>
          </cell>
        </row>
        <row r="52">
          <cell r="C52">
            <v>349396548.91994256</v>
          </cell>
          <cell r="D52">
            <v>1048895243</v>
          </cell>
        </row>
        <row r="53">
          <cell r="C53">
            <v>86464479</v>
          </cell>
          <cell r="D53">
            <v>153618502</v>
          </cell>
        </row>
        <row r="54">
          <cell r="C54">
            <v>259198115.13721156</v>
          </cell>
          <cell r="D54">
            <v>186350467</v>
          </cell>
        </row>
        <row r="55">
          <cell r="C55">
            <v>67216249</v>
          </cell>
          <cell r="D55">
            <v>267586242</v>
          </cell>
        </row>
        <row r="56">
          <cell r="C56">
            <v>155269101</v>
          </cell>
          <cell r="D56">
            <v>252099092</v>
          </cell>
        </row>
        <row r="57">
          <cell r="C57">
            <v>327360513.4258464</v>
          </cell>
          <cell r="D57">
            <v>387709467</v>
          </cell>
        </row>
        <row r="58">
          <cell r="C58">
            <v>648204520.34334207</v>
          </cell>
          <cell r="D58">
            <v>1014690273</v>
          </cell>
        </row>
        <row r="59">
          <cell r="C59">
            <v>325152239.92805618</v>
          </cell>
          <cell r="D59">
            <v>1124446008</v>
          </cell>
        </row>
        <row r="60">
          <cell r="C60">
            <v>293270057.26808125</v>
          </cell>
          <cell r="D60">
            <v>650442723</v>
          </cell>
        </row>
        <row r="61">
          <cell r="C61">
            <v>22885698</v>
          </cell>
          <cell r="D61">
            <v>467135728</v>
          </cell>
        </row>
        <row r="62">
          <cell r="C62">
            <v>351976328.15418768</v>
          </cell>
          <cell r="D62">
            <v>1303193556</v>
          </cell>
        </row>
        <row r="63">
          <cell r="C63">
            <v>362915463.76926744</v>
          </cell>
          <cell r="D63">
            <v>1469257314</v>
          </cell>
        </row>
        <row r="64">
          <cell r="C64">
            <v>209352244</v>
          </cell>
          <cell r="D64">
            <v>470259892</v>
          </cell>
        </row>
        <row r="65">
          <cell r="C65">
            <v>17843592</v>
          </cell>
          <cell r="D65">
            <v>490616952</v>
          </cell>
        </row>
        <row r="66">
          <cell r="C66">
            <v>447563008.99615562</v>
          </cell>
          <cell r="D66">
            <v>1208609448</v>
          </cell>
        </row>
        <row r="67">
          <cell r="C67">
            <v>303033287.67834044</v>
          </cell>
          <cell r="D67">
            <v>1290374016</v>
          </cell>
        </row>
        <row r="68">
          <cell r="C68">
            <v>263615184.28626618</v>
          </cell>
          <cell r="D68">
            <v>869667114</v>
          </cell>
        </row>
        <row r="69">
          <cell r="D69">
            <v>2285870094</v>
          </cell>
        </row>
        <row r="70">
          <cell r="C70">
            <v>503260022.00504047</v>
          </cell>
          <cell r="D70">
            <v>2919634076</v>
          </cell>
        </row>
        <row r="71">
          <cell r="C71">
            <v>320325102.26036745</v>
          </cell>
          <cell r="D71">
            <v>665654247</v>
          </cell>
        </row>
        <row r="72">
          <cell r="C72">
            <v>264391992.65582424</v>
          </cell>
          <cell r="D72">
            <v>465551715</v>
          </cell>
        </row>
        <row r="73">
          <cell r="C73">
            <v>77115407</v>
          </cell>
          <cell r="D73">
            <v>32311674</v>
          </cell>
        </row>
        <row r="74">
          <cell r="C74">
            <v>261183230.91882786</v>
          </cell>
          <cell r="D74">
            <v>219548338</v>
          </cell>
        </row>
        <row r="75">
          <cell r="C75">
            <v>261796181.33379555</v>
          </cell>
          <cell r="D75">
            <v>803703425</v>
          </cell>
        </row>
        <row r="76">
          <cell r="C76">
            <v>568329655.10297465</v>
          </cell>
          <cell r="D76">
            <v>92861628</v>
          </cell>
        </row>
        <row r="77">
          <cell r="C77">
            <v>295050050.52972227</v>
          </cell>
          <cell r="D77">
            <v>1466189876</v>
          </cell>
        </row>
        <row r="78">
          <cell r="C78">
            <v>26386764</v>
          </cell>
          <cell r="D78">
            <v>61516870</v>
          </cell>
        </row>
        <row r="79">
          <cell r="C79">
            <v>294958806.87028229</v>
          </cell>
          <cell r="D79">
            <v>680130381</v>
          </cell>
        </row>
        <row r="80">
          <cell r="C80">
            <v>273625502.54681009</v>
          </cell>
          <cell r="D80">
            <v>728422671</v>
          </cell>
        </row>
        <row r="81">
          <cell r="C81">
            <v>32394358</v>
          </cell>
          <cell r="D81">
            <v>214061386</v>
          </cell>
        </row>
        <row r="82">
          <cell r="C82">
            <v>120627800</v>
          </cell>
          <cell r="D82">
            <v>60852338</v>
          </cell>
        </row>
        <row r="83">
          <cell r="C83">
            <v>96246007</v>
          </cell>
          <cell r="D83">
            <v>184866930</v>
          </cell>
        </row>
        <row r="84">
          <cell r="C84">
            <v>17372060</v>
          </cell>
          <cell r="D84">
            <v>355092976</v>
          </cell>
        </row>
        <row r="85">
          <cell r="C85">
            <v>147492474</v>
          </cell>
          <cell r="D85">
            <v>472286587</v>
          </cell>
        </row>
        <row r="86">
          <cell r="C86">
            <v>224692168</v>
          </cell>
          <cell r="D86">
            <v>220770082</v>
          </cell>
        </row>
        <row r="87">
          <cell r="C87">
            <v>131334971</v>
          </cell>
          <cell r="D87">
            <v>302694258</v>
          </cell>
        </row>
        <row r="88">
          <cell r="C88">
            <v>80570491</v>
          </cell>
          <cell r="D88">
            <v>241512377</v>
          </cell>
        </row>
        <row r="89">
          <cell r="C89">
            <v>273420922.13158804</v>
          </cell>
          <cell r="D89">
            <v>773348686</v>
          </cell>
        </row>
        <row r="90">
          <cell r="D90">
            <v>435172160</v>
          </cell>
        </row>
        <row r="91">
          <cell r="C91">
            <v>261441785.62422866</v>
          </cell>
          <cell r="D91">
            <v>462322919</v>
          </cell>
        </row>
        <row r="92">
          <cell r="C92">
            <v>391474714.3530246</v>
          </cell>
          <cell r="D92">
            <v>669313310</v>
          </cell>
        </row>
        <row r="93">
          <cell r="C93">
            <v>228198239</v>
          </cell>
          <cell r="D93">
            <v>61511079</v>
          </cell>
        </row>
        <row r="94">
          <cell r="C94">
            <v>95083267</v>
          </cell>
          <cell r="D94">
            <v>270557873</v>
          </cell>
        </row>
        <row r="95">
          <cell r="C95">
            <v>323751139.12641746</v>
          </cell>
          <cell r="D95">
            <v>778989474</v>
          </cell>
        </row>
        <row r="96">
          <cell r="D96">
            <v>13174880</v>
          </cell>
        </row>
        <row r="97">
          <cell r="C97">
            <v>264864220.80938244</v>
          </cell>
          <cell r="D97">
            <v>330480924</v>
          </cell>
        </row>
        <row r="98">
          <cell r="C98">
            <v>6255237</v>
          </cell>
          <cell r="D98">
            <v>715823148</v>
          </cell>
        </row>
        <row r="99">
          <cell r="C99">
            <v>17855922</v>
          </cell>
          <cell r="D99">
            <v>48815403</v>
          </cell>
        </row>
        <row r="100">
          <cell r="C100">
            <v>109154923</v>
          </cell>
          <cell r="D100">
            <v>57803417</v>
          </cell>
        </row>
        <row r="101">
          <cell r="D101">
            <v>61758516</v>
          </cell>
        </row>
        <row r="102">
          <cell r="C102">
            <v>97539932</v>
          </cell>
          <cell r="D102">
            <v>219463606</v>
          </cell>
        </row>
        <row r="103">
          <cell r="C103">
            <v>81117119</v>
          </cell>
          <cell r="D103">
            <v>322002285</v>
          </cell>
        </row>
        <row r="104">
          <cell r="C104">
            <v>30134692</v>
          </cell>
          <cell r="D104">
            <v>83978465</v>
          </cell>
        </row>
        <row r="105">
          <cell r="C105">
            <v>192881362</v>
          </cell>
          <cell r="D105">
            <v>539542322</v>
          </cell>
        </row>
        <row r="106">
          <cell r="C106">
            <v>155515765</v>
          </cell>
          <cell r="D106">
            <v>42101672</v>
          </cell>
        </row>
        <row r="107">
          <cell r="C107">
            <v>256216532.72420594</v>
          </cell>
          <cell r="D107">
            <v>473692235</v>
          </cell>
        </row>
        <row r="108">
          <cell r="C108">
            <v>267084699.92964956</v>
          </cell>
          <cell r="D108">
            <v>314825186</v>
          </cell>
        </row>
        <row r="109">
          <cell r="C109">
            <v>117067528</v>
          </cell>
          <cell r="D109">
            <v>177152954</v>
          </cell>
        </row>
        <row r="110">
          <cell r="C110">
            <v>85567767</v>
          </cell>
          <cell r="D110">
            <v>102952324</v>
          </cell>
        </row>
        <row r="111">
          <cell r="D111">
            <v>76662803</v>
          </cell>
        </row>
        <row r="112">
          <cell r="C112">
            <v>140326128</v>
          </cell>
          <cell r="D112">
            <v>66490518</v>
          </cell>
        </row>
        <row r="113">
          <cell r="C113">
            <v>350816803.89951557</v>
          </cell>
          <cell r="D113">
            <v>753091430</v>
          </cell>
        </row>
        <row r="114">
          <cell r="C114">
            <v>80976771</v>
          </cell>
          <cell r="D114">
            <v>13214617</v>
          </cell>
        </row>
        <row r="115">
          <cell r="C115">
            <v>132575341</v>
          </cell>
          <cell r="D115">
            <v>268823528</v>
          </cell>
        </row>
        <row r="116">
          <cell r="D116">
            <v>195029830</v>
          </cell>
        </row>
        <row r="117">
          <cell r="C117">
            <v>249936368.10600176</v>
          </cell>
          <cell r="D117">
            <v>2066918885</v>
          </cell>
        </row>
        <row r="118">
          <cell r="C118">
            <v>192498252</v>
          </cell>
          <cell r="D118">
            <v>136861245</v>
          </cell>
        </row>
        <row r="119">
          <cell r="C119">
            <v>28856184</v>
          </cell>
          <cell r="D119">
            <v>107757108</v>
          </cell>
        </row>
        <row r="120">
          <cell r="C120">
            <v>72438597</v>
          </cell>
          <cell r="D120">
            <v>136094694</v>
          </cell>
        </row>
        <row r="121">
          <cell r="C121">
            <v>88434521</v>
          </cell>
          <cell r="D121">
            <v>256090799</v>
          </cell>
        </row>
        <row r="122">
          <cell r="D122">
            <v>1403142</v>
          </cell>
        </row>
        <row r="123">
          <cell r="D123">
            <v>199239986</v>
          </cell>
        </row>
        <row r="124">
          <cell r="C124">
            <v>103425554</v>
          </cell>
          <cell r="D124">
            <v>191710250</v>
          </cell>
        </row>
        <row r="125">
          <cell r="D125">
            <v>11520000</v>
          </cell>
        </row>
        <row r="126">
          <cell r="C126">
            <v>245758754</v>
          </cell>
          <cell r="D126">
            <v>63982691</v>
          </cell>
        </row>
        <row r="127">
          <cell r="C127">
            <v>8640000</v>
          </cell>
          <cell r="D127">
            <v>34217784</v>
          </cell>
        </row>
        <row r="128">
          <cell r="C128">
            <v>45114217</v>
          </cell>
          <cell r="D128">
            <v>164373012</v>
          </cell>
        </row>
        <row r="129">
          <cell r="D129">
            <v>51858547</v>
          </cell>
        </row>
        <row r="130">
          <cell r="C130">
            <v>18269570503.433037</v>
          </cell>
          <cell r="D130">
            <v>48946539810</v>
          </cell>
        </row>
      </sheetData>
      <sheetData sheetId="1" refreshError="1"/>
      <sheetData sheetId="2"/>
      <sheetData sheetId="3">
        <row r="2">
          <cell r="A2" t="str">
            <v>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Discounting"/>
      <sheetName val="Sectors"/>
      <sheetName val="NCB &amp; PPPs"/>
      <sheetName val="Donor projects"/>
      <sheetName val="Projects mf"/>
      <sheetName val="Debt service"/>
      <sheetName val="Interest adjustment"/>
      <sheetName val="Imports"/>
      <sheetName val="Resettlement"/>
      <sheetName val="Donors"/>
      <sheetName val="Votes"/>
      <sheetName val="Years"/>
      <sheetName val="Spending types"/>
    </sheetNames>
    <sheetDataSet>
      <sheetData sheetId="0"/>
      <sheetData sheetId="1">
        <row r="3">
          <cell r="B3" t="str">
            <v>Private capex</v>
          </cell>
          <cell r="D3">
            <v>0.1851992195665807</v>
          </cell>
          <cell r="E3" t="str">
            <v>HPPs</v>
          </cell>
          <cell r="CO3" t="str">
            <v>L</v>
          </cell>
        </row>
        <row r="4">
          <cell r="B4" t="str">
            <v>GOU capex</v>
          </cell>
          <cell r="D4" t="str">
            <v>n/a</v>
          </cell>
          <cell r="E4" t="str">
            <v>HPPs</v>
          </cell>
          <cell r="CO4">
            <v>0</v>
          </cell>
        </row>
        <row r="5">
          <cell r="B5" t="str">
            <v>Resettlement</v>
          </cell>
          <cell r="D5" t="str">
            <v>n/a</v>
          </cell>
          <cell r="E5" t="str">
            <v>HPPs</v>
          </cell>
          <cell r="CO5">
            <v>0</v>
          </cell>
        </row>
        <row r="6">
          <cell r="B6" t="str">
            <v>Loan insurance</v>
          </cell>
          <cell r="D6" t="str">
            <v>n/a</v>
          </cell>
          <cell r="E6" t="str">
            <v>HPPs</v>
          </cell>
          <cell r="CO6">
            <v>0</v>
          </cell>
        </row>
        <row r="7">
          <cell r="B7" t="str">
            <v>Management fees</v>
          </cell>
          <cell r="D7" t="str">
            <v>n/a</v>
          </cell>
          <cell r="E7" t="str">
            <v>HPPs</v>
          </cell>
          <cell r="CO7">
            <v>0</v>
          </cell>
        </row>
        <row r="8">
          <cell r="B8" t="str">
            <v>Externally financed capex</v>
          </cell>
          <cell r="D8">
            <v>0.26800000000000002</v>
          </cell>
          <cell r="E8" t="str">
            <v>HPPs</v>
          </cell>
          <cell r="CO8" t="str">
            <v>L</v>
          </cell>
        </row>
        <row r="9">
          <cell r="B9" t="str">
            <v>Resettlement</v>
          </cell>
          <cell r="D9" t="str">
            <v>n/a</v>
          </cell>
          <cell r="E9" t="str">
            <v>HPPs</v>
          </cell>
          <cell r="CO9">
            <v>0</v>
          </cell>
        </row>
        <row r="10">
          <cell r="B10" t="str">
            <v>Management fees</v>
          </cell>
          <cell r="D10" t="str">
            <v>n/a</v>
          </cell>
          <cell r="E10" t="str">
            <v>HPPs</v>
          </cell>
          <cell r="CO10">
            <v>0</v>
          </cell>
        </row>
        <row r="11">
          <cell r="B11" t="str">
            <v>Externally financed capex</v>
          </cell>
          <cell r="D11">
            <v>0.26800000000000002</v>
          </cell>
          <cell r="E11" t="str">
            <v>HPPs</v>
          </cell>
          <cell r="CO11" t="str">
            <v>L</v>
          </cell>
        </row>
        <row r="12">
          <cell r="B12" t="str">
            <v>GOU capex</v>
          </cell>
          <cell r="D12" t="str">
            <v>n/a</v>
          </cell>
          <cell r="E12" t="str">
            <v>HPPs</v>
          </cell>
          <cell r="CO12">
            <v>0</v>
          </cell>
        </row>
        <row r="13">
          <cell r="B13" t="str">
            <v>Management fees</v>
          </cell>
          <cell r="D13" t="str">
            <v>n/a</v>
          </cell>
          <cell r="E13" t="str">
            <v>HPPs</v>
          </cell>
          <cell r="CO13">
            <v>0</v>
          </cell>
        </row>
        <row r="14">
          <cell r="B14" t="str">
            <v>Externally financed capex</v>
          </cell>
          <cell r="D14">
            <v>0.1851992195665807</v>
          </cell>
          <cell r="E14" t="str">
            <v>HPPs</v>
          </cell>
          <cell r="CO14" t="str">
            <v>L</v>
          </cell>
        </row>
        <row r="15">
          <cell r="B15" t="str">
            <v>GOU capex</v>
          </cell>
          <cell r="D15" t="str">
            <v>n/a</v>
          </cell>
          <cell r="E15" t="str">
            <v>HPPs</v>
          </cell>
          <cell r="CO15">
            <v>0</v>
          </cell>
        </row>
        <row r="16">
          <cell r="B16" t="str">
            <v>Loan insurance</v>
          </cell>
          <cell r="D16" t="str">
            <v>n/a</v>
          </cell>
          <cell r="E16" t="str">
            <v>HPPs</v>
          </cell>
          <cell r="CO16">
            <v>0</v>
          </cell>
        </row>
        <row r="17">
          <cell r="B17" t="str">
            <v>Management fees</v>
          </cell>
          <cell r="D17" t="str">
            <v>n/a</v>
          </cell>
          <cell r="E17" t="str">
            <v>HPPs</v>
          </cell>
          <cell r="CO17">
            <v>0</v>
          </cell>
        </row>
        <row r="18">
          <cell r="B18" t="str">
            <v>Externally financed capex</v>
          </cell>
          <cell r="D18">
            <v>0.19</v>
          </cell>
          <cell r="E18" t="str">
            <v>PPPs</v>
          </cell>
          <cell r="CO18" t="str">
            <v>L</v>
          </cell>
        </row>
        <row r="19">
          <cell r="B19" t="str">
            <v>Externally financed capex</v>
          </cell>
          <cell r="D19">
            <v>0.1851992195665807</v>
          </cell>
          <cell r="E19" t="str">
            <v>SGR</v>
          </cell>
          <cell r="CO19" t="str">
            <v>L</v>
          </cell>
        </row>
        <row r="20">
          <cell r="B20" t="str">
            <v>GOU capex</v>
          </cell>
          <cell r="D20" t="str">
            <v>n/a</v>
          </cell>
          <cell r="E20" t="str">
            <v>SGR</v>
          </cell>
          <cell r="CO20">
            <v>0</v>
          </cell>
        </row>
        <row r="21">
          <cell r="B21" t="str">
            <v>Resettlement</v>
          </cell>
          <cell r="D21" t="str">
            <v>n/a</v>
          </cell>
          <cell r="E21" t="str">
            <v>SGR</v>
          </cell>
          <cell r="CO21">
            <v>0</v>
          </cell>
        </row>
        <row r="22">
          <cell r="B22" t="str">
            <v>Loan insurance</v>
          </cell>
          <cell r="D22" t="str">
            <v>n/a</v>
          </cell>
          <cell r="E22" t="str">
            <v>SGR</v>
          </cell>
          <cell r="CO22">
            <v>0</v>
          </cell>
        </row>
        <row r="23">
          <cell r="B23" t="str">
            <v>Management fees</v>
          </cell>
          <cell r="D23" t="str">
            <v>n/a</v>
          </cell>
          <cell r="E23" t="str">
            <v>SGR</v>
          </cell>
          <cell r="CO23">
            <v>0</v>
          </cell>
        </row>
        <row r="24">
          <cell r="B24" t="str">
            <v>Externally financed capex</v>
          </cell>
          <cell r="D24">
            <v>0.17</v>
          </cell>
          <cell r="E24" t="str">
            <v>Other non-concessional projects</v>
          </cell>
          <cell r="CO24" t="str">
            <v>L</v>
          </cell>
        </row>
        <row r="25">
          <cell r="B25" t="str">
            <v>Externally financed capex</v>
          </cell>
          <cell r="D25">
            <v>0.3</v>
          </cell>
          <cell r="E25" t="str">
            <v>Other non-concessional projects</v>
          </cell>
          <cell r="CO25" t="str">
            <v>L</v>
          </cell>
        </row>
        <row r="26">
          <cell r="B26" t="str">
            <v>Externally financed capex</v>
          </cell>
          <cell r="D26">
            <v>0.3</v>
          </cell>
          <cell r="E26" t="str">
            <v>Other non-concessional projects</v>
          </cell>
          <cell r="CO26" t="str">
            <v>L</v>
          </cell>
        </row>
        <row r="27">
          <cell r="B27" t="str">
            <v>Externally financed capex</v>
          </cell>
          <cell r="D27">
            <v>0.224</v>
          </cell>
          <cell r="E27" t="str">
            <v>Other non-concessional projects</v>
          </cell>
          <cell r="CO27" t="str">
            <v>L</v>
          </cell>
        </row>
        <row r="28">
          <cell r="B28" t="str">
            <v>Externally financed capex</v>
          </cell>
          <cell r="D28">
            <v>0.224</v>
          </cell>
          <cell r="E28" t="str">
            <v>Other non-concessional projects</v>
          </cell>
          <cell r="CO28" t="str">
            <v>L</v>
          </cell>
        </row>
        <row r="29">
          <cell r="B29" t="str">
            <v>Externally financed capex</v>
          </cell>
          <cell r="D29">
            <v>0.3</v>
          </cell>
          <cell r="E29" t="str">
            <v>Other non-concessional projects</v>
          </cell>
          <cell r="CO29" t="str">
            <v>L</v>
          </cell>
        </row>
        <row r="30">
          <cell r="B30" t="str">
            <v>Externally financed capex</v>
          </cell>
          <cell r="D30">
            <v>0.3</v>
          </cell>
          <cell r="E30" t="str">
            <v>Other non-concessional projects</v>
          </cell>
          <cell r="CO30" t="str">
            <v>L</v>
          </cell>
        </row>
        <row r="31">
          <cell r="B31" t="str">
            <v>Externally financed capex</v>
          </cell>
          <cell r="D31">
            <v>0.3</v>
          </cell>
          <cell r="E31" t="str">
            <v>Other non-concessional projects</v>
          </cell>
          <cell r="CO31" t="str">
            <v>L</v>
          </cell>
        </row>
        <row r="32">
          <cell r="B32" t="str">
            <v>Externally financed capex</v>
          </cell>
          <cell r="D32">
            <v>0.17</v>
          </cell>
          <cell r="E32" t="str">
            <v>Other non-concessional projects</v>
          </cell>
          <cell r="CO32" t="str">
            <v>L</v>
          </cell>
        </row>
        <row r="33">
          <cell r="B33" t="str">
            <v>Externally financed capex</v>
          </cell>
          <cell r="D33">
            <v>0.17</v>
          </cell>
          <cell r="E33" t="str">
            <v>Other non-concessional projects</v>
          </cell>
          <cell r="CO33" t="str">
            <v>L</v>
          </cell>
        </row>
        <row r="34">
          <cell r="B34" t="str">
            <v>Externally financed capex</v>
          </cell>
          <cell r="D34">
            <v>0.3</v>
          </cell>
          <cell r="E34" t="str">
            <v>Other non-concessional projects</v>
          </cell>
          <cell r="CO34" t="str">
            <v>L</v>
          </cell>
        </row>
        <row r="35">
          <cell r="B35" t="str">
            <v>Externally financed capex</v>
          </cell>
          <cell r="D35">
            <v>0.20699999999999999</v>
          </cell>
          <cell r="E35" t="str">
            <v>Other non-concessional projects</v>
          </cell>
          <cell r="CO35" t="str">
            <v>L</v>
          </cell>
        </row>
        <row r="36">
          <cell r="B36" t="str">
            <v>Externally financed capex</v>
          </cell>
          <cell r="D36">
            <v>0.3</v>
          </cell>
          <cell r="E36" t="str">
            <v>Other non-concessional projects</v>
          </cell>
          <cell r="CO36" t="str">
            <v>L</v>
          </cell>
        </row>
        <row r="37">
          <cell r="B37" t="str">
            <v>Externally financed capex</v>
          </cell>
          <cell r="D37">
            <v>0</v>
          </cell>
          <cell r="E37" t="str">
            <v>Other non-concessional projects</v>
          </cell>
          <cell r="CO37" t="str">
            <v>L</v>
          </cell>
        </row>
        <row r="38">
          <cell r="B38" t="str">
            <v>Externally financed capex</v>
          </cell>
          <cell r="D38">
            <v>0.3</v>
          </cell>
          <cell r="E38" t="str">
            <v>Other non-concessional projects</v>
          </cell>
          <cell r="CO38" t="str">
            <v>L</v>
          </cell>
        </row>
        <row r="39">
          <cell r="B39" t="str">
            <v>Externally financed capex</v>
          </cell>
          <cell r="D39">
            <v>0.26800000000000002</v>
          </cell>
          <cell r="E39" t="str">
            <v>Other non-concessional projects</v>
          </cell>
          <cell r="CO39" t="str">
            <v>L</v>
          </cell>
        </row>
        <row r="40">
          <cell r="B40" t="str">
            <v>Externally financed capex</v>
          </cell>
          <cell r="D40">
            <v>0</v>
          </cell>
          <cell r="E40" t="str">
            <v>Other non-concessional projects</v>
          </cell>
          <cell r="CO40" t="str">
            <v>L</v>
          </cell>
        </row>
        <row r="41">
          <cell r="B41" t="str">
            <v>Externally financed capex</v>
          </cell>
          <cell r="D41">
            <v>0.26300000000000001</v>
          </cell>
          <cell r="E41" t="str">
            <v>Other non-concessional projects</v>
          </cell>
          <cell r="CO41" t="str">
            <v>L</v>
          </cell>
        </row>
        <row r="42">
          <cell r="B42" t="str">
            <v>Externally financed capex</v>
          </cell>
          <cell r="D42">
            <v>0.23599999999999999</v>
          </cell>
          <cell r="E42" t="str">
            <v>Other non-concessional projects</v>
          </cell>
          <cell r="CO42" t="str">
            <v>L</v>
          </cell>
        </row>
        <row r="43">
          <cell r="B43" t="str">
            <v>Externally financed capex</v>
          </cell>
          <cell r="D43">
            <v>0.3</v>
          </cell>
          <cell r="E43" t="str">
            <v>Other non-concessional projects</v>
          </cell>
          <cell r="CO43" t="str">
            <v>L</v>
          </cell>
        </row>
        <row r="44">
          <cell r="B44" t="str">
            <v>Externally financed capex</v>
          </cell>
          <cell r="D44">
            <v>0.3</v>
          </cell>
          <cell r="E44" t="str">
            <v>Other non-concessional projects</v>
          </cell>
          <cell r="CO44" t="str">
            <v>L</v>
          </cell>
        </row>
        <row r="45">
          <cell r="B45" t="str">
            <v>Externally financed capex</v>
          </cell>
          <cell r="D45">
            <v>0.224</v>
          </cell>
          <cell r="E45" t="str">
            <v>Other non-concessional projects</v>
          </cell>
          <cell r="CO45" t="str">
            <v>L</v>
          </cell>
        </row>
        <row r="46">
          <cell r="B46" t="str">
            <v>Externally financed capex</v>
          </cell>
          <cell r="D46">
            <v>0.191</v>
          </cell>
          <cell r="E46" t="str">
            <v>Other non-concessional projects</v>
          </cell>
          <cell r="CO46" t="str">
            <v>L</v>
          </cell>
        </row>
        <row r="47">
          <cell r="B47" t="str">
            <v>Externally financed capex</v>
          </cell>
          <cell r="D47">
            <v>0.191</v>
          </cell>
          <cell r="E47" t="str">
            <v>Other non-concessional projects</v>
          </cell>
          <cell r="CO47" t="str">
            <v>L</v>
          </cell>
        </row>
        <row r="48">
          <cell r="B48" t="str">
            <v>Externally financed capex</v>
          </cell>
          <cell r="D48">
            <v>0.191</v>
          </cell>
          <cell r="E48" t="str">
            <v>Other non-concessional projects</v>
          </cell>
          <cell r="CO48" t="str">
            <v>L</v>
          </cell>
        </row>
        <row r="49">
          <cell r="B49" t="str">
            <v>Externally financed capex</v>
          </cell>
          <cell r="D49">
            <v>0.191</v>
          </cell>
          <cell r="E49" t="str">
            <v>Other non-concessional projects</v>
          </cell>
          <cell r="CO49" t="str">
            <v>L</v>
          </cell>
        </row>
        <row r="50">
          <cell r="B50" t="str">
            <v>Externally financed capex</v>
          </cell>
          <cell r="D50">
            <v>0.191</v>
          </cell>
          <cell r="E50" t="str">
            <v>Other non-concessional projects</v>
          </cell>
          <cell r="CO50" t="str">
            <v>L</v>
          </cell>
        </row>
        <row r="51">
          <cell r="B51" t="str">
            <v>Externally financed capex</v>
          </cell>
          <cell r="D51">
            <v>0.191</v>
          </cell>
          <cell r="E51" t="str">
            <v>Other non-concessional projects</v>
          </cell>
          <cell r="CO51" t="str">
            <v>L</v>
          </cell>
        </row>
        <row r="52">
          <cell r="B52" t="str">
            <v>Externally financed capex</v>
          </cell>
          <cell r="D52">
            <v>0.191</v>
          </cell>
          <cell r="E52" t="str">
            <v>Other non-concessional projects</v>
          </cell>
          <cell r="CO52" t="str">
            <v>L</v>
          </cell>
        </row>
        <row r="53">
          <cell r="B53" t="str">
            <v>Externally financed capex</v>
          </cell>
          <cell r="D53">
            <v>0.191</v>
          </cell>
          <cell r="E53" t="str">
            <v>Other non-concessional projects</v>
          </cell>
          <cell r="CO53" t="str">
            <v>L</v>
          </cell>
        </row>
        <row r="54">
          <cell r="B54" t="str">
            <v>Externally financed capex</v>
          </cell>
          <cell r="D54">
            <v>0.191</v>
          </cell>
          <cell r="E54" t="str">
            <v>Other non-concessional projects</v>
          </cell>
          <cell r="CO54" t="str">
            <v>L</v>
          </cell>
        </row>
        <row r="55">
          <cell r="B55" t="str">
            <v>Externally financed capex</v>
          </cell>
          <cell r="D55">
            <v>0.3</v>
          </cell>
          <cell r="E55" t="str">
            <v>Other non-concessional projects</v>
          </cell>
          <cell r="CO55" t="str">
            <v>L</v>
          </cell>
        </row>
        <row r="56">
          <cell r="B56" t="str">
            <v>Externally financed capex</v>
          </cell>
          <cell r="D56">
            <v>0.3</v>
          </cell>
          <cell r="E56" t="str">
            <v>Other non-concessional projects</v>
          </cell>
          <cell r="CO56" t="str">
            <v>L</v>
          </cell>
        </row>
        <row r="57">
          <cell r="B57" t="str">
            <v>Resettlement</v>
          </cell>
          <cell r="D57" t="str">
            <v>n/a</v>
          </cell>
          <cell r="E57" t="str">
            <v>PPPs</v>
          </cell>
          <cell r="CO57">
            <v>0</v>
          </cell>
        </row>
        <row r="58">
          <cell r="B58" t="str">
            <v>Private capex</v>
          </cell>
          <cell r="D58" t="str">
            <v>n/a</v>
          </cell>
          <cell r="E58" t="str">
            <v>PPPs</v>
          </cell>
          <cell r="CO58">
            <v>0</v>
          </cell>
        </row>
        <row r="59">
          <cell r="B59" t="str">
            <v>Resettlement</v>
          </cell>
          <cell r="D59" t="str">
            <v>n/a</v>
          </cell>
          <cell r="E59" t="str">
            <v>PPPs</v>
          </cell>
          <cell r="CO59">
            <v>0</v>
          </cell>
        </row>
        <row r="60">
          <cell r="B60" t="str">
            <v>Private capex</v>
          </cell>
          <cell r="D60" t="str">
            <v>n/a</v>
          </cell>
          <cell r="E60" t="str">
            <v>PPPs</v>
          </cell>
          <cell r="CO60">
            <v>0</v>
          </cell>
        </row>
        <row r="61">
          <cell r="B61" t="str">
            <v>Resettlement</v>
          </cell>
          <cell r="D61" t="str">
            <v>n/a</v>
          </cell>
          <cell r="E61" t="str">
            <v>PPPs</v>
          </cell>
          <cell r="CO61">
            <v>0</v>
          </cell>
        </row>
        <row r="62">
          <cell r="B62" t="str">
            <v>Private capex</v>
          </cell>
          <cell r="D62" t="str">
            <v>n/a</v>
          </cell>
          <cell r="E62" t="str">
            <v>PPPs</v>
          </cell>
          <cell r="CO62">
            <v>0</v>
          </cell>
        </row>
        <row r="63">
          <cell r="B63" t="str">
            <v>Externally financed capex</v>
          </cell>
          <cell r="D63">
            <v>0.47</v>
          </cell>
          <cell r="E63" t="str">
            <v>Concessional loans</v>
          </cell>
          <cell r="CO63" t="str">
            <v>L</v>
          </cell>
        </row>
        <row r="64">
          <cell r="B64" t="str">
            <v>Externally financed capex</v>
          </cell>
          <cell r="D64">
            <v>0.47</v>
          </cell>
          <cell r="E64" t="str">
            <v>Concessional loans</v>
          </cell>
          <cell r="CO64" t="str">
            <v>L</v>
          </cell>
        </row>
        <row r="65">
          <cell r="B65" t="str">
            <v>Externally financed capex</v>
          </cell>
          <cell r="D65">
            <v>0.47</v>
          </cell>
          <cell r="E65" t="str">
            <v>Concessional loans</v>
          </cell>
          <cell r="CO65" t="str">
            <v>L</v>
          </cell>
        </row>
        <row r="66">
          <cell r="B66" t="str">
            <v>Externally financed capex</v>
          </cell>
          <cell r="D66">
            <v>0.47</v>
          </cell>
          <cell r="E66" t="str">
            <v>Concessional loans</v>
          </cell>
          <cell r="CO66" t="str">
            <v>L</v>
          </cell>
        </row>
        <row r="67">
          <cell r="B67" t="str">
            <v>Externally financed capex</v>
          </cell>
          <cell r="D67">
            <v>0.47</v>
          </cell>
          <cell r="E67" t="str">
            <v>Concessional loans</v>
          </cell>
          <cell r="CO67" t="str">
            <v>L</v>
          </cell>
        </row>
        <row r="68">
          <cell r="B68" t="str">
            <v>Externally financed capex</v>
          </cell>
          <cell r="D68">
            <v>0.47</v>
          </cell>
          <cell r="E68" t="str">
            <v>Concessional loans</v>
          </cell>
          <cell r="CO68" t="str">
            <v>L</v>
          </cell>
        </row>
        <row r="69">
          <cell r="B69" t="str">
            <v>Externally financed capex</v>
          </cell>
          <cell r="D69">
            <v>0.47</v>
          </cell>
          <cell r="E69" t="str">
            <v>Concessional loans</v>
          </cell>
          <cell r="CO69" t="str">
            <v>L</v>
          </cell>
        </row>
        <row r="70">
          <cell r="B70" t="str">
            <v>Externally financed capex</v>
          </cell>
          <cell r="D70">
            <v>0.47</v>
          </cell>
          <cell r="E70" t="str">
            <v>Concessional loans</v>
          </cell>
          <cell r="CO70" t="str">
            <v>L</v>
          </cell>
        </row>
        <row r="71">
          <cell r="B71" t="str">
            <v>Externally financed capex</v>
          </cell>
          <cell r="D71">
            <v>0.47</v>
          </cell>
          <cell r="E71" t="str">
            <v>Concessional loans</v>
          </cell>
          <cell r="CO71" t="str">
            <v>L</v>
          </cell>
        </row>
        <row r="72">
          <cell r="B72" t="str">
            <v>Externally financed capex</v>
          </cell>
          <cell r="D72">
            <v>0.36</v>
          </cell>
          <cell r="E72" t="str">
            <v>Concessional loans</v>
          </cell>
          <cell r="CO72" t="str">
            <v>L</v>
          </cell>
        </row>
        <row r="73">
          <cell r="B73" t="str">
            <v>Externally financed capex</v>
          </cell>
          <cell r="D73">
            <v>0.36</v>
          </cell>
          <cell r="E73" t="str">
            <v>Concessional loans</v>
          </cell>
          <cell r="CO73" t="str">
            <v>L</v>
          </cell>
        </row>
        <row r="74">
          <cell r="B74" t="str">
            <v>Externally financed capex</v>
          </cell>
          <cell r="D74">
            <v>0.47</v>
          </cell>
          <cell r="E74" t="str">
            <v>Concessional loans</v>
          </cell>
          <cell r="CO74" t="str">
            <v>L</v>
          </cell>
        </row>
        <row r="75">
          <cell r="B75" t="str">
            <v>Externally financed capex</v>
          </cell>
          <cell r="D75">
            <v>0.47</v>
          </cell>
          <cell r="E75" t="str">
            <v>Concessional loans</v>
          </cell>
          <cell r="CO75" t="str">
            <v>L</v>
          </cell>
        </row>
        <row r="76">
          <cell r="B76" t="str">
            <v>Externally financed capex</v>
          </cell>
          <cell r="D76">
            <v>0.47</v>
          </cell>
          <cell r="E76" t="str">
            <v>Concessional loans</v>
          </cell>
          <cell r="CO76" t="str">
            <v>L</v>
          </cell>
        </row>
        <row r="77">
          <cell r="B77" t="str">
            <v>Externally financed capex</v>
          </cell>
          <cell r="D77">
            <v>0.47</v>
          </cell>
          <cell r="E77" t="str">
            <v>Concessional loans</v>
          </cell>
          <cell r="CO77" t="str">
            <v>L</v>
          </cell>
        </row>
        <row r="78">
          <cell r="B78" t="str">
            <v>Externally financed capex</v>
          </cell>
          <cell r="D78">
            <v>0.47</v>
          </cell>
          <cell r="E78" t="str">
            <v>Concessional loans</v>
          </cell>
          <cell r="CO78" t="str">
            <v>L</v>
          </cell>
        </row>
        <row r="79">
          <cell r="B79" t="str">
            <v>Externally financed capex</v>
          </cell>
          <cell r="D79">
            <v>0.47</v>
          </cell>
          <cell r="E79" t="str">
            <v>Concessional loans</v>
          </cell>
          <cell r="CO79" t="str">
            <v>L</v>
          </cell>
        </row>
        <row r="80">
          <cell r="B80" t="str">
            <v>Externally financed capex</v>
          </cell>
          <cell r="D80">
            <v>0.36</v>
          </cell>
          <cell r="E80" t="str">
            <v>Concessional loans</v>
          </cell>
          <cell r="CO80" t="str">
            <v>L</v>
          </cell>
        </row>
        <row r="81">
          <cell r="B81" t="str">
            <v>Externally financed capex</v>
          </cell>
          <cell r="D81">
            <v>0.36</v>
          </cell>
          <cell r="E81" t="str">
            <v>Concessional loans</v>
          </cell>
          <cell r="CO81" t="str">
            <v>L</v>
          </cell>
        </row>
        <row r="82">
          <cell r="B82" t="str">
            <v>Externally financed capex</v>
          </cell>
          <cell r="D82">
            <v>0.36</v>
          </cell>
          <cell r="E82" t="str">
            <v>Concessional loans</v>
          </cell>
          <cell r="CO82" t="str">
            <v>L</v>
          </cell>
        </row>
        <row r="83">
          <cell r="B83" t="str">
            <v>Externally financed capex</v>
          </cell>
          <cell r="D83">
            <v>0.4</v>
          </cell>
          <cell r="E83" t="str">
            <v>Concessional loans</v>
          </cell>
          <cell r="CO83" t="str">
            <v>L</v>
          </cell>
        </row>
        <row r="84">
          <cell r="B84" t="str">
            <v>Externally financed capex</v>
          </cell>
          <cell r="D84">
            <v>0.36</v>
          </cell>
          <cell r="E84" t="str">
            <v>Concessional loans</v>
          </cell>
          <cell r="CO84" t="str">
            <v>L</v>
          </cell>
        </row>
        <row r="85">
          <cell r="B85" t="str">
            <v>Externally financed capex</v>
          </cell>
          <cell r="D85">
            <v>0.47</v>
          </cell>
          <cell r="E85" t="str">
            <v>Concessional loans</v>
          </cell>
          <cell r="CO85" t="str">
            <v>L</v>
          </cell>
        </row>
        <row r="86">
          <cell r="B86" t="str">
            <v>Externally financed capex</v>
          </cell>
          <cell r="D86">
            <v>0.47</v>
          </cell>
          <cell r="E86" t="str">
            <v>Concessional loans</v>
          </cell>
          <cell r="CO86" t="str">
            <v>L</v>
          </cell>
        </row>
        <row r="87">
          <cell r="B87" t="str">
            <v>Externally financed capex</v>
          </cell>
          <cell r="D87">
            <v>0.47</v>
          </cell>
          <cell r="E87" t="str">
            <v>Concessional loans</v>
          </cell>
          <cell r="CO87" t="str">
            <v>L</v>
          </cell>
        </row>
        <row r="88">
          <cell r="B88" t="str">
            <v>Externally financed capex</v>
          </cell>
          <cell r="D88">
            <v>0.47</v>
          </cell>
          <cell r="E88" t="str">
            <v>Concessional loans</v>
          </cell>
          <cell r="CO88" t="str">
            <v>L</v>
          </cell>
        </row>
        <row r="89">
          <cell r="B89" t="str">
            <v>Externally financed capex</v>
          </cell>
          <cell r="D89">
            <v>0.47</v>
          </cell>
          <cell r="E89" t="str">
            <v>Concessional loans</v>
          </cell>
          <cell r="CO89" t="str">
            <v>L</v>
          </cell>
        </row>
        <row r="90">
          <cell r="B90" t="str">
            <v>Externally financed capex</v>
          </cell>
          <cell r="D90">
            <v>0.47</v>
          </cell>
          <cell r="E90" t="str">
            <v>Concessional loans</v>
          </cell>
          <cell r="CO90" t="str">
            <v>L</v>
          </cell>
        </row>
        <row r="91">
          <cell r="B91" t="str">
            <v>Externally financed capex</v>
          </cell>
          <cell r="D91">
            <v>0.47</v>
          </cell>
          <cell r="E91" t="str">
            <v>Concessional loans</v>
          </cell>
          <cell r="CO91" t="str">
            <v>L</v>
          </cell>
        </row>
        <row r="92">
          <cell r="B92" t="str">
            <v>Externally financed capex</v>
          </cell>
          <cell r="D92">
            <v>0.47</v>
          </cell>
          <cell r="E92" t="str">
            <v>Concessional loans</v>
          </cell>
          <cell r="CO92" t="str">
            <v>L</v>
          </cell>
        </row>
        <row r="93">
          <cell r="B93" t="str">
            <v>Externally financed capex</v>
          </cell>
          <cell r="D93">
            <v>0.47</v>
          </cell>
          <cell r="E93" t="str">
            <v>Concessional loans</v>
          </cell>
          <cell r="CO93" t="str">
            <v>L</v>
          </cell>
        </row>
        <row r="94">
          <cell r="B94" t="str">
            <v>Externally financed capex</v>
          </cell>
          <cell r="D94">
            <v>0.47</v>
          </cell>
          <cell r="E94" t="str">
            <v>Concessional loans</v>
          </cell>
          <cell r="CO94" t="str">
            <v>L</v>
          </cell>
        </row>
        <row r="95">
          <cell r="B95" t="str">
            <v>Externally financed capex</v>
          </cell>
          <cell r="D95">
            <v>0.36</v>
          </cell>
          <cell r="E95" t="str">
            <v>Concessional loans</v>
          </cell>
          <cell r="CO95" t="str">
            <v>L</v>
          </cell>
        </row>
        <row r="96">
          <cell r="B96" t="str">
            <v>Externally financed capex</v>
          </cell>
          <cell r="D96">
            <v>0.36</v>
          </cell>
          <cell r="E96" t="str">
            <v>Concessional loans</v>
          </cell>
          <cell r="CO96" t="str">
            <v>L</v>
          </cell>
        </row>
        <row r="97">
          <cell r="B97" t="str">
            <v>Externally financed capex</v>
          </cell>
          <cell r="D97">
            <v>0.36</v>
          </cell>
          <cell r="E97" t="str">
            <v>Concessional loans</v>
          </cell>
          <cell r="CO97" t="str">
            <v>L</v>
          </cell>
        </row>
        <row r="98">
          <cell r="B98" t="str">
            <v>Externally financed capex</v>
          </cell>
          <cell r="D98">
            <v>0.36</v>
          </cell>
          <cell r="E98" t="str">
            <v>Concessional loans</v>
          </cell>
          <cell r="CO98" t="str">
            <v>L</v>
          </cell>
        </row>
        <row r="99">
          <cell r="B99" t="str">
            <v>Externally financed capex</v>
          </cell>
          <cell r="D99">
            <v>0.47</v>
          </cell>
          <cell r="E99" t="str">
            <v>Concessional loans</v>
          </cell>
          <cell r="CO99" t="str">
            <v>L</v>
          </cell>
        </row>
        <row r="100">
          <cell r="B100" t="str">
            <v>Externally financed capex</v>
          </cell>
          <cell r="D100">
            <v>0.47</v>
          </cell>
          <cell r="E100" t="str">
            <v>Concessional loans</v>
          </cell>
          <cell r="CO100" t="str">
            <v>L</v>
          </cell>
        </row>
        <row r="101">
          <cell r="B101" t="str">
            <v>Externally financed capex</v>
          </cell>
          <cell r="D101">
            <v>0.47</v>
          </cell>
          <cell r="E101" t="str">
            <v>Concessional loans</v>
          </cell>
          <cell r="CO101" t="str">
            <v>L</v>
          </cell>
        </row>
        <row r="102">
          <cell r="B102" t="str">
            <v>Externally financed capex</v>
          </cell>
          <cell r="D102">
            <v>0.47</v>
          </cell>
          <cell r="E102" t="str">
            <v>Concessional loans</v>
          </cell>
          <cell r="CO102" t="str">
            <v>L</v>
          </cell>
        </row>
        <row r="103">
          <cell r="B103" t="str">
            <v>Externally financed capex</v>
          </cell>
          <cell r="D103">
            <v>0.47</v>
          </cell>
          <cell r="E103" t="str">
            <v>Concessional loans</v>
          </cell>
          <cell r="CO103" t="str">
            <v>L</v>
          </cell>
        </row>
        <row r="104">
          <cell r="B104" t="str">
            <v>Externally financed capex</v>
          </cell>
          <cell r="D104">
            <v>0.47</v>
          </cell>
          <cell r="E104" t="str">
            <v>Concessional loans</v>
          </cell>
          <cell r="CO104" t="str">
            <v>L</v>
          </cell>
        </row>
        <row r="105">
          <cell r="B105" t="str">
            <v>Externally financed capex</v>
          </cell>
          <cell r="D105">
            <v>0.47</v>
          </cell>
          <cell r="E105" t="str">
            <v>Concessional loans</v>
          </cell>
          <cell r="CO105" t="str">
            <v>L</v>
          </cell>
        </row>
        <row r="106">
          <cell r="B106" t="str">
            <v>Externally financed capex</v>
          </cell>
          <cell r="D106">
            <v>0.47</v>
          </cell>
          <cell r="E106" t="str">
            <v>Concessional loans</v>
          </cell>
          <cell r="CO106" t="str">
            <v>L</v>
          </cell>
        </row>
        <row r="107">
          <cell r="B107" t="str">
            <v>Externally financed capex</v>
          </cell>
          <cell r="D107">
            <v>0.47</v>
          </cell>
          <cell r="E107" t="str">
            <v>Concessional loans</v>
          </cell>
          <cell r="CO107" t="str">
            <v>L</v>
          </cell>
        </row>
        <row r="108">
          <cell r="B108" t="str">
            <v>Externally financed capex</v>
          </cell>
          <cell r="D108">
            <v>0.47</v>
          </cell>
          <cell r="E108" t="str">
            <v>Concessional loans</v>
          </cell>
          <cell r="CO108" t="str">
            <v>L</v>
          </cell>
        </row>
        <row r="109">
          <cell r="B109" t="str">
            <v>Externally financed capex</v>
          </cell>
          <cell r="D109">
            <v>0.47</v>
          </cell>
          <cell r="E109" t="str">
            <v>Concessional loans</v>
          </cell>
          <cell r="CO109" t="str">
            <v>L</v>
          </cell>
        </row>
        <row r="110">
          <cell r="B110" t="str">
            <v>Externally financed capex</v>
          </cell>
          <cell r="D110">
            <v>0.4</v>
          </cell>
          <cell r="E110" t="str">
            <v>Concessional loans</v>
          </cell>
          <cell r="CO110" t="str">
            <v>L</v>
          </cell>
        </row>
        <row r="111">
          <cell r="B111" t="str">
            <v>Externally financed capex</v>
          </cell>
          <cell r="D111">
            <v>0.4</v>
          </cell>
          <cell r="E111" t="str">
            <v>Concessional loans</v>
          </cell>
          <cell r="CO111" t="str">
            <v>L</v>
          </cell>
        </row>
        <row r="112">
          <cell r="B112" t="str">
            <v>Externally financed capex</v>
          </cell>
          <cell r="D112">
            <v>0.47</v>
          </cell>
          <cell r="E112" t="str">
            <v>Concessional loans</v>
          </cell>
          <cell r="CO112" t="str">
            <v>L</v>
          </cell>
        </row>
        <row r="113">
          <cell r="B113" t="str">
            <v>Externally financed capex</v>
          </cell>
          <cell r="D113">
            <v>0.47</v>
          </cell>
          <cell r="E113" t="str">
            <v>Concessional loans</v>
          </cell>
          <cell r="CO113" t="str">
            <v>L</v>
          </cell>
        </row>
        <row r="114">
          <cell r="B114" t="str">
            <v>Externally financed capex</v>
          </cell>
          <cell r="D114">
            <v>0.37</v>
          </cell>
          <cell r="E114" t="str">
            <v>Concessional loans</v>
          </cell>
          <cell r="CO114" t="str">
            <v>L</v>
          </cell>
        </row>
        <row r="115">
          <cell r="B115" t="str">
            <v>Externally financed capex</v>
          </cell>
          <cell r="D115">
            <v>0.47</v>
          </cell>
          <cell r="E115" t="str">
            <v>Concessional loans</v>
          </cell>
          <cell r="CO115" t="str">
            <v>L</v>
          </cell>
        </row>
        <row r="116">
          <cell r="B116" t="str">
            <v>Externally financed capex</v>
          </cell>
          <cell r="D116">
            <v>0.47</v>
          </cell>
          <cell r="E116" t="str">
            <v>Concessional loans</v>
          </cell>
          <cell r="CO116" t="str">
            <v>L</v>
          </cell>
        </row>
        <row r="117">
          <cell r="B117" t="str">
            <v>Externally financed capex</v>
          </cell>
          <cell r="D117">
            <v>0.4</v>
          </cell>
          <cell r="E117" t="str">
            <v>Concessional loans</v>
          </cell>
          <cell r="CO117" t="str">
            <v>L</v>
          </cell>
        </row>
        <row r="118">
          <cell r="B118" t="str">
            <v>Externally financed capex</v>
          </cell>
          <cell r="D118">
            <v>0.4</v>
          </cell>
          <cell r="E118" t="str">
            <v>Concessional loans</v>
          </cell>
          <cell r="CO118" t="str">
            <v>L</v>
          </cell>
        </row>
        <row r="119">
          <cell r="B119" t="str">
            <v>Externally financed capex</v>
          </cell>
          <cell r="D119">
            <v>0.36</v>
          </cell>
          <cell r="E119" t="str">
            <v>Concessional loans</v>
          </cell>
          <cell r="CO119" t="str">
            <v>L</v>
          </cell>
        </row>
        <row r="120">
          <cell r="B120" t="str">
            <v>Externally financed capex</v>
          </cell>
          <cell r="D120">
            <v>0.36</v>
          </cell>
          <cell r="E120" t="str">
            <v>Concessional loans</v>
          </cell>
          <cell r="CO120" t="str">
            <v>L</v>
          </cell>
        </row>
        <row r="121">
          <cell r="B121" t="str">
            <v>Externally financed capex</v>
          </cell>
          <cell r="D121">
            <v>0.47</v>
          </cell>
          <cell r="E121" t="str">
            <v>Concessional loans</v>
          </cell>
          <cell r="CO121" t="str">
            <v>L</v>
          </cell>
        </row>
        <row r="122">
          <cell r="B122" t="str">
            <v>Externally financed capex</v>
          </cell>
          <cell r="D122">
            <v>0.47</v>
          </cell>
          <cell r="E122" t="str">
            <v>Concessional loans</v>
          </cell>
          <cell r="CO122" t="str">
            <v>L</v>
          </cell>
        </row>
        <row r="123">
          <cell r="B123" t="str">
            <v>Externally financed capex</v>
          </cell>
          <cell r="D123">
            <v>0.47</v>
          </cell>
          <cell r="E123" t="str">
            <v>Concessional loans</v>
          </cell>
          <cell r="CO123" t="str">
            <v>L</v>
          </cell>
        </row>
        <row r="124">
          <cell r="B124" t="str">
            <v>Externally financed capex</v>
          </cell>
          <cell r="D124">
            <v>0.47</v>
          </cell>
          <cell r="E124" t="str">
            <v>Concessional loans</v>
          </cell>
          <cell r="CO124" t="str">
            <v>L</v>
          </cell>
        </row>
        <row r="125">
          <cell r="B125" t="str">
            <v>Externally financed capex</v>
          </cell>
          <cell r="D125">
            <v>0.36</v>
          </cell>
          <cell r="E125" t="str">
            <v>Concessional loans</v>
          </cell>
          <cell r="CO125" t="str">
            <v>L</v>
          </cell>
        </row>
        <row r="126">
          <cell r="B126" t="str">
            <v>Externally financed capex</v>
          </cell>
          <cell r="D126">
            <v>0.36</v>
          </cell>
          <cell r="E126" t="str">
            <v>Concessional loans</v>
          </cell>
          <cell r="CO126" t="str">
            <v>L</v>
          </cell>
        </row>
        <row r="127">
          <cell r="B127" t="str">
            <v>Externally financed capex</v>
          </cell>
          <cell r="D127">
            <v>0.36</v>
          </cell>
          <cell r="E127" t="str">
            <v>Concessional loans</v>
          </cell>
          <cell r="CO127" t="str">
            <v>L</v>
          </cell>
        </row>
        <row r="128">
          <cell r="B128" t="str">
            <v>Externally financed capex</v>
          </cell>
          <cell r="D128">
            <v>0.36</v>
          </cell>
          <cell r="E128" t="str">
            <v>Concessional loans</v>
          </cell>
          <cell r="CO128" t="str">
            <v>L</v>
          </cell>
        </row>
        <row r="129">
          <cell r="B129" t="str">
            <v>Externally financed capex</v>
          </cell>
          <cell r="D129">
            <v>0.36</v>
          </cell>
          <cell r="E129" t="str">
            <v>Concessional loans</v>
          </cell>
          <cell r="CO129" t="str">
            <v>L</v>
          </cell>
        </row>
        <row r="130">
          <cell r="B130" t="str">
            <v>Externally financed capex</v>
          </cell>
          <cell r="D130">
            <v>0.47</v>
          </cell>
          <cell r="E130" t="str">
            <v>Concessional loans</v>
          </cell>
          <cell r="CO130" t="str">
            <v>L</v>
          </cell>
        </row>
        <row r="131">
          <cell r="B131" t="str">
            <v>Externally financed capex</v>
          </cell>
          <cell r="D131">
            <v>0.47</v>
          </cell>
          <cell r="E131" t="str">
            <v>Concessional loans</v>
          </cell>
          <cell r="CO131" t="str">
            <v>L</v>
          </cell>
        </row>
        <row r="132">
          <cell r="B132" t="str">
            <v>Externally financed capex</v>
          </cell>
          <cell r="D132">
            <v>0.47</v>
          </cell>
          <cell r="E132" t="str">
            <v>Concessional loans</v>
          </cell>
          <cell r="CO132" t="str">
            <v>L</v>
          </cell>
        </row>
        <row r="133">
          <cell r="B133" t="str">
            <v>Externally financed capex</v>
          </cell>
          <cell r="D133">
            <v>0.47</v>
          </cell>
          <cell r="E133" t="str">
            <v>Concessional loans</v>
          </cell>
          <cell r="CO133" t="str">
            <v>L</v>
          </cell>
        </row>
        <row r="134">
          <cell r="B134" t="str">
            <v>Externally financed capex</v>
          </cell>
          <cell r="D134">
            <v>0.47</v>
          </cell>
          <cell r="E134" t="str">
            <v>Concessional loans</v>
          </cell>
          <cell r="CO134" t="str">
            <v>L</v>
          </cell>
        </row>
        <row r="135">
          <cell r="B135" t="str">
            <v>Externally financed capex</v>
          </cell>
          <cell r="D135">
            <v>0.47</v>
          </cell>
          <cell r="E135" t="str">
            <v>Concessional loans</v>
          </cell>
          <cell r="CO135" t="str">
            <v>L</v>
          </cell>
        </row>
        <row r="136">
          <cell r="B136" t="str">
            <v>Externally financed capex</v>
          </cell>
          <cell r="D136">
            <v>0.47</v>
          </cell>
          <cell r="E136" t="str">
            <v>Concessional loans</v>
          </cell>
          <cell r="CO136" t="str">
            <v>L</v>
          </cell>
        </row>
        <row r="137">
          <cell r="B137" t="str">
            <v>Externally financed capex</v>
          </cell>
          <cell r="D137">
            <v>0.47</v>
          </cell>
          <cell r="E137" t="str">
            <v>Concessional loans</v>
          </cell>
          <cell r="CO137" t="str">
            <v>L</v>
          </cell>
        </row>
        <row r="138">
          <cell r="B138" t="str">
            <v>Externally financed capex</v>
          </cell>
          <cell r="D138">
            <v>0.47</v>
          </cell>
          <cell r="E138" t="str">
            <v>Concessional loans</v>
          </cell>
          <cell r="CO138" t="str">
            <v>L</v>
          </cell>
        </row>
        <row r="139">
          <cell r="B139" t="str">
            <v>Externally financed capex</v>
          </cell>
          <cell r="D139">
            <v>0.47</v>
          </cell>
          <cell r="E139" t="str">
            <v>Concessional loans</v>
          </cell>
          <cell r="CO139" t="str">
            <v>L</v>
          </cell>
        </row>
        <row r="140">
          <cell r="B140" t="str">
            <v>Externally financed capex</v>
          </cell>
          <cell r="D140">
            <v>0.47</v>
          </cell>
          <cell r="E140" t="str">
            <v>Concessional loans</v>
          </cell>
          <cell r="CO140" t="str">
            <v>L</v>
          </cell>
        </row>
        <row r="141">
          <cell r="B141" t="str">
            <v>Externally financed capex</v>
          </cell>
          <cell r="D141">
            <v>0.47</v>
          </cell>
          <cell r="E141" t="str">
            <v>Concessional loans</v>
          </cell>
          <cell r="CO141" t="str">
            <v>L</v>
          </cell>
        </row>
        <row r="142">
          <cell r="B142" t="str">
            <v>Externally financed capex</v>
          </cell>
          <cell r="D142">
            <v>0.47</v>
          </cell>
          <cell r="E142" t="str">
            <v>Concessional loans</v>
          </cell>
          <cell r="CO142" t="str">
            <v>L</v>
          </cell>
        </row>
        <row r="143">
          <cell r="B143" t="str">
            <v>Externally financed capex</v>
          </cell>
          <cell r="D143">
            <v>0.47</v>
          </cell>
          <cell r="E143" t="str">
            <v>Concessional loans</v>
          </cell>
          <cell r="CO143" t="str">
            <v>L</v>
          </cell>
        </row>
        <row r="144">
          <cell r="B144" t="str">
            <v>Externally financed capex</v>
          </cell>
          <cell r="D144">
            <v>0.47</v>
          </cell>
          <cell r="E144" t="str">
            <v>Concessional loans</v>
          </cell>
          <cell r="CO144" t="str">
            <v>L</v>
          </cell>
        </row>
        <row r="145">
          <cell r="B145" t="str">
            <v>Externally financed capex</v>
          </cell>
          <cell r="D145">
            <v>0.5</v>
          </cell>
          <cell r="E145" t="str">
            <v>Concessional loans</v>
          </cell>
          <cell r="CO145" t="str">
            <v>L</v>
          </cell>
        </row>
        <row r="146">
          <cell r="B146" t="str">
            <v>Externally financed capex</v>
          </cell>
          <cell r="D146">
            <v>0.5</v>
          </cell>
          <cell r="E146" t="str">
            <v>Concessional loans</v>
          </cell>
          <cell r="CO146" t="str">
            <v>L</v>
          </cell>
        </row>
        <row r="147">
          <cell r="B147" t="str">
            <v>Externally financed capex</v>
          </cell>
          <cell r="D147">
            <v>0.47</v>
          </cell>
          <cell r="E147" t="str">
            <v>Concessional loans</v>
          </cell>
          <cell r="CO147" t="str">
            <v>L</v>
          </cell>
        </row>
        <row r="148">
          <cell r="B148" t="str">
            <v>Externally financed capex</v>
          </cell>
          <cell r="D148">
            <v>0.47</v>
          </cell>
          <cell r="E148" t="str">
            <v>Concessional loans</v>
          </cell>
          <cell r="CO148" t="str">
            <v>L</v>
          </cell>
        </row>
        <row r="149">
          <cell r="B149" t="str">
            <v>Externally financed capex</v>
          </cell>
          <cell r="D149">
            <v>0.47</v>
          </cell>
          <cell r="E149" t="str">
            <v>Concessional loans</v>
          </cell>
          <cell r="CO149" t="str">
            <v>L</v>
          </cell>
        </row>
        <row r="150">
          <cell r="B150" t="str">
            <v>Externally financed capex</v>
          </cell>
          <cell r="D150">
            <v>0.36</v>
          </cell>
          <cell r="E150" t="str">
            <v>Concessional loans</v>
          </cell>
          <cell r="CO150" t="str">
            <v>L</v>
          </cell>
        </row>
        <row r="151">
          <cell r="B151" t="str">
            <v>Externally financed capex</v>
          </cell>
          <cell r="D151">
            <v>0.47</v>
          </cell>
          <cell r="E151" t="str">
            <v>Concessional loans</v>
          </cell>
          <cell r="CO151" t="str">
            <v>L</v>
          </cell>
        </row>
        <row r="152">
          <cell r="B152" t="str">
            <v>Externally financed capex</v>
          </cell>
          <cell r="D152">
            <v>0.47</v>
          </cell>
          <cell r="E152" t="str">
            <v>Concessional loans</v>
          </cell>
          <cell r="CO152" t="str">
            <v>L</v>
          </cell>
        </row>
        <row r="153">
          <cell r="B153" t="str">
            <v>Externally financed capex</v>
          </cell>
          <cell r="D153">
            <v>0.47</v>
          </cell>
          <cell r="E153" t="str">
            <v>Concessional loans</v>
          </cell>
          <cell r="CO153" t="str">
            <v>L</v>
          </cell>
        </row>
        <row r="154">
          <cell r="B154" t="str">
            <v>Externally financed capex</v>
          </cell>
          <cell r="D154">
            <v>0.47</v>
          </cell>
          <cell r="E154" t="str">
            <v>Concessional loans</v>
          </cell>
          <cell r="CO154" t="str">
            <v>L</v>
          </cell>
        </row>
        <row r="155">
          <cell r="B155" t="str">
            <v>Externally financed capex</v>
          </cell>
          <cell r="D155">
            <v>0.47</v>
          </cell>
          <cell r="E155" t="str">
            <v>Concessional loans</v>
          </cell>
          <cell r="CO155" t="str">
            <v>L</v>
          </cell>
        </row>
        <row r="156">
          <cell r="B156" t="str">
            <v>Externally financed capex</v>
          </cell>
          <cell r="D156">
            <v>0.47</v>
          </cell>
          <cell r="E156" t="str">
            <v>Concessional loans</v>
          </cell>
          <cell r="CO156" t="str">
            <v>L</v>
          </cell>
        </row>
        <row r="157">
          <cell r="B157" t="str">
            <v>Externally financed capex</v>
          </cell>
          <cell r="D157">
            <v>0.47</v>
          </cell>
          <cell r="E157" t="str">
            <v>Concessional loans</v>
          </cell>
          <cell r="CO157" t="str">
            <v>L</v>
          </cell>
        </row>
        <row r="158">
          <cell r="B158" t="str">
            <v>Externally financed capex</v>
          </cell>
          <cell r="D158">
            <v>0.47</v>
          </cell>
          <cell r="E158" t="str">
            <v>Concessional loans</v>
          </cell>
          <cell r="CO158" t="str">
            <v>L</v>
          </cell>
        </row>
        <row r="159">
          <cell r="B159" t="str">
            <v>Externally financed capex</v>
          </cell>
          <cell r="D159">
            <v>0.47</v>
          </cell>
          <cell r="E159" t="str">
            <v>Concessional loans</v>
          </cell>
          <cell r="CO159" t="str">
            <v>L</v>
          </cell>
        </row>
        <row r="160">
          <cell r="B160" t="str">
            <v>Externally financed capex</v>
          </cell>
          <cell r="D160">
            <v>0.47</v>
          </cell>
          <cell r="E160" t="str">
            <v>Concessional loans</v>
          </cell>
          <cell r="CO160" t="str">
            <v>L</v>
          </cell>
        </row>
        <row r="161">
          <cell r="B161" t="str">
            <v>Externally financed capex</v>
          </cell>
          <cell r="D161">
            <v>0.4</v>
          </cell>
          <cell r="E161" t="str">
            <v>Concessional loans</v>
          </cell>
          <cell r="CO161" t="str">
            <v>L</v>
          </cell>
        </row>
        <row r="162">
          <cell r="B162" t="str">
            <v>Externally financed capex</v>
          </cell>
          <cell r="D162">
            <v>0.4</v>
          </cell>
          <cell r="E162" t="str">
            <v>Concessional loans</v>
          </cell>
          <cell r="CO162" t="str">
            <v>L</v>
          </cell>
        </row>
        <row r="163">
          <cell r="B163" t="str">
            <v>Externally financed capex</v>
          </cell>
          <cell r="D163">
            <v>0.4</v>
          </cell>
          <cell r="E163" t="str">
            <v>Concessional loans</v>
          </cell>
          <cell r="CO163" t="str">
            <v>L</v>
          </cell>
        </row>
        <row r="164">
          <cell r="B164" t="str">
            <v>Externally financed capex</v>
          </cell>
          <cell r="D164">
            <v>0.4</v>
          </cell>
          <cell r="E164" t="str">
            <v>Concessional loans</v>
          </cell>
          <cell r="CO164" t="str">
            <v>L</v>
          </cell>
        </row>
        <row r="165">
          <cell r="B165" t="str">
            <v>Externally financed capex</v>
          </cell>
          <cell r="D165">
            <v>0.4</v>
          </cell>
          <cell r="E165" t="str">
            <v>Concessional loans</v>
          </cell>
          <cell r="CO165" t="str">
            <v>L</v>
          </cell>
        </row>
        <row r="166">
          <cell r="B166" t="str">
            <v>Externally financed capex</v>
          </cell>
          <cell r="D166">
            <v>0.4</v>
          </cell>
          <cell r="E166" t="str">
            <v>Concessional loans</v>
          </cell>
          <cell r="CO166" t="str">
            <v>L</v>
          </cell>
        </row>
        <row r="167">
          <cell r="B167" t="str">
            <v>Externally financed capex</v>
          </cell>
          <cell r="D167">
            <v>0.47</v>
          </cell>
          <cell r="E167" t="str">
            <v>Concessional loans</v>
          </cell>
          <cell r="CO167" t="str">
            <v>L</v>
          </cell>
        </row>
        <row r="168">
          <cell r="B168" t="str">
            <v>Externally financed capex</v>
          </cell>
          <cell r="D168">
            <v>0.47</v>
          </cell>
          <cell r="E168" t="str">
            <v>Concessional loans</v>
          </cell>
          <cell r="CO168" t="str">
            <v>L</v>
          </cell>
        </row>
        <row r="169">
          <cell r="B169" t="str">
            <v>Externally financed capex</v>
          </cell>
          <cell r="D169">
            <v>0.47</v>
          </cell>
          <cell r="E169" t="str">
            <v>Concessional loans</v>
          </cell>
          <cell r="CO169" t="str">
            <v>L</v>
          </cell>
        </row>
        <row r="170">
          <cell r="B170" t="str">
            <v>Externally financed capex</v>
          </cell>
          <cell r="D170">
            <v>0.47</v>
          </cell>
          <cell r="E170" t="str">
            <v>Concessional loans</v>
          </cell>
          <cell r="CO170" t="str">
            <v>L</v>
          </cell>
        </row>
        <row r="171">
          <cell r="B171" t="str">
            <v>Externally financed capex</v>
          </cell>
          <cell r="D171">
            <v>0.47</v>
          </cell>
          <cell r="E171" t="str">
            <v>Concessional loans</v>
          </cell>
          <cell r="CO171" t="str">
            <v>L</v>
          </cell>
        </row>
        <row r="172">
          <cell r="B172" t="str">
            <v>Externally financed capex</v>
          </cell>
          <cell r="D172">
            <v>0.47</v>
          </cell>
          <cell r="E172" t="str">
            <v>Concessional loans</v>
          </cell>
          <cell r="CO172" t="str">
            <v>L</v>
          </cell>
        </row>
        <row r="173">
          <cell r="B173" t="str">
            <v>Externally financed capex</v>
          </cell>
          <cell r="D173">
            <v>0.47</v>
          </cell>
          <cell r="E173" t="str">
            <v>Concessional loans</v>
          </cell>
          <cell r="CO173" t="str">
            <v>L</v>
          </cell>
        </row>
        <row r="174">
          <cell r="B174" t="str">
            <v>Externally financed capex</v>
          </cell>
          <cell r="D174">
            <v>0.47</v>
          </cell>
          <cell r="E174" t="str">
            <v>Concessional loans</v>
          </cell>
          <cell r="CO174" t="str">
            <v>L</v>
          </cell>
        </row>
        <row r="175">
          <cell r="B175" t="str">
            <v>Externally financed capex</v>
          </cell>
          <cell r="D175">
            <v>0.47</v>
          </cell>
          <cell r="E175" t="str">
            <v>Concessional loans</v>
          </cell>
          <cell r="CO175" t="str">
            <v>L</v>
          </cell>
        </row>
        <row r="176">
          <cell r="B176" t="str">
            <v>Externally financed capex</v>
          </cell>
          <cell r="D176">
            <v>0.47</v>
          </cell>
          <cell r="E176" t="str">
            <v>Concessional loans</v>
          </cell>
          <cell r="CO176" t="str">
            <v>L</v>
          </cell>
        </row>
        <row r="177">
          <cell r="B177" t="str">
            <v>Externally financed capex</v>
          </cell>
          <cell r="D177">
            <v>0.47</v>
          </cell>
          <cell r="E177" t="str">
            <v>Concessional loans</v>
          </cell>
          <cell r="CO177" t="str">
            <v>L</v>
          </cell>
        </row>
        <row r="178">
          <cell r="B178" t="str">
            <v>Externally financed capex</v>
          </cell>
          <cell r="D178">
            <v>0.47</v>
          </cell>
          <cell r="E178" t="str">
            <v>Concessional loans</v>
          </cell>
          <cell r="CO178" t="str">
            <v>L</v>
          </cell>
        </row>
        <row r="179">
          <cell r="B179" t="str">
            <v>Externally financed capex</v>
          </cell>
          <cell r="D179">
            <v>0.47</v>
          </cell>
          <cell r="E179" t="str">
            <v>Concessional loans</v>
          </cell>
          <cell r="CO179" t="str">
            <v>L</v>
          </cell>
        </row>
        <row r="180">
          <cell r="B180" t="str">
            <v>Externally financed capex</v>
          </cell>
          <cell r="D180">
            <v>0.47</v>
          </cell>
          <cell r="E180" t="str">
            <v>Concessional loans</v>
          </cell>
          <cell r="CO180" t="str">
            <v>L</v>
          </cell>
        </row>
        <row r="181">
          <cell r="B181" t="str">
            <v>Externally financed capex</v>
          </cell>
          <cell r="D181">
            <v>0.47</v>
          </cell>
          <cell r="E181" t="str">
            <v>Concessional loans</v>
          </cell>
          <cell r="CO181" t="str">
            <v>L</v>
          </cell>
        </row>
        <row r="182">
          <cell r="B182" t="str">
            <v>Externally financed capex</v>
          </cell>
          <cell r="D182">
            <v>0.47</v>
          </cell>
          <cell r="E182" t="str">
            <v>Concessional loans</v>
          </cell>
          <cell r="CO182" t="str">
            <v>L</v>
          </cell>
        </row>
        <row r="183">
          <cell r="B183" t="str">
            <v>Externally financed capex</v>
          </cell>
          <cell r="D183">
            <v>0.47</v>
          </cell>
          <cell r="E183" t="str">
            <v>Concessional loans</v>
          </cell>
          <cell r="CO183" t="str">
            <v>L</v>
          </cell>
        </row>
        <row r="184">
          <cell r="B184" t="str">
            <v>Externally financed capex</v>
          </cell>
          <cell r="D184">
            <v>0.47</v>
          </cell>
          <cell r="E184" t="str">
            <v>Concessional loans</v>
          </cell>
          <cell r="CO184" t="str">
            <v>L</v>
          </cell>
        </row>
        <row r="185">
          <cell r="B185" t="str">
            <v>Externally financed capex</v>
          </cell>
          <cell r="D185">
            <v>0.47</v>
          </cell>
          <cell r="E185" t="str">
            <v>Concessional loans</v>
          </cell>
          <cell r="CO185" t="str">
            <v>L</v>
          </cell>
        </row>
        <row r="186">
          <cell r="B186" t="str">
            <v>Externally financed capex</v>
          </cell>
          <cell r="D186">
            <v>0.47</v>
          </cell>
          <cell r="E186" t="str">
            <v>Concessional loans</v>
          </cell>
          <cell r="CO186" t="str">
            <v>L</v>
          </cell>
        </row>
        <row r="187">
          <cell r="B187" t="str">
            <v>Externally financed capex</v>
          </cell>
          <cell r="D187">
            <v>0.47</v>
          </cell>
          <cell r="E187" t="str">
            <v>Concessional loans</v>
          </cell>
          <cell r="CO187" t="str">
            <v>L</v>
          </cell>
        </row>
        <row r="188">
          <cell r="B188" t="str">
            <v>Externally financed capex</v>
          </cell>
          <cell r="D188">
            <v>0.4</v>
          </cell>
          <cell r="E188" t="str">
            <v>Concessional loans</v>
          </cell>
          <cell r="CO188" t="str">
            <v>L</v>
          </cell>
        </row>
        <row r="189">
          <cell r="B189" t="str">
            <v>Externally financed capex</v>
          </cell>
          <cell r="D189">
            <v>0.4</v>
          </cell>
          <cell r="E189" t="str">
            <v>Concessional loans</v>
          </cell>
          <cell r="CO189" t="str">
            <v>L</v>
          </cell>
        </row>
        <row r="190">
          <cell r="B190" t="str">
            <v>Externally financed capex</v>
          </cell>
          <cell r="D190">
            <v>0.4</v>
          </cell>
          <cell r="E190" t="str">
            <v>Concessional loans</v>
          </cell>
          <cell r="CO190" t="str">
            <v>L</v>
          </cell>
        </row>
        <row r="191">
          <cell r="B191" t="str">
            <v>Externally financed capex</v>
          </cell>
          <cell r="D191">
            <v>0.47</v>
          </cell>
          <cell r="E191" t="str">
            <v>Concessional loans</v>
          </cell>
          <cell r="CO191" t="str">
            <v>L</v>
          </cell>
        </row>
        <row r="192">
          <cell r="B192" t="str">
            <v>Externally financed capex</v>
          </cell>
          <cell r="D192">
            <v>0.4</v>
          </cell>
          <cell r="E192" t="str">
            <v>Concessional loans</v>
          </cell>
          <cell r="CO192" t="str">
            <v>L</v>
          </cell>
        </row>
        <row r="193">
          <cell r="B193" t="str">
            <v>Externally financed capex</v>
          </cell>
          <cell r="D193">
            <v>0.4</v>
          </cell>
          <cell r="E193" t="str">
            <v>Concessional loans</v>
          </cell>
          <cell r="CO193" t="str">
            <v>L</v>
          </cell>
        </row>
        <row r="194">
          <cell r="B194" t="str">
            <v>Externally financed capex</v>
          </cell>
          <cell r="D194">
            <v>0.36</v>
          </cell>
          <cell r="E194" t="str">
            <v>Concessional loans</v>
          </cell>
          <cell r="CO194" t="str">
            <v>L</v>
          </cell>
        </row>
        <row r="195">
          <cell r="B195" t="str">
            <v>Externally financed capex</v>
          </cell>
          <cell r="D195">
            <v>0.47</v>
          </cell>
          <cell r="E195" t="str">
            <v>Concessional loans</v>
          </cell>
          <cell r="CO195" t="str">
            <v>L</v>
          </cell>
        </row>
        <row r="196">
          <cell r="B196" t="str">
            <v>Externally financed capex</v>
          </cell>
          <cell r="D196">
            <v>0.47</v>
          </cell>
          <cell r="E196" t="str">
            <v>Concessional loans</v>
          </cell>
          <cell r="CO196" t="str">
            <v>L</v>
          </cell>
        </row>
        <row r="197">
          <cell r="B197" t="str">
            <v>Externally financed capex</v>
          </cell>
          <cell r="D197">
            <v>0.47</v>
          </cell>
          <cell r="E197" t="str">
            <v>Concessional loans</v>
          </cell>
          <cell r="CO197" t="str">
            <v>L</v>
          </cell>
        </row>
        <row r="198">
          <cell r="B198" t="str">
            <v>Externally financed capex</v>
          </cell>
          <cell r="D198">
            <v>0.4</v>
          </cell>
          <cell r="E198" t="str">
            <v>Concessional loans</v>
          </cell>
          <cell r="CO198" t="str">
            <v>L</v>
          </cell>
        </row>
        <row r="199">
          <cell r="B199" t="str">
            <v>Externally financed capex</v>
          </cell>
          <cell r="D199">
            <v>0.47</v>
          </cell>
          <cell r="E199" t="str">
            <v>Concessional loans</v>
          </cell>
          <cell r="CO199" t="str">
            <v>L</v>
          </cell>
        </row>
        <row r="200">
          <cell r="B200" t="str">
            <v>Externally financed capex</v>
          </cell>
          <cell r="D200">
            <v>0.47</v>
          </cell>
          <cell r="E200" t="str">
            <v>Concessional loans</v>
          </cell>
          <cell r="CO200" t="str">
            <v>L</v>
          </cell>
        </row>
        <row r="201">
          <cell r="B201" t="str">
            <v>Externally financed capex</v>
          </cell>
          <cell r="D201">
            <v>0.47</v>
          </cell>
          <cell r="E201" t="str">
            <v>Concessional loans</v>
          </cell>
          <cell r="CO201" t="str">
            <v>L</v>
          </cell>
        </row>
        <row r="202">
          <cell r="B202" t="str">
            <v>Externally financed capex</v>
          </cell>
          <cell r="D202">
            <v>0.47</v>
          </cell>
          <cell r="E202" t="str">
            <v>Concessional loans</v>
          </cell>
          <cell r="CO202" t="str">
            <v>L</v>
          </cell>
        </row>
        <row r="203">
          <cell r="B203" t="str">
            <v>Externally financed capex</v>
          </cell>
          <cell r="D203">
            <v>0.47</v>
          </cell>
          <cell r="E203" t="str">
            <v>Concessional loans</v>
          </cell>
          <cell r="CO203" t="str">
            <v>L</v>
          </cell>
        </row>
        <row r="204">
          <cell r="B204" t="str">
            <v>Externally financed capex</v>
          </cell>
          <cell r="D204">
            <v>0.47</v>
          </cell>
          <cell r="E204" t="str">
            <v>Concessional loans</v>
          </cell>
          <cell r="CO204" t="str">
            <v>L</v>
          </cell>
        </row>
        <row r="205">
          <cell r="B205" t="str">
            <v>Externally financed capex</v>
          </cell>
          <cell r="D205">
            <v>0.47</v>
          </cell>
          <cell r="E205" t="str">
            <v>Concessional loans</v>
          </cell>
          <cell r="CO205" t="str">
            <v>L</v>
          </cell>
        </row>
        <row r="206">
          <cell r="B206" t="str">
            <v>Externally financed capex</v>
          </cell>
          <cell r="D206">
            <v>0.47</v>
          </cell>
          <cell r="E206" t="str">
            <v>Concessional loans</v>
          </cell>
          <cell r="CO206" t="str">
            <v>L</v>
          </cell>
        </row>
        <row r="207">
          <cell r="B207" t="str">
            <v>Externally financed capex</v>
          </cell>
          <cell r="D207">
            <v>0.47</v>
          </cell>
          <cell r="E207" t="str">
            <v>Concessional loans</v>
          </cell>
          <cell r="CO207" t="str">
            <v>L</v>
          </cell>
        </row>
        <row r="208">
          <cell r="B208" t="str">
            <v>Externally financed capex</v>
          </cell>
          <cell r="D208">
            <v>0.47</v>
          </cell>
          <cell r="E208" t="str">
            <v>Concessional loans</v>
          </cell>
          <cell r="CO208" t="str">
            <v>L</v>
          </cell>
        </row>
        <row r="209">
          <cell r="B209" t="str">
            <v>Externally financed capex</v>
          </cell>
          <cell r="D209">
            <v>0.47</v>
          </cell>
          <cell r="E209" t="str">
            <v>Concessional loans</v>
          </cell>
          <cell r="CO209" t="str">
            <v>L</v>
          </cell>
        </row>
        <row r="210">
          <cell r="B210" t="str">
            <v>Externally financed capex</v>
          </cell>
          <cell r="D210">
            <v>0.47</v>
          </cell>
          <cell r="E210" t="str">
            <v>Concessional loans</v>
          </cell>
          <cell r="CO210" t="str">
            <v>L</v>
          </cell>
        </row>
        <row r="211">
          <cell r="B211" t="str">
            <v>Externally financed capex</v>
          </cell>
          <cell r="D211">
            <v>0.47</v>
          </cell>
          <cell r="E211" t="str">
            <v>Concessional loans</v>
          </cell>
          <cell r="CO211" t="str">
            <v>L</v>
          </cell>
        </row>
        <row r="212">
          <cell r="B212" t="str">
            <v>Externally financed capex</v>
          </cell>
          <cell r="D212">
            <v>0.47</v>
          </cell>
          <cell r="E212" t="str">
            <v>Concessional loans</v>
          </cell>
          <cell r="CO212" t="str">
            <v>L</v>
          </cell>
        </row>
        <row r="213">
          <cell r="B213" t="str">
            <v>Externally financed capex</v>
          </cell>
          <cell r="D213">
            <v>0.47</v>
          </cell>
          <cell r="E213" t="str">
            <v>Concessional loans</v>
          </cell>
          <cell r="CO213" t="str">
            <v>L</v>
          </cell>
        </row>
        <row r="214">
          <cell r="B214" t="str">
            <v>Externally financed capex</v>
          </cell>
          <cell r="D214">
            <v>0.47</v>
          </cell>
          <cell r="E214" t="str">
            <v>Concessional loans</v>
          </cell>
          <cell r="CO214" t="str">
            <v>L</v>
          </cell>
        </row>
        <row r="215">
          <cell r="B215" t="str">
            <v>Externally financed capex</v>
          </cell>
          <cell r="D215">
            <v>0.47</v>
          </cell>
          <cell r="E215" t="str">
            <v>Concessional loans</v>
          </cell>
          <cell r="CO215" t="str">
            <v>L</v>
          </cell>
        </row>
        <row r="216">
          <cell r="B216" t="str">
            <v>Externally financed capex</v>
          </cell>
          <cell r="D216">
            <v>0.47</v>
          </cell>
          <cell r="E216" t="str">
            <v>Concessional loans</v>
          </cell>
          <cell r="CO216" t="str">
            <v>L</v>
          </cell>
        </row>
        <row r="217">
          <cell r="B217" t="str">
            <v>Externally financed capex</v>
          </cell>
          <cell r="D217">
            <v>1</v>
          </cell>
          <cell r="E217" t="str">
            <v>Grants</v>
          </cell>
          <cell r="CO217" t="str">
            <v>G</v>
          </cell>
        </row>
        <row r="218">
          <cell r="B218" t="str">
            <v>Externally financed capex</v>
          </cell>
          <cell r="D218">
            <v>1</v>
          </cell>
          <cell r="E218" t="str">
            <v>Grants</v>
          </cell>
          <cell r="CO218" t="str">
            <v>G</v>
          </cell>
        </row>
        <row r="219">
          <cell r="B219" t="str">
            <v>Externally financed capex</v>
          </cell>
          <cell r="D219">
            <v>1</v>
          </cell>
          <cell r="E219" t="str">
            <v>Grants</v>
          </cell>
          <cell r="CO219" t="str">
            <v>G</v>
          </cell>
        </row>
        <row r="220">
          <cell r="B220" t="str">
            <v>Externally financed capex</v>
          </cell>
          <cell r="D220">
            <v>1</v>
          </cell>
          <cell r="E220" t="str">
            <v>Grants</v>
          </cell>
          <cell r="CO220" t="str">
            <v>G</v>
          </cell>
        </row>
        <row r="221">
          <cell r="B221" t="str">
            <v>Externally financed capex</v>
          </cell>
          <cell r="D221">
            <v>1</v>
          </cell>
          <cell r="E221" t="str">
            <v>Grants</v>
          </cell>
          <cell r="CO221" t="str">
            <v>G</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MDAMYC"/>
      <sheetName val="Definitions_MDAProjectDetails"/>
      <sheetName val="Definitions_MDAProjectNarrative"/>
      <sheetName val="Pivot Tables - Hidden"/>
      <sheetName val="Project List"/>
      <sheetName val="MTEF Check"/>
      <sheetName val="MDAProjectDetails"/>
      <sheetName val="MDAProjectNarrative"/>
      <sheetName val="MDAsProjectsMaster"/>
      <sheetName val="Dropdowns"/>
      <sheetName val="MTEF 20-21"/>
      <sheetName val="MTEF 21-22"/>
      <sheetName val="MTEF 22-23"/>
      <sheetName val="External MTEF 23-25 "/>
      <sheetName val="Dropdowns2"/>
      <sheetName val="ProjectsBudget"/>
      <sheetName val="MDAs"/>
      <sheetName val="MYC Template Uganda Workshop v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ns"/>
      <sheetName val="revenue"/>
      <sheetName val="GOU spending"/>
      <sheetName val="projects"/>
      <sheetName val="ext debt service"/>
      <sheetName val="fiscal shs"/>
      <sheetName val="fiscal%GDP"/>
      <sheetName val="fiscal xHIPC"/>
      <sheetName val="monetary "/>
      <sheetName val="BoP "/>
      <sheetName val="BOU fx cashflow"/>
      <sheetName val="fiscal impulse"/>
      <sheetName val="SEI "/>
      <sheetName val="dashboard"/>
      <sheetName val="dashboard data"/>
    </sheetNames>
    <sheetDataSet>
      <sheetData sheetId="0"/>
      <sheetData sheetId="1">
        <row r="3">
          <cell r="C3" t="str">
            <v>2000/1</v>
          </cell>
          <cell r="D3" t="str">
            <v>2001/2</v>
          </cell>
          <cell r="E3" t="str">
            <v>2002/3</v>
          </cell>
          <cell r="F3" t="str">
            <v>2003/4</v>
          </cell>
          <cell r="G3" t="str">
            <v>2004/5</v>
          </cell>
          <cell r="H3" t="str">
            <v>2005/6</v>
          </cell>
          <cell r="I3" t="str">
            <v>2006/7</v>
          </cell>
          <cell r="J3" t="str">
            <v>2007/8</v>
          </cell>
          <cell r="K3" t="str">
            <v>2008/9</v>
          </cell>
          <cell r="L3" t="str">
            <v>2009/10</v>
          </cell>
          <cell r="M3" t="str">
            <v>2010/11</v>
          </cell>
          <cell r="N3" t="str">
            <v>2011/12</v>
          </cell>
          <cell r="O3" t="str">
            <v>2012/13</v>
          </cell>
          <cell r="P3" t="str">
            <v>2013/14</v>
          </cell>
          <cell r="Q3" t="str">
            <v>2014/15</v>
          </cell>
          <cell r="R3" t="str">
            <v>2015/16</v>
          </cell>
          <cell r="S3" t="str">
            <v>2016/17</v>
          </cell>
          <cell r="T3" t="str">
            <v>2017/18</v>
          </cell>
          <cell r="U3" t="str">
            <v>2018/19</v>
          </cell>
          <cell r="V3" t="str">
            <v>2019/20</v>
          </cell>
          <cell r="W3" t="str">
            <v>2020/21</v>
          </cell>
          <cell r="X3" t="str">
            <v>2021/22</v>
          </cell>
          <cell r="Y3" t="str">
            <v>2022/23</v>
          </cell>
          <cell r="Z3" t="str">
            <v>2023/24</v>
          </cell>
        </row>
      </sheetData>
      <sheetData sheetId="2"/>
      <sheetData sheetId="3">
        <row r="3">
          <cell r="T3">
            <v>612</v>
          </cell>
        </row>
      </sheetData>
      <sheetData sheetId="4">
        <row r="21">
          <cell r="E21">
            <v>213.59894812335949</v>
          </cell>
        </row>
      </sheetData>
      <sheetData sheetId="5">
        <row r="16">
          <cell r="C16">
            <v>53.295788945591241</v>
          </cell>
        </row>
      </sheetData>
      <sheetData sheetId="6">
        <row r="5">
          <cell r="Q5">
            <v>11059.112038022891</v>
          </cell>
        </row>
      </sheetData>
      <sheetData sheetId="7">
        <row r="5">
          <cell r="Q5">
            <v>0.11046212012289182</v>
          </cell>
        </row>
      </sheetData>
      <sheetData sheetId="8">
        <row r="5">
          <cell r="B5">
            <v>9772.8659561755903</v>
          </cell>
        </row>
      </sheetData>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Hierachy"/>
      <sheetName val="Relationships"/>
      <sheetName val="Scenario 1 - Ceilings"/>
      <sheetName val="Scenario 1 - at 51"/>
      <sheetName val="Scenario 3 - at 48"/>
      <sheetName val="Scenario 3 - at 48_rough"/>
      <sheetName val="Scenario 2 - at 48_Final"/>
      <sheetName val="Input 2 - MYCS Proj22-23"/>
      <sheetName val="Input 3 - MYCS PIVOT"/>
      <sheetName val="Input 3 - MYCS PIVOT_L"/>
      <sheetName val="NDPIII PIAP Reprioritisation"/>
      <sheetName val="Votes"/>
      <sheetName val="NDPIII PIAP Reprioritisatio (2)"/>
      <sheetName val="PIVOT"/>
      <sheetName val="Scenario 2 - Cei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Reduced</v>
          </cell>
          <cell r="B1" t="str">
            <v>Exists</v>
          </cell>
          <cell r="C1" t="str">
            <v>Code</v>
          </cell>
          <cell r="D1" t="str">
            <v>Vote code</v>
          </cell>
          <cell r="E1" t="str">
            <v>Vote name</v>
          </cell>
        </row>
        <row r="2">
          <cell r="A2" t="str">
            <v>OP</v>
          </cell>
          <cell r="B2" t="b">
            <v>1</v>
          </cell>
          <cell r="C2" t="str">
            <v>001 Office of the President</v>
          </cell>
          <cell r="D2" t="str">
            <v>001</v>
          </cell>
          <cell r="E2" t="str">
            <v>Office of the President</v>
          </cell>
        </row>
        <row r="3">
          <cell r="A3" t="str">
            <v>OP (OWC)</v>
          </cell>
          <cell r="B3" t="b">
            <v>1</v>
          </cell>
          <cell r="C3" t="str">
            <v>001 Office of the President</v>
          </cell>
          <cell r="D3" t="str">
            <v>001</v>
          </cell>
          <cell r="E3" t="str">
            <v>Office of the President</v>
          </cell>
        </row>
        <row r="4">
          <cell r="A4" t="str">
            <v>ISO</v>
          </cell>
          <cell r="B4" t="b">
            <v>0</v>
          </cell>
          <cell r="C4" t="str">
            <v>158 Internal Security Organisation</v>
          </cell>
          <cell r="D4" t="str">
            <v>158</v>
          </cell>
          <cell r="E4" t="str">
            <v>Internal Security Organisation</v>
          </cell>
        </row>
        <row r="5">
          <cell r="A5" t="str">
            <v>OP (Cabinet Secretariat)</v>
          </cell>
          <cell r="B5" t="b">
            <v>1</v>
          </cell>
          <cell r="C5" t="str">
            <v>001 Office of the President</v>
          </cell>
          <cell r="D5"/>
        </row>
        <row r="6">
          <cell r="A6" t="str">
            <v>State House</v>
          </cell>
          <cell r="B6" t="b">
            <v>1</v>
          </cell>
          <cell r="C6" t="str">
            <v>002 State House</v>
          </cell>
          <cell r="D6" t="str">
            <v>002</v>
          </cell>
          <cell r="E6" t="str">
            <v>State House</v>
          </cell>
        </row>
        <row r="7">
          <cell r="A7" t="str">
            <v>OPM</v>
          </cell>
          <cell r="B7" t="b">
            <v>1</v>
          </cell>
          <cell r="C7" t="str">
            <v>003 Office of the Prime Minister</v>
          </cell>
          <cell r="D7" t="str">
            <v>003</v>
          </cell>
          <cell r="E7" t="str">
            <v>Office of the Prime Minister</v>
          </cell>
        </row>
        <row r="8">
          <cell r="A8" t="str">
            <v>OPM (OWC)</v>
          </cell>
          <cell r="B8" t="b">
            <v>0</v>
          </cell>
          <cell r="C8" t="str">
            <v>003 Office of the Prime Minister</v>
          </cell>
          <cell r="D8"/>
        </row>
        <row r="9">
          <cell r="A9" t="str">
            <v>MoDVA</v>
          </cell>
          <cell r="B9" t="b">
            <v>1</v>
          </cell>
          <cell r="C9" t="str">
            <v>004 Ministry of Defence and Veteran Affairs</v>
          </cell>
          <cell r="D9" t="str">
            <v>004</v>
          </cell>
          <cell r="E9" t="str">
            <v>Ministry of Defence and Veteran Affairs</v>
          </cell>
        </row>
        <row r="10">
          <cell r="A10" t="str">
            <v>MoPS</v>
          </cell>
          <cell r="B10" t="b">
            <v>1</v>
          </cell>
          <cell r="C10" t="str">
            <v>005 Ministry of Public Service</v>
          </cell>
          <cell r="D10" t="str">
            <v>005</v>
          </cell>
          <cell r="E10" t="str">
            <v>Ministry of Public Service</v>
          </cell>
        </row>
        <row r="11">
          <cell r="A11" t="str">
            <v>MoFA</v>
          </cell>
          <cell r="B11" t="b">
            <v>1</v>
          </cell>
          <cell r="C11" t="str">
            <v>006 Ministry of Foreign Affairs</v>
          </cell>
          <cell r="D11" t="str">
            <v>006</v>
          </cell>
          <cell r="E11" t="str">
            <v>Ministry of Foreign Affairs</v>
          </cell>
        </row>
        <row r="12">
          <cell r="A12" t="str">
            <v>MoJCA</v>
          </cell>
          <cell r="B12" t="b">
            <v>1</v>
          </cell>
          <cell r="C12" t="str">
            <v>007 Ministry of Justice and Constitutional Affairs</v>
          </cell>
          <cell r="D12" t="str">
            <v>007</v>
          </cell>
          <cell r="E12" t="str">
            <v>Ministry of Justice and Constitutional Affairs</v>
          </cell>
        </row>
        <row r="13">
          <cell r="A13" t="str">
            <v>MoJCA (CADER)</v>
          </cell>
          <cell r="B13" t="b">
            <v>0</v>
          </cell>
          <cell r="C13" t="str">
            <v>007 Ministry of Justice and Constitutional Affairs</v>
          </cell>
          <cell r="D13"/>
        </row>
        <row r="14">
          <cell r="A14" t="str">
            <v>MoFPED</v>
          </cell>
          <cell r="B14" t="b">
            <v>1</v>
          </cell>
          <cell r="C14" t="str">
            <v>008 Ministry of Finance, Planning &amp; Economic Dev.</v>
          </cell>
          <cell r="D14" t="str">
            <v>008</v>
          </cell>
          <cell r="E14" t="str">
            <v>Ministry of Finance, Planning &amp; Economic Dev.</v>
          </cell>
        </row>
        <row r="15">
          <cell r="A15" t="str">
            <v>UFZA</v>
          </cell>
          <cell r="B15" t="b">
            <v>0</v>
          </cell>
          <cell r="C15" t="str">
            <v>008 Ministry of Finance, Planning &amp; Economic Dev.</v>
          </cell>
          <cell r="D15"/>
        </row>
        <row r="16">
          <cell r="A16" t="str">
            <v>MoFPED (OWC)</v>
          </cell>
          <cell r="B16" t="b">
            <v>0</v>
          </cell>
          <cell r="C16" t="str">
            <v>008 Ministry of Finance, Planning &amp; Economic Dev.</v>
          </cell>
          <cell r="D16"/>
        </row>
        <row r="17">
          <cell r="A17" t="str">
            <v>IRA</v>
          </cell>
          <cell r="B17" t="b">
            <v>0</v>
          </cell>
          <cell r="C17" t="str">
            <v>008 Ministry of Finance, Planning &amp; Economic Dev.</v>
          </cell>
          <cell r="D17"/>
        </row>
        <row r="18">
          <cell r="A18" t="str">
            <v>UDB</v>
          </cell>
          <cell r="B18" t="b">
            <v>0</v>
          </cell>
          <cell r="C18" t="str">
            <v>008 Ministry of Finance, Planning &amp; Economic Dev.</v>
          </cell>
          <cell r="D18"/>
        </row>
        <row r="19">
          <cell r="A19" t="str">
            <v>MoFPED (PPPU)</v>
          </cell>
          <cell r="B19" t="b">
            <v>1</v>
          </cell>
          <cell r="C19" t="str">
            <v>008 Ministry of Finance, Planning &amp; Economic Dev.</v>
          </cell>
          <cell r="D19"/>
        </row>
        <row r="20">
          <cell r="A20" t="str">
            <v>MoFPED (URBRA)</v>
          </cell>
          <cell r="B20" t="b">
            <v>1</v>
          </cell>
          <cell r="C20" t="str">
            <v>008 Ministry of Finance, Planning &amp; Economic Dev.</v>
          </cell>
          <cell r="D20"/>
        </row>
        <row r="21">
          <cell r="A21" t="str">
            <v>MoFPED (CMA)</v>
          </cell>
          <cell r="B21" t="b">
            <v>1</v>
          </cell>
          <cell r="C21" t="str">
            <v>008 Ministry of Finance, Planning &amp; Economic Dev.</v>
          </cell>
          <cell r="D21"/>
        </row>
        <row r="22">
          <cell r="A22" t="str">
            <v>MoFPED (MSC)</v>
          </cell>
          <cell r="B22" t="b">
            <v>1</v>
          </cell>
          <cell r="C22" t="str">
            <v>008 Ministry of Finance, Planning &amp; Economic Dev.</v>
          </cell>
          <cell r="D22"/>
        </row>
        <row r="23">
          <cell r="A23" t="str">
            <v>MoFPED (Enterprise Uganda)</v>
          </cell>
          <cell r="B23" t="b">
            <v>1</v>
          </cell>
          <cell r="C23" t="str">
            <v>008 Ministry of Finance, Planning &amp; Economic Dev.</v>
          </cell>
          <cell r="D23"/>
        </row>
        <row r="24">
          <cell r="A24" t="str">
            <v>MoFPED (EPRC)</v>
          </cell>
          <cell r="B24" t="b">
            <v>1</v>
          </cell>
          <cell r="C24" t="str">
            <v>008 Ministry of Finance, Planning &amp; Economic Dev.</v>
          </cell>
          <cell r="D24"/>
        </row>
        <row r="25">
          <cell r="A25" t="str">
            <v>MoFPED (TAT)</v>
          </cell>
          <cell r="B25" t="b">
            <v>1</v>
          </cell>
          <cell r="C25" t="str">
            <v>008 Ministry of Finance, Planning &amp; Economic Dev.</v>
          </cell>
          <cell r="D25"/>
        </row>
        <row r="26">
          <cell r="A26" t="str">
            <v>MoFPED (PSFU)</v>
          </cell>
          <cell r="B26" t="b">
            <v>1</v>
          </cell>
          <cell r="C26" t="str">
            <v>008 Ministry of Finance, Planning &amp; Economic Dev.</v>
          </cell>
          <cell r="D26"/>
        </row>
        <row r="27">
          <cell r="A27" t="str">
            <v>MoIA</v>
          </cell>
          <cell r="B27" t="b">
            <v>1</v>
          </cell>
          <cell r="C27" t="str">
            <v>009 Ministry of Internal Affairs</v>
          </cell>
          <cell r="D27" t="str">
            <v>009</v>
          </cell>
          <cell r="E27" t="str">
            <v>Ministry of Internal Affairs</v>
          </cell>
        </row>
        <row r="28">
          <cell r="A28" t="str">
            <v>DCIC</v>
          </cell>
          <cell r="B28" t="b">
            <v>0</v>
          </cell>
          <cell r="C28" t="str">
            <v>120 National Citizenship and Immigration Control</v>
          </cell>
          <cell r="D28"/>
        </row>
        <row r="29">
          <cell r="C29"/>
          <cell r="D29"/>
        </row>
        <row r="30">
          <cell r="A30" t="str">
            <v>MAAIF</v>
          </cell>
          <cell r="B30" t="b">
            <v>1</v>
          </cell>
          <cell r="C30" t="str">
            <v>010 Ministry of Agriculture, Animal &amp; Fisheries</v>
          </cell>
          <cell r="D30" t="str">
            <v>010</v>
          </cell>
          <cell r="E30" t="str">
            <v>Ministry of Agriculture, Animal &amp; Fisheries</v>
          </cell>
        </row>
        <row r="31">
          <cell r="A31" t="str">
            <v>MAAIF (OWC)</v>
          </cell>
          <cell r="B31" t="b">
            <v>0</v>
          </cell>
          <cell r="C31" t="str">
            <v>010 Ministry of Agriculture, Animal &amp; Fisheries</v>
          </cell>
          <cell r="D31"/>
        </row>
        <row r="32">
          <cell r="A32" t="str">
            <v>UWRSA</v>
          </cell>
          <cell r="B32" t="b">
            <v>0</v>
          </cell>
          <cell r="C32" t="str">
            <v>010 Ministry of Agriculture, Animal &amp; Fisheries</v>
          </cell>
          <cell r="D32"/>
        </row>
        <row r="33">
          <cell r="A33" t="str">
            <v>MoLG</v>
          </cell>
          <cell r="B33" t="b">
            <v>1</v>
          </cell>
          <cell r="C33" t="str">
            <v>011 Ministry of Local Government</v>
          </cell>
          <cell r="D33" t="str">
            <v>011</v>
          </cell>
          <cell r="E33" t="str">
            <v>Ministry of Local Government</v>
          </cell>
        </row>
        <row r="34">
          <cell r="A34" t="str">
            <v>MoLHUD</v>
          </cell>
          <cell r="B34" t="b">
            <v>1</v>
          </cell>
          <cell r="C34" t="str">
            <v>012 Ministry of Lands, Housing &amp; Urban Development</v>
          </cell>
          <cell r="D34" t="str">
            <v>012</v>
          </cell>
          <cell r="E34" t="str">
            <v>Ministry of Lands, Housing &amp; Urban Development</v>
          </cell>
        </row>
        <row r="35">
          <cell r="A35" t="str">
            <v>MoES</v>
          </cell>
          <cell r="B35" t="b">
            <v>1</v>
          </cell>
          <cell r="C35" t="str">
            <v>013 Ministry of Education and Sports</v>
          </cell>
          <cell r="D35" t="str">
            <v>013</v>
          </cell>
          <cell r="E35" t="str">
            <v>Ministry of Education and Sports</v>
          </cell>
        </row>
        <row r="36">
          <cell r="A36" t="str">
            <v>MoES (NCHE)</v>
          </cell>
          <cell r="B36" t="b">
            <v>1</v>
          </cell>
          <cell r="C36" t="str">
            <v>013 Ministry of Education and Sports</v>
          </cell>
          <cell r="D36"/>
        </row>
        <row r="37">
          <cell r="A37" t="str">
            <v>MoES (Public Universities)</v>
          </cell>
          <cell r="B37" t="b">
            <v>1</v>
          </cell>
          <cell r="C37" t="str">
            <v>013 Ministry of Education and Sports</v>
          </cell>
          <cell r="D37"/>
        </row>
        <row r="38">
          <cell r="A38" t="str">
            <v>MoES (Universities)</v>
          </cell>
          <cell r="B38" t="b">
            <v>1</v>
          </cell>
          <cell r="C38" t="str">
            <v>013 Ministry of Education and Sports</v>
          </cell>
          <cell r="D38"/>
        </row>
        <row r="39">
          <cell r="A39" t="str">
            <v>MoH</v>
          </cell>
          <cell r="B39" t="b">
            <v>1</v>
          </cell>
          <cell r="C39" t="str">
            <v>014 Ministry of Health</v>
          </cell>
          <cell r="D39" t="str">
            <v>014</v>
          </cell>
          <cell r="E39" t="str">
            <v>Ministry of Health</v>
          </cell>
        </row>
        <row r="40">
          <cell r="A40" t="str">
            <v>MoH (NDA)</v>
          </cell>
          <cell r="B40" t="b">
            <v>1</v>
          </cell>
          <cell r="C40" t="str">
            <v>014 Ministry of Health</v>
          </cell>
          <cell r="D40"/>
        </row>
        <row r="41">
          <cell r="A41" t="str">
            <v>MoH (National Referrals)</v>
          </cell>
          <cell r="B41" t="b">
            <v>1</v>
          </cell>
          <cell r="C41" t="str">
            <v>014 Ministry of Health</v>
          </cell>
          <cell r="D41"/>
        </row>
        <row r="42">
          <cell r="A42" t="str">
            <v>MoH (Referral Hospitals)</v>
          </cell>
          <cell r="B42" t="b">
            <v>1</v>
          </cell>
          <cell r="C42" t="str">
            <v>014 Ministry of Health</v>
          </cell>
          <cell r="D42"/>
        </row>
        <row r="43">
          <cell r="A43" t="str">
            <v>MoTIC</v>
          </cell>
          <cell r="B43" t="b">
            <v>1</v>
          </cell>
          <cell r="C43" t="str">
            <v>015 Ministry of Trade, Industry and Cooperatives</v>
          </cell>
          <cell r="D43" t="str">
            <v>015</v>
          </cell>
          <cell r="E43" t="str">
            <v>Ministry of Trade, Industry and Cooperatives</v>
          </cell>
        </row>
        <row r="44">
          <cell r="A44" t="str">
            <v>UDC</v>
          </cell>
          <cell r="B44" t="b">
            <v>0</v>
          </cell>
          <cell r="C44" t="str">
            <v>015 Ministry of Trade, Industry and Cooperatives</v>
          </cell>
          <cell r="D44"/>
        </row>
        <row r="45">
          <cell r="A45" t="str">
            <v>MoTIC (OWC)</v>
          </cell>
          <cell r="B45" t="b">
            <v>0</v>
          </cell>
          <cell r="C45" t="str">
            <v>015 Ministry of Trade, Industry and Cooperatives</v>
          </cell>
          <cell r="D45"/>
        </row>
        <row r="46">
          <cell r="A46" t="str">
            <v>MoTIC (UWRSA)</v>
          </cell>
          <cell r="B46" t="b">
            <v>1</v>
          </cell>
          <cell r="C46" t="str">
            <v>015 Ministry of Trade, Industry and Cooperatives</v>
          </cell>
          <cell r="D46"/>
        </row>
        <row r="47">
          <cell r="A47" t="str">
            <v>MoWT</v>
          </cell>
          <cell r="B47" t="b">
            <v>1</v>
          </cell>
          <cell r="C47" t="str">
            <v>016 Ministry of Works and Transport</v>
          </cell>
          <cell r="D47" t="str">
            <v>016</v>
          </cell>
          <cell r="E47" t="str">
            <v>Ministry of Works and Transport</v>
          </cell>
        </row>
        <row r="48">
          <cell r="A48" t="str">
            <v>MoWT (URC)</v>
          </cell>
          <cell r="B48" t="b">
            <v>1</v>
          </cell>
          <cell r="C48" t="str">
            <v>016 Ministry of Works and Transport</v>
          </cell>
          <cell r="D48"/>
        </row>
        <row r="49">
          <cell r="A49" t="str">
            <v>MoWT (UCAA)</v>
          </cell>
          <cell r="B49" t="b">
            <v>1</v>
          </cell>
          <cell r="C49" t="str">
            <v>016 Ministry of Works and Transport</v>
          </cell>
          <cell r="D49"/>
        </row>
        <row r="50">
          <cell r="A50" t="str">
            <v>MoWT (EACAA)</v>
          </cell>
          <cell r="B50" t="b">
            <v>1</v>
          </cell>
          <cell r="C50" t="str">
            <v>016 Ministry of Works and Transport</v>
          </cell>
          <cell r="D50"/>
        </row>
        <row r="51">
          <cell r="A51" t="str">
            <v>MoWT (UNACOL)</v>
          </cell>
          <cell r="B51" t="b">
            <v>1</v>
          </cell>
          <cell r="C51" t="str">
            <v>016 Ministry of Works and Transport</v>
          </cell>
          <cell r="D51"/>
        </row>
        <row r="52">
          <cell r="A52" t="str">
            <v>MoWT (NBRB)</v>
          </cell>
          <cell r="B52" t="b">
            <v>1</v>
          </cell>
          <cell r="C52" t="str">
            <v>016 Ministry of Works and Transport</v>
          </cell>
          <cell r="D52"/>
        </row>
        <row r="53">
          <cell r="A53" t="str">
            <v>MEMD</v>
          </cell>
          <cell r="B53" t="b">
            <v>1</v>
          </cell>
          <cell r="C53" t="str">
            <v>017 Ministry of Energy and Mineral Development</v>
          </cell>
          <cell r="D53" t="str">
            <v>017</v>
          </cell>
          <cell r="E53" t="str">
            <v>Ministry of Energy and Mineral Development</v>
          </cell>
        </row>
        <row r="54">
          <cell r="A54" t="str">
            <v>DGSM</v>
          </cell>
          <cell r="B54" t="b">
            <v>0</v>
          </cell>
          <cell r="C54" t="str">
            <v>017 Ministry of Energy and Mineral Development</v>
          </cell>
          <cell r="D54"/>
        </row>
        <row r="55">
          <cell r="A55" t="str">
            <v>MEMD (UEGCL)</v>
          </cell>
          <cell r="B55" t="b">
            <v>1</v>
          </cell>
          <cell r="C55" t="str">
            <v>017 Ministry of Energy and Mineral Development</v>
          </cell>
          <cell r="D55"/>
        </row>
        <row r="56">
          <cell r="A56" t="str">
            <v>MEMD (UETCL)</v>
          </cell>
          <cell r="B56" t="b">
            <v>1</v>
          </cell>
          <cell r="C56" t="str">
            <v>017 Ministry of Energy and Mineral Development</v>
          </cell>
          <cell r="D56"/>
        </row>
        <row r="57">
          <cell r="A57" t="str">
            <v>MEMD (UEDCL)</v>
          </cell>
          <cell r="B57" t="b">
            <v>1</v>
          </cell>
          <cell r="C57" t="str">
            <v>017 Ministry of Energy and Mineral Development</v>
          </cell>
          <cell r="D57"/>
        </row>
        <row r="58">
          <cell r="A58" t="str">
            <v>MEMD (UECCC)</v>
          </cell>
          <cell r="B58" t="b">
            <v>1</v>
          </cell>
          <cell r="C58" t="str">
            <v>017 Ministry of Energy and Mineral Development</v>
          </cell>
          <cell r="D58"/>
        </row>
        <row r="59">
          <cell r="A59" t="str">
            <v>MEMD (AEC)</v>
          </cell>
          <cell r="B59" t="b">
            <v>1</v>
          </cell>
          <cell r="C59" t="str">
            <v>017 Ministry of Energy and Mineral Development</v>
          </cell>
          <cell r="D59"/>
        </row>
        <row r="60">
          <cell r="A60" t="str">
            <v>MEMD (ERA)</v>
          </cell>
          <cell r="B60" t="b">
            <v>1</v>
          </cell>
          <cell r="C60" t="str">
            <v>017 Ministry of Energy and Mineral Development</v>
          </cell>
          <cell r="D60"/>
        </row>
        <row r="61">
          <cell r="A61" t="str">
            <v>MoGLSD</v>
          </cell>
          <cell r="B61" t="b">
            <v>1</v>
          </cell>
          <cell r="C61" t="str">
            <v>018 Ministry of Gender, Labour and Social Development</v>
          </cell>
          <cell r="D61" t="str">
            <v>018</v>
          </cell>
          <cell r="E61" t="str">
            <v>Ministry of Gender, Labour and Social Development</v>
          </cell>
        </row>
        <row r="62">
          <cell r="A62" t="str">
            <v>MoGLSD (UNCC)</v>
          </cell>
          <cell r="B62" t="b">
            <v>1</v>
          </cell>
          <cell r="C62" t="str">
            <v>018 Ministry of Gender, Labour and Social Development</v>
          </cell>
          <cell r="D62"/>
        </row>
        <row r="63">
          <cell r="A63" t="str">
            <v>MoGLSD (OWC)</v>
          </cell>
          <cell r="B63" t="b">
            <v>0</v>
          </cell>
          <cell r="C63" t="str">
            <v>018 Ministry of Gender, Labour and Social Development</v>
          </cell>
          <cell r="D63"/>
        </row>
        <row r="64">
          <cell r="A64" t="str">
            <v>MoGLSD (NLU)</v>
          </cell>
          <cell r="B64" t="b">
            <v>1</v>
          </cell>
          <cell r="C64" t="str">
            <v>018 Ministry of Gender, Labour and Social Development</v>
          </cell>
          <cell r="D64"/>
        </row>
        <row r="65">
          <cell r="B65" t="b">
            <v>0</v>
          </cell>
          <cell r="C65" t="str">
            <v>018 Ministry of Gender, Labour and Social Development</v>
          </cell>
          <cell r="D65"/>
        </row>
        <row r="66">
          <cell r="B66" t="b">
            <v>0</v>
          </cell>
          <cell r="C66" t="str">
            <v>018 Ministry of Gender, Labour and Social Development</v>
          </cell>
          <cell r="D66"/>
        </row>
        <row r="67">
          <cell r="B67" t="b">
            <v>0</v>
          </cell>
          <cell r="C67" t="str">
            <v>018 Ministry of Gender, Labour and Social Development</v>
          </cell>
          <cell r="D67"/>
        </row>
        <row r="68">
          <cell r="C68"/>
          <cell r="D68"/>
        </row>
        <row r="69">
          <cell r="C69"/>
          <cell r="D69"/>
        </row>
        <row r="70">
          <cell r="A70" t="str">
            <v>MWE</v>
          </cell>
          <cell r="B70" t="b">
            <v>1</v>
          </cell>
          <cell r="C70" t="str">
            <v>019 Ministry of Water and Environment</v>
          </cell>
          <cell r="D70" t="str">
            <v>019</v>
          </cell>
          <cell r="E70" t="str">
            <v>Ministry of Water and Environment</v>
          </cell>
        </row>
        <row r="71">
          <cell r="A71" t="str">
            <v>MWE (DWRM)</v>
          </cell>
          <cell r="B71" t="b">
            <v>1</v>
          </cell>
          <cell r="C71" t="str">
            <v>019 Ministry of Water and Environment</v>
          </cell>
          <cell r="D71"/>
        </row>
        <row r="72">
          <cell r="A72" t="str">
            <v>MWE (NWSC)</v>
          </cell>
          <cell r="B72" t="b">
            <v>1</v>
          </cell>
          <cell r="C72" t="str">
            <v>019 Ministry of Water and Environment</v>
          </cell>
          <cell r="D72"/>
        </row>
        <row r="73">
          <cell r="A73" t="str">
            <v>MoICT&amp;NG</v>
          </cell>
          <cell r="B73" t="b">
            <v>1</v>
          </cell>
          <cell r="C73" t="str">
            <v>020 Ministry of ICT and National Guidance</v>
          </cell>
          <cell r="D73" t="str">
            <v>020</v>
          </cell>
          <cell r="E73" t="str">
            <v>Ministry of ICT and National Guidance</v>
          </cell>
        </row>
        <row r="74">
          <cell r="A74" t="str">
            <v>MoICT&amp;NG (OWC)</v>
          </cell>
          <cell r="B74" t="b">
            <v>0</v>
          </cell>
          <cell r="C74" t="str">
            <v>020 Ministry of ICT and National Guidance</v>
          </cell>
          <cell r="D74"/>
        </row>
        <row r="75">
          <cell r="A75" t="str">
            <v>MoICT&amp;NG (SIGNET)</v>
          </cell>
          <cell r="B75" t="b">
            <v>1</v>
          </cell>
          <cell r="C75" t="str">
            <v>020 Ministry of ICT and National Guidance</v>
          </cell>
          <cell r="D75"/>
        </row>
        <row r="76">
          <cell r="A76" t="str">
            <v>MoICT&amp;NG (UBC)</v>
          </cell>
          <cell r="B76" t="b">
            <v>1</v>
          </cell>
          <cell r="C76" t="str">
            <v>020 Ministry of ICT and National Guidance</v>
          </cell>
          <cell r="D76"/>
        </row>
        <row r="77">
          <cell r="A77" t="str">
            <v>MoICT&amp;NG (UCC)</v>
          </cell>
          <cell r="B77" t="b">
            <v>1</v>
          </cell>
          <cell r="C77" t="str">
            <v>020 Ministry of ICT and National Guidance</v>
          </cell>
          <cell r="D77"/>
        </row>
        <row r="78">
          <cell r="A78" t="str">
            <v>MoICT&amp;NG (UICT)</v>
          </cell>
          <cell r="B78" t="b">
            <v>1</v>
          </cell>
          <cell r="C78" t="str">
            <v>020 Ministry of ICT and National Guidance</v>
          </cell>
          <cell r="D78"/>
        </row>
        <row r="79">
          <cell r="A79" t="str">
            <v>MoICT&amp;NG (POSTA)</v>
          </cell>
          <cell r="B79" t="b">
            <v>1</v>
          </cell>
          <cell r="C79" t="str">
            <v>020 Ministry of ICT and National Guidance</v>
          </cell>
          <cell r="D79"/>
        </row>
        <row r="80">
          <cell r="A80" t="str">
            <v>MEACA</v>
          </cell>
          <cell r="B80" t="b">
            <v>1</v>
          </cell>
          <cell r="C80" t="str">
            <v>021 Ministry of East African Community Affairs Uganda</v>
          </cell>
          <cell r="D80" t="str">
            <v>021</v>
          </cell>
          <cell r="E80" t="str">
            <v>Ministry of East African Community Affairs Uganda</v>
          </cell>
        </row>
        <row r="81">
          <cell r="A81" t="str">
            <v>MoTWA</v>
          </cell>
          <cell r="B81" t="b">
            <v>1</v>
          </cell>
          <cell r="C81" t="str">
            <v>022 Ministry of Tourism, Wildlife and Antiquities</v>
          </cell>
          <cell r="D81" t="str">
            <v>022</v>
          </cell>
          <cell r="E81" t="str">
            <v>Ministry of Tourism, Wildlife and Antiquities</v>
          </cell>
        </row>
        <row r="82">
          <cell r="A82" t="str">
            <v>MoTWA (UWEC)</v>
          </cell>
          <cell r="B82" t="b">
            <v>1</v>
          </cell>
          <cell r="C82" t="str">
            <v>022 Ministry of Tourism, Wildlife and Antiquities</v>
          </cell>
          <cell r="D82"/>
        </row>
        <row r="83">
          <cell r="A83" t="str">
            <v>MoTWA (UHTTI)</v>
          </cell>
          <cell r="B83" t="b">
            <v>1</v>
          </cell>
          <cell r="C83" t="str">
            <v>022 Ministry of Tourism, Wildlife and Antiquities</v>
          </cell>
          <cell r="D83"/>
        </row>
        <row r="84">
          <cell r="A84" t="str">
            <v>MoTWA (UWA)</v>
          </cell>
          <cell r="B84" t="b">
            <v>1</v>
          </cell>
          <cell r="C84" t="str">
            <v>022 Ministry of Tourism, Wildlife and Antiquities</v>
          </cell>
          <cell r="D84"/>
        </row>
        <row r="85">
          <cell r="A85" t="str">
            <v>MoTWA (UWRTI)</v>
          </cell>
          <cell r="B85" t="b">
            <v>1</v>
          </cell>
          <cell r="C85" t="str">
            <v>022 Ministry of Tourism, Wildlife and Antiquities</v>
          </cell>
          <cell r="D85"/>
        </row>
        <row r="86">
          <cell r="A86" t="str">
            <v>MoSTI</v>
          </cell>
          <cell r="B86" t="b">
            <v>1</v>
          </cell>
          <cell r="C86" t="str">
            <v>023 Ministry of Science,Technology and Innovation</v>
          </cell>
          <cell r="D86" t="str">
            <v>023</v>
          </cell>
          <cell r="E86" t="str">
            <v>Ministry of Science,Technology and Innovation</v>
          </cell>
        </row>
        <row r="87">
          <cell r="A87" t="str">
            <v>MoSTI (UNCST)</v>
          </cell>
          <cell r="B87" t="b">
            <v>1</v>
          </cell>
          <cell r="C87" t="str">
            <v>023 Ministry of Science,Technology and Innovation</v>
          </cell>
          <cell r="D87"/>
        </row>
        <row r="88">
          <cell r="A88" t="str">
            <v>MoSTI (KMC)</v>
          </cell>
          <cell r="B88" t="b">
            <v>1</v>
          </cell>
          <cell r="C88" t="str">
            <v>023 Ministry of Science,Technology and Innovation</v>
          </cell>
          <cell r="D88"/>
        </row>
        <row r="89">
          <cell r="A89" t="str">
            <v>Judiciary</v>
          </cell>
          <cell r="B89" t="b">
            <v>0</v>
          </cell>
          <cell r="C89" t="str">
            <v>101 Judiciary</v>
          </cell>
          <cell r="D89" t="str">
            <v>101</v>
          </cell>
          <cell r="E89" t="str">
            <v>Judiciary</v>
          </cell>
        </row>
        <row r="90">
          <cell r="A90" t="str">
            <v>EC</v>
          </cell>
          <cell r="B90" t="b">
            <v>0</v>
          </cell>
          <cell r="C90" t="str">
            <v>102 Electoral Commission</v>
          </cell>
          <cell r="D90" t="str">
            <v>102</v>
          </cell>
          <cell r="E90" t="str">
            <v>Electoral Commission</v>
          </cell>
        </row>
        <row r="91">
          <cell r="A91" t="str">
            <v>IG</v>
          </cell>
          <cell r="B91" t="b">
            <v>1</v>
          </cell>
          <cell r="C91" t="str">
            <v>103 Inspectorate of Government (IG)</v>
          </cell>
          <cell r="D91" t="str">
            <v>103</v>
          </cell>
          <cell r="E91" t="str">
            <v>Inspectorate of Government (IG)</v>
          </cell>
        </row>
        <row r="92">
          <cell r="A92" t="str">
            <v>PC</v>
          </cell>
          <cell r="B92" t="b">
            <v>0</v>
          </cell>
          <cell r="C92" t="str">
            <v>104 Parliamentary Commission</v>
          </cell>
          <cell r="D92" t="str">
            <v>104</v>
          </cell>
          <cell r="E92" t="str">
            <v>Parliamentary Commission</v>
          </cell>
        </row>
        <row r="93">
          <cell r="A93" t="str">
            <v>IPS</v>
          </cell>
          <cell r="B93" t="b">
            <v>0</v>
          </cell>
          <cell r="C93" t="str">
            <v>104 Parliamentary Commission</v>
          </cell>
          <cell r="D93" t="str">
            <v>104</v>
          </cell>
          <cell r="E93" t="str">
            <v>Parliamentary Commission</v>
          </cell>
        </row>
        <row r="94">
          <cell r="A94" t="str">
            <v>ULRC</v>
          </cell>
          <cell r="B94" t="b">
            <v>0</v>
          </cell>
          <cell r="C94" t="str">
            <v>105 Law Reform Commission</v>
          </cell>
          <cell r="D94" t="str">
            <v>105</v>
          </cell>
          <cell r="E94" t="str">
            <v>Law Reform Commission</v>
          </cell>
        </row>
        <row r="95">
          <cell r="A95" t="str">
            <v>UHRC</v>
          </cell>
          <cell r="B95" t="b">
            <v>0</v>
          </cell>
          <cell r="C95" t="str">
            <v>106 Uganda Human Rights Commission</v>
          </cell>
          <cell r="D95" t="str">
            <v>106</v>
          </cell>
          <cell r="E95" t="str">
            <v>Uganda Human Rights Commission</v>
          </cell>
        </row>
        <row r="96">
          <cell r="A96" t="str">
            <v>UAC</v>
          </cell>
          <cell r="B96" t="b">
            <v>1</v>
          </cell>
          <cell r="C96" t="str">
            <v>107 Uganda AIDS Commission</v>
          </cell>
          <cell r="D96" t="str">
            <v>107</v>
          </cell>
          <cell r="E96" t="str">
            <v>Uganda AIDS Commission</v>
          </cell>
        </row>
        <row r="97">
          <cell r="A97" t="str">
            <v>NPA</v>
          </cell>
          <cell r="B97" t="b">
            <v>1</v>
          </cell>
          <cell r="C97" t="str">
            <v>108 National Planning Authority</v>
          </cell>
          <cell r="D97" t="str">
            <v>108</v>
          </cell>
          <cell r="E97" t="str">
            <v>National Planning Authority</v>
          </cell>
        </row>
        <row r="98">
          <cell r="A98" t="str">
            <v>NPA (OWC)</v>
          </cell>
          <cell r="B98" t="b">
            <v>0</v>
          </cell>
          <cell r="C98" t="str">
            <v>108 National Planning Authority</v>
          </cell>
          <cell r="D98"/>
        </row>
        <row r="99">
          <cell r="A99" t="str">
            <v>LDC</v>
          </cell>
          <cell r="B99" t="b">
            <v>0</v>
          </cell>
          <cell r="C99" t="str">
            <v>109 Law Development Centre</v>
          </cell>
          <cell r="D99" t="str">
            <v>109</v>
          </cell>
          <cell r="E99" t="str">
            <v>Law Development Centre</v>
          </cell>
        </row>
        <row r="100">
          <cell r="A100" t="str">
            <v>UIRI</v>
          </cell>
          <cell r="B100" t="b">
            <v>1</v>
          </cell>
          <cell r="C100" t="str">
            <v>110 Uganda Industrial Research Institute</v>
          </cell>
          <cell r="D100" t="str">
            <v>110</v>
          </cell>
          <cell r="E100" t="str">
            <v>Uganda Industrial Research Institute</v>
          </cell>
        </row>
        <row r="101">
          <cell r="B101" t="b">
            <v>0</v>
          </cell>
          <cell r="C101" t="str">
            <v>111 Busitema University</v>
          </cell>
          <cell r="D101" t="str">
            <v>111</v>
          </cell>
          <cell r="E101" t="str">
            <v>Busitema University</v>
          </cell>
        </row>
        <row r="102">
          <cell r="A102" t="str">
            <v>DEI</v>
          </cell>
          <cell r="B102" t="b">
            <v>1</v>
          </cell>
          <cell r="C102" t="str">
            <v>112 Ethics and Integrity</v>
          </cell>
          <cell r="D102" t="str">
            <v>112</v>
          </cell>
          <cell r="E102" t="str">
            <v>Ethics and Integrity</v>
          </cell>
        </row>
        <row r="103">
          <cell r="A103" t="str">
            <v>UNRA</v>
          </cell>
          <cell r="B103" t="b">
            <v>1</v>
          </cell>
          <cell r="C103" t="str">
            <v>113 Uganda National Roads Authority</v>
          </cell>
          <cell r="D103" t="str">
            <v>113</v>
          </cell>
          <cell r="E103" t="str">
            <v>Uganda National Roads Authority</v>
          </cell>
        </row>
        <row r="104">
          <cell r="A104" t="str">
            <v>UCI</v>
          </cell>
          <cell r="B104" t="b">
            <v>1</v>
          </cell>
          <cell r="C104" t="str">
            <v>114 Uganda Cancer Institute</v>
          </cell>
          <cell r="D104" t="str">
            <v>114</v>
          </cell>
          <cell r="E104" t="str">
            <v>Uganda Cancer Institute</v>
          </cell>
        </row>
        <row r="105">
          <cell r="A105" t="str">
            <v>UHI</v>
          </cell>
          <cell r="B105" t="b">
            <v>1</v>
          </cell>
          <cell r="C105" t="str">
            <v>115 Uganda Heart Institute</v>
          </cell>
          <cell r="D105" t="str">
            <v>115</v>
          </cell>
          <cell r="E105" t="str">
            <v>Uganda Heart Institute</v>
          </cell>
        </row>
        <row r="106">
          <cell r="A106" t="str">
            <v>NMS</v>
          </cell>
          <cell r="B106" t="b">
            <v>1</v>
          </cell>
          <cell r="C106" t="str">
            <v>116 National Medical Stores</v>
          </cell>
          <cell r="D106" t="str">
            <v>116</v>
          </cell>
          <cell r="E106" t="str">
            <v>National Medical Stores</v>
          </cell>
        </row>
        <row r="107">
          <cell r="A107" t="str">
            <v>UTB</v>
          </cell>
          <cell r="B107" t="b">
            <v>1</v>
          </cell>
          <cell r="C107" t="str">
            <v>117 Uganda Tourism Board</v>
          </cell>
          <cell r="D107" t="str">
            <v>117</v>
          </cell>
          <cell r="E107" t="str">
            <v>Uganda Tourism Board</v>
          </cell>
        </row>
        <row r="108">
          <cell r="A108" t="str">
            <v>URF</v>
          </cell>
          <cell r="B108" t="b">
            <v>1</v>
          </cell>
          <cell r="C108" t="str">
            <v>118 Uganda Road Fund</v>
          </cell>
          <cell r="D108" t="str">
            <v>118</v>
          </cell>
          <cell r="E108" t="str">
            <v>Uganda Road Fund</v>
          </cell>
        </row>
        <row r="109">
          <cell r="A109" t="str">
            <v>URSB</v>
          </cell>
          <cell r="B109" t="b">
            <v>1</v>
          </cell>
          <cell r="C109" t="str">
            <v>119 Uganda Registration Services Bureau</v>
          </cell>
          <cell r="D109" t="str">
            <v>119</v>
          </cell>
          <cell r="E109" t="str">
            <v>Uganda Registration Services Bureau</v>
          </cell>
        </row>
        <row r="110">
          <cell r="A110" t="str">
            <v>NCIC</v>
          </cell>
          <cell r="B110" t="b">
            <v>0</v>
          </cell>
          <cell r="C110" t="str">
            <v>120 National Citizenship and Immigration Control</v>
          </cell>
          <cell r="D110" t="str">
            <v>120</v>
          </cell>
          <cell r="E110" t="str">
            <v>National Citizenship and Immigration Control</v>
          </cell>
        </row>
        <row r="111">
          <cell r="A111" t="str">
            <v>DDA</v>
          </cell>
          <cell r="B111" t="b">
            <v>1</v>
          </cell>
          <cell r="C111" t="str">
            <v>121 Dairy Development Authority</v>
          </cell>
          <cell r="D111" t="str">
            <v>121</v>
          </cell>
          <cell r="E111" t="str">
            <v>Dairy Development Authority</v>
          </cell>
        </row>
        <row r="112">
          <cell r="A112" t="str">
            <v>KCCA</v>
          </cell>
          <cell r="B112" t="b">
            <v>1</v>
          </cell>
          <cell r="C112" t="str">
            <v>122 Kampala Capital City Authority</v>
          </cell>
          <cell r="D112" t="str">
            <v>122</v>
          </cell>
          <cell r="E112" t="str">
            <v>Kampala Capital City Authority</v>
          </cell>
        </row>
        <row r="113">
          <cell r="A113" t="str">
            <v>REA</v>
          </cell>
          <cell r="B113" t="b">
            <v>1</v>
          </cell>
          <cell r="C113" t="str">
            <v>123 Rural Electrification Agency (REA)</v>
          </cell>
          <cell r="D113" t="str">
            <v>123</v>
          </cell>
          <cell r="E113" t="str">
            <v>Rural Electrification Agency (REA)</v>
          </cell>
        </row>
        <row r="114">
          <cell r="A114" t="str">
            <v>EOC</v>
          </cell>
          <cell r="B114" t="b">
            <v>1</v>
          </cell>
          <cell r="C114" t="str">
            <v>124 Equal Opportunities Commission</v>
          </cell>
          <cell r="D114" t="str">
            <v>124</v>
          </cell>
          <cell r="E114" t="str">
            <v>Equal Opportunities Commission</v>
          </cell>
        </row>
        <row r="115">
          <cell r="A115" t="str">
            <v>NAGRC&amp;DB</v>
          </cell>
          <cell r="B115" t="b">
            <v>1</v>
          </cell>
          <cell r="C115" t="str">
            <v>125 National Animal Genetic Res. Centre and Data Bank</v>
          </cell>
          <cell r="D115" t="str">
            <v>125</v>
          </cell>
          <cell r="E115" t="str">
            <v>National Animal Genetic Res. Centre and Data Bank</v>
          </cell>
        </row>
        <row r="116">
          <cell r="A116" t="str">
            <v>NITA-U</v>
          </cell>
          <cell r="B116" t="b">
            <v>1</v>
          </cell>
          <cell r="C116" t="str">
            <v>126 National Information Technology Authority</v>
          </cell>
          <cell r="D116" t="str">
            <v>126</v>
          </cell>
          <cell r="E116" t="str">
            <v>National Information Technology Authority</v>
          </cell>
        </row>
        <row r="117">
          <cell r="B117" t="b">
            <v>0</v>
          </cell>
          <cell r="C117" t="str">
            <v>127 Muni University</v>
          </cell>
          <cell r="D117" t="str">
            <v>127</v>
          </cell>
          <cell r="E117" t="str">
            <v>Muni University</v>
          </cell>
        </row>
        <row r="118">
          <cell r="A118" t="str">
            <v>UNEB</v>
          </cell>
          <cell r="B118" t="b">
            <v>1</v>
          </cell>
          <cell r="C118" t="str">
            <v>128 Uganda National Examinations Board</v>
          </cell>
          <cell r="D118" t="str">
            <v>128</v>
          </cell>
          <cell r="E118" t="str">
            <v>Uganda National Examinations Board</v>
          </cell>
        </row>
        <row r="119">
          <cell r="A119" t="str">
            <v>FIA</v>
          </cell>
          <cell r="B119" t="b">
            <v>0</v>
          </cell>
          <cell r="C119" t="str">
            <v>129 Financial Intelligence Authority (FIA)</v>
          </cell>
          <cell r="D119" t="str">
            <v>129</v>
          </cell>
          <cell r="E119" t="str">
            <v>Financial Intelligence Authority (FIA)</v>
          </cell>
        </row>
        <row r="120">
          <cell r="B120" t="b">
            <v>0</v>
          </cell>
          <cell r="C120" t="str">
            <v>130 Treasury Operations</v>
          </cell>
          <cell r="D120" t="str">
            <v>130</v>
          </cell>
          <cell r="E120" t="str">
            <v>Treasury Operations</v>
          </cell>
        </row>
        <row r="121">
          <cell r="B121" t="b">
            <v>0</v>
          </cell>
          <cell r="C121" t="str">
            <v>130 Treasury Operations</v>
          </cell>
          <cell r="D121" t="str">
            <v>130</v>
          </cell>
          <cell r="E121" t="str">
            <v>Treasury Operations</v>
          </cell>
        </row>
        <row r="122">
          <cell r="A122" t="str">
            <v>OAG</v>
          </cell>
          <cell r="B122" t="b">
            <v>1</v>
          </cell>
          <cell r="C122" t="str">
            <v>131 Auditor General</v>
          </cell>
          <cell r="D122" t="str">
            <v>131</v>
          </cell>
          <cell r="E122" t="str">
            <v>Auditor General</v>
          </cell>
        </row>
        <row r="123">
          <cell r="A123" t="str">
            <v>ESC</v>
          </cell>
          <cell r="B123" t="b">
            <v>1</v>
          </cell>
          <cell r="C123" t="str">
            <v>132 Education Service Commission</v>
          </cell>
          <cell r="D123" t="str">
            <v>132</v>
          </cell>
          <cell r="E123" t="str">
            <v>Education Service Commission</v>
          </cell>
        </row>
        <row r="124">
          <cell r="A124" t="str">
            <v>ODPP</v>
          </cell>
          <cell r="B124" t="b">
            <v>0</v>
          </cell>
          <cell r="C124" t="str">
            <v>133 Office of the Director of Public Prosecutions</v>
          </cell>
          <cell r="D124" t="str">
            <v>133</v>
          </cell>
          <cell r="E124" t="str">
            <v>Office of the Director of Public Prosecutions</v>
          </cell>
        </row>
        <row r="125">
          <cell r="A125" t="str">
            <v>HSC</v>
          </cell>
          <cell r="B125" t="b">
            <v>1</v>
          </cell>
          <cell r="C125" t="str">
            <v>134 Health Service Commission</v>
          </cell>
          <cell r="D125" t="str">
            <v>134</v>
          </cell>
          <cell r="E125" t="str">
            <v>Health Service Commission</v>
          </cell>
        </row>
        <row r="126">
          <cell r="A126" t="str">
            <v>MUK</v>
          </cell>
          <cell r="B126" t="b">
            <v>1</v>
          </cell>
          <cell r="C126" t="str">
            <v>136 Makerere University</v>
          </cell>
          <cell r="D126" t="str">
            <v>136</v>
          </cell>
          <cell r="E126" t="str">
            <v>Makerere University</v>
          </cell>
        </row>
        <row r="127">
          <cell r="B127" t="b">
            <v>0</v>
          </cell>
          <cell r="C127" t="str">
            <v>137 Mbarara University</v>
          </cell>
          <cell r="D127" t="str">
            <v>137</v>
          </cell>
          <cell r="E127" t="str">
            <v>Mbarara University</v>
          </cell>
        </row>
        <row r="128">
          <cell r="B128" t="b">
            <v>0</v>
          </cell>
          <cell r="C128" t="str">
            <v>138 Makerere University Business School</v>
          </cell>
          <cell r="D128" t="str">
            <v>138</v>
          </cell>
          <cell r="E128" t="str">
            <v>Makerere University Business School</v>
          </cell>
        </row>
        <row r="129">
          <cell r="B129" t="b">
            <v>0</v>
          </cell>
          <cell r="C129" t="str">
            <v>139 Kyambogo University</v>
          </cell>
          <cell r="D129" t="str">
            <v>139</v>
          </cell>
          <cell r="E129" t="str">
            <v>Kyambogo University</v>
          </cell>
        </row>
        <row r="130">
          <cell r="A130" t="str">
            <v>UMI</v>
          </cell>
          <cell r="B130" t="b">
            <v>0</v>
          </cell>
          <cell r="C130" t="str">
            <v>140 Uganda Management Institute</v>
          </cell>
          <cell r="D130" t="str">
            <v>140</v>
          </cell>
          <cell r="E130" t="str">
            <v>Uganda Management Institute</v>
          </cell>
        </row>
        <row r="131">
          <cell r="A131" t="str">
            <v>URA</v>
          </cell>
          <cell r="B131" t="b">
            <v>1</v>
          </cell>
          <cell r="C131" t="str">
            <v>141 Uganda Revenue Authority</v>
          </cell>
          <cell r="D131" t="str">
            <v>141</v>
          </cell>
          <cell r="E131" t="str">
            <v>Uganda Revenue Authority</v>
          </cell>
        </row>
        <row r="132">
          <cell r="A132" t="str">
            <v>NARO</v>
          </cell>
          <cell r="B132" t="b">
            <v>1</v>
          </cell>
          <cell r="C132" t="str">
            <v>142 National Agricultural Research Organisation</v>
          </cell>
          <cell r="D132" t="str">
            <v>142</v>
          </cell>
          <cell r="E132" t="str">
            <v>National Agricultural Research Organisation</v>
          </cell>
        </row>
        <row r="133">
          <cell r="A133" t="str">
            <v>UBOS</v>
          </cell>
          <cell r="B133" t="b">
            <v>1</v>
          </cell>
          <cell r="C133" t="str">
            <v>143 Uganda Bureau of Statistics</v>
          </cell>
          <cell r="D133" t="str">
            <v>143</v>
          </cell>
          <cell r="E133" t="str">
            <v>Uganda Bureau of Statistics</v>
          </cell>
        </row>
        <row r="134">
          <cell r="A134" t="str">
            <v>UBOS (NPC)</v>
          </cell>
          <cell r="B134" t="b">
            <v>1</v>
          </cell>
          <cell r="C134" t="str">
            <v>143 Uganda Bureau of Statistics</v>
          </cell>
          <cell r="D134"/>
        </row>
        <row r="135">
          <cell r="A135" t="str">
            <v>UPF</v>
          </cell>
          <cell r="B135" t="b">
            <v>0</v>
          </cell>
          <cell r="C135" t="str">
            <v>144 Uganda Police Force</v>
          </cell>
          <cell r="D135" t="str">
            <v>144</v>
          </cell>
          <cell r="E135" t="str">
            <v>Uganda Police Force</v>
          </cell>
        </row>
        <row r="136">
          <cell r="A136" t="str">
            <v>UPS</v>
          </cell>
          <cell r="B136" t="b">
            <v>1</v>
          </cell>
          <cell r="C136" t="str">
            <v>145 Uganda Prisons</v>
          </cell>
          <cell r="D136" t="str">
            <v>145</v>
          </cell>
          <cell r="E136" t="str">
            <v>Uganda Prisons</v>
          </cell>
        </row>
        <row r="137">
          <cell r="A137" t="str">
            <v>PSC</v>
          </cell>
          <cell r="B137" t="b">
            <v>1</v>
          </cell>
          <cell r="C137" t="str">
            <v>146 Public Service Commission</v>
          </cell>
          <cell r="D137" t="str">
            <v>146</v>
          </cell>
          <cell r="E137" t="str">
            <v>Public Service Commission</v>
          </cell>
        </row>
        <row r="138">
          <cell r="A138" t="str">
            <v>LGFC</v>
          </cell>
          <cell r="B138" t="b">
            <v>1</v>
          </cell>
          <cell r="C138" t="str">
            <v>147 Local Government Finance Commission</v>
          </cell>
          <cell r="D138" t="str">
            <v>147</v>
          </cell>
          <cell r="E138" t="str">
            <v>Local Government Finance Commission</v>
          </cell>
        </row>
        <row r="139">
          <cell r="A139" t="str">
            <v>JSC</v>
          </cell>
          <cell r="B139" t="b">
            <v>1</v>
          </cell>
          <cell r="C139" t="str">
            <v>148 Judicial Service Commission</v>
          </cell>
          <cell r="D139" t="str">
            <v>148</v>
          </cell>
          <cell r="E139" t="str">
            <v>Judicial Service Commission</v>
          </cell>
        </row>
        <row r="140">
          <cell r="B140" t="b">
            <v>0</v>
          </cell>
          <cell r="C140" t="str">
            <v>149 Gulu University</v>
          </cell>
          <cell r="D140" t="str">
            <v>149</v>
          </cell>
          <cell r="E140" t="str">
            <v>Gulu University</v>
          </cell>
        </row>
        <row r="141">
          <cell r="A141" t="str">
            <v>NEMA</v>
          </cell>
          <cell r="B141" t="b">
            <v>1</v>
          </cell>
          <cell r="C141" t="str">
            <v>150 National Environment Management Authority</v>
          </cell>
          <cell r="D141" t="str">
            <v>150</v>
          </cell>
          <cell r="E141" t="str">
            <v>National Environment Management Authority</v>
          </cell>
        </row>
        <row r="142">
          <cell r="A142" t="str">
            <v>UBTS</v>
          </cell>
          <cell r="B142" t="b">
            <v>1</v>
          </cell>
          <cell r="C142" t="str">
            <v>151 Uganda Blood Transfusion Service (UBTS)</v>
          </cell>
          <cell r="D142" t="str">
            <v>151</v>
          </cell>
          <cell r="E142" t="str">
            <v>Uganda Blood Transfusion Service (UBTS)</v>
          </cell>
        </row>
        <row r="143">
          <cell r="A143" t="str">
            <v>NAADS</v>
          </cell>
          <cell r="B143" t="b">
            <v>0</v>
          </cell>
          <cell r="C143" t="str">
            <v>152 NAADS Secretariat</v>
          </cell>
          <cell r="D143" t="str">
            <v>152</v>
          </cell>
          <cell r="E143" t="str">
            <v>NAADS Secretariat</v>
          </cell>
        </row>
        <row r="144">
          <cell r="A144" t="str">
            <v>PPDA</v>
          </cell>
          <cell r="B144" t="b">
            <v>1</v>
          </cell>
          <cell r="C144" t="str">
            <v>153 Public Procurement and Disposal of Public Assets Authority</v>
          </cell>
          <cell r="D144" t="str">
            <v>153</v>
          </cell>
          <cell r="E144" t="str">
            <v>Public Procurement and Disposal of Public Assets Authority</v>
          </cell>
        </row>
        <row r="145">
          <cell r="A145" t="str">
            <v>UNBS</v>
          </cell>
          <cell r="B145" t="b">
            <v>1</v>
          </cell>
          <cell r="C145" t="str">
            <v>154 Uganda National Bureau of Standards</v>
          </cell>
          <cell r="D145" t="str">
            <v>154</v>
          </cell>
          <cell r="E145" t="str">
            <v>Uganda National Bureau of Standards</v>
          </cell>
        </row>
        <row r="146">
          <cell r="A146" t="str">
            <v>CDO</v>
          </cell>
          <cell r="B146" t="b">
            <v>1</v>
          </cell>
          <cell r="C146" t="str">
            <v>155 Uganda Cotton Development Organisation</v>
          </cell>
          <cell r="D146" t="str">
            <v>155</v>
          </cell>
          <cell r="E146" t="str">
            <v>Uganda Cotton Development Organisation</v>
          </cell>
        </row>
        <row r="147">
          <cell r="A147" t="str">
            <v>ULC</v>
          </cell>
          <cell r="B147" t="b">
            <v>1</v>
          </cell>
          <cell r="C147" t="str">
            <v>156 Uganda Land Commission</v>
          </cell>
          <cell r="D147" t="str">
            <v>156</v>
          </cell>
          <cell r="E147" t="str">
            <v>Uganda Land Commission</v>
          </cell>
        </row>
        <row r="148">
          <cell r="A148" t="str">
            <v>NFA</v>
          </cell>
          <cell r="B148" t="b">
            <v>1</v>
          </cell>
          <cell r="C148" t="str">
            <v>157 National Forestry Authority</v>
          </cell>
          <cell r="D148" t="str">
            <v>157</v>
          </cell>
          <cell r="E148" t="str">
            <v>National Forestry Authority</v>
          </cell>
        </row>
        <row r="149">
          <cell r="A149" t="str">
            <v>ESO</v>
          </cell>
          <cell r="B149" t="b">
            <v>0</v>
          </cell>
          <cell r="C149" t="str">
            <v>159 External Security Organisation</v>
          </cell>
          <cell r="D149" t="str">
            <v>159</v>
          </cell>
          <cell r="E149" t="str">
            <v>External Security Organisation</v>
          </cell>
        </row>
        <row r="150">
          <cell r="A150" t="str">
            <v>UCDA</v>
          </cell>
          <cell r="B150" t="b">
            <v>1</v>
          </cell>
          <cell r="C150" t="str">
            <v>160 Uganda Coffee Development Authority</v>
          </cell>
          <cell r="D150" t="str">
            <v>160</v>
          </cell>
          <cell r="E150" t="str">
            <v>Uganda Coffee Development Authority</v>
          </cell>
        </row>
        <row r="151">
          <cell r="B151" t="b">
            <v>0</v>
          </cell>
          <cell r="C151" t="str">
            <v>161 Mulago Hospital Complex</v>
          </cell>
          <cell r="D151" t="str">
            <v>161</v>
          </cell>
          <cell r="E151" t="str">
            <v>Mulago Hospital Complex</v>
          </cell>
        </row>
        <row r="152">
          <cell r="B152" t="b">
            <v>0</v>
          </cell>
          <cell r="C152" t="str">
            <v>162 Butabika Hospital</v>
          </cell>
          <cell r="D152" t="str">
            <v>162</v>
          </cell>
          <cell r="E152" t="str">
            <v>Butabika Hospital</v>
          </cell>
        </row>
        <row r="153">
          <cell r="B153" t="b">
            <v>0</v>
          </cell>
          <cell r="C153" t="str">
            <v>163 Arua Referral Hospital</v>
          </cell>
          <cell r="D153" t="str">
            <v>163</v>
          </cell>
          <cell r="E153" t="str">
            <v>Arua Referral Hospital</v>
          </cell>
        </row>
        <row r="154">
          <cell r="B154" t="b">
            <v>0</v>
          </cell>
          <cell r="C154" t="str">
            <v>164 Fort Portal Referral Hospital</v>
          </cell>
          <cell r="D154" t="str">
            <v>164</v>
          </cell>
          <cell r="E154" t="str">
            <v>Fort Portal Referral Hospital</v>
          </cell>
        </row>
        <row r="155">
          <cell r="B155" t="b">
            <v>0</v>
          </cell>
          <cell r="C155" t="str">
            <v>165 Gulu Referral Hospital</v>
          </cell>
          <cell r="D155" t="str">
            <v>165</v>
          </cell>
          <cell r="E155" t="str">
            <v>Gulu Referral Hospital</v>
          </cell>
        </row>
        <row r="156">
          <cell r="B156" t="b">
            <v>0</v>
          </cell>
          <cell r="C156" t="str">
            <v>166 Hoima Referral Hospital</v>
          </cell>
          <cell r="D156" t="str">
            <v>166</v>
          </cell>
          <cell r="E156" t="str">
            <v>Hoima Referral Hospital</v>
          </cell>
        </row>
        <row r="157">
          <cell r="B157" t="b">
            <v>0</v>
          </cell>
          <cell r="C157" t="str">
            <v>167 Jinja Referral Hospital</v>
          </cell>
          <cell r="D157" t="str">
            <v>167</v>
          </cell>
          <cell r="E157" t="str">
            <v>Jinja Referral Hospital</v>
          </cell>
        </row>
        <row r="158">
          <cell r="B158" t="b">
            <v>0</v>
          </cell>
          <cell r="C158" t="str">
            <v>168 Kabale Referral Hospital</v>
          </cell>
          <cell r="D158" t="str">
            <v>168</v>
          </cell>
          <cell r="E158" t="str">
            <v>Kabale Referral Hospital</v>
          </cell>
        </row>
        <row r="159">
          <cell r="B159" t="b">
            <v>0</v>
          </cell>
          <cell r="C159" t="str">
            <v>169 Masaka Referral Hospital</v>
          </cell>
          <cell r="D159" t="str">
            <v>169</v>
          </cell>
          <cell r="E159" t="str">
            <v>Masaka Referral Hospital</v>
          </cell>
        </row>
        <row r="160">
          <cell r="B160" t="b">
            <v>0</v>
          </cell>
          <cell r="C160" t="str">
            <v>170 Mbale Referral Hospital</v>
          </cell>
          <cell r="D160" t="str">
            <v>170</v>
          </cell>
          <cell r="E160" t="str">
            <v>Mbale Referral Hospital</v>
          </cell>
        </row>
        <row r="161">
          <cell r="B161" t="b">
            <v>0</v>
          </cell>
          <cell r="C161" t="str">
            <v>171 Soroti Referral Hospital</v>
          </cell>
          <cell r="D161" t="str">
            <v>171</v>
          </cell>
          <cell r="E161" t="str">
            <v>Soroti Referral Hospital</v>
          </cell>
        </row>
        <row r="162">
          <cell r="B162" t="b">
            <v>0</v>
          </cell>
          <cell r="C162" t="str">
            <v>172 Lira Referral Hospital</v>
          </cell>
          <cell r="D162" t="str">
            <v>172</v>
          </cell>
          <cell r="E162" t="str">
            <v>Lira Referral Hospital</v>
          </cell>
        </row>
        <row r="163">
          <cell r="B163" t="b">
            <v>0</v>
          </cell>
          <cell r="C163" t="str">
            <v>173 Mbarara Referral Hospital</v>
          </cell>
          <cell r="D163" t="str">
            <v>173</v>
          </cell>
          <cell r="E163" t="str">
            <v>Mbarara Referral Hospital</v>
          </cell>
        </row>
        <row r="164">
          <cell r="B164" t="b">
            <v>0</v>
          </cell>
          <cell r="C164" t="str">
            <v>174 Mubende Referral Hospital</v>
          </cell>
          <cell r="D164" t="str">
            <v>174</v>
          </cell>
          <cell r="E164" t="str">
            <v>Mubende Referral Hospital</v>
          </cell>
        </row>
        <row r="165">
          <cell r="B165" t="b">
            <v>0</v>
          </cell>
          <cell r="C165" t="str">
            <v>175 Moroto Referral Hospital</v>
          </cell>
          <cell r="D165" t="str">
            <v>175</v>
          </cell>
          <cell r="E165" t="str">
            <v>Moroto Referral Hospital</v>
          </cell>
        </row>
        <row r="166">
          <cell r="A166" t="str">
            <v>Naguru Referral Hospital</v>
          </cell>
          <cell r="B166" t="b">
            <v>1</v>
          </cell>
          <cell r="C166" t="str">
            <v>176 Naguru Referral Hospital</v>
          </cell>
          <cell r="D166" t="str">
            <v>176</v>
          </cell>
          <cell r="E166" t="str">
            <v>Naguru Referral Hospital</v>
          </cell>
        </row>
        <row r="167">
          <cell r="B167" t="b">
            <v>0</v>
          </cell>
          <cell r="C167" t="str">
            <v>177 Kiruddu Referral Hospital</v>
          </cell>
          <cell r="D167" t="str">
            <v>177</v>
          </cell>
          <cell r="E167" t="str">
            <v>Kiruddu Referral Hospital</v>
          </cell>
        </row>
        <row r="168">
          <cell r="B168" t="b">
            <v>0</v>
          </cell>
          <cell r="C168" t="str">
            <v>178 Kawempe Referral Hospital</v>
          </cell>
          <cell r="D168" t="str">
            <v>178</v>
          </cell>
          <cell r="E168" t="str">
            <v>Kawempe Referral Hospital</v>
          </cell>
        </row>
        <row r="169">
          <cell r="B169" t="b">
            <v>0</v>
          </cell>
          <cell r="C169" t="str">
            <v>179 Entebbe Regional Referral Hospital</v>
          </cell>
          <cell r="D169" t="str">
            <v>179</v>
          </cell>
          <cell r="E169" t="str">
            <v>Entebbe Regional Referral Hospital</v>
          </cell>
        </row>
        <row r="170">
          <cell r="B170" t="b">
            <v>0</v>
          </cell>
          <cell r="C170" t="str">
            <v>180 Mulago Specialized Women and Neonatal Hospital</v>
          </cell>
          <cell r="D170" t="str">
            <v>180</v>
          </cell>
          <cell r="E170" t="str">
            <v>Mulago Specialized Women and Neonatal Hospital</v>
          </cell>
        </row>
        <row r="171">
          <cell r="B171" t="b">
            <v>0</v>
          </cell>
          <cell r="C171" t="str">
            <v>201 Mission in New York</v>
          </cell>
          <cell r="D171" t="str">
            <v>201</v>
          </cell>
          <cell r="E171" t="str">
            <v>Mission in New York</v>
          </cell>
        </row>
        <row r="172">
          <cell r="B172" t="b">
            <v>0</v>
          </cell>
          <cell r="C172" t="str">
            <v>202 Mission in England</v>
          </cell>
          <cell r="D172" t="str">
            <v>202</v>
          </cell>
          <cell r="E172" t="str">
            <v>Mission in England</v>
          </cell>
        </row>
        <row r="173">
          <cell r="B173" t="b">
            <v>0</v>
          </cell>
          <cell r="C173" t="str">
            <v>203 Mission in Canada</v>
          </cell>
          <cell r="D173" t="str">
            <v>203</v>
          </cell>
          <cell r="E173" t="str">
            <v>Mission in Canada</v>
          </cell>
        </row>
        <row r="174">
          <cell r="B174" t="b">
            <v>0</v>
          </cell>
          <cell r="C174" t="str">
            <v>204 Mission in India</v>
          </cell>
          <cell r="D174" t="str">
            <v>204</v>
          </cell>
          <cell r="E174" t="str">
            <v>Mission in India</v>
          </cell>
        </row>
        <row r="175">
          <cell r="B175" t="b">
            <v>0</v>
          </cell>
          <cell r="C175" t="str">
            <v>205 Mission in Egypt</v>
          </cell>
          <cell r="D175" t="str">
            <v>205</v>
          </cell>
          <cell r="E175" t="str">
            <v>Mission in Egypt</v>
          </cell>
        </row>
        <row r="176">
          <cell r="B176" t="b">
            <v>0</v>
          </cell>
          <cell r="C176" t="str">
            <v>206 Mission in Kenya</v>
          </cell>
          <cell r="D176" t="str">
            <v>206</v>
          </cell>
          <cell r="E176" t="str">
            <v>Mission in Kenya</v>
          </cell>
        </row>
        <row r="177">
          <cell r="B177" t="b">
            <v>0</v>
          </cell>
          <cell r="C177" t="str">
            <v>207 Mission in Tanzania</v>
          </cell>
          <cell r="D177" t="str">
            <v>207</v>
          </cell>
          <cell r="E177" t="str">
            <v>Mission in Tanzania</v>
          </cell>
        </row>
        <row r="178">
          <cell r="B178" t="b">
            <v>0</v>
          </cell>
          <cell r="C178" t="str">
            <v>208 Mission in Nigeria</v>
          </cell>
          <cell r="D178" t="str">
            <v>208</v>
          </cell>
          <cell r="E178" t="str">
            <v>Mission in Nigeria</v>
          </cell>
        </row>
        <row r="179">
          <cell r="B179" t="b">
            <v>0</v>
          </cell>
          <cell r="C179" t="str">
            <v>209 Mission in South Africa</v>
          </cell>
          <cell r="D179" t="str">
            <v>209</v>
          </cell>
          <cell r="E179" t="str">
            <v>Mission in South Africa</v>
          </cell>
        </row>
        <row r="180">
          <cell r="B180" t="b">
            <v>0</v>
          </cell>
          <cell r="C180" t="str">
            <v>210 Mission in Washington</v>
          </cell>
          <cell r="D180" t="str">
            <v>210</v>
          </cell>
          <cell r="E180" t="str">
            <v>Mission in Washington</v>
          </cell>
        </row>
        <row r="181">
          <cell r="B181" t="b">
            <v>0</v>
          </cell>
          <cell r="C181" t="str">
            <v>211 Mission in Ethiopia</v>
          </cell>
          <cell r="D181" t="str">
            <v>211</v>
          </cell>
          <cell r="E181" t="str">
            <v>Mission in Ethiopia</v>
          </cell>
        </row>
        <row r="182">
          <cell r="B182" t="b">
            <v>0</v>
          </cell>
          <cell r="C182" t="str">
            <v>212 Mission in China</v>
          </cell>
          <cell r="D182" t="str">
            <v>212</v>
          </cell>
          <cell r="E182" t="str">
            <v>Mission in China</v>
          </cell>
        </row>
        <row r="183">
          <cell r="B183" t="b">
            <v>0</v>
          </cell>
          <cell r="C183" t="str">
            <v>213 Mission in Rwanda</v>
          </cell>
          <cell r="D183" t="str">
            <v>213</v>
          </cell>
          <cell r="E183" t="str">
            <v>Mission in Rwanda</v>
          </cell>
        </row>
        <row r="184">
          <cell r="B184" t="b">
            <v>0</v>
          </cell>
          <cell r="C184" t="str">
            <v>214 Mission in Geneva</v>
          </cell>
          <cell r="D184" t="str">
            <v>214</v>
          </cell>
          <cell r="E184" t="str">
            <v>Mission in Geneva</v>
          </cell>
        </row>
        <row r="185">
          <cell r="B185" t="b">
            <v>0</v>
          </cell>
          <cell r="C185" t="str">
            <v>215 Mission in Japan</v>
          </cell>
          <cell r="D185" t="str">
            <v>215</v>
          </cell>
          <cell r="E185" t="str">
            <v>Mission in Japan</v>
          </cell>
        </row>
        <row r="186">
          <cell r="B186" t="b">
            <v>0</v>
          </cell>
          <cell r="C186" t="str">
            <v>217 Mission in Saudi Arabia</v>
          </cell>
          <cell r="D186" t="str">
            <v>217</v>
          </cell>
          <cell r="E186" t="str">
            <v>Mission in Saudi Arabia</v>
          </cell>
        </row>
        <row r="187">
          <cell r="B187" t="b">
            <v>0</v>
          </cell>
          <cell r="C187" t="str">
            <v>218 Mission in Denmark</v>
          </cell>
          <cell r="D187" t="str">
            <v>218</v>
          </cell>
          <cell r="E187" t="str">
            <v>Mission in Denmark</v>
          </cell>
        </row>
        <row r="188">
          <cell r="B188" t="b">
            <v>0</v>
          </cell>
          <cell r="C188" t="str">
            <v>219 Mission in Belgium</v>
          </cell>
          <cell r="D188" t="str">
            <v>219</v>
          </cell>
          <cell r="E188" t="str">
            <v>Mission in Belgium</v>
          </cell>
        </row>
        <row r="189">
          <cell r="B189" t="b">
            <v>0</v>
          </cell>
          <cell r="C189" t="str">
            <v>220 Mission in Italy</v>
          </cell>
          <cell r="D189" t="str">
            <v>220</v>
          </cell>
          <cell r="E189" t="str">
            <v>Mission in Italy</v>
          </cell>
        </row>
        <row r="190">
          <cell r="B190" t="b">
            <v>0</v>
          </cell>
          <cell r="C190" t="str">
            <v>221 Mission in DR Congo</v>
          </cell>
          <cell r="D190" t="str">
            <v>221</v>
          </cell>
          <cell r="E190" t="str">
            <v>Mission in DR Congo</v>
          </cell>
        </row>
        <row r="191">
          <cell r="B191" t="b">
            <v>0</v>
          </cell>
          <cell r="C191" t="str">
            <v>223 Mission in Sudan</v>
          </cell>
          <cell r="D191" t="str">
            <v>223</v>
          </cell>
          <cell r="E191" t="str">
            <v>Mission in Sudan</v>
          </cell>
        </row>
        <row r="192">
          <cell r="B192" t="b">
            <v>0</v>
          </cell>
          <cell r="C192" t="str">
            <v>224 Mission in France</v>
          </cell>
          <cell r="D192" t="str">
            <v>224</v>
          </cell>
          <cell r="E192" t="str">
            <v>Mission in France</v>
          </cell>
        </row>
        <row r="193">
          <cell r="B193" t="b">
            <v>0</v>
          </cell>
          <cell r="C193" t="str">
            <v>225 Mission in Germany</v>
          </cell>
          <cell r="D193" t="str">
            <v>225</v>
          </cell>
          <cell r="E193" t="str">
            <v>Mission in Germany</v>
          </cell>
        </row>
        <row r="194">
          <cell r="B194" t="b">
            <v>0</v>
          </cell>
          <cell r="C194" t="str">
            <v>226 Mission in Iran</v>
          </cell>
          <cell r="D194" t="str">
            <v>226</v>
          </cell>
          <cell r="E194" t="str">
            <v>Mission in Iran</v>
          </cell>
        </row>
        <row r="195">
          <cell r="B195" t="b">
            <v>0</v>
          </cell>
          <cell r="C195" t="str">
            <v>227 Mission in Russia</v>
          </cell>
          <cell r="D195" t="str">
            <v>227</v>
          </cell>
          <cell r="E195" t="str">
            <v>Mission in Russia</v>
          </cell>
        </row>
        <row r="196">
          <cell r="B196" t="b">
            <v>0</v>
          </cell>
          <cell r="C196" t="str">
            <v>228 Mission in Canberra</v>
          </cell>
          <cell r="D196" t="str">
            <v>228</v>
          </cell>
          <cell r="E196" t="str">
            <v>Mission in Canberra</v>
          </cell>
        </row>
        <row r="197">
          <cell r="B197" t="b">
            <v>0</v>
          </cell>
          <cell r="C197" t="str">
            <v>229 Mission in Juba</v>
          </cell>
          <cell r="D197" t="str">
            <v>229</v>
          </cell>
          <cell r="E197" t="str">
            <v>Mission in Juba</v>
          </cell>
        </row>
        <row r="198">
          <cell r="B198" t="b">
            <v>0</v>
          </cell>
          <cell r="C198" t="str">
            <v>230 Mission in Abu Dhabi</v>
          </cell>
          <cell r="D198" t="str">
            <v>230</v>
          </cell>
          <cell r="E198" t="str">
            <v>Mission in Abu Dhabi</v>
          </cell>
        </row>
        <row r="199">
          <cell r="B199" t="b">
            <v>0</v>
          </cell>
          <cell r="C199" t="str">
            <v>231 Mission in Bujumbura</v>
          </cell>
          <cell r="D199" t="str">
            <v>231</v>
          </cell>
          <cell r="E199" t="str">
            <v>Mission in Bujumbura</v>
          </cell>
        </row>
        <row r="200">
          <cell r="B200" t="b">
            <v>0</v>
          </cell>
          <cell r="C200" t="str">
            <v>232 Consulate in Guangzhou</v>
          </cell>
          <cell r="D200" t="str">
            <v>232</v>
          </cell>
          <cell r="E200" t="str">
            <v>Consulate in Guangzhou</v>
          </cell>
        </row>
        <row r="201">
          <cell r="B201" t="b">
            <v>0</v>
          </cell>
          <cell r="C201" t="str">
            <v>233 Mission in Ankara</v>
          </cell>
          <cell r="D201" t="str">
            <v>233</v>
          </cell>
          <cell r="E201" t="str">
            <v>Mission in Ankara</v>
          </cell>
        </row>
        <row r="202">
          <cell r="B202" t="b">
            <v>0</v>
          </cell>
          <cell r="C202" t="str">
            <v>234 Mission in Somalia</v>
          </cell>
          <cell r="D202" t="str">
            <v>234</v>
          </cell>
          <cell r="E202" t="str">
            <v>Mission in Somalia</v>
          </cell>
        </row>
        <row r="203">
          <cell r="B203" t="b">
            <v>0</v>
          </cell>
          <cell r="C203" t="str">
            <v>235 Mission in Malyasia</v>
          </cell>
          <cell r="D203" t="str">
            <v>235</v>
          </cell>
          <cell r="E203" t="str">
            <v>Mission in Malyasia</v>
          </cell>
        </row>
        <row r="204">
          <cell r="B204" t="b">
            <v>0</v>
          </cell>
          <cell r="C204" t="str">
            <v>236 Consulate in Mombasa</v>
          </cell>
          <cell r="D204" t="str">
            <v>236</v>
          </cell>
          <cell r="E204" t="str">
            <v>Consulate in Mombasa</v>
          </cell>
        </row>
        <row r="205">
          <cell r="B205" t="b">
            <v>0</v>
          </cell>
          <cell r="C205" t="str">
            <v>237 Uganda Embassy in Algeria, Algiers</v>
          </cell>
          <cell r="D205" t="str">
            <v>237</v>
          </cell>
          <cell r="E205" t="str">
            <v>Uganda Embassy in Algeria, Algiers</v>
          </cell>
        </row>
        <row r="206">
          <cell r="B206" t="b">
            <v>0</v>
          </cell>
          <cell r="C206" t="str">
            <v>238 Uganda Embassy in Doha, Qatar</v>
          </cell>
          <cell r="D206" t="str">
            <v>238</v>
          </cell>
          <cell r="E206" t="str">
            <v>Uganda Embassy in Doha, Qatar</v>
          </cell>
        </row>
        <row r="207">
          <cell r="B207" t="b">
            <v>0</v>
          </cell>
          <cell r="C207" t="str">
            <v>301 Lira University</v>
          </cell>
          <cell r="D207" t="str">
            <v>301</v>
          </cell>
          <cell r="E207" t="str">
            <v>Lira University</v>
          </cell>
        </row>
        <row r="208">
          <cell r="A208" t="str">
            <v>UNMA</v>
          </cell>
          <cell r="B208" t="b">
            <v>1</v>
          </cell>
          <cell r="C208" t="str">
            <v>302 Uganda National Meteorological Authority</v>
          </cell>
          <cell r="D208" t="str">
            <v>302</v>
          </cell>
          <cell r="E208" t="str">
            <v>Uganda National Meteorological Authority</v>
          </cell>
        </row>
        <row r="209">
          <cell r="A209" t="str">
            <v>NCDC</v>
          </cell>
          <cell r="B209" t="b">
            <v>1</v>
          </cell>
          <cell r="C209" t="str">
            <v>303 National Curriculum Development Centre</v>
          </cell>
          <cell r="D209" t="str">
            <v>303</v>
          </cell>
          <cell r="E209" t="str">
            <v>National Curriculum Development Centre</v>
          </cell>
        </row>
        <row r="210">
          <cell r="A210" t="str">
            <v>UVRI</v>
          </cell>
          <cell r="B210" t="b">
            <v>1</v>
          </cell>
          <cell r="C210" t="str">
            <v>304 Uganda Virus Research Institute (UVRI)</v>
          </cell>
          <cell r="D210" t="str">
            <v>304</v>
          </cell>
          <cell r="E210" t="str">
            <v>Uganda Virus Research Institute (UVRI)</v>
          </cell>
        </row>
        <row r="211">
          <cell r="A211" t="str">
            <v>UVRI (JCRC)</v>
          </cell>
          <cell r="B211" t="b">
            <v>1</v>
          </cell>
          <cell r="C211" t="str">
            <v>304 Uganda Virus Research Institute (UVRI)</v>
          </cell>
          <cell r="D211"/>
        </row>
        <row r="212">
          <cell r="A212" t="str">
            <v>DGAL</v>
          </cell>
          <cell r="B212" t="b">
            <v>0</v>
          </cell>
          <cell r="C212" t="str">
            <v>305 Directorate of Government Analytical Laboratory</v>
          </cell>
          <cell r="D212" t="str">
            <v>305</v>
          </cell>
          <cell r="E212" t="str">
            <v>Directorate of Government Analytical Laboratory</v>
          </cell>
        </row>
        <row r="213">
          <cell r="A213" t="str">
            <v>UEPB</v>
          </cell>
          <cell r="B213" t="b">
            <v>1</v>
          </cell>
          <cell r="C213" t="str">
            <v>306 Uganda Export Promotion Board</v>
          </cell>
          <cell r="D213" t="str">
            <v>306</v>
          </cell>
          <cell r="E213" t="str">
            <v>Uganda Export Promotion Board</v>
          </cell>
        </row>
        <row r="214">
          <cell r="B214" t="b">
            <v>0</v>
          </cell>
          <cell r="C214" t="str">
            <v>307 Kabale University</v>
          </cell>
          <cell r="D214" t="str">
            <v>307</v>
          </cell>
          <cell r="E214" t="str">
            <v>Kabale University</v>
          </cell>
        </row>
        <row r="215">
          <cell r="B215" t="b">
            <v>0</v>
          </cell>
          <cell r="C215" t="str">
            <v>308 Soroti University</v>
          </cell>
          <cell r="D215" t="str">
            <v>308</v>
          </cell>
          <cell r="E215" t="str">
            <v>Soroti University</v>
          </cell>
        </row>
        <row r="216">
          <cell r="A216" t="str">
            <v>NIRA</v>
          </cell>
          <cell r="B216" t="b">
            <v>1</v>
          </cell>
          <cell r="C216" t="str">
            <v>309 National Identification and Registration Authority (NIRA)</v>
          </cell>
          <cell r="D216" t="str">
            <v>309</v>
          </cell>
          <cell r="E216" t="str">
            <v>National Identification and Registration Authority (NIRA)</v>
          </cell>
        </row>
        <row r="217">
          <cell r="A217" t="str">
            <v>UIA</v>
          </cell>
          <cell r="B217" t="b">
            <v>1</v>
          </cell>
          <cell r="C217" t="str">
            <v>310 Uganda Investment Authority (UIA)</v>
          </cell>
          <cell r="D217" t="str">
            <v>310</v>
          </cell>
          <cell r="E217" t="str">
            <v>Uganda Investment Authority (UIA)</v>
          </cell>
        </row>
        <row r="218">
          <cell r="A218" t="str">
            <v>UIA (UMA)</v>
          </cell>
          <cell r="B218" t="b">
            <v>1</v>
          </cell>
          <cell r="C218" t="str">
            <v>310 Uganda Investment Authority (UIA)</v>
          </cell>
          <cell r="D218"/>
        </row>
        <row r="219">
          <cell r="A219" t="str">
            <v>UNOC</v>
          </cell>
          <cell r="B219" t="b">
            <v>1</v>
          </cell>
          <cell r="C219" t="str">
            <v>311 Uganda National Oil Company (UNOC)</v>
          </cell>
          <cell r="D219" t="str">
            <v>311</v>
          </cell>
          <cell r="E219" t="str">
            <v>Uganda National Oil Company (UNOC)</v>
          </cell>
        </row>
        <row r="220">
          <cell r="A220" t="str">
            <v>PAU</v>
          </cell>
          <cell r="B220" t="b">
            <v>1</v>
          </cell>
          <cell r="C220" t="str">
            <v>312 Petroleum Authority of Uganda (PAU)</v>
          </cell>
          <cell r="D220" t="str">
            <v>312</v>
          </cell>
          <cell r="E220" t="str">
            <v>Petroleum Authority of Uganda (PAU)</v>
          </cell>
        </row>
        <row r="221">
          <cell r="A221" t="str">
            <v>LGs</v>
          </cell>
          <cell r="B221" t="b">
            <v>1</v>
          </cell>
          <cell r="C221" t="str">
            <v>500 501-850 Local Governments</v>
          </cell>
          <cell r="D221" t="str">
            <v>500</v>
          </cell>
          <cell r="E221" t="str">
            <v>501-850 Local Governments</v>
          </cell>
        </row>
        <row r="222">
          <cell r="A222" t="str">
            <v>LGs (OWC)</v>
          </cell>
          <cell r="B222" t="b">
            <v>0</v>
          </cell>
          <cell r="C222" t="str">
            <v>501 501-850 Local Governments</v>
          </cell>
          <cell r="D222"/>
        </row>
        <row r="223">
          <cell r="A223" t="str">
            <v>MoKCC&amp;MA</v>
          </cell>
          <cell r="C223" t="str">
            <v>024 Minstry of Kampala Capital City and Metropolitan Affairs</v>
          </cell>
          <cell r="D223" t="str">
            <v>024</v>
          </cell>
          <cell r="E223" t="str">
            <v>Minstry of Kampala Capital City and Metropolitan Affairs</v>
          </cell>
        </row>
      </sheetData>
      <sheetData sheetId="13"/>
      <sheetData sheetId="14"/>
      <sheetData sheetId="1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bey M. W" refreshedDate="44839.389917361113" createdVersion="6" refreshedVersion="6" minRefreshableVersion="3" recordCount="2895" xr:uid="{70AC4EFA-69AF-4620-B2B8-2526D2B0F927}">
  <cacheSource type="worksheet">
    <worksheetSource ref="A1:AP5130" sheet="Merged PIAP"/>
  </cacheSource>
  <cacheFields count="42">
    <cacheField name="Programme code" numFmtId="0">
      <sharedItems containsBlank="1" count="16">
        <s v="01"/>
        <s v="15"/>
        <s v="11"/>
        <s v="09"/>
        <s v="13"/>
        <s v="04"/>
        <s v="02"/>
        <s v="03"/>
        <s v="07"/>
        <m/>
        <s v="14"/>
        <s v="10"/>
        <s v="05"/>
        <s v="18"/>
        <s v="08"/>
        <s v="17"/>
      </sharedItems>
    </cacheField>
    <cacheField name="Programme" numFmtId="0">
      <sharedItems containsBlank="1" count="16">
        <s v="Agro-Industrialisation"/>
        <s v="Community Mobilisation and Mindset Change"/>
        <s v="Digital Transformation"/>
        <s v="Integrated Transport Infrastructure and Services"/>
        <s v="Innovation, Technology Development and Transfer"/>
        <s v="Manufacturing"/>
        <s v="Mineral Development"/>
        <s v="Sustainable Petroleum Development"/>
        <s v="Private Sector Development"/>
        <m/>
        <s v="Public Sector Transformation"/>
        <s v="Sustainable Urbanisation and Housing"/>
        <s v="Tourism Development"/>
        <s v="Development Plan Implementation"/>
        <s v="Sustainable Energy Development"/>
        <s v="Regional Balanced Development"/>
      </sharedItems>
    </cacheField>
    <cacheField name="Sub-programme_code" numFmtId="0">
      <sharedItems containsBlank="1" containsMixedTypes="1" containsNumber="1" containsInteger="1" minValue="101" maxValue="145"/>
    </cacheField>
    <cacheField name="Sub-programme" numFmtId="0">
      <sharedItems containsBlank="1"/>
    </cacheField>
    <cacheField name="Objective_code" numFmtId="0">
      <sharedItems containsBlank="1" containsMixedTypes="1" containsNumber="1" containsInteger="1" minValue="1035" maxValue="1455"/>
    </cacheField>
    <cacheField name="Objective" numFmtId="0">
      <sharedItems containsBlank="1"/>
    </cacheField>
    <cacheField name="Intervention_code" numFmtId="0">
      <sharedItems containsBlank="1" containsMixedTypes="1" containsNumber="1" containsInteger="1" minValue="111101" maxValue="171111"/>
    </cacheField>
    <cacheField name="Intervention" numFmtId="0">
      <sharedItems containsBlank="1" longText="1"/>
    </cacheField>
    <cacheField name="Subintervention code" numFmtId="0">
      <sharedItems containsBlank="1" containsMixedTypes="1" containsNumber="1" containsInteger="1" minValue="0" maxValue="0"/>
    </cacheField>
    <cacheField name="Subintervention" numFmtId="0">
      <sharedItems containsBlank="1" containsMixedTypes="1" containsNumber="1" containsInteger="1" minValue="0" maxValue="0"/>
    </cacheField>
    <cacheField name="Output_Code" numFmtId="0">
      <sharedItems containsBlank="1" containsMixedTypes="1" containsNumber="1" containsInteger="1" minValue="11110101" maxValue="18221901"/>
    </cacheField>
    <cacheField name="Output" numFmtId="0">
      <sharedItems containsBlank="1" longText="1"/>
    </cacheField>
    <cacheField name="Indicator" numFmtId="0">
      <sharedItems containsBlank="1" longText="1"/>
    </cacheField>
    <cacheField name="Baseline" numFmtId="0">
      <sharedItems containsBlank="1" containsMixedTypes="1" containsNumber="1" minValue="0" maxValue="5000000"/>
    </cacheField>
    <cacheField name="T20/21" numFmtId="0">
      <sharedItems containsBlank="1" containsMixedTypes="1" containsNumber="1" minValue="0" maxValue="8000000"/>
    </cacheField>
    <cacheField name="T21/22" numFmtId="0">
      <sharedItems containsBlank="1" containsMixedTypes="1" containsNumber="1" minValue="0" maxValue="23000000"/>
    </cacheField>
    <cacheField name="T22/23" numFmtId="0">
      <sharedItems containsBlank="1" containsMixedTypes="1" containsNumber="1" minValue="0" maxValue="23000000"/>
    </cacheField>
    <cacheField name="T23/24" numFmtId="0">
      <sharedItems containsBlank="1" containsMixedTypes="1" containsNumber="1" minValue="0" maxValue="23000000"/>
    </cacheField>
    <cacheField name="T24/25" numFmtId="0">
      <sharedItems containsBlank="1" containsMixedTypes="1" containsNumber="1" minValue="0" maxValue="23000000"/>
    </cacheField>
    <cacheField name="MDA" numFmtId="0">
      <sharedItems containsBlank="1" containsMixedTypes="1" containsNumber="1" containsInteger="1" minValue="140" maxValue="140"/>
    </cacheField>
    <cacheField name="Vote" numFmtId="0">
      <sharedItems containsBlank="1"/>
    </cacheField>
    <cacheField name="Action" numFmtId="0">
      <sharedItems containsBlank="1" longText="1"/>
    </cacheField>
    <cacheField name="Multiplier Effect" numFmtId="0">
      <sharedItems containsString="0" containsBlank="1" containsNumber="1" containsInteger="1" minValue="0" maxValue="1"/>
    </cacheField>
    <cacheField name="Economic Recovery" numFmtId="0">
      <sharedItems containsString="0" containsBlank="1" containsNumber="1" containsInteger="1" minValue="0" maxValue="1"/>
    </cacheField>
    <cacheField name="HH income &amp; FoodSec" numFmtId="0">
      <sharedItems containsBlank="1" containsMixedTypes="1" containsNumber="1" containsInteger="1" minValue="0" maxValue="1"/>
    </cacheField>
    <cacheField name="Achievable in 2yrs" numFmtId="0">
      <sharedItems containsString="0" containsBlank="1" containsNumber="1" containsInteger="1" minValue="0" maxValue="2"/>
    </cacheField>
    <cacheField name="Within Fiscal Space" numFmtId="0">
      <sharedItems containsString="0" containsBlank="1" containsNumber="1" containsInteger="1" minValue="0" maxValue="1"/>
    </cacheField>
    <cacheField name="Economic Resilience to shocks" numFmtId="0">
      <sharedItems containsString="0" containsBlank="1" containsNumber="1" containsInteger="1" minValue="0" maxValue="1"/>
    </cacheField>
    <cacheField name="Operationalises the PDM" numFmtId="0">
      <sharedItems containsString="0" containsBlank="1" containsNumber="1" containsInteger="1" minValue="0" maxValue="1"/>
    </cacheField>
    <cacheField name="Government Efficiency and Revenue" numFmtId="0">
      <sharedItems containsString="0" containsBlank="1" containsNumber="1" containsInteger="1" minValue="0" maxValue="1"/>
    </cacheField>
    <cacheField name="Average Score" numFmtId="9">
      <sharedItems containsString="0" containsBlank="1" containsNumber="1" minValue="0" maxValue="1"/>
    </cacheField>
    <cacheField name="Presidential Directive" numFmtId="0">
      <sharedItems containsString="0" containsBlank="1" containsNumber="1" containsInteger="1" minValue="0" maxValue="1"/>
    </cacheField>
    <cacheField name="Multi-Year Commitment" numFmtId="0">
      <sharedItems containsString="0" containsBlank="1" containsNumber="1" minValue="0" maxValue="1"/>
    </cacheField>
    <cacheField name="20/21" numFmtId="0">
      <sharedItems containsBlank="1" containsMixedTypes="1" containsNumber="1" minValue="0" maxValue="915.00000000000091"/>
    </cacheField>
    <cacheField name="21/22" numFmtId="0">
      <sharedItems containsBlank="1" containsMixedTypes="1" containsNumber="1" minValue="0" maxValue="812.125"/>
    </cacheField>
    <cacheField name="22/23" numFmtId="0">
      <sharedItems containsBlank="1" containsMixedTypes="1" containsNumber="1" minValue="0" maxValue="811.52499999999964"/>
    </cacheField>
    <cacheField name="23/24" numFmtId="0">
      <sharedItems containsBlank="1" containsMixedTypes="1" containsNumber="1" minValue="0" maxValue="1731.4212424660777"/>
    </cacheField>
    <cacheField name="24/25" numFmtId="0">
      <sharedItems containsBlank="1" containsMixedTypes="1" containsNumber="1" minValue="0" maxValue="1059.4000000000001"/>
    </cacheField>
    <cacheField name="Total budget" numFmtId="43">
      <sharedItems containsBlank="1" containsMixedTypes="1" containsNumber="1" minValue="0" maxValue="2617.9238101460778"/>
    </cacheField>
    <cacheField name="Lead MDA" numFmtId="0">
      <sharedItems containsBlank="1"/>
    </cacheField>
    <cacheField name="Vote2" numFmtId="0">
      <sharedItems containsBlank="1"/>
    </cacheField>
    <cacheField name="Other MDA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5">
  <r>
    <x v="0"/>
    <x v="0"/>
    <s v="01X"/>
    <s v="Government Commitments"/>
    <s v="01X"/>
    <s v="Provision for Government Commitments"/>
    <s v="01X"/>
    <s v="Government Commitments"/>
    <m/>
    <m/>
    <s v="01X"/>
    <s v="Government Commitments"/>
    <s v="-"/>
    <s v="-"/>
    <s v="-"/>
    <s v="-"/>
    <s v="-"/>
    <s v="-"/>
    <s v="-"/>
    <s v="-"/>
    <s v="-"/>
    <s v="Wage"/>
    <m/>
    <m/>
    <m/>
    <m/>
    <m/>
    <m/>
    <m/>
    <m/>
    <m/>
    <m/>
    <m/>
    <m/>
    <m/>
    <m/>
    <n v="203"/>
    <n v="203"/>
    <n v="406"/>
    <s v="Wage"/>
    <m/>
    <m/>
  </r>
  <r>
    <x v="0"/>
    <x v="0"/>
    <s v="01X"/>
    <s v="Government Commitments"/>
    <s v="01X"/>
    <s v="Provision for Government Commitments"/>
    <s v="01X"/>
    <s v="Government Commitments"/>
    <m/>
    <m/>
    <s v="01X"/>
    <s v="Government Commitments"/>
    <s v="-"/>
    <s v="-"/>
    <s v="-"/>
    <s v="-"/>
    <s v="-"/>
    <s v="-"/>
    <s v="-"/>
    <s v="-"/>
    <s v="-"/>
    <s v="Non-Wage (Statutory)"/>
    <m/>
    <m/>
    <m/>
    <m/>
    <m/>
    <m/>
    <m/>
    <m/>
    <m/>
    <m/>
    <m/>
    <m/>
    <m/>
    <m/>
    <n v="81.2"/>
    <n v="81.2"/>
    <n v="162.4"/>
    <s v="Non-wage(Statutory)"/>
    <m/>
    <m/>
  </r>
  <r>
    <x v="0"/>
    <x v="0"/>
    <s v="01X"/>
    <s v="Government Commitments"/>
    <s v="01X"/>
    <s v="Provision for Government Commitments"/>
    <s v="01X"/>
    <s v="Government Commitments"/>
    <m/>
    <m/>
    <s v="01X"/>
    <s v="Government Commitments"/>
    <s v="-"/>
    <s v="-"/>
    <s v="-"/>
    <s v="-"/>
    <s v="-"/>
    <s v="-"/>
    <s v="-"/>
    <s v="-"/>
    <s v="-"/>
    <s v="Multi-Year Commitments"/>
    <m/>
    <m/>
    <m/>
    <m/>
    <m/>
    <m/>
    <m/>
    <m/>
    <m/>
    <m/>
    <m/>
    <m/>
    <m/>
    <m/>
    <n v="247.48606126069998"/>
    <n v="282.26901715100007"/>
    <n v="529.75507841170008"/>
    <s v="Multi-Year Commitments"/>
    <m/>
    <m/>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1"/>
    <s v="Animal breeding stock multiplied and distributed to farmers country wide for cattle, poultry, goats, pigs, fish"/>
    <s v="Number of regional community breeding satellite centers established and maintained"/>
    <n v="0"/>
    <n v="1"/>
    <n v="2"/>
    <n v="2"/>
    <n v="2"/>
    <n v="1"/>
    <s v="NAGRC&amp;DB"/>
    <s v="125 National Animal Genetic Res. Centre and Data Bank"/>
    <s v="Establish 11 regional community breeding satellite centres; multiply and distribute 25,000,000 commercial and parent stock poultry genetic resources for cattle, poultry, goats, pigs and fish; introduce tropicalized superior breeding stock"/>
    <n v="1"/>
    <n v="1"/>
    <n v="1"/>
    <n v="1"/>
    <n v="1"/>
    <n v="1"/>
    <n v="1"/>
    <n v="1"/>
    <n v="1"/>
    <n v="1"/>
    <m/>
    <n v="16.5"/>
    <n v="17.3"/>
    <n v="17.899999999999999"/>
    <n v="15.5"/>
    <n v="15"/>
    <n v="30.5"/>
    <s v="NAGRC&amp;DB"/>
    <s v="125 National Animal Genetic Res. Centre and Data Bank"/>
    <s v="OWC, LGS,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1"/>
    <s v="Animal breeding stock multiplied and distributed to farmers country wide for cattle, poultry, goats, pigs, fish"/>
    <s v="Number of poultry varieties developed, multiplied and promoted"/>
    <n v="0"/>
    <n v="2000000"/>
    <n v="5000000"/>
    <n v="5000000"/>
    <n v="5000000"/>
    <n v="5000000"/>
    <s v="NAGRC&amp;DB"/>
    <s v="125 National Animal Genetic Res. Centre and Data Bank"/>
    <s v="Establish 11 regional community breeding satellite centres; multiply and distribute 25,000,000 commercial and parent stock poultry genetic resources for cattle, poultry, goats, pigs and fish; introduce tropicalized superior breeding stock"/>
    <n v="1"/>
    <n v="1"/>
    <n v="1"/>
    <n v="1"/>
    <n v="1"/>
    <n v="1"/>
    <n v="1"/>
    <n v="1"/>
    <n v="1"/>
    <n v="0"/>
    <m/>
    <m/>
    <m/>
    <m/>
    <n v="2"/>
    <n v="1"/>
    <n v="3"/>
    <s v="NAGRC&amp;DB"/>
    <s v="125 National Animal Genetic Res. Centre and Data Bank"/>
    <s v="OWC, LGS,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1"/>
    <s v="Animal breeding stock multiplied and distributed to farmers country wide for cattle, poultry, goats, pigs, fish"/>
    <s v="Number of tropicalised superior breeding stock introduced"/>
    <n v="0"/>
    <n v="100"/>
    <n v="700"/>
    <n v="700"/>
    <n v="700"/>
    <n v="700"/>
    <s v="NAGRC&amp;DB"/>
    <s v="125 National Animal Genetic Res. Centre and Data Bank"/>
    <s v="Establish 11 regional community breeding satellite centres; multiply and distribute 25,000,000 commercial and parent stock poultry genetic resources for cattle, poultry, goats, pigs and fish; introduce tropicalized superior breeding stock"/>
    <n v="1"/>
    <n v="1"/>
    <n v="1"/>
    <n v="1"/>
    <n v="1"/>
    <n v="1"/>
    <n v="1"/>
    <n v="1"/>
    <n v="1"/>
    <n v="0"/>
    <m/>
    <m/>
    <m/>
    <m/>
    <n v="1"/>
    <n v="1"/>
    <n v="2"/>
    <s v="NAGRC&amp;DB"/>
    <s v="125 National Animal Genetic Res. Centre and Data Bank"/>
    <s v="OWC, LGS,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Number of administrative units constructed"/>
    <n v="0"/>
    <n v="1"/>
    <n v="1"/>
    <n v="2"/>
    <n v="2"/>
    <n v="2"/>
    <s v="NAGRC&amp;DB"/>
    <s v="125 National Animal Genetic Res. Centre and Data Bank"/>
    <s v="Construct and equip 8 Administrative units"/>
    <n v="0"/>
    <n v="0"/>
    <n v="0"/>
    <n v="1"/>
    <n v="1"/>
    <n v="0"/>
    <n v="1"/>
    <n v="0"/>
    <n v="0.375"/>
    <n v="0"/>
    <m/>
    <n v="2"/>
    <n v="0.5"/>
    <n v="5.5"/>
    <m/>
    <m/>
    <e v="#REF!"/>
    <s v="NAGRC&amp;DB"/>
    <s v="125 National Animal Genetic Res. Centre and Data Bank"/>
    <s v="MAAIF, 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Number of farmer animal genetic learning centres established "/>
    <n v="0"/>
    <n v="0"/>
    <n v="1"/>
    <n v="1"/>
    <n v="1"/>
    <n v="1"/>
    <s v="NAGRC&amp;DB"/>
    <s v="125 National Animal Genetic Res. Centre and Data Bank"/>
    <s v="Construct and equip 4 farmers animal genetic learning centres "/>
    <n v="1"/>
    <n v="0"/>
    <n v="1"/>
    <n v="1"/>
    <n v="1"/>
    <n v="1"/>
    <n v="1"/>
    <n v="1"/>
    <n v="0.875"/>
    <n v="0"/>
    <m/>
    <n v="2.6"/>
    <n v="1"/>
    <n v="4.2"/>
    <n v="1.6"/>
    <n v="3.6"/>
    <n v="5.2"/>
    <s v="NAGRC&amp;DB"/>
    <s v="125 National Animal Genetic Res. Centre and Data Bank"/>
    <s v="MAAIF, 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Animal breeding and production support facilities constructed"/>
    <m/>
    <n v="0"/>
    <n v="1"/>
    <n v="1"/>
    <n v="1"/>
    <n v="1"/>
    <s v="NAGRC&amp;DB"/>
    <s v="125 National Animal Genetic Res. Centre and Data Bank"/>
    <s v="Construct and equip 5 all inclusive animal breeding and production support facilities"/>
    <n v="1"/>
    <n v="1"/>
    <n v="1"/>
    <n v="1"/>
    <n v="0"/>
    <n v="1"/>
    <n v="1"/>
    <n v="0"/>
    <n v="0.75"/>
    <n v="0"/>
    <m/>
    <n v="15"/>
    <n v="5"/>
    <n v="20"/>
    <n v="17"/>
    <n v="20"/>
    <n v="37"/>
    <s v="NAGRC&amp;DB"/>
    <s v="125 National Animal Genetic Res. Centre and Data Bank"/>
    <s v="MoWT,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Number of ART specialised Mobile laboratories acquired"/>
    <n v="0"/>
    <n v="2"/>
    <n v="1"/>
    <n v="5"/>
    <n v="8"/>
    <n v="0"/>
    <s v="NAGRC&amp;DB"/>
    <s v="125 National Animal Genetic Res. Centre and Data Bank"/>
    <s v="Acquire 18 ART specialised Mobile laboratory vans"/>
    <n v="1"/>
    <n v="0"/>
    <n v="0"/>
    <n v="1"/>
    <n v="1"/>
    <n v="0"/>
    <n v="1"/>
    <n v="1"/>
    <n v="0.625"/>
    <n v="0"/>
    <m/>
    <n v="0.7"/>
    <n v="0"/>
    <n v="0.82"/>
    <n v="2.5"/>
    <m/>
    <n v="2.5"/>
    <s v="NAGRC&amp;DB"/>
    <s v="125 National Animal Genetic Res. Centre and Data Bank"/>
    <s v="MoWT,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Number of Regional Mini Liquid Nitrogen Production plants installed"/>
    <n v="0"/>
    <n v="1"/>
    <n v="1"/>
    <n v="0"/>
    <n v="1"/>
    <n v="0"/>
    <s v="NAGRC&amp;DB"/>
    <s v="125 National Animal Genetic Res. Centre and Data Bank"/>
    <s v="Installs two (2) regional mini Liquid Nitrogen production plants"/>
    <n v="1"/>
    <n v="0"/>
    <n v="0"/>
    <n v="1"/>
    <n v="1"/>
    <n v="0"/>
    <n v="1"/>
    <n v="1"/>
    <n v="0.625"/>
    <n v="0"/>
    <m/>
    <n v="0.65"/>
    <n v="0.65"/>
    <n v="0.15"/>
    <n v="1"/>
    <n v="1.2"/>
    <n v="2.2000000000000002"/>
    <s v="NAGRC&amp;DB"/>
    <s v="125 National Animal Genetic Res. Centre and Data Bank"/>
    <s v="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Satelite ART laboratories and genetic evaluation centres constructed "/>
    <n v="0"/>
    <n v="0"/>
    <n v="3"/>
    <n v="4"/>
    <n v="3"/>
    <n v="1"/>
    <s v="NAGRC&amp;DB"/>
    <s v="125 National Animal Genetic Res. Centre and Data Bank"/>
    <s v="Construct and equip 11 Satellite ART laboratories and genetic evaluation centers"/>
    <n v="0"/>
    <n v="0"/>
    <n v="0"/>
    <n v="1"/>
    <n v="1"/>
    <n v="0"/>
    <n v="1"/>
    <n v="1"/>
    <n v="0.5"/>
    <n v="0"/>
    <m/>
    <n v="0.8"/>
    <n v="0"/>
    <n v="2.2000000000000002"/>
    <m/>
    <m/>
    <e v="#REF!"/>
    <s v="NAGRC&amp;DB"/>
    <s v="125 National Animal Genetic Res. Centre and Data Bank"/>
    <s v="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2"/>
    <s v="Animal breeding,production, administrative units and research facilities constructed and equipped"/>
    <s v="Number of Agricultural Research institute land secured "/>
    <n v="0"/>
    <m/>
    <n v="8"/>
    <n v="10"/>
    <n v="8"/>
    <n v="8"/>
    <s v="NARO"/>
    <s v="142 National Agricultural Research Organisation"/>
    <s v="Construct and equip 11 Satellite ART laboratories and genetic evaluation centers"/>
    <n v="0"/>
    <n v="0"/>
    <n v="0"/>
    <n v="0"/>
    <n v="0"/>
    <n v="0"/>
    <n v="0"/>
    <n v="0"/>
    <n v="0"/>
    <n v="1"/>
    <m/>
    <m/>
    <m/>
    <m/>
    <m/>
    <m/>
    <e v="#REF!"/>
    <s v="NAGRC&amp;DB"/>
    <s v="142 National Agricultural Research Organisation"/>
    <s v="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3"/>
    <s v="Research and administrative infrastructure constructed, equipped"/>
    <s v="Number of research laboratories constructed and equipped"/>
    <n v="0"/>
    <n v="1"/>
    <n v="1"/>
    <n v="1"/>
    <n v="1"/>
    <n v="1"/>
    <s v="NARO"/>
    <s v="142 National Agricultural Research Organisation"/>
    <s v="Construct and equip 5 research laboratories"/>
    <n v="1"/>
    <n v="1"/>
    <n v="0"/>
    <n v="1"/>
    <n v="1"/>
    <n v="1"/>
    <n v="1"/>
    <n v="0"/>
    <n v="0.75"/>
    <n v="0"/>
    <m/>
    <n v="16.5"/>
    <n v="19.5"/>
    <n v="12.5"/>
    <n v="6"/>
    <n v="9"/>
    <n v="15"/>
    <s v="NARO"/>
    <s v="142 National Agricultural Research Organisation"/>
    <s v="MoWT, MAAIF"/>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3"/>
    <s v="Research and administrative infrastructure constructed, equipped"/>
    <s v="Number of demonstration facilities constructed"/>
    <n v="0"/>
    <n v="4"/>
    <n v="7"/>
    <n v="6"/>
    <n v="5"/>
    <n v="3"/>
    <s v="NARO"/>
    <s v="142 National Agricultural Research Organisation"/>
    <s v="Construct and  equip 25 demonstration facilities "/>
    <n v="1"/>
    <n v="1"/>
    <n v="1"/>
    <n v="1"/>
    <n v="1"/>
    <n v="1"/>
    <n v="1"/>
    <n v="1"/>
    <n v="1"/>
    <n v="0"/>
    <m/>
    <n v="2.5"/>
    <n v="2.5"/>
    <n v="2.5"/>
    <n v="1.5"/>
    <n v="2.5"/>
    <n v="4"/>
    <s v="NARO"/>
    <s v="142 National Agricultural Research Organisation"/>
    <s v="LG, 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3"/>
    <s v="Research and administrative infrastructure constructed, equipped"/>
    <s v="Number of laboratories rehabiliteted"/>
    <n v="0"/>
    <n v="1"/>
    <n v="1"/>
    <n v="1"/>
    <n v="1"/>
    <n v="1"/>
    <s v="NARO"/>
    <s v="142 National Agricultural Research Organisation"/>
    <s v="Construct and furnish 6 administrative  units "/>
    <n v="1"/>
    <n v="0"/>
    <n v="0"/>
    <n v="1"/>
    <n v="1"/>
    <n v="0"/>
    <n v="0"/>
    <n v="0"/>
    <n v="0.375"/>
    <n v="0"/>
    <m/>
    <n v="3.3"/>
    <n v="6.2"/>
    <n v="9.3000000000000007"/>
    <m/>
    <m/>
    <e v="#REF!"/>
    <s v="NARO"/>
    <s v="142 National Agricultural Research Organisation"/>
    <s v="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4"/>
    <s v="Research and administrative infrastructure rehabilitated"/>
    <s v="Number of laboratories equpped"/>
    <n v="0"/>
    <n v="3"/>
    <n v="5"/>
    <n v="5"/>
    <n v="3"/>
    <n v="4"/>
    <s v="NARO"/>
    <s v="142 National Agricultural Research Organisation"/>
    <s v="Rehabilitate (5)and equip (20) research laboratories; "/>
    <n v="1"/>
    <n v="0"/>
    <n v="0"/>
    <n v="1"/>
    <n v="1"/>
    <n v="1"/>
    <n v="1"/>
    <n v="1"/>
    <n v="0.75"/>
    <n v="0"/>
    <m/>
    <n v="14.5"/>
    <n v="14.15"/>
    <n v="15.2"/>
    <n v="10"/>
    <n v="14.64"/>
    <n v="24.64"/>
    <s v="NARO"/>
    <s v="142 National Agricultural Research Organisation"/>
    <s v="MoWT"/>
  </r>
  <r>
    <x v="0"/>
    <x v="0"/>
    <s v="011"/>
    <s v="Agricultural Production and Productivity"/>
    <s v="0111"/>
    <s v="Increase production and productivity"/>
    <s v="011101"/>
    <s v="Strengthen agricultural research and technology development"/>
    <s v="011101a"/>
    <s v=" Invest in new and rehabilitate old infrastructure for agriculture research including laboratories, offices, technology demonstration and training centers"/>
    <s v="011101a04"/>
    <s v="Research and administrative infrastructure rehabilitated"/>
    <s v="Number of laboratories rehabiliteted"/>
    <n v="0"/>
    <n v="0"/>
    <n v="0"/>
    <n v="0"/>
    <n v="1"/>
    <n v="0"/>
    <s v="NAGRC&amp;DB"/>
    <s v="125 National Animal Genetic Res. Centre and Data Bank"/>
    <s v="Rehabilitate the national Bull Stud and Semen Evaluation Centre"/>
    <n v="1"/>
    <n v="1"/>
    <n v="1"/>
    <n v="1"/>
    <n v="1"/>
    <n v="1"/>
    <n v="1"/>
    <n v="0"/>
    <n v="0.875"/>
    <n v="0"/>
    <m/>
    <n v="0"/>
    <m/>
    <m/>
    <n v="0.5"/>
    <n v="0.5"/>
    <n v="1"/>
    <s v="NAGRC&amp;DB"/>
    <s v="125 National Animal Genetic Res. Centre and Data Bank"/>
    <s v="MoWT"/>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1"/>
    <s v="Agricultural research staff recruited and trained"/>
    <s v="Researchers recruited according to establishment"/>
    <n v="881"/>
    <n v="9"/>
    <n v="27"/>
    <n v="23"/>
    <n v="23"/>
    <n v="23"/>
    <s v="NARO"/>
    <s v="142 National Agricultural Research Organisation"/>
    <s v="Undertake Recruitment and training of scientists(70), technicians and allied practitioners(50); additional agricultural research staff(115)"/>
    <n v="1"/>
    <n v="0"/>
    <n v="0"/>
    <n v="1"/>
    <n v="0"/>
    <n v="0"/>
    <n v="0"/>
    <n v="0"/>
    <n v="0.25"/>
    <n v="1"/>
    <m/>
    <n v="15.45"/>
    <n v="15.64"/>
    <n v="16.170000000000002"/>
    <n v="16.73"/>
    <n v="17.32"/>
    <e v="#REF!"/>
    <s v="NARO"/>
    <s v="142 National Agricultural Research Organisation"/>
    <s v="Universities, 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1"/>
    <s v="Agricultural research staff recruited and trained"/>
    <s v="Scientists supported to undertake long term training (MSC and PHD)"/>
    <n v="357"/>
    <n v="15"/>
    <n v="15"/>
    <n v="15"/>
    <n v="15"/>
    <n v="10"/>
    <s v="NARO"/>
    <s v="142 National Agricultural Research Organisation"/>
    <s v="Undertake Recruitment of 20 Animal breeding scientists"/>
    <n v="1"/>
    <n v="0"/>
    <n v="0"/>
    <n v="1"/>
    <n v="0"/>
    <n v="0"/>
    <n v="0"/>
    <n v="0"/>
    <n v="0.25"/>
    <n v="1"/>
    <m/>
    <n v="0.96"/>
    <n v="0.96"/>
    <n v="0.96"/>
    <n v="0.96"/>
    <n v="0.96"/>
    <e v="#REF!"/>
    <s v="NARO"/>
    <s v="142 National Agricultural Research Organisation"/>
    <s v="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1"/>
    <s v="Agricultural research staff recruited and trained"/>
    <s v="Scientists supported to undertake long term training (MSC and PHD)"/>
    <n v="0"/>
    <n v="5"/>
    <n v="20"/>
    <n v="20"/>
    <n v="20"/>
    <n v="20"/>
    <s v="NAGRC&amp;DB"/>
    <s v="125 National Animal Genetic Res. Centre and Data Bank"/>
    <s v="Undertake Recruitment of 20 Animal breeding scientists"/>
    <n v="1"/>
    <n v="0"/>
    <n v="0"/>
    <n v="1"/>
    <n v="0"/>
    <n v="0"/>
    <n v="0"/>
    <n v="0"/>
    <n v="0.25"/>
    <n v="1"/>
    <m/>
    <m/>
    <m/>
    <m/>
    <m/>
    <m/>
    <e v="#REF!"/>
    <s v="NAGRC&amp;DB"/>
    <s v="125 National Animal Genetic Res. Centre and Data Bank"/>
    <s v="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2"/>
    <s v="Agri Research IP and innovations commercialised"/>
    <s v="Number of Agriculture Research Innovations and IPs commercialised "/>
    <n v="0"/>
    <n v="4"/>
    <n v="8"/>
    <n v="6"/>
    <n v="6"/>
    <n v="6"/>
    <s v="NARO"/>
    <s v="142 National Agricultural Research Organisation"/>
    <s v="Commercialize 50 all-inclusive Agri-Research IP and innovations "/>
    <n v="1"/>
    <n v="1"/>
    <n v="1"/>
    <n v="1"/>
    <n v="1"/>
    <n v="1"/>
    <n v="1"/>
    <n v="0"/>
    <n v="0.875"/>
    <n v="0"/>
    <m/>
    <n v="1.5"/>
    <n v="2.5"/>
    <n v="2.2000000000000002"/>
    <n v="2"/>
    <n v="2"/>
    <n v="4"/>
    <s v="NARO"/>
    <s v="142 National Agricultural Research Organisation"/>
    <s v="MAAIF, MoSTI"/>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3"/>
    <s v="Agricultural Innovations and IPRs profiled"/>
    <s v="Profiling tool developed"/>
    <n v="0"/>
    <m/>
    <n v="1"/>
    <m/>
    <m/>
    <m/>
    <s v="MoSTI"/>
    <s v="023 Ministry of Science,Technology and Innovation"/>
    <s v="Profile Agricultural Innovations and IPRs"/>
    <n v="0"/>
    <n v="0"/>
    <n v="0"/>
    <n v="1"/>
    <n v="1"/>
    <n v="0"/>
    <n v="0"/>
    <n v="0"/>
    <n v="0.25"/>
    <n v="0"/>
    <m/>
    <m/>
    <m/>
    <m/>
    <m/>
    <m/>
    <e v="#REF!"/>
    <s v="MoSTI"/>
    <s v="023 Ministry of Science,Technology and Innovation"/>
    <s v="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3"/>
    <s v="Agricultural Innovations and IPRs profiled"/>
    <s v="Number of profiled Innovations in Agriculture. "/>
    <m/>
    <n v="80"/>
    <n v="20"/>
    <n v="20"/>
    <n v="20"/>
    <n v="20"/>
    <s v="NARO"/>
    <s v="142 National Agricultural Research Organisation"/>
    <s v="Profile Agricultural Innovations and IPRs"/>
    <n v="0"/>
    <n v="0"/>
    <n v="0"/>
    <n v="1"/>
    <n v="1"/>
    <n v="0"/>
    <n v="0"/>
    <n v="0"/>
    <n v="0.25"/>
    <n v="0"/>
    <m/>
    <m/>
    <m/>
    <m/>
    <m/>
    <m/>
    <e v="#REF!"/>
    <s v="NARO"/>
    <s v="142 National Agricultural Research Organisation"/>
    <s v="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4"/>
    <s v="Agricultural Research platforms established"/>
    <s v="Number of Agricultural research platforms established"/>
    <n v="32"/>
    <n v="22"/>
    <n v="22"/>
    <n v="22"/>
    <n v="22"/>
    <n v="22"/>
    <s v="NARO"/>
    <s v="142 National Agricultural Research Organisation"/>
    <s v="Establish Agriculture Research Platforms"/>
    <n v="1"/>
    <n v="0"/>
    <n v="0"/>
    <n v="1"/>
    <n v="1"/>
    <n v="0"/>
    <n v="0"/>
    <n v="0"/>
    <n v="0.375"/>
    <n v="1"/>
    <m/>
    <m/>
    <m/>
    <m/>
    <m/>
    <m/>
    <e v="#REF!"/>
    <s v="NARO"/>
    <s v="142 National Agricultural Research Organisation"/>
    <s v="MAAIF"/>
  </r>
  <r>
    <x v="0"/>
    <x v="0"/>
    <s v="011"/>
    <s v="Agricultural Production and Productivity"/>
    <s v="0111"/>
    <s v="Increase production and productivity"/>
    <s v="011101"/>
    <s v="Strengthen agricultural research and technology development"/>
    <s v="011101b"/>
    <s v="Undertake strategic recruitment and training agricultural research staff"/>
    <s v="011101b05"/>
    <s v="Agricultural Researchers profiled and registered"/>
    <s v="Number of researchers profiled and registered"/>
    <n v="0"/>
    <n v="55"/>
    <n v="55"/>
    <n v="55"/>
    <n v="55"/>
    <n v="58"/>
    <s v="NARO"/>
    <s v="142 National Agricultural Research Organisation"/>
    <s v="Profile and Register Agricultural Researchers "/>
    <n v="0"/>
    <n v="0"/>
    <n v="0"/>
    <n v="0"/>
    <n v="0"/>
    <n v="0"/>
    <n v="0"/>
    <n v="0"/>
    <n v="0"/>
    <n v="0"/>
    <m/>
    <m/>
    <m/>
    <m/>
    <m/>
    <m/>
    <e v="#REF!"/>
    <s v="NARO"/>
    <s v="142 National Agricultural Research Organisation"/>
    <s v="MAAIF"/>
  </r>
  <r>
    <x v="0"/>
    <x v="0"/>
    <s v="011"/>
    <s v="Agricultural Production and Productivity"/>
    <s v="0111"/>
    <s v="Increase production and productivity"/>
    <s v="011101"/>
    <s v="Strengthen agricultural research and technology development"/>
    <s v="011101c"/>
    <s v="Strengthen research standards and quality assurance through formulation of regulations and enforcement"/>
    <s v="011101c01"/>
    <s v="Research standards developed"/>
    <s v="Research standards in place"/>
    <m/>
    <n v="0"/>
    <m/>
    <m/>
    <n v="1"/>
    <m/>
    <s v="MAAIF"/>
    <s v="010 Ministry of Agriculture, Animal &amp; Fisheries"/>
    <m/>
    <n v="0"/>
    <n v="0"/>
    <n v="0"/>
    <n v="0"/>
    <n v="0"/>
    <n v="0"/>
    <n v="0"/>
    <n v="0"/>
    <n v="0"/>
    <n v="0"/>
    <m/>
    <n v="0"/>
    <m/>
    <m/>
    <m/>
    <m/>
    <e v="#REF!"/>
    <s v="MAAIF"/>
    <s v="010 Ministry of Agriculture, Animal &amp; Fisheries"/>
    <s v="N/A"/>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1"/>
    <s v="Climate smart technology demonstration and multiplication centres established"/>
    <s v="Number of Climate smart centres established in all the 8 ZARDIs"/>
    <n v="0"/>
    <n v="3"/>
    <n v="1"/>
    <n v="2"/>
    <n v="1"/>
    <n v="1"/>
    <s v="NARO"/>
    <s v="142 National Agricultural Research Organisation"/>
    <s v="Establish climate smart technology and demonstration centers in 9 ZARDIs;"/>
    <n v="1"/>
    <n v="0"/>
    <n v="0"/>
    <n v="1"/>
    <n v="1"/>
    <n v="1"/>
    <n v="1"/>
    <n v="0"/>
    <n v="0.625"/>
    <n v="0"/>
    <m/>
    <n v="8.5"/>
    <n v="0.5"/>
    <n v="1"/>
    <n v="1.2"/>
    <n v="2.6"/>
    <n v="3.8"/>
    <s v="NARO"/>
    <s v="142 National Agricultural Research Organisation"/>
    <s v="LGs,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1"/>
    <s v="Climate smart technology demonstration and multiplication centres established"/>
    <s v=" 10 centres established in selected BTVET Institutions "/>
    <n v="0"/>
    <n v="2"/>
    <n v="2"/>
    <n v="2"/>
    <n v="2"/>
    <n v="2"/>
    <s v="NARO"/>
    <s v="142 National Agricultural Research Organisation"/>
    <s v="Establish climate smart technology and demonstration centers in selected BTVET institutions;"/>
    <n v="1"/>
    <n v="0"/>
    <n v="0"/>
    <n v="1"/>
    <n v="1"/>
    <n v="1"/>
    <n v="1"/>
    <n v="0"/>
    <n v="0.625"/>
    <n v="0"/>
    <m/>
    <m/>
    <m/>
    <m/>
    <m/>
    <n v="4"/>
    <n v="4"/>
    <s v="NARO"/>
    <s v="142 National Agricultural Research Organisation"/>
    <s v="MoES,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2"/>
    <s v="Functional public-private partnerships established for technology development and promotion"/>
    <s v="Number of functional public-private partnerships established for technology development and promotion"/>
    <n v="0"/>
    <n v="15"/>
    <n v="40"/>
    <n v="35"/>
    <n v="35"/>
    <n v="30"/>
    <s v="NARO"/>
    <s v="142 National Agricultural Research Organisation"/>
    <s v="Develop 155 partnerships for technology development and promotion by 2025"/>
    <n v="1"/>
    <n v="0"/>
    <n v="0"/>
    <n v="1"/>
    <n v="1"/>
    <n v="0"/>
    <n v="0"/>
    <n v="0"/>
    <n v="0.375"/>
    <n v="1"/>
    <m/>
    <n v="0"/>
    <n v="0.1"/>
    <n v="0.1"/>
    <n v="0.1"/>
    <n v="0.1"/>
    <e v="#REF!"/>
    <s v="NARO"/>
    <s v="142 National Agricultural Research Organisation"/>
    <s v="MoICT&amp;NG, LGs,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Doses of semen produced and extended to farmers"/>
    <n v="500000"/>
    <n v="500000"/>
    <n v="500000"/>
    <n v="500000"/>
    <n v="500000"/>
    <n v="500000"/>
    <s v="NAGRC&amp;DB"/>
    <s v="125 National Animal Genetic Res. Centre and Data Bank"/>
    <s v="Produce 2,500,000 Doses of semen and extend to dairy, beef, pigs and goat farmers; "/>
    <n v="1"/>
    <n v="1"/>
    <n v="1"/>
    <n v="1"/>
    <n v="1"/>
    <n v="1"/>
    <n v="1"/>
    <n v="1"/>
    <n v="1"/>
    <n v="0"/>
    <m/>
    <n v="1.5"/>
    <n v="1.5"/>
    <n v="1.5"/>
    <n v="1.5"/>
    <n v="2.5"/>
    <n v="4"/>
    <s v="NAGRC&amp;DB"/>
    <s v="125 National Animal Genetic Res. Centre and Data Bank"/>
    <s v="MAAIF,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Litres of Nitrogen produced "/>
    <n v="500000"/>
    <n v="500000"/>
    <n v="500000"/>
    <n v="500000"/>
    <n v="500000"/>
    <n v="500000"/>
    <s v="NAGRC&amp;DB"/>
    <s v="125 National Animal Genetic Res. Centre and Data Bank"/>
    <s v="Produce 2,500,000 litres of liquid nitrogen for distribution of semen, ova and embryos along the ART value chain,"/>
    <n v="1"/>
    <n v="1"/>
    <n v="1"/>
    <n v="1"/>
    <n v="1"/>
    <n v="1"/>
    <n v="1"/>
    <n v="1"/>
    <n v="1"/>
    <n v="0"/>
    <m/>
    <n v="1.5"/>
    <n v="1.5"/>
    <n v="1.5"/>
    <n v="1.5"/>
    <n v="2.5"/>
    <n v="4"/>
    <s v="NAGRC&amp;DB"/>
    <s v="125 National Animal Genetic Res. Centre and Data Bank"/>
    <s v="MAAIF,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functional public-private partnerships established for technology development and promotion"/>
    <n v="0"/>
    <n v="15"/>
    <n v="28"/>
    <n v="37"/>
    <n v="38"/>
    <n v="37"/>
    <s v="NARO"/>
    <s v="142 National Agricultural Research Organisation"/>
    <s v="Establish functional public-private partnerships for technology development and promotion"/>
    <n v="1"/>
    <n v="0"/>
    <n v="0"/>
    <n v="1"/>
    <n v="1"/>
    <n v="0"/>
    <n v="0"/>
    <n v="0"/>
    <n v="0.375"/>
    <n v="0"/>
    <m/>
    <m/>
    <m/>
    <m/>
    <m/>
    <m/>
    <e v="#REF!"/>
    <s v="NARO"/>
    <s v="142 National Agricultural Research Organisation"/>
    <s v="NAGRC&amp;DB"/>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market-oriented products generated "/>
    <n v="14"/>
    <n v="8"/>
    <n v="8"/>
    <n v="27"/>
    <n v="10"/>
    <n v="25"/>
    <s v="NARO"/>
    <s v="142 National Agricultural Research Organisation"/>
    <s v="Generate and promote improved technologies and innovations for food, nutrition and Industry: 78 market-oriented products; 223 research products for food and nutritional security, 278 production technologies including varieties: "/>
    <n v="1"/>
    <n v="1"/>
    <n v="1"/>
    <n v="1"/>
    <n v="1"/>
    <n v="1"/>
    <n v="1"/>
    <n v="1"/>
    <n v="1"/>
    <n v="0"/>
    <m/>
    <n v="10.8"/>
    <n v="12.5"/>
    <n v="13.149999999999999"/>
    <n v="15"/>
    <n v="6"/>
    <n v="21"/>
    <s v="NARO"/>
    <s v="142 National Agricultural Research Organisation"/>
    <s v="Universities,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research products and services suitable for industry developed"/>
    <n v="0"/>
    <n v="10"/>
    <n v="30"/>
    <n v="35"/>
    <n v="41"/>
    <n v="40"/>
    <s v="NARO"/>
    <s v="142 National Agricultural Research Organisation"/>
    <s v="Generate and promote improved technologies and innovations for food, nutrition and Industry: 78 market-oriented products; 223 research products for food and nutritional security, 278 production technologies including varieties: "/>
    <n v="1"/>
    <n v="1"/>
    <n v="1"/>
    <n v="1"/>
    <n v="1"/>
    <n v="1"/>
    <n v="1"/>
    <n v="1"/>
    <n v="1"/>
    <n v="0"/>
    <m/>
    <m/>
    <m/>
    <m/>
    <n v="0.5"/>
    <n v="0.2"/>
    <n v="0.7"/>
    <s v="NARO"/>
    <s v="142 National Agricultural Research Organisation"/>
    <s v="Universities,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research products and services for food and nutrition security generated"/>
    <n v="0"/>
    <n v="15"/>
    <n v="40"/>
    <n v="70"/>
    <n v="50"/>
    <n v="48"/>
    <s v="NARO"/>
    <s v="142 National Agricultural Research Organisation"/>
    <s v="Generate and promote improved technologies and innovations for food, nutrition and Industry: 78 market-oriented products; 223 research products for food and nutritional security, 278 production technologies including varieties: "/>
    <n v="1"/>
    <n v="1"/>
    <n v="1"/>
    <n v="1"/>
    <n v="1"/>
    <n v="1"/>
    <n v="1"/>
    <n v="1"/>
    <n v="1"/>
    <n v="0"/>
    <m/>
    <m/>
    <m/>
    <m/>
    <m/>
    <n v="0.8"/>
    <n v="0.8"/>
    <s v="NARO"/>
    <s v="142 National Agricultural Research Organisation"/>
    <s v="Universities,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improved technologies and innovations adopted "/>
    <n v="128"/>
    <n v="33"/>
    <n v="47"/>
    <n v="66"/>
    <n v="63"/>
    <n v="69"/>
    <s v="NARO"/>
    <s v="142 National Agricultural Research Organisation"/>
    <s v="Generate and promote improved technologies and innovations for food, nutrition and Industry: 78 market-oriented products; 223 research products for food and nutritional security, 278 production technologies including varieties: "/>
    <n v="1"/>
    <n v="1"/>
    <n v="1"/>
    <n v="1"/>
    <n v="1"/>
    <n v="1"/>
    <n v="1"/>
    <n v="1"/>
    <n v="1"/>
    <n v="0"/>
    <m/>
    <m/>
    <m/>
    <m/>
    <n v="0.4"/>
    <n v="0.9"/>
    <n v="1.3"/>
    <s v="NARO"/>
    <s v="142 National Agricultural Research Organisation"/>
    <s v="Universities,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markets created along product lines"/>
    <n v="0"/>
    <n v="4"/>
    <n v="6"/>
    <n v="15"/>
    <n v="10"/>
    <n v="12"/>
    <s v="NARO"/>
    <s v="142 National Agricultural Research Organisation"/>
    <s v="Generate and promote improved technologies and innovations for food, nutrition and Industry: 78 market-oriented products; 223 research products for food and nutritional security, 278 production technologies including varieties: "/>
    <n v="1"/>
    <n v="1"/>
    <n v="1"/>
    <n v="1"/>
    <n v="1"/>
    <n v="1"/>
    <n v="1"/>
    <n v="1"/>
    <n v="1"/>
    <n v="0"/>
    <m/>
    <m/>
    <m/>
    <m/>
    <n v="0.3"/>
    <n v="0.6"/>
    <n v="0.89999999999999991"/>
    <s v="NARO"/>
    <s v="142 National Agricultural Research Organisation"/>
    <s v="Universities,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improved cotton varieties developed"/>
    <n v="0"/>
    <n v="1"/>
    <n v="2"/>
    <n v="3"/>
    <n v="1"/>
    <n v="3"/>
    <s v="CDO"/>
    <s v="155 Uganda Cotton Development Organisation"/>
    <s v="Develop and release improved cotton varieties"/>
    <n v="1"/>
    <n v="1"/>
    <n v="1"/>
    <n v="1"/>
    <n v="1"/>
    <n v="1"/>
    <n v="1"/>
    <n v="0"/>
    <n v="0.875"/>
    <n v="0"/>
    <m/>
    <n v="2"/>
    <n v="2.5"/>
    <n v="2.5"/>
    <n v="3.5"/>
    <n v="4.5"/>
    <n v="8"/>
    <s v="CDO"/>
    <s v="155 Uganda Cotton Development Organisation"/>
    <s v="NARO, MAAIF, LG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market responsive coffee varities developed"/>
    <n v="0"/>
    <n v="0"/>
    <m/>
    <n v="5"/>
    <m/>
    <n v="5"/>
    <s v="UCDA"/>
    <s v="160 Uganda Coffee Development Authority"/>
    <s v="Develop and release market responsive coffee varieties"/>
    <n v="1"/>
    <n v="1"/>
    <n v="1"/>
    <n v="1"/>
    <n v="1"/>
    <n v="1"/>
    <n v="0"/>
    <n v="0"/>
    <n v="0.75"/>
    <n v="0"/>
    <m/>
    <n v="0"/>
    <n v="4.5"/>
    <n v="5.5"/>
    <n v="3"/>
    <n v="4.0999999999999996"/>
    <n v="7.1"/>
    <s v="UCDA"/>
    <s v="160 Uganda Coffee Development Authority"/>
    <s v="NARO, LGs,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3"/>
    <s v="Demand driven agriculture technologies developed"/>
    <s v="Number of Niche markets for livestock industrial products created"/>
    <n v="0"/>
    <n v="5"/>
    <n v="10"/>
    <n v="12"/>
    <n v="9"/>
    <n v="12"/>
    <s v="NAGRC&amp;DB"/>
    <s v="125 National Animal Genetic Res. Centre and Data Bank"/>
    <s v="Develop and release livestock products for nich markets"/>
    <n v="1"/>
    <n v="1"/>
    <n v="1"/>
    <n v="1"/>
    <n v="1"/>
    <n v="0"/>
    <n v="1"/>
    <n v="1"/>
    <n v="0.875"/>
    <n v="0"/>
    <m/>
    <m/>
    <m/>
    <m/>
    <n v="0.5"/>
    <n v="0.5"/>
    <n v="1"/>
    <s v="NAGRC&amp;DB"/>
    <s v="125 National Animal Genetic Res. Centre and Data Bank"/>
    <s v="MAAIF, NARO"/>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4"/>
    <s v="Animal and Crop genetic resources conserved"/>
    <s v="Number of Gene banks established "/>
    <n v="0"/>
    <n v="2"/>
    <n v="5"/>
    <n v="5"/>
    <n v="4"/>
    <n v="5"/>
    <s v="NARO"/>
    <s v="142 National Agricultural Research Organisation"/>
    <s v="Conserve 10,122 genetic resources; Construct, equip and maintain the National and regional Gene banks (21); Conserve 50 animal genetic resources"/>
    <n v="1"/>
    <n v="0"/>
    <n v="0"/>
    <n v="1"/>
    <n v="1"/>
    <n v="1"/>
    <n v="0"/>
    <n v="1"/>
    <n v="0.625"/>
    <n v="0"/>
    <m/>
    <n v="24.5"/>
    <n v="24.5"/>
    <n v="15.67"/>
    <n v="10"/>
    <n v="17"/>
    <n v="27"/>
    <s v="NARO"/>
    <s v="142 National Agricultural Research Organisation"/>
    <s v="NAGRC&amp;DB, NARO, MAAIF, DLG, Universitie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4"/>
    <s v="Animal and Crop genetic resources conserved"/>
    <s v="Number of genetic resources conserved for sustainable utilisation "/>
    <n v="1500"/>
    <n v="2000"/>
    <n v="2270"/>
    <n v="2120"/>
    <n v="1810"/>
    <n v="1922"/>
    <s v="NARO"/>
    <s v="142 National Agricultural Research Organisation"/>
    <s v="Conserve 10,122 genetic resources; Construct, equip and maintain the National and regional Gene banks (21); Conserve 50 animal genetic resources"/>
    <n v="1"/>
    <n v="0"/>
    <n v="0"/>
    <n v="1"/>
    <n v="1"/>
    <n v="1"/>
    <n v="0"/>
    <n v="1"/>
    <n v="0.625"/>
    <n v="0"/>
    <m/>
    <m/>
    <m/>
    <m/>
    <m/>
    <n v="1.8"/>
    <n v="1.8"/>
    <s v="NARO"/>
    <s v="142 National Agricultural Research Organisation"/>
    <s v="NAGRC&amp;DB, NARO, MAAIF, DLG, Universities"/>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5"/>
    <s v="Sugar Research Centre   established"/>
    <s v="One sugar Research Institute established"/>
    <n v="0"/>
    <n v="0"/>
    <m/>
    <n v="1"/>
    <n v="1"/>
    <m/>
    <s v="NAGRC&amp;DB"/>
    <s v="125 National Animal Genetic Res. Centre and Data Bank"/>
    <s v="Establish a sugar research centre  "/>
    <n v="1"/>
    <n v="0"/>
    <n v="0"/>
    <n v="1"/>
    <n v="1"/>
    <n v="1"/>
    <n v="0"/>
    <n v="0"/>
    <n v="0.5"/>
    <n v="0"/>
    <m/>
    <n v="10"/>
    <n v="5"/>
    <n v="5"/>
    <m/>
    <m/>
    <e v="#REF!"/>
    <s v="NARO"/>
    <s v="142 National Agricultural Research Organisation"/>
    <s v="MTIC, MAAIF, MoICT&amp;NG"/>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6"/>
    <s v="Technology incubation centres established and operational"/>
    <s v="Technology incubation and business centres set up"/>
    <n v="0"/>
    <n v="0"/>
    <n v="1"/>
    <n v="3"/>
    <n v="2"/>
    <n v="1"/>
    <s v="MoSTI"/>
    <s v="023 Ministry of Science,Technology and Innovation"/>
    <s v="Set up 14 technology incubation and business centers and Incubate 28 technologies;"/>
    <n v="1"/>
    <n v="0"/>
    <n v="0"/>
    <n v="1"/>
    <n v="1"/>
    <n v="0"/>
    <n v="0"/>
    <n v="0"/>
    <n v="0.375"/>
    <n v="0"/>
    <m/>
    <n v="12.5"/>
    <n v="5.5"/>
    <n v="22.83"/>
    <m/>
    <m/>
    <e v="#REF!"/>
    <s v="MoSTI"/>
    <s v="023 Ministry of Science,Technology and Innovation"/>
    <s v="NARO, UIRI, MoTIC,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6"/>
    <s v="Technology incubation centres established and operational"/>
    <s v="Number of technologies and innovations incubated"/>
    <n v="0"/>
    <n v="3"/>
    <n v="6"/>
    <n v="6"/>
    <n v="6"/>
    <n v="7"/>
    <s v="MoSTI"/>
    <s v="023 Ministry of Science,Technology and Innovation"/>
    <s v="Set up 14 technology incubation and business centers and Incubate 28 technologies;"/>
    <n v="1"/>
    <n v="0"/>
    <n v="0"/>
    <n v="1"/>
    <n v="1"/>
    <n v="0"/>
    <n v="0"/>
    <n v="0"/>
    <n v="0.375"/>
    <n v="0"/>
    <m/>
    <m/>
    <m/>
    <m/>
    <m/>
    <m/>
    <e v="#REF!"/>
    <s v="MoSTI"/>
    <s v="023 Ministry of Science,Technology and Innovation"/>
    <s v="NARO, UIRI, MoTIC, MAAIF"/>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6"/>
    <s v="Technology incubation centres established and operational"/>
    <s v="Number of prison farms with established seed multiplication centres"/>
    <n v="0"/>
    <n v="5"/>
    <n v="10"/>
    <n v="15"/>
    <n v="7"/>
    <n v="8"/>
    <s v="UPS"/>
    <s v="145 Uganda Prisons"/>
    <s v="Establish seed multiplication centres in prison farms"/>
    <n v="1"/>
    <n v="1"/>
    <n v="1"/>
    <n v="1"/>
    <n v="1"/>
    <n v="1"/>
    <n v="1"/>
    <n v="1"/>
    <n v="1"/>
    <n v="0"/>
    <m/>
    <n v="10"/>
    <n v="12"/>
    <n v="12.5"/>
    <n v="7"/>
    <n v="8"/>
    <n v="15"/>
    <s v="UPS"/>
    <s v="145 Uganda Prisons"/>
    <s v="NARO, MAAIF, DLG"/>
  </r>
  <r>
    <x v="0"/>
    <x v="0"/>
    <s v="011"/>
    <s v="Agricultural Production and Productivity"/>
    <s v="0111"/>
    <s v="Increase production and productivity"/>
    <s v="011101"/>
    <s v="Strengthen agricultural research and technology development"/>
    <s v="011101d"/>
    <s v="Establish climate smart technology demonstration and multiplication centers at all the ZARDIs and BTVET institutions engaged in agroindustry programs for technology dissemination and commercialization"/>
    <s v="011101d06"/>
    <s v="Technology incubation centres established and operational"/>
    <s v="Number of parishes in which coffee agronomic practises are demonstrated"/>
    <n v="200"/>
    <n v="700"/>
    <n v="1200"/>
    <n v="1700"/>
    <n v="1200"/>
    <n v="1500"/>
    <s v="UCDA"/>
    <s v="160 Uganda Coffee Development Authority"/>
    <s v="Demonstrate coffee good agronomical practices and good business practices in 2,538 parishes"/>
    <n v="1"/>
    <n v="1"/>
    <n v="1"/>
    <n v="1"/>
    <n v="1"/>
    <n v="1"/>
    <n v="1"/>
    <n v="1"/>
    <n v="1"/>
    <n v="0"/>
    <m/>
    <n v="3.5"/>
    <n v="5.2"/>
    <n v="5.6"/>
    <n v="4"/>
    <n v="5.7"/>
    <n v="9.6999999999999993"/>
    <s v="UCDA"/>
    <s v="160 Uganda Coffee Development Authority"/>
    <s v="MAAIF, DLG"/>
  </r>
  <r>
    <x v="0"/>
    <x v="0"/>
    <s v="011"/>
    <s v="Agricultural Production and Productivity"/>
    <s v="0111"/>
    <s v="Increase production and productivity"/>
    <s v="011101"/>
    <s v="Strengthen agricultural research and technology development"/>
    <s v="011101e"/>
    <s v="Establish and strengthen linkages between agricultural research institutions, BTVET institutions engaged in agro-industry and agro-industry enterprises"/>
    <s v="011101e01"/>
    <s v="Research-extension farmer linkages developed and strengthened"/>
    <s v="Number of technologies adopted"/>
    <n v="128"/>
    <n v="33"/>
    <n v="47"/>
    <n v="66"/>
    <n v="69"/>
    <n v="63"/>
    <s v="MAAIF"/>
    <s v="010 Ministry of Agriculture, Animal &amp; Fisheries"/>
    <s v="Research extension farmer linkages developed"/>
    <n v="1"/>
    <n v="1"/>
    <n v="1"/>
    <n v="1"/>
    <n v="1"/>
    <n v="1"/>
    <n v="1"/>
    <n v="0"/>
    <n v="0.875"/>
    <n v="0"/>
    <n v="0"/>
    <n v="0"/>
    <n v="1"/>
    <n v="1"/>
    <n v="1"/>
    <n v="1"/>
    <n v="2"/>
    <s v="MAAIF"/>
    <s v="010 Ministry of Agriculture, Animal &amp; Fisheries"/>
    <s v="LGs, NARO"/>
  </r>
  <r>
    <x v="0"/>
    <x v="0"/>
    <s v="011"/>
    <s v="Agricultural Production and Productivity"/>
    <s v="0111"/>
    <s v="Increase production and productivity"/>
    <s v="011101"/>
    <s v="Strengthen agricultural research and technology development"/>
    <s v="011101e"/>
    <s v="Establish and strengthen linkages between agricultural research institutions, BTVET institutions engaged in agro-industry and agro-industry enterprises"/>
    <s v="011101e01"/>
    <s v="Research-extension farmer linkages developed and strengthened"/>
    <s v="Number of District Adaptive Research Support Teams (DARSTs) developed "/>
    <n v="0"/>
    <n v="29"/>
    <n v="29"/>
    <n v="29"/>
    <n v="29"/>
    <n v="28"/>
    <s v="NARO"/>
    <s v="142 National Agricultural Research Organisation"/>
    <s v="Develop District Adaptive Research Support Teams (DARSTs) "/>
    <n v="1"/>
    <n v="0"/>
    <n v="0"/>
    <n v="1"/>
    <n v="1"/>
    <n v="0"/>
    <n v="1"/>
    <n v="0"/>
    <n v="0.5"/>
    <n v="0"/>
    <m/>
    <m/>
    <m/>
    <m/>
    <m/>
    <m/>
    <e v="#REF!"/>
    <s v="NARO"/>
    <s v="142 National Agricultural Research Organisation"/>
    <m/>
  </r>
  <r>
    <x v="0"/>
    <x v="0"/>
    <s v="011"/>
    <s v="Agricultural Production and Productivity"/>
    <s v="0111"/>
    <s v="Increase production and productivity"/>
    <s v="011101"/>
    <s v="Strengthen agricultural research and technology development"/>
    <s v="011101f"/>
    <s v="Upscale research on biofortification and the multiplication of nutrient dense food staples such as beans, cassava and sweet potatoes, rice, among others"/>
    <s v="011101f01"/>
    <s v="Research on biofortification and the multiplication of nutrient dense food staples such as beans, cassava and sweet potatoes, rice upscaled_x000a_"/>
    <s v="Number of bio-fortified seed tecchnologies distributed to farmers"/>
    <n v="7"/>
    <n v="1"/>
    <n v="1"/>
    <n v="5"/>
    <n v="5"/>
    <n v="3"/>
    <s v="NARO"/>
    <s v="142 National Agricultural Research Organisation"/>
    <s v="Production of Zinc and Iron beans, cassava, orange fleshed sweet potatoes distributed to farmers"/>
    <n v="1"/>
    <n v="1"/>
    <n v="1"/>
    <n v="1"/>
    <n v="1"/>
    <n v="1"/>
    <n v="1"/>
    <n v="1"/>
    <n v="1"/>
    <n v="0"/>
    <m/>
    <n v="0"/>
    <n v="4"/>
    <n v="4"/>
    <n v="2.8"/>
    <n v="1.2"/>
    <n v="4"/>
    <s v="NARO"/>
    <s v="142 National Agricultural Research Organisation"/>
    <s v="LGs, MoH, MAAIF, OWC"/>
  </r>
  <r>
    <x v="0"/>
    <x v="0"/>
    <s v="011"/>
    <s v="Agricultural Production and Productivity"/>
    <s v="0111"/>
    <s v="Increase production and productivity"/>
    <s v="011102"/>
    <s v="Strengthen the agricultural extension system"/>
    <s v="011102a"/>
    <s v="Operationalize agricultural extension system"/>
    <s v="011102a01"/>
    <s v="Extension workers recruited and equipped"/>
    <s v="No. of new extension workers recruited"/>
    <n v="4000"/>
    <n v="0"/>
    <n v="500"/>
    <n v="1000"/>
    <n v="250"/>
    <n v="250"/>
    <s v="MAAIF"/>
    <s v="010 Ministry of Agriculture, Animal &amp; Fisheries"/>
    <s v="Recruit additional extension  workers ( general practitioners) at districts and sub-counties; "/>
    <n v="1"/>
    <n v="0"/>
    <n v="1"/>
    <n v="1"/>
    <n v="1"/>
    <n v="0"/>
    <n v="1"/>
    <n v="0"/>
    <n v="0.625"/>
    <n v="0"/>
    <m/>
    <n v="5"/>
    <n v="18"/>
    <n v="22"/>
    <n v="8"/>
    <n v="8"/>
    <n v="16"/>
    <s v="MAAIF"/>
    <s v="010 Ministry of Agriculture, Animal &amp; Fisheries"/>
    <s v="MoLG, UCDA, LGs, NAGRC&amp;DB, CDO, DDA"/>
  </r>
  <r>
    <x v="0"/>
    <x v="0"/>
    <s v="011"/>
    <s v="Agricultural Production and Productivity"/>
    <s v="0111"/>
    <s v="Increase production and productivity"/>
    <s v="011102"/>
    <s v="Strengthen the agricultural extension system"/>
    <s v="011102a"/>
    <s v="Operationalize agricultural extension system"/>
    <s v="011102a01"/>
    <s v="Extension workers recruited and equipped"/>
    <s v="No. of extension workers supported with equipment"/>
    <n v="1061"/>
    <n v="0"/>
    <n v="1000"/>
    <n v="1000"/>
    <n v="1000"/>
    <n v="1000"/>
    <s v="MAAIF"/>
    <s v="010 Ministry of Agriculture, Animal &amp; Fisheries"/>
    <s v="Provide logistical support to public extension service workers under the Parish Model"/>
    <n v="1"/>
    <n v="0"/>
    <n v="1"/>
    <n v="1"/>
    <n v="1"/>
    <n v="0"/>
    <n v="1"/>
    <n v="0"/>
    <n v="0.625"/>
    <n v="0"/>
    <m/>
    <n v="3.5"/>
    <n v="7"/>
    <n v="10"/>
    <n v="15"/>
    <n v="20"/>
    <n v="35"/>
    <s v="MAAIF"/>
    <s v="010 Ministry of Agriculture, Animal &amp; Fisheries"/>
    <s v="MoLG, LGs, NAGRIC, NARO, Public Service, UCDA, CDO,OWC"/>
  </r>
  <r>
    <x v="0"/>
    <x v="0"/>
    <s v="011"/>
    <s v="Agricultural Production and Productivity"/>
    <s v="0111"/>
    <s v="Increase production and productivity"/>
    <s v="011102"/>
    <s v="Strengthen the agricultural extension system"/>
    <s v="011102a"/>
    <s v="Operationalize agricultural extension system"/>
    <s v="011102a01"/>
    <s v="Extension workers recruited and equipped"/>
    <s v="Number of specialised value chain extension workers recruited"/>
    <n v="0"/>
    <m/>
    <n v="20"/>
    <n v="30"/>
    <n v="120"/>
    <m/>
    <s v="MAAIF"/>
    <s v="010 Ministry of Agriculture, Animal &amp; Fisheries"/>
    <s v="Recruit additional extension  workers (specialist in the 10 Agricultural zones)"/>
    <n v="1"/>
    <n v="0"/>
    <n v="1"/>
    <n v="1"/>
    <n v="1"/>
    <n v="0"/>
    <n v="1"/>
    <n v="0"/>
    <n v="0.625"/>
    <n v="0"/>
    <m/>
    <m/>
    <m/>
    <m/>
    <m/>
    <m/>
    <n v="0"/>
    <s v="MAAIF"/>
    <s v="010 Ministry of Agriculture, Animal &amp; Fisheries"/>
    <s v="MoLG, LGs, NAGRIC, NARO, Public Service, UCDA, CDO,OWC"/>
  </r>
  <r>
    <x v="0"/>
    <x v="0"/>
    <s v="011"/>
    <s v="Agricultural Production and Productivity"/>
    <s v="0111"/>
    <s v="Increase production and productivity"/>
    <s v="011102"/>
    <s v="Strengthen the agricultural extension system"/>
    <s v="011102a"/>
    <s v="Operationalize agricultural extension system"/>
    <s v="011102a02"/>
    <s v="Innovative Extension models service delivery models scaled up"/>
    <s v="Structures for village agents and parish models in place"/>
    <n v="0"/>
    <m/>
    <n v="1"/>
    <m/>
    <m/>
    <m/>
    <s v="MAAIF"/>
    <s v="010 Ministry of Agriculture, Animal &amp; Fisheries"/>
    <s v="Set structures for village agents, nucleus farmers and parish model "/>
    <n v="1"/>
    <n v="0"/>
    <n v="0"/>
    <n v="1"/>
    <n v="1"/>
    <n v="0"/>
    <n v="1"/>
    <n v="0"/>
    <n v="0.5"/>
    <n v="0"/>
    <m/>
    <m/>
    <m/>
    <m/>
    <m/>
    <m/>
    <e v="#REF!"/>
    <s v="MAAIF"/>
    <s v="010 Ministry of Agriculture, Animal &amp; Fisheries"/>
    <s v="MoLG, LGs, NAGRIC, NARO, Public Service, UCDA, CDO,OWC"/>
  </r>
  <r>
    <x v="0"/>
    <x v="0"/>
    <s v="011"/>
    <s v="Agricultural Production and Productivity"/>
    <s v="0111"/>
    <s v="Increase production and productivity"/>
    <s v="011102"/>
    <s v="Strengthen the agricultural extension system"/>
    <s v="011102a"/>
    <s v="Operationalize agricultural extension system"/>
    <s v="011102a03"/>
    <s v="Innovative Extension models service delivery models scaled up"/>
    <s v="No. of village agents and nucleus farmers supported "/>
    <n v="0"/>
    <n v="136"/>
    <n v="525"/>
    <n v="1050"/>
    <n v="1575"/>
    <n v="2100"/>
    <s v="MAAIF"/>
    <s v="010 Ministry of Agriculture, Animal &amp; Fisheries"/>
    <s v="Support village agents and nucleus farmers"/>
    <n v="0"/>
    <n v="0"/>
    <n v="0"/>
    <n v="0"/>
    <n v="0"/>
    <n v="0"/>
    <n v="0"/>
    <n v="0"/>
    <n v="0"/>
    <n v="1"/>
    <m/>
    <m/>
    <m/>
    <m/>
    <m/>
    <m/>
    <e v="#REF!"/>
    <s v="MAAIF"/>
    <s v="010 Ministry of Agriculture, Animal &amp; Fisheries"/>
    <s v="MoLG, LGs, NAGRIC, NARO, Public Service, UCDA, CDO,OWC"/>
  </r>
  <r>
    <x v="0"/>
    <x v="0"/>
    <s v="011"/>
    <s v="Agricultural Production and Productivity"/>
    <s v="0111"/>
    <s v="Increase production and productivity"/>
    <s v="011102"/>
    <s v="Strengthen the agricultural extension system"/>
    <s v="011102a"/>
    <s v="Operationalize agricultural extension system"/>
    <s v="011102a04"/>
    <s v="Value chain focussed training packages developed"/>
    <s v="No. of training packages developed in partnership with DIT and BTVET institutions"/>
    <n v="0"/>
    <n v="0"/>
    <n v="0"/>
    <n v="3"/>
    <n v="7"/>
    <n v="9"/>
    <s v="MAAIF"/>
    <s v="010 Ministry of Agriculture, Animal &amp; Fisheries"/>
    <s v="Incorporate BTVET institutions into the agricultural extension system to ensure that what is taught in these institutions is adopted and utilised by farmers. BTVET institutions with large acreages of land to be used as demonstration centres"/>
    <n v="1"/>
    <n v="0"/>
    <n v="0"/>
    <n v="1"/>
    <n v="0"/>
    <n v="0"/>
    <n v="0"/>
    <n v="0"/>
    <n v="0.25"/>
    <n v="0"/>
    <m/>
    <m/>
    <m/>
    <m/>
    <m/>
    <m/>
    <e v="#REF!"/>
    <s v="MAAIF"/>
    <s v="010 Ministry of Agriculture, Animal &amp; Fisheries"/>
    <s v="MoES, LGs,MoLG"/>
  </r>
  <r>
    <x v="0"/>
    <x v="0"/>
    <s v="011"/>
    <s v="Agricultural Production and Productivity"/>
    <s v="0111"/>
    <s v="Increase production and productivity"/>
    <s v="011102"/>
    <s v="Strengthen the agricultural extension system"/>
    <s v="011102a"/>
    <s v="Operationalize agricultural extension system"/>
    <s v="011102a05"/>
    <s v="Extension workers trained in entire value chain focused skills"/>
    <s v="No. of LG and private sector extension workers trained"/>
    <n v="1000"/>
    <n v="1000"/>
    <n v="1000"/>
    <n v="1000"/>
    <n v="1000"/>
    <n v="1000"/>
    <s v="MAAIF"/>
    <s v="010 Ministry of Agriculture, Animal &amp; Fisheries"/>
    <s v="Continously identify capacity gaps, equip and retool extension workers"/>
    <n v="1"/>
    <n v="1"/>
    <n v="1"/>
    <n v="1"/>
    <n v="1"/>
    <n v="0"/>
    <n v="1"/>
    <n v="0"/>
    <n v="0.75"/>
    <n v="0"/>
    <m/>
    <n v="13.5"/>
    <n v="13.5"/>
    <n v="13.5"/>
    <n v="12"/>
    <n v="13.5"/>
    <n v="25.5"/>
    <s v="MAAIF"/>
    <s v="010 Ministry of Agriculture, Animal &amp; Fisheries"/>
    <s v="OWC, CDO, UCDA, DDA, NAGRC&amp;DB, DLGs, "/>
  </r>
  <r>
    <x v="0"/>
    <x v="0"/>
    <s v="011"/>
    <s v="Agricultural Production and Productivity"/>
    <s v="0111"/>
    <s v="Increase production and productivity"/>
    <s v="011102"/>
    <s v="Strengthen the agricultural extension system"/>
    <s v="011102b"/>
    <s v="Develop and operationalize an ICT-enabled agricultural extension supervision and traceability system"/>
    <s v="011102b01"/>
    <s v="ICT-enabled agricultural extension supervision system developed and operationalised"/>
    <s v="Number of districts using ICT enabled agricultural extension applications"/>
    <n v="2"/>
    <n v="15"/>
    <n v="30"/>
    <n v="50"/>
    <n v="30"/>
    <n v="60"/>
    <s v="MoICT&amp;NG"/>
    <s v="020 Ministry of ICT and National Guidance"/>
    <s v="Develop and extend ICT applications, provide ICT equipment and train staff on their usage; retooling and equipping Zonal Training Centres with the necessary infrastructure, equipment and ICT innovations"/>
    <n v="1"/>
    <n v="1"/>
    <n v="0"/>
    <n v="1"/>
    <n v="1"/>
    <n v="1"/>
    <n v="1"/>
    <n v="0"/>
    <n v="0.75"/>
    <n v="0"/>
    <m/>
    <n v="28.5"/>
    <n v="20"/>
    <n v="24.5"/>
    <n v="8"/>
    <n v="12"/>
    <n v="20"/>
    <s v="MoICT&amp;NG"/>
    <s v="020 Ministry of ICT and National Guidance"/>
    <s v="MoLG, UCDA,  MAAIF, LG"/>
  </r>
  <r>
    <x v="0"/>
    <x v="0"/>
    <s v="011"/>
    <s v="Agricultural Production and Productivity"/>
    <s v="0111"/>
    <s v="Increase production and productivity"/>
    <s v="011102"/>
    <s v="Strengthen the agricultural extension system"/>
    <s v="011102b"/>
    <s v="Develop and operationalize an ICT-enabled agricultural extension supervision and traceability system"/>
    <s v="011102b01"/>
    <s v="ICT-enabled agricultural extension supervision system developed and operationalised"/>
    <s v="No of districts using the ICT-enabled agricultural extension supervision system"/>
    <n v="2"/>
    <n v="0"/>
    <n v="40"/>
    <n v="60"/>
    <n v="80"/>
    <n v="136"/>
    <s v="MoICT&amp;NG"/>
    <s v="020 Ministry of ICT and National Guidance"/>
    <s v="Develop and extend ICT applications, provide ICT equipment and train staff on their usage; retooling and equipping Zonal Training Centres with the necessary infrastructure, equipment and ICT innovations"/>
    <n v="1"/>
    <n v="1"/>
    <n v="0"/>
    <n v="1"/>
    <n v="1"/>
    <n v="1"/>
    <n v="1"/>
    <n v="0"/>
    <n v="0.75"/>
    <n v="0"/>
    <m/>
    <m/>
    <m/>
    <m/>
    <m/>
    <m/>
    <n v="0"/>
    <s v="MoICT&amp;NG"/>
    <s v="020 Ministry of ICT and National Guidance"/>
    <s v="MoLG, UCDA,  MAAIF, LG"/>
  </r>
  <r>
    <x v="0"/>
    <x v="0"/>
    <s v="011"/>
    <s v="Agricultural Production and Productivity"/>
    <s v="0111"/>
    <s v="Increase production and productivity"/>
    <s v="011102"/>
    <s v="Strengthen the agricultural extension system"/>
    <s v="011102b"/>
    <s v="Develop and operationalize an ICT-enabled agricultural extension supervision and traceability system"/>
    <s v="011102b01"/>
    <s v="ICT-enabled agricultural extension supervision system developed and operationalised"/>
    <s v="No of  e-learning centers at zonal level established"/>
    <n v="0"/>
    <n v="1"/>
    <n v="1"/>
    <n v="2"/>
    <n v="3"/>
    <n v="2"/>
    <s v="MoICT&amp;NG"/>
    <s v="020 Ministry of ICT and National Guidance"/>
    <s v="Develop and extend ICT applications, provide ICT equipment and train staff on their usage; retooling and equipping Zonal Training Centres with the necessary infrastructure, equipment and ICT innovations"/>
    <n v="1"/>
    <n v="1"/>
    <n v="0"/>
    <n v="1"/>
    <n v="1"/>
    <n v="1"/>
    <n v="1"/>
    <n v="0"/>
    <n v="0.75"/>
    <n v="0"/>
    <m/>
    <m/>
    <m/>
    <m/>
    <n v="2"/>
    <n v="3"/>
    <n v="5"/>
    <s v="MoICT&amp;NG"/>
    <s v="020 Ministry of ICT and National Guidance"/>
    <s v="MoLG, UCDA,  MAAIF, LG"/>
  </r>
  <r>
    <x v="0"/>
    <x v="0"/>
    <s v="011"/>
    <s v="Agricultural Production and Productivity"/>
    <s v="0111"/>
    <s v="Increase production and productivity"/>
    <s v="011102"/>
    <s v="Strengthen the agricultural extension system"/>
    <s v="011102b"/>
    <s v="Develop and operationalize an ICT-enabled agricultural extension supervision and traceability system"/>
    <s v="011102b02"/>
    <s v="A National Register of accredited private extension services providers"/>
    <s v="Number of Extension service providers profiled and registered"/>
    <n v="0"/>
    <n v="100"/>
    <n v="100"/>
    <n v="100"/>
    <n v="100"/>
    <n v="100"/>
    <s v="MAAIF"/>
    <s v="010 Ministry of Agriculture, Animal &amp; Fisheries"/>
    <s v="Register and accredit private extension services providers at village and parish levels for targeted support "/>
    <n v="1"/>
    <n v="1"/>
    <n v="1"/>
    <n v="1"/>
    <n v="1"/>
    <n v="1"/>
    <n v="1"/>
    <n v="1"/>
    <n v="1"/>
    <n v="0"/>
    <m/>
    <n v="2"/>
    <n v="4"/>
    <n v="4"/>
    <n v="0.8"/>
    <n v="0.8"/>
    <n v="1.6"/>
    <s v="MAAIF"/>
    <s v="010 Ministry of Agriculture, Animal &amp; Fisheries"/>
    <s v="OWC, MLG, LGs,  "/>
  </r>
  <r>
    <x v="0"/>
    <x v="0"/>
    <s v="011"/>
    <s v="Agricultural Production and Productivity"/>
    <s v="0111"/>
    <s v="Increase production and productivity"/>
    <s v="011102"/>
    <s v="Strengthen the agricultural extension system"/>
    <s v="011102c"/>
    <s v="Scale-up innovative extension models such as nucleus farmers in all agro-ecological zones"/>
    <s v="011102c01"/>
    <s v="Enhanced access to agricultural extension services "/>
    <s v="No. of village agents supported"/>
    <n v="0"/>
    <n v="136"/>
    <n v="17250"/>
    <n v="34500"/>
    <n v="51750"/>
    <n v="69000"/>
    <s v="MAAIF"/>
    <s v="010 Ministry of Agriculture, Animal &amp; Fisheries"/>
    <m/>
    <n v="0"/>
    <n v="0"/>
    <n v="0"/>
    <n v="0"/>
    <n v="0"/>
    <n v="0"/>
    <n v="0"/>
    <n v="0"/>
    <n v="0"/>
    <n v="0"/>
    <m/>
    <m/>
    <m/>
    <m/>
    <m/>
    <m/>
    <e v="#REF!"/>
    <s v="MAAIF"/>
    <s v="010 Ministry of Agriculture, Animal &amp; Fisheries"/>
    <s v="LGs"/>
  </r>
  <r>
    <x v="0"/>
    <x v="0"/>
    <s v="011"/>
    <s v="Agricultural Production and Productivity"/>
    <s v="0111"/>
    <s v="Increase production and productivity"/>
    <s v="011102"/>
    <s v="Strengthen the agricultural extension system"/>
    <s v="011102c"/>
    <s v="Scale-up innovative extension models such as nucleus farmers in all agro-ecological zones"/>
    <s v="011102c01"/>
    <s v="Enhanced access to agricultural extension services "/>
    <s v="No. of parish model farms supported"/>
    <n v="0"/>
    <n v="136"/>
    <n v="2750"/>
    <n v="5500"/>
    <n v="8250"/>
    <n v="11000"/>
    <s v="MAAIF"/>
    <s v="010 Ministry of Agriculture, Animal &amp; Fisheries"/>
    <m/>
    <n v="0"/>
    <n v="0"/>
    <n v="0"/>
    <n v="0"/>
    <n v="0"/>
    <n v="0"/>
    <n v="0"/>
    <n v="0"/>
    <n v="0"/>
    <n v="0"/>
    <m/>
    <m/>
    <m/>
    <m/>
    <m/>
    <m/>
    <e v="#REF!"/>
    <s v="MAAIF"/>
    <s v="010 Ministry of Agriculture, Animal &amp; Fisheries"/>
    <s v="LGs"/>
  </r>
  <r>
    <x v="0"/>
    <x v="0"/>
    <s v="011"/>
    <s v="Agricultural Production and Productivity"/>
    <s v="0111"/>
    <s v="Increase production and productivity"/>
    <s v="011102"/>
    <s v="Strengthen the agricultural extension system"/>
    <s v="011102c"/>
    <s v="Scale-up innovative extension models such as nucleus farmers in all agro-ecological zones"/>
    <s v="011102c01"/>
    <s v="Enhanced access to agricultural extension services "/>
    <s v="Number of nucleus farmers trained"/>
    <n v="0"/>
    <n v="136"/>
    <n v="525"/>
    <n v="1050"/>
    <n v="1575"/>
    <n v="2100"/>
    <s v="MAAIF"/>
    <s v="010 Ministry of Agriculture, Animal &amp; Fisheries"/>
    <m/>
    <n v="0"/>
    <n v="0"/>
    <n v="0"/>
    <n v="0"/>
    <n v="0"/>
    <n v="0"/>
    <n v="0"/>
    <n v="0"/>
    <n v="0"/>
    <n v="0"/>
    <m/>
    <m/>
    <m/>
    <m/>
    <m/>
    <m/>
    <e v="#REF!"/>
    <s v="MAAIF"/>
    <s v="010 Ministry of Agriculture, Animal &amp; Fisheries"/>
    <s v="LGs"/>
  </r>
  <r>
    <x v="0"/>
    <x v="0"/>
    <s v="011"/>
    <s v="Agricultural Production and Productivity"/>
    <s v="0111"/>
    <s v="Increase production and productivity"/>
    <s v="011102"/>
    <s v="Strengthen the agricultural extension system"/>
    <s v="011102d"/>
    <s v="Strengthen the research-extension-farmer linkages to increase uptake of new technologies"/>
    <s v="011102d01"/>
    <s v="Research-extension-farmer linkages developed and strengthened "/>
    <s v="9 Zonal agricultural extension coordinators recruited"/>
    <n v="0"/>
    <n v="0"/>
    <n v="0"/>
    <n v="3"/>
    <n v="3"/>
    <n v="3"/>
    <s v="MAAIF"/>
    <s v="010 Ministry of Agriculture, Animal &amp; Fisheries"/>
    <m/>
    <n v="0"/>
    <n v="0"/>
    <n v="0"/>
    <n v="0"/>
    <n v="0"/>
    <n v="0"/>
    <n v="0"/>
    <n v="0"/>
    <n v="0"/>
    <n v="0"/>
    <m/>
    <m/>
    <m/>
    <m/>
    <m/>
    <m/>
    <e v="#REF!"/>
    <s v="MAAIF"/>
    <s v="010 Ministry of Agriculture, Animal &amp; Fisheries"/>
    <s v="NARO"/>
  </r>
  <r>
    <x v="0"/>
    <x v="0"/>
    <s v="011"/>
    <s v="Agricultural Production and Productivity"/>
    <s v="0111"/>
    <s v="Increase production and productivity"/>
    <s v="011102"/>
    <s v="Strengthen the agricultural extension system"/>
    <s v="011102d"/>
    <s v="Strengthen the research-extension-farmer linkages to increase uptake of new technologies"/>
    <s v="011102d01"/>
    <s v="Research-extension-farmer linkages developed and strengthened "/>
    <s v="281 Functional commodity-based platforms and commercialization approaches established at different levels (National and district) "/>
    <n v="5"/>
    <n v="45"/>
    <n v="60"/>
    <n v="60"/>
    <n v="60"/>
    <n v="51"/>
    <s v="MAAIF"/>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2"/>
    <s v="Strengthen the agricultural extension system"/>
    <s v="011102d"/>
    <s v="Strengthen the research-extension-farmer linkages to increase uptake of new technologies"/>
    <s v="011102d01"/>
    <s v="Research-extension-farmer linkages developed and strengthened "/>
    <s v="Number of demonstrations sites for the different value chain innovations demonstrated established "/>
    <n v="0"/>
    <n v="3313"/>
    <n v="3314"/>
    <n v="3313"/>
    <n v="3313"/>
    <n v="3315"/>
    <s v="MAAIF"/>
    <s v="010 Ministry of Agriculture, Animal &amp; Fisheries"/>
    <m/>
    <n v="0"/>
    <n v="0"/>
    <n v="0"/>
    <n v="0"/>
    <n v="0"/>
    <n v="0"/>
    <n v="0"/>
    <n v="0"/>
    <n v="0"/>
    <n v="0"/>
    <m/>
    <m/>
    <m/>
    <m/>
    <m/>
    <m/>
    <e v="#REF!"/>
    <s v="MAAIF"/>
    <s v="010 Ministry of Agriculture, Animal &amp; Fisheries"/>
    <s v="MoTIC"/>
  </r>
  <r>
    <x v="0"/>
    <x v="0"/>
    <s v="011"/>
    <s v="Agricultural Production and Productivity"/>
    <s v="0111"/>
    <s v="Increase production and productivity"/>
    <s v="011102"/>
    <s v="Strengthen the agricultural extension system"/>
    <s v="011102e"/>
    <s v="Strengthen the research-extension-farmer linkages to increase uptake of new climate smart technologies"/>
    <s v="011102e01"/>
    <s v="Commodity-based platforms/Forum and commercialization approaches established at different levels (National and district)"/>
    <s v=" Number of commodity-based platforms/Forum and commercialization approaches established at different levels (National and district) "/>
    <n v="3"/>
    <s v="-"/>
    <n v="20"/>
    <n v="20"/>
    <n v="20"/>
    <n v="20"/>
    <s v="MAAIF"/>
    <s v="010 Ministry of Agriculture, Animal &amp; Fisheries"/>
    <s v="Establish commodity-based platforms"/>
    <n v="1"/>
    <n v="0"/>
    <n v="1"/>
    <n v="1"/>
    <n v="1"/>
    <n v="1"/>
    <n v="1"/>
    <n v="0"/>
    <n v="0.75"/>
    <n v="0"/>
    <m/>
    <m/>
    <m/>
    <m/>
    <n v="1"/>
    <n v="1.2"/>
    <n v="2.2000000000000002"/>
    <s v="MAAIF"/>
    <s v="010 Ministry of Agriculture, Animal &amp; Fisheries"/>
    <s v="NARO, NAADS, OWC, CDO, UCDA, DDA, NAGRC&amp;DB, MLG"/>
  </r>
  <r>
    <x v="0"/>
    <x v="0"/>
    <s v="011"/>
    <s v="Agricultural Production and Productivity"/>
    <s v="0111"/>
    <s v="Increase production and productivity"/>
    <s v="011102"/>
    <s v="Strengthen the agricultural extension system"/>
    <s v="011102f"/>
    <s v="Develop and equip youth with knowledge, skills and facilities for access and utilisation of modern extension services"/>
    <s v="011102f01"/>
    <s v="Agribusiness incubation centres established"/>
    <s v="No. of Agribusiness incubation centres established"/>
    <n v="0"/>
    <m/>
    <n v="2"/>
    <n v="1"/>
    <n v="1"/>
    <n v="1"/>
    <s v="MAAIF"/>
    <s v="010 Ministry of Agriculture, Animal &amp; Fisheries"/>
    <s v=" Develop and equip youth with knowledge, skills and facilities for access and utilisation of modern extension services"/>
    <n v="1"/>
    <n v="1"/>
    <n v="1"/>
    <n v="1"/>
    <n v="1"/>
    <n v="0"/>
    <n v="1"/>
    <n v="0"/>
    <n v="0.75"/>
    <n v="0"/>
    <m/>
    <m/>
    <m/>
    <m/>
    <n v="0.4"/>
    <n v="0.4"/>
    <n v="0.8"/>
    <s v="MAAIF"/>
    <s v="010 Ministry of Agriculture, Animal &amp; Fisheries"/>
    <s v="MoLG"/>
  </r>
  <r>
    <x v="0"/>
    <x v="0"/>
    <s v="011"/>
    <s v="Agricultural Production and Productivity"/>
    <s v="0111"/>
    <s v="Increase production and productivity"/>
    <s v="011103"/>
    <s v="Strengthen the agricultural inputs markets and distribution systems to adhere to quality standards and grades"/>
    <s v="011103a"/>
    <s v="Setup and equip farm service centers within the public service e-service centers for bulk input procurement, storage and distribution"/>
    <s v="011103a01"/>
    <s v="Two Fry centres fully operational"/>
    <s v="Number of Regional Fry Centres rehabilitated"/>
    <n v="0"/>
    <n v="2"/>
    <n v="2"/>
    <n v="2"/>
    <n v="2"/>
    <n v="2"/>
    <s v="MAAIF"/>
    <s v="010 Ministry of Agriculture, Animal &amp; Fisheries"/>
    <s v="Rehabilitate and fully operationalize the two Fry centres in Gulu and Bushenyi"/>
    <n v="0"/>
    <n v="0"/>
    <n v="0"/>
    <n v="0"/>
    <n v="0"/>
    <n v="0"/>
    <n v="0"/>
    <n v="0"/>
    <n v="0"/>
    <n v="1"/>
    <m/>
    <n v="2"/>
    <n v="2"/>
    <n v="2"/>
    <n v="2"/>
    <n v="2"/>
    <e v="#REF!"/>
    <s v="MAAIF"/>
    <s v="010 Ministry of Agriculture, Animal &amp; Fisheries"/>
    <s v="LGs, NARO"/>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1"/>
    <s v="Quality inputs on the market"/>
    <s v="No. of input dealers, manufacturers, importers and exporters of inputs and agricultural products registered and licensed."/>
    <n v="120"/>
    <n v="100"/>
    <n v="200"/>
    <n v="200"/>
    <n v="200"/>
    <n v="200"/>
    <s v="MAAIF"/>
    <s v="010 Ministry of Agriculture, Animal &amp; Fisheries"/>
    <s v="Register and accredit agro-inputs  producers and dealers (certification and regulation of inputs)"/>
    <n v="1"/>
    <n v="0"/>
    <n v="0"/>
    <n v="1"/>
    <n v="1"/>
    <n v="1"/>
    <n v="1"/>
    <n v="1"/>
    <n v="0.75"/>
    <n v="0"/>
    <m/>
    <n v="0.5"/>
    <n v="0.5"/>
    <n v="0.5"/>
    <n v="0.4"/>
    <n v="0.4"/>
    <n v="0.8"/>
    <s v="MAAIF"/>
    <s v="010 Ministry of Agriculture, Animal &amp; Fisheries"/>
    <s v="UNBS, MTIC, LGs, OWC, Uganda Police Force"/>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1"/>
    <s v="Quality inputs on the market"/>
    <s v="No. of animal breeders, dealers, importers and exporters of animal genetic/breeding materials and equipment registered and licenced"/>
    <n v="0"/>
    <n v="50"/>
    <n v="200"/>
    <n v="300"/>
    <n v="300"/>
    <n v="150"/>
    <s v="MAAIF"/>
    <s v="010 Ministry of Agriculture, Animal &amp; Fisheries"/>
    <s v="Register and accredit agro-inputs  producers and dealers (certification and regulation of inputs)"/>
    <n v="1"/>
    <n v="0"/>
    <n v="0"/>
    <n v="1"/>
    <n v="1"/>
    <n v="1"/>
    <n v="1"/>
    <n v="1"/>
    <n v="0.75"/>
    <n v="0"/>
    <m/>
    <m/>
    <m/>
    <m/>
    <n v="0.2"/>
    <n v="0.1"/>
    <n v="0.30000000000000004"/>
    <s v="NAGRC&amp;DB"/>
    <s v="125 National Animal Genetic Res. Centre and Data Bank"/>
    <s v="MAAIF"/>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2"/>
    <s v="Agro chemicals registered"/>
    <s v="No. of agro chemicals registered"/>
    <n v="45"/>
    <n v="50"/>
    <n v="65"/>
    <n v="80"/>
    <n v="100"/>
    <n v="120"/>
    <s v="MAAIF"/>
    <s v="010 Ministry of Agriculture, Animal &amp; Fisheries"/>
    <s v="Register agro chemicals "/>
    <n v="1"/>
    <n v="0"/>
    <n v="0"/>
    <n v="1"/>
    <n v="1"/>
    <n v="1"/>
    <n v="1"/>
    <n v="1"/>
    <n v="0.75"/>
    <n v="0"/>
    <m/>
    <m/>
    <m/>
    <m/>
    <n v="0.1"/>
    <n v="0.1"/>
    <n v="0.2"/>
    <s v="MAAIF"/>
    <s v="010 Ministry of Agriculture, Animal &amp; Fisheries"/>
    <s v="MTIC,UNB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3"/>
    <s v="E-Verification system of agricultural inputs fully rolled out"/>
    <s v="No. of districts implementing E-Verification system"/>
    <n v="0"/>
    <n v="0"/>
    <n v="30"/>
    <n v="30"/>
    <n v="30"/>
    <n v="26"/>
    <s v="MoICT&amp;NG"/>
    <s v="020 Ministry of ICT and National Guidance"/>
    <s v="Develop and roll out the necessary technology for E-verification of inputs"/>
    <n v="1"/>
    <n v="0"/>
    <n v="0"/>
    <n v="1"/>
    <n v="0"/>
    <n v="0"/>
    <n v="1"/>
    <n v="0"/>
    <n v="0.375"/>
    <n v="1"/>
    <n v="0.01"/>
    <m/>
    <m/>
    <m/>
    <m/>
    <m/>
    <e v="#REF!"/>
    <s v="MoICT&amp;NG"/>
    <s v="020 Ministry of ICT and National Guidance"/>
    <s v="MAAIF,MTIC, MoLG"/>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umber of National level agricultural Inspectors recruited (Veterinary, crop and fisheries)"/>
    <n v="68"/>
    <n v="32"/>
    <n v="32"/>
    <n v="32"/>
    <n v="32"/>
    <n v="40"/>
    <s v="MAAIF"/>
    <s v="010 Ministry of Agriculture, Animal &amp; Fisheries"/>
    <s v="Recruit, train and equip agricultural inspectors "/>
    <n v="1"/>
    <n v="1"/>
    <n v="1"/>
    <n v="1"/>
    <n v="1"/>
    <n v="0"/>
    <n v="1"/>
    <n v="0"/>
    <n v="0.75"/>
    <n v="0"/>
    <m/>
    <n v="1.5"/>
    <n v="1.5"/>
    <n v="1.5"/>
    <n v="1.5"/>
    <n v="1.5"/>
    <n v="3"/>
    <s v="MAAIF"/>
    <s v="010 Ministry of Agriculture, Animal &amp; Fisheries"/>
    <s v="LG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umber of farmer groups trained in quality seed production "/>
    <n v="0"/>
    <n v="25"/>
    <n v="25"/>
    <n v="25"/>
    <n v="25"/>
    <n v="25"/>
    <s v="MAAIF"/>
    <s v="010 Ministry of Agriculture, Animal &amp; Fisheries"/>
    <s v="Mobilise and train farmers in quality seed production"/>
    <n v="1"/>
    <n v="1"/>
    <n v="1"/>
    <n v="1"/>
    <n v="1"/>
    <n v="1"/>
    <n v="1"/>
    <n v="0"/>
    <n v="0.875"/>
    <n v="0"/>
    <m/>
    <n v="0.5"/>
    <n v="0.5"/>
    <n v="0.5"/>
    <n v="0.5"/>
    <n v="0.5"/>
    <n v="1"/>
    <s v="NARO"/>
    <s v="142 National Agricultural Research Organisation"/>
    <s v="MAAIF, LGs, OWC, MoTIC"/>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In put  traceability system in place"/>
    <n v="0"/>
    <n v="0"/>
    <n v="1"/>
    <n v="1"/>
    <n v="1"/>
    <m/>
    <s v="MAAIF"/>
    <s v="010 Ministry of Agriculture, Animal &amp; Fisheries"/>
    <s v="Develop an input traceability system"/>
    <n v="1"/>
    <n v="0"/>
    <n v="0"/>
    <n v="1"/>
    <n v="1"/>
    <n v="0"/>
    <n v="1"/>
    <n v="0"/>
    <n v="0.5"/>
    <n v="0"/>
    <m/>
    <n v="0"/>
    <n v="1"/>
    <n v="1"/>
    <m/>
    <m/>
    <e v="#REF!"/>
    <s v="MAAIF"/>
    <s v="010 Ministry of Agriculture, Animal &amp; Fisheries"/>
    <s v="MTIC, LGs, UCDA, NARO, CDO, NAGRC&amp;DB"/>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amalere Analytical/Diagnostic laboratories renovated"/>
    <n v="0"/>
    <n v="1"/>
    <n v="1"/>
    <n v="1"/>
    <n v="1"/>
    <n v="1"/>
    <s v="MAAIF"/>
    <s v="010 Ministry of Agriculture, Animal &amp; Fisheries"/>
    <s v="Renovate and equip Namalare analytical diagnostic lab; "/>
    <n v="1"/>
    <n v="0"/>
    <n v="0"/>
    <n v="1"/>
    <n v="1"/>
    <n v="1"/>
    <n v="1"/>
    <n v="1"/>
    <n v="0.75"/>
    <n v="0"/>
    <m/>
    <n v="5.5"/>
    <n v="10.5"/>
    <n v="12.5"/>
    <n v="1.2"/>
    <n v="3.7"/>
    <n v="4.9000000000000004"/>
    <s v="MAAIF"/>
    <s v="010 Ministry of Agriculture, Animal &amp; Fisheries"/>
    <s v="NARO, UNB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ational Animal Disease Diagnostic and Epidemiology Centre (NADDEC) renovated and equipped"/>
    <n v="0"/>
    <n v="1"/>
    <n v="1"/>
    <n v="1"/>
    <n v="1"/>
    <n v="1"/>
    <s v="MAAIF"/>
    <s v="010 Ministry of Agriculture, Animal &amp; Fisheries"/>
    <s v="Renovate and Equip the National Animal Disease Diagnostic and Epidemiology Centre (NADDEC)"/>
    <n v="1"/>
    <n v="0"/>
    <n v="0"/>
    <n v="1"/>
    <n v="1"/>
    <n v="1"/>
    <n v="1"/>
    <n v="1"/>
    <n v="0.75"/>
    <n v="0"/>
    <m/>
    <m/>
    <m/>
    <m/>
    <n v="1.2"/>
    <n v="3.7"/>
    <n v="4.9000000000000004"/>
    <s v="MAAIF"/>
    <s v="010 Ministry of Agriculture, Animal &amp; Fisheries"/>
    <s v="UNB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umber of Coffee seedlings distributed"/>
    <n v="5000000"/>
    <n v="5000000"/>
    <n v="5000000"/>
    <n v="5000000"/>
    <n v="4000000"/>
    <n v="4000000"/>
    <s v="UCDA"/>
    <s v="160 Uganda Coffee Development Authority"/>
    <s v="Procure &amp; distribute 25,000,000 coffee seedling; 500,000 bags of fertilisers; support 500 nursery operator; 75,000 litres of fungicide"/>
    <n v="1"/>
    <n v="1"/>
    <n v="1"/>
    <n v="1"/>
    <n v="1"/>
    <n v="1"/>
    <n v="1"/>
    <n v="0"/>
    <n v="0.875"/>
    <n v="0"/>
    <m/>
    <n v="0"/>
    <n v="13.5"/>
    <n v="16.5"/>
    <n v="10.5"/>
    <n v="15.5"/>
    <n v="26"/>
    <s v="UCDA"/>
    <s v="160 Uganda Coffee Development Authority"/>
    <s v="LGs, MAAIF, NARO"/>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4"/>
    <s v="Quality inputs on the market"/>
    <s v="National Dairy Laboratory Acredited"/>
    <n v="0"/>
    <n v="0"/>
    <m/>
    <m/>
    <m/>
    <n v="1"/>
    <s v="DDA"/>
    <s v="121 Dairy Development Authority"/>
    <s v="Equip and accredit National Dairy Laboratory"/>
    <n v="1"/>
    <n v="1"/>
    <n v="0"/>
    <n v="1"/>
    <n v="1"/>
    <n v="1"/>
    <n v="1"/>
    <n v="1"/>
    <n v="0.875"/>
    <n v="0"/>
    <m/>
    <n v="1.2"/>
    <n v="1.5"/>
    <n v="0.7"/>
    <n v="0.5"/>
    <n v="1"/>
    <n v="1.5"/>
    <s v="DDA"/>
    <s v="121 Dairy Development Authority"/>
    <s v="UNBS, MAAIF, MTIC"/>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5"/>
    <s v="Assorted sets of Agric mechanization equipment acquired and deployed"/>
    <s v="Mechanisation service centres equipped"/>
    <n v="0"/>
    <n v="0"/>
    <m/>
    <m/>
    <n v="1"/>
    <n v="1"/>
    <s v="MAAIF"/>
    <s v="010 Ministry of Agriculture, Animal &amp; Fisheries"/>
    <s v="Equip 2 regional mechanization service centres "/>
    <n v="1"/>
    <n v="1"/>
    <n v="1"/>
    <n v="1"/>
    <n v="1"/>
    <n v="1"/>
    <n v="1"/>
    <n v="1"/>
    <n v="1"/>
    <n v="0"/>
    <m/>
    <n v="9.5"/>
    <n v="3"/>
    <n v="3"/>
    <n v="3.5"/>
    <n v="5.5"/>
    <n v="9"/>
    <s v="MAAIF"/>
    <s v="010 Ministry of Agriculture, Animal &amp; Fisheries"/>
    <s v="LG, MoWT"/>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5"/>
    <s v="Assorted sets of Agric mechanization equipment acquired and deployed"/>
    <s v="Number of regional mechanization centers established "/>
    <n v="0"/>
    <n v="1"/>
    <n v="2"/>
    <n v="2"/>
    <n v="2"/>
    <n v="2"/>
    <s v="MAAIF"/>
    <s v="010 Ministry of Agriculture, Animal &amp; Fisheries"/>
    <s v="Support the private sector to self-regulate for quality inputs"/>
    <n v="1"/>
    <n v="0"/>
    <n v="0"/>
    <n v="0"/>
    <n v="0"/>
    <n v="0"/>
    <n v="0"/>
    <n v="0"/>
    <n v="0.125"/>
    <n v="0"/>
    <m/>
    <n v="0"/>
    <n v="3"/>
    <n v="3"/>
    <m/>
    <m/>
    <e v="#REF!"/>
    <s v="MAAIF (OWC)"/>
    <s v="010 Ministry of Agriculture, Animal &amp; Fisheries"/>
    <s v="UDC, MSCL,UDB, MAAIF, MTIC, NAAD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6"/>
    <s v="Farmers sensitised on productivity enhancement technologies"/>
    <s v="Number of parishes in which sensitisation has been conducted "/>
    <n v="0"/>
    <n v="5000"/>
    <n v="8250"/>
    <n v="9222"/>
    <n v="10628"/>
    <n v="12036"/>
    <s v="MAAIF"/>
    <s v="010 Ministry of Agriculture, Animal &amp; Fisheries"/>
    <s v="Sensitise farmers on productivity enhancement technologies at a Parish level in order to increase uptake"/>
    <n v="1"/>
    <n v="1"/>
    <n v="1"/>
    <n v="1"/>
    <n v="1"/>
    <n v="1"/>
    <n v="1"/>
    <n v="0"/>
    <n v="0.875"/>
    <n v="0"/>
    <m/>
    <n v="0"/>
    <n v="3"/>
    <n v="3"/>
    <n v="1.8"/>
    <n v="3.2"/>
    <n v="5"/>
    <s v="MAAIF (OWC)"/>
    <s v="010 Ministry of Agriculture, Animal &amp; Fisheries"/>
    <s v="NARO, MAAIF, LG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6"/>
    <s v="Practical training centres established"/>
    <s v="Number of practicaltraining centres established "/>
    <n v="0"/>
    <n v="0"/>
    <n v="2"/>
    <n v="3"/>
    <n v="4"/>
    <n v="4"/>
    <s v="MAAIF"/>
    <s v="010 Ministry of Agriculture, Animal &amp; Fisheries"/>
    <s v="Using the Parish Model, work with  Zonal Agricultural offices to establish practical training centres (and revamp the former DFIs) to equip farmers in good agriculture practices as well as good business practices."/>
    <n v="1"/>
    <n v="0"/>
    <n v="0"/>
    <n v="0"/>
    <n v="0"/>
    <n v="1"/>
    <n v="0"/>
    <n v="0"/>
    <n v="0.25"/>
    <n v="0"/>
    <m/>
    <n v="0"/>
    <n v="5"/>
    <n v="8"/>
    <m/>
    <m/>
    <e v="#REF!"/>
    <s v="MAAIF (OWC)"/>
    <s v="010 Ministry of Agriculture, Animal &amp; Fisheries"/>
    <s v="NARO,MAAIF"/>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7"/>
    <s v="Treatment facility using Gamma ray radiation technology, for pest treatment of horticultural exports and imports established at exit points."/>
    <s v="Number of treatment facilities maintained"/>
    <m/>
    <n v="1"/>
    <n v="1"/>
    <n v="1"/>
    <n v="1"/>
    <n v="1"/>
    <s v="MAAIF"/>
    <s v="010 Ministry of Agriculture, Animal &amp; Fisheries"/>
    <s v="Establish and maintain a treatment facility using Gamma ray radiation technology, for pest treatment of horticultural exports and imports established at exit points."/>
    <n v="1"/>
    <n v="0"/>
    <n v="0"/>
    <n v="0"/>
    <n v="0"/>
    <n v="0"/>
    <n v="0"/>
    <n v="1"/>
    <n v="0.25"/>
    <n v="0"/>
    <m/>
    <n v="26"/>
    <n v="28.5"/>
    <n v="27.5"/>
    <m/>
    <m/>
    <e v="#REF!"/>
    <s v="MAAIF"/>
    <s v="015 Ministry of Trade, Industry and Cooperatives"/>
    <s v="MoE, MoWT, MoLG, MAAIF, UDC"/>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8"/>
    <s v="Coffee productivity enhanced"/>
    <s v="Number of unproductive trees stumped"/>
    <n v="0"/>
    <n v="0"/>
    <n v="23000000"/>
    <n v="23000000"/>
    <n v="23000000"/>
    <n v="23000000"/>
    <s v="UCDA"/>
    <s v="160 Uganda Coffee Development Authority"/>
    <s v="Support the stumping of unproductive coffee trees "/>
    <n v="1"/>
    <n v="1"/>
    <n v="1"/>
    <n v="1"/>
    <n v="1"/>
    <n v="0"/>
    <n v="1"/>
    <n v="0"/>
    <n v="0.75"/>
    <n v="0"/>
    <m/>
    <n v="0"/>
    <n v="19.5"/>
    <n v="19.5"/>
    <n v="15"/>
    <n v="10"/>
    <n v="25"/>
    <s v="UCDA"/>
    <s v="160 Uganda Coffee Development Authority"/>
    <s v="MAAIF, LG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09"/>
    <s v="Farm level production increased"/>
    <s v="No. of farming households supported with critical farm inputs"/>
    <n v="0"/>
    <n v="500000"/>
    <n v="510000"/>
    <n v="520000"/>
    <n v="400000"/>
    <n v="400000"/>
    <s v="NAADS"/>
    <s v="152 NAADS Secretariat"/>
    <s v="Provide critical farm inputs using the Parish Model"/>
    <n v="1"/>
    <n v="1"/>
    <n v="1"/>
    <n v="1"/>
    <n v="1"/>
    <n v="1"/>
    <n v="1"/>
    <n v="0"/>
    <n v="0.875"/>
    <n v="0"/>
    <m/>
    <n v="169"/>
    <n v="105"/>
    <n v="85.000000000000227"/>
    <n v="71.69"/>
    <n v="98.5"/>
    <n v="170.19"/>
    <s v="NAADS"/>
    <s v="152 NAADS Secretariat"/>
    <s v="OWC, MAAIF, UCDA, LGs"/>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10"/>
    <s v="Extension staff trained and equipped in inspection, certification and regulation"/>
    <s v="No. of extension staff trained in inspection, certification and regulation of inputs"/>
    <n v="0"/>
    <n v="1000"/>
    <n v="1000"/>
    <n v="1000"/>
    <n v="1000"/>
    <n v="1000"/>
    <s v="MAAIF"/>
    <s v="010 Ministry of Agriculture, Animal &amp; Fisheries"/>
    <s v="Train and equip extension staff in inspection,certification and regulation of inputs"/>
    <n v="1"/>
    <n v="1"/>
    <n v="1"/>
    <n v="1"/>
    <n v="1"/>
    <n v="1"/>
    <n v="1"/>
    <n v="0"/>
    <n v="0.875"/>
    <n v="0"/>
    <m/>
    <m/>
    <m/>
    <m/>
    <m/>
    <n v="1.9"/>
    <n v="1.9"/>
    <s v="MAAIF"/>
    <s v="010 Ministry of Agriculture, Animal &amp; Fisheries"/>
    <s v="MoLG"/>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11"/>
    <s v="Animal holding grounds quaratine stations and animal check points established"/>
    <s v="Number of Animal holding grounds quaratine stations and animal check points established"/>
    <n v="2"/>
    <m/>
    <n v="1"/>
    <n v="1"/>
    <n v="1"/>
    <n v="1"/>
    <s v="MAAIF"/>
    <s v="010 Ministry of Agriculture, Animal &amp; Fisheries"/>
    <s v="Construct animal holding grounds and quarantine stations"/>
    <n v="1"/>
    <n v="1"/>
    <n v="1"/>
    <n v="1"/>
    <n v="1"/>
    <n v="1"/>
    <n v="1"/>
    <n v="0"/>
    <n v="0.875"/>
    <n v="0"/>
    <m/>
    <m/>
    <m/>
    <m/>
    <n v="11.5"/>
    <n v="12"/>
    <n v="23.5"/>
    <s v="MAAIF"/>
    <s v="010 Ministry of Agriculture, Animal &amp; Fisheries"/>
    <s v="MoL, MoWT"/>
  </r>
  <r>
    <x v="0"/>
    <x v="0"/>
    <s v="011"/>
    <s v="Agricultural Production and Productivity"/>
    <s v="0111"/>
    <s v="Increase production and productivity"/>
    <s v="011103"/>
    <s v="Strengthen the agricultural inputs markets and distribution systems to adhere to quality standards and grades"/>
    <s v="011103b"/>
    <s v="Strengthen licensing procedures, inspection, certification, import processing and regulation for improved inputs and new seed varieties"/>
    <s v="011103b12"/>
    <s v="Isolation units for infected material, products, animals, plants, fish) established"/>
    <s v="No. of isolation units for infected material, products, animals, plants, fish) established"/>
    <n v="0"/>
    <s v="-"/>
    <n v="1"/>
    <n v="1"/>
    <n v="1"/>
    <n v="1"/>
    <s v="MAAIF"/>
    <s v="010 Ministry of Agriculture, Animal &amp; Fisheries"/>
    <s v="Construct isolation units for planting material "/>
    <n v="0"/>
    <n v="0"/>
    <n v="0"/>
    <n v="0"/>
    <n v="0"/>
    <n v="0"/>
    <n v="0"/>
    <n v="0"/>
    <n v="0"/>
    <n v="0"/>
    <m/>
    <m/>
    <m/>
    <m/>
    <m/>
    <m/>
    <e v="#REF!"/>
    <s v="MAAIF"/>
    <s v="010 Ministry of Agriculture, Animal &amp; Fisheries"/>
    <s v="MoLG, MoWT"/>
  </r>
  <r>
    <x v="0"/>
    <x v="0"/>
    <s v="011"/>
    <s v="Agricultural Production and Productivity"/>
    <s v="0111"/>
    <s v="Increase production and productivity"/>
    <s v="011103"/>
    <s v="Strengthen the agricultural inputs markets and distribution systems to adhere to quality standards and grades"/>
    <s v="011103c"/>
    <s v="Reform the current input subsidy program including: Scaling up the e-voucher model of inputs distribution "/>
    <s v="011103c01"/>
    <s v="Enhanced efficiency in inputs distribution "/>
    <s v="Proportion of farmers registered in e-voucher "/>
    <n v="61000"/>
    <n v="250000"/>
    <n v="4500000"/>
    <n v="550000"/>
    <n v="650000"/>
    <n v="750000"/>
    <s v="MAAIF"/>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3"/>
    <s v="Strengthen the agricultural inputs markets and distribution systems to adhere to quality standards and grades"/>
    <s v="011103c"/>
    <s v="Reform the current input subsidy program including: Scaling up the e-voucher model of inputs distribution "/>
    <s v="011103c02"/>
    <s v="Quality inputs on the market"/>
    <s v="Number of regional mechanization centers established and operational "/>
    <n v="0"/>
    <n v="0"/>
    <n v="1"/>
    <n v="2"/>
    <n v="3"/>
    <n v="3"/>
    <s v="MAAIF"/>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3"/>
    <s v="Strengthen the agricultural inputs markets and distribution systems to adhere to quality standards and grades"/>
    <s v="011103c"/>
    <s v="Reform the current input subsidy program including: Scaling up the e-voucher model of inputs distribution "/>
    <s v="011103c03"/>
    <s v="Farmers sensitised on productivity enhancement technologies"/>
    <s v="Number of parishes in which sensitisation has been conducted "/>
    <n v="0"/>
    <n v="5000"/>
    <n v="8250"/>
    <n v="9222"/>
    <n v="10628"/>
    <n v="12036"/>
    <s v="MAAIF (OWC)"/>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3"/>
    <s v="Strengthen the agricultural inputs markets and distribution systems to adhere to quality standards and grades"/>
    <s v="011103c"/>
    <s v="Reform the current input subsidy program including: Scaling up the e-voucher model of inputs distribution "/>
    <s v="011103c04"/>
    <s v="Practical training centres established"/>
    <s v="Number of practicaltraining centres established "/>
    <n v="0"/>
    <n v="0"/>
    <n v="2"/>
    <n v="3"/>
    <n v="4"/>
    <n v="4"/>
    <s v="MAAIF (OWC)"/>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3"/>
    <s v="Strengthen the agricultural inputs markets and distribution systems to adhere to quality standards and grades"/>
    <s v="011103c"/>
    <s v="Reform the current input subsidy program including: Scaling up the e-voucher model of inputs distribution "/>
    <s v="011103c05"/>
    <s v="Treatment facility using Gamma ray radiation technology, for pest treatment of horticultural exports and imports established at exit points."/>
    <s v="Number of treatment facilities maintained"/>
    <m/>
    <n v="1"/>
    <n v="1"/>
    <n v="1"/>
    <n v="1"/>
    <n v="1"/>
    <s v="MAAIF"/>
    <s v="010 Ministry of Agriculture, Animal &amp; Fisheries"/>
    <m/>
    <n v="0"/>
    <n v="0"/>
    <n v="0"/>
    <n v="0"/>
    <n v="0"/>
    <n v="0"/>
    <n v="0"/>
    <n v="0"/>
    <n v="0"/>
    <n v="0"/>
    <m/>
    <m/>
    <m/>
    <m/>
    <m/>
    <m/>
    <e v="#REF!"/>
    <s v="MAAIF"/>
    <s v="010 Ministry of Agriculture, Animal &amp; Fisheries"/>
    <m/>
  </r>
  <r>
    <x v="0"/>
    <x v="0"/>
    <s v="011"/>
    <s v="Agricultural Production and Productivity"/>
    <s v="0111"/>
    <s v="Increase production and productivity"/>
    <s v="011103"/>
    <s v="Strengthen the agricultural inputs markets and distribution systems to adhere to quality standards and grades"/>
    <s v="011103d"/>
    <s v="Establish and equip 9 regional mechanization centers to increase uptake of agricultural mechanization and labour- saving technologies"/>
    <s v="011103d01"/>
    <s v="Capacity of Pest and disease Risk Assessors (PRAs) strenghtened"/>
    <s v="No. of Pest and disease Risk Assessor  trained"/>
    <n v="0"/>
    <m/>
    <n v="30"/>
    <m/>
    <m/>
    <m/>
    <s v="MAAIF"/>
    <s v="010 Ministry of Agriculture, Animal &amp; Fisheries"/>
    <s v="Train pests and Disease Risk assessors trained (crop,livestock and fish diseases)"/>
    <n v="1"/>
    <n v="0"/>
    <n v="0"/>
    <n v="1"/>
    <n v="1"/>
    <n v="0"/>
    <n v="1"/>
    <n v="0"/>
    <n v="0.5"/>
    <n v="0"/>
    <m/>
    <m/>
    <m/>
    <m/>
    <m/>
    <m/>
    <e v="#REF!"/>
    <s v="MAAIF"/>
    <s v="010 Ministry of Agriculture, Animal &amp; Fisheries"/>
    <s v="MoLG"/>
  </r>
  <r>
    <x v="0"/>
    <x v="0"/>
    <s v="011"/>
    <s v="Agricultural Production and Productivity"/>
    <s v="0111"/>
    <s v="Increase production and productivity"/>
    <s v="011103"/>
    <s v="Strengthen the agricultural inputs markets and distribution systems to adhere to quality standards and grades"/>
    <s v="011103d"/>
    <s v="Establish and equip 9 regional mechanization centers to increase uptake of agricultural mechanization and labour- saving technologies"/>
    <s v="011103d01"/>
    <s v="Capacity of Pest and disease Risk Assessors (PRAs) strenghtened"/>
    <s v="Number of Pest and disease Risk Assessments for high risk crops conducted"/>
    <n v="0"/>
    <m/>
    <n v="5"/>
    <n v="5"/>
    <n v="5"/>
    <n v="5"/>
    <s v="MAAIF"/>
    <s v="010 Ministry of Agriculture, Animal &amp; Fisheries"/>
    <s v="Conduct pests and Disease Risk assessments (crop,livestock and fish diseases)"/>
    <n v="1"/>
    <n v="1"/>
    <n v="1"/>
    <n v="1"/>
    <n v="1"/>
    <n v="1"/>
    <n v="1"/>
    <n v="0"/>
    <n v="0.875"/>
    <n v="0"/>
    <m/>
    <m/>
    <m/>
    <m/>
    <n v="0.04"/>
    <n v="0.04"/>
    <n v="0.08"/>
    <s v="MAAIF"/>
    <s v="010 Ministry of Agriculture, Animal &amp; Fisheries"/>
    <s v="MoLG"/>
  </r>
  <r>
    <x v="0"/>
    <x v="0"/>
    <s v="011"/>
    <s v="Agricultural Production and Productivity"/>
    <s v="0111"/>
    <s v="Increase production and productivity"/>
    <s v="011103"/>
    <s v="Strengthen the agricultural inputs markets and distribution systems to adhere to quality standards and grades"/>
    <s v="011103e"/>
    <s v="Enforce pre-export verification for all agricultural inputs at source of origin"/>
    <s v="011103e01"/>
    <s v="E-voucher scaled up"/>
    <s v="Number of new districts enrolled on the e-voucher management system"/>
    <n v="0"/>
    <n v="5"/>
    <n v="6"/>
    <n v="6"/>
    <n v="6"/>
    <n v="7"/>
    <s v="MAAIF"/>
    <s v="010 Ministry of Agriculture, Animal &amp; Fisheries"/>
    <s v="Develop and scale up the e-voucher model of inputs distribution"/>
    <n v="1"/>
    <n v="1"/>
    <n v="1"/>
    <n v="1"/>
    <n v="1"/>
    <n v="1"/>
    <n v="1"/>
    <n v="0"/>
    <n v="0.875"/>
    <n v="0"/>
    <m/>
    <m/>
    <m/>
    <m/>
    <m/>
    <n v="1.8"/>
    <n v="1.8"/>
    <s v="MAAIF"/>
    <s v="010 Ministry of Agriculture, Animal &amp; Fisheries"/>
    <s v="MoLG"/>
  </r>
  <r>
    <x v="0"/>
    <x v="0"/>
    <s v="011"/>
    <s v="Agricultural Production and Productivity"/>
    <s v="0111"/>
    <s v="Increase production and productivity"/>
    <s v="011104"/>
    <s v="Increase access and use of water for agricultural production"/>
    <s v="011104a"/>
    <s v="Complete the irrigation schemes under construction/ rehabilitation including; Doho Phase II, Mubuku Phase II, Wadelai, Tochi, and Olweny"/>
    <s v="011104a01"/>
    <s v="5 Irrigation schemes completed"/>
    <s v="Number of completed irrigation schemes completing defect liability period"/>
    <n v="0"/>
    <n v="0"/>
    <n v="5"/>
    <m/>
    <m/>
    <m/>
    <s v="MWE"/>
    <s v="019 Ministry of Water and Environment"/>
    <s v="Complete defect liability period for 5 schemes Doho Phase II, Mubuku Phase II, Wadelai, Tochi, Ngenge, Rwengaaju, Agoro and Olweny."/>
    <n v="0"/>
    <n v="0"/>
    <n v="0"/>
    <n v="0"/>
    <n v="0"/>
    <n v="0"/>
    <n v="0"/>
    <n v="0"/>
    <n v="0"/>
    <n v="1"/>
    <m/>
    <n v="28.5"/>
    <n v="23.7"/>
    <m/>
    <m/>
    <m/>
    <e v="#REF!"/>
    <s v="MWE"/>
    <s v="019 Ministry of Water and Environment"/>
    <s v="MAAIF, MTIC, MLGSD, MLG"/>
  </r>
  <r>
    <x v="0"/>
    <x v="0"/>
    <s v="011"/>
    <s v="Agricultural Production and Productivity"/>
    <s v="0111"/>
    <s v="Increase production and productivity"/>
    <s v="011104"/>
    <s v="Increase access and use of water for agricultural production"/>
    <s v="011104b"/>
    <s v="Construct new irrigation schemes; Ngenge, Acomai, Atari, Amagoro, Nabigaga, Rwimi, Nyimur, Musambya, Kibimba, Kabuyanda, Matanda, Igogero, Angololo, Namatala, Namulu, Sipi, Unyama, Lumbuye, Palyec, Porongo, Lopei and Imyepi"/>
    <s v="011104b01"/>
    <s v="23 new irrigation schemes constructed."/>
    <s v="Number of new irrigation schemes constructed (23)"/>
    <n v="0"/>
    <n v="0"/>
    <n v="1"/>
    <n v="4"/>
    <n v="5"/>
    <n v="13"/>
    <s v="MWE"/>
    <s v="019 Ministry of Water and Environment"/>
    <s v="Construct 23 new irrigation schemes. Acomai, Atari, Amagoro, Nabigaga, Rwimi, Nyimur, Musambya, Kibimba, Kabuyanda, Matanda/Enengo, Igogero, Angololo, Kagera, Namatala, Namulu, Sipi, Unyama, Lumbuye, Nyabanja, Palyec, Porongo, Lopei and Imvepi irrigation schemes constructed; complete feasibility studies and detailed for new schemes kiige, Odina, Ongom, Agwata and Atera"/>
    <n v="1"/>
    <n v="1"/>
    <n v="1"/>
    <n v="1"/>
    <n v="1"/>
    <n v="1"/>
    <n v="1"/>
    <n v="0"/>
    <n v="0.875"/>
    <n v="0"/>
    <m/>
    <n v="233.5"/>
    <n v="97.5"/>
    <n v="67.499999999999773"/>
    <n v="47.5"/>
    <n v="127.5"/>
    <n v="175"/>
    <s v="MWE"/>
    <s v="019 Ministry of Water and Environment"/>
    <s v="MAAIF, LGs"/>
  </r>
  <r>
    <x v="0"/>
    <x v="0"/>
    <s v="011"/>
    <s v="Agricultural Production and Productivity"/>
    <s v="0111"/>
    <s v="Increase production and productivity"/>
    <s v="011104"/>
    <s v="Increase access and use of water for agricultural production"/>
    <s v="011104b"/>
    <s v="Construct new irrigation schemes; Ngenge, Acomai, Atari, Amagoro, Nabigaga, Rwimi, Nyimur, Musambya, Kibimba, Kabuyanda, Matanda, Igogero, Angololo, Namatala, Namulu, Sipi, Unyama, Lumbuye, Palyec, Porongo, Lopei and Imyepi"/>
    <s v="011104b02"/>
    <s v="Sustainable management institutions for effective utilization of the Irrigation schemes and water for production facilities established"/>
    <s v="No. of irrigation schemes with established operation and maintenance institutional management structures established"/>
    <n v="0"/>
    <n v="0"/>
    <n v="0"/>
    <n v="2"/>
    <n v="5"/>
    <n v="13"/>
    <s v="MWE"/>
    <s v="019 Ministry of Water and Environment"/>
    <s v="Establish O&amp;M and institutional management structures for irrigation schemes and water for production facilities "/>
    <n v="1"/>
    <n v="1"/>
    <n v="1"/>
    <n v="1"/>
    <n v="1"/>
    <n v="1"/>
    <n v="1"/>
    <n v="0"/>
    <n v="0.875"/>
    <n v="0"/>
    <m/>
    <n v="2"/>
    <n v="0.5"/>
    <n v="0.5"/>
    <n v="0.5"/>
    <n v="0.5"/>
    <n v="1"/>
    <s v="MWE"/>
    <s v="019 Ministry of Water and Environment"/>
    <s v="MAAIF, MTIC, MLGSD, LGs"/>
  </r>
  <r>
    <x v="0"/>
    <x v="0"/>
    <s v="011"/>
    <s v="Agricultural Production and Productivity"/>
    <s v="0111"/>
    <s v="Increase production and productivity"/>
    <s v="011104"/>
    <s v="Increase access and use of water for agricultural production"/>
    <s v="011104b"/>
    <s v="Construct new irrigation schemes; Ngenge, Acomai, Atari, Amagoro, Nabigaga, Rwimi, Nyimur, Musambya, Kibimba, Kabuyanda, Matanda, Igogero, Angololo, Namatala, Namulu, Sipi, Unyama, Lumbuye, Palyec, Porongo, Lopei and Imyepi"/>
    <s v="011104b03"/>
    <s v="Model irrigation schemes developed to support technology irrigation at public institution"/>
    <s v="Number of model irrigation schemes developed at Public research institutes"/>
    <n v="0"/>
    <n v="3"/>
    <n v="3"/>
    <n v="3"/>
    <n v="1"/>
    <n v="1"/>
    <s v="NARO"/>
    <s v="142 National Agricultural Research Organisation"/>
    <s v="Develop 16 model irrigation schemes at the 16 Public research institutes"/>
    <n v="1"/>
    <n v="1"/>
    <n v="0"/>
    <n v="1"/>
    <n v="1"/>
    <n v="1"/>
    <n v="0"/>
    <n v="0"/>
    <n v="0.625"/>
    <n v="0"/>
    <m/>
    <n v="3"/>
    <n v="3"/>
    <n v="3"/>
    <n v="1.5"/>
    <n v="1.5"/>
    <n v="3"/>
    <s v="NARO"/>
    <s v="142 National Agricultural Research Organisation"/>
    <s v="LGs, Universities"/>
  </r>
  <r>
    <x v="0"/>
    <x v="0"/>
    <s v="011"/>
    <s v="Agricultural Production and Productivity"/>
    <s v="0111"/>
    <s v="Increase production and productivity"/>
    <s v="011104"/>
    <s v="Increase access and use of water for agricultural production"/>
    <s v="011104c"/>
    <s v="Develop solar powered small-scale irrigation systems for small holder farmers outside conventional irrigation schemes"/>
    <s v="011104c01"/>
    <s v="Micro and small-scale irrigation systems constructed under UgIFT-AF-IRR program"/>
    <s v="68,000 Micro and small-scale irrigation systems constructed by 2025"/>
    <n v="0"/>
    <n v="200"/>
    <n v="800"/>
    <n v="19000"/>
    <n v="20000"/>
    <n v="20000"/>
    <s v="MAAIF"/>
    <s v="010 Ministry of Agriculture, Animal &amp; Fisheries"/>
    <s v="Construct micro small-scale irrigation schemes"/>
    <n v="1"/>
    <n v="1"/>
    <n v="1"/>
    <n v="1"/>
    <n v="1"/>
    <n v="1"/>
    <n v="1"/>
    <n v="0"/>
    <n v="0.875"/>
    <n v="0"/>
    <m/>
    <n v="60.166666666666501"/>
    <n v="50"/>
    <n v="49.999999999999773"/>
    <n v="80"/>
    <n v="85"/>
    <n v="165"/>
    <s v="MAAIF"/>
    <s v="010 Ministry of Agriculture, Animal &amp; Fisheries"/>
    <s v="LGs, NAADS, UCDA, OWC"/>
  </r>
  <r>
    <x v="0"/>
    <x v="0"/>
    <s v="011"/>
    <s v="Agricultural Production and Productivity"/>
    <s v="0111"/>
    <s v="Increase production and productivity"/>
    <s v="011104"/>
    <s v="Increase access and use of water for agricultural production"/>
    <s v="011104c"/>
    <s v="Develop solar powered small-scale irrigation systems for small holder farmers outside conventional irrigation schemes"/>
    <s v="011104c02"/>
    <s v="Small-scale irrigation systems constructed"/>
    <s v="Number of small-scale irrigation systems/schemes constructed (681)"/>
    <n v="0"/>
    <n v="0"/>
    <n v="111"/>
    <n v="220"/>
    <n v="50"/>
    <n v="50"/>
    <s v="MAAIF"/>
    <s v="010 Ministry of Agriculture, Animal &amp; Fisheries"/>
    <s v="Make designs and construct small-scale irrigation systems/ schemes"/>
    <n v="1"/>
    <n v="1"/>
    <n v="1"/>
    <n v="1"/>
    <n v="1"/>
    <n v="1"/>
    <n v="1"/>
    <n v="0"/>
    <n v="0.875"/>
    <n v="0"/>
    <m/>
    <n v="40"/>
    <n v="40"/>
    <n v="44.166666666666679"/>
    <n v="20"/>
    <n v="24"/>
    <n v="44"/>
    <s v="MAAIF"/>
    <s v="010 Ministry of Agriculture, Animal &amp; Fisheries"/>
    <s v="MWE, LGs"/>
  </r>
  <r>
    <x v="0"/>
    <x v="0"/>
    <s v="011"/>
    <s v="Agricultural Production and Productivity"/>
    <s v="0111"/>
    <s v="Increase production and productivity"/>
    <s v="011104"/>
    <s v="Increase access and use of water for agricultural production"/>
    <s v="011104c"/>
    <s v="Develop solar powered small-scale irrigation systems for small holder farmers outside conventional irrigation schemes"/>
    <s v="011104c03"/>
    <s v="Solar powered water supply and small-scale irrigation systems developed."/>
    <s v="No of operational solar powered water supply and small-scale irrigation systems developed"/>
    <n v="0"/>
    <n v="50"/>
    <n v="76"/>
    <n v="100"/>
    <n v="50"/>
    <n v="50"/>
    <s v="MWE"/>
    <s v="019 Ministry of Water and Environment"/>
    <s v="Construct  small scale solar powered water supply irrigation systems"/>
    <n v="1"/>
    <n v="1"/>
    <n v="1"/>
    <n v="1"/>
    <n v="1"/>
    <n v="1"/>
    <n v="1"/>
    <n v="0"/>
    <n v="0.875"/>
    <n v="0"/>
    <m/>
    <n v="42.5"/>
    <n v="42.5"/>
    <n v="42.5"/>
    <n v="30"/>
    <n v="32"/>
    <n v="62"/>
    <s v="MWE"/>
    <s v="019 Ministry of Water and Environment"/>
    <s v="MAAIF,MLG, NAADS, UCDA"/>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Number of feasibility studies for  dams"/>
    <n v="0"/>
    <n v="14"/>
    <m/>
    <m/>
    <m/>
    <m/>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n v="38.5"/>
    <n v="35"/>
    <n v="35.000000000000227"/>
    <m/>
    <m/>
    <n v="0"/>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Number of new detailed dam designs "/>
    <n v="0"/>
    <n v="4"/>
    <n v="17"/>
    <m/>
    <m/>
    <m/>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m/>
    <m/>
    <n v="0"/>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Equipment for construction of Valley tanks for livestock watering procured"/>
    <n v="0"/>
    <n v="2"/>
    <n v="2"/>
    <n v="1"/>
    <n v="1"/>
    <n v="1"/>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5"/>
    <n v="3"/>
    <n v="8"/>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570 new community valley tanks/farm ponds constructed by 2025"/>
    <n v="20"/>
    <n v="100"/>
    <n v="108"/>
    <n v="116"/>
    <n v="50"/>
    <n v="40"/>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6"/>
    <n v="5"/>
    <n v="11"/>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10 new valley dams constructed by 2025"/>
    <n v="0"/>
    <n v="2"/>
    <n v="2"/>
    <n v="2"/>
    <n v="2"/>
    <n v="2"/>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1.5"/>
    <n v="1.5"/>
    <n v="3"/>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500 Motorised production wells drilled for water for agriculture production by 2025"/>
    <n v="0"/>
    <n v="0"/>
    <n v="100"/>
    <n v="100"/>
    <n v="20"/>
    <n v="20"/>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0.3"/>
    <n v="0.3"/>
    <n v="0.6"/>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1000 individual valley tanks for livestock watering constructed by 2025"/>
    <n v="1351"/>
    <n v="200"/>
    <n v="200"/>
    <n v="200"/>
    <n v="100"/>
    <n v="80"/>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2"/>
    <n v="1.6"/>
    <n v="3.6"/>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570 community valley tanks for livestock watering constructed"/>
    <n v="20"/>
    <n v="100"/>
    <n v="108"/>
    <n v="116"/>
    <n v="60"/>
    <n v="60"/>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3"/>
    <n v="3"/>
    <n v="6"/>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12 water reticulation systems established"/>
    <n v="0"/>
    <n v="2"/>
    <n v="3"/>
    <n v="3"/>
    <n v="2"/>
    <n v="2"/>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3.5"/>
    <n v="3.5"/>
    <n v="7"/>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No. of water facilities for industrial, tourism and other commercial uses developed."/>
    <n v="0"/>
    <n v="5"/>
    <n v="5"/>
    <n v="5"/>
    <n v="8"/>
    <n v="0"/>
    <s v="MWE"/>
    <s v="019 Ministry of Water and Environment"/>
    <s v="Develop feasibility studies/ Preliminary designs and prepare detailed designs of dams; Construction of new multi-purpose water development schemes of; Kyenshama Geregere, Ojama Makokwa, Kyahi, Kakingole, Kokonyuko, Korisae Lothar, Girik, Komothing, Achorichori, Katabok, Kulodwongo, Katabok, Kaputh, Longore, Naoyamuwe, and Kokyeyo. Lemsui, Nakonyen and Nangololapolon; construct valley 23 dams; establish 12 water reticulation systems in the selected NAGRC&amp;DB Centre farms; procure construction equipment; construct community and individual valley tanks; "/>
    <n v="1"/>
    <n v="1"/>
    <n v="1"/>
    <n v="1"/>
    <n v="1"/>
    <n v="1"/>
    <n v="1"/>
    <n v="0"/>
    <n v="0.875"/>
    <n v="0"/>
    <m/>
    <m/>
    <m/>
    <m/>
    <n v="3"/>
    <m/>
    <n v="3"/>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1"/>
    <s v="Multi-purpose water development schemes including valley dams, valley tanks developed"/>
    <s v="120 micro- irrigation schemes constructed"/>
    <n v="0"/>
    <n v="10"/>
    <n v="20"/>
    <n v="30"/>
    <n v="20"/>
    <n v="15"/>
    <s v="UCDA"/>
    <s v="160 Uganda Coffee Development Authority"/>
    <s v="Establish micro-small scale irrigation schemes for coffee"/>
    <n v="1"/>
    <n v="1"/>
    <n v="1"/>
    <n v="1"/>
    <n v="1"/>
    <n v="1"/>
    <n v="1"/>
    <n v="0"/>
    <n v="0.875"/>
    <n v="0"/>
    <m/>
    <n v="10.5"/>
    <n v="10.5"/>
    <n v="10.5"/>
    <n v="12"/>
    <n v="11"/>
    <n v="23"/>
    <s v="UCDA"/>
    <s v="160 Uganda Coffee Development Authority"/>
    <s v="MWE, MAAIF, LGs"/>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2"/>
    <s v="Management structures for water for agriculture production developed"/>
    <s v="No. of Bulk water systems with operation and maintenance institutional management structures established"/>
    <n v="0"/>
    <n v="2"/>
    <n v="3"/>
    <n v="7"/>
    <n v="8"/>
    <n v="5"/>
    <s v="MWE"/>
    <s v="019 Ministry of Water and Environment"/>
    <s v="Establish management structures for multi-purpose bulk water schemes; Select, form and train water user associations"/>
    <n v="1"/>
    <n v="1"/>
    <n v="1"/>
    <n v="1"/>
    <n v="1"/>
    <n v="1"/>
    <n v="1"/>
    <n v="0"/>
    <n v="0.875"/>
    <n v="0"/>
    <m/>
    <n v="0.5"/>
    <n v="0.5"/>
    <n v="0.5"/>
    <n v="0.5"/>
    <n v="0.5"/>
    <n v="1"/>
    <s v="MWE"/>
    <s v="019 Ministry of Water and Environment"/>
    <s v="MAAIF, MTIC, MLGSD, MLG"/>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3"/>
    <s v="Management structures for water for agriculture production developed"/>
    <s v="No. of water user association formed and trained by 2025"/>
    <n v="45"/>
    <n v="100"/>
    <n v="200"/>
    <n v="300"/>
    <n v="400"/>
    <n v="500"/>
    <s v="MWE"/>
    <s v="019 Ministry of Water and Environment"/>
    <s v="Establish management structures for multi-purpose bulk water schemes; Select, form and train water user associations"/>
    <n v="1"/>
    <n v="1"/>
    <n v="1"/>
    <n v="1"/>
    <n v="1"/>
    <n v="1"/>
    <n v="1"/>
    <n v="0"/>
    <n v="0.875"/>
    <n v="0"/>
    <m/>
    <m/>
    <m/>
    <m/>
    <n v="0.5"/>
    <n v="0.5"/>
    <n v="1"/>
    <s v="MWE"/>
    <s v="019 Ministry of Water and Environment"/>
    <s v="MAAIF, MTIC,MoLG, MLGSD"/>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4"/>
    <s v="National Irrigation Master Plan finalized"/>
    <s v="National Irrigation Master Plan in place   "/>
    <n v="0"/>
    <n v="1"/>
    <m/>
    <m/>
    <m/>
    <m/>
    <s v="MWE"/>
    <s v="019 Ministry of Water and Environment"/>
    <s v="Finalize the preparation of National Irrigation Master Plan"/>
    <n v="1"/>
    <n v="1"/>
    <n v="1"/>
    <n v="1"/>
    <n v="1"/>
    <n v="1"/>
    <n v="1"/>
    <n v="0"/>
    <n v="0.875"/>
    <n v="0"/>
    <m/>
    <n v="1"/>
    <n v="0.2"/>
    <m/>
    <m/>
    <m/>
    <n v="0"/>
    <s v="MWE"/>
    <s v="019 Ministry of Water and Environment"/>
    <s v="MAAIF, OWC"/>
  </r>
  <r>
    <x v="0"/>
    <x v="0"/>
    <s v="011"/>
    <s v="Agricultural Production and Productivity"/>
    <s v="0111"/>
    <s v="Increase production and productivity"/>
    <s v="011104"/>
    <s v="Increase access and use of water for agricultural production"/>
    <s v="011104d"/>
    <s v="Develop infrastructure and services for bulk water storage and transfer including water abstraction systems, transmission mains, water pumping systems, storage tanks, water distribution networks"/>
    <s v="011104d05"/>
    <s v="Water management technologies   promoted among smallholder farmers (e.g. water harvesting, irrigation)."/>
    <s v="Number of parishes supported with water management technologies "/>
    <n v="0"/>
    <n v="5000"/>
    <n v="8250"/>
    <n v="9222"/>
    <n v="1000"/>
    <n v="1000"/>
    <s v="MAAIF"/>
    <s v="010 Ministry of Agriculture, Animal &amp; Fisheries"/>
    <s v="Using the Parish Model, promote water management technologies for smallholder farmers (e.g. water harvesting, irrigation)."/>
    <n v="1"/>
    <n v="1"/>
    <n v="1"/>
    <n v="1"/>
    <n v="1"/>
    <n v="1"/>
    <n v="1"/>
    <n v="0"/>
    <n v="0.875"/>
    <n v="0"/>
    <n v="0"/>
    <n v="0"/>
    <n v="7.5"/>
    <n v="7.5"/>
    <n v="5"/>
    <n v="5"/>
    <n v="10"/>
    <s v="MAAIF (OWC)"/>
    <s v="010 Ministry of Agriculture, Animal &amp; Fisheries"/>
    <s v="NARO, MAAIF, LGs"/>
  </r>
  <r>
    <x v="0"/>
    <x v="0"/>
    <s v="011"/>
    <s v="Agricultural Production and Productivity"/>
    <s v="0111"/>
    <s v="Increase production and productivity"/>
    <s v="011104"/>
    <s v="Increase access and use of water for agricultural production"/>
    <s v="011104e"/>
    <s v="Promote Water use efficiency in agricultural production"/>
    <s v="011104e01"/>
    <s v="Community based management system for water for agriculture production developed"/>
    <s v="500 water user association formed by 2025"/>
    <m/>
    <n v="100"/>
    <n v="200"/>
    <n v="300"/>
    <n v="400"/>
    <n v="500"/>
    <s v="MWE"/>
    <s v="019 Ministry of Water and Environment"/>
    <m/>
    <n v="0"/>
    <n v="0"/>
    <n v="0"/>
    <n v="0"/>
    <n v="0"/>
    <n v="0"/>
    <n v="0"/>
    <n v="0"/>
    <n v="0"/>
    <n v="0"/>
    <n v="0"/>
    <m/>
    <m/>
    <m/>
    <m/>
    <m/>
    <e v="#REF!"/>
    <s v="MWE"/>
    <s v="019 Ministry of Water and Environment"/>
    <m/>
  </r>
  <r>
    <x v="0"/>
    <x v="0"/>
    <s v="011"/>
    <s v="Agricultural Production and Productivity"/>
    <s v="0111"/>
    <s v="Increase production and productivity"/>
    <s v="011104"/>
    <s v="Increase access and use of water for agricultural production"/>
    <s v="011104e"/>
    <s v="Promote Water use efficiency in agricultural production"/>
    <s v="011104e01"/>
    <s v="Community based management system for water for agriculture production developed"/>
    <s v="500 water user association trained by 2025"/>
    <m/>
    <n v="100"/>
    <n v="200"/>
    <n v="300"/>
    <n v="400"/>
    <n v="500"/>
    <s v="MWE"/>
    <s v="019 Ministry of Water and Environment"/>
    <m/>
    <n v="0"/>
    <n v="0"/>
    <n v="0"/>
    <n v="0"/>
    <n v="0"/>
    <n v="0"/>
    <n v="0"/>
    <n v="0"/>
    <n v="0"/>
    <n v="0"/>
    <n v="0"/>
    <m/>
    <m/>
    <m/>
    <m/>
    <m/>
    <e v="#REF!"/>
    <s v="MWE"/>
    <s v="019 Ministry of Water and Environment"/>
    <m/>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1"/>
    <s v="Assorted sets of Agric mechanization equipment acquired and deployed"/>
    <s v="Mechanisation service centres established"/>
    <n v="0"/>
    <n v="0"/>
    <m/>
    <m/>
    <n v="1"/>
    <n v="1"/>
    <s v="MAAIF (OWC)"/>
    <s v="010 Ministry of Agriculture, Animal &amp; Fisheries"/>
    <s v="Develop designs, construct and equip 2 regional mechanization service centres "/>
    <n v="1"/>
    <n v="1"/>
    <n v="1"/>
    <n v="1"/>
    <n v="1"/>
    <n v="1"/>
    <n v="1"/>
    <n v="0"/>
    <n v="0.875"/>
    <n v="0"/>
    <n v="0"/>
    <n v="9.5"/>
    <n v="3"/>
    <n v="3"/>
    <n v="10"/>
    <n v="10"/>
    <n v="20"/>
    <s v="MAAIF"/>
    <s v="010 Ministry of Agriculture, Animal &amp; Fisheries"/>
    <s v="NARO, LGs, OWC"/>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1"/>
    <s v="Assorted sets of Agric mechanization equipment acquired and deployed"/>
    <s v="Number of agriculture mechanisation outreach services extended"/>
    <n v="0"/>
    <n v="0"/>
    <n v="0"/>
    <n v="20"/>
    <n v="20"/>
    <n v="20"/>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n v="30"/>
    <n v="22"/>
    <n v="22"/>
    <n v="5"/>
    <n v="5"/>
    <n v="10"/>
    <s v="MAAIF (OWC)"/>
    <s v="010 Ministry of Agriculture, Animal &amp; Fisheries"/>
    <s v="UDC, MSCL,UDB, MAAIF"/>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1"/>
    <s v="Assorted sets of Agric mechanization equipment acquired and deployed"/>
    <s v="No. of assorted sets of Agric mechanization equipment, services and machinery availed and deployed"/>
    <n v="0"/>
    <n v="0"/>
    <n v="2"/>
    <n v="2"/>
    <n v="2"/>
    <n v="2"/>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m/>
    <m/>
    <m/>
    <n v="4.8"/>
    <n v="4.8"/>
    <n v="9.6"/>
    <s v="MAAIF (OWC)"/>
    <s v="010 Ministry of Agriculture, Animal &amp; Fisheries"/>
    <s v="UDC, MSCL,UDB, MAAIF"/>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1"/>
    <s v="Assorted sets of Agric mechanization equipment acquired and deployed"/>
    <s v="No. of tested and certified LST machinery equipment"/>
    <n v="16"/>
    <n v="20"/>
    <n v="20"/>
    <n v="20"/>
    <n v="20"/>
    <n v="20"/>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m/>
    <m/>
    <m/>
    <m/>
    <m/>
    <n v="0"/>
    <s v="MAAIF (OWC)"/>
    <s v="010 Ministry of Agriculture, Animal &amp; Fisheries"/>
    <s v="UDC, MSCL,UDB, MAAIF"/>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1"/>
    <s v="Assorted sets of Agric mechanization equipment acquired and deployed"/>
    <s v="No. of tractors acquired and deployed"/>
    <n v="302"/>
    <n v="160"/>
    <n v="180"/>
    <n v="180"/>
    <n v="20"/>
    <n v="20"/>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m/>
    <m/>
    <m/>
    <n v="24"/>
    <n v="24"/>
    <n v="48"/>
    <s v="MAAIF (OWC)"/>
    <s v="010 Ministry of Agriculture, Animal &amp; Fisheries"/>
    <s v="UDC, MSCL,UDB, MAAIF"/>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2"/>
    <s v="AMT users, operators, technician trained"/>
    <s v="Number of AMT users, operators and techniciains trained"/>
    <n v="600"/>
    <n v="0"/>
    <n v="400"/>
    <n v="700"/>
    <n v="500"/>
    <n v="500"/>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m/>
    <m/>
    <m/>
    <n v="0.4"/>
    <n v="0.4"/>
    <n v="0.8"/>
    <s v="MAAIF"/>
    <s v="010 Ministry of Agriculture, Animal &amp; Fisheries"/>
    <m/>
  </r>
  <r>
    <x v="0"/>
    <x v="0"/>
    <s v="011"/>
    <s v="Agricultural Production and Productivity"/>
    <s v="0111"/>
    <s v="Increase production and productivity"/>
    <s v="011105"/>
    <s v="Increase access to and use of agricultural mechanisation"/>
    <s v="011105a"/>
    <s v="Expand and equip regional agricultural mechanisation and service centers in the 9 agroecological zones"/>
    <s v="011105a03"/>
    <s v="Farm access roads opened, improved, rehabilitated and constructed"/>
    <s v="Total No of kilometers of farm roads developed, "/>
    <n v="220"/>
    <n v="300"/>
    <n v="300"/>
    <n v="300"/>
    <n v="300"/>
    <n v="300"/>
    <s v="MAAIF (OWC)"/>
    <s v="010 Ministry of Agriculture, Animal &amp; Fisheries"/>
    <s v="Support the private sector, through the regional farm service centres, to acquire and deploy assorted sets of Agric mechanization equipment (heavy equipment and machinery units; Test, certify and promote agriculture mechanization equipment;Roll out the tractor hire services; Procure and deploy tractors with all implements; Identify and promote agriculture equipment and machinery models for LST."/>
    <n v="1"/>
    <n v="1"/>
    <n v="1"/>
    <n v="1"/>
    <n v="1"/>
    <n v="1"/>
    <n v="1"/>
    <n v="0"/>
    <n v="0.875"/>
    <n v="0"/>
    <n v="0"/>
    <m/>
    <m/>
    <m/>
    <m/>
    <m/>
    <n v="0"/>
    <s v="MAAIF (OWC)"/>
    <s v="010 Ministry of Agriculture, Animal &amp; Fisheries"/>
    <m/>
  </r>
  <r>
    <x v="0"/>
    <x v="0"/>
    <s v="011"/>
    <s v="Agricultural Production and Productivity"/>
    <s v="0111"/>
    <s v="Increase production and productivity"/>
    <s v="011105"/>
    <s v="Increase access to and use of agricultural mechanisation"/>
    <s v="011105b"/>
    <s v="Establish agricultural mechanisation manufacturing plants"/>
    <s v="011105b01"/>
    <s v="Agricultural mechanisation plants established."/>
    <s v="Number of agricultural mechanisation plants established."/>
    <n v="0"/>
    <n v="0"/>
    <n v="1"/>
    <n v="1"/>
    <n v="1"/>
    <n v="1"/>
    <s v="UDB"/>
    <s v="008 Ministry of Finance, Planning &amp; Economic Dev."/>
    <s v="Establish agricultural mechanisation manufacturing plants. "/>
    <n v="0"/>
    <n v="0"/>
    <n v="0"/>
    <n v="0"/>
    <n v="0"/>
    <n v="0"/>
    <n v="0"/>
    <n v="0"/>
    <n v="0"/>
    <n v="0"/>
    <n v="0"/>
    <m/>
    <m/>
    <m/>
    <m/>
    <m/>
    <e v="#REF!"/>
    <s v="MoFPED (UDB)"/>
    <s v="015 Ministry of Trade, Industry and Cooperatives"/>
    <s v="MAAIF,MOFPED,MOWT, Private sector"/>
  </r>
  <r>
    <x v="0"/>
    <x v="0"/>
    <s v="011"/>
    <s v="Agricultural Production and Productivity"/>
    <s v="0111"/>
    <s v="Increase production and productivity"/>
    <s v="011105"/>
    <s v="Increase access to and use of agricultural mechanisation"/>
    <s v="011105c"/>
    <s v="Establish appropriate public and private financing options for agricultural mechanisation"/>
    <s v="011105c01"/>
    <s v="Equipment and machinery suppliers, dealers and manufacturers accredited"/>
    <s v="Number of Agriculture equipment and machinery importers, suppliers, dealers, fabricators and manufacturers identified and accredited"/>
    <n v="0"/>
    <n v="10"/>
    <n v="10"/>
    <n v="10"/>
    <n v="10"/>
    <n v="10"/>
    <s v="MAAIF"/>
    <s v="010 Ministry of Agriculture, Animal &amp; Fisheries"/>
    <s v="Identify and accredit mechanisation equipment suppliers, dealers, manufacturers or importers and fabricators"/>
    <n v="1"/>
    <n v="1"/>
    <n v="1"/>
    <n v="1"/>
    <n v="0"/>
    <n v="1"/>
    <n v="1"/>
    <n v="0"/>
    <n v="0.75"/>
    <n v="0"/>
    <n v="0"/>
    <m/>
    <m/>
    <m/>
    <m/>
    <m/>
    <n v="0"/>
    <s v="MAAIF"/>
    <s v="010 Ministry of Agriculture, Animal &amp; Fisheries"/>
    <s v="UNBS, MoSTI"/>
  </r>
  <r>
    <x v="0"/>
    <x v="0"/>
    <s v="011"/>
    <s v="Agricultural Production and Productivity"/>
    <s v="0111"/>
    <s v="Increase production and productivity"/>
    <s v="011106"/>
    <s v="Increase access and use of digital technologies in agriculture"/>
    <s v="011106a"/>
    <s v="Empower youth to use ICT in developing agro-enterprise innovations"/>
    <s v="011106a01"/>
    <s v="Integrated livestock information management system developed and operationalized"/>
    <s v="Number of animals enrolled on the Traceability system"/>
    <m/>
    <n v="0"/>
    <m/>
    <n v="1000000"/>
    <n v="1000000"/>
    <n v="2000000"/>
    <s v="MAAIF"/>
    <s v="010 Ministry of Agriculture, Animal &amp; Fisheries"/>
    <s v="Develop and operationalize the Livestock Identification and Traceability System and animal health information management system"/>
    <n v="1"/>
    <n v="1"/>
    <n v="1"/>
    <n v="0"/>
    <n v="1"/>
    <n v="1"/>
    <n v="1"/>
    <n v="0"/>
    <n v="0.75"/>
    <n v="0"/>
    <n v="0"/>
    <n v="5"/>
    <n v="8"/>
    <n v="5"/>
    <n v="0.2"/>
    <n v="0.2"/>
    <n v="0.4"/>
    <s v="MAAIF"/>
    <s v="010 Ministry of Agriculture, Animal &amp; Fisheries"/>
    <s v="NAGRC&amp;DB, MoICT&amp;NG, LG, DDA"/>
  </r>
  <r>
    <x v="0"/>
    <x v="0"/>
    <s v="011"/>
    <s v="Agricultural Production and Productivity"/>
    <s v="0111"/>
    <s v="Increase production and productivity"/>
    <s v="011106"/>
    <s v="Increase access and use of digital technologies in agriculture"/>
    <s v="011106a"/>
    <s v="Empower youth to use ICT in developing agro-enterprise innovations"/>
    <s v="011106a01"/>
    <s v="Integrated livestock information management system developed and operationalized"/>
    <s v="Integrated livestock information management system developed"/>
    <m/>
    <n v="0"/>
    <n v="1"/>
    <n v="1"/>
    <n v="1"/>
    <n v="1"/>
    <s v="MAAIF"/>
    <s v="010 Ministry of Agriculture, Animal &amp; Fisheries"/>
    <s v="Develop and operationalize the Livestock Identification and Traceability System and animal health information management system"/>
    <n v="1"/>
    <n v="1"/>
    <n v="1"/>
    <n v="1"/>
    <n v="1"/>
    <n v="1"/>
    <n v="1"/>
    <n v="0"/>
    <n v="0.875"/>
    <n v="0"/>
    <n v="0"/>
    <m/>
    <m/>
    <m/>
    <n v="1"/>
    <n v="1"/>
    <n v="2"/>
    <s v="MAAIF"/>
    <s v="010 Ministry of Agriculture, Animal &amp; Fisheries"/>
    <s v="NAGRC&amp;DB, MoICT&amp;NG, LG, DDA"/>
  </r>
  <r>
    <x v="0"/>
    <x v="0"/>
    <s v="011"/>
    <s v="Agricultural Production and Productivity"/>
    <s v="0111"/>
    <s v="Increase production and productivity"/>
    <s v="011106"/>
    <s v="Increase access and use of digital technologies in agriculture"/>
    <s v="011106a"/>
    <s v="Empower youth to use ICT in developing agro-enterprise innovations"/>
    <s v="011106a02"/>
    <s v="Youth capacity enhanced  to develop agro-enterprise innovations"/>
    <s v="Number of youth groups trained "/>
    <n v="0"/>
    <m/>
    <n v="40"/>
    <n v="45"/>
    <n v="50"/>
    <n v="70"/>
    <s v="MAAIF"/>
    <s v="010 Ministry of Agriculture, Animal &amp; Fisheries"/>
    <s v="Use ICT in developing agro-enterprise innovations among Youths"/>
    <n v="1"/>
    <n v="1"/>
    <n v="1"/>
    <n v="1"/>
    <n v="1"/>
    <n v="1"/>
    <n v="1"/>
    <n v="0"/>
    <n v="0.875"/>
    <n v="0"/>
    <n v="0"/>
    <m/>
    <m/>
    <m/>
    <m/>
    <m/>
    <n v="0"/>
    <s v="MAAIF"/>
    <s v="010 Ministry of Agriculture, Animal &amp; Fisheries"/>
    <s v="MoICT&amp;NG"/>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Number of mobile extension apps developed (Mechanization; irrigation; pests and disease; artifitial insemination)"/>
    <n v="0"/>
    <m/>
    <m/>
    <n v="2"/>
    <n v="2"/>
    <n v="1"/>
    <s v="MAAIF"/>
    <s v="010 Ministry of Agriculture, Animal &amp; Fisheries"/>
    <s v="Mobile extension apps developed"/>
    <n v="1"/>
    <n v="1"/>
    <n v="1"/>
    <n v="1"/>
    <n v="1"/>
    <n v="1"/>
    <n v="1"/>
    <n v="0"/>
    <n v="0.875"/>
    <n v="0"/>
    <n v="0"/>
    <m/>
    <m/>
    <m/>
    <m/>
    <m/>
    <n v="0"/>
    <s v="MAAIF"/>
    <s v="010 Ministry of Agriculture, Animal &amp; Fisheries"/>
    <m/>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No of  e-learning centers at zonal level established"/>
    <n v="0"/>
    <n v="0"/>
    <n v="1"/>
    <n v="1"/>
    <n v="2"/>
    <n v="3"/>
    <s v="MAAIF"/>
    <s v="010 Ministry of Agriculture, Animal &amp; Fisheries"/>
    <s v="Establish e-learning centers at zonal level"/>
    <n v="1"/>
    <n v="1"/>
    <n v="1"/>
    <n v="0"/>
    <n v="1"/>
    <n v="1"/>
    <n v="1"/>
    <n v="0"/>
    <n v="0.75"/>
    <n v="0"/>
    <n v="0"/>
    <m/>
    <m/>
    <m/>
    <m/>
    <m/>
    <n v="0"/>
    <s v="MAAIF"/>
    <s v="010 Ministry of Agriculture, Animal &amp; Fisheries"/>
    <m/>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No. of mobile information stalls established"/>
    <n v="0"/>
    <n v="45"/>
    <n v="45"/>
    <n v="45"/>
    <n v="45"/>
    <n v="45"/>
    <s v="MAAIF"/>
    <s v="010 Ministry of Agriculture, Animal &amp; Fisheries"/>
    <s v="Mobile information stall established"/>
    <n v="0"/>
    <n v="0"/>
    <n v="0"/>
    <n v="0"/>
    <n v="0"/>
    <n v="0"/>
    <n v="0"/>
    <n v="0"/>
    <n v="0"/>
    <n v="0"/>
    <n v="0"/>
    <m/>
    <m/>
    <m/>
    <m/>
    <m/>
    <e v="#REF!"/>
    <s v="MAAIF"/>
    <s v="010 Ministry of Agriculture, Animal &amp; Fisheries"/>
    <m/>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Information laboratory for management and analysis of satelite data"/>
    <n v="0"/>
    <m/>
    <n v="1"/>
    <n v="1"/>
    <n v="1"/>
    <n v="1"/>
    <s v="MAAIF"/>
    <s v="010 Ministry of Agriculture, Animal &amp; Fisheries"/>
    <s v="Information laboratory for management and analysis of satelite data established"/>
    <n v="1"/>
    <n v="1"/>
    <n v="1"/>
    <n v="1"/>
    <n v="1"/>
    <n v="1"/>
    <n v="1"/>
    <n v="0"/>
    <n v="0.875"/>
    <n v="0"/>
    <n v="0"/>
    <m/>
    <m/>
    <m/>
    <m/>
    <m/>
    <n v="0"/>
    <s v="MAAIF"/>
    <s v="010 Ministry of Agriculture, Animal &amp; Fisheries"/>
    <s v="MoICT&amp;NG"/>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Information Labaratory  for management and analysis of satelite data operational "/>
    <n v="0"/>
    <m/>
    <n v="1"/>
    <n v="1"/>
    <n v="1"/>
    <n v="1"/>
    <s v="MAAIF"/>
    <s v="010 Ministry of Agriculture, Animal &amp; Fisheries"/>
    <s v="Information laboratory for management and analysis of satelite data operationalised"/>
    <n v="1"/>
    <n v="1"/>
    <n v="1"/>
    <n v="1"/>
    <n v="1"/>
    <n v="1"/>
    <n v="1"/>
    <n v="0"/>
    <n v="0.875"/>
    <n v="0"/>
    <n v="0"/>
    <m/>
    <m/>
    <m/>
    <m/>
    <m/>
    <n v="0"/>
    <s v="MAAIF"/>
    <s v="010 Ministry of Agriculture, Animal &amp; Fisheries"/>
    <s v="NFA, MoICT&amp;NG"/>
  </r>
  <r>
    <x v="0"/>
    <x v="0"/>
    <s v="011"/>
    <s v="Agricultural Production and Productivity"/>
    <s v="0111"/>
    <s v="Increase production and productivity"/>
    <s v="011106"/>
    <s v="Increase access and use of digital technologies in agriculture"/>
    <s v="011106b"/>
    <s v="Develop ICT modules that can improve extension services and delivery of government input support"/>
    <s v="011106b01"/>
    <s v="ICT modules that improve extension services and delivery of government input support developed"/>
    <s v="No. of staff trained to analyze satellite data"/>
    <n v="0"/>
    <m/>
    <n v="10"/>
    <n v="15"/>
    <n v="15"/>
    <n v="10"/>
    <s v="MAAIF"/>
    <s v="010 Ministry of Agriculture, Animal &amp; Fisheries"/>
    <s v="Staff trained in satellite data analysis"/>
    <n v="1"/>
    <n v="1"/>
    <n v="1"/>
    <n v="1"/>
    <n v="1"/>
    <n v="1"/>
    <n v="1"/>
    <n v="0"/>
    <n v="0.875"/>
    <n v="0"/>
    <n v="0"/>
    <m/>
    <m/>
    <m/>
    <m/>
    <m/>
    <n v="0"/>
    <s v="MAAIF"/>
    <s v="010 Ministry of Agriculture, Animal &amp; Fisheries"/>
    <m/>
  </r>
  <r>
    <x v="0"/>
    <x v="0"/>
    <s v="011"/>
    <s v="Agricultural Production and Productivity"/>
    <s v="0111"/>
    <s v="Increase production and productivity"/>
    <s v="011107"/>
    <s v="Improve land tenure systems and  security mechnaisms that promote inclusive agriculture investments"/>
    <s v="011107a"/>
    <s v="Increase the number of farmers with titled land to ensure land tenure security with special attention to the youth, women, PWDS and other vulnerable groups"/>
    <s v="011107a01"/>
    <s v="Partnerships entered into between farming communities and land owners of large tracts of farm land for increased production"/>
    <s v="Number of food and animal feed reserves established "/>
    <m/>
    <n v="0"/>
    <n v="3"/>
    <n v="3"/>
    <n v="1"/>
    <n v="1"/>
    <s v="MAAIF (OWC)"/>
    <s v="010 Ministry of Agriculture, Animal &amp; Fisheries"/>
    <s v="Facilitate partnerships between the farming communities and  owners of large tracts of land for mass production to build a strategic food and animal feeds reserves."/>
    <n v="1"/>
    <n v="1"/>
    <n v="1"/>
    <n v="1"/>
    <n v="1"/>
    <n v="1"/>
    <n v="1"/>
    <n v="0"/>
    <n v="0.875"/>
    <n v="0"/>
    <n v="0"/>
    <n v="0"/>
    <n v="5"/>
    <n v="5"/>
    <n v="1.54"/>
    <n v="1.54"/>
    <n v="3.08"/>
    <s v="MAAIF (OWC)"/>
    <s v="010 Ministry of Agriculture, Animal &amp; Fisheries"/>
    <s v="OWC, MAAIF, MoLHUD, MoKCC&amp;MA, LGs"/>
  </r>
  <r>
    <x v="0"/>
    <x v="0"/>
    <s v="011"/>
    <s v="Agricultural Production and Productivity"/>
    <s v="0111"/>
    <s v="Increase production and productivity"/>
    <s v="011107"/>
    <s v="Improve land tenure systems and  security mechnaisms that promote inclusive agriculture investments"/>
    <s v="011107b"/>
    <s v="Promote the policy of non-fragmentation of Agricultural land among family members in all agro-ecological zones"/>
    <s v="011107b01"/>
    <s v="Certificates of Customary Ownership, Certificates of Occupancy for bibanja holders on mailo land, longer-term leasing and other collaborative farming arrangements embraced by farmers"/>
    <s v="Number of certificates of  ownership aqcuired by farmers "/>
    <m/>
    <n v="0"/>
    <n v="20000"/>
    <n v="20000"/>
    <n v="100"/>
    <n v="100"/>
    <s v="MAAIF (OWC)"/>
    <s v="010 Ministry of Agriculture, Animal &amp; Fisheries"/>
    <s v="Engage with the farming communities to embrace Certificates of Customary Ownership, Certificates of Occupancy for bibanja holders on mailo land, longer-term leasing and other collaborative farming arrangements to help resolve land tenure challenges (popularise the use of these). "/>
    <n v="1"/>
    <n v="1"/>
    <n v="1"/>
    <n v="1"/>
    <n v="1"/>
    <n v="1"/>
    <n v="1"/>
    <n v="0"/>
    <n v="0.875"/>
    <n v="0"/>
    <n v="0"/>
    <n v="0"/>
    <n v="3"/>
    <n v="3"/>
    <n v="0.6"/>
    <n v="0.6"/>
    <n v="1.2"/>
    <s v="MAAIF (OWC)"/>
    <s v="010 Ministry of Agriculture, Animal &amp; Fisheries"/>
    <s v="MLHUD, MAAIF"/>
  </r>
  <r>
    <x v="0"/>
    <x v="0"/>
    <s v="011"/>
    <s v="Agricultural Production and Productivity"/>
    <s v="0111"/>
    <s v="Increase production and productivity"/>
    <s v="011107"/>
    <s v="Improve land tenure systems and  security mechnaisms that promote inclusive agriculture investments"/>
    <s v="011107c"/>
    <s v="Secure and efficiently use public agriculture farmlands and ranches"/>
    <s v="011107c01"/>
    <s v="Efficient utilization of public agriculture farmlands and ranches"/>
    <s v="Proportion of agricultural land secured (fenced, titled)"/>
    <m/>
    <n v="0"/>
    <m/>
    <m/>
    <m/>
    <m/>
    <s v="MoLHUD"/>
    <s v="012 Ministry of Lands, Housing &amp; Urban Development"/>
    <s v="Secure and effeciently use public agriculture farmlands and ranches"/>
    <n v="1"/>
    <n v="1"/>
    <n v="1"/>
    <n v="1"/>
    <n v="1"/>
    <n v="1"/>
    <n v="1"/>
    <n v="0"/>
    <n v="0.875"/>
    <n v="0"/>
    <n v="0"/>
    <n v="0"/>
    <m/>
    <m/>
    <n v="0.4"/>
    <n v="0.4"/>
    <n v="0.8"/>
    <s v="MLHUD"/>
    <s v="010 Ministry of Agriculture, Animal &amp; Fisheries"/>
    <s v="NAGRC&amp;DB"/>
  </r>
  <r>
    <x v="0"/>
    <x v="0"/>
    <s v="011"/>
    <s v="Agricultural Production and Productivity"/>
    <s v="0111"/>
    <s v="Increase production and productivity"/>
    <s v="011108"/>
    <s v="Strengthen farmer organizations and cooperatives"/>
    <s v="011108a"/>
    <s v="Sensitize farmers on the benefits of cooperating"/>
    <s v="011108a01"/>
    <s v="Cooperative and entrepreneurial skills inculcated to the farmers and farmers groups"/>
    <s v="Number of farmer groups trained in entrepreneurial skills"/>
    <m/>
    <n v="0"/>
    <n v="50"/>
    <n v="50"/>
    <n v="50"/>
    <n v="50"/>
    <s v="MoTIC"/>
    <s v="015 Ministry of Trade, Industry and Cooperatives"/>
    <s v="Engage cooperative colleges and colleges of commerce to inculcate cooperative and entrepreneurial skills to the farmers and farmers groups;"/>
    <n v="1"/>
    <n v="1"/>
    <n v="1"/>
    <n v="1"/>
    <n v="1"/>
    <n v="1"/>
    <n v="1"/>
    <n v="0"/>
    <n v="0.875"/>
    <n v="0"/>
    <n v="0"/>
    <n v="0"/>
    <m/>
    <m/>
    <n v="0.2"/>
    <n v="0.15"/>
    <n v="0.35"/>
    <s v="MoTIC"/>
    <s v="015 Ministry of Trade, Industry and Cooperatives"/>
    <s v="MAAIF"/>
  </r>
  <r>
    <x v="0"/>
    <x v="0"/>
    <s v="011"/>
    <s v="Agricultural Production and Productivity"/>
    <s v="0111"/>
    <s v="Increase production and productivity"/>
    <s v="011108"/>
    <s v="Strengthen farmer organizations and cooperatives"/>
    <s v="011108a"/>
    <s v="Sensitize farmers on the benefits of cooperating"/>
    <s v="011108a02"/>
    <s v="Farmer organisation registered and profiled"/>
    <s v="No. of farmer organisation registered and profiled"/>
    <n v="15000"/>
    <n v="20000"/>
    <n v="20300"/>
    <n v="20700"/>
    <n v="20700"/>
    <n v="20700"/>
    <s v="MoTIC"/>
    <s v="015 Ministry of Trade, Industry and Cooperatives"/>
    <s v="Register and profile farmer organisations"/>
    <n v="1"/>
    <n v="1"/>
    <n v="1"/>
    <n v="1"/>
    <n v="1"/>
    <n v="1"/>
    <n v="1"/>
    <n v="0"/>
    <n v="0.875"/>
    <n v="0"/>
    <n v="0"/>
    <n v="0"/>
    <m/>
    <m/>
    <n v="0.1"/>
    <n v="0.1"/>
    <n v="0.2"/>
    <s v="MoTIC"/>
    <s v="015 Ministry of Trade, Industry and Cooperatives"/>
    <s v="MAAIF"/>
  </r>
  <r>
    <x v="0"/>
    <x v="0"/>
    <s v="011"/>
    <s v="Agricultural Production and Productivity"/>
    <s v="0111"/>
    <s v="Increase production and productivity"/>
    <s v="011108"/>
    <s v="Strengthen farmer organizations and cooperatives"/>
    <s v="011108a"/>
    <s v="Sensitize farmers on the benefits of cooperating"/>
    <s v="011108a02"/>
    <s v="Farmer organisation registered and profiled"/>
    <s v="Number of breeders' and breed associations registered"/>
    <n v="0"/>
    <n v="2"/>
    <n v="3"/>
    <n v="2"/>
    <n v="3"/>
    <n v="2"/>
    <s v="NAGRC&amp;DB"/>
    <s v="125 National Animal Genetic Res. Centre and Data Bank"/>
    <s v="Register breeder associations"/>
    <n v="1"/>
    <n v="1"/>
    <n v="1"/>
    <n v="1"/>
    <n v="1"/>
    <n v="1"/>
    <n v="1"/>
    <n v="0"/>
    <n v="0.875"/>
    <n v="0"/>
    <n v="0"/>
    <m/>
    <m/>
    <m/>
    <n v="0.03"/>
    <n v="0.03"/>
    <n v="0.06"/>
    <s v="NAGRC&amp;DB"/>
    <s v="125 National Animal Genetic Res. Centre and Data Bank"/>
    <s v="MAAIF"/>
  </r>
  <r>
    <x v="0"/>
    <x v="0"/>
    <s v="011"/>
    <s v="Agricultural Production and Productivity"/>
    <s v="0111"/>
    <s v="Increase production and productivity"/>
    <s v="011108"/>
    <s v="Strengthen farmer organizations and cooperatives"/>
    <s v="011108b"/>
    <s v="Support up-coming farmer groups and cooperatives to effectively manage themselves"/>
    <s v="011108b01"/>
    <s v="Farmer organizations strengthened"/>
    <s v="No. of farmer groups trained along the value chain"/>
    <n v="15000"/>
    <n v="20000"/>
    <n v="20000"/>
    <n v="20000"/>
    <n v="20000"/>
    <n v="20000"/>
    <s v="MoTIC"/>
    <s v="015 Ministry of Trade, Industry and Cooperatives"/>
    <s v="Undertake capacity assessment of farmer groups, identify and fill their capacity gaps"/>
    <n v="1"/>
    <n v="0"/>
    <n v="0"/>
    <n v="1"/>
    <n v="1"/>
    <n v="0"/>
    <n v="1"/>
    <n v="0"/>
    <n v="0.5"/>
    <n v="0"/>
    <n v="0"/>
    <n v="0"/>
    <n v="1"/>
    <n v="1"/>
    <m/>
    <m/>
    <e v="#REF!"/>
    <s v="MoTIC"/>
    <s v="015 Ministry of Trade, Industry and Cooperatives"/>
    <s v="OWC, MLG, UCDA, CDO, DDA, NAGRC&amp;DB, NAADS, MAAIF"/>
  </r>
  <r>
    <x v="0"/>
    <x v="0"/>
    <s v="011"/>
    <s v="Agricultural Production and Productivity"/>
    <s v="0111"/>
    <s v="Increase production and productivity"/>
    <s v="011109"/>
    <s v="Strengthen systems for management of pests, vectors and diseases"/>
    <s v="011109a"/>
    <s v="Develop and equip infrastructure and facilities for disease diagnosis and control"/>
    <s v="011109a01"/>
    <s v="Disease diagnosis and control capacity and facilities developed and equipped"/>
    <s v="235 Mobile plant and livestock clinics established across the country "/>
    <n v="45"/>
    <n v="47"/>
    <n v="47"/>
    <n v="47"/>
    <n v="20"/>
    <n v="20"/>
    <s v="MAAIF"/>
    <s v="010 Ministry of Agriculture, Animal &amp; Fisheries"/>
    <s v="Establish 235 Mobile plant and livestock clinics across the country "/>
    <n v="1"/>
    <n v="1"/>
    <n v="1"/>
    <n v="1"/>
    <n v="1"/>
    <n v="1"/>
    <n v="1"/>
    <n v="0"/>
    <n v="0.875"/>
    <n v="0"/>
    <n v="0"/>
    <n v="0.43"/>
    <n v="0.43"/>
    <n v="0.43"/>
    <n v="0.2"/>
    <n v="0.2"/>
    <n v="0.4"/>
    <s v="MAAIF"/>
    <s v="010 Ministry of Agriculture, Animal &amp; Fisheries"/>
    <s v="LGs, MoWT"/>
  </r>
  <r>
    <x v="0"/>
    <x v="0"/>
    <s v="011"/>
    <s v="Agricultural Production and Productivity"/>
    <s v="0111"/>
    <s v="Increase production and productivity"/>
    <s v="011109"/>
    <s v="Strengthen systems for management of pests, vectors and diseases"/>
    <s v="011109a"/>
    <s v="Develop and equip infrastructure and facilities for disease diagnosis and control"/>
    <s v="011109a01"/>
    <s v="Disease diagnosis and control capacity and facilities developed and equipped"/>
    <s v="Area under invasive aquatic weeds cleared"/>
    <n v="150"/>
    <n v="0"/>
    <n v="45"/>
    <n v="45"/>
    <n v="15"/>
    <n v="15"/>
    <s v="MAAIF"/>
    <s v="010 Ministry of Agriculture, Animal &amp; Fisheries"/>
    <s v="Acquire additional heavy earth moving and biological equipment’s to support robust mechanical removal of the mass water weed in all major water bodies. "/>
    <n v="1"/>
    <n v="1"/>
    <n v="1"/>
    <n v="1"/>
    <n v="1"/>
    <n v="1"/>
    <n v="0"/>
    <n v="0"/>
    <n v="0.75"/>
    <n v="0"/>
    <n v="0"/>
    <n v="1.2"/>
    <n v="1.5"/>
    <n v="6.6"/>
    <n v="0.6"/>
    <n v="0.6"/>
    <n v="1.2"/>
    <s v="MAAIF"/>
    <s v="010 Ministry of Agriculture, Animal &amp; Fisheries"/>
    <s v="MLG,NARO, MAAIF, MoWE, UNRA, MoWT"/>
  </r>
  <r>
    <x v="0"/>
    <x v="0"/>
    <s v="011"/>
    <s v="Agricultural Production and Productivity"/>
    <s v="0111"/>
    <s v="Increase production and productivity"/>
    <s v="011109"/>
    <s v="Strengthen systems for management of pests, vectors and diseases"/>
    <s v="011109a"/>
    <s v="Develop and equip infrastructure and facilities for disease diagnosis and control"/>
    <s v="011109a01"/>
    <s v="Disease diagnosis and control capacity and facilities developed and equipped"/>
    <s v="Number of district local governments supported to control pests and disease epidemics  "/>
    <n v="35"/>
    <n v="120"/>
    <n v="120"/>
    <n v="120"/>
    <n v="50"/>
    <n v="50"/>
    <s v="MAAIF"/>
    <s v="010 Ministry of Agriculture, Animal &amp; Fisheries"/>
    <s v="Acquire  pest, vector and disease control equipment and laboratory consumables"/>
    <n v="1"/>
    <n v="1"/>
    <n v="1"/>
    <n v="1"/>
    <n v="1"/>
    <n v="1"/>
    <n v="1"/>
    <n v="0"/>
    <n v="0.875"/>
    <n v="0"/>
    <n v="0"/>
    <n v="6.8"/>
    <n v="6.8"/>
    <n v="6.8"/>
    <n v="2.833333333333333"/>
    <n v="2.833333333333333"/>
    <n v="5.6666666666666661"/>
    <s v="MAAIF"/>
    <s v="010 Ministry of Agriculture, Animal &amp; Fisheries"/>
    <s v="MLG, LGs"/>
  </r>
  <r>
    <x v="0"/>
    <x v="0"/>
    <s v="011"/>
    <s v="Agricultural Production and Productivity"/>
    <s v="0111"/>
    <s v="Increase production and productivity"/>
    <s v="011109"/>
    <s v="Strengthen systems for management of pests, vectors and diseases"/>
    <s v="011109a"/>
    <s v="Develop and equip infrastructure and facilities for disease diagnosis and control"/>
    <s v="011109a01"/>
    <s v="Disease diagnosis and control capacity and facilities developed and equipped"/>
    <s v="Number of animal movement certificates issued"/>
    <n v="40000"/>
    <n v="41000"/>
    <n v="42000"/>
    <n v="43000"/>
    <n v="43500"/>
    <n v="44000"/>
    <s v="MAAIF"/>
    <s v="010 Ministry of Agriculture, Animal &amp; Fisheries"/>
    <s v="Enforce animal movement control, surveillance and investigation of disease outbreaks, acquire movement control certificates"/>
    <n v="1"/>
    <n v="1"/>
    <n v="1"/>
    <n v="1"/>
    <n v="1"/>
    <n v="1"/>
    <n v="1"/>
    <n v="1"/>
    <n v="1"/>
    <n v="0"/>
    <n v="0"/>
    <n v="1.5"/>
    <n v="2"/>
    <n v="2"/>
    <n v="1.2"/>
    <n v="1.2"/>
    <n v="2.4"/>
    <s v="MAAIF"/>
    <s v="010 Ministry of Agriculture, Animal &amp; Fisheries"/>
    <s v="LGs"/>
  </r>
  <r>
    <x v="0"/>
    <x v="0"/>
    <s v="011"/>
    <s v="Agricultural Production and Productivity"/>
    <s v="0111"/>
    <s v="Increase production and productivity"/>
    <s v="011109"/>
    <s v="Strengthen systems for management of pests, vectors and diseases"/>
    <s v="011109a"/>
    <s v="Develop and equip infrastructure and facilities for disease diagnosis and control"/>
    <s v="011109a01"/>
    <s v="Disease diagnosis and control capacity and facilities developed and equipped"/>
    <s v="Number of disease free compartments certified"/>
    <n v="0"/>
    <n v="10"/>
    <n v="20"/>
    <n v="30"/>
    <n v="30"/>
    <n v="30"/>
    <s v="MAAIF"/>
    <s v="010 Ministry of Agriculture, Animal &amp; Fisheries"/>
    <s v="Enforce animal movement control, surveillance and investigation of disease outbreaks, acquire movement control certificates"/>
    <n v="1"/>
    <n v="1"/>
    <n v="1"/>
    <n v="1"/>
    <n v="1"/>
    <n v="1"/>
    <n v="1"/>
    <n v="1"/>
    <n v="1"/>
    <n v="0"/>
    <n v="0"/>
    <m/>
    <m/>
    <m/>
    <m/>
    <m/>
    <n v="0"/>
    <s v="MAAIF"/>
    <s v="010 Ministry of Agriculture, Animal &amp; Fisheries"/>
    <s v="LGs"/>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No. of local government staff trained in pest, vector and disease surveillance, diagnostics and control control"/>
    <n v="1000"/>
    <n v="1000"/>
    <n v="1000"/>
    <n v="1000"/>
    <n v="300"/>
    <n v="300"/>
    <s v="MAAIF"/>
    <s v="010 Ministry of Agriculture, Animal &amp; Fisheries"/>
    <s v="Train and provide technical backstopping in pests, vectors and diseases surveillance, diagnostics and control"/>
    <n v="1"/>
    <n v="1"/>
    <n v="1"/>
    <n v="1"/>
    <n v="1"/>
    <n v="1"/>
    <n v="1"/>
    <n v="0"/>
    <n v="0.875"/>
    <n v="0"/>
    <n v="0"/>
    <n v="0.5"/>
    <n v="1"/>
    <n v="1"/>
    <n v="0.27"/>
    <n v="0.27"/>
    <n v="0.54"/>
    <s v="MAAIF"/>
    <s v="010 Ministry of Agriculture, Animal &amp; Fisheries"/>
    <s v="MLG, CDO, UCDA, DDA, NAGRC&amp;DB, LGs"/>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National Agriculture and veterinary  drug center established"/>
    <n v="0"/>
    <n v="0"/>
    <n v="1"/>
    <n v="1"/>
    <n v="1"/>
    <m/>
    <s v="MoTIC (UDC)"/>
    <e v="#N/A"/>
    <s v="Complete modalities for engaging the Private Sector to set-up pesticides, acaricides, animal vaccine and drug manufacturing in-country. Conduct feasibility studies, draft national veterinary medicines bill"/>
    <n v="1"/>
    <n v="1"/>
    <n v="1"/>
    <n v="1"/>
    <n v="1"/>
    <n v="1"/>
    <n v="1"/>
    <n v="0"/>
    <n v="0.875"/>
    <n v="0"/>
    <n v="0"/>
    <n v="0"/>
    <n v="2"/>
    <n v="2"/>
    <m/>
    <m/>
    <n v="0"/>
    <s v="MoTIC (UDC)"/>
    <s v="015 Ministry of Trade, Industry and Cooperatives"/>
    <s v="NPA, NDA, UDC, MoFPED, Min of justice, OWC, NARO"/>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Number of zonal disease diagnostic laboratories established"/>
    <n v="0"/>
    <n v="0"/>
    <n v="2"/>
    <n v="1"/>
    <n v="1"/>
    <n v="1"/>
    <s v="MAAIF"/>
    <s v="010 Ministry of Agriculture, Animal &amp; Fisheries"/>
    <s v="Establish zonal Veterinary diagnostic laboratories"/>
    <n v="1"/>
    <n v="1"/>
    <n v="0"/>
    <n v="1"/>
    <n v="1"/>
    <n v="1"/>
    <n v="1"/>
    <n v="0"/>
    <n v="0.75"/>
    <n v="0"/>
    <m/>
    <m/>
    <m/>
    <m/>
    <n v="0.2"/>
    <n v="0.2"/>
    <n v="0.4"/>
    <s v="MAAIF"/>
    <s v="015 Ministry of Trade, Industry and Cooperatives"/>
    <s v="MoLG"/>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Number of district veterinary labs established/ rehabilitated and operational. "/>
    <n v="2"/>
    <n v="4"/>
    <n v="6"/>
    <n v="5"/>
    <n v="10"/>
    <n v="10"/>
    <s v="MAAIF"/>
    <s v="010 Ministry of Agriculture, Animal &amp; Fisheries"/>
    <s v="Establish /rehabilitate   district veterinary laboratories"/>
    <n v="1"/>
    <n v="1"/>
    <n v="0"/>
    <n v="1"/>
    <n v="1"/>
    <n v="1"/>
    <n v="1"/>
    <n v="0"/>
    <n v="0.75"/>
    <n v="0"/>
    <n v="0"/>
    <m/>
    <m/>
    <m/>
    <n v="0.3"/>
    <n v="0.3"/>
    <n v="0.6"/>
    <s v="MAAIF"/>
    <s v="015 Ministry of Trade, Industry and Cooperatives"/>
    <s v="MoLG"/>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No. of district-based crop mini-diagnostic labs established/ rehabilitated and operational "/>
    <n v="5"/>
    <n v="15"/>
    <n v="15"/>
    <n v="15"/>
    <n v="15"/>
    <n v="15"/>
    <s v="MAAIF"/>
    <s v="010 Ministry of Agriculture, Animal &amp; Fisheries"/>
    <s v="Establish /rehabilitate   district mini-diagnostic laboratories"/>
    <n v="1"/>
    <n v="1"/>
    <n v="0"/>
    <n v="1"/>
    <n v="1"/>
    <n v="1"/>
    <n v="1"/>
    <n v="0"/>
    <n v="0.75"/>
    <n v="0"/>
    <n v="0"/>
    <m/>
    <m/>
    <m/>
    <n v="0.2"/>
    <n v="0.2"/>
    <n v="0.4"/>
    <s v="MAAIF"/>
    <s v="015 Ministry of Trade, Industry and Cooperatives"/>
    <s v="MoLG"/>
  </r>
  <r>
    <x v="0"/>
    <x v="0"/>
    <s v="011"/>
    <s v="Agricultural Production and Productivity"/>
    <s v="0111"/>
    <s v="Increase production and productivity"/>
    <s v="011109"/>
    <s v="Strengthen systems for management of pests, vectors and diseases"/>
    <s v="011109b"/>
    <s v="Develop human capacity for management of pests, vectors and diseases"/>
    <s v="011109b01"/>
    <s v="Disease diagnosis and control capacity and facilities developed and equipped"/>
    <s v="8 ART animal health laboratories constructed, equipped and operational by 2025"/>
    <n v="0"/>
    <n v="1"/>
    <n v="2"/>
    <n v="2"/>
    <n v="2"/>
    <n v="1"/>
    <s v="MAAIF"/>
    <s v="010 Ministry of Agriculture, Animal &amp; Fisheries"/>
    <s v="Construct Assisted Reproductive Technology (ART) laboratories"/>
    <n v="0"/>
    <n v="0"/>
    <n v="0"/>
    <n v="0"/>
    <n v="0"/>
    <n v="0"/>
    <n v="0"/>
    <n v="0"/>
    <n v="0"/>
    <n v="1"/>
    <n v="0"/>
    <m/>
    <m/>
    <m/>
    <m/>
    <m/>
    <e v="#REF!"/>
    <s v="MAAIF"/>
    <s v="015 Ministry of Trade, Industry and Cooperatives"/>
    <s v="MoLG"/>
  </r>
  <r>
    <x v="0"/>
    <x v="0"/>
    <s v="011"/>
    <s v="Agricultural Production and Productivity"/>
    <s v="0111"/>
    <s v="Increase production and productivity"/>
    <s v="011109"/>
    <s v="Strengthen systems for management of pests, vectors and diseases"/>
    <s v="011109c"/>
    <s v="Invest in agricultural drugs manufacture and distribution"/>
    <s v="011109c01"/>
    <s v="Animal Disease vaccines acquired and distributed"/>
    <s v="No. of animal disease vaccines acquired and distributed for state-controlled diseases."/>
    <n v="2000000"/>
    <n v="8000000"/>
    <n v="8000000"/>
    <n v="8000000"/>
    <n v="4000000"/>
    <n v="4000000"/>
    <s v="MAAIF"/>
    <s v="010 Ministry of Agriculture, Animal &amp; Fisheries"/>
    <s v="Acquire vaccines for endemic, emerging pandemic animal and crop diseases such as FMD, CBPP, crop diseases"/>
    <n v="1"/>
    <n v="1"/>
    <n v="1"/>
    <n v="1"/>
    <n v="1"/>
    <n v="1"/>
    <n v="1"/>
    <n v="0"/>
    <n v="0.875"/>
    <n v="0"/>
    <n v="0"/>
    <n v="46"/>
    <n v="17.5"/>
    <n v="18"/>
    <n v="15"/>
    <n v="20"/>
    <n v="35"/>
    <s v="MAAIF"/>
    <s v="015 Ministry of Trade, Industry and Cooperatives"/>
    <s v="LGs"/>
  </r>
  <r>
    <x v="0"/>
    <x v="0"/>
    <s v="011"/>
    <s v="Agricultural Production and Productivity"/>
    <s v="0111"/>
    <s v="Increase production and productivity"/>
    <s v="011109"/>
    <s v="Strengthen systems for management of pests, vectors and diseases"/>
    <s v="011109c"/>
    <s v="Invest in agricultural drugs manufacture and distribution"/>
    <s v="011109c02"/>
    <s v="Vaccine cold chain maintained from manufacture to animal delivery"/>
    <s v="Number of cold chain delivery vans procured"/>
    <n v="0"/>
    <m/>
    <m/>
    <n v="5"/>
    <n v="2"/>
    <n v="0"/>
    <s v="MAAIF"/>
    <s v="010 Ministry of Agriculture, Animal &amp; Fisheries"/>
    <s v="Procure cold chain distribution equipment, expand and maintain the existing  cold room "/>
    <n v="1"/>
    <n v="1"/>
    <n v="1"/>
    <n v="1"/>
    <n v="1"/>
    <n v="1"/>
    <n v="1"/>
    <n v="0"/>
    <n v="0.875"/>
    <n v="0"/>
    <n v="0"/>
    <m/>
    <m/>
    <m/>
    <n v="0.5"/>
    <m/>
    <n v="0.5"/>
    <s v="MAAIF"/>
    <s v="015 Ministry of Trade, Industry and Cooperatives"/>
    <s v="MLG"/>
  </r>
  <r>
    <x v="0"/>
    <x v="0"/>
    <s v="011"/>
    <s v="Agricultural Production and Productivity"/>
    <s v="0111"/>
    <s v="Increase production and productivity"/>
    <s v="011109"/>
    <s v="Strengthen systems for management of pests, vectors and diseases"/>
    <s v="011109c"/>
    <s v="Invest in agricultural drugs manufacture and distribution"/>
    <s v="011109c02"/>
    <s v="Vaccine cold chain maintained from manufacture to animal delivery"/>
    <s v="Storage capacity of the cold room (cubic metres)"/>
    <n v="150"/>
    <m/>
    <m/>
    <m/>
    <n v="1000"/>
    <m/>
    <s v="MAAIF"/>
    <s v="010 Ministry of Agriculture, Animal &amp; Fisheries"/>
    <s v="Procure cold chain distribution equipment, expand and maintain the existing  cold room "/>
    <n v="1"/>
    <n v="1"/>
    <n v="1"/>
    <n v="1"/>
    <n v="1"/>
    <n v="1"/>
    <n v="1"/>
    <n v="0"/>
    <n v="0.875"/>
    <n v="0"/>
    <n v="0"/>
    <m/>
    <m/>
    <m/>
    <n v="0.3"/>
    <n v="0.3"/>
    <n v="0.6"/>
    <s v="MAAIF"/>
    <s v="015 Ministry of Trade, Industry and Cooperatives"/>
    <s v="MLG"/>
  </r>
  <r>
    <x v="0"/>
    <x v="0"/>
    <s v="011"/>
    <s v="Agricultural Production and Productivity"/>
    <s v="0111"/>
    <s v="Increase production and productivity"/>
    <s v="011109"/>
    <s v="Strengthen systems for management of pests, vectors and diseases"/>
    <s v="011109c"/>
    <s v="Invest in agricultural drugs manufacture and distribution"/>
    <s v="011109c03"/>
    <s v="Pest, disease and vector control staff recruited"/>
    <s v="No of staff recruited against establishment"/>
    <n v="20"/>
    <n v="100"/>
    <n v="106"/>
    <n v="106"/>
    <n v="106"/>
    <n v="106"/>
    <s v="MAAIF"/>
    <s v="010 Ministry of Agriculture, Animal &amp; Fisheries"/>
    <s v="Recruit Pest, disease and vector control staff"/>
    <n v="1"/>
    <n v="1"/>
    <n v="1"/>
    <n v="1"/>
    <n v="1"/>
    <n v="1"/>
    <n v="1"/>
    <n v="0"/>
    <n v="0.875"/>
    <n v="0"/>
    <n v="0"/>
    <m/>
    <m/>
    <m/>
    <m/>
    <m/>
    <n v="0"/>
    <s v="MAAIF"/>
    <s v="015 Ministry of Trade, Industry and Cooperatives"/>
    <s v="NAGRC&amp;DB"/>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1"/>
    <s v="Land, water and soil conservation practices strengthened"/>
    <s v="No of Catchment Management Plans (CMPs) developed"/>
    <n v="10"/>
    <n v="29"/>
    <n v="29"/>
    <n v="29"/>
    <n v="15"/>
    <n v="15"/>
    <s v="MAAIF"/>
    <s v="010 Ministry of Agriculture, Animal &amp; Fisheries"/>
    <s v="Develop and implement Catchment Management Plans (CMPs) in the 9 Agricultural Zones; Fastrack and integrate all SLM practices within the extension service systems"/>
    <n v="1"/>
    <n v="1"/>
    <n v="1"/>
    <n v="1"/>
    <n v="1"/>
    <n v="1"/>
    <n v="1"/>
    <n v="0"/>
    <n v="0.875"/>
    <n v="0"/>
    <n v="0"/>
    <n v="2.5"/>
    <n v="2.5"/>
    <n v="2"/>
    <n v="0.35"/>
    <n v="0.3"/>
    <n v="0.64999999999999991"/>
    <s v="MAAIF"/>
    <s v="015 Ministry of Trade, Industry and Cooperatives"/>
    <s v="LGs, UCDA, MWE"/>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1"/>
    <s v="Land, water and soil conservation practices strengthened"/>
    <s v="SLM practices intergrated within the extension service systems"/>
    <n v="0"/>
    <n v="1"/>
    <n v="1"/>
    <n v="1"/>
    <n v="1"/>
    <n v="1"/>
    <s v="MAAIF"/>
    <s v="010 Ministry of Agriculture, Animal &amp; Fisheries"/>
    <s v="Develop and implement Catchment Management Plans (CMPs) in the 9 Agricultural Zones; Fastrack and integrate all SLM practices within the extension service systems"/>
    <n v="1"/>
    <n v="1"/>
    <n v="1"/>
    <n v="1"/>
    <n v="1"/>
    <n v="1"/>
    <n v="1"/>
    <n v="0"/>
    <n v="0.875"/>
    <n v="0"/>
    <n v="0"/>
    <m/>
    <m/>
    <m/>
    <m/>
    <n v="0.8"/>
    <n v="0.8"/>
    <s v="MAAIF"/>
    <s v="015 Ministry of Trade, Industry and Cooperatives"/>
    <s v="LGs, UCDA, MWE"/>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1"/>
    <s v="Land, water and soil conservation practices strengthened"/>
    <s v="Kms of conservation structures constructed/ established by type"/>
    <n v="0"/>
    <n v="14600"/>
    <n v="14600"/>
    <n v="14600"/>
    <n v="14600"/>
    <n v="14600"/>
    <s v="MAAIF"/>
    <s v="010 Ministry of Agriculture, Animal &amp; Fisheries"/>
    <s v="Develop and implement Catchment Management Plans (CMPs) in the 9 Agricultural Zones; Fastrack and integrate all SLM practices within the extension service systems"/>
    <n v="1"/>
    <n v="1"/>
    <n v="1"/>
    <n v="1"/>
    <n v="1"/>
    <n v="1"/>
    <n v="1"/>
    <n v="0"/>
    <n v="0.875"/>
    <n v="0"/>
    <n v="0"/>
    <m/>
    <m/>
    <m/>
    <m/>
    <m/>
    <n v="0"/>
    <s v="MAAIF"/>
    <s v="015 Ministry of Trade, Industry and Cooperatives"/>
    <s v="MoLG"/>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1"/>
    <s v="Land, water and soil conservation practices strengthened"/>
    <s v="Number of technologies for management practices for pasture and rangeland improvement"/>
    <n v="0"/>
    <n v="2"/>
    <n v="2"/>
    <n v="2"/>
    <n v="2"/>
    <n v="2"/>
    <s v="MAAIF"/>
    <s v="010 Ministry of Agriculture, Animal &amp; Fisheries"/>
    <s v="Develop Technologies for management practices for pasture and rangeland improvement"/>
    <n v="1"/>
    <n v="0"/>
    <n v="0"/>
    <n v="1"/>
    <n v="1"/>
    <n v="1"/>
    <n v="1"/>
    <n v="0"/>
    <n v="0.625"/>
    <n v="0"/>
    <n v="0"/>
    <m/>
    <m/>
    <m/>
    <m/>
    <m/>
    <n v="0"/>
    <s v="MAAIF"/>
    <s v="015 Ministry of Trade, Industry and Cooperatives"/>
    <s v="NARO, NAGRC&amp;DB,DLG, UNIVERSITIES, UPS"/>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1"/>
    <s v="Land, water and soil conservation practices strengthened"/>
    <s v="No of district local government  Staff trained in farmland planning and farming systems. No of farmland use plans developed."/>
    <n v="20"/>
    <n v="200"/>
    <n v="200"/>
    <n v="200"/>
    <n v="200"/>
    <n v="200"/>
    <s v="MAAIF"/>
    <s v="010 Ministry of Agriculture, Animal &amp; Fisheries"/>
    <s v="Promote Farmland planning (FP) and Farming systems activities and technologies "/>
    <n v="1"/>
    <n v="0"/>
    <n v="0"/>
    <n v="1"/>
    <n v="1"/>
    <n v="1"/>
    <n v="1"/>
    <n v="0"/>
    <n v="0.625"/>
    <n v="0"/>
    <n v="0"/>
    <m/>
    <m/>
    <m/>
    <m/>
    <m/>
    <n v="0"/>
    <s v="MAAIF"/>
    <s v="015 Ministry of Trade, Industry and Cooperatives"/>
    <s v="MoLG"/>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One Cage based Aquaculture park in Mwena-Kalangala established"/>
    <n v="0"/>
    <n v="0"/>
    <n v="1"/>
    <m/>
    <n v="1"/>
    <m/>
    <s v="MAAIF"/>
    <s v="010 Ministry of Agriculture, Animal &amp; Fisheries"/>
    <s v="Complete construction of One Cage based Aquaculture park in Mwena-Kalangala"/>
    <n v="1"/>
    <n v="1"/>
    <n v="1"/>
    <n v="1"/>
    <n v="1"/>
    <n v="1"/>
    <n v="1"/>
    <n v="0"/>
    <n v="0.875"/>
    <n v="0"/>
    <n v="0"/>
    <n v="1.2"/>
    <m/>
    <m/>
    <n v="0.2"/>
    <n v="0.2"/>
    <n v="0.4"/>
    <s v="MAAIF"/>
    <s v="015 Ministry of Trade, Industry and Cooperatives"/>
    <s v="LGs"/>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One Pond based aquaculture park in Apac established"/>
    <n v="0"/>
    <n v="0"/>
    <n v="1"/>
    <m/>
    <n v="1"/>
    <m/>
    <s v="MAAIF"/>
    <s v="010 Ministry of Agriculture, Animal &amp; Fisheries"/>
    <s v="Construct one Pond based aquaculture park in Apac"/>
    <n v="1"/>
    <n v="1"/>
    <n v="1"/>
    <n v="1"/>
    <n v="1"/>
    <n v="1"/>
    <n v="1"/>
    <n v="0"/>
    <n v="0.875"/>
    <n v="0"/>
    <n v="0"/>
    <n v="1.3"/>
    <n v="1"/>
    <n v="2.5"/>
    <n v="0.2"/>
    <n v="0.2"/>
    <n v="0.4"/>
    <s v="MAAIF"/>
    <s v="015 Ministry of Trade, Industry and Cooperatives"/>
    <s v="NAGRC&amp;DB, LGs, Apac DLG"/>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No. of fish breeding grounds in water bodies gazetted"/>
    <n v="8"/>
    <n v="20"/>
    <n v="30"/>
    <n v="50"/>
    <n v="25"/>
    <n v="25"/>
    <s v="MAAIF"/>
    <s v="010 Ministry of Agriculture, Animal &amp; Fisheries"/>
    <s v="Identify, map, mark, gazette and protect fish breeding grounds"/>
    <n v="1"/>
    <n v="1"/>
    <n v="1"/>
    <n v="1"/>
    <n v="1"/>
    <n v="1"/>
    <n v="1"/>
    <n v="0"/>
    <n v="0.875"/>
    <n v="0"/>
    <n v="0"/>
    <n v="0.5"/>
    <n v="0.6"/>
    <n v="1"/>
    <n v="0.2"/>
    <n v="0.2"/>
    <n v="0.4"/>
    <s v="MAAIF"/>
    <s v="015 Ministry of Trade, Industry and Cooperatives"/>
    <s v="LGs, NARO"/>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No. of minor water bodies restocked"/>
    <n v="0"/>
    <n v="2"/>
    <n v="4"/>
    <n v="8"/>
    <n v="4"/>
    <n v="4"/>
    <s v="MAAIF"/>
    <s v="010 Ministry of Agriculture, Animal &amp; Fisheries"/>
    <s v="Restock minor water bodies"/>
    <n v="1"/>
    <n v="1"/>
    <n v="1"/>
    <n v="1"/>
    <n v="1"/>
    <n v="1"/>
    <n v="1"/>
    <n v="0"/>
    <n v="0.875"/>
    <n v="0"/>
    <n v="0"/>
    <n v="1.2"/>
    <n v="2"/>
    <n v="2"/>
    <n v="0.6"/>
    <n v="0.6"/>
    <n v="1.2"/>
    <s v="MAAIF"/>
    <s v="015 Ministry of Trade, Industry and Cooperatives"/>
    <s v="LG, NARO"/>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Number of fishers and  fishing vessels licenced "/>
    <n v="30000"/>
    <n v="45000"/>
    <n v="45000"/>
    <n v="45000"/>
    <n v="20000"/>
    <n v="20000"/>
    <s v="MAAIF"/>
    <s v="010 Ministry of Agriculture, Animal &amp; Fisheries"/>
    <s v="Enforce fisheries regulation along major water bodies, Procure vessel identification plates, fishing materials and license vessels to operate on the lakes"/>
    <n v="1"/>
    <n v="1"/>
    <n v="1"/>
    <n v="1"/>
    <n v="1"/>
    <n v="1"/>
    <n v="1"/>
    <n v="1"/>
    <n v="1"/>
    <n v="0"/>
    <n v="0"/>
    <n v="3.5"/>
    <n v="6"/>
    <n v="6"/>
    <n v="2"/>
    <n v="2"/>
    <n v="4"/>
    <s v="MAAIF"/>
    <s v="015 Ministry of Trade, Industry and Cooperatives"/>
    <s v="MoD"/>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No of one acre ponds constructed and stocked"/>
    <n v="0"/>
    <n v="200"/>
    <n v="200"/>
    <n v="200"/>
    <n v="200"/>
    <n v="200"/>
    <s v="MAAIF"/>
    <s v="010 Ministry of Agriculture, Animal &amp; Fisheries"/>
    <s v="Construct one acre ponds"/>
    <n v="1"/>
    <n v="1"/>
    <n v="1"/>
    <n v="1"/>
    <n v="1"/>
    <n v="1"/>
    <n v="1"/>
    <n v="0"/>
    <n v="0.875"/>
    <n v="0"/>
    <n v="0"/>
    <m/>
    <m/>
    <m/>
    <m/>
    <m/>
    <n v="0"/>
    <s v="MAAIF"/>
    <s v="015 Ministry of Trade, Industry and Cooperatives"/>
    <s v="MoLG"/>
  </r>
  <r>
    <x v="0"/>
    <x v="0"/>
    <s v="011"/>
    <s v="Agricultural Production and Productivity"/>
    <s v="0111"/>
    <s v="Increase production and productivity"/>
    <s v="011110"/>
    <s v="Promote sustainable land and environment management practices in line with the agroecological needs:"/>
    <s v="011110a"/>
    <s v="Strengthen land, water and soil conservation practices"/>
    <s v="011110a02"/>
    <s v="Aquaculture production increased"/>
    <s v="No. of youth and women groups supported in setting up ponds and required inputs"/>
    <n v="0"/>
    <n v="100"/>
    <n v="100"/>
    <n v="100"/>
    <n v="100"/>
    <n v="100"/>
    <s v="MAAIF"/>
    <s v="010 Ministry of Agriculture, Animal &amp; Fisheries"/>
    <s v="Set up ponds for youths and women groups"/>
    <n v="1"/>
    <n v="1"/>
    <n v="1"/>
    <n v="1"/>
    <n v="1"/>
    <n v="1"/>
    <n v="1"/>
    <n v="0"/>
    <n v="0.875"/>
    <n v="0"/>
    <n v="0"/>
    <m/>
    <m/>
    <m/>
    <m/>
    <m/>
    <n v="0"/>
    <s v="MAAIF"/>
    <s v="015 Ministry of Trade, Industry and Cooperatives"/>
    <s v="MoLG, MGL&amp;SD"/>
  </r>
  <r>
    <x v="0"/>
    <x v="0"/>
    <s v="011"/>
    <s v="Agricultural Production and Productivity"/>
    <s v="0111"/>
    <s v="Increase production and productivity"/>
    <s v="011110"/>
    <s v="Promote sustainable land and environment management practices in line with the agroecological needs:"/>
    <s v="011110b"/>
    <s v="Introduce and upscale Agro-forestry for mitigation and climate resilience"/>
    <s v="011110b01"/>
    <s v="Agro-forestry upscaled"/>
    <s v="Number of seedlings purchased and distributed"/>
    <n v="0"/>
    <n v="500000"/>
    <n v="2000000"/>
    <n v="2000000"/>
    <n v="2000000"/>
    <n v="1500000"/>
    <s v="MAAIF"/>
    <s v="010 Ministry of Agriculture, Animal &amp; Fisheries"/>
    <s v="Purchase and distribute 8 million seedlings"/>
    <n v="0"/>
    <n v="0"/>
    <n v="0"/>
    <n v="0"/>
    <n v="0"/>
    <n v="0"/>
    <n v="0"/>
    <n v="0"/>
    <n v="0"/>
    <n v="1"/>
    <n v="0"/>
    <m/>
    <m/>
    <m/>
    <m/>
    <m/>
    <e v="#REF!"/>
    <s v="MAAIF"/>
    <s v="015 Ministry of Trade, Industry and Cooperatives"/>
    <s v="NFA, MWE"/>
  </r>
  <r>
    <x v="0"/>
    <x v="0"/>
    <s v="011"/>
    <s v="Agricultural Production and Productivity"/>
    <s v="0111"/>
    <s v="Increase production and productivity"/>
    <s v="011110"/>
    <s v="Promote sustainable land and environment management practices in line with the agroecological needs:"/>
    <s v="011110c"/>
    <s v="Reduce and mitigate emissions from agricultural systems through converting waste to energy and other green technologies"/>
    <s v="011110c01"/>
    <s v="Emissions from agricultural systems reduced and mitgated through converting waste to energy and other green technologies"/>
    <s v="Number of farmers trained (TOT)"/>
    <n v="0"/>
    <n v="0"/>
    <n v="0"/>
    <n v="1000"/>
    <n v="1000"/>
    <n v="1000"/>
    <s v="MAAIF"/>
    <s v="010 Ministry of Agriculture, Animal &amp; Fisheries"/>
    <s v="Train farmers to manage agricultural waste "/>
    <n v="1"/>
    <n v="0"/>
    <n v="0"/>
    <n v="1"/>
    <n v="1"/>
    <n v="1"/>
    <n v="0"/>
    <n v="0"/>
    <n v="0.5"/>
    <n v="0"/>
    <n v="0"/>
    <m/>
    <m/>
    <m/>
    <m/>
    <m/>
    <e v="#REF!"/>
    <s v="MAAIF"/>
    <s v="015 Ministry of Trade, Industry and Cooperatives"/>
    <s v="MWE"/>
  </r>
  <r>
    <x v="0"/>
    <x v="0"/>
    <s v="011"/>
    <s v="Agricultural Production and Productivity"/>
    <s v="0111"/>
    <s v="Increase production and productivity"/>
    <s v="011110"/>
    <s v="Promote sustainable land and environment management practices in line with the agroecological needs:"/>
    <s v="011110e"/>
    <s v="Undertake Soil profiling and mapping"/>
    <s v="011110e01"/>
    <s v="Soil, crop suitability and fertilizer blend maps developed"/>
    <s v="Number of soil, crop suitability maps   and fertilizer blends developed "/>
    <n v="0"/>
    <n v="0"/>
    <m/>
    <n v="1"/>
    <n v="1"/>
    <n v="1"/>
    <s v="NARO"/>
    <s v="142 National Agricultural Research Organisation"/>
    <s v="Develop two Soil, crop suitability maps and fertilizer blends"/>
    <n v="1"/>
    <n v="0"/>
    <n v="0"/>
    <n v="1"/>
    <n v="1"/>
    <n v="1"/>
    <n v="1"/>
    <n v="0"/>
    <n v="0.625"/>
    <n v="0"/>
    <n v="0"/>
    <n v="1.5"/>
    <n v="2.4"/>
    <n v="4"/>
    <n v="1.2"/>
    <n v="1.2"/>
    <n v="2.4"/>
    <s v="NARO"/>
    <s v="142 National Agricultural Research Organisation"/>
    <s v="MAAIF, LG, UCDA, MoLHUD"/>
  </r>
  <r>
    <x v="0"/>
    <x v="0"/>
    <s v="011"/>
    <s v="Agricultural Production and Productivity"/>
    <s v="0111"/>
    <s v="Increase production and productivity"/>
    <s v="011110"/>
    <s v="Promote sustainable land and environment management practices in line with the agroecological needs:"/>
    <s v="011110e"/>
    <s v="Undertake Soil profiling and mapping"/>
    <s v="011110e02"/>
    <s v="Soil testing laboratories at the 9 ZARDIs established"/>
    <s v="3 soil testing laboratories established by 2025"/>
    <n v="0"/>
    <n v="0"/>
    <n v="1"/>
    <n v="1"/>
    <n v="1"/>
    <m/>
    <s v="MAAIF"/>
    <s v="010 Ministry of Agriculture, Animal &amp; Fisheries"/>
    <s v="Design and construct 3 soil testing labaratories"/>
    <n v="1"/>
    <n v="0"/>
    <n v="0"/>
    <n v="1"/>
    <n v="1"/>
    <n v="1"/>
    <n v="1"/>
    <n v="0"/>
    <n v="0.625"/>
    <n v="0"/>
    <n v="0"/>
    <n v="0.5"/>
    <n v="1"/>
    <n v="1"/>
    <n v="1"/>
    <m/>
    <n v="1"/>
    <s v="MAAIF"/>
    <s v="010 Ministry of Agriculture, Animal &amp; Fisheries"/>
    <s v="NARO, MUK"/>
  </r>
  <r>
    <x v="0"/>
    <x v="0"/>
    <s v="011"/>
    <s v="Agricultural Production and Productivity"/>
    <s v="0111"/>
    <s v="Increase production and productivity"/>
    <s v="011110"/>
    <s v="Promote sustainable land and environment management practices in line with the agroecological needs:"/>
    <s v="011110e"/>
    <s v="Undertake Soil profiling and mapping"/>
    <s v="011110e03"/>
    <s v="Youth groups trained to practice climate smart agriculture"/>
    <s v="Number of youth groups trained "/>
    <n v="0"/>
    <n v="0"/>
    <n v="0"/>
    <n v="10"/>
    <n v="10"/>
    <n v="10"/>
    <s v="MAAIF"/>
    <s v="010 Ministry of Agriculture, Animal &amp; Fisheries"/>
    <s v="Train youth groups in climate smart Agriculture"/>
    <n v="1"/>
    <n v="0"/>
    <n v="0"/>
    <n v="1"/>
    <n v="1"/>
    <n v="1"/>
    <n v="1"/>
    <n v="0"/>
    <n v="0.625"/>
    <n v="0"/>
    <n v="0"/>
    <m/>
    <m/>
    <m/>
    <m/>
    <m/>
    <n v="0"/>
    <s v="MAAIF"/>
    <s v="015 Ministry of Trade, Industry and Cooperatives"/>
    <s v="MWE"/>
  </r>
  <r>
    <x v="0"/>
    <x v="0"/>
    <s v="011"/>
    <s v="Agricultural Production and Productivity"/>
    <s v="0111"/>
    <s v="Increase production and productivity"/>
    <s v="011110"/>
    <s v="Promote sustainable land and environment management practices in line with the agroecological needs:"/>
    <s v="011110f"/>
    <s v="Build the capacity of youth to practice climate smart agriculture"/>
    <s v="011110f01"/>
    <s v="Agricultural value chain actors trained to manage  Agrochemicals"/>
    <s v="Number of Agricultural value chain actors trained "/>
    <n v="0"/>
    <n v="0"/>
    <n v="0"/>
    <n v="1000"/>
    <n v="1000"/>
    <n v="1000"/>
    <s v="MAAIF"/>
    <s v="010 Ministry of Agriculture, Animal &amp; Fisheries"/>
    <s v="Train Agricultural value chain actors  to manage  Agrochemicals"/>
    <n v="1"/>
    <n v="0"/>
    <n v="0"/>
    <n v="1"/>
    <n v="1"/>
    <n v="0"/>
    <n v="1"/>
    <n v="0"/>
    <n v="0.5"/>
    <n v="0"/>
    <n v="0"/>
    <m/>
    <m/>
    <m/>
    <m/>
    <m/>
    <e v="#REF!"/>
    <s v="MAAIF"/>
    <s v="015 Ministry of Trade, Industry and Cooperatives"/>
    <s v="MWE"/>
  </r>
  <r>
    <x v="0"/>
    <x v="0"/>
    <s v="011"/>
    <s v="Agricultural Production and Productivity"/>
    <s v="0111"/>
    <s v="Increase production and productivity"/>
    <s v="011111"/>
    <s v="Improve skills and competencies of agricultural labor force at technical and managerial levels"/>
    <s v="011111a"/>
    <s v="Strengthen training and skilling centres for new skills in agroindustry"/>
    <s v="011113a01"/>
    <s v="Agriculuture training and skilling centers expanded"/>
    <s v="Number of training and skilling centers for agro-industry expanded"/>
    <n v="0"/>
    <n v="0"/>
    <n v="0"/>
    <n v="1"/>
    <n v="2"/>
    <n v="0"/>
    <s v="MoES"/>
    <s v="013 Ministry of Education and Sports"/>
    <s v="Expand Agricultural training and skilling centres"/>
    <n v="1"/>
    <n v="0"/>
    <n v="0"/>
    <n v="1"/>
    <n v="1"/>
    <n v="1"/>
    <n v="0"/>
    <n v="0"/>
    <n v="0.5"/>
    <n v="0"/>
    <n v="0"/>
    <m/>
    <m/>
    <m/>
    <m/>
    <m/>
    <e v="#REF!"/>
    <s v="MAAIF"/>
    <s v="015 Ministry of Trade, Industry and Cooperatives"/>
    <s v="MoES"/>
  </r>
  <r>
    <x v="0"/>
    <x v="0"/>
    <s v="011"/>
    <s v="Agricultural Production and Productivity"/>
    <s v="0111"/>
    <s v="Increase production and productivity"/>
    <s v="011111"/>
    <s v="Improve skills and competencies of agricultural labor force at technical and managerial levels"/>
    <s v="011111a"/>
    <s v="Strengthen training and skilling centres for new skills in agroindustry"/>
    <s v="011113a01"/>
    <s v="Agriculuture training and skilling centers expanded"/>
    <s v="Number of training and skilling centers for agro-industry equipped"/>
    <n v="0"/>
    <n v="0"/>
    <n v="0"/>
    <n v="1"/>
    <n v="2"/>
    <n v="0"/>
    <s v="MoES"/>
    <s v="013 Ministry of Education and Sports"/>
    <s v="Equip (with industrial training machines and tools), adequately fund and sufficiently staff (with a focus on academic staff) BTVET institutions engaged in agro-industry to implement agro-industrialization program"/>
    <n v="1"/>
    <n v="0"/>
    <n v="0"/>
    <n v="1"/>
    <n v="0"/>
    <n v="1"/>
    <n v="0"/>
    <n v="0"/>
    <n v="0.375"/>
    <n v="0"/>
    <n v="0"/>
    <m/>
    <m/>
    <m/>
    <m/>
    <m/>
    <e v="#REF!"/>
    <s v="MAAIF"/>
    <s v="015 Ministry of Trade, Industry and Cooperatives"/>
    <s v="MoES"/>
  </r>
  <r>
    <x v="0"/>
    <x v="0"/>
    <s v="011"/>
    <s v="Agricultural Production and Productivity"/>
    <s v="0111"/>
    <s v="Increase production and productivity"/>
    <s v="011111"/>
    <s v="Improve skills and competencies of agricultural labor force at technical and managerial levels"/>
    <s v="011111a"/>
    <s v="Strengthen training and skilling centres for new skills in agroindustry"/>
    <s v="011113a01"/>
    <s v="Agriculuture training and skilling centers expanded"/>
    <s v="Reviewed agricultural education curriculum "/>
    <n v="0"/>
    <m/>
    <m/>
    <m/>
    <m/>
    <m/>
    <s v="MoES"/>
    <s v="013 Ministry of Education and Sports"/>
    <s v="Review the agricultural education curriculum to suit the agroindustry skill needs, including needs of out-of- school youth and focus other areas beyond agronomy, animal science and extension"/>
    <n v="1"/>
    <n v="0"/>
    <n v="0"/>
    <n v="1"/>
    <n v="1"/>
    <n v="1"/>
    <n v="1"/>
    <n v="0"/>
    <n v="0.625"/>
    <n v="0"/>
    <n v="0"/>
    <m/>
    <m/>
    <m/>
    <m/>
    <n v="0.15"/>
    <n v="0.15"/>
    <s v="MoES"/>
    <s v="013 Ministry of Education and Sports"/>
    <s v="MAAIF"/>
  </r>
  <r>
    <x v="0"/>
    <x v="0"/>
    <s v="011"/>
    <s v="Agricultural Production and Productivity"/>
    <s v="0111"/>
    <s v="Increase production and productivity"/>
    <s v="011111"/>
    <s v="Improve skills and competencies of agricultural labor force at technical and managerial levels"/>
    <s v="011111b"/>
    <s v="Equip (with industrial training machines and tools), adequately fund and sufficiently staff (with a focus on academic staff) BTVET institutions engaged in agro-industry to implement agro-industrialization program"/>
    <s v="011113b01"/>
    <s v="Agro-industrialization program mainstreamed and implemented in BTVET institutions  "/>
    <s v="Number of BTVET institutions implementing the agro-industrialization program "/>
    <m/>
    <m/>
    <m/>
    <m/>
    <m/>
    <m/>
    <s v="MoES"/>
    <s v="013 Ministry of Education and Sports"/>
    <s v="Agro-industrialization program mainstreamed and implemented in BTVET institutions  "/>
    <n v="1"/>
    <n v="0"/>
    <n v="0"/>
    <n v="1"/>
    <n v="1"/>
    <n v="0"/>
    <n v="1"/>
    <n v="0"/>
    <n v="0.5"/>
    <n v="0"/>
    <n v="0"/>
    <m/>
    <m/>
    <m/>
    <m/>
    <m/>
    <e v="#REF!"/>
    <s v="MoES"/>
    <s v="14 Ministry of Education and Sports"/>
    <s v="MAAIF"/>
  </r>
  <r>
    <x v="0"/>
    <x v="0"/>
    <s v="011"/>
    <s v="Agricultural Production and Productivity"/>
    <s v="0111"/>
    <s v="Increase production and productivity"/>
    <s v="011111"/>
    <s v="Improve skills and competencies of agricultural labor force at technical and managerial levels"/>
    <s v="011111c"/>
    <s v="Review the agricultural education curriculum to suit the agroindustry skill needs, including needs of out-of-school youth and focus other areas beyond agronomy, animal science and extension"/>
    <s v="011113c01"/>
    <s v="Reviewed agricultural education curriculum"/>
    <s v="Reviewed agricultural education curriculum"/>
    <s v="Reviewed agricultural education curriculum"/>
    <s v="Reviewed agricultural education curriculum"/>
    <s v="Reviewed agricultural education curriculum"/>
    <s v="Reviewed agricultural education curriculum"/>
    <s v="Reviewed agricultural education curriculum"/>
    <s v="Reviewed agricultural education curriculum"/>
    <s v="Reviewed agricultural education curriculum"/>
    <s v="Reviewed agricultural education curriculum"/>
    <s v="Review agricultural education curriculum"/>
    <n v="1"/>
    <n v="0"/>
    <n v="0"/>
    <n v="1"/>
    <n v="1"/>
    <n v="1"/>
    <n v="1"/>
    <n v="0"/>
    <n v="0.625"/>
    <n v="0"/>
    <n v="0"/>
    <m/>
    <m/>
    <m/>
    <m/>
    <m/>
    <n v="0"/>
    <s v="MoES"/>
    <s v="15 Ministry of Education and Sports"/>
    <s v="MAAIF"/>
  </r>
  <r>
    <x v="0"/>
    <x v="0"/>
    <s v="011"/>
    <s v="Agricultural Production and Productivity"/>
    <s v="0111"/>
    <s v="Increase production and productivity"/>
    <s v="011111"/>
    <s v="Improve skills and competencies of agricultural labor force at technical and managerial levels"/>
    <s v="011111e"/>
    <s v="Strengthen the capacity of technical and vocational institutions for training"/>
    <s v="011113e01"/>
    <s v="Capacity of technical and vocational institutions in agricultural mechanization developed"/>
    <s v="Number of tutors in technical and Vocational Institutions trained in agriculture mechanics "/>
    <n v="0"/>
    <m/>
    <m/>
    <m/>
    <m/>
    <m/>
    <s v="MoES"/>
    <s v="013 Ministry of Education and Sports"/>
    <s v="Train tutors in technical and Vocational Institutions in agriculture mechanics "/>
    <n v="1"/>
    <n v="0"/>
    <n v="0"/>
    <n v="1"/>
    <n v="1"/>
    <n v="1"/>
    <n v="1"/>
    <n v="0"/>
    <n v="0.625"/>
    <n v="0"/>
    <n v="0"/>
    <m/>
    <m/>
    <m/>
    <m/>
    <m/>
    <n v="0"/>
    <s v="MoES"/>
    <s v="013 Ministry of Education and Sports"/>
    <s v="MAAIF"/>
  </r>
  <r>
    <x v="0"/>
    <x v="0"/>
    <s v="011"/>
    <s v="Agricultural Production and Productivity"/>
    <s v="0111"/>
    <s v="Increase production and productivity"/>
    <s v="011111"/>
    <s v="Improve skills and competencies of agricultural labor force at technical and managerial levels"/>
    <s v="011111f"/>
    <s v="Enable access to technical and vocational training to improve skills in the agro-industry, particularly for women, persons with disabilities and the youth."/>
    <s v="011113f01"/>
    <s v="Access to technical and vocational trained for specific groups increased"/>
    <s v="Number of scholarships issued to women, PWDs and the youth in vocational training centers"/>
    <n v="0"/>
    <m/>
    <m/>
    <m/>
    <m/>
    <m/>
    <s v="MoES"/>
    <s v="013 Ministry of Education and Sports"/>
    <s v="Issue scholarships to women, PWDs and the youth in vocational training centers"/>
    <n v="1"/>
    <n v="0"/>
    <n v="0"/>
    <n v="1"/>
    <n v="1"/>
    <n v="0"/>
    <n v="1"/>
    <n v="0"/>
    <n v="0.5"/>
    <n v="0"/>
    <n v="0"/>
    <m/>
    <m/>
    <m/>
    <m/>
    <m/>
    <e v="#REF!"/>
    <s v="MoES"/>
    <s v="013 Ministry of Education and Sports"/>
    <s v="MAAIF"/>
  </r>
  <r>
    <x v="0"/>
    <x v="0"/>
    <s v="011"/>
    <s v="Agricultural Production and Productivity"/>
    <s v="0111"/>
    <s v="Increase production and productivity"/>
    <s v="011112"/>
    <s v="Strengthen the capacity to collect, report, disseminate and use weather or accurate meteorological information"/>
    <m/>
    <m/>
    <s v="01111201"/>
    <s v="Infrastructure for collecting accurate weather information in place"/>
    <s v="Infrastructure established and operational"/>
    <m/>
    <n v="0"/>
    <n v="1"/>
    <n v="1"/>
    <n v="1"/>
    <n v="1"/>
    <s v="UNMA"/>
    <s v="302 Uganda National Meteorological Authority"/>
    <s v="Develop and maintain requisite infrastructure to collect accurate weather information (e.g. weather stations etc.)."/>
    <n v="1"/>
    <n v="1"/>
    <n v="1"/>
    <n v="1"/>
    <n v="1"/>
    <n v="1"/>
    <n v="1"/>
    <n v="0"/>
    <n v="0.875"/>
    <n v="0"/>
    <n v="0"/>
    <n v="0"/>
    <n v="5"/>
    <n v="3"/>
    <n v="1.5"/>
    <n v="1.5"/>
    <n v="3"/>
    <s v="UNMA"/>
    <s v="302 Uganda National Meteorological Authority"/>
    <s v="MFPED, MAAIF"/>
  </r>
  <r>
    <x v="0"/>
    <x v="0"/>
    <s v="011"/>
    <s v="Agricultural Production and Productivity"/>
    <s v="0111"/>
    <s v="Increase production and productivity"/>
    <s v="011112"/>
    <s v="Strengthen the capacity to collect, report, disseminate and use weather or accurate meteorological information"/>
    <m/>
    <m/>
    <s v="01111202"/>
    <s v="ICT-enabled agricultural weather forecasting system developed and operationalised"/>
    <s v="ICT-Weather equipment acquired"/>
    <n v="0"/>
    <n v="5"/>
    <n v="15"/>
    <n v="27"/>
    <m/>
    <m/>
    <s v="UNMA"/>
    <s v="302 Uganda National Meteorological Authority"/>
    <s v="Upgrade the existing weather forecasting and dissemination system; Acquire 5 servers, 2 supercomputers, 20 High Processing Computers to run dynamic models."/>
    <n v="1"/>
    <n v="1"/>
    <n v="1"/>
    <n v="1"/>
    <n v="1"/>
    <n v="1"/>
    <n v="1"/>
    <n v="0"/>
    <n v="0.875"/>
    <n v="0"/>
    <n v="0"/>
    <n v="1.6"/>
    <n v="1.6"/>
    <n v="3.4"/>
    <m/>
    <m/>
    <n v="0"/>
    <s v="UNMA"/>
    <s v="302 Uganda National Meteorological Authority"/>
    <s v="MAAIF, LGs"/>
  </r>
  <r>
    <x v="0"/>
    <x v="0"/>
    <s v="011"/>
    <s v="Agricultural Production and Productivity"/>
    <s v="0111"/>
    <s v="Increase production and productivity"/>
    <s v="011113"/>
    <s v="Strengthen and develop mechanisms to prevent incidences of child labour within the sector and exploitation of the agricultural labour force"/>
    <m/>
    <m/>
    <s v="01111301"/>
    <s v="Mechanisms to prevent incidences of child labour within agriculture in place"/>
    <s v="Percentage reduction in usage of child labor in agriculture"/>
    <m/>
    <n v="0.1"/>
    <n v="0.2"/>
    <n v="0.3"/>
    <n v="0.4"/>
    <n v="0.5"/>
    <s v="MoGLSD"/>
    <s v="018 Ministry of Gender, Labour and Social Development"/>
    <s v="Develop mechanisms to prevent incidences of child labour within agriculture"/>
    <n v="0"/>
    <n v="0"/>
    <n v="0"/>
    <n v="1"/>
    <n v="1"/>
    <n v="0"/>
    <n v="0"/>
    <n v="0"/>
    <n v="0.25"/>
    <n v="0"/>
    <n v="0"/>
    <n v="0.5"/>
    <n v="0.5"/>
    <n v="0.5"/>
    <m/>
    <m/>
    <e v="#REF!"/>
    <s v="MoGLSD"/>
    <s v="018 Ministry of Gender, Labour and Social Development"/>
    <s v="MAAIF"/>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1"/>
    <s v="1,382 Cooperative Societies supported with small scale post harvest handling technologies and storage in the 10 agro-ecological zones"/>
    <s v="Number of aggregation and collective marketing societies supported with equipment"/>
    <n v="0"/>
    <n v="20"/>
    <n v="50"/>
    <n v="50"/>
    <n v="10"/>
    <n v="10"/>
    <s v="MAAIF"/>
    <s v="010 Ministry of Agriculture, Animal &amp; Fisheries"/>
    <s v="Using the Parish Model, conduct physical assessments; assess and recommend appropriate technologies for small scale post harvest handling and storage; procure, deliver and install the value addition machinery; commission and monitor the performance of the equipment"/>
    <n v="1"/>
    <n v="1"/>
    <n v="1"/>
    <n v="1"/>
    <n v="1"/>
    <n v="1"/>
    <n v="1"/>
    <n v="0"/>
    <n v="0.875"/>
    <n v="0"/>
    <n v="0"/>
    <n v="15.5"/>
    <n v="20"/>
    <n v="25"/>
    <n v="5"/>
    <n v="5"/>
    <n v="10"/>
    <s v="MoTIC (OWC)"/>
    <s v="015 Ministry of Trade, Industry and Cooperatives"/>
    <s v="MTIC, MAAIF, UCDA, "/>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2"/>
    <s v="Capacity of cooperatives, communities, farmers and traders developed in post-harvest handling and storage including; business management; value addition; quality requirements and principles of cooperative movements"/>
    <s v="Number of beneficiary cooperative members trained"/>
    <n v="0"/>
    <n v="7739"/>
    <n v="7739"/>
    <n v="7739"/>
    <n v="4000"/>
    <n v="4000"/>
    <s v="MAAIF"/>
    <s v="010 Ministry of Agriculture, Animal &amp; Fisheries"/>
    <s v="Develop training modules; train 40,000 beneficiaries in business management; post harvest handling and storage; value addition; quality requirements and principles of cooperative movements"/>
    <n v="1"/>
    <n v="1"/>
    <n v="1"/>
    <n v="1"/>
    <n v="1"/>
    <n v="1"/>
    <n v="1"/>
    <n v="0"/>
    <n v="0.875"/>
    <n v="0"/>
    <n v="0"/>
    <n v="5"/>
    <n v="5"/>
    <n v="5"/>
    <n v="1"/>
    <n v="1"/>
    <n v="2"/>
    <s v="MoTIC"/>
    <s v="015 Ministry of Trade, Industry and Cooperatives"/>
    <s v="UCDA, MAAIF, DDA,OW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2"/>
    <s v="Capacity of cooperatives, communities, farmers and traders developed in post-harvest handling and storage including; business management; value addition; quality requirements and principles of cooperative movements"/>
    <s v="Number of cooperatives supported with value addition equipment "/>
    <n v="0"/>
    <m/>
    <n v="276"/>
    <n v="276"/>
    <n v="276"/>
    <m/>
    <s v="MAAIF"/>
    <s v="010 Ministry of Agriculture, Animal &amp; Fisheries"/>
    <s v="Support Cooperative societies with value addition equipment by ecological zones "/>
    <n v="1"/>
    <n v="1"/>
    <n v="1"/>
    <n v="1"/>
    <n v="1"/>
    <n v="1"/>
    <n v="1"/>
    <n v="0"/>
    <n v="0.875"/>
    <n v="0"/>
    <n v="0"/>
    <m/>
    <m/>
    <m/>
    <m/>
    <m/>
    <n v="0"/>
    <s v="MoTIC"/>
    <s v="015 Ministry of Trade, Industry and Cooperatives"/>
    <s v="UCDA, MAAIF, DDA,OW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2"/>
    <s v="Capacity of cooperatives, communities, farmers and traders developed in post-harvest handling and storage including; business management; value addition; quality requirements and principles of cooperative movements"/>
    <s v="Number of beneficiary cooperative members trained"/>
    <n v="0"/>
    <n v="1000"/>
    <n v="1000"/>
    <n v="1000"/>
    <n v="300"/>
    <n v="300"/>
    <s v="UCDA"/>
    <s v="160 Uganda Coffee Development Authority"/>
    <s v="Train and Support coffee farmer cooperatives"/>
    <n v="1"/>
    <n v="1"/>
    <n v="1"/>
    <n v="1"/>
    <n v="1"/>
    <n v="1"/>
    <n v="1"/>
    <n v="0"/>
    <n v="0.875"/>
    <n v="0"/>
    <n v="0"/>
    <n v="5"/>
    <n v="5"/>
    <n v="5"/>
    <n v="3.5"/>
    <n v="3.5"/>
    <n v="7"/>
    <s v="UCDA"/>
    <s v="160 Uganda Coffee Development Authority"/>
    <s v="MTIC, MAAIF, LGs"/>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3"/>
    <s v="Two silos constructed, one in Bunyoro and one in Busoga"/>
    <s v="Number of silos constructed"/>
    <n v="0"/>
    <m/>
    <m/>
    <m/>
    <n v="2"/>
    <n v="2"/>
    <s v="UDC"/>
    <s v="015 Ministry of Trade, Industry and Cooperatives"/>
    <s v="Construct two silos"/>
    <n v="1"/>
    <n v="1"/>
    <n v="1"/>
    <n v="1"/>
    <n v="1"/>
    <n v="1"/>
    <n v="1"/>
    <n v="1"/>
    <n v="1"/>
    <n v="0"/>
    <n v="0"/>
    <m/>
    <m/>
    <m/>
    <n v="3.5"/>
    <n v="2"/>
    <n v="5.5"/>
    <s v="MoTIC (UDC)"/>
    <s v="015 Ministry of Trade, Industry and Cooperatives"/>
    <s v="MAAIF, MoTI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4"/>
    <s v="5 grain stores and one Silo established at the major prisons grain farms"/>
    <s v="Number of grain stores established"/>
    <n v="0"/>
    <n v="1"/>
    <n v="1"/>
    <n v="1"/>
    <n v="1"/>
    <n v="1"/>
    <s v="UPS"/>
    <s v="145 Uganda Prisons"/>
    <s v="Establish silos and grain stores"/>
    <n v="1"/>
    <n v="1"/>
    <n v="1"/>
    <n v="1"/>
    <n v="1"/>
    <n v="1"/>
    <n v="1"/>
    <n v="1"/>
    <n v="1"/>
    <n v="0"/>
    <n v="0"/>
    <m/>
    <m/>
    <m/>
    <n v="0.5"/>
    <n v="0.5"/>
    <n v="1"/>
    <s v="UPS"/>
    <s v="145 Uganda Prisons"/>
    <s v="MoTI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5"/>
    <s v="8 specialized demonstration trucks, 6 for transporting of live animals  and 2 for animal products procured"/>
    <s v="Number of trucks procured"/>
    <n v="0"/>
    <n v="3"/>
    <n v="2"/>
    <n v="3"/>
    <n v="6"/>
    <n v="6"/>
    <s v="MoTIC"/>
    <s v="015 Ministry of Trade, Industry and Cooperatives"/>
    <s v="Acquire specialised demonstration trucks for transportation of live animals and animal products"/>
    <n v="1"/>
    <n v="0"/>
    <n v="0"/>
    <n v="1"/>
    <n v="1"/>
    <n v="0"/>
    <n v="1"/>
    <n v="0"/>
    <n v="0.5"/>
    <n v="0"/>
    <n v="0"/>
    <m/>
    <m/>
    <m/>
    <m/>
    <m/>
    <e v="#REF!"/>
    <s v="MAAIF"/>
    <s v="010 Ministry of Agriculture, Animal &amp; Fisheries"/>
    <s v="MoTI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6"/>
    <s v="10 modern fish handling infrastructure rehabilitated and operationalized"/>
    <s v="10 public fisheries infrastructure rehabilitated"/>
    <n v="0"/>
    <n v="2"/>
    <n v="2"/>
    <n v="2"/>
    <n v="2"/>
    <n v="2"/>
    <s v="MAAIF"/>
    <s v="010 Ministry of Agriculture, Animal &amp; Fisheries"/>
    <s v="Rehabilitate equipment, establish operational and management structures, commission and monitor the operationalization of  fish handling facilities"/>
    <n v="1"/>
    <n v="1"/>
    <n v="1"/>
    <n v="1"/>
    <n v="1"/>
    <n v="1"/>
    <n v="1"/>
    <n v="1"/>
    <n v="1"/>
    <n v="0"/>
    <n v="0"/>
    <n v="2"/>
    <n v="2"/>
    <n v="0.5"/>
    <n v="0.5"/>
    <n v="0.5"/>
    <n v="1"/>
    <s v="MoTIC"/>
    <s v="015 Ministry of Trade, Industry and Cooperatives"/>
    <s v="NAADS, MAAIF, OW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No. of community fish drying racks constructed at the major landing sites "/>
    <n v="0"/>
    <n v="4"/>
    <n v="6"/>
    <n v="10"/>
    <n v="2"/>
    <n v="5"/>
    <s v="MAAIF"/>
    <s v="010 Ministry of Agriculture, Animal &amp; Fisheries"/>
    <s v="Construct 40 community fish drying racks at major landing sites "/>
    <n v="1"/>
    <n v="1"/>
    <n v="1"/>
    <n v="1"/>
    <n v="1"/>
    <n v="1"/>
    <n v="1"/>
    <n v="1"/>
    <n v="1"/>
    <n v="0"/>
    <n v="0"/>
    <n v="2"/>
    <n v="2.5"/>
    <n v="3"/>
    <n v="0.2"/>
    <n v="0.5"/>
    <n v="0.7"/>
    <s v="MoTIC"/>
    <s v="015 Ministry of Trade, Industry and Cooperatives"/>
    <s v="MAAIF, LGs"/>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500 solar drying demonstrations established"/>
    <n v="0"/>
    <n v="0"/>
    <n v="125"/>
    <n v="125"/>
    <n v="30"/>
    <n v="30"/>
    <s v="UCDA"/>
    <s v="160 Uganda Coffee Development Authority"/>
    <s v="Establish 500 demonstration of solar drying, and demonstrate raised drying racks in 10 coffee growing regions"/>
    <n v="1"/>
    <n v="1"/>
    <n v="1"/>
    <n v="1"/>
    <n v="1"/>
    <n v="0"/>
    <n v="1"/>
    <n v="0"/>
    <n v="0.75"/>
    <n v="0"/>
    <n v="0"/>
    <n v="0"/>
    <n v="10.5"/>
    <n v="10.5"/>
    <n v="7.5"/>
    <n v="6"/>
    <n v="13.5"/>
    <s v="UCDA"/>
    <s v="160 Uganda Coffee Development Authority"/>
    <s v="MTIC, LGs"/>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No. of milk collection centres rehabilitated and equipped"/>
    <n v="0"/>
    <n v="3"/>
    <n v="10"/>
    <n v="10"/>
    <n v="5"/>
    <n v="5"/>
    <s v="DDA"/>
    <s v="121 Dairy Development Authority"/>
    <s v="Rehabilitate and equip 43 milk collection centers; support 250 women and youths farmer cooperative societies with dairy farm equipment; support 750 farmer Cooperatives with milk handling and milk cooling equipment"/>
    <n v="1"/>
    <n v="1"/>
    <n v="1"/>
    <n v="1"/>
    <n v="1"/>
    <n v="1"/>
    <n v="1"/>
    <n v="0"/>
    <n v="0.875"/>
    <n v="0"/>
    <n v="0"/>
    <n v="7.5"/>
    <n v="8.5"/>
    <n v="9.5"/>
    <n v="10"/>
    <n v="8"/>
    <n v="18"/>
    <s v="DDA"/>
    <s v="121 Dairy Development Authority"/>
    <s v="MTIC, LGs, MAAIF"/>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No. of chuff cutters, milking cans, milking buckets and milking machines for youth and women groups"/>
    <n v="0"/>
    <n v="50"/>
    <n v="50"/>
    <n v="50"/>
    <n v="50"/>
    <n v="50"/>
    <s v="DDA"/>
    <s v="121 Dairy Development Authority"/>
    <s v="Rehabilitate and equip 43 milk collection centers; support 250 women and youths farmer cooperative societies with dairy farm equipment; support 750 farmer Cooperatives with milk handling and milk cooling equipment"/>
    <n v="1"/>
    <n v="1"/>
    <n v="1"/>
    <n v="1"/>
    <n v="1"/>
    <n v="1"/>
    <n v="1"/>
    <n v="0"/>
    <n v="0.875"/>
    <n v="0"/>
    <n v="0"/>
    <m/>
    <m/>
    <m/>
    <m/>
    <m/>
    <n v="0"/>
    <s v="DDA"/>
    <s v="121 Dairy Development Authority"/>
    <s v="MTIC, LGs, MAAIF"/>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No. of cooperatives supported with milk handling and milk cooling equipment"/>
    <n v="0"/>
    <n v="150"/>
    <n v="150"/>
    <n v="150"/>
    <n v="25"/>
    <n v="25"/>
    <s v="DDA"/>
    <s v="121 Dairy Development Authority"/>
    <s v="Rehabilitate and equip 43 milk collection centers; support 250 women and youths farmer cooperative societies with dairy farm equipment; support 750 farmer Cooperatives with milk handling and milk cooling equipment"/>
    <n v="1"/>
    <n v="1"/>
    <n v="1"/>
    <n v="1"/>
    <n v="1"/>
    <n v="1"/>
    <n v="1"/>
    <n v="0"/>
    <n v="0.875"/>
    <n v="0"/>
    <n v="0"/>
    <m/>
    <m/>
    <m/>
    <n v="0.4"/>
    <n v="0.4"/>
    <n v="0.8"/>
    <s v="DDA"/>
    <s v="121 Dairy Development Authority"/>
    <s v="MTIC, LGs, MAAIF"/>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7"/>
    <s v="Cooperative societies, communities supported with cleaning, drying, grading and processing equipment"/>
    <s v="Number of animal feed production, packaging, and storage facilities on 7 NAGRC&amp;DB centre farms"/>
    <n v="0"/>
    <n v="0"/>
    <n v="2"/>
    <n v="2"/>
    <n v="2"/>
    <n v="1"/>
    <s v="MAAIF"/>
    <s v="010 Ministry of Agriculture, Animal &amp; Fisheries"/>
    <s v="Establish 7 animal feed production, packaging and storage facilities on the NAGRC&amp;DB farms  "/>
    <n v="1"/>
    <n v="1"/>
    <n v="1"/>
    <n v="1"/>
    <n v="1"/>
    <n v="1"/>
    <n v="1"/>
    <n v="1"/>
    <n v="1"/>
    <n v="0"/>
    <n v="0"/>
    <n v="7"/>
    <n v="14"/>
    <n v="14"/>
    <n v="12"/>
    <n v="1.5"/>
    <n v="13.5"/>
    <s v="NAGRC&amp;DB"/>
    <s v="125 National Animal Genetic Res. Centre and Data Bank"/>
    <s v="MAAIF, LGs"/>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8"/>
    <s v="Storage and post-harvest handling facilities established at a Parish level"/>
    <s v="140 facilities established  in 140 districts "/>
    <n v="0"/>
    <n v="0"/>
    <n v="25"/>
    <n v="35"/>
    <n v="10"/>
    <n v="10"/>
    <s v="NPA"/>
    <s v="108 National Planning Authority"/>
    <s v="Using the Parish Model, undertake diagnostic and feasibility studies, procure and establish small scale storage and post-harvest handling facilities."/>
    <n v="1"/>
    <n v="0"/>
    <n v="0"/>
    <n v="1"/>
    <n v="1"/>
    <n v="1"/>
    <n v="1"/>
    <n v="0"/>
    <n v="0.625"/>
    <n v="0"/>
    <n v="0"/>
    <n v="0"/>
    <n v="10"/>
    <n v="15"/>
    <n v="1"/>
    <n v="1"/>
    <n v="2"/>
    <s v="NPA (OWC)"/>
    <s v="108 National Planning Authority"/>
    <s v="MAAIF, MTIC, LGs, UD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09"/>
    <s v="Awareness on post-harvest handling and management created"/>
    <s v="Districts in which awareness campaigns are undertaken "/>
    <n v="2"/>
    <n v="20"/>
    <n v="80"/>
    <n v="100"/>
    <n v="70"/>
    <n v="70"/>
    <s v="MAAIF"/>
    <s v="010 Ministry of Agriculture, Animal &amp; Fisheries"/>
    <s v="Create awareness campaigns on post-harvest handling and management and its benefits. The campaigns will also create awareness of aflatoxins and its effects."/>
    <n v="1"/>
    <n v="1"/>
    <n v="1"/>
    <n v="1"/>
    <n v="1"/>
    <n v="1"/>
    <n v="1"/>
    <n v="0"/>
    <n v="0.875"/>
    <n v="0"/>
    <n v="0"/>
    <n v="0"/>
    <n v="2"/>
    <n v="2"/>
    <n v="1.24"/>
    <n v="1.24"/>
    <n v="2.48"/>
    <s v="MAAIF (OWC)"/>
    <s v="010 Ministry of Agriculture, Animal &amp; Fisheries"/>
    <s v="MAAIF, MTI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10"/>
    <s v="Post-harvest handling and storage facilities for priority commodities (both dry and wet) established in greater  Masaka, Luwero, Arua, Kanungu,  and Bundibugyo, Nwoya,kayunga, Yumbe, Soroti, Nakaseke and around Regional Farm Service Centres"/>
    <s v="Number of post-harvest handling, storage and processing facilities established by 2025"/>
    <m/>
    <n v="5"/>
    <n v="25"/>
    <n v="35"/>
    <n v="45"/>
    <n v="10"/>
    <s v="MoTIC"/>
    <s v="015 Ministry of Trade, Industry and Cooperatives"/>
    <s v="Undertake detailed diagnostic and feasibility studies; design and construct storage facilities; procurement and installation of the equipment; establish operation and management structures with the private sector; Commission the infrastructure."/>
    <n v="1"/>
    <n v="0"/>
    <n v="0"/>
    <n v="1"/>
    <n v="1"/>
    <n v="1"/>
    <n v="1"/>
    <n v="0"/>
    <n v="0.625"/>
    <n v="0"/>
    <n v="0"/>
    <m/>
    <m/>
    <m/>
    <m/>
    <m/>
    <n v="0"/>
    <s v="MoTIC"/>
    <s v="015 Ministry of Trade, Industry and Cooperatives"/>
    <s v="NPA,MAAIF, OWC, NAADS &amp;UD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10"/>
    <s v="Post-harvest handling and storage facilities for priority commodities (both dry and wet) established in greater  Masaka, Luwero, Arua, Kanungu,  and Bundibugyo, Nwoya,kayunga, Yumbe, Soroti, Nakaseke and around Regional Farm Service Centres"/>
    <s v="Number of feasibility studies conducted for agricultural mechanization, post harvest handling, storage and processing infrastructure equipment relevant for Uganda"/>
    <n v="0"/>
    <n v="0"/>
    <n v="7"/>
    <n v="7"/>
    <n v="8"/>
    <n v="6"/>
    <s v="MoTIC"/>
    <s v="015 Ministry of Trade, Industry and Cooperatives"/>
    <s v="Undertake detailed diagnostic and feasibility studies; design and construct storage facilities; procurement and installation of the equipment; establish operation and management structures with the private sector; Commission the infrastructure."/>
    <n v="1"/>
    <n v="0"/>
    <n v="0"/>
    <n v="1"/>
    <n v="1"/>
    <n v="1"/>
    <n v="1"/>
    <n v="0"/>
    <n v="0.625"/>
    <n v="0"/>
    <n v="0"/>
    <n v="9.5"/>
    <n v="9.5"/>
    <n v="9.5"/>
    <n v="0.2"/>
    <m/>
    <n v="0.2"/>
    <s v="MoTIC"/>
    <s v="015 Ministry of Trade, Industry and Cooperatives"/>
    <s v="NPA,MAAIF, OWC, NAADS &amp;UDC"/>
  </r>
  <r>
    <x v="0"/>
    <x v="0"/>
    <s v="012"/>
    <s v="Storage, Agro-Processing and Value addition"/>
    <s v="0122"/>
    <s v="Improve post-harvest handling and storage"/>
    <s v="012201"/>
    <s v="Establish post-harvest handling, storage and processing infrastructure including silos, dryers, warehouses, and cold rooms of various scale and"/>
    <m/>
    <m/>
    <s v="01220111"/>
    <s v="Storage facilities consolidated under MTIC"/>
    <s v="Profile of functional storage and processing facilities in place"/>
    <n v="0"/>
    <n v="0"/>
    <n v="1"/>
    <n v="1"/>
    <n v="1"/>
    <n v="1"/>
    <s v="MoTIC"/>
    <s v="015 Ministry of Trade, Industry and Cooperatives"/>
    <s v="Profile, consolidate and maintain all storage and processing facilities that were established and handed over to communities under different government projects/programme eg CAIIP"/>
    <n v="0"/>
    <n v="0"/>
    <n v="0"/>
    <n v="1"/>
    <n v="1"/>
    <n v="0"/>
    <n v="1"/>
    <n v="0"/>
    <n v="0.375"/>
    <n v="0"/>
    <n v="0"/>
    <n v="0"/>
    <n v="1"/>
    <n v="1"/>
    <m/>
    <m/>
    <e v="#REF!"/>
    <s v="MoTIC"/>
    <s v="015 Ministry of Trade, Industry and Cooperatives"/>
    <s v="OWC,MAAIF,LGs"/>
  </r>
  <r>
    <x v="0"/>
    <x v="0"/>
    <s v="012"/>
    <s v="Storage, Agro-Processing and Value addition"/>
    <s v="0122"/>
    <s v="Improve post-harvest handling and storage"/>
    <s v="012202"/>
    <s v="Establish regional post-harvest handling, storage and value addition facilities in key strategic locations; grain in Jinja; Cassava in Gulu; Dairy in Mbarara; Meat in Nakasongola; fresh fruits in Soroti; vegetable oil in Kalangala; cotton in Lira; beverages in Fort Portal, Fish in Mukono and Rice in Butaleja"/>
    <m/>
    <m/>
    <s v="01220201"/>
    <s v="Regional post-harvest handling, storage and value addition facilities established "/>
    <s v="Number of regional post-harvest handling, storage and value addition facilities established. "/>
    <m/>
    <m/>
    <m/>
    <m/>
    <n v="3"/>
    <n v="4"/>
    <s v="MoTIC"/>
    <s v="015 Ministry of Trade, Industry and Cooperatives"/>
    <m/>
    <n v="1"/>
    <n v="1"/>
    <n v="1"/>
    <n v="1"/>
    <n v="1"/>
    <n v="1"/>
    <n v="1"/>
    <n v="0"/>
    <n v="0.875"/>
    <n v="0"/>
    <n v="0"/>
    <m/>
    <m/>
    <m/>
    <n v="6"/>
    <n v="8"/>
    <n v="14"/>
    <s v="MoTIC"/>
    <s v="015 Ministry of Trade, Industry and Cooperatives"/>
    <s v="MAAIF"/>
  </r>
  <r>
    <x v="0"/>
    <x v="0"/>
    <s v="012"/>
    <s v="Storage, Agro-Processing and Value addition"/>
    <s v="0122"/>
    <s v="Improve post-harvest handling and storage"/>
    <s v="012203"/>
    <s v="Improve the transportation and logistics infrastructure such as refrigerated trucks and cold rooms for priority commodities"/>
    <m/>
    <m/>
    <s v="01220301"/>
    <s v="Transportation and logistics infrastructure enhanced "/>
    <s v="Proportion of  agro-industry actors with access to transportation and logistics facilities "/>
    <m/>
    <m/>
    <m/>
    <m/>
    <m/>
    <m/>
    <s v="MAAIF"/>
    <s v="010 Ministry of Agriculture, Animal &amp; Fisheries"/>
    <m/>
    <n v="0"/>
    <n v="0"/>
    <n v="0"/>
    <n v="0"/>
    <n v="0"/>
    <n v="0"/>
    <n v="0"/>
    <n v="0"/>
    <n v="0"/>
    <n v="0"/>
    <n v="0"/>
    <m/>
    <m/>
    <m/>
    <m/>
    <m/>
    <e v="#REF!"/>
    <s v="MAAIF"/>
    <s v="010 Ministry of Agriculture, Animal &amp; Fisheries"/>
    <s v="MoTIC"/>
  </r>
  <r>
    <x v="0"/>
    <x v="0"/>
    <s v="012"/>
    <s v="Storage, Agro-Processing and Value addition"/>
    <s v="0123"/>
    <s v="Increase agro-processing and value addition"/>
    <s v="012301"/>
    <s v="Establish eco-friendly fully serviced agro-industrial parks/export processing zones  and equip regional farm service centers"/>
    <m/>
    <m/>
    <s v="01230101"/>
    <s v="Agro-industrial Parks and export processing zones established and functional"/>
    <s v="A survey report in place"/>
    <n v="0"/>
    <n v="0"/>
    <n v="1"/>
    <m/>
    <m/>
    <m/>
    <s v="UIA"/>
    <s v="310 Uganda Investment Authority (UIA)"/>
    <s v="Carry out a survey on the status of all agro processing and value addition establishments; Conduct feasibility studies for agro-industrial parks; Identification, selection of sites and acquisition of land; Develop master plans and designs, construct agro-industrial parks infrastructure; Extend water mains network and medium to high voltage electricity to the agro-industrial parks"/>
    <n v="1"/>
    <n v="1"/>
    <n v="1"/>
    <n v="1"/>
    <n v="1"/>
    <n v="1"/>
    <n v="0"/>
    <n v="0"/>
    <n v="0.75"/>
    <n v="0"/>
    <n v="0"/>
    <n v="25"/>
    <n v="1.5"/>
    <n v="0"/>
    <n v="0"/>
    <n v="0"/>
    <n v="0"/>
    <s v="UIA"/>
    <s v="310 Uganda Investment Authority (UIA)"/>
    <s v="NAADS, OWC, MoLG, MTIC, UDC, NAGRC&amp;DB, MAAIF"/>
  </r>
  <r>
    <x v="0"/>
    <x v="0"/>
    <s v="012"/>
    <s v="Storage, Agro-Processing and Value addition"/>
    <s v="0123"/>
    <s v="Increase agro-processing and value addition"/>
    <s v="012301"/>
    <s v="Establish eco-friendly fully serviced agro-industrial parks/export processing zones  and equip regional farm service centers"/>
    <m/>
    <m/>
    <s v="01230101"/>
    <s v="Agro-industrial Parks and export processing zones established and functional"/>
    <s v="Number of Agro-industrial parks established"/>
    <n v="0"/>
    <n v="0"/>
    <n v="2"/>
    <n v="2"/>
    <n v="1"/>
    <n v="1"/>
    <s v="UIA"/>
    <s v="310 Uganda Investment Authority (UIA)"/>
    <s v="Carry out a survey on the status of all agro processing and value addition establishments; Conduct feasibility studies for agro-industrial parks; Identification, selection of sites and acquisition of land; Develop master plans and designs, construct agro-industrial parks infrastructure; Extend water mains network and medium to high voltage electricity to the agro-industrial parks"/>
    <n v="1"/>
    <n v="1"/>
    <n v="1"/>
    <n v="1"/>
    <n v="1"/>
    <n v="1"/>
    <n v="1"/>
    <n v="1"/>
    <n v="1"/>
    <n v="0"/>
    <n v="0"/>
    <m/>
    <m/>
    <m/>
    <n v="7"/>
    <n v="7"/>
    <n v="14"/>
    <s v="UIA"/>
    <s v="310 Uganda Investment Authority (UIA)"/>
    <s v="NAADS, OWC, MoLG, MTIC, UDC, NAGRC&amp;DB, MAAIF"/>
  </r>
  <r>
    <x v="0"/>
    <x v="0"/>
    <s v="012"/>
    <s v="Storage, Agro-Processing and Value addition"/>
    <s v="0123"/>
    <s v="Increase agro-processing and value addition"/>
    <s v="012301"/>
    <s v="Establish eco-friendly fully serviced agro-industrial parks/export processing zones  and equip regional farm service centers"/>
    <m/>
    <m/>
    <s v="01230102"/>
    <s v="Export agro-processing zones established and functional"/>
    <s v="Number of SMEs linked to free zones"/>
    <n v="0"/>
    <n v="0"/>
    <m/>
    <m/>
    <m/>
    <m/>
    <s v="UFZA"/>
    <s v="008 Ministry of Finance, Planning &amp; Economic Dev."/>
    <s v="Link SMEs to free zones agro-processors for sub-contracting &amp; access to export markets; Mapping local export clusters for production &amp; bulking of supply side for Free Zones; Develop climate change and environment sustainability plan for free zones; supervision, monitoring and facilitation of Free Zones "/>
    <n v="1"/>
    <n v="1"/>
    <n v="1"/>
    <n v="1"/>
    <n v="1"/>
    <n v="1"/>
    <n v="1"/>
    <n v="1"/>
    <n v="1"/>
    <n v="0"/>
    <n v="0"/>
    <n v="2.5"/>
    <n v="1.35"/>
    <n v="2.4500000000000002"/>
    <m/>
    <n v="1.67"/>
    <n v="1.67"/>
    <s v="MoFPED (UFZA)"/>
    <s v="008 Ministry of Finance, Planning &amp; Economic Dev."/>
    <s v="UIA, MTIC, MAAIF"/>
  </r>
  <r>
    <x v="0"/>
    <x v="0"/>
    <s v="012"/>
    <s v="Storage, Agro-Processing and Value addition"/>
    <s v="0123"/>
    <s v="Increase agro-processing and value addition"/>
    <s v="012301"/>
    <s v="Establish eco-friendly fully serviced agro-industrial parks/export processing zones  and equip regional farm service centers"/>
    <m/>
    <m/>
    <s v="01230103"/>
    <s v="Value addition equipment Acquired"/>
    <s v="Number of value addition incubation facilities to mentor and promote  agro-based MSMEs  established"/>
    <n v="0"/>
    <n v="0"/>
    <n v="2"/>
    <n v="2"/>
    <n v="1"/>
    <n v="1"/>
    <s v="NAADS"/>
    <s v="152 NAADS Secretariat"/>
    <s v="Acquire value addition Plant and Equipment for each RFSC in regions where none exist (including Agro product Processing Units (APPU)"/>
    <n v="1"/>
    <n v="1"/>
    <n v="1"/>
    <n v="1"/>
    <n v="1"/>
    <n v="1"/>
    <n v="1"/>
    <n v="0"/>
    <n v="0.875"/>
    <n v="0"/>
    <n v="0"/>
    <n v="0"/>
    <n v="32.5"/>
    <n v="32.5"/>
    <n v="15"/>
    <n v="15"/>
    <n v="30"/>
    <s v="NAADS"/>
    <s v="152 NAADS Secretariat"/>
    <s v="OWC, MTIC, LGs"/>
  </r>
  <r>
    <x v="0"/>
    <x v="0"/>
    <s v="012"/>
    <s v="Storage, Agro-Processing and Value addition"/>
    <s v="0123"/>
    <s v="Increase agro-processing and value addition"/>
    <s v="012301"/>
    <s v="Establish eco-friendly fully serviced agro-industrial parks/export processing zones  and equip regional farm service centers"/>
    <m/>
    <m/>
    <s v="01230104"/>
    <s v="Acres of land acquired for establishment of free zones"/>
    <s v="Acres of land acquired for establishment of free zones "/>
    <n v="0"/>
    <m/>
    <n v="500"/>
    <n v="500"/>
    <m/>
    <m/>
    <s v="UFZA"/>
    <s v="008 Ministry of Finance, Planning &amp; Economic Dev."/>
    <s v="Acquire at least 1000 acres of land for setting up agro-industrial infrastructure for free zones"/>
    <n v="1"/>
    <n v="0"/>
    <n v="0"/>
    <n v="1"/>
    <n v="1"/>
    <n v="1"/>
    <n v="1"/>
    <n v="0"/>
    <n v="0.625"/>
    <n v="1"/>
    <n v="0"/>
    <n v="5"/>
    <n v="5"/>
    <n v="0"/>
    <n v="0.1"/>
    <m/>
    <n v="0.1"/>
    <s v="MoFPED (UFZA)"/>
    <s v="008 Ministry of Finance, Planning &amp; Economic Dev."/>
    <s v="LGs, MLHUD, UIA, MoWT"/>
  </r>
  <r>
    <x v="0"/>
    <x v="0"/>
    <s v="012"/>
    <s v="Storage, Agro-Processing and Value addition"/>
    <s v="0123"/>
    <s v="Increase agro-processing and value addition"/>
    <s v="012301"/>
    <s v="Establish eco-friendly fully serviced agro-industrial parks/export processing zones  and equip regional farm service centers"/>
    <m/>
    <m/>
    <s v="01230105"/>
    <s v="Export processing zones and farm service centers established"/>
    <s v="Number of export processing zones and farm service centers established"/>
    <n v="0"/>
    <n v="0"/>
    <n v="1"/>
    <n v="1"/>
    <m/>
    <n v="1"/>
    <s v="UFZA"/>
    <s v="008 Ministry of Finance, Planning &amp; Economic Dev."/>
    <s v="Conduct feasibility studies, Masterplan, Engineering design &amp; ESIA for free zones, and construction of Free zones"/>
    <n v="1"/>
    <n v="0"/>
    <n v="0"/>
    <n v="1"/>
    <n v="1"/>
    <n v="1"/>
    <n v="1"/>
    <n v="0"/>
    <n v="0.625"/>
    <n v="0"/>
    <n v="0"/>
    <n v="0"/>
    <n v="5"/>
    <n v="5"/>
    <m/>
    <n v="8"/>
    <n v="8"/>
    <s v="MoFPED (UFZA)"/>
    <s v="008 Ministry of Finance, Planning &amp; Economic Dev."/>
    <s v="MoWT, NEMA, MoKCC&amp;MA"/>
  </r>
  <r>
    <x v="0"/>
    <x v="0"/>
    <s v="012"/>
    <s v="Storage, Agro-Processing and Value addition"/>
    <s v="0123"/>
    <s v="Increase agro-processing and value addition"/>
    <s v="012302"/>
    <s v="Establish a strategic mechanism for importation of agro-processing technology"/>
    <s v="012302a"/>
    <s v="Establish a scholarship and apprenticeship programme in strategic agro-industries"/>
    <s v="012302a01"/>
    <s v="FDI established to focus on export market"/>
    <s v="Number of new operational external firms investing in Agriculture "/>
    <n v="0"/>
    <n v="0"/>
    <n v="3"/>
    <n v="3"/>
    <n v="1"/>
    <n v="1"/>
    <s v="UIA"/>
    <s v="310 Uganda Investment Authority (UIA)"/>
    <s v="Encourage Foreign Direct Investment (FDI)  in agri-food sector to locate in Uganda and targeting the export market through investor friendly laws,free zones, land, fiscal incentives etc. "/>
    <n v="1"/>
    <n v="0"/>
    <n v="0"/>
    <n v="1"/>
    <n v="1"/>
    <n v="1"/>
    <n v="1"/>
    <n v="0"/>
    <n v="0.625"/>
    <n v="0"/>
    <n v="0"/>
    <n v="0"/>
    <n v="0.2"/>
    <n v="0.5"/>
    <n v="0.3"/>
    <n v="0.3"/>
    <n v="0.6"/>
    <s v="UIA"/>
    <s v="310 Uganda Investment Authority (UIA)"/>
    <s v="MTIC,OWC,MFPED, EFZA"/>
  </r>
  <r>
    <x v="0"/>
    <x v="0"/>
    <s v="012"/>
    <s v="Storage, Agro-Processing and Value addition"/>
    <s v="0123"/>
    <s v="Increase agro-processing and value addition"/>
    <s v="012302"/>
    <s v="Establish a strategic mechanism for importation of agro-processing technology"/>
    <s v="012302a"/>
    <s v="Establish a scholarship and apprenticeship programme in strategic agro-industries"/>
    <s v="012302a02"/>
    <s v="Scholarship and apprenticeship programme for strategic agro-industries in place"/>
    <s v="Number of personnel supported in the different  apprenticeship programs in agroindustry"/>
    <n v="0"/>
    <n v="0"/>
    <n v="300"/>
    <n v="300"/>
    <n v="300"/>
    <n v="300"/>
    <s v="MoTIC"/>
    <s v="015 Ministry of Trade, Industry and Cooperatives"/>
    <s v="Establish a scholarship, exchange and apprenticeship programme in strategic agro-industries.  "/>
    <n v="1"/>
    <n v="0"/>
    <n v="0"/>
    <n v="1"/>
    <n v="1"/>
    <n v="0"/>
    <n v="0"/>
    <n v="0"/>
    <n v="0.375"/>
    <n v="0"/>
    <n v="0"/>
    <n v="0"/>
    <n v="1"/>
    <n v="1"/>
    <m/>
    <m/>
    <e v="#REF!"/>
    <s v="MoTIC"/>
    <s v="015 Ministry of Trade, Industry and Cooperatives"/>
    <s v="MTIC,OWC,MFPED, EFZA, MoES, Universities"/>
  </r>
  <r>
    <x v="0"/>
    <x v="0"/>
    <s v="012"/>
    <s v="Storage, Agro-Processing and Value addition"/>
    <s v="0123"/>
    <s v="Increase agro-processing and value addition"/>
    <s v="012302"/>
    <s v="Establish a strategic mechanism for importation of agro-processing technology"/>
    <s v="012302b"/>
    <s v="Establish an exchange programme for practitioners in the agro-industry value chain with countries that have appropriate agro-processing technologies"/>
    <s v="012302b01"/>
    <s v="Exchange programme for practitioners in the agro-industrial value chain "/>
    <s v="Number of beneficiaries of the exchange program for practitioners in the agro-industry "/>
    <m/>
    <m/>
    <m/>
    <m/>
    <m/>
    <m/>
    <s v="MoES"/>
    <s v="013 Ministry of Education and Sports"/>
    <m/>
    <n v="1"/>
    <n v="0"/>
    <n v="0"/>
    <n v="1"/>
    <n v="1"/>
    <n v="0"/>
    <n v="0"/>
    <n v="0"/>
    <n v="0.375"/>
    <n v="0"/>
    <n v="0"/>
    <m/>
    <m/>
    <m/>
    <m/>
    <m/>
    <e v="#REF!"/>
    <s v="MoES"/>
    <s v="013 Ministry of Education and Sports"/>
    <m/>
  </r>
  <r>
    <x v="0"/>
    <x v="0"/>
    <s v="012"/>
    <s v="Storage, Agro-Processing and Value addition"/>
    <s v="0123"/>
    <s v="Increase agro-processing and value addition"/>
    <s v="012302"/>
    <s v="Establish a strategic mechanism for importation of agro-processing technology"/>
    <s v="012302c"/>
    <s v="Amend the investment law to enable foreign and local investment partnership"/>
    <s v="012302c01"/>
    <s v="Investment law reviewed to enable foreign and local investment partnership "/>
    <s v="Reviewed investment law "/>
    <m/>
    <m/>
    <m/>
    <m/>
    <m/>
    <m/>
    <s v="MoFPED"/>
    <s v="008 Ministry of Finance, Planning &amp; Economic Dev."/>
    <m/>
    <n v="1"/>
    <n v="0"/>
    <n v="0"/>
    <n v="1"/>
    <n v="1"/>
    <n v="0"/>
    <n v="0"/>
    <n v="0"/>
    <n v="0.375"/>
    <n v="0"/>
    <n v="0"/>
    <m/>
    <m/>
    <m/>
    <m/>
    <m/>
    <e v="#REF!"/>
    <s v="MoFPED"/>
    <s v="008 Ministry of Finance, Planning &amp; Economic Dev."/>
    <m/>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a"/>
    <s v="Establish 2 Starch and 3 ethanol processing factories from cassava in Gulu, Tororo and Lira "/>
    <s v="012303a01"/>
    <s v="2 starch and 3 ethanol processing factories from cassava established in Gulu, Tororo, Lira and Kibuku"/>
    <s v="Completion status of each factory "/>
    <n v="0"/>
    <n v="1"/>
    <n v="1"/>
    <n v="2"/>
    <n v="1"/>
    <m/>
    <s v="MoTIC (UDC)"/>
    <e v="#N/A"/>
    <s v="Design, construct, equip  and provide working capital for 2 starch and 3 ethanol processing factories from cassava established in Gulu, Tororo, Lira and Kibuku"/>
    <n v="1"/>
    <n v="1"/>
    <n v="1"/>
    <n v="1"/>
    <n v="1"/>
    <n v="1"/>
    <n v="1"/>
    <n v="0"/>
    <n v="0.875"/>
    <n v="0"/>
    <n v="0"/>
    <n v="14.5"/>
    <n v="14.5"/>
    <n v="15"/>
    <n v="10"/>
    <n v="10"/>
    <n v="20"/>
    <s v="MoTIC (UDC)"/>
    <s v="015 Ministry of Trade, Industry and Cooperatives"/>
    <s v="NAADS, MAAIF, MTI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c"/>
    <s v="Complete the Uganda Crane Creameries Cooperative Union in Mbarara with a capacity of 500,000 liters per day"/>
    <s v="012303c01"/>
    <s v="Dairies and milk processing plants established"/>
    <s v="Completion rate of the UCCCU milk processing plant"/>
    <n v="0.3"/>
    <n v="0.5"/>
    <n v="0.75"/>
    <n v="1"/>
    <m/>
    <m/>
    <s v="UDC"/>
    <s v="015 Ministry of Trade, Industry and Cooperatives"/>
    <s v="Complete civil works, acquire and fit machinery, and construct waste treatment plant of UCCCU milk processing plant; undertake a diagnostic and pre-feasibility study to construct two dairy factories established in Gulu and Soroti; subject to the outcome of the pre-feasibility, construct two dairy factories established in Gulu and Soroti; Rehabilitate and equip Mbale Dairy; Train and Incubate dairy private entreprenuers"/>
    <n v="1"/>
    <n v="1"/>
    <n v="1"/>
    <n v="1"/>
    <n v="1"/>
    <n v="1"/>
    <n v="1"/>
    <n v="0"/>
    <n v="0.875"/>
    <n v="0"/>
    <n v="0"/>
    <n v="7.5"/>
    <n v="2"/>
    <n v="2"/>
    <n v="2"/>
    <n v="0"/>
    <n v="2"/>
    <s v="MoTIC (UDC)"/>
    <s v="015 Ministry of Trade, Industry and Cooperatives"/>
    <s v="DDA, MAAIF, MoWT"/>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c"/>
    <s v="Complete the Uganda Crane Creameries Cooperative Union in Mbarara with a capacity of 500,000 liters per day"/>
    <s v="012303c01"/>
    <s v="Dairies and milk processing plants established"/>
    <s v="Reports on the diagnostic and pre-feasibility studies"/>
    <n v="0"/>
    <n v="0"/>
    <n v="2"/>
    <m/>
    <m/>
    <m/>
    <s v="UDC"/>
    <s v="015 Ministry of Trade, Industry and Cooperatives"/>
    <s v="Complete civil works, acquire and fit machinery, and construct waste treatment plant of UCCCU milk processing plant; undertake a diagnostic and pre-feasibility study to construct two dairy factories established in Gulu and Soroti; subject to the outcome of the pre-feasibility, construct two dairy factories established in Gulu and Soroti; Rehabilitate and equip Mbale Dairy; Train and Incubate dairy private entreprenuers"/>
    <n v="1"/>
    <n v="1"/>
    <n v="1"/>
    <n v="1"/>
    <n v="1"/>
    <n v="1"/>
    <n v="1"/>
    <n v="0"/>
    <n v="0.875"/>
    <n v="0"/>
    <n v="0"/>
    <m/>
    <m/>
    <m/>
    <m/>
    <m/>
    <n v="0"/>
    <s v="MoTIC (UDC)"/>
    <s v="015 Ministry of Trade, Industry and Cooperatives"/>
    <s v="DDA, MAAIF, MoWT"/>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c"/>
    <s v="Complete the Uganda Crane Creameries Cooperative Union in Mbarara with a capacity of 500,000 liters per day"/>
    <s v="012303c01"/>
    <s v="Dairies and milk processing plants established"/>
    <s v="No. of new dairy processing factories established"/>
    <m/>
    <n v="0"/>
    <m/>
    <n v="1"/>
    <n v="1"/>
    <m/>
    <s v="UDC"/>
    <s v="015 Ministry of Trade, Industry and Cooperatives"/>
    <s v="Complete civil works, acquire and fit machinery, and construct waste treatment plant of UCCCU milk processing plant; undertake a diagnostic and pre-feasibility study to construct two dairy factories established in Gulu and Soroti; subject to the outcome of the pre-feasibility, construct two dairy factories established in Gulu and Soroti; Rehabilitate and equip Mbale Dairy; Train and Incubate dairy private entreprenuers"/>
    <n v="1"/>
    <n v="1"/>
    <n v="1"/>
    <n v="1"/>
    <n v="1"/>
    <n v="1"/>
    <n v="1"/>
    <n v="0"/>
    <n v="0.875"/>
    <n v="0"/>
    <n v="0"/>
    <m/>
    <m/>
    <m/>
    <m/>
    <m/>
    <n v="0"/>
    <s v="MoTIC (UDC)"/>
    <s v="015 Ministry of Trade, Industry and Cooperatives"/>
    <s v="DDA, MAAIF, MoWT"/>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c"/>
    <s v="Complete the Uganda Crane Creameries Cooperative Union in Mbarara with a capacity of 500,000 liters per day"/>
    <s v="012303c01"/>
    <s v="Dairies and milk processing plants established"/>
    <s v="Functionality status of dairy factory in Mbale"/>
    <n v="0.3"/>
    <n v="0.6"/>
    <n v="0.8"/>
    <n v="1"/>
    <n v="1"/>
    <n v="1"/>
    <s v="UDC"/>
    <s v="015 Ministry of Trade, Industry and Cooperatives"/>
    <s v="Complete civil works, acquire and fit machinery, and construct waste treatment plant of UCCCU milk processing plant; undertake a diagnostic and pre-feasibility study to construct two dairy factories established in Gulu and Soroti; subject to the outcome of the pre-feasibility, construct two dairy factories established in Gulu and Soroti; Rehabilitate and equip Mbale Dairy; Train and Incubate dairy private entreprenuers"/>
    <n v="1"/>
    <n v="1"/>
    <n v="1"/>
    <n v="1"/>
    <n v="1"/>
    <n v="1"/>
    <n v="1"/>
    <n v="0"/>
    <n v="0.875"/>
    <n v="0"/>
    <n v="0"/>
    <m/>
    <m/>
    <m/>
    <m/>
    <m/>
    <n v="0"/>
    <s v="MoTIC (UDC)"/>
    <s v="015 Ministry of Trade, Industry and Cooperatives"/>
    <s v="DDA, MAAIF, MoWT"/>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d"/>
    <s v="Complete Kayonza, Mabale and Zombo tea factories "/>
    <s v="012303d01"/>
    <s v="Construction and completion of 3 tea factories"/>
    <s v="Completion status of the Kayonza, Mabale and Zombo tea factories"/>
    <m/>
    <n v="0"/>
    <n v="1"/>
    <n v="1"/>
    <n v="1"/>
    <m/>
    <s v="UDC"/>
    <s v="015 Ministry of Trade, Industry and Cooperatives"/>
    <s v="Design, construct, equip  the factory, provide working capital for Kayonza, Mabale and Zombo tea factories completed "/>
    <n v="1"/>
    <n v="1"/>
    <n v="1"/>
    <n v="1"/>
    <n v="1"/>
    <n v="1"/>
    <n v="1"/>
    <n v="0"/>
    <n v="0.875"/>
    <n v="0"/>
    <n v="0"/>
    <n v="12.5"/>
    <n v="12.5"/>
    <n v="10.5"/>
    <n v="1.5"/>
    <n v="8"/>
    <n v="9.5"/>
    <s v="MoTIC (UDC)"/>
    <s v="015 Ministry of Trade, Industry and Cooperatives"/>
    <s v="MAAIF, MTI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f"/>
    <s v="Establish two soluble coffee plants and 20 coffee washing stations in central and eastern Uganda"/>
    <s v="012303f01"/>
    <s v="Atleast 2 coffee soluble plants and 20 coffee washing stations established in central and Eastern Uganda"/>
    <s v="Completion status of each soluble coffee plant and coffee washing station "/>
    <m/>
    <n v="2"/>
    <n v="5"/>
    <n v="5"/>
    <n v="1"/>
    <n v="1"/>
    <s v="UDC"/>
    <s v="015 Ministry of Trade, Industry and Cooperatives"/>
    <s v="Design, construct and equip  the factory, provide working capital for atleast 2 soluble coffee plants and 20 coffee washing stations established in central and eastern Uganda "/>
    <n v="1"/>
    <n v="1"/>
    <n v="1"/>
    <n v="1"/>
    <n v="1"/>
    <n v="1"/>
    <n v="1"/>
    <n v="0"/>
    <n v="0.875"/>
    <n v="0"/>
    <n v="0"/>
    <n v="5"/>
    <n v="5"/>
    <n v="5"/>
    <n v="7"/>
    <n v="8"/>
    <n v="15"/>
    <s v="MoTIC (UDC)"/>
    <s v="015 Ministry of Trade, Industry and Cooperatives"/>
    <s v="UCDA, UIA,OWC, MoWT"/>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g"/>
    <s v="Establish five new and expand the existing 2 spinning and textile mills"/>
    <s v="012303g01"/>
    <s v="Spinning and gameting capacity increased through establishment of 5 new and expanding  the existing 2 spinning and textile mills; 10 new garmenting factories"/>
    <s v="Completion status of the 2 newly constructed and 5 expanded spinning and textile mills"/>
    <n v="0"/>
    <n v="1"/>
    <n v="2"/>
    <n v="2"/>
    <n v="1"/>
    <n v="1"/>
    <s v="CDO"/>
    <s v="155 Uganda Cotton Development Organisation"/>
    <s v="In partnership with the private sector, design, construct, equip and provide  working capital for 5 new and existing 2 spinning and textile mills and 10 new garmenting factories; Capitalize  the Revolving Lint  Buffer Stock Fund; Develop bankable projects for attracting investors; and rehabilitate an absorbent cotton processing facility in Luuka "/>
    <n v="1"/>
    <n v="1"/>
    <n v="1"/>
    <n v="0"/>
    <n v="1"/>
    <n v="1"/>
    <n v="1"/>
    <n v="0"/>
    <n v="0.75"/>
    <n v="0"/>
    <n v="0"/>
    <n v="12"/>
    <n v="12"/>
    <n v="12"/>
    <n v="7.5"/>
    <n v="7.2"/>
    <n v="14.7"/>
    <s v="CDO"/>
    <s v="155 Uganda Cotton Development Organisation"/>
    <s v="UDC, UDB,MTIC, OW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1"/>
    <s v="Garmenting factories established "/>
    <s v="Level of completion and operation of garmenting factories"/>
    <m/>
    <m/>
    <m/>
    <m/>
    <m/>
    <m/>
    <s v="UDC"/>
    <s v="015 Ministry of Trade, Industry and Cooperatives"/>
    <m/>
    <n v="1"/>
    <n v="1"/>
    <n v="1"/>
    <n v="0"/>
    <n v="1"/>
    <n v="1"/>
    <n v="1"/>
    <n v="0"/>
    <n v="0.75"/>
    <n v="0"/>
    <n v="0"/>
    <m/>
    <m/>
    <m/>
    <m/>
    <m/>
    <n v="0"/>
    <s v="MoTIC (UDC)"/>
    <s v="015 Ministry of Trade, Industry and Cooperatives"/>
    <m/>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2"/>
    <s v="Entebbe Dairy Training School upgraded to Regional Dairy Training and Incubation Centre"/>
    <s v="Number of facilities and structures established"/>
    <n v="0"/>
    <n v="1"/>
    <m/>
    <n v="2"/>
    <n v="1"/>
    <m/>
    <s v="DDA"/>
    <s v="121 Dairy Development Authority"/>
    <s v="Construct and equip Workshops, Library, dormitories and factories;Develop skilling curriculum; Recruit staff for the College, acquisition of training and incubation equipment, provision of working capital, establish a training workshop for diary technicians and milk technologists, establish waste  management system "/>
    <n v="1"/>
    <n v="1"/>
    <n v="1"/>
    <n v="0"/>
    <n v="1"/>
    <n v="1"/>
    <n v="1"/>
    <n v="0"/>
    <n v="0.75"/>
    <n v="0"/>
    <n v="0"/>
    <n v="2.5"/>
    <n v="3.52"/>
    <n v="3.2"/>
    <n v="1.4"/>
    <n v="1.4"/>
    <n v="2.8"/>
    <s v="DDA"/>
    <s v="121 Dairy Development Authority"/>
    <s v="MAAIF, MoES, LGs"/>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2"/>
    <s v="Entebbe Dairy Training School upgraded to Regional Dairy Training and Incubation Centre"/>
    <s v="Number of skilled courses registered and accredited"/>
    <n v="0"/>
    <n v="0"/>
    <n v="1"/>
    <m/>
    <m/>
    <m/>
    <s v="DDA"/>
    <s v="121 Dairy Development Authority"/>
    <s v="Construct and equip Workshops, Library, dormitories and factories;Develop skilling curriculum; Recruit staff for the College, acquisition of training and incubation equipment, provision of working capital, establish a training workshop for diary technicians and milk technologists, establish waste  management system "/>
    <n v="1"/>
    <n v="0"/>
    <n v="0"/>
    <n v="0"/>
    <n v="1"/>
    <n v="1"/>
    <n v="1"/>
    <n v="0"/>
    <n v="0.5"/>
    <n v="0"/>
    <n v="0"/>
    <m/>
    <m/>
    <m/>
    <m/>
    <m/>
    <e v="#REF!"/>
    <s v="DDA"/>
    <s v="121 Dairy Development Authority"/>
    <s v="MAAIF, MoES, LGs"/>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2"/>
    <s v="Entebbe Dairy Training School upgraded to Regional Dairy Training and Incubation Centre"/>
    <s v="Number of staff recruited"/>
    <m/>
    <n v="0"/>
    <n v="15"/>
    <n v="9"/>
    <m/>
    <m/>
    <s v="DDA"/>
    <s v="121 Dairy Development Authority"/>
    <s v="Construct and equip Workshops, Library, dormitories and factories;Develop skilling curriculum; Recruit staff for the College, acquisition of training and incubation equipment, provision of working capital, establish a training workshop for diary technicians and milk technologists, establish waste  management system "/>
    <n v="1"/>
    <n v="0"/>
    <n v="0"/>
    <n v="1"/>
    <n v="1"/>
    <n v="0"/>
    <n v="1"/>
    <n v="0"/>
    <n v="0.5"/>
    <n v="0"/>
    <n v="0"/>
    <m/>
    <m/>
    <m/>
    <m/>
    <m/>
    <e v="#REF!"/>
    <s v="DDA"/>
    <s v="121 Dairy Development Authority"/>
    <s v="MAAIF, MoES, LGs"/>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3"/>
    <s v="Agro processing plants in key priority commodities established at Regional Farm Service Centres"/>
    <s v="Number of regional farm service centers in which agro-processing facilities are established"/>
    <m/>
    <n v="2"/>
    <n v="2"/>
    <n v="2"/>
    <n v="1"/>
    <n v="1"/>
    <s v="MoTIC (OWC)"/>
    <s v="015 Ministry of Trade, Industry and Cooperatives"/>
    <s v="Undertake diagnostic and feasibility studies, design, construct and equip agro-processing facilities at Regional Farm Service Centres. "/>
    <n v="1"/>
    <n v="1"/>
    <n v="1"/>
    <n v="1"/>
    <n v="1"/>
    <n v="1"/>
    <n v="1"/>
    <n v="0"/>
    <n v="0.875"/>
    <n v="0"/>
    <n v="0"/>
    <n v="53.5"/>
    <n v="61"/>
    <n v="61.000000000000227"/>
    <n v="26.88"/>
    <n v="35"/>
    <n v="61.879999999999995"/>
    <s v="MoTIC (OWC)"/>
    <s v="015 Ministry of Trade, Industry and Cooperatives"/>
    <s v="MoLG, NAADS, MTIC, UDC, UCDA"/>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4"/>
    <s v="Agro-processing advisory unit established"/>
    <s v="Number of MSMEs supported technically "/>
    <m/>
    <n v="800"/>
    <n v="800"/>
    <n v="800"/>
    <n v="800"/>
    <n v="800"/>
    <s v="MoTIC"/>
    <s v="015 Ministry of Trade, Industry and Cooperatives"/>
    <s v="Establish an Agro-processing Advisory Unit to provide technical support to MSMEs that are involved in agricultural value addition across the country. "/>
    <n v="1"/>
    <n v="0"/>
    <n v="0"/>
    <n v="1"/>
    <n v="0"/>
    <n v="0"/>
    <n v="0"/>
    <n v="0"/>
    <n v="0.25"/>
    <n v="0"/>
    <n v="0"/>
    <n v="0"/>
    <n v="2"/>
    <n v="2.5"/>
    <m/>
    <m/>
    <e v="#REF!"/>
    <s v="MoTIC"/>
    <s v="015 Ministry of Trade, Industry and Cooperatives"/>
    <s v="OW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h"/>
    <s v="Establish 10 new garment making factories the cities"/>
    <s v="012303h05"/>
    <s v="Small scale agro-processing facilities supplied to communities (MSMEs) under the Parish Model"/>
    <s v="Number of parishes  supported with  agro-processing equipment"/>
    <m/>
    <n v="0"/>
    <n v="200"/>
    <n v="500"/>
    <n v="800"/>
    <n v="800"/>
    <s v="MoTIC (OWC)"/>
    <s v="015 Ministry of Trade, Industry and Cooperatives"/>
    <s v="Using the Parish Model, undertake diagnostic and feasibility studies; establish common user facilities; procure and supply small scale  agro-processing equipment to communities, farmer groups and cooperatives."/>
    <n v="1"/>
    <n v="1"/>
    <n v="1"/>
    <n v="1"/>
    <n v="1"/>
    <n v="1"/>
    <n v="1"/>
    <n v="0"/>
    <n v="0.875"/>
    <n v="0"/>
    <n v="0"/>
    <n v="0"/>
    <n v="5"/>
    <n v="10"/>
    <n v="12"/>
    <n v="13"/>
    <n v="25"/>
    <s v="MoTIC (OWC)"/>
    <s v="015 Ministry of Trade, Industry and Cooperatives"/>
    <s v="MTIC, LGs"/>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i"/>
    <s v="Establish 2 new vegetable oil mills in Lira and Kiryandongo and expand the vegetable oil refinery in Jinja"/>
    <s v="012303i01"/>
    <s v="2 new vegetable oil mills in Lira and Kiryandongo established and the vegetable oil refinery in Jinja expanded"/>
    <s v="Completion status of the establishments "/>
    <n v="0"/>
    <n v="0"/>
    <n v="0.1"/>
    <n v="0.25"/>
    <n v="0.5"/>
    <n v="0.75"/>
    <s v="MoTIC"/>
    <s v="015 Ministry of Trade, Industry and Cooperatives"/>
    <s v="Civil works, acquisition and fitting of machinery, and construction of waste treatment plants for the 2 vegetable oil mills"/>
    <n v="0"/>
    <n v="0"/>
    <n v="0"/>
    <n v="0"/>
    <n v="0"/>
    <n v="0"/>
    <n v="0"/>
    <n v="0"/>
    <n v="0"/>
    <n v="0"/>
    <n v="0"/>
    <n v="0"/>
    <n v="0"/>
    <n v="0"/>
    <m/>
    <m/>
    <e v="#REF!"/>
    <s v="MoTIC"/>
    <s v="015 Ministry of Trade, Industry and Cooperatives"/>
    <s v="UDC, MAAIF, OW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j"/>
    <s v="Upgrade Soroti fruit factory and establish 5 more fruit factories including; Masaka, Arua, Kanungu, and Bundibugyo "/>
    <s v="012303j01"/>
    <s v="11 fruit factories constructed"/>
    <s v="Completion status of each constructed fruit factories"/>
    <n v="0"/>
    <n v="1"/>
    <n v="2"/>
    <n v="3"/>
    <n v="1"/>
    <n v="2"/>
    <s v="MoTIC (OWC)"/>
    <s v="015 Ministry of Trade, Industry and Cooperatives"/>
    <s v="Undertake diagnostic and feasibility studies, design, construct and equip,  11 fruit factories in Greater Masaka, Arua, Kanungu, Bundibugyo, Nwoya, Kayunga, Yumbe, Busoga Sub region, Rwenzori Sub region, Nakaseke"/>
    <n v="1"/>
    <n v="1"/>
    <n v="1"/>
    <n v="1"/>
    <n v="1"/>
    <n v="1"/>
    <n v="1"/>
    <n v="0"/>
    <n v="0.875"/>
    <n v="0"/>
    <n v="0"/>
    <n v="20"/>
    <n v="20"/>
    <n v="20"/>
    <n v="14"/>
    <n v="26.56"/>
    <n v="40.56"/>
    <s v="MoTIC (OWC)"/>
    <s v="015 Ministry of Trade, Industry and Cooperatives"/>
    <s v="NAADS,UDC, NPA"/>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k"/>
    <s v="Establish meat processing factories in Nakasongola and Mbarara"/>
    <s v="012303k01"/>
    <s v="Meat and Fish Processing factories established"/>
    <s v="Completion status of each meat processing factory established in Kiruhura, Mubende, Nakasongola and Mbarara"/>
    <m/>
    <n v="0"/>
    <n v="1"/>
    <n v="1"/>
    <n v="1"/>
    <n v="1"/>
    <s v="UDC"/>
    <s v="015 Ministry of Trade, Industry and Cooperatives"/>
    <s v="Undertake feasibility studies, design, construct and equip meat processing factories in Kiruhura, Mubende, Nakasongola and Mbarara and fish processing factories in Mukono, Jinja, Kamuli and Serere"/>
    <n v="0"/>
    <n v="1"/>
    <n v="1"/>
    <n v="1"/>
    <n v="1"/>
    <n v="1"/>
    <n v="1"/>
    <n v="0"/>
    <n v="0.75"/>
    <n v="0"/>
    <n v="0"/>
    <n v="10"/>
    <n v="10"/>
    <n v="10"/>
    <n v="20"/>
    <n v="42.5"/>
    <n v="62.5"/>
    <s v="MoTIC (UDC)"/>
    <s v="015 Ministry of Trade, Industry and Cooperatives"/>
    <s v="OWC, MTIC, MAAIF"/>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m"/>
    <s v="Complete Atiak Sugar factory and construct a farmer-based sugar factory in Busoga"/>
    <s v="012303m01"/>
    <s v="Atiak sugar factory completed  and a farmer based sugar factory established in Busoga"/>
    <s v="Completion status of Atiak sugar factory and number of farmer based sugar factories established in Busoga "/>
    <m/>
    <n v="0"/>
    <n v="1"/>
    <n v="1"/>
    <n v="1"/>
    <n v="1"/>
    <s v="UDC"/>
    <s v="015 Ministry of Trade, Industry and Cooperatives"/>
    <s v="Design, construct, equip and provide working capital for Atiak Sugar Company and a farmer based sugar factory in Busoga"/>
    <n v="1"/>
    <n v="1"/>
    <n v="1"/>
    <n v="1"/>
    <n v="1"/>
    <n v="1"/>
    <n v="1"/>
    <n v="0"/>
    <n v="0.875"/>
    <n v="0"/>
    <m/>
    <n v="35"/>
    <n v="35.5"/>
    <n v="28"/>
    <n v="5"/>
    <n v="5"/>
    <n v="10"/>
    <s v="MoTIC (UDC)"/>
    <s v="015 Ministry of Trade, Industry and Cooperatives"/>
    <s v="NAADS"/>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n"/>
    <s v="Establish a rice processing factory along the entire value chain in Butaleja"/>
    <s v="012303n01"/>
    <s v="Rice processing factory established"/>
    <s v="No. of rice processing factory established"/>
    <n v="0"/>
    <m/>
    <m/>
    <n v="1"/>
    <m/>
    <m/>
    <s v="MAAIF"/>
    <s v="010 Ministry of Agriculture, Animal &amp; Fisheries"/>
    <m/>
    <n v="0"/>
    <n v="0"/>
    <n v="0"/>
    <n v="0"/>
    <n v="0"/>
    <n v="0"/>
    <n v="0"/>
    <n v="0"/>
    <n v="0"/>
    <n v="0"/>
    <n v="0"/>
    <m/>
    <m/>
    <m/>
    <m/>
    <m/>
    <e v="#REF!"/>
    <s v="MoTIC (UDC)"/>
    <s v="010 Ministry of Agriculture, Animal &amp; Fisheries"/>
    <m/>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o"/>
    <s v="Establish a cocoa value addition factory in Bundibugyo"/>
    <s v="012303o01"/>
    <s v="A cocoa processing plant established in Bundibugyo"/>
    <s v="Completion rate of the cocoa processing plant in Bundibugyo"/>
    <n v="0"/>
    <n v="0.1"/>
    <n v="0.3"/>
    <n v="0.6"/>
    <n v="0.9"/>
    <n v="1"/>
    <s v="UDC"/>
    <s v="015 Ministry of Trade, Industry and Cooperatives"/>
    <s v="Undertake diagnostic and feasibility studies, design, construct, equip and provide working capital for the cocoa processing plant"/>
    <n v="1"/>
    <n v="1"/>
    <n v="1"/>
    <n v="0"/>
    <n v="1"/>
    <n v="1"/>
    <n v="1"/>
    <n v="0"/>
    <n v="0.75"/>
    <n v="0"/>
    <n v="0"/>
    <n v="10"/>
    <n v="10"/>
    <n v="18.5"/>
    <n v="9"/>
    <n v="3"/>
    <n v="12"/>
    <s v="MoTIC (UDC)"/>
    <s v="015 Ministry of Trade, Industry and Cooperatives"/>
    <s v="UCDA, NPA, OWC"/>
  </r>
  <r>
    <x v="0"/>
    <x v="0"/>
    <s v="012"/>
    <s v="Storage, Agro-Processing and Value addition"/>
    <s v="0123"/>
    <s v="Increase agro-processing and value addition"/>
    <s v="012303"/>
    <s v="Establish new and rehabilitate existing agro-processing industries to minimize_x000a_negative environmental impacts for processing of key agricultural"/>
    <s v="012303p"/>
    <s v="Establish youth led agro processing facilities focusing on incubation and demonstration centres"/>
    <s v="012303p01"/>
    <s v="Youth led agro processing facilities established"/>
    <m/>
    <n v="0"/>
    <n v="0"/>
    <n v="4"/>
    <n v="2"/>
    <n v="1"/>
    <n v="1"/>
    <s v="MAAIF"/>
    <s v="010 Ministry of Agriculture, Animal &amp; Fisheries"/>
    <m/>
    <n v="0"/>
    <n v="0"/>
    <n v="0"/>
    <n v="0"/>
    <n v="0"/>
    <n v="0"/>
    <n v="0"/>
    <n v="0"/>
    <n v="0"/>
    <n v="0"/>
    <n v="0"/>
    <m/>
    <m/>
    <m/>
    <m/>
    <m/>
    <e v="#REF!"/>
    <s v="MoTIC (UDC)"/>
    <s v="015 Ministry of Trade, Industry and Cooperatives"/>
    <m/>
  </r>
  <r>
    <x v="0"/>
    <x v="0"/>
    <s v="012"/>
    <s v="Storage, Agro-Processing and Value addition"/>
    <s v="0123"/>
    <s v="Increase agro-processing and value addition"/>
    <s v="012304"/>
    <s v="Provide affordable, adequate and reliable electricity in the various production zones of the country _x000a_"/>
    <m/>
    <m/>
    <s v="01230401"/>
    <s v="Affordable, adequate and reliable electricity provided for agro-processors"/>
    <s v="Number of production zones with reliable and adequate electricity"/>
    <m/>
    <n v="0"/>
    <n v="1"/>
    <n v="2"/>
    <n v="2"/>
    <n v="2"/>
    <s v="MEMD"/>
    <s v="017 Ministry of Energy and Mineral Development"/>
    <s v="Provide affordable, adequate and reliable electricity for agro-processors_x000a_"/>
    <n v="1"/>
    <n v="1"/>
    <n v="0"/>
    <n v="1"/>
    <n v="1"/>
    <n v="1"/>
    <n v="1"/>
    <n v="1"/>
    <n v="0.875"/>
    <n v="0"/>
    <n v="0"/>
    <n v="0"/>
    <n v="0"/>
    <n v="0"/>
    <n v="0"/>
    <n v="0"/>
    <n v="0"/>
    <s v="MEMD"/>
    <s v="017 Ministry of Energy and Mineral Development"/>
    <s v="UEDCL, ERA,UMEME, MAAIF"/>
  </r>
  <r>
    <x v="0"/>
    <x v="0"/>
    <s v="012"/>
    <s v="Storage, Agro-Processing and Value addition"/>
    <s v="0123"/>
    <s v="Increase agro-processing and value addition"/>
    <s v="012305"/>
    <s v="Construct and regularly maintain community access &amp; feeder roads for market access"/>
    <m/>
    <m/>
    <s v="01230501"/>
    <s v="Community access &amp; feeder roads constructed &amp; maintained to facilitate market access"/>
    <s v="Total Length(in Km) of acces roads maintained "/>
    <m/>
    <m/>
    <m/>
    <m/>
    <m/>
    <m/>
    <s v="LGs"/>
    <s v="500 501-850 Local Governments"/>
    <s v="Construct and regularly maintain community access &amp; feeder roads (including bridges) in rural areas to facilitate market access"/>
    <n v="1"/>
    <n v="1"/>
    <n v="1"/>
    <n v="1"/>
    <n v="1"/>
    <n v="1"/>
    <n v="1"/>
    <n v="0"/>
    <n v="0.875"/>
    <n v="0"/>
    <n v="0"/>
    <n v="28"/>
    <n v="24"/>
    <n v="24"/>
    <n v="25"/>
    <n v="31"/>
    <n v="56"/>
    <s v="LGs"/>
    <s v="500 501-850 Local Governments"/>
    <s v="MoWT, MAAIF"/>
  </r>
  <r>
    <x v="0"/>
    <x v="0"/>
    <s v="012"/>
    <s v="Storage, Agro-Processing and Value addition"/>
    <s v="0123"/>
    <s v="Increase agro-processing and value addition"/>
    <s v="012306"/>
    <s v="Improve skills and competencies of agricultural labor force at technical and managerial levels in post-harvest handling, storage and value addition"/>
    <m/>
    <m/>
    <s v="01230601"/>
    <s v="Enhanced skills and competencies of agricultural labor force"/>
    <s v="Proportion of agricultural labor force skilled in post-harvest handling, storage and value addition "/>
    <m/>
    <m/>
    <m/>
    <m/>
    <m/>
    <m/>
    <s v="MAAIF"/>
    <s v="010 Ministry of Agriculture, Animal &amp; Fisheries"/>
    <m/>
    <n v="0"/>
    <n v="0"/>
    <n v="0"/>
    <n v="0"/>
    <n v="0"/>
    <n v="0"/>
    <n v="0"/>
    <n v="0"/>
    <n v="0"/>
    <n v="0"/>
    <n v="0"/>
    <m/>
    <m/>
    <m/>
    <m/>
    <m/>
    <e v="#REF!"/>
    <s v="MAAIF"/>
    <s v="010 Ministry of Agriculture, Animal &amp; Fisheries"/>
    <s v="MoES"/>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1"/>
    <s v="Food safety surveillance plan, policies, regulations, laws and standards developed and reviewed"/>
    <s v="Food safety monitoring/surveillance plan in place"/>
    <n v="0"/>
    <n v="0"/>
    <n v="1"/>
    <m/>
    <m/>
    <m/>
    <s v="MAAIF"/>
    <s v="010 Ministry of Agriculture, Animal &amp; Fisheries"/>
    <s v="Develop and implement the food safety surveillance plan; Review the National food safety surveillance policy"/>
    <n v="1"/>
    <n v="0"/>
    <n v="0"/>
    <n v="1"/>
    <n v="1"/>
    <n v="0"/>
    <n v="1"/>
    <n v="0"/>
    <n v="0.5"/>
    <n v="0"/>
    <n v="0"/>
    <n v="6.5"/>
    <n v="0.5"/>
    <n v="0.5"/>
    <m/>
    <m/>
    <e v="#REF!"/>
    <s v="MAAIF"/>
    <s v="010 Ministry of Agriculture, Animal &amp; Fisheries"/>
    <s v="MTIC, UCDA, UEPB"/>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1"/>
    <s v="Food safety surveillance plan, policies, regulations, laws and standards developed and reviewed"/>
    <s v="Inventory of standards for Agricultural Commodities in place"/>
    <n v="0"/>
    <n v="1"/>
    <m/>
    <m/>
    <m/>
    <m/>
    <s v="UNBS"/>
    <s v="154 Uganda National Bureau of Standards"/>
    <s v="Develop animal feed rations and standards; Develop an inventory of standards for Agricultural Commodities in conformity with bi lateral and multi lateral international standards and harmonise them as Uganda Standards"/>
    <n v="1"/>
    <n v="1"/>
    <n v="1"/>
    <n v="1"/>
    <n v="1"/>
    <n v="1"/>
    <n v="1"/>
    <n v="0"/>
    <n v="0.875"/>
    <n v="0"/>
    <n v="0"/>
    <n v="2.5"/>
    <n v="0.5"/>
    <n v="0.3"/>
    <n v="0.1"/>
    <n v="0.1"/>
    <n v="0.2"/>
    <s v="UNBS"/>
    <s v="154 Uganda National Bureau of Standards"/>
    <s v="NARO, MTIC, MAAIF"/>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2"/>
    <s v="Certification permits for products and firms issued."/>
    <s v="Number of compliance, sanitary and phytosanitary  certificates issued "/>
    <m/>
    <n v="50000"/>
    <n v="50000"/>
    <n v="50000"/>
    <n v="25000"/>
    <n v="25000"/>
    <s v="UNBS"/>
    <s v="154 Uganda National Bureau of Standards"/>
    <s v="Enhance and implement the system of inspections, verification of compliance, capacity building  and issuance of the certificates of compliance with standards."/>
    <n v="1"/>
    <n v="1"/>
    <n v="1"/>
    <n v="1"/>
    <n v="1"/>
    <n v="1"/>
    <n v="1"/>
    <n v="0"/>
    <n v="0.875"/>
    <n v="0"/>
    <n v="0"/>
    <n v="3.65"/>
    <n v="2.5"/>
    <n v="2.5"/>
    <n v="1"/>
    <n v="1"/>
    <n v="2"/>
    <s v="UNBS"/>
    <s v="154 Uganda National Bureau of Standards"/>
    <s v="MAAIF, MTIC,  UCDA, UEPB, OW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2"/>
    <s v="Certification permits for products and firms issued."/>
    <s v="Number of production and processing facilities receiving  Veterinary establishment numbers"/>
    <n v="35"/>
    <n v="50"/>
    <n v="80"/>
    <n v="100"/>
    <n v="80"/>
    <n v="80"/>
    <s v="UNBS"/>
    <s v="154 Uganda National Bureau of Standards"/>
    <s v="Enhance and implement the system of inspections, verification of compliance, capacity building  and issuance of the certificates of compliance with standards."/>
    <n v="1"/>
    <n v="1"/>
    <n v="1"/>
    <n v="1"/>
    <n v="1"/>
    <n v="1"/>
    <n v="1"/>
    <n v="1"/>
    <n v="1"/>
    <n v="0"/>
    <n v="0"/>
    <m/>
    <m/>
    <m/>
    <n v="0.2"/>
    <n v="0.25"/>
    <n v="0.45"/>
    <s v="UNBS"/>
    <s v="154 Uganda National Bureau of Standards"/>
    <s v="MAAIF, MTIC,  UCDA, UEPB, OW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3"/>
    <s v="300 coffee traders, primary processors, roasters, brewers, exporters inspected"/>
    <s v="Number of traders and processors inspected "/>
    <n v="0"/>
    <n v="0"/>
    <m/>
    <m/>
    <n v="200"/>
    <n v="300"/>
    <s v="UCDA"/>
    <s v="160 Uganda Coffee Development Authority"/>
    <s v="Undertake regular coffee inspection and enforcement mission of coffee traders, primary processors, roasters, brewers, exporters."/>
    <n v="1"/>
    <n v="1"/>
    <n v="1"/>
    <n v="1"/>
    <n v="1"/>
    <n v="1"/>
    <n v="1"/>
    <n v="1"/>
    <n v="1"/>
    <n v="0"/>
    <n v="0"/>
    <n v="0"/>
    <n v="2.1"/>
    <n v="2.2000000000000002"/>
    <n v="1.5"/>
    <n v="1.5"/>
    <n v="3"/>
    <s v="UCDA"/>
    <s v="160 Uganda Coffee Development Authority"/>
    <s v="LG, MTI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a"/>
    <s v="Enforce product certification"/>
    <s v="013401a04"/>
    <s v="Local firms supported to produce  fishing gear"/>
    <s v="Number of local firms supported to produce  fishing gear"/>
    <m/>
    <n v="1"/>
    <n v="2"/>
    <n v="4"/>
    <n v="6"/>
    <n v="8"/>
    <s v="MAAIF"/>
    <s v="010 Ministry of Agriculture, Animal &amp; Fisheries"/>
    <s v="Certify and support local production of quality fishing gear  (nets, vessels and engines )"/>
    <n v="1"/>
    <n v="1"/>
    <n v="1"/>
    <n v="1"/>
    <n v="1"/>
    <n v="1"/>
    <n v="1"/>
    <n v="0"/>
    <n v="0.875"/>
    <n v="0"/>
    <n v="0"/>
    <n v="1"/>
    <n v="0.5"/>
    <n v="0.5"/>
    <n v="0.5"/>
    <n v="0.9"/>
    <n v="1.4"/>
    <s v="MAAIF"/>
    <s v="010 Ministry of Agriculture, Animal &amp; Fisheries"/>
    <s v="MTI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1"/>
    <s v="Capacity of MSMEs to comply with quality standards built"/>
    <s v="Number of SMEs complying with the minimum safety requirement "/>
    <m/>
    <n v="0"/>
    <m/>
    <m/>
    <m/>
    <m/>
    <s v="MoTIC"/>
    <s v="015 Ministry of Trade, Industry and Cooperatives"/>
    <s v="Identify, train and ''handhold'' agro-processing MSMEs in compliance to quality standards. "/>
    <n v="1"/>
    <n v="0"/>
    <n v="1"/>
    <n v="1"/>
    <n v="1"/>
    <n v="1"/>
    <n v="1"/>
    <n v="0"/>
    <n v="0.75"/>
    <n v="0"/>
    <n v="0"/>
    <n v="1.25"/>
    <n v="1.45"/>
    <n v="2"/>
    <n v="1"/>
    <n v="2"/>
    <n v="3"/>
    <s v="MoTIC"/>
    <s v="015 Ministry of Trade, Industry and Cooperatives"/>
    <s v="UNBS, UEPB, MAAIF"/>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2"/>
    <s v="A mentoring programme on standards compliance developed and implemented"/>
    <s v="Number of agri-prenuers enrolled on the mentoring program "/>
    <m/>
    <n v="500"/>
    <n v="1500"/>
    <n v="3000"/>
    <n v="2000"/>
    <n v="4000"/>
    <s v="UNBS"/>
    <s v="154 Uganda National Bureau of Standards"/>
    <s v="Develop and implement a mentoring programme for helping agripreneurs articulate their compliance efforts to key customers and stakeholders and to gain recognition in the marketplace."/>
    <n v="1"/>
    <n v="0"/>
    <n v="1"/>
    <n v="1"/>
    <n v="1"/>
    <n v="1"/>
    <n v="1"/>
    <n v="0"/>
    <n v="0.75"/>
    <n v="0"/>
    <n v="0"/>
    <n v="0"/>
    <n v="0.2"/>
    <n v="1"/>
    <n v="0.8"/>
    <n v="1.6"/>
    <n v="2.4000000000000004"/>
    <s v="UNBS"/>
    <s v="154 Uganda National Bureau of Standards"/>
    <s v="MTIC, OW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3"/>
    <s v="A messaging programme to communicate the benefits of quality/standards developed and implemented"/>
    <s v="Value chain actors reached by sms"/>
    <n v="0"/>
    <n v="1000"/>
    <n v="5000"/>
    <n v="10000"/>
    <n v="20000"/>
    <n v="30000"/>
    <s v="UNBS"/>
    <s v="154 Uganda National Bureau of Standards"/>
    <s v="Develop and run a messaging programme to communicate the benefits of quality/standards to value chain actors to ensure greater adoption and engagement by producers across all priority value chains"/>
    <n v="1"/>
    <n v="0"/>
    <n v="0"/>
    <n v="1"/>
    <n v="1"/>
    <n v="1"/>
    <n v="1"/>
    <n v="0"/>
    <n v="0.625"/>
    <n v="0"/>
    <n v="0"/>
    <n v="0"/>
    <n v="0.2"/>
    <n v="1"/>
    <n v="1"/>
    <n v="1.5"/>
    <n v="2.5"/>
    <s v="UNBS"/>
    <s v="154 Uganda National Bureau of Standards"/>
    <s v="MTIC, OWC, MAAIF"/>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4"/>
    <s v="Farmers and manufacturer trainings and exposure on SPS conducted"/>
    <s v="No. of farmers and manufacturers trainings conducted"/>
    <m/>
    <n v="50"/>
    <n v="100"/>
    <n v="200"/>
    <n v="70"/>
    <n v="80"/>
    <s v="MAAIF"/>
    <s v="010 Ministry of Agriculture, Animal &amp; Fisheries"/>
    <s v="Identify and train farmers and manufacturers in best management practices; Organize and expose farmers and processors to appropriate best practices on sanitary and phytosanitary standards (SPS) and industry standards applied in other economies or market players"/>
    <n v="1"/>
    <n v="0"/>
    <n v="1"/>
    <n v="1"/>
    <n v="1"/>
    <n v="1"/>
    <n v="1"/>
    <n v="0"/>
    <n v="0.75"/>
    <n v="0"/>
    <n v="0"/>
    <n v="3.8"/>
    <n v="1"/>
    <n v="1"/>
    <n v="0.43679999999999997"/>
    <n v="0.49919999999999998"/>
    <n v="0.93599999999999994"/>
    <s v="MAAIF"/>
    <s v="010 Ministry of Agriculture, Animal &amp; Fisheries"/>
    <s v="MTIC, UCDA"/>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4"/>
    <s v="Farmers and manufacturer trainings and exposure on SPS conducted"/>
    <s v="No. of farmers and manufacturers exposed to best practices "/>
    <n v="0"/>
    <n v="1000"/>
    <n v="1000"/>
    <n v="1500"/>
    <n v="600"/>
    <n v="800"/>
    <s v="MAAIF"/>
    <s v="010 Ministry of Agriculture, Animal &amp; Fisheries"/>
    <s v="Identify and train farmers and manufacturers in best management practices; Organize and expose farmers and processors to appropriate best practices on sanitary and phytosanitary standards (SPS) and industry standards applied in other economies or market players"/>
    <n v="1"/>
    <n v="0"/>
    <n v="1"/>
    <n v="1"/>
    <n v="1"/>
    <n v="1"/>
    <n v="1"/>
    <n v="0"/>
    <n v="0.75"/>
    <n v="0"/>
    <n v="0"/>
    <m/>
    <m/>
    <m/>
    <n v="0.6"/>
    <n v="0.8"/>
    <n v="1.4"/>
    <s v="MAAIF"/>
    <s v="010 Ministry of Agriculture, Animal &amp; Fisheries"/>
    <s v="MTIC, UCDA"/>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b"/>
    <s v="Train farmers and manufacturers on sanitary and phytosanitary standards"/>
    <s v="013401b05"/>
    <s v="500 value chain actors and staff trained"/>
    <s v="Value chain actors trained "/>
    <m/>
    <n v="0"/>
    <n v="100"/>
    <n v="100"/>
    <n v="150"/>
    <n v="150"/>
    <s v="UCDA"/>
    <s v="160 Uganda Coffee Development Authority"/>
    <s v="Train 500 coffee value chain actors including processors, traders and exporters etc in standards and coffee quality management"/>
    <n v="1"/>
    <n v="0"/>
    <n v="1"/>
    <n v="1"/>
    <n v="1"/>
    <n v="1"/>
    <n v="1"/>
    <n v="0"/>
    <n v="0.75"/>
    <n v="0"/>
    <n v="0"/>
    <n v="0"/>
    <n v="2.1"/>
    <n v="2.5"/>
    <n v="0.5"/>
    <n v="0.15"/>
    <n v="0.65"/>
    <s v="UCDA"/>
    <s v="160 Uganda Coffee Development Authority"/>
    <s v="MoTI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c"/>
    <s v="Renovate, build and adequately equip certification laboratory facilities in various strategic locations"/>
    <s v="013401c01"/>
    <s v="Certification laboratory facilities renovated, built and equipped"/>
    <s v="No. crop, veterinary and fisheries certification laboratory facilities renovated, built and equipped "/>
    <m/>
    <n v="3"/>
    <n v="3"/>
    <n v="3"/>
    <n v="3"/>
    <n v="3"/>
    <s v="UNBS"/>
    <s v="154 Uganda National Bureau of Standards"/>
    <s v="(i) Construct/renovate and equip certification laboratories  (ii) Procure equipment  and consumables  (iii) Hire and train 25 staff (iv) Obtain laboratory international accreditation"/>
    <n v="1"/>
    <n v="1"/>
    <n v="1"/>
    <n v="1"/>
    <n v="1"/>
    <n v="1"/>
    <n v="1"/>
    <n v="1"/>
    <n v="1"/>
    <n v="0"/>
    <n v="0"/>
    <n v="5"/>
    <n v="5"/>
    <n v="5"/>
    <n v="17"/>
    <n v="24"/>
    <n v="41"/>
    <s v="UNBS"/>
    <s v="154 Uganda National Bureau of Standards"/>
    <s v="MAAIF"/>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c"/>
    <s v="Renovate, build and adequately equip certification laboratory facilities in various strategic locations"/>
    <s v="013401c02"/>
    <s v="Regional Milk Certification laboratory facilities renovated and equipped"/>
    <s v="No. of regional milk testing laboratories equipped"/>
    <m/>
    <n v="2"/>
    <n v="2"/>
    <n v="3"/>
    <n v="0"/>
    <n v="4"/>
    <s v="DDA"/>
    <s v="121 Dairy Development Authority"/>
    <s v="Equip regional milk testing laboratories(5), Certification laboratories (6) with equipment  and consumables; Acquire measurement standards and equipment"/>
    <n v="1"/>
    <n v="1"/>
    <n v="1"/>
    <n v="1"/>
    <n v="0"/>
    <n v="1"/>
    <n v="1"/>
    <n v="1"/>
    <n v="0.875"/>
    <n v="0"/>
    <n v="0"/>
    <n v="4.8499999999999996"/>
    <n v="4.8499999999999996"/>
    <n v="4.8499999999999996"/>
    <n v="3.5"/>
    <n v="3.6"/>
    <n v="7.1"/>
    <s v="DDA"/>
    <s v="121 Dairy Development Authority"/>
    <s v="MAAIF"/>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c"/>
    <s v="Renovate, build and adequately equip certification laboratory facilities in various strategic locations"/>
    <s v="013401c02"/>
    <s v="Regional Milk Certification laboratory facilities renovated and equipped"/>
    <s v="No. of  laboratory facilities for milk  built and equipped"/>
    <m/>
    <n v="0"/>
    <n v="2"/>
    <n v="3"/>
    <n v="2"/>
    <n v="3"/>
    <s v="DDA"/>
    <s v="121 Dairy Development Authority"/>
    <s v="Equip regional milk testing laboratories(5), Certification laboratories (6) with equipment  and consumables; Acquire measurement standards and equipment"/>
    <n v="1"/>
    <n v="1"/>
    <n v="1"/>
    <n v="1"/>
    <n v="0"/>
    <n v="1"/>
    <n v="1"/>
    <n v="1"/>
    <n v="0.875"/>
    <n v="0"/>
    <n v="0"/>
    <n v="4.8499999999999996"/>
    <n v="4.8499999999999996"/>
    <n v="4.8499999999999996"/>
    <n v="4.5999999999999996"/>
    <n v="6.9"/>
    <n v="11.5"/>
    <s v="DDA"/>
    <s v="121 Dairy Development Authority"/>
    <s v="MAAIF, UNVS"/>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c"/>
    <s v="Renovate, build and adequately equip certification laboratory facilities in various strategic locations"/>
    <s v="013401c03"/>
    <s v="Coffee Certification laboratory facilities built and equipped"/>
    <s v="No. of coffee certification laboratory facilities built and equipped"/>
    <m/>
    <n v="0"/>
    <n v="2"/>
    <n v="2"/>
    <n v="1"/>
    <n v="1"/>
    <s v="UCDA"/>
    <s v="160 Uganda Coffee Development Authority"/>
    <s v="Establish and adequately equip Coffee certification laboratory facilities in various strategic locations"/>
    <n v="1"/>
    <n v="1"/>
    <n v="1"/>
    <n v="1"/>
    <n v="1"/>
    <n v="1"/>
    <n v="1"/>
    <n v="1"/>
    <n v="1"/>
    <n v="0"/>
    <n v="0"/>
    <n v="4.5"/>
    <n v="6.5"/>
    <n v="16.5"/>
    <n v="7"/>
    <n v="6"/>
    <n v="13"/>
    <s v="UCDA"/>
    <s v="160 Uganda Coffee Development Authority"/>
    <s v="UNBS, MTIC"/>
  </r>
  <r>
    <x v="0"/>
    <x v="0"/>
    <s v="013"/>
    <s v="Agricultural Market Access and Competitiveness"/>
    <s v="0134"/>
    <s v="Increase market access and competitiveness of agricultural products in domestic and international markets"/>
    <s v="013401"/>
    <s v="Strengthen enforcement and adherence to product quality requirements including; food safety, social and environmental standards, grades, etc"/>
    <s v="013401d"/>
    <s v="Regulate cross border informal trade in agro-products."/>
    <s v="013401d01"/>
    <s v="Engagement of OSBP (One stop boarder posts) sensitisation for promotion of formal crossboarder trade "/>
    <s v="No of OSBP monitored and evaluated"/>
    <m/>
    <n v="13"/>
    <n v="13"/>
    <n v="13"/>
    <n v="13"/>
    <n v="13"/>
    <s v="MEACA"/>
    <s v="021 Ministry of East African Community Affairs Uganda"/>
    <s v="Develop a programme for carrying out of quarterly Monitoring vists and engagements of all the operational OSBPs to enhance Formal crossboarder trade"/>
    <n v="1"/>
    <n v="0"/>
    <n v="0"/>
    <n v="1"/>
    <n v="1"/>
    <n v="0"/>
    <n v="0"/>
    <n v="0"/>
    <n v="0.375"/>
    <n v="0"/>
    <n v="0"/>
    <n v="2"/>
    <n v="2"/>
    <n v="2"/>
    <m/>
    <m/>
    <e v="#REF!"/>
    <s v="MEACA"/>
    <s v="021 East African Community"/>
    <s v="MAAIF"/>
  </r>
  <r>
    <x v="0"/>
    <x v="0"/>
    <s v="013"/>
    <s v="Agricultural Market Access and Competitiveness"/>
    <s v="0134"/>
    <s v="Increase market access and competitiveness of agricultural products in domestic and international markets"/>
    <s v="013402"/>
    <s v="Digitalize acquisition and distribution of agricultural market information"/>
    <s v="013402a"/>
    <s v="Develop and implement an integrated agriculture market information system"/>
    <s v="013402a01"/>
    <s v="Agricultural Market Information Hubs established across the value chain"/>
    <s v="Agricultural market information hubs in place"/>
    <m/>
    <n v="0"/>
    <n v="1"/>
    <n v="1"/>
    <n v="1"/>
    <n v="1"/>
    <s v="MoTIC"/>
    <s v="015 Ministry of Trade, Industry and Cooperatives"/>
    <s v="Establish and maintain Agricultural Market Information Hubs that are linked to the Regional Farm Service Centres and the local communities under the Parish Model."/>
    <n v="1"/>
    <n v="0"/>
    <n v="0"/>
    <n v="1"/>
    <n v="1"/>
    <n v="0"/>
    <n v="1"/>
    <n v="0"/>
    <n v="0.5"/>
    <n v="0"/>
    <n v="0"/>
    <n v="13.5"/>
    <n v="14.5"/>
    <n v="12.5"/>
    <m/>
    <m/>
    <e v="#REF!"/>
    <s v="MoTIC"/>
    <s v="015 Ministry of Trade, Industry and Cooperatives"/>
    <s v="MAAIF, UCDA, UEPB, OWC"/>
  </r>
  <r>
    <x v="0"/>
    <x v="0"/>
    <s v="013"/>
    <s v="Agricultural Market Access and Competitiveness"/>
    <s v="0134"/>
    <s v="Increase market access and competitiveness of agricultural products in domestic and international markets"/>
    <s v="013403"/>
    <s v="Improve agricultural market infrastructure in rural and urban areas"/>
    <s v="013403a"/>
    <s v="Develop infrastructure and facilities for rural and urban agricultural markets at district and community levels to meet quality standards. Develop urban agricultural markets in all districts"/>
    <s v="013403a01"/>
    <s v="Mordern Agricultural markets constructed in  strategic locations and infrastructure to facilitate their  effective performance built"/>
    <s v="Number of modern markets  developed"/>
    <n v="0"/>
    <n v="10"/>
    <n v="10"/>
    <n v="10"/>
    <n v="10"/>
    <n v="11"/>
    <s v="MoLG"/>
    <s v="011 Ministry of Local Government"/>
    <m/>
    <n v="0"/>
    <n v="0"/>
    <n v="0"/>
    <n v="0"/>
    <n v="0"/>
    <n v="0"/>
    <n v="0"/>
    <n v="0"/>
    <n v="0"/>
    <n v="0"/>
    <n v="1"/>
    <n v="10"/>
    <n v="10"/>
    <n v="20"/>
    <m/>
    <m/>
    <e v="#REF!"/>
    <s v="MoLG"/>
    <s v="011 Ministry of Local Government"/>
    <s v="MAAIF, MTIC, LGs"/>
  </r>
  <r>
    <x v="0"/>
    <x v="0"/>
    <s v="013"/>
    <s v="Agricultural Market Access and Competitiveness"/>
    <s v="0134"/>
    <s v="Increase market access and competitiveness of agricultural products in domestic and international markets"/>
    <s v="013402"/>
    <s v="Digitalize acquisition and distribution of agricultural market information"/>
    <s v="013402a"/>
    <s v="Develop and implement an integrated agriculture market information system"/>
    <s v="013402a02"/>
    <s v="Digital platform constructed for goods produced by the locals and linking them to potential markets."/>
    <s v="Operational national digital marketing platform in place "/>
    <m/>
    <n v="0"/>
    <n v="1"/>
    <n v="1"/>
    <n v="1"/>
    <n v="1"/>
    <s v="MoTIC"/>
    <s v="015 Ministry of Trade, Industry and Cooperatives"/>
    <s v="Establish and regularly update a national digital marketing platform for goods that are produced by the locals and link them to potential markets. "/>
    <n v="1"/>
    <n v="0"/>
    <n v="0"/>
    <n v="1"/>
    <n v="1"/>
    <n v="0"/>
    <n v="1"/>
    <n v="0"/>
    <n v="0.5"/>
    <n v="0"/>
    <n v="0"/>
    <n v="0"/>
    <n v="1"/>
    <n v="1"/>
    <m/>
    <m/>
    <e v="#REF!"/>
    <s v="MoTIC"/>
    <s v="015 Ministry of Trade, Industry and Cooperatives"/>
    <s v="OWC, MAAIF"/>
  </r>
  <r>
    <x v="0"/>
    <x v="0"/>
    <s v="013"/>
    <s v="Agricultural Market Access and Competitiveness"/>
    <s v="0134"/>
    <s v="Increase market access and competitiveness of agricultural products in domestic and international markets"/>
    <s v="013402"/>
    <s v="Digitalize acquisition and distribution of agricultural market information"/>
    <s v="013402a"/>
    <s v="Develop and implement an integrated agriculture market information system"/>
    <s v="013402a03"/>
    <s v="Trade Information Portal upgraded"/>
    <s v="Operational trade information portal "/>
    <m/>
    <n v="1"/>
    <n v="1"/>
    <n v="1"/>
    <n v="1"/>
    <n v="1"/>
    <s v="MoTIC"/>
    <s v="015 Ministry of Trade, Industry and Cooperatives"/>
    <s v="Upgrade and regularly update the Trade Information Portal to support market prioritization strategies and market decision making by the industry through provision of consumer insights in specific domestic, regional and international markets"/>
    <n v="1"/>
    <n v="0"/>
    <n v="0"/>
    <n v="1"/>
    <n v="1"/>
    <n v="0"/>
    <n v="1"/>
    <n v="0"/>
    <n v="0.5"/>
    <n v="0"/>
    <n v="0"/>
    <n v="0"/>
    <n v="1"/>
    <n v="1"/>
    <m/>
    <m/>
    <e v="#REF!"/>
    <s v="MoTIC"/>
    <s v="015 Ministry of Trade, Industry and Cooperatives"/>
    <s v="MAAIF"/>
  </r>
  <r>
    <x v="0"/>
    <x v="0"/>
    <s v="013"/>
    <s v="Agricultural Market Access and Competitiveness"/>
    <s v="0134"/>
    <s v="Increase market access and competitiveness of agricultural products in domestic and international markets"/>
    <s v="013403"/>
    <s v="Improve agricultural market infrastructure in rural and urban areas"/>
    <s v="013403b"/>
    <s v="Revitalize the warehouse receipt system"/>
    <s v="013403b01"/>
    <s v="A national strategic food reserve established at the Regional Farm Service Centres"/>
    <s v="Number of relief food reservoirs at national and regional levels"/>
    <n v="0"/>
    <n v="2"/>
    <n v="2"/>
    <n v="2"/>
    <n v="1"/>
    <n v="1"/>
    <s v="OPM"/>
    <s v="003 Office of the Prime Minister"/>
    <s v="Procure, store and manage food stocks at the Regional Farm Service Centres for the national strategic food reserve"/>
    <n v="1"/>
    <n v="1"/>
    <n v="1"/>
    <n v="1"/>
    <n v="1"/>
    <n v="0"/>
    <n v="1"/>
    <n v="0"/>
    <n v="0.75"/>
    <n v="0"/>
    <n v="0"/>
    <n v="14"/>
    <n v="19"/>
    <n v="19"/>
    <n v="12"/>
    <n v="12"/>
    <n v="24"/>
    <s v="OPM (OWC)"/>
    <s v="003 Office of the Prime Minister"/>
    <s v="MoLG, MTIC,MAAIF"/>
  </r>
  <r>
    <x v="0"/>
    <x v="0"/>
    <s v="013"/>
    <s v="Agricultural Market Access and Competitiveness"/>
    <s v="0134"/>
    <s v="Increase market access and competitiveness of agricultural products in domestic and international markets"/>
    <s v="013403"/>
    <s v="Improve agricultural market infrastructure in rural and urban areas"/>
    <s v="013403b"/>
    <s v="Revitalize the warehouse receipt system"/>
    <s v="013403b02"/>
    <s v="Warehouse receipt system linked to rural supply chains, storage points and Government Institutions"/>
    <s v="Number of warehouses and storage facilities linked to the reciept system"/>
    <m/>
    <n v="0"/>
    <n v="100"/>
    <n v="100"/>
    <n v="100"/>
    <n v="100"/>
    <s v="UWRSA"/>
    <s v="010 Ministry of Agriculture, Animal &amp; Fisheries"/>
    <s v="Revitalize the warehouse receipt system; Link warehouse receipt system  to rural supply chains, storage points, Government Institutions like Police, Army, Schools and Disaster &amp; Relief Food supplies"/>
    <n v="1"/>
    <n v="1"/>
    <n v="1"/>
    <n v="1"/>
    <n v="1"/>
    <n v="1"/>
    <n v="1"/>
    <n v="1"/>
    <n v="1"/>
    <n v="0"/>
    <n v="0"/>
    <n v="3.5"/>
    <n v="0.5"/>
    <n v="0.5"/>
    <n v="0.5"/>
    <n v="1.5"/>
    <n v="2"/>
    <s v="MoTIC (UWRSA)"/>
    <s v="015 Ministry of Trade, Industry and Cooperatives"/>
    <s v="MTIC"/>
  </r>
  <r>
    <x v="0"/>
    <x v="0"/>
    <s v="013"/>
    <s v="Agricultural Market Access and Competitiveness"/>
    <s v="0134"/>
    <s v="Increase market access and competitiveness of agricultural products in domestic and international markets"/>
    <s v="013403"/>
    <s v="Improve agricultural market infrastructure in rural and urban areas"/>
    <s v="013403b"/>
    <s v="Revitalize the warehouse receipt system"/>
    <s v="013403b02"/>
    <s v="Warehouses standardised, incentivized for trading  and awareness created under the WRS and the CE"/>
    <s v="No. of Warehouses licensed as public facilities"/>
    <m/>
    <n v="0"/>
    <n v="5"/>
    <n v="10"/>
    <n v="15"/>
    <n v="20"/>
    <s v="UWRSA"/>
    <s v="010 Ministry of Agriculture, Animal &amp; Fisheries"/>
    <s v="Standardize warehouses and incentivize the use of warehouses and trading under the WRS and the UCE; Build the Capacity of Public Licensing of  Warehouses under WRS , create awareness and facilitate uptake of licenses "/>
    <n v="1"/>
    <n v="1"/>
    <n v="1"/>
    <n v="1"/>
    <n v="1"/>
    <n v="1"/>
    <n v="1"/>
    <n v="1"/>
    <n v="1"/>
    <n v="0"/>
    <n v="0"/>
    <n v="0.5"/>
    <n v="0.5"/>
    <n v="0.5"/>
    <n v="0.5"/>
    <n v="1.5"/>
    <n v="2"/>
    <s v="MoTIC (UWRSA)"/>
    <s v="015 Ministry of Trade, Industry and Cooperatives"/>
    <s v="MTIC, UNBS"/>
  </r>
  <r>
    <x v="0"/>
    <x v="0"/>
    <s v="013"/>
    <s v="Agricultural Market Access and Competitiveness"/>
    <s v="0134"/>
    <s v="Increase market access and competitiveness of agricultural products in domestic and international markets"/>
    <s v="013403"/>
    <s v="Improve agricultural market infrastructure in rural and urban areas"/>
    <s v="013403b"/>
    <s v="Revitalize the warehouse receipt system"/>
    <s v="013403b02"/>
    <s v="Warehouses standardised, incentivized for trading  and awareness created under the WRS and the CE"/>
    <s v="No of Institutions of Government procuring Warehouse Receipts for Food Security"/>
    <m/>
    <n v="0"/>
    <n v="5"/>
    <n v="10"/>
    <n v="20"/>
    <n v="50"/>
    <s v="UWRSA"/>
    <s v="010 Ministry of Agriculture, Animal &amp; Fisheries"/>
    <s v="Standardize warehouses and incentivize the use of warehouses and trading under the WRS and the UCE; Build the Capacity of Public Licensing of  Warehouses under WRS , create awareness and facilitate uptake of licenses "/>
    <n v="1"/>
    <n v="1"/>
    <n v="1"/>
    <n v="1"/>
    <n v="1"/>
    <n v="1"/>
    <n v="1"/>
    <n v="1"/>
    <n v="1"/>
    <n v="0"/>
    <n v="0"/>
    <m/>
    <m/>
    <m/>
    <m/>
    <n v="0.8"/>
    <n v="0.8"/>
    <s v="MoTIC (UWRSA)"/>
    <s v="015 Ministry of Trade, Industry and Cooperatives"/>
    <s v="MTIC, UNBS"/>
  </r>
  <r>
    <x v="0"/>
    <x v="0"/>
    <s v="013"/>
    <s v="Agricultural Market Access and Competitiveness"/>
    <s v="0134"/>
    <s v="Increase market access and competitiveness of agricultural products in domestic and international markets"/>
    <s v="013404"/>
    <s v="Improve transportation and logistics facilities for effective product  marketing and distribution"/>
    <s v="013404a"/>
    <s v="Provide incentives for the acquisition of refrigerated trucks and warehouses at boarder points and landing sites"/>
    <s v="013404a01"/>
    <s v="Incentives for acquisition of refrigerated trucks and warehouses at border points and landing sites developed"/>
    <s v="No. of incentives developed"/>
    <m/>
    <n v="0"/>
    <n v="10"/>
    <n v="10"/>
    <n v="10"/>
    <n v="11"/>
    <s v="MoTIC"/>
    <s v="015 Ministry of Trade, Industry and Cooperatives"/>
    <s v="Provide tax incentives for the private sector to deal in specialized vehicles for transportation of fresh agricultural products such as milk, beef, fish etc."/>
    <n v="1"/>
    <n v="1"/>
    <n v="0"/>
    <n v="1"/>
    <n v="1"/>
    <n v="0"/>
    <n v="1"/>
    <n v="0"/>
    <n v="0.625"/>
    <n v="0"/>
    <n v="0"/>
    <n v="0.15"/>
    <n v="0.3"/>
    <n v="0.4"/>
    <n v="0.4"/>
    <n v="0.2"/>
    <n v="0.60000000000000009"/>
    <s v="MoTIC"/>
    <s v="015 Ministry of Trade, Industry and Cooperatives"/>
    <s v="MFPED"/>
  </r>
  <r>
    <x v="0"/>
    <x v="0"/>
    <s v="013"/>
    <s v="Agricultural Market Access and Competitiveness"/>
    <s v="0134"/>
    <s v="Increase market access and competitiveness of agricultural products in domestic and international markets"/>
    <s v="013404"/>
    <s v="Improve transportation and logistics facilities for effective product  marketing and distribution"/>
    <s v="013404b"/>
    <s v="Complete the rehabilitation of the meter gauge to facilitate connectivity of agro-industries to markets"/>
    <s v="013404b01"/>
    <s v="A report and recommendations on the study into improving transportation and logistics links across the African continent"/>
    <s v="Study report"/>
    <m/>
    <n v="0"/>
    <m/>
    <m/>
    <n v="1"/>
    <m/>
    <s v="MoTIC"/>
    <s v="015 Ministry of Trade, Industry and Cooperatives"/>
    <s v="Conduct a study into, and implement recommendations for, improving transportation and logistics links across the African continent for Ugandan agribusinesses to identify opportunities to increase supply chain efficiency and reduce costs."/>
    <n v="0"/>
    <n v="0"/>
    <n v="0"/>
    <n v="0"/>
    <n v="0"/>
    <n v="0"/>
    <n v="0"/>
    <n v="0"/>
    <n v="0"/>
    <n v="0"/>
    <n v="0"/>
    <n v="0"/>
    <n v="1"/>
    <n v="1"/>
    <m/>
    <m/>
    <e v="#REF!"/>
    <s v="MoTIC"/>
    <s v="015 Ministry of Trade, Industry and Cooperatives"/>
    <s v="OW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1"/>
    <s v="Product markets for Uganda's key products mapped, profiled and market frameworks with countries of export interest negotiated"/>
    <s v="Number of product market frameworks with countries of export negotiated"/>
    <m/>
    <n v="2"/>
    <n v="5"/>
    <n v="10"/>
    <n v="5"/>
    <n v="5"/>
    <s v="UCDA"/>
    <s v="160 Uganda Coffee Development Authority"/>
    <s v="Negotiate product market deals with emerging markets and countries of export interest (regional and international); Map, profile and develop markets for Uganda's key products; Conduct enterprise development to facilitate enterprises to tap into the key markets "/>
    <n v="1"/>
    <n v="1"/>
    <n v="1"/>
    <n v="1"/>
    <n v="1"/>
    <n v="1"/>
    <n v="1"/>
    <n v="1"/>
    <n v="1"/>
    <n v="0"/>
    <n v="0"/>
    <n v="3.5"/>
    <n v="4.5"/>
    <n v="4"/>
    <n v="0.5"/>
    <n v="0.5"/>
    <n v="1"/>
    <s v="UCDA"/>
    <s v="160 Uganda Coffee Development Authority"/>
    <s v="MTIC, MoFA"/>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1"/>
    <s v="Product markets for Uganda's key products mapped, profiled and market frameworks with countries of export interest negotiated"/>
    <s v="Number of product market frameworks with countries of export negotiated"/>
    <m/>
    <n v="0"/>
    <n v="25"/>
    <n v="50"/>
    <n v="50"/>
    <n v="50"/>
    <s v="MoTIC"/>
    <s v="015 Ministry of Trade, Industry and Cooperatives"/>
    <s v="Negotiate product market deals with emerging markets and countries of export interest (regional and international); Map, profile and develop markets for Uganda's key products; Conduct enterprise development to facilitate enterprises to tap into the key markets "/>
    <n v="1"/>
    <n v="1"/>
    <n v="1"/>
    <n v="1"/>
    <n v="1"/>
    <n v="1"/>
    <n v="1"/>
    <n v="1"/>
    <n v="1"/>
    <n v="0"/>
    <n v="0"/>
    <n v="4.5"/>
    <n v="4.8"/>
    <n v="4.3"/>
    <n v="1.5"/>
    <n v="3"/>
    <n v="4.5"/>
    <s v="MoTIC"/>
    <s v="015 Ministry of Trade, Industry and Cooperatives"/>
    <s v="UCDA, MAAIF"/>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1"/>
    <s v="Product markets for Uganda's key products mapped, profiled and market frameworks with countries of export interest negotiated"/>
    <s v="Number of product  markets developed"/>
    <m/>
    <n v="0"/>
    <n v="25"/>
    <n v="50"/>
    <n v="100"/>
    <n v="200"/>
    <s v="MoTIC"/>
    <s v="015 Ministry of Trade, Industry and Cooperatives"/>
    <s v="Negotiate product market deals with emerging markets and countries of export interest (regional and international); Map, profile and develop markets for Uganda's key products; Conduct enterprise development to facilitate enterprises to tap into the key markets "/>
    <n v="1"/>
    <n v="1"/>
    <n v="1"/>
    <n v="1"/>
    <n v="1"/>
    <n v="1"/>
    <n v="1"/>
    <n v="1"/>
    <n v="1"/>
    <n v="0"/>
    <n v="0"/>
    <m/>
    <m/>
    <m/>
    <m/>
    <n v="1.5"/>
    <n v="1.5"/>
    <s v="MoTIC"/>
    <s v="015 Ministry of Trade, Industry and Cooperatives"/>
    <s v="UCDA, MAAIF"/>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2"/>
    <s v="Ugandan coffee  profiled and branded for speciality markets."/>
    <s v="Coffee brands promoted "/>
    <m/>
    <n v="50"/>
    <n v="50"/>
    <n v="50"/>
    <n v="20"/>
    <n v="50"/>
    <s v="UCDA"/>
    <s v="160 Uganda Coffee Development Authority"/>
    <s v="Collect, profile, brand and promote 250 coffee samples of sustainable and speciality coffees from farmers and cooperatives in all coffee growing regions"/>
    <n v="1"/>
    <n v="1"/>
    <n v="1"/>
    <n v="1"/>
    <n v="1"/>
    <n v="1"/>
    <n v="1"/>
    <n v="1"/>
    <n v="1"/>
    <n v="0"/>
    <n v="0"/>
    <n v="1.5"/>
    <n v="6.5"/>
    <n v="6.5"/>
    <n v="2.1"/>
    <n v="4"/>
    <n v="6.1"/>
    <s v="UCDA"/>
    <s v="160 Uganda Coffee Development Authority"/>
    <s v="MTIC, MoFA"/>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3"/>
    <s v="A system for promoting Ugandan agri-products in niche markets developed and operational"/>
    <s v="Operational Promotional system inplace"/>
    <m/>
    <n v="0"/>
    <n v="1"/>
    <n v="1"/>
    <n v="1"/>
    <n v="1"/>
    <s v="UEPB"/>
    <s v="306 Uganda Export Promotion Board"/>
    <s v="Develop and implement a system for promoting Ugandan agri-products in niche markets and to attract investments in the country’s agri-food industry particularly through enhanced consular services."/>
    <n v="1"/>
    <n v="1"/>
    <n v="1"/>
    <n v="1"/>
    <n v="1"/>
    <n v="1"/>
    <n v="1"/>
    <n v="0"/>
    <n v="0.875"/>
    <n v="0"/>
    <n v="0"/>
    <n v="0"/>
    <n v="0.3"/>
    <n v="1"/>
    <n v="0.8"/>
    <n v="1.4"/>
    <n v="2.2000000000000002"/>
    <s v="UEPB"/>
    <s v="306 Uganda Export Promotion Board"/>
    <s v="MTIC,MOFA,OWC,UCDA"/>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4"/>
    <s v="B2B joint venture partnerships facilitated"/>
    <s v="Functional joint ventures and partnerships"/>
    <m/>
    <n v="0"/>
    <n v="1"/>
    <n v="3"/>
    <n v="6"/>
    <n v="10"/>
    <s v="MoTIC"/>
    <s v="015 Ministry of Trade, Industry and Cooperatives"/>
    <s v="Facilitate B2B joint venture/partnership opportunities between Ugandan agri-SMEs and their African and global counterparts in order to enhance market access opportunities"/>
    <n v="1"/>
    <n v="1"/>
    <n v="1"/>
    <n v="1"/>
    <n v="1"/>
    <n v="1"/>
    <n v="1"/>
    <n v="0"/>
    <n v="0.875"/>
    <n v="0"/>
    <n v="0"/>
    <n v="0"/>
    <n v="1"/>
    <n v="1"/>
    <n v="1"/>
    <n v="1.8"/>
    <n v="2.8"/>
    <s v="MoTIC"/>
    <s v="015 Ministry of Trade, Industry and Cooperatives"/>
    <s v="OWC,UCDA"/>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5"/>
    <s v="A lead generation programme on the African continent established"/>
    <s v="Lead generation program in place "/>
    <m/>
    <n v="0"/>
    <m/>
    <n v="1"/>
    <n v="1"/>
    <n v="1"/>
    <s v="MoTIC"/>
    <s v="015 Ministry of Trade, Industry and Cooperatives"/>
    <s v="Establish a lead generation programme on the African continent to deliver market and business prospects for Ugandan agribusinesses "/>
    <n v="0"/>
    <n v="0"/>
    <n v="0"/>
    <n v="0"/>
    <n v="0"/>
    <n v="0"/>
    <n v="0"/>
    <n v="0"/>
    <n v="0"/>
    <n v="0"/>
    <n v="0"/>
    <n v="0"/>
    <n v="1"/>
    <n v="1"/>
    <m/>
    <m/>
    <e v="#REF!"/>
    <s v="MoTIC"/>
    <s v="015 Ministry of Trade, Industry and Cooperatives"/>
    <s v="OW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6"/>
    <s v="Strategic trade missions established"/>
    <s v="Number of new markets secured "/>
    <m/>
    <n v="0"/>
    <n v="2"/>
    <n v="4"/>
    <n v="6"/>
    <n v="10"/>
    <s v="MoTIC"/>
    <s v="015 Ministry of Trade, Industry and Cooperatives"/>
    <s v="Optimize the use of strategic trade missions to emerging markets to ensure market entry conversion"/>
    <n v="1"/>
    <n v="1"/>
    <n v="1"/>
    <n v="1"/>
    <n v="1"/>
    <n v="1"/>
    <n v="1"/>
    <n v="0"/>
    <n v="0.875"/>
    <n v="0"/>
    <n v="0"/>
    <n v="0"/>
    <n v="1"/>
    <n v="1"/>
    <n v="0.2"/>
    <n v="1"/>
    <n v="1.2"/>
    <s v="MoTIC"/>
    <s v="015 Ministry of Trade, Industry and Cooperatives"/>
    <s v="MoFA"/>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7"/>
    <s v="Support establishment of a system infrastructure (Hardware and software) for issuance and management of internationally recognized product bar code"/>
    <s v="Internationally recognised Bar code system in place and operational"/>
    <m/>
    <n v="0"/>
    <n v="1"/>
    <n v="1"/>
    <n v="1"/>
    <n v="1"/>
    <s v="MoTIC"/>
    <s v="015 Ministry of Trade, Industry and Cooperatives"/>
    <s v="A system infrastructure (Hardware and software) for issuance and management of internationally recognized product bar code established"/>
    <n v="1"/>
    <n v="1"/>
    <n v="1"/>
    <n v="1"/>
    <n v="1"/>
    <n v="1"/>
    <n v="1"/>
    <n v="1"/>
    <n v="1"/>
    <n v="0"/>
    <n v="0"/>
    <n v="0"/>
    <n v="1"/>
    <n v="3"/>
    <n v="1"/>
    <n v="1"/>
    <n v="2"/>
    <s v="MoTIC"/>
    <s v="015 Ministry of Trade, Industry and Cooperatives"/>
    <s v="UNBS"/>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8"/>
    <s v="Domestic, regional and International consumption of agro industrial products increased"/>
    <s v="Number of expos and trade shows in and outside the country carried out"/>
    <m/>
    <n v="0"/>
    <n v="15"/>
    <n v="20"/>
    <n v="25"/>
    <n v="30"/>
    <s v="UEPB"/>
    <s v="306 Uganda Export Promotion Board"/>
    <s v="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
    <n v="1"/>
    <n v="0"/>
    <n v="0"/>
    <n v="1"/>
    <n v="1"/>
    <n v="0"/>
    <n v="0"/>
    <n v="0"/>
    <n v="0.375"/>
    <n v="0"/>
    <n v="0"/>
    <n v="6.5"/>
    <n v="4.5"/>
    <n v="4.7"/>
    <m/>
    <m/>
    <e v="#REF!"/>
    <s v="UEPB"/>
    <s v="306 Uganda Export Promotion Board"/>
    <s v="MAAIF, UCDA,MTI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8"/>
    <s v="Domestic, regional and International consumption of agro industrial products increased"/>
    <s v="Number of of products with enhanced  branding, packaging and labelling systems"/>
    <m/>
    <n v="0"/>
    <n v="25"/>
    <n v="50"/>
    <n v="100"/>
    <n v="200"/>
    <s v="UEPB"/>
    <s v="306 Uganda Export Promotion Board"/>
    <s v="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
    <n v="1"/>
    <n v="0"/>
    <n v="0"/>
    <n v="1"/>
    <n v="1"/>
    <n v="0"/>
    <n v="0"/>
    <n v="0"/>
    <n v="0.375"/>
    <n v="0"/>
    <n v="0"/>
    <m/>
    <m/>
    <m/>
    <m/>
    <m/>
    <e v="#REF!"/>
    <s v="UEPB"/>
    <s v="306 Uganda Export Promotion Board"/>
    <s v="MAAIF, UCDA,MTI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8"/>
    <s v="Domestic, regional and International consumption of agro industrial products increased"/>
    <s v="Number of export countries profilled "/>
    <m/>
    <n v="0"/>
    <n v="10"/>
    <n v="20"/>
    <n v="25"/>
    <n v="30"/>
    <s v="UEPB"/>
    <s v="306 Uganda Export Promotion Board"/>
    <s v="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
    <n v="1"/>
    <n v="0"/>
    <n v="0"/>
    <n v="1"/>
    <n v="1"/>
    <n v="0"/>
    <n v="0"/>
    <n v="0"/>
    <n v="0.375"/>
    <n v="0"/>
    <n v="0"/>
    <m/>
    <m/>
    <m/>
    <m/>
    <m/>
    <e v="#REF!"/>
    <s v="UEPB"/>
    <s v="306 Uganda Export Promotion Board"/>
    <s v="MAAIF, UCDA,MTI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8"/>
    <s v="Domestic, regional and International consumption of agro industrial products increased"/>
    <s v="Number of supermarkets or retail chainslinked to farmers and producers"/>
    <m/>
    <n v="0"/>
    <n v="5"/>
    <n v="10"/>
    <n v="20"/>
    <n v="25"/>
    <s v="UEPB"/>
    <s v="306 Uganda Export Promotion Board"/>
    <s v="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
    <n v="1"/>
    <n v="0"/>
    <n v="0"/>
    <n v="1"/>
    <n v="1"/>
    <n v="0"/>
    <n v="0"/>
    <n v="0"/>
    <n v="0.375"/>
    <n v="0"/>
    <n v="0"/>
    <m/>
    <m/>
    <m/>
    <m/>
    <m/>
    <e v="#REF!"/>
    <s v="UEPB"/>
    <s v="306 Uganda Export Promotion Board"/>
    <s v="MAAIF, UCDA,MTI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diplomatic missions to promote Ugandan products abroad"/>
    <s v="013405a08"/>
    <s v="Domestic, regional and International consumption of agro industrial products increased"/>
    <s v="Number of market studies conducted       "/>
    <m/>
    <n v="0"/>
    <n v="3"/>
    <n v="3"/>
    <n v="3"/>
    <n v="4"/>
    <s v="UEPB"/>
    <s v="306 Uganda Export Promotion Board"/>
    <s v="Conduct promotional expos and trade shows in and outside the country; Conduct market studies and surveys for priority supply chains, train supply chain actors; Enhance branding, packaging and labelling of Uganda's agricultural products; Profile the key products of export interest to Uganda; Linking supermarkets or retail chains to farmers and producers  "/>
    <n v="1"/>
    <n v="0"/>
    <n v="0"/>
    <n v="1"/>
    <n v="1"/>
    <n v="0"/>
    <n v="0"/>
    <n v="0"/>
    <n v="0.375"/>
    <n v="0"/>
    <n v="0"/>
    <m/>
    <m/>
    <m/>
    <m/>
    <m/>
    <e v="#REF!"/>
    <s v="UEPB"/>
    <s v="306 Uganda Export Promotion Board"/>
    <s v="MAAIF, UCDA,MTIC"/>
  </r>
  <r>
    <x v="0"/>
    <x v="0"/>
    <s v="013"/>
    <s v="Agricultural Market Access and Competitiveness"/>
    <s v="0134"/>
    <s v="Increase market access and competitiveness of agricultural products in domestic and international markets"/>
    <s v="013405"/>
    <s v="Strengthen capacities of public institutions in analysis, negotiation and development of international market opportunities particularly for the selected commodities"/>
    <s v="013405a"/>
    <s v="Facilitate Uganda’s Bilateral engagements/ diplomatic missions to promote Ugandan products abroad"/>
    <s v="013405a09"/>
    <s v="Engage EAC &amp; other trade blocs on trade related issues"/>
    <s v="No of engagements conducted"/>
    <m/>
    <n v="4"/>
    <n v="4"/>
    <n v="4"/>
    <n v="4"/>
    <n v="10"/>
    <s v="MEACA"/>
    <s v="021 Ministry of East African Community Affairs Uganda"/>
    <s v="Facilitate Uganda’s diplomatic missions to promote Ugandan products abroad"/>
    <n v="1"/>
    <n v="1"/>
    <n v="0"/>
    <n v="1"/>
    <n v="1"/>
    <n v="1"/>
    <n v="0"/>
    <n v="0"/>
    <n v="0.625"/>
    <n v="0"/>
    <n v="0"/>
    <n v="1"/>
    <n v="1"/>
    <n v="1"/>
    <n v="0.4"/>
    <n v="1"/>
    <n v="1.4"/>
    <s v="MEACA"/>
    <s v="021 East African Community"/>
    <m/>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1"/>
    <s v="National Agricultural Finance Policy approved"/>
    <s v="National Agriculture Finance policy launched"/>
    <m/>
    <n v="0"/>
    <n v="1"/>
    <m/>
    <m/>
    <m/>
    <s v="MoFPED"/>
    <s v="008 Ministry of Finance, Planning &amp; Economic Dev."/>
    <s v="Finalize, launch and disseminate the National Agricultural Finance policy, and its implementation strategy"/>
    <n v="0"/>
    <n v="0"/>
    <n v="0"/>
    <n v="0"/>
    <n v="0"/>
    <n v="0"/>
    <n v="0"/>
    <n v="0"/>
    <n v="0"/>
    <n v="0"/>
    <n v="0"/>
    <n v="0.25"/>
    <n v="0.2"/>
    <m/>
    <m/>
    <m/>
    <e v="#REF!"/>
    <s v="MoFPED"/>
    <s v="008 Ministry of Finance, Planning &amp; Economic Dev."/>
    <s v="MAAIF, MTIC"/>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2"/>
    <s v="Agricultural finance technical support function established"/>
    <s v="Existing and functional technical support unit"/>
    <m/>
    <n v="0"/>
    <n v="1"/>
    <n v="1"/>
    <n v="1"/>
    <n v="1"/>
    <s v="MoFPED"/>
    <s v="008 Ministry of Finance, Planning &amp; Economic Dev."/>
    <s v="Establish a Technical Support Unit for Agricultural Finance within MFPED "/>
    <n v="1"/>
    <n v="0"/>
    <n v="0"/>
    <n v="1"/>
    <n v="1"/>
    <n v="0"/>
    <n v="1"/>
    <n v="0"/>
    <n v="0.5"/>
    <n v="0"/>
    <n v="0"/>
    <n v="0"/>
    <n v="1"/>
    <n v="1"/>
    <m/>
    <m/>
    <e v="#REF!"/>
    <s v="MoFPED"/>
    <s v="008 Ministry of Finance, Planning &amp; Economic Dev."/>
    <s v="MAAIF"/>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3"/>
    <s v="Regular dialogue on agricultural finance held"/>
    <s v="Frequency of  dialogue meetings on agricultural finance in mass media"/>
    <n v="0"/>
    <n v="0"/>
    <n v="2"/>
    <n v="2"/>
    <n v="2"/>
    <n v="2"/>
    <s v="MoFPED"/>
    <s v="008 Ministry of Finance, Planning &amp; Economic Dev."/>
    <s v="Facilitate regular dialogue on agricultural finance (including an Annual Agri-Finance &amp; Investment Forum, etc.)  "/>
    <n v="1"/>
    <n v="0"/>
    <n v="0"/>
    <n v="1"/>
    <n v="1"/>
    <n v="0"/>
    <n v="1"/>
    <n v="0"/>
    <n v="0.5"/>
    <n v="0"/>
    <n v="0"/>
    <n v="0"/>
    <n v="0.5"/>
    <n v="0.5"/>
    <m/>
    <m/>
    <e v="#REF!"/>
    <s v="MoFPED"/>
    <s v="008 Ministry of Finance, Planning &amp; Economic Dev."/>
    <s v="OWC, MAAIF, MTIC"/>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4"/>
    <s v="Satellite pasture drought index insurance developed"/>
    <s v="No. of pasture drought index insurance products"/>
    <m/>
    <n v="0"/>
    <m/>
    <n v="1"/>
    <n v="2"/>
    <n v="2"/>
    <s v="MoFPED"/>
    <s v="008 Ministry of Finance, Planning &amp; Economic Dev."/>
    <s v="Promote the design and delivery of a satellite pasture drought index insurance for the cattle corridor.  "/>
    <n v="1"/>
    <n v="0"/>
    <n v="1"/>
    <n v="1"/>
    <n v="1"/>
    <n v="0"/>
    <n v="1"/>
    <n v="0"/>
    <n v="0.625"/>
    <n v="0"/>
    <n v="0"/>
    <n v="0"/>
    <m/>
    <m/>
    <m/>
    <m/>
    <n v="0"/>
    <s v="MoFPED"/>
    <s v="008 Ministry of Finance, Planning &amp; Economic Dev."/>
    <s v="IRA,Uganda Insurers Association"/>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5"/>
    <s v="A National Register of accredited private sector agribusiness development services providers"/>
    <s v="Number of Extension service providers profiled and registered"/>
    <m/>
    <n v="100"/>
    <n v="100"/>
    <n v="100"/>
    <n v="100"/>
    <n v="100"/>
    <s v="MoTIC"/>
    <s v="015 Ministry of Trade, Industry and Cooperatives"/>
    <s v="Register and accredit private sector agribusiness development services providers"/>
    <n v="1"/>
    <n v="0"/>
    <n v="0"/>
    <n v="1"/>
    <n v="1"/>
    <n v="0"/>
    <n v="1"/>
    <n v="1"/>
    <n v="0.625"/>
    <n v="0"/>
    <n v="0"/>
    <n v="2"/>
    <n v="4"/>
    <n v="4"/>
    <n v="0.8"/>
    <n v="1.2"/>
    <n v="2"/>
    <s v="MoTIC"/>
    <s v="015 Ministry of Trade, Industry and Cooperatives"/>
    <s v="OWC"/>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6"/>
    <s v="Micro Insurance Regulations gazetted"/>
    <s v="Gazzete with Micro Insurance Regulations"/>
    <m/>
    <n v="0"/>
    <m/>
    <n v="1"/>
    <n v="1"/>
    <m/>
    <s v="IRA"/>
    <s v="008 Ministry of Finance, Planning &amp; Economic Dev."/>
    <s v="Issue the Micro Insurance Regulations in order to guide micro insurance in the agriculture sector."/>
    <n v="1"/>
    <n v="0"/>
    <n v="0"/>
    <n v="1"/>
    <n v="1"/>
    <n v="0"/>
    <n v="1"/>
    <n v="0"/>
    <n v="0.5"/>
    <n v="0"/>
    <n v="0"/>
    <n v="0"/>
    <m/>
    <m/>
    <m/>
    <m/>
    <e v="#REF!"/>
    <s v="MoFPED (IRA)"/>
    <s v="008 Ministry of Finance, Planning &amp; Economic Dev."/>
    <s v="MFPED"/>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7"/>
    <s v="Insurance distribution platforms established"/>
    <s v="Number of extension workers trained in dissemination ofAgricultural insurance information "/>
    <m/>
    <n v="0"/>
    <n v="500"/>
    <n v="500"/>
    <n v="500"/>
    <n v="500"/>
    <s v="MoFPED"/>
    <s v="008 Ministry of Finance, Planning &amp; Economic Dev."/>
    <s v="Invest in insurance distribution platforms as well as claim support structures for example, by developing the capacity of extension workers and OWC officer to understand and provide agriculture insurance information, mainstreaming agriculture insurance in extension messages."/>
    <n v="1"/>
    <n v="0"/>
    <n v="0"/>
    <n v="1"/>
    <n v="1"/>
    <n v="0"/>
    <n v="1"/>
    <n v="0"/>
    <n v="0.5"/>
    <n v="0"/>
    <n v="0"/>
    <n v="0"/>
    <n v="1"/>
    <n v="1"/>
    <m/>
    <m/>
    <e v="#REF!"/>
    <s v="MoFPED"/>
    <s v="008 Ministry of Finance, Planning &amp; Economic Dev."/>
    <s v="IRA,Uganda Insurers Association, OWC, MAAIF"/>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8"/>
    <s v="Area Yield Index Insurance products developed and used by farmers"/>
    <s v="No. of farmers holding an Area Yield Index Insurance  policy"/>
    <m/>
    <n v="0"/>
    <n v="10000"/>
    <n v="40000"/>
    <n v="8000"/>
    <n v="10000"/>
    <s v="MoFPED"/>
    <s v="008 Ministry of Finance, Planning &amp; Economic Dev."/>
    <s v="Develop agriculture yield databases at county level to support the Area Yield Index Insurance (AYII) project"/>
    <n v="1"/>
    <n v="1"/>
    <n v="0"/>
    <n v="0"/>
    <n v="1"/>
    <n v="1"/>
    <n v="1"/>
    <n v="0"/>
    <n v="0.625"/>
    <n v="0"/>
    <n v="0"/>
    <n v="0"/>
    <n v="1"/>
    <n v="1"/>
    <n v="0.8"/>
    <n v="1"/>
    <n v="1.8"/>
    <s v="MoFPED"/>
    <s v="008 Ministry of Finance, Planning &amp; Economic Dev."/>
    <s v="IRA,Uganda Insurers Association"/>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09"/>
    <s v="High quality micro-insurance products targeting the needs of smallholder farmers developed"/>
    <s v="Number of high quality micro-insurance products developed"/>
    <m/>
    <n v="0"/>
    <n v="1"/>
    <n v="1"/>
    <n v="1"/>
    <n v="1"/>
    <s v="MoFPED"/>
    <s v="008 Ministry of Finance, Planning &amp; Economic Dev."/>
    <s v="Support the design and scaling-up of micro insurance products in the agricultural industry and promoting the coherence between social protection and agriculture"/>
    <n v="1"/>
    <n v="1"/>
    <n v="0"/>
    <n v="0"/>
    <n v="1"/>
    <n v="1"/>
    <n v="1"/>
    <n v="0"/>
    <n v="0.625"/>
    <n v="0"/>
    <n v="0"/>
    <n v="0"/>
    <m/>
    <m/>
    <m/>
    <n v="0.95"/>
    <n v="0.95"/>
    <s v="MoFPED"/>
    <s v="008 Ministry of Finance, Planning &amp; Economic Dev."/>
    <s v="IRA,Uganda Insurers Association, OWC, MAAIF"/>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10"/>
    <s v="UDB lending capacity strengthened"/>
    <s v="Capacity assessment Report  of UDB and MSCL"/>
    <m/>
    <n v="0"/>
    <m/>
    <n v="1"/>
    <m/>
    <m/>
    <s v="MoFPED (OWC)"/>
    <s v="008 Ministry of Finance, Planning &amp; Economic Dev."/>
    <s v="Undertake an organisational capacity assessment of UDB and MSCL, identify and fill any capacity gaps in agricultural lending"/>
    <n v="0"/>
    <n v="0"/>
    <n v="0"/>
    <n v="0"/>
    <n v="0"/>
    <n v="0"/>
    <n v="0"/>
    <n v="0"/>
    <n v="0"/>
    <n v="0"/>
    <n v="0"/>
    <n v="0"/>
    <n v="1"/>
    <n v="0.5"/>
    <m/>
    <m/>
    <e v="#REF!"/>
    <s v="MoFPED (OWC)"/>
    <s v="008 Ministry of Finance, Planning &amp; Economic Dev."/>
    <s v="MoFPED, UDB"/>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11"/>
    <s v="MSCL capitalised"/>
    <s v="Value (billions UGX) of funds invested in MSCL "/>
    <m/>
    <n v="31.45"/>
    <n v="41.898092701011819"/>
    <n v="40"/>
    <n v="25"/>
    <n v="50"/>
    <s v="MoFPED"/>
    <s v="008 Ministry of Finance, Planning &amp; Economic Dev."/>
    <s v="Increase investment in MSCL to support increased development and delivery of agricultural financing products by Microfinance institutions."/>
    <n v="1"/>
    <n v="1"/>
    <n v="1"/>
    <n v="1"/>
    <n v="1"/>
    <n v="1"/>
    <n v="1"/>
    <n v="0"/>
    <n v="0.875"/>
    <n v="0"/>
    <n v="0"/>
    <n v="31.452232854253225"/>
    <n v="41.898092701011819"/>
    <n v="40"/>
    <n v="25"/>
    <n v="50"/>
    <n v="75"/>
    <s v="MoFPED"/>
    <s v="008 Ministry of Finance, Planning &amp; Economic Dev."/>
    <s v="MSCL"/>
  </r>
  <r>
    <x v="0"/>
    <x v="0"/>
    <s v="014"/>
    <s v="Agricultural Financing"/>
    <s v="0145"/>
    <s v="Increase the mobilization, equitable access and utilization of Agricultural Finance"/>
    <s v="014501"/>
    <s v="Finalize and implement the Agricultural Finance and insurance Policy"/>
    <s v="014501a"/>
    <s v="Scale up the Uganda Agriculture Insurance Scheme"/>
    <s v="014501a12"/>
    <s v="Value chain analyses &amp; business cases produced for all the priority value chains"/>
    <s v="No. of value chain analyses produced annually and  regularly updated"/>
    <m/>
    <n v="0"/>
    <n v="5"/>
    <n v="14"/>
    <n v="8"/>
    <n v="12"/>
    <s v="MAAIF (OWC)"/>
    <s v="010 Ministry of Agriculture, Animal &amp; Fisheries"/>
    <s v="Facilitate the development and regular updates of value chain analyses, as well as business cases and make these available (as a public good), in order to inform decision making by financial services providers, agricultural value chain actors and value chain supporters."/>
    <n v="1"/>
    <n v="1"/>
    <n v="1"/>
    <n v="1"/>
    <n v="1"/>
    <n v="1"/>
    <n v="1"/>
    <n v="0"/>
    <n v="0.875"/>
    <n v="0"/>
    <n v="0"/>
    <n v="0"/>
    <n v="2"/>
    <n v="5"/>
    <n v="2"/>
    <n v="4.3404255319148941"/>
    <n v="6.3404255319148941"/>
    <s v="MAAIF (OWC)"/>
    <s v="010 Ministry of Agriculture, Animal &amp; Fisheries"/>
    <s v="NPA, UDC, MAAIF, MTIC, "/>
  </r>
  <r>
    <x v="0"/>
    <x v="0"/>
    <s v="014"/>
    <s v="Agricultural Financing"/>
    <s v="0145"/>
    <s v="Increase the mobilization, equitable access and utilization of Agricultural Finance"/>
    <s v="014501"/>
    <s v="Finalize and implement the Agricultural Finance and insurance Policy"/>
    <s v="014501b"/>
    <s v="Increase the pool of funds available for agricultural lending including women, youths and rural populations"/>
    <s v="014501b01"/>
    <s v="Ugandan Diaspora mobilised to invest in the agricultural industry"/>
    <s v="Value (US$Million) of Diaspora investments mobilized and invested in the Agro-Industrialisation Programme"/>
    <m/>
    <n v="0"/>
    <n v="1"/>
    <n v="3"/>
    <n v="5"/>
    <n v="10"/>
    <s v="UIA"/>
    <s v="310 Uganda Investment Authority (UIA)"/>
    <s v="Promote initiatives that facilitate the Ugandan Diaspora to invest in specific agribusiness opportunities or projects in the country."/>
    <n v="1"/>
    <n v="1"/>
    <n v="1"/>
    <n v="1"/>
    <n v="1"/>
    <n v="1"/>
    <n v="1"/>
    <n v="0"/>
    <n v="0.875"/>
    <n v="0"/>
    <n v="0"/>
    <n v="0"/>
    <n v="1"/>
    <n v="2"/>
    <n v="1.45"/>
    <n v="1.5"/>
    <n v="2.95"/>
    <s v="UIA"/>
    <s v="310 Uganda Investment Authority (UIA)"/>
    <s v="OWC, MoFPED,CMA, BOU, MAAIF"/>
  </r>
  <r>
    <x v="0"/>
    <x v="0"/>
    <s v="014"/>
    <s v="Agricultural Financing"/>
    <s v="0145"/>
    <s v="Increase the mobilization, equitable access and utilization of Agricultural Finance"/>
    <s v="014501"/>
    <s v="Finalize and implement the Agricultural Finance and insurance Policy"/>
    <s v="014501b"/>
    <s v="Increase the pool of funds available for agricultural lending including women, youths and rural populations"/>
    <s v="014501b02"/>
    <s v="Feasibility study on the possibility of establishing a National Farmers’ Bank conducted"/>
    <s v="Feasibility study report"/>
    <m/>
    <n v="0"/>
    <m/>
    <n v="1"/>
    <m/>
    <m/>
    <s v="MoFPED (OWC)"/>
    <s v="008 Ministry of Finance, Planning &amp; Economic Dev."/>
    <s v="Conduct feasibility studies to guide the possibility of establishing a National Farmers’ Bank."/>
    <n v="1"/>
    <n v="0"/>
    <n v="1"/>
    <n v="1"/>
    <n v="1"/>
    <n v="1"/>
    <n v="1"/>
    <n v="0"/>
    <n v="0.75"/>
    <n v="0"/>
    <n v="0"/>
    <n v="0"/>
    <m/>
    <n v="1"/>
    <m/>
    <m/>
    <n v="0"/>
    <s v="MoFPED (OWC)"/>
    <s v="008 Ministry of Finance, Planning &amp; Economic Dev."/>
    <s v="NPA,MFPED"/>
  </r>
  <r>
    <x v="0"/>
    <x v="0"/>
    <s v="014"/>
    <s v="Agricultural Financing"/>
    <s v="0145"/>
    <s v="Increase the mobilization, equitable access and utilization of Agricultural Finance"/>
    <s v="014501"/>
    <s v="Finalize and implement the Agricultural Finance and insurance Policy"/>
    <s v="014501c"/>
    <s v="Revise the Agricultural credit Facility (ACF) to fund all levels of the Agriculture value chains"/>
    <s v="014501c01"/>
    <s v="Capacity of agricultural industry apex organisations to support agricultural finance development strengthened"/>
    <s v="No. of agricultural industry apex organisations supported to enhance their members’ knowledge of agriculture finance."/>
    <m/>
    <n v="0"/>
    <n v="5"/>
    <n v="10"/>
    <n v="10"/>
    <n v="20"/>
    <s v="OP (OWC)"/>
    <s v="001 Office of the President"/>
    <s v="Develop and implement an agricultural finance capacity building plan for agricultural industry apex organisations."/>
    <n v="0"/>
    <n v="0"/>
    <n v="0"/>
    <n v="0"/>
    <n v="0"/>
    <n v="0"/>
    <n v="0"/>
    <n v="0"/>
    <n v="0"/>
    <n v="0"/>
    <n v="0"/>
    <n v="0"/>
    <n v="0.5"/>
    <n v="0.5"/>
    <m/>
    <m/>
    <e v="#REF!"/>
    <s v="OP (OWC)"/>
    <s v="001 Office of the President"/>
    <s v="MFPED, MAAIF"/>
  </r>
  <r>
    <x v="0"/>
    <x v="0"/>
    <s v="014"/>
    <s v="Agricultural Financing"/>
    <s v="0145"/>
    <s v="Increase the mobilization, equitable access and utilization of Agricultural Finance"/>
    <s v="014501"/>
    <s v="Finalize and implement the Agricultural Finance and insurance Policy"/>
    <s v="014501c"/>
    <s v="Revise the Agricultural credit Facility (ACF) to fund all levels of the Agriculture value chains"/>
    <s v="014501c02"/>
    <s v="An agriculture finance technical assistance facility established under UDC"/>
    <s v="No. of farmer organisations and other small-but-growing agribusinesses supported &amp; access finance"/>
    <m/>
    <n v="0"/>
    <n v="20"/>
    <n v="35"/>
    <n v="50"/>
    <n v="50"/>
    <s v="UDC"/>
    <s v="015 Ministry of Trade, Industry and Cooperatives"/>
    <s v="Establish a technical assistance facility under UDC to provide capacity building support to farmer organisations and other small-but-growing agribusinesses in order to help them build bankable business models, as well as put in place adequate governance, accounting and operational structures that will make them attractive to financial services providers. This will help the Agro-Industrialisation  Programme build a pipeline of profitable, competitive, market oriented and sustainable agri-MSMEs which will incentivise financial services providers to increase their agricultural lending."/>
    <n v="1"/>
    <n v="0"/>
    <n v="0"/>
    <n v="1"/>
    <n v="0"/>
    <n v="1"/>
    <n v="0"/>
    <n v="0"/>
    <n v="0.375"/>
    <n v="0"/>
    <n v="0"/>
    <n v="0"/>
    <n v="3"/>
    <n v="4"/>
    <m/>
    <m/>
    <e v="#REF!"/>
    <s v="MoTIC (UDC)"/>
    <s v="015 Ministry of Trade, Industry and Cooperatives"/>
    <s v="OWC,MTIC"/>
  </r>
  <r>
    <x v="0"/>
    <x v="0"/>
    <s v="014"/>
    <s v="Agricultural Financing"/>
    <s v="0145"/>
    <s v="Increase the mobilization, equitable access and utilization of Agricultural Finance"/>
    <s v="014501"/>
    <s v="Finalize and implement the Agricultural Finance and insurance Policy"/>
    <s v="014501d"/>
    <s v="Provide incentives to financial institutions to increase agricultural lending"/>
    <s v="014501d01"/>
    <s v="Public sector agricultural finance initiatives, mechanisms and institutions streamed"/>
    <s v="Value (trillions Ugx) of loans to agriculture value chain actors from public sector  initiatives, mechanisms and institutions"/>
    <m/>
    <n v="0"/>
    <n v="2"/>
    <n v="2"/>
    <n v="2"/>
    <n v="2"/>
    <s v="OP"/>
    <s v="001 Office of the President"/>
    <s v="Rationalise, streamline and coordinate public sector initiatives, mechanisms and institutions (e.g. Postbank, UDB, Pride Microfinance, Housefinance Bank, e.t.c.) for agriculture finance in order to enable them to collectively address agricultural finance market failures through the formulation, design and implementation of a wide range of appropriate financing mechanisms, products and services specifically targeting value chain actors of all sizes (including smallholder farmers and agri-MSMEs, start-ups, youth and women)."/>
    <n v="1"/>
    <n v="0"/>
    <n v="0"/>
    <n v="0"/>
    <n v="0"/>
    <n v="0"/>
    <n v="0"/>
    <n v="0"/>
    <n v="0.125"/>
    <n v="0"/>
    <n v="0"/>
    <n v="0"/>
    <m/>
    <n v="2"/>
    <m/>
    <m/>
    <e v="#REF!"/>
    <s v="OP"/>
    <s v="001 Office of the President"/>
    <s v="OPM, MFPED, OWC,NPA"/>
  </r>
  <r>
    <x v="0"/>
    <x v="0"/>
    <s v="014"/>
    <s v="Agricultural Financing"/>
    <s v="0145"/>
    <s v="Increase the mobilization, equitable access and utilization of Agricultural Finance"/>
    <s v="014501"/>
    <s v="Finalize and implement the Agricultural Finance and insurance Policy"/>
    <s v="014501d"/>
    <s v="Provide incentives to financial institutions to increase agricultural lending"/>
    <s v="014501d02"/>
    <s v="Capacity of MDAs and agriculture industry apex organisations to support agricultural finance development strengthened"/>
    <s v="No. MDAs supported to enhance their members’ knowledge of agriculture finance."/>
    <m/>
    <n v="0"/>
    <n v="1"/>
    <n v="3"/>
    <n v="7"/>
    <n v="7"/>
    <s v="MoFPED"/>
    <s v="008 Ministry of Finance, Planning &amp; Economic Dev."/>
    <s v="Develop and implement an agricultural finance capacity building plan for government MDAs."/>
    <n v="0"/>
    <n v="0"/>
    <n v="0"/>
    <n v="0"/>
    <n v="0"/>
    <n v="0"/>
    <n v="0"/>
    <n v="0"/>
    <n v="0"/>
    <n v="0"/>
    <n v="0"/>
    <n v="0"/>
    <n v="1"/>
    <n v="1"/>
    <m/>
    <m/>
    <e v="#REF!"/>
    <s v="MoFPED"/>
    <s v="008 Ministry of Finance, Planning &amp; Economic Dev."/>
    <s v="OWC, MAAIF, MTIC,IRA"/>
  </r>
  <r>
    <x v="0"/>
    <x v="0"/>
    <s v="014"/>
    <s v="Agricultural Financing"/>
    <s v="0145"/>
    <s v="Increase the mobilization, equitable access and utilization of Agricultural Finance"/>
    <s v="014502"/>
    <s v="Review tax levies and other incentives on agricultural insurance products to encourage uptake by farmers"/>
    <m/>
    <m/>
    <s v="01450201"/>
    <s v="Comprehesive tax assessment undertaken and measures identified"/>
    <s v="Profile of  measures identified"/>
    <m/>
    <n v="0"/>
    <m/>
    <n v="1"/>
    <n v="1"/>
    <m/>
    <s v="MoFPED"/>
    <s v="008 Ministry of Finance, Planning &amp; Economic Dev."/>
    <s v="Review the tax and other incentives that stimulate the development and distribution of agriculture insurance"/>
    <n v="1"/>
    <n v="1"/>
    <n v="1"/>
    <n v="1"/>
    <n v="1"/>
    <n v="1"/>
    <n v="1"/>
    <n v="0"/>
    <n v="0.875"/>
    <n v="0"/>
    <n v="0"/>
    <n v="0"/>
    <n v="0"/>
    <n v="0"/>
    <n v="0"/>
    <n v="0.8"/>
    <n v="0.8"/>
    <s v="MoFPED"/>
    <s v="008 Ministry of Finance, Planning &amp; Economic Dev."/>
    <s v="IRA, Uganda Insurers Association"/>
  </r>
  <r>
    <x v="0"/>
    <x v="0"/>
    <s v="014"/>
    <s v="Agricultural Financing"/>
    <s v="0145"/>
    <s v="Increase the mobilization, equitable access and utilization of Agricultural Finance"/>
    <s v="014503"/>
    <s v="Facilitate organic bottom-up formation of farmer groups (including youth) and cooperatives (production, collective marketing, provision of financial services and savings mobilisation)"/>
    <s v="014503a"/>
    <s v="Review legislation aimed at supporting organic bottom up formation of farmer groups and cooperatives"/>
    <s v="014503a01"/>
    <s v="Organically grown farmers groups mobilised,registered and profiled  using the Parish Model"/>
    <s v="No. of farmers registered, profiled and have access to finance"/>
    <m/>
    <n v="0"/>
    <n v="500000"/>
    <n v="1000000"/>
    <n v="500000"/>
    <n v="500000"/>
    <s v="MAAIF (OWC)"/>
    <s v="010 Ministry of Agriculture, Animal &amp; Fisheries"/>
    <s v="Using the Parish Model, register, profile and mobilise farmers and other agri-MSMEs into organically grown groups/cooperatives (especially production and financial cooperatives) in order to allow them pool resources, support collective risk management efforts and provide a counterparty through which financial services providers may finance them. "/>
    <n v="1"/>
    <n v="1"/>
    <n v="1"/>
    <n v="1"/>
    <n v="1"/>
    <n v="1"/>
    <n v="1"/>
    <n v="0"/>
    <n v="0.875"/>
    <n v="0"/>
    <n v="0"/>
    <n v="0"/>
    <n v="20"/>
    <n v="20"/>
    <n v="0.85"/>
    <n v="0.85"/>
    <n v="1.7"/>
    <s v="MAAIF (OWC)"/>
    <s v="010 Ministry of Agriculture, Animal &amp; Fisheries"/>
    <s v="MTIC, MAAIF, UBOS, LGs"/>
  </r>
  <r>
    <x v="0"/>
    <x v="0"/>
    <s v="014"/>
    <s v="Agricultural Financing"/>
    <s v="0145"/>
    <s v="Increase the mobilization, equitable access and utilization of Agricultural Finance"/>
    <s v="014504"/>
    <s v="Strengthen existing agricultural commodity price stabilization mechanisms for commodities that are vulnerable to high price fluctuations particularly grains, cotton and dairy"/>
    <s v="014504a"/>
    <s v="Scale up the warehouse receipt system and Uganda Commodities Exchange "/>
    <s v="014504a02"/>
    <s v="Warehouse receipt system and Uganda commodities exchange strengthened "/>
    <s v="Level of functionality of the warehouse receipt system and commodities exchange "/>
    <m/>
    <m/>
    <m/>
    <m/>
    <m/>
    <m/>
    <s v="MoTIC"/>
    <s v="015 Ministry of Trade, Industry and Cooperatives"/>
    <m/>
    <n v="0"/>
    <n v="0"/>
    <n v="0"/>
    <n v="0"/>
    <n v="0"/>
    <n v="0"/>
    <n v="0"/>
    <n v="0"/>
    <n v="0"/>
    <n v="0"/>
    <n v="0"/>
    <m/>
    <m/>
    <m/>
    <m/>
    <m/>
    <e v="#REF!"/>
    <s v="MoTIC"/>
    <s v="015 Ministry of Trade, Industry and Cooperatives"/>
    <m/>
  </r>
  <r>
    <x v="0"/>
    <x v="0"/>
    <s v="014"/>
    <s v="Agricultural Financing"/>
    <s v="0145"/>
    <s v="Increase the mobilization, equitable access and utilization of Agricultural Finance"/>
    <s v="014504"/>
    <s v="Strengthen existing agricultural commodity price stabilization mechanisms for commodities that are vulnerable to high price fluctuations particularly grains, cotton and dairy"/>
    <s v="014504b"/>
    <s v="Support Uganda securities exchange (USE) to complete the development of a commodity segment to trade commodities in addition to equities and bonds"/>
    <s v="014504b01"/>
    <s v="Commodity segment developed on the Uganda securities exchange "/>
    <s v="Level of operation of the commodity segment on the Uganda commodities exchange "/>
    <m/>
    <m/>
    <m/>
    <m/>
    <m/>
    <m/>
    <s v="MoTIC"/>
    <s v="015 Ministry of Trade, Industry and Cooperatives"/>
    <m/>
    <n v="0"/>
    <n v="0"/>
    <n v="0"/>
    <n v="0"/>
    <n v="0"/>
    <n v="0"/>
    <n v="0"/>
    <n v="0"/>
    <n v="0"/>
    <n v="0"/>
    <n v="0"/>
    <m/>
    <m/>
    <m/>
    <m/>
    <m/>
    <e v="#REF!"/>
    <s v="MoTIC"/>
    <s v="015 Ministry of Trade, Industry and Cooperatives"/>
    <m/>
  </r>
  <r>
    <x v="0"/>
    <x v="0"/>
    <s v="014"/>
    <s v="Agricultural Financing"/>
    <s v="0145"/>
    <s v="Increase the mobilization, equitable access and utilization of Agricultural Finance"/>
    <s v="014505"/>
    <s v="Develop concensional long-term financing for agricultural infrastructure and capital investments"/>
    <m/>
    <m/>
    <s v="01450501"/>
    <s v="ACF and Grain Trade Facility recapitalised"/>
    <s v="Value (billions UGX) invested in ACF, and  under the Grain Trade Facility"/>
    <m/>
    <n v="114.36058711236251"/>
    <n v="47.5"/>
    <n v="63.139412887637498"/>
    <m/>
    <n v="58"/>
    <s v="MoFPED"/>
    <s v="008 Ministry of Finance, Planning &amp; Economic Dev."/>
    <s v="Recapitalise the ACF &amp; and  the Grain Trade Facility to support the agro-industrialisation agenda"/>
    <n v="1"/>
    <n v="1"/>
    <n v="1"/>
    <n v="1"/>
    <n v="1"/>
    <n v="1"/>
    <n v="1"/>
    <n v="0"/>
    <n v="0.875"/>
    <n v="0"/>
    <n v="0"/>
    <n v="112.16058711236251"/>
    <n v="45.3"/>
    <n v="60.939412887637488"/>
    <s v="-"/>
    <n v="58"/>
    <n v="58"/>
    <s v="MoFPED"/>
    <s v="008 Ministry of Finance, Planning &amp; Economic Dev."/>
    <s v="BOU"/>
  </r>
  <r>
    <x v="0"/>
    <x v="0"/>
    <s v="014"/>
    <s v="Agricultural Financing"/>
    <s v="0145"/>
    <s v="Increase the mobilization, equitable access and utilization of Agricultural Finance"/>
    <s v="014505"/>
    <s v="Develop concensional long-term financing for agricultural infrastructure and capital investments"/>
    <m/>
    <m/>
    <s v="01450502"/>
    <s v="Risk sharing facility established"/>
    <s v="No. of financial institutions providing financial services for targeted farmers and SMEs in ag value chains"/>
    <m/>
    <n v="0"/>
    <n v="20"/>
    <n v="45"/>
    <n v="75"/>
    <n v="100"/>
    <s v="MoFPED"/>
    <s v="008 Ministry of Finance, Planning &amp; Economic Dev."/>
    <s v="Establish and fund a risk sharing facility to incentivise financial institutions to lend more to agriculture. "/>
    <n v="0"/>
    <n v="0"/>
    <n v="0"/>
    <n v="0"/>
    <n v="0"/>
    <n v="0"/>
    <n v="0"/>
    <n v="0"/>
    <n v="0"/>
    <n v="0"/>
    <n v="0"/>
    <n v="50"/>
    <n v="25"/>
    <m/>
    <m/>
    <m/>
    <e v="#REF!"/>
    <s v="MoFPED (UDB)"/>
    <s v="008 Ministry of Finance, Planning &amp; Economic Dev."/>
    <s v="UDB, MFPED, OWC"/>
  </r>
  <r>
    <x v="0"/>
    <x v="0"/>
    <s v="014"/>
    <s v="Agricultural Financing"/>
    <s v="0145"/>
    <s v="Increase the mobilization, equitable access and utilization of Agricultural Finance"/>
    <s v="014506"/>
    <s v="Support women farmers to transition to agro-business, export trade, and more profitable agricultural enterprises, including skilling and financial incentives"/>
    <m/>
    <m/>
    <s v="01450601"/>
    <s v="Agribusiness incubation and accelerator programmes promoted"/>
    <s v="No. of agri-MSMEs supported through agribusiness incubation"/>
    <m/>
    <n v="0"/>
    <n v="30"/>
    <n v="70"/>
    <n v="50"/>
    <n v="110"/>
    <s v="MoTIC"/>
    <s v="015 Ministry of Trade, Industry and Cooperatives"/>
    <s v="Facilitate and invest in the scaling-up of agribusiness incubation and accelerator programmes in order to enhance the efficiency, productivity, profitability, resilience and viability of agri-based startups and early stage agri-MSMEs (especially those that are owned by the youth and women)."/>
    <n v="1"/>
    <n v="1"/>
    <n v="1"/>
    <n v="0"/>
    <n v="1"/>
    <n v="1"/>
    <n v="1"/>
    <n v="0"/>
    <n v="0.75"/>
    <n v="0"/>
    <n v="0"/>
    <n v="0"/>
    <n v="7"/>
    <n v="10"/>
    <n v="3"/>
    <n v="7.1"/>
    <n v="10.1"/>
    <s v="MoTIC"/>
    <s v="015 Ministry of Trade, Industry and Cooperatives"/>
    <s v="OWC,MOLG, MOFPED,NAADS"/>
  </r>
  <r>
    <x v="0"/>
    <x v="0"/>
    <s v="014"/>
    <s v="Agricultural Financing"/>
    <s v="0145"/>
    <s v="Increase the mobilization, equitable access and utilization of Agricultural Finance"/>
    <s v="014506"/>
    <s v="Support women farmers to transition to agro-business, export trade, and more profitable agricultural enterprises, including skilling and financial incentives"/>
    <m/>
    <m/>
    <s v="01450602"/>
    <s v="Agricultural finance related research agenda developed and implemented"/>
    <s v="No. of  agriculture finance research products published per annum"/>
    <m/>
    <n v="0"/>
    <n v="2"/>
    <n v="2"/>
    <n v="2"/>
    <n v="2"/>
    <s v="MoFPED"/>
    <s v="008 Ministry of Finance, Planning &amp; Economic Dev."/>
    <s v="Draw up and implement a short-term, medium-term and long-term research agenda for agricultural financing in Uganda with emphasis on women and youth. "/>
    <n v="0"/>
    <n v="0"/>
    <n v="0"/>
    <n v="0"/>
    <n v="0"/>
    <n v="0"/>
    <n v="0"/>
    <n v="0"/>
    <n v="0"/>
    <n v="0"/>
    <n v="0"/>
    <n v="0"/>
    <n v="1"/>
    <n v="1"/>
    <m/>
    <m/>
    <e v="#REF!"/>
    <s v="MoFPED"/>
    <s v="008 Ministry of Finance, Planning &amp; Economic Dev."/>
    <s v="MAAIF, OWC,MOLG, IRA, UBOS, EPRC"/>
  </r>
  <r>
    <x v="0"/>
    <x v="0"/>
    <s v="014"/>
    <s v="Agricultural Financing"/>
    <s v="0145"/>
    <s v="Increase the mobilization, equitable access and utilization of Agricultural Finance"/>
    <s v="014506"/>
    <s v="Support women farmers to transition to agro-business, export trade, and more profitable agricultural enterprises, including skilling and financial incentives"/>
    <m/>
    <m/>
    <s v="01450603"/>
    <s v="Financial education and awareness on agfinance created"/>
    <s v="No. of call centres established  "/>
    <m/>
    <n v="0"/>
    <n v="1"/>
    <n v="2"/>
    <n v="2"/>
    <n v="2"/>
    <s v="MoFPED"/>
    <s v="008 Ministry of Finance, Planning &amp; Economic Dev."/>
    <s v="in line with the National Financial Literacy Strategy 2019, expand investments in financial education and awareness creation, to bolster financial capability  as well as consumer protection especially for women and youth operating along the agricultural value chains."/>
    <n v="0"/>
    <n v="0"/>
    <n v="0"/>
    <n v="0"/>
    <n v="0"/>
    <n v="0"/>
    <n v="0"/>
    <n v="0"/>
    <n v="0"/>
    <n v="0"/>
    <n v="0"/>
    <n v="0"/>
    <n v="2"/>
    <n v="4"/>
    <m/>
    <m/>
    <e v="#REF!"/>
    <s v="MoFPED"/>
    <s v="008 Ministry of Finance, Planning &amp; Economic Dev."/>
    <s v="BOU OWC,MOLG, MTIC, UMRA, IRA"/>
  </r>
  <r>
    <x v="0"/>
    <x v="0"/>
    <s v="014"/>
    <s v="Agricultural Financing"/>
    <s v="0145"/>
    <s v="Increase the mobilization, equitable access and utilization of Agricultural Finance"/>
    <s v="014506"/>
    <s v="Support women farmers to transition to agro-business, export trade, and more profitable agricultural enterprises, including skilling and financial incentives"/>
    <m/>
    <s v="conduct cross- Boarder sensitisations of women farmers to transition to agro-business, export trade, and more profitable agricultural enterprises, including skilling and financial incentives"/>
    <s v="01450604"/>
    <s v="Enhanced agro-business, export trade, and more profitable agricultural enterprises."/>
    <s v="Number of sensitisation engagements with women traders"/>
    <m/>
    <n v="6"/>
    <n v="6"/>
    <n v="6"/>
    <n v="6"/>
    <n v="10"/>
    <s v="MEACA"/>
    <s v="021 Ministry of East African Community Affairs Uganda"/>
    <s v="Conduct sensitisation meetings with women to promote agro-business, export trade, and more profitable agricultural enterprises."/>
    <n v="1"/>
    <n v="0"/>
    <n v="1"/>
    <n v="1"/>
    <n v="1"/>
    <n v="0"/>
    <n v="1"/>
    <n v="0"/>
    <n v="0.625"/>
    <n v="0"/>
    <n v="0"/>
    <n v="2.2000000000000002"/>
    <n v="2.2000000000000002"/>
    <n v="2.2000000000000002"/>
    <n v="0.6"/>
    <n v="1"/>
    <n v="1.6"/>
    <s v="MEACA"/>
    <s v="021 East African Community"/>
    <m/>
  </r>
  <r>
    <x v="0"/>
    <x v="0"/>
    <s v="015"/>
    <s v="Institutional strengthening and coordination"/>
    <s v="0156"/>
    <s v="Strengthen Institutional Coordination for Improved Service Delivery"/>
    <s v="015601"/>
    <s v="Strengthen linkages between public and private sector in Agro-industry"/>
    <s v="015601a"/>
    <s v="Strengthen public private partnership models in agro-industrialization"/>
    <s v="015601a01"/>
    <s v="Pipeline of agri-PPP bankable projects developed"/>
    <s v="No. of bankable projects developed and promoted "/>
    <m/>
    <n v="0"/>
    <n v="5"/>
    <n v="5"/>
    <n v="5"/>
    <n v="5"/>
    <s v="MAAIF"/>
    <s v="010 Ministry of Agriculture, Animal &amp; Fisheries"/>
    <s v="Develop and promote a pipeline of agri-PPP bankable projects  and promote these globally."/>
    <n v="1"/>
    <n v="0"/>
    <n v="1"/>
    <n v="1"/>
    <n v="1"/>
    <n v="0"/>
    <n v="0"/>
    <n v="0"/>
    <n v="0.5"/>
    <n v="0"/>
    <n v="0"/>
    <n v="0"/>
    <n v="5"/>
    <n v="5"/>
    <m/>
    <m/>
    <e v="#REF!"/>
    <s v="MAAIF"/>
    <s v="010 Ministry of Agriculture, Animal &amp; Fisheries"/>
    <s v="UDC, NPA,UIA, MFPED,OWC,MTIC"/>
  </r>
  <r>
    <x v="0"/>
    <x v="0"/>
    <s v="015"/>
    <s v="Institutional strengthening and coordination"/>
    <s v="0156"/>
    <s v="Strengthen Institutional Coordination for Improved Service Delivery"/>
    <s v="015602"/>
    <s v="Strengthen coordination of public institutions in design and implementation of policies including access to quality food and food security"/>
    <m/>
    <m/>
    <s v="01560201"/>
    <s v="A digital job centre established"/>
    <s v="Digital Job centre established and operational"/>
    <m/>
    <n v="0"/>
    <n v="1"/>
    <n v="1"/>
    <n v="1"/>
    <n v="1"/>
    <s v="MoICT&amp;NG (OWC)"/>
    <s v="020 Ministry of ICT and National Guidance"/>
    <s v="Using the Parish Model, establish and operate a digital platform (job centre) to link labour to available job &amp; wealth creation opportunities across the agricultural value chain"/>
    <n v="1"/>
    <n v="1"/>
    <n v="1"/>
    <n v="1"/>
    <n v="1"/>
    <n v="1"/>
    <n v="1"/>
    <n v="0"/>
    <n v="0.875"/>
    <n v="0"/>
    <n v="0"/>
    <n v="0"/>
    <n v="7"/>
    <n v="5"/>
    <n v="2"/>
    <n v="3"/>
    <n v="5"/>
    <s v="MoICT&amp;NG (OWC)"/>
    <s v="020 Ministry of ICT and National Guidance"/>
    <s v="MTIC, MoICT&amp;NG, MAAIF, LGs,MoLGSD"/>
  </r>
  <r>
    <x v="0"/>
    <x v="0"/>
    <s v="015"/>
    <s v="Institutional strengthening and coordination"/>
    <s v="0156"/>
    <s v="Strengthen Institutional Coordination for Improved Service Delivery"/>
    <s v="015602"/>
    <s v="Strengthen coordination of public institutions in design and implementation of policies including access to quality food and food security"/>
    <m/>
    <m/>
    <s v="01560202"/>
    <s v="Regular collection and disemination of agriculture data undertaken"/>
    <s v="A functional Agriculture management information system"/>
    <m/>
    <n v="0"/>
    <n v="1"/>
    <n v="1"/>
    <n v="1"/>
    <n v="1"/>
    <s v="MAAIF (OWC)"/>
    <s v="010 Ministry of Agriculture, Animal &amp; Fisheries"/>
    <s v="Using the Parish Model, invest in the regular collection, analysis, auditing and management of agricultural finance industry relevant data up to a parish level and make this widely available to support the development of relevant, scalable, accurate and accessible agricultural finance products."/>
    <n v="1"/>
    <n v="1"/>
    <n v="1"/>
    <n v="1"/>
    <n v="1"/>
    <n v="0"/>
    <n v="1"/>
    <n v="0"/>
    <n v="0.75"/>
    <n v="0"/>
    <n v="0"/>
    <n v="0"/>
    <n v="15"/>
    <n v="10"/>
    <n v="5"/>
    <n v="15"/>
    <n v="20"/>
    <s v="MAAIF (OWC)"/>
    <s v="010 Ministry of Agriculture, Animal &amp; Fisheries"/>
    <s v="MTIC, MoICT&amp;NG, MAAIF, UBOS, MOLG,EPRC, MFPED,LGs"/>
  </r>
  <r>
    <x v="0"/>
    <x v="0"/>
    <s v="015"/>
    <s v="Institutional strengthening and coordination"/>
    <s v="0156"/>
    <s v="Strengthen Institutional Coordination for Improved Service Delivery"/>
    <s v="015602"/>
    <s v="Strengthen coordination of public institutions in design and implementation of policies including access to quality food and food security"/>
    <m/>
    <m/>
    <s v="01560202"/>
    <s v="Regular collection and disemination of agriculture data undertaken"/>
    <s v="Administrative Agriculture data collection system rolled out country wide"/>
    <m/>
    <n v="0"/>
    <n v="1"/>
    <n v="1"/>
    <n v="1"/>
    <n v="1"/>
    <s v="MAAIF (OWC)"/>
    <s v="010 Ministry of Agriculture, Animal &amp; Fisheries"/>
    <s v="Using the Parish Model, invest in the regular collection, analysis, auditing and management of agricultural finance industry relevant data up to a parish level and make this widely available to support the development of relevant, scalable, accurate and accessible agricultural finance products."/>
    <n v="1"/>
    <n v="1"/>
    <n v="1"/>
    <n v="1"/>
    <n v="1"/>
    <n v="0"/>
    <n v="1"/>
    <n v="0"/>
    <n v="0.75"/>
    <n v="0"/>
    <n v="0"/>
    <m/>
    <m/>
    <m/>
    <m/>
    <n v="9"/>
    <n v="9"/>
    <s v="MAAIF (OWC)"/>
    <s v="010 Ministry of Agriculture, Animal &amp; Fisheries"/>
    <s v="MTIC, MoICT&amp;NG, MAAIF, UBOS, MOLG,EPRC, MFPED,LGs"/>
  </r>
  <r>
    <x v="0"/>
    <x v="0"/>
    <s v="015"/>
    <s v="Institutional strengthening and coordination"/>
    <s v="0156"/>
    <s v="Strengthen Institutional Coordination for Improved Service Delivery"/>
    <s v="015602"/>
    <s v="Strengthen coordination of public institutions in design and implementation of policies including access to quality food and food security"/>
    <m/>
    <m/>
    <s v="01560202"/>
    <s v="Regular collection and disemination of agriculture data undertaken"/>
    <s v="Number of district local government with statisticians responsible for agriculture statistics"/>
    <m/>
    <n v="0"/>
    <n v="30"/>
    <n v="30"/>
    <n v="30"/>
    <m/>
    <s v="MAAIF (OWC)"/>
    <s v="010 Ministry of Agriculture, Animal &amp; Fisheries"/>
    <s v="Using the Parish Model, invest in the regular collection, analysis, auditing and management of agricultural finance industry relevant data up to a parish level and make this widely available to support the development of relevant, scalable, accurate and accessible agricultural finance products."/>
    <n v="1"/>
    <n v="1"/>
    <n v="1"/>
    <n v="1"/>
    <n v="1"/>
    <n v="0"/>
    <n v="1"/>
    <n v="0"/>
    <n v="0.75"/>
    <n v="0"/>
    <n v="0"/>
    <m/>
    <m/>
    <m/>
    <m/>
    <m/>
    <n v="0"/>
    <s v="MAAIF (OWC)"/>
    <s v="010 Ministry of Agriculture, Animal &amp; Fisheries"/>
    <s v="MTIC, MoICT&amp;NG, MAAIF, UBOS, MOLG,EPRC, MFPED,LGs"/>
  </r>
  <r>
    <x v="1"/>
    <x v="1"/>
    <s v="15X"/>
    <s v="Government Commitments"/>
    <s v="15X"/>
    <s v="Provision for Government Commitments"/>
    <s v="15X"/>
    <s v="Government Commitments"/>
    <m/>
    <m/>
    <s v="15X"/>
    <s v="Government Commitments"/>
    <s v="-"/>
    <s v="-"/>
    <s v="-"/>
    <s v="-"/>
    <s v="-"/>
    <s v="-"/>
    <s v="-"/>
    <s v="-"/>
    <s v="-"/>
    <s v="Wage"/>
    <m/>
    <m/>
    <m/>
    <m/>
    <m/>
    <m/>
    <m/>
    <m/>
    <m/>
    <m/>
    <m/>
    <m/>
    <m/>
    <m/>
    <n v="4.0999999999999996"/>
    <n v="4.0999999999999996"/>
    <n v="8.1999999999999993"/>
    <m/>
    <m/>
    <m/>
  </r>
  <r>
    <x v="1"/>
    <x v="1"/>
    <s v="15X"/>
    <s v="Government Commitments"/>
    <s v="15X"/>
    <s v="Provision for Government Commitments"/>
    <s v="15X"/>
    <s v="Government Commitments"/>
    <m/>
    <m/>
    <s v="15X"/>
    <s v="Government Commitments"/>
    <s v="-"/>
    <s v="-"/>
    <s v="-"/>
    <s v="-"/>
    <s v="-"/>
    <s v="-"/>
    <s v="-"/>
    <s v="-"/>
    <s v="-"/>
    <s v="Non-Wage (Statutory)"/>
    <m/>
    <m/>
    <m/>
    <m/>
    <m/>
    <m/>
    <m/>
    <m/>
    <m/>
    <m/>
    <m/>
    <m/>
    <m/>
    <m/>
    <n v="1.64"/>
    <n v="1.64"/>
    <n v="3.28"/>
    <m/>
    <m/>
    <m/>
  </r>
  <r>
    <x v="1"/>
    <x v="1"/>
    <s v="15X"/>
    <s v="Government Commitments"/>
    <s v="15X"/>
    <s v="Provision for Government Commitments"/>
    <s v="15X"/>
    <s v="Government Commitments"/>
    <m/>
    <m/>
    <s v="15X"/>
    <s v="Government Commitments"/>
    <s v="-"/>
    <s v="-"/>
    <s v="-"/>
    <s v="-"/>
    <s v="-"/>
    <s v="-"/>
    <s v="-"/>
    <s v="-"/>
    <s v="-"/>
    <s v="Multi-Year Commitments"/>
    <m/>
    <m/>
    <m/>
    <m/>
    <m/>
    <m/>
    <m/>
    <m/>
    <m/>
    <m/>
    <m/>
    <m/>
    <m/>
    <m/>
    <n v="8.7322601160000008"/>
    <n v="10.678712139"/>
    <n v="19.410972255000001"/>
    <m/>
    <m/>
    <m/>
  </r>
  <r>
    <x v="1"/>
    <x v="1"/>
    <s v="151"/>
    <s v="Community sensitization and empowerment"/>
    <s v="1511"/>
    <s v="Enhance effective mobilization of families, communities and citizens for national development"/>
    <s v="151101"/>
    <s v="Review and implement a Comprehensive Community Mobilization Strategy"/>
    <s v="151101a"/>
    <s v="Prepare a Community Mobilization and Empowerment (CME) Coordination Framework"/>
    <s v="151101a01"/>
    <s v="CME Strategy reviewed and operatonalised  "/>
    <s v="A reviewed CME strategy in place"/>
    <n v="0"/>
    <n v="1"/>
    <s v="-"/>
    <s v="-"/>
    <s v="-"/>
    <s v="-"/>
    <s v="MOGLSD, MoH, MOES, OP, MWE, OWC, MICT&amp;NG"/>
    <e v="#N/A"/>
    <s v="Review and disseminate Community Mobilisation and Empowerment (CME) Strategy"/>
    <n v="1"/>
    <n v="0"/>
    <n v="0"/>
    <n v="1"/>
    <n v="1"/>
    <n v="1"/>
    <n v="1"/>
    <n v="0"/>
    <n v="0.625"/>
    <n v="0"/>
    <n v="0"/>
    <n v="0.1"/>
    <n v="0.1"/>
    <n v="0.03"/>
    <n v="0"/>
    <m/>
    <n v="0"/>
    <s v="MoGLSD"/>
    <s v="018 Ministry of Gender, Labour and Social Development"/>
    <s v="MoH, MOES, OP, MWE, OWC, MICT&amp;NG"/>
  </r>
  <r>
    <x v="1"/>
    <x v="1"/>
    <s v="151"/>
    <s v="Community sensitization and empowerment"/>
    <s v="1511"/>
    <s v="Enhance effective mobilization of families, communities and citizens for national development"/>
    <s v="151101"/>
    <s v="Review and implement a Comprehensive Community Mobilization Strategy"/>
    <s v="151101a"/>
    <s v="Prepare a Community Mobilization and Empowerment (CME) Coordination Framework"/>
    <s v="151101a02"/>
    <s v="CME coordination mechanism developed"/>
    <s v="CME coordination mechanism in place"/>
    <n v="0"/>
    <n v="0"/>
    <n v="1"/>
    <s v="-"/>
    <n v="1"/>
    <n v="1"/>
    <s v="MOGLSD, MoH, MOES, OP, MWE, OWC, MICT&amp;NG"/>
    <e v="#N/A"/>
    <s v="Capacity building  on the CME Strategy for National and LG staff (Agric Extension, Vet Officers, Health Inspectors, CDOs, Commercial Officers, Educ officers, Supervisors of Works, OWC staff, etc)"/>
    <n v="1"/>
    <n v="0"/>
    <n v="0"/>
    <n v="1"/>
    <n v="1"/>
    <n v="1"/>
    <n v="1"/>
    <n v="1"/>
    <n v="0.75"/>
    <n v="0"/>
    <n v="0"/>
    <n v="0.91"/>
    <n v="0.91"/>
    <n v="0.91"/>
    <n v="0.51"/>
    <n v="0.51"/>
    <n v="1.02"/>
    <s v="MoGLSD"/>
    <s v="018 Ministry of Gender, Labour and Social Development"/>
    <s v="MoH, MOES, OP, MWE, OWC, MICT&amp;NG, MODVA"/>
  </r>
  <r>
    <x v="1"/>
    <x v="1"/>
    <s v="151"/>
    <s v="Community sensitization and empowerment"/>
    <s v="1511"/>
    <s v="Enhance effective mobilization of families, communities and citizens for national development"/>
    <s v="151101"/>
    <s v="Review and implement a Comprehensive Community Mobilization Strategy"/>
    <s v="151101a"/>
    <s v="Prepare a Community Mobilization and Empowerment (CME) Coordination Framework"/>
    <s v="151101a03"/>
    <s v="CME multi-sectoral taskforce constituted and operationalised"/>
    <s v="No. of CME joint monitoring reports produced"/>
    <n v="0"/>
    <n v="4"/>
    <n v="4"/>
    <n v="4"/>
    <n v="4"/>
    <n v="4"/>
    <s v="MOGLSD, MOH, MOES, OP, MWE, OWC, MICT&amp;NG"/>
    <e v="#N/A"/>
    <s v="Constitute and operationalise the multi-sectoral taskforce  for CME"/>
    <n v="0"/>
    <n v="0"/>
    <n v="0"/>
    <n v="0"/>
    <n v="0"/>
    <n v="0"/>
    <n v="0"/>
    <n v="0"/>
    <n v="0"/>
    <n v="0"/>
    <n v="0"/>
    <n v="0"/>
    <n v="0"/>
    <n v="0"/>
    <n v="0"/>
    <n v="0"/>
    <n v="0"/>
    <s v="MoGLSD"/>
    <s v="018 Ministry of Gender, Labour and Social Development"/>
    <s v="MoH, MOES, OP, MWE, OWC, MICT&amp;NG"/>
  </r>
  <r>
    <x v="1"/>
    <x v="1"/>
    <s v="151"/>
    <s v="Community sensitization and empowerment"/>
    <s v="1511"/>
    <s v="Enhance effective mobilization of families, communities and citizens for national development"/>
    <s v="151101"/>
    <s v="Review and implement a Comprehensive Community Mobilization Strategy"/>
    <s v="151101b"/>
    <s v="Design and implement activities aimed at promoting awareness and participation in existing government Programs"/>
    <s v="151101b01"/>
    <s v="Sensitization and mobilisation programmes undertaken"/>
    <s v="No. of Community Development Initiatives (CDIs)developed and disseminated"/>
    <n v="2"/>
    <n v="2"/>
    <n v="2"/>
    <n v="2"/>
    <n v="2"/>
    <n v="2"/>
    <s v="MoGLSD, ICT&amp;NG, MoLG"/>
    <e v="#N/A"/>
    <s v="Using the Parish Model design and implement activities aimed at promoting awareness and participation in existing government programmes. This includes disseminating govt policies, strategies &amp; guidelines (health, education, water, energy, infrastructure, social development) "/>
    <n v="1"/>
    <n v="0"/>
    <n v="0"/>
    <n v="1"/>
    <n v="1"/>
    <n v="1"/>
    <n v="1"/>
    <n v="1"/>
    <n v="0.75"/>
    <n v="1"/>
    <n v="0"/>
    <n v="32.39"/>
    <n v="32.39"/>
    <n v="32.39"/>
    <n v="13"/>
    <n v="13"/>
    <n v="26"/>
    <s v="LGs"/>
    <s v="500 501-850 Local Governments"/>
    <s v="MGLSD, MoH, MOES, OP, MWE, OWC, LGs, media"/>
  </r>
  <r>
    <x v="1"/>
    <x v="1"/>
    <s v="151"/>
    <s v="Community sensitization and empowerment"/>
    <s v="1511"/>
    <s v="Enhance effective mobilization of families, communities and citizens for national development"/>
    <s v="151101"/>
    <s v="Review and implement a Comprehensive Community Mobilization Strategy"/>
    <s v="151101b"/>
    <s v="Design and implement activities aimed at promoting awareness and participation in existing government Programs"/>
    <s v="151101b01"/>
    <s v="Sensitization and mobilisation programmes undertaken"/>
    <s v="Community awareness levels on existing government programmes"/>
    <n v="0"/>
    <n v="50"/>
    <n v="60"/>
    <n v="70"/>
    <n v="80"/>
    <n v="90"/>
    <s v="MGLSD"/>
    <e v="#N/A"/>
    <s v="Develop and implement a National Communication Strategy on socio-economic development. This includes communicating laws, policies, strategies, guidelines, initiatives."/>
    <n v="1"/>
    <n v="0"/>
    <n v="0"/>
    <n v="1"/>
    <n v="1"/>
    <n v="1"/>
    <n v="1"/>
    <n v="1"/>
    <n v="0.75"/>
    <n v="0"/>
    <n v="0"/>
    <n v="10"/>
    <n v="10"/>
    <n v="15"/>
    <n v="0.5"/>
    <n v="0.5"/>
    <n v="1"/>
    <s v="MoICT&amp;NG"/>
    <s v="020 Ministry of ICT and National Guidance"/>
    <s v="MGLSD, MoH, MOES, OP, MWE, OWC, LGs,"/>
  </r>
  <r>
    <x v="1"/>
    <x v="1"/>
    <s v="151"/>
    <s v="Community sensitization and empowerment"/>
    <s v="1511"/>
    <s v="Enhance effective mobilization of families, communities and citizens for national development"/>
    <s v="151101"/>
    <s v="Review and implement a Comprehensive Community Mobilization Strategy"/>
    <s v="151101b"/>
    <s v="Design and implement activities aimed at promoting awareness and participation in existing government Programs"/>
    <s v="151101b01"/>
    <s v="Sensitization and mobilisation programmes undertaken"/>
    <s v="Number of public awareness campaigns"/>
    <n v="0"/>
    <n v="4"/>
    <n v="4"/>
    <n v="4"/>
    <n v="4"/>
    <n v="4"/>
    <s v="LGs/ CBS, MGLSD, MoH, MOES, OP, MWE, OWC"/>
    <e v="#N/A"/>
    <m/>
    <m/>
    <m/>
    <m/>
    <m/>
    <m/>
    <m/>
    <n v="0"/>
    <n v="0"/>
    <n v="0"/>
    <m/>
    <n v="0"/>
    <m/>
    <m/>
    <m/>
    <m/>
    <m/>
    <n v="0"/>
    <m/>
    <m/>
    <m/>
  </r>
  <r>
    <x v="1"/>
    <x v="1"/>
    <s v="151"/>
    <s v="Community sensitization and empowerment"/>
    <s v="1511"/>
    <s v="Enhance effective mobilization of families, communities and citizens for national development"/>
    <s v="151101"/>
    <s v="Review and implement a Comprehensive Community Mobilization Strategy"/>
    <s v="151101c"/>
    <s v="Establish feedback mechanism to capture public views on Government performance and enhance citizen participation in the development process"/>
    <s v="151101c01"/>
    <s v="Citizens feedback foras organsized (Community Barazas)"/>
    <s v="Number of districts covered on the Baraza initiative"/>
    <n v="30"/>
    <n v="35"/>
    <n v="40"/>
    <n v="45"/>
    <n v="30"/>
    <n v="30"/>
    <s v="OPM"/>
    <s v="003 Office of the Prime Minister"/>
    <s v="Establish feedback mechanism to capture public views on Government performance and enhance citizen participation in the development process"/>
    <n v="1"/>
    <n v="0"/>
    <n v="0"/>
    <n v="1"/>
    <n v="1"/>
    <n v="1"/>
    <n v="1"/>
    <n v="1"/>
    <n v="0.75"/>
    <n v="0"/>
    <n v="0"/>
    <n v="0.13"/>
    <n v="0.13"/>
    <n v="0.13"/>
    <n v="0.1"/>
    <n v="0.1"/>
    <n v="0.2"/>
    <s v="MoICT&amp;NG"/>
    <s v="020 Ministry of ICT and National Guidance"/>
    <s v="MGLSD, MoH, MOES, OP, MWE, OWC, LGs,"/>
  </r>
  <r>
    <x v="1"/>
    <x v="1"/>
    <s v="151"/>
    <s v="Community sensitization and empowerment"/>
    <s v="1511"/>
    <s v="Enhance effective mobilization of families, communities and citizens for national development"/>
    <s v="151101"/>
    <s v="Review and implement a Comprehensive Community Mobilization Strategy"/>
    <s v="151101d"/>
    <s v="Identify transformational youth champions per district to create a critical mass required to effect mind-set change in country"/>
    <s v="151101d01"/>
    <s v="Transformational youth champions per district identified"/>
    <s v="No. of transformational youth champions per district identified "/>
    <n v="0"/>
    <n v="1370"/>
    <n v="1370"/>
    <n v="1370"/>
    <n v="1370"/>
    <n v="1370"/>
    <s v="MoGLSD"/>
    <s v="018 Ministry of Gender, Labour and Social Development"/>
    <s v="Identify and partner with socio-economic change agents per district to power the national development &amp; transformation agenda. In addition promote peer to peer conversations which includes sharing lessons based on social norms, culture, religion etc,"/>
    <m/>
    <m/>
    <m/>
    <m/>
    <m/>
    <m/>
    <n v="0"/>
    <n v="0"/>
    <n v="0"/>
    <m/>
    <n v="0"/>
    <n v="4.66"/>
    <n v="4.58"/>
    <n v="4.41"/>
    <n v="0"/>
    <n v="0"/>
    <n v="0"/>
    <s v="MoGLSD"/>
    <s v="018 Ministry of Gender, Labour and Social Development"/>
    <s v="MoH, MOES, OP, MWE, OWC, LGs,"/>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1"/>
    <s v="National Civic Education Program awareness campaigns conducted  "/>
    <s v="Number of Civic Education programmes conducted  "/>
    <n v="0"/>
    <n v="3"/>
    <n v="8"/>
    <n v="15"/>
    <n v="20"/>
    <n v="25"/>
    <s v="MoICT&amp;NG"/>
    <s v="020 Ministry of ICT and National Guidance"/>
    <s v="Develop &amp; implement the  Civic Education program                                                                   "/>
    <m/>
    <m/>
    <m/>
    <m/>
    <m/>
    <m/>
    <n v="0"/>
    <n v="0"/>
    <n v="0"/>
    <m/>
    <n v="0"/>
    <n v="0.2"/>
    <n v="0.2"/>
    <n v="0.2"/>
    <n v="0"/>
    <n v="0"/>
    <n v="0"/>
    <s v="MoICT&amp;NG"/>
    <s v="020 Ministry of ICT and National Guidance"/>
    <s v="EC, EOC, MGLSD, MOES, LGs,OWC"/>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2"/>
    <s v="Public awareness campaign created on equal opportunities"/>
    <s v="Number of dialogues conducted"/>
    <n v="0"/>
    <m/>
    <m/>
    <m/>
    <n v="20"/>
    <n v="20"/>
    <s v="EOC"/>
    <s v="124 Equal Opportunities Commission"/>
    <s v="Conduct public awareness campaigns (including dialogues/debates) on the need to promote equal opportunities for inclusive development "/>
    <n v="1"/>
    <n v="0"/>
    <n v="0"/>
    <n v="1"/>
    <n v="1"/>
    <n v="1"/>
    <n v="1"/>
    <n v="1"/>
    <n v="0.75"/>
    <n v="0"/>
    <n v="0"/>
    <n v="1.27"/>
    <n v="1.27"/>
    <n v="1.27"/>
    <n v="1.27"/>
    <n v="1.27"/>
    <n v="2.54"/>
    <s v="EOC"/>
    <s v="124 Equal Opportunities Commission"/>
    <s v="MICT&amp;NG, MGLSD,LGs"/>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3"/>
    <s v="State and non-State actors  mobilised for positive response towards the needs and interests of marginalised/vulnerable individuals and groups"/>
    <m/>
    <n v="0"/>
    <n v="17"/>
    <n v="17"/>
    <n v="17"/>
    <n v="17"/>
    <n v="17"/>
    <s v="EOC"/>
    <s v="124 Equal Opportunities Commission"/>
    <s v="Organise  dialogues/debates to mobilise state and non-state actors  for positive response towards the needs and interests of marginalised/vulnerable individuals and groups"/>
    <n v="0"/>
    <n v="0"/>
    <n v="0"/>
    <n v="0"/>
    <n v="0"/>
    <n v="0"/>
    <n v="0"/>
    <n v="0"/>
    <n v="0"/>
    <n v="0"/>
    <n v="0"/>
    <n v="0"/>
    <n v="0"/>
    <n v="0"/>
    <n v="0"/>
    <n v="0"/>
    <n v="0"/>
    <s v="EOC"/>
    <s v="124 Equal Opportunities Commission"/>
    <s v="MGLDS, LGs, MoFPED"/>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4"/>
    <s v="TV &amp; Radio programmes broadcasted"/>
    <s v="No. of programmes broadcast"/>
    <n v="0"/>
    <n v="13"/>
    <n v="13"/>
    <n v="13"/>
    <n v="13"/>
    <n v="13"/>
    <s v="MICT&amp;NG (UBC)"/>
    <e v="#N/A"/>
    <s v="Strengthen capacity UBC to compete at national, regional and international level and to deliver government Programmes. "/>
    <n v="1"/>
    <n v="0"/>
    <n v="0"/>
    <n v="1"/>
    <n v="1"/>
    <n v="1"/>
    <n v="1"/>
    <n v="1"/>
    <n v="0.75"/>
    <n v="0"/>
    <n v="0"/>
    <n v="4"/>
    <n v="20"/>
    <n v="20"/>
    <n v="10"/>
    <n v="10"/>
    <n v="20"/>
    <s v="MoICT&amp;NG (UBC)"/>
    <s v="020 Ministry of ICT and National Guidance"/>
    <s v="MICT&amp;NG,OWC"/>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5"/>
    <s v="Comprehensive communication strategy on registration services developed and implemented"/>
    <s v="Comprehensive communication strategy on registration services in place"/>
    <n v="0"/>
    <n v="1"/>
    <n v="1"/>
    <n v="1"/>
    <n v="1"/>
    <n v="1"/>
    <s v="URSB"/>
    <s v="119 Uganda Registration Services Bureau"/>
    <s v="Develop and implement a comprehensive communication strategy on registration services"/>
    <n v="0"/>
    <n v="0"/>
    <n v="0"/>
    <n v="0"/>
    <n v="0"/>
    <n v="0"/>
    <n v="0"/>
    <n v="0"/>
    <n v="0"/>
    <m/>
    <n v="0"/>
    <n v="0.1"/>
    <n v="0.1"/>
    <n v="0.1"/>
    <n v="0"/>
    <n v="0"/>
    <n v="0"/>
    <s v="URSB"/>
    <s v="119 Uganda Registration Services Bureau"/>
    <s v="LGs, KCCA, URA"/>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6"/>
    <s v="Public legal sensitisations conducted"/>
    <s v="Number of Public legal sensitisation conducted"/>
    <n v="0"/>
    <n v="192"/>
    <n v="230"/>
    <n v="240"/>
    <n v="250"/>
    <n v="250"/>
    <s v="JSC"/>
    <s v="148 Judicial Service Commission"/>
    <s v="Conduct public legal sensitisation through the radio, television and sensitisation meetings"/>
    <n v="0"/>
    <n v="0"/>
    <n v="0"/>
    <n v="0"/>
    <n v="0"/>
    <n v="0"/>
    <n v="0"/>
    <n v="0"/>
    <n v="0"/>
    <n v="0"/>
    <n v="0"/>
    <n v="0.72"/>
    <n v="1.86"/>
    <n v="2.5"/>
    <n v="0"/>
    <n v="0"/>
    <n v="0"/>
    <s v="JSC"/>
    <s v="148 Judicial Service Commission"/>
    <s v="N/A"/>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7"/>
    <s v="IEC materials on the different laws produced and disseminated "/>
    <s v="Number of IEC materials (‘000s)"/>
    <n v="0"/>
    <n v="22"/>
    <n v="28"/>
    <n v="28"/>
    <n v="28"/>
    <n v="28"/>
    <s v="MoGLSD"/>
    <s v="018 Ministry of Gender, Labour and Social Development"/>
    <s v="Produce and disseminate IEC materials "/>
    <n v="1"/>
    <n v="0"/>
    <n v="0"/>
    <n v="1"/>
    <n v="1"/>
    <n v="1"/>
    <n v="1"/>
    <n v="1"/>
    <n v="0.75"/>
    <n v="0"/>
    <n v="0"/>
    <n v="0.1"/>
    <n v="0.2"/>
    <n v="0.2"/>
    <n v="3"/>
    <n v="3"/>
    <n v="6"/>
    <s v="JSC"/>
    <s v="148 Judicial Service Commission"/>
    <s v="N/A"/>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8"/>
    <s v="Vehicles for Public sensitisation and judicial education procured"/>
    <s v="Number of vehicles procured"/>
    <n v="0"/>
    <m/>
    <n v="2"/>
    <n v="2"/>
    <n v="2"/>
    <n v="2"/>
    <s v="JSC"/>
    <s v="148 Judicial Service Commission"/>
    <s v="Procure vehicles for conducting publis sensitisation ,judicial education and dissemination of IEC materials"/>
    <n v="0"/>
    <n v="0"/>
    <n v="0"/>
    <n v="0"/>
    <n v="0"/>
    <n v="0"/>
    <n v="0"/>
    <n v="0"/>
    <n v="0"/>
    <m/>
    <n v="0"/>
    <n v="0"/>
    <n v="0.5"/>
    <n v="0.5"/>
    <n v="0"/>
    <n v="0"/>
    <n v="0"/>
    <s v="JSC"/>
    <s v="148 Judicial Service Commission"/>
    <s v="N/A"/>
  </r>
  <r>
    <x v="1"/>
    <x v="1"/>
    <s v="151"/>
    <s v="Community sensitization and empowerment"/>
    <s v="1511"/>
    <s v="Enhance effective mobilization of families, communities and citizens for national development"/>
    <s v="151102"/>
    <s v="Develop and implement a national civic education programme aimed at improving the level of awareness of roles and responsibilities of families, communities and individual citizens"/>
    <n v="0"/>
    <n v="0"/>
    <s v="15110209"/>
    <s v="Judicial education programs conducted"/>
    <s v="Number of judicial education programs conducted"/>
    <n v="0"/>
    <n v="53"/>
    <n v="65"/>
    <n v="70"/>
    <n v="75"/>
    <n v="80"/>
    <s v="JSC"/>
    <s v="148 Judicial Service Commission"/>
    <s v="Conduct judical education programs"/>
    <n v="0"/>
    <n v="0"/>
    <n v="0"/>
    <n v="0"/>
    <n v="0"/>
    <n v="0"/>
    <n v="0"/>
    <n v="0"/>
    <n v="0"/>
    <m/>
    <n v="0"/>
    <n v="0.63"/>
    <n v="1.1000000000000001"/>
    <n v="1.5"/>
    <n v="0"/>
    <n v="0"/>
    <n v="0"/>
    <s v="JSC"/>
    <s v="148 Judicial Service Commission"/>
    <s v="N/A"/>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1"/>
    <s v="Arts &amp; crafts markets established  countrywide"/>
    <s v="No. of arts and craft markets established"/>
    <n v="0"/>
    <n v="15"/>
    <n v="15"/>
    <n v="15"/>
    <n v="10"/>
    <n v="12"/>
    <s v="MGLSD (UNCC)"/>
    <e v="#N/A"/>
    <s v="Faciliate the establishment of art &amp; craft market"/>
    <n v="1"/>
    <n v="0"/>
    <n v="0"/>
    <n v="1"/>
    <n v="1"/>
    <n v="1"/>
    <n v="1"/>
    <n v="1"/>
    <n v="0.75"/>
    <m/>
    <n v="0"/>
    <n v="0.5"/>
    <n v="0.6"/>
    <n v="0.7"/>
    <n v="0.4"/>
    <n v="1"/>
    <n v="1.4"/>
    <s v="MoGLSD (UNCC)"/>
    <s v="018 Ministry of Gender, Labour and Social Development"/>
    <s v="UTB, MTWA,MTIC"/>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1"/>
    <s v="Arts &amp; crafts markets established  countrywide"/>
    <s v="No. of art &amp; craft digital platforms developed"/>
    <n v="0"/>
    <n v="1"/>
    <n v="1"/>
    <n v="1"/>
    <n v="1"/>
    <n v="1"/>
    <s v="MGLSD (UNCC)"/>
    <e v="#N/A"/>
    <s v="Establish digital platforms for marketing Ugandan cultural goods &amp; services"/>
    <n v="1"/>
    <n v="0"/>
    <n v="1"/>
    <n v="1"/>
    <n v="1"/>
    <n v="1"/>
    <n v="1"/>
    <n v="1"/>
    <n v="0.875"/>
    <n v="1"/>
    <n v="0"/>
    <n v="0.7"/>
    <n v="0.7"/>
    <n v="0.7"/>
    <n v="0.3"/>
    <n v="0.3"/>
    <n v="0.6"/>
    <s v="MoGLSD (UNCC)"/>
    <s v="018 Ministry of Gender, Labour and Social Development"/>
    <s v="MICT&amp;NG"/>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2"/>
    <s v="International networks for export for cultural goods &amp; services established"/>
    <s v="No. of companies exporting cultural goods &amp; services"/>
    <n v="0"/>
    <n v="15"/>
    <n v="15"/>
    <n v="15"/>
    <n v="15"/>
    <n v="15"/>
    <s v="MGLSD (UNCC)"/>
    <e v="#N/A"/>
    <s v="Establish linkages to international markets for Ugandan cultural goods &amp; services (Market identification, promotions, negotiations, training, exhibitions)"/>
    <n v="0"/>
    <n v="0"/>
    <n v="0"/>
    <n v="0"/>
    <n v="0"/>
    <n v="0"/>
    <n v="0"/>
    <n v="0"/>
    <n v="0"/>
    <n v="0"/>
    <n v="0"/>
    <n v="0.78"/>
    <n v="0.78"/>
    <n v="0.78"/>
    <n v="0"/>
    <n v="0"/>
    <n v="0"/>
    <s v="MoGLSD (UNCC)"/>
    <s v="018 Ministry of Gender, Labour and Social Development"/>
    <s v=" MOFA, MTIC, MTWA,UEPB,  Private Sector "/>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3"/>
    <s v="Bussiness skilling/capacity building programs for cultural practioners implemented"/>
    <s v="No. of cultural practioners equiped with bussiness skills"/>
    <n v="0"/>
    <m/>
    <n v="20"/>
    <n v="20"/>
    <n v="13"/>
    <n v="13"/>
    <s v="MGLSD (UNCC)"/>
    <e v="#N/A"/>
    <s v="Conduct bussiness skills development programs for different types of cultural practioners"/>
    <n v="1"/>
    <n v="0"/>
    <n v="0"/>
    <n v="1"/>
    <n v="1"/>
    <n v="1"/>
    <n v="1"/>
    <n v="1"/>
    <n v="0.75"/>
    <m/>
    <n v="0"/>
    <n v="0"/>
    <n v="6.83"/>
    <n v="6.83"/>
    <n v="2"/>
    <n v="2"/>
    <n v="4"/>
    <s v="MoGLSD (UNCC)"/>
    <s v="018 Ministry of Gender, Labour and Social Development"/>
    <s v=" PSFU, MTIC, MTWA,UEPB,  Private Sector "/>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4"/>
    <s v="Artist and community cultural training programmes developed "/>
    <s v="No. of creative Artist trained"/>
    <n v="0"/>
    <n v="256"/>
    <n v="256"/>
    <n v="256"/>
    <n v="256"/>
    <n v="256"/>
    <s v="MGLSD (UNCC)"/>
    <e v="#N/A"/>
    <s v="Build creative capacity of artists"/>
    <n v="1"/>
    <n v="1"/>
    <n v="1"/>
    <n v="1"/>
    <n v="1"/>
    <n v="1"/>
    <n v="1"/>
    <n v="1"/>
    <n v="1"/>
    <m/>
    <n v="0"/>
    <n v="2.46"/>
    <n v="2.46"/>
    <n v="2.46"/>
    <n v="1.8"/>
    <n v="1.8"/>
    <n v="3.6"/>
    <s v="MoGLSD (UNCC)"/>
    <s v="018 Ministry of Gender, Labour and Social Development"/>
    <s v="MUK, UBOS, NPA"/>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5"/>
    <s v="Creative and cultural industries studies conducted"/>
    <s v="Number of creative and cultural industries conducted"/>
    <n v="0"/>
    <n v="2058"/>
    <n v="2058"/>
    <n v="2058"/>
    <n v="2058"/>
    <n v="2058"/>
    <s v="MGLSD (UNCC)"/>
    <e v="#N/A"/>
    <s v="Conduct  studies on the development potential of creative and cultural industries"/>
    <n v="1"/>
    <n v="0"/>
    <n v="0"/>
    <n v="1"/>
    <n v="1"/>
    <n v="0"/>
    <n v="1"/>
    <n v="0"/>
    <n v="0.5"/>
    <m/>
    <n v="0"/>
    <n v="3.12"/>
    <n v="3.12"/>
    <n v="3.12"/>
    <m/>
    <m/>
    <n v="0"/>
    <s v="MoGLSD (UNCC)"/>
    <s v="018 Ministry of Gender, Labour and Social Development"/>
    <s v="MICT&amp;NG, UCC, UBC, UIA, UTB, UWA"/>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6"/>
    <s v="Local film industry strengthened"/>
    <s v="Number of local films produced and distributed"/>
    <n v="0"/>
    <n v="1"/>
    <m/>
    <n v="1"/>
    <m/>
    <m/>
    <s v="MGLSD (UNCC)"/>
    <e v="#N/A"/>
    <s v="Strengthen UNCC to support development of the film industry (training, production, pormotion and distribution)"/>
    <n v="0"/>
    <n v="0"/>
    <n v="0"/>
    <n v="0"/>
    <n v="0"/>
    <n v="0"/>
    <n v="0"/>
    <n v="0"/>
    <n v="0"/>
    <m/>
    <n v="0"/>
    <n v="12.7"/>
    <n v="0"/>
    <n v="12.7"/>
    <n v="0"/>
    <n v="0"/>
    <n v="0"/>
    <s v="MoGLSD (UNCC)"/>
    <s v="018 Ministry of Gender, Labour and Social Development"/>
    <s v="MICT&amp;NG, UCC, UBC, UIA, UTB, UWA"/>
  </r>
  <r>
    <x v="1"/>
    <x v="1"/>
    <s v="151"/>
    <s v="Community sensitization and empowerment"/>
    <s v="1511"/>
    <s v="Enhance effective mobilization of families, communities and citizens for national development"/>
    <s v="151103"/>
    <s v="Design and implement a programme aimed at promoting household engagement in culture and creative industries for income generation"/>
    <n v="0"/>
    <n v="0"/>
    <s v="15110307"/>
    <s v="Local Artisits, Musicians, CMO's sensitized on IP Rights in the Culture and Creative industry"/>
    <s v="Number of engagements and interactions on IP conducted with the Collective Management Organizations &amp; Musician Associations."/>
    <n v="0"/>
    <n v="5"/>
    <n v="8"/>
    <n v="8"/>
    <n v="8"/>
    <n v="8"/>
    <s v="URSB"/>
    <s v="119 Uganda Registration Services Bureau"/>
    <s v="Conduct awareness on Intellectual Property (IP) rights to stakeholders in the culture and creative industry"/>
    <n v="0"/>
    <n v="0"/>
    <n v="0"/>
    <n v="0"/>
    <n v="0"/>
    <n v="0"/>
    <n v="0"/>
    <n v="0"/>
    <n v="0"/>
    <m/>
    <n v="0"/>
    <n v="0.06"/>
    <n v="0.06"/>
    <n v="0.06"/>
    <m/>
    <m/>
    <n v="0"/>
    <s v="URSB"/>
    <s v="119 Uganda Registration Services Bureau"/>
    <s v="UMA, UPRS"/>
  </r>
  <r>
    <x v="1"/>
    <x v="1"/>
    <s v="151"/>
    <s v="Community sensitization and empowerment"/>
    <s v="1511"/>
    <s v="Enhance effective mobilization of families, communities and citizens for national development"/>
    <s v="151104"/>
    <s v="Develop a policy on Diaspora engagement"/>
    <n v="0"/>
    <n v="0"/>
    <s v="15110401"/>
    <s v="Diaspora engagement policy developed &amp; implemented"/>
    <s v="Diaspora engagement policy in place"/>
    <n v="0"/>
    <n v="0"/>
    <n v="0"/>
    <n v="1"/>
    <n v="0"/>
    <n v="0"/>
    <s v="MoFA"/>
    <s v="006 Ministry of Foreign Affairs"/>
    <s v="Interact and inspire the diaspora community on development opportunities"/>
    <m/>
    <m/>
    <m/>
    <m/>
    <m/>
    <m/>
    <n v="0"/>
    <n v="0"/>
    <n v="0"/>
    <m/>
    <n v="0"/>
    <n v="0.1"/>
    <n v="0.1"/>
    <n v="0.1"/>
    <m/>
    <m/>
    <n v="0"/>
    <s v="MoFA"/>
    <s v="006 Ministry of Foreign Affairs"/>
    <s v="MICT&amp;NG, UEPB,MTIC, MTWA, UIA"/>
  </r>
  <r>
    <x v="1"/>
    <x v="1"/>
    <s v="151"/>
    <s v="Community sensitization and empowerment"/>
    <s v="1511"/>
    <s v="Enhance effective mobilization of families, communities and citizens for national development"/>
    <s v="151104"/>
    <s v="Develop a policy on Diaspora engagement"/>
    <m/>
    <m/>
    <s v="15110401"/>
    <s v="Diaspora engagement policy developed &amp; implemented"/>
    <s v="No. of diaspora engagement initiatives"/>
    <n v="0"/>
    <m/>
    <m/>
    <m/>
    <m/>
    <m/>
    <m/>
    <e v="#N/A"/>
    <m/>
    <m/>
    <m/>
    <m/>
    <m/>
    <m/>
    <m/>
    <n v="0"/>
    <n v="0"/>
    <n v="0"/>
    <m/>
    <n v="0"/>
    <m/>
    <m/>
    <m/>
    <m/>
    <m/>
    <n v="0"/>
    <m/>
    <m/>
    <m/>
  </r>
  <r>
    <x v="1"/>
    <x v="1"/>
    <s v="151"/>
    <s v="Community sensitization and empowerment"/>
    <s v="1511"/>
    <s v="Enhance effective mobilization of families, communities and citizens for national development"/>
    <s v="151105"/>
    <s v="Implement the 15 Household model for social economic empowerment"/>
    <n v="0"/>
    <n v="0"/>
    <s v="15110501"/>
    <s v="Village Savings and Loans Associations established"/>
    <s v="No. of Households benefiting from VSLA &amp; investment clubs"/>
    <n v="0"/>
    <n v="1370"/>
    <n v="1370"/>
    <n v="1370"/>
    <n v="1370"/>
    <n v="1370"/>
    <s v="LGs/ CBS"/>
    <e v="#N/A"/>
    <s v="Design and implement a program aimed at promoting household engagement in improving  H/H Income"/>
    <n v="0"/>
    <n v="0"/>
    <n v="0"/>
    <n v="0"/>
    <n v="0"/>
    <n v="0"/>
    <n v="0"/>
    <n v="0"/>
    <n v="0"/>
    <m/>
    <n v="0"/>
    <n v="0"/>
    <n v="0"/>
    <n v="0"/>
    <n v="0"/>
    <n v="0"/>
    <n v="0"/>
    <s v="LGs"/>
    <s v="500 501-850 Local Governments"/>
    <s v="OWC, OPM, MTIC, LGs, MAAIF, MOES"/>
  </r>
  <r>
    <x v="1"/>
    <x v="1"/>
    <s v="151"/>
    <s v="Community sensitization and empowerment"/>
    <s v="1511"/>
    <s v="Enhance effective mobilization of families, communities and citizens for national development"/>
    <s v="151105"/>
    <s v="Implement the 15 Household model for social economic empowerment"/>
    <n v="0"/>
    <n v="0"/>
    <s v="15110502"/>
    <s v="Village Cluster HH Model Expanded"/>
    <s v="Proportion of Households benefiting from one time investments"/>
    <n v="0"/>
    <n v="13700"/>
    <n v="13700"/>
    <n v="13700"/>
    <n v="13700"/>
    <n v="13700"/>
    <s v="MoGLSD"/>
    <s v="018 Ministry of Gender, Labour and Social Development"/>
    <s v="Design and implement the VCM (Carry out the needs assessment, develop actions plans, and training) on  identified 5 investments e.g water point, a road, agricultural  inputs, livelihood support, Coffee huller)"/>
    <n v="0"/>
    <n v="0"/>
    <n v="0"/>
    <n v="0"/>
    <n v="0"/>
    <n v="0"/>
    <n v="0"/>
    <n v="0"/>
    <n v="0"/>
    <m/>
    <n v="0"/>
    <n v="106.20144290583059"/>
    <n v="17.692715479265161"/>
    <n v="45.71307921218159"/>
    <m/>
    <m/>
    <n v="0"/>
    <s v="MoGLSD"/>
    <s v="018 Ministry of Gender, Labour and Social Development"/>
    <s v="LGs, SH, OWC, UBOS, MAAIF"/>
  </r>
  <r>
    <x v="1"/>
    <x v="1"/>
    <s v="151"/>
    <s v="Community sensitization and empowerment"/>
    <s v="1511"/>
    <s v="Enhance effective mobilization of families, communities and citizens for national development"/>
    <s v="151105"/>
    <s v="Implement the 15 Household model for social economic empowerment"/>
    <n v="0"/>
    <n v="0"/>
    <s v="15110503"/>
    <s v="Jobs and Livelihood Refugee Integrated Plan implemented"/>
    <s v="No. of districts plans operationalised"/>
    <n v="0"/>
    <n v="13"/>
    <n v="13"/>
    <n v="13"/>
    <n v="13"/>
    <n v="13"/>
    <s v="MoGLSD"/>
    <s v="018 Ministry of Gender, Labour and Social Development"/>
    <s v="Support districts to operationalise the JLRIP"/>
    <n v="1"/>
    <n v="0"/>
    <n v="0"/>
    <n v="1"/>
    <n v="1"/>
    <n v="1"/>
    <n v="1"/>
    <n v="1"/>
    <n v="0.75"/>
    <n v="0"/>
    <n v="0"/>
    <n v="0.37"/>
    <n v="0.37"/>
    <n v="0.37"/>
    <n v="0.37"/>
    <n v="0.37"/>
    <n v="0.74"/>
    <s v="MoGLSD"/>
    <s v="018 Ministry of Gender, Labour and Social Development"/>
    <s v="OPM, MoH, MOES, MWE, LGs,"/>
  </r>
  <r>
    <x v="1"/>
    <x v="1"/>
    <s v="151"/>
    <s v="Community sensitization and empowerment"/>
    <s v="1511"/>
    <s v="Enhance effective mobilization of families, communities and citizens for national development"/>
    <s v="151105"/>
    <s v="Implement the 15 Household model for social economic empowerment"/>
    <n v="0"/>
    <n v="0"/>
    <s v="15110503"/>
    <s v="Jobs and Livelihood Refugee Integrated Plan implemented"/>
    <s v="No. of refugees HHs mobilised &amp; trained"/>
    <n v="0"/>
    <n v="1200"/>
    <n v="1200"/>
    <n v="1200"/>
    <n v="800"/>
    <n v="800"/>
    <s v="OPM"/>
    <s v="003 Office of the Prime Minister"/>
    <s v="Mobilise and train refugees in livelihood activities"/>
    <n v="1"/>
    <n v="0"/>
    <n v="0"/>
    <n v="1"/>
    <n v="1"/>
    <n v="1"/>
    <n v="1"/>
    <n v="1"/>
    <n v="0.75"/>
    <n v="0"/>
    <n v="0"/>
    <n v="2"/>
    <n v="1"/>
    <n v="1"/>
    <n v="1"/>
    <n v="1"/>
    <n v="2"/>
    <s v="OPM"/>
    <s v="003 Office of the Prime Minister"/>
    <s v="MGLSD, MOES, LG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1"/>
    <s v="CDOs and Parish chiefs retooled"/>
    <s v="No. of Community Development Officers and Parish Chiefs retooled"/>
    <n v="0"/>
    <s v="-"/>
    <n v="1017"/>
    <n v="1017"/>
    <n v="500"/>
    <n v="500"/>
    <s v="MoGLSD"/>
    <s v="018 Ministry of Gender, Labour and Social Development"/>
    <s v="Using the Parish Model, train &amp; equip Community Development Officers and Parish Chiefs to revitalise the Community Development function and structures to deliver services"/>
    <n v="1"/>
    <n v="0"/>
    <n v="0"/>
    <n v="1"/>
    <n v="1"/>
    <n v="1"/>
    <n v="1"/>
    <n v="1"/>
    <n v="0.75"/>
    <n v="0"/>
    <n v="0"/>
    <n v="27.32"/>
    <n v="27.32"/>
    <n v="0"/>
    <n v="2"/>
    <n v="2"/>
    <n v="4"/>
    <s v="MoGLSD"/>
    <s v="018 Ministry of Gender, Labour and Social Development"/>
    <s v="MoLG"/>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2"/>
    <s v="Regional Rural Training Centers renovated and equipped  "/>
    <s v="No. of community development centers renovated and equiped at parish level"/>
    <n v="0"/>
    <n v="3"/>
    <n v="3"/>
    <n v="3"/>
    <n v="2"/>
    <n v="1"/>
    <s v="MoGLSD "/>
    <e v="#N/A"/>
    <s v="Renovate and equip dilapidated Regional Rural Training Centers "/>
    <n v="1"/>
    <n v="0"/>
    <n v="0"/>
    <n v="1"/>
    <n v="1"/>
    <n v="1"/>
    <n v="1"/>
    <n v="0"/>
    <n v="0.625"/>
    <m/>
    <n v="0"/>
    <n v="4.96"/>
    <n v="4.96"/>
    <n v="4.96"/>
    <n v="1"/>
    <n v="1"/>
    <n v="2"/>
    <s v="MoGLSD"/>
    <s v="018 Ministry of Gender, Labour and Social Development"/>
    <s v="MoLG, LG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3"/>
    <s v="Community Development Centres constructed"/>
    <s v="Number of Community Development Centres constructed"/>
    <n v="0"/>
    <n v="5"/>
    <n v="5"/>
    <n v="5"/>
    <n v="5"/>
    <n v="5"/>
    <s v="MoGLSD"/>
    <s v="018 Ministry of Gender, Labour and Social Development"/>
    <s v="Establish Community Development Centres at sub-county level"/>
    <n v="1"/>
    <n v="0"/>
    <n v="0"/>
    <n v="1"/>
    <n v="1"/>
    <n v="1"/>
    <n v="1"/>
    <n v="0"/>
    <n v="0.625"/>
    <m/>
    <n v="0"/>
    <n v="0"/>
    <n v="0"/>
    <n v="5"/>
    <n v="3"/>
    <n v="3"/>
    <n v="6"/>
    <s v="MoGLSD"/>
    <s v="018 Ministry of Gender, Labour and Social Development"/>
    <s v="MoLG, LG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4"/>
    <s v="The role of RDCs strengthened in the mobilization of communities to engage in National Development"/>
    <s v="No. of RDCs with the necessary equipment to operate"/>
    <n v="0"/>
    <n v="70"/>
    <n v="81"/>
    <n v="63"/>
    <n v="10"/>
    <n v="10"/>
    <s v="OP"/>
    <s v="001 Office of the President"/>
    <s v="Equip the RDCs"/>
    <n v="1"/>
    <n v="0"/>
    <n v="0"/>
    <n v="1"/>
    <n v="1"/>
    <n v="1"/>
    <n v="1"/>
    <n v="1"/>
    <n v="0.75"/>
    <n v="0"/>
    <n v="0"/>
    <n v="11"/>
    <n v="13"/>
    <n v="9"/>
    <n v="5"/>
    <n v="5"/>
    <n v="10"/>
    <s v="OP"/>
    <s v="001 Office of the President"/>
    <s v="LG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5"/>
    <s v="District communication offices facilitated with communication tools"/>
    <s v="Number of district communication offices facilitated. "/>
    <n v="0"/>
    <n v="1"/>
    <n v="1"/>
    <n v="1"/>
    <n v="1"/>
    <n v="1"/>
    <s v=" MGLSD "/>
    <e v="#N/A"/>
    <s v="Procure computers, voice recorders and cameras for district communication offices"/>
    <n v="1"/>
    <n v="0"/>
    <n v="0"/>
    <n v="1"/>
    <n v="1"/>
    <n v="1"/>
    <n v="1"/>
    <n v="1"/>
    <n v="0.75"/>
    <m/>
    <n v="0"/>
    <n v="0.2"/>
    <n v="0.2"/>
    <n v="0.2"/>
    <n v="0.2"/>
    <n v="0.2"/>
    <n v="0.4"/>
    <s v="MoICT&amp;NG"/>
    <s v="020 Ministry of ICT and National Guidance"/>
    <s v="MoLG, LG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6"/>
    <s v="Intergrated Community Learning for Wealth Creation rolled out"/>
    <s v="Number of PDM beneficiaries trained under  Intergrated Community Learning for wealth creation in all DLGs"/>
    <n v="0"/>
    <n v="4110"/>
    <n v="4110"/>
    <n v="4110"/>
    <n v="4110"/>
    <n v="4110"/>
    <s v=" MGLSD (NLU) "/>
    <e v="#N/A"/>
    <s v="Using the Parish model, rollout the Intergrated Community Learning for wealth creation programme nationally"/>
    <n v="1"/>
    <n v="1"/>
    <n v="1"/>
    <n v="1"/>
    <n v="1"/>
    <n v="1"/>
    <n v="1"/>
    <n v="0"/>
    <n v="0.875"/>
    <m/>
    <n v="0"/>
    <n v="52.1"/>
    <n v="52.1"/>
    <n v="51.55"/>
    <n v="19.05"/>
    <n v="13.04"/>
    <n v="32.090000000000003"/>
    <s v="MoGLSD"/>
    <s v="018 Ministry of Gender, Labour and Social Development"/>
    <s v="OWC, MOES"/>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7"/>
    <s v="Themed wealth creation events"/>
    <s v="-"/>
    <n v="0"/>
    <m/>
    <m/>
    <m/>
    <m/>
    <m/>
    <m/>
    <e v="#N/A"/>
    <s v="Organise themed events across the country to mobilise communities on wealth creation "/>
    <n v="1"/>
    <n v="1"/>
    <n v="1"/>
    <n v="1"/>
    <n v="1"/>
    <n v="1"/>
    <n v="1"/>
    <n v="0"/>
    <n v="0.875"/>
    <m/>
    <n v="0"/>
    <n v="0"/>
    <n v="15"/>
    <n v="15"/>
    <n v="3"/>
    <n v="3"/>
    <n v="6"/>
    <s v="MoGLSD"/>
    <s v="018 Ministry of Gender, Labour and Social Development"/>
    <s v="OWC"/>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8"/>
    <s v="Public  Libraries established and equipped"/>
    <s v="Number of public Libraries established and equipped"/>
    <n v="0"/>
    <n v="137"/>
    <n v="137"/>
    <n v="137"/>
    <n v="20"/>
    <n v="20"/>
    <s v=" MGLSD (NLU) "/>
    <e v="#N/A"/>
    <s v="Establish and equip Public libraries"/>
    <n v="1"/>
    <n v="0"/>
    <n v="0"/>
    <n v="1"/>
    <n v="1"/>
    <n v="1"/>
    <n v="1"/>
    <n v="0"/>
    <n v="0.625"/>
    <m/>
    <n v="0"/>
    <n v="1.51"/>
    <n v="1.51"/>
    <n v="1"/>
    <n v="1"/>
    <n v="1"/>
    <n v="2"/>
    <s v="MoGLSD (NLU)"/>
    <s v="018 Ministry of Gender, Labour and Social Development"/>
    <s v="MOES, LGs, MICT&amp;NG"/>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09"/>
    <s v="National Library of Uganda headquaters constructed and equipped"/>
    <s v="Modern State of the art National Library of Uganda  in place"/>
    <n v="0"/>
    <n v="1"/>
    <n v="1"/>
    <n v="1"/>
    <m/>
    <m/>
    <s v=" MGLSD (NLU) "/>
    <e v="#N/A"/>
    <s v="Construct and equip the National Library of Uganda building"/>
    <n v="0"/>
    <n v="0"/>
    <n v="0"/>
    <n v="0"/>
    <n v="0"/>
    <n v="0"/>
    <n v="1"/>
    <n v="0"/>
    <n v="0.125"/>
    <m/>
    <n v="0"/>
    <n v="0.6"/>
    <n v="0.4"/>
    <n v="0"/>
    <n v="0"/>
    <n v="0"/>
    <n v="0"/>
    <s v="MoGLSD (NLU)"/>
    <s v="018 Ministry of Gender, Labour and Social Development"/>
    <s v="MOES, LGs, MICT&amp;NG"/>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0"/>
    <s v="Legal and regulatory framework for library and information service reviewed "/>
    <s v="Reviewed Legal and regulatory framework for library and information service "/>
    <n v="0"/>
    <n v="1"/>
    <n v="1"/>
    <m/>
    <n v="1"/>
    <n v="1"/>
    <s v=" MGLSD (NLU) "/>
    <e v="#N/A"/>
    <s v="Review the Legal and regulatory framework for library and information services"/>
    <n v="1"/>
    <n v="0"/>
    <n v="0"/>
    <n v="1"/>
    <n v="1"/>
    <n v="0"/>
    <n v="1"/>
    <n v="0"/>
    <n v="0.5"/>
    <m/>
    <n v="0"/>
    <n v="0.1"/>
    <n v="0"/>
    <n v="0"/>
    <n v="0"/>
    <n v="0"/>
    <n v="0"/>
    <s v="MoGLSD (NLU)"/>
    <s v="018 Ministry of Gender, Labour and Social Development"/>
    <s v="MOES, LGs, MICT&amp;NG"/>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1"/>
    <s v="Functional Open Access Centers  in Public libraries "/>
    <s v="No. of Open Access Centers in Public  libraries "/>
    <n v="0"/>
    <n v="60"/>
    <n v="60"/>
    <n v="60"/>
    <n v="3"/>
    <n v="3"/>
    <s v=" MGLSD (UNCC) "/>
    <e v="#N/A"/>
    <s v="Establish and equip Open Access Centers (Digital services) in Public   libraries "/>
    <n v="0"/>
    <n v="0"/>
    <n v="0"/>
    <n v="0"/>
    <n v="0"/>
    <n v="0"/>
    <n v="1"/>
    <n v="0"/>
    <n v="0.125"/>
    <m/>
    <n v="0"/>
    <n v="1"/>
    <n v="1"/>
    <n v="1"/>
    <m/>
    <m/>
    <n v="0"/>
    <s v="MoGLSD (NLU)"/>
    <s v="018 Ministry of Gender, Labour and Social Development"/>
    <s v="MOES, LGs, MICT&amp;NG"/>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2"/>
    <s v="District Art and Culture committees  established "/>
    <s v="No of District CulturE and Art Committees established "/>
    <n v="0"/>
    <n v="147"/>
    <n v="147"/>
    <n v="147"/>
    <n v="147"/>
    <n v="147"/>
    <s v=" MGLSD (UNCC) "/>
    <e v="#N/A"/>
    <s v="Institutionalise the District Art and Culture Committees"/>
    <n v="0"/>
    <n v="0"/>
    <n v="0"/>
    <n v="0"/>
    <n v="0"/>
    <n v="0"/>
    <n v="0"/>
    <n v="0"/>
    <n v="0"/>
    <m/>
    <n v="0"/>
    <n v="73.5"/>
    <n v="36.75"/>
    <n v="73.5"/>
    <m/>
    <m/>
    <n v="0"/>
    <s v="MoGLSD (UNCC)"/>
    <s v="018 Ministry of Gender, Labour and Social Development"/>
    <s v=" LGs "/>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3"/>
    <s v="Intellectual Property and  Traditional Knowledge Rights Laws reviewed "/>
    <s v="Revised Copy right law"/>
    <n v="0"/>
    <n v="3"/>
    <n v="3"/>
    <n v="3"/>
    <n v="3"/>
    <n v="3"/>
    <s v=" MGLSD (UNCC) "/>
    <e v="#N/A"/>
    <s v="Review the exisiting laws on Intellectual Property and Traditional Knowledge. "/>
    <n v="0"/>
    <n v="0"/>
    <n v="0"/>
    <n v="0"/>
    <n v="0"/>
    <n v="0"/>
    <n v="0"/>
    <n v="0"/>
    <n v="0"/>
    <m/>
    <n v="0"/>
    <n v="0"/>
    <n v="0"/>
    <n v="0"/>
    <n v="0"/>
    <n v="0"/>
    <n v="0"/>
    <s v="MoGLSD (UNCC)"/>
    <s v="018 Ministry of Gender, Labour and Social Development"/>
    <s v=" UPRS, URSB, UCC "/>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3"/>
    <s v="Intellectual Property and  Traditional Knowledge Rights Laws reviewed "/>
    <s v="No. creators sensitized "/>
    <n v="0"/>
    <n v="294"/>
    <n v="294"/>
    <n v="294"/>
    <n v="294"/>
    <n v="294"/>
    <s v=" MGLSD (UNCC) "/>
    <e v="#N/A"/>
    <m/>
    <m/>
    <m/>
    <m/>
    <m/>
    <m/>
    <m/>
    <n v="0"/>
    <n v="0"/>
    <n v="0"/>
    <m/>
    <n v="0"/>
    <m/>
    <m/>
    <m/>
    <m/>
    <m/>
    <n v="0"/>
    <m/>
    <m/>
    <m/>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4"/>
    <s v="A Culture Statistic framework established "/>
    <s v="Culture Statistic framework in place "/>
    <n v="0"/>
    <n v="1"/>
    <n v="1"/>
    <n v="1"/>
    <n v="1"/>
    <n v="1"/>
    <s v=" MGLSD (UNCC) "/>
    <e v="#N/A"/>
    <s v="Establish a national culture statistics framework "/>
    <n v="1"/>
    <n v="0"/>
    <n v="0"/>
    <n v="1"/>
    <n v="1"/>
    <n v="0"/>
    <n v="1"/>
    <n v="1"/>
    <n v="0.625"/>
    <m/>
    <n v="0"/>
    <n v="1"/>
    <n v="1"/>
    <n v="1"/>
    <n v="1"/>
    <n v="1"/>
    <n v="2"/>
    <s v="MoGLSD (UNCC)"/>
    <s v="018 Ministry of Gender, Labour and Social Development"/>
    <s v=" UBOS, NPA "/>
  </r>
  <r>
    <x v="1"/>
    <x v="1"/>
    <s v="152"/>
    <s v="Strengthening institutional support "/>
    <s v="1522"/>
    <s v="Strengthen institutional capacity of central, local government and non-state actors for effective mobilization of communities"/>
    <s v="152201"/>
    <s v="Equip and operationalize Community Mobilization and Empowerment (CME) institutions/ structures of central, local government and non-state actors for effective citizen mobilization and dissemination of information to guide and shape the mindsets/ attitudes of the population"/>
    <n v="0"/>
    <n v="0"/>
    <s v="15220115"/>
    <s v="One stop ART and Culture Centre established"/>
    <s v="Centre in place"/>
    <n v="0"/>
    <n v="0"/>
    <n v="0"/>
    <n v="0"/>
    <n v="1"/>
    <n v="1"/>
    <s v="MGLSD (UNCC)"/>
    <e v="#N/A"/>
    <s v="Construct and equip the One stop art and  Culture Centre"/>
    <n v="0"/>
    <n v="0"/>
    <n v="0"/>
    <n v="0"/>
    <n v="0"/>
    <n v="0"/>
    <n v="0"/>
    <n v="0"/>
    <n v="0"/>
    <m/>
    <n v="0"/>
    <n v="0"/>
    <n v="0"/>
    <n v="0"/>
    <m/>
    <m/>
    <n v="0"/>
    <s v="MoGLSD (UNCC)"/>
    <s v="018 Ministry of Gender, Labour and Social Development"/>
    <s v=" MLHUD "/>
  </r>
  <r>
    <x v="1"/>
    <x v="1"/>
    <s v="152"/>
    <s v="Strengthening institutional support "/>
    <s v="1522"/>
    <s v="Strengthen institutional capacity of central, local government and non-state actors for effective mobilization of communities"/>
    <s v="152202"/>
    <s v="Establish and operationalize Community Development Management Information System (CDMIS) at Parish and Sub-county level"/>
    <n v="0"/>
    <n v="0"/>
    <s v="15220201"/>
    <s v="CDMIS established and operationalized"/>
    <s v="CDMIS in place &amp; operational"/>
    <n v="0"/>
    <m/>
    <n v="1"/>
    <n v="1"/>
    <m/>
    <m/>
    <s v="MGLSD (UNCC)"/>
    <e v="#N/A"/>
    <s v="Design and put in place a CMIS to monitor community development initiatives "/>
    <n v="0"/>
    <n v="0"/>
    <n v="0"/>
    <n v="0"/>
    <n v="0"/>
    <n v="0"/>
    <n v="1"/>
    <n v="0"/>
    <n v="0.125"/>
    <m/>
    <n v="0"/>
    <n v="0"/>
    <n v="0.13"/>
    <n v="0"/>
    <n v="0"/>
    <n v="0"/>
    <n v="0"/>
    <s v="MoGLSD"/>
    <s v="018 Ministry of Gender, Labour and Social Development"/>
    <s v="MICT&amp;NG, LGs"/>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1"/>
    <s v="Participation of Religious and Faith Organisations (RFOs) participation in Community and National Development coordinated"/>
    <s v="No. of Religious and Faith Organisations (RFOs) participating in Community and National Development"/>
    <n v="0"/>
    <n v="200"/>
    <n v="200"/>
    <n v="200"/>
    <n v="200"/>
    <n v="200"/>
    <s v=" DEI "/>
    <e v="#N/A"/>
    <s v="Coordinate Religious and Faith Organisations (RFOs) participation in Community and National Development "/>
    <n v="1"/>
    <n v="0"/>
    <n v="0"/>
    <n v="1"/>
    <n v="1"/>
    <n v="1"/>
    <n v="1"/>
    <n v="1"/>
    <n v="0.75"/>
    <m/>
    <n v="0"/>
    <n v="60"/>
    <n v="50"/>
    <n v="50"/>
    <n v="9.5"/>
    <n v="0.5"/>
    <n v="10"/>
    <s v="MoGLSD"/>
    <s v="018 Ministry of Gender, Labour and Social Development"/>
    <s v="OP, OWC, MOES, DEI"/>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2"/>
    <s v="A framework in place to partner with RFOs and other non-state actors to support development initiatives"/>
    <s v="A framework on partnership with Religious &amp; Faith Institutions developed "/>
    <n v="0"/>
    <n v="1"/>
    <n v="1"/>
    <n v="1"/>
    <n v="1"/>
    <n v="1"/>
    <s v=" MGLSD/ IRCU "/>
    <e v="#N/A"/>
    <s v="Develop a framework for RFOs to mainstream spirituality for mindset change among the populace for development "/>
    <n v="1"/>
    <n v="0"/>
    <n v="0"/>
    <n v="1"/>
    <n v="1"/>
    <n v="1"/>
    <n v="1"/>
    <n v="0"/>
    <n v="0.625"/>
    <m/>
    <n v="0"/>
    <n v="3"/>
    <n v="3"/>
    <n v="1.49"/>
    <n v="1.49"/>
    <n v="1.49"/>
    <n v="2.98"/>
    <s v="MoGLSD"/>
    <s v="018 Ministry of Gender, Labour and Social Development"/>
    <s v="OP,  MOES, IRCU"/>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3"/>
    <s v="RFO database for collaboration between government and RFOs developed and operationalised"/>
    <s v="RFO database for collaboration between government and RFOs in place"/>
    <n v="0"/>
    <n v="1"/>
    <n v="1"/>
    <m/>
    <m/>
    <m/>
    <s v=" DEI "/>
    <e v="#N/A"/>
    <s v="Develop, manage/operationalise RFO database for collaborative between government and RFOs"/>
    <n v="1"/>
    <n v="0"/>
    <n v="0"/>
    <n v="1"/>
    <n v="1"/>
    <n v="1"/>
    <n v="1"/>
    <n v="1"/>
    <n v="0.75"/>
    <n v="0"/>
    <n v="0"/>
    <n v="0.9"/>
    <n v="0.5"/>
    <n v="0.5"/>
    <n v="0.5"/>
    <n v="0.5"/>
    <n v="1"/>
    <s v="DEI"/>
    <s v="112 Ethics and Integrity"/>
    <s v="OP, MGLSD, MOES, MICT&amp;NG, UBOS"/>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m/>
    <m/>
    <s v="15220303"/>
    <s v="RFO database for collaboration between government and RFOs developed and operationalised"/>
    <s v="Functional RFO database for collaboration between government and RFOs in place"/>
    <n v="0"/>
    <n v="0"/>
    <n v="1"/>
    <n v="1"/>
    <n v="1"/>
    <n v="1"/>
    <s v=" DEI "/>
    <e v="#N/A"/>
    <m/>
    <m/>
    <m/>
    <m/>
    <m/>
    <m/>
    <m/>
    <n v="0"/>
    <n v="0"/>
    <n v="0"/>
    <m/>
    <n v="0"/>
    <m/>
    <m/>
    <m/>
    <m/>
    <m/>
    <n v="0"/>
    <m/>
    <m/>
    <m/>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4"/>
    <s v="A National Arts Council established"/>
    <s v="Legal instruments establishing the National Arts Concil in place"/>
    <n v="0"/>
    <m/>
    <n v="3"/>
    <n v="3"/>
    <n v="3"/>
    <n v="3"/>
    <s v=" MGLSD (UNCC) "/>
    <e v="#N/A"/>
    <s v="Establish &amp; operationalise a National Arts Council. "/>
    <n v="0"/>
    <n v="0"/>
    <n v="0"/>
    <n v="0"/>
    <n v="0"/>
    <n v="0"/>
    <n v="0"/>
    <n v="0"/>
    <n v="0"/>
    <n v="0"/>
    <n v="0"/>
    <n v="1.2"/>
    <n v="3"/>
    <n v="3"/>
    <m/>
    <m/>
    <n v="0"/>
    <s v="MoGLSD (UNCC)"/>
    <s v="018 Ministry of Gender, Labour and Social Development"/>
    <s v="MOES, UBC, "/>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5"/>
    <s v="National Arts regulations developed "/>
    <s v="Regulatory framework for Arts in Uganda in place"/>
    <n v="0"/>
    <n v="3"/>
    <n v="3"/>
    <n v="3"/>
    <n v="3"/>
    <n v="3"/>
    <s v=" MGLSD (UNCC) "/>
    <e v="#N/A"/>
    <s v="Develop and Implement regulations for Arts in Uganda"/>
    <n v="0"/>
    <n v="0"/>
    <n v="0"/>
    <n v="0"/>
    <n v="0"/>
    <n v="0"/>
    <n v="0"/>
    <n v="0"/>
    <n v="0"/>
    <n v="0"/>
    <n v="0"/>
    <n v="0"/>
    <n v="0.1"/>
    <n v="0.3"/>
    <n v="0"/>
    <n v="0"/>
    <n v="0"/>
    <s v="MoGLSD (UNCC)"/>
    <s v="018 Ministry of Gender, Labour and Social Development"/>
    <s v="MWT, "/>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6"/>
    <s v="National Art and regional cultural events organised and promoted"/>
    <s v="No. of national festivals, art fairs, biennials, exhibitions, auctions, concerts "/>
    <n v="0"/>
    <n v="3"/>
    <n v="3"/>
    <n v="3"/>
    <n v="3"/>
    <n v="3"/>
    <s v=" MGLSD (UNCC) "/>
    <e v="#N/A"/>
    <s v="Conduct regular ethno cultural exchanges through events such as cultural festivals, performances, forum and exhibitions, especially among artists and youths  "/>
    <n v="1"/>
    <n v="0"/>
    <n v="0"/>
    <n v="1"/>
    <n v="1"/>
    <n v="1"/>
    <n v="1"/>
    <n v="1"/>
    <n v="0.75"/>
    <n v="0"/>
    <n v="0"/>
    <n v="0.5"/>
    <n v="0.5"/>
    <n v="0.6"/>
    <n v="0.2"/>
    <n v="0.2"/>
    <n v="0.4"/>
    <s v="MoGLSD (UNCC)"/>
    <s v="018 Ministry of Gender, Labour and Social Development"/>
    <s v="MWT, LGs"/>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7"/>
    <s v="Uganda national cultural centre redeveloped"/>
    <s v="Modern Uganda national cultural centre "/>
    <n v="0"/>
    <n v="1"/>
    <n v="1"/>
    <n v="1"/>
    <n v="1"/>
    <n v="1"/>
    <s v=" MGLSD (UNCC) "/>
    <e v="#N/A"/>
    <s v="Redevelop the Uganda National Cultural Centre "/>
    <n v="0"/>
    <n v="0"/>
    <n v="0"/>
    <n v="0"/>
    <n v="0"/>
    <n v="0"/>
    <n v="0"/>
    <n v="0"/>
    <n v="0"/>
    <n v="0"/>
    <n v="0"/>
    <n v="0"/>
    <n v="0"/>
    <n v="0"/>
    <m/>
    <m/>
    <n v="0"/>
    <s v="MoGLSD (UNCC)"/>
    <s v="018 Ministry of Gender, Labour and Social Development"/>
    <s v="MoFA, MTIC, MTWA"/>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8"/>
    <s v="Modern regional cultural centres developed "/>
    <s v="No. of regional Cultural Centres  developed "/>
    <n v="0"/>
    <m/>
    <n v="1"/>
    <n v="1"/>
    <n v="1"/>
    <n v="1"/>
    <s v=" MGLSD (UNCC) "/>
    <e v="#N/A"/>
    <s v="Develop 2 modern regional cultural centres "/>
    <n v="0"/>
    <n v="0"/>
    <n v="0"/>
    <n v="0"/>
    <n v="0"/>
    <n v="0"/>
    <n v="0"/>
    <n v="0"/>
    <n v="0"/>
    <n v="0"/>
    <n v="0"/>
    <n v="0"/>
    <n v="0"/>
    <n v="0"/>
    <m/>
    <m/>
    <n v="0"/>
    <s v="MoGLSD (UNCC)"/>
    <s v="018 Ministry of Gender, Labour and Social Development"/>
    <s v="UBC, UCC, MICT&amp;NG"/>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09"/>
    <s v="Active  memorandum of understandings (MOUs)/ strategic Partnerships with cultural partners developed "/>
    <s v="MOUs with foreign cultural institutions, cultural tourism stakeholders, research and private cultural institutions"/>
    <n v="0"/>
    <n v="5"/>
    <n v="5"/>
    <n v="5"/>
    <n v="5"/>
    <n v="5"/>
    <s v=" MGLSD (UNCC) "/>
    <e v="#N/A"/>
    <s v="Promote cultural diplomacy and heritage tourism"/>
    <n v="1"/>
    <n v="0"/>
    <n v="0"/>
    <n v="1"/>
    <n v="1"/>
    <n v="1"/>
    <n v="1"/>
    <n v="1"/>
    <n v="0.75"/>
    <n v="0"/>
    <n v="0"/>
    <n v="0.3"/>
    <n v="0.3"/>
    <n v="0.3"/>
    <n v="0.1"/>
    <n v="0.1"/>
    <n v="0.2"/>
    <s v="MoGLSD (UNCC)"/>
    <s v="018 Ministry of Gender, Labour and Social Development"/>
    <s v="UBC, UCC, MICT&amp;NG"/>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10"/>
    <s v="National cultural collection (visual, performing and literary)  initiative conducted"/>
    <s v="No. of National Cultural Collection Initiative in place"/>
    <n v="0"/>
    <n v="15"/>
    <n v="15"/>
    <n v="15"/>
    <n v="15"/>
    <n v="15"/>
    <s v=" MGLSD (UNCC) "/>
    <e v="#N/A"/>
    <s v="Preserve cultural resources and assets"/>
    <n v="1"/>
    <n v="0"/>
    <n v="0"/>
    <n v="1"/>
    <n v="1"/>
    <n v="1"/>
    <n v="1"/>
    <n v="1"/>
    <n v="0.75"/>
    <n v="0"/>
    <n v="0"/>
    <n v="1.1000000000000001"/>
    <n v="1.1000000000000001"/>
    <n v="1.1000000000000001"/>
    <n v="0.05"/>
    <n v="0.05"/>
    <n v="0.1"/>
    <s v="MoGLSD (UNCC)"/>
    <s v="018 Ministry of Gender, Labour and Social Development"/>
    <s v="UBC, UCC, MICT&amp;NG,MTWA"/>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11"/>
    <s v="A National Traditional healers regulatory framework developed"/>
    <s v="Traditional healers regulations in place"/>
    <n v="0"/>
    <m/>
    <n v="56"/>
    <n v="56"/>
    <n v="56"/>
    <n v="56"/>
    <s v=" MGLSD (UNCC) "/>
    <e v="#N/A"/>
    <s v="Develop and implement a national regulatory framework for traditional healers "/>
    <n v="0"/>
    <n v="0"/>
    <n v="0"/>
    <n v="0"/>
    <n v="0"/>
    <n v="0"/>
    <n v="0"/>
    <n v="0"/>
    <n v="0"/>
    <n v="0"/>
    <n v="0"/>
    <n v="0"/>
    <n v="0"/>
    <n v="0.3"/>
    <m/>
    <m/>
    <n v="0"/>
    <s v="MoGLSD (UNCC)"/>
    <s v="018 Ministry of Gender, Labour and Social Development"/>
    <s v="UBC, UCC, MICT&amp;NG,MTWA"/>
  </r>
  <r>
    <x v="1"/>
    <x v="1"/>
    <s v="152"/>
    <s v="Strengthening institutional support "/>
    <s v="1522"/>
    <s v="Strengthen institutional capacity of central, local government and non-state actors for effective mobilization of communities"/>
    <s v="152203"/>
    <s v="Institutionalize cultural, religious and other non-state actors in community development initiatives"/>
    <n v="0"/>
    <n v="0"/>
    <s v="15220312"/>
    <s v="National Documented Heritage preserved"/>
    <s v="No. of Documented Heritage collected, preserved and availed to the public"/>
    <n v="0"/>
    <n v="200"/>
    <n v="500"/>
    <n v="500"/>
    <n v="500"/>
    <n v="500"/>
    <s v=" MGLSD (UNCC) "/>
    <e v="#N/A"/>
    <s v="Collect, conserve and preserve documented heritage"/>
    <n v="0"/>
    <n v="0"/>
    <n v="0"/>
    <n v="0"/>
    <n v="0"/>
    <n v="0"/>
    <n v="0"/>
    <n v="0"/>
    <n v="0"/>
    <n v="0"/>
    <n v="0"/>
    <n v="1"/>
    <n v="1"/>
    <n v="1"/>
    <m/>
    <m/>
    <n v="0"/>
    <s v="MoGLSD (UNCC)"/>
    <s v="018 Ministry of Gender, Labour and Social Development"/>
    <s v="UBC, UCC, MICT&amp;NG,MTWA"/>
  </r>
  <r>
    <x v="1"/>
    <x v="1"/>
    <s v="153"/>
    <s v="Civic Education &amp; Mindset change"/>
    <s v="1533"/>
    <s v="Promote and inculcate the National Vision and value system"/>
    <s v="153301"/>
    <s v="Develop and implement a national service program"/>
    <n v="0"/>
    <n v="0"/>
    <s v="15330101"/>
    <s v="Talent academy strengthened"/>
    <s v="Number of talent academies certified and supported"/>
    <n v="0"/>
    <n v="1"/>
    <n v="1"/>
    <n v="1"/>
    <n v="1"/>
    <n v="1"/>
    <s v=" MGLSD (UNCC) "/>
    <e v="#N/A"/>
    <s v="Register and support talent academies"/>
    <n v="1"/>
    <n v="0"/>
    <n v="0"/>
    <n v="1"/>
    <n v="1"/>
    <n v="1"/>
    <n v="1"/>
    <n v="1"/>
    <n v="0.75"/>
    <n v="0"/>
    <n v="0"/>
    <n v="8.5"/>
    <n v="8.5"/>
    <n v="9"/>
    <n v="0.5"/>
    <n v="0.5"/>
    <n v="1"/>
    <s v="MoES"/>
    <s v="013 Ministry of Education and Sports"/>
    <s v="MGLSD, MICT&amp;NG, "/>
  </r>
  <r>
    <x v="1"/>
    <x v="1"/>
    <s v="153"/>
    <s v="Civic Education &amp; Mindset change"/>
    <s v="1533"/>
    <s v="Promote and inculcate the National Vision and value system"/>
    <s v="153301"/>
    <s v="Develop and implement a national service program"/>
    <n v="0"/>
    <n v="0"/>
    <s v="15330102"/>
    <s v="National Service Program established"/>
    <s v="A national service programme in place"/>
    <n v="0"/>
    <n v="1"/>
    <s v="-"/>
    <s v="-"/>
    <n v="1"/>
    <n v="1"/>
    <s v="OP"/>
    <s v="001 Office of the President"/>
    <s v="Develop the National Service Program"/>
    <n v="1"/>
    <n v="0"/>
    <n v="0"/>
    <n v="1"/>
    <n v="1"/>
    <n v="1"/>
    <n v="1"/>
    <n v="1"/>
    <n v="0.75"/>
    <n v="1"/>
    <n v="0"/>
    <n v="5"/>
    <n v="0"/>
    <n v="0"/>
    <n v="3"/>
    <n v="3"/>
    <n v="6"/>
    <s v="OP"/>
    <s v="001 Office of the President"/>
    <s v="MDVA, MGLSD, MOES, MICT&amp;NG, MoPS, MoLG, OWC, LGs"/>
  </r>
  <r>
    <x v="1"/>
    <x v="1"/>
    <s v="153"/>
    <s v="Civic Education &amp; Mindset change"/>
    <s v="1533"/>
    <s v="Promote and inculcate the National Vision and value system"/>
    <s v="153301"/>
    <s v="Develop and implement a national service program"/>
    <n v="0"/>
    <n v="0"/>
    <s v="15330103"/>
    <s v="National Service Program rolled out"/>
    <s v="No. of Training centres implementing the national service program"/>
    <n v="0"/>
    <m/>
    <m/>
    <m/>
    <n v="50000"/>
    <n v="50000"/>
    <s v="OP"/>
    <s v="001 Office of the President"/>
    <s v="Conduct roll out/ training for the National Service Program "/>
    <n v="1"/>
    <n v="0"/>
    <n v="0"/>
    <n v="1"/>
    <n v="1"/>
    <n v="1"/>
    <n v="1"/>
    <n v="1"/>
    <n v="0.75"/>
    <n v="1"/>
    <n v="0"/>
    <n v="69.603750000000005"/>
    <n v="73.083937500000005"/>
    <n v="76.738134375000001"/>
    <n v="24.529999999999998"/>
    <n v="9.65"/>
    <n v="34.18"/>
    <s v="OP"/>
    <s v="001 Office of the President"/>
    <s v="MOES, MGLSD,  MICT&amp;NG, MoPS, MoLG, LGs"/>
  </r>
  <r>
    <x v="1"/>
    <x v="1"/>
    <s v="153"/>
    <s v="Civic Education &amp; Mindset change"/>
    <s v="1533"/>
    <s v="Promote and inculcate the National Vision and value system"/>
    <s v="153301"/>
    <s v="Develop and implement a national service program"/>
    <n v="0"/>
    <n v="0"/>
    <s v="15330104"/>
    <s v="Coordination and Implementation Framework for the National Service operationalised"/>
    <s v="No. of ToTs in National Service trainings"/>
    <n v="0"/>
    <m/>
    <m/>
    <m/>
    <n v="500"/>
    <n v="500"/>
    <s v="OP"/>
    <s v="001 Office of the President"/>
    <s v="Strengthen the capacity of the National Secretariat for Patriotism Club to implement the National Service Program"/>
    <n v="1"/>
    <n v="0"/>
    <n v="0"/>
    <n v="1"/>
    <n v="1"/>
    <n v="1"/>
    <n v="1"/>
    <n v="1"/>
    <n v="0.75"/>
    <n v="1"/>
    <n v="0"/>
    <n v="0"/>
    <n v="1"/>
    <n v="1"/>
    <n v="1"/>
    <n v="1"/>
    <n v="2"/>
    <s v="OP"/>
    <s v="001 Office of the President"/>
    <s v="MOES, MGLSD,  MICT&amp;NG, MoPS, MoLG, LGs"/>
  </r>
  <r>
    <x v="1"/>
    <x v="1"/>
    <s v="153"/>
    <s v="Civic Education &amp; Mindset change"/>
    <s v="1533"/>
    <s v="Promote and inculcate the National Vision and value system"/>
    <s v="153301"/>
    <s v="Develop and implement a national service program"/>
    <n v="0"/>
    <n v="0"/>
    <s v="15330105"/>
    <s v="Conduct Patriotism training in schools, training institions and centers"/>
    <s v="No. of teachers and students trained in patriotism ideology"/>
    <n v="0"/>
    <n v="50000"/>
    <n v="50000"/>
    <n v="50000"/>
    <n v="50000"/>
    <n v="50000"/>
    <s v="MoGLSD, MoD, MoES"/>
    <e v="#N/A"/>
    <m/>
    <m/>
    <m/>
    <m/>
    <m/>
    <m/>
    <m/>
    <n v="0"/>
    <n v="0"/>
    <n v="0"/>
    <m/>
    <n v="0"/>
    <m/>
    <m/>
    <m/>
    <m/>
    <m/>
    <n v="0"/>
    <m/>
    <m/>
    <m/>
  </r>
  <r>
    <x v="1"/>
    <x v="1"/>
    <s v="153"/>
    <s v="Civic Education &amp; Mindset change"/>
    <s v="1533"/>
    <s v="Promote and inculcate the National Vision and value system"/>
    <s v="153301"/>
    <s v="Develop and implement a national service program"/>
    <n v="0"/>
    <n v="0"/>
    <s v="15330106"/>
    <s v="National incentives framework established"/>
    <s v="-"/>
    <n v="0"/>
    <m/>
    <m/>
    <m/>
    <m/>
    <m/>
    <m/>
    <e v="#N/A"/>
    <s v="Develop and implement the National incentives framework "/>
    <n v="0"/>
    <n v="0"/>
    <n v="0"/>
    <n v="1"/>
    <n v="1"/>
    <n v="1"/>
    <n v="0"/>
    <n v="0"/>
    <n v="0.375"/>
    <n v="0"/>
    <n v="0"/>
    <n v="0.2"/>
    <n v="0.2"/>
    <n v="0.2"/>
    <m/>
    <m/>
    <n v="0"/>
    <s v="OP"/>
    <s v="001 Office of the President"/>
    <s v="MGLSD, MDVA"/>
  </r>
  <r>
    <x v="1"/>
    <x v="1"/>
    <s v="153"/>
    <s v="Civic Education &amp; Mindset change"/>
    <s v="1533"/>
    <s v="Promote and inculcate the National Vision and value system"/>
    <s v="153301"/>
    <s v="Develop and implement a national service program"/>
    <n v="0"/>
    <n v="0"/>
    <s v="15330107"/>
    <s v="Mindset change programme established"/>
    <s v="-"/>
    <n v="0"/>
    <m/>
    <m/>
    <m/>
    <m/>
    <m/>
    <m/>
    <e v="#N/A"/>
    <s v="Develop and operationalise mindset change programme "/>
    <n v="0"/>
    <n v="0"/>
    <n v="0"/>
    <n v="0"/>
    <n v="0"/>
    <n v="0"/>
    <n v="0"/>
    <n v="0"/>
    <n v="0"/>
    <n v="0"/>
    <n v="0"/>
    <n v="0"/>
    <n v="0"/>
    <n v="0"/>
    <n v="0"/>
    <n v="0"/>
    <n v="0"/>
    <s v="MoICT&amp;NG"/>
    <s v="020 Ministry of ICT and National Guidance"/>
    <s v="MGLSD, MOES, MoPS, OP, UBC"/>
  </r>
  <r>
    <x v="1"/>
    <x v="1"/>
    <s v="153"/>
    <s v="Civic Education &amp; Mindset change"/>
    <s v="1533"/>
    <s v="Promote and inculcate the National Vision and value system"/>
    <s v="153301"/>
    <s v="Develop and implement a national service program"/>
    <n v="0"/>
    <n v="0"/>
    <s v="15330108"/>
    <s v="Integration of values of  culture  in school curriculums and other education programmes up to the tertiary level conducted"/>
    <s v="-"/>
    <n v="0"/>
    <m/>
    <m/>
    <m/>
    <m/>
    <m/>
    <m/>
    <e v="#N/A"/>
    <s v="Conduct integration of values of  culture  in school curriculums and other education programmes up to the tertiary level"/>
    <n v="0"/>
    <n v="0"/>
    <n v="0"/>
    <n v="1"/>
    <n v="0"/>
    <n v="1"/>
    <n v="1"/>
    <n v="1"/>
    <n v="0.5"/>
    <n v="0"/>
    <n v="0"/>
    <n v="5"/>
    <n v="5"/>
    <n v="8"/>
    <m/>
    <m/>
    <n v="0"/>
    <s v="MoGLSD (UNCC)"/>
    <s v="018 Ministry of Gender, Labour and Social Development"/>
    <s v="N/A"/>
  </r>
  <r>
    <x v="1"/>
    <x v="1"/>
    <s v="153"/>
    <s v="Civic Education &amp; Mindset change"/>
    <s v="1533"/>
    <s v="Promote and inculcate the National Vision and value system"/>
    <s v="153301"/>
    <s v="Develop and implement a national service program"/>
    <n v="0"/>
    <n v="0"/>
    <s v="15330109"/>
    <s v="National MDD and Visual Arts Competitions established "/>
    <s v="-"/>
    <n v="0"/>
    <m/>
    <m/>
    <m/>
    <m/>
    <m/>
    <m/>
    <e v="#N/A"/>
    <s v="Organise the National MDD and Visual Arts Competitions"/>
    <n v="0"/>
    <n v="0"/>
    <n v="0"/>
    <n v="0"/>
    <n v="0"/>
    <n v="0"/>
    <n v="0"/>
    <n v="0"/>
    <n v="0"/>
    <n v="0"/>
    <n v="0"/>
    <n v="15.74"/>
    <n v="15.74"/>
    <n v="15.74"/>
    <m/>
    <m/>
    <n v="0"/>
    <s v="MoGLSD (UNCC)"/>
    <s v="018 Ministry of Gender, Labour and Social Development"/>
    <s v="N/A"/>
  </r>
  <r>
    <x v="1"/>
    <x v="1"/>
    <s v="153"/>
    <s v="Civic Education &amp; Mindset change"/>
    <s v="1533"/>
    <s v="Promote and inculcate the National Vision and value system"/>
    <s v="153301"/>
    <s v="Develop and implement a national service program"/>
    <n v="0"/>
    <n v="0"/>
    <s v="15330110"/>
    <s v="Kiswahili as an official language in Uganda promoted"/>
    <s v="Swahili Council in place "/>
    <n v="0"/>
    <n v="1"/>
    <s v="-"/>
    <s v="-"/>
    <s v="-"/>
    <s v="-"/>
    <m/>
    <e v="#N/A"/>
    <m/>
    <m/>
    <m/>
    <m/>
    <m/>
    <m/>
    <m/>
    <n v="0"/>
    <n v="0"/>
    <n v="0"/>
    <m/>
    <n v="0"/>
    <m/>
    <m/>
    <m/>
    <m/>
    <m/>
    <n v="0"/>
    <m/>
    <m/>
    <m/>
  </r>
  <r>
    <x v="1"/>
    <x v="1"/>
    <s v="153"/>
    <s v="Civic Education &amp; Mindset change"/>
    <s v="1533"/>
    <s v="Promote and inculcate the National Vision and value system"/>
    <s v="153301"/>
    <s v="Develop and implement a national service program"/>
    <n v="0"/>
    <n v="0"/>
    <s v="15330110"/>
    <s v="Kiswahili as an official language in Uganda promoted"/>
    <s v="Swahili Curriculum reviewed"/>
    <n v="0"/>
    <n v="1"/>
    <s v="-"/>
    <s v="-"/>
    <s v="-"/>
    <s v="-"/>
    <m/>
    <e v="#N/A"/>
    <m/>
    <m/>
    <m/>
    <m/>
    <m/>
    <m/>
    <m/>
    <n v="0"/>
    <n v="0"/>
    <n v="0"/>
    <m/>
    <n v="0"/>
    <m/>
    <m/>
    <m/>
    <m/>
    <m/>
    <n v="0"/>
    <m/>
    <m/>
    <m/>
  </r>
  <r>
    <x v="1"/>
    <x v="1"/>
    <s v="153"/>
    <s v="Civic Education &amp; Mindset change"/>
    <s v="1533"/>
    <s v="Promote and inculcate the National Vision and value system"/>
    <s v="153301"/>
    <s v="Develop and implement a national service program"/>
    <n v="0"/>
    <n v="0"/>
    <s v="15330110"/>
    <s v="Kiswahili as an official language in Uganda promoted"/>
    <s v="Number of Swahili facilitators trained "/>
    <n v="186"/>
    <s v="-"/>
    <n v="200"/>
    <n v="250"/>
    <n v="300"/>
    <n v="350"/>
    <m/>
    <e v="#N/A"/>
    <m/>
    <m/>
    <m/>
    <m/>
    <m/>
    <m/>
    <m/>
    <n v="0"/>
    <n v="0"/>
    <n v="0"/>
    <m/>
    <n v="0"/>
    <m/>
    <m/>
    <m/>
    <m/>
    <m/>
    <n v="0"/>
    <m/>
    <m/>
    <m/>
  </r>
  <r>
    <x v="1"/>
    <x v="1"/>
    <s v="153"/>
    <s v="Civic Education &amp; Mindset change"/>
    <s v="1533"/>
    <s v="Promote and inculcate the National Vision and value system"/>
    <s v="153302"/>
    <s v="Popularize the national vision, interest and common good for the citizenry"/>
    <n v="0"/>
    <n v="0"/>
    <s v="15330201"/>
    <s v="A national vision, interest and common good popularized"/>
    <s v="No. of dissemination activities for the National Vision, interests and common good conducted"/>
    <m/>
    <m/>
    <m/>
    <m/>
    <m/>
    <m/>
    <m/>
    <e v="#N/A"/>
    <m/>
    <m/>
    <m/>
    <m/>
    <m/>
    <m/>
    <m/>
    <n v="0"/>
    <n v="0"/>
    <n v="0"/>
    <m/>
    <n v="0"/>
    <m/>
    <m/>
    <m/>
    <m/>
    <m/>
    <n v="0"/>
    <m/>
    <m/>
    <m/>
  </r>
  <r>
    <x v="1"/>
    <x v="1"/>
    <s v="153"/>
    <s v="Civic Education &amp; Mindset change"/>
    <s v="1533"/>
    <s v="Promote and inculcate the National Vision and value system"/>
    <s v="153302"/>
    <s v="Popularize the national vision, interest and common good for the citizenry"/>
    <n v="0"/>
    <n v="0"/>
    <s v="15330201"/>
    <s v="A national vision, interest and common good popularized"/>
    <s v="National value system in place"/>
    <n v="0"/>
    <m/>
    <m/>
    <m/>
    <m/>
    <m/>
    <m/>
    <e v="#N/A"/>
    <m/>
    <m/>
    <m/>
    <m/>
    <m/>
    <m/>
    <m/>
    <n v="0"/>
    <n v="0"/>
    <n v="0"/>
    <m/>
    <n v="0"/>
    <m/>
    <m/>
    <m/>
    <m/>
    <m/>
    <n v="0"/>
    <m/>
    <m/>
    <m/>
  </r>
  <r>
    <x v="1"/>
    <x v="1"/>
    <s v="153"/>
    <s v="Civic Education &amp; Mindset change"/>
    <s v="1533"/>
    <s v="Promote and inculcate the National Vision and value system"/>
    <s v="153302"/>
    <s v="Popularize the national vision, interest and common good for the citizenry"/>
    <n v="0"/>
    <n v="0"/>
    <s v="15330201"/>
    <s v="A national vision, interest and common good popularized"/>
    <s v="No. of patriotic clubs"/>
    <n v="0"/>
    <m/>
    <m/>
    <m/>
    <m/>
    <m/>
    <m/>
    <e v="#N/A"/>
    <m/>
    <m/>
    <m/>
    <m/>
    <m/>
    <m/>
    <m/>
    <n v="0"/>
    <n v="0"/>
    <n v="0"/>
    <m/>
    <n v="0"/>
    <m/>
    <m/>
    <m/>
    <m/>
    <m/>
    <n v="0"/>
    <m/>
    <m/>
    <m/>
  </r>
  <r>
    <x v="1"/>
    <x v="1"/>
    <s v="153"/>
    <s v="Civic Education &amp; Mindset change"/>
    <s v="1533"/>
    <s v="Promote and inculcate the National Vision and value system"/>
    <s v="153302"/>
    <s v="Popularize the national vision, interest and common good for the citizenry"/>
    <n v="0"/>
    <n v="0"/>
    <s v="15330202"/>
    <s v="A Bill approved on the duties of the Citizenry and popularised"/>
    <s v="-"/>
    <n v="0"/>
    <m/>
    <m/>
    <m/>
    <m/>
    <m/>
    <m/>
    <e v="#N/A"/>
    <s v="Initiate the Bill to effect the National objectives XXIX (29) on the duties of the Citizenry"/>
    <m/>
    <m/>
    <m/>
    <m/>
    <m/>
    <m/>
    <n v="0"/>
    <n v="0"/>
    <n v="0"/>
    <m/>
    <n v="0"/>
    <n v="0"/>
    <n v="0"/>
    <n v="0"/>
    <n v="0"/>
    <n v="0"/>
    <n v="0"/>
    <s v="MoICT&amp;NG"/>
    <s v="020 Ministry of ICT and National Guidance"/>
    <s v="MGLSD, MOES, MoPS, OP, UBC"/>
  </r>
  <r>
    <x v="1"/>
    <x v="1"/>
    <s v="153"/>
    <s v="Civic Education &amp; Mindset change"/>
    <s v="1533"/>
    <s v="Promote and inculcate the National Vision and value system"/>
    <s v="153302"/>
    <s v="Popularize the national vision, interest and common good for the citizenry"/>
    <n v="0"/>
    <n v="0"/>
    <s v="15330203"/>
    <s v="National Guidance policy fast tracked and approved"/>
    <s v="-"/>
    <n v="0"/>
    <m/>
    <m/>
    <m/>
    <m/>
    <m/>
    <m/>
    <e v="#N/A"/>
    <s v="Finalise the National Guidance policy"/>
    <m/>
    <m/>
    <m/>
    <m/>
    <m/>
    <m/>
    <n v="0"/>
    <n v="0"/>
    <n v="0"/>
    <m/>
    <n v="0"/>
    <n v="0"/>
    <n v="0"/>
    <n v="0"/>
    <n v="0"/>
    <n v="0"/>
    <n v="0"/>
    <s v="MoICT&amp;NG"/>
    <s v="020 Ministry of ICT and National Guidance"/>
    <s v="MGLSD, MOES, MoPS, OP, UBC, MIA, MOFPED, NPA"/>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1"/>
    <s v="Medals conferred to outstanding performers by H.E the President"/>
    <s v="Number of investure ceremonies (Chancery) conducted"/>
    <n v="0"/>
    <n v="6"/>
    <n v="6"/>
    <n v="6"/>
    <n v="6"/>
    <n v="6"/>
    <s v=" OP "/>
    <e v="#N/A"/>
    <s v="Conduct Investiture ceremonies (Chancery)"/>
    <n v="1"/>
    <n v="0"/>
    <n v="1"/>
    <n v="1"/>
    <n v="1"/>
    <n v="1"/>
    <n v="0"/>
    <n v="1"/>
    <n v="0.75"/>
    <n v="0"/>
    <n v="0"/>
    <s v="        -   "/>
    <n v="0.15"/>
    <n v="0.15"/>
    <n v="2"/>
    <n v="2"/>
    <n v="4"/>
    <s v="OP"/>
    <s v="001 Office of the President"/>
    <s v="LGs"/>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2"/>
    <s v="A frame work for Identification and recognition of exemplary achievers established "/>
    <s v="Framework place in place "/>
    <n v="0"/>
    <n v="139"/>
    <n v="139"/>
    <n v="139"/>
    <n v="139"/>
    <n v="139"/>
    <s v=" OP "/>
    <e v="#N/A"/>
    <s v="Track the record, verify and award   persons deserving honors at national and diaspora levels"/>
    <n v="0"/>
    <n v="0"/>
    <n v="0"/>
    <n v="1"/>
    <n v="1"/>
    <n v="1"/>
    <n v="0"/>
    <n v="1"/>
    <n v="0.5"/>
    <n v="0"/>
    <n v="0"/>
    <s v="        -   "/>
    <n v="0.2"/>
    <n v="0.2"/>
    <m/>
    <m/>
    <n v="0"/>
    <s v="OP"/>
    <s v="001 Office of the President"/>
    <s v="LGs, MGLSD"/>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3"/>
    <s v="Necessary Insignia, Medals and Certificates purchased"/>
    <s v="Number of medals purchased."/>
    <n v="0"/>
    <n v="6"/>
    <n v="6"/>
    <n v="6"/>
    <n v="6"/>
    <n v="6"/>
    <s v=" OP "/>
    <e v="#N/A"/>
    <s v="Honour persons approved by H.E the President"/>
    <n v="0"/>
    <n v="0"/>
    <n v="0"/>
    <n v="0"/>
    <n v="0"/>
    <n v="0"/>
    <n v="0"/>
    <n v="0"/>
    <n v="0"/>
    <n v="0"/>
    <n v="0"/>
    <s v="        -   "/>
    <n v="0.16"/>
    <n v="0.16"/>
    <m/>
    <m/>
    <n v="0"/>
    <s v="OP"/>
    <s v="001 Office of the President"/>
    <s v="MDAs"/>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4"/>
    <s v="Hall of fame established"/>
    <s v="Hall of fame in place"/>
    <n v="0"/>
    <s v="-"/>
    <s v="-"/>
    <m/>
    <m/>
    <n v="1"/>
    <s v=" OP "/>
    <e v="#N/A"/>
    <s v="Operationalize the hall of fame"/>
    <n v="1"/>
    <n v="0"/>
    <n v="0"/>
    <n v="1"/>
    <n v="1"/>
    <n v="1"/>
    <n v="0"/>
    <n v="1"/>
    <n v="0.625"/>
    <n v="0"/>
    <n v="0"/>
    <s v="        -   "/>
    <s v="         -   "/>
    <n v="1"/>
    <n v="1"/>
    <n v="1"/>
    <n v="2"/>
    <s v="OP"/>
    <s v="001 Office of the President"/>
    <s v="MDAs"/>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5"/>
    <s v="Capacity of 34 staff built in management and administration of Honours"/>
    <s v="No. of staff trained in management and administration of Honours"/>
    <n v="0"/>
    <s v="-"/>
    <n v="8"/>
    <n v="8"/>
    <n v="8"/>
    <n v="10"/>
    <s v=" OP "/>
    <e v="#N/A"/>
    <s v="Conduct training of staff in management and administration of Honours"/>
    <n v="0"/>
    <n v="0"/>
    <n v="0"/>
    <n v="0"/>
    <n v="0"/>
    <n v="0"/>
    <n v="0"/>
    <n v="0"/>
    <n v="0"/>
    <n v="0"/>
    <n v="0"/>
    <s v="        -   "/>
    <n v="0.08"/>
    <n v="0.08"/>
    <m/>
    <m/>
    <n v="0"/>
    <s v="OP"/>
    <s v="001 Office of the President"/>
    <s v="MDAs"/>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6"/>
    <s v="Annual Integrity Awards framework for exemplary service (for both public and private) established and implemented"/>
    <s v="Awards framework in place "/>
    <n v="0"/>
    <m/>
    <n v="1"/>
    <s v="-"/>
    <s v="-"/>
    <s v="-"/>
    <s v=" DEI "/>
    <e v="#N/A"/>
    <s v="Establish the Annual Integrity Awards framework for exemplary service (for both public and private)"/>
    <n v="0"/>
    <n v="0"/>
    <n v="0"/>
    <n v="0"/>
    <n v="0"/>
    <n v="0"/>
    <n v="0"/>
    <n v="0"/>
    <n v="0"/>
    <n v="0"/>
    <n v="0"/>
    <n v="0"/>
    <n v="0.1"/>
    <s v="         -   "/>
    <s v="         -   "/>
    <s v="         -   "/>
    <n v="0"/>
    <s v="DEI"/>
    <s v="112 Ethics and Integrity"/>
    <s v="MoPS, RFO, Private Sector"/>
  </r>
  <r>
    <x v="1"/>
    <x v="1"/>
    <s v="153"/>
    <s v="Civic Education &amp; Mindset change"/>
    <s v="1533"/>
    <s v="Promote and inculcate the National Vision and value system"/>
    <s v="153303"/>
    <s v="Establish a National incentives framework including rewards and sanctions for best performing workers, leaders and communities"/>
    <n v="0"/>
    <n v="0"/>
    <s v="15330306"/>
    <s v="Annual Integrity Awards framework for exemplary service (for both public and private) established and implemented"/>
    <s v="No. of people receiving Awards"/>
    <n v="0"/>
    <s v="-"/>
    <n v="100"/>
    <n v="100"/>
    <n v="100"/>
    <n v="100"/>
    <s v=" DEI "/>
    <e v="#N/A"/>
    <s v="Operationalise Annual Integrity Awards framework for exemplary service (for both public and private)"/>
    <n v="0"/>
    <n v="0"/>
    <n v="0"/>
    <n v="0"/>
    <n v="0"/>
    <n v="0"/>
    <n v="0"/>
    <n v="0"/>
    <n v="0"/>
    <n v="0"/>
    <n v="0"/>
    <s v="        -   "/>
    <n v="0.2"/>
    <n v="0.2"/>
    <m/>
    <m/>
    <n v="0"/>
    <s v="DEI"/>
    <s v="112 Ethics and Integrity"/>
    <s v="MICT&amp;NG, MOES, MoPS"/>
  </r>
  <r>
    <x v="1"/>
    <x v="1"/>
    <s v="153"/>
    <s v="Civic Education &amp; Mindset change"/>
    <s v="1533"/>
    <s v="Promote and inculcate the National Vision and value system"/>
    <s v="153304"/>
    <s v="Develop and/or operationalize a system for inculcating ethical standards in the formal, informal and all communities"/>
    <n v="0"/>
    <n v="0"/>
    <s v="15330401"/>
    <s v="National Ethical Values inculcated in community"/>
    <s v="No. of categories inculcating National Ethical Values in community"/>
    <n v="0"/>
    <n v="6"/>
    <n v="6"/>
    <n v="6"/>
    <n v="6"/>
    <n v="6"/>
    <s v=" DEI "/>
    <e v="#N/A"/>
    <s v="Inculcate National Ethical Values in the community (through Religious and Faith Organisations (RFOs), family structure in collaboration with MoGLSD"/>
    <n v="1"/>
    <n v="0"/>
    <n v="0"/>
    <n v="1"/>
    <n v="1"/>
    <n v="1"/>
    <n v="1"/>
    <n v="1"/>
    <n v="0.75"/>
    <n v="0"/>
    <n v="0"/>
    <n v="0.1"/>
    <n v="0.05"/>
    <n v="0.05"/>
    <n v="0.05"/>
    <n v="0.05"/>
    <n v="0.1"/>
    <s v="DEI"/>
    <s v="112 Ethics and Integrity"/>
    <s v="MGLSD, MICT&amp;NG, "/>
  </r>
  <r>
    <x v="1"/>
    <x v="1"/>
    <s v="153"/>
    <s v="Civic Education &amp; Mindset change"/>
    <s v="1533"/>
    <s v="Promote and inculcate the National Vision and value system"/>
    <s v="153304"/>
    <s v="Develop and/or operationalize a system for inculcating ethical standards in the formal, informal and all communities"/>
    <n v="0"/>
    <n v="0"/>
    <s v="15330402"/>
    <s v="Code of business ethics for business communities popularised"/>
    <s v="No. of business communities adhering to Code of business ethics"/>
    <n v="0"/>
    <n v="20"/>
    <n v="20"/>
    <n v="20"/>
    <n v="20"/>
    <n v="20"/>
    <s v=" DEI "/>
    <e v="#N/A"/>
    <s v="Popularise the code of business ethics for business communities"/>
    <n v="1"/>
    <n v="0"/>
    <n v="0"/>
    <n v="1"/>
    <n v="1"/>
    <n v="1"/>
    <n v="1"/>
    <n v="1"/>
    <n v="0.75"/>
    <n v="0"/>
    <n v="0"/>
    <n v="0"/>
    <n v="0"/>
    <n v="0"/>
    <n v="0"/>
    <n v="0"/>
    <n v="0"/>
    <s v="DEI"/>
    <s v="112 Ethics and Integrity"/>
    <s v="Private sector, LGs"/>
  </r>
  <r>
    <x v="1"/>
    <x v="1"/>
    <s v="153"/>
    <s v="Civic Education &amp; Mindset change"/>
    <s v="1533"/>
    <s v="Promote and inculcate the National Vision and value system"/>
    <s v="153304"/>
    <s v="Develop and/or operationalize a system for inculcating ethical standards in the formal, informal and all communities"/>
    <n v="0"/>
    <n v="0"/>
    <s v="15330403"/>
    <s v="National Ethical Values integrated into the education instititions"/>
    <s v="Categories of education institutions integrating National Ethical Values"/>
    <n v="0"/>
    <n v="4"/>
    <n v="4"/>
    <n v="4"/>
    <n v="4"/>
    <n v="4"/>
    <s v=" MOES "/>
    <e v="#N/A"/>
    <s v="Integrate the National Ethical Values into the education institutions"/>
    <n v="1"/>
    <n v="0"/>
    <n v="0"/>
    <n v="1"/>
    <n v="1"/>
    <n v="1"/>
    <n v="1"/>
    <n v="1"/>
    <n v="0.75"/>
    <n v="0"/>
    <n v="0"/>
    <n v="0.2"/>
    <n v="0.2"/>
    <n v="0.2"/>
    <n v="0.2"/>
    <n v="0.2"/>
    <n v="0.4"/>
    <s v="MoES"/>
    <s v="013 Ministry of Education and Sports"/>
    <s v="DEI"/>
  </r>
  <r>
    <x v="1"/>
    <x v="1"/>
    <s v="153"/>
    <s v="Civic Education &amp; Mindset change"/>
    <s v="1533"/>
    <s v="Promote and inculcate the National Vision and value system"/>
    <s v="153304"/>
    <s v="Develop and/or operationalize a system for inculcating ethical standards in the formal, informal and all communities"/>
    <n v="0"/>
    <n v="0"/>
    <s v="15330404"/>
    <s v="National Arts and Culture awards initiated and organised "/>
    <s v="Nomination sheets, awards, jury sheets, award concept, invitations, reviews, participation call"/>
    <n v="0"/>
    <n v="114"/>
    <n v="114"/>
    <n v="114"/>
    <n v="114"/>
    <n v="114"/>
    <s v=" MGLSD (UNCC) "/>
    <e v="#N/A"/>
    <s v="Develop platform  for recognition, tapping and rewarding cultural industry players that have exemplary product quality and marketing strategies to promote best practices to small and medium enterprises  "/>
    <n v="1"/>
    <n v="0"/>
    <n v="0"/>
    <n v="1"/>
    <n v="1"/>
    <n v="1"/>
    <n v="1"/>
    <n v="1"/>
    <n v="0.75"/>
    <n v="0"/>
    <n v="0"/>
    <n v="0"/>
    <n v="0"/>
    <n v="3"/>
    <n v="5"/>
    <n v="5"/>
    <n v="10"/>
    <s v="MoGLSD (UNCC)"/>
    <s v="018 Ministry of Gender, Labour and Social Development"/>
    <s v="N/A"/>
  </r>
  <r>
    <x v="1"/>
    <x v="1"/>
    <s v="153"/>
    <s v="Civic Education &amp; Mindset change"/>
    <s v="1533"/>
    <s v="Promote and inculcate the National Vision and value system"/>
    <s v="153305"/>
    <s v="Develop and enforce ordinances and by-laws to ensure the national vision and value system is adhered to "/>
    <n v="0"/>
    <n v="0"/>
    <s v="15330501"/>
    <s v="Development of ordinances and By-laws in Local governments to promote ethical conduct supported"/>
    <s v="No. of LGs supported to develop ordinances and By-laws to promote ethical conduct"/>
    <n v="0"/>
    <n v="10"/>
    <n v="10"/>
    <n v="10"/>
    <n v="10"/>
    <n v="10"/>
    <s v=" MoLG "/>
    <e v="#N/A"/>
    <s v="Support the development of ordinances and By-laws in Local governments to promote ethical conduct "/>
    <m/>
    <m/>
    <m/>
    <m/>
    <m/>
    <m/>
    <n v="0"/>
    <n v="0"/>
    <n v="0"/>
    <m/>
    <n v="0"/>
    <n v="0.2"/>
    <n v="0.2"/>
    <n v="0.2"/>
    <m/>
    <m/>
    <n v="0"/>
    <s v="MoLG"/>
    <s v="011 Ministry of Local Government"/>
    <s v="LGs, DEI"/>
  </r>
  <r>
    <x v="1"/>
    <x v="1"/>
    <s v="153"/>
    <s v="Civic Education &amp; Mindset change"/>
    <s v="1533"/>
    <s v="Promote and inculcate the National Vision and value system"/>
    <s v="153305"/>
    <s v="Develop and enforce ordinances and by-laws to ensure the national vision and value system is adhered to "/>
    <n v="0"/>
    <n v="0"/>
    <s v="15330502"/>
    <s v="50 LGs monitored and evaluated on the enforcement of ordinances and Bylaws that promote ethical conduct "/>
    <s v="No. of LGs monitored and evaluated on the enforcement of ordinances and Bylaws that promote ethical conduct "/>
    <n v="0"/>
    <n v="10"/>
    <n v="10"/>
    <n v="10"/>
    <n v="10"/>
    <n v="10"/>
    <s v=" MoLG "/>
    <e v="#N/A"/>
    <s v="Monitor and evaluate the enforcement of ordinances and Bylaws that promote ethical conduct "/>
    <m/>
    <m/>
    <m/>
    <m/>
    <m/>
    <m/>
    <n v="0"/>
    <n v="0"/>
    <n v="0"/>
    <m/>
    <n v="0"/>
    <n v="0.4"/>
    <n v="0.4"/>
    <n v="0.4"/>
    <m/>
    <m/>
    <n v="0"/>
    <s v="MoLG"/>
    <s v="011 Ministry of Local Government"/>
    <s v="LGs, DEI"/>
  </r>
  <r>
    <x v="1"/>
    <x v="1"/>
    <s v="153"/>
    <s v="Civic Education &amp; Mindset change"/>
    <s v="1533"/>
    <s v="Promote and inculcate the National Vision and value system"/>
    <s v="153305"/>
    <s v="Develop and enforce ordinances and by-laws to ensure the national vision and value system is adhered to "/>
    <n v="0"/>
    <n v="0"/>
    <s v="15330503"/>
    <s v="Uganda national culture Policy implemented "/>
    <s v="No. of stakeholders engaged"/>
    <n v="0"/>
    <n v="441"/>
    <n v="441"/>
    <n v="441"/>
    <n v="441"/>
    <n v="441"/>
    <s v=" MGLSD (UNCC) "/>
    <e v="#N/A"/>
    <s v="Rollout a Dessimination, Sensitization, and Evalution programme on the policy implementation "/>
    <n v="0"/>
    <n v="0"/>
    <n v="0"/>
    <n v="0"/>
    <n v="0"/>
    <n v="0"/>
    <n v="0"/>
    <n v="0"/>
    <n v="0"/>
    <n v="0"/>
    <n v="0"/>
    <n v="0"/>
    <n v="0"/>
    <n v="1"/>
    <m/>
    <m/>
    <n v="0"/>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1"/>
    <s v="Capacity of state and non-state actors to enforce laws enacted against negative and/or harmful religious, traditional and cultural practices and beliefs "/>
    <s v="No of Actors trained on negative practices"/>
    <n v="0"/>
    <m/>
    <m/>
    <m/>
    <n v="200"/>
    <n v="200"/>
    <s v="MoGLSD"/>
    <s v="018 Ministry of Gender, Labour and Social Development"/>
    <s v="Train state and non-state actors to enforce laws and implement policies against negative and/or harmful religious, traditional and cultural practices and beliefs such as Anti-Pornography, FGM, GBV, Child marriages, among others "/>
    <n v="1"/>
    <n v="0"/>
    <n v="0"/>
    <n v="1"/>
    <n v="1"/>
    <n v="1"/>
    <n v="1"/>
    <n v="1"/>
    <n v="0.75"/>
    <n v="0"/>
    <n v="0"/>
    <n v="0.3"/>
    <n v="0.3"/>
    <n v="0.3"/>
    <n v="0.3"/>
    <n v="0.3"/>
    <n v="0.6"/>
    <s v="MoGLSD"/>
    <s v="018 Ministry of Gender, Labour and Social Development"/>
    <s v="LGs, DEI, UPF, MJC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2"/>
    <s v="Cultural Institutions supported"/>
    <s v="No. of cultural institutions supported"/>
    <n v="0"/>
    <m/>
    <m/>
    <m/>
    <n v="16"/>
    <n v="16"/>
    <s v="MGLSD"/>
    <e v="#N/A"/>
    <s v="Support Cultural Institutions to mobilise communities for development"/>
    <n v="1"/>
    <n v="0"/>
    <n v="0"/>
    <n v="1"/>
    <n v="1"/>
    <n v="1"/>
    <n v="1"/>
    <n v="1"/>
    <n v="0.75"/>
    <n v="0"/>
    <n v="0"/>
    <n v="0.84"/>
    <n v="14.23"/>
    <n v="20"/>
    <n v="0.5"/>
    <n v="0.5"/>
    <n v="1"/>
    <s v="MoGLSD"/>
    <s v="018 Ministry of Gender, Labour and Social Development"/>
    <s v="OWC, Cultural institutions,  MGLSD"/>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3"/>
    <s v="Media programmes on cultural heritage promotion established "/>
    <s v="No of programmes established"/>
    <n v="0"/>
    <m/>
    <m/>
    <m/>
    <n v="10"/>
    <n v="10"/>
    <m/>
    <e v="#N/A"/>
    <s v="Establish Media programmes that promote Uganda's cultural heritage and diversity (documentaries, talkshows, supplements, etc)."/>
    <n v="1"/>
    <n v="0"/>
    <n v="0"/>
    <n v="1"/>
    <n v="1"/>
    <n v="1"/>
    <n v="1"/>
    <n v="1"/>
    <n v="0.75"/>
    <n v="0"/>
    <n v="0"/>
    <n v="0"/>
    <n v="2"/>
    <n v="2"/>
    <n v="2"/>
    <n v="2"/>
    <n v="4"/>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4"/>
    <s v="Uganda respresented at various regional and international cultural programmes (EAC, AU, UNESCO)"/>
    <s v="No.of Regional &amp; international events attended"/>
    <n v="0"/>
    <m/>
    <m/>
    <m/>
    <n v="4"/>
    <n v="5"/>
    <m/>
    <e v="#N/A"/>
    <s v="Strengthen collaboration with regional/ internatinal networks, in cultural heritage promotion and development "/>
    <n v="1"/>
    <n v="0"/>
    <n v="0"/>
    <n v="1"/>
    <n v="1"/>
    <n v="1"/>
    <n v="1"/>
    <n v="1"/>
    <n v="0.75"/>
    <n v="0"/>
    <n v="0"/>
    <n v="4"/>
    <n v="4"/>
    <n v="4"/>
    <n v="4"/>
    <n v="4"/>
    <n v="8"/>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5"/>
    <s v=" A Cultural Heritage Programme designed and implemented"/>
    <s v="Programe in place"/>
    <n v="0"/>
    <m/>
    <m/>
    <m/>
    <n v="1"/>
    <n v="1"/>
    <m/>
    <e v="#N/A"/>
    <s v="Develop and implement  Heritage Education Programme"/>
    <n v="1"/>
    <n v="0"/>
    <n v="0"/>
    <n v="1"/>
    <n v="1"/>
    <n v="1"/>
    <n v="1"/>
    <n v="1"/>
    <n v="0.75"/>
    <n v="0"/>
    <n v="0"/>
    <n v="0.2"/>
    <n v="0.2"/>
    <n v="0.2"/>
    <n v="0.2"/>
    <n v="0.2"/>
    <n v="0.4"/>
    <s v="MoGLSD (UNCC)"/>
    <s v="018 Ministry of Gender, Labour and Social Development"/>
    <s v="NCDC"/>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6"/>
    <s v="National Standard for Gazetting Cultural Sites developed"/>
    <s v="-"/>
    <n v="0"/>
    <m/>
    <m/>
    <m/>
    <m/>
    <m/>
    <m/>
    <e v="#N/A"/>
    <s v="Develop a National Standard for Gazetting Cultural Sites "/>
    <n v="1"/>
    <n v="0"/>
    <n v="0"/>
    <n v="1"/>
    <n v="1"/>
    <n v="1"/>
    <n v="1"/>
    <n v="1"/>
    <n v="0.75"/>
    <n v="0"/>
    <n v="0"/>
    <n v="1"/>
    <n v="0.2"/>
    <n v="0.2"/>
    <n v="0"/>
    <n v="0"/>
    <n v="0"/>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7"/>
    <s v="Cultural Sites Gazetted"/>
    <s v="Updated national profiles for cultural &amp; heritage sites"/>
    <n v="0"/>
    <m/>
    <m/>
    <m/>
    <n v="5"/>
    <n v="5"/>
    <m/>
    <e v="#N/A"/>
    <s v="Conduct a national profiling of existing Cultural Sites for gazetting"/>
    <n v="1"/>
    <n v="0"/>
    <n v="0"/>
    <n v="1"/>
    <n v="1"/>
    <n v="1"/>
    <n v="1"/>
    <n v="1"/>
    <n v="0.75"/>
    <n v="0"/>
    <n v="0"/>
    <n v="0.3"/>
    <n v="0.3"/>
    <n v="0.3"/>
    <n v="0.3"/>
    <n v="0.3"/>
    <n v="0.6"/>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8"/>
    <s v="Gazetted Cultural Sites Developed and maintained"/>
    <s v="-"/>
    <n v="0"/>
    <m/>
    <m/>
    <m/>
    <m/>
    <m/>
    <m/>
    <e v="#N/A"/>
    <s v=" Provide support to Cultural Institutions to  develop and maintain gazetted cultural sites"/>
    <n v="1"/>
    <n v="0"/>
    <n v="0"/>
    <n v="0"/>
    <n v="0"/>
    <n v="1"/>
    <n v="1"/>
    <n v="0"/>
    <n v="0.375"/>
    <n v="0"/>
    <n v="0"/>
    <n v="5"/>
    <n v="5"/>
    <n v="5"/>
    <m/>
    <m/>
    <n v="0"/>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09"/>
    <s v="Research and documentation of  the intangible cultural heritage undertaken"/>
    <s v="-"/>
    <n v="0"/>
    <m/>
    <m/>
    <m/>
    <m/>
    <m/>
    <m/>
    <e v="#N/A"/>
    <s v="Conduct research and documentation of the intangible heritage countrywide "/>
    <n v="1"/>
    <n v="0"/>
    <n v="0"/>
    <n v="0"/>
    <n v="0"/>
    <n v="1"/>
    <n v="0"/>
    <n v="1"/>
    <n v="0.375"/>
    <n v="0"/>
    <n v="0"/>
    <n v="2"/>
    <n v="2"/>
    <n v="2"/>
    <m/>
    <m/>
    <n v="0"/>
    <s v="MoGLSD (UNCC)"/>
    <s v="018 Ministry of Gender, Labour and Social Development"/>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0"/>
    <s v="Conduct public awareness about laws enacted against harmful traditional practices"/>
    <s v="-"/>
    <n v="0"/>
    <m/>
    <m/>
    <m/>
    <m/>
    <m/>
    <m/>
    <e v="#N/A"/>
    <s v="Public awareness about laws enacted against harmful traditional practices conducted"/>
    <n v="1"/>
    <n v="0"/>
    <n v="0"/>
    <n v="1"/>
    <n v="1"/>
    <n v="1"/>
    <n v="1"/>
    <n v="1"/>
    <n v="0.75"/>
    <n v="0"/>
    <n v="0"/>
    <n v="0.24"/>
    <n v="0.3"/>
    <n v="0.3"/>
    <m/>
    <m/>
    <n v="0"/>
    <s v="JSC"/>
    <s v="148 Judicial Service Commission"/>
    <s v="N/A"/>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1"/>
    <s v="National campaigns against harmful religious, traditional/cultural practices and beliefs conducted"/>
    <s v="Number of National campaigns against harmful religious, traditional/cultural practices and beliefs conducted"/>
    <n v="2"/>
    <n v="5"/>
    <n v="10"/>
    <n v="15"/>
    <n v="20"/>
    <n v="30"/>
    <s v="MOGLSD, JLOS, LGs, OP, DPs, UBC, Religious and Cultural institutions and other Non-State Actors "/>
    <e v="#N/A"/>
    <m/>
    <m/>
    <m/>
    <m/>
    <m/>
    <m/>
    <m/>
    <n v="0"/>
    <n v="0"/>
    <n v="0"/>
    <m/>
    <n v="0"/>
    <m/>
    <m/>
    <m/>
    <m/>
    <m/>
    <n v="0"/>
    <m/>
    <m/>
    <m/>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1"/>
    <s v="National campaigns against harmful religious, traditional/cultural practices and beliefs conducted"/>
    <s v="No. of negative cultural practices and beliefs eliminated (FGM, Child sacrifice)"/>
    <m/>
    <m/>
    <m/>
    <m/>
    <m/>
    <m/>
    <s v="MOGLSD, JLOS, LGs, OP, DPs, UBC, Religious and Cultural institutions and other Non-State Actors "/>
    <e v="#N/A"/>
    <m/>
    <m/>
    <m/>
    <m/>
    <m/>
    <m/>
    <m/>
    <n v="0"/>
    <n v="0"/>
    <n v="0"/>
    <m/>
    <n v="0"/>
    <m/>
    <m/>
    <m/>
    <m/>
    <m/>
    <n v="0"/>
    <m/>
    <m/>
    <m/>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1"/>
    <s v="National campaigns against harmful religious, traditional/cultural practices and beliefs conducted"/>
    <s v="No. of awareness campaigns conducted"/>
    <m/>
    <m/>
    <m/>
    <m/>
    <m/>
    <m/>
    <s v="MOGLSD, JLOS, LGs, OP, DPs, UBC, Religious and Cultural institutions and other Non-State Actors "/>
    <e v="#N/A"/>
    <m/>
    <m/>
    <m/>
    <m/>
    <m/>
    <m/>
    <m/>
    <n v="0"/>
    <n v="0"/>
    <n v="0"/>
    <m/>
    <n v="0"/>
    <m/>
    <m/>
    <m/>
    <m/>
    <m/>
    <n v="0"/>
    <m/>
    <m/>
    <m/>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2"/>
    <s v="Relevant legislation enacted and or enforced."/>
    <s v="No. of laws enacted and enforced"/>
    <n v="2"/>
    <n v="2"/>
    <n v="3"/>
    <s v="-"/>
    <s v="-"/>
    <s v="-"/>
    <s v="MGLSD. MoLG"/>
    <e v="#N/A"/>
    <m/>
    <m/>
    <m/>
    <m/>
    <m/>
    <m/>
    <m/>
    <n v="0"/>
    <n v="0"/>
    <n v="0"/>
    <m/>
    <n v="0"/>
    <m/>
    <m/>
    <m/>
    <m/>
    <m/>
    <n v="0"/>
    <m/>
    <m/>
    <m/>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3"/>
    <s v="Community intangible cultural heritage researched and documented "/>
    <s v="Community intangible cultural heritage profiled  "/>
    <n v="0"/>
    <n v="0"/>
    <n v="0"/>
    <n v="10"/>
    <n v="0"/>
    <n v="0"/>
    <s v="MGLSD. MoLG"/>
    <e v="#N/A"/>
    <m/>
    <m/>
    <m/>
    <m/>
    <m/>
    <m/>
    <m/>
    <n v="0"/>
    <n v="0"/>
    <n v="0"/>
    <m/>
    <n v="0"/>
    <m/>
    <m/>
    <m/>
    <m/>
    <m/>
    <n v="0"/>
    <m/>
    <m/>
    <m/>
  </r>
  <r>
    <x v="1"/>
    <x v="1"/>
    <s v="153"/>
    <s v="Civic Education &amp; Mindset change"/>
    <s v="1534"/>
    <s v="Reduce negative cultural practices and attitudes"/>
    <s v="153401"/>
    <s v="Conduct awareness campaigns and enforce laws enacted against negative and/or harmful religious, traditional/cultural practices and beliefs"/>
    <n v="0"/>
    <n v="0"/>
    <s v="15340114"/>
    <s v="Cultural heritage education programs promoted"/>
    <s v="Number of campaigns conducted to promote Uganda’s intangible cultural heritage"/>
    <n v="0"/>
    <n v="2"/>
    <n v="5"/>
    <n v="7"/>
    <n v="10"/>
    <n v="15"/>
    <s v="MGLSD. MoES, MoTW"/>
    <e v="#N/A"/>
    <m/>
    <m/>
    <m/>
    <m/>
    <m/>
    <m/>
    <m/>
    <n v="0"/>
    <n v="0"/>
    <n v="0"/>
    <m/>
    <n v="0"/>
    <m/>
    <m/>
    <m/>
    <m/>
    <m/>
    <n v="0"/>
    <m/>
    <m/>
    <m/>
  </r>
  <r>
    <x v="1"/>
    <x v="1"/>
    <s v="153"/>
    <s v="Civic Education &amp; Mindset change"/>
    <s v="1534"/>
    <s v="Reduce negative cultural practices and attitudes"/>
    <s v="153402"/>
    <s v="Promote advocacy, Social mobilisation and Behavioural Change Communication for community development"/>
    <n v="0"/>
    <n v="0"/>
    <s v="15340201"/>
    <s v="Communication strategy on promotion of norms, values and positive mindsets among young people implemented"/>
    <s v="No. of national and regional diologues conducted"/>
    <n v="0"/>
    <n v="1"/>
    <n v="0"/>
    <n v="0"/>
    <n v="3"/>
    <n v="3"/>
    <s v="NPC"/>
    <e v="#N/A"/>
    <s v="Conduct national and regional dialogues for policy makers, religious &amp; cultural leaders on population &amp; development"/>
    <n v="1"/>
    <n v="0"/>
    <n v="0"/>
    <n v="1"/>
    <n v="1"/>
    <n v="1"/>
    <n v="1"/>
    <n v="1"/>
    <n v="0.75"/>
    <n v="0"/>
    <n v="0"/>
    <n v="0"/>
    <n v="0"/>
    <n v="0"/>
    <n v="0.3"/>
    <n v="0.3"/>
    <n v="0.6"/>
    <s v="UBOS (NPC)"/>
    <s v="143 Uganda Bureau of Statistics"/>
    <s v="MDAs"/>
  </r>
  <r>
    <x v="1"/>
    <x v="1"/>
    <s v="153"/>
    <s v="Civic Education &amp; Mindset change"/>
    <s v="1534"/>
    <s v="Reduce negative cultural practices and attitudes"/>
    <s v="153402"/>
    <s v="Promote advocacy, Social mobilisation and Behavioural Change Communication for community development"/>
    <n v="0"/>
    <n v="0"/>
    <s v="15340202"/>
    <s v="Population and Communication Strategy operationalized"/>
    <s v="No of advocacy campaigns"/>
    <n v="0"/>
    <m/>
    <m/>
    <m/>
    <n v="8"/>
    <n v="8"/>
    <s v="NPC"/>
    <e v="#N/A"/>
    <s v="Operationalise the population programme communication and advocacy strategy"/>
    <n v="1"/>
    <n v="1"/>
    <n v="1"/>
    <n v="1"/>
    <n v="1"/>
    <n v="1"/>
    <n v="1"/>
    <n v="1"/>
    <n v="1"/>
    <n v="0"/>
    <n v="0"/>
    <n v="2.33"/>
    <n v="2.44"/>
    <n v="2.81"/>
    <n v="2.95"/>
    <n v="2.39"/>
    <n v="5.34"/>
    <s v="UBOS (NPC)"/>
    <s v="143 Uganda Bureau of Statistics"/>
    <s v="MGLSD, MOES, MoH, NPA"/>
  </r>
  <r>
    <x v="1"/>
    <x v="1"/>
    <s v="153"/>
    <s v="Civic Education &amp; Mindset change"/>
    <s v="1534"/>
    <s v="Reduce negative cultural practices and attitudes"/>
    <s v="153402"/>
    <s v="Promote advocacy, Social mobilisation and Behavioural Change Communication for community development"/>
    <n v="0"/>
    <n v="0"/>
    <s v="15340203"/>
    <s v="National campaign to reduce teenage pregancy, FGM, GBV, malnutrition &amp; other harmful practices rolled out"/>
    <s v="No. of advocacy campaigns on TP"/>
    <n v="0"/>
    <m/>
    <m/>
    <m/>
    <n v="4"/>
    <n v="4"/>
    <s v="MGLSD"/>
    <e v="#N/A"/>
    <s v="Roll out a national campaign to reduce teenage pregancy, FGM, GBV, malnutrition &amp; other harmful practices"/>
    <n v="1"/>
    <n v="0"/>
    <n v="0"/>
    <n v="1"/>
    <n v="1"/>
    <n v="1"/>
    <n v="1"/>
    <n v="1"/>
    <n v="0.75"/>
    <n v="0"/>
    <n v="0"/>
    <n v="0.2"/>
    <n v="0.2"/>
    <n v="0.2"/>
    <n v="0.2"/>
    <n v="0.2"/>
    <n v="0.4"/>
    <s v="MoGLSD"/>
    <s v="018 Ministry of Gender, Labour and Social Development"/>
    <s v="MOES, MoH"/>
  </r>
  <r>
    <x v="1"/>
    <x v="1"/>
    <s v="153"/>
    <s v="Civic Education &amp; Mindset change"/>
    <s v="1534"/>
    <s v="Reduce negative cultural practices and attitudes"/>
    <s v="153402"/>
    <s v="Promote advocacy, Social mobilisation and Behavioural Change Communication for community development"/>
    <n v="0"/>
    <n v="0"/>
    <s v="15340204"/>
    <s v="TV &amp; Radio programmes broadcasted on marriage registration (cultural, religious&amp; civil) and licensing places of worship"/>
    <s v="-"/>
    <n v="0"/>
    <m/>
    <m/>
    <m/>
    <m/>
    <m/>
    <m/>
    <e v="#N/A"/>
    <s v="Conduct awareness campaigns on marriage registration (cultural, religious&amp; civil) and licensing places of worship"/>
    <n v="0"/>
    <n v="0"/>
    <n v="0"/>
    <n v="0"/>
    <n v="0"/>
    <n v="0"/>
    <n v="0"/>
    <n v="0"/>
    <n v="0"/>
    <n v="0"/>
    <n v="0"/>
    <n v="0.16"/>
    <n v="0.16"/>
    <n v="0.16"/>
    <m/>
    <m/>
    <n v="0"/>
    <s v="URSB"/>
    <s v="119 Uganda Registration Services Bureau"/>
    <s v="LG's"/>
  </r>
  <r>
    <x v="1"/>
    <x v="1"/>
    <s v="153"/>
    <s v="Civic Education &amp; Mindset change"/>
    <s v="1534"/>
    <s v="Reduce negative cultural practices and attitudes"/>
    <s v="153402"/>
    <s v="Promote advocacy, Social mobilisation and Behavioural Change Communication for community development"/>
    <n v="0"/>
    <n v="0"/>
    <s v="15340205"/>
    <s v="Youths, Women, PWD's, Older persons sensitized on business formalization"/>
    <s v="-"/>
    <n v="0"/>
    <m/>
    <m/>
    <m/>
    <m/>
    <m/>
    <m/>
    <e v="#N/A"/>
    <s v="Conduct awareness campaigns on formalization of businesses and enterprises for vulnerable groups (youth, women, PWDs, Older Persons)"/>
    <n v="0"/>
    <n v="0"/>
    <n v="0"/>
    <n v="0"/>
    <n v="0"/>
    <n v="0"/>
    <n v="0"/>
    <n v="0"/>
    <n v="0"/>
    <m/>
    <n v="0"/>
    <n v="0.02"/>
    <n v="0.02"/>
    <n v="0.02"/>
    <m/>
    <m/>
    <n v="0"/>
    <s v="URSB"/>
    <s v="119 Uganda Registration Services Bureau"/>
    <s v="LGs, KCCA, URA"/>
  </r>
  <r>
    <x v="1"/>
    <x v="1"/>
    <s v="153"/>
    <s v="Civic Education &amp; Mindset change"/>
    <s v="1534"/>
    <s v="Reduce negative cultural practices and attitudes"/>
    <s v="153402"/>
    <s v="Promote advocacy, Social mobilisation and Behavioural Change Communication for community development"/>
    <n v="0"/>
    <n v="0"/>
    <s v="15340206"/>
    <s v="Blind, the deaf, elderly persons sensitized on business, chattels, civil, intellectual property, insolvency registration services "/>
    <s v="-"/>
    <n v="0"/>
    <m/>
    <m/>
    <m/>
    <m/>
    <m/>
    <m/>
    <e v="#N/A"/>
    <s v="Design and make use of promotional materials for business, chattels, civil, intellectual property, insolvency registration tailored towards targeted interest groups (blind, the deaf, elderly)"/>
    <n v="0"/>
    <n v="0"/>
    <n v="0"/>
    <n v="0"/>
    <n v="0"/>
    <n v="0"/>
    <n v="0"/>
    <n v="0"/>
    <n v="0"/>
    <n v="0"/>
    <n v="0"/>
    <n v="0.02"/>
    <n v="0.02"/>
    <n v="0.02"/>
    <m/>
    <m/>
    <n v="0"/>
    <s v="URSB"/>
    <s v="119 Uganda Registration Services Bureau"/>
    <s v="LGs, KCCA, URA"/>
  </r>
  <r>
    <x v="1"/>
    <x v="1"/>
    <s v="153"/>
    <s v="Civic Education &amp; Mindset change"/>
    <s v="1534"/>
    <s v="Reduce negative cultural practices and attitudes"/>
    <s v="153402"/>
    <s v="Promote advocacy, Social mobilisation and Behavioural Change Communication for community development"/>
    <n v="0"/>
    <n v="0"/>
    <s v="15340207"/>
    <s v="Guidelines popularised "/>
    <s v="-"/>
    <n v="0"/>
    <m/>
    <m/>
    <m/>
    <m/>
    <m/>
    <m/>
    <e v="#N/A"/>
    <s v="Popularize guidelines on prevention and management of teenage pregnancies"/>
    <n v="0"/>
    <n v="0"/>
    <n v="0"/>
    <n v="0"/>
    <n v="0"/>
    <n v="0"/>
    <n v="0"/>
    <n v="0"/>
    <n v="0"/>
    <n v="0"/>
    <n v="0"/>
    <n v="0"/>
    <n v="0.5"/>
    <n v="0.5"/>
    <m/>
    <m/>
    <n v="0"/>
    <s v="MoES"/>
    <s v="013 Ministry of Education and Sports"/>
    <s v="MGLSD, LGs"/>
  </r>
  <r>
    <x v="1"/>
    <x v="1"/>
    <s v="153"/>
    <s v="Civic Education &amp; Mindset change"/>
    <s v="1534"/>
    <s v="Reduce negative cultural practices and attitudes"/>
    <s v="153402"/>
    <s v="Promote advocacy, Social mobilisation and Behavioural Change Communication for community development"/>
    <n v="0"/>
    <n v="0"/>
    <s v="15340208"/>
    <s v="Social impact assessments conducted and plans implemented"/>
    <s v="-"/>
    <n v="0"/>
    <m/>
    <m/>
    <m/>
    <m/>
    <m/>
    <m/>
    <e v="#N/A"/>
    <s v="Implement social safeguards for infrastructure development projects"/>
    <n v="1"/>
    <n v="0"/>
    <n v="0"/>
    <n v="1"/>
    <n v="1"/>
    <n v="1"/>
    <n v="1"/>
    <n v="1"/>
    <n v="0.75"/>
    <n v="0"/>
    <n v="0"/>
    <n v="0"/>
    <n v="0"/>
    <n v="0"/>
    <n v="0"/>
    <n v="0"/>
    <n v="0"/>
    <s v="MoGLSD"/>
    <s v="018 Ministry of Gender, Labour and Social Development"/>
    <s v="MEMD, MWT, MWE, MOES, NPA"/>
  </r>
  <r>
    <x v="1"/>
    <x v="1"/>
    <s v="153"/>
    <s v="Civic Education &amp; Mindset change"/>
    <s v="1534"/>
    <s v="Reduce negative cultural practices and attitudes"/>
    <s v="153402"/>
    <s v="Promote advocacy, Social mobilisation and Behavioural Change Communication for community development"/>
    <n v="0"/>
    <n v="0"/>
    <s v="15340209"/>
    <s v="Capacity of Community Based structures built"/>
    <s v="No. of community devlpment structures trained"/>
    <n v="0"/>
    <m/>
    <m/>
    <m/>
    <m/>
    <m/>
    <m/>
    <e v="#N/A"/>
    <s v="Build Capacity of Community Based structures(FAL groups, PDCs, Community Own Resource Persons, and Community Based informal groups to triger and  deliver community based advocacy, social mobilisation and behavioural change communication on nutrition interventions"/>
    <n v="1"/>
    <n v="0"/>
    <n v="0"/>
    <n v="1"/>
    <n v="1"/>
    <n v="1"/>
    <n v="1"/>
    <n v="1"/>
    <n v="0.75"/>
    <n v="0"/>
    <n v="0"/>
    <n v="34.840000000000003"/>
    <n v="36.1"/>
    <n v="34.840000000000003"/>
    <n v="0.06"/>
    <n v="0.6"/>
    <n v="0.65999999999999992"/>
    <s v="LGs"/>
    <s v="500 501-850 Local Governments"/>
    <s v="MoLG"/>
  </r>
  <r>
    <x v="1"/>
    <x v="1"/>
    <s v="153"/>
    <s v="Civic Education &amp; Mindset change"/>
    <s v="1534"/>
    <s v="Reduce negative cultural practices and attitudes"/>
    <s v="153402"/>
    <s v="Promote advocacy, Social mobilisation and Behavioural Change Communication for community development"/>
    <n v="0"/>
    <n v="0"/>
    <s v="15340210"/>
    <s v="Relevant policies and Strategies on reducing negative cultural practices developed"/>
    <s v="-"/>
    <n v="0"/>
    <m/>
    <m/>
    <m/>
    <m/>
    <m/>
    <m/>
    <e v="#N/A"/>
    <s v="Review and develop appropriate policies and strategies, aimed at reducing  negative cultural practices and attitudes"/>
    <n v="0"/>
    <n v="0"/>
    <n v="0"/>
    <n v="0"/>
    <n v="0"/>
    <n v="0"/>
    <n v="0"/>
    <n v="0"/>
    <n v="0"/>
    <n v="0"/>
    <n v="0"/>
    <n v="0"/>
    <n v="0.2"/>
    <n v="0.2"/>
    <n v="0"/>
    <n v="0"/>
    <n v="0"/>
    <s v="MoGLSD (UNCC)"/>
    <s v="018 Ministry of Gender, Labour and Social Development"/>
    <s v="N/A"/>
  </r>
  <r>
    <x v="1"/>
    <x v="1"/>
    <s v="153"/>
    <s v="Civic Education &amp; Mindset change"/>
    <s v="1534"/>
    <s v="Reduce negative cultural practices and attitudes"/>
    <s v="153402"/>
    <s v="Promote advocacy, Social mobilisation and Behavioural Change Communication for community development"/>
    <n v="0"/>
    <n v="0"/>
    <s v="15340211"/>
    <s v="Mobilize and Provide Support to Cultural Institutions to Reduce negative cultural practices and attitudes. "/>
    <s v="No of Cultural Institutions supported"/>
    <m/>
    <n v="1"/>
    <n v="1"/>
    <n v="1"/>
    <n v="1"/>
    <n v="1"/>
    <m/>
    <e v="#N/A"/>
    <m/>
    <m/>
    <m/>
    <m/>
    <m/>
    <m/>
    <m/>
    <n v="0"/>
    <n v="0"/>
    <n v="0"/>
    <m/>
    <n v="0"/>
    <m/>
    <m/>
    <m/>
    <m/>
    <m/>
    <n v="0"/>
    <m/>
    <m/>
    <m/>
  </r>
  <r>
    <x v="1"/>
    <x v="1"/>
    <s v="153"/>
    <s v="Civic Education &amp; Mindset change"/>
    <s v="1534"/>
    <s v="Reduce negative cultural practices and attitudes"/>
    <s v="153402"/>
    <s v="Promote advocacy, Social mobilisation and Behavioural Change Communication for community development"/>
    <n v="0"/>
    <n v="0"/>
    <s v="15340212"/>
    <s v="Indeginuous languages taught and promoted"/>
    <s v="-"/>
    <n v="0"/>
    <m/>
    <m/>
    <m/>
    <m/>
    <m/>
    <m/>
    <e v="#N/A"/>
    <s v="Mainstream the development of indeginous languages and swahili in higher institutions of learning "/>
    <n v="1"/>
    <n v="0"/>
    <n v="0"/>
    <n v="1"/>
    <n v="1"/>
    <n v="1"/>
    <n v="1"/>
    <n v="1"/>
    <n v="0.75"/>
    <n v="0"/>
    <n v="0"/>
    <n v="6.58"/>
    <n v="6.58"/>
    <n v="6.58"/>
    <n v="0.2"/>
    <n v="0.4"/>
    <n v="0.60000000000000009"/>
    <s v="MoGLSD (UNCC)"/>
    <s v="018 Ministry of Gender, Labour and Social Development"/>
    <s v="N/A"/>
  </r>
  <r>
    <x v="2"/>
    <x v="2"/>
    <s v="11X"/>
    <s v="Government Commitments"/>
    <s v="11X"/>
    <s v="Provision for Government Commitments"/>
    <s v="11X"/>
    <s v="Government Commitments"/>
    <m/>
    <m/>
    <s v="11X"/>
    <s v="Government Commitments"/>
    <s v="-"/>
    <s v="-"/>
    <s v="-"/>
    <s v="-"/>
    <s v="-"/>
    <s v="-"/>
    <s v="-"/>
    <s v="-"/>
    <s v="-"/>
    <s v="Wage"/>
    <m/>
    <m/>
    <m/>
    <m/>
    <m/>
    <m/>
    <m/>
    <m/>
    <m/>
    <m/>
    <m/>
    <m/>
    <m/>
    <m/>
    <n v="13.1"/>
    <n v="13.1"/>
    <n v="26.2"/>
    <m/>
    <m/>
    <m/>
  </r>
  <r>
    <x v="2"/>
    <x v="2"/>
    <s v="11X"/>
    <s v="Government Commitments"/>
    <s v="11X"/>
    <s v="Provision for Government Commitments"/>
    <s v="11X"/>
    <s v="Government Commitments"/>
    <m/>
    <m/>
    <s v="11X"/>
    <s v="Government Commitments"/>
    <s v="-"/>
    <s v="-"/>
    <s v="-"/>
    <s v="-"/>
    <s v="-"/>
    <s v="-"/>
    <s v="-"/>
    <s v="-"/>
    <s v="-"/>
    <s v="Non-Wage (Statutory)"/>
    <m/>
    <m/>
    <m/>
    <m/>
    <m/>
    <m/>
    <m/>
    <m/>
    <m/>
    <m/>
    <m/>
    <m/>
    <m/>
    <m/>
    <n v="5.24"/>
    <n v="5.24"/>
    <n v="10.48"/>
    <m/>
    <m/>
    <m/>
  </r>
  <r>
    <x v="2"/>
    <x v="2"/>
    <s v="11X"/>
    <s v="Government Commitments"/>
    <s v="11X"/>
    <s v="Provision for Government Commitments"/>
    <s v="11X"/>
    <s v="Government Commitments"/>
    <m/>
    <m/>
    <s v="11X"/>
    <s v="Government Commitments"/>
    <s v="-"/>
    <s v="-"/>
    <s v="-"/>
    <s v="-"/>
    <s v="-"/>
    <s v="-"/>
    <s v="-"/>
    <s v="-"/>
    <s v="-"/>
    <s v="Multi-Year Commitments"/>
    <m/>
    <m/>
    <m/>
    <m/>
    <m/>
    <m/>
    <m/>
    <m/>
    <m/>
    <m/>
    <m/>
    <m/>
    <m/>
    <m/>
    <n v="37.584167590999996"/>
    <n v="43.969192320999994"/>
    <n v="81.553359911999991"/>
    <m/>
    <m/>
    <m/>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1"/>
    <s v="National Backbone infrastructure extended"/>
    <s v="Percentage of Parishes with broadband connectivity"/>
    <n v="65"/>
    <n v="70"/>
    <n v="75"/>
    <n v="80"/>
    <n v="85"/>
    <n v="90"/>
    <s v="UCC"/>
    <e v="#N/A"/>
    <s v="Extend broadband connectivity to parish level, RCDF subsidy for suppy side interventions, Monitor the techniclal implementation plans of the national broadband infrastructure"/>
    <n v="1"/>
    <n v="1"/>
    <n v="1"/>
    <n v="1"/>
    <n v="0"/>
    <n v="1"/>
    <n v="1"/>
    <n v="1"/>
    <n v="0.875"/>
    <m/>
    <n v="0"/>
    <n v="22.2"/>
    <n v="24.64"/>
    <n v="27.57"/>
    <n v="25.11"/>
    <n v="27.62"/>
    <n v="52.730000000000004"/>
    <s v="UCC"/>
    <s v="020 Ministry of ICT and National Guidance"/>
    <s v="MoICT&amp;NG, NITAU, POSTA, UTL,MEMD, UETCL,UEDCL, UBC/SIGNET,Other Utility serviceproviders (MoWE,MoWT),Communication service providers"/>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1"/>
    <s v="National Backbone infrastructure extended"/>
    <s v="Length of fibre optic network"/>
    <n v="2424"/>
    <n v="3092"/>
    <n v="3592"/>
    <n v="4092"/>
    <n v="4592"/>
    <n v="5092"/>
    <s v="NITAU"/>
    <e v="#N/A"/>
    <s v="Implement Last mile connectivity and Uganda Digital Acceleration Program to expand accesss to affordable high speed internet through the NBI"/>
    <n v="1"/>
    <n v="1"/>
    <n v="0"/>
    <n v="1"/>
    <n v="1"/>
    <n v="1"/>
    <n v="1"/>
    <n v="1"/>
    <n v="0.875"/>
    <m/>
    <n v="1"/>
    <n v="133.24182053261393"/>
    <n v="103.85238592514543"/>
    <n v="167.94014990925245"/>
    <n v="25.353000000000002"/>
    <n v="45.892000000000003"/>
    <n v="71.245000000000005"/>
    <s v="NITA-U"/>
    <s v="126 National Information Technology Authority"/>
    <s v="MoICT&amp;NG, UCC, POSTA, UTL,MEMD, UETCL,UEDCL, UBC/SIGNET,Other Utility serviceproviders (MoWE,MoWT),Communication service providers"/>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2"/>
    <s v="Government service delivery units (schools, hospitals, post offices, tourism sites, police, LGs etc) connected to the NBI"/>
    <s v="Number of MDAs connected "/>
    <n v="119"/>
    <n v="130"/>
    <n v="140"/>
    <n v="154"/>
    <n v="170"/>
    <n v="174"/>
    <s v="NITAU"/>
    <e v="#N/A"/>
    <s v="Implement Last mile connectivity and Uganda Digital Acceleration Program to expand accesss to affordable high speed internet through the NBI"/>
    <n v="1"/>
    <n v="1"/>
    <n v="0"/>
    <n v="1"/>
    <n v="1"/>
    <n v="1"/>
    <n v="1"/>
    <n v="1"/>
    <n v="0.875"/>
    <m/>
    <n v="1"/>
    <n v="0"/>
    <n v="0"/>
    <n v="0"/>
    <n v="20.309999999999999"/>
    <n v="20.731000000000002"/>
    <n v="41.040999999999997"/>
    <s v="NITA-U"/>
    <s v="126 National Information Technology Authority"/>
    <s v="MoICT&amp;NG, UCC, POSTA, UTL,MEMD, UETCL,UEDCL, UBC/SIGNET,Other Utility serviceproviders (MoWE,MoWT),Communication service providers"/>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2"/>
    <s v="Government service delivery units (schools, hospitals, post offices, tourism sites, police, LGs etc) connected to the NBI"/>
    <s v="Number of districts Hq connected"/>
    <n v="40"/>
    <n v="40"/>
    <n v="55"/>
    <n v="60"/>
    <n v="65"/>
    <n v="70"/>
    <s v="NITAU"/>
    <e v="#N/A"/>
    <s v="Supply and installation of Equipment and management system (Routers, switches, VPs, Access points, Racks, Network management system)"/>
    <n v="1"/>
    <n v="1"/>
    <n v="0"/>
    <n v="1"/>
    <n v="1"/>
    <n v="1"/>
    <n v="1"/>
    <n v="1"/>
    <n v="0.875"/>
    <m/>
    <n v="1"/>
    <n v="0"/>
    <n v="0"/>
    <n v="0"/>
    <n v="0"/>
    <n v="0"/>
    <n v="0"/>
    <s v="NITA-U"/>
    <s v="126 National Information Technology Authority"/>
    <s v="MoICT&amp;NG, UCC, POSTA, UTL,MEMD, UETCL,UEDCL, UBC/SIGNET,Other Utility serviceproviders (MoWE,MoWT),Communication service providers"/>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2"/>
    <s v="Government service delivery units (schools, hospitals, post offices, tourism sites, police, LGs etc) connected to the NBI"/>
    <s v="Number of Government units schools, hospitals, post offices, tourism sites, police, LGs etc) connected to the NBI"/>
    <n v="428"/>
    <n v="562"/>
    <n v="696"/>
    <n v="830"/>
    <n v="964"/>
    <n v="1100"/>
    <s v="NITAU"/>
    <e v="#N/A"/>
    <m/>
    <m/>
    <m/>
    <m/>
    <m/>
    <m/>
    <m/>
    <n v="0"/>
    <n v="0"/>
    <n v="0"/>
    <m/>
    <n v="0"/>
    <m/>
    <m/>
    <m/>
    <m/>
    <m/>
    <n v="0"/>
    <m/>
    <m/>
    <m/>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2"/>
    <s v="Government service delivery units (schools, hospitals, post offices, tourism sites, police, LGs etc) connected to the NBI"/>
    <s v="Number of  educational Institutions connected to High speed broadband"/>
    <n v="84"/>
    <n v="100"/>
    <n v="100"/>
    <n v="100"/>
    <n v="100"/>
    <n v="100"/>
    <s v="UCC"/>
    <e v="#N/A"/>
    <s v="Connect schools and Tertiary institutions to Highspeed broadband"/>
    <m/>
    <m/>
    <m/>
    <m/>
    <m/>
    <m/>
    <n v="0"/>
    <n v="0"/>
    <n v="0"/>
    <m/>
    <n v="0"/>
    <n v="0"/>
    <n v="5"/>
    <n v="5"/>
    <n v="8"/>
    <n v="8"/>
    <n v="16"/>
    <s v="MoICT&amp;NG (UCC)"/>
    <s v="020 Ministry of ICT and National Guidance"/>
    <s v="MOES, ACADEMIA"/>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2"/>
    <s v="Government service delivery units (schools, hospitals, post offices, tourism sites, police, LGs etc) connected to the NBI"/>
    <s v="Number of assessments/audits undertaken"/>
    <m/>
    <n v="1"/>
    <n v="1"/>
    <m/>
    <m/>
    <m/>
    <s v="MoICT&amp; NG"/>
    <e v="#N/A"/>
    <s v="Carryout an ICT infrastructure audit, engage key stakeholders (private sector, NITA, UETCL,UTL) to guide the planning and deployment of common core infrastrucuture, and evaluate existing initiatives for broadband connectivity in hard to reach areas"/>
    <n v="1"/>
    <n v="0"/>
    <n v="0"/>
    <n v="1"/>
    <n v="0"/>
    <n v="0"/>
    <n v="1"/>
    <n v="1"/>
    <n v="0.5"/>
    <m/>
    <n v="0"/>
    <n v="0"/>
    <n v="2.5"/>
    <n v="2.5"/>
    <n v="0"/>
    <s v="               -   "/>
    <n v="0"/>
    <s v="MoICT&amp;NG"/>
    <s v="020 Ministry of ICT and National Guidance"/>
    <s v="NITA-U,UETCL,UEDCL,UTL,PRIVATE SECTOR"/>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3"/>
    <s v="Wireless hotspots (MyUg) deployed at strategic locations"/>
    <s v="Number of wireless hotspots (MyUg)"/>
    <n v="284"/>
    <n v="320"/>
    <n v="370"/>
    <n v="420"/>
    <n v="480"/>
    <n v="531"/>
    <s v="NITAU"/>
    <e v="#N/A"/>
    <s v="Deploy wireless hotspots at strategic locations through the MYUG including district WiFi zones for learning"/>
    <n v="1"/>
    <n v="1"/>
    <n v="0"/>
    <n v="1"/>
    <n v="1"/>
    <n v="1"/>
    <n v="1"/>
    <n v="1"/>
    <n v="0.875"/>
    <m/>
    <n v="1"/>
    <n v="0"/>
    <n v="0"/>
    <n v="0"/>
    <n v="1.53"/>
    <n v="10.321"/>
    <n v="11.850999999999999"/>
    <s v="NITA-U"/>
    <s v="126 National Information Technology Authority"/>
    <s v="MoICT&amp;NG, UCC, POSTA, UTL,MEMD, UETCL,UEDCL, UBC/SIGNET,Other Utility serviceproviders (MoWE,MoWT),Communication service providers"/>
  </r>
  <r>
    <x v="2"/>
    <x v="2"/>
    <n v="111"/>
    <s v="ICT Infrastructure"/>
    <n v="1111"/>
    <s v="Increase the national ICT infrastructure coverage"/>
    <n v="111101"/>
    <s v="Extend broadband ICT infrastructure coverage countrywide   in partnership with the private sector and implement last mile connectivity to key areas (Districts, sub counties, schools, hospitals, post offices, tourism sites, police, LGs etc.)"/>
    <m/>
    <m/>
    <n v="11110104"/>
    <s v="Digital Terrestrial Transmission sites (DTT) connected to the NBI"/>
    <s v="No DTTs connected to the NBI"/>
    <n v="0"/>
    <n v="18"/>
    <n v="23"/>
    <n v="30"/>
    <n v="35"/>
    <n v="37"/>
    <s v="NITAU"/>
    <e v="#N/A"/>
    <s v="Connect Digital Terrestrial Transmission sites (DTT) to the NBI"/>
    <m/>
    <m/>
    <m/>
    <m/>
    <m/>
    <m/>
    <n v="0"/>
    <n v="0"/>
    <n v="0"/>
    <m/>
    <n v="0"/>
    <n v="0"/>
    <n v="0"/>
    <n v="0"/>
    <n v="0"/>
    <n v="0"/>
    <n v="0"/>
    <s v="NITA-U"/>
    <s v="126 National Information Technology Authority"/>
    <s v="MoICT&amp;NG, UCC, POSTA, UTL,MEMD, UETCL,UEDCL, UBC/SIGNET,Other Utility serviceproviders (MoWE,MoWT),Communication service providers"/>
  </r>
  <r>
    <x v="2"/>
    <x v="2"/>
    <n v="111"/>
    <s v="ICT Infrastructure"/>
    <n v="1111"/>
    <s v="Increase the national ICT infrastructure coverage"/>
    <n v="111102"/>
    <s v="Expand the Digital Terrestrial Television and Radio Broadcasting network"/>
    <m/>
    <m/>
    <n v="11110201"/>
    <s v="Existing transmission sites upgraded to ensure redundancy and provision of local regional program stream insertions –"/>
    <s v="Number of new DTT transmission sites"/>
    <n v="4"/>
    <n v="4"/>
    <n v="4"/>
    <n v="1"/>
    <n v="1"/>
    <n v="1"/>
    <s v="SIGNET"/>
    <e v="#N/A"/>
    <s v="Establish more DTT transmission sites across the country and integrate them into the DTT Network to complete the digital migration project"/>
    <n v="1"/>
    <n v="0"/>
    <n v="0"/>
    <n v="0"/>
    <n v="0"/>
    <n v="1"/>
    <n v="1"/>
    <n v="1"/>
    <n v="0.5"/>
    <m/>
    <n v="0"/>
    <n v="32"/>
    <n v="39.999999999999545"/>
    <n v="40"/>
    <n v="20"/>
    <n v="20"/>
    <n v="40"/>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1"/>
    <s v="Existing transmission sites upgraded to ensure redundancy and provision of local regional program stream insertions –"/>
    <s v="Number of Gap fillers with hybrid power back up system"/>
    <n v="0"/>
    <n v="10"/>
    <n v="10"/>
    <n v="10"/>
    <n v="5"/>
    <n v="5"/>
    <s v="SIGNET"/>
    <e v="#N/A"/>
    <s v="Cover all TV signal shadow areas in 10 major towns and cities with Digital Tv signal from gap fillers"/>
    <n v="1"/>
    <n v="0"/>
    <n v="0"/>
    <n v="0"/>
    <n v="0"/>
    <n v="1"/>
    <n v="1"/>
    <n v="0"/>
    <n v="0.375"/>
    <m/>
    <n v="0"/>
    <n v="4"/>
    <n v="4"/>
    <n v="8"/>
    <n v="0"/>
    <n v="0"/>
    <n v="0"/>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1"/>
    <s v="Existing transmission sites upgraded to ensure redundancy and provision of local regional program stream insertions –"/>
    <s v="Number of existing transmission sites with redundancy"/>
    <n v="0"/>
    <n v="9"/>
    <n v="9"/>
    <n v="9"/>
    <n v="9"/>
    <n v="9"/>
    <s v="SIGNET"/>
    <e v="#N/A"/>
    <s v="Upgrade existing transmission sites to ensure redundancy and provision of local regional program stream insertions"/>
    <n v="1"/>
    <n v="0"/>
    <n v="0"/>
    <n v="1"/>
    <n v="1"/>
    <n v="1"/>
    <n v="1"/>
    <n v="0"/>
    <n v="0.625"/>
    <m/>
    <n v="0"/>
    <n v="10.8"/>
    <n v="10.8"/>
    <n v="10.8"/>
    <n v="10.8"/>
    <n v="10.8"/>
    <n v="21.6"/>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1"/>
    <s v="Existing transmission sites upgraded to ensure redundancy and provision of local regional program stream insertions –"/>
    <s v="Number of sites with Local regional program stream insertion capability"/>
    <n v="0"/>
    <n v="4"/>
    <n v="8"/>
    <n v="12"/>
    <n v="14"/>
    <n v="16"/>
    <s v="SIGNET"/>
    <e v="#N/A"/>
    <s v="Install local insertion equipment in 10 major towns and cities to enable establishment of regional TV channels"/>
    <n v="1"/>
    <n v="0"/>
    <n v="1"/>
    <n v="0"/>
    <n v="0"/>
    <n v="0"/>
    <n v="1"/>
    <n v="1"/>
    <n v="0.5"/>
    <m/>
    <n v="0"/>
    <n v="4"/>
    <n v="4"/>
    <n v="4"/>
    <n v="2"/>
    <n v="2"/>
    <n v="4"/>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2"/>
    <s v="Existing radio transmission sites upgraded to ensure redundancy and provision of local regional program stream"/>
    <s v="No. of new radio transmission sites"/>
    <s v=" -"/>
    <n v="5"/>
    <n v="5"/>
    <n v="2"/>
    <n v="1"/>
    <n v="1"/>
    <s v="SIGNET"/>
    <e v="#N/A"/>
    <s v="Establish radio transmission sites in the shadow and border areas"/>
    <n v="1"/>
    <n v="0"/>
    <n v="0"/>
    <n v="1"/>
    <n v="0"/>
    <n v="1"/>
    <n v="1"/>
    <n v="1"/>
    <n v="0.625"/>
    <m/>
    <n v="0"/>
    <n v="6"/>
    <n v="6"/>
    <n v="4"/>
    <n v="2"/>
    <n v="2"/>
    <n v="4"/>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2"/>
    <s v="Existing radio transmission sites upgraded to ensure redundancy and provision of local regional program stream"/>
    <s v="No. of radio transmission sites with redundancy"/>
    <n v="0"/>
    <n v="10"/>
    <n v="8"/>
    <n v="2"/>
    <n v="2"/>
    <n v="2"/>
    <s v="SIGNET"/>
    <e v="#N/A"/>
    <s v="Ugrade existing transmission sites to ensure redundancy and replacement of obsolete equipment"/>
    <n v="1"/>
    <n v="0"/>
    <n v="0"/>
    <n v="1"/>
    <n v="0"/>
    <n v="1"/>
    <n v="1"/>
    <n v="1"/>
    <n v="0.625"/>
    <m/>
    <n v="0"/>
    <n v="8"/>
    <n v="6"/>
    <n v="3"/>
    <n v="3"/>
    <s v="               -   "/>
    <n v="3"/>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3"/>
    <s v="Alternative signal transmission "/>
    <s v="Over The Top and Internet Protocol Tv platforms) for content implemented"/>
    <n v="0"/>
    <n v="17"/>
    <n v="20"/>
    <n v="3"/>
    <n v="3"/>
    <n v="5"/>
    <s v="SIGNET"/>
    <e v="#N/A"/>
    <s v="Create multiple Free to Air program streams through provision of alternative signal transmission using the over the top and internet protocol TV platforms"/>
    <n v="1"/>
    <n v="0"/>
    <n v="0"/>
    <n v="1"/>
    <n v="0"/>
    <n v="1"/>
    <n v="1"/>
    <n v="1"/>
    <n v="0.625"/>
    <m/>
    <n v="0"/>
    <n v="6"/>
    <n v="4"/>
    <n v="2"/>
    <n v="2"/>
    <n v="3"/>
    <n v="5"/>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4"/>
    <s v="A national DTT/DTH hybrid broadcast system designed and deployed"/>
    <s v="Number of FTA TV channels with a national or hybrid broadcast license"/>
    <s v="-"/>
    <n v="15"/>
    <n v="7"/>
    <n v="5"/>
    <n v="5"/>
    <n v="5"/>
    <s v="SIGNET"/>
    <e v="#N/A"/>
    <s v="Contribute and distribute all TV channels with a national license by satellite to the DTT sutes and also direct to viewers homes"/>
    <n v="1"/>
    <n v="0"/>
    <n v="0"/>
    <n v="1"/>
    <n v="1"/>
    <n v="1"/>
    <n v="1"/>
    <n v="1"/>
    <n v="0.75"/>
    <m/>
    <n v="0"/>
    <n v="6"/>
    <n v="4"/>
    <n v="3"/>
    <n v="3"/>
    <n v="3"/>
    <n v="6"/>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5"/>
    <s v="Television and radio studio facilities enhanced"/>
    <s v="Number of TV studio facilities established"/>
    <n v="1"/>
    <n v="4"/>
    <n v="4"/>
    <n v="3"/>
    <n v="2"/>
    <n v="2"/>
    <s v="SIGNET"/>
    <e v="#N/A"/>
    <s v="Build 4 new TV studios and 7 new radio studios and furnish them with state of the art equipment"/>
    <n v="1"/>
    <n v="0"/>
    <n v="0"/>
    <n v="1"/>
    <n v="0"/>
    <n v="1"/>
    <n v="1"/>
    <n v="1"/>
    <n v="0.625"/>
    <m/>
    <n v="0"/>
    <n v="6.71"/>
    <n v="10"/>
    <n v="10"/>
    <n v="20"/>
    <n v="20"/>
    <n v="40"/>
    <s v="MoICT&amp;NG (SIGNET)"/>
    <s v="020 Ministry of ICT and National Guidance"/>
    <s v="MoICT&amp;NG, NITAU, UCC, UBC/SIGNET, Broadcast service providers"/>
  </r>
  <r>
    <x v="2"/>
    <x v="2"/>
    <n v="111"/>
    <s v="ICT Infrastructure"/>
    <n v="1111"/>
    <s v="Increase the national ICT infrastructure coverage"/>
    <n v="111102"/>
    <s v="Expand the Digital Terrestrial Television and Radio Broadcasting network"/>
    <m/>
    <m/>
    <n v="11110205"/>
    <s v="Television and radio studio facilities enhanced"/>
    <s v="Number of radio studio facilities upgraded"/>
    <n v="0"/>
    <n v="4"/>
    <n v="4"/>
    <n v="3"/>
    <n v="2"/>
    <n v="2"/>
    <s v="SIGNET"/>
    <e v="#N/A"/>
    <s v="Replace all obsolte radio studio equipment for radio and Television studios"/>
    <n v="1"/>
    <n v="0"/>
    <n v="0"/>
    <n v="1"/>
    <n v="0"/>
    <n v="1"/>
    <n v="1"/>
    <n v="1"/>
    <n v="0.625"/>
    <m/>
    <n v="0"/>
    <n v="0"/>
    <n v="0"/>
    <n v="0"/>
    <n v="0"/>
    <n v="0"/>
    <n v="0"/>
    <s v="MoICT&amp;NG (SIGNET)"/>
    <s v="020 Ministry of ICT and National Guidance"/>
    <s v="MoICT&amp;NG, NITAU, UCC, UBC/SIGNET, Broadcast service providers"/>
  </r>
  <r>
    <x v="2"/>
    <x v="2"/>
    <n v="111"/>
    <s v="ICT Infrastructure"/>
    <n v="1111"/>
    <s v="Increase the national ICT infrastructure coverage"/>
    <n v="111103"/>
    <s v="Establish and enhance national common core infrastructure (data centres, high power computing centers, specialized labs)"/>
    <m/>
    <m/>
    <n v="11110301"/>
    <s v="Third National Data Centre established"/>
    <s v="Third National Data Centre"/>
    <n v="0"/>
    <s v="-"/>
    <s v="-"/>
    <s v="-"/>
    <n v="1"/>
    <s v="-"/>
    <s v="NITAU"/>
    <e v="#N/A"/>
    <s v="Acquisition of space/land "/>
    <n v="1"/>
    <n v="0"/>
    <n v="0"/>
    <n v="1"/>
    <n v="0"/>
    <n v="1"/>
    <n v="0"/>
    <n v="1"/>
    <n v="0.5"/>
    <m/>
    <n v="0"/>
    <n v="0"/>
    <n v="22.67"/>
    <n v="22.67"/>
    <n v="24.637"/>
    <n v="3.52"/>
    <n v="28.157"/>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1"/>
    <s v="Third National Data Centre established"/>
    <m/>
    <m/>
    <m/>
    <m/>
    <m/>
    <m/>
    <m/>
    <m/>
    <e v="#N/A"/>
    <s v="Installation of Data Centre Infrastructure  and facilities (equipment, power, Cooling, Network, Security)"/>
    <n v="1"/>
    <n v="0"/>
    <n v="0"/>
    <n v="1"/>
    <n v="0"/>
    <n v="1"/>
    <n v="0"/>
    <n v="1"/>
    <n v="0.5"/>
    <m/>
    <n v="0"/>
    <n v="0"/>
    <n v="0"/>
    <n v="0"/>
    <n v="0"/>
    <n v="0"/>
    <n v="0"/>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1"/>
    <s v="Third National Data Centre established"/>
    <m/>
    <m/>
    <m/>
    <m/>
    <m/>
    <m/>
    <m/>
    <m/>
    <e v="#N/A"/>
    <s v="Awareness and Sensitisation, Capacity building"/>
    <n v="1"/>
    <n v="0"/>
    <n v="0"/>
    <n v="1"/>
    <n v="0"/>
    <n v="1"/>
    <n v="0"/>
    <n v="1"/>
    <n v="0.5"/>
    <m/>
    <n v="0"/>
    <n v="0"/>
    <n v="0"/>
    <n v="0"/>
    <n v="5.6710000000000003"/>
    <n v="3.2349999999999999"/>
    <n v="8.9060000000000006"/>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2"/>
    <s v="Enhancement of usage of National Data Centre (NDC)"/>
    <s v="Number of applications and systems hosted centrally in the NDC"/>
    <n v="58"/>
    <n v="100"/>
    <n v="150"/>
    <n v="200"/>
    <n v="250"/>
    <n v="300"/>
    <s v="NITAU"/>
    <e v="#N/A"/>
    <s v="Upgrade of  existing National Data Centre Infrastructure and Disaster |Recovery (DR) site"/>
    <n v="1"/>
    <n v="0"/>
    <n v="0"/>
    <n v="1"/>
    <n v="1"/>
    <n v="1"/>
    <n v="0"/>
    <n v="1"/>
    <n v="0.625"/>
    <m/>
    <n v="0"/>
    <n v="5.0599999999999996"/>
    <n v="5.0599999999999996"/>
    <n v="3.06"/>
    <n v="20"/>
    <n v="45.521000000000001"/>
    <n v="65.521000000000001"/>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2"/>
    <s v="Enhancement of usage of National Data Centre (NDC)"/>
    <s v="Number of MDAs enrolled in National Data Centre"/>
    <n v="40"/>
    <n v="90"/>
    <n v="100"/>
    <n v="200"/>
    <n v="200"/>
    <n v="250"/>
    <s v="NITAU"/>
    <e v="#N/A"/>
    <s v="Consolidate requirements and enrollment MDAs applications &amp; systems into the Data Centre "/>
    <n v="1"/>
    <n v="0"/>
    <n v="0"/>
    <n v="1"/>
    <n v="1"/>
    <n v="1"/>
    <n v="0"/>
    <n v="1"/>
    <n v="0.625"/>
    <n v="0"/>
    <n v="1"/>
    <n v="0"/>
    <n v="0"/>
    <n v="0"/>
    <n v="0"/>
    <n v="0"/>
    <n v="0"/>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2"/>
    <s v="Enhancement of usage of National Data Centre (NDC)"/>
    <m/>
    <m/>
    <m/>
    <m/>
    <m/>
    <m/>
    <m/>
    <m/>
    <e v="#N/A"/>
    <s v="Maintenance of Data Centre Infrastructure &amp; Facilities "/>
    <m/>
    <m/>
    <m/>
    <m/>
    <m/>
    <m/>
    <n v="0"/>
    <n v="0"/>
    <n v="0"/>
    <m/>
    <n v="0"/>
    <n v="0"/>
    <n v="0"/>
    <n v="0"/>
    <n v="0"/>
    <n v="0"/>
    <n v="0"/>
    <s v="NITA-U"/>
    <s v="126 National Information Technology Authority"/>
    <s v="NITA, MoICT &amp; NG, UCC, Private Sector players"/>
  </r>
  <r>
    <x v="2"/>
    <x v="2"/>
    <n v="111"/>
    <s v="ICT Infrastructure"/>
    <n v="1111"/>
    <s v="Increase the national ICT infrastructure coverage"/>
    <n v="111103"/>
    <s v="Establish and enhance national common core infrastructure (data centres, high power computing centers, specialized labs)"/>
    <m/>
    <m/>
    <n v="11110302"/>
    <s v="Enhancement of usage of National Data Centre (NDC)"/>
    <m/>
    <m/>
    <m/>
    <m/>
    <m/>
    <m/>
    <m/>
    <m/>
    <e v="#N/A"/>
    <s v="Awareness Creation"/>
    <m/>
    <m/>
    <m/>
    <m/>
    <m/>
    <m/>
    <n v="0"/>
    <n v="0"/>
    <n v="0"/>
    <m/>
    <n v="0"/>
    <n v="0"/>
    <n v="0"/>
    <n v="0"/>
    <n v="0"/>
    <n v="0"/>
    <n v="0"/>
    <s v="NITA-U"/>
    <s v="126 National Information Technology Authority"/>
    <s v="NITA, MoICT &amp; NG, UCC, Private Sector players"/>
  </r>
  <r>
    <x v="2"/>
    <x v="2"/>
    <n v="112"/>
    <s v="E-services"/>
    <n v="1122"/>
    <s v="Enhance usage of ICT in national development and service delivery"/>
    <n v="112201"/>
    <s v="Mainstream ICT in all sectors of the economy and digitize service delivery"/>
    <m/>
    <m/>
    <n v="11220101"/>
    <s v="Frameworks in place to guide interoperability of Government systems "/>
    <s v="Number of frameworks guiding interoperability of Government systems developed"/>
    <n v="0"/>
    <n v="1"/>
    <s v="-"/>
    <s v="-"/>
    <s v="-"/>
    <s v="-"/>
    <s v="NITAU"/>
    <e v="#N/A"/>
    <s v="Develop Government Enterprise Architecture(GEA) and Interoperability Framework (GIF)"/>
    <m/>
    <m/>
    <m/>
    <m/>
    <m/>
    <m/>
    <n v="0"/>
    <n v="0"/>
    <n v="0"/>
    <m/>
    <n v="0"/>
    <n v="0.99399999999999999"/>
    <n v="0.71"/>
    <n v="0"/>
    <n v="0"/>
    <n v="0"/>
    <n v="0"/>
    <s v="NITA-U"/>
    <s v="126 National Information Technology Authority"/>
    <s v="MoICT &amp;NG , NITA-U"/>
  </r>
  <r>
    <x v="2"/>
    <x v="2"/>
    <n v="112"/>
    <s v="E-services"/>
    <n v="1122"/>
    <s v="Enhance usage of ICT in national development and service delivery"/>
    <n v="112201"/>
    <s v="Mainstream ICT in all sectors of the economy and digitize service delivery"/>
    <m/>
    <m/>
    <n v="11220101"/>
    <s v="Frameworks in place to guide interoperability of Government systems "/>
    <m/>
    <m/>
    <m/>
    <m/>
    <m/>
    <m/>
    <m/>
    <m/>
    <e v="#N/A"/>
    <s v="Implement the GEA &amp; GIF across Government"/>
    <n v="1"/>
    <n v="0"/>
    <n v="0"/>
    <n v="1"/>
    <n v="1"/>
    <n v="0"/>
    <n v="1"/>
    <n v="1"/>
    <n v="0.625"/>
    <m/>
    <n v="0"/>
    <n v="0.9"/>
    <n v="0.9"/>
    <n v="0.7"/>
    <n v="0.7"/>
    <n v="0.3"/>
    <n v="1"/>
    <s v="NITA-U"/>
    <s v="126 National Information Technology Authority"/>
    <s v="MoICT &amp;NG , NITA-U"/>
  </r>
  <r>
    <x v="2"/>
    <x v="2"/>
    <n v="112"/>
    <s v="E-services"/>
    <n v="1122"/>
    <s v="Enhance usage of ICT in national development and service delivery"/>
    <n v="112201"/>
    <s v="Mainstream ICT in all sectors of the economy and digitize service delivery"/>
    <m/>
    <m/>
    <n v="11220101"/>
    <s v="Frameworks in place to guide interoperability of Government systems "/>
    <m/>
    <m/>
    <m/>
    <m/>
    <m/>
    <m/>
    <m/>
    <m/>
    <e v="#N/A"/>
    <s v="Creation of awareness, Change management and Capacity building across  Government "/>
    <m/>
    <m/>
    <m/>
    <m/>
    <m/>
    <m/>
    <n v="0"/>
    <n v="0"/>
    <n v="0"/>
    <m/>
    <n v="0"/>
    <n v="0.1"/>
    <n v="0.1"/>
    <n v="0.1"/>
    <n v="0.1"/>
    <n v="0.1"/>
    <n v="0.2"/>
    <s v="NITA-U"/>
    <s v="126 National Information Technology Authority"/>
    <s v="MoICT &amp;NG , NITA-U"/>
  </r>
  <r>
    <x v="2"/>
    <x v="2"/>
    <n v="112"/>
    <s v="E-services"/>
    <n v="1122"/>
    <s v="Enhance usage of ICT in national development and service delivery"/>
    <n v="112201"/>
    <s v="Mainstream ICT in all sectors of the economy and digitize service delivery"/>
    <m/>
    <m/>
    <n v="11220101"/>
    <s v="Frameworks in place to guide interoperability of Government systems "/>
    <m/>
    <m/>
    <m/>
    <m/>
    <m/>
    <m/>
    <m/>
    <m/>
    <e v="#N/A"/>
    <s v="Develop an Education Enterprise Architecture and Interoperability framework"/>
    <m/>
    <m/>
    <m/>
    <m/>
    <m/>
    <m/>
    <n v="0"/>
    <n v="0"/>
    <n v="0"/>
    <m/>
    <n v="0"/>
    <n v="0"/>
    <n v="0"/>
    <n v="0"/>
    <n v="0"/>
    <n v="0"/>
    <n v="0"/>
    <s v="MoES"/>
    <s v="013 Ministry of Education and Sports"/>
    <s v="MoICT &amp;NG , NITA-U"/>
  </r>
  <r>
    <x v="2"/>
    <x v="2"/>
    <n v="112"/>
    <s v="E-services"/>
    <n v="1122"/>
    <s v="Enhance usage of ICT in national development and service delivery"/>
    <n v="112201"/>
    <s v="Mainstream ICT in all sectors of the economy and digitize service delivery"/>
    <m/>
    <m/>
    <n v="11220102"/>
    <s v="A data sharing and integration platform developed to enhance the delivery of services in government and private sector and operationalized"/>
    <s v="Number of integration platforms"/>
    <n v="0"/>
    <n v="1"/>
    <s v="-"/>
    <s v="-"/>
    <s v="-"/>
    <s v="-"/>
    <s v="NITAU"/>
    <e v="#N/A"/>
    <s v="Develop a common platform through which data shall be shared between MDAs in a cost effective, secure, harmonized and reliable manner to improve e-service deliver, expedite decision making and implementation of Government Programs."/>
    <m/>
    <m/>
    <m/>
    <m/>
    <m/>
    <m/>
    <n v="0"/>
    <n v="0"/>
    <n v="0"/>
    <m/>
    <n v="0"/>
    <n v="3.9790000000000001"/>
    <n v="4.9000000000000004"/>
    <n v="3.9790000000000001"/>
    <n v="0"/>
    <n v="0"/>
    <n v="0"/>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2"/>
    <s v="A data sharing and integration platform developed to enhance the delivery of services in government and private sector and operationalized"/>
    <s v="Number of Government and private institutions utilizing the data sharing and integration platform"/>
    <n v="0"/>
    <n v="2"/>
    <n v="10"/>
    <n v="30"/>
    <n v="40"/>
    <n v="50"/>
    <s v="NITAU"/>
    <e v="#N/A"/>
    <s v="Awareness Creation, Change Management and Capacity building "/>
    <n v="1"/>
    <n v="0"/>
    <n v="0"/>
    <n v="1"/>
    <n v="1"/>
    <n v="0"/>
    <n v="0"/>
    <n v="0"/>
    <n v="0.375"/>
    <m/>
    <n v="1"/>
    <n v="0.26600000000000001"/>
    <n v="0.26600000000000001"/>
    <n v="0.26600000000000001"/>
    <n v="0.90100000000000002"/>
    <n v="0.27"/>
    <n v="1.171"/>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3"/>
    <s v="Government Public Key Infrastructure (PKI) services developed and enforced"/>
    <s v="Number of e-services enabled for digital signatures"/>
    <n v="0"/>
    <n v="0"/>
    <n v="4"/>
    <n v="8"/>
    <n v="8"/>
    <n v="8"/>
    <s v="NITAU"/>
    <e v="#N/A"/>
    <s v="Setup the Digital authentication and electronic Signatures Platform and Integrate e-services into the Digital signatures Platform"/>
    <n v="1"/>
    <n v="0"/>
    <n v="0"/>
    <n v="1"/>
    <n v="1"/>
    <n v="1"/>
    <n v="0"/>
    <n v="1"/>
    <n v="0.625"/>
    <n v="0"/>
    <n v="0"/>
    <n v="4.17"/>
    <n v="4.3499999999999996"/>
    <n v="5.1760000000000002"/>
    <n v="0.30599999999999999"/>
    <n v="0"/>
    <n v="0.30599999999999999"/>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3"/>
    <s v="Government Public Key Infrastructure (PKI) services developed and enforced"/>
    <m/>
    <m/>
    <m/>
    <m/>
    <m/>
    <m/>
    <m/>
    <m/>
    <e v="#N/A"/>
    <s v="Develop a signing Portal for Digital Signatures"/>
    <m/>
    <m/>
    <m/>
    <m/>
    <m/>
    <m/>
    <n v="0"/>
    <n v="0"/>
    <n v="0"/>
    <m/>
    <n v="0"/>
    <n v="0"/>
    <n v="0"/>
    <n v="0"/>
    <n v="0"/>
    <n v="0"/>
    <n v="0"/>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3"/>
    <s v="Government Public Key Infrastructure (PKI) services developed and enforced"/>
    <m/>
    <m/>
    <m/>
    <m/>
    <m/>
    <m/>
    <m/>
    <m/>
    <e v="#N/A"/>
    <s v="Awareness Changement and Capacity building"/>
    <m/>
    <m/>
    <m/>
    <m/>
    <m/>
    <m/>
    <n v="0"/>
    <n v="0"/>
    <n v="0"/>
    <m/>
    <n v="0"/>
    <n v="0"/>
    <n v="0"/>
    <n v="0"/>
    <n v="0"/>
    <n v="0"/>
    <n v="0"/>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4"/>
    <s v="e-Citizens Portal enhanced (e-Services added onto the Portal)"/>
    <s v="Number of public services offered online and accessed through the e-citizens portal"/>
    <n v="97"/>
    <n v="100"/>
    <n v="105"/>
    <n v="115"/>
    <n v="120"/>
    <n v="122"/>
    <s v="NITAU"/>
    <e v="#N/A"/>
    <s v="Integrate e-services onto the e-Citizens Portal and Create awareness"/>
    <n v="1"/>
    <n v="0"/>
    <n v="0"/>
    <n v="1"/>
    <n v="1"/>
    <n v="1"/>
    <n v="1"/>
    <n v="1"/>
    <n v="0.75"/>
    <m/>
    <n v="1"/>
    <n v="0.11"/>
    <n v="0.06"/>
    <n v="0.06"/>
    <n v="0.06"/>
    <n v="0.01"/>
    <n v="6.9999999999999993E-2"/>
    <s v="NITA-U"/>
    <s v="126 National Information Technology Authority"/>
    <s v="MTIC , ALL MDAs"/>
  </r>
  <r>
    <x v="2"/>
    <x v="2"/>
    <n v="112"/>
    <s v="E-services"/>
    <n v="1122"/>
    <s v="Enhance usage of ICT in national development and service delivery"/>
    <n v="112201"/>
    <s v="Mainstream ICT in all sectors of the economy and digitize service delivery"/>
    <m/>
    <m/>
    <n v="11220105"/>
    <s v="Public and Private institutions supported to review, re-engineer their processes, automate and deliver services online"/>
    <s v="Number of e-services developed/ rolled out"/>
    <n v="0"/>
    <n v="10"/>
    <n v="30"/>
    <n v="50"/>
    <n v="59"/>
    <n v="69"/>
    <s v="NITAU"/>
    <e v="#N/A"/>
    <s v="Coordinate, develop and expand flagship e-services and rollout e-services across all NDPIII programs"/>
    <n v="1"/>
    <n v="1"/>
    <n v="0"/>
    <n v="1"/>
    <n v="1"/>
    <n v="0"/>
    <n v="1"/>
    <n v="1"/>
    <n v="0.75"/>
    <m/>
    <n v="1"/>
    <n v="7.19"/>
    <n v="8.593"/>
    <n v="9.593"/>
    <n v="10.71"/>
    <n v="12.593"/>
    <n v="23.303000000000001"/>
    <s v="NITA-U"/>
    <s v="126 National Information Technology Authority"/>
    <s v="All MDAs"/>
  </r>
  <r>
    <x v="2"/>
    <x v="2"/>
    <n v="112"/>
    <s v="E-services"/>
    <n v="1122"/>
    <s v="Enhance usage of ICT in national development and service delivery"/>
    <n v="112201"/>
    <s v="Mainstream ICT in all sectors of the economy and digitize service delivery"/>
    <m/>
    <m/>
    <n v="11220105"/>
    <s v="Public and Private institutions supported to review, re-engineer their processes, automate and deliver services online"/>
    <m/>
    <m/>
    <m/>
    <m/>
    <m/>
    <m/>
    <m/>
    <m/>
    <e v="#N/A"/>
    <s v="Development of applications for Mobile GOU Container "/>
    <m/>
    <m/>
    <m/>
    <m/>
    <m/>
    <m/>
    <n v="0"/>
    <n v="0"/>
    <n v="0"/>
    <m/>
    <n v="0"/>
    <n v="0"/>
    <n v="0"/>
    <n v="0"/>
    <n v="0"/>
    <n v="0"/>
    <n v="0"/>
    <s v="NITA-U"/>
    <s v="126 National Information Technology Authority"/>
    <s v="All MDAs"/>
  </r>
  <r>
    <x v="2"/>
    <x v="2"/>
    <n v="112"/>
    <s v="E-services"/>
    <n v="1122"/>
    <s v="Enhance usage of ICT in national development and service delivery"/>
    <n v="112201"/>
    <s v="Mainstream ICT in all sectors of the economy and digitize service delivery"/>
    <m/>
    <m/>
    <n v="11220105"/>
    <s v="Public and Private institutions supported to review, re-engineer their processes, automate and deliver services online"/>
    <m/>
    <m/>
    <m/>
    <m/>
    <m/>
    <m/>
    <m/>
    <m/>
    <e v="#N/A"/>
    <s v="Support MDAs/LGs to review/re-engineer their processes and also in the development of e-solutions"/>
    <m/>
    <m/>
    <m/>
    <m/>
    <m/>
    <m/>
    <n v="0"/>
    <n v="0"/>
    <n v="0"/>
    <m/>
    <n v="0"/>
    <n v="1.8979999999999999"/>
    <n v="1.8979999999999999"/>
    <n v="1.8979999999999999"/>
    <n v="1.8979999999999999"/>
    <n v="1.9"/>
    <n v="3.798"/>
    <s v="NITA-U"/>
    <s v="126 National Information Technology Authority"/>
    <s v="All MDAs"/>
  </r>
  <r>
    <x v="2"/>
    <x v="2"/>
    <n v="112"/>
    <s v="E-services"/>
    <n v="1122"/>
    <s v="Enhance usage of ICT in national development and service delivery"/>
    <n v="112201"/>
    <s v="Mainstream ICT in all sectors of the economy and digitize service delivery"/>
    <m/>
    <m/>
    <n v="11220105"/>
    <s v="Public and Private institutions supported to review, re-engineer their processes, automate and deliver services online"/>
    <m/>
    <m/>
    <m/>
    <m/>
    <m/>
    <m/>
    <m/>
    <m/>
    <e v="#N/A"/>
    <s v="Change Management, Awareness Creation and Capacity building targeting the general population "/>
    <m/>
    <m/>
    <m/>
    <m/>
    <m/>
    <m/>
    <n v="0"/>
    <n v="0"/>
    <n v="0"/>
    <m/>
    <n v="0"/>
    <n v="0"/>
    <n v="0"/>
    <n v="0"/>
    <n v="0"/>
    <n v="0"/>
    <n v="0"/>
    <s v="NITA-U"/>
    <s v="126 National Information Technology Authority"/>
    <s v="MoPS"/>
  </r>
  <r>
    <x v="2"/>
    <x v="2"/>
    <n v="112"/>
    <s v="E-services"/>
    <n v="1122"/>
    <s v="Enhance usage of ICT in national development and service delivery"/>
    <n v="112201"/>
    <s v="Mainstream ICT in all sectors of the economy and digitize service delivery"/>
    <m/>
    <m/>
    <n v="11220105"/>
    <s v="Public and Private institutions supported to review, re-engineer their processes, automate and deliver services online"/>
    <m/>
    <m/>
    <m/>
    <m/>
    <m/>
    <m/>
    <m/>
    <m/>
    <e v="#N/A"/>
    <s v="Establishment of Regional eGovernment support Service Desk"/>
    <m/>
    <m/>
    <m/>
    <m/>
    <m/>
    <m/>
    <n v="0"/>
    <n v="0"/>
    <n v="0"/>
    <m/>
    <n v="0"/>
    <n v="4.4000000000000004"/>
    <n v="4.5999999999999996"/>
    <n v="4.5999999999999996"/>
    <n v="4.5999999999999996"/>
    <n v="4.5999999999999996"/>
    <n v="9.1999999999999993"/>
    <s v="NITA-U"/>
    <s v="126 National Information Technology Authority"/>
    <s v="N/A"/>
  </r>
  <r>
    <x v="2"/>
    <x v="2"/>
    <n v="112"/>
    <s v="E-services"/>
    <n v="1122"/>
    <s v="Enhance usage of ICT in national development and service delivery"/>
    <n v="112201"/>
    <s v="Mainstream ICT in all sectors of the economy and digitize service delivery"/>
    <m/>
    <m/>
    <n v="11220106"/>
    <s v="ICT needs assessments in key sectors conducted"/>
    <s v="Number of sectors "/>
    <n v="0"/>
    <n v="0"/>
    <n v="1"/>
    <n v="1"/>
    <n v="1"/>
    <n v="1"/>
    <s v="MoICT&amp; NG"/>
    <e v="#N/A"/>
    <s v="Carry out ICT infrastructure needs assessment /mapping carried in key sectors of Education, Health, Trade and Industry, Gender and Agriculture"/>
    <n v="1"/>
    <n v="0"/>
    <n v="0"/>
    <n v="1"/>
    <n v="1"/>
    <n v="0"/>
    <n v="1"/>
    <n v="1"/>
    <n v="0.625"/>
    <m/>
    <n v="0"/>
    <n v="0"/>
    <n v="0.6"/>
    <n v="0.6"/>
    <n v="0"/>
    <s v="               -   "/>
    <n v="0"/>
    <s v="MoICT&amp;NG"/>
    <s v="020 Ministry of ICT and National Guidance"/>
    <s v="MoSTI"/>
  </r>
  <r>
    <x v="2"/>
    <x v="2"/>
    <n v="112"/>
    <s v="E-services"/>
    <n v="1122"/>
    <s v="Enhance usage of ICT in national development and service delivery"/>
    <n v="112201"/>
    <s v="Mainstream ICT in all sectors of the economy and digitize service delivery"/>
    <m/>
    <m/>
    <n v="11220107"/>
    <s v="Unified Messaging and Collaboration System rolled out"/>
    <s v="Number of government institutions enrolled"/>
    <n v="15"/>
    <n v="60"/>
    <n v="70"/>
    <n v="80"/>
    <n v="90"/>
    <n v="100"/>
    <s v="NITAU"/>
    <e v="#N/A"/>
    <s v="Acquire UMCS licences and enroll all Government entities to improve communication and  public service delivery "/>
    <n v="1"/>
    <n v="0"/>
    <n v="0"/>
    <n v="1"/>
    <n v="1"/>
    <n v="1"/>
    <n v="0"/>
    <n v="1"/>
    <n v="0.625"/>
    <m/>
    <n v="1"/>
    <n v="4.7839999999999998"/>
    <n v="4.7839999999999998"/>
    <n v="4.7839999999999998"/>
    <n v="1.2729999999999999"/>
    <n v="4.78"/>
    <n v="6.0529999999999999"/>
    <s v="NITA-U"/>
    <s v="126 National Information Technology Authority"/>
    <s v="N/A"/>
  </r>
  <r>
    <x v="2"/>
    <x v="2"/>
    <n v="112"/>
    <s v="E-services"/>
    <n v="1122"/>
    <s v="Enhance usage of ICT in national development and service delivery"/>
    <n v="112201"/>
    <s v="Mainstream ICT in all sectors of the economy and digitize service delivery"/>
    <m/>
    <m/>
    <n v="11220108"/>
    <s v="E-payment gateway in place"/>
    <s v="Number of services enabled through the E-payment gateway"/>
    <n v="6"/>
    <n v="8"/>
    <n v="15"/>
    <n v="18"/>
    <n v="20"/>
    <n v="24"/>
    <s v="NITAU"/>
    <e v="#N/A"/>
    <s v="Rollout of the e-payment Gateway, Security Audit of the e-Payment Gateway"/>
    <n v="1"/>
    <n v="0"/>
    <n v="0"/>
    <n v="1"/>
    <n v="0"/>
    <n v="0"/>
    <n v="0"/>
    <n v="1"/>
    <n v="0.375"/>
    <m/>
    <n v="0"/>
    <n v="2.9990000000000001"/>
    <n v="2.9990000000000001"/>
    <n v="2.9990000000000001"/>
    <n v="0.02"/>
    <n v="0.01"/>
    <n v="0.03"/>
    <s v="NITA-U"/>
    <s v="126 National Information Technology Authority"/>
    <s v="N/A"/>
  </r>
  <r>
    <x v="2"/>
    <x v="2"/>
    <n v="112"/>
    <s v="E-services"/>
    <n v="1122"/>
    <s v="Enhance usage of ICT in national development and service delivery"/>
    <n v="112201"/>
    <s v="Mainstream ICT in all sectors of the economy and digitize service delivery"/>
    <m/>
    <m/>
    <n v="11220109"/>
    <s v="SMS gateway in place"/>
    <s v="Sms gateway"/>
    <n v="1"/>
    <n v="14"/>
    <n v="19"/>
    <n v="24"/>
    <n v="30"/>
    <n v="34"/>
    <s v="NITAU"/>
    <e v="#N/A"/>
    <s v="Rollout of SMS services (USSD, Bulk, Notifications) across MDAs"/>
    <n v="1"/>
    <n v="0"/>
    <n v="0"/>
    <n v="1"/>
    <n v="0"/>
    <n v="0"/>
    <n v="0"/>
    <n v="1"/>
    <n v="0.375"/>
    <m/>
    <n v="1"/>
    <n v="9.8800000000000008"/>
    <n v="9.8800000000000008"/>
    <n v="9.8800000000000008"/>
    <n v="0.501"/>
    <n v="2.1999999999999999E-2"/>
    <n v="0.52300000000000002"/>
    <s v="NITA-U"/>
    <s v="126 National Information Technology Authority"/>
    <s v="N/A"/>
  </r>
  <r>
    <x v="2"/>
    <x v="2"/>
    <n v="112"/>
    <s v="E-services"/>
    <n v="1122"/>
    <s v="Enhance usage of ICT in national development and service delivery"/>
    <n v="112201"/>
    <s v="Mainstream ICT in all sectors of the economy and digitize service delivery"/>
    <m/>
    <m/>
    <n v="11220110"/>
    <s v="National ICT statistics system"/>
    <s v="National ICT statistics system developed"/>
    <n v="0"/>
    <m/>
    <n v="1"/>
    <m/>
    <m/>
    <m/>
    <s v="MoICT&amp; NG"/>
    <e v="#N/A"/>
    <s v="Develop ICT statistics system"/>
    <n v="1"/>
    <n v="0"/>
    <n v="0"/>
    <n v="1"/>
    <n v="1"/>
    <n v="0"/>
    <n v="1"/>
    <n v="1"/>
    <n v="0.625"/>
    <m/>
    <n v="0"/>
    <n v="0.5"/>
    <n v="0.75"/>
    <n v="0.2"/>
    <n v="0.75"/>
    <n v="0.3"/>
    <n v="1.05"/>
    <s v="MoICT&amp;NG"/>
    <s v="020 Ministry of ICT and National Guidance"/>
    <s v="N/A"/>
  </r>
  <r>
    <x v="2"/>
    <x v="2"/>
    <n v="112"/>
    <s v="E-services"/>
    <n v="1122"/>
    <s v="Enhance usage of ICT in national development and service delivery"/>
    <n v="112202"/>
    <s v="Strengthen Cyber Security in the country"/>
    <m/>
    <m/>
    <n v="11220201"/>
    <s v="National Information Security Framework reviewed and implemented "/>
    <s v="Number of government MDAs implementing the National Information Security Framework "/>
    <n v="31"/>
    <n v="46"/>
    <n v="61"/>
    <n v="76"/>
    <n v="91"/>
    <n v="106"/>
    <s v="NITAU"/>
    <e v="#N/A"/>
    <s v="Conduct Assessment of  Institutions on NISF implementation and handhold MDAs in the implementation of the Framework "/>
    <n v="1"/>
    <n v="0"/>
    <n v="0"/>
    <n v="1"/>
    <n v="1"/>
    <n v="0"/>
    <n v="1"/>
    <n v="1"/>
    <n v="0.625"/>
    <m/>
    <n v="1"/>
    <n v="0.5"/>
    <n v="0.5"/>
    <n v="0.5"/>
    <n v="0.1"/>
    <n v="1.05"/>
    <n v="1.1500000000000001"/>
    <s v="NITA-U"/>
    <s v="126 National Information Technology Authority"/>
    <s v="NITAU, UCC, Licenced operators, Private Sector players, Security, KCCA, UPF, agencies"/>
  </r>
  <r>
    <x v="2"/>
    <x v="2"/>
    <n v="112"/>
    <s v="E-services"/>
    <n v="1122"/>
    <s v="Enhance usage of ICT in national development and service delivery"/>
    <n v="112202"/>
    <s v="Strengthen Cyber Security in the country"/>
    <m/>
    <m/>
    <n v="11220202"/>
    <s v="National cyber security strategy developed"/>
    <s v="National Cyber Security strategy  "/>
    <n v="0"/>
    <n v="1"/>
    <s v="-"/>
    <s v="-"/>
    <s v="-"/>
    <s v="-"/>
    <s v="MOICT&amp; NG"/>
    <e v="#N/A"/>
    <s v="Develop the Strategy and implement guidelines for subsector CERTs"/>
    <n v="1"/>
    <n v="0"/>
    <n v="0"/>
    <n v="1"/>
    <n v="1"/>
    <n v="0"/>
    <n v="0"/>
    <n v="1"/>
    <n v="0.5"/>
    <m/>
    <n v="0"/>
    <n v="0.152"/>
    <n v="0.152"/>
    <n v="0.152"/>
    <m/>
    <m/>
    <n v="0"/>
    <s v="MoICT&amp;NG"/>
    <s v="020 Ministry of ICT and National Guidance"/>
    <s v="NITAU, UCC, Licenced operators, Private Sector players, Security, KCCA, UPF, agencies"/>
  </r>
  <r>
    <x v="2"/>
    <x v="2"/>
    <n v="112"/>
    <s v="E-services"/>
    <n v="1122"/>
    <s v="Enhance usage of ICT in national development and service delivery"/>
    <n v="112202"/>
    <s v="Strengthen Cyber Security in the country"/>
    <m/>
    <m/>
    <n v="11220202"/>
    <s v="National cyber security strategy developed"/>
    <m/>
    <m/>
    <m/>
    <m/>
    <m/>
    <m/>
    <m/>
    <s v="MOICT&amp; NG"/>
    <e v="#N/A"/>
    <s v="Coordinate Implementation  of the strategy"/>
    <n v="1"/>
    <n v="0"/>
    <n v="0"/>
    <n v="1"/>
    <n v="1"/>
    <n v="0"/>
    <n v="0"/>
    <n v="1"/>
    <n v="0.5"/>
    <m/>
    <n v="0"/>
    <n v="0"/>
    <n v="0"/>
    <n v="0"/>
    <n v="0"/>
    <n v="0"/>
    <n v="0"/>
    <s v="MoICT&amp;NG"/>
    <s v="020 Ministry of ICT and National Guidance"/>
    <s v="NITAU, UCC, Licenced operators, Private Sector players, Security, KCCA, UPF, agencies"/>
  </r>
  <r>
    <x v="2"/>
    <x v="2"/>
    <n v="112"/>
    <s v="E-services"/>
    <n v="1122"/>
    <s v="Enhance usage of ICT in national development and service delivery"/>
    <n v="112202"/>
    <s v="Strengthen Cyber Security in the country"/>
    <m/>
    <m/>
    <n v="11220203"/>
    <s v="Computer Emergency Response Teams (CERTs) strengthened"/>
    <s v="Number of CERT services"/>
    <n v="4"/>
    <s v="-"/>
    <n v="6"/>
    <n v="10"/>
    <s v="-"/>
    <s v="-"/>
    <s v="NITAU"/>
    <e v="#N/A"/>
    <s v="Strengthen national CERT/SOC capabilities "/>
    <n v="1"/>
    <n v="0"/>
    <n v="0"/>
    <n v="1"/>
    <n v="1"/>
    <n v="1"/>
    <n v="0"/>
    <n v="1"/>
    <n v="0.625"/>
    <m/>
    <n v="1"/>
    <n v="0.98699999999999999"/>
    <n v="0.98699999999999999"/>
    <n v="0.98699999999999999"/>
    <n v="1.73"/>
    <n v="1.99"/>
    <n v="3.7199999999999998"/>
    <s v="NITA-U"/>
    <s v="126 National Information Technology Authority"/>
    <s v="NITAU, UCC, Licenced operators, Private Sector players, Security, KCCA, UPF, agencies"/>
  </r>
  <r>
    <x v="2"/>
    <x v="2"/>
    <n v="112"/>
    <s v="E-services"/>
    <n v="1122"/>
    <s v="Enhance usage of ICT in national development and service delivery"/>
    <n v="112202"/>
    <s v="Strengthen Cyber Security in the country"/>
    <m/>
    <m/>
    <n v="11220203"/>
    <s v="Computer Emergency Response Teams (CERTs) strengthened"/>
    <s v="Proportion of National Cyber Incident Response plan targets achieved"/>
    <m/>
    <n v="50"/>
    <n v="70"/>
    <n v="75"/>
    <n v="80"/>
    <n v="90"/>
    <s v="UCC"/>
    <e v="#N/A"/>
    <s v="Strengthen sectoral CERT/SOC capabilities "/>
    <n v="1"/>
    <n v="0"/>
    <n v="0"/>
    <n v="1"/>
    <n v="1"/>
    <n v="1"/>
    <n v="0"/>
    <n v="1"/>
    <n v="0.625"/>
    <m/>
    <n v="0"/>
    <n v="2.5"/>
    <n v="3.5"/>
    <n v="4.5"/>
    <n v="3.5"/>
    <n v="3"/>
    <n v="6.5"/>
    <s v="MoICT&amp;NG (UCC)"/>
    <s v="020 Ministry of ICT and National Guidance"/>
    <s v="NITAU, UCC, Licenced operators, Private Sector players, Security, KCCA, UPF, agencies"/>
  </r>
  <r>
    <x v="2"/>
    <x v="2"/>
    <n v="112"/>
    <s v="E-services"/>
    <n v="1122"/>
    <s v="Enhance usage of ICT in national development and service delivery"/>
    <n v="112202"/>
    <s v="Strengthen Cyber Security in the country"/>
    <m/>
    <m/>
    <n v="11220203"/>
    <s v="Computer Emergency Response Teams (CERTs) strengthened"/>
    <s v="Number of empaneled  cybersecurity companies "/>
    <m/>
    <n v="15"/>
    <n v="20"/>
    <n v="25"/>
    <n v="30"/>
    <n v="35"/>
    <s v="NITAU"/>
    <e v="#N/A"/>
    <s v="Assessment of cybersecurity companies"/>
    <n v="1"/>
    <n v="0"/>
    <n v="0"/>
    <n v="1"/>
    <n v="0"/>
    <n v="0"/>
    <n v="0"/>
    <n v="1"/>
    <n v="0.375"/>
    <m/>
    <n v="1"/>
    <n v="0.06"/>
    <n v="0.06"/>
    <n v="0.06"/>
    <n v="0.06"/>
    <n v="0.06"/>
    <n v="0.12"/>
    <s v="NITA-U"/>
    <s v="126 National Information Technology Authority"/>
    <s v="N/A"/>
  </r>
  <r>
    <x v="2"/>
    <x v="2"/>
    <n v="112"/>
    <s v="E-services"/>
    <n v="1122"/>
    <s v="Enhance usage of ICT in national development and service delivery"/>
    <n v="112202"/>
    <s v="Strengthen Cyber Security in the country"/>
    <m/>
    <m/>
    <n v="11220203"/>
    <s v="Computer Emergency Response Teams (CERTs) strengthened"/>
    <s v="Number of entities utilizing the National Cyber threat intelligence platform"/>
    <m/>
    <n v="20"/>
    <n v="40"/>
    <n v="50"/>
    <n v="60"/>
    <n v="70"/>
    <s v="NITAU"/>
    <e v="#N/A"/>
    <s v="Development and awareness of the National Cyber threat intelligence platform"/>
    <n v="1"/>
    <n v="0"/>
    <n v="0"/>
    <n v="1"/>
    <n v="1"/>
    <n v="0"/>
    <n v="0"/>
    <n v="1"/>
    <n v="0.5"/>
    <m/>
    <n v="1"/>
    <n v="0.06"/>
    <n v="0.06"/>
    <n v="0.06"/>
    <n v="0.06"/>
    <n v="0.06"/>
    <n v="0.12"/>
    <s v="NITA-U"/>
    <s v="126 National Information Technology Authority"/>
    <s v="N/A"/>
  </r>
  <r>
    <x v="2"/>
    <x v="2"/>
    <n v="112"/>
    <s v="E-services"/>
    <n v="1122"/>
    <s v="Enhance usage of ICT in national development and service delivery"/>
    <n v="112202"/>
    <s v="Strengthen Cyber Security in the country"/>
    <m/>
    <m/>
    <n v="11220203"/>
    <s v="Computer Emergency Response Teams (CERTs) strengthened"/>
    <s v="Number of services enrolled under the Responsible Disclosure Framework "/>
    <m/>
    <s v="-"/>
    <n v="10"/>
    <n v="15"/>
    <n v="20"/>
    <n v="25"/>
    <s v="NITAU"/>
    <e v="#N/A"/>
    <s v="Development and awareness of the Responsible Disclosure Framework"/>
    <n v="1"/>
    <n v="0"/>
    <n v="0"/>
    <n v="1"/>
    <n v="1"/>
    <n v="0"/>
    <n v="0"/>
    <n v="1"/>
    <n v="0.5"/>
    <m/>
    <n v="1"/>
    <n v="0.06"/>
    <n v="0.06"/>
    <n v="0.06"/>
    <n v="0.06"/>
    <n v="0.06"/>
    <n v="0.12"/>
    <s v="NITA-U"/>
    <s v="126 National Information Technology Authority"/>
    <s v="N/A"/>
  </r>
  <r>
    <x v="2"/>
    <x v="2"/>
    <n v="112"/>
    <s v="E-services"/>
    <n v="1122"/>
    <s v="Enhance usage of ICT in national development and service delivery"/>
    <n v="112202"/>
    <s v="Strengthen Cyber Security in the country"/>
    <m/>
    <m/>
    <n v="11220203"/>
    <s v="Computer Emergency Response Teams (CERTs) strengthened"/>
    <s v="Number of trained JLOS staff on the cybercrime investigation and prosecution"/>
    <m/>
    <m/>
    <n v="30"/>
    <n v="80"/>
    <n v="100"/>
    <n v="110"/>
    <s v="NITAU"/>
    <e v="#N/A"/>
    <s v="Design and implementation of re-tooling program for JLOS on cybercrime matters"/>
    <n v="1"/>
    <n v="0"/>
    <n v="0"/>
    <n v="1"/>
    <n v="0"/>
    <n v="0"/>
    <n v="0"/>
    <n v="0"/>
    <n v="0.25"/>
    <m/>
    <n v="0"/>
    <n v="0.14000000000000001"/>
    <n v="0.14000000000000001"/>
    <n v="0.14000000000000001"/>
    <n v="0"/>
    <n v="0"/>
    <n v="0"/>
    <s v="NITA-U"/>
    <s v="126 National Information Technology Authority"/>
    <s v="N/A"/>
  </r>
  <r>
    <x v="2"/>
    <x v="2"/>
    <n v="112"/>
    <s v="E-services"/>
    <n v="1122"/>
    <s v="Enhance usage of ICT in national development and service delivery"/>
    <n v="112202"/>
    <s v="Strengthen Cyber Security in the country"/>
    <m/>
    <m/>
    <n v="11220203"/>
    <s v="Computer Emergency Response Teams (CERTs) strengthened"/>
    <m/>
    <m/>
    <m/>
    <m/>
    <m/>
    <m/>
    <m/>
    <s v="NITAU"/>
    <e v="#N/A"/>
    <s v="Technical capacity building and support for priority institutions within key sectors to Reach ISO 27001 or similar cybersecurity certification"/>
    <n v="1"/>
    <n v="0"/>
    <n v="0"/>
    <n v="1"/>
    <n v="1"/>
    <n v="0"/>
    <n v="0"/>
    <n v="1"/>
    <n v="0.5"/>
    <m/>
    <n v="1"/>
    <n v="1.518"/>
    <n v="1.518"/>
    <n v="1.518"/>
    <n v="5.1999999999999998E-2"/>
    <n v="0.06"/>
    <n v="0.11199999999999999"/>
    <s v="NITA-U"/>
    <s v="126 National Information Technology Authority"/>
    <s v="NITAU, UCC, Licenced operators, Private Sector players, Security, KCCA, UPF, agencies"/>
  </r>
  <r>
    <x v="2"/>
    <x v="2"/>
    <n v="112"/>
    <s v="E-services"/>
    <n v="1122"/>
    <s v="Enhance usage of ICT in national development and service delivery"/>
    <n v="112202"/>
    <s v="Strengthen Cyber Security in the country"/>
    <m/>
    <m/>
    <n v="11220204"/>
    <s v="Public Key Infrastructure developed and implemented"/>
    <s v="Number of services enabled for PKI"/>
    <n v="0"/>
    <n v="10"/>
    <n v="20"/>
    <n v="30"/>
    <n v="35"/>
    <n v="40"/>
    <s v="NITAU"/>
    <e v="#N/A"/>
    <s v="Development and implementation of the Digital Authentication and Electronic Signatures Platform"/>
    <m/>
    <m/>
    <m/>
    <m/>
    <m/>
    <m/>
    <m/>
    <m/>
    <n v="0"/>
    <m/>
    <n v="0"/>
    <n v="3.9"/>
    <n v="3.9"/>
    <n v="1.7290000000000001"/>
    <n v="0.01"/>
    <n v="0.02"/>
    <n v="0.03"/>
    <s v="NITA-U"/>
    <s v="126 National Information Technology Authority"/>
    <s v="N/A"/>
  </r>
  <r>
    <x v="2"/>
    <x v="2"/>
    <n v="112"/>
    <s v="E-services"/>
    <n v="1122"/>
    <s v="Enhance usage of ICT in national development and service delivery"/>
    <n v="112202"/>
    <s v="Strengthen Cyber Security in the country"/>
    <m/>
    <m/>
    <n v="11220204"/>
    <s v="Public Key Infrastructure developed and implemented"/>
    <m/>
    <m/>
    <m/>
    <m/>
    <m/>
    <m/>
    <m/>
    <m/>
    <e v="#N/A"/>
    <s v="Development of PKI Infrastructure"/>
    <m/>
    <m/>
    <m/>
    <m/>
    <m/>
    <m/>
    <m/>
    <m/>
    <n v="0"/>
    <m/>
    <n v="0"/>
    <n v="0"/>
    <n v="0"/>
    <n v="0"/>
    <n v="0"/>
    <n v="0"/>
    <n v="0"/>
    <s v="NITA-U"/>
    <s v="126 National Information Technology Authority"/>
    <s v="N/A"/>
  </r>
  <r>
    <x v="2"/>
    <x v="2"/>
    <n v="112"/>
    <s v="E-services"/>
    <n v="1122"/>
    <s v="Enhance usage of ICT in national development and service delivery"/>
    <n v="112203"/>
    <s v="Develop and implement the Data Protection and Privacy Program"/>
    <m/>
    <m/>
    <n v="11220301"/>
    <s v="Develop data protection and Privacy regulations"/>
    <s v="Number of Regulations"/>
    <n v="0"/>
    <s v="-"/>
    <n v="1"/>
    <s v="-"/>
    <s v="-"/>
    <s v="-"/>
    <s v="MOICT&amp; NG"/>
    <e v="#N/A"/>
    <s v="Develop the Data Protection and Privacy Regulation"/>
    <m/>
    <m/>
    <m/>
    <m/>
    <m/>
    <m/>
    <m/>
    <m/>
    <n v="0"/>
    <m/>
    <n v="0"/>
    <n v="0.05"/>
    <n v="0"/>
    <n v="0"/>
    <n v="0"/>
    <s v="               -   "/>
    <n v="0"/>
    <s v="MoICT&amp;NG"/>
    <s v="020 Ministry of ICT and National Guidance"/>
    <s v="NITAU, UCC, Private Sector"/>
  </r>
  <r>
    <x v="2"/>
    <x v="2"/>
    <n v="112"/>
    <s v="E-services"/>
    <n v="1122"/>
    <s v="Enhance usage of ICT in national development and service delivery"/>
    <n v="112203"/>
    <s v="Develop and implement the Data Protection and Privacy Program"/>
    <m/>
    <m/>
    <n v="11220301"/>
    <s v="Develop data protection and Privacy regulations"/>
    <m/>
    <m/>
    <m/>
    <m/>
    <m/>
    <m/>
    <m/>
    <m/>
    <e v="#N/A"/>
    <s v="Awareness Creation and Sensitization "/>
    <n v="1"/>
    <n v="0"/>
    <n v="0"/>
    <n v="1"/>
    <n v="1"/>
    <n v="0"/>
    <n v="0"/>
    <n v="0"/>
    <n v="0.375"/>
    <m/>
    <n v="0"/>
    <n v="0.03"/>
    <n v="0.03"/>
    <n v="0.03"/>
    <n v="0.03"/>
    <n v="0.03"/>
    <n v="0.06"/>
    <s v="MoICT&amp;NG"/>
    <s v="020 Ministry of ICT and National Guidance"/>
    <s v="NITAU, UCC, Private Sector"/>
  </r>
  <r>
    <x v="2"/>
    <x v="2"/>
    <n v="112"/>
    <s v="E-services"/>
    <n v="1122"/>
    <s v="Enhance usage of ICT in national development and service delivery"/>
    <n v="112204"/>
    <s v="Leverage the existing Government infrastructure to deliver public and private services"/>
    <m/>
    <m/>
    <n v="11220401"/>
    <s v="Services (government &amp; non-government) provided through the postal outlets"/>
    <s v="Number of government services accessed at postal outlets."/>
    <n v="2"/>
    <n v="6"/>
    <n v="10"/>
    <n v="14"/>
    <n v="18"/>
    <n v="22"/>
    <s v="POSTA"/>
    <e v="#N/A"/>
    <s v="New auxiliary services introduced for access at postal outlets"/>
    <n v="1"/>
    <n v="0"/>
    <n v="0"/>
    <n v="1"/>
    <n v="1"/>
    <n v="0"/>
    <n v="1"/>
    <n v="1"/>
    <n v="0.625"/>
    <m/>
    <n v="0"/>
    <n v="0"/>
    <n v="0.1"/>
    <n v="0.1"/>
    <n v="0.1"/>
    <n v="0.1"/>
    <n v="0.2"/>
    <s v="MoICT&amp;NG (POSTA)"/>
    <s v="020 Ministry of ICT and National Guidance"/>
    <s v="N/A"/>
  </r>
  <r>
    <x v="2"/>
    <x v="2"/>
    <n v="112"/>
    <s v="E-services"/>
    <n v="1122"/>
    <s v="Enhance usage of ICT in national development and service delivery"/>
    <n v="112204"/>
    <s v="Leverage the existing Government infrastructure to deliver public and private services"/>
    <m/>
    <m/>
    <n v="11220401"/>
    <s v="Services (government &amp; non-government) provided through the postal outlets"/>
    <s v="Number of non-government services accessed at postal outlets."/>
    <n v="2"/>
    <n v="4"/>
    <n v="6"/>
    <n v="8"/>
    <n v="10"/>
    <n v="12"/>
    <s v="POSTA"/>
    <e v="#N/A"/>
    <s v="Postal outlets well facilitated with the requisite equipment and systems that transforms them into e-service delivery points"/>
    <n v="1"/>
    <n v="0"/>
    <n v="0"/>
    <n v="1"/>
    <n v="0"/>
    <n v="1"/>
    <n v="1"/>
    <n v="1"/>
    <n v="0.625"/>
    <m/>
    <n v="0"/>
    <n v="0"/>
    <n v="11.2"/>
    <n v="2.8"/>
    <m/>
    <m/>
    <n v="0"/>
    <s v="MoICT&amp;NG (POSTA)"/>
    <s v="020 Ministry of ICT and National Guidance"/>
    <s v="MoPS"/>
  </r>
  <r>
    <x v="2"/>
    <x v="2"/>
    <n v="112"/>
    <s v="E-services"/>
    <n v="1122"/>
    <s v="Enhance usage of ICT in national development and service delivery"/>
    <n v="112204"/>
    <s v="Leverage the existing Government infrastructure to deliver public and private services"/>
    <m/>
    <m/>
    <n v="11220401"/>
    <s v="Services (government &amp; non-government) provided through the postal outlets"/>
    <s v="Number of postal outlets transformed to deliver e-services"/>
    <n v="0"/>
    <n v="12"/>
    <n v="16"/>
    <n v="20"/>
    <n v="24"/>
    <n v="28"/>
    <s v="POSTA"/>
    <e v="#N/A"/>
    <m/>
    <m/>
    <m/>
    <m/>
    <m/>
    <m/>
    <m/>
    <n v="0"/>
    <n v="0"/>
    <n v="0"/>
    <m/>
    <n v="0"/>
    <m/>
    <m/>
    <m/>
    <m/>
    <m/>
    <n v="0"/>
    <m/>
    <m/>
    <m/>
  </r>
  <r>
    <x v="2"/>
    <x v="2"/>
    <n v="112"/>
    <s v="E-services"/>
    <n v="1122"/>
    <s v="Enhance usage of ICT in national development and service delivery"/>
    <n v="112204"/>
    <s v="Leverage the existing Government infrastructure to deliver public and private services"/>
    <m/>
    <m/>
    <n v="11220402"/>
    <s v="Service Uganda centers established and equiped"/>
    <s v="Number of Service centers and digital kiosks established"/>
    <n v="5"/>
    <n v="30"/>
    <n v="60"/>
    <n v="100"/>
    <n v="140"/>
    <n v="146"/>
    <s v="MOPS"/>
    <s v="005 Ministry of Public Service"/>
    <s v="Establish information and service Uganda centers and digital kiosks"/>
    <n v="1"/>
    <n v="0"/>
    <n v="0"/>
    <n v="1"/>
    <n v="0"/>
    <n v="1"/>
    <n v="1"/>
    <n v="1"/>
    <n v="0.625"/>
    <m/>
    <n v="0"/>
    <n v="1.8"/>
    <n v="2"/>
    <n v="2.2000000000000002"/>
    <n v="2.2000000000000002"/>
    <n v="2.2000000000000002"/>
    <n v="4.4000000000000004"/>
    <s v="MoPS"/>
    <s v="005 Ministry of Public Service"/>
    <s v="MoLG, POSTA,UCC,MoICT, NITA-U"/>
  </r>
  <r>
    <x v="2"/>
    <x v="2"/>
    <n v="112"/>
    <s v="E-services"/>
    <n v="1122"/>
    <s v="Enhance usage of ICT in national development and service delivery"/>
    <n v="112204"/>
    <s v="Leverage the existing Government infrastructure to deliver public and private services"/>
    <m/>
    <m/>
    <n v="11220402"/>
    <s v="Service Uganda centers established and equiped"/>
    <s v="Number of citizens accessing services from the service uganda centers (‘000S)"/>
    <n v="135"/>
    <n v="140"/>
    <n v="180"/>
    <n v="220"/>
    <n v="250"/>
    <n v="300"/>
    <s v="MOPS"/>
    <s v="005 Ministry of Public Service"/>
    <m/>
    <m/>
    <m/>
    <m/>
    <m/>
    <m/>
    <m/>
    <n v="0"/>
    <n v="0"/>
    <n v="0"/>
    <m/>
    <n v="0"/>
    <m/>
    <m/>
    <m/>
    <m/>
    <m/>
    <n v="0"/>
    <m/>
    <m/>
    <m/>
  </r>
  <r>
    <x v="2"/>
    <x v="2"/>
    <n v="112"/>
    <s v="E-services"/>
    <n v="1122"/>
    <s v="Enhance usage of ICT in national development and service delivery"/>
    <n v="112204"/>
    <s v="Leverage the existing Government infrastructure to deliver public and private services"/>
    <m/>
    <m/>
    <n v="11220403"/>
    <s v="National infrastructure information sharing and coordination platform established"/>
    <s v="Platform in place"/>
    <n v="0"/>
    <n v="0"/>
    <n v="0"/>
    <n v="0"/>
    <n v="0"/>
    <n v="1"/>
    <s v="MoICT&amp; NG"/>
    <e v="#N/A"/>
    <s v="Establish and operationalise a Management and Coordination Tool for a Guided ICT Infrastrucuture roll out in collaboration with utility providers. "/>
    <n v="1"/>
    <n v="0"/>
    <n v="0"/>
    <n v="1"/>
    <n v="1"/>
    <n v="0"/>
    <n v="0"/>
    <n v="1"/>
    <n v="0.5"/>
    <m/>
    <n v="0"/>
    <n v="0"/>
    <n v="2.5"/>
    <n v="2.5"/>
    <n v="0.08"/>
    <s v="               -   "/>
    <n v="0.08"/>
    <s v="MoICT&amp;NG"/>
    <s v="020 Ministry of ICT and National Guidance"/>
    <s v="N/A"/>
  </r>
  <r>
    <x v="2"/>
    <x v="2"/>
    <n v="112"/>
    <s v="E-services"/>
    <n v="1122"/>
    <s v="Enhance usage of ICT in national development and service delivery"/>
    <n v="112204"/>
    <s v="Leverage the existing Government infrastructure to deliver public and private services"/>
    <m/>
    <m/>
    <n v="11220403"/>
    <s v="National infrastructure information sharing and coordination platform established"/>
    <m/>
    <m/>
    <m/>
    <m/>
    <m/>
    <m/>
    <m/>
    <m/>
    <e v="#N/A"/>
    <s v="Establish and operationalise a Management Framework for a National Infrastructure Information Sharing and Coordination Tool "/>
    <n v="1"/>
    <n v="0"/>
    <n v="0"/>
    <n v="1"/>
    <n v="1"/>
    <n v="0"/>
    <n v="0"/>
    <n v="1"/>
    <n v="0.5"/>
    <m/>
    <n v="0"/>
    <n v="0"/>
    <n v="1.5"/>
    <n v="1.5"/>
    <n v="2"/>
    <n v="2"/>
    <n v="4"/>
    <s v="MoICT&amp;NG"/>
    <s v="020 Ministry of ICT and National Guidance"/>
    <s v="POSTA,KCCA,NITAU,MWE,MOWT,UNRA,UEDCL,UETCL,MEMD, Private sector"/>
  </r>
  <r>
    <x v="2"/>
    <x v="2"/>
    <n v="112"/>
    <s v="E-services"/>
    <n v="1122"/>
    <s v="Enhance usage of ICT in national development and service delivery"/>
    <n v="112204"/>
    <s v="Leverage the existing Government infrastructure to deliver public and private services"/>
    <m/>
    <m/>
    <n v="11220404"/>
    <s v="New postal services introduced"/>
    <s v="Number of new services introduced"/>
    <n v="0"/>
    <n v="2"/>
    <s v="-"/>
    <n v="4"/>
    <s v="-"/>
    <n v="6"/>
    <s v="POSTA"/>
    <e v="#N/A"/>
    <s v="Rollout new services that position the Post as an essential infrastructure for the development of the economy"/>
    <n v="1"/>
    <n v="0"/>
    <n v="0"/>
    <n v="1"/>
    <n v="0"/>
    <n v="0"/>
    <n v="1"/>
    <n v="1"/>
    <n v="0.5"/>
    <m/>
    <n v="0"/>
    <n v="0"/>
    <n v="0.6"/>
    <n v="0"/>
    <n v="0.6"/>
    <n v="0.6"/>
    <n v="1.2"/>
    <s v="MoICT&amp;NG (POSTA)"/>
    <s v="020 Ministry of ICT and National Guidance"/>
    <s v="N/A"/>
  </r>
  <r>
    <x v="2"/>
    <x v="2"/>
    <n v="112"/>
    <s v="E-services"/>
    <n v="1122"/>
    <s v="Enhance usage of ICT in national development and service delivery"/>
    <n v="112205"/>
    <s v="Digitize, archive and commercialize Local Content and data"/>
    <m/>
    <m/>
    <n v="11220501"/>
    <s v="Platforms for digitization and documentation of ongoing government programmes for MDAs &amp;LGs provided "/>
    <s v="Digitised archives (UBC)"/>
    <n v="0"/>
    <n v="0"/>
    <n v="1"/>
    <n v="1"/>
    <n v="1"/>
    <n v="1"/>
    <s v="UBC"/>
    <e v="#N/A"/>
    <s v="Develop centralised Archiving systems"/>
    <n v="1"/>
    <n v="0"/>
    <n v="0"/>
    <n v="1"/>
    <n v="0"/>
    <n v="1"/>
    <n v="1"/>
    <n v="1"/>
    <n v="0.625"/>
    <m/>
    <n v="0"/>
    <n v="4.8"/>
    <n v="2.2000000000000002"/>
    <n v="2.2000000000000002"/>
    <n v="2.2000000000000002"/>
    <n v="1.4"/>
    <n v="3.6"/>
    <s v="MoICT&amp;NG (UBC)"/>
    <s v="020 Ministry of ICT and National Guidance"/>
    <s v="N/A"/>
  </r>
  <r>
    <x v="2"/>
    <x v="2"/>
    <n v="112"/>
    <s v="E-services"/>
    <n v="1122"/>
    <s v="Enhance usage of ICT in national development and service delivery"/>
    <n v="112205"/>
    <s v="Digitize, archive and commercialize Local Content and data"/>
    <m/>
    <m/>
    <n v="11220502"/>
    <s v="Digital Repository Infrastructure and Facilities for MDAs &amp; LGs provided"/>
    <s v="Local Content Digital Repository infrastructure"/>
    <n v="0"/>
    <m/>
    <m/>
    <n v="1"/>
    <m/>
    <m/>
    <s v="UBC"/>
    <e v="#N/A"/>
    <s v="Develop Digital Repository Infrastructure and Facilities for MDAs and LGs"/>
    <n v="1"/>
    <n v="0"/>
    <n v="0"/>
    <n v="1"/>
    <n v="0"/>
    <n v="1"/>
    <n v="1"/>
    <n v="1"/>
    <n v="0.625"/>
    <m/>
    <n v="0"/>
    <n v="4"/>
    <n v="2.2000000000000002"/>
    <n v="2.2000000000000002"/>
    <n v="1.2"/>
    <n v="1.2"/>
    <n v="2.4"/>
    <s v="MoICT&amp;NG (UBC)"/>
    <s v="020 Ministry of ICT and National Guidance"/>
    <s v="MoICT &amp;NG "/>
  </r>
  <r>
    <x v="2"/>
    <x v="2"/>
    <n v="112"/>
    <s v="E-services"/>
    <n v="1122"/>
    <s v="Enhance usage of ICT in national development and service delivery"/>
    <n v="112205"/>
    <s v="Digitize, archive and commercialize Local Content and data"/>
    <m/>
    <m/>
    <n v="11220503"/>
    <s v="Local content commercially available"/>
    <s v="Number of web portals"/>
    <n v="0"/>
    <m/>
    <m/>
    <m/>
    <n v="1"/>
    <m/>
    <s v="UBC"/>
    <e v="#N/A"/>
    <s v="Establishment of the regional centre to get additional information"/>
    <n v="1"/>
    <n v="0"/>
    <n v="0"/>
    <n v="1"/>
    <n v="0"/>
    <n v="0"/>
    <n v="1"/>
    <n v="1"/>
    <n v="0.5"/>
    <m/>
    <n v="0"/>
    <n v="3"/>
    <n v="3"/>
    <n v="3"/>
    <n v="3"/>
    <n v="3"/>
    <n v="6"/>
    <s v="MoICT&amp;NG (UBC)"/>
    <s v="020 Ministry of ICT and National Guidance"/>
    <s v="N/A"/>
  </r>
  <r>
    <x v="2"/>
    <x v="2"/>
    <n v="112"/>
    <s v="E-services"/>
    <n v="1122"/>
    <s v="Enhance usage of ICT in national development and service delivery"/>
    <n v="112205"/>
    <s v="Digitize, archive and commercialize Local Content and data"/>
    <m/>
    <m/>
    <n v="11220503"/>
    <s v="Local content commercially available"/>
    <s v="Programming that contains Local content (%)"/>
    <n v="25"/>
    <n v="45"/>
    <n v="50"/>
    <n v="55"/>
    <n v="60"/>
    <n v="70"/>
    <s v="UCC"/>
    <e v="#N/A"/>
    <s v="Digitize available local content"/>
    <n v="1"/>
    <n v="0"/>
    <n v="0"/>
    <n v="1"/>
    <n v="0"/>
    <n v="0"/>
    <n v="1"/>
    <n v="1"/>
    <n v="0.5"/>
    <m/>
    <n v="0"/>
    <n v="0"/>
    <n v="0"/>
    <n v="0"/>
    <n v="0"/>
    <n v="0"/>
    <n v="0"/>
    <s v="MoICT&amp;NG (UBC)"/>
    <s v="020 Ministry of ICT and National Guidance"/>
    <s v="MoICT &amp;NG"/>
  </r>
  <r>
    <x v="2"/>
    <x v="2"/>
    <n v="112"/>
    <s v="E-services"/>
    <n v="1122"/>
    <s v="Enhance usage of ICT in national development and service delivery"/>
    <n v="112205"/>
    <s v="Digitize, archive and commercialize Local Content and data"/>
    <m/>
    <m/>
    <n v="11220503"/>
    <s v="Local content commercially available"/>
    <m/>
    <m/>
    <m/>
    <m/>
    <m/>
    <m/>
    <m/>
    <m/>
    <e v="#N/A"/>
    <s v="Nationwide capacity building of local audio visual capacity building of local production industry"/>
    <n v="1"/>
    <n v="0"/>
    <n v="0"/>
    <n v="1"/>
    <n v="0"/>
    <n v="0"/>
    <n v="1"/>
    <n v="1"/>
    <n v="0.5"/>
    <m/>
    <n v="0"/>
    <n v="2.5"/>
    <n v="1.5"/>
    <n v="3"/>
    <n v="1.8"/>
    <n v="1.2"/>
    <n v="3"/>
    <s v="MoICT&amp;NG (UCC)"/>
    <s v="020 Ministry of ICT and National Guidance"/>
    <s v="N/A"/>
  </r>
  <r>
    <x v="2"/>
    <x v="2"/>
    <n v="112"/>
    <s v="E-services"/>
    <n v="1122"/>
    <s v="Enhance usage of ICT in national development and service delivery"/>
    <n v="112205"/>
    <s v="Digitize, archive and commercialize Local Content and data"/>
    <m/>
    <m/>
    <n v="11220503"/>
    <s v="Local content commercially available"/>
    <m/>
    <m/>
    <m/>
    <m/>
    <m/>
    <m/>
    <m/>
    <m/>
    <e v="#N/A"/>
    <s v="Implementation of the local content development fund and partnerghips with academia and private sector for commercialization of film products"/>
    <n v="1"/>
    <n v="0"/>
    <n v="0"/>
    <n v="1"/>
    <n v="0"/>
    <n v="1"/>
    <n v="1"/>
    <n v="0"/>
    <n v="0.5"/>
    <m/>
    <n v="0"/>
    <n v="0"/>
    <n v="0"/>
    <n v="0"/>
    <n v="0"/>
    <n v="0"/>
    <n v="0"/>
    <s v="MoICT&amp;NG (UCC)"/>
    <s v="020 Ministry of ICT and National Guidance"/>
    <s v="N/A"/>
  </r>
  <r>
    <x v="2"/>
    <x v="2"/>
    <n v="112"/>
    <s v="E-services"/>
    <n v="1122"/>
    <s v="Enhance usage of ICT in national development and service delivery"/>
    <n v="112205"/>
    <s v="Digitize, archive and commercialize Local Content and data"/>
    <m/>
    <m/>
    <n v="11220504"/>
    <s v="Digitization of delivery platforms for PWDs developed"/>
    <s v="Operational sign language delivery platform in place"/>
    <n v="0"/>
    <m/>
    <m/>
    <m/>
    <n v="1"/>
    <m/>
    <s v="UBC"/>
    <e v="#N/A"/>
    <s v="Digitise delivery platforms for PWDs (sign language, different languages, PWDs digital programmes)"/>
    <n v="1"/>
    <n v="0"/>
    <n v="0"/>
    <n v="1"/>
    <n v="0"/>
    <n v="1"/>
    <n v="1"/>
    <n v="0"/>
    <n v="0.5"/>
    <m/>
    <n v="0"/>
    <n v="5"/>
    <n v="4"/>
    <n v="3"/>
    <n v="0"/>
    <n v="0"/>
    <n v="0"/>
    <s v="MoICT&amp;NG (UBC)"/>
    <s v="020 Ministry of ICT and National Guidance"/>
    <s v="N/A"/>
  </r>
  <r>
    <x v="2"/>
    <x v="2"/>
    <n v="112"/>
    <s v="E-services"/>
    <n v="1122"/>
    <s v="Enhance usage of ICT in national development and service delivery"/>
    <n v="112205"/>
    <s v="Digitize, archive and commercialize Local Content and data"/>
    <m/>
    <m/>
    <n v="11220504"/>
    <s v="Digitization of delivery platforms for PWDs developed"/>
    <s v="Number of different language delivery platforms"/>
    <m/>
    <m/>
    <n v="2"/>
    <n v="2"/>
    <n v="2"/>
    <n v="2"/>
    <s v="UBC"/>
    <e v="#N/A"/>
    <s v="Developent of Educational platform with Assistive Technologies for all Digital Educational Content"/>
    <n v="1"/>
    <n v="0"/>
    <n v="0"/>
    <n v="1"/>
    <n v="0"/>
    <n v="1"/>
    <n v="1"/>
    <n v="0"/>
    <n v="0.5"/>
    <m/>
    <n v="0"/>
    <n v="0.75"/>
    <n v="1.2"/>
    <n v="1.5"/>
    <n v="0"/>
    <n v="0"/>
    <n v="0"/>
    <s v="MoICT&amp;NG (UCC)"/>
    <s v="020 Ministry of ICT and National Guidance"/>
    <s v="N/A"/>
  </r>
  <r>
    <x v="2"/>
    <x v="2"/>
    <n v="112"/>
    <s v="E-services"/>
    <n v="1122"/>
    <s v="Enhance usage of ICT in national development and service delivery"/>
    <n v="112205"/>
    <s v="Digitize, archive and commercialize Local Content and data"/>
    <m/>
    <m/>
    <n v="11220504"/>
    <s v="Digitization of delivery platforms for PWDs developed"/>
    <s v="An operational PDWs digital educational content platform"/>
    <n v="0"/>
    <s v="-"/>
    <n v="1"/>
    <s v="-"/>
    <s v="-"/>
    <s v="-"/>
    <s v="UCC"/>
    <e v="#N/A"/>
    <s v="Deployment of Assitive technologies at PWD Institutions"/>
    <n v="1"/>
    <n v="0"/>
    <n v="0"/>
    <n v="1"/>
    <n v="1"/>
    <n v="0"/>
    <n v="0"/>
    <n v="1"/>
    <n v="0.5"/>
    <m/>
    <n v="0"/>
    <n v="0.75"/>
    <n v="1"/>
    <n v="1.25"/>
    <n v="1.1000000000000001"/>
    <n v="1.35"/>
    <n v="2.4500000000000002"/>
    <s v="MoICT&amp;NG (UCC)"/>
    <s v="020 Ministry of ICT and National Guidance"/>
    <s v="N/A"/>
  </r>
  <r>
    <x v="2"/>
    <x v="2"/>
    <n v="112"/>
    <s v="E-services"/>
    <n v="1122"/>
    <s v="Enhance usage of ICT in national development and service delivery"/>
    <n v="112205"/>
    <s v="Digitize, archive and commercialize Local Content and data"/>
    <m/>
    <m/>
    <n v="11220504"/>
    <s v="Digitization of delivery platforms for PWDs developed"/>
    <s v="No. of Institutions with Assistive Technologies"/>
    <m/>
    <n v="5"/>
    <n v="7"/>
    <n v="10"/>
    <n v="15"/>
    <n v="20"/>
    <s v="UCC"/>
    <e v="#N/A"/>
    <s v="Development of senstitisation and training programs geared towards enhancing Digital Literacy of PWDs"/>
    <n v="1"/>
    <n v="0"/>
    <n v="1"/>
    <n v="1"/>
    <n v="0"/>
    <n v="0"/>
    <n v="0"/>
    <n v="1"/>
    <n v="0.5"/>
    <m/>
    <n v="0"/>
    <n v="0.75"/>
    <n v="1"/>
    <n v="0.75"/>
    <n v="0.65"/>
    <n v="0.7"/>
    <n v="1.35"/>
    <s v="MoICT&amp;NG (UCC)"/>
    <s v="020 Ministry of ICT and National Guidance"/>
    <s v="N/A"/>
  </r>
  <r>
    <x v="2"/>
    <x v="2"/>
    <n v="112"/>
    <s v="E-services"/>
    <n v="1122"/>
    <s v="Enhance usage of ICT in national development and service delivery"/>
    <n v="112205"/>
    <s v="Digitize, archive and commercialize Local Content and data"/>
    <m/>
    <m/>
    <n v="11220504"/>
    <s v="Digitization of delivery platforms for PWDs developed"/>
    <s v="Number of PDWs digital programmes"/>
    <n v="0"/>
    <m/>
    <n v="1"/>
    <n v="2"/>
    <n v="2"/>
    <n v="2"/>
    <s v="UCC"/>
    <e v="#N/A"/>
    <s v="Digital Literacy of special interest groups (PWDs, women, youth etc.) "/>
    <m/>
    <m/>
    <m/>
    <m/>
    <m/>
    <m/>
    <n v="0"/>
    <n v="0"/>
    <n v="0"/>
    <m/>
    <n v="0"/>
    <n v="0"/>
    <n v="0"/>
    <n v="0"/>
    <n v="1.2"/>
    <n v="1.4"/>
    <n v="2.5999999999999996"/>
    <s v="MoICT&amp;NG (UCC)"/>
    <s v="020 Ministry of ICT and National Guidance"/>
    <s v="N/A"/>
  </r>
  <r>
    <x v="2"/>
    <x v="2"/>
    <n v="112"/>
    <s v="E-services"/>
    <n v="1122"/>
    <s v="Enhance usage of ICT in national development and service delivery"/>
    <n v="112206"/>
    <s v="Implement the national addressing system"/>
    <m/>
    <m/>
    <n v="11220601"/>
    <s v="GIS addressing and postcode database developed"/>
    <s v="Geocoded national addressing and postcode system"/>
    <n v="0"/>
    <s v="-"/>
    <s v="-"/>
    <n v="1"/>
    <s v="-"/>
    <s v="-"/>
    <s v="MoICT&amp; NG"/>
    <e v="#N/A"/>
    <s v="Review the national postcode system to upgrade it to a digital layout"/>
    <n v="1"/>
    <n v="0"/>
    <n v="0"/>
    <n v="1"/>
    <n v="0"/>
    <n v="1"/>
    <n v="1"/>
    <n v="1"/>
    <n v="0.625"/>
    <m/>
    <n v="0"/>
    <n v="10"/>
    <n v="13"/>
    <n v="17"/>
    <m/>
    <m/>
    <n v="0"/>
    <s v="MoICT&amp;NG"/>
    <s v="020 Ministry of ICT and National Guidance"/>
    <s v="POSTA,MoICT &amp;NG, NITAU,MOLG,LGs,KCCA"/>
  </r>
  <r>
    <x v="2"/>
    <x v="2"/>
    <n v="112"/>
    <s v="E-services"/>
    <n v="1122"/>
    <s v="Enhance usage of ICT in national development and service delivery"/>
    <n v="112206"/>
    <s v="Implement the national addressing system"/>
    <m/>
    <m/>
    <n v="11220601"/>
    <s v="GIS addressing and postcode database developed"/>
    <m/>
    <m/>
    <m/>
    <m/>
    <m/>
    <m/>
    <m/>
    <m/>
    <e v="#N/A"/>
    <s v="Training and awareness on the system"/>
    <m/>
    <m/>
    <m/>
    <m/>
    <m/>
    <m/>
    <n v="0"/>
    <n v="0"/>
    <n v="0"/>
    <m/>
    <n v="0"/>
    <n v="0"/>
    <n v="0"/>
    <n v="0"/>
    <n v="0.5"/>
    <n v="0.75"/>
    <n v="1.25"/>
    <s v="MoICT&amp;NG"/>
    <s v="020 Ministry of ICT and National Guidance"/>
    <s v="POSTA,MoICT &amp;NG, NITAU,MOLG,LGs,KCCA"/>
  </r>
  <r>
    <x v="2"/>
    <x v="2"/>
    <n v="112"/>
    <s v="E-services"/>
    <n v="1122"/>
    <s v="Enhance usage of ICT in national development and service delivery"/>
    <n v="112206"/>
    <s v="Implement the national addressing system"/>
    <m/>
    <m/>
    <n v="11220602"/>
    <s v="National Postcode and Addressing system rolled out"/>
    <s v="No of districts "/>
    <n v="0"/>
    <n v="1"/>
    <n v="27"/>
    <n v="44"/>
    <n v="27"/>
    <n v="33"/>
    <s v="MoICT&amp; NG"/>
    <e v="#N/A"/>
    <s v="Rollout the addressing system to facilitate service delivery (postal, ecommerce, ambulance services, fire brigade, security patrol, tax collection)"/>
    <n v="1"/>
    <n v="0"/>
    <n v="0"/>
    <n v="1"/>
    <n v="0"/>
    <n v="1"/>
    <n v="1"/>
    <n v="1"/>
    <n v="0.625"/>
    <m/>
    <n v="0"/>
    <n v="0"/>
    <n v="0"/>
    <n v="0"/>
    <m/>
    <m/>
    <n v="0"/>
    <s v="MoICT&amp;NG"/>
    <s v="020 Ministry of ICT and National Guidance"/>
    <s v="POSTA,MoICT &amp;NG, NITAU,MOLG,LGs,KCCA"/>
  </r>
  <r>
    <x v="2"/>
    <x v="2"/>
    <n v="113"/>
    <s v="Research, innovation and ICT skills development"/>
    <n v="1133"/>
    <s v="Promote ICT research, innovation and commercialization of indigenous knowledge products"/>
    <n v="113301"/>
    <s v="Develop and implement ICT Research and Innovation ecosystem"/>
    <m/>
    <m/>
    <n v="11330101"/>
    <s v="An internship and placement framework developed"/>
    <s v="Framework in place"/>
    <n v="0"/>
    <s v="-"/>
    <n v="1"/>
    <s v="-"/>
    <s v="-"/>
    <s v="-"/>
    <s v="MoICT&amp; NG"/>
    <e v="#N/A"/>
    <s v="Develop an internship and placement framework"/>
    <n v="1"/>
    <n v="0"/>
    <n v="0"/>
    <n v="1"/>
    <n v="0"/>
    <n v="1"/>
    <n v="0"/>
    <n v="1"/>
    <n v="0.5"/>
    <m/>
    <n v="0"/>
    <n v="0.15"/>
    <n v="0"/>
    <n v="0"/>
    <n v="1.5"/>
    <n v="1.75"/>
    <n v="3.25"/>
    <s v="MoICT&amp;NG"/>
    <s v="020 Ministry of ICT and National Guidance"/>
    <s v="UICT,MOSTI,UCC,NITAU,ACADEMIA,PRIVATE SECTOR"/>
  </r>
  <r>
    <x v="2"/>
    <x v="2"/>
    <n v="113"/>
    <s v="Research, innovation and ICT skills development"/>
    <n v="1133"/>
    <s v="Promote ICT research, innovation and commercialization of indigenous knowledge products"/>
    <n v="113301"/>
    <s v="Develop and implement ICT Research and Innovation ecosystem"/>
    <m/>
    <m/>
    <n v="11330102"/>
    <s v="Joint research program between Private sector, academia and Governmnent"/>
    <s v="Number of collaborations"/>
    <n v="1"/>
    <m/>
    <n v="3"/>
    <n v="5"/>
    <n v="7"/>
    <n v="9"/>
    <s v="MoICT&amp; NG"/>
    <e v="#N/A"/>
    <s v="Collaborate with private sector, academia and government on ICT Research and Innovation"/>
    <n v="1"/>
    <n v="0"/>
    <n v="0"/>
    <n v="1"/>
    <n v="1"/>
    <n v="0"/>
    <n v="0"/>
    <n v="1"/>
    <n v="0.5"/>
    <m/>
    <n v="0"/>
    <n v="0"/>
    <n v="0"/>
    <n v="0"/>
    <n v="0"/>
    <n v="0"/>
    <n v="0"/>
    <s v="MoICT&amp;NG"/>
    <s v="020 Ministry of ICT and National Guidance"/>
    <s v="UICT,Public and private universitites, Researcher Institutions, private sector, MOSTI, and other MDAs and LGs"/>
  </r>
  <r>
    <x v="2"/>
    <x v="2"/>
    <n v="113"/>
    <s v="Research, innovation and ICT skills development"/>
    <n v="1133"/>
    <s v="Promote ICT research, innovation and commercialization of indigenous knowledge products"/>
    <n v="113301"/>
    <s v="Develop and implement ICT Research and Innovation ecosystem"/>
    <m/>
    <m/>
    <n v="11330103"/>
    <s v="ICT research agenda developed, implemented and monitored"/>
    <s v="An updated ICT research agenda in place"/>
    <n v="0"/>
    <s v="-"/>
    <n v="1"/>
    <s v="-"/>
    <s v="-"/>
    <s v="-"/>
    <s v="MoICT&amp; NG"/>
    <e v="#N/A"/>
    <s v="Conduct consultations on ICT research needs and priorities with private sector, academia and government"/>
    <n v="1"/>
    <n v="0"/>
    <n v="0"/>
    <n v="1"/>
    <n v="0"/>
    <n v="1"/>
    <n v="1"/>
    <n v="1"/>
    <n v="0.625"/>
    <m/>
    <n v="0"/>
    <n v="0"/>
    <n v="0"/>
    <n v="0"/>
    <n v="3.75"/>
    <n v="4.75"/>
    <n v="8.5"/>
    <s v="MoICT&amp;NG"/>
    <s v="020 Ministry of ICT and National Guidance"/>
    <s v="MOSTI, NPA"/>
  </r>
  <r>
    <x v="2"/>
    <x v="2"/>
    <n v="113"/>
    <s v="Research, innovation and ICT skills development"/>
    <n v="1133"/>
    <s v="Promote ICT research, innovation and commercialization of indigenous knowledge products"/>
    <n v="113302"/>
    <s v="Develop innovation and incubation Centers"/>
    <m/>
    <m/>
    <n v="11330201"/>
    <s v="National ICT park established"/>
    <s v="%age of National ICT Park infrastructure developed"/>
    <n v="0"/>
    <s v="-"/>
    <s v="-"/>
    <n v="5"/>
    <n v="10"/>
    <n v="20"/>
    <s v="NITAU"/>
    <e v="#N/A"/>
    <s v="Establish supporting Infrastructure for the National ICT Park which include Internet connectivity, Roads and Utilities (Water, Sewerage,  electricity)"/>
    <n v="1"/>
    <n v="0"/>
    <n v="0"/>
    <n v="1"/>
    <n v="1"/>
    <n v="1"/>
    <n v="1"/>
    <n v="1"/>
    <n v="0.75"/>
    <n v="1"/>
    <n v="1"/>
    <n v="60.2"/>
    <n v="65.13"/>
    <n v="65.2"/>
    <n v="1.75"/>
    <n v="2"/>
    <n v="3.75"/>
    <s v="NITA-U"/>
    <s v="126 National Information Technology Authority"/>
    <s v="MOICT ,MOSTI"/>
  </r>
  <r>
    <x v="2"/>
    <x v="2"/>
    <n v="113"/>
    <s v="Research, innovation and ICT skills development"/>
    <n v="1133"/>
    <s v="Promote ICT research, innovation and commercialization of indigenous knowledge products"/>
    <n v="113302"/>
    <s v="Develop innovation and incubation Centers"/>
    <m/>
    <m/>
    <n v="11330202"/>
    <s v="Govenrment owned ICT incubation Hubs established and supported"/>
    <s v="Number of ICT Regional Hubs established by GOU"/>
    <n v="0"/>
    <n v="1"/>
    <n v="1"/>
    <n v="1"/>
    <n v="1"/>
    <n v="1"/>
    <s v="MoICT&amp; NG"/>
    <e v="#N/A"/>
    <s v="Establish and support regional ICT incubation hubs "/>
    <n v="1"/>
    <n v="1"/>
    <n v="1"/>
    <n v="1"/>
    <n v="1"/>
    <n v="1"/>
    <n v="0"/>
    <n v="0"/>
    <n v="0.75"/>
    <m/>
    <n v="0"/>
    <n v="0.2"/>
    <n v="0.2"/>
    <n v="0.2"/>
    <n v="0.45"/>
    <n v="0.1"/>
    <n v="0.55000000000000004"/>
    <s v="MoICT&amp;NG"/>
    <s v="020 Ministry of ICT and National Guidance"/>
    <s v="MOSTI,NITAU"/>
  </r>
  <r>
    <x v="2"/>
    <x v="2"/>
    <n v="113"/>
    <s v="Research, innovation and ICT skills development"/>
    <n v="1133"/>
    <s v="Promote ICT research, innovation and commercialization of indigenous knowledge products"/>
    <n v="113302"/>
    <s v="Develop innovation and incubation Centers"/>
    <m/>
    <m/>
    <n v="11330203"/>
    <s v="Privately owned innovation hubs supported"/>
    <s v="No. of hubs supported"/>
    <n v="6"/>
    <n v="8"/>
    <n v="11"/>
    <n v="14"/>
    <n v="17"/>
    <n v="20"/>
    <s v="MoICT&amp; NG"/>
    <e v="#N/A"/>
    <s v="Support technology transfer, marketing and awareness activities for privately owned innovation hubs"/>
    <n v="1"/>
    <n v="0"/>
    <n v="0"/>
    <n v="1"/>
    <n v="0"/>
    <n v="0"/>
    <n v="0"/>
    <n v="1"/>
    <n v="0.375"/>
    <m/>
    <n v="0"/>
    <n v="0"/>
    <n v="0"/>
    <n v="0"/>
    <m/>
    <m/>
    <n v="0"/>
    <s v="MoICT&amp;NG"/>
    <s v="020 Ministry of ICT and National Guidance"/>
    <s v="MOSTI,NITA-U,UICT,PRIVATE SECTOR, CIVIL SOCIETY, ACADEMIA"/>
  </r>
  <r>
    <x v="2"/>
    <x v="2"/>
    <n v="113"/>
    <s v="Research, innovation and ICT skills development"/>
    <n v="1133"/>
    <s v="Promote ICT research, innovation and commercialization of indigenous knowledge products"/>
    <n v="113302"/>
    <s v="Develop innovation and incubation Centers"/>
    <m/>
    <m/>
    <n v="11330204"/>
    <s v="BPO /ITES centres supported "/>
    <s v="Number of centres supported"/>
    <n v="3"/>
    <s v="-"/>
    <n v="4"/>
    <n v="5"/>
    <n v="6"/>
    <s v="-"/>
    <s v="NITAU"/>
    <e v="#N/A"/>
    <s v="Extension of connectivity &amp; provision of Bandwidth to the BPO centers"/>
    <n v="1"/>
    <n v="0"/>
    <n v="0"/>
    <n v="1"/>
    <n v="1"/>
    <n v="1"/>
    <n v="1"/>
    <n v="1"/>
    <n v="0.75"/>
    <n v="1"/>
    <n v="1"/>
    <n v="0.1"/>
    <n v="0.1"/>
    <n v="0.1"/>
    <n v="5.81"/>
    <n v="6.39"/>
    <n v="12.2"/>
    <s v="NITA-U"/>
    <s v="126 National Information Technology Authority"/>
    <s v="MOICT"/>
  </r>
  <r>
    <x v="2"/>
    <x v="2"/>
    <n v="113"/>
    <s v="Research, innovation and ICT skills development"/>
    <n v="1133"/>
    <s v="Promote ICT research, innovation and commercialization of indigenous knowledge products"/>
    <n v="113302"/>
    <s v="Develop innovation and incubation Centers"/>
    <m/>
    <m/>
    <n v="11330205"/>
    <s v="Enterprenuership and Incubation programmes developed"/>
    <s v="No of  Enteteprenuership and Incubation Programmes Developed and Implemented"/>
    <n v="10"/>
    <n v="0"/>
    <n v="3"/>
    <n v="3"/>
    <n v="2"/>
    <n v="2"/>
    <s v="MoICT&amp; NG (UICT)"/>
    <e v="#N/A"/>
    <s v="Promotion of the BPO/ITES Industry "/>
    <n v="1"/>
    <m/>
    <m/>
    <n v="1"/>
    <n v="1"/>
    <n v="1"/>
    <n v="1"/>
    <n v="0"/>
    <n v="0.625"/>
    <n v="1"/>
    <n v="0"/>
    <n v="0.3"/>
    <n v="0.3"/>
    <n v="0.3"/>
    <n v="0.3"/>
    <n v="0.3"/>
    <n v="0.6"/>
    <s v="NITA-U"/>
    <s v="126 National Information Technology Authority"/>
    <s v="MOICT"/>
  </r>
  <r>
    <x v="2"/>
    <x v="2"/>
    <n v="113"/>
    <s v="Research, innovation and ICT skills development"/>
    <n v="1133"/>
    <s v="Promote ICT research, innovation and commercialization of indigenous knowledge products"/>
    <n v="113302"/>
    <s v="Develop innovation and incubation Centers"/>
    <m/>
    <m/>
    <n v="11330205"/>
    <s v="Enterprenuership and Incubation programmes developed"/>
    <m/>
    <m/>
    <m/>
    <m/>
    <m/>
    <m/>
    <m/>
    <m/>
    <e v="#N/A"/>
    <s v="Establish BPO/ITES Regional Centres "/>
    <n v="1"/>
    <n v="0"/>
    <n v="0"/>
    <n v="1"/>
    <n v="0"/>
    <n v="1"/>
    <n v="1"/>
    <n v="0"/>
    <n v="0.5"/>
    <m/>
    <n v="0"/>
    <n v="0"/>
    <n v="0"/>
    <n v="6.4619999999999997"/>
    <n v="5.47"/>
    <n v="5.38"/>
    <n v="10.85"/>
    <s v="NITA-U"/>
    <s v="126 National Information Technology Authority"/>
    <s v="MOICT"/>
  </r>
  <r>
    <x v="2"/>
    <x v="2"/>
    <n v="113"/>
    <s v="Research, innovation and ICT skills development"/>
    <n v="1133"/>
    <s v="Promote ICT research, innovation and commercialization of indigenous knowledge products"/>
    <n v="113302"/>
    <s v="Develop innovation and incubation Centers"/>
    <m/>
    <m/>
    <n v="11330205"/>
    <s v="Enterprenuership and Incubation programmes developed"/>
    <m/>
    <m/>
    <m/>
    <m/>
    <m/>
    <m/>
    <m/>
    <m/>
    <e v="#N/A"/>
    <s v="Capacity building on BPO/ITES Global standards"/>
    <n v="1"/>
    <n v="0"/>
    <n v="0"/>
    <n v="1"/>
    <n v="1"/>
    <n v="1"/>
    <n v="0"/>
    <n v="0"/>
    <n v="0.5"/>
    <m/>
    <n v="0"/>
    <n v="0.1"/>
    <n v="0.1"/>
    <n v="0.1"/>
    <n v="0.1"/>
    <n v="0.1"/>
    <n v="0.2"/>
    <s v="NITA-U"/>
    <s v="126 National Information Technology Authority"/>
    <s v="MOICT"/>
  </r>
  <r>
    <x v="2"/>
    <x v="2"/>
    <n v="113"/>
    <s v="Research, innovation and ICT skills development"/>
    <n v="1133"/>
    <s v="Promote ICT research, innovation and commercialization of indigenous knowledge products"/>
    <n v="113302"/>
    <s v="Develop innovation and incubation Centers"/>
    <m/>
    <m/>
    <n v="11330205"/>
    <s v="Enterprenuership and Incubation programmes developed"/>
    <m/>
    <m/>
    <m/>
    <m/>
    <m/>
    <m/>
    <m/>
    <m/>
    <e v="#N/A"/>
    <s v="Development of Enteteprenuership and Incubation Programmes "/>
    <n v="1"/>
    <n v="0"/>
    <n v="0"/>
    <n v="1"/>
    <n v="1"/>
    <n v="1"/>
    <n v="0"/>
    <n v="0"/>
    <n v="0.5"/>
    <m/>
    <n v="0"/>
    <n v="0"/>
    <n v="0.5"/>
    <n v="0.5"/>
    <n v="0.5"/>
    <n v="0.5"/>
    <n v="1"/>
    <s v="MoICT&amp;NG (UICT)"/>
    <s v="020 Ministry of ICT and National Guidance"/>
    <s v="N/A"/>
  </r>
  <r>
    <x v="2"/>
    <x v="2"/>
    <n v="113"/>
    <s v="Research, innovation and ICT skills development"/>
    <n v="1133"/>
    <s v="Promote ICT research, innovation and commercialization of indigenous knowledge products"/>
    <n v="113302"/>
    <s v="Develop innovation and incubation Centers"/>
    <m/>
    <m/>
    <n v="11330206"/>
    <s v="Establish partnerships with Industry and Academia"/>
    <s v="No of MoUs signed"/>
    <n v="0"/>
    <n v="0"/>
    <n v="2"/>
    <n v="2"/>
    <n v="2"/>
    <n v="2"/>
    <s v="MoICT&amp; NG (UICT)"/>
    <e v="#N/A"/>
    <s v="Development of partnerships with Industry and Academia"/>
    <m/>
    <m/>
    <m/>
    <m/>
    <m/>
    <m/>
    <n v="0"/>
    <n v="0"/>
    <n v="0"/>
    <m/>
    <n v="0"/>
    <n v="0"/>
    <n v="0"/>
    <n v="0"/>
    <n v="0"/>
    <s v="               -   "/>
    <n v="0"/>
    <s v="MoICT&amp;NG (UICT)"/>
    <s v="020 Ministry of ICT and National Guidance"/>
    <s v="N/A"/>
  </r>
  <r>
    <x v="2"/>
    <x v="2"/>
    <n v="113"/>
    <s v="Research, innovation and ICT skills development"/>
    <n v="1133"/>
    <s v="Promote ICT research, innovation and commercialization of indigenous knowledge products"/>
    <n v="113303"/>
    <s v="Support local innovation and promote export of knowledge products"/>
    <m/>
    <m/>
    <n v="11330301"/>
    <s v="Local ICT products developed"/>
    <s v="No. of Innovations supported by Government and commercialized"/>
    <n v="72"/>
    <n v="112"/>
    <n v="152"/>
    <n v="200"/>
    <n v="242"/>
    <n v="282"/>
    <s v="MoICT&amp; NG"/>
    <e v="#N/A"/>
    <s v="Support development and commercialisation of local ICT products including those for women and PWDs"/>
    <n v="1"/>
    <n v="1"/>
    <n v="1"/>
    <n v="1"/>
    <n v="1"/>
    <n v="1"/>
    <n v="0"/>
    <n v="1"/>
    <n v="0.875"/>
    <m/>
    <n v="0"/>
    <n v="20"/>
    <n v="20"/>
    <n v="20"/>
    <n v="20"/>
    <n v="20"/>
    <n v="40"/>
    <s v="MoICT&amp;NG"/>
    <s v="020 Ministry of ICT and National Guidance"/>
    <s v="MTIC, MOSTI"/>
  </r>
  <r>
    <x v="2"/>
    <x v="2"/>
    <n v="113"/>
    <s v="Research, innovation and ICT skills development"/>
    <n v="1133"/>
    <s v="Promote ICT research, innovation and commercialization of indigenous knowledge products"/>
    <n v="113303"/>
    <s v="Support local innovation and promote export of knowledge products"/>
    <m/>
    <m/>
    <n v="11330301"/>
    <s v="Local ICT products developed"/>
    <s v="No. of innovators hosted in the GOU ICT innovation hubs"/>
    <n v="200"/>
    <n v="250"/>
    <n v="300"/>
    <n v="350"/>
    <n v="400"/>
    <n v="450"/>
    <s v="MoICT&amp; NG"/>
    <e v="#N/A"/>
    <s v="Facilitate innovators on GOU ICT Innovation Hubs and capacity building"/>
    <n v="1"/>
    <n v="1"/>
    <n v="1"/>
    <n v="1"/>
    <n v="0"/>
    <n v="1"/>
    <n v="0"/>
    <n v="1"/>
    <n v="0.75"/>
    <m/>
    <n v="0"/>
    <n v="0"/>
    <n v="0"/>
    <n v="0"/>
    <n v="0"/>
    <n v="0"/>
    <n v="0"/>
    <s v="MoICT&amp;NG"/>
    <s v="020 Ministry of ICT and National Guidance"/>
    <s v="URSB, MOSTI, NITA-U, UCC"/>
  </r>
  <r>
    <x v="2"/>
    <x v="2"/>
    <n v="113"/>
    <s v="Research, innovation and ICT skills development"/>
    <n v="1133"/>
    <s v="Promote ICT research, innovation and commercialization of indigenous knowledge products"/>
    <n v="113303"/>
    <s v="Support local innovation and promote export of knowledge products"/>
    <m/>
    <m/>
    <n v="11330302"/>
    <s v="Export of knowledge products promoted"/>
    <s v="Number of ICT exports promotion campaigns conducted"/>
    <n v="2"/>
    <n v="3"/>
    <n v="3"/>
    <n v="3"/>
    <n v="3"/>
    <n v="3"/>
    <s v="MoICT&amp; NG"/>
    <e v="#N/A"/>
    <s v="Promote export of knowledge products through trade expos, trade missions"/>
    <n v="1"/>
    <n v="0"/>
    <n v="1"/>
    <n v="1"/>
    <n v="0"/>
    <n v="1"/>
    <n v="0"/>
    <n v="1"/>
    <n v="0.625"/>
    <m/>
    <n v="0"/>
    <n v="0"/>
    <n v="0"/>
    <n v="0"/>
    <n v="0"/>
    <s v="               -   "/>
    <n v="0"/>
    <s v="MoICT&amp;NG"/>
    <s v="020 Ministry of ICT and National Guidance"/>
    <s v="UEPB, MTIC, Private Sector Associations"/>
  </r>
  <r>
    <x v="2"/>
    <x v="2"/>
    <n v="113"/>
    <s v="Research, innovation and ICT skills development"/>
    <n v="1133"/>
    <s v="Promote ICT research, innovation and commercialization of indigenous knowledge products"/>
    <n v="113303"/>
    <s v="Support local innovation and promote export of knowledge products"/>
    <m/>
    <m/>
    <n v="11330303"/>
    <s v="Local digital media content products"/>
    <s v="Programming that contains Local content (%)"/>
    <n v="25"/>
    <n v="45"/>
    <n v="50"/>
    <n v="55"/>
    <n v="60"/>
    <n v="70"/>
    <s v="UCC"/>
    <e v="#N/A"/>
    <s v="Nationwide capacity building of local audio visual capacity building of local production industry"/>
    <n v="1"/>
    <n v="0"/>
    <n v="0"/>
    <n v="1"/>
    <n v="0"/>
    <n v="1"/>
    <n v="1"/>
    <n v="0"/>
    <n v="0.5"/>
    <n v="1"/>
    <n v="0"/>
    <n v="2.5"/>
    <n v="1.5"/>
    <n v="3"/>
    <n v="1.8"/>
    <n v="1.2"/>
    <n v="3"/>
    <s v="MoICT&amp;NG (UCC)"/>
    <s v="020 Ministry of ICT and National Guidance"/>
    <s v="N/A"/>
  </r>
  <r>
    <x v="2"/>
    <x v="2"/>
    <n v="113"/>
    <s v="Research, innovation and ICT skills development"/>
    <n v="1133"/>
    <s v="Promote ICT research, innovation and commercialization of indigenous knowledge products"/>
    <n v="113303"/>
    <s v="Support local innovation and promote export of knowledge products"/>
    <m/>
    <m/>
    <n v="11330303"/>
    <s v="Local digital media content products"/>
    <m/>
    <m/>
    <m/>
    <m/>
    <m/>
    <m/>
    <m/>
    <s v="UCC"/>
    <e v="#N/A"/>
    <s v="Implementation of the local content development fund and partnerghips with academia and private sector for commercialization of film products"/>
    <n v="1"/>
    <n v="0"/>
    <n v="0"/>
    <n v="1"/>
    <n v="0"/>
    <n v="0"/>
    <n v="0"/>
    <n v="0"/>
    <n v="0.25"/>
    <m/>
    <n v="0"/>
    <n v="0"/>
    <n v="0"/>
    <n v="0"/>
    <n v="0.5"/>
    <n v="0.75"/>
    <n v="1.25"/>
    <s v="MoICT&amp;NG (UCC)"/>
    <s v="020 Ministry of ICT and National Guidance"/>
    <s v="N/A"/>
  </r>
  <r>
    <x v="2"/>
    <x v="2"/>
    <n v="113"/>
    <s v="Research, innovation and ICT skills development"/>
    <n v="1133"/>
    <s v="Promote ICT research, innovation and commercialization of indigenous knowledge products"/>
    <n v="113304"/>
    <s v="Promote local manufacturing and assembly of ICT products"/>
    <m/>
    <m/>
    <n v="11330401"/>
    <s v="Local assembly plants supported "/>
    <s v="No. of partnerships with manufacturing companies signed"/>
    <n v="1"/>
    <s v="-"/>
    <n v="1"/>
    <n v="1"/>
    <s v="-"/>
    <n v="2"/>
    <s v="MoICT&amp; NG"/>
    <e v="#N/A"/>
    <s v="Collaborate with private sector and partner in developed of local assembly plants"/>
    <n v="1"/>
    <n v="0"/>
    <n v="0"/>
    <n v="1"/>
    <n v="0"/>
    <n v="0"/>
    <n v="1"/>
    <n v="0"/>
    <n v="0.375"/>
    <m/>
    <n v="0"/>
    <n v="100"/>
    <n v="100"/>
    <n v="114.02"/>
    <m/>
    <m/>
    <n v="0"/>
    <s v="MoICT&amp;NG"/>
    <s v="020 Ministry of ICT and National Guidance"/>
    <s v="N/A"/>
  </r>
  <r>
    <x v="2"/>
    <x v="2"/>
    <n v="113"/>
    <s v="Research, innovation and ICT skills development"/>
    <n v="1133"/>
    <s v="Promote ICT research, innovation and commercialization of indigenous knowledge products"/>
    <n v="113304"/>
    <s v="Promote local manufacturing and assembly of ICT products"/>
    <m/>
    <m/>
    <n v="11330402"/>
    <s v="Local Manufacturing promoted"/>
    <s v="No. of companies supported "/>
    <n v="1"/>
    <s v="-"/>
    <n v="2"/>
    <s v="-"/>
    <s v="-"/>
    <s v="-"/>
    <s v="MoICT&amp; NG"/>
    <e v="#N/A"/>
    <s v="Provide incentives to local manufacturers"/>
    <n v="1"/>
    <n v="0"/>
    <n v="0"/>
    <n v="1"/>
    <n v="0"/>
    <n v="1"/>
    <n v="1"/>
    <n v="0"/>
    <n v="0.5"/>
    <m/>
    <n v="0"/>
    <n v="0"/>
    <n v="0"/>
    <n v="0"/>
    <n v="0"/>
    <s v="               -   "/>
    <n v="0"/>
    <s v="MoICT&amp;NG"/>
    <s v="020 Ministry of ICT and National Guidance"/>
    <s v="MoICT&amp;NG, UCC, NITA, MSTI, PRIVATE SECTOR"/>
  </r>
  <r>
    <x v="2"/>
    <x v="2"/>
    <n v="113"/>
    <s v="Research, innovation and ICT skills development"/>
    <n v="1133"/>
    <s v="Promote ICT research, innovation and commercialization of indigenous knowledge products"/>
    <n v="113305"/>
    <s v="Undertake innovative management of e-waste"/>
    <m/>
    <m/>
    <n v="11330501"/>
    <s v="Regional e-waste collection centres established"/>
    <s v="E-waste Database in Place"/>
    <n v="0"/>
    <m/>
    <m/>
    <m/>
    <n v="1"/>
    <m/>
    <s v="UCC"/>
    <e v="#N/A"/>
    <s v="Development and maintenance of an e-waste Database"/>
    <n v="1"/>
    <n v="0"/>
    <n v="0"/>
    <n v="1"/>
    <n v="0"/>
    <n v="0"/>
    <n v="0"/>
    <n v="1"/>
    <n v="0.375"/>
    <m/>
    <n v="0"/>
    <n v="0"/>
    <n v="0.15"/>
    <n v="0.25"/>
    <n v="0.1"/>
    <n v="0.2"/>
    <n v="0.30000000000000004"/>
    <s v="MoICT&amp;NG (UCC)"/>
    <s v="020 Ministry of ICT and National Guidance"/>
    <s v="Moh,UPF,MoLG"/>
  </r>
  <r>
    <x v="2"/>
    <x v="2"/>
    <n v="113"/>
    <s v="Research, innovation and ICT skills development"/>
    <n v="1133"/>
    <s v="Promote ICT research, innovation and commercialization of indigenous knowledge products"/>
    <n v="113305"/>
    <s v="Undertake innovative management of e-waste"/>
    <m/>
    <m/>
    <n v="11330501"/>
    <s v="Regional e-waste collection centres established"/>
    <s v="Number of regional collection centres established"/>
    <n v="0"/>
    <m/>
    <m/>
    <m/>
    <n v="1"/>
    <m/>
    <s v="NITAU"/>
    <e v="#N/A"/>
    <s v="Establish collection centres and set up transportation mechanisms"/>
    <n v="1"/>
    <n v="0"/>
    <n v="0"/>
    <n v="1"/>
    <n v="0"/>
    <n v="0"/>
    <n v="0"/>
    <n v="1"/>
    <n v="0.375"/>
    <n v="0"/>
    <n v="0"/>
    <n v="0"/>
    <n v="0"/>
    <n v="0"/>
    <n v="1.5"/>
    <n v="1.75"/>
    <n v="3.25"/>
    <s v="NITA-U"/>
    <s v="126 National Information Technology Authority"/>
    <s v="MOICT&amp;NG, MoH, UPF, MoLG, MoWE"/>
  </r>
  <r>
    <x v="2"/>
    <x v="2"/>
    <n v="113"/>
    <s v="Research, innovation and ICT skills development"/>
    <n v="1134"/>
    <s v="Increase the ICT human resource capital "/>
    <n v="113401"/>
    <s v="Develop a well-grounded ICT professional workforce"/>
    <m/>
    <m/>
    <n v="11340101"/>
    <s v="Develop a National Digital Skills Framework"/>
    <s v="Digital skills framework developed"/>
    <n v="0"/>
    <n v="1"/>
    <m/>
    <m/>
    <m/>
    <m/>
    <s v="MoICT&amp; NG"/>
    <e v="#N/A"/>
    <s v="Conduct a survey on existing skills at the different levels to identify gaps, hold stakeholder engagements and prepare a digital skills framework"/>
    <n v="1"/>
    <n v="0"/>
    <n v="0"/>
    <n v="1"/>
    <n v="1"/>
    <n v="0"/>
    <n v="1"/>
    <n v="0"/>
    <n v="0.5"/>
    <m/>
    <n v="0"/>
    <n v="0.2"/>
    <n v="0.05"/>
    <n v="0"/>
    <n v="0"/>
    <n v="0"/>
    <n v="0"/>
    <s v="MoICT&amp;NG"/>
    <s v="020 Ministry of ICT and National Guidance"/>
    <s v="MOSTI"/>
  </r>
  <r>
    <x v="2"/>
    <x v="2"/>
    <n v="113"/>
    <s v="Research, innovation and ICT skills development"/>
    <n v="1134"/>
    <s v="Increase the ICT human resource capital "/>
    <n v="113401"/>
    <s v="Develop a well-grounded ICT professional workforce"/>
    <m/>
    <m/>
    <n v="11340102"/>
    <s v="ICT training for professionally certified courses and specialized short courses carried  carried out at UICT"/>
    <s v="Number of participants trained"/>
    <n v="0"/>
    <n v="25"/>
    <n v="30"/>
    <n v="45"/>
    <n v="50"/>
    <n v="50"/>
    <s v="UICT"/>
    <e v="#N/A"/>
    <s v="Conduct ICT training needs assessment"/>
    <n v="1"/>
    <n v="0"/>
    <n v="0"/>
    <n v="1"/>
    <n v="1"/>
    <n v="0"/>
    <n v="1"/>
    <n v="1"/>
    <n v="0.625"/>
    <m/>
    <n v="0"/>
    <n v="0.3"/>
    <n v="0.3"/>
    <n v="0.3"/>
    <n v="3.75"/>
    <n v="4.75"/>
    <n v="8.5"/>
    <s v="MoICT&amp;NG (UICT)"/>
    <s v="020 Ministry of ICT and National Guidance"/>
    <s v="MoICT &amp; NG, MoES, NCDC, NCHE, ACADEMIA"/>
  </r>
  <r>
    <x v="2"/>
    <x v="2"/>
    <n v="113"/>
    <s v="Research, innovation and ICT skills development"/>
    <n v="1134"/>
    <s v="Increase the ICT human resource capital "/>
    <n v="113401"/>
    <s v="Develop a well-grounded ICT professional workforce"/>
    <m/>
    <m/>
    <n v="11340102"/>
    <s v="ICT training for professionally certified courses and specialized short courses carried  carried out at UICT"/>
    <m/>
    <m/>
    <m/>
    <m/>
    <m/>
    <m/>
    <m/>
    <m/>
    <e v="#N/A"/>
    <s v="Conduct Curriculum Review"/>
    <n v="1"/>
    <n v="0"/>
    <n v="0"/>
    <n v="1"/>
    <n v="1"/>
    <n v="0"/>
    <n v="1"/>
    <n v="1"/>
    <n v="0.625"/>
    <m/>
    <n v="0"/>
    <n v="0"/>
    <n v="0"/>
    <n v="0"/>
    <n v="1.75"/>
    <n v="2"/>
    <n v="3.75"/>
    <s v="MoICT&amp;NG (UICT)"/>
    <s v="020 Ministry of ICT and National Guidance"/>
    <s v="MoICT &amp; NG, MoES, NCDC, NCHE, ACADEMIA"/>
  </r>
  <r>
    <x v="2"/>
    <x v="2"/>
    <n v="113"/>
    <s v="Research, innovation and ICT skills development"/>
    <n v="1134"/>
    <s v="Increase the ICT human resource capital "/>
    <n v="113401"/>
    <s v="Develop a well-grounded ICT professional workforce"/>
    <m/>
    <m/>
    <n v="11340102"/>
    <s v="ICT training for professionally certified courses and specialized short courses carried  carried out at UICT"/>
    <m/>
    <m/>
    <m/>
    <m/>
    <m/>
    <m/>
    <m/>
    <m/>
    <e v="#N/A"/>
    <s v="Course design"/>
    <n v="1"/>
    <n v="0"/>
    <n v="0"/>
    <n v="1"/>
    <n v="1"/>
    <n v="0"/>
    <n v="1"/>
    <n v="1"/>
    <n v="0.625"/>
    <m/>
    <n v="0"/>
    <n v="0"/>
    <n v="0"/>
    <n v="0"/>
    <n v="0.45"/>
    <n v="0.1"/>
    <n v="0.55000000000000004"/>
    <s v="MoICT&amp;NG (UICT)"/>
    <s v="020 Ministry of ICT and National Guidance"/>
    <s v="MoICT &amp; NG, MoES, NCDC, NCHE, ACADEMIA"/>
  </r>
  <r>
    <x v="2"/>
    <x v="2"/>
    <n v="113"/>
    <s v="Research, innovation and ICT skills development"/>
    <n v="1134"/>
    <s v="Increase the ICT human resource capital "/>
    <n v="113401"/>
    <s v="Develop a well-grounded ICT professional workforce"/>
    <m/>
    <m/>
    <n v="11340103"/>
    <s v="Government ICT officers trained"/>
    <s v="No. of  Government officers trained in ICT Related short courses"/>
    <m/>
    <n v="40"/>
    <n v="70"/>
    <n v="70"/>
    <n v="60"/>
    <n v="60"/>
    <s v="UICT"/>
    <e v="#N/A"/>
    <s v="Identification and Mobilisation of Government officers"/>
    <n v="1"/>
    <n v="0"/>
    <n v="0"/>
    <n v="1"/>
    <n v="0"/>
    <n v="0"/>
    <n v="1"/>
    <n v="1"/>
    <n v="0.5"/>
    <m/>
    <n v="0"/>
    <n v="0.7"/>
    <n v="0.8"/>
    <n v="0.6"/>
    <n v="0.75"/>
    <n v="0.7"/>
    <n v="1.45"/>
    <s v="MoICT&amp;NG (UICT)"/>
    <s v="020 Ministry of ICT and National Guidance"/>
    <s v="N/A"/>
  </r>
  <r>
    <x v="2"/>
    <x v="2"/>
    <n v="113"/>
    <s v="Research, innovation and ICT skills development"/>
    <n v="1134"/>
    <s v="Increase the ICT human resource capital "/>
    <n v="113401"/>
    <s v="Develop a well-grounded ICT professional workforce"/>
    <m/>
    <m/>
    <n v="11340103"/>
    <s v="Government ICT officers trained"/>
    <m/>
    <m/>
    <m/>
    <m/>
    <m/>
    <m/>
    <m/>
    <m/>
    <e v="#N/A"/>
    <s v="Designing Course manuals, Course scheduling and delivery, Course evaluation and Review"/>
    <n v="1"/>
    <n v="0"/>
    <n v="0"/>
    <n v="1"/>
    <n v="0"/>
    <n v="0"/>
    <n v="1"/>
    <n v="1"/>
    <n v="0.5"/>
    <m/>
    <n v="0"/>
    <n v="0"/>
    <n v="0"/>
    <n v="0"/>
    <n v="5.81"/>
    <n v="6.39"/>
    <n v="12.2"/>
    <s v="MoICT&amp;NG (UICT)"/>
    <s v="020 Ministry of ICT and National Guidance"/>
    <s v="N/A"/>
  </r>
  <r>
    <x v="2"/>
    <x v="2"/>
    <n v="113"/>
    <s v="Research, innovation and ICT skills development"/>
    <n v="1134"/>
    <s v="Increase the ICT human resource capital "/>
    <n v="113401"/>
    <s v="Develop a well-grounded ICT professional workforce"/>
    <m/>
    <m/>
    <n v="11340104"/>
    <s v="Basic ICT competencies established in the public service"/>
    <s v="Number of cadres with an approved ICT requirements specificaton"/>
    <n v="0"/>
    <n v="5"/>
    <n v="5"/>
    <n v="5"/>
    <n v="5"/>
    <n v="5"/>
    <s v="MOPS"/>
    <s v="005 Ministry of Public Service"/>
    <s v="Identify ICT competence requirements by cadre"/>
    <n v="1"/>
    <n v="0"/>
    <n v="0"/>
    <n v="1"/>
    <n v="0"/>
    <n v="0"/>
    <n v="1"/>
    <n v="1"/>
    <n v="0.5"/>
    <m/>
    <n v="0"/>
    <n v="0.1"/>
    <n v="0.1"/>
    <n v="0.1"/>
    <n v="0.1"/>
    <n v="0.1"/>
    <n v="0.2"/>
    <s v="MoPS"/>
    <s v="005 Ministry of Public Service"/>
    <s v="UICT, MOICT, Civil Service College, Public Universities"/>
  </r>
  <r>
    <x v="2"/>
    <x v="2"/>
    <n v="113"/>
    <s v="Research, innovation and ICT skills development"/>
    <n v="1134"/>
    <s v="Increase the ICT human resource capital "/>
    <n v="113401"/>
    <s v="Develop a well-grounded ICT professional workforce"/>
    <m/>
    <m/>
    <n v="11340104"/>
    <s v="Basic ICT competencies established in the public service"/>
    <s v="Collaborative framework developed"/>
    <n v="0"/>
    <m/>
    <n v="1"/>
    <m/>
    <m/>
    <m/>
    <s v="MOPS"/>
    <s v="005 Ministry of Public Service"/>
    <s v="Develop a collaborative framework for training of Public Service officers"/>
    <n v="1"/>
    <n v="0"/>
    <n v="0"/>
    <n v="1"/>
    <n v="0"/>
    <n v="0"/>
    <n v="1"/>
    <n v="1"/>
    <n v="0.5"/>
    <m/>
    <n v="0"/>
    <n v="0.3"/>
    <n v="0.3"/>
    <n v="0.3"/>
    <n v="0.3"/>
    <n v="0.3"/>
    <n v="0.6"/>
    <s v="MoPS"/>
    <s v="005 Ministry of Public Service"/>
    <s v="UICT, MOICT, Civil Service College, Public Universities"/>
  </r>
  <r>
    <x v="2"/>
    <x v="2"/>
    <n v="113"/>
    <s v="Research, innovation and ICT skills development"/>
    <n v="1134"/>
    <s v="Increase the ICT human resource capital "/>
    <n v="113401"/>
    <s v="Develop a well-grounded ICT professional workforce"/>
    <m/>
    <m/>
    <n v="11340104"/>
    <s v="Basic ICT competencies established in the public service"/>
    <s v="Percentage of officers in Public Service with basic ICT competencies"/>
    <n v="15"/>
    <n v="20"/>
    <n v="30"/>
    <n v="40"/>
    <n v="50"/>
    <n v="60"/>
    <s v="MOPS"/>
    <s v="005 Ministry of Public Service"/>
    <s v="Continous training and assessment of Public Officers"/>
    <n v="1"/>
    <n v="0"/>
    <n v="0"/>
    <n v="1"/>
    <n v="0"/>
    <n v="0"/>
    <n v="1"/>
    <n v="1"/>
    <n v="0.5"/>
    <m/>
    <n v="0"/>
    <n v="1.2"/>
    <n v="1.2"/>
    <n v="1.2"/>
    <n v="1.2"/>
    <n v="1.2"/>
    <n v="2.4"/>
    <s v="MoPS"/>
    <s v="005 Ministry of Public Service"/>
    <s v="UICT, MOICT, Civil Service College, Public Universities"/>
  </r>
  <r>
    <x v="2"/>
    <x v="2"/>
    <n v="113"/>
    <s v="Research, innovation and ICT skills development"/>
    <n v="1134"/>
    <s v="Increase the ICT human resource capital "/>
    <n v="113402"/>
    <s v="Develop an ICT professional’s quality assurance framework"/>
    <m/>
    <m/>
    <n v="11340201"/>
    <s v="Certification framework to regulate ICT professional standards developed"/>
    <s v="No. of ICT products and service providers certified  "/>
    <n v="239"/>
    <n v="197"/>
    <n v="439"/>
    <n v="281"/>
    <n v="323"/>
    <n v="450"/>
    <s v="NITAU"/>
    <e v="#N/A"/>
    <s v="Certify ICT Products and service providers "/>
    <n v="1"/>
    <n v="0"/>
    <n v="0"/>
    <n v="1"/>
    <n v="0"/>
    <n v="1"/>
    <n v="0"/>
    <n v="1"/>
    <n v="0.5"/>
    <m/>
    <n v="1"/>
    <n v="0"/>
    <n v="0"/>
    <n v="0"/>
    <n v="5.43"/>
    <n v="7.5339999999999998"/>
    <n v="12.963999999999999"/>
    <s v="NITA-U"/>
    <s v="126 National Information Technology Authority"/>
    <s v="N/A"/>
  </r>
  <r>
    <x v="2"/>
    <x v="2"/>
    <n v="113"/>
    <s v="Research, innovation and ICT skills development"/>
    <n v="1134"/>
    <s v="Increase the ICT human resource capital "/>
    <n v="113403"/>
    <s v="Provide digital literacy training"/>
    <m/>
    <m/>
    <n v="11340301"/>
    <s v="Communities &amp; SMEs trained in digital literacy"/>
    <s v="No. of communities &amp; SMEs trained in digital literacy"/>
    <n v="45"/>
    <n v="50"/>
    <n v="65"/>
    <n v="75"/>
    <n v="75"/>
    <n v="75"/>
    <s v="UCC"/>
    <e v="#N/A"/>
    <s v="Identification and Mobilisation of community groups and SMEs"/>
    <n v="1"/>
    <n v="0"/>
    <n v="0"/>
    <n v="1"/>
    <n v="1"/>
    <n v="1"/>
    <n v="1"/>
    <n v="1"/>
    <n v="0.75"/>
    <m/>
    <n v="0"/>
    <n v="3"/>
    <n v="3.25"/>
    <n v="5.5"/>
    <n v="1.5"/>
    <n v="1.75"/>
    <n v="3.25"/>
    <s v="MoICT&amp;NG (UCC)"/>
    <s v="020 Ministry of ICT and National Guidance"/>
    <s v="MoICT &amp; NG, UICT, UCC, NITA-U, MOSTI, NCHE ACADEMIA"/>
  </r>
  <r>
    <x v="2"/>
    <x v="2"/>
    <n v="113"/>
    <s v="Research, innovation and ICT skills development"/>
    <n v="1134"/>
    <s v="Increase the ICT human resource capital "/>
    <n v="113403"/>
    <s v="Provide digital literacy training"/>
    <m/>
    <m/>
    <n v="11340301"/>
    <s v="Communities &amp; SMEs trained in digital literacy"/>
    <s v="No. of participants"/>
    <m/>
    <n v="15000"/>
    <n v="20000"/>
    <n v="20000"/>
    <n v="20000"/>
    <n v="20000"/>
    <s v="UCC"/>
    <e v="#N/A"/>
    <s v="Designing Course manuals, Course scheduling and delivery"/>
    <n v="1"/>
    <n v="0"/>
    <n v="0"/>
    <n v="1"/>
    <n v="1"/>
    <n v="1"/>
    <n v="1"/>
    <n v="1"/>
    <n v="0.75"/>
    <m/>
    <n v="0"/>
    <n v="0"/>
    <n v="0"/>
    <n v="0"/>
    <n v="0"/>
    <n v="0"/>
    <n v="0"/>
    <s v="MoICT&amp;NG (UCC)"/>
    <s v="020 Ministry of ICT and National Guidance"/>
    <s v="MoICT &amp; NG, UICT, UCC, NITA-U, MOSTI, NCHE ACADEMIA"/>
  </r>
  <r>
    <x v="2"/>
    <x v="2"/>
    <n v="113"/>
    <s v="Research, innovation and ICT skills development"/>
    <n v="1134"/>
    <s v="Increase the ICT human resource capital "/>
    <n v="113403"/>
    <s v="Provide digital literacy training"/>
    <m/>
    <m/>
    <n v="11340301"/>
    <s v="Communities &amp; SMEs trained in digital literacy"/>
    <s v="No. of courses developed"/>
    <m/>
    <n v="3000"/>
    <n v="3000"/>
    <n v="3000"/>
    <n v="3000"/>
    <n v="3000"/>
    <s v="UCC"/>
    <e v="#N/A"/>
    <s v="Train communities and SMEs in digital literacy"/>
    <n v="1"/>
    <n v="0"/>
    <n v="0"/>
    <n v="1"/>
    <n v="1"/>
    <n v="1"/>
    <n v="1"/>
    <n v="1"/>
    <n v="0.75"/>
    <m/>
    <n v="0"/>
    <n v="0"/>
    <n v="0"/>
    <n v="0"/>
    <n v="3.75"/>
    <n v="4.75"/>
    <n v="8.5"/>
    <s v="MoICT&amp;NG (UCC)"/>
    <s v="020 Ministry of ICT and National Guidance"/>
    <s v="MoICT &amp; NG, UICT, UCC, NITA-U, MOSTI, NCHE ACADEMIA"/>
  </r>
  <r>
    <x v="2"/>
    <x v="2"/>
    <n v="113"/>
    <s v="Research, innovation and ICT skills development"/>
    <n v="1134"/>
    <s v="Increase the ICT human resource capital "/>
    <n v="113403"/>
    <s v="Provide digital literacy training"/>
    <m/>
    <m/>
    <n v="11340301"/>
    <s v="Communities &amp; SMEs trained in digital literacy"/>
    <s v="No  PWD groups trained"/>
    <m/>
    <n v="30"/>
    <n v="40"/>
    <n v="50"/>
    <n v="60"/>
    <n v="70"/>
    <s v="UCC"/>
    <e v="#N/A"/>
    <s v="Awarness and empowerment of women and girl child for use of ICT products"/>
    <n v="1"/>
    <n v="0"/>
    <n v="0"/>
    <n v="1"/>
    <n v="0"/>
    <n v="1"/>
    <n v="1"/>
    <n v="1"/>
    <n v="0.625"/>
    <m/>
    <n v="0"/>
    <n v="1.25"/>
    <n v="1.5"/>
    <n v="1.75"/>
    <n v="1.75"/>
    <n v="2"/>
    <n v="3.75"/>
    <s v="MoICT&amp;NG (UCC)"/>
    <s v="020 Ministry of ICT and National Guidance"/>
    <s v="MoICT &amp; NG, UICT, UCC, NITA-U, MOSTI, NCHE ACADEMIA"/>
  </r>
  <r>
    <x v="2"/>
    <x v="2"/>
    <n v="113"/>
    <s v="Research, innovation and ICT skills development"/>
    <n v="1134"/>
    <s v="Increase the ICT human resource capital "/>
    <n v="113403"/>
    <s v="Provide digital literacy training"/>
    <m/>
    <m/>
    <n v="11340302"/>
    <s v="e-training programmes developed"/>
    <s v="No. of e-training programmes"/>
    <n v="1"/>
    <n v="3"/>
    <n v="2"/>
    <n v="4"/>
    <n v="2"/>
    <n v="1"/>
    <s v="UCC"/>
    <e v="#N/A"/>
    <s v="Conduct a needs assessment and develop e-training programmes on digital literacy"/>
    <n v="1"/>
    <n v="0"/>
    <n v="0"/>
    <n v="1"/>
    <n v="0"/>
    <n v="0"/>
    <n v="1"/>
    <n v="1"/>
    <n v="0.5"/>
    <m/>
    <n v="0"/>
    <n v="0.75"/>
    <n v="1.1499999999999999"/>
    <n v="1.5"/>
    <n v="0.45"/>
    <n v="0.1"/>
    <n v="0.55000000000000004"/>
    <s v="MoICT&amp;NG (UCC)"/>
    <s v="020 Ministry of ICT and National Guidance"/>
    <s v="MoICT &amp; NG, UICT, UCC, NITA-U, MOSTI, NCHE ACADEMIA"/>
  </r>
  <r>
    <x v="2"/>
    <x v="2"/>
    <n v="113"/>
    <s v="Research, innovation and ICT skills development"/>
    <n v="1134"/>
    <s v="Increase the ICT human resource capital "/>
    <n v="113403"/>
    <s v="Provide digital literacy training"/>
    <m/>
    <m/>
    <n v="11340303"/>
    <s v="Inclusive awareness campaigns on the ICTs and 4IR opportunities and risks"/>
    <s v="No of campaigns conducted"/>
    <m/>
    <n v="3"/>
    <n v="5"/>
    <n v="5"/>
    <n v="7"/>
    <n v="7"/>
    <s v="UCC"/>
    <e v="#N/A"/>
    <s v="Conduct awareness campaigns on the ICTs and 4IR opportunities and risks                                                                   Awarness and empowerment of women and girl child for use of ICT products"/>
    <n v="1"/>
    <n v="0"/>
    <n v="0"/>
    <n v="1"/>
    <n v="0"/>
    <n v="0"/>
    <n v="1"/>
    <n v="1"/>
    <n v="0.5"/>
    <m/>
    <n v="0"/>
    <n v="0.75"/>
    <n v="0.8"/>
    <n v="0.5"/>
    <n v="0.75"/>
    <n v="0.7"/>
    <n v="1.45"/>
    <s v="MoICT&amp;NG (UCC)"/>
    <s v="020 Ministry of ICT and National Guidance"/>
    <s v="MoICT &amp; NG, UICT, UCC, NITA-U, MOSTI, NCHE ACADEMIA"/>
  </r>
  <r>
    <x v="2"/>
    <x v="2"/>
    <n v="113"/>
    <s v="Research, innovation and ICT skills development"/>
    <n v="1134"/>
    <s v="Increase the ICT human resource capital "/>
    <n v="113404"/>
    <s v="Develop ICT centres of excellence and vocational institutions  "/>
    <m/>
    <m/>
    <n v="11340401"/>
    <s v="Specialized training programmes conducted at UICT"/>
    <s v="No of specialized programs conducted"/>
    <s v="-"/>
    <n v="2"/>
    <n v="3"/>
    <n v="3"/>
    <n v="2"/>
    <n v="0"/>
    <s v="UICT"/>
    <e v="#N/A"/>
    <s v="Conduct specialised ICT training programmes"/>
    <n v="1"/>
    <n v="0"/>
    <n v="1"/>
    <n v="1"/>
    <n v="1"/>
    <n v="1"/>
    <n v="1"/>
    <n v="1"/>
    <n v="0.875"/>
    <m/>
    <n v="0"/>
    <n v="0.3"/>
    <n v="0.3"/>
    <n v="0.3"/>
    <n v="0.3"/>
    <n v="0.3"/>
    <n v="0.6"/>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1"/>
    <s v="Specialized training programmes conducted at UICT"/>
    <s v="No. of partnerships"/>
    <m/>
    <m/>
    <n v="1"/>
    <m/>
    <m/>
    <m/>
    <s v="UICT"/>
    <e v="#N/A"/>
    <s v="Pursue representation of UICT on joint admission board"/>
    <m/>
    <m/>
    <m/>
    <m/>
    <m/>
    <m/>
    <m/>
    <m/>
    <n v="0"/>
    <m/>
    <n v="0"/>
    <n v="0"/>
    <n v="0"/>
    <n v="0"/>
    <n v="0"/>
    <n v="0"/>
    <n v="0"/>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2"/>
    <s v="Business Development Centre operationalised"/>
    <s v="No. of business consultancies conducted"/>
    <m/>
    <n v="2"/>
    <n v="2"/>
    <n v="2"/>
    <n v="2"/>
    <n v="2"/>
    <s v="UICT"/>
    <e v="#N/A"/>
    <s v="Business consultancy conducted"/>
    <n v="1"/>
    <n v="0"/>
    <n v="0"/>
    <n v="1"/>
    <n v="1"/>
    <n v="1"/>
    <n v="0"/>
    <n v="1"/>
    <n v="0.625"/>
    <m/>
    <n v="0"/>
    <n v="0"/>
    <n v="0"/>
    <n v="0"/>
    <n v="0"/>
    <n v="0"/>
    <n v="0"/>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3"/>
    <s v="4IR lab etablished"/>
    <s v="4IR lab"/>
    <n v="0"/>
    <m/>
    <n v="1"/>
    <m/>
    <m/>
    <m/>
    <s v="UICT"/>
    <e v="#N/A"/>
    <s v="Establish 4IR lab with latest equipment and software such as 3D printers, testing tools for 5G design, new drone technology, nano technology"/>
    <n v="1"/>
    <n v="0"/>
    <n v="0"/>
    <n v="1"/>
    <n v="1"/>
    <n v="1"/>
    <n v="0"/>
    <n v="1"/>
    <n v="0.625"/>
    <m/>
    <n v="0"/>
    <n v="0"/>
    <n v="1.5"/>
    <n v="2"/>
    <n v="0.5"/>
    <s v="               -   "/>
    <n v="0.5"/>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4"/>
    <s v="Enhance the capacity of the institute to support specialised ICT training"/>
    <s v="No. of labs upgraded and equipped"/>
    <n v="5"/>
    <n v="0"/>
    <n v="2"/>
    <n v="1"/>
    <n v="1"/>
    <n v="1"/>
    <s v="UICT"/>
    <e v="#N/A"/>
    <s v="Upgrading 5 specialised labs"/>
    <n v="1"/>
    <n v="0"/>
    <n v="0"/>
    <n v="1"/>
    <n v="0"/>
    <n v="1"/>
    <n v="0"/>
    <n v="1"/>
    <n v="0.5"/>
    <m/>
    <n v="0"/>
    <n v="0.3"/>
    <n v="0.3"/>
    <n v="0.3"/>
    <n v="0.3"/>
    <n v="0.3"/>
    <n v="0.6"/>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4"/>
    <s v="Enhance the capacity of the institute to support specialised ICT training"/>
    <s v="No. of lecture rooms equipped with smart technology"/>
    <n v="0"/>
    <n v="0"/>
    <n v="2"/>
    <n v="3"/>
    <n v="3"/>
    <n v="2"/>
    <s v="UICT"/>
    <e v="#N/A"/>
    <s v="Equip lecture rooms with smart technology"/>
    <n v="1"/>
    <n v="0"/>
    <n v="0"/>
    <n v="1"/>
    <n v="1"/>
    <n v="1"/>
    <n v="0"/>
    <n v="1"/>
    <n v="0.625"/>
    <m/>
    <n v="0"/>
    <n v="0.1"/>
    <n v="0.3"/>
    <n v="0.3"/>
    <n v="0.3"/>
    <n v="0.5"/>
    <n v="0.8"/>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4"/>
    <s v="Enhance the capacity of the institute to support specialised ICT training"/>
    <s v="No. of virtual labs established"/>
    <n v="0"/>
    <n v="0"/>
    <n v="2"/>
    <n v="2"/>
    <n v="2"/>
    <n v="2"/>
    <s v="UICT"/>
    <e v="#N/A"/>
    <s v="Establish virtual labs at UICT"/>
    <n v="1"/>
    <n v="0"/>
    <n v="0"/>
    <n v="1"/>
    <n v="1"/>
    <n v="1"/>
    <n v="0"/>
    <n v="1"/>
    <n v="0.625"/>
    <m/>
    <n v="0"/>
    <n v="0.5"/>
    <n v="0.5"/>
    <n v="0.5"/>
    <n v="0.5"/>
    <n v="0.5"/>
    <n v="1"/>
    <s v="MoICT&amp;NG (UICT)"/>
    <s v="020 Ministry of ICT and National Guidance"/>
    <s v="MoICT &amp; NG, MOSTI, UCC, MoES, NCHE"/>
  </r>
  <r>
    <x v="2"/>
    <x v="2"/>
    <n v="113"/>
    <s v="Research, innovation and ICT skills development"/>
    <n v="1134"/>
    <s v="Increase the ICT human resource capital "/>
    <n v="113404"/>
    <s v="Develop ICT centres of excellence and vocational institutions  "/>
    <m/>
    <m/>
    <n v="11340405"/>
    <s v="ICT vocational training including 4IRs supported and ICT practical training enhanced"/>
    <s v="No of Vocational training institutions supported"/>
    <n v="0"/>
    <n v="0"/>
    <n v="4"/>
    <n v="5"/>
    <n v="3"/>
    <n v="2"/>
    <s v="UICT"/>
    <e v="#N/A"/>
    <s v="labs in teacher training colleges, equiping, connecting to internet "/>
    <n v="1"/>
    <n v="0"/>
    <n v="0"/>
    <n v="1"/>
    <n v="0"/>
    <n v="0"/>
    <n v="0"/>
    <n v="1"/>
    <n v="0.375"/>
    <m/>
    <n v="0"/>
    <n v="1"/>
    <n v="1"/>
    <n v="1"/>
    <n v="1"/>
    <n v="1"/>
    <n v="2"/>
    <s v="MoICT&amp;NG (UICT)"/>
    <s v="020 Ministry of ICT and National Guidance"/>
    <s v="MOICT, NCDC, NCHE, UICT, ACADEMIA"/>
  </r>
  <r>
    <x v="2"/>
    <x v="2"/>
    <n v="113"/>
    <s v="Research, innovation and ICT skills development"/>
    <n v="1134"/>
    <s v="Increase the ICT human resource capital "/>
    <n v="113405"/>
    <s v="Review and implement ICT training curriculum at all levels of Education system in line with the emerging technologies"/>
    <m/>
    <m/>
    <n v="11340501"/>
    <s v="Relevant Curriculum developed."/>
    <s v="National ICT curriculum reviewed"/>
    <s v="-"/>
    <s v="-"/>
    <s v="-"/>
    <n v="1"/>
    <s v="-"/>
    <s v="-"/>
    <s v="NCHE, MOES"/>
    <e v="#N/A"/>
    <m/>
    <m/>
    <m/>
    <m/>
    <m/>
    <m/>
    <m/>
    <n v="0"/>
    <n v="0"/>
    <n v="0"/>
    <m/>
    <n v="0"/>
    <m/>
    <m/>
    <m/>
    <m/>
    <m/>
    <n v="0"/>
    <m/>
    <m/>
    <m/>
  </r>
  <r>
    <x v="2"/>
    <x v="2"/>
    <n v="113"/>
    <s v="Research, innovation and ICT skills development"/>
    <n v="1134"/>
    <s v="Increase the ICT human resource capital "/>
    <n v="113405"/>
    <s v="Review and implement ICT training curriculum at all levels of Education system in line with the emerging technologies"/>
    <m/>
    <m/>
    <n v="11340502"/>
    <s v="Digital Skills Curricula developed for the various levels of learning (Tertially, Secondary, Pre-Primary, Primary, Early Chuldhood) in line with the UNESCO ICT competency Framework"/>
    <s v="Percentage of educational institutions that adopted blended learning/ODeL curricula in each level"/>
    <m/>
    <m/>
    <m/>
    <n v="50"/>
    <m/>
    <m/>
    <s v="MOES"/>
    <s v="013 Ministry of Education and Sports"/>
    <s v="Review curriculla for blended learning/ODeL delivery at all schooling levels"/>
    <n v="1"/>
    <n v="0"/>
    <n v="0"/>
    <n v="1"/>
    <n v="0"/>
    <n v="0"/>
    <n v="1"/>
    <n v="1"/>
    <n v="0.5"/>
    <m/>
    <n v="0"/>
    <n v="0.2"/>
    <n v="0.2"/>
    <n v="0.1"/>
    <n v="0.1"/>
    <n v="0.9"/>
    <n v="1"/>
    <s v="MoES"/>
    <s v="013 Ministry of Education and Sports"/>
    <s v="N/A"/>
  </r>
  <r>
    <x v="2"/>
    <x v="2"/>
    <n v="113"/>
    <s v="Research, innovation and ICT skills development"/>
    <n v="1134"/>
    <s v="Increase the ICT human resource capital "/>
    <n v="113405"/>
    <s v="Review and implement ICT training curriculum at all levels of Education system in line with the emerging technologies"/>
    <m/>
    <m/>
    <n v="11340502"/>
    <s v="Digital Skills Curricula developed for the various levels of learning (Tertially, Secondary, Pre-Primary, Primary, Early Chuldhood) in line with the UNESCO ICT competency Framework"/>
    <m/>
    <m/>
    <m/>
    <m/>
    <m/>
    <m/>
    <m/>
    <m/>
    <e v="#N/A"/>
    <s v="Develop digital skills curricula for each schooling levels"/>
    <n v="1"/>
    <n v="0"/>
    <n v="0"/>
    <n v="1"/>
    <n v="1"/>
    <n v="1"/>
    <n v="1"/>
    <n v="1"/>
    <n v="0.75"/>
    <m/>
    <n v="0"/>
    <n v="0"/>
    <n v="0"/>
    <n v="0"/>
    <n v="0"/>
    <n v="0"/>
    <n v="0"/>
    <s v="MoES"/>
    <s v="013 Ministry of Education and Sports"/>
    <s v="N/A"/>
  </r>
  <r>
    <x v="2"/>
    <x v="2"/>
    <n v="113"/>
    <s v="Research, innovation and ICT skills development"/>
    <n v="1134"/>
    <s v="Increase the ICT human resource capital "/>
    <n v="113406"/>
    <s v="Implement targeted capacity building for teachers to incorporate ICT in Pedagogy"/>
    <m/>
    <m/>
    <n v="11340601"/>
    <s v="Teachers, tutors, instructors and lecturers trained in ICT skills"/>
    <s v="No. of teachers, tutors, instructors and lecturers trained in ICT skills"/>
    <s v="-"/>
    <s v="-"/>
    <n v="51767"/>
    <n v="62121"/>
    <n v="82828"/>
    <n v="113888"/>
    <s v="MOES"/>
    <s v="013 Ministry of Education and Sports"/>
    <s v="Train 55% of all teachers, tutors, instructors and lecturers in ICT skills by 2025 taking into consideration the gender parity."/>
    <n v="1"/>
    <n v="0"/>
    <n v="0"/>
    <n v="1"/>
    <n v="1"/>
    <n v="0"/>
    <n v="1"/>
    <n v="1"/>
    <n v="0.625"/>
    <m/>
    <n v="0"/>
    <n v="0"/>
    <n v="0"/>
    <n v="0"/>
    <n v="0"/>
    <n v="0"/>
    <n v="0"/>
    <s v="MoES"/>
    <s v="013 Ministry of Education and Sports"/>
    <s v="N/A"/>
  </r>
  <r>
    <x v="2"/>
    <x v="2"/>
    <n v="114"/>
    <s v="Enabling Environment"/>
    <n v="1145"/>
    <s v="Strengthen the policy, legal and regulatory framework"/>
    <n v="114501"/>
    <s v="Regulate, coordinate and harmonize ICT infrastructure planning, sharing and deployment within the public and private sector"/>
    <m/>
    <m/>
    <n v="11450101"/>
    <s v="Framework for a coordinated rollout of ICT infrastructure and services  established"/>
    <s v="National strategy for implementation of digital-services"/>
    <m/>
    <n v="1"/>
    <m/>
    <m/>
    <m/>
    <m/>
    <s v="MoICT&amp;NG"/>
    <s v="020 Ministry of ICT and National Guidance"/>
    <s v="Develop the national strategy for implementation of digital-services"/>
    <n v="1"/>
    <n v="0"/>
    <n v="0"/>
    <n v="1"/>
    <n v="1"/>
    <n v="0"/>
    <n v="1"/>
    <n v="1"/>
    <n v="0.625"/>
    <m/>
    <n v="0"/>
    <n v="0"/>
    <n v="0"/>
    <n v="0.02"/>
    <n v="0.05"/>
    <s v="               -   "/>
    <n v="0.05"/>
    <s v="MoICT&amp;NG"/>
    <s v="020 Ministry of ICT and National Guidance"/>
    <s v="MoICT&amp;NG, NITAU, UCC, PRIVATE SECTOR, ACADEMIA, NEMA, MWE, LGs"/>
  </r>
  <r>
    <x v="2"/>
    <x v="2"/>
    <n v="114"/>
    <s v="Enabling Environment"/>
    <n v="1145"/>
    <s v="Strengthen the policy, legal and regulatory framework"/>
    <n v="114501"/>
    <s v="Regulate, coordinate and harmonize ICT infrastructure planning, sharing and deployment within the public and private sector"/>
    <m/>
    <m/>
    <n v="11450101"/>
    <s v="Framework for a coordinated rollout of ICT infrastructure and services  established"/>
    <s v="ICT Infrastructure Master Plan"/>
    <n v="0"/>
    <m/>
    <m/>
    <n v="1"/>
    <m/>
    <m/>
    <s v="MoICT&amp;NG"/>
    <s v="020 Ministry of ICT and National Guidance"/>
    <s v="Develop and implement ICT Infrastructure Master Plan (Assessment of existing infrastructure, development of infrastructure blueprint, identification and plan for existing gaps) "/>
    <n v="1"/>
    <n v="0"/>
    <n v="0"/>
    <n v="1"/>
    <n v="0"/>
    <n v="1"/>
    <n v="1"/>
    <n v="1"/>
    <n v="0.625"/>
    <m/>
    <n v="0"/>
    <n v="0.1"/>
    <n v="0.2"/>
    <n v="0"/>
    <n v="0"/>
    <s v="               -   "/>
    <n v="0"/>
    <s v="MoICT&amp;NG"/>
    <s v="020 Ministry of ICT and National Guidance"/>
    <s v="MoICT&amp;NG, NITAU, UCC, PRIVATE SECTOR, ACADEMIA, NEMA, MWE, LGs"/>
  </r>
  <r>
    <x v="2"/>
    <x v="2"/>
    <n v="114"/>
    <s v="Enabling Environment"/>
    <n v="1145"/>
    <s v="Strengthen the policy, legal and regulatory framework"/>
    <n v="114501"/>
    <s v="Regulate, coordinate and harmonize ICT infrastructure planning, sharing and deployment within the public and private sector"/>
    <m/>
    <m/>
    <n v="11450101"/>
    <s v="Framework for a coordinated rollout of ICT infrastructure and services  established"/>
    <s v="Framework for deployment of broadband as a public utility in place"/>
    <m/>
    <m/>
    <m/>
    <m/>
    <m/>
    <n v="1"/>
    <s v="MoICT&amp;NG"/>
    <s v="020 Ministry of ICT and National Guidance"/>
    <s v="Develop and review of frameworks for broadband as a public utility"/>
    <n v="1"/>
    <n v="0"/>
    <n v="0"/>
    <n v="1"/>
    <n v="1"/>
    <n v="1"/>
    <n v="0"/>
    <n v="1"/>
    <n v="0.625"/>
    <m/>
    <n v="0"/>
    <n v="0"/>
    <n v="0.15"/>
    <n v="0.15"/>
    <n v="0.15"/>
    <n v="0"/>
    <n v="0.15"/>
    <s v="MoICT&amp;NG"/>
    <s v="020 Ministry of ICT and National Guidance"/>
    <s v="MoICT&amp;NG, NITAU, UCC, PRIVATE SECTOR, ACADEMIA, NEMA, MWE, LGs"/>
  </r>
  <r>
    <x v="2"/>
    <x v="2"/>
    <n v="114"/>
    <s v="Enabling Environment"/>
    <n v="1145"/>
    <s v="Strengthen the policy, legal and regulatory framework"/>
    <n v="114501"/>
    <s v="Regulate, coordinate and harmonize ICT infrastructure planning, sharing and deployment within the public and private sector"/>
    <m/>
    <m/>
    <n v="11450102"/>
    <s v="National internet  infrastructure coordinated"/>
    <s v=" National Internet Exchange Point in place"/>
    <n v="0"/>
    <m/>
    <m/>
    <m/>
    <n v="1"/>
    <m/>
    <s v="MoICT&amp;NG"/>
    <s v="020 Ministry of ICT and National Guidance"/>
    <s v="Equipment, develop operational and governance frameworks, stakeholder engagements, consultancy, equipments, staff"/>
    <n v="1"/>
    <n v="0"/>
    <n v="0"/>
    <n v="1"/>
    <n v="0"/>
    <n v="0"/>
    <n v="1"/>
    <n v="1"/>
    <n v="0.5"/>
    <m/>
    <n v="0"/>
    <n v="0"/>
    <n v="0"/>
    <n v="0.1"/>
    <n v="0.2"/>
    <s v="               -   "/>
    <n v="0.2"/>
    <s v="MoICT&amp;NG"/>
    <s v="020 Ministry of ICT and National Guidance"/>
    <s v="MoICT&amp;NG, NITAU, UCC, PRIVATE SECTOR, ACADEMIA, NEMA, MWE, LGs"/>
  </r>
  <r>
    <x v="2"/>
    <x v="2"/>
    <n v="114"/>
    <s v="Enabling Environment"/>
    <n v="1145"/>
    <s v="Strengthen the policy, legal and regulatory framework"/>
    <n v="114501"/>
    <s v="Regulate, coordinate and harmonize ICT infrastructure planning, sharing and deployment within the public and private sector"/>
    <m/>
    <m/>
    <n v="11450102"/>
    <s v="National internet  infrastructure coordinated"/>
    <s v="CCTLD Government oversight framework reviewed &amp; implemented"/>
    <n v="0"/>
    <m/>
    <m/>
    <m/>
    <n v="1"/>
    <m/>
    <s v="MoICT&amp;NG"/>
    <s v="020 Ministry of ICT and National Guidance"/>
    <s v="Equipment, institutional frameworks/ governance established, staff to manage"/>
    <n v="1"/>
    <n v="0"/>
    <n v="0"/>
    <n v="1"/>
    <n v="0"/>
    <n v="0"/>
    <n v="1"/>
    <n v="1"/>
    <n v="0.5"/>
    <m/>
    <n v="0"/>
    <n v="0"/>
    <n v="0"/>
    <n v="0.05"/>
    <n v="0.2"/>
    <s v="               -   "/>
    <n v="0.2"/>
    <s v="MoICT&amp;NG"/>
    <s v="020 Ministry of ICT and National Guidance"/>
    <s v="MoICT&amp;NG, NITAU, UCC, PRIVATE SECTOR, ACADEMIA, NEMA, MWE, LGs"/>
  </r>
  <r>
    <x v="2"/>
    <x v="2"/>
    <n v="114"/>
    <s v="Enabling Environment"/>
    <n v="1145"/>
    <s v="Strengthen the policy, legal and regulatory framework"/>
    <n v="114501"/>
    <s v="Regulate, coordinate and harmonize ICT infrastructure planning, sharing and deployment within the public and private sector"/>
    <m/>
    <m/>
    <n v="11450103"/>
    <s v="Environment and human safety ensured"/>
    <s v="Number of e-waste  management frameworks"/>
    <n v="0"/>
    <m/>
    <m/>
    <n v="1"/>
    <m/>
    <m/>
    <s v="MoICT&amp;NG"/>
    <s v="020 Ministry of ICT and National Guidance"/>
    <s v="Review the policy and strategy, guidelines and develop and e-waste management framework, stakeholder engagements, drafting"/>
    <m/>
    <m/>
    <m/>
    <m/>
    <m/>
    <m/>
    <n v="0"/>
    <n v="0"/>
    <n v="0"/>
    <m/>
    <n v="0"/>
    <n v="0"/>
    <n v="0.2"/>
    <n v="0.1"/>
    <n v="0"/>
    <s v="               -   "/>
    <n v="0"/>
    <s v="MoICT&amp;NG"/>
    <s v="020 Ministry of ICT and National Guidance"/>
    <s v="MOSTI"/>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E-commerce strategy developed"/>
    <n v="0"/>
    <m/>
    <m/>
    <n v="1"/>
    <m/>
    <m/>
    <s v="MoICT&amp;NG"/>
    <s v="020 Ministry of ICT and National Guidance"/>
    <s v="Develop the E-commerce strategy"/>
    <n v="1"/>
    <n v="0"/>
    <m/>
    <n v="1"/>
    <n v="0"/>
    <n v="0"/>
    <n v="1"/>
    <n v="1"/>
    <n v="0.5"/>
    <m/>
    <n v="0"/>
    <n v="0"/>
    <n v="0.06"/>
    <n v="0.04"/>
    <n v="0"/>
    <s v="               -   "/>
    <n v="0"/>
    <s v="MoICT&amp;NG"/>
    <s v="020 Ministry of ICT and National Guidance"/>
    <s v="MTIC"/>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Postal policy reviewed"/>
    <n v="0"/>
    <m/>
    <m/>
    <m/>
    <n v="1"/>
    <m/>
    <s v="MoICT&amp;NG"/>
    <s v="020 Ministry of ICT and National Guidance"/>
    <s v="Review the postal policy"/>
    <n v="1"/>
    <n v="0"/>
    <n v="0"/>
    <n v="1"/>
    <n v="0"/>
    <n v="0"/>
    <n v="1"/>
    <n v="1"/>
    <n v="0.5"/>
    <m/>
    <n v="0"/>
    <n v="0.08"/>
    <n v="0"/>
    <n v="0"/>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ational 4IRs strategies and frameworks developed"/>
    <n v="0"/>
    <m/>
    <n v="1"/>
    <n v="2"/>
    <m/>
    <m/>
    <s v="MoICT&amp;NG"/>
    <s v="020 Ministry of ICT and National Guidance"/>
    <s v="Develop the national 4IRs strategies and frameworks"/>
    <m/>
    <m/>
    <m/>
    <m/>
    <m/>
    <m/>
    <n v="0"/>
    <n v="0"/>
    <n v="0"/>
    <m/>
    <n v="0"/>
    <n v="0.4"/>
    <n v="0"/>
    <n v="0"/>
    <n v="0"/>
    <s v="               -   "/>
    <n v="0"/>
    <s v="MoICT&amp;NG"/>
    <s v="020 Ministry of ICT and National Guidance"/>
    <s v="MOSTI"/>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ational addressing and postcode policy developed"/>
    <n v="0"/>
    <n v="1"/>
    <m/>
    <m/>
    <m/>
    <m/>
    <s v="MoICT&amp;NG"/>
    <s v="020 Ministry of ICT and National Guidance"/>
    <s v="Develop the national addressing and postcode policy"/>
    <n v="1"/>
    <n v="0"/>
    <n v="0"/>
    <n v="1"/>
    <n v="0"/>
    <n v="0"/>
    <n v="1"/>
    <n v="1"/>
    <n v="0.5"/>
    <m/>
    <n v="0"/>
    <n v="0.08"/>
    <n v="7.0000000000000007E-2"/>
    <n v="0"/>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ational ICT Professionals’ Act developed"/>
    <n v="0"/>
    <m/>
    <m/>
    <m/>
    <n v="1"/>
    <m/>
    <s v="MoICT&amp;NG"/>
    <s v="020 Ministry of ICT and National Guidance"/>
    <s v="Develop the national ICT Professionals’ Act"/>
    <n v="1"/>
    <n v="0"/>
    <n v="0"/>
    <n v="1"/>
    <n v="0"/>
    <n v="0"/>
    <n v="1"/>
    <n v="1"/>
    <n v="0.5"/>
    <m/>
    <n v="0"/>
    <n v="0"/>
    <n v="0"/>
    <n v="0"/>
    <n v="0.14000000000000001"/>
    <n v="0.11"/>
    <n v="0.25"/>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Local ICT manufacturing and assembly policy developed"/>
    <n v="0"/>
    <m/>
    <m/>
    <m/>
    <n v="1"/>
    <m/>
    <s v="MoICT&amp; NG"/>
    <e v="#N/A"/>
    <s v="Develop the local ICT manufacturing and assembly policy (carryout regulatory impact assessments, hold stakeholder engagements, draft policies and production)"/>
    <n v="1"/>
    <n v="0"/>
    <n v="0"/>
    <n v="1"/>
    <n v="0"/>
    <n v="0"/>
    <n v="1"/>
    <n v="1"/>
    <n v="0.5"/>
    <m/>
    <n v="0"/>
    <n v="0"/>
    <n v="0"/>
    <n v="0.1"/>
    <n v="0.1"/>
    <s v="               -   "/>
    <n v="0.1"/>
    <s v="MoICT&amp;NG"/>
    <s v="020 Ministry of ICT and National Guidance"/>
    <s v="MOSTI"/>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e-government law trained"/>
    <n v="0"/>
    <m/>
    <n v="1"/>
    <m/>
    <m/>
    <m/>
    <m/>
    <e v="#N/A"/>
    <s v="Carry out benchmarking activities, regulatory impact assessments to inform the process_x000a_Develop the e-government law"/>
    <m/>
    <m/>
    <m/>
    <m/>
    <m/>
    <m/>
    <n v="0"/>
    <n v="0"/>
    <n v="0"/>
    <m/>
    <n v="0"/>
    <n v="0"/>
    <n v="0"/>
    <n v="0.2"/>
    <n v="0.05"/>
    <s v="               -   "/>
    <n v="0.05"/>
    <s v="MoICT&amp;NG"/>
    <s v="020 Ministry of ICT and National Guidance"/>
    <s v="MOICT &amp; NG,UCC,NITAU"/>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ICT policy reviewed"/>
    <n v="0"/>
    <m/>
    <n v="1"/>
    <m/>
    <m/>
    <m/>
    <m/>
    <e v="#N/A"/>
    <s v="Review the ICT policy to address emerging trends"/>
    <n v="1"/>
    <n v="0"/>
    <n v="0"/>
    <n v="1"/>
    <n v="0"/>
    <n v="0"/>
    <n v="1"/>
    <n v="1"/>
    <n v="0.5"/>
    <m/>
    <n v="0"/>
    <n v="0"/>
    <n v="0"/>
    <n v="0.1"/>
    <n v="0.1"/>
    <s v="               -   "/>
    <n v="0.1"/>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ational data protection and privacy regulations developed"/>
    <n v="0"/>
    <n v="1"/>
    <m/>
    <m/>
    <m/>
    <m/>
    <s v="MoICT&amp;NG"/>
    <s v="020 Ministry of ICT and National Guidance"/>
    <s v="Develop the national data protection and privacy regulations (stakeholder engagements, drafting, production of reports)"/>
    <m/>
    <m/>
    <m/>
    <m/>
    <m/>
    <m/>
    <n v="0"/>
    <n v="0"/>
    <n v="0"/>
    <m/>
    <n v="0"/>
    <n v="0"/>
    <n v="0.08"/>
    <n v="0"/>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Spectrum management policy developed"/>
    <n v="0"/>
    <m/>
    <m/>
    <m/>
    <m/>
    <n v="1"/>
    <s v="MoICT&amp;NG"/>
    <s v="020 Ministry of ICT and National Guidance"/>
    <s v="Develop a spectrum management policy"/>
    <n v="1"/>
    <n v="0"/>
    <n v="0"/>
    <n v="1"/>
    <n v="1"/>
    <n v="0"/>
    <n v="1"/>
    <n v="1"/>
    <n v="0.625"/>
    <m/>
    <n v="0"/>
    <n v="0.05"/>
    <n v="0.3"/>
    <n v="0.3"/>
    <n v="0.1"/>
    <s v="               -   "/>
    <n v="0.1"/>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Broadcasting policy reviewed"/>
    <m/>
    <m/>
    <m/>
    <m/>
    <m/>
    <n v="1"/>
    <s v="MoICT&amp;NG"/>
    <s v="020 Ministry of ICT and National Guidance"/>
    <s v="Review the broadcasting policy"/>
    <n v="1"/>
    <n v="0"/>
    <n v="0"/>
    <n v="1"/>
    <n v="0"/>
    <n v="0"/>
    <n v="1"/>
    <n v="1"/>
    <n v="0.5"/>
    <m/>
    <n v="0"/>
    <n v="0"/>
    <n v="0.2"/>
    <n v="0.1"/>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ational ICT Incubation strategy developed"/>
    <m/>
    <m/>
    <m/>
    <n v="1"/>
    <m/>
    <m/>
    <s v="MoICT&amp;NG"/>
    <s v="020 Ministry of ICT and National Guidance"/>
    <s v="Develop and implement a National ICT Incubation strategy"/>
    <n v="1"/>
    <n v="0"/>
    <n v="0"/>
    <n v="1"/>
    <n v="0"/>
    <n v="0"/>
    <n v="1"/>
    <n v="1"/>
    <n v="0.5"/>
    <m/>
    <n v="0"/>
    <n v="0.06"/>
    <n v="0.03"/>
    <n v="0"/>
    <n v="0"/>
    <s v="               -   "/>
    <n v="0"/>
    <s v="MoICT&amp;NG"/>
    <s v="020 Ministry of ICT and National Guidance"/>
    <s v="MOSTI"/>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BPO/ ITES strategy reviewed"/>
    <n v="0"/>
    <m/>
    <m/>
    <n v="1"/>
    <m/>
    <m/>
    <s v="MoICT&amp;NG"/>
    <s v="020 Ministry of ICT and National Guidance"/>
    <s v="Review the BPO/ ITES strategy"/>
    <n v="1"/>
    <n v="0"/>
    <n v="0"/>
    <n v="1"/>
    <n v="0"/>
    <n v="0"/>
    <n v="1"/>
    <n v="1"/>
    <n v="0.5"/>
    <m/>
    <n v="0"/>
    <n v="0.1"/>
    <n v="0.1"/>
    <n v="0"/>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ICT research, innovation and development policy and strategy developed"/>
    <n v="0"/>
    <m/>
    <n v="1"/>
    <m/>
    <m/>
    <m/>
    <s v="MoICT&amp;NG"/>
    <s v="020 Ministry of ICT and National Guidance"/>
    <s v="Develop ICT research, innovation and development policy and strategy"/>
    <n v="1"/>
    <n v="0"/>
    <n v="0"/>
    <n v="1"/>
    <n v="0"/>
    <n v="0"/>
    <n v="1"/>
    <n v="1"/>
    <n v="0.5"/>
    <m/>
    <n v="0"/>
    <n v="0"/>
    <n v="0.15"/>
    <n v="0.05"/>
    <n v="0"/>
    <s v="               -   "/>
    <n v="0"/>
    <s v="MoICT&amp;NG"/>
    <s v="020 Ministry of ICT and National Guidance"/>
    <s v="MOSTI"/>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Analog to Digital Migration policy reviewed"/>
    <m/>
    <m/>
    <m/>
    <m/>
    <n v="1"/>
    <m/>
    <s v="MoICT&amp;NG"/>
    <s v="020 Ministry of ICT and National Guidance"/>
    <s v="Review the Analog to Digital Migration policy"/>
    <m/>
    <m/>
    <m/>
    <m/>
    <m/>
    <m/>
    <n v="0"/>
    <n v="0"/>
    <n v="0"/>
    <m/>
    <n v="0"/>
    <n v="0.05"/>
    <n v="0.2"/>
    <n v="0"/>
    <n v="0"/>
    <s v="               -   "/>
    <n v="0"/>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ICT related laws to harmonise ICT Infrastructure reviewed"/>
    <m/>
    <m/>
    <m/>
    <m/>
    <m/>
    <n v="2"/>
    <s v="MoICT&amp;NG"/>
    <s v="020 Ministry of ICT and National Guidance"/>
    <s v="Review ICT related laws to harmonise ICT Infrastructure"/>
    <n v="1"/>
    <n v="0"/>
    <n v="0"/>
    <n v="1"/>
    <n v="1"/>
    <n v="0"/>
    <n v="1"/>
    <n v="1"/>
    <n v="0.625"/>
    <m/>
    <n v="0"/>
    <n v="0.05"/>
    <n v="0.3"/>
    <n v="0.3"/>
    <n v="0.3"/>
    <s v="               -   "/>
    <n v="0.3"/>
    <s v="MoICT&amp;NG"/>
    <s v="020 Ministry of ICT and National Guidance"/>
    <s v="N/A"/>
  </r>
  <r>
    <x v="2"/>
    <x v="2"/>
    <n v="114"/>
    <s v="Enabling Environment"/>
    <n v="1145"/>
    <s v="Strengthen the policy, legal and regulatory framework"/>
    <n v="114502"/>
    <s v="Review and develop appropriate policies, strategies, standards and regulations that respond to industry needs "/>
    <m/>
    <m/>
    <n v="11450201"/>
    <s v="Policies, strategies, standards and regulations developed/reviewed"/>
    <s v="Number of standards, regulations and guidelines developed"/>
    <m/>
    <m/>
    <n v="4"/>
    <n v="4"/>
    <n v="4"/>
    <n v="4"/>
    <s v="UCC"/>
    <e v="#N/A"/>
    <s v="Develop ICT Standards and Guidelines"/>
    <n v="1"/>
    <n v="0"/>
    <n v="0"/>
    <n v="1"/>
    <n v="0"/>
    <n v="0"/>
    <n v="0"/>
    <n v="1"/>
    <n v="0.375"/>
    <m/>
    <n v="0"/>
    <n v="2"/>
    <n v="2.1"/>
    <n v="2.1"/>
    <n v="5.81"/>
    <n v="6.39"/>
    <n v="12.2"/>
    <s v="MoICT&amp;NG (UCC)"/>
    <s v="020 Ministry of ICT and National Guidance"/>
    <s v="MOICT, NITA-U"/>
  </r>
  <r>
    <x v="3"/>
    <x v="3"/>
    <s v="09X"/>
    <s v="Government Commitments"/>
    <s v="09X"/>
    <s v="Provision for Government Commitments"/>
    <s v="09X"/>
    <s v="Government Commitments"/>
    <m/>
    <m/>
    <s v="09X"/>
    <s v="Government Commitments"/>
    <s v="-"/>
    <s v="-"/>
    <s v="-"/>
    <s v="-"/>
    <s v="-"/>
    <s v="-"/>
    <s v="-"/>
    <s v="-"/>
    <s v="-"/>
    <s v="Wage"/>
    <m/>
    <m/>
    <m/>
    <m/>
    <m/>
    <m/>
    <m/>
    <m/>
    <m/>
    <m/>
    <m/>
    <m/>
    <m/>
    <m/>
    <n v="87.5"/>
    <n v="87.5"/>
    <n v="175"/>
    <m/>
    <m/>
    <m/>
  </r>
  <r>
    <x v="3"/>
    <x v="3"/>
    <s v="09X"/>
    <s v="Government Commitments"/>
    <s v="09X"/>
    <s v="Provision for Government Commitments"/>
    <s v="09X"/>
    <s v="Government Commitments"/>
    <m/>
    <m/>
    <s v="09X"/>
    <s v="Government Commitments"/>
    <s v="-"/>
    <s v="-"/>
    <s v="-"/>
    <s v="-"/>
    <s v="-"/>
    <s v="-"/>
    <s v="-"/>
    <s v="-"/>
    <s v="-"/>
    <s v="Non-Wage (Statutory)"/>
    <m/>
    <m/>
    <m/>
    <m/>
    <m/>
    <m/>
    <m/>
    <m/>
    <m/>
    <m/>
    <m/>
    <m/>
    <m/>
    <m/>
    <n v="35"/>
    <n v="35"/>
    <n v="70"/>
    <m/>
    <m/>
    <m/>
  </r>
  <r>
    <x v="3"/>
    <x v="3"/>
    <s v="09X"/>
    <s v="Government Commitments"/>
    <s v="09X"/>
    <s v="Provision for Government Commitments"/>
    <s v="09X"/>
    <s v="Government Commitments"/>
    <m/>
    <m/>
    <s v="09X"/>
    <s v="Government Commitments"/>
    <s v="-"/>
    <s v="-"/>
    <s v="-"/>
    <s v="-"/>
    <s v="-"/>
    <s v="-"/>
    <s v="-"/>
    <s v="-"/>
    <s v="-"/>
    <s v="Multi-Year Commitments"/>
    <m/>
    <m/>
    <m/>
    <m/>
    <m/>
    <m/>
    <m/>
    <m/>
    <m/>
    <m/>
    <m/>
    <m/>
    <m/>
    <m/>
    <n v="1731.4212424660777"/>
    <n v="886.50256768000008"/>
    <n v="2617.9238101460778"/>
    <m/>
    <m/>
    <m/>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umber of train/ tram stations built"/>
    <n v="1"/>
    <s v="-"/>
    <s v="-"/>
    <s v="-"/>
    <n v="1"/>
    <n v="1"/>
    <s v="URC"/>
    <e v="#N/A"/>
    <s v="Construction of train stations"/>
    <n v="1"/>
    <n v="0"/>
    <n v="1"/>
    <n v="0"/>
    <n v="0"/>
    <n v="1"/>
    <n v="1"/>
    <n v="1"/>
    <n v="0.625"/>
    <n v="1"/>
    <n v="1"/>
    <s v="-"/>
    <s v="-"/>
    <s v="-"/>
    <n v="0"/>
    <n v="150"/>
    <n v="150"/>
    <s v="MoWT (URC)"/>
    <s v="016 Ministry of Works and Transport"/>
    <s v="MoWT"/>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umber of bus terminals constructed in MKCCA&amp;MA"/>
    <n v="0"/>
    <s v="-"/>
    <s v="-"/>
    <n v="1"/>
    <n v="1"/>
    <n v="1"/>
    <s v="MKCC&amp;MA, MoWT  "/>
    <e v="#N/A"/>
    <s v="Construction of bus terminals in MKCCA &amp; MA"/>
    <n v="1"/>
    <n v="1"/>
    <n v="1"/>
    <n v="1"/>
    <n v="1"/>
    <n v="1"/>
    <n v="1"/>
    <n v="1"/>
    <n v="1"/>
    <n v="0"/>
    <n v="0"/>
    <s v="-"/>
    <s v="-"/>
    <n v="0"/>
    <n v="60"/>
    <n v="90"/>
    <n v="150"/>
    <s v="MoKCC&amp;MA"/>
    <s v="024 Minstry of Kampala Capital City and Metropolitan Affairs"/>
    <s v="MoWT, KCCA, UNRA"/>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ge of civil works for rehabilitation and expansion of Entebbe Int. Airport"/>
    <n v="67.5"/>
    <n v="74"/>
    <n v="80.5"/>
    <n v="87"/>
    <n v="93.5"/>
    <n v="100"/>
    <s v="UCAA"/>
    <e v="#N/A"/>
    <s v="Rehabilitation and expansion of Entebbe Int. Airport "/>
    <n v="1"/>
    <n v="1"/>
    <n v="1"/>
    <n v="1"/>
    <n v="1"/>
    <n v="0"/>
    <n v="0"/>
    <n v="1"/>
    <n v="0.75"/>
    <n v="0"/>
    <n v="1"/>
    <n v="149.6"/>
    <n v="150"/>
    <n v="150"/>
    <n v="0"/>
    <n v="0"/>
    <n v="0"/>
    <s v="MoWT (UCAA)"/>
    <s v="016 Ministry of Works and Transport"/>
    <s v="MoWT"/>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o. of LPG train wagons acquired"/>
    <s v="-"/>
    <s v="-"/>
    <n v="14"/>
    <n v="14"/>
    <n v="14"/>
    <n v="14"/>
    <s v="MEMD"/>
    <s v="017 Ministry of Energy and Mineral Development"/>
    <s v="Acquire LPG wagons"/>
    <n v="1"/>
    <n v="1"/>
    <n v="1"/>
    <n v="1"/>
    <n v="0"/>
    <n v="1"/>
    <n v="0"/>
    <n v="1"/>
    <n v="0.75"/>
    <n v="0"/>
    <n v="0"/>
    <s v="-"/>
    <n v="8.26"/>
    <n v="8.26"/>
    <n v="0"/>
    <n v="8.26"/>
    <n v="8.26"/>
    <s v="MEMD"/>
    <s v="017 Ministry of Energy and Mineral Development"/>
    <s v="N/A"/>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o. of landing sites or jetties (Gaba, Bule, Butebo, Nakiwogo and Lutoboka) constructed"/>
    <s v="-"/>
    <s v="-"/>
    <m/>
    <n v="1"/>
    <n v="2"/>
    <n v="2"/>
    <s v="MWT"/>
    <e v="#N/A"/>
    <s v="Construction of landing sites or jetties ( Gaba, Bule, Butebo, Nakiwogo and Lutoboka)"/>
    <n v="1"/>
    <n v="1"/>
    <n v="1"/>
    <n v="1"/>
    <n v="1"/>
    <n v="1"/>
    <n v="1"/>
    <n v="1"/>
    <n v="1"/>
    <n v="0"/>
    <n v="0"/>
    <s v="                   - "/>
    <s v="                   - "/>
    <n v="10"/>
    <n v="15"/>
    <n v="40"/>
    <n v="55"/>
    <s v="MoWT"/>
    <s v="016 Ministry of Works and Transport"/>
    <s v="N/A"/>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o. of landing sites or jetties [BKK (3 no), Sigulu (3no), Wanseko, Bunyonyi, Kalangala (4no), Koome (4no), Kasensero] rehabilitated"/>
    <n v="900"/>
    <n v="4"/>
    <n v="7"/>
    <n v="2"/>
    <n v="2"/>
    <n v="5"/>
    <s v="UNRA"/>
    <s v="113 Uganda National Roads Authority"/>
    <s v="Construct or rehabilitate landing sites or jetties [BKK (3 no), Sigulu (3no), Wanseko, Bunyonyi, Kalangala (4no), Koome (4no), Kasensero]"/>
    <n v="1"/>
    <n v="1"/>
    <n v="1"/>
    <n v="1"/>
    <n v="1"/>
    <n v="1"/>
    <n v="1"/>
    <n v="1"/>
    <n v="1"/>
    <m/>
    <n v="0"/>
    <n v="6.45"/>
    <n v="20"/>
    <n v="7"/>
    <n v="25"/>
    <n v="17"/>
    <n v="42"/>
    <s v="UNRA"/>
    <s v="113 Uganda National Roads Authority"/>
    <s v="N/A"/>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Existing ferry Infrastructure (Zengebe, Namasale, Panyimur, Kiyindi, Bisina, Obongi, Lake Victoria Slipway) upgraded"/>
    <m/>
    <s v="-"/>
    <n v="3"/>
    <n v="3"/>
    <n v="3"/>
    <n v="3"/>
    <s v="UNRA"/>
    <s v="113 Uganda National Roads Authority"/>
    <s v="Upgrade existing ferry Infrastructure (Zengebe, Namasale, Panyimur, Kiyindi, Bisina, Obongi, Lake Victoria Slipway)"/>
    <n v="1"/>
    <n v="1"/>
    <n v="1"/>
    <n v="1"/>
    <n v="1"/>
    <n v="1"/>
    <n v="1"/>
    <n v="1"/>
    <n v="1"/>
    <m/>
    <n v="0"/>
    <s v="                   - "/>
    <n v="5.7"/>
    <n v="17.399999999999999"/>
    <n v="23.4"/>
    <n v="12"/>
    <n v="35.4"/>
    <s v="UNRA"/>
    <s v="113 Uganda National Roads Authority"/>
    <s v="N/A"/>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Pilot public transport service on water ways between Kampala- Entebbe – Jinja introduced"/>
    <m/>
    <m/>
    <n v="1"/>
    <n v="3"/>
    <n v="3"/>
    <n v="1"/>
    <s v="MoWT"/>
    <s v="016 Ministry of Works and Transport"/>
    <s v="Introduction of a pilot public transport service on water ways between Kampala- Entebbe - Jinja"/>
    <n v="1"/>
    <n v="0"/>
    <n v="0"/>
    <n v="1"/>
    <n v="1"/>
    <n v="1"/>
    <n v="0"/>
    <n v="0"/>
    <n v="0.5"/>
    <m/>
    <n v="0"/>
    <s v="                   - "/>
    <n v="0"/>
    <n v="20"/>
    <n v="0"/>
    <n v="0"/>
    <n v="0"/>
    <s v="MOWT"/>
    <s v="016 Ministry of Works and Transport"/>
    <s v="Private Sector"/>
  </r>
  <r>
    <x v="3"/>
    <x v="3"/>
    <s v="093"/>
    <s v="Transport Infrastructure and Services Development"/>
    <s v="0931"/>
    <s v="Optimize transport infrastructure and services investment across all modes "/>
    <s v="093101"/>
    <s v="Implement an integrated multi-modal transportation hub (air, rail, road, water) "/>
    <m/>
    <m/>
    <s v="09310101"/>
    <s v="Public transport hubs developed"/>
    <s v="No. of logistics hubs developed"/>
    <s v="-"/>
    <n v="1"/>
    <s v="-"/>
    <s v="-"/>
    <s v="-"/>
    <n v="1"/>
    <s v="MoWT"/>
    <s v="016 Ministry of Works and Transport"/>
    <s v="Develop Gulu Logistics hubs"/>
    <n v="1"/>
    <n v="1"/>
    <n v="1"/>
    <n v="1"/>
    <n v="1"/>
    <n v="1"/>
    <n v="1"/>
    <n v="1"/>
    <n v="1"/>
    <m/>
    <n v="0"/>
    <n v="44.4"/>
    <n v="0"/>
    <n v="0"/>
    <n v="0"/>
    <n v="0"/>
    <n v="0"/>
    <s v="MoWT"/>
    <s v="016 Ministry of Works and Transport"/>
    <s v="URC"/>
  </r>
  <r>
    <x v="3"/>
    <x v="3"/>
    <s v="093"/>
    <s v="Transport Infrastructure and Services Development"/>
    <s v="0931"/>
    <s v="Optimize transport infrastructure and services investment across all modes "/>
    <s v="093101"/>
    <s v="Implement an integrated multi-modal transportation hub (air, rail, road, water) "/>
    <m/>
    <m/>
    <s v="09310102"/>
    <s v="Bankable projects developed"/>
    <s v="Number of feasibility studies and detailed designs prepared"/>
    <s v="-"/>
    <s v="-"/>
    <n v="30"/>
    <n v="30"/>
    <s v="-"/>
    <s v="-"/>
    <s v="MoWT"/>
    <s v="016 Ministry of Works and Transport"/>
    <s v="Undertake feasibility studies, generate detailed designs for road network in GKMA up to 334km"/>
    <n v="1"/>
    <n v="1"/>
    <n v="1"/>
    <n v="1"/>
    <n v="1"/>
    <n v="1"/>
    <n v="1"/>
    <n v="1"/>
    <n v="1"/>
    <m/>
    <n v="0"/>
    <s v="-"/>
    <n v="0"/>
    <n v="3.2"/>
    <n v="14.1"/>
    <s v="-"/>
    <n v="14.1"/>
    <s v="MoWT"/>
    <s v="113 Uganda National Roads Authority"/>
    <s v="MoKCC&amp;MA"/>
  </r>
  <r>
    <x v="3"/>
    <x v="3"/>
    <s v="093"/>
    <s v="Transport Infrastructure and Services Development"/>
    <s v="0931"/>
    <s v="Optimize transport infrastructure and services investment across all modes "/>
    <s v="093101"/>
    <s v="Implement an integrated multi-modal transportation hub (air, rail, road, water) "/>
    <m/>
    <m/>
    <s v="09310102"/>
    <s v="Bankable projects developed"/>
    <s v="Number of feasibility studies and detailed designs prepared"/>
    <s v="-"/>
    <s v="-"/>
    <n v="14"/>
    <n v="18"/>
    <s v="-"/>
    <s v="-"/>
    <s v="UNRA"/>
    <s v="113 Uganda National Roads Authority"/>
    <s v="Undertake feasibility studies, generate detailed designs for road network outside GKMA"/>
    <n v="1"/>
    <n v="1"/>
    <n v="1"/>
    <n v="1"/>
    <n v="1"/>
    <n v="1"/>
    <n v="1"/>
    <n v="1"/>
    <n v="1"/>
    <m/>
    <n v="0"/>
    <n v="60"/>
    <n v="60"/>
    <n v="60"/>
    <n v="60"/>
    <n v="60"/>
    <n v="120"/>
    <s v="UNRA"/>
    <s v="113 Uganda National Roads Authority"/>
    <s v="MoKCC&amp;MA"/>
  </r>
  <r>
    <x v="3"/>
    <x v="3"/>
    <s v="093"/>
    <s v="Transport Infrastructure and Services Development"/>
    <s v="0931"/>
    <s v="Optimize transport infrastructure and services investment across all modes "/>
    <s v="093101"/>
    <s v="Implement an integrated multi-modal transportation hub (air, rail, road, water) "/>
    <m/>
    <m/>
    <s v="09310103"/>
    <s v="Land For Right of Way secured"/>
    <s v="Number of MoUs/land agreements with land owners for RoW secured"/>
    <s v="-"/>
    <s v="-"/>
    <n v="10"/>
    <n v="10"/>
    <n v="10"/>
    <n v="18"/>
    <s v="MKCC&amp; MA"/>
    <e v="#N/A"/>
    <s v="Negotiate/demarcate RoW corridors for the roads network in GKMA up to 334km"/>
    <n v="1"/>
    <n v="1"/>
    <n v="1"/>
    <n v="1"/>
    <n v="1"/>
    <n v="1"/>
    <n v="1"/>
    <n v="1"/>
    <n v="1"/>
    <m/>
    <n v="0"/>
    <s v="                   - "/>
    <n v="0.5"/>
    <n v="0.5"/>
    <n v="0.5"/>
    <n v="0.5"/>
    <n v="1"/>
    <s v="UNRA"/>
    <s v="113 Uganda National Roads Authority"/>
    <s v="UNRA, MoLHUD, MoKCC&amp;MA"/>
  </r>
  <r>
    <x v="3"/>
    <x v="3"/>
    <s v="093"/>
    <s v="Transport Infrastructure and Services Development"/>
    <s v="0931"/>
    <s v="Optimize transport infrastructure and services investment across all modes "/>
    <s v="093101"/>
    <s v="Implement an integrated multi-modal transportation hub (air, rail, road, water) "/>
    <m/>
    <m/>
    <s v="09310103"/>
    <s v="Land For Right of Way secured"/>
    <s v="Number MoU agreements signed for RoW in GKMA"/>
    <s v="-"/>
    <s v="-"/>
    <m/>
    <s v="-"/>
    <n v="100"/>
    <s v="-"/>
    <s v="MKCC&amp; MA"/>
    <e v="#N/A"/>
    <s v="Stakeholder dialogue and consultations with communities for RoW "/>
    <n v="1"/>
    <n v="1"/>
    <n v="1"/>
    <n v="1"/>
    <n v="1"/>
    <n v="1"/>
    <n v="1"/>
    <n v="1"/>
    <n v="1"/>
    <m/>
    <n v="0"/>
    <s v="                   - "/>
    <n v="5"/>
    <s v="                   - "/>
    <n v="5"/>
    <s v="                   - "/>
    <n v="5"/>
    <s v="UNRA"/>
    <s v="113 Uganda National Roads Authority"/>
    <s v="UNRA, MoLHUD, MoKCC&amp;MA"/>
  </r>
  <r>
    <x v="3"/>
    <x v="3"/>
    <s v="093"/>
    <s v="Transport Infrastructure and Services Development"/>
    <s v="0931"/>
    <s v="Optimize transport infrastructure and services investment across all modes "/>
    <s v="093101"/>
    <s v="Implement an integrated multi-modal transportation hub (air, rail, road, water) "/>
    <m/>
    <m/>
    <s v="09310104"/>
    <s v="Roads connecting GKMA upgraded"/>
    <s v="Number of km of roads upgraded in GKMA"/>
    <s v="-"/>
    <n v="0"/>
    <n v="50"/>
    <n v="80"/>
    <n v="120"/>
    <n v="167"/>
    <s v="MKCC&amp; MA"/>
    <e v="#N/A"/>
    <s v="Upgrade roads network for connectivity in GKMA up to 334km"/>
    <n v="1"/>
    <n v="1"/>
    <n v="1"/>
    <n v="1"/>
    <n v="1"/>
    <n v="1"/>
    <n v="1"/>
    <n v="1"/>
    <n v="1"/>
    <m/>
    <n v="0"/>
    <n v="150"/>
    <n v="150.0182944196421"/>
    <n v="128.8817055803579"/>
    <n v="110"/>
    <n v="133"/>
    <n v="243"/>
    <s v="UNRA"/>
    <s v="113 Uganda National Roads Authority"/>
    <s v="MoKCC&amp;MA"/>
  </r>
  <r>
    <x v="3"/>
    <x v="3"/>
    <s v="093"/>
    <s v="Transport Infrastructure and Services Development"/>
    <s v="0931"/>
    <s v="Optimize transport infrastructure and services investment across all modes "/>
    <s v="093101"/>
    <s v="Implement an integrated multi-modal transportation hub (air, rail, road, water) "/>
    <m/>
    <m/>
    <s v="09310105"/>
    <s v="Mukono-Ssisa satellite city road completed"/>
    <s v="No. of km of road to Mukono-Ssisa satellite city improved to link with KCCA-15kms"/>
    <m/>
    <m/>
    <n v="15"/>
    <m/>
    <m/>
    <m/>
    <s v="MoWT"/>
    <s v="016 Ministry of Works and Transport"/>
    <s v="Upgrade road to Mukono-Ssisa satellite city to link with KCCA-15kms"/>
    <m/>
    <m/>
    <m/>
    <m/>
    <m/>
    <m/>
    <n v="0"/>
    <n v="0"/>
    <n v="0"/>
    <m/>
    <n v="0"/>
    <s v="                   - "/>
    <n v="54.9"/>
    <s v="                   - "/>
    <s v="                   - "/>
    <s v="                   - "/>
    <n v="0"/>
    <s v="MoKCC&amp;MA"/>
    <s v="024 Minstry of Kampala Capital City and Metropolitan Affairs"/>
    <s v="N/A"/>
  </r>
  <r>
    <x v="3"/>
    <x v="3"/>
    <s v="093"/>
    <s v="Transport Infrastructure and Services Development"/>
    <s v="0931"/>
    <s v="Optimize transport infrastructure and services investment across all modes "/>
    <s v="093101"/>
    <s v="Implement an integrated multi-modal transportation hub (air, rail, road, water) "/>
    <m/>
    <m/>
    <s v="09310106"/>
    <s v="Bridge constructed"/>
    <s v="Level of progress (%) on projects completion[6]"/>
    <s v="-"/>
    <s v="-"/>
    <s v="-"/>
    <s v="-"/>
    <n v="50"/>
    <n v="50"/>
    <s v="UNRA"/>
    <s v="113 Uganda National Roads Authority"/>
    <s v="Construction of bridge from Nakiwogo to Buwaya (0.5km) connecting Kasanje to Entebbe Airport (design &amp; build)"/>
    <n v="1"/>
    <n v="1"/>
    <n v="1"/>
    <n v="0"/>
    <n v="0"/>
    <n v="1"/>
    <n v="1"/>
    <n v="1"/>
    <n v="0.75"/>
    <m/>
    <n v="0"/>
    <s v="                   - "/>
    <s v="                   - "/>
    <n v="200"/>
    <n v="150"/>
    <n v="104"/>
    <n v="254"/>
    <s v="UNRA"/>
    <s v="113 Uganda National Roads Authority"/>
    <s v="MoKCC&amp;MA"/>
  </r>
  <r>
    <x v="3"/>
    <x v="3"/>
    <s v="093"/>
    <s v="Transport Infrastructure and Services Development"/>
    <s v="0931"/>
    <s v="Optimize transport infrastructure and services investment across all modes "/>
    <s v="093101"/>
    <s v="Implement an integrated multi-modal transportation hub (air, rail, road, water) "/>
    <m/>
    <m/>
    <s v="09310107"/>
    <s v="Named streets in GKMA"/>
    <s v="Proportion of streets named in GKMA area, %"/>
    <s v="-"/>
    <s v="-"/>
    <n v="20"/>
    <n v="30"/>
    <n v="25"/>
    <n v="25"/>
    <s v="MKCC&amp;MA, MoWT  "/>
    <e v="#N/A"/>
    <s v="Street naming/ numbering "/>
    <n v="0"/>
    <n v="1"/>
    <n v="0"/>
    <n v="1"/>
    <n v="1"/>
    <n v="1"/>
    <n v="0"/>
    <n v="1"/>
    <n v="0.625"/>
    <m/>
    <n v="0"/>
    <s v="                   - "/>
    <n v="1.48"/>
    <n v="1.48"/>
    <m/>
    <n v="2.96"/>
    <n v="2.96"/>
    <s v="MoKCC&amp;MA"/>
    <s v="024 Minstry of Kampala Capital City and Metropolitan Affairs"/>
    <s v="N/A"/>
  </r>
  <r>
    <x v="3"/>
    <x v="3"/>
    <s v="093"/>
    <s v="Transport Infrastructure and Services Development"/>
    <s v="0931"/>
    <s v="Optimize transport infrastructure and services investment across all modes "/>
    <s v="093101"/>
    <s v="Implement an integrated multi-modal transportation hub (air, rail, road, water) "/>
    <m/>
    <m/>
    <s v="09310108"/>
    <s v="KCCA Roads and junctions improved"/>
    <s v="Number of km of KCCA roads improved (KCCA)"/>
    <m/>
    <n v="3.94"/>
    <n v="4"/>
    <n v="4"/>
    <n v="4"/>
    <n v="4"/>
    <s v="KCCA"/>
    <s v="122 Kampala Capital City Authority"/>
    <s v="Upgrade roads and Junction improvement/ include signalization on KCCA roads "/>
    <n v="1"/>
    <n v="1"/>
    <n v="1"/>
    <n v="1"/>
    <n v="1"/>
    <n v="1"/>
    <n v="1"/>
    <n v="0"/>
    <n v="0.875"/>
    <m/>
    <n v="0"/>
    <n v="24"/>
    <n v="30"/>
    <n v="30"/>
    <n v="24"/>
    <n v="20"/>
    <n v="44"/>
    <s v="KCCA"/>
    <s v="122 Kampala Capital City Authority"/>
    <s v="MoKCC&amp;MA"/>
  </r>
  <r>
    <x v="3"/>
    <x v="3"/>
    <s v="093"/>
    <s v="Transport Infrastructure and Services Development"/>
    <s v="0931"/>
    <s v="Optimize transport infrastructure and services investment across all modes "/>
    <s v="093101"/>
    <s v="Implement an integrated multi-modal transportation hub (air, rail, road, water) "/>
    <m/>
    <m/>
    <s v="09310108"/>
    <s v="KCCA Roads and junctions improved"/>
    <s v="Number of km of KCCA roads improved (UNRA)"/>
    <m/>
    <m/>
    <n v="1"/>
    <n v="1"/>
    <n v="2"/>
    <s v="-"/>
    <s v="UNRA"/>
    <s v="113 Uganda National Roads Authority"/>
    <s v="Junction improvement/ including signalization on national roads (4 junctions (Kireka, Bweyogerere, Seeta, Mukono)"/>
    <n v="1"/>
    <n v="1"/>
    <n v="1"/>
    <n v="1"/>
    <n v="1"/>
    <n v="1"/>
    <n v="1"/>
    <n v="1"/>
    <n v="1"/>
    <m/>
    <n v="0"/>
    <s v="                   - "/>
    <n v="25"/>
    <n v="22.5"/>
    <n v="50"/>
    <n v="0"/>
    <n v="50"/>
    <s v="UNRA"/>
    <s v="113 Uganda National Roads Authority"/>
    <s v="MoKCC&amp;M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 of strategic roads upgraded"/>
    <n v="4971"/>
    <n v="5717"/>
    <n v="6163"/>
    <n v="6609"/>
    <n v="7055"/>
    <n v="7500"/>
    <s v="UNRA"/>
    <s v="113 Uganda National Roads Authority"/>
    <s v="Upgrade strategic roads from gravel to bituminous surface"/>
    <n v="1"/>
    <n v="1"/>
    <n v="1"/>
    <n v="1"/>
    <n v="1"/>
    <n v="1"/>
    <n v="1"/>
    <n v="1"/>
    <n v="1"/>
    <m/>
    <n v="0"/>
    <n v="915.00000000000091"/>
    <n v="812.125"/>
    <n v="811.52499999999964"/>
    <n v="615.09"/>
    <n v="863.72"/>
    <n v="1478.81"/>
    <s v="UNRA"/>
    <s v="113 Uganda National Roads Authority"/>
    <s v="N/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Percentage of civil works constructed at Kabaale Airport"/>
    <s v="-"/>
    <n v="72"/>
    <n v="23"/>
    <n v="5"/>
    <s v="-"/>
    <s v="-"/>
    <s v="MoWT"/>
    <s v="016 Ministry of Works and Transport"/>
    <s v="Construct Kabaale International Airport"/>
    <n v="1"/>
    <n v="1"/>
    <n v="1"/>
    <n v="1"/>
    <n v="1"/>
    <n v="1"/>
    <n v="1"/>
    <n v="1"/>
    <n v="1"/>
    <m/>
    <n v="0"/>
    <n v="295.8"/>
    <n v="10"/>
    <n v="5"/>
    <s v="                   - "/>
    <s v="                   - "/>
    <n v="0"/>
    <s v="MoWT"/>
    <s v="016 Ministry of Works and Transport"/>
    <s v="UNRA, MEMD"/>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Percentage of progress of operationalization"/>
    <m/>
    <m/>
    <n v="40"/>
    <n v="55"/>
    <n v="75"/>
    <n v="100"/>
    <s v="UCAA"/>
    <e v="#N/A"/>
    <s v="Operationalise the Hoima International airport (Kabaale)"/>
    <n v="1"/>
    <n v="1"/>
    <n v="1"/>
    <n v="1"/>
    <n v="1"/>
    <n v="1"/>
    <n v="1"/>
    <n v="1"/>
    <n v="1"/>
    <m/>
    <n v="0"/>
    <n v="1"/>
    <n v="41"/>
    <n v="15"/>
    <n v="15"/>
    <n v="15"/>
    <n v="30"/>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Number aerodromes rehabilitated and upgraded "/>
    <n v="13"/>
    <n v="1"/>
    <n v="2"/>
    <n v="1"/>
    <n v="1"/>
    <n v="1"/>
    <s v="UCAA, MWT"/>
    <e v="#N/A"/>
    <m/>
    <m/>
    <m/>
    <m/>
    <m/>
    <m/>
    <m/>
    <n v="0"/>
    <n v="0"/>
    <n v="0"/>
    <m/>
    <n v="0"/>
    <s v="-"/>
    <s v="-"/>
    <s v="-"/>
    <s v="-"/>
    <s v="-"/>
    <n v="0"/>
    <s v="MoWT (UCAA)"/>
    <s v="016 Ministry of Works and Transport"/>
    <s v="UCA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Kasese)"/>
    <m/>
    <s v="-"/>
    <n v="35"/>
    <n v="68"/>
    <n v="90"/>
    <n v="100"/>
    <s v="UCAA"/>
    <e v="#N/A"/>
    <s v="Kasese "/>
    <n v="1"/>
    <n v="1"/>
    <n v="1"/>
    <n v="1"/>
    <n v="1"/>
    <n v="1"/>
    <n v="0"/>
    <n v="1"/>
    <n v="0.875"/>
    <m/>
    <n v="0"/>
    <s v="-"/>
    <n v="74.3"/>
    <n v="68.900000000000006"/>
    <n v="50"/>
    <n v="18.899999999999999"/>
    <n v="68.900000000000006"/>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Arua)"/>
    <m/>
    <n v="0"/>
    <n v="35"/>
    <n v="68"/>
    <n v="100"/>
    <s v="-"/>
    <s v="UCAA"/>
    <e v="#N/A"/>
    <s v="Arua"/>
    <n v="1"/>
    <n v="1"/>
    <n v="1"/>
    <n v="1"/>
    <n v="1"/>
    <n v="1"/>
    <n v="0"/>
    <n v="1"/>
    <n v="0.875"/>
    <m/>
    <n v="0"/>
    <s v="-"/>
    <n v="0"/>
    <n v="69.099999999999994"/>
    <n v="54.1"/>
    <n v="64.099999999999994"/>
    <n v="118.19999999999999"/>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Gulu)"/>
    <m/>
    <s v="-"/>
    <s v="-"/>
    <n v="35"/>
    <n v="67"/>
    <m/>
    <s v="UCAA"/>
    <e v="#N/A"/>
    <s v="Gulu"/>
    <n v="1"/>
    <n v="1"/>
    <n v="1"/>
    <n v="1"/>
    <n v="1"/>
    <n v="1"/>
    <n v="0"/>
    <n v="1"/>
    <n v="0.875"/>
    <m/>
    <n v="0"/>
    <s v="-"/>
    <s v="-"/>
    <n v="73"/>
    <n v="57.8"/>
    <n v="67.8"/>
    <n v="125.6"/>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Kidepo)"/>
    <m/>
    <s v="-"/>
    <s v="-"/>
    <s v="-"/>
    <n v="2"/>
    <n v="10"/>
    <s v="UCAA"/>
    <e v="#N/A"/>
    <s v="Kidepo"/>
    <n v="1"/>
    <n v="1"/>
    <n v="1"/>
    <n v="1"/>
    <n v="1"/>
    <n v="1"/>
    <n v="0"/>
    <n v="1"/>
    <n v="0.875"/>
    <m/>
    <n v="0"/>
    <s v="-"/>
    <s v="-"/>
    <s v="-"/>
    <n v="3.7"/>
    <n v="41.7"/>
    <n v="45.400000000000006"/>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Pakuba)"/>
    <m/>
    <s v="-"/>
    <s v="-"/>
    <s v="-"/>
    <n v="2"/>
    <n v="10"/>
    <s v="UCAA"/>
    <e v="#N/A"/>
    <s v="Pakuba"/>
    <n v="1"/>
    <n v="1"/>
    <n v="1"/>
    <n v="1"/>
    <n v="1"/>
    <n v="1"/>
    <n v="0"/>
    <n v="1"/>
    <n v="0.875"/>
    <m/>
    <n v="0"/>
    <s v="-"/>
    <s v="-"/>
    <s v="-"/>
    <n v="3.8"/>
    <n v="41.7"/>
    <n v="45.5"/>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of strategic airports/ aerodromes rehabilitated and upgraded (Mbarara)"/>
    <m/>
    <s v="-"/>
    <n v="2"/>
    <n v="37"/>
    <n v="69"/>
    <n v="100"/>
    <s v="UCAA"/>
    <e v="#N/A"/>
    <s v="Mbarara"/>
    <n v="1"/>
    <n v="1"/>
    <n v="1"/>
    <n v="1"/>
    <n v="1"/>
    <n v="1"/>
    <n v="0"/>
    <n v="1"/>
    <n v="0.875"/>
    <m/>
    <n v="0"/>
    <s v="-"/>
    <n v="0"/>
    <n v="57.3"/>
    <n v="41.4"/>
    <n v="51.4"/>
    <n v="92.8"/>
    <s v="MoWT (UCAA)"/>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No.of international airports rehabilitaed"/>
    <m/>
    <s v="-"/>
    <n v="1"/>
    <s v="-"/>
    <s v="-"/>
    <s v="-"/>
    <s v="UCAA"/>
    <e v="#N/A"/>
    <s v="Rehabilitate International airport"/>
    <n v="1"/>
    <n v="1"/>
    <n v="1"/>
    <n v="1"/>
    <n v="1"/>
    <n v="1"/>
    <n v="0"/>
    <n v="0"/>
    <n v="0.75"/>
    <m/>
    <n v="0"/>
    <s v="-"/>
    <s v="-"/>
    <s v="-"/>
    <s v="-"/>
    <n v="150"/>
    <n v="150"/>
    <s v="MoWT (UCAA)"/>
    <s v="016 Ministry of Works and Transport"/>
    <s v="UCA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No of aviation academies maintained"/>
    <m/>
    <n v="1"/>
    <n v="1"/>
    <n v="1"/>
    <n v="1"/>
    <n v="1"/>
    <s v="MoWT"/>
    <s v="016 Ministry of Works and Transport"/>
    <s v="Rehabilitate and maintain aviation academies"/>
    <n v="1"/>
    <n v="1"/>
    <n v="1"/>
    <n v="1"/>
    <n v="1"/>
    <n v="1"/>
    <n v="0"/>
    <n v="1"/>
    <n v="0.875"/>
    <m/>
    <n v="0"/>
    <n v="25"/>
    <n v="25"/>
    <n v="25"/>
    <n v="40"/>
    <n v="75"/>
    <n v="115"/>
    <s v="MoWT"/>
    <s v="016 Ministry of Works and Transport"/>
    <s v="N/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 of MGR Rehabilitated (Kampala – Malaba)"/>
    <n v="0"/>
    <s v="-"/>
    <n v="28"/>
    <n v="78"/>
    <n v="93"/>
    <n v="93"/>
    <s v="URC"/>
    <e v="#N/A"/>
    <s v="Rehabilitate Kampala-Malaba MGR line "/>
    <n v="1"/>
    <n v="1"/>
    <n v="1"/>
    <n v="1"/>
    <n v="1"/>
    <n v="1"/>
    <n v="1"/>
    <n v="1"/>
    <n v="1"/>
    <m/>
    <n v="0"/>
    <n v="200"/>
    <n v="39"/>
    <n v="452"/>
    <m/>
    <m/>
    <n v="0"/>
    <s v="MoWT (URC)"/>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Number of PAPs for the Tororo-Gulu MGR line  compensated"/>
    <s v="-"/>
    <n v="1700"/>
    <n v="3200"/>
    <s v="-"/>
    <s v="-"/>
    <s v="-"/>
    <s v="MoWT"/>
    <s v="016 Ministry of Works and Transport"/>
    <s v="Compensate the PAPs for the Tororo-Gulu MGR line  "/>
    <n v="1"/>
    <n v="1"/>
    <n v="1"/>
    <n v="1"/>
    <n v="1"/>
    <n v="1"/>
    <n v="1"/>
    <n v="1"/>
    <n v="1"/>
    <m/>
    <n v="0"/>
    <n v="10"/>
    <n v="0"/>
    <s v="                   - "/>
    <s v="                   - "/>
    <s v="                   - "/>
    <n v="0"/>
    <s v="MoWT"/>
    <s v="016 Ministry of Works and Transport"/>
    <s v="MoLHUD"/>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 of Tororo - Gulu MGR Line Rehabilitated"/>
    <s v="-"/>
    <n v="20"/>
    <n v="100"/>
    <n v="177.5"/>
    <n v="177.5"/>
    <n v="0"/>
    <s v="MoWT"/>
    <s v="016 Ministry of Works and Transport"/>
    <s v="Rehabilitate Tororo - Gulu MGR Line"/>
    <n v="1"/>
    <n v="1"/>
    <n v="1"/>
    <n v="1"/>
    <n v="1"/>
    <n v="1"/>
    <n v="1"/>
    <n v="1"/>
    <n v="1"/>
    <m/>
    <n v="0"/>
    <n v="24"/>
    <n v="46"/>
    <n v="46"/>
    <m/>
    <n v="0"/>
    <n v="0"/>
    <s v="MoWT"/>
    <s v="016 Ministry of Works and Transport"/>
    <s v="URC"/>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 of Gulu -Pakwach MGR rehabilitated and develop an inland port on L. Albert"/>
    <s v="-"/>
    <n v="0"/>
    <n v="0"/>
    <n v="60"/>
    <n v="60"/>
    <n v="40"/>
    <s v="MoWT"/>
    <s v="016 Ministry of Works and Transport"/>
    <s v="Rehabilitate Gulu -Pakwach MGR and develop an inland port on L. Albert"/>
    <n v="1"/>
    <n v="1"/>
    <n v="1"/>
    <n v="0"/>
    <n v="0"/>
    <n v="1"/>
    <n v="1"/>
    <n v="1"/>
    <n v="0.75"/>
    <m/>
    <n v="0"/>
    <n v="0"/>
    <n v="0"/>
    <n v="35"/>
    <n v="10"/>
    <n v="35"/>
    <n v="45"/>
    <s v="MoWT"/>
    <s v="016 Ministry of Works and Transport"/>
    <s v="URC"/>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 of civil works for Tororo - Gulu MGR Line supervised"/>
    <s v="-"/>
    <n v="20"/>
    <n v="100"/>
    <n v="177.5"/>
    <n v="177.5"/>
    <s v="-"/>
    <s v="MoWT"/>
    <s v="016 Ministry of Works and Transport"/>
    <s v="Supervision of civil works for Tororo - Gulu MGR Line"/>
    <n v="1"/>
    <n v="1"/>
    <n v="1"/>
    <n v="1"/>
    <n v="1"/>
    <n v="1"/>
    <n v="1"/>
    <n v="1"/>
    <n v="1"/>
    <m/>
    <n v="0"/>
    <n v="0"/>
    <n v="1"/>
    <n v="2"/>
    <m/>
    <s v="-"/>
    <n v="0"/>
    <s v="MoWT"/>
    <s v="016 Ministry of Works and Transport"/>
    <s v="URC"/>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Kms of Kampala- Kasese MGR Line reconstructed"/>
    <s v="-"/>
    <n v="0"/>
    <n v="0"/>
    <n v="110"/>
    <n v="110"/>
    <n v="110"/>
    <s v="URC"/>
    <e v="#N/A"/>
    <s v="Reconstruction of Kampala- Kasese MGR Line "/>
    <n v="1"/>
    <n v="1"/>
    <n v="1"/>
    <n v="0"/>
    <n v="0"/>
    <n v="1"/>
    <n v="1"/>
    <n v="1"/>
    <n v="0.75"/>
    <m/>
    <n v="0"/>
    <n v="0"/>
    <n v="0"/>
    <n v="0"/>
    <n v="0"/>
    <n v="0"/>
    <n v="0"/>
    <s v="MoWT (URC)"/>
    <s v="016 Ministry of Works and Transport"/>
    <s v="MoWT"/>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Number of PAPs compensated for the Bukasa Port"/>
    <s v="-"/>
    <n v="1100"/>
    <s v="-"/>
    <s v="-"/>
    <s v="-"/>
    <s v="-"/>
    <s v="MoWT"/>
    <s v="016 Ministry of Works and Transport"/>
    <s v="Compensate the PAPs for the Bukasa Port "/>
    <n v="0"/>
    <n v="0"/>
    <n v="0"/>
    <n v="0"/>
    <n v="0"/>
    <n v="0"/>
    <n v="0"/>
    <n v="0"/>
    <n v="0"/>
    <m/>
    <n v="0"/>
    <n v="29.2"/>
    <s v="                   - "/>
    <s v="                   - "/>
    <s v="                   - "/>
    <s v="                   - "/>
    <n v="0"/>
    <s v="MoWT"/>
    <s v="016 Ministry of Works and Transport"/>
    <s v="MoLHUD"/>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for inland Ports constructed Bukasa Port "/>
    <s v="-"/>
    <n v="0.05"/>
    <n v="0.75"/>
    <n v="0.2"/>
    <s v="-"/>
    <s v="-"/>
    <s v="MoWT"/>
    <s v="016 Ministry of Works and Transport"/>
    <s v="Construction of Bukasa Port "/>
    <n v="1"/>
    <n v="1"/>
    <n v="1"/>
    <n v="0"/>
    <n v="1"/>
    <n v="1"/>
    <n v="1"/>
    <n v="1"/>
    <n v="0.875"/>
    <m/>
    <n v="0"/>
    <n v="0"/>
    <n v="0"/>
    <n v="0"/>
    <n v="0"/>
    <n v="0"/>
    <n v="0"/>
    <s v="MoWT"/>
    <s v="016 Ministry of Works and Transport"/>
    <s v="N/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for inland Ports constructed L.Albert Port"/>
    <s v="-"/>
    <m/>
    <m/>
    <n v="0.05"/>
    <n v="0.75"/>
    <n v="0.2"/>
    <s v="MoWT"/>
    <s v="016 Ministry of Works and Transport"/>
    <s v="Construction of Lake Albert Port"/>
    <n v="1"/>
    <n v="1"/>
    <n v="1"/>
    <n v="0"/>
    <n v="0"/>
    <n v="0"/>
    <n v="1"/>
    <n v="1"/>
    <n v="0.625"/>
    <m/>
    <n v="0"/>
    <n v="0"/>
    <n v="0"/>
    <n v="15"/>
    <m/>
    <m/>
    <n v="0"/>
    <s v="MoWT"/>
    <s v="016 Ministry of Works and Transport"/>
    <s v="N/A"/>
  </r>
  <r>
    <x v="3"/>
    <x v="3"/>
    <s v="093"/>
    <s v="Transport Infrastructure and Services Development"/>
    <s v="0931"/>
    <s v="Optimize transport infrastructure and services investment across all modes "/>
    <s v="093102"/>
    <s v="Construct, upgrade and climate proof strategic transport infrastructure (tourism, oil, minerals and agriculture)"/>
    <m/>
    <m/>
    <s v="09310201"/>
    <s v="Climate proof strategic transport infrastructure constructed and upgraded."/>
    <s v="% of civil works for ship yard and floating dock at Bukasa Port"/>
    <m/>
    <s v="-"/>
    <s v="-"/>
    <s v="-"/>
    <n v="1"/>
    <s v="-"/>
    <s v="MoWT"/>
    <s v="016 Ministry of Works and Transport"/>
    <s v="Construction of the ship yard &amp; Floating dock  "/>
    <n v="1"/>
    <n v="1"/>
    <n v="1"/>
    <n v="0"/>
    <n v="0"/>
    <n v="1"/>
    <n v="1"/>
    <n v="1"/>
    <n v="0.75"/>
    <m/>
    <n v="0"/>
    <n v="0"/>
    <n v="0"/>
    <n v="0"/>
    <n v="0"/>
    <n v="0"/>
    <n v="0"/>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Kms of road dueled (Northern Bypass, Kampala - Mukono, Zana - Kajansi and Bwaise - Matuga)"/>
    <n v="100"/>
    <n v="0"/>
    <n v="0"/>
    <n v="17"/>
    <n v="0"/>
    <n v="18"/>
    <s v="UNRA"/>
    <s v="113 Uganda National Roads Authority"/>
    <s v="Dualing of roads (Northern Bypass, Kampala - Mukono, Zana - Kajansi and Bwaise - Matuga)"/>
    <n v="1"/>
    <n v="1"/>
    <n v="1"/>
    <n v="1"/>
    <n v="1"/>
    <n v="1"/>
    <n v="0"/>
    <n v="1"/>
    <n v="0.875"/>
    <m/>
    <n v="0"/>
    <s v="                            - "/>
    <n v="62.412999999999997"/>
    <n v="176.8"/>
    <n v="87"/>
    <n v="100"/>
    <n v="187"/>
    <s v="UNRA"/>
    <s v="113 Uganda National Roads Authority"/>
    <s v="MKCC&amp;M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oad junctions improved"/>
    <n v="0"/>
    <n v="0"/>
    <n v="2"/>
    <n v="6"/>
    <n v="0"/>
    <n v="11"/>
    <s v="UNRA"/>
    <s v="113 Uganda National Roads Authority"/>
    <s v="Improvement of road junctions"/>
    <n v="1"/>
    <n v="1"/>
    <n v="1"/>
    <n v="1"/>
    <n v="1"/>
    <n v="1"/>
    <n v="1"/>
    <n v="1"/>
    <n v="1"/>
    <m/>
    <n v="0"/>
    <s v="-"/>
    <s v="-"/>
    <s v="-"/>
    <n v="67.5"/>
    <n v="90"/>
    <n v="157.5"/>
    <s v="UNRA"/>
    <s v="113 Uganda National Roads Authority"/>
    <m/>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high  capacity public passenger vehicles added"/>
    <n v="500"/>
    <n v="1500"/>
    <n v="1500"/>
    <n v="1500"/>
    <n v="1500"/>
    <n v="1500"/>
    <s v="KCCA &amp; MoWT"/>
    <e v="#N/A"/>
    <s v="High capacity public passenger  vehicles added"/>
    <n v="1"/>
    <n v="1"/>
    <n v="1"/>
    <n v="1"/>
    <n v="1"/>
    <n v="1"/>
    <n v="1"/>
    <n v="1"/>
    <n v="1"/>
    <m/>
    <n v="0"/>
    <s v="-"/>
    <s v="-"/>
    <s v="-"/>
    <s v="-"/>
    <s v="-"/>
    <n v="0"/>
    <s v="KCCA &amp; MoWT"/>
    <s v="016 Ministry of Works and Transport"/>
    <m/>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Aircraft Procured /purchased (UNACOL)"/>
    <n v="2"/>
    <n v="2"/>
    <n v="0"/>
    <n v="1"/>
    <n v="0"/>
    <n v="2"/>
    <s v="UNACOL  "/>
    <e v="#N/A"/>
    <s v="Acquisition of aircrafts"/>
    <n v="1"/>
    <n v="1"/>
    <n v="1"/>
    <n v="1"/>
    <n v="1"/>
    <n v="1"/>
    <n v="0"/>
    <n v="1"/>
    <n v="0.875"/>
    <m/>
    <n v="0"/>
    <n v="539.70000000000005"/>
    <s v="-"/>
    <n v="556.88596483881634"/>
    <n v="0"/>
    <n v="522.51403516118376"/>
    <n v="522.51403516118376"/>
    <s v="MoWT (UNACOL)"/>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Aircraft Procured /purchased (EACAA)"/>
    <s v="-"/>
    <s v="-"/>
    <s v="-"/>
    <n v="1"/>
    <s v="-"/>
    <s v="-"/>
    <s v="EACAA"/>
    <e v="#N/A"/>
    <s v="Acquisition of aircrafts"/>
    <n v="1"/>
    <n v="1"/>
    <n v="1"/>
    <n v="1"/>
    <n v="1"/>
    <n v="1"/>
    <n v="0"/>
    <n v="1"/>
    <n v="0.875"/>
    <m/>
    <n v="0"/>
    <s v="-"/>
    <s v="-"/>
    <n v="9"/>
    <n v="18"/>
    <n v="9"/>
    <n v="27"/>
    <s v="MoWT (EACAA)"/>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personnel trained at Railway training Institute"/>
    <n v="0"/>
    <s v="-"/>
    <n v="50"/>
    <n v="75"/>
    <n v="100"/>
    <n v="150"/>
    <s v="URC"/>
    <e v="#N/A"/>
    <s v="Training of personnel"/>
    <n v="1"/>
    <n v="1"/>
    <n v="1"/>
    <n v="1"/>
    <n v="1"/>
    <n v="1"/>
    <n v="1"/>
    <n v="1"/>
    <n v="1"/>
    <m/>
    <n v="0"/>
    <s v="                            - "/>
    <n v="0.5"/>
    <n v="0.75"/>
    <m/>
    <m/>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ailway platforms improved "/>
    <s v="3[9]"/>
    <n v="0"/>
    <n v="4"/>
    <n v="4"/>
    <n v="5"/>
    <n v="5"/>
    <s v="URC"/>
    <e v="#N/A"/>
    <s v="Upgrade of railway platforms"/>
    <n v="1"/>
    <n v="1"/>
    <n v="1"/>
    <n v="1"/>
    <n v="1"/>
    <n v="1"/>
    <n v="1"/>
    <n v="1"/>
    <n v="1"/>
    <m/>
    <n v="0"/>
    <s v="                            - "/>
    <n v="0"/>
    <n v="0"/>
    <n v="0"/>
    <n v="0"/>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ailway stations (Mukono, Namanve, Bujuuko &amp; Kyengera) constructed"/>
    <n v="0"/>
    <n v="0"/>
    <n v="1"/>
    <n v="1"/>
    <n v="1"/>
    <n v="1"/>
    <s v="URC"/>
    <e v="#N/A"/>
    <s v="Rehabilitation of passenger train stations (Mukono, Namanve, Bujuuko &amp; Kyengera)"/>
    <n v="1"/>
    <n v="1"/>
    <n v="1"/>
    <n v="1"/>
    <n v="1"/>
    <n v="1"/>
    <n v="1"/>
    <n v="1"/>
    <n v="1"/>
    <m/>
    <n v="0"/>
    <s v="                            - "/>
    <n v="10"/>
    <n v="10"/>
    <m/>
    <m/>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existing train coaches rehabilitated"/>
    <s v="-"/>
    <n v="2"/>
    <n v="2"/>
    <n v="2"/>
    <n v="2"/>
    <n v="2"/>
    <s v="URC"/>
    <e v="#N/A"/>
    <s v="Rehabilitation of existing train coaches"/>
    <n v="1"/>
    <n v="1"/>
    <n v="1"/>
    <n v="1"/>
    <n v="1"/>
    <n v="1"/>
    <n v="1"/>
    <n v="1"/>
    <n v="1"/>
    <m/>
    <n v="0"/>
    <n v="0"/>
    <n v="2"/>
    <n v="3"/>
    <n v="0"/>
    <n v="0"/>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locomotives rehabilitated"/>
    <s v="-"/>
    <n v="2"/>
    <n v="2"/>
    <n v="2"/>
    <n v="2"/>
    <n v="2"/>
    <s v="URC"/>
    <e v="#N/A"/>
    <s v="Rehabilitate locomotives"/>
    <n v="1"/>
    <n v="1"/>
    <n v="1"/>
    <n v="1"/>
    <n v="1"/>
    <n v="1"/>
    <n v="1"/>
    <n v="1"/>
    <n v="1"/>
    <m/>
    <n v="0"/>
    <n v="0"/>
    <n v="18"/>
    <n v="27"/>
    <n v="0"/>
    <n v="0"/>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railway coaches acquired"/>
    <n v="5"/>
    <n v="2"/>
    <n v="2"/>
    <n v="2"/>
    <n v="2"/>
    <n v="2"/>
    <s v="URC"/>
    <e v="#N/A"/>
    <s v="Procurement and use of railway coaches"/>
    <n v="1"/>
    <n v="1"/>
    <n v="1"/>
    <n v="1"/>
    <n v="1"/>
    <n v="1"/>
    <n v="1"/>
    <n v="1"/>
    <n v="1"/>
    <m/>
    <n v="0"/>
    <n v="0"/>
    <n v="10"/>
    <n v="20"/>
    <n v="0"/>
    <n v="0"/>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coaches/ locomotives/ wagons acquired"/>
    <n v="0"/>
    <n v="0"/>
    <n v="1"/>
    <n v="0"/>
    <n v="1"/>
    <n v="0"/>
    <s v="URC"/>
    <e v="#N/A"/>
    <s v="Procurement and use of railway wagons/coaches"/>
    <n v="1"/>
    <n v="1"/>
    <n v="1"/>
    <n v="1"/>
    <n v="1"/>
    <n v="1"/>
    <n v="1"/>
    <n v="1"/>
    <n v="1"/>
    <m/>
    <n v="0"/>
    <n v="0"/>
    <n v="10"/>
    <n v="0"/>
    <n v="0"/>
    <n v="0"/>
    <n v="0"/>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egional workshops upgraded"/>
    <n v="3"/>
    <n v="3"/>
    <n v="3"/>
    <n v="3"/>
    <n v="2"/>
    <n v="1"/>
    <s v="MoWT "/>
    <e v="#N/A"/>
    <s v="Refurbishment of mechanical Workshops "/>
    <n v="1"/>
    <n v="1"/>
    <n v="1"/>
    <n v="1"/>
    <n v="1"/>
    <n v="1"/>
    <n v="1"/>
    <n v="1"/>
    <n v="1"/>
    <m/>
    <n v="0"/>
    <n v="0"/>
    <n v="5.3"/>
    <n v="12"/>
    <n v="9.1999999999999993"/>
    <n v="6"/>
    <n v="15.2"/>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Zonal Centers established and equipped"/>
    <s v="-"/>
    <n v="0"/>
    <n v="0"/>
    <n v="1"/>
    <n v="1"/>
    <n v="1"/>
    <s v="MoWT"/>
    <s v="016 Ministry of Works and Transport"/>
    <s v="Establishment of Zonal Centers and equipping them"/>
    <n v="1"/>
    <n v="1"/>
    <n v="1"/>
    <n v="1"/>
    <n v="1"/>
    <n v="1"/>
    <n v="1"/>
    <n v="1"/>
    <n v="1"/>
    <m/>
    <n v="0"/>
    <n v="0"/>
    <n v="0"/>
    <n v="0"/>
    <n v="2"/>
    <n v="2"/>
    <n v="4"/>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 availability of district and zonal equipment"/>
    <m/>
    <n v="80"/>
    <n v="80"/>
    <n v="70"/>
    <n v="70"/>
    <n v="70"/>
    <s v="MoWT"/>
    <s v="016 Ministry of Works and Transport"/>
    <s v="Pre and post repair road equipment condition assessment, procurement of spares parts and repair services."/>
    <n v="1"/>
    <n v="1"/>
    <n v="1"/>
    <n v="1"/>
    <n v="1"/>
    <n v="1"/>
    <n v="1"/>
    <n v="1"/>
    <n v="1"/>
    <m/>
    <n v="0"/>
    <n v="10"/>
    <n v="15"/>
    <n v="20"/>
    <n v="25"/>
    <n v="30"/>
    <n v="55"/>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oad equipment units added"/>
    <n v="12"/>
    <s v="                            - "/>
    <n v="13"/>
    <n v="5"/>
    <s v="                            - "/>
    <s v="                            - "/>
    <s v="MoWT"/>
    <s v="016 Ministry of Works and Transport"/>
    <s v="Procure new road equipment"/>
    <n v="1"/>
    <n v="1"/>
    <n v="1"/>
    <n v="1"/>
    <n v="1"/>
    <n v="1"/>
    <n v="1"/>
    <n v="1"/>
    <n v="1"/>
    <m/>
    <n v="0"/>
    <s v="                            - "/>
    <n v="0"/>
    <n v="0"/>
    <n v="0"/>
    <n v="46"/>
    <n v="46"/>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Operator training schools established "/>
    <n v="0"/>
    <n v="0"/>
    <n v="0"/>
    <n v="0"/>
    <n v="0"/>
    <n v="1"/>
    <s v="MoWT "/>
    <e v="#N/A"/>
    <s v="Construction of training center, furnishing and operationalizing it. "/>
    <n v="1"/>
    <n v="1"/>
    <n v="1"/>
    <n v="1"/>
    <n v="1"/>
    <n v="1"/>
    <n v="1"/>
    <n v="1"/>
    <n v="1"/>
    <m/>
    <n v="0"/>
    <n v="0"/>
    <n v="0"/>
    <n v="0"/>
    <n v="5"/>
    <n v="10"/>
    <n v="15"/>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age of works  for establishment of a Master vehicle testing center completed"/>
    <s v="                            - "/>
    <s v="                            - "/>
    <n v="60"/>
    <n v="40"/>
    <s v="                            - "/>
    <m/>
    <s v="MoWT"/>
    <s v="016 Ministry of Works and Transport"/>
    <s v="Establish and operationalize the master vehicle testing center for government vehicles "/>
    <n v="1"/>
    <n v="1"/>
    <n v="1"/>
    <n v="0"/>
    <n v="0"/>
    <n v="1"/>
    <n v="1"/>
    <n v="1"/>
    <n v="0.75"/>
    <m/>
    <n v="0"/>
    <n v="0"/>
    <n v="0"/>
    <n v="0"/>
    <n v="2"/>
    <n v="3"/>
    <n v="5"/>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road equipment rehabilitated"/>
    <s v="-"/>
    <s v="-"/>
    <s v="-"/>
    <n v="204"/>
    <n v="204"/>
    <n v="237"/>
    <s v="MoWT"/>
    <s v="016 Ministry of Works and Transport"/>
    <s v="Rehabilitation of road equipment"/>
    <n v="1"/>
    <n v="1"/>
    <n v="1"/>
    <n v="1"/>
    <n v="1"/>
    <n v="1"/>
    <n v="1"/>
    <n v="1"/>
    <n v="1"/>
    <m/>
    <n v="0"/>
    <n v="0"/>
    <n v="0"/>
    <n v="5"/>
    <n v="6"/>
    <n v="7"/>
    <n v="13"/>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 availability of protocol fleet"/>
    <s v="-"/>
    <n v="70"/>
    <n v="70"/>
    <n v="70"/>
    <n v="70"/>
    <n v="70"/>
    <s v="MoWT"/>
    <s v="016 Ministry of Works and Transport"/>
    <s v="Maintenance of the protocol fleet, coordination of  National functions"/>
    <n v="0"/>
    <n v="0"/>
    <n v="0"/>
    <n v="1"/>
    <n v="1"/>
    <n v="0"/>
    <n v="0"/>
    <n v="1"/>
    <n v="0.375"/>
    <m/>
    <n v="0"/>
    <n v="1"/>
    <n v="1.2"/>
    <n v="1.2"/>
    <n v="1.3"/>
    <n v="1.3"/>
    <n v="2.6"/>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 availability of ministry vehicles"/>
    <s v="-"/>
    <n v="70"/>
    <n v="70"/>
    <n v="70"/>
    <n v="70"/>
    <n v="70"/>
    <s v="MoWT"/>
    <s v="016 Ministry of Works and Transport"/>
    <s v="Repair and maintenance of government vehicles"/>
    <n v="0"/>
    <n v="0"/>
    <n v="0"/>
    <n v="1"/>
    <n v="1"/>
    <n v="0"/>
    <n v="0"/>
    <n v="1"/>
    <n v="0.375"/>
    <m/>
    <n v="0"/>
    <n v="0"/>
    <n v="0"/>
    <n v="0.2"/>
    <n v="0.2"/>
    <n v="0.2"/>
    <n v="0.4"/>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new bailey/compact panel bridges acquired"/>
    <s v="-"/>
    <s v="-"/>
    <n v="2"/>
    <n v="2"/>
    <n v="2"/>
    <n v="2"/>
    <s v="MoWT"/>
    <s v="016 Ministry of Works and Transport"/>
    <s v="Procurement of bailey/compact panel bridges"/>
    <n v="1"/>
    <n v="1"/>
    <n v="1"/>
    <n v="1"/>
    <n v="1"/>
    <n v="1"/>
    <n v="1"/>
    <n v="1"/>
    <n v="1"/>
    <m/>
    <n v="0"/>
    <n v="0"/>
    <n v="5"/>
    <n v="5"/>
    <n v="4"/>
    <n v="4"/>
    <n v="8"/>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 of works for establishment of an engineering plant and equipment Remanufacturing center completed"/>
    <s v="-"/>
    <s v="-"/>
    <n v="50"/>
    <n v="50"/>
    <s v="-"/>
    <s v="-"/>
    <s v="MoWT"/>
    <s v="016 Ministry of Works and Transport"/>
    <s v="Pre-feasibility studies and designs, acquisition of land, Construction of the Remanufacturing center, equipment installation "/>
    <n v="0"/>
    <n v="0"/>
    <n v="0"/>
    <n v="0"/>
    <n v="0"/>
    <n v="0"/>
    <n v="1"/>
    <n v="1"/>
    <n v="0.25"/>
    <m/>
    <n v="0"/>
    <n v="2"/>
    <n v="7"/>
    <n v="15"/>
    <m/>
    <n v="2"/>
    <n v="2"/>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existing ferries (Buvuma, Ferry Machinery) rehabilitated"/>
    <n v="10"/>
    <s v="-"/>
    <s v="-"/>
    <n v="2"/>
    <n v="2"/>
    <s v="-"/>
    <s v="UNRA"/>
    <s v="113 Uganda National Roads Authority"/>
    <s v="Rehabilitate existing  ferries (Buvuma, Ferry Machinery)"/>
    <n v="1"/>
    <n v="1"/>
    <n v="1"/>
    <n v="1"/>
    <n v="1"/>
    <n v="1"/>
    <n v="1"/>
    <n v="1"/>
    <n v="1"/>
    <m/>
    <n v="0"/>
    <n v="0"/>
    <n v="15"/>
    <n v="12"/>
    <n v="0"/>
    <n v="9"/>
    <n v="9"/>
    <s v="UNRA"/>
    <s v="113 Uganda National Roads Authority"/>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ferries added (Sigulu, 2no BKK, 2no Bunyonyi, 1 no Nakiwogo, 1no Kalangala, 1no Koome 1no)"/>
    <s v="-"/>
    <n v="1"/>
    <n v="2"/>
    <n v="2"/>
    <n v="1"/>
    <n v="2"/>
    <s v="UNRA"/>
    <s v="113 Uganda National Roads Authority"/>
    <s v="Procurement and operationalization of ferries (Sigulu, 2no BKK, 2no Bunyonyi, 1 no Nakiwogo, 1no Kalangala, 1no Koome 1no)"/>
    <n v="1"/>
    <n v="1"/>
    <n v="1"/>
    <n v="1"/>
    <n v="1"/>
    <n v="1"/>
    <n v="1"/>
    <n v="1"/>
    <n v="1"/>
    <m/>
    <n v="0"/>
    <n v="20"/>
    <n v="31"/>
    <n v="38"/>
    <n v="19"/>
    <n v="28"/>
    <n v="47"/>
    <s v="UNRA"/>
    <s v="113 Uganda National Roads Authority"/>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wagon ferries added"/>
    <n v="2"/>
    <n v="0"/>
    <n v="1"/>
    <n v="0"/>
    <n v="1"/>
    <n v="0"/>
    <s v="URC"/>
    <e v="#N/A"/>
    <s v="Procurement of wagon ferries"/>
    <n v="1"/>
    <n v="1"/>
    <n v="1"/>
    <n v="1"/>
    <n v="0"/>
    <n v="1"/>
    <n v="0"/>
    <n v="1"/>
    <n v="0.75"/>
    <m/>
    <n v="0"/>
    <n v="0"/>
    <n v="0"/>
    <n v="0"/>
    <n v="0"/>
    <n v="15"/>
    <n v="15"/>
    <s v="MoWT (URC)"/>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age of civil works for EACAA infrastructure[10] upgraded"/>
    <m/>
    <s v="-"/>
    <s v="-"/>
    <n v="49"/>
    <n v="80"/>
    <n v="100"/>
    <s v="EACAA"/>
    <e v="#N/A"/>
    <s v="Upgrade EACAA infrastructure (lecture hall/auditorium &amp;aviation library)"/>
    <n v="1"/>
    <n v="1"/>
    <n v="1"/>
    <n v="1"/>
    <n v="1"/>
    <n v="1"/>
    <n v="0"/>
    <n v="1"/>
    <n v="0.875"/>
    <m/>
    <n v="0"/>
    <n v="0"/>
    <n v="0"/>
    <n v="14"/>
    <n v="0"/>
    <n v="0"/>
    <n v="0"/>
    <s v="MoWT (EACAA)"/>
    <s v="016 Ministry of Works and Transport"/>
    <s v="MoWT"/>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age equivalent of civil works undertaken on the One Stop Centre Building for Driver Licensing, Motor Vehicle registration"/>
    <s v="-"/>
    <n v="0.1"/>
    <n v="0.6"/>
    <n v="0.3"/>
    <s v="-"/>
    <s v="-"/>
    <s v="MoWT"/>
    <s v="016 Ministry of Works and Transport"/>
    <s v="Construction of the One Stop Centre Building for Driver Licensing, Motor Vehicle registration "/>
    <n v="1"/>
    <n v="1"/>
    <n v="1"/>
    <n v="1"/>
    <n v="1"/>
    <n v="1"/>
    <n v="1"/>
    <n v="1"/>
    <n v="1"/>
    <m/>
    <n v="0"/>
    <n v="0"/>
    <n v="0"/>
    <n v="0"/>
    <n v="30"/>
    <n v="15"/>
    <n v="45"/>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Search and Rescue (SAR) centers constructed and equipped"/>
    <m/>
    <s v="-"/>
    <n v="9"/>
    <s v="-"/>
    <s v="-"/>
    <s v="-"/>
    <s v="MoWT"/>
    <s v="016 Ministry of Works and Transport"/>
    <s v="Construct and equip Search and Rescue (SAR) centers"/>
    <n v="1"/>
    <n v="1"/>
    <n v="1"/>
    <n v="1"/>
    <n v="1"/>
    <n v="1"/>
    <n v="1"/>
    <n v="1"/>
    <n v="1"/>
    <m/>
    <n v="0"/>
    <n v="0"/>
    <n v="0"/>
    <n v="0"/>
    <n v="9.5"/>
    <n v="2"/>
    <n v="11.5"/>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navigable water bodies surveyed and charted[11]"/>
    <m/>
    <s v="1[12]"/>
    <s v="1[13]"/>
    <s v="(3) Lake Victoria, Kyoga, R. Nile"/>
    <s v="(5) Lake Bunyonyi, Albert, Bisina"/>
    <s v="Edward, &amp; George"/>
    <s v="MoWT"/>
    <s v="016 Ministry of Works and Transport"/>
    <s v="Conduct hydrographic survey and produce navigation charts of Lakes Victoria, Kyoga, Bunyonyi, Albert, Bisina, Edward, George and R. Nile"/>
    <n v="1"/>
    <n v="1"/>
    <n v="1"/>
    <n v="1"/>
    <n v="1"/>
    <n v="1"/>
    <n v="1"/>
    <n v="1"/>
    <n v="1"/>
    <m/>
    <n v="0"/>
    <n v="0"/>
    <n v="0.5"/>
    <n v="150"/>
    <n v="50"/>
    <n v="120"/>
    <n v="170"/>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o. of Aids to Navigation installed and Maintained"/>
    <m/>
    <n v="4"/>
    <n v="5"/>
    <n v="5"/>
    <n v="5"/>
    <n v="10"/>
    <s v="MoWT"/>
    <s v="016 Ministry of Works and Transport"/>
    <s v="Install and maintain Aids to Navigation (AToNs)"/>
    <n v="1"/>
    <n v="1"/>
    <n v="1"/>
    <n v="1"/>
    <n v="1"/>
    <n v="1"/>
    <n v="1"/>
    <n v="1"/>
    <n v="1"/>
    <m/>
    <n v="0"/>
    <n v="0"/>
    <n v="0"/>
    <n v="0"/>
    <n v="2"/>
    <n v="4"/>
    <n v="6"/>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Number of SAR boats acquired"/>
    <m/>
    <n v="2"/>
    <n v="7"/>
    <n v="4"/>
    <n v="4"/>
    <n v="1"/>
    <s v="MoWT"/>
    <s v="016 Ministry of Works and Transport"/>
    <s v="Acquire SAR boats"/>
    <n v="1"/>
    <n v="1"/>
    <n v="1"/>
    <n v="1"/>
    <n v="1"/>
    <n v="1"/>
    <n v="1"/>
    <n v="1"/>
    <n v="1"/>
    <m/>
    <n v="0"/>
    <n v="0"/>
    <n v="5.25"/>
    <n v="4"/>
    <n v="3"/>
    <n v="1"/>
    <n v="4"/>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age of Regional Driver testing centres developed"/>
    <m/>
    <s v="-"/>
    <n v="0.05"/>
    <n v="0.15"/>
    <n v="0.6"/>
    <n v="1"/>
    <s v="MoWT"/>
    <s v="016 Ministry of Works and Transport"/>
    <s v="Development of Regional Driver testing centres "/>
    <n v="1"/>
    <n v="1"/>
    <n v="0"/>
    <n v="0"/>
    <n v="1"/>
    <n v="1"/>
    <n v="1"/>
    <n v="1"/>
    <n v="0.75"/>
    <m/>
    <n v="0"/>
    <n v="0"/>
    <n v="0.2"/>
    <n v="1"/>
    <n v="1"/>
    <n v="2"/>
    <n v="3"/>
    <s v="MoWT"/>
    <s v="016 Ministry of Works and Transport"/>
    <s v="N/A"/>
  </r>
  <r>
    <x v="3"/>
    <x v="3"/>
    <s v="093"/>
    <s v="Transport Infrastructure and Services Development"/>
    <s v="0931"/>
    <s v="Optimize transport infrastructure and services investment across all modes "/>
    <s v="093103"/>
    <s v="Increase capacity of existing transport infrastructure and services"/>
    <m/>
    <m/>
    <s v="09310301"/>
    <s v="Capacity of existing transport infrastructure and services increased."/>
    <s v="Percentage of Regional Driver testing training and testing system developed"/>
    <m/>
    <s v="-"/>
    <n v="0.3"/>
    <n v="0.7"/>
    <s v="-"/>
    <s v="-"/>
    <s v="MoWT"/>
    <s v="016 Ministry of Works and Transport"/>
    <s v="Development of an automated driver training and testing system"/>
    <n v="1"/>
    <n v="1"/>
    <n v="1"/>
    <n v="0"/>
    <n v="1"/>
    <n v="1"/>
    <n v="0"/>
    <n v="1"/>
    <n v="0.75"/>
    <m/>
    <n v="0"/>
    <n v="0"/>
    <n v="0"/>
    <n v="0"/>
    <n v="1"/>
    <n v="1.5"/>
    <n v="2.5"/>
    <s v="MoWT"/>
    <s v="016 Ministry of Works and Transport"/>
    <s v="N/A"/>
  </r>
  <r>
    <x v="3"/>
    <x v="3"/>
    <s v="093"/>
    <s v="Transport Infrastructure and Services Development"/>
    <s v="0931"/>
    <s v="Optimize transport infrastructure and services investment across all modes "/>
    <s v="093104"/>
    <s v="Implement an inclusive mass rapid transport system ((LRT), BRT and cable cars)"/>
    <m/>
    <m/>
    <s v="09310401"/>
    <s v="Mass rapid Transport Systems (LRT, BRT, MRT) developed"/>
    <s v="% of project preparation  of LRT project[14]"/>
    <s v="-"/>
    <s v="                            - "/>
    <s v="                               - "/>
    <s v="-"/>
    <n v="40"/>
    <n v="60"/>
    <s v="MoWT"/>
    <s v="016 Ministry of Works and Transport"/>
    <s v="Preparation of Feasibility study on  LRT project"/>
    <n v="1"/>
    <n v="0"/>
    <n v="1"/>
    <n v="1"/>
    <n v="0"/>
    <n v="0"/>
    <n v="0"/>
    <n v="1"/>
    <n v="0.5"/>
    <m/>
    <n v="0"/>
    <n v="0"/>
    <n v="0"/>
    <n v="0"/>
    <n v="0"/>
    <n v="0"/>
    <n v="0"/>
    <s v="MoWT"/>
    <s v="016 Ministry of Works and Transport"/>
    <s v="MoKCC&amp;MA, URC"/>
  </r>
  <r>
    <x v="3"/>
    <x v="3"/>
    <s v="093"/>
    <s v="Transport Infrastructure and Services Development"/>
    <s v="0931"/>
    <s v="Optimize transport infrastructure and services investment across all modes "/>
    <s v="093104"/>
    <s v="Implement an inclusive mass rapid transport system ((LRT), BRT and cable cars)"/>
    <m/>
    <m/>
    <s v="09310401"/>
    <s v="Mass rapid Transport Systems (LRT, BRT, MRT) developed"/>
    <s v="% of physical works on  BRT system developed"/>
    <s v="-"/>
    <s v="Review designs"/>
    <s v="Review designs"/>
    <s v="50% civil works "/>
    <s v="50% civil works "/>
    <s v="operations"/>
    <s v="MoWT"/>
    <s v="016 Ministry of Works and Transport"/>
    <s v="Develop BRT system"/>
    <n v="1"/>
    <n v="1"/>
    <n v="1"/>
    <n v="0"/>
    <n v="0"/>
    <n v="1"/>
    <n v="0"/>
    <n v="1"/>
    <n v="0.625"/>
    <m/>
    <n v="0"/>
    <n v="0"/>
    <n v="0"/>
    <n v="0"/>
    <n v="0"/>
    <n v="26.768000000000001"/>
    <n v="26.768000000000001"/>
    <s v="MoWT"/>
    <s v="016 Ministry of Works and Transport"/>
    <s v="MoKCC&amp;MA, UNRA"/>
  </r>
  <r>
    <x v="3"/>
    <x v="3"/>
    <s v="093"/>
    <s v="Transport Infrastructure and Services Development"/>
    <s v="0931"/>
    <s v="Optimize transport infrastructure and services investment across all modes "/>
    <s v="093104"/>
    <s v="Implement an inclusive mass rapid transport system ((LRT), BRT and cable cars)"/>
    <m/>
    <m/>
    <s v="09310401"/>
    <s v="Mass rapid Transport Systems (LRT, BRT, MRT) developed"/>
    <s v="% of preparation of cable car project"/>
    <s v="-"/>
    <n v="10"/>
    <n v="30"/>
    <n v="60"/>
    <m/>
    <m/>
    <s v="KCCA"/>
    <s v="122 Kampala Capital City Authority"/>
    <s v="Detailed designs for the cable car project developed"/>
    <n v="1"/>
    <n v="0"/>
    <n v="0"/>
    <n v="0"/>
    <n v="0"/>
    <n v="1"/>
    <n v="1"/>
    <n v="1"/>
    <n v="0.5"/>
    <m/>
    <n v="0"/>
    <n v="0"/>
    <n v="0"/>
    <n v="0"/>
    <n v="0"/>
    <n v="0"/>
    <n v="0"/>
    <s v="KCCA"/>
    <s v="122 Kampala Capital City Authority"/>
    <s v="MoKCC&amp;MA"/>
  </r>
  <r>
    <x v="3"/>
    <x v="3"/>
    <s v="093"/>
    <s v="Transport Infrastructure and Services Development"/>
    <s v="0931"/>
    <s v="Optimize transport infrastructure and services investment across all modes "/>
    <s v="093104"/>
    <s v="Implement an inclusive mass rapid transport system ((LRT), BRT and cable cars)"/>
    <m/>
    <m/>
    <s v="09310401"/>
    <s v="Mass rapid Transport Systems (LRT, BRT, MRT) developed"/>
    <s v="Railway ridership per annum"/>
    <s v="4800000 Pax"/>
    <n v="600000"/>
    <n v="672000"/>
    <n v="864000"/>
    <n v="1056000"/>
    <n v="1248000"/>
    <s v="URC"/>
    <e v="#N/A"/>
    <m/>
    <m/>
    <m/>
    <m/>
    <m/>
    <m/>
    <m/>
    <n v="0"/>
    <n v="0"/>
    <n v="0"/>
    <m/>
    <n v="0"/>
    <n v="0"/>
    <n v="0"/>
    <n v="0"/>
    <n v="0"/>
    <n v="0"/>
    <n v="0"/>
    <s v="MoWT (URC)"/>
    <s v="016 Ministry of Works and Transport"/>
    <s v="URC"/>
  </r>
  <r>
    <x v="3"/>
    <x v="3"/>
    <s v="093"/>
    <s v="Transport Infrastructure and Services Development"/>
    <s v="0931"/>
    <s v="Optimize transport infrastructure and services investment across all modes "/>
    <s v="093104"/>
    <s v="Implement an inclusive mass rapid transport system ((LRT), BRT and cable cars)"/>
    <m/>
    <m/>
    <s v="09310401"/>
    <s v="Mass rapid Transport Systems (LRT, BRT, MRT) developed"/>
    <s v="No. of passengers moved by high capacity vehicles('000')"/>
    <m/>
    <n v="2000"/>
    <n v="2500"/>
    <n v="3000"/>
    <n v="3500"/>
    <n v="4000"/>
    <s v="KCCA &amp; MoWT"/>
    <e v="#N/A"/>
    <m/>
    <m/>
    <m/>
    <m/>
    <m/>
    <m/>
    <m/>
    <n v="0"/>
    <n v="0"/>
    <n v="0"/>
    <m/>
    <n v="0"/>
    <n v="0"/>
    <n v="0"/>
    <n v="0"/>
    <n v="0"/>
    <n v="0"/>
    <n v="0"/>
    <s v="M0WT"/>
    <s v="016 Ministry of Works and Transport"/>
    <s v="MKCC&amp;MA, KCCA"/>
  </r>
  <r>
    <x v="3"/>
    <x v="3"/>
    <s v="093"/>
    <s v="Transport Infrastructure and Services Development"/>
    <s v="0931"/>
    <s v="Optimize transport infrastructure and services investment across all modes "/>
    <s v="093105"/>
    <s v="Provide Non-Motorized Transport infrastructure within urban areas"/>
    <m/>
    <m/>
    <s v="09310501"/>
    <s v="Non-Motorized transport infrastructure provided."/>
    <s v="Km of NMT facilities constructed/ upgraded"/>
    <s v="-"/>
    <n v="2"/>
    <n v="3"/>
    <n v="3"/>
    <n v="3"/>
    <n v="3"/>
    <s v="KCCA"/>
    <s v="122 Kampala Capital City Authority"/>
    <s v="Construction of NMT facilities"/>
    <n v="1"/>
    <n v="0"/>
    <n v="0"/>
    <n v="1"/>
    <n v="1"/>
    <n v="1"/>
    <n v="1"/>
    <n v="1"/>
    <n v="0.75"/>
    <m/>
    <n v="0"/>
    <n v="6"/>
    <n v="9"/>
    <n v="9"/>
    <n v="5"/>
    <n v="9"/>
    <n v="14"/>
    <s v="KCCA"/>
    <s v="122 Kampala Capital City Authority"/>
    <s v="MoKCC&amp;MA"/>
  </r>
  <r>
    <x v="3"/>
    <x v="3"/>
    <s v="093"/>
    <s v="Transport Infrastructure and Services Development"/>
    <s v="0931"/>
    <s v="Optimize transport infrastructure and services investment across all modes "/>
    <s v="093105"/>
    <s v="Provide Non-Motorized Transport infrastructure within urban areas"/>
    <m/>
    <m/>
    <s v="09310501"/>
    <s v="Non-Motorized transport infrastructure provided."/>
    <s v="Km of Walk ways on National roads constructed "/>
    <n v="50"/>
    <n v="10"/>
    <n v="10"/>
    <n v="10"/>
    <n v="10"/>
    <n v="10"/>
    <s v="UNRA "/>
    <e v="#N/A"/>
    <s v="Construction of walkways alongurban roads (Cost part of the road upgrading costs)"/>
    <n v="1"/>
    <n v="0"/>
    <n v="0"/>
    <n v="1"/>
    <n v="1"/>
    <n v="1"/>
    <n v="1"/>
    <n v="1"/>
    <n v="0.75"/>
    <m/>
    <n v="0"/>
    <s v="-"/>
    <s v="-"/>
    <s v="-"/>
    <s v="-"/>
    <s v="-"/>
    <n v="0"/>
    <s v="UNRA"/>
    <s v="113 Uganda National Roads Authority"/>
    <s v="N/A"/>
  </r>
  <r>
    <x v="3"/>
    <x v="3"/>
    <s v="093"/>
    <s v="Transport Infrastructure and Services Development"/>
    <s v="0931"/>
    <s v="Optimize transport infrastructure and services investment across all modes "/>
    <s v="093105"/>
    <s v="Provide Non-Motorized Transport infrastructure within urban areas"/>
    <m/>
    <m/>
    <s v="09310501"/>
    <s v="Non-Motorized transport infrastructure provided."/>
    <s v="Km of Walk ways on Urban roads constructed "/>
    <m/>
    <n v="50"/>
    <n v="50"/>
    <n v="50"/>
    <n v="50"/>
    <n v="50"/>
    <s v="LGs &amp; URF"/>
    <e v="#N/A"/>
    <s v="Construction of walkways along national roads (Cost part of the road upgrading costs)"/>
    <n v="1"/>
    <n v="0"/>
    <n v="0"/>
    <n v="1"/>
    <n v="1"/>
    <n v="1"/>
    <n v="1"/>
    <n v="1"/>
    <n v="0.75"/>
    <m/>
    <n v="0"/>
    <s v="-"/>
    <s v="-"/>
    <s v="-"/>
    <s v="-"/>
    <s v="-"/>
    <n v="0"/>
    <s v="LGs &amp; URF"/>
    <s v="Uganda Road Fund"/>
    <s v="LGs"/>
  </r>
  <r>
    <x v="3"/>
    <x v="3"/>
    <s v="093"/>
    <s v="Transport Infrastructure and Services Development"/>
    <s v="0931"/>
    <s v="Optimize transport infrastructure and services investment across all modes "/>
    <s v="093106"/>
    <s v="Rationalize development partner and government financing conditions"/>
    <m/>
    <m/>
    <s v="09310601"/>
    <s v="Infrastructure prioritization criteria developed"/>
    <s v="Infrastructure prioritization criteria in place"/>
    <n v="0"/>
    <n v="0"/>
    <n v="1"/>
    <n v="0"/>
    <n v="0"/>
    <n v="0"/>
    <s v="MoWT"/>
    <s v="016 Ministry of Works and Transport"/>
    <s v="Development of infrastructure prioritization criteria"/>
    <n v="0"/>
    <n v="0"/>
    <n v="0"/>
    <n v="0"/>
    <n v="0"/>
    <n v="0"/>
    <n v="0"/>
    <n v="0"/>
    <n v="0"/>
    <m/>
    <n v="0"/>
    <n v="0"/>
    <n v="0"/>
    <n v="0"/>
    <n v="0"/>
    <n v="0"/>
    <n v="0"/>
    <s v="MoWT"/>
    <s v="016 Ministry of Works and Transport"/>
    <s v="N/A"/>
  </r>
  <r>
    <x v="3"/>
    <x v="3"/>
    <s v="094"/>
    <s v="Transport Asset Management"/>
    <s v="0942"/>
    <s v="Prioritize transport asset management"/>
    <s v="094201"/>
    <s v="Rehabilitate and maintain transport infrastructure"/>
    <m/>
    <m/>
    <s v="09420101"/>
    <s v="Transport infrastructure rehabilitated and maintained."/>
    <s v="Km of National Roads Network maintained Periodic Paved "/>
    <n v="11"/>
    <n v="60"/>
    <n v="60"/>
    <n v="200"/>
    <n v="200"/>
    <n v="200"/>
    <s v="UNRA"/>
    <s v="113 Uganda National Roads Authority"/>
    <s v="Periodic maintenance of paved national roads"/>
    <n v="1"/>
    <n v="1"/>
    <n v="0"/>
    <n v="1"/>
    <n v="1"/>
    <n v="1"/>
    <n v="0"/>
    <n v="1"/>
    <n v="0.75"/>
    <m/>
    <n v="0"/>
    <n v="44"/>
    <n v="44"/>
    <n v="100"/>
    <n v="100"/>
    <n v="100"/>
    <n v="200"/>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Km of National Roads Network maintained Periodic un Paved"/>
    <n v="588"/>
    <n v="650"/>
    <n v="650"/>
    <n v="300"/>
    <n v="300"/>
    <n v="300"/>
    <s v="UNRA "/>
    <e v="#N/A"/>
    <s v="Periodic maintenance of unpaved national roads"/>
    <n v="1"/>
    <n v="1"/>
    <n v="0"/>
    <n v="1"/>
    <n v="1"/>
    <n v="1"/>
    <n v="1"/>
    <n v="1"/>
    <n v="0.875"/>
    <m/>
    <n v="0"/>
    <n v="48.75"/>
    <n v="48.75"/>
    <n v="22.5"/>
    <n v="22.5"/>
    <n v="22.5"/>
    <n v="45"/>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Km of National Roads Network maintained Routine Manual "/>
    <n v="16783"/>
    <n v="19750"/>
    <n v="19750"/>
    <n v="19750"/>
    <n v="19750"/>
    <n v="19750"/>
    <s v="UNRA "/>
    <e v="#N/A"/>
    <s v="Manual routine maintenance of national roads"/>
    <n v="1"/>
    <n v="1"/>
    <n v="1"/>
    <n v="1"/>
    <n v="1"/>
    <n v="1"/>
    <n v="1"/>
    <n v="1"/>
    <n v="1"/>
    <m/>
    <n v="0"/>
    <n v="28.44"/>
    <n v="28.44"/>
    <n v="28.44"/>
    <n v="28.44"/>
    <n v="28.44"/>
    <n v="56.88"/>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Km of National Roads Network maintained Routine Mechanized Paved"/>
    <m/>
    <n v="117"/>
    <n v="650"/>
    <n v="1000"/>
    <n v="1000"/>
    <n v="1000"/>
    <s v="UNRA"/>
    <s v="113 Uganda National Roads Authority"/>
    <s v="Routine mechanized maintenance of paved national roads"/>
    <n v="1"/>
    <n v="1"/>
    <n v="1"/>
    <n v="1"/>
    <n v="1"/>
    <n v="1"/>
    <n v="1"/>
    <n v="1"/>
    <n v="1"/>
    <m/>
    <n v="0"/>
    <n v="8.7799999999999994"/>
    <n v="48.75"/>
    <n v="75"/>
    <n v="75"/>
    <n v="75"/>
    <n v="150"/>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No. of kms of National Roads Network maintained Routine Mechanized un Paved"/>
    <m/>
    <n v="10000"/>
    <n v="10000"/>
    <n v="10000"/>
    <n v="10000"/>
    <n v="10000"/>
    <s v="UNRA "/>
    <e v="#N/A"/>
    <s v="Routine mechanized maintenance of unpaved national roads"/>
    <n v="1"/>
    <n v="1"/>
    <n v="1"/>
    <n v="1"/>
    <n v="1"/>
    <n v="1"/>
    <n v="1"/>
    <n v="1"/>
    <n v="1"/>
    <m/>
    <n v="0"/>
    <n v="150"/>
    <n v="150.5"/>
    <n v="150.5"/>
    <n v="151"/>
    <n v="151"/>
    <n v="302"/>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Km of DUCAR Network maintained Periodically "/>
    <n v="5389"/>
    <n v="3929"/>
    <n v="4950"/>
    <n v="4442"/>
    <n v="6290"/>
    <n v="7630"/>
    <s v="LGs/ URF "/>
    <e v="#N/A"/>
    <s v="Periodic maintenance of DUCAR network"/>
    <n v="1"/>
    <n v="1"/>
    <n v="1"/>
    <n v="1"/>
    <n v="1"/>
    <n v="1"/>
    <n v="1"/>
    <n v="1"/>
    <n v="1"/>
    <m/>
    <n v="0"/>
    <n v="116.3"/>
    <n v="116.3"/>
    <n v="116.3"/>
    <n v="170.82"/>
    <n v="245.84"/>
    <n v="416.65999999999997"/>
    <s v="LGs"/>
    <s v="500 501-850 Local Governments"/>
    <s v="N/A"/>
  </r>
  <r>
    <x v="3"/>
    <x v="3"/>
    <s v="094"/>
    <s v="Transport Asset Management"/>
    <s v="0942"/>
    <s v="Prioritize transport asset management"/>
    <s v="094201"/>
    <s v="Rehabilitate and maintain transport infrastructure"/>
    <m/>
    <m/>
    <s v="09420101"/>
    <s v="Transport infrastructure rehabilitated and maintained."/>
    <s v="Km of DUCAR Network maintained Routine Manual "/>
    <n v="27682"/>
    <n v="52134"/>
    <n v="52634"/>
    <n v="52634"/>
    <n v="52634"/>
    <n v="52634"/>
    <s v="LGs/ URF "/>
    <e v="#N/A"/>
    <s v="Routine manual maintenance of DUCAR network"/>
    <n v="1"/>
    <n v="1"/>
    <n v="1"/>
    <n v="1"/>
    <n v="1"/>
    <n v="1"/>
    <n v="1"/>
    <n v="1"/>
    <n v="1"/>
    <m/>
    <n v="0"/>
    <n v="80.290000000000006"/>
    <n v="81.06"/>
    <n v="81.06"/>
    <n v="81.83"/>
    <n v="84.44"/>
    <n v="166.26999999999998"/>
    <s v="LGs"/>
    <s v="500 501-850 Local Governments"/>
    <s v="N/A"/>
  </r>
  <r>
    <x v="3"/>
    <x v="3"/>
    <s v="094"/>
    <s v="Transport Asset Management"/>
    <s v="0942"/>
    <s v="Prioritize transport asset management"/>
    <s v="094201"/>
    <s v="Rehabilitate and maintain transport infrastructure"/>
    <m/>
    <m/>
    <s v="09420101"/>
    <s v="Transport infrastructure rehabilitated and maintained."/>
    <s v="Km of DUCAR Network maintained Routine Mechanized"/>
    <n v="15224"/>
    <n v="31390"/>
    <n v="33390"/>
    <n v="33700"/>
    <n v="33700"/>
    <n v="33700"/>
    <s v="LGs/ URF"/>
    <e v="#N/A"/>
    <s v="Routine mechanized maintenance of DUCAR network"/>
    <n v="1"/>
    <n v="1"/>
    <n v="1"/>
    <n v="1"/>
    <n v="1"/>
    <n v="1"/>
    <n v="1"/>
    <n v="1"/>
    <n v="1"/>
    <m/>
    <n v="0"/>
    <n v="321.3"/>
    <n v="221.3"/>
    <n v="221.3"/>
    <n v="221.3"/>
    <n v="237"/>
    <n v="458.3"/>
    <s v="LGs"/>
    <s v="500 501-850 Local Governments"/>
    <s v="N/A"/>
  </r>
  <r>
    <x v="3"/>
    <x v="3"/>
    <s v="094"/>
    <s v="Transport Asset Management"/>
    <s v="0942"/>
    <s v="Prioritize transport asset management"/>
    <s v="094201"/>
    <s v="Rehabilitate and maintain transport infrastructure"/>
    <m/>
    <m/>
    <s v="09420101"/>
    <s v="Transport infrastructure rehabilitated and maintained."/>
    <s v="Km of District gravel roads rehabilitated"/>
    <s v="-"/>
    <n v="500"/>
    <n v="500"/>
    <n v="500"/>
    <n v="500"/>
    <n v="500"/>
    <s v="MoWT"/>
    <s v="016 Ministry of Works and Transport"/>
    <s v="Rehabilitation of district unsealed roads"/>
    <n v="1"/>
    <n v="1"/>
    <n v="1"/>
    <n v="1"/>
    <n v="1"/>
    <n v="1"/>
    <n v="1"/>
    <n v="1"/>
    <n v="1"/>
    <m/>
    <n v="0"/>
    <n v="15.5"/>
    <n v="15.5"/>
    <n v="15.5"/>
    <n v="15.5"/>
    <n v="15.5"/>
    <n v="31"/>
    <s v="MoWT"/>
    <s v="016 Ministry of Works and Transport"/>
    <s v="LGs"/>
  </r>
  <r>
    <x v="3"/>
    <x v="3"/>
    <s v="094"/>
    <s v="Transport Asset Management"/>
    <s v="0942"/>
    <s v="Prioritize transport asset management"/>
    <s v="094201"/>
    <s v="Rehabilitate and maintain transport infrastructure"/>
    <m/>
    <m/>
    <s v="09420101"/>
    <s v="Transport infrastructure rehabilitated and maintained."/>
    <s v="Km of District low cost selead roads rehabilitated"/>
    <s v="-"/>
    <n v="0"/>
    <n v="10"/>
    <n v="10"/>
    <n v="10"/>
    <n v="10"/>
    <s v="MoWT"/>
    <s v="016 Ministry of Works and Transport"/>
    <s v="Rehabilitation of district sealed roads"/>
    <n v="1"/>
    <n v="1"/>
    <n v="1"/>
    <n v="1"/>
    <n v="1"/>
    <n v="1"/>
    <n v="1"/>
    <n v="1"/>
    <n v="1"/>
    <m/>
    <n v="0"/>
    <n v="0"/>
    <n v="4"/>
    <n v="4"/>
    <n v="4"/>
    <n v="4"/>
    <n v="8"/>
    <s v="MoWT"/>
    <s v="016 Ministry of Works and Transport"/>
    <s v="LGs"/>
  </r>
  <r>
    <x v="3"/>
    <x v="3"/>
    <s v="094"/>
    <s v="Transport Asset Management"/>
    <s v="0942"/>
    <s v="Prioritize transport asset management"/>
    <s v="094201"/>
    <s v="Rehabilitate and maintain transport infrastructure"/>
    <m/>
    <m/>
    <s v="09420101"/>
    <s v="Transport infrastructure rehabilitated and maintained."/>
    <s v="Km of Urban roads   sealed"/>
    <s v="-"/>
    <n v="10"/>
    <n v="10"/>
    <n v="65"/>
    <n v="65"/>
    <n v="65"/>
    <s v="MoWT"/>
    <s v="016 Ministry of Works and Transport"/>
    <s v=" Sealing of urban roads"/>
    <n v="1"/>
    <n v="1"/>
    <n v="1"/>
    <n v="1"/>
    <n v="1"/>
    <n v="1"/>
    <n v="1"/>
    <n v="1"/>
    <n v="1"/>
    <m/>
    <n v="0"/>
    <n v="14"/>
    <n v="14"/>
    <n v="50"/>
    <n v="50"/>
    <n v="50"/>
    <n v="100"/>
    <s v="MoWT"/>
    <s v="016 Ministry of Works and Transport"/>
    <s v="MoKCC&amp;MA"/>
  </r>
  <r>
    <x v="3"/>
    <x v="3"/>
    <s v="094"/>
    <s v="Transport Asset Management"/>
    <s v="0942"/>
    <s v="Prioritize transport asset management"/>
    <s v="094201"/>
    <s v="Rehabilitate and maintain transport infrastructure"/>
    <m/>
    <m/>
    <s v="09420101"/>
    <s v="Transport infrastructure rehabilitated and maintained."/>
    <s v="km of Community Access Roads Rehabilitated"/>
    <s v="-"/>
    <n v="800"/>
    <n v="800"/>
    <n v="800"/>
    <n v="800"/>
    <n v="800"/>
    <s v="MoWT"/>
    <s v="016 Ministry of Works and Transport"/>
    <s v="Rehabilitation of community access roads"/>
    <n v="1"/>
    <n v="1"/>
    <n v="1"/>
    <n v="1"/>
    <n v="1"/>
    <n v="1"/>
    <n v="1"/>
    <n v="1"/>
    <n v="1"/>
    <m/>
    <n v="0"/>
    <n v="53.6"/>
    <n v="53.06"/>
    <n v="63.06"/>
    <n v="43.06"/>
    <n v="63.06"/>
    <n v="106.12"/>
    <s v="MoWT"/>
    <s v="016 Ministry of Works and Transport"/>
    <s v="MoKCC&amp;MA, LGs"/>
  </r>
  <r>
    <x v="3"/>
    <x v="3"/>
    <s v="094"/>
    <s v="Transport Asset Management"/>
    <s v="0942"/>
    <s v="Prioritize transport asset management"/>
    <s v="094201"/>
    <s v="Rehabilitate and maintain transport infrastructure"/>
    <m/>
    <m/>
    <s v="09420101"/>
    <s v="Transport infrastructure rehabilitated and maintained."/>
    <s v="No of Bridges constructed on the DUCAR network Bridges on DUCAR network"/>
    <n v="950"/>
    <n v="8"/>
    <n v="8"/>
    <n v="8"/>
    <n v="8"/>
    <n v="8"/>
    <s v="MoWT"/>
    <s v="016 Ministry of Works and Transport"/>
    <s v="Construction of bridges on DUCAR network"/>
    <n v="1"/>
    <n v="1"/>
    <n v="1"/>
    <n v="1"/>
    <n v="1"/>
    <n v="1"/>
    <n v="1"/>
    <n v="1"/>
    <n v="1"/>
    <m/>
    <n v="0"/>
    <n v="48"/>
    <n v="48"/>
    <n v="56"/>
    <n v="50"/>
    <n v="65"/>
    <n v="115"/>
    <s v="MoWT"/>
    <s v="016 Ministry of Works and Transport"/>
    <s v="LGs"/>
  </r>
  <r>
    <x v="3"/>
    <x v="3"/>
    <s v="094"/>
    <s v="Transport Asset Management"/>
    <s v="0942"/>
    <s v="Prioritize transport asset management"/>
    <s v="094201"/>
    <s v="Rehabilitate and maintain transport infrastructure"/>
    <m/>
    <m/>
    <s v="09420101"/>
    <s v="Transport infrastructure rehabilitated and maintained."/>
    <s v="No of Bridges constructed on the DUCAR network Cable foot bridges"/>
    <s v="-"/>
    <n v="4"/>
    <n v="6"/>
    <n v="8"/>
    <n v="8"/>
    <n v="8"/>
    <s v="MoWT"/>
    <s v="016 Ministry of Works and Transport"/>
    <s v="Construction of cable foot bridges "/>
    <n v="1"/>
    <n v="1"/>
    <n v="1"/>
    <n v="1"/>
    <n v="1"/>
    <n v="1"/>
    <n v="1"/>
    <n v="1"/>
    <n v="1"/>
    <m/>
    <n v="0"/>
    <n v="2"/>
    <n v="3"/>
    <n v="4"/>
    <n v="4"/>
    <n v="4"/>
    <n v="8"/>
    <s v="MoWT"/>
    <s v="016 Ministry of Works and Transport"/>
    <s v="N/A"/>
  </r>
  <r>
    <x v="3"/>
    <x v="3"/>
    <s v="094"/>
    <s v="Transport Asset Management"/>
    <s v="0942"/>
    <s v="Prioritize transport asset management"/>
    <s v="094201"/>
    <s v="Rehabilitate and maintain transport infrastructure"/>
    <m/>
    <m/>
    <s v="09420101"/>
    <s v="Transport infrastructure rehabilitated and maintained."/>
    <s v="No of bridges constructed on National network"/>
    <s v="-"/>
    <n v="10"/>
    <n v="10"/>
    <n v="13"/>
    <n v="3"/>
    <n v="3"/>
    <s v="UNRA"/>
    <s v="113 Uganda National Roads Authority"/>
    <s v="Construction of bridges on national road network"/>
    <n v="1"/>
    <n v="1"/>
    <n v="0"/>
    <n v="1"/>
    <n v="1"/>
    <n v="1"/>
    <n v="0"/>
    <n v="1"/>
    <n v="0.75"/>
    <m/>
    <n v="0"/>
    <n v="157"/>
    <n v="149.80000000000001"/>
    <n v="150"/>
    <n v="150"/>
    <n v="50"/>
    <n v="200"/>
    <s v="UNRA"/>
    <s v="113 Uganda National Roads Authority"/>
    <s v="N/A"/>
  </r>
  <r>
    <x v="3"/>
    <x v="3"/>
    <s v="094"/>
    <s v="Transport Asset Management"/>
    <s v="0942"/>
    <s v="Prioritize transport asset management"/>
    <s v="094201"/>
    <s v="Rehabilitate and maintain transport infrastructure"/>
    <m/>
    <m/>
    <s v="09420101"/>
    <s v="Transport infrastructure rehabilitated and maintained."/>
    <s v="Number of Ports (Port-bell and Jinja) rehabilitated"/>
    <m/>
    <m/>
    <n v="2"/>
    <s v="-"/>
    <n v="0"/>
    <s v="-"/>
    <s v="MoWT"/>
    <s v="016 Ministry of Works and Transport"/>
    <s v="Rehabilitation of existing Ports. (Port bell and Jinja)"/>
    <n v="1"/>
    <n v="1"/>
    <n v="1"/>
    <n v="1"/>
    <n v="0"/>
    <n v="1"/>
    <n v="0"/>
    <n v="1"/>
    <n v="0.75"/>
    <m/>
    <n v="0"/>
    <s v="                   - "/>
    <n v="5"/>
    <n v="60"/>
    <n v="40"/>
    <n v="40"/>
    <n v="80"/>
    <s v="MoWT"/>
    <s v="016 Ministry of Works and Transport"/>
    <s v="N/A"/>
  </r>
  <r>
    <x v="3"/>
    <x v="3"/>
    <s v="094"/>
    <s v="Transport Asset Management"/>
    <s v="0942"/>
    <s v="Prioritize transport asset management"/>
    <s v="094201"/>
    <s v="Rehabilitate and maintain transport infrastructure"/>
    <m/>
    <m/>
    <s v="09420101"/>
    <s v="Transport infrastructure rehabilitated and maintained."/>
    <s v="No. of Km of Railway Network maintained"/>
    <m/>
    <m/>
    <n v="265"/>
    <n v="265"/>
    <n v="265"/>
    <n v="1100"/>
    <s v="URC"/>
    <e v="#N/A"/>
    <s v="Maintenance of railway network"/>
    <n v="1"/>
    <n v="1"/>
    <n v="1"/>
    <n v="1"/>
    <n v="1"/>
    <n v="1"/>
    <n v="0"/>
    <n v="1"/>
    <n v="0.875"/>
    <m/>
    <n v="0"/>
    <n v="30"/>
    <n v="15"/>
    <n v="20"/>
    <n v="30"/>
    <n v="65"/>
    <n v="95"/>
    <s v="MoWT (URC)"/>
    <s v="016 Ministry of Works and Transport"/>
    <s v="MoWT"/>
  </r>
  <r>
    <x v="3"/>
    <x v="3"/>
    <s v="094"/>
    <s v="Transport Asset Management"/>
    <s v="0942"/>
    <s v="Prioritize transport asset management"/>
    <s v="094201"/>
    <s v="Rehabilitate and maintain transport infrastructure"/>
    <m/>
    <m/>
    <s v="09420101"/>
    <s v="Transport infrastructure rehabilitated and maintained."/>
    <s v="Km of KCCA roads rehabilitated"/>
    <m/>
    <m/>
    <n v="6"/>
    <n v="6"/>
    <n v="6"/>
    <n v="6"/>
    <s v="KCCA"/>
    <s v="122 Kampala Capital City Authority"/>
    <s v="Rehabilitate KCCA roads"/>
    <n v="1"/>
    <n v="1"/>
    <n v="1"/>
    <n v="1"/>
    <n v="1"/>
    <n v="1"/>
    <n v="1"/>
    <n v="1"/>
    <n v="1"/>
    <m/>
    <n v="0"/>
    <n v="0"/>
    <n v="35"/>
    <n v="0"/>
    <n v="0"/>
    <n v="0"/>
    <n v="0"/>
    <s v="KCCA"/>
    <s v="122 Kampala Capital City Authority"/>
    <s v="MKCC&amp;MA"/>
  </r>
  <r>
    <x v="3"/>
    <x v="3"/>
    <s v="094"/>
    <s v="Transport Asset Management"/>
    <s v="0942"/>
    <s v="Prioritize transport asset management"/>
    <s v="094201"/>
    <s v="Rehabilitate and maintain transport infrastructure"/>
    <m/>
    <m/>
    <s v="09420101"/>
    <s v="Transport infrastructure rehabilitated and maintained."/>
    <s v="No. of Km of Railway Network rehabilitated"/>
    <n v="0"/>
    <n v="125"/>
    <n v="147"/>
    <n v="200"/>
    <n v="75"/>
    <n v="78"/>
    <s v="URC"/>
    <e v="#N/A"/>
    <m/>
    <m/>
    <m/>
    <m/>
    <m/>
    <m/>
    <m/>
    <n v="0"/>
    <n v="0"/>
    <n v="0"/>
    <m/>
    <n v="0"/>
    <n v="0"/>
    <s v="-"/>
    <n v="0"/>
    <n v="0"/>
    <n v="0"/>
    <n v="0"/>
    <s v="MoWT (URC)"/>
    <s v="016 Ministry of Works and Transport"/>
    <s v="URC"/>
  </r>
  <r>
    <x v="3"/>
    <x v="3"/>
    <s v="094"/>
    <s v="Transport Asset Management"/>
    <s v="0942"/>
    <s v="Prioritize transport asset management"/>
    <s v="094202"/>
    <s v="Implement a transport infrastructure planning and Public Investment Management system"/>
    <m/>
    <m/>
    <s v="09420201"/>
    <s v="PIMS system prepared "/>
    <s v="% of implementation of the PIMs system"/>
    <m/>
    <s v="-"/>
    <s v="-"/>
    <n v="50"/>
    <n v="50"/>
    <s v="-"/>
    <s v="MoWT"/>
    <s v="016 Ministry of Works and Transport"/>
    <s v="Establish  and Implement the PIMs system "/>
    <n v="1"/>
    <n v="1"/>
    <n v="0"/>
    <n v="1"/>
    <n v="1"/>
    <n v="1"/>
    <n v="0"/>
    <n v="1"/>
    <n v="0.75"/>
    <m/>
    <n v="0"/>
    <s v="                   - "/>
    <s v="                   - "/>
    <n v="1.5"/>
    <n v="1.5"/>
    <s v="                            - "/>
    <n v="1.5"/>
    <s v="MoWT"/>
    <s v="016 Ministry of Works and Transport"/>
    <s v="N/A"/>
  </r>
  <r>
    <x v="3"/>
    <x v="3"/>
    <s v="094"/>
    <s v="Transport Asset Management"/>
    <s v="0942"/>
    <s v="Prioritize transport asset management"/>
    <s v="094203"/>
    <s v="Enforce loading limits "/>
    <m/>
    <m/>
    <s v="09420301"/>
    <s v="Reduction in overloading "/>
    <s v="Percentage of vehicles complying to axle load control requirement"/>
    <n v="96.2"/>
    <n v="97.5"/>
    <n v="98.25"/>
    <n v="98"/>
    <n v="99"/>
    <n v="99"/>
    <s v="UNRA "/>
    <e v="#N/A"/>
    <s v="Weighing of vehicles (does not require funding)"/>
    <n v="1"/>
    <n v="0"/>
    <n v="0"/>
    <n v="1"/>
    <n v="1"/>
    <n v="0"/>
    <n v="0"/>
    <n v="1"/>
    <n v="0.5"/>
    <m/>
    <n v="0"/>
    <n v="0"/>
    <n v="0"/>
    <n v="0"/>
    <n v="0"/>
    <n v="0"/>
    <n v="0"/>
    <s v="UNRA"/>
    <s v="113 Uganda National Roads Authority"/>
    <s v="N/A"/>
  </r>
  <r>
    <x v="3"/>
    <x v="3"/>
    <s v="094"/>
    <s v="Transport Asset Management"/>
    <s v="0942"/>
    <s v="Prioritize transport asset management"/>
    <s v="094204"/>
    <s v="Adopt cost-efficient technologies to reduce maintenance backlog"/>
    <m/>
    <m/>
    <s v="09420401"/>
    <s v="Reduced maintenance backlog."/>
    <s v="No. of Kms re-sealed on the urban roads network"/>
    <s v="-"/>
    <n v="20"/>
    <n v="20"/>
    <n v="20"/>
    <n v="20"/>
    <n v="20"/>
    <s v="URF"/>
    <s v="118 Uganda Road Fund"/>
    <s v="Reducing maintenance backlog (resealing 1km of TC network (20 TCs are selected each FY)"/>
    <n v="1"/>
    <n v="1"/>
    <n v="1"/>
    <n v="1"/>
    <n v="1"/>
    <n v="1"/>
    <n v="1"/>
    <n v="1"/>
    <n v="1"/>
    <m/>
    <n v="0"/>
    <n v="1.6"/>
    <n v="1.68"/>
    <n v="1.78"/>
    <n v="1.85"/>
    <n v="1.94"/>
    <n v="3.79"/>
    <s v="URF"/>
    <s v="118 Uganda Road Fund"/>
    <s v="LGs"/>
  </r>
  <r>
    <x v="3"/>
    <x v="3"/>
    <s v="094"/>
    <s v="Transport Asset Management"/>
    <s v="0942"/>
    <s v="Prioritize transport asset management"/>
    <s v="094204"/>
    <s v="Adopt cost-efficient technologies to reduce maintenance backlog"/>
    <m/>
    <m/>
    <s v="09420401"/>
    <s v="Reduced maintenance backlog."/>
    <s v="No. of Kms re-graveled on the DUCAR network"/>
    <s v="-"/>
    <s v="-"/>
    <n v="200"/>
    <n v="200"/>
    <n v="200"/>
    <n v="200"/>
    <s v="URF"/>
    <s v="118 Uganda Road Fund"/>
    <s v="Reduce maintenance backlog on DUCAR (gravelling)"/>
    <n v="1"/>
    <n v="1"/>
    <n v="1"/>
    <n v="1"/>
    <n v="1"/>
    <n v="1"/>
    <n v="1"/>
    <n v="1"/>
    <n v="1"/>
    <m/>
    <n v="0"/>
    <s v="                   - "/>
    <n v="6"/>
    <n v="6.3"/>
    <n v="6.62"/>
    <n v="6.95"/>
    <n v="13.57"/>
    <s v="URF"/>
    <s v="118 Uganda Road Fund"/>
    <s v="LGs"/>
  </r>
  <r>
    <x v="3"/>
    <x v="3"/>
    <s v="094"/>
    <s v="Transport Asset Management"/>
    <s v="0942"/>
    <s v="Prioritize transport asset management"/>
    <s v="094204"/>
    <s v="Adopt cost-efficient technologies to reduce maintenance backlog"/>
    <m/>
    <m/>
    <s v="09420401"/>
    <s v="Reduced maintenance backlog."/>
    <s v="No. of Kms paved on the urban roads network in the new cities"/>
    <s v="-"/>
    <s v="-"/>
    <n v="10"/>
    <n v="10"/>
    <n v="10"/>
    <n v="10"/>
    <s v="URF"/>
    <s v="118 Uganda Road Fund"/>
    <s v="Reduce maintenance backlog (upgrading  new cities network to paved)"/>
    <n v="1"/>
    <n v="1"/>
    <n v="1"/>
    <n v="1"/>
    <n v="1"/>
    <n v="1"/>
    <n v="1"/>
    <n v="1"/>
    <n v="1"/>
    <m/>
    <n v="0"/>
    <s v="                   - "/>
    <n v="10"/>
    <n v="10.5"/>
    <n v="11.02"/>
    <n v="11.58"/>
    <n v="22.6"/>
    <s v="URF"/>
    <s v="118 Uganda Road Fund"/>
    <s v="LGs"/>
  </r>
  <r>
    <x v="3"/>
    <x v="3"/>
    <s v="094"/>
    <s v="Transport Asset Management"/>
    <s v="0942"/>
    <s v="Prioritize transport asset management"/>
    <s v="094205"/>
    <s v="Develop local construction hire pools"/>
    <m/>
    <m/>
    <s v="09420501"/>
    <s v="Develop local construction Equipment  hire pools"/>
    <s v="No of construction hire pools guidelines developed"/>
    <n v="0"/>
    <n v="0"/>
    <n v="1"/>
    <n v="0"/>
    <n v="0"/>
    <n v="0"/>
    <s v="MoWT "/>
    <e v="#N/A"/>
    <s v="Develop construction equipment hire pool guidelines"/>
    <n v="1"/>
    <n v="0"/>
    <n v="0"/>
    <n v="1"/>
    <n v="1"/>
    <n v="0"/>
    <n v="0"/>
    <n v="1"/>
    <n v="0.5"/>
    <m/>
    <n v="0"/>
    <n v="0"/>
    <n v="0"/>
    <n v="0"/>
    <n v="0"/>
    <n v="0"/>
    <n v="0"/>
    <s v="MoWT"/>
    <s v="016 Ministry of Works and Transport"/>
    <s v="N/A"/>
  </r>
  <r>
    <x v="3"/>
    <x v="3"/>
    <s v="094"/>
    <s v="Transport Asset Management"/>
    <s v="0942"/>
    <s v="Prioritize transport asset management"/>
    <s v="094205"/>
    <s v="Develop local construction hire pools"/>
    <m/>
    <m/>
    <s v="09420501"/>
    <s v="Develop local construction Equipment  hire pools"/>
    <s v="No of construction hire pools developed"/>
    <n v="0"/>
    <n v="0"/>
    <n v="0"/>
    <n v="2"/>
    <n v="3"/>
    <n v="3"/>
    <s v="MoWT "/>
    <e v="#N/A"/>
    <s v="Establish construction equipment hire pools"/>
    <n v="1"/>
    <n v="1"/>
    <n v="0"/>
    <n v="0"/>
    <n v="0"/>
    <n v="1"/>
    <n v="1"/>
    <n v="1"/>
    <n v="0.625"/>
    <m/>
    <n v="0"/>
    <n v="0"/>
    <n v="0"/>
    <n v="0"/>
    <n v="0"/>
    <n v="200"/>
    <n v="200"/>
    <s v="MoWT"/>
    <s v="016 Ministry of Works and Transport"/>
    <s v="N/A"/>
  </r>
  <r>
    <x v="3"/>
    <x v="3"/>
    <s v="094"/>
    <s v="Transport Asset Management"/>
    <s v="0942"/>
    <s v="Prioritize transport asset management"/>
    <s v="094206"/>
    <s v="Scale up transport infrastructure and services information management systems"/>
    <s v="094206a"/>
    <s v="Develop an information system on road management"/>
    <s v="094206a01"/>
    <s v="Road management information system developed"/>
    <s v="Road management information system developed"/>
    <n v="0"/>
    <n v="0"/>
    <n v="0"/>
    <n v="1"/>
    <n v="0"/>
    <n v="0"/>
    <s v="MoWT"/>
    <s v="016 Ministry of Works and Transport"/>
    <s v="Develop a road management system "/>
    <n v="1"/>
    <n v="0"/>
    <n v="0"/>
    <n v="1"/>
    <n v="1"/>
    <n v="1"/>
    <n v="0"/>
    <n v="1"/>
    <n v="0.625"/>
    <m/>
    <n v="0"/>
    <n v="0"/>
    <n v="0"/>
    <n v="0"/>
    <n v="0"/>
    <n v="4"/>
    <n v="4"/>
    <s v="MoWT"/>
    <s v="016 Ministry of Works and Transport"/>
    <s v="N/A"/>
  </r>
  <r>
    <x v="3"/>
    <x v="3"/>
    <s v="094"/>
    <s v="Transport Asset Management"/>
    <s v="0942"/>
    <s v="Prioritize transport asset management"/>
    <s v="094206"/>
    <s v="Scale up transport infrastructure and services information management systems"/>
    <s v="094206a"/>
    <s v="Develop an information system on road management"/>
    <s v="094206a01"/>
    <s v="Road management information system developed"/>
    <s v="A Road Crash Data system developed"/>
    <s v="-"/>
    <n v="0.1"/>
    <n v="0.4"/>
    <n v="0.3"/>
    <n v="0.2"/>
    <s v="                            - "/>
    <s v="MoWT"/>
    <s v="016 Ministry of Works and Transport"/>
    <s v="Establish a Road Crash Data system "/>
    <n v="1"/>
    <n v="1"/>
    <n v="1"/>
    <n v="1"/>
    <n v="1"/>
    <n v="1"/>
    <n v="0"/>
    <n v="1"/>
    <n v="0.875"/>
    <m/>
    <n v="0"/>
    <n v="0"/>
    <n v="0"/>
    <n v="0"/>
    <n v="0"/>
    <n v="0"/>
    <n v="0"/>
    <s v="MoWT"/>
    <s v="016 Ministry of Works and Transport"/>
    <s v="N/A"/>
  </r>
  <r>
    <x v="3"/>
    <x v="3"/>
    <s v="094"/>
    <s v="Transport Asset Management"/>
    <s v="0942"/>
    <s v="Prioritize transport asset management"/>
    <s v="094206"/>
    <s v="Scale up transport infrastructure and services information management systems"/>
    <s v="094206a"/>
    <s v="Develop an information system on road management"/>
    <s v="094206a01"/>
    <s v="Road management information system developed"/>
    <s v="No. of reports produced and informed by data from the system"/>
    <n v="0"/>
    <n v="2"/>
    <n v="2"/>
    <n v="2"/>
    <n v="2"/>
    <s v="2[16]"/>
    <s v="MoWT"/>
    <s v="016 Ministry of Works and Transport"/>
    <m/>
    <m/>
    <m/>
    <m/>
    <m/>
    <m/>
    <m/>
    <n v="0"/>
    <n v="0"/>
    <n v="0"/>
    <m/>
    <n v="0"/>
    <n v="0"/>
    <n v="0"/>
    <n v="0"/>
    <s v="-"/>
    <s v="-"/>
    <n v="0"/>
    <s v="MoWT"/>
    <s v="016 Ministry of Works and Transport"/>
    <s v="N/A"/>
  </r>
  <r>
    <x v="3"/>
    <x v="3"/>
    <s v="094"/>
    <s v="Transport Asset Management"/>
    <s v="0942"/>
    <s v="Prioritize transport asset management"/>
    <s v="094206"/>
    <s v="Scale up transport infrastructure and services information management systems"/>
    <s v="094206b"/>
    <s v="Scale up the transport sector data management system"/>
    <s v="094206b01"/>
    <s v="Transport Management Systems Developed  "/>
    <s v="An inland water transport vessels' and seafarers' register/ licensing system"/>
    <n v="0"/>
    <n v="0.3"/>
    <n v="0.35"/>
    <n v="0.35"/>
    <s v="-"/>
    <s v="-"/>
    <s v="MoWT"/>
    <s v="016 Ministry of Works and Transport"/>
    <s v="Develop an inland water transport vessels' and seafarers' register/licensing system"/>
    <n v="1"/>
    <n v="1"/>
    <n v="1"/>
    <n v="1"/>
    <n v="0"/>
    <n v="1"/>
    <n v="0"/>
    <n v="1"/>
    <n v="0.75"/>
    <m/>
    <n v="0"/>
    <n v="0"/>
    <n v="0"/>
    <n v="0"/>
    <n v="1"/>
    <n v="3"/>
    <n v="4"/>
    <s v="MoWT"/>
    <s v="016 Ministry of Works and Transport"/>
    <s v="N/A"/>
  </r>
  <r>
    <x v="3"/>
    <x v="3"/>
    <s v="094"/>
    <s v="Transport Asset Management"/>
    <s v="0942"/>
    <s v="Prioritize transport asset management"/>
    <s v="094206"/>
    <s v="Scale up transport infrastructure and services information management systems"/>
    <s v="094206b"/>
    <s v="Scale up the transport sector data management system"/>
    <s v="094206b01"/>
    <s v="Transport Management Systems Developed  "/>
    <s v="Computerized fleet management system developed"/>
    <m/>
    <s v="-"/>
    <s v="-"/>
    <n v="0.25"/>
    <s v="40%                       -"/>
    <n v="0.35"/>
    <s v="MoWT"/>
    <s v="016 Ministry of Works and Transport"/>
    <s v="Development of computerized fleet management systems"/>
    <n v="1"/>
    <n v="1"/>
    <n v="1"/>
    <n v="1"/>
    <n v="0"/>
    <n v="1"/>
    <n v="0"/>
    <n v="1"/>
    <n v="0.75"/>
    <m/>
    <n v="0"/>
    <n v="0"/>
    <n v="0"/>
    <n v="0"/>
    <n v="2.5"/>
    <n v="3"/>
    <n v="5.5"/>
    <s v="MoWT"/>
    <s v="016 Ministry of Works and Transport"/>
    <s v="N/A"/>
  </r>
  <r>
    <x v="3"/>
    <x v="3"/>
    <s v="094"/>
    <s v="Transport Asset Management"/>
    <s v="0942"/>
    <s v="Prioritize transport asset management"/>
    <s v="094206"/>
    <s v="Scale up transport infrastructure and services information management systems"/>
    <s v="094206c"/>
    <s v="Develop an integrated meter-gauge rail service information system"/>
    <s v="094206c01"/>
    <s v="Transport Management Systems Developed  "/>
    <s v="% of works/ activities for automation of Government Vehicle Registry Database completed"/>
    <s v="-"/>
    <s v="-"/>
    <n v="10"/>
    <n v="30"/>
    <n v="60"/>
    <m/>
    <s v="MoWT"/>
    <s v="016 Ministry of Works and Transport"/>
    <s v="Automation of the Government Vehicle Registry Databases"/>
    <n v="1"/>
    <n v="1"/>
    <n v="0"/>
    <n v="1"/>
    <n v="1"/>
    <n v="1"/>
    <n v="0"/>
    <n v="1"/>
    <n v="0.75"/>
    <m/>
    <n v="0"/>
    <n v="0"/>
    <n v="0"/>
    <n v="0"/>
    <n v="1"/>
    <n v="1"/>
    <n v="2"/>
    <s v="MoWT"/>
    <s v="016 Ministry of Works and Transport"/>
    <s v="N/A"/>
  </r>
  <r>
    <x v="3"/>
    <x v="3"/>
    <s v="094"/>
    <s v="Transport Asset Management"/>
    <s v="0942"/>
    <s v="Prioritize transport asset management"/>
    <s v="094206"/>
    <s v="Scale up transport infrastructure and services information management systems"/>
    <s v="094206c"/>
    <s v="Develop an integrated meter-gauge rail service information system"/>
    <s v="094206c01"/>
    <s v="Transport Management Systems Developed  "/>
    <s v="An integrated meter-gauge rail service information System in place"/>
    <n v="0"/>
    <n v="0"/>
    <n v="1"/>
    <s v="-"/>
    <s v="-"/>
    <s v="-"/>
    <s v="URC, MoWT"/>
    <e v="#N/A"/>
    <s v="Develop an integrated railway service information system"/>
    <n v="1"/>
    <n v="1"/>
    <n v="1"/>
    <n v="1"/>
    <n v="0"/>
    <n v="1"/>
    <n v="0"/>
    <n v="1"/>
    <n v="0.75"/>
    <m/>
    <n v="0"/>
    <s v="-"/>
    <s v="-"/>
    <s v="-"/>
    <n v="2"/>
    <n v="3"/>
    <n v="5"/>
    <s v="MoWT (URC)"/>
    <s v="016 Ministry of Works and Transport"/>
    <s v="URC"/>
  </r>
  <r>
    <x v="3"/>
    <x v="3"/>
    <s v="092"/>
    <s v="Land Use and Transport Planning"/>
    <s v="0923"/>
    <s v="Promote integrated land use and transport planning"/>
    <s v="092301"/>
    <s v="Acquire infrastructure/ utility corridors"/>
    <m/>
    <m/>
    <s v="09230101"/>
    <s v="Infrastructure/utility corridor acquired"/>
    <s v="Km of infrastructure/ utility corridors acquired – (National Roads)"/>
    <m/>
    <n v="586"/>
    <n v="590"/>
    <n v="600"/>
    <n v="570"/>
    <n v="420"/>
    <s v="UNRA"/>
    <s v="113 Uganda National Roads Authority"/>
    <s v="Acquisition of infrastructure utility corridors-National Roads "/>
    <n v="1"/>
    <n v="1"/>
    <n v="1"/>
    <n v="1"/>
    <n v="1"/>
    <n v="0"/>
    <n v="0"/>
    <n v="1"/>
    <n v="0.75"/>
    <m/>
    <n v="0"/>
    <n v="0"/>
    <n v="0"/>
    <n v="0"/>
    <n v="0"/>
    <n v="0"/>
    <n v="0"/>
    <s v="UNRA"/>
    <s v="113 Uganda National Roads Authority"/>
    <s v="N/A"/>
  </r>
  <r>
    <x v="3"/>
    <x v="3"/>
    <s v="092"/>
    <s v="Land Use and Transport Planning"/>
    <s v="0923"/>
    <s v="Promote integrated land use and transport planning"/>
    <s v="092301"/>
    <s v="Acquire infrastructure/ utility corridors"/>
    <m/>
    <m/>
    <s v="09230101"/>
    <s v="Infrastructure/utility corridor acquired"/>
    <s v="Number of acres corridors  (SGR Right of way) acquired"/>
    <m/>
    <n v="25.209"/>
    <n v="1856.18"/>
    <s v="-"/>
    <s v="-"/>
    <s v="-"/>
    <s v="MOWT"/>
    <s v="016 Ministry of Works and Transport"/>
    <s v="Acquisition of SGR Right of way "/>
    <n v="1"/>
    <n v="1"/>
    <n v="1"/>
    <n v="1"/>
    <n v="1"/>
    <n v="1"/>
    <n v="1"/>
    <n v="1"/>
    <n v="1"/>
    <n v="1"/>
    <m/>
    <n v="0"/>
    <n v="0"/>
    <n v="0"/>
    <n v="0"/>
    <n v="0"/>
    <n v="0"/>
    <s v="MoWT"/>
    <s v="016 Ministry of Works and Transport"/>
    <s v="URC"/>
  </r>
  <r>
    <x v="3"/>
    <x v="3"/>
    <s v="092"/>
    <s v="Land Use and Transport Planning"/>
    <s v="0923"/>
    <s v="Promote integrated land use and transport planning"/>
    <s v="092301"/>
    <s v="Acquire infrastructure/ utility corridors"/>
    <m/>
    <m/>
    <s v="09230101"/>
    <s v="Infrastructure/utility corridor acquired"/>
    <s v="Number of hectares  acquired (utility corridors-BRT)"/>
    <m/>
    <s v="-"/>
    <s v="-"/>
    <n v="150"/>
    <s v="-"/>
    <s v="-"/>
    <s v="MOWT"/>
    <s v="016 Ministry of Works and Transport"/>
    <s v="Acquisition of infrastructure utility corridors-BRT"/>
    <n v="1"/>
    <n v="1"/>
    <n v="1"/>
    <n v="1"/>
    <n v="1"/>
    <n v="1"/>
    <n v="1"/>
    <n v="1"/>
    <n v="1"/>
    <m/>
    <n v="0"/>
    <n v="0"/>
    <n v="0"/>
    <n v="0"/>
    <n v="0"/>
    <n v="0"/>
    <n v="0"/>
    <s v="MoWT"/>
    <s v="016 Ministry of Works and Transport"/>
    <s v="UNRA, MKCC&amp;MA"/>
  </r>
  <r>
    <x v="3"/>
    <x v="3"/>
    <s v="092"/>
    <s v="Land Use and Transport Planning"/>
    <s v="0923"/>
    <s v="Promote integrated land use and transport planning"/>
    <s v="092301"/>
    <s v="Acquire infrastructure/ utility corridors"/>
    <m/>
    <m/>
    <s v="09230101"/>
    <s v="Infrastructure/utility corridor acquired"/>
    <s v="Hectares of land valued for land acquisition"/>
    <m/>
    <m/>
    <n v="3500"/>
    <n v="1950"/>
    <n v="1700"/>
    <n v="1300"/>
    <s v="MoLHUD"/>
    <s v="012 Ministry of Lands, Housing &amp; Urban Development"/>
    <s v="Valuation for land acquisition"/>
    <n v="1"/>
    <n v="1"/>
    <n v="1"/>
    <n v="1"/>
    <n v="1"/>
    <n v="1"/>
    <n v="1"/>
    <n v="1"/>
    <n v="1"/>
    <m/>
    <n v="0"/>
    <n v="0"/>
    <n v="2"/>
    <n v="2.6"/>
    <n v="2.4"/>
    <n v="2"/>
    <n v="4.4000000000000004"/>
    <s v="MoLHUD"/>
    <s v="012 Ministry of Lands, Housing &amp; Urban Development"/>
    <s v="MoKCC&amp;M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MoWT)"/>
    <m/>
    <s v="-"/>
    <n v="3"/>
    <n v="3"/>
    <n v="3"/>
    <n v="3"/>
    <s v="MoWT, "/>
    <e v="#N/A"/>
    <s v="Specialised Training of selected staff in transport planning systems"/>
    <n v="1"/>
    <n v="0"/>
    <n v="0"/>
    <n v="1"/>
    <n v="1"/>
    <n v="1"/>
    <n v="0"/>
    <n v="1"/>
    <n v="0.625"/>
    <m/>
    <n v="0"/>
    <s v="                   - "/>
    <n v="0.05"/>
    <n v="0.05"/>
    <n v="0"/>
    <n v="0.13"/>
    <n v="0.13"/>
    <s v="MoWT"/>
    <s v="016 Ministry of Works and Transport"/>
    <s v="N/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UNRA)"/>
    <m/>
    <s v="-"/>
    <s v="-"/>
    <n v="5"/>
    <n v="5"/>
    <n v="5"/>
    <s v="UNRA "/>
    <e v="#N/A"/>
    <s v="Specialised Training of selected staff in transport planning systems"/>
    <n v="1"/>
    <n v="0"/>
    <n v="0"/>
    <n v="1"/>
    <n v="1"/>
    <n v="1"/>
    <n v="0"/>
    <n v="1"/>
    <n v="0.625"/>
    <m/>
    <n v="0"/>
    <s v="-"/>
    <n v="0"/>
    <n v="0.1"/>
    <n v="0"/>
    <n v="0.22"/>
    <n v="0.22"/>
    <s v="UNRA"/>
    <s v="113 Uganda National Roads Authority"/>
    <s v="N/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URC)"/>
    <m/>
    <s v="-"/>
    <n v="1"/>
    <n v="1"/>
    <n v="1"/>
    <n v="1"/>
    <s v="URC "/>
    <e v="#N/A"/>
    <s v="Specialised Training of selected staff in transport planning systems"/>
    <n v="1"/>
    <n v="0"/>
    <n v="0"/>
    <n v="1"/>
    <n v="1"/>
    <n v="1"/>
    <n v="0"/>
    <n v="1"/>
    <n v="0.625"/>
    <m/>
    <n v="0"/>
    <s v="-"/>
    <n v="0.05"/>
    <n v="0.05"/>
    <n v="0"/>
    <n v="0.1"/>
    <n v="0.1"/>
    <s v="MoWT (URC)"/>
    <s v="016 Ministry of Works and Transport"/>
    <s v="N/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UCAA)"/>
    <m/>
    <s v="-"/>
    <n v="2"/>
    <n v="2"/>
    <n v="2"/>
    <n v="2"/>
    <s v="UCAA"/>
    <e v="#N/A"/>
    <s v="Specialised Training of selected staff in transport planning systems"/>
    <n v="1"/>
    <n v="0"/>
    <n v="0"/>
    <n v="1"/>
    <n v="1"/>
    <n v="1"/>
    <n v="0"/>
    <n v="1"/>
    <n v="0.625"/>
    <m/>
    <n v="0"/>
    <s v="-"/>
    <n v="0.05"/>
    <n v="0.05"/>
    <n v="0"/>
    <n v="0.2"/>
    <n v="0.2"/>
    <s v="MoWT (UCAA)"/>
    <s v="016 Ministry of Works and Transport"/>
    <s v="N/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URF)"/>
    <m/>
    <s v="-"/>
    <n v="1"/>
    <n v="1"/>
    <s v="-"/>
    <n v="1"/>
    <s v="URF"/>
    <s v="118 Uganda Road Fund"/>
    <s v="Specialised Training of selected staff in transport planning systems"/>
    <n v="1"/>
    <n v="0"/>
    <n v="0"/>
    <n v="1"/>
    <n v="1"/>
    <n v="1"/>
    <n v="0"/>
    <n v="1"/>
    <n v="0.625"/>
    <m/>
    <n v="0"/>
    <s v="-"/>
    <n v="0.05"/>
    <n v="0.05"/>
    <n v="0"/>
    <n v="0.1"/>
    <n v="0.1"/>
    <s v="URF"/>
    <s v="118 Uganda Road Fund"/>
    <s v="N/A"/>
  </r>
  <r>
    <x v="3"/>
    <x v="3"/>
    <s v="092"/>
    <s v="Land Use and Transport Planning"/>
    <s v="0923"/>
    <s v="Promote integrated land use and transport planning"/>
    <s v="092302"/>
    <s v="Develop and strengthen transport planning capacity"/>
    <m/>
    <m/>
    <s v="09230201"/>
    <s v="Acquisition and use of transport planning systems increased"/>
    <s v="Number of selected staff trained in specialized transport planning systems (UNACOL)"/>
    <m/>
    <s v="-"/>
    <n v="1"/>
    <s v="-"/>
    <s v="-"/>
    <n v="1"/>
    <s v="UNACOL"/>
    <e v="#N/A"/>
    <s v="Specialised Training of selected staff in transport planning systems"/>
    <n v="1"/>
    <n v="0"/>
    <n v="0"/>
    <n v="1"/>
    <n v="1"/>
    <n v="1"/>
    <n v="0"/>
    <n v="1"/>
    <n v="0.625"/>
    <m/>
    <n v="0"/>
    <s v="-"/>
    <n v="0.05"/>
    <s v="-"/>
    <s v="-"/>
    <n v="0.05"/>
    <n v="0.05"/>
    <s v="MoWT (UNACOL)"/>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ational Transport Masterplan aligned to the NPDP developed"/>
    <n v="0"/>
    <n v="0"/>
    <n v="1"/>
    <n v="0"/>
    <n v="0"/>
    <n v="0"/>
    <s v="MoWT "/>
    <e v="#N/A"/>
    <s v="Develop National Integrated Transport Masterplan "/>
    <n v="1"/>
    <n v="0"/>
    <n v="0"/>
    <n v="1"/>
    <n v="1"/>
    <n v="1"/>
    <n v="0"/>
    <n v="1"/>
    <n v="0.625"/>
    <m/>
    <n v="0"/>
    <n v="0"/>
    <n v="0"/>
    <n v="0"/>
    <n v="0"/>
    <n v="0"/>
    <n v="0"/>
    <s v="MoWT"/>
    <s v="016 Ministry of Works and Transport"/>
    <s v="UNRA, URC, MoLHUD, MEMD, UCA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planning tools acquired (MoWT)"/>
    <m/>
    <s v="-"/>
    <n v="1"/>
    <n v="3"/>
    <n v="1"/>
    <n v="1"/>
    <s v="MoWT "/>
    <e v="#N/A"/>
    <s v="Acquisition of transport planning tools"/>
    <n v="1"/>
    <n v="0"/>
    <n v="0"/>
    <n v="1"/>
    <n v="1"/>
    <n v="1"/>
    <n v="0"/>
    <n v="1"/>
    <n v="0.625"/>
    <m/>
    <n v="0"/>
    <n v="0"/>
    <n v="0.3"/>
    <n v="0.7"/>
    <n v="0.4"/>
    <n v="0.4"/>
    <n v="0.8"/>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planning tools acquired (URC)"/>
    <m/>
    <s v="-"/>
    <s v="-"/>
    <s v="-"/>
    <s v="-"/>
    <n v="1"/>
    <s v="URC"/>
    <e v="#N/A"/>
    <s v="Acquisition of transport planning tools"/>
    <n v="1"/>
    <n v="0"/>
    <n v="0"/>
    <n v="1"/>
    <n v="1"/>
    <n v="1"/>
    <n v="0"/>
    <n v="1"/>
    <n v="0.625"/>
    <m/>
    <n v="0"/>
    <n v="0"/>
    <n v="0"/>
    <n v="0"/>
    <n v="0.5"/>
    <n v="0"/>
    <n v="0.5"/>
    <s v="MoWT (URC)"/>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planning tools acquired (UCAA)"/>
    <m/>
    <m/>
    <m/>
    <m/>
    <m/>
    <n v="1"/>
    <s v="UCAA"/>
    <e v="#N/A"/>
    <s v="Acquisition of transport planning tools"/>
    <n v="1"/>
    <n v="0"/>
    <n v="0"/>
    <n v="1"/>
    <n v="1"/>
    <n v="1"/>
    <n v="0"/>
    <n v="1"/>
    <n v="0.625"/>
    <m/>
    <n v="0"/>
    <n v="0"/>
    <n v="0"/>
    <n v="0"/>
    <n v="0.4"/>
    <n v="0"/>
    <n v="0.4"/>
    <s v="MoWT (UCAA)"/>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o. of MDAs using transport planning systems"/>
    <n v="1"/>
    <n v="3"/>
    <n v="4"/>
    <n v="4"/>
    <n v="5"/>
    <n v="7"/>
    <s v="MoWT"/>
    <s v="016 Ministry of Works and Transport"/>
    <m/>
    <m/>
    <m/>
    <m/>
    <m/>
    <m/>
    <m/>
    <n v="0"/>
    <n v="0"/>
    <n v="0"/>
    <m/>
    <n v="0"/>
    <m/>
    <m/>
    <m/>
    <m/>
    <m/>
    <n v="0"/>
    <m/>
    <m/>
    <m/>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surveys carried out by UNRA"/>
    <m/>
    <s v="-"/>
    <n v="4"/>
    <n v="5"/>
    <n v="5"/>
    <n v="5"/>
    <s v="UNRA"/>
    <s v="113 Uganda National Roads Authority"/>
    <s v="Carry out specific National road Transport  Surveys"/>
    <n v="1"/>
    <n v="0"/>
    <n v="0"/>
    <n v="1"/>
    <n v="1"/>
    <n v="1"/>
    <n v="0"/>
    <n v="1"/>
    <n v="0.625"/>
    <m/>
    <n v="0"/>
    <n v="0"/>
    <n v="1.5"/>
    <n v="6"/>
    <n v="0"/>
    <n v="0"/>
    <n v="0"/>
    <s v="UNRA"/>
    <s v="113 Uganda National Roads Authority"/>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surveys carried out by MoWT"/>
    <m/>
    <m/>
    <n v="4"/>
    <n v="4"/>
    <n v="4"/>
    <n v="4"/>
    <s v="MoWT"/>
    <s v="016 Ministry of Works and Transport"/>
    <s v="Carry out Nation wide multi model Transport  Surveys"/>
    <n v="1"/>
    <n v="0"/>
    <n v="0"/>
    <n v="1"/>
    <n v="1"/>
    <n v="1"/>
    <n v="0"/>
    <n v="1"/>
    <n v="0.625"/>
    <m/>
    <n v="0"/>
    <n v="0"/>
    <n v="0"/>
    <n v="15"/>
    <m/>
    <n v="4"/>
    <n v="4"/>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annual classification surveys"/>
    <m/>
    <n v="10"/>
    <n v="10"/>
    <n v="10"/>
    <n v="10"/>
    <n v="1"/>
    <s v="MoWT"/>
    <s v="016 Ministry of Works and Transport"/>
    <s v="Conduct annual classification surveys on water bodies"/>
    <n v="1"/>
    <n v="0"/>
    <n v="0"/>
    <n v="1"/>
    <n v="1"/>
    <n v="1"/>
    <n v="0"/>
    <n v="1"/>
    <n v="0.625"/>
    <m/>
    <n v="0"/>
    <n v="0.75"/>
    <n v="0.75"/>
    <n v="0.75"/>
    <n v="0.75"/>
    <n v="0.75"/>
    <n v="1.5"/>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Programme Statistics Plan prepared"/>
    <m/>
    <s v="-"/>
    <n v="1"/>
    <s v="-"/>
    <s v="-"/>
    <s v="-"/>
    <s v="MoWT"/>
    <s v="016 Ministry of Works and Transport"/>
    <s v="Prepare Programme Statistics Plan"/>
    <n v="1"/>
    <n v="0"/>
    <n v="0"/>
    <n v="1"/>
    <n v="1"/>
    <n v="1"/>
    <n v="0"/>
    <n v="1"/>
    <n v="0.625"/>
    <m/>
    <n v="0"/>
    <n v="0"/>
    <n v="0"/>
    <n v="0"/>
    <n v="0"/>
    <n v="0.1"/>
    <n v="0.1"/>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planning systems reviewed and updated"/>
    <m/>
    <s v="-"/>
    <s v="-"/>
    <s v="-"/>
    <n v="1"/>
    <n v="1"/>
    <s v="MoWT"/>
    <s v="016 Ministry of Works and Transport"/>
    <s v="Review and update transport planning systems"/>
    <n v="1"/>
    <n v="0"/>
    <n v="0"/>
    <n v="1"/>
    <n v="1"/>
    <n v="1"/>
    <n v="0"/>
    <n v="1"/>
    <n v="0.625"/>
    <m/>
    <n v="0"/>
    <n v="0"/>
    <n v="0"/>
    <n v="0"/>
    <n v="0"/>
    <n v="5"/>
    <n v="5"/>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transport planning systems developed"/>
    <m/>
    <n v="1"/>
    <n v="2"/>
    <n v="3"/>
    <n v="2"/>
    <n v="2"/>
    <s v="MoWT"/>
    <s v="016 Ministry of Works and Transport"/>
    <s v="Design and develop transport planning systems ( Transport Model, M&amp;E and Statistics etc)"/>
    <n v="1"/>
    <n v="0"/>
    <n v="0"/>
    <n v="1"/>
    <n v="1"/>
    <n v="1"/>
    <n v="0"/>
    <n v="1"/>
    <n v="0.625"/>
    <m/>
    <n v="0"/>
    <n v="0"/>
    <n v="0"/>
    <n v="0.1"/>
    <m/>
    <n v="1.1000000000000001"/>
    <n v="1.1000000000000001"/>
    <s v="MoWT"/>
    <s v="016 Ministry of Works and Transport"/>
    <s v="N/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MT Implementation Strategy prepared"/>
    <m/>
    <s v="-"/>
    <n v="1"/>
    <s v="-"/>
    <s v="-"/>
    <s v="-"/>
    <s v="MoWT"/>
    <s v="016 Ministry of Works and Transport"/>
    <s v="Preparation of the NMT Implementation Strategy"/>
    <n v="1"/>
    <n v="0"/>
    <n v="0"/>
    <n v="1"/>
    <n v="1"/>
    <n v="1"/>
    <n v="0"/>
    <n v="1"/>
    <n v="0.625"/>
    <m/>
    <n v="0"/>
    <n v="0"/>
    <n v="0"/>
    <n v="0"/>
    <n v="0"/>
    <n v="0"/>
    <n v="0"/>
    <s v="MoWT"/>
    <s v="016 Ministry of Works and Transport"/>
    <s v="UNRA, MKCC&amp;MA"/>
  </r>
  <r>
    <x v="3"/>
    <x v="3"/>
    <s v="092"/>
    <s v="Land Use and Transport Planning"/>
    <s v="0923"/>
    <s v="Promote integrated land use and transport planning"/>
    <s v="092303"/>
    <s v="Develop the National Transport Masterplan aligned to the National Physical Development Plan"/>
    <m/>
    <m/>
    <s v="09230301"/>
    <s v="National Transport masterplan developed and aligned to the National Physical Development Plan"/>
    <s v="Number of MDAs/Sub national governments using transport planning systems"/>
    <m/>
    <s v="-"/>
    <s v="-"/>
    <n v="4"/>
    <n v="4"/>
    <n v="4"/>
    <s v="MoWT"/>
    <s v="016 Ministry of Works and Transport"/>
    <s v="Application of transport planning systems by MDAs/sub nationals"/>
    <n v="1"/>
    <n v="0"/>
    <n v="0"/>
    <n v="1"/>
    <n v="1"/>
    <n v="1"/>
    <n v="0"/>
    <n v="1"/>
    <n v="0.625"/>
    <m/>
    <n v="0"/>
    <n v="0"/>
    <n v="0"/>
    <n v="0"/>
    <n v="0"/>
    <n v="0"/>
    <n v="0"/>
    <s v="MoWT"/>
    <s v="016 Ministry of Works and Transport"/>
    <s v="N/A"/>
  </r>
  <r>
    <x v="3"/>
    <x v="3"/>
    <s v="092"/>
    <s v="Land Use and Transport Planning"/>
    <s v="0923"/>
    <s v="Promote integrated land use and transport planning"/>
    <s v="092304"/>
    <s v="Develop Transit-Oriented developments along transport infrastructure corridors (such as roadside stations)"/>
    <m/>
    <m/>
    <s v="09230401"/>
    <s v="Transit oriented developments constructed"/>
    <s v="No. of road side stations developed"/>
    <n v="0"/>
    <s v="-"/>
    <n v="1"/>
    <n v="2"/>
    <n v="0"/>
    <n v="3"/>
    <s v="UNRA"/>
    <s v="113 Uganda National Roads Authority"/>
    <s v="Development of road side stations"/>
    <n v="1"/>
    <n v="1"/>
    <n v="1"/>
    <n v="1"/>
    <n v="1"/>
    <n v="1"/>
    <n v="1"/>
    <n v="1"/>
    <n v="1"/>
    <m/>
    <n v="0"/>
    <n v="0"/>
    <n v="0"/>
    <n v="16.399999999999999"/>
    <n v="10"/>
    <n v="10"/>
    <n v="20"/>
    <s v="UNRA"/>
    <s v="113 Uganda National Roads Authority"/>
    <s v="LGs"/>
  </r>
  <r>
    <x v="3"/>
    <x v="3"/>
    <s v="092"/>
    <s v="Land Use and Transport Planning"/>
    <s v="0923"/>
    <s v="Promote integrated land use and transport planning"/>
    <s v="092304"/>
    <s v="Develop Transit-Oriented developments along transport infrastructure corridors (such as roadside stations)"/>
    <m/>
    <m/>
    <s v="09230401"/>
    <s v="Transit oriented developments constructed"/>
    <s v="Number of Transit Oriented Development Studies undertaken"/>
    <m/>
    <s v="-"/>
    <s v="-"/>
    <n v="1"/>
    <n v="1"/>
    <s v="-"/>
    <s v="MoWT"/>
    <s v="016 Ministry of Works and Transport"/>
    <s v="Undertake TOD studies on transport infrastructure corridors"/>
    <n v="1"/>
    <n v="0"/>
    <n v="0"/>
    <n v="1"/>
    <n v="1"/>
    <n v="1"/>
    <n v="0"/>
    <n v="1"/>
    <n v="0.625"/>
    <m/>
    <n v="0"/>
    <n v="0"/>
    <n v="0"/>
    <n v="0.15"/>
    <n v="0.2"/>
    <n v="0"/>
    <n v="0.2"/>
    <s v="MoWT"/>
    <s v="016 Ministry of Works and Transport"/>
    <s v="N/A"/>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km of low volume roads sealed"/>
    <n v="120"/>
    <n v="50"/>
    <n v="35"/>
    <n v="50"/>
    <n v="50"/>
    <n v="50"/>
    <s v="MoWT"/>
    <s v="016 Ministry of Works and Transport"/>
    <s v="Sealing low volume roads using low cost seal technologies"/>
    <n v="1"/>
    <n v="1"/>
    <n v="1"/>
    <n v="1"/>
    <n v="1"/>
    <n v="1"/>
    <n v="1"/>
    <n v="1"/>
    <n v="1"/>
    <m/>
    <n v="0"/>
    <n v="20"/>
    <n v="20"/>
    <n v="23"/>
    <n v="30"/>
    <n v="35"/>
    <n v="65"/>
    <s v="MoWT"/>
    <s v="016 Ministry of Works and Transport"/>
    <s v="LGs"/>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km of medium volume roads sealed"/>
    <s v="-"/>
    <n v="25"/>
    <n v="25"/>
    <n v="50"/>
    <n v="100"/>
    <n v="150"/>
    <s v="MoWT"/>
    <s v="016 Ministry of Works and Transport"/>
    <s v="Sealing of medium volume roads"/>
    <n v="1"/>
    <n v="1"/>
    <n v="1"/>
    <n v="1"/>
    <n v="1"/>
    <n v="1"/>
    <n v="1"/>
    <n v="1"/>
    <n v="1"/>
    <m/>
    <n v="0"/>
    <n v="30"/>
    <n v="40"/>
    <n v="40"/>
    <n v="30"/>
    <n v="40"/>
    <n v="70"/>
    <s v="MoWT"/>
    <s v="016 Ministry of Works and Transport"/>
    <s v="LGs"/>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km constructed using low cost seals on National Roads"/>
    <s v="-"/>
    <n v="50"/>
    <n v="100"/>
    <n v="150"/>
    <n v="150"/>
    <n v="150"/>
    <s v="UNRA"/>
    <s v="113 Uganda National Roads Authority"/>
    <s v="Construction of national roads using low cost seal technologies"/>
    <n v="1"/>
    <n v="1"/>
    <n v="1"/>
    <n v="1"/>
    <n v="1"/>
    <n v="1"/>
    <n v="1"/>
    <n v="1"/>
    <n v="1"/>
    <m/>
    <n v="0"/>
    <n v="30"/>
    <n v="60"/>
    <n v="60"/>
    <n v="60"/>
    <n v="90"/>
    <n v="150"/>
    <s v="UNRA"/>
    <s v="113 Uganda National Roads Authority"/>
    <s v="LGs"/>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steel bridges constructed"/>
    <m/>
    <s v="-"/>
    <n v="1"/>
    <n v="40"/>
    <n v="40"/>
    <n v="40"/>
    <s v="MoWT"/>
    <s v="016 Ministry of Works and Transport"/>
    <s v="Construction of steel bridges"/>
    <n v="1"/>
    <n v="1"/>
    <n v="1"/>
    <n v="1"/>
    <n v="1"/>
    <n v="1"/>
    <n v="1"/>
    <n v="1"/>
    <n v="1"/>
    <m/>
    <n v="0"/>
    <n v="20"/>
    <n v="0.5"/>
    <n v="80"/>
    <n v="80"/>
    <n v="300"/>
    <n v="380"/>
    <s v="MoWT"/>
    <s v="016 Ministry of Works and Transport"/>
    <s v="N/A"/>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electronic transport ticketing system developed"/>
    <m/>
    <s v="                            - "/>
    <n v="1"/>
    <n v="4"/>
    <n v="0"/>
    <n v="2"/>
    <s v="MoWT"/>
    <s v="016 Ministry of Works and Transport"/>
    <s v="Develop a framework for the transport ticketing system"/>
    <n v="1"/>
    <n v="1"/>
    <n v="0"/>
    <n v="1"/>
    <n v="1"/>
    <n v="1"/>
    <n v="0"/>
    <n v="1"/>
    <n v="0.75"/>
    <m/>
    <n v="0"/>
    <n v="0"/>
    <n v="0"/>
    <n v="0"/>
    <n v="3"/>
    <n v="0"/>
    <n v="3"/>
    <s v="MoWT"/>
    <s v="016 Ministry of Works and Transport"/>
    <s v="N/A"/>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Cable foot bridges "/>
    <n v="7"/>
    <n v="10"/>
    <n v="10"/>
    <n v="10"/>
    <n v="10"/>
    <n v="10"/>
    <s v="MoWT"/>
    <s v="016 Ministry of Works and Transport"/>
    <m/>
    <m/>
    <m/>
    <m/>
    <m/>
    <m/>
    <m/>
    <n v="0"/>
    <n v="0"/>
    <n v="0"/>
    <m/>
    <n v="0"/>
    <n v="0"/>
    <n v="0"/>
    <n v="0"/>
    <n v="0"/>
    <n v="0"/>
    <n v="0"/>
    <m/>
    <m/>
    <m/>
  </r>
  <r>
    <x v="3"/>
    <x v="3"/>
    <s v="093"/>
    <s v="Transport Infrastructure and Services Development"/>
    <s v="0934"/>
    <s v="Reduce the cost of transport infrastructure and services "/>
    <s v="093401"/>
    <s v="Implement cost-efficient technologies for provision of transport infrastructure and services"/>
    <m/>
    <m/>
    <s v="09340101"/>
    <s v="Cost-efficient transport infrastructure/ services technologies adopted"/>
    <s v="Number of electronic tickets issued for transport services"/>
    <n v="0"/>
    <n v="0"/>
    <n v="0"/>
    <n v="0"/>
    <n v="100000"/>
    <n v="200000"/>
    <s v="MoWT, URC, KCCA"/>
    <e v="#N/A"/>
    <m/>
    <m/>
    <m/>
    <m/>
    <m/>
    <m/>
    <m/>
    <n v="0"/>
    <n v="0"/>
    <n v="0"/>
    <m/>
    <n v="0"/>
    <n v="0"/>
    <n v="0"/>
    <n v="0"/>
    <n v="0"/>
    <n v="0"/>
    <n v="0"/>
    <s v="MoWT(URC, KCCA)"/>
    <s v="016 Ministry of Works and Transport"/>
    <s v="URC, KCCA, MoKCC&amp;M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Value of construction works carried out by local contractors (% allocation for road works)"/>
    <n v="0"/>
    <n v="20"/>
    <n v="20"/>
    <n v="20"/>
    <n v="20"/>
    <n v="20"/>
    <s v="UNRA "/>
    <e v="#N/A"/>
    <s v="Award a proportion of construction works to local contractors"/>
    <n v="1"/>
    <n v="1"/>
    <n v="1"/>
    <n v="1"/>
    <n v="1"/>
    <n v="1"/>
    <n v="1"/>
    <n v="1"/>
    <n v="1"/>
    <m/>
    <n v="0"/>
    <n v="0"/>
    <n v="0"/>
    <n v="0"/>
    <n v="0"/>
    <n v="0"/>
    <n v="0"/>
    <s v="UNRA"/>
    <s v="113 Uganda National Roads Authority"/>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Value of construction works carried out by local contractors"/>
    <n v="0"/>
    <n v="20"/>
    <n v="20"/>
    <n v="20"/>
    <n v="20"/>
    <n v="20"/>
    <s v="URC"/>
    <e v="#N/A"/>
    <s v="Award a proportion of construction works to local contractors"/>
    <n v="1"/>
    <n v="1"/>
    <n v="1"/>
    <n v="1"/>
    <n v="1"/>
    <n v="1"/>
    <n v="1"/>
    <n v="1"/>
    <n v="1"/>
    <m/>
    <n v="0"/>
    <n v="0"/>
    <n v="0"/>
    <n v="0"/>
    <n v="0"/>
    <n v="0"/>
    <n v="0"/>
    <s v="MoWT (URC)"/>
    <s v="016 Ministry of Works and Transport"/>
    <s v="URC"/>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Value of construction works carried out by local contractors"/>
    <n v="0"/>
    <n v="20"/>
    <n v="20"/>
    <n v="20"/>
    <n v="20"/>
    <n v="20"/>
    <s v="KCCA "/>
    <e v="#N/A"/>
    <s v="Award a proportion of construction works to local contractors"/>
    <n v="1"/>
    <n v="1"/>
    <n v="1"/>
    <n v="1"/>
    <n v="1"/>
    <n v="1"/>
    <n v="1"/>
    <n v="1"/>
    <n v="1"/>
    <m/>
    <n v="0"/>
    <n v="0"/>
    <n v="0"/>
    <n v="0"/>
    <n v="0"/>
    <n v="0"/>
    <n v="0"/>
    <s v="MoWT (KCCA)"/>
    <s v="016 Ministry of Works and Transport"/>
    <s v="MoKCC&amp;MA, KCC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Value of construction works carried out by local contractors"/>
    <n v="0"/>
    <n v="20"/>
    <n v="20"/>
    <n v="20"/>
    <n v="20"/>
    <n v="20"/>
    <s v="MoWT"/>
    <s v="016 Ministry of Works and Transport"/>
    <s v="Award a proportion of construction works to local contractors"/>
    <n v="1"/>
    <n v="1"/>
    <n v="1"/>
    <n v="1"/>
    <n v="1"/>
    <n v="1"/>
    <n v="1"/>
    <n v="1"/>
    <n v="1"/>
    <m/>
    <n v="0"/>
    <n v="0"/>
    <n v="0"/>
    <n v="0"/>
    <n v="0"/>
    <n v="0"/>
    <n v="0"/>
    <s v="MoWT"/>
    <s v="016 Ministry of Works and Transport"/>
    <m/>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Value of construction works carried out by local contractors"/>
    <n v="0"/>
    <n v="20"/>
    <n v="20"/>
    <n v="20"/>
    <n v="20"/>
    <n v="20"/>
    <s v="UCAA"/>
    <e v="#N/A"/>
    <s v="Award a proportion of construction works to local contractors"/>
    <n v="1"/>
    <n v="1"/>
    <n v="1"/>
    <n v="1"/>
    <n v="1"/>
    <n v="1"/>
    <n v="1"/>
    <n v="1"/>
    <n v="1"/>
    <m/>
    <n v="0"/>
    <n v="0"/>
    <n v="0"/>
    <n v="0"/>
    <n v="0"/>
    <n v="0"/>
    <n v="0"/>
    <s v="MoWT"/>
    <s v="016 Ministry of Works and Transport"/>
    <s v="UCA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Number of local contractors classified  "/>
    <m/>
    <n v="200"/>
    <n v="250"/>
    <n v="300"/>
    <n v="350"/>
    <n v="400"/>
    <s v="MOWT"/>
    <s v="016 Ministry of Works and Transport"/>
    <s v="Classification and registration of local contractors"/>
    <n v="1"/>
    <n v="1"/>
    <n v="0"/>
    <n v="1"/>
    <n v="1"/>
    <n v="1"/>
    <n v="0"/>
    <n v="1"/>
    <n v="0.75"/>
    <m/>
    <n v="0"/>
    <n v="0"/>
    <n v="2.5000000000000001E-2"/>
    <n v="0.03"/>
    <n v="3.5000000000000003E-2"/>
    <n v="0.04"/>
    <n v="7.5000000000000011E-2"/>
    <s v="MoWT"/>
    <s v="016 Ministry of Works and Transport"/>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Number of local raw material depots set up. "/>
    <m/>
    <s v="                            - "/>
    <s v="Project preparation completed"/>
    <n v="1"/>
    <n v="2"/>
    <n v="1"/>
    <s v="MoWT"/>
    <s v="016 Ministry of Works and Transport"/>
    <s v="Setting up and operationalization of local materials depots"/>
    <n v="1"/>
    <n v="1"/>
    <n v="0"/>
    <n v="1"/>
    <n v="1"/>
    <n v="1"/>
    <n v="0"/>
    <n v="1"/>
    <n v="0.75"/>
    <m/>
    <n v="0"/>
    <n v="0"/>
    <n v="0"/>
    <n v="0"/>
    <n v="0"/>
    <n v="0"/>
    <n v="0"/>
    <s v="MoWT"/>
    <s v="016 Ministry of Works and Transport"/>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No. of regional laboratories constructed and upgraded"/>
    <m/>
    <n v="1"/>
    <n v="2"/>
    <n v="2"/>
    <n v="1"/>
    <n v="1"/>
    <s v="MoWT"/>
    <s v="016 Ministry of Works and Transport"/>
    <s v="Construction and upgrade  of Laboratory facilities "/>
    <n v="1"/>
    <n v="1"/>
    <n v="0"/>
    <n v="1"/>
    <n v="1"/>
    <n v="1"/>
    <n v="0"/>
    <n v="1"/>
    <n v="0.75"/>
    <m/>
    <n v="0"/>
    <n v="0"/>
    <n v="8"/>
    <n v="0"/>
    <n v="8"/>
    <n v="2"/>
    <n v="10"/>
    <s v="MoWT"/>
    <s v="016 Ministry of Works and Transport"/>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No. of local contractors benefiting from the preference schemes "/>
    <m/>
    <n v="30"/>
    <n v="30"/>
    <n v="50"/>
    <n v="50"/>
    <n v="50"/>
    <s v="MOWT"/>
    <s v="016 Ministry of Works and Transport"/>
    <s v="Monitoring performance of the local content and  preference schemes "/>
    <n v="1"/>
    <n v="0"/>
    <n v="0"/>
    <n v="1"/>
    <n v="1"/>
    <n v="1"/>
    <n v="0"/>
    <n v="1"/>
    <n v="0.625"/>
    <m/>
    <n v="0"/>
    <n v="0"/>
    <n v="0"/>
    <n v="0"/>
    <n v="0"/>
    <n v="0"/>
    <n v="0"/>
    <s v="MoWT"/>
    <s v="016 Ministry of Works and Transport"/>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a"/>
    <s v="Develop and implement a strategy for strengthening local construction capacity"/>
    <s v="093402a01"/>
    <s v="Local construction industry strengthened "/>
    <s v="Amount of guarantee fund available for contractors"/>
    <m/>
    <s v="-"/>
    <s v="-"/>
    <s v="-"/>
    <n v="1"/>
    <s v="-"/>
    <s v="MOWT"/>
    <s v="016 Ministry of Works and Transport"/>
    <s v="Establish and operationalize construction guarantee fund"/>
    <n v="1"/>
    <n v="1"/>
    <n v="0"/>
    <n v="0"/>
    <n v="0"/>
    <n v="1"/>
    <n v="0"/>
    <n v="1"/>
    <n v="0.5"/>
    <m/>
    <n v="0"/>
    <n v="0"/>
    <s v="-"/>
    <s v="-"/>
    <s v="-"/>
    <s v="-"/>
    <n v="0"/>
    <s v="MoWT"/>
    <s v="016 Ministry of Works and Transport"/>
    <s v="N/A"/>
  </r>
  <r>
    <x v="3"/>
    <x v="3"/>
    <s v="093"/>
    <s v="Transport Infrastructure and Services Development"/>
    <s v="0934"/>
    <s v="Reduce the cost of transport infrastructure and services "/>
    <s v="093402"/>
    <s v="Strengthen local construction capacity (industries, construction companies, access to finance, human resource etc.)"/>
    <s v="093402b"/>
    <s v="Establish a construction equipment hiring pool"/>
    <s v="093402b01"/>
    <s v="Equipment operators trained"/>
    <s v="No. of equipment operators trained"/>
    <m/>
    <n v="480"/>
    <n v="600"/>
    <n v="600"/>
    <n v="600"/>
    <n v="600"/>
    <s v="MOWT"/>
    <s v="016 Ministry of Works and Transport"/>
    <s v="Training of operators "/>
    <n v="1"/>
    <n v="1"/>
    <n v="1"/>
    <n v="1"/>
    <n v="1"/>
    <n v="1"/>
    <n v="1"/>
    <n v="1"/>
    <n v="1"/>
    <m/>
    <n v="0"/>
    <n v="0"/>
    <n v="3"/>
    <n v="0"/>
    <n v="3"/>
    <n v="3"/>
    <n v="6"/>
    <s v="MoWT"/>
    <s v="016 Ministry of Works and Transport"/>
    <s v="LGs"/>
  </r>
  <r>
    <x v="3"/>
    <x v="3"/>
    <s v="093"/>
    <s v="Transport Infrastructure and Services Development"/>
    <s v="0934"/>
    <s v="Reduce the cost of transport infrastructure and services "/>
    <s v="093402"/>
    <s v="Strengthen local construction capacity (industries, construction companies, access to finance, human resource etc.)"/>
    <s v="093402b"/>
    <s v="Establish a construction equipment hiring pool"/>
    <s v="093402b01"/>
    <s v="Local contractors trained"/>
    <s v="No. of local contractors trained"/>
    <m/>
    <s v="-"/>
    <n v="50"/>
    <n v="50"/>
    <n v="75"/>
    <n v="75"/>
    <s v="MoWT"/>
    <s v="016 Ministry of Works and Transport"/>
    <s v="Training of local contractors"/>
    <n v="1"/>
    <n v="1"/>
    <n v="1"/>
    <n v="1"/>
    <n v="1"/>
    <n v="1"/>
    <n v="1"/>
    <n v="1"/>
    <n v="1"/>
    <m/>
    <n v="0"/>
    <n v="0"/>
    <n v="0.2"/>
    <n v="0.2"/>
    <n v="0.25"/>
    <n v="0.25"/>
    <n v="0.5"/>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1"/>
    <s v="Research studies under taken "/>
    <s v="Works &amp; Transport resource center established"/>
    <m/>
    <m/>
    <m/>
    <n v="1"/>
    <m/>
    <s v="-"/>
    <s v="MoWT"/>
    <s v="016 Ministry of Works and Transport"/>
    <s v="Establish the Works &amp; Transport resource center"/>
    <n v="1"/>
    <n v="0"/>
    <n v="0"/>
    <n v="1"/>
    <n v="1"/>
    <n v="1"/>
    <n v="0"/>
    <n v="1"/>
    <n v="0.625"/>
    <m/>
    <n v="0"/>
    <n v="0"/>
    <n v="0"/>
    <n v="0"/>
    <n v="0"/>
    <n v="10"/>
    <n v="10"/>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1"/>
    <s v="Research studies under taken "/>
    <s v="Number of in-service training centers (colleges) developed/ upgraded"/>
    <m/>
    <m/>
    <n v="1"/>
    <n v="1"/>
    <n v="1"/>
    <s v="-"/>
    <s v="MoWT"/>
    <s v="016 Ministry of Works and Transport"/>
    <s v="Develop/upgrade in-service training centers (colleges)"/>
    <n v="1"/>
    <n v="1"/>
    <n v="0"/>
    <n v="1"/>
    <n v="1"/>
    <n v="1"/>
    <n v="0"/>
    <n v="1"/>
    <n v="0.75"/>
    <m/>
    <n v="0"/>
    <n v="0"/>
    <n v="0"/>
    <n v="0"/>
    <n v="4"/>
    <n v="4"/>
    <n v="8"/>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1"/>
    <s v="Research studies under taken "/>
    <s v="Number of research study reports produced (UNRA)"/>
    <n v="3"/>
    <n v="10"/>
    <n v="13"/>
    <n v="19"/>
    <n v="21"/>
    <n v="26"/>
    <s v="UNRA"/>
    <s v="113 Uganda National Roads Authority"/>
    <s v="Conducting specific National road studies"/>
    <n v="1"/>
    <n v="1"/>
    <n v="0"/>
    <n v="1"/>
    <n v="1"/>
    <n v="1"/>
    <n v="0"/>
    <n v="1"/>
    <n v="0.75"/>
    <m/>
    <n v="0"/>
    <n v="0"/>
    <n v="0"/>
    <n v="6"/>
    <n v="0"/>
    <n v="0"/>
    <n v="0"/>
    <s v="UNRA"/>
    <s v="113 Uganda National Roads Authority"/>
    <s v="N/A"/>
  </r>
  <r>
    <x v="3"/>
    <x v="3"/>
    <s v="093"/>
    <s v="Transport Infrastructure and Services Development"/>
    <s v="0934"/>
    <s v="Reduce the cost of transport infrastructure and services "/>
    <s v="093403"/>
    <s v="Promote Research, Development and Innovation (RDI) including design manuals, standards and specifications"/>
    <m/>
    <m/>
    <s v="09340301"/>
    <s v="Research studies under taken "/>
    <s v="Number of research study reports produced (MoWT)"/>
    <s v="-"/>
    <s v="-"/>
    <n v="2"/>
    <n v="3"/>
    <n v="5"/>
    <n v="5"/>
    <s v="MoWT"/>
    <s v="016 Ministry of Works and Transport"/>
    <s v="Conducting  National multi model transport studies"/>
    <n v="1"/>
    <n v="1"/>
    <n v="0"/>
    <n v="1"/>
    <n v="1"/>
    <n v="1"/>
    <n v="0"/>
    <n v="1"/>
    <n v="0.75"/>
    <m/>
    <n v="0"/>
    <n v="0"/>
    <n v="0"/>
    <n v="5"/>
    <n v="0"/>
    <n v="0"/>
    <n v="0"/>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1"/>
    <s v="Research studies under taken "/>
    <s v="No. of operator training schools established "/>
    <n v="0"/>
    <n v="1"/>
    <n v="0"/>
    <n v="0"/>
    <n v="1"/>
    <n v="0"/>
    <s v="MoWT "/>
    <e v="#N/A"/>
    <s v="Establish operator training schools"/>
    <n v="1"/>
    <n v="0"/>
    <n v="1"/>
    <n v="1"/>
    <n v="1"/>
    <n v="1"/>
    <n v="1"/>
    <n v="1"/>
    <n v="0.875"/>
    <m/>
    <n v="0"/>
    <n v="0"/>
    <n v="0"/>
    <s v="-"/>
    <n v="0"/>
    <n v="0"/>
    <n v="0"/>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2"/>
    <s v="Specifications and Manuals developed/ revised "/>
    <s v="Number of road Specifications and manuals developed/ reviewed"/>
    <m/>
    <n v="3"/>
    <n v="1"/>
    <n v="1"/>
    <n v="1"/>
    <n v="1"/>
    <s v="MoWT"/>
    <s v="016 Ministry of Works and Transport"/>
    <s v="Preparation or revision of road specifications and manuals"/>
    <n v="1"/>
    <n v="1"/>
    <n v="0"/>
    <n v="1"/>
    <n v="1"/>
    <n v="1"/>
    <n v="0"/>
    <n v="1"/>
    <n v="0.75"/>
    <m/>
    <n v="0"/>
    <n v="0"/>
    <n v="0"/>
    <n v="6"/>
    <n v="1"/>
    <n v="1"/>
    <n v="2"/>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2"/>
    <s v="Specifications and Manuals developed/ revised "/>
    <s v="Number of Railway Specifications and manuals prepared "/>
    <n v="0"/>
    <n v="1"/>
    <n v="0"/>
    <n v="1"/>
    <n v="0"/>
    <n v="1"/>
    <s v="URC"/>
    <e v="#N/A"/>
    <s v="Prepare Railway specifications and manuals"/>
    <n v="1"/>
    <n v="1"/>
    <n v="0"/>
    <n v="1"/>
    <n v="1"/>
    <n v="1"/>
    <n v="0"/>
    <n v="1"/>
    <n v="0.75"/>
    <m/>
    <n v="0"/>
    <n v="0"/>
    <s v="-"/>
    <n v="0"/>
    <n v="1"/>
    <n v="1"/>
    <n v="2"/>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2"/>
    <s v="Specifications and Manuals developed/ revised "/>
    <s v="Number of inland water Specifications and manuals prepared"/>
    <n v="0"/>
    <n v="1"/>
    <n v="1"/>
    <n v="1"/>
    <n v="1"/>
    <n v="1"/>
    <s v="MoWT "/>
    <e v="#N/A"/>
    <s v="Prepare inland water specifications and manuals"/>
    <n v="1"/>
    <n v="1"/>
    <n v="0"/>
    <n v="1"/>
    <n v="1"/>
    <n v="1"/>
    <n v="0"/>
    <n v="1"/>
    <n v="0.75"/>
    <m/>
    <n v="0"/>
    <s v="-"/>
    <s v="-"/>
    <s v="-"/>
    <n v="1"/>
    <n v="1"/>
    <n v="2"/>
    <s v="MoWT"/>
    <s v="016 Ministry of Works and Transport"/>
    <s v="N/A"/>
  </r>
  <r>
    <x v="3"/>
    <x v="3"/>
    <s v="093"/>
    <s v="Transport Infrastructure and Services Development"/>
    <s v="0934"/>
    <s v="Reduce the cost of transport infrastructure and services "/>
    <s v="093403"/>
    <s v="Promote Research, Development and Innovation (RDI) including design manuals, standards and specifications"/>
    <m/>
    <m/>
    <s v="09340302"/>
    <s v="Specifications and Manuals developed/ revised "/>
    <s v="% preparation of manual with  standards on Plant, equipment, bailey bridges  and vehicles  updated"/>
    <m/>
    <s v="-"/>
    <n v="0.3"/>
    <n v="0.3"/>
    <n v="0.4"/>
    <s v="-"/>
    <s v="MoWT"/>
    <s v="016 Ministry of Works and Transport"/>
    <s v="Preparation of manual with standards on plant, equipment, vehicles and  bailey bridges installation and maintenance guidelines/manuals"/>
    <n v="1"/>
    <n v="1"/>
    <n v="0"/>
    <n v="1"/>
    <n v="1"/>
    <n v="1"/>
    <n v="0"/>
    <n v="1"/>
    <n v="0.75"/>
    <m/>
    <n v="0"/>
    <n v="0"/>
    <n v="1"/>
    <n v="0"/>
    <n v="0"/>
    <n v="0"/>
    <n v="0"/>
    <s v="MoWT"/>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1"/>
    <s v="Policies developed/updated"/>
    <s v="Number of policies developed/ updated"/>
    <n v="4"/>
    <n v="1"/>
    <n v="2"/>
    <n v="1"/>
    <n v="1"/>
    <n v="1"/>
    <s v="MoWT"/>
    <s v="016 Ministry of Works and Transport"/>
    <s v="Develop/update policies"/>
    <n v="1"/>
    <n v="1"/>
    <n v="0"/>
    <n v="1"/>
    <n v="1"/>
    <n v="1"/>
    <n v="0"/>
    <n v="1"/>
    <n v="0.75"/>
    <m/>
    <n v="0"/>
    <n v="0.3"/>
    <n v="0.15"/>
    <n v="0.15"/>
    <n v="0.16"/>
    <n v="0.2"/>
    <n v="0.36"/>
    <s v="MoWT"/>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MoWT)"/>
    <m/>
    <n v="3"/>
    <n v="2"/>
    <n v="2"/>
    <n v="2"/>
    <n v="4"/>
    <s v="MoWT"/>
    <s v="016 Ministry of Works and Transport"/>
    <s v="Preparation of plans"/>
    <n v="1"/>
    <n v="1"/>
    <n v="0"/>
    <n v="1"/>
    <n v="1"/>
    <n v="1"/>
    <n v="0"/>
    <n v="1"/>
    <n v="0.75"/>
    <m/>
    <n v="0"/>
    <n v="0"/>
    <n v="0"/>
    <n v="0"/>
    <n v="0"/>
    <n v="3.5"/>
    <n v="3.5"/>
    <s v="MoWT"/>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UNRA)"/>
    <m/>
    <n v="2"/>
    <s v="-"/>
    <s v="-"/>
    <s v="-"/>
    <n v="1"/>
    <s v="UNRA"/>
    <s v="113 Uganda National Roads Authority"/>
    <s v="Preparation of plans"/>
    <n v="1"/>
    <n v="1"/>
    <n v="0"/>
    <n v="1"/>
    <n v="1"/>
    <n v="1"/>
    <n v="0"/>
    <n v="1"/>
    <n v="0.75"/>
    <m/>
    <n v="0"/>
    <n v="0.7"/>
    <s v="-"/>
    <s v="-"/>
    <s v="-"/>
    <n v="0.3"/>
    <n v="0.3"/>
    <s v="UNRA"/>
    <s v="113 Uganda National Roads Authority"/>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URC)"/>
    <m/>
    <n v="1"/>
    <s v="-"/>
    <s v="-"/>
    <s v="-"/>
    <n v="1"/>
    <s v="URC"/>
    <e v="#N/A"/>
    <s v="Preparation of plans"/>
    <n v="1"/>
    <n v="1"/>
    <n v="0"/>
    <n v="1"/>
    <n v="1"/>
    <n v="1"/>
    <n v="0"/>
    <n v="1"/>
    <n v="0.75"/>
    <m/>
    <n v="0"/>
    <n v="0.3"/>
    <s v="-"/>
    <s v="-"/>
    <s v="-"/>
    <n v="0.3"/>
    <n v="0.3"/>
    <s v="MoWT (URC)"/>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URF)"/>
    <m/>
    <n v="1"/>
    <s v="-"/>
    <s v="-"/>
    <s v="-"/>
    <n v="1"/>
    <s v="URF"/>
    <s v="118 Uganda Road Fund"/>
    <s v="Preparation of plans"/>
    <n v="1"/>
    <n v="1"/>
    <n v="0"/>
    <n v="1"/>
    <n v="1"/>
    <n v="1"/>
    <n v="0"/>
    <n v="1"/>
    <n v="0.75"/>
    <m/>
    <n v="0"/>
    <n v="0.3"/>
    <s v="-"/>
    <s v="-"/>
    <s v="-"/>
    <n v="0.3"/>
    <n v="0.3"/>
    <s v="URF"/>
    <s v="118 Uganda Road Fund"/>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UCAA)"/>
    <m/>
    <n v="1"/>
    <s v="-"/>
    <s v="-"/>
    <s v="-"/>
    <n v="1"/>
    <s v="UCAA"/>
    <e v="#N/A"/>
    <s v="Preparation of plans"/>
    <n v="1"/>
    <n v="1"/>
    <n v="0"/>
    <n v="1"/>
    <n v="1"/>
    <n v="1"/>
    <n v="0"/>
    <n v="1"/>
    <n v="0.75"/>
    <m/>
    <n v="0"/>
    <n v="0.3"/>
    <s v="-"/>
    <s v="-"/>
    <s v="-"/>
    <n v="0.3"/>
    <n v="0.3"/>
    <s v="MoWT (UCAA)"/>
    <s v="016 Ministry of Works and Transport"/>
    <s v="MoKCC&amp;M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KCCA)"/>
    <m/>
    <n v="1"/>
    <s v="-"/>
    <s v="-"/>
    <s v="-"/>
    <n v="1"/>
    <s v="KCCA"/>
    <s v="122 Kampala Capital City Authority"/>
    <s v="Preparation of plans"/>
    <n v="1"/>
    <n v="1"/>
    <n v="0"/>
    <n v="1"/>
    <n v="1"/>
    <n v="1"/>
    <n v="0"/>
    <n v="1"/>
    <n v="0.75"/>
    <m/>
    <n v="0"/>
    <n v="0.3"/>
    <s v="-"/>
    <s v="-"/>
    <s v="-"/>
    <n v="0.3"/>
    <n v="0.3"/>
    <s v="KCCA"/>
    <s v="122 Kampala Capital City Authority"/>
    <s v="MoKCC&amp;M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2"/>
    <s v="Plans and budgets developed"/>
    <s v="Number of plans developed (UNACOL)"/>
    <m/>
    <n v="1"/>
    <s v="-"/>
    <s v="-"/>
    <s v="-"/>
    <n v="1"/>
    <s v="UNACOL"/>
    <e v="#N/A"/>
    <s v="Preparation of plans"/>
    <n v="1"/>
    <n v="1"/>
    <n v="0"/>
    <n v="1"/>
    <n v="1"/>
    <n v="1"/>
    <n v="0"/>
    <n v="1"/>
    <n v="0.75"/>
    <m/>
    <n v="0"/>
    <n v="0.3"/>
    <s v="-"/>
    <s v="-"/>
    <s v="-"/>
    <n v="0.3"/>
    <n v="0.3"/>
    <s v="MoWT (UNACOL)"/>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3"/>
    <s v="Regulations and laws developed/ updated"/>
    <s v="Number of Regulations and laws developed/ updated"/>
    <m/>
    <n v="2"/>
    <n v="5"/>
    <n v="5"/>
    <n v="1"/>
    <n v="1"/>
    <s v="MoWT"/>
    <s v="016 Ministry of Works and Transport"/>
    <s v="Develop/update regulations and laws"/>
    <n v="1"/>
    <n v="1"/>
    <n v="0"/>
    <n v="1"/>
    <n v="1"/>
    <n v="1"/>
    <n v="0"/>
    <n v="1"/>
    <n v="0.75"/>
    <m/>
    <n v="0"/>
    <n v="0.5"/>
    <n v="0"/>
    <n v="0"/>
    <n v="0"/>
    <n v="0.6"/>
    <n v="0.6"/>
    <s v="MoWT"/>
    <s v="016 Ministry of Works and Transport"/>
    <s v="N/A"/>
  </r>
  <r>
    <x v="3"/>
    <x v="3"/>
    <s v="091"/>
    <s v="Transport Regulation"/>
    <s v="0915"/>
    <s v="Strengthen, and harmonize policy, legal, regulatory, and institutional framework for infrastructure and services"/>
    <s v="091501"/>
    <s v="Review, update and develop transport infrastructure and services policies, plans, regulations and standards and laws"/>
    <m/>
    <m/>
    <s v="09150104"/>
    <s v="Standards and guidelines developed/ updated"/>
    <s v="Number of Standards and guidelines developed/ updated"/>
    <m/>
    <n v="0"/>
    <n v="2"/>
    <n v="3"/>
    <n v="2"/>
    <s v="-"/>
    <s v="MoWT"/>
    <s v="016 Ministry of Works and Transport"/>
    <s v="Develop/ update Standards and guidelines"/>
    <n v="1"/>
    <n v="1"/>
    <n v="0"/>
    <n v="1"/>
    <n v="1"/>
    <n v="1"/>
    <n v="0"/>
    <n v="1"/>
    <n v="0.75"/>
    <m/>
    <n v="0"/>
    <n v="0"/>
    <n v="0"/>
    <n v="6"/>
    <n v="0"/>
    <n v="1"/>
    <n v="1"/>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commercial vehicle licenses issued"/>
    <n v="20000"/>
    <n v="22000"/>
    <n v="25000"/>
    <n v="28000"/>
    <n v="30000"/>
    <n v="35000"/>
    <s v="MoWT"/>
    <s v="016 Ministry of Works and Transport"/>
    <s v="Issuance of commercial vehicle licenses."/>
    <n v="1"/>
    <n v="1"/>
    <n v="1"/>
    <n v="1"/>
    <n v="1"/>
    <n v="1"/>
    <n v="0"/>
    <n v="1"/>
    <n v="0.875"/>
    <m/>
    <n v="0"/>
    <n v="0.1"/>
    <n v="0.1"/>
    <n v="0.15"/>
    <n v="0.16"/>
    <n v="0.17"/>
    <n v="0.33"/>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IWT licenses issued"/>
    <s v="-"/>
    <n v="300"/>
    <n v="5000"/>
    <n v="10000"/>
    <n v="15000"/>
    <n v="20000"/>
    <s v="MoWT"/>
    <s v="016 Ministry of Works and Transport"/>
    <s v="Issuance of IWT licenses."/>
    <n v="1"/>
    <n v="1"/>
    <n v="1"/>
    <n v="1"/>
    <n v="1"/>
    <n v="1"/>
    <n v="0"/>
    <n v="1"/>
    <n v="0.875"/>
    <m/>
    <n v="0"/>
    <n v="0.15"/>
    <n v="0.16"/>
    <n v="0.2"/>
    <n v="0.5"/>
    <n v="1.6"/>
    <n v="2.1"/>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driving permits issued"/>
    <n v="270000"/>
    <n v="300000"/>
    <n v="305000"/>
    <n v="310000"/>
    <n v="315000"/>
    <n v="320000"/>
    <s v="MoWT"/>
    <s v="016 Ministry of Works and Transport"/>
    <s v="Issuance of driving permits"/>
    <n v="1"/>
    <n v="1"/>
    <n v="1"/>
    <n v="1"/>
    <n v="1"/>
    <n v="1"/>
    <n v="0"/>
    <n v="1"/>
    <n v="0.875"/>
    <m/>
    <n v="0"/>
    <n v="0"/>
    <n v="0"/>
    <n v="0"/>
    <n v="0"/>
    <n v="0"/>
    <n v="0"/>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Driving Schools licensed  "/>
    <n v="70"/>
    <n v="75"/>
    <n v="75"/>
    <n v="80"/>
    <n v="80"/>
    <n v="100"/>
    <s v="MoWT"/>
    <s v="016 Ministry of Works and Transport"/>
    <s v="Licensing of driving schools"/>
    <n v="1"/>
    <n v="1"/>
    <n v="0"/>
    <n v="1"/>
    <n v="1"/>
    <n v="1"/>
    <n v="0"/>
    <n v="1"/>
    <n v="0.75"/>
    <m/>
    <n v="0"/>
    <n v="0.1"/>
    <n v="0.1"/>
    <n v="0.1"/>
    <n v="0.1"/>
    <n v="0.1"/>
    <n v="0.2"/>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road safety campaigns carried out "/>
    <n v="2"/>
    <n v="4"/>
    <n v="6"/>
    <n v="8"/>
    <n v="10"/>
    <n v="12"/>
    <s v="MoWT"/>
    <s v="016 Ministry of Works and Transport"/>
    <s v="Road safety campaigns"/>
    <n v="1"/>
    <n v="1"/>
    <n v="0"/>
    <n v="1"/>
    <n v="1"/>
    <n v="1"/>
    <n v="0"/>
    <n v="1"/>
    <n v="0.75"/>
    <m/>
    <n v="0"/>
    <n v="0"/>
    <n v="0.15"/>
    <n v="0.16"/>
    <n v="0.17"/>
    <n v="0.18"/>
    <n v="0.35"/>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Km of road inspected or /assessed "/>
    <n v="0"/>
    <n v="100"/>
    <n v="200"/>
    <n v="300"/>
    <n v="400"/>
    <n v="500"/>
    <s v="MoWT"/>
    <s v="016 Ministry of Works and Transport"/>
    <s v="Inspection or assessment of road condition including traffic survey"/>
    <n v="1"/>
    <n v="0"/>
    <n v="0"/>
    <n v="1"/>
    <n v="1"/>
    <n v="1"/>
    <n v="0"/>
    <n v="1"/>
    <n v="0.625"/>
    <m/>
    <n v="0"/>
    <n v="2.5"/>
    <n v="2.5"/>
    <n v="2.5"/>
    <n v="2.5"/>
    <n v="2.5"/>
    <n v="5"/>
    <s v="UNRA"/>
    <s v="113 Uganda National Roads Authority"/>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motor vehicles inspected annually"/>
    <n v="20000"/>
    <n v="25000"/>
    <n v="28000"/>
    <n v="31000"/>
    <n v="34000"/>
    <n v="37000"/>
    <s v="MoWT"/>
    <s v="016 Ministry of Works and Transport"/>
    <s v="Inspection of motor vehicles"/>
    <n v="1"/>
    <n v="1"/>
    <n v="0"/>
    <n v="1"/>
    <n v="1"/>
    <n v="1"/>
    <n v="0"/>
    <n v="1"/>
    <n v="0.75"/>
    <m/>
    <n v="0"/>
    <n v="0"/>
    <n v="0"/>
    <n v="0"/>
    <n v="0"/>
    <n v="0"/>
    <n v="0"/>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implementation of management and administration of motor vehicle registration streamlined"/>
    <m/>
    <n v="0.15"/>
    <n v="0.15"/>
    <n v="0.3"/>
    <n v="0.2"/>
    <n v="0.2"/>
    <s v="MoWT"/>
    <s v="016 Ministry of Works and Transport"/>
    <s v="Streamlining the management and administration of motor vehicle registration"/>
    <n v="1"/>
    <n v="1"/>
    <n v="0"/>
    <n v="1"/>
    <n v="1"/>
    <n v="1"/>
    <n v="0"/>
    <n v="1"/>
    <n v="0.75"/>
    <m/>
    <n v="0"/>
    <n v="0"/>
    <n v="0"/>
    <n v="0"/>
    <n v="20"/>
    <n v="0"/>
    <n v="20"/>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of integration and term maintenance of Regulatory systems"/>
    <m/>
    <n v="10"/>
    <n v="40"/>
    <n v="10"/>
    <n v="20"/>
    <n v="20"/>
    <s v="MoWT"/>
    <s v="016 Ministry of Works and Transport"/>
    <s v="Integration and Term Maintenance of Regulatory systems"/>
    <n v="1"/>
    <n v="1"/>
    <n v="0"/>
    <n v="1"/>
    <n v="1"/>
    <n v="1"/>
    <n v="0"/>
    <n v="1"/>
    <n v="0.75"/>
    <m/>
    <n v="0"/>
    <n v="0"/>
    <n v="0"/>
    <n v="0"/>
    <n v="0.12"/>
    <n v="0.14000000000000001"/>
    <n v="0.26"/>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of development of E-payment portal"/>
    <m/>
    <n v="0.1"/>
    <n v="0.9"/>
    <s v="-"/>
    <s v="-"/>
    <s v="-"/>
    <s v="MoWT"/>
    <s v="016 Ministry of Works and Transport"/>
    <s v="Development of E-payment portal "/>
    <n v="1"/>
    <n v="1"/>
    <n v="0"/>
    <n v="1"/>
    <n v="1"/>
    <n v="1"/>
    <n v="0"/>
    <n v="1"/>
    <n v="0.75"/>
    <m/>
    <n v="0"/>
    <n v="0"/>
    <n v="0"/>
    <n v="0"/>
    <n v="0"/>
    <n v="0"/>
    <n v="0"/>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Detailed Road Crash accidents investigations undertaken"/>
    <m/>
    <s v="-"/>
    <n v="4"/>
    <n v="6"/>
    <n v="8"/>
    <n v="8"/>
    <s v="MoWT"/>
    <s v="016 Ministry of Works and Transport"/>
    <s v="Detailed Road Crash Accident Investigations "/>
    <n v="1"/>
    <n v="1"/>
    <n v="0"/>
    <n v="1"/>
    <n v="1"/>
    <n v="1"/>
    <n v="0"/>
    <n v="1"/>
    <n v="0.75"/>
    <m/>
    <n v="0"/>
    <n v="0"/>
    <n v="0"/>
    <n v="0"/>
    <n v="0.3"/>
    <n v="0.3"/>
    <n v="0.6"/>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completion of update of the High way Code"/>
    <m/>
    <s v="-"/>
    <s v="-"/>
    <n v="0.5"/>
    <n v="0.5"/>
    <s v="-"/>
    <s v="MoWT"/>
    <s v="016 Ministry of Works and Transport"/>
    <s v="Update and enforce the High Code "/>
    <n v="1"/>
    <n v="0"/>
    <n v="0"/>
    <n v="1"/>
    <n v="1"/>
    <n v="1"/>
    <n v="0"/>
    <n v="1"/>
    <n v="0.625"/>
    <m/>
    <n v="0"/>
    <n v="0"/>
    <n v="0"/>
    <n v="0"/>
    <n v="0"/>
    <n v="0"/>
    <n v="0"/>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Road Safety inspections Carried out"/>
    <m/>
    <s v="-"/>
    <n v="8"/>
    <n v="8"/>
    <n v="10"/>
    <n v="10"/>
    <s v="MoWT"/>
    <s v="016 Ministry of Works and Transport"/>
    <s v="Road Safety inspections"/>
    <n v="1"/>
    <n v="1"/>
    <n v="0"/>
    <n v="1"/>
    <n v="1"/>
    <n v="1"/>
    <n v="0"/>
    <n v="1"/>
    <n v="0.75"/>
    <m/>
    <n v="0"/>
    <n v="0"/>
    <n v="0"/>
    <n v="0"/>
    <n v="0.4"/>
    <n v="0.4"/>
    <n v="0.8"/>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of Establishment of an Aircraft Accident and Incident Investigation Unit in the Ministry"/>
    <m/>
    <n v="0.1"/>
    <n v="0.4"/>
    <n v="0.6"/>
    <n v="0.8"/>
    <n v="1"/>
    <s v="MoWT"/>
    <s v="016 Ministry of Works and Transport"/>
    <s v="Establish an Aircraft Accident and Incident Investigation Unit in the Ministry"/>
    <n v="1"/>
    <n v="1"/>
    <n v="0"/>
    <n v="1"/>
    <n v="1"/>
    <n v="1"/>
    <n v="0"/>
    <n v="1"/>
    <n v="0.75"/>
    <m/>
    <n v="0"/>
    <n v="0.2"/>
    <n v="0.2"/>
    <n v="0.2"/>
    <n v="0.3"/>
    <n v="0.5"/>
    <n v="0.8"/>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ercentage of Establishment of a Civil Aviation Tribunal."/>
    <m/>
    <n v="0.1"/>
    <n v="0.4"/>
    <n v="0.6"/>
    <n v="0.8"/>
    <n v="1"/>
    <s v="MoWT"/>
    <s v="016 Ministry of Works and Transport"/>
    <s v="Establish a Civil Aviation Tribunal."/>
    <n v="1"/>
    <n v="1"/>
    <n v="0"/>
    <n v="1"/>
    <n v="1"/>
    <n v="1"/>
    <n v="0"/>
    <n v="1"/>
    <n v="0.75"/>
    <m/>
    <n v="0"/>
    <n v="0.2"/>
    <n v="2"/>
    <n v="1.5"/>
    <n v="1.5"/>
    <n v="1.5"/>
    <n v="3"/>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accreditations (i.e. ICAO, ATO &amp; IATA, IMO) received"/>
    <m/>
    <n v="5"/>
    <n v="5"/>
    <n v="5"/>
    <n v="5"/>
    <n v="5"/>
    <s v="MoWT"/>
    <s v="016 Ministry of Works and Transport"/>
    <s v="Maintain accreditation with regional and international bodies (i.e ICAO, ATO &amp; IATA, IMO) "/>
    <n v="1"/>
    <n v="1"/>
    <n v="0"/>
    <n v="1"/>
    <n v="1"/>
    <n v="1"/>
    <n v="0"/>
    <n v="1"/>
    <n v="0.75"/>
    <m/>
    <n v="0"/>
    <n v="2.5"/>
    <n v="2.5"/>
    <n v="2.5"/>
    <n v="2.5"/>
    <n v="2.5"/>
    <n v="5"/>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seafarers certified"/>
    <m/>
    <n v="0"/>
    <n v="50"/>
    <n v="100"/>
    <n v="300"/>
    <n v="500"/>
    <s v="MoWT"/>
    <s v="016 Ministry of Works and Transport"/>
    <s v="Inspection or assessment of road condition including traffic survey"/>
    <n v="1"/>
    <n v="1"/>
    <n v="0"/>
    <n v="1"/>
    <n v="1"/>
    <n v="1"/>
    <n v="0"/>
    <n v="1"/>
    <n v="0.75"/>
    <m/>
    <n v="0"/>
    <n v="2.5"/>
    <n v="2.5"/>
    <n v="2.5"/>
    <n v="2.5"/>
    <n v="2.5"/>
    <n v="5"/>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IWT safety campaigns carried out"/>
    <m/>
    <n v="4"/>
    <n v="6"/>
    <n v="8"/>
    <n v="10"/>
    <n v="12"/>
    <s v="MoWT"/>
    <s v="016 Ministry of Works and Transport"/>
    <s v="IWT safety campaigns"/>
    <n v="1"/>
    <n v="1"/>
    <n v="0"/>
    <n v="1"/>
    <n v="1"/>
    <n v="1"/>
    <n v="0"/>
    <n v="1"/>
    <n v="0.75"/>
    <m/>
    <n v="0"/>
    <n v="0.6"/>
    <n v="0.23"/>
    <n v="0.35"/>
    <n v="0.45"/>
    <n v="0.55000000000000004"/>
    <n v="1"/>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Km of road inspected or /assessed"/>
    <m/>
    <n v="4"/>
    <n v="6"/>
    <n v="8"/>
    <n v="10"/>
    <n v="12"/>
    <s v="MoWT"/>
    <s v="016 Ministry of Works and Transport"/>
    <s v="Inspection or assessment of road condition including traffic survey"/>
    <n v="1"/>
    <n v="1"/>
    <n v="0"/>
    <n v="1"/>
    <n v="1"/>
    <n v="1"/>
    <n v="0"/>
    <n v="1"/>
    <n v="0.75"/>
    <m/>
    <n v="0"/>
    <n v="0"/>
    <s v="-"/>
    <s v="-"/>
    <n v="2.5"/>
    <n v="2.5"/>
    <n v="5"/>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Number of vessels inspected"/>
    <m/>
    <n v="100"/>
    <n v="100"/>
    <n v="100"/>
    <n v="100"/>
    <n v="100"/>
    <s v="MoWT"/>
    <s v="016 Ministry of Works and Transport"/>
    <s v="Inspect IWT vessels."/>
    <n v="1"/>
    <n v="1"/>
    <n v="0"/>
    <n v="1"/>
    <n v="1"/>
    <n v="1"/>
    <n v="0"/>
    <n v="1"/>
    <n v="0.75"/>
    <m/>
    <n v="0"/>
    <n v="0.01"/>
    <n v="0.05"/>
    <n v="0.2"/>
    <n v="0.3"/>
    <n v="0.6"/>
    <n v="0.89999999999999991"/>
    <s v="MoWT"/>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Training of building committees"/>
    <m/>
    <n v="5"/>
    <n v="15"/>
    <n v="35"/>
    <n v="45"/>
    <n v="70"/>
    <s v="MoWT"/>
    <s v="016 Ministry of Works and Transport"/>
    <s v="Training of building committees"/>
    <n v="1"/>
    <n v="0"/>
    <n v="0"/>
    <n v="1"/>
    <n v="1"/>
    <n v="1"/>
    <n v="0"/>
    <n v="1"/>
    <n v="0.625"/>
    <m/>
    <n v="0"/>
    <n v="0"/>
    <n v="0.875"/>
    <n v="0.875"/>
    <n v="0.875"/>
    <n v="0.875"/>
    <n v="1.75"/>
    <s v="MoWT (NBRB)"/>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Compliance audits of local authorities"/>
    <m/>
    <n v="5"/>
    <n v="15"/>
    <n v="35"/>
    <n v="45"/>
    <n v="70"/>
    <s v="MoWT"/>
    <s v="016 Ministry of Works and Transport"/>
    <s v="Compliance audits of local authorities"/>
    <n v="1"/>
    <n v="0"/>
    <n v="0"/>
    <n v="1"/>
    <n v="1"/>
    <n v="1"/>
    <n v="0"/>
    <n v="1"/>
    <n v="0.625"/>
    <m/>
    <n v="0"/>
    <n v="0"/>
    <n v="0.5"/>
    <n v="0.6"/>
    <m/>
    <n v="0.8"/>
    <n v="0.8"/>
    <s v="MoWT (NBRB)"/>
    <s v="016 Ministry of Works and Transport"/>
    <s v="N/A"/>
  </r>
  <r>
    <x v="3"/>
    <x v="3"/>
    <s v="091"/>
    <s v="Transport Regulation"/>
    <s v="0915"/>
    <s v="Strengthen, and harmonize policy, legal, regulatory, and institutional framework for infrastructure and services"/>
    <s v="091502"/>
    <s v="Enforce relevant transport infrastructure and services policy, legal, regulatory and institutional frameworks"/>
    <m/>
    <m/>
    <s v="09150201"/>
    <s v="Transport infrastructure and services policy, legal and regulations and standards implemented.  "/>
    <s v="Provision of tools and equipment to local authorities"/>
    <m/>
    <n v="5"/>
    <n v="15"/>
    <n v="35"/>
    <n v="45"/>
    <n v="70"/>
    <s v="MoWT"/>
    <s v="016 Ministry of Works and Transport"/>
    <s v="Provision of tools and equipment to local authorities"/>
    <n v="1"/>
    <n v="1"/>
    <n v="0"/>
    <n v="1"/>
    <n v="1"/>
    <n v="1"/>
    <n v="0"/>
    <n v="1"/>
    <n v="0.75"/>
    <m/>
    <n v="0"/>
    <n v="0"/>
    <n v="1.5"/>
    <n v="2"/>
    <n v="3"/>
    <n v="3"/>
    <n v="6"/>
    <s v="MoWT (NBRB)"/>
    <s v="016 Ministry of Works and Transport"/>
    <s v="N/A"/>
  </r>
  <r>
    <x v="3"/>
    <x v="3"/>
    <s v="091"/>
    <s v="Transport Regulation"/>
    <s v="0915"/>
    <s v="Strengthen, and harmonize policy, legal, regulatory, and institutional framework for infrastructure and services"/>
    <s v="091503"/>
    <s v="Streamline governance and coordination of transport infrastructure and services"/>
    <m/>
    <m/>
    <s v="09150301"/>
    <s v="MoU among entities ratified "/>
    <s v="Number of MoUs ratified"/>
    <s v="N/A"/>
    <s v="-"/>
    <s v="-"/>
    <n v="1"/>
    <s v="-"/>
    <n v="1"/>
    <s v="MoWT"/>
    <s v="016 Ministry of Works and Transport"/>
    <s v="Ratification of MoUs"/>
    <n v="1"/>
    <n v="0"/>
    <n v="0"/>
    <n v="1"/>
    <n v="1"/>
    <n v="0"/>
    <n v="0"/>
    <n v="1"/>
    <n v="0.5"/>
    <m/>
    <n v="0"/>
    <n v="0"/>
    <n v="0"/>
    <n v="0.1"/>
    <n v="0"/>
    <n v="0.2"/>
    <n v="0.2"/>
    <s v="MoWT"/>
    <s v="016 Ministry of Works and Transport"/>
    <s v="N/A"/>
  </r>
  <r>
    <x v="3"/>
    <x v="3"/>
    <s v="091"/>
    <s v="Transport Regulation"/>
    <s v="0915"/>
    <s v="Strengthen, and harmonize policy, legal, regulatory, and institutional framework for infrastructure and services"/>
    <s v="091503"/>
    <s v="Streamline governance and coordination of transport infrastructure and services"/>
    <m/>
    <m/>
    <s v="09150302"/>
    <s v="PWG activities coordinated"/>
    <s v="Number of PWG activities coordinated"/>
    <m/>
    <m/>
    <n v="20"/>
    <n v="20"/>
    <n v="21"/>
    <n v="25"/>
    <s v="MoWT"/>
    <s v="016 Ministry of Works and Transport"/>
    <s v="Coordinate PWG activities"/>
    <n v="1"/>
    <n v="1"/>
    <n v="0"/>
    <n v="1"/>
    <n v="1"/>
    <n v="1"/>
    <n v="0"/>
    <n v="1"/>
    <n v="0.75"/>
    <m/>
    <n v="0"/>
    <n v="0.2"/>
    <n v="0.25"/>
    <n v="0.3"/>
    <n v="0.35"/>
    <n v="0.4"/>
    <n v="0.75"/>
    <s v="MoWT"/>
    <s v="016 Ministry of Works and Transport"/>
    <s v="N/A"/>
  </r>
  <r>
    <x v="3"/>
    <x v="3"/>
    <s v="091"/>
    <s v="Transport Regulation"/>
    <s v="0915"/>
    <s v="Strengthen, and harmonize policy, legal, regulatory, and institutional framework for infrastructure and services"/>
    <s v="091504"/>
    <s v="Monitor and evaluate transport infrastructure and services policy, legal and regulatory framework"/>
    <m/>
    <m/>
    <s v="09150401"/>
    <s v="Monitoring and Evaluation reports produced"/>
    <s v="Number of Monitoring reports produced"/>
    <n v="2"/>
    <n v="1"/>
    <n v="8"/>
    <n v="8"/>
    <n v="8"/>
    <n v="8"/>
    <s v="MoWT"/>
    <s v="016 Ministry of Works and Transport"/>
    <s v="Monitoring implementation of transport infrastructure and services programme"/>
    <n v="1"/>
    <n v="1"/>
    <n v="0"/>
    <n v="1"/>
    <n v="1"/>
    <n v="1"/>
    <n v="0"/>
    <n v="1"/>
    <n v="0.75"/>
    <m/>
    <n v="0"/>
    <n v="0.35"/>
    <n v="0.4"/>
    <n v="0.45"/>
    <n v="0.5"/>
    <n v="0.55000000000000004"/>
    <n v="1.05"/>
    <s v="MoWT"/>
    <s v="016 Ministry of Works and Transport"/>
    <s v="N/A"/>
  </r>
  <r>
    <x v="3"/>
    <x v="3"/>
    <s v="091"/>
    <s v="Transport Regulation"/>
    <s v="0915"/>
    <s v="Strengthen, and harmonize policy, legal, regulatory, and institutional framework for infrastructure and services"/>
    <s v="091504"/>
    <s v="Monitor and evaluate transport infrastructure and services policy, legal and regulatory framework"/>
    <m/>
    <m/>
    <s v="09150401"/>
    <s v="Monitoring and Evaluation reports produced"/>
    <s v="Number of Evaluation reports produced"/>
    <m/>
    <s v="-"/>
    <s v="-"/>
    <n v="1"/>
    <n v="1"/>
    <n v="2"/>
    <s v="MoWT"/>
    <s v="016 Ministry of Works and Transport"/>
    <s v="Evaluating  implementation of transport infrastructure and services programme"/>
    <n v="1"/>
    <n v="1"/>
    <n v="0"/>
    <n v="1"/>
    <n v="1"/>
    <n v="1"/>
    <n v="0"/>
    <n v="1"/>
    <n v="0.75"/>
    <m/>
    <n v="0"/>
    <n v="0.1"/>
    <n v="0.2"/>
    <n v="0.2"/>
    <n v="0.25"/>
    <n v="0.3"/>
    <n v="0.55000000000000004"/>
    <s v="MoWT"/>
    <s v="016 Ministry of Works and Transport"/>
    <s v="N/A"/>
  </r>
  <r>
    <x v="3"/>
    <x v="3"/>
    <s v="091"/>
    <s v="Transport Regulation"/>
    <s v="0915"/>
    <s v="Strengthen, and harmonize policy, legal, regulatory, and institutional framework for infrastructure and services"/>
    <s v="091504"/>
    <s v="Monitor and evaluate transport infrastructure and services policy, legal and regulatory framework"/>
    <m/>
    <m/>
    <s v="09150402"/>
    <s v="Condition monitoring and inspection of road equipment, vehicles and bailey bridges in MDAs and LGs conducted."/>
    <s v="No. of district local governments covered"/>
    <m/>
    <n v="135"/>
    <n v="135"/>
    <n v="135"/>
    <n v="135"/>
    <n v="135"/>
    <s v="MoWT"/>
    <s v="016 Ministry of Works and Transport"/>
    <s v="Monitoring of equipment and assessment of equipment operator performance."/>
    <n v="1"/>
    <n v="1"/>
    <n v="0"/>
    <n v="1"/>
    <n v="1"/>
    <n v="1"/>
    <n v="0"/>
    <n v="1"/>
    <n v="0.75"/>
    <m/>
    <n v="0"/>
    <n v="0.2"/>
    <n v="0.3"/>
    <n v="0.4"/>
    <n v="0.8"/>
    <n v="0.9"/>
    <n v="1.7000000000000002"/>
    <s v="MoWT"/>
    <s v="016 Ministry of Works and Transport"/>
    <s v="N/A"/>
  </r>
  <r>
    <x v="3"/>
    <x v="3"/>
    <s v="091"/>
    <s v="Transport Regulation"/>
    <s v="0915"/>
    <s v="Strengthen, and harmonize policy, legal, regulatory, and institutional framework for infrastructure and services"/>
    <s v="091504"/>
    <s v="Monitor and evaluate transport infrastructure and services policy, legal and regulatory framework"/>
    <m/>
    <m/>
    <s v="09150402"/>
    <s v="Condition monitoring and inspection of road equipment, vehicles and bailey bridges in MDAs and LGs conducted."/>
    <s v="No. of bailey bridges inspected"/>
    <m/>
    <n v="8"/>
    <n v="8"/>
    <n v="8"/>
    <n v="8"/>
    <n v="8"/>
    <s v="MoWT"/>
    <s v="016 Ministry of Works and Transport"/>
    <s v="Condition inspection "/>
    <n v="1"/>
    <n v="1"/>
    <n v="0"/>
    <n v="1"/>
    <n v="1"/>
    <n v="1"/>
    <n v="0"/>
    <n v="1"/>
    <n v="0.75"/>
    <m/>
    <n v="0"/>
    <n v="0.2"/>
    <n v="0.2"/>
    <n v="0.3"/>
    <n v="0.4"/>
    <n v="0.5"/>
    <n v="0.9"/>
    <s v="MoWT"/>
    <s v="016 Ministry of Works and Transport"/>
    <s v="N/A"/>
  </r>
  <r>
    <x v="3"/>
    <x v="3"/>
    <s v="091"/>
    <s v="Transport Regulation"/>
    <s v="0915"/>
    <s v="Strengthen, and harmonize policy, legal, regulatory, and institutional framework for infrastructure and services"/>
    <s v="091504"/>
    <s v="Monitor and evaluate transport infrastructure and services policy, legal and regulatory framework"/>
    <m/>
    <m/>
    <s v="09150402"/>
    <s v="Condition monitoring and inspection of road equipment, vehicles and bailey bridges in MDAs and LGs conducted."/>
    <s v="Number of vehicles in MDAs and LGs inspected"/>
    <m/>
    <n v="500"/>
    <n v="1000"/>
    <n v="5000"/>
    <n v="10000"/>
    <n v="15000"/>
    <s v="MoWT"/>
    <s v="016 Ministry of Works and Transport"/>
    <s v="Mandatory annual inspection of Government vehicles in all MDAs"/>
    <n v="1"/>
    <n v="1"/>
    <n v="0"/>
    <n v="1"/>
    <n v="1"/>
    <n v="1"/>
    <n v="0"/>
    <n v="1"/>
    <n v="0.75"/>
    <m/>
    <n v="0"/>
    <n v="0.2"/>
    <n v="0.4"/>
    <n v="0.6"/>
    <n v="0.8"/>
    <n v="1"/>
    <n v="1.8"/>
    <s v="MoWT"/>
    <s v="016 Ministry of Works and Transport"/>
    <s v="N/A"/>
  </r>
  <r>
    <x v="3"/>
    <x v="3"/>
    <s v="091"/>
    <s v="Transport Regulation"/>
    <s v="0915"/>
    <s v="Strengthen, and harmonize policy, legal, regulatory, and institutional framework for infrastructure and services"/>
    <s v="091505"/>
    <s v="Strengthen existing mechanisms to deal with negative social and environmental effects"/>
    <m/>
    <m/>
    <s v="09150501"/>
    <s v="Strategic Environment Assessment (SEA) done for the transport masterplan "/>
    <s v="% SEA Sector Level Framework recommendations applied in all transport plans and strategies"/>
    <n v="0"/>
    <n v="5"/>
    <n v="10"/>
    <n v="20"/>
    <n v="30"/>
    <n v="40"/>
    <s v="MoWT"/>
    <s v="016 Ministry of Works and Transport"/>
    <s v="Application of SEA Sector Level Framework recommendations in all transport plans and strategies"/>
    <n v="1"/>
    <n v="1"/>
    <n v="0"/>
    <n v="1"/>
    <n v="1"/>
    <n v="1"/>
    <n v="0"/>
    <n v="1"/>
    <n v="0.75"/>
    <m/>
    <n v="0"/>
    <n v="0"/>
    <n v="0.35"/>
    <n v="0"/>
    <n v="0.45"/>
    <n v="0.1"/>
    <n v="0.55000000000000004"/>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1"/>
    <s v="Transport infrastructure around L. Kyoga, Albert, Victoria and River Nile constructed and upgraded."/>
    <s v="Number of RoRo wagon ferries rehabilitated or procured"/>
    <m/>
    <s v="-"/>
    <s v="-"/>
    <n v="1"/>
    <n v="0"/>
    <n v="1"/>
    <s v="MoWT"/>
    <s v="016 Ministry of Works and Transport"/>
    <s v="Rehabilitation or procurement of railway RoRo marine vessels/wagon ferries"/>
    <n v="1"/>
    <n v="1"/>
    <n v="0"/>
    <n v="1"/>
    <n v="1"/>
    <n v="1"/>
    <n v="0"/>
    <n v="1"/>
    <n v="0.75"/>
    <m/>
    <n v="0"/>
    <n v="0"/>
    <n v="0"/>
    <n v="4"/>
    <n v="0"/>
    <n v="15"/>
    <n v="15"/>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1"/>
    <s v="Transport infrastructure around L. Kyoga, Albert, Victoria and River Nile constructed and upgraded."/>
    <s v="Number of ports, landing sites and jetties around Lake Kyoga, Albert, Victoria and River Nile developed/rehabilitated"/>
    <m/>
    <s v="-"/>
    <n v="1"/>
    <n v="1"/>
    <n v="1"/>
    <n v="1"/>
    <s v="MoWT"/>
    <s v="016 Ministry of Works and Transport"/>
    <s v="Rehabilitation of ports, landing sites and jetties"/>
    <n v="1"/>
    <n v="1"/>
    <n v="1"/>
    <n v="1"/>
    <n v="1"/>
    <n v="1"/>
    <n v="1"/>
    <n v="1"/>
    <n v="1"/>
    <m/>
    <n v="0"/>
    <n v="0"/>
    <n v="10"/>
    <n v="10"/>
    <n v="10"/>
    <n v="10"/>
    <n v="20"/>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1"/>
    <s v="Transport infrastructure around L. Kyoga, Albert, Victoria and River Nile constructed and upgraded."/>
    <s v="Km of roads upgraded around L. Kyoga, Albert, Victoria and River Nile constructed and upgraded"/>
    <m/>
    <m/>
    <m/>
    <m/>
    <m/>
    <m/>
    <s v="UNRA"/>
    <s v="113 Uganda National Roads Authority"/>
    <s v="Upgrading of roads around L. Kyoga, Albert, Victoria and River Nile constructed and upgraded."/>
    <n v="1"/>
    <n v="1"/>
    <n v="1"/>
    <n v="1"/>
    <n v="1"/>
    <n v="1"/>
    <n v="1"/>
    <n v="1"/>
    <n v="1"/>
    <m/>
    <n v="0"/>
    <n v="170"/>
    <n v="200"/>
    <n v="0"/>
    <n v="0"/>
    <n v="0"/>
    <n v="0"/>
    <s v="UNRA"/>
    <s v="113 Uganda National Roads Authority"/>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2"/>
    <s v="Transport Infrastructure and  Services around Kalangala Islands improved"/>
    <s v="Quarterly road support payments"/>
    <m/>
    <n v="4"/>
    <n v="4"/>
    <n v="4"/>
    <n v="4"/>
    <n v="4"/>
    <s v="MoWT"/>
    <s v="016 Ministry of Works and Transport"/>
    <s v="Review of invoices and adjustment factors in accordance to the Implementation Agreement of Kalangala Infrastructure Services "/>
    <n v="1"/>
    <n v="1"/>
    <n v="0"/>
    <n v="1"/>
    <n v="1"/>
    <n v="1"/>
    <n v="0"/>
    <n v="1"/>
    <n v="0.75"/>
    <m/>
    <n v="0"/>
    <n v="9.1999999999999993"/>
    <n v="9.4"/>
    <n v="9.5"/>
    <n v="9.5"/>
    <n v="9.5"/>
    <n v="19"/>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2"/>
    <s v="Transport Infrastructure and  Services around Kalangala Islands improved"/>
    <s v="No. of ferry trips made"/>
    <m/>
    <n v="5200"/>
    <n v="5200"/>
    <n v="5200"/>
    <n v="5200"/>
    <n v="5200"/>
    <s v="MoWT"/>
    <s v="016 Ministry of Works and Transport"/>
    <s v="Monitoring of ferry service and review of adjustment factors."/>
    <n v="1"/>
    <n v="1"/>
    <n v="0"/>
    <n v="1"/>
    <n v="1"/>
    <n v="1"/>
    <n v="1"/>
    <n v="1"/>
    <n v="0.875"/>
    <m/>
    <n v="0"/>
    <n v="19.55"/>
    <n v="21.75"/>
    <n v="21.75"/>
    <n v="21.75"/>
    <n v="21.75"/>
    <n v="43.5"/>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2"/>
    <s v="Transport Infrastructure and  Services around Kalangala Islands improved"/>
    <s v="Percent availability of MV Kalangala"/>
    <m/>
    <n v="95"/>
    <n v="95"/>
    <n v="95"/>
    <n v="95"/>
    <n v="95"/>
    <s v="MoWT"/>
    <s v="016 Ministry of Works and Transport"/>
    <s v="Periodic inspection, maintenance and repair, monitor ferry operator"/>
    <n v="1"/>
    <n v="1"/>
    <n v="0"/>
    <n v="1"/>
    <n v="1"/>
    <n v="1"/>
    <n v="0"/>
    <n v="1"/>
    <n v="0.75"/>
    <m/>
    <n v="0"/>
    <n v="0.2"/>
    <n v="0.5"/>
    <n v="0.5"/>
    <n v="0.5"/>
    <n v="0.6"/>
    <n v="1.1000000000000001"/>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2"/>
    <s v="Transport Infrastructure and  Services around Kalangala Islands improved"/>
    <s v="Valid marine insurance policy"/>
    <m/>
    <n v="1"/>
    <n v="1"/>
    <n v="1"/>
    <n v="1"/>
    <n v="1"/>
    <s v="MoWT"/>
    <s v="016 Ministry of Works and Transport"/>
    <s v="Risk assessment and payment of insurance premium."/>
    <n v="1"/>
    <n v="1"/>
    <n v="0"/>
    <n v="1"/>
    <n v="1"/>
    <n v="1"/>
    <n v="0"/>
    <n v="1"/>
    <n v="0.75"/>
    <m/>
    <n v="0"/>
    <n v="0.41"/>
    <n v="0.42"/>
    <n v="0.42"/>
    <n v="0.42"/>
    <n v="0.42"/>
    <n v="0.84"/>
    <s v="MoWT"/>
    <s v="016 Ministry of Works and Transport"/>
    <s v="N/A"/>
  </r>
  <r>
    <x v="3"/>
    <x v="3"/>
    <s v="093"/>
    <s v="Transport Infrastructure and Services Development"/>
    <s v="0936"/>
    <s v="Transport interconnectivity to promote inter and inra-regional trade and reduce poverty"/>
    <s v="093601"/>
    <s v="Upgrade transport infrastructure around L. Kyoga, Albert, Victoria and River Nile to facilitate connections"/>
    <m/>
    <m/>
    <s v="09360102"/>
    <s v="Transport Infrastructure and  Services around Kalangala Islands improved"/>
    <s v="Digital ticketing and payment system installed on MV Kalangala"/>
    <m/>
    <s v="-"/>
    <n v="1"/>
    <s v="-"/>
    <n v="1"/>
    <n v="1"/>
    <s v="MoWT"/>
    <s v="016 Ministry of Works and Transport"/>
    <s v="Develop specifications and TOR, procure digital system, installation, testing and commissioning of system and periodic upgrades"/>
    <n v="1"/>
    <n v="0"/>
    <n v="0"/>
    <n v="1"/>
    <n v="1"/>
    <n v="1"/>
    <n v="0"/>
    <n v="1"/>
    <n v="0.625"/>
    <m/>
    <n v="0"/>
    <n v="0"/>
    <n v="0"/>
    <n v="0"/>
    <n v="0"/>
    <n v="0"/>
    <n v="0"/>
    <s v="MoWT"/>
    <s v="016 Ministry of Works and Transport"/>
    <s v="N/A"/>
  </r>
  <r>
    <x v="3"/>
    <x v="3"/>
    <s v="093"/>
    <s v="Transport Infrastructure and Services Development"/>
    <s v="0936"/>
    <s v="Transport interconnectivity to promote inter and inra-regional trade and reduce poverty"/>
    <s v="093602"/>
    <s v="Develop the Tororo Inland Port"/>
    <m/>
    <m/>
    <s v="09360201"/>
    <s v="Functional Tororo inland port"/>
    <s v="%ge of preparation of feasibility study"/>
    <m/>
    <m/>
    <m/>
    <m/>
    <n v="50"/>
    <n v="50"/>
    <s v="MoWT"/>
    <s v="016 Ministry of Works and Transport"/>
    <m/>
    <m/>
    <m/>
    <m/>
    <m/>
    <m/>
    <m/>
    <n v="0"/>
    <n v="0"/>
    <n v="0"/>
    <m/>
    <n v="0"/>
    <m/>
    <m/>
    <m/>
    <m/>
    <m/>
    <n v="0"/>
    <m/>
    <m/>
    <m/>
  </r>
  <r>
    <x v="3"/>
    <x v="3"/>
    <s v="093"/>
    <s v="Transport Infrastructure and Services Development"/>
    <s v="0936"/>
    <s v="Transport interconnectivity to promote inter and inra-regional trade and reduce poverty"/>
    <s v="093602"/>
    <s v="Develop the Tororo Inland Port"/>
    <m/>
    <m/>
    <s v="09360201"/>
    <s v="Functional Tororo inland port"/>
    <s v="Tororo inland port operational"/>
    <n v="0"/>
    <n v="0"/>
    <n v="0"/>
    <n v="0"/>
    <n v="0"/>
    <n v="1"/>
    <s v="MoWT"/>
    <s v="016 Ministry of Works and Transport"/>
    <m/>
    <m/>
    <m/>
    <m/>
    <m/>
    <m/>
    <m/>
    <n v="0"/>
    <n v="0"/>
    <n v="0"/>
    <m/>
    <n v="0"/>
    <m/>
    <m/>
    <m/>
    <m/>
    <m/>
    <n v="0"/>
    <m/>
    <m/>
    <m/>
  </r>
  <r>
    <x v="3"/>
    <x v="3"/>
    <s v="093"/>
    <s v="Transport Infrastructure and Services Development"/>
    <s v="0936"/>
    <s v="Transport interconnectivity to promote inter and inra-regional trade and reduce poverty"/>
    <s v="093603"/>
    <s v="Rehabilitate, upgrade and extend the meter-gauge railway (including Jinja/Bukakata to Bukasa inland port)"/>
    <m/>
    <m/>
    <s v="09360301"/>
    <s v="Functional meter-gauge railway inclusive of Jinja/ Bukakata to Bukasa inland port"/>
    <s v="Km of MGR between PortBell and Bukasa constructed  "/>
    <m/>
    <s v="-"/>
    <s v="-"/>
    <n v="5"/>
    <s v="-"/>
    <s v="-"/>
    <s v="URC"/>
    <e v="#N/A"/>
    <s v="Construction of MGR from jinja, Bukasa Inland port to PortBell"/>
    <n v="1"/>
    <n v="1"/>
    <n v="1"/>
    <n v="0"/>
    <n v="0"/>
    <n v="1"/>
    <n v="0"/>
    <n v="1"/>
    <n v="0.625"/>
    <m/>
    <n v="0"/>
    <n v="0"/>
    <n v="0"/>
    <n v="0"/>
    <n v="0"/>
    <n v="0"/>
    <n v="0"/>
    <s v="MoWT (URC)"/>
    <s v="016 Ministry of Works and Transport"/>
    <s v="N/A"/>
  </r>
  <r>
    <x v="3"/>
    <x v="3"/>
    <s v="093"/>
    <s v="Transport Infrastructure and Services Development"/>
    <s v="0936"/>
    <s v="Transport interconnectivity to promote inter and inra-regional trade and reduce poverty"/>
    <s v="093603"/>
    <s v="Rehabilitate, upgrade and extend the meter-gauge railway (including Jinja/Bukakata to Bukasa inland port)"/>
    <m/>
    <m/>
    <s v="09360301"/>
    <s v="Functional meter-gauge railway inclusive of Jinja/ Bukakata to Bukasa inland port"/>
    <s v="No of Kms of MGR at Jinja Pier rehabilitated"/>
    <n v="0"/>
    <n v="0"/>
    <n v="0"/>
    <n v="1"/>
    <n v="2"/>
    <n v="0"/>
    <s v="URC"/>
    <e v="#N/A"/>
    <m/>
    <m/>
    <m/>
    <m/>
    <m/>
    <m/>
    <m/>
    <n v="0"/>
    <n v="0"/>
    <n v="0"/>
    <m/>
    <n v="0"/>
    <m/>
    <m/>
    <m/>
    <m/>
    <m/>
    <n v="0"/>
    <m/>
    <m/>
    <m/>
  </r>
  <r>
    <x v="3"/>
    <x v="3"/>
    <s v="093"/>
    <s v="Transport Infrastructure and Services Development"/>
    <s v="0936"/>
    <s v="Transport interconnectivity to promote inter and inra-regional trade and reduce poverty"/>
    <s v="093603"/>
    <s v="Rehabilitate, upgrade and extend the meter-gauge railway (including Jinja/Bukakata to Bukasa inland port)"/>
    <m/>
    <m/>
    <s v="09360301"/>
    <s v="Functional meter-gauge railway inclusive of Jinja/ Bukakata to Bukasa inland port"/>
    <s v="Km of Meter gauge railway between Namanve and Bukasa constructed"/>
    <n v="0"/>
    <n v="0"/>
    <n v="0"/>
    <n v="2"/>
    <n v="2"/>
    <n v="0"/>
    <s v="URC"/>
    <e v="#N/A"/>
    <m/>
    <m/>
    <m/>
    <m/>
    <m/>
    <m/>
    <m/>
    <n v="0"/>
    <n v="0"/>
    <n v="0"/>
    <m/>
    <n v="0"/>
    <m/>
    <m/>
    <m/>
    <m/>
    <m/>
    <n v="0"/>
    <m/>
    <m/>
    <m/>
  </r>
  <r>
    <x v="3"/>
    <x v="3"/>
    <s v="093"/>
    <s v="Transport Infrastructure and Services Development"/>
    <s v="0936"/>
    <s v="Transport interconnectivity to promote inter and inra-regional trade and reduce poverty"/>
    <s v="093604"/>
    <s v="Upgrade transport infrastructure particularly in the Karamoja area to promote mineral exploitation and industrialization in that area"/>
    <m/>
    <m/>
    <s v="09360401"/>
    <s v="Transport Infrastructure in Karamoja area, upgraded."/>
    <s v="Km of paved roads in the Karamoja region upgraded"/>
    <n v="114"/>
    <n v="164"/>
    <n v="240"/>
    <n v="315"/>
    <n v="390"/>
    <n v="464"/>
    <s v="UNRA"/>
    <s v="113 Uganda National Roads Authority"/>
    <s v="Upgrading of roads in Karamoja region"/>
    <n v="1"/>
    <n v="1"/>
    <n v="1"/>
    <n v="1"/>
    <n v="1"/>
    <n v="1"/>
    <n v="1"/>
    <n v="1"/>
    <n v="1"/>
    <m/>
    <n v="0"/>
    <n v="0"/>
    <n v="200"/>
    <n v="0"/>
    <n v="0"/>
    <n v="0"/>
    <n v="0"/>
    <s v="UNRA"/>
    <s v="113 Uganda National Roads Authority"/>
    <s v="N/A"/>
  </r>
  <r>
    <x v="3"/>
    <x v="3"/>
    <s v="093"/>
    <s v="Transport Infrastructure and Services Development"/>
    <s v="0936"/>
    <s v="Transport interconnectivity to promote inter and inra-regional trade and reduce poverty"/>
    <s v="093604"/>
    <s v="Upgrade transport infrastructure particularly in the Karamoja area to promote mineral exploitation and industrialization in that area"/>
    <m/>
    <m/>
    <s v="09360401"/>
    <s v="Transport Infrastructure in Karamoja area, upgraded."/>
    <s v="Km of railway in Karamoja region upgraded"/>
    <m/>
    <n v="0"/>
    <n v="0"/>
    <n v="0"/>
    <n v="75"/>
    <n v="75"/>
    <s v="URC"/>
    <e v="#N/A"/>
    <s v="Upgrade of railway in Karamoja region"/>
    <n v="1"/>
    <n v="1"/>
    <n v="0"/>
    <n v="0"/>
    <n v="0"/>
    <n v="1"/>
    <n v="0"/>
    <n v="1"/>
    <n v="0.5"/>
    <m/>
    <n v="0"/>
    <n v="0"/>
    <n v="0"/>
    <n v="0"/>
    <n v="0"/>
    <n v="0"/>
    <n v="0"/>
    <s v="MoWT (URC)"/>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1"/>
    <s v="Cross border multi-modal transport infrastructure constructed and upgraded."/>
    <s v="Km of SGR constructed"/>
    <m/>
    <m/>
    <s v="-"/>
    <n v="91"/>
    <n v="91"/>
    <n v="91"/>
    <s v="MoWT"/>
    <s v="016 Ministry of Works and Transport"/>
    <s v="Construction of SGR"/>
    <n v="1"/>
    <n v="1"/>
    <n v="0"/>
    <n v="0"/>
    <n v="1"/>
    <n v="1"/>
    <n v="0"/>
    <n v="1"/>
    <n v="0.625"/>
    <m/>
    <n v="0"/>
    <n v="209.6920407059597"/>
    <n v="267.74999999999864"/>
    <n v="0"/>
    <m/>
    <m/>
    <n v="0"/>
    <s v="MoWT"/>
    <s v="016 Ministry of Works and Transport"/>
    <s v="URC"/>
  </r>
  <r>
    <x v="3"/>
    <x v="3"/>
    <s v="093"/>
    <s v="Transport Infrastructure and Services Development"/>
    <s v="0936"/>
    <s v="Transport interconnectivity to promote inter and inra-regional trade and reduce poverty"/>
    <s v="093605"/>
    <s v="Construct and upgrade cross border multi-modal transport infrastructure"/>
    <m/>
    <m/>
    <s v="09360502"/>
    <s v="87km road from Rwebisengo (Uganda) to Bunia (DRC); and Budiba Bridge"/>
    <m/>
    <m/>
    <m/>
    <m/>
    <m/>
    <m/>
    <m/>
    <m/>
    <e v="#N/A"/>
    <s v="Construction of Rwebisengo–Budiba/Bohuma–Kagoro–Bogoro–Bunia Road, including Budiba Bridge: 74km"/>
    <n v="1"/>
    <n v="1"/>
    <n v="0"/>
    <n v="0"/>
    <n v="0"/>
    <n v="1"/>
    <n v="0"/>
    <n v="1"/>
    <n v="0.5"/>
    <m/>
    <n v="0"/>
    <n v="0"/>
    <n v="0"/>
    <n v="299.99999999999909"/>
    <n v="40"/>
    <n v="192"/>
    <n v="232"/>
    <s v="UNRA"/>
    <s v="113 Uganda National Roads Authority"/>
    <s v="MoWT, MoFA, MoDV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Gulu facility"/>
    <m/>
    <n v="50"/>
    <n v="50"/>
    <m/>
    <m/>
    <m/>
    <s v="URC"/>
    <e v="#N/A"/>
    <s v="Construction of facility at Gulu"/>
    <n v="1"/>
    <n v="1"/>
    <n v="1"/>
    <n v="1"/>
    <n v="1"/>
    <n v="1"/>
    <n v="1"/>
    <n v="1"/>
    <n v="1"/>
    <m/>
    <n v="0"/>
    <n v="15"/>
    <n v="20"/>
    <n v="12"/>
    <n v="0"/>
    <n v="0"/>
    <n v="0"/>
    <s v="MoWT (URC)"/>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Malaba facility"/>
    <m/>
    <n v="90"/>
    <n v="10"/>
    <s v="-"/>
    <s v="-"/>
    <s v="-"/>
    <s v="MoWT"/>
    <s v="016 Ministry of Works and Transport"/>
    <s v="Construction of facility at Malaba"/>
    <n v="1"/>
    <n v="1"/>
    <n v="1"/>
    <n v="1"/>
    <n v="1"/>
    <n v="1"/>
    <n v="1"/>
    <n v="1"/>
    <n v="1"/>
    <m/>
    <n v="0"/>
    <n v="0"/>
    <n v="0"/>
    <n v="0"/>
    <n v="0"/>
    <n v="0"/>
    <n v="0"/>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Katuna facility"/>
    <m/>
    <n v="40"/>
    <n v="50"/>
    <n v="10"/>
    <s v="-"/>
    <s v="-"/>
    <s v="MoWT"/>
    <s v="016 Ministry of Works and Transport"/>
    <s v="Construction of facility at Katuna"/>
    <n v="1"/>
    <n v="1"/>
    <n v="1"/>
    <n v="1"/>
    <n v="1"/>
    <n v="1"/>
    <n v="1"/>
    <n v="1"/>
    <n v="1"/>
    <m/>
    <n v="0"/>
    <n v="0"/>
    <n v="0"/>
    <n v="0"/>
    <n v="0"/>
    <n v="0"/>
    <n v="0"/>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Goli facility"/>
    <m/>
    <n v="30"/>
    <n v="60"/>
    <n v="10"/>
    <s v="-"/>
    <s v="-"/>
    <s v="MoWT"/>
    <s v="016 Ministry of Works and Transport"/>
    <s v="Construction of facility at Goli"/>
    <n v="1"/>
    <n v="1"/>
    <n v="1"/>
    <n v="1"/>
    <n v="1"/>
    <n v="1"/>
    <n v="1"/>
    <n v="1"/>
    <n v="1"/>
    <m/>
    <n v="0"/>
    <n v="0"/>
    <n v="5"/>
    <n v="0"/>
    <n v="5"/>
    <n v="0"/>
    <n v="5"/>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Ntoroko facility"/>
    <m/>
    <n v="30"/>
    <n v="60"/>
    <n v="10"/>
    <m/>
    <s v="-"/>
    <s v="MoWT"/>
    <s v="016 Ministry of Works and Transport"/>
    <s v="Construction of facility at Ntoroko"/>
    <n v="1"/>
    <n v="1"/>
    <n v="1"/>
    <n v="1"/>
    <n v="1"/>
    <n v="1"/>
    <n v="1"/>
    <n v="1"/>
    <n v="1"/>
    <m/>
    <n v="0"/>
    <n v="0"/>
    <n v="5"/>
    <n v="0"/>
    <n v="5"/>
    <n v="0"/>
    <n v="5"/>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Mpondwe facility"/>
    <m/>
    <n v="25"/>
    <n v="50"/>
    <n v="25"/>
    <s v="-"/>
    <s v="-"/>
    <s v="MoWT"/>
    <s v="016 Ministry of Works and Transport"/>
    <s v="Construction of facility at Mpondwe"/>
    <n v="1"/>
    <n v="1"/>
    <n v="1"/>
    <n v="1"/>
    <n v="1"/>
    <n v="1"/>
    <n v="1"/>
    <n v="1"/>
    <n v="1"/>
    <m/>
    <n v="0"/>
    <n v="0"/>
    <n v="5"/>
    <n v="0"/>
    <n v="5"/>
    <n v="0"/>
    <n v="5"/>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3"/>
    <s v="Goli, Ntoroko, Katuna OSBPs constructed. "/>
    <s v="% of construction works at Bunagana facility"/>
    <m/>
    <n v="50"/>
    <n v="50"/>
    <s v="-"/>
    <s v="-"/>
    <s v="-"/>
    <s v="MoWT"/>
    <s v="016 Ministry of Works and Transport"/>
    <s v="Construction of facility at Bunagana"/>
    <n v="1"/>
    <n v="1"/>
    <n v="1"/>
    <n v="1"/>
    <n v="1"/>
    <n v="1"/>
    <n v="1"/>
    <n v="1"/>
    <n v="1"/>
    <m/>
    <n v="0"/>
    <n v="0"/>
    <n v="5"/>
    <n v="0"/>
    <n v="5"/>
    <n v="0"/>
    <n v="5"/>
    <s v="MoWT"/>
    <s v="016 Ministry of Works and Transport"/>
    <s v="N/A"/>
  </r>
  <r>
    <x v="3"/>
    <x v="3"/>
    <s v="093"/>
    <s v="Transport Infrastructure and Services Development"/>
    <s v="0936"/>
    <s v="Transport interconnectivity to promote inter and inra-regional trade and reduce poverty"/>
    <s v="093605"/>
    <s v="Construct and upgrade cross border multi-modal transport infrastructure"/>
    <m/>
    <m/>
    <s v="09360504"/>
    <s v="Tororo Inland Port developed"/>
    <s v="%ge of preparation of feasibility study"/>
    <m/>
    <s v="-"/>
    <s v="-"/>
    <s v="-"/>
    <n v="50"/>
    <n v="50"/>
    <s v="MoWT"/>
    <s v="016 Ministry of Works and Transport"/>
    <s v="Development of Tororo inland port"/>
    <n v="1"/>
    <n v="1"/>
    <n v="1"/>
    <n v="0"/>
    <n v="0"/>
    <n v="1"/>
    <n v="0"/>
    <n v="1"/>
    <n v="0.625"/>
    <m/>
    <n v="0"/>
    <n v="0"/>
    <n v="0"/>
    <n v="0"/>
    <n v="0"/>
    <n v="0"/>
    <n v="0"/>
    <s v="MoWT"/>
    <s v="016 Ministry of Works and Transport"/>
    <s v="N/A"/>
  </r>
  <r>
    <x v="4"/>
    <x v="4"/>
    <s v="13X"/>
    <s v="Government Commitments"/>
    <s v="13X"/>
    <s v="Provision for Government Commitments"/>
    <s v="13X"/>
    <s v="Government Commitments"/>
    <m/>
    <m/>
    <s v="13X"/>
    <s v="Government Commitments"/>
    <s v="-"/>
    <s v="-"/>
    <s v="-"/>
    <s v="-"/>
    <s v="-"/>
    <s v="-"/>
    <s v="-"/>
    <s v="-"/>
    <s v="-"/>
    <s v="Wage"/>
    <m/>
    <m/>
    <m/>
    <m/>
    <m/>
    <m/>
    <m/>
    <m/>
    <m/>
    <m/>
    <m/>
    <m/>
    <m/>
    <m/>
    <n v="11.3"/>
    <n v="11.3"/>
    <n v="22.6"/>
    <m/>
    <m/>
    <m/>
  </r>
  <r>
    <x v="4"/>
    <x v="4"/>
    <s v="13X"/>
    <s v="Government Commitments"/>
    <s v="13X"/>
    <s v="Provision for Government Commitments"/>
    <s v="13X"/>
    <s v="Government Commitments"/>
    <m/>
    <m/>
    <s v="13X"/>
    <s v="Government Commitments"/>
    <s v="-"/>
    <s v="-"/>
    <s v="-"/>
    <s v="-"/>
    <s v="-"/>
    <s v="-"/>
    <s v="-"/>
    <s v="-"/>
    <s v="-"/>
    <s v="Non-Wage (Statutory)"/>
    <m/>
    <m/>
    <m/>
    <m/>
    <m/>
    <m/>
    <m/>
    <m/>
    <m/>
    <m/>
    <m/>
    <m/>
    <m/>
    <m/>
    <n v="4.5200000000000005"/>
    <n v="4.5200000000000005"/>
    <n v="9.0400000000000009"/>
    <m/>
    <m/>
    <m/>
  </r>
  <r>
    <x v="4"/>
    <x v="4"/>
    <s v="13X"/>
    <s v="Government Commitments"/>
    <s v="13X"/>
    <s v="Provision for Government Commitments"/>
    <s v="13X"/>
    <s v="Government Commitments"/>
    <m/>
    <m/>
    <s v="13X"/>
    <s v="Government Commitments"/>
    <s v="-"/>
    <s v="-"/>
    <s v="-"/>
    <s v="-"/>
    <s v="-"/>
    <s v="-"/>
    <s v="-"/>
    <s v="-"/>
    <s v="-"/>
    <s v="Multi-Year Commitments"/>
    <m/>
    <m/>
    <m/>
    <m/>
    <m/>
    <m/>
    <m/>
    <m/>
    <m/>
    <m/>
    <m/>
    <m/>
    <m/>
    <m/>
    <n v="12.755600000000001"/>
    <n v="15.306719999999999"/>
    <n v="28.06232"/>
    <m/>
    <m/>
    <m/>
  </r>
  <r>
    <x v="4"/>
    <x v="4"/>
    <s v="131"/>
    <s v="STI Ecosystem Development"/>
    <s v="1313"/>
    <s v="1. Develop requisite STI infrastructure"/>
    <s v="131310"/>
    <s v="1.4. Establish a material science, nano &amp; bio science technology centres, Space Science and Aeronautics Technology Institute"/>
    <m/>
    <m/>
    <s v="13131001"/>
    <s v="National Space Science and Aeronautics Program Feasibility Study and Strategy"/>
    <s v="National Space Science and Aeronautics Program Strategy in place &amp; Feasibility Study Completed"/>
    <n v="0"/>
    <n v="0"/>
    <n v="0"/>
    <n v="1"/>
    <n v="1"/>
    <n v="1"/>
    <s v="STI-OP"/>
    <e v="#N/A"/>
    <s v="Undertake a Feasibility Study to Operationalise the National Aeronautics and Space Science Program and Develop a Strategy  "/>
    <n v="1"/>
    <n v="1"/>
    <n v="1"/>
    <n v="1"/>
    <n v="1"/>
    <n v="1"/>
    <n v="1"/>
    <n v="1"/>
    <n v="1"/>
    <m/>
    <n v="1"/>
    <n v="0"/>
    <n v="0"/>
    <n v="1"/>
    <n v="3"/>
    <n v="10"/>
    <n v="10"/>
    <s v="STI-OP"/>
    <s v="STI-OP"/>
    <s v="UPDF, MICT&amp;NG, MoWE, NPA"/>
  </r>
  <r>
    <x v="4"/>
    <x v="4"/>
    <s v="131"/>
    <s v="STI Ecosystem Development"/>
    <s v="1313"/>
    <s v="2. Build institutional and human resource capacity in STI"/>
    <s v="131310"/>
    <s v="2.3. Design and conduct practical skills development programmes "/>
    <m/>
    <m/>
    <s v="13131002"/>
    <s v="Operational Skilling Centre"/>
    <s v="Number of Persons Trained"/>
    <m/>
    <n v="0"/>
    <n v="0"/>
    <n v="100"/>
    <n v="300"/>
    <n v="500"/>
    <s v="UIRI"/>
    <s v="110 Uganda Industrial Research Institute"/>
    <s v="Operationalise the UIRI Machining Manufacturing Industrial Skilling and Production Centre at the Kampala Industrial Business Park in Namanve"/>
    <n v="1"/>
    <n v="1"/>
    <n v="0"/>
    <n v="1"/>
    <n v="1"/>
    <n v="1"/>
    <n v="0"/>
    <n v="0"/>
    <n v="0.625"/>
    <m/>
    <n v="0"/>
    <n v="0"/>
    <s v="-"/>
    <n v="0.2"/>
    <n v="2"/>
    <n v="5"/>
    <n v="4.5"/>
    <s v="UIRI"/>
    <s v="UIRI"/>
    <s v="STI-OP"/>
  </r>
  <r>
    <x v="4"/>
    <x v="4"/>
    <s v="131"/>
    <s v="STI Ecosystem Development"/>
    <s v="1313"/>
    <s v="2. Build institutional and human resource capacity in STI"/>
    <s v="131308"/>
    <s v="2.3. Design and conduct practical skills development programmes "/>
    <m/>
    <m/>
    <s v="13130801"/>
    <s v="Internship, Apprenticeship and Exchange Participants in ST&amp;I Strategic Areas"/>
    <s v="Number of technical persons in STI special programmes"/>
    <n v="35"/>
    <n v="0"/>
    <n v="0"/>
    <n v="80"/>
    <n v="105"/>
    <n v="130"/>
    <s v="STI-OP"/>
    <e v="#N/A"/>
    <s v="Establish internship, apprenticeship and exchange program in the prioritized strategic areas within STI Development and Transfer Program both within and between countries"/>
    <n v="1"/>
    <n v="1"/>
    <n v="0"/>
    <n v="1"/>
    <n v="1"/>
    <n v="0"/>
    <n v="0"/>
    <n v="0"/>
    <n v="0.5"/>
    <m/>
    <n v="0"/>
    <n v="0"/>
    <n v="0"/>
    <n v="1"/>
    <n v="5"/>
    <n v="5"/>
    <n v="11"/>
    <s v="STI-OP"/>
    <s v="STI-OP"/>
    <s v="MoES, MoFA, Mission Abroad"/>
  </r>
  <r>
    <x v="4"/>
    <x v="4"/>
    <s v="132"/>
    <s v="STI Ecosystem Development"/>
    <s v="1322"/>
    <s v="2. Build institutional and human resource capacity in STI"/>
    <s v="132203"/>
    <s v="2.3. Design and conduct practical skills development programmes "/>
    <m/>
    <m/>
    <s v="13220301"/>
    <s v="STI Personnel Trained"/>
    <s v="Number of STI Personnel Trained"/>
    <m/>
    <n v="0"/>
    <n v="0"/>
    <n v="60"/>
    <n v="120"/>
    <n v="180"/>
    <s v="STI-OP"/>
    <e v="#N/A"/>
    <s v="Supporting training of STI personnel in higher and research institutions"/>
    <n v="1"/>
    <n v="1"/>
    <n v="0"/>
    <n v="1"/>
    <n v="1"/>
    <n v="0"/>
    <n v="0"/>
    <n v="0"/>
    <n v="0.5"/>
    <m/>
    <n v="0"/>
    <n v="0"/>
    <n v="0"/>
    <n v="2"/>
    <n v="3"/>
    <n v="3"/>
    <n v="9"/>
    <s v="STI-OP"/>
    <s v="STI-OP"/>
    <m/>
  </r>
  <r>
    <x v="4"/>
    <x v="4"/>
    <s v="132"/>
    <s v="Research and Development"/>
    <s v="1322"/>
    <s v="2. Build institutional and human resource capacity in STI"/>
    <s v="132203"/>
    <s v="2.4. Design and implement special programmes for Nano technology, space exploration, nuclear technology, bio sciences, ICT and engineering;"/>
    <m/>
    <m/>
    <s v="13220302"/>
    <s v="Applied Research in Industry 4.0 + Technologies and Themes"/>
    <s v="Number of Research Projects Supported"/>
    <n v="0"/>
    <n v="0"/>
    <n v="0"/>
    <n v="2"/>
    <n v="10"/>
    <n v="10"/>
    <s v="STI-OP"/>
    <e v="#N/A"/>
    <s v="Support Applied Research in Industry 4.0 + Technologies and Themes (IOT, Artificial Intelligence, Machine Learning, Robotics, Big Data, Block Chain, Additive  Manufacturing e.t.c)"/>
    <n v="1"/>
    <n v="1"/>
    <n v="1"/>
    <n v="1"/>
    <n v="1"/>
    <n v="1"/>
    <n v="1"/>
    <n v="1"/>
    <n v="1"/>
    <m/>
    <n v="0"/>
    <n v="0"/>
    <n v="0"/>
    <n v="5"/>
    <n v="2"/>
    <n v="15"/>
    <n v="4"/>
    <s v="STI-OP"/>
    <s v="STI-OP"/>
    <s v="MICT&amp;NG, NITA, UNCST, UIRI, BIRDC"/>
  </r>
  <r>
    <x v="4"/>
    <x v="4"/>
    <s v="132"/>
    <s v="STI Ecosystem Development"/>
    <s v="1322"/>
    <s v="2. Build institutional and human resource capacity in STI"/>
    <s v="132203"/>
    <s v="2.2. Support the review of the curriculum and delivery methods at all levels of education with a view of promoting innovation;"/>
    <m/>
    <m/>
    <s v="13220303"/>
    <s v="STI human capital raised in schools and higher institutions of learning"/>
    <s v="Number of competitions conducted per year"/>
    <n v="0"/>
    <n v="0"/>
    <n v="0"/>
    <n v="2"/>
    <n v="1"/>
    <n v="1"/>
    <s v="STI-OP"/>
    <e v="#N/A"/>
    <s v="Conduct Nattional STI competitions in schools &amp; higher institutions  of learning"/>
    <n v="0"/>
    <n v="0"/>
    <n v="0"/>
    <n v="1"/>
    <n v="1"/>
    <n v="0"/>
    <n v="0"/>
    <n v="0"/>
    <n v="0.25"/>
    <m/>
    <n v="0"/>
    <n v="0"/>
    <s v="-"/>
    <n v="0.5"/>
    <n v="1.4"/>
    <n v="1.4"/>
    <n v="4.8"/>
    <s v="STI-OP"/>
    <s v="STI-OP"/>
    <s v="MoES, UNCST"/>
  </r>
  <r>
    <x v="4"/>
    <x v="4"/>
    <s v="132"/>
    <s v="STI Ecosystem Development"/>
    <s v="1322"/>
    <s v="2. Build institutional and human resource capacity in STI"/>
    <s v="132204"/>
    <s v="2.5. Develop a framework for promotion of multi-sectoral and multilateral collaborations"/>
    <m/>
    <s v="b. Strengthen the capacity of MDAs to effectively implement ST&amp;I interventions including deployment of ST&amp;I advisers to MDAs"/>
    <s v="13220401"/>
    <s v="National ST&amp;I Advisory role strenghened"/>
    <s v="National ST&amp;I Advisory, Foresight and Compliance System Established and Operationalised"/>
    <n v="0"/>
    <n v="0"/>
    <n v="0"/>
    <n v="0"/>
    <n v="1"/>
    <n v="1"/>
    <s v="STI-OP"/>
    <e v="#N/A"/>
    <s v="Establish the National ST&amp;I Advisory, Foresight and Compliance System (Structures, Procedures &amp; HR)"/>
    <n v="0"/>
    <n v="0"/>
    <n v="0"/>
    <n v="1"/>
    <n v="1"/>
    <n v="1"/>
    <n v="0"/>
    <n v="1"/>
    <n v="0.5"/>
    <m/>
    <n v="0"/>
    <n v="0"/>
    <n v="0"/>
    <n v="2"/>
    <n v="1"/>
    <n v="5"/>
    <n v="3.5"/>
    <s v="STI-OP"/>
    <s v="STI-OP"/>
    <m/>
  </r>
  <r>
    <x v="4"/>
    <x v="4"/>
    <s v="132"/>
    <s v="STI Ecosystem Development"/>
    <s v="1322"/>
    <s v="3. To strengthen R&amp;D capacities and applications"/>
    <s v="132204"/>
    <s v="3.2. Develop and implement a National Science and Technology Innovation Strategy;"/>
    <m/>
    <m/>
    <s v="13220402"/>
    <s v="National Strategy for ST&amp;I Integration in place"/>
    <s v="STI integrated in the different aspects of the economy"/>
    <n v="0"/>
    <n v="0"/>
    <n v="0"/>
    <n v="1"/>
    <n v="1"/>
    <n v="1"/>
    <s v="STI-OP"/>
    <e v="#N/A"/>
    <s v="Develop and implement a National Strategy for ST&amp;I Integration"/>
    <n v="1"/>
    <n v="0"/>
    <n v="0"/>
    <n v="1"/>
    <n v="1"/>
    <n v="0"/>
    <n v="0"/>
    <n v="1"/>
    <n v="0.5"/>
    <m/>
    <n v="0"/>
    <n v="0"/>
    <s v="-"/>
    <n v="3"/>
    <n v="0.1"/>
    <n v="1"/>
    <n v="0.1"/>
    <s v="STI-OP"/>
    <s v="STI-OP"/>
    <s v="UNCST"/>
  </r>
  <r>
    <x v="4"/>
    <x v="4"/>
    <s v="132"/>
    <s v="STI Ecosystem Development"/>
    <s v="1322"/>
    <s v="5. To improve the legal, institutional and regulatory framework"/>
    <s v="132205"/>
    <s v="5.2. Develop policies, laws and regulations for technology development, transfer and market development and attraction of private funding and FDI in STI."/>
    <s v="132205a"/>
    <m/>
    <s v="132205a01"/>
    <s v="Programme administrative and operational costs met"/>
    <s v="PWG Operational"/>
    <s v="-"/>
    <n v="0"/>
    <n v="0"/>
    <n v="1"/>
    <n v="1"/>
    <n v="1"/>
    <s v="STI-OP"/>
    <e v="#N/A"/>
    <s v="Provide for Programme Admin costs "/>
    <n v="0"/>
    <n v="0"/>
    <n v="0"/>
    <n v="0"/>
    <n v="0"/>
    <n v="0"/>
    <n v="0"/>
    <n v="1"/>
    <n v="0.125"/>
    <m/>
    <n v="0"/>
    <n v="0"/>
    <s v="-"/>
    <n v="0.1"/>
    <n v="16.423999999999999"/>
    <n v="16.423999999999999"/>
    <n v="49.268000000000001"/>
    <s v="STI-OP"/>
    <s v="STI-OP"/>
    <m/>
  </r>
  <r>
    <x v="4"/>
    <x v="4"/>
    <s v="132"/>
    <s v="STI Ecosystem Development"/>
    <s v="1322"/>
    <s v="2. Build institutional and human resource capacity in STI"/>
    <s v="132205"/>
    <s v="2.5. Develop a framework for promotion of multi-sectoral and multilateral collaborations"/>
    <s v="132205b"/>
    <s v="a. Monitor and evaluate the mainstreaming of ST&amp;I in all sectors"/>
    <s v="132205b01"/>
    <s v="Program reviews, evaluations conducted"/>
    <s v="Review Reports compiled"/>
    <s v="-"/>
    <n v="0"/>
    <n v="0"/>
    <n v="3"/>
    <n v="3"/>
    <n v="3"/>
    <s v="STI-OP"/>
    <e v="#N/A"/>
    <s v="Undertake annual, mid term and end term programme reviews"/>
    <n v="1"/>
    <n v="1"/>
    <n v="0"/>
    <n v="1"/>
    <n v="1"/>
    <n v="0"/>
    <n v="1"/>
    <n v="1"/>
    <n v="0.75"/>
    <m/>
    <n v="0"/>
    <n v="0"/>
    <s v="-"/>
    <n v="1.4"/>
    <n v="0.1"/>
    <n v="5"/>
    <n v="0.6"/>
    <s v="STI-OP"/>
    <s v="STI-OP"/>
    <s v="UIRI, UNCST, BIRDC"/>
  </r>
  <r>
    <x v="4"/>
    <x v="4"/>
    <s v="132"/>
    <s v="STI Ecosystem Development"/>
    <s v="1322"/>
    <s v="3. To strengthen R&amp;D capacities and applications"/>
    <s v="132205"/>
    <s v="3.1. Develop and popularize a National STI Research Agenda for STI; "/>
    <s v="132205b"/>
    <m/>
    <s v="132205b02"/>
    <s v="National STI Strategy"/>
    <s v="Strategy in place"/>
    <s v="-"/>
    <n v="0"/>
    <n v="0"/>
    <n v="1"/>
    <n v="1"/>
    <n v="1"/>
    <s v="UNCST"/>
    <e v="#N/A"/>
    <s v="Develop and implement a National Science and Technology Innovation Strategy"/>
    <n v="1"/>
    <n v="1"/>
    <n v="1"/>
    <n v="1"/>
    <n v="1"/>
    <n v="0"/>
    <n v="1"/>
    <n v="1"/>
    <n v="0.875"/>
    <m/>
    <n v="0"/>
    <s v="-"/>
    <s v="-"/>
    <n v="0.2"/>
    <n v="0.2"/>
    <n v="0.2"/>
    <n v="1.5"/>
    <s v="UNCST"/>
    <s v="023 STI-OP"/>
    <s v="STI-OP, UIRI, KMC, BIRDC"/>
  </r>
  <r>
    <x v="4"/>
    <x v="4"/>
    <s v="132"/>
    <s v="STI Ecosystem Development"/>
    <s v="1322"/>
    <s v="2. Build institutional and human resource capacity in STI"/>
    <s v="132205"/>
    <s v="2.1. Develop and Implement a National STI Advancement and Outreach Strategy;"/>
    <s v="132205b"/>
    <m/>
    <s v="132205b03"/>
    <s v="A National STI Advancement and Outreach Strategy"/>
    <s v="A National STI Advancement and Outreach Strategy in place "/>
    <n v="0"/>
    <n v="0"/>
    <n v="0"/>
    <n v="1"/>
    <n v="1"/>
    <n v="1"/>
    <s v="UNCST"/>
    <e v="#N/A"/>
    <s v="Formulate the National STEI Advancement and Outreach Strategy"/>
    <n v="0"/>
    <n v="0"/>
    <n v="0"/>
    <n v="1"/>
    <n v="1"/>
    <n v="1"/>
    <n v="0"/>
    <n v="0"/>
    <n v="0.375"/>
    <m/>
    <n v="0"/>
    <n v="0"/>
    <s v="-"/>
    <n v="1"/>
    <n v="1"/>
    <n v="0.2"/>
    <n v="1.2"/>
    <s v="UNCST"/>
    <s v="023 STI-OP"/>
    <s v="MICT&amp;NG, STI-OP, UIRI, BIRDC"/>
  </r>
  <r>
    <x v="4"/>
    <x v="4"/>
    <s v="132"/>
    <s v="STI Ecosystem Development"/>
    <s v="1322"/>
    <s v="3. To strengthen R&amp;D capacities and applications"/>
    <s v="132205"/>
    <s v="3.4. Develop and maintain a national STI Information Management System (including a database of new and on-going Scientific Research, technologies innovations and indigenous knowledge from public and private sectors);"/>
    <s v="132205b"/>
    <m/>
    <s v="132205b04"/>
    <s v="Record of all scientific research carried out in the country"/>
    <s v="Number of research activities registered"/>
    <m/>
    <n v="0"/>
    <n v="0"/>
    <n v="100"/>
    <n v="1000"/>
    <n v="1000"/>
    <s v="UNCST"/>
    <e v="#N/A"/>
    <s v="Undertake research registration and clearance"/>
    <n v="0"/>
    <n v="0"/>
    <n v="0"/>
    <n v="1"/>
    <n v="1"/>
    <n v="1"/>
    <n v="0"/>
    <n v="1"/>
    <n v="0.5"/>
    <m/>
    <n v="0"/>
    <n v="0"/>
    <s v="-"/>
    <n v="0.1"/>
    <n v="0.1"/>
    <n v="5"/>
    <n v="1.3"/>
    <s v="UNCST"/>
    <s v="STI-OP"/>
    <m/>
  </r>
  <r>
    <x v="4"/>
    <x v="4"/>
    <s v="132"/>
    <s v="STI Ecosystem Development"/>
    <s v="1322"/>
    <s v="3. To strengthen R&amp;D capacities and applications"/>
    <s v="132205"/>
    <s v="3.4. Develop and maintain a national STI Information Management System (including a database of new and on-going Scientific Research, technologies innovations and indigenous knowledge from public and private sectors);"/>
    <s v="132205b"/>
    <m/>
    <s v="132205b05"/>
    <s v="A functional national STI Information system maintained"/>
    <s v="Online Catalogue Profiling ST&amp;I Activities and IPs registered in Uganda"/>
    <n v="0"/>
    <n v="0"/>
    <n v="0"/>
    <n v="0"/>
    <n v="1"/>
    <n v="1"/>
    <s v="UNCST"/>
    <e v="#N/A"/>
    <s v="Develop and operationalize the STEI information system"/>
    <n v="1"/>
    <n v="0"/>
    <n v="0"/>
    <n v="1"/>
    <n v="1"/>
    <n v="1"/>
    <n v="0"/>
    <n v="1"/>
    <n v="0.625"/>
    <m/>
    <n v="0"/>
    <s v="-"/>
    <s v="-"/>
    <n v="0.1"/>
    <n v="1"/>
    <n v="1.5"/>
    <n v="3"/>
    <s v="UNCST"/>
    <s v="STI-OP"/>
    <s v="STI-OP"/>
  </r>
  <r>
    <x v="4"/>
    <x v="4"/>
    <s v="132"/>
    <s v="STI Ecosystem Development"/>
    <s v="1325"/>
    <s v="5. To improve the legal, institutional and regulatory framework"/>
    <s v="132504"/>
    <s v="5.2. Develop policies, laws and regulations for technology development, transfer and market development and attraction of private funding and FDI in STI."/>
    <m/>
    <m/>
    <s v="13250401"/>
    <s v="STI Policies, laws and regulations developed"/>
    <s v="Number of STEI Policies, laws and regulations developed"/>
    <m/>
    <n v="0"/>
    <n v="0"/>
    <n v="2"/>
    <n v="4"/>
    <n v="4"/>
    <s v="STI-OP"/>
    <e v="#N/A"/>
    <s v="Review &amp; Formulate Relevant ST&amp;I Laws, Regulations, Polices and Legal Instruments (Indigenous knowledge, Genetic Engineering, Biosecurity, Biosafety, ST&amp;I Policy, ST&amp;I Law &amp; Regulations, Technology Transfer, TRIPS Agreement, …) "/>
    <n v="1"/>
    <n v="0"/>
    <n v="0"/>
    <n v="1"/>
    <n v="1"/>
    <n v="1"/>
    <n v="0"/>
    <n v="1"/>
    <n v="0.625"/>
    <m/>
    <n v="0"/>
    <s v="-"/>
    <s v="-"/>
    <n v="16.423999999999999"/>
    <n v="0.2"/>
    <n v="0.2"/>
    <n v="1.0999999999999999"/>
    <s v="STI-OP"/>
    <s v="STI-OP"/>
    <m/>
  </r>
  <r>
    <x v="4"/>
    <x v="4"/>
    <s v="132"/>
    <s v="STI Ecosystem Development"/>
    <s v="1325"/>
    <s v="1. Develop requisite STI infrastructure"/>
    <s v="132504"/>
    <s v="1.7. Establish a Research and Innovation Fund. "/>
    <m/>
    <m/>
    <s v="13250401"/>
    <s v="Innovations Fund Framework"/>
    <s v="Innovations Fund Framework in Place"/>
    <m/>
    <n v="0"/>
    <n v="0"/>
    <n v="1"/>
    <n v="1"/>
    <n v="1"/>
    <s v="STI-OP"/>
    <e v="#N/A"/>
    <s v="Develop an Innovation Fund Framework"/>
    <n v="0"/>
    <n v="0"/>
    <n v="0"/>
    <n v="1"/>
    <n v="1"/>
    <n v="1"/>
    <n v="0"/>
    <n v="1"/>
    <n v="0.5"/>
    <m/>
    <n v="0"/>
    <s v="-"/>
    <s v="-"/>
    <n v="0.5"/>
    <n v="0.2"/>
    <n v="0.5"/>
    <n v="0.30000000000000004"/>
    <s v="STI-OP"/>
    <s v="STI-OP"/>
    <s v="UNCST"/>
  </r>
  <r>
    <x v="4"/>
    <x v="4"/>
    <s v="132"/>
    <s v="STI Ecosystem Development"/>
    <s v="1325"/>
    <s v="5. To improve the legal, institutional and regulatory framework"/>
    <s v="132504"/>
    <s v="5.3. Develop, review and amend policies to promote the development and uptake of technologies"/>
    <m/>
    <m/>
    <s v="13250402"/>
    <s v="National Automotive Industry Policy, and Tax and Non-Tax Measures"/>
    <s v="National Automotive Industry Policy, and Tax and Non-Tax Measures in Place"/>
    <m/>
    <n v="0"/>
    <n v="0"/>
    <n v="1"/>
    <n v="1"/>
    <n v="1"/>
    <s v="STI-OP"/>
    <e v="#N/A"/>
    <s v="Develop and Operationalize the National Automotive Industry Policy, and Tax and Non-Tax Measures to Incentivize Value Chain Actors; "/>
    <n v="1"/>
    <n v="1"/>
    <n v="0"/>
    <n v="1"/>
    <n v="1"/>
    <n v="1"/>
    <n v="0"/>
    <n v="1"/>
    <n v="0.75"/>
    <m/>
    <n v="0"/>
    <n v="0"/>
    <n v="0"/>
    <n v="0.2"/>
    <n v="0"/>
    <n v="0.2"/>
    <n v="0.3"/>
    <s v="STI-OP"/>
    <s v="STI-OP"/>
    <s v="KMC"/>
  </r>
  <r>
    <x v="4"/>
    <x v="4"/>
    <s v="132"/>
    <s v="Industrial Value Chain Development"/>
    <s v="1325"/>
    <s v="4. Increase development, transfer and adoption of appropriate technologies and innovations"/>
    <s v="132504"/>
    <s v="4.2. Develop strategic local and international partnerships and cooperation on technology transfer and adoption;"/>
    <m/>
    <m/>
    <s v="13250403"/>
    <s v="JVS, Partnership Agreements &amp; Offtake Agreements"/>
    <s v="Number of  JVS, Partnership Agreements &amp; Offtake Agreements signed"/>
    <n v="0"/>
    <n v="0"/>
    <n v="0"/>
    <n v="3"/>
    <n v="4"/>
    <n v="5"/>
    <s v="KMC"/>
    <e v="#N/A"/>
    <s v="Enact Offtake Agreements to Guarantee Offtake Market for Key Government Segments as well as contract manufacturing with Global Vehicle Manufacturer to build capacity to Develop Make and Sell Vehicles Targeting Regional Market"/>
    <n v="1"/>
    <n v="1"/>
    <n v="0"/>
    <n v="1"/>
    <n v="1"/>
    <n v="0"/>
    <n v="0"/>
    <n v="1"/>
    <n v="0.625"/>
    <m/>
    <n v="0"/>
    <n v="0"/>
    <n v="0"/>
    <n v="0.1"/>
    <n v="0.5"/>
    <n v="1"/>
    <n v="1"/>
    <s v="KMC"/>
    <s v="STI-OP"/>
    <s v="STI-OP, MJCA, AG"/>
  </r>
  <r>
    <x v="4"/>
    <x v="4"/>
    <s v="132"/>
    <s v="Industrial Value Chain Development"/>
    <s v="1323"/>
    <s v="4. Increase development, transfer and adoption of appropriate technologies and innovations"/>
    <s v="132302"/>
    <s v="4.6. Strengthen the function of technology acquisition, promotion as well as transfer and adoption"/>
    <m/>
    <m/>
    <s v="13230201"/>
    <s v="Locally Manufactured Key Vehcile Parts and Mobility System"/>
    <s v="Number of Vehicle Parts and Vehicle Systems Localized"/>
    <s v="-"/>
    <n v="0"/>
    <n v="0"/>
    <n v="50"/>
    <n v="50"/>
    <n v="50"/>
    <s v="KMC"/>
    <e v="#N/A"/>
    <s v="Support the Localization/Technology Transfer of Key Vehicle Parts and Mobility Systems"/>
    <n v="1"/>
    <n v="1"/>
    <n v="1"/>
    <n v="1"/>
    <n v="1"/>
    <n v="0"/>
    <n v="0"/>
    <n v="1"/>
    <n v="0.75"/>
    <m/>
    <n v="0"/>
    <n v="0"/>
    <n v="0"/>
    <n v="0.3"/>
    <n v="1.5"/>
    <n v="5"/>
    <n v="4.5"/>
    <s v="KMC"/>
    <s v="023 STI-OP"/>
    <s v="STI-OP, MJCA, AG, MFA"/>
  </r>
  <r>
    <x v="4"/>
    <x v="4"/>
    <s v="132"/>
    <s v="Research and Development"/>
    <s v="1322"/>
    <s v="3. To strengthen R&amp;D capacities and applications"/>
    <s v="132201"/>
    <s v="3.3. Strengthen the Intellectual Property (IP) value chain management; "/>
    <m/>
    <m/>
    <s v="13220101"/>
    <s v="Intellectual Property Rights registered"/>
    <s v="Number of Intellectual Property Rights registered"/>
    <n v="0"/>
    <n v="0"/>
    <n v="0"/>
    <n v="100"/>
    <n v="100"/>
    <n v="100"/>
    <s v="STI-OP"/>
    <e v="#N/A"/>
    <s v="Support the registration of intellectual property rights"/>
    <n v="0"/>
    <n v="0"/>
    <n v="0"/>
    <n v="1"/>
    <n v="1"/>
    <n v="1"/>
    <n v="0"/>
    <n v="1"/>
    <n v="0.5"/>
    <m/>
    <n v="0"/>
    <n v="0"/>
    <n v="0"/>
    <n v="0.2"/>
    <n v="2"/>
    <n v="2"/>
    <n v="7"/>
    <s v="STI-OP"/>
    <s v="STI-OP"/>
    <s v="MICT&amp;NG, NITA, UNCST, UIRI, BIRDC"/>
  </r>
  <r>
    <x v="4"/>
    <x v="4"/>
    <s v="132"/>
    <s v="STI Ecosystem Development"/>
    <s v="1323"/>
    <s v="3. To strengthen R&amp;D capacities and applications"/>
    <s v="132304"/>
    <s v="3.7. Develop, oversee and implement programmes in new and emerging areas of space science, marine, nuclear, data and climate science, nanotechnology, bio-technology, among others;"/>
    <m/>
    <m/>
    <s v="13230401"/>
    <s v="STEI think tank established"/>
    <s v="Number of ST&amp;I Think Tanks in place"/>
    <m/>
    <n v="0"/>
    <n v="0"/>
    <n v="5"/>
    <n v="9"/>
    <n v="9"/>
    <s v="STI-OP"/>
    <e v="#N/A"/>
    <s v="Establish and operationalize the STEI interaction think tank"/>
    <n v="0"/>
    <n v="0"/>
    <n v="0"/>
    <n v="1"/>
    <n v="1"/>
    <n v="1"/>
    <n v="1"/>
    <n v="0"/>
    <n v="0.5"/>
    <m/>
    <n v="0"/>
    <n v="0"/>
    <n v="0"/>
    <n v="0.1"/>
    <n v="0.5"/>
    <n v="2"/>
    <n v="1.5"/>
    <s v="STI-OP"/>
    <s v="STI-OP"/>
    <m/>
  </r>
  <r>
    <x v="4"/>
    <x v="4"/>
    <s v="132"/>
    <s v="STI Ecosystem Development"/>
    <s v="1323"/>
    <s v="3. To strengthen R&amp;D capacities and applications"/>
    <s v="132304"/>
    <s v="3.6. Establish research collaborations at local, regional and international level; "/>
    <m/>
    <m/>
    <s v="13230402"/>
    <s v="Increased ST&amp;I collaborations at the different levels"/>
    <s v="Number of research outputs commercialised"/>
    <n v="0"/>
    <n v="0"/>
    <n v="0"/>
    <n v="15"/>
    <n v="15"/>
    <n v="20"/>
    <s v="MOSTI, UNCST, UIRI"/>
    <e v="#N/A"/>
    <s v=" Development  of country specific areas of collaborations in research "/>
    <n v="0"/>
    <n v="0"/>
    <n v="0"/>
    <n v="1"/>
    <n v="1"/>
    <n v="1"/>
    <n v="0"/>
    <n v="0"/>
    <n v="0.375"/>
    <m/>
    <n v="0"/>
    <s v="-"/>
    <s v="-"/>
    <n v="1"/>
    <m/>
    <n v="8"/>
    <n v="23.6"/>
    <s v="STI-OP"/>
    <s v="STI-OP"/>
    <m/>
  </r>
  <r>
    <x v="4"/>
    <x v="4"/>
    <s v="132"/>
    <s v="Industrial Value Chain Development"/>
    <s v="1323"/>
    <s v="4. Increase development, transfer and adoption of appropriate technologies and innovations"/>
    <s v="132301"/>
    <s v="4.6. Strengthen the function of technology acquisition, promotion as well as transfer and adoption"/>
    <m/>
    <m/>
    <s v="13230101"/>
    <s v="Banana Processing Machinery &amp; Equipment"/>
    <s v="Number of Banana Products on Market "/>
    <s v="-"/>
    <n v="0"/>
    <n v="0"/>
    <n v="10"/>
    <n v="10"/>
    <n v="10"/>
    <s v="BIRDC"/>
    <e v="#N/A"/>
    <s v="Support the Development and Industrialization of the Banana Value Chain "/>
    <n v="1"/>
    <n v="1"/>
    <n v="1"/>
    <n v="1"/>
    <n v="1"/>
    <n v="0"/>
    <n v="1"/>
    <n v="1"/>
    <n v="0.875"/>
    <m/>
    <n v="0"/>
    <s v="-"/>
    <s v="-"/>
    <n v="0.5"/>
    <n v="10"/>
    <n v="29"/>
    <n v="35"/>
    <s v="BIRDC"/>
    <s v="STI-OP"/>
    <s v="STI-OP"/>
  </r>
  <r>
    <x v="4"/>
    <x v="4"/>
    <s v="132"/>
    <s v="Industrial Value Chain Development"/>
    <s v="1325"/>
    <s v="4. Increase development, transfer and adoption of appropriate technologies and innovations"/>
    <s v="132502"/>
    <s v="4.6. Strengthen the function of technology acquisition, promotion as well as transfer and adoption"/>
    <m/>
    <m/>
    <s v="13250201"/>
    <s v="Casava Industrial Development"/>
    <s v="Number of Cassava Products on Market "/>
    <s v="-"/>
    <n v="0"/>
    <n v="0"/>
    <n v="10"/>
    <n v="5"/>
    <n v="10"/>
    <s v="STI-OP"/>
    <e v="#N/A"/>
    <s v="Support the Development and Industrialization of the Casava Value Chain "/>
    <n v="1"/>
    <n v="1"/>
    <n v="1"/>
    <n v="1"/>
    <n v="1"/>
    <n v="1"/>
    <n v="1"/>
    <n v="1"/>
    <n v="1"/>
    <m/>
    <n v="0"/>
    <n v="0"/>
    <n v="0"/>
    <n v="0.2"/>
    <n v="5"/>
    <n v="10"/>
    <n v="14"/>
    <s v="STI-OP"/>
    <s v="STI-OP"/>
    <m/>
  </r>
  <r>
    <x v="4"/>
    <x v="4"/>
    <s v="132"/>
    <s v="Industrial Value Chain Development"/>
    <s v="1325"/>
    <s v="4. Increase development, transfer and adoption of appropriate technologies and innovations"/>
    <s v="132502"/>
    <s v="4.6. Strengthen the function of technology acquisition, promotion as well as transfer and adoption"/>
    <m/>
    <m/>
    <s v="13250202"/>
    <s v="Bamboo Industrial Development"/>
    <s v="Number of Bambo Products on Market "/>
    <s v="-"/>
    <n v="0"/>
    <n v="0"/>
    <n v="10"/>
    <n v="5"/>
    <n v="10"/>
    <s v="STI-OP"/>
    <e v="#N/A"/>
    <s v="Support the Development and Industrialization of the Bamboo Value Chain "/>
    <n v="1"/>
    <n v="0"/>
    <n v="1"/>
    <n v="1"/>
    <n v="1"/>
    <n v="0"/>
    <n v="1"/>
    <n v="1"/>
    <n v="0.75"/>
    <m/>
    <n v="0"/>
    <s v="-"/>
    <s v="-"/>
    <n v="0.2"/>
    <n v="15"/>
    <n v="15"/>
    <n v="32"/>
    <s v="STI-OP"/>
    <s v="STI-OP"/>
    <s v="UIRI"/>
  </r>
  <r>
    <x v="4"/>
    <x v="4"/>
    <s v="132"/>
    <s v="Industrial Value Chain Development"/>
    <s v="1325"/>
    <s v="4. Increase development, transfer and adoption of appropriate technologies and innovations"/>
    <s v="132502"/>
    <s v="4.6. Strengthen the function of technology acquisition, promotion as well as transfer and adoption"/>
    <m/>
    <m/>
    <s v="13250203"/>
    <s v="Apparel Products from Indigenous Materials "/>
    <s v="Apparel Products from Indigenous Materials Develooped and Commercialised"/>
    <s v="-"/>
    <n v="0"/>
    <n v="0"/>
    <n v="10"/>
    <n v="10"/>
    <n v="10"/>
    <s v="STI-OP"/>
    <e v="#N/A"/>
    <s v="Develop and Commercialise (Including Marketing, Branidng, Packaging) Apparel Products from Indigenous Materials (Banana Fibre, Sisal, Backcloth, Cotton, Emerging Fibres, Bamboo, Leather, Petro-Chemical Fibres etc)"/>
    <n v="1"/>
    <n v="1"/>
    <n v="1"/>
    <n v="1"/>
    <n v="1"/>
    <n v="0"/>
    <n v="1"/>
    <n v="1"/>
    <n v="0.875"/>
    <m/>
    <n v="0"/>
    <n v="0"/>
    <s v="-"/>
    <n v="0.3"/>
    <n v="5"/>
    <n v="5"/>
    <n v="12"/>
    <s v="STI-OP"/>
    <s v="STI-OP"/>
    <s v="UIRI"/>
  </r>
  <r>
    <x v="4"/>
    <x v="4"/>
    <s v="132"/>
    <s v="Industrial Value Chain Development"/>
    <s v="1325"/>
    <s v="4. Increase development, transfer and adoption of appropriate technologies and innovations"/>
    <s v="132502"/>
    <s v="4.6. Strengthen the function of technology acquisition, promotion as well as transfer and adoption"/>
    <m/>
    <m/>
    <s v="13250204"/>
    <s v="Beauty and Dematology Products from Indigenous Materials (Hair, Body, Health &amp; Hygiene)"/>
    <s v="Beauty and Dematology Products from Indigenous Materials (Hair, Body, Health &amp; Hygiene) Developed and Commercialised"/>
    <s v="-"/>
    <n v="0"/>
    <n v="0"/>
    <n v="10"/>
    <n v="10"/>
    <n v="10"/>
    <s v="STI-OP"/>
    <e v="#N/A"/>
    <s v="Develop and Commercialise (Including Marketing, Branidng, Packaging) Beauty and Dermatology Products from Indigenous Materials (Hair, Body, Health &amp; Hygiene)"/>
    <n v="1"/>
    <n v="1"/>
    <n v="1"/>
    <n v="1"/>
    <n v="1"/>
    <n v="0"/>
    <n v="1"/>
    <n v="1"/>
    <n v="0.875"/>
    <m/>
    <n v="0"/>
    <n v="0"/>
    <n v="0"/>
    <n v="0"/>
    <n v="10"/>
    <n v="10"/>
    <n v="20"/>
    <s v="STI-OP"/>
    <s v="STI-OP"/>
    <s v="UIRI"/>
  </r>
  <r>
    <x v="4"/>
    <x v="4"/>
    <s v="132"/>
    <s v="Industrial Value Chain Development"/>
    <s v="1324"/>
    <s v="4. Increase development, transfer and adoption of appropriate technologies and innovations"/>
    <s v="132402"/>
    <s v="4.6. Strengthen the function of technology acquisition, promotion as well as transfer and adoption"/>
    <m/>
    <m/>
    <s v="13240201"/>
    <s v="The Technology for Commercial Extraction of Mineral Salts from National Brine Deposits"/>
    <s v="Prototype Production Line for Commercial Salt Production"/>
    <s v="-"/>
    <n v="0"/>
    <n v="0"/>
    <n v="1"/>
    <n v="1"/>
    <n v="1"/>
    <s v="STI-OP"/>
    <e v="#N/A"/>
    <s v="Develop Technology for Commercial Extraction of Mineral Salts from National Brine Deposits"/>
    <n v="1"/>
    <n v="1"/>
    <n v="1"/>
    <n v="0"/>
    <n v="1"/>
    <n v="1"/>
    <n v="1"/>
    <n v="1"/>
    <n v="0.875"/>
    <m/>
    <n v="0"/>
    <s v="-"/>
    <s v="-"/>
    <n v="0.5"/>
    <n v="0.46"/>
    <n v="0.46"/>
    <n v="0.92"/>
    <s v="STI-OP"/>
    <s v="STI-OP"/>
    <s v="UDC"/>
  </r>
  <r>
    <x v="4"/>
    <x v="4"/>
    <s v="132"/>
    <s v="Industrial Value Chain Development"/>
    <s v="1325"/>
    <s v="4. Increase development, transfer and adoption of appropriate technologies and innovations"/>
    <s v="132501"/>
    <s v="4.6. Strengthen the function of technology acquisition, promotion as well as transfer and adoption"/>
    <m/>
    <m/>
    <s v="13250101"/>
    <s v="Production Line for Round the Clock Crop Drier with Quality-Water Recovery"/>
    <s v="Operational solar drying System Assembly "/>
    <s v="-"/>
    <n v="0"/>
    <n v="0"/>
    <n v="1"/>
    <n v="1"/>
    <n v="1"/>
    <s v="STI-OP"/>
    <e v="#N/A"/>
    <s v="Utilization of Solar Energy for Rural Agro-Industrialization (Solar Irrigation System)"/>
    <n v="1"/>
    <n v="1"/>
    <n v="1"/>
    <n v="1"/>
    <n v="1"/>
    <n v="0"/>
    <n v="1"/>
    <n v="1"/>
    <n v="0.875"/>
    <m/>
    <n v="0"/>
    <n v="0"/>
    <s v="-"/>
    <n v="1.5"/>
    <n v="0.5"/>
    <n v="0.5"/>
    <n v="1"/>
    <s v="STI-OP"/>
    <s v="STI-OP"/>
    <m/>
  </r>
  <r>
    <x v="4"/>
    <x v="4"/>
    <s v="132"/>
    <s v="Industrial Value Chain Development"/>
    <s v="1325"/>
    <s v="4. Increase development, transfer and adoption of appropriate technologies and innovations"/>
    <s v="132501"/>
    <s v="4.6. Strengthen the function of technology acquisition, promotion as well as transfer and adoption"/>
    <m/>
    <m/>
    <s v="13250102"/>
    <s v="Setting Up an Assembly Line for Engine Technology"/>
    <s v="Number Engines Produced"/>
    <s v="-"/>
    <n v="0"/>
    <n v="0"/>
    <n v="5"/>
    <n v="20"/>
    <n v="20"/>
    <s v="STI-OP"/>
    <e v="#N/A"/>
    <s v="Advancement of Engine Research, Development &amp; Deployment for Agricultural Mechanization and Technology Validation"/>
    <n v="1"/>
    <n v="1"/>
    <n v="1"/>
    <n v="1"/>
    <n v="1"/>
    <n v="0"/>
    <n v="1"/>
    <n v="0"/>
    <n v="0.75"/>
    <m/>
    <n v="0"/>
    <n v="0"/>
    <s v="-"/>
    <n v="2"/>
    <n v="10"/>
    <n v="10"/>
    <n v="21.5"/>
    <s v="STI-OP"/>
    <s v="STI-OP"/>
    <s v="UIRI"/>
  </r>
  <r>
    <x v="4"/>
    <x v="4"/>
    <s v="132"/>
    <s v="Industrial Value Chain Development"/>
    <s v="1325"/>
    <s v="4. Increase development, transfer and adoption of appropriate technologies and innovations"/>
    <s v="132503"/>
    <s v="4.6. Strengthen the function of technology acquisition, promotion as well as transfer and adoption"/>
    <m/>
    <m/>
    <s v="13250301"/>
    <s v="4 types of circuit boards produced"/>
    <s v="Number of patents registered &amp; circuit boards produced"/>
    <s v="-"/>
    <n v="0"/>
    <n v="0"/>
    <n v="1"/>
    <n v="4"/>
    <n v="6"/>
    <s v="UIRI"/>
    <s v="110 Uganda Industrial Research Institute"/>
    <s v="Building Capacity for Local Printed Circuit Board Assembly Design and Manufacturing"/>
    <n v="1"/>
    <n v="1"/>
    <n v="0"/>
    <n v="1"/>
    <n v="1"/>
    <n v="0"/>
    <n v="0"/>
    <n v="1"/>
    <n v="0.625"/>
    <m/>
    <n v="0"/>
    <s v="-"/>
    <s v="-"/>
    <n v="2"/>
    <n v="0.3"/>
    <n v="2"/>
    <n v="0.7"/>
    <s v="UIRI"/>
    <s v="UIRI"/>
    <s v="STI-OP"/>
  </r>
  <r>
    <x v="4"/>
    <x v="4"/>
    <s v="132"/>
    <s v="Industrial Value Chain Development"/>
    <s v="1324"/>
    <s v="4. Increase development, transfer and adoption of appropriate technologies and innovations"/>
    <s v="132404"/>
    <s v="4.6. Strengthen the function of technology acquisition, promotion as well as transfer and adoption"/>
    <m/>
    <m/>
    <s v="13240401"/>
    <s v="Plant for Inputs to VDT Production"/>
    <s v="Plant VDT production established"/>
    <n v="0"/>
    <n v="0"/>
    <n v="0"/>
    <n v="0"/>
    <n v="1"/>
    <n v="1"/>
    <s v="UVRI"/>
    <s v="304 Uganda Virus Research Institute (UVRI)"/>
    <s v="Develop and Produce Vaccines &amp; Inputs for Humans, Animals or Plants"/>
    <n v="1"/>
    <n v="1"/>
    <n v="1"/>
    <n v="1"/>
    <n v="1"/>
    <n v="0"/>
    <n v="1"/>
    <n v="1"/>
    <n v="0.875"/>
    <m/>
    <n v="0"/>
    <n v="0"/>
    <n v="0"/>
    <n v="0.5"/>
    <n v="15"/>
    <n v="15"/>
    <n v="35"/>
    <s v="UVRI"/>
    <s v="UVRI"/>
    <s v="STI-OP, MoH, UIRI, UNCST, NDA"/>
  </r>
  <r>
    <x v="4"/>
    <x v="4"/>
    <s v="132"/>
    <s v="Industrial Value Chain Development"/>
    <s v="1324"/>
    <s v="4. Increase development, transfer and adoption of appropriate technologies and innovations"/>
    <s v="132404"/>
    <s v="4.6. Strengthen the function of technology acquisition, promotion as well as transfer and adoption"/>
    <m/>
    <m/>
    <s v="13240402"/>
    <s v="Silk Factory and Mulbery Plantions"/>
    <s v="Number of products from Sericulture"/>
    <s v="-"/>
    <n v="0"/>
    <n v="0"/>
    <n v="10"/>
    <n v="10"/>
    <n v="20"/>
    <s v="STI-OP"/>
    <e v="#N/A"/>
    <s v="Development and Industrialisation of Sericulture Value Chain"/>
    <n v="1"/>
    <n v="0"/>
    <n v="1"/>
    <n v="1"/>
    <n v="1"/>
    <n v="0"/>
    <n v="1"/>
    <n v="1"/>
    <n v="0.75"/>
    <m/>
    <n v="0"/>
    <n v="0"/>
    <n v="0"/>
    <n v="0.5"/>
    <n v="15"/>
    <n v="5"/>
    <n v="32"/>
    <s v="STI-OP"/>
    <s v="STI-OP"/>
    <s v="MLG, UNCST"/>
  </r>
  <r>
    <x v="4"/>
    <x v="4"/>
    <s v="132"/>
    <s v="Industrial Value Chain Development"/>
    <s v="1323"/>
    <s v="4. Increase development, transfer and adoption of appropriate technologies and innovations"/>
    <s v="132306"/>
    <s v="4.6. Strengthen the function of technology acquisition, promotion as well as transfer and adoption"/>
    <m/>
    <m/>
    <s v="13230601"/>
    <s v="Vacines, Theraputics and Diagnotics Developed"/>
    <s v="Number of Vacines, Theraputics and Diagnotics Developed and Commercialised"/>
    <s v="-"/>
    <n v="0"/>
    <n v="0"/>
    <n v="2"/>
    <n v="10"/>
    <n v="10"/>
    <s v="STI-OP"/>
    <e v="#N/A"/>
    <s v="Develop and Produce  Acricides,  Pestcides, &amp; Insectcides"/>
    <n v="1"/>
    <n v="1"/>
    <n v="1"/>
    <n v="1"/>
    <n v="1"/>
    <n v="0"/>
    <n v="1"/>
    <n v="1"/>
    <n v="0.875"/>
    <m/>
    <n v="0"/>
    <s v="-"/>
    <s v="-"/>
    <n v="0.2"/>
    <n v="18"/>
    <n v="18"/>
    <n v="71.42"/>
    <s v="STI-OP"/>
    <s v="MAAIF, UVRI, NDA, "/>
    <m/>
  </r>
  <r>
    <x v="4"/>
    <x v="4"/>
    <s v="132"/>
    <s v="STI Ecosystem Development"/>
    <s v="1323"/>
    <s v="1. Develop requisite STI infrastructure"/>
    <s v="132306"/>
    <s v="1.1. Support the establishment and operations of Technology &amp; Business incubators and Technology Transfer centres;"/>
    <m/>
    <m/>
    <s v="13230602"/>
    <s v="Innovation Accelerators"/>
    <s v="Number of Innovation Accelerators Established &amp; Operationalised"/>
    <n v="0"/>
    <n v="0"/>
    <n v="0"/>
    <n v="1"/>
    <n v="1"/>
    <n v="1"/>
    <s v="STI-OP"/>
    <e v="#N/A"/>
    <s v="Establish and Operationalize Innovation Accelerators "/>
    <n v="1"/>
    <n v="1"/>
    <n v="1"/>
    <n v="1"/>
    <n v="1"/>
    <n v="1"/>
    <n v="1"/>
    <n v="0"/>
    <n v="0.875"/>
    <m/>
    <n v="0"/>
    <n v="0"/>
    <s v="-"/>
    <n v="1.5"/>
    <n v="2"/>
    <n v="2"/>
    <n v="8"/>
    <s v="STI-OP"/>
    <s v="STI-OP"/>
    <s v="UNCST, KMC, UIRI"/>
  </r>
  <r>
    <x v="4"/>
    <x v="4"/>
    <s v="132"/>
    <s v="STI Ecosystem Development"/>
    <s v="1323"/>
    <s v="1. Develop requisite STI infrastructure"/>
    <s v="132306"/>
    <s v="1.1. Support the establishment and operations of Technology &amp; Business incubators and Technology Transfer centres;"/>
    <m/>
    <m/>
    <s v="13230603"/>
    <s v="ST&amp;I Exchange Centre &amp; TTO"/>
    <s v="Number of ST&amp;I Exchange Centre &amp; TTO  Established and Operationalised"/>
    <n v="0"/>
    <n v="0"/>
    <n v="0"/>
    <n v="2"/>
    <n v="2"/>
    <n v="4"/>
    <s v="STI-OP"/>
    <e v="#N/A"/>
    <s v="Establish a Science, Technology &amp; Innovation Exchange Centre  &amp; Technology Transfer Office"/>
    <n v="1"/>
    <n v="0"/>
    <n v="0"/>
    <n v="1"/>
    <n v="1"/>
    <n v="1"/>
    <n v="0"/>
    <n v="1"/>
    <n v="0.625"/>
    <m/>
    <n v="0"/>
    <s v="-"/>
    <s v="-"/>
    <n v="0.1"/>
    <n v="2"/>
    <n v="2"/>
    <n v="6"/>
    <s v="STI-OP"/>
    <s v="STI-OP"/>
    <s v="UNCST, KMC, UIRI"/>
  </r>
  <r>
    <x v="4"/>
    <x v="4"/>
    <s v="132"/>
    <s v="STI Ecosystem Development"/>
    <s v="1323"/>
    <s v="1. Develop requisite STI infrastructure"/>
    <s v="132305"/>
    <s v="1.3. Support academia and research institutions to acquire R&amp;D infrastructure;"/>
    <m/>
    <m/>
    <s v="13230501"/>
    <s v="Virus research Infrastructure developed"/>
    <s v="Bio Bank established"/>
    <s v="-"/>
    <n v="0"/>
    <n v="0"/>
    <n v="1"/>
    <n v="1"/>
    <n v="1"/>
    <s v="Makerere University"/>
    <e v="#N/A"/>
    <s v="Establish and operationalize a Large capacity incenerator"/>
    <n v="0"/>
    <n v="0"/>
    <n v="0"/>
    <n v="1"/>
    <n v="1"/>
    <n v="1"/>
    <n v="0"/>
    <n v="0"/>
    <n v="0.375"/>
    <m/>
    <n v="0"/>
    <s v="-"/>
    <s v="-"/>
    <n v="10"/>
    <n v="7.6"/>
    <n v="3"/>
    <n v="6"/>
    <s v="Makerere University"/>
    <s v="STI-OP"/>
    <m/>
  </r>
  <r>
    <x v="4"/>
    <x v="4"/>
    <s v="132"/>
    <s v="STI Ecosystem Development"/>
    <s v="1323"/>
    <s v="1. Develop requisite STI infrastructure"/>
    <s v="132305"/>
    <s v="1.3. Support academia and research institutions to acquire R&amp;D infrastructure;"/>
    <m/>
    <m/>
    <s v="13230502"/>
    <s v="Operational Centres of Excellency"/>
    <s v="Number of R&amp;D facilities established in academic and research institutions"/>
    <n v="0"/>
    <n v="0"/>
    <n v="0"/>
    <n v="1"/>
    <n v="0"/>
    <n v="1"/>
    <s v="STI-OP"/>
    <e v="#N/A"/>
    <s v="Establishment of specialized research and teaching  labs for selected  universities and Research Institutes (Establishment of Centres of Excellence for research, and development of technologies &amp; products)"/>
    <n v="0"/>
    <n v="0"/>
    <n v="0"/>
    <n v="0"/>
    <n v="1"/>
    <n v="0"/>
    <n v="0"/>
    <n v="0"/>
    <n v="0.125"/>
    <m/>
    <n v="0"/>
    <n v="0"/>
    <s v="-"/>
    <n v="5"/>
    <m/>
    <n v="10"/>
    <n v="23"/>
    <s v="STI-OP"/>
    <s v="023 STI-OP"/>
    <s v="MoES, UNCST"/>
  </r>
  <r>
    <x v="4"/>
    <x v="4"/>
    <s v="132"/>
    <s v="STI Ecosystem Development"/>
    <s v="1323"/>
    <s v="1. Develop requisite STI infrastructure"/>
    <s v="132305"/>
    <s v="1.2. Support the establishment and operations of Science and Technology Parks to facilitate commercialization;"/>
    <m/>
    <m/>
    <s v="13230503"/>
    <s v="Automotive industrial and technology park in place"/>
    <s v="Automotive Industrial and Technology Park Established"/>
    <n v="0"/>
    <n v="0"/>
    <n v="0"/>
    <n v="0"/>
    <n v="1"/>
    <n v="1"/>
    <s v="KMC"/>
    <e v="#N/A"/>
    <s v="Establish an automotive industrial and technology park"/>
    <n v="1"/>
    <n v="1"/>
    <n v="1"/>
    <n v="0"/>
    <n v="0"/>
    <n v="0"/>
    <n v="0"/>
    <n v="1"/>
    <n v="0.5"/>
    <m/>
    <n v="0"/>
    <n v="0"/>
    <s v="-"/>
    <n v="15"/>
    <n v="8"/>
    <n v="8"/>
    <n v="16"/>
    <s v="KMC"/>
    <s v="KMC"/>
    <s v="STI-OP "/>
  </r>
  <r>
    <x v="4"/>
    <x v="4"/>
    <s v="132"/>
    <s v="STI Ecosystem Development"/>
    <s v="1323"/>
    <s v="1. Develop requisite STI infrastructure"/>
    <s v="132305"/>
    <s v="1.2. Support the establishment and operations of Science and Technology Parks to facilitate commercialization;"/>
    <m/>
    <m/>
    <s v="13230504"/>
    <s v="STI Park in Place"/>
    <s v="STI Park "/>
    <n v="0"/>
    <n v="0"/>
    <n v="0"/>
    <n v="0"/>
    <n v="1"/>
    <n v="1"/>
    <s v="STI-OP"/>
    <e v="#N/A"/>
    <s v="Establishment of S&amp;T Parks"/>
    <n v="1"/>
    <n v="0"/>
    <n v="0"/>
    <n v="1"/>
    <n v="1"/>
    <n v="0"/>
    <n v="0"/>
    <n v="0"/>
    <n v="0.375"/>
    <m/>
    <n v="0"/>
    <n v="0"/>
    <s v="-"/>
    <n v="10"/>
    <n v="15.54"/>
    <n v="54.55"/>
    <n v="79.215873063218524"/>
    <s v="STI-OP"/>
    <s v="STI-OP"/>
    <s v="LGs"/>
  </r>
  <r>
    <x v="4"/>
    <x v="4"/>
    <s v="132"/>
    <s v="STI Ecosystem Development"/>
    <s v="1323"/>
    <s v="1. Develop requisite STI infrastructure"/>
    <s v="132305"/>
    <s v="1.2. Support the establishment and operations of Science and Technology Parks to facilitate commercialization;"/>
    <m/>
    <m/>
    <s v="13230505"/>
    <s v="Functional Vehicle Plant"/>
    <s v="Vehicle Plant Start-Up Facilities Operationalised"/>
    <n v="0"/>
    <n v="0"/>
    <n v="0"/>
    <n v="0"/>
    <n v="1"/>
    <n v="1"/>
    <s v="KMC"/>
    <e v="#N/A"/>
    <s v="Operationalize the  Kiira vehicle plant in Jinja industrial park"/>
    <n v="1"/>
    <n v="1"/>
    <n v="1"/>
    <n v="1"/>
    <n v="1"/>
    <n v="0"/>
    <n v="0"/>
    <n v="1"/>
    <n v="0.75"/>
    <m/>
    <n v="0"/>
    <n v="0"/>
    <s v="-"/>
    <n v="10"/>
    <n v="70"/>
    <n v="70"/>
    <n v="180"/>
    <s v="KMC"/>
    <s v="STI-OP"/>
    <s v="MoWT, UIA, LGs"/>
  </r>
  <r>
    <x v="4"/>
    <x v="4"/>
    <s v="132"/>
    <s v="STI Ecosystem Development"/>
    <s v="1323"/>
    <s v="1. Develop requisite STI infrastructure"/>
    <s v="132305"/>
    <s v="1.1. Support the establishment and operations of Technology &amp; Business incubators and Technology Transfer centres;"/>
    <m/>
    <m/>
    <s v="13230506"/>
    <s v="Engineering and skills enhancement centres Centres established"/>
    <s v="No. of Engineering and skills enhancement Centres established"/>
    <s v="-"/>
    <n v="0"/>
    <n v="0"/>
    <n v="1"/>
    <n v="2"/>
    <n v="2"/>
    <s v="UNCST"/>
    <e v="#N/A"/>
    <s v="Establish and operationalize the National Engineering and Skills Enhancement centre"/>
    <n v="1"/>
    <n v="1"/>
    <n v="0"/>
    <n v="1"/>
    <n v="1"/>
    <n v="0"/>
    <n v="1"/>
    <n v="1"/>
    <n v="0.75"/>
    <m/>
    <n v="0"/>
    <n v="0"/>
    <s v="-"/>
    <n v="0.62"/>
    <n v="20"/>
    <n v="30"/>
    <n v="53.259999999999991"/>
    <s v="UNCST"/>
    <s v="STI-OP"/>
    <s v="OWC, MoES, STI-OP"/>
  </r>
  <r>
    <x v="4"/>
    <x v="4"/>
    <s v="132"/>
    <s v="STI Ecosystem Development"/>
    <s v="1323"/>
    <s v="4. Increase development, transfer and adoption of appropriate technologies and innovations"/>
    <s v="132305"/>
    <s v="4.4. Establish platforms for the interaction between the academia, research institutions, industry and state and non-state actors."/>
    <m/>
    <m/>
    <s v="13230507"/>
    <s v="Enhanced Understanding of STI by Stakeholders"/>
    <s v="Number of Articles, Conferences etc Executed"/>
    <m/>
    <n v="0"/>
    <n v="0"/>
    <n v="1"/>
    <n v="20"/>
    <n v="20"/>
    <s v="STI-OP"/>
    <e v="#N/A"/>
    <s v="Make publications and documents to explain the activities of STI"/>
    <n v="1"/>
    <n v="0"/>
    <n v="0"/>
    <n v="1"/>
    <n v="1"/>
    <n v="1"/>
    <n v="0"/>
    <n v="1"/>
    <n v="0.625"/>
    <m/>
    <n v="0"/>
    <n v="0"/>
    <s v="-"/>
    <n v="0.5"/>
    <n v="1"/>
    <n v="1"/>
    <n v="3.5"/>
    <s v="STI-OP"/>
    <s v="STI-OP"/>
    <s v="UNCST, UIRI, PIRBC, KMC"/>
  </r>
  <r>
    <x v="4"/>
    <x v="4"/>
    <s v="132"/>
    <s v="STI Ecosystem Development"/>
    <s v="1323"/>
    <s v="3. To strengthen R&amp;D capacities and applications"/>
    <s v="132305"/>
    <s v="3.5. Increase investment in R &amp; D in key priority sectors like; agriculture, Oil &amp; Gas, Minerals, Energy, Health, Transport;"/>
    <m/>
    <m/>
    <s v="13230508"/>
    <s v="R &amp; D laboratories and centres of excellence established"/>
    <s v="No. of R &amp; D laboratories and centres of excellence established"/>
    <n v="0"/>
    <n v="0"/>
    <n v="0"/>
    <n v="3"/>
    <n v="0"/>
    <n v="1"/>
    <s v="UNCST"/>
    <e v="#N/A"/>
    <s v="Establish Centre of excellence for indigenous technologies"/>
    <n v="1"/>
    <n v="1"/>
    <n v="1"/>
    <n v="1"/>
    <n v="1"/>
    <n v="1"/>
    <n v="1"/>
    <n v="0"/>
    <n v="0.875"/>
    <m/>
    <n v="0"/>
    <n v="0"/>
    <s v="-"/>
    <n v="10"/>
    <n v="0"/>
    <n v="2"/>
    <n v="1"/>
    <s v="UNCST"/>
    <s v="STI-OP"/>
    <s v="LGs"/>
  </r>
  <r>
    <x v="4"/>
    <x v="4"/>
    <s v="132"/>
    <s v="STI Ecosystem Development"/>
    <s v="1323"/>
    <s v="1. Develop requisite STI infrastructure"/>
    <s v="132305"/>
    <s v="1.4. Establish a material science, nano &amp; bio science technology centres, Space Science and Aeronautics Technology Institute"/>
    <m/>
    <m/>
    <s v="13230509"/>
    <s v="Materials Science Institute established"/>
    <s v="Materials Science Institute established"/>
    <n v="0"/>
    <n v="0"/>
    <n v="0"/>
    <n v="0"/>
    <n v="1"/>
    <n v="1"/>
    <s v="STI-OP"/>
    <e v="#N/A"/>
    <s v="Establish a Centre of Excellence in Material Science "/>
    <n v="1"/>
    <n v="1"/>
    <n v="0"/>
    <n v="1"/>
    <n v="1"/>
    <n v="0"/>
    <n v="0"/>
    <n v="0"/>
    <n v="0.5"/>
    <m/>
    <n v="0"/>
    <n v="0"/>
    <s v="-"/>
    <n v="6"/>
    <n v="2"/>
    <n v="5"/>
    <n v="5"/>
    <s v="STI-OP"/>
    <s v="STI-OP"/>
    <m/>
  </r>
  <r>
    <x v="4"/>
    <x v="4"/>
    <s v="132"/>
    <s v="STI Ecosystem Development"/>
    <s v="1323"/>
    <s v="1. Develop requisite STI infrastructure"/>
    <s v="132305"/>
    <s v="1.7. Establish a Research and Innovation Fund. "/>
    <m/>
    <m/>
    <s v="13230510"/>
    <s v="Innovations Fund Framework"/>
    <s v="Develop an Innovations Fund Framework and Operationalise the Innovations Funds"/>
    <m/>
    <n v="0"/>
    <n v="0"/>
    <n v="1"/>
    <n v="1"/>
    <n v="1"/>
    <s v="STI-OP"/>
    <e v="#N/A"/>
    <s v="Develop an Innovation Fund Framework"/>
    <n v="1"/>
    <n v="1"/>
    <n v="1"/>
    <n v="1"/>
    <n v="1"/>
    <n v="0"/>
    <n v="1"/>
    <n v="0"/>
    <n v="0.75"/>
    <m/>
    <n v="0"/>
    <n v="0"/>
    <s v="-"/>
    <n v="4.5"/>
    <n v="15"/>
    <n v="40"/>
    <n v="45"/>
    <s v="STI-OP"/>
    <s v="STI-OP"/>
    <s v="UNCST"/>
  </r>
  <r>
    <x v="4"/>
    <x v="4"/>
    <s v="132"/>
    <s v="STI Ecosystem Development"/>
    <s v="1323"/>
    <s v="4. Increase development, transfer and adoption of appropriate technologies and innovations"/>
    <s v="132305"/>
    <s v="4.6. Strengthen the function of technology acquisition, promotion as well as transfer and adoption"/>
    <m/>
    <m/>
    <s v="13230511"/>
    <s v="Functional Pilot Plant for banana production"/>
    <s v="Number of Products Certified and on Market"/>
    <m/>
    <n v="0"/>
    <n v="0"/>
    <n v="1"/>
    <n v="10"/>
    <n v="10"/>
    <s v="STI-OP"/>
    <e v="#N/A"/>
    <s v="Establish a plant for production of products from banana"/>
    <n v="1"/>
    <n v="1"/>
    <n v="1"/>
    <n v="1"/>
    <n v="1"/>
    <n v="0"/>
    <n v="1"/>
    <n v="1"/>
    <n v="0.875"/>
    <m/>
    <n v="0"/>
    <n v="0"/>
    <s v="-"/>
    <n v="0.5"/>
    <n v="0.7"/>
    <n v="3"/>
    <n v="2.0999999999999996"/>
    <s v="STI-OP"/>
    <s v="STI-OP"/>
    <m/>
  </r>
  <r>
    <x v="5"/>
    <x v="5"/>
    <s v="04X"/>
    <s v="Government Commitments"/>
    <s v="04X"/>
    <s v="Provision for Government Commitments"/>
    <s v="04X"/>
    <s v="Government Commitments"/>
    <m/>
    <m/>
    <s v="04X"/>
    <s v="Government Commitments"/>
    <s v="-"/>
    <s v="-"/>
    <s v="-"/>
    <s v="-"/>
    <s v="-"/>
    <s v="-"/>
    <s v="-"/>
    <s v="-"/>
    <s v="-"/>
    <s v="Wage"/>
    <m/>
    <m/>
    <m/>
    <m/>
    <m/>
    <m/>
    <m/>
    <m/>
    <m/>
    <m/>
    <m/>
    <m/>
    <m/>
    <m/>
    <n v="2.2000000000000002"/>
    <n v="2.2000000000000002"/>
    <n v="4.4000000000000004"/>
    <m/>
    <m/>
    <m/>
  </r>
  <r>
    <x v="5"/>
    <x v="5"/>
    <s v="04X"/>
    <s v="Government Commitments"/>
    <s v="04X"/>
    <s v="Provision for Government Commitments"/>
    <s v="04X"/>
    <s v="Government Commitments"/>
    <m/>
    <m/>
    <s v="04X"/>
    <s v="Government Commitments"/>
    <s v="-"/>
    <s v="-"/>
    <s v="-"/>
    <s v="-"/>
    <s v="-"/>
    <s v="-"/>
    <s v="-"/>
    <s v="-"/>
    <s v="-"/>
    <s v="Non-Wage (Statutory)"/>
    <m/>
    <m/>
    <m/>
    <m/>
    <m/>
    <m/>
    <m/>
    <m/>
    <m/>
    <m/>
    <m/>
    <m/>
    <m/>
    <m/>
    <n v="0.88000000000000012"/>
    <n v="0.88000000000000012"/>
    <n v="1.7600000000000002"/>
    <m/>
    <m/>
    <m/>
  </r>
  <r>
    <x v="5"/>
    <x v="5"/>
    <s v="04X"/>
    <s v="Government Commitments"/>
    <s v="04X"/>
    <s v="Provision for Government Commitments"/>
    <s v="04X"/>
    <s v="Government Commitments"/>
    <m/>
    <m/>
    <s v="04X"/>
    <s v="Government Commitments"/>
    <s v="-"/>
    <s v="-"/>
    <s v="-"/>
    <s v="-"/>
    <s v="-"/>
    <s v="-"/>
    <s v="-"/>
    <s v="-"/>
    <s v="-"/>
    <s v="Multi-Year Commitments"/>
    <m/>
    <m/>
    <m/>
    <m/>
    <m/>
    <m/>
    <m/>
    <m/>
    <m/>
    <m/>
    <m/>
    <m/>
    <m/>
    <m/>
    <n v="15.054376299999999"/>
    <n v="18.006804160000002"/>
    <n v="33.061180460000003"/>
    <m/>
    <m/>
    <m/>
  </r>
  <r>
    <x v="5"/>
    <x v="5"/>
    <s v="041"/>
    <s v="Industrial and Technological Development"/>
    <s v="0411"/>
    <s v="Develop the requisite infrastructure to support manufacturing in line with Uganda’s planned growth corridors (triangle)"/>
    <s v="041101"/>
    <s v="Construct 4 fully serviced industrial parks (1 per region)"/>
    <m/>
    <m/>
    <s v="04110101"/>
    <s v="Standards and guidelines for establishment and operation of Industrial parks developed and enforced"/>
    <s v="Number of Industrial Park standards and guidelines developed or updated"/>
    <s v="-"/>
    <n v="1"/>
    <n v="1"/>
    <n v="1"/>
    <n v="0"/>
    <n v="0"/>
    <s v="MoTIC"/>
    <s v="015 Ministry of Trade, Industry and Cooperatives"/>
    <s v="Bench-marking with other country standards for park development, stakeholder consultations, research on industrial park development, compilation of Uganda’s standards"/>
    <n v="1"/>
    <n v="0"/>
    <n v="0"/>
    <n v="1"/>
    <n v="1"/>
    <n v="0"/>
    <n v="0"/>
    <n v="1"/>
    <n v="0.5"/>
    <m/>
    <n v="0"/>
    <n v="0"/>
    <n v="0.2"/>
    <n v="0.2"/>
    <n v="0"/>
    <m/>
    <n v="0"/>
    <s v="MoTIC"/>
    <s v="015 Ministry of Trade, Industry and Cooperatives"/>
    <s v="UIA, MoFA"/>
  </r>
  <r>
    <x v="5"/>
    <x v="5"/>
    <s v="041"/>
    <s v="Industrial and Technological Development"/>
    <s v="0411"/>
    <s v="Develop the requisite infrastructure to support manufacturing in line with Uganda’s planned growth corridors (triangle)"/>
    <s v="041101"/>
    <s v="Construct 4 fully serviced industrial parks (1 per region)"/>
    <m/>
    <m/>
    <s v="04110101"/>
    <s v="Standards and guidelines for establishment and operation of Industrial parks developed and enforced"/>
    <s v="Number of Industrial parks monitored"/>
    <s v="-"/>
    <n v="0"/>
    <n v="4"/>
    <n v="4"/>
    <n v="4"/>
    <n v="4"/>
    <s v="MoTIC"/>
    <s v="015 Ministry of Trade, Industry and Cooperatives"/>
    <s v="Visits to industrial parks under operation and development to assess compliance to approved standards and license conditions "/>
    <n v="1"/>
    <n v="0"/>
    <n v="0"/>
    <n v="1"/>
    <n v="1"/>
    <n v="0"/>
    <n v="0"/>
    <n v="1"/>
    <n v="0.5"/>
    <m/>
    <n v="0"/>
    <n v="0"/>
    <n v="0"/>
    <n v="0"/>
    <n v="0"/>
    <m/>
    <n v="0"/>
    <s v="MoTIC"/>
    <s v="015 Ministry of Trade, Industry and Cooperatives"/>
    <s v="UIA"/>
  </r>
  <r>
    <x v="5"/>
    <x v="5"/>
    <s v="041"/>
    <s v="Industrial and Technological Development"/>
    <s v="0411"/>
    <s v="Develop the requisite infrastructure to support manufacturing in line with Uganda’s planned growth corridors (triangle)"/>
    <s v="041101"/>
    <s v="Construct 4 fully serviced industrial parks (1 per region)"/>
    <m/>
    <m/>
    <s v="04110101"/>
    <s v="Standards and guidelines for establishment and operation of Industrial parks developed and enforced"/>
    <s v="Number of industries in industrial parks monitored"/>
    <s v="-"/>
    <n v="0"/>
    <n v="200"/>
    <n v="200"/>
    <n v="200"/>
    <n v="200"/>
    <s v="MoTIC"/>
    <s v="015 Ministry of Trade, Industry and Cooperatives"/>
    <s v="Inspection of industries in the parks to analyse operations and management to ensure compliance to required standards &amp; procedures "/>
    <n v="1"/>
    <n v="1"/>
    <n v="0"/>
    <n v="1"/>
    <n v="1"/>
    <n v="0"/>
    <n v="1"/>
    <n v="1"/>
    <n v="0.75"/>
    <m/>
    <n v="0"/>
    <n v="0"/>
    <n v="0.1"/>
    <n v="0.1"/>
    <n v="0.1"/>
    <n v="0.1"/>
    <n v="0.2"/>
    <s v="MoTIC"/>
    <s v="015 Ministry of Trade, Industry and Cooperatives"/>
    <s v="UIA, MoGLSD, UNBS, NEMA"/>
  </r>
  <r>
    <x v="5"/>
    <x v="5"/>
    <s v="041"/>
    <s v="Industrial and Technological Development"/>
    <s v="0411"/>
    <s v="Develop the requisite infrastructure to support manufacturing in line with Uganda’s planned growth corridors (triangle)"/>
    <s v="041101"/>
    <s v="Construct 4 fully serviced industrial parks (1 per region)"/>
    <m/>
    <m/>
    <s v="04110101"/>
    <s v="Standards and guidelines for establishment and operation of Industrial parks developed and enforced"/>
    <s v="Number of people trained in industrial park Development, management and operation"/>
    <n v="0"/>
    <n v="0"/>
    <n v="100"/>
    <n v="100"/>
    <n v="100"/>
    <n v="100"/>
    <s v="MoTIC"/>
    <s v="015 Ministry of Trade, Industry and Cooperatives"/>
    <s v="Training courses offered and attended"/>
    <n v="1"/>
    <n v="0"/>
    <n v="0"/>
    <n v="1"/>
    <n v="1"/>
    <n v="0"/>
    <n v="0"/>
    <n v="1"/>
    <n v="0.5"/>
    <m/>
    <n v="0"/>
    <n v="0"/>
    <n v="0"/>
    <n v="0"/>
    <n v="0"/>
    <m/>
    <n v="0"/>
    <s v="MoTIC"/>
    <s v="015 Ministry of Trade, Industry and Cooperatives"/>
    <s v="MoES,  DIT"/>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feasibility studies towards development of industrial parks undertaken"/>
    <n v="0"/>
    <n v="4"/>
    <s v="-"/>
    <s v="-"/>
    <s v="-"/>
    <s v="-"/>
    <s v="UIA"/>
    <s v="310 Uganda Investment Authority (UIA)"/>
    <s v="Sites visits, data collection, stakeholder consultations, research on parks development, ESIAs conducted, data compilation and analysis, analysis of business activities in proposed areas"/>
    <n v="1"/>
    <n v="0"/>
    <n v="0"/>
    <n v="1"/>
    <n v="1"/>
    <n v="0"/>
    <n v="0"/>
    <n v="1"/>
    <n v="0.5"/>
    <m/>
    <n v="0"/>
    <n v="0"/>
    <n v="0"/>
    <n v="0"/>
    <n v="0"/>
    <m/>
    <n v="0"/>
    <s v="MoTIC"/>
    <s v="015 Ministry of Trade, Industry and Cooperatives"/>
    <s v="UIA, NEMA"/>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sites (Land) for establishment of industrial parks acquired &amp; secured (UIA)"/>
    <n v="0"/>
    <n v="0"/>
    <n v="1"/>
    <n v="1"/>
    <n v="1"/>
    <n v="0"/>
    <s v="UIA"/>
    <s v="310 Uganda Investment Authority (UIA)"/>
    <s v="Sites visits, data collection, stakeholder consultations, research on parks development, ESIAs conducted, data compilation and analysis, analysis of business activities in proposed areas"/>
    <n v="1"/>
    <n v="0"/>
    <n v="0"/>
    <n v="1"/>
    <n v="1"/>
    <n v="0"/>
    <n v="0"/>
    <n v="1"/>
    <n v="0.5"/>
    <m/>
    <n v="0"/>
    <n v="0"/>
    <n v="2"/>
    <n v="0"/>
    <n v="0"/>
    <m/>
    <n v="0"/>
    <s v="UIA"/>
    <s v="310 Uganda Investment Authority (UIA)"/>
    <s v="MoTIC, NEMA"/>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sites (Land) for establishment of industrial parks acquired &amp; secured (UFZA)"/>
    <n v="0"/>
    <m/>
    <n v="1"/>
    <n v="0"/>
    <n v="0"/>
    <n v="0"/>
    <s v="UFZA"/>
    <s v="008 Ministry of Finance, Planning &amp; Economic Dev."/>
    <s v="Sites visits, data collection, stakeholder consultations, research on parks development, ESIAs conducted, data compilation and analysis, analysis of business activities in proposed areas"/>
    <n v="1"/>
    <n v="0"/>
    <n v="0"/>
    <n v="1"/>
    <n v="1"/>
    <n v="0"/>
    <n v="0"/>
    <n v="1"/>
    <n v="0.5"/>
    <m/>
    <n v="0"/>
    <n v="0"/>
    <n v="0"/>
    <n v="0"/>
    <n v="0"/>
    <m/>
    <n v="0"/>
    <s v="MoFPED (UFZA)"/>
    <s v="008 Ministry of Finance, Planning &amp; Economic Dev."/>
    <s v="UIA, MoTIC, NEMA "/>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Masterplans and ESIAs for Industrial parks developed (MTIC)"/>
    <n v="0"/>
    <n v="0"/>
    <n v="2"/>
    <n v="1"/>
    <n v="1"/>
    <n v="0"/>
    <s v="MoTIC"/>
    <s v="015 Ministry of Trade, Industry and Cooperatives"/>
    <s v="Land acquisition for the 2 sites; LG engagements, land surveys "/>
    <n v="1"/>
    <n v="1"/>
    <n v="0"/>
    <n v="1"/>
    <n v="1"/>
    <n v="1"/>
    <n v="1"/>
    <n v="1"/>
    <n v="0.875"/>
    <m/>
    <n v="0"/>
    <n v="0"/>
    <n v="15"/>
    <n v="15"/>
    <n v="0"/>
    <n v="0"/>
    <n v="0"/>
    <s v="UIA"/>
    <s v="310 Uganda Investment Authority (UIA)"/>
    <s v="MoLHUD, MoLG, MoTIC"/>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Masterplans and ESIAs for Industrial parks developed (UIA)"/>
    <n v="0"/>
    <n v="0"/>
    <n v="1"/>
    <n v="1"/>
    <n v="1"/>
    <n v="0"/>
    <s v="UIA"/>
    <s v="310 Uganda Investment Authority (UIA)"/>
    <s v="Land acquisition for the 2 sites; LG engagements, land surveys "/>
    <n v="1"/>
    <n v="1"/>
    <n v="0"/>
    <n v="1"/>
    <n v="1"/>
    <n v="1"/>
    <n v="1"/>
    <n v="1"/>
    <n v="0.875"/>
    <m/>
    <n v="0"/>
    <n v="0"/>
    <n v="0"/>
    <n v="0"/>
    <n v="0"/>
    <n v="0"/>
    <n v="0"/>
    <s v="MoFPED (UFZA)"/>
    <s v="008 Ministry of Finance, Planning &amp; Economic Dev."/>
    <s v="MoLHUD, MoLG, MoTIC"/>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Masterplans and ESIAs for Industrial parks developed (UFZA)"/>
    <n v="0"/>
    <m/>
    <n v="1"/>
    <m/>
    <n v="0"/>
    <n v="0"/>
    <s v="UFZA"/>
    <s v="008 Ministry of Finance, Planning &amp; Economic Dev."/>
    <s v="Economic activity analysis for industrial parks, stakeholder engagement, data collection and analysis"/>
    <n v="1"/>
    <n v="0"/>
    <n v="0"/>
    <n v="1"/>
    <n v="1"/>
    <n v="0"/>
    <n v="1"/>
    <n v="1"/>
    <n v="0.625"/>
    <m/>
    <n v="0"/>
    <n v="0"/>
    <n v="0"/>
    <n v="0"/>
    <n v="0"/>
    <n v="0"/>
    <n v="0"/>
    <s v="MoTIC"/>
    <s v="015 Ministry of Trade, Industry and Cooperatives"/>
    <s v="NPA, UIA, UFZA, MoLG"/>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Industrial park sites Equipped with Requisite Infrastructure (Designed, constructed and maintained)"/>
    <n v="0"/>
    <n v="0"/>
    <n v="0"/>
    <n v="1"/>
    <n v="2"/>
    <n v="1"/>
    <s v="MoTIC"/>
    <s v="015 Ministry of Trade, Industry and Cooperatives"/>
    <s v="Economic activity analysis for industrial parks, stakeholder engagement, data collection and analysis"/>
    <n v="1"/>
    <n v="0"/>
    <n v="0"/>
    <n v="1"/>
    <n v="1"/>
    <n v="0"/>
    <n v="1"/>
    <n v="1"/>
    <n v="0.625"/>
    <m/>
    <n v="0"/>
    <n v="0"/>
    <n v="0"/>
    <n v="0"/>
    <n v="0"/>
    <n v="0"/>
    <n v="0"/>
    <s v="UIA"/>
    <s v="310 Uganda Investment Authority (UIA)"/>
    <s v="NPA, MoTIC, UFZA, MoLG"/>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Industrial park sites Equipped with Requisite Infrastructure (UIA)"/>
    <n v="0"/>
    <n v="0"/>
    <n v="0"/>
    <n v="2"/>
    <n v="2"/>
    <n v="2"/>
    <s v="UIA"/>
    <s v="310 Uganda Investment Authority (UIA)"/>
    <s v="Economic activity analysis for industrial parks, stakeholder engagement, data collection and analysis"/>
    <n v="1"/>
    <n v="0"/>
    <n v="0"/>
    <n v="1"/>
    <n v="1"/>
    <n v="0"/>
    <n v="1"/>
    <n v="1"/>
    <n v="0.625"/>
    <m/>
    <n v="0"/>
    <n v="0"/>
    <n v="0"/>
    <n v="0"/>
    <n v="0"/>
    <n v="0"/>
    <n v="0"/>
    <s v="MoFPED (UFZA)"/>
    <s v="008 Ministry of Finance, Planning &amp; Economic Dev."/>
    <s v="NPA, MoTIC, UIA, MoLG"/>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Industrial park sites Equipped with Requisite Infrastructure (UFZA)"/>
    <n v="0"/>
    <n v="0"/>
    <n v="0"/>
    <n v="1"/>
    <n v="0"/>
    <n v="0"/>
    <s v="UFZA"/>
    <s v="008 Ministry of Finance, Planning &amp; Economic Dev."/>
    <s v="Prepare designs for 4 industrial parks, construct and maintain infrastructure for 2 industrial parks (roads, water reticulation, HV power, solid waste management/ waste water system, ICT/CCTV, service ducts, perimeter wall fencing and landscaping MSME and common user Buildings, one stop centre)"/>
    <n v="1"/>
    <n v="1"/>
    <n v="0"/>
    <n v="1"/>
    <n v="1"/>
    <n v="0"/>
    <n v="1"/>
    <n v="1"/>
    <n v="0.75"/>
    <m/>
    <n v="0"/>
    <n v="0"/>
    <n v="0"/>
    <n v="0.5"/>
    <n v="1"/>
    <n v="0.5"/>
    <n v="1.5"/>
    <s v="MoTIC"/>
    <s v="015 Ministry of Trade, Industry and Cooperatives"/>
    <s v="MoWT, MoWE, MEMD, NEMA, UIA, UFZA, MoTIC &amp; NG"/>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s v="Number of fully equipped labs established in Industrial parks"/>
    <n v="0"/>
    <m/>
    <n v="1"/>
    <n v="1"/>
    <n v="1"/>
    <n v="1"/>
    <s v="UNBS"/>
    <s v="154 Uganda National Bureau of Standards"/>
    <s v="Prepare designs for 4 industrial parks, construct and maintain infrastructure for 2 industrial parks (roads, water reticulation, HV power, solid waste management/ waste water system, ICT/CCTV, service ducts, perimeter wall fencing and landscaping MSME and common user Buildings, one stop centre)"/>
    <n v="1"/>
    <n v="1"/>
    <n v="0"/>
    <n v="1"/>
    <n v="1"/>
    <n v="0"/>
    <n v="1"/>
    <n v="1"/>
    <n v="0.75"/>
    <m/>
    <n v="0"/>
    <n v="165.65928108619545"/>
    <n v="91.495086686465129"/>
    <n v="165.3774331567069"/>
    <n v="169.36557591588564"/>
    <n v="342.17649203718997"/>
    <n v="511.54206795307562"/>
    <s v="UIA"/>
    <s v="310 Uganda Investment Authority (UIA)"/>
    <s v="MoWT, MoWE, MEMD, NEMA, UFZA, MoTIC, ICT"/>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m/>
    <m/>
    <m/>
    <m/>
    <m/>
    <m/>
    <m/>
    <m/>
    <e v="#N/A"/>
    <s v="Prepare designs for 4 industrial parks, construct and maintain infrastructure for 2 industrial parks (roads, water reticulation, HV power, solid waste management/ waste water system, ICT/CCTV, service ducts, perimeter wall fencing and landscaping MSME and common user Buildings, one stop centre)"/>
    <n v="1"/>
    <n v="1"/>
    <n v="0"/>
    <n v="1"/>
    <n v="1"/>
    <n v="0"/>
    <n v="1"/>
    <n v="1"/>
    <n v="0.75"/>
    <m/>
    <n v="0"/>
    <n v="0"/>
    <n v="0"/>
    <n v="0"/>
    <n v="1"/>
    <n v="0"/>
    <n v="1"/>
    <s v="MoFPED (UFZA)"/>
    <s v="008 Ministry of Finance, Planning &amp; Economic Dev."/>
    <s v="MoWT, MoWE, MEMD, NEMA, MoTIC, ICT, UIA"/>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m/>
    <m/>
    <m/>
    <m/>
    <m/>
    <m/>
    <m/>
    <m/>
    <e v="#N/A"/>
    <s v="Construction of labour (civil, mechanical and electrical works), sourcing and purchase of laboratory equipment, sourcing and hiring and/or training laboratory personnel, sourcing and availing laboratory reagents"/>
    <n v="1"/>
    <n v="1"/>
    <n v="1"/>
    <n v="1"/>
    <n v="1"/>
    <n v="0"/>
    <n v="1"/>
    <n v="1"/>
    <n v="0.875"/>
    <m/>
    <n v="0"/>
    <n v="0"/>
    <n v="10"/>
    <n v="10"/>
    <n v="10"/>
    <n v="10"/>
    <n v="20"/>
    <s v="UNBS"/>
    <s v="154 Uganda National Bureau of Standards"/>
    <s v="MoWT, MoFPED, MoTIC"/>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m/>
    <m/>
    <m/>
    <m/>
    <m/>
    <m/>
    <m/>
    <m/>
    <e v="#N/A"/>
    <m/>
    <m/>
    <m/>
    <m/>
    <m/>
    <m/>
    <m/>
    <n v="0"/>
    <n v="0"/>
    <n v="0"/>
    <m/>
    <n v="0"/>
    <m/>
    <m/>
    <m/>
    <m/>
    <m/>
    <n v="0"/>
    <m/>
    <m/>
    <m/>
  </r>
  <r>
    <x v="5"/>
    <x v="5"/>
    <s v="041"/>
    <s v="Industrial and Technological Development"/>
    <s v="0411"/>
    <s v="Develop the requisite infrastructure to support manufacturing in line with Uganda’s planned growth corridors (triangle)"/>
    <s v="041101"/>
    <s v="Construct 4 fully serviced industrial parks (1 per region)"/>
    <m/>
    <m/>
    <s v="04110102"/>
    <s v="4 Fully Serviced Industrial parks established"/>
    <m/>
    <m/>
    <m/>
    <m/>
    <m/>
    <m/>
    <m/>
    <m/>
    <e v="#N/A"/>
    <m/>
    <m/>
    <m/>
    <m/>
    <m/>
    <m/>
    <m/>
    <n v="0"/>
    <n v="0"/>
    <n v="0"/>
    <m/>
    <n v="0"/>
    <m/>
    <m/>
    <m/>
    <m/>
    <m/>
    <n v="0"/>
    <m/>
    <m/>
    <m/>
  </r>
  <r>
    <x v="5"/>
    <x v="5"/>
    <s v="041"/>
    <s v="Industrial and Technological Development"/>
    <s v="0411"/>
    <s v="Develop the requisite infrastructure to support manufacturing in line with Uganda’s planned growth corridors (triangle)"/>
    <s v="041101"/>
    <s v="Construct 4 fully serviced industrial parks (1 per region)"/>
    <m/>
    <m/>
    <s v="04110103"/>
    <s v="30 fully equipped zonal industrial hubs, and integrated leather processing factory established and operated"/>
    <s v="Number of fully equipped and operational facilities linking communities to Industrial parks (State house)"/>
    <m/>
    <n v="20"/>
    <n v="21"/>
    <n v="25"/>
    <n v="30"/>
    <n v="30"/>
    <s v="MoTIC"/>
    <s v="015 Ministry of Trade, Industry and Cooperatives"/>
    <s v="Acquire land from LGs, construct the hubs (civil, mechanical &amp; electrical works), equip the facilities, "/>
    <n v="1"/>
    <n v="0"/>
    <n v="1"/>
    <n v="1"/>
    <n v="1"/>
    <n v="1"/>
    <n v="1"/>
    <n v="1"/>
    <n v="0.875"/>
    <m/>
    <n v="0"/>
    <n v="5"/>
    <n v="5"/>
    <n v="10"/>
    <n v="10"/>
    <n v="5"/>
    <n v="15"/>
    <s v="State House"/>
    <s v="002 State House"/>
    <s v="MoTIC, MoLHUD, MoLG"/>
  </r>
  <r>
    <x v="5"/>
    <x v="5"/>
    <s v="041"/>
    <s v="Industrial and Technological Development"/>
    <s v="0411"/>
    <s v="Develop the requisite infrastructure to support manufacturing in line with Uganda’s planned growth corridors (triangle)"/>
    <s v="041101"/>
    <s v="Construct 4 fully serviced industrial parks (1 per region)"/>
    <m/>
    <m/>
    <s v="04110103"/>
    <s v="30 fully equipped zonal industrial hubs, and integrated leather processing factory established and operated"/>
    <m/>
    <m/>
    <m/>
    <m/>
    <m/>
    <m/>
    <m/>
    <m/>
    <e v="#N/A"/>
    <s v="Provide technical support for operation and maintenance of the Strategic zonal manufacturing support Infrastructure linking local communities to the Industrial parks"/>
    <n v="1"/>
    <n v="1"/>
    <n v="0"/>
    <n v="1"/>
    <n v="1"/>
    <n v="0"/>
    <n v="0"/>
    <n v="1"/>
    <n v="0.625"/>
    <m/>
    <n v="0"/>
    <n v="0"/>
    <n v="0"/>
    <n v="0"/>
    <n v="0"/>
    <n v="0"/>
    <n v="0"/>
    <s v="MoTIC"/>
    <s v="015 Ministry of Trade, Industry and Cooperatives"/>
    <s v="MoWT, MoLG"/>
  </r>
  <r>
    <x v="5"/>
    <x v="5"/>
    <s v="041"/>
    <s v="Industrial and Technological Development"/>
    <s v="0411"/>
    <s v="Develop the requisite infrastructure to support manufacturing in line with Uganda’s planned growth corridors (triangle)"/>
    <s v="041101"/>
    <s v="Construct 4 fully serviced industrial parks (1 per region)"/>
    <m/>
    <m/>
    <s v="04110104"/>
    <s v="Industrialisation Master Plan 2020-2040 and Database"/>
    <s v="Industrialisation Master Plan 2020-2040 and Database in place"/>
    <n v="0"/>
    <n v="0"/>
    <n v="1"/>
    <n v="0"/>
    <n v="0"/>
    <n v="0"/>
    <s v="NPA"/>
    <s v="108 National Planning Authority"/>
    <s v="Carryout industrial surveys, survey and analyse economic activities in and around proposed industrial park sites, stakeholder consultations"/>
    <n v="1"/>
    <n v="0"/>
    <n v="0"/>
    <n v="1"/>
    <n v="1"/>
    <n v="0"/>
    <n v="1"/>
    <n v="1"/>
    <n v="0.625"/>
    <m/>
    <n v="0"/>
    <n v="1"/>
    <n v="1"/>
    <n v="0"/>
    <n v="0"/>
    <n v="0"/>
    <n v="0"/>
    <s v="NPA"/>
    <s v="108 National Planning Authority"/>
    <s v="MoTIC, UIA, UFZA, UBOS"/>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a"/>
    <s v="Develop local finance solutions "/>
    <s v="041102a01"/>
    <s v="Suitable finance solutions for manufacturers developed"/>
    <s v="Number of suitable financing packages (manufacturing Credit Facility) for manufacturers established and continuously reviewed"/>
    <s v="-"/>
    <n v="0"/>
    <s v=" 3"/>
    <s v=" 3"/>
    <n v="3"/>
    <n v="3"/>
    <s v="MoTIC"/>
    <s v="015 Ministry of Trade, Industry and Cooperatives"/>
    <s v="Establish a manufacturing Credit Facility, develop and continuously review guidelines and criteria for suitable financing packages for Manufacturers"/>
    <n v="1"/>
    <n v="1"/>
    <n v="1"/>
    <n v="1"/>
    <n v="1"/>
    <n v="1"/>
    <n v="1"/>
    <n v="1"/>
    <n v="1"/>
    <m/>
    <n v="0"/>
    <n v="0"/>
    <n v="0"/>
    <n v="0"/>
    <n v="0"/>
    <n v="0"/>
    <n v="0"/>
    <s v="MoTIC"/>
    <s v="015 Ministry of Trade, Industry and Cooperatives"/>
    <s v="MoFPED"/>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a"/>
    <s v="Develop local finance solutions "/>
    <s v="041102a01"/>
    <s v="Suitable finance solutions for manufacturers developed"/>
    <s v="Number of suitable financing packages (manufacturing Credit Facility) for manufacturers established and continuously reviewed"/>
    <m/>
    <m/>
    <n v="1"/>
    <n v="1"/>
    <n v="1"/>
    <n v="1"/>
    <s v="MoFPED"/>
    <s v="008 Ministry of Finance, Planning &amp; Economic Dev."/>
    <s v="Establish a manufacturing Credit Facility, develop and continuously review guidelines and criteria for suitable financing packages for Manufacturers"/>
    <m/>
    <m/>
    <m/>
    <m/>
    <m/>
    <m/>
    <n v="0"/>
    <n v="0"/>
    <n v="0"/>
    <m/>
    <n v="0"/>
    <n v="0"/>
    <n v="0"/>
    <n v="0"/>
    <n v="0"/>
    <m/>
    <n v="0"/>
    <s v="MoFPED"/>
    <s v="008 Ministry of Finance, Planning &amp; Economic Dev."/>
    <s v="MoTIC"/>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a"/>
    <s v="Develop local finance solutions "/>
    <s v="041102a01"/>
    <s v="Suitable finance solutions for manufacturers developed"/>
    <s v="Number of industries invested in by UDC"/>
    <s v="-"/>
    <n v="0"/>
    <n v="5"/>
    <n v="5"/>
    <n v="5"/>
    <n v="5"/>
    <s v="UDC"/>
    <s v="015 Ministry of Trade, Industry and Cooperatives"/>
    <s v="Capitalize the Industrial development economic fund established under the UDC act to invest in strategic Manufacturing projects"/>
    <n v="1"/>
    <n v="1"/>
    <n v="1"/>
    <n v="1"/>
    <n v="1"/>
    <n v="1"/>
    <n v="1"/>
    <n v="1"/>
    <n v="1"/>
    <m/>
    <n v="0"/>
    <n v="133.33333333333334"/>
    <n v="83.333333333333329"/>
    <n v="83.333333333333329"/>
    <n v="83.333333333333329"/>
    <n v="16.666666666666686"/>
    <n v="100.00000000000001"/>
    <s v="MoTIC (UDC)"/>
    <s v="015 Ministry of Trade, Industry and Cooperatives"/>
    <s v="MoFPED, MoTIC"/>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a"/>
    <s v="Develop local finance solutions "/>
    <s v="041102a01"/>
    <s v="Suitable finance solutions for manufacturers developed"/>
    <s v="Number of Industries sensitized and supported to acquire affordable financing"/>
    <n v="0"/>
    <n v="0"/>
    <n v="50"/>
    <n v="50"/>
    <s v="50 "/>
    <n v="50"/>
    <s v="MoTIC"/>
    <s v="015 Ministry of Trade, Industry and Cooperatives"/>
    <s v="Sensitize and Provide technical support (through business development services, business plan development, book keeping trainings) to enable manufacturers access affordable finance from the Manufacturing Credit Facility, UDC and other ventures"/>
    <n v="1"/>
    <n v="1"/>
    <n v="1"/>
    <n v="1"/>
    <n v="1"/>
    <n v="1"/>
    <n v="1"/>
    <n v="1"/>
    <n v="1"/>
    <m/>
    <n v="0"/>
    <n v="0"/>
    <n v="0"/>
    <n v="0"/>
    <n v="0.5"/>
    <n v="0"/>
    <n v="0.5"/>
    <s v="MoTIC"/>
    <s v="015 Ministry of Trade, Industry and Cooperatives"/>
    <s v="PSF"/>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a"/>
    <s v="Develop local finance solutions "/>
    <s v="041102a01"/>
    <s v="Suitable finance solutions for manufacturers developed"/>
    <s v="Number of cooperative organizations audited/inspected"/>
    <n v="30"/>
    <n v="40"/>
    <n v="50"/>
    <n v="50"/>
    <n v="50"/>
    <m/>
    <s v="MoTIC"/>
    <s v="015 Ministry of Trade, Industry and Cooperatives"/>
    <s v="Register and audit cooperative organizations to ensure a functional and effective community financing mechanism"/>
    <n v="1"/>
    <n v="1"/>
    <n v="0"/>
    <n v="1"/>
    <n v="1"/>
    <n v="0"/>
    <n v="1"/>
    <n v="1"/>
    <n v="0.75"/>
    <m/>
    <n v="0"/>
    <n v="0.5"/>
    <n v="0.7"/>
    <n v="0.6"/>
    <n v="0.6"/>
    <n v="0.6"/>
    <n v="1.2"/>
    <s v="MoTIC"/>
    <s v="015 Ministry of Trade, Industry and Cooperatives"/>
    <s v="MAAIF"/>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feasibility studies to develop Manufacturing investment profiles conducted"/>
    <n v="0"/>
    <s v=" 1"/>
    <n v="2"/>
    <n v="2"/>
    <n v="2"/>
    <n v="2"/>
    <s v="UIA"/>
    <s v="310 Uganda Investment Authority (UIA)"/>
    <s v="Undertake feasibility studies to develop investment profiles for key industrial subsectors to inform investment "/>
    <n v="1"/>
    <n v="0"/>
    <n v="0"/>
    <n v="1"/>
    <n v="1"/>
    <n v="0"/>
    <n v="1"/>
    <n v="1"/>
    <n v="0.625"/>
    <m/>
    <n v="0"/>
    <n v="0.5"/>
    <n v="0.5"/>
    <n v="0.5"/>
    <n v="0.2"/>
    <m/>
    <n v="0.2"/>
    <s v="UIA"/>
    <s v="310 Uganda Investment Authority (UIA)"/>
    <s v="MoTIC, UIA"/>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feasibility studies to develop Manufacturing investment profiles conducted"/>
    <n v="0"/>
    <n v="1"/>
    <n v="2"/>
    <n v="2"/>
    <n v="2"/>
    <n v="2"/>
    <s v="MoTIC"/>
    <s v="015 Ministry of Trade, Industry and Cooperatives"/>
    <s v="Undertake feasibility studies to develop investment profiles for key industrial subsectors to inform investment "/>
    <m/>
    <m/>
    <m/>
    <m/>
    <m/>
    <m/>
    <n v="0"/>
    <n v="0"/>
    <n v="0"/>
    <m/>
    <n v="0"/>
    <n v="0"/>
    <n v="0"/>
    <n v="0"/>
    <n v="0"/>
    <m/>
    <n v="0"/>
    <s v="MoTIC"/>
    <s v="015 Ministry of Trade, Industry and Cooperatives"/>
    <s v="UIA, UDC, MoFA"/>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MoUs and Bilateral Agreements Signed"/>
    <n v="0"/>
    <n v="5"/>
    <n v="5"/>
    <n v="5"/>
    <n v="5"/>
    <n v="5"/>
    <s v="MoTIC"/>
    <s v="015 Ministry of Trade, Industry and Cooperatives"/>
    <s v="Support strategic engagement for securing both inward and outward FDI (Bilateral trade and investment negotiations focusing on international trade in services, linking Ugandan enterprises with foreign companies "/>
    <n v="1"/>
    <n v="1"/>
    <n v="1"/>
    <n v="1"/>
    <n v="1"/>
    <n v="1"/>
    <n v="1"/>
    <n v="1"/>
    <n v="1"/>
    <m/>
    <n v="0"/>
    <n v="0.2"/>
    <n v="0.2"/>
    <n v="0.2"/>
    <n v="0.2"/>
    <n v="0.2"/>
    <n v="0.4"/>
    <s v="MoTIC"/>
    <s v="015 Ministry of Trade, Industry and Cooperatives"/>
    <s v="MoFPED, MoFA, State House"/>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MoUs and Bilateral Agreements Signed"/>
    <n v="0"/>
    <n v="5"/>
    <n v="5"/>
    <n v="5"/>
    <n v="5"/>
    <n v="5"/>
    <s v="MoFA"/>
    <s v="006 Ministry of Foreign Affairs"/>
    <s v="Support strategic engagement for securing both inward and outward FDI (Bilateral trade and investment negotiations focusing on international trade in services, linking Ugandan enterprises with foreign companies "/>
    <m/>
    <m/>
    <m/>
    <m/>
    <m/>
    <m/>
    <n v="0"/>
    <n v="0"/>
    <n v="0"/>
    <m/>
    <n v="0"/>
    <n v="0.2"/>
    <n v="0.2"/>
    <n v="0.2"/>
    <n v="0"/>
    <m/>
    <n v="0"/>
    <s v="MoFA"/>
    <s v="006 Ministry of Foreign Affairs"/>
    <s v="MoFPED, MoTIC, State House"/>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Investments secured through partnerships with Missions Abroad"/>
    <n v="0"/>
    <n v="1"/>
    <n v="10"/>
    <n v="10"/>
    <n v="10"/>
    <n v="10"/>
    <s v="MoFA"/>
    <s v="006 Ministry of Foreign Affairs"/>
    <s v="Work with Uganda Missions Abroad to attract investments in the manufacturing sector"/>
    <n v="1"/>
    <n v="1"/>
    <n v="0"/>
    <n v="1"/>
    <n v="1"/>
    <n v="0"/>
    <n v="0"/>
    <n v="0"/>
    <n v="0.5"/>
    <m/>
    <n v="0"/>
    <n v="0"/>
    <n v="0"/>
    <n v="0"/>
    <n v="0"/>
    <m/>
    <n v="0"/>
    <s v="MoFA"/>
    <s v="006 Ministry of Foreign Affairs"/>
    <s v="MoTIC"/>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Attaches Placed "/>
    <n v="0"/>
    <n v="0"/>
    <n v="10"/>
    <n v="10"/>
    <n v="10"/>
    <n v="10"/>
    <s v="MoFA"/>
    <s v="006 Ministry of Foreign Affairs"/>
    <s v="Support the placement of commercial attaches in strategic countries to promote Uganda’s trade and commercial interests"/>
    <n v="1"/>
    <n v="1"/>
    <n v="0"/>
    <n v="1"/>
    <n v="1"/>
    <n v="1"/>
    <n v="1"/>
    <n v="1"/>
    <n v="0.875"/>
    <m/>
    <n v="0"/>
    <n v="0"/>
    <n v="1"/>
    <n v="1"/>
    <n v="1"/>
    <n v="1"/>
    <n v="2"/>
    <s v="MoFA"/>
    <s v="006 Ministry of Foreign Affairs"/>
    <s v="MoTIC"/>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Feasibility Studies Undertaken"/>
    <n v="0"/>
    <n v="0"/>
    <s v="2 "/>
    <s v="2 "/>
    <s v="2 "/>
    <s v="2 "/>
    <s v="MoTIC"/>
    <s v="015 Ministry of Trade, Industry and Cooperatives"/>
    <s v="Conduct feasibility studies in strategic sectors for outward FDI interest"/>
    <n v="0"/>
    <n v="0"/>
    <n v="0"/>
    <n v="1"/>
    <n v="0"/>
    <n v="0"/>
    <n v="0"/>
    <n v="0"/>
    <n v="0.125"/>
    <m/>
    <n v="0"/>
    <n v="0"/>
    <n v="0.2"/>
    <n v="0.2"/>
    <n v="0"/>
    <m/>
    <n v="0"/>
    <s v="MoTIC"/>
    <s v="015 Ministry of Trade, Industry and Cooperatives"/>
    <s v="UIA, UDC, MoFA"/>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investment promotion missions Undertaken"/>
    <n v="0"/>
    <n v="1"/>
    <s v=" 5"/>
    <s v="6 "/>
    <s v=" 8"/>
    <s v=" 8"/>
    <s v="UIA"/>
    <s v="310 Uganda Investment Authority (UIA)"/>
    <s v="Undertake investment promotion missions for targeted industrial value chains "/>
    <n v="1"/>
    <n v="0"/>
    <n v="0"/>
    <n v="1"/>
    <n v="1"/>
    <n v="0"/>
    <n v="1"/>
    <n v="1"/>
    <n v="0.625"/>
    <m/>
    <n v="0"/>
    <n v="0"/>
    <n v="0.5"/>
    <n v="0.5"/>
    <n v="0.1"/>
    <n v="0.1"/>
    <n v="0.2"/>
    <s v="UIA"/>
    <s v="310 Uganda Investment Authority (UIA)"/>
    <s v="MoTIC, MoFA, UEPB"/>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Incentive regime reviews undertaken to attract FDI"/>
    <n v="0"/>
    <n v="0"/>
    <s v=" 1"/>
    <m/>
    <m/>
    <s v="1 "/>
    <s v="MoFPED"/>
    <s v="008 Ministry of Finance, Planning &amp; Economic Dev."/>
    <s v="Review the Incentive regime to attract FDI"/>
    <n v="1"/>
    <n v="1"/>
    <n v="0"/>
    <n v="1"/>
    <n v="1"/>
    <n v="1"/>
    <n v="1"/>
    <n v="0"/>
    <n v="0.75"/>
    <m/>
    <n v="0"/>
    <n v="0"/>
    <n v="0.2"/>
    <n v="0"/>
    <n v="0.1"/>
    <n v="0.2"/>
    <n v="0.30000000000000004"/>
    <s v="MoFPED"/>
    <s v="008 Ministry of Finance, Planning &amp; Economic Dev."/>
    <s v="MoTIC"/>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Bankable manufacturing projects Developed "/>
    <n v="0"/>
    <n v="1"/>
    <n v="2"/>
    <n v="1"/>
    <n v="2"/>
    <n v="2"/>
    <s v="MoTIC"/>
    <s v="015 Ministry of Trade, Industry and Cooperatives"/>
    <s v="Develop bankable manufacturing projects and market them for  uptake or funding by prospective investors"/>
    <n v="1"/>
    <n v="1"/>
    <n v="1"/>
    <n v="1"/>
    <n v="1"/>
    <n v="1"/>
    <n v="1"/>
    <n v="1"/>
    <n v="1"/>
    <m/>
    <n v="0"/>
    <n v="0"/>
    <n v="0"/>
    <n v="0"/>
    <n v="0.1"/>
    <n v="0"/>
    <n v="0.1"/>
    <s v="MoTIC"/>
    <s v="015 Ministry of Trade, Industry and Cooperatives"/>
    <s v="NPA, UIA"/>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Manufactures Supported in attracting FDI and DDI"/>
    <n v="0"/>
    <n v="2"/>
    <s v=" 5"/>
    <s v=" 10"/>
    <s v="10 "/>
    <s v="10 "/>
    <s v="UIA"/>
    <s v="310 Uganda Investment Authority (UIA)"/>
    <s v="Support to Local Manufacturers in identifying, attracting and establishing partnerships and joint ventures to attract FDI and DDI (Domestic Direct Investment)"/>
    <n v="1"/>
    <n v="1"/>
    <n v="1"/>
    <n v="1"/>
    <n v="1"/>
    <n v="0"/>
    <n v="1"/>
    <n v="1"/>
    <n v="0.875"/>
    <m/>
    <n v="0"/>
    <n v="0"/>
    <n v="0"/>
    <n v="0"/>
    <n v="0.1"/>
    <n v="0"/>
    <n v="0.1"/>
    <s v="UIA"/>
    <s v="310 Uganda Investment Authority (UIA)"/>
    <s v="MoTIC, MoFPED, UEPB, MoFA"/>
  </r>
  <r>
    <x v="5"/>
    <x v="5"/>
    <s v="041"/>
    <s v="Industrial and Technological Development"/>
    <s v="0411"/>
    <s v="Develop the requisite infrastructure to support manufacturing in line with Uganda’s planned growth corridors (triangle)"/>
    <s v="041102"/>
    <s v="Provide appropriate financing mechanisms to support manufacturing "/>
    <s v="041102b"/>
    <s v="Build strategic partnerships that increase sustainable FDI to manufacturing "/>
    <s v="041102b01"/>
    <s v="Sustainable FDI to Manufacturing Increased"/>
    <s v="Number of Investor Forums"/>
    <n v="0"/>
    <n v="1"/>
    <s v=" 2"/>
    <s v=" 2"/>
    <s v=" 2"/>
    <s v=" 2"/>
    <s v="UIA"/>
    <s v="310 Uganda Investment Authority (UIA)"/>
    <s v="Organize forums where local and foreign investors can interact to forge partnerships "/>
    <n v="1"/>
    <n v="0"/>
    <n v="0"/>
    <n v="1"/>
    <n v="1"/>
    <n v="1"/>
    <n v="0"/>
    <n v="0"/>
    <n v="0.5"/>
    <m/>
    <n v="0"/>
    <n v="0"/>
    <n v="0"/>
    <n v="0"/>
    <n v="0"/>
    <m/>
    <n v="0"/>
    <s v="UIA"/>
    <s v="310 Uganda Investment Authority (UIA)"/>
    <s v="MoTIC, MoFA, MIA"/>
  </r>
  <r>
    <x v="5"/>
    <x v="5"/>
    <s v="041"/>
    <s v="Industrial and Technological Development"/>
    <s v="0411"/>
    <s v="Develop the requisite infrastructure to support manufacturing in line with Uganda’s planned growth corridors (triangle)"/>
    <s v="041103"/>
    <s v="Develop the transport networks to support manufacturing especially in resource areas like Muko, Karamoja region; road, water, rail and air "/>
    <m/>
    <m/>
    <s v="04110301"/>
    <s v="Improved access to resource areas to source raw materials for manufacturing"/>
    <s v="Km of roads Constructed/Rehabilitated linking resource areas to Industrial parks"/>
    <s v="-"/>
    <n v="100"/>
    <n v="100"/>
    <n v="100"/>
    <n v="100"/>
    <n v="100"/>
    <s v="MWT"/>
    <e v="#N/A"/>
    <s v="Construct/ rehabilitate roads linking resource areas like Muko and Karamoja to industrial parks"/>
    <n v="1"/>
    <n v="1"/>
    <n v="1"/>
    <n v="1"/>
    <n v="1"/>
    <n v="1"/>
    <n v="1"/>
    <n v="1"/>
    <n v="1"/>
    <m/>
    <n v="0"/>
    <n v="0"/>
    <n v="0"/>
    <n v="0"/>
    <n v="2"/>
    <n v="0"/>
    <n v="2"/>
    <s v="MoWT"/>
    <s v="016 Ministry of Works and Transport"/>
    <s v="MoWT, MoFPED"/>
  </r>
  <r>
    <x v="5"/>
    <x v="5"/>
    <s v="041"/>
    <s v="Industrial and Technological Development"/>
    <s v="0411"/>
    <s v="Develop the requisite infrastructure to support manufacturing in line with Uganda’s planned growth corridors (triangle)"/>
    <s v="041103"/>
    <s v="Develop the transport networks to support manufacturing especially in resource areas like Muko, Karamoja region; road, water, rail and air "/>
    <m/>
    <m/>
    <s v="04110301"/>
    <s v="Improved access to resource areas to source raw materials for manufacturing"/>
    <s v="Km of rail network constructed/ rehabilitated linking resource areas to industrial parks"/>
    <s v="-"/>
    <n v="100"/>
    <n v="100"/>
    <n v="100"/>
    <n v="100"/>
    <n v="100"/>
    <s v="URC"/>
    <e v="#N/A"/>
    <s v="Construct/rehabilitate railway lines linking resource areas to industrial parks"/>
    <n v="1"/>
    <n v="1"/>
    <n v="1"/>
    <n v="1"/>
    <n v="1"/>
    <n v="1"/>
    <n v="1"/>
    <n v="1"/>
    <n v="1"/>
    <n v="1"/>
    <n v="0"/>
    <n v="0"/>
    <n v="0"/>
    <n v="0"/>
    <n v="0"/>
    <n v="0"/>
    <n v="0"/>
    <s v="MoWT (URC)"/>
    <s v="016 Ministry of Works and Transport"/>
    <s v="MoWT, MoTIC, UIA"/>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1"/>
    <s v="Increased cross border trade"/>
    <s v="Km of road linking Uganda to DRC and South Sudan constructed"/>
    <s v="-"/>
    <n v="100"/>
    <n v="100"/>
    <n v="100"/>
    <n v="50"/>
    <n v="0"/>
    <s v="UNRA"/>
    <s v="113 Uganda National Roads Authority"/>
    <s v="Construct road network linking Uganda to DRC and South Sudan"/>
    <n v="1"/>
    <n v="1"/>
    <n v="1"/>
    <n v="1"/>
    <n v="1"/>
    <n v="1"/>
    <n v="1"/>
    <n v="1"/>
    <n v="1"/>
    <n v="1"/>
    <n v="0"/>
    <n v="0"/>
    <n v="0"/>
    <n v="0"/>
    <n v="0"/>
    <n v="0"/>
    <n v="0"/>
    <s v="UNRA"/>
    <s v="113 Uganda National Roads Authority"/>
    <s v="MoWT"/>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1"/>
    <s v="Increased cross border trade"/>
    <s v="Number of one stop border posts constructed linking Uganda to DRC and Southern Sudan"/>
    <s v="-"/>
    <n v="0"/>
    <n v="1"/>
    <n v="2"/>
    <n v="2"/>
    <n v="2"/>
    <s v="MoTIC"/>
    <s v="015 Ministry of Trade, Industry and Cooperatives"/>
    <s v="Construction of one stop border posts between DRC, South Sudan and Uganda"/>
    <n v="1"/>
    <n v="1"/>
    <n v="1"/>
    <n v="1"/>
    <n v="1"/>
    <n v="1"/>
    <n v="1"/>
    <n v="1"/>
    <n v="1"/>
    <m/>
    <n v="0"/>
    <n v="0"/>
    <n v="0"/>
    <n v="26"/>
    <n v="28"/>
    <n v="30"/>
    <n v="58"/>
    <s v="MoTIC"/>
    <s v="015 Ministry of Trade, Industry and Cooperatives"/>
    <s v="MoWT, MoWE"/>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2"/>
    <s v="Kampala to Mpondwe and Kampala to Elegu Transformed from transit to development corridors  "/>
    <s v="Number of Feasibility Studies Undertaken"/>
    <n v="0"/>
    <n v="2"/>
    <s v=" 2"/>
    <s v=" 2"/>
    <s v=" 2"/>
    <s v=" 2"/>
    <s v="MoTIC"/>
    <s v="015 Ministry of Trade, Industry and Cooperatives"/>
    <s v="Undertake feasibility studies and develop master plans to inform the transformation of   Kampala to Mpondwe and Kampala to Elegu into development corridors  "/>
    <n v="1"/>
    <n v="0"/>
    <n v="0"/>
    <n v="1"/>
    <n v="0"/>
    <n v="0"/>
    <n v="1"/>
    <n v="1"/>
    <n v="0.5"/>
    <m/>
    <n v="0"/>
    <n v="0"/>
    <n v="0.1"/>
    <n v="0.1"/>
    <n v="0"/>
    <m/>
    <n v="0"/>
    <s v="MoTIC"/>
    <s v="015 Ministry of Trade, Industry and Cooperatives"/>
    <s v="NPA, UIA, MoLG, State House"/>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2"/>
    <s v="Kampala to Mpondwe and Kampala to Elegu Transformed from transit to development corridors  "/>
    <s v="Number of projects developed and implemented"/>
    <n v="0"/>
    <n v="2"/>
    <n v="2"/>
    <n v="2"/>
    <n v="2"/>
    <n v="2"/>
    <s v="MoTIC"/>
    <s v="015 Ministry of Trade, Industry and Cooperatives"/>
    <s v="Develop and implement projects (Regional production center, logistical hubs, Common user facilites, storage facilities, markets, manufacturing and trade information centres etc) along the Kampala to Mpondwe and Kampala to Elegu development corridors  "/>
    <n v="1"/>
    <n v="0"/>
    <n v="0"/>
    <n v="1"/>
    <n v="0"/>
    <n v="0"/>
    <n v="1"/>
    <n v="1"/>
    <n v="0.5"/>
    <m/>
    <n v="0"/>
    <n v="0"/>
    <n v="0"/>
    <n v="0"/>
    <n v="0"/>
    <m/>
    <n v="0"/>
    <s v="MoTIC"/>
    <s v="015 Ministry of Trade, Industry and Cooperatives"/>
    <s v="NPA, UIA, MoLG, State House"/>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2"/>
    <s v="Kampala to Mpondwe and Kampala to Elegu Transformed from transit to development corridors  "/>
    <s v=" ICT Enabled Commodity Trading Platform in place "/>
    <n v="0"/>
    <n v="0"/>
    <n v="0"/>
    <n v="1"/>
    <n v="0"/>
    <n v="0"/>
    <s v="MoTIC"/>
    <s v="015 Ministry of Trade, Industry and Cooperatives"/>
    <s v="Setup and maintain an ICT- enabled commodity trading platform linked to others in partner states through the National Commodity Exchange"/>
    <n v="1"/>
    <n v="0"/>
    <n v="0"/>
    <n v="0"/>
    <n v="0"/>
    <n v="1"/>
    <n v="1"/>
    <n v="1"/>
    <n v="0.5"/>
    <m/>
    <n v="0"/>
    <n v="0"/>
    <n v="0"/>
    <n v="0.2"/>
    <n v="0"/>
    <m/>
    <n v="0"/>
    <s v="MoTIC"/>
    <s v="015 Ministry of Trade, Industry and Cooperatives"/>
    <s v="MoTIC &amp; NG, MoFA"/>
  </r>
  <r>
    <x v="5"/>
    <x v="5"/>
    <s v="041"/>
    <s v="Industrial and Technological Development"/>
    <s v="0411"/>
    <s v="Develop the requisite infrastructure to support manufacturing in line with Uganda’s planned growth corridors (triangle)"/>
    <s v="041104"/>
    <s v="Develop infrastructure linking the neighbouring countries especially DRC and South Sudan "/>
    <m/>
    <m/>
    <s v="04110402"/>
    <s v="Kampala to Mpondwe and Kampala to Elegu Transformed from transit to development corridors  "/>
    <m/>
    <m/>
    <m/>
    <m/>
    <m/>
    <m/>
    <m/>
    <m/>
    <e v="#N/A"/>
    <s v="Setup and maintain an ICT- enabled commodity trading platform linked to others in partner states through the National Commodity Exchange"/>
    <m/>
    <m/>
    <m/>
    <m/>
    <m/>
    <m/>
    <n v="0"/>
    <n v="0"/>
    <n v="0"/>
    <m/>
    <n v="0"/>
    <n v="0"/>
    <n v="0"/>
    <n v="1"/>
    <n v="0"/>
    <m/>
    <n v="0"/>
    <s v="NITA-U"/>
    <s v="126 National Information Technology Authority"/>
    <s v="MoTIC, MoFA"/>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Number of cleaner production technologies adopted in industry "/>
    <n v="0"/>
    <n v="1"/>
    <n v="3"/>
    <s v=" 3"/>
    <s v=" 2"/>
    <s v="2 "/>
    <s v="MoTIC"/>
    <s v="015 Ministry of Trade, Industry and Cooperatives"/>
    <s v="Develop guidelines for implementing RECP in manufacturing subsectors"/>
    <n v="1"/>
    <n v="0"/>
    <n v="0"/>
    <n v="1"/>
    <n v="1"/>
    <n v="1"/>
    <n v="1"/>
    <n v="1"/>
    <n v="0.75"/>
    <m/>
    <n v="0"/>
    <n v="0.15"/>
    <n v="0.15"/>
    <n v="0.15"/>
    <n v="0.1"/>
    <n v="0.1"/>
    <n v="0.2"/>
    <s v="MoTIC"/>
    <s v="015 Ministry of Trade, Industry and Cooperatives"/>
    <s v="N/A"/>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Number of Industries supported to diversify their product value chains into cleaner and environmentally friendly processes"/>
    <n v="0"/>
    <n v="0"/>
    <n v="30"/>
    <n v="30"/>
    <n v="30"/>
    <n v="30"/>
    <s v="MoTIC"/>
    <s v="015 Ministry of Trade, Industry and Cooperatives"/>
    <s v="Build capacity of local Industries to diversify their product value chains into cleaner and environmentally friendly processes"/>
    <n v="1"/>
    <n v="1"/>
    <n v="1"/>
    <n v="1"/>
    <n v="1"/>
    <n v="1"/>
    <n v="1"/>
    <n v="1"/>
    <n v="1"/>
    <m/>
    <n v="0"/>
    <n v="0"/>
    <n v="0"/>
    <n v="0"/>
    <n v="0"/>
    <n v="0"/>
    <n v="0"/>
    <s v="MoTIC"/>
    <s v="015 Ministry of Trade, Industry and Cooperatives"/>
    <s v="NEMA"/>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Eco certification Program for Industries and Industrial products Established and Implemented"/>
    <n v="0"/>
    <n v="0"/>
    <n v="0"/>
    <n v="1"/>
    <n v="0"/>
    <n v="0"/>
    <s v="MoTIC"/>
    <s v="015 Ministry of Trade, Industry and Cooperatives"/>
    <s v="Develop and implement a program to certify eco-friendly and eco-sensitive industries and products"/>
    <n v="0"/>
    <n v="0"/>
    <n v="0"/>
    <n v="1"/>
    <n v="1"/>
    <n v="1"/>
    <n v="0"/>
    <n v="1"/>
    <n v="0.5"/>
    <m/>
    <n v="0"/>
    <n v="0"/>
    <n v="0"/>
    <n v="1"/>
    <n v="0"/>
    <m/>
    <n v="0"/>
    <s v="MoTIC"/>
    <s v="015 Ministry of Trade, Industry and Cooperatives"/>
    <s v="UNBS"/>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Sets of tools and Equipment for Undertaking RECP training and Assessment"/>
    <n v="0"/>
    <n v="0"/>
    <n v="0"/>
    <n v="1"/>
    <n v="1"/>
    <n v="1"/>
    <s v="MoTIC"/>
    <s v="015 Ministry of Trade, Industry and Cooperatives"/>
    <s v="Strengthen the capacity of relevant institutions by providing tools, equipment to undertake RECP Assessment and training in Industries "/>
    <n v="1"/>
    <n v="0"/>
    <n v="0"/>
    <n v="1"/>
    <n v="1"/>
    <n v="0"/>
    <n v="0"/>
    <n v="0"/>
    <n v="0.375"/>
    <m/>
    <n v="0"/>
    <n v="0"/>
    <n v="0"/>
    <n v="0"/>
    <n v="0"/>
    <m/>
    <n v="0"/>
    <s v="MoTIC"/>
    <s v="015 Ministry of Trade, Industry and Cooperatives"/>
    <s v="N/A"/>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Number of industries assessed to determine baseline and ex-post resource efficiency and pollution intensity"/>
    <n v="0"/>
    <n v="100"/>
    <n v="100"/>
    <n v="100"/>
    <n v="100"/>
    <n v="100"/>
    <s v="MoTIC"/>
    <s v="015 Ministry of Trade, Industry and Cooperatives"/>
    <s v="Carry out mapping to determine baseline and ex-post resource efficiency and pollution intensity for industries in the targeted subsectors"/>
    <n v="1"/>
    <m/>
    <m/>
    <m/>
    <m/>
    <m/>
    <n v="0"/>
    <n v="0"/>
    <n v="0.125"/>
    <m/>
    <n v="1"/>
    <n v="0"/>
    <n v="0.5"/>
    <n v="0.5"/>
    <n v="0"/>
    <m/>
    <n v="0"/>
    <s v="MoTIC"/>
    <s v="015 Ministry of Trade, Industry and Cooperatives"/>
    <s v="NEMA, UIA, UBOS, MoGLSD"/>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Number of industries Trained in RECP"/>
    <n v="0"/>
    <n v="100"/>
    <n v="100"/>
    <n v="100"/>
    <n v="100"/>
    <n v="100"/>
    <s v="MoTIC"/>
    <s v="015 Ministry of Trade, Industry and Cooperatives"/>
    <s v="Conduct RECP training and awareness creation in industries"/>
    <n v="1"/>
    <n v="0"/>
    <n v="0"/>
    <n v="1"/>
    <n v="1"/>
    <n v="0"/>
    <n v="0"/>
    <n v="1"/>
    <n v="0.5"/>
    <m/>
    <n v="0"/>
    <n v="0"/>
    <n v="0.5"/>
    <n v="0.5"/>
    <n v="0"/>
    <m/>
    <n v="0"/>
    <s v="MoTIC"/>
    <s v="015 Ministry of Trade, Industry and Cooperatives"/>
    <s v="NEMA, MoGLSD"/>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Number of industries assessed and supported to identify and implement measures for RECP"/>
    <n v="0"/>
    <n v="100"/>
    <n v="100"/>
    <n v="100"/>
    <n v="100"/>
    <n v="100"/>
    <s v="MoTIC"/>
    <s v="015 Ministry of Trade, Industry and Cooperatives"/>
    <s v="Carry out continuous RECP in plant assessments and provide technical support in industries to identify and implement measures for improving resource efficiency."/>
    <n v="1"/>
    <n v="0"/>
    <n v="0"/>
    <n v="1"/>
    <n v="1"/>
    <n v="0"/>
    <n v="0"/>
    <n v="1"/>
    <n v="0.5"/>
    <m/>
    <n v="0"/>
    <n v="0"/>
    <n v="0.5"/>
    <n v="0.5"/>
    <n v="0"/>
    <m/>
    <n v="0"/>
    <s v="MoTIC"/>
    <s v="015 Ministry of Trade, Industry and Cooperatives"/>
    <s v="NEMA, MoGLSD"/>
  </r>
  <r>
    <x v="5"/>
    <x v="5"/>
    <s v="041"/>
    <s v="Industrial and Technological Development"/>
    <s v="0411"/>
    <s v="Develop the requisite infrastructure to support manufacturing in line with Uganda’s planned growth corridors (triangle)"/>
    <s v="041105"/>
    <s v="Upgrade industries to make them sustainable, with increased resource-use efficiency and greater adoption of clean and environmentally sound technologies and industrial processes"/>
    <m/>
    <m/>
    <s v="04110501"/>
    <s v="Resource efficient and cleaner production technologies and industrial processes adopted"/>
    <s v="Annual National RECP catalogue of RECP best practices and success stories published"/>
    <n v="0"/>
    <n v="1"/>
    <n v="1"/>
    <n v="1"/>
    <n v="1"/>
    <s v="1S"/>
    <s v="MoTIC"/>
    <s v="015 Ministry of Trade, Industry and Cooperatives"/>
    <s v="Develop, and annually disseminate a catalogue of RECP best practices and success stories "/>
    <n v="1"/>
    <n v="0"/>
    <n v="0"/>
    <n v="1"/>
    <n v="1"/>
    <n v="0"/>
    <n v="0"/>
    <n v="1"/>
    <n v="0.5"/>
    <m/>
    <n v="0"/>
    <n v="0"/>
    <n v="0"/>
    <n v="0"/>
    <n v="0"/>
    <m/>
    <n v="0"/>
    <s v="MoTIC"/>
    <s v="015 Ministry of Trade, Industry and Cooperatives"/>
    <s v="N/A"/>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Updated standards, regulations and guidelines chains into cleaner and environmentally friendly processes"/>
    <n v="0"/>
    <n v="10"/>
    <n v="10"/>
    <n v="10"/>
    <n v="10"/>
    <n v="10"/>
    <s v="MoTIC"/>
    <s v="015 Ministry of Trade, Industry and Cooperatives"/>
    <s v="Review and update standards, regulations and guidelines to cater for indigenous Pharma remedies (incl. Dissemination, enforcement and M&amp;E)"/>
    <n v="1"/>
    <n v="1"/>
    <n v="1"/>
    <n v="1"/>
    <n v="1"/>
    <n v="1"/>
    <n v="1"/>
    <n v="1"/>
    <n v="1"/>
    <m/>
    <n v="0"/>
    <n v="0.5"/>
    <n v="0.5"/>
    <n v="0.5"/>
    <n v="0.5"/>
    <n v="0.5"/>
    <n v="1"/>
    <s v="MoH (NDA)"/>
    <s v="014 Ministry of Health"/>
    <s v="UNBS"/>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pharmaceutical industries supported"/>
    <n v="2"/>
    <s v=" 3"/>
    <s v=" 3"/>
    <s v=" 3"/>
    <s v=" 3"/>
    <n v="3"/>
    <s v="MoTIC"/>
    <s v="015 Ministry of Trade, Industry and Cooperatives"/>
    <s v="Provide technical support to local pharmaceutical industries in Good Manufacturing Practices and prequalification standards."/>
    <n v="1"/>
    <n v="1"/>
    <n v="1"/>
    <n v="1"/>
    <n v="1"/>
    <n v="1"/>
    <n v="1"/>
    <n v="1"/>
    <n v="1"/>
    <m/>
    <n v="0"/>
    <n v="0"/>
    <n v="0"/>
    <n v="0"/>
    <n v="0"/>
    <n v="0"/>
    <n v="0"/>
    <s v="MoTIC"/>
    <s v="015 Ministry of Trade, Industry and Cooperatives"/>
    <s v="UNBS, NDA"/>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pharmaceutical industries supported"/>
    <n v="2"/>
    <s v=" 3"/>
    <s v=" 3"/>
    <s v=" 3"/>
    <s v=" 3"/>
    <n v="3"/>
    <s v="NDA"/>
    <e v="#N/A"/>
    <s v="Provide technical support to local pharmaceutical industries in Good Manufacturing Practices and prequalification standards."/>
    <m/>
    <m/>
    <m/>
    <m/>
    <m/>
    <m/>
    <n v="0"/>
    <n v="0"/>
    <n v="0"/>
    <m/>
    <n v="0"/>
    <n v="0.5"/>
    <n v="0.5"/>
    <n v="0.5"/>
    <n v="0"/>
    <m/>
    <n v="0"/>
    <s v="MoH (NDA)"/>
    <s v="014 Ministry of Health"/>
    <s v="MoTIC, UNBS"/>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new Pharmaceutical products certified"/>
    <n v="1"/>
    <s v=" 2"/>
    <s v=" 2"/>
    <s v=" 2"/>
    <s v=" 2"/>
    <n v="2"/>
    <s v="MoTIC"/>
    <s v="015 Ministry of Trade, Industry and Cooperatives"/>
    <s v="Facilitate local industries especially those involved in production of indigenous pharma remedies to acquire appropriate technologies and product certification "/>
    <n v="1"/>
    <n v="1"/>
    <n v="1"/>
    <n v="1"/>
    <n v="1"/>
    <n v="0"/>
    <n v="1"/>
    <n v="1"/>
    <n v="0.875"/>
    <m/>
    <n v="0"/>
    <n v="0.1"/>
    <n v="0.1"/>
    <n v="0.1"/>
    <n v="0.1"/>
    <n v="0.1"/>
    <n v="0.2"/>
    <s v="MoTIC"/>
    <s v="015 Ministry of Trade, Industry and Cooperatives"/>
    <s v="MoSTI, UVRI, MoH, UNCST, NDA"/>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sensitization campaigns on locally produced Pharma products conducted (MOH)"/>
    <n v="0"/>
    <n v="5"/>
    <n v="5"/>
    <n v="5"/>
    <n v="5"/>
    <n v="5"/>
    <s v="MOH"/>
    <s v="014 Ministry of Health"/>
    <s v="Conduct sensitization and awareness campaigns on locally produced pharma products"/>
    <n v="1"/>
    <n v="1"/>
    <n v="1"/>
    <n v="1"/>
    <n v="1"/>
    <n v="0"/>
    <n v="1"/>
    <n v="1"/>
    <n v="0.875"/>
    <m/>
    <n v="0"/>
    <n v="0"/>
    <n v="0"/>
    <n v="0"/>
    <n v="0"/>
    <n v="0"/>
    <n v="0"/>
    <s v="MoTIC"/>
    <s v="015 Ministry of Trade, Industry and Cooperatives"/>
    <s v="MoSTI, UVRI, MoH, UNCST, NDA"/>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sensitization campaigns on locally produced Pharma products conducted (MTIC)"/>
    <n v="0"/>
    <n v="5"/>
    <n v="5"/>
    <n v="5"/>
    <n v="5"/>
    <n v="5"/>
    <s v="MoTIC"/>
    <s v="015 Ministry of Trade, Industry and Cooperatives"/>
    <s v="Conduct sensitization and awareness campaigns on locally produced pharma products"/>
    <m/>
    <m/>
    <m/>
    <m/>
    <m/>
    <m/>
    <n v="0"/>
    <n v="0"/>
    <n v="0"/>
    <m/>
    <n v="0"/>
    <n v="0.7"/>
    <n v="0.7"/>
    <n v="0.7"/>
    <n v="0"/>
    <m/>
    <n v="0"/>
    <s v="MoH"/>
    <s v="014 Ministry of Health"/>
    <s v="MoSTI, UVRI, UNCST, NDA"/>
  </r>
  <r>
    <x v="5"/>
    <x v="5"/>
    <s v="041"/>
    <s v="Industrial and Technological Development"/>
    <s v="0412"/>
    <s v="Increase value addition for import replacement and enhanced exports"/>
    <s v="041201"/>
    <s v="Support existing local manufactures for both medical products and pharmaceuticals"/>
    <m/>
    <m/>
    <s v="04120101"/>
    <s v="Improved product volumes and quality in pharma subsector"/>
    <s v="Number of pharma industries invested in"/>
    <n v="0"/>
    <n v="1"/>
    <s v=" 2"/>
    <s v=" 2"/>
    <s v=" 2"/>
    <s v=" 2"/>
    <s v="UDC"/>
    <s v="015 Ministry of Trade, Industry and Cooperatives"/>
    <s v="Undertake Investment in strategic local pharmaceutical industries e.g starch, herbal extracts, Cotton based medical Sundries, I.V fluids."/>
    <n v="1"/>
    <n v="1"/>
    <n v="1"/>
    <n v="1"/>
    <n v="1"/>
    <n v="0"/>
    <n v="1"/>
    <n v="1"/>
    <n v="0.875"/>
    <m/>
    <n v="0"/>
    <n v="25"/>
    <n v="25"/>
    <n v="25"/>
    <n v="25"/>
    <n v="25"/>
    <n v="50"/>
    <s v="MoTIC (UDC)"/>
    <s v="015 Ministry of Trade, Industry and Cooperatives"/>
    <s v="UIA, MoTIC, NDA, MoH"/>
  </r>
  <r>
    <x v="5"/>
    <x v="5"/>
    <s v="041"/>
    <s v="Industrial and Technological Development"/>
    <s v="0412"/>
    <s v="Increase value addition for import replacement and enhanced exports"/>
    <s v="041201"/>
    <s v="Support existing local manufactures for both medical products and pharmaceuticals"/>
    <m/>
    <m/>
    <s v="04120102"/>
    <s v="Improved product volumes and quality in pharma subsector"/>
    <s v="Number of negotiation meetings for the extension of WTO TRIPS Agreement participated in"/>
    <s v="-"/>
    <n v="2"/>
    <n v="2"/>
    <n v="2"/>
    <n v="2"/>
    <n v="2"/>
    <s v="MoTIC"/>
    <s v="015 Ministry of Trade, Industry and Cooperatives"/>
    <s v="Participate in the negotiations for the extension of WTO TRIPS Agreement on access to essential medicine beyond 2033"/>
    <n v="1"/>
    <n v="1"/>
    <n v="0"/>
    <n v="1"/>
    <n v="1"/>
    <n v="0"/>
    <n v="1"/>
    <n v="1"/>
    <n v="0.75"/>
    <m/>
    <n v="0"/>
    <n v="0.5"/>
    <n v="0.5"/>
    <n v="0.5"/>
    <n v="0.5"/>
    <s v="0.5 "/>
    <n v="0.5"/>
    <s v="MoTIC"/>
    <s v="015 Ministry of Trade, Industry and Cooperatives"/>
    <s v="MoFA"/>
  </r>
  <r>
    <x v="5"/>
    <x v="5"/>
    <s v="041"/>
    <s v="Industrial and Technological Development"/>
    <s v="0412"/>
    <s v="Increase value addition for import replacement and enhanced exports"/>
    <s v="041201"/>
    <s v="Support existing local manufactures for both medical products and pharmaceuticals"/>
    <m/>
    <m/>
    <s v="04120102"/>
    <s v="Improved product volumes and quality in pharma subsector"/>
    <s v="Number of negotiation meetings for the extension of WTO TRIPS Agreement participated in"/>
    <s v="-"/>
    <n v="2"/>
    <n v="2"/>
    <n v="2"/>
    <n v="2"/>
    <n v="2"/>
    <s v="MoFA"/>
    <s v="006 Ministry of Foreign Affairs"/>
    <s v="Participate in the negotiations for the extension of WTO TRIPS Agreement on access to essential medicine beyond 2034"/>
    <m/>
    <m/>
    <m/>
    <m/>
    <m/>
    <m/>
    <n v="0"/>
    <n v="0"/>
    <n v="0"/>
    <m/>
    <n v="0"/>
    <n v="0.5"/>
    <n v="0.2"/>
    <n v="0.2"/>
    <n v="0"/>
    <m/>
    <n v="0"/>
    <s v="MoFA"/>
    <s v="006 Ministry of Foreign Affairs"/>
    <s v="MoTIC"/>
  </r>
  <r>
    <x v="5"/>
    <x v="5"/>
    <s v="041"/>
    <s v="Industrial and Technological Development"/>
    <s v="0412"/>
    <s v="Increase value addition for import replacement and enhanced exports"/>
    <s v="041201"/>
    <s v="Support existing local manufactures for both medical products and pharmaceuticals"/>
    <m/>
    <m/>
    <s v="04120102"/>
    <s v="Increased market share of Uganda’s  Pharmaceutical industry in the regional markets"/>
    <s v="Number of Policies reviewed in line with trade of Pharma products"/>
    <n v="0"/>
    <n v="5"/>
    <n v="5"/>
    <n v="5"/>
    <n v="5"/>
    <n v="5"/>
    <s v="MoTIC"/>
    <s v="015 Ministry of Trade, Industry and Cooperatives"/>
    <s v="Review existing policies on trade of pharmaceuticals to address competitiveness issues "/>
    <n v="1"/>
    <n v="0"/>
    <n v="0"/>
    <n v="1"/>
    <n v="1"/>
    <n v="1"/>
    <n v="0"/>
    <n v="1"/>
    <n v="0.625"/>
    <m/>
    <n v="0"/>
    <n v="0.2"/>
    <n v="0.2"/>
    <n v="0.2"/>
    <n v="0"/>
    <n v="0"/>
    <n v="0"/>
    <s v="MoTIC"/>
    <s v="015 Ministry of Trade, Industry and Cooperatives"/>
    <s v="NDA, MoH, UNBS, Parliament, Cabinet Secretary"/>
  </r>
  <r>
    <x v="5"/>
    <x v="5"/>
    <s v="041"/>
    <s v="Industrial and Technological Development"/>
    <s v="0412"/>
    <s v="Increase value addition for import replacement and enhanced exports"/>
    <s v="041201"/>
    <s v="Support existing local manufactures for both medical products and pharmaceuticals"/>
    <m/>
    <m/>
    <s v="04120102"/>
    <s v="Increased market share of Uganda’s  Pharmaceutical industry in the regional markets"/>
    <s v="Number of markets attained for pharma products"/>
    <s v="-"/>
    <n v="1"/>
    <n v="1"/>
    <n v="1"/>
    <n v="1"/>
    <n v="1"/>
    <s v="MoTIC"/>
    <s v="015 Ministry of Trade, Industry and Cooperatives"/>
    <s v="Promote Market entry of Uganda’s Pharma products in the region markets "/>
    <n v="1"/>
    <n v="1"/>
    <n v="1"/>
    <n v="1"/>
    <n v="1"/>
    <n v="0"/>
    <n v="1"/>
    <n v="1"/>
    <n v="0.875"/>
    <m/>
    <n v="0"/>
    <n v="0"/>
    <n v="0"/>
    <n v="0"/>
    <n v="0.25"/>
    <n v="0.25"/>
    <n v="0.5"/>
    <s v="MoTIC"/>
    <s v="015 Ministry of Trade, Industry and Cooperatives"/>
    <s v="MoFA, MEACA"/>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1"/>
    <s v="Improved quality of plastic products"/>
    <s v="Guidelines and standards for establishment and Operation of Plastic recycling facilities in place and enforced"/>
    <s v="-"/>
    <n v="1"/>
    <n v="1"/>
    <n v="1"/>
    <m/>
    <m/>
    <s v="UNBS"/>
    <s v="154 Uganda National Bureau of Standards"/>
    <s v="Develop and implement Guidelines and standards for establishment and Operation of Plastic recycling facilities"/>
    <n v="1"/>
    <n v="0"/>
    <n v="1"/>
    <n v="1"/>
    <n v="1"/>
    <n v="1"/>
    <n v="1"/>
    <n v="1"/>
    <n v="0.875"/>
    <m/>
    <n v="0"/>
    <n v="0.2"/>
    <n v="0.2"/>
    <n v="0.2"/>
    <n v="0.2"/>
    <n v="0"/>
    <n v="0.2"/>
    <s v="UNBS"/>
    <s v="154 Uganda National Bureau of Standards"/>
    <s v="MoTIC"/>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1"/>
    <s v="Improved quality of plastic products"/>
    <s v="Number of inspection and technical guidance field visits conducted to plastic industries"/>
    <s v="-"/>
    <n v="2000"/>
    <n v="2000"/>
    <n v="2000"/>
    <n v="2000"/>
    <n v="2000"/>
    <s v="UNBS"/>
    <s v="154 Uganda National Bureau of Standards"/>
    <s v="Undertake Inspection and technical guidance to plastic industries "/>
    <m/>
    <m/>
    <m/>
    <m/>
    <m/>
    <m/>
    <n v="0"/>
    <n v="0"/>
    <n v="0"/>
    <m/>
    <n v="0"/>
    <n v="0.3"/>
    <n v="0.3"/>
    <n v="0.3"/>
    <n v="0"/>
    <m/>
    <n v="0"/>
    <s v="UNBS"/>
    <s v="154 Uganda National Bureau of Standards"/>
    <s v="MoTIC, UIRI, Makerere University"/>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1"/>
    <s v="Improved quality of plastic products"/>
    <s v="Number of plastic products certified "/>
    <s v="-"/>
    <n v="300"/>
    <n v="300"/>
    <n v="300"/>
    <n v="300"/>
    <n v="300"/>
    <s v="UNBS"/>
    <s v="154 Uganda National Bureau of Standards"/>
    <s v="Support plastic recycling industries to acquire appropriate technologies and product certification"/>
    <n v="1"/>
    <n v="1"/>
    <n v="1"/>
    <n v="1"/>
    <n v="1"/>
    <n v="0"/>
    <n v="1"/>
    <n v="1"/>
    <n v="0.875"/>
    <m/>
    <n v="0"/>
    <n v="0.5"/>
    <n v="0.5"/>
    <n v="0.5"/>
    <n v="0.5"/>
    <n v="0.5"/>
    <n v="1"/>
    <s v="UNBS"/>
    <s v="154 Uganda National Bureau of Standards"/>
    <s v="MoTIC"/>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2"/>
    <s v="Increased investment in plastics recycling"/>
    <s v="Number of youth incubated I plastic recycling"/>
    <s v="-"/>
    <n v="50"/>
    <n v="50"/>
    <n v="50"/>
    <n v="50"/>
    <n v="50"/>
    <s v="MoTIC"/>
    <s v="015 Ministry of Trade, Industry and Cooperatives"/>
    <s v="Develop incubation facilities and undertake incubation of youth in participation in the plastics recycling value chain"/>
    <n v="1"/>
    <n v="1"/>
    <n v="1"/>
    <n v="1"/>
    <n v="1"/>
    <n v="0"/>
    <n v="1"/>
    <n v="1"/>
    <n v="0.875"/>
    <m/>
    <n v="0"/>
    <n v="0.5"/>
    <n v="0.5"/>
    <n v="0.5"/>
    <n v="0.5"/>
    <n v="0.5"/>
    <n v="1"/>
    <s v="MoTIC"/>
    <s v="015 Ministry of Trade, Industry and Cooperatives"/>
    <s v="MoFPED, UIRI, MoES"/>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2"/>
    <s v="Increased investment in plastics recycling"/>
    <s v="Number of investors attracted in the plastic recycling industry"/>
    <s v="-"/>
    <n v="0"/>
    <n v="0"/>
    <n v="0"/>
    <n v="2"/>
    <n v="2"/>
    <s v="MoTIC"/>
    <s v="015 Ministry of Trade, Industry and Cooperatives"/>
    <s v="Facilitate private sector and local Governments to Invest in strategic Plastic recycling to reduce environmental pollution and the import bill"/>
    <n v="1"/>
    <n v="1"/>
    <n v="1"/>
    <n v="1"/>
    <n v="1"/>
    <n v="0"/>
    <n v="1"/>
    <n v="1"/>
    <n v="0.875"/>
    <m/>
    <n v="0"/>
    <n v="0"/>
    <n v="0"/>
    <n v="0"/>
    <n v="0.2"/>
    <n v="0"/>
    <n v="0.2"/>
    <s v="MoTIC"/>
    <s v="015 Ministry of Trade, Industry and Cooperatives"/>
    <s v="MoFPED, PSF"/>
  </r>
  <r>
    <x v="5"/>
    <x v="5"/>
    <s v="041"/>
    <s v="Industrial and Technological Development"/>
    <s v="0412"/>
    <s v="Increase value addition for import replacement and enhanced exports"/>
    <s v="041202"/>
    <s v="Provide government support for installation of recycling facilities for Polyethylene terephthalate (PET), High-Density Polyethylene (HDPE) Low-Density Polyethylene (LDPE) and Polypropylene (PP)"/>
    <m/>
    <m/>
    <s v="04120202"/>
    <s v="Increased investment in plastics recycling"/>
    <s v="Number of innovators supported in the plastic recycling industry"/>
    <s v="-"/>
    <n v="4"/>
    <n v="4"/>
    <n v="4"/>
    <n v="4"/>
    <n v="4"/>
    <s v="MOSTI"/>
    <s v="023 Ministry of Science,Technology and Innovation"/>
    <s v="Support R&amp;D and local innovators to develop environmentally friendly technologies"/>
    <n v="1"/>
    <n v="1"/>
    <n v="1"/>
    <n v="1"/>
    <n v="1"/>
    <n v="0"/>
    <n v="1"/>
    <n v="1"/>
    <n v="0.875"/>
    <m/>
    <n v="0"/>
    <n v="1"/>
    <n v="1"/>
    <n v="1"/>
    <n v="1"/>
    <n v="1"/>
    <n v="2"/>
    <s v="MoSTI"/>
    <s v="023 Ministry of Science,Technology and Innovation"/>
    <s v="UNCST, MoES, Makerere University, MoTI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standards and guidelines developed for the Automotive Assembly and Manufacturing Industry"/>
    <n v="0"/>
    <n v="0"/>
    <s v=" 2"/>
    <n v="3"/>
    <s v=" 2"/>
    <s v=" 2"/>
    <s v="UNBS"/>
    <s v="154 Uganda National Bureau of Standards"/>
    <s v="Develop and regionally harmonize Standards and Guidelines for the Automotive Assembly and Manufacturing Industry"/>
    <n v="1"/>
    <n v="1"/>
    <n v="1"/>
    <n v="1"/>
    <n v="1"/>
    <n v="0"/>
    <n v="1"/>
    <n v="1"/>
    <n v="0.875"/>
    <m/>
    <n v="1"/>
    <n v="0"/>
    <n v="0.5"/>
    <n v="0.5"/>
    <s v="0.5 "/>
    <s v="0.5 "/>
    <n v="0"/>
    <s v="UNBS"/>
    <s v="154 Uganda National Bureau of Standards"/>
    <s v="KMC, MoFA, MoSTI, MoTI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Updated vehicle register in place"/>
    <m/>
    <m/>
    <m/>
    <m/>
    <m/>
    <m/>
    <s v="UNBS"/>
    <s v="154 Uganda National Bureau of Standards"/>
    <s v="Update vehicle registration to provide for power train type of vehicle, place of assembly/manufacture"/>
    <n v="1"/>
    <n v="1"/>
    <n v="0"/>
    <n v="1"/>
    <n v="1"/>
    <n v="1"/>
    <n v="0"/>
    <n v="1"/>
    <n v="0.75"/>
    <m/>
    <n v="0"/>
    <n v="0"/>
    <n v="0"/>
    <n v="0"/>
    <n v="0"/>
    <n v="0"/>
    <n v="0"/>
    <s v="MoSTI (KMC)"/>
    <s v="023 Ministry of Science,Technology and Innovation"/>
    <s v="UNBS"/>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Guidelines in place and enforced"/>
    <m/>
    <m/>
    <m/>
    <m/>
    <m/>
    <m/>
    <s v="UNBS"/>
    <s v="154 Uganda National Bureau of Standards"/>
    <s v="Guidelines for VIN for vehicles made in Uganda "/>
    <n v="1"/>
    <n v="1"/>
    <n v="0"/>
    <n v="1"/>
    <n v="1"/>
    <n v="1"/>
    <n v="0"/>
    <n v="1"/>
    <n v="0.75"/>
    <m/>
    <n v="0"/>
    <n v="0"/>
    <n v="0"/>
    <n v="0"/>
    <n v="0"/>
    <n v="0"/>
    <n v="0"/>
    <s v="MoSTI (KMC)"/>
    <s v="023 Ministry of Science,Technology and Innovation"/>
    <s v="UNBS"/>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Guidelines in place and enforced"/>
    <m/>
    <m/>
    <m/>
    <m/>
    <m/>
    <m/>
    <s v="UNBS"/>
    <s v="154 Uganda National Bureau of Standards"/>
    <s v="Develop and enforce guidelines for disposal and recycling of end of life vehicles, used vehicles parts and electric vehicle waste management"/>
    <n v="1"/>
    <n v="1"/>
    <n v="0"/>
    <n v="1"/>
    <n v="1"/>
    <n v="1"/>
    <n v="0"/>
    <n v="1"/>
    <n v="0.75"/>
    <m/>
    <n v="0"/>
    <n v="0"/>
    <n v="0"/>
    <n v="0"/>
    <n v="0"/>
    <n v="0"/>
    <n v="0"/>
    <s v="UNBS"/>
    <s v="154 Uganda National Bureau of Standards"/>
    <s v="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age level of equipping the Kiira Vehicle Plant"/>
    <m/>
    <m/>
    <n v="50"/>
    <n v="85"/>
    <s v=" 100"/>
    <m/>
    <s v="KMC"/>
    <e v="#N/A"/>
    <s v="Purchase and install plant machinery, equipment and tools "/>
    <n v="1"/>
    <n v="1"/>
    <n v="0"/>
    <n v="0"/>
    <n v="1"/>
    <n v="1"/>
    <n v="0"/>
    <n v="1"/>
    <n v="0.625"/>
    <n v="1"/>
    <n v="0"/>
    <n v="0"/>
    <n v="60"/>
    <n v="41"/>
    <n v="30.5"/>
    <n v="0"/>
    <n v="30.5"/>
    <s v="MoSTI (KMC)"/>
    <s v="023 Ministry of Science,Technology and Innovation"/>
    <s v="MoSTI, MoFPED"/>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Vehicles Purchased (Buses, Pickups and Tractors)"/>
    <n v="0"/>
    <n v="0"/>
    <n v="100"/>
    <n v="100"/>
    <n v="100"/>
    <n v="100"/>
    <s v="MWT"/>
    <e v="#N/A"/>
    <s v="Facilitate offtake market by Government for locally made vehicles and part"/>
    <n v="1"/>
    <n v="1"/>
    <n v="0"/>
    <n v="0"/>
    <n v="1"/>
    <n v="1"/>
    <n v="0"/>
    <n v="1"/>
    <n v="0.625"/>
    <m/>
    <n v="0"/>
    <n v="140"/>
    <n v="40"/>
    <n v="40"/>
    <n v="0"/>
    <m/>
    <n v="0"/>
    <s v="MoWT"/>
    <s v="016 Ministry of Works and Transport"/>
    <s v="MoFPED, MoSTI, 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Vehicle Plants and Parts Manufacturing Facilities Established"/>
    <n v="0"/>
    <n v="0"/>
    <n v="1"/>
    <n v="1"/>
    <n v="1"/>
    <n v="1"/>
    <s v="UDC"/>
    <s v="015 Ministry of Trade, Industry and Cooperatives"/>
    <s v="Establishment of Vehicle Plants and Parts Manufacturing Facilities "/>
    <n v="1"/>
    <n v="1"/>
    <n v="1"/>
    <n v="0"/>
    <n v="0"/>
    <n v="1"/>
    <n v="0"/>
    <n v="1"/>
    <n v="0.625"/>
    <m/>
    <n v="0"/>
    <n v="0"/>
    <n v="0"/>
    <n v="0"/>
    <n v="0"/>
    <n v="0"/>
    <n v="0"/>
    <s v="MoTIC (UDC)"/>
    <s v="015 Ministry of Trade, Industry and Cooperatives"/>
    <s v="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times the Tax regime is reviewed to limit importation of the used vehicles and parts"/>
    <n v="0"/>
    <n v="0"/>
    <n v="0"/>
    <n v="1"/>
    <m/>
    <n v="1"/>
    <s v="MOFPED"/>
    <s v="008 Ministry of Finance, Planning &amp; Economic Dev."/>
    <s v="Review the Tax regime to limit importation of the used vehicles and parts and incentivize importation of SKDs and CKDs"/>
    <n v="1"/>
    <n v="1"/>
    <n v="1"/>
    <n v="1"/>
    <n v="0"/>
    <n v="1"/>
    <n v="0"/>
    <n v="1"/>
    <n v="0.75"/>
    <m/>
    <n v="0"/>
    <n v="0"/>
    <n v="0"/>
    <n v="0"/>
    <n v="0"/>
    <n v="0"/>
    <n v="0"/>
    <s v="MoFPED"/>
    <s v="008 Ministry of Finance, Planning &amp; Economic Dev."/>
    <s v="KMC, MoSTI, Parliament"/>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domestic industries supported in the automotive Industry Value chain"/>
    <n v="0"/>
    <n v="3"/>
    <s v=" 3"/>
    <s v=" 6"/>
    <s v=" 6"/>
    <n v="6"/>
    <s v="MoTIC"/>
    <s v="015 Ministry of Trade, Industry and Cooperatives"/>
    <s v="Develop capacity of domestic industries to participate in the Automotive Industry Value Chain "/>
    <n v="1"/>
    <n v="1"/>
    <n v="1"/>
    <n v="1"/>
    <n v="1"/>
    <n v="0"/>
    <n v="0"/>
    <n v="1"/>
    <n v="0.75"/>
    <m/>
    <n v="0"/>
    <n v="0"/>
    <n v="0.1"/>
    <n v="0.1"/>
    <n v="0.1"/>
    <n v="0.1"/>
    <n v="0.2"/>
    <s v="MoTIC"/>
    <s v="015 Ministry of Trade, Industry and Cooperatives"/>
    <s v="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 Number of recycling plants established"/>
    <n v="0"/>
    <m/>
    <m/>
    <n v="1"/>
    <n v="1"/>
    <n v="1"/>
    <s v="MoTIC"/>
    <s v="015 Ministry of Trade, Industry and Cooperatives"/>
    <s v="Facilitate establishment of recycling facilities for end-of-life automotive technology"/>
    <n v="1"/>
    <n v="1"/>
    <n v="1"/>
    <n v="0"/>
    <n v="0"/>
    <n v="1"/>
    <n v="0"/>
    <n v="1"/>
    <n v="0.625"/>
    <m/>
    <n v="0"/>
    <n v="0"/>
    <n v="0"/>
    <n v="0"/>
    <n v="0"/>
    <n v="0"/>
    <n v="0"/>
    <s v="MoTIC"/>
    <s v="015 Ministry of Trade, Industry and Cooperatives"/>
    <s v="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Calibration capabilities developed"/>
    <n v="0"/>
    <n v="2"/>
    <n v="2"/>
    <n v="2"/>
    <n v="2"/>
    <n v="2"/>
    <s v="UNBS"/>
    <s v="154 Uganda National Bureau of Standards"/>
    <s v="Establish and develop calibration and measurement capacity for the automotive sector"/>
    <n v="1"/>
    <n v="1"/>
    <n v="0"/>
    <n v="0"/>
    <n v="0"/>
    <n v="1"/>
    <n v="0"/>
    <n v="1"/>
    <n v="0.5"/>
    <m/>
    <n v="0"/>
    <n v="0"/>
    <n v="0"/>
    <n v="0"/>
    <n v="0"/>
    <m/>
    <n v="0"/>
    <s v="URA"/>
    <s v="141 Uganda Revenue Authority"/>
    <s v="MoWT, 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Homologation center in place"/>
    <n v="0"/>
    <m/>
    <m/>
    <n v="1"/>
    <m/>
    <m/>
    <s v="MoTIC"/>
    <s v="015 Ministry of Trade, Industry and Cooperatives"/>
    <s v="Establish a homologation Centre for testing of automotive "/>
    <n v="1"/>
    <n v="0"/>
    <n v="0"/>
    <n v="0"/>
    <n v="0"/>
    <n v="1"/>
    <n v="0"/>
    <n v="1"/>
    <n v="0.375"/>
    <m/>
    <n v="0"/>
    <n v="0"/>
    <n v="0"/>
    <n v="0"/>
    <n v="0"/>
    <m/>
    <n v="0"/>
    <s v="MoWT"/>
    <s v="016 Ministry of Works and Transport"/>
    <s v="KMC"/>
  </r>
  <r>
    <x v="5"/>
    <x v="5"/>
    <s v="041"/>
    <s v="Industrial and Technological Development"/>
    <s v="0412"/>
    <s v="Increase value addition for import replacement and enhanced exports"/>
    <s v="041203"/>
    <s v="Support local automotive assembling and manufacturing"/>
    <m/>
    <m/>
    <s v="04120301"/>
    <s v="Increased quantity and quality of production in  the Automotive assembly and Manufacturing  Industry "/>
    <s v="Number of agreements, joint ventures and partnerships"/>
    <n v="0"/>
    <n v="1"/>
    <n v="2"/>
    <n v="2"/>
    <n v="2"/>
    <n v="2"/>
    <s v="KMC"/>
    <e v="#N/A"/>
    <s v="Facilitate technology development, transfer and diffusion Joint Ventures and Partnerships with global automotive industry players"/>
    <n v="1"/>
    <n v="1"/>
    <n v="1"/>
    <n v="0"/>
    <n v="0"/>
    <n v="1"/>
    <n v="0"/>
    <n v="1"/>
    <n v="0.625"/>
    <m/>
    <n v="0"/>
    <n v="0"/>
    <n v="0"/>
    <n v="0"/>
    <n v="0"/>
    <n v="0"/>
    <n v="0"/>
    <s v="MoSTI (KMC)"/>
    <s v="023 Ministry of Science,Technology and Innovation"/>
    <s v="UNBS"/>
  </r>
  <r>
    <x v="5"/>
    <x v="5"/>
    <s v="041"/>
    <s v="Industrial and Technological Development"/>
    <s v="0412"/>
    <s v="Increase value addition for import replacement and enhanced exports"/>
    <s v="041204"/>
    <s v="Support existing sugar factories to produce industrial sugar"/>
    <m/>
    <m/>
    <s v="04120401"/>
    <s v="Forex expenditure on industrial sugar importation reduced"/>
    <s v="Scheme developed"/>
    <n v="0"/>
    <n v="1"/>
    <n v="0"/>
    <n v="0"/>
    <n v="0"/>
    <n v="0"/>
    <s v="MFPED"/>
    <e v="#N/A"/>
    <s v="Develop and implement an incentive scheme for industrial sugar production"/>
    <n v="1"/>
    <n v="1"/>
    <n v="1"/>
    <n v="1"/>
    <n v="1"/>
    <n v="1"/>
    <n v="1"/>
    <n v="1"/>
    <n v="1"/>
    <n v="1"/>
    <n v="0"/>
    <n v="0"/>
    <n v="0.3"/>
    <n v="0"/>
    <n v="0.1"/>
    <n v="0"/>
    <n v="0.1"/>
    <s v="MoFPED"/>
    <s v="008 Ministry of Finance, Planning &amp; Economic Dev."/>
    <s v="MoTIC"/>
  </r>
  <r>
    <x v="5"/>
    <x v="5"/>
    <s v="041"/>
    <s v="Industrial and Technological Development"/>
    <s v="0412"/>
    <s v="Increase value addition for import replacement and enhanced exports"/>
    <s v="041204"/>
    <s v="Support existing sugar factories to produce industrial sugar"/>
    <m/>
    <m/>
    <s v="04120401"/>
    <s v="Forex expenditure on industrial sugar importation reduced"/>
    <s v="Number of industries supported"/>
    <m/>
    <m/>
    <n v="2"/>
    <n v="4"/>
    <n v="4"/>
    <n v="4"/>
    <s v="MoTIC"/>
    <s v="015 Ministry of Trade, Industry and Cooperatives"/>
    <s v="Provide technical support to sugar industries to diversify into industrial sugar production"/>
    <n v="1"/>
    <n v="1"/>
    <n v="1"/>
    <n v="1"/>
    <n v="1"/>
    <n v="1"/>
    <n v="1"/>
    <n v="1"/>
    <n v="1"/>
    <n v="1"/>
    <n v="0"/>
    <n v="0"/>
    <n v="0.1"/>
    <n v="0.3"/>
    <n v="0.3"/>
    <n v="0.3"/>
    <n v="0.6"/>
    <s v="MoTIC"/>
    <s v="015 Ministry of Trade, Industry and Cooperatives"/>
    <s v="MoSTI"/>
  </r>
  <r>
    <x v="5"/>
    <x v="5"/>
    <s v="041"/>
    <s v="Industrial and Technological Development"/>
    <s v="0412"/>
    <s v="Increase value addition for import replacement and enhanced exports"/>
    <s v="041204"/>
    <s v="Support existing sugar factories to produce industrial sugar"/>
    <m/>
    <m/>
    <s v="04120401"/>
    <s v="Forex expenditure on industrial sugar importation reduced"/>
    <s v="Functional National sugar board in place"/>
    <n v="0"/>
    <n v="1"/>
    <n v="0"/>
    <n v="0"/>
    <n v="0"/>
    <n v="0"/>
    <s v="MoTIC"/>
    <s v="015 Ministry of Trade, Industry and Cooperatives"/>
    <s v="Establish and operationalise the National sugar board"/>
    <n v="1"/>
    <n v="1"/>
    <n v="1"/>
    <n v="1"/>
    <n v="1"/>
    <n v="1"/>
    <n v="0"/>
    <n v="1"/>
    <n v="0.875"/>
    <m/>
    <n v="0"/>
    <n v="0"/>
    <n v="0"/>
    <n v="0"/>
    <n v="0.6"/>
    <n v="0"/>
    <n v="0.6"/>
    <s v="MAAIF"/>
    <s v="010 Ministry of Agriculture, Animal &amp; Fisheries"/>
    <s v="NARO"/>
  </r>
  <r>
    <x v="5"/>
    <x v="5"/>
    <s v="041"/>
    <s v="Industrial and Technological Development"/>
    <s v="0412"/>
    <s v="Increase value addition for import replacement and enhanced exports"/>
    <s v="041204"/>
    <s v="Support existing sugar factories to produce industrial sugar"/>
    <m/>
    <m/>
    <s v="04120401"/>
    <s v="Forex expenditure on industrial sugar importation reduced"/>
    <s v="Number of local confectionery industries"/>
    <n v="0"/>
    <n v="10"/>
    <n v="20"/>
    <n v="50"/>
    <n v="50"/>
    <n v="50"/>
    <s v="MoTIC"/>
    <s v="015 Ministry of Trade, Industry and Cooperatives"/>
    <s v="Facilitate local Industries in sugar confectioneries to acquire appropriate technologies and product certification for products made with industrial sugar"/>
    <n v="1"/>
    <n v="1"/>
    <n v="1"/>
    <n v="1"/>
    <n v="1"/>
    <n v="1"/>
    <n v="1"/>
    <n v="1"/>
    <n v="1"/>
    <m/>
    <n v="0"/>
    <n v="0"/>
    <n v="0"/>
    <n v="0"/>
    <n v="2"/>
    <n v="0"/>
    <n v="2"/>
    <s v="UNBS"/>
    <s v="154 Uganda National Bureau of Standards"/>
    <s v="MoTIC"/>
  </r>
  <r>
    <x v="5"/>
    <x v="5"/>
    <s v="041"/>
    <s v="Industrial and Technological Development"/>
    <s v="0412"/>
    <s v="Increase value addition for import replacement and enhanced exports"/>
    <s v="041204"/>
    <s v="Support existing sugar factories to produce industrial sugar"/>
    <m/>
    <m/>
    <s v="04120402"/>
    <s v="Quantity of industrial sugar exported"/>
    <s v="Number of new markets for manufactured industrial sugar identified"/>
    <n v="0"/>
    <n v="0"/>
    <n v="2"/>
    <n v="2"/>
    <n v="2"/>
    <n v="2"/>
    <s v="MoTIC"/>
    <s v="015 Ministry of Trade, Industry and Cooperatives"/>
    <s v="Identify and negotiate new markets for manufactured industrial sugar"/>
    <n v="1"/>
    <n v="1"/>
    <n v="1"/>
    <n v="1"/>
    <n v="1"/>
    <n v="1"/>
    <n v="1"/>
    <n v="1"/>
    <n v="1"/>
    <m/>
    <n v="0"/>
    <n v="0"/>
    <n v="0.5"/>
    <n v="0.5"/>
    <n v="0.5"/>
    <s v="0.5 "/>
    <n v="0.5"/>
    <s v="MoTIC"/>
    <s v="015 Ministry of Trade, Industry and Cooperatives"/>
    <s v="MEACA, MoFA, UEPB"/>
  </r>
  <r>
    <x v="5"/>
    <x v="5"/>
    <s v="041"/>
    <s v="Industrial and Technological Development"/>
    <s v="0412"/>
    <s v="Increase value addition for import replacement and enhanced exports"/>
    <s v="041204"/>
    <s v="Support existing sugar factories to produce industrial sugar"/>
    <m/>
    <m/>
    <s v="04120402"/>
    <s v="Quantity of industrial sugar exported"/>
    <s v="Number of new markets for manufactured industrial sugar identified"/>
    <n v="0"/>
    <n v="0"/>
    <n v="2"/>
    <n v="2"/>
    <n v="2"/>
    <n v="2"/>
    <s v="MoFA"/>
    <s v="006 Ministry of Foreign Affairs"/>
    <s v="Identify and negotiate new markets for manufactured industrial sugar"/>
    <m/>
    <m/>
    <m/>
    <m/>
    <m/>
    <m/>
    <n v="0"/>
    <n v="0"/>
    <n v="0"/>
    <m/>
    <n v="0"/>
    <n v="0"/>
    <n v="0.2"/>
    <n v="0.2"/>
    <n v="0"/>
    <m/>
    <n v="0"/>
    <s v="MoFA"/>
    <s v="006 Ministry of Foreign Affairs"/>
    <s v="MoTIC, MEACA, UEPB"/>
  </r>
  <r>
    <x v="5"/>
    <x v="5"/>
    <s v="041"/>
    <s v="Industrial and Technological Development"/>
    <s v="0412"/>
    <s v="Increase value addition for import replacement and enhanced exports"/>
    <s v="041204"/>
    <s v="Support existing sugar factories to produce industrial sugar"/>
    <m/>
    <m/>
    <s v="04120402"/>
    <s v="Quantity of industrial sugar exported"/>
    <s v="Number of new markets for manufactured industrial sugar identified"/>
    <n v="0"/>
    <n v="0"/>
    <n v="2"/>
    <n v="2"/>
    <n v="2"/>
    <n v="2"/>
    <s v="MEACA"/>
    <s v="021 Ministry of East African Community Affairs Uganda"/>
    <s v="Identify and negotiate new markets for manufactured industrial sugar"/>
    <m/>
    <m/>
    <m/>
    <m/>
    <m/>
    <m/>
    <n v="0"/>
    <n v="0"/>
    <n v="0"/>
    <m/>
    <n v="0"/>
    <n v="0"/>
    <n v="0.1"/>
    <n v="0.1"/>
    <n v="0"/>
    <m/>
    <n v="0"/>
    <s v="MEACA"/>
    <s v="021 Ministry of East African Community Affairs Uganda"/>
    <s v="MoFA, MoTIC, UEPB"/>
  </r>
  <r>
    <x v="5"/>
    <x v="5"/>
    <s v="041"/>
    <s v="Industrial and Technological Development"/>
    <s v="0412"/>
    <s v="Increase value addition for import replacement and enhanced exports"/>
    <s v="041204"/>
    <s v="Support existing sugar factories to produce industrial sugar"/>
    <m/>
    <m/>
    <s v="04120402"/>
    <s v="Quantity of industrial sugar exported"/>
    <s v="%age of NTBS addressed"/>
    <n v="100"/>
    <n v="100"/>
    <n v="100"/>
    <n v="100"/>
    <n v="100"/>
    <n v="100"/>
    <s v="MoTIC"/>
    <s v="015 Ministry of Trade, Industry and Cooperatives"/>
    <s v="Hold engagements with regional partners to reduce NTBs for industrial sugar"/>
    <n v="1"/>
    <n v="1"/>
    <n v="1"/>
    <n v="1"/>
    <n v="1"/>
    <n v="1"/>
    <n v="1"/>
    <n v="1"/>
    <n v="1"/>
    <m/>
    <n v="0"/>
    <n v="0"/>
    <n v="0"/>
    <n v="0"/>
    <n v="7.0000000000000007E-2"/>
    <n v="0"/>
    <n v="7.0000000000000007E-2"/>
    <s v="MoTIC"/>
    <s v="015 Ministry of Trade, Industry and Cooperatives"/>
    <s v="MEACA, MoFA"/>
  </r>
  <r>
    <x v="5"/>
    <x v="5"/>
    <s v="042"/>
    <s v="Trade Development"/>
    <s v="0423"/>
    <s v="Increase access to regional and international markets"/>
    <s v="042301"/>
    <s v="Expand the range of manufacturing standards and enforce applicable regulations "/>
    <m/>
    <m/>
    <s v="04230101"/>
    <s v="Enhanced quality of Ugandan manufactured products"/>
    <s v="Number of standards developed for products on the Ugandan market"/>
    <s v="-"/>
    <n v="600"/>
    <n v="650"/>
    <s v="700 "/>
    <s v="750 "/>
    <s v="800 "/>
    <s v="UNBS "/>
    <e v="#N/A"/>
    <s v="Develop standards for products on the Ugandan market"/>
    <n v="1"/>
    <n v="1"/>
    <n v="1"/>
    <n v="1"/>
    <n v="1"/>
    <n v="1"/>
    <n v="1"/>
    <n v="1"/>
    <n v="1"/>
    <m/>
    <n v="0"/>
    <n v="0"/>
    <n v="0"/>
    <n v="0"/>
    <n v="1"/>
    <n v="0"/>
    <n v="1"/>
    <s v="UNBS"/>
    <s v="154 Uganda National Bureau of Standards"/>
    <s v="MoTIC"/>
  </r>
  <r>
    <x v="5"/>
    <x v="5"/>
    <s v="042"/>
    <s v="Trade Development"/>
    <s v="0423"/>
    <s v="Increase access to regional and international markets"/>
    <s v="042301"/>
    <s v="Expand the range of manufacturing standards and enforce applicable regulations "/>
    <m/>
    <m/>
    <s v="04230101"/>
    <s v="Enhanced quality of Ugandan manufactured products"/>
    <s v="Number of priority value chain standards developed"/>
    <n v="0"/>
    <n v="10"/>
    <n v="12"/>
    <n v="12"/>
    <n v="12"/>
    <n v="10"/>
    <s v="UNBS"/>
    <s v="154 Uganda National Bureau of Standards"/>
    <s v="Develop standards implementation guidelines for selected priority value chains"/>
    <n v="1"/>
    <n v="1"/>
    <n v="1"/>
    <n v="1"/>
    <n v="1"/>
    <n v="1"/>
    <n v="1"/>
    <n v="1"/>
    <n v="1"/>
    <m/>
    <n v="0"/>
    <n v="0"/>
    <n v="0"/>
    <n v="0"/>
    <n v="0.2"/>
    <n v="0"/>
    <n v="0.2"/>
    <s v="UNBS"/>
    <s v="154 Uganda National Bureau of Standards"/>
    <s v="MoTIC"/>
  </r>
  <r>
    <x v="5"/>
    <x v="5"/>
    <s v="042"/>
    <s v="Trade Development"/>
    <s v="0423"/>
    <s v="Increase access to regional and international markets"/>
    <s v="042301"/>
    <s v="Expand the range of manufacturing standards and enforce applicable regulations "/>
    <m/>
    <m/>
    <s v="04230101"/>
    <s v="Enhanced quality of Ugandan manufactured products"/>
    <s v="Number of manufacturers sensitized"/>
    <n v="0"/>
    <n v="300"/>
    <n v="300"/>
    <n v="300"/>
    <n v="300"/>
    <n v="300"/>
    <s v="UNBS"/>
    <s v="154 Uganda National Bureau of Standards"/>
    <s v="Sensitize manufacturers and traders on available standards and the requirements for standardisation"/>
    <n v="1"/>
    <n v="1"/>
    <n v="1"/>
    <n v="1"/>
    <n v="1"/>
    <n v="1"/>
    <n v="1"/>
    <n v="1"/>
    <n v="1"/>
    <m/>
    <n v="0"/>
    <n v="0"/>
    <n v="0"/>
    <n v="0"/>
    <n v="0.5"/>
    <n v="0"/>
    <n v="0.5"/>
    <s v="UNBS"/>
    <s v="154 Uganda National Bureau of Standards"/>
    <s v="MoTIC"/>
  </r>
  <r>
    <x v="5"/>
    <x v="5"/>
    <s v="042"/>
    <s v="Trade Development"/>
    <s v="0423"/>
    <s v="Increase access to regional and international markets"/>
    <s v="042301"/>
    <s v="Expand the range of manufacturing standards and enforce applicable regulations "/>
    <m/>
    <m/>
    <s v="04230101"/>
    <s v="Enhanced quality of Ugandan manufactured products"/>
    <s v=" Number of studies conducted"/>
    <n v="0"/>
    <n v="4"/>
    <s v=" 4"/>
    <s v=" 4"/>
    <s v=" 4"/>
    <s v=" 4"/>
    <s v="UNBS "/>
    <e v="#N/A"/>
    <s v="Conduct detailed studies in target export markets to identify additional standards-related requirements essential to market-entry and competitiveness "/>
    <n v="1"/>
    <n v="1"/>
    <n v="1"/>
    <n v="1"/>
    <n v="1"/>
    <n v="0"/>
    <n v="1"/>
    <n v="1"/>
    <n v="0.875"/>
    <m/>
    <n v="0"/>
    <n v="0"/>
    <n v="0"/>
    <n v="0"/>
    <n v="0.5"/>
    <n v="0"/>
    <n v="0.5"/>
    <s v="UNBS"/>
    <s v="154 Uganda National Bureau of Standards"/>
    <s v="UEPB, MoTIC, MoFA"/>
  </r>
  <r>
    <x v="5"/>
    <x v="5"/>
    <s v="042"/>
    <s v="Trade Development"/>
    <s v="0423"/>
    <s v="Increase access to regional and international markets"/>
    <s v="042301"/>
    <s v="Expand the range of manufacturing standards and enforce applicable regulations "/>
    <m/>
    <m/>
    <s v="04230101"/>
    <s v="Enhanced quality of Ugandan manufactured products"/>
    <s v="%age increase in the Value of exports"/>
    <s v="-"/>
    <n v="12"/>
    <s v=" 12"/>
    <n v="12"/>
    <s v=" 12"/>
    <s v=" 12"/>
    <s v="UEPB"/>
    <s v="306 Uganda Export Promotion Board"/>
    <s v="Promote market compliant products in target export markets and link manufacturers to foreign buyers"/>
    <n v="1"/>
    <n v="1"/>
    <n v="1"/>
    <n v="1"/>
    <n v="1"/>
    <n v="0"/>
    <n v="1"/>
    <n v="1"/>
    <n v="0.875"/>
    <m/>
    <n v="0"/>
    <n v="0.7"/>
    <s v="0.7 "/>
    <s v="0.7 "/>
    <n v="0.7"/>
    <s v="0.7 "/>
    <n v="0.7"/>
    <s v="UEPB"/>
    <s v="306 Uganda Export Promotion Board"/>
    <s v="UNBS, MoTIC, MoFA"/>
  </r>
  <r>
    <x v="5"/>
    <x v="5"/>
    <s v="042"/>
    <s v="Trade Development"/>
    <s v="0423"/>
    <s v="Increase access to regional and international markets"/>
    <s v="042301"/>
    <s v="Expand the range of manufacturing standards and enforce applicable regulations "/>
    <m/>
    <m/>
    <s v="04230101"/>
    <s v="Enhanced quality of Ugandan manufactured products"/>
    <s v="Number of Ugandan brands registered and exported"/>
    <s v="-"/>
    <n v="20"/>
    <n v="50"/>
    <n v="50"/>
    <n v="50"/>
    <n v="50"/>
    <s v="MoTIC"/>
    <s v="015 Ministry of Trade, Industry and Cooperatives"/>
    <s v="Enhance the packaging and branding of Ugandan products to improve on their competitiveness"/>
    <n v="1"/>
    <n v="1"/>
    <n v="1"/>
    <n v="1"/>
    <n v="1"/>
    <n v="1"/>
    <n v="1"/>
    <n v="1"/>
    <n v="1"/>
    <m/>
    <n v="0"/>
    <n v="0.2"/>
    <n v="0.5"/>
    <n v="0.5"/>
    <n v="0.5"/>
    <n v="0.5"/>
    <n v="1"/>
    <s v="MoTIC"/>
    <s v="015 Ministry of Trade, Industry and Cooperatives"/>
    <s v="UNBS, UEPB"/>
  </r>
  <r>
    <x v="5"/>
    <x v="5"/>
    <s v="042"/>
    <s v="Trade Development"/>
    <s v="0423"/>
    <s v="Increase access to regional and international markets"/>
    <s v="042301"/>
    <s v="Expand the range of manufacturing standards and enforce applicable regulations "/>
    <m/>
    <m/>
    <s v="04230101"/>
    <s v="Enhanced quality of Ugandan manufactured products"/>
    <s v="Number of export readiness assessments conducted"/>
    <n v="0"/>
    <n v="150"/>
    <n v="150"/>
    <n v="150"/>
    <n v="150"/>
    <n v="150"/>
    <s v="UEPB"/>
    <s v="306 Uganda Export Promotion Board"/>
    <s v="Carry out export readiness assessment on budding export firms and build capacity of firms to ready them for export"/>
    <n v="1"/>
    <n v="1"/>
    <n v="1"/>
    <n v="1"/>
    <n v="1"/>
    <n v="0"/>
    <n v="1"/>
    <n v="1"/>
    <n v="0.875"/>
    <m/>
    <n v="0"/>
    <n v="0.5"/>
    <n v="0.5"/>
    <n v="0.5"/>
    <n v="0.5"/>
    <n v="0.5"/>
    <n v="1"/>
    <s v="UEPB"/>
    <s v="306 Uganda Export Promotion Board"/>
    <s v="MoTIC"/>
  </r>
  <r>
    <x v="5"/>
    <x v="5"/>
    <s v="042"/>
    <s v="Trade Development"/>
    <s v="0423"/>
    <s v="Increase access to regional and international markets"/>
    <s v="042301"/>
    <s v="Expand the range of manufacturing standards and enforce applicable regulations "/>
    <m/>
    <m/>
    <s v="04230102"/>
    <s v="Improved Uganda’s doing business rank"/>
    <s v="Number of reform measures implemented"/>
    <n v="0"/>
    <n v="2"/>
    <n v="2"/>
    <n v="2"/>
    <n v="2"/>
    <n v="2"/>
    <s v="MoTIC"/>
    <s v="015 Ministry of Trade, Industry and Cooperatives"/>
    <s v="Support the implementation of trade facilitation initiatives to improve the Uganda’s doing business environment and ranking "/>
    <n v="1"/>
    <n v="1"/>
    <n v="1"/>
    <n v="1"/>
    <n v="1"/>
    <n v="1"/>
    <n v="0"/>
    <n v="1"/>
    <n v="0.875"/>
    <m/>
    <n v="0"/>
    <n v="0"/>
    <n v="0"/>
    <n v="0"/>
    <n v="0.1"/>
    <n v="0"/>
    <n v="0.1"/>
    <s v="MoTIC"/>
    <s v="015 Ministry of Trade, Industry and Cooperatives"/>
    <s v="MoFPED"/>
  </r>
  <r>
    <x v="5"/>
    <x v="5"/>
    <s v="042"/>
    <s v="Trade Development"/>
    <s v="0423"/>
    <s v="Increase access to regional and international markets"/>
    <s v="042301"/>
    <s v="Expand the range of manufacturing standards and enforce applicable regulations "/>
    <m/>
    <m/>
    <s v="04230102"/>
    <s v="Improved Uganda’s doing business rank"/>
    <s v="Number of export markets profiled"/>
    <n v="0"/>
    <n v="5"/>
    <n v="5"/>
    <n v="5"/>
    <n v="5"/>
    <n v="5"/>
    <s v="MoTIC"/>
    <s v="015 Ministry of Trade, Industry and Cooperatives"/>
    <s v="Strategic market profiling for Uganda’s export both product and countries to exploit / develop"/>
    <n v="1"/>
    <n v="1"/>
    <n v="1"/>
    <n v="1"/>
    <n v="1"/>
    <n v="1"/>
    <n v="0"/>
    <n v="1"/>
    <n v="0.875"/>
    <m/>
    <n v="0"/>
    <n v="0"/>
    <n v="0"/>
    <n v="0"/>
    <n v="0"/>
    <n v="0"/>
    <n v="0"/>
    <s v="MoTIC"/>
    <s v="015 Ministry of Trade, Industry and Cooperatives"/>
    <s v="UEPB"/>
  </r>
  <r>
    <x v="5"/>
    <x v="5"/>
    <s v="042"/>
    <s v="Trade Development"/>
    <s v="0423"/>
    <s v="Increase access to regional and international markets"/>
    <s v="042301"/>
    <s v="Expand the range of manufacturing standards and enforce applicable regulations "/>
    <m/>
    <m/>
    <s v="04230102"/>
    <s v="Improved Uganda’s doing business rank"/>
    <s v="Framework in place"/>
    <n v="0"/>
    <s v="0 "/>
    <n v="1"/>
    <m/>
    <s v="0 "/>
    <s v="0 "/>
    <s v="MoTIC"/>
    <s v="015 Ministry of Trade, Industry and Cooperatives"/>
    <s v="Develop and implement a framework for issuance and management of internationally recognised product codes for Ugandan manufactured products"/>
    <n v="1"/>
    <n v="0"/>
    <n v="0"/>
    <n v="1"/>
    <n v="1"/>
    <n v="1"/>
    <n v="1"/>
    <n v="1"/>
    <n v="0.75"/>
    <m/>
    <n v="0"/>
    <n v="0"/>
    <n v="1"/>
    <n v="0"/>
    <n v="0.2"/>
    <n v="0"/>
    <n v="0.2"/>
    <s v="MoTIC"/>
    <s v="015 Ministry of Trade, Industry and Cooperatives"/>
    <s v="UNBS"/>
  </r>
  <r>
    <x v="5"/>
    <x v="5"/>
    <s v="042"/>
    <s v="Trade Development"/>
    <s v="0423"/>
    <s v="Increase access to regional and international markets"/>
    <s v="042301"/>
    <s v="Expand the range of manufacturing standards and enforce applicable regulations "/>
    <m/>
    <m/>
    <s v="04230102"/>
    <s v="Improved Uganda’s doing business rank"/>
    <s v="Percentage of NTBs eliminated"/>
    <s v="-"/>
    <n v="100"/>
    <n v="100"/>
    <n v="100"/>
    <n v="100"/>
    <n v="100"/>
    <s v="MoTIC"/>
    <s v="015 Ministry of Trade, Industry and Cooperatives"/>
    <s v="Support the NTB removal / monitoring mechanism in our strategic markets (NTB online reporting system, enhanced legal reforms, NMC, etc)"/>
    <n v="1"/>
    <n v="1"/>
    <n v="1"/>
    <n v="1"/>
    <n v="1"/>
    <n v="1"/>
    <n v="1"/>
    <n v="1"/>
    <n v="1"/>
    <m/>
    <n v="0"/>
    <n v="1"/>
    <n v="1"/>
    <n v="1"/>
    <n v="1"/>
    <s v="1 "/>
    <n v="1"/>
    <s v="MoTIC"/>
    <s v="015 Ministry of Trade, Industry and Cooperatives"/>
    <s v="MEACA, MoFA"/>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 Number of products certified"/>
    <m/>
    <n v="3700"/>
    <n v="4200"/>
    <n v="4700"/>
    <n v="5200"/>
    <n v="5700"/>
    <s v="UNBS"/>
    <s v="154 Uganda National Bureau of Standards"/>
    <s v="Undertake certification of products to increase market access"/>
    <n v="1"/>
    <n v="1"/>
    <n v="1"/>
    <n v="1"/>
    <n v="1"/>
    <n v="1"/>
    <n v="1"/>
    <n v="1"/>
    <n v="1"/>
    <m/>
    <n v="0"/>
    <n v="0"/>
    <n v="0"/>
    <n v="0"/>
    <n v="0.5"/>
    <n v="0"/>
    <n v="0.5"/>
    <s v="UNBS"/>
    <s v="154 Uganda National Bureau of Standards"/>
    <s v="MoTIC"/>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Number of MSMEs supported for products certification"/>
    <m/>
    <n v="500"/>
    <n v="500"/>
    <n v="500"/>
    <n v="500"/>
    <n v="500"/>
    <s v="MoTIC"/>
    <s v="015 Ministry of Trade, Industry and Cooperatives"/>
    <s v="Provide technical, equipment and financial support certification of MSMEs products. "/>
    <n v="1"/>
    <n v="1"/>
    <n v="1"/>
    <n v="1"/>
    <n v="1"/>
    <n v="1"/>
    <n v="1"/>
    <n v="1"/>
    <n v="1"/>
    <m/>
    <n v="0"/>
    <n v="0"/>
    <n v="0"/>
    <n v="0"/>
    <n v="1"/>
    <n v="0"/>
    <n v="1"/>
    <s v="MoTIC"/>
    <s v="015 Ministry of Trade, Industry and Cooperatives"/>
    <s v="UNBS"/>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 Number of commercial offices supported"/>
    <m/>
    <n v="200"/>
    <n v="200"/>
    <n v="200"/>
    <n v="200"/>
    <n v="200"/>
    <s v="MoTIC"/>
    <s v="015 Ministry of Trade, Industry and Cooperatives"/>
    <s v="Support Commercial Offices in the local governments to promote implementation of standards and quality requirements of manufactured products and ensure compliance"/>
    <n v="1"/>
    <n v="1"/>
    <n v="1"/>
    <n v="1"/>
    <n v="1"/>
    <n v="1"/>
    <n v="1"/>
    <n v="1"/>
    <n v="1"/>
    <m/>
    <n v="0"/>
    <n v="2"/>
    <n v="2"/>
    <n v="2"/>
    <n v="2"/>
    <n v="2"/>
    <n v="4"/>
    <s v="LGs"/>
    <s v="500 501-850 Local Governments"/>
    <s v="MoTIC, UNBS"/>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 Number of products tested"/>
    <m/>
    <n v="15000"/>
    <n v="20000"/>
    <n v="25000"/>
    <n v="30000"/>
    <n v="35000"/>
    <s v="UNBS"/>
    <s v="154 Uganda National Bureau of Standards"/>
    <s v="Provide testing services to support manufacturing in the identified sectors"/>
    <n v="1"/>
    <n v="1"/>
    <n v="1"/>
    <n v="1"/>
    <n v="1"/>
    <n v="1"/>
    <n v="1"/>
    <n v="1"/>
    <n v="1"/>
    <m/>
    <n v="0"/>
    <n v="0"/>
    <n v="0"/>
    <n v="0"/>
    <n v="0"/>
    <n v="0"/>
    <n v="0"/>
    <s v="UNBS"/>
    <s v="154 Uganda National Bureau of Standards"/>
    <s v="MoTIC"/>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Number of inspections conducted "/>
    <m/>
    <n v="8000"/>
    <n v="9000"/>
    <n v="10000"/>
    <n v="11000"/>
    <n v="12000"/>
    <s v="UNBS"/>
    <s v="154 Uganda National Bureau of Standards"/>
    <s v="Undertake enforcement activities in the market through market surveillance and inspection"/>
    <n v="1"/>
    <n v="1"/>
    <n v="1"/>
    <n v="1"/>
    <n v="1"/>
    <n v="1"/>
    <n v="1"/>
    <n v="1"/>
    <n v="1"/>
    <m/>
    <n v="0"/>
    <n v="0"/>
    <n v="0"/>
    <n v="0"/>
    <n v="1.5"/>
    <n v="0"/>
    <n v="1.5"/>
    <s v="UNBS"/>
    <s v="154 Uganda National Bureau of Standards"/>
    <s v="MoTIC, UPF"/>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Number of consignments inspected"/>
    <m/>
    <n v="190000"/>
    <n v="195000"/>
    <n v="200000"/>
    <n v="205000"/>
    <n v="210000"/>
    <s v="UNBS"/>
    <s v="154 Uganda National Bureau of Standards"/>
    <s v="Undertake enforcement activities at entry points for imported products to enforce compliance to standards"/>
    <n v="1"/>
    <n v="1"/>
    <n v="1"/>
    <n v="1"/>
    <n v="1"/>
    <n v="1"/>
    <n v="1"/>
    <n v="1"/>
    <n v="1"/>
    <m/>
    <n v="0"/>
    <n v="2"/>
    <n v="2"/>
    <n v="2"/>
    <n v="2"/>
    <n v="2"/>
    <n v="4"/>
    <s v="UNBS"/>
    <s v="154 Uganda National Bureau of Standards"/>
    <s v="MoTIC, UPF, URA"/>
  </r>
  <r>
    <x v="5"/>
    <x v="5"/>
    <s v="042"/>
    <s v="Trade Development"/>
    <s v="0423"/>
    <s v="Increase access to regional and international markets"/>
    <s v="042301"/>
    <s v="Expand the range of manufacturing standards and enforce applicable regulations "/>
    <m/>
    <m/>
    <s v="04230103"/>
    <s v="Improved market access for the products through certification services "/>
    <s v=" NQE award established"/>
    <m/>
    <m/>
    <n v="1"/>
    <n v="1"/>
    <n v="1"/>
    <n v="1"/>
    <s v="UNBS"/>
    <s v="154 Uganda National Bureau of Standards"/>
    <s v="Establish a national quality excellence award"/>
    <n v="1"/>
    <n v="0"/>
    <n v="0"/>
    <n v="1"/>
    <n v="0"/>
    <n v="0"/>
    <n v="1"/>
    <n v="0"/>
    <n v="0.375"/>
    <m/>
    <n v="0"/>
    <n v="0"/>
    <n v="0.5"/>
    <n v="0.5"/>
    <n v="0"/>
    <m/>
    <n v="0"/>
    <s v="UNBS"/>
    <s v="154 Uganda National Bureau of Standards"/>
    <s v="MoTIC"/>
  </r>
  <r>
    <x v="5"/>
    <x v="5"/>
    <s v="042"/>
    <s v="Trade Development"/>
    <s v="0423"/>
    <s v="Increase access to regional and international markets"/>
    <s v="042302"/>
    <s v="Establish a sliding scale export incentive regime "/>
    <m/>
    <m/>
    <s v="04230201"/>
    <s v="Increased forex earning from sliding scale export incentive regime "/>
    <s v="Percentage value &amp; volume of manufactured exports"/>
    <m/>
    <n v="10"/>
    <n v="20"/>
    <n v="30"/>
    <n v="40"/>
    <n v="40"/>
    <s v="MoTIC"/>
    <s v="015 Ministry of Trade, Industry and Cooperatives"/>
    <s v="Develop and implement a policy framework to Implement a sliding scale export incentive regime"/>
    <n v="1"/>
    <n v="1"/>
    <n v="0"/>
    <n v="1"/>
    <n v="1"/>
    <n v="1"/>
    <n v="0"/>
    <n v="0"/>
    <n v="0.625"/>
    <m/>
    <n v="0"/>
    <n v="1.5"/>
    <n v="1.5"/>
    <n v="1.5"/>
    <n v="0.5"/>
    <m/>
    <n v="0.5"/>
    <s v="MoTIC"/>
    <s v="015 Ministry of Trade, Industry and Cooperatives"/>
    <s v="MoFPED, Parliament"/>
  </r>
  <r>
    <x v="5"/>
    <x v="5"/>
    <s v="042"/>
    <s v="Trade Development"/>
    <s v="0423"/>
    <s v="Increase access to regional and international markets"/>
    <s v="042303"/>
    <s v="Establish a sliding scale export financing rate"/>
    <m/>
    <m/>
    <s v="04230301"/>
    <s v="Increased volume of manufactured goods for export"/>
    <s v="Short term study on appropriate export financing mechanism undertaken"/>
    <s v="-"/>
    <s v="-"/>
    <n v="1"/>
    <s v="-"/>
    <s v="-"/>
    <s v="-"/>
    <s v="MoTIC"/>
    <s v="015 Ministry of Trade, Industry and Cooperatives"/>
    <s v="Undertake short term study on appropriate export financing mechanism"/>
    <n v="1"/>
    <n v="1"/>
    <n v="1"/>
    <n v="1"/>
    <n v="1"/>
    <n v="1"/>
    <n v="1"/>
    <n v="1"/>
    <n v="1"/>
    <m/>
    <n v="0"/>
    <n v="0"/>
    <n v="1"/>
    <n v="0"/>
    <m/>
    <n v="0"/>
    <n v="0"/>
    <s v="MoTIC"/>
    <s v="015 Ministry of Trade, Industry and Cooperatives"/>
    <s v="UEPB, MoFPED"/>
  </r>
  <r>
    <x v="5"/>
    <x v="5"/>
    <s v="042"/>
    <s v="Trade Development"/>
    <s v="0423"/>
    <s v="Increase access to regional and international markets"/>
    <s v="042303"/>
    <s v="Establish a sliding scale export financing rate"/>
    <m/>
    <m/>
    <s v="04230301"/>
    <s v="Increased volume of manufactured goods for export"/>
    <s v="Tailor-made financing facilities to enhance export of manufactured products developed"/>
    <m/>
    <m/>
    <n v="1"/>
    <n v="1"/>
    <m/>
    <m/>
    <s v="UEPB"/>
    <s v="306 Uganda Export Promotion Board"/>
    <s v="Develop tailor-made financing facilities to enhance export of manufactured products"/>
    <n v="1"/>
    <n v="1"/>
    <n v="1"/>
    <n v="1"/>
    <n v="1"/>
    <n v="1"/>
    <n v="1"/>
    <n v="1"/>
    <n v="1"/>
    <m/>
    <n v="0"/>
    <n v="0"/>
    <n v="0.2"/>
    <n v="0.2"/>
    <n v="0.2"/>
    <n v="0"/>
    <n v="0.2"/>
    <s v="UEPB"/>
    <s v="306 Uganda Export Promotion Board"/>
    <s v="MoTIC, MEACA, MoFA"/>
  </r>
  <r>
    <x v="5"/>
    <x v="5"/>
    <s v="042"/>
    <s v="Trade Development"/>
    <s v="0423"/>
    <s v="Increase access to regional and international markets"/>
    <s v="042303"/>
    <s v="Establish a sliding scale export financing rate"/>
    <m/>
    <m/>
    <s v="04230301"/>
    <s v="Increased volume of manufactured goods for export"/>
    <s v="Operationalization of export development financing in the National Export Development Strategy supported"/>
    <m/>
    <n v="30"/>
    <n v="30"/>
    <n v="60"/>
    <n v="60"/>
    <n v="90"/>
    <s v="MoTIC"/>
    <s v="015 Ministry of Trade, Industry and Cooperatives"/>
    <s v="Support the operationalization of export development financing in the National Export Development Strategy"/>
    <n v="1"/>
    <n v="1"/>
    <n v="1"/>
    <n v="0"/>
    <n v="1"/>
    <n v="1"/>
    <n v="1"/>
    <n v="1"/>
    <n v="0.875"/>
    <m/>
    <n v="0"/>
    <n v="1"/>
    <n v="1"/>
    <n v="1"/>
    <n v="1"/>
    <n v="1"/>
    <n v="2"/>
    <s v="MoTIC"/>
    <s v="015 Ministry of Trade, Industry and Cooperatives"/>
    <s v="UEPB, MoFPED"/>
  </r>
  <r>
    <x v="5"/>
    <x v="5"/>
    <s v="042"/>
    <s v="Trade Development"/>
    <s v="0423"/>
    <s v="Increase access to regional and international markets"/>
    <s v="042304"/>
    <s v="Establish 4 export logistics centres "/>
    <m/>
    <m/>
    <s v="04230401"/>
    <s v="Improved seamless export of Ugandan products"/>
    <s v="Locations and land availability identified"/>
    <m/>
    <n v="1"/>
    <n v="1"/>
    <m/>
    <m/>
    <m/>
    <s v="MoTIC"/>
    <s v="015 Ministry of Trade, Industry and Cooperatives"/>
    <s v="Identify locations and land availability"/>
    <n v="1"/>
    <n v="1"/>
    <n v="1"/>
    <n v="1"/>
    <n v="1"/>
    <n v="1"/>
    <n v="0"/>
    <n v="1"/>
    <n v="0.875"/>
    <m/>
    <n v="0"/>
    <n v="0.2"/>
    <n v="0.2"/>
    <n v="0"/>
    <n v="0"/>
    <n v="0"/>
    <n v="0"/>
    <s v="MoTIC"/>
    <s v="015 Ministry of Trade, Industry and Cooperatives"/>
    <s v="MoLHUD, MoLG"/>
  </r>
  <r>
    <x v="5"/>
    <x v="5"/>
    <s v="042"/>
    <s v="Trade Development"/>
    <s v="0423"/>
    <s v="Increase access to regional and international markets"/>
    <s v="042304"/>
    <s v="Establish 4 export logistics centres "/>
    <m/>
    <m/>
    <s v="04230401"/>
    <s v="Improved seamless export of Ugandan products"/>
    <s v="Feasibility studies undertaken"/>
    <m/>
    <m/>
    <n v="4"/>
    <m/>
    <m/>
    <m/>
    <s v="MoTIC"/>
    <s v="015 Ministry of Trade, Industry and Cooperatives"/>
    <s v="Undertake feasibility studies  "/>
    <n v="1"/>
    <n v="1"/>
    <n v="1"/>
    <n v="1"/>
    <n v="1"/>
    <n v="1"/>
    <n v="0"/>
    <n v="1"/>
    <n v="0.875"/>
    <m/>
    <n v="0"/>
    <n v="0"/>
    <n v="1"/>
    <n v="0"/>
    <n v="0"/>
    <n v="0"/>
    <n v="0"/>
    <s v="MoTIC"/>
    <s v="015 Ministry of Trade, Industry and Cooperatives"/>
    <s v="NPA, UIA"/>
  </r>
  <r>
    <x v="5"/>
    <x v="5"/>
    <s v="042"/>
    <s v="Trade Development"/>
    <s v="0423"/>
    <s v="Increase access to regional and international markets"/>
    <s v="042304"/>
    <s v="Establish 4 export logistics centres "/>
    <m/>
    <m/>
    <s v="04230401"/>
    <s v="Improved seamless export of Ugandan products"/>
    <s v="Master plans and ESIAs developed"/>
    <m/>
    <m/>
    <m/>
    <n v="2"/>
    <n v="2"/>
    <m/>
    <s v="MoTIC"/>
    <s v="015 Ministry of Trade, Industry and Cooperatives"/>
    <s v="Develop master plans and ESIAs"/>
    <n v="1"/>
    <n v="1"/>
    <n v="1"/>
    <n v="1"/>
    <n v="1"/>
    <n v="1"/>
    <n v="0"/>
    <n v="1"/>
    <n v="0.875"/>
    <m/>
    <n v="0"/>
    <n v="0"/>
    <n v="0"/>
    <n v="0.5"/>
    <n v="0.5"/>
    <n v="0"/>
    <n v="0.5"/>
    <s v="MoTIC"/>
    <s v="015 Ministry of Trade, Industry and Cooperatives"/>
    <s v="NPA, UIA, NEMA"/>
  </r>
  <r>
    <x v="5"/>
    <x v="5"/>
    <s v="042"/>
    <s v="Trade Development"/>
    <s v="0423"/>
    <s v="Increase access to regional and international markets"/>
    <s v="042304"/>
    <s v="Establish 4 export logistics centres "/>
    <m/>
    <m/>
    <s v="04230401"/>
    <s v="Improved seamless export of Ugandan products"/>
    <s v="4 export Logistics centers constructed and operationalised"/>
    <n v="0"/>
    <n v="0"/>
    <n v="0"/>
    <n v="0"/>
    <n v="2"/>
    <n v="2"/>
    <s v="MoTIC"/>
    <s v="015 Ministry of Trade, Industry and Cooperatives"/>
    <s v="Construct and operationalise the Logistics centers"/>
    <n v="1"/>
    <n v="1"/>
    <n v="1"/>
    <n v="1"/>
    <n v="1"/>
    <n v="1"/>
    <n v="0"/>
    <n v="1"/>
    <n v="0.875"/>
    <m/>
    <n v="0"/>
    <n v="40"/>
    <n v="40"/>
    <n v="40"/>
    <n v="40"/>
    <n v="40"/>
    <n v="80"/>
    <s v="MoTIC"/>
    <s v="015 Ministry of Trade, Industry and Cooperatives"/>
    <s v="MoWT"/>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s v="Number of border markets established"/>
    <n v="0"/>
    <n v="0"/>
    <n v="0"/>
    <n v="1"/>
    <n v="2"/>
    <n v="1"/>
    <s v="MoTIC"/>
    <s v="015 Ministry of Trade, Industry and Cooperatives"/>
    <s v="Undertake feasibility studies, "/>
    <n v="1"/>
    <n v="0"/>
    <n v="0"/>
    <n v="1"/>
    <n v="1"/>
    <n v="0"/>
    <n v="1"/>
    <n v="1"/>
    <n v="0.625"/>
    <m/>
    <n v="0"/>
    <n v="0"/>
    <n v="0.2"/>
    <n v="0"/>
    <n v="0"/>
    <n v="0"/>
    <n v="0"/>
    <s v="MoTIC"/>
    <s v="015 Ministry of Trade, Industry and Cooperatives"/>
    <s v="NPA, MEACA, UEPB"/>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s v="Proportion of agreed partnership expectations/ actions implemented as per MOUs/ written commitment"/>
    <n v="0"/>
    <n v="95"/>
    <n v="95"/>
    <n v="95"/>
    <n v="95"/>
    <n v="95"/>
    <s v="URA"/>
    <s v="141 Uganda Revenue Authority"/>
    <s v="Develop master plans and designs"/>
    <n v="1"/>
    <n v="0"/>
    <n v="0"/>
    <n v="1"/>
    <n v="1"/>
    <n v="0"/>
    <n v="1"/>
    <n v="1"/>
    <n v="0.625"/>
    <m/>
    <n v="0"/>
    <n v="0"/>
    <n v="0"/>
    <s v="1 "/>
    <n v="0"/>
    <n v="0"/>
    <n v="0"/>
    <s v="MoTIC"/>
    <s v="015 Ministry of Trade, Industry and Cooperatives"/>
    <s v="NPA, UIA"/>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s v="Average Time (hrs) Goods Clearance (Exports)"/>
    <s v="-"/>
    <n v="4"/>
    <n v="4"/>
    <n v="4"/>
    <n v="4"/>
    <n v="4"/>
    <s v="URA"/>
    <s v="141 Uganda Revenue Authority"/>
    <s v="Construct and operationalise 2 border export zone/border market facilities"/>
    <n v="1"/>
    <n v="1"/>
    <n v="1"/>
    <n v="1"/>
    <n v="1"/>
    <n v="1"/>
    <n v="1"/>
    <n v="1"/>
    <n v="1"/>
    <m/>
    <n v="0"/>
    <n v="0"/>
    <n v="0"/>
    <n v="28"/>
    <n v="28"/>
    <n v="0"/>
    <n v="28"/>
    <s v="MoTIC"/>
    <s v="015 Ministry of Trade, Industry and Cooperatives"/>
    <s v="MoWT, MoWE, MEMD, URA"/>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s v="Proportion of stakeholder groups involved in Customs interventions (revenue &amp; non-revenue related)"/>
    <s v="-"/>
    <n v="85"/>
    <n v="85"/>
    <n v="85"/>
    <n v="85"/>
    <n v="85"/>
    <s v="URA"/>
    <s v="141 Uganda Revenue Authority"/>
    <s v="Hold Regional training centres (RTC) heads meeting"/>
    <n v="1"/>
    <n v="1"/>
    <n v="1"/>
    <n v="1"/>
    <n v="1"/>
    <n v="1"/>
    <n v="1"/>
    <n v="1"/>
    <n v="1"/>
    <m/>
    <n v="0"/>
    <n v="0"/>
    <n v="0.01"/>
    <n v="0.01"/>
    <n v="0.01"/>
    <n v="0.01"/>
    <n v="0.02"/>
    <s v="URA"/>
    <s v="141 Uganda Revenue Authority"/>
    <s v="MoTIC"/>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m/>
    <m/>
    <m/>
    <m/>
    <m/>
    <m/>
    <m/>
    <m/>
    <e v="#N/A"/>
    <s v="Hold/participate in International forums (WCO)"/>
    <n v="1"/>
    <n v="1"/>
    <n v="1"/>
    <n v="1"/>
    <n v="1"/>
    <n v="1"/>
    <n v="1"/>
    <n v="1"/>
    <n v="1"/>
    <m/>
    <n v="0"/>
    <n v="0"/>
    <n v="0"/>
    <n v="0"/>
    <n v="0.2"/>
    <n v="0"/>
    <n v="0.2"/>
    <s v="MoTIC"/>
    <s v="015 Ministry of Trade, Industry and Cooperatives"/>
    <s v="N/A"/>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m/>
    <m/>
    <m/>
    <m/>
    <m/>
    <m/>
    <m/>
    <m/>
    <e v="#N/A"/>
    <s v="Well prepared error free contracts and MOUs grounded on clear instructions."/>
    <n v="1"/>
    <n v="1"/>
    <n v="0"/>
    <n v="1"/>
    <n v="1"/>
    <n v="1"/>
    <n v="0"/>
    <n v="1"/>
    <n v="0.75"/>
    <m/>
    <n v="0"/>
    <n v="0"/>
    <n v="0.01"/>
    <n v="0.01"/>
    <n v="0.01"/>
    <n v="0.01"/>
    <n v="0.02"/>
    <s v="URA"/>
    <s v="141 Uganda Revenue Authority"/>
    <s v="MoFA, MJCA, AG"/>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m/>
    <m/>
    <m/>
    <m/>
    <m/>
    <m/>
    <m/>
    <m/>
    <e v="#N/A"/>
    <s v="Complete roll out of SCT clearance"/>
    <n v="1"/>
    <n v="1"/>
    <n v="1"/>
    <n v="1"/>
    <n v="1"/>
    <n v="1"/>
    <n v="1"/>
    <n v="1"/>
    <n v="1"/>
    <m/>
    <n v="0"/>
    <n v="0"/>
    <n v="5.5E-2"/>
    <n v="5.5E-2"/>
    <n v="5.5E-2"/>
    <n v="5.5E-2"/>
    <n v="0.11"/>
    <s v="URA"/>
    <s v="141 Uganda Revenue Authority"/>
    <s v="MoTIC"/>
  </r>
  <r>
    <x v="5"/>
    <x v="5"/>
    <s v="042"/>
    <s v="Trade Development"/>
    <s v="0423"/>
    <s v="Increase access to regional and international markets"/>
    <s v="042305"/>
    <s v="Establish 4 border markets to facilitate trade with regional neighbours (especially at the South Sudan and Congo borders)"/>
    <m/>
    <m/>
    <s v="04230501"/>
    <s v="Increased exports to targeted neighbouring markets"/>
    <m/>
    <m/>
    <m/>
    <m/>
    <m/>
    <m/>
    <m/>
    <m/>
    <e v="#N/A"/>
    <s v="Engage MDAs (Information exchange, Enforcement initiatives)"/>
    <n v="1"/>
    <n v="0"/>
    <n v="0"/>
    <n v="1"/>
    <n v="1"/>
    <n v="0"/>
    <n v="0"/>
    <n v="1"/>
    <n v="0.5"/>
    <m/>
    <n v="0"/>
    <n v="0"/>
    <n v="0.01"/>
    <n v="0.01"/>
    <n v="0"/>
    <m/>
    <n v="0"/>
    <s v="URA"/>
    <s v="141 Uganda Revenue Authority"/>
    <s v="MoTIC &amp; NG, MEACA"/>
  </r>
  <r>
    <x v="5"/>
    <x v="5"/>
    <s v="042"/>
    <s v="Trade Development"/>
    <s v="0423"/>
    <s v="Increase access to regional and international markets"/>
    <s v="042306"/>
    <s v="Sign bilateral agreements to guarantee market access especially to DRC &amp; South Sudan"/>
    <m/>
    <m/>
    <s v="04230601"/>
    <s v="Increased revenue from cross border trade"/>
    <s v="Number of market studies undertaken"/>
    <m/>
    <n v="3"/>
    <s v=" 3"/>
    <s v=" 3"/>
    <s v=" 3"/>
    <s v=" 3"/>
    <s v="MoTIC"/>
    <s v="015 Ministry of Trade, Industry and Cooperatives"/>
    <s v="Undertake detailed market studies to identify offensive and defensive options to inform national negotiating position "/>
    <n v="1"/>
    <n v="1"/>
    <n v="0"/>
    <n v="1"/>
    <n v="1"/>
    <n v="1"/>
    <n v="0"/>
    <n v="1"/>
    <n v="0.75"/>
    <m/>
    <n v="0"/>
    <n v="0.2"/>
    <n v="0.2"/>
    <n v="0.2"/>
    <n v="0.2"/>
    <n v="0.2"/>
    <n v="0.4"/>
    <s v="MoTIC"/>
    <s v="015 Ministry of Trade, Industry and Cooperatives"/>
    <s v="NPA, MoFPED"/>
  </r>
  <r>
    <x v="5"/>
    <x v="5"/>
    <s v="042"/>
    <s v="Trade Development"/>
    <s v="0423"/>
    <s v="Increase access to regional and international markets"/>
    <s v="042306"/>
    <s v="Sign bilateral agreements to guarantee market access especially to DRC &amp; South Sudan"/>
    <m/>
    <m/>
    <s v="04230601"/>
    <s v="Increased revenue from cross border trade"/>
    <s v=" Number of sensitisation campaigns conducted"/>
    <m/>
    <n v="24"/>
    <s v=" 24"/>
    <s v=" 24"/>
    <s v=" 24"/>
    <s v=" 24"/>
    <s v="UEPB"/>
    <s v="306 Uganda Export Promotion Board"/>
    <s v="Sensitize the business community on negotiated market opportunities  "/>
    <n v="1"/>
    <n v="1"/>
    <n v="1"/>
    <n v="1"/>
    <n v="1"/>
    <n v="1"/>
    <n v="1"/>
    <n v="1"/>
    <n v="1"/>
    <m/>
    <n v="0"/>
    <n v="1.2"/>
    <n v="1.2"/>
    <n v="1.2"/>
    <n v="1.2"/>
    <n v="1.2"/>
    <n v="2.4"/>
    <s v="UEPB"/>
    <s v="306 Uganda Export Promotion Board"/>
    <s v="MoTIC"/>
  </r>
  <r>
    <x v="5"/>
    <x v="5"/>
    <s v="042"/>
    <s v="Trade Development"/>
    <s v="0423"/>
    <s v="Increase access to regional and international markets"/>
    <s v="042306"/>
    <s v="Sign bilateral agreements to guarantee market access especially to DRC &amp; South Sudan"/>
    <m/>
    <m/>
    <s v="04230601"/>
    <s v="Increased revenue from cross border trade"/>
    <s v="%age of increment of Uganda’s exports into the negotiated markets "/>
    <m/>
    <n v="12"/>
    <n v="12"/>
    <n v="12"/>
    <n v="12"/>
    <n v="12"/>
    <s v="MoTIC"/>
    <s v="015 Ministry of Trade, Industry and Cooperatives"/>
    <s v="Develop and implement a response strategy for the different negotiated markets "/>
    <n v="1"/>
    <n v="1"/>
    <n v="0"/>
    <n v="1"/>
    <n v="1"/>
    <n v="1"/>
    <n v="0"/>
    <n v="1"/>
    <n v="0.75"/>
    <m/>
    <n v="0"/>
    <m/>
    <m/>
    <m/>
    <m/>
    <m/>
    <n v="0"/>
    <s v="MoTIC"/>
    <s v="015 Ministry of Trade, Industry and Cooperatives"/>
    <s v="NPA, MoFPED"/>
  </r>
  <r>
    <x v="5"/>
    <x v="5"/>
    <s v="042"/>
    <s v="Trade Development"/>
    <s v="0423"/>
    <s v="Increase access to regional and international markets"/>
    <s v="042306"/>
    <s v="Sign bilateral agreements to guarantee market access especially to DRC &amp; South Sudan"/>
    <m/>
    <m/>
    <s v="04230601"/>
    <s v="Increased revenue from cross border trade"/>
    <s v="Number of trade agreements signed"/>
    <m/>
    <n v="3"/>
    <n v="3"/>
    <n v="3"/>
    <n v="3"/>
    <n v="3"/>
    <s v="MoTIC"/>
    <s v="015 Ministry of Trade, Industry and Cooperatives"/>
    <s v="Initiate, negotiate and sign trade agreements within bilateral frameworks (MoTIC)"/>
    <n v="1"/>
    <n v="1"/>
    <n v="0"/>
    <n v="1"/>
    <n v="1"/>
    <n v="1"/>
    <n v="0"/>
    <n v="1"/>
    <n v="0.75"/>
    <m/>
    <n v="0"/>
    <n v="0.5"/>
    <n v="0.5"/>
    <n v="0.5"/>
    <n v="0.5"/>
    <n v="0.5"/>
    <n v="1"/>
    <s v="MoTIC"/>
    <s v="015 Ministry of Trade, Industry and Cooperatives"/>
    <s v="MoFA, MJCA, OAG, MIA"/>
  </r>
  <r>
    <x v="5"/>
    <x v="5"/>
    <s v="042"/>
    <s v="Trade Development"/>
    <s v="0423"/>
    <s v="Increase access to regional and international markets"/>
    <s v="042306"/>
    <s v="Sign bilateral agreements to guarantee market access especially to DRC &amp; South Sudan"/>
    <m/>
    <m/>
    <s v="04230601"/>
    <s v="Increased revenue from cross border trade"/>
    <s v="Number of trade agreements signed"/>
    <m/>
    <n v="3"/>
    <n v="3"/>
    <n v="3"/>
    <n v="3"/>
    <n v="3"/>
    <s v="MoFa"/>
    <s v="006 Ministry of Foreign Affairs"/>
    <s v="Initiate, negotiate and sign trade agreements within bilateral frameworks (MoFA)"/>
    <m/>
    <m/>
    <m/>
    <m/>
    <m/>
    <m/>
    <n v="0"/>
    <n v="0"/>
    <n v="0"/>
    <m/>
    <n v="0"/>
    <n v="0.2"/>
    <n v="0.2"/>
    <n v="0.2"/>
    <n v="0"/>
    <m/>
    <n v="0"/>
    <s v="MoFA"/>
    <s v="006 Ministry of Foreign Affairs"/>
    <s v="MoTIC, MJCA, OAG, MIA"/>
  </r>
  <r>
    <x v="5"/>
    <x v="5"/>
    <s v="042"/>
    <s v="Trade Development"/>
    <s v="0423"/>
    <s v="Increase access to regional and international markets"/>
    <s v="042306"/>
    <s v="Sign bilateral agreements to guarantee market access especially to DRC &amp; South Sudan"/>
    <m/>
    <m/>
    <s v="04230601"/>
    <s v="Increased revenue from cross border trade"/>
    <s v="Number of trade agreements signed"/>
    <m/>
    <n v="3"/>
    <n v="3"/>
    <n v="3"/>
    <n v="3"/>
    <n v="3"/>
    <s v="MoJCA"/>
    <s v="007 Ministry of Justice and Constitutional Affairs"/>
    <s v="Initiate, negotiate and sign trade agreements within bilateral frameworks (MoJCA)"/>
    <m/>
    <m/>
    <m/>
    <m/>
    <m/>
    <m/>
    <n v="0"/>
    <n v="0"/>
    <n v="0"/>
    <m/>
    <n v="0"/>
    <n v="0.1"/>
    <n v="0.1"/>
    <n v="0.1"/>
    <n v="0"/>
    <m/>
    <n v="0"/>
    <s v="MoJCA"/>
    <s v="007 Ministry of Justice and Constitutional Affairs"/>
    <s v="MoTIC, MoFA, OAG, MIA"/>
  </r>
  <r>
    <x v="5"/>
    <x v="5"/>
    <s v="042"/>
    <s v="Trade Development"/>
    <s v="0423"/>
    <s v="Increase access to regional and international markets"/>
    <s v="042306"/>
    <s v="Sign bilateral agreements to guarantee market access especially to DRC &amp; South Sudan"/>
    <m/>
    <m/>
    <s v="04230601"/>
    <s v="Increased revenue from cross border trade"/>
    <s v="Number of trade agreements signed"/>
    <m/>
    <n v="3"/>
    <n v="3"/>
    <n v="3"/>
    <n v="3"/>
    <n v="3"/>
    <s v="MoIA"/>
    <s v="009 Ministry of Internal Affairs"/>
    <s v="Initiate, negotiate and sign trade agreements within bilateral frameworks (MoIA)"/>
    <m/>
    <m/>
    <m/>
    <m/>
    <m/>
    <m/>
    <n v="0"/>
    <n v="0"/>
    <n v="0"/>
    <m/>
    <n v="0"/>
    <n v="0.1"/>
    <n v="0.1"/>
    <n v="0.1"/>
    <n v="0"/>
    <m/>
    <n v="0"/>
    <s v="MoIA"/>
    <s v="009 Ministry of Internal Affairs"/>
    <s v="MoTIC, MoFA, OAG, MJCA"/>
  </r>
  <r>
    <x v="5"/>
    <x v="5"/>
    <s v="042"/>
    <s v="Trade Development"/>
    <s v="0423"/>
    <s v="Increase access to regional and international markets"/>
    <s v="042307"/>
    <s v="Strengthen information management and negotiation for greater access to targeted markets"/>
    <m/>
    <m/>
    <s v="04230701"/>
    <s v="Enhanced effective market intelligence"/>
    <s v="Institutional capacity for market intelligence (training, retooling, exposure visits for staff) enhanced"/>
    <n v="0"/>
    <m/>
    <n v="1"/>
    <m/>
    <m/>
    <m/>
    <s v="MoTIC"/>
    <s v="015 Ministry of Trade, Industry and Cooperatives"/>
    <s v="Build institutional capacity for market intelligence (training, retooling, exposure visits for staff)"/>
    <n v="1"/>
    <n v="1"/>
    <n v="0"/>
    <n v="1"/>
    <n v="1"/>
    <n v="0"/>
    <n v="0"/>
    <n v="1"/>
    <n v="0.625"/>
    <m/>
    <n v="0"/>
    <n v="0"/>
    <n v="0.2"/>
    <n v="0"/>
    <n v="0"/>
    <n v="0"/>
    <n v="0"/>
    <s v="MoTIC"/>
    <s v="015 Ministry of Trade, Industry and Cooperatives"/>
    <s v="MoES"/>
  </r>
  <r>
    <x v="5"/>
    <x v="5"/>
    <s v="042"/>
    <s v="Trade Development"/>
    <s v="0423"/>
    <s v="Increase access to regional and international markets"/>
    <s v="042307"/>
    <s v="Strengthen information management and negotiation for greater access to targeted markets"/>
    <m/>
    <m/>
    <s v="04230701"/>
    <s v="Enhanced effective market intelligence"/>
    <s v="Information management system on Uganda's markets in place"/>
    <n v="0"/>
    <n v="1"/>
    <n v="0"/>
    <n v="0"/>
    <n v="0"/>
    <n v="0"/>
    <s v="MoTIC"/>
    <s v="015 Ministry of Trade, Industry and Cooperatives"/>
    <s v="Build an information management system on Uganda’s markets"/>
    <n v="1"/>
    <n v="1"/>
    <n v="0"/>
    <n v="1"/>
    <n v="1"/>
    <n v="1"/>
    <n v="0"/>
    <n v="1"/>
    <n v="0.75"/>
    <m/>
    <n v="0"/>
    <n v="0"/>
    <n v="0.2"/>
    <n v="0"/>
    <n v="0.5"/>
    <n v="0"/>
    <n v="0.5"/>
    <s v="MoICT&amp;NG"/>
    <s v="020 Ministry of ICT and National Guidance"/>
    <s v="MoTIC, MoFA, MEACA"/>
  </r>
  <r>
    <x v="5"/>
    <x v="5"/>
    <s v="042"/>
    <s v="Trade Development"/>
    <s v="0423"/>
    <s v="Increase access to regional and international markets"/>
    <s v="042307"/>
    <s v="Strengthen information management and negotiation for greater access to targeted markets"/>
    <m/>
    <m/>
    <s v="04230701"/>
    <s v="Enhanced effective market intelligence"/>
    <s v="Integrated market information system (leveraging on Uganda’s foreign missions and international partners) developed"/>
    <m/>
    <m/>
    <m/>
    <n v="1"/>
    <m/>
    <m/>
    <s v="MoTIC"/>
    <s v="015 Ministry of Trade, Industry and Cooperatives"/>
    <s v="Develop integrated market information system (leveraging on Uganda’s foreign missions and international partners)"/>
    <n v="1"/>
    <n v="1"/>
    <n v="0"/>
    <n v="1"/>
    <n v="1"/>
    <n v="1"/>
    <n v="0"/>
    <n v="1"/>
    <n v="0.75"/>
    <m/>
    <n v="0"/>
    <n v="0"/>
    <n v="0"/>
    <n v="0.2"/>
    <n v="0"/>
    <n v="0"/>
    <n v="0"/>
    <s v="MoTIC"/>
    <s v="015 Ministry of Trade, Industry and Cooperatives"/>
    <s v="MoTIC &amp; NG, MoFA"/>
  </r>
  <r>
    <x v="5"/>
    <x v="5"/>
    <s v="042"/>
    <s v="Trade Development"/>
    <s v="0423"/>
    <s v="Increase access to regional and international markets"/>
    <s v="042307"/>
    <s v="Strengthen information management and negotiation for greater access to targeted markets"/>
    <m/>
    <m/>
    <s v="04230701"/>
    <s v="Enhanced effective market intelligence"/>
    <s v="No. of sensitization and awareness campaigns conducted"/>
    <m/>
    <s v=" 4"/>
    <s v=" 4"/>
    <s v=" 4"/>
    <s v=" 4"/>
    <n v="4"/>
    <s v="UEPB"/>
    <s v="306 Uganda Export Promotion Board"/>
    <s v="Conduct Sensitisation and awareness campaigns"/>
    <n v="1"/>
    <n v="1"/>
    <n v="1"/>
    <n v="1"/>
    <n v="1"/>
    <n v="0"/>
    <n v="1"/>
    <n v="1"/>
    <n v="0.875"/>
    <m/>
    <n v="0"/>
    <n v="0"/>
    <n v="0.2"/>
    <n v="0.2"/>
    <n v="0.2"/>
    <n v="0.2"/>
    <n v="0.4"/>
    <s v="UEPB"/>
    <s v="306 Uganda Export Promotion Board"/>
    <s v="MoTIC, ICT &amp; NG"/>
  </r>
  <r>
    <x v="5"/>
    <x v="5"/>
    <s v="042"/>
    <s v="Trade Development"/>
    <s v="0423"/>
    <s v="Increase access to regional and international markets"/>
    <s v="042308"/>
    <s v="Support the national conformity assessment system to attain international recognition through Accreditation"/>
    <m/>
    <m/>
    <s v="04230801"/>
    <s v="Increased testing capability of the country"/>
    <s v="Law on Accreditation enacted"/>
    <n v="0"/>
    <s v="-"/>
    <n v="1"/>
    <s v="-"/>
    <s v="-"/>
    <s v="-"/>
    <s v="MoTIC"/>
    <s v="015 Ministry of Trade, Industry and Cooperatives"/>
    <s v="Develop Bill on Accreditation and regulations there of"/>
    <n v="1"/>
    <n v="1"/>
    <n v="0"/>
    <n v="1"/>
    <n v="1"/>
    <n v="1"/>
    <n v="0"/>
    <n v="1"/>
    <n v="0.75"/>
    <m/>
    <n v="0"/>
    <n v="0"/>
    <n v="0.1"/>
    <n v="0"/>
    <n v="0.1"/>
    <n v="0"/>
    <n v="0.1"/>
    <s v="MoTIC"/>
    <s v="015 Ministry of Trade, Industry and Cooperatives"/>
    <s v="MJCA, Parliamnet "/>
  </r>
  <r>
    <x v="5"/>
    <x v="5"/>
    <s v="042"/>
    <s v="Trade Development"/>
    <s v="0423"/>
    <s v="Increase access to regional and international markets"/>
    <s v="042308"/>
    <s v="Support the national conformity assessment system to attain international recognition through Accreditation"/>
    <m/>
    <m/>
    <s v="04230801"/>
    <s v="Increased testing capability of the country"/>
    <s v="National accreditation body established"/>
    <n v="0"/>
    <s v="-"/>
    <n v="1"/>
    <s v="-"/>
    <s v="-"/>
    <s v="-"/>
    <s v="MoTIC"/>
    <s v="015 Ministry of Trade, Industry and Cooperatives"/>
    <s v="Establish a National Accreditation Body (NAB) for Uganda"/>
    <n v="1"/>
    <n v="1"/>
    <n v="0"/>
    <n v="1"/>
    <n v="1"/>
    <n v="1"/>
    <n v="0"/>
    <n v="1"/>
    <n v="0.75"/>
    <m/>
    <n v="0"/>
    <n v="0"/>
    <n v="0.3"/>
    <n v="0"/>
    <n v="0.5"/>
    <n v="0"/>
    <n v="0.5"/>
    <s v="MoTIC"/>
    <s v="015 Ministry of Trade, Industry and Cooperatives"/>
    <s v="MoFPED, OAG"/>
  </r>
  <r>
    <x v="5"/>
    <x v="5"/>
    <s v="042"/>
    <s v="Trade Development"/>
    <s v="0423"/>
    <s v="Increase access to regional and international markets"/>
    <s v="042308"/>
    <s v="Support the national conformity assessment system to attain international recognition through Accreditation"/>
    <m/>
    <m/>
    <s v="04230801"/>
    <s v="Increased testing capability of the country"/>
    <s v="National conformity assessment system in place (Build capacity of the NAB)"/>
    <n v="15"/>
    <n v="1"/>
    <s v="-"/>
    <s v="-"/>
    <s v="-"/>
    <s v="-"/>
    <s v="UNBS"/>
    <s v="154 Uganda National Bureau of Standards"/>
    <s v="Build capacity of the NAB to develop expertise and enforce accreditation procedures and standards"/>
    <n v="1"/>
    <n v="1"/>
    <n v="0"/>
    <n v="1"/>
    <n v="1"/>
    <n v="1"/>
    <n v="0"/>
    <n v="1"/>
    <n v="0.75"/>
    <m/>
    <n v="0"/>
    <n v="0.01"/>
    <n v="0.64"/>
    <n v="0"/>
    <n v="0.5"/>
    <n v="0"/>
    <n v="0.5"/>
    <s v="MoTIC"/>
    <s v="015 Ministry of Trade, Industry and Cooperatives"/>
    <s v="MoFPED, OAG"/>
  </r>
  <r>
    <x v="5"/>
    <x v="5"/>
    <s v="042"/>
    <s v="Trade Development"/>
    <s v="0423"/>
    <s v="Increase access to regional and international markets"/>
    <s v="042308"/>
    <s v="Support the national conformity assessment system to attain international recognition through Accreditation"/>
    <m/>
    <m/>
    <s v="04230801"/>
    <s v="Increased testing capability of the country"/>
    <s v="Twinning agreements with internationally recognized accreditation bodies established"/>
    <n v="0"/>
    <n v="4"/>
    <n v="4"/>
    <n v="4"/>
    <n v="4"/>
    <n v="4"/>
    <s v="UNBS"/>
    <s v="154 Uganda National Bureau of Standards"/>
    <s v="Establish twinning agreements with internationally recognized accreditation bodies and subscribe to international accreditation agencies"/>
    <n v="1"/>
    <n v="1"/>
    <n v="0"/>
    <n v="1"/>
    <n v="1"/>
    <n v="1"/>
    <n v="0"/>
    <n v="1"/>
    <n v="0.75"/>
    <m/>
    <n v="0"/>
    <n v="0"/>
    <s v="0.35 "/>
    <n v="0.35"/>
    <n v="0.35"/>
    <n v="0.35"/>
    <n v="0.7"/>
    <s v="UNBS"/>
    <s v="154 Uganda National Bureau of Standards"/>
    <s v="OAG, MJCA, MoFPED"/>
  </r>
  <r>
    <x v="5"/>
    <x v="5"/>
    <s v="042"/>
    <s v="Trade Development"/>
    <s v="0423"/>
    <s v="Increase access to regional and international markets"/>
    <s v="042308"/>
    <s v="Support the national conformity assessment system to attain international recognition through Accreditation"/>
    <m/>
    <m/>
    <s v="04230802"/>
    <s v="Internationally recognized National Measurement system to support the National Accreditation and conformity assessment system developed"/>
    <s v="%age expansion of accreditation"/>
    <s v="-"/>
    <n v="10"/>
    <n v="30"/>
    <n v="50"/>
    <n v="75"/>
    <n v="100"/>
    <s v="UNBS"/>
    <s v="154 Uganda National Bureau of Standards"/>
    <s v="Expand the existing scope for accreditation to ensure recognition of UNBS certification services regionally and internationally (testing, training, procurement)"/>
    <n v="1"/>
    <n v="1"/>
    <n v="0"/>
    <n v="1"/>
    <n v="1"/>
    <n v="1"/>
    <n v="0"/>
    <n v="1"/>
    <n v="0.75"/>
    <m/>
    <n v="0"/>
    <n v="1"/>
    <n v="1"/>
    <n v="1"/>
    <n v="1"/>
    <n v="1"/>
    <n v="2"/>
    <s v="UNBS"/>
    <s v="154 Uganda National Bureau of Standards"/>
    <s v="MoFA, OAG, MJCA, MEACA"/>
  </r>
  <r>
    <x v="5"/>
    <x v="5"/>
    <s v="042"/>
    <s v="Trade Development"/>
    <s v="0423"/>
    <s v="Increase access to regional and international markets"/>
    <s v="042308"/>
    <s v="Support the national conformity assessment system to attain international recognition through Accreditation"/>
    <m/>
    <m/>
    <s v="04230802"/>
    <s v="Internationally recognized National Measurement system to support the National Accreditation and conformity assessment system developed"/>
    <s v="MRAs signed Membership to CGPM"/>
    <s v="-"/>
    <n v="0"/>
    <n v="2"/>
    <n v="4"/>
    <n v="5"/>
    <n v="6"/>
    <s v="UNBS"/>
    <s v="154 Uganda National Bureau of Standards"/>
    <s v="Obtain and maintain international recognition of the National measurement system "/>
    <n v="1"/>
    <n v="1"/>
    <n v="0"/>
    <n v="1"/>
    <n v="1"/>
    <n v="1"/>
    <n v="0"/>
    <n v="1"/>
    <n v="0.75"/>
    <m/>
    <n v="0"/>
    <n v="0"/>
    <n v="10"/>
    <n v="10"/>
    <n v="10"/>
    <n v="10"/>
    <n v="20"/>
    <s v="UNBS"/>
    <s v="154 Uganda National Bureau of Standards"/>
    <s v="MoFA, OAG, MJCA"/>
  </r>
  <r>
    <x v="5"/>
    <x v="5"/>
    <s v="042"/>
    <s v="Trade Development"/>
    <s v="0423"/>
    <s v="Increase access to regional and international markets"/>
    <s v="042309"/>
    <s v="Establish Export Credit Guarantee Schemes for SMEs"/>
    <m/>
    <m/>
    <s v="04230901"/>
    <s v="Increased revenue to SMEs"/>
    <s v="Credit guarantee program in place"/>
    <s v="-"/>
    <s v="-"/>
    <s v=" 1"/>
    <s v="0 "/>
    <s v=" 0"/>
    <s v=" 0"/>
    <s v="MoTIC"/>
    <s v="015 Ministry of Trade, Industry and Cooperatives"/>
    <s v=" Develop a credit guarantee program"/>
    <n v="1"/>
    <n v="1"/>
    <n v="1"/>
    <n v="1"/>
    <n v="1"/>
    <n v="1"/>
    <n v="1"/>
    <n v="1"/>
    <n v="1"/>
    <m/>
    <n v="0"/>
    <n v="0"/>
    <n v="0"/>
    <n v="0"/>
    <n v="0"/>
    <n v="0"/>
    <n v="0"/>
    <s v="MoTIC"/>
    <s v="015 Ministry of Trade, Industry and Cooperatives"/>
    <s v="MoFPED"/>
  </r>
  <r>
    <x v="5"/>
    <x v="5"/>
    <s v="042"/>
    <s v="Trade Development"/>
    <s v="0423"/>
    <s v="Increase access to regional and international markets"/>
    <s v="042309"/>
    <s v="Establish Export Credit Guarantee Schemes for SMEs"/>
    <m/>
    <m/>
    <s v="04230901"/>
    <s v="Increased revenue to SMEs"/>
    <s v="Number of financing institutions attracted"/>
    <s v="-"/>
    <n v="0"/>
    <s v=" 0"/>
    <s v=" 2"/>
    <s v=" 5"/>
    <s v=" 5"/>
    <s v="MoTIC"/>
    <s v="015 Ministry of Trade, Industry and Cooperatives"/>
    <s v="Attract financing institutions "/>
    <n v="1"/>
    <n v="1"/>
    <n v="1"/>
    <n v="1"/>
    <n v="1"/>
    <n v="1"/>
    <n v="1"/>
    <n v="1"/>
    <n v="1"/>
    <m/>
    <n v="0"/>
    <n v="0"/>
    <n v="0"/>
    <n v="0"/>
    <n v="0"/>
    <n v="0"/>
    <n v="0"/>
    <s v="MoTIC"/>
    <s v="015 Ministry of Trade, Industry and Cooperatives"/>
    <s v="MoFPED, MoFA, MEACA, UEPB"/>
  </r>
  <r>
    <x v="5"/>
    <x v="5"/>
    <s v="042"/>
    <s v="Trade Development"/>
    <s v="0423"/>
    <s v="Increase access to regional and international markets"/>
    <s v="042309"/>
    <s v="Establish Export Credit Guarantee Schemes for SMEs"/>
    <m/>
    <m/>
    <s v="04230901"/>
    <s v="Increased revenue to SMEs"/>
    <s v="Number of sensitization programs conducted"/>
    <s v="-"/>
    <s v="-"/>
    <s v=" 10"/>
    <s v=" 20"/>
    <s v=" 20"/>
    <s v=" 20"/>
    <s v="MoTIC"/>
    <s v="015 Ministry of Trade, Industry and Cooperatives"/>
    <s v="Popularize scheme across the country"/>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1"/>
    <s v="Enact and enforce the local content law "/>
    <m/>
    <m/>
    <s v="04340101"/>
    <s v="Local content law enacted and enforced"/>
    <s v="Local content law enacted and enforced"/>
    <n v="0"/>
    <n v="1"/>
    <s v="-"/>
    <s v="-"/>
    <s v="-"/>
    <s v="-"/>
    <s v="MoTIC"/>
    <s v="015 Ministry of Trade, Industry and Cooperatives"/>
    <s v="Facilitate the finalisation of the Local Content Law and development of regulations "/>
    <n v="1"/>
    <n v="1"/>
    <n v="1"/>
    <n v="1"/>
    <n v="1"/>
    <n v="1"/>
    <n v="1"/>
    <n v="1"/>
    <n v="1"/>
    <m/>
    <n v="0"/>
    <n v="0"/>
    <n v="0"/>
    <n v="0"/>
    <n v="0.1"/>
    <n v="0"/>
    <n v="0.1"/>
    <s v="MoTIC"/>
    <s v="015 Ministry of Trade, Industry and Cooperatives"/>
    <s v="N/A"/>
  </r>
  <r>
    <x v="5"/>
    <x v="5"/>
    <s v="043"/>
    <s v="Enabling Environment"/>
    <s v="0434"/>
    <s v="Strengthen the legal and institutional framework to support manufacturing"/>
    <s v="043401"/>
    <s v="Enact and enforce the local content law "/>
    <m/>
    <m/>
    <s v="04340101"/>
    <s v="Local content law enacted and enforced"/>
    <s v="Complicance of the law monitored"/>
    <m/>
    <m/>
    <m/>
    <n v="10"/>
    <n v="15"/>
    <n v="20"/>
    <s v="MoTIC"/>
    <s v="015 Ministry of Trade, Industry and Cooperatives"/>
    <s v="Monitor compliance of the law"/>
    <n v="1"/>
    <n v="1"/>
    <n v="1"/>
    <n v="1"/>
    <n v="1"/>
    <n v="1"/>
    <n v="1"/>
    <n v="1"/>
    <n v="1"/>
    <m/>
    <n v="0"/>
    <n v="0"/>
    <n v="0"/>
    <n v="0"/>
    <n v="0.1"/>
    <n v="0"/>
    <n v="0.1"/>
    <s v="MoTIC"/>
    <s v="015 Ministry of Trade, Industry and Cooperatives"/>
    <s v="N/A"/>
  </r>
  <r>
    <x v="5"/>
    <x v="5"/>
    <s v="043"/>
    <s v="Enabling Environment"/>
    <s v="0434"/>
    <s v="Strengthen the legal and institutional framework to support manufacturing"/>
    <s v="043401"/>
    <s v="Enact and enforce the local content law "/>
    <m/>
    <m/>
    <s v="04340101"/>
    <s v="Local content law enacted and enforced"/>
    <s v="Local content law disseminated"/>
    <m/>
    <m/>
    <m/>
    <m/>
    <n v="50"/>
    <n v="100"/>
    <s v="MoTIC"/>
    <s v="015 Ministry of Trade, Industry and Cooperatives"/>
    <s v="Disseminate and Create awareness to popularize the law"/>
    <n v="1"/>
    <n v="1"/>
    <n v="1"/>
    <n v="1"/>
    <n v="1"/>
    <n v="1"/>
    <n v="1"/>
    <n v="1"/>
    <n v="1"/>
    <m/>
    <n v="0"/>
    <n v="0"/>
    <s v="`"/>
    <n v="0"/>
    <n v="0.1"/>
    <n v="0"/>
    <n v="0.1"/>
    <s v="MoTIC"/>
    <s v="015 Ministry of Trade, Industry and Cooperatives"/>
    <s v="N/A"/>
  </r>
  <r>
    <x v="5"/>
    <x v="5"/>
    <s v="043"/>
    <s v="Enabling Environment"/>
    <s v="0434"/>
    <s v="Strengthen the legal and institutional framework to support manufacturing"/>
    <s v="043401"/>
    <s v="Enact and enforce the local content law "/>
    <m/>
    <m/>
    <s v="04340101"/>
    <s v="Local content law enacted and enforced"/>
    <s v="Industrial surveys to establish capacity of local manufacturers established"/>
    <m/>
    <n v="5"/>
    <n v="10"/>
    <m/>
    <m/>
    <m/>
    <s v="MoTIC"/>
    <s v="015 Ministry of Trade, Industry and Cooperatives"/>
    <s v="Undertake industrial surveys to establish capacity of local manufacturers"/>
    <n v="1"/>
    <n v="1"/>
    <n v="1"/>
    <n v="1"/>
    <n v="1"/>
    <n v="1"/>
    <n v="1"/>
    <n v="1"/>
    <n v="1"/>
    <m/>
    <n v="0"/>
    <n v="0"/>
    <n v="1"/>
    <n v="1"/>
    <n v="1.5"/>
    <n v="1.5"/>
    <n v="3"/>
    <s v="MoTIC"/>
    <s v="015 Ministry of Trade, Industry and Cooperatives"/>
    <s v="NPA, UIA, MoGLSD"/>
  </r>
  <r>
    <x v="5"/>
    <x v="5"/>
    <s v="043"/>
    <s v="Enabling Environment"/>
    <s v="0434"/>
    <s v="Strengthen the legal and institutional framework to support manufacturing"/>
    <s v="043401"/>
    <s v="Enact and enforce the local content law "/>
    <m/>
    <m/>
    <s v="04340101"/>
    <s v="Local content law enacted and enforced"/>
    <s v="Functional (updated) industrial database in place"/>
    <n v="0"/>
    <n v="1"/>
    <n v="1"/>
    <n v="1"/>
    <n v="1"/>
    <n v="1"/>
    <s v="MoTIC"/>
    <s v="015 Ministry of Trade, Industry and Cooperatives"/>
    <s v="Update the database of local manufacturers "/>
    <n v="1"/>
    <n v="1"/>
    <n v="1"/>
    <n v="1"/>
    <n v="1"/>
    <n v="1"/>
    <n v="1"/>
    <n v="1"/>
    <n v="1"/>
    <m/>
    <n v="0"/>
    <n v="0"/>
    <n v="0"/>
    <n v="0"/>
    <n v="1"/>
    <n v="0"/>
    <n v="1"/>
    <s v="MoTIC"/>
    <s v="015 Ministry of Trade, Industry and Cooperatives"/>
    <s v="UIA"/>
  </r>
  <r>
    <x v="5"/>
    <x v="5"/>
    <s v="043"/>
    <s v="Enabling Environment"/>
    <s v="0434"/>
    <s v="Strengthen the legal and institutional framework to support manufacturing"/>
    <s v="043401"/>
    <s v="Enact and enforce the local content law "/>
    <m/>
    <m/>
    <s v="04340101"/>
    <s v="Local content law enacted and enforced"/>
    <s v="Number of Manufacturers Supported"/>
    <m/>
    <n v="1"/>
    <n v="5"/>
    <n v="20"/>
    <n v="30"/>
    <n v="40"/>
    <s v="MoTIC"/>
    <s v="015 Ministry of Trade, Industry and Cooperatives"/>
    <s v="Provide firm level technical support to manufacturers to improve manufacturing capabilities"/>
    <n v="1"/>
    <n v="1"/>
    <n v="1"/>
    <n v="1"/>
    <n v="1"/>
    <n v="0"/>
    <n v="1"/>
    <n v="1"/>
    <n v="0.875"/>
    <m/>
    <n v="0"/>
    <n v="0.01"/>
    <n v="0.15"/>
    <n v="0.52"/>
    <n v="0.83"/>
    <n v="0.94"/>
    <n v="1.77"/>
    <s v="MoTIC"/>
    <s v="015 Ministry of Trade, Industry and Cooperatives"/>
    <s v="MoLG, MoGLSD, UNBS"/>
  </r>
  <r>
    <x v="5"/>
    <x v="5"/>
    <s v="043"/>
    <s v="Enabling Environment"/>
    <s v="0434"/>
    <s v="Strengthen the legal and institutional framework to support manufacturing"/>
    <s v="043401"/>
    <s v="Enact and enforce the local content law "/>
    <m/>
    <m/>
    <s v="04340101"/>
    <s v="Local content law enacted and enforced"/>
    <s v="% of the processes that are re-engineered"/>
    <m/>
    <n v="75"/>
    <n v="75"/>
    <n v="75"/>
    <n v="75"/>
    <n v="75"/>
    <s v="URA"/>
    <s v="141 Uganda Revenue Authority"/>
    <s v="Implement Quality Management Systems "/>
    <n v="1"/>
    <n v="1"/>
    <n v="0"/>
    <n v="1"/>
    <n v="1"/>
    <n v="1"/>
    <n v="0"/>
    <n v="1"/>
    <n v="0.75"/>
    <m/>
    <n v="0"/>
    <n v="0"/>
    <n v="0.2"/>
    <n v="0.2"/>
    <n v="0.2"/>
    <n v="0.2"/>
    <n v="0.4"/>
    <s v="URA"/>
    <s v="141 Uganda Revenue Authority"/>
    <s v="UNBS, MoTIC"/>
  </r>
  <r>
    <x v="5"/>
    <x v="5"/>
    <s v="043"/>
    <s v="Enabling Environment"/>
    <s v="0434"/>
    <s v="Strengthen the legal and institutional framework to support manufacturing"/>
    <s v="043402"/>
    <s v="Enforce the laws on counterfeits and poor-quality products "/>
    <m/>
    <m/>
    <s v="04340201"/>
    <s v="Anti-counterfeits and quality product laws enforced"/>
    <s v="Number of bills developed"/>
    <n v="0"/>
    <n v="1"/>
    <n v="1"/>
    <n v="1"/>
    <m/>
    <m/>
    <s v="MoTIC"/>
    <s v="015 Ministry of Trade, Industry and Cooperatives"/>
    <s v="Develop Legal metrology bill and Industrial and Scientific metrology bill and their regulations"/>
    <n v="1"/>
    <n v="1"/>
    <n v="0"/>
    <n v="0"/>
    <n v="1"/>
    <n v="1"/>
    <n v="1"/>
    <n v="1"/>
    <n v="0.75"/>
    <m/>
    <n v="0"/>
    <n v="0.5"/>
    <n v="0.5"/>
    <n v="0.5"/>
    <n v="0"/>
    <n v="0"/>
    <n v="0"/>
    <s v="MoTIC"/>
    <s v="015 Ministry of Trade, Industry and Cooperatives"/>
    <s v="UNMA, Parliament, MJCA"/>
  </r>
  <r>
    <x v="5"/>
    <x v="5"/>
    <s v="043"/>
    <s v="Enabling Environment"/>
    <s v="0434"/>
    <s v="Strengthen the legal and institutional framework to support manufacturing"/>
    <s v="043402"/>
    <s v="Enforce the laws on counterfeits and poor-quality products "/>
    <m/>
    <m/>
    <s v="04340201"/>
    <s v="Anti-counterfeits and quality product laws enforced"/>
    <s v="Number of laws and regulations on Intellectual property rights reviewed"/>
    <m/>
    <m/>
    <n v="3"/>
    <n v="1"/>
    <n v="1"/>
    <n v="1"/>
    <s v="URSB"/>
    <s v="119 Uganda Registration Services Bureau"/>
    <s v="Review laws on intellectual property rights to address counterfeits in manufacturing "/>
    <n v="1"/>
    <n v="1"/>
    <n v="1"/>
    <n v="0"/>
    <n v="1"/>
    <n v="1"/>
    <n v="1"/>
    <n v="1"/>
    <n v="0.875"/>
    <m/>
    <n v="0"/>
    <n v="0"/>
    <n v="0.3"/>
    <n v="0.1"/>
    <n v="0.1"/>
    <n v="0.1"/>
    <n v="0.2"/>
    <s v="URSB"/>
    <s v="119 Uganda Registration Services Bureau"/>
    <s v="MoTIC, Parliament"/>
  </r>
  <r>
    <x v="5"/>
    <x v="5"/>
    <s v="043"/>
    <s v="Enabling Environment"/>
    <s v="0434"/>
    <s v="Strengthen the legal and institutional framework to support manufacturing"/>
    <s v="043402"/>
    <s v="Enforce the laws on counterfeits and poor-quality products "/>
    <m/>
    <m/>
    <s v="04340201"/>
    <s v="Anti-counterfeits and quality product laws enforced"/>
    <s v="Weights and Measures Amendment Act in place and enforced"/>
    <n v="0"/>
    <s v=" 0"/>
    <s v=" 1"/>
    <s v=" 0"/>
    <s v="0 "/>
    <s v="0 "/>
    <s v="UNBS"/>
    <s v="154 Uganda National Bureau of Standards"/>
    <s v="Amend the Weights and Measures regulations and rules."/>
    <n v="1"/>
    <n v="0"/>
    <n v="1"/>
    <n v="1"/>
    <n v="1"/>
    <n v="1"/>
    <n v="1"/>
    <n v="1"/>
    <n v="0.875"/>
    <m/>
    <n v="0"/>
    <n v="0"/>
    <n v="0.3"/>
    <n v="0"/>
    <n v="0"/>
    <n v="0"/>
    <n v="0"/>
    <s v="UNBS"/>
    <s v="154 Uganda National Bureau of Standards"/>
    <s v="MJCA, Parliamnet "/>
  </r>
  <r>
    <x v="5"/>
    <x v="5"/>
    <s v="043"/>
    <s v="Enabling Environment"/>
    <s v="0434"/>
    <s v="Strengthen the legal and institutional framework to support manufacturing"/>
    <s v="043402"/>
    <s v="Enforce the laws on counterfeits and poor-quality products "/>
    <m/>
    <m/>
    <s v="04340201"/>
    <s v="Anti-counterfeits and quality product laws enforced"/>
    <s v="Number of inspections undertaken"/>
    <n v="0"/>
    <n v="200000"/>
    <s v=" 210,000"/>
    <s v=" 220,000"/>
    <s v=" 223,000"/>
    <s v="250,000 "/>
    <s v="UNBS"/>
    <s v="154 Uganda National Bureau of Standards"/>
    <s v="Disseminate and Create awareness to popularize the law"/>
    <n v="1"/>
    <n v="0"/>
    <n v="1"/>
    <n v="1"/>
    <n v="1"/>
    <n v="1"/>
    <n v="1"/>
    <n v="1"/>
    <n v="0.875"/>
    <m/>
    <n v="0"/>
    <n v="0"/>
    <n v="0"/>
    <n v="0.1"/>
    <n v="0"/>
    <n v="0"/>
    <n v="0"/>
    <s v="MoTIC"/>
    <s v="015 Ministry of Trade, Industry and Cooperatives"/>
    <s v="MoTIC &amp; NG, MJCA"/>
  </r>
  <r>
    <x v="5"/>
    <x v="5"/>
    <s v="043"/>
    <s v="Enabling Environment"/>
    <s v="0434"/>
    <s v="Strengthen the legal and institutional framework to support manufacturing"/>
    <s v="043402"/>
    <s v="Enforce the laws on counterfeits and poor-quality products "/>
    <m/>
    <m/>
    <s v="04340201"/>
    <s v="Anti-counterfeits and quality product laws enforced"/>
    <s v=" FairTrade Remedies Bill developed and enacted"/>
    <m/>
    <n v="1"/>
    <n v="1"/>
    <n v="1"/>
    <n v="1"/>
    <m/>
    <s v="MoTIC"/>
    <s v="015 Ministry of Trade, Industry and Cooperatives"/>
    <s v="Develop and enact the FairTrade Remedies Bill"/>
    <n v="1"/>
    <n v="1"/>
    <n v="0"/>
    <n v="0"/>
    <n v="1"/>
    <n v="0"/>
    <n v="1"/>
    <n v="1"/>
    <n v="0.625"/>
    <m/>
    <n v="0"/>
    <n v="0.1"/>
    <n v="0.2"/>
    <n v="0.2"/>
    <n v="0.2"/>
    <n v="0"/>
    <n v="0.2"/>
    <s v="MoTIC"/>
    <s v="015 Ministry of Trade, Industry and Cooperatives"/>
    <s v="MJCA, Parliamnet "/>
  </r>
  <r>
    <x v="5"/>
    <x v="5"/>
    <s v="043"/>
    <s v="Enabling Environment"/>
    <s v="0434"/>
    <s v="Strengthen the legal and institutional framework to support manufacturing"/>
    <s v="043402"/>
    <s v="Enforce the laws on counterfeits and poor-quality products "/>
    <m/>
    <m/>
    <s v="04340201"/>
    <s v="Anti-counterfeits and quality product laws enforced"/>
    <s v="Number of trained and licensed manufacturers"/>
    <m/>
    <n v="10"/>
    <s v="10 "/>
    <s v="10 "/>
    <s v="10 "/>
    <s v="10 "/>
    <s v="UNBS"/>
    <s v="154 Uganda National Bureau of Standards"/>
    <s v="Train and license local manufacturers of weighing and measuring instruments (Mbale, Iganga, Kampala each at 15 m"/>
    <n v="1"/>
    <n v="0"/>
    <n v="0"/>
    <n v="1"/>
    <n v="1"/>
    <n v="1"/>
    <n v="1"/>
    <n v="0"/>
    <n v="0.625"/>
    <m/>
    <n v="0"/>
    <n v="0.2"/>
    <s v="0.2 "/>
    <s v="0.2 "/>
    <n v="0.2"/>
    <n v="0.2"/>
    <n v="0.4"/>
    <s v="UNBS"/>
    <s v="154 Uganda National Bureau of Standards"/>
    <s v="MoTIC"/>
  </r>
  <r>
    <x v="5"/>
    <x v="5"/>
    <s v="043"/>
    <s v="Enabling Environment"/>
    <s v="0434"/>
    <s v="Strengthen the legal and institutional framework to support manufacturing"/>
    <s v="043402"/>
    <s v="Enforce the laws on counterfeits and poor-quality products "/>
    <m/>
    <m/>
    <s v="04340201"/>
    <s v="Anti-counterfeits and quality product laws enforced"/>
    <s v="Proportion of agreed partnership expectations/ actions implemented as per MOUs/ written commitment"/>
    <s v="-"/>
    <n v="0.95"/>
    <n v="0.95"/>
    <n v="0.95"/>
    <n v="0.95"/>
    <n v="0.95"/>
    <s v="URA"/>
    <s v="141 Uganda Revenue Authority"/>
    <s v="Enforce existing laws in the sector of manufacturing (Trade Licensing Act, Industrial Licensing Act, Liquor Act, Enguli Act, Sugar Act, Hire Purchase Act, Sale of Goods Act and Supply of Services Act, etc)"/>
    <n v="1"/>
    <n v="1"/>
    <n v="1"/>
    <n v="1"/>
    <n v="1"/>
    <n v="1"/>
    <n v="1"/>
    <n v="1"/>
    <n v="1"/>
    <m/>
    <n v="0"/>
    <n v="0.5"/>
    <n v="0.5"/>
    <n v="0.5"/>
    <n v="0.5"/>
    <n v="0.5"/>
    <n v="1"/>
    <s v="MoTIC"/>
    <s v="015 Ministry of Trade, Industry and Cooperatives"/>
    <s v="UNBS, UPF"/>
  </r>
  <r>
    <x v="5"/>
    <x v="5"/>
    <s v="043"/>
    <s v="Enabling Environment"/>
    <s v="0434"/>
    <s v="Strengthen the legal and institutional framework to support manufacturing"/>
    <s v="043402"/>
    <s v="Enforce the laws on counterfeits and poor-quality products "/>
    <m/>
    <m/>
    <s v="04340201"/>
    <s v="Anti-counterfeits and quality product laws enforced"/>
    <s v="% of DRMS Initiatives implemented"/>
    <s v="-"/>
    <n v="0.85"/>
    <n v="0.85"/>
    <n v="0.85"/>
    <n v="0.85"/>
    <n v="0.85"/>
    <s v="URA"/>
    <s v="141 Uganda Revenue Authority"/>
    <s v="Conduct inspections on pre-packages, Market surveillance and enforcement on local and imported goods"/>
    <n v="1"/>
    <n v="1"/>
    <n v="1"/>
    <n v="1"/>
    <n v="1"/>
    <n v="1"/>
    <n v="1"/>
    <n v="1"/>
    <n v="1"/>
    <m/>
    <n v="0"/>
    <n v="0.2"/>
    <n v="0.2"/>
    <n v="0.2"/>
    <n v="0.2"/>
    <n v="0.2"/>
    <n v="0.4"/>
    <s v="UNBS"/>
    <s v="154 Uganda National Bureau of Standards"/>
    <s v="MoTIC, UPF, UR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Develop and implement regulations under the Trade Licensing Act on distributing manufactured products along the supply chain"/>
    <n v="1"/>
    <n v="1"/>
    <n v="1"/>
    <n v="1"/>
    <n v="1"/>
    <n v="1"/>
    <n v="1"/>
    <n v="1"/>
    <n v="1"/>
    <m/>
    <n v="0"/>
    <n v="0.1"/>
    <n v="0.1"/>
    <n v="0.1"/>
    <n v="0.2"/>
    <n v="0"/>
    <n v="0.2"/>
    <s v="MoTIC"/>
    <s v="015 Ministry of Trade, Industry and Cooperatives"/>
    <s v="UNBS, MJC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Finalise the enactment of the Competition Bill"/>
    <n v="1"/>
    <n v="1"/>
    <n v="1"/>
    <n v="1"/>
    <n v="1"/>
    <n v="1"/>
    <n v="1"/>
    <n v="1"/>
    <n v="1"/>
    <m/>
    <n v="0"/>
    <n v="0"/>
    <n v="0"/>
    <n v="0"/>
    <n v="0.2"/>
    <n v="0"/>
    <n v="0.2"/>
    <s v="MoTIC"/>
    <s v="015 Ministry of Trade, Industry and Cooperatives"/>
    <s v="MJCA, Parliamnet "/>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Finalise the Consumer Protection Bill"/>
    <n v="1"/>
    <n v="1"/>
    <n v="1"/>
    <n v="1"/>
    <n v="1"/>
    <n v="1"/>
    <n v="1"/>
    <n v="1"/>
    <n v="1"/>
    <m/>
    <n v="0"/>
    <n v="0"/>
    <n v="0"/>
    <n v="0"/>
    <n v="0.3"/>
    <n v="0"/>
    <n v="0.3"/>
    <s v="MoTIC"/>
    <s v="015 Ministry of Trade, Industry and Cooperatives"/>
    <s v="MJCA, Parliamnet "/>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Implement the BUBU Strategy"/>
    <n v="1"/>
    <n v="1"/>
    <n v="1"/>
    <n v="1"/>
    <n v="1"/>
    <n v="1"/>
    <n v="1"/>
    <n v="1"/>
    <n v="1"/>
    <m/>
    <n v="0"/>
    <n v="0.2"/>
    <n v="0.2"/>
    <n v="0.2"/>
    <n v="0.2"/>
    <n v="0"/>
    <n v="0.2"/>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Identify locally produced products and services"/>
    <n v="1"/>
    <n v="1"/>
    <n v="1"/>
    <n v="1"/>
    <n v="1"/>
    <n v="1"/>
    <n v="1"/>
    <n v="1"/>
    <n v="1"/>
    <m/>
    <n v="0"/>
    <n v="0"/>
    <n v="0"/>
    <n v="0"/>
    <n v="0.1"/>
    <n v="0"/>
    <n v="0.1"/>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Build capacity of local suppliers"/>
    <n v="1"/>
    <n v="1"/>
    <n v="1"/>
    <n v="1"/>
    <n v="1"/>
    <n v="1"/>
    <n v="1"/>
    <n v="1"/>
    <n v="1"/>
    <m/>
    <n v="0"/>
    <n v="0"/>
    <n v="0"/>
    <n v="0"/>
    <n v="0.3"/>
    <n v="0"/>
    <n v="0.3"/>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Formalise local business entities"/>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Improve reliability and sustainability of suppliers"/>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Implement mandatory application of preservation schemes as stipulated in PPDA law"/>
    <n v="1"/>
    <n v="1"/>
    <n v="1"/>
    <n v="1"/>
    <n v="1"/>
    <n v="1"/>
    <n v="1"/>
    <n v="1"/>
    <n v="1"/>
    <m/>
    <n v="0"/>
    <n v="0"/>
    <n v="0"/>
    <n v="0"/>
    <n v="0.1"/>
    <n v="0"/>
    <n v="0.1"/>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Ensure conformity and compliance to standards"/>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Brand and market Ugandan products"/>
    <n v="1"/>
    <n v="1"/>
    <n v="1"/>
    <n v="1"/>
    <n v="1"/>
    <n v="1"/>
    <n v="1"/>
    <n v="1"/>
    <n v="1"/>
    <m/>
    <n v="0"/>
    <n v="0"/>
    <n v="0"/>
    <n v="0"/>
    <n v="0"/>
    <n v="0"/>
    <n v="0"/>
    <s v="MoTIC"/>
    <s v="015 Ministry of Trade, Industry and Cooperatives"/>
    <s v="UIA, MEACA, UEPB, MoF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Ensure timely payments to suppliers"/>
    <n v="1"/>
    <n v="0"/>
    <n v="1"/>
    <n v="0"/>
    <n v="1"/>
    <n v="0"/>
    <n v="1"/>
    <n v="1"/>
    <n v="0.625"/>
    <m/>
    <n v="0"/>
    <n v="0"/>
    <n v="0"/>
    <n v="0"/>
    <n v="0"/>
    <n v="0"/>
    <n v="0"/>
    <s v="MoTIC"/>
    <s v="015 Ministry of Trade, Industry and Cooperatives"/>
    <s v="MoFPED"/>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Engage stockists to give local products shelf display"/>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Mainstream BUBU in plans and strategies"/>
    <n v="1"/>
    <n v="1"/>
    <n v="1"/>
    <n v="1"/>
    <n v="1"/>
    <n v="1"/>
    <n v="1"/>
    <n v="1"/>
    <n v="1"/>
    <m/>
    <n v="0"/>
    <n v="0"/>
    <n v="0"/>
    <n v="0"/>
    <n v="0.06"/>
    <n v="0"/>
    <n v="0.06"/>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Develop and implement the BUBU communication strategy"/>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Coordinate BUBU Strategy implementation among private sector players"/>
    <n v="1"/>
    <n v="1"/>
    <n v="1"/>
    <n v="1"/>
    <n v="1"/>
    <n v="1"/>
    <n v="1"/>
    <n v="1"/>
    <n v="1"/>
    <m/>
    <n v="0"/>
    <n v="0"/>
    <n v="0"/>
    <n v="0"/>
    <n v="0"/>
    <n v="0"/>
    <n v="0"/>
    <s v="MoTIC"/>
    <s v="015 Ministry of Trade, Industry and Cooperatives"/>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Strengthen inter institutional enforcement initiatives "/>
    <n v="1"/>
    <n v="1"/>
    <n v="1"/>
    <n v="1"/>
    <n v="1"/>
    <n v="1"/>
    <n v="1"/>
    <n v="1"/>
    <n v="1"/>
    <m/>
    <n v="0"/>
    <n v="0"/>
    <n v="0.01"/>
    <n v="0.01"/>
    <n v="0.01"/>
    <n v="0.01"/>
    <n v="0.02"/>
    <s v="URA"/>
    <s v="141 Uganda Revenue Authority"/>
    <s v="N/A"/>
  </r>
  <r>
    <x v="5"/>
    <x v="5"/>
    <s v="043"/>
    <s v="Enabling Environment"/>
    <s v="0434"/>
    <s v="Strengthen the legal and institutional framework to support manufacturing"/>
    <s v="043402"/>
    <s v="Enforce the laws on counterfeits and poor-quality products "/>
    <m/>
    <m/>
    <s v="04340201"/>
    <s v="Anti-counterfeits and quality product laws enforced"/>
    <m/>
    <m/>
    <m/>
    <m/>
    <m/>
    <m/>
    <m/>
    <m/>
    <e v="#N/A"/>
    <s v="Implement the Automatic Exchange of Information and   common reporting standards for tax purposes"/>
    <n v="1"/>
    <n v="1"/>
    <n v="0"/>
    <n v="1"/>
    <n v="1"/>
    <n v="0"/>
    <n v="0"/>
    <n v="1"/>
    <n v="0.625"/>
    <m/>
    <n v="0"/>
    <n v="0.2"/>
    <n v="0.2"/>
    <n v="0.2"/>
    <n v="0.2"/>
    <m/>
    <n v="0.2"/>
    <s v="URA"/>
    <s v="141 Uganda Revenue Authority"/>
    <s v="MoTIC, UNBS"/>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s v="Number of cost optimization studies to inform tax relief and cost management support to industries undertaken"/>
    <n v="0"/>
    <n v="1"/>
    <n v="1"/>
    <n v="1"/>
    <m/>
    <m/>
    <s v="MoTIC"/>
    <s v="015 Ministry of Trade, Industry and Cooperatives"/>
    <s v="Undertake cost optimization studies to inform tax relief and cost management support to industries in priority subsectors"/>
    <n v="1"/>
    <n v="1"/>
    <n v="1"/>
    <n v="1"/>
    <n v="1"/>
    <n v="1"/>
    <n v="1"/>
    <n v="1"/>
    <n v="1"/>
    <m/>
    <n v="0"/>
    <n v="0.3"/>
    <n v="0.3"/>
    <n v="0.3"/>
    <n v="0"/>
    <n v="0"/>
    <n v="0"/>
    <s v="MoTIC"/>
    <s v="015 Ministry of Trade, Industry and Cooperatives"/>
    <s v="MoFPED"/>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s v="Uganda’s participation in the review of CET to incentivize backward integration in industrial value chains facilitated"/>
    <m/>
    <m/>
    <m/>
    <m/>
    <m/>
    <m/>
    <m/>
    <e v="#N/A"/>
    <s v="Facilitate Uganda’s participation in the review of CET to incentivize backward integration in industrial value chains"/>
    <n v="1"/>
    <n v="1"/>
    <n v="1"/>
    <n v="1"/>
    <n v="1"/>
    <n v="1"/>
    <n v="1"/>
    <n v="1"/>
    <n v="1"/>
    <m/>
    <n v="0"/>
    <n v="0.3"/>
    <n v="0.3"/>
    <n v="0.3"/>
    <n v="0.3"/>
    <n v="0.3"/>
    <n v="0.6"/>
    <s v="MoFPED"/>
    <s v="008 Ministry of Finance, Planning &amp; Economic Dev."/>
    <s v="MoTIC, MoFA, MEACA "/>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m/>
    <m/>
    <m/>
    <m/>
    <m/>
    <m/>
    <m/>
    <m/>
    <e v="#N/A"/>
    <s v="Review the domestic tax and non-tax regime effect on attracting FDI/DDI, promoting investments into manufacturing and off take of manufactured products"/>
    <n v="1"/>
    <n v="1"/>
    <n v="1"/>
    <n v="1"/>
    <n v="1"/>
    <n v="1"/>
    <n v="1"/>
    <n v="1"/>
    <n v="1"/>
    <m/>
    <n v="0"/>
    <n v="0.2"/>
    <n v="0.2"/>
    <n v="0"/>
    <n v="0.2"/>
    <n v="0.2"/>
    <n v="0.4"/>
    <s v="MoFPED"/>
    <s v="008 Ministry of Finance, Planning &amp; Economic Dev."/>
    <s v="Parliamnet, MoTIC"/>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m/>
    <m/>
    <m/>
    <m/>
    <m/>
    <m/>
    <m/>
    <m/>
    <e v="#N/A"/>
    <s v="Provide cost management support to upstream industries in the value chains of steel, pharmaceuticals, textiles, petrochemicals and auto spare parts,"/>
    <n v="1"/>
    <n v="1"/>
    <n v="1"/>
    <n v="1"/>
    <n v="1"/>
    <n v="1"/>
    <n v="1"/>
    <n v="1"/>
    <n v="1"/>
    <m/>
    <n v="0"/>
    <n v="0"/>
    <n v="0"/>
    <n v="0"/>
    <n v="1"/>
    <n v="0"/>
    <n v="1"/>
    <s v="MoTIC"/>
    <s v="015 Ministry of Trade, Industry and Cooperatives"/>
    <s v="N/A"/>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s v="No of regulations for the metal scrap industry to increase availability of raw materials for local industries established and implemented"/>
    <m/>
    <m/>
    <s v=" 1"/>
    <n v="1"/>
    <n v="1"/>
    <n v="1"/>
    <s v="MoTIC"/>
    <s v="015 Ministry of Trade, Industry and Cooperatives"/>
    <s v="Establish and implement regulations for the metal scrap industry to increase availability of raw materials for local industries "/>
    <n v="1"/>
    <n v="1"/>
    <n v="1"/>
    <n v="1"/>
    <n v="1"/>
    <n v="1"/>
    <n v="1"/>
    <n v="1"/>
    <n v="1"/>
    <n v="1"/>
    <n v="0"/>
    <n v="0"/>
    <n v="0.1"/>
    <n v="0.1"/>
    <n v="0.1"/>
    <n v="0.1"/>
    <n v="0.2"/>
    <s v="MoTIC"/>
    <s v="015 Ministry of Trade, Industry and Cooperatives"/>
    <s v="MoIA, UPF"/>
  </r>
  <r>
    <x v="5"/>
    <x v="5"/>
    <s v="043"/>
    <s v="Enabling Environment"/>
    <s v="0434"/>
    <s v="Strengthen the legal and institutional framework to support manufacturing"/>
    <s v="043403"/>
    <s v="Change the tax regime to attract more investors in manufacturing; upstream parts of the value chains"/>
    <m/>
    <m/>
    <s v="04340301"/>
    <s v="Tax Regime reviewed "/>
    <s v="Proportion of LSBA process improvement interventions executed (%)"/>
    <s v="-"/>
    <n v="100"/>
    <n v="100"/>
    <n v="100"/>
    <n v="100"/>
    <n v="100"/>
    <s v="URA"/>
    <s v="141 Uganda Revenue Authority"/>
    <s v="Implement 12 technical support engagements (engagements with departments) – Debt Collection Unit (DCU), Policy reviews, tax amendment proposals, legal provisions in customs and domestic laws."/>
    <n v="1"/>
    <n v="1"/>
    <n v="0"/>
    <n v="1"/>
    <n v="1"/>
    <n v="1"/>
    <n v="0"/>
    <n v="1"/>
    <n v="0.75"/>
    <m/>
    <n v="0"/>
    <n v="0"/>
    <n v="0.03"/>
    <n v="0.03"/>
    <n v="0.03"/>
    <n v="0.03"/>
    <n v="0.06"/>
    <s v="URA"/>
    <s v="141 Uganda Revenue Authority"/>
    <s v="MoTIC, MoFPED"/>
  </r>
  <r>
    <x v="5"/>
    <x v="5"/>
    <s v="043"/>
    <s v="Enabling Environment"/>
    <s v="0434"/>
    <s v="Strengthen the legal and institutional framework to support manufacturing"/>
    <s v="043404"/>
    <s v="Formulate, implement and enforce standards, laws, and regulations to facilitate adoption to green manufacturing"/>
    <m/>
    <m/>
    <s v="04340401"/>
    <s v="Industrial Licensing Act amended and enforced"/>
    <s v="Industrial licensing Amendment Act and relevant regulations enforced"/>
    <n v="0"/>
    <n v="0"/>
    <n v="0.5"/>
    <n v="0.5"/>
    <s v="-"/>
    <s v="-"/>
    <s v="MoTIC"/>
    <s v="015 Ministry of Trade, Industry and Cooperatives"/>
    <s v="Amend and enforce the industrial licensing Act"/>
    <n v="1"/>
    <n v="1"/>
    <n v="1"/>
    <n v="1"/>
    <n v="1"/>
    <n v="1"/>
    <n v="0"/>
    <n v="1"/>
    <n v="0.875"/>
    <m/>
    <n v="0"/>
    <n v="1"/>
    <n v="1"/>
    <n v="0"/>
    <n v="0"/>
    <n v="0"/>
    <n v="0"/>
    <s v="MoTIC"/>
    <s v="015 Ministry of Trade, Industry and Cooperatives"/>
    <s v="MJCA, Parliamnet "/>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s v="Number of green manufacturing technologies adopted"/>
    <n v="0"/>
    <m/>
    <n v="5"/>
    <n v="5"/>
    <n v="5"/>
    <n v="5"/>
    <s v="MoTIC"/>
    <s v="015 Ministry of Trade, Industry and Cooperatives"/>
    <s v="Re-tool, design and capacity building through eco-sensitization programme for existing industrial parks, including compliance with UNBS Act, NEMA Act, Investment Code Act, etc."/>
    <n v="1"/>
    <n v="1"/>
    <n v="0"/>
    <n v="0"/>
    <n v="1"/>
    <n v="0"/>
    <n v="1"/>
    <n v="1"/>
    <n v="0.625"/>
    <m/>
    <n v="0"/>
    <n v="0"/>
    <n v="0.3"/>
    <n v="0.3"/>
    <n v="0.3"/>
    <m/>
    <n v="0.3"/>
    <s v="MoTIC"/>
    <s v="015 Ministry of Trade, Industry and Cooperatives"/>
    <s v="UNBS, UIA, NEMA"/>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s v="Number of regulations and guidelines developed and enforced"/>
    <n v="0"/>
    <m/>
    <s v=" 2"/>
    <n v="2"/>
    <s v=" 2"/>
    <n v="2"/>
    <s v="MoTIC"/>
    <s v="015 Ministry of Trade, Industry and Cooperatives"/>
    <s v="Develop and implement Regulations and guidelines to facilitate green manufacturing e.g phasing out importation of obsolete technology, utilization and recycling of waste among others"/>
    <n v="1"/>
    <n v="1"/>
    <n v="0"/>
    <n v="1"/>
    <n v="1"/>
    <n v="1"/>
    <n v="1"/>
    <n v="1"/>
    <n v="0.875"/>
    <m/>
    <n v="0"/>
    <n v="0"/>
    <n v="0.2"/>
    <n v="0.2"/>
    <n v="0.2"/>
    <n v="0.2"/>
    <n v="0.4"/>
    <s v="MoTIC"/>
    <s v="015 Ministry of Trade, Industry and Cooperatives"/>
    <s v="NEMA, UPF"/>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s v="Number of Industrialists supported to adopt and comply with international (ISO 14000) and national environmental management requirements/standards"/>
    <n v="0"/>
    <n v="200"/>
    <s v=" 200"/>
    <s v=" 200"/>
    <s v=" 200"/>
    <s v=" 200"/>
    <s v="MoTIC"/>
    <s v="015 Ministry of Trade, Industry and Cooperatives"/>
    <s v="Formulate and implement laws on competition, consumer protection trade remedies etc. to protect the market from unfair practices "/>
    <n v="1"/>
    <n v="1"/>
    <n v="1"/>
    <n v="1"/>
    <n v="1"/>
    <n v="1"/>
    <n v="1"/>
    <n v="1"/>
    <n v="1"/>
    <m/>
    <n v="0"/>
    <n v="0"/>
    <n v="0"/>
    <n v="0"/>
    <n v="0"/>
    <n v="0"/>
    <n v="0"/>
    <s v="MoTIC"/>
    <s v="015 Ministry of Trade, Industry and Cooperatives"/>
    <s v="MJCA, Parliamnet "/>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m/>
    <m/>
    <m/>
    <m/>
    <m/>
    <m/>
    <m/>
    <m/>
    <e v="#N/A"/>
    <s v="Amend the Tobacco production and Marketing Act to ensure supply of good quality tobacco, enhanced value addition and protection of farmers "/>
    <n v="1"/>
    <n v="1"/>
    <n v="1"/>
    <n v="0"/>
    <n v="1"/>
    <n v="1"/>
    <n v="1"/>
    <n v="1"/>
    <n v="0.875"/>
    <m/>
    <n v="0"/>
    <n v="0.2"/>
    <n v="0.2"/>
    <n v="0"/>
    <n v="0"/>
    <n v="0"/>
    <n v="0"/>
    <s v="MoTIC"/>
    <s v="015 Ministry of Trade, Industry and Cooperatives"/>
    <s v="MJCA, Parliamnet "/>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m/>
    <m/>
    <m/>
    <m/>
    <m/>
    <m/>
    <m/>
    <m/>
    <e v="#N/A"/>
    <s v="Review the Hire Purchase Act Regulations 2012 to promote off take of locally manufactured products"/>
    <n v="1"/>
    <n v="1"/>
    <n v="1"/>
    <n v="1"/>
    <n v="1"/>
    <n v="1"/>
    <n v="0"/>
    <n v="1"/>
    <n v="0.875"/>
    <m/>
    <n v="0"/>
    <n v="0"/>
    <n v="0.3"/>
    <n v="0"/>
    <n v="0"/>
    <n v="0"/>
    <n v="0"/>
    <s v="MoTIC"/>
    <s v="015 Ministry of Trade, Industry and Cooperatives"/>
    <s v="MJCA, Parliamnet "/>
  </r>
  <r>
    <x v="5"/>
    <x v="5"/>
    <s v="043"/>
    <s v="Enabling Environment"/>
    <s v="0434"/>
    <s v="Strengthen the legal and institutional framework to support manufacturing"/>
    <s v="043404"/>
    <s v="Formulate, implement and enforce standards, laws, and regulations to facilitate adoption to green manufacturing"/>
    <m/>
    <m/>
    <s v="04340402"/>
    <s v="Green Manufacturing Practices Adopted"/>
    <m/>
    <m/>
    <m/>
    <m/>
    <m/>
    <m/>
    <m/>
    <m/>
    <e v="#N/A"/>
    <s v="Provide technical guidance to industrialists to adopt and comply with international (ISO 14000) and national environmental management requirements/standards"/>
    <n v="1"/>
    <n v="0"/>
    <n v="0"/>
    <n v="1"/>
    <n v="1"/>
    <n v="1"/>
    <n v="1"/>
    <n v="1"/>
    <n v="0.75"/>
    <m/>
    <n v="0"/>
    <n v="0"/>
    <n v="1"/>
    <n v="1"/>
    <n v="1"/>
    <n v="1"/>
    <n v="2"/>
    <s v="MoTIC"/>
    <s v="015 Ministry of Trade, Industry and Cooperatives"/>
    <s v="UNBS, NEMA"/>
  </r>
  <r>
    <x v="5"/>
    <x v="5"/>
    <s v="043"/>
    <s v="Enabling Environment"/>
    <s v="0434"/>
    <s v="Strengthen the legal and institutional framework to support manufacturing"/>
    <s v="043404"/>
    <s v="Formulate, implement and enforce standards, laws, and regulations to facilitate adoption to green manufacturing"/>
    <m/>
    <m/>
    <s v="04340403"/>
    <s v="Environmental assessment and compliance capacity developed"/>
    <s v="Number of MTIC staff trained"/>
    <n v="0"/>
    <n v="5"/>
    <n v="10"/>
    <n v="10"/>
    <n v="10"/>
    <n v="10"/>
    <s v="MoTIC"/>
    <s v="015 Ministry of Trade, Industry and Cooperatives"/>
    <s v="Train and equip staff to monitor and assess environmental standards compliance of industries in partnership with NEMA and other authorities"/>
    <n v="0"/>
    <n v="0"/>
    <n v="1"/>
    <n v="1"/>
    <n v="1"/>
    <n v="1"/>
    <n v="1"/>
    <n v="1"/>
    <n v="0.75"/>
    <m/>
    <n v="0"/>
    <n v="0.1"/>
    <n v="0.2"/>
    <n v="0.2"/>
    <n v="0.2"/>
    <n v="0.2"/>
    <n v="0.4"/>
    <s v="MoTIC"/>
    <s v="015 Ministry of Trade, Industry and Cooperatives"/>
    <s v="UNBS, NEMA"/>
  </r>
  <r>
    <x v="5"/>
    <x v="5"/>
    <s v="043"/>
    <s v="Enabling Environment"/>
    <s v="0434"/>
    <s v="Strengthen the legal and institutional framework to support manufacturing"/>
    <s v="043404"/>
    <s v="Formulate, implement and enforce standards, laws, and regulations to facilitate adoption to green manufacturing"/>
    <m/>
    <m/>
    <s v="04340403"/>
    <s v="Environmental assessment and compliance capacity developed"/>
    <s v="Baseline study on the status of industrial waste management in Uganda undertaken"/>
    <n v="0"/>
    <m/>
    <n v="1"/>
    <n v="0"/>
    <n v="0"/>
    <n v="0"/>
    <s v="MoTIC"/>
    <s v="015 Ministry of Trade, Industry and Cooperatives"/>
    <s v="Undertake a baseline study on the status of industrial waste management in Uganda to inform interventions"/>
    <n v="1"/>
    <n v="0"/>
    <n v="1"/>
    <n v="1"/>
    <n v="1"/>
    <n v="1"/>
    <n v="1"/>
    <n v="1"/>
    <n v="0.875"/>
    <m/>
    <n v="0"/>
    <n v="0"/>
    <n v="1"/>
    <n v="0"/>
    <n v="0"/>
    <n v="0"/>
    <n v="0"/>
    <s v="MoTIC"/>
    <s v="015 Ministry of Trade, Industry and Cooperatives"/>
    <s v="NEMA"/>
  </r>
  <r>
    <x v="6"/>
    <x v="6"/>
    <s v="02X"/>
    <s v="Government Commitments"/>
    <s v="02X"/>
    <s v="Provision for Government Commitments"/>
    <s v="02X"/>
    <s v="Government Commitments"/>
    <m/>
    <m/>
    <s v="02X"/>
    <s v="Government Commitments"/>
    <s v="-"/>
    <s v="-"/>
    <s v="-"/>
    <s v="-"/>
    <s v="-"/>
    <s v="-"/>
    <s v="-"/>
    <s v="-"/>
    <s v="-"/>
    <s v="Wage"/>
    <m/>
    <m/>
    <m/>
    <m/>
    <m/>
    <m/>
    <m/>
    <m/>
    <m/>
    <m/>
    <m/>
    <m/>
    <m/>
    <m/>
    <n v="0"/>
    <n v="0"/>
    <n v="0"/>
    <m/>
    <m/>
    <m/>
  </r>
  <r>
    <x v="6"/>
    <x v="6"/>
    <s v="02X"/>
    <s v="Government Commitments"/>
    <s v="02X"/>
    <s v="Provision for Government Commitments"/>
    <s v="02X"/>
    <s v="Government Commitments"/>
    <m/>
    <m/>
    <s v="02X"/>
    <s v="Government Commitments"/>
    <s v="-"/>
    <s v="-"/>
    <s v="-"/>
    <s v="-"/>
    <s v="-"/>
    <s v="-"/>
    <s v="-"/>
    <s v="-"/>
    <s v="-"/>
    <s v="Non-Wage (Statutory)"/>
    <m/>
    <m/>
    <m/>
    <m/>
    <m/>
    <m/>
    <m/>
    <m/>
    <m/>
    <m/>
    <m/>
    <m/>
    <m/>
    <m/>
    <n v="0"/>
    <n v="0"/>
    <n v="0"/>
    <m/>
    <m/>
    <m/>
  </r>
  <r>
    <x v="6"/>
    <x v="6"/>
    <s v="02X"/>
    <s v="Government Commitments"/>
    <s v="02X"/>
    <s v="Provision for Government Commitments"/>
    <s v="02X"/>
    <s v="Government Commitments"/>
    <m/>
    <m/>
    <s v="02X"/>
    <s v="Government Commitments"/>
    <s v="-"/>
    <s v="-"/>
    <s v="-"/>
    <s v="-"/>
    <s v="-"/>
    <s v="-"/>
    <s v="-"/>
    <s v="-"/>
    <s v="-"/>
    <s v="Multi-Year Commitments"/>
    <m/>
    <m/>
    <m/>
    <m/>
    <m/>
    <m/>
    <m/>
    <m/>
    <m/>
    <m/>
    <m/>
    <m/>
    <m/>
    <m/>
    <n v="22.45"/>
    <n v="22.45"/>
    <n v="44.9"/>
    <m/>
    <m/>
    <m/>
  </r>
  <r>
    <x v="6"/>
    <x v="6"/>
    <s v="021"/>
    <s v="Mineral exploration, development and value addition"/>
    <s v="0211"/>
    <s v="Explore and quantify priority mineral and geothermal resources across the country"/>
    <s v="021101"/>
    <s v="Establish and equip a dedicated exploration unit, with access to functional laboratories"/>
    <m/>
    <m/>
    <s v="02110101"/>
    <s v="Functional exploration unit"/>
    <s v="Functional explorational unit"/>
    <n v="0"/>
    <n v="0"/>
    <n v="0"/>
    <n v="0"/>
    <n v="1"/>
    <s v="-"/>
    <s v="MEMD"/>
    <s v="017 Ministry of Energy and Mineral Development"/>
    <s v="Institutional rearrangement through restructuring"/>
    <n v="1"/>
    <n v="0"/>
    <n v="0"/>
    <n v="1"/>
    <n v="1"/>
    <n v="0"/>
    <n v="0"/>
    <n v="1"/>
    <n v="0.5"/>
    <m/>
    <n v="0"/>
    <n v="0.1"/>
    <n v="0.1"/>
    <n v="0.1"/>
    <n v="0"/>
    <n v="0"/>
    <n v="0"/>
    <s v="MEMD"/>
    <s v="017 Ministry of Energy and Mineral Development"/>
    <s v="DGSM, MPS"/>
  </r>
  <r>
    <x v="6"/>
    <x v="6"/>
    <s v="021"/>
    <s v="Mineral exploration, development and value addition"/>
    <s v="0211"/>
    <s v="Explore and quantify priority mineral and geothermal resources across the country"/>
    <s v="021101"/>
    <s v="Establish and equip a dedicated exploration unit, with access to functional laboratories"/>
    <m/>
    <m/>
    <s v="02110101"/>
    <s v="Functional exploration unit"/>
    <s v="Functional explorational unit"/>
    <m/>
    <m/>
    <m/>
    <m/>
    <m/>
    <m/>
    <s v="DGSM"/>
    <s v="017 Ministry of Energy and Mineral Development"/>
    <s v="Institutional rearrangement through restructuring"/>
    <n v="1"/>
    <n v="0"/>
    <n v="0"/>
    <n v="1"/>
    <n v="1"/>
    <n v="0"/>
    <n v="0"/>
    <n v="1"/>
    <n v="0.5"/>
    <m/>
    <n v="0"/>
    <n v="0.1"/>
    <n v="0.1"/>
    <n v="0.1"/>
    <n v="0"/>
    <n v="0"/>
    <n v="0"/>
    <s v="MoPS"/>
    <s v="005 Ministry of Public Service"/>
    <s v="DGSM, MEMD"/>
  </r>
  <r>
    <x v="6"/>
    <x v="6"/>
    <s v="021"/>
    <s v="Mineral exploration, development and value addition"/>
    <s v="0211"/>
    <s v="Explore and quantify priority mineral and geothermal resources across the country"/>
    <s v="021101"/>
    <s v="Establish and equip a dedicated exploration unit, with access to functional laboratories"/>
    <m/>
    <m/>
    <s v="02110101"/>
    <s v="Functional exploration unit"/>
    <s v="Functional explorational unit"/>
    <m/>
    <m/>
    <m/>
    <m/>
    <m/>
    <m/>
    <s v="MEMD"/>
    <s v="017 Ministry of Energy and Mineral Development"/>
    <s v="Establishment and staffing of functional operation units with consideration to gender and equity issues"/>
    <n v="1"/>
    <n v="0"/>
    <n v="0"/>
    <n v="1"/>
    <n v="1"/>
    <n v="0"/>
    <n v="0"/>
    <n v="1"/>
    <n v="0.5"/>
    <n v="1"/>
    <n v="0"/>
    <s v="-"/>
    <n v="1.5"/>
    <n v="1.5"/>
    <n v="2"/>
    <n v="0"/>
    <n v="2"/>
    <s v="MEMD"/>
    <s v="017 Ministry of Energy and Mineral Development"/>
    <s v="DGSM, MPS, MoFPED"/>
  </r>
  <r>
    <x v="6"/>
    <x v="6"/>
    <s v="021"/>
    <s v="Mineral exploration, development and value addition"/>
    <s v="0211"/>
    <s v="Explore and quantify priority mineral and geothermal resources across the country"/>
    <s v="021101"/>
    <s v="Establish and equip a dedicated exploration unit, with access to functional laboratories"/>
    <m/>
    <m/>
    <s v="02110101"/>
    <s v="Functional exploration unit"/>
    <s v="Functional explorational unit"/>
    <m/>
    <m/>
    <m/>
    <m/>
    <m/>
    <m/>
    <s v="DGSM"/>
    <s v="017 Ministry of Energy and Mineral Development"/>
    <s v="Equip the exploration unit"/>
    <n v="1"/>
    <n v="0"/>
    <n v="0"/>
    <n v="1"/>
    <n v="1"/>
    <n v="0"/>
    <n v="0"/>
    <n v="1"/>
    <n v="0.5"/>
    <n v="1"/>
    <n v="0"/>
    <n v="33"/>
    <n v="23"/>
    <n v="0"/>
    <n v="0"/>
    <n v="0"/>
    <n v="0"/>
    <s v="MEMD (DGSM)"/>
    <s v="017 Ministry of Energy and Mineral Development"/>
    <s v="MEMD, MoFPED "/>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1"/>
    <s v="Mineral reserves established"/>
    <s v="Quantity of known mineral reserves"/>
    <n v="0.6"/>
    <n v="1.5"/>
    <n v="2"/>
    <n v="2.5"/>
    <n v="3.5"/>
    <n v="3.5"/>
    <s v="DGSM"/>
    <s v="017 Ministry of Energy and Mineral Development"/>
    <s v="Complete aerial geophysical survey of Karamoja"/>
    <n v="1"/>
    <n v="0"/>
    <n v="0"/>
    <n v="1"/>
    <n v="1"/>
    <n v="0"/>
    <n v="0"/>
    <n v="1"/>
    <n v="0.5"/>
    <n v="1"/>
    <n v="0"/>
    <n v="47.5"/>
    <n v="30"/>
    <n v="22.5"/>
    <n v="0"/>
    <n v="0"/>
    <n v="0"/>
    <s v="MEMD (DGSM)"/>
    <s v="017 Ministry of Energy and Mineral Development"/>
    <s v="MEMD, MLG "/>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1"/>
    <s v="Mineral reserves established"/>
    <m/>
    <m/>
    <m/>
    <m/>
    <m/>
    <m/>
    <m/>
    <s v="DGSM"/>
    <s v="017 Ministry of Energy and Mineral Development"/>
    <s v="Evaluation of mineral reserves "/>
    <n v="1"/>
    <n v="0"/>
    <n v="0"/>
    <n v="1"/>
    <n v="1"/>
    <n v="0"/>
    <n v="0"/>
    <n v="1"/>
    <n v="0.5"/>
    <n v="1"/>
    <n v="0"/>
    <n v="1"/>
    <n v="2"/>
    <n v="2"/>
    <n v="40"/>
    <n v="15"/>
    <n v="55"/>
    <s v="MEMD (DGSM)"/>
    <s v="017 Ministry of Energy and Mineral Development"/>
    <s v="MEMD, MLG "/>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1"/>
    <s v="Mineral reserves established"/>
    <m/>
    <m/>
    <m/>
    <m/>
    <m/>
    <m/>
    <m/>
    <s v="DGSM"/>
    <s v="017 Ministry of Energy and Mineral Development"/>
    <s v="Evaluation of geothermal prospects"/>
    <n v="1"/>
    <n v="0"/>
    <n v="0"/>
    <n v="1"/>
    <n v="1"/>
    <n v="0"/>
    <n v="0"/>
    <n v="1"/>
    <n v="0.5"/>
    <m/>
    <n v="0"/>
    <n v="33.099999999999994"/>
    <n v="25.6"/>
    <n v="25.6"/>
    <n v="25.6"/>
    <n v="15"/>
    <n v="40.6"/>
    <s v="MEMD (DGSM)"/>
    <s v="017 Ministry of Energy and Mineral Development"/>
    <s v="MEMD, MLG"/>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2"/>
    <s v="Geological and minerals information system developed (geothermal, geological surveys)"/>
    <s v="Information system in place"/>
    <n v="0"/>
    <s v="-"/>
    <n v="1"/>
    <s v="-"/>
    <s v="-"/>
    <s v="-"/>
    <s v="DGSM"/>
    <s v="017 Ministry of Energy and Mineral Development"/>
    <s v="Undertake regional and national geochemical surveys"/>
    <n v="1"/>
    <n v="0"/>
    <n v="0"/>
    <n v="1"/>
    <n v="1"/>
    <n v="0"/>
    <n v="0"/>
    <n v="1"/>
    <n v="0.5"/>
    <m/>
    <n v="0"/>
    <n v="15"/>
    <n v="15"/>
    <n v="15"/>
    <n v="15"/>
    <n v="13.5"/>
    <n v="28.5"/>
    <s v="MEMD (DGSM)"/>
    <s v="017 Ministry of Energy and Mineral Development"/>
    <s v="MEMD, MLG"/>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2"/>
    <s v="Geological and minerals information system developed (geothermal, geological surveys)"/>
    <m/>
    <m/>
    <m/>
    <m/>
    <m/>
    <m/>
    <m/>
    <s v="DGSM"/>
    <s v="017 Ministry of Energy and Mineral Development"/>
    <s v="Upgrade and maintain a comprehensive geological and mineral information system"/>
    <n v="1"/>
    <n v="0"/>
    <n v="0"/>
    <n v="1"/>
    <n v="1"/>
    <n v="1"/>
    <n v="1"/>
    <n v="1"/>
    <n v="0.75"/>
    <m/>
    <n v="0"/>
    <n v="1"/>
    <n v="2"/>
    <n v="1"/>
    <n v="1"/>
    <n v="1"/>
    <n v="2"/>
    <s v="MEMD (DGSM)"/>
    <s v="017 Ministry of Energy and Mineral Development"/>
    <s v="MEMD, MICT"/>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2"/>
    <s v="Geological and minerals information system developed (geothermal, geological surveys)"/>
    <m/>
    <m/>
    <m/>
    <m/>
    <m/>
    <m/>
    <m/>
    <s v="DGSM"/>
    <s v="017 Ministry of Energy and Mineral Development"/>
    <s v="Upgrade and maintain a comprehensive geological and mineral information system"/>
    <n v="1"/>
    <n v="0"/>
    <n v="0"/>
    <n v="1"/>
    <n v="1"/>
    <n v="1"/>
    <n v="1"/>
    <n v="1"/>
    <n v="0.75"/>
    <m/>
    <n v="0"/>
    <s v="-"/>
    <n v="0.2"/>
    <n v="0.1"/>
    <n v="0.1"/>
    <n v="0.1"/>
    <n v="0.2"/>
    <s v="NITA-U"/>
    <s v="126 National Information Technology Authority"/>
    <s v="DGSM, MEMD, ICT"/>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2"/>
    <s v="Geological and minerals information system developed (geothermal, geological surveys)"/>
    <m/>
    <m/>
    <m/>
    <m/>
    <m/>
    <m/>
    <m/>
    <s v="DGSM"/>
    <s v="017 Ministry of Energy and Mineral Development"/>
    <s v="Upgrade and maintain a comprehensive geothermal information system"/>
    <n v="1"/>
    <n v="0"/>
    <n v="0"/>
    <n v="1"/>
    <n v="1"/>
    <n v="1"/>
    <n v="1"/>
    <n v="1"/>
    <n v="0.75"/>
    <m/>
    <n v="0"/>
    <n v="1"/>
    <n v="0.2"/>
    <n v="0.4"/>
    <n v="0.3"/>
    <n v="0.3"/>
    <n v="0.6"/>
    <s v="MEMD (DGSM)"/>
    <s v="017 Ministry of Energy and Mineral Development"/>
    <s v="MEMD, ICT"/>
  </r>
  <r>
    <x v="6"/>
    <x v="6"/>
    <s v="021"/>
    <s v="Mineral exploration, development and value addition"/>
    <s v="0211"/>
    <s v="Explore and quantify priority mineral and geothermal resources across the country"/>
    <s v="021102"/>
    <s v="Undertake a detailed exploration and quantification of minerals and geothermal resources in the country"/>
    <m/>
    <m/>
    <s v="02110202"/>
    <s v="Geological and minerals information system developed (geothermal, geological surveys)"/>
    <m/>
    <m/>
    <m/>
    <m/>
    <m/>
    <m/>
    <m/>
    <s v="DGSM"/>
    <s v="017 Ministry of Energy and Mineral Development"/>
    <s v="Upgrade and maintain a comprehensive geothermal information system"/>
    <n v="1"/>
    <n v="0"/>
    <n v="0"/>
    <n v="1"/>
    <n v="1"/>
    <n v="1"/>
    <n v="1"/>
    <n v="1"/>
    <n v="0.75"/>
    <m/>
    <n v="0"/>
    <s v="-"/>
    <n v="0.2"/>
    <n v="0.1"/>
    <n v="0.1"/>
    <n v="0.1"/>
    <n v="0.2"/>
    <s v="NITA-U"/>
    <s v="126 National Information Technology Authority"/>
    <s v="MEMD, DGSM, ICT"/>
  </r>
  <r>
    <x v="6"/>
    <x v="6"/>
    <s v="021"/>
    <s v="Mineral exploration, development and value addition"/>
    <s v="0211"/>
    <s v="Explore and quantify priority mineral and geothermal resources across the country"/>
    <s v="021103"/>
    <s v="Establish a mineral classification system"/>
    <m/>
    <m/>
    <s v="02110301"/>
    <s v="Mineral classification system established"/>
    <s v="Number of mineral deposits classified;"/>
    <n v="0.05"/>
    <n v="0.5"/>
    <n v="0.5"/>
    <n v="0.8"/>
    <n v="1.5"/>
    <n v="1.5"/>
    <s v="DGSM"/>
    <s v="017 Ministry of Energy and Mineral Development"/>
    <s v="Domesticate mineral classification system"/>
    <n v="1"/>
    <n v="0"/>
    <n v="0"/>
    <n v="0"/>
    <n v="0"/>
    <n v="0"/>
    <n v="0"/>
    <n v="1"/>
    <n v="0.25"/>
    <m/>
    <n v="0"/>
    <n v="0"/>
    <n v="0.5"/>
    <n v="0.8"/>
    <m/>
    <m/>
    <n v="0"/>
    <s v="MEMD (DGSM)"/>
    <s v="017 Ministry of Energy and Mineral Development"/>
    <s v="MEMD, MoFA, OAG"/>
  </r>
  <r>
    <x v="6"/>
    <x v="6"/>
    <s v="021"/>
    <s v="Mineral exploration, development and value addition"/>
    <s v="0211"/>
    <s v="Explore and quantify priority mineral and geothermal resources across the country"/>
    <s v="021103"/>
    <s v="Establish a mineral classification system"/>
    <m/>
    <m/>
    <s v="02110301"/>
    <s v="Mineral classification system established"/>
    <m/>
    <m/>
    <m/>
    <m/>
    <m/>
    <m/>
    <m/>
    <s v="DGSM"/>
    <s v="017 Ministry of Energy and Mineral Development"/>
    <s v="Domesticate mineral classification system"/>
    <n v="1"/>
    <n v="0"/>
    <n v="0"/>
    <n v="0"/>
    <n v="0"/>
    <n v="0"/>
    <n v="0"/>
    <n v="1"/>
    <n v="0.25"/>
    <m/>
    <n v="0"/>
    <s v="-"/>
    <n v="0.2"/>
    <n v="0.2"/>
    <m/>
    <m/>
    <n v="0"/>
    <s v="MoFA"/>
    <s v="006 Ministry of Foreign Affairs"/>
    <s v="MEMD, DGSM, OAG"/>
  </r>
  <r>
    <x v="6"/>
    <x v="6"/>
    <s v="021"/>
    <s v="Mineral exploration, development and value addition"/>
    <s v="0211"/>
    <s v="Explore and quantify priority mineral and geothermal resources across the country"/>
    <s v="021103"/>
    <s v="Establish a mineral classification system"/>
    <m/>
    <m/>
    <s v="02110301"/>
    <s v="Mineral classification system established"/>
    <m/>
    <m/>
    <m/>
    <m/>
    <m/>
    <m/>
    <m/>
    <s v="DGSM"/>
    <s v="017 Ministry of Energy and Mineral Development"/>
    <s v="Train and sensitize stakeholders"/>
    <n v="1"/>
    <n v="0"/>
    <n v="0"/>
    <n v="0"/>
    <n v="0"/>
    <n v="0"/>
    <n v="0"/>
    <n v="1"/>
    <n v="0.25"/>
    <m/>
    <n v="0"/>
    <s v="-"/>
    <n v="0.5"/>
    <n v="0.5"/>
    <m/>
    <m/>
    <n v="0"/>
    <s v="MEMD (DGSM)"/>
    <s v="017 Ministry of Energy and Mineral Development"/>
    <s v="MoES"/>
  </r>
  <r>
    <x v="6"/>
    <x v="6"/>
    <s v="021"/>
    <s v="Mineral exploration, development and value addition"/>
    <s v="0211"/>
    <s v="Explore and quantify priority mineral and geothermal resources across the country"/>
    <s v="021104"/>
    <s v="Undertake feasibility studies in priority mineral value chains to guide investment"/>
    <m/>
    <m/>
    <s v="02110401"/>
    <s v="Bankable projects developed"/>
    <s v="Number of bankable projects;"/>
    <n v="2"/>
    <n v="2"/>
    <n v="2"/>
    <n v="2"/>
    <n v="2"/>
    <n v="2"/>
    <s v="DGSM"/>
    <s v="017 Ministry of Energy and Mineral Development"/>
    <s v="Undertake feasibility studies of the proposed projects"/>
    <n v="1"/>
    <n v="0"/>
    <n v="0"/>
    <n v="1"/>
    <n v="1"/>
    <n v="0"/>
    <n v="0"/>
    <n v="1"/>
    <n v="0.5"/>
    <m/>
    <n v="0"/>
    <s v="-"/>
    <n v="2"/>
    <n v="2"/>
    <n v="2"/>
    <n v="2"/>
    <n v="4"/>
    <s v="MEMD (DGSM)"/>
    <s v="017 Ministry of Energy and Mineral Development"/>
    <s v="NPA, MEMD"/>
  </r>
  <r>
    <x v="6"/>
    <x v="6"/>
    <s v="021"/>
    <s v="Mineral exploration, development and value addition"/>
    <s v="0211"/>
    <s v="Explore and quantify priority mineral and geothermal resources across the country"/>
    <s v="021104"/>
    <s v="Undertake feasibility studies in priority mineral value chains to guide investment"/>
    <m/>
    <m/>
    <s v="02110401"/>
    <s v="Bankable projects developed"/>
    <m/>
    <m/>
    <m/>
    <m/>
    <m/>
    <m/>
    <m/>
    <m/>
    <e v="#N/A"/>
    <s v="Undertake feasibility studies of the proposed projects"/>
    <n v="1"/>
    <n v="0"/>
    <n v="0"/>
    <n v="1"/>
    <n v="1"/>
    <n v="0"/>
    <n v="0"/>
    <n v="1"/>
    <n v="0.5"/>
    <m/>
    <n v="0"/>
    <s v="-"/>
    <n v="0.5"/>
    <n v="0.5"/>
    <n v="0.5"/>
    <n v="0.5"/>
    <n v="1"/>
    <s v="MoTIC (UDC)"/>
    <s v="015 Ministry of Trade, Industry and Cooperatives"/>
    <s v="NPA, MEMD, DGSM"/>
  </r>
  <r>
    <x v="6"/>
    <x v="6"/>
    <s v="021"/>
    <s v="Mineral exploration, development and value addition"/>
    <s v="0211"/>
    <s v="Explore and quantify priority mineral and geothermal resources across the country"/>
    <s v="021104"/>
    <s v="Undertake feasibility studies in priority mineral value chains to guide investment"/>
    <m/>
    <m/>
    <s v="02110401"/>
    <s v="Bankable projects developed"/>
    <m/>
    <m/>
    <m/>
    <m/>
    <m/>
    <m/>
    <m/>
    <m/>
    <e v="#N/A"/>
    <s v="Develop sector briefs of selected mineral value chains"/>
    <n v="1"/>
    <n v="0"/>
    <n v="0"/>
    <n v="1"/>
    <n v="1"/>
    <n v="0"/>
    <n v="0"/>
    <n v="1"/>
    <n v="0.5"/>
    <m/>
    <n v="0"/>
    <s v="-"/>
    <n v="0.1"/>
    <n v="0.1"/>
    <n v="0.1"/>
    <n v="0.1"/>
    <n v="0.2"/>
    <s v="UIA"/>
    <s v="310 Uganda Investment Authority (UIA)"/>
    <s v="DGSM"/>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s v="Number of artisanal miner groups formalized by gender"/>
    <n v="5"/>
    <n v="60"/>
    <n v="60"/>
    <n v="60"/>
    <n v="60"/>
    <n v="60"/>
    <s v="DGSM"/>
    <s v="017 Ministry of Energy and Mineral Development"/>
    <s v="Register and develop a database for artisanal miners "/>
    <n v="1"/>
    <n v="1"/>
    <n v="1"/>
    <n v="1"/>
    <n v="1"/>
    <n v="1"/>
    <n v="1"/>
    <n v="1"/>
    <n v="1"/>
    <n v="1"/>
    <n v="0"/>
    <n v="1.5"/>
    <n v="1.5"/>
    <n v="0.5"/>
    <n v="2"/>
    <n v="1"/>
    <n v="3"/>
    <s v="MEMD (DGSM)"/>
    <s v="017 Ministry of Energy and Mineral Development"/>
    <s v="MLG, ICT"/>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Register and develop a database for artisanal miners "/>
    <n v="1"/>
    <n v="1"/>
    <n v="1"/>
    <n v="1"/>
    <n v="1"/>
    <n v="1"/>
    <n v="1"/>
    <n v="1"/>
    <n v="1"/>
    <n v="1"/>
    <n v="0"/>
    <s v="-"/>
    <n v="0.2"/>
    <n v="0.1"/>
    <s v="-"/>
    <s v="-"/>
    <n v="0"/>
    <s v="NIRA"/>
    <s v="309 National Identification and Registration Authority (NIRA)"/>
    <s v="MLG, DGSM, ICT"/>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Register and develop a database for artisanal miners "/>
    <n v="1"/>
    <n v="1"/>
    <n v="1"/>
    <n v="1"/>
    <n v="1"/>
    <n v="1"/>
    <n v="1"/>
    <n v="1"/>
    <n v="1"/>
    <n v="1"/>
    <n v="0"/>
    <s v="-"/>
    <n v="0.2"/>
    <n v="0.1"/>
    <n v="0.1"/>
    <n v="0.1"/>
    <n v="0.2"/>
    <s v="NITA-U"/>
    <s v="126 National Information Technology Authority"/>
    <s v="MLG, DGSM, ICT"/>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Register and develop a database for artisanal miners "/>
    <n v="1"/>
    <n v="1"/>
    <n v="1"/>
    <n v="1"/>
    <n v="1"/>
    <n v="1"/>
    <n v="1"/>
    <n v="1"/>
    <n v="1"/>
    <n v="1"/>
    <n v="0"/>
    <s v="-"/>
    <n v="0.5"/>
    <n v="0.5"/>
    <n v="0.5"/>
    <n v="0.5"/>
    <n v="1"/>
    <s v="LGs"/>
    <s v="500 501-850 Local Governments"/>
    <s v="MEMD, DGSM"/>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Identifying and gazetting areas for artisanal and small-scale miners"/>
    <n v="1"/>
    <n v="0"/>
    <n v="0"/>
    <n v="1"/>
    <n v="1"/>
    <n v="0"/>
    <n v="1"/>
    <n v="1"/>
    <n v="0.625"/>
    <n v="1"/>
    <n v="0"/>
    <n v="1"/>
    <n v="1"/>
    <n v="1"/>
    <n v="1"/>
    <n v="1"/>
    <n v="2"/>
    <s v="MEMD (DGSM)"/>
    <s v="017 Ministry of Energy and Mineral Development"/>
    <s v="MEMD"/>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Sensitization and training "/>
    <n v="1"/>
    <n v="0"/>
    <n v="0"/>
    <n v="1"/>
    <n v="1"/>
    <n v="1"/>
    <n v="1"/>
    <n v="1"/>
    <n v="0.75"/>
    <n v="1"/>
    <n v="0"/>
    <n v="0"/>
    <n v="0"/>
    <n v="0"/>
    <n v="2"/>
    <n v="0"/>
    <n v="2"/>
    <s v="MEMD (DGSM)"/>
    <s v="017 Ministry of Energy and Mineral Development"/>
    <s v="MEMD"/>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Sensitization and training"/>
    <n v="1"/>
    <n v="0"/>
    <n v="0"/>
    <n v="1"/>
    <n v="1"/>
    <n v="1"/>
    <n v="1"/>
    <n v="1"/>
    <n v="0.75"/>
    <n v="1"/>
    <n v="0"/>
    <n v="0"/>
    <n v="0"/>
    <n v="0"/>
    <n v="1"/>
    <n v="0"/>
    <n v="1"/>
    <s v="LGs"/>
    <s v="500 501-850 Local Governments"/>
    <s v="MEMD"/>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Licensing of artisanal miners"/>
    <n v="1"/>
    <n v="1"/>
    <n v="0"/>
    <n v="1"/>
    <n v="1"/>
    <n v="1"/>
    <n v="1"/>
    <n v="1"/>
    <n v="0.875"/>
    <n v="1"/>
    <n v="0"/>
    <n v="0.5"/>
    <n v="0.5"/>
    <n v="0.5"/>
    <n v="0.5"/>
    <n v="0.5"/>
    <n v="1"/>
    <s v="MEMD (DGSM)"/>
    <s v="017 Ministry of Energy and Mineral Development"/>
    <s v="MEMD"/>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s v="Robust mineral development tax compliance improvement plan developed "/>
    <m/>
    <m/>
    <m/>
    <n v="1"/>
    <m/>
    <m/>
    <s v="MEMD"/>
    <s v="017 Ministry of Energy and Mineral Development"/>
    <s v="Develop and implement a robust mineral development tax compliance improvement plan"/>
    <n v="1"/>
    <n v="0"/>
    <n v="0"/>
    <n v="1"/>
    <n v="1"/>
    <n v="1"/>
    <n v="0"/>
    <n v="1"/>
    <n v="0.625"/>
    <n v="1"/>
    <n v="0"/>
    <n v="0.1"/>
    <n v="0.1"/>
    <n v="0.1"/>
    <n v="0.1"/>
    <n v="0.1"/>
    <n v="0.2"/>
    <s v="URA"/>
    <s v="141 Uganda Revenue Authority"/>
    <s v="DGSM, MLG"/>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Sensitization of ASMs on HSE issues "/>
    <n v="1"/>
    <n v="0"/>
    <n v="0"/>
    <n v="1"/>
    <n v="1"/>
    <n v="1"/>
    <n v="1"/>
    <n v="1"/>
    <n v="0.75"/>
    <n v="1"/>
    <n v="0"/>
    <n v="0"/>
    <n v="0"/>
    <n v="0"/>
    <n v="2"/>
    <n v="0"/>
    <n v="2"/>
    <s v="MEMD"/>
    <s v="017 Ministry of Energy and Mineral Development"/>
    <s v="N/A"/>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Inspections and audits of mining projects"/>
    <n v="1"/>
    <n v="1"/>
    <n v="0"/>
    <n v="1"/>
    <n v="1"/>
    <n v="1"/>
    <n v="0"/>
    <n v="1"/>
    <n v="0.75"/>
    <n v="1"/>
    <n v="0"/>
    <n v="0.2"/>
    <n v="0.2"/>
    <n v="0.3"/>
    <n v="5"/>
    <n v="5"/>
    <n v="10"/>
    <s v="MEMD"/>
    <s v="017 Ministry of Energy and Mineral Development"/>
    <s v="DGSM, MLG"/>
  </r>
  <r>
    <x v="6"/>
    <x v="6"/>
    <s v="021"/>
    <s v="Mineral exploration, development and value addition"/>
    <s v="0212"/>
    <s v="Increase adoption and use of appropriate and affordable technology along the value chain"/>
    <s v="021201"/>
    <s v="Organize, formalize and regulate the artisanal and small-scale miners. "/>
    <m/>
    <m/>
    <s v="02120101"/>
    <s v="Artisanal miners Groups formalized"/>
    <m/>
    <m/>
    <m/>
    <m/>
    <m/>
    <m/>
    <m/>
    <m/>
    <e v="#N/A"/>
    <s v="Develop training strategy on HSE for the mining sector"/>
    <n v="1"/>
    <n v="0"/>
    <n v="0"/>
    <n v="1"/>
    <n v="1"/>
    <n v="1"/>
    <n v="1"/>
    <n v="1"/>
    <n v="0.75"/>
    <n v="1"/>
    <n v="0"/>
    <s v="-"/>
    <n v="0.2"/>
    <n v="0"/>
    <n v="0.5"/>
    <n v="0"/>
    <n v="0.5"/>
    <s v="MEMD"/>
    <s v="017 Ministry of Energy and Mineral Development"/>
    <s v="MGLSD, DGSM"/>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s v="Number of artisanal miners utilizing the appropriate technology"/>
    <s v="-"/>
    <n v="6000"/>
    <n v="6000"/>
    <n v="6000"/>
    <n v="6000"/>
    <n v="6000"/>
    <s v="DGSM"/>
    <s v="017 Ministry of Energy and Mineral Development"/>
    <s v="Put in place and implement a small grants schemes with consideration to marginalized groups"/>
    <n v="1"/>
    <n v="0"/>
    <n v="1"/>
    <n v="1"/>
    <n v="1"/>
    <n v="0"/>
    <n v="1"/>
    <n v="1"/>
    <n v="0.75"/>
    <m/>
    <n v="0"/>
    <n v="0"/>
    <n v="3"/>
    <n v="3"/>
    <n v="3"/>
    <n v="3"/>
    <n v="6"/>
    <s v="MEMD (DGSM)"/>
    <s v="017 Ministry of Energy and Mineral Development"/>
    <s v="MGLSD, MoFPED"/>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Establish centralized processing facilities"/>
    <n v="1"/>
    <n v="1"/>
    <n v="1"/>
    <n v="1"/>
    <n v="1"/>
    <n v="0"/>
    <n v="1"/>
    <n v="1"/>
    <n v="0.875"/>
    <m/>
    <n v="0"/>
    <s v="-"/>
    <n v="0"/>
    <n v="0"/>
    <n v="10"/>
    <n v="5"/>
    <n v="15"/>
    <s v="MEMD (DGSM)"/>
    <s v="017 Ministry of Energy and Mineral Development"/>
    <s v="MEMD, MLG"/>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Establish centralized processing facilities"/>
    <n v="1"/>
    <n v="1"/>
    <n v="1"/>
    <n v="1"/>
    <n v="1"/>
    <n v="0"/>
    <n v="1"/>
    <n v="1"/>
    <n v="0.875"/>
    <m/>
    <n v="0"/>
    <s v="-"/>
    <n v="0"/>
    <n v="0"/>
    <n v="0"/>
    <n v="0"/>
    <n v="0"/>
    <s v="MoWT"/>
    <s v="016 Ministry of Works and Transport"/>
    <s v="N/A"/>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Put in place model mine and training center"/>
    <n v="1"/>
    <n v="0"/>
    <n v="0"/>
    <n v="0"/>
    <n v="1"/>
    <n v="0"/>
    <n v="1"/>
    <n v="1"/>
    <n v="0.5"/>
    <m/>
    <n v="0"/>
    <s v="-"/>
    <n v="0"/>
    <n v="2.9"/>
    <n v="5.9"/>
    <n v="5.9"/>
    <n v="11.8"/>
    <s v="MEMD (DGSM)"/>
    <s v="017 Ministry of Energy and Mineral Development"/>
    <s v="MEMD, MLG, MoWT"/>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Put in place model mine and training center"/>
    <n v="1"/>
    <n v="0"/>
    <n v="0"/>
    <n v="0"/>
    <n v="1"/>
    <n v="0"/>
    <n v="1"/>
    <n v="1"/>
    <n v="0.5"/>
    <m/>
    <n v="0"/>
    <s v="-"/>
    <n v="0"/>
    <n v="0.1"/>
    <n v="0.1"/>
    <n v="0.1"/>
    <n v="0.2"/>
    <s v="MoWT"/>
    <s v="016 Ministry of Works and Transport"/>
    <s v="DGSM, MEMD, MLG"/>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Facilitate peer to peer learning"/>
    <n v="1"/>
    <n v="0"/>
    <n v="0"/>
    <n v="1"/>
    <n v="1"/>
    <n v="0"/>
    <n v="0"/>
    <n v="0"/>
    <n v="0.375"/>
    <m/>
    <n v="0"/>
    <s v="-"/>
    <n v="0.5"/>
    <n v="0.5"/>
    <m/>
    <m/>
    <n v="0"/>
    <s v="MEMD (DGSM)"/>
    <s v="017 Ministry of Energy and Mineral Development"/>
    <s v="MLG"/>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Put in place and implement a scheme for promoting local innovation in mineral value addition technologies with consideration to gender and equity issues"/>
    <n v="1"/>
    <n v="1"/>
    <n v="1"/>
    <n v="0"/>
    <n v="1"/>
    <n v="0"/>
    <n v="1"/>
    <n v="1"/>
    <n v="0.75"/>
    <m/>
    <n v="0"/>
    <s v="-"/>
    <n v="0.5"/>
    <n v="0.5"/>
    <n v="1.44"/>
    <n v="0.5"/>
    <n v="1.94"/>
    <s v="MEMD (DGSM)"/>
    <s v="017 Ministry of Energy and Mineral Development"/>
    <s v="MSTI"/>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Put in place and implement a scheme for promoting local innovation in mineral value addition technologies with consideration to gender and equity issues"/>
    <n v="1"/>
    <n v="1"/>
    <n v="1"/>
    <n v="0"/>
    <n v="1"/>
    <n v="0"/>
    <n v="1"/>
    <n v="1"/>
    <n v="0.75"/>
    <m/>
    <n v="0"/>
    <s v="-"/>
    <n v="1.5"/>
    <n v="1.5"/>
    <n v="1.5"/>
    <n v="1.5"/>
    <n v="3"/>
    <s v="MoSTI"/>
    <s v="023 Ministry of Science,Technology and Innovation"/>
    <s v="DGSM"/>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Conduct studies on the available technology and level of its adoption by the artisanal miners"/>
    <n v="1"/>
    <n v="0"/>
    <n v="0"/>
    <n v="1"/>
    <n v="1"/>
    <n v="0"/>
    <n v="0"/>
    <n v="1"/>
    <n v="0.5"/>
    <m/>
    <n v="0"/>
    <s v="-"/>
    <n v="0.5"/>
    <n v="0.5"/>
    <n v="0.5"/>
    <n v="0.5"/>
    <n v="1"/>
    <s v="MEMD (DGSM)"/>
    <s v="017 Ministry of Energy and Mineral Development"/>
    <s v="MoSTI, NPA"/>
  </r>
  <r>
    <x v="6"/>
    <x v="6"/>
    <s v="021"/>
    <s v="Mineral exploration, development and value addition"/>
    <s v="0212"/>
    <s v="Increase adoption and use of appropriate and affordable technology along the value chain"/>
    <s v="021202"/>
    <s v="Provide incentives for acquisition of appropriate and clean technology"/>
    <m/>
    <m/>
    <s v="02120201"/>
    <s v="Increased utilization of appropriate technology"/>
    <m/>
    <m/>
    <m/>
    <m/>
    <m/>
    <m/>
    <m/>
    <m/>
    <e v="#N/A"/>
    <s v="Conduct studies on the available technology and level of its adoption by the artisanal miners"/>
    <n v="1"/>
    <n v="0"/>
    <n v="0"/>
    <n v="1"/>
    <n v="1"/>
    <n v="0"/>
    <n v="0"/>
    <n v="1"/>
    <n v="0.5"/>
    <m/>
    <n v="0"/>
    <s v="-"/>
    <n v="0.2"/>
    <n v="0.2"/>
    <n v="0.3"/>
    <n v="0.5"/>
    <n v="0.8"/>
    <s v="MoSTI"/>
    <s v="023 Ministry of Science,Technology and Innovation"/>
    <s v="DGSM, NPA"/>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s v="Number of appropriate technologies developed/transferred"/>
    <n v="0"/>
    <n v="1"/>
    <n v="1"/>
    <n v="1"/>
    <n v="1"/>
    <n v="1"/>
    <s v="MEMD"/>
    <s v="017 Ministry of Energy and Mineral Development"/>
    <s v="Collaborate with MOSTI to establish a material science &amp; extractive metallurgy and nano-materials &amp; nano-technology research facilities"/>
    <n v="1"/>
    <n v="0"/>
    <n v="0"/>
    <n v="0"/>
    <n v="0"/>
    <n v="0"/>
    <n v="0"/>
    <n v="1"/>
    <n v="0.25"/>
    <m/>
    <n v="0"/>
    <n v="0"/>
    <n v="0"/>
    <n v="0"/>
    <n v="0"/>
    <n v="0"/>
    <n v="0"/>
    <s v="MEMD"/>
    <s v="017 Ministry of Energy and Mineral Development"/>
    <s v="MoSTI, DGSM, MoFPED, MoES"/>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Collaborate with MOSTI to establish a material science &amp; extractive metallurgy and nano-materials &amp; nano-technology research facilities"/>
    <n v="1"/>
    <n v="0"/>
    <n v="0"/>
    <n v="0"/>
    <n v="0"/>
    <n v="0"/>
    <n v="0"/>
    <n v="1"/>
    <n v="0.25"/>
    <m/>
    <n v="0"/>
    <n v="0"/>
    <n v="0"/>
    <n v="0"/>
    <n v="0"/>
    <n v="0"/>
    <n v="0"/>
    <s v="MoES"/>
    <s v="013 Ministry of Education and Sports"/>
    <s v="MoSTI, DGSM, MoFPED, MEMD"/>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popularise a National agenda on research and development (R&amp;D for minerals development "/>
    <n v="1"/>
    <n v="0"/>
    <n v="0"/>
    <n v="1"/>
    <n v="1"/>
    <n v="0"/>
    <n v="0"/>
    <n v="1"/>
    <n v="0.5"/>
    <m/>
    <n v="0"/>
    <s v="-"/>
    <n v="1"/>
    <n v="1"/>
    <n v="1"/>
    <n v="1"/>
    <n v="2"/>
    <s v="MEMD (DGSM)"/>
    <s v="017 Ministry of Energy and Mineral Development"/>
    <s v="NPA, MEMD, MoSTI"/>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popularise a National agenda on research and development (R&amp;D for minerals development "/>
    <n v="1"/>
    <n v="0"/>
    <n v="0"/>
    <n v="1"/>
    <n v="1"/>
    <n v="0"/>
    <n v="0"/>
    <n v="1"/>
    <n v="0.5"/>
    <m/>
    <n v="0"/>
    <s v="-"/>
    <n v="0"/>
    <n v="0"/>
    <n v="0"/>
    <n v="0"/>
    <n v="0"/>
    <s v="MoSTI"/>
    <s v="023 Ministry of Science,Technology and Innovation"/>
    <s v="NPA, MEMD, DGSM"/>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implement a capacity development framework in minerals research and development with consideration to gender and equity issues"/>
    <n v="1"/>
    <n v="0"/>
    <n v="0"/>
    <n v="1"/>
    <n v="1"/>
    <n v="0"/>
    <n v="0"/>
    <n v="1"/>
    <n v="0.5"/>
    <m/>
    <n v="0"/>
    <s v="-"/>
    <n v="1"/>
    <n v="1"/>
    <n v="1"/>
    <n v="1"/>
    <n v="2"/>
    <s v="MoES"/>
    <s v="013 Ministry of Education and Sports"/>
    <s v="DGSM, MGLSD"/>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implement a capacity development framework in minerals research and development with consideration to gender and equity issues"/>
    <n v="1"/>
    <n v="0"/>
    <n v="0"/>
    <n v="1"/>
    <n v="1"/>
    <n v="0"/>
    <n v="0"/>
    <n v="1"/>
    <n v="0.5"/>
    <m/>
    <n v="0"/>
    <s v="-"/>
    <n v="1"/>
    <n v="1.5"/>
    <n v="1.5"/>
    <n v="1.5"/>
    <n v="3"/>
    <s v="MEMD (DGSM)"/>
    <s v="017 Ministry of Energy and Mineral Development"/>
    <s v="MoES, MGLSD"/>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test technology prototypes for use by the artisanal miners"/>
    <n v="1"/>
    <n v="0"/>
    <n v="0"/>
    <n v="1"/>
    <n v="1"/>
    <n v="0"/>
    <n v="0"/>
    <n v="0"/>
    <n v="0.375"/>
    <m/>
    <n v="0"/>
    <n v="1"/>
    <n v="1"/>
    <n v="1"/>
    <m/>
    <m/>
    <n v="0"/>
    <s v="MEMD (DGSM)"/>
    <s v="017 Ministry of Energy and Mineral Development"/>
    <s v="MLG, MoSTI, MoES"/>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test technology prototypes for use by the artisanal miners"/>
    <n v="1"/>
    <n v="0"/>
    <n v="0"/>
    <n v="1"/>
    <n v="1"/>
    <n v="0"/>
    <n v="0"/>
    <n v="0"/>
    <n v="0.375"/>
    <m/>
    <n v="0"/>
    <s v="-"/>
    <s v="-"/>
    <n v="0.5"/>
    <m/>
    <m/>
    <n v="0"/>
    <s v="MoSTI"/>
    <s v="023 Ministry of Science,Technology and Innovation"/>
    <s v="DGSM, MLG, MoES"/>
  </r>
  <r>
    <x v="6"/>
    <x v="6"/>
    <s v="021"/>
    <s v="Mineral exploration, development and value addition"/>
    <s v="0212"/>
    <s v="Increase adoption and use of appropriate and affordable technology along the value chain"/>
    <s v="021203"/>
    <s v="Promote research and development"/>
    <m/>
    <m/>
    <s v="02120301"/>
    <s v="Appropriate technologies being used in mining"/>
    <m/>
    <m/>
    <m/>
    <m/>
    <m/>
    <m/>
    <m/>
    <m/>
    <e v="#N/A"/>
    <s v="Develop and test technology prototypes for use by the artisanal miners"/>
    <n v="1"/>
    <n v="0"/>
    <n v="0"/>
    <n v="1"/>
    <n v="1"/>
    <n v="0"/>
    <n v="0"/>
    <n v="0"/>
    <n v="0.375"/>
    <m/>
    <n v="0"/>
    <s v="-"/>
    <s v="-"/>
    <n v="0.5"/>
    <m/>
    <m/>
    <n v="0"/>
    <s v="MoES"/>
    <s v="013 Ministry of Education and Sports"/>
    <s v="DGSM, MLG, MoSTI"/>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s v="Number of skilled artisans (Male)"/>
    <m/>
    <m/>
    <m/>
    <m/>
    <m/>
    <n v="500"/>
    <s v="MEMD"/>
    <s v="017 Ministry of Energy and Mineral Development"/>
    <s v="Train artisanal miners in basic mineral exploration "/>
    <n v="1"/>
    <n v="0"/>
    <n v="0"/>
    <n v="1"/>
    <n v="1"/>
    <n v="0"/>
    <n v="1"/>
    <n v="1"/>
    <n v="0.625"/>
    <m/>
    <n v="0"/>
    <n v="0.2"/>
    <n v="0.2"/>
    <n v="0.2"/>
    <n v="0.2"/>
    <n v="0.2"/>
    <n v="0.4"/>
    <s v="MEMD"/>
    <s v="017 Ministry of Energy and Mineral Development"/>
    <s v="DGSM, MoES"/>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s v="Number of skilled artisans (Female)"/>
    <m/>
    <m/>
    <m/>
    <m/>
    <m/>
    <n v="500"/>
    <s v="MEMD"/>
    <s v="017 Ministry of Energy and Mineral Development"/>
    <s v="Train artisanal miners in mining methods with least impacts on environment"/>
    <n v="1"/>
    <n v="0"/>
    <n v="0"/>
    <n v="1"/>
    <n v="1"/>
    <n v="0"/>
    <n v="1"/>
    <n v="1"/>
    <n v="0.625"/>
    <m/>
    <n v="0"/>
    <n v="0.2"/>
    <n v="0.2"/>
    <n v="0.2"/>
    <n v="0.2"/>
    <n v="0.2"/>
    <n v="0.4"/>
    <s v="MEMD"/>
    <s v="017 Ministry of Energy and Mineral Development"/>
    <s v="DGSM, NEMA"/>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mineral processing and value addition"/>
    <n v="1"/>
    <n v="1"/>
    <n v="1"/>
    <n v="1"/>
    <n v="1"/>
    <n v="0"/>
    <n v="1"/>
    <n v="1"/>
    <n v="0.875"/>
    <m/>
    <n v="0"/>
    <n v="0.2"/>
    <n v="0.3"/>
    <n v="0.5"/>
    <n v="1"/>
    <n v="1"/>
    <n v="2"/>
    <s v="MEMD (DGSM)"/>
    <s v="017 Ministry of Energy and Mineral Development"/>
    <s v="MTIC"/>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mineral processing and value addition"/>
    <n v="1"/>
    <n v="1"/>
    <n v="1"/>
    <n v="1"/>
    <n v="1"/>
    <n v="0"/>
    <n v="1"/>
    <n v="1"/>
    <n v="0.875"/>
    <m/>
    <n v="0"/>
    <s v="-"/>
    <s v="-"/>
    <n v="0.2"/>
    <m/>
    <m/>
    <n v="0"/>
    <s v="MoSTI"/>
    <s v="023 Ministry of Science,Technology and Innovation"/>
    <s v="DGSM, MTIC"/>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mineral processing and value addition"/>
    <n v="1"/>
    <n v="1"/>
    <n v="1"/>
    <n v="1"/>
    <n v="1"/>
    <n v="0"/>
    <n v="1"/>
    <n v="1"/>
    <n v="0.875"/>
    <m/>
    <n v="0"/>
    <s v="-"/>
    <s v="-"/>
    <n v="0.2"/>
    <n v="0.2"/>
    <n v="0.3"/>
    <n v="0.5"/>
    <s v="MoTIC"/>
    <s v="015 Ministry of Trade, Industry and Cooperatives"/>
    <s v="DGSM"/>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HSE"/>
    <n v="1"/>
    <n v="0"/>
    <n v="0"/>
    <n v="1"/>
    <n v="1"/>
    <n v="1"/>
    <n v="1"/>
    <n v="1"/>
    <n v="0.75"/>
    <m/>
    <n v="0"/>
    <n v="0.1"/>
    <n v="0.2"/>
    <n v="0.3"/>
    <n v="0.3"/>
    <n v="0.3"/>
    <n v="0.6"/>
    <s v="MEMD"/>
    <s v="017 Ministry of Energy and Mineral Development"/>
    <s v="MGLSD, LGs"/>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HSE"/>
    <n v="1"/>
    <n v="0"/>
    <n v="0"/>
    <n v="1"/>
    <n v="1"/>
    <n v="1"/>
    <n v="1"/>
    <n v="1"/>
    <n v="0.75"/>
    <m/>
    <n v="0"/>
    <s v="-"/>
    <n v="0.2"/>
    <n v="0.2"/>
    <n v="0.3"/>
    <n v="0.3"/>
    <n v="0.6"/>
    <s v="LGs"/>
    <s v="500 501-850 Local Governments"/>
    <s v="MEMD, MGLSD"/>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HSE"/>
    <n v="1"/>
    <n v="0"/>
    <n v="0"/>
    <n v="1"/>
    <n v="1"/>
    <n v="1"/>
    <n v="1"/>
    <n v="1"/>
    <n v="0.75"/>
    <m/>
    <n v="0"/>
    <s v="-"/>
    <n v="0.2"/>
    <n v="0.2"/>
    <n v="0.3"/>
    <n v="0.3"/>
    <n v="0.6"/>
    <s v="NEMA"/>
    <s v="150 National Environment Management Authority"/>
    <s v="DGSM, MEMD"/>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HSE"/>
    <n v="1"/>
    <n v="0"/>
    <n v="0"/>
    <n v="1"/>
    <n v="1"/>
    <n v="1"/>
    <n v="1"/>
    <n v="1"/>
    <n v="0.75"/>
    <m/>
    <n v="0"/>
    <s v="-"/>
    <n v="0.2"/>
    <n v="0.2"/>
    <n v="0.2"/>
    <n v="0.3"/>
    <n v="0.5"/>
    <s v="MoGLSD"/>
    <s v="018 Ministry of Gender, Labour and Social Development"/>
    <s v="DGSM, MEMD"/>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in business and enterprise skills"/>
    <n v="1"/>
    <n v="1"/>
    <n v="1"/>
    <n v="1"/>
    <n v="1"/>
    <n v="0"/>
    <n v="1"/>
    <n v="1"/>
    <n v="0.875"/>
    <m/>
    <n v="0"/>
    <s v="-"/>
    <n v="0.2"/>
    <n v="0.2"/>
    <n v="0.2"/>
    <n v="0.2"/>
    <n v="0.4"/>
    <s v="MoTIC"/>
    <s v="015 Ministry of Trade, Industry and Cooperatives"/>
    <s v="PSF, DGSM"/>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Train artisanal miners on compliance and conditions of grant of mineral rights"/>
    <n v="1"/>
    <n v="1"/>
    <n v="0"/>
    <n v="1"/>
    <n v="1"/>
    <n v="0"/>
    <n v="1"/>
    <n v="1"/>
    <n v="0.75"/>
    <m/>
    <n v="0"/>
    <n v="0.1"/>
    <n v="0.2"/>
    <n v="0.2"/>
    <n v="0.2"/>
    <n v="0.2"/>
    <n v="0.4"/>
    <s v="MEMD (DGSM)"/>
    <s v="017 Ministry of Energy and Mineral Development"/>
    <s v="MEMD"/>
  </r>
  <r>
    <x v="6"/>
    <x v="6"/>
    <s v="021"/>
    <s v="Mineral exploration, development and value addition"/>
    <s v="0212"/>
    <s v="Increase adoption and use of appropriate and affordable technology along the value chain"/>
    <s v="021204"/>
    <s v="Provide training and extension services to ease the adoption of the acquired technology"/>
    <m/>
    <m/>
    <s v="02120401"/>
    <s v="Skilled artisanal miners"/>
    <m/>
    <m/>
    <m/>
    <m/>
    <m/>
    <m/>
    <m/>
    <m/>
    <e v="#N/A"/>
    <s v="Provide extension services to artisanal miners to acquire geoscience data"/>
    <n v="1"/>
    <n v="0"/>
    <n v="0"/>
    <n v="1"/>
    <n v="1"/>
    <n v="1"/>
    <n v="1"/>
    <n v="0"/>
    <n v="0.625"/>
    <m/>
    <n v="0"/>
    <n v="0.2"/>
    <n v="2"/>
    <n v="2"/>
    <n v="2"/>
    <n v="2"/>
    <n v="4"/>
    <s v="MEMD (DGSM)"/>
    <s v="017 Ministry of Energy and Mineral Development"/>
    <s v="MEMD"/>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s v="Number of laws enacted"/>
    <s v="-"/>
    <n v="1"/>
    <s v="-"/>
    <s v="-"/>
    <s v="-"/>
    <n v="2"/>
    <s v="MEMD"/>
    <s v="017 Ministry of Energy and Mineral Development"/>
    <s v="Enact a new mining law with consideration to gender and equity issues"/>
    <n v="1"/>
    <n v="0"/>
    <n v="0"/>
    <n v="1"/>
    <n v="1"/>
    <n v="1"/>
    <n v="1"/>
    <n v="1"/>
    <n v="0.75"/>
    <m/>
    <n v="0"/>
    <n v="0.5"/>
    <n v="0.5"/>
    <n v="0.5"/>
    <n v="0.5"/>
    <n v="0.1"/>
    <n v="0.6"/>
    <s v="MEMD"/>
    <s v="017 Ministry of Energy and Mineral Development"/>
    <s v="MJCA, Parliament, DGSM"/>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Enact a new mining law with consideration to gender and equity issues"/>
    <n v="1"/>
    <n v="0"/>
    <n v="0"/>
    <n v="1"/>
    <n v="1"/>
    <n v="1"/>
    <n v="1"/>
    <n v="1"/>
    <n v="0.75"/>
    <m/>
    <n v="0"/>
    <s v="-"/>
    <n v="0.1"/>
    <n v="0.1"/>
    <m/>
    <m/>
    <n v="0"/>
    <s v="OP (Cabinet Secretariat)"/>
    <s v="001 Office of the President"/>
    <s v="DGSM, MEMD, MJCA, Parliament "/>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Enact a new mining law with consideration to gender and equity issues"/>
    <n v="1"/>
    <n v="0"/>
    <n v="0"/>
    <n v="1"/>
    <n v="1"/>
    <n v="1"/>
    <n v="1"/>
    <n v="1"/>
    <n v="0.75"/>
    <m/>
    <n v="0"/>
    <s v="-"/>
    <n v="0.2"/>
    <n v="0.2"/>
    <n v="0"/>
    <m/>
    <n v="0"/>
    <s v="MoJCA"/>
    <s v="007 Ministry of Justice and Constitutional Affairs"/>
    <s v="MEMD, DGSM, Parliament "/>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Enact a new mining law with consideration to gender and equity issues"/>
    <n v="1"/>
    <n v="0"/>
    <n v="0"/>
    <n v="1"/>
    <n v="1"/>
    <n v="1"/>
    <n v="1"/>
    <n v="1"/>
    <n v="0.75"/>
    <m/>
    <n v="0"/>
    <s v="-"/>
    <n v="0.2"/>
    <n v="0.2"/>
    <n v="0"/>
    <m/>
    <n v="0"/>
    <s v="Parliament"/>
    <s v="104 Parliamentary Commission"/>
    <s v="MEMD, DGSM, MJCA"/>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n v="0.2"/>
    <n v="0.2"/>
    <n v="0.2"/>
    <n v="0.4"/>
    <s v="MEMD"/>
    <s v="017 Ministry of Energy and Mineral Development"/>
    <s v="MJCA, MTIC, Parliament, Cabinet Secretary, MWE"/>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n v="0.2"/>
    <n v="0.2"/>
    <n v="0.2"/>
    <n v="0.4"/>
    <s v="MoTIC"/>
    <s v="015 Ministry of Trade, Industry and Cooperatives"/>
    <s v="MJCA, MEMD, Parliament, Cabinet Secretary, MWE"/>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n v="0.2"/>
    <n v="0.2"/>
    <n v="0.2"/>
    <n v="0.4"/>
    <s v="MWE"/>
    <s v="019 Ministry of Water and Environment"/>
    <s v="MJCA, MEMD, Parliament, Cabinet Secretary"/>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n v="0.1"/>
    <n v="0.1"/>
    <n v="0.1"/>
    <n v="0.2"/>
    <s v="OP (Cabinet Secretariat)"/>
    <s v="001 Office of the President"/>
    <s v="MEMD, MWE, MJCA, Parliament"/>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n v="0.2"/>
    <n v="0.2"/>
    <n v="0.2"/>
    <n v="0.4"/>
    <s v="MoJCA"/>
    <s v="007 Ministry of Justice and Constitutional Affairs"/>
    <s v="MEMD, MWE, Parliament, Cabinet Secretary"/>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Review and enact the Industrial Licensing Act 1969, Competition Bill, Legal and Industrial Metrology Bills, Water Act and other relevant laws"/>
    <n v="1"/>
    <n v="0"/>
    <n v="0"/>
    <n v="1"/>
    <n v="1"/>
    <n v="1"/>
    <n v="1"/>
    <n v="1"/>
    <n v="0.75"/>
    <m/>
    <n v="0"/>
    <s v="-"/>
    <s v="-"/>
    <s v="-"/>
    <n v="0.2"/>
    <n v="0.2"/>
    <n v="0.4"/>
    <s v="Parliament"/>
    <s v="104 Parliamentary Commission"/>
    <s v="MEMD, MWE, Parliament, Cabinet Secretary"/>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Translate enacted laws into local languages"/>
    <n v="1"/>
    <n v="0"/>
    <n v="0"/>
    <n v="1"/>
    <n v="1"/>
    <n v="0"/>
    <n v="1"/>
    <n v="1"/>
    <n v="0.625"/>
    <m/>
    <n v="0"/>
    <s v="-"/>
    <s v="-"/>
    <n v="0"/>
    <n v="0.2"/>
    <n v="0.2"/>
    <n v="0.4"/>
    <s v="MoJCA"/>
    <s v="007 Ministry of Justice and Constitutional Affairs"/>
    <s v="MEMD, Makerere University"/>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1"/>
    <s v="Laws enacted "/>
    <m/>
    <m/>
    <m/>
    <m/>
    <m/>
    <m/>
    <m/>
    <m/>
    <e v="#N/A"/>
    <s v="Translate enacted laws into local languages"/>
    <n v="1"/>
    <n v="0"/>
    <n v="0"/>
    <n v="1"/>
    <n v="1"/>
    <n v="0"/>
    <n v="1"/>
    <n v="1"/>
    <n v="0.625"/>
    <m/>
    <n v="0"/>
    <s v="-"/>
    <s v="-"/>
    <n v="0"/>
    <n v="0"/>
    <n v="0"/>
    <n v="0"/>
    <s v="MEMD"/>
    <s v="017 Ministry of Energy and Mineral Development"/>
    <s v="MJCA, Makerere University"/>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2"/>
    <s v="Regulations gazzetted"/>
    <s v="Number of regulations gazetted"/>
    <s v="-"/>
    <m/>
    <n v="1"/>
    <n v="1"/>
    <n v="1"/>
    <n v="1"/>
    <s v="MEMD"/>
    <s v="017 Ministry of Energy and Mineral Development"/>
    <s v="Review, gazette and enact the following regulations: Licensing, Mineral Certification, Geothermal Energy Regulations, Artisanal and Small-scale Mining, Building substance, Hazardous chemical, Mineral processing, smelting and refining"/>
    <n v="1"/>
    <n v="0"/>
    <n v="0"/>
    <n v="1"/>
    <n v="1"/>
    <n v="1"/>
    <n v="0"/>
    <n v="1"/>
    <n v="0.625"/>
    <m/>
    <n v="0"/>
    <n v="0.5"/>
    <n v="1"/>
    <n v="1"/>
    <n v="1"/>
    <n v="1"/>
    <n v="2"/>
    <s v="MEMD"/>
    <s v="017 Ministry of Energy and Mineral Development"/>
    <s v="UPPC, BRD"/>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2"/>
    <s v="Regulations gazzetted"/>
    <m/>
    <m/>
    <m/>
    <m/>
    <m/>
    <m/>
    <m/>
    <m/>
    <e v="#N/A"/>
    <s v="Mine OSH"/>
    <n v="1"/>
    <n v="0"/>
    <n v="0"/>
    <n v="1"/>
    <n v="1"/>
    <n v="0"/>
    <n v="0"/>
    <n v="1"/>
    <n v="0.5"/>
    <m/>
    <n v="0"/>
    <s v="-"/>
    <s v="-"/>
    <s v="-"/>
    <n v="0.3"/>
    <n v="0.3"/>
    <n v="0.6"/>
    <s v="MWE"/>
    <s v="019 Ministry of Water and Environment"/>
    <s v="UPPC"/>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2"/>
    <s v="Regulations gazzetted"/>
    <m/>
    <m/>
    <m/>
    <m/>
    <m/>
    <m/>
    <m/>
    <m/>
    <e v="#N/A"/>
    <s v="Earth Scientists"/>
    <n v="1"/>
    <n v="0"/>
    <n v="0"/>
    <n v="0"/>
    <n v="0"/>
    <n v="0"/>
    <n v="0"/>
    <n v="1"/>
    <n v="0.25"/>
    <m/>
    <n v="0"/>
    <s v="-"/>
    <n v="0.2"/>
    <n v="0.2"/>
    <m/>
    <m/>
    <n v="0"/>
    <s v="MoJCA"/>
    <s v="007 Ministry of Justice and Constitutional Affairs"/>
    <s v="UPPC"/>
  </r>
  <r>
    <x v="6"/>
    <x v="6"/>
    <s v="021"/>
    <s v="Mineral exploration, development and value addition"/>
    <s v="0213"/>
    <s v="Strengthen the legal and regulatory framework as well as the human and institutional capacity"/>
    <s v="021301"/>
    <s v="Review (Mining Act 2003, Industrial Licensing Act 1969, Competition Bill, Legal and Industrial Metrology Bills) and develop relevant laws and regulations"/>
    <m/>
    <m/>
    <s v="02130102"/>
    <s v="Regulations gazzetted"/>
    <m/>
    <m/>
    <m/>
    <m/>
    <m/>
    <m/>
    <m/>
    <m/>
    <e v="#N/A"/>
    <s v="Water Resources, Water (Waste) Regulations, and other necessary regulations to cater for emerging issues in the mining industry"/>
    <n v="1"/>
    <n v="0"/>
    <n v="0"/>
    <n v="1"/>
    <n v="0"/>
    <n v="0"/>
    <n v="0"/>
    <n v="1"/>
    <n v="0.375"/>
    <m/>
    <n v="0"/>
    <s v="-"/>
    <n v="0.05"/>
    <n v="0.05"/>
    <m/>
    <m/>
    <n v="0"/>
    <s v="OP (Cabinet Secretariat)"/>
    <s v="001 Office of the President"/>
    <s v="UPPC"/>
  </r>
  <r>
    <x v="6"/>
    <x v="6"/>
    <s v="021"/>
    <s v="Mineral exploration, development and value addition"/>
    <s v="0213"/>
    <s v="Strengthen the legal and regulatory framework as well as the human and institutional capacity"/>
    <s v="021302"/>
    <s v="Streamline administrative functions of licensing, inspection and monitoring of compliance"/>
    <m/>
    <m/>
    <s v="02130201"/>
    <s v="Administration of minerals sub-sector streamlined"/>
    <s v="Licensing and inspection units in place"/>
    <n v="34"/>
    <n v="36"/>
    <n v="58"/>
    <n v="65"/>
    <n v="68"/>
    <n v="75"/>
    <s v="MEMD"/>
    <s v="017 Ministry of Energy and Mineral Development"/>
    <s v="Establish the new institutions in line with the new mining legal framework"/>
    <n v="1"/>
    <n v="0"/>
    <n v="0"/>
    <n v="0"/>
    <n v="1"/>
    <n v="0"/>
    <n v="0"/>
    <n v="1"/>
    <n v="0.375"/>
    <m/>
    <n v="0"/>
    <s v="-"/>
    <n v="0.5"/>
    <n v="0.5"/>
    <n v="0.5"/>
    <n v="0.5"/>
    <n v="1"/>
    <s v="MEMD"/>
    <s v="017 Ministry of Energy and Mineral Development"/>
    <s v="DGSM"/>
  </r>
  <r>
    <x v="6"/>
    <x v="6"/>
    <s v="021"/>
    <s v="Mineral exploration, development and value addition"/>
    <s v="0213"/>
    <s v="Strengthen the legal and regulatory framework as well as the human and institutional capacity"/>
    <s v="021302"/>
    <s v="Streamline administrative functions of licensing, inspection and monitoring of compliance"/>
    <m/>
    <m/>
    <s v="02130201"/>
    <s v="Administration of minerals sub-sector streamlined"/>
    <m/>
    <m/>
    <m/>
    <m/>
    <m/>
    <m/>
    <m/>
    <m/>
    <e v="#N/A"/>
    <s v="Establish the new institutions in line with the new mining legal framework"/>
    <n v="1"/>
    <n v="0"/>
    <n v="0"/>
    <n v="0"/>
    <n v="1"/>
    <n v="0"/>
    <n v="0"/>
    <n v="1"/>
    <n v="0.375"/>
    <m/>
    <n v="0"/>
    <s v="-"/>
    <n v="0.1"/>
    <n v="0.1"/>
    <n v="0.1"/>
    <n v="0.1"/>
    <n v="0.2"/>
    <s v="MoPS"/>
    <s v="005 Ministry of Public Service"/>
    <s v="MEMD, DGSM"/>
  </r>
  <r>
    <x v="6"/>
    <x v="6"/>
    <s v="021"/>
    <s v="Mineral exploration, development and value addition"/>
    <s v="0213"/>
    <s v="Strengthen the legal and regulatory framework as well as the human and institutional capacity"/>
    <s v="021302"/>
    <s v="Streamline administrative functions of licensing, inspection and monitoring of compliance"/>
    <m/>
    <m/>
    <s v="02130201"/>
    <s v="Administration of minerals sub-sector streamlined"/>
    <m/>
    <m/>
    <m/>
    <m/>
    <m/>
    <m/>
    <m/>
    <m/>
    <e v="#N/A"/>
    <s v="Staffing and equipping of the new institutions with consideration to gender and equity issues"/>
    <n v="1"/>
    <n v="0"/>
    <n v="0"/>
    <n v="0"/>
    <n v="1"/>
    <n v="0"/>
    <n v="0"/>
    <n v="1"/>
    <n v="0.375"/>
    <m/>
    <n v="0"/>
    <n v="5"/>
    <n v="2.2999999999999998"/>
    <n v="3.2"/>
    <n v="0.3"/>
    <n v="0.3"/>
    <n v="0.6"/>
    <s v="MEMD"/>
    <s v="017 Ministry of Energy and Mineral Development"/>
    <s v="MoPS, MGLSD, DGSM"/>
  </r>
  <r>
    <x v="6"/>
    <x v="6"/>
    <s v="021"/>
    <s v="Mineral exploration, development and value addition"/>
    <s v="0213"/>
    <s v="Strengthen the legal and regulatory framework as well as the human and institutional capacity"/>
    <s v="021302"/>
    <s v="Streamline administrative functions of licensing, inspection and monitoring of compliance"/>
    <m/>
    <m/>
    <s v="02130201"/>
    <s v="Administration of minerals sub-sector streamlined"/>
    <m/>
    <m/>
    <m/>
    <m/>
    <m/>
    <m/>
    <m/>
    <m/>
    <e v="#N/A"/>
    <s v="Staffing and equipping of the new institutions with consideration to gender and equity issues"/>
    <n v="1"/>
    <n v="0"/>
    <n v="0"/>
    <n v="0"/>
    <n v="1"/>
    <n v="0"/>
    <n v="0"/>
    <n v="1"/>
    <n v="0.375"/>
    <m/>
    <n v="0"/>
    <s v="-"/>
    <n v="0.1"/>
    <n v="0.2"/>
    <n v="0.1"/>
    <n v="0.1"/>
    <n v="0.2"/>
    <s v="MoPS"/>
    <s v="005 Ministry of Public Service"/>
    <s v="MEMD, DGSM, MoFPED"/>
  </r>
  <r>
    <x v="6"/>
    <x v="6"/>
    <s v="021"/>
    <s v="Mineral exploration, development and value addition"/>
    <s v="0213"/>
    <s v="Strengthen the legal and regulatory framework as well as the human and institutional capacity"/>
    <s v="021303"/>
    <s v="Develop and implement training and apprenticeship programmes"/>
    <m/>
    <m/>
    <s v="02130301"/>
    <s v="Skilled human resource"/>
    <s v="Number of professionals and technicians trained by gender"/>
    <n v="45"/>
    <n v="50"/>
    <n v="80"/>
    <n v="100"/>
    <n v="120"/>
    <n v="200"/>
    <s v="MEMD"/>
    <s v="017 Ministry of Energy and Mineral Development"/>
    <s v="Develop and implement a training  program integrated into the education system for mining industry professionals with consideration to gender and equity issues"/>
    <n v="1"/>
    <n v="0"/>
    <n v="0"/>
    <n v="0"/>
    <n v="1"/>
    <n v="0"/>
    <n v="0"/>
    <n v="1"/>
    <n v="0.375"/>
    <m/>
    <n v="0"/>
    <s v="-"/>
    <n v="1.5"/>
    <n v="1.3"/>
    <m/>
    <m/>
    <n v="0"/>
    <s v="MEMD (DGSM)"/>
    <s v="017 Ministry of Energy and Mineral Development"/>
    <s v="MoGLSD, MoTIC, MoES"/>
  </r>
  <r>
    <x v="6"/>
    <x v="6"/>
    <s v="021"/>
    <s v="Mineral exploration, development and value addition"/>
    <s v="0213"/>
    <s v="Strengthen the legal and regulatory framework as well as the human and institutional capacity"/>
    <s v="021303"/>
    <s v="Develop and implement training and apprenticeship programmes"/>
    <m/>
    <m/>
    <s v="02130301"/>
    <s v="Skilled human resource"/>
    <m/>
    <m/>
    <m/>
    <m/>
    <m/>
    <m/>
    <m/>
    <m/>
    <e v="#N/A"/>
    <s v="Develop and implement a training  program integrated into the education system for mining industry professionals with consideration to gender and equity issues"/>
    <n v="1"/>
    <n v="0"/>
    <n v="0"/>
    <n v="0"/>
    <n v="1"/>
    <n v="0"/>
    <n v="0"/>
    <n v="1"/>
    <n v="0.375"/>
    <m/>
    <n v="0"/>
    <s v="-"/>
    <n v="0"/>
    <n v="0"/>
    <n v="0"/>
    <n v="0"/>
    <n v="0"/>
    <s v="MoGLSD"/>
    <s v="018 Ministry of Gender, Labour and Social Development"/>
    <s v="N/A"/>
  </r>
  <r>
    <x v="6"/>
    <x v="6"/>
    <s v="021"/>
    <s v="Mineral exploration, development and value addition"/>
    <s v="0213"/>
    <s v="Strengthen the legal and regulatory framework as well as the human and institutional capacity"/>
    <s v="021303"/>
    <s v="Develop and implement training and apprenticeship programmes"/>
    <m/>
    <m/>
    <s v="02130301"/>
    <s v="Skilled human resource"/>
    <m/>
    <m/>
    <m/>
    <m/>
    <m/>
    <m/>
    <m/>
    <m/>
    <e v="#N/A"/>
    <s v="Develop and implement a training  program integrated into the education system for mining industry professionals with consideration to gender and equity issues"/>
    <n v="1"/>
    <n v="0"/>
    <n v="0"/>
    <n v="0"/>
    <n v="1"/>
    <n v="0"/>
    <n v="0"/>
    <n v="1"/>
    <n v="0.375"/>
    <m/>
    <n v="0"/>
    <s v="-"/>
    <n v="0"/>
    <n v="0"/>
    <n v="0"/>
    <n v="0"/>
    <n v="0"/>
    <s v="MoTIC"/>
    <s v="015 Ministry of Trade, Industry and Cooperatives"/>
    <s v="MoES, DGSM"/>
  </r>
  <r>
    <x v="6"/>
    <x v="6"/>
    <s v="021"/>
    <s v="Mineral exploration, development and value addition"/>
    <s v="0213"/>
    <s v="Strengthen the legal and regulatory framework as well as the human and institutional capacity"/>
    <s v="021303"/>
    <s v="Develop and implement training and apprenticeship programmes"/>
    <m/>
    <m/>
    <s v="02130301"/>
    <s v="Skilled human resource"/>
    <m/>
    <m/>
    <m/>
    <m/>
    <m/>
    <m/>
    <m/>
    <m/>
    <e v="#N/A"/>
    <s v="Develop and implement a training  program integrated into the education system for mining industry professionals with consideration to gender and equity issues"/>
    <n v="1"/>
    <n v="0"/>
    <n v="0"/>
    <n v="0"/>
    <n v="1"/>
    <n v="0"/>
    <n v="0"/>
    <n v="1"/>
    <n v="0.375"/>
    <m/>
    <n v="0"/>
    <s v="-"/>
    <n v="0"/>
    <n v="0"/>
    <n v="0"/>
    <n v="0"/>
    <n v="0"/>
    <s v="MoES"/>
    <s v="013 Ministry of Education and Sports"/>
    <s v="MTIC"/>
  </r>
  <r>
    <x v="6"/>
    <x v="6"/>
    <s v="021"/>
    <s v="Mineral exploration, development and value addition"/>
    <s v="0213"/>
    <s v="Strengthen the legal and regulatory framework as well as the human and institutional capacity"/>
    <s v="021304"/>
    <s v="Incentivize private sector to offer industrial training and apprenticeship opportunities"/>
    <m/>
    <m/>
    <s v="02130401"/>
    <s v="Increased apprenticeship opportunities;"/>
    <s v="Number of institutions offering industrial training and apprenticeship; "/>
    <s v="-"/>
    <n v="2"/>
    <n v="2"/>
    <n v="2"/>
    <n v="2"/>
    <n v="2"/>
    <s v="MEMD"/>
    <s v="017 Ministry of Energy and Mineral Development"/>
    <s v="Identify and short-list private institutions to offer apprenticeships"/>
    <n v="1"/>
    <n v="0"/>
    <n v="0"/>
    <n v="1"/>
    <n v="1"/>
    <n v="1"/>
    <n v="0"/>
    <n v="1"/>
    <n v="0.625"/>
    <m/>
    <n v="0"/>
    <s v="-"/>
    <n v="0.15"/>
    <n v="0.2"/>
    <n v="0.35"/>
    <n v="0.35"/>
    <n v="0.7"/>
    <s v="MEMD"/>
    <s v="017 Ministry of Energy and Mineral Development"/>
    <s v="MoES, MGLSD"/>
  </r>
  <r>
    <x v="6"/>
    <x v="6"/>
    <s v="021"/>
    <s v="Mineral exploration, development and value addition"/>
    <s v="0213"/>
    <s v="Strengthen the legal and regulatory framework as well as the human and institutional capacity"/>
    <s v="021304"/>
    <s v="Incentivize private sector to offer industrial training and apprenticeship opportunities"/>
    <m/>
    <m/>
    <s v="02130401"/>
    <s v="Increased apprenticeship opportunities;"/>
    <s v="Number of institutions offering industrial training and apprenticeship; "/>
    <m/>
    <m/>
    <m/>
    <m/>
    <m/>
    <m/>
    <m/>
    <e v="#N/A"/>
    <s v="Identify and short-list private institutions to offer apprenticeships"/>
    <n v="1"/>
    <n v="0"/>
    <n v="0"/>
    <n v="1"/>
    <n v="1"/>
    <n v="1"/>
    <n v="0"/>
    <n v="1"/>
    <n v="0.625"/>
    <m/>
    <n v="0"/>
    <s v="-"/>
    <n v="0.05"/>
    <n v="0.05"/>
    <n v="0.05"/>
    <n v="0.05"/>
    <n v="0.1"/>
    <s v="MoGLSD"/>
    <s v="018 Ministry of Gender, Labour and Social Development"/>
    <s v="MEMD, MoES"/>
  </r>
  <r>
    <x v="6"/>
    <x v="6"/>
    <s v="021"/>
    <s v="Mineral exploration, development and value addition"/>
    <s v="0213"/>
    <s v="Strengthen the legal and regulatory framework as well as the human and institutional capacity"/>
    <s v="021304"/>
    <s v="Incentivize private sector to offer industrial training and apprenticeship opportunities"/>
    <m/>
    <m/>
    <s v="02130401"/>
    <s v="Increased apprenticeship opportunities;"/>
    <s v="Number of institutions offering industrial training and apprenticeship; "/>
    <m/>
    <m/>
    <m/>
    <m/>
    <m/>
    <m/>
    <m/>
    <e v="#N/A"/>
    <s v="Identify and short-list private institutions to offer apprenticeships"/>
    <n v="1"/>
    <n v="0"/>
    <n v="0"/>
    <n v="1"/>
    <n v="1"/>
    <n v="1"/>
    <n v="0"/>
    <n v="1"/>
    <n v="0.625"/>
    <m/>
    <n v="0"/>
    <s v="-"/>
    <n v="0.05"/>
    <n v="0.05"/>
    <n v="0.05"/>
    <n v="0.05"/>
    <n v="0.1"/>
    <s v="MoES"/>
    <s v="013 Ministry of Education and Sports"/>
    <s v="MEMD, MGLSD"/>
  </r>
  <r>
    <x v="6"/>
    <x v="6"/>
    <s v="021"/>
    <s v="Mineral exploration, development and value addition"/>
    <s v="0213"/>
    <s v="Strengthen the legal and regulatory framework as well as the human and institutional capacity"/>
    <s v="021304"/>
    <s v="Incentivize private sector to offer industrial training and apprenticeship opportunities"/>
    <m/>
    <m/>
    <s v="02130401"/>
    <s v="Increased apprenticeship opportunities;"/>
    <s v="Number of institutions offering industrial training and apprenticeship; "/>
    <m/>
    <m/>
    <m/>
    <m/>
    <m/>
    <m/>
    <m/>
    <e v="#N/A"/>
    <s v="Facilitate trainees and apprentices for purposes of cost sharing with consideration to gender and equity issues"/>
    <n v="1"/>
    <n v="0"/>
    <n v="0"/>
    <n v="1"/>
    <n v="1"/>
    <n v="0"/>
    <n v="1"/>
    <n v="1"/>
    <n v="0.625"/>
    <m/>
    <n v="0"/>
    <s v="-"/>
    <s v="-"/>
    <n v="0.2"/>
    <n v="0.4"/>
    <n v="0.5"/>
    <n v="0.9"/>
    <s v="MoES"/>
    <s v="013 Ministry of Education and Sports"/>
    <s v="MEMD, MGLSD"/>
  </r>
  <r>
    <x v="6"/>
    <x v="6"/>
    <s v="021"/>
    <s v="Mineral exploration, development and value addition"/>
    <s v="0213"/>
    <s v="Strengthen the legal and regulatory framework as well as the human and institutional capacity"/>
    <s v="021304"/>
    <s v="Incentivize private sector to offer industrial training and apprenticeship opportunities"/>
    <m/>
    <m/>
    <s v="02130401"/>
    <s v="Increased apprenticeship opportunities;"/>
    <s v="Number of institutions offering industrial training and apprenticeship; "/>
    <m/>
    <m/>
    <m/>
    <m/>
    <m/>
    <m/>
    <m/>
    <e v="#N/A"/>
    <s v="Facilitate trainees and apprentices for purposes of cost sharing with consideration to gender and equity issues"/>
    <n v="1"/>
    <n v="0"/>
    <n v="0"/>
    <n v="1"/>
    <n v="1"/>
    <n v="0"/>
    <n v="1"/>
    <n v="1"/>
    <n v="0.625"/>
    <m/>
    <n v="0"/>
    <s v="-"/>
    <s v="-"/>
    <n v="0.05"/>
    <n v="0.05"/>
    <n v="0.05"/>
    <n v="0.1"/>
    <s v="MoGLSD"/>
    <s v="018 Ministry of Gender, Labour and Social Development"/>
    <s v="MEMD, MoES"/>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s v="Law in place"/>
    <n v="0"/>
    <s v="-"/>
    <s v="-"/>
    <s v="-"/>
    <s v="-"/>
    <n v="1"/>
    <s v="MEMD"/>
    <s v="017 Ministry of Energy and Mineral Development"/>
    <s v="Enact a law to regulate geo-scientists"/>
    <n v="1"/>
    <n v="0"/>
    <n v="0"/>
    <n v="1"/>
    <n v="1"/>
    <n v="0"/>
    <n v="0"/>
    <n v="1"/>
    <n v="0.5"/>
    <m/>
    <n v="0"/>
    <n v="0"/>
    <n v="0"/>
    <s v="-"/>
    <s v=" -"/>
    <s v="-"/>
    <n v="0"/>
    <s v="MEMD"/>
    <s v="017 Ministry of Energy and Mineral Development"/>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Enact a law to regulate geo-scientists"/>
    <n v="1"/>
    <n v="0"/>
    <n v="0"/>
    <n v="1"/>
    <n v="1"/>
    <n v="0"/>
    <n v="0"/>
    <n v="1"/>
    <n v="0.5"/>
    <m/>
    <n v="0"/>
    <s v="-"/>
    <n v="0"/>
    <s v="-"/>
    <s v="-"/>
    <s v="-"/>
    <n v="0"/>
    <s v="MoJCA"/>
    <s v="007 Ministry of Justice and Constitutional Affairs"/>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Enact a law to regulate geo-scientists"/>
    <n v="1"/>
    <n v="0"/>
    <n v="0"/>
    <n v="1"/>
    <n v="1"/>
    <n v="0"/>
    <n v="0"/>
    <n v="1"/>
    <n v="0.5"/>
    <m/>
    <n v="0"/>
    <s v="-"/>
    <n v="0"/>
    <s v="-"/>
    <s v="-"/>
    <s v="-"/>
    <n v="0"/>
    <s v="OP (Cabinet Secretariat)"/>
    <s v="001 Office of the President"/>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Enact a law to regulate geo-scientists"/>
    <n v="1"/>
    <n v="0"/>
    <n v="0"/>
    <n v="1"/>
    <n v="1"/>
    <n v="0"/>
    <n v="0"/>
    <n v="1"/>
    <n v="0.5"/>
    <m/>
    <n v="0"/>
    <s v="-"/>
    <n v="0"/>
    <s v="-"/>
    <s v="-"/>
    <s v="-"/>
    <n v="0"/>
    <s v="Parliament"/>
    <s v="104 Parliamentary Commission"/>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Formulate and gazette regulations"/>
    <n v="1"/>
    <n v="0"/>
    <n v="0"/>
    <n v="0"/>
    <n v="0"/>
    <n v="0"/>
    <n v="0"/>
    <n v="1"/>
    <n v="0.25"/>
    <m/>
    <n v="0"/>
    <s v="-"/>
    <s v="-"/>
    <n v="0"/>
    <n v="0"/>
    <s v="-"/>
    <n v="0"/>
    <s v="MEMD"/>
    <s v="017 Ministry of Energy and Mineral Development"/>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Formulate and gazette regulations"/>
    <n v="1"/>
    <n v="0"/>
    <n v="0"/>
    <n v="0"/>
    <n v="0"/>
    <n v="0"/>
    <n v="0"/>
    <n v="1"/>
    <n v="0.25"/>
    <m/>
    <n v="0"/>
    <s v="-"/>
    <s v="-"/>
    <n v="0"/>
    <n v="0"/>
    <s v="-"/>
    <n v="0"/>
    <s v="MoJCA"/>
    <s v="007 Ministry of Justice and Constitutional Affairs"/>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Formulate and gazette regulations"/>
    <n v="1"/>
    <n v="0"/>
    <n v="0"/>
    <n v="0"/>
    <n v="0"/>
    <n v="0"/>
    <n v="0"/>
    <n v="1"/>
    <n v="0.25"/>
    <m/>
    <n v="0"/>
    <s v="-"/>
    <s v="-"/>
    <n v="0"/>
    <n v="0"/>
    <s v="-"/>
    <n v="0"/>
    <s v="OP (Cabinet Secretariat)"/>
    <s v="001 Office of the President"/>
    <s v="N/A"/>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Put in place professional standards for geoscientists"/>
    <n v="1"/>
    <n v="0"/>
    <n v="0"/>
    <n v="0"/>
    <n v="0"/>
    <n v="0"/>
    <n v="0"/>
    <n v="1"/>
    <n v="0.25"/>
    <m/>
    <n v="0"/>
    <s v="-"/>
    <s v="-"/>
    <n v="0.4"/>
    <m/>
    <s v="-"/>
    <n v="0"/>
    <s v="MEMD"/>
    <s v="017 Ministry of Energy and Mineral Development"/>
    <s v="MoES, UNBS"/>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a"/>
    <s v="Develop professional standards and necessary legislations"/>
    <s v="021305a01"/>
    <s v="Law regulating geo-scientists and its associated professionals in place"/>
    <m/>
    <m/>
    <m/>
    <m/>
    <m/>
    <m/>
    <m/>
    <m/>
    <e v="#N/A"/>
    <s v="Put in place professional standards for geoscientists"/>
    <n v="1"/>
    <n v="0"/>
    <n v="0"/>
    <n v="0"/>
    <n v="0"/>
    <n v="0"/>
    <n v="0"/>
    <n v="1"/>
    <n v="0.25"/>
    <m/>
    <n v="0"/>
    <s v="-"/>
    <s v="-"/>
    <n v="0.1"/>
    <m/>
    <s v="-"/>
    <n v="0"/>
    <s v="UNBS"/>
    <s v="154 Uganda National Bureau of Standards"/>
    <s v="MEMD, DGSM"/>
  </r>
  <r>
    <x v="6"/>
    <x v="6"/>
    <s v="021"/>
    <s v="Mineral exploration, development and value addition"/>
    <s v="0213"/>
    <s v="Strengthen the legal and regulatory framework as well as the human and institutional capacity"/>
    <s v="021305"/>
    <s v="Strengthen professionalization of geo-scientists and its associated professionals "/>
    <s v="021305b"/>
    <s v="Establish a professional registration body"/>
    <s v="021305b01"/>
    <s v="Professional registration body established"/>
    <s v="Professional registration body established"/>
    <n v="0"/>
    <s v="-"/>
    <s v="-"/>
    <n v="1"/>
    <s v="-"/>
    <s v="-"/>
    <s v="MEMD"/>
    <s v="017 Ministry of Energy and Mineral Development"/>
    <s v="Establish and staff a professional registration body for geoscientists and associated professionals with consideration to gender and equity issues"/>
    <n v="1"/>
    <n v="0"/>
    <n v="0"/>
    <n v="0"/>
    <n v="0"/>
    <n v="0"/>
    <n v="0"/>
    <n v="1"/>
    <n v="0.25"/>
    <m/>
    <n v="0"/>
    <s v=" -"/>
    <s v=" -"/>
    <n v="0.5"/>
    <m/>
    <s v="-"/>
    <n v="0"/>
    <s v="MEMD"/>
    <s v="017 Ministry of Energy and Mineral Development"/>
    <s v=" MoJCA "/>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s v="Staffing Level"/>
    <s v="-"/>
    <n v="60"/>
    <n v="70"/>
    <n v="80"/>
    <n v="90"/>
    <n v="95"/>
    <s v="MEMD"/>
    <s v="017 Ministry of Energy and Mineral Development"/>
    <s v="Institutional rearrangement through restructuring"/>
    <n v="1"/>
    <n v="0"/>
    <n v="0"/>
    <n v="1"/>
    <n v="1"/>
    <n v="0"/>
    <n v="0"/>
    <n v="1"/>
    <n v="0.5"/>
    <m/>
    <n v="0"/>
    <n v="2"/>
    <n v="2"/>
    <n v="2"/>
    <n v="0.5"/>
    <n v="0.5"/>
    <n v="1"/>
    <s v="MEMD"/>
    <s v="017 Ministry of Energy and Mineral Development"/>
    <s v="MPS"/>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s v="Number of institutions equipped"/>
    <s v="-"/>
    <n v="0"/>
    <n v="1"/>
    <n v="4"/>
    <n v="108"/>
    <n v="208"/>
    <s v="MEMD"/>
    <s v="017 Ministry of Energy and Mineral Development"/>
    <s v="Staffing and training"/>
    <n v="1"/>
    <n v="0"/>
    <n v="0"/>
    <n v="1"/>
    <n v="1"/>
    <n v="0"/>
    <n v="0"/>
    <n v="1"/>
    <n v="0.5"/>
    <m/>
    <n v="0"/>
    <n v="0.2"/>
    <n v="1"/>
    <n v="1"/>
    <n v="0.5"/>
    <n v="0.5"/>
    <n v="1"/>
    <s v="MEMD"/>
    <s v="017 Ministry of Energy and Mineral Development"/>
    <s v="MoES"/>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m/>
    <m/>
    <m/>
    <m/>
    <m/>
    <m/>
    <m/>
    <m/>
    <e v="#N/A"/>
    <s v="Staffing and training"/>
    <n v="1"/>
    <n v="0"/>
    <n v="0"/>
    <n v="1"/>
    <n v="1"/>
    <n v="0"/>
    <n v="0"/>
    <n v="1"/>
    <n v="0.5"/>
    <m/>
    <n v="0"/>
    <s v="-"/>
    <n v="0.1"/>
    <n v="0.2"/>
    <n v="0.2"/>
    <n v="0.2"/>
    <n v="0.4"/>
    <s v="MoPS"/>
    <s v="005 Ministry of Public Service"/>
    <s v="MEMD,MoES"/>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m/>
    <m/>
    <m/>
    <m/>
    <m/>
    <m/>
    <m/>
    <m/>
    <e v="#N/A"/>
    <s v="Providing physical and administrative infrastructure for new institutions"/>
    <n v="1"/>
    <n v="0"/>
    <n v="0"/>
    <n v="1"/>
    <n v="1"/>
    <n v="1"/>
    <n v="0"/>
    <n v="1"/>
    <n v="0.625"/>
    <m/>
    <n v="0"/>
    <s v="-"/>
    <n v="4.8"/>
    <n v="10"/>
    <n v="10"/>
    <n v="10"/>
    <n v="20"/>
    <s v="MEMD (DGSM)"/>
    <s v="017 Ministry of Energy and Mineral Development"/>
    <s v="MEMD, MoFPED"/>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m/>
    <m/>
    <m/>
    <m/>
    <m/>
    <m/>
    <m/>
    <m/>
    <e v="#N/A"/>
    <s v="Providing physical and administrative infrastructure for new institutions"/>
    <n v="1"/>
    <n v="0"/>
    <n v="0"/>
    <n v="1"/>
    <n v="1"/>
    <n v="1"/>
    <n v="0"/>
    <n v="1"/>
    <n v="0.625"/>
    <m/>
    <n v="0"/>
    <s v="-"/>
    <n v="0.2"/>
    <n v="0.3"/>
    <n v="0.4"/>
    <n v="0.5"/>
    <n v="0.9"/>
    <s v="MoWT"/>
    <s v="016 Ministry of Works and Transport"/>
    <s v="MEMD, MoFPED"/>
  </r>
  <r>
    <x v="6"/>
    <x v="6"/>
    <s v="021"/>
    <s v="Mineral exploration, development and value addition"/>
    <s v="0213"/>
    <s v="Strengthen the legal and regulatory framework as well as the human and institutional capacity"/>
    <s v="021306"/>
    <s v="Strengthen the capacity to undertake mineral certification, trading, testing, inspection, regulation and enforcement"/>
    <m/>
    <m/>
    <s v="02130601"/>
    <s v="Institutions equipped (tools and human resource)"/>
    <m/>
    <m/>
    <m/>
    <m/>
    <m/>
    <m/>
    <m/>
    <m/>
    <e v="#N/A"/>
    <s v="Procure mineral certification, trading, testing, inspection, regulation and enforcement equipment"/>
    <n v="1"/>
    <n v="0"/>
    <n v="0"/>
    <n v="1"/>
    <n v="1"/>
    <n v="1"/>
    <n v="0"/>
    <n v="1"/>
    <n v="0.625"/>
    <m/>
    <n v="0"/>
    <n v="23"/>
    <n v="23"/>
    <n v="23"/>
    <n v="22"/>
    <n v="22"/>
    <n v="44"/>
    <s v="MEMD (DGSM)"/>
    <s v="017 Ministry of Energy and Mineral Development"/>
    <s v="MEMD, MoFPED, UNBS"/>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s v="Number of companies/miners complying with regulations"/>
    <m/>
    <n v="100"/>
    <n v="100"/>
    <n v="100"/>
    <n v="100"/>
    <n v="100"/>
    <s v="MEMD"/>
    <s v="017 Ministry of Energy and Mineral Development"/>
    <s v="Compliance enforcement and supervision of miners"/>
    <n v="1"/>
    <n v="0"/>
    <n v="0"/>
    <n v="1"/>
    <n v="1"/>
    <n v="1"/>
    <n v="1"/>
    <n v="1"/>
    <n v="0.75"/>
    <m/>
    <n v="0"/>
    <n v="0.5"/>
    <n v="0.5"/>
    <n v="0.5"/>
    <n v="2.5"/>
    <n v="2.5"/>
    <n v="5"/>
    <s v="MEMD (DGSM)"/>
    <s v="017 Ministry of Energy and Mineral Development"/>
    <s v="NEMA, LGs, UPF, DGSM, MGLSD"/>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Compliance enforcement and supervision of miners"/>
    <n v="1"/>
    <n v="0"/>
    <n v="0"/>
    <n v="1"/>
    <n v="1"/>
    <n v="1"/>
    <n v="1"/>
    <n v="1"/>
    <n v="0.75"/>
    <m/>
    <n v="0"/>
    <s v="-"/>
    <n v="1"/>
    <n v="1"/>
    <n v="1"/>
    <n v="1"/>
    <n v="2"/>
    <s v="LGs"/>
    <s v="500 501-850 Local Governments"/>
    <s v="NEMA, LGs, UPF, DGSM, MGLSD"/>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Compliance enforcement and supervision of miners"/>
    <n v="1"/>
    <n v="0"/>
    <n v="0"/>
    <n v="1"/>
    <n v="1"/>
    <n v="1"/>
    <n v="1"/>
    <n v="1"/>
    <n v="0.75"/>
    <m/>
    <n v="0"/>
    <s v="-"/>
    <n v="0.2"/>
    <n v="0.2"/>
    <n v="0.2"/>
    <n v="0.2"/>
    <n v="0.4"/>
    <s v="NEMA"/>
    <s v="150 National Environment Management Authority"/>
    <s v="NEMA, LGs, UPF, DGSM, MGLSD"/>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Development of technical standards on HSE with consideration to gender and equity issues"/>
    <n v="1"/>
    <n v="0"/>
    <n v="0"/>
    <n v="1"/>
    <n v="1"/>
    <n v="1"/>
    <n v="0"/>
    <n v="1"/>
    <n v="0.625"/>
    <m/>
    <n v="0"/>
    <s v="-"/>
    <n v="0.35"/>
    <n v="0.35"/>
    <n v="0.35"/>
    <n v="0.35"/>
    <n v="0.7"/>
    <s v="MEMD (DGSM)"/>
    <s v="017 Ministry of Energy and Mineral Development"/>
    <s v="NEMA, MoGLSD"/>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Development of technical standards on HSE with consideration to gender and equity issues"/>
    <n v="1"/>
    <n v="0"/>
    <n v="0"/>
    <n v="1"/>
    <n v="1"/>
    <n v="1"/>
    <n v="0"/>
    <n v="1"/>
    <n v="0.625"/>
    <m/>
    <n v="0"/>
    <s v="-"/>
    <n v="0.05"/>
    <n v="0.05"/>
    <n v="0.05"/>
    <n v="0.05"/>
    <n v="0.1"/>
    <s v="UNBS"/>
    <s v="154 Uganda National Bureau of Standards"/>
    <s v="MEMD, MGLSD"/>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Undertake risks assessment, Strategic environment assessments for Policy, Plan and Programmes (PPPs)"/>
    <n v="1"/>
    <n v="0"/>
    <n v="0"/>
    <n v="1"/>
    <n v="1"/>
    <n v="0"/>
    <n v="0"/>
    <n v="1"/>
    <n v="0.5"/>
    <m/>
    <n v="0"/>
    <s v="-"/>
    <n v="0.6"/>
    <n v="0.6"/>
    <n v="0.6"/>
    <n v="0.6"/>
    <n v="1.2"/>
    <s v="MEMD"/>
    <s v="017 Ministry of Energy and Mineral Development"/>
    <s v="NEMA, DGSM"/>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Review, design &amp; construct monitoring network to improve water resources monitoring in mineral exploration/ reserve areas"/>
    <n v="1"/>
    <n v="0"/>
    <n v="0"/>
    <n v="0"/>
    <n v="1"/>
    <n v="0"/>
    <n v="0"/>
    <n v="1"/>
    <n v="0.375"/>
    <m/>
    <n v="0"/>
    <s v="-"/>
    <n v="0.1"/>
    <n v="0.1"/>
    <m/>
    <m/>
    <n v="0"/>
    <s v="MEMD"/>
    <s v="017 Ministry of Energy and Mineral Development"/>
    <s v="MWT, MWE"/>
  </r>
  <r>
    <x v="6"/>
    <x v="6"/>
    <s v="021"/>
    <s v="Mineral exploration, development and value addition"/>
    <s v="0213"/>
    <s v="Strengthen the legal and regulatory framework as well as the human and institutional capacity"/>
    <s v="021307"/>
    <s v="Strengthen monitoring and inspection of mining operations to minimize negative social and environmental impacts"/>
    <m/>
    <m/>
    <s v="02130701"/>
    <s v="Technical standards on HSE developed to minimize degradation of environment by mining activities and ensure safety of miners"/>
    <m/>
    <m/>
    <m/>
    <m/>
    <m/>
    <m/>
    <m/>
    <m/>
    <e v="#N/A"/>
    <s v="Review, design &amp; construct monitoring network to improve water resources monitoring in mineral exploration/ reserve areas"/>
    <n v="1"/>
    <n v="0"/>
    <n v="0"/>
    <n v="0"/>
    <n v="1"/>
    <n v="0"/>
    <n v="0"/>
    <n v="1"/>
    <n v="0.375"/>
    <m/>
    <n v="0"/>
    <s v="-"/>
    <n v="0.2"/>
    <n v="0.2"/>
    <m/>
    <m/>
    <n v="0"/>
    <s v="MWE"/>
    <s v="019 Ministry of Water and Environment"/>
    <s v="MWT, MEMD"/>
  </r>
  <r>
    <x v="6"/>
    <x v="6"/>
    <s v="021"/>
    <s v="Mineral exploration, development and value addition"/>
    <s v="0213"/>
    <s v="Strengthen the legal and regulatory framework as well as the human and institutional capacity"/>
    <s v="021308"/>
    <s v="Require mining companies to enter into Community Development Agreements (CDAs) with mining host communities"/>
    <m/>
    <m/>
    <s v="02130801"/>
    <s v="Increased household incomes among the mining communities"/>
    <s v="Number of agreements signed between mining companies and host communities"/>
    <m/>
    <n v="0"/>
    <n v="0"/>
    <n v="2"/>
    <n v="1"/>
    <n v="1"/>
    <s v="MEMD"/>
    <s v="017 Ministry of Energy and Mineral Development"/>
    <s v="Develop and publicize model agreements "/>
    <n v="1"/>
    <n v="0"/>
    <n v="0"/>
    <n v="1"/>
    <n v="1"/>
    <n v="1"/>
    <n v="0"/>
    <n v="1"/>
    <n v="0.625"/>
    <m/>
    <n v="0"/>
    <s v="-"/>
    <n v="0.5"/>
    <n v="0.5"/>
    <n v="0.5"/>
    <n v="0.5"/>
    <n v="1"/>
    <s v="MEMD (DGSM)"/>
    <s v="017 Ministry of Energy and Mineral Development"/>
    <s v="MEMD, MJCA, LGs"/>
  </r>
  <r>
    <x v="6"/>
    <x v="6"/>
    <s v="021"/>
    <s v="Mineral exploration, development and value addition"/>
    <s v="0213"/>
    <s v="Strengthen the legal and regulatory framework as well as the human and institutional capacity"/>
    <s v="021308"/>
    <s v="Require mining companies to enter into Community Development Agreements (CDAs) with mining host communities"/>
    <m/>
    <m/>
    <s v="02130801"/>
    <s v="Increased household incomes among the mining communities"/>
    <m/>
    <m/>
    <m/>
    <m/>
    <m/>
    <m/>
    <m/>
    <m/>
    <e v="#N/A"/>
    <s v="Implement and enforce CDAs requirements"/>
    <n v="1"/>
    <n v="1"/>
    <n v="1"/>
    <n v="1"/>
    <n v="1"/>
    <n v="0"/>
    <n v="1"/>
    <n v="1"/>
    <n v="0.875"/>
    <m/>
    <n v="0"/>
    <n v="0.5"/>
    <n v="0.3"/>
    <n v="0.3"/>
    <n v="0.3"/>
    <n v="0.6"/>
    <n v="0.89999999999999991"/>
    <s v="MEMD (DGSM)"/>
    <s v="017 Ministry of Energy and Mineral Development"/>
    <s v="MEMD, LGs"/>
  </r>
  <r>
    <x v="6"/>
    <x v="6"/>
    <s v="021"/>
    <s v="Mineral exploration, development and value addition"/>
    <s v="0213"/>
    <s v="Strengthen the legal and regulatory framework as well as the human and institutional capacity"/>
    <s v="021308"/>
    <s v="Require mining companies to enter into Community Development Agreements (CDAs) with mining host communities"/>
    <m/>
    <m/>
    <s v="02130801"/>
    <s v="Increased household incomes among the mining communities"/>
    <m/>
    <m/>
    <m/>
    <m/>
    <m/>
    <m/>
    <m/>
    <m/>
    <e v="#N/A"/>
    <s v="Implement and enforce CDAs requirements"/>
    <n v="1"/>
    <n v="1"/>
    <n v="1"/>
    <n v="1"/>
    <n v="1"/>
    <n v="0"/>
    <n v="1"/>
    <n v="1"/>
    <n v="0.875"/>
    <m/>
    <n v="0"/>
    <s v="-"/>
    <n v="0.2"/>
    <n v="0.2"/>
    <n v="0.2"/>
    <n v="0.4"/>
    <n v="0.60000000000000009"/>
    <s v="LGs"/>
    <s v="500 501-850 Local Governments"/>
    <s v="MEMD, DGSM"/>
  </r>
  <r>
    <x v="6"/>
    <x v="6"/>
    <s v="021"/>
    <s v="Mineral exploration, development and value addition"/>
    <s v="0213"/>
    <s v="Strengthen the legal and regulatory framework as well as the human and institutional capacity"/>
    <s v="021308"/>
    <s v="Require mining companies to enter into Community Development Agreements (CDAs) with mining host communities"/>
    <m/>
    <m/>
    <s v="02130801"/>
    <s v="Increased household incomes among the mining communities"/>
    <m/>
    <m/>
    <m/>
    <m/>
    <m/>
    <m/>
    <m/>
    <m/>
    <e v="#N/A"/>
    <s v="Sensitization and awareness campaigns on CDAs"/>
    <n v="1"/>
    <n v="0"/>
    <n v="0"/>
    <n v="1"/>
    <n v="1"/>
    <n v="0"/>
    <n v="1"/>
    <n v="1"/>
    <n v="0.625"/>
    <m/>
    <n v="0"/>
    <s v="-"/>
    <n v="0.3"/>
    <n v="0.3"/>
    <n v="0.3"/>
    <n v="0.3"/>
    <n v="0.6"/>
    <s v="MEMD (DGSM)"/>
    <s v="017 Ministry of Energy and Mineral Development"/>
    <s v="MEMD, LGs"/>
  </r>
  <r>
    <x v="6"/>
    <x v="6"/>
    <s v="021"/>
    <s v="Mineral exploration, development and value addition"/>
    <s v="0213"/>
    <s v="Strengthen the legal and regulatory framework as well as the human and institutional capacity"/>
    <s v="021308"/>
    <s v="Require mining companies to enter into Community Development Agreements (CDAs) with mining host communities"/>
    <m/>
    <m/>
    <s v="02130801"/>
    <s v="Increased household incomes among the mining communities"/>
    <m/>
    <m/>
    <m/>
    <m/>
    <m/>
    <m/>
    <m/>
    <m/>
    <e v="#N/A"/>
    <s v="Sensitization and awareness campaigns on CDAs"/>
    <n v="1"/>
    <n v="0"/>
    <n v="0"/>
    <n v="1"/>
    <n v="1"/>
    <n v="0"/>
    <n v="1"/>
    <n v="1"/>
    <n v="0.625"/>
    <m/>
    <n v="0"/>
    <s v="-"/>
    <n v="0.2"/>
    <n v="0.2"/>
    <n v="0.2"/>
    <n v="0.2"/>
    <n v="0.4"/>
    <s v="MoLG"/>
    <s v="011 Ministry of Local Government"/>
    <s v="MEMD, DGSM"/>
  </r>
  <r>
    <x v="6"/>
    <x v="6"/>
    <s v="021"/>
    <s v="Mineral exploration, development and value addition"/>
    <s v="0213"/>
    <s v="Strengthen the legal and regulatory framework as well as the human and institutional capacity"/>
    <s v="021309"/>
    <s v="Provide a framework for gender mainstreaming, equity and human rights and eradication of child labour in the mining industry"/>
    <m/>
    <m/>
    <s v="02130901"/>
    <s v="Equal opportunities (EO) for all and eradication of child labour in mining"/>
    <s v="Framework in place"/>
    <n v="0"/>
    <n v="0"/>
    <n v="1"/>
    <n v="0"/>
    <n v="0"/>
    <n v="0"/>
    <s v="MoGLSD"/>
    <s v="018 Ministry of Gender, Labour and Social Development"/>
    <s v="Develop an equal opportunity and gender mainstreaming tool and ensure its implementation "/>
    <n v="1"/>
    <n v="0"/>
    <n v="1"/>
    <n v="1"/>
    <n v="1"/>
    <n v="1"/>
    <n v="1"/>
    <n v="0"/>
    <n v="0.75"/>
    <m/>
    <n v="0"/>
    <s v="-"/>
    <n v="0.1"/>
    <n v="0.1"/>
    <n v="0.2"/>
    <n v="0.25"/>
    <n v="0.45"/>
    <s v="MEMD (DGSM)"/>
    <s v="017 Ministry of Energy and Mineral Development"/>
    <s v="MGLSD"/>
  </r>
  <r>
    <x v="6"/>
    <x v="6"/>
    <s v="021"/>
    <s v="Mineral exploration, development and value addition"/>
    <s v="0213"/>
    <s v="Strengthen the legal and regulatory framework as well as the human and institutional capacity"/>
    <s v="021309"/>
    <s v="Provide a framework for gender mainstreaming, equity and human rights and eradication of child labour in the mining industry"/>
    <m/>
    <m/>
    <s v="02130901"/>
    <s v="Equal opportunities (EO) for all and eradication of child labour in mining"/>
    <m/>
    <m/>
    <m/>
    <m/>
    <m/>
    <m/>
    <m/>
    <m/>
    <e v="#N/A"/>
    <s v="Develop an equal opportunity and gender mainstreaming tool and ensure its implementation "/>
    <n v="1"/>
    <n v="0"/>
    <n v="1"/>
    <n v="1"/>
    <n v="1"/>
    <n v="1"/>
    <n v="1"/>
    <n v="0"/>
    <n v="0.75"/>
    <m/>
    <n v="0"/>
    <s v="-"/>
    <n v="0.05"/>
    <n v="0.05"/>
    <n v="0.05"/>
    <n v="0.05"/>
    <n v="0.1"/>
    <s v="MoGLSD"/>
    <s v="018 Ministry of Gender, Labour and Social Development"/>
    <s v="DGSM"/>
  </r>
  <r>
    <x v="6"/>
    <x v="6"/>
    <s v="021"/>
    <s v="Mineral exploration, development and value addition"/>
    <s v="0213"/>
    <s v="Strengthen the legal and regulatory framework as well as the human and institutional capacity"/>
    <s v="021309"/>
    <s v="Provide a framework for gender mainstreaming, equity and human rights and eradication of child labour in the mining industry"/>
    <m/>
    <m/>
    <s v="02130901"/>
    <s v="Equal opportunities (EO) for all and eradication of child labour in mining"/>
    <m/>
    <m/>
    <m/>
    <m/>
    <m/>
    <m/>
    <m/>
    <m/>
    <e v="#N/A"/>
    <s v="Develop an equal opportunity and gender mainstreaming tool and ensure its implementation "/>
    <n v="1"/>
    <n v="0"/>
    <n v="1"/>
    <n v="1"/>
    <n v="1"/>
    <n v="1"/>
    <n v="1"/>
    <n v="0"/>
    <n v="0.75"/>
    <m/>
    <n v="0"/>
    <s v="-"/>
    <n v="0.1"/>
    <n v="0.1"/>
    <n v="0.1"/>
    <n v="0.1"/>
    <n v="0.2"/>
    <s v="EOC"/>
    <s v="124 Equal Opportunities Commission"/>
    <s v="MGLSD, MEMD, DGSM"/>
  </r>
  <r>
    <x v="6"/>
    <x v="6"/>
    <s v="021"/>
    <s v="Mineral exploration, development and value addition"/>
    <s v="0213"/>
    <s v="Strengthen the legal and regulatory framework as well as the human and institutional capacity"/>
    <s v="021310"/>
    <s v="Domesticate appropriate regional and international treaties, conventions, agreements, protocols which support good governance in the mining industry"/>
    <m/>
    <m/>
    <s v="02131001"/>
    <s v="Good governance and best practices applied in the mining industry"/>
    <s v="Number of treaties, conventions, agreements, protocols domesticated "/>
    <n v="0"/>
    <n v="1"/>
    <n v="1"/>
    <n v="1"/>
    <n v="1"/>
    <n v="1"/>
    <s v="MoJCA"/>
    <s v="007 Ministry of Justice and Constitutional Affairs"/>
    <s v="Domesticate relevant treaties, protocols and conventions"/>
    <n v="1"/>
    <n v="0"/>
    <n v="0"/>
    <n v="1"/>
    <n v="1"/>
    <n v="0"/>
    <n v="0"/>
    <n v="1"/>
    <n v="0.5"/>
    <m/>
    <n v="0"/>
    <n v="0"/>
    <n v="0"/>
    <n v="0.6"/>
    <n v="0.1"/>
    <n v="0.1"/>
    <n v="0.2"/>
    <s v="MEMD"/>
    <s v="017 Ministry of Energy and Mineral Development"/>
    <s v="MJCA, MoFA, OAG"/>
  </r>
  <r>
    <x v="6"/>
    <x v="6"/>
    <s v="021"/>
    <s v="Mineral exploration, development and value addition"/>
    <s v="0213"/>
    <s v="Strengthen the legal and regulatory framework as well as the human and institutional capacity"/>
    <s v="021310"/>
    <s v="Domesticate appropriate regional and international treaties, conventions, agreements, protocols which support good governance in the mining industry"/>
    <m/>
    <m/>
    <s v="02131001"/>
    <s v="Good governance and best practices applied in the mining industry"/>
    <m/>
    <m/>
    <m/>
    <m/>
    <m/>
    <m/>
    <m/>
    <m/>
    <e v="#N/A"/>
    <s v="Domesticate relevant treaties, protocols and conventions"/>
    <n v="1"/>
    <n v="0"/>
    <n v="0"/>
    <n v="1"/>
    <n v="1"/>
    <n v="0"/>
    <n v="0"/>
    <n v="1"/>
    <n v="0.5"/>
    <m/>
    <n v="0"/>
    <s v="-"/>
    <s v="-"/>
    <n v="0.5"/>
    <n v="0.2"/>
    <n v="0.1"/>
    <n v="0.30000000000000004"/>
    <s v="MoFA"/>
    <s v="006 Ministry of Foreign Affairs"/>
    <s v="MEMD, MJCA, OAG"/>
  </r>
  <r>
    <x v="6"/>
    <x v="6"/>
    <s v="021"/>
    <s v="Mineral exploration, development and value addition"/>
    <s v="0213"/>
    <s v="Strengthen the legal and regulatory framework as well as the human and institutional capacity"/>
    <s v="021310"/>
    <s v="Domesticate appropriate regional and international treaties, conventions, agreements, protocols which support good governance in the mining industry"/>
    <m/>
    <m/>
    <s v="02131001"/>
    <s v="Good governance and best practices applied in the mining industry"/>
    <m/>
    <m/>
    <m/>
    <m/>
    <m/>
    <m/>
    <m/>
    <m/>
    <e v="#N/A"/>
    <s v="Formulate and gazette regulations for the ICGLR (Implementation of the Pact on Security, Stability and Development in the Great Lakes Region) Act 2017"/>
    <m/>
    <m/>
    <m/>
    <m/>
    <m/>
    <m/>
    <n v="0"/>
    <n v="0"/>
    <n v="0"/>
    <m/>
    <n v="0"/>
    <n v="0.2"/>
    <n v="0.2"/>
    <n v="0.2"/>
    <m/>
    <m/>
    <n v="0"/>
    <s v="MEMD"/>
    <s v="017 Ministry of Energy and Mineral Development"/>
    <s v="MGLSD, Cabinet Secretary, Parlaiment, MJCA"/>
  </r>
  <r>
    <x v="6"/>
    <x v="6"/>
    <s v="021"/>
    <s v="Mineral exploration, development and value addition"/>
    <s v="0213"/>
    <s v="Strengthen the legal and regulatory framework as well as the human and institutional capacity"/>
    <s v="021310"/>
    <s v="Domesticate appropriate regional and international treaties, conventions, agreements, protocols which support good governance in the mining industry"/>
    <m/>
    <m/>
    <s v="02131001"/>
    <s v="Good governance and best practices applied in the mining industry"/>
    <m/>
    <m/>
    <m/>
    <m/>
    <m/>
    <m/>
    <m/>
    <m/>
    <e v="#N/A"/>
    <s v="Formulate and gazette regulations for the ICGLR (Implementation of the Pact on Security, Stability and Development in the Great Lakes Region) Act 2018"/>
    <m/>
    <m/>
    <m/>
    <m/>
    <m/>
    <m/>
    <n v="0"/>
    <n v="0"/>
    <n v="0"/>
    <m/>
    <n v="0"/>
    <s v="-"/>
    <n v="0.1"/>
    <n v="0.1"/>
    <m/>
    <m/>
    <n v="0"/>
    <s v="MoFA"/>
    <s v="006 Ministry of Foreign Affairs"/>
    <s v="MGLSD, Cabinet Secretary, Parlaiment, MJCA"/>
  </r>
  <r>
    <x v="6"/>
    <x v="6"/>
    <s v="021"/>
    <s v="Mineral exploration, development and value addition"/>
    <s v="0213"/>
    <s v="Strengthen the legal and regulatory framework as well as the human and institutional capacity"/>
    <s v="021310"/>
    <s v="Domesticate appropriate regional and international treaties, conventions, agreements, protocols which support good governance in the mining industry"/>
    <m/>
    <m/>
    <s v="02131001"/>
    <s v="Good governance and best practices applied in the mining industry"/>
    <m/>
    <m/>
    <m/>
    <m/>
    <m/>
    <m/>
    <m/>
    <m/>
    <e v="#N/A"/>
    <s v="Formulate and gazette regulations for the ICGLR (Implementation of the Pact on Security, Stability and Development in the Great Lakes Region) Act 2019"/>
    <m/>
    <m/>
    <m/>
    <m/>
    <m/>
    <m/>
    <n v="0"/>
    <n v="0"/>
    <n v="0"/>
    <m/>
    <n v="0"/>
    <s v="-"/>
    <n v="0"/>
    <n v="0"/>
    <n v="0"/>
    <n v="0"/>
    <n v="0"/>
    <s v="MoJCA"/>
    <s v="007 Ministry of Justice and Constitutional Affairs"/>
    <s v="MGLSD, Cabinet Secretary, Parlaiment, MJCA"/>
  </r>
  <r>
    <x v="6"/>
    <x v="6"/>
    <s v="021"/>
    <s v="Mineral exploration, development and value addition"/>
    <s v="0213"/>
    <s v="Strengthen the legal and regulatory framework as well as the human and institutional capacity"/>
    <s v="021311"/>
    <s v="Establish and strengthen earthquake, landslides and other geohazard monitoring systems"/>
    <m/>
    <m/>
    <s v="02131101"/>
    <s v="Measures to avoid destruction of life and property due to geo hazards put in place"/>
    <s v="Frequency of early warnings to potential geohazards"/>
    <m/>
    <s v="In time"/>
    <s v="In time"/>
    <s v="In time"/>
    <s v="In time"/>
    <s v="In time"/>
    <s v="MEMD"/>
    <s v="017 Ministry of Energy and Mineral Development"/>
    <s v="Develop an earthquake and geo-hazard (earthquakes, landslides, volcanism, flooding) monitoring systems and guarantee their use to ensure timely warning and mitigation  of geohazards"/>
    <n v="1"/>
    <n v="0"/>
    <n v="0"/>
    <n v="1"/>
    <n v="1"/>
    <n v="1"/>
    <n v="0"/>
    <n v="1"/>
    <n v="0.625"/>
    <m/>
    <n v="0"/>
    <n v="0.5"/>
    <n v="2.5"/>
    <n v="2.5"/>
    <n v="2.5"/>
    <n v="2.5"/>
    <n v="5"/>
    <s v="MEMD (DGSM)"/>
    <s v="017 Ministry of Energy and Mineral Development"/>
    <s v="MWE, OPM"/>
  </r>
  <r>
    <x v="6"/>
    <x v="6"/>
    <s v="021"/>
    <s v="Mineral exploration, development and value addition"/>
    <s v="0213"/>
    <s v="Strengthen the legal and regulatory framework as well as the human and institutional capacity"/>
    <s v="021311"/>
    <s v="Establish and strengthen earthquake, landslides and other geohazard monitoring systems"/>
    <m/>
    <m/>
    <s v="02131101"/>
    <s v="Measures to avoid destruction of life and property due to geo hazards put in place"/>
    <m/>
    <m/>
    <m/>
    <m/>
    <m/>
    <m/>
    <m/>
    <m/>
    <e v="#N/A"/>
    <s v="Develop an earthquake and geo-hazard (earthquakes, landslides, volcanism, flooding) monitoring systems and guarantee their use to ensure timely warning and mitigation  of geohazards"/>
    <n v="1"/>
    <n v="0"/>
    <n v="0"/>
    <n v="1"/>
    <n v="1"/>
    <n v="1"/>
    <n v="0"/>
    <n v="1"/>
    <n v="0.625"/>
    <m/>
    <n v="0"/>
    <s v="-"/>
    <n v="0"/>
    <n v="0"/>
    <n v="0"/>
    <n v="0"/>
    <n v="0"/>
    <s v="MWE"/>
    <s v="019 Ministry of Water and Environment"/>
    <s v="N/A"/>
  </r>
  <r>
    <x v="6"/>
    <x v="6"/>
    <s v="021"/>
    <s v="Mineral exploration, development and value addition"/>
    <s v="0213"/>
    <s v="Strengthen the legal and regulatory framework as well as the human and institutional capacity"/>
    <s v="021311"/>
    <s v="Establish and strengthen earthquake, landslides and other geohazard monitoring systems"/>
    <m/>
    <m/>
    <s v="02131101"/>
    <s v="Measures to avoid destruction of life and property due to geo hazards put in place"/>
    <m/>
    <m/>
    <m/>
    <m/>
    <m/>
    <m/>
    <m/>
    <m/>
    <e v="#N/A"/>
    <s v="Develop an earthquake and geo-hazard (earthquakes, landslides, volcanism, flooding) monitoring systems and guarantee their use to ensure timely warning and mitigation  of geohazards"/>
    <n v="1"/>
    <n v="0"/>
    <n v="0"/>
    <n v="1"/>
    <n v="1"/>
    <n v="1"/>
    <n v="0"/>
    <n v="1"/>
    <n v="0.625"/>
    <m/>
    <n v="0"/>
    <s v="-"/>
    <n v="0"/>
    <n v="0"/>
    <n v="0"/>
    <n v="0"/>
    <n v="0"/>
    <s v="OPM"/>
    <s v="003 Office of the Prime Minister"/>
    <s v="N/A"/>
  </r>
  <r>
    <x v="6"/>
    <x v="6"/>
    <s v="021"/>
    <s v="Mineral exploration, development and value addition"/>
    <s v="0213"/>
    <s v="Strengthen the legal and regulatory framework as well as the human and institutional capacity"/>
    <s v="021312"/>
    <s v="Strengthen capacity to monitor, inspect and enforce health, safety and environmental provisions"/>
    <m/>
    <m/>
    <s v="02131201"/>
    <s v="Safe working conditions in the mining industry and a protected environment"/>
    <s v="Percentage of mining sites having safe working conditions and clean/ protected environment"/>
    <m/>
    <n v="60"/>
    <n v="70"/>
    <n v="75"/>
    <n v="80"/>
    <n v="90"/>
    <s v="MEMD"/>
    <s v="017 Ministry of Energy and Mineral Development"/>
    <s v="Inspect and assess mining sites for health, safety and environment "/>
    <n v="1"/>
    <n v="0"/>
    <n v="0"/>
    <n v="1"/>
    <n v="1"/>
    <n v="1"/>
    <n v="0"/>
    <n v="1"/>
    <n v="0.625"/>
    <m/>
    <n v="0"/>
    <n v="0.5"/>
    <n v="1.7"/>
    <n v="1.7"/>
    <n v="1.7"/>
    <n v="1.7"/>
    <n v="3.4"/>
    <s v="MEMD (DGSM)"/>
    <s v="017 Ministry of Energy and Mineral Development"/>
    <s v="MoGLSD, NEMA, LGs"/>
  </r>
  <r>
    <x v="6"/>
    <x v="6"/>
    <s v="021"/>
    <s v="Mineral exploration, development and value addition"/>
    <s v="0213"/>
    <s v="Strengthen the legal and regulatory framework as well as the human and institutional capacity"/>
    <s v="021312"/>
    <s v="Strengthen capacity to monitor, inspect and enforce health, safety and environmental provisions"/>
    <m/>
    <m/>
    <s v="02131201"/>
    <s v="Safe working conditions in the mining industry and a protected environment"/>
    <m/>
    <m/>
    <m/>
    <m/>
    <m/>
    <m/>
    <m/>
    <m/>
    <e v="#N/A"/>
    <s v="Inspect and assess mining sites for health, safety and environment "/>
    <n v="1"/>
    <n v="0"/>
    <n v="0"/>
    <n v="1"/>
    <n v="1"/>
    <n v="1"/>
    <n v="0"/>
    <n v="1"/>
    <n v="0.625"/>
    <m/>
    <n v="0"/>
    <s v="-"/>
    <n v="0"/>
    <n v="0"/>
    <n v="0"/>
    <n v="0"/>
    <n v="0"/>
    <s v="MoGLSD"/>
    <s v="018 Ministry of Gender, Labour and Social Development"/>
    <s v="DGSM"/>
  </r>
  <r>
    <x v="6"/>
    <x v="6"/>
    <s v="021"/>
    <s v="Mineral exploration, development and value addition"/>
    <s v="0213"/>
    <s v="Strengthen the legal and regulatory framework as well as the human and institutional capacity"/>
    <s v="021312"/>
    <s v="Strengthen capacity to monitor, inspect and enforce health, safety and environmental provisions"/>
    <m/>
    <m/>
    <s v="02131201"/>
    <s v="Safe working conditions in the mining industry and a protected environment"/>
    <m/>
    <m/>
    <m/>
    <m/>
    <m/>
    <m/>
    <m/>
    <m/>
    <e v="#N/A"/>
    <s v="Inspect and assess mining sites for health, safety and environment "/>
    <n v="1"/>
    <n v="0"/>
    <n v="0"/>
    <n v="1"/>
    <n v="1"/>
    <n v="1"/>
    <n v="0"/>
    <n v="1"/>
    <n v="0.625"/>
    <m/>
    <n v="0"/>
    <s v="-"/>
    <n v="0"/>
    <n v="0"/>
    <n v="0"/>
    <n v="0"/>
    <n v="0"/>
    <s v="NEMA"/>
    <s v="150 National Environment Management Authority"/>
    <s v="N/A"/>
  </r>
  <r>
    <x v="6"/>
    <x v="6"/>
    <s v="021"/>
    <s v="Mineral exploration, development and value addition"/>
    <s v="0213"/>
    <s v="Strengthen the legal and regulatory framework as well as the human and institutional capacity"/>
    <s v="021312"/>
    <s v="Strengthen capacity to monitor, inspect and enforce health, safety and environmental provisions"/>
    <m/>
    <m/>
    <s v="02131201"/>
    <s v="Safe working conditions in the mining industry and a protected environment"/>
    <m/>
    <m/>
    <m/>
    <m/>
    <m/>
    <m/>
    <m/>
    <m/>
    <e v="#N/A"/>
    <s v="Inspect and assess mining sites for health, safety and environment "/>
    <n v="1"/>
    <n v="0"/>
    <n v="0"/>
    <n v="1"/>
    <n v="1"/>
    <n v="1"/>
    <n v="0"/>
    <n v="1"/>
    <n v="0.625"/>
    <m/>
    <n v="0"/>
    <s v="-"/>
    <n v="0.4"/>
    <n v="0.6"/>
    <n v="0.8"/>
    <n v="1"/>
    <n v="1.8"/>
    <s v="LGs"/>
    <s v="500 501-850 Local Governments"/>
    <s v="DGSM, MGLSD, NEMA"/>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s v="Number of companies supplying local materials to the infrastructure projects/ Iron and Steel"/>
    <m/>
    <m/>
    <m/>
    <m/>
    <m/>
    <m/>
    <m/>
    <e v="#N/A"/>
    <s v="Incentivize local companies to produce and supply mineral products to infrastructure projects"/>
    <n v="1"/>
    <n v="1"/>
    <n v="1"/>
    <n v="1"/>
    <n v="1"/>
    <n v="1"/>
    <n v="1"/>
    <n v="1"/>
    <n v="1"/>
    <m/>
    <n v="0"/>
    <s v="-"/>
    <n v="0.5"/>
    <n v="0.5"/>
    <n v="0.5"/>
    <n v="0.5"/>
    <n v="1"/>
    <s v="MEMD"/>
    <s v="017 Ministry of Energy and Mineral Development"/>
    <s v="MoFPED, MTIC, MWT, Cabinet, Parlaiment"/>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s v="Number of companies supplying local materials to the infrastructure projects/ Sand"/>
    <m/>
    <m/>
    <m/>
    <m/>
    <m/>
    <m/>
    <m/>
    <e v="#N/A"/>
    <s v="Incentivize local companies to produce and supply mineral products to infrastructure projects"/>
    <n v="1"/>
    <n v="1"/>
    <n v="1"/>
    <n v="1"/>
    <n v="1"/>
    <n v="1"/>
    <n v="1"/>
    <n v="1"/>
    <n v="1"/>
    <m/>
    <n v="0"/>
    <s v="-"/>
    <n v="1"/>
    <n v="1"/>
    <n v="1"/>
    <n v="1"/>
    <n v="2"/>
    <s v="MoFPED"/>
    <s v="008 Ministry of Finance, Planning &amp; Economic Dev."/>
    <s v="MTIC, MEMD, MWT, Cabinet, Parlaiment"/>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s v="Number of companies supplying local materials to the infrastructure projects/ Cement"/>
    <m/>
    <m/>
    <m/>
    <m/>
    <m/>
    <m/>
    <m/>
    <e v="#N/A"/>
    <s v="Develop and/ or adopt standards for products for infrastructural projects "/>
    <n v="1"/>
    <n v="0"/>
    <n v="0"/>
    <n v="1"/>
    <n v="1"/>
    <n v="1"/>
    <n v="0"/>
    <n v="1"/>
    <n v="0.625"/>
    <m/>
    <n v="0"/>
    <s v="-"/>
    <n v="0.2"/>
    <n v="0.2"/>
    <n v="0.2"/>
    <n v="0.2"/>
    <n v="0.4"/>
    <s v="UNBS"/>
    <s v="154 Uganda National Bureau of Standards"/>
    <s v="MoWT, MEMD, Cabinet, Parlaiment"/>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s v="Number of companies supplying local materials to the infrastructure projects/ Aggregates"/>
    <m/>
    <m/>
    <m/>
    <m/>
    <m/>
    <m/>
    <m/>
    <e v="#N/A"/>
    <s v="Develop and/ or adopt standards for products for infrastructural projects "/>
    <n v="1"/>
    <n v="0"/>
    <n v="0"/>
    <n v="1"/>
    <n v="1"/>
    <n v="1"/>
    <n v="0"/>
    <n v="1"/>
    <n v="0.625"/>
    <m/>
    <n v="0"/>
    <s v="-"/>
    <n v="0"/>
    <n v="0"/>
    <n v="0"/>
    <n v="0"/>
    <n v="0"/>
    <s v="MoWT"/>
    <s v="016 Ministry of Works and Transport"/>
    <s v="N/A"/>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m/>
    <m/>
    <m/>
    <m/>
    <m/>
    <m/>
    <m/>
    <m/>
    <e v="#N/A"/>
    <s v="Register and recognize companies supplying required materials for infrastructure projects (Purpose to make this a supplier data base)"/>
    <n v="1"/>
    <n v="0"/>
    <n v="0"/>
    <n v="1"/>
    <n v="1"/>
    <n v="1"/>
    <n v="0"/>
    <n v="1"/>
    <n v="0.625"/>
    <m/>
    <n v="0"/>
    <s v="-"/>
    <n v="0.2"/>
    <n v="0.2"/>
    <n v="0.2"/>
    <n v="0.2"/>
    <n v="0.4"/>
    <s v="MoTIC"/>
    <s v="015 Ministry of Trade, Industry and Cooperatives"/>
    <s v="MEMD, MWT, Cabinet, Parlaiment, MJCA"/>
  </r>
  <r>
    <x v="6"/>
    <x v="6"/>
    <s v="021"/>
    <s v="Mineral exploration, development and value addition"/>
    <s v="0214"/>
    <s v="Increase investment in mining and value addition"/>
    <s v="021401"/>
    <s v="Implement local content in public procurement to use and develop existing mineral potiential, particularly in the major upcoming projects like highways connecting Kampala to the neighbouring cities, Ayago hydro-power generation plant, and regional market like South Sudan, Democratic Republic of Congo and Rwanda"/>
    <m/>
    <m/>
    <s v="02140101"/>
    <s v="Increased employment, business activity and incomes associated with infrastructure projects "/>
    <m/>
    <m/>
    <m/>
    <m/>
    <m/>
    <m/>
    <m/>
    <m/>
    <e v="#N/A"/>
    <s v="Register and recognize companies supplying required materials for infrastructure projects (Purpose to make this a supplier data base)"/>
    <n v="1"/>
    <n v="0"/>
    <n v="0"/>
    <n v="1"/>
    <n v="1"/>
    <n v="1"/>
    <n v="0"/>
    <n v="1"/>
    <n v="0.625"/>
    <m/>
    <n v="0"/>
    <s v="-"/>
    <n v="0.1"/>
    <n v="0.1"/>
    <n v="0.2"/>
    <n v="0.2"/>
    <n v="0.4"/>
    <s v="UIA"/>
    <s v="310 Uganda Investment Authority (UIA)"/>
    <s v="URA, MEMD, MWT"/>
  </r>
  <r>
    <x v="6"/>
    <x v="6"/>
    <s v="021"/>
    <s v="Mineral exploration, development and value addition"/>
    <s v="0214"/>
    <s v="Increase investment in mining and value addition"/>
    <s v="021402"/>
    <s v="Establish and equip state-of-the-art mineral testing laboratories"/>
    <m/>
    <m/>
    <s v="02140201"/>
    <s v="Database for known properties and characteristics of Uganda’s minerals updated "/>
    <s v="State of the art laboratories in place"/>
    <n v="0"/>
    <n v="1"/>
    <n v="2"/>
    <n v="3"/>
    <n v="3"/>
    <n v="4"/>
    <s v="MEMD"/>
    <s v="017 Ministry of Energy and Mineral Development"/>
    <s v="Construct and equip state of the art laboratories which are accessible to all "/>
    <n v="1"/>
    <n v="0"/>
    <n v="0"/>
    <n v="0"/>
    <n v="1"/>
    <n v="0"/>
    <n v="0"/>
    <n v="1"/>
    <n v="0.375"/>
    <n v="1"/>
    <n v="0"/>
    <n v="1.7"/>
    <n v="10"/>
    <n v="10"/>
    <n v="1"/>
    <n v="1"/>
    <n v="2"/>
    <s v="MEMD"/>
    <s v="017 Ministry of Energy and Mineral Development"/>
    <s v="MWT, MoFPED, MoES"/>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Kms of mineral roads constructed"/>
    <s v="-"/>
    <n v="160"/>
    <n v="100"/>
    <n v="35"/>
    <n v="100"/>
    <n v="73"/>
    <s v="MoWT"/>
    <s v="016 Ministry of Works and Transport"/>
    <s v="Construct mineral roads "/>
    <n v="1"/>
    <n v="1"/>
    <n v="1"/>
    <n v="0"/>
    <n v="1"/>
    <n v="0"/>
    <n v="1"/>
    <n v="1"/>
    <n v="0.75"/>
    <m/>
    <n v="0"/>
    <n v="0"/>
    <n v="0"/>
    <n v="0"/>
    <n v="66.61"/>
    <n v="134.19999999999999"/>
    <n v="200.81"/>
    <s v="MoWT"/>
    <s v="016 Ministry of Works and Transport"/>
    <s v="N/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Proportion of rail networks to mining and minerals processing zones; "/>
    <s v="-"/>
    <s v="-"/>
    <n v="661"/>
    <n v="379"/>
    <s v="-"/>
    <n v="170"/>
    <s v="MoWT"/>
    <s v="016 Ministry of Works and Transport"/>
    <s v="Construct mineral roads "/>
    <n v="1"/>
    <n v="1"/>
    <n v="1"/>
    <n v="0"/>
    <n v="1"/>
    <n v="0"/>
    <n v="1"/>
    <n v="1"/>
    <n v="0.75"/>
    <m/>
    <n v="0"/>
    <s v="-"/>
    <n v="0"/>
    <n v="0"/>
    <n v="2"/>
    <n v="5"/>
    <n v="7"/>
    <s v="MEMD"/>
    <s v="017 Ministry of Energy and Mineral Development"/>
    <s v="N/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Number of functional Aerodromes"/>
    <m/>
    <m/>
    <m/>
    <m/>
    <m/>
    <m/>
    <m/>
    <e v="#N/A"/>
    <s v="Construct rail networks"/>
    <n v="1"/>
    <n v="1"/>
    <n v="1"/>
    <n v="0"/>
    <n v="1"/>
    <n v="0"/>
    <n v="1"/>
    <n v="1"/>
    <n v="0.75"/>
    <m/>
    <n v="0"/>
    <n v="453.15444220460415"/>
    <n v="239.11026707156299"/>
    <n v="267.83397413108082"/>
    <n v="10"/>
    <n v="20"/>
    <n v="30"/>
    <s v="MoWT"/>
    <s v="016 Ministry of Works and Transport"/>
    <s v="MEMD, DGSM, MoFPED"/>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Electricity grid extended to mining and minerals processing zones"/>
    <n v="179"/>
    <n v="431"/>
    <n v="163"/>
    <n v="22"/>
    <n v="30"/>
    <n v="155"/>
    <s v="MEMD"/>
    <s v="017 Ministry of Energy and Mineral Development"/>
    <s v="Construct rail networks"/>
    <n v="1"/>
    <n v="1"/>
    <n v="1"/>
    <n v="0"/>
    <n v="1"/>
    <n v="0"/>
    <n v="1"/>
    <n v="1"/>
    <n v="0.75"/>
    <m/>
    <n v="0"/>
    <s v="-"/>
    <n v="0.3"/>
    <n v="0.3"/>
    <n v="0.5"/>
    <n v="0.5"/>
    <n v="1"/>
    <s v="MEMD"/>
    <s v="017 Ministry of Energy and Mineral Development"/>
    <s v="MWT, DGSM, MoFPED"/>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Natural gas pipeline extended to mining and minerals processing zones;"/>
    <n v="0"/>
    <n v="10"/>
    <n v="20"/>
    <n v="50"/>
    <n v="80"/>
    <n v="100"/>
    <s v="MEMD"/>
    <s v="017 Ministry of Energy and Mineral Development"/>
    <s v="Construct transmission lines to the mining and mineral processing zones (431 km[12], 163 km[13], 22 km[14], 30 km[15], 155 km[16])"/>
    <n v="1"/>
    <n v="1"/>
    <n v="1"/>
    <n v="0"/>
    <n v="1"/>
    <n v="0"/>
    <n v="1"/>
    <n v="1"/>
    <n v="0.75"/>
    <m/>
    <n v="0"/>
    <s v="-"/>
    <n v="15"/>
    <n v="15"/>
    <n v="15"/>
    <n v="15"/>
    <n v="30"/>
    <s v="MEMD"/>
    <s v="017 Ministry of Energy and Mineral Development"/>
    <s v="MWT, DGSM, MoFPED"/>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Stable ICT networks extended to mining and minerals processing zones;"/>
    <n v="1"/>
    <n v="1"/>
    <n v="1"/>
    <n v="1"/>
    <n v="1"/>
    <n v="1"/>
    <s v="NITAU"/>
    <e v="#N/A"/>
    <s v="Construct natural gas pipeline"/>
    <n v="1"/>
    <n v="1"/>
    <n v="1"/>
    <n v="0"/>
    <n v="1"/>
    <n v="0"/>
    <n v="1"/>
    <n v="1"/>
    <n v="0.75"/>
    <m/>
    <n v="0"/>
    <n v="0"/>
    <n v="4.3499999999999996"/>
    <n v="4.0999999999999996"/>
    <n v="12"/>
    <n v="12"/>
    <n v="24"/>
    <s v="MEMD"/>
    <s v="017 Ministry of Energy and Mineral Development"/>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Construct natural gas pipeline"/>
    <n v="1"/>
    <n v="1"/>
    <n v="1"/>
    <n v="0"/>
    <n v="1"/>
    <n v="0"/>
    <n v="1"/>
    <n v="1"/>
    <n v="0.75"/>
    <m/>
    <n v="0"/>
    <s v="-"/>
    <n v="0.2"/>
    <n v="0.2"/>
    <n v="0.2"/>
    <n v="0.2"/>
    <n v="0.4"/>
    <s v="MoWT"/>
    <s v="016 Ministry of Works and Transport"/>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Construct natural gas pipeline"/>
    <n v="1"/>
    <n v="1"/>
    <n v="1"/>
    <n v="0"/>
    <n v="1"/>
    <n v="0"/>
    <n v="1"/>
    <n v="1"/>
    <n v="0.75"/>
    <m/>
    <n v="0"/>
    <s v="-"/>
    <n v="0"/>
    <n v="0"/>
    <n v="0"/>
    <n v="0"/>
    <n v="0"/>
    <s v="MoLHUD"/>
    <s v="012 Ministry of Lands, Housing &amp; Urban Development"/>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Construct natural gas pipeline"/>
    <n v="1"/>
    <n v="1"/>
    <n v="1"/>
    <n v="0"/>
    <n v="1"/>
    <n v="0"/>
    <n v="1"/>
    <n v="1"/>
    <n v="0.75"/>
    <m/>
    <n v="0"/>
    <s v="-"/>
    <n v="0"/>
    <n v="0"/>
    <n v="0"/>
    <n v="0"/>
    <n v="0"/>
    <s v="MoFA"/>
    <s v="006 Ministry of Foreign Affairs"/>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Construct natural gas pipeline"/>
    <n v="1"/>
    <n v="1"/>
    <n v="1"/>
    <n v="0"/>
    <n v="1"/>
    <n v="0"/>
    <n v="1"/>
    <n v="1"/>
    <n v="0.75"/>
    <m/>
    <n v="0"/>
    <s v="-"/>
    <n v="0"/>
    <n v="0"/>
    <n v="0"/>
    <n v="0"/>
    <n v="0"/>
    <s v="MoJCA"/>
    <s v="007 Ministry of Justice and Constitutional Affairs"/>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Construct natural gas pipeline"/>
    <n v="1"/>
    <n v="1"/>
    <n v="1"/>
    <n v="0"/>
    <n v="1"/>
    <n v="0"/>
    <n v="1"/>
    <n v="1"/>
    <n v="0.75"/>
    <m/>
    <n v="0"/>
    <s v="-"/>
    <n v="0"/>
    <n v="0"/>
    <n v="0"/>
    <n v="0"/>
    <n v="0"/>
    <s v="MoFPED"/>
    <s v="008 Ministry of Finance, Planning &amp; Economic Dev."/>
    <s v="MWT, MEACA, MoFA, MoFPED, UNOC, MLHUD, MJC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Issue water abstraction permits and construct or extend water pipelines to mines "/>
    <n v="1"/>
    <n v="1"/>
    <n v="1"/>
    <n v="0"/>
    <n v="1"/>
    <n v="0"/>
    <n v="1"/>
    <n v="1"/>
    <n v="0.75"/>
    <m/>
    <n v="0"/>
    <s v=" -"/>
    <n v="0.2"/>
    <n v="3"/>
    <s v=" 5"/>
    <s v="10 "/>
    <n v="0"/>
    <s v="MWE (DWRM)"/>
    <s v="019 Ministry of Water and Environment"/>
    <s v="MEMD, DGSM, MWE"/>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Issue water abstraction permits and construct or extend water pipelines to mines "/>
    <n v="1"/>
    <n v="1"/>
    <n v="1"/>
    <n v="0"/>
    <n v="1"/>
    <n v="0"/>
    <n v="1"/>
    <n v="1"/>
    <n v="0.75"/>
    <m/>
    <n v="0"/>
    <s v="-"/>
    <n v="0.1"/>
    <n v="0.1"/>
    <n v="0.2"/>
    <n v="0.2"/>
    <n v="0.4"/>
    <s v="MEMD (DGSM)"/>
    <s v="017 Ministry of Energy and Mineral Development"/>
    <s v="MEMD, DGSM, MWE"/>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Build stable ICT network systems and fibre cables to mining areas and ensure accessibility and affordability by all"/>
    <n v="1"/>
    <n v="1"/>
    <n v="1"/>
    <n v="0"/>
    <n v="1"/>
    <n v="0"/>
    <n v="1"/>
    <n v="1"/>
    <n v="0.75"/>
    <m/>
    <n v="0"/>
    <s v="-"/>
    <n v="1.5"/>
    <n v="3"/>
    <n v="5"/>
    <n v="5"/>
    <n v="10"/>
    <s v="MoICT&amp;NG"/>
    <s v="020 Ministry of ICT and National Guidance"/>
    <s v="MEMD, DGSM, MWT"/>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m/>
    <m/>
    <m/>
    <m/>
    <m/>
    <m/>
    <m/>
    <m/>
    <e v="#N/A"/>
    <s v="Build stable ICT network systems and fibre cables to mining areas and ensure accessibility and affordability by all"/>
    <n v="1"/>
    <n v="1"/>
    <n v="1"/>
    <n v="0"/>
    <n v="1"/>
    <n v="0"/>
    <n v="1"/>
    <n v="1"/>
    <n v="0.75"/>
    <m/>
    <n v="0"/>
    <s v="-"/>
    <n v="0"/>
    <n v="0"/>
    <n v="1"/>
    <n v="1"/>
    <n v="2"/>
    <s v="MEMD (DGSM)"/>
    <s v="017 Ministry of Energy and Mineral Development"/>
    <s v="N/A"/>
  </r>
  <r>
    <x v="6"/>
    <x v="6"/>
    <s v="021"/>
    <s v="Mineral exploration, development and value addition"/>
    <s v="0214"/>
    <s v="Increase investment in mining and value addition"/>
    <s v="021403"/>
    <s v="Extend transport, energy, water and ICT infrastructure to mining areas and mineral processing facilities/industries"/>
    <m/>
    <m/>
    <s v="02140301"/>
    <s v="Adequate and reliable infrastructure extended to mining and minerals processing zones;"/>
    <s v="Percentage of mining and mineral processing sites connected to the grid"/>
    <m/>
    <m/>
    <m/>
    <m/>
    <m/>
    <m/>
    <m/>
    <e v="#N/A"/>
    <s v="Attract investors in infrastructure for mining and minerals processing zones;"/>
    <n v="1"/>
    <n v="1"/>
    <n v="0"/>
    <n v="0"/>
    <n v="0"/>
    <n v="1"/>
    <n v="0"/>
    <n v="1"/>
    <n v="0.5"/>
    <m/>
    <n v="0"/>
    <s v="-"/>
    <n v="0.05"/>
    <n v="0.1"/>
    <n v="0.1"/>
    <n v="0.1"/>
    <n v="0.2"/>
    <s v="MoFA"/>
    <s v="006 Ministry of Foreign Affairs"/>
    <s v="Missions Abroad"/>
  </r>
  <r>
    <x v="6"/>
    <x v="6"/>
    <s v="021"/>
    <s v="Mineral exploration, development and value addition"/>
    <s v="0214"/>
    <s v="Increase investment in mining and value addition"/>
    <s v="021404"/>
    <s v="Establish research and development infrastructure"/>
    <m/>
    <m/>
    <s v="02140401"/>
    <s v="Research and development infrastructure in place"/>
    <s v="Percent progress in establishing research and development infrastructure (%)"/>
    <n v="0"/>
    <n v="20"/>
    <n v="30"/>
    <n v="50"/>
    <n v="70"/>
    <n v="100"/>
    <s v="MEMD"/>
    <s v="017 Ministry of Energy and Mineral Development"/>
    <s v="Construct, equip and staff research and development hubs which are accessible and affordable by all"/>
    <n v="1"/>
    <n v="0"/>
    <n v="0"/>
    <n v="0"/>
    <n v="1"/>
    <n v="0"/>
    <n v="1"/>
    <n v="1"/>
    <n v="0.5"/>
    <m/>
    <n v="0"/>
    <n v="3.25"/>
    <n v="15"/>
    <n v="100"/>
    <n v="10"/>
    <n v="10"/>
    <n v="20"/>
    <s v="MEMD (DGSM)"/>
    <s v="017 Ministry of Energy and Mineral Development"/>
    <s v="MoSTI, MoES"/>
  </r>
  <r>
    <x v="6"/>
    <x v="6"/>
    <s v="021"/>
    <s v="Mineral exploration, development and value addition"/>
    <s v="0214"/>
    <s v="Increase investment in mining and value addition"/>
    <s v="021404"/>
    <s v="Establish research and development infrastructure"/>
    <m/>
    <m/>
    <s v="02140401"/>
    <s v="Research and development infrastructure in place"/>
    <m/>
    <m/>
    <m/>
    <m/>
    <m/>
    <m/>
    <m/>
    <m/>
    <e v="#N/A"/>
    <s v="Construct, equip and staff research and development hubs which are accessible and affordable by all"/>
    <n v="1"/>
    <n v="0"/>
    <n v="0"/>
    <n v="0"/>
    <n v="1"/>
    <n v="0"/>
    <n v="1"/>
    <n v="1"/>
    <n v="0.5"/>
    <m/>
    <n v="0"/>
    <s v="-"/>
    <n v="0"/>
    <n v="0"/>
    <n v="0"/>
    <n v="0"/>
    <n v="0"/>
    <s v="MoSTI"/>
    <s v="023 Ministry of Science,Technology and Innovation"/>
    <s v="N/A"/>
  </r>
  <r>
    <x v="6"/>
    <x v="6"/>
    <s v="021"/>
    <s v="Mineral exploration, development and value addition"/>
    <s v="0214"/>
    <s v="Increase investment in mining and value addition"/>
    <s v="021404"/>
    <s v="Establish research and development infrastructure"/>
    <m/>
    <m/>
    <s v="02140401"/>
    <s v="Research and development infrastructure in place"/>
    <m/>
    <m/>
    <m/>
    <m/>
    <m/>
    <m/>
    <m/>
    <m/>
    <e v="#N/A"/>
    <s v="Construct, equip and staff research and development hubs which are accessible and affordable by all"/>
    <n v="1"/>
    <n v="0"/>
    <n v="0"/>
    <n v="0"/>
    <n v="1"/>
    <n v="0"/>
    <n v="1"/>
    <n v="1"/>
    <n v="0.5"/>
    <m/>
    <n v="0"/>
    <s v="-"/>
    <n v="0"/>
    <n v="0"/>
    <n v="0"/>
    <n v="0"/>
    <n v="0"/>
    <s v="MoES"/>
    <s v="013 Ministry of Education and Sports"/>
    <s v="N/A"/>
  </r>
  <r>
    <x v="6"/>
    <x v="6"/>
    <s v="021"/>
    <s v="Mineral exploration, development and value addition"/>
    <s v="0214"/>
    <s v="Increase investment in mining and value addition"/>
    <s v="021404"/>
    <s v="Establish research and development infrastructure"/>
    <m/>
    <m/>
    <s v="02140401"/>
    <s v="Research and development infrastructure in place"/>
    <m/>
    <m/>
    <m/>
    <m/>
    <m/>
    <m/>
    <m/>
    <m/>
    <e v="#N/A"/>
    <s v="Conducting technology mapping, assessments and forecasts of the minerals research and development (R&amp;D) infrastructure in Uganda"/>
    <n v="1"/>
    <n v="0"/>
    <n v="0"/>
    <n v="1"/>
    <n v="1"/>
    <n v="1"/>
    <n v="0"/>
    <n v="1"/>
    <n v="0.625"/>
    <m/>
    <n v="0"/>
    <s v="-"/>
    <n v="1.5"/>
    <n v="0.2"/>
    <n v="0.2"/>
    <n v="0.2"/>
    <n v="0.4"/>
    <s v="MoSTI (UNCST)"/>
    <s v="023 Ministry of Science,Technology and Innovation"/>
    <s v="MSTI, UNCST"/>
  </r>
  <r>
    <x v="6"/>
    <x v="6"/>
    <s v="021"/>
    <s v="Mineral exploration, development and value addition"/>
    <s v="0214"/>
    <s v="Increase investment in mining and value addition"/>
    <s v="021404"/>
    <s v="Establish research and development infrastructure"/>
    <m/>
    <m/>
    <s v="02140401"/>
    <s v="Research and development infrastructure in place"/>
    <m/>
    <m/>
    <m/>
    <m/>
    <m/>
    <m/>
    <m/>
    <m/>
    <e v="#N/A"/>
    <s v="Conducting technology mapping, assessments and forecasts of the minerals research and development (R&amp;D) infrastructure in Uganda"/>
    <n v="1"/>
    <n v="0"/>
    <n v="0"/>
    <n v="1"/>
    <n v="1"/>
    <n v="1"/>
    <n v="0"/>
    <n v="1"/>
    <n v="0.625"/>
    <m/>
    <n v="0"/>
    <s v="-"/>
    <n v="0"/>
    <n v="0"/>
    <n v="0.1"/>
    <n v="0.1"/>
    <n v="0.2"/>
    <s v="MEMD (DGSM)"/>
    <s v="017 Ministry of Energy and Mineral Development"/>
    <s v="N/A"/>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s v="Percentage change in the volume of locally produced mineral-based products (%);"/>
    <n v="10"/>
    <n v="10"/>
    <n v="12.5"/>
    <n v="20"/>
    <n v="31.25"/>
    <n v="41.25"/>
    <s v="MEMD"/>
    <s v="017 Ministry of Energy and Mineral Development"/>
    <s v="Develop and implement a mineral value addition strategy for the country"/>
    <n v="1"/>
    <n v="0"/>
    <n v="0"/>
    <n v="1"/>
    <n v="1"/>
    <n v="1"/>
    <n v="0"/>
    <n v="1"/>
    <n v="0.625"/>
    <n v="1"/>
    <n v="0"/>
    <s v="-"/>
    <n v="0.5"/>
    <n v="0.1"/>
    <n v="0.1"/>
    <n v="0.1"/>
    <n v="0.2"/>
    <s v="MEMD (DGSM)"/>
    <s v="017 Ministry of Energy and Mineral Development"/>
    <s v="MEMD, NPA"/>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m/>
    <m/>
    <m/>
    <m/>
    <m/>
    <m/>
    <m/>
    <m/>
    <e v="#N/A"/>
    <s v="Promote investment in processing of priority minerals"/>
    <n v="1"/>
    <n v="1"/>
    <n v="1"/>
    <n v="1"/>
    <n v="1"/>
    <n v="1"/>
    <n v="1"/>
    <n v="1"/>
    <n v="1"/>
    <m/>
    <n v="0"/>
    <s v="-"/>
    <n v="0"/>
    <n v="0"/>
    <n v="5"/>
    <n v="5"/>
    <n v="10"/>
    <s v="MEMD (DGSM)"/>
    <s v="017 Ministry of Energy and Mineral Development"/>
    <s v="N/A"/>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m/>
    <m/>
    <m/>
    <m/>
    <m/>
    <m/>
    <m/>
    <m/>
    <e v="#N/A"/>
    <s v="Promote investment in processing of priority minerals"/>
    <n v="1"/>
    <n v="1"/>
    <n v="1"/>
    <n v="1"/>
    <n v="1"/>
    <n v="1"/>
    <n v="1"/>
    <n v="1"/>
    <n v="1"/>
    <m/>
    <n v="0"/>
    <s v="-"/>
    <n v="0.1"/>
    <n v="0.2"/>
    <n v="0.2"/>
    <n v="0.2"/>
    <n v="0.4"/>
    <s v="UIA"/>
    <s v="310 Uganda Investment Authority (UIA)"/>
    <s v="DGSM, MEMD, MTIC"/>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m/>
    <m/>
    <m/>
    <m/>
    <m/>
    <m/>
    <m/>
    <m/>
    <e v="#N/A"/>
    <s v="Promote investment in processing of priority minerals"/>
    <n v="1"/>
    <n v="1"/>
    <n v="1"/>
    <n v="1"/>
    <n v="1"/>
    <n v="1"/>
    <n v="1"/>
    <n v="1"/>
    <n v="1"/>
    <m/>
    <n v="0"/>
    <s v="-"/>
    <n v="0.2"/>
    <n v="0.2"/>
    <n v="0.2"/>
    <n v="0.2"/>
    <n v="0.4"/>
    <s v="MoTIC"/>
    <s v="015 Ministry of Trade, Industry and Cooperatives"/>
    <s v="DGSM, MEMD, MTIC"/>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m/>
    <m/>
    <m/>
    <m/>
    <m/>
    <m/>
    <m/>
    <m/>
    <e v="#N/A"/>
    <s v="Setup value addition facilities in the mineral sector (cement plant in Karamoja, Sheet Glass)"/>
    <n v="1"/>
    <n v="1"/>
    <n v="1"/>
    <n v="0"/>
    <n v="1"/>
    <n v="0"/>
    <n v="0"/>
    <n v="1"/>
    <n v="0.625"/>
    <m/>
    <n v="0"/>
    <s v="-"/>
    <s v="-"/>
    <n v="20"/>
    <n v="50"/>
    <n v="30"/>
    <n v="80"/>
    <s v="MoTIC (UDC)"/>
    <s v="015 Ministry of Trade, Industry and Cooperatives"/>
    <s v="MWT, DGSM"/>
  </r>
  <r>
    <x v="6"/>
    <x v="6"/>
    <s v="021"/>
    <s v="Mineral exploration, development and value addition"/>
    <s v="0214"/>
    <s v="Increase investment in mining and value addition"/>
    <s v="021405"/>
    <s v="Increase public investment in priority mineral processing"/>
    <m/>
    <m/>
    <s v="02140501"/>
    <s v="Increased domestic production of mineral-based products"/>
    <m/>
    <m/>
    <m/>
    <m/>
    <m/>
    <m/>
    <m/>
    <m/>
    <e v="#N/A"/>
    <s v="Conduct the feasibility study to develop the chemical industry"/>
    <n v="1"/>
    <n v="0"/>
    <n v="0"/>
    <n v="1"/>
    <n v="1"/>
    <n v="0"/>
    <n v="0"/>
    <n v="0"/>
    <n v="0.375"/>
    <m/>
    <n v="0"/>
    <s v="-"/>
    <n v="0.15"/>
    <n v="0.1"/>
    <s v="-"/>
    <s v="-"/>
    <n v="0"/>
    <s v="NPA"/>
    <s v="108 National Planning Authority"/>
    <s v="MTIC, DGSM, MEMD"/>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s v="Percentage change in the value of private sector investment in minerals value chain (%);"/>
    <n v="20"/>
    <n v="20"/>
    <n v="20"/>
    <n v="20"/>
    <n v="20"/>
    <n v="20"/>
    <s v="MEMD"/>
    <s v="017 Ministry of Energy and Mineral Development"/>
    <s v="Develop and implement a strategy on foreign direct investment (FDI)"/>
    <n v="1"/>
    <n v="0"/>
    <n v="0"/>
    <n v="1"/>
    <n v="1"/>
    <n v="1"/>
    <n v="0"/>
    <n v="1"/>
    <n v="0.625"/>
    <m/>
    <n v="0"/>
    <s v=" -"/>
    <s v=" -"/>
    <n v="0.5"/>
    <s v=" 0.5"/>
    <n v="0.5"/>
    <n v="0.5"/>
    <s v="MoFPED"/>
    <s v="008 Ministry of Finance, Planning &amp; Economic Dev."/>
    <s v="MoFA, MTIC"/>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Develop and implement a strategy on foreign direct investment (FDI)"/>
    <n v="1"/>
    <n v="0"/>
    <n v="0"/>
    <n v="1"/>
    <n v="1"/>
    <n v="1"/>
    <n v="0"/>
    <n v="1"/>
    <n v="0.625"/>
    <m/>
    <n v="0"/>
    <s v="-"/>
    <s v="-"/>
    <n v="0"/>
    <n v="0"/>
    <n v="0"/>
    <n v="0"/>
    <s v="MEMD (DGSM)"/>
    <s v="017 Ministry of Energy and Mineral Development"/>
    <s v="N/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Develop and implement a strategy on foreign direct investment (FDI)"/>
    <n v="1"/>
    <n v="0"/>
    <n v="0"/>
    <n v="1"/>
    <n v="1"/>
    <n v="1"/>
    <n v="0"/>
    <n v="1"/>
    <n v="0.625"/>
    <m/>
    <n v="0"/>
    <s v="-"/>
    <s v="-"/>
    <n v="0"/>
    <n v="0"/>
    <n v="0"/>
    <n v="0"/>
    <s v="UIA"/>
    <s v="310 Uganda Investment Authority (UIA)"/>
    <s v="N/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Develop and implement a strategy on foreign direct investment (FDI)"/>
    <n v="1"/>
    <n v="0"/>
    <n v="0"/>
    <n v="1"/>
    <n v="1"/>
    <n v="1"/>
    <n v="0"/>
    <n v="1"/>
    <n v="0.625"/>
    <m/>
    <n v="0"/>
    <s v="-"/>
    <s v="-"/>
    <n v="0.5"/>
    <n v="0.5"/>
    <n v="0.5"/>
    <n v="1"/>
    <s v="MoFA"/>
    <s v="006 Ministry of Foreign Affairs"/>
    <s v="MoFPED, MTIC"/>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nd support partnerships with the private sector to increase mineral based products "/>
    <n v="1"/>
    <n v="1"/>
    <n v="1"/>
    <n v="1"/>
    <n v="1"/>
    <n v="1"/>
    <n v="0"/>
    <n v="1"/>
    <n v="0.875"/>
    <m/>
    <n v="0"/>
    <s v="-"/>
    <n v="0.2"/>
    <n v="0.2"/>
    <n v="0.2"/>
    <n v="0.2"/>
    <n v="0.4"/>
    <s v="MoFPED (PPPU)"/>
    <s v="008 Ministry of Finance, Planning &amp; Economic Dev."/>
    <s v="MEMD, MoFPED "/>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nd support partnerships with the private sector to increase mineral based products "/>
    <n v="1"/>
    <n v="1"/>
    <n v="1"/>
    <n v="1"/>
    <n v="1"/>
    <n v="1"/>
    <n v="0"/>
    <n v="1"/>
    <n v="0.875"/>
    <m/>
    <n v="0"/>
    <s v="-"/>
    <n v="0"/>
    <n v="10"/>
    <n v="10"/>
    <n v="10"/>
    <n v="20"/>
    <s v="MoTIC (UDC)"/>
    <s v="015 Ministry of Trade, Industry and Cooperatives"/>
    <s v="MEMD, MTIC"/>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nd support partnerships with the private sector to increase mineral based products "/>
    <n v="1"/>
    <n v="1"/>
    <n v="1"/>
    <n v="1"/>
    <n v="1"/>
    <n v="1"/>
    <n v="0"/>
    <n v="1"/>
    <n v="0.875"/>
    <m/>
    <n v="0"/>
    <s v="-"/>
    <n v="0"/>
    <n v="0"/>
    <n v="0"/>
    <n v="0"/>
    <n v="0"/>
    <s v="UIA"/>
    <s v="310 Uganda Investment Authority (UIA)"/>
    <s v="N/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nd support partnerships with the private sector to increase mineral based products "/>
    <n v="1"/>
    <n v="1"/>
    <n v="1"/>
    <n v="1"/>
    <n v="1"/>
    <n v="1"/>
    <n v="0"/>
    <n v="1"/>
    <n v="0.875"/>
    <m/>
    <n v="0"/>
    <s v="-"/>
    <n v="0"/>
    <n v="0"/>
    <n v="0"/>
    <n v="0"/>
    <n v="0"/>
    <s v="MoJCA"/>
    <s v="007 Ministry of Justice and Constitutional Affairs"/>
    <s v="N/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nd support partnerships with the private sector to increase mineral based products "/>
    <n v="1"/>
    <n v="1"/>
    <n v="1"/>
    <n v="1"/>
    <n v="1"/>
    <n v="1"/>
    <n v="0"/>
    <n v="1"/>
    <n v="0.875"/>
    <m/>
    <n v="0"/>
    <s v="-"/>
    <n v="0"/>
    <n v="0"/>
    <n v="1"/>
    <n v="1"/>
    <n v="2"/>
    <s v="MEMD (DGSM)"/>
    <s v="017 Ministry of Energy and Mineral Development"/>
    <s v="N/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 prospectus of bankable projects"/>
    <n v="1"/>
    <n v="0"/>
    <n v="0"/>
    <n v="1"/>
    <n v="1"/>
    <n v="1"/>
    <n v="0"/>
    <n v="0"/>
    <n v="0.5"/>
    <m/>
    <n v="0"/>
    <s v="-"/>
    <n v="0.1"/>
    <n v="0.1"/>
    <n v="0.1"/>
    <n v="0.1"/>
    <n v="0.2"/>
    <s v="MEMD (DGSM)"/>
    <s v="017 Ministry of Energy and Mineral Development"/>
    <s v="NPA, MTIC, UIA"/>
  </r>
  <r>
    <x v="6"/>
    <x v="6"/>
    <s v="021"/>
    <s v="Mineral exploration, development and value addition"/>
    <s v="0214"/>
    <s v="Increase investment in mining and value addition"/>
    <s v="021406"/>
    <s v="Undertake PPPs to invest in mineral value addition"/>
    <m/>
    <m/>
    <s v="02140601"/>
    <s v="Increased private sector investment along the minerals value chain"/>
    <m/>
    <m/>
    <m/>
    <m/>
    <m/>
    <m/>
    <m/>
    <m/>
    <e v="#N/A"/>
    <s v="Establish a prospectus of bankable projects"/>
    <n v="1"/>
    <n v="0"/>
    <n v="0"/>
    <n v="1"/>
    <n v="1"/>
    <n v="1"/>
    <n v="0"/>
    <n v="0"/>
    <n v="0.5"/>
    <m/>
    <n v="0"/>
    <s v="-"/>
    <n v="0.2"/>
    <n v="0.2"/>
    <n v="0.2"/>
    <n v="0.2"/>
    <n v="0.4"/>
    <s v="UIA"/>
    <s v="310 Uganda Investment Authority (UIA)"/>
    <s v="DGSM, NPA, UIA"/>
  </r>
  <r>
    <x v="6"/>
    <x v="6"/>
    <s v="021"/>
    <s v="Mineral exploration, development and value addition"/>
    <s v="0214"/>
    <s v="Increase investment in mining and value addition"/>
    <s v="021407"/>
    <s v="Increase levels of production of selected minerals to ensure adequate and consistent supply of raw materials"/>
    <m/>
    <m/>
    <s v="02140701"/>
    <s v="Increased domestic production of mineral-based products"/>
    <s v="Percentage change in the volume of locally produced mineral-based products (%);"/>
    <n v="10"/>
    <n v="10"/>
    <n v="12.5"/>
    <n v="20"/>
    <n v="31.25"/>
    <n v="41.25"/>
    <s v="MEMD"/>
    <s v="017 Ministry of Energy and Mineral Development"/>
    <s v="Establish mineral reserves"/>
    <n v="1"/>
    <n v="1"/>
    <n v="0"/>
    <n v="1"/>
    <n v="1"/>
    <n v="1"/>
    <n v="0"/>
    <n v="1"/>
    <n v="0.75"/>
    <m/>
    <n v="0"/>
    <n v="0"/>
    <n v="0"/>
    <n v="0"/>
    <n v="30"/>
    <n v="30"/>
    <n v="60"/>
    <s v="MEMD (DGSM)"/>
    <s v="017 Ministry of Energy and Mineral Development"/>
    <s v="N/A"/>
  </r>
  <r>
    <x v="6"/>
    <x v="6"/>
    <s v="021"/>
    <s v="Mineral exploration, development and value addition"/>
    <s v="0214"/>
    <s v="Increase investment in mining and value addition"/>
    <s v="021407"/>
    <s v="Increase levels of production of selected minerals to ensure adequate and consistent supply of raw materials"/>
    <m/>
    <m/>
    <s v="02140701"/>
    <s v="Increased domestic production of mineral-based products"/>
    <m/>
    <m/>
    <m/>
    <m/>
    <m/>
    <m/>
    <m/>
    <m/>
    <e v="#N/A"/>
    <s v="Establish and enforce standard mining procedures to ensure sustainable utilization of raw materials"/>
    <n v="1"/>
    <n v="1"/>
    <n v="1"/>
    <n v="1"/>
    <n v="1"/>
    <n v="1"/>
    <n v="1"/>
    <n v="1"/>
    <n v="1"/>
    <m/>
    <n v="0"/>
    <s v="-"/>
    <n v="0"/>
    <n v="0"/>
    <n v="10"/>
    <n v="2"/>
    <n v="12"/>
    <s v="MEMD (DGSM)"/>
    <s v="017 Ministry of Energy and Mineral Development"/>
    <s v="N/A"/>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s v="Number of new and existing mining ventures supported with public funds"/>
    <m/>
    <m/>
    <m/>
    <m/>
    <m/>
    <m/>
    <s v="MEMD"/>
    <s v="017 Ministry of Energy and Mineral Development"/>
    <s v="Identify, short-list and support new mining ventures opening up in potential areas "/>
    <n v="1"/>
    <n v="1"/>
    <n v="1"/>
    <n v="1"/>
    <n v="1"/>
    <n v="0"/>
    <n v="1"/>
    <n v="1"/>
    <n v="0.875"/>
    <m/>
    <n v="0"/>
    <s v="-"/>
    <n v="0.1"/>
    <n v="0.2"/>
    <n v="0.2"/>
    <n v="0.2"/>
    <n v="0.4"/>
    <s v="MEMD (DGSM)"/>
    <s v="017 Ministry of Energy and Mineral Development"/>
    <s v="LGs, UDC"/>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m/>
    <m/>
    <m/>
    <m/>
    <m/>
    <m/>
    <m/>
    <m/>
    <e v="#N/A"/>
    <s v="Identify, short-list and support new mining ventures opening up in potential areas "/>
    <n v="1"/>
    <n v="1"/>
    <n v="1"/>
    <n v="1"/>
    <n v="1"/>
    <n v="0"/>
    <n v="1"/>
    <n v="1"/>
    <n v="0.875"/>
    <m/>
    <n v="0"/>
    <s v="-"/>
    <s v="-"/>
    <s v="-"/>
    <s v="-"/>
    <n v="10"/>
    <n v="10"/>
    <s v="MoTIC (UDC)"/>
    <s v="015 Ministry of Trade, Industry and Cooperatives"/>
    <s v="DGSM, LGs"/>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m/>
    <m/>
    <m/>
    <m/>
    <m/>
    <m/>
    <m/>
    <m/>
    <e v="#N/A"/>
    <s v="Identify, short-list and support new mining ventures opening up in potential areas "/>
    <n v="1"/>
    <n v="1"/>
    <n v="1"/>
    <n v="1"/>
    <n v="1"/>
    <n v="0"/>
    <n v="1"/>
    <n v="1"/>
    <n v="0.875"/>
    <m/>
    <n v="0"/>
    <s v="-"/>
    <n v="0.2"/>
    <n v="0.3"/>
    <n v="0.4"/>
    <n v="0.5"/>
    <n v="0.9"/>
    <s v="MoFPED (UDB)"/>
    <s v="008 Ministry of Finance, Planning &amp; Economic Dev."/>
    <s v="MEMD"/>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m/>
    <m/>
    <m/>
    <m/>
    <m/>
    <m/>
    <m/>
    <m/>
    <e v="#N/A"/>
    <s v="Allocate grant or loan schemes to support both new and existing mining ventures which are accessible and affordable by all persons"/>
    <n v="1"/>
    <n v="1"/>
    <n v="1"/>
    <n v="1"/>
    <n v="0"/>
    <n v="0"/>
    <n v="1"/>
    <n v="1"/>
    <n v="0.75"/>
    <m/>
    <n v="0"/>
    <s v="-"/>
    <n v="0"/>
    <n v="0"/>
    <n v="0"/>
    <n v="0"/>
    <n v="0"/>
    <s v="MoFPED (UDB)"/>
    <s v="008 Ministry of Finance, Planning &amp; Economic Dev."/>
    <s v="N/A"/>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m/>
    <m/>
    <m/>
    <m/>
    <m/>
    <m/>
    <m/>
    <m/>
    <e v="#N/A"/>
    <s v="Allocate grant or loan schemes to support both new and existing mining ventures which are accessible and affordable by all persons"/>
    <n v="1"/>
    <n v="1"/>
    <n v="1"/>
    <n v="1"/>
    <n v="0"/>
    <n v="0"/>
    <n v="1"/>
    <n v="1"/>
    <n v="0.75"/>
    <m/>
    <n v="0"/>
    <s v="-"/>
    <n v="0"/>
    <n v="0"/>
    <n v="0"/>
    <n v="0"/>
    <n v="0"/>
    <s v="MEMD (DGSM)"/>
    <s v="017 Ministry of Energy and Mineral Development"/>
    <s v="N/A"/>
  </r>
  <r>
    <x v="6"/>
    <x v="6"/>
    <s v="021"/>
    <s v="Mineral exploration, development and value addition"/>
    <s v="0214"/>
    <s v="Increase investment in mining and value addition"/>
    <s v="021408"/>
    <s v="Increase public investment in mining operations through for instance, UDB and UDC"/>
    <m/>
    <m/>
    <s v="02140801"/>
    <s v="Increased exploration and quantification of mineral reserves and opening up of potential areas "/>
    <m/>
    <m/>
    <m/>
    <m/>
    <m/>
    <m/>
    <m/>
    <m/>
    <e v="#N/A"/>
    <s v="Allocate grant or loan schemes to support both new and existing mining ventures which are accessible and affordable by all persons"/>
    <n v="1"/>
    <n v="1"/>
    <n v="1"/>
    <n v="1"/>
    <n v="0"/>
    <n v="0"/>
    <n v="1"/>
    <n v="1"/>
    <n v="0.75"/>
    <m/>
    <n v="0"/>
    <s v="-"/>
    <n v="0"/>
    <n v="0"/>
    <n v="0"/>
    <n v="0"/>
    <n v="0"/>
    <s v="MoFPED"/>
    <s v="008 Ministry of Finance, Planning &amp; Economic Dev."/>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s v="Percentage change of mineral-based products exported"/>
    <s v="-"/>
    <n v="10"/>
    <n v="20"/>
    <n v="30"/>
    <n v="40"/>
    <n v="50"/>
    <s v="MEMD"/>
    <s v="017 Ministry of Energy and Mineral Development"/>
    <s v="Engage in multi-lateral negotiations to increase export market "/>
    <n v="1"/>
    <n v="1"/>
    <n v="0"/>
    <n v="1"/>
    <n v="1"/>
    <n v="1"/>
    <n v="0"/>
    <n v="1"/>
    <n v="0.75"/>
    <m/>
    <n v="0"/>
    <s v="-"/>
    <n v="0"/>
    <n v="0"/>
    <n v="0"/>
    <n v="0"/>
    <n v="0"/>
    <s v="MoTIC"/>
    <s v="015 Ministry of Trade, Industry and Cooperatives"/>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MEMD (DGSM)"/>
    <s v="017 Ministry of Energy and Mineral Development"/>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UEPB"/>
    <s v="306 Uganda Export Promotion Board"/>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MoFA"/>
    <s v="006 Ministry of Foreign Affairs"/>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MoFPED"/>
    <s v="008 Ministry of Finance, Planning &amp; Economic Dev."/>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s v="Engage in multi-lateral negotiations for tax purposes"/>
    <n v="1"/>
    <n v="1"/>
    <n v="0"/>
    <n v="1"/>
    <n v="1"/>
    <n v="1"/>
    <n v="0"/>
    <n v="1"/>
    <n v="0.75"/>
    <m/>
    <n v="0"/>
    <s v="-"/>
    <n v="0.2"/>
    <n v="0.2"/>
    <n v="0.2"/>
    <n v="0.2"/>
    <n v="0.4"/>
    <s v="MoFPED"/>
    <s v="008 Ministry of Finance, Planning &amp; Economic Dev."/>
    <s v="URA, MoF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URA"/>
    <s v="141 Uganda Revenue Authority"/>
    <s v="N/A"/>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m/>
    <m/>
    <m/>
    <m/>
    <m/>
    <m/>
    <m/>
    <n v="0"/>
    <n v="0"/>
    <n v="0"/>
    <m/>
    <n v="0"/>
    <s v="-"/>
    <n v="0"/>
    <n v="0"/>
    <n v="0"/>
    <n v="0"/>
    <n v="0"/>
    <s v="MoTIC"/>
    <s v="015 Ministry of Trade, Industry and Cooperatives"/>
    <s v="MEMD"/>
  </r>
  <r>
    <x v="6"/>
    <x v="6"/>
    <s v="021"/>
    <s v="Mineral exploration, development and value addition"/>
    <s v="0215"/>
    <s v="Expand mineral processing and marketing"/>
    <s v="021501"/>
    <s v="Engage in bi-lateral and multi-lateral negotiations for increased access to external markets"/>
    <m/>
    <m/>
    <s v="02150101"/>
    <s v="Increased market access"/>
    <m/>
    <m/>
    <m/>
    <m/>
    <m/>
    <m/>
    <m/>
    <m/>
    <e v="#N/A"/>
    <s v="Engage in multi-lateral negotiations for tax purposes"/>
    <n v="1"/>
    <n v="1"/>
    <n v="0"/>
    <n v="1"/>
    <n v="1"/>
    <n v="1"/>
    <n v="0"/>
    <n v="1"/>
    <n v="0.75"/>
    <m/>
    <n v="0"/>
    <s v="-"/>
    <n v="0.1"/>
    <n v="0.1"/>
    <n v="0.1"/>
    <n v="0.1"/>
    <n v="0.2"/>
    <s v="MoFA"/>
    <s v="006 Ministry of Foreign Affairs"/>
    <s v="MTIC, MEMD"/>
  </r>
  <r>
    <x v="6"/>
    <x v="6"/>
    <s v="021"/>
    <s v="Mineral exploration, development and value addition"/>
    <s v="0215"/>
    <s v="Expand mineral processing and marketing"/>
    <s v="021502"/>
    <s v="Introduce incentive packages to attract investment in priority mineral value chain"/>
    <m/>
    <m/>
    <s v="02150201"/>
    <s v="Increased exploitation of mineral resources for industrialization"/>
    <s v="Number of mineral-based industries established"/>
    <n v="1"/>
    <n v="2"/>
    <n v="3"/>
    <n v="3"/>
    <n v="3"/>
    <n v="3"/>
    <s v="MEMD"/>
    <s v="017 Ministry of Energy and Mineral Development"/>
    <s v="Develop and implement an incentive regime for actors in the priority mineral value chain"/>
    <n v="1"/>
    <n v="1"/>
    <n v="0"/>
    <n v="1"/>
    <n v="1"/>
    <n v="1"/>
    <n v="0"/>
    <n v="1"/>
    <n v="0.75"/>
    <m/>
    <n v="0"/>
    <n v="5"/>
    <n v="5"/>
    <n v="5"/>
    <n v="5"/>
    <n v="5"/>
    <n v="10"/>
    <s v="MoFPED"/>
    <s v="008 Ministry of Finance, Planning &amp; Economic Dev."/>
    <s v="MTIC, UIA"/>
  </r>
  <r>
    <x v="6"/>
    <x v="6"/>
    <s v="021"/>
    <s v="Mineral exploration, development and value addition"/>
    <s v="0215"/>
    <s v="Expand mineral processing and marketing"/>
    <s v="021502"/>
    <s v="Introduce incentive packages to attract investment in priority mineral value chain"/>
    <m/>
    <m/>
    <s v="02150201"/>
    <s v="Increased exploitation of mineral resources for industrialization"/>
    <m/>
    <m/>
    <m/>
    <m/>
    <m/>
    <m/>
    <m/>
    <m/>
    <e v="#N/A"/>
    <s v="Develop and implement an incentive regime for actors in the priority mineral value chain"/>
    <n v="1"/>
    <n v="1"/>
    <n v="0"/>
    <n v="1"/>
    <n v="1"/>
    <n v="1"/>
    <n v="0"/>
    <n v="1"/>
    <n v="0.75"/>
    <m/>
    <n v="0"/>
    <s v="-"/>
    <n v="0.1"/>
    <n v="0.1"/>
    <n v="0.1"/>
    <n v="0.1"/>
    <n v="0.2"/>
    <s v="MEMD (DGSM)"/>
    <s v="017 Ministry of Energy and Mineral Development"/>
    <s v="MTIC, DGSM"/>
  </r>
  <r>
    <x v="6"/>
    <x v="6"/>
    <s v="021"/>
    <s v="Mineral exploration, development and value addition"/>
    <s v="0215"/>
    <s v="Expand mineral processing and marketing"/>
    <s v="021502"/>
    <s v="Introduce incentive packages to attract investment in priority mineral value chain"/>
    <m/>
    <m/>
    <s v="02150201"/>
    <s v="Increased exploitation of mineral resources for industrialization"/>
    <m/>
    <m/>
    <m/>
    <m/>
    <m/>
    <m/>
    <m/>
    <m/>
    <e v="#N/A"/>
    <s v="Develop and implement an incentive regime for actors in the priority mineral value chain"/>
    <n v="1"/>
    <n v="1"/>
    <n v="0"/>
    <n v="1"/>
    <n v="1"/>
    <n v="1"/>
    <n v="0"/>
    <n v="1"/>
    <n v="0.75"/>
    <m/>
    <n v="0"/>
    <s v="-"/>
    <n v="0.1"/>
    <n v="0.1"/>
    <n v="0.1"/>
    <n v="0.1"/>
    <n v="0.2"/>
    <s v="UIA"/>
    <s v="310 Uganda Investment Authority (UIA)"/>
    <s v="N/A"/>
  </r>
  <r>
    <x v="6"/>
    <x v="6"/>
    <s v="021"/>
    <s v="Mineral exploration, development and value addition"/>
    <s v="0215"/>
    <s v="Expand mineral processing and marketing"/>
    <s v="021502"/>
    <s v="Introduce incentive packages to attract investment in priority mineral value chain"/>
    <m/>
    <m/>
    <s v="02150201"/>
    <s v="Increased exploitation of mineral resources for industrialization"/>
    <m/>
    <m/>
    <m/>
    <m/>
    <m/>
    <m/>
    <m/>
    <m/>
    <e v="#N/A"/>
    <s v="Develop and implement an incentive regime for actors in the priority mineral value chain"/>
    <n v="1"/>
    <n v="1"/>
    <n v="0"/>
    <n v="1"/>
    <n v="1"/>
    <n v="1"/>
    <n v="0"/>
    <n v="1"/>
    <n v="0.75"/>
    <m/>
    <n v="0"/>
    <s v="-"/>
    <n v="0.2"/>
    <n v="0.2"/>
    <n v="0.2"/>
    <n v="0.2"/>
    <n v="0.4"/>
    <s v="MoTIC"/>
    <s v="015 Ministry of Trade, Industry and Cooperatives"/>
    <s v="MEMD, DGSM, UIA"/>
  </r>
  <r>
    <x v="6"/>
    <x v="6"/>
    <s v="021"/>
    <s v="Mineral exploration, development and value addition"/>
    <s v="0215"/>
    <s v="Expand mineral processing and marketing"/>
    <s v="021502"/>
    <s v="Introduce incentive packages to attract investment in priority mineral value chain"/>
    <m/>
    <m/>
    <s v="02150201"/>
    <s v="Increased exploitation of mineral resources for industrialization"/>
    <m/>
    <m/>
    <m/>
    <m/>
    <m/>
    <m/>
    <m/>
    <m/>
    <e v="#N/A"/>
    <s v="Develop incentive regime for operators and developers in free zones to promote export of mineral based products"/>
    <n v="1"/>
    <n v="1"/>
    <n v="0"/>
    <n v="1"/>
    <n v="0"/>
    <n v="0"/>
    <n v="0"/>
    <n v="1"/>
    <n v="0.5"/>
    <m/>
    <n v="0"/>
    <s v="-"/>
    <n v="0"/>
    <n v="0"/>
    <n v="0"/>
    <n v="0"/>
    <n v="0"/>
    <s v="MoFPED (UFZA)"/>
    <s v="008 Ministry of Finance, Planning &amp; Economic Dev."/>
    <s v="N/A"/>
  </r>
  <r>
    <x v="6"/>
    <x v="6"/>
    <s v="021"/>
    <s v="Mineral exploration, development and value addition"/>
    <s v="0215"/>
    <s v="Expand mineral processing and marketing"/>
    <s v="021503"/>
    <s v="Streamline the process for acquisition and dissemination of market information"/>
    <m/>
    <m/>
    <s v="02150301"/>
    <s v="Available market information"/>
    <s v="Number of Mineral Investment Promotions participated in."/>
    <n v="4"/>
    <n v="5"/>
    <n v="5"/>
    <n v="5"/>
    <n v="5"/>
    <n v="5"/>
    <s v="MEMD"/>
    <s v="017 Ministry of Energy and Mineral Development"/>
    <s v="Participate and organize mineral based conferences, workshops and any other fora to promote these areas for investment "/>
    <n v="1"/>
    <n v="0"/>
    <n v="0"/>
    <n v="1"/>
    <n v="1"/>
    <n v="0"/>
    <n v="0"/>
    <n v="1"/>
    <n v="0.5"/>
    <m/>
    <n v="0"/>
    <n v="1"/>
    <n v="0.2"/>
    <n v="0.2"/>
    <n v="0.2"/>
    <n v="0.2"/>
    <n v="0.4"/>
    <s v="MEMD (DGSM)"/>
    <s v="017 Ministry of Energy and Mineral Development"/>
    <s v="LGs, MTIC"/>
  </r>
  <r>
    <x v="6"/>
    <x v="6"/>
    <s v="021"/>
    <s v="Mineral exploration, development and value addition"/>
    <s v="0215"/>
    <s v="Expand mineral processing and marketing"/>
    <s v="021503"/>
    <s v="Streamline the process for acquisition and dissemination of market information"/>
    <m/>
    <m/>
    <s v="02150301"/>
    <s v="Available market information"/>
    <s v="E-platform to disseminate market information developed"/>
    <s v="-"/>
    <s v="-"/>
    <n v="1"/>
    <s v="-"/>
    <s v="-"/>
    <s v="-"/>
    <s v="MEMD"/>
    <s v="017 Ministry of Energy and Mineral Development"/>
    <s v="Participate in the development of an E-platform to disseminate market information "/>
    <n v="1"/>
    <n v="0"/>
    <n v="0"/>
    <n v="1"/>
    <n v="1"/>
    <n v="1"/>
    <n v="0"/>
    <n v="1"/>
    <n v="0.625"/>
    <m/>
    <n v="0"/>
    <s v="-"/>
    <n v="0.1"/>
    <n v="0.1"/>
    <n v="0.1"/>
    <n v="0.1"/>
    <n v="0.2"/>
    <s v="UIA"/>
    <s v="310 Uganda Investment Authority (UIA)"/>
    <s v="MoFA, MEACA, MICT&amp;NG"/>
  </r>
  <r>
    <x v="6"/>
    <x v="6"/>
    <s v="021"/>
    <s v="Mineral exploration, development and value addition"/>
    <s v="0215"/>
    <s v="Expand mineral processing and marketing"/>
    <s v="021503"/>
    <s v="Streamline the process for acquisition and dissemination of market information"/>
    <m/>
    <m/>
    <s v="02150301"/>
    <s v="Available market information"/>
    <m/>
    <m/>
    <m/>
    <m/>
    <m/>
    <m/>
    <m/>
    <m/>
    <e v="#N/A"/>
    <s v="Maintain a communication strategy for the mineral sector"/>
    <n v="1"/>
    <n v="0"/>
    <n v="0"/>
    <n v="1"/>
    <n v="1"/>
    <n v="1"/>
    <n v="0"/>
    <n v="1"/>
    <n v="0.625"/>
    <m/>
    <n v="0"/>
    <n v="0.25"/>
    <n v="1"/>
    <n v="1"/>
    <n v="1"/>
    <n v="1"/>
    <n v="2"/>
    <s v="MEMD (DGSM)"/>
    <s v="017 Ministry of Energy and Mineral Development"/>
    <s v="MICT&amp;NG"/>
  </r>
  <r>
    <x v="6"/>
    <x v="6"/>
    <s v="021"/>
    <s v="Mineral exploration, development and value addition"/>
    <s v="0215"/>
    <s v="Expand mineral processing and marketing"/>
    <s v="021503"/>
    <s v="Streamline the process for acquisition and dissemination of market information"/>
    <m/>
    <m/>
    <s v="02150301"/>
    <s v="Available market information"/>
    <m/>
    <m/>
    <m/>
    <m/>
    <m/>
    <m/>
    <m/>
    <m/>
    <e v="#N/A"/>
    <s v="Develop and sustainably run websites and any other e-platforms for information sharing "/>
    <n v="1"/>
    <n v="0"/>
    <n v="0"/>
    <n v="1"/>
    <n v="1"/>
    <n v="1"/>
    <n v="0"/>
    <n v="1"/>
    <n v="0.625"/>
    <m/>
    <n v="0"/>
    <s v=" -"/>
    <n v="0"/>
    <n v="0"/>
    <n v="1"/>
    <n v="0.16"/>
    <n v="1.1599999999999999"/>
    <s v="MEMD (DGSM)"/>
    <s v="017 Ministry of Energy and Mineral Development"/>
    <s v="N/A"/>
  </r>
  <r>
    <x v="6"/>
    <x v="6"/>
    <s v="021"/>
    <s v="Mineral exploration, development and value addition"/>
    <s v="0215"/>
    <s v="Expand mineral processing and marketing"/>
    <s v="021503"/>
    <s v="Streamline the process for acquisition and dissemination of market information"/>
    <m/>
    <m/>
    <s v="02150301"/>
    <s v="Available market information"/>
    <m/>
    <m/>
    <m/>
    <m/>
    <m/>
    <m/>
    <m/>
    <m/>
    <e v="#N/A"/>
    <s v="Subscribe and acquire license to access international mining industry databases to list the bankable projects"/>
    <n v="1"/>
    <n v="0"/>
    <n v="0"/>
    <n v="1"/>
    <n v="1"/>
    <n v="1"/>
    <n v="0"/>
    <n v="1"/>
    <n v="0.625"/>
    <m/>
    <n v="0"/>
    <s v="-"/>
    <n v="0.5"/>
    <n v="0.5"/>
    <n v="0.5"/>
    <n v="0.5"/>
    <n v="1"/>
    <s v="UIA"/>
    <s v="310 Uganda Investment Authority (UIA)"/>
    <s v="MoFPED, MEMD, DGSM"/>
  </r>
  <r>
    <x v="6"/>
    <x v="6"/>
    <s v="021"/>
    <s v="Mineral exploration, development and value addition"/>
    <s v="0215"/>
    <s v="Expand mineral processing and marketing"/>
    <s v="021504"/>
    <s v="Review the tax regime to reduce the importation of cheap and substandard products"/>
    <m/>
    <m/>
    <s v="02150401"/>
    <s v="Quality goods and services on the market"/>
    <s v="Number of taxes reviewed"/>
    <m/>
    <m/>
    <m/>
    <m/>
    <m/>
    <m/>
    <m/>
    <e v="#N/A"/>
    <s v="Review and formulate laws and regulations to stop counterfeits and fake products "/>
    <n v="1"/>
    <n v="0"/>
    <n v="0"/>
    <n v="1"/>
    <n v="1"/>
    <n v="1"/>
    <n v="0"/>
    <n v="1"/>
    <n v="0.625"/>
    <m/>
    <n v="0"/>
    <s v="-"/>
    <n v="0"/>
    <n v="0"/>
    <n v="0.5"/>
    <n v="0"/>
    <n v="0.5"/>
    <s v="MoTIC"/>
    <s v="015 Ministry of Trade, Industry and Cooperatives"/>
    <s v="N/A"/>
  </r>
  <r>
    <x v="6"/>
    <x v="6"/>
    <s v="021"/>
    <s v="Mineral exploration, development and value addition"/>
    <s v="0215"/>
    <s v="Expand mineral processing and marketing"/>
    <s v="021504"/>
    <s v="Review the tax regime to reduce the importation of cheap and substandard products"/>
    <m/>
    <m/>
    <s v="02150401"/>
    <s v="Quality goods and services on the market"/>
    <m/>
    <m/>
    <m/>
    <m/>
    <m/>
    <m/>
    <m/>
    <m/>
    <e v="#N/A"/>
    <m/>
    <n v="1"/>
    <n v="0"/>
    <n v="0"/>
    <n v="1"/>
    <n v="1"/>
    <n v="1"/>
    <n v="0"/>
    <n v="1"/>
    <n v="0.625"/>
    <m/>
    <n v="0"/>
    <s v="-"/>
    <n v="0"/>
    <n v="0"/>
    <n v="0.2"/>
    <n v="0"/>
    <n v="0.2"/>
    <s v="MEMD"/>
    <s v="017 Ministry of Energy and Mineral Development"/>
    <s v="N/A"/>
  </r>
  <r>
    <x v="6"/>
    <x v="6"/>
    <s v="021"/>
    <s v="Mineral exploration, development and value addition"/>
    <s v="0215"/>
    <s v="Expand mineral processing and marketing"/>
    <s v="021504"/>
    <s v="Review the tax regime to reduce the importation of cheap and substandard products"/>
    <m/>
    <m/>
    <s v="02150401"/>
    <s v="Quality goods and services on the market"/>
    <m/>
    <m/>
    <m/>
    <m/>
    <m/>
    <m/>
    <m/>
    <m/>
    <e v="#N/A"/>
    <m/>
    <n v="1"/>
    <n v="0"/>
    <n v="0"/>
    <n v="1"/>
    <n v="1"/>
    <n v="1"/>
    <n v="0"/>
    <n v="1"/>
    <n v="0.625"/>
    <m/>
    <n v="0"/>
    <s v="-"/>
    <n v="0"/>
    <n v="0"/>
    <n v="0"/>
    <n v="0"/>
    <n v="0"/>
    <s v="MoFPED"/>
    <s v="008 Ministry of Finance, Planning &amp; Economic Dev."/>
    <s v="N/A"/>
  </r>
  <r>
    <x v="6"/>
    <x v="6"/>
    <s v="021"/>
    <s v="Mineral exploration, development and value addition"/>
    <s v="0215"/>
    <s v="Expand mineral processing and marketing"/>
    <s v="021505"/>
    <s v="Enhance the capacity of UNBS to undertake quality assurance and standard inspection"/>
    <m/>
    <m/>
    <s v="02150501"/>
    <s v="Quality products from mineral processing &amp; imported products"/>
    <s v="Number of standards enforced"/>
    <m/>
    <m/>
    <m/>
    <m/>
    <m/>
    <m/>
    <m/>
    <e v="#N/A"/>
    <s v="Develop relevant standards to ensure sustainable production and monitoring of quality products "/>
    <n v="1"/>
    <n v="0"/>
    <n v="0"/>
    <n v="1"/>
    <n v="1"/>
    <n v="1"/>
    <n v="0"/>
    <n v="1"/>
    <n v="0.625"/>
    <m/>
    <n v="0"/>
    <s v="-"/>
    <n v="0.7"/>
    <n v="0.2"/>
    <n v="0.2"/>
    <n v="0.2"/>
    <n v="0.4"/>
    <s v="UNBS"/>
    <s v="154 Uganda National Bureau of Standards"/>
    <s v="MoTIC, DGSM"/>
  </r>
  <r>
    <x v="6"/>
    <x v="6"/>
    <s v="021"/>
    <s v="Mineral exploration, development and value addition"/>
    <s v="0215"/>
    <s v="Expand mineral processing and marketing"/>
    <s v="021505"/>
    <s v="Enhance the capacity of UNBS to undertake quality assurance and standard inspection"/>
    <m/>
    <m/>
    <s v="02150501"/>
    <s v="Quality products from mineral processing &amp; imported products"/>
    <m/>
    <m/>
    <m/>
    <m/>
    <m/>
    <m/>
    <m/>
    <m/>
    <e v="#N/A"/>
    <m/>
    <n v="1"/>
    <n v="0"/>
    <n v="0"/>
    <n v="1"/>
    <n v="1"/>
    <n v="1"/>
    <n v="0"/>
    <n v="1"/>
    <n v="0.625"/>
    <m/>
    <n v="0"/>
    <s v="-"/>
    <n v="0"/>
    <n v="0"/>
    <n v="0"/>
    <n v="0"/>
    <n v="0"/>
    <s v="MoTIC"/>
    <s v="015 Ministry of Trade, Industry and Cooperatives"/>
    <s v="N/A"/>
  </r>
  <r>
    <x v="6"/>
    <x v="6"/>
    <s v="021"/>
    <s v="Mineral exploration, development and value addition"/>
    <s v="0215"/>
    <s v="Expand mineral processing and marketing"/>
    <s v="021505"/>
    <s v="Enhance the capacity of UNBS to undertake quality assurance and standard inspection"/>
    <m/>
    <m/>
    <s v="02150501"/>
    <s v="Quality products from mineral processing &amp; imported products"/>
    <m/>
    <m/>
    <m/>
    <m/>
    <m/>
    <m/>
    <m/>
    <m/>
    <e v="#N/A"/>
    <m/>
    <n v="1"/>
    <n v="0"/>
    <n v="0"/>
    <n v="1"/>
    <n v="1"/>
    <n v="1"/>
    <n v="0"/>
    <n v="1"/>
    <n v="0.625"/>
    <m/>
    <n v="0"/>
    <s v="-"/>
    <n v="0"/>
    <n v="0"/>
    <n v="0"/>
    <n v="0"/>
    <n v="0"/>
    <s v="MEMD (DGSM)"/>
    <s v="017 Ministry of Energy and Mineral Development"/>
    <s v="N/A"/>
  </r>
  <r>
    <x v="6"/>
    <x v="6"/>
    <s v="021"/>
    <s v="Mineral exploration, development and value addition"/>
    <s v="0215"/>
    <s v="Expand mineral processing and marketing"/>
    <s v="021506"/>
    <s v="Establish a mineral certification mechanism for tin, tungsten &amp; tantalite (3Ts) and Gold (G)"/>
    <m/>
    <m/>
    <s v="02150601"/>
    <s v="Increased revenue earned from the 3Ts &amp; Gold"/>
    <s v="Mineral certification mechanism in place"/>
    <n v="0"/>
    <n v="0"/>
    <n v="1"/>
    <s v="-"/>
    <s v="-"/>
    <s v="-"/>
    <s v="MEMD"/>
    <s v="017 Ministry of Energy and Mineral Development"/>
    <s v="Establish and sustainably run a mineral certification system "/>
    <n v="1"/>
    <n v="1"/>
    <n v="0"/>
    <n v="1"/>
    <n v="1"/>
    <n v="1"/>
    <n v="0"/>
    <n v="1"/>
    <n v="0.75"/>
    <m/>
    <n v="0"/>
    <s v="-"/>
    <n v="2.5"/>
    <n v="2.5"/>
    <n v="1.5"/>
    <n v="1.5"/>
    <n v="3"/>
    <s v="MEMD (DGSM)"/>
    <s v="017 Ministry of Energy and Mineral Development"/>
    <s v="MEMD"/>
  </r>
  <r>
    <x v="6"/>
    <x v="6"/>
    <s v="021"/>
    <s v="Mineral exploration, development and value addition"/>
    <s v="0215"/>
    <s v="Expand mineral processing and marketing"/>
    <s v="021506"/>
    <s v="Establish a mineral certification mechanism for tin, tungsten &amp; tantalite (3Ts) and Gold (G)"/>
    <m/>
    <m/>
    <s v="02150601"/>
    <s v="Increased revenue earned from the 3Ts &amp; Gold"/>
    <m/>
    <m/>
    <m/>
    <m/>
    <m/>
    <m/>
    <m/>
    <m/>
    <e v="#N/A"/>
    <s v="Coordinate regional and international engagements on mineral certification and traceability "/>
    <n v="1"/>
    <n v="0"/>
    <n v="0"/>
    <n v="1"/>
    <n v="1"/>
    <n v="1"/>
    <n v="0"/>
    <n v="1"/>
    <n v="0.625"/>
    <m/>
    <n v="0"/>
    <s v="-"/>
    <n v="0.1"/>
    <n v="0.1"/>
    <n v="0.1"/>
    <n v="0.1"/>
    <n v="0.2"/>
    <s v="MoFA"/>
    <s v="006 Ministry of Foreign Affairs"/>
    <s v="MEMD, MEACA"/>
  </r>
  <r>
    <x v="7"/>
    <x v="7"/>
    <s v="03X"/>
    <s v="Government Commitments"/>
    <s v="03X"/>
    <s v="Provision for Government Commitments"/>
    <s v="03X"/>
    <s v="Government Commitments"/>
    <m/>
    <m/>
    <s v="03X"/>
    <s v="Government Commitments"/>
    <s v="-"/>
    <s v="-"/>
    <s v="-"/>
    <s v="-"/>
    <s v="-"/>
    <s v="-"/>
    <s v="-"/>
    <s v="-"/>
    <s v="-"/>
    <s v="Wage"/>
    <m/>
    <m/>
    <m/>
    <m/>
    <m/>
    <m/>
    <m/>
    <m/>
    <m/>
    <m/>
    <m/>
    <m/>
    <m/>
    <m/>
    <n v="28.7"/>
    <n v="28.7"/>
    <n v="57.4"/>
    <m/>
    <m/>
    <m/>
  </r>
  <r>
    <x v="7"/>
    <x v="7"/>
    <s v="03X"/>
    <s v="Government Commitments"/>
    <s v="03X"/>
    <s v="Provision for Government Commitments"/>
    <s v="03X"/>
    <s v="Government Commitments"/>
    <m/>
    <m/>
    <s v="03X"/>
    <s v="Government Commitments"/>
    <s v="-"/>
    <s v="-"/>
    <s v="-"/>
    <s v="-"/>
    <s v="-"/>
    <s v="-"/>
    <s v="-"/>
    <s v="-"/>
    <s v="-"/>
    <s v="Non-Wage (Statutory)"/>
    <m/>
    <m/>
    <m/>
    <m/>
    <m/>
    <m/>
    <m/>
    <m/>
    <m/>
    <m/>
    <m/>
    <m/>
    <m/>
    <m/>
    <n v="14.6"/>
    <n v="17"/>
    <n v="31.6"/>
    <m/>
    <m/>
    <m/>
  </r>
  <r>
    <x v="7"/>
    <x v="7"/>
    <s v="03X"/>
    <s v="Government Commitments"/>
    <s v="03X"/>
    <s v="Provision for Government Commitments"/>
    <s v="03X"/>
    <s v="Government Commitments"/>
    <m/>
    <m/>
    <s v="03X"/>
    <s v="Government Commitments"/>
    <s v="-"/>
    <s v="-"/>
    <s v="-"/>
    <s v="-"/>
    <s v="-"/>
    <s v="-"/>
    <s v="-"/>
    <s v="-"/>
    <s v="-"/>
    <s v="Multi-Year Commitments"/>
    <m/>
    <m/>
    <m/>
    <m/>
    <m/>
    <m/>
    <m/>
    <m/>
    <m/>
    <m/>
    <m/>
    <m/>
    <m/>
    <m/>
    <n v="49.679000000000002"/>
    <n v="31.034999999999997"/>
    <n v="80.713999999999999"/>
    <m/>
    <m/>
    <m/>
  </r>
  <r>
    <x v="7"/>
    <x v="7"/>
    <s v="031"/>
    <s v="Upstream"/>
    <s v="0311"/>
    <s v="To ensure sustainable production and utilization of the Country’s oil and gas revenue"/>
    <s v="031101"/>
    <s v="Undertake further exploration and ventures of the Albertine Graben"/>
    <m/>
    <m/>
    <s v="03110101"/>
    <s v="New exploration activities undertaken"/>
    <s v="Volume of additional petroleum resources (Billion barrels STOIIP)"/>
    <n v="6"/>
    <m/>
    <m/>
    <n v="1"/>
    <n v="0.5"/>
    <n v="2"/>
    <s v="MEMD"/>
    <s v="017 Ministry of Energy and Mineral Development"/>
    <s v=" Undertake basin Analysis and resource assessment."/>
    <n v="1"/>
    <n v="0"/>
    <n v="0"/>
    <n v="1"/>
    <n v="1"/>
    <n v="1"/>
    <n v="0"/>
    <n v="1"/>
    <n v="0.625"/>
    <m/>
    <n v="0"/>
    <n v="1"/>
    <n v="2"/>
    <n v="0"/>
    <n v="3"/>
    <n v="5"/>
    <n v="8"/>
    <s v="MEMD"/>
    <s v="017 Ministry of Energy and Mineral Development"/>
    <s v="PAU"/>
  </r>
  <r>
    <x v="7"/>
    <x v="7"/>
    <s v="031"/>
    <s v="Upstream"/>
    <s v="0311"/>
    <s v="To ensure sustainable production and utilization of the Country’s oil and gas revenue"/>
    <s v="031101"/>
    <s v="Undertake further exploration and ventures of the Albertine Graben"/>
    <m/>
    <m/>
    <s v="03110101"/>
    <s v="New exploration activities undertaken"/>
    <m/>
    <m/>
    <m/>
    <m/>
    <m/>
    <m/>
    <m/>
    <m/>
    <e v="#N/A"/>
    <s v="  Undertake basin Analysis and resource assessment."/>
    <n v="0"/>
    <n v="0"/>
    <n v="0"/>
    <n v="1"/>
    <n v="1"/>
    <n v="1"/>
    <n v="0"/>
    <n v="1"/>
    <n v="0.5"/>
    <m/>
    <n v="0"/>
    <n v="1"/>
    <n v="1.3"/>
    <n v="1.5"/>
    <n v="1.5"/>
    <n v="1.5"/>
    <n v="3"/>
    <s v="PAU"/>
    <s v="312 Petroleum Authority of Uganda (PAU)"/>
    <s v="MEMD"/>
  </r>
  <r>
    <x v="7"/>
    <x v="7"/>
    <s v="031"/>
    <s v="Upstream"/>
    <s v="0311"/>
    <s v="To ensure sustainable production and utilization of the Country’s oil and gas revenue"/>
    <s v="031101"/>
    <s v="Undertake further exploration and ventures of the Albertine Graben"/>
    <m/>
    <m/>
    <s v="03110101"/>
    <s v="New exploration activities undertaken"/>
    <m/>
    <m/>
    <m/>
    <m/>
    <m/>
    <m/>
    <m/>
    <m/>
    <e v="#N/A"/>
    <s v="Evaluate and approve Reservoir Management Plans. "/>
    <n v="0"/>
    <n v="0"/>
    <n v="0"/>
    <n v="1"/>
    <n v="1"/>
    <n v="1"/>
    <n v="0"/>
    <n v="1"/>
    <n v="0.5"/>
    <m/>
    <n v="0"/>
    <n v="2.8"/>
    <n v="2.5999999999999996"/>
    <n v="2.38"/>
    <n v="0.6"/>
    <n v="0.6"/>
    <n v="1.2"/>
    <s v="MEMD"/>
    <s v="017 Ministry of Energy and Mineral Development"/>
    <s v="PAU, UNOC"/>
  </r>
  <r>
    <x v="7"/>
    <x v="7"/>
    <s v="031"/>
    <s v="Upstream"/>
    <s v="0311"/>
    <s v="To ensure sustainable production and utilization of the Country’s oil and gas revenue"/>
    <s v="031101"/>
    <s v="Undertake further exploration and ventures of the Albertine Graben"/>
    <m/>
    <m/>
    <s v="03110101"/>
    <s v="New exploration activities undertaken"/>
    <m/>
    <m/>
    <m/>
    <m/>
    <m/>
    <n v="1"/>
    <n v="2"/>
    <m/>
    <e v="#N/A"/>
    <s v="Undertake licensing rounds and award licenses to the successful bidders with due consideration to gender issues."/>
    <n v="1"/>
    <n v="1"/>
    <n v="0"/>
    <n v="1"/>
    <n v="1"/>
    <n v="1"/>
    <n v="0"/>
    <n v="1"/>
    <n v="0.75"/>
    <m/>
    <n v="0"/>
    <n v="1"/>
    <n v="0.6"/>
    <n v="0.6"/>
    <n v="5"/>
    <n v="5"/>
    <n v="10"/>
    <s v="MEMD"/>
    <s v="017 Ministry of Energy and Mineral Development"/>
    <s v="PAU"/>
  </r>
  <r>
    <x v="7"/>
    <x v="7"/>
    <s v="031"/>
    <s v="Upstream"/>
    <s v="0311"/>
    <s v="To ensure sustainable production and utilization of the Country’s oil and gas revenue"/>
    <s v="031101"/>
    <s v="Undertake further exploration and ventures of the Albertine Graben"/>
    <m/>
    <m/>
    <s v="03110101"/>
    <s v="New exploration activities undertaken"/>
    <m/>
    <m/>
    <m/>
    <m/>
    <m/>
    <m/>
    <m/>
    <m/>
    <e v="#N/A"/>
    <s v="Review and approve the submitted Field Development Plans. "/>
    <n v="0"/>
    <n v="0"/>
    <n v="0"/>
    <n v="1"/>
    <n v="1"/>
    <n v="1"/>
    <n v="0"/>
    <n v="1"/>
    <n v="0.5"/>
    <m/>
    <n v="0"/>
    <n v="1.5"/>
    <n v="1.25"/>
    <n v="1.25"/>
    <n v="1.25"/>
    <n v="1.25"/>
    <n v="2.5"/>
    <s v="MEMD"/>
    <s v="017 Ministry of Energy and Mineral Development"/>
    <s v="PAU"/>
  </r>
  <r>
    <x v="7"/>
    <x v="7"/>
    <s v="031"/>
    <s v="Upstream"/>
    <s v="0311"/>
    <s v="To ensure sustainable production and utilization of the Country’s oil and gas revenue"/>
    <s v="031101"/>
    <s v="Undertake further exploration and ventures of the Albertine Graben"/>
    <m/>
    <m/>
    <s v="03110101"/>
    <s v="New exploration activities undertaken"/>
    <m/>
    <m/>
    <m/>
    <m/>
    <m/>
    <n v="1"/>
    <n v="1"/>
    <m/>
    <e v="#N/A"/>
    <s v="Award Production licenses."/>
    <n v="1"/>
    <n v="1"/>
    <n v="0"/>
    <n v="1"/>
    <n v="1"/>
    <n v="0"/>
    <n v="0"/>
    <n v="1"/>
    <n v="0.625"/>
    <m/>
    <n v="0"/>
    <n v="0.5"/>
    <n v="0.5"/>
    <n v="0"/>
    <n v="0.3"/>
    <n v="0.3"/>
    <n v="0.6"/>
    <s v="MEMD"/>
    <s v="017 Ministry of Energy and Mineral Development"/>
    <s v="PAU, UNOC"/>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a"/>
    <s v="Roads, energy, water and ICT network"/>
    <s v="031102a01"/>
    <s v="Designs for pre-requisite infrastructure developed and construction completed  "/>
    <s v="%age completion of construction "/>
    <n v="0"/>
    <n v="20"/>
    <n v="40"/>
    <n v="60"/>
    <n v="20"/>
    <n v="40"/>
    <s v="UNOC"/>
    <s v="311 Uganda National Oil Company (UNOC)"/>
    <s v="Design and Construct Pre - requisite infrastructure in Kabaale Industrial Park (fencing, access roads, power and ICT); considering the elderly, PWDs, women and children."/>
    <n v="1"/>
    <n v="1"/>
    <n v="1"/>
    <n v="1"/>
    <n v="1"/>
    <n v="0"/>
    <n v="0"/>
    <n v="1"/>
    <n v="0.75"/>
    <m/>
    <n v="0"/>
    <n v="0"/>
    <n v="3.16"/>
    <n v="20"/>
    <n v="31.5"/>
    <n v="40.5"/>
    <n v="72"/>
    <s v="UNOC"/>
    <s v="311 Uganda National Oil Company (UNOC)"/>
    <s v="MEMD, MoICT&amp;NG, MoWT, UNRA"/>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a"/>
    <s v="Roads, energy, water and ICT network"/>
    <s v="031102a01"/>
    <s v="Designs for pre-requisite infrastructure developed and construction completed  "/>
    <m/>
    <m/>
    <m/>
    <m/>
    <m/>
    <m/>
    <m/>
    <s v="UNOC"/>
    <s v="311 Uganda National Oil Company (UNOC)"/>
    <s v="Construct Regional Offices in Albertine Graben region"/>
    <n v="0"/>
    <n v="0"/>
    <n v="0"/>
    <n v="1"/>
    <n v="0"/>
    <n v="0"/>
    <n v="0"/>
    <n v="1"/>
    <n v="0.25"/>
    <m/>
    <n v="0"/>
    <n v="0"/>
    <n v="0.9"/>
    <n v="3"/>
    <n v="2.5"/>
    <n v="1.85"/>
    <n v="4.3499999999999996"/>
    <s v="MEMD"/>
    <s v="017 Ministry of Energy and Mineral Development"/>
    <s v="PAU"/>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b"/>
    <s v="Oil refinery"/>
    <s v="031102b01"/>
    <s v="Refinery construction completed"/>
    <s v="%age completion _x000a_"/>
    <n v="2"/>
    <n v="5"/>
    <n v="10"/>
    <n v="33"/>
    <n v="100"/>
    <n v="0"/>
    <s v="UNOC"/>
    <s v="311 Uganda National Oil Company (UNOC)"/>
    <s v="Complete implementation of the Resettlement Action Plan for the Refinery "/>
    <n v="1"/>
    <n v="1"/>
    <n v="1"/>
    <n v="1"/>
    <n v="1"/>
    <n v="0"/>
    <n v="0"/>
    <n v="1"/>
    <n v="0.75"/>
    <m/>
    <n v="0"/>
    <n v="8"/>
    <n v="4"/>
    <n v="2"/>
    <n v="1"/>
    <n v="0"/>
    <n v="1"/>
    <s v="MEMD"/>
    <s v="017 Ministry of Energy and Mineral Development"/>
    <s v="PAU, MoLHUD"/>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b"/>
    <s v="Oil refinery"/>
    <s v="031102b01"/>
    <s v="Refinery construction completed"/>
    <m/>
    <m/>
    <m/>
    <m/>
    <m/>
    <n v="75"/>
    <n v="100"/>
    <m/>
    <e v="#N/A"/>
    <s v="Implement the RAP for the refined products pipeline with due consideration of gender and equity issues."/>
    <n v="1"/>
    <n v="0"/>
    <n v="1"/>
    <n v="1"/>
    <n v="1"/>
    <n v="1"/>
    <n v="0"/>
    <n v="1"/>
    <n v="0.75"/>
    <m/>
    <n v="0"/>
    <n v="50"/>
    <n v="40"/>
    <n v="5"/>
    <n v="77"/>
    <n v="2"/>
    <n v="79"/>
    <s v="MEMD"/>
    <s v="017 Ministry of Energy and Mineral Development"/>
    <s v="PAU, MoLHUD"/>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b"/>
    <s v="Oil refinery"/>
    <s v="031102b01"/>
    <s v="Refinery construction completed"/>
    <m/>
    <m/>
    <m/>
    <m/>
    <m/>
    <m/>
    <m/>
    <m/>
    <e v="#N/A"/>
    <s v="Undertake FEED and ESIA for the refined products pipeline and storage terminal."/>
    <n v="0"/>
    <n v="0"/>
    <n v="0"/>
    <n v="1"/>
    <n v="1"/>
    <n v="0"/>
    <n v="0"/>
    <n v="1"/>
    <n v="0.375"/>
    <m/>
    <n v="0"/>
    <n v="3"/>
    <n v="1"/>
    <n v="1"/>
    <n v="0"/>
    <n v="0"/>
    <n v="0"/>
    <s v="MEMD"/>
    <s v="017 Ministry of Energy and Mineral Development"/>
    <s v="NEMA, UWA, PAU, UNOC"/>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b"/>
    <s v="Oil refinery"/>
    <s v="031102b01"/>
    <s v="Refinery construction completed"/>
    <m/>
    <m/>
    <m/>
    <m/>
    <m/>
    <n v="10"/>
    <n v="20"/>
    <m/>
    <e v="#N/A"/>
    <s v="Construct the oil refinery."/>
    <n v="1"/>
    <n v="1"/>
    <n v="1"/>
    <n v="0"/>
    <n v="1"/>
    <n v="0"/>
    <n v="0"/>
    <n v="1"/>
    <n v="0.625"/>
    <m/>
    <n v="1"/>
    <n v="322.60898851777466"/>
    <n v="119.88885761466707"/>
    <n v="221.24892306621842"/>
    <n v="221.248923066218"/>
    <n v="600"/>
    <n v="821.24892306621803"/>
    <s v="UNOC"/>
    <s v="311 Uganda National Oil Company (UNOC)"/>
    <s v="MEMD, PAU"/>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b"/>
    <s v="Oil refinery"/>
    <s v="031102b01"/>
    <s v="Refinery construction completed"/>
    <m/>
    <m/>
    <m/>
    <m/>
    <m/>
    <n v="10"/>
    <n v="20"/>
    <m/>
    <e v="#N/A"/>
    <s v="Construct the refined products pipeline and associated terminals"/>
    <n v="1"/>
    <n v="1"/>
    <n v="1"/>
    <n v="0"/>
    <n v="1"/>
    <n v="0"/>
    <n v="0"/>
    <n v="1"/>
    <n v="0.625"/>
    <m/>
    <n v="0"/>
    <n v="5"/>
    <n v="8"/>
    <n v="10"/>
    <n v="8"/>
    <n v="7"/>
    <n v="15"/>
    <s v="MEMD"/>
    <s v="017 Ministry of Energy and Mineral Development"/>
    <s v="UNOC"/>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c"/>
    <s v="East African Crude Oil Pipeline"/>
    <s v="031102c01"/>
    <s v="EACOP Project construction completed"/>
    <s v="%age completion_x000a_"/>
    <n v="5"/>
    <n v="10"/>
    <n v="33"/>
    <n v="67"/>
    <n v="30"/>
    <n v="70"/>
    <s v=" UNOC"/>
    <e v="#N/A"/>
    <s v="Construct the EACOP."/>
    <n v="1"/>
    <n v="1"/>
    <n v="1"/>
    <n v="0"/>
    <n v="1"/>
    <n v="0"/>
    <n v="0"/>
    <n v="1"/>
    <n v="0.625"/>
    <m/>
    <n v="1"/>
    <n v="284.53500000000003"/>
    <n v="111.14344604537442"/>
    <n v="267.60912933845788"/>
    <n v="78.859998045169675"/>
    <n v="300"/>
    <n v="378.85999804516968"/>
    <s v="UNOC"/>
    <s v="311 Uganda National Oil Company (UNOC)"/>
    <s v="PAU, MEMD"/>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c"/>
    <s v="East African Crude Oil Pipeline"/>
    <s v="031102c01"/>
    <s v="EACOP Project construction completed"/>
    <m/>
    <m/>
    <m/>
    <m/>
    <m/>
    <n v="85"/>
    <n v="100"/>
    <m/>
    <e v="#N/A"/>
    <s v="Undertake EACOP RAP with the consideration of the elderly, youth, women and PWDs. "/>
    <n v="1"/>
    <n v="1"/>
    <n v="1"/>
    <n v="1"/>
    <n v="1"/>
    <n v="0"/>
    <n v="0"/>
    <n v="1"/>
    <n v="0.75"/>
    <m/>
    <n v="0"/>
    <n v="13"/>
    <n v="10"/>
    <n v="5"/>
    <n v="5"/>
    <n v="3"/>
    <n v="8"/>
    <s v="MEMD"/>
    <s v="017 Ministry of Energy and Mineral Development"/>
    <s v="PAU, MoLHUD, UNOC, MoGLSD"/>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c"/>
    <s v="East African Crude Oil Pipeline"/>
    <s v="031102c01"/>
    <s v="EACOP Project construction completed"/>
    <m/>
    <m/>
    <m/>
    <m/>
    <m/>
    <n v="80"/>
    <n v="100"/>
    <m/>
    <e v="#N/A"/>
    <s v="Implement the Intergovernmental agreements and other transboundary harmonisation issues."/>
    <n v="1"/>
    <n v="0"/>
    <n v="0"/>
    <n v="1"/>
    <n v="1"/>
    <n v="1"/>
    <n v="0"/>
    <n v="1"/>
    <n v="0.625"/>
    <m/>
    <n v="0"/>
    <n v="2.5"/>
    <n v="2.5"/>
    <n v="2.5"/>
    <n v="2.5"/>
    <n v="2.5"/>
    <n v="5"/>
    <s v="MEMD"/>
    <s v="017 Ministry of Energy and Mineral Development"/>
    <s v="MoFA, MOFPED, PAU, UNOC"/>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d"/>
    <s v="Storage terminals and the auxiliary facilities"/>
    <s v="031102d01"/>
    <s v="Storage facilities and auxiliary terminals constructed"/>
    <s v="%age completion of construction"/>
    <n v="5"/>
    <n v="45"/>
    <n v="75"/>
    <n v="100"/>
    <s v="-"/>
    <s v="-"/>
    <s v=" UNOC"/>
    <e v="#N/A"/>
    <s v="Construct the Kampala Storage Terminal and auxiliary facilities  "/>
    <n v="1"/>
    <n v="1"/>
    <n v="0"/>
    <n v="0"/>
    <n v="1"/>
    <n v="0"/>
    <n v="0"/>
    <n v="1"/>
    <n v="0.5"/>
    <m/>
    <n v="0"/>
    <n v="120.87"/>
    <n v="161.16"/>
    <n v="0"/>
    <n v="0"/>
    <n v="0"/>
    <n v="0"/>
    <s v="UNOC"/>
    <s v="311 Uganda National Oil Company (UNOC)"/>
    <s v="MEMD, PAU"/>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e"/>
    <s v="Geoscience laboratory"/>
    <s v="031102e01"/>
    <s v="Petroleum Geoscience Laboratory established"/>
    <s v="%age progress of Petroleum Geoscience Laboratory upgrade"/>
    <n v="0"/>
    <s v="-"/>
    <n v="10"/>
    <n v="60"/>
    <n v="80"/>
    <n v="100"/>
    <s v="MEMD"/>
    <s v="017 Ministry of Energy and Mineral Development"/>
    <s v="Undertake the feasibility study on the upgrade of the Petroleum Geoscience Laboratory "/>
    <n v="0"/>
    <n v="0"/>
    <n v="0"/>
    <n v="1"/>
    <n v="1"/>
    <n v="0"/>
    <n v="0"/>
    <n v="1"/>
    <n v="0.375"/>
    <m/>
    <n v="0"/>
    <n v="0.5"/>
    <n v="0"/>
    <n v="0"/>
    <n v="0"/>
    <n v="0"/>
    <n v="0"/>
    <s v="MEMD"/>
    <s v="017 Ministry of Energy and Mineral Development"/>
    <s v="PAU, UNOC"/>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e"/>
    <s v="Geoscience laboratory"/>
    <s v="031102e01"/>
    <s v="Petroleum Geoscience Laboratory established"/>
    <m/>
    <m/>
    <m/>
    <m/>
    <m/>
    <n v="30"/>
    <n v="50"/>
    <m/>
    <e v="#N/A"/>
    <s v="Develop National calibration and measurement capacity."/>
    <n v="1"/>
    <n v="1"/>
    <n v="0"/>
    <n v="1"/>
    <n v="1"/>
    <n v="0"/>
    <n v="0"/>
    <n v="1"/>
    <n v="0.625"/>
    <m/>
    <n v="0"/>
    <n v="0.93400000000000005"/>
    <n v="0.93400000000000005"/>
    <n v="0.93400000000000005"/>
    <n v="0.93400000000000005"/>
    <n v="0.93400000000000005"/>
    <n v="1.8680000000000001"/>
    <s v="UNBS"/>
    <s v="154 Uganda National Bureau of Standards"/>
    <s v="MoTIC, MEMD"/>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e"/>
    <s v="Geoscience laboratory"/>
    <s v="031102e01"/>
    <s v="Petroleum Geoscience Laboratory established"/>
    <m/>
    <m/>
    <m/>
    <m/>
    <m/>
    <n v="50"/>
    <n v="80"/>
    <m/>
    <e v="#N/A"/>
    <s v="Equip the Petroleum Geoscience laboratory."/>
    <n v="1"/>
    <n v="0"/>
    <n v="0"/>
    <n v="1"/>
    <n v="1"/>
    <n v="1"/>
    <n v="0"/>
    <n v="1"/>
    <n v="0.625"/>
    <m/>
    <n v="0"/>
    <n v="1.4340999999999999"/>
    <n v="6"/>
    <n v="6.4595000000000002"/>
    <n v="23.628"/>
    <n v="50"/>
    <n v="73.628"/>
    <s v="MEMD"/>
    <s v="017 Ministry of Energy and Mineral Development"/>
    <s v="N/A"/>
  </r>
  <r>
    <x v="7"/>
    <x v="7"/>
    <s v="031"/>
    <s v="Upstream"/>
    <s v="0311"/>
    <s v="To ensure sustainable production and utilization of the Country’s oil and gas revenue"/>
    <s v="031102"/>
    <s v="Undertake construction and operationalisation of infrastructure projects in the Albertine Region to ease movement of goods, labour and provision of services"/>
    <s v="031102f"/>
    <s v="National Petroleum Data Repository"/>
    <s v="031102f01"/>
    <s v="National Petroleum Data Repository established"/>
    <s v="Stage of development of National Petroleum Data Repository (%)"/>
    <n v="0"/>
    <n v="45"/>
    <n v="66"/>
    <n v="80"/>
    <n v="40"/>
    <n v="60"/>
    <s v="PAU"/>
    <s v="312 Petroleum Authority of Uganda (PAU)"/>
    <s v="Establish and equip the National Petroleum Data Repository"/>
    <n v="1"/>
    <n v="0"/>
    <n v="0"/>
    <n v="1"/>
    <n v="1"/>
    <n v="1"/>
    <n v="0"/>
    <n v="1"/>
    <n v="0.625"/>
    <m/>
    <n v="0"/>
    <n v="23.5"/>
    <n v="10"/>
    <n v="10"/>
    <n v="30"/>
    <n v="40"/>
    <n v="70"/>
    <s v="PAU"/>
    <s v="312 Petroleum Authority of Uganda (PAU)"/>
    <s v="MEMD"/>
  </r>
  <r>
    <x v="7"/>
    <x v="7"/>
    <s v="031"/>
    <s v="Upstream"/>
    <s v="0311"/>
    <s v="To ensure sustainable production and utilization of the Country’s oil and gas revenue"/>
    <s v="031103"/>
    <s v="Construct the Central Processing Facilities (CPFs) for Tilenga and Kingfisher projects"/>
    <m/>
    <m/>
    <s v="03110301"/>
    <s v="Upstream facilities for Tilenga and Kingfisher projects constructed"/>
    <s v="%age completion of the facilities for Tilenga and Kingfisher projects "/>
    <n v="0"/>
    <n v="0"/>
    <n v="33"/>
    <n v="67"/>
    <n v="95"/>
    <n v="100"/>
    <s v="UNOC"/>
    <s v="311 Uganda National Oil Company (UNOC)"/>
    <s v="Implement RAP for Tilenga and Kingfisher projects while ensuring that gender and equity aspects are considered."/>
    <n v="1"/>
    <n v="1"/>
    <n v="1"/>
    <n v="1"/>
    <n v="1"/>
    <n v="0"/>
    <n v="0"/>
    <n v="1"/>
    <n v="0.75"/>
    <m/>
    <n v="0"/>
    <n v="1.7"/>
    <n v="6.2"/>
    <n v="5.5"/>
    <n v="2.4"/>
    <n v="1"/>
    <n v="3.4"/>
    <s v="MEMD"/>
    <s v="017 Ministry of Energy and Mineral Development"/>
    <s v="PAU, MEMD"/>
  </r>
  <r>
    <x v="7"/>
    <x v="7"/>
    <s v="031"/>
    <s v="Upstream"/>
    <s v="0311"/>
    <s v="To ensure sustainable production and utilization of the Country’s oil and gas revenue"/>
    <s v="031104"/>
    <s v="Conduct a feasibility study to establish a robust and adequate petrochemical industry"/>
    <m/>
    <m/>
    <s v="03110401"/>
    <s v="Feasibility studies to establish the viability of the petrochemical industry conducted "/>
    <s v="%age progress of the feasibility studies"/>
    <n v="0"/>
    <n v="50"/>
    <n v="100"/>
    <m/>
    <m/>
    <m/>
    <s v="UNOC"/>
    <s v="311 Uganda National Oil Company (UNOC)"/>
    <s v="Undertake the feasibility study on establishment of a robust petrochemical industry "/>
    <n v="1"/>
    <n v="0"/>
    <n v="0"/>
    <n v="1"/>
    <n v="1"/>
    <n v="0"/>
    <n v="0"/>
    <n v="1"/>
    <n v="0.5"/>
    <m/>
    <n v="0"/>
    <n v="3"/>
    <n v="1"/>
    <n v="0"/>
    <n v="0"/>
    <n v="0"/>
    <n v="0"/>
    <s v="MEMD"/>
    <s v="017 Ministry of Energy and Mineral Development"/>
    <s v="NPA, UNOC, PAU"/>
  </r>
  <r>
    <x v="7"/>
    <x v="7"/>
    <s v="031"/>
    <s v="Upstream"/>
    <s v="0311"/>
    <s v="To ensure sustainable production and utilization of the Country’s oil and gas revenue"/>
    <s v="031104"/>
    <s v="Conduct a feasibility study to establish a robust and adequate petrochemical industry"/>
    <m/>
    <m/>
    <s v="03110402"/>
    <s v="Petrochemical Industry Masterplan developed and implemented"/>
    <s v="%age progress of implementation"/>
    <n v="0"/>
    <n v="0"/>
    <n v="0"/>
    <n v="15"/>
    <n v="50"/>
    <n v="100"/>
    <s v="UNOC"/>
    <s v="311 Uganda National Oil Company (UNOC)"/>
    <s v="Develop and implement the Petrochemical Industry Masterplan "/>
    <n v="1"/>
    <n v="0"/>
    <n v="0"/>
    <n v="1"/>
    <n v="1"/>
    <n v="1"/>
    <n v="0"/>
    <n v="1"/>
    <n v="0.625"/>
    <m/>
    <n v="0"/>
    <n v="0"/>
    <n v="0"/>
    <n v="1"/>
    <n v="1"/>
    <n v="0.2"/>
    <n v="1.2"/>
    <s v="MEMD"/>
    <s v="017 Ministry of Energy and Mineral Development"/>
    <s v="NPA, UNOC, PAU"/>
  </r>
  <r>
    <x v="7"/>
    <x v="7"/>
    <s v="031"/>
    <s v="Upstream"/>
    <s v="0311"/>
    <s v="To ensure sustainable production and utilization of the Country’s oil and gas revenue"/>
    <s v="031105"/>
    <s v="Development of the Natural Gas Pipeline from Tanzania to Uganda to support EACOP, Iron Ore industry and other industrial and domestic uses"/>
    <m/>
    <m/>
    <s v="03110501"/>
    <s v="Uganda – Tanzania Natural Gas Pipeline developed"/>
    <s v="%age completion of the natural gas pipeline and associated storage facilities"/>
    <n v="0"/>
    <n v="10"/>
    <n v="25"/>
    <n v="50"/>
    <n v="70"/>
    <n v="100"/>
    <s v="MEMD"/>
    <s v="017 Ministry of Energy and Mineral Development"/>
    <s v="Undertake Natural gas pipeline relevant studies."/>
    <n v="1"/>
    <n v="0"/>
    <n v="0"/>
    <n v="1"/>
    <n v="1"/>
    <n v="0"/>
    <n v="0"/>
    <n v="1"/>
    <n v="0.5"/>
    <m/>
    <n v="0"/>
    <n v="5"/>
    <n v="5"/>
    <n v="0"/>
    <n v="0"/>
    <n v="0"/>
    <n v="0"/>
    <s v="MEMD"/>
    <s v="017 Ministry of Energy and Mineral Development"/>
    <s v="NPA"/>
  </r>
  <r>
    <x v="7"/>
    <x v="7"/>
    <s v="031"/>
    <s v="Upstream"/>
    <s v="0311"/>
    <s v="To ensure sustainable production and utilization of the Country’s oil and gas revenue"/>
    <s v="031105"/>
    <s v="Development of the Natural Gas Pipeline from Tanzania to Uganda to support EACOP, Iron Ore industry and other industrial and domestic uses"/>
    <m/>
    <m/>
    <s v="03110501"/>
    <s v="Uganda – Tanzania Natural Gas Pipeline developed"/>
    <m/>
    <m/>
    <m/>
    <m/>
    <m/>
    <m/>
    <m/>
    <m/>
    <e v="#N/A"/>
    <s v="Acquire Land for the pipeline and storage facilities."/>
    <n v="1"/>
    <n v="0"/>
    <n v="0"/>
    <n v="0"/>
    <n v="1"/>
    <n v="0"/>
    <n v="0"/>
    <n v="1"/>
    <n v="0.375"/>
    <m/>
    <n v="0"/>
    <n v="0"/>
    <n v="0"/>
    <n v="30"/>
    <n v="5"/>
    <n v="5"/>
    <n v="10"/>
    <s v="MoLHUD"/>
    <s v="012 Ministry of Lands, Housing &amp; Urban Development"/>
    <s v="MEMD, PAU, UNOC"/>
  </r>
  <r>
    <x v="7"/>
    <x v="7"/>
    <s v="031"/>
    <s v="Upstream"/>
    <s v="0311"/>
    <s v="To ensure sustainable production and utilization of the Country’s oil and gas revenue"/>
    <s v="031105"/>
    <s v="Development of the Natural Gas Pipeline from Tanzania to Uganda to support EACOP, Iron Ore industry and other industrial and domestic uses"/>
    <m/>
    <m/>
    <s v="03110501"/>
    <s v="Uganda – Tanzania Natural Gas Pipeline developed"/>
    <m/>
    <m/>
    <m/>
    <m/>
    <m/>
    <m/>
    <m/>
    <m/>
    <e v="#N/A"/>
    <s v="Negotiate and execute Project associated agreements. "/>
    <n v="1"/>
    <n v="0"/>
    <n v="0"/>
    <n v="1"/>
    <n v="1"/>
    <n v="0"/>
    <n v="0"/>
    <n v="1"/>
    <n v="0.5"/>
    <m/>
    <n v="0"/>
    <n v="2"/>
    <n v="2"/>
    <n v="0"/>
    <n v="0"/>
    <n v="0"/>
    <n v="0"/>
    <s v="MEMD"/>
    <s v="017 Ministry of Energy and Mineral Development"/>
    <s v="NPA, UNOC, PAU"/>
  </r>
  <r>
    <x v="7"/>
    <x v="7"/>
    <s v="031"/>
    <s v="Upstream"/>
    <s v="0311"/>
    <s v="To ensure sustainable production and utilization of the Country’s oil and gas revenue"/>
    <s v="031105"/>
    <s v="Development of the Natural Gas Pipeline from Tanzania to Uganda to support EACOP, Iron Ore industry and other industrial and domestic uses"/>
    <m/>
    <m/>
    <s v="03110501"/>
    <s v="Uganda – Tanzania Natural Gas Pipeline developed"/>
    <m/>
    <m/>
    <m/>
    <m/>
    <m/>
    <m/>
    <m/>
    <m/>
    <e v="#N/A"/>
    <s v="Develop the natural gas pipeline and associated storage facilities from Tanzania to Uganda."/>
    <n v="1"/>
    <n v="0"/>
    <n v="1"/>
    <n v="0"/>
    <n v="0"/>
    <n v="0"/>
    <n v="0"/>
    <n v="1"/>
    <n v="0.375"/>
    <m/>
    <n v="0"/>
    <n v="0"/>
    <n v="0"/>
    <n v="80"/>
    <n v="30"/>
    <n v="5"/>
    <n v="35"/>
    <s v="MEMD"/>
    <s v="017 Ministry of Energy and Mineral Development"/>
    <s v="MoFPED, PAU, UNOC"/>
  </r>
  <r>
    <x v="7"/>
    <x v="7"/>
    <s v="031"/>
    <s v="Upstream"/>
    <s v="0312"/>
    <s v="To strengthen policy, legal and regulatory frameworks as well as institutional capacity of oil and gas industry"/>
    <s v="031201"/>
    <s v="Complete the relevant oil and gas project commercial agreements"/>
    <s v="031201a"/>
    <s v="Share Holders Agreement (SHA), Host Governmental Agreements (HGA),_x000a_Transportation and Tariff Agreement (TTA)"/>
    <s v="031201a01"/>
    <s v="Project commercial and legal agreements negotiated and executed "/>
    <s v="Number of Agreements negotiated and concluded"/>
    <n v="9"/>
    <n v="3"/>
    <n v="6"/>
    <n v="5"/>
    <n v="0"/>
    <n v="0"/>
    <s v="MEMD"/>
    <s v="017 Ministry of Energy and Mineral Development"/>
    <s v="Negotiate and execute all commercial and legal agreements for the oil and gas projects"/>
    <n v="1"/>
    <n v="0"/>
    <n v="0"/>
    <n v="1"/>
    <n v="1"/>
    <n v="0"/>
    <n v="0"/>
    <n v="1"/>
    <n v="0.5"/>
    <m/>
    <n v="0"/>
    <n v="1"/>
    <n v="1"/>
    <n v="0"/>
    <n v="0"/>
    <n v="0"/>
    <n v="0"/>
    <s v="MEMD"/>
    <s v="017 Ministry of Energy and Mineral Development"/>
    <s v="UNOC, PAU, MoFA"/>
  </r>
  <r>
    <x v="7"/>
    <x v="7"/>
    <s v="031"/>
    <s v="Upstream"/>
    <s v="0312"/>
    <s v="To strengthen policy, legal and regulatory frameworks as well as institutional capacity of oil and gas industry"/>
    <s v="031202"/>
    <s v="Review and update relevant policies; and fast-track harmonization of conflicting laws and regulations"/>
    <m/>
    <m/>
    <s v="03120201"/>
    <s v="Conflicting policies, laws and regulations harmonized"/>
    <s v="Number of laws and regulations enacted"/>
    <n v="10"/>
    <n v="0"/>
    <n v="0"/>
    <n v="0"/>
    <n v="100"/>
    <n v="100"/>
    <s v="MEMD"/>
    <s v="017 Ministry of Energy and Mineral Development"/>
    <s v="Undertake a regulatory impact assessment for the National Oil and Gas Policy considering the elderly, youth, women and PWDs."/>
    <n v="1"/>
    <n v="0"/>
    <n v="0"/>
    <n v="1"/>
    <n v="1"/>
    <n v="1"/>
    <n v="0"/>
    <n v="1"/>
    <n v="0.625"/>
    <m/>
    <n v="0"/>
    <n v="0"/>
    <n v="0"/>
    <n v="0.5"/>
    <n v="0"/>
    <n v="0"/>
    <n v="0"/>
    <s v="MEMD"/>
    <s v="017 Ministry of Energy and Mineral Development"/>
    <s v="NPA, Parliament"/>
  </r>
  <r>
    <x v="7"/>
    <x v="7"/>
    <s v="031"/>
    <s v="Upstream"/>
    <s v="0312"/>
    <s v="To strengthen policy, legal and regulatory frameworks as well as institutional capacity of oil and gas industry"/>
    <s v="031202"/>
    <s v="Review and update relevant policies; and fast-track harmonization of conflicting laws and regulations"/>
    <m/>
    <m/>
    <s v="03120201"/>
    <s v="Conflicting policies, laws and regulations harmonized"/>
    <m/>
    <m/>
    <m/>
    <m/>
    <m/>
    <n v="80"/>
    <n v="100"/>
    <m/>
    <e v="#N/A"/>
    <s v="Revise and update the National Oil and Gas Policy."/>
    <n v="1"/>
    <n v="0"/>
    <n v="0"/>
    <n v="1"/>
    <n v="1"/>
    <n v="1"/>
    <n v="0"/>
    <n v="1"/>
    <n v="0.625"/>
    <m/>
    <n v="0"/>
    <n v="0"/>
    <n v="0"/>
    <n v="0.2"/>
    <n v="0.3"/>
    <n v="0.3"/>
    <n v="0.6"/>
    <s v="MEMD"/>
    <s v="017 Ministry of Energy and Mineral Development"/>
    <s v="NPA, Parliament"/>
  </r>
  <r>
    <x v="7"/>
    <x v="7"/>
    <s v="031"/>
    <s v="Upstream"/>
    <s v="0312"/>
    <s v="To strengthen policy, legal and regulatory frameworks as well as institutional capacity of oil and gas industry"/>
    <s v="031202"/>
    <s v="Review and update relevant policies; and fast-track harmonization of conflicting laws and regulations"/>
    <m/>
    <m/>
    <s v="03120201"/>
    <s v="Conflicting policies, laws and regulations harmonized"/>
    <m/>
    <m/>
    <m/>
    <m/>
    <m/>
    <n v="2"/>
    <n v="5"/>
    <m/>
    <e v="#N/A"/>
    <s v="Review, update and formulate laws, regulations and guidelines"/>
    <n v="1"/>
    <n v="0"/>
    <n v="0"/>
    <n v="1"/>
    <n v="1"/>
    <n v="1"/>
    <n v="0"/>
    <n v="1"/>
    <n v="0.625"/>
    <m/>
    <n v="0"/>
    <n v="0"/>
    <n v="0"/>
    <n v="0"/>
    <n v="1"/>
    <n v="1"/>
    <n v="2"/>
    <s v="MEMD"/>
    <s v="017 Ministry of Energy and Mineral Development"/>
    <s v="N/A"/>
  </r>
  <r>
    <x v="7"/>
    <x v="7"/>
    <s v="031"/>
    <s v="Upstream"/>
    <s v="0312"/>
    <s v="To strengthen policy, legal and regulatory frameworks as well as institutional capacity of oil and gas industry"/>
    <s v="031203"/>
    <s v="Operationalize the National Content policy to enhance local Content and national participation in oil and gas"/>
    <m/>
    <m/>
    <s v="03120301"/>
    <s v="National Content Policy implemented"/>
    <s v="Percentage of local participation in the oil and gas subsector "/>
    <n v="28"/>
    <n v="30"/>
    <n v="30"/>
    <n v="32"/>
    <n v="25"/>
    <n v="30"/>
    <s v="PAU"/>
    <s v="312 Petroleum Authority of Uganda (PAU)"/>
    <s v="Implement initiatives that enhance the local Service providers’ capacity considering the women, youth and PWDs. "/>
    <n v="1"/>
    <n v="1"/>
    <n v="1"/>
    <n v="1"/>
    <n v="1"/>
    <n v="0"/>
    <n v="1"/>
    <n v="1"/>
    <n v="0.875"/>
    <m/>
    <n v="0"/>
    <n v="0"/>
    <n v="0"/>
    <n v="0"/>
    <n v="6"/>
    <n v="5"/>
    <n v="11"/>
    <s v="MEMD"/>
    <s v="017 Ministry of Energy and Mineral Development"/>
    <s v="PAU, UNOC"/>
  </r>
  <r>
    <x v="7"/>
    <x v="7"/>
    <s v="031"/>
    <s v="Upstream"/>
    <s v="0312"/>
    <s v="To strengthen policy, legal and regulatory frameworks as well as institutional capacity of oil and gas industry"/>
    <s v="031203"/>
    <s v="Operationalize the National Content policy to enhance local Content and national participation in oil and gas"/>
    <m/>
    <m/>
    <s v="03120301"/>
    <s v="National Content Policy implemented"/>
    <m/>
    <m/>
    <m/>
    <m/>
    <m/>
    <n v="35"/>
    <n v="40"/>
    <m/>
    <e v="#N/A"/>
    <s v="Implement initiatives that enhance Ugandan citizens competitiveness for jobs in the sector with consideration of gender and equity aspects."/>
    <n v="1"/>
    <n v="1"/>
    <n v="1"/>
    <n v="1"/>
    <n v="1"/>
    <n v="0"/>
    <n v="1"/>
    <n v="1"/>
    <n v="0.875"/>
    <m/>
    <n v="0"/>
    <n v="0"/>
    <n v="0"/>
    <n v="0"/>
    <n v="7"/>
    <n v="6"/>
    <n v="13"/>
    <s v="MEMD"/>
    <s v="017 Ministry of Energy and Mineral Development"/>
    <s v="MoGLSD, PAU, UNOC"/>
  </r>
  <r>
    <x v="7"/>
    <x v="7"/>
    <s v="031"/>
    <s v="Upstream"/>
    <s v="0312"/>
    <s v="To strengthen policy, legal and regulatory frameworks as well as institutional capacity of oil and gas industry"/>
    <s v="031204"/>
    <s v="Develop strategy for an oil and gas innovation hub"/>
    <m/>
    <m/>
    <s v="03120401"/>
    <s v="Innovation strategy developed and implemented"/>
    <s v="% Progress "/>
    <n v="0"/>
    <n v="40"/>
    <n v="60"/>
    <n v="100"/>
    <m/>
    <m/>
    <s v="MEMD"/>
    <s v="017 Ministry of Energy and Mineral Development"/>
    <s v="Undertake a technology needs assessment for the industry"/>
    <n v="1"/>
    <n v="0"/>
    <n v="0"/>
    <n v="1"/>
    <n v="1"/>
    <n v="0"/>
    <n v="0"/>
    <n v="1"/>
    <n v="0.5"/>
    <m/>
    <n v="0"/>
    <n v="0.5"/>
    <n v="0.3"/>
    <n v="0"/>
    <n v="0"/>
    <n v="0"/>
    <n v="0"/>
    <s v="MoSTI"/>
    <s v="023 Ministry of Science,Technology and Innovation"/>
    <s v="PAU, MEMD, UNOC"/>
  </r>
  <r>
    <x v="7"/>
    <x v="7"/>
    <s v="031"/>
    <s v="Upstream"/>
    <s v="0312"/>
    <s v="To strengthen policy, legal and regulatory frameworks as well as institutional capacity of oil and gas industry"/>
    <s v="031204"/>
    <s v="Develop strategy for an oil and gas innovation hub"/>
    <m/>
    <m/>
    <s v="03120401"/>
    <s v="Innovation strategy developed and implemented"/>
    <s v="Number of innovations"/>
    <n v="0"/>
    <n v="1"/>
    <n v="2"/>
    <n v="2"/>
    <n v="4"/>
    <n v="4"/>
    <s v="MEMD"/>
    <s v="017 Ministry of Energy and Mineral Development"/>
    <s v="Develop an innovation strategy for Oil and Gas"/>
    <n v="1"/>
    <n v="0"/>
    <n v="0"/>
    <n v="1"/>
    <n v="1"/>
    <n v="0"/>
    <n v="0"/>
    <n v="1"/>
    <n v="0.5"/>
    <m/>
    <n v="0"/>
    <n v="0"/>
    <n v="0"/>
    <n v="0"/>
    <n v="0.1"/>
    <n v="0.05"/>
    <n v="0.15000000000000002"/>
    <s v="MoSTI"/>
    <s v="023 Ministry of Science,Technology and Innovation"/>
    <s v="MEMD, PAU, UNOC"/>
  </r>
  <r>
    <x v="7"/>
    <x v="7"/>
    <s v="031"/>
    <s v="Upstream"/>
    <s v="0312"/>
    <s v="To strengthen policy, legal and regulatory frameworks as well as institutional capacity of oil and gas industry"/>
    <s v="031204"/>
    <s v="Develop strategy for an oil and gas innovation hub"/>
    <m/>
    <m/>
    <s v="03120401"/>
    <s v="Innovation strategy developed and implemented"/>
    <m/>
    <m/>
    <m/>
    <m/>
    <m/>
    <n v="50"/>
    <n v="80"/>
    <m/>
    <e v="#N/A"/>
    <s v="Undertake Research and Development on oil and gas development and production "/>
    <n v="1"/>
    <n v="0"/>
    <n v="0"/>
    <n v="1"/>
    <n v="1"/>
    <n v="1"/>
    <n v="0"/>
    <n v="1"/>
    <n v="0.625"/>
    <m/>
    <n v="0"/>
    <n v="1"/>
    <n v="1"/>
    <n v="1"/>
    <n v="1"/>
    <n v="1"/>
    <n v="2"/>
    <s v="MEMD"/>
    <s v="017 Ministry of Energy and Mineral Development"/>
    <s v="PAU, UNOC"/>
  </r>
  <r>
    <x v="7"/>
    <x v="7"/>
    <s v="031"/>
    <s v="Upstream"/>
    <s v="0312"/>
    <s v="To strengthen policy, legal and regulatory frameworks as well as institutional capacity of oil and gas industry"/>
    <s v="031205"/>
    <s v="Improve operations of the National Petroleum Information System (NPIS)"/>
    <m/>
    <m/>
    <s v="03120501"/>
    <s v="NPIS upgraded and maintained"/>
    <s v="Level of upgrade (%)"/>
    <n v="50"/>
    <n v="60"/>
    <n v="75"/>
    <n v="100"/>
    <n v="80"/>
    <n v="100"/>
    <s v="MEMD"/>
    <s v="017 Ministry of Energy and Mineral Development"/>
    <s v="Upgrade and update the NPIS "/>
    <n v="1"/>
    <n v="0"/>
    <n v="0"/>
    <n v="1"/>
    <n v="1"/>
    <n v="1"/>
    <n v="0"/>
    <n v="1"/>
    <n v="0.625"/>
    <m/>
    <n v="0"/>
    <n v="0.2"/>
    <n v="0.2"/>
    <n v="0"/>
    <n v="0.5"/>
    <n v="0.4"/>
    <n v="0.9"/>
    <s v="MEMD"/>
    <s v="017 Ministry of Energy and Mineral Development"/>
    <s v="PAU, UNOC"/>
  </r>
  <r>
    <x v="7"/>
    <x v="7"/>
    <s v="031"/>
    <s v="Upstream"/>
    <s v="0312"/>
    <s v="To strengthen policy, legal and regulatory frameworks as well as institutional capacity of oil and gas industry"/>
    <s v="031206"/>
    <s v="Strengthen governance and transparency in the oil and gas sector"/>
    <m/>
    <m/>
    <s v="03120601"/>
    <s v="EITI Medium term workplan implemented"/>
    <s v="%age progress of implementation "/>
    <n v="0"/>
    <n v="20"/>
    <n v="40"/>
    <n v="60"/>
    <n v="80"/>
    <n v="100"/>
    <s v="MoFPED"/>
    <s v="008 Ministry of Finance, Planning &amp; Economic Dev."/>
    <s v="Implement the EITI oil and gas medium term action plan"/>
    <n v="1"/>
    <n v="0"/>
    <n v="0"/>
    <n v="1"/>
    <n v="1"/>
    <n v="1"/>
    <n v="1"/>
    <n v="1"/>
    <n v="0.75"/>
    <m/>
    <n v="0"/>
    <n v="0.3"/>
    <n v="0.3"/>
    <n v="0.3"/>
    <n v="2"/>
    <n v="2"/>
    <n v="4"/>
    <s v="MoFPED"/>
    <s v="008 Ministry of Finance, Planning &amp; Economic Dev."/>
    <s v="NPA, CSOs, NGOs"/>
  </r>
  <r>
    <x v="7"/>
    <x v="7"/>
    <s v="032"/>
    <s v="Midstream"/>
    <s v="0323"/>
    <s v="To enhance local capacity to participate in oil and gas operations"/>
    <s v="032301"/>
    <s v="Establish an oil and gas incubation fund to promote local entrepreneurship and SME’s"/>
    <m/>
    <m/>
    <s v="03230101"/>
    <s v="Fund in place and operational"/>
    <s v="No. of local companies funded"/>
    <n v="0"/>
    <n v="0"/>
    <n v="500"/>
    <n v="500"/>
    <n v="80"/>
    <n v="100"/>
    <s v="MoFPED"/>
    <s v="008 Ministry of Finance, Planning &amp; Economic Dev."/>
    <s v="Enact the Local Content development Fund Act"/>
    <n v="1"/>
    <n v="0"/>
    <n v="0"/>
    <n v="1"/>
    <n v="1"/>
    <n v="1"/>
    <n v="0"/>
    <n v="1"/>
    <n v="0.625"/>
    <m/>
    <n v="0"/>
    <n v="0"/>
    <n v="1"/>
    <n v="0"/>
    <n v="1"/>
    <n v="0.5"/>
    <n v="1.5"/>
    <s v="MEMD"/>
    <s v="017 Ministry of Energy and Mineral Development"/>
    <s v="MoFPED, Parliament, UDB, MoJCA"/>
  </r>
  <r>
    <x v="7"/>
    <x v="7"/>
    <s v="032"/>
    <s v="Midstream"/>
    <s v="0323"/>
    <s v="To enhance local capacity to participate in oil and gas operations"/>
    <s v="032301"/>
    <s v="Establish an oil and gas incubation fund to promote local entrepreneurship and SME’s"/>
    <m/>
    <m/>
    <s v="03230101"/>
    <s v="Fund in place and operational"/>
    <m/>
    <m/>
    <m/>
    <m/>
    <m/>
    <n v="40"/>
    <n v="60"/>
    <m/>
    <e v="#N/A"/>
    <s v="Establish and operationalise the fund considering the gender and equity aspects."/>
    <n v="1"/>
    <n v="1"/>
    <n v="1"/>
    <n v="1"/>
    <n v="1"/>
    <n v="0"/>
    <n v="0"/>
    <n v="1"/>
    <n v="0.75"/>
    <m/>
    <n v="0"/>
    <n v="0"/>
    <n v="30"/>
    <n v="30"/>
    <n v="60.71"/>
    <n v="50"/>
    <n v="110.71000000000001"/>
    <s v="MoFPED"/>
    <s v="008 Ministry of Finance, Planning &amp; Economic Dev."/>
    <s v="PAU, MEMD, UNOC"/>
  </r>
  <r>
    <x v="7"/>
    <x v="7"/>
    <s v="032"/>
    <s v="Midstream"/>
    <s v="0323"/>
    <s v="To enhance local capacity to participate in oil and gas operations"/>
    <s v="032301"/>
    <s v="Establish an oil and gas incubation fund to promote local entrepreneurship and SME’s"/>
    <m/>
    <m/>
    <s v="03230101"/>
    <s v="Fund in place and operational"/>
    <s v="Percentage of contracts awarded to local businesses"/>
    <n v="28"/>
    <n v="30"/>
    <n v="30"/>
    <n v="35"/>
    <n v="35"/>
    <n v="35"/>
    <s v="JVPs"/>
    <e v="#N/A"/>
    <s v="Unbundle the contracts principle to allow for local participation."/>
    <n v="0"/>
    <n v="0"/>
    <n v="0"/>
    <n v="0"/>
    <n v="0"/>
    <n v="0"/>
    <n v="0"/>
    <n v="0"/>
    <n v="0"/>
    <m/>
    <n v="0"/>
    <n v="0.8"/>
    <n v="0.5"/>
    <n v="0.1"/>
    <n v="0.1"/>
    <n v="0.05"/>
    <n v="0.15000000000000002"/>
    <s v="PAU"/>
    <s v="312 Petroleum Authority of Uganda (PAU)"/>
    <s v="MEMD, UNOC"/>
  </r>
  <r>
    <x v="7"/>
    <x v="7"/>
    <s v="032"/>
    <s v="Midstream"/>
    <s v="0323"/>
    <s v="To enhance local capacity to participate in oil and gas operations"/>
    <s v="032302"/>
    <s v="Capitalize and/or license UNOC to execute its mandate as an investment arm of government in oil and gas industry"/>
    <m/>
    <m/>
    <s v="03230201"/>
    <s v="UNOC capitalized"/>
    <s v="Proportion of funds provided as a %age of the required financing. "/>
    <n v="0"/>
    <n v="14"/>
    <n v="37"/>
    <n v="56"/>
    <n v="39"/>
    <n v="100"/>
    <s v="UNOC"/>
    <s v="311 Uganda National Oil Company (UNOC)"/>
    <s v="Secure financing for UNOC operations"/>
    <n v="1"/>
    <n v="1"/>
    <n v="0"/>
    <n v="1"/>
    <n v="1"/>
    <n v="0"/>
    <n v="0"/>
    <n v="1"/>
    <n v="0.625"/>
    <m/>
    <n v="0"/>
    <n v="31.47"/>
    <n v="31.47"/>
    <n v="31.47"/>
    <n v="50"/>
    <n v="129"/>
    <n v="179"/>
    <s v="UNOC"/>
    <s v="311 Uganda National Oil Company (UNOC)"/>
    <s v="MoFPED"/>
  </r>
  <r>
    <x v="7"/>
    <x v="7"/>
    <s v="032"/>
    <s v="Midstream"/>
    <s v="0323"/>
    <s v="To enhance local capacity to participate in oil and gas operations"/>
    <s v="032303"/>
    <s v="Fast Track Skilling (e.g., apprenticeship), Training and International Accreditation of Ugandans for employment and service provision in the development/phase of the oil and gas sector"/>
    <m/>
    <m/>
    <s v="03230301"/>
    <s v="At least 5 Vocational Training Institutions internationally accredited "/>
    <s v="Number of VTIs internationally accredited"/>
    <n v="1"/>
    <n v="1"/>
    <n v="1"/>
    <n v="1"/>
    <n v="2"/>
    <n v="2"/>
    <s v="MEMD"/>
    <s v="017 Ministry of Energy and Mineral Development"/>
    <s v="Localize the accreditation process in the Country"/>
    <n v="1"/>
    <n v="0"/>
    <n v="0"/>
    <n v="1"/>
    <n v="1"/>
    <n v="1"/>
    <n v="0"/>
    <n v="1"/>
    <n v="0.625"/>
    <m/>
    <n v="0"/>
    <n v="0"/>
    <n v="0.3"/>
    <n v="0.3"/>
    <n v="0"/>
    <n v="0"/>
    <n v="0"/>
    <s v="MoES"/>
    <s v="013 Ministry of Education and Sports"/>
    <s v="PAU, MEMD, UNOC"/>
  </r>
  <r>
    <x v="7"/>
    <x v="7"/>
    <s v="032"/>
    <s v="Midstream"/>
    <s v="0323"/>
    <s v="To enhance local capacity to participate in oil and gas operations"/>
    <s v="032303"/>
    <s v="Fast Track Skilling (e.g., apprenticeship), Training and International Accreditation of Ugandans for employment and service provision in the development/phase of the oil and gas sector"/>
    <m/>
    <m/>
    <s v="03230301"/>
    <s v="At least 5 Vocational Training Institutions internationally accredited "/>
    <m/>
    <m/>
    <m/>
    <m/>
    <m/>
    <n v="200"/>
    <n v="400"/>
    <m/>
    <e v="#N/A"/>
    <s v="Train and certify Ugandans to international oil and gas industry standards"/>
    <n v="1"/>
    <n v="0"/>
    <n v="1"/>
    <n v="1"/>
    <n v="1"/>
    <n v="0"/>
    <n v="0"/>
    <n v="1"/>
    <n v="0.625"/>
    <m/>
    <n v="0"/>
    <n v="0.5"/>
    <n v="3"/>
    <n v="3"/>
    <n v="4"/>
    <n v="4"/>
    <n v="8"/>
    <s v="MoES"/>
    <s v="013 Ministry of Education and Sports"/>
    <s v="NCHE, MEMD, PAU"/>
  </r>
  <r>
    <x v="7"/>
    <x v="7"/>
    <s v="032"/>
    <s v="Midstream"/>
    <s v="0323"/>
    <s v="To enhance local capacity to participate in oil and gas operations"/>
    <s v="032303"/>
    <s v="Fast Track Skilling (e.g., apprenticeship), Training and International Accreditation of Ugandans for employment and service provision in the development/phase of the oil and gas sector"/>
    <m/>
    <m/>
    <s v="03230301"/>
    <s v="At least 50% of local suppliers internationally accredited in ISO and related certifications"/>
    <s v="Percentage of local suppliers internationally accredited"/>
    <n v="60"/>
    <n v="20"/>
    <n v="30"/>
    <n v="50"/>
    <n v="50"/>
    <n v="50"/>
    <s v="PAU"/>
    <s v="312 Petroleum Authority of Uganda (PAU)"/>
    <s v="Localize the accreditation process in the Country. "/>
    <m/>
    <m/>
    <m/>
    <m/>
    <m/>
    <m/>
    <n v="0"/>
    <n v="0"/>
    <n v="0"/>
    <m/>
    <n v="0"/>
    <n v="0"/>
    <n v="1"/>
    <n v="1"/>
    <n v="0"/>
    <n v="0"/>
    <n v="0"/>
    <s v="MoES"/>
    <s v="013 Ministry of Education and Sports"/>
    <s v="MEMD, NCHE, MoTIC"/>
  </r>
  <r>
    <x v="7"/>
    <x v="7"/>
    <s v="032"/>
    <s v="Midstream"/>
    <s v="0323"/>
    <s v="To enhance local capacity to participate in oil and gas operations"/>
    <s v="032303"/>
    <s v="Fast Track Skilling (e.g., apprenticeship), Training and International Accreditation of Ugandans for employment and service provision in the development/phase of the oil and gas sector"/>
    <m/>
    <m/>
    <s v="03230301"/>
    <s v="At least 50% of local suppliers internationally accredited in ISO and related certifications"/>
    <m/>
    <m/>
    <m/>
    <m/>
    <m/>
    <n v="35"/>
    <n v="50"/>
    <m/>
    <e v="#N/A"/>
    <s v="Train and certify local suppliers considering the youth, women, elderly and PWDs."/>
    <n v="1"/>
    <n v="0"/>
    <n v="1"/>
    <n v="1"/>
    <n v="1"/>
    <n v="0"/>
    <n v="1"/>
    <n v="1"/>
    <n v="0.75"/>
    <m/>
    <n v="0"/>
    <n v="0.3"/>
    <n v="3"/>
    <n v="4"/>
    <n v="5"/>
    <n v="5"/>
    <n v="10"/>
    <s v="MoES"/>
    <s v="013 Ministry of Education and Sports"/>
    <s v="MoTIC, PAU, UNOC, MEMD"/>
  </r>
  <r>
    <x v="7"/>
    <x v="7"/>
    <s v="032"/>
    <s v="Midstream"/>
    <s v="0323"/>
    <s v="To enhance local capacity to participate in oil and gas operations"/>
    <s v="032304"/>
    <s v="Implementation of a strategy on value addition and marketing of goods and services that will be demanded by the oil and gas sector"/>
    <m/>
    <m/>
    <s v="03230401"/>
    <s v="Value Addition and Marketing strategy for Goods and Services developed and implemented"/>
    <s v="progress of implementation (%)"/>
    <n v="0"/>
    <n v="35"/>
    <n v="50"/>
    <n v="75"/>
    <n v="40"/>
    <n v="50"/>
    <s v="MEMD"/>
    <s v="017 Ministry of Energy and Mineral Development"/>
    <s v="Develop and implement the Value Addition and Marketing strategy for Goods and Services in Oil and Gas"/>
    <n v="1"/>
    <n v="1"/>
    <n v="1"/>
    <n v="1"/>
    <n v="1"/>
    <n v="0"/>
    <n v="1"/>
    <n v="1"/>
    <n v="0.875"/>
    <m/>
    <n v="0"/>
    <n v="0"/>
    <n v="1"/>
    <n v="0.5"/>
    <n v="2"/>
    <n v="5"/>
    <n v="7"/>
    <s v="MEMD"/>
    <s v="017 Ministry of Energy and Mineral Development"/>
    <s v="UNOC, PAU"/>
  </r>
  <r>
    <x v="7"/>
    <x v="7"/>
    <s v="032"/>
    <s v="Midstream"/>
    <s v="0323"/>
    <s v="To enhance local capacity to participate in oil and gas operations"/>
    <s v="032304"/>
    <s v="Implementation of a strategy on value addition and marketing of goods and services that will be demanded by the oil and gas sector"/>
    <m/>
    <m/>
    <s v="03230401"/>
    <s v="Value Addition and Marketing strategy for Goods and Services developed and implemented"/>
    <s v="National supplier database upgraded to a Joint Qualification System (JQS) and E-market place"/>
    <s v="-"/>
    <s v="-"/>
    <n v="1"/>
    <s v="-"/>
    <n v="40"/>
    <n v="60"/>
    <s v="MEMD"/>
    <s v="017 Ministry of Energy and Mineral Development"/>
    <s v="Standardize, test and certify local products to product standards"/>
    <n v="1"/>
    <n v="1"/>
    <n v="1"/>
    <n v="1"/>
    <n v="1"/>
    <n v="1"/>
    <n v="1"/>
    <n v="1"/>
    <n v="1"/>
    <m/>
    <n v="0"/>
    <n v="0"/>
    <n v="0.5"/>
    <n v="0.5"/>
    <n v="2"/>
    <n v="2"/>
    <n v="4"/>
    <s v="UNBS"/>
    <s v="154 Uganda National Bureau of Standards"/>
    <s v="MEMD, MoTIC"/>
  </r>
  <r>
    <x v="7"/>
    <x v="7"/>
    <s v="032"/>
    <s v="Midstream"/>
    <s v="0323"/>
    <s v="To enhance local capacity to participate in oil and gas operations"/>
    <s v="032305"/>
    <s v="Provide SMEs both technical (training) and financial support to enhance their participation in tendering and of delivery of contracts. (Direct and indirect participants in the oil and gas value chain)"/>
    <m/>
    <m/>
    <s v="03230501"/>
    <s v="Industry Enhancement Centre operationalized"/>
    <s v="Number local businesses upskilled in oil and gas "/>
    <n v="0"/>
    <n v="0"/>
    <n v="200"/>
    <n v="300"/>
    <n v="500"/>
    <n v="700"/>
    <s v="MEMD"/>
    <s v="017 Ministry of Energy and Mineral Development"/>
    <s v="Establish and operationalize the Industry Enhancement Centre"/>
    <n v="1"/>
    <n v="0"/>
    <n v="0"/>
    <n v="1"/>
    <n v="1"/>
    <n v="0"/>
    <n v="0"/>
    <n v="1"/>
    <n v="0.5"/>
    <m/>
    <n v="0"/>
    <n v="0"/>
    <n v="0"/>
    <n v="0"/>
    <n v="0"/>
    <n v="0"/>
    <n v="0"/>
    <s v="MEMD"/>
    <s v="017 Ministry of Energy and Mineral Development"/>
    <s v="UIRI, MoTIC"/>
  </r>
  <r>
    <x v="7"/>
    <x v="7"/>
    <s v="032"/>
    <s v="Midstream"/>
    <s v="0323"/>
    <s v="To enhance local capacity to participate in oil and gas operations"/>
    <s v="032306"/>
    <s v="Establish a framework for adoption and transfer of knowledge and technology within the oil and gas sector"/>
    <m/>
    <m/>
    <s v="03230601"/>
    <s v="Workforce Skills Development Strategy and Plan updated and implemented"/>
    <s v="No. of Ugandans trained with appropriate skills relevant to the sector"/>
    <n v="100"/>
    <n v="300"/>
    <n v="200"/>
    <n v="200"/>
    <n v="300"/>
    <n v="600"/>
    <s v="MEMD"/>
    <s v="017 Ministry of Energy and Mineral Development"/>
    <s v="Update and implement the workforce skills development strategy and plan with the promotion of gender and equity aspects."/>
    <n v="1"/>
    <n v="0"/>
    <n v="1"/>
    <n v="1"/>
    <n v="1"/>
    <n v="0"/>
    <n v="0"/>
    <n v="1"/>
    <n v="0.625"/>
    <m/>
    <n v="0"/>
    <n v="0"/>
    <n v="1"/>
    <n v="1.2"/>
    <n v="5"/>
    <n v="5"/>
    <n v="10"/>
    <s v="MEMD"/>
    <s v="017 Ministry of Energy and Mineral Development"/>
    <s v="MoGLSD, PAU, UNOC"/>
  </r>
  <r>
    <x v="7"/>
    <x v="7"/>
    <s v="032"/>
    <s v="Midstream"/>
    <s v="0323"/>
    <s v="To enhance local capacity to participate in oil and gas operations"/>
    <s v="032307"/>
    <s v="Implement the Agricultural Development Strategy for the Albertine Region"/>
    <m/>
    <m/>
    <s v="03230701"/>
    <s v="Capacity of Local agricultural suppliers developed to supply the oil and gas sector"/>
    <s v="N0. of Local suppliers developed in agricultural capacity"/>
    <n v="85"/>
    <n v="100"/>
    <n v="100"/>
    <n v="500"/>
    <n v="200"/>
    <n v="400"/>
    <s v="PAU"/>
    <s v="312 Petroleum Authority of Uganda (PAU)"/>
    <s v="Implement the Agricultural Development Strategy for the Albertine Region considering gender and equity aspects."/>
    <n v="1"/>
    <n v="1"/>
    <n v="1"/>
    <n v="1"/>
    <n v="1"/>
    <n v="1"/>
    <n v="1"/>
    <n v="1"/>
    <n v="1"/>
    <m/>
    <n v="0"/>
    <n v="0"/>
    <m/>
    <m/>
    <n v="10"/>
    <n v="10"/>
    <n v="20"/>
    <s v="PAU"/>
    <s v="010 Ministry of Agriculture, Animal &amp; Fisheries"/>
    <s v="PAU, UNOC, MEMD"/>
  </r>
  <r>
    <x v="7"/>
    <x v="7"/>
    <s v="032"/>
    <s v="Midstream"/>
    <s v="0323"/>
    <s v="To enhance local capacity to participate in oil and gas operations"/>
    <s v="032307"/>
    <s v="Implement the Agricultural Development Strategy for the Albertine Region"/>
    <m/>
    <m/>
    <s v="03230701"/>
    <s v="Capacity of Local agricultural suppliers developed to supply the oil and gas sector"/>
    <s v="Amount of local Agro- based products supplied to the sector"/>
    <n v="20"/>
    <n v="20"/>
    <n v="20"/>
    <n v="20"/>
    <n v="200"/>
    <n v="400"/>
    <s v="PAU"/>
    <s v="312 Petroleum Authority of Uganda (PAU)"/>
    <s v="Upscale the agricultural development project to cover the pipeline districts"/>
    <n v="1"/>
    <n v="1"/>
    <n v="1"/>
    <n v="1"/>
    <n v="1"/>
    <n v="1"/>
    <n v="1"/>
    <n v="1"/>
    <n v="1"/>
    <m/>
    <n v="0"/>
    <n v="0"/>
    <m/>
    <m/>
    <n v="20"/>
    <n v="20"/>
    <n v="40"/>
    <s v="MEMD"/>
    <s v="010 Ministry of Agriculture, Animal &amp; Fisheries"/>
    <s v="PAU, MEMD"/>
  </r>
  <r>
    <x v="7"/>
    <x v="7"/>
    <s v="032"/>
    <s v="Midstream"/>
    <s v="0324"/>
    <s v="To promote private investment in oil and gas industry"/>
    <s v="032401"/>
    <s v="Develop and implement sustainable financing strategy"/>
    <m/>
    <m/>
    <s v="03240101"/>
    <s v="Financing strategy developed and implemented"/>
    <s v="No. of Financing Agreements secured"/>
    <s v=" 0"/>
    <s v=" 6"/>
    <s v=" 6"/>
    <s v=" 6"/>
    <s v=" 6"/>
    <s v=" 6"/>
    <s v="UNOC"/>
    <s v="311 Uganda National Oil Company (UNOC)"/>
    <s v="Develop and implement a sustainable financing strategy for oil and gas."/>
    <n v="0"/>
    <n v="0"/>
    <n v="0"/>
    <n v="0"/>
    <n v="0"/>
    <n v="0"/>
    <n v="0"/>
    <n v="0"/>
    <n v="0"/>
    <m/>
    <n v="0"/>
    <n v="0.1"/>
    <n v="0"/>
    <n v="0"/>
    <n v="0"/>
    <n v="0"/>
    <n v="0"/>
    <s v="UNOC"/>
    <s v="311 Uganda National Oil Company (UNOC)"/>
    <s v="MoFPED, PAU"/>
  </r>
  <r>
    <x v="7"/>
    <x v="7"/>
    <s v="032"/>
    <s v="Midstream"/>
    <s v="0324"/>
    <s v="To promote private investment in oil and gas industry"/>
    <s v="032401"/>
    <s v="Develop and implement sustainable financing strategy"/>
    <m/>
    <m/>
    <s v="03240101"/>
    <s v="Financing strategy developed and implemented"/>
    <s v="Number of investors in oil and gas attracted."/>
    <m/>
    <n v="4"/>
    <n v="4"/>
    <n v="4"/>
    <n v="4"/>
    <n v="4"/>
    <s v="MEMD"/>
    <s v="017 Ministry of Energy and Mineral Development"/>
    <s v="Undertake promotional activities for   private investment in oil and gas industry."/>
    <n v="1"/>
    <n v="0"/>
    <n v="0"/>
    <n v="1"/>
    <n v="1"/>
    <n v="1"/>
    <n v="0"/>
    <n v="1"/>
    <n v="0.625"/>
    <m/>
    <n v="0"/>
    <n v="2"/>
    <n v="2"/>
    <n v="2"/>
    <n v="2"/>
    <n v="2"/>
    <n v="4"/>
    <s v="MoFA"/>
    <s v="006 Ministry of Foreign Affairs"/>
    <s v="MEMD, PAU"/>
  </r>
  <r>
    <x v="7"/>
    <x v="7"/>
    <s v="032"/>
    <s v="Midstream"/>
    <s v="0324"/>
    <s v="To promote private investment in oil and gas industry"/>
    <s v="032401"/>
    <s v="Develop and implement sustainable financing strategy"/>
    <m/>
    <m/>
    <s v="03240101"/>
    <s v="Financing strategy developed and implemented"/>
    <m/>
    <m/>
    <m/>
    <m/>
    <m/>
    <m/>
    <m/>
    <m/>
    <e v="#N/A"/>
    <s v="Assess and implement the approved optimal financing options for Programme projects and operations. "/>
    <n v="0"/>
    <n v="0"/>
    <n v="0"/>
    <n v="0"/>
    <n v="0"/>
    <n v="0"/>
    <n v="0"/>
    <n v="0"/>
    <n v="0"/>
    <m/>
    <n v="0"/>
    <n v="0"/>
    <n v="0"/>
    <n v="0"/>
    <n v="0"/>
    <n v="0"/>
    <n v="0"/>
    <s v="MEMD"/>
    <s v="017 Ministry of Energy and Mineral Development"/>
    <s v="PAU, UNOC, MoFPED"/>
  </r>
  <r>
    <x v="7"/>
    <x v="7"/>
    <s v="032"/>
    <s v="Midstream"/>
    <s v="0324"/>
    <s v="To promote private investment in oil and gas industry"/>
    <s v="032401"/>
    <s v="Develop and implement sustainable financing strategy"/>
    <m/>
    <m/>
    <s v="03240101"/>
    <s v="Financing strategy developed and implemented"/>
    <s v="Number of investors in oil and gas attracted."/>
    <m/>
    <m/>
    <m/>
    <m/>
    <m/>
    <m/>
    <s v="MoFA"/>
    <s v="006 Ministry of Foreign Affairs"/>
    <s v="Undertake targeted visits to potential investors."/>
    <n v="0"/>
    <n v="0"/>
    <n v="0"/>
    <n v="0"/>
    <n v="0"/>
    <n v="0"/>
    <n v="0"/>
    <n v="0"/>
    <n v="0"/>
    <m/>
    <n v="0"/>
    <m/>
    <m/>
    <m/>
    <m/>
    <m/>
    <n v="0"/>
    <s v="MoFA"/>
    <s v="006 Ministry of Foreign Affairs"/>
    <m/>
  </r>
  <r>
    <x v="7"/>
    <x v="7"/>
    <s v="032"/>
    <s v="Midstream"/>
    <s v="0324"/>
    <s v="To promote private investment in oil and gas industry"/>
    <s v="032402"/>
    <s v="Implement a communication strategy to deal with public anxiety and managing expectations"/>
    <m/>
    <m/>
    <s v="03240201"/>
    <s v="Oil and Gas Communication Strategies implemented"/>
    <s v="Number of stakeholder engagements held"/>
    <n v="300"/>
    <n v="400"/>
    <n v="500"/>
    <n v="500"/>
    <n v="1000"/>
    <n v="1000"/>
    <s v="MEMD"/>
    <s v="017 Ministry of Energy and Mineral Development"/>
    <s v="Implement the Oil and Gas Communication Strategies."/>
    <n v="1"/>
    <n v="0"/>
    <n v="0"/>
    <n v="1"/>
    <n v="1"/>
    <n v="1"/>
    <n v="0"/>
    <n v="1"/>
    <n v="0.625"/>
    <m/>
    <n v="0"/>
    <n v="1"/>
    <n v="1"/>
    <n v="1"/>
    <n v="1"/>
    <n v="1"/>
    <n v="2"/>
    <s v="MEMD"/>
    <s v="017 Ministry of Energy and Mineral Development"/>
    <s v="PAU, UNOC"/>
  </r>
  <r>
    <x v="7"/>
    <x v="7"/>
    <s v="032"/>
    <s v="Midstream"/>
    <s v="0324"/>
    <s v="To promote private investment in oil and gas industry"/>
    <s v="032403"/>
    <s v="Develop and implement a marketing and promotional strategy for oil and gas projects"/>
    <m/>
    <m/>
    <s v="03240301"/>
    <s v="Marketing strategy for oil and gas projects developed and implemented"/>
    <s v="Marketing strategy for oil and gas projects "/>
    <n v="0"/>
    <n v="0"/>
    <n v="1"/>
    <s v="-"/>
    <s v="-"/>
    <s v="-"/>
    <s v="UNOC"/>
    <s v="311 Uganda National Oil Company (UNOC)"/>
    <s v="Develop and implement project specific Marketing Strategies"/>
    <n v="0"/>
    <n v="0"/>
    <n v="0"/>
    <n v="0"/>
    <n v="0"/>
    <n v="0"/>
    <n v="0"/>
    <n v="0"/>
    <n v="0"/>
    <m/>
    <n v="0"/>
    <n v="0"/>
    <n v="0.5"/>
    <n v="0.1"/>
    <n v="0"/>
    <n v="0"/>
    <n v="0"/>
    <s v="MEMD"/>
    <s v="017 Ministry of Energy and Mineral Development"/>
    <s v="PAU, UNOC"/>
  </r>
  <r>
    <x v="7"/>
    <x v="7"/>
    <s v="031"/>
    <s v="Upstream"/>
    <s v="0315"/>
    <s v="To enhance Quality Health, Safety, Security and Environment (QHSSE)"/>
    <s v="031501"/>
    <s v="Develop and implement oil and gas QHSSE systems and standards"/>
    <m/>
    <m/>
    <s v="03150101"/>
    <s v="QHSSE systems and standards developed and implemented"/>
    <s v="Number of QHSSE standards in place."/>
    <n v="110"/>
    <n v="40"/>
    <n v="60"/>
    <n v="60"/>
    <n v="70"/>
    <n v="80"/>
    <s v="UNBS"/>
    <s v="154 Uganda National Bureau of Standards"/>
    <s v="Develop and implement the Oil and gas QHSSE standards for infrastructure  "/>
    <n v="1"/>
    <n v="0"/>
    <n v="0"/>
    <n v="1"/>
    <n v="1"/>
    <n v="1"/>
    <n v="0"/>
    <n v="1"/>
    <n v="0.625"/>
    <m/>
    <n v="0"/>
    <n v="1.7"/>
    <n v="2.2999999999999998"/>
    <n v="2.2999999999999998"/>
    <n v="2.6"/>
    <n v="2.4"/>
    <n v="5"/>
    <s v="PAU"/>
    <s v="312 Petroleum Authority of Uganda (PAU)"/>
    <s v="MEMD, UNOC"/>
  </r>
  <r>
    <x v="7"/>
    <x v="7"/>
    <s v="031"/>
    <s v="Upstream"/>
    <s v="0315"/>
    <s v="To enhance Quality Health, Safety, Security and Environment (QHSSE)"/>
    <s v="031501"/>
    <s v="Develop and implement oil and gas QHSSE systems and standards"/>
    <m/>
    <m/>
    <s v="03150101"/>
    <s v="QHSSE systems and standards developed and implemented"/>
    <s v="Number of Quality Management systems in Place"/>
    <n v="0"/>
    <n v="0"/>
    <n v="1"/>
    <n v="1"/>
    <n v="0"/>
    <n v="1"/>
    <s v="UNBS"/>
    <s v="154 Uganda National Bureau of Standards"/>
    <s v="Establish Quality Management System for Oil and Gas operations"/>
    <n v="1"/>
    <n v="0"/>
    <n v="0"/>
    <n v="1"/>
    <n v="1"/>
    <n v="1"/>
    <n v="0"/>
    <n v="1"/>
    <n v="0.625"/>
    <m/>
    <n v="0"/>
    <n v="0"/>
    <n v="0"/>
    <n v="0"/>
    <n v="0"/>
    <n v="2"/>
    <n v="2"/>
    <s v="MEMD"/>
    <s v="017 Ministry of Energy and Mineral Development"/>
    <s v="PAU, UNOC"/>
  </r>
  <r>
    <x v="7"/>
    <x v="7"/>
    <s v="031"/>
    <s v="Upstream"/>
    <s v="0315"/>
    <s v="To enhance Quality Health, Safety, Security and Environment (QHSSE)"/>
    <s v="031501"/>
    <s v="Develop and implement oil and gas QHSSE systems and standards"/>
    <m/>
    <m/>
    <s v="03150101"/>
    <s v="QHSSE systems and standards developed and implemented"/>
    <s v="Number of standards on Climate Change developed"/>
    <s v="-"/>
    <n v="10"/>
    <n v="10"/>
    <n v="10"/>
    <n v="0"/>
    <n v="10"/>
    <s v="UNBS"/>
    <s v="154 Uganda National Bureau of Standards"/>
    <s v="Develop and implement standards on Climate Change"/>
    <n v="1"/>
    <n v="0"/>
    <n v="0"/>
    <n v="1"/>
    <n v="1"/>
    <n v="1"/>
    <n v="0"/>
    <n v="1"/>
    <n v="0.625"/>
    <m/>
    <n v="0"/>
    <n v="0"/>
    <n v="0"/>
    <n v="0"/>
    <n v="0"/>
    <n v="2"/>
    <n v="2"/>
    <s v="PAU"/>
    <s v="312 Petroleum Authority of Uganda (PAU)"/>
    <s v="UNBS, MEMD"/>
  </r>
  <r>
    <x v="7"/>
    <x v="7"/>
    <s v="031"/>
    <s v="Upstream"/>
    <s v="0315"/>
    <s v="To enhance Quality Health, Safety, Security and Environment (QHSSE)"/>
    <s v="031502"/>
    <s v="Establish QHSSE governance and assurance framework"/>
    <m/>
    <m/>
    <s v="03150201"/>
    <s v="QHSSE governance and assurance framework established"/>
    <s v="% of QHSSE governance and assurance framework developed"/>
    <s v="-"/>
    <n v="25"/>
    <n v="50"/>
    <n v="75"/>
    <n v="0"/>
    <n v="1"/>
    <s v="NEMA "/>
    <e v="#N/A"/>
    <s v="Develop a measurement verification and regulatory framework."/>
    <n v="1"/>
    <n v="0"/>
    <n v="0"/>
    <n v="1"/>
    <n v="1"/>
    <n v="1"/>
    <n v="0"/>
    <n v="1"/>
    <n v="0.625"/>
    <m/>
    <n v="0"/>
    <n v="0.5"/>
    <n v="0.5"/>
    <n v="0.5"/>
    <n v="0"/>
    <n v="0.5"/>
    <n v="0.5"/>
    <s v="UNBS"/>
    <s v="154 Uganda National Bureau of Standards"/>
    <s v="MEMD, PAU, MoTIC"/>
  </r>
  <r>
    <x v="7"/>
    <x v="7"/>
    <s v="031"/>
    <s v="Upstream"/>
    <s v="0315"/>
    <s v="To enhance Quality Health, Safety, Security and Environment (QHSSE)"/>
    <s v="031502"/>
    <s v="Establish QHSSE governance and assurance framework"/>
    <m/>
    <m/>
    <s v="03150201"/>
    <s v="QHSSE governance and assurance framework established"/>
    <m/>
    <m/>
    <m/>
    <m/>
    <m/>
    <m/>
    <m/>
    <m/>
    <e v="#N/A"/>
    <s v="Establishment of regional standards and metrological offices "/>
    <n v="0"/>
    <n v="0"/>
    <n v="0"/>
    <n v="0"/>
    <n v="0"/>
    <n v="0"/>
    <n v="0"/>
    <n v="0"/>
    <n v="0"/>
    <m/>
    <n v="0"/>
    <n v="0.1"/>
    <n v="0.2"/>
    <n v="1"/>
    <n v="2"/>
    <n v="3"/>
    <n v="5"/>
    <s v="UNBS"/>
    <s v="154 Uganda National Bureau of Standards"/>
    <s v="MoTIC, MEMD"/>
  </r>
  <r>
    <x v="7"/>
    <x v="7"/>
    <s v="031"/>
    <s v="Upstream"/>
    <s v="0315"/>
    <s v="To enhance Quality Health, Safety, Security and Environment (QHSSE)"/>
    <s v="031502"/>
    <s v="Establish QHSSE governance and assurance framework"/>
    <m/>
    <m/>
    <s v="03150201"/>
    <s v="QHSSE governance and assurance framework established"/>
    <m/>
    <m/>
    <m/>
    <m/>
    <m/>
    <n v="1"/>
    <n v="1"/>
    <m/>
    <e v="#N/A"/>
    <s v="Establish measurement and calibration needs of QHSSE. "/>
    <n v="1"/>
    <n v="0"/>
    <n v="0"/>
    <n v="1"/>
    <n v="1"/>
    <n v="1"/>
    <n v="0"/>
    <n v="1"/>
    <n v="0.625"/>
    <m/>
    <n v="0"/>
    <n v="0.2"/>
    <n v="0.2"/>
    <n v="0.2"/>
    <n v="0.2"/>
    <n v="0.2"/>
    <n v="0.4"/>
    <s v="UNBS"/>
    <s v="154 Uganda National Bureau of Standards"/>
    <s v="MoTIC, MEMD"/>
  </r>
  <r>
    <x v="7"/>
    <x v="7"/>
    <s v="031"/>
    <s v="Upstream"/>
    <s v="0315"/>
    <s v="To enhance Quality Health, Safety, Security and Environment (QHSSE)"/>
    <s v="031502"/>
    <s v="Establish QHSSE governance and assurance framework"/>
    <m/>
    <m/>
    <s v="03150201"/>
    <s v="QHSSE governance and assurance framework established"/>
    <m/>
    <m/>
    <m/>
    <m/>
    <m/>
    <n v="5"/>
    <n v="10"/>
    <m/>
    <e v="#N/A"/>
    <s v="Support development of bylaws and ordinances to boost enforcement on environment"/>
    <n v="1"/>
    <n v="0"/>
    <n v="0"/>
    <n v="1"/>
    <n v="1"/>
    <n v="1"/>
    <n v="1"/>
    <n v="1"/>
    <n v="0.75"/>
    <m/>
    <n v="0"/>
    <n v="0"/>
    <n v="0"/>
    <n v="0.2"/>
    <n v="0.5"/>
    <n v="0.5"/>
    <n v="1"/>
    <s v="MEMD"/>
    <s v="017 Ministry of Energy and Mineral Development"/>
    <s v="MoJICA, Parliament, NEMA"/>
  </r>
  <r>
    <x v="7"/>
    <x v="7"/>
    <s v="031"/>
    <s v="Upstream"/>
    <s v="0315"/>
    <s v="To enhance Quality Health, Safety, Security and Environment (QHSSE)"/>
    <s v="031503"/>
    <s v="Develop and implement an oil and gas disaster preparedness and contingency plan"/>
    <m/>
    <m/>
    <s v="03150301"/>
    <s v="Emergency response and disaster recovery plan developed and implemented."/>
    <s v="Emergency response and disaster recovery plan in place"/>
    <n v="0"/>
    <n v="1"/>
    <s v="-"/>
    <s v="-"/>
    <n v="0"/>
    <n v="1"/>
    <s v="PAU"/>
    <s v="312 Petroleum Authority of Uganda (PAU)"/>
    <s v="Develop and implement Disaster Recovery Plans  "/>
    <n v="1"/>
    <n v="0"/>
    <n v="0"/>
    <n v="1"/>
    <n v="1"/>
    <n v="1"/>
    <n v="0"/>
    <n v="1"/>
    <n v="0.625"/>
    <m/>
    <n v="0"/>
    <n v="0"/>
    <n v="0.3"/>
    <n v="0.3"/>
    <n v="0"/>
    <n v="3"/>
    <n v="3"/>
    <s v="PAU"/>
    <s v="312 Petroleum Authority of Uganda (PAU)"/>
    <s v="OPM, MEMD, UNOC"/>
  </r>
  <r>
    <x v="7"/>
    <x v="7"/>
    <s v="031"/>
    <s v="Upstream"/>
    <s v="0315"/>
    <s v="To enhance Quality Health, Safety, Security and Environment (QHSSE)"/>
    <s v="031503"/>
    <s v="Develop and implement an oil and gas disaster preparedness and contingency plan"/>
    <m/>
    <m/>
    <s v="03150301"/>
    <s v="Emergency response and disaster recovery plan developed and implemented."/>
    <s v="Number of disaster recovery initiatives implemented."/>
    <n v="0"/>
    <n v="1"/>
    <n v="1"/>
    <n v="1"/>
    <n v="1"/>
    <n v="1"/>
    <s v="PAU"/>
    <s v="312 Petroleum Authority of Uganda (PAU)"/>
    <s v="Implement the National Oil Spill Contingency Plan"/>
    <n v="1"/>
    <n v="0"/>
    <n v="0"/>
    <n v="1"/>
    <n v="1"/>
    <n v="0"/>
    <n v="0"/>
    <n v="1"/>
    <n v="0.5"/>
    <m/>
    <n v="0"/>
    <n v="0"/>
    <n v="0"/>
    <n v="0"/>
    <n v="2"/>
    <n v="3"/>
    <n v="5"/>
    <s v="PAU"/>
    <s v="312 Petroleum Authority of Uganda (PAU)"/>
    <s v="OPM, MEMD, UNOC"/>
  </r>
  <r>
    <x v="7"/>
    <x v="7"/>
    <s v="031"/>
    <s v="Upstream"/>
    <s v="0315"/>
    <s v="To enhance Quality Health, Safety, Security and Environment (QHSSE)"/>
    <s v="031503"/>
    <s v="Develop and implement an oil and gas disaster preparedness and contingency plan"/>
    <m/>
    <m/>
    <s v="03150301"/>
    <s v="Emergency response and disaster recovery plan developed and implemented."/>
    <m/>
    <m/>
    <m/>
    <m/>
    <m/>
    <m/>
    <m/>
    <m/>
    <e v="#N/A"/>
    <s v="Conduct an oil and gas hazard risk and vulnerability profiling and mapping of the districts involved"/>
    <n v="1"/>
    <n v="0"/>
    <n v="0"/>
    <n v="1"/>
    <n v="1"/>
    <n v="0"/>
    <n v="0"/>
    <n v="1"/>
    <n v="0.5"/>
    <m/>
    <n v="0"/>
    <n v="0.1"/>
    <n v="0.1"/>
    <n v="0.1"/>
    <n v="0.1"/>
    <n v="0.1"/>
    <n v="0.2"/>
    <s v="PAU"/>
    <s v="312 Petroleum Authority of Uganda (PAU)"/>
    <s v="MEMD, UNOC, PAU"/>
  </r>
  <r>
    <x v="7"/>
    <x v="7"/>
    <s v="031"/>
    <s v="Upstream"/>
    <s v="0315"/>
    <s v="To enhance Quality Health, Safety, Security and Environment (QHSSE)"/>
    <s v="031504"/>
    <s v="Develop decommissioning and closure management plans"/>
    <m/>
    <m/>
    <s v="03150401"/>
    <s v="Decommissioning and closure management plans developed"/>
    <s v=" Decommissioning and closure management plans in place"/>
    <n v="5"/>
    <n v="10"/>
    <n v="20"/>
    <n v="20"/>
    <n v="1"/>
    <n v="2"/>
    <s v="PAU"/>
    <s v="312 Petroleum Authority of Uganda (PAU)"/>
    <s v="Develop a decommissioning strategy for oil and gas projects. "/>
    <n v="1"/>
    <n v="0"/>
    <n v="0"/>
    <n v="1"/>
    <n v="1"/>
    <n v="1"/>
    <n v="0"/>
    <n v="1"/>
    <n v="0.625"/>
    <m/>
    <n v="0"/>
    <n v="0"/>
    <n v="0"/>
    <n v="0"/>
    <n v="0.2"/>
    <n v="0.3"/>
    <n v="0.5"/>
    <s v="MEMD"/>
    <s v="017 Ministry of Energy and Mineral Development"/>
    <s v="PAU, UNOC"/>
  </r>
  <r>
    <x v="7"/>
    <x v="7"/>
    <s v="031"/>
    <s v="Upstream"/>
    <s v="0315"/>
    <s v="To enhance Quality Health, Safety, Security and Environment (QHSSE)"/>
    <s v="031504"/>
    <s v="Develop decommissioning and closure management plans"/>
    <m/>
    <m/>
    <s v="03150401"/>
    <s v="Decommissioning and closure management plans developed"/>
    <m/>
    <m/>
    <m/>
    <m/>
    <m/>
    <n v="0"/>
    <n v="1"/>
    <m/>
    <e v="#N/A"/>
    <s v="Develop decommissioning and closure management plans"/>
    <n v="1"/>
    <n v="0"/>
    <n v="0"/>
    <n v="1"/>
    <n v="1"/>
    <n v="1"/>
    <n v="0"/>
    <n v="1"/>
    <n v="0.625"/>
    <m/>
    <n v="0"/>
    <n v="0"/>
    <n v="0"/>
    <n v="0"/>
    <n v="0"/>
    <n v="0.1"/>
    <n v="0.1"/>
    <s v="PAU"/>
    <s v="312 Petroleum Authority of Uganda (PAU)"/>
    <s v="MEMD, UNOC"/>
  </r>
  <r>
    <x v="7"/>
    <x v="7"/>
    <s v="031"/>
    <s v="Upstream"/>
    <s v="0315"/>
    <s v="To enhance Quality Health, Safety, Security and Environment (QHSSE)"/>
    <s v="031505"/>
    <s v="Develop and implement environmental and social management plans"/>
    <m/>
    <m/>
    <s v="03150501"/>
    <s v="Environment and social management plan developed and implemented"/>
    <s v="Environment and social management plan developed"/>
    <n v="0"/>
    <n v="1"/>
    <s v="-"/>
    <s v="-"/>
    <s v="-"/>
    <s v="-"/>
    <s v="NEMA "/>
    <e v="#N/A"/>
    <s v="Undertake Project specific Environmental and Social Impact Assessment studies, risks and audits."/>
    <n v="1"/>
    <n v="0"/>
    <n v="0"/>
    <n v="1"/>
    <n v="1"/>
    <n v="0"/>
    <n v="0"/>
    <n v="1"/>
    <n v="0.5"/>
    <m/>
    <n v="0"/>
    <n v="0"/>
    <n v="0"/>
    <n v="0.3"/>
    <n v="1"/>
    <n v="0"/>
    <n v="1"/>
    <s v="NEMA"/>
    <s v="150 National Environment Management Authority"/>
    <s v="MEMD, PAU"/>
  </r>
  <r>
    <x v="7"/>
    <x v="7"/>
    <s v="031"/>
    <s v="Upstream"/>
    <s v="0315"/>
    <s v="To enhance Quality Health, Safety, Security and Environment (QHSSE)"/>
    <s v="031505"/>
    <s v="Develop and implement environmental and social management plans"/>
    <m/>
    <m/>
    <s v="03150501"/>
    <s v="Environment and social management plan developed and implemented"/>
    <m/>
    <m/>
    <m/>
    <m/>
    <m/>
    <m/>
    <m/>
    <m/>
    <e v="#N/A"/>
    <s v="Compliance enforcement "/>
    <n v="1"/>
    <n v="0"/>
    <n v="0"/>
    <n v="1"/>
    <n v="1"/>
    <n v="0"/>
    <n v="0"/>
    <n v="1"/>
    <n v="0.5"/>
    <m/>
    <n v="0"/>
    <n v="0.5"/>
    <n v="0.5"/>
    <n v="0.5"/>
    <n v="0.5"/>
    <n v="0.5"/>
    <n v="1"/>
    <s v="PAU"/>
    <s v="312 Petroleum Authority of Uganda (PAU)"/>
    <s v="MEMD"/>
  </r>
  <r>
    <x v="7"/>
    <x v="7"/>
    <s v="031"/>
    <s v="Upstream"/>
    <s v="0315"/>
    <s v="To enhance Quality Health, Safety, Security and Environment (QHSSE)"/>
    <s v="031505"/>
    <s v="Develop and implement environmental and social management plans"/>
    <m/>
    <m/>
    <s v="03150501"/>
    <s v="Environment and social management plan developed and implemented"/>
    <m/>
    <m/>
    <m/>
    <m/>
    <m/>
    <n v="2"/>
    <n v="5"/>
    <m/>
    <e v="#N/A"/>
    <s v="Implement the Strategic Environmental Assessment (SEA) for the new Albertine Graben and basins"/>
    <n v="1"/>
    <n v="0"/>
    <n v="0"/>
    <n v="1"/>
    <n v="1"/>
    <n v="1"/>
    <n v="0"/>
    <n v="1"/>
    <n v="0.625"/>
    <m/>
    <n v="0"/>
    <n v="0"/>
    <n v="0"/>
    <n v="1"/>
    <n v="1"/>
    <n v="1"/>
    <n v="2"/>
    <s v="NEMA"/>
    <s v="150 National Environment Management Authority"/>
    <s v="MEMD, PAU"/>
  </r>
  <r>
    <x v="7"/>
    <x v="7"/>
    <s v="031"/>
    <s v="Upstream"/>
    <s v="0315"/>
    <s v="To enhance Quality Health, Safety, Security and Environment (QHSSE)"/>
    <s v="031505"/>
    <s v="Develop and implement environmental and social management plans"/>
    <m/>
    <m/>
    <s v="03150501"/>
    <s v="Environment and social management plan developed and implemented"/>
    <s v="Number of initiatives implemented."/>
    <s v="-"/>
    <n v="2"/>
    <n v="3"/>
    <s v="-"/>
    <n v="2"/>
    <n v="5"/>
    <s v="NEMA "/>
    <e v="#N/A"/>
    <s v="Develop environmental tools to monitor impacts of oil and gas on environment such as environmental atlases, Monitoring plans, checklists, guidelines etc."/>
    <n v="1"/>
    <n v="0"/>
    <n v="0"/>
    <n v="1"/>
    <n v="1"/>
    <n v="1"/>
    <n v="0"/>
    <n v="1"/>
    <n v="0.625"/>
    <m/>
    <n v="0"/>
    <n v="0"/>
    <n v="0"/>
    <n v="0.4"/>
    <n v="0.5"/>
    <n v="0.5"/>
    <n v="1"/>
    <s v="NEMA"/>
    <s v="150 National Environment Management Authority"/>
    <s v="MEMD, PAU, UNOC"/>
  </r>
  <r>
    <x v="7"/>
    <x v="7"/>
    <s v="031"/>
    <s v="Upstream"/>
    <s v="0315"/>
    <s v="To enhance Quality Health, Safety, Security and Environment (QHSSE)"/>
    <s v="031505"/>
    <s v="Develop and implement environmental and social management plans"/>
    <m/>
    <m/>
    <s v="03150501"/>
    <s v="Environment and social management plan developed and implemented"/>
    <m/>
    <m/>
    <m/>
    <m/>
    <m/>
    <m/>
    <m/>
    <m/>
    <e v="#N/A"/>
    <s v="Undertake capacity building for government agencies in better environmental management with emphasis on gender and equity aspects"/>
    <n v="1"/>
    <n v="0"/>
    <n v="0"/>
    <n v="1"/>
    <n v="1"/>
    <n v="0"/>
    <n v="0"/>
    <n v="1"/>
    <n v="0.5"/>
    <m/>
    <n v="0"/>
    <n v="0"/>
    <n v="0"/>
    <n v="0.4"/>
    <n v="0.2"/>
    <n v="0.2"/>
    <n v="0.4"/>
    <s v="MEMD"/>
    <s v="017 Ministry of Energy and Mineral Development"/>
    <s v="MoES"/>
  </r>
  <r>
    <x v="7"/>
    <x v="7"/>
    <s v="031"/>
    <s v="Upstream"/>
    <s v="0315"/>
    <s v="To enhance Quality Health, Safety, Security and Environment (QHSSE)"/>
    <s v="031506"/>
    <s v="Develop standards for storage infrastructure including LPG, transportation and other facilities"/>
    <m/>
    <m/>
    <s v="03150601"/>
    <s v="LPG and Natural Gas Transportation, Storage and other LPG infrastructure standards developed "/>
    <s v="Number of LPG and Natural Gas standards developed"/>
    <n v="0"/>
    <n v="10"/>
    <n v="10"/>
    <n v="10"/>
    <n v="10"/>
    <n v="10"/>
    <s v="UNBS"/>
    <s v="154 Uganda National Bureau of Standards"/>
    <s v="Develop LPG and Natural Gas Transportation, Storage and other infrastructure Standards and codes of practice."/>
    <n v="1"/>
    <n v="0"/>
    <n v="0"/>
    <n v="1"/>
    <n v="1"/>
    <n v="1"/>
    <n v="0"/>
    <n v="1"/>
    <n v="0.625"/>
    <m/>
    <n v="0"/>
    <n v="0"/>
    <n v="0"/>
    <n v="0.3"/>
    <n v="0.5"/>
    <n v="0.5"/>
    <n v="1"/>
    <s v="UNBS"/>
    <s v="154 Uganda National Bureau of Standards"/>
    <s v="MEMD"/>
  </r>
  <r>
    <x v="7"/>
    <x v="7"/>
    <s v="033"/>
    <s v="Downstream "/>
    <s v="0336"/>
    <s v="To improve security of supply of refined petroleum products"/>
    <s v="033601"/>
    <s v="Development of standards for storage infrastructure and other facilities"/>
    <m/>
    <m/>
    <s v="03360101"/>
    <s v="Standards for Petroleum storage infrastructure developed "/>
    <s v="No. of petroleum storage standards and codes of practice developed (%)"/>
    <n v="99.3"/>
    <n v="99.5"/>
    <n v="99.6"/>
    <n v="99.7"/>
    <n v="10"/>
    <n v="10"/>
    <s v="UNBS"/>
    <s v="154 Uganda National Bureau of Standards"/>
    <s v="Develop Standards and codes of practice for Petroleum storage infrastructure."/>
    <n v="1"/>
    <n v="0"/>
    <n v="0"/>
    <n v="1"/>
    <n v="1"/>
    <n v="1"/>
    <n v="0"/>
    <n v="1"/>
    <n v="0.625"/>
    <m/>
    <n v="0"/>
    <n v="0"/>
    <n v="0"/>
    <n v="0.3"/>
    <n v="0.5"/>
    <n v="0.5"/>
    <n v="1"/>
    <s v="UNBS"/>
    <s v="154 Uganda National Bureau of Standards"/>
    <s v="MEMD"/>
  </r>
  <r>
    <x v="7"/>
    <x v="7"/>
    <s v="033"/>
    <s v="Downstream "/>
    <s v="0336"/>
    <s v="To improve security of supply of refined petroleum products"/>
    <s v="033601"/>
    <s v="Development of standards for storage infrastructure and other facilities"/>
    <m/>
    <m/>
    <s v="03360101"/>
    <s v="Standards for Petroleum storage infrastructure developed "/>
    <m/>
    <m/>
    <m/>
    <m/>
    <m/>
    <n v="3"/>
    <n v="5"/>
    <m/>
    <e v="#N/A"/>
    <s v="Monitor Petroleum quality for compliance with EAS"/>
    <n v="1"/>
    <n v="0"/>
    <n v="0"/>
    <n v="1"/>
    <n v="1"/>
    <n v="1"/>
    <n v="0"/>
    <n v="1"/>
    <n v="0.625"/>
    <m/>
    <n v="0"/>
    <n v="0"/>
    <n v="0"/>
    <n v="0"/>
    <n v="0.2"/>
    <n v="0.5"/>
    <n v="0.7"/>
    <s v="MEMD"/>
    <s v="017 Ministry of Energy and Mineral Development"/>
    <s v="UNBS"/>
  </r>
  <r>
    <x v="7"/>
    <x v="7"/>
    <s v="033"/>
    <s v="Downstream "/>
    <s v="0336"/>
    <s v="To improve security of supply of refined petroleum products"/>
    <s v="033602"/>
    <s v="Develop operations standards of transportation of petroleum products on Lake and Rail"/>
    <m/>
    <m/>
    <s v="03360201"/>
    <s v="Standard operating procedures developed and implemented"/>
    <s v="Number of standard operating procedures developed and implemented"/>
    <n v="0"/>
    <n v="5"/>
    <n v="5"/>
    <n v="5"/>
    <n v="5"/>
    <n v="5"/>
    <s v="MEMD"/>
    <s v="017 Ministry of Energy and Mineral Development"/>
    <s v="Develop and implement standards for transportation of petroleum products on lake and rail "/>
    <n v="1"/>
    <n v="0"/>
    <n v="0"/>
    <n v="1"/>
    <n v="1"/>
    <n v="1"/>
    <n v="0"/>
    <n v="1"/>
    <n v="0.625"/>
    <m/>
    <n v="0"/>
    <n v="0"/>
    <n v="0"/>
    <n v="0"/>
    <n v="0.2"/>
    <n v="0.6"/>
    <n v="0.8"/>
    <s v="MEMD"/>
    <s v="017 Ministry of Energy and Mineral Development"/>
    <s v="UNBS"/>
  </r>
  <r>
    <x v="7"/>
    <x v="7"/>
    <s v="033"/>
    <s v="Downstream "/>
    <s v="0336"/>
    <s v="To improve security of supply of refined petroleum products"/>
    <s v="033602"/>
    <s v="Develop operations standards of transportation of petroleum products on Lake and Rail"/>
    <m/>
    <m/>
    <s v="03360201"/>
    <s v="Standard operating procedures developed and implemented"/>
    <m/>
    <m/>
    <m/>
    <m/>
    <m/>
    <m/>
    <m/>
    <s v="MEMD"/>
    <s v="017 Ministry of Energy and Mineral Development"/>
    <s v="Develop measurement and metrological controls"/>
    <n v="0"/>
    <n v="0"/>
    <n v="0"/>
    <n v="0"/>
    <n v="0"/>
    <n v="0"/>
    <n v="0"/>
    <n v="0"/>
    <n v="0"/>
    <m/>
    <n v="0"/>
    <n v="0"/>
    <n v="0"/>
    <n v="0"/>
    <n v="0.2"/>
    <n v="0.2"/>
    <n v="0.4"/>
    <s v="UNBS"/>
    <s v="154 Uganda National Bureau of Standards"/>
    <s v="MEMD, UNOC"/>
  </r>
  <r>
    <x v="7"/>
    <x v="7"/>
    <s v="033"/>
    <s v="Downstream "/>
    <s v="0336"/>
    <s v="To improve security of supply of refined petroleum products"/>
    <s v="033602"/>
    <s v="Develop operations standards of transportation of petroleum products on Lake and Rail"/>
    <m/>
    <m/>
    <s v="03360201"/>
    <s v="Standard operating procedures developed and implemented"/>
    <s v="lake transport master plan/routing for refined products in place"/>
    <m/>
    <m/>
    <n v="0.5"/>
    <n v="1"/>
    <n v="1"/>
    <n v="1"/>
    <s v="MEMD"/>
    <s v="017 Ministry of Energy and Mineral Development"/>
    <s v="Master plan/routing for refined products on the lake prepared"/>
    <n v="1"/>
    <n v="0"/>
    <n v="0"/>
    <n v="1"/>
    <n v="1"/>
    <n v="1"/>
    <n v="0"/>
    <n v="1"/>
    <n v="0.625"/>
    <m/>
    <n v="0"/>
    <n v="0"/>
    <n v="0"/>
    <n v="0"/>
    <n v="0.2"/>
    <n v="0.5"/>
    <n v="0.7"/>
    <s v="MEMD"/>
    <s v="017 Ministry of Energy and Mineral Development"/>
    <s v="UNOC, MoWT"/>
  </r>
  <r>
    <x v="7"/>
    <x v="7"/>
    <s v="033"/>
    <s v="Downstream "/>
    <s v="0336"/>
    <s v="To improve security of supply of refined petroleum products"/>
    <s v="033602"/>
    <s v="Develop operations standards of transportation of petroleum products on Lake and Rail"/>
    <m/>
    <m/>
    <s v="03360201"/>
    <s v="Standard operating procedures developed and implemented"/>
    <s v="Lake transportation of refined petroleum products regulated"/>
    <n v="0"/>
    <s v="-"/>
    <n v="1"/>
    <s v="-"/>
    <n v="5"/>
    <n v="10"/>
    <s v="PAU"/>
    <s v="312 Petroleum Authority of Uganda (PAU)"/>
    <s v="regulations for Lake/water petroleum products transportation developed"/>
    <n v="1"/>
    <n v="0"/>
    <n v="0"/>
    <n v="1"/>
    <n v="1"/>
    <n v="1"/>
    <n v="0"/>
    <n v="1"/>
    <n v="0.625"/>
    <m/>
    <n v="0"/>
    <n v="0"/>
    <n v="0"/>
    <n v="0"/>
    <n v="0.2"/>
    <n v="0.3"/>
    <n v="0.5"/>
    <s v="MEMD"/>
    <s v="017 Ministry of Energy and Mineral Development"/>
    <s v="UNOC, MoWT"/>
  </r>
  <r>
    <x v="7"/>
    <x v="7"/>
    <s v="033"/>
    <s v="Downstream "/>
    <s v="0336"/>
    <s v="To improve security of supply of refined petroleum products"/>
    <s v="033603"/>
    <s v="Develop strategic regional storage terminals for petroleum products"/>
    <m/>
    <m/>
    <s v="03360301"/>
    <s v="Strategic storage terminals and auxiliary infrastructure developed "/>
    <s v="Number of Strategic terminals developed"/>
    <s v=" 1"/>
    <n v="1"/>
    <n v="1"/>
    <n v="1"/>
    <n v="1"/>
    <n v="1"/>
    <s v="UNOC"/>
    <s v="311 Uganda National Oil Company (UNOC)"/>
    <s v="Develop regional storage facilities (Arua, Gulu, Mbale, Mbarara and Soroti)"/>
    <n v="1"/>
    <n v="0"/>
    <n v="0"/>
    <n v="0"/>
    <n v="0"/>
    <n v="0"/>
    <n v="0"/>
    <n v="1"/>
    <n v="0.25"/>
    <m/>
    <n v="0"/>
    <n v="0"/>
    <n v="0"/>
    <n v="0"/>
    <n v="50"/>
    <n v="70"/>
    <n v="120"/>
    <s v="MEMD"/>
    <s v="017 Ministry of Energy and Mineral Development"/>
    <s v="UNOC, MoWT"/>
  </r>
  <r>
    <x v="7"/>
    <x v="7"/>
    <s v="033"/>
    <s v="Downstream "/>
    <s v="0336"/>
    <s v="To improve security of supply of refined petroleum products"/>
    <s v="033603"/>
    <s v="Develop strategic regional storage terminals for petroleum products"/>
    <m/>
    <m/>
    <s v="03360301"/>
    <s v="Strategic storage terminals and auxiliary infrastructure developed "/>
    <m/>
    <m/>
    <m/>
    <m/>
    <m/>
    <m/>
    <m/>
    <m/>
    <e v="#N/A"/>
    <s v="Refurbish the Nakasongola Storage Facility"/>
    <n v="1"/>
    <n v="0"/>
    <n v="0"/>
    <n v="0"/>
    <n v="0"/>
    <n v="0"/>
    <n v="0"/>
    <n v="1"/>
    <n v="0.25"/>
    <m/>
    <n v="0"/>
    <n v="0"/>
    <n v="5"/>
    <n v="5"/>
    <n v="0"/>
    <n v="0"/>
    <n v="0"/>
    <s v="MoDVA"/>
    <s v="004 Ministry of Defence"/>
    <s v="MEMD, UNOC, PAU"/>
  </r>
  <r>
    <x v="7"/>
    <x v="7"/>
    <s v="033"/>
    <s v="Downstream "/>
    <s v="0336"/>
    <s v="To improve security of supply of refined petroleum products"/>
    <s v="033603"/>
    <s v="Develop strategic regional storage terminals for petroleum products"/>
    <m/>
    <m/>
    <s v="03360301"/>
    <s v="Strategic storage terminals and auxiliary infrastructure developed "/>
    <m/>
    <m/>
    <m/>
    <m/>
    <m/>
    <n v="40"/>
    <n v="80"/>
    <m/>
    <e v="#N/A"/>
    <s v="Implement the National Strategy and plan for Petroleum Transportation and Storage."/>
    <n v="1"/>
    <n v="1"/>
    <n v="1"/>
    <n v="1"/>
    <n v="1"/>
    <n v="0"/>
    <n v="0"/>
    <n v="1"/>
    <n v="0.75"/>
    <m/>
    <n v="0"/>
    <n v="0"/>
    <n v="0"/>
    <n v="0"/>
    <n v="70"/>
    <n v="50"/>
    <n v="120"/>
    <s v="MEMD"/>
    <s v="017 Ministry of Energy and Mineral Development"/>
    <s v="MoWT, UNOC"/>
  </r>
  <r>
    <x v="7"/>
    <x v="7"/>
    <s v="033"/>
    <s v="Downstream "/>
    <s v="0336"/>
    <s v="To improve security of supply of refined petroleum products"/>
    <s v="033603"/>
    <s v="Develop strategic regional storage terminals for petroleum products"/>
    <m/>
    <m/>
    <s v="03360301"/>
    <s v="Strategic storage terminals and auxiliary infrastructure developed "/>
    <m/>
    <m/>
    <m/>
    <m/>
    <m/>
    <m/>
    <m/>
    <m/>
    <e v="#N/A"/>
    <s v="Promote Midstream and Downstream Petroleum Infrastructure"/>
    <n v="0"/>
    <n v="0"/>
    <n v="0"/>
    <n v="0"/>
    <n v="0"/>
    <n v="0"/>
    <n v="0"/>
    <n v="0"/>
    <n v="0"/>
    <m/>
    <n v="0"/>
    <n v="0"/>
    <n v="0"/>
    <n v="0.5"/>
    <n v="0.5"/>
    <n v="0.5"/>
    <n v="1"/>
    <s v="MEMD"/>
    <s v="017 Ministry of Energy and Mineral Development"/>
    <s v="UNOC"/>
  </r>
  <r>
    <x v="7"/>
    <x v="7"/>
    <s v="033"/>
    <s v="Downstream "/>
    <s v="0336"/>
    <s v="To improve security of supply of refined petroleum products"/>
    <s v="033604"/>
    <s v="Restock and manage Jinja Storage Terminal"/>
    <m/>
    <m/>
    <s v="03360401"/>
    <s v="Jinja Storage Terminal restocked and managed"/>
    <s v="Percentage storage utilization"/>
    <n v="10"/>
    <n v="50"/>
    <n v="100"/>
    <n v="100"/>
    <n v="100"/>
    <s v=" "/>
    <s v="UNOC"/>
    <s v="311 Uganda National Oil Company (UNOC)"/>
    <s v="Secure financing for the JST Oil jetty and pipeline construction  "/>
    <n v="1"/>
    <n v="0"/>
    <n v="0"/>
    <n v="1"/>
    <n v="1"/>
    <n v="0"/>
    <n v="0"/>
    <n v="1"/>
    <n v="0.5"/>
    <m/>
    <n v="0"/>
    <n v="0"/>
    <n v="21.27"/>
    <n v="3.16"/>
    <n v="0"/>
    <n v="0"/>
    <n v="0"/>
    <s v="UNOC"/>
    <s v="311 Uganda National Oil Company (UNOC)"/>
    <s v="MEMD"/>
  </r>
  <r>
    <x v="7"/>
    <x v="7"/>
    <s v="033"/>
    <s v="Downstream "/>
    <s v="0336"/>
    <s v="To improve security of supply of refined petroleum products"/>
    <s v="033604"/>
    <s v="Restock and manage Jinja Storage Terminal"/>
    <m/>
    <m/>
    <s v="03360401"/>
    <s v="Jinja Storage Terminal restocked and managed"/>
    <m/>
    <m/>
    <m/>
    <m/>
    <m/>
    <m/>
    <m/>
    <m/>
    <e v="#N/A"/>
    <s v="Secure financing for National Strategic Reserves"/>
    <n v="1"/>
    <n v="0"/>
    <n v="0"/>
    <n v="1"/>
    <n v="1"/>
    <n v="0"/>
    <n v="0"/>
    <n v="1"/>
    <n v="0.5"/>
    <m/>
    <n v="0"/>
    <n v="0"/>
    <n v="23.7"/>
    <n v="23.7"/>
    <n v="0"/>
    <n v="0"/>
    <n v="0"/>
    <s v="UNOC"/>
    <s v="311 Uganda National Oil Company (UNOC)"/>
    <s v="MEMD"/>
  </r>
  <r>
    <x v="8"/>
    <x v="8"/>
    <s v="07X"/>
    <s v="Government Commitments"/>
    <s v="07X"/>
    <s v="Provision for Government Commitments"/>
    <s v="07X"/>
    <s v="Government Commitments"/>
    <m/>
    <m/>
    <s v="07X"/>
    <s v="Government Commitments"/>
    <s v="-"/>
    <s v="-"/>
    <s v="-"/>
    <s v="-"/>
    <s v="-"/>
    <s v="-"/>
    <s v="-"/>
    <s v="-"/>
    <s v="-"/>
    <s v="Wage"/>
    <m/>
    <m/>
    <m/>
    <m/>
    <m/>
    <m/>
    <m/>
    <m/>
    <m/>
    <m/>
    <m/>
    <m/>
    <m/>
    <m/>
    <n v="53.6"/>
    <n v="53.6"/>
    <n v="107.2"/>
    <m/>
    <m/>
    <m/>
  </r>
  <r>
    <x v="8"/>
    <x v="8"/>
    <s v="07X"/>
    <s v="Government Commitments"/>
    <s v="07X"/>
    <s v="Provision for Government Commitments"/>
    <s v="07X"/>
    <s v="Government Commitments"/>
    <m/>
    <m/>
    <s v="07X"/>
    <s v="Government Commitments"/>
    <s v="-"/>
    <s v="-"/>
    <s v="-"/>
    <s v="-"/>
    <s v="-"/>
    <s v="-"/>
    <s v="-"/>
    <s v="-"/>
    <s v="-"/>
    <s v="Non-Wage (Statutory)"/>
    <m/>
    <m/>
    <m/>
    <m/>
    <m/>
    <m/>
    <m/>
    <m/>
    <m/>
    <m/>
    <m/>
    <m/>
    <m/>
    <m/>
    <n v="21.44"/>
    <n v="21.44"/>
    <n v="42.88"/>
    <m/>
    <m/>
    <m/>
  </r>
  <r>
    <x v="8"/>
    <x v="8"/>
    <s v="07X"/>
    <s v="Government Commitments"/>
    <s v="07X"/>
    <s v="Provision for Government Commitments"/>
    <s v="07X"/>
    <s v="Government Commitments"/>
    <m/>
    <m/>
    <s v="07X"/>
    <s v="Government Commitments"/>
    <s v="-"/>
    <s v="-"/>
    <s v="-"/>
    <s v="-"/>
    <s v="-"/>
    <s v="-"/>
    <s v="-"/>
    <s v="-"/>
    <s v="-"/>
    <s v="Multi-Year Commitments"/>
    <m/>
    <m/>
    <m/>
    <m/>
    <m/>
    <m/>
    <m/>
    <m/>
    <m/>
    <m/>
    <m/>
    <m/>
    <m/>
    <m/>
    <n v="128.59161554300002"/>
    <n v="123.67673865099999"/>
    <n v="252.26835419400001"/>
    <m/>
    <m/>
    <m/>
  </r>
  <r>
    <x v="9"/>
    <x v="9"/>
    <m/>
    <m/>
    <m/>
    <m/>
    <m/>
    <m/>
    <m/>
    <m/>
    <m/>
    <m/>
    <m/>
    <m/>
    <m/>
    <m/>
    <m/>
    <m/>
    <m/>
    <m/>
    <m/>
    <s v="Financial inclusion Pillar (PDM)"/>
    <m/>
    <m/>
    <m/>
    <m/>
    <m/>
    <m/>
    <m/>
    <m/>
    <m/>
    <m/>
    <m/>
    <m/>
    <m/>
    <m/>
    <n v="1059.4000000000001"/>
    <n v="1059.4000000000001"/>
    <n v="2118.8000000000002"/>
    <m/>
    <m/>
    <m/>
  </r>
  <r>
    <x v="8"/>
    <x v="8"/>
    <s v="071"/>
    <s v="Enabling Environment"/>
    <s v="0711"/>
    <s v="Sustainably lower the costs of doing business "/>
    <s v="071101"/>
    <s v="Increase access to affordable credit largely targeting MSMEs "/>
    <s v="071101a"/>
    <s v="Capitalize and strengthen government owned commercial banks  "/>
    <s v="071101a01"/>
    <s v="Government owned financial institutions capitalized "/>
    <s v="Feasibility study report on public financial institution including a capitalisation framework"/>
    <n v="0"/>
    <n v="1"/>
    <n v="1"/>
    <n v="0"/>
    <n v="0"/>
    <n v="0"/>
    <s v="NPA"/>
    <s v="108 National Planning Authority"/>
    <s v="Conduct Feasibility studies on public sector financial institutions "/>
    <m/>
    <m/>
    <m/>
    <m/>
    <m/>
    <m/>
    <n v="0"/>
    <n v="0"/>
    <n v="0"/>
    <m/>
    <n v="0"/>
    <n v="0.45"/>
    <n v="0.25"/>
    <s v="                   - "/>
    <s v="                   - "/>
    <s v="                   - "/>
    <n v="0"/>
    <s v="NPA"/>
    <s v="108 National Planning Authority"/>
    <s v="BoU, PostBank Uganda, Housing Finance Bank, MoFPED"/>
  </r>
  <r>
    <x v="8"/>
    <x v="8"/>
    <s v="071"/>
    <s v="Enabling Environment"/>
    <s v="0711"/>
    <s v="Sustainably lower the costs of doing business "/>
    <s v="071101"/>
    <s v="Increase access to affordable credit largely targeting MSMEs "/>
    <s v="071101a"/>
    <s v="Capitalize and strengthen government owned commercial banks  "/>
    <s v="071101a01"/>
    <s v="Government owned financial institutions capitalized "/>
    <s v="Amount of funds for recapitalizing 4 Government-owned banks per year (UGX Bn)"/>
    <n v="0"/>
    <n v="0"/>
    <n v="0"/>
    <n v="500"/>
    <n v="500"/>
    <n v="500"/>
    <s v="MFPED"/>
    <e v="#N/A"/>
    <s v="Develop a strategy for capitalization for 4 public financial institutions "/>
    <n v="0"/>
    <n v="0"/>
    <n v="0"/>
    <n v="1"/>
    <n v="0"/>
    <n v="0"/>
    <n v="1"/>
    <n v="0"/>
    <n v="0.25"/>
    <n v="0"/>
    <n v="0"/>
    <s v="                   - "/>
    <n v="0.2"/>
    <s v="                   - "/>
    <s v="                   - "/>
    <s v="                   - "/>
    <n v="0"/>
    <s v="MoFPED"/>
    <s v="008 Ministry of Finance, Planning &amp; Economic Dev."/>
    <s v="BoU"/>
  </r>
  <r>
    <x v="8"/>
    <x v="8"/>
    <s v="071"/>
    <s v="Enabling Environment"/>
    <s v="0711"/>
    <s v="Sustainably lower the costs of doing business "/>
    <s v="071101"/>
    <s v="Increase access to affordable credit largely targeting MSMEs "/>
    <s v="071101a"/>
    <s v="Capitalize and strengthen government owned commercial banks  "/>
    <s v="071101a01"/>
    <s v="Government owned financial institutions capitalized "/>
    <s v="Average lead time for loan processing at MSCL (Days)"/>
    <n v="0"/>
    <n v="10"/>
    <n v="10"/>
    <n v="5"/>
    <n v="5"/>
    <n v="3"/>
    <s v="MFPED"/>
    <e v="#N/A"/>
    <s v=" Capitalise 4 government owned financial institutions  "/>
    <n v="1"/>
    <n v="1"/>
    <n v="1"/>
    <n v="1"/>
    <n v="1"/>
    <n v="1"/>
    <n v="1"/>
    <n v="0"/>
    <n v="0.875"/>
    <n v="1"/>
    <n v="1"/>
    <s v="                   - "/>
    <s v="                   - "/>
    <n v="0"/>
    <n v="20"/>
    <n v="30"/>
    <n v="50"/>
    <s v="MoFPED"/>
    <s v="008 Ministry of Finance, Planning &amp; Economic Dev."/>
    <s v="N/A"/>
  </r>
  <r>
    <x v="8"/>
    <x v="8"/>
    <s v="071"/>
    <s v="Enabling Environment"/>
    <s v="0711"/>
    <s v="Sustainably lower the costs of doing business "/>
    <s v="071101"/>
    <s v="Increase access to affordable credit largely targeting MSMEs "/>
    <s v="071101a"/>
    <s v="Capitalize and strengthen government owned commercial banks  "/>
    <s v="071101a01"/>
    <s v="Government owned financial institutions capitalized "/>
    <s v="Proportion of commercial banks passing the stress test (%)"/>
    <n v="0"/>
    <n v="100"/>
    <n v="100"/>
    <n v="100"/>
    <n v="100"/>
    <n v="100"/>
    <s v="BoU"/>
    <e v="#N/A"/>
    <s v=" Review and implement effective risk assessment, modelling and stress testing for SFIs "/>
    <n v="1"/>
    <n v="1"/>
    <n v="0"/>
    <n v="1"/>
    <n v="1"/>
    <n v="1"/>
    <n v="1"/>
    <n v="1"/>
    <n v="0.875"/>
    <n v="0"/>
    <n v="0"/>
    <s v="                   - "/>
    <s v="                   - "/>
    <s v="                   - "/>
    <s v="                   - "/>
    <s v="                   - "/>
    <n v="0"/>
    <s v="BoU "/>
    <e v="#N/A"/>
    <s v="N/A"/>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No. of tier 4 institutions licensed"/>
    <m/>
    <m/>
    <n v="2130"/>
    <n v="2663"/>
    <n v="3328"/>
    <n v="4160"/>
    <s v="UMRA"/>
    <s v="Uganda Microfinance Regulatory Authority"/>
    <s v=" Conduct regular supervision, regulation and licensing of tier 4 financial institutions "/>
    <n v="1"/>
    <n v="0"/>
    <m/>
    <n v="1"/>
    <n v="1"/>
    <n v="1"/>
    <n v="1"/>
    <n v="1"/>
    <n v="0.75"/>
    <n v="0"/>
    <n v="0"/>
    <s v="                   - "/>
    <s v="                   - "/>
    <s v="                   - "/>
    <n v="3"/>
    <n v="3.5"/>
    <n v="8.5"/>
    <s v="UMRA"/>
    <s v="008 Ministry of Finance, Planning &amp; Economic Dev."/>
    <s v="MSC"/>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No of registered institutions sensitized on compliance regulations."/>
    <m/>
    <m/>
    <n v="3000"/>
    <n v="3750"/>
    <n v="4687"/>
    <n v="5859"/>
    <s v="UMRA"/>
    <s v="Uganda Microfinance Regulatory Authority"/>
    <s v="Conduct capacity building for tier4 financial institutions"/>
    <n v="1"/>
    <n v="1"/>
    <n v="1"/>
    <n v="1"/>
    <n v="1"/>
    <n v="1"/>
    <n v="1"/>
    <n v="0"/>
    <n v="0.875"/>
    <n v="0"/>
    <n v="0"/>
    <s v="                   - "/>
    <s v="                   - "/>
    <s v="                   - "/>
    <n v="1.4"/>
    <n v="1.6"/>
    <n v="3"/>
    <s v="UMRA"/>
    <s v="008 Ministry of Finance, Planning &amp; Economic Dev."/>
    <s v="MSC"/>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An MIS system for tier4 sector"/>
    <m/>
    <m/>
    <s v="Needs assessment"/>
    <s v="Develop MIS"/>
    <s v="Rolling out MIS"/>
    <s v="Maintenance and upgrading"/>
    <s v="UMRA"/>
    <s v="Uganda Microfinance Regulatory Authority"/>
    <s v="Develop an MIS system for the tier4 sector"/>
    <n v="1"/>
    <n v="0"/>
    <n v="0"/>
    <n v="1"/>
    <n v="1"/>
    <n v="1"/>
    <n v="1"/>
    <n v="1"/>
    <n v="0.75"/>
    <n v="0"/>
    <n v="0"/>
    <s v="                   - "/>
    <s v="                   - "/>
    <s v="                   - "/>
    <n v="1"/>
    <n v="1"/>
    <n v="2"/>
    <s v="UMRA"/>
    <s v="008 Ministry of Finance, Planning &amp; Economic Dev."/>
    <s v="MSC"/>
  </r>
  <r>
    <x v="8"/>
    <x v="8"/>
    <s v="071"/>
    <s v="Enabling Environment"/>
    <s v="0711"/>
    <s v="Sustainably lower the costs of doing business "/>
    <s v="071101"/>
    <s v="Increase access to affordable credit largely targeting MSMEs "/>
    <s v="071101a"/>
    <s v="Capitalize and strengthen government owned commercial banks  "/>
    <s v="071101a01"/>
    <s v="Government owned financial institutions capitalized "/>
    <m/>
    <m/>
    <m/>
    <m/>
    <m/>
    <m/>
    <m/>
    <m/>
    <e v="#N/A"/>
    <s v=" Conduct regular supervision of financial institutions "/>
    <n v="1"/>
    <n v="1"/>
    <n v="1"/>
    <n v="1"/>
    <n v="1"/>
    <n v="1"/>
    <n v="0"/>
    <n v="1"/>
    <n v="0.875"/>
    <n v="0"/>
    <n v="0"/>
    <s v="                   - "/>
    <s v="                   - "/>
    <s v="                   - "/>
    <s v="                   - "/>
    <s v="                   - "/>
    <n v="0"/>
    <s v="BoU "/>
    <e v="#N/A"/>
    <s v="N/A"/>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Number of MSME beneficiaries under the INVITE project"/>
    <n v="0"/>
    <n v="0"/>
    <n v="41000"/>
    <n v="41000"/>
    <n v="41000"/>
    <n v="41000"/>
    <s v="MFPED"/>
    <e v="#N/A"/>
    <s v=" Establish a platform for financing of SME receivables "/>
    <n v="1"/>
    <n v="1"/>
    <n v="1"/>
    <n v="1"/>
    <n v="1"/>
    <n v="1"/>
    <n v="1"/>
    <n v="1"/>
    <n v="1"/>
    <n v="0"/>
    <n v="0"/>
    <s v="                   - "/>
    <n v="0"/>
    <s v="                   - "/>
    <s v="                   - "/>
    <s v="                   - "/>
    <n v="0"/>
    <s v="MoFPED"/>
    <s v="008 Ministry of Finance, Planning &amp; Economic Dev."/>
    <s v="N/A"/>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Number of skilled enterprise groups accessing EMYOOGA fund"/>
    <n v="2500"/>
    <n v="11000"/>
    <n v="11000"/>
    <n v="11000"/>
    <n v="11000"/>
    <n v="11000"/>
    <s v="MSC"/>
    <e v="#N/A"/>
    <s v=" Review the MSCL loan approval processes including the required documentation "/>
    <n v="0"/>
    <n v="0"/>
    <n v="0"/>
    <n v="0"/>
    <n v="0"/>
    <n v="0"/>
    <n v="1"/>
    <n v="0"/>
    <n v="0.125"/>
    <n v="0"/>
    <n v="0"/>
    <s v="                   - "/>
    <n v="0.2"/>
    <s v="                   - "/>
    <s v="                   - "/>
    <s v="                   - "/>
    <n v="0"/>
    <s v="MoFPED"/>
    <s v="008 Ministry of Finance, Planning &amp; Economic Dev."/>
    <s v="MSC"/>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s v="Proportion of MSMES accessing credit from government owned commercial banks "/>
    <m/>
    <n v="0"/>
    <n v="0.5"/>
    <n v="0.75"/>
    <n v="0.85"/>
    <n v="0.85"/>
    <s v="MFPED"/>
    <e v="#N/A"/>
    <s v=" Build capacity of MSMEs to access credit "/>
    <n v="1"/>
    <n v="1"/>
    <n v="1"/>
    <n v="1"/>
    <n v="1"/>
    <n v="1"/>
    <n v="1"/>
    <n v="1"/>
    <n v="1"/>
    <n v="0"/>
    <n v="0"/>
    <n v="0.5"/>
    <n v="0.5"/>
    <n v="0.5"/>
    <n v="0.5"/>
    <n v="0.5"/>
    <n v="1"/>
    <s v="MoFPED"/>
    <s v="008 Ministry of Finance, Planning &amp; Economic Dev."/>
    <s v="Enterprise Uganda, MoTIC, PSFU, UIA"/>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m/>
    <m/>
    <m/>
    <m/>
    <m/>
    <m/>
    <m/>
    <m/>
    <e v="#N/A"/>
    <s v=" Set up a factoring house for Private Sector Receivables "/>
    <n v="1"/>
    <n v="0"/>
    <n v="0"/>
    <n v="1"/>
    <n v="0"/>
    <n v="0"/>
    <n v="0"/>
    <n v="0"/>
    <n v="0.25"/>
    <n v="0"/>
    <n v="0"/>
    <n v="0.2"/>
    <n v="0.3"/>
    <n v="0.4"/>
    <m/>
    <m/>
    <n v="0"/>
    <s v="MoFPED"/>
    <s v="008 Ministry of Finance, Planning &amp; Economic Dev."/>
    <s v="BoU"/>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m/>
    <m/>
    <m/>
    <m/>
    <m/>
    <m/>
    <m/>
    <m/>
    <e v="#N/A"/>
    <s v=" Establish and operationalise the  EMYOOGA fund for MSMEs, in  the specialised trades "/>
    <n v="1"/>
    <n v="1"/>
    <n v="1"/>
    <n v="1"/>
    <n v="1"/>
    <n v="1"/>
    <n v="1"/>
    <n v="1"/>
    <n v="1"/>
    <n v="1"/>
    <n v="1"/>
    <n v="209.2"/>
    <n v="56.8"/>
    <n v="56.8"/>
    <n v="56.5"/>
    <n v="56.5"/>
    <n v="113"/>
    <s v="MoFPED (MSC)"/>
    <s v="008 Ministry of Finance, Planning &amp; Economic Dev."/>
    <s v="N/A"/>
  </r>
  <r>
    <x v="8"/>
    <x v="8"/>
    <s v="071"/>
    <s v="Enabling Environment"/>
    <s v="0711"/>
    <s v="Sustainably lower the costs of doing business "/>
    <s v="071101"/>
    <s v="Increase access to affordable credit largely targeting MSMEs "/>
    <s v="071101b"/>
    <s v="Set up a short-term development credit window for MSMEs "/>
    <s v="071101b01"/>
    <s v="A short term development credit window for MSMEs set up"/>
    <m/>
    <m/>
    <m/>
    <m/>
    <m/>
    <m/>
    <m/>
    <m/>
    <e v="#N/A"/>
    <s v=" Strategic design and technical oversight of the Investment for Industrial Transformation and Employment (INVITE) strategy for the Growth Triangle "/>
    <n v="1"/>
    <n v="1"/>
    <n v="1"/>
    <n v="1"/>
    <n v="1"/>
    <n v="1"/>
    <n v="1"/>
    <n v="1"/>
    <n v="1"/>
    <n v="0"/>
    <n v="0"/>
    <n v="122.63706668482629"/>
    <n v="24.86696434942321"/>
    <n v="128.32083713185085"/>
    <n v="86"/>
    <n v="195.21"/>
    <n v="281.21000000000004"/>
    <s v="MoFPED"/>
    <s v="008 Ministry of Finance, Planning &amp; Economic Dev."/>
    <s v="UIA, UDB"/>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s v="Number of security interests registered at the movable property registry"/>
    <s v="1,930S"/>
    <n v="3145"/>
    <n v="3648"/>
    <n v="4232"/>
    <n v="4909"/>
    <n v="5694"/>
    <s v="URSB"/>
    <s v="119 Uganda Registration Services Bureau"/>
    <s v=" Popularize use of security  interest  in Movable registry "/>
    <n v="1"/>
    <n v="1"/>
    <n v="1"/>
    <n v="1"/>
    <n v="1"/>
    <n v="1"/>
    <n v="1"/>
    <n v="1"/>
    <n v="1"/>
    <n v="0"/>
    <n v="0"/>
    <n v="0.18"/>
    <n v="0.36"/>
    <n v="0.38"/>
    <n v="0.19"/>
    <n v="0.08"/>
    <n v="0.27"/>
    <s v="URSB"/>
    <s v="119 Uganda Registration Services Bureau"/>
    <s v="URA, NITA-U, NIR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s v=" No. of MSMEs sensitized and trained on usage of Security Interest in Movable Property Registry System (SIMPRS)"/>
    <n v="0"/>
    <n v="200"/>
    <n v="300"/>
    <n v="400"/>
    <n v="500"/>
    <n v="600"/>
    <s v="URSB"/>
    <s v="119 Uganda Registration Services Bureau"/>
    <s v=" Integration with the motor vehicle registry and SIMPO system upgrade "/>
    <n v="1"/>
    <n v="0"/>
    <n v="0"/>
    <n v="1"/>
    <n v="1"/>
    <n v="1"/>
    <n v="1"/>
    <n v="1"/>
    <n v="0.75"/>
    <n v="0"/>
    <n v="0"/>
    <s v="                   - "/>
    <n v="0.57999999999999996"/>
    <n v="0.03"/>
    <n v="0.03"/>
    <n v="0.03"/>
    <n v="0.06"/>
    <s v="URSB"/>
    <s v="119 Uganda Registration Services Bureau"/>
    <s v="URA, NITA-U, NIR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s v="No. of women and youths sensitized and trained on usage of Security Interest in Movable Property Registry System (SIMPRS)"/>
    <n v="0"/>
    <n v="200"/>
    <n v="300"/>
    <n v="400"/>
    <n v="500"/>
    <n v="600"/>
    <s v="URSB"/>
    <s v="119 Uganda Registration Services Bureau"/>
    <s v=" Harmonize legal framework for registration of security interests in movable property with existing commercial laws (Companies Act on debentures and Insolvency Act on priority of debts) for ease of doing business and access to credit "/>
    <n v="1"/>
    <n v="0"/>
    <n v="0"/>
    <n v="1"/>
    <n v="0"/>
    <n v="0"/>
    <n v="1"/>
    <n v="0"/>
    <n v="0.375"/>
    <m/>
    <n v="0"/>
    <s v="                   - "/>
    <n v="0.36"/>
    <s v="                   - "/>
    <s v="                   - "/>
    <s v="                   - "/>
    <n v="0"/>
    <s v="URSB"/>
    <s v="119 Uganda Registration Services Bureau"/>
    <s v="MoJIC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s v="Number of security interests registered at the movable property registry"/>
    <n v="0"/>
    <n v="3145"/>
    <n v="3648"/>
    <n v="4232"/>
    <n v="4909"/>
    <n v="5694"/>
    <s v="URSB"/>
    <s v="119 Uganda Registration Services Bureau"/>
    <s v=" Mass education of the movable property registry system "/>
    <n v="1"/>
    <n v="1"/>
    <n v="1"/>
    <n v="1"/>
    <n v="1"/>
    <n v="1"/>
    <n v="0"/>
    <n v="1"/>
    <n v="0.875"/>
    <n v="0"/>
    <n v="0"/>
    <n v="0.46"/>
    <n v="0.46"/>
    <n v="0.46"/>
    <n v="0.46"/>
    <n v="0.46"/>
    <n v="0.92"/>
    <s v="URSB"/>
    <s v="119 Uganda Registration Services Bureau"/>
    <s v="URA, UNR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s v="% of EOI requests completed within the Stipulated International standards"/>
    <n v="0"/>
    <n v="0"/>
    <n v="60"/>
    <n v="70"/>
    <n v="80"/>
    <n v="90"/>
    <s v="URA"/>
    <s v="141 Uganda Revenue Authority"/>
    <s v=" Boost lender confidence to promote prudent lending against movable assets through trainings and availability of borrowers’ information on SIMPO for risk analysis "/>
    <n v="1"/>
    <n v="1"/>
    <n v="1"/>
    <n v="1"/>
    <n v="1"/>
    <n v="1"/>
    <n v="1"/>
    <n v="0"/>
    <n v="0.875"/>
    <n v="0"/>
    <n v="0"/>
    <s v="                   - "/>
    <n v="0.26"/>
    <n v="0.26"/>
    <n v="0.14000000000000001"/>
    <n v="0.14000000000000001"/>
    <n v="0.28000000000000003"/>
    <s v="URSB"/>
    <s v="119 Uganda Registration Services Bureau"/>
    <s v="N/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m/>
    <m/>
    <m/>
    <m/>
    <m/>
    <m/>
    <m/>
    <m/>
    <e v="#N/A"/>
    <s v=" Strengthen partnerships with stakeholders e.g. URA, FSDU, World Bank, UNCITRAL, UNDROIT, JLOS for funding and smooth operation of the registry "/>
    <n v="0"/>
    <n v="0"/>
    <n v="0"/>
    <n v="1"/>
    <n v="1"/>
    <n v="0"/>
    <n v="0"/>
    <n v="0"/>
    <n v="0.25"/>
    <n v="0"/>
    <n v="0"/>
    <n v="0.04"/>
    <n v="0.17"/>
    <n v="0.05"/>
    <n v="0"/>
    <n v="0"/>
    <n v="0"/>
    <s v="URSB"/>
    <s v="119 Uganda Registration Services Bureau"/>
    <s v="N/A"/>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m/>
    <m/>
    <m/>
    <m/>
    <m/>
    <m/>
    <m/>
    <m/>
    <e v="#N/A"/>
    <s v=" Exchange of information with the Movable property registry "/>
    <n v="1"/>
    <n v="1"/>
    <n v="0"/>
    <n v="0"/>
    <n v="0"/>
    <n v="0"/>
    <n v="0"/>
    <n v="0"/>
    <n v="0.25"/>
    <n v="0"/>
    <n v="0"/>
    <s v="                   - "/>
    <s v="                   - "/>
    <s v="                   - "/>
    <s v="                   - "/>
    <s v="                   - "/>
    <n v="0"/>
    <s v="URA"/>
    <s v="141 Uganda Revenue Authority"/>
    <s v="URSB"/>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m/>
    <m/>
    <m/>
    <m/>
    <m/>
    <m/>
    <m/>
    <m/>
    <e v="#N/A"/>
    <s v=" Strengthen use of e-movable chattels registry "/>
    <n v="0"/>
    <n v="0"/>
    <n v="0"/>
    <n v="0"/>
    <n v="0"/>
    <n v="0"/>
    <n v="0"/>
    <n v="0"/>
    <n v="0"/>
    <n v="0"/>
    <n v="0"/>
    <s v="                   - "/>
    <s v="                   - "/>
    <s v="                   - "/>
    <s v="                   - "/>
    <s v="                   - "/>
    <n v="0"/>
    <s v="MoFPED"/>
    <s v="008 Ministry of Finance, Planning &amp; Economic Dev."/>
    <s v="URSB"/>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m/>
    <m/>
    <m/>
    <m/>
    <m/>
    <m/>
    <m/>
    <m/>
    <e v="#N/A"/>
    <s v=" Building synergies with regulators and associations to increase system usage and non-tax revenue collection. "/>
    <n v="1"/>
    <n v="0"/>
    <n v="0"/>
    <n v="1"/>
    <n v="1"/>
    <n v="1"/>
    <n v="1"/>
    <n v="1"/>
    <n v="0.75"/>
    <n v="0"/>
    <n v="0"/>
    <n v="0.3"/>
    <n v="0.3"/>
    <n v="0.3"/>
    <n v="0.3"/>
    <n v="0.3"/>
    <n v="0.6"/>
    <s v="URSB"/>
    <s v="119 Uganda Registration Services Bureau"/>
    <s v="URA, PSFU"/>
  </r>
  <r>
    <x v="8"/>
    <x v="8"/>
    <s v="071"/>
    <s v="Enabling Environment"/>
    <s v="0711"/>
    <s v="Sustainably lower the costs of doing business "/>
    <s v="071101"/>
    <s v="Increase access to affordable credit largely targeting MSMEs "/>
    <s v="071101c"/>
    <s v="Strengthen use of the Security Interest in Movable Property Registry System "/>
    <s v="071101c01"/>
    <s v="Security Interest in Movable Property Registry System fully functional and accepted by the industry "/>
    <m/>
    <m/>
    <m/>
    <m/>
    <m/>
    <m/>
    <m/>
    <m/>
    <e v="#N/A"/>
    <s v=" Implement the Automatic Exchange of Information and common reporting standards for tax purposes  "/>
    <n v="0"/>
    <n v="0"/>
    <n v="0"/>
    <n v="0"/>
    <n v="0"/>
    <n v="0"/>
    <n v="0"/>
    <n v="0"/>
    <n v="0"/>
    <m/>
    <n v="0"/>
    <s v="                   - "/>
    <n v="0.5"/>
    <n v="0.5"/>
    <n v="0"/>
    <n v="0"/>
    <n v="0"/>
    <s v="URA"/>
    <s v="141 Uganda Revenue Authority"/>
    <s v="N/A"/>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1"/>
    <s v="Credit guarantee scheme in place "/>
    <s v="Number of MSME credit lines/ loans guaranteed"/>
    <n v="0"/>
    <n v="200"/>
    <n v="200"/>
    <n v="400"/>
    <n v="450"/>
    <n v="600"/>
    <s v="MFPED"/>
    <e v="#N/A"/>
    <s v=" Set up Credit Guarantee Scheme in UDB for financing eligible SME operations "/>
    <n v="1"/>
    <n v="1"/>
    <n v="1"/>
    <n v="1"/>
    <n v="1"/>
    <n v="1"/>
    <n v="1"/>
    <n v="1"/>
    <n v="1"/>
    <n v="1"/>
    <n v="0"/>
    <s v="                   - "/>
    <n v="4"/>
    <n v="4"/>
    <n v="1"/>
    <n v="7"/>
    <n v="8"/>
    <s v="MoFPED"/>
    <s v="008 Ministry of Finance, Planning &amp; Economic Dev."/>
    <s v="UDB"/>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2"/>
    <s v="Increased availability of borrower information "/>
    <s v="No. of new measures put in place to increase availability of borrower information"/>
    <n v="0"/>
    <s v=" 2 (CRB regulations updated, guidelines on data collection)"/>
    <s v=" 2 (Upgrade CRB system, awareness for Tier 4 providers)"/>
    <s v=" 1 (integration NIN with financial sector databases)"/>
    <n v="0"/>
    <s v=" 1 (public credit registry)"/>
    <s v="MFPED"/>
    <e v="#N/A"/>
    <s v=" Establish mechanisms for facilitating access to borrower information by financial institutions with a view to increasing certainty in the credit market (e.g. through Credit reference bureaus) "/>
    <n v="1"/>
    <n v="1"/>
    <n v="1"/>
    <n v="1"/>
    <n v="1"/>
    <n v="1"/>
    <n v="1"/>
    <n v="0"/>
    <n v="0.875"/>
    <n v="0"/>
    <n v="0"/>
    <n v="0.5"/>
    <n v="0.5"/>
    <n v="0.5"/>
    <m/>
    <m/>
    <n v="0"/>
    <s v="MoFPED"/>
    <s v="008 Ministry of Finance, Planning &amp; Economic Dev."/>
    <s v="BoU, Financial Institutions"/>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3"/>
    <s v="Reduced turnaround time of commercial civil cases in court "/>
    <s v="No. of years it takes to dispose a commercial civil case"/>
    <n v="4"/>
    <n v="3.5"/>
    <n v="3"/>
    <n v="2.5"/>
    <n v="2"/>
    <n v="2"/>
    <s v="MOJCA"/>
    <s v="007 Ministry of Justice and Constitutional Affairs"/>
    <s v=" Increase manpower (Judges, and State Attorneys) dealing with Commercial, civil cases "/>
    <n v="1"/>
    <n v="1"/>
    <n v="1"/>
    <n v="1"/>
    <n v="0"/>
    <n v="1"/>
    <n v="0"/>
    <n v="1"/>
    <n v="0.75"/>
    <m/>
    <n v="0"/>
    <n v="0"/>
    <n v="0"/>
    <n v="0"/>
    <n v="0"/>
    <n v="0"/>
    <n v="0"/>
    <s v="MoJCA"/>
    <s v="007 Ministry of Justice and Constitutional Affairs"/>
    <s v="N/A"/>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4"/>
    <s v="Asset Reconstruction Company (ARC) established and operational  "/>
    <s v="Operational ARC"/>
    <s v="No"/>
    <s v="No"/>
    <s v="NO"/>
    <s v="Yes"/>
    <s v="Yes"/>
    <s v="Yes"/>
    <s v="MFPED"/>
    <e v="#N/A"/>
    <s v=" Support the establishment of an Asset Reconstruction Company "/>
    <n v="1"/>
    <n v="1"/>
    <n v="1"/>
    <n v="0"/>
    <n v="1"/>
    <n v="1"/>
    <n v="0"/>
    <n v="1"/>
    <n v="0.75"/>
    <n v="0"/>
    <n v="0"/>
    <s v="                   - "/>
    <n v="50"/>
    <n v="50"/>
    <n v="0.5"/>
    <n v="0.5"/>
    <n v="1"/>
    <s v="MoFPED"/>
    <s v="008 Ministry of Finance, Planning &amp; Economic Dev."/>
    <s v="BoU"/>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5"/>
    <s v="Insurance products range adopted "/>
    <s v="Proportion of MSMEs Credit rated "/>
    <n v="0"/>
    <n v="1000"/>
    <n v="1000"/>
    <n v="1000"/>
    <n v="1000"/>
    <n v="1000"/>
    <s v="IRA"/>
    <s v="008 Ministry of Finance, Planning &amp; Economic Dev."/>
    <s v=" Promote innovations for appropriate insurance products for key growth sectors "/>
    <n v="1"/>
    <n v="1"/>
    <n v="0"/>
    <n v="1"/>
    <n v="1"/>
    <n v="1"/>
    <n v="1"/>
    <n v="1"/>
    <n v="0.875"/>
    <n v="0"/>
    <n v="0"/>
    <n v="0.12"/>
    <n v="0.2"/>
    <n v="0.25"/>
    <n v="0.4"/>
    <n v="0.5"/>
    <n v="0.9"/>
    <s v="MoFPED (IRA)"/>
    <s v="008 Ministry of Finance, Planning &amp; Economic Dev."/>
    <s v="MoFPED"/>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6"/>
    <s v="Increased understanding of MSMEs Credit rating  "/>
    <s v="Proportion of MSMEs Credit rated "/>
    <n v="0"/>
    <n v="5"/>
    <n v="8"/>
    <n v="12"/>
    <n v="20"/>
    <n v="25"/>
    <s v="MoTIC"/>
    <s v="015 Ministry of Trade, Industry and Cooperatives"/>
    <s v=" Simplify, popularize and massively train MSMEs in the processes of credit rating "/>
    <n v="1"/>
    <n v="1"/>
    <n v="1"/>
    <n v="1"/>
    <n v="1"/>
    <n v="1"/>
    <n v="1"/>
    <n v="0"/>
    <n v="0.875"/>
    <n v="0"/>
    <n v="0"/>
    <n v="1"/>
    <n v="1"/>
    <n v="1"/>
    <n v="1"/>
    <n v="1"/>
    <n v="2"/>
    <s v="MoTIC"/>
    <s v="015 Ministry of Trade, Industry and Cooperatives"/>
    <s v="Enterprise Uganda, PSFU, UIA"/>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6"/>
    <s v="Increased understanding of MSMEs Credit rating  "/>
    <m/>
    <m/>
    <m/>
    <m/>
    <m/>
    <m/>
    <m/>
    <m/>
    <e v="#N/A"/>
    <s v="Strengthen financial consumer protection"/>
    <n v="1"/>
    <n v="0"/>
    <n v="1"/>
    <n v="1"/>
    <n v="1"/>
    <n v="0"/>
    <n v="1"/>
    <n v="0"/>
    <n v="0.625"/>
    <n v="0"/>
    <n v="0"/>
    <n v="0"/>
    <n v="0"/>
    <n v="0"/>
    <n v="0"/>
    <n v="0"/>
    <n v="0"/>
    <s v="BoU"/>
    <e v="#N/A"/>
    <s v="N/A"/>
  </r>
  <r>
    <x v="8"/>
    <x v="8"/>
    <s v="071"/>
    <s v="Enabling Environment"/>
    <s v="0711"/>
    <s v="Sustainably lower the costs of doing business "/>
    <s v="071101"/>
    <s v="Increase access to affordable credit largely targeting MSMEs "/>
    <s v="071101d"/>
    <s v="De-risk private sector lending by adopting appropriate measures, such as public partial credit guarantee schemes targeted to the key growth opportunities "/>
    <s v="071101d07"/>
    <s v=" De-risking mechanisms in place"/>
    <s v="No. of financial institutions accessing new de-risking mechanisms in place"/>
    <n v="0"/>
    <n v="8"/>
    <n v="10"/>
    <n v="12"/>
    <n v="14"/>
    <n v="16"/>
    <s v="MOFPED"/>
    <s v="008 Ministry of Finance, Planning &amp; Economic Dev."/>
    <m/>
    <m/>
    <m/>
    <m/>
    <m/>
    <m/>
    <m/>
    <n v="0"/>
    <n v="0"/>
    <n v="0"/>
    <m/>
    <n v="0"/>
    <m/>
    <m/>
    <m/>
    <m/>
    <m/>
    <n v="0"/>
    <m/>
    <m/>
    <m/>
  </r>
  <r>
    <x v="8"/>
    <x v="8"/>
    <s v="071"/>
    <s v="Enabling Environment"/>
    <s v="0711"/>
    <s v="Sustainably lower the costs of doing business "/>
    <s v="071102"/>
    <s v="Increase access to long-term finance "/>
    <s v="071102a"/>
    <s v="Capitalize and strengthen UDB  "/>
    <s v="071102a01"/>
    <s v="UDB capitalized and strengthened"/>
    <s v="Amount of funds injected into UDB (UGX billion)"/>
    <n v="67"/>
    <n v="103"/>
    <n v="550"/>
    <n v="500"/>
    <n v="400"/>
    <n v="100"/>
    <s v="UDB"/>
    <s v="008 Ministry of Finance, Planning &amp; Economic Dev."/>
    <s v=" Mobilise concessional loans through Lines of Credits from potentials financiers and grants for capitalisation and capacity enhancement of UDB "/>
    <n v="1"/>
    <n v="1"/>
    <n v="1"/>
    <n v="1"/>
    <n v="1"/>
    <n v="1"/>
    <n v="1"/>
    <n v="0"/>
    <n v="0.875"/>
    <n v="1"/>
    <n v="0"/>
    <n v="0.2"/>
    <n v="0.2"/>
    <n v="0.2"/>
    <n v="0.2"/>
    <s v="                   - "/>
    <n v="0.2"/>
    <s v="MoFPED (UDB)"/>
    <s v="008 Ministry of Finance, Planning &amp; Economic Dev."/>
    <s v="MoFPED, BoU"/>
  </r>
  <r>
    <x v="8"/>
    <x v="8"/>
    <s v="071"/>
    <s v="Enabling Environment"/>
    <s v="0711"/>
    <s v="Sustainably lower the costs of doing business "/>
    <s v="071102"/>
    <s v="Increase access to long-term finance "/>
    <s v="071102a"/>
    <s v="Capitalize and strengthen UDB  "/>
    <s v="071102a01"/>
    <s v="UDB capitalized and strengthened"/>
    <s v="A revised framework for capitalization of UDB"/>
    <n v="0"/>
    <n v="0"/>
    <n v="1"/>
    <n v="0"/>
    <n v="0"/>
    <n v="0"/>
    <s v="MFPED"/>
    <e v="#N/A"/>
    <s v=" Develop a revised framework for capitalization of UDB to facilitate MSME based growth via selected commodity value chains "/>
    <n v="1"/>
    <n v="1"/>
    <n v="1"/>
    <n v="1"/>
    <n v="1"/>
    <n v="1"/>
    <n v="1"/>
    <n v="1"/>
    <n v="1"/>
    <n v="1"/>
    <n v="0"/>
    <s v="                   - "/>
    <s v="                   - "/>
    <s v="                   - "/>
    <s v="                   - "/>
    <s v="                   - "/>
    <n v="0"/>
    <s v="MoFPED"/>
    <s v="008 Ministry of Finance, Planning &amp; Economic Dev."/>
    <s v="N/A"/>
  </r>
  <r>
    <x v="8"/>
    <x v="8"/>
    <s v="071"/>
    <s v="Enabling Environment"/>
    <s v="0711"/>
    <s v="Sustainably lower the costs of doing business "/>
    <s v="071102"/>
    <s v="Increase access to long-term finance "/>
    <s v="071102a"/>
    <s v="Capitalize and strengthen UDB  "/>
    <s v="071102a01"/>
    <s v="UDB capitalized and strengthened"/>
    <m/>
    <m/>
    <m/>
    <m/>
    <m/>
    <m/>
    <m/>
    <m/>
    <e v="#N/A"/>
    <s v=" Mobilize and appropriate resources to UDB based on a results-oriented capitalization framework "/>
    <n v="1"/>
    <n v="1"/>
    <n v="1"/>
    <n v="1"/>
    <n v="1"/>
    <n v="1"/>
    <n v="1"/>
    <n v="1"/>
    <n v="1"/>
    <n v="1"/>
    <n v="0"/>
    <n v="51.5"/>
    <n v="51.5"/>
    <n v="75"/>
    <n v="50"/>
    <n v="50"/>
    <n v="100"/>
    <s v="MoFPED"/>
    <s v="008 Ministry of Finance, Planning &amp; Economic Dev."/>
    <s v="N/A"/>
  </r>
  <r>
    <x v="8"/>
    <x v="8"/>
    <s v="071"/>
    <s v="Enabling Environment"/>
    <s v="0711"/>
    <s v="Sustainably lower the costs of doing business "/>
    <s v="071102"/>
    <s v="Increase access to long-term finance "/>
    <s v="071102b"/>
    <s v="Develop a Development Finance Institutions (DFIs) Policy "/>
    <s v="071102b01"/>
    <s v="Development Finance Institutions Policy in place "/>
    <s v="A developed DFI policy "/>
    <n v="0"/>
    <n v="0"/>
    <n v="0"/>
    <n v="1"/>
    <n v="0"/>
    <n v="0"/>
    <s v="MFPED"/>
    <e v="#N/A"/>
    <s v=" Develop a policy on DFI "/>
    <n v="1"/>
    <n v="1"/>
    <n v="1"/>
    <n v="1"/>
    <n v="1"/>
    <n v="1"/>
    <n v="0"/>
    <n v="0"/>
    <n v="0.75"/>
    <n v="1"/>
    <n v="0"/>
    <s v="                   - "/>
    <n v="0.25"/>
    <n v="0.25"/>
    <s v="                   - "/>
    <s v="                   - "/>
    <n v="0"/>
    <s v="MoFPED"/>
    <s v="008 Ministry of Finance, Planning &amp; Economic Dev."/>
    <s v="UDB, NPA"/>
  </r>
  <r>
    <x v="8"/>
    <x v="8"/>
    <s v="071"/>
    <s v="Enabling Environment"/>
    <s v="0711"/>
    <s v="Sustainably lower the costs of doing business "/>
    <s v="071102"/>
    <s v="Increase access to long-term finance "/>
    <s v="071102c"/>
    <s v="Capitalize the Project Development Facilitation Fund"/>
    <s v="071102c01"/>
    <s v="Project Development Facilitation Fund capitalised"/>
    <s v="amount of funding to the project capitalisation fund  (UGX)"/>
    <s v="-"/>
    <m/>
    <m/>
    <m/>
    <m/>
    <m/>
    <s v="MOFPED"/>
    <s v="008 Ministry of Finance, Planning &amp; Economic Dev."/>
    <s v="Capitalise the project development facilitation fund"/>
    <m/>
    <m/>
    <m/>
    <m/>
    <m/>
    <m/>
    <n v="0"/>
    <n v="0"/>
    <n v="0"/>
    <m/>
    <n v="0"/>
    <m/>
    <m/>
    <m/>
    <m/>
    <m/>
    <n v="0"/>
    <s v="MoFPED"/>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1"/>
    <s v="Savings mobilization strategy in place  "/>
    <s v="Savings mobilization strategy"/>
    <n v="0"/>
    <n v="0"/>
    <n v="1"/>
    <n v="0"/>
    <n v="0"/>
    <n v="0"/>
    <s v="MFPED"/>
    <e v="#N/A"/>
    <s v=" Developing and popularizing savings mobilization strategy "/>
    <n v="0"/>
    <n v="0"/>
    <n v="0"/>
    <n v="1"/>
    <n v="0"/>
    <n v="1"/>
    <n v="1"/>
    <n v="0"/>
    <n v="0.375"/>
    <m/>
    <n v="0"/>
    <s v="                   - "/>
    <s v="                   - "/>
    <n v="1"/>
    <s v="                   - "/>
    <s v="                   - "/>
    <n v="0"/>
    <s v="MoFPED"/>
    <s v="008 Ministry of Finance, Planning &amp; Economic Dev."/>
    <s v="BoU, NPA, EPRC"/>
  </r>
  <r>
    <x v="8"/>
    <x v="8"/>
    <s v="071"/>
    <s v="Enabling Environment"/>
    <s v="0711"/>
    <s v="Sustainably lower the costs of doing business "/>
    <s v="071102"/>
    <s v="Increase access to long-term finance "/>
    <s v="071102d"/>
    <s v="Expand the pension and insurance coverage to increase formal sector savings "/>
    <s v="071102d02"/>
    <s v="Insurance coverage Expanded "/>
    <s v="Number of insurance service providers supervised"/>
    <n v="0"/>
    <n v="1"/>
    <n v="1"/>
    <n v="1"/>
    <n v="1"/>
    <n v="1"/>
    <s v="IRA"/>
    <s v="008 Ministry of Finance, Planning &amp; Economic Dev."/>
    <s v=" Conduct regular supervision to insurance service providers           "/>
    <n v="1"/>
    <n v="1"/>
    <n v="0"/>
    <n v="1"/>
    <n v="1"/>
    <n v="1"/>
    <n v="0"/>
    <n v="1"/>
    <n v="0.75"/>
    <n v="0"/>
    <n v="0"/>
    <n v="0.72"/>
    <n v="0.79"/>
    <n v="0.79"/>
    <n v="0.85"/>
    <n v="0.87"/>
    <n v="1.72"/>
    <s v="MoFPED (I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2"/>
    <s v="Insurance coverage Expanded "/>
    <s v="Number of insurance innovations tested in a regulatory sandbox"/>
    <n v="0"/>
    <n v="5"/>
    <n v="10"/>
    <n v="12"/>
    <n v="15"/>
    <n v="25"/>
    <s v="IRA"/>
    <s v="008 Ministry of Finance, Planning &amp; Economic Dev."/>
    <s v=" Provide an incentive package for life and pension products "/>
    <n v="0"/>
    <n v="0"/>
    <n v="0"/>
    <n v="0"/>
    <n v="0"/>
    <n v="0"/>
    <n v="0"/>
    <n v="0"/>
    <n v="0"/>
    <m/>
    <n v="0"/>
    <n v="0.2"/>
    <n v="0.2"/>
    <n v="0.3"/>
    <n v="0"/>
    <n v="0"/>
    <n v="0"/>
    <s v="MoFPED (I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3"/>
    <s v="Increased coverage and growth of the Retirement Benefits Sector "/>
    <s v="Sector Operating Ratio (Cost to Asset ratio)"/>
    <n v="0.01"/>
    <n v="0.01"/>
    <n v="0.2"/>
    <n v="0.2"/>
    <n v="0.2"/>
    <n v="0.2"/>
    <s v="IRA"/>
    <s v="008 Ministry of Finance, Planning &amp; Economic Dev."/>
    <s v=" Invest in innovations and insurance products range for expanding insurance penetration; "/>
    <n v="1"/>
    <n v="0"/>
    <n v="1"/>
    <n v="1"/>
    <n v="1"/>
    <n v="1"/>
    <n v="1"/>
    <n v="0"/>
    <n v="0.75"/>
    <m/>
    <n v="0"/>
    <n v="0.12"/>
    <n v="0.2"/>
    <n v="0.25"/>
    <n v="0.4"/>
    <n v="0.5"/>
    <n v="0.9"/>
    <s v="MoFPED (I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3"/>
    <s v="Increased coverage and growth of the Retirement Benefits Sector "/>
    <s v="Annual Retirement Benefits Sector Asset Growth Rate"/>
    <n v="0.26"/>
    <n v="0.25"/>
    <n v="0.3"/>
    <n v="0.4"/>
    <n v="0.5"/>
    <n v="0.5"/>
    <s v="IRA"/>
    <s v="008 Ministry of Finance, Planning &amp; Economic Dev."/>
    <s v=" Undertake scheme Risk Reviews "/>
    <n v="1"/>
    <n v="1"/>
    <n v="0"/>
    <n v="1"/>
    <n v="1"/>
    <n v="1"/>
    <n v="1"/>
    <n v="0"/>
    <n v="0.75"/>
    <m/>
    <n v="0"/>
    <n v="0.3"/>
    <n v="0.4"/>
    <n v="0.4"/>
    <n v="0.5"/>
    <n v="0.8"/>
    <n v="1.3"/>
    <s v="MoFPED (I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3"/>
    <s v="Increased coverage and growth of the Retirement Benefits Sector "/>
    <s v="Coverage (% of labour force enrolled) "/>
    <n v="0.14000000000000001"/>
    <n v="0.15"/>
    <n v="0.16"/>
    <n v="0.18"/>
    <n v="0.19"/>
    <n v="0.2"/>
    <s v="URBRA"/>
    <e v="#N/A"/>
    <s v=" Developing a regulatory and supervisory framework for Informal Sector Retirement Benefit Arrangements "/>
    <n v="1"/>
    <n v="0"/>
    <n v="0"/>
    <n v="1"/>
    <n v="1"/>
    <n v="1"/>
    <n v="1"/>
    <n v="1"/>
    <n v="0.75"/>
    <n v="0"/>
    <n v="0"/>
    <n v="0"/>
    <n v="0.1"/>
    <s v="                   - "/>
    <s v="                   - "/>
    <s v="                   - "/>
    <n v="0"/>
    <s v="MoFPED (URB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3"/>
    <s v="Increased coverage and growth of the Retirement Benefits Sector "/>
    <s v="Overall Scheme Risk Rating in the Retirement Benefits Sector"/>
    <n v="1.66E-2"/>
    <n v="1.46E-2"/>
    <n v="1.26E-2"/>
    <n v="1.06E-2"/>
    <n v="8.6E-3"/>
    <n v="6.6E-3"/>
    <s v="URBRA"/>
    <e v="#N/A"/>
    <s v=" Establish  micro-pension scheme(s) to facilitate extension of coverage to Informal Sector "/>
    <n v="1"/>
    <n v="0"/>
    <n v="0"/>
    <n v="1"/>
    <n v="1"/>
    <n v="1"/>
    <n v="1"/>
    <n v="1"/>
    <n v="0.75"/>
    <n v="0"/>
    <n v="0"/>
    <s v="                   - "/>
    <s v="                   - "/>
    <s v="                   - "/>
    <s v="                   - "/>
    <s v="                   - "/>
    <n v="0"/>
    <s v="MoFPED (URB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4"/>
    <s v="Retirement benefits sector coverage and scope increased "/>
    <s v="Overall Scheme Risk Rating in the Retirement Benefits Sector"/>
    <n v="0"/>
    <n v="0"/>
    <n v="0"/>
    <n v="0"/>
    <n v="0"/>
    <n v="0"/>
    <s v="URBRA"/>
    <e v="#N/A"/>
    <s v=" Establish a Centralised Micro-Pension Administration System  "/>
    <n v="1"/>
    <n v="0"/>
    <n v="0"/>
    <n v="1"/>
    <n v="1"/>
    <n v="1"/>
    <n v="1"/>
    <n v="1"/>
    <n v="0.75"/>
    <m/>
    <n v="0"/>
    <s v="                   - "/>
    <s v="                   - "/>
    <s v="                   - "/>
    <s v="                   - "/>
    <s v="                   - "/>
    <n v="0"/>
    <s v="MoFPED (URB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4"/>
    <s v="Retirement benefits sector coverage and scope increased "/>
    <m/>
    <m/>
    <m/>
    <m/>
    <m/>
    <m/>
    <m/>
    <m/>
    <e v="#N/A"/>
    <s v=" Undertake pension sector legislative reforms "/>
    <n v="1"/>
    <n v="0"/>
    <n v="0"/>
    <n v="1"/>
    <n v="1"/>
    <n v="1"/>
    <n v="1"/>
    <n v="1"/>
    <n v="0.75"/>
    <m/>
    <n v="0"/>
    <s v="                   - "/>
    <s v="                   - "/>
    <s v="                   - "/>
    <s v="                   - "/>
    <s v="                   - "/>
    <n v="0"/>
    <s v="MoFPED (URBRA)"/>
    <s v="008 Ministry of Finance, Planning &amp; Economic Dev."/>
    <s v="MoFPED"/>
  </r>
  <r>
    <x v="8"/>
    <x v="8"/>
    <s v="071"/>
    <s v="Enabling Environment"/>
    <s v="0711"/>
    <s v="Sustainably lower the costs of doing business "/>
    <s v="071102"/>
    <s v="Increase access to long-term finance "/>
    <s v="071102d"/>
    <s v="Expand the pension and insurance coverage to increase formal sector savings "/>
    <s v="071102d04"/>
    <s v="Retirement benefits sector coverage and scope increased "/>
    <m/>
    <m/>
    <m/>
    <m/>
    <m/>
    <m/>
    <m/>
    <m/>
    <e v="#N/A"/>
    <s v=" Establish Risk Based Supervision Tool and acquire Risk Based Supervision Software, for effective risk assessment, response and monitoring of the Retirement Benefits Sector "/>
    <n v="0"/>
    <n v="0"/>
    <n v="0"/>
    <n v="0"/>
    <n v="0"/>
    <n v="0"/>
    <n v="0"/>
    <n v="0"/>
    <n v="0"/>
    <m/>
    <n v="0"/>
    <s v="                   - "/>
    <s v="                   - "/>
    <s v="                   - "/>
    <s v="                   - "/>
    <s v="                   - "/>
    <n v="0"/>
    <s v="MoFPED (URBRA)"/>
    <s v="008 Ministry of Finance, Planning &amp; Economic Dev."/>
    <s v="MoFPED"/>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Number of CIS Accounts opened to invest in government securities through mobile phones"/>
    <n v="0"/>
    <n v="200"/>
    <n v="200"/>
    <n v="200"/>
    <n v="200"/>
    <n v="200"/>
    <s v="BoU"/>
    <e v="#N/A"/>
    <s v=" Develop a technical system for investment in government securities via the mobile phone "/>
    <n v="1"/>
    <n v="1"/>
    <n v="0"/>
    <n v="1"/>
    <n v="1"/>
    <n v="0"/>
    <n v="1"/>
    <n v="1"/>
    <n v="0.75"/>
    <m/>
    <n v="0"/>
    <s v="                   - "/>
    <s v="                   - "/>
    <s v="                   - "/>
    <s v="                   - "/>
    <s v="                   - "/>
    <n v="0"/>
    <s v="BoU "/>
    <e v="#N/A"/>
    <s v="N/A"/>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Number of CIS accounts "/>
    <n v="0"/>
    <n v="200"/>
    <n v="200"/>
    <n v="200"/>
    <n v="200"/>
    <n v="200"/>
    <s v="CMA"/>
    <e v="#N/A"/>
    <s v=" Link the Central Securities Depository (CSD) to the Uganda Securities Exchange (USE) "/>
    <n v="1"/>
    <n v="0"/>
    <n v="0"/>
    <n v="1"/>
    <n v="1"/>
    <n v="1"/>
    <n v="0"/>
    <n v="1"/>
    <n v="0.625"/>
    <m/>
    <n v="0"/>
    <s v="                   - "/>
    <s v="                   - "/>
    <s v="                   - "/>
    <s v="                   - "/>
    <s v="                   - "/>
    <n v="0"/>
    <s v="MoFPED (CMA)"/>
    <s v="008 Ministry of Finance, Planning &amp; Economic Dev."/>
    <s v="MoFPED, Uganda Securities Exchange"/>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CIS assets under management (UGX bn)"/>
    <s v="156 (end2018)"/>
    <n v="224"/>
    <n v="269"/>
    <n v="323"/>
    <n v="1.4"/>
    <n v="1.68"/>
    <s v="CMA"/>
    <e v="#N/A"/>
    <s v=" Popularize capital markets investment opportunities, to increase the uptake of collective investment schemes "/>
    <n v="1"/>
    <n v="1"/>
    <n v="1"/>
    <n v="1"/>
    <n v="1"/>
    <n v="1"/>
    <n v="1"/>
    <n v="1"/>
    <n v="1"/>
    <n v="0"/>
    <n v="0"/>
    <n v="0.5"/>
    <n v="0.5"/>
    <n v="0.5"/>
    <n v="0.5"/>
    <n v="0.5"/>
    <n v="1"/>
    <s v="MoFPED (CMA)"/>
    <s v="008 Ministry of Finance, Planning &amp; Economic Dev."/>
    <s v="MoFPED, Uganda Securities Exchange"/>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Measures implemented to encourage public interest companies list"/>
    <s v="-"/>
    <s v="-"/>
    <n v="1"/>
    <n v="1"/>
    <n v="1"/>
    <n v="0"/>
    <s v="CMA, MoFPED"/>
    <e v="#N/A"/>
    <s v=" Develop provisions under the licensing regulations for the registration of Private Equity Funds and Venture Capital Funds "/>
    <m/>
    <m/>
    <m/>
    <m/>
    <m/>
    <m/>
    <n v="0"/>
    <n v="0"/>
    <n v="0"/>
    <n v="0"/>
    <n v="0"/>
    <s v="                   - "/>
    <s v="                   - "/>
    <s v="                   - "/>
    <s v="                   - "/>
    <s v="                   - "/>
    <n v="0"/>
    <s v="MoFPED (CMA)"/>
    <s v="008 Ministry of Finance, Planning &amp; Economic Dev."/>
    <s v="MoFPED"/>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Number of companies supported by a functional deal flow facility "/>
    <s v="-"/>
    <n v="5"/>
    <n v="5"/>
    <n v="5"/>
    <n v="5"/>
    <n v="5"/>
    <s v="CMA"/>
    <e v="#N/A"/>
    <m/>
    <m/>
    <m/>
    <m/>
    <m/>
    <m/>
    <m/>
    <n v="0"/>
    <n v="0"/>
    <n v="0"/>
    <m/>
    <n v="0"/>
    <m/>
    <m/>
    <m/>
    <m/>
    <m/>
    <n v="0"/>
    <m/>
    <m/>
    <m/>
  </r>
  <r>
    <x v="8"/>
    <x v="8"/>
    <s v="071"/>
    <s v="Enabling Environment"/>
    <s v="0711"/>
    <s v="Sustainably lower the costs of doing business "/>
    <s v="071103"/>
    <s v="Mobilize alternative financing sources to finance private investment "/>
    <s v="071103a"/>
    <s v="Deepen and widen the capital markets "/>
    <s v="071103a01"/>
    <s v="A conducive environment for capital markets is in place "/>
    <s v="Number of firms that received private equity funding by local private equity funds"/>
    <n v="6"/>
    <n v="12"/>
    <n v="14"/>
    <n v="16"/>
    <n v="18"/>
    <n v="20"/>
    <s v="CMA"/>
    <e v="#N/A"/>
    <m/>
    <m/>
    <m/>
    <m/>
    <m/>
    <m/>
    <m/>
    <n v="0"/>
    <n v="0"/>
    <n v="0"/>
    <m/>
    <n v="0"/>
    <m/>
    <m/>
    <m/>
    <m/>
    <m/>
    <n v="0"/>
    <m/>
    <m/>
    <m/>
  </r>
  <r>
    <x v="8"/>
    <x v="8"/>
    <s v="071"/>
    <s v="Enabling Environment"/>
    <s v="0711"/>
    <s v="Sustainably lower the costs of doing business "/>
    <s v="071103"/>
    <s v="Mobilize alternative financing sources to finance private investment "/>
    <s v="071103a"/>
    <s v="Deepen and widen the capital markets "/>
    <s v="071103a02"/>
    <s v="Increased participation in the financial markets "/>
    <s v="Number of initiatives undertaken to increase market participation "/>
    <n v="0"/>
    <n v="1"/>
    <n v="2"/>
    <n v="5"/>
    <n v="5"/>
    <n v="9"/>
    <s v=" CMA"/>
    <e v="#N/A"/>
    <s v=" Develop measures that will lead to the listing of public interest entities. "/>
    <n v="1"/>
    <n v="1"/>
    <n v="1"/>
    <n v="1"/>
    <n v="1"/>
    <n v="1"/>
    <n v="0"/>
    <n v="1"/>
    <n v="0.875"/>
    <n v="0"/>
    <n v="0"/>
    <s v="                   - "/>
    <s v="                   - "/>
    <s v="                   - "/>
    <s v="                   - "/>
    <s v="                   - "/>
    <n v="0"/>
    <s v="MoFPED (CMA)"/>
    <s v="008 Ministry of Finance, Planning &amp; Economic Dev."/>
    <s v="MoFPED"/>
  </r>
  <r>
    <x v="8"/>
    <x v="8"/>
    <s v="071"/>
    <s v="Enabling Environment"/>
    <s v="0711"/>
    <s v="Sustainably lower the costs of doing business "/>
    <s v="071103"/>
    <s v="Mobilize alternative financing sources to finance private investment "/>
    <s v="071103a"/>
    <s v="Deepen and widen the capital markets "/>
    <s v="071103a02"/>
    <s v="Increased participation in the financial markets "/>
    <s v="Functional financial market reforms"/>
    <n v="0"/>
    <n v="0"/>
    <n v="0"/>
    <n v="1"/>
    <n v="1"/>
    <n v="0"/>
    <s v=" BOU"/>
    <e v="#N/A"/>
    <s v=" Establish a Deal Flow Facility that will prepare companies to tap into market based finance "/>
    <n v="1"/>
    <n v="1"/>
    <n v="1"/>
    <n v="1"/>
    <n v="1"/>
    <n v="1"/>
    <n v="0"/>
    <n v="1"/>
    <n v="0.875"/>
    <n v="0"/>
    <n v="0"/>
    <n v="4.5"/>
    <n v="4.5"/>
    <n v="4.5"/>
    <n v="3.5"/>
    <s v="                   - "/>
    <n v="3.5"/>
    <s v="MoFPED (CMA)"/>
    <s v="008 Ministry of Finance, Planning &amp; Economic Dev."/>
    <s v="BoU, Uganda Securities Exchange"/>
  </r>
  <r>
    <x v="8"/>
    <x v="8"/>
    <s v="071"/>
    <s v="Enabling Environment"/>
    <s v="0711"/>
    <s v="Sustainably lower the costs of doing business "/>
    <s v="071103"/>
    <s v="Mobilize alternative financing sources to finance private investment "/>
    <s v="071103a"/>
    <s v="Deepen and widen the capital markets "/>
    <s v="071103a02"/>
    <s v="Increased participation in the financial markets "/>
    <m/>
    <m/>
    <m/>
    <m/>
    <m/>
    <m/>
    <m/>
    <m/>
    <e v="#N/A"/>
    <s v=" Implement financial market reforms including; Training of market participants, Sensitisation of the retail sector, Development of products specific to the retail market, e.g., mobile phone application for securities trading "/>
    <n v="0"/>
    <n v="0"/>
    <n v="0"/>
    <n v="0"/>
    <n v="0"/>
    <n v="0"/>
    <n v="0"/>
    <n v="0"/>
    <n v="0"/>
    <m/>
    <n v="0"/>
    <s v="                   - "/>
    <s v="                   - "/>
    <s v="                   - "/>
    <s v="                   - "/>
    <s v="                   - "/>
    <n v="0"/>
    <s v="BoU "/>
    <e v="#N/A"/>
    <s v="BoU, Capital Markets Authority, Uganda Securities Exchange"/>
  </r>
  <r>
    <x v="8"/>
    <x v="8"/>
    <s v="071"/>
    <s v="Enabling Environment"/>
    <s v="0711"/>
    <s v="Sustainably lower the costs of doing business "/>
    <s v="071103"/>
    <s v="Mobilize alternative financing sources to finance private investment "/>
    <s v="071103b"/>
    <s v="Strengthen the legal and regulatory frameworks for Private Equity and Venture Capital "/>
    <s v="071103b01"/>
    <s v="Legal and regulatory framework for Private Equity and Venture Capital strengthened  "/>
    <s v="Number of domestically registered Private Equity and Venture Capital Funds"/>
    <n v="0"/>
    <n v="0"/>
    <n v="2"/>
    <n v="2"/>
    <n v="2"/>
    <n v="2"/>
    <s v="CMA"/>
    <e v="#N/A"/>
    <s v=" Develop provisions under the licensing regulations for the registration of Private Equity Funds and Venture Capital Funds  "/>
    <n v="1"/>
    <n v="1"/>
    <n v="1"/>
    <n v="1"/>
    <n v="1"/>
    <n v="1"/>
    <n v="0"/>
    <n v="1"/>
    <n v="0.875"/>
    <m/>
    <n v="0"/>
    <n v="0.5"/>
    <n v="0.5"/>
    <n v="0.5"/>
    <n v="0.5"/>
    <s v="                   - "/>
    <n v="0.5"/>
    <s v="MoFPED (CMA)"/>
    <s v="008 Ministry of Finance, Planning &amp; Economic Dev."/>
    <s v="BoU, MoFPED, Uganda Securities Exchange"/>
  </r>
  <r>
    <x v="8"/>
    <x v="8"/>
    <s v="071"/>
    <s v="Enabling Environment"/>
    <s v="0711"/>
    <s v="Sustainably lower the costs of doing business "/>
    <s v="071103"/>
    <s v="Mobilize alternative financing sources to finance private investment "/>
    <s v="071103b"/>
    <s v="Strengthen the legal and regulatory frameworks for Private Equity and Venture Capital "/>
    <s v="071103b01"/>
    <s v="Legal and regulatory framework for Private Equity and Venture Capital strengthened  "/>
    <s v="Number of new investors resulting from the establishment of the special purpose vehicles/fund of funds"/>
    <n v="100"/>
    <n v="2500"/>
    <n v="2500"/>
    <n v="0"/>
    <n v="0"/>
    <n v="0"/>
    <s v="UDC"/>
    <s v="015 Ministry of Trade, Industry and Cooperatives"/>
    <s v=" Using a fund of funds approach, utilize existing investment management firms to become limited partners in investment vehicles that invest in mature firms seeking capital growth  "/>
    <n v="1"/>
    <n v="0"/>
    <n v="1"/>
    <n v="1"/>
    <n v="1"/>
    <n v="1"/>
    <n v="1"/>
    <n v="1"/>
    <n v="0.875"/>
    <m/>
    <n v="0"/>
    <s v="                   - "/>
    <n v="0.25"/>
    <n v="0.25"/>
    <n v="0.25"/>
    <n v="0.25"/>
    <n v="0.5"/>
    <s v="MoTIC (UDC)"/>
    <s v="015 Ministry of Trade, Industry and Cooperatives"/>
    <s v="CMA, MoFPED, MTIC"/>
  </r>
  <r>
    <x v="8"/>
    <x v="8"/>
    <s v="071"/>
    <s v="Enabling Environment"/>
    <s v="0711"/>
    <s v="Sustainably lower the costs of doing business "/>
    <s v="071103"/>
    <s v="Mobilize alternative financing sources to finance private investment "/>
    <s v="071103b"/>
    <s v="Strengthen the legal and regulatory frameworks for Private Equity and Venture Capital "/>
    <s v="071103b01"/>
    <s v="Legal and regulatory framework for Private Equity and Venture Capital strengthened  "/>
    <m/>
    <m/>
    <m/>
    <m/>
    <m/>
    <m/>
    <m/>
    <m/>
    <e v="#N/A"/>
    <s v=" Identify and advance financial policies and regulations that encourage start up innovation "/>
    <n v="0"/>
    <n v="0"/>
    <n v="0"/>
    <n v="0"/>
    <n v="0"/>
    <n v="0"/>
    <n v="0"/>
    <n v="0"/>
    <n v="0"/>
    <m/>
    <n v="0"/>
    <s v="                   - "/>
    <s v="                   - "/>
    <s v="                   - "/>
    <s v="                   - "/>
    <s v="                   - "/>
    <n v="0"/>
    <s v="UIA"/>
    <s v="310 Uganda Investment Authority (UIA)"/>
    <s v="N/A"/>
  </r>
  <r>
    <x v="8"/>
    <x v="8"/>
    <s v="071"/>
    <s v="Enabling Environment"/>
    <s v="0711"/>
    <s v="Sustainably lower the costs of doing business "/>
    <s v="071103"/>
    <s v="Mobilize alternative financing sources to finance private investment "/>
    <s v="071103b"/>
    <s v="Strengthen the legal and regulatory frameworks for Private Equity and Venture Capital "/>
    <s v="071103b02"/>
    <s v="Increased local firms’ Access to Venture and Private equity and support grants  "/>
    <s v="Top 100 SMEs for support to access Private Equity"/>
    <n v="0"/>
    <n v="5"/>
    <n v="5"/>
    <n v="5"/>
    <n v="5"/>
    <n v="5"/>
    <s v="MFPED"/>
    <e v="#N/A"/>
    <s v=" Review the investment code to support investments backed by SPVs, Joint  Venture Mergers &amp;acquisitions  and investments for green growth "/>
    <n v="1"/>
    <n v="0"/>
    <n v="1"/>
    <n v="1"/>
    <n v="0"/>
    <n v="0"/>
    <n v="1"/>
    <n v="1"/>
    <n v="0.625"/>
    <m/>
    <n v="0"/>
    <n v="0.2"/>
    <n v="0.1"/>
    <s v="                   - "/>
    <s v="                   - "/>
    <s v="                   - "/>
    <n v="0"/>
    <s v="MoFPED"/>
    <s v="008 Ministry of Finance, Planning &amp; Economic Dev."/>
    <s v="UIA, CMA"/>
  </r>
  <r>
    <x v="8"/>
    <x v="8"/>
    <s v="071"/>
    <s v="Enabling Environment"/>
    <s v="0711"/>
    <s v="Sustainably lower the costs of doing business "/>
    <s v="071103"/>
    <s v="Mobilize alternative financing sources to finance private investment "/>
    <s v="071103b"/>
    <s v="Strengthen the legal and regulatory frameworks for Private Equity and Venture Capital "/>
    <s v="071103b02"/>
    <s v="Increased local firms’ Access to Venture and Private equity and support grants  "/>
    <m/>
    <m/>
    <m/>
    <m/>
    <m/>
    <m/>
    <m/>
    <m/>
    <e v="#N/A"/>
    <s v=" Dissemination and popularisation of the new investment code to support investments by SPVs; "/>
    <n v="1"/>
    <n v="0"/>
    <n v="1"/>
    <n v="1"/>
    <n v="1"/>
    <n v="0"/>
    <n v="1"/>
    <n v="1"/>
    <n v="0.75"/>
    <m/>
    <n v="0"/>
    <s v="                   - "/>
    <n v="0"/>
    <n v="0.15"/>
    <n v="0.15"/>
    <n v="0.15"/>
    <n v="0.3"/>
    <s v="UIA"/>
    <s v="310 Uganda Investment Authority (UIA)"/>
    <s v="MoFPED, MTIC"/>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s v=" Number of measures undertaken to build private sector capacity access green financing and green growth response"/>
    <n v="0"/>
    <s v=" 4"/>
    <s v=" 2"/>
    <s v=" 2"/>
    <s v=" 2"/>
    <s v=" 1"/>
    <s v="MOFPED"/>
    <s v="008 Ministry of Finance, Planning &amp; Economic Dev."/>
    <s v=" Mobilise resources under the Global Environment Facility small grants programme to support private sector in undertaking biodiversity, land degradation and climate change related activities; "/>
    <n v="1"/>
    <n v="1"/>
    <n v="1"/>
    <n v="1"/>
    <n v="1"/>
    <n v="1"/>
    <n v="1"/>
    <n v="1"/>
    <n v="1"/>
    <n v="0"/>
    <n v="0"/>
    <n v="0.05"/>
    <n v="0.05"/>
    <n v="0.05"/>
    <n v="7.0000000000000007E-2"/>
    <n v="7.0000000000000007E-2"/>
    <n v="0.14000000000000001"/>
    <s v="MoFPED"/>
    <s v="008 Ministry of Finance, Planning &amp; Economic Dev."/>
    <s v="N/A"/>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m/>
    <m/>
    <m/>
    <m/>
    <m/>
    <m/>
    <m/>
    <m/>
    <e v="#N/A"/>
    <s v=" Build capacity of institutions to access funds from the Global Green environment facility; "/>
    <n v="1"/>
    <n v="1"/>
    <n v="1"/>
    <n v="1"/>
    <n v="1"/>
    <n v="1"/>
    <n v="0"/>
    <n v="1"/>
    <n v="0.875"/>
    <m/>
    <n v="0"/>
    <s v="                   - "/>
    <n v="0.1"/>
    <n v="0.1"/>
    <n v="0.1"/>
    <n v="0.1"/>
    <n v="0.2"/>
    <s v="MoFPED"/>
    <s v="008 Ministry of Finance, Planning &amp; Economic Dev."/>
    <s v="MDAs"/>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m/>
    <m/>
    <m/>
    <m/>
    <m/>
    <m/>
    <m/>
    <m/>
    <e v="#N/A"/>
    <s v=" Adopt protocols with Banks to report on their exposure to direct and indirect green finance; "/>
    <n v="1"/>
    <n v="0"/>
    <n v="0"/>
    <n v="1"/>
    <n v="1"/>
    <n v="1"/>
    <n v="0"/>
    <n v="1"/>
    <n v="0.625"/>
    <m/>
    <n v="0"/>
    <s v="                   - "/>
    <s v="                   - "/>
    <s v="                   - "/>
    <s v="                   - "/>
    <s v="                   - "/>
    <n v="0"/>
    <s v="MoFPED"/>
    <s v="008 Ministry of Finance, Planning &amp; Economic Dev."/>
    <s v="N/A"/>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m/>
    <m/>
    <m/>
    <m/>
    <m/>
    <m/>
    <m/>
    <m/>
    <e v="#N/A"/>
    <s v=" Conduct a feasibility study for establishing a publicly supported green refinancing revolving loan fund, focusing on uses such as biogas, solar assembly plants and energy-efficient brick kilns. "/>
    <n v="0"/>
    <n v="0"/>
    <n v="0"/>
    <n v="0"/>
    <n v="0"/>
    <n v="1"/>
    <n v="0"/>
    <n v="1"/>
    <n v="0.25"/>
    <m/>
    <n v="0"/>
    <s v="                   - "/>
    <s v="                   - "/>
    <s v="                   - "/>
    <s v="                   - "/>
    <s v="                   - "/>
    <n v="0"/>
    <s v="MoFPED"/>
    <s v="008 Ministry of Finance, Planning &amp; Economic Dev."/>
    <s v="N/A"/>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m/>
    <m/>
    <m/>
    <m/>
    <m/>
    <m/>
    <m/>
    <m/>
    <e v="#N/A"/>
    <s v=" Popularize the integration of Green financing and green growth responses in the implementation of policies and regulations for sustainable trade, industrialization, and co-operative development. "/>
    <n v="0"/>
    <n v="0"/>
    <n v="0"/>
    <n v="0"/>
    <n v="0"/>
    <n v="0"/>
    <n v="0"/>
    <n v="0"/>
    <n v="0"/>
    <m/>
    <n v="0"/>
    <s v="                   - "/>
    <s v="                   - "/>
    <s v="                   - "/>
    <s v="                   - "/>
    <s v="                   - "/>
    <n v="0"/>
    <s v="MoFPED"/>
    <s v="008 Ministry of Finance, Planning &amp; Economic Dev."/>
    <s v="N/A"/>
  </r>
  <r>
    <x v="8"/>
    <x v="8"/>
    <s v="071"/>
    <s v="Enabling Environment"/>
    <s v="0711"/>
    <s v="Sustainably lower the costs of doing business "/>
    <s v="071103"/>
    <s v="Mobilize alternative financing sources to finance private investment "/>
    <s v="071103c"/>
    <s v="Build private sector capacity to access green financing and green growth response "/>
    <s v="071103c01"/>
    <s v="Resources mobilised from the Global Environment Facility to support private sector  "/>
    <m/>
    <m/>
    <m/>
    <m/>
    <m/>
    <m/>
    <m/>
    <m/>
    <e v="#N/A"/>
    <s v=" Instituting measures that enhance private sector capacity to access green growth response financing "/>
    <n v="0"/>
    <n v="0"/>
    <n v="0"/>
    <n v="0"/>
    <n v="0"/>
    <n v="0"/>
    <n v="0"/>
    <n v="0"/>
    <n v="0"/>
    <m/>
    <n v="0"/>
    <s v="                   - "/>
    <s v="                   - "/>
    <s v="                   - "/>
    <s v="                   - "/>
    <s v="                   - "/>
    <n v="0"/>
    <s v="MoFPED"/>
    <s v="008 Ministry of Finance, Planning &amp; Economic Dev."/>
    <s v="N/A"/>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s v="Number of warehouses licensed under the UWRSA"/>
    <n v="0"/>
    <n v="20"/>
    <n v="32"/>
    <n v="51"/>
    <n v="92"/>
    <m/>
    <s v="UWRSA"/>
    <s v="010 Ministry of Agriculture, Animal &amp; Fisheries"/>
    <s v=" License additional ware houses "/>
    <n v="1"/>
    <n v="1"/>
    <n v="1"/>
    <n v="1"/>
    <n v="1"/>
    <n v="1"/>
    <n v="1"/>
    <n v="1"/>
    <n v="1"/>
    <m/>
    <n v="0"/>
    <n v="1.0900000000000001"/>
    <n v="1.0900000000000001"/>
    <n v="1.23"/>
    <n v="1"/>
    <n v="1.36"/>
    <n v="2.3600000000000003"/>
    <s v="MoTIC"/>
    <s v="015 Ministry of Trade, Industry and Cooperatives"/>
    <s v="UWRSA, URA, Uganda Commodities Exchange (UCE)"/>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s v="Number of warehouse receipts generated at warehouses"/>
    <n v="0"/>
    <n v="10000"/>
    <n v="17000"/>
    <n v="28900"/>
    <n v="49130"/>
    <m/>
    <s v="MoTIC"/>
    <s v="015 Ministry of Trade, Industry and Cooperatives"/>
    <s v="Build capacity at UWRSA "/>
    <n v="0"/>
    <n v="1"/>
    <n v="1"/>
    <n v="1"/>
    <n v="1"/>
    <n v="1"/>
    <n v="1"/>
    <n v="1"/>
    <n v="0.875"/>
    <m/>
    <n v="0"/>
    <n v="2"/>
    <n v="3"/>
    <n v="4"/>
    <n v="2"/>
    <n v="4"/>
    <n v="6"/>
    <s v="MoTIC"/>
    <s v="015 Ministry of Trade, Industry and Cooperatives"/>
    <s v="UWRSA"/>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s v="Number of green growth investments supported across the 4 Priority Programme Areas-Tourism, Agro-industrialization, Sustainable Energy Development, Infrastructure and Transport"/>
    <n v="0"/>
    <n v="2"/>
    <n v="2"/>
    <n v="3"/>
    <n v="4"/>
    <n v="5"/>
    <s v="UWRSA"/>
    <s v="010 Ministry of Agriculture, Animal &amp; Fisheries"/>
    <s v="Provide training to stakeholders on warehouse receipting system. "/>
    <n v="1"/>
    <n v="0"/>
    <n v="1"/>
    <n v="1"/>
    <n v="1"/>
    <n v="1"/>
    <n v="1"/>
    <n v="1"/>
    <n v="0.875"/>
    <m/>
    <n v="0"/>
    <n v="1.5"/>
    <n v="2.5"/>
    <n v="3"/>
    <n v="0.5"/>
    <n v="2.5"/>
    <n v="3"/>
    <s v="MoTIC (UWRSA)"/>
    <s v="015 Ministry of Trade, Industry and Cooperatives"/>
    <s v="MoTIC, Uganda Commodities Exchange (UCE)"/>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s v="Proportion of Customs Warehouse connected to the online system"/>
    <n v="0"/>
    <n v="5"/>
    <n v="5"/>
    <n v="10"/>
    <n v="15"/>
    <n v="20"/>
    <s v="URA"/>
    <s v="141 Uganda Revenue Authority"/>
    <s v=" Integrate the warehousing receipt system with Electronic Fiscal Receipt and Invoicing Solution (EFRIS) "/>
    <n v="1"/>
    <n v="0"/>
    <n v="0"/>
    <n v="1"/>
    <n v="1"/>
    <n v="0"/>
    <n v="0"/>
    <n v="1"/>
    <n v="0.5"/>
    <m/>
    <n v="0"/>
    <s v="                   - "/>
    <s v="                   - "/>
    <s v="                   - "/>
    <s v="                   - "/>
    <s v="                   - "/>
    <n v="0"/>
    <s v="URA"/>
    <s v="141 Uganda Revenue Authority"/>
    <s v="N/A"/>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s v=" Proportion of warehouses complying with URA controls, %"/>
    <n v="10"/>
    <n v="10"/>
    <n v="40"/>
    <n v="60"/>
    <n v="80"/>
    <n v="100"/>
    <s v="URA"/>
    <s v="141 Uganda Revenue Authority"/>
    <s v=" Carry out taxpayer visits to constantly monitor them on the use of E-invoices "/>
    <n v="0"/>
    <n v="0"/>
    <n v="0"/>
    <n v="0"/>
    <n v="0"/>
    <n v="0"/>
    <n v="0"/>
    <n v="0"/>
    <n v="0"/>
    <m/>
    <n v="0"/>
    <s v="                   - "/>
    <s v="                   - "/>
    <s v="                   - "/>
    <s v="                   - "/>
    <s v="                   - "/>
    <n v="0"/>
    <s v="URA"/>
    <s v="141 Uganda Revenue Authority"/>
    <s v="N/A"/>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m/>
    <m/>
    <m/>
    <m/>
    <m/>
    <m/>
    <m/>
    <m/>
    <e v="#N/A"/>
    <s v="Implement the DRMS compliance continuum initiatives "/>
    <n v="1"/>
    <n v="1"/>
    <n v="0"/>
    <n v="1"/>
    <n v="1"/>
    <n v="1"/>
    <n v="1"/>
    <n v="1"/>
    <n v="0.875"/>
    <m/>
    <n v="0"/>
    <s v="                   - "/>
    <s v="                   - "/>
    <s v="                   - "/>
    <s v="                   - "/>
    <s v="                   - "/>
    <n v="0"/>
    <s v="URA"/>
    <s v="141 Uganda Revenue Authority"/>
    <s v="N/A"/>
  </r>
  <r>
    <x v="8"/>
    <x v="8"/>
    <s v="071"/>
    <s v="Enabling Environment"/>
    <s v="0711"/>
    <s v="Sustainably lower the costs of doing business "/>
    <s v="071104"/>
    <s v="Address non-financial factors (power, transport, business processes etc.) leading to high costs of doing business "/>
    <m/>
    <m/>
    <s v="07110401"/>
    <s v="Warehouse receipt system strengthened "/>
    <m/>
    <m/>
    <m/>
    <m/>
    <m/>
    <m/>
    <m/>
    <m/>
    <e v="#N/A"/>
    <s v="Enhance URA Warehousing Controls "/>
    <n v="1"/>
    <n v="0"/>
    <n v="1"/>
    <n v="1"/>
    <n v="1"/>
    <n v="0"/>
    <n v="1"/>
    <n v="1"/>
    <n v="0.75"/>
    <m/>
    <n v="0"/>
    <s v="                   - "/>
    <n v="1"/>
    <n v="1"/>
    <n v="1"/>
    <n v="1"/>
    <n v="2"/>
    <s v="URA"/>
    <s v="141 Uganda Revenue Authority"/>
    <s v="PSFU, UWRSA, UMA"/>
  </r>
  <r>
    <x v="8"/>
    <x v="8"/>
    <s v="071"/>
    <s v="Enabling Environment"/>
    <s v="0711"/>
    <s v="Sustainably lower the costs of doing business "/>
    <s v="071104"/>
    <s v="Address non-financial factors (power, transport, business processes etc.) leading to high costs of doing business "/>
    <m/>
    <m/>
    <s v="07110402"/>
    <s v="Private firm transacting using ICT increased "/>
    <s v="Proportion of private firm transacting using ICT, %"/>
    <n v="10500"/>
    <n v="25"/>
    <n v="25"/>
    <n v="25"/>
    <n v="25"/>
    <n v="25"/>
    <s v="UIA, MoICT"/>
    <e v="#N/A"/>
    <s v="Invest in new and improve existing ICT infrastructure  "/>
    <n v="0"/>
    <n v="0"/>
    <n v="0"/>
    <n v="0"/>
    <n v="0"/>
    <n v="0"/>
    <n v="0"/>
    <n v="0"/>
    <n v="0"/>
    <m/>
    <n v="0"/>
    <n v="0.81"/>
    <n v="0.81"/>
    <n v="0.91"/>
    <n v="0"/>
    <n v="0"/>
    <n v="0"/>
    <s v="NITA-U"/>
    <s v="126 National Information Technology Authority"/>
    <s v="MoICT&amp;NG"/>
  </r>
  <r>
    <x v="8"/>
    <x v="8"/>
    <s v="071"/>
    <s v="Enabling Environment"/>
    <s v="0711"/>
    <s v="Sustainably lower the costs of doing business "/>
    <s v="071104"/>
    <s v="Address non-financial factors (power, transport, business processes etc.) leading to high costs of doing business "/>
    <m/>
    <m/>
    <s v="07110402"/>
    <s v="Private firm transacting using ICT increased "/>
    <m/>
    <m/>
    <m/>
    <m/>
    <m/>
    <m/>
    <m/>
    <m/>
    <e v="#N/A"/>
    <s v=" Develop investment clusters along the NDP III growth triangle/corridors for value addition "/>
    <n v="1"/>
    <n v="1"/>
    <n v="1"/>
    <n v="1"/>
    <n v="1"/>
    <n v="1"/>
    <n v="1"/>
    <n v="1"/>
    <n v="1"/>
    <m/>
    <n v="0"/>
    <n v="0.1"/>
    <n v="0.1"/>
    <n v="0.1"/>
    <n v="0.1"/>
    <n v="0.1"/>
    <n v="0.2"/>
    <s v="UIA"/>
    <s v="310 Uganda Investment Authority (UIA)"/>
    <s v="MoFPED, MTIC, UDC"/>
  </r>
  <r>
    <x v="8"/>
    <x v="8"/>
    <s v="071"/>
    <s v="Enabling Environment"/>
    <s v="0711"/>
    <s v="Sustainably lower the costs of doing business "/>
    <s v="071104"/>
    <s v="Address non-financial factors (power, transport, business processes etc.) leading to high costs of doing business "/>
    <m/>
    <m/>
    <s v="07110402"/>
    <s v="Private firm transacting using ICT increased "/>
    <m/>
    <m/>
    <m/>
    <m/>
    <m/>
    <m/>
    <m/>
    <m/>
    <e v="#N/A"/>
    <s v="Implement the Electronic Fiscal Receipt and Invoices (EFRIS)  "/>
    <n v="0"/>
    <n v="0"/>
    <n v="0"/>
    <n v="0"/>
    <n v="0"/>
    <n v="0"/>
    <n v="0"/>
    <n v="0"/>
    <n v="0"/>
    <m/>
    <n v="0"/>
    <s v="                   - "/>
    <n v="4.74"/>
    <n v="4.74"/>
    <n v="0"/>
    <n v="0"/>
    <n v="0"/>
    <s v="URA"/>
    <s v="141 Uganda Revenue Authority"/>
    <s v="MoFPED, PSFU"/>
  </r>
  <r>
    <x v="8"/>
    <x v="8"/>
    <s v="071"/>
    <s v="Enabling Environment"/>
    <s v="0711"/>
    <s v="Sustainably lower the costs of doing business "/>
    <s v="071104"/>
    <s v="Address non-financial factors (power, transport, business processes etc.) leading to high costs of doing business "/>
    <m/>
    <m/>
    <s v="07110402"/>
    <s v="Private firm transacting using ICT increased "/>
    <m/>
    <m/>
    <m/>
    <m/>
    <m/>
    <m/>
    <m/>
    <m/>
    <e v="#N/A"/>
    <s v=" Digital Tax Stamps  (DTS)  "/>
    <n v="0"/>
    <n v="0"/>
    <n v="0"/>
    <n v="0"/>
    <n v="0"/>
    <n v="0"/>
    <n v="0"/>
    <n v="0"/>
    <n v="0"/>
    <m/>
    <n v="0"/>
    <n v="0"/>
    <n v="1.18"/>
    <n v="1.18"/>
    <n v="0"/>
    <n v="0"/>
    <n v="0"/>
    <s v="URA"/>
    <s v="141 Uganda Revenue Authority"/>
    <s v="UMA, PSFU"/>
  </r>
  <r>
    <x v="8"/>
    <x v="8"/>
    <s v="071"/>
    <s v="Enabling Environment"/>
    <s v="0711"/>
    <s v="Sustainably lower the costs of doing business "/>
    <s v="071104"/>
    <s v="Address non-financial factors (power, transport, business processes etc.) leading to high costs of doing business "/>
    <m/>
    <m/>
    <s v="07110403"/>
    <s v="Regional network of OSCs for business processes and licensing implemented "/>
    <s v="Number &amp; functionality of One-Stop Centers "/>
    <n v="0"/>
    <n v="2"/>
    <n v="2"/>
    <n v="1"/>
    <n v="1"/>
    <n v="1"/>
    <s v="UIA"/>
    <s v="310 Uganda Investment Authority (UIA)"/>
    <s v=" Continuous review and re-engineering of key business processes for investment and licensing "/>
    <n v="1"/>
    <n v="1"/>
    <n v="0"/>
    <n v="1"/>
    <n v="1"/>
    <n v="1"/>
    <n v="1"/>
    <n v="1"/>
    <n v="0.875"/>
    <m/>
    <n v="0"/>
    <n v="0.4"/>
    <n v="0.4"/>
    <n v="0.4"/>
    <n v="0.4"/>
    <n v="0.4"/>
    <n v="0.8"/>
    <s v="UIA"/>
    <s v="310 Uganda Investment Authority (UIA)"/>
    <s v="MoFPED, URSB"/>
  </r>
  <r>
    <x v="8"/>
    <x v="8"/>
    <s v="071"/>
    <s v="Enabling Environment"/>
    <s v="0711"/>
    <s v="Sustainably lower the costs of doing business "/>
    <s v="071104"/>
    <s v="Address non-financial factors (power, transport, business processes etc.) leading to high costs of doing business "/>
    <m/>
    <m/>
    <s v="07110403"/>
    <s v="Regional network of OSCs for business processes and licensing implemented "/>
    <m/>
    <m/>
    <m/>
    <m/>
    <m/>
    <m/>
    <m/>
    <m/>
    <e v="#N/A"/>
    <s v=" Automation of key government business processes for investment and licensing "/>
    <n v="1"/>
    <n v="1"/>
    <n v="1"/>
    <n v="1"/>
    <n v="1"/>
    <n v="1"/>
    <n v="1"/>
    <n v="1"/>
    <n v="1"/>
    <m/>
    <n v="0"/>
    <n v="2.2999999999999998"/>
    <n v="2.2999999999999998"/>
    <n v="2.2999999999999998"/>
    <n v="1"/>
    <n v="1"/>
    <n v="2"/>
    <s v="UIA"/>
    <s v="310 Uganda Investment Authority (UIA)"/>
    <s v="NITA-U, MoICT&amp;NG"/>
  </r>
  <r>
    <x v="8"/>
    <x v="8"/>
    <s v="071"/>
    <s v="Enabling Environment"/>
    <s v="0711"/>
    <s v="Sustainably lower the costs of doing business "/>
    <s v="071104"/>
    <s v="Address non-financial factors (power, transport, business processes etc.) leading to high costs of doing business "/>
    <m/>
    <m/>
    <s v="07110403"/>
    <s v="Regional network of OSCs for business processes and licensing implemented "/>
    <m/>
    <m/>
    <m/>
    <m/>
    <m/>
    <m/>
    <m/>
    <m/>
    <e v="#N/A"/>
    <s v=" Undertake competitiveness studies to identify bottlenecks and policy issues "/>
    <n v="1"/>
    <n v="0"/>
    <n v="0"/>
    <n v="1"/>
    <n v="1"/>
    <n v="1"/>
    <n v="1"/>
    <n v="1"/>
    <n v="0.75"/>
    <m/>
    <n v="0"/>
    <n v="0.5"/>
    <n v="0.5"/>
    <n v="0.5"/>
    <n v="0.5"/>
    <n v="0.5"/>
    <n v="1"/>
    <s v="UIA"/>
    <s v="310 Uganda Investment Authority (UIA)"/>
    <s v="EPRC, NPA, MoFPED"/>
  </r>
  <r>
    <x v="8"/>
    <x v="8"/>
    <s v="071"/>
    <s v="Enabling Environment"/>
    <s v="0711"/>
    <s v="Sustainably lower the costs of doing business "/>
    <s v="071104"/>
    <s v="Address non-financial factors (power, transport, business processes etc.) leading to high costs of doing business "/>
    <m/>
    <m/>
    <s v="07110403"/>
    <s v="Regional network of OSCs for business processes and licensing implemented "/>
    <m/>
    <m/>
    <m/>
    <m/>
    <m/>
    <m/>
    <m/>
    <m/>
    <e v="#N/A"/>
    <s v=" Establishment (construct) Regional OSCs  starting with Mbale, Mbarara, Gulu, Arua "/>
    <n v="1"/>
    <n v="1"/>
    <n v="1"/>
    <n v="1"/>
    <n v="1"/>
    <n v="1"/>
    <n v="1"/>
    <n v="1"/>
    <n v="1"/>
    <m/>
    <n v="0"/>
    <n v="3"/>
    <n v="2"/>
    <n v="1"/>
    <n v="1"/>
    <n v="1"/>
    <n v="2"/>
    <s v="UIA"/>
    <s v="310 Uganda Investment Authority (UIA)"/>
    <s v="URSB, MoWT"/>
  </r>
  <r>
    <x v="8"/>
    <x v="8"/>
    <s v="071"/>
    <s v="Enabling Environment"/>
    <s v="0711"/>
    <s v="Sustainably lower the costs of doing business "/>
    <s v="071104"/>
    <s v="Address non-financial factors (power, transport, business processes etc.) leading to high costs of doing business "/>
    <m/>
    <m/>
    <s v="07110404"/>
    <s v="Industrial Parks and Free trade zones connected to electricity "/>
    <s v="No. of Industrial Parks and free Trade zones connected to the national grid"/>
    <s v=" 4"/>
    <s v=" 4"/>
    <s v=" 4"/>
    <s v=" 5"/>
    <s v=" 6"/>
    <s v=" 9"/>
    <s v="UIA"/>
    <s v="310 Uganda Investment Authority (UIA)"/>
    <s v=" Expand the Electricity Transmission Grid to Industrial Parks and Free Trade zones "/>
    <n v="0"/>
    <n v="0"/>
    <n v="0"/>
    <n v="0"/>
    <n v="0"/>
    <n v="0"/>
    <n v="0"/>
    <n v="0"/>
    <n v="0"/>
    <m/>
    <n v="0"/>
    <n v="0"/>
    <n v="0"/>
    <n v="0"/>
    <n v="0"/>
    <n v="0"/>
    <n v="0"/>
    <s v="MEMD"/>
    <s v="017 Ministry of Energy and Mineral Development"/>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s v="Number of functional BDS centres"/>
    <n v="1"/>
    <n v="2"/>
    <n v="2"/>
    <n v="1"/>
    <n v="1"/>
    <n v="1"/>
    <s v="UIA"/>
    <s v="310 Uganda Investment Authority (UIA)"/>
    <s v=" BDSs provided with analysed national and international market information for rational enterprise decision-making in prioritized growth activities "/>
    <n v="1"/>
    <n v="1"/>
    <n v="1"/>
    <n v="1"/>
    <n v="1"/>
    <n v="1"/>
    <n v="1"/>
    <n v="0"/>
    <n v="0.875"/>
    <m/>
    <n v="0"/>
    <n v="0.2"/>
    <n v="0.2"/>
    <n v="0.2"/>
    <n v="0.2"/>
    <n v="0.2"/>
    <n v="0.4"/>
    <s v="MoTIC"/>
    <s v="015 Ministry of Trade, Industry and Cooperatives"/>
    <s v="UIA, Enterprise Ugand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s v="No. of Regional Business Development Service Centres established"/>
    <n v="0"/>
    <n v="3"/>
    <n v="2"/>
    <n v="2"/>
    <n v="2"/>
    <n v="2"/>
    <s v="MoTIC"/>
    <s v="015 Ministry of Trade, Industry and Cooperatives"/>
    <s v=" Review and generate a functional SME data base to enable delivery of BDS as well as profiling servicing of Youth and SMEs "/>
    <n v="1"/>
    <n v="0"/>
    <n v="0"/>
    <n v="1"/>
    <n v="1"/>
    <n v="0"/>
    <n v="1"/>
    <n v="1"/>
    <n v="0.625"/>
    <n v="0"/>
    <n v="0"/>
    <n v="1.5"/>
    <n v="0.2"/>
    <n v="0.2"/>
    <n v="0"/>
    <n v="0"/>
    <n v="0"/>
    <s v="UIA"/>
    <s v="310 Uganda Investment Authority (UIA)"/>
    <s v="MTIC, Enterprise Uganda, MoGLSD"/>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s v="Number of clients served by the Regional Business Development Service Centres"/>
    <n v="0"/>
    <n v="500"/>
    <n v="1000"/>
    <n v="1500"/>
    <n v="2000"/>
    <n v="2500"/>
    <s v="UIA"/>
    <s v="310 Uganda Investment Authority (UIA)"/>
    <s v=" Establishing and operationalise Regional Business Development Service Centres to provide services massively "/>
    <n v="1"/>
    <n v="1"/>
    <n v="1"/>
    <n v="1"/>
    <n v="1"/>
    <n v="1"/>
    <n v="1"/>
    <n v="1"/>
    <n v="1"/>
    <m/>
    <n v="0"/>
    <n v="2.4"/>
    <n v="2.4"/>
    <n v="2.4"/>
    <n v="2.4"/>
    <n v="2.4"/>
    <n v="4.8"/>
    <s v="UIA"/>
    <s v="310 Uganda Investment Authority (UIA)"/>
    <s v="MTIC, LG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s v="Number of SMEs facilitated in BDS"/>
    <m/>
    <n v="100"/>
    <n v="200"/>
    <n v="250"/>
    <n v="400"/>
    <n v="500"/>
    <s v="MoTIC"/>
    <s v="015 Ministry of Trade, Industry and Cooperatives"/>
    <s v="  Formulate and Coordinate the National Business Development Services Strategy to support enterprise growth and development "/>
    <n v="0"/>
    <n v="0"/>
    <n v="0"/>
    <n v="0"/>
    <n v="0"/>
    <n v="0"/>
    <n v="0"/>
    <n v="0"/>
    <n v="0"/>
    <m/>
    <n v="0"/>
    <s v="                   - "/>
    <s v="                   - "/>
    <s v="                   - "/>
    <s v="                   - "/>
    <s v="                   - "/>
    <n v="0"/>
    <s v="MoFPED"/>
    <s v="008 Ministry of Finance, Planning &amp; Economic Dev."/>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s v="Number of Youth served through the Interactive SME Web-based System"/>
    <n v="549"/>
    <n v="1000"/>
    <n v="1500"/>
    <n v="2000"/>
    <n v="2500"/>
    <n v="3000"/>
    <s v="Enterprise Uganda"/>
    <e v="#N/A"/>
    <s v=" Developed mechanisms to incentivize businesses that have been formalized and have complied with conditions precedent "/>
    <n v="1"/>
    <n v="1"/>
    <n v="0"/>
    <n v="1"/>
    <n v="1"/>
    <n v="1"/>
    <n v="1"/>
    <n v="1"/>
    <n v="0.875"/>
    <m/>
    <n v="0"/>
    <s v="                   - "/>
    <s v="                   - "/>
    <s v="                   - "/>
    <s v="                   - "/>
    <s v="                   - "/>
    <n v="0"/>
    <s v="URSB"/>
    <s v="119 Uganda Registration Services Bureau"/>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Conduct a needs assessment and Identification of Jua-Kalis and harmonize all support to them. "/>
    <n v="1"/>
    <n v="1"/>
    <n v="1"/>
    <n v="1"/>
    <n v="1"/>
    <n v="1"/>
    <n v="1"/>
    <n v="1"/>
    <n v="1"/>
    <m/>
    <n v="0"/>
    <s v="                   - "/>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Increase funding and support to youth and women businesses initiatives through the YLP and UWEP "/>
    <n v="1"/>
    <n v="1"/>
    <n v="1"/>
    <n v="1"/>
    <n v="0"/>
    <n v="1"/>
    <n v="1"/>
    <n v="0"/>
    <n v="0.75"/>
    <m/>
    <n v="0"/>
    <n v="20"/>
    <n v="20"/>
    <n v="20"/>
    <n v="10"/>
    <n v="10"/>
    <n v="20"/>
    <s v="MoGLSD"/>
    <s v="018 Ministry of Gender, Labour and Social Development"/>
    <s v="MoFPED, OWC, LG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Undertake Youth and SME BDS "/>
    <n v="1"/>
    <n v="1"/>
    <n v="1"/>
    <n v="1"/>
    <n v="0"/>
    <n v="1"/>
    <n v="1"/>
    <n v="0"/>
    <n v="0.75"/>
    <m/>
    <n v="0"/>
    <s v="                   - "/>
    <n v="0"/>
    <s v="                   - "/>
    <s v="                   - "/>
    <s v="                   - "/>
    <n v="0"/>
    <s v="MoFPED"/>
    <s v="008 Ministry of Finance, Planning &amp; Economic Dev."/>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Promote functional adult literacy through providing training in basic literacy and numeracy skills "/>
    <n v="1"/>
    <n v="1"/>
    <n v="1"/>
    <n v="1"/>
    <n v="1"/>
    <n v="1"/>
    <n v="1"/>
    <n v="1"/>
    <n v="1"/>
    <m/>
    <n v="0"/>
    <n v="0.2"/>
    <n v="2"/>
    <n v="2"/>
    <n v="0"/>
    <n v="0"/>
    <n v="0"/>
    <s v="MoGLSD"/>
    <s v="018 Ministry of Gender, Labour and Social Development"/>
    <s v="MoLG, LG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Strengthen Business rescue services, continuity and sustainability  "/>
    <n v="1"/>
    <n v="1"/>
    <n v="1"/>
    <n v="1"/>
    <n v="1"/>
    <n v="1"/>
    <n v="0"/>
    <n v="1"/>
    <n v="0.875"/>
    <n v="0"/>
    <n v="0"/>
    <n v="0.06"/>
    <n v="0.27"/>
    <n v="0.17"/>
    <n v="0.17"/>
    <n v="0.17"/>
    <n v="0.34"/>
    <s v="URSB"/>
    <s v="119 Uganda Registration Services Bureau"/>
    <s v="MoJICA,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Increase capacity of the PSD programme stakeholders to deliver researched solutions and products for MSMEs adoption "/>
    <n v="1"/>
    <n v="1"/>
    <n v="0"/>
    <n v="1"/>
    <n v="0"/>
    <n v="0"/>
    <n v="0"/>
    <n v="0"/>
    <n v="0.375"/>
    <m/>
    <n v="0"/>
    <s v="                   - "/>
    <s v="                   - "/>
    <s v="                   - "/>
    <s v="                   - "/>
    <s v="                   - "/>
    <n v="0"/>
    <s v="MoFPED"/>
    <s v="008 Ministry of Finance, Planning &amp; Economic Dev."/>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Deliver Business Development Services to MSMEs "/>
    <n v="1"/>
    <n v="1"/>
    <n v="1"/>
    <n v="1"/>
    <n v="1"/>
    <n v="1"/>
    <n v="1"/>
    <n v="1"/>
    <n v="1"/>
    <m/>
    <n v="0"/>
    <n v="0.5"/>
    <n v="0.5"/>
    <n v="0.5"/>
    <n v="0.5"/>
    <n v="0.5"/>
    <n v="1"/>
    <s v="MoFPED (Enterprise Uganda)"/>
    <s v="008 Ministry of Finance, Planning &amp; Economic Dev."/>
    <s v="UIA, PSFU, MoFPED"/>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Provision of support to peer to peer learning of new developments around manufacturing "/>
    <n v="1"/>
    <n v="1"/>
    <n v="1"/>
    <n v="1"/>
    <n v="1"/>
    <n v="1"/>
    <n v="1"/>
    <n v="1"/>
    <n v="1"/>
    <n v="0"/>
    <n v="0"/>
    <s v="                   - "/>
    <n v="0.5"/>
    <n v="0.5"/>
    <n v="0.5"/>
    <n v="0.5"/>
    <n v="1"/>
    <s v="UIA"/>
    <s v="310 Uganda Investment Authority (UIA)"/>
    <s v="UMA,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1"/>
    <s v="Clients’ Business continuity and sustainability Strengthened"/>
    <m/>
    <m/>
    <m/>
    <m/>
    <m/>
    <m/>
    <m/>
    <m/>
    <e v="#N/A"/>
    <s v=" Facilitate Jua-kalis business start-up with toolkits "/>
    <n v="1"/>
    <n v="1"/>
    <n v="1"/>
    <n v="1"/>
    <n v="1"/>
    <n v="1"/>
    <n v="1"/>
    <n v="1"/>
    <n v="1"/>
    <m/>
    <n v="0"/>
    <s v="                   - "/>
    <n v="0.5"/>
    <n v="1"/>
    <n v="1"/>
    <n v="1"/>
    <n v="2"/>
    <s v="UIA"/>
    <s v="310 Uganda Investment Authority (UIA)"/>
    <s v="UMA, PSFU"/>
  </r>
  <r>
    <x v="8"/>
    <x v="8"/>
    <s v="072"/>
    <s v="Strengthening 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a"/>
    <s v="Strengthen Business Development Services centres  "/>
    <s v="072201a02"/>
    <s v="Bilateral agreements entered"/>
    <s v="No. of Bilateral engagements "/>
    <m/>
    <n v="6"/>
    <n v="6"/>
    <n v="8"/>
    <n v="10"/>
    <n v="12"/>
    <s v="MEACA"/>
    <s v="021 Ministry of East African Community Affairs Uganda"/>
    <s v="Coordinate Bilarateral arragements for uganda with the rest of the EAC Partner states"/>
    <n v="1"/>
    <n v="1"/>
    <n v="1"/>
    <n v="1"/>
    <n v="1"/>
    <n v="1"/>
    <n v="1"/>
    <n v="1"/>
    <n v="1"/>
    <n v="0"/>
    <n v="0"/>
    <n v="2.5"/>
    <n v="3"/>
    <n v="3.5"/>
    <n v="3"/>
    <n v="3"/>
    <n v="6"/>
    <s v="MEACA"/>
    <s v="021 East African Community"/>
    <m/>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b"/>
    <s v="Establish Business Development Services framework  "/>
    <s v="072201b01"/>
    <s v="Business Development Services framework established "/>
    <s v="Business Development Services framework"/>
    <n v="0"/>
    <n v="0"/>
    <n v="1"/>
    <n v="0"/>
    <n v="0"/>
    <n v="0"/>
    <s v="MoTIC"/>
    <s v="015 Ministry of Trade, Industry and Cooperatives"/>
    <s v=" Developing a BDS Policy "/>
    <n v="1"/>
    <n v="1"/>
    <n v="1"/>
    <n v="1"/>
    <n v="0"/>
    <n v="1"/>
    <n v="1"/>
    <n v="0"/>
    <n v="0.75"/>
    <m/>
    <n v="0"/>
    <n v="0"/>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b"/>
    <s v="Establish Business Development Services framework  "/>
    <s v="072201b01"/>
    <s v="Business Development Services framework established "/>
    <s v="SME specific Business Development Service Framework"/>
    <n v="0"/>
    <n v="0"/>
    <n v="1"/>
    <n v="0"/>
    <n v="0"/>
    <n v="0"/>
    <s v="UIA"/>
    <s v="310 Uganda Investment Authority (UIA)"/>
    <s v=" Developing, adoption and implementation of the National BDS Framework including SME specific BDSframework "/>
    <n v="1"/>
    <n v="1"/>
    <n v="1"/>
    <n v="1"/>
    <n v="1"/>
    <n v="1"/>
    <n v="1"/>
    <n v="1"/>
    <n v="1"/>
    <m/>
    <n v="0"/>
    <n v="0"/>
    <n v="0"/>
    <n v="0"/>
    <n v="0"/>
    <n v="0"/>
    <n v="0"/>
    <s v="MoFPED (Enterprise Uganda)"/>
    <s v="008 Ministry of Finance, Planning &amp; Economic Dev."/>
    <s v="UI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s v="Number of functional industry associations in place"/>
    <m/>
    <s v=" 15"/>
    <n v="20"/>
    <s v=" 15"/>
    <s v=" 15"/>
    <s v=" 15"/>
    <s v="MoTIC"/>
    <s v="015 Ministry of Trade, Industry and Cooperatives"/>
    <s v=" Assessing capacities of Associations and enterprises "/>
    <n v="1"/>
    <n v="1"/>
    <n v="0"/>
    <n v="1"/>
    <n v="1"/>
    <n v="1"/>
    <n v="0"/>
    <n v="1"/>
    <n v="0.75"/>
    <m/>
    <n v="0"/>
    <n v="0.95"/>
    <n v="0.95"/>
    <n v="0.95"/>
    <n v="0"/>
    <n v="0"/>
    <n v="0"/>
    <s v="MoTIC"/>
    <s v="015 Ministry of Trade, Industry and Cooperatives"/>
    <s v="PSFU, UNCCI, CSOs, Farmers Association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s v="Number of firms registered as members of GSI Uganda"/>
    <n v="30"/>
    <n v="200"/>
    <n v="400"/>
    <n v="600"/>
    <n v="800"/>
    <n v="1000"/>
    <s v="MoTIC"/>
    <s v="015 Ministry of Trade, Industry and Cooperatives"/>
    <s v=" Support the provision of value addition/COMMON USER facilities for associations / cooperatives "/>
    <n v="1"/>
    <n v="1"/>
    <n v="1"/>
    <n v="1"/>
    <n v="1"/>
    <n v="1"/>
    <n v="1"/>
    <n v="0"/>
    <n v="0.875"/>
    <m/>
    <n v="0"/>
    <s v="                   - "/>
    <n v="4"/>
    <n v="4"/>
    <n v="2"/>
    <n v="2"/>
    <n v="4"/>
    <s v="URA"/>
    <s v="141 Uganda Revenue Authority"/>
    <s v="MoTIC, UI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s v="Proportion of members of trade unions in the tax register"/>
    <n v="10"/>
    <n v="0.1"/>
    <n v="0.15"/>
    <n v="0.2"/>
    <n v="0.22"/>
    <n v="0.28000000000000003"/>
    <s v="URA"/>
    <s v="141 Uganda Revenue Authority"/>
    <s v=" Strengthening mechanisms for public, private dialogue especially to include small scale industries "/>
    <n v="1"/>
    <n v="1"/>
    <n v="0"/>
    <n v="1"/>
    <n v="0"/>
    <n v="1"/>
    <n v="1"/>
    <n v="1"/>
    <n v="0.75"/>
    <m/>
    <n v="0"/>
    <s v="                   - "/>
    <s v="                   - "/>
    <s v="                   - "/>
    <s v="                   - "/>
    <s v="                   - "/>
    <n v="0"/>
    <s v="MoFPED (PSFU)"/>
    <s v="008 Ministry of Finance, Planning &amp; Economic Dev."/>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s v="Number of tax education programs implemented "/>
    <n v="5"/>
    <n v="10"/>
    <n v="10"/>
    <n v="10"/>
    <n v="10"/>
    <n v="10"/>
    <s v="URA"/>
    <s v="141 Uganda Revenue Authority"/>
    <s v=" Establish and integrate Management Information Systems to support Associations, trade unions and Cooperatives "/>
    <n v="1"/>
    <n v="1"/>
    <n v="0"/>
    <n v="1"/>
    <n v="1"/>
    <n v="1"/>
    <n v="1"/>
    <n v="1"/>
    <n v="0.875"/>
    <m/>
    <n v="0"/>
    <s v="                   - "/>
    <n v="0.3"/>
    <n v="0.3"/>
    <n v="0.3"/>
    <n v="0.3"/>
    <n v="0.6"/>
    <s v="MoTIC"/>
    <s v="015 Ministry of Trade, Industry and Cooperatives"/>
    <s v="NITA-U, UNCCI,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m/>
    <m/>
    <m/>
    <m/>
    <m/>
    <m/>
    <m/>
    <m/>
    <e v="#N/A"/>
    <s v=" Provision of oversight (investigations, inspection, audit and arbitration) services to associations, trade unions and cooperatives.  "/>
    <n v="1"/>
    <n v="1"/>
    <n v="1"/>
    <n v="1"/>
    <n v="1"/>
    <n v="1"/>
    <n v="1"/>
    <n v="1"/>
    <n v="1"/>
    <m/>
    <n v="0"/>
    <s v="                   - "/>
    <n v="0.5"/>
    <n v="0.5"/>
    <n v="0.5"/>
    <n v="0.5"/>
    <n v="1"/>
    <s v="MoTIC"/>
    <s v="015 Ministry of Trade, Industry and Cooperatives"/>
    <s v="CSO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m/>
    <m/>
    <m/>
    <m/>
    <m/>
    <m/>
    <m/>
    <m/>
    <e v="#N/A"/>
    <s v=" Supporting industry associations, chambers of Commerce and trade union networks along their respective value chains "/>
    <n v="1"/>
    <n v="1"/>
    <n v="1"/>
    <n v="1"/>
    <n v="1"/>
    <n v="1"/>
    <n v="1"/>
    <n v="1"/>
    <n v="1"/>
    <m/>
    <n v="0"/>
    <s v="                   - "/>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m/>
    <m/>
    <m/>
    <m/>
    <m/>
    <m/>
    <m/>
    <m/>
    <e v="#N/A"/>
    <s v=" Establish an incentive framework to build membership for  industry-specific associations "/>
    <n v="1"/>
    <n v="1"/>
    <n v="0"/>
    <n v="1"/>
    <n v="1"/>
    <n v="1"/>
    <n v="1"/>
    <n v="1"/>
    <n v="0.875"/>
    <m/>
    <n v="0"/>
    <s v="                   - "/>
    <s v="                   - "/>
    <s v="                   - "/>
    <s v="                   - "/>
    <s v="                   - "/>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m/>
    <m/>
    <m/>
    <m/>
    <m/>
    <m/>
    <m/>
    <m/>
    <e v="#N/A"/>
    <s v=" Strengthen stakeholder Management with trade unions "/>
    <n v="1"/>
    <n v="1"/>
    <n v="0"/>
    <n v="1"/>
    <n v="1"/>
    <n v="1"/>
    <n v="0"/>
    <n v="1"/>
    <n v="0.75"/>
    <m/>
    <n v="0"/>
    <s v="                   - "/>
    <n v="0.5"/>
    <n v="0.5"/>
    <n v="0.5"/>
    <n v="0.5"/>
    <n v="1"/>
    <s v="URA"/>
    <s v="141 Uganda Revenue Authority"/>
    <s v="MTIC"/>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c"/>
    <s v="Strengthen Industry associations, chambers of commerce and trade unions  "/>
    <s v="072201c01"/>
    <s v="Industry associations (chambers of commerce and trade unions) strengthened "/>
    <m/>
    <m/>
    <m/>
    <m/>
    <m/>
    <m/>
    <m/>
    <m/>
    <e v="#N/A"/>
    <s v=" Implement Tax education programs  "/>
    <n v="1"/>
    <n v="1"/>
    <n v="0"/>
    <n v="1"/>
    <n v="1"/>
    <n v="1"/>
    <n v="1"/>
    <n v="1"/>
    <n v="0.875"/>
    <m/>
    <n v="0"/>
    <n v="0"/>
    <n v="2.2000000000000002"/>
    <n v="2.2000000000000002"/>
    <n v="1.8"/>
    <n v="2.2000000000000002"/>
    <n v="4"/>
    <s v="URA"/>
    <s v="141 Uganda Revenue Authority"/>
    <s v="PSFU, Enterprise Ugand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s v="No. of specific Compliance improvement plans implemented across different value chains of economic operators "/>
    <n v="0"/>
    <n v="50"/>
    <n v="60"/>
    <n v="70"/>
    <n v="80"/>
    <n v="80"/>
    <s v="MoTIC"/>
    <s v="015 Ministry of Trade, Industry and Cooperatives"/>
    <s v=" Establish Trade and market information system/centres in the MDAS &amp; LGs to support National, regional and global linkages "/>
    <n v="0"/>
    <n v="0"/>
    <n v="0"/>
    <n v="0"/>
    <n v="0"/>
    <n v="0"/>
    <n v="0"/>
    <n v="0"/>
    <n v="0"/>
    <n v="0"/>
    <n v="0"/>
    <n v="0"/>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s v="No. of investors targeted in the Priority Programme Areas using the FDI intelligence tools"/>
    <n v="50"/>
    <n v="100"/>
    <n v="125"/>
    <n v="150"/>
    <n v="175"/>
    <n v="200"/>
    <s v="UIA"/>
    <s v="310 Uganda Investment Authority (UIA)"/>
    <s v=" Support and coordinate engagements and international Trade Fairs, Exhibitions and Expositions for priority products and markets "/>
    <n v="1"/>
    <n v="1"/>
    <n v="0"/>
    <n v="1"/>
    <n v="1"/>
    <n v="1"/>
    <n v="0"/>
    <n v="1"/>
    <n v="0.75"/>
    <n v="0"/>
    <n v="0"/>
    <s v="                   - "/>
    <n v="5"/>
    <n v="5"/>
    <n v="2.5"/>
    <n v="5"/>
    <n v="7.5"/>
    <s v="MoTIC"/>
    <s v="015 Ministry of Trade, Industry and Cooperatives"/>
    <s v="UEPB, MoFA, UI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s v="No of Free Zones accessing regional and international markets"/>
    <n v="0"/>
    <n v="15"/>
    <n v="24"/>
    <n v="27"/>
    <n v="30"/>
    <n v="33"/>
    <s v="UFZA"/>
    <s v="008 Ministry of Finance, Planning &amp; Economic Dev."/>
    <s v=" Negotiate trade agreements to secure duty free and quota free market access and favourable arrangements for Ugandan products  "/>
    <n v="1"/>
    <n v="1"/>
    <n v="1"/>
    <n v="1"/>
    <n v="1"/>
    <n v="1"/>
    <n v="1"/>
    <n v="1"/>
    <n v="1"/>
    <n v="0"/>
    <n v="0"/>
    <n v="2"/>
    <n v="3"/>
    <n v="3"/>
    <n v="3"/>
    <n v="3"/>
    <n v="6"/>
    <s v="MoTIC"/>
    <s v="015 Ministry of Trade, Industry and Cooperatives"/>
    <s v="MoFA, MoFPED, UI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s v="No. of additional local firms that are accredited to Authorized Economic Operators (AEOs)"/>
    <n v="0"/>
    <n v="50"/>
    <n v="50"/>
    <n v="50"/>
    <n v="50"/>
    <n v="50"/>
    <s v="URA"/>
    <s v="141 Uganda Revenue Authority"/>
    <s v=" Popularize priority global commodities value chains to provide opportunities for local participation. "/>
    <n v="0"/>
    <n v="0"/>
    <n v="0"/>
    <n v="0"/>
    <n v="0"/>
    <n v="0"/>
    <n v="0"/>
    <n v="0"/>
    <n v="0"/>
    <m/>
    <n v="0"/>
    <s v="                   - "/>
    <s v="                   - "/>
    <s v="                   - "/>
    <s v="                   - "/>
    <s v="                   - "/>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m/>
    <m/>
    <m/>
    <m/>
    <m/>
    <m/>
    <m/>
    <m/>
    <e v="#N/A"/>
    <s v=" Promote formalization and certification of products, processes and services in enterprises "/>
    <n v="0"/>
    <n v="0"/>
    <n v="0"/>
    <n v="0"/>
    <n v="0"/>
    <n v="0"/>
    <n v="0"/>
    <n v="0"/>
    <n v="0"/>
    <n v="0"/>
    <n v="0"/>
    <s v="                   - "/>
    <n v="0.3"/>
    <n v="0.3"/>
    <n v="0"/>
    <n v="0"/>
    <n v="0"/>
    <s v="MoTIC"/>
    <s v="015 Ministry of Trade, Industry and Cooperatives"/>
    <s v="UNBS, UMA, URBS, Uganda Small Scale Industries Association (USSI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m/>
    <m/>
    <m/>
    <m/>
    <m/>
    <m/>
    <m/>
    <m/>
    <e v="#N/A"/>
    <s v=" Develop and implement a framework for issuance and management of Internationally recognized product bar codes  for Ugandan products, and firms "/>
    <n v="1"/>
    <n v="1"/>
    <n v="1"/>
    <n v="1"/>
    <n v="1"/>
    <n v="1"/>
    <n v="1"/>
    <n v="1"/>
    <n v="1"/>
    <n v="0"/>
    <n v="0"/>
    <s v="                   - "/>
    <n v="0.3"/>
    <n v="0.2"/>
    <n v="0.2"/>
    <n v="0.2"/>
    <n v="0.4"/>
    <s v="MoTIC"/>
    <s v="015 Ministry of Trade, Industry and Cooperatives"/>
    <s v="UNBS, URB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m/>
    <m/>
    <m/>
    <m/>
    <m/>
    <m/>
    <m/>
    <m/>
    <e v="#N/A"/>
    <s v=" Promote the backward and forward linkages between SMEs and business associations and Free Zones to access regional and international market "/>
    <n v="1"/>
    <n v="1"/>
    <n v="1"/>
    <n v="1"/>
    <n v="1"/>
    <n v="1"/>
    <n v="1"/>
    <n v="1"/>
    <n v="1"/>
    <n v="0"/>
    <n v="0"/>
    <s v="                   - "/>
    <n v="0.42"/>
    <n v="0.44"/>
    <n v="0.48"/>
    <n v="0.48"/>
    <n v="0.96"/>
    <s v="MoFPED (UFZA)"/>
    <s v="008 Ministry of Finance, Planning &amp; Economic Dev."/>
    <s v="UIA, MTIC, UEPB,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m/>
    <m/>
    <m/>
    <m/>
    <m/>
    <m/>
    <m/>
    <m/>
    <e v="#N/A"/>
    <s v=" Mainstream and implement Local Content in Free Zones "/>
    <n v="0"/>
    <n v="0"/>
    <n v="0"/>
    <n v="0"/>
    <n v="0"/>
    <n v="0"/>
    <n v="0"/>
    <n v="0"/>
    <n v="0"/>
    <n v="0"/>
    <n v="0"/>
    <s v="                   - "/>
    <n v="7.0000000000000007E-2"/>
    <n v="0.08"/>
    <n v="0"/>
    <n v="0"/>
    <n v="0"/>
    <s v="MoFPED (UFZA)"/>
    <s v="008 Ministry of Finance, Planning &amp; Economic Dev."/>
    <s v="PPDA, MoFPED"/>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d"/>
    <s v="Establish National, regional, global and business links for registered local enterprises "/>
    <s v="072201d01"/>
    <s v="Measures undertaken to create national, regional and global business links for registered local enterprises "/>
    <m/>
    <m/>
    <m/>
    <m/>
    <m/>
    <m/>
    <m/>
    <m/>
    <e v="#N/A"/>
    <s v=" Strengthen the Authorized Economic Operators (AEO) Programme at national and regional level "/>
    <m/>
    <n v="0"/>
    <n v="0"/>
    <n v="0"/>
    <n v="0"/>
    <n v="0"/>
    <n v="0"/>
    <n v="1"/>
    <n v="0.125"/>
    <n v="0"/>
    <n v="0"/>
    <s v="                   - "/>
    <n v="0.36"/>
    <n v="0.36"/>
    <n v="0"/>
    <n v="0"/>
    <n v="0"/>
    <s v="URA"/>
    <s v="141 Uganda Revenue Authority"/>
    <s v="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o. of measures undertaken to increase the automation of business processes"/>
    <n v="0"/>
    <s v=" 10"/>
    <s v=" 15"/>
    <s v=" 15"/>
    <s v=" 20"/>
    <s v=" 20"/>
    <s v="MoTIC"/>
    <s v="015 Ministry of Trade, Industry and Cooperatives"/>
    <s v=" Support the generation of electronic Warehouse Receipts against Deposits (Commodities) for purposes to facilitate trading on the Commodity Exchange "/>
    <m/>
    <n v="1"/>
    <n v="1"/>
    <n v="0"/>
    <n v="1"/>
    <n v="1"/>
    <n v="1"/>
    <n v="1"/>
    <n v="0.75"/>
    <n v="0"/>
    <n v="0"/>
    <n v="0.2"/>
    <n v="0.2"/>
    <n v="0.2"/>
    <n v="0.2"/>
    <n v="0.2"/>
    <n v="0.4"/>
    <s v="MoTIC"/>
    <s v="015 Ministry of Trade, Industry and Cooperatives"/>
    <s v="UCE, UWRSA, UR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umber of new e-services launched on the online e-Biz portal"/>
    <n v="4"/>
    <n v="2"/>
    <n v="3"/>
    <n v="3"/>
    <n v="4"/>
    <n v="7"/>
    <s v="UIA"/>
    <s v="310 Uganda Investment Authority (UIA)"/>
    <s v=" Improve URA business processes "/>
    <m/>
    <n v="0"/>
    <n v="0"/>
    <n v="0"/>
    <n v="1"/>
    <n v="0"/>
    <n v="0"/>
    <n v="1"/>
    <n v="0.25"/>
    <n v="0"/>
    <n v="0"/>
    <s v="                   - "/>
    <s v="                   - "/>
    <s v="                   - "/>
    <s v="                   - "/>
    <s v="                   - "/>
    <n v="0"/>
    <s v="URA"/>
    <s v="141 Uganda Revenue Authority"/>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umber of transactions under the Electronic single window "/>
    <n v="0"/>
    <n v="20000"/>
    <n v="30000"/>
    <n v="40000"/>
    <n v="50000"/>
    <n v="50000"/>
    <s v="URA"/>
    <s v="141 Uganda Revenue Authority"/>
    <s v=" Develop, operationalize, and upgrade interactive web-based information access at one-stop investment and BDS Centres "/>
    <n v="0"/>
    <n v="0"/>
    <n v="0"/>
    <n v="0"/>
    <n v="0"/>
    <n v="0"/>
    <n v="0"/>
    <n v="0"/>
    <n v="0"/>
    <n v="0"/>
    <n v="0"/>
    <n v="0"/>
    <n v="0"/>
    <n v="0"/>
    <n v="0"/>
    <n v="0"/>
    <n v="0"/>
    <s v="UIA"/>
    <s v="310 Uganda Investment Authority (UIA)"/>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umber of key businesses processed and re-engineered thru the OSC"/>
    <n v="2"/>
    <n v="0"/>
    <n v="3"/>
    <n v="3"/>
    <n v="1"/>
    <n v="1"/>
    <s v="UIA"/>
    <s v="310 Uganda Investment Authority (UIA)"/>
    <s v=" Organise regular hands-on trainings on business automation for SMEs "/>
    <n v="0"/>
    <n v="0"/>
    <n v="0"/>
    <n v="0"/>
    <n v="0"/>
    <n v="0"/>
    <n v="0"/>
    <n v="0"/>
    <n v="0"/>
    <n v="0"/>
    <n v="0"/>
    <s v="                   - "/>
    <s v="                   - "/>
    <s v="                   - "/>
    <s v="                   - "/>
    <s v="                   - "/>
    <n v="0"/>
    <s v="UIA"/>
    <s v="310 Uganda Investment Authority (UIA)"/>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umber of hands-on trainings in business automation held"/>
    <n v="0"/>
    <n v="5"/>
    <n v="5"/>
    <n v="5"/>
    <n v="5"/>
    <n v="5"/>
    <s v="UIA"/>
    <s v="310 Uganda Investment Authority (UIA)"/>
    <s v=" Developing and disseminating localized I.T solutions for small business "/>
    <n v="0"/>
    <n v="0"/>
    <n v="0"/>
    <n v="0"/>
    <n v="0"/>
    <n v="0"/>
    <n v="0"/>
    <n v="0"/>
    <n v="0"/>
    <n v="0"/>
    <n v="0"/>
    <n v="0.1"/>
    <n v="0.1"/>
    <n v="0.1"/>
    <s v="                   - "/>
    <s v="                   - "/>
    <n v="0"/>
    <s v="UIA"/>
    <s v="310 Uganda Investment Authority (UIA)"/>
    <s v="NITA-U, TELECOS"/>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Business Process maturity level"/>
    <n v="0"/>
    <n v="1"/>
    <n v="1"/>
    <n v="1"/>
    <n v="1"/>
    <n v="1"/>
    <s v="UFZA"/>
    <s v="008 Ministry of Finance, Planning &amp; Economic Dev."/>
    <s v=" Automate systems for application, monitoring, supervision and control of  Free Zones "/>
    <n v="0"/>
    <n v="0"/>
    <n v="0"/>
    <n v="0"/>
    <n v="0"/>
    <n v="0"/>
    <n v="0"/>
    <n v="0"/>
    <n v="0"/>
    <n v="0"/>
    <n v="0"/>
    <s v="                   - "/>
    <n v="0.2"/>
    <n v="0.1"/>
    <s v="                   - "/>
    <s v="                   - "/>
    <n v="0"/>
    <s v="MoFPED (UFZA)"/>
    <s v="008 Ministry of Finance, Planning &amp; Economic Dev."/>
    <s v="NITA-U, MoICT&amp;NG,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1"/>
    <s v="Measures  to increase the automation of business processes  undertaken"/>
    <s v="Number of Free Zones licensed "/>
    <n v="10"/>
    <n v="15"/>
    <n v="20"/>
    <n v="25"/>
    <n v="30"/>
    <n v="35"/>
    <s v="URSB"/>
    <s v="119 Uganda Registration Services Bureau"/>
    <s v=" Increase innovation and automation of business processes to simplify registration services "/>
    <n v="1"/>
    <n v="1"/>
    <n v="1"/>
    <n v="1"/>
    <n v="1"/>
    <n v="1"/>
    <n v="1"/>
    <n v="1"/>
    <n v="1"/>
    <n v="0"/>
    <n v="0"/>
    <n v="1.53"/>
    <n v="1.53"/>
    <n v="1"/>
    <n v="1"/>
    <n v="1"/>
    <n v="2"/>
    <s v="URSB"/>
    <s v="119 Uganda Registration Services Bureau"/>
    <s v="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2"/>
    <s v="Established a unique identifier for all businesses across agencies  "/>
    <s v="A unique identifier for all businesses across agencies established"/>
    <n v="0"/>
    <n v="0"/>
    <n v="0"/>
    <n v="1"/>
    <n v="0"/>
    <n v="0"/>
    <s v="URA"/>
    <s v="141 Uganda Revenue Authority"/>
    <s v=" Re-engineer business processes that serve the private sector  "/>
    <n v="0"/>
    <n v="0"/>
    <n v="0"/>
    <n v="0"/>
    <n v="0"/>
    <n v="0"/>
    <n v="0"/>
    <n v="0"/>
    <n v="0"/>
    <n v="0"/>
    <n v="0"/>
    <s v="                   - "/>
    <s v="                   - "/>
    <s v="                   - "/>
    <s v="                   - "/>
    <s v="                   - "/>
    <n v="0"/>
    <s v="URA"/>
    <s v="141 Uganda Revenue Authority"/>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2"/>
    <s v="Established a unique identifier for all businesses across agencies  "/>
    <s v="No of businesses registered under the single registration form reform"/>
    <m/>
    <n v="1000"/>
    <n v="1200"/>
    <n v="1500"/>
    <n v="2500"/>
    <n v="3200"/>
    <s v="URSB"/>
    <s v="119 Uganda Registration Services Bureau"/>
    <s v=" Implement a single registration form to ease formalization "/>
    <m/>
    <n v="0"/>
    <n v="0"/>
    <n v="0"/>
    <n v="0"/>
    <n v="0"/>
    <n v="0"/>
    <n v="0"/>
    <n v="0"/>
    <n v="0"/>
    <n v="0"/>
    <n v="0.3"/>
    <n v="0.5"/>
    <n v="0.5"/>
    <n v="0"/>
    <n v="0"/>
    <n v="0"/>
    <s v="URSB"/>
    <s v="119 Uganda Registration Services Bureau"/>
    <s v="UIA, UR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3"/>
    <s v="National E-Commerce platform for Ugandan products and services established "/>
    <s v="Number of firms with e-commerce applications hooked onto the National e-commerce platform"/>
    <n v="0"/>
    <n v="5"/>
    <n v="10"/>
    <n v="15"/>
    <n v="17"/>
    <n v="18"/>
    <s v="MoTIC"/>
    <s v="015 Ministry of Trade, Industry and Cooperatives"/>
    <s v=" Establish Agency registration points to increase access to formalization "/>
    <n v="0"/>
    <n v="0"/>
    <n v="0"/>
    <n v="0"/>
    <n v="0"/>
    <n v="0"/>
    <n v="0"/>
    <n v="0"/>
    <n v="0"/>
    <n v="0"/>
    <n v="0"/>
    <n v="0.1"/>
    <n v="0.1"/>
    <n v="0.1"/>
    <n v="0"/>
    <n v="0"/>
    <n v="0"/>
    <s v="URSB"/>
    <s v="119 Uganda Registration Services Bureau"/>
    <s v="UR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3"/>
    <s v="National E-Commerce platform for Ugandan products and services established "/>
    <s v="E-commerce transaction register"/>
    <n v="0"/>
    <n v="0"/>
    <n v="1"/>
    <n v="0"/>
    <n v="0"/>
    <n v="0"/>
    <s v="URA"/>
    <s v="141 Uganda Revenue Authority"/>
    <s v=" Integrate URA systems with the national E-Commerce platform "/>
    <n v="1"/>
    <n v="0"/>
    <n v="0"/>
    <n v="0"/>
    <n v="0"/>
    <n v="0"/>
    <n v="0"/>
    <n v="1"/>
    <n v="0.25"/>
    <n v="0"/>
    <n v="0"/>
    <s v="                   - "/>
    <s v="                   - "/>
    <s v="                   - "/>
    <s v="                   - "/>
    <s v="                   - "/>
    <n v="0"/>
    <s v="URA"/>
    <s v="141 Uganda Revenue Authority"/>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e"/>
    <s v="Increase Automation of business processes  "/>
    <s v="072201e03"/>
    <s v="National E-Commerce platform for Ugandan products and services established "/>
    <s v="No of tax payers in the E-Commerce Tax payer register"/>
    <n v="0"/>
    <s v="TBD"/>
    <s v="TBD"/>
    <s v="TBD"/>
    <s v="TBD"/>
    <s v="TBD"/>
    <s v="URA"/>
    <s v="141 Uganda Revenue Authority"/>
    <m/>
    <m/>
    <m/>
    <m/>
    <m/>
    <m/>
    <m/>
    <n v="0"/>
    <n v="0"/>
    <n v="0"/>
    <m/>
    <n v="0"/>
    <m/>
    <m/>
    <m/>
    <m/>
    <m/>
    <n v="0"/>
    <m/>
    <m/>
    <m/>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f"/>
    <s v="De-risk Sub-county skills-based enterprise associations (EMYOGA) "/>
    <s v="072201f01"/>
    <s v="Formation of producer cooperatives and pooling of resources for credit facilitated "/>
    <s v="Number of Youth and Women mobilised for entrepreneurship, business familiarisation and compliance to regulations"/>
    <n v="240"/>
    <n v="240"/>
    <n v="500"/>
    <n v="750"/>
    <n v="1000"/>
    <n v="1200"/>
    <s v="MGLSD"/>
    <e v="#N/A"/>
    <s v=" Mobilizing Youth and women for entrepreneurship, business formalization and compliance to regulations "/>
    <n v="0"/>
    <n v="0"/>
    <n v="0"/>
    <n v="0"/>
    <n v="0"/>
    <n v="0"/>
    <n v="0"/>
    <n v="0"/>
    <n v="0"/>
    <m/>
    <n v="0"/>
    <s v="                   - "/>
    <n v="0"/>
    <n v="0"/>
    <n v="0"/>
    <n v="0"/>
    <n v="0"/>
    <s v="MoGLSD"/>
    <s v="018 Ministry of Gender, Labour and Social Development"/>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f"/>
    <s v="De-risk Sub-county skills-based enterprise associations (EMYOGA) "/>
    <s v="072201f01"/>
    <s v="Formation of producer cooperatives and pooling of resources for credit facilitated "/>
    <s v="Number of Partnerships in form of contractual linkages between skills-based enterprises with established manufacturing firms formed"/>
    <n v="10"/>
    <n v="15"/>
    <n v="20"/>
    <n v="20"/>
    <n v="25"/>
    <n v="25"/>
    <s v="UIA"/>
    <s v="310 Uganda Investment Authority (UIA)"/>
    <s v=" Promote business linkages between skills-based enterprises/MSMEs with established business firms "/>
    <n v="1"/>
    <n v="1"/>
    <n v="1"/>
    <n v="1"/>
    <n v="1"/>
    <n v="1"/>
    <n v="1"/>
    <n v="1"/>
    <n v="1"/>
    <n v="0"/>
    <n v="0"/>
    <n v="0.1"/>
    <n v="0.1"/>
    <n v="0.1"/>
    <n v="0.1"/>
    <n v="0.1"/>
    <n v="0.2"/>
    <s v="UIA"/>
    <s v="310 Uganda Investment Authority (UIA)"/>
    <s v="OWC, UMA, PSFU, MoTIC"/>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1"/>
    <s v="Support measures undertaken to foster organic bottom up formation of cooperatives "/>
    <s v="No. of new producer cooperatives formed"/>
    <n v="0"/>
    <n v="50"/>
    <n v="76"/>
    <n v="100"/>
    <n v="100"/>
    <n v="100"/>
    <s v="MoTIC"/>
    <s v="015 Ministry of Trade, Industry and Cooperatives"/>
    <s v=" Promotion, registration, inspection, and auditing of Cooperative activities "/>
    <n v="1"/>
    <n v="1"/>
    <n v="1"/>
    <n v="1"/>
    <n v="1"/>
    <n v="1"/>
    <n v="1"/>
    <n v="1"/>
    <n v="1"/>
    <n v="0"/>
    <n v="0"/>
    <n v="2"/>
    <n v="2"/>
    <n v="2"/>
    <n v="0.5"/>
    <n v="2"/>
    <n v="2.5"/>
    <s v="MoTIC"/>
    <s v="015 Ministry of Trade, Industry and Cooperatives"/>
    <s v="OWC, MoGLSD"/>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1"/>
    <s v="Support measures undertaken to foster organic bottom up formation of cooperatives "/>
    <s v=" Number of Partnerships in form of contractual linkages between skills-based enterprises with established manufacturing firms formed"/>
    <n v="0"/>
    <n v="100"/>
    <n v="150"/>
    <n v="180"/>
    <n v="180"/>
    <n v="180"/>
    <s v="MoTIC"/>
    <s v="015 Ministry of Trade, Industry and Cooperatives"/>
    <s v=" Conducting intensive skills training for cooperatives leadership in governance, credit and default management, financial literacy, and enterprise management. "/>
    <n v="0"/>
    <n v="0"/>
    <n v="0"/>
    <n v="0"/>
    <n v="0"/>
    <n v="0"/>
    <n v="0"/>
    <n v="0"/>
    <n v="0"/>
    <n v="0"/>
    <n v="0"/>
    <s v="                   - "/>
    <n v="0.5"/>
    <n v="0.5"/>
    <n v="0"/>
    <n v="0"/>
    <n v="0"/>
    <s v="MoTIC"/>
    <s v="015 Ministry of Trade, Industry and Cooperatives"/>
    <s v="Enterprise Ugand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1"/>
    <s v="Support measures undertaken to foster organic bottom up formation of cooperatives "/>
    <m/>
    <m/>
    <m/>
    <m/>
    <m/>
    <m/>
    <m/>
    <m/>
    <e v="#N/A"/>
    <s v=" Popularize cooperatives formation "/>
    <n v="0"/>
    <n v="0"/>
    <n v="0"/>
    <n v="0"/>
    <n v="0"/>
    <n v="0"/>
    <n v="0"/>
    <n v="0"/>
    <n v="0"/>
    <n v="0"/>
    <n v="0"/>
    <s v="                   - "/>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1"/>
    <s v="Support measures undertaken to foster organic bottom up formation of cooperatives "/>
    <m/>
    <m/>
    <m/>
    <m/>
    <m/>
    <m/>
    <m/>
    <m/>
    <e v="#N/A"/>
    <s v=" Design and deliver tailor-made skills and training programs for co-operators "/>
    <n v="0"/>
    <n v="0"/>
    <n v="0"/>
    <n v="0"/>
    <n v="0"/>
    <n v="0"/>
    <n v="0"/>
    <n v="0"/>
    <n v="0"/>
    <n v="0"/>
    <n v="0"/>
    <s v="                   - "/>
    <n v="0.3"/>
    <n v="0.3"/>
    <n v="0"/>
    <n v="0"/>
    <n v="0"/>
    <s v="MoTIC"/>
    <s v="015 Ministry of Trade, Industry and Cooperatives"/>
    <s v="Enterprise Uganda, 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1"/>
    <s v="Support measures undertaken to foster organic bottom up formation of cooperatives "/>
    <m/>
    <m/>
    <m/>
    <m/>
    <m/>
    <m/>
    <m/>
    <m/>
    <e v="#N/A"/>
    <s v=" Enable the process of matching manufacturing firms in need of raw materials with farmer and producer cooperatives "/>
    <n v="1"/>
    <n v="1"/>
    <n v="1"/>
    <n v="1"/>
    <n v="0"/>
    <n v="1"/>
    <n v="1"/>
    <n v="1"/>
    <n v="0.875"/>
    <n v="0"/>
    <n v="0"/>
    <s v="                   - "/>
    <n v="0"/>
    <n v="0"/>
    <n v="0"/>
    <n v="0"/>
    <n v="0"/>
    <s v="MoTIC"/>
    <s v="015 Ministry of Trade, Industry and Cooperatives"/>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2"/>
    <s v="Strengthened Corporate Rescue Framework in Uganda"/>
    <s v="No. of Companies that successfully go through business rescue (Avoid liquidation)"/>
    <n v="24"/>
    <n v="538"/>
    <n v="642"/>
    <n v="746"/>
    <n v="846"/>
    <n v="946"/>
    <s v="URSB"/>
    <s v="119 Uganda Registration Services Bureau"/>
    <s v=" Creating public awareness on insolvency services "/>
    <n v="0"/>
    <n v="0"/>
    <n v="0"/>
    <n v="1"/>
    <n v="1"/>
    <n v="0"/>
    <n v="0"/>
    <n v="1"/>
    <n v="0.375"/>
    <n v="0"/>
    <n v="0"/>
    <n v="0.2"/>
    <n v="0.2"/>
    <n v="0.2"/>
    <n v="0"/>
    <n v="0"/>
    <n v="0"/>
    <s v="URSB"/>
    <s v="119 Uganda Registration Services Bureau"/>
    <s v="PSF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2"/>
    <s v="Strengthened Corporate Rescue Framework in Uganda"/>
    <s v=" Number of public awareness events on insolvency undertaken"/>
    <n v="49"/>
    <n v="75"/>
    <n v="80"/>
    <n v="90"/>
    <n v="100"/>
    <n v="100"/>
    <s v="URSB"/>
    <s v="119 Uganda Registration Services Bureau"/>
    <s v=" Automating Insolvency procedures "/>
    <n v="0"/>
    <n v="0"/>
    <n v="0"/>
    <n v="0"/>
    <n v="0"/>
    <n v="0"/>
    <n v="0"/>
    <n v="0"/>
    <n v="0"/>
    <n v="0"/>
    <n v="0"/>
    <n v="0.2"/>
    <n v="0.2"/>
    <n v="0.2"/>
    <n v="0"/>
    <n v="0"/>
    <n v="0"/>
    <s v="URSB"/>
    <s v="119 Uganda Registration Services Bureau"/>
    <s v="NITA-U"/>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2"/>
    <s v="Strengthened Corporate Rescue Framework in Uganda"/>
    <m/>
    <m/>
    <m/>
    <m/>
    <m/>
    <m/>
    <m/>
    <m/>
    <e v="#N/A"/>
    <s v=" Promote foreign participation in Uganda's insolvency regime "/>
    <n v="0"/>
    <n v="0"/>
    <n v="0"/>
    <n v="0"/>
    <n v="0"/>
    <n v="0"/>
    <n v="0"/>
    <n v="0"/>
    <n v="0"/>
    <n v="0"/>
    <n v="0"/>
    <n v="7.0000000000000007E-2"/>
    <n v="7.0000000000000007E-2"/>
    <n v="7.0000000000000007E-2"/>
    <n v="0"/>
    <n v="0"/>
    <n v="0"/>
    <s v="URSB"/>
    <s v="119 Uganda Registration Services Bureau"/>
    <s v="N/A"/>
  </r>
  <r>
    <x v="8"/>
    <x v="8"/>
    <s v="072"/>
    <s v="Private Sector Institutional and Organizational Capacity   "/>
    <s v="0722"/>
    <s v="Strengthen the organizational and institutional capacity of the private sector to drive growth "/>
    <s v="072201"/>
    <s v="Improve management capacities of local enterprises through massive provision of business development services geared towards improving firm capabilities "/>
    <s v="072201g"/>
    <s v="Support organic bottom up formation of cooperatives "/>
    <s v="072201g02"/>
    <s v="Strengthened Corporate Rescue Framework in Uganda"/>
    <m/>
    <m/>
    <m/>
    <m/>
    <m/>
    <m/>
    <m/>
    <m/>
    <e v="#N/A"/>
    <s v=" Review of the Insolvency legal framework in Uganda "/>
    <n v="0"/>
    <n v="0"/>
    <n v="0"/>
    <n v="0"/>
    <n v="0"/>
    <n v="0"/>
    <n v="0"/>
    <n v="0"/>
    <n v="0"/>
    <n v="0"/>
    <n v="0"/>
    <s v="                   - "/>
    <n v="7.0000000000000007E-2"/>
    <s v="                   - "/>
    <n v="0"/>
    <n v="0"/>
    <n v="0"/>
    <s v="URSB"/>
    <s v="119 Uganda Registration Services Bureau"/>
    <s v="MoJICA, Parliament"/>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s v="No. of Research projects undertaken to support private sector development"/>
    <n v="0"/>
    <n v="3"/>
    <n v="4"/>
    <n v="5"/>
    <n v="5"/>
    <n v="5"/>
    <s v="MFPED"/>
    <e v="#N/A"/>
    <s v=" Establishing research and innovation resources and ensuring access by MSMEs "/>
    <n v="1"/>
    <n v="1"/>
    <n v="1"/>
    <n v="1"/>
    <n v="1"/>
    <n v="1"/>
    <n v="1"/>
    <n v="1"/>
    <n v="1"/>
    <n v="0"/>
    <n v="0"/>
    <n v="2"/>
    <n v="2.1"/>
    <n v="2.21"/>
    <n v="2.3199999999999998"/>
    <n v="2.4300000000000002"/>
    <n v="4.75"/>
    <s v="UIRI"/>
    <s v="110 Uganda Industrial Research Institute"/>
    <s v="MoST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s v=" No of MSMEs accessing Technical, advisory and analytical lab services"/>
    <m/>
    <s v=" 50"/>
    <s v=" 75"/>
    <s v="80 "/>
    <s v=" 90"/>
    <s v=" 100"/>
    <s v="UNBS"/>
    <s v="154 Uganda National Bureau of Standards"/>
    <s v=" Increase capacity of the PSD programme stakeholders to deliver researched solutions and products for MSMEs adoption  "/>
    <n v="0"/>
    <n v="0"/>
    <n v="0"/>
    <n v="0"/>
    <n v="0"/>
    <n v="0"/>
    <n v="0"/>
    <n v="0"/>
    <n v="0"/>
    <n v="0"/>
    <n v="0"/>
    <s v="                   - "/>
    <s v="                   - "/>
    <s v="                   - "/>
    <s v="                   - "/>
    <s v="                   - "/>
    <n v="0"/>
    <s v="MoFPED"/>
    <s v="008 Ministry of Finance, Planning &amp; Economic Dev."/>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s v=" No. of new products from the incubation centres established"/>
    <n v="1"/>
    <n v="1"/>
    <n v="1"/>
    <s v=" 4"/>
    <n v="0"/>
    <s v=" 4"/>
    <s v="UNCST"/>
    <e v="#N/A"/>
    <s v=" Design and build the CVC online portal and; Design and compilation of DINE Profiles "/>
    <n v="1"/>
    <n v="0"/>
    <n v="1"/>
    <n v="1"/>
    <n v="0"/>
    <n v="1"/>
    <n v="1"/>
    <n v="1"/>
    <n v="0.75"/>
    <n v="0"/>
    <n v="0"/>
    <s v="                   - "/>
    <s v="                   - "/>
    <s v="                   - "/>
    <s v="                   - "/>
    <s v="                   - "/>
    <n v="0"/>
    <s v="MoFPED"/>
    <s v="008 Ministry of Finance, Planning &amp; Economic Dev."/>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s v=" No. of new products scaled for commercial production"/>
    <n v="2"/>
    <s v=" 5"/>
    <s v="7 "/>
    <s v=" 10"/>
    <s v=" 12"/>
    <s v=" 14"/>
    <s v="UIRI"/>
    <s v="110 Uganda Industrial Research Institute"/>
    <s v=" Provide Technical Advisory and Analytical Laboratory services "/>
    <n v="1"/>
    <n v="1"/>
    <n v="1"/>
    <n v="1"/>
    <n v="1"/>
    <n v="1"/>
    <n v="1"/>
    <n v="1"/>
    <n v="1"/>
    <n v="0"/>
    <n v="0"/>
    <n v="0.5"/>
    <n v="0.6"/>
    <n v="0.7"/>
    <n v="0.8"/>
    <n v="0.9"/>
    <n v="1.7000000000000002"/>
    <s v="UNBS"/>
    <s v="154 Uganda National Bureau of Standards"/>
    <s v="UIRI, MoST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Strengthen applied Research for development of Value-Added Products "/>
    <n v="1"/>
    <n v="1"/>
    <n v="1"/>
    <n v="1"/>
    <n v="1"/>
    <n v="1"/>
    <n v="1"/>
    <n v="1"/>
    <n v="1"/>
    <n v="0"/>
    <n v="0"/>
    <n v="4"/>
    <n v="4"/>
    <n v="4"/>
    <n v="2.8"/>
    <n v="4"/>
    <n v="6.8"/>
    <s v="UIRI"/>
    <s v="110 Uganda Industrial Research Institute"/>
    <s v="UNCST, UIRI, MoST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Expand/scale up provision industrial production infrastructure and facilities  in all regions "/>
    <n v="1"/>
    <n v="1"/>
    <n v="1"/>
    <n v="1"/>
    <n v="1"/>
    <n v="1"/>
    <n v="1"/>
    <n v="1"/>
    <n v="1"/>
    <n v="0"/>
    <n v="0"/>
    <n v="2"/>
    <n v="2"/>
    <n v="2"/>
    <n v="2"/>
    <n v="2"/>
    <n v="4"/>
    <s v="UIRI"/>
    <s v="110 Uganda Industrial Research Institute"/>
    <s v="UDC, MoSTI, UNBS"/>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Develop electronic and automated solutions for utilization by various sectors "/>
    <n v="1"/>
    <n v="1"/>
    <n v="1"/>
    <n v="0"/>
    <n v="1"/>
    <n v="1"/>
    <n v="1"/>
    <n v="1"/>
    <n v="0.875"/>
    <n v="0"/>
    <n v="0"/>
    <n v="1"/>
    <n v="0.5"/>
    <n v="0.5"/>
    <n v="0.5"/>
    <n v="0.5"/>
    <n v="1"/>
    <s v="UIRI"/>
    <s v="110 Uganda Industrial Research Institute"/>
    <s v="NITA-U, MDAs"/>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Develop partnerships with the private sector to conduct research on key issues affecting private sector growth "/>
    <n v="1"/>
    <n v="1"/>
    <n v="1"/>
    <n v="1"/>
    <n v="1"/>
    <n v="1"/>
    <n v="0"/>
    <n v="1"/>
    <n v="0.875"/>
    <n v="0"/>
    <n v="0"/>
    <n v="2.5"/>
    <n v="2.5"/>
    <n v="2.5"/>
    <n v="2.5"/>
    <n v="2.5"/>
    <n v="5"/>
    <s v="UIRI"/>
    <s v="110 Uganda Industrial Research Institute"/>
    <s v="PSFU, EPRC, NPA, MKCC&amp;M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Operationalize Machining and Manufacturing Production and Training Centre for Industrial Skills Capacity Training "/>
    <n v="1"/>
    <n v="1"/>
    <n v="1"/>
    <n v="0"/>
    <n v="1"/>
    <n v="1"/>
    <n v="0"/>
    <n v="1"/>
    <n v="0.75"/>
    <n v="0"/>
    <n v="0"/>
    <n v="15"/>
    <n v="15"/>
    <n v="15"/>
    <n v="11"/>
    <n v="15"/>
    <n v="26"/>
    <s v="UIRI"/>
    <s v="110 Uganda Industrial Research Institute"/>
    <s v="UMA, Uganda Small Scale Industries Association (USSI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Develop a national Research Agenda in STEI "/>
    <n v="0"/>
    <n v="0"/>
    <n v="0"/>
    <n v="0"/>
    <n v="0"/>
    <n v="0"/>
    <n v="0"/>
    <n v="0"/>
    <n v="0"/>
    <n v="0"/>
    <n v="0"/>
    <s v="                   - "/>
    <s v="                   - "/>
    <s v="                   - "/>
    <s v="                   - "/>
    <s v="                   - "/>
    <n v="0"/>
    <s v="MoSTI"/>
    <s v="023 Ministry of Science,Technology and Innovation"/>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Assess and accredit  an inventory of Institutions and Laboratories  "/>
    <n v="0"/>
    <n v="0"/>
    <n v="0"/>
    <n v="0"/>
    <n v="0"/>
    <n v="0"/>
    <n v="0"/>
    <n v="0"/>
    <n v="0"/>
    <n v="0"/>
    <n v="0"/>
    <s v="                   - "/>
    <s v="                   - "/>
    <s v="                   - "/>
    <s v="                   - "/>
    <s v="                   - "/>
    <n v="0"/>
    <s v="MoSTI"/>
    <s v="023 Ministry of Science,Technology and Innovation"/>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Develop a Research and Development database "/>
    <n v="0"/>
    <n v="0"/>
    <n v="0"/>
    <n v="0"/>
    <n v="0"/>
    <n v="0"/>
    <n v="0"/>
    <n v="0"/>
    <n v="0"/>
    <n v="0"/>
    <n v="0"/>
    <s v="                   - "/>
    <s v="                   - "/>
    <s v="                   - "/>
    <s v="                   - "/>
    <s v="                   - "/>
    <n v="0"/>
    <s v="MoSTI"/>
    <s v="023 Ministry of Science,Technology and Innovation"/>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Undertake Start-up business mentorships  seminars "/>
    <n v="0"/>
    <n v="0"/>
    <n v="0"/>
    <n v="0"/>
    <n v="0"/>
    <n v="0"/>
    <n v="0"/>
    <n v="0"/>
    <n v="0"/>
    <n v="0"/>
    <n v="0"/>
    <s v="                   - "/>
    <n v="1"/>
    <n v="1"/>
    <s v="                   - "/>
    <s v="                   - "/>
    <n v="0"/>
    <s v="MoSTI (UNCST)"/>
    <s v="023 Ministry of Science,Technology and Innovation"/>
    <s v="UIRI, Enterprise Ugand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Support business enterprises to mine and exploit scientific intellectual property rights "/>
    <n v="1"/>
    <n v="0"/>
    <n v="0"/>
    <n v="1"/>
    <n v="1"/>
    <n v="0"/>
    <n v="0"/>
    <n v="1"/>
    <n v="0.5"/>
    <n v="0"/>
    <n v="0"/>
    <s v="                   - "/>
    <n v="1"/>
    <n v="1"/>
    <s v="                   - "/>
    <s v="                   - "/>
    <n v="0"/>
    <s v="MoSTI (UNCST)"/>
    <s v="023 Ministry of Science,Technology and Innovation"/>
    <s v="MoST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Establish and implement research dissemination f/w on Private Sector issues to the relevant stakeholders ensuring flexible learning and establishment of 2 incubation centres "/>
    <n v="0"/>
    <n v="0"/>
    <n v="0"/>
    <n v="0"/>
    <n v="0"/>
    <n v="0"/>
    <n v="0"/>
    <n v="0"/>
    <n v="0"/>
    <n v="0"/>
    <n v="0"/>
    <s v="                   - "/>
    <n v="2.8"/>
    <n v="2"/>
    <s v="                   - "/>
    <s v="                   - "/>
    <n v="0"/>
    <s v="MoSTI (UNCST)"/>
    <s v="023 Ministry of Science,Technology and Innovation"/>
    <s v="EPRC, MoSTI, UIR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a"/>
    <s v="Establish and Strengthen research and innovation for Micro, Small, and Medium Scale Enterprises (MSMEs) "/>
    <s v="072202a01"/>
    <s v="Research and innovation strengthened for MSMEs "/>
    <m/>
    <m/>
    <m/>
    <m/>
    <m/>
    <m/>
    <m/>
    <m/>
    <e v="#N/A"/>
    <s v=" Develop partnerships with the private sector to conduct research on key issues affecting private sector growth.  "/>
    <n v="0"/>
    <n v="0"/>
    <n v="0"/>
    <n v="0"/>
    <n v="0"/>
    <n v="0"/>
    <n v="0"/>
    <n v="0"/>
    <n v="0"/>
    <n v="0"/>
    <n v="0"/>
    <s v="                   - "/>
    <s v="                   - "/>
    <s v="                   - "/>
    <s v="                   - "/>
    <s v="                   - "/>
    <n v="0"/>
    <s v="UIRI"/>
    <s v="110 Uganda Industrial Research Institute"/>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b"/>
    <s v="Develop product and market information systems  "/>
    <s v="072202b01"/>
    <s v="Product and market information systems developed"/>
    <s v="No. of functional information systems in place by type"/>
    <n v="0"/>
    <n v="1"/>
    <n v="1"/>
    <n v="1"/>
    <n v="1"/>
    <n v="1"/>
    <s v="MTIC, UIRI"/>
    <e v="#N/A"/>
    <s v=" Support the equipping of regional and local government-based offices with e-kits for market information "/>
    <n v="1"/>
    <n v="1"/>
    <n v="1"/>
    <n v="1"/>
    <n v="1"/>
    <n v="1"/>
    <n v="1"/>
    <n v="1"/>
    <n v="1"/>
    <n v="0"/>
    <n v="0"/>
    <n v="1.5"/>
    <n v="0.5"/>
    <n v="0.5"/>
    <n v="0.5"/>
    <n v="0.5"/>
    <n v="1"/>
    <s v="MoTIC"/>
    <s v="015 Ministry of Trade, Industry and Cooperatives"/>
    <s v="UIA, MoLG, LGs"/>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b"/>
    <s v="Develop product and market information systems  "/>
    <s v="072202b01"/>
    <s v="Product and market information systems developed"/>
    <m/>
    <m/>
    <m/>
    <m/>
    <m/>
    <m/>
    <m/>
    <m/>
    <e v="#N/A"/>
    <s v=" Support increased Product Management Info Sys  information dissemination by Central and Local government BDS Centres "/>
    <n v="0"/>
    <n v="0"/>
    <n v="0"/>
    <n v="0"/>
    <n v="0"/>
    <n v="0"/>
    <n v="0"/>
    <n v="0"/>
    <n v="0"/>
    <n v="0"/>
    <n v="0"/>
    <s v="                   - "/>
    <s v="                   - "/>
    <s v="                   - "/>
    <s v="                   - "/>
    <s v="                   - "/>
    <n v="0"/>
    <s v="MoTIC"/>
    <s v="015 Ministry of Trade, Industry and Cooperatives"/>
    <s v="UIRI"/>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b"/>
    <s v="Develop product and market information systems  "/>
    <s v="072202b01"/>
    <s v="Product and market information systems developed"/>
    <m/>
    <m/>
    <m/>
    <m/>
    <m/>
    <m/>
    <m/>
    <m/>
    <e v="#N/A"/>
    <s v=" Acquisition of FDI intelligence tools targeting investors for Africa "/>
    <n v="0"/>
    <n v="0"/>
    <n v="0"/>
    <n v="0"/>
    <n v="1"/>
    <n v="0"/>
    <n v="0"/>
    <n v="1"/>
    <n v="0.25"/>
    <n v="0"/>
    <n v="0"/>
    <n v="0.3"/>
    <n v="0.3"/>
    <n v="0.3"/>
    <s v="                   - "/>
    <s v="                   - "/>
    <n v="0"/>
    <s v="UIA"/>
    <s v="310 Uganda Investment Authority (UIA)"/>
    <s v="MoTIC"/>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c"/>
    <s v="Strengthen the system of incubation centres to support growth of SMEs in strategic areas "/>
    <s v="072202c01"/>
    <s v="System of incubation centres strengthened to support growth of SMEs in strategic areas "/>
    <s v="No. of Incubation Centres "/>
    <n v="2"/>
    <s v=" 4"/>
    <s v=" 4"/>
    <s v=" 4"/>
    <s v=" 4"/>
    <s v=" 4"/>
    <s v="MoTIC"/>
    <s v="015 Ministry of Trade, Industry and Cooperatives"/>
    <s v=" Support the development, equipping and operationalization of design studios and incubation centres covering Science Technology and Innovation with specific attention to youths and women "/>
    <n v="1"/>
    <n v="1"/>
    <n v="1"/>
    <n v="1"/>
    <n v="1"/>
    <n v="0"/>
    <n v="0"/>
    <n v="1"/>
    <n v="0.75"/>
    <n v="1"/>
    <n v="0"/>
    <n v="4"/>
    <n v="4.2"/>
    <n v="4.41"/>
    <n v="3.63"/>
    <n v="4.8600000000000003"/>
    <n v="8.49"/>
    <s v="MoSTI"/>
    <s v="023 Ministry of Science,Technology and Innovation"/>
    <s v="MoSTI, UIRI, UNBS, MoGLSD"/>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d"/>
    <s v="Establish  a One stop centre for business registration and licensing "/>
    <s v="072202d01"/>
    <s v="One stop centres for business registration and licensing established "/>
    <s v="Number of additional business services accessed at the One Stop Centres (OSC) per year "/>
    <n v="1"/>
    <n v="1"/>
    <n v="1"/>
    <n v="3"/>
    <n v="2"/>
    <n v="2"/>
    <s v="URSB"/>
    <s v="119 Uganda Registration Services Bureau"/>
    <s v=" Establishment of a one-stop centre for business registration and licensing &amp; other services  (Fortportal, Masaka, Hoima, Lira, Soroti, Gulu, Jinja, Entebbe,  "/>
    <n v="1"/>
    <n v="1"/>
    <n v="0"/>
    <n v="1"/>
    <n v="1"/>
    <n v="0"/>
    <n v="1"/>
    <n v="1"/>
    <n v="0.75"/>
    <n v="0"/>
    <n v="0"/>
    <n v="3"/>
    <n v="3"/>
    <n v="3"/>
    <n v="3"/>
    <n v="3"/>
    <n v="6"/>
    <s v="UIA"/>
    <s v="310 Uganda Investment Authority (UIA)"/>
    <s v="URSB, UR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d"/>
    <s v="Establish  a One stop centre for business registration and licensing "/>
    <s v="072202d01"/>
    <s v="One stop centres for business registration and licensing established "/>
    <s v=" Number of one stop centres established in (Fort Portal, Masaka, Hoima, Lira, Soroti, Gulu, Jinja &amp; Entebe)"/>
    <n v="2"/>
    <n v="1"/>
    <n v="1"/>
    <n v="2"/>
    <n v="2"/>
    <n v="2"/>
    <s v="UIA"/>
    <s v="310 Uganda Investment Authority (UIA)"/>
    <s v=" Support Intellectual Property registration and exploitation "/>
    <n v="1"/>
    <n v="1"/>
    <n v="0"/>
    <n v="1"/>
    <n v="0"/>
    <n v="0"/>
    <n v="0"/>
    <n v="1"/>
    <n v="0.5"/>
    <n v="0"/>
    <n v="0"/>
    <s v="                   - "/>
    <s v="                   - "/>
    <s v="                   - "/>
    <s v="                   - "/>
    <s v="                   - "/>
    <n v="0"/>
    <s v="URSB"/>
    <s v="119 Uganda Registration Services Bureau"/>
    <s v="N/A"/>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d"/>
    <s v="Establish  a One stop centre for business registration and licensing "/>
    <s v="072202d01"/>
    <s v="One stop centres for business registration and licensing established "/>
    <m/>
    <m/>
    <m/>
    <m/>
    <m/>
    <m/>
    <m/>
    <m/>
    <e v="#N/A"/>
    <s v=" Strengthen TREP collaboration "/>
    <n v="1"/>
    <n v="1"/>
    <n v="1"/>
    <n v="1"/>
    <n v="1"/>
    <n v="0"/>
    <n v="0"/>
    <n v="1"/>
    <n v="0.75"/>
    <m/>
    <n v="0"/>
    <s v="                   - "/>
    <n v="13.18"/>
    <n v="13.18"/>
    <n v="5.18"/>
    <n v="13.18"/>
    <n v="18.36"/>
    <s v="URA"/>
    <s v="141 Uganda Revenue Authority"/>
    <s v="UNBS, PSFU, URSB"/>
  </r>
  <r>
    <x v="8"/>
    <x v="8"/>
    <s v="072"/>
    <s v="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d"/>
    <s v="Establish  a One stop centre for business registration and licensing "/>
    <s v="072202d01"/>
    <s v="One stop centres for business registration and licensing established "/>
    <m/>
    <m/>
    <m/>
    <m/>
    <m/>
    <m/>
    <m/>
    <m/>
    <e v="#N/A"/>
    <s v=" Support Intellectual Property registration and exploitation "/>
    <n v="1"/>
    <n v="1"/>
    <n v="0"/>
    <n v="1"/>
    <n v="1"/>
    <n v="1"/>
    <n v="0"/>
    <n v="1"/>
    <n v="0.75"/>
    <n v="0"/>
    <n v="0"/>
    <n v="0.7"/>
    <n v="0.7"/>
    <n v="0.7"/>
    <n v="0.7"/>
    <n v="0.7"/>
    <n v="1.4"/>
    <s v="URSB"/>
    <s v="119 Uganda Registration Services Bureau"/>
    <s v="MoSTI, UMA, USSIA"/>
  </r>
  <r>
    <x v="8"/>
    <x v="8"/>
    <s v="072"/>
    <s v="Strengthening Private Sector Institutional and Organizational Capacity   "/>
    <s v="0722"/>
    <s v="Strengthen the organizational and institutional capacity of the private sector to drive growth "/>
    <s v="072202"/>
    <s v="Strengthen system capacities to enable and harness benefits of coordinated private sector activities "/>
    <s v="072202d"/>
    <s v="Establish  a One stop centre for business registration and licensing "/>
    <s v="072202d02"/>
    <s v="OSBPs establised and strengthened"/>
    <s v="Number of fully operational and built OSBP"/>
    <n v="13"/>
    <n v="14"/>
    <n v="14"/>
    <n v="16"/>
    <n v="20"/>
    <n v="22"/>
    <s v="MEACA"/>
    <s v="021 Ministry of East African Community Affairs Uganda"/>
    <s v="Cordinating the construction and operationalisation of OSBPs across the boarder posts"/>
    <n v="1"/>
    <n v="1"/>
    <n v="1"/>
    <n v="1"/>
    <n v="1"/>
    <n v="0"/>
    <n v="0"/>
    <n v="1"/>
    <n v="0.75"/>
    <n v="0"/>
    <n v="0"/>
    <n v="0.8"/>
    <n v="1.2"/>
    <n v="1.2"/>
    <n v="2"/>
    <n v="2"/>
    <n v="4"/>
    <s v="MEACA"/>
    <s v="021 East African Community"/>
    <m/>
  </r>
  <r>
    <x v="8"/>
    <x v="8"/>
    <s v="071"/>
    <s v="Enabling Environment"/>
    <s v="0713"/>
    <s v="Promote local content in public programmes "/>
    <s v="071301"/>
    <s v="Develop and implement a holistic local content policy, legal and institutional framework "/>
    <m/>
    <m/>
    <s v="07130101"/>
    <s v="An overarching local content policy framework developed  "/>
    <s v="Proportion of contracts by value awarded to local providers."/>
    <n v="0.57999999999999996"/>
    <n v="0.6"/>
    <n v="0.65"/>
    <n v="0.7"/>
    <n v="0.75"/>
    <n v="0.8"/>
    <s v="PPDA"/>
    <s v="153 Public Procurement and Disposal of Public Assets Authority"/>
    <s v=" Implement the existing local content policy, and other related legal and institutional framework "/>
    <n v="1"/>
    <n v="1"/>
    <n v="1"/>
    <n v="1"/>
    <n v="1"/>
    <n v="1"/>
    <n v="1"/>
    <n v="1"/>
    <n v="1"/>
    <n v="1"/>
    <n v="0"/>
    <n v="2"/>
    <n v="2"/>
    <n v="1"/>
    <n v="1"/>
    <s v="                   - "/>
    <n v="1"/>
    <s v="MoFPED"/>
    <s v="008 Ministry of Finance, Planning &amp; Economic Dev."/>
    <s v="PPDA, MoJICA, MKCC&amp;M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s v=" No of standards for goods and services developed that are subject to local content preference schemes"/>
    <n v="0"/>
    <n v="0"/>
    <n v="10"/>
    <n v="10"/>
    <n v="10"/>
    <n v="10"/>
    <s v="UNBS"/>
    <s v="154 Uganda National Bureau of Standards"/>
    <s v=" Establishing and operationalizing structures for implementation of the local content framework, a Local Content monitoring Committee at entity and National level "/>
    <n v="0"/>
    <n v="0"/>
    <n v="0"/>
    <n v="0"/>
    <n v="0"/>
    <n v="0"/>
    <n v="0"/>
    <n v="0"/>
    <n v="0"/>
    <m/>
    <n v="0"/>
    <s v="                   - "/>
    <n v="0"/>
    <n v="0"/>
    <n v="0"/>
    <s v="                   - "/>
    <n v="0"/>
    <s v="MoFPED"/>
    <s v="008 Ministry of Finance, Planning &amp; Economic Dev."/>
    <s v="N/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Building capacity of local providers to compete favourably in public procurement "/>
    <n v="1"/>
    <n v="1"/>
    <n v="1"/>
    <n v="1"/>
    <n v="1"/>
    <n v="1"/>
    <n v="1"/>
    <n v="1"/>
    <n v="1"/>
    <n v="0"/>
    <n v="0"/>
    <n v="0.5"/>
    <n v="0.5"/>
    <n v="0.5"/>
    <n v="0.5"/>
    <n v="0.5"/>
    <n v="1"/>
    <s v="PPDA"/>
    <s v="153 Public Procurement and Disposal of Public Assets Authority"/>
    <s v="URA, MoFPED, MKCC&amp;M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Dissemination of the comprehensive local content framework "/>
    <n v="0"/>
    <n v="0"/>
    <n v="0"/>
    <n v="0"/>
    <n v="0"/>
    <n v="0"/>
    <n v="0"/>
    <n v="0"/>
    <n v="0"/>
    <n v="0"/>
    <n v="0"/>
    <s v="                   - "/>
    <s v="                   - "/>
    <s v="                   - "/>
    <s v="                   - "/>
    <s v="                   - "/>
    <n v="0"/>
    <s v="MoTIC"/>
    <s v="015 Ministry of Trade, Industry and Cooperatives"/>
    <s v="N/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Develop standards for the goods and services that are subject to local content "/>
    <n v="0"/>
    <n v="0"/>
    <n v="0"/>
    <n v="0"/>
    <n v="0"/>
    <n v="0"/>
    <n v="0"/>
    <n v="0"/>
    <n v="0"/>
    <n v="0"/>
    <n v="0"/>
    <n v="0.2"/>
    <n v="0.2"/>
    <n v="0.2"/>
    <n v="0"/>
    <n v="0"/>
    <n v="0"/>
    <s v="UNBS"/>
    <s v="154 Uganda National Bureau of Standards"/>
    <s v="PPD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Develop a system of equating and harmonizing international standards with Uganda standards e.g. Chinese or European standards to support local content policy "/>
    <n v="0"/>
    <n v="0"/>
    <n v="0"/>
    <n v="0"/>
    <n v="0"/>
    <n v="0"/>
    <n v="0"/>
    <n v="0"/>
    <n v="0"/>
    <n v="0"/>
    <n v="0"/>
    <n v="0"/>
    <n v="0"/>
    <n v="0"/>
    <n v="0"/>
    <n v="0"/>
    <n v="0"/>
    <s v="UNBS"/>
    <s v="154 Uganda National Bureau of Standards"/>
    <s v="N/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Support local producers to attain Certification, testing and calibration of services to support local content "/>
    <n v="1"/>
    <n v="1"/>
    <n v="1"/>
    <n v="1"/>
    <n v="1"/>
    <n v="1"/>
    <n v="1"/>
    <n v="1"/>
    <n v="1"/>
    <n v="0"/>
    <n v="0"/>
    <n v="1.5"/>
    <n v="1.5"/>
    <n v="1.5"/>
    <n v="1.5"/>
    <n v="1.5"/>
    <n v="3"/>
    <s v="UNBS"/>
    <s v="154 Uganda National Bureau of Standards"/>
    <s v="PPDA, MoTIC, MoFPED"/>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Mainstream and implement the Local content policy in Free Zones "/>
    <n v="1"/>
    <n v="1"/>
    <n v="1"/>
    <n v="1"/>
    <n v="1"/>
    <n v="1"/>
    <n v="1"/>
    <n v="1"/>
    <n v="1"/>
    <n v="0"/>
    <n v="0"/>
    <s v="                   - "/>
    <n v="0.08"/>
    <n v="0.08"/>
    <n v="0.08"/>
    <n v="0.08"/>
    <n v="0.16"/>
    <s v="MoFPED (UFZA)"/>
    <s v="008 Ministry of Finance, Planning &amp; Economic Dev."/>
    <s v="PPDA, MoFPED, MKCC&amp;M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Monitor and enforce the Implementation of the Guidelines on Preference and Reservation Schemes "/>
    <n v="1"/>
    <n v="1"/>
    <n v="1"/>
    <n v="1"/>
    <n v="1"/>
    <n v="1"/>
    <n v="1"/>
    <n v="1"/>
    <n v="1"/>
    <n v="1"/>
    <n v="0"/>
    <n v="0.46"/>
    <n v="0.51"/>
    <n v="0.56000000000000005"/>
    <n v="0.61"/>
    <n v="0.67"/>
    <n v="1.28"/>
    <s v="PPDA"/>
    <s v="153 Public Procurement and Disposal of Public Assets Authority"/>
    <s v="MoTIC, MFPED"/>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Promote and enforce local content in labour market "/>
    <n v="1"/>
    <n v="1"/>
    <n v="1"/>
    <n v="0"/>
    <n v="1"/>
    <n v="1"/>
    <n v="0"/>
    <n v="1"/>
    <n v="0.75"/>
    <n v="0"/>
    <n v="0"/>
    <n v="0.5"/>
    <n v="0.5"/>
    <n v="0.5"/>
    <n v="0.5"/>
    <n v="0.5"/>
    <n v="1"/>
    <s v="MoGLSD"/>
    <s v="018 Ministry of Gender, Labour and Social Development"/>
    <s v="PPDA, PSFU"/>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Monitoring and reporting the implementation of local content in public procurement "/>
    <n v="1"/>
    <n v="1"/>
    <n v="0"/>
    <n v="0"/>
    <n v="0"/>
    <n v="1"/>
    <n v="0"/>
    <n v="1"/>
    <n v="0.5"/>
    <n v="0"/>
    <n v="0"/>
    <n v="0"/>
    <n v="0"/>
    <n v="0"/>
    <n v="0"/>
    <n v="0"/>
    <n v="0"/>
    <s v="PPDA"/>
    <s v="153 Public Procurement and Disposal of Public Assets Authority"/>
    <s v="N/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Review labour laws in line with the provisions in the local content framework "/>
    <n v="0"/>
    <n v="0"/>
    <n v="0"/>
    <n v="0"/>
    <n v="0"/>
    <n v="0"/>
    <n v="0"/>
    <n v="0"/>
    <n v="0"/>
    <n v="0"/>
    <n v="0"/>
    <s v="                   - "/>
    <n v="0.4"/>
    <n v="0"/>
    <s v="                   - "/>
    <s v="                   - "/>
    <n v="0"/>
    <s v="MoGLSD"/>
    <s v="018 Ministry of Gender, Labour and Social Development"/>
    <s v="MoJICA, Parliament"/>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Set up a fund to support local firms to be competitive in the domestic and international markets with the focus on high valued products. "/>
    <n v="1"/>
    <n v="1"/>
    <n v="0"/>
    <n v="0"/>
    <n v="0"/>
    <n v="1"/>
    <n v="1"/>
    <n v="1"/>
    <n v="0.625"/>
    <n v="0"/>
    <n v="0"/>
    <s v="                   - "/>
    <s v="                   - "/>
    <s v="                   - "/>
    <s v="                   - "/>
    <s v="                   - "/>
    <n v="0"/>
    <s v="UIA"/>
    <s v="310 Uganda Investment Authority (UIA)"/>
    <s v="N/A"/>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Attract Greenfield Investments along the new growth corridors "/>
    <n v="1"/>
    <n v="1"/>
    <n v="1"/>
    <n v="1"/>
    <n v="1"/>
    <n v="1"/>
    <n v="1"/>
    <n v="1"/>
    <n v="1"/>
    <n v="0"/>
    <n v="0"/>
    <s v="                   - "/>
    <n v="0.1"/>
    <n v="0.1"/>
    <n v="0.1"/>
    <n v="0.1"/>
    <n v="0.2"/>
    <s v="MoFPED (UFZA)"/>
    <s v="008 Ministry of Finance, Planning &amp; Economic Dev."/>
    <s v="UIA, UDC, PSFU, MoTIC"/>
  </r>
  <r>
    <x v="8"/>
    <x v="8"/>
    <s v="071"/>
    <s v="Enabling Environment"/>
    <s v="0713"/>
    <s v="Promote local content in public programmes "/>
    <s v="071301"/>
    <s v="Develop and implement a holistic local content policy, legal and institutional framework "/>
    <m/>
    <m/>
    <s v="07130101"/>
    <s v="An overarching local content policy framework developed  "/>
    <m/>
    <m/>
    <m/>
    <m/>
    <m/>
    <m/>
    <m/>
    <m/>
    <e v="#N/A"/>
    <s v=" Review of legal and regulatory frameworks to remove restrictive legislation and fast track pending bills (National Investment Policy; Economic Development Policy; and National Population Policy and Process the Annual Agenda of the Development Committee) "/>
    <n v="0"/>
    <n v="0"/>
    <n v="0"/>
    <n v="1"/>
    <n v="1"/>
    <n v="0"/>
    <n v="0"/>
    <n v="1"/>
    <n v="0.375"/>
    <n v="0"/>
    <n v="0"/>
    <s v="                   - "/>
    <s v="                   - "/>
    <s v="                   - "/>
    <s v="                   - "/>
    <s v="                   - "/>
    <n v="0"/>
    <s v="MoFPED"/>
    <s v="008 Ministry of Finance, Planning &amp; Economic Dev."/>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s v="No of local contractors benefitting from local content capacity development initiatives "/>
    <s v="TBD"/>
    <s v="TBD"/>
    <s v="TBD"/>
    <s v="TBD"/>
    <s v="TBD"/>
    <s v="TBD"/>
    <s v="MFPED"/>
    <e v="#N/A"/>
    <s v=" Training of local contractors in investment partnership management "/>
    <n v="0"/>
    <n v="0"/>
    <n v="0"/>
    <n v="0"/>
    <n v="0"/>
    <n v="0"/>
    <n v="0"/>
    <n v="0"/>
    <n v="0"/>
    <n v="0"/>
    <n v="0"/>
    <n v="0"/>
    <n v="0"/>
    <n v="0"/>
    <n v="0"/>
    <n v="0"/>
    <n v="0"/>
    <s v="MoTIC"/>
    <s v="015 Ministry of Trade, Industry and Cooperatives"/>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s v="A public construction company in place"/>
    <n v="0"/>
    <n v="0"/>
    <n v="0"/>
    <s v="1 public company"/>
    <n v="0"/>
    <n v="0"/>
    <s v="UDC"/>
    <s v="015 Ministry of Trade, Industry and Cooperatives"/>
    <s v=" Undertake assessment of industry processes and systems "/>
    <n v="1"/>
    <n v="1"/>
    <n v="1"/>
    <n v="1"/>
    <n v="1"/>
    <n v="1"/>
    <n v="1"/>
    <n v="1"/>
    <n v="1"/>
    <n v="0"/>
    <n v="0"/>
    <n v="1"/>
    <n v="1"/>
    <n v="1"/>
    <n v="1"/>
    <n v="1"/>
    <n v="2"/>
    <s v="UNBS"/>
    <s v="154 Uganda National Bureau of Standards"/>
    <s v="UIRI, UR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s v=" No of local contractors trained in investment partnership management"/>
    <s v="TBD"/>
    <n v="100"/>
    <n v="100"/>
    <n v="200"/>
    <n v="200"/>
    <n v="200"/>
    <s v="MoTIC"/>
    <s v="015 Ministry of Trade, Industry and Cooperatives"/>
    <s v=" Conduct an inventory of locally produced goods services and works that can be purchased by government "/>
    <n v="1"/>
    <n v="1"/>
    <n v="1"/>
    <n v="0"/>
    <n v="1"/>
    <n v="1"/>
    <n v="1"/>
    <n v="1"/>
    <n v="0.875"/>
    <n v="0"/>
    <n v="0"/>
    <n v="0.2"/>
    <n v="0.3"/>
    <n v="0.3"/>
    <n v="0.1"/>
    <s v="                   - "/>
    <n v="0.1"/>
    <s v="MoFPED"/>
    <s v="008 Ministry of Finance, Planning &amp; Economic Dev."/>
    <s v="PPDA, MoTIC"/>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Develop a database of SMEs and Marginalised groups. "/>
    <n v="1"/>
    <n v="1"/>
    <n v="1"/>
    <n v="1"/>
    <n v="0"/>
    <n v="0"/>
    <n v="1"/>
    <n v="1"/>
    <n v="0.75"/>
    <n v="0"/>
    <n v="0"/>
    <s v="                   - "/>
    <s v="                   - "/>
    <s v="                   - "/>
    <s v="                   - "/>
    <s v="                   - "/>
    <n v="0"/>
    <s v="MoFPED"/>
    <s v="008 Ministry of Finance, Planning &amp; Economic Dev."/>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Reserve goods, services and works for SMEs and marginalised groups "/>
    <n v="0"/>
    <n v="0"/>
    <n v="0"/>
    <n v="0"/>
    <n v="0"/>
    <n v="0"/>
    <n v="0"/>
    <n v="0"/>
    <n v="0"/>
    <n v="0"/>
    <n v="0"/>
    <s v="                   - "/>
    <s v="                   - "/>
    <s v="                   - "/>
    <s v="                   - "/>
    <s v="                   - "/>
    <n v="0"/>
    <s v="MoFPED"/>
    <s v="008 Ministry of Finance, Planning &amp; Economic Dev."/>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Conduct various studies sustainable procurement   "/>
    <n v="1"/>
    <n v="0"/>
    <n v="0"/>
    <n v="1"/>
    <n v="0"/>
    <n v="1"/>
    <n v="0"/>
    <n v="1"/>
    <n v="0.5"/>
    <n v="0"/>
    <n v="0"/>
    <s v="                   - "/>
    <s v="                   - "/>
    <s v="                   - "/>
    <s v="                   - "/>
    <s v="                   - "/>
    <n v="0"/>
    <s v="MoFPED"/>
    <s v="008 Ministry of Finance, Planning &amp; Economic Dev."/>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Loans agreements to observe the local content enhancement policy   "/>
    <n v="1"/>
    <n v="0"/>
    <n v="1"/>
    <n v="1"/>
    <n v="1"/>
    <n v="1"/>
    <n v="0"/>
    <n v="1"/>
    <n v="0.75"/>
    <n v="0"/>
    <n v="0"/>
    <n v="0.5"/>
    <n v="0.5"/>
    <n v="0.5"/>
    <n v="0.5"/>
    <n v="0.5"/>
    <n v="1"/>
    <s v="MoFPED"/>
    <s v="008 Ministry of Finance, Planning &amp; Economic Dev."/>
    <s v="PPDA, UDB"/>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Fast-track the rollout of the E-Government procurement and provide training to stakeholders  "/>
    <n v="1"/>
    <n v="0"/>
    <n v="0"/>
    <n v="1"/>
    <n v="1"/>
    <n v="1"/>
    <n v="0"/>
    <n v="1"/>
    <n v="0.625"/>
    <n v="0"/>
    <n v="0"/>
    <s v="                   - "/>
    <s v="                   - "/>
    <s v="                   - "/>
    <s v="                   - "/>
    <s v="                   - "/>
    <n v="0"/>
    <s v="PPDA"/>
    <s v="153 Public Procurement and Disposal of Public Assets Authority"/>
    <s v="N/A"/>
  </r>
  <r>
    <x v="8"/>
    <x v="8"/>
    <s v="071"/>
    <s v="Enabling Environment"/>
    <s v="0713"/>
    <s v="Promote local content in public programmes "/>
    <s v="071302"/>
    <s v="Build the capacity of local firms to benefit from public investments "/>
    <m/>
    <m/>
    <s v="07130201"/>
    <s v="Measures undertaken to increase the capacity of  the local contractors to participate in public investment programmes across sectors"/>
    <m/>
    <m/>
    <m/>
    <m/>
    <m/>
    <m/>
    <m/>
    <m/>
    <e v="#N/A"/>
    <s v=" Mobilise local firms’ participation in public investment programmes across sectors "/>
    <n v="0"/>
    <n v="0"/>
    <n v="0"/>
    <n v="0"/>
    <n v="0"/>
    <n v="0"/>
    <n v="0"/>
    <n v="0"/>
    <n v="0"/>
    <n v="0"/>
    <n v="0"/>
    <s v="                   - "/>
    <s v="                   - "/>
    <s v="                   - "/>
    <s v="                   - "/>
    <s v="                   - "/>
    <n v="0"/>
    <s v="MoFPED"/>
    <s v="008 Ministry of Finance, Planning &amp; Economic Dev."/>
    <s v="N/A"/>
  </r>
  <r>
    <x v="8"/>
    <x v="8"/>
    <s v="071"/>
    <s v="Enabling Environment"/>
    <s v="0713"/>
    <s v="Promote local content in public programmes "/>
    <s v="071303"/>
    <s v="Establish a public construction company"/>
    <m/>
    <m/>
    <s v="07130301"/>
    <s v="Construction company established"/>
    <s v="Construction company developed"/>
    <n v="0"/>
    <n v="1"/>
    <s v="-"/>
    <s v="-"/>
    <s v="-"/>
    <s v="-"/>
    <s v="UDC"/>
    <s v="015 Ministry of Trade, Industry and Cooperatives"/>
    <s v=" Establish/create and capitalize a National Construction Company "/>
    <n v="0"/>
    <n v="0"/>
    <n v="0"/>
    <n v="0"/>
    <n v="0"/>
    <n v="0"/>
    <n v="0"/>
    <n v="0"/>
    <n v="0"/>
    <n v="1"/>
    <n v="0"/>
    <n v="0"/>
    <n v="0"/>
    <n v="10"/>
    <s v="                   - "/>
    <s v="                   - "/>
    <n v="0"/>
    <s v="MoTIC (UDC)"/>
    <s v="015 Ministry of Trade, Industry and Cooperatives"/>
    <s v="MoWT, MoFPED"/>
  </r>
  <r>
    <x v="8"/>
    <x v="8"/>
    <s v="071"/>
    <s v="Enabling Environment"/>
    <s v="0713"/>
    <s v="Promote local content in public programmes "/>
    <s v="071304"/>
    <s v="Develop and publicize a transparent incentive framework that supports local investors "/>
    <m/>
    <m/>
    <s v="07130401"/>
    <s v="Transparent incentive framework developed"/>
    <s v="Transparent incentive framework in place"/>
    <n v="0"/>
    <n v="0"/>
    <n v="0"/>
    <n v="1"/>
    <n v="0"/>
    <n v="0"/>
    <s v="MFPED"/>
    <e v="#N/A"/>
    <s v=" Development and adoption of the incentive’s framework "/>
    <n v="0"/>
    <n v="0"/>
    <n v="0"/>
    <n v="1"/>
    <n v="0"/>
    <n v="0"/>
    <n v="0"/>
    <n v="0"/>
    <n v="0.125"/>
    <n v="0"/>
    <n v="0"/>
    <s v="                   - "/>
    <s v="                   - "/>
    <s v="                   - "/>
    <s v="                   - "/>
    <s v="                   - "/>
    <n v="0"/>
    <s v="MoFPED"/>
    <s v="008 Ministry of Finance, Planning &amp; Economic Dev."/>
    <s v="N/A"/>
  </r>
  <r>
    <x v="8"/>
    <x v="8"/>
    <s v="071"/>
    <s v="Enabling Environment"/>
    <s v="0713"/>
    <s v="Promote local content in public programmes "/>
    <s v="071304"/>
    <s v="Develop and publicize a transparent incentive framework that supports local investors "/>
    <m/>
    <m/>
    <s v="07130401"/>
    <s v="Transparent incentive framework developed"/>
    <m/>
    <m/>
    <m/>
    <m/>
    <m/>
    <m/>
    <m/>
    <m/>
    <e v="#N/A"/>
    <s v=" Establish mechanisms for evaluating costs and benefits of incentives in place, their appropriate duration, and their impact on the economy. "/>
    <n v="0"/>
    <n v="0"/>
    <n v="0"/>
    <n v="0"/>
    <n v="0"/>
    <n v="0"/>
    <n v="0"/>
    <n v="0"/>
    <n v="0"/>
    <n v="0"/>
    <n v="0"/>
    <s v="                   - "/>
    <s v="                   - "/>
    <s v="                   - "/>
    <s v="                   - "/>
    <s v="                   - "/>
    <n v="0"/>
    <s v="MoTIC"/>
    <s v="015 Ministry of Trade, Industry and Cooperatives"/>
    <s v="N/A"/>
  </r>
  <r>
    <x v="8"/>
    <x v="8"/>
    <s v="071"/>
    <s v="Enabling Environment"/>
    <s v="0713"/>
    <s v="Promote local content in public programmes "/>
    <s v="071304"/>
    <s v="Develop and publicize a transparent incentive framework that supports local investors "/>
    <m/>
    <m/>
    <s v="07130401"/>
    <s v="Transparent incentive framework developed"/>
    <m/>
    <m/>
    <m/>
    <m/>
    <m/>
    <m/>
    <m/>
    <m/>
    <e v="#N/A"/>
    <s v=" Develop and publicise a transparent incentive framework that supports local investors (Mobilise SMEs to access PE) "/>
    <n v="0"/>
    <n v="0"/>
    <n v="0"/>
    <n v="0"/>
    <n v="0"/>
    <n v="0"/>
    <n v="0"/>
    <n v="0"/>
    <n v="0"/>
    <n v="0"/>
    <n v="0"/>
    <s v="                   - "/>
    <s v="                   - "/>
    <s v="                   - "/>
    <s v="                   - "/>
    <s v="                   - "/>
    <n v="0"/>
    <s v="MoTIC"/>
    <s v="015 Ministry of Trade, Industry and Cooperative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Number of FDI attracted in the developed bankable strategic projects "/>
    <n v="0"/>
    <n v="10"/>
    <n v="10"/>
    <n v="20"/>
    <n v="20"/>
    <n v="10"/>
    <s v="MOFA"/>
    <s v="006 Ministry of Foreign Affairs"/>
    <s v=" Conduct feasibility studies in strategic NDPIII areas for government and private sector investment "/>
    <n v="1"/>
    <n v="0"/>
    <n v="0"/>
    <n v="1"/>
    <n v="1"/>
    <n v="1"/>
    <n v="1"/>
    <n v="1"/>
    <n v="0.75"/>
    <n v="0"/>
    <n v="0"/>
    <n v="2"/>
    <n v="2.5"/>
    <n v="2.5"/>
    <n v="1.5"/>
    <n v="1.5"/>
    <n v="3"/>
    <s v="NPA"/>
    <s v="108 National Planning Authority"/>
    <s v="UIA. MoFPED, UDC, MDAs"/>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 Number of Feasibility Studies in strategic NDPIII areas for private and Government sector "/>
    <n v="5"/>
    <n v="4"/>
    <s v="5 "/>
    <s v=" 5"/>
    <s v="5 "/>
    <s v=" 5"/>
    <s v="NPA"/>
    <s v="108 National Planning Authority"/>
    <s v=" Coordinate the continuous development, review and approval of bankable strategic investment projects in the pipeline for  "/>
    <n v="1"/>
    <n v="1"/>
    <n v="1"/>
    <n v="1"/>
    <m/>
    <n v="1"/>
    <n v="1"/>
    <n v="1"/>
    <n v="0.875"/>
    <n v="0"/>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 No. of symposiums, summits, engagements organized to market investment opportunities in Uganda"/>
    <s v=" 1"/>
    <s v=" 2"/>
    <s v=" 3"/>
    <s v=" 3"/>
    <s v=" 3"/>
    <s v=" 3"/>
    <s v="MOFA"/>
    <s v="006 Ministry of Foreign Affairs"/>
    <s v=" Structural Transformation: Follow up and review of the Public Investment Management for Agro-industry (PIMA) Strategy "/>
    <n v="0"/>
    <n v="0"/>
    <n v="0"/>
    <n v="0"/>
    <n v="0"/>
    <n v="0"/>
    <n v="0"/>
    <n v="0"/>
    <n v="0"/>
    <n v="0"/>
    <n v="0"/>
    <n v="0"/>
    <n v="0"/>
    <n v="0"/>
    <n v="0"/>
    <n v="0"/>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 Regional Public Free zones along the Eastern and Albertine Growth corridors"/>
    <n v="0"/>
    <s v=" 0"/>
    <s v=" 0"/>
    <s v=" 1"/>
    <s v=" 0"/>
    <s v="1 "/>
    <s v="UFZA"/>
    <s v="008 Ministry of Finance, Planning &amp; Economic Dev."/>
    <s v=" Production and Publication of the Poverty Status Reports; Sustainable Development Reports; Annual Private Sector Development Report; and Background to the Budget "/>
    <n v="0"/>
    <n v="0"/>
    <n v="0"/>
    <n v="0"/>
    <n v="0"/>
    <n v="0"/>
    <n v="0"/>
    <n v="0"/>
    <n v="0"/>
    <n v="0"/>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Export Values from Freezones (USD Million)"/>
    <n v="0"/>
    <n v="1203.4000000000001"/>
    <n v="1270.0999999999999"/>
    <n v="1340.6"/>
    <n v="1414.8"/>
    <n v="1491.9"/>
    <s v="UFZA"/>
    <s v="008 Ministry of Finance, Planning &amp; Economic Dev."/>
    <s v=" Negotiation on EAC investment and fair implementation of the Common Market Protocol "/>
    <n v="1"/>
    <n v="1"/>
    <n v="1"/>
    <n v="1"/>
    <n v="0"/>
    <n v="1"/>
    <n v="1"/>
    <n v="1"/>
    <n v="0.875"/>
    <n v="0"/>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s v="Value of remittances (USD Million)"/>
    <n v="815"/>
    <n v="900"/>
    <n v="800"/>
    <n v="900"/>
    <n v="1000"/>
    <n v="1050"/>
    <s v="MOFA"/>
    <s v="006 Ministry of Foreign Affairs"/>
    <s v=" Review and amendment of the Public Enterprises Reform and Divestiture(PERD) Act 1993 "/>
    <n v="1"/>
    <n v="1"/>
    <n v="1"/>
    <n v="1"/>
    <n v="0"/>
    <n v="1"/>
    <n v="0"/>
    <n v="1"/>
    <n v="0.75"/>
    <n v="1"/>
    <n v="0"/>
    <s v="                   - "/>
    <s v="                   - "/>
    <s v="                   - "/>
    <s v="                   - "/>
    <s v="                   - "/>
    <n v="0"/>
    <s v="MoTIC (UDC)"/>
    <s v="015 Ministry of Trade, Industry and Cooperative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Developing of national capacity for rapid development and appraisal of investment projects in national priority areas. "/>
    <n v="0"/>
    <n v="0"/>
    <n v="0"/>
    <n v="0"/>
    <n v="0"/>
    <n v="0"/>
    <n v="0"/>
    <n v="0"/>
    <n v="0"/>
    <n v="0"/>
    <n v="0"/>
    <s v="                   - "/>
    <n v="0"/>
    <n v="0"/>
    <n v="0"/>
    <n v="0"/>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Mobilizing and facilitating private partnerships for equity investment in projects implemented by UDC "/>
    <n v="0"/>
    <n v="0"/>
    <n v="0"/>
    <n v="0"/>
    <n v="0"/>
    <n v="0"/>
    <n v="0"/>
    <n v="0"/>
    <n v="0"/>
    <n v="0"/>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Promoting Public Private Partnerships Dialogue and engagement for Local Economic Development  "/>
    <n v="1"/>
    <n v="1"/>
    <n v="1"/>
    <n v="1"/>
    <n v="1"/>
    <n v="1"/>
    <n v="1"/>
    <n v="1"/>
    <n v="1"/>
    <n v="0"/>
    <n v="0"/>
    <s v="                   - "/>
    <n v="0.99"/>
    <n v="0.99"/>
    <n v="0.99"/>
    <n v="0.99"/>
    <n v="1.98"/>
    <s v="MoFPED"/>
    <s v="008 Ministry of Finance, Planning &amp; Economic Dev."/>
    <s v="MoLG, LGs, PSFU, UM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Undertake economic and commercial diplomacy activities involving promoting global awareness of Investment opportunities in Uganda "/>
    <n v="1"/>
    <n v="1"/>
    <n v="1"/>
    <n v="1"/>
    <n v="1"/>
    <n v="1"/>
    <n v="1"/>
    <n v="1"/>
    <n v="1"/>
    <n v="0"/>
    <m/>
    <s v="                   - "/>
    <n v="0.2"/>
    <n v="0.2"/>
    <n v="0.2"/>
    <n v="0.2"/>
    <n v="0.4"/>
    <s v="MoFA"/>
    <s v="006 Ministry of Foreign Affair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Develop the diaspora engagement on infrastructure and address barriers limiting direct diaspora investment "/>
    <n v="0"/>
    <n v="0"/>
    <n v="0"/>
    <n v="0"/>
    <n v="0"/>
    <n v="0"/>
    <n v="0"/>
    <n v="0"/>
    <n v="0"/>
    <n v="0"/>
    <n v="0"/>
    <s v="                   - "/>
    <s v="                   - "/>
    <s v="                   - "/>
    <s v="                   - "/>
    <s v="                   - "/>
    <n v="0"/>
    <s v="MoFA"/>
    <s v="006 Ministry of Foreign Affair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Set up and fully equip 2 regional  public Free Zones along the Eastern and Albertine Growth Corridors "/>
    <n v="1"/>
    <n v="1"/>
    <n v="1"/>
    <n v="1"/>
    <n v="1"/>
    <n v="1"/>
    <n v="1"/>
    <n v="1"/>
    <n v="1"/>
    <n v="0"/>
    <n v="0"/>
    <s v="                   - "/>
    <n v="25"/>
    <n v="25"/>
    <n v="15"/>
    <n v="25"/>
    <n v="40"/>
    <s v="MoFPED (UFZA)"/>
    <s v="008 Ministry of Finance, Planning &amp; Economic Dev."/>
    <s v="MoWT"/>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Conduct Feasibility Studies for Buwaya, Kasese &amp; Soroti private Free Zones "/>
    <n v="1"/>
    <n v="1"/>
    <n v="1"/>
    <n v="1"/>
    <n v="1"/>
    <n v="1"/>
    <n v="1"/>
    <n v="1"/>
    <n v="1"/>
    <n v="0"/>
    <n v="0"/>
    <s v="                   - "/>
    <s v="                   - "/>
    <n v="0"/>
    <n v="0"/>
    <n v="0"/>
    <n v="0"/>
    <s v="MoFPED (UFZA)"/>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Identify and implement policies and strategies for mobilizing blended finance  "/>
    <n v="0"/>
    <n v="0"/>
    <n v="0"/>
    <n v="0"/>
    <n v="0"/>
    <n v="0"/>
    <n v="0"/>
    <n v="0"/>
    <n v="0"/>
    <n v="0"/>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Mobilize and incentivize the Ugandan diaspora to participate in  national development "/>
    <n v="0"/>
    <n v="0"/>
    <n v="0"/>
    <n v="0"/>
    <n v="0"/>
    <n v="0"/>
    <n v="0"/>
    <n v="0"/>
    <n v="0"/>
    <n v="0"/>
    <n v="0"/>
    <s v="                   - "/>
    <s v="                   - "/>
    <s v="                   - "/>
    <s v="                   - "/>
    <s v="                   - "/>
    <n v="0"/>
    <s v="MoFA"/>
    <s v="006 Ministry of Foreign Affair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1"/>
    <s v="Pipeline of bankable priority NDP3 projects developed for private investment"/>
    <m/>
    <m/>
    <m/>
    <m/>
    <m/>
    <m/>
    <m/>
    <m/>
    <e v="#N/A"/>
    <s v=" Review and amend the PERD Act "/>
    <n v="0"/>
    <n v="0"/>
    <n v="0"/>
    <n v="0"/>
    <n v="0"/>
    <n v="0"/>
    <n v="0"/>
    <n v="0"/>
    <n v="0"/>
    <n v="0"/>
    <n v="0"/>
    <s v="                   - "/>
    <n v="0.1"/>
    <n v="0.1"/>
    <s v="                   - "/>
    <s v="                   - "/>
    <n v="0"/>
    <s v="UIA"/>
    <s v="310 Uganda Investment Authority (UIA)"/>
    <s v="MoFPED, Parliament, MoJIC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2"/>
    <s v="Private sector funding through UDC increased "/>
    <s v="Value of UDC investment in strategic private companies (UGX BN)"/>
    <n v="0"/>
    <n v="0"/>
    <n v="0"/>
    <n v="50"/>
    <n v="50"/>
    <n v="50"/>
    <s v="UDC"/>
    <s v="015 Ministry of Trade, Industry and Cooperatives"/>
    <s v=" Increase the Total private equity investment facilitated by UDC "/>
    <n v="1"/>
    <n v="1"/>
    <n v="1"/>
    <n v="0"/>
    <n v="1"/>
    <n v="1"/>
    <n v="1"/>
    <n v="1"/>
    <n v="0.875"/>
    <m/>
    <n v="0"/>
    <s v="                   - "/>
    <s v="                   - "/>
    <s v="                   - "/>
    <s v="                   - "/>
    <s v="                   - "/>
    <n v="0"/>
    <s v="MoFPED"/>
    <s v="008 Ministry of Finance, Planning &amp; Economic Dev."/>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2"/>
    <s v="Private sector funding through UDC increased "/>
    <m/>
    <m/>
    <m/>
    <m/>
    <m/>
    <m/>
    <m/>
    <m/>
    <e v="#N/A"/>
    <s v=" Investment in government's key priority bankable projects "/>
    <n v="0"/>
    <n v="0"/>
    <n v="0"/>
    <n v="0"/>
    <n v="0"/>
    <n v="0"/>
    <n v="0"/>
    <n v="0"/>
    <n v="0"/>
    <n v="0"/>
    <n v="0"/>
    <s v="                   - "/>
    <s v="                   - "/>
    <n v="0"/>
    <n v="0"/>
    <n v="0"/>
    <n v="0"/>
    <s v="MoTIC (UDC)"/>
    <s v="015 Ministry of Trade, Industry and Cooperative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2"/>
    <s v="Private sector funding through UDC increased "/>
    <m/>
    <m/>
    <m/>
    <m/>
    <m/>
    <m/>
    <m/>
    <m/>
    <e v="#N/A"/>
    <s v="  Build the investment and management competence of UDC "/>
    <n v="1"/>
    <n v="1"/>
    <n v="1"/>
    <n v="1"/>
    <n v="1"/>
    <n v="1"/>
    <n v="1"/>
    <n v="1"/>
    <n v="1"/>
    <n v="1"/>
    <n v="0"/>
    <s v="                   - "/>
    <s v="                   - "/>
    <s v="                   - "/>
    <n v="10"/>
    <n v="50"/>
    <n v="60"/>
    <s v="MoTIC (UDC)"/>
    <s v="015 Ministry of Trade, Industry and Cooperative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m/>
    <s v="07140102"/>
    <s v="Private sector funding through UDC increased "/>
    <m/>
    <m/>
    <m/>
    <m/>
    <m/>
    <m/>
    <m/>
    <m/>
    <e v="#N/A"/>
    <s v="  Provide risk capital to SMEs with entrepreneurial and growth potential record. "/>
    <n v="1"/>
    <n v="1"/>
    <n v="1"/>
    <n v="1"/>
    <n v="1"/>
    <n v="1"/>
    <n v="1"/>
    <n v="1"/>
    <n v="1"/>
    <n v="0"/>
    <n v="0"/>
    <s v="                   - "/>
    <s v="                   - "/>
    <s v="                   - "/>
    <s v="                   - "/>
    <s v="                   - "/>
    <n v="0"/>
    <s v="MoTIC (UDC)"/>
    <s v="015 Ministry of Trade, Industry and Cooperatives"/>
    <s v="N/A"/>
  </r>
  <r>
    <x v="8"/>
    <x v="8"/>
    <s v="071"/>
    <s v="Enabling Environment"/>
    <s v="0714"/>
    <s v="Strengthen the role of government in unlocking investment in strategic economic sectors "/>
    <s v="071401"/>
    <s v="Undertake strategic and sustainable government investment and promote private sector partnerships in key growth areas  "/>
    <m/>
    <s v="promote Bilateral engagements for the benefit of Uganda and the eac"/>
    <s v="07140103"/>
    <s v="Improved value of uganda's exportto the EAC "/>
    <s v="No. of Bilateral engagements "/>
    <m/>
    <m/>
    <m/>
    <m/>
    <m/>
    <m/>
    <s v="MEACA"/>
    <s v="021 Ministry of East African Community Affairs Uganda"/>
    <s v="Coordinating of Bilaterals for enhanced trade"/>
    <n v="1"/>
    <n v="1"/>
    <n v="1"/>
    <n v="1"/>
    <n v="1"/>
    <n v="0"/>
    <n v="0"/>
    <n v="1"/>
    <n v="0.75"/>
    <n v="0"/>
    <n v="0"/>
    <n v="2"/>
    <n v="3"/>
    <n v="3.5"/>
    <n v="2.5"/>
    <n v="5"/>
    <n v="7.5"/>
    <s v="MEACA"/>
    <s v="021 East African Community"/>
    <m/>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s v="Number of Research projects undertaken to support private sector development"/>
    <n v="0"/>
    <n v="5"/>
    <n v="6"/>
    <n v="8"/>
    <n v="12"/>
    <n v="12"/>
    <s v="UIRI"/>
    <s v="110 Uganda Industrial Research Institute"/>
    <s v=" Establish partnerships between developed manufacturing firms and upcoming or starts-up "/>
    <n v="1"/>
    <n v="1"/>
    <n v="1"/>
    <n v="0"/>
    <n v="0"/>
    <n v="1"/>
    <n v="0"/>
    <n v="1"/>
    <n v="0.625"/>
    <n v="0"/>
    <n v="0"/>
    <s v="                   - "/>
    <s v="                   - "/>
    <s v="                   - "/>
    <s v="                   - "/>
    <s v="                   - "/>
    <n v="0"/>
    <s v="UIA (UMA)"/>
    <s v="310 Uganda Investment Authority (UIA)"/>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s v="No. of new Products developed through Research Partnerships "/>
    <n v="1"/>
    <n v="5"/>
    <n v="10"/>
    <n v="10"/>
    <n v="10"/>
    <n v="10"/>
    <s v="MOSTI"/>
    <s v="023 Ministry of Science,Technology and Innovation"/>
    <s v=" Establish national, Regional and International partnerships and networks in research and innovation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s v="No. of outcomes and recommendations from research studies on private sector issues adopted in Government Policy eg. Annual Budgets"/>
    <n v="0"/>
    <n v="1"/>
    <n v="10"/>
    <n v="15"/>
    <n v="2020"/>
    <n v="20"/>
    <s v="EPRC"/>
    <e v="#N/A"/>
    <s v=" Increase funding to the innovation fund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Develop guidelines for integration of ST&amp;I in MDAs &amp; LGs development processes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Build Capacity of staff and stakeholders involved in research and innovation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Develop a National Policy and strategy for Technology Development and Transfer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Conduct Innovation and intellectual awareness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Incorporate ST&amp;I in the school curriculum "/>
    <n v="0"/>
    <n v="0"/>
    <n v="0"/>
    <n v="0"/>
    <n v="0"/>
    <n v="0"/>
    <n v="0"/>
    <n v="0"/>
    <n v="0"/>
    <n v="0"/>
    <n v="0"/>
    <s v="                   - "/>
    <s v="                   - "/>
    <s v="                   - "/>
    <s v="                   - "/>
    <s v="                   - "/>
    <n v="0"/>
    <s v="MoSTI"/>
    <s v="023 Ministry of Science,Technology and Innovation"/>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Conduct research on policies and complementary initiatives that would promote SMEs in value addition in key sectors "/>
    <n v="1"/>
    <n v="1"/>
    <n v="0"/>
    <n v="1"/>
    <n v="0"/>
    <n v="0"/>
    <n v="0"/>
    <n v="1"/>
    <n v="0.5"/>
    <n v="0"/>
    <n v="0"/>
    <s v="                   - "/>
    <s v="                   - "/>
    <s v="                   - "/>
    <s v="                   - "/>
    <s v="                   - "/>
    <n v="0"/>
    <s v="MoFPED (EPRC)"/>
    <s v="008 Ministry of Finance, Planning &amp; Economic Dev."/>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Conduct research on the necessary skills development requirements and how best to address the currently very low productivity due to lack of relevant skills among SMEs "/>
    <n v="1"/>
    <n v="0"/>
    <n v="0"/>
    <n v="0"/>
    <n v="0"/>
    <n v="0"/>
    <n v="0"/>
    <n v="1"/>
    <n v="0.25"/>
    <n v="0"/>
    <n v="0"/>
    <s v="                   - "/>
    <s v="                   - "/>
    <s v="                   - "/>
    <s v="                   - "/>
    <s v="                   - "/>
    <n v="0"/>
    <s v="MoFPED (EPRC)"/>
    <s v="008 Ministry of Finance, Planning &amp; Economic Dev."/>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Undertake research on the institutional reforms required to promote private sector  "/>
    <n v="1"/>
    <n v="0"/>
    <n v="0"/>
    <n v="0"/>
    <n v="0"/>
    <n v="0"/>
    <n v="0"/>
    <n v="0"/>
    <n v="0.125"/>
    <n v="0"/>
    <n v="0"/>
    <s v="                   - "/>
    <s v="                   - "/>
    <s v="                   - "/>
    <s v="                   - "/>
    <s v="                   - "/>
    <n v="0"/>
    <s v="MoFPED (EPRC)"/>
    <s v="008 Ministry of Finance, Planning &amp; Economic Dev."/>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Facilitate research on the critical issues for private sector access to credit, and markets "/>
    <n v="1"/>
    <n v="0"/>
    <n v="0"/>
    <n v="0"/>
    <n v="0"/>
    <n v="0"/>
    <n v="0"/>
    <n v="0"/>
    <n v="0.125"/>
    <n v="0"/>
    <n v="0"/>
    <s v="                   - "/>
    <s v="                   - "/>
    <s v="                   - "/>
    <s v="                   - "/>
    <s v="                   - "/>
    <n v="0"/>
    <s v="MoFPED (EPRC)"/>
    <s v="008 Ministry of Finance, Planning &amp; Economic Dev."/>
    <s v="N/A"/>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Produce new products/innovations from research and development "/>
    <n v="1"/>
    <n v="1"/>
    <n v="1"/>
    <n v="1"/>
    <n v="1"/>
    <n v="1"/>
    <n v="1"/>
    <n v="1"/>
    <n v="1"/>
    <n v="0"/>
    <n v="0"/>
    <n v="2"/>
    <n v="2"/>
    <n v="2"/>
    <n v="2"/>
    <n v="2"/>
    <n v="4"/>
    <s v="UIRI"/>
    <s v="110 Uganda Industrial Research Institute"/>
    <s v="MoSTI"/>
  </r>
  <r>
    <x v="8"/>
    <x v="8"/>
    <s v="071"/>
    <s v="Enabling Environment"/>
    <s v="0714"/>
    <s v="Strengthen the role of government in unlocking investment in strategic economic sectors "/>
    <s v="071402"/>
    <s v="Strengthen research and innovation capacity in support of private and public investment "/>
    <m/>
    <m/>
    <s v="07140201"/>
    <s v="Capacity for research and development strengthened to support private and public investment "/>
    <m/>
    <m/>
    <m/>
    <m/>
    <m/>
    <m/>
    <m/>
    <m/>
    <e v="#N/A"/>
    <s v=" Conduct SME, student and community training and outreach "/>
    <n v="1"/>
    <n v="1"/>
    <n v="1"/>
    <n v="1"/>
    <n v="1"/>
    <n v="1"/>
    <n v="1"/>
    <n v="1"/>
    <n v="1"/>
    <n v="0"/>
    <n v="0"/>
    <n v="0.5"/>
    <n v="0.5"/>
    <n v="0.5"/>
    <n v="0.6"/>
    <n v="0.6"/>
    <n v="1.2"/>
    <s v="UIRI"/>
    <s v="110 Uganda Industrial Research Institute"/>
    <s v="MoSTI, UMA, LGs"/>
  </r>
  <r>
    <x v="8"/>
    <x v="8"/>
    <s v="071"/>
    <s v="Enabling Environment"/>
    <s v="0714"/>
    <s v="Strengthen the role of government in unlocking investment in strategic economic sectors "/>
    <s v="071403"/>
    <s v="Implement regional commitments to accelerate intra-regional trade"/>
    <m/>
    <m/>
    <s v="07140301"/>
    <s v="Regioanal commitments implemented"/>
    <s v="Number of regional commitments implemented"/>
    <n v="0"/>
    <n v="1"/>
    <n v="1"/>
    <n v="1"/>
    <n v="1"/>
    <n v="1"/>
    <s v="MDAs"/>
    <e v="#N/A"/>
    <m/>
    <m/>
    <m/>
    <m/>
    <m/>
    <m/>
    <m/>
    <n v="0"/>
    <n v="0"/>
    <n v="0"/>
    <m/>
    <n v="0"/>
    <m/>
    <m/>
    <m/>
    <m/>
    <m/>
    <n v="0"/>
    <m/>
    <m/>
    <m/>
  </r>
  <r>
    <x v="8"/>
    <x v="8"/>
    <s v="071"/>
    <s v="Enabling Environment"/>
    <s v="0715"/>
    <s v="Strengthen the enabling environment and enforcement of standards "/>
    <s v="071501"/>
    <s v="Support the national conformity assessment system to attain international recognition through Accreditation "/>
    <m/>
    <m/>
    <s v="07150101"/>
    <s v="National conformity assessment system supported "/>
    <s v="Number of measures to support the national conformity assessment system implemented"/>
    <n v="0"/>
    <n v="2"/>
    <n v="2"/>
    <n v="2"/>
    <n v="2"/>
    <n v="2"/>
    <s v="MoTIC"/>
    <s v="015 Ministry of Trade, Industry and Cooperatives"/>
    <s v=" Support the Development and popularization  system for assessment to guide international accreditation of trade and industry services in the region. "/>
    <n v="0"/>
    <n v="0"/>
    <n v="0"/>
    <n v="0"/>
    <n v="0"/>
    <n v="0"/>
    <n v="0"/>
    <n v="0"/>
    <n v="0"/>
    <n v="0"/>
    <n v="0"/>
    <n v="0.5"/>
    <n v="0.5"/>
    <s v="                   - "/>
    <s v="                   - "/>
    <s v="                   - "/>
    <n v="0"/>
    <s v="MoTIC"/>
    <s v="015 Ministry of Trade, Industry and Cooperatives"/>
    <s v="URSB, UNBS"/>
  </r>
  <r>
    <x v="8"/>
    <x v="8"/>
    <s v="071"/>
    <s v="Enabling Environment"/>
    <s v="0715"/>
    <s v="Strengthen the enabling environment and enforcement of standards "/>
    <s v="071501"/>
    <s v="Support the national conformity assessment system to attain international recognition through Accreditation "/>
    <m/>
    <m/>
    <s v="07150101"/>
    <s v="National conformity assessment system supported "/>
    <s v=" No of enterprises conforming to national standards developed by UNBS"/>
    <n v="500"/>
    <n v="1000"/>
    <n v="2000"/>
    <n v="2500"/>
    <n v="3000"/>
    <n v="3000"/>
    <s v="UNBS"/>
    <s v="154 Uganda National Bureau of Standards"/>
    <s v=" Develop, implement and popularize standards and procedures for conformity assessment "/>
    <n v="1"/>
    <n v="1"/>
    <n v="1"/>
    <n v="1"/>
    <n v="1"/>
    <n v="1"/>
    <n v="1"/>
    <n v="1"/>
    <n v="1"/>
    <n v="0"/>
    <n v="0"/>
    <n v="1"/>
    <n v="1"/>
    <n v="1"/>
    <n v="1"/>
    <n v="1"/>
    <n v="2"/>
    <s v="UNBS"/>
    <s v="154 Uganda National Bureau of Standards"/>
    <s v="URSB, URA"/>
  </r>
  <r>
    <x v="8"/>
    <x v="8"/>
    <s v="071"/>
    <s v="Enabling Environment"/>
    <s v="0715"/>
    <s v="Strengthen the enabling environment and enforcement of standards "/>
    <s v="071501"/>
    <s v="Support the national conformity assessment system to attain international recognition through Accreditation "/>
    <m/>
    <m/>
    <s v="07150101"/>
    <s v="National conformity assessment system supported "/>
    <s v="No of standards and procedures for conformity developed "/>
    <n v="2"/>
    <n v="10"/>
    <n v="15"/>
    <n v="15"/>
    <n v="15"/>
    <n v="15"/>
    <s v="UNBS"/>
    <s v="154 Uganda National Bureau of Standards"/>
    <s v=" Maintain and expand the existing scope for accreditation to ensure recognition of UNBS certification services, testing  and metrology services, as well as inclusion of Imports Inspection, market surveillance and Legal Metrology "/>
    <n v="1"/>
    <n v="1"/>
    <n v="1"/>
    <n v="1"/>
    <n v="1"/>
    <n v="1"/>
    <n v="1"/>
    <n v="1"/>
    <n v="1"/>
    <n v="0"/>
    <n v="0"/>
    <n v="1.2"/>
    <n v="1.2"/>
    <n v="1.2"/>
    <n v="1.2"/>
    <n v="1.2"/>
    <n v="2.4"/>
    <s v="UNBS"/>
    <s v="154 Uganda National Bureau of Standards"/>
    <s v="URA"/>
  </r>
  <r>
    <x v="8"/>
    <x v="8"/>
    <s v="071"/>
    <s v="Enabling Environment"/>
    <s v="0715"/>
    <s v="Strengthen the enabling environment and enforcement of standards "/>
    <s v="071501"/>
    <s v="Support the national conformity assessment system to attain international recognition through Accreditation "/>
    <m/>
    <m/>
    <s v="07150101"/>
    <s v="National conformity assessment system supported "/>
    <m/>
    <m/>
    <m/>
    <m/>
    <m/>
    <m/>
    <m/>
    <m/>
    <e v="#N/A"/>
    <s v=" Undertake training of Auditors for maintenance of competence and registration in fulfilment of accreditation requirements "/>
    <n v="1"/>
    <n v="1"/>
    <n v="1"/>
    <n v="1"/>
    <n v="1"/>
    <n v="1"/>
    <n v="1"/>
    <n v="1"/>
    <n v="1"/>
    <n v="0"/>
    <n v="0"/>
    <n v="0.3"/>
    <n v="0.3"/>
    <n v="0.3"/>
    <n v="0.3"/>
    <n v="0.3"/>
    <n v="0.6"/>
    <s v="UNBS"/>
    <s v="154 Uganda National Bureau of Standards"/>
    <s v="N/A"/>
  </r>
  <r>
    <x v="8"/>
    <x v="8"/>
    <s v="071"/>
    <s v="Enabling Environment"/>
    <s v="0715"/>
    <s v="Strengthen the enabling environment and enforcement of standards "/>
    <s v="071501"/>
    <s v="Support the national conformity assessment system to attain international recognition through Accreditation "/>
    <m/>
    <m/>
    <s v="07150101"/>
    <s v="National conformity assessment system supported "/>
    <m/>
    <m/>
    <m/>
    <m/>
    <m/>
    <m/>
    <m/>
    <m/>
    <e v="#N/A"/>
    <s v=" Increase testing capacity by strengthening the laboratory recognition scheme for private and Government laboratories. "/>
    <n v="1"/>
    <n v="0"/>
    <n v="0"/>
    <n v="1"/>
    <n v="1"/>
    <n v="1"/>
    <n v="1"/>
    <n v="1"/>
    <n v="0.75"/>
    <n v="0"/>
    <n v="0"/>
    <n v="0.1"/>
    <n v="0.11"/>
    <n v="0.12"/>
    <n v="0.13"/>
    <n v="0.14000000000000001"/>
    <n v="0.27"/>
    <s v="UNBS"/>
    <s v="154 Uganda National Bureau of Standards"/>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Harmonized policy frameworks on Investment and trade in place"/>
    <n v="0"/>
    <n v="0"/>
    <n v="4"/>
    <n v="3"/>
    <n v="3"/>
    <n v="0"/>
    <s v="MoTIC"/>
    <s v="015 Ministry of Trade, Industry and Cooperatives"/>
    <s v=" Review and harmonize policy frameworks on regional investment and trade "/>
    <n v="1"/>
    <n v="1"/>
    <n v="1"/>
    <n v="1"/>
    <n v="1"/>
    <n v="1"/>
    <n v="1"/>
    <n v="1"/>
    <n v="1"/>
    <n v="0"/>
    <n v="0"/>
    <n v="0.4"/>
    <n v="0.2"/>
    <n v="0.2"/>
    <n v="0.2"/>
    <s v="                   - "/>
    <n v="0.2"/>
    <s v="MoTIC"/>
    <s v="015 Ministry of Trade, Industry and Cooperatives"/>
    <s v="MEACA, UR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No. of nontariff barriers to trade and investment eliminated"/>
    <n v="0"/>
    <n v="5"/>
    <n v="5"/>
    <n v="4"/>
    <n v="4"/>
    <n v="3"/>
    <s v="MoTIC"/>
    <s v="015 Ministry of Trade, Industry and Cooperatives"/>
    <s v=" Support the tracking of goods and services to prevent counterfeits and nontrade barriers "/>
    <n v="0"/>
    <n v="0"/>
    <n v="0"/>
    <n v="0"/>
    <n v="0"/>
    <n v="0"/>
    <n v="0"/>
    <n v="0"/>
    <n v="0"/>
    <n v="0"/>
    <n v="0"/>
    <s v="                   - "/>
    <s v="                   - "/>
    <s v="                   - "/>
    <s v="                   - "/>
    <s v="                   - "/>
    <n v="0"/>
    <s v="MoTIC"/>
    <s v="015 Ministry of Trade, Industry and Cooperatives"/>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No. of seizures and destruction of substandard good "/>
    <n v="252"/>
    <n v="700"/>
    <n v="770"/>
    <n v="847"/>
    <n v="931"/>
    <n v="1024"/>
    <s v="UNBS"/>
    <s v="154 Uganda National Bureau of Standards"/>
    <s v=" Review and resolve Nontariff barriers issues constraining trade and investment in the EAC "/>
    <n v="1"/>
    <n v="1"/>
    <n v="1"/>
    <n v="1"/>
    <n v="1"/>
    <n v="1"/>
    <n v="1"/>
    <n v="1"/>
    <n v="1"/>
    <n v="0"/>
    <n v="0"/>
    <s v="                   - "/>
    <s v="                   - "/>
    <s v="                   - "/>
    <s v="                   - "/>
    <s v="                   - "/>
    <n v="0"/>
    <s v="MEACA"/>
    <s v="021 Ministry of East African Community Affairs Uganda"/>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 No. of seizures and destruction of substandard good (Metric tonnes)"/>
    <s v=" 518 "/>
    <s v=" 567"/>
    <s v=" 627"/>
    <s v=" 689"/>
    <s v=" 758"/>
    <s v=" 835"/>
    <s v="URA"/>
    <s v="141 Uganda Revenue Authority"/>
    <s v=" Intensify the tracking and elimination of substandard goods and services and counterfeit goods  "/>
    <n v="1"/>
    <n v="1"/>
    <n v="1"/>
    <n v="1"/>
    <n v="1"/>
    <n v="1"/>
    <n v="0"/>
    <n v="1"/>
    <n v="0.875"/>
    <n v="0"/>
    <n v="0"/>
    <n v="3.2"/>
    <n v="3.2"/>
    <n v="3.2"/>
    <n v="3.2"/>
    <n v="3.2"/>
    <n v="6.4"/>
    <s v="UNBS"/>
    <s v="154 Uganda National Bureau of Standards"/>
    <s v="UR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Number of new standards developed"/>
    <n v="254"/>
    <n v="600"/>
    <n v="700"/>
    <n v="770"/>
    <n v="900"/>
    <n v="1030"/>
    <s v="UNBS"/>
    <s v="154 Uganda National Bureau of Standards"/>
    <s v=" Develop new standards in line with products and services innovations  "/>
    <n v="1"/>
    <n v="1"/>
    <n v="1"/>
    <n v="1"/>
    <n v="1"/>
    <n v="1"/>
    <n v="1"/>
    <n v="1"/>
    <n v="1"/>
    <n v="0"/>
    <n v="0"/>
    <n v="1.5"/>
    <n v="1.65"/>
    <n v="1.82"/>
    <n v="2"/>
    <n v="2.2000000000000002"/>
    <n v="4.2"/>
    <s v="UNBS"/>
    <s v="154 Uganda National Bureau of Standards"/>
    <s v="URSB"/>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No. of counterfeits tracked and destroyed (No. of seizures)"/>
    <n v="252"/>
    <n v="800"/>
    <n v="900"/>
    <n v="1000"/>
    <n v="1100"/>
    <n v="1200"/>
    <s v="UNBS"/>
    <s v="154 Uganda National Bureau of Standards"/>
    <s v=" Increase the number of accredited labs  "/>
    <n v="1"/>
    <n v="1"/>
    <n v="1"/>
    <n v="1"/>
    <n v="1"/>
    <n v="1"/>
    <n v="1"/>
    <n v="1"/>
    <n v="1"/>
    <n v="0"/>
    <n v="0"/>
    <s v="                   - "/>
    <s v="                   - "/>
    <s v="                   - "/>
    <s v="                   - "/>
    <s v="                   - "/>
    <n v="0"/>
    <s v="UNBS"/>
    <s v="154 Uganda National Bureau of Standards"/>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Institutional and policy frameworks for investment and trade harmonized"/>
    <n v="0"/>
    <n v="0"/>
    <n v="1"/>
    <n v="1"/>
    <n v="1"/>
    <n v="1"/>
    <s v="MoTIC"/>
    <s v="015 Ministry of Trade, Industry and Cooperatives"/>
    <s v=" Support local SMEs especially manufacturers to meet the standards requires to export their products "/>
    <n v="0"/>
    <n v="0"/>
    <n v="0"/>
    <n v="0"/>
    <n v="0"/>
    <n v="0"/>
    <n v="0"/>
    <n v="0"/>
    <n v="0"/>
    <n v="0"/>
    <n v="0"/>
    <s v="                   - "/>
    <s v="                   - "/>
    <s v="                   - "/>
    <s v="                   - "/>
    <s v="                   - "/>
    <n v="0"/>
    <s v="UIA (UMA)"/>
    <s v="310 Uganda Investment Authority (UIA)"/>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No. of mutual recognition arrangements ( MRAs) concluded) on  Conformity Assessment processes and Procedures  harmonized at Regional Level to facilitate trade"/>
    <n v="0"/>
    <n v="2"/>
    <n v="3"/>
    <n v="3"/>
    <n v="4"/>
    <n v="4"/>
    <s v="MoTIC"/>
    <s v="015 Ministry of Trade, Industry and Cooperatives"/>
    <s v=" Participate in developing trade and investment frameworks "/>
    <n v="0"/>
    <n v="0"/>
    <n v="0"/>
    <n v="0"/>
    <n v="0"/>
    <n v="0"/>
    <n v="0"/>
    <n v="1"/>
    <n v="0.125"/>
    <n v="0"/>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s v=" No of decentralized quality infrastructure in place (food safety laboratories)"/>
    <s v=" 0"/>
    <s v=" 1"/>
    <s v="2 "/>
    <s v=" 3"/>
    <s v=" 4"/>
    <s v="5 "/>
    <s v="UNBS"/>
    <s v="154 Uganda National Bureau of Standards"/>
    <s v=" Collaborate with MDAs &amp; EAC revenue authorities on standard  development and harmonization  "/>
    <n v="1"/>
    <n v="1"/>
    <n v="1"/>
    <n v="1"/>
    <n v="1"/>
    <n v="1"/>
    <n v="1"/>
    <n v="1"/>
    <n v="1"/>
    <n v="0"/>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 Strengthen verification and enforcement "/>
    <n v="0"/>
    <n v="0"/>
    <n v="0"/>
    <n v="0"/>
    <n v="0"/>
    <n v="0"/>
    <n v="0"/>
    <n v="1"/>
    <n v="0.125"/>
    <n v="0"/>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  Decentralization of UNBS services and quality infrastructure (Food safety laboratories)  "/>
    <n v="1"/>
    <n v="1"/>
    <n v="1"/>
    <n v="1"/>
    <n v="1"/>
    <n v="1"/>
    <n v="1"/>
    <n v="1"/>
    <n v="1"/>
    <n v="0"/>
    <n v="0"/>
    <n v="1.85"/>
    <n v="2.5"/>
    <n v="2.5"/>
    <n v="2.5"/>
    <n v="2.5"/>
    <n v="5"/>
    <s v="UNBS"/>
    <s v="154 Uganda National Bureau of Standards"/>
    <s v="MoTIC, UR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 Harmonize Legal Metrology  procedures and processes in accordance with EAC and other Regional Agreements to minimize technical barriers to trade (NTBs) "/>
    <n v="1"/>
    <n v="1"/>
    <n v="1"/>
    <n v="1"/>
    <n v="0"/>
    <n v="1"/>
    <n v="1"/>
    <n v="1"/>
    <n v="0.875"/>
    <n v="0"/>
    <n v="0"/>
    <n v="0.9"/>
    <n v="1.5"/>
    <n v="0.9"/>
    <n v="0"/>
    <n v="0"/>
    <n v="0"/>
    <s v="UNBS"/>
    <s v="154 Uganda National Bureau of Standards"/>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Harmonize certification procedures and processes in accordance with EAC and other Regional Agreements to minimize technical barriers to trade (NTBs) "/>
    <n v="0"/>
    <n v="0"/>
    <n v="0"/>
    <n v="0"/>
    <n v="0"/>
    <n v="0"/>
    <n v="0"/>
    <n v="0"/>
    <n v="0"/>
    <n v="0"/>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 Undertake Peer Assessment to promote mutual recognition of certification services to facilitate trade "/>
    <n v="0"/>
    <n v="0"/>
    <n v="0"/>
    <n v="0"/>
    <n v="0"/>
    <n v="0"/>
    <n v="0"/>
    <n v="0"/>
    <n v="0"/>
    <m/>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Harmonize Imports Inspection  procedures and processes in accordance with EAC and other Regional Agreements to minimize technical barriers to trade (NTBs "/>
    <n v="0"/>
    <n v="0"/>
    <n v="0"/>
    <n v="0"/>
    <n v="0"/>
    <n v="0"/>
    <n v="0"/>
    <n v="0"/>
    <n v="0"/>
    <m/>
    <n v="0"/>
    <s v="                   - "/>
    <s v="                   - "/>
    <s v="                   - "/>
    <s v="                   - "/>
    <s v="                   - "/>
    <n v="0"/>
    <s v="URA"/>
    <s v="141 Uganda Revenue Authority"/>
    <s v="N/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Harmonize Market Surveillance procedures and processes in accordance with EAC and other Regional Agreements to minimize technical barriers to trade (NTBs) "/>
    <n v="1"/>
    <n v="1"/>
    <n v="1"/>
    <n v="1"/>
    <n v="1"/>
    <n v="1"/>
    <n v="1"/>
    <n v="1"/>
    <n v="1"/>
    <n v="0"/>
    <n v="0"/>
    <n v="0.13"/>
    <s v="                   - "/>
    <s v="                   - "/>
    <s v="                   - "/>
    <n v="0.2"/>
    <n v="0.2"/>
    <s v="MoTIC"/>
    <s v="015 Ministry of Trade, Industry and Cooperatives"/>
    <s v="UNBS, URA"/>
  </r>
  <r>
    <x v="8"/>
    <x v="8"/>
    <s v="071"/>
    <s v="Enabling Environment"/>
    <s v="0715"/>
    <s v="Strengthen the enabling environment and enforcement of standards "/>
    <s v="071502"/>
    <s v="Rationalize and harmonize standards institutions, and policies at local and regional level "/>
    <m/>
    <m/>
    <s v="07150201"/>
    <s v="Institutional and policy frameworks for investment and trade harmonized "/>
    <m/>
    <m/>
    <m/>
    <m/>
    <m/>
    <m/>
    <m/>
    <m/>
    <e v="#N/A"/>
    <s v=" Undertake Peer Assessment to promote mutual recognition of Market Surveillance services to facilitate trade "/>
    <n v="1"/>
    <n v="1"/>
    <n v="1"/>
    <n v="1"/>
    <n v="1"/>
    <n v="1"/>
    <n v="1"/>
    <n v="1"/>
    <n v="1"/>
    <n v="0"/>
    <n v="0"/>
    <n v="0.04"/>
    <n v="0.04"/>
    <n v="0.04"/>
    <n v="0.04"/>
    <n v="0.04"/>
    <n v="0.08"/>
    <s v="MoTIC"/>
    <s v="015 Ministry of Trade, Industry and Cooperatives"/>
    <s v="PSFU"/>
  </r>
  <r>
    <x v="8"/>
    <x v="8"/>
    <s v="071"/>
    <s v="Enabling Environment"/>
    <s v="0715"/>
    <s v="Strengthen the enabling environment and enforcement of standards "/>
    <s v="071502"/>
    <s v="Rationalize and harmonize standards institutions, and policies at local and regional level "/>
    <m/>
    <m/>
    <s v="07150202"/>
    <s v="Institutional capacity at UNBS strengthened"/>
    <s v="Number of fully functional Regional offices in place"/>
    <s v=" 0"/>
    <s v=" 1"/>
    <s v=" 2"/>
    <s v=" 3"/>
    <n v="4"/>
    <n v="5"/>
    <s v="UNBS"/>
    <s v="154 Uganda National Bureau of Standards"/>
    <m/>
    <m/>
    <m/>
    <m/>
    <m/>
    <m/>
    <m/>
    <n v="0"/>
    <n v="0"/>
    <n v="0"/>
    <m/>
    <n v="0"/>
    <m/>
    <m/>
    <m/>
    <m/>
    <m/>
    <n v="0"/>
    <m/>
    <m/>
    <m/>
  </r>
  <r>
    <x v="8"/>
    <x v="8"/>
    <s v="071"/>
    <s v="Enabling Environment"/>
    <s v="0715"/>
    <s v="Strengthen the enabling environment and enforcement of standards "/>
    <s v="071502"/>
    <s v="Rationalize and harmonize standards institutions, and policies at local and regional level "/>
    <m/>
    <m/>
    <s v="07150202"/>
    <s v="Institutional capacity at UNBS strengthened"/>
    <s v="Number of labs accredited"/>
    <n v="2"/>
    <n v="2"/>
    <n v="3"/>
    <n v="3"/>
    <n v="4"/>
    <n v="4"/>
    <s v="UNBS"/>
    <s v="154 Uganda National Bureau of Standards"/>
    <m/>
    <m/>
    <m/>
    <m/>
    <m/>
    <m/>
    <m/>
    <n v="0"/>
    <n v="0"/>
    <n v="0"/>
    <m/>
    <n v="0"/>
    <m/>
    <m/>
    <m/>
    <m/>
    <m/>
    <n v="0"/>
    <m/>
    <m/>
    <m/>
  </r>
  <r>
    <x v="8"/>
    <x v="8"/>
    <s v="071"/>
    <s v="Enabling Environment"/>
    <s v="0715"/>
    <s v="Strengthen the enabling environment and enforcement of standards "/>
    <s v="071502"/>
    <s v="Rationalize and harmonize standards institutions, and policies at local and regional level "/>
    <m/>
    <m/>
    <s v="07150202"/>
    <s v="Institutional capacity at UNBS strengthened"/>
    <s v="Prevalence of substandard goods in the market, %"/>
    <n v="51"/>
    <n v="45"/>
    <n v="40"/>
    <n v="35"/>
    <n v="30"/>
    <n v="25"/>
    <s v="UNBS"/>
    <s v="154 Uganda National Bureau of Standards"/>
    <m/>
    <m/>
    <m/>
    <m/>
    <m/>
    <m/>
    <m/>
    <n v="0"/>
    <n v="0"/>
    <n v="0"/>
    <m/>
    <n v="0"/>
    <m/>
    <m/>
    <m/>
    <m/>
    <m/>
    <n v="0"/>
    <m/>
    <m/>
    <m/>
  </r>
  <r>
    <x v="8"/>
    <x v="8"/>
    <s v="071"/>
    <s v="Enabling Environment"/>
    <s v="0715"/>
    <s v="Strengthen the enabling environment and enforcement of standards "/>
    <s v="071502"/>
    <s v="Rationalize and harmonize standards institutions, and policies at local and regional level "/>
    <m/>
    <m/>
    <s v="07150202"/>
    <s v="Institutional capacity at UNBS strengthened"/>
    <s v="No of decentralization quality infrastructure (Food safety laboratories)"/>
    <n v="0"/>
    <n v="1"/>
    <n v="2"/>
    <n v="3"/>
    <n v="4"/>
    <n v="5"/>
    <s v="UNBS"/>
    <s v="154 Uganda National Bureau of Standards"/>
    <m/>
    <m/>
    <m/>
    <m/>
    <m/>
    <m/>
    <m/>
    <n v="0"/>
    <n v="0"/>
    <n v="0"/>
    <m/>
    <n v="0"/>
    <m/>
    <m/>
    <m/>
    <m/>
    <m/>
    <n v="0"/>
    <m/>
    <m/>
    <m/>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s v="No. of Legal and regulatory framework in place, that removes restrictions"/>
    <n v="3"/>
    <n v="3"/>
    <n v="3"/>
    <n v="3"/>
    <n v="3"/>
    <n v="3"/>
    <s v="URSB, MTIC"/>
    <e v="#N/A"/>
    <s v="  Conduct reviews of existing laws and regulations "/>
    <n v="1"/>
    <n v="1"/>
    <n v="1"/>
    <n v="1"/>
    <n v="1"/>
    <n v="1"/>
    <n v="1"/>
    <n v="1"/>
    <n v="1"/>
    <n v="0"/>
    <n v="0"/>
    <s v="                   - "/>
    <n v="0.2"/>
    <n v="0.2"/>
    <s v="                   - "/>
    <s v="                   - "/>
    <n v="0"/>
    <s v="MoTIC"/>
    <s v="015 Ministry of Trade, Industry and Cooperatives"/>
    <s v="MoJICA, Parliament"/>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s v=" National formalization policy and action implementation plan"/>
    <n v="0"/>
    <n v="0"/>
    <n v="1"/>
    <n v="0"/>
    <n v="0"/>
    <n v="0"/>
    <s v="URSB"/>
    <s v="119 Uganda Registration Services Bureau"/>
    <s v=" Enhance tax education activities "/>
    <n v="0"/>
    <n v="0"/>
    <n v="0"/>
    <n v="0"/>
    <n v="0"/>
    <n v="0"/>
    <n v="0"/>
    <n v="1"/>
    <n v="0.125"/>
    <n v="0"/>
    <n v="0"/>
    <s v="                   - "/>
    <s v="                   - "/>
    <s v="                   - "/>
    <s v="                   - "/>
    <s v="                   - "/>
    <n v="0"/>
    <s v="URA"/>
    <s v="141 Uganda Revenue Authority"/>
    <s v="N/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s v="No. of incentives for formalization in place"/>
    <n v="0"/>
    <n v="4"/>
    <n v="4"/>
    <n v="4"/>
    <n v="4"/>
    <n v="4"/>
    <s v="URA"/>
    <s v="141 Uganda Revenue Authority"/>
    <s v=" Reform and update Commercial laws to promote competitiveness and regional integration "/>
    <n v="1"/>
    <n v="0"/>
    <n v="1"/>
    <n v="1"/>
    <n v="1"/>
    <n v="0"/>
    <n v="1"/>
    <n v="1"/>
    <n v="0.75"/>
    <n v="0"/>
    <n v="0"/>
    <n v="0.3"/>
    <n v="0.2"/>
    <n v="0.2"/>
    <n v="0.2"/>
    <n v="0.2"/>
    <n v="0.4"/>
    <s v="URSB"/>
    <s v="119 Uganda Registration Services Bureau"/>
    <s v="MoJICA, Parliament"/>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s v="No. of Commercial laws reformed and updated to promote competitiveness and regional integration"/>
    <n v="7"/>
    <n v="2"/>
    <n v="3"/>
    <n v="4"/>
    <n v="4"/>
    <n v="1"/>
    <s v="URSB"/>
    <s v="119 Uganda Registration Services Bureau"/>
    <s v="  Formulate a National Policy on business formalization "/>
    <n v="1"/>
    <n v="1"/>
    <n v="1"/>
    <n v="1"/>
    <n v="1"/>
    <n v="1"/>
    <n v="1"/>
    <n v="1"/>
    <n v="1"/>
    <n v="0"/>
    <n v="0"/>
    <s v="                   - "/>
    <n v="0.16"/>
    <s v="                   - "/>
    <s v="                   - "/>
    <s v="                   - "/>
    <n v="0"/>
    <s v="URSB"/>
    <s v="119 Uganda Registration Services Bureau"/>
    <s v="URA, NPA, MoFPED, MoTIC, PSFU"/>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s v="National Policy on business formalization formulated and implemented"/>
    <n v="0"/>
    <n v="0"/>
    <s v="1 policy"/>
    <n v="0"/>
    <n v="0"/>
    <n v="0"/>
    <s v="MFPED"/>
    <e v="#N/A"/>
    <s v=" Develop and Implement measures eliminating creation of new domestic arrears "/>
    <n v="0"/>
    <n v="0"/>
    <n v="0"/>
    <n v="0"/>
    <n v="0"/>
    <n v="0"/>
    <n v="0"/>
    <n v="0"/>
    <n v="0"/>
    <n v="0"/>
    <n v="0"/>
    <n v="0"/>
    <n v="0"/>
    <n v="0"/>
    <n v="0"/>
    <n v="0"/>
    <n v="0"/>
    <s v="MoFPED"/>
    <s v="008 Ministry of Finance, Planning &amp; Economic Dev."/>
    <s v="N/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1"/>
    <s v="Legal and regulatory frameworks reviewed to remove restrictions and provide incentives for formalization"/>
    <m/>
    <m/>
    <m/>
    <m/>
    <m/>
    <m/>
    <m/>
    <m/>
    <e v="#N/A"/>
    <s v=" Undertake the study on the structure, composition and challenges of the informal sector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2"/>
    <s v="Outstanding court awards, mandamus orders and compensation arrears settled "/>
    <s v="No of outstanding court awards, mandamus, orders and compensation arrears settled"/>
    <n v="10"/>
    <n v="50"/>
    <n v="50"/>
    <n v="100"/>
    <n v="120"/>
    <n v="150"/>
    <s v="MOJCA"/>
    <s v="007 Ministry of Justice and Constitutional Affairs"/>
    <s v=" Pay and clear court awards, mandamus orders and compensation arrears "/>
    <n v="1"/>
    <n v="0"/>
    <n v="1"/>
    <n v="1"/>
    <n v="1"/>
    <n v="1"/>
    <n v="1"/>
    <n v="1"/>
    <n v="0.875"/>
    <n v="0"/>
    <n v="0"/>
    <n v="52.5"/>
    <n v="47"/>
    <n v="46.5"/>
    <s v="                   - "/>
    <n v="0"/>
    <n v="0"/>
    <s v="MoJCA"/>
    <s v="007 Ministry of Justice and Constitutional Affairs"/>
    <s v="MoFPED"/>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2"/>
    <s v="Outstanding court awards, mandamus orders and compensation arrears settled "/>
    <m/>
    <m/>
    <m/>
    <m/>
    <m/>
    <m/>
    <m/>
    <m/>
    <e v="#N/A"/>
    <s v=" Mainstream policy aspects of Public Investment Management in the National Investment Policy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3"/>
    <s v="Faster settlement of awards resulting from tax appeals won by the private sector "/>
    <s v="Percentage of tax appeals awards settled with the private sector"/>
    <n v="0"/>
    <n v="0.05"/>
    <n v="0.05"/>
    <n v="0.1"/>
    <n v="0.15"/>
    <n v="0.2"/>
    <s v="TAT"/>
    <e v="#N/A"/>
    <s v=" Strengthen the capacity of tax appeals mechanisms to reduce on the time taken to resolve tax complaints. "/>
    <n v="1"/>
    <n v="1"/>
    <n v="1"/>
    <n v="1"/>
    <n v="1"/>
    <n v="1"/>
    <n v="1"/>
    <n v="1"/>
    <n v="1"/>
    <n v="0"/>
    <n v="0"/>
    <n v="0.2"/>
    <n v="0.2"/>
    <n v="0.2"/>
    <n v="0.2"/>
    <n v="0.2"/>
    <n v="0.4"/>
    <s v="MoFPED (TAT)"/>
    <s v="008 Ministry of Finance, Planning &amp; Economic Dev."/>
    <s v="MoFPED, UR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3"/>
    <s v="Faster settlement of awards resulting from tax appeals won by the private sector "/>
    <s v="Turnaround time for resolving time complaints (Months)"/>
    <n v="6"/>
    <n v="3"/>
    <n v="3"/>
    <n v="1"/>
    <n v="1"/>
    <n v="1"/>
    <s v="TAT"/>
    <e v="#N/A"/>
    <m/>
    <m/>
    <m/>
    <m/>
    <m/>
    <m/>
    <m/>
    <n v="0"/>
    <n v="0"/>
    <n v="0"/>
    <m/>
    <n v="0"/>
    <m/>
    <m/>
    <m/>
    <m/>
    <m/>
    <n v="0"/>
    <m/>
    <m/>
    <m/>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4"/>
    <s v="Domestic arrears eliminated "/>
    <s v="Not in results framework"/>
    <m/>
    <m/>
    <m/>
    <m/>
    <m/>
    <m/>
    <m/>
    <e v="#N/A"/>
    <s v="  Develop and Implement measures eliminating domestic arrears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3"/>
    <s v="Review the legal and regulatory frameworks to remove restrictive legislation and fast track pending bills and incentivize the formalization of businesses  "/>
    <m/>
    <m/>
    <s v="07150305"/>
    <s v="Harmaonised legal and regulatory frameworks"/>
    <s v="No. of laws and policies harmonised at National level/ by the respective MDA's"/>
    <m/>
    <m/>
    <m/>
    <m/>
    <m/>
    <m/>
    <s v="MEACA"/>
    <s v="021 Ministry of East African Community Affairs Uganda"/>
    <s v="Coordinating the Hamonisation of laws and regulations by the respective MDA'S"/>
    <n v="1"/>
    <n v="0"/>
    <n v="1"/>
    <n v="1"/>
    <n v="1"/>
    <n v="1"/>
    <n v="0"/>
    <n v="1"/>
    <n v="0.75"/>
    <n v="0"/>
    <n v="0"/>
    <n v="0.9"/>
    <n v="0.98750000000000004"/>
    <n v="1.05"/>
    <n v="1.25"/>
    <n v="1.3"/>
    <n v="2.5499999999999998"/>
    <s v="MEACA"/>
    <s v="021 East African Community"/>
    <m/>
  </r>
  <r>
    <x v="8"/>
    <x v="8"/>
    <s v="071"/>
    <s v="Enabling Environment"/>
    <s v="0715"/>
    <s v="Strengthen the enabling environment and enforcement of standards "/>
    <s v="071504"/>
    <s v="Improve data availability on the private sector; and Improve Dialogue between the private sector and Government "/>
    <m/>
    <m/>
    <s v="07150401"/>
    <s v="Adequate framework for a MSME database in place "/>
    <s v="Establishment of adequate framework for a MSMEs database"/>
    <n v="0"/>
    <s v=" 0"/>
    <s v=" 1"/>
    <s v=" 1"/>
    <s v=" 1"/>
    <s v=" 1"/>
    <s v="UIA"/>
    <s v="310 Uganda Investment Authority (UIA)"/>
    <s v=" Establishment of adequate framework for a MSMEs database "/>
    <n v="0"/>
    <n v="0"/>
    <n v="0"/>
    <n v="0"/>
    <n v="0"/>
    <n v="0"/>
    <n v="0"/>
    <n v="0"/>
    <n v="0"/>
    <n v="0"/>
    <n v="0"/>
    <n v="0"/>
    <n v="0"/>
    <n v="0"/>
    <n v="0"/>
    <n v="0"/>
    <n v="0"/>
    <s v="UIA"/>
    <s v="310 Uganda Investment Authority (UIA)"/>
    <s v="N/A"/>
  </r>
  <r>
    <x v="8"/>
    <x v="8"/>
    <s v="071"/>
    <s v="Enabling Environment"/>
    <s v="0715"/>
    <s v="Strengthen the enabling environment and enforcement of standards "/>
    <s v="071504"/>
    <s v="Improve data availability on the private sector; and Improve Dialogue between the private sector and Government "/>
    <m/>
    <m/>
    <s v="07150401"/>
    <s v="Adequate framework for a MSME database in place "/>
    <s v="MSMEs enterprises database in place"/>
    <s v=" 0"/>
    <s v=" 1"/>
    <s v=" 1"/>
    <s v=" 1"/>
    <s v=" 1"/>
    <s v=" 1"/>
    <s v="UIA"/>
    <s v="310 Uganda Investment Authority (UIA)"/>
    <s v=" Collaborate and join platforms and working groups involved in data management and its standardisation "/>
    <n v="0"/>
    <n v="0"/>
    <n v="0"/>
    <n v="0"/>
    <n v="0"/>
    <n v="0"/>
    <n v="0"/>
    <n v="0"/>
    <n v="0"/>
    <n v="0"/>
    <n v="0"/>
    <s v="                   - "/>
    <s v="                   - "/>
    <s v="                   - "/>
    <s v="                   - "/>
    <s v="                   - "/>
    <n v="0"/>
    <s v="UIA"/>
    <s v="310 Uganda Investment Authority (UIA)"/>
    <s v="N/A"/>
  </r>
  <r>
    <x v="8"/>
    <x v="8"/>
    <s v="071"/>
    <s v="Enabling Environment"/>
    <s v="0715"/>
    <s v="Strengthen the enabling environment and enforcement of standards "/>
    <s v="071504"/>
    <s v="Improve data availability on the private sector; and Improve Dialogue between the private sector and Government "/>
    <m/>
    <m/>
    <s v="07150401"/>
    <s v="Adequate framework for a MSME database in place "/>
    <m/>
    <m/>
    <m/>
    <m/>
    <m/>
    <m/>
    <m/>
    <m/>
    <e v="#N/A"/>
    <s v=" Integrate the MSME with the URA tax register "/>
    <n v="0"/>
    <n v="0"/>
    <n v="0"/>
    <n v="0"/>
    <n v="0"/>
    <n v="0"/>
    <n v="0"/>
    <n v="0"/>
    <n v="0"/>
    <n v="0"/>
    <n v="0"/>
    <s v="                   - "/>
    <s v="                   - "/>
    <s v="                   - "/>
    <s v="                   - "/>
    <s v="                   - "/>
    <n v="0"/>
    <s v="URA"/>
    <s v="141 Uganda Revenue Authority"/>
    <s v="N/A"/>
  </r>
  <r>
    <x v="8"/>
    <x v="8"/>
    <s v="071"/>
    <s v="Enabling Environment"/>
    <s v="0715"/>
    <s v="Strengthen the enabling environment and enforcement of standards "/>
    <s v="071504"/>
    <s v="Improve data availability on the private sector; and Improve Dialogue between the private sector and Government "/>
    <m/>
    <m/>
    <s v="07150401"/>
    <s v="Adequate framework for a MSME database in place "/>
    <m/>
    <m/>
    <m/>
    <m/>
    <m/>
    <m/>
    <m/>
    <m/>
    <e v="#N/A"/>
    <s v=" Monitor and report on PIRT points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s v="Value of green growth projects of the private sector (USD Million) "/>
    <n v="0"/>
    <n v="20000"/>
    <n v="25000"/>
    <n v="33000"/>
    <n v="40000"/>
    <n v="40000"/>
    <s v="MFPED"/>
    <e v="#N/A"/>
    <s v=" Review of Investment code to support investments for green growth "/>
    <n v="0"/>
    <n v="0"/>
    <n v="0"/>
    <n v="0"/>
    <n v="0"/>
    <n v="0"/>
    <n v="0"/>
    <n v="0"/>
    <n v="0"/>
    <n v="0"/>
    <n v="0"/>
    <s v="                   - "/>
    <s v="                   - "/>
    <s v="                   - "/>
    <s v="                   - "/>
    <s v="                   - "/>
    <n v="0"/>
    <s v="UIA"/>
    <s v="310 Uganda Investment Authority (UIA)"/>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s v=" Value of green finance resources financing NDPIII priorities (USD Million)"/>
    <n v="0"/>
    <n v="500"/>
    <n v="1200"/>
    <n v="1200"/>
    <n v="1200"/>
    <n v="2000"/>
    <s v="MFPED"/>
    <e v="#N/A"/>
    <s v=" Support the design of policies to encourage private sector involvement in green projects "/>
    <n v="0"/>
    <n v="0"/>
    <n v="0"/>
    <n v="0"/>
    <n v="0"/>
    <n v="0"/>
    <n v="0"/>
    <n v="0"/>
    <n v="0"/>
    <n v="0"/>
    <n v="0"/>
    <s v="                   - "/>
    <s v="                   - "/>
    <s v="                   - "/>
    <s v="                   - "/>
    <s v="                   - "/>
    <n v="0"/>
    <s v="MWE"/>
    <s v="019 Ministry of Water and Environment"/>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Developing and popularizing a preferred Local Economic development investment portfolio  "/>
    <n v="0"/>
    <n v="0"/>
    <n v="0"/>
    <n v="1"/>
    <n v="0"/>
    <n v="0"/>
    <n v="1"/>
    <n v="1"/>
    <n v="0.375"/>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Popularize the integration of Green financing and green growth responses in policies and regulations for sustainable trade, industrialization, and co-operative development.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Conduct sensitizations drives for the private sector on Green Growth and LED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Put in place incentives to attract the private sector to finance green growth  "/>
    <n v="0"/>
    <n v="0"/>
    <n v="0"/>
    <n v="0"/>
    <n v="0"/>
    <n v="0"/>
    <n v="0"/>
    <n v="0"/>
    <n v="0"/>
    <n v="0"/>
    <n v="0"/>
    <s v="                   - "/>
    <s v="                   - "/>
    <s v="                   - "/>
    <s v="                   - "/>
    <s v="                   - "/>
    <n v="0"/>
    <s v="MWE"/>
    <s v="019 Ministry of Water and Environment"/>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Partner with the private sector to mobilise financial resources and knowhow on green growth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Developing an incentives policy on green growth investment financing by the private sector.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Build the in-country capacity of government agencies and other involved stakeholders and institutions to design, implement and monitor policies to foster green growth objectives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Establishing institutional mechanisms for accessing privileges for investing in green growth financing.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5"/>
    <s v="Create appropriate incentives and regulatory frameworks to attract the private sector to finance green growth and promote LED "/>
    <m/>
    <m/>
    <s v="07150501"/>
    <s v="Incentives and regulatory frameworks to attract the private sector to finance green growth and promote LED in place"/>
    <m/>
    <m/>
    <m/>
    <m/>
    <m/>
    <m/>
    <m/>
    <m/>
    <e v="#N/A"/>
    <s v=" Build capacity of the private sector to access funds from the Green Climate fund "/>
    <n v="0"/>
    <n v="0"/>
    <n v="0"/>
    <n v="0"/>
    <n v="0"/>
    <n v="0"/>
    <n v="0"/>
    <n v="0"/>
    <n v="0"/>
    <n v="0"/>
    <n v="0"/>
    <s v="                   - "/>
    <s v="                   - "/>
    <s v="                   - "/>
    <s v="                   - "/>
    <s v="                   - "/>
    <n v="0"/>
    <s v="MoFPED"/>
    <s v="008 Ministry of Finance, Planning &amp; Economic Dev."/>
    <s v="N/A"/>
  </r>
  <r>
    <x v="8"/>
    <x v="8"/>
    <s v="071"/>
    <s v="Enabling Environment"/>
    <s v="0715"/>
    <s v="Strengthen the enabling environment and enforcement of standards "/>
    <s v="071506"/>
    <s v="Increase accessibility to serviced industrial parks  "/>
    <m/>
    <m/>
    <s v="07150601"/>
    <s v="Increased fully serviced industrial parks "/>
    <s v="Number of fully serviced industrial parks"/>
    <s v=" 0"/>
    <s v=" 1"/>
    <s v=" 1"/>
    <s v=" 1"/>
    <s v=" 1"/>
    <s v=" 1"/>
    <s v="UIA"/>
    <s v="310 Uganda Investment Authority (UIA)"/>
    <s v=" Developing  and servicing 2 new industrial parks/economic zones "/>
    <n v="1"/>
    <n v="1"/>
    <n v="1"/>
    <n v="1"/>
    <n v="1"/>
    <n v="1"/>
    <n v="1"/>
    <n v="1"/>
    <n v="1"/>
    <n v="1"/>
    <n v="0"/>
    <n v="0"/>
    <n v="0"/>
    <n v="0"/>
    <n v="0"/>
    <n v="0"/>
    <n v="0"/>
    <s v="UIA"/>
    <s v="310 Uganda Investment Authority (UIA)"/>
    <s v="N/A"/>
  </r>
  <r>
    <x v="8"/>
    <x v="8"/>
    <s v="071"/>
    <s v="Enabling Environment"/>
    <s v="0715"/>
    <s v="Strengthen the enabling environment and enforcement of standards "/>
    <s v="071506"/>
    <s v="Increase accessibility to serviced industrial parks  "/>
    <m/>
    <m/>
    <s v="07150601"/>
    <s v="Increased fully serviced industrial parks "/>
    <s v="No. of local private investors operating in industrial parks"/>
    <s v=" 0"/>
    <s v="1 "/>
    <s v="1 "/>
    <s v="1 "/>
    <s v="1 "/>
    <s v="1 "/>
    <s v="UIA"/>
    <s v="310 Uganda Investment Authority (UIA)"/>
    <s v="Rally the local private sector to seize the opportunities in industrial parks "/>
    <n v="1"/>
    <n v="1"/>
    <n v="1"/>
    <n v="1"/>
    <n v="1"/>
    <n v="1"/>
    <n v="1"/>
    <n v="1"/>
    <n v="1"/>
    <n v="0"/>
    <n v="0"/>
    <n v="0.1"/>
    <n v="0.1"/>
    <n v="0.1"/>
    <n v="0.1"/>
    <n v="0.1"/>
    <n v="0.2"/>
    <s v="UIA"/>
    <s v="310 Uganda Investment Authority (UIA)"/>
    <s v="PSFU, MoKCC&amp;MA"/>
  </r>
  <r>
    <x v="8"/>
    <x v="8"/>
    <s v="071"/>
    <s v="Enabling Environment"/>
    <s v="0715"/>
    <s v="Strengthen the enabling environment and enforcement of standards "/>
    <s v="071506"/>
    <s v="Increase accessibility to serviced industrial parks  "/>
    <m/>
    <m/>
    <s v="07150601"/>
    <s v="Increased fully serviced industrial parks "/>
    <s v="Number of new industrial parks/economic zones developed"/>
    <n v="0"/>
    <n v="1"/>
    <n v="1"/>
    <n v="1"/>
    <n v="2"/>
    <n v="2"/>
    <s v="UIA"/>
    <s v="310 Uganda Investment Authority (UIA)"/>
    <s v="Undertake a cost-benefit analysis for the local private sector to operate in industrial parks "/>
    <n v="0"/>
    <n v="0"/>
    <n v="0"/>
    <n v="0"/>
    <n v="0"/>
    <n v="0"/>
    <n v="0"/>
    <n v="0"/>
    <n v="0"/>
    <n v="0"/>
    <n v="0"/>
    <s v="                   - "/>
    <s v="                   - "/>
    <s v="                   - "/>
    <s v="                   - "/>
    <s v="                   - "/>
    <n v="0"/>
    <s v="UIA (UMA)"/>
    <s v="310 Uganda Investment Authority (UIA)"/>
    <s v="N/A"/>
  </r>
  <r>
    <x v="8"/>
    <x v="8"/>
    <s v="071"/>
    <s v="Enabling Environment"/>
    <s v="0715"/>
    <s v="Strengthen the enabling environment and enforcement of standards "/>
    <s v="071507"/>
    <s v="Increase accessibility to export processing zones "/>
    <m/>
    <m/>
    <s v="07150701"/>
    <s v="Export processing zones established "/>
    <s v="No of gazetted Free Zones."/>
    <n v="0"/>
    <n v="10"/>
    <n v="10"/>
    <n v="10"/>
    <n v="10"/>
    <n v="10"/>
    <s v="UFZA"/>
    <s v="008 Ministry of Finance, Planning &amp; Economic Dev."/>
    <s v="Develop unique Customs Procedure Code for Free Zones developed in collaboration with UFZA "/>
    <n v="1"/>
    <n v="0"/>
    <n v="1"/>
    <n v="1"/>
    <n v="0"/>
    <n v="1"/>
    <n v="1"/>
    <n v="1"/>
    <n v="0.75"/>
    <n v="0"/>
    <n v="0"/>
    <s v="                   - "/>
    <n v="0.03"/>
    <n v="0.03"/>
    <n v="0"/>
    <n v="0"/>
    <n v="0"/>
    <s v="URA"/>
    <s v="141 Uganda Revenue Authority"/>
    <s v="UFZA"/>
  </r>
  <r>
    <x v="8"/>
    <x v="8"/>
    <s v="071"/>
    <s v="Enabling Environment"/>
    <s v="0715"/>
    <s v="Strengthen the enabling environment and enforcement of standards "/>
    <s v="071507"/>
    <s v="Increase accessibility to export processing zones "/>
    <m/>
    <m/>
    <s v="07150701"/>
    <s v="Export processing zones established "/>
    <s v=" No. of Unique Customs procedure codes developed"/>
    <n v="0"/>
    <s v=" 15"/>
    <s v=" 25"/>
    <s v=" 35"/>
    <s v=" 35"/>
    <s v=" 40"/>
    <s v="UFZA"/>
    <s v="008 Ministry of Finance, Planning &amp; Economic Dev."/>
    <s v="Provision of incentives to local enterprises to operate in free zones "/>
    <n v="1"/>
    <n v="1"/>
    <n v="1"/>
    <n v="0"/>
    <n v="0"/>
    <n v="0"/>
    <n v="1"/>
    <n v="1"/>
    <n v="0.625"/>
    <n v="0"/>
    <n v="0"/>
    <s v="                   - "/>
    <s v="                   - "/>
    <s v="                   - "/>
    <s v="                   - "/>
    <s v="                   - "/>
    <n v="0"/>
    <s v="MoFPED"/>
    <s v="008 Ministry of Finance, Planning &amp; Economic Dev."/>
    <s v="N/A"/>
  </r>
  <r>
    <x v="8"/>
    <x v="8"/>
    <s v="071"/>
    <s v="Enabling Environment"/>
    <s v="0715"/>
    <s v="Strengthen the enabling environment and enforcement of standards "/>
    <s v="071507"/>
    <s v="Increase accessibility to export processing zones "/>
    <m/>
    <m/>
    <s v="07150701"/>
    <s v="Export processing zones established "/>
    <s v="No of public Free Zones with fully built industrial infrastructure and utilities"/>
    <n v="0"/>
    <n v="2"/>
    <n v="3"/>
    <n v="3"/>
    <n v="3"/>
    <n v="3"/>
    <s v="UFZA"/>
    <s v="008 Ministry of Finance, Planning &amp; Economic Dev."/>
    <s v="Market and attract developers and operators in the Public and Private Free Zones "/>
    <n v="1"/>
    <n v="1"/>
    <n v="1"/>
    <n v="1"/>
    <n v="1"/>
    <n v="1"/>
    <n v="1"/>
    <n v="1"/>
    <n v="1"/>
    <n v="0"/>
    <n v="0"/>
    <s v="                   - "/>
    <n v="0.14000000000000001"/>
    <n v="0.15"/>
    <n v="0.17"/>
    <n v="0.19"/>
    <n v="0.36"/>
    <s v="MoFPED (UFZA)"/>
    <s v="008 Ministry of Finance, Planning &amp; Economic Dev."/>
    <s v="PSFU, UMA, URA"/>
  </r>
  <r>
    <x v="8"/>
    <x v="8"/>
    <s v="071"/>
    <s v="Enabling Environment"/>
    <s v="0715"/>
    <s v="Strengthen the enabling environment and enforcement of standards "/>
    <s v="071507"/>
    <s v="Increase accessibility to export processing zones "/>
    <m/>
    <m/>
    <s v="07150701"/>
    <s v="Export processing zones established "/>
    <s v="Entebbe Free Zone fully built with industrial infrastructure"/>
    <s v="35% Industrial Infrustructure in place"/>
    <s v="50%  Industrial Infrustructure built"/>
    <s v="75% Industrial Infrustructure built"/>
    <s v="100% Construction completion"/>
    <s v="50% occupancy by private operators"/>
    <s v="100% occupancy by private operators"/>
    <s v="UFZA"/>
    <s v="008 Ministry of Finance, Planning &amp; Economic Dev."/>
    <s v="Completion of the construction of Entebbe International Airport Free Zone  "/>
    <n v="1"/>
    <n v="1"/>
    <n v="1"/>
    <n v="1"/>
    <n v="1"/>
    <n v="1"/>
    <n v="1"/>
    <n v="1"/>
    <n v="1"/>
    <n v="0"/>
    <n v="0"/>
    <n v="5.5"/>
    <n v="30.7"/>
    <n v="0.1"/>
    <n v="0.1"/>
    <n v="0.1"/>
    <n v="0.2"/>
    <s v="MoFPED (UFZA)"/>
    <s v="008 Ministry of Finance, Planning &amp; Economic Dev."/>
    <s v="MoWT"/>
  </r>
  <r>
    <x v="8"/>
    <x v="8"/>
    <s v="071"/>
    <s v="Enabling Environment"/>
    <s v="0715"/>
    <s v="Strengthen the enabling environment and enforcement of standards "/>
    <s v="071507"/>
    <s v="Increase accessibility to export processing zones "/>
    <m/>
    <m/>
    <s v="07150701"/>
    <s v="Export processing zones established "/>
    <s v="No. of export-ready EPZ operators"/>
    <n v="0"/>
    <n v="10"/>
    <n v="10"/>
    <n v="10"/>
    <n v="10"/>
    <n v="10"/>
    <s v="UEPB"/>
    <s v="306 Uganda Export Promotion Board"/>
    <s v=" Review the legal and regulatory framework for Free Zones (Free Zones Act 2014; PERD Act; Annual Business Licensing Reform Agenda) "/>
    <n v="1"/>
    <n v="1"/>
    <n v="1"/>
    <n v="1"/>
    <n v="1"/>
    <n v="1"/>
    <n v="1"/>
    <n v="1"/>
    <n v="1"/>
    <n v="0"/>
    <n v="0"/>
    <s v="                   - "/>
    <n v="0.2"/>
    <n v="0.2"/>
    <n v="0"/>
    <n v="0"/>
    <n v="0"/>
    <s v="MoFPED (UFZA)"/>
    <s v="008 Ministry of Finance, Planning &amp; Economic Dev."/>
    <s v="MoJICA, MoFPED, Parliament"/>
  </r>
  <r>
    <x v="8"/>
    <x v="8"/>
    <s v="071"/>
    <s v="Enabling Environment"/>
    <s v="0715"/>
    <s v="Strengthen the enabling environment and enforcement of standards "/>
    <s v="071507"/>
    <s v="Increase accessibility to export processing zones "/>
    <m/>
    <m/>
    <s v="07150701"/>
    <s v="Export processing zones established "/>
    <s v="No. of manufacturers/ exporters (EPZ operators) linked to export markets"/>
    <n v="0"/>
    <n v="10"/>
    <n v="10"/>
    <n v="10"/>
    <n v="10"/>
    <n v="10"/>
    <s v="UEPB"/>
    <s v="306 Uganda Export Promotion Board"/>
    <s v=" Collaborate with the EAC/ COMESA /ACFTA countries to streamline the Policy environment for Free Zones "/>
    <n v="1"/>
    <n v="1"/>
    <n v="1"/>
    <n v="1"/>
    <n v="1"/>
    <n v="1"/>
    <n v="1"/>
    <n v="1"/>
    <n v="1"/>
    <n v="0"/>
    <n v="0"/>
    <s v="                   - "/>
    <n v="0.08"/>
    <n v="0.08"/>
    <n v="0.08"/>
    <n v="0.08"/>
    <n v="0.16"/>
    <s v="MoFPED (UFZA)"/>
    <s v="008 Ministry of Finance, Planning &amp; Economic Dev."/>
    <s v="MoTIC, URA"/>
  </r>
  <r>
    <x v="8"/>
    <x v="8"/>
    <s v="071"/>
    <s v="Enabling Environment"/>
    <s v="0715"/>
    <s v="Strengthen the enabling environment and enforcement of standards "/>
    <s v="071507"/>
    <s v="Increase accessibility to export processing zones "/>
    <m/>
    <m/>
    <s v="07150701"/>
    <s v="Export processing zones established "/>
    <m/>
    <m/>
    <m/>
    <m/>
    <m/>
    <m/>
    <m/>
    <m/>
    <e v="#N/A"/>
    <s v=" Set up physical/industrial infrastructure and provide utilities in Buwaya, Kasese, Soroti &amp; Jinja  Free Zones "/>
    <n v="1"/>
    <n v="1"/>
    <n v="1"/>
    <n v="1"/>
    <n v="1"/>
    <n v="1"/>
    <n v="1"/>
    <n v="1"/>
    <n v="1"/>
    <n v="0"/>
    <n v="0"/>
    <s v="                   - "/>
    <n v="20"/>
    <n v="20"/>
    <n v="12"/>
    <n v="20"/>
    <n v="32"/>
    <s v="MoFPED (UFZA)"/>
    <s v="008 Ministry of Finance, Planning &amp; Economic Dev."/>
    <s v="MoWT, UIA, MoFPED, UEPB"/>
  </r>
  <r>
    <x v="8"/>
    <x v="8"/>
    <s v="071"/>
    <s v="Enabling Environment"/>
    <s v="0715"/>
    <s v="Strengthen the enabling environment and enforcement of standards "/>
    <s v="071507"/>
    <s v="Increase accessibility to export processing zones "/>
    <m/>
    <m/>
    <s v="07150701"/>
    <s v="Export processing zones established "/>
    <m/>
    <m/>
    <m/>
    <m/>
    <m/>
    <m/>
    <m/>
    <m/>
    <e v="#N/A"/>
    <s v=" Undertake detailed market studies, in priority export markets, to inform business development and investment strategy of emerging enterprises especially in EPZ "/>
    <n v="1"/>
    <n v="1"/>
    <n v="1"/>
    <n v="1"/>
    <n v="1"/>
    <n v="1"/>
    <n v="1"/>
    <n v="1"/>
    <n v="1"/>
    <n v="0"/>
    <n v="0"/>
    <n v="0"/>
    <n v="0.35"/>
    <n v="0.35"/>
    <n v="0.35"/>
    <n v="0"/>
    <n v="0.35"/>
    <s v="UEPB"/>
    <s v="306 Uganda Export Promotion Board"/>
    <s v="UIA, MoTIC, MoFA, PSFU"/>
  </r>
  <r>
    <x v="8"/>
    <x v="8"/>
    <s v="071"/>
    <s v="Enabling Environment"/>
    <s v="0715"/>
    <s v="Strengthen the enabling environment and enforcement of standards "/>
    <s v="071507"/>
    <s v="Increase accessibility to export processing zones "/>
    <m/>
    <m/>
    <s v="07150701"/>
    <s v="Export processing zones established "/>
    <m/>
    <m/>
    <m/>
    <m/>
    <m/>
    <m/>
    <m/>
    <m/>
    <e v="#N/A"/>
    <s v=" Provide information, advisory and support services to develop export marketing capabilities (Export-readiness) "/>
    <n v="1"/>
    <n v="1"/>
    <n v="1"/>
    <n v="1"/>
    <n v="1"/>
    <n v="1"/>
    <n v="1"/>
    <n v="1"/>
    <n v="1"/>
    <n v="0"/>
    <n v="0"/>
    <n v="0"/>
    <n v="0.5"/>
    <n v="0.5"/>
    <n v="0.5"/>
    <n v="0.5"/>
    <n v="1"/>
    <s v="UEPB"/>
    <s v="306 Uganda Export Promotion Board"/>
    <s v="PSFU, UMA"/>
  </r>
  <r>
    <x v="8"/>
    <x v="8"/>
    <s v="071"/>
    <s v="Enabling Environment"/>
    <s v="0715"/>
    <s v="Strengthen the enabling environment and enforcement of standards "/>
    <s v="071507"/>
    <s v="Increase accessibility to export processing zones "/>
    <m/>
    <m/>
    <s v="07150701"/>
    <s v="Export processing zones established "/>
    <m/>
    <m/>
    <m/>
    <m/>
    <m/>
    <m/>
    <m/>
    <m/>
    <e v="#N/A"/>
    <s v=" Collaborate with manufacturers and exporters to develop Uganda’s export markets for target products (market studies, promotion and branding campaigns, buyer-seller networking etc) "/>
    <n v="1"/>
    <n v="1"/>
    <n v="1"/>
    <n v="1"/>
    <n v="1"/>
    <n v="1"/>
    <n v="1"/>
    <n v="1"/>
    <n v="1"/>
    <n v="0"/>
    <n v="0"/>
    <n v="0"/>
    <n v="0.8"/>
    <n v="0.8"/>
    <n v="0.8"/>
    <n v="0.8"/>
    <n v="1.6"/>
    <s v="UEPB"/>
    <s v="306 Uganda Export Promotion Board"/>
    <s v="URA, PSFU, UNBS, UMA, MoTIC"/>
  </r>
  <r>
    <x v="8"/>
    <x v="8"/>
    <s v="071"/>
    <s v="Enabling Environment"/>
    <s v="0715"/>
    <s v="Strengthen the enabling environment and enforcement of standards "/>
    <s v="071507"/>
    <s v="Increase accessibility to export processing zones "/>
    <m/>
    <m/>
    <s v="07150701"/>
    <s v="Export processing zones established "/>
    <m/>
    <m/>
    <m/>
    <m/>
    <m/>
    <m/>
    <m/>
    <m/>
    <e v="#N/A"/>
    <s v=" Link export-ready EPZ operators (manufacturers/exporters) to foreign buyers  "/>
    <n v="1"/>
    <n v="1"/>
    <n v="1"/>
    <n v="1"/>
    <n v="1"/>
    <n v="1"/>
    <n v="1"/>
    <n v="1"/>
    <n v="1"/>
    <n v="0"/>
    <n v="0"/>
    <n v="0"/>
    <n v="0.25"/>
    <n v="0.25"/>
    <n v="0.25"/>
    <n v="0.25"/>
    <n v="0.5"/>
    <s v="UEPB"/>
    <s v="306 Uganda Export Promotion Board"/>
    <s v="PSFU, UMA, MoTIC, UIA"/>
  </r>
  <r>
    <x v="10"/>
    <x v="10"/>
    <s v="14X"/>
    <s v="Government Commitments"/>
    <s v="14X"/>
    <s v="Provision for Government Commitments"/>
    <s v="14X"/>
    <s v="Government Commitments"/>
    <m/>
    <m/>
    <s v="14X"/>
    <s v="Government Commitments"/>
    <s v="-"/>
    <s v="-"/>
    <s v="-"/>
    <s v="-"/>
    <s v="-"/>
    <s v="-"/>
    <s v="-"/>
    <s v="-"/>
    <s v="-"/>
    <s v="Wage"/>
    <m/>
    <m/>
    <m/>
    <m/>
    <m/>
    <m/>
    <m/>
    <m/>
    <m/>
    <m/>
    <m/>
    <m/>
    <m/>
    <m/>
    <n v="105.39"/>
    <n v="105.39"/>
    <n v="210.78"/>
    <m/>
    <m/>
    <m/>
  </r>
  <r>
    <x v="10"/>
    <x v="10"/>
    <s v="14X"/>
    <s v="Government Commitments"/>
    <s v="14X"/>
    <s v="Provision for Government Commitments"/>
    <s v="14X"/>
    <s v="Government Commitments"/>
    <m/>
    <m/>
    <s v="14X"/>
    <s v="Government Commitments"/>
    <s v="-"/>
    <s v="-"/>
    <s v="-"/>
    <s v="-"/>
    <s v="-"/>
    <s v="-"/>
    <s v="-"/>
    <s v="-"/>
    <s v="-"/>
    <s v="Non-Wage (Statutory)"/>
    <m/>
    <m/>
    <m/>
    <m/>
    <m/>
    <m/>
    <m/>
    <m/>
    <m/>
    <m/>
    <m/>
    <m/>
    <m/>
    <m/>
    <n v="42.156000000000006"/>
    <n v="42.156000000000006"/>
    <n v="84.312000000000012"/>
    <m/>
    <m/>
    <m/>
  </r>
  <r>
    <x v="10"/>
    <x v="10"/>
    <s v="14X"/>
    <s v="Government Commitments"/>
    <s v="14X"/>
    <s v="Provision for Government Commitments"/>
    <s v="14X"/>
    <s v="Government Commitments"/>
    <m/>
    <m/>
    <s v="14X"/>
    <s v="Government Commitments"/>
    <s v="-"/>
    <s v="-"/>
    <s v="-"/>
    <s v="-"/>
    <s v="-"/>
    <s v="-"/>
    <s v="-"/>
    <s v="-"/>
    <s v="-"/>
    <s v="Multi-Year Commitments"/>
    <m/>
    <m/>
    <m/>
    <m/>
    <m/>
    <m/>
    <m/>
    <m/>
    <m/>
    <m/>
    <m/>
    <m/>
    <m/>
    <m/>
    <n v="45.615614383"/>
    <n v="52.258737260000004"/>
    <n v="97.874351643000011"/>
    <m/>
    <m/>
    <m/>
  </r>
  <r>
    <x v="10"/>
    <x v="10"/>
    <s v="141"/>
    <s v="Strengthening Accountability"/>
    <s v="1411"/>
    <s v="Strengthen accountability for results across government"/>
    <s v="141101"/>
    <s v="Review and strengthen the client chatter feedback mechanism to enhance the public demand for accountability"/>
    <m/>
    <m/>
    <s v="14110101"/>
    <s v="Client charters developed and implemented"/>
    <s v="No. of MDAs and LGs supported to develop Client Charters "/>
    <n v="20"/>
    <n v="50"/>
    <n v="50"/>
    <n v="50"/>
    <n v="50"/>
    <n v="50"/>
    <s v="MOPS"/>
    <s v="005 Ministry of Public Service"/>
    <s v="Provide technical support to MDAs and LGs to develop client charters"/>
    <n v="1"/>
    <n v="0"/>
    <n v="0"/>
    <n v="1"/>
    <n v="1"/>
    <n v="0"/>
    <n v="1"/>
    <n v="1"/>
    <n v="0.625"/>
    <m/>
    <n v="0"/>
    <n v="0.1"/>
    <s v=" 0.1"/>
    <n v="0.1"/>
    <n v="0.4"/>
    <n v="0.1"/>
    <n v="0.5"/>
    <s v="MoPS"/>
    <s v="005 Ministry of Public Service"/>
    <s v="PSC"/>
  </r>
  <r>
    <x v="10"/>
    <x v="10"/>
    <s v="141"/>
    <s v="Strengthening Accountability"/>
    <s v="1411"/>
    <s v="Strengthen accountability for results across government"/>
    <s v="141101"/>
    <s v="Review and strengthen the client chatter feedback mechanism to enhance the public demand for accountability"/>
    <m/>
    <m/>
    <s v="14110101"/>
    <s v="Client charters developed and implemented"/>
    <s v="% of MDAs and LGs implementing client feedback mechanisms"/>
    <n v="0.52"/>
    <n v="0.59"/>
    <n v="0.66"/>
    <n v="0.75"/>
    <n v="0.8"/>
    <n v="1"/>
    <s v="MOPS"/>
    <s v="005 Ministry of Public Service"/>
    <s v="Undertake a survey on status of implementation of client charter feedback mechanism and prepare a report  "/>
    <n v="0"/>
    <n v="0"/>
    <n v="0"/>
    <n v="1"/>
    <n v="1"/>
    <n v="0"/>
    <n v="1"/>
    <n v="1"/>
    <n v="0.5"/>
    <m/>
    <n v="0"/>
    <m/>
    <m/>
    <m/>
    <m/>
    <m/>
    <n v="0"/>
    <s v="MoPS"/>
    <s v="005 Ministry of Public Service"/>
    <s v="OPM"/>
  </r>
  <r>
    <x v="10"/>
    <x v="10"/>
    <s v="141"/>
    <s v="Strengthening Accountability"/>
    <s v="1411"/>
    <s v="Strengthen accountability for results across government"/>
    <s v="141101"/>
    <s v="Review and strengthen the client chatter feedback mechanism to enhance the public demand for accountability"/>
    <m/>
    <m/>
    <s v="14110101"/>
    <s v="Client charters developed and implemented"/>
    <s v="Client charters’ coverage in MDAs and LGs"/>
    <n v="0.52"/>
    <n v="0.59"/>
    <n v="0.66"/>
    <n v="0.75"/>
    <n v="0.8"/>
    <n v="1"/>
    <s v="MOPS"/>
    <s v="005 Ministry of Public Service"/>
    <s v="Undertake Annual surveys on status of development and implementation of client charter and produce a report "/>
    <n v="0"/>
    <n v="0"/>
    <n v="0"/>
    <n v="1"/>
    <n v="1"/>
    <n v="0"/>
    <n v="1"/>
    <n v="1"/>
    <n v="0.5"/>
    <m/>
    <n v="0"/>
    <m/>
    <m/>
    <m/>
    <m/>
    <m/>
    <n v="0"/>
    <s v="MOPS"/>
    <s v="005 Ministry of Public Service"/>
    <m/>
  </r>
  <r>
    <x v="10"/>
    <x v="10"/>
    <s v="141"/>
    <s v="Strengthening Accountability"/>
    <s v="1411"/>
    <s v="Strengthen accountability for results across government"/>
    <s v="141101"/>
    <s v="Review and strengthen the client chatter feedback mechanism to enhance the public demand for accountability"/>
    <m/>
    <m/>
    <s v="14110101"/>
    <s v="Client charters developed and implemented"/>
    <s v="% of BTVET education institutions with developed client charters"/>
    <n v="0"/>
    <n v="0"/>
    <n v="0.1"/>
    <n v="0.5"/>
    <n v="0.75"/>
    <n v="1"/>
    <s v="MoES"/>
    <s v="013 Ministry of Education and Sports"/>
    <s v="Provide technical support to BTVET education institutions to develop client charters."/>
    <n v="0"/>
    <n v="1"/>
    <n v="0"/>
    <n v="1"/>
    <n v="1"/>
    <n v="0"/>
    <n v="0"/>
    <n v="1"/>
    <n v="0.5"/>
    <m/>
    <n v="0"/>
    <m/>
    <n v="0.01"/>
    <n v="1.4999999999999999E-2"/>
    <m/>
    <n v="2.4E-2"/>
    <n v="2.4E-2"/>
    <s v="MoES"/>
    <s v="013 Ministry of Education and Sports"/>
    <m/>
  </r>
  <r>
    <x v="10"/>
    <x v="10"/>
    <s v="141"/>
    <s v="Strengthening Accountability"/>
    <s v="1411"/>
    <s v="Strengthen accountability for results across government"/>
    <s v="141101"/>
    <s v="Review and strengthen the client chatter feedback mechanism to enhance the public demand for accountability"/>
    <m/>
    <m/>
    <s v="14110103"/>
    <s v="Baraza program implementation scaled up"/>
    <s v="Number of sub counties covered by the Barraza model "/>
    <s v="-"/>
    <n v="130"/>
    <n v="130"/>
    <n v="130"/>
    <n v="130"/>
    <n v="130"/>
    <s v="OPM"/>
    <s v="003 Office of the Prime Minister"/>
    <s v="Conduct Barraza in different sub counties "/>
    <n v="1"/>
    <n v="0"/>
    <n v="0"/>
    <n v="1"/>
    <n v="1"/>
    <n v="0"/>
    <n v="1"/>
    <n v="1"/>
    <n v="0.625"/>
    <m/>
    <n v="0"/>
    <n v="2"/>
    <n v="2"/>
    <n v="2"/>
    <n v="1"/>
    <n v="2"/>
    <n v="3"/>
    <s v="OPM"/>
    <s v="003 Office of the Prime Minister"/>
    <s v="N/A"/>
  </r>
  <r>
    <x v="10"/>
    <x v="10"/>
    <s v="141"/>
    <s v="Strengthening Accountability"/>
    <s v="1411"/>
    <s v="Strengthen accountability for results across government"/>
    <s v="141102"/>
    <s v="Develop and enforce service and service delivery standards"/>
    <m/>
    <m/>
    <n v="14110201"/>
    <s v="Service Delivery Standards developed and implemented"/>
    <s v="No of MDAs and LGs supported to develop  Service Delivery Standards "/>
    <n v="91"/>
    <n v="76"/>
    <n v="76"/>
    <n v="76"/>
    <n v="76"/>
    <n v="76"/>
    <s v="MOPS"/>
    <s v="005 Ministry of Public Service"/>
    <s v="Provide technical support to MDAs to develop and implement SDS"/>
    <n v="1"/>
    <n v="1"/>
    <n v="0"/>
    <n v="1"/>
    <n v="1"/>
    <n v="1"/>
    <n v="1"/>
    <n v="1"/>
    <n v="0.875"/>
    <m/>
    <n v="0"/>
    <n v="0.97"/>
    <n v="0.97"/>
    <s v=" 0.97"/>
    <s v=" 0.97"/>
    <s v=" 0.97"/>
    <n v="0"/>
    <s v="MOPS"/>
    <s v="005 Ministry of Public Service"/>
    <s v="OPM, NPA"/>
  </r>
  <r>
    <x v="10"/>
    <x v="10"/>
    <s v="141"/>
    <s v="Strengthening Accountability"/>
    <s v="1411"/>
    <s v="Strengthen accountability for results across government"/>
    <s v="141102"/>
    <s v="Develop and enforce service and service delivery standards"/>
    <m/>
    <m/>
    <s v="14110201"/>
    <s v="Service Delivery Standards developed and implemented"/>
    <s v="% of MDAs and LGs with Service Delivery Standards"/>
    <n v="0.28999999999999998"/>
    <n v="0.42"/>
    <n v="0.48"/>
    <n v="0.5"/>
    <n v="0.75"/>
    <n v="1"/>
    <s v="MOPS "/>
    <e v="#N/A"/>
    <s v="Undertake a status survey and prepare a report "/>
    <n v="1"/>
    <n v="1"/>
    <n v="0"/>
    <n v="1"/>
    <n v="1"/>
    <n v="0"/>
    <n v="1"/>
    <n v="1"/>
    <n v="0.75"/>
    <m/>
    <n v="0"/>
    <n v="0.11"/>
    <n v="0.11"/>
    <n v="0.11"/>
    <n v="0.11"/>
    <n v="0.11"/>
    <n v="0.22"/>
    <s v="MOPS"/>
    <s v="005 Ministry of Public Service"/>
    <s v="UBOS"/>
  </r>
  <r>
    <x v="10"/>
    <x v="10"/>
    <s v="141"/>
    <s v="Strengthening Accountability"/>
    <s v="1411"/>
    <s v="Strengthen accountability for results across government"/>
    <s v="141102"/>
    <s v="Develop and enforce service and service delivery standards"/>
    <m/>
    <m/>
    <s v="14110201"/>
    <s v="Service Delivery Standards developed and implemented"/>
    <s v="No of outreach programs undertaken to disseminate SDS to the citizens"/>
    <s v="-"/>
    <n v="4"/>
    <n v="4"/>
    <n v="4"/>
    <n v="4"/>
    <n v="4"/>
    <s v="MOPS "/>
    <e v="#N/A"/>
    <s v="Conduct outreach programs  to disseminate SDS to the citizens "/>
    <n v="0"/>
    <n v="0"/>
    <n v="1"/>
    <n v="1"/>
    <n v="1"/>
    <n v="0"/>
    <n v="1"/>
    <n v="1"/>
    <n v="0.625"/>
    <m/>
    <n v="0"/>
    <n v="1.06"/>
    <n v="1.06"/>
    <n v="1.06"/>
    <n v="1.06"/>
    <n v="1.06"/>
    <n v="2.12"/>
    <s v="MOPS"/>
    <s v="005 Ministry of Public Service"/>
    <s v="OPM, NPA"/>
  </r>
  <r>
    <x v="10"/>
    <x v="10"/>
    <s v="141"/>
    <s v="Strengthening Accountability"/>
    <s v="1411"/>
    <s v="Strengthen accountability for results across government"/>
    <s v="141102"/>
    <s v="Develop and enforce service and service delivery standards"/>
    <m/>
    <m/>
    <n v="14110206"/>
    <s v="Capacity of Government Institutions in undertaking compliance inspection  strengthened"/>
    <s v="Number of inspectors trained"/>
    <n v="20"/>
    <n v="380"/>
    <n v="380"/>
    <n v="380"/>
    <n v="380"/>
    <n v="380"/>
    <s v="MOPS"/>
    <s v="005 Ministry of Public Service"/>
    <s v="Develop and implement a training programme for inspectors in undertaking compliance inspection"/>
    <n v="1"/>
    <n v="0"/>
    <n v="1"/>
    <n v="1"/>
    <n v="1"/>
    <n v="0"/>
    <n v="1"/>
    <n v="1"/>
    <n v="0.75"/>
    <m/>
    <n v="0"/>
    <n v="1.1000000000000001"/>
    <n v="1.1000000000000001"/>
    <n v="1.1000000000000001"/>
    <n v="1.1000000000000001"/>
    <n v="1.5"/>
    <n v="2.6"/>
    <s v="MOPS"/>
    <s v="005 Ministry of Public Service"/>
    <s v="MoLG"/>
  </r>
  <r>
    <x v="10"/>
    <x v="10"/>
    <s v="141"/>
    <s v="Strengthening Accountability"/>
    <s v="1411"/>
    <s v="Strengthen accountability for results across government"/>
    <s v="141102"/>
    <s v="Develop and enforce service and service delivery standards"/>
    <m/>
    <m/>
    <n v="14110206"/>
    <s v="Capacity of Government Institutions in undertaking compliance inspection  strengthened"/>
    <s v="Number of LG Political leaders trained"/>
    <n v="0"/>
    <n v="296"/>
    <n v="296"/>
    <n v="296"/>
    <n v="296"/>
    <n v="296"/>
    <s v="MOPS"/>
    <s v="005 Ministry of Public Service"/>
    <s v="Develop and implement a training programme for political leaders  in undertaking compliance inspection"/>
    <n v="1"/>
    <n v="1"/>
    <n v="1"/>
    <n v="1"/>
    <n v="1"/>
    <n v="0"/>
    <n v="1"/>
    <n v="1"/>
    <n v="0.875"/>
    <m/>
    <n v="0"/>
    <n v="0.4"/>
    <n v="0.4"/>
    <n v="0.4"/>
    <n v="0.4"/>
    <n v="0.4"/>
    <n v="0.8"/>
    <s v="MOPS"/>
    <s v="005 Ministry of Public Service"/>
    <s v="OP, MoLG"/>
  </r>
  <r>
    <x v="10"/>
    <x v="10"/>
    <s v="141"/>
    <s v="Strengthening Accountability"/>
    <s v="1411"/>
    <s v="Strengthen accountability for results across government"/>
    <s v="141102"/>
    <s v="Develop and enforce service and service delivery standards"/>
    <m/>
    <m/>
    <n v="14110206"/>
    <s v="Capacity of Government Institutions in undertaking compliance inspection  strengthened"/>
    <s v="Number of Technical staff trained"/>
    <n v="0"/>
    <n v="60"/>
    <n v="60"/>
    <n v="60"/>
    <n v="60"/>
    <n v="60"/>
    <s v="MOPS"/>
    <s v="005 Ministry of Public Service"/>
    <s v="Develop and implement a training programme for Technical Officers  in undertaking compliance inspection"/>
    <n v="1"/>
    <n v="0"/>
    <n v="1"/>
    <n v="1"/>
    <n v="1"/>
    <n v="0"/>
    <n v="1"/>
    <n v="1"/>
    <n v="0.75"/>
    <m/>
    <n v="0"/>
    <n v="0.1"/>
    <n v="0.1"/>
    <n v="0.1"/>
    <n v="0.1"/>
    <n v="0.1"/>
    <n v="0.2"/>
    <s v="MOPS"/>
    <s v="005 Ministry of Public Service"/>
    <s v="MoLG"/>
  </r>
  <r>
    <x v="10"/>
    <x v="10"/>
    <s v="141"/>
    <s v="Strengthening Accountability"/>
    <s v="1411"/>
    <s v="Strengthen accountability for results across government"/>
    <s v="141102"/>
    <s v="Develop and enforce service and service delivery standards"/>
    <m/>
    <m/>
    <n v="14110207"/>
    <s v="Joint Inspection framework for the Public Service developed"/>
    <s v="Inspection framework in place"/>
    <n v="0"/>
    <n v="1"/>
    <n v="0"/>
    <n v="0"/>
    <n v="0"/>
    <n v="0"/>
    <s v="MOPS"/>
    <s v="005 Ministry of Public Service"/>
    <s v="Develop an Inspection policy"/>
    <n v="1"/>
    <n v="1"/>
    <n v="0"/>
    <n v="1"/>
    <n v="1"/>
    <n v="1"/>
    <n v="1"/>
    <n v="1"/>
    <n v="0.875"/>
    <m/>
    <n v="0"/>
    <m/>
    <n v="0.25"/>
    <m/>
    <n v="0.1"/>
    <m/>
    <n v="0.1"/>
    <s v="MOPS"/>
    <s v="005 Ministry of Public Service"/>
    <s v="MoLG"/>
  </r>
  <r>
    <x v="10"/>
    <x v="10"/>
    <s v="141"/>
    <s v="Strengthening Accountability"/>
    <s v="1411"/>
    <s v="Strengthen accountability for results across government"/>
    <s v="141102"/>
    <s v="Develop and enforce service and service delivery standards"/>
    <m/>
    <m/>
    <n v="14110208"/>
    <s v="Compliance Inspection undertaken in MDAs and LGs"/>
    <s v="Number of MDAs and LGs inspected for compliance with SDS per annum"/>
    <n v="38"/>
    <n v="183"/>
    <n v="183"/>
    <n v="183"/>
    <n v="183"/>
    <n v="183"/>
    <s v="MOPS"/>
    <s v="005 Ministry of Public Service"/>
    <s v="Undertake compliance inspections"/>
    <n v="1"/>
    <n v="1"/>
    <n v="1"/>
    <n v="1"/>
    <n v="1"/>
    <n v="1"/>
    <n v="1"/>
    <n v="1"/>
    <n v="1"/>
    <m/>
    <n v="0"/>
    <n v="0.5"/>
    <n v="0.5"/>
    <n v="0.5"/>
    <n v="2.4"/>
    <n v="0.5"/>
    <n v="2.9"/>
    <s v="MOPS"/>
    <s v="005 Ministry of Public Service"/>
    <s v="MoLG"/>
  </r>
  <r>
    <x v="10"/>
    <x v="10"/>
    <s v="141"/>
    <s v="Strengthening Accountability"/>
    <s v="1411"/>
    <s v="Strengthen accountability for results across government"/>
    <s v="141102"/>
    <s v="Develop and enforce service and service delivery standards"/>
    <m/>
    <m/>
    <n v="14110209"/>
    <s v="Inspection Manuals reviewed to accommodate new Service Delivery Trends"/>
    <s v="Revised Manual in place"/>
    <n v="0"/>
    <n v="0"/>
    <n v="1"/>
    <n v="0"/>
    <n v="0"/>
    <n v="0"/>
    <s v="MOPS"/>
    <s v="005 Ministry of Public Service"/>
    <s v="Revise the Inspection Manual to cater for the identified gaps during compliance inspection"/>
    <n v="1"/>
    <n v="1"/>
    <n v="0"/>
    <n v="1"/>
    <n v="1"/>
    <n v="1"/>
    <n v="1"/>
    <n v="1"/>
    <n v="0.875"/>
    <m/>
    <n v="0"/>
    <m/>
    <n v="0.35"/>
    <m/>
    <n v="0.05"/>
    <m/>
    <n v="0.05"/>
    <s v="MOPS"/>
    <s v="005 Ministry of Public Service"/>
    <s v="MoLG"/>
  </r>
  <r>
    <x v="10"/>
    <x v="10"/>
    <s v="141"/>
    <s v="Strengthening Accountability"/>
    <s v="1411"/>
    <s v="Strengthen accountability for results across government"/>
    <s v="141102"/>
    <s v="Develop and enforce service and service delivery standards"/>
    <m/>
    <m/>
    <n v="14110210"/>
    <s v="Implementation of inspection findings tracked "/>
    <s v="Inspection Technical and Steering Committees in place and functional  "/>
    <n v="2"/>
    <n v="2"/>
    <n v="2"/>
    <n v="2"/>
    <n v="2"/>
    <n v="2"/>
    <s v="MOPS"/>
    <s v="005 Ministry of Public Service"/>
    <s v="Organize technical and steering committee meetings and prepare minutes "/>
    <n v="1"/>
    <n v="1"/>
    <n v="1"/>
    <n v="1"/>
    <n v="1"/>
    <n v="1"/>
    <n v="1"/>
    <n v="1"/>
    <n v="1"/>
    <m/>
    <n v="0"/>
    <n v="0.02"/>
    <n v="0.02"/>
    <n v="0.02"/>
    <n v="0.08"/>
    <n v="0.02"/>
    <n v="0.1"/>
    <s v="MOPS"/>
    <s v="005 Ministry of Public Service"/>
    <s v="MoLG"/>
  </r>
  <r>
    <x v="10"/>
    <x v="10"/>
    <s v="141"/>
    <s v="Strengthening Accountability"/>
    <s v="1411"/>
    <s v="Strengthen accountability for results across government"/>
    <s v="141102"/>
    <s v="Develop and enforce service and service delivery standards"/>
    <m/>
    <m/>
    <n v="14110210"/>
    <s v="Implementation of inspection findings tracked "/>
    <s v="Half-year and Annual Reports on Status of Implementation of  Inspection Recommendations in place "/>
    <n v="0"/>
    <n v="2"/>
    <n v="2"/>
    <n v="2"/>
    <n v="2"/>
    <n v="2"/>
    <s v="MoPS"/>
    <s v="005 Ministry of Public Service"/>
    <s v="Half-year and Annual Reports on Status of Implementation of  Inspection Recommendations produced"/>
    <n v="1"/>
    <n v="1"/>
    <n v="1"/>
    <n v="1"/>
    <n v="1"/>
    <n v="0"/>
    <n v="1"/>
    <n v="1"/>
    <n v="0.875"/>
    <m/>
    <n v="0"/>
    <n v="0.01"/>
    <n v="0.01"/>
    <n v="0.01"/>
    <n v="0.01"/>
    <n v="0.01"/>
    <n v="0.02"/>
    <s v="MOPS"/>
    <s v="005 Ministry of Public Service"/>
    <s v="MoLG"/>
  </r>
  <r>
    <x v="10"/>
    <x v="10"/>
    <s v="141"/>
    <s v="Strengthening Accountability"/>
    <s v="1411"/>
    <s v="Strengthen accountability for results across government"/>
    <s v="141102"/>
    <s v="Develop and enforce service and service delivery standards"/>
    <m/>
    <m/>
    <n v="14110211"/>
    <s v="Application of the Pearl of Africa Institutional Performance  Scorecard (PAIPAS) to measure instructional compliance levels  scaled up"/>
    <s v="Number of MDAs and LGs where PAIPAS is administered"/>
    <n v="37"/>
    <n v="70"/>
    <n v="70"/>
    <n v="70"/>
    <n v="70"/>
    <n v="70"/>
    <s v="MOPS"/>
    <s v="005 Ministry of Public Service"/>
    <s v="Administer PAIPAS to MDAs &amp; LGs; "/>
    <n v="1"/>
    <n v="1"/>
    <n v="0"/>
    <n v="1"/>
    <n v="1"/>
    <n v="0"/>
    <n v="1"/>
    <n v="1"/>
    <n v="0.75"/>
    <m/>
    <n v="0"/>
    <n v="0.38400000000000001"/>
    <n v="0.38400000000000001"/>
    <n v="0.38400000000000001"/>
    <n v="0.4"/>
    <n v="0.38400000000000001"/>
    <n v="0.78400000000000003"/>
    <s v="MOPS"/>
    <s v="005 Ministry of Public Service"/>
    <s v="MoLG"/>
  </r>
  <r>
    <x v="10"/>
    <x v="10"/>
    <s v="141"/>
    <s v="Strengthening Accountability"/>
    <s v="1411"/>
    <s v="Strengthen accountability for results across government"/>
    <s v="141102"/>
    <s v="Develop and enforce service and service delivery standards"/>
    <m/>
    <m/>
    <n v="14110211"/>
    <s v="Application of the Pearl of Africa Institutional Performance  Scorecard (PAIPAS) to measure instructional compliance levels  scaled up"/>
    <s v="No. of Annual PAIPAS reports produced "/>
    <n v="1"/>
    <n v="1"/>
    <n v="1"/>
    <n v="1"/>
    <n v="1"/>
    <n v="1"/>
    <s v="MOPS"/>
    <s v="005 Ministry of Public Service"/>
    <s v="Prepare PAIPAS report and award the best performing institutions "/>
    <n v="1"/>
    <n v="1"/>
    <n v="0"/>
    <n v="1"/>
    <n v="1"/>
    <n v="0"/>
    <n v="1"/>
    <n v="1"/>
    <n v="0.75"/>
    <m/>
    <n v="0"/>
    <n v="0.3"/>
    <n v="0.3"/>
    <n v="0.3"/>
    <n v="0.05"/>
    <n v="0.3"/>
    <n v="0.35"/>
    <s v="MOPS"/>
    <s v="005 Ministry of Public Service"/>
    <s v="PSC"/>
  </r>
  <r>
    <x v="10"/>
    <x v="10"/>
    <s v="141"/>
    <s v="Strengthening Accountability"/>
    <s v="1411"/>
    <s v="Strengthen accountability for results across government"/>
    <s v="141102"/>
    <s v="Develop and enforce service and service delivery standards"/>
    <m/>
    <m/>
    <n v="14110212"/>
    <s v="e-inspection tools developed and operationalized"/>
    <s v="e-inspection tool in place "/>
    <n v="0"/>
    <n v="1"/>
    <n v="0"/>
    <n v="0"/>
    <n v="0"/>
    <n v="0"/>
    <s v="MOPS"/>
    <s v="005 Ministry of Public Service"/>
    <s v="Develop and operationalize e-inspection tools "/>
    <n v="1"/>
    <n v="1"/>
    <n v="0"/>
    <n v="1"/>
    <n v="1"/>
    <n v="1"/>
    <n v="1"/>
    <n v="1"/>
    <n v="0.875"/>
    <m/>
    <n v="0"/>
    <n v="0.08"/>
    <n v="0"/>
    <n v="0"/>
    <m/>
    <m/>
    <n v="0"/>
    <s v="MOPS"/>
    <s v="005 Ministry of Public Service"/>
    <s v="MoPS"/>
  </r>
  <r>
    <x v="10"/>
    <x v="10"/>
    <s v="141"/>
    <s v="Strengthening Accountability"/>
    <s v="1411"/>
    <s v="Strengthen accountability for results across government"/>
    <s v="141102"/>
    <s v="Develop and enforce service and service delivery standards"/>
    <m/>
    <m/>
    <n v="14110212"/>
    <s v="e-inspection tools developed and operationalized"/>
    <s v="Number of MDAs and LGs where the e-inspection tool is rolled out"/>
    <n v="0"/>
    <n v="36"/>
    <n v="70"/>
    <n v="70"/>
    <n v="70"/>
    <n v="70"/>
    <s v="MOPS"/>
    <s v="005 Ministry of Public Service"/>
    <s v="Roll out e-inspection tool to MDAs and LGS"/>
    <n v="1"/>
    <n v="1"/>
    <n v="0"/>
    <n v="1"/>
    <n v="1"/>
    <n v="1"/>
    <n v="1"/>
    <n v="1"/>
    <n v="0.875"/>
    <m/>
    <n v="0"/>
    <n v="0.6"/>
    <n v="0.6"/>
    <n v="0.6"/>
    <n v="3"/>
    <n v="0.6"/>
    <n v="3.6"/>
    <s v="MOPS"/>
    <s v="005 Ministry of Public Service"/>
    <s v="MoLG"/>
  </r>
  <r>
    <x v="10"/>
    <x v="10"/>
    <s v="141"/>
    <s v="Strengthening Accountability"/>
    <s v="1411"/>
    <s v="Strengthen accountability for results across government"/>
    <s v="141102"/>
    <s v="Develop and enforce service and service delivery standards"/>
    <m/>
    <m/>
    <n v="14110213"/>
    <s v="Performance standards and minimum conditions for DSCs reviewed"/>
    <s v="No. of performance standards and minimum conditions  reviewed"/>
    <n v="12"/>
    <n v="5"/>
    <n v="5"/>
    <n v="5"/>
    <n v="10"/>
    <n v="15"/>
    <s v="PSC"/>
    <s v="146 Public Service Commission"/>
    <s v="Review the performance standards and minimum conditions for DSCs"/>
    <n v="1"/>
    <n v="1"/>
    <n v="0"/>
    <n v="1"/>
    <n v="1"/>
    <n v="0"/>
    <n v="1"/>
    <n v="1"/>
    <n v="0.75"/>
    <m/>
    <n v="0"/>
    <n v="0.4"/>
    <n v="0.4"/>
    <n v="0.4"/>
    <n v="0.4"/>
    <n v="0.4"/>
    <n v="0.8"/>
    <s v="PSC"/>
    <s v="146 Public Service Commission"/>
    <s v="MOPS"/>
  </r>
  <r>
    <x v="10"/>
    <x v="10"/>
    <s v="141"/>
    <s v="Strengthening Accountability"/>
    <s v="1411"/>
    <s v="Strengthen accountability for results across government"/>
    <s v="141103"/>
    <s v="Strengthening public sector performance management "/>
    <s v="141103b"/>
    <s v="Administer and enforce performance contracts across public service from Commissioner- level upwards"/>
    <s v="141103b01"/>
    <s v="Performance agreements rolled Out across public service"/>
    <s v="% of targeted officers covered "/>
    <m/>
    <s v="100% of Directors "/>
    <s v="100% of PSs"/>
    <s v="100% of TCs "/>
    <s v="100% of CAOs"/>
    <s v="-"/>
    <s v="MOPS"/>
    <s v="005 Ministry of Public Service"/>
    <s v="Administer and enforce performance contracts for directors, CAOS, TCs , PSs"/>
    <n v="1"/>
    <n v="1"/>
    <n v="1"/>
    <n v="1"/>
    <n v="1"/>
    <n v="0"/>
    <n v="1"/>
    <n v="1"/>
    <n v="0.875"/>
    <m/>
    <n v="0"/>
    <m/>
    <n v="7.0000000000000007E-2"/>
    <n v="7.0000000000000007E-2"/>
    <n v="7.0000000000000007E-2"/>
    <n v="7.0000000000000007E-2"/>
    <n v="0.14000000000000001"/>
    <s v="MoPS"/>
    <s v="005 Ministry of Public Service"/>
    <s v="OP, MoFPED"/>
  </r>
  <r>
    <x v="10"/>
    <x v="10"/>
    <s v="141"/>
    <s v="Strengthening Accountability"/>
    <s v="1411"/>
    <s v="Strengthen accountability for results across government"/>
    <s v="141103"/>
    <s v="Strengthening public sector performance management "/>
    <s v="141103c"/>
    <s v="Administer a pay reform and welfare system (eg housing) commensurate with performance contracts "/>
    <s v="141103c01"/>
    <s v="The long term pay policy of the Public Service implemented"/>
    <s v="% of Public Officers receiving salary according to the approved pay plan"/>
    <s v="-"/>
    <n v="20"/>
    <n v="35"/>
    <n v="50"/>
    <n v="75"/>
    <n v="100"/>
    <s v="MoPs"/>
    <s v="005 Ministry of Public Service"/>
    <s v="Preparation of wage estimates, stakeholder consultations; Review the salary structure in line with the appropriated budget"/>
    <n v="1"/>
    <n v="1"/>
    <n v="1"/>
    <n v="1"/>
    <n v="1"/>
    <n v="1"/>
    <n v="1"/>
    <n v="1"/>
    <n v="1"/>
    <m/>
    <n v="0"/>
    <n v="286"/>
    <n v="317"/>
    <n v="641"/>
    <n v="0.2"/>
    <n v="1.92"/>
    <n v="3.84"/>
    <s v="MOPS"/>
    <s v="005 Ministry of Public Service"/>
    <s v="OP"/>
  </r>
  <r>
    <x v="10"/>
    <x v="10"/>
    <s v="141"/>
    <s v="Strengthening Accountability"/>
    <s v="1411"/>
    <s v="Strengthen accountability for results across government"/>
    <s v="141103"/>
    <s v="Strengthening public sector performance management "/>
    <s v="141103c"/>
    <s v="Administer a pay reform and welfare system (eg housing) commensurate with performance contracts "/>
    <s v="141103c01"/>
    <s v="The long term pay policy of the Public Service implemented"/>
    <s v="%  of the required budget for the year approved for  implementation  of the Pay Policy"/>
    <m/>
    <n v="1"/>
    <n v="1"/>
    <n v="1"/>
    <n v="1"/>
    <n v="1"/>
    <s v="MOPS"/>
    <s v="005 Ministry of Public Service"/>
    <s v="Engage Ministry of Finance, Planning and Economic Development to prioritise salary enhancement "/>
    <n v="1"/>
    <n v="1"/>
    <n v="1"/>
    <n v="1"/>
    <n v="1"/>
    <n v="1"/>
    <n v="1"/>
    <n v="1"/>
    <n v="1"/>
    <m/>
    <n v="0"/>
    <m/>
    <m/>
    <m/>
    <m/>
    <m/>
    <n v="0"/>
    <s v="MOPS"/>
    <s v="005 Ministry of Public Service"/>
    <s v="MoFPED, OPM"/>
  </r>
  <r>
    <x v="10"/>
    <x v="10"/>
    <s v="141"/>
    <s v="Strengthening Accountability"/>
    <s v="1411"/>
    <s v="Strengthen accountability for results across government"/>
    <s v="141103"/>
    <s v="Strengthening public sector performance management "/>
    <s v="141103c"/>
    <s v="Administer a pay reform and welfare system (eg housing) commensurate with performance contracts "/>
    <s v="141103c01"/>
    <s v="The long term pay policy of the Public Service implemented"/>
    <s v="Report on Impact of pay enhancement on performance in place"/>
    <m/>
    <n v="1"/>
    <n v="1"/>
    <n v="1"/>
    <n v="1"/>
    <n v="1"/>
    <s v="MOPS"/>
    <s v="005 Ministry of Public Service"/>
    <s v="Assess the effectiveness of pay enhancement on service delivery"/>
    <n v="1"/>
    <n v="0"/>
    <n v="1"/>
    <n v="1"/>
    <n v="1"/>
    <n v="0"/>
    <n v="1"/>
    <n v="1"/>
    <n v="0.75"/>
    <m/>
    <n v="0"/>
    <m/>
    <n v="0.2"/>
    <n v="0.2"/>
    <n v="0.4"/>
    <n v="0.2"/>
    <n v="0.4"/>
    <s v="MOPS"/>
    <s v="005 Ministry of Public Service"/>
    <s v="MoFPED, OP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02"/>
    <s v="Capacity of Human Resource Managers in the Public Service built in Strategic Human Resource Management"/>
    <s v="Number of  HR Managers trained"/>
    <m/>
    <n v="80"/>
    <n v="70"/>
    <n v="70"/>
    <n v="70"/>
    <n v="70"/>
    <s v="MOPS"/>
    <s v="005 Ministry of Public Service"/>
    <s v="Conduct trainings for Human Resource Managers in the Public Service in Strategic Human Resource Management"/>
    <n v="1"/>
    <n v="0"/>
    <n v="0"/>
    <n v="1"/>
    <n v="1"/>
    <n v="0"/>
    <n v="1"/>
    <n v="1"/>
    <n v="0.625"/>
    <m/>
    <n v="0"/>
    <n v="2"/>
    <n v="2"/>
    <n v="2"/>
    <n v="2"/>
    <n v="2"/>
    <n v="4"/>
    <s v="MoPS"/>
    <s v="005 Ministry of Public Service"/>
    <s v="OP, PSC"/>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0"/>
    <s v="Programme /Performance Budgeting integrated into the individual performance management framework"/>
    <s v="Revised Performance management  tools in place "/>
    <n v="0"/>
    <n v="1"/>
    <n v="0"/>
    <n v="0"/>
    <n v="0"/>
    <n v="0"/>
    <s v="MOPS"/>
    <s v="005 Ministry of Public Service"/>
    <s v="Review the performance management tools and align them to organizational plans using the balanced scorecard  framework "/>
    <n v="1"/>
    <n v="0"/>
    <n v="0"/>
    <n v="1"/>
    <n v="1"/>
    <n v="0"/>
    <n v="1"/>
    <n v="1"/>
    <n v="0.625"/>
    <m/>
    <n v="0"/>
    <m/>
    <n v="0.1"/>
    <m/>
    <m/>
    <m/>
    <n v="0"/>
    <s v="MoPS"/>
    <s v="005 Ministry of Public Service"/>
    <s v="NPA, OP"/>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0"/>
    <s v="Programme /Performance Budgeting integrated into the individual performance management framework"/>
    <s v="Number of MDAs and LGs implementing the Balanced scorecard Framework"/>
    <n v="1"/>
    <n v="1"/>
    <n v="30"/>
    <n v="50"/>
    <n v="50"/>
    <n v="49"/>
    <s v="MOPS"/>
    <s v="005 Ministry of Public Service"/>
    <s v="Train MDAs on use of the tool, monitor and evaluate application of the tool "/>
    <n v="1"/>
    <n v="0"/>
    <n v="0"/>
    <n v="1"/>
    <n v="1"/>
    <n v="0"/>
    <n v="1"/>
    <n v="1"/>
    <n v="0.625"/>
    <m/>
    <n v="0"/>
    <n v="0.41299999999999998"/>
    <n v="0.51300000000000001"/>
    <n v="0.51300000000000001"/>
    <n v="0.51300000000000001"/>
    <n v="0.51300000000000001"/>
    <n v="1.026"/>
    <s v="MoPS"/>
    <s v="005 Ministry of Public Service"/>
    <s v="N/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0"/>
    <s v="Programme /Performance Budgeting integrated into the individual performance management framework"/>
    <s v="Performance targets relating to teacher presence, time-on-task and teacher effectiveness and learners achievement developed."/>
    <m/>
    <n v="1"/>
    <n v="1"/>
    <n v="1"/>
    <n v="1"/>
    <n v="1"/>
    <s v="MoES"/>
    <s v="013 Ministry of Education and Sports"/>
    <s v="Develop performance targets relating  to teacher presence, time-on-task and teacher effectiveness and learners achievement"/>
    <n v="1"/>
    <n v="1"/>
    <n v="0"/>
    <n v="1"/>
    <n v="1"/>
    <n v="0"/>
    <n v="0"/>
    <n v="1"/>
    <n v="0.625"/>
    <m/>
    <n v="0"/>
    <n v="2.5000000000000001E-2"/>
    <n v="2.5000000000000001E-2"/>
    <n v="2.5000000000000001E-2"/>
    <n v="2.5000000000000001E-2"/>
    <n v="2.5000000000000001E-2"/>
    <n v="0.05"/>
    <s v="MoES"/>
    <s v="013 Ministry of Education and Sports"/>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ordinating Audit and Risk Management"/>
    <n v="1"/>
    <n v="1"/>
    <n v="1"/>
    <n v="1"/>
    <n v="1"/>
    <n v="1"/>
    <n v="1"/>
    <n v="1"/>
    <n v="1"/>
    <m/>
    <m/>
    <m/>
    <m/>
    <m/>
    <n v="0.2"/>
    <n v="0.1"/>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Manage Facilities and Equipment "/>
    <n v="1"/>
    <n v="1"/>
    <n v="1"/>
    <n v="1"/>
    <n v="1"/>
    <n v="1"/>
    <n v="1"/>
    <n v="1"/>
    <n v="1"/>
    <m/>
    <m/>
    <m/>
    <m/>
    <m/>
    <n v="1.5"/>
    <n v="1.5"/>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ordinate Finance and Accounting"/>
    <n v="1"/>
    <n v="1"/>
    <n v="1"/>
    <n v="1"/>
    <n v="1"/>
    <n v="1"/>
    <n v="1"/>
    <n v="1"/>
    <n v="1"/>
    <m/>
    <m/>
    <m/>
    <m/>
    <m/>
    <n v="0.9"/>
    <n v="0.9"/>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ordinate Procurement and Disposal Services"/>
    <n v="1"/>
    <n v="1"/>
    <n v="1"/>
    <n v="1"/>
    <n v="1"/>
    <n v="1"/>
    <n v="1"/>
    <n v="1"/>
    <n v="1"/>
    <m/>
    <m/>
    <m/>
    <m/>
    <m/>
    <n v="0.4"/>
    <n v="0.3"/>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Manage Records "/>
    <n v="1"/>
    <n v="1"/>
    <n v="1"/>
    <n v="1"/>
    <n v="1"/>
    <n v="1"/>
    <n v="1"/>
    <n v="1"/>
    <n v="1"/>
    <m/>
    <m/>
    <m/>
    <m/>
    <m/>
    <n v="0.18"/>
    <n v="0.15"/>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Facilitate Leadership and Management"/>
    <n v="1"/>
    <n v="1"/>
    <n v="1"/>
    <n v="1"/>
    <n v="1"/>
    <n v="1"/>
    <n v="1"/>
    <n v="1"/>
    <n v="1"/>
    <m/>
    <m/>
    <m/>
    <m/>
    <m/>
    <n v="0.6"/>
    <n v="0.6"/>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ordinate Communication and Public Relations"/>
    <n v="1"/>
    <n v="1"/>
    <n v="1"/>
    <n v="1"/>
    <n v="1"/>
    <n v="1"/>
    <n v="1"/>
    <n v="1"/>
    <n v="1"/>
    <m/>
    <m/>
    <m/>
    <m/>
    <m/>
    <n v="0.16999999999999998"/>
    <n v="0.2"/>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Mainstream cross cutting issues"/>
    <n v="1"/>
    <n v="1"/>
    <n v="1"/>
    <n v="1"/>
    <n v="1"/>
    <n v="1"/>
    <n v="1"/>
    <n v="1"/>
    <n v="1"/>
    <m/>
    <m/>
    <m/>
    <m/>
    <m/>
    <n v="0.2"/>
    <n v="0.2"/>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odrinate Planning and Budgeting Services"/>
    <n v="1"/>
    <n v="1"/>
    <n v="1"/>
    <n v="1"/>
    <n v="1"/>
    <n v="1"/>
    <n v="1"/>
    <n v="1"/>
    <n v="1"/>
    <m/>
    <m/>
    <m/>
    <m/>
    <m/>
    <n v="0.4"/>
    <n v="0.4"/>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nduct Monitoring and Evaluation"/>
    <n v="1"/>
    <n v="1"/>
    <n v="1"/>
    <n v="1"/>
    <n v="1"/>
    <n v="1"/>
    <n v="1"/>
    <n v="1"/>
    <n v="1"/>
    <m/>
    <m/>
    <m/>
    <m/>
    <m/>
    <n v="0.4"/>
    <n v="0.4"/>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rdinate Policy formulation and Analysis"/>
    <n v="1"/>
    <n v="1"/>
    <n v="1"/>
    <n v="1"/>
    <n v="1"/>
    <n v="1"/>
    <n v="1"/>
    <n v="1"/>
    <n v="1"/>
    <m/>
    <m/>
    <m/>
    <m/>
    <m/>
    <n v="0.4"/>
    <n v="0.4"/>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1"/>
    <s v="Programme plans aligned to budget priorities and National planning framework"/>
    <m/>
    <m/>
    <m/>
    <m/>
    <m/>
    <m/>
    <m/>
    <s v="MOPS"/>
    <s v="005 Ministry of Public Service"/>
    <s v="Cordinate PSTP Secretariat"/>
    <n v="1"/>
    <n v="1"/>
    <n v="1"/>
    <n v="1"/>
    <n v="1"/>
    <n v="1"/>
    <n v="1"/>
    <n v="1"/>
    <n v="1"/>
    <m/>
    <m/>
    <m/>
    <m/>
    <m/>
    <n v="1.45"/>
    <n v="1.45"/>
    <m/>
    <s v="MoPS"/>
    <s v="005 Ministry of Public Service"/>
    <m/>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2"/>
    <s v="Capacity of Public officers built in performance management"/>
    <s v="Number of Public  Officers trained in performance management"/>
    <s v="-"/>
    <n v="2000"/>
    <n v="2500"/>
    <n v="3000"/>
    <n v="3500"/>
    <n v="4000"/>
    <s v="MOPS"/>
    <s v="005 Ministry of Public Service"/>
    <s v="Conduct refresher trainings in performance management"/>
    <n v="1"/>
    <n v="0"/>
    <n v="0"/>
    <n v="1"/>
    <n v="1"/>
    <n v="0"/>
    <n v="1"/>
    <n v="1"/>
    <n v="0.625"/>
    <m/>
    <n v="0"/>
    <n v="0.11"/>
    <n v="0.13700000000000001"/>
    <n v="0.16500000000000001"/>
    <n v="0.12"/>
    <n v="0.22"/>
    <n v="0.33999999999999997"/>
    <s v="MoPS"/>
    <s v="005 Ministry of Public Service"/>
    <s v="N/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3"/>
    <s v="Attendance to duty monitored  "/>
    <s v="Number of MDAs monitored"/>
    <s v="-"/>
    <n v="60"/>
    <n v="60"/>
    <n v="60"/>
    <n v="60"/>
    <n v="60"/>
    <s v="MOPS"/>
    <s v="005 Ministry of Public Service"/>
    <s v="Conduct monitoring in MDAs and LGs on attendance "/>
    <n v="1"/>
    <n v="0"/>
    <n v="0"/>
    <n v="1"/>
    <n v="1"/>
    <n v="0"/>
    <n v="0"/>
    <n v="1"/>
    <n v="0.5"/>
    <m/>
    <n v="0"/>
    <n v="4.4999999999999998E-2"/>
    <n v="4.4999999999999998E-2"/>
    <n v="4.4999999999999998E-2"/>
    <n v="0"/>
    <n v="0.05"/>
    <n v="0.1"/>
    <s v="MoPS"/>
    <s v="005 Ministry of Public Service"/>
    <s v="PSC"/>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3"/>
    <s v="Attendance to duty monitored  "/>
    <s v="Number of MDAs using biometric machines to monitor attendance  "/>
    <n v="0"/>
    <n v="50"/>
    <n v="50"/>
    <n v="50"/>
    <n v="50"/>
    <n v="50"/>
    <s v="MOPS"/>
    <s v="005 Ministry of Public Service"/>
    <s v="Procure and install biometrics to monitor attendance  "/>
    <n v="1"/>
    <n v="0"/>
    <n v="0"/>
    <n v="1"/>
    <n v="1"/>
    <n v="0"/>
    <n v="0"/>
    <n v="1"/>
    <n v="0.5"/>
    <m/>
    <n v="0"/>
    <n v="0.1"/>
    <n v="0.1"/>
    <n v="0.1"/>
    <n v="0"/>
    <n v="0.1"/>
    <n v="0.2"/>
    <s v="MoPS"/>
    <s v="005 Ministry of Public Service"/>
    <s v="N/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4"/>
    <s v="Performance Improvement based approach to Capacity Building institutionalized"/>
    <s v="% of MDAs and LGs supported to prepare PIPs linked to Capacity Building"/>
    <n v="0"/>
    <n v="30"/>
    <n v="45"/>
    <n v="50"/>
    <n v="60"/>
    <n v="75"/>
    <s v="MOPS"/>
    <s v="005 Ministry of Public Service"/>
    <s v="Support MDAs and LG Institutionalize PIPS"/>
    <n v="1"/>
    <n v="0"/>
    <n v="1"/>
    <n v="1"/>
    <n v="1"/>
    <n v="0"/>
    <n v="1"/>
    <n v="1"/>
    <n v="0.75"/>
    <m/>
    <n v="0"/>
    <n v="0.36399999999999999"/>
    <n v="0.36399999999999999"/>
    <n v="0.36399999999999999"/>
    <n v="0.36"/>
    <n v="0.36"/>
    <n v="0.72"/>
    <s v="MoPS"/>
    <s v="005 Ministry of Public Service"/>
    <s v="N/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5"/>
    <s v="Results Oriented Framework reviewed "/>
    <s v="Revised Results Oriented Framework in place "/>
    <n v="0"/>
    <n v="0"/>
    <n v="0"/>
    <n v="1"/>
    <n v="0"/>
    <n v="0"/>
    <s v="MOPS"/>
    <s v="005 Ministry of Public Service"/>
    <s v="Revise the Results Oriented Framework to create a hybrid between ROM and BSC "/>
    <n v="1"/>
    <n v="1"/>
    <n v="0"/>
    <n v="1"/>
    <n v="1"/>
    <n v="0"/>
    <n v="1"/>
    <n v="1"/>
    <n v="0.75"/>
    <m/>
    <n v="0"/>
    <n v="0"/>
    <n v="0"/>
    <n v="0.5"/>
    <n v="0"/>
    <n v="0"/>
    <n v="0"/>
    <s v="MoPS"/>
    <s v="005 Ministry of Public Service"/>
    <s v="N/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6"/>
    <s v="A Framework for  measuring productivity in the Public Service developed  and operationalized "/>
    <s v="A Framework for  measuring productivity in the Public Service developed  and operationalized"/>
    <n v="0"/>
    <n v="1"/>
    <n v="0"/>
    <n v="0"/>
    <n v="0"/>
    <n v="0"/>
    <s v="MOPS"/>
    <s v="005 Ministry of Public Service"/>
    <s v="Develop a Framework for  measuring productivity in the Public Service "/>
    <n v="1"/>
    <n v="1"/>
    <n v="0"/>
    <n v="1"/>
    <n v="1"/>
    <n v="0"/>
    <n v="0"/>
    <n v="1"/>
    <n v="0.625"/>
    <m/>
    <n v="0"/>
    <n v="0.66"/>
    <n v="0"/>
    <n v="0"/>
    <n v="0.6"/>
    <n v="0"/>
    <n v="0"/>
    <s v="MOPS"/>
    <s v="005 Ministry of Public Service"/>
    <s v="NPA"/>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6"/>
    <s v="A Framework for  measuring productivity in the Public Service developed  and operationalized "/>
    <s v="Statistical Report  on productivity in the public service produced"/>
    <m/>
    <n v="1"/>
    <n v="1"/>
    <n v="1"/>
    <n v="1"/>
    <n v="1"/>
    <s v="MOPS, NPA"/>
    <e v="#N/A"/>
    <s v="Collect data on productivity in the public service, analyze and produce a report "/>
    <n v="1"/>
    <n v="1"/>
    <n v="1"/>
    <n v="1"/>
    <n v="1"/>
    <n v="0"/>
    <n v="0"/>
    <n v="1"/>
    <n v="0.75"/>
    <m/>
    <n v="0"/>
    <n v="0.25"/>
    <n v="0.25"/>
    <n v="0.25"/>
    <n v="0.25"/>
    <n v="0.25"/>
    <n v="0.5"/>
    <s v="MOPS"/>
    <s v="005 Ministry of Public Service"/>
    <s v="NPA, UBOS"/>
  </r>
  <r>
    <x v="10"/>
    <x v="10"/>
    <s v="141"/>
    <s v="Strengthening Accountability"/>
    <s v="1411"/>
    <s v="Strengthen accountability for results across government"/>
    <s v="141103"/>
    <s v="Strengthening public sector performance management "/>
    <s v="141103d"/>
    <s v="Institute the practice of strategic human resource management in all MDAs and LGs "/>
    <s v="141103c17"/>
    <s v="Performance Assessment tool for Permanent Secretaries and other officers across government reviewed and aligned to the emerging reforms"/>
    <s v="Revised Performance Assessment tool in place and operational "/>
    <m/>
    <n v="1"/>
    <n v="1"/>
    <n v="1"/>
    <n v="1"/>
    <n v="1"/>
    <s v="MOPS "/>
    <e v="#N/A"/>
    <s v="review the draft document and have it approved; obtain statutory approval and disseminate for use."/>
    <n v="1"/>
    <n v="1"/>
    <n v="1"/>
    <n v="1"/>
    <n v="1"/>
    <n v="0"/>
    <n v="0"/>
    <n v="0"/>
    <n v="0.625"/>
    <m/>
    <n v="0"/>
    <n v="2.5"/>
    <n v="1.05"/>
    <n v="0.71"/>
    <n v="0.45"/>
    <n v="0.45"/>
    <n v="0.9"/>
    <s v="MOPS"/>
    <s v="005 Ministry of Public Service"/>
    <s v="PSC"/>
  </r>
  <r>
    <x v="10"/>
    <x v="10"/>
    <s v="141"/>
    <s v="Strengthening Accountability"/>
    <s v="1411"/>
    <s v="Strengthen accountability for results across government"/>
    <s v="141104"/>
    <s v="Enforce compliance to the rules and regulations"/>
    <m/>
    <m/>
    <s v="14110401"/>
    <s v="Citizens’ complaints concerning Maladministration in Public Offices handled"/>
    <s v="% of cases concluded within the set timelines"/>
    <s v="-"/>
    <n v="100"/>
    <n v="100"/>
    <n v="100"/>
    <n v="100"/>
    <n v="100"/>
    <s v="IG "/>
    <e v="#N/A"/>
    <s v="Respond to Citizens’ complaints concerning Maladministration in Public Offices"/>
    <n v="1"/>
    <n v="1"/>
    <n v="1"/>
    <n v="1"/>
    <n v="1"/>
    <n v="1"/>
    <n v="1"/>
    <n v="1"/>
    <n v="1"/>
    <m/>
    <n v="0"/>
    <n v="2"/>
    <n v="2"/>
    <n v="2"/>
    <n v="2"/>
    <n v="2"/>
    <n v="4"/>
    <s v="IG"/>
    <s v="103 Inspectorate of Government"/>
    <s v="OP, OPM"/>
  </r>
  <r>
    <x v="10"/>
    <x v="10"/>
    <s v="141"/>
    <s v="Strengthening Accountability"/>
    <s v="1411"/>
    <s v="Strengthen accountability for results across government"/>
    <s v="141104"/>
    <s v="Enforce compliance to the rules and regulations"/>
    <m/>
    <m/>
    <s v="14110402"/>
    <s v="Assets Declarations for all leaders received on time"/>
    <s v="Compliance rate of Leaders declarations, %"/>
    <n v="85.7"/>
    <n v="88"/>
    <m/>
    <n v="92"/>
    <m/>
    <n v="95"/>
    <s v="IG, Anti-Corruption"/>
    <e v="#N/A"/>
    <s v="Receive and examine declaration forms for all Leaders in Government"/>
    <n v="1"/>
    <n v="1"/>
    <n v="0"/>
    <n v="1"/>
    <n v="1"/>
    <n v="1"/>
    <n v="1"/>
    <n v="1"/>
    <n v="0.875"/>
    <m/>
    <n v="0"/>
    <n v="1.2"/>
    <n v="0"/>
    <n v="1.2"/>
    <n v="0"/>
    <n v="1.2"/>
    <n v="1.2"/>
    <s v="IG"/>
    <s v="103 Inspectorate of Government"/>
    <s v="ANTI CORRUPTION"/>
  </r>
  <r>
    <x v="10"/>
    <x v="10"/>
    <s v="141"/>
    <s v="Strengthening Accountability"/>
    <s v="1411"/>
    <s v="Strengthen accountability for results across government"/>
    <s v="141104"/>
    <s v="Enforce compliance to the rules and regulations"/>
    <m/>
    <m/>
    <s v="14110402"/>
    <s v="Assets Declarations for all leaders received on time"/>
    <s v="Number of declarations verified"/>
    <n v="305"/>
    <n v="336"/>
    <n v="400"/>
    <n v="500"/>
    <n v="600"/>
    <n v="664"/>
    <s v="IG"/>
    <s v="103 Inspectorate of Government (IG)"/>
    <s v="Verify contents of the leaders declaration of income, assets and liabilities"/>
    <n v="1"/>
    <n v="1"/>
    <n v="0"/>
    <n v="1"/>
    <n v="1"/>
    <n v="1"/>
    <n v="1"/>
    <n v="1"/>
    <n v="0.875"/>
    <m/>
    <n v="0"/>
    <n v="1.5"/>
    <n v="1.6"/>
    <n v="1.7"/>
    <n v="1.8"/>
    <n v="1.9"/>
    <n v="3.7"/>
    <s v="IG"/>
    <s v="103 Inspectorate of Government"/>
    <s v="MoLG"/>
  </r>
  <r>
    <x v="10"/>
    <x v="10"/>
    <s v="141"/>
    <s v="Strengthening Accountability"/>
    <s v="1411"/>
    <s v="Strengthen accountability for results across government"/>
    <s v="141104"/>
    <s v="Enforce compliance to the rules and regulations"/>
    <m/>
    <m/>
    <s v="14110404"/>
    <s v="Records and information management policy and regulatory framework reviewed and developed"/>
    <s v="Number of policies, regulations and guidelines developed "/>
    <n v="0"/>
    <n v="2"/>
    <n v="2"/>
    <n v="2"/>
    <m/>
    <m/>
    <s v="MOPS"/>
    <s v="005 Ministry of Public Service"/>
    <s v="Develop 2 policies (NRIM Policy, NAM Policy), 2 guidelines (E-records Management Guidelines, Disaster Management guidelines, 2 regulations (Access and Use of Archives Regulations, and Fees structure for services at NRCA). "/>
    <n v="1"/>
    <n v="0"/>
    <n v="0"/>
    <n v="1"/>
    <n v="1"/>
    <n v="0"/>
    <n v="1"/>
    <n v="1"/>
    <n v="0.625"/>
    <m/>
    <n v="0"/>
    <n v="0.5"/>
    <n v="0.5"/>
    <n v="0.5"/>
    <n v="0.5"/>
    <n v="0.5"/>
    <n v="1"/>
    <s v="MoPS"/>
    <s v="005 Ministry of Public Service"/>
    <s v="PSC"/>
  </r>
  <r>
    <x v="10"/>
    <x v="10"/>
    <s v="141"/>
    <s v="Strengthening Accountability"/>
    <s v="1411"/>
    <s v="Strengthen accountability for results across government"/>
    <s v="141104"/>
    <s v="Enforce compliance to the rules and regulations"/>
    <m/>
    <m/>
    <s v="14110404"/>
    <s v="Records and information management policy and regulatory framework reviewed and developed"/>
    <s v="Number of policies, regulations and guidelines  reviewed"/>
    <n v="0"/>
    <n v="2"/>
    <n v="1"/>
    <m/>
    <m/>
    <m/>
    <s v="MOPS"/>
    <s v="005 Ministry of Public Service"/>
    <s v="Review 3 (NRA Act, 2001; Retention and Disposal Schedule, RM Procedures Manual) "/>
    <n v="1"/>
    <n v="0"/>
    <n v="0"/>
    <n v="1"/>
    <n v="1"/>
    <n v="0"/>
    <n v="1"/>
    <n v="1"/>
    <n v="0.625"/>
    <m/>
    <n v="0"/>
    <n v="0.4"/>
    <n v="0.2"/>
    <m/>
    <n v="0.2"/>
    <m/>
    <n v="0"/>
    <s v="MoPS"/>
    <s v="005 Ministry of Public Service"/>
    <s v="N/A"/>
  </r>
  <r>
    <x v="10"/>
    <x v="10"/>
    <s v="141"/>
    <s v="Strengthening Accountability"/>
    <s v="1411"/>
    <s v="Strengthen accountability for results across government"/>
    <s v="141104"/>
    <s v="Enforce compliance to the rules and regulations"/>
    <m/>
    <m/>
    <s v="14110405"/>
    <s v="Compliance to RIM standards in MDAs and LGs assessed and technical support provided to address the  identified gaps"/>
    <s v="Number of MDAs and LGs records management systems audited and streamlined   "/>
    <n v="45"/>
    <n v="60"/>
    <n v="60"/>
    <n v="60"/>
    <n v="60"/>
    <n v="60"/>
    <s v="MOPS"/>
    <s v="005 Ministry of Public Service"/>
    <s v="Conduct Auditing and streamlining of Records Management  systems in MDAs &amp; LGs"/>
    <n v="1"/>
    <n v="0"/>
    <n v="0"/>
    <n v="1"/>
    <n v="1"/>
    <n v="0"/>
    <n v="1"/>
    <n v="1"/>
    <n v="0.625"/>
    <m/>
    <n v="0"/>
    <n v="0.19"/>
    <n v="0.19"/>
    <n v="0.19"/>
    <n v="0.2"/>
    <n v="0.19"/>
    <n v="0.38"/>
    <s v="MoPS"/>
    <s v="005 Ministry of Public Service"/>
    <s v="N/A"/>
  </r>
  <r>
    <x v="10"/>
    <x v="10"/>
    <s v="141"/>
    <s v="Strengthening Accountability"/>
    <s v="1411"/>
    <s v="Strengthen accountability for results across government"/>
    <s v="141104"/>
    <s v="Enforce compliance to the rules and regulations"/>
    <m/>
    <m/>
    <s v="14110406"/>
    <s v="Capacity of staff built in records and Information Management"/>
    <s v="Number of staff trained in RIM"/>
    <n v="0"/>
    <n v="170"/>
    <n v="190"/>
    <n v="190"/>
    <n v="170"/>
    <n v="170"/>
    <s v="MOPS"/>
    <s v="005 Ministry of Public Service"/>
    <s v="Build capacity of RIM staff to enforce compliance to RIM standards"/>
    <n v="1"/>
    <n v="0"/>
    <n v="0"/>
    <n v="1"/>
    <n v="1"/>
    <n v="0"/>
    <n v="1"/>
    <n v="1"/>
    <n v="0.625"/>
    <m/>
    <n v="0"/>
    <n v="0.2"/>
    <n v="0.5"/>
    <n v="0.5"/>
    <n v="0.5"/>
    <n v="0.5"/>
    <n v="1"/>
    <s v="MOPS"/>
    <s v="005 Ministry of Public Service"/>
    <m/>
  </r>
  <r>
    <x v="10"/>
    <x v="10"/>
    <s v="141"/>
    <s v="Strengthening Accountability"/>
    <s v="1411"/>
    <s v="Strengthen accountability for results across government"/>
    <s v="141104"/>
    <s v="Enforce compliance to the rules and regulations"/>
    <m/>
    <m/>
    <s v="14110407"/>
    <s v="Performance audits of DSC conducted and reports produced"/>
    <s v="Number of DSC audited"/>
    <n v="49"/>
    <s v="-"/>
    <n v="145"/>
    <n v="145"/>
    <n v="145"/>
    <n v="145"/>
    <s v="PSC"/>
    <s v="146 Public Service Commission"/>
    <s v="Conduct DSC audits to assess performance "/>
    <n v="1"/>
    <n v="0"/>
    <n v="0"/>
    <n v="1"/>
    <n v="1"/>
    <n v="1"/>
    <n v="1"/>
    <n v="1"/>
    <n v="0.75"/>
    <m/>
    <n v="0"/>
    <n v="0.2"/>
    <n v="0.2"/>
    <n v="0.2"/>
    <n v="0.2"/>
    <n v="0.2"/>
    <n v="0.4"/>
    <s v="PSC"/>
    <s v="146 Public Service Commission"/>
    <m/>
  </r>
  <r>
    <x v="10"/>
    <x v="10"/>
    <s v="141"/>
    <s v="Strengthening Accountability"/>
    <s v="1411"/>
    <s v="Strengthen accountability for results across government"/>
    <s v="141104"/>
    <s v="Enforce compliance to the rules and regulations"/>
    <m/>
    <m/>
    <s v="14110407"/>
    <s v="Performance audits of DSC conducted and reports produced"/>
    <s v="Number of DSCs sensitised "/>
    <m/>
    <m/>
    <n v="145"/>
    <n v="145"/>
    <n v="145"/>
    <n v="145"/>
    <s v="PSC"/>
    <s v="146 Public Service Commission"/>
    <s v="Sensitize and disseminate to DSCs standards and guidelines"/>
    <n v="1"/>
    <n v="1"/>
    <n v="0"/>
    <n v="1"/>
    <n v="1"/>
    <n v="0"/>
    <n v="1"/>
    <n v="1"/>
    <n v="0.75"/>
    <m/>
    <n v="0"/>
    <n v="1.2"/>
    <n v="1.2"/>
    <n v="1.2"/>
    <n v="1.2"/>
    <n v="1.2"/>
    <n v="2.4"/>
    <s v="PSC"/>
    <s v="146 Public Service Commission"/>
    <m/>
  </r>
  <r>
    <x v="10"/>
    <x v="10"/>
    <s v="141"/>
    <s v="Strengthening Accountability"/>
    <s v="1411"/>
    <s v="Strengthen accountability for results across government"/>
    <s v="141104"/>
    <s v="Enforce compliance to the rules and regulations"/>
    <m/>
    <m/>
    <s v="14110408"/>
    <s v="Appeals  of the DSC decisions handled"/>
    <s v="Proportion  of appeals of DSC decisions handled, %"/>
    <n v="88"/>
    <n v="100"/>
    <n v="100"/>
    <n v="100"/>
    <n v="100"/>
    <n v="100"/>
    <s v="PSC"/>
    <s v="146 Public Service Commission"/>
    <s v="Hold meetings to address the appeals of DSC decisions "/>
    <n v="1"/>
    <n v="1"/>
    <n v="1"/>
    <n v="1"/>
    <n v="1"/>
    <n v="1"/>
    <n v="1"/>
    <n v="1"/>
    <n v="1"/>
    <m/>
    <n v="0"/>
    <n v="0.01"/>
    <n v="0.01"/>
    <n v="0.01"/>
    <n v="0.01"/>
    <n v="0.01"/>
    <n v="0.02"/>
    <s v="PSC"/>
    <s v="146 Public Service Commission"/>
    <s v="N/A"/>
  </r>
  <r>
    <x v="10"/>
    <x v="10"/>
    <s v="141"/>
    <s v="Strengthening Accountability"/>
    <s v="1411"/>
    <s v="Strengthen accountability for results across government"/>
    <s v="141104"/>
    <s v="Enforce compliance to the rules and regulations"/>
    <m/>
    <m/>
    <s v="14110409"/>
    <s v="Guidance provided on recruitments and selection"/>
    <s v="No. of trainings and support supervision to entities conducted "/>
    <n v="0"/>
    <n v="1"/>
    <n v="2"/>
    <n v="2"/>
    <n v="2"/>
    <n v="2"/>
    <s v="PSC"/>
    <s v="146 Public Service Commission"/>
    <s v="Conduct trainings and support supervision on recruitments and selections"/>
    <n v="1"/>
    <n v="1"/>
    <n v="0"/>
    <n v="1"/>
    <n v="1"/>
    <n v="0"/>
    <n v="1"/>
    <n v="1"/>
    <n v="0.75"/>
    <m/>
    <n v="0"/>
    <n v="0.4"/>
    <n v="0.2"/>
    <n v="0.2"/>
    <n v="0.2"/>
    <n v="0.2"/>
    <n v="0.4"/>
    <s v="PSC"/>
    <s v="146 Public Service Commission"/>
    <m/>
  </r>
  <r>
    <x v="10"/>
    <x v="10"/>
    <s v="141"/>
    <s v="Strengthening Accountability"/>
    <s v="1411"/>
    <s v="Strengthen accountability for results across government"/>
    <s v="141104"/>
    <s v="Enforce compliance to the rules and regulations"/>
    <m/>
    <m/>
    <n v="14110410"/>
    <s v="Disciplinary cases with complete submissions considered and concluded  "/>
    <s v="% of disciplinary cases received and concluded within a financial year "/>
    <n v="88"/>
    <n v="90"/>
    <n v="92"/>
    <n v="95"/>
    <n v="95"/>
    <n v="95"/>
    <s v="PSC"/>
    <s v="146 Public Service Commission"/>
    <s v="Receive and process submissions, and conduct disciplinary hearings."/>
    <n v="1"/>
    <n v="1"/>
    <n v="0"/>
    <n v="1"/>
    <n v="1"/>
    <n v="0"/>
    <n v="0"/>
    <n v="1"/>
    <n v="0.625"/>
    <m/>
    <n v="0"/>
    <n v="0.1"/>
    <n v="0.1"/>
    <n v="0.1"/>
    <n v="0.1"/>
    <n v="0.1"/>
    <n v="0.2"/>
    <s v="PSC"/>
    <s v="146 Public Service Commission"/>
    <m/>
  </r>
  <r>
    <x v="10"/>
    <x v="10"/>
    <s v="142"/>
    <s v="Government Structures and Systems"/>
    <s v="1422"/>
    <s v="Streamline government architecture for efficient and effective service delivery"/>
    <n v="142201"/>
    <s v="Restructure government institutions (MDAs &amp; sectors) to align with new program planning, budgeting and implementation"/>
    <s v="142201a"/>
    <s v="Undertake functional analysis and reforms of government institutions "/>
    <s v="142201a01"/>
    <s v="Compressive Restructuring of MDAs and LGs undertaken and Reports produced"/>
    <s v=" %MDAs and LGs restructured and reports  produced"/>
    <n v="0"/>
    <n v="25"/>
    <n v="35"/>
    <n v="40"/>
    <s v="-"/>
    <s v="-"/>
    <s v="MOPS, OP, NPA, OPM, MOFPED, OWC"/>
    <e v="#N/A"/>
    <s v="Comprehensively review the current functional architecture of government  to deliver results under the Programme approach "/>
    <n v="1"/>
    <n v="1"/>
    <n v="1"/>
    <n v="1"/>
    <n v="1"/>
    <n v="1"/>
    <n v="1"/>
    <n v="1"/>
    <n v="1"/>
    <m/>
    <n v="0"/>
    <n v="3"/>
    <n v="4.2"/>
    <n v="4.8"/>
    <n v="0"/>
    <n v="0"/>
    <n v="0"/>
    <s v="MoPS"/>
    <s v="005 Ministry of Public Service"/>
    <s v="OP,NPA, OPM, MOFPED,OWC "/>
  </r>
  <r>
    <x v="10"/>
    <x v="10"/>
    <s v="142"/>
    <s v="Government Structures and Systems"/>
    <s v="1422"/>
    <s v="Streamline government architecture for efficient and effective service delivery"/>
    <n v="142201"/>
    <s v="Restructure government institutions (MDAs &amp; sectors) to align with new program planning, budgeting and implementation"/>
    <s v="142201b"/>
    <s v="Review and implement the recommendations on harmonization and restructuring of institutions report (2018) "/>
    <s v="142201b02"/>
    <s v="Government Rationalization Report implemented"/>
    <s v="Proportion of Rationalization Report recommendations implemented, % "/>
    <m/>
    <n v="25"/>
    <n v="50"/>
    <n v="65"/>
    <n v="75"/>
    <n v="100"/>
    <s v="MOPS, OP, NPA, OPM, MOFPED, OWC"/>
    <e v="#N/A"/>
    <s v="Restructure affected MDAs by Rationalisation; Develop structures for new MDAs created due to mergers Compensate the affected staff;  Under take comprehensive job evaluation; Review the salary structure; Review and align the structure for PSC with its mandate and functions"/>
    <n v="1"/>
    <n v="1"/>
    <n v="1"/>
    <n v="1"/>
    <n v="1"/>
    <n v="1"/>
    <n v="1"/>
    <n v="1"/>
    <n v="1"/>
    <m/>
    <n v="0"/>
    <n v="6"/>
    <n v="6"/>
    <n v="1.5"/>
    <n v="2"/>
    <n v="2.4"/>
    <n v="6"/>
    <s v="MOPS"/>
    <s v="005 Ministry of Public Service"/>
    <m/>
  </r>
  <r>
    <x v="10"/>
    <x v="10"/>
    <s v="142"/>
    <s v="Government Structures and Systems"/>
    <s v="1422"/>
    <s v="Streamline government architecture for efficient and effective service delivery"/>
    <n v="142201"/>
    <s v="Restructure government institutions (MDAs &amp; sectors) to align with new program planning, budgeting and implementation"/>
    <s v="142201b"/>
    <s v="Review and implement the recommendations on harmonization and restructuring of institutions report (2018) "/>
    <s v="142201b02"/>
    <s v="Government Rationalization Report implemented"/>
    <s v="No of Agencies mainstreamed in line Ministries"/>
    <m/>
    <m/>
    <n v="21"/>
    <n v="21"/>
    <m/>
    <m/>
    <s v="MOPS, OP, NPA, OPM, MOFPED, OWC"/>
    <e v="#N/A"/>
    <s v="Structures, mandates and functions of Agencies to be MAINSTREAMED studied and reviewed; Data, functional and workload analysis carried out; Structures mainstreamed and re-organised; Cost implications of the structures prepared; Reports prepared, presented and discussed; and Implementation guidelines for structures developed and disseminated"/>
    <n v="1"/>
    <n v="1"/>
    <n v="1"/>
    <n v="1"/>
    <n v="1"/>
    <n v="1"/>
    <n v="1"/>
    <n v="1"/>
    <n v="1"/>
    <m/>
    <n v="0"/>
    <m/>
    <m/>
    <m/>
    <n v="4.5999999999999996"/>
    <m/>
    <n v="0"/>
    <s v="MOPS"/>
    <s v="005 Ministry of Public Service"/>
    <m/>
  </r>
  <r>
    <x v="10"/>
    <x v="10"/>
    <s v="142"/>
    <s v="Government Structures and Systems"/>
    <s v="1422"/>
    <s v="Streamline government architecture for efficient and effective service delivery"/>
    <n v="142201"/>
    <s v="Restructure government institutions (MDAs &amp; sectors) to align with new program planning, budgeting and implementation"/>
    <s v="142201b"/>
    <s v="Review and implement the recommendations on harmonization and restructuring of institutions report (2018) "/>
    <s v="142201b02"/>
    <s v="Government Rationalization Report implemented"/>
    <s v="Number of retained institutions restructured."/>
    <m/>
    <n v="26"/>
    <n v="26"/>
    <m/>
    <m/>
    <m/>
    <s v="MOPS, OP, NPA, OPM, MOFPED, OWC"/>
    <e v="#N/A"/>
    <s v="Structures, mandates and functions of Agencies to be RETAINED studied and reviewed; Data, functional and workload analysis carried out; Structures for institutions to be retained reviewed  and re-organised; Cost implications of the structures prepared; Reports prepared, presented and discussed; and Implementation guidelines for structures developed and disseminated"/>
    <n v="1"/>
    <n v="1"/>
    <n v="1"/>
    <n v="1"/>
    <n v="1"/>
    <n v="1"/>
    <n v="1"/>
    <n v="1"/>
    <n v="1"/>
    <m/>
    <n v="0"/>
    <m/>
    <m/>
    <m/>
    <m/>
    <m/>
    <n v="0"/>
    <s v="MOPS"/>
    <s v="005 Ministry of Public Service"/>
    <m/>
  </r>
  <r>
    <x v="10"/>
    <x v="10"/>
    <s v="142"/>
    <s v="Government Structures and Systems"/>
    <s v="1422"/>
    <s v="Streamline government architecture for efficient and effective service delivery"/>
    <n v="142201"/>
    <s v="Restructure government institutions (MDAs &amp; sectors) to align with new program planning, budgeting and implementation"/>
    <s v="142201b"/>
    <s v="Review and implement the recommendations on harmonization and restructuring of institutions report (2018) "/>
    <s v="142201b02"/>
    <s v="Government Rationalization Report implemented"/>
    <s v="No. of institutions merged to form 19 new institutions"/>
    <m/>
    <m/>
    <m/>
    <n v="20"/>
    <n v="20"/>
    <n v="19"/>
    <s v="MOPS, OP, NPA, OPM, MOFPED, OWC"/>
    <e v="#N/A"/>
    <s v="Structures, mandates and functions of Agencies to be MERGED studied and reviewed; Data, functional and workload analysis carried out; Structures for institutions to be merged reviewed  and re-organised; Cost implications of the structures prepared; Reports prepared, presented and discussed; and Implementation guidelines for structures developed and disseminated"/>
    <n v="1"/>
    <n v="1"/>
    <n v="1"/>
    <n v="1"/>
    <n v="1"/>
    <n v="1"/>
    <n v="1"/>
    <n v="1"/>
    <n v="1"/>
    <m/>
    <n v="0"/>
    <m/>
    <m/>
    <m/>
    <m/>
    <m/>
    <n v="0"/>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s v="14220201"/>
    <s v="Structures for Government institutions  reviewed, customized and implemented"/>
    <s v="No. of MDA Structures reviewed and customized  "/>
    <n v="26"/>
    <n v="134"/>
    <n v="134"/>
    <n v="134"/>
    <n v="134"/>
    <n v="134"/>
    <s v="MoPS, OPM, MoLG "/>
    <e v="#N/A"/>
    <s v="Restructure the current government functional architecture to support the delivery results under the Programme approach"/>
    <n v="1"/>
    <n v="1"/>
    <n v="1"/>
    <n v="1"/>
    <n v="1"/>
    <n v="1"/>
    <n v="1"/>
    <n v="1"/>
    <n v="1"/>
    <m/>
    <n v="0"/>
    <n v="0.64"/>
    <n v="0.64"/>
    <n v="0.64"/>
    <n v="0.64"/>
    <n v="0.64"/>
    <n v="1.28"/>
    <s v="MoPS"/>
    <s v="005 Ministry of Public Service"/>
    <s v="OP,NPA, OPM, MOFPED,OWC "/>
  </r>
  <r>
    <x v="10"/>
    <x v="10"/>
    <s v="142"/>
    <s v="Government Structures and Systems"/>
    <s v="1422"/>
    <s v="Streamline government architecture for efficient and effective service delivery"/>
    <s v="142202"/>
    <s v="Review and develop management and operational structures, systems and standards "/>
    <m/>
    <m/>
    <s v="14220201"/>
    <s v="Structures for Government institutions  reviewed, customized and implemented"/>
    <s v="Number of LG structures customized"/>
    <n v="37"/>
    <n v="10"/>
    <n v="10"/>
    <n v="10"/>
    <n v="10"/>
    <n v="10"/>
    <s v="MoPS"/>
    <s v="005 Ministry of Public Service"/>
    <s v="Provide technical support to LGs to customise and implement the revised struture "/>
    <n v="1"/>
    <n v="1"/>
    <n v="1"/>
    <n v="1"/>
    <n v="1"/>
    <n v="1"/>
    <n v="1"/>
    <n v="1"/>
    <n v="1"/>
    <m/>
    <n v="0"/>
    <n v="1"/>
    <n v="1"/>
    <n v="1"/>
    <n v="1"/>
    <n v="1"/>
    <n v="2"/>
    <s v="MOPS"/>
    <s v="005 Ministry of Public Service"/>
    <s v="N/A"/>
  </r>
  <r>
    <x v="10"/>
    <x v="10"/>
    <s v="142"/>
    <s v="Government Structures and Systems"/>
    <s v="1422"/>
    <s v="Streamline government architecture for efficient and effective service delivery"/>
    <s v="142202"/>
    <s v="Review and develop management and operational structures, systems and standards "/>
    <m/>
    <m/>
    <s v="14220201"/>
    <s v="Structures for Government institutions  reviewed, customized and implemented"/>
    <s v="Number of MDAs and LGs supported to implement the revised structures"/>
    <n v="44"/>
    <n v="12"/>
    <n v="11"/>
    <n v="11"/>
    <n v="6"/>
    <n v="0"/>
    <s v="MoPS, OP, NPA, OPM, MOFPED, OWC"/>
    <e v="#N/A"/>
    <s v="Provide technical support to MDAs to customise and implement the revised struture "/>
    <n v="1"/>
    <n v="1"/>
    <n v="1"/>
    <n v="1"/>
    <n v="1"/>
    <n v="1"/>
    <n v="1"/>
    <n v="1"/>
    <n v="1"/>
    <m/>
    <n v="0"/>
    <n v="0.5"/>
    <n v="0.6"/>
    <n v="0.6"/>
    <n v="0.6"/>
    <n v="0.6"/>
    <n v="1.2"/>
    <s v="MOPS"/>
    <s v="005 Ministry of Public Service"/>
    <s v="N/A"/>
  </r>
  <r>
    <x v="10"/>
    <x v="10"/>
    <s v="142"/>
    <s v="Government Structures and Systems"/>
    <s v="1422"/>
    <s v="Streamline government architecture for efficient and effective service delivery"/>
    <s v="142202"/>
    <s v="Review and develop management and operational structures, systems and standards "/>
    <m/>
    <m/>
    <n v="14220204"/>
    <s v="Job description and person specifications reviewed and developed"/>
    <s v="% of Jobs in the Public  Service with valid Job descriptions and Person Specifications"/>
    <n v="80"/>
    <n v="85"/>
    <n v="90"/>
    <n v="100"/>
    <m/>
    <m/>
    <s v="MOPS"/>
    <s v="005 Ministry of Public Service"/>
    <s v="Job analysis; Functional analysis; Qualification and competence profiling; Stakeholder consultations; Approval and dissemination  "/>
    <n v="1"/>
    <n v="1"/>
    <n v="1"/>
    <n v="1"/>
    <n v="1"/>
    <n v="0"/>
    <n v="1"/>
    <n v="1"/>
    <n v="0.875"/>
    <m/>
    <n v="0"/>
    <n v="0.33"/>
    <n v="0.33"/>
    <n v="0.33"/>
    <n v="2"/>
    <m/>
    <n v="0"/>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5"/>
    <s v="JDs for jobs in new cities developed  "/>
    <s v="Number of cities with JDs developed "/>
    <m/>
    <n v="10"/>
    <n v="1"/>
    <n v="4"/>
    <m/>
    <m/>
    <s v="MOPS"/>
    <s v="005 Ministry of Public Service"/>
    <s v="Develop job decription for the 15 new cities "/>
    <n v="1"/>
    <n v="1"/>
    <n v="1"/>
    <n v="1"/>
    <n v="1"/>
    <n v="1"/>
    <n v="1"/>
    <n v="1"/>
    <n v="1"/>
    <m/>
    <n v="0"/>
    <n v="0.3"/>
    <n v="0.3"/>
    <n v="0.12"/>
    <n v="0.3"/>
    <m/>
    <n v="0"/>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5"/>
    <s v="Schemes of service for cadres developed"/>
    <s v="Number of Cadres with valid Schemes of Service  "/>
    <n v="15"/>
    <n v="40"/>
    <n v="60"/>
    <n v="80"/>
    <n v="100"/>
    <m/>
    <s v="MOPS"/>
    <s v="005 Ministry of Public Service"/>
    <s v="Draft the Schemes of Service, undertake stakeholder consultations , finalise and sign off"/>
    <n v="1"/>
    <n v="0"/>
    <n v="0"/>
    <n v="1"/>
    <n v="1"/>
    <n v="0"/>
    <n v="0"/>
    <n v="1"/>
    <n v="0.5"/>
    <m/>
    <n v="0"/>
    <n v="0.86"/>
    <n v="1.3"/>
    <n v="1.7"/>
    <n v="0"/>
    <n v="2.6"/>
    <n v="4.8000000000000007"/>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6"/>
    <s v="Records Management Systems set up in MDAs and LGs where they are lacking"/>
    <s v="Number of MDAs and LGs supported to set up RIM Systems "/>
    <m/>
    <n v="45"/>
    <n v="40"/>
    <n v="40"/>
    <n v="43"/>
    <n v="37"/>
    <s v="MOPS"/>
    <s v="005 Ministry of Public Service"/>
    <s v="Training and sensitisation of records staff and users; Introduction of records Management Systems"/>
    <n v="1"/>
    <n v="0"/>
    <n v="0"/>
    <n v="1"/>
    <n v="1"/>
    <n v="0"/>
    <n v="1"/>
    <n v="1"/>
    <n v="0.625"/>
    <m/>
    <n v="0"/>
    <n v="0.28999999999999998"/>
    <n v="0.28999999999999998"/>
    <n v="0.28999999999999998"/>
    <n v="0.3"/>
    <n v="0.28999999999999998"/>
    <n v="0.57999999999999996"/>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7"/>
    <s v="Phase II of NRCA constructed and operationalized"/>
    <s v="%ge of required equipment installed"/>
    <m/>
    <m/>
    <m/>
    <m/>
    <m/>
    <n v="100"/>
    <s v="MOPS"/>
    <s v="005 Ministry of Public Service"/>
    <s v="Profile the required equipment for Phase I; Develop Specifications; Procure Suppliers; Train users; Develop and implement an operational and maintenance plan; Conduct outreach programs to create awareness"/>
    <n v="1"/>
    <n v="0"/>
    <n v="0"/>
    <n v="1"/>
    <n v="1"/>
    <n v="0"/>
    <n v="1"/>
    <n v="1"/>
    <n v="0.625"/>
    <m/>
    <n v="0"/>
    <m/>
    <m/>
    <m/>
    <n v="0.4"/>
    <n v="9.1999999999999993"/>
    <n v="9.1999999999999993"/>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8"/>
    <s v="Phase I of NRCA equipped and utilized"/>
    <s v="Number of clients served"/>
    <n v="400"/>
    <n v="400"/>
    <n v="500"/>
    <n v="600"/>
    <n v="700"/>
    <n v="800"/>
    <s v="MOPS"/>
    <s v="005 Ministry of Public Service"/>
    <s v="Avail information to clients; Update records catalogues; Describe the archives"/>
    <n v="1"/>
    <n v="1"/>
    <n v="1"/>
    <n v="1"/>
    <n v="1"/>
    <n v="1"/>
    <n v="1"/>
    <n v="1"/>
    <n v="1"/>
    <m/>
    <n v="0"/>
    <n v="8.0000000000000002E-3"/>
    <n v="0.01"/>
    <n v="1.2E-2"/>
    <n v="0.05"/>
    <n v="1.6E-2"/>
    <n v="0.03"/>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8"/>
    <s v="Phase I of NRCA equipped and utilized"/>
    <s v="Number of MDAs and LGs where archival records are acquired"/>
    <m/>
    <n v="20"/>
    <n v="20"/>
    <n v="20"/>
    <n v="20"/>
    <n v="20"/>
    <s v="MOPS"/>
    <s v="005 Ministry of Public Service"/>
    <s v="Train and sensitise the user; Appraise the records"/>
    <n v="1"/>
    <n v="1"/>
    <n v="1"/>
    <n v="1"/>
    <n v="1"/>
    <n v="1"/>
    <n v="1"/>
    <n v="1"/>
    <n v="1"/>
    <m/>
    <n v="0"/>
    <n v="0.13"/>
    <n v="0.13"/>
    <n v="0.13"/>
    <n v="0.3"/>
    <n v="0.13"/>
    <n v="0.26"/>
    <s v="MOPS"/>
    <s v="005 Ministry of Public Service"/>
    <m/>
  </r>
  <r>
    <x v="10"/>
    <x v="10"/>
    <s v="142"/>
    <s v="Government Structures and Systems"/>
    <s v="1422"/>
    <s v="Streamline government architecture for efficient and effective service delivery"/>
    <s v="142202"/>
    <s v="Review and develop management and operational structures, systems and standards "/>
    <m/>
    <m/>
    <n v="14220209"/>
    <s v="UPDF Establishment Reviewed"/>
    <s v="Revised establishment in place"/>
    <m/>
    <m/>
    <n v="1"/>
    <m/>
    <m/>
    <m/>
    <s v="MODVA"/>
    <s v="004 Ministry of Defence and Veteran Affairs"/>
    <s v="Revise the establishment for UPDF "/>
    <n v="1"/>
    <n v="1"/>
    <n v="1"/>
    <n v="1"/>
    <n v="1"/>
    <n v="1"/>
    <n v="1"/>
    <n v="1"/>
    <n v="1"/>
    <m/>
    <n v="0"/>
    <m/>
    <n v="0.4"/>
    <m/>
    <n v="0.05"/>
    <m/>
    <n v="0"/>
    <s v="MODVA"/>
    <s v="004 Ministry of Defence and Veteran Affairs "/>
    <m/>
  </r>
  <r>
    <x v="10"/>
    <x v="10"/>
    <s v="142"/>
    <s v="Government Structures and Systems"/>
    <s v="1422"/>
    <s v="Streamline government architecture for efficient and effective service delivery"/>
    <s v="142202"/>
    <s v="Review and develop management and operational structures, systems and standards "/>
    <m/>
    <m/>
    <n v="14220210"/>
    <s v="MODVA structure able to support the UPDF reviewed"/>
    <s v="Revised MODVA structure able to support the UPDF in place"/>
    <m/>
    <m/>
    <n v="1"/>
    <m/>
    <m/>
    <m/>
    <s v="MODVA"/>
    <s v="004 Ministry of Defence and Veteran Affairs"/>
    <s v="Structures, mandates and functions of MODVA studied and reviewed; Data, functional and workload analysis carried out; Structures mainstreamed and re-organised; Cost implications of the structures prepared; Reports prepared, presented and discussed; and Implementation guidelines for structures developed and disseminated"/>
    <n v="1"/>
    <n v="1"/>
    <n v="1"/>
    <n v="1"/>
    <n v="1"/>
    <n v="1"/>
    <n v="1"/>
    <n v="1"/>
    <n v="1"/>
    <m/>
    <n v="0"/>
    <m/>
    <n v="0.8"/>
    <m/>
    <n v="0.05"/>
    <m/>
    <n v="0"/>
    <s v="MODVA"/>
    <s v="004 Ministry of Defence and Veteran Affairs "/>
    <m/>
  </r>
  <r>
    <x v="10"/>
    <x v="10"/>
    <s v="142"/>
    <s v="Government Structures and Systems"/>
    <s v="1422"/>
    <s v="Streamline government architecture for efficient and effective service delivery"/>
    <s v="142202"/>
    <s v="Review and develop management and operational structures, systems and standards "/>
    <m/>
    <m/>
    <n v="14220211"/>
    <s v="Distribution of teacher between educational institutions at various levels of education Standardized (Staffing Norms)"/>
    <s v="National teacher guidelines for teacher utilization to guide deployment in place and disseminated to all districts."/>
    <m/>
    <m/>
    <n v="1"/>
    <m/>
    <m/>
    <m/>
    <s v="MoES"/>
    <s v="013 Ministry of Education and Sports"/>
    <s v="Conduct countrywide mapping to determine existing gaps of teachers at all education levels and recruitment to fill the gaps."/>
    <n v="1"/>
    <n v="1"/>
    <n v="0"/>
    <n v="1"/>
    <n v="1"/>
    <n v="0"/>
    <n v="1"/>
    <n v="1"/>
    <n v="0.75"/>
    <m/>
    <n v="0"/>
    <m/>
    <n v="8.3000000000000004E-2"/>
    <m/>
    <m/>
    <m/>
    <n v="0"/>
    <s v="MoES"/>
    <s v="013 Ministry of Education and Sports"/>
    <m/>
  </r>
  <r>
    <x v="10"/>
    <x v="10"/>
    <s v="143"/>
    <s v="Human Resource Management "/>
    <s v="1433"/>
    <s v="Strengthen human resource management function of Government for improved service delivery"/>
    <s v="143301"/>
    <s v="Undertake nurturing of civil servants through patriotic and long-term national service training"/>
    <m/>
    <m/>
    <s v="14330101"/>
    <s v="National Service Scheme developed and Implemented"/>
    <s v="National Service Scheme developed"/>
    <n v="0"/>
    <n v="1"/>
    <m/>
    <n v="0"/>
    <n v="0"/>
    <n v="0"/>
    <s v="MOPS"/>
    <s v="005 Ministry of Public Service"/>
    <s v="Develop and implement a National Service Training Scheme for civil servants "/>
    <n v="1"/>
    <n v="1"/>
    <n v="1"/>
    <n v="1"/>
    <n v="1"/>
    <n v="1"/>
    <n v="1"/>
    <n v="1"/>
    <n v="1"/>
    <m/>
    <n v="0"/>
    <n v="0.21"/>
    <m/>
    <m/>
    <m/>
    <m/>
    <n v="0"/>
    <s v="MoPS"/>
    <s v="005 Ministry of Public Service"/>
    <s v="OP, OPM"/>
  </r>
  <r>
    <x v="10"/>
    <x v="10"/>
    <s v="143"/>
    <s v="Human Resource Management "/>
    <s v="1433"/>
    <s v="Strengthen human resource management function of Government for improved service delivery"/>
    <s v="143301"/>
    <s v="Undertake nurturing of civil servants through patriotic and long-term national service training"/>
    <m/>
    <m/>
    <s v="14330101"/>
    <s v="National Service Scheme developed and Implemented"/>
    <s v="Number of Officers trained under the National Service Scheme"/>
    <m/>
    <n v="200"/>
    <n v="200"/>
    <n v="200"/>
    <n v="200"/>
    <n v="200"/>
    <s v="MOPS"/>
    <s v="005 Ministry of Public Service"/>
    <s v="Conduct training under the National Service Scheme"/>
    <n v="0"/>
    <n v="0"/>
    <n v="0"/>
    <n v="1"/>
    <n v="1"/>
    <n v="0"/>
    <n v="1"/>
    <n v="1"/>
    <n v="0.5"/>
    <m/>
    <n v="0"/>
    <n v="0.39400000000000002"/>
    <n v="0.39400000000000002"/>
    <n v="0.39400000000000002"/>
    <n v="0"/>
    <n v="0.39400000000000002"/>
    <n v="0.78800000000000003"/>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3"/>
    <s v="A National Capacity Building Plan aligned to NDPIII prepared and implemented "/>
    <s v="Cummulative % of the capacity building plan implemented "/>
    <m/>
    <n v="25"/>
    <n v="50"/>
    <n v="75"/>
    <n v="85"/>
    <n v="100"/>
    <s v="MOPS"/>
    <s v="005 Ministry of Public Service"/>
    <s v="Undertake a Capacity Needs Assessment, Prepare the plan and disseminate to stakeholders for implementation"/>
    <n v="1"/>
    <n v="1"/>
    <n v="0"/>
    <n v="1"/>
    <n v="1"/>
    <n v="1"/>
    <n v="1"/>
    <n v="1"/>
    <n v="0.875"/>
    <m/>
    <n v="0"/>
    <n v="8"/>
    <n v="8"/>
    <n v="8"/>
    <n v="9"/>
    <n v="8"/>
    <n v="16"/>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3"/>
    <s v="A National Capacity Building Plan aligned to NDPIII prepared and implemented "/>
    <s v="Number of MDAs and LGs supported to develop and implement Annual Insitutional Capacity Building Plans alined to NDPIII"/>
    <m/>
    <n v="76"/>
    <n v="76"/>
    <n v="76"/>
    <n v="76"/>
    <n v="76"/>
    <s v="MOPS"/>
    <s v="005 Ministry of Public Service"/>
    <s v="Disseminate the National Capacity Building Plan; Provide technical support to MDAs and LGs to develop and implement insitutional plans "/>
    <n v="1"/>
    <n v="1"/>
    <n v="0"/>
    <n v="1"/>
    <n v="1"/>
    <n v="1"/>
    <n v="0"/>
    <n v="1"/>
    <n v="0.75"/>
    <m/>
    <n v="0"/>
    <n v="8.5000000000000006E-2"/>
    <n v="8.5000000000000006E-2"/>
    <n v="8.5000000000000006E-2"/>
    <n v="0.09"/>
    <n v="8.5000000000000006E-2"/>
    <n v="0.17"/>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4"/>
    <s v="Mind Set Change Program developed integrated in all training programs  "/>
    <s v="Change Management program in place  and implemented"/>
    <n v="0"/>
    <n v="1"/>
    <n v="1"/>
    <n v="1"/>
    <n v="1"/>
    <n v="1"/>
    <s v="MoPS, MoGLSD"/>
    <e v="#N/A"/>
    <s v="Develop the mindset change programme and conduct training of public officers in mindset change. "/>
    <n v="1"/>
    <n v="1"/>
    <n v="0"/>
    <n v="1"/>
    <n v="1"/>
    <n v="0"/>
    <n v="1"/>
    <n v="1"/>
    <n v="0.75"/>
    <m/>
    <n v="0"/>
    <n v="1.9"/>
    <n v="1"/>
    <n v="1.1000000000000001"/>
    <n v="2"/>
    <m/>
    <n v="0.32"/>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6"/>
    <s v="Guidelines for Professionalizing all Cadres in the Public Service developed &amp; Implemented "/>
    <s v="Guidelines in place "/>
    <m/>
    <n v="1"/>
    <m/>
    <m/>
    <m/>
    <m/>
    <s v="MOPS"/>
    <s v="005 Ministry of Public Service"/>
    <s v="Develop and disseminate guidelines on Professionalization of all cadres of the Public Service "/>
    <n v="1"/>
    <n v="1"/>
    <n v="1"/>
    <n v="1"/>
    <n v="1"/>
    <n v="1"/>
    <n v="1"/>
    <n v="1"/>
    <n v="1"/>
    <m/>
    <n v="0"/>
    <n v="0.3"/>
    <n v="2"/>
    <n v="3"/>
    <n v="3"/>
    <m/>
    <n v="3"/>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6"/>
    <s v="Guidelines for Professionalizing all Cadres in the Public Service developed &amp; Implemented "/>
    <s v="Number of MDAs supported to form professional development committees "/>
    <m/>
    <n v="12"/>
    <n v="12"/>
    <m/>
    <m/>
    <m/>
    <s v="MOPS"/>
    <s v="005 Ministry of Public Service"/>
    <s v="Disseminate  guidelines; provide technical support to line ministries to form and orient professional development committees "/>
    <n v="1"/>
    <n v="0"/>
    <n v="0"/>
    <n v="1"/>
    <n v="1"/>
    <n v="0"/>
    <n v="0"/>
    <n v="1"/>
    <n v="0.5"/>
    <m/>
    <n v="0"/>
    <n v="0.1"/>
    <n v="0.1"/>
    <m/>
    <m/>
    <m/>
    <n v="0"/>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08"/>
    <s v="Professional development Programmes for teachers instituted in the Public Service for all Cadres  "/>
    <s v="Number of Teachers &amp; TVET Trainers trained per annum"/>
    <m/>
    <m/>
    <n v="50"/>
    <n v="50"/>
    <n v="50"/>
    <n v="50"/>
    <s v="MoES, MOPS"/>
    <e v="#N/A"/>
    <s v="Conduct Continuous Professional Development for Teachers &amp; TVET trainers "/>
    <n v="1"/>
    <n v="1"/>
    <n v="1"/>
    <n v="1"/>
    <n v="1"/>
    <n v="1"/>
    <n v="1"/>
    <n v="1"/>
    <n v="1"/>
    <m/>
    <n v="0"/>
    <m/>
    <n v="1"/>
    <n v="1"/>
    <n v="1"/>
    <n v="1"/>
    <n v="2"/>
    <s v="MoES"/>
    <s v="013 Ministry of Education and Sports"/>
    <m/>
  </r>
  <r>
    <x v="10"/>
    <x v="10"/>
    <s v="143"/>
    <s v="Human Resource Management "/>
    <s v="1433"/>
    <s v="Strengthen human resource management function of Government for improved service delivery"/>
    <s v="143301"/>
    <s v="Undertake nurturing of civil servants through patriotic and long-term national service training"/>
    <m/>
    <m/>
    <s v="14330109"/>
    <s v="Training curriculum on mainstreaming cross cutting issues  implemented"/>
    <s v="Number of public Offices trained in mainstreaming cross cutting issues"/>
    <m/>
    <n v="665"/>
    <n v="665"/>
    <n v="665"/>
    <n v="665"/>
    <n v="665"/>
    <s v="MOPS"/>
    <s v="005 Ministry of Public Service"/>
    <s v="Undertake Targeted Trainings in mainstreaming cross cutting issues "/>
    <n v="1"/>
    <n v="1"/>
    <n v="1"/>
    <n v="1"/>
    <n v="1"/>
    <n v="1"/>
    <n v="1"/>
    <n v="1"/>
    <n v="1"/>
    <m/>
    <n v="0"/>
    <n v="0.32"/>
    <n v="0.32"/>
    <n v="0.32"/>
    <n v="1"/>
    <n v="0.32"/>
    <n v="0.64"/>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11"/>
    <s v="Phase II of the Civil Service College constructed "/>
    <s v="% completion of Phase II of the CSCU"/>
    <m/>
    <m/>
    <n v="0.25"/>
    <n v="0.6"/>
    <n v="0.8"/>
    <n v="1"/>
    <s v="MoPS"/>
    <s v="005 Ministry of Public Service"/>
    <s v="Procure Consultancy to under feasibility for Phase II; Seek clearance &amp; funding from DC; Commence construction"/>
    <n v="1"/>
    <n v="0"/>
    <n v="0"/>
    <n v="1"/>
    <n v="1"/>
    <n v="1"/>
    <n v="1"/>
    <n v="1"/>
    <n v="0.75"/>
    <m/>
    <n v="0"/>
    <m/>
    <n v="35.4"/>
    <n v="47.2"/>
    <n v="1"/>
    <n v="11.8"/>
    <n v="35.400000000000006"/>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12"/>
    <s v="Civil Service Strategic Plan implemented "/>
    <s v="% implementation of the Strategic Plan for the College"/>
    <m/>
    <n v="0.2"/>
    <n v="0.4"/>
    <n v="0.6"/>
    <n v="0.8"/>
    <n v="1"/>
    <s v="MoPS"/>
    <s v="005 Ministry of Public Service"/>
    <s v="Operationalize the Structure of the College; Implement the Communication &amp; Marketing Strategy;  Undertake Collaboration &amp; Partnerships with Similar institutions &amp; Development Partners  "/>
    <n v="1"/>
    <n v="1"/>
    <n v="1"/>
    <n v="1"/>
    <n v="1"/>
    <n v="1"/>
    <n v="1"/>
    <n v="1"/>
    <n v="1"/>
    <m/>
    <n v="0"/>
    <n v="0.4"/>
    <n v="0.4"/>
    <n v="0.4"/>
    <n v="0.4"/>
    <n v="0.4"/>
    <n v="0.8"/>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12"/>
    <s v="Civil Service Strategic Plan implemented "/>
    <s v="%  achievement of the objective Targets set in the Strategic Plan (This is an M&amp;E tool)"/>
    <m/>
    <n v="0.2"/>
    <n v="0.4"/>
    <n v="0.6"/>
    <n v="0.8"/>
    <n v="1"/>
    <s v="MoPS"/>
    <s v="005 Ministry of Public Service"/>
    <s v="Undertake Mid-term and end of term evaluation to establish the level of achievement "/>
    <n v="1"/>
    <n v="1"/>
    <n v="1"/>
    <n v="1"/>
    <n v="1"/>
    <n v="1"/>
    <n v="1"/>
    <n v="1"/>
    <n v="1"/>
    <m/>
    <n v="0"/>
    <m/>
    <m/>
    <m/>
    <n v="0.2"/>
    <m/>
    <n v="0"/>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21"/>
    <s v="Reward and recognition schemes implemented"/>
    <s v=" Reward and recognition schemes implemented"/>
    <m/>
    <m/>
    <m/>
    <m/>
    <m/>
    <m/>
    <s v="MOPS, URA"/>
    <e v="#N/A"/>
    <s v="Implement Reward and recognition schemes "/>
    <n v="1"/>
    <n v="1"/>
    <n v="1"/>
    <n v="1"/>
    <n v="1"/>
    <n v="1"/>
    <n v="1"/>
    <n v="1"/>
    <n v="1"/>
    <m/>
    <n v="0"/>
    <m/>
    <n v="0.5"/>
    <n v="0.5"/>
    <n v="0.5"/>
    <n v="0.5"/>
    <n v="1"/>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22"/>
    <s v="Framework  for Talent sourcing, development, retention, reward and accreditation developed and rolled out"/>
    <s v="Succession Management Framework in place and operational"/>
    <m/>
    <m/>
    <n v="1"/>
    <n v="1"/>
    <n v="1"/>
    <n v="1"/>
    <s v="MoPS/URA"/>
    <e v="#N/A"/>
    <s v="Develop and disseminate the succession management  framework "/>
    <n v="1"/>
    <n v="1"/>
    <n v="0"/>
    <n v="1"/>
    <n v="1"/>
    <n v="1"/>
    <n v="1"/>
    <n v="1"/>
    <n v="0.875"/>
    <m/>
    <n v="0"/>
    <n v="0.12"/>
    <m/>
    <m/>
    <n v="0.2"/>
    <m/>
    <n v="0"/>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23"/>
    <s v="Work-based development frameworks developed and rolled out"/>
    <s v=" Attachment and Secondment Frameworks in place and operational "/>
    <m/>
    <n v="1"/>
    <n v="1"/>
    <n v="1"/>
    <n v="1"/>
    <n v="1"/>
    <s v="MoPS/URA"/>
    <e v="#N/A"/>
    <s v="Attachments and Secondments Evaluation reports; Pilot &amp; then Rollout On-job Training in all business areas and evaluate the impact of the OJT; Development of the criteria for coaches, identification of coaches and mentors; Training of the coaches and mentors (Professional and then Mastery Training); Training of all line-managers in performance coaching; Rollout leadership development coaching; Rollout executive coaching; Rollout Attachments and Secondments"/>
    <n v="1"/>
    <n v="1"/>
    <n v="0"/>
    <n v="1"/>
    <n v="1"/>
    <n v="1"/>
    <n v="1"/>
    <n v="1"/>
    <n v="0.875"/>
    <m/>
    <n v="0"/>
    <n v="0.6"/>
    <n v="0.4"/>
    <n v="0.4"/>
    <n v="0.4"/>
    <n v="0.4"/>
    <n v="0.8"/>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25"/>
    <s v="Integrity enhancement Schemes developed and rolled out"/>
    <s v="Public Service code of conduct reviewed and operational"/>
    <m/>
    <m/>
    <n v="1"/>
    <n v="1"/>
    <n v="1"/>
    <n v="1"/>
    <s v="MoPS/URA"/>
    <e v="#N/A"/>
    <s v="Develop Integrity enhancement initiatives and schemes"/>
    <n v="1"/>
    <n v="1"/>
    <n v="0"/>
    <n v="1"/>
    <n v="1"/>
    <n v="1"/>
    <n v="1"/>
    <n v="1"/>
    <n v="0.875"/>
    <m/>
    <n v="0"/>
    <m/>
    <n v="0.5"/>
    <n v="0.5"/>
    <n v="0.5"/>
    <n v="0.5"/>
    <n v="1"/>
    <s v="MOPS"/>
    <s v="005 Ministry of Public Service"/>
    <m/>
  </r>
  <r>
    <x v="10"/>
    <x v="10"/>
    <s v="143"/>
    <s v="Human Resource Management "/>
    <s v="1433"/>
    <s v="Strengthen human resource management function of Government for improved service delivery"/>
    <s v="143301"/>
    <s v="Undertake nurturing of civil servants through patriotic and long-term national service training"/>
    <m/>
    <m/>
    <s v="14330125"/>
    <s v="Integrity enhancement Schemes developed and rolled out"/>
    <s v="Fraud prevention schemes developed and operationalised "/>
    <m/>
    <m/>
    <n v="1"/>
    <n v="1"/>
    <n v="1"/>
    <n v="1"/>
    <s v="MoPS/URA"/>
    <e v="#N/A"/>
    <s v="Develop and rollout fraud prevention schemes "/>
    <n v="1"/>
    <n v="1"/>
    <n v="0"/>
    <n v="1"/>
    <n v="1"/>
    <n v="1"/>
    <n v="1"/>
    <n v="1"/>
    <n v="0.875"/>
    <m/>
    <n v="0"/>
    <m/>
    <n v="0.5"/>
    <n v="0.5"/>
    <n v="0"/>
    <n v="0"/>
    <n v="1"/>
    <s v="URA"/>
    <s v="141 Uganda Revenue Authority"/>
    <m/>
  </r>
  <r>
    <x v="10"/>
    <x v="10"/>
    <s v="143"/>
    <s v="Human Resource Management "/>
    <s v="1433"/>
    <s v="Strengthen human resource management function of Government for improved service delivery"/>
    <s v="143301"/>
    <s v="Undertake nurturing of civil servants through patriotic and long-term national service training"/>
    <m/>
    <m/>
    <s v="14330125"/>
    <s v="Integrity enhancement Schemes developed and rolled out"/>
    <s v="Whistle-blowing schemes instited and operational"/>
    <m/>
    <m/>
    <n v="1"/>
    <n v="1"/>
    <n v="1"/>
    <n v="1"/>
    <s v="MoPS/MoFPED, URA"/>
    <e v="#N/A"/>
    <s v="Develop and operationalise the whitle blowing scheme"/>
    <n v="1"/>
    <n v="1"/>
    <n v="0"/>
    <n v="1"/>
    <n v="1"/>
    <n v="1"/>
    <n v="0"/>
    <n v="1"/>
    <n v="0.75"/>
    <m/>
    <n v="0"/>
    <m/>
    <n v="0.5"/>
    <n v="0.5"/>
    <n v="0"/>
    <n v="0"/>
    <n v="1"/>
    <s v="URA"/>
    <s v="141 Uganda Revenue Authority"/>
    <m/>
  </r>
  <r>
    <x v="10"/>
    <x v="10"/>
    <s v="143"/>
    <s v="Human Resource Management "/>
    <s v="1433"/>
    <s v="Strengthen human resource management function of Government for improved service delivery"/>
    <s v="143302"/>
    <s v="Design and implement a rewards and sanctions system"/>
    <s v="143302a"/>
    <s v="Rewards and Sanctions Committees Constituted and operationalized in MDAs and LGs"/>
    <s v="143302a02"/>
    <s v="Rewards and Sanctions Committees Constituted and operationalized in MDAs and LGs"/>
    <s v="Number of MDAs and LGs Supported to form R&amp;S Committees"/>
    <n v="8"/>
    <n v="50"/>
    <n v="50"/>
    <n v="50"/>
    <n v="50"/>
    <n v="50"/>
    <s v="MoPS"/>
    <s v="005 Ministry of Public Service"/>
    <s v="Support MDAs &amp; LGs in operationalizing the Rewards &amp; Sanctions Committees "/>
    <n v="1"/>
    <n v="1"/>
    <n v="0"/>
    <n v="1"/>
    <n v="1"/>
    <n v="0"/>
    <n v="1"/>
    <n v="1"/>
    <n v="0.75"/>
    <m/>
    <n v="0"/>
    <n v="0.26"/>
    <n v="0.26"/>
    <n v="0.26"/>
    <n v="0.3"/>
    <n v="0.26"/>
    <n v="0.52"/>
    <s v="MOPS"/>
    <s v="005 Ministry of Public Service"/>
    <m/>
  </r>
  <r>
    <x v="10"/>
    <x v="10"/>
    <s v="143"/>
    <s v="Human Resource Management "/>
    <s v="1433"/>
    <s v="Strengthen human resource management function of Government for improved service delivery"/>
    <s v="143302"/>
    <s v="Design and implement a rewards and sanctions system"/>
    <s v="143302a"/>
    <s v="Rewards and Sanctions Committees Constituted and operationalized in MDAs and LGs"/>
    <s v="143302a02"/>
    <s v="Rewards and Sanctions Committees Constituted and operationalized in MDAs and LGs"/>
    <s v="% of MDAs and LGs with functional Rewards and Sanction Committees"/>
    <s v="-"/>
    <n v="30"/>
    <n v="35"/>
    <n v="40"/>
    <n v="50"/>
    <n v="65"/>
    <s v="MoPS"/>
    <s v="005 Ministry of Public Service"/>
    <s v="Sensitise MDAs and LGs on the rewards and sanctions framework and provide technical support to form the committees"/>
    <n v="1"/>
    <n v="1"/>
    <n v="0"/>
    <n v="1"/>
    <n v="1"/>
    <n v="0"/>
    <n v="1"/>
    <n v="1"/>
    <n v="0.75"/>
    <m/>
    <n v="0"/>
    <m/>
    <m/>
    <m/>
    <m/>
    <m/>
    <n v="0"/>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1"/>
    <s v="Leadership and Technical Competency Framework for the Public Service developed"/>
    <s v="Leadership Development and competency Framework in place and operational"/>
    <s v="-"/>
    <n v="1"/>
    <n v="1"/>
    <n v="1"/>
    <n v="1"/>
    <n v="1"/>
    <s v="MoPS "/>
    <e v="#N/A"/>
    <s v="develop  and operationalise a Leadership Development and competency Framework "/>
    <n v="1"/>
    <n v="1"/>
    <n v="0"/>
    <n v="1"/>
    <n v="1"/>
    <n v="0"/>
    <n v="1"/>
    <n v="1"/>
    <n v="0.75"/>
    <m/>
    <n v="0"/>
    <m/>
    <n v="2.5"/>
    <n v="2.5"/>
    <n v="2.5"/>
    <n v="2.5"/>
    <n v="5"/>
    <s v="MoPS"/>
    <s v="005 Ministry of Public Service"/>
    <s v="PSC"/>
  </r>
  <r>
    <x v="10"/>
    <x v="10"/>
    <s v="143"/>
    <s v="Human Resource Management "/>
    <s v="1433"/>
    <s v="Strengthen human resource management function of Government for improved service delivery"/>
    <s v="143303"/>
    <s v="Empower MDAs to customize talent management (Attract, retain and motivate public servants)"/>
    <m/>
    <m/>
    <s v="14330302"/>
    <s v="A framework for Onboarding  of all new Executives and other staff developed and rolled out "/>
    <s v="Onboarding framework in place "/>
    <m/>
    <m/>
    <n v="1"/>
    <m/>
    <m/>
    <m/>
    <s v="MOPS"/>
    <s v="005 Ministry of Public Service"/>
    <s v="Develop the framework for onboarding of the executives and other staff in the Public Service"/>
    <n v="1"/>
    <n v="1"/>
    <n v="0"/>
    <n v="1"/>
    <n v="1"/>
    <n v="1"/>
    <n v="1"/>
    <n v="1"/>
    <n v="0.875"/>
    <m/>
    <n v="0"/>
    <m/>
    <n v="0.2"/>
    <m/>
    <m/>
    <m/>
    <n v="0"/>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2"/>
    <s v="A framework for Onboarding  of all new Executives and other staff developed and rolled out "/>
    <s v="% of new executives and other staff onboarded in accordance with the framework "/>
    <m/>
    <m/>
    <n v="1"/>
    <n v="1"/>
    <n v="1"/>
    <n v="1"/>
    <s v="MOPS"/>
    <s v="005 Ministry of Public Service"/>
    <s v="Evaluation of the impact of the onboarding of the executives and the other new staff"/>
    <n v="1"/>
    <n v="1"/>
    <n v="0"/>
    <n v="1"/>
    <n v="1"/>
    <n v="1"/>
    <n v="1"/>
    <n v="1"/>
    <n v="0.875"/>
    <m/>
    <n v="0"/>
    <m/>
    <n v="1.8"/>
    <n v="1.8"/>
    <n v="0"/>
    <n v="1.8"/>
    <n v="3.6"/>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3"/>
    <s v="Public Service Cultural change programs developed and rolled out"/>
    <s v="Public Service  cultural in place and known by all public officers"/>
    <m/>
    <n v="1"/>
    <n v="1"/>
    <n v="1"/>
    <n v="1"/>
    <n v="1"/>
    <s v="MOPS"/>
    <s v="005 Ministry of Public Service"/>
    <s v="Define the Public Service culture; Develop and rollout cultural change programs; Conduct an impact assessment of the cultural change programs"/>
    <n v="1"/>
    <n v="1"/>
    <n v="0"/>
    <n v="1"/>
    <n v="1"/>
    <n v="0"/>
    <n v="1"/>
    <n v="1"/>
    <n v="0.75"/>
    <m/>
    <n v="0"/>
    <n v="0.6"/>
    <n v="0.6"/>
    <n v="0.6"/>
    <n v="0.6"/>
    <n v="0.6"/>
    <n v="1.2"/>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2"/>
    <s v="A framework for Onboarding  of all new Executives and other staff developed and rolled out "/>
    <s v="Onboarding framework in place "/>
    <m/>
    <m/>
    <n v="1"/>
    <m/>
    <m/>
    <m/>
    <s v="MOPS"/>
    <s v="005 Ministry of Public Service"/>
    <s v="Develop the framework for onboarding of the executives and other staff in the Public Service"/>
    <n v="1"/>
    <n v="1"/>
    <n v="0"/>
    <n v="1"/>
    <n v="1"/>
    <n v="1"/>
    <n v="1"/>
    <n v="1"/>
    <n v="0.875"/>
    <m/>
    <n v="0"/>
    <m/>
    <n v="0.2"/>
    <m/>
    <n v="0.2"/>
    <m/>
    <n v="0.2"/>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2"/>
    <s v="A framework for Onboarding  of all new Executives and other staff developed and rolled out "/>
    <s v="% of new executives and other staff onboarded in accordance with the framework "/>
    <m/>
    <m/>
    <n v="1"/>
    <n v="1"/>
    <n v="1"/>
    <n v="1"/>
    <s v="MOPS"/>
    <s v="005 Ministry of Public Service"/>
    <s v="Evaluation of the impact of the onboarding of the executives and the other new staff"/>
    <n v="1"/>
    <n v="1"/>
    <n v="0"/>
    <n v="1"/>
    <n v="1"/>
    <n v="1"/>
    <n v="1"/>
    <n v="1"/>
    <n v="0.875"/>
    <m/>
    <n v="0"/>
    <m/>
    <n v="1.8"/>
    <n v="1.8"/>
    <n v="1.8"/>
    <n v="1.8"/>
    <n v="3.6"/>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4"/>
    <s v="Competence-based recruitment systems instituted in the Public Service "/>
    <s v="Competence based recruitment user manual developed and disseminated to MDAs and LGs"/>
    <m/>
    <n v="1"/>
    <n v="1"/>
    <n v="1"/>
    <n v="1"/>
    <n v="1"/>
    <s v="PSC"/>
    <s v="146 Public Service Commission"/>
    <s v="Develop the user manual, Train the users, pilot,  Disseminate and institute the systems in MDAs and LGs."/>
    <n v="1"/>
    <n v="1"/>
    <n v="0"/>
    <n v="1"/>
    <n v="1"/>
    <n v="1"/>
    <n v="1"/>
    <n v="1"/>
    <n v="0.875"/>
    <m/>
    <n v="0"/>
    <n v="0.1"/>
    <n v="0.1"/>
    <n v="0.1"/>
    <n v="0.1"/>
    <n v="0.1"/>
    <n v="0.2"/>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s v="14330304"/>
    <s v="Competence-based recruitment systems instituted in the Public Service "/>
    <s v="Number of Jobs with profiled  compendium of competencies "/>
    <n v="20"/>
    <n v="30"/>
    <n v="40"/>
    <n v="80"/>
    <n v="150"/>
    <n v="200"/>
    <s v="PSC"/>
    <s v="146 Public Service Commission"/>
    <s v="Develop Competence Profiles for Jobs in the UPS; Develop Selection Instruments to Update the Question Data Bank; Train Users of Selection Examinations on the handling and management of test administration"/>
    <n v="1"/>
    <n v="1"/>
    <n v="1"/>
    <n v="1"/>
    <n v="1"/>
    <n v="1"/>
    <n v="1"/>
    <n v="1"/>
    <n v="1"/>
    <m/>
    <n v="0"/>
    <n v="0.03"/>
    <n v="0.06"/>
    <n v="0.1"/>
    <n v="1"/>
    <n v="0.18"/>
    <n v="0.28199999999999997"/>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s v="14330307"/>
    <s v="Decentralized management of salary, pension and gratuity  strengthened to promote efficiency and transparency and eliminate graft"/>
    <s v="Guidelines on Management of Wage, Pension and gratuity and issued to the public service"/>
    <m/>
    <n v="1"/>
    <n v="1"/>
    <n v="1"/>
    <n v="1"/>
    <n v="1"/>
    <s v="MOPS"/>
    <s v="005 Ministry of Public Service"/>
    <s v="Carry out monthly Wage bill performance and reconciliations"/>
    <n v="1"/>
    <n v="1"/>
    <n v="1"/>
    <n v="1"/>
    <n v="1"/>
    <n v="1"/>
    <n v="1"/>
    <n v="1"/>
    <n v="1"/>
    <m/>
    <n v="0"/>
    <n v="4.8000000000000001E-2"/>
    <n v="4.8000000000000001E-2"/>
    <n v="4.8000000000000001E-2"/>
    <n v="0.12"/>
    <n v="4.8000000000000001E-2"/>
    <n v="9.6000000000000002E-2"/>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7"/>
    <s v="Decentralized management of salary, pension and gratuity  strengthened to promote efficiency and transparency and eliminate graft"/>
    <s v="% of MDAs &amp; LGs supported on payroll management. "/>
    <m/>
    <n v="100"/>
    <n v="100"/>
    <n v="100"/>
    <n v="100"/>
    <n v="100"/>
    <s v="MOPS"/>
    <s v="005 Ministry of Public Service"/>
    <s v="Provide Technical &amp; Functional Support   provided to  MDAs and LGs on Wage, Pension &amp; Gratuity "/>
    <n v="1"/>
    <n v="1"/>
    <n v="1"/>
    <n v="1"/>
    <n v="1"/>
    <n v="1"/>
    <n v="1"/>
    <n v="1"/>
    <n v="1"/>
    <m/>
    <n v="0"/>
    <n v="0.19"/>
    <n v="0.19"/>
    <n v="0.19"/>
    <n v="0.6"/>
    <n v="0.19"/>
    <n v="0.38"/>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7"/>
    <s v="Decentralized management of salary, pension and gratuity  strengthened to promote efficiency and transparency and eliminate graft"/>
    <s v="Number of Payroll managers in MDA/LGs trained in wage performance analysis "/>
    <m/>
    <n v="140"/>
    <n v="140"/>
    <n v="140"/>
    <n v="140"/>
    <n v="140"/>
    <s v="MOPS"/>
    <s v="005 Ministry of Public Service"/>
    <s v="Train Payroll Mangers in Wage &amp; Payroll Analysis "/>
    <n v="1"/>
    <n v="1"/>
    <n v="1"/>
    <n v="1"/>
    <n v="1"/>
    <n v="1"/>
    <n v="1"/>
    <n v="1"/>
    <n v="1"/>
    <m/>
    <n v="0"/>
    <n v="6.7000000000000004E-2"/>
    <n v="0.68"/>
    <n v="0.68"/>
    <n v="1"/>
    <n v="0.68"/>
    <n v="1.36"/>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7"/>
    <s v="Decentralized management of salary, pension and gratuity  strengthened to promote efficiency and transparency and eliminate graft"/>
    <s v="Quarterly Wage Bill performance  for the whole of Government analysed and Reports produced "/>
    <m/>
    <n v="4"/>
    <n v="4"/>
    <n v="4"/>
    <n v="4"/>
    <n v="4"/>
    <s v="MOPS"/>
    <s v="005 Ministry of Public Service"/>
    <s v="Analyze Quarterly Wage bill expenditure analysis"/>
    <n v="1"/>
    <n v="1"/>
    <n v="1"/>
    <n v="1"/>
    <n v="1"/>
    <n v="1"/>
    <n v="1"/>
    <n v="1"/>
    <n v="1"/>
    <m/>
    <n v="0"/>
    <n v="0.02"/>
    <n v="0.02"/>
    <n v="0.02"/>
    <n v="0.02"/>
    <n v="0.02"/>
    <n v="0.04"/>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8"/>
    <s v="Recruitment plan for the whole of Public Service prepared "/>
    <s v="Number of MDAs/LGs whose recruitment plans have been considered and forwarded"/>
    <m/>
    <n v="243"/>
    <n v="243"/>
    <n v="243"/>
    <n v="243"/>
    <n v="243"/>
    <s v="MOPS"/>
    <s v="005 Ministry of Public Service"/>
    <s v="Receive and Consolidate Recruitment Plans from MDAs &amp; LGs for consideration and track the staffing levels of Government”"/>
    <n v="1"/>
    <n v="1"/>
    <n v="1"/>
    <n v="1"/>
    <n v="1"/>
    <n v="1"/>
    <n v="1"/>
    <n v="1"/>
    <n v="1"/>
    <m/>
    <n v="0"/>
    <n v="6.7000000000000004E-2"/>
    <n v="6.7000000000000004E-2"/>
    <n v="6.7000000000000004E-2"/>
    <n v="0.1"/>
    <n v="0.67"/>
    <n v="0.7370000000000001"/>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9"/>
    <s v="Public officers in both the active and pension service empowered with survival skills after retirement to ensure that they leave descent life after retirement"/>
    <s v="Revised curriculum for pre and post retirement in place"/>
    <m/>
    <m/>
    <m/>
    <m/>
    <m/>
    <n v="1"/>
    <s v="MOPS"/>
    <s v="005 Ministry of Public Service"/>
    <s v="Revise the Curriculum on Pre &amp; Post Retirement "/>
    <n v="1"/>
    <n v="1"/>
    <n v="1"/>
    <n v="1"/>
    <n v="1"/>
    <n v="1"/>
    <n v="1"/>
    <n v="1"/>
    <n v="1"/>
    <m/>
    <n v="0"/>
    <m/>
    <m/>
    <m/>
    <n v="5.5E-2"/>
    <n v="5.5E-2"/>
    <n v="0.11"/>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9"/>
    <s v="Public officers in both the active and pension service empowered with survival skills after retirement to ensure that they leave descent life after retirement"/>
    <s v="No of staff equipped with ToT skills  "/>
    <m/>
    <n v="50"/>
    <n v="50"/>
    <n v="50"/>
    <n v="50"/>
    <n v="50"/>
    <s v="MOPS"/>
    <s v="005 Ministry of Public Service"/>
    <s v="Conduct ToTs on survival skills after retirement to ensure that they leave descent life after retirement"/>
    <n v="1"/>
    <n v="1"/>
    <n v="1"/>
    <n v="1"/>
    <n v="1"/>
    <n v="1"/>
    <n v="1"/>
    <n v="1"/>
    <n v="1"/>
    <m/>
    <n v="0"/>
    <n v="4.4999999999999998E-2"/>
    <n v="4.4999999999999998E-2"/>
    <n v="4.4999999999999998E-2"/>
    <n v="0.2"/>
    <n v="4.4999999999999998E-2"/>
    <n v="0.09"/>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9"/>
    <s v="Public officers in both the active and pension service empowered with survival skills after retirement to ensure that they leave descent life after retirement"/>
    <s v="No of serving Public Officers trained "/>
    <m/>
    <n v="2500"/>
    <n v="3000"/>
    <n v="3500"/>
    <n v="4000"/>
    <n v="4500"/>
    <s v="MOPS"/>
    <s v="005 Ministry of Public Service"/>
    <s v="Undertake training of public officers on survival skills after retirement to ensure that they leave descent life after retirement"/>
    <n v="1"/>
    <n v="1"/>
    <n v="1"/>
    <n v="1"/>
    <n v="1"/>
    <n v="1"/>
    <n v="1"/>
    <n v="1"/>
    <n v="1"/>
    <m/>
    <n v="0"/>
    <n v="0.6"/>
    <n v="0.7"/>
    <n v="0.8"/>
    <n v="0.9"/>
    <n v="1"/>
    <n v="1.9"/>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s v="14330309"/>
    <s v="Public officers in both the active and pension service empowered with survival skills after retirement to ensure that they leave descent life after retirement"/>
    <s v="Number of pensioners trained "/>
    <m/>
    <n v="400"/>
    <n v="400"/>
    <n v="400"/>
    <n v="400"/>
    <n v="400"/>
    <s v="MOPS"/>
    <s v="005 Ministry of Public Service"/>
    <s v="Undertake Post Retirement Training/ Pension Clinics "/>
    <n v="1"/>
    <n v="0"/>
    <n v="1"/>
    <n v="1"/>
    <n v="1"/>
    <n v="1"/>
    <n v="1"/>
    <n v="0"/>
    <n v="0.75"/>
    <m/>
    <n v="0"/>
    <n v="4.4999999999999998E-2"/>
    <n v="4.4999999999999998E-2"/>
    <n v="4.4999999999999998E-2"/>
    <n v="1"/>
    <n v="4.4999999999999998E-2"/>
    <n v="0.09"/>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n v="14330310"/>
    <s v="The Public Service Pension Fund/ Scheme established and operationalized "/>
    <s v="Actuarial  report in place"/>
    <m/>
    <m/>
    <n v="1"/>
    <m/>
    <m/>
    <m/>
    <s v="MOPS"/>
    <s v="005 Ministry of Public Service"/>
    <s v="Hire the services of a consultant ; Implement the report of the actuarial valuation on scheme design proposals_x000a_"/>
    <n v="1"/>
    <n v="1"/>
    <n v="0"/>
    <n v="1"/>
    <n v="1"/>
    <n v="1"/>
    <n v="0"/>
    <n v="1"/>
    <n v="0.75"/>
    <m/>
    <n v="0"/>
    <m/>
    <n v="1"/>
    <m/>
    <n v="5"/>
    <m/>
    <n v="0"/>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n v="14330314"/>
    <s v="Interview Assessment tools and Recruitment and Selection Guidelines reviewed "/>
    <s v="Revised Interview assessment tools, and Recruitment and Selection Guidelines in place "/>
    <m/>
    <n v="1"/>
    <n v="1"/>
    <n v="1"/>
    <n v="1"/>
    <n v="1"/>
    <s v="PSC"/>
    <s v="146 Public Service Commission"/>
    <s v="Hold assessment tool review meetings; Training on use of new tools; Issue guidelines"/>
    <n v="1"/>
    <n v="1"/>
    <n v="1"/>
    <n v="1"/>
    <n v="1"/>
    <n v="1"/>
    <n v="1"/>
    <n v="1"/>
    <n v="1"/>
    <m/>
    <n v="0"/>
    <n v="0.2"/>
    <n v="0.2"/>
    <n v="0.25"/>
    <n v="0.75"/>
    <n v="0.25"/>
    <n v="0.5"/>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5"/>
    <s v="Approved Recruitment Plans of MDAs and LGs  implemented "/>
    <s v="% of vacancies declared within the year filled "/>
    <n v="75"/>
    <n v="92"/>
    <n v="95"/>
    <n v="95"/>
    <n v="95"/>
    <n v="95"/>
    <s v="PSC"/>
    <s v="146 Public Service Commission"/>
    <s v="Shortlist; Conduct selection; Communicate decision"/>
    <n v="1"/>
    <n v="1"/>
    <n v="1"/>
    <n v="1"/>
    <n v="1"/>
    <n v="1"/>
    <n v="1"/>
    <n v="1"/>
    <n v="1"/>
    <m/>
    <n v="0"/>
    <n v="1"/>
    <n v="1"/>
    <n v="1"/>
    <n v="1"/>
    <n v="1"/>
    <n v="2"/>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6"/>
    <s v="District Service Commissions constituted and empowered to execute their Mandate "/>
    <s v="Number of DLGs with fully constituted DSC "/>
    <n v="60"/>
    <n v="65"/>
    <n v="65"/>
    <n v="68"/>
    <n v="70"/>
    <m/>
    <s v="PSC"/>
    <s v="146 Public Service Commission"/>
    <s v="Provide technical support to districts to constitute service commissions "/>
    <n v="1"/>
    <n v="1"/>
    <n v="1"/>
    <n v="1"/>
    <n v="1"/>
    <n v="1"/>
    <n v="1"/>
    <n v="1"/>
    <n v="1"/>
    <m/>
    <n v="0"/>
    <n v="0.1"/>
    <n v="0.1"/>
    <n v="0.1"/>
    <n v="0.1"/>
    <n v="0.1"/>
    <n v="0.2"/>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6"/>
    <s v="District Service Commissions constituted and empowered to execute their Mandate "/>
    <s v="Number of Commissionners trained  "/>
    <n v="150"/>
    <n v="275"/>
    <n v="375"/>
    <n v="500"/>
    <n v="100"/>
    <n v="100"/>
    <s v="PSC"/>
    <s v="146 Public Service Commission"/>
    <s v="Conduct training for members of the commission "/>
    <n v="1"/>
    <n v="1"/>
    <n v="1"/>
    <n v="1"/>
    <n v="1"/>
    <n v="1"/>
    <n v="1"/>
    <n v="1"/>
    <n v="1"/>
    <m/>
    <n v="0"/>
    <n v="1.6"/>
    <n v="1.6"/>
    <n v="1.6"/>
    <n v="1.6"/>
    <n v="1.6"/>
    <n v="3.2"/>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7"/>
    <s v="Capacity of Central Government Service Commissions Strengthened "/>
    <s v="Partnerships with other Human Resource outsourcing and Research  institutions established "/>
    <m/>
    <n v="1"/>
    <n v="1"/>
    <n v="1"/>
    <n v="1"/>
    <n v="1"/>
    <s v="PSC"/>
    <s v="146 Public Service Commission"/>
    <s v="Identify partners; Develop and share checklist; Collaboration visits; Generate report"/>
    <n v="0"/>
    <n v="0"/>
    <n v="0"/>
    <n v="1"/>
    <n v="1"/>
    <n v="0"/>
    <n v="1"/>
    <n v="1"/>
    <n v="0.5"/>
    <m/>
    <n v="0"/>
    <n v="0.02"/>
    <n v="0.01"/>
    <n v="0.01"/>
    <n v="0"/>
    <n v="0"/>
    <n v="0.02"/>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8"/>
    <s v="Performance and career progression of recruited staff evaluated to establish the effectiveness of the selection and recruitment system  "/>
    <s v="Evaluation reports produced "/>
    <m/>
    <n v="1"/>
    <n v="3"/>
    <n v="3"/>
    <n v="3"/>
    <n v="3"/>
    <s v="PSC"/>
    <s v="146 Public Service Commission"/>
    <s v="Develop concept, and research tools; Conduct research; Generate report"/>
    <n v="0"/>
    <n v="0"/>
    <n v="0"/>
    <n v="1"/>
    <n v="1"/>
    <n v="0"/>
    <n v="1"/>
    <n v="1"/>
    <n v="0.5"/>
    <m/>
    <n v="0"/>
    <n v="5.1999999999999998E-2"/>
    <n v="0.05"/>
    <n v="0.05"/>
    <n v="0"/>
    <n v="0"/>
    <n v="0.1"/>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9"/>
    <s v="Service Commissions equipped with assistive devices for persons with special needs to ensure inclusiveness  "/>
    <s v="% of Commissions equipped with assistive devises"/>
    <n v="0.01"/>
    <n v="0.1"/>
    <n v="0.1"/>
    <n v="0.1"/>
    <n v="0.1"/>
    <n v="0.1"/>
    <s v="PSC"/>
    <s v="146 Public Service Commission"/>
    <s v="Asses the equipment needs; Do procurement; Conduct user training"/>
    <n v="1"/>
    <n v="1"/>
    <n v="1"/>
    <n v="1"/>
    <n v="1"/>
    <n v="1"/>
    <n v="1"/>
    <n v="1"/>
    <n v="1"/>
    <m/>
    <n v="0"/>
    <n v="0.06"/>
    <n v="0.06"/>
    <n v="0.06"/>
    <n v="7.0000000000000007E-2"/>
    <n v="7.0000000000000007E-2"/>
    <n v="0.14000000000000001"/>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17"/>
    <s v="Capacity of Central Government Service Commissions Strengthened "/>
    <s v="Number of staff trained in competence based recruitment systems "/>
    <m/>
    <n v="1"/>
    <n v="1"/>
    <n v="1"/>
    <n v="1"/>
    <n v="1"/>
    <s v="PSC"/>
    <s v="146 Public Service Commission"/>
    <s v="Develop of training materials; Staff training; Assessment of uptake."/>
    <n v="1"/>
    <n v="0"/>
    <n v="1"/>
    <n v="1"/>
    <n v="1"/>
    <n v="1"/>
    <n v="1"/>
    <n v="0"/>
    <n v="0.75"/>
    <m/>
    <n v="0"/>
    <n v="0.03"/>
    <n v="0.03"/>
    <n v="0.03"/>
    <n v="0.53"/>
    <n v="0.03"/>
    <n v="0.56000000000000005"/>
    <s v="PSC"/>
    <s v="146 Public Service Commission"/>
    <m/>
  </r>
  <r>
    <x v="10"/>
    <x v="10"/>
    <s v="143"/>
    <s v="Human Resource Management "/>
    <s v="1433"/>
    <s v="Strengthen human resource management function of Government for improved service delivery"/>
    <s v="143303"/>
    <s v="Empower MDAs to customize talent management (Attract, retain and motivate public servants)"/>
    <m/>
    <m/>
    <n v="14330321"/>
    <s v="Human Resource Planning and Development Framework for the Public Service finalized and disseminated"/>
    <s v="number of staff reained in human resource planning and development "/>
    <m/>
    <n v="100"/>
    <n v="100"/>
    <n v="100"/>
    <n v="100"/>
    <n v="100"/>
    <s v="MOPS"/>
    <s v="005 Ministry of Public Service"/>
    <s v="Undertake  training for HR managers in Human Resource Planning and Development "/>
    <n v="1"/>
    <n v="1"/>
    <n v="0"/>
    <n v="1"/>
    <n v="1"/>
    <n v="0"/>
    <n v="1"/>
    <n v="1"/>
    <n v="0.75"/>
    <m/>
    <n v="0"/>
    <n v="0.4"/>
    <n v="0.4"/>
    <n v="0.4"/>
    <n v="0.4"/>
    <n v="0.4"/>
    <n v="0.8"/>
    <s v="MOPS"/>
    <s v="005 Ministry of Public Service"/>
    <m/>
  </r>
  <r>
    <x v="10"/>
    <x v="10"/>
    <s v="143"/>
    <s v="Human Resource Management "/>
    <s v="1433"/>
    <s v="Strengthen human resource management function of Government for improved service delivery"/>
    <s v="143303"/>
    <s v="Empower MDAs to customize talent management (Attract, retain and motivate public servants)"/>
    <m/>
    <m/>
    <n v="14330322"/>
    <s v="Career guidance provided to students  in Public Service to Universities"/>
    <s v="Number of career guidance sessions held with University finalists"/>
    <m/>
    <n v="5"/>
    <n v="5"/>
    <n v="3"/>
    <n v="5"/>
    <n v="5"/>
    <s v="MOPS"/>
    <s v="005 Ministry of Public Service"/>
    <s v="Interaction with the finalists at the various Universities."/>
    <n v="1"/>
    <n v="1"/>
    <n v="0"/>
    <n v="1"/>
    <n v="1"/>
    <n v="1"/>
    <n v="1"/>
    <n v="1"/>
    <n v="0.875"/>
    <m/>
    <n v="0"/>
    <n v="0.5"/>
    <m/>
    <m/>
    <n v="0.3"/>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Cumulative number of Votes where HCM is operational"/>
    <s v="-"/>
    <n v="60"/>
    <n v="160"/>
    <n v="250"/>
    <n v="273"/>
    <m/>
    <s v="MoPS, MoFPED, MoLG "/>
    <e v="#N/A"/>
    <s v="Reconfigure and Rollout the Human Resource Management System in support of the Programme approach"/>
    <n v="1"/>
    <n v="1"/>
    <n v="1"/>
    <n v="1"/>
    <n v="1"/>
    <n v="1"/>
    <n v="1"/>
    <n v="1"/>
    <n v="1"/>
    <m/>
    <n v="0"/>
    <n v="17.899999999999999"/>
    <n v="21.462"/>
    <n v="9.3800000000000008"/>
    <n v="4"/>
    <m/>
    <n v="4"/>
    <s v="MoPS"/>
    <s v="005 Ministry of Public Service"/>
    <s v="MoFPED, MoLG "/>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Number of MDAs and LGs where HCM is Rolled out "/>
    <s v="-"/>
    <n v="2"/>
    <n v="10"/>
    <n v="50"/>
    <n v="50"/>
    <n v="50"/>
    <s v="MoPS "/>
    <e v="#N/A"/>
    <s v="Identify the votes; undertake  data cleaning, undertake readiness assessment for the selected votes ; train users, and provide technical support "/>
    <n v="1"/>
    <n v="1"/>
    <n v="1"/>
    <n v="1"/>
    <n v="1"/>
    <n v="1"/>
    <n v="1"/>
    <n v="1"/>
    <n v="1"/>
    <m/>
    <n v="0"/>
    <m/>
    <m/>
    <m/>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Number of vehicles procured "/>
    <m/>
    <m/>
    <n v="1"/>
    <m/>
    <m/>
    <m/>
    <s v="MoPS "/>
    <e v="#N/A"/>
    <s v="Procure the vehicles in acoordance with the PPDA Act and Regulations "/>
    <n v="1"/>
    <n v="1"/>
    <n v="1"/>
    <n v="1"/>
    <n v="1"/>
    <n v="1"/>
    <n v="1"/>
    <n v="1"/>
    <n v="1"/>
    <m/>
    <n v="0"/>
    <m/>
    <n v="0.18"/>
    <m/>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 coverage of HCM"/>
    <m/>
    <n v="24"/>
    <n v="60"/>
    <n v="91"/>
    <n v="100"/>
    <m/>
    <s v="MoPS "/>
    <e v="#N/A"/>
    <s v="Roll out of the HCM to selected votes "/>
    <n v="1"/>
    <n v="1"/>
    <n v="1"/>
    <n v="1"/>
    <n v="1"/>
    <n v="1"/>
    <n v="1"/>
    <n v="1"/>
    <n v="1"/>
    <m/>
    <n v="0"/>
    <m/>
    <m/>
    <m/>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 of HR functions automated"/>
    <m/>
    <n v="24"/>
    <n v="64"/>
    <n v="100"/>
    <m/>
    <m/>
    <s v="MoPS "/>
    <e v="#N/A"/>
    <s v="Automate Human Resource Management functions into the HCM, Undertake consultations with the module owners and customise to suit the user needs "/>
    <n v="1"/>
    <n v="1"/>
    <n v="1"/>
    <n v="1"/>
    <n v="1"/>
    <n v="1"/>
    <n v="1"/>
    <n v="1"/>
    <n v="1"/>
    <m/>
    <n v="0"/>
    <m/>
    <m/>
    <m/>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HCM integrated with other Key Government Systems  ( IFMS, PBS, TMIS and NIS)"/>
    <m/>
    <n v="9"/>
    <n v="4"/>
    <n v="2"/>
    <n v="2"/>
    <n v="1"/>
    <s v="MoPS "/>
    <e v="#N/A"/>
    <s v="Undertake a compatibility test, configure the systems to faciliate integration, test the system functionality "/>
    <n v="1"/>
    <n v="1"/>
    <n v="1"/>
    <n v="1"/>
    <n v="1"/>
    <n v="1"/>
    <n v="1"/>
    <n v="1"/>
    <n v="1"/>
    <m/>
    <n v="0"/>
    <m/>
    <m/>
    <m/>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 of data cleaned,  and migrated to the HCM"/>
    <m/>
    <n v="27"/>
    <n v="79"/>
    <n v="100"/>
    <m/>
    <m/>
    <s v="MoPS "/>
    <e v="#N/A"/>
    <s v="Undertake data clearning of the payroll records   and migrate the cleaned records onto the system "/>
    <n v="1"/>
    <n v="1"/>
    <n v="1"/>
    <n v="1"/>
    <n v="1"/>
    <n v="1"/>
    <n v="1"/>
    <n v="1"/>
    <n v="1"/>
    <m/>
    <n v="0"/>
    <n v="0.14000000000000001"/>
    <n v="0.98799999999999999"/>
    <n v="0.98799999999999999"/>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 % of Public Officers managing HR functions trained in use of the human resource information management systems ( ( Certification))"/>
    <m/>
    <n v="8"/>
    <n v="21"/>
    <n v="33"/>
    <n v="38"/>
    <m/>
    <s v="MoPS "/>
    <e v="#N/A"/>
    <s v="Undertake a survey to establish the uptake rates"/>
    <n v="1"/>
    <n v="1"/>
    <n v="1"/>
    <n v="1"/>
    <n v="1"/>
    <n v="1"/>
    <n v="1"/>
    <n v="1"/>
    <n v="1"/>
    <m/>
    <n v="0"/>
    <n v="7.8E-2"/>
    <n v="0.14499999999999999"/>
    <n v="0.14499999999999999"/>
    <n v="0.14499999999999999"/>
    <m/>
    <n v="0.14499999999999999"/>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 Public Officers using the HCM trained in the automated HR functions &amp; processes"/>
    <m/>
    <n v="16"/>
    <n v="27"/>
    <n v="43"/>
    <n v="79"/>
    <n v="100"/>
    <s v="MoPS "/>
    <e v="#N/A"/>
    <s v="Undertake hands on training for  HCM users "/>
    <n v="1"/>
    <n v="1"/>
    <n v="1"/>
    <n v="1"/>
    <n v="1"/>
    <n v="1"/>
    <n v="1"/>
    <n v="1"/>
    <n v="1"/>
    <m/>
    <n v="0"/>
    <n v="1.7"/>
    <n v="7.3"/>
    <n v="7.3"/>
    <n v="5.7"/>
    <n v="5.7"/>
    <n v="11.4"/>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1"/>
    <s v="Human Capital Management (HCM) System Rolled  out"/>
    <s v="Monthly Salary for project staff paid "/>
    <m/>
    <n v="12"/>
    <n v="12"/>
    <n v="12"/>
    <n v="12"/>
    <n v="12"/>
    <s v="MoPS "/>
    <e v="#N/A"/>
    <s v="Preparare monthly payroll and process payment for the staff; transfer NSSF deductions and PAYE to the relevant accounts "/>
    <n v="1"/>
    <n v="1"/>
    <n v="1"/>
    <n v="1"/>
    <n v="1"/>
    <n v="1"/>
    <n v="1"/>
    <n v="1"/>
    <n v="1"/>
    <m/>
    <n v="0"/>
    <n v="0.84"/>
    <n v="0.84"/>
    <n v="0.84"/>
    <n v="0.84"/>
    <n v="0.84"/>
    <n v="1.68"/>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2"/>
    <s v="Communication, Change Management and Stakeholder Engagement Strategy implemented  "/>
    <s v="% of the Strategy implemented "/>
    <m/>
    <n v="24"/>
    <n v="64"/>
    <n v="84"/>
    <n v="100"/>
    <m/>
    <s v="MoPS "/>
    <e v="#N/A"/>
    <s v="Conduct change management trainings for  both the technical staff and political leaders in the selected votes "/>
    <n v="1"/>
    <n v="1"/>
    <n v="1"/>
    <n v="1"/>
    <n v="1"/>
    <n v="1"/>
    <n v="1"/>
    <n v="1"/>
    <n v="1"/>
    <m/>
    <n v="0"/>
    <n v="0.61499999999999999"/>
    <n v="0.87"/>
    <n v="0.87"/>
    <n v="0.15"/>
    <n v="0.15"/>
    <n v="0.3"/>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3"/>
    <s v="Post Implementation Support provided to Votes where HCM has been rolled out "/>
    <s v="Number of votes supported "/>
    <m/>
    <n v="60"/>
    <n v="160"/>
    <n v="250"/>
    <n v="273"/>
    <n v="273"/>
    <s v="MoPS "/>
    <e v="#N/A"/>
    <s v="Identify votes with challenges in using the HCM and provide tailored support "/>
    <n v="1"/>
    <n v="1"/>
    <n v="1"/>
    <n v="1"/>
    <n v="1"/>
    <n v="1"/>
    <n v="1"/>
    <n v="1"/>
    <n v="1"/>
    <m/>
    <n v="0"/>
    <n v="5.1999999999999998E-2"/>
    <n v="0.66400000000000003"/>
    <n v="2.9129999999999998"/>
    <n v="3.718"/>
    <n v="4.5"/>
    <n v="8.218"/>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4"/>
    <s v="Suport users/module owners, TOTs, Backend Officers trained in HCM product and use"/>
    <s v="Number of supper  users/module owners, TOTs, Backend Officers trained "/>
    <m/>
    <n v="155"/>
    <n v="100"/>
    <n v="90"/>
    <n v="23"/>
    <m/>
    <s v="MoPS "/>
    <e v="#N/A"/>
    <s v="Undertake training for of module owners, ToT and back end users "/>
    <n v="1"/>
    <n v="1"/>
    <n v="1"/>
    <n v="1"/>
    <n v="1"/>
    <n v="1"/>
    <n v="1"/>
    <n v="1"/>
    <n v="1"/>
    <m/>
    <n v="0"/>
    <n v="0.13400000000000001"/>
    <n v="0.127"/>
    <n v="0.114"/>
    <n v="6.4000000000000001E-2"/>
    <n v="6.4000000000000001E-2"/>
    <n v="0.128"/>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5"/>
    <s v="Maintenance of IPPS Current application and related contractual obligations"/>
    <s v="%age of contract obligations fulfilled"/>
    <m/>
    <n v="100"/>
    <n v="100"/>
    <n v="100"/>
    <n v="100"/>
    <n v="100"/>
    <s v="MoPS "/>
    <e v="#N/A"/>
    <s v="Undertake quarterly audit of the management of the IPPS contractual obligations "/>
    <n v="1"/>
    <n v="1"/>
    <n v="1"/>
    <n v="1"/>
    <n v="1"/>
    <n v="1"/>
    <n v="1"/>
    <n v="1"/>
    <n v="1"/>
    <m/>
    <n v="0"/>
    <n v="3.4"/>
    <n v="3.4"/>
    <n v="3.4"/>
    <n v="3.4"/>
    <n v="3.4"/>
    <n v="6.8"/>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s v="14330405"/>
    <s v="Maintenance of IPPS Current application and related contractual obligations"/>
    <s v="Number of regional IPPS Centers supported "/>
    <m/>
    <n v="12"/>
    <n v="12"/>
    <n v="12"/>
    <m/>
    <m/>
    <s v="MoPS "/>
    <e v="#N/A"/>
    <s v="undertook regular trouble shooting to address any functionality issues; pay quaterly subscription to the vendors "/>
    <n v="1"/>
    <n v="1"/>
    <n v="1"/>
    <n v="1"/>
    <n v="1"/>
    <n v="1"/>
    <n v="1"/>
    <n v="1"/>
    <n v="1"/>
    <m/>
    <n v="0"/>
    <n v="0.21"/>
    <n v="0.21"/>
    <n v="0.21"/>
    <m/>
    <m/>
    <n v="0"/>
    <s v="MoPS"/>
    <s v="005 Ministry of Public Service"/>
    <m/>
  </r>
  <r>
    <x v="10"/>
    <x v="10"/>
    <s v="143"/>
    <s v="Human Resource Management "/>
    <s v="1433"/>
    <s v="Strengthen human resource management function of Government for improved service delivery"/>
    <s v="143304"/>
    <s v="Roll out the Human Resource Management System (Payroll management, productivity management, work leave, e-inspection) "/>
    <m/>
    <m/>
    <n v="14330410"/>
    <s v="Fully operationalise e-recruitment system across government"/>
    <s v="% of LGs and Central Government agencies using Government e-recruitment platform"/>
    <m/>
    <m/>
    <n v="5"/>
    <n v="25"/>
    <n v="50"/>
    <n v="80"/>
    <s v="PSC"/>
    <s v="146 Public Service Commission"/>
    <s v="Rollout e-recruitment system to DSCs."/>
    <n v="1"/>
    <n v="1"/>
    <n v="1"/>
    <n v="1"/>
    <n v="1"/>
    <n v="1"/>
    <n v="1"/>
    <n v="1"/>
    <n v="1"/>
    <m/>
    <n v="0"/>
    <m/>
    <n v="0.45"/>
    <n v="2"/>
    <n v="4"/>
    <n v="7.2"/>
    <n v="11.2"/>
    <s v="PSC"/>
    <s v="146 Public Service Commission"/>
    <m/>
  </r>
  <r>
    <x v="10"/>
    <x v="10"/>
    <s v="143"/>
    <s v="Human Resource Management "/>
    <s v="1433"/>
    <s v="Strengthen human resource management function of Government for improved service delivery"/>
    <s v="143305"/>
    <s v="Develop and operationalize an e-document management system "/>
    <m/>
    <m/>
    <s v="14330501"/>
    <s v="Electronic Document and Records Management System (EDRMS) developed and rolled out to MDAs and LGs"/>
    <s v="Number of EDRMS  users trained"/>
    <m/>
    <n v="100"/>
    <n v="500"/>
    <n v="2500"/>
    <n v="2500"/>
    <n v="2500"/>
    <s v="MoPS"/>
    <s v="005 Ministry of Public Service"/>
    <s v="Create accounts and Undertake  trainings for records managers in use of EDRMS "/>
    <n v="1"/>
    <n v="1"/>
    <n v="0"/>
    <n v="1"/>
    <n v="1"/>
    <n v="1"/>
    <n v="1"/>
    <n v="1"/>
    <n v="0.875"/>
    <m/>
    <n v="0"/>
    <n v="0.63500000000000001"/>
    <n v="5.09"/>
    <n v="5.0999999999999996"/>
    <n v="5"/>
    <n v="5"/>
    <n v="10"/>
    <s v="MOPS"/>
    <s v="005 Ministry of Public Service"/>
    <m/>
  </r>
  <r>
    <x v="10"/>
    <x v="10"/>
    <s v="143"/>
    <s v="Human Resource Management "/>
    <s v="1433"/>
    <s v="Strengthen human resource management function of Government for improved service delivery"/>
    <s v="143305"/>
    <s v="Develop and operationalize an e-document management system "/>
    <m/>
    <m/>
    <s v="14330501"/>
    <s v="Electronic Document and Records Management System (EDRMS) developed and rolled out to MDAs and LGs"/>
    <s v="Number of MDAs and LGs where EDRMS is operational"/>
    <m/>
    <n v="2"/>
    <n v="10"/>
    <n v="50"/>
    <n v="50"/>
    <n v="50"/>
    <s v="MoPS"/>
    <s v="005 Ministry of Public Service"/>
    <s v="Undertake a readiness assessment, deploy the system, undertake user trainings "/>
    <n v="1"/>
    <n v="1"/>
    <n v="0"/>
    <n v="1"/>
    <n v="1"/>
    <n v="1"/>
    <n v="1"/>
    <n v="1"/>
    <n v="0.875"/>
    <m/>
    <n v="0"/>
    <n v="0.56499999999999995"/>
    <n v="3.5"/>
    <n v="4.4000000000000004"/>
    <n v="4.5"/>
    <n v="4.5"/>
    <n v="9"/>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3"/>
    <s v="Salaries Review body   established and operationalized                                                                                                                                                                                                                                                                                                                                                                                                                                                                                                                              "/>
    <s v="Salary review Body in place"/>
    <m/>
    <m/>
    <n v="1"/>
    <m/>
    <m/>
    <m/>
    <s v="MoPS"/>
    <s v="005 Ministry of Public Service"/>
    <s v="Review of the Existing Laws; Establishing the Salaries Review body   "/>
    <n v="1"/>
    <n v="1"/>
    <n v="1"/>
    <n v="1"/>
    <n v="1"/>
    <n v="1"/>
    <n v="1"/>
    <n v="1"/>
    <n v="1"/>
    <m/>
    <n v="0"/>
    <m/>
    <n v="1"/>
    <m/>
    <n v="2.5"/>
    <m/>
    <n v="0"/>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4"/>
    <s v="Institutional framework for implementation of “The Public Service (Negotiating, Consultative And Disputes Settlement Machinery) Act, 2008 established and operationalized"/>
    <s v="Number of Institutional consultative Committees established and supported"/>
    <m/>
    <n v="60"/>
    <n v="60"/>
    <n v="60"/>
    <n v="60"/>
    <n v="60"/>
    <s v="MoPS"/>
    <s v="005 Ministry of Public Service"/>
    <s v="Sensitize the MDAs &amp; LGs on the roles of consultative Committees; Provide technical support supervision to MDAs &amp; LGs; Develop guidelines &amp; Regulations on Consultative Committees"/>
    <n v="1"/>
    <n v="1"/>
    <n v="0"/>
    <n v="1"/>
    <n v="1"/>
    <n v="0"/>
    <n v="1"/>
    <n v="1"/>
    <n v="0.75"/>
    <m/>
    <n v="0"/>
    <n v="0.12"/>
    <n v="0.12"/>
    <n v="0.12"/>
    <n v="0.12"/>
    <n v="0.12"/>
    <n v="0.24"/>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4"/>
    <s v="Institutional framework for implementation of “The Public Service (Negotiating, Consultative And Disputes Settlement Machinery) Act, 2008 established and operationalized"/>
    <s v="Number of MDAs and LGs supported per Annum"/>
    <m/>
    <n v="70"/>
    <n v="70"/>
    <n v="70"/>
    <n v="70"/>
    <n v="70"/>
    <s v="MoPS"/>
    <s v="005 Ministry of Public Service"/>
    <s v="Undertake field visits to MDAs and LGs and provide technical support on areas of weakness "/>
    <n v="1"/>
    <n v="1"/>
    <n v="1"/>
    <n v="1"/>
    <n v="1"/>
    <n v="1"/>
    <n v="1"/>
    <n v="1"/>
    <n v="1"/>
    <m/>
    <n v="0"/>
    <n v="0.05"/>
    <n v="0.05"/>
    <n v="0.05"/>
    <n v="0.05"/>
    <n v="0.05"/>
    <n v="0.1"/>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4"/>
    <s v="Institutional framework for implementation of “The Public Service (Negotiating, Consultative And Disputes Settlement Machinery) Act, 2008 established and operationalized"/>
    <s v="% of employee grievances received and disposed off by the dispute settlement council"/>
    <m/>
    <n v="100"/>
    <n v="100"/>
    <n v="100"/>
    <n v="100"/>
    <n v="100"/>
    <s v="MoPS"/>
    <s v="005 Ministry of Public Service"/>
    <s v="Register grievances and organise council meetings, prepare Minutes and provide feedback to the agrieved "/>
    <n v="1"/>
    <n v="1"/>
    <n v="0"/>
    <n v="1"/>
    <n v="1"/>
    <n v="1"/>
    <n v="1"/>
    <n v="1"/>
    <n v="0.875"/>
    <m/>
    <n v="0"/>
    <n v="0.03"/>
    <n v="0.03"/>
    <n v="0.03"/>
    <n v="0.03"/>
    <n v="0.03"/>
    <n v="0.06"/>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4"/>
    <s v="Institutional framework for implementation of “The Public Service (Negotiating, Consultative And Disputes Settlement Machinery) Act, 2008 established and operationalized"/>
    <s v="% of employee grievances cases received and disposed off by the Public Service Tribunal"/>
    <m/>
    <n v="100"/>
    <n v="100"/>
    <n v="100"/>
    <n v="100"/>
    <n v="100"/>
    <s v="MoPS"/>
    <s v="005 Ministry of Public Service"/>
    <s v="Register grievances and organise tribual meetings, prepare Minutes and provide feedback to the agrieved "/>
    <n v="1"/>
    <n v="1"/>
    <n v="0"/>
    <n v="1"/>
    <n v="1"/>
    <n v="1"/>
    <n v="1"/>
    <n v="1"/>
    <n v="0.875"/>
    <m/>
    <n v="0"/>
    <n v="0.05"/>
    <n v="0.05"/>
    <n v="0.05"/>
    <n v="0.05"/>
    <n v="0.05"/>
    <n v="0.1"/>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5"/>
    <s v="Recruitment and deployment guidelines of PWDs developed and operationalized"/>
    <s v="Guidelines on recruitment and deployment of PWDs in place"/>
    <m/>
    <m/>
    <n v="1"/>
    <m/>
    <m/>
    <m/>
    <s v="MoPS"/>
    <s v="005 Ministry of Public Service"/>
    <s v="Develop inclusive recruitment guidelines in the Public Service; (Needs further Consultations)"/>
    <n v="1"/>
    <n v="1"/>
    <n v="1"/>
    <n v="1"/>
    <n v="1"/>
    <n v="1"/>
    <n v="1"/>
    <n v="1"/>
    <n v="1"/>
    <m/>
    <n v="0"/>
    <m/>
    <n v="0.05"/>
    <m/>
    <m/>
    <m/>
    <n v="0"/>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7"/>
    <s v="Capacity of MDAs built in formulation, implementation and evaluation of HR Policies "/>
    <s v="No. of MDAs and LGs supported to implement  Human Resource Management Policies Procedures"/>
    <m/>
    <n v="50"/>
    <n v="50"/>
    <n v="50"/>
    <n v="50"/>
    <n v="50"/>
    <s v="MoPS"/>
    <s v="005 Ministry of Public Service"/>
    <s v="Undertake field visits to the Local Governments and MDAs  and provide the required support "/>
    <n v="1"/>
    <n v="1"/>
    <n v="0"/>
    <n v="1"/>
    <n v="1"/>
    <n v="0"/>
    <n v="1"/>
    <n v="1"/>
    <n v="0.75"/>
    <m/>
    <n v="0"/>
    <n v="7.0000000000000007E-2"/>
    <n v="7.3999999999999996E-2"/>
    <n v="7.0000000000000007E-2"/>
    <n v="0.1"/>
    <n v="7.3999999999999996E-2"/>
    <n v="0.14400000000000002"/>
    <s v="MOPS"/>
    <s v="005 Ministry of Public Service"/>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8"/>
    <s v="Systems, procedures and practices of high risk corruption MDALGs reviewed  "/>
    <s v="Number of systemic interventions conducted"/>
    <m/>
    <n v="2"/>
    <n v="2"/>
    <n v="2"/>
    <n v="2"/>
    <n v="2"/>
    <s v="IG"/>
    <s v="103 Inspectorate of Government (IG)"/>
    <s v="Review systems, procedures and practices of high risk corruption in MDA/ LGs to prevent corruption "/>
    <n v="1"/>
    <n v="1"/>
    <n v="1"/>
    <n v="1"/>
    <n v="1"/>
    <n v="1"/>
    <n v="1"/>
    <n v="1"/>
    <n v="1"/>
    <m/>
    <n v="0"/>
    <n v="0.5"/>
    <n v="0.5"/>
    <n v="0.5"/>
    <n v="0.5"/>
    <n v="0.5"/>
    <n v="1"/>
    <s v="IG"/>
    <s v="103 Inspectorate of Government"/>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8"/>
    <s v="Systems, procedures and practices of high risk corruption MDALGs reviewed  "/>
    <s v="% System recommendations implemented"/>
    <n v="0.4"/>
    <n v="45"/>
    <n v="50"/>
    <n v="55"/>
    <n v="65"/>
    <n v="70"/>
    <s v="IG"/>
    <s v="103 Inspectorate of Government (IG)"/>
    <s v="Follow up on the Implementation of System reviews"/>
    <n v="1"/>
    <n v="1"/>
    <n v="0"/>
    <n v="1"/>
    <n v="1"/>
    <n v="0"/>
    <n v="1"/>
    <n v="1"/>
    <n v="0.75"/>
    <m/>
    <n v="0"/>
    <n v="0.1"/>
    <n v="0.1"/>
    <n v="0.1"/>
    <n v="0.1"/>
    <n v="0.1"/>
    <n v="0.1"/>
    <s v="IG"/>
    <s v="103 Inspectorate of Government"/>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09"/>
    <s v="The Ombudsman complaints handling systems in DALGs reviewed "/>
    <s v="Percentage of MDALGs supported"/>
    <m/>
    <n v="15"/>
    <n v="20"/>
    <n v="35"/>
    <n v="55"/>
    <n v="80"/>
    <s v="IG"/>
    <s v="103 Inspectorate of Government (IG)"/>
    <s v="Support MDAs &amp; LGs to review the Ombudsman complaints handling systems "/>
    <n v="1"/>
    <n v="1"/>
    <n v="0"/>
    <n v="1"/>
    <n v="1"/>
    <n v="0"/>
    <n v="1"/>
    <n v="1"/>
    <n v="0.75"/>
    <m/>
    <n v="0"/>
    <n v="1"/>
    <n v="1"/>
    <n v="1"/>
    <n v="1"/>
    <n v="1"/>
    <n v="1"/>
    <s v="IG"/>
    <s v="103 Inspectorate of Government"/>
    <m/>
  </r>
  <r>
    <x v="10"/>
    <x v="10"/>
    <s v="143"/>
    <s v="Human Resource Management "/>
    <s v="1433"/>
    <s v="Strengthen human resource management function of Government for improved service delivery"/>
    <s v="143306"/>
    <s v="Review the existing legal, policy, regulatory and institutional frameworks to standardize regulation and benefits in the public service "/>
    <m/>
    <m/>
    <n v="14330610"/>
    <s v="( The Constitution, Public Service Act, Public Service Commission Act, Public Service Commission Regulations, Local Government Act on establishment of service commissions for local governments)"/>
    <s v="Number of legal and institutional frameworks standardized."/>
    <m/>
    <n v="1"/>
    <n v="1"/>
    <n v="1"/>
    <n v="1"/>
    <n v="1"/>
    <s v="MOPS, PSC, MoLG"/>
    <e v="#N/A"/>
    <s v="Make input into the review of the various laws; Legislature drafting; Issue of statutory instrument; Publish and disseminate the Public Service Commission Regulations."/>
    <n v="1"/>
    <n v="1"/>
    <n v="0"/>
    <n v="1"/>
    <n v="1"/>
    <n v="0"/>
    <n v="1"/>
    <n v="1"/>
    <n v="0.75"/>
    <m/>
    <n v="0"/>
    <m/>
    <m/>
    <m/>
    <m/>
    <m/>
    <n v="0"/>
    <s v="MOPS"/>
    <s v="005 Ministry of Public Service"/>
    <m/>
  </r>
  <r>
    <x v="10"/>
    <x v="10"/>
    <s v="143"/>
    <s v="Human Resource Management "/>
    <s v="1433"/>
    <s v="Strengthen human resource management function of Government for improved service delivery"/>
    <s v="143307"/>
    <s v="Upgrade Public sector training to improve relevance and impact."/>
    <s v="143307a"/>
    <s v="Strengthen training partnerships with tertiary institutions "/>
    <s v="143307a01"/>
    <s v="Training partnerships with tertiary institutions strengthened"/>
    <s v="Number of Training partnerships with tertiary institutions Strengthened"/>
    <m/>
    <n v="2"/>
    <n v="2"/>
    <n v="2"/>
    <n v="2"/>
    <n v="2"/>
    <s v="MoPS, MoE, NCHE, tertiary institutions "/>
    <e v="#N/A"/>
    <s v="Develop memorandum of understanding and put in place a institutional framework to operationalise them "/>
    <n v="1"/>
    <n v="1"/>
    <n v="1"/>
    <n v="1"/>
    <n v="1"/>
    <n v="0"/>
    <n v="1"/>
    <n v="1"/>
    <n v="0.875"/>
    <m/>
    <n v="0"/>
    <m/>
    <n v="0.3"/>
    <n v="0.3"/>
    <n v="0.3"/>
    <n v="0.3"/>
    <n v="0.6"/>
    <s v="MOPS"/>
    <s v="005 Ministry of Public Service"/>
    <m/>
  </r>
  <r>
    <x v="10"/>
    <x v="10"/>
    <s v="143"/>
    <s v="Human Resource Management "/>
    <s v="1433"/>
    <s v="Strengthen human resource management function of Government for improved service delivery"/>
    <s v="143307"/>
    <s v="Upgrade Public sector training to improve relevance and impact."/>
    <s v="143307a"/>
    <s v="Strengthen training partnerships with tertiary institutions "/>
    <s v="143307a01"/>
    <s v="Training partnerships with tertiary institutions strengthened"/>
    <s v="Level of achievement of the objectives of the Partnership  "/>
    <m/>
    <n v="100"/>
    <n v="100"/>
    <n v="100"/>
    <n v="100"/>
    <n v="100"/>
    <s v="MoPS, MoE, NCHE, tertiary institutions "/>
    <e v="#N/A"/>
    <s v="Undertake period evaluation of the level of achievement of the objectives of the partnership "/>
    <n v="1"/>
    <n v="1"/>
    <n v="1"/>
    <n v="1"/>
    <n v="1"/>
    <n v="0"/>
    <n v="1"/>
    <n v="1"/>
    <n v="0.875"/>
    <m/>
    <n v="0"/>
    <m/>
    <m/>
    <m/>
    <m/>
    <m/>
    <n v="0"/>
    <s v="MOPS/NCHE"/>
    <s v="013 Ministry of Education and Sports"/>
    <m/>
  </r>
  <r>
    <x v="10"/>
    <x v="10"/>
    <s v="143"/>
    <s v="Human Resource Management "/>
    <s v="1433"/>
    <s v="Strengthen human resource management function of Government for improved service delivery"/>
    <s v="143307"/>
    <s v="Upgrade Public sector training to improve relevance and impact."/>
    <s v="143307b"/>
    <s v="Implement E-learning programmes at the civil service college "/>
    <s v="143307b01"/>
    <s v="E-laboratory established and operationalized  "/>
    <s v="e-learning platforms and systems at the CSC including the Learning Management System established "/>
    <n v="0"/>
    <n v="0"/>
    <n v="1"/>
    <n v="0"/>
    <n v="0"/>
    <n v="0"/>
    <s v="MoPS"/>
    <s v="005 Ministry of Public Service"/>
    <s v="Establish an e-learning platform and systems at the Civil Service College including the Learning Management System"/>
    <n v="1"/>
    <n v="1"/>
    <n v="0"/>
    <n v="1"/>
    <n v="1"/>
    <n v="1"/>
    <n v="1"/>
    <n v="1"/>
    <n v="0.875"/>
    <m/>
    <n v="0"/>
    <n v="0"/>
    <n v="0.15"/>
    <m/>
    <n v="1"/>
    <n v="0"/>
    <n v="0"/>
    <s v="MoPS"/>
    <s v="005 Ministry of Public Service"/>
    <s v="N/A"/>
  </r>
  <r>
    <x v="10"/>
    <x v="10"/>
    <s v="143"/>
    <s v="Human Resource Management "/>
    <s v="1433"/>
    <s v="Strengthen human resource management function of Government for improved service delivery"/>
    <s v="143307"/>
    <s v="Upgrade Public sector training to improve relevance and impact."/>
    <s v="143307b"/>
    <s v="Implement E-learning programmes at the civil service college "/>
    <s v="143307b01"/>
    <s v="E-laboratory established and operationalized  "/>
    <s v="e-learning programmes developed and implemented"/>
    <m/>
    <m/>
    <n v="1"/>
    <n v="1"/>
    <n v="1"/>
    <n v="1"/>
    <s v="MOPS"/>
    <s v="005 Ministry of Public Service"/>
    <s v="Design and execute digital content for the existing curricula "/>
    <n v="1"/>
    <n v="1"/>
    <n v="0"/>
    <n v="1"/>
    <n v="1"/>
    <n v="1"/>
    <n v="1"/>
    <n v="1"/>
    <n v="0.875"/>
    <m/>
    <n v="0"/>
    <n v="0"/>
    <n v="2.2999999999999998"/>
    <n v="2.2999999999999998"/>
    <n v="1.3"/>
    <n v="2.2999999999999998"/>
    <n v="4.5999999999999996"/>
    <s v="MoPS"/>
    <s v="005 Ministry of Public Service"/>
    <s v="PSC"/>
  </r>
  <r>
    <x v="10"/>
    <x v="10"/>
    <s v="143"/>
    <s v="Human Resource Management "/>
    <s v="1433"/>
    <s v="Strengthen human resource management function of Government for improved service delivery"/>
    <s v="143307"/>
    <s v="Upgrade Public sector training to improve relevance and impact."/>
    <s v="143307b"/>
    <s v="Implement E-learning programmes at the civil service college "/>
    <s v="143307b01"/>
    <s v="E-laboratory established and operationalized  "/>
    <s v="Guidelines for E- learning prepared and implemented"/>
    <m/>
    <m/>
    <n v="1"/>
    <m/>
    <m/>
    <m/>
    <s v="MOPS"/>
    <s v="005 Ministry of Public Service"/>
    <s v="Develop &amp; Disseminate Guidelines for E- learning"/>
    <n v="1"/>
    <n v="0"/>
    <n v="0"/>
    <n v="1"/>
    <n v="1"/>
    <n v="0"/>
    <n v="1"/>
    <n v="1"/>
    <n v="0.625"/>
    <m/>
    <n v="0"/>
    <n v="1"/>
    <n v="1"/>
    <n v="1"/>
    <n v="0.2"/>
    <n v="1"/>
    <n v="2"/>
    <s v="MOPS"/>
    <s v="005 Ministry of Public Service"/>
    <m/>
  </r>
  <r>
    <x v="10"/>
    <x v="10"/>
    <s v="143"/>
    <s v="Human Resource Management "/>
    <s v="1433"/>
    <s v="Strengthen human resource management function of Government for improved service delivery"/>
    <s v="143307"/>
    <s v="Upgrade Public sector training to improve relevance and impact."/>
    <s v="143307b"/>
    <s v="Implement E-learning programmes at the civil service college "/>
    <s v="143307b02"/>
    <s v="Civil Service College upgraded into a technology enabled teaching and learning centre"/>
    <s v="% of Training facilities at CSCU equipped with ICT equipment"/>
    <m/>
    <m/>
    <n v="50"/>
    <n v="50"/>
    <m/>
    <m/>
    <s v="MOPS"/>
    <s v="005 Ministry of Public Service"/>
    <s v="Identify ICT needs to assess the ICT gaps to support E-learning; Equip facilities with ICT facilities to support E-learning at CSCU; Train Users in the utilization of the ICT facilities; Establish maintenance support systems for the E-learning Systems at CSCU  "/>
    <n v="1"/>
    <n v="0"/>
    <n v="0"/>
    <n v="1"/>
    <n v="1"/>
    <n v="0"/>
    <n v="1"/>
    <n v="1"/>
    <n v="0.625"/>
    <m/>
    <n v="0"/>
    <m/>
    <n v="1.1499999999999999"/>
    <n v="1.1499999999999999"/>
    <n v="1.01"/>
    <m/>
    <n v="0"/>
    <s v="MOPS"/>
    <s v="005 Ministry of Public Service"/>
    <m/>
  </r>
  <r>
    <x v="10"/>
    <x v="10"/>
    <s v="144"/>
    <s v="Decentralization and Local Economic Development"/>
    <s v="1444"/>
    <s v="Deepen decentralization and citizen participation in local development"/>
    <s v="144401"/>
    <s v="Strengthen collaboration of all stakeholders to promote local economic development; "/>
    <s v="144401a"/>
    <s v="Provide a conducive environment to facilitate Private Sector participation in investment in the local economy"/>
    <s v="144401a01"/>
    <s v="Local Economic Development Strategy developed"/>
    <s v="Number of districts where the LED policy and stratgy are disseminated "/>
    <m/>
    <m/>
    <n v="156"/>
    <m/>
    <m/>
    <m/>
    <s v="MoLG"/>
    <s v="011 Ministry of Local Government"/>
    <s v="Roll out the LED policy and strategy to all LGs"/>
    <n v="1"/>
    <n v="1"/>
    <n v="1"/>
    <n v="1"/>
    <n v="1"/>
    <n v="1"/>
    <n v="1"/>
    <n v="1"/>
    <n v="1"/>
    <m/>
    <n v="0"/>
    <m/>
    <n v="1.1499999999999999"/>
    <m/>
    <n v="1"/>
    <m/>
    <n v="0"/>
    <s v="MoLG"/>
    <s v="011 Ministry of Local Government"/>
    <m/>
  </r>
  <r>
    <x v="10"/>
    <x v="10"/>
    <s v="144"/>
    <s v="Decentralization and Local Economic Development"/>
    <s v="1444"/>
    <s v="Deepen decentralization and citizen participation in local development"/>
    <s v="144401"/>
    <s v="Strengthen collaboration of all stakeholders to promote local economic development; "/>
    <s v="144401a"/>
    <s v="Provide a conducive environment to facilitate Private Sector participation in investment in the local economy"/>
    <s v="144401a02"/>
    <s v="Private sector fora established at district level"/>
    <s v="No. of Private sector fora established at district level"/>
    <n v="0"/>
    <n v="0"/>
    <n v="146"/>
    <n v="146"/>
    <n v="146"/>
    <n v="146"/>
    <s v="MoLG, OP, MoFPED, LGs, PSFU, DPs "/>
    <e v="#N/A"/>
    <s v="Develop and market investment Profiles of bankable projects at the local government levels"/>
    <n v="1"/>
    <n v="1"/>
    <n v="1"/>
    <n v="1"/>
    <n v="1"/>
    <n v="1"/>
    <n v="1"/>
    <n v="1"/>
    <n v="1"/>
    <m/>
    <n v="0"/>
    <n v="0"/>
    <n v="0.17499999999999999"/>
    <n v="0.17499999999999999"/>
    <n v="0.77"/>
    <n v="0.17499999999999999"/>
    <n v="0.35"/>
    <s v="LGs"/>
    <s v="500 501-850 Local Governments"/>
    <s v="OWC, NPA,LGs, UIA"/>
  </r>
  <r>
    <x v="10"/>
    <x v="10"/>
    <s v="144"/>
    <s v="Decentralization and Local Economic Development"/>
    <s v="1444"/>
    <s v="Deepen decentralization and citizen participation in local development"/>
    <s v="144401"/>
    <s v="Strengthen collaboration of all stakeholders to promote local economic development; "/>
    <s v="144401a"/>
    <s v="Provide a conducive environment to facilitate Private Sector participation in investment in the local economy"/>
    <s v="144401a03"/>
    <s v="Critical positions at in Local Governments filled  (CAOs, DCAOs, Town Clerks of Cities and municipalities and Heads of Department and Units)"/>
    <s v="% of critical positions filled "/>
    <n v="75"/>
    <n v="92"/>
    <n v="95"/>
    <n v="95"/>
    <n v="95"/>
    <n v="95"/>
    <s v="PSC/MOPS"/>
    <e v="#N/A"/>
    <s v="Advertise posts, receive submissions, interview and selection,"/>
    <n v="1"/>
    <n v="1"/>
    <n v="1"/>
    <n v="1"/>
    <n v="1"/>
    <n v="1"/>
    <n v="1"/>
    <n v="1"/>
    <n v="1"/>
    <m/>
    <n v="0"/>
    <n v="0.89800000000000002"/>
    <n v="0.59799999999999998"/>
    <n v="0.40799999999999997"/>
    <n v="0.36"/>
    <n v="0.36"/>
    <n v="0.72"/>
    <s v="MoLG"/>
    <s v="011 Ministry of Local Government"/>
    <m/>
  </r>
  <r>
    <x v="10"/>
    <x v="10"/>
    <s v="144"/>
    <s v="Decentralization and Local Economic Development"/>
    <s v="1444"/>
    <s v="Deepen decentralization and citizen participation in local development"/>
    <s v="144401"/>
    <s v="Strengthen collaboration of all stakeholders to promote local economic development; "/>
    <s v="144401a"/>
    <s v="Provide a conducive environment to facilitate Private Sector participation in investment in the local economy"/>
    <s v="144401a04"/>
    <s v="Private sector fora established at district level"/>
    <s v="Investment Profiles of Bankable projects at the LG levels developed and marketed "/>
    <n v="0"/>
    <n v="0"/>
    <n v="146"/>
    <n v="146"/>
    <n v="146"/>
    <n v="146"/>
    <s v="LGs, OWC, NPA,LGs, UIA"/>
    <e v="#N/A"/>
    <s v="Mobilise and sensitise the private sector players on the bebefits of the for a, Support them to elect the leaders and to develop the memorandum and articles of association"/>
    <n v="1"/>
    <n v="1"/>
    <n v="1"/>
    <n v="1"/>
    <n v="1"/>
    <n v="1"/>
    <n v="1"/>
    <n v="1"/>
    <n v="1"/>
    <m/>
    <n v="0"/>
    <n v="0.2"/>
    <n v="0.2"/>
    <n v="0.2"/>
    <n v="0.2"/>
    <n v="0.2"/>
    <n v="0.4"/>
    <s v="MoLG"/>
    <s v="011 Ministry of Local Government"/>
    <m/>
  </r>
  <r>
    <x v="10"/>
    <x v="10"/>
    <s v="144"/>
    <s v="Decentralization and Local Economic Development"/>
    <s v="1444"/>
    <s v="Deepen decentralization and citizen participation in local development"/>
    <s v="144401"/>
    <s v="Strengthen collaboration of all stakeholders to promote local economic development; "/>
    <s v="144401a"/>
    <s v="Provide a conducive environment to facilitate Private Sector participation in investment in the local economy"/>
    <s v="144401a06"/>
    <s v="Enhanced trade across the EAC"/>
    <s v="Number of Bilateral engagements cordinated"/>
    <m/>
    <n v="1"/>
    <n v="1"/>
    <n v="1"/>
    <n v="1"/>
    <n v="1"/>
    <s v="MEACA"/>
    <s v="021 Ministry of East African Community Affairs Uganda"/>
    <s v="Coordinating of Bilaterals for the benefit of Uganda"/>
    <n v="1"/>
    <n v="1"/>
    <n v="1"/>
    <n v="1"/>
    <n v="1"/>
    <n v="1"/>
    <n v="1"/>
    <n v="1"/>
    <n v="1"/>
    <m/>
    <n v="0"/>
    <n v="2"/>
    <n v="3.2"/>
    <n v="4"/>
    <n v="0.1"/>
    <n v="5.6"/>
    <n v="10.399999999999999"/>
    <s v="MEACA"/>
    <s v="021 East African Community"/>
    <m/>
  </r>
  <r>
    <x v="10"/>
    <x v="10"/>
    <s v="144"/>
    <s v="Decentralization and Local Economic Development"/>
    <s v="1444"/>
    <s v="Deepen decentralization and citizen participation in local development"/>
    <s v="144402"/>
    <s v="Increase participation of Non-State Actors in Planning and Budgeting"/>
    <m/>
    <m/>
    <n v="14440201"/>
    <s v="CSO Development Planning and Budgeting Issues Papers"/>
    <s v="No. of engagements of CSOs on Development Planning and Budgeting Issues"/>
    <n v="0"/>
    <n v="1"/>
    <n v="1"/>
    <n v="1"/>
    <n v="1"/>
    <n v="1"/>
    <s v="MoFPED, NPA, MoLG, LGs "/>
    <e v="#N/A"/>
    <s v="Undertake regular engagements, of CSOs on Development Planning and Budgeting Issues, at the local levels"/>
    <n v="1"/>
    <n v="1"/>
    <n v="1"/>
    <n v="1"/>
    <n v="1"/>
    <n v="1"/>
    <n v="1"/>
    <n v="1"/>
    <n v="1"/>
    <m/>
    <n v="0"/>
    <n v="0.4"/>
    <n v="0.4"/>
    <n v="0.4"/>
    <n v="0.4"/>
    <n v="0.4"/>
    <n v="0.8"/>
    <s v="MoFPED"/>
    <s v="008 Ministry of Finance, Planning &amp; Economic Dev."/>
    <s v="NPA"/>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Number of parish chiefs recruited"/>
    <n v="5933"/>
    <n v="2000"/>
    <n v="2067"/>
    <m/>
    <m/>
    <m/>
    <s v="MOLG "/>
    <e v="#N/A"/>
    <s v="Recruit, train  and equip Parish Chiefs"/>
    <n v="1"/>
    <n v="1"/>
    <n v="1"/>
    <n v="1"/>
    <n v="1"/>
    <n v="1"/>
    <n v="1"/>
    <n v="1"/>
    <n v="1"/>
    <m/>
    <n v="0"/>
    <n v="0"/>
    <n v="14.3"/>
    <n v="14.7"/>
    <n v="0"/>
    <n v="0"/>
    <n v="0"/>
    <s v="MoLG"/>
    <s v="011 Ministry of Local Government"/>
    <s v="PSC"/>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 of approved positions for parish chiefs filled"/>
    <n v="59.3"/>
    <n v="79.3"/>
    <n v="100"/>
    <m/>
    <m/>
    <m/>
    <s v="MoLG"/>
    <s v="011 Ministry of Local Government"/>
    <s v="Develop and roll out data tools, collect information for community information system to implement  Parish model  "/>
    <n v="1"/>
    <n v="1"/>
    <n v="1"/>
    <n v="1"/>
    <n v="1"/>
    <n v="1"/>
    <n v="1"/>
    <n v="1"/>
    <n v="1"/>
    <m/>
    <n v="0"/>
    <n v="0"/>
    <n v="0"/>
    <n v="0"/>
    <n v="0"/>
    <n v="0"/>
    <n v="0"/>
    <s v="UBOS"/>
    <s v="143 Uganda Bureau of Statistics"/>
    <s v="OWC, NPA,LGs, MoICT&amp;NG"/>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Number of parish chiefs oriented on the parish model conceptual framework"/>
    <s v="-"/>
    <n v="0"/>
    <n v="2500"/>
    <n v="2500"/>
    <n v="2500"/>
    <n v="2500"/>
    <s v="MoLG, OPM, OP, LGs, UBC, NPA"/>
    <e v="#N/A"/>
    <s v="organise orientation workshops for both existing and newly recruited parish chiefs "/>
    <n v="1"/>
    <n v="1"/>
    <n v="1"/>
    <n v="1"/>
    <n v="1"/>
    <n v="1"/>
    <n v="1"/>
    <n v="1"/>
    <n v="1"/>
    <m/>
    <n v="0"/>
    <m/>
    <n v="0.85"/>
    <n v="0.85"/>
    <n v="2"/>
    <n v="0.85"/>
    <n v="1.7"/>
    <s v="MoLG"/>
    <s v="011 Ministry of Local Government"/>
    <m/>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Number of Parish covered "/>
    <m/>
    <m/>
    <n v="2500"/>
    <n v="2500"/>
    <n v="2500"/>
    <n v="2500"/>
    <s v="MoLG"/>
    <s v="011 Ministry of Local Government"/>
    <s v="develop the criteria and sample the beneficiary parishes in accordance with the criteria "/>
    <n v="1"/>
    <n v="1"/>
    <n v="1"/>
    <n v="1"/>
    <n v="1"/>
    <n v="1"/>
    <n v="1"/>
    <n v="1"/>
    <n v="1"/>
    <m/>
    <n v="0"/>
    <m/>
    <m/>
    <m/>
    <m/>
    <m/>
    <n v="0"/>
    <s v="MoLG"/>
    <s v="011 Ministry of Local Government"/>
    <m/>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Number of Parish developed committees oriented "/>
    <m/>
    <m/>
    <n v="2500"/>
    <n v="2500"/>
    <n v="2500"/>
    <n v="2500"/>
    <s v="MoLG"/>
    <s v="011 Ministry of Local Government"/>
    <s v="Develop and roll out data tools for community information system to implement  Parish model  _x000a_Train and equip parish frontline extension staff in data collection and reporting._x000a_"/>
    <n v="1"/>
    <n v="1"/>
    <n v="1"/>
    <n v="1"/>
    <n v="1"/>
    <n v="1"/>
    <n v="1"/>
    <n v="1"/>
    <n v="1"/>
    <m/>
    <n v="0"/>
    <m/>
    <n v="22"/>
    <n v="22"/>
    <n v="10"/>
    <n v="22"/>
    <n v="44"/>
    <s v="MoLG"/>
    <s v="011 Ministry of Local Government"/>
    <m/>
  </r>
  <r>
    <x v="10"/>
    <x v="10"/>
    <s v="144"/>
    <s v="Decentralization and Local Economic Development"/>
    <s v="1444"/>
    <s v="Deepen decentralization and citizen participation in local development"/>
    <s v="144403"/>
    <s v="Operationalize the parish model"/>
    <m/>
    <m/>
    <s v="14440301"/>
    <s v="Parish level Structures to implement the Parish Model established and empowered"/>
    <s v="Number of trainings for Assistant community development officer for all parishes from 40 PMDU pilot districts"/>
    <m/>
    <n v="8"/>
    <n v="8"/>
    <n v="8"/>
    <n v="8"/>
    <n v="8"/>
    <s v="MoLG"/>
    <s v="011 Ministry of Local Government"/>
    <s v="Conduct trainings of the Assistant community development officers on  the deliverology methodology at parishes in the 40 PMDU Pilot districts"/>
    <n v="1"/>
    <n v="1"/>
    <n v="1"/>
    <n v="1"/>
    <n v="1"/>
    <n v="1"/>
    <n v="1"/>
    <n v="1"/>
    <n v="1"/>
    <m/>
    <n v="0"/>
    <n v="0.2"/>
    <n v="0.2"/>
    <n v="0.2"/>
    <n v="0.2"/>
    <n v="0.2"/>
    <n v="0.4"/>
    <s v="MoLG"/>
    <s v="011 Ministry of Local Government"/>
    <m/>
  </r>
  <r>
    <x v="10"/>
    <x v="10"/>
    <s v="144"/>
    <s v="Decentralization and Local Economic Development"/>
    <s v="1444"/>
    <s v="Deepen decentralization and citizen participation in local development"/>
    <s v="144403"/>
    <s v="Operationalize the parish model"/>
    <m/>
    <m/>
    <s v="14440302"/>
    <s v="Delivery LABs on the parish model Implementation delivered"/>
    <s v="Number of delivery LABs on the parish model Implementation conducted "/>
    <m/>
    <n v="1"/>
    <n v="4"/>
    <n v="4"/>
    <n v="4"/>
    <n v="4"/>
    <s v="MoLG"/>
    <s v="011 Ministry of Local Government"/>
    <s v="Conduct delivery LABs on the parish model Implementation; Producing a Food and nutrition Roadmap"/>
    <n v="1"/>
    <n v="1"/>
    <n v="1"/>
    <n v="1"/>
    <n v="1"/>
    <n v="1"/>
    <n v="1"/>
    <n v="1"/>
    <n v="1"/>
    <m/>
    <n v="0"/>
    <n v="0.2"/>
    <n v="0.2"/>
    <n v="0.2"/>
    <n v="0.2"/>
    <n v="0.2"/>
    <n v="0.4"/>
    <s v="MoLG"/>
    <s v="011 Ministry of Local Government"/>
    <m/>
  </r>
  <r>
    <x v="10"/>
    <x v="10"/>
    <s v="144"/>
    <s v="Decentralization and Local Economic Development"/>
    <s v="1444"/>
    <s v="Deepen decentralization and citizen participation in local development"/>
    <s v="144403"/>
    <s v="Operationalize the parish model"/>
    <m/>
    <m/>
    <s v="14440303"/>
    <s v="Documentaries on the status of implementation of the parish model and its impact on the beneficiary communities developed and broadcast to the citizens   "/>
    <s v="No of new dilates brought on board "/>
    <m/>
    <n v="3"/>
    <n v="3"/>
    <n v="3"/>
    <n v="3"/>
    <n v="3"/>
    <s v="UBC"/>
    <e v="#N/A"/>
    <s v="Ensure that developed content is translated to various local languages "/>
    <n v="1"/>
    <n v="1"/>
    <n v="1"/>
    <n v="1"/>
    <n v="1"/>
    <n v="1"/>
    <n v="1"/>
    <n v="1"/>
    <n v="1"/>
    <m/>
    <n v="0"/>
    <n v="3"/>
    <n v="3"/>
    <n v="3"/>
    <n v="3"/>
    <n v="3"/>
    <n v="6"/>
    <s v="UBC"/>
    <s v="020 Ministry of ICT and National Guidance-UBC "/>
    <m/>
  </r>
  <r>
    <x v="10"/>
    <x v="10"/>
    <s v="144"/>
    <s v="Decentralization and Local Economic Development"/>
    <s v="1444"/>
    <s v="Deepen decentralization and citizen participation in local development"/>
    <s v="144403"/>
    <s v="Operationalize the parish model"/>
    <m/>
    <m/>
    <s v="14440303"/>
    <s v="Documentaries on the status of implementation of the parish model and its impact on the beneficiary communities developed and broadcast to the citizens   "/>
    <s v="% of developed content disseminated "/>
    <n v="0.3"/>
    <n v="0.1"/>
    <n v="0.13"/>
    <n v="0.15"/>
    <n v="0.2"/>
    <n v="0.25"/>
    <s v="UBC"/>
    <e v="#N/A"/>
    <s v="Program and disseminate developed         content"/>
    <n v="1"/>
    <n v="1"/>
    <n v="1"/>
    <n v="1"/>
    <n v="1"/>
    <n v="1"/>
    <n v="1"/>
    <n v="1"/>
    <n v="1"/>
    <m/>
    <n v="0"/>
    <n v="4"/>
    <n v="4"/>
    <n v="4"/>
    <n v="4"/>
    <n v="4"/>
    <n v="8"/>
    <s v="UBC"/>
    <s v="020 Ministry of ICT and National Guidance-UBC "/>
    <m/>
  </r>
  <r>
    <x v="10"/>
    <x v="10"/>
    <s v="144"/>
    <s v="Decentralization and Local Economic Development"/>
    <s v="1444"/>
    <s v="Deepen decentralization and citizen participation in local development"/>
    <s v="144403"/>
    <s v="Operationalize the parish model"/>
    <m/>
    <m/>
    <s v="14440303"/>
    <s v="Documentaries on the status of implementation of the parish model and its impact on the beneficiary communities developed and broadcast to the citizens   "/>
    <s v="Approved collaborative framework with implementing partners  in place "/>
    <m/>
    <m/>
    <n v="1"/>
    <m/>
    <m/>
    <m/>
    <s v="UBC"/>
    <e v="#N/A"/>
    <s v="Formulation of UBC and MDAs collaboration frameworks for content development, preservation and broadcasting"/>
    <n v="1"/>
    <n v="1"/>
    <n v="1"/>
    <n v="1"/>
    <n v="1"/>
    <n v="1"/>
    <n v="1"/>
    <n v="1"/>
    <n v="1"/>
    <m/>
    <n v="0"/>
    <m/>
    <n v="0.11700000000000001"/>
    <m/>
    <m/>
    <m/>
    <n v="0"/>
    <s v="UBC"/>
    <s v="020 Ministry of ICT and National Guidance-UBC "/>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o. of PMI coordination meetings/ engagements conducted"/>
    <n v="8"/>
    <n v="8"/>
    <n v="8"/>
    <n v="8"/>
    <n v="8"/>
    <n v="8"/>
    <s v="MoLG"/>
    <s v="011 Ministry of Local Government"/>
    <s v="Coordinate harmonization of  implementation of the parish model approach across government"/>
    <n v="1"/>
    <n v="1"/>
    <n v="1"/>
    <n v="1"/>
    <n v="1"/>
    <n v="1"/>
    <n v="1"/>
    <n v="1"/>
    <n v="1"/>
    <m/>
    <n v="0"/>
    <n v="0.4"/>
    <n v="0.4"/>
    <n v="0.4"/>
    <n v="0.4"/>
    <n v="0.4"/>
    <n v="0.8"/>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umber of parishes using online application for collecting data on implementation of the parish model in place"/>
    <m/>
    <m/>
    <n v="2500"/>
    <n v="2500"/>
    <n v="2500"/>
    <n v="2500"/>
    <s v="MoLG"/>
    <s v="011 Ministry of Local Government"/>
    <s v="Develop and roll out the online application for collecting data on implementation of the parish model in place"/>
    <n v="1"/>
    <n v="1"/>
    <n v="1"/>
    <n v="1"/>
    <n v="1"/>
    <n v="1"/>
    <n v="1"/>
    <n v="1"/>
    <n v="1"/>
    <m/>
    <n v="0"/>
    <m/>
    <n v="3.1080000000000001"/>
    <n v="3.1080000000000001"/>
    <n v="3.1080000000000001"/>
    <n v="3.1080000000000001"/>
    <n v="6.2160000000000002"/>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o. of quarterly PMI monitoring and follow up field visits"/>
    <m/>
    <n v="4"/>
    <n v="4"/>
    <n v="4"/>
    <n v="4"/>
    <n v="4"/>
    <s v="MoLG "/>
    <e v="#N/A"/>
    <s v="Conduct quarterly PMI monitoring and follow up field visits"/>
    <n v="1"/>
    <n v="1"/>
    <n v="1"/>
    <n v="1"/>
    <n v="1"/>
    <n v="1"/>
    <n v="1"/>
    <n v="1"/>
    <n v="1"/>
    <m/>
    <n v="0"/>
    <n v="3"/>
    <n v="3"/>
    <n v="3"/>
    <n v="3"/>
    <n v="3"/>
    <n v="6"/>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PM operationalization Plan in place and implemented"/>
    <m/>
    <n v="1"/>
    <n v="1"/>
    <n v="1"/>
    <n v="1"/>
    <n v="1"/>
    <s v="MoLG"/>
    <s v="011 Ministry of Local Government"/>
    <s v="Support MoLG develop and implement  PM operationalization Plan "/>
    <n v="1"/>
    <n v="1"/>
    <n v="1"/>
    <n v="1"/>
    <n v="1"/>
    <n v="1"/>
    <n v="1"/>
    <n v="1"/>
    <n v="1"/>
    <m/>
    <n v="0"/>
    <n v="1"/>
    <n v="1"/>
    <n v="1"/>
    <n v="1"/>
    <n v="1"/>
    <n v="2"/>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umber of Supportive supervision field visits "/>
    <m/>
    <n v="4"/>
    <n v="4"/>
    <n v="4"/>
    <n v="4"/>
    <n v="4"/>
    <s v="MoLG"/>
    <s v="011 Ministry of Local Government"/>
    <s v="Conduct quarterly supportive supervision visits to parishes in the 40 pilot districts"/>
    <n v="1"/>
    <n v="1"/>
    <n v="1"/>
    <n v="1"/>
    <n v="1"/>
    <n v="1"/>
    <n v="1"/>
    <n v="1"/>
    <n v="1"/>
    <m/>
    <n v="0"/>
    <n v="0.2"/>
    <n v="0.2"/>
    <n v="0.2"/>
    <n v="0.2"/>
    <n v="0.2"/>
    <n v="0.4"/>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umber of  check in meetings with sectors and stakeholders involved in parish model implementation conducted "/>
    <m/>
    <n v="4"/>
    <n v="4"/>
    <n v="4"/>
    <n v="4"/>
    <n v="4"/>
    <s v="MoLG"/>
    <s v="011 Ministry of Local Government"/>
    <s v="Conduct quarterly check in meetings sectors and stakeholders involved in parish model implementation"/>
    <n v="1"/>
    <n v="1"/>
    <n v="1"/>
    <n v="1"/>
    <n v="1"/>
    <n v="1"/>
    <n v="1"/>
    <n v="1"/>
    <n v="1"/>
    <m/>
    <n v="0"/>
    <n v="0.1"/>
    <n v="0.1"/>
    <n v="0.1"/>
    <n v="0.5"/>
    <n v="0.1"/>
    <n v="0.2"/>
    <s v="MoLG"/>
    <s v="011 Ministry of Local Government"/>
    <m/>
  </r>
  <r>
    <x v="10"/>
    <x v="10"/>
    <s v="144"/>
    <s v="Decentralization and Local Economic Development"/>
    <s v="1444"/>
    <s v="Deepen decentralization and citizen participation in local development"/>
    <s v="144403"/>
    <s v="Operationalize the parish model"/>
    <m/>
    <m/>
    <s v="14440304"/>
    <s v="A framework for monitoring and evaluation of implementation of the parish model developed and operationalised"/>
    <s v="Number of report from field visits to fast track the minimum parish implementation actions in place"/>
    <m/>
    <n v="4"/>
    <n v="4"/>
    <n v="4"/>
    <n v="4"/>
    <n v="4"/>
    <s v="MoLG"/>
    <s v="011 Ministry of Local Government"/>
    <s v="Conduct a quarterly field activity to fast track the minimum parish implementation actions"/>
    <n v="1"/>
    <n v="1"/>
    <n v="1"/>
    <n v="1"/>
    <n v="1"/>
    <n v="1"/>
    <n v="1"/>
    <n v="1"/>
    <n v="1"/>
    <m/>
    <n v="0"/>
    <n v="0.1"/>
    <n v="0.1"/>
    <n v="0.1"/>
    <n v="0.5"/>
    <n v="0.1"/>
    <n v="0.2"/>
    <s v="MoLG"/>
    <s v="011 Ministry of Local Government"/>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1"/>
    <s v="Local Government  Revenue Enhancement Plans developed and implemented "/>
    <s v="Percentage of LG Budgets financed by LR (Average)"/>
    <m/>
    <n v="20"/>
    <n v="30"/>
    <n v="45"/>
    <n v="50"/>
    <n v="55"/>
    <s v="LGFC"/>
    <s v="147 Local Government Finance Commission"/>
    <s v="Implement the Local revenue enhancement management plans "/>
    <n v="1"/>
    <n v="1"/>
    <n v="1"/>
    <n v="1"/>
    <n v="1"/>
    <n v="1"/>
    <n v="1"/>
    <n v="1"/>
    <n v="1"/>
    <m/>
    <n v="0"/>
    <n v="0.7"/>
    <n v="0.7"/>
    <n v="0.7"/>
    <n v="0.9"/>
    <n v="0"/>
    <n v="0.7"/>
    <s v="LGFC"/>
    <s v="147 Local Government Finance Commission"/>
    <s v="MoLG, MoPS"/>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1"/>
    <s v="Local Government  Revenue Enhancement Plans developed and implemented "/>
    <s v="No. LG Technical Planning Committees supported"/>
    <s v="-"/>
    <n v="10"/>
    <n v="10"/>
    <n v="40"/>
    <n v="60"/>
    <m/>
    <s v="LGFC"/>
    <s v="147 Local Government Finance Commission"/>
    <s v="Review the Grants allocation formula and models in light of emerging socio-economic shocks"/>
    <n v="1"/>
    <n v="1"/>
    <n v="1"/>
    <n v="1"/>
    <n v="1"/>
    <n v="1"/>
    <n v="1"/>
    <n v="1"/>
    <n v="1"/>
    <m/>
    <n v="0"/>
    <n v="0.23"/>
    <n v="0.23"/>
    <n v="0.23"/>
    <n v="0.23"/>
    <n v="0.23"/>
    <n v="0.46"/>
    <s v="LGFC"/>
    <s v="147 Local Government Finance Commission"/>
    <s v="MoPS, MoLG, MoFPED"/>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2"/>
    <s v="Grants allocation formula and models reviewed"/>
    <s v="% of the recommendations of the review of LG financing study adopted and implemented by Government"/>
    <m/>
    <n v="50"/>
    <n v="50"/>
    <n v="50"/>
    <m/>
    <m/>
    <s v="LGFC"/>
    <s v="147 Local Government Finance Commission"/>
    <s v="Conduct reviews on the Grants allocation formula and models in light of sector policies reviewed to in-build crosscutting issues like poverty, HIV/AIDS, gender and environment."/>
    <n v="1"/>
    <n v="1"/>
    <n v="1"/>
    <n v="1"/>
    <n v="1"/>
    <n v="1"/>
    <n v="1"/>
    <n v="1"/>
    <n v="1"/>
    <m/>
    <n v="0"/>
    <n v="0.7"/>
    <n v="0.7"/>
    <n v="0.7"/>
    <n v="0.7"/>
    <n v="0.7"/>
    <n v="1.4"/>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3"/>
    <s v="Guidelines for transfers to lower LGs reviewed "/>
    <s v="No. of Reviewed guidelines for transfers of funds to LLGs"/>
    <m/>
    <n v="6"/>
    <n v="6"/>
    <n v="6"/>
    <n v="6"/>
    <n v="6"/>
    <s v="LGFC"/>
    <s v="147 Local Government Finance Commission"/>
    <s v="Review guidelines for grants transfers "/>
    <n v="1"/>
    <n v="1"/>
    <n v="1"/>
    <n v="1"/>
    <n v="1"/>
    <n v="1"/>
    <n v="1"/>
    <n v="1"/>
    <n v="1"/>
    <m/>
    <n v="0"/>
    <n v="0.04"/>
    <n v="0.04"/>
    <n v="0.04"/>
    <n v="0.1"/>
    <n v="0.04"/>
    <n v="0.08"/>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4"/>
    <s v="Fiscal reforms on LG funding evaluated and policy briefs prepared and presented to key stakeholders:"/>
    <s v="No. of policy briefs on trends of grants transfers to LGs"/>
    <m/>
    <n v="1"/>
    <n v="1"/>
    <n v="1"/>
    <n v="1"/>
    <n v="1"/>
    <s v="LGFC"/>
    <s v="147 Local Government Finance Commission"/>
    <s v="Collect, consolidate and validate data on grants transfers and produce statistical trends by sector"/>
    <n v="1"/>
    <n v="1"/>
    <n v="1"/>
    <n v="1"/>
    <n v="1"/>
    <n v="1"/>
    <n v="1"/>
    <n v="1"/>
    <n v="1"/>
    <m/>
    <n v="0"/>
    <n v="0.16"/>
    <n v="0.16"/>
    <n v="0.16"/>
    <n v="0.16"/>
    <n v="0.16"/>
    <n v="0.32"/>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4"/>
    <s v="Fiscal reforms on LG funding evaluated and policy briefs prepared and presented to key stakeholders:"/>
    <s v="No. of policy briefs on sharing of resources among LGs disseminated"/>
    <m/>
    <m/>
    <n v="1"/>
    <m/>
    <m/>
    <m/>
    <s v="LGFC"/>
    <s v="147 Local Government Finance Commission"/>
    <s v="Plan, facilitate, conduct, and disseminate findings from a review on sharing of resources among LGs"/>
    <n v="1"/>
    <n v="1"/>
    <n v="1"/>
    <n v="1"/>
    <n v="1"/>
    <n v="1"/>
    <n v="1"/>
    <n v="1"/>
    <n v="1"/>
    <m/>
    <n v="0"/>
    <n v="0.15"/>
    <n v="0.15"/>
    <n v="0.15"/>
    <n v="0.15"/>
    <n v="0.15"/>
    <n v="0.3"/>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4"/>
    <s v="Fiscal reforms on LG funding evaluated and policy briefs prepared and presented to key stakeholders:"/>
    <s v="No. of policy briefs on LGs lagging behind from national average service delivery"/>
    <m/>
    <n v="1"/>
    <n v="1"/>
    <n v="1"/>
    <n v="1"/>
    <n v="1"/>
    <s v="LGFC"/>
    <s v="147 Local Government Finance Commission"/>
    <s v="Collect and analyze data to identify local governments lagging behind using socio economic development indicators"/>
    <n v="1"/>
    <n v="1"/>
    <n v="1"/>
    <n v="1"/>
    <n v="1"/>
    <n v="1"/>
    <n v="1"/>
    <n v="1"/>
    <n v="1"/>
    <m/>
    <n v="0"/>
    <n v="0.04"/>
    <n v="0.04"/>
    <n v="0.04"/>
    <n v="0.1"/>
    <n v="0.04"/>
    <n v="0.08"/>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7"/>
    <s v="Utilization of locally raised revenue in LGs evaluated and report produced "/>
    <s v="No. of technical activity reports produced"/>
    <m/>
    <m/>
    <n v="1"/>
    <n v="1"/>
    <n v="1"/>
    <m/>
    <s v="LGFC"/>
    <s v="147 Local Government Finance Commission"/>
    <s v="Plan, facilitate, and conducted an action research on the utilisation of locally raised revenue in selected LGs"/>
    <n v="1"/>
    <n v="1"/>
    <n v="1"/>
    <n v="1"/>
    <n v="1"/>
    <n v="1"/>
    <n v="1"/>
    <n v="1"/>
    <n v="1"/>
    <m/>
    <n v="0"/>
    <m/>
    <n v="0.5"/>
    <n v="0.5"/>
    <n v="0.5"/>
    <n v="0.5"/>
    <n v="1"/>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08"/>
    <s v="A Consolidated LGs Annual Approved Budget Analysis Report on all the Vote Holder LGs produced"/>
    <s v="Number of reports produced "/>
    <m/>
    <n v="1"/>
    <n v="1"/>
    <n v="1"/>
    <n v="1"/>
    <n v="1"/>
    <s v="LGFC"/>
    <s v="147 Local Government Finance Commission"/>
    <s v="Data analysis to establish the share of resources "/>
    <n v="1"/>
    <n v="1"/>
    <n v="1"/>
    <n v="1"/>
    <n v="1"/>
    <n v="1"/>
    <n v="1"/>
    <n v="1"/>
    <n v="1"/>
    <m/>
    <n v="0"/>
    <n v="0.02"/>
    <n v="0.02"/>
    <n v="0.02"/>
    <n v="0.1"/>
    <n v="0.02"/>
    <n v="0.04"/>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10"/>
    <s v="Technical support provided in identified areas of weaknesses in compliance with legal requirements "/>
    <s v="Number of LGs provided with technical support "/>
    <m/>
    <n v="40"/>
    <n v="40"/>
    <n v="40"/>
    <n v="40"/>
    <n v="40"/>
    <s v="LGFC"/>
    <s v="147 Local Government Finance Commission"/>
    <s v="Provide Technical support in identified areas of weaknesses in compliance with legal requirements in 100 LGs."/>
    <n v="1"/>
    <n v="1"/>
    <n v="1"/>
    <n v="1"/>
    <n v="1"/>
    <n v="1"/>
    <n v="1"/>
    <n v="1"/>
    <n v="1"/>
    <m/>
    <n v="0"/>
    <n v="0.25"/>
    <n v="0.25"/>
    <n v="0.25"/>
    <n v="0.25"/>
    <n v="0.25"/>
    <n v="0.5"/>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12"/>
    <s v="A macro budget financial analysis framework that will link both national and local government annual budgets developed"/>
    <s v="An operational financial analysis system in place"/>
    <m/>
    <m/>
    <n v="1"/>
    <m/>
    <m/>
    <m/>
    <s v="LGFC"/>
    <s v="147 Local Government Finance Commission"/>
    <s v="Develop a macro budget financial analysis framework that will link both national and local government annual budgets"/>
    <n v="1"/>
    <n v="1"/>
    <n v="1"/>
    <n v="1"/>
    <n v="1"/>
    <n v="1"/>
    <n v="1"/>
    <n v="1"/>
    <n v="1"/>
    <m/>
    <n v="0"/>
    <m/>
    <n v="4.5"/>
    <m/>
    <n v="2"/>
    <n v="0.8"/>
    <n v="1.6"/>
    <s v="LGFC"/>
    <s v="147 Local Government Finance Commission"/>
    <m/>
  </r>
  <r>
    <x v="10"/>
    <x v="10"/>
    <s v="144"/>
    <s v="Decentralization and Local Economic Development"/>
    <s v="1444"/>
    <s v="Deepen decentralization and citizen participation in local development"/>
    <s v="144404"/>
    <s v="Build LG fiscal decentralization and self-reliance capacity"/>
    <s v="144404a"/>
    <s v="Evaluate the fiscal decentralization policy"/>
    <s v="144404a14"/>
    <s v="Reviews on the Implementation of FDA Conducted"/>
    <s v="No. of  FDA recommendations reviewed for effective implementation"/>
    <m/>
    <n v="4"/>
    <n v="4"/>
    <n v="4"/>
    <n v="4"/>
    <n v="4"/>
    <s v="LGFC"/>
    <s v="147 Local Government Finance Commission"/>
    <s v="Reviews on the Implementation of FDA recommendations"/>
    <n v="1"/>
    <n v="1"/>
    <n v="1"/>
    <n v="1"/>
    <n v="1"/>
    <n v="1"/>
    <n v="1"/>
    <n v="1"/>
    <n v="1"/>
    <m/>
    <n v="0"/>
    <n v="3.5000000000000003E-2"/>
    <n v="3.5000000000000003E-2"/>
    <n v="3.5000000000000003E-2"/>
    <n v="3.5000000000000003E-2"/>
    <n v="3.5000000000000003E-2"/>
    <n v="7.0000000000000007E-2"/>
    <s v="LGFC"/>
    <s v="147 Local Government Finance Commission"/>
    <m/>
  </r>
  <r>
    <x v="10"/>
    <x v="10"/>
    <n v="145"/>
    <s v="Business Process Re-engineering and Information Management"/>
    <n v="1455"/>
    <s v="Increase accountability and transparency in the delivery of services"/>
    <s v="144501"/>
    <s v="Reengineer public service delivery business processes "/>
    <s v="144501a"/>
    <s v="Implement service delivery process reforms"/>
    <s v="144501a01"/>
    <s v="Regional Service in Uganda Centres established"/>
    <s v="Number of Service Uganda Centres established"/>
    <n v="2"/>
    <n v="4"/>
    <n v="6"/>
    <n v="6"/>
    <n v="3"/>
    <n v="3"/>
    <s v="MOPS"/>
    <s v="005 Ministry of Public Service"/>
    <s v="Construct and equip Service Uganda Centres "/>
    <n v="1"/>
    <n v="1"/>
    <n v="1"/>
    <n v="1"/>
    <n v="1"/>
    <n v="1"/>
    <n v="1"/>
    <n v="1"/>
    <n v="1"/>
    <m/>
    <n v="0"/>
    <n v="2"/>
    <n v="5"/>
    <n v="7"/>
    <m/>
    <s v=" 7.5"/>
    <n v="7.5"/>
    <s v="MOPS"/>
    <s v="005 Ministry of Public Service"/>
    <s v="MoPS"/>
  </r>
  <r>
    <x v="10"/>
    <x v="10"/>
    <n v="145"/>
    <s v="Business Process Re-engineering and Information Management"/>
    <n v="1455"/>
    <s v="Increase accountability and transparency in the delivery of services"/>
    <s v="144501"/>
    <s v="Reengineer public service delivery business processes "/>
    <s v="144501a"/>
    <s v="Implement service delivery process reforms"/>
    <s v="144501a01"/>
    <s v="Regional Service in Uganda Centres established"/>
    <s v="% of Service Uganda Centers established, equipped and operationalized."/>
    <n v="0.2"/>
    <n v="0.28000000000000003"/>
    <n v="0.46"/>
    <n v="0.64"/>
    <n v="0.82"/>
    <n v="1"/>
    <s v="MOPS "/>
    <e v="#N/A"/>
    <s v="Construction of office buildings; equipping and deployment of desk officers; sensitisation of the stakeholders"/>
    <n v="1"/>
    <n v="1"/>
    <n v="1"/>
    <n v="1"/>
    <n v="1"/>
    <n v="1"/>
    <n v="1"/>
    <n v="1"/>
    <n v="1"/>
    <m/>
    <n v="0"/>
    <n v="10"/>
    <n v="15"/>
    <n v="15"/>
    <n v="7.5"/>
    <n v="7.5"/>
    <n v="15"/>
    <s v="MOPS "/>
    <s v="005 Ministry of Public Service"/>
    <m/>
  </r>
  <r>
    <x v="10"/>
    <x v="10"/>
    <n v="145"/>
    <s v="Business Process Re-engineering and Information Management"/>
    <n v="1455"/>
    <s v="Increase accountability and transparency in the delivery of services"/>
    <s v="144501"/>
    <s v="Reengineer public service delivery business processes "/>
    <s v="144501b"/>
    <s v="Automate institutional management functions "/>
    <s v="144501b01"/>
    <s v="Institutional management functions automated through e-Services"/>
    <s v="No of new e-services introduced"/>
    <n v="2500"/>
    <n v="500"/>
    <n v="500"/>
    <n v="500"/>
    <n v="500"/>
    <n v="500"/>
    <s v="MoICT&amp;NG; NITA-U; MoPS, UBC "/>
    <e v="#N/A"/>
    <s v="New e-services introduced "/>
    <n v="1"/>
    <n v="1"/>
    <n v="0"/>
    <n v="1"/>
    <n v="1"/>
    <n v="1"/>
    <n v="1"/>
    <n v="1"/>
    <n v="0.875"/>
    <m/>
    <n v="0"/>
    <n v="0.39"/>
    <n v="0.39"/>
    <n v="0.39"/>
    <n v="1"/>
    <n v="0.39"/>
    <n v="0.78"/>
    <s v="MoPS"/>
    <s v="005 Ministry of Public Service"/>
    <s v="NITA-U"/>
  </r>
  <r>
    <x v="10"/>
    <x v="10"/>
    <n v="145"/>
    <s v="Business Process Re-engineering and Information Management"/>
    <n v="1455"/>
    <s v="Increase accountability and transparency in the delivery of services"/>
    <s v="144501"/>
    <s v="Reengineer public service delivery business processes "/>
    <s v="144501b"/>
    <s v="Automate institutional management functions "/>
    <s v="144501b01"/>
    <s v="Institutional management functions automated through e-Services"/>
    <s v="No. of citizens accessing government services online"/>
    <n v="2000"/>
    <n v="400"/>
    <n v="400"/>
    <n v="400"/>
    <n v="400"/>
    <n v="400"/>
    <s v="MoICT&amp;NG; NITA-U; MoPS, UBC"/>
    <e v="#N/A"/>
    <s v="e-services integrated "/>
    <n v="1"/>
    <n v="1"/>
    <n v="0"/>
    <n v="1"/>
    <n v="1"/>
    <n v="1"/>
    <n v="1"/>
    <n v="1"/>
    <n v="0.875"/>
    <m/>
    <n v="0"/>
    <n v="14"/>
    <n v="0.14000000000000001"/>
    <n v="0.14000000000000001"/>
    <n v="0.5"/>
    <n v="0.14000000000000001"/>
    <n v="0.28000000000000003"/>
    <s v="NITA-U"/>
    <s v="126 National Information Technology Authority"/>
    <m/>
  </r>
  <r>
    <x v="10"/>
    <x v="10"/>
    <n v="145"/>
    <s v="Business Process Re-engineering and Information Management"/>
    <n v="1455"/>
    <s v="Increase accountability and transparency in the delivery of services"/>
    <s v="144501"/>
    <s v="Reengineer public service delivery business processes "/>
    <s v="144501c"/>
    <s v="Implement e-governance across public sector"/>
    <s v="144501c01"/>
    <s v="E-governance implemented (across public sector)"/>
    <s v="Percentage of  MDA/LGs  with reliable e-government capacity "/>
    <m/>
    <n v="30"/>
    <n v="40"/>
    <n v="50"/>
    <n v="60"/>
    <n v="70"/>
    <s v="MoICT"/>
    <e v="#N/A"/>
    <s v="Capacity building in e-government; Training, skilling and capacity building in the Public Service"/>
    <n v="1"/>
    <n v="1"/>
    <n v="1"/>
    <n v="1"/>
    <n v="1"/>
    <n v="1"/>
    <n v="1"/>
    <n v="1"/>
    <n v="1"/>
    <m/>
    <n v="0"/>
    <n v="22"/>
    <n v="22"/>
    <n v="22"/>
    <n v="22"/>
    <n v="22"/>
    <n v="44"/>
    <s v="MoICT "/>
    <s v="020 Ministry of ICT and National Guidance-UBC "/>
    <m/>
  </r>
  <r>
    <x v="10"/>
    <x v="10"/>
    <n v="145"/>
    <s v="Business Process Re-engineering and Information Management"/>
    <n v="1455"/>
    <s v="Increase accountability and transparency in the delivery of services"/>
    <s v="144502"/>
    <s v="Design and implement electronic citizen (e-citizen) system "/>
    <s v="144502a"/>
    <s v="Develop a mechanism that links vital personal data systems"/>
    <s v="144502a01"/>
    <s v="Popularized, operationalized and enhanced e-Citizens portal"/>
    <s v="Number of public services offered online and accessed through e-citizens portal"/>
    <n v="102"/>
    <n v="100"/>
    <n v="105"/>
    <n v="115"/>
    <n v="120"/>
    <n v="122"/>
    <s v="NIRA, MoICT&amp;NG, NITA, OP, OPM, URA, MoH, MoES, Security Agencies, UBC"/>
    <e v="#N/A"/>
    <s v=" Conduct stakeholder engagements and provide technical support to MDA/LGs."/>
    <n v="1"/>
    <n v="1"/>
    <n v="1"/>
    <n v="1"/>
    <n v="1"/>
    <n v="1"/>
    <n v="1"/>
    <n v="1"/>
    <n v="1"/>
    <m/>
    <n v="0"/>
    <n v="0.39"/>
    <n v="0.39"/>
    <n v="0.39"/>
    <n v="0.39"/>
    <n v="0.39"/>
    <n v="0.78"/>
    <s v="NIRA"/>
    <s v="309 National Identification and Registration Authority (NIRA)"/>
    <s v="MoPS"/>
  </r>
  <r>
    <x v="10"/>
    <x v="10"/>
    <n v="145"/>
    <s v="Business Process Re-engineering and Information Management"/>
    <n v="1455"/>
    <s v="Increase accountability and transparency in the delivery of services"/>
    <s v="144502"/>
    <s v="Design and implement electronic citizen (e-citizen) system "/>
    <s v="144502a"/>
    <s v="Develop a mechanism that links vital personal data systems"/>
    <s v="144502a02"/>
    <s v="Integrated data sharing bus developed and implemented"/>
    <s v="Percent of MDAs and LGs utilizing the integration bus"/>
    <s v="-"/>
    <n v="20"/>
    <n v="30"/>
    <n v="40"/>
    <n v="60"/>
    <n v="70"/>
    <s v="NITA-U"/>
    <s v="126 National Information Technology Authority"/>
    <s v="Develop and operationalise the data sharing bus "/>
    <n v="1"/>
    <n v="1"/>
    <n v="1"/>
    <n v="1"/>
    <n v="1"/>
    <n v="1"/>
    <n v="1"/>
    <n v="1"/>
    <n v="1"/>
    <m/>
    <n v="0"/>
    <n v="8.1"/>
    <n v="4.8470000000000004"/>
    <n v="8.4770000000000003"/>
    <n v="0"/>
    <n v="0"/>
    <n v="17.265999999999998"/>
    <s v="NITA-U"/>
    <s v="126 National Information Technology Authority"/>
    <s v="N/A"/>
  </r>
  <r>
    <x v="10"/>
    <x v="10"/>
    <n v="145"/>
    <s v="Business Process Re-engineering and Information Management"/>
    <n v="1455"/>
    <s v="Increase accountability and transparency in the delivery of services"/>
    <s v="144503"/>
    <s v="Improve access to timely, accurate and comprehensible public information"/>
    <s v="144503a"/>
    <s v="Develop a common public data/information sharing platform"/>
    <s v="144503a01"/>
    <s v="Data and information sharing platform developed (e.g. radios and TV, websites, web portals, dashboards and social media platforms )"/>
    <s v="Access to information turnaround time (Time/Hours taken to get the required information)"/>
    <n v="0"/>
    <n v="48"/>
    <n v="38"/>
    <n v="18"/>
    <n v="8"/>
    <n v="4"/>
    <s v="MoICT "/>
    <e v="#N/A"/>
    <s v="Develop and operationalise the data and information sharing plat form "/>
    <n v="1"/>
    <n v="1"/>
    <n v="1"/>
    <n v="1"/>
    <n v="1"/>
    <n v="1"/>
    <n v="1"/>
    <n v="1"/>
    <n v="1"/>
    <m/>
    <n v="0"/>
    <n v="0.28000000000000003"/>
    <n v="0.28999999999999998"/>
    <n v="0.28999999999999998"/>
    <n v="0.28999999999999998"/>
    <n v="0.28999999999999998"/>
    <n v="0.57999999999999996"/>
    <s v="NITA-U"/>
    <s v="126 National Information Technology Authority"/>
    <s v="NITA-U, MoPS"/>
  </r>
  <r>
    <x v="10"/>
    <x v="10"/>
    <n v="145"/>
    <s v="Business Process Re-engineering and Information Management"/>
    <n v="1455"/>
    <s v="Increase accountability and transparency in the delivery of services"/>
    <s v="144503"/>
    <s v="Improve access to timely, accurate and comprehensible public information"/>
    <s v="144503a"/>
    <s v="Develop a common public data/information sharing platform"/>
    <s v="144503a03"/>
    <s v="Government Citizen Interaction Centres and Platforms maintained and responsive to information requests"/>
    <s v="% of public information requests made and Responded to in  timely manner"/>
    <m/>
    <n v="100"/>
    <n v="100"/>
    <n v="100"/>
    <n v="100"/>
    <n v="100"/>
    <s v="MoICT"/>
    <e v="#N/A"/>
    <s v="Government Citizen Interaction Centres and Platforms maintained and responsive to information requests e.g. GCIC and AskYourGov"/>
    <n v="1"/>
    <n v="1"/>
    <n v="0"/>
    <n v="1"/>
    <n v="1"/>
    <n v="0"/>
    <n v="1"/>
    <n v="1"/>
    <n v="0.75"/>
    <m/>
    <n v="0"/>
    <n v="0.1"/>
    <n v="0.1"/>
    <n v="0.1"/>
    <n v="0.1"/>
    <n v="0.1"/>
    <n v="0.2"/>
    <s v="MoICT "/>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a"/>
    <s v="Develop a common public data/information sharing platform"/>
    <s v="144503a05"/>
    <s v="Authentic key data sources integrated with URA data warehouse"/>
    <s v="Number of authentic key data sources integrated with URA Data Warehouse"/>
    <s v="-"/>
    <n v="5"/>
    <n v="5"/>
    <n v="5"/>
    <n v="5"/>
    <m/>
    <s v="URA"/>
    <s v="141 Uganda Revenue Authority"/>
    <s v="Develop and publicise the Compendium of Datasets in the Uganda Public Service"/>
    <n v="1"/>
    <n v="1"/>
    <n v="1"/>
    <n v="1"/>
    <n v="1"/>
    <n v="1"/>
    <n v="1"/>
    <n v="1"/>
    <n v="1"/>
    <m/>
    <n v="0"/>
    <n v="0.2"/>
    <n v="0.2"/>
    <n v="0.2"/>
    <n v="0"/>
    <n v="0"/>
    <n v="0.4"/>
    <s v="URA"/>
    <s v="141 Uganda Revenue Authority"/>
    <s v="UBOS"/>
  </r>
  <r>
    <x v="10"/>
    <x v="10"/>
    <n v="145"/>
    <s v="Business Process Re-engineering and Information Management"/>
    <n v="1455"/>
    <s v="Increase accountability and transparency in the delivery of services"/>
    <s v="144503"/>
    <s v="Improve access to timely, accurate and comprehensible public information"/>
    <s v="144503a"/>
    <s v="Develop a common public data/information sharing platform"/>
    <s v="144503a06"/>
    <s v="A comprehensive data management program developed and implemented"/>
    <s v="Government Web Portal Maintained and updated"/>
    <n v="1"/>
    <n v="1"/>
    <n v="1"/>
    <n v="1"/>
    <n v="1"/>
    <n v="1"/>
    <s v="NITA-U"/>
    <s v="126 National Information Technology Authority"/>
    <s v="Implement a Govt single-sign on for all common eService’s"/>
    <n v="1"/>
    <n v="1"/>
    <n v="1"/>
    <n v="1"/>
    <n v="1"/>
    <n v="1"/>
    <n v="1"/>
    <n v="1"/>
    <n v="1"/>
    <m/>
    <n v="0"/>
    <n v="0.2"/>
    <n v="0.2"/>
    <n v="0.2"/>
    <n v="0.2"/>
    <n v="0.2"/>
    <n v="0.4"/>
    <s v="NITA-U"/>
    <s v="126 National Information Technology Authority"/>
    <s v="NIRA"/>
  </r>
  <r>
    <x v="10"/>
    <x v="10"/>
    <n v="145"/>
    <s v="Business Process Re-engineering and Information Management"/>
    <n v="1455"/>
    <s v="Increase accountability and transparency in the delivery of services"/>
    <s v="144503"/>
    <s v="Improve access to timely, accurate and comprehensible public information"/>
    <s v="144503a"/>
    <s v="Develop a common public data/information sharing platform"/>
    <s v="144503a09"/>
    <s v="Integrated PKI for data and information sharing established"/>
    <s v="Percent of Govt eServices with shared authentication"/>
    <s v="-"/>
    <n v="10"/>
    <n v="20"/>
    <n v="30"/>
    <n v="40"/>
    <n v="50"/>
    <s v="NITA, NIRA"/>
    <e v="#N/A"/>
    <s v="Implement a Govt single-sign on for all common eService’s"/>
    <n v="1"/>
    <n v="1"/>
    <n v="1"/>
    <n v="1"/>
    <n v="1"/>
    <n v="1"/>
    <n v="1"/>
    <n v="1"/>
    <n v="1"/>
    <m/>
    <n v="0"/>
    <n v="0.2"/>
    <n v="0.2"/>
    <n v="0.2"/>
    <n v="0.2"/>
    <n v="0.2"/>
    <n v="0.4"/>
    <s v="NIRA"/>
    <s v="309 National Identification and Registration Authority (NIRA)"/>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1"/>
    <s v="Standards for information communication and dissemination reviewed"/>
    <s v="Number of standards of communicators and information disseminators on government business reviewed"/>
    <s v="-"/>
    <n v="3"/>
    <n v="5"/>
    <n v="7"/>
    <n v="10"/>
    <n v="13"/>
    <s v="MoICT&amp;NG, Uganda Media Centre, UBC, UCC, GCIC "/>
    <e v="#N/A"/>
    <s v="Review and enforce standards of communicators and information disseminators on government business"/>
    <n v="1"/>
    <n v="1"/>
    <n v="0"/>
    <n v="1"/>
    <n v="1"/>
    <n v="0"/>
    <n v="1"/>
    <n v="1"/>
    <n v="0.75"/>
    <m/>
    <n v="0"/>
    <n v="4.1500000000000004"/>
    <n v="4.3499999999999996"/>
    <n v="4.5599999999999996"/>
    <n v="4.75"/>
    <n v="5"/>
    <n v="9.75"/>
    <s v="MoICT&amp;NG"/>
    <s v="020 Ministry of ICT and National Guidance"/>
    <s v="N/A"/>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3"/>
    <s v="Content data on NDP III Planning, Implementation, and  performance monitoring and evaluation by various MDAs activities collected"/>
    <s v=" Number of content data sets on NDP III developed( Semi-Annual and Annual)"/>
    <m/>
    <n v="2"/>
    <n v="2"/>
    <n v="2"/>
    <n v="2"/>
    <n v="2"/>
    <s v="UBC"/>
    <e v="#N/A"/>
    <s v="Collection of content data on NDP III Planning, Implementation, and  performance monitoring and evaluation by various MDAs activities"/>
    <n v="1"/>
    <n v="1"/>
    <n v="1"/>
    <n v="1"/>
    <n v="1"/>
    <n v="1"/>
    <n v="1"/>
    <n v="1"/>
    <n v="1"/>
    <m/>
    <n v="0"/>
    <n v="4.1500000000000004"/>
    <n v="4.3499999999999996"/>
    <n v="4.5599999999999996"/>
    <n v="4.7"/>
    <n v="5.0119999999999996"/>
    <n v="9.7119999999999997"/>
    <s v="UBC"/>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4"/>
    <s v="MDAs NDP III digital content (documentaries, feature stories, talk shows, and promotion materials) developed and broadcast"/>
    <s v="Number of MDAs NDP III digital content (documentaries, feature stories, talk shows, and promotion materials) developed and broadcast"/>
    <m/>
    <n v="4"/>
    <n v="4"/>
    <n v="4"/>
    <n v="4"/>
    <n v="4"/>
    <s v="UBC"/>
    <e v="#N/A"/>
    <s v="Development and broadcasting MDAs NDP III digital content (documentaries, feature stories, talk shows, and promotion materials) "/>
    <n v="1"/>
    <n v="1"/>
    <n v="1"/>
    <n v="1"/>
    <n v="1"/>
    <n v="1"/>
    <n v="1"/>
    <n v="1"/>
    <n v="1"/>
    <m/>
    <n v="0"/>
    <n v="0.25"/>
    <n v="0.26"/>
    <n v="0.27"/>
    <n v="0.28000000000000003"/>
    <n v="0.3"/>
    <n v="0.58000000000000007"/>
    <s v="UBC"/>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5"/>
    <s v="Materials translated in selected languages"/>
    <s v="Sets of content for different audiences in English and other selected languages"/>
    <m/>
    <n v="4"/>
    <n v="4"/>
    <n v="4"/>
    <n v="4"/>
    <n v="4"/>
    <s v="UBC"/>
    <e v="#N/A"/>
    <s v="Select the languages and translate  the materials "/>
    <n v="1"/>
    <n v="1"/>
    <n v="1"/>
    <n v="1"/>
    <n v="1"/>
    <n v="1"/>
    <n v="1"/>
    <n v="1"/>
    <n v="1"/>
    <m/>
    <n v="0"/>
    <n v="0.25"/>
    <n v="0.3"/>
    <n v="0.35"/>
    <n v="0.4"/>
    <n v="0.45"/>
    <n v="0.85000000000000009"/>
    <s v="UBC"/>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7"/>
    <s v="MER strategy and system for for UBC and MDAs content development, broadcasting, promotion, and preservation activities formulated and operationalized"/>
    <s v="MER strategy and system for for UBC and MDAs content development, broadcasting, promotion, and preservation developed "/>
    <m/>
    <n v="1"/>
    <m/>
    <m/>
    <m/>
    <m/>
    <s v="UBC"/>
    <e v="#N/A"/>
    <s v=" Formulation of a monitoring, evaluation and reporting (MER) strategy and system for UBC and MDAs content development, broadcasting, promotion, and preservation activities"/>
    <n v="1"/>
    <n v="1"/>
    <n v="1"/>
    <n v="1"/>
    <n v="1"/>
    <n v="1"/>
    <n v="1"/>
    <n v="1"/>
    <n v="1"/>
    <m/>
    <n v="0"/>
    <n v="0.06"/>
    <m/>
    <m/>
    <n v="0.5"/>
    <m/>
    <n v="0"/>
    <s v="UBC"/>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7"/>
    <s v="MER strategy and system for for UBC and MDAs content development, broadcasting, promotion, and preservation activities formulated and operationalized"/>
    <s v="Number of Periodic M&amp;E reports on implementation of MER Strategy produced "/>
    <m/>
    <n v="4"/>
    <n v="4"/>
    <n v="4"/>
    <n v="4"/>
    <n v="4"/>
    <s v="UBC"/>
    <e v="#N/A"/>
    <s v="undertake periodic monitoring and evaluation of implementation of the MER strategy "/>
    <n v="1"/>
    <n v="1"/>
    <n v="0"/>
    <n v="1"/>
    <n v="1"/>
    <n v="1"/>
    <n v="1"/>
    <n v="1"/>
    <n v="0.875"/>
    <m/>
    <n v="0"/>
    <n v="0.05"/>
    <n v="0.05"/>
    <n v="0.05"/>
    <n v="0.32"/>
    <n v="0.05"/>
    <n v="0.1"/>
    <s v="UBC"/>
    <s v="020 Ministry of ICT and National Guidance-UBC "/>
    <m/>
  </r>
  <r>
    <x v="10"/>
    <x v="10"/>
    <n v="145"/>
    <s v="Business Process Re-engineering and Information Management"/>
    <n v="1455"/>
    <s v="Increase accountability and transparency in the delivery of services"/>
    <s v="144503"/>
    <s v="Improve access to timely, accurate and comprehensible public information"/>
    <s v="144503c"/>
    <s v="Review and enforce standards of communicators and information disseminators on government business"/>
    <s v="144503c07"/>
    <s v="MER strategy and system for for UBC and MDAs content development, broadcasting, promotion, and preservation activities formulated and operationalized"/>
    <s v="List of titles of preserved and archived content produced "/>
    <m/>
    <n v="1"/>
    <n v="1"/>
    <n v="1"/>
    <n v="1"/>
    <n v="1"/>
    <s v="UBC"/>
    <e v="#N/A"/>
    <s v=" Preservation and archiving of UBC and MDAs digital content"/>
    <n v="1"/>
    <n v="1"/>
    <n v="1"/>
    <n v="1"/>
    <n v="1"/>
    <n v="1"/>
    <n v="1"/>
    <n v="1"/>
    <n v="1"/>
    <m/>
    <n v="0"/>
    <n v="0.5"/>
    <n v="0.3"/>
    <n v="0.27"/>
    <n v="0.27"/>
    <n v="0.27"/>
    <n v="0.54"/>
    <s v="UBC"/>
    <s v="020 Ministry of ICT and National Guidance-UBC "/>
    <m/>
  </r>
  <r>
    <x v="11"/>
    <x v="11"/>
    <s v="10X"/>
    <s v="Government Commitments"/>
    <s v="10X"/>
    <s v="Provision for Government Commitments"/>
    <s v="10X"/>
    <s v="Government Commitments"/>
    <m/>
    <m/>
    <s v="10X"/>
    <s v="Government Commitments"/>
    <s v="-"/>
    <s v="-"/>
    <s v="-"/>
    <s v="-"/>
    <s v="-"/>
    <s v="-"/>
    <s v="-"/>
    <s v="-"/>
    <s v="-"/>
    <s v="Wage"/>
    <m/>
    <m/>
    <m/>
    <m/>
    <m/>
    <m/>
    <m/>
    <m/>
    <m/>
    <m/>
    <m/>
    <m/>
    <m/>
    <m/>
    <n v="4.5999999999999996"/>
    <n v="4.5999999999999996"/>
    <n v="9.1999999999999993"/>
    <m/>
    <m/>
    <m/>
  </r>
  <r>
    <x v="11"/>
    <x v="11"/>
    <s v="10X"/>
    <s v="Government Commitments"/>
    <s v="10X"/>
    <s v="Provision for Government Commitments"/>
    <s v="10X"/>
    <s v="Government Commitments"/>
    <m/>
    <m/>
    <s v="10X"/>
    <s v="Government Commitments"/>
    <s v="-"/>
    <s v="-"/>
    <s v="-"/>
    <s v="-"/>
    <s v="-"/>
    <s v="-"/>
    <s v="-"/>
    <s v="-"/>
    <s v="-"/>
    <s v="Non-Wage (Statutory)"/>
    <m/>
    <m/>
    <m/>
    <m/>
    <m/>
    <m/>
    <m/>
    <m/>
    <m/>
    <m/>
    <m/>
    <m/>
    <m/>
    <m/>
    <n v="1.8399999999999999"/>
    <n v="1.8399999999999999"/>
    <n v="3.6799999999999997"/>
    <m/>
    <m/>
    <m/>
  </r>
  <r>
    <x v="11"/>
    <x v="11"/>
    <s v="10X"/>
    <s v="Government Commitments"/>
    <s v="10X"/>
    <s v="Provision for Government Commitments"/>
    <s v="10X"/>
    <s v="Government Commitments"/>
    <m/>
    <m/>
    <s v="10X"/>
    <s v="Government Commitments"/>
    <s v="-"/>
    <s v="-"/>
    <s v="-"/>
    <s v="-"/>
    <s v="-"/>
    <s v="-"/>
    <s v="-"/>
    <s v="-"/>
    <s v="-"/>
    <s v="Multi-Year Commitments"/>
    <m/>
    <m/>
    <m/>
    <m/>
    <m/>
    <m/>
    <m/>
    <m/>
    <m/>
    <m/>
    <m/>
    <m/>
    <m/>
    <m/>
    <n v="147.68073173499999"/>
    <n v="53.648878082000003"/>
    <n v="201.32960981700001"/>
    <m/>
    <m/>
    <m/>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n v="0"/>
    <n v="10000"/>
    <n v="20000"/>
    <n v="30000"/>
    <n v="50000"/>
    <n v="100000"/>
    <s v="MoLHUD"/>
    <s v="012 Ministry of Lands, Housing &amp; Urban Development"/>
    <s v="Construction of Free Zone"/>
    <n v="1"/>
    <n v="0"/>
    <n v="1"/>
    <n v="1"/>
    <n v="1"/>
    <n v="1"/>
    <n v="0"/>
    <n v="1"/>
    <n v="0.75"/>
    <n v="0"/>
    <n v="1"/>
    <n v="0"/>
    <n v="0"/>
    <n v="0"/>
    <m/>
    <n v="0"/>
    <n v="0"/>
    <s v="MoTIC"/>
    <s v="015 Ministry of Trade, Industry and Cooperatives"/>
    <s v="UFZA, MoLHUD, MoGLSD"/>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Market &amp; attract Free Zones operators in labour intensive industries"/>
    <n v="1"/>
    <n v="0"/>
    <n v="0"/>
    <n v="1"/>
    <n v="0"/>
    <n v="0"/>
    <n v="1"/>
    <n v="1"/>
    <n v="0.5"/>
    <m/>
    <n v="0"/>
    <n v="0"/>
    <n v="0"/>
    <n v="0"/>
    <n v="0"/>
    <n v="0"/>
    <n v="0"/>
    <s v="MoTIC"/>
    <s v="015 Ministry of Trade, Industry and Cooperatives"/>
    <s v="UFZ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Train and sensitise free zone operators on standards to ensure consistency in the products exported."/>
    <n v="1"/>
    <n v="0"/>
    <n v="0"/>
    <n v="1"/>
    <n v="0"/>
    <n v="0"/>
    <n v="1"/>
    <n v="1"/>
    <n v="0.5"/>
    <m/>
    <n v="0"/>
    <n v="0"/>
    <n v="0"/>
    <n v="0"/>
    <n v="0"/>
    <n v="0"/>
    <n v="0"/>
    <s v="MoFPED (UFZA)"/>
    <s v="008 Ministry of Finance, Planning &amp; Economic Dev."/>
    <s v="MoTIC, MoGLSD"/>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Establish Export Business Accelerator in Public Free Zones."/>
    <n v="1"/>
    <n v="1"/>
    <n v="0"/>
    <n v="1"/>
    <n v="1"/>
    <n v="1"/>
    <n v="1"/>
    <n v="1"/>
    <n v="0.875"/>
    <m/>
    <n v="0"/>
    <n v="0"/>
    <n v="0"/>
    <n v="3"/>
    <n v="3"/>
    <n v="3"/>
    <n v="6"/>
    <s v="MoFPED (UFZA)"/>
    <s v="008 Ministry of Finance, Planning &amp; Economic Dev."/>
    <s v="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Link SMEs to free zones agro processors  for sub-contracting &amp; access to export markets"/>
    <n v="1"/>
    <n v="1"/>
    <n v="1"/>
    <n v="1"/>
    <n v="0"/>
    <n v="1"/>
    <n v="1"/>
    <n v="1"/>
    <n v="0.875"/>
    <m/>
    <n v="0"/>
    <n v="0"/>
    <n v="0"/>
    <n v="0"/>
    <n v="0.53"/>
    <n v="0.2"/>
    <n v="0.73"/>
    <s v="MoFPED (UFZA)"/>
    <s v="008 Ministry of Finance, Planning &amp; Economic Dev."/>
    <s v="MoKCC&amp;MA,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Develop Bankable projects for investment in value added sectors"/>
    <n v="0"/>
    <n v="0"/>
    <n v="0"/>
    <n v="1"/>
    <n v="0"/>
    <n v="1"/>
    <n v="0"/>
    <n v="1"/>
    <n v="0.375"/>
    <m/>
    <n v="0"/>
    <n v="0"/>
    <n v="0"/>
    <n v="0"/>
    <n v="0"/>
    <n v="0"/>
    <n v="0"/>
    <s v="MoFPED (UFZA)"/>
    <s v="008 Ministry of Finance, Planning &amp; Economic Dev."/>
    <s v="MoKCC&amp;MA,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Mapping local export clusters for production &amp; bulking of supply side for Free Zones"/>
    <n v="0"/>
    <n v="0"/>
    <n v="0"/>
    <n v="1"/>
    <n v="0"/>
    <n v="1"/>
    <n v="0"/>
    <n v="1"/>
    <n v="0.375"/>
    <m/>
    <n v="0"/>
    <n v="0"/>
    <n v="0"/>
    <n v="0"/>
    <n v="0"/>
    <n v="0"/>
    <n v="0"/>
    <s v="MoFPED (UFZA)"/>
    <s v="008 Ministry of Finance, Planning &amp; Economic Dev."/>
    <s v="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Develop climate change and environment sustainability plan for free zones"/>
    <n v="0"/>
    <n v="0"/>
    <n v="0"/>
    <n v="1"/>
    <n v="0"/>
    <n v="1"/>
    <n v="1"/>
    <n v="1"/>
    <n v="0.5"/>
    <m/>
    <n v="0"/>
    <n v="0"/>
    <n v="0"/>
    <n v="0"/>
    <n v="0"/>
    <n v="0"/>
    <n v="0"/>
    <s v="MWE"/>
    <s v="019 Ministry of Water and Environment"/>
    <s v="UFZA,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Supervision, Monitoring and facilitation of Free Zones"/>
    <n v="0"/>
    <n v="1"/>
    <n v="0"/>
    <n v="0"/>
    <n v="1"/>
    <n v="1"/>
    <n v="1"/>
    <n v="1"/>
    <n v="0.625"/>
    <m/>
    <n v="0"/>
    <n v="0"/>
    <n v="0.08"/>
    <n v="0.08"/>
    <n v="1"/>
    <n v="1"/>
    <n v="2"/>
    <s v="UIA"/>
    <s v="310 Uganda Investment Authority (UIA)"/>
    <s v="UFZA,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Support informal enterprises / street vendors to form associations"/>
    <n v="1"/>
    <n v="1"/>
    <n v="1"/>
    <n v="1"/>
    <n v="1"/>
    <n v="1"/>
    <n v="1"/>
    <n v="1"/>
    <n v="1"/>
    <m/>
    <n v="0"/>
    <n v="0"/>
    <n v="2"/>
    <n v="2"/>
    <n v="2"/>
    <n v="2"/>
    <n v="4"/>
    <s v="MoKCC&amp;MA"/>
    <s v="024 Minstry of Kampala Capital City and Metropolitan Affairs"/>
    <s v="OWC, MoGLSD,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Establish business engagement centers/incubators at KCCA and all the GKMA LGs"/>
    <n v="0"/>
    <n v="1"/>
    <n v="1"/>
    <n v="1"/>
    <n v="1"/>
    <n v="1"/>
    <n v="1"/>
    <n v="0"/>
    <n v="0.75"/>
    <m/>
    <n v="0"/>
    <n v="0"/>
    <n v="4.5999999999999996"/>
    <n v="4.5999999999999996"/>
    <n v="5"/>
    <n v="5"/>
    <n v="10"/>
    <s v="MoKCC&amp;MA"/>
    <s v="024 Minstry of Kampala Capital City and Metropolitan Affairs"/>
    <s v="OWC, MoGLSD,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Undertake feasibility study, project design, preparation for the development of Artisan Parks in GKMA, namely Mpigi, Wakiso, KCCA &amp; Mukono district "/>
    <n v="0"/>
    <n v="0"/>
    <n v="0"/>
    <n v="1"/>
    <n v="1"/>
    <n v="1"/>
    <n v="0"/>
    <n v="0"/>
    <n v="0.375"/>
    <m/>
    <n v="0"/>
    <n v="0"/>
    <n v="0.5"/>
    <n v="0.3"/>
    <m/>
    <n v="0"/>
    <n v="0"/>
    <s v="MoKCC&amp;MA"/>
    <s v="024 Minstry of Kampala Capital City and Metropolitan Affairs"/>
    <s v="OWC, MoGLSD,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Create spaces for informal enterprises in existing markets"/>
    <n v="1"/>
    <n v="1"/>
    <n v="1"/>
    <n v="1"/>
    <n v="1"/>
    <n v="1"/>
    <n v="1"/>
    <n v="1"/>
    <n v="1"/>
    <m/>
    <n v="0"/>
    <n v="0"/>
    <n v="0"/>
    <n v="0"/>
    <n v="0"/>
    <n v="0"/>
    <n v="0"/>
    <s v="MoKCC&amp;MA"/>
    <s v="024 Minstry of Kampala Capital City and Metropolitan Affairs"/>
    <s v="MoGLSD,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Organize Monthly Market Days – In addition to the weekly gazzeted street markets.  "/>
    <n v="1"/>
    <n v="1"/>
    <n v="1"/>
    <n v="1"/>
    <n v="1"/>
    <n v="1"/>
    <n v="1"/>
    <n v="1"/>
    <n v="1"/>
    <m/>
    <n v="0"/>
    <n v="0"/>
    <n v="0.5"/>
    <n v="0.5"/>
    <n v="1"/>
    <n v="2"/>
    <n v="3"/>
    <s v="MoKCC&amp;MA"/>
    <s v="024 Minstry of Kampala Capital City and Metropolitan Affairs"/>
    <s v="MoGLSD,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Undertake baseline study  / profiling to establish  decent working conditions in available jobs"/>
    <n v="0"/>
    <n v="0"/>
    <n v="0"/>
    <n v="1"/>
    <n v="1"/>
    <n v="0"/>
    <n v="0"/>
    <n v="0"/>
    <n v="0.25"/>
    <m/>
    <n v="0"/>
    <n v="0"/>
    <n v="0"/>
    <n v="0"/>
    <n v="0"/>
    <n v="0"/>
    <n v="0"/>
    <s v="MoGLSD"/>
    <s v="018 Ministry of Gender, Labour and Social Development"/>
    <s v="MoKCC&amp;MA, MoTIC"/>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Develop and disseminate Guidelines on gender, equity, rights, culture, youth employment  and Occupational Safety and Health (OSH) in formal and informal workplaces"/>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Conduct bi-annual awareness campaigns on gender, equity, rights, culture, youth employment  and Occupational Safety and Health (OSH) in formal and informal workplaces"/>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Undertake implementation of gender, equity, rights, culture, youth employment  and Occupational Safety and Health (OSH) related legislation in cities and urban areas"/>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Recruit qualified technical staff on gender, equity, rights, culture, youth employment  and Occupational Safety and Health (OSH)"/>
    <n v="0"/>
    <n v="0"/>
    <n v="1"/>
    <n v="1"/>
    <n v="0"/>
    <n v="0"/>
    <n v="0"/>
    <n v="0"/>
    <n v="0.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Carryout quarterly trainings and sensitizations about gender, equity, rights, culture, youth employment  and Occupational Safety and Health (OSH) in the cities and urban area workplaces"/>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Conduct stakeholder analysis in the business development centres to assess aspects of gender, equity, rights, culture, youth employment  and Occupational Safety and Health (OSH)  "/>
    <n v="0"/>
    <n v="0"/>
    <n v="0"/>
    <n v="1"/>
    <n v="0"/>
    <n v="0"/>
    <n v="0"/>
    <n v="0"/>
    <n v="0.125"/>
    <m/>
    <n v="0"/>
    <n v="0"/>
    <n v="0"/>
    <n v="0"/>
    <n v="0"/>
    <n v="0"/>
    <n v="0"/>
    <s v="MoGLSD"/>
    <s v="018 Ministry of Gender, Labour and Social Development"/>
    <s v="MoKCC&amp;M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Undertake SWOT analysis of the MoGLSD with all its departments, programs and projects in regard to gender, equity, rights,  labour productivity, industrial relations, employment, culture, family affairs  and Occupational Safety and Health (OSH)"/>
    <n v="0"/>
    <n v="0"/>
    <n v="0"/>
    <n v="1"/>
    <n v="0"/>
    <n v="0"/>
    <n v="0"/>
    <n v="0"/>
    <n v="0.1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Map up OSH champions in the business development centres across the country and utilize them to help others  improve their OSH systems"/>
    <n v="0"/>
    <n v="0"/>
    <n v="0"/>
    <n v="1"/>
    <n v="0"/>
    <n v="0"/>
    <n v="0"/>
    <n v="0"/>
    <n v="0.125"/>
    <m/>
    <n v="0"/>
    <n v="0"/>
    <n v="0"/>
    <n v="0"/>
    <n v="0"/>
    <n v="0"/>
    <n v="0"/>
    <s v="MoGLSD"/>
    <s v="018 Ministry of Gender, Labour and Social Development"/>
    <s v="MoKCC&amp;M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Carryout trainings on gender, equity, rights,  labour productivity, industrial relations, employment, culture, family affairs  and Occupational Safety and Health (OSH)"/>
    <n v="0"/>
    <n v="0"/>
    <n v="0"/>
    <n v="1"/>
    <n v="0"/>
    <n v="0"/>
    <n v="0"/>
    <n v="0"/>
    <n v="0.1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Undertake baseline study   to establish  the gender, equity, rights, culture, youth employment in urban areas"/>
    <n v="0"/>
    <n v="0"/>
    <n v="0"/>
    <n v="1"/>
    <n v="0"/>
    <n v="0"/>
    <n v="0"/>
    <n v="0"/>
    <n v="0.125"/>
    <m/>
    <n v="0"/>
    <n v="0"/>
    <n v="0"/>
    <n v="0"/>
    <n v="0"/>
    <n v="0"/>
    <n v="0"/>
    <s v="MoGLSD"/>
    <s v="018 Ministry of Gender, Labour and Social Development"/>
    <s v="N/A"/>
  </r>
  <r>
    <x v="11"/>
    <x v="11"/>
    <n v="101"/>
    <s v="Physical Planning and Urbanization "/>
    <s v="1011"/>
    <s v="Enhance economic opportunities in cities and urban areas"/>
    <s v="101101"/>
    <s v="Support establishment of labor-intensive manufacturing, services, and projects for employment creation including development of bankable business plans"/>
    <m/>
    <m/>
    <s v="10110101"/>
    <s v="Jobs created "/>
    <s v="Number of labor-intensive jobs created "/>
    <m/>
    <m/>
    <m/>
    <m/>
    <m/>
    <m/>
    <s v="MoLHUD"/>
    <s v="012 Ministry of Lands, Housing &amp; Urban Development"/>
    <s v="Develop and disseminate Guidelines on mainstreaming gender, equity, rights, culture, youth employment  and Occupational Safety and Health (OSH) in the cities and urban areas"/>
    <n v="0"/>
    <n v="0"/>
    <n v="0"/>
    <n v="1"/>
    <n v="0"/>
    <n v="0"/>
    <n v="0"/>
    <n v="0"/>
    <n v="0.125"/>
    <m/>
    <n v="0"/>
    <n v="0"/>
    <n v="0"/>
    <n v="0"/>
    <n v="0"/>
    <n v="0"/>
    <n v="0"/>
    <s v="MoGLSD"/>
    <s v="018 Ministry of Gender, Labour and Social Development"/>
    <s v="N/A"/>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Skilling and entrepreneurship development centres upgraded "/>
    <m/>
    <m/>
    <m/>
    <m/>
    <m/>
    <m/>
    <s v="MoE&amp;S"/>
    <e v="#N/A"/>
    <s v="Upgrade skilling and entrepreneurship centers in 16 cities with curriculum and infrastructure also catering for  aspects of gender, equity, youth and women employment, Occupational Safety and Health (OSH) responsiveness"/>
    <n v="1"/>
    <n v="1"/>
    <n v="1"/>
    <n v="1"/>
    <n v="0"/>
    <n v="1"/>
    <n v="1"/>
    <n v="1"/>
    <n v="0.875"/>
    <m/>
    <n v="0"/>
    <n v="0"/>
    <n v="0"/>
    <n v="0"/>
    <m/>
    <n v="0.1"/>
    <n v="0.1"/>
    <s v="MoGLSD"/>
    <s v="018 Ministry of Gender, Labour and Social Development"/>
    <s v="MoKCC&amp;MA"/>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Skilling and entrepreneurship development centres upgraded "/>
    <m/>
    <m/>
    <m/>
    <m/>
    <m/>
    <m/>
    <s v="MoE&amp;S"/>
    <e v="#N/A"/>
    <s v="Create STEi Incubation Centres"/>
    <n v="1"/>
    <n v="0"/>
    <n v="0"/>
    <n v="0"/>
    <n v="0"/>
    <n v="0"/>
    <n v="1"/>
    <n v="0"/>
    <n v="0.25"/>
    <m/>
    <n v="0"/>
    <n v="0"/>
    <n v="0"/>
    <n v="0"/>
    <n v="0"/>
    <n v="0"/>
    <n v="0"/>
    <s v="UIA"/>
    <s v="310 Uganda Investment Authority (UIA)"/>
    <s v="MoKCC&amp;MA, UIA, MoGLSD"/>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Skilling and entrepreneurship development centres upgraded "/>
    <m/>
    <m/>
    <m/>
    <m/>
    <m/>
    <m/>
    <s v="MoE&amp;S"/>
    <e v="#N/A"/>
    <s v="Facilitate apprentice accessing Jobs and Profiled and ready for job market"/>
    <n v="0"/>
    <n v="0"/>
    <n v="1"/>
    <n v="1"/>
    <n v="0"/>
    <n v="1"/>
    <n v="1"/>
    <n v="0"/>
    <n v="0.5"/>
    <m/>
    <n v="0"/>
    <n v="0"/>
    <n v="0"/>
    <n v="0"/>
    <n v="0"/>
    <n v="0"/>
    <n v="0"/>
    <s v="UIA"/>
    <s v="310 Uganda Investment Authority (UIA)"/>
    <s v="MoKCC&amp;MA, UIA, MoGLSD"/>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Skilling and entrepreneurship development centres upgraded "/>
    <m/>
    <m/>
    <m/>
    <m/>
    <m/>
    <m/>
    <s v="MoE&amp;S"/>
    <e v="#N/A"/>
    <s v="Skill and certify entrepreneurs in 15 cities, with curriculum "/>
    <n v="0"/>
    <n v="0"/>
    <n v="0"/>
    <n v="1"/>
    <n v="0"/>
    <n v="0"/>
    <n v="1"/>
    <n v="0"/>
    <n v="0.25"/>
    <m/>
    <n v="0"/>
    <n v="0"/>
    <n v="0"/>
    <n v="0"/>
    <n v="0"/>
    <n v="0"/>
    <n v="0"/>
    <s v="MoGLSD"/>
    <s v="018 Ministry of Gender, Labour and Social Development"/>
    <s v="MoKCC&amp;MA, MoGLSD, MoTIC"/>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Skilling and entrepreneurship development centres upgraded "/>
    <m/>
    <m/>
    <m/>
    <m/>
    <m/>
    <m/>
    <s v="MoE&amp;S"/>
    <e v="#N/A"/>
    <s v="undertake gender, equity, rights, culture, youth employment  and OSH related legislation (Acts, regulations and policies) through targeted inspections and annual Audits in various skilling and entrepreneurship centers in 16 cities"/>
    <n v="0"/>
    <n v="0"/>
    <n v="0"/>
    <n v="1"/>
    <n v="0"/>
    <n v="0"/>
    <n v="1"/>
    <n v="0"/>
    <n v="0.25"/>
    <m/>
    <n v="0"/>
    <n v="0"/>
    <n v="0"/>
    <n v="0"/>
    <n v="0"/>
    <n v="0"/>
    <n v="0"/>
    <s v="MoGLSD"/>
    <s v="018 Ministry of Gender, Labour and Social Development"/>
    <s v="MoKCC&amp;MA, MoGLSD"/>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people skilled and certified in urban and housing related fields"/>
    <m/>
    <m/>
    <m/>
    <m/>
    <m/>
    <m/>
    <s v="MoE&amp;S"/>
    <e v="#N/A"/>
    <s v="Promote the establishment of training institutions for OSH at tertiary education levels"/>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2"/>
    <s v="Upgrade accredited institutions to offer certified skilling, entrepreneurship and incubation development in sustainable urbanization and housing related fields"/>
    <m/>
    <m/>
    <s v="10110201"/>
    <s v="Skilling and entrepreneurship development centres upgraded in urban areas"/>
    <s v="Number of people skilled and certified in urban and housing related fields"/>
    <m/>
    <m/>
    <m/>
    <m/>
    <m/>
    <m/>
    <s v="MoE&amp;S"/>
    <e v="#N/A"/>
    <s v="Integrate OSH education in the curricula of primary, secondary and tertiary institutions of learning"/>
    <n v="0"/>
    <n v="0"/>
    <n v="0"/>
    <n v="1"/>
    <n v="0"/>
    <n v="0"/>
    <n v="1"/>
    <n v="0"/>
    <n v="0.25"/>
    <m/>
    <n v="0"/>
    <n v="0"/>
    <n v="0"/>
    <n v="0"/>
    <n v="0"/>
    <n v="0"/>
    <n v="0"/>
    <s v="MoGLSD"/>
    <s v="018 Ministry of Gender, Labour and Social Development"/>
    <s v="N/A"/>
  </r>
  <r>
    <x v="11"/>
    <x v="11"/>
    <n v="101"/>
    <s v="Physical Planning and Urbanization "/>
    <s v="1011"/>
    <s v="Enhance economic opportunities in cities and urban areas"/>
    <s v="101103"/>
    <s v="Reform and improve business processes in cities and urban areas to facilitate private sector development"/>
    <m/>
    <m/>
    <s v="10110301"/>
    <s v="Integrated revenue management &amp; administration system deployed"/>
    <s v="Number of cities and Municipalities using the system"/>
    <n v="3"/>
    <n v="3"/>
    <n v="3"/>
    <n v="3"/>
    <n v="3"/>
    <n v="3"/>
    <s v="MoLHUD"/>
    <s v="012 Ministry of Lands, Housing &amp; Urban Development"/>
    <s v="Roll out the integrated revenue management and administration system"/>
    <n v="1"/>
    <n v="1"/>
    <n v="0"/>
    <n v="1"/>
    <n v="1"/>
    <n v="1"/>
    <n v="1"/>
    <n v="1"/>
    <n v="0.875"/>
    <m/>
    <n v="0"/>
    <n v="0"/>
    <n v="0"/>
    <n v="0"/>
    <n v="2"/>
    <n v="1"/>
    <n v="3"/>
    <s v="MoLHUD"/>
    <s v="012 Ministry of Lands, Housing &amp; Urban Development"/>
    <s v="NITA-U, MoKCC&amp;MA"/>
  </r>
  <r>
    <x v="11"/>
    <x v="11"/>
    <n v="101"/>
    <s v="Physical Planning and Urbanization "/>
    <s v="1011"/>
    <s v="Enhance economic opportunities in cities and urban areas"/>
    <s v="101103"/>
    <s v="Reform and improve business processes in cities and urban areas to facilitate private sector development"/>
    <m/>
    <m/>
    <s v="10110301"/>
    <s v="Integrated revenue management &amp; administration system deployed"/>
    <s v="Number of cities and Municipalities using the system"/>
    <m/>
    <m/>
    <m/>
    <m/>
    <m/>
    <m/>
    <s v="MoLHUD"/>
    <s v="012 Ministry of Lands, Housing &amp; Urban Development"/>
    <s v="Develop and implement the E-governance frameworks"/>
    <n v="1"/>
    <n v="1"/>
    <n v="0"/>
    <n v="1"/>
    <n v="1"/>
    <n v="1"/>
    <n v="1"/>
    <n v="1"/>
    <n v="0.875"/>
    <m/>
    <n v="0"/>
    <n v="0"/>
    <n v="0"/>
    <n v="0"/>
    <n v="0.2"/>
    <n v="0.2"/>
    <n v="0.4"/>
    <s v="MoLHUD"/>
    <s v="012 Ministry of Lands, Housing &amp; Urban Development"/>
    <s v="NITA-U, MoKCC&amp;MA"/>
  </r>
  <r>
    <x v="11"/>
    <x v="11"/>
    <n v="101"/>
    <s v="Physical Planning and Urbanization "/>
    <s v="1011"/>
    <s v="Enhance economic opportunities in cities and urban areas"/>
    <s v="101103"/>
    <s v="Reform and improve business processes in cities and urban areas to facilitate private sector development"/>
    <m/>
    <m/>
    <s v="10110301"/>
    <s v="Integrated revenue management &amp; administration system deployed"/>
    <s v="Number of cities and Municipalities using the system"/>
    <m/>
    <m/>
    <m/>
    <m/>
    <m/>
    <m/>
    <s v="MoLHUD"/>
    <s v="012 Ministry of Lands, Housing &amp; Urban Development"/>
    <s v="Empower LGs on the use of integrated revenue management &amp; administration system, expand TREP activities to cover every municipality and retool with computers, printers and other facilities"/>
    <n v="1"/>
    <n v="1"/>
    <n v="0"/>
    <n v="1"/>
    <n v="1"/>
    <n v="1"/>
    <n v="1"/>
    <n v="1"/>
    <n v="0.875"/>
    <m/>
    <n v="0"/>
    <n v="0"/>
    <n v="0"/>
    <n v="0"/>
    <n v="1"/>
    <n v="1"/>
    <n v="2"/>
    <s v="URA"/>
    <s v="141 Uganda Revenue Authority"/>
    <s v="NITA-U, MoKCC&amp;MA"/>
  </r>
  <r>
    <x v="11"/>
    <x v="11"/>
    <n v="101"/>
    <s v="Physical Planning and Urbanization "/>
    <s v="1011"/>
    <s v="Enhance economic opportunities in cities and urban areas"/>
    <s v="101103"/>
    <s v="Reform and improve business processes in cities and urban areas to facilitate private sector development"/>
    <m/>
    <m/>
    <s v="10110302"/>
    <s v="PPP implementation strategy"/>
    <s v="Number of Urban Authorities with PPP action plans"/>
    <n v="0"/>
    <n v="15"/>
    <n v="30"/>
    <n v="60"/>
    <n v="80"/>
    <n v="100"/>
    <s v="MoLHUD"/>
    <s v="012 Ministry of Lands, Housing &amp; Urban Development"/>
    <s v="Develop PPP implementation strategy for urban authorities"/>
    <n v="1"/>
    <n v="0"/>
    <n v="0"/>
    <n v="1"/>
    <n v="1"/>
    <n v="1"/>
    <n v="1"/>
    <n v="1"/>
    <n v="0.75"/>
    <m/>
    <n v="0"/>
    <n v="0"/>
    <n v="0.4"/>
    <n v="0.3"/>
    <n v="0.55000000000000004"/>
    <n v="0.1"/>
    <n v="0.65"/>
    <s v="MoLHUD"/>
    <s v="012 Ministry of Lands, Housing &amp; Urban Development"/>
    <s v="OWC, MoKCC&amp;MA, MoGLSD, MoFPED"/>
  </r>
  <r>
    <x v="11"/>
    <x v="11"/>
    <n v="101"/>
    <s v="Physical Planning and Urbanization "/>
    <s v="1011"/>
    <s v="Enhance economic opportunities in cities and urban areas"/>
    <s v="101103"/>
    <s v="Reform and improve business processes in cities and urban areas to facilitate private sector development"/>
    <m/>
    <m/>
    <s v="10110302"/>
    <s v="PPP implementation strategy"/>
    <s v="Number of Urban Authorities with PPP action plans"/>
    <m/>
    <m/>
    <m/>
    <m/>
    <m/>
    <m/>
    <s v="MoLHUD"/>
    <s v="012 Ministry of Lands, Housing &amp; Urban Development"/>
    <s v="Develop &amp; Implemenet individual city investment profiles &amp; bankable projects"/>
    <n v="1"/>
    <n v="0"/>
    <n v="0"/>
    <n v="1"/>
    <n v="1"/>
    <n v="0"/>
    <n v="1"/>
    <n v="1"/>
    <n v="0.625"/>
    <m/>
    <n v="0"/>
    <n v="1.5"/>
    <n v="1.5"/>
    <n v="1.5"/>
    <n v="1.5"/>
    <n v="1.1499999999999999"/>
    <n v="2.65"/>
    <s v="UIA"/>
    <s v="310 Uganda Investment Authority (UIA)"/>
    <s v="OWC, MoLHUD, MoTIC"/>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Number of cities with mass rapid transport master plan"/>
    <n v="0"/>
    <n v="4"/>
    <n v="7"/>
    <n v="10"/>
    <n v="15"/>
    <n v="0"/>
    <s v="MoLHUD"/>
    <s v="012 Ministry of Lands, Housing &amp; Urban Development"/>
    <s v="Prepare city mass rapid transport master plans"/>
    <n v="1"/>
    <n v="0"/>
    <n v="0"/>
    <n v="1"/>
    <n v="0"/>
    <n v="0"/>
    <n v="1"/>
    <n v="0"/>
    <n v="0.375"/>
    <m/>
    <n v="0"/>
    <n v="0"/>
    <n v="3.7"/>
    <n v="0"/>
    <n v="0"/>
    <n v="0"/>
    <n v="0"/>
    <s v="MoWT"/>
    <s v="016 Ministry of Works and Transport"/>
    <s v="MoKCC&amp;MA, MoLHUD,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Number of cities with mass rapid transport master plan"/>
    <m/>
    <m/>
    <m/>
    <m/>
    <m/>
    <m/>
    <s v="MoLHUD"/>
    <s v="012 Ministry of Lands, Housing &amp; Urban Development"/>
    <s v="Construct and improve urban infrastructure i.e. Urban Roads and related infrastructure"/>
    <n v="1"/>
    <n v="1"/>
    <n v="1"/>
    <n v="1"/>
    <n v="1"/>
    <n v="1"/>
    <n v="1"/>
    <n v="1"/>
    <n v="1"/>
    <m/>
    <n v="0"/>
    <n v="150"/>
    <n v="150"/>
    <n v="158.33333300000001"/>
    <n v="10"/>
    <n v="10"/>
    <n v="20"/>
    <s v="MoLHUD"/>
    <s v="012 Ministry of Lands, Housing &amp; Urban Development"/>
    <s v="MoWT, UNRA, MKCC&amp;MA,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Functional Light Railway Transport"/>
    <s v="-"/>
    <n v="0"/>
    <n v="0"/>
    <n v="0"/>
    <n v="0"/>
    <n v="1"/>
    <s v="MoWT"/>
    <s v="016 Ministry of Works and Transport"/>
    <s v="Implement light railway transport"/>
    <n v="1"/>
    <n v="1"/>
    <n v="1"/>
    <n v="0"/>
    <n v="0"/>
    <n v="0"/>
    <n v="1"/>
    <n v="0"/>
    <n v="0.5"/>
    <m/>
    <n v="0"/>
    <n v="0"/>
    <n v="0"/>
    <n v="0"/>
    <m/>
    <n v="0"/>
    <n v="0"/>
    <s v="MoWT"/>
    <s v="016 Ministry of Works and Transport"/>
    <s v="MoKCC&amp;MA, MoLHUD,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Functional Mass Bus Transport"/>
    <s v="-"/>
    <n v="0"/>
    <n v="0"/>
    <n v="0"/>
    <n v="0"/>
    <n v="1"/>
    <s v="MoWT"/>
    <s v="016 Ministry of Works and Transport"/>
    <s v="Construction of bus terminals"/>
    <n v="1"/>
    <n v="1"/>
    <n v="1"/>
    <n v="0"/>
    <n v="0"/>
    <n v="0"/>
    <n v="1"/>
    <n v="0"/>
    <n v="0.5"/>
    <m/>
    <n v="0"/>
    <n v="0"/>
    <n v="0"/>
    <n v="0"/>
    <n v="0"/>
    <n v="0"/>
    <n v="0"/>
    <s v="MoWT"/>
    <s v="016 Ministry of Works and Transport"/>
    <s v="MoKCC&amp;MA, MoLHUD,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Functional Mass Bus Transport"/>
    <m/>
    <m/>
    <m/>
    <m/>
    <m/>
    <m/>
    <m/>
    <e v="#N/A"/>
    <s v="Feasibility study and design for phase 1 - Bus Rapid Transit (BRT) key Corridors- City centre Circuit; Bwaise, Kireka-Mukono, Kalerwe &amp; Entebbe Road"/>
    <n v="0"/>
    <n v="0"/>
    <n v="0"/>
    <n v="1"/>
    <n v="0"/>
    <n v="1"/>
    <n v="1"/>
    <n v="0"/>
    <n v="0.375"/>
    <m/>
    <n v="0"/>
    <n v="0"/>
    <n v="0"/>
    <n v="0"/>
    <n v="0"/>
    <n v="0"/>
    <n v="0"/>
    <s v="MoWT"/>
    <s v="016 Ministry of Works and Transport"/>
    <s v="MoKCC&amp;MA, MoLHUD,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Functional Mass Bus Transport"/>
    <m/>
    <m/>
    <m/>
    <m/>
    <m/>
    <m/>
    <m/>
    <e v="#N/A"/>
    <s v="Develop BRT system: Pilot the Bus Rapid Transit (BRT) key Corridors- City centre Circuit; Bwaise, Kireka-Mukono, Kalerwe &amp; Entebbe Road"/>
    <n v="1"/>
    <n v="1"/>
    <n v="0"/>
    <n v="0"/>
    <n v="0"/>
    <n v="1"/>
    <n v="1"/>
    <n v="1"/>
    <n v="0.625"/>
    <m/>
    <n v="0"/>
    <n v="0"/>
    <n v="0"/>
    <n v="0"/>
    <n v="0"/>
    <n v="0"/>
    <n v="0"/>
    <s v="MoWT"/>
    <s v="016 Ministry of Works and Transport"/>
    <s v="MoKCC&amp;MA, MoLHUD, MoLG"/>
  </r>
  <r>
    <x v="11"/>
    <x v="11"/>
    <n v="101"/>
    <s v="Physical Planning and Urbanization "/>
    <s v="1011"/>
    <s v="Enhance economic opportunities in cities and urban areas"/>
    <s v="101104"/>
    <s v="Develop and implement an integrated rapid mass transport system (Light Railway Transport and Mass Bus Transport) to reduce traffic congestion and improve connectivity in urban areas"/>
    <m/>
    <m/>
    <s v="10110401"/>
    <s v="Mass rapid transport system in place"/>
    <s v="Functional Mass Bus Transport"/>
    <m/>
    <m/>
    <m/>
    <m/>
    <m/>
    <m/>
    <m/>
    <e v="#N/A"/>
    <s v="Develop and disseminate Guidelines on mainstreaming gender, equity, rights, culture, youth employment  and Occupational Safety and Health (OSH) into the master plans of  all public transport systems as workplaces,  including small and medium scale transporters and the informal sector in the 16 cities and urban areas"/>
    <n v="0"/>
    <n v="0"/>
    <n v="0"/>
    <n v="1"/>
    <n v="0"/>
    <n v="0"/>
    <n v="0"/>
    <n v="0"/>
    <n v="0.125"/>
    <m/>
    <n v="0"/>
    <n v="0"/>
    <n v="0.3"/>
    <n v="0.2"/>
    <m/>
    <m/>
    <n v="0"/>
    <s v="MoGLSD"/>
    <s v="018 Ministry of Gender, Labour and Social Development"/>
    <s v="MoKCC&amp;MA, MoTIC"/>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1"/>
    <s v="Access to safe water"/>
    <s v="Percentage coverage of access to safe water"/>
    <n v="79.099999999999994"/>
    <n v="83"/>
    <n v="88"/>
    <n v="94"/>
    <n v="98"/>
    <n v="100"/>
    <s v="MoLHUD"/>
    <s v="012 Ministry of Lands, Housing &amp; Urban Development"/>
    <s v="Provide adequate water for commercial and industrial use in all cities"/>
    <n v="1"/>
    <n v="1"/>
    <n v="1"/>
    <n v="0"/>
    <n v="0"/>
    <n v="0"/>
    <n v="1"/>
    <n v="1"/>
    <n v="0.625"/>
    <m/>
    <n v="0"/>
    <n v="0"/>
    <n v="0"/>
    <n v="0"/>
    <n v="0"/>
    <n v="0"/>
    <n v="0"/>
    <s v="MWE"/>
    <s v="019 Ministry of Water and Environment"/>
    <s v="MoLHUD, MoLG"/>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n v="45"/>
    <n v="50"/>
    <n v="56"/>
    <n v="64"/>
    <n v="70"/>
    <n v="75"/>
    <s v="MoLHUD"/>
    <s v="012 Ministry of Lands, Housing &amp; Urban Development"/>
    <s v="Develop the public sewerage systems in the 16 cities and other Urban areas"/>
    <n v="1"/>
    <n v="1"/>
    <n v="0"/>
    <n v="0"/>
    <n v="0"/>
    <n v="0"/>
    <n v="1"/>
    <n v="1"/>
    <n v="0.5"/>
    <m/>
    <n v="0"/>
    <n v="0"/>
    <n v="0"/>
    <n v="0"/>
    <n v="0"/>
    <n v="0"/>
    <n v="0"/>
    <s v="MWE"/>
    <s v="019 Ministry of Water and Environment"/>
    <s v="MoKCC&amp;MA, MoLHUD, MoLG"/>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Develop public sewage system"/>
    <n v="0"/>
    <n v="0"/>
    <n v="0"/>
    <n v="0"/>
    <n v="0"/>
    <n v="0"/>
    <n v="0"/>
    <n v="0"/>
    <n v="0"/>
    <m/>
    <n v="0"/>
    <n v="0"/>
    <n v="0"/>
    <n v="0"/>
    <n v="0"/>
    <n v="0"/>
    <n v="0"/>
    <s v="MWE"/>
    <s v="019 Ministry of Water and Environment"/>
    <s v="MoKCC&amp;MA, MoLHUD, MoLG"/>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Implement the ‘4R’ - Reuse, reduce, recycle, recover in both residential and commercial settings"/>
    <n v="1"/>
    <n v="1"/>
    <n v="1"/>
    <n v="1"/>
    <n v="0"/>
    <n v="1"/>
    <n v="1"/>
    <n v="1"/>
    <n v="0.875"/>
    <m/>
    <n v="0"/>
    <n v="0"/>
    <n v="0"/>
    <n v="0"/>
    <n v="0"/>
    <n v="0"/>
    <n v="0"/>
    <s v="MWE"/>
    <s v="019 Ministry of Water and Environment"/>
    <s v="MoKCC&amp;MA, MoLHUD, MoLG"/>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Develop solid waste and waste-water treatment plants  "/>
    <n v="1"/>
    <n v="0"/>
    <n v="1"/>
    <n v="0"/>
    <n v="0"/>
    <n v="1"/>
    <n v="1"/>
    <n v="1"/>
    <n v="0.625"/>
    <m/>
    <n v="0"/>
    <n v="0"/>
    <n v="0"/>
    <n v="0"/>
    <n v="0"/>
    <n v="0"/>
    <n v="0"/>
    <s v="MWE"/>
    <s v="019 Ministry of Water and Environment"/>
    <s v="MoKCC&amp;MA, MoLHUD, MoLG"/>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Feasibility study of   GKMA-wide solid waste management facility"/>
    <n v="0"/>
    <n v="0"/>
    <n v="0"/>
    <n v="1"/>
    <n v="0"/>
    <n v="1"/>
    <n v="0"/>
    <n v="0"/>
    <n v="0.25"/>
    <m/>
    <n v="0"/>
    <n v="0"/>
    <n v="2"/>
    <n v="0"/>
    <n v="0"/>
    <n v="0"/>
    <n v="0"/>
    <s v="MoKCC&amp;MA"/>
    <s v="024 Minstry of Kampala Capital City and Metropolitan Affairs"/>
    <s v="MoWE"/>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Implement the new, modern solid waste processing and transfer facilities in at least 2 strategic locations throughout GKMA"/>
    <n v="1"/>
    <n v="0"/>
    <n v="1"/>
    <n v="1"/>
    <n v="0"/>
    <n v="1"/>
    <n v="1"/>
    <n v="1"/>
    <n v="0.75"/>
    <m/>
    <n v="0"/>
    <n v="20"/>
    <n v="20"/>
    <n v="20"/>
    <n v="5"/>
    <n v="5"/>
    <n v="10"/>
    <s v="KCCA"/>
    <s v="122 Kampala Capital City Authority"/>
    <s v="MoKCC&amp;MA, LGs in GKMA, MoLG, MoWE"/>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Undertake community sensitization campaigns to raise awareness of importance of maintaining a waste-free metropolitan area "/>
    <n v="0"/>
    <n v="0"/>
    <n v="0"/>
    <n v="1"/>
    <n v="1"/>
    <n v="1"/>
    <n v="1"/>
    <n v="1"/>
    <n v="0.625"/>
    <m/>
    <n v="0"/>
    <n v="0"/>
    <n v="1"/>
    <n v="1"/>
    <n v="1"/>
    <n v="1"/>
    <n v="2"/>
    <s v="MoKCC&amp;MA"/>
    <s v="024 Minstry of Kampala Capital City and Metropolitan Affairs"/>
    <s v="MoLG, MoWE"/>
  </r>
  <r>
    <x v="11"/>
    <x v="11"/>
    <n v="101"/>
    <s v="Physical Planning and Urbanization "/>
    <s v="1011"/>
    <s v="Enhance economic opportunities in cities and urban areas"/>
    <s v="101105"/>
    <s v="Improve urban safe water and waste management services and associated infrastructure for value addition and revenue generation"/>
    <m/>
    <m/>
    <s v="10110502"/>
    <s v="Access to solid waste management services "/>
    <s v="Percentage coverage of solid waste management  "/>
    <m/>
    <m/>
    <m/>
    <m/>
    <m/>
    <m/>
    <m/>
    <e v="#N/A"/>
    <s v="Engage Recycling Companies and/or other partners to work with GKMA Local governments to deliver waste collection and processing services"/>
    <n v="1"/>
    <n v="0"/>
    <n v="1"/>
    <n v="1"/>
    <n v="0"/>
    <n v="1"/>
    <n v="1"/>
    <n v="1"/>
    <n v="0.75"/>
    <m/>
    <n v="0"/>
    <n v="0"/>
    <n v="0"/>
    <n v="0"/>
    <n v="1"/>
    <n v="0.5"/>
    <n v="1.5"/>
    <s v="MoKCC&amp;MA"/>
    <s v="024 Minstry of Kampala Capital City and Metropolitan Affairs"/>
    <s v="MoLG, MoWE"/>
  </r>
  <r>
    <x v="11"/>
    <x v="11"/>
    <n v="101"/>
    <s v="Physical Planning and Urbanization "/>
    <s v="1011"/>
    <s v="Enhance economic opportunities in cities and urban areas"/>
    <s v="101106"/>
    <s v="Improve the provision of quality social services to address the peculiar issues of urban settlements"/>
    <m/>
    <m/>
    <s v="10110601"/>
    <s v="Physical Devt plans for all Urban Areas in place"/>
    <s v="Number of Urban Councils with PDPs guiding social services provision"/>
    <n v="14"/>
    <n v="22"/>
    <n v="36"/>
    <n v="44"/>
    <n v="50"/>
    <n v="60"/>
    <s v="MoLHUD"/>
    <s v="012 Ministry of Lands, Housing &amp; Urban Development"/>
    <s v="Prepare PDPs for urban councils to guide social services provision"/>
    <n v="1"/>
    <n v="0"/>
    <n v="0"/>
    <n v="1"/>
    <n v="1"/>
    <n v="1"/>
    <n v="1"/>
    <n v="1"/>
    <n v="0.75"/>
    <m/>
    <n v="0"/>
    <n v="11"/>
    <n v="22"/>
    <n v="25"/>
    <n v="26.5"/>
    <n v="50"/>
    <n v="76.5"/>
    <s v="MoLHUD"/>
    <s v="012 Ministry of Lands, Housing &amp; Urban Development"/>
    <s v="MoLG, NPPB"/>
  </r>
  <r>
    <x v="11"/>
    <x v="11"/>
    <n v="101"/>
    <s v="Physical Planning and Urbanization "/>
    <s v="1011"/>
    <s v="Enhance economic opportunities in cities and urban areas"/>
    <s v="101106"/>
    <s v="Improve the provision of quality social services to address the peculiar issues of urban settlements"/>
    <m/>
    <m/>
    <s v="10110601"/>
    <s v="Physical Devt plans for all Urban Areas in place"/>
    <s v="Number of Urban Councils with PDPs guiding social services provision"/>
    <m/>
    <m/>
    <m/>
    <m/>
    <m/>
    <m/>
    <s v="MoLHUD"/>
    <s v="012 Ministry of Lands, Housing &amp; Urban Development"/>
    <s v="Prepare Action area plans that address peculiar aspects and being sensitive to needs of all"/>
    <n v="1"/>
    <n v="0"/>
    <n v="0"/>
    <n v="1"/>
    <n v="1"/>
    <n v="1"/>
    <n v="1"/>
    <n v="1"/>
    <n v="0.75"/>
    <m/>
    <n v="0"/>
    <n v="0"/>
    <n v="0"/>
    <n v="0"/>
    <n v="1"/>
    <n v="2"/>
    <n v="3"/>
    <s v="MoLHUD"/>
    <s v="012 Ministry of Lands, Housing &amp; Urban Development"/>
    <s v="MoLG, NPPB"/>
  </r>
  <r>
    <x v="11"/>
    <x v="11"/>
    <n v="101"/>
    <s v="Physical Planning and Urbanization "/>
    <s v="1012"/>
    <s v="Promote urban housing market and provide decent housing for all"/>
    <s v="102201"/>
    <s v="Develop and implement an investment plan for adequate and affordable housing"/>
    <m/>
    <m/>
    <s v="10220101"/>
    <s v="Affordable &amp; adequate housing investment plan developed"/>
    <s v="Number of affordable &amp; adequate housing projects implemented"/>
    <n v="0"/>
    <n v="3"/>
    <n v="5"/>
    <n v="9"/>
    <n v="13"/>
    <n v="15"/>
    <s v="MoLHUD"/>
    <s v="012 Ministry of Lands, Housing &amp; Urban Development"/>
    <s v="Undertake housing market research "/>
    <n v="1"/>
    <n v="0"/>
    <n v="0"/>
    <n v="1"/>
    <n v="1"/>
    <n v="1"/>
    <n v="1"/>
    <n v="1"/>
    <n v="0.75"/>
    <m/>
    <n v="0"/>
    <n v="0"/>
    <n v="0"/>
    <n v="0.3"/>
    <n v="0"/>
    <n v="0"/>
    <n v="0"/>
    <s v="MoLHUD"/>
    <s v="012 Ministry of Lands, Housing &amp; Urban Development"/>
    <s v="MoKCC&amp;MA, MoLG"/>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No. of new affordable &amp; adequate housing units built (‘000)"/>
    <n v="8021"/>
    <n v="8221"/>
    <n v="8421"/>
    <n v="8621"/>
    <n v="8821"/>
    <n v="9021"/>
    <s v="MoLHUD"/>
    <s v="012 Ministry of Lands, Housing &amp; Urban Development"/>
    <s v="Conduct stakeholder engagements,  harmonization of project objectives and markets assessment for appropriate factor inputs for affordable and adequate housing in 16 cities"/>
    <n v="1"/>
    <n v="0"/>
    <n v="0"/>
    <n v="1"/>
    <n v="0"/>
    <n v="0"/>
    <n v="1"/>
    <n v="1"/>
    <n v="0.5"/>
    <m/>
    <n v="0"/>
    <n v="0"/>
    <n v="0"/>
    <n v="0"/>
    <n v="0"/>
    <n v="0"/>
    <n v="0"/>
    <s v="MoLHUD"/>
    <s v="012 Ministry of Lands, Housing &amp; Urban Development"/>
    <s v="MoKCC&amp;MA, NHCC, ULG"/>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n v="80"/>
    <n v="73"/>
    <n v="66"/>
    <n v="59"/>
    <n v="52"/>
    <n v="45"/>
    <s v="MoLHUD"/>
    <s v="012 Ministry of Lands, Housing &amp; Urban Development"/>
    <s v="Undertake feasibility studies"/>
    <n v="1"/>
    <n v="0"/>
    <n v="1"/>
    <n v="1"/>
    <n v="1"/>
    <n v="0"/>
    <n v="1"/>
    <n v="1"/>
    <n v="0.75"/>
    <m/>
    <n v="0"/>
    <n v="1"/>
    <n v="1"/>
    <n v="1"/>
    <m/>
    <m/>
    <n v="0"/>
    <s v="MoLHUD"/>
    <s v="012 Ministry of Lands, Housing &amp; Urban Development"/>
    <s v="MoKCC&amp;MA, MoLG, NPA, MoFPED "/>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m/>
    <m/>
    <m/>
    <m/>
    <m/>
    <m/>
    <m/>
    <e v="#N/A"/>
    <s v="Prepare Housing Investment plans"/>
    <n v="1"/>
    <n v="1"/>
    <n v="0"/>
    <n v="1"/>
    <n v="1"/>
    <n v="1"/>
    <n v="0"/>
    <n v="1"/>
    <n v="0.75"/>
    <m/>
    <n v="0"/>
    <n v="0"/>
    <n v="1"/>
    <n v="0"/>
    <n v="2"/>
    <n v="2"/>
    <n v="4"/>
    <s v="MoLHUD"/>
    <s v="012 Ministry of Lands, Housing &amp; Urban Development"/>
    <s v="MoKCC&amp;MA, MoLG, NPA, MoFPED "/>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m/>
    <m/>
    <m/>
    <m/>
    <m/>
    <m/>
    <m/>
    <e v="#N/A"/>
    <s v="Design, prepare and  develop affordable Housing projects"/>
    <n v="0"/>
    <n v="1"/>
    <n v="0"/>
    <n v="1"/>
    <n v="0"/>
    <n v="0"/>
    <n v="1"/>
    <n v="0"/>
    <n v="0.375"/>
    <m/>
    <n v="0"/>
    <n v="0"/>
    <n v="0"/>
    <n v="0"/>
    <n v="0"/>
    <n v="0"/>
    <n v="0"/>
    <s v="MoLHUD"/>
    <s v="012 Ministry of Lands, Housing &amp; Urban Development"/>
    <s v="MoKCC&amp;MA, NHCC, MoLG"/>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m/>
    <m/>
    <m/>
    <m/>
    <m/>
    <m/>
    <m/>
    <e v="#N/A"/>
    <s v="Develop, procure and operationalize a housing database"/>
    <n v="1"/>
    <n v="1"/>
    <n v="1"/>
    <n v="1"/>
    <n v="1"/>
    <n v="1"/>
    <n v="1"/>
    <n v="1"/>
    <n v="1"/>
    <m/>
    <n v="0"/>
    <n v="0"/>
    <n v="0"/>
    <n v="2"/>
    <n v="5"/>
    <n v="4"/>
    <n v="9"/>
    <s v="MoLHUD"/>
    <s v="012 Ministry of Lands, Housing &amp; Urban Development"/>
    <s v="MoKCC&amp;MA, MoLG, NHCC"/>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m/>
    <m/>
    <m/>
    <m/>
    <m/>
    <m/>
    <m/>
    <e v="#N/A"/>
    <s v="Build affordable, safe &amp; adequate housing units "/>
    <n v="1"/>
    <n v="1"/>
    <n v="1"/>
    <n v="0"/>
    <n v="1"/>
    <n v="1"/>
    <n v="1"/>
    <n v="1"/>
    <n v="0.875"/>
    <m/>
    <n v="0"/>
    <n v="0"/>
    <n v="0"/>
    <n v="0"/>
    <n v="30"/>
    <n v="44"/>
    <n v="74"/>
    <s v="MoLHUD"/>
    <s v="012 Ministry of Lands, Housing &amp; Urban Development"/>
    <s v="MoKCC&amp;MA, NHCC, MoLG"/>
  </r>
  <r>
    <x v="11"/>
    <x v="11"/>
    <n v="101"/>
    <s v="Physical Planning and Urbanization "/>
    <s v="1012"/>
    <s v="Promote urban housing market and provide decent housing for all"/>
    <s v="102201"/>
    <s v="Develop and implement an investment plan for adequate and affordable housing"/>
    <m/>
    <m/>
    <s v="10220101"/>
    <s v="Affordable &amp; adequate housing units in place"/>
    <s v="Unit cost of housing (Ugx million)"/>
    <m/>
    <m/>
    <m/>
    <m/>
    <m/>
    <m/>
    <m/>
    <e v="#N/A"/>
    <s v="Conduct Feasibility study for developing a High Density Affordable Housing facility in GKMA slums, starting with Kisenyi"/>
    <n v="0"/>
    <n v="1"/>
    <n v="0"/>
    <n v="1"/>
    <n v="0"/>
    <n v="0"/>
    <n v="1"/>
    <n v="1"/>
    <n v="0.5"/>
    <m/>
    <n v="0"/>
    <n v="0"/>
    <n v="5"/>
    <n v="0"/>
    <n v="0"/>
    <n v="0"/>
    <n v="0"/>
    <s v="MoKCC&amp;MA"/>
    <s v="024 Minstry of Kampala Capital City and Metropolitan Affairs"/>
    <s v="MoKCC&amp;MA, MoLHUD, MoLG, MoFPED"/>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n v="18"/>
    <n v="25"/>
    <n v="31"/>
    <n v="37"/>
    <n v="43"/>
    <n v="50"/>
    <s v="MoLHUD"/>
    <s v="012 Ministry of Lands, Housing &amp; Urban Development"/>
    <s v="Review and revise national building codes and standards"/>
    <n v="0"/>
    <n v="0"/>
    <n v="0"/>
    <n v="0"/>
    <n v="0"/>
    <n v="0"/>
    <n v="0"/>
    <n v="0"/>
    <n v="0"/>
    <m/>
    <n v="0"/>
    <n v="0"/>
    <n v="0.4"/>
    <n v="0"/>
    <m/>
    <m/>
    <n v="0"/>
    <s v="MoWT"/>
    <s v="016 Ministry of Works and Transport"/>
    <s v="NBRB, MoLHUD, MoLG, MoKCC&amp;M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Automate/ Digitise the building control processes"/>
    <n v="1"/>
    <n v="1"/>
    <n v="0"/>
    <n v="0"/>
    <n v="1"/>
    <n v="1"/>
    <n v="1"/>
    <n v="1"/>
    <n v="0.75"/>
    <m/>
    <n v="0"/>
    <n v="0"/>
    <n v="0.2"/>
    <n v="0.2"/>
    <n v="1"/>
    <n v="1"/>
    <n v="2"/>
    <s v="MoWT"/>
    <s v="016 Ministry of Works and Transport"/>
    <s v="NBRB, MoWT, MoLHUD, MoKCC&amp;M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Disseminate, enforce and implement building codes and standards; "/>
    <n v="0"/>
    <n v="0"/>
    <n v="0"/>
    <n v="1"/>
    <n v="1"/>
    <n v="0"/>
    <n v="0"/>
    <n v="1"/>
    <n v="0.375"/>
    <m/>
    <n v="0"/>
    <n v="0"/>
    <n v="0.6"/>
    <n v="0.6"/>
    <m/>
    <m/>
    <n v="0"/>
    <s v="MoLHUD"/>
    <s v="012 Ministry of Lands, Housing &amp; Urban Development"/>
    <s v="NBRB, MoKCC&amp;MA,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Train stakeholders in implementation of real estate and building laws and standards;"/>
    <n v="0"/>
    <n v="0"/>
    <n v="1"/>
    <n v="1"/>
    <n v="0"/>
    <n v="0"/>
    <n v="0"/>
    <n v="1"/>
    <n v="0.375"/>
    <m/>
    <n v="0"/>
    <n v="0"/>
    <n v="0"/>
    <n v="0"/>
    <n v="0"/>
    <n v="0"/>
    <n v="0"/>
    <s v="MoLHUD"/>
    <s v="012 Ministry of Lands, Housing &amp; Urban Development"/>
    <s v="NBRB, MoKCC&amp;MA,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Formulate a comprehensive Housing Law"/>
    <n v="1"/>
    <n v="0"/>
    <n v="0"/>
    <n v="0"/>
    <n v="1"/>
    <n v="0"/>
    <n v="1"/>
    <n v="1"/>
    <n v="0.5"/>
    <m/>
    <n v="0"/>
    <n v="0"/>
    <n v="0"/>
    <n v="0"/>
    <n v="0"/>
    <n v="0"/>
    <n v="0"/>
    <s v="MoLHUD"/>
    <s v="012 Ministry of Lands, Housing &amp; Urban Development"/>
    <s v="NBRB, MoKCC&amp;MA,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Develop &amp; operationalize real Estates Bill"/>
    <n v="1"/>
    <n v="1"/>
    <n v="0"/>
    <n v="1"/>
    <n v="1"/>
    <n v="1"/>
    <n v="1"/>
    <n v="1"/>
    <n v="0.875"/>
    <m/>
    <n v="0"/>
    <n v="0"/>
    <n v="0"/>
    <n v="0"/>
    <n v="1"/>
    <n v="1"/>
    <n v="2"/>
    <s v="MoLHUD"/>
    <s v="012 Ministry of Lands, Housing &amp; Urban Development"/>
    <s v="NBRB, MoKCC&amp;MA,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Map up potential real estate developers in the Country"/>
    <n v="1"/>
    <n v="1"/>
    <n v="0"/>
    <n v="1"/>
    <n v="0"/>
    <n v="1"/>
    <n v="0"/>
    <n v="1"/>
    <n v="0.625"/>
    <m/>
    <n v="0"/>
    <n v="0"/>
    <n v="0"/>
    <n v="0"/>
    <n v="0"/>
    <n v="0"/>
    <n v="0"/>
    <s v="MoLHUD"/>
    <s v="012 Ministry of Lands, Housing &amp; Urban Development"/>
    <s v="MoLG, MoFPED"/>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Amend and enforce compliance to the Architects Registration Act."/>
    <n v="1"/>
    <n v="0"/>
    <n v="1"/>
    <n v="1"/>
    <n v="1"/>
    <n v="1"/>
    <n v="0"/>
    <n v="1"/>
    <n v="0.75"/>
    <m/>
    <n v="0"/>
    <n v="0.1"/>
    <n v="0.1"/>
    <n v="0.1"/>
    <n v="0.1"/>
    <n v="0.1"/>
    <n v="0.2"/>
    <s v="MoLHUD"/>
    <s v="012 Ministry of Lands, Housing &amp; Urban Development"/>
    <s v="NBRB, NPPB, Association of Uganda Architects"/>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Review and update the Building Control Regulatory Framework"/>
    <n v="0"/>
    <n v="0"/>
    <n v="0"/>
    <n v="1"/>
    <n v="0"/>
    <n v="0"/>
    <n v="0"/>
    <n v="1"/>
    <n v="0.25"/>
    <m/>
    <n v="0"/>
    <n v="0"/>
    <n v="0"/>
    <n v="0"/>
    <m/>
    <n v="0"/>
    <n v="0"/>
    <s v="MoWT"/>
    <s v="016 Ministry of Works and Transport"/>
    <s v="NBRB,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Formulate the National Building Maintenance policy."/>
    <n v="1"/>
    <n v="0"/>
    <n v="0"/>
    <n v="0"/>
    <n v="0"/>
    <n v="0"/>
    <n v="0"/>
    <n v="1"/>
    <n v="0.25"/>
    <m/>
    <n v="0"/>
    <n v="0"/>
    <n v="0"/>
    <n v="0"/>
    <n v="0"/>
    <n v="0"/>
    <n v="0"/>
    <s v="MoWT"/>
    <s v="016 Ministry of Works and Transport"/>
    <s v="NBRB, NPPB"/>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Consolidate the asset inventory of Govt buildings in various MDAs"/>
    <n v="1"/>
    <n v="0"/>
    <n v="0"/>
    <n v="1"/>
    <n v="0"/>
    <n v="1"/>
    <n v="0"/>
    <n v="1"/>
    <n v="0.5"/>
    <m/>
    <n v="0"/>
    <n v="0"/>
    <n v="0"/>
    <n v="0"/>
    <m/>
    <m/>
    <n v="0"/>
    <s v="MoWT"/>
    <s v="016 Ministry of Works and Transport"/>
    <s v="UBOS, MoLHUD,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Training MDAs and LGs to enforce  compliance with Construction Laws and  Regulations"/>
    <n v="1"/>
    <n v="1"/>
    <n v="0"/>
    <n v="1"/>
    <n v="1"/>
    <n v="0"/>
    <n v="0"/>
    <n v="1"/>
    <n v="0.625"/>
    <m/>
    <n v="0"/>
    <n v="0"/>
    <n v="0"/>
    <n v="0"/>
    <n v="0"/>
    <n v="0"/>
    <n v="0"/>
    <s v="MoWT"/>
    <s v="016 Ministry of Works and Transport"/>
    <s v="NBRB, MoLHUD,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Monitor and Enforce the Compliance of Building projects to Laws, Regulations and standards."/>
    <n v="1"/>
    <n v="1"/>
    <n v="0"/>
    <n v="1"/>
    <n v="1"/>
    <n v="0"/>
    <n v="0"/>
    <n v="1"/>
    <n v="0.625"/>
    <m/>
    <n v="0"/>
    <n v="0.8"/>
    <n v="0.8"/>
    <n v="1"/>
    <n v="0.45"/>
    <n v="0.45"/>
    <n v="0.9"/>
    <s v="MoWT"/>
    <s v="016 Ministry of Works and Transport"/>
    <s v="NBRB, KCCA, MoLHUD"/>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Build LG Capacity to Monitor and Enforce the Compliance of Building Laws, Regulations and standards "/>
    <n v="1"/>
    <n v="0"/>
    <n v="0"/>
    <n v="1"/>
    <n v="0"/>
    <n v="0"/>
    <n v="0"/>
    <n v="1"/>
    <n v="0.375"/>
    <m/>
    <n v="0"/>
    <n v="0"/>
    <n v="0"/>
    <n v="0"/>
    <n v="0"/>
    <n v="0"/>
    <n v="0"/>
    <s v="MoWT"/>
    <s v="016 Ministry of Works and Transport"/>
    <s v="MoKCC&amp;MA, MoLHUD, MoLG"/>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Assess and test Building Infrastructure projects to ascertain resistance to Earthquakes, seismic forces, fires and other natural disasters."/>
    <n v="0"/>
    <n v="1"/>
    <n v="0"/>
    <n v="0"/>
    <n v="1"/>
    <n v="1"/>
    <n v="1"/>
    <n v="1"/>
    <n v="0.625"/>
    <m/>
    <n v="0"/>
    <n v="0"/>
    <n v="0.5"/>
    <n v="1.5"/>
    <m/>
    <m/>
    <n v="0"/>
    <s v="MoWT"/>
    <s v="016 Ministry of Works and Transport"/>
    <s v="NBRB, MoLHUD"/>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Construct and equip MoWT and NBRB Offices. "/>
    <n v="0"/>
    <n v="0"/>
    <n v="0"/>
    <n v="1"/>
    <n v="0"/>
    <n v="0"/>
    <n v="0"/>
    <n v="1"/>
    <n v="0.25"/>
    <m/>
    <n v="0"/>
    <n v="0"/>
    <n v="2"/>
    <n v="2"/>
    <m/>
    <m/>
    <n v="0"/>
    <s v="MoWT"/>
    <s v="016 Ministry of Works and Transport"/>
    <s v="N/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Undertake construction and rehabilitation of Public Buildings "/>
    <n v="1"/>
    <n v="1"/>
    <n v="0"/>
    <n v="1"/>
    <n v="1"/>
    <n v="0"/>
    <n v="0"/>
    <n v="1"/>
    <n v="0.625"/>
    <m/>
    <n v="0"/>
    <n v="0"/>
    <n v="0"/>
    <n v="0"/>
    <n v="0.1"/>
    <n v="0"/>
    <n v="0.1"/>
    <s v="MoWT"/>
    <s v="016 Ministry of Works and Transport"/>
    <s v="N/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Review, Develop, and harmonize OSH, gender, equity related legislation (Policy, Acts, regulations, standards, codes of practice and guidelines)"/>
    <n v="0"/>
    <n v="0"/>
    <n v="0"/>
    <n v="2"/>
    <n v="0"/>
    <n v="0"/>
    <n v="1"/>
    <n v="1"/>
    <n v="0.5"/>
    <m/>
    <n v="0"/>
    <n v="0"/>
    <n v="0"/>
    <n v="0"/>
    <n v="0"/>
    <n v="0"/>
    <n v="0"/>
    <s v="MoGLSD"/>
    <s v="018 Ministry of Gender, Labour and Social Development"/>
    <s v="N/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Ratification of ILO conventions on OSH, gender, equity, etc."/>
    <n v="0"/>
    <n v="0"/>
    <n v="0"/>
    <n v="1"/>
    <n v="0"/>
    <n v="0"/>
    <n v="0"/>
    <n v="1"/>
    <n v="0.25"/>
    <m/>
    <n v="0"/>
    <n v="0"/>
    <n v="0"/>
    <n v="0"/>
    <n v="0"/>
    <n v="0"/>
    <n v="0"/>
    <s v="MoGLSD"/>
    <s v="018 Ministry of Gender, Labour and Social Development"/>
    <s v="N/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Develop National standards on OSH, gender, equity"/>
    <n v="0"/>
    <n v="0"/>
    <n v="0"/>
    <n v="1"/>
    <n v="0"/>
    <n v="0"/>
    <n v="0"/>
    <n v="1"/>
    <n v="0.25"/>
    <m/>
    <n v="0"/>
    <n v="0"/>
    <n v="0"/>
    <n v="0"/>
    <n v="0"/>
    <n v="0"/>
    <n v="0"/>
    <s v="MoGLSD"/>
    <s v="018 Ministry of Gender, Labour and Social Development"/>
    <s v="N/A"/>
  </r>
  <r>
    <x v="11"/>
    <x v="11"/>
    <n v="101"/>
    <s v="Physical Planning and Urbanization "/>
    <s v="1012"/>
    <s v="Promote urban housing market and provide decent housing for all"/>
    <s v="102202"/>
    <s v="Develop, promote and enforce building codes/ standards"/>
    <m/>
    <m/>
    <s v="10220201"/>
    <s v="Building codes and standards in place "/>
    <s v="Percentage compliance to building code/standards"/>
    <m/>
    <m/>
    <m/>
    <m/>
    <m/>
    <m/>
    <m/>
    <e v="#N/A"/>
    <s v="Strengthen inspection and audit and enforcement of laws"/>
    <n v="0"/>
    <n v="1"/>
    <n v="0"/>
    <n v="1"/>
    <n v="0"/>
    <n v="0"/>
    <n v="0"/>
    <n v="1"/>
    <n v="0.375"/>
    <m/>
    <n v="0"/>
    <n v="0"/>
    <n v="0"/>
    <n v="0"/>
    <n v="0"/>
    <n v="0"/>
    <n v="0"/>
    <s v="MoGLSD"/>
    <s v="018 Ministry of Gender, Labour and Social Development"/>
    <s v="MoLHUD, MoLG, NPPB"/>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1"/>
    <s v="Inclusive housing finance mechanism developed "/>
    <s v="Housing finance capitalized (USD Millions)"/>
    <n v="0"/>
    <n v="300"/>
    <n v="300"/>
    <n v="500"/>
    <n v="300"/>
    <n v="100"/>
    <s v="MoLHUD"/>
    <s v="012 Ministry of Lands, Housing &amp; Urban Development"/>
    <s v="Review and revise the mandate of Housing Finance Bank in providing affordable mortgages"/>
    <n v="1"/>
    <n v="1"/>
    <n v="0"/>
    <n v="1"/>
    <n v="1"/>
    <n v="1"/>
    <n v="0"/>
    <n v="1"/>
    <n v="0.75"/>
    <m/>
    <n v="0"/>
    <n v="0"/>
    <n v="0.5"/>
    <n v="0.1"/>
    <m/>
    <m/>
    <n v="0"/>
    <s v="MoFPED"/>
    <s v="008 Ministry of Finance, Planning &amp; Economic Dev."/>
    <s v="NPA"/>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n v="1100"/>
    <n v="2300"/>
    <n v="3500"/>
    <n v="4700"/>
    <n v="5900"/>
    <n v="7100"/>
    <s v="MoLHUD"/>
    <s v="012 Ministry of Lands, Housing &amp; Urban Development"/>
    <s v="Capitalizing Housing Finance Bank "/>
    <n v="1"/>
    <n v="1"/>
    <n v="0"/>
    <n v="1"/>
    <n v="1"/>
    <n v="0"/>
    <n v="1"/>
    <n v="1"/>
    <n v="0.75"/>
    <m/>
    <n v="0"/>
    <n v="0"/>
    <n v="0.1"/>
    <n v="0.1"/>
    <m/>
    <m/>
    <n v="0"/>
    <s v="MoFPED"/>
    <s v="008 Ministry of Finance, Planning &amp; Economic Dev."/>
    <s v="N/A"/>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Establish Housing Cooperatives and SACCOs as financing mechanisms"/>
    <n v="1"/>
    <n v="1"/>
    <n v="1"/>
    <n v="0"/>
    <n v="1"/>
    <n v="1"/>
    <n v="1"/>
    <n v="1"/>
    <n v="0.875"/>
    <m/>
    <n v="0"/>
    <n v="0.1"/>
    <n v="0.2"/>
    <n v="0.2"/>
    <m/>
    <n v="0.1"/>
    <n v="0.1"/>
    <s v="MoFPED"/>
    <s v="008 Ministry of Finance, Planning &amp; Economic Dev."/>
    <s v="N/A"/>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Establish and operationalize Housing Revolving Fund for public servants"/>
    <n v="1"/>
    <n v="0"/>
    <n v="0"/>
    <n v="1"/>
    <n v="1"/>
    <n v="1"/>
    <n v="1"/>
    <n v="1"/>
    <n v="0.75"/>
    <m/>
    <n v="0"/>
    <n v="0"/>
    <n v="0"/>
    <n v="0"/>
    <n v="3"/>
    <n v="2"/>
    <n v="5"/>
    <s v="MoLHUD"/>
    <s v="012 Ministry of Lands, Housing &amp; Urban Development"/>
    <s v="MoFPED"/>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Establish a mortgage liquidity facility"/>
    <n v="1"/>
    <n v="1"/>
    <n v="0"/>
    <n v="0"/>
    <n v="1"/>
    <n v="1"/>
    <n v="0"/>
    <n v="1"/>
    <n v="0.625"/>
    <m/>
    <n v="0"/>
    <n v="152.91920129850541"/>
    <n v="152.91920129850541"/>
    <n v="177.66447529360846"/>
    <n v="0"/>
    <n v="0"/>
    <n v="0"/>
    <s v="MoLHUD"/>
    <s v="012 Ministry of Lands, Housing &amp; Urban Development"/>
    <s v="MoFPED"/>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Establish a Mortgage Information/Registration System."/>
    <n v="1"/>
    <n v="1"/>
    <n v="0"/>
    <n v="0"/>
    <n v="1"/>
    <n v="1"/>
    <n v="1"/>
    <n v="1"/>
    <n v="0.75"/>
    <m/>
    <n v="0"/>
    <n v="0"/>
    <n v="1"/>
    <n v="0.2"/>
    <m/>
    <m/>
    <n v="0"/>
    <s v="MoLHUD"/>
    <s v="012 Ministry of Lands, Housing &amp; Urban Development"/>
    <s v="MoFPED"/>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Review and revise the National Housing &amp; Construction Corporation  Act "/>
    <n v="1"/>
    <n v="1"/>
    <n v="0"/>
    <n v="1"/>
    <n v="1"/>
    <n v="1"/>
    <n v="0"/>
    <n v="1"/>
    <n v="0.75"/>
    <m/>
    <n v="0"/>
    <n v="0"/>
    <n v="0.3"/>
    <n v="0"/>
    <n v="0"/>
    <m/>
    <n v="0"/>
    <s v="MoLHUD"/>
    <s v="012 Ministry of Lands, Housing &amp; Urban Development"/>
    <s v="MoKCC&amp;MA, NHCC, MoLG, NPA"/>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Review and revise the mandate of NHCC in provision of affordable housing"/>
    <n v="1"/>
    <n v="0"/>
    <n v="0"/>
    <n v="1"/>
    <n v="1"/>
    <n v="1"/>
    <n v="0"/>
    <n v="1"/>
    <n v="0.625"/>
    <m/>
    <n v="0"/>
    <n v="0"/>
    <n v="0"/>
    <n v="0.2"/>
    <n v="0"/>
    <n v="0"/>
    <n v="0"/>
    <s v="MoLHUD"/>
    <s v="012 Ministry of Lands, Housing &amp; Urban Development"/>
    <s v="MoKCC&amp;MA, NHCC, MoFPED, MoLG"/>
  </r>
  <r>
    <x v="11"/>
    <x v="11"/>
    <n v="101"/>
    <s v="Physical Planning and Urbanization "/>
    <s v="1012"/>
    <s v="Promote urban housing market and provide decent housing for all"/>
    <s v="102203"/>
    <s v="Develop an inclusive housing finance mechanism including capitalization of Housing Finance Bank to provide affordable mortgages and revisiting the mandate of NHCC to support housing development for all"/>
    <m/>
    <m/>
    <s v="10220302"/>
    <s v="NHCC mandate revised to deliver affordable housing for all"/>
    <s v="Number of affordable housing delivered by NHCC"/>
    <m/>
    <m/>
    <m/>
    <m/>
    <m/>
    <m/>
    <m/>
    <e v="#N/A"/>
    <s v="Adequately Capitalize National Housing &amp; Construction Co"/>
    <n v="1"/>
    <n v="1"/>
    <n v="0"/>
    <n v="1"/>
    <n v="1"/>
    <n v="1"/>
    <n v="0"/>
    <n v="1"/>
    <n v="0.75"/>
    <m/>
    <n v="0"/>
    <n v="90"/>
    <n v="90"/>
    <n v="90"/>
    <n v="50"/>
    <n v="50"/>
    <n v="100"/>
    <s v="MoFPED"/>
    <s v="008 Ministry of Finance, Planning &amp; Economic Dev."/>
    <s v="N/A"/>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housing development sites serviced by government with tenet infrastructure"/>
    <n v="0"/>
    <n v="0"/>
    <n v="2"/>
    <n v="7"/>
    <n v="15"/>
    <n v="20"/>
    <s v="MoLHUD"/>
    <s v="012 Ministry of Lands, Housing &amp; Urban Development"/>
    <s v="Establish a rollout plan under the PPP framework for real estate dev’t"/>
    <n v="1"/>
    <n v="1"/>
    <n v="1"/>
    <n v="1"/>
    <n v="0"/>
    <n v="0"/>
    <n v="0"/>
    <n v="1"/>
    <n v="0.625"/>
    <m/>
    <n v="0"/>
    <n v="0"/>
    <n v="0"/>
    <n v="0"/>
    <n v="0"/>
    <n v="0"/>
    <n v="0"/>
    <s v="MoLHUD"/>
    <s v="012 Ministry of Lands, Housing &amp; Urban Development"/>
    <s v="MoLG, MoFPED"/>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affordable housing delivered by Real Estate developers"/>
    <n v="1100"/>
    <n v="1100"/>
    <n v="2300"/>
    <n v="3500"/>
    <n v="4700"/>
    <n v="5900"/>
    <s v="MoLHUD"/>
    <s v="012 Ministry of Lands, Housing &amp; Urban Development"/>
    <s v="Develop affordable Housing Estates under PPP"/>
    <n v="1"/>
    <n v="1"/>
    <n v="0"/>
    <n v="0"/>
    <n v="1"/>
    <n v="0"/>
    <n v="1"/>
    <n v="1"/>
    <n v="0.625"/>
    <m/>
    <n v="0"/>
    <n v="0"/>
    <n v="0"/>
    <n v="0"/>
    <m/>
    <m/>
    <n v="0"/>
    <s v="MoLHUD"/>
    <s v="012 Ministry of Lands, Housing &amp; Urban Development"/>
    <s v="MoKCC&amp;MA, MoFPED, MoLG"/>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affordable housing delivered by Real Estate developers"/>
    <m/>
    <m/>
    <m/>
    <m/>
    <m/>
    <m/>
    <m/>
    <e v="#N/A"/>
    <s v="Sign MoU with selected partners in housing development"/>
    <n v="0"/>
    <n v="1"/>
    <n v="0"/>
    <n v="1"/>
    <n v="0"/>
    <n v="0"/>
    <n v="1"/>
    <n v="1"/>
    <n v="0.5"/>
    <m/>
    <n v="0"/>
    <n v="0"/>
    <n v="0"/>
    <n v="0"/>
    <n v="0"/>
    <n v="0"/>
    <n v="0"/>
    <s v="MoLHUD"/>
    <s v="012 Ministry of Lands, Housing &amp; Urban Development"/>
    <s v="MoKCC&amp;MA, MoFPED"/>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affordable housing delivered by Real Estate developers"/>
    <m/>
    <m/>
    <m/>
    <m/>
    <m/>
    <m/>
    <m/>
    <e v="#N/A"/>
    <s v="Identify and operationalize  incentives to housing from both the supply and demand side e.g. guarantees, land, tax wavers, etc."/>
    <n v="1"/>
    <n v="0"/>
    <n v="1"/>
    <n v="0"/>
    <n v="1"/>
    <n v="1"/>
    <n v="0"/>
    <n v="1"/>
    <n v="0.625"/>
    <m/>
    <n v="0"/>
    <n v="0.1"/>
    <n v="0.1"/>
    <n v="0.1"/>
    <m/>
    <m/>
    <n v="0"/>
    <s v="MoLHUD"/>
    <s v="012 Ministry of Lands, Housing &amp; Urban Development"/>
    <s v="MoKCC&amp;MA, MoFPED, MoLG"/>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affordable housing delivered by Real Estate developers"/>
    <m/>
    <m/>
    <m/>
    <m/>
    <m/>
    <m/>
    <m/>
    <e v="#N/A"/>
    <s v="Acquire land for dev’t of low cost residential houses for industrial workers"/>
    <n v="1"/>
    <n v="0"/>
    <n v="1"/>
    <n v="0"/>
    <n v="1"/>
    <n v="1"/>
    <n v="1"/>
    <n v="1"/>
    <n v="0.75"/>
    <m/>
    <n v="0"/>
    <n v="0"/>
    <n v="0"/>
    <n v="0"/>
    <n v="23.45"/>
    <n v="53.5"/>
    <n v="76.95"/>
    <s v="MoLHUD"/>
    <s v="012 Ministry of Lands, Housing &amp; Urban Development"/>
    <s v="MoKCC&amp;MA, MoLG, ULC"/>
  </r>
  <r>
    <x v="11"/>
    <x v="11"/>
    <n v="101"/>
    <s v="Physical Planning and Urbanization "/>
    <s v="1012"/>
    <s v="Promote urban housing market and provide decent housing for all"/>
    <s v="102204"/>
    <s v="Incentivize real estate companies to undertake affordable housing projects to address the housing deficit"/>
    <m/>
    <m/>
    <s v="10220401"/>
    <s v="Real Estate Companies incentivize "/>
    <s v="Number of affordable housing delivered by Real Estate developers"/>
    <m/>
    <m/>
    <m/>
    <m/>
    <m/>
    <m/>
    <m/>
    <e v="#N/A"/>
    <s v="Provide incentives, land to real estate developers in industrial parks to develop low cost residential housing for industrial workers and Link real estate companies to potential investors"/>
    <n v="1"/>
    <n v="0"/>
    <n v="1"/>
    <n v="0"/>
    <n v="0"/>
    <n v="0"/>
    <n v="1"/>
    <n v="1"/>
    <n v="0.5"/>
    <m/>
    <n v="0"/>
    <n v="0.5"/>
    <n v="0.5"/>
    <n v="0.5"/>
    <m/>
    <m/>
    <n v="0"/>
    <s v="MoLHUD"/>
    <s v="012 Ministry of Lands, Housing &amp; Urban Development"/>
    <s v="MoKCC&amp;MA, MoLG, ULC"/>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Improved infrastructure and housing in slums"/>
    <s v="Proportion of   slums upgraded"/>
    <n v="0"/>
    <n v="3"/>
    <n v="8"/>
    <n v="15"/>
    <n v="21"/>
    <n v="25"/>
    <s v="MoLHUD"/>
    <s v="012 Ministry of Lands, Housing &amp; Urban Development"/>
    <s v="Design and develop integrated slum and informal settlement plans"/>
    <n v="1"/>
    <n v="0"/>
    <n v="1"/>
    <n v="0"/>
    <n v="0"/>
    <n v="0"/>
    <n v="0"/>
    <n v="0"/>
    <n v="0.25"/>
    <m/>
    <n v="0"/>
    <n v="0"/>
    <n v="3"/>
    <n v="1"/>
    <n v="0"/>
    <n v="0"/>
    <n v="0"/>
    <s v="MoLHUD"/>
    <s v="012 Ministry of Lands, Housing &amp; Urban Development"/>
    <s v="MoKCC&amp;MA, MoLG"/>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n v="0"/>
    <n v="0"/>
    <n v="2"/>
    <n v="5"/>
    <n v="10"/>
    <n v="15"/>
    <s v="MoLHUD"/>
    <s v="012 Ministry of Lands, Housing &amp; Urban Development"/>
    <s v="Identify and profile slums and informal settlement in all urban areas"/>
    <n v="1"/>
    <n v="1"/>
    <n v="0"/>
    <n v="1"/>
    <n v="1"/>
    <n v="1"/>
    <n v="1"/>
    <n v="1"/>
    <n v="0.875"/>
    <m/>
    <n v="0"/>
    <n v="0"/>
    <n v="0"/>
    <n v="3"/>
    <n v="12"/>
    <n v="10"/>
    <n v="22"/>
    <s v="MoLHUD"/>
    <s v="012 Ministry of Lands, Housing &amp; Urban Development"/>
    <s v="MoKCC&amp;MA, MoLG"/>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m/>
    <m/>
    <m/>
    <m/>
    <m/>
    <m/>
    <m/>
    <e v="#N/A"/>
    <s v="Undertake community mobilization to implement slum redevelopment"/>
    <n v="0"/>
    <n v="0"/>
    <n v="0"/>
    <n v="1"/>
    <n v="1"/>
    <n v="0"/>
    <n v="1"/>
    <n v="1"/>
    <n v="0.5"/>
    <m/>
    <n v="0"/>
    <n v="0"/>
    <n v="0.08"/>
    <n v="0.15"/>
    <m/>
    <m/>
    <n v="0"/>
    <s v="MoLHUD"/>
    <s v="012 Ministry of Lands, Housing &amp; Urban Development"/>
    <s v="MoKCC&amp;MA, MoLG, NHCC"/>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m/>
    <m/>
    <m/>
    <m/>
    <m/>
    <m/>
    <m/>
    <e v="#N/A"/>
    <s v="Support community structures to implement slum redevelopment"/>
    <n v="0"/>
    <n v="0"/>
    <s v="o"/>
    <n v="1"/>
    <n v="0"/>
    <n v="0"/>
    <n v="0"/>
    <n v="0"/>
    <n v="0.125"/>
    <m/>
    <n v="0"/>
    <n v="0"/>
    <n v="0.08"/>
    <n v="0.15"/>
    <m/>
    <m/>
    <n v="0"/>
    <s v="MoLHUD"/>
    <s v="012 Ministry of Lands, Housing &amp; Urban Development"/>
    <s v="MoKCC&amp;MA, MoLG, NHCC"/>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m/>
    <m/>
    <m/>
    <m/>
    <m/>
    <m/>
    <m/>
    <e v="#N/A"/>
    <s v="Promote condominium property development especially in the newly created 16 Cities, KCCA and 31 Municipalities"/>
    <n v="1"/>
    <n v="1"/>
    <n v="1"/>
    <n v="1"/>
    <n v="1"/>
    <n v="1"/>
    <n v="1"/>
    <n v="1"/>
    <n v="1"/>
    <m/>
    <n v="0"/>
    <n v="0"/>
    <n v="0.1"/>
    <n v="0.15"/>
    <n v="10"/>
    <n v="15"/>
    <n v="25"/>
    <s v="MoLHUD"/>
    <s v="012 Ministry of Lands, Housing &amp; Urban Development"/>
    <s v="MoKCC&amp;MA, MoLG"/>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m/>
    <m/>
    <m/>
    <m/>
    <m/>
    <m/>
    <m/>
    <e v="#N/A"/>
    <s v="Construct High Density Affordable, safe, equitable and inclusive Housing Units in 5 slums (e.g. Kisenyi, Namugona, Kasokoso, etc)"/>
    <n v="1"/>
    <n v="0"/>
    <n v="1"/>
    <n v="0"/>
    <n v="1"/>
    <n v="1"/>
    <n v="0"/>
    <n v="1"/>
    <n v="0.625"/>
    <m/>
    <n v="0"/>
    <n v="60"/>
    <n v="38.392907402469518"/>
    <n v="60.05"/>
    <m/>
    <m/>
    <n v="0"/>
    <s v="MoLHUD"/>
    <s v="012 Ministry of Lands, Housing &amp; Urban Development"/>
    <s v="MoKCC&amp;MA, MoLG, NHCC"/>
  </r>
  <r>
    <x v="11"/>
    <x v="11"/>
    <n v="101"/>
    <s v="Physical Planning and Urbanization "/>
    <s v="1012"/>
    <s v="Promote urban housing market and provide decent housing for all"/>
    <s v="102205"/>
    <s v="Address infrastructure in slums and undertake slum upgrading including operationalization of the Condominium Law in slums and cities."/>
    <m/>
    <m/>
    <s v="10220501"/>
    <s v="Condominium Law implemented"/>
    <s v="Proportion of upgraded slums complying to the Condominium Law, %"/>
    <m/>
    <m/>
    <m/>
    <m/>
    <m/>
    <m/>
    <m/>
    <e v="#N/A"/>
    <s v="Promote adoption of modern energy services in slums and cities such as access to electricity, clean cooking, energy efficient and renewable energy technologies"/>
    <n v="0"/>
    <n v="0"/>
    <n v="0"/>
    <n v="1"/>
    <n v="0"/>
    <n v="1"/>
    <n v="1"/>
    <n v="1"/>
    <n v="0.5"/>
    <m/>
    <n v="0"/>
    <n v="0"/>
    <n v="0"/>
    <n v="0"/>
    <n v="0"/>
    <n v="0"/>
    <n v="0"/>
    <s v="MEMD"/>
    <s v="017 Ministry of Energy and Mineral Development"/>
    <s v="MoLHUD, MoLG, MoGLSD"/>
  </r>
  <r>
    <x v="11"/>
    <x v="11"/>
    <n v="101"/>
    <s v="Physical Planning and Urbanization "/>
    <s v="1012"/>
    <s v="Promote urban housing market and provide decent housing for all"/>
    <s v="102206"/>
    <s v="Design and build inclusive housing units for government workers"/>
    <m/>
    <m/>
    <s v="10220601"/>
    <s v="Housing for formally employed workers"/>
    <s v="Number of housing units developed for formally employed workers"/>
    <n v="10000"/>
    <n v="16000"/>
    <n v="32000"/>
    <n v="38000"/>
    <n v="42000"/>
    <n v="48000"/>
    <s v="MoLHUD"/>
    <s v="012 Ministry of Lands, Housing &amp; Urban Development"/>
    <s v="Carryout a housing needs assessment for public servants "/>
    <n v="0"/>
    <n v="0"/>
    <n v="0"/>
    <n v="1"/>
    <n v="0"/>
    <n v="0"/>
    <n v="0"/>
    <n v="0"/>
    <n v="0.125"/>
    <m/>
    <n v="0"/>
    <n v="0"/>
    <n v="0.5"/>
    <n v="0"/>
    <n v="0"/>
    <n v="0"/>
    <n v="0"/>
    <s v="MoLHUD"/>
    <s v="012 Ministry of Lands, Housing &amp; Urban Development"/>
    <s v="MoLG, NHCC"/>
  </r>
  <r>
    <x v="11"/>
    <x v="11"/>
    <n v="101"/>
    <s v="Physical Planning and Urbanization "/>
    <s v="1012"/>
    <s v="Promote urban housing market and provide decent housing for all"/>
    <s v="102206"/>
    <s v="Design and build inclusive housing units for government workers"/>
    <m/>
    <m/>
    <s v="10220601"/>
    <s v="Housing for formally employed workers"/>
    <s v="Number of housing units developed for formally employed workers"/>
    <m/>
    <m/>
    <m/>
    <m/>
    <m/>
    <m/>
    <m/>
    <e v="#N/A"/>
    <s v="Design and build core Institutional housing units beginning with hard to reach areas"/>
    <n v="1"/>
    <n v="1"/>
    <n v="1"/>
    <n v="1"/>
    <n v="1"/>
    <n v="1"/>
    <n v="1"/>
    <n v="1"/>
    <n v="1"/>
    <m/>
    <n v="0"/>
    <n v="10"/>
    <n v="0"/>
    <n v="30"/>
    <n v="5"/>
    <n v="5"/>
    <n v="10"/>
    <s v="MoLHUD"/>
    <s v="012 Ministry of Lands, Housing &amp; Urban Development"/>
    <s v="MoLG, NHCC"/>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Type of housing material"/>
    <n v="200"/>
    <n v="220"/>
    <n v="240"/>
    <n v="260"/>
    <n v="280"/>
    <n v="300"/>
    <s v="MoLHUD"/>
    <s v="012 Ministry of Lands, Housing &amp; Urban Development"/>
    <s v="Establish a housing research and demonstration Park"/>
    <n v="1"/>
    <n v="1"/>
    <n v="1"/>
    <n v="1"/>
    <n v="0"/>
    <n v="1"/>
    <n v="1"/>
    <n v="1"/>
    <n v="0.875"/>
    <m/>
    <n v="0"/>
    <n v="0"/>
    <n v="10"/>
    <n v="0"/>
    <n v="15"/>
    <n v="20"/>
    <n v="35"/>
    <s v="MoLHUD"/>
    <s v="012 Ministry of Lands, Housing &amp; Urban Development"/>
    <s v="MoLG, NHCC"/>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Technology for delivering housing"/>
    <n v="3"/>
    <n v="5"/>
    <n v="7"/>
    <n v="9"/>
    <n v="11"/>
    <n v="13"/>
    <s v="MoLHUD"/>
    <s v="012 Ministry of Lands, Housing &amp; Urban Development"/>
    <s v="Undertake research into local and international housing building materials and appropriate technologies for delivering low cost houses"/>
    <n v="0"/>
    <n v="0"/>
    <n v="0"/>
    <n v="1"/>
    <n v="1"/>
    <n v="1"/>
    <n v="0"/>
    <n v="0"/>
    <n v="0.375"/>
    <m/>
    <n v="0"/>
    <n v="58"/>
    <n v="27.343945649512499"/>
    <n v="41"/>
    <m/>
    <m/>
    <n v="0"/>
    <s v="MoLHUD"/>
    <s v="012 Ministry of Lands, Housing &amp; Urban Development"/>
    <s v="MoKCC&amp;MA, MoLG, NHCC"/>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Cost of housing materials"/>
    <s v="211[1]"/>
    <n v="208"/>
    <n v="205"/>
    <n v="202"/>
    <n v="199"/>
    <n v="196"/>
    <s v="MoLHUD"/>
    <s v="012 Ministry of Lands, Housing &amp; Urban Development"/>
    <s v="Develop and adopt appropriate technologies for delivering low cost houses  "/>
    <n v="1"/>
    <n v="1"/>
    <n v="0"/>
    <n v="1"/>
    <n v="0"/>
    <n v="0"/>
    <n v="1"/>
    <n v="1"/>
    <n v="0.625"/>
    <m/>
    <n v="0"/>
    <n v="0"/>
    <n v="5.6"/>
    <n v="4.2"/>
    <n v="0"/>
    <m/>
    <n v="0"/>
    <s v="MoLHUD"/>
    <s v="012 Ministry of Lands, Housing &amp; Urban Development"/>
    <s v="MoKCC&amp;MA, MoLG, NHCC"/>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Cost of housing materials"/>
    <m/>
    <m/>
    <m/>
    <m/>
    <m/>
    <m/>
    <m/>
    <e v="#N/A"/>
    <s v="Construct, Rehabilitate or upgrade Government Material Laboratories"/>
    <n v="1"/>
    <n v="0"/>
    <n v="0"/>
    <n v="0"/>
    <n v="0"/>
    <n v="0"/>
    <n v="1"/>
    <n v="0"/>
    <n v="0.25"/>
    <m/>
    <n v="0"/>
    <n v="25"/>
    <n v="0"/>
    <n v="25"/>
    <n v="0"/>
    <n v="0"/>
    <n v="0"/>
    <s v="MoWT"/>
    <s v="016 Ministry of Works and Transport"/>
    <s v="NBRB"/>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Cost of housing materials"/>
    <m/>
    <m/>
    <m/>
    <m/>
    <m/>
    <m/>
    <m/>
    <e v="#N/A"/>
    <s v="Establish a housing development database for management of building costs"/>
    <n v="1"/>
    <n v="1"/>
    <n v="0"/>
    <n v="1"/>
    <n v="1"/>
    <n v="0"/>
    <n v="0"/>
    <n v="1"/>
    <n v="0.625"/>
    <m/>
    <n v="0"/>
    <n v="0"/>
    <n v="0"/>
    <n v="0"/>
    <n v="0"/>
    <n v="0"/>
    <n v="0"/>
    <s v="MoWT"/>
    <s v="016 Ministry of Works and Transport"/>
    <s v="MoLHUD, MoLG"/>
  </r>
  <r>
    <x v="11"/>
    <x v="11"/>
    <n v="101"/>
    <s v="Physical Planning and Urbanization "/>
    <s v="1012"/>
    <s v="Promote urban housing market and provide decent housing for all"/>
    <s v="102207"/>
    <s v="Promote the production and use of sustainable housing materials and technologies"/>
    <m/>
    <m/>
    <s v="10220701"/>
    <s v="Sustainable low-cost housing materials produced"/>
    <s v="Cost of housing materials"/>
    <m/>
    <m/>
    <m/>
    <m/>
    <m/>
    <m/>
    <m/>
    <e v="#N/A"/>
    <s v="Determination of unit cost in building Construction"/>
    <n v="0"/>
    <n v="0"/>
    <n v="0"/>
    <n v="1"/>
    <n v="0"/>
    <n v="0"/>
    <n v="0"/>
    <n v="1"/>
    <n v="0.25"/>
    <m/>
    <n v="0"/>
    <n v="0"/>
    <n v="0"/>
    <n v="1.5"/>
    <n v="0"/>
    <n v="0"/>
    <n v="0"/>
    <s v="MoWT"/>
    <s v="016 Ministry of Works and Transport"/>
    <s v="N/A"/>
  </r>
  <r>
    <x v="11"/>
    <x v="11"/>
    <n v="101"/>
    <s v="Physical Planning and Urbanization "/>
    <s v="1013"/>
    <s v="Promote green and inclusive cities and urban areas"/>
    <s v="101301"/>
    <s v="Conserve and restore urban natural resource assets and increase urban carbon sinks"/>
    <m/>
    <m/>
    <s v="10130101"/>
    <s v="Urban wetlands and forests restored and preserved "/>
    <s v="Proportion of wetlands restored, %"/>
    <n v="10.9"/>
    <n v="11.02"/>
    <n v="11.14"/>
    <n v="11.26"/>
    <n v="11.38"/>
    <n v="11.5"/>
    <s v="MoLHUD"/>
    <s v="012 Ministry of Lands, Housing &amp; Urban Development"/>
    <s v="Map and gazette all urban natural resources assets in 16 cities"/>
    <n v="1"/>
    <n v="0"/>
    <n v="0"/>
    <n v="1"/>
    <n v="1"/>
    <n v="1"/>
    <n v="1"/>
    <n v="0"/>
    <n v="0.625"/>
    <m/>
    <n v="0"/>
    <n v="0"/>
    <n v="1"/>
    <n v="1"/>
    <m/>
    <n v="0"/>
    <n v="0"/>
    <s v="MoLHUD"/>
    <s v="012 Ministry of Lands, Housing &amp; Urban Development"/>
    <s v="MoKCC&amp;MA, MoWE, MoLG"/>
  </r>
  <r>
    <x v="11"/>
    <x v="11"/>
    <n v="101"/>
    <s v="Physical Planning and Urbanization "/>
    <s v="1013"/>
    <s v="Promote green and inclusive cities and urban areas"/>
    <s v="101301"/>
    <s v="Conserve and restore urban natural resource assets and increase urban carbon sinks"/>
    <m/>
    <m/>
    <s v="10130101"/>
    <s v="Urban wetlands and forests restored and preserved "/>
    <s v="Proportion of urban forest restored, %"/>
    <n v="9.1"/>
    <n v="10.28"/>
    <n v="11.64"/>
    <n v="12.64"/>
    <n v="13.82"/>
    <n v="15"/>
    <s v="MoLHUD"/>
    <s v="012 Ministry of Lands, Housing &amp; Urban Development"/>
    <s v="Prepare and implement restoration plans for 16 cities"/>
    <n v="1"/>
    <n v="0"/>
    <n v="0"/>
    <n v="0"/>
    <n v="0"/>
    <n v="1"/>
    <n v="0"/>
    <n v="1"/>
    <n v="0.375"/>
    <m/>
    <n v="0"/>
    <n v="0"/>
    <n v="0.5"/>
    <n v="0.6"/>
    <m/>
    <n v="0"/>
    <n v="0"/>
    <s v="MoLHUD"/>
    <s v="012 Ministry of Lands, Housing &amp; Urban Development"/>
    <s v="MoKCC&amp;MA, MoWE"/>
  </r>
  <r>
    <x v="11"/>
    <x v="11"/>
    <n v="101"/>
    <s v="Physical Planning and Urbanization "/>
    <s v="1013"/>
    <s v="Promote green and inclusive cities and urban areas"/>
    <s v="101301"/>
    <s v="Conserve and restore urban natural resource assets and increase urban carbon sinks"/>
    <m/>
    <m/>
    <s v="10130101"/>
    <s v="Urban wetlands and forests restored and preserved "/>
    <s v="Amount of GHG emissions "/>
    <n v="1.39"/>
    <n v="1.34"/>
    <n v="1.3"/>
    <n v="1.21"/>
    <n v="1.08"/>
    <n v="1"/>
    <s v="MoLHUD"/>
    <s v="012 Ministry of Lands, Housing &amp; Urban Development"/>
    <s v="Create public awareness on importance of preserving carbon sinks"/>
    <n v="1"/>
    <n v="0"/>
    <n v="0"/>
    <n v="1"/>
    <n v="1"/>
    <n v="1"/>
    <n v="0"/>
    <n v="1"/>
    <n v="0.625"/>
    <m/>
    <n v="0"/>
    <n v="0"/>
    <n v="0.12"/>
    <n v="0.12"/>
    <n v="0.12"/>
    <n v="0.12"/>
    <n v="0.24"/>
    <s v="MWE"/>
    <s v="019 Ministry of Water and Environment"/>
    <s v="N/A"/>
  </r>
  <r>
    <x v="11"/>
    <x v="11"/>
    <n v="101"/>
    <s v="Physical Planning and Urbanization "/>
    <s v="1013"/>
    <s v="Promote green and inclusive cities and urban areas"/>
    <s v="101301"/>
    <s v="Conserve and restore urban natural resource assets and increase urban carbon sinks"/>
    <m/>
    <m/>
    <s v="10130101"/>
    <s v="Urban wetlands and forests restored and preserved "/>
    <s v="Amount of GHG emissions "/>
    <m/>
    <m/>
    <m/>
    <m/>
    <m/>
    <m/>
    <m/>
    <e v="#N/A"/>
    <s v="Scale up the PHE model in cities and urban areas"/>
    <n v="1"/>
    <n v="1"/>
    <n v="0"/>
    <n v="1"/>
    <n v="1"/>
    <n v="1"/>
    <n v="0"/>
    <n v="0"/>
    <n v="0.625"/>
    <m/>
    <n v="0"/>
    <n v="0"/>
    <n v="0.6"/>
    <n v="0.6"/>
    <n v="0.6"/>
    <n v="0.6"/>
    <n v="1.2"/>
    <s v="MWE"/>
    <s v="019 Ministry of Water and Environment"/>
    <s v="N/A"/>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n v="3"/>
    <n v="5"/>
    <n v="8"/>
    <n v="10"/>
    <n v="13"/>
    <n v="16"/>
    <s v="MoLHUD"/>
    <s v="012 Ministry of Lands, Housing &amp; Urban Development"/>
    <s v="Conduct mapping of waste collectors in GKMA, cities and Municipalities"/>
    <n v="0"/>
    <n v="0"/>
    <n v="0"/>
    <n v="1"/>
    <n v="1"/>
    <n v="1"/>
    <n v="1"/>
    <n v="1"/>
    <n v="0.625"/>
    <m/>
    <n v="0"/>
    <n v="0"/>
    <n v="0.2"/>
    <n v="0.2"/>
    <n v="0.2"/>
    <n v="0.2"/>
    <n v="0.4"/>
    <s v="MoKCC&amp;MA"/>
    <s v="024 Minstry of Kampala Capital City and Metropolitan Affairs"/>
    <s v="N/A"/>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Build capacity of urban councils in waste management"/>
    <n v="1"/>
    <n v="1"/>
    <n v="0"/>
    <n v="1"/>
    <n v="0"/>
    <n v="1"/>
    <n v="1"/>
    <n v="1"/>
    <n v="0.75"/>
    <m/>
    <n v="0"/>
    <n v="0"/>
    <n v="0"/>
    <n v="0"/>
    <n v="10"/>
    <n v="12"/>
    <n v="22"/>
    <s v="MoLHUD"/>
    <s v="012 Ministry of Lands, Housing &amp; Urban Development"/>
    <s v="MoKCC&amp;MA, MoLG, MoWE"/>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Conduct research on appropriate technology to manage solid waste in urban centres"/>
    <n v="0"/>
    <n v="0"/>
    <n v="0"/>
    <n v="1"/>
    <n v="1"/>
    <n v="1"/>
    <n v="0"/>
    <n v="1"/>
    <n v="0.5"/>
    <m/>
    <n v="0"/>
    <n v="0.1"/>
    <n v="0.5"/>
    <n v="0"/>
    <n v="0"/>
    <n v="0"/>
    <n v="0"/>
    <s v="MoLHUD"/>
    <s v="012 Ministry of Lands, Housing &amp; Urban Development"/>
    <s v="MoKCC&amp;MA, MoLG"/>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Conduct behavior change and enforcement campaigns"/>
    <n v="0"/>
    <n v="0"/>
    <n v="0"/>
    <n v="1"/>
    <n v="0"/>
    <n v="1"/>
    <n v="1"/>
    <n v="0"/>
    <n v="0.375"/>
    <m/>
    <n v="0"/>
    <n v="0"/>
    <n v="0"/>
    <n v="0"/>
    <n v="0"/>
    <n v="0"/>
    <n v="0"/>
    <s v="MoLHUD"/>
    <s v="012 Ministry of Lands, Housing &amp; Urban Development"/>
    <s v="MoKCC&amp;MA, MoLG, MoGLSD"/>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Establish waste recycling enterprises and decentralized waste management centres"/>
    <n v="1"/>
    <n v="1"/>
    <n v="1"/>
    <n v="1"/>
    <n v="1"/>
    <n v="1"/>
    <n v="1"/>
    <n v="1"/>
    <n v="1"/>
    <m/>
    <n v="0"/>
    <n v="0"/>
    <n v="0.25"/>
    <n v="0.25"/>
    <n v="0.25"/>
    <n v="0.25"/>
    <n v="0.5"/>
    <s v="MWE"/>
    <s v="019 Ministry of Water and Environment"/>
    <s v="N/A"/>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Promote investments in PPPs in waste recovery and landfill management"/>
    <n v="0"/>
    <n v="0"/>
    <n v="0"/>
    <n v="1"/>
    <n v="0"/>
    <n v="0"/>
    <n v="1"/>
    <n v="1"/>
    <n v="0.375"/>
    <m/>
    <n v="0"/>
    <n v="0"/>
    <n v="0"/>
    <n v="0"/>
    <n v="0"/>
    <n v="0"/>
    <n v="0"/>
    <s v="MoKCC&amp;MA"/>
    <s v="024 Minstry of Kampala Capital City and Metropolitan Affairs"/>
    <s v="MoWE"/>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Promote waste to energy  conversion"/>
    <n v="1"/>
    <n v="1"/>
    <n v="1"/>
    <n v="1"/>
    <n v="1"/>
    <n v="1"/>
    <n v="1"/>
    <n v="1"/>
    <n v="1"/>
    <m/>
    <n v="0"/>
    <n v="0"/>
    <n v="1"/>
    <n v="1.2"/>
    <m/>
    <n v="10"/>
    <n v="10"/>
    <s v="MWE"/>
    <s v="019 Ministry of Water and Environment"/>
    <s v="N/A"/>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Promote Energy Efficiency, Conservation and provision of EE and RE technologies"/>
    <n v="0"/>
    <n v="0"/>
    <n v="1"/>
    <n v="1"/>
    <n v="1"/>
    <n v="1"/>
    <n v="0"/>
    <n v="1"/>
    <n v="0.625"/>
    <m/>
    <n v="0"/>
    <n v="0"/>
    <n v="0.6"/>
    <n v="0.7"/>
    <n v="0.8"/>
    <n v="0.9"/>
    <n v="1.7000000000000002"/>
    <s v="MEMD"/>
    <s v="017 Ministry of Energy and Mineral Development"/>
    <s v="MoWE"/>
  </r>
  <r>
    <x v="11"/>
    <x v="11"/>
    <n v="101"/>
    <s v="Physical Planning and Urbanization "/>
    <s v="1013"/>
    <s v="Promote green and inclusive cities and urban areas"/>
    <s v="101302"/>
    <s v="Undertake waste to wealth initiatives which promote a circular economy"/>
    <m/>
    <m/>
    <s v="10130201"/>
    <s v="Waste recycling technologies promoted"/>
    <s v="Number of urban areas recycling waste"/>
    <m/>
    <m/>
    <m/>
    <m/>
    <m/>
    <m/>
    <m/>
    <e v="#N/A"/>
    <s v="Review of the green building related aspects of the NBC and develop guidelines for enforcement"/>
    <n v="0"/>
    <n v="0"/>
    <n v="0"/>
    <n v="1"/>
    <n v="1"/>
    <n v="1"/>
    <n v="0"/>
    <n v="1"/>
    <n v="0.5"/>
    <m/>
    <n v="0"/>
    <n v="0"/>
    <n v="0.3"/>
    <n v="0"/>
    <n v="0"/>
    <n v="0"/>
    <n v="0"/>
    <s v="MoWT"/>
    <s v="016 Ministry of Works and Transport"/>
    <s v="NBRB"/>
  </r>
  <r>
    <x v="11"/>
    <x v="11"/>
    <n v="101"/>
    <s v="Physical Planning and Urbanization "/>
    <s v="1013"/>
    <s v="Promote green and inclusive cities and urban areas"/>
    <s v="101303"/>
    <s v="Develop green buildings, risk sensitive building codes and systems to promote energy efficient housing"/>
    <m/>
    <m/>
    <s v="10130301"/>
    <s v="Adequate, affordable and appropriate buildings constructed"/>
    <s v="Reduce the amount of energy produced by houses, %"/>
    <s v="66.2%[2] "/>
    <n v="63"/>
    <n v="60"/>
    <n v="57"/>
    <n v="55"/>
    <n v="52"/>
    <s v="MoLHUD"/>
    <s v="012 Ministry of Lands, Housing &amp; Urban Development"/>
    <s v="Implement energy efficient building codes"/>
    <n v="1"/>
    <n v="0"/>
    <n v="1"/>
    <n v="1"/>
    <n v="0"/>
    <n v="0"/>
    <n v="1"/>
    <n v="1"/>
    <n v="0.625"/>
    <m/>
    <n v="0"/>
    <n v="0"/>
    <n v="3.7"/>
    <n v="3.44"/>
    <m/>
    <m/>
    <n v="0"/>
    <s v="MoWT"/>
    <s v="016 Ministry of Works and Transport"/>
    <s v="NBRB"/>
  </r>
  <r>
    <x v="11"/>
    <x v="11"/>
    <n v="101"/>
    <s v="Physical Planning and Urbanization "/>
    <s v="1013"/>
    <s v="Promote green and inclusive cities and urban areas"/>
    <s v="101303"/>
    <s v="Develop green buildings, risk sensitive building codes and systems to promote energy efficient housing"/>
    <m/>
    <m/>
    <s v="10130301"/>
    <s v="Adequate, affordable and appropriate buildings constructed"/>
    <s v="Percentage of houses complying with green technology"/>
    <n v="30"/>
    <n v="35"/>
    <n v="40"/>
    <n v="45"/>
    <n v="50"/>
    <n v="55"/>
    <s v="MoLHUD"/>
    <s v="012 Ministry of Lands, Housing &amp; Urban Development"/>
    <s v="Establish  Nationwide House Energy Star Rating (NatHER) council "/>
    <n v="1"/>
    <n v="1"/>
    <n v="0"/>
    <n v="1"/>
    <n v="0"/>
    <n v="1"/>
    <n v="0"/>
    <n v="1"/>
    <n v="0.625"/>
    <m/>
    <n v="0"/>
    <n v="1"/>
    <n v="2"/>
    <n v="2.7"/>
    <n v="1"/>
    <n v="2"/>
    <n v="3"/>
    <s v="MoLHUD"/>
    <s v="012 Ministry of Lands, Housing &amp; Urban Development"/>
    <s v="NBRB, MoWE"/>
  </r>
  <r>
    <x v="11"/>
    <x v="11"/>
    <n v="101"/>
    <s v="Physical Planning and Urbanization "/>
    <s v="1013"/>
    <s v="Promote green and inclusive cities and urban areas"/>
    <s v="101303"/>
    <s v="Develop green buildings, risk sensitive building codes and systems to promote energy efficient housing"/>
    <m/>
    <m/>
    <s v="10130301"/>
    <s v="Adequate, affordable and appropriate buildings constructed"/>
    <s v="Percentage of houses with codes"/>
    <n v="18"/>
    <n v="25"/>
    <n v="31"/>
    <n v="37"/>
    <n v="43"/>
    <n v="50"/>
    <s v="MoLHUD"/>
    <s v="012 Ministry of Lands, Housing &amp; Urban Development"/>
    <s v="Create public awareness in green building in cities and MCs"/>
    <n v="0"/>
    <n v="0"/>
    <n v="0"/>
    <n v="1"/>
    <n v="1"/>
    <n v="1"/>
    <n v="1"/>
    <n v="1"/>
    <n v="0.625"/>
    <m/>
    <n v="0"/>
    <n v="0"/>
    <n v="2.2999999999999998"/>
    <n v="0.5"/>
    <m/>
    <m/>
    <n v="0"/>
    <s v="MoLHUD"/>
    <s v="012 Ministry of Lands, Housing &amp; Urban Development"/>
    <s v="NBRB, MoKCC&amp;MA, MoWE"/>
  </r>
  <r>
    <x v="11"/>
    <x v="11"/>
    <n v="101"/>
    <s v="Physical Planning and Urbanization "/>
    <s v="1013"/>
    <s v="Promote green and inclusive cities and urban areas"/>
    <s v="101303"/>
    <s v="Develop green buildings, risk sensitive building codes and systems to promote energy efficient housing"/>
    <m/>
    <m/>
    <s v="10130301"/>
    <s v="Adequate, affordable and appropriate buildings constructed"/>
    <s v="Percentage of houses with codes"/>
    <m/>
    <m/>
    <m/>
    <m/>
    <m/>
    <m/>
    <m/>
    <e v="#N/A"/>
    <s v="Capacity enhancement in green building concept"/>
    <n v="0"/>
    <n v="0"/>
    <n v="0"/>
    <n v="0"/>
    <n v="1"/>
    <n v="1"/>
    <n v="0"/>
    <n v="1"/>
    <n v="0.375"/>
    <m/>
    <n v="0"/>
    <n v="0"/>
    <n v="1.8"/>
    <n v="0.35"/>
    <m/>
    <m/>
    <n v="0"/>
    <s v="MoLHUD"/>
    <s v="012 Ministry of Lands, Housing &amp; Urban Development"/>
    <s v="NBRB, MoKCC&amp;MA, MoWE"/>
  </r>
  <r>
    <x v="11"/>
    <x v="11"/>
    <n v="101"/>
    <s v="Physical Planning and Urbanization "/>
    <s v="1013"/>
    <s v="Promote green and inclusive cities and urban areas"/>
    <s v="101303"/>
    <s v="Develop green buildings, risk sensitive building codes and systems to promote energy efficient housing"/>
    <m/>
    <m/>
    <s v="10130301"/>
    <s v="Adequate, affordable and appropriate buildings constructed"/>
    <s v="Percentage of houses with codes"/>
    <m/>
    <m/>
    <m/>
    <m/>
    <m/>
    <m/>
    <m/>
    <e v="#N/A"/>
    <s v="Conduct research on the relationship between green buildings and occupational accidents, injuries and diseases"/>
    <n v="0"/>
    <n v="0"/>
    <n v="0"/>
    <n v="1"/>
    <n v="1"/>
    <n v="0"/>
    <n v="1"/>
    <n v="1"/>
    <n v="0.5"/>
    <m/>
    <n v="0"/>
    <n v="0"/>
    <n v="0"/>
    <n v="0"/>
    <m/>
    <n v="0"/>
    <n v="0"/>
    <s v="MoWT"/>
    <s v="016 Ministry of Works and Transport"/>
    <s v="NBRB, MoLHUD"/>
  </r>
  <r>
    <x v="11"/>
    <x v="11"/>
    <n v="101"/>
    <s v="Physical Planning and Urbanization "/>
    <s v="1013"/>
    <s v="Promote green and inclusive cities and urban areas"/>
    <s v="101304"/>
    <s v="Promote mass transport and non-motorized transit in city"/>
    <m/>
    <m/>
    <s v="10130401"/>
    <s v="Urban Physical Devt plans produced"/>
    <s v="Number of Urban areas with updated physical plans"/>
    <n v="14"/>
    <n v="32"/>
    <n v="41"/>
    <n v="53"/>
    <n v="67"/>
    <n v="82"/>
    <s v="MoLHUD"/>
    <s v="012 Ministry of Lands, Housing &amp; Urban Development"/>
    <s v="Develop and implement non-motorized transport (NMT) plans for 16 cities  &amp; 31 MCs"/>
    <n v="0"/>
    <n v="0"/>
    <n v="0"/>
    <n v="0"/>
    <n v="1"/>
    <n v="1"/>
    <n v="1"/>
    <n v="1"/>
    <n v="0.5"/>
    <m/>
    <n v="0"/>
    <n v="0"/>
    <n v="0.4"/>
    <n v="0.4"/>
    <m/>
    <m/>
    <n v="0"/>
    <s v="MoWT"/>
    <s v="016 Ministry of Works and Transport"/>
    <s v="MoWT, MoLHUD, MoLG"/>
  </r>
  <r>
    <x v="11"/>
    <x v="11"/>
    <n v="101"/>
    <s v="Physical Planning and Urbanization "/>
    <s v="1013"/>
    <s v="Promote green and inclusive cities and urban areas"/>
    <s v="101304"/>
    <s v="Promote mass transport and non-motorized transit in city"/>
    <m/>
    <m/>
    <s v="10130402"/>
    <s v="NMT Strategy in place"/>
    <s v="Number of Urban Authorities adopting NMT Strategy action plan"/>
    <n v="0"/>
    <n v="10"/>
    <n v="20"/>
    <n v="30"/>
    <n v="40"/>
    <n v="50"/>
    <s v="MoLHUD"/>
    <s v="012 Ministry of Lands, Housing &amp; Urban Development"/>
    <s v="Integrate NMT facilities in 16 cities &amp; 31 MCs"/>
    <n v="0"/>
    <n v="0"/>
    <n v="0"/>
    <n v="0"/>
    <n v="1"/>
    <n v="1"/>
    <n v="1"/>
    <n v="1"/>
    <n v="0.5"/>
    <m/>
    <n v="0"/>
    <n v="0"/>
    <n v="0.6"/>
    <n v="0.7"/>
    <m/>
    <m/>
    <n v="0"/>
    <s v="MoWT"/>
    <s v="016 Ministry of Works and Transport"/>
    <s v="MoLHUD, MoLG"/>
  </r>
  <r>
    <x v="11"/>
    <x v="11"/>
    <n v="101"/>
    <s v="Physical Planning and Urbanization "/>
    <s v="1013"/>
    <s v="Promote green and inclusive cities and urban areas"/>
    <s v="101304"/>
    <s v="Promote mass transport and non-motorized transit in city"/>
    <m/>
    <m/>
    <s v="10130402"/>
    <s v="NMT Strategy in place"/>
    <s v="Number of Urban Authorities adopting NMT Strategy action plan"/>
    <m/>
    <m/>
    <m/>
    <m/>
    <m/>
    <m/>
    <m/>
    <e v="#N/A"/>
    <s v="Promote use of NMT designated routes in 16 cities and 31 MCs"/>
    <n v="0"/>
    <n v="0"/>
    <n v="0"/>
    <n v="0"/>
    <n v="0"/>
    <n v="0"/>
    <n v="1"/>
    <n v="1"/>
    <n v="0.25"/>
    <m/>
    <n v="0"/>
    <n v="0"/>
    <n v="0.2"/>
    <n v="0.2"/>
    <m/>
    <m/>
    <n v="0"/>
    <s v="MoWT"/>
    <s v="016 Ministry of Works and Transport"/>
    <s v="N/A"/>
  </r>
  <r>
    <x v="11"/>
    <x v="11"/>
    <n v="101"/>
    <s v="Physical Planning and Urbanization "/>
    <s v="1013"/>
    <s v="Promote green and inclusive cities and urban areas"/>
    <s v="101305"/>
    <s v="Increase urban resilience by mitigating against risks of accidents, fires and flood flooding specifically focusing on"/>
    <m/>
    <m/>
    <s v="10130501"/>
    <s v="Increased urban resilience by mitigating against risks of accidents, fires and flood flooding"/>
    <m/>
    <m/>
    <m/>
    <m/>
    <m/>
    <m/>
    <m/>
    <m/>
    <e v="#N/A"/>
    <s v="Develop policy tools to build urban resilience "/>
    <n v="0"/>
    <n v="0"/>
    <n v="0"/>
    <n v="1"/>
    <n v="0"/>
    <n v="0"/>
    <n v="0"/>
    <n v="0"/>
    <n v="0.125"/>
    <m/>
    <n v="0"/>
    <n v="0.4"/>
    <n v="0.6"/>
    <n v="0.7"/>
    <m/>
    <m/>
    <n v="0"/>
    <s v="MoLHUD"/>
    <s v="012 Ministry of Lands, Housing &amp; Urban Development"/>
    <s v="N/A"/>
  </r>
  <r>
    <x v="11"/>
    <x v="11"/>
    <n v="101"/>
    <s v="Physical Planning and Urbanization "/>
    <s v="1013"/>
    <s v="Promote green and inclusive cities and urban areas"/>
    <s v="101305"/>
    <s v="Increase urban resilience by mitigating against risks of accidents, fires and flood flooding specifically focusing on"/>
    <m/>
    <m/>
    <s v="10130501"/>
    <s v="Increased urban resilience by mitigating against risks of accidents, fires and flood flooding"/>
    <m/>
    <m/>
    <m/>
    <m/>
    <m/>
    <m/>
    <m/>
    <m/>
    <e v="#N/A"/>
    <s v="Undertake urban risk assessment "/>
    <n v="0"/>
    <n v="0"/>
    <n v="0"/>
    <n v="1"/>
    <n v="0"/>
    <n v="0"/>
    <n v="1"/>
    <n v="1"/>
    <n v="0.375"/>
    <m/>
    <n v="0"/>
    <n v="0"/>
    <n v="0.8"/>
    <n v="0.8"/>
    <m/>
    <m/>
    <n v="0"/>
    <s v="MoLHUD"/>
    <s v="012 Ministry of Lands, Housing &amp; Urban Development"/>
    <s v="MoKCC&amp;MA, MoWE"/>
  </r>
  <r>
    <x v="11"/>
    <x v="11"/>
    <n v="101"/>
    <s v="Physical Planning and Urbanization "/>
    <s v="1013"/>
    <s v="Promote green and inclusive cities and urban areas"/>
    <s v="101305"/>
    <s v="Increase urban resilience by mitigating against risks of accidents, fires and flood flooding specifically focusing on"/>
    <m/>
    <m/>
    <s v="10130501"/>
    <s v="Increased urban resilience by mitigating against risks of accidents, fires and flood flooding"/>
    <m/>
    <m/>
    <m/>
    <m/>
    <m/>
    <m/>
    <m/>
    <m/>
    <e v="#N/A"/>
    <s v="Design climate proof urban infrastructure plans for the 16 cities"/>
    <n v="1"/>
    <n v="1"/>
    <n v="0"/>
    <n v="1"/>
    <n v="1"/>
    <n v="1"/>
    <n v="1"/>
    <n v="1"/>
    <n v="0.875"/>
    <m/>
    <n v="0"/>
    <n v="0.4"/>
    <n v="0.6"/>
    <n v="0.7"/>
    <n v="5"/>
    <n v="5"/>
    <n v="10"/>
    <s v="MoLHUD"/>
    <s v="012 Ministry of Lands, Housing &amp; Urban Development"/>
    <s v="MoKCC&amp;MA, MoLG"/>
  </r>
  <r>
    <x v="11"/>
    <x v="11"/>
    <n v="101"/>
    <s v="Physical Planning and Urbanization "/>
    <s v="1013"/>
    <s v="Promote green and inclusive cities and urban areas"/>
    <s v="101305"/>
    <s v="Increase urban resilience by mitigating against risks of accidents, fires and flood flooding specifically focusing on"/>
    <s v="101305a"/>
    <s v="Strengthen effective early warning systems"/>
    <s v="101305a01"/>
    <s v="Effective early warning system structures set"/>
    <s v="Number of early warning systems set in Urban Areas"/>
    <n v="14"/>
    <n v="32"/>
    <n v="41"/>
    <n v="53"/>
    <n v="67"/>
    <n v="82"/>
    <s v="MoLHUD"/>
    <s v="012 Ministry of Lands, Housing &amp; Urban Development"/>
    <s v="Develop early warning and detection (Flooding, earthquake and Landslides) systems in 7 regions as per NPDP"/>
    <n v="1"/>
    <n v="1"/>
    <n v="0"/>
    <n v="1"/>
    <n v="1"/>
    <n v="1"/>
    <n v="1"/>
    <n v="1"/>
    <n v="0.875"/>
    <m/>
    <n v="0"/>
    <n v="0"/>
    <n v="4"/>
    <n v="6"/>
    <n v="1"/>
    <n v="1"/>
    <n v="2"/>
    <s v="MWE"/>
    <s v="019 Ministry of Water and Environment"/>
    <s v="N/A"/>
  </r>
  <r>
    <x v="11"/>
    <x v="11"/>
    <n v="101"/>
    <s v="Physical Planning and Urbanization "/>
    <s v="1013"/>
    <s v="Promote green and inclusive cities and urban areas"/>
    <s v="101305"/>
    <s v="Increase urban resilience by mitigating against risks of accidents, fires and flood flooding specifically focusing on"/>
    <s v="101305a"/>
    <s v="Strengthen effective early warning systems"/>
    <s v="101305a01"/>
    <s v="Effective early warning system structures set"/>
    <s v="Number of early warning systems set in Urban Areas"/>
    <m/>
    <m/>
    <m/>
    <m/>
    <m/>
    <m/>
    <m/>
    <e v="#N/A"/>
    <s v="Generate and disseminate early warning information at all levels through UNIEWS"/>
    <n v="1"/>
    <n v="1"/>
    <n v="0"/>
    <n v="1"/>
    <n v="1"/>
    <n v="1"/>
    <n v="1"/>
    <n v="1"/>
    <n v="0.875"/>
    <m/>
    <n v="0"/>
    <n v="0"/>
    <n v="7.0000000000000007E-2"/>
    <n v="7.0000000000000007E-2"/>
    <m/>
    <m/>
    <n v="0"/>
    <s v="MWE"/>
    <s v="019 Ministry of Water and Environment"/>
    <s v="N/A"/>
  </r>
  <r>
    <x v="11"/>
    <x v="11"/>
    <n v="101"/>
    <s v="Physical Planning and Urbanization "/>
    <s v="1013"/>
    <s v="Promote green and inclusive cities and urban areas"/>
    <s v="101305"/>
    <s v="Increase urban resilience by mitigating against risks of accidents, fires and flood flooding specifically focusing on"/>
    <s v="101305a"/>
    <s v="Strengthen effective early warning systems"/>
    <s v="101305a01"/>
    <s v="Effective early warning system structures set"/>
    <s v="Number of early warning systems set in Urban Areas"/>
    <m/>
    <m/>
    <m/>
    <m/>
    <m/>
    <m/>
    <m/>
    <e v="#N/A"/>
    <s v="Develop disaster contingency Plans for national and LGs"/>
    <n v="0"/>
    <n v="0"/>
    <n v="0"/>
    <n v="1"/>
    <n v="1"/>
    <n v="1"/>
    <n v="1"/>
    <n v="0"/>
    <n v="0.5"/>
    <m/>
    <n v="0"/>
    <n v="0.6"/>
    <n v="0.65"/>
    <n v="0.65"/>
    <m/>
    <m/>
    <n v="0"/>
    <s v="MWE"/>
    <s v="019 Ministry of Water and Environment"/>
    <s v="N/A"/>
  </r>
  <r>
    <x v="11"/>
    <x v="11"/>
    <n v="101"/>
    <s v="Physical Planning and Urbanization "/>
    <s v="1013"/>
    <s v="Promote green and inclusive cities and urban areas"/>
    <s v="101305"/>
    <s v="Increase urban resilience by mitigating against risks of accidents, fires and flood flooding specifically focusing on"/>
    <s v="101305a"/>
    <s v="Strengthen effective early warning systems"/>
    <s v="101305a01"/>
    <s v="Effective early warning system structures set"/>
    <s v="Number of early warning systems set in Urban Areas"/>
    <m/>
    <m/>
    <m/>
    <m/>
    <m/>
    <m/>
    <m/>
    <e v="#N/A"/>
    <s v="Carry out community sensitization on disaster risk avoidance, mitigation and rapid response"/>
    <n v="0"/>
    <n v="0"/>
    <n v="0"/>
    <n v="1"/>
    <n v="1"/>
    <n v="1"/>
    <n v="1"/>
    <n v="0"/>
    <n v="0.5"/>
    <m/>
    <n v="0"/>
    <n v="0.4"/>
    <n v="0.6"/>
    <n v="0.7"/>
    <m/>
    <m/>
    <n v="0"/>
    <s v="MWE"/>
    <s v="019 Ministry of Water and Environment"/>
    <s v="MoLHUD, MoLG"/>
  </r>
  <r>
    <x v="11"/>
    <x v="11"/>
    <n v="101"/>
    <s v="Physical Planning and Urbanization "/>
    <s v="1013"/>
    <s v="Promote green and inclusive cities and urban areas"/>
    <s v="101305"/>
    <s v="Increase urban resilience by mitigating against risks of accidents, fires and flood flooding specifically focusing on"/>
    <s v="101305a"/>
    <s v="Strengthen effective early warning systems"/>
    <s v="101305a01"/>
    <s v="Effective early warning system structures set"/>
    <s v="Number of early warning systems set in Urban Areas"/>
    <m/>
    <m/>
    <m/>
    <m/>
    <m/>
    <m/>
    <m/>
    <e v="#N/A"/>
    <s v="Implement drainage master plans for 16 cities and 31 municipalities"/>
    <n v="1"/>
    <n v="1"/>
    <n v="0"/>
    <n v="0"/>
    <n v="1"/>
    <n v="1"/>
    <n v="1"/>
    <n v="1"/>
    <n v="0.75"/>
    <m/>
    <n v="0"/>
    <n v="0"/>
    <n v="0.6"/>
    <n v="4.7"/>
    <n v="15"/>
    <n v="20"/>
    <n v="35"/>
    <s v="MoLHUD"/>
    <s v="012 Ministry of Lands, Housing &amp; Urban Development"/>
    <s v="MoLHUD, MoLG"/>
  </r>
  <r>
    <x v="11"/>
    <x v="11"/>
    <n v="101"/>
    <s v="Physical Planning and Urbanization "/>
    <s v="1013"/>
    <s v="Promote green and inclusive cities and urban areas"/>
    <s v="101305"/>
    <s v="Increase urban resilience by mitigating against risks of accidents, fires and flood flooding specifically focusing on"/>
    <s v="101305b"/>
    <s v="Improve emergency responses"/>
    <s v="101305b01"/>
    <s v="Timely responses to emergencies promoted"/>
    <s v="Hours taken to respond to an emergency"/>
    <n v="3"/>
    <n v="2"/>
    <n v="1.6"/>
    <n v="1.2"/>
    <n v="0.5"/>
    <n v="0.3"/>
    <s v="MoLHUD"/>
    <s v="012 Ministry of Lands, Housing &amp; Urban Development"/>
    <s v="Establish and implement paramedical units to timely respond to emergencies  "/>
    <n v="0"/>
    <n v="0"/>
    <n v="0"/>
    <n v="0"/>
    <n v="1"/>
    <n v="0"/>
    <n v="0"/>
    <n v="0"/>
    <n v="0.125"/>
    <m/>
    <n v="0"/>
    <n v="2"/>
    <n v="1.6"/>
    <n v="1.2"/>
    <m/>
    <m/>
    <n v="0"/>
    <s v="MoH"/>
    <s v="014 Ministry of Health"/>
    <s v="OPM"/>
  </r>
  <r>
    <x v="11"/>
    <x v="11"/>
    <n v="101"/>
    <s v="Physical Planning and Urbanization "/>
    <s v="1013"/>
    <s v="Promote green and inclusive cities and urban areas"/>
    <s v="101305"/>
    <s v="Increase urban resilience by mitigating against risks of accidents, fires and flood flooding specifically focusing on"/>
    <s v="101305b"/>
    <s v="Improve emergency responses"/>
    <s v="101305b01"/>
    <s v="Timely responses to emergencies promoted"/>
    <m/>
    <m/>
    <m/>
    <m/>
    <m/>
    <m/>
    <m/>
    <m/>
    <e v="#N/A"/>
    <s v="Develop SOPs and Emergency evacuation guidelines for the public"/>
    <n v="0"/>
    <n v="0"/>
    <n v="0"/>
    <n v="0"/>
    <n v="0"/>
    <n v="0"/>
    <n v="0"/>
    <n v="0"/>
    <n v="0"/>
    <m/>
    <n v="0"/>
    <n v="0.7"/>
    <n v="0.8"/>
    <n v="0.7"/>
    <m/>
    <m/>
    <n v="0"/>
    <s v="OPM"/>
    <s v="003 Office of the Prime Minister"/>
    <s v="N/A"/>
  </r>
  <r>
    <x v="11"/>
    <x v="11"/>
    <n v="101"/>
    <s v="Physical Planning and Urbanization "/>
    <s v="1013"/>
    <s v="Promote green and inclusive cities and urban areas"/>
    <s v="101305"/>
    <s v="Increase urban resilience by mitigating against risks of accidents, fires and flood flooding specifically focusing on"/>
    <s v="101305b"/>
    <s v="Improve emergency responses"/>
    <s v="101305b01"/>
    <s v="Timely responses to emergencies promoted"/>
    <m/>
    <m/>
    <m/>
    <m/>
    <m/>
    <m/>
    <m/>
    <m/>
    <e v="#N/A"/>
    <s v="Procure rapid response capability at national and sub-national levels"/>
    <n v="0"/>
    <n v="0"/>
    <n v="0"/>
    <n v="0"/>
    <n v="0"/>
    <n v="0"/>
    <n v="0"/>
    <n v="0"/>
    <n v="0"/>
    <m/>
    <n v="0"/>
    <n v="8"/>
    <n v="8"/>
    <n v="8"/>
    <m/>
    <m/>
    <n v="0"/>
    <s v="OPM"/>
    <s v="003 Office of the Prime Minister"/>
    <s v="N/A"/>
  </r>
  <r>
    <x v="11"/>
    <x v="11"/>
    <n v="101"/>
    <s v="Physical Planning and Urbanization "/>
    <s v="1013"/>
    <s v="Promote green and inclusive cities and urban areas"/>
    <s v="101305"/>
    <s v="Increase urban resilience by mitigating against risks of accidents, fires and flood flooding specifically focusing on"/>
    <s v="101305b"/>
    <s v="Improve emergency responses"/>
    <s v="101305b01"/>
    <s v="Timely responses to emergencies promoted"/>
    <m/>
    <m/>
    <m/>
    <m/>
    <m/>
    <m/>
    <m/>
    <m/>
    <e v="#N/A"/>
    <s v="Train first responders in Incident Command Systems at all levels"/>
    <n v="0"/>
    <n v="0"/>
    <n v="0"/>
    <n v="0"/>
    <n v="0"/>
    <n v="0"/>
    <n v="0"/>
    <n v="0"/>
    <n v="0"/>
    <m/>
    <n v="0"/>
    <n v="0.4"/>
    <n v="0.6"/>
    <n v="0.7"/>
    <m/>
    <m/>
    <n v="0"/>
    <s v="OPM"/>
    <s v="003 Office of the Prime Minister"/>
    <s v="MOH"/>
  </r>
  <r>
    <x v="11"/>
    <x v="11"/>
    <n v="101"/>
    <s v="Physical Planning and Urbanization "/>
    <s v="1013"/>
    <s v="Promote green and inclusive cities and urban areas"/>
    <s v="101305"/>
    <s v="Increase urban resilience by mitigating against risks of accidents, fires and flood flooding specifically focusing on"/>
    <s v="101305b"/>
    <s v="Improve emergency responses"/>
    <s v="101305b01"/>
    <s v="Timely responses to emergencies promoted"/>
    <m/>
    <m/>
    <m/>
    <m/>
    <m/>
    <m/>
    <m/>
    <m/>
    <e v="#N/A"/>
    <s v="Resettle persons at high risk of disasters like landslides to safe areas"/>
    <n v="0"/>
    <n v="0"/>
    <n v="0"/>
    <n v="0"/>
    <n v="0"/>
    <n v="0"/>
    <n v="0"/>
    <n v="0"/>
    <n v="0"/>
    <m/>
    <n v="0"/>
    <n v="0.4"/>
    <n v="0.6"/>
    <n v="0.7"/>
    <m/>
    <m/>
    <n v="0"/>
    <s v="OPM"/>
    <s v="003 Office of the Prime Minister"/>
    <s v="N/A"/>
  </r>
  <r>
    <x v="11"/>
    <x v="11"/>
    <n v="101"/>
    <s v="Physical Planning and Urbanization "/>
    <s v="1013"/>
    <s v="Promote green and inclusive cities and urban areas"/>
    <s v="101306"/>
    <s v="Develop and protect green belts"/>
    <m/>
    <m/>
    <s v="10130601"/>
    <s v="Green belts protected"/>
    <s v="Hectare of green belts protected"/>
    <n v="120"/>
    <n v="300"/>
    <n v="600"/>
    <n v="913"/>
    <n v="1200"/>
    <n v="2000"/>
    <s v="MoLHUD"/>
    <s v="012 Ministry of Lands, Housing &amp; Urban Development"/>
    <s v="Plant and protect green belts"/>
    <n v="1"/>
    <n v="0"/>
    <n v="0"/>
    <n v="1"/>
    <n v="1"/>
    <n v="1"/>
    <n v="1"/>
    <n v="1"/>
    <n v="0.75"/>
    <m/>
    <n v="0"/>
    <n v="0.55000000000000004"/>
    <n v="0.57999999999999996"/>
    <n v="0.61"/>
    <n v="2"/>
    <n v="3"/>
    <n v="5"/>
    <s v="MoLHUD"/>
    <s v="012 Ministry of Lands, Housing &amp; Urban Development"/>
    <s v="N/A"/>
  </r>
  <r>
    <x v="11"/>
    <x v="11"/>
    <n v="101"/>
    <s v="Physical Planning and Urbanization "/>
    <s v="1013"/>
    <s v="Promote green and inclusive cities and urban areas"/>
    <s v="101306"/>
    <s v="Develop and protect green belts"/>
    <m/>
    <m/>
    <s v="10130602"/>
    <s v="Road islands developed and protected"/>
    <s v="Proportion of urban roads with green road islands developed"/>
    <n v="4"/>
    <n v="13"/>
    <n v="19"/>
    <n v="29"/>
    <n v="40"/>
    <n v="50"/>
    <s v="MoLHUD"/>
    <s v="012 Ministry of Lands, Housing &amp; Urban Development"/>
    <s v="Plant and beautify road islands and reserves. "/>
    <n v="1"/>
    <n v="0"/>
    <n v="0"/>
    <n v="1"/>
    <n v="1"/>
    <n v="1"/>
    <n v="0"/>
    <n v="0"/>
    <n v="0.5"/>
    <m/>
    <n v="0"/>
    <n v="3"/>
    <n v="3"/>
    <n v="3"/>
    <m/>
    <m/>
    <n v="0"/>
    <s v="MoLHUD"/>
    <s v="012 Ministry of Lands, Housing &amp; Urban Development"/>
    <s v="N/A"/>
  </r>
  <r>
    <x v="11"/>
    <x v="11"/>
    <n v="101"/>
    <s v="Physical Planning and Urbanization "/>
    <s v="1013"/>
    <s v="Promote green and inclusive cities and urban areas"/>
    <s v="101307"/>
    <s v="Establish and develop public open spaces"/>
    <m/>
    <m/>
    <s v="10130701"/>
    <s v="Open spaces developed and protected"/>
    <s v="Proportion of open spaces protected "/>
    <n v="5"/>
    <n v="10"/>
    <n v="16"/>
    <n v="20"/>
    <n v="26"/>
    <n v="30"/>
    <s v="MoLHUD"/>
    <s v="012 Ministry of Lands, Housing &amp; Urban Development"/>
    <s v="Develop and protect public open spaces in 16 cities and 31 MCs"/>
    <n v="1"/>
    <n v="0"/>
    <n v="0"/>
    <n v="1"/>
    <n v="1"/>
    <n v="1"/>
    <n v="1"/>
    <n v="1"/>
    <n v="0.75"/>
    <m/>
    <n v="0"/>
    <n v="5.4363930095484241"/>
    <n v="5.8"/>
    <n v="6.09"/>
    <n v="1"/>
    <n v="1"/>
    <n v="2"/>
    <s v="MoLHUD"/>
    <s v="012 Ministry of Lands, Housing &amp; Urban Development"/>
    <s v="N/A"/>
  </r>
  <r>
    <x v="11"/>
    <x v="11"/>
    <n v="102"/>
    <s v="Housing Development"/>
    <s v="1024"/>
    <s v="Enable balanced and productive national urban system"/>
    <s v="102401"/>
    <s v="Develop and implement integrated physical and economic development plans in the new cities and other urban areas"/>
    <m/>
    <m/>
    <s v="10240101"/>
    <s v="Integrated physical and economic development plans for cities"/>
    <s v="Proportion of cities with integrated physical and economic development plans"/>
    <n v="0"/>
    <n v="10"/>
    <n v="50"/>
    <n v="100"/>
    <n v="100"/>
    <n v="100"/>
    <s v="MoLHUD"/>
    <s v="012 Ministry of Lands, Housing &amp; Urban Development"/>
    <s v="Prepare integrated physical and economic development plans (16) cities and implement basic infrastructure. "/>
    <n v="1"/>
    <n v="1"/>
    <n v="0"/>
    <n v="1"/>
    <n v="1"/>
    <n v="1"/>
    <n v="1"/>
    <n v="1"/>
    <n v="0.875"/>
    <m/>
    <n v="0"/>
    <n v="0"/>
    <n v="22"/>
    <n v="23"/>
    <n v="30"/>
    <n v="45"/>
    <n v="75"/>
    <s v="MoLHUD"/>
    <s v="012 Ministry of Lands, Housing &amp; Urban Development"/>
    <s v="MoKCC&amp;MA"/>
  </r>
  <r>
    <x v="11"/>
    <x v="11"/>
    <n v="102"/>
    <s v="Housing Development"/>
    <s v="1024"/>
    <s v="Enable balanced and productive national urban system"/>
    <s v="102401"/>
    <s v="Develop and implement integrated physical and economic development plans in the new cities and other urban areas"/>
    <m/>
    <m/>
    <s v="10240101"/>
    <s v="Integrated physical and economic development plans for cities"/>
    <s v="Proportion of cities with integrated physical and economic development plans"/>
    <m/>
    <m/>
    <m/>
    <m/>
    <m/>
    <m/>
    <m/>
    <e v="#N/A"/>
    <s v="Prepare and implement detailed plans for all cities and Municipal Councils"/>
    <n v="1"/>
    <n v="1"/>
    <n v="1"/>
    <n v="1"/>
    <n v="1"/>
    <n v="1"/>
    <n v="1"/>
    <n v="1"/>
    <n v="1"/>
    <m/>
    <n v="0"/>
    <n v="78.031999999999996"/>
    <n v="18.032"/>
    <n v="48.031999999999996"/>
    <n v="30"/>
    <n v="30"/>
    <n v="60"/>
    <s v="MoLHUD"/>
    <s v="012 Ministry of Lands, Housing &amp; Urban Development"/>
    <s v="MoKCC&amp;MA"/>
  </r>
  <r>
    <x v="11"/>
    <x v="11"/>
    <n v="102"/>
    <s v="Housing Development"/>
    <s v="1024"/>
    <s v="Enable balanced and productive national urban system"/>
    <s v="102401"/>
    <s v="Develop and implement integrated physical and economic development plans in the new cities and other urban areas"/>
    <m/>
    <m/>
    <s v="10240102"/>
    <s v="Integrated physical and economic development plans for regions "/>
    <s v="Proportion of regions with integrated physical and economic development plans"/>
    <n v="0"/>
    <n v="10"/>
    <n v="50"/>
    <n v="100"/>
    <n v="100"/>
    <n v="100"/>
    <s v="MoLHUD"/>
    <s v="012 Ministry of Lands, Housing &amp; Urban Development"/>
    <s v="Sensitize stakeholders on physical development planning during planning and implementation for orderly dev’t"/>
    <n v="1"/>
    <n v="1"/>
    <n v="0"/>
    <n v="1"/>
    <n v="0"/>
    <n v="1"/>
    <n v="1"/>
    <n v="1"/>
    <n v="0.75"/>
    <m/>
    <n v="0"/>
    <n v="0"/>
    <n v="0"/>
    <n v="1"/>
    <n v="3"/>
    <n v="2"/>
    <n v="5"/>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2"/>
    <s v="Integrated physical and economic development plans for cities developed"/>
    <m/>
    <m/>
    <m/>
    <m/>
    <m/>
    <m/>
    <m/>
    <m/>
    <e v="#N/A"/>
    <s v="Prepare detailed large scale topographic maps for 16 cities to address prior challenges caused by inaccurate road alignments, buildings, utility line, etc responding to orderly and cost effective urban development.  "/>
    <n v="1"/>
    <n v="1"/>
    <n v="0"/>
    <n v="1"/>
    <n v="1"/>
    <n v="1"/>
    <n v="1"/>
    <n v="1"/>
    <n v="0.875"/>
    <m/>
    <n v="0"/>
    <n v="0.15"/>
    <n v="0.35"/>
    <n v="0.6"/>
    <n v="1"/>
    <n v="1"/>
    <n v="2"/>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3"/>
    <s v="Integrated physical and economic development plans for LGs"/>
    <s v="Proportion of LGs with Integrated physical and economic development plans "/>
    <n v="0"/>
    <n v="10"/>
    <n v="50"/>
    <n v="100"/>
    <n v="100"/>
    <n v="100"/>
    <s v="MoLHUD"/>
    <s v="012 Ministry of Lands, Housing &amp; Urban Development"/>
    <s v="Develop an urban growth and development strategy taking into account Population &amp; Development priorities"/>
    <n v="1"/>
    <n v="1"/>
    <n v="0"/>
    <n v="1"/>
    <n v="0"/>
    <n v="1"/>
    <n v="0"/>
    <n v="1"/>
    <n v="0.625"/>
    <m/>
    <n v="0"/>
    <n v="0"/>
    <n v="0.15"/>
    <n v="0.15"/>
    <n v="5"/>
    <n v="10"/>
    <n v="15"/>
    <s v="MoLHUD"/>
    <s v="012 Ministry of Lands, Housing &amp; Urban Development"/>
    <s v="MoKCC&amp;MA"/>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n v="0"/>
    <n v="10"/>
    <n v="50"/>
    <n v="100"/>
    <n v="100"/>
    <n v="100"/>
    <s v="MoLHUD"/>
    <s v="012 Ministry of Lands, Housing &amp; Urban Development"/>
    <s v="Undertake investigative studies to inform planning for cities and other urban areas"/>
    <n v="0"/>
    <n v="0"/>
    <n v="0"/>
    <n v="1"/>
    <n v="0"/>
    <n v="0"/>
    <n v="0"/>
    <n v="1"/>
    <n v="0.25"/>
    <m/>
    <n v="0"/>
    <n v="0"/>
    <n v="0.3"/>
    <n v="0"/>
    <n v="0"/>
    <m/>
    <n v="0"/>
    <s v="MoLHUD"/>
    <s v="012 Ministry of Lands, Housing &amp; Urban Development"/>
    <s v="MoKCC&amp;MA"/>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m/>
    <m/>
    <m/>
    <m/>
    <m/>
    <m/>
    <m/>
    <e v="#N/A"/>
    <s v="Build capacity of leaders in cities and urban areas on Population &amp; Development issues including harnessing the Demographic Dividend"/>
    <n v="0"/>
    <n v="0"/>
    <n v="0"/>
    <n v="1"/>
    <n v="1"/>
    <n v="0"/>
    <n v="0"/>
    <n v="0"/>
    <n v="0.25"/>
    <m/>
    <n v="0"/>
    <n v="0"/>
    <n v="0.5"/>
    <n v="0.5"/>
    <m/>
    <m/>
    <n v="0"/>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m/>
    <m/>
    <m/>
    <m/>
    <m/>
    <m/>
    <m/>
    <e v="#N/A"/>
    <s v="Implement PDPs in 16 cities, 20 municipalities  and 422 town councils"/>
    <n v="1"/>
    <n v="1"/>
    <n v="0"/>
    <n v="1"/>
    <n v="0"/>
    <n v="1"/>
    <n v="1"/>
    <n v="1"/>
    <n v="0.75"/>
    <m/>
    <n v="0"/>
    <n v="0"/>
    <n v="0"/>
    <n v="0"/>
    <n v="2"/>
    <n v="3"/>
    <n v="5"/>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m/>
    <m/>
    <m/>
    <m/>
    <m/>
    <m/>
    <m/>
    <e v="#N/A"/>
    <s v="Undertake training in integrated physical and economic development plans in GKMA and other urban areas"/>
    <n v="0"/>
    <n v="0"/>
    <n v="0"/>
    <n v="1"/>
    <n v="0"/>
    <n v="1"/>
    <n v="1"/>
    <n v="1"/>
    <n v="0.5"/>
    <m/>
    <n v="0"/>
    <n v="0.3"/>
    <n v="0.36"/>
    <n v="0.45"/>
    <m/>
    <m/>
    <n v="0"/>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m/>
    <m/>
    <m/>
    <m/>
    <m/>
    <m/>
    <m/>
    <e v="#N/A"/>
    <s v="Development of comprehensive guidelines for integrated development planning"/>
    <n v="1"/>
    <n v="1"/>
    <n v="0"/>
    <n v="1"/>
    <n v="1"/>
    <n v="1"/>
    <n v="1"/>
    <n v="0"/>
    <n v="0.75"/>
    <m/>
    <n v="0"/>
    <n v="0"/>
    <n v="0.4"/>
    <n v="0.4"/>
    <n v="1"/>
    <n v="2"/>
    <n v="3"/>
    <s v="MoLHUD"/>
    <s v="012 Ministry of Lands, Housing &amp; Urban Development"/>
    <s v="MoKCC&amp;MA, MoLG"/>
  </r>
  <r>
    <x v="11"/>
    <x v="11"/>
    <n v="102"/>
    <s v="Housing Development"/>
    <s v="1024"/>
    <s v="Enable balanced and productive national urban system"/>
    <s v="102401"/>
    <s v="Develop and implement integrated physical and economic development plans in the new cities and other urban areas"/>
    <m/>
    <m/>
    <s v="10240104"/>
    <s v="Integrated physical and economic development plans for municipalities "/>
    <s v="Proportion of municipalities with Integrated physical and economic development plans"/>
    <m/>
    <m/>
    <m/>
    <m/>
    <m/>
    <m/>
    <m/>
    <e v="#N/A"/>
    <s v="Develop and implement bankable projects in line with GKMA Strategy"/>
    <n v="1"/>
    <n v="0"/>
    <n v="0"/>
    <n v="1"/>
    <n v="1"/>
    <n v="0"/>
    <n v="1"/>
    <n v="1"/>
    <n v="0.625"/>
    <m/>
    <n v="0"/>
    <n v="0"/>
    <n v="2"/>
    <n v="5"/>
    <m/>
    <m/>
    <n v="0"/>
    <s v="MoLHUD"/>
    <s v="012 Ministry of Lands, Housing &amp; Urban Development"/>
    <s v="MoKCC&amp;MA, MoLG"/>
  </r>
  <r>
    <x v="11"/>
    <x v="11"/>
    <n v="102"/>
    <s v="Housing Development"/>
    <s v="1024"/>
    <s v="Enable balanced and productive national urban system"/>
    <s v="102402"/>
    <s v="Implement the Greater Kampala Metropolitan Area Economic Development Strategy"/>
    <m/>
    <m/>
    <s v="10240201"/>
    <s v="Integrated development Plan for GKMA"/>
    <s v="Proportion of development projects complying to GKMA arrangement "/>
    <n v="0"/>
    <n v="10"/>
    <n v="50"/>
    <n v="100"/>
    <n v="100"/>
    <n v="100"/>
    <s v="MoLHUD"/>
    <s v="012 Ministry of Lands, Housing &amp; Urban Development"/>
    <s v="Develop World Class Economic Infrastructure as per GKMA strategy"/>
    <n v="1"/>
    <n v="0"/>
    <n v="0"/>
    <n v="0"/>
    <n v="0"/>
    <n v="0"/>
    <n v="1"/>
    <n v="1"/>
    <n v="0.375"/>
    <m/>
    <n v="0"/>
    <n v="0"/>
    <n v="1.2"/>
    <n v="1.3"/>
    <m/>
    <m/>
    <n v="0"/>
    <s v="MoKCC&amp;MA"/>
    <s v="024 Minstry of Kampala Capital City and Metropolitan Affairs"/>
    <s v="MoKCC&amp;MA, MoWT"/>
  </r>
  <r>
    <x v="11"/>
    <x v="11"/>
    <n v="102"/>
    <s v="Housing Development"/>
    <s v="1024"/>
    <s v="Enable balanced and productive national urban system"/>
    <s v="102402"/>
    <s v="Implement the Greater Kampala Metropolitan Area Economic Development Strategy"/>
    <m/>
    <m/>
    <s v="10240202"/>
    <s v="Nucleated settlement models prepared and implemented "/>
    <s v="Number of nucleated settlements planned and implemented"/>
    <n v="0"/>
    <n v="1"/>
    <n v="1"/>
    <n v="1"/>
    <n v="2"/>
    <n v="5"/>
    <s v="MoLHUD"/>
    <s v="012 Ministry of Lands, Housing &amp; Urban Development"/>
    <s v="Implement  projects for Conservation and protection of environment Assets"/>
    <n v="1"/>
    <n v="0"/>
    <n v="0"/>
    <n v="0"/>
    <n v="0"/>
    <n v="1"/>
    <n v="1"/>
    <n v="1"/>
    <n v="0.5"/>
    <m/>
    <n v="0"/>
    <n v="0"/>
    <n v="1.2"/>
    <n v="1.3"/>
    <m/>
    <m/>
    <n v="0"/>
    <s v="MoKCC&amp;MA"/>
    <s v="024 Minstry of Kampala Capital City and Metropolitan Affairs"/>
    <s v="MoKCC&amp;MA, MoWE, MoLHUD"/>
  </r>
  <r>
    <x v="11"/>
    <x v="11"/>
    <n v="102"/>
    <s v="Housing Development"/>
    <s v="1024"/>
    <s v="Enable balanced and productive national urban system"/>
    <s v="102402"/>
    <s v="Implement the Greater Kampala Metropolitan Area Economic Development Strategy"/>
    <m/>
    <m/>
    <s v="10240202"/>
    <s v="Nucleated settlement models prepared and implemented "/>
    <s v="Number of nucleated settlements planned and implemented"/>
    <m/>
    <m/>
    <m/>
    <m/>
    <m/>
    <m/>
    <m/>
    <e v="#N/A"/>
    <s v="Provide business Support to the informal sector, the youth and economic clusters projects"/>
    <n v="0"/>
    <n v="1"/>
    <n v="0"/>
    <n v="0"/>
    <n v="0"/>
    <n v="1"/>
    <n v="1"/>
    <n v="1"/>
    <n v="0.5"/>
    <m/>
    <n v="0"/>
    <n v="0"/>
    <n v="1.2"/>
    <n v="1.3"/>
    <m/>
    <m/>
    <n v="0"/>
    <s v="MoKCC&amp;MA"/>
    <s v="024 Minstry of Kampala Capital City and Metropolitan Affairs"/>
    <s v="MoKCC&amp;MA, MoGLSD, MoLHUD"/>
  </r>
  <r>
    <x v="11"/>
    <x v="11"/>
    <n v="102"/>
    <s v="Housing Development"/>
    <s v="1024"/>
    <s v="Enable balanced and productive national urban system"/>
    <s v="102402"/>
    <s v="Implement the Greater Kampala Metropolitan Area Economic Development Strategy"/>
    <m/>
    <m/>
    <s v="10240202"/>
    <s v="Nucleated settlement models prepared and implemented "/>
    <s v="Number of nucleated settlements planned and implemented"/>
    <m/>
    <m/>
    <m/>
    <m/>
    <m/>
    <m/>
    <m/>
    <e v="#N/A"/>
    <s v="Create a Unique Centre for Tourism Projects"/>
    <n v="1"/>
    <n v="0"/>
    <n v="1"/>
    <n v="1"/>
    <n v="1"/>
    <n v="0"/>
    <n v="1"/>
    <n v="0"/>
    <n v="0.625"/>
    <m/>
    <n v="0"/>
    <n v="0"/>
    <n v="2.2000000000000002"/>
    <n v="2.2999999999999998"/>
    <n v="0.7"/>
    <n v="5"/>
    <n v="5.7"/>
    <s v="MoKCC&amp;MA"/>
    <s v="024 Minstry of Kampala Capital City and Metropolitan Affairs"/>
    <s v="MoKCC&amp;MA"/>
  </r>
  <r>
    <x v="11"/>
    <x v="11"/>
    <n v="102"/>
    <s v="Housing Development"/>
    <s v="1024"/>
    <s v="Enable balanced and productive national urban system"/>
    <s v="102402"/>
    <s v="Implement the Greater Kampala Metropolitan Area Economic Development Strategy"/>
    <m/>
    <m/>
    <s v="10240202"/>
    <s v="Nucleated settlement models prepared and implemented "/>
    <s v="Number of nucleated settlements planned and implemented"/>
    <m/>
    <m/>
    <m/>
    <m/>
    <m/>
    <m/>
    <m/>
    <e v="#N/A"/>
    <s v="Plan and develop nucleated settlements"/>
    <n v="1"/>
    <n v="1"/>
    <n v="0"/>
    <n v="1"/>
    <n v="1"/>
    <n v="0"/>
    <n v="1"/>
    <n v="1"/>
    <n v="0.75"/>
    <m/>
    <n v="0"/>
    <n v="0"/>
    <n v="25"/>
    <n v="25"/>
    <n v="10"/>
    <n v="10"/>
    <n v="20"/>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districts complying to physical planning regulatory framework"/>
    <n v="48"/>
    <n v="58"/>
    <n v="69.2"/>
    <n v="80"/>
    <n v="89.8"/>
    <n v="100"/>
    <s v="MoLHUD"/>
    <s v="012 Ministry of Lands, Housing &amp; Urban Development"/>
    <s v="Implement the physical planning regulatory framework "/>
    <n v="1"/>
    <n v="0"/>
    <n v="0"/>
    <n v="1"/>
    <n v="1"/>
    <n v="1"/>
    <n v="1"/>
    <n v="1"/>
    <n v="0.75"/>
    <m/>
    <n v="0"/>
    <n v="0.55000000000000004"/>
    <n v="0.57999999999999996"/>
    <n v="0.61"/>
    <n v="3"/>
    <n v="5"/>
    <n v="8"/>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cities complying to physical planning regulatory framework"/>
    <n v="48"/>
    <n v="58"/>
    <n v="69.2"/>
    <n v="80"/>
    <n v="89.8"/>
    <n v="100"/>
    <s v="MoLHUD"/>
    <s v="012 Ministry of Lands, Housing &amp; Urban Development"/>
    <s v="Formulate Urban Development Laws, regulations and guidelines"/>
    <n v="1"/>
    <n v="1"/>
    <n v="0"/>
    <n v="1"/>
    <n v="0"/>
    <n v="1"/>
    <n v="1"/>
    <n v="1"/>
    <n v="0.75"/>
    <m/>
    <n v="0"/>
    <n v="0.5"/>
    <n v="0"/>
    <n v="0"/>
    <n v="5"/>
    <n v="5"/>
    <n v="10"/>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n v="48"/>
    <n v="58"/>
    <n v="69.2"/>
    <n v="80"/>
    <n v="89.8"/>
    <n v="100"/>
    <s v="MoLHUD"/>
    <s v="012 Ministry of Lands, Housing &amp; Urban Development"/>
    <s v="Formulate Urban Development Regulations including an internal migration regulation initiative to enhance organized urbanization"/>
    <n v="0"/>
    <n v="0"/>
    <n v="0"/>
    <n v="0"/>
    <n v="0"/>
    <n v="0"/>
    <n v="0"/>
    <n v="0"/>
    <n v="0"/>
    <m/>
    <n v="0"/>
    <n v="0"/>
    <n v="0.2"/>
    <n v="0"/>
    <n v="0"/>
    <n v="0"/>
    <n v="0"/>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Promote the establishment of City/ Municipal wide Development strategies that enhance rural-urban linkages. "/>
    <n v="1"/>
    <n v="1"/>
    <n v="0"/>
    <n v="1"/>
    <n v="1"/>
    <n v="1"/>
    <n v="1"/>
    <n v="1"/>
    <n v="0.875"/>
    <m/>
    <n v="0"/>
    <n v="0"/>
    <n v="1.2"/>
    <n v="1.2"/>
    <n v="0.2"/>
    <n v="0.3"/>
    <n v="0.5"/>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Formulate Urban Development Guidelines"/>
    <n v="0"/>
    <n v="0"/>
    <n v="0"/>
    <n v="0"/>
    <n v="0"/>
    <n v="0"/>
    <n v="0"/>
    <n v="0"/>
    <n v="0"/>
    <m/>
    <n v="0"/>
    <n v="0"/>
    <n v="0.6"/>
    <n v="0.6"/>
    <m/>
    <n v="0"/>
    <n v="0"/>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Implement physical planning regulatory framework in all cities and MCs"/>
    <n v="1"/>
    <n v="1"/>
    <n v="0"/>
    <n v="1"/>
    <n v="0"/>
    <n v="1"/>
    <n v="1"/>
    <n v="1"/>
    <n v="0.75"/>
    <m/>
    <n v="0"/>
    <n v="0"/>
    <n v="2.5"/>
    <n v="2.5"/>
    <n v="1"/>
    <n v="3"/>
    <n v="4"/>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Implement physical planning regulatory framework in all town councils"/>
    <n v="1"/>
    <n v="0"/>
    <n v="0"/>
    <n v="1"/>
    <n v="1"/>
    <n v="1"/>
    <n v="1"/>
    <n v="1"/>
    <n v="0.75"/>
    <m/>
    <n v="0"/>
    <n v="0"/>
    <n v="4"/>
    <n v="4"/>
    <n v="0"/>
    <n v="0.68"/>
    <n v="0.68"/>
    <s v="MoLHUD"/>
    <s v="012 Ministry of Lands, Housing &amp; Urban Development"/>
    <s v="MoKCC&amp;MA, MoLG"/>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Development of a guideline for land banking in GKMA"/>
    <m/>
    <m/>
    <m/>
    <m/>
    <m/>
    <m/>
    <n v="0"/>
    <n v="0"/>
    <n v="0"/>
    <m/>
    <n v="0"/>
    <n v="0"/>
    <n v="0.3"/>
    <n v="0"/>
    <n v="0"/>
    <n v="0"/>
    <n v="0"/>
    <s v="MoKCC&amp;MA"/>
    <s v="024 Minstry of Kampala Capital City and Metropolitan Affairs"/>
    <s v="MoLG, MoLHUD"/>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Roll out tax simplification and e-governance across the GKMA local governments"/>
    <n v="1"/>
    <n v="1"/>
    <n v="0"/>
    <n v="1"/>
    <n v="0"/>
    <n v="1"/>
    <n v="1"/>
    <n v="1"/>
    <n v="0.75"/>
    <m/>
    <n v="0"/>
    <n v="2"/>
    <n v="0"/>
    <n v="0"/>
    <n v="5"/>
    <n v="4"/>
    <n v="9"/>
    <s v="MoKCC&amp;MA"/>
    <s v="024 Minstry of Kampala Capital City and Metropolitan Affairs"/>
    <s v="N/A"/>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Develop street vending regulations"/>
    <n v="0"/>
    <n v="0"/>
    <n v="0"/>
    <n v="0"/>
    <n v="0"/>
    <n v="0"/>
    <n v="0"/>
    <n v="0"/>
    <n v="0"/>
    <m/>
    <n v="0"/>
    <n v="0"/>
    <n v="0.5"/>
    <n v="0.3"/>
    <m/>
    <n v="0"/>
    <n v="0"/>
    <s v="MoKCC&amp;MA"/>
    <s v="024 Minstry of Kampala Capital City and Metropolitan Affairs"/>
    <s v="MoGLSD, MoTIC"/>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Develop and implement working frameworks on new, modern solid waste processing and transfer facilities in GKMA"/>
    <n v="1"/>
    <n v="0"/>
    <n v="0"/>
    <n v="0"/>
    <n v="0"/>
    <n v="0"/>
    <n v="0"/>
    <n v="1"/>
    <n v="0.25"/>
    <m/>
    <n v="0"/>
    <n v="0"/>
    <n v="0"/>
    <n v="0"/>
    <m/>
    <n v="0"/>
    <n v="0"/>
    <s v="MoKCC&amp;MA"/>
    <s v="024 Minstry of Kampala Capital City and Metropolitan Affairs"/>
    <s v="MoLG, MoLHUD"/>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Develop an all-encompassing Urban Health Policy and guidelines"/>
    <n v="0"/>
    <n v="0"/>
    <n v="0"/>
    <n v="0"/>
    <n v="0"/>
    <n v="0"/>
    <n v="0"/>
    <n v="1"/>
    <n v="0.125"/>
    <m/>
    <n v="0"/>
    <n v="0"/>
    <n v="0.4"/>
    <n v="0"/>
    <n v="0"/>
    <n v="0"/>
    <n v="0"/>
    <s v="MoH"/>
    <s v="014 Ministry of Health"/>
    <s v="N/A"/>
  </r>
  <r>
    <x v="11"/>
    <x v="11"/>
    <n v="103"/>
    <s v="Institutional Coordination"/>
    <n v="1035"/>
    <s v="Strengthen urban policies, governance, planning and finance"/>
    <s v="103501"/>
    <s v="Review, develop and enforce urban development policies, laws, regulations, standards and guidelines"/>
    <m/>
    <m/>
    <s v="10350101"/>
    <s v="Urban development law, regulations and guidelines formulated"/>
    <s v="Proportion of municipalities complying to physical planning regulatory framework"/>
    <m/>
    <m/>
    <m/>
    <m/>
    <m/>
    <m/>
    <m/>
    <e v="#N/A"/>
    <s v="Support Health Inspectors and Environmental Health Officers to enforce the Public Health Act in Cities &amp; Municipalities"/>
    <n v="0"/>
    <n v="0"/>
    <n v="0"/>
    <n v="1"/>
    <n v="0"/>
    <n v="0"/>
    <n v="0"/>
    <n v="1"/>
    <n v="0.25"/>
    <m/>
    <n v="0"/>
    <n v="0"/>
    <n v="5"/>
    <n v="5"/>
    <m/>
    <m/>
    <n v="0"/>
    <s v="MoH"/>
    <s v="014 Ministry of Health"/>
    <s v="N/A"/>
  </r>
  <r>
    <x v="11"/>
    <x v="11"/>
    <n v="103"/>
    <s v="Institutional Coordination"/>
    <n v="1035"/>
    <s v="Strengthen urban policies, governance, planning and finance"/>
    <s v="103502"/>
    <s v="Implement participatory and all-inclusive planning and implementation mechanism to enforce the implementation of land use regulatory and compliance frameworks"/>
    <m/>
    <m/>
    <s v="10350201"/>
    <s v="Effective utilization of land resources promoted"/>
    <s v="Percentage compliance to land use regulatory frameworks"/>
    <n v="40"/>
    <n v="56"/>
    <n v="64"/>
    <n v="75"/>
    <n v="83"/>
    <n v="97"/>
    <s v="MoLHUD"/>
    <s v="012 Ministry of Lands, Housing &amp; Urban Development"/>
    <s v="Build the capacities of Urban LGs to implement the land use regulatory framework"/>
    <n v="1"/>
    <n v="0"/>
    <n v="0"/>
    <n v="1"/>
    <n v="1"/>
    <n v="1"/>
    <n v="1"/>
    <n v="1"/>
    <n v="0.75"/>
    <m/>
    <n v="0"/>
    <n v="0.2"/>
    <n v="0.2"/>
    <n v="0.2"/>
    <n v="0.1"/>
    <n v="2"/>
    <n v="2.1"/>
    <s v="MoLHUD"/>
    <s v="012 Ministry of Lands, Housing &amp; Urban Development"/>
    <s v="MoKCC&amp;MA, MoLG"/>
  </r>
  <r>
    <x v="11"/>
    <x v="11"/>
    <n v="103"/>
    <s v="Institutional Coordination"/>
    <n v="1035"/>
    <s v="Strengthen urban policies, governance, planning and finance"/>
    <s v="103502"/>
    <s v="Implement participatory and all-inclusive planning and implementation mechanism to enforce the implementation of land use regulatory and compliance frameworks"/>
    <m/>
    <m/>
    <s v="10350201"/>
    <s v="Effective utilization of land resources promoted"/>
    <s v="Percentage compliance to land use regulatory frameworks"/>
    <m/>
    <m/>
    <m/>
    <m/>
    <m/>
    <m/>
    <m/>
    <e v="#N/A"/>
    <s v="Monitor and support urban LGs in land use regulatory framework"/>
    <n v="1"/>
    <n v="1"/>
    <n v="0"/>
    <n v="1"/>
    <n v="1"/>
    <n v="1"/>
    <n v="1"/>
    <n v="0"/>
    <n v="0.75"/>
    <m/>
    <n v="0"/>
    <n v="0.2"/>
    <n v="0.3"/>
    <n v="0.4"/>
    <n v="1"/>
    <n v="2"/>
    <n v="3"/>
    <s v="MoLHUD"/>
    <s v="012 Ministry of Lands, Housing &amp; Urban Development"/>
    <s v="MoKCC&amp;MA, MoLG"/>
  </r>
  <r>
    <x v="11"/>
    <x v="11"/>
    <n v="103"/>
    <s v="Institutional Coordination"/>
    <n v="1035"/>
    <s v="Strengthen urban policies, governance, planning and finance"/>
    <s v="103502"/>
    <s v="Implement participatory and all-inclusive planning and implementation mechanism to enforce the implementation of land use regulatory and compliance frameworks"/>
    <m/>
    <m/>
    <s v="10350201"/>
    <s v="Effective utilization of land resources promoted"/>
    <s v="Percentage compliance to land use regulatory frameworks"/>
    <m/>
    <m/>
    <m/>
    <m/>
    <m/>
    <m/>
    <m/>
    <e v="#N/A"/>
    <s v="Undertake community awareness on the LURF"/>
    <n v="1"/>
    <n v="0"/>
    <n v="0"/>
    <n v="0"/>
    <n v="1"/>
    <n v="1"/>
    <n v="1"/>
    <n v="1"/>
    <n v="0.625"/>
    <m/>
    <n v="0"/>
    <n v="0.4"/>
    <n v="0.4"/>
    <n v="0.4"/>
    <n v="2"/>
    <n v="3"/>
    <n v="5"/>
    <s v="MoLHUD"/>
    <s v="012 Ministry of Lands, Housing &amp; Urban Development"/>
    <s v="MoKCC&amp;MA, MoLG"/>
  </r>
  <r>
    <x v="11"/>
    <x v="11"/>
    <n v="103"/>
    <s v="Institutional Coordination"/>
    <n v="1035"/>
    <s v="Strengthen urban policies, governance, planning and finance"/>
    <s v="103502"/>
    <s v="Implement participatory and all-inclusive planning and implementation mechanism to enforce the implementation of land use regulatory and compliance frameworks"/>
    <m/>
    <m/>
    <s v="10350201"/>
    <s v="Effective utilization of land resources promoted"/>
    <s v="Percentage compliance to land use regulatory frameworks"/>
    <m/>
    <m/>
    <m/>
    <m/>
    <m/>
    <m/>
    <m/>
    <e v="#N/A"/>
    <s v="Formulate, review and disseminate the land-use regulatory framework"/>
    <n v="1"/>
    <n v="1"/>
    <n v="0"/>
    <n v="1"/>
    <n v="1"/>
    <n v="1"/>
    <n v="1"/>
    <n v="1"/>
    <n v="0.875"/>
    <m/>
    <n v="0"/>
    <n v="0.4"/>
    <n v="0.5"/>
    <n v="0.5"/>
    <n v="3"/>
    <n v="4"/>
    <n v="7"/>
    <s v="MoLHUD"/>
    <s v="012 Ministry of Lands, Housing &amp; Urban Development"/>
    <s v="MoKCC&amp;MA, MoLG"/>
  </r>
  <r>
    <x v="11"/>
    <x v="11"/>
    <n v="103"/>
    <s v="Institutional Coordination"/>
    <n v="1035"/>
    <s v="Strengthen urban policies, governance, planning and finance"/>
    <s v="103502"/>
    <s v="Implement participatory and all-inclusive planning and implementation mechanism to enforce the implementation of land use regulatory and compliance frameworks"/>
    <m/>
    <m/>
    <s v="10350201"/>
    <s v="Effective utilization of land resources promoted"/>
    <s v="Percentage compliance to land use regulatory frameworks"/>
    <m/>
    <m/>
    <m/>
    <m/>
    <m/>
    <m/>
    <m/>
    <e v="#N/A"/>
    <s v="Assess the performance of urban Councils (Cities, MCs and Town councils) in implementation of the LURF"/>
    <n v="1"/>
    <n v="1"/>
    <n v="0"/>
    <n v="1"/>
    <n v="1"/>
    <n v="1"/>
    <n v="1"/>
    <n v="1"/>
    <n v="0.875"/>
    <m/>
    <n v="0"/>
    <n v="0"/>
    <n v="1.2"/>
    <n v="0"/>
    <n v="3"/>
    <n v="3"/>
    <n v="6"/>
    <s v="MoLHUD"/>
    <s v="012 Ministry of Lands, Housing &amp; Urban Development"/>
    <s v="MoKCC&amp;MA, MoLG"/>
  </r>
  <r>
    <x v="11"/>
    <x v="11"/>
    <n v="103"/>
    <s v="Institutional Coordination"/>
    <n v="1035"/>
    <s v="Strengthen urban policies, governance, planning and finance"/>
    <s v="103503"/>
    <s v="Scale up the physical planning and urban management information system"/>
    <m/>
    <m/>
    <s v="10350301"/>
    <s v="Physical Planning &amp; Urban management system scaled."/>
    <s v="Number of municipalities with PPUMIS installed &amp; staff trained in GIS"/>
    <n v="14"/>
    <n v="22"/>
    <n v="28"/>
    <n v="34"/>
    <n v="40"/>
    <n v="46"/>
    <s v="MoLHUD"/>
    <s v="012 Ministry of Lands, Housing &amp; Urban Development"/>
    <s v="Operationalize and rollout PPUMIS in Cities and Municipalities "/>
    <m/>
    <m/>
    <m/>
    <m/>
    <m/>
    <m/>
    <n v="0"/>
    <n v="0"/>
    <n v="0"/>
    <m/>
    <n v="0"/>
    <n v="34"/>
    <n v="34"/>
    <n v="0"/>
    <n v="0"/>
    <n v="0"/>
    <n v="0"/>
    <s v="MoLHUD"/>
    <s v="012 Ministry of Lands, Housing &amp; Urban Development"/>
    <s v="MoKCC&amp;MA, MoLG"/>
  </r>
  <r>
    <x v="11"/>
    <x v="11"/>
    <n v="103"/>
    <s v="Institutional Coordination"/>
    <n v="1035"/>
    <s v="Strengthen urban policies, governance, planning and finance"/>
    <s v="103503"/>
    <s v="Scale up the physical planning and urban management information system"/>
    <m/>
    <m/>
    <s v="10350301"/>
    <s v="Physical Planning &amp; Urban management system scaled."/>
    <s v="Number of municipalities with PPUMIS installed &amp; staff trained in GIS"/>
    <m/>
    <m/>
    <m/>
    <m/>
    <m/>
    <m/>
    <m/>
    <e v="#N/A"/>
    <s v="Establish  Urban Forums in Urban Authorities"/>
    <n v="1"/>
    <n v="0"/>
    <n v="0"/>
    <n v="1"/>
    <n v="1"/>
    <n v="1"/>
    <n v="1"/>
    <n v="1"/>
    <n v="0.75"/>
    <m/>
    <n v="0"/>
    <n v="0.2"/>
    <n v="2"/>
    <n v="4"/>
    <n v="0.2"/>
    <n v="0.5"/>
    <n v="0.7"/>
    <s v="MoLHUD"/>
    <s v="012 Ministry of Lands, Housing &amp; Urban Development"/>
    <s v="MoKCC&amp;MA, MoLG"/>
  </r>
  <r>
    <x v="11"/>
    <x v="11"/>
    <n v="103"/>
    <s v="Institutional Coordination"/>
    <n v="1035"/>
    <s v="Strengthen urban policies, governance, planning and finance"/>
    <s v="103503"/>
    <s v="Scale up the physical planning and urban management information system"/>
    <m/>
    <m/>
    <s v="10350301"/>
    <s v="Physical Planning &amp; Urban management system scaled."/>
    <s v="Number of municipalities with PPUMIS installed &amp; staff trained in GIS"/>
    <m/>
    <m/>
    <m/>
    <m/>
    <m/>
    <m/>
    <m/>
    <e v="#N/A"/>
    <s v="Develop an e-governance system for urban authorities"/>
    <n v="1"/>
    <n v="1"/>
    <n v="0"/>
    <n v="1"/>
    <n v="1"/>
    <n v="1"/>
    <n v="1"/>
    <n v="0"/>
    <n v="0.75"/>
    <m/>
    <n v="0"/>
    <n v="1"/>
    <n v="2"/>
    <n v="20"/>
    <n v="1"/>
    <n v="0.5"/>
    <n v="1.5"/>
    <s v="MoLHUD"/>
    <s v="012 Ministry of Lands, Housing &amp; Urban Development"/>
    <s v="MoKCC&amp;MA, MoLG"/>
  </r>
  <r>
    <x v="11"/>
    <x v="11"/>
    <n v="103"/>
    <s v="Institutional Coordination"/>
    <n v="1035"/>
    <s v="Strengthen urban policies, governance, planning and finance"/>
    <s v="103503"/>
    <s v="Scale up the physical planning and urban management information system"/>
    <m/>
    <m/>
    <s v="10350301"/>
    <s v="Physical Planning &amp; Urban management system scaled."/>
    <s v="Number of municipalities with PPUMIS installed &amp; staff trained in GIS"/>
    <m/>
    <m/>
    <m/>
    <m/>
    <m/>
    <m/>
    <m/>
    <e v="#N/A"/>
    <s v="Train staff in municipalities in GIS"/>
    <n v="1"/>
    <n v="0"/>
    <n v="0"/>
    <n v="1"/>
    <n v="1"/>
    <n v="1"/>
    <n v="0"/>
    <n v="1"/>
    <n v="0.625"/>
    <m/>
    <n v="0"/>
    <n v="1.6"/>
    <n v="1.9"/>
    <n v="2.2000000000000002"/>
    <n v="0.5"/>
    <n v="0.5"/>
    <n v="1"/>
    <s v="MoLHUD"/>
    <s v="012 Ministry of Lands, Housing &amp; Urban Development"/>
    <s v="MoKCC&amp;MA, MoLG"/>
  </r>
  <r>
    <x v="11"/>
    <x v="11"/>
    <n v="103"/>
    <s v="Institutional Coordination"/>
    <n v="1035"/>
    <s v="Strengthen urban policies, governance, planning and finance"/>
    <s v="103503"/>
    <s v="Scale up the physical planning and urban management information system"/>
    <m/>
    <m/>
    <s v="10350301"/>
    <s v="Physical Planning &amp; Urban management system scaled."/>
    <s v="Number of municipalities with PPUMIS installed &amp; staff trained in GIS"/>
    <m/>
    <m/>
    <m/>
    <m/>
    <m/>
    <m/>
    <m/>
    <e v="#N/A"/>
    <s v="Roll out the e-governance management system  in all GKMA LGs and MDAs"/>
    <n v="1"/>
    <n v="0"/>
    <n v="0"/>
    <n v="1"/>
    <n v="1"/>
    <n v="1"/>
    <n v="1"/>
    <n v="1"/>
    <n v="0.75"/>
    <m/>
    <n v="0"/>
    <n v="0"/>
    <n v="0.15"/>
    <n v="0.24"/>
    <n v="3"/>
    <n v="3"/>
    <n v="6"/>
    <s v="MoKCC&amp;MA"/>
    <s v="024 Minstry of Kampala Capital City and Metropolitan Affairs"/>
    <s v="MoLG"/>
  </r>
  <r>
    <x v="12"/>
    <x v="12"/>
    <s v="05X"/>
    <s v="Government Commitments"/>
    <s v="05X"/>
    <s v="Provision for Government Commitments"/>
    <s v="05X"/>
    <s v="Government Commitments"/>
    <m/>
    <m/>
    <s v="05X"/>
    <s v="Government Commitments"/>
    <s v="-"/>
    <s v="-"/>
    <s v="-"/>
    <s v="-"/>
    <s v="-"/>
    <s v="-"/>
    <s v="-"/>
    <s v="-"/>
    <s v="-"/>
    <s v="Wage"/>
    <m/>
    <m/>
    <m/>
    <m/>
    <m/>
    <m/>
    <m/>
    <m/>
    <m/>
    <m/>
    <m/>
    <m/>
    <m/>
    <m/>
    <n v="4.2"/>
    <n v="4.2"/>
    <n v="8.4"/>
    <m/>
    <m/>
    <m/>
  </r>
  <r>
    <x v="12"/>
    <x v="12"/>
    <s v="05X"/>
    <s v="Government Commitments"/>
    <s v="05X"/>
    <s v="Provision for Government Commitments"/>
    <s v="05X"/>
    <s v="Government Commitments"/>
    <m/>
    <m/>
    <s v="05X"/>
    <s v="Government Commitments"/>
    <s v="-"/>
    <s v="-"/>
    <s v="-"/>
    <s v="-"/>
    <s v="-"/>
    <s v="-"/>
    <s v="-"/>
    <s v="-"/>
    <s v="-"/>
    <s v="Non-Wage (Statutory)"/>
    <m/>
    <m/>
    <m/>
    <m/>
    <m/>
    <m/>
    <m/>
    <m/>
    <m/>
    <m/>
    <m/>
    <m/>
    <m/>
    <m/>
    <n v="1.6800000000000002"/>
    <n v="1.6800000000000002"/>
    <n v="3.3600000000000003"/>
    <m/>
    <m/>
    <m/>
  </r>
  <r>
    <x v="12"/>
    <x v="12"/>
    <s v="05X"/>
    <s v="Government Commitments"/>
    <s v="05X"/>
    <s v="Provision for Government Commitments"/>
    <s v="05X"/>
    <s v="Government Commitments"/>
    <m/>
    <m/>
    <s v="05X"/>
    <s v="Government Commitments"/>
    <s v="-"/>
    <s v="-"/>
    <s v="-"/>
    <s v="-"/>
    <s v="-"/>
    <s v="-"/>
    <s v="-"/>
    <s v="-"/>
    <s v="-"/>
    <s v="Multi-Year Commitments"/>
    <m/>
    <m/>
    <m/>
    <m/>
    <m/>
    <m/>
    <m/>
    <m/>
    <m/>
    <m/>
    <m/>
    <m/>
    <m/>
    <m/>
    <n v="54.553832763000003"/>
    <n v="47.127999316"/>
    <n v="101.681832079"/>
    <m/>
    <m/>
    <m/>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Tourism Marketing strategy "/>
    <n v="0"/>
    <n v="0"/>
    <n v="0"/>
    <n v="1"/>
    <n v="0"/>
    <n v="0"/>
    <s v="UTB"/>
    <s v="117 Uganda Tourism Board"/>
    <s v="Undertake consultations, review an National Tourism Marketing Strategy"/>
    <n v="1"/>
    <n v="1"/>
    <n v="1"/>
    <n v="1"/>
    <n v="1"/>
    <n v="0"/>
    <n v="1"/>
    <n v="1"/>
    <n v="0.875"/>
    <m/>
    <n v="0"/>
    <n v="0.3"/>
    <n v="0.3"/>
    <n v="0"/>
    <n v="0"/>
    <n v="0"/>
    <n v="0"/>
    <s v="UTB"/>
    <s v="117 Uganda Tourism Board"/>
    <s v="MoTWA, MoFA, UEP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Level of implementation of  the National tourism marketing strategy, % "/>
    <s v="-"/>
    <m/>
    <m/>
    <m/>
    <n v="20"/>
    <n v="40"/>
    <s v="UTB"/>
    <s v="117 Uganda Tourism Board"/>
    <s v="Carry our decentralization of tourism development services."/>
    <n v="1"/>
    <n v="1"/>
    <n v="1"/>
    <n v="1"/>
    <n v="1"/>
    <n v="0"/>
    <n v="1"/>
    <n v="1"/>
    <n v="0.875"/>
    <n v="0"/>
    <n v="0"/>
    <n v="0"/>
    <n v="2"/>
    <n v="4"/>
    <n v="10"/>
    <n v="10"/>
    <n v="20"/>
    <s v="MoTWA"/>
    <s v="022 Ministry of Tourism, Wildlife and Antiquities"/>
    <s v="MoLG"/>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Number of International Tourist arrivals (Million) "/>
    <n v="1.4"/>
    <n v="0.51291500000000001"/>
    <n v="0.76900000000000002"/>
    <n v="1"/>
    <n v="1.2"/>
    <n v="1.44"/>
    <s v="MTWA"/>
    <e v="#N/A"/>
    <s v="Participate in selected Tourism expos"/>
    <n v="1"/>
    <n v="1"/>
    <n v="0"/>
    <n v="1"/>
    <n v="1"/>
    <n v="1"/>
    <n v="0"/>
    <n v="1"/>
    <n v="0.75"/>
    <n v="0"/>
    <n v="0"/>
    <n v="5"/>
    <n v="5"/>
    <n v="10"/>
    <n v="10"/>
    <n v="10"/>
    <n v="20"/>
    <s v="UTB"/>
    <s v="117 Uganda Tourism Board"/>
    <s v="UIA, MoFA, UEP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Proportion of leisure to total tourists, % "/>
    <n v="20.100000000000001"/>
    <n v="10"/>
    <n v="14"/>
    <n v="16"/>
    <n v="18"/>
    <n v="20.100000000000001"/>
    <s v="UTB"/>
    <s v="117 Uganda Tourism Board"/>
    <s v="Market new products"/>
    <n v="1"/>
    <n v="1"/>
    <n v="1"/>
    <n v="1"/>
    <n v="1"/>
    <n v="1"/>
    <n v="1"/>
    <n v="1"/>
    <n v="1"/>
    <m/>
    <n v="0"/>
    <n v="0"/>
    <n v="1"/>
    <n v="1"/>
    <n v="1"/>
    <n v="1"/>
    <n v="2"/>
    <s v="UTB"/>
    <s v="117 Uganda Tourism Board"/>
    <s v="UEPB, UW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No of international MICE (meetings, conferences) hosted in Uganda"/>
    <m/>
    <m/>
    <m/>
    <m/>
    <n v="3"/>
    <n v="5"/>
    <s v="UTB"/>
    <s v="117 Uganda Tourism Board"/>
    <s v="Bid and secure international MICE (meetings, conferences)."/>
    <n v="1"/>
    <n v="1"/>
    <n v="1"/>
    <n v="1"/>
    <n v="1"/>
    <n v="1"/>
    <n v="0"/>
    <n v="1"/>
    <n v="0.875"/>
    <m/>
    <n v="0"/>
    <n v="0.5"/>
    <n v="3"/>
    <n v="4"/>
    <n v="4"/>
    <n v="6"/>
    <n v="10"/>
    <s v="UTB"/>
    <s v="117 Uganda Tourism Board"/>
    <s v="UIA, MoFA, MoKCC&amp;M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s v="No of international expos attended"/>
    <m/>
    <m/>
    <m/>
    <m/>
    <n v="6"/>
    <n v="6"/>
    <s v="UTB"/>
    <s v="117 Uganda Tourism Board"/>
    <s v="Conduct solo-country joint promotion and country branding activities in target markets"/>
    <n v="1"/>
    <n v="1"/>
    <n v="0"/>
    <n v="1"/>
    <n v="1"/>
    <n v="1"/>
    <n v="0"/>
    <n v="1"/>
    <n v="0.75"/>
    <m/>
    <n v="0"/>
    <n v="0"/>
    <n v="0.35299999999999998"/>
    <n v="0.35299999999999998"/>
    <n v="0.70599999999999996"/>
    <n v="0.70599999999999996"/>
    <n v="1.4119999999999999"/>
    <s v="UEPB"/>
    <s v="306 Uganda Export Promotion Board"/>
    <s v="UIA,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m/>
    <m/>
    <m/>
    <m/>
    <m/>
    <m/>
    <m/>
    <s v="UTB"/>
    <s v="117 Uganda Tourism Board"/>
    <s v="Provide fiscal incentives for building the capacity of local businesses to engage in local, regional and global tourism"/>
    <n v="1"/>
    <n v="1"/>
    <n v="0"/>
    <n v="1"/>
    <n v="1"/>
    <n v="1"/>
    <n v="0"/>
    <n v="0"/>
    <n v="0.625"/>
    <m/>
    <n v="0"/>
    <n v="0"/>
    <n v="0"/>
    <n v="0"/>
    <n v="1.83"/>
    <n v="1.83"/>
    <n v="3.66"/>
    <s v="MoFPED"/>
    <s v="008 Ministry of Finance, Planning &amp; Economic Dev."/>
    <s v="UIA, MoKCC&amp;M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1"/>
    <s v="National Tourism Marketing Strategy developed "/>
    <m/>
    <m/>
    <m/>
    <m/>
    <m/>
    <m/>
    <m/>
    <s v="UTB"/>
    <s v="117 Uganda Tourism Board"/>
    <s v="Provide promotional and marketing information and materials to facilitate FSO promotion activities"/>
    <n v="1"/>
    <n v="1"/>
    <n v="0"/>
    <n v="1"/>
    <n v="1"/>
    <n v="1"/>
    <n v="0"/>
    <n v="1"/>
    <n v="0.75"/>
    <m/>
    <n v="0"/>
    <n v="0"/>
    <n v="0.125"/>
    <n v="0.125"/>
    <n v="0.125"/>
    <n v="0.125"/>
    <n v="0.25"/>
    <s v="UEPB"/>
    <s v="306 Uganda Export Promotion Board"/>
    <s v="UTB, UW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2"/>
    <s v="Brand manual, logos, slogans and materials developed, produced and rolled out. "/>
    <s v="Proportion of Ugandan enterprises associating with Uganda’s brand, %"/>
    <s v="-"/>
    <m/>
    <m/>
    <m/>
    <n v="10"/>
    <n v="12"/>
    <s v="UTB"/>
    <s v="117 Uganda Tourism Board"/>
    <s v="Carry out brand campaigns"/>
    <n v="1"/>
    <n v="1"/>
    <n v="0"/>
    <n v="1"/>
    <n v="1"/>
    <n v="1"/>
    <n v="0"/>
    <n v="1"/>
    <n v="0.75"/>
    <m/>
    <n v="0"/>
    <n v="0"/>
    <n v="3"/>
    <n v="3"/>
    <n v="3"/>
    <n v="3"/>
    <n v="6"/>
    <s v="UTB"/>
    <s v="117 Uganda Tourism Board"/>
    <s v="MoTWA, UEPB, UI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2"/>
    <s v="Brand manual, logos, slogans and materials developed, produced and rolled out. "/>
    <s v="Number of 360 roll-out campaigns done in the regional and international source markets "/>
    <s v="N/A"/>
    <n v="4"/>
    <n v="4"/>
    <n v="4"/>
    <n v="4"/>
    <n v="4"/>
    <s v="UTB"/>
    <s v="117 Uganda Tourism Board"/>
    <s v="Develop and market a brand development (film project) on Uganda as a global priority Religious Tourism Destination"/>
    <n v="1"/>
    <n v="1"/>
    <n v="0"/>
    <n v="1"/>
    <n v="1"/>
    <n v="1"/>
    <n v="0"/>
    <n v="1"/>
    <n v="0.75"/>
    <m/>
    <n v="0"/>
    <n v="0.5"/>
    <n v="0.25"/>
    <n v="0.25"/>
    <n v="1"/>
    <n v="1"/>
    <n v="2"/>
    <s v="UTB"/>
    <s v="117 Uganda Tourism Board"/>
    <s v="MoFA, MoGLSD, MoKCC&amp;MA, MoICT&amp;NG"/>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2"/>
    <s v="Brand manual, logos, slogans and materials developed, produced and rolled out. "/>
    <s v="Number of 360 roll-out campaigns done in the domestic market "/>
    <s v="N/A"/>
    <n v="4"/>
    <n v="4"/>
    <n v="4"/>
    <n v="4"/>
    <n v="4"/>
    <s v="UTB"/>
    <s v="117 Uganda Tourism Board"/>
    <s v="Information on Uganda’s tourism archived; Digitization on tourism"/>
    <n v="1"/>
    <n v="1"/>
    <n v="0"/>
    <n v="1"/>
    <n v="1"/>
    <n v="1"/>
    <n v="0"/>
    <n v="1"/>
    <n v="0.75"/>
    <m/>
    <n v="0"/>
    <n v="0.1"/>
    <n v="0.1"/>
    <n v="0.1"/>
    <n v="0.5"/>
    <n v="0.3"/>
    <n v="0.8"/>
    <s v="MoICT&amp;NG (UBC)"/>
    <s v="020 Ministry of ICT and National Guidance"/>
    <s v="MoICT&amp;NG, MoLG, MoGLSD"/>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2"/>
    <s v="Brand manual, logos, slogans and materials developed, produced and rolled out. "/>
    <m/>
    <m/>
    <m/>
    <m/>
    <m/>
    <m/>
    <m/>
    <m/>
    <e v="#N/A"/>
    <s v="Provide fiscal incentives for private sector to invest in accommodation in selected national parks."/>
    <n v="1"/>
    <n v="0"/>
    <n v="0"/>
    <n v="1"/>
    <n v="0"/>
    <n v="0"/>
    <n v="0"/>
    <n v="0"/>
    <n v="0.25"/>
    <m/>
    <n v="0"/>
    <n v="424.0087606083672"/>
    <n v="332.35243491812423"/>
    <n v="372.5233891594246"/>
    <m/>
    <m/>
    <n v="0"/>
    <s v="MoFPED"/>
    <s v="008 Ministry of Finance, Planning &amp; Economic Dev."/>
    <s v="UIA, MoTWA, UW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3"/>
    <s v="Promotional materials such as notebooks, flash disks, shirts, fliers etc. "/>
    <s v="Number of tourism promotional materials produced, (‘000s) "/>
    <n v="40"/>
    <n v="50"/>
    <n v="60"/>
    <n v="60"/>
    <n v="70"/>
    <n v="80"/>
    <s v="UTB"/>
    <s v="117 Uganda Tourism Board"/>
    <s v="Collection of promotional materials content for domestic and inbound tourism products; Marketing of Tourism products digital content"/>
    <n v="1"/>
    <n v="1"/>
    <n v="0"/>
    <n v="1"/>
    <n v="1"/>
    <n v="1"/>
    <n v="0"/>
    <n v="1"/>
    <n v="0.75"/>
    <m/>
    <n v="0"/>
    <n v="0.5"/>
    <n v="0.5"/>
    <n v="0.5"/>
    <n v="2"/>
    <n v="2"/>
    <n v="4"/>
    <s v="MoICT&amp;NG (UBC)"/>
    <s v="020 Ministry of ICT and National Guidance"/>
    <s v="Uganda Airlines, NITA-U,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3"/>
    <s v="Promotional materials such as notebooks, flash disks, shirts, fliers etc. "/>
    <m/>
    <m/>
    <m/>
    <m/>
    <m/>
    <m/>
    <m/>
    <m/>
    <e v="#N/A"/>
    <s v="Develop Tourism Development Area plans"/>
    <n v="0"/>
    <n v="0"/>
    <n v="0"/>
    <n v="1"/>
    <n v="1"/>
    <n v="0"/>
    <n v="1"/>
    <n v="0"/>
    <n v="0.375"/>
    <m/>
    <n v="0"/>
    <n v="0"/>
    <n v="0.1"/>
    <n v="0.1"/>
    <m/>
    <m/>
    <n v="0"/>
    <s v="MoTWA"/>
    <s v="022 Ministry of Tourism, Wildlife and Antiquities"/>
    <s v="MoLG,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3"/>
    <s v="Promotional materials such as notebooks, flash disks, shirts, fliers etc. "/>
    <m/>
    <m/>
    <m/>
    <m/>
    <m/>
    <m/>
    <m/>
    <m/>
    <e v="#N/A"/>
    <s v="Develop the promotional material (digitize material for virtual tours of investment sites, videos, online documentation), Marketing the projects for investment (dissemination through various channels- participation in promotional activities, media, exhibitions e.tc)"/>
    <n v="1"/>
    <n v="1"/>
    <n v="0"/>
    <n v="1"/>
    <n v="1"/>
    <n v="1"/>
    <n v="0"/>
    <n v="1"/>
    <n v="0.75"/>
    <m/>
    <n v="0"/>
    <n v="1"/>
    <n v="1"/>
    <n v="1"/>
    <n v="0.9"/>
    <n v="1.1000000000000001"/>
    <n v="2"/>
    <s v="UIA"/>
    <s v="310 Uganda Investment Authority (UIA)"/>
    <s v="UTB, UBC, MoTW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3"/>
    <s v="Promotional materials such as notebooks, flash disks, shirts, fliers etc. "/>
    <m/>
    <m/>
    <m/>
    <m/>
    <m/>
    <m/>
    <m/>
    <m/>
    <e v="#N/A"/>
    <s v="Development (programming) and broadcasting of promotional materials content for domestic and inbound tourism products (documentaries, feature stories, talk shows, etc.)"/>
    <n v="1"/>
    <n v="1"/>
    <n v="0"/>
    <n v="1"/>
    <n v="1"/>
    <n v="1"/>
    <n v="0"/>
    <n v="1"/>
    <n v="0.75"/>
    <m/>
    <n v="0"/>
    <n v="2.7"/>
    <n v="3.1"/>
    <n v="3.5"/>
    <n v="3"/>
    <n v="3.5"/>
    <n v="6.5"/>
    <s v="UTB"/>
    <s v="117 Uganda Tourism Board"/>
    <s v="UBC, NITA-U, UCC"/>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s v="No of domestic drives /campaigns conducted "/>
    <n v="4"/>
    <n v="6"/>
    <n v="6"/>
    <n v="6"/>
    <n v="6"/>
    <n v="6"/>
    <s v="UTB"/>
    <s v="117 Uganda Tourism Board"/>
    <s v="Carry out domestic promotional campaigns"/>
    <n v="1"/>
    <n v="1"/>
    <n v="0"/>
    <n v="1"/>
    <n v="1"/>
    <n v="1"/>
    <n v="1"/>
    <n v="0"/>
    <n v="0.75"/>
    <m/>
    <n v="0"/>
    <n v="1.5"/>
    <n v="1.5"/>
    <n v="1.5"/>
    <n v="5"/>
    <n v="5"/>
    <n v="10"/>
    <s v="UTB"/>
    <s v="117 Uganda Tourism Board"/>
    <s v="MoLG, MoTW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s v="Number of Ugandans Visiting Tourist sites (National Parks, Museums and UWEC) "/>
    <n v="434000"/>
    <n v="372304"/>
    <n v="496886"/>
    <n v="531668"/>
    <n v="568885"/>
    <n v="651317"/>
    <s v="MTWA"/>
    <e v="#N/A"/>
    <s v="Carry out domestic promotional campaigns"/>
    <n v="1"/>
    <n v="1"/>
    <n v="0"/>
    <n v="1"/>
    <n v="1"/>
    <n v="1"/>
    <n v="1"/>
    <n v="0"/>
    <n v="0.75"/>
    <m/>
    <n v="0"/>
    <n v="0.01"/>
    <n v="0.01"/>
    <n v="0.01"/>
    <n v="0.01"/>
    <n v="0.01"/>
    <n v="0.02"/>
    <s v="KCCA"/>
    <s v="122 Kampala Capital City Authority"/>
    <s v="MoTWA, UTB, UCA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Developing and profiling new tourism products"/>
    <n v="1"/>
    <n v="0"/>
    <n v="1"/>
    <n v="1"/>
    <n v="1"/>
    <n v="0"/>
    <n v="1"/>
    <n v="1"/>
    <n v="0.75"/>
    <m/>
    <n v="0"/>
    <n v="0.01"/>
    <n v="0.01"/>
    <n v="0.01"/>
    <n v="0.01"/>
    <n v="0.01"/>
    <n v="0.02"/>
    <s v="KCCA"/>
    <s v="122 Kampala Capital City Authority"/>
    <s v="MoTWA, UT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Regulate, Train and support wildlife enterprises"/>
    <n v="1"/>
    <n v="1"/>
    <n v="1"/>
    <n v="1"/>
    <n v="1"/>
    <n v="1"/>
    <n v="1"/>
    <n v="1"/>
    <n v="1"/>
    <m/>
    <n v="0"/>
    <n v="0.3"/>
    <n v="0.3"/>
    <n v="0.31"/>
    <n v="0.34"/>
    <n v="0.34"/>
    <n v="0.68"/>
    <s v="MoTWA"/>
    <s v="022 Ministry of Tourism, Wildlife and Antiquities"/>
    <s v="UWEC,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Design and procure destination Kampala Tourism marketing  and promotion materials "/>
    <n v="1"/>
    <n v="1"/>
    <n v="0"/>
    <n v="1"/>
    <n v="1"/>
    <n v="1"/>
    <n v="0"/>
    <n v="1"/>
    <n v="0.75"/>
    <m/>
    <n v="0"/>
    <n v="0.02"/>
    <n v="0.02"/>
    <n v="0.02"/>
    <n v="0.02"/>
    <n v="0.02"/>
    <n v="0.04"/>
    <s v="KCCA"/>
    <s v="122 Kampala Capital City Authority"/>
    <s v="MoTWA, UTB, UCA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Regular updating of the kampala web portal and associated"/>
    <n v="1"/>
    <n v="1"/>
    <n v="0"/>
    <n v="1"/>
    <n v="1"/>
    <n v="1"/>
    <n v="0"/>
    <n v="1"/>
    <n v="0.75"/>
    <m/>
    <n v="0"/>
    <n v="6.0000000000000001E-3"/>
    <n v="6.0000000000000001E-3"/>
    <n v="6.0000000000000001E-3"/>
    <n v="6.0000000000000001E-3"/>
    <n v="6.0000000000000001E-3"/>
    <n v="1.2E-2"/>
    <s v="KCCA"/>
    <s v="122 Kampala Capital City Authority"/>
    <s v="MoTWA,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Participate in 1 regional tourism expos"/>
    <n v="1"/>
    <n v="1"/>
    <n v="0"/>
    <n v="1"/>
    <n v="1"/>
    <n v="1"/>
    <n v="1"/>
    <n v="0"/>
    <n v="0.75"/>
    <m/>
    <n v="0"/>
    <n v="0.02"/>
    <n v="0.02"/>
    <n v="0.02"/>
    <n v="0.02"/>
    <n v="0.02"/>
    <n v="0.04"/>
    <s v="KCCA"/>
    <s v="122 Kampala Capital City Authority"/>
    <s v="MoTWA, UTB"/>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Organize the Kampala culinary &amp; foodie street and support other social events in the city "/>
    <n v="1"/>
    <n v="1"/>
    <n v="0"/>
    <n v="1"/>
    <n v="1"/>
    <n v="1"/>
    <n v="1"/>
    <n v="0"/>
    <n v="0.75"/>
    <m/>
    <n v="0"/>
    <n v="0.01"/>
    <n v="0.01"/>
    <n v="0.01"/>
    <n v="0.01"/>
    <n v="0.01"/>
    <n v="0.02"/>
    <s v="KCCA"/>
    <s v="122 Kampala Capital City Authority"/>
    <s v="UTB, MoKCC&amp;M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Coordinate the staging of tourism galas at division level every year "/>
    <n v="1"/>
    <n v="1"/>
    <n v="0"/>
    <n v="1"/>
    <n v="1"/>
    <n v="1"/>
    <n v="1"/>
    <n v="0"/>
    <n v="0.75"/>
    <m/>
    <n v="0"/>
    <n v="6.0000000000000001E-3"/>
    <n v="6.0000000000000001E-3"/>
    <n v="6.0000000000000001E-3"/>
    <n v="6.0000000000000001E-3"/>
    <n v="6.0000000000000001E-3"/>
    <n v="1.2E-2"/>
    <s v="KCCA"/>
    <s v="122 Kampala Capital City Authority"/>
    <s v="UTB, MoKCC&amp;MA"/>
  </r>
  <r>
    <x v="12"/>
    <x v="12"/>
    <s v="051"/>
    <s v="Marketing and Promotion"/>
    <s v="0511"/>
    <s v="Promote domestic and inbound tourism"/>
    <s v="051101"/>
    <s v="Review and implement a national tourism marketing strategy targeting both elite and mass tourism segments by"/>
    <s v="051101a"/>
    <s v="Brand Image: Build a positive and competitive image of the destination by increasing market presence in key source markets and improving destination awareness in domestic and key source markets"/>
    <s v="051101a04"/>
    <s v="Domestic tourism intensified with domestic tourism initiatives including drives/ campaigns "/>
    <m/>
    <m/>
    <m/>
    <m/>
    <m/>
    <m/>
    <m/>
    <m/>
    <e v="#N/A"/>
    <s v="Promote institutional based tourism to Ugandans using school tours, work based tours etc; Develop and market non-traditional tourism sites eg farms, industrial parks, historical monument"/>
    <n v="1"/>
    <n v="0"/>
    <n v="1"/>
    <n v="1"/>
    <n v="1"/>
    <n v="0"/>
    <n v="1"/>
    <n v="1"/>
    <n v="0.75"/>
    <m/>
    <n v="0"/>
    <n v="0"/>
    <n v="0.1"/>
    <n v="0.1"/>
    <n v="0.1"/>
    <n v="0.1"/>
    <n v="0.2"/>
    <s v="UTB"/>
    <s v="117 Uganda Tourism Board"/>
    <s v="UWEC, UBC"/>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1"/>
    <s v="Digital marketing implemented"/>
    <s v="Number of digital marketing campaigns undertaken in the source markets "/>
    <n v="0"/>
    <n v="2"/>
    <n v="4"/>
    <n v="6"/>
    <n v="14"/>
    <n v="15"/>
    <s v="UTB"/>
    <s v="117 Uganda Tourism Board"/>
    <m/>
    <m/>
    <m/>
    <m/>
    <m/>
    <m/>
    <m/>
    <n v="0"/>
    <n v="0"/>
    <n v="0"/>
    <m/>
    <n v="0"/>
    <m/>
    <m/>
    <m/>
    <m/>
    <m/>
    <n v="0"/>
    <m/>
    <m/>
    <m/>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1"/>
    <s v="Digital marketing implemented"/>
    <s v="Number of products with digital marketing Materials developed"/>
    <s v="-"/>
    <s v="-"/>
    <n v="2"/>
    <n v="1"/>
    <n v="2"/>
    <n v="1"/>
    <s v="UTB"/>
    <s v="117 Uganda Tourism Board"/>
    <m/>
    <m/>
    <m/>
    <m/>
    <m/>
    <m/>
    <m/>
    <n v="0"/>
    <n v="0"/>
    <n v="0"/>
    <m/>
    <n v="0"/>
    <m/>
    <m/>
    <m/>
    <m/>
    <m/>
    <n v="0"/>
    <m/>
    <m/>
    <m/>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2"/>
    <s v="Market Destination Representative firms hired and deployed in key markets "/>
    <s v="Number of MDR firms contracted in key source markets "/>
    <n v="3"/>
    <n v="7"/>
    <n v="7"/>
    <n v="7"/>
    <n v="9"/>
    <n v="9"/>
    <s v="UTB"/>
    <s v="117 Uganda Tourism Board"/>
    <s v="Undertake aggressive marketing in key source markets using MOFA, leverage Ugandan branded and other international personalities/celebrities and MDR firms"/>
    <n v="1"/>
    <n v="1"/>
    <n v="0"/>
    <n v="1"/>
    <n v="1"/>
    <n v="1"/>
    <n v="0"/>
    <n v="1"/>
    <n v="0.75"/>
    <m/>
    <n v="0"/>
    <n v="4.4400000000000004"/>
    <n v="4.92"/>
    <n v="6.4"/>
    <n v="7.88"/>
    <n v="7.88"/>
    <n v="15.76"/>
    <s v="UTB"/>
    <s v="117 Uganda Tourism Board"/>
    <s v="MoFA, UWA, UIA"/>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2"/>
    <s v="Market Destination Representative firms hired and deployed in key markets "/>
    <m/>
    <m/>
    <m/>
    <m/>
    <m/>
    <m/>
    <m/>
    <m/>
    <e v="#N/A"/>
    <s v="Establish market intelligence frameworks to monitor trends and status of Tourism growth"/>
    <n v="1"/>
    <n v="0"/>
    <n v="0"/>
    <n v="1"/>
    <n v="1"/>
    <n v="0"/>
    <n v="0"/>
    <n v="1"/>
    <n v="0.5"/>
    <m/>
    <n v="0"/>
    <n v="0"/>
    <n v="0.01"/>
    <n v="0"/>
    <n v="0"/>
    <n v="0"/>
    <n v="0"/>
    <s v="UTB"/>
    <s v="117 Uganda Tourism Board"/>
    <s v="MoFA, UBOS, MoTWA, UIA"/>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3"/>
    <s v="Information centers designed and constructed in designated tourism development "/>
    <s v="Number of information centers constructed/ established (cumulative) "/>
    <n v="1"/>
    <n v="1"/>
    <n v="1"/>
    <n v="2"/>
    <n v="2"/>
    <n v="2"/>
    <s v="MTWA"/>
    <e v="#N/A"/>
    <m/>
    <n v="1"/>
    <n v="1"/>
    <n v="0"/>
    <n v="1"/>
    <n v="1"/>
    <n v="0"/>
    <n v="1"/>
    <n v="1"/>
    <n v="0.75"/>
    <m/>
    <n v="0"/>
    <m/>
    <m/>
    <m/>
    <n v="2.5"/>
    <n v="2.5"/>
    <n v="5"/>
    <m/>
    <m/>
    <m/>
  </r>
  <r>
    <x v="12"/>
    <x v="12"/>
    <s v="051"/>
    <s v="Marketing and Promotion"/>
    <s v="0511"/>
    <s v="Promote domestic and inbound tourism"/>
    <s v="051101"/>
    <s v="Review and implement a national tourism marketing strategy targeting both elite and mass tourism segments by"/>
    <s v="051101b"/>
    <s v="Build Market Structures to promote access to Source Markets through trade representation and Tourism Information centres"/>
    <s v="051101b04"/>
    <s v="Destination management system developed. "/>
    <s v="Level of development of the Destination Management System, % "/>
    <n v="0"/>
    <n v="0"/>
    <n v="0"/>
    <n v="0"/>
    <n v="60"/>
    <n v="100"/>
    <s v="UTB"/>
    <s v="117 Uganda Tourism Board"/>
    <m/>
    <m/>
    <m/>
    <m/>
    <m/>
    <m/>
    <m/>
    <n v="0"/>
    <n v="0"/>
    <n v="0"/>
    <m/>
    <n v="0"/>
    <m/>
    <m/>
    <m/>
    <m/>
    <m/>
    <n v="0"/>
    <m/>
    <m/>
    <m/>
  </r>
  <r>
    <x v="12"/>
    <x v="12"/>
    <s v="051"/>
    <s v="Marketing and Promotion"/>
    <s v="0511"/>
    <s v="Promote domestic and inbound tourism"/>
    <s v="051101"/>
    <s v="Review and implement a national tourism marketing strategy targeting both elite and mass tourism segments by"/>
    <s v="051101c"/>
    <s v="Establish a Market Intelligence Framework to monitor trends and status of Tourism Growth"/>
    <s v="051101c01"/>
    <s v="Market Intelligence Framework "/>
    <s v="Market Intelligence Framework in place "/>
    <n v="0"/>
    <n v="0"/>
    <n v="0"/>
    <s v="-"/>
    <s v="-"/>
    <n v="1"/>
    <s v="UTB"/>
    <s v="117 Uganda Tourism Board"/>
    <m/>
    <m/>
    <m/>
    <m/>
    <m/>
    <m/>
    <m/>
    <n v="0"/>
    <n v="0"/>
    <n v="0"/>
    <m/>
    <n v="0"/>
    <m/>
    <m/>
    <m/>
    <m/>
    <n v="2"/>
    <n v="2"/>
    <m/>
    <m/>
    <m/>
  </r>
  <r>
    <x v="12"/>
    <x v="12"/>
    <s v="051"/>
    <s v="Marketing and Promotion"/>
    <s v="0511"/>
    <s v="Promote domestic and inbound tourism"/>
    <s v="051102"/>
    <s v="Develop international, regional and domestic connectivity with countries already attracting large numbers of tourists and for domestic markets. In particular, upgrade and expand Entebbe airport and regional aerodromes"/>
    <s v="-"/>
    <s v="-"/>
    <s v="05110201"/>
    <s v="Regional aerodromes developed "/>
    <s v="No. of regional aerodromes developed (Arua, Gulu, Kidepo, Pakuba, and Kasese) "/>
    <n v="0"/>
    <n v="0"/>
    <n v="1"/>
    <n v="1"/>
    <n v="1"/>
    <n v="2"/>
    <s v="MoWT"/>
    <s v="016 Ministry of Works and Transport"/>
    <s v="Engage UCAA to rehabilitate 4 strategic aerodromes"/>
    <n v="1"/>
    <n v="1"/>
    <n v="0"/>
    <n v="0"/>
    <n v="0"/>
    <n v="1"/>
    <n v="0"/>
    <n v="0"/>
    <n v="0.375"/>
    <m/>
    <n v="0"/>
    <n v="0"/>
    <n v="35"/>
    <n v="35"/>
    <m/>
    <m/>
    <n v="0"/>
    <s v="MoWT (UCAA)"/>
    <s v="016 Ministry of Works and Transport"/>
    <s v="MoWT"/>
  </r>
  <r>
    <x v="12"/>
    <x v="12"/>
    <s v="051"/>
    <s v="Marketing and Promotion"/>
    <s v="0511"/>
    <s v="Promote domestic and inbound tourism"/>
    <s v="051102"/>
    <s v="Develop international, regional and domestic connectivity with countries already attracting large numbers of tourists and for domestic markets. In particular, upgrade and expand Entebbe airport and regional aerodromes"/>
    <s v="-"/>
    <s v="-"/>
    <s v="05110202"/>
    <s v="Entebbe airport upgrade completed "/>
    <s v="Number of airlines with flights into Uganda "/>
    <n v="14"/>
    <n v="14"/>
    <n v="15"/>
    <n v="15"/>
    <n v="17"/>
    <n v="17"/>
    <s v="UCAA"/>
    <e v="#N/A"/>
    <m/>
    <m/>
    <m/>
    <m/>
    <m/>
    <m/>
    <m/>
    <n v="0"/>
    <n v="0"/>
    <n v="0"/>
    <m/>
    <n v="0"/>
    <m/>
    <m/>
    <m/>
    <m/>
    <m/>
    <n v="0"/>
    <m/>
    <m/>
    <m/>
  </r>
  <r>
    <x v="12"/>
    <x v="12"/>
    <s v="051"/>
    <s v="Marketing and Promotion"/>
    <s v="0511"/>
    <s v="Promote domestic and inbound tourism"/>
    <s v="051102"/>
    <s v="Develop international, regional and domestic connectivity with countries already attracting large numbers of tourists and for domestic markets. In particular, upgrade and expand Entebbe airport and regional aerodromes"/>
    <s v="-"/>
    <s v="-"/>
    <s v="05110202"/>
    <s v="Entebbe airport upgrade completed "/>
    <s v="Number of direct flight routes to America, Europe, Asia, etc. "/>
    <n v="6"/>
    <n v="8"/>
    <n v="10"/>
    <n v="12"/>
    <n v="14"/>
    <n v="15"/>
    <s v="UCAA"/>
    <e v="#N/A"/>
    <m/>
    <m/>
    <m/>
    <m/>
    <m/>
    <m/>
    <m/>
    <n v="0"/>
    <n v="0"/>
    <n v="0"/>
    <m/>
    <n v="0"/>
    <m/>
    <m/>
    <m/>
    <m/>
    <m/>
    <n v="0"/>
    <m/>
    <m/>
    <m/>
  </r>
  <r>
    <x v="12"/>
    <x v="12"/>
    <s v="051"/>
    <s v="Marketing and Promotion"/>
    <s v="0511"/>
    <s v="Promote domestic and inbound tourism"/>
    <s v="051102"/>
    <s v="Develop international, regional and domestic connectivity with countries already attracting large numbers of tourists and for domestic markets. In particular, upgrade and expand Entebbe airport and regional aerodromes"/>
    <s v="-"/>
    <s v="-"/>
    <s v="05110203"/>
    <s v="Domestic tourists increased"/>
    <s v="No. of domestic tourists, millions "/>
    <n v="0.95"/>
    <n v="0.89"/>
    <n v="1.01"/>
    <n v="1.04"/>
    <n v="1.07"/>
    <n v="1.1000000000000001"/>
    <s v="MTWA"/>
    <e v="#N/A"/>
    <m/>
    <m/>
    <m/>
    <m/>
    <m/>
    <m/>
    <m/>
    <n v="0"/>
    <n v="0"/>
    <n v="0"/>
    <m/>
    <n v="0"/>
    <m/>
    <m/>
    <m/>
    <m/>
    <m/>
    <n v="0"/>
    <m/>
    <m/>
    <m/>
  </r>
  <r>
    <x v="12"/>
    <x v="12"/>
    <s v="051"/>
    <s v="Marketing and Promotion"/>
    <s v="0511"/>
    <s v="Promote domestic and inbound tourism"/>
    <s v="051103"/>
    <s v="Develop a more robust public/ private sector system to collect and analyse information on the industry in a timely fashion. In particular, establish partnerships with domestic, regional and international airlines/carriers"/>
    <s v="-"/>
    <s v="-"/>
    <s v="05110301"/>
    <s v="A framework developed to strengthen public/private sector partnerships."/>
    <s v="A framework developed to strengthen public/ private sector partnerships."/>
    <n v="0"/>
    <n v="0"/>
    <n v="0"/>
    <n v="0"/>
    <n v="0"/>
    <n v="1"/>
    <s v="Private Sector, MTWA, UWA, UTB, UWEC, UHTTI, UWRTI, UIA"/>
    <e v="#N/A"/>
    <s v="Develop a framework for strengthening public/private sector partnerships."/>
    <n v="1"/>
    <n v="1"/>
    <n v="1"/>
    <n v="1"/>
    <n v="1"/>
    <n v="1"/>
    <n v="0"/>
    <n v="0"/>
    <n v="0.75"/>
    <m/>
    <n v="0"/>
    <n v="0"/>
    <n v="0"/>
    <n v="0.2"/>
    <n v="0"/>
    <n v="0.2"/>
    <n v="0.2"/>
    <s v="MoTWA"/>
    <s v="022 Ministry of Tourism, Wildlife and Antiquities"/>
    <s v="PSFU, UTB, Uganda Tourism Association (UTA)"/>
  </r>
  <r>
    <x v="12"/>
    <x v="12"/>
    <s v="051"/>
    <s v="Marketing and Promotion"/>
    <s v="0511"/>
    <s v="Promote domestic and inbound tourism"/>
    <s v="051104"/>
    <s v="Upgrade handling and negotiation capacity of frontier services and foreign intermediaries"/>
    <s v="051104a"/>
    <s v="Train Ugandan diplomats to support tourism marketing and handling, and Visa/ consular staff in customer care"/>
    <s v="051104a01"/>
    <s v="Ugandan diplomats and Visa/consular staff trained to support tourism marketing and handling and in customer care."/>
    <s v="Number of Ugandan diplomats and Visa /consular staff trained to support tourism marketing and handling and in customer care (all missions abroad)"/>
    <s v="N/A"/>
    <n v="30"/>
    <n v="90"/>
    <n v="200"/>
    <n v="250"/>
    <n v="500"/>
    <s v="MoFA"/>
    <s v="006 Ministry of Foreign Affairs"/>
    <s v="Train selected embassy staff in foreign missions to support tourism marketing and handling; use the foreign missions to aggressively market Ugandan tourism; Train consular staff in customer care"/>
    <n v="1"/>
    <n v="1"/>
    <n v="0"/>
    <n v="1"/>
    <n v="1"/>
    <n v="1"/>
    <n v="0"/>
    <n v="1"/>
    <n v="0.75"/>
    <m/>
    <n v="0"/>
    <n v="0.05"/>
    <n v="1.1599999999999999"/>
    <n v="1.33"/>
    <n v="1.41"/>
    <n v="1.83"/>
    <n v="3.24"/>
    <s v="MoFA"/>
    <s v="006 Ministry of Foreign Affairs"/>
    <s v="UTB, DCIC, MoTWA, UEPB"/>
  </r>
  <r>
    <x v="12"/>
    <x v="12"/>
    <s v="051"/>
    <s v="Marketing and Promotion"/>
    <s v="0511"/>
    <s v="Promote domestic and inbound tourism"/>
    <s v="051104"/>
    <s v="Upgrade handling and negotiation capacity of frontier services and foreign intermediaries"/>
    <s v="051104b"/>
    <s v="Introduce mechanisms to allow online purchase or pre-approval of visas"/>
    <s v="051104b01"/>
    <s v="Mechanisms introduced to allow online purchase or pre-approval of visas"/>
    <s v="e- visa operational"/>
    <s v="None"/>
    <s v="-"/>
    <s v="Yes"/>
    <s v="Yes"/>
    <s v="Yes"/>
    <s v="Yes"/>
    <s v="MOIA, MoFA, Uganda Airlines, MTIC, MTWA, UEPB, and UTB."/>
    <e v="#N/A"/>
    <m/>
    <m/>
    <m/>
    <m/>
    <m/>
    <m/>
    <m/>
    <n v="0"/>
    <n v="0"/>
    <n v="0"/>
    <m/>
    <n v="0"/>
    <m/>
    <m/>
    <m/>
    <m/>
    <m/>
    <n v="0"/>
    <m/>
    <m/>
    <m/>
  </r>
  <r>
    <x v="12"/>
    <x v="12"/>
    <s v="051"/>
    <s v="Marketing and Promotion"/>
    <s v="0511"/>
    <s v="Promote domestic and inbound tourism"/>
    <s v="051104"/>
    <s v="Upgrade handling and negotiation capacity of frontier services and foreign intermediaries"/>
    <s v="051104b"/>
    <s v="Introduce mechanisms to allow online purchase or pre-approval of visas"/>
    <s v="051104b01"/>
    <s v="Mechanisms introduced to allow online purchase or pre-approval of visas"/>
    <s v="Proportion of Visas pre-approved or purchased online, %"/>
    <s v="None"/>
    <s v="-"/>
    <s v="-"/>
    <n v="50"/>
    <n v="50"/>
    <n v="70"/>
    <s v="MOIA, MoFA, Uganda Airlines, MTIC, MTWA, UEPB, and UTB."/>
    <e v="#N/A"/>
    <m/>
    <m/>
    <m/>
    <m/>
    <m/>
    <m/>
    <m/>
    <n v="0"/>
    <n v="0"/>
    <n v="0"/>
    <m/>
    <n v="0"/>
    <m/>
    <m/>
    <m/>
    <m/>
    <m/>
    <n v="0"/>
    <m/>
    <m/>
    <m/>
  </r>
  <r>
    <x v="12"/>
    <x v="12"/>
    <s v="051"/>
    <s v="Marketing and Promotion"/>
    <s v="0511"/>
    <s v="Promote domestic and inbound tourism"/>
    <s v="051104"/>
    <s v="Upgrade handling and negotiation capacity of frontier services and foreign intermediaries"/>
    <s v="051104b"/>
    <s v="Introduce mechanisms to allow online purchase or pre-approval of visas"/>
    <s v="051104b02"/>
    <s v="Improved coordination with intermediaries"/>
    <s v="Global tourism competitiveness "/>
    <n v="106"/>
    <n v="105"/>
    <n v="104"/>
    <n v="103"/>
    <n v="101"/>
    <n v="100"/>
    <m/>
    <e v="#N/A"/>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a"/>
    <s v="Improve the road for southern access to Bwindi National Park"/>
    <s v="052201a01"/>
    <s v="Roads upgraded and paved"/>
    <s v="Kms paved Roads"/>
    <n v="0"/>
    <n v="20"/>
    <n v="40"/>
    <n v="40"/>
    <n v="40"/>
    <n v="50"/>
    <s v="MoWT"/>
    <s v="016 Ministry of Works and Transport"/>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b"/>
    <s v="Build a bridge across the Nile at Murchison Falls National Park"/>
    <s v="052201b01"/>
    <s v="A bridge constructed across the Nile at Murchison Falls National Park"/>
    <s v="Level of Completion of the bridge, %"/>
    <n v="0"/>
    <n v="20"/>
    <n v="50"/>
    <n v="100"/>
    <n v="100"/>
    <n v="100"/>
    <s v="UNRA"/>
    <s v="113 Uganda National Roads Authority"/>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c"/>
    <s v="Relocate and upgrade the airstrip at the periphery of Kidepo Valley National Park"/>
    <s v="052201c01"/>
    <s v="Airstrip constructed at the periphery of Kidepo Valley National Park"/>
    <s v="Level of completion of construction of Airstrip at the periphery of Kidepo Valley National Park"/>
    <n v="0"/>
    <n v="20"/>
    <n v="40"/>
    <n v="60"/>
    <n v="80"/>
    <n v="100"/>
    <s v="MoWT"/>
    <s v="016 Ministry of Works and Transport"/>
    <s v="Relocate and upgrade the airstrip at periphery of Kidepo N.Park"/>
    <n v="1"/>
    <n v="1"/>
    <n v="0"/>
    <n v="0"/>
    <n v="0"/>
    <n v="1"/>
    <n v="0"/>
    <n v="1"/>
    <n v="0.5"/>
    <m/>
    <n v="0"/>
    <n v="0"/>
    <n v="2"/>
    <n v="12"/>
    <m/>
    <m/>
    <n v="0"/>
    <s v="MoWT (UCAA)"/>
    <s v="016 Ministry of Works and Transport"/>
    <s v="MoWT, UNRA"/>
  </r>
  <r>
    <x v="12"/>
    <x v="12"/>
    <s v="052"/>
    <s v="Infrastructure, Product Development and Conservation"/>
    <s v="0522"/>
    <s v="Increase the stock and quality of tourism infrastructure"/>
    <s v="052201"/>
    <s v="Expand, upgrade and maintain tourism national transport infrastructure and services"/>
    <s v="052201c"/>
    <s v="Relocate and upgrade the airstrip at the periphery of Kidepo Valley National Park"/>
    <s v="052201c01"/>
    <s v="Airstrip constructed at the periphery of Kidepo Valley National Park"/>
    <s v="No. of innovations (handicraft products) patented"/>
    <m/>
    <m/>
    <m/>
    <n v="2"/>
    <n v="2"/>
    <n v="4"/>
    <m/>
    <e v="#N/A"/>
    <s v="Support artisans acquire IPs for innovations"/>
    <n v="1"/>
    <n v="1"/>
    <n v="1"/>
    <n v="1"/>
    <n v="0"/>
    <n v="1"/>
    <n v="1"/>
    <n v="1"/>
    <n v="0.875"/>
    <m/>
    <n v="0"/>
    <s v="-"/>
    <s v="-"/>
    <n v="0.2"/>
    <n v="0.2"/>
    <n v="0.04"/>
    <n v="0.24000000000000002"/>
    <s v="UEPB"/>
    <s v="306 Uganda Export Promotion Board"/>
    <s v="MoSTI, MoJICA"/>
  </r>
  <r>
    <x v="12"/>
    <x v="12"/>
    <s v="052"/>
    <s v="Infrastructure, Product Development and Conservation"/>
    <s v="0522"/>
    <s v="Increase the stock and quality of tourism infrastructure"/>
    <s v="052201"/>
    <s v="Expand, upgrade and maintain tourism national transport infrastructure and services"/>
    <s v="052201d"/>
    <s v="Expand, upgrade and/or maintain National tourism roads"/>
    <s v="052201d01"/>
    <s v="National tourism roads expanded, upgraded and/or maintained "/>
    <s v="Km. of identified tourism roads network paved"/>
    <n v="765"/>
    <n v="810"/>
    <n v="840"/>
    <n v="870"/>
    <n v="1070"/>
    <n v="1375"/>
    <s v="UNRA"/>
    <s v="113 Uganda National Roads Authority"/>
    <s v="Upgrade the road access to critical tourism P.A.s especially access to northern and southern sections of Bwindi Impenetrable N.Park"/>
    <n v="1"/>
    <n v="1"/>
    <n v="1"/>
    <n v="0"/>
    <n v="1"/>
    <n v="1"/>
    <n v="0"/>
    <n v="1"/>
    <n v="0.75"/>
    <m/>
    <n v="0"/>
    <n v="0"/>
    <n v="37"/>
    <n v="37"/>
    <n v="0"/>
    <n v="0"/>
    <n v="0"/>
    <s v="UNRA"/>
    <s v="113 Uganda National Roads Authority"/>
    <s v="MoWT, LG"/>
  </r>
  <r>
    <x v="12"/>
    <x v="12"/>
    <s v="052"/>
    <s v="Infrastructure, Product Development and Conservation"/>
    <s v="0522"/>
    <s v="Increase the stock and quality of tourism infrastructure"/>
    <s v="052201"/>
    <s v="Expand, upgrade and maintain tourism national transport infrastructure and services"/>
    <s v="052201e"/>
    <s v="Improve infrastructure around Mt Elgon"/>
    <s v="052201e01"/>
    <s v="Mt. Elgon trails improved with infrastructure and facilities "/>
    <s v="Proportion of the required Mt. Elgon tourism infrastructure developed, %"/>
    <n v="5"/>
    <n v="0"/>
    <n v="0"/>
    <n v="5"/>
    <n v="7"/>
    <n v="10"/>
    <s v="MTWA"/>
    <e v="#N/A"/>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f"/>
    <s v="Improve and/or maintain access to Protected Areas"/>
    <s v="052201f01"/>
    <s v="Trails inside protected areas maintained"/>
    <s v="Length of trails maintained"/>
    <n v="2000"/>
    <n v="2100"/>
    <n v="2100"/>
    <n v="2200"/>
    <n v="2200"/>
    <n v="2300"/>
    <s v="UWA"/>
    <e v="#N/A"/>
    <s v="Maintain and improve trails in Protected Areas"/>
    <n v="1"/>
    <n v="1"/>
    <n v="1"/>
    <n v="1"/>
    <n v="1"/>
    <n v="1"/>
    <n v="0"/>
    <n v="1"/>
    <n v="0.875"/>
    <m/>
    <n v="0"/>
    <n v="2"/>
    <n v="2.1"/>
    <n v="2.2000000000000002"/>
    <n v="2.2000000000000002"/>
    <n v="2.2999999999999998"/>
    <n v="4.5"/>
    <s v="MoTWA (UWA)"/>
    <s v="022 Ministry of Tourism, Wildlife and Antiquities"/>
    <s v="MoLG, UNRA"/>
  </r>
  <r>
    <x v="12"/>
    <x v="12"/>
    <s v="052"/>
    <s v="Infrastructure, Product Development and Conservation"/>
    <s v="0522"/>
    <s v="Increase the stock and quality of tourism infrastructure"/>
    <s v="052201"/>
    <s v="Expand, upgrade and maintain tourism national transport infrastructure and services"/>
    <s v="052201g"/>
    <s v="Construct/rehabilitate/upgrade marine/water routes including 20 docking piers on Lake Victoria and Lake Albert"/>
    <s v="052201g01"/>
    <s v="Marine/water routes developed/ upgraded including 20 docking piers and access roads on Lake Victoria constructed/ rehabilitated"/>
    <s v="Number of Piers/docking facilities (including the access roads) constructed/ rehabilitated at selected islands (Bugala, Ngamba, Dolwe, Buvuma etc) and identified areas such as Port Bell, Jinja, Mukono (Bule), Munyonyo, Entebbe (Port Alice and Nakiwogo), Ggaba, Butebo, Lutoboka and Lambu, etc"/>
    <m/>
    <n v="2"/>
    <n v="3"/>
    <n v="3"/>
    <n v="4"/>
    <n v="4"/>
    <s v="MoWT"/>
    <s v="016 Ministry of Works and Transport"/>
    <s v="Construct/ Rehabilitate/ Upgrade marine or water routes including 20 docking piers on L. Victoria, L.Albert, Mulehe, Kyahapi ,L.Mburo, L. Kyoga, bunyonyi."/>
    <n v="1"/>
    <n v="1"/>
    <n v="1"/>
    <n v="0"/>
    <n v="0"/>
    <n v="0"/>
    <n v="0"/>
    <n v="1"/>
    <n v="0.5"/>
    <m/>
    <n v="0"/>
    <n v="0"/>
    <n v="4"/>
    <n v="6"/>
    <m/>
    <m/>
    <n v="0"/>
    <s v="MoWT"/>
    <s v="016 Ministry of Works and Transport"/>
    <s v="UNRA, MoTWA, LGs"/>
  </r>
  <r>
    <x v="12"/>
    <x v="12"/>
    <s v="052"/>
    <s v="Infrastructure, Product Development and Conservation"/>
    <s v="0522"/>
    <s v="Increase the stock and quality of tourism infrastructure"/>
    <s v="052201"/>
    <s v="Expand, upgrade and maintain tourism national transport infrastructure and services"/>
    <s v="052201g"/>
    <s v="Construct/rehabilitate/upgrade marine/water routes including 20 docking piers on Lake Victoria and Lake Albert"/>
    <s v="052201g01"/>
    <s v="Marine/water routes developed/ upgraded including 20 docking piers and access roads on Lake Victoria constructed/ rehabilitated"/>
    <s v="Number of Cruise Ships and Water Buses provided"/>
    <n v="2"/>
    <n v="3"/>
    <n v="4"/>
    <n v="5"/>
    <n v="6"/>
    <n v="7"/>
    <s v="MTWA"/>
    <e v="#N/A"/>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h"/>
    <s v="Develop and improve the roads to cultural heritage sites of Bigo Byamugenyi archaeological heritage, Nyero, Patiko, Emin Pasha’s fort"/>
    <s v="052201h01"/>
    <s v="Roads leading to cultural heritage sites of Bigo Byamugenyi archaeological heritage, Nyero, Patiko, Emin Pasha’s fort improved"/>
    <s v="No of Kms of roads to cultural heritage sites of Bigo Byamugenyi, Nyero rock paintings upgraded. "/>
    <s v="-"/>
    <s v="-"/>
    <s v="-"/>
    <s v="-"/>
    <s v="-"/>
    <n v="114"/>
    <s v="UNRA"/>
    <s v="113 Uganda National Roads Authority"/>
    <s v="Develop and improve the roads to cultural heritage sites of Bigo Byamugenyi, Nyero rock paintings improved (207 km)"/>
    <n v="1"/>
    <n v="1"/>
    <n v="1"/>
    <n v="0"/>
    <n v="1"/>
    <n v="1"/>
    <n v="0"/>
    <n v="1"/>
    <n v="0.75"/>
    <m/>
    <n v="0"/>
    <n v="0"/>
    <n v="0"/>
    <n v="25.9"/>
    <n v="5"/>
    <n v="50"/>
    <n v="55"/>
    <s v="UNRA"/>
    <s v="113 Uganda National Roads Authority"/>
    <s v="LG, MoWT"/>
  </r>
  <r>
    <x v="12"/>
    <x v="12"/>
    <s v="052"/>
    <s v="Infrastructure, Product Development and Conservation"/>
    <s v="0522"/>
    <s v="Increase the stock and quality of tourism infrastructure"/>
    <s v="052201"/>
    <s v="Expand, upgrade and maintain tourism national transport infrastructure and services"/>
    <s v="052201h"/>
    <s v="Develop and improve the roads to cultural heritage sites of Bigo Byamugenyi archaeological heritage, Nyero, Patiko, Emin Pasha’s fort"/>
    <s v="052201h01"/>
    <s v="Roads leading to cultural heritage sites of Bigo Byamugenyi archaeological heritage, Nyero, Patiko, Emin Pasha’s fort improved"/>
    <m/>
    <s v="-"/>
    <s v="-"/>
    <s v="-"/>
    <s v="-"/>
    <s v="-"/>
    <n v="10"/>
    <s v="UNRA"/>
    <s v="113 Uganda National Roads Authority"/>
    <s v="Develop and improve the roads to cultural heritage site of Patiko, Emin Pasha’s fort improved (60 km)"/>
    <n v="1"/>
    <n v="1"/>
    <n v="1"/>
    <n v="0"/>
    <n v="1"/>
    <n v="1"/>
    <n v="0"/>
    <n v="1"/>
    <n v="0.75"/>
    <m/>
    <n v="0"/>
    <n v="0"/>
    <n v="0"/>
    <n v="29.6"/>
    <m/>
    <m/>
    <n v="0"/>
    <s v="UNRA"/>
    <s v="113 Uganda National Roads Authority"/>
    <s v="MoWT, LG, UNRA"/>
  </r>
  <r>
    <x v="12"/>
    <x v="12"/>
    <s v="052"/>
    <s v="Infrastructure, Product Development and Conservation"/>
    <s v="0522"/>
    <s v="Increase the stock and quality of tourism infrastructure"/>
    <s v="052201"/>
    <s v="Expand, upgrade and maintain tourism national transport infrastructure and services"/>
    <s v="052201h"/>
    <s v="Develop and improve the roads to cultural heritage sites of Bigo Byamugenyi archaeological heritage, Nyero, Patiko, Emin Pasha’s fort"/>
    <s v="052201h01"/>
    <s v="Roads leading to cultural heritage sites of Bigo Byamugenyi archaeological heritage, Nyero, Patiko, Emin Pasha’s fort improved"/>
    <m/>
    <s v="-"/>
    <s v="-"/>
    <s v="-"/>
    <s v="-"/>
    <s v="-"/>
    <n v="37"/>
    <s v="UNRA"/>
    <s v="113 Uganda National Roads Authority"/>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h"/>
    <s v="Develop and improve the roads to cultural heritage sites of Bigo Byamugenyi archaeological heritage, Nyero, Patiko, Emin Pasha’s fort"/>
    <s v="052201h01"/>
    <s v="Roads leading to cultural heritage sites of Bigo Byamugenyi archaeological heritage, Nyero, Patiko, Emin Pasha’s fort improved"/>
    <m/>
    <s v="-"/>
    <s v="-"/>
    <s v="-"/>
    <s v="-"/>
    <s v="-"/>
    <n v="40"/>
    <s v="UNRA"/>
    <s v="113 Uganda National Roads Authority"/>
    <m/>
    <m/>
    <m/>
    <m/>
    <m/>
    <m/>
    <m/>
    <n v="0"/>
    <n v="0"/>
    <n v="0"/>
    <m/>
    <n v="0"/>
    <m/>
    <m/>
    <m/>
    <m/>
    <m/>
    <n v="0"/>
    <m/>
    <m/>
    <m/>
  </r>
  <r>
    <x v="12"/>
    <x v="12"/>
    <s v="052"/>
    <s v="Infrastructure, Product Development and Conservation"/>
    <s v="0522"/>
    <s v="Increase the stock and quality of tourism infrastructure"/>
    <s v="052201"/>
    <s v="Expand, upgrade and maintain tourism national transport infrastructure and services"/>
    <s v="052201h"/>
    <s v="Develop and improve the roads to cultural heritage sites of Bigo Byamugenyi archaeological heritage, Nyero, Patiko, Emin Pasha’s fort"/>
    <s v="052201h01"/>
    <s v="Roads leading to cultural heritage sites of Bigo Byamugenyi archaeological heritage, Nyero, Patiko, Emin Pasha’s fort improved"/>
    <m/>
    <s v="-"/>
    <s v="-"/>
    <s v="-"/>
    <s v="-"/>
    <s v="-"/>
    <n v="12"/>
    <s v="UNRA"/>
    <s v="113 Uganda National Roads Authority"/>
    <m/>
    <m/>
    <m/>
    <m/>
    <m/>
    <m/>
    <m/>
    <n v="0"/>
    <n v="0"/>
    <n v="0"/>
    <m/>
    <n v="0"/>
    <m/>
    <m/>
    <m/>
    <m/>
    <m/>
    <n v="0"/>
    <m/>
    <m/>
    <m/>
  </r>
  <r>
    <x v="12"/>
    <x v="12"/>
    <s v="052"/>
    <s v="Infrastructure, Product Development and Conservation"/>
    <s v="0522"/>
    <s v="Increase the stock and quality of tourism infrastructure"/>
    <s v="052202"/>
    <s v="Support the development and/or upgrade of accommodation and conference facilities of all types and sizes as well as leisure attractions and facilities (including, restaurants, bars and cafes)"/>
    <s v="052202a"/>
    <s v="Increase the number of hotel rooms and food and beverage facilities"/>
    <s v="052202a01"/>
    <s v="Room Stock increased"/>
    <s v="No hotel rooms available"/>
    <n v="1097"/>
    <n v="1117"/>
    <n v="1137"/>
    <n v="1157"/>
    <n v="1177"/>
    <n v="1197"/>
    <s v="MTWA"/>
    <e v="#N/A"/>
    <s v="8 training facilities constructed"/>
    <n v="1"/>
    <n v="1"/>
    <n v="0"/>
    <n v="1"/>
    <n v="1"/>
    <n v="1"/>
    <n v="0"/>
    <n v="1"/>
    <n v="0.75"/>
    <m/>
    <n v="0"/>
    <n v="5"/>
    <n v="3"/>
    <n v="0"/>
    <n v="3"/>
    <n v="0"/>
    <n v="3"/>
    <s v="MoTWA"/>
    <s v="022 Ministry of Tourism, Wildlife and Antiquities"/>
    <s v="MoES, UIA"/>
  </r>
  <r>
    <x v="12"/>
    <x v="12"/>
    <s v="052"/>
    <s v="Infrastructure, Product Development and Conservation"/>
    <s v="0522"/>
    <s v="Increase the stock and quality of tourism infrastructure"/>
    <s v="052202"/>
    <s v="Support the development and/or upgrade of accommodation and conference facilities of all types and sizes as well as leisure attractions and facilities (including, restaurants, bars and cafes)"/>
    <s v="052202a"/>
    <s v="Increase the number of hotel rooms and food and beverage facilities"/>
    <s v="052202a01"/>
    <s v="Room Stock increased"/>
    <m/>
    <m/>
    <m/>
    <m/>
    <m/>
    <m/>
    <m/>
    <m/>
    <e v="#N/A"/>
    <s v="2 student hostels / dormitories constructed"/>
    <n v="1"/>
    <n v="1"/>
    <n v="0"/>
    <n v="1"/>
    <n v="1"/>
    <n v="1"/>
    <n v="0"/>
    <n v="1"/>
    <n v="0.75"/>
    <m/>
    <n v="0"/>
    <n v="0"/>
    <n v="3"/>
    <n v="0"/>
    <n v="1"/>
    <n v="0"/>
    <n v="1"/>
    <s v="MoTWA (UHTTI)"/>
    <s v="022 Ministry of Tourism, Wildlife and Antiquities"/>
    <s v="MoES, MoTWA"/>
  </r>
  <r>
    <x v="12"/>
    <x v="12"/>
    <s v="052"/>
    <s v="Infrastructure, Product Development and Conservation"/>
    <s v="0522"/>
    <s v="Increase the stock and quality of tourism infrastructure"/>
    <s v="052202"/>
    <s v="Support the development and/or upgrade of accommodation and conference facilities of all types and sizes as well as leisure attractions and facilities (including, restaurants, bars and cafes)"/>
    <s v="052202a"/>
    <s v="Increase the number of hotel rooms and food and beverage facilities"/>
    <s v="052202a01"/>
    <s v="Room Stock increased"/>
    <m/>
    <m/>
    <m/>
    <m/>
    <m/>
    <m/>
    <m/>
    <m/>
    <e v="#N/A"/>
    <s v="Extend ICT infrastructure"/>
    <n v="1"/>
    <n v="1"/>
    <n v="1"/>
    <n v="1"/>
    <n v="1"/>
    <n v="1"/>
    <n v="0"/>
    <n v="1"/>
    <n v="0.875"/>
    <m/>
    <n v="0"/>
    <n v="0"/>
    <n v="1"/>
    <n v="3"/>
    <n v="6"/>
    <n v="6"/>
    <n v="12"/>
    <s v="MoICT&amp;NG"/>
    <s v="020 Ministry of ICT and National Guidance"/>
    <s v="NITA-U, UCC"/>
  </r>
  <r>
    <x v="12"/>
    <x v="12"/>
    <s v="052"/>
    <s v="Infrastructure, Product Development and Conservation"/>
    <s v="0522"/>
    <s v="Increase the stock and quality of tourism infrastructure"/>
    <s v="052202"/>
    <s v="Support the development and/or upgrade of accommodation and conference facilities of all types and sizes as well as leisure attractions and facilities (including, restaurants, bars and cafes)"/>
    <s v="052202b"/>
    <s v="Facilitate the establishment of International hotel chains"/>
    <s v="052202b01"/>
    <s v="International hotel chains established"/>
    <s v="No. of international hotel chains established"/>
    <n v="4"/>
    <n v="5"/>
    <n v="6"/>
    <n v="7"/>
    <n v="8"/>
    <n v="9"/>
    <s v="UTB"/>
    <s v="117 Uganda Tourism Board"/>
    <m/>
    <m/>
    <m/>
    <m/>
    <m/>
    <m/>
    <m/>
    <n v="0"/>
    <n v="0"/>
    <n v="0"/>
    <m/>
    <n v="0"/>
    <m/>
    <m/>
    <m/>
    <m/>
    <m/>
    <n v="0"/>
    <m/>
    <m/>
    <m/>
  </r>
  <r>
    <x v="12"/>
    <x v="12"/>
    <s v="052"/>
    <s v="Infrastructure, Product Development and Conservation"/>
    <s v="0522"/>
    <s v="Increase the stock and quality of tourism infrastructure"/>
    <s v="052202"/>
    <s v="Support the development and/or upgrade of accommodation and conference facilities of all types and sizes as well as leisure attractions and facilities (including, restaurants, bars and cafes)"/>
    <s v="052202c"/>
    <s v="Construct a National Convention center to scale up MICE tourism"/>
    <s v="052202c01"/>
    <s v="National convention center established"/>
    <s v="Level of development of the National convention Center"/>
    <n v="0"/>
    <n v="0"/>
    <n v="10"/>
    <n v="15"/>
    <n v="20"/>
    <n v="25"/>
    <s v="MTWA"/>
    <e v="#N/A"/>
    <m/>
    <m/>
    <m/>
    <m/>
    <m/>
    <m/>
    <m/>
    <n v="0"/>
    <n v="0"/>
    <n v="0"/>
    <m/>
    <n v="0"/>
    <m/>
    <m/>
    <m/>
    <m/>
    <m/>
    <n v="0"/>
    <m/>
    <m/>
    <m/>
  </r>
  <r>
    <x v="12"/>
    <x v="12"/>
    <s v="052"/>
    <s v="Infrastructure, Product Development and Conservation"/>
    <s v="0522"/>
    <s v="Increase the stock and quality of tourism infrastructure"/>
    <s v="052203"/>
    <s v="Support the private sector to provide low-cost accommodation facilities in protected areas"/>
    <s v="-"/>
    <s v="-"/>
    <s v="05220301"/>
    <s v="Accommodation and catering services developed and/or upgraded in protected areas"/>
    <s v="No of tourist accommodation beds in protected areas"/>
    <n v="950"/>
    <n v="1065"/>
    <n v="1096.95"/>
    <n v="1129.8585"/>
    <n v="1163.7542550000001"/>
    <n v="1198.6668826500002"/>
    <s v="UWA"/>
    <e v="#N/A"/>
    <s v="Undertake consultations and upgrade Key Wildlife Reserves and Natural Central Forest Reserves"/>
    <n v="1"/>
    <n v="0"/>
    <n v="1"/>
    <n v="1"/>
    <n v="1"/>
    <n v="1"/>
    <n v="1"/>
    <n v="1"/>
    <n v="0.875"/>
    <n v="1"/>
    <n v="0"/>
    <n v="0"/>
    <n v="0"/>
    <n v="1"/>
    <n v="0.75"/>
    <n v="1.375"/>
    <n v="2.125"/>
    <s v="MoTWA"/>
    <s v="022 Ministry of Tourism, Wildlife and Antiquities"/>
    <s v="NFA, UWA"/>
  </r>
  <r>
    <x v="12"/>
    <x v="12"/>
    <s v="052"/>
    <s v="Infrastructure, Product Development and Conservation"/>
    <s v="0522"/>
    <s v="Increase the stock and quality of tourism infrastructure"/>
    <s v="052204"/>
    <s v="Develop digital capability in the tourism industry to market and improve access to products"/>
    <s v="052204a"/>
    <s v="Provide fast, accessible and reliable internet connectivity all wildlife protected areas and other major tourists’ attractions"/>
    <s v="052204a01"/>
    <s v="Access to fast accessible and reliable internet connectivity in PAs"/>
    <s v="Number of Wildlife Protected areas with fast accessible and reliable internet connectivity"/>
    <n v="0"/>
    <n v="0"/>
    <n v="0"/>
    <n v="0"/>
    <n v="2"/>
    <n v="4"/>
    <s v="NITAU"/>
    <e v="#N/A"/>
    <m/>
    <m/>
    <m/>
    <m/>
    <m/>
    <m/>
    <m/>
    <n v="0"/>
    <n v="0"/>
    <n v="0"/>
    <m/>
    <n v="0"/>
    <m/>
    <m/>
    <m/>
    <m/>
    <m/>
    <n v="0"/>
    <m/>
    <m/>
    <m/>
  </r>
  <r>
    <x v="12"/>
    <x v="12"/>
    <s v="052"/>
    <s v="Infrastructure, Product Development and Conservation"/>
    <s v="0522"/>
    <s v="Increase the stock and quality of tourism infrastructure"/>
    <s v="052204"/>
    <s v="Develop digital capability in the tourism industry to market and improve access to products"/>
    <s v="052204b"/>
    <s v="Promote use of e-tourism services"/>
    <s v="052204b01"/>
    <s v="e-tourism services provided"/>
    <s v="Proportion of Tourism service providers (Tour operators, accommodation, recreational/ tourism site) that offer online services such as bookings"/>
    <s v="-"/>
    <n v="30"/>
    <n v="40"/>
    <n v="50"/>
    <n v="60"/>
    <n v="70"/>
    <s v="UTB"/>
    <s v="117 Uganda Tourism Board"/>
    <m/>
    <m/>
    <m/>
    <m/>
    <m/>
    <m/>
    <m/>
    <n v="0"/>
    <n v="0"/>
    <n v="0"/>
    <m/>
    <n v="0"/>
    <m/>
    <m/>
    <m/>
    <m/>
    <m/>
    <n v="0"/>
    <m/>
    <m/>
    <m/>
  </r>
  <r>
    <x v="12"/>
    <x v="12"/>
    <s v="052"/>
    <s v="Infrastructure, Product Development and Conservation"/>
    <s v="0522"/>
    <s v="Increase the stock and quality of tourism infrastructure"/>
    <s v="052204"/>
    <s v="Develop digital capability in the tourism industry to market and improve access to products"/>
    <s v="052204b"/>
    <s v="Promote use of e-tourism services"/>
    <s v="052204b01"/>
    <s v="e-tourism services provided"/>
    <s v="Permitting processes automated and permit management systems developed "/>
    <s v="-"/>
    <s v="-"/>
    <n v="1"/>
    <n v="1"/>
    <n v="1"/>
    <n v="1"/>
    <s v="MTWA"/>
    <e v="#N/A"/>
    <s v="Skill staff in the management of the e-immigration system"/>
    <n v="1"/>
    <n v="1"/>
    <n v="0"/>
    <n v="1"/>
    <n v="1"/>
    <n v="1"/>
    <n v="0"/>
    <n v="1"/>
    <n v="0.75"/>
    <m/>
    <n v="0"/>
    <n v="0"/>
    <n v="0.54"/>
    <n v="0.54"/>
    <n v="0.54"/>
    <n v="0.54"/>
    <n v="1.08"/>
    <s v="MoIA (DCIC)"/>
    <s v="009 Ministry of Internal Affairs"/>
    <s v="MoFA"/>
  </r>
  <r>
    <x v="12"/>
    <x v="12"/>
    <s v="052"/>
    <s v="Infrastructure, Product Development and Conservation"/>
    <s v="0522"/>
    <s v="Increase the stock and quality of tourism infrastructure"/>
    <s v="052204"/>
    <s v="Develop digital capability in the tourism industry to market and improve access to products"/>
    <s v="052204b"/>
    <s v="Promote use of e-tourism services"/>
    <s v="052204b01"/>
    <s v="e-tourism services provided"/>
    <m/>
    <m/>
    <m/>
    <m/>
    <m/>
    <m/>
    <m/>
    <m/>
    <e v="#N/A"/>
    <s v="Procurement, delivery and Installation of hardware and software (change requests for e-immigration systems) for 53 border stations, 6 regional offices and 19 missions"/>
    <n v="1"/>
    <n v="1"/>
    <n v="0"/>
    <n v="1"/>
    <n v="1"/>
    <n v="1"/>
    <n v="0"/>
    <n v="1"/>
    <n v="0.75"/>
    <m/>
    <n v="0"/>
    <n v="38.33"/>
    <n v="0.98"/>
    <n v="0.98"/>
    <n v="0.98"/>
    <n v="0.49"/>
    <n v="1.47"/>
    <s v="MoIA (DCIC)"/>
    <s v="009 Ministry of Internal Affairs"/>
    <s v="UCAA, MoFA"/>
  </r>
  <r>
    <x v="12"/>
    <x v="12"/>
    <s v="052"/>
    <s v="Infrastructure, Product Development and Conservation"/>
    <s v="0522"/>
    <s v="Increase the stock and quality of tourism infrastructure"/>
    <s v="052205"/>
    <s v="Construct water dams in Toro Semuliki Wildlife Reserve, Lake Mburo National park, Kidepo Valley National Park, Murchison Falls National Park, Pian Upe Wildlife Reserve and Bokora-Matheniko Wildlife Reserve savannah wildlife protected areas"/>
    <s v="-"/>
    <s v="-"/>
    <s v="05220501"/>
    <s v="Water dams established in selected savannah wildlife protected areas"/>
    <s v="Number of water dams constructed in Protected Areas"/>
    <n v="0"/>
    <n v="1"/>
    <n v="1"/>
    <n v="2"/>
    <n v="3"/>
    <n v="3"/>
    <s v="MWE"/>
    <s v="019 Ministry of Water and Environment"/>
    <s v="20 dams constructed in Protected Areas"/>
    <n v="1"/>
    <n v="1"/>
    <n v="1"/>
    <n v="1"/>
    <n v="1"/>
    <n v="1"/>
    <n v="0"/>
    <n v="0"/>
    <n v="0.75"/>
    <n v="1"/>
    <n v="0"/>
    <n v="0.01"/>
    <n v="0.02"/>
    <n v="0.02"/>
    <n v="0.02"/>
    <n v="0.03"/>
    <n v="0.05"/>
    <s v="MWE"/>
    <s v="019 Ministry of Water and Environment"/>
    <s v="MoWT"/>
  </r>
  <r>
    <x v="12"/>
    <x v="12"/>
    <s v="052"/>
    <s v="Infrastructure, Product Development and Conservation"/>
    <s v="0522"/>
    <s v="Increase the stock and quality of tourism infrastructure"/>
    <s v="052206"/>
    <s v="Establish trade and service facilities, including; insurance, banking, sports and recreation, cultural and craft facilities and services at the different tourist attraction points"/>
    <s v="-"/>
    <s v="-"/>
    <s v="05220601"/>
    <s v="Trade and service facilities established"/>
    <s v="No. of tourist stopovers developed."/>
    <n v="0"/>
    <s v="-"/>
    <n v="1"/>
    <s v="-"/>
    <s v="-"/>
    <n v="1"/>
    <s v="MTWA"/>
    <e v="#N/A"/>
    <s v="Construct stop over points"/>
    <n v="1"/>
    <n v="1"/>
    <n v="1"/>
    <n v="1"/>
    <n v="0"/>
    <n v="1"/>
    <n v="1"/>
    <n v="1"/>
    <n v="0.875"/>
    <m/>
    <n v="0"/>
    <n v="0"/>
    <n v="0"/>
    <n v="0"/>
    <n v="0"/>
    <n v="0"/>
    <n v="0"/>
    <s v="MoTWA"/>
    <s v="022 Ministry of Tourism, Wildlife and Antiquities"/>
    <s v="UTB, UNRA, MoWT"/>
  </r>
  <r>
    <x v="12"/>
    <x v="12"/>
    <s v="052"/>
    <s v="Infrastructure, Product Development and Conservation"/>
    <s v="0522"/>
    <s v="Increase the stock and quality of tourism infrastructure"/>
    <s v="052206"/>
    <s v="Establish trade and service facilities, including; insurance, banking, sports and recreation, cultural and craft facilities and services at the different tourist attraction points"/>
    <s v="-"/>
    <s v="-"/>
    <s v="05220601"/>
    <s v="Trade and service facilities established"/>
    <s v="No. souvenir and craft facilities /centres established/ rehabilitated"/>
    <s v="-"/>
    <s v="-"/>
    <n v="1"/>
    <s v="-"/>
    <n v="1"/>
    <n v="1"/>
    <s v="MoTIC"/>
    <s v="015 Ministry of Trade, Industry and Cooperatives"/>
    <m/>
    <m/>
    <m/>
    <m/>
    <m/>
    <m/>
    <m/>
    <n v="0"/>
    <n v="0"/>
    <n v="0"/>
    <m/>
    <n v="0"/>
    <m/>
    <m/>
    <m/>
    <m/>
    <m/>
    <n v="0"/>
    <m/>
    <m/>
    <m/>
  </r>
  <r>
    <x v="12"/>
    <x v="12"/>
    <s v="052"/>
    <s v="Infrastructure, Product Development and Conservation"/>
    <s v="0523"/>
    <s v="Develop, conserve and diversify tourism products"/>
    <s v="052301"/>
    <s v="Develop new tourist attraction sites profiled by region to include new products such as:  Community tourism; Adventure tourism further enhanced by developing hiking, climbing and cable cars in the Rwenzori Mountains; Water-based (marine) tourism; e.g. from Semuiki National Park to East Madi wildlife reserve through Lake Albert, Semuliki river and River Nile; MICE; Agro-tourism"/>
    <s v="-"/>
    <s v="-"/>
    <s v="05230101"/>
    <s v="Tourist attractions developed, upgraded and/or maintained (Source of the Nile, Kagulu Hill and Namugongo)"/>
    <s v="Number of Tourism Products upgraded/ developed(cumulative)"/>
    <n v="2"/>
    <n v="4"/>
    <n v="6"/>
    <n v="8"/>
    <n v="9"/>
    <n v="10"/>
    <s v="MTWA"/>
    <e v="#N/A"/>
    <s v="Facilitate the development and profile new tourism tourism products with a special focus on non-traditional tourism sites"/>
    <n v="1"/>
    <n v="1"/>
    <n v="1"/>
    <n v="1"/>
    <n v="1"/>
    <n v="1"/>
    <n v="0"/>
    <n v="1"/>
    <n v="0.875"/>
    <m/>
    <n v="0"/>
    <n v="2"/>
    <n v="2"/>
    <n v="2"/>
    <n v="13"/>
    <n v="24"/>
    <n v="37"/>
    <s v="MoTWA"/>
    <s v="022 Ministry of Tourism, Wildlife and Antiquities"/>
    <s v="MoLG, UTB, UIA"/>
  </r>
  <r>
    <x v="12"/>
    <x v="12"/>
    <s v="052"/>
    <s v="Infrastructure, Product Development and Conservation"/>
    <s v="0523"/>
    <s v="Develop, conserve and diversify tourism products"/>
    <s v="052301"/>
    <s v="Develop new tourist attraction sites profiled by region to include new products such as:  Community tourism; Adventure tourism further enhanced by developing hiking, climbing and cable cars in the Rwenzori Mountains; Water-based (marine) tourism; e.g. from Semuiki National Park to East Madi wildlife reserve through Lake Albert, Semuliki river and River Nile; MICE; Agro-tourism"/>
    <s v="-"/>
    <s v="-"/>
    <s v="05230101"/>
    <s v="Tourist attractions developed, upgraded and/or maintained (Source of the Nile, Kagulu Hill and Namugongo)"/>
    <m/>
    <m/>
    <m/>
    <m/>
    <m/>
    <m/>
    <m/>
    <m/>
    <e v="#N/A"/>
    <s v="Restored degraded wildlife habitats"/>
    <n v="1"/>
    <n v="1"/>
    <n v="1"/>
    <n v="1"/>
    <n v="1"/>
    <n v="1"/>
    <n v="0"/>
    <n v="1"/>
    <n v="0.875"/>
    <m/>
    <n v="0"/>
    <n v="1.25"/>
    <n v="2.5"/>
    <n v="3.75"/>
    <n v="4"/>
    <n v="4.25"/>
    <n v="8.25"/>
    <s v="MoTWA (UWA)"/>
    <s v="022 Ministry of Tourism, Wildlife and Antiquities"/>
    <s v="MoTWA"/>
  </r>
  <r>
    <x v="12"/>
    <x v="12"/>
    <s v="052"/>
    <s v="Infrastructure, Product Development and Conservation"/>
    <s v="0523"/>
    <s v="Develop, conserve and diversify tourism products"/>
    <s v="052301"/>
    <s v="Develop new tourist attraction sites profiled by region to include new products such as:  Community tourism; Adventure tourism further enhanced by developing hiking, climbing and cable cars in the Rwenzori Mountains; Water-based (marine) tourism; e.g. from Semuiki National Park to East Madi wildlife reserve through Lake Albert, Semuliki river and River Nile; MICE; Agro-tourism"/>
    <s v="-"/>
    <s v="-"/>
    <s v="05230101"/>
    <s v="Tourist attractions developed, upgraded and/or maintained (Source of the Nile, Kagulu Hill and Namugongo)"/>
    <m/>
    <m/>
    <m/>
    <m/>
    <m/>
    <m/>
    <m/>
    <m/>
    <e v="#N/A"/>
    <m/>
    <m/>
    <m/>
    <m/>
    <m/>
    <m/>
    <m/>
    <n v="0"/>
    <n v="0"/>
    <n v="0"/>
    <m/>
    <n v="0"/>
    <m/>
    <m/>
    <m/>
    <m/>
    <m/>
    <n v="0"/>
    <m/>
    <m/>
    <m/>
  </r>
  <r>
    <x v="12"/>
    <x v="12"/>
    <s v="052"/>
    <s v="Infrastructure, Product Development and Conservation"/>
    <s v="0523"/>
    <s v="Develop, conserve and diversify tourism products"/>
    <s v="052301"/>
    <s v="Develop new tourist attraction sites profiled by region to include new products such as:  Community tourism; Adventure tourism further enhanced by developing hiking, climbing and cable cars in the Rwenzori Mountains; Water-based (marine) tourism; e.g. from Semuiki National Park to East Madi wildlife reserve through Lake Albert, Semuliki river and River Nile; MICE; Agro-tourism"/>
    <s v="-"/>
    <s v="-"/>
    <s v="05230101"/>
    <s v="Tourist attractions developed, upgraded and/or maintained (Source of the Nile, Kagulu Hill and Namugongo)"/>
    <m/>
    <m/>
    <m/>
    <m/>
    <m/>
    <m/>
    <m/>
    <m/>
    <e v="#N/A"/>
    <s v="Maintain existing tourism products."/>
    <n v="1"/>
    <n v="1"/>
    <n v="1"/>
    <n v="1"/>
    <n v="1"/>
    <n v="1"/>
    <n v="0"/>
    <n v="1"/>
    <n v="0.875"/>
    <m/>
    <n v="0"/>
    <n v="21"/>
    <n v="18"/>
    <n v="18"/>
    <n v="13"/>
    <n v="31"/>
    <n v="44"/>
    <s v="MoTWA"/>
    <s v="022 Ministry of Tourism, Wildlife and Antiquities"/>
    <s v="MoLG, UTB"/>
  </r>
  <r>
    <x v="12"/>
    <x v="12"/>
    <s v="052"/>
    <s v="Infrastructure, Product Development and Conservation"/>
    <s v="0523"/>
    <s v="Develop, conserve and diversify tourism products"/>
    <s v="052302"/>
    <s v="Upgrade, maintain and redevelop existing tourist attraction sites profiled by region to include new products like dark tourism, culinary tourism, adventure tourism, wellness ‘tourism, war tourism "/>
    <s v="-"/>
    <s v="-"/>
    <s v="05230201"/>
    <s v="Tourist attractions developed, upgraded and/or maintained (Source of the Nile, Kagulu Hill and Namugongo)"/>
    <s v="Source of the Nile &amp; Namugongo developed into major domestic tourism centres"/>
    <s v="-"/>
    <s v="-"/>
    <s v="-"/>
    <s v="-"/>
    <n v="1"/>
    <n v="1"/>
    <s v="MTWA"/>
    <e v="#N/A"/>
    <m/>
    <m/>
    <m/>
    <m/>
    <m/>
    <m/>
    <m/>
    <n v="0"/>
    <n v="0"/>
    <n v="0"/>
    <m/>
    <n v="0"/>
    <m/>
    <m/>
    <m/>
    <m/>
    <m/>
    <n v="0"/>
    <m/>
    <m/>
    <m/>
  </r>
  <r>
    <x v="12"/>
    <x v="12"/>
    <s v="052"/>
    <s v="Infrastructure, Product Development and Conservation"/>
    <s v="0523"/>
    <s v="Develop, conserve and diversify tourism products"/>
    <s v="052303"/>
    <s v="Diversify tourism products eg cultural and map potential across the country including conducting hazard risk and vulnerability mapping for tourism areas  "/>
    <s v="-"/>
    <s v="-"/>
    <s v="05230301"/>
    <s v="Tourism products profiled by region to include new products like dark tourism, culinary tourism, adventure tourism, wellness tourism, war tourism"/>
    <s v="No. of regional tourism product portfolios developed "/>
    <n v="0"/>
    <n v="0"/>
    <n v="0"/>
    <n v="1"/>
    <n v="1"/>
    <n v="2"/>
    <s v="MTWA"/>
    <e v="#N/A"/>
    <s v="Develop regional tourism product portfolios"/>
    <n v="1"/>
    <n v="1"/>
    <n v="1"/>
    <n v="1"/>
    <n v="1"/>
    <n v="1"/>
    <n v="0"/>
    <n v="1"/>
    <n v="0.875"/>
    <m/>
    <n v="0"/>
    <n v="0"/>
    <n v="0"/>
    <n v="0"/>
    <n v="5"/>
    <n v="5"/>
    <n v="10"/>
    <s v="MoTWA"/>
    <s v="022 Ministry of Tourism, Wildlife and Antiquities"/>
    <s v="MoLG, UTB"/>
  </r>
  <r>
    <x v="12"/>
    <x v="12"/>
    <s v="052"/>
    <s v="Infrastructure, Product Development and Conservation"/>
    <s v="0523"/>
    <s v="Develop, conserve and diversify tourism products"/>
    <s v="052304"/>
    <s v="Establish and enforce quality marks/ standards for the tourism industry and its sub-segments through regular inspection and grading of tourism-related facilities such as accommodation, attractions, beaches, restaurants and travel as well as enforce service standards for tour operators"/>
    <s v="-"/>
    <s v="-"/>
    <s v="05230401"/>
    <s v="Quality marks/ standards enforced through regular inspecting, grading of tourism-related facilities such as accommodation, attractions, beaches, restaurants and travel"/>
    <s v="Number of Tourism enterprises inspected, graded and classified"/>
    <n v="3000"/>
    <n v="3500"/>
    <n v="4000"/>
    <n v="1000"/>
    <n v="1500"/>
    <n v="1700"/>
    <s v="MTWA"/>
    <e v="#N/A"/>
    <m/>
    <m/>
    <m/>
    <m/>
    <m/>
    <m/>
    <m/>
    <n v="0"/>
    <n v="0"/>
    <n v="0"/>
    <m/>
    <n v="0"/>
    <m/>
    <m/>
    <m/>
    <m/>
    <m/>
    <n v="0"/>
    <m/>
    <m/>
    <m/>
  </r>
  <r>
    <x v="12"/>
    <x v="12"/>
    <s v="052"/>
    <s v="Infrastructure, Product Development and Conservation"/>
    <s v="0523"/>
    <s v="Develop, conserve and diversify tourism products"/>
    <s v="052304"/>
    <s v="Establish and enforce quality marks/ standards for the tourism industry and its sub-segments through regular inspection and grading of tourism-related facilities such as accommodation, attractions, beaches, restaurants and travel as well as enforce service standards for tour operators"/>
    <s v="-"/>
    <s v="-"/>
    <s v="05230401"/>
    <s v="Quality marks/ standards enforced through regular inspecting, grading of tourism-related facilities such as accommodation, attractions, beaches, restaurants and travel"/>
    <s v="No. of star-rated hotels, lodges, apartments, hostels, camping sites, etc"/>
    <n v="91"/>
    <n v="121"/>
    <n v="160"/>
    <n v="50"/>
    <n v="100"/>
    <n v="150"/>
    <s v="UTB"/>
    <s v="117 Uganda Tourism Board"/>
    <m/>
    <m/>
    <m/>
    <m/>
    <m/>
    <m/>
    <m/>
    <n v="0"/>
    <n v="0"/>
    <n v="0"/>
    <m/>
    <n v="0"/>
    <m/>
    <m/>
    <m/>
    <m/>
    <m/>
    <n v="0"/>
    <m/>
    <m/>
    <m/>
  </r>
  <r>
    <x v="12"/>
    <x v="12"/>
    <s v="052"/>
    <s v="Infrastructure, Product Development and Conservation"/>
    <s v="0523"/>
    <s v="Develop, conserve and diversify tourism products"/>
    <s v="052304"/>
    <s v="Establish and enforce quality marks/ standards for the tourism industry and its sub-segments through regular inspection and grading of tourism-related facilities such as accommodation, attractions, beaches, restaurants and travel as well as enforce service standards for tour operators"/>
    <s v="-"/>
    <s v="-"/>
    <s v="05230401"/>
    <s v="Quality marks/ standards enforced through regular inspecting, grading of tourism-related facilities such as accommodation, attractions, beaches, restaurants and travel"/>
    <s v="Level of facilities/ operators complying to standards, %"/>
    <n v="30"/>
    <n v="35"/>
    <n v="40"/>
    <n v="45"/>
    <n v="48"/>
    <n v="50"/>
    <s v="UTB"/>
    <s v="117 Uganda Tourism Board"/>
    <m/>
    <m/>
    <m/>
    <m/>
    <m/>
    <m/>
    <m/>
    <n v="0"/>
    <n v="0"/>
    <n v="0"/>
    <m/>
    <n v="0"/>
    <m/>
    <m/>
    <m/>
    <m/>
    <m/>
    <n v="0"/>
    <m/>
    <m/>
    <m/>
  </r>
  <r>
    <x v="12"/>
    <x v="12"/>
    <s v="052"/>
    <s v="Infrastructure, Product Development and Conservation"/>
    <s v="0523"/>
    <s v="Develop, conserve and diversify tourism products"/>
    <s v="052305"/>
    <s v="Develop competitive tour packages (including transportation, lodging, and excursions)"/>
    <s v="-"/>
    <s v="-"/>
    <s v="05230501"/>
    <s v="A competitive tour package"/>
    <s v="Number of Tour packages developed"/>
    <n v="0"/>
    <n v="2"/>
    <n v="4"/>
    <n v="6"/>
    <n v="8"/>
    <n v="10"/>
    <s v="AUTO"/>
    <e v="#N/A"/>
    <m/>
    <m/>
    <m/>
    <m/>
    <m/>
    <m/>
    <m/>
    <n v="0"/>
    <n v="0"/>
    <n v="0"/>
    <m/>
    <n v="0"/>
    <m/>
    <m/>
    <m/>
    <m/>
    <m/>
    <n v="0"/>
    <m/>
    <m/>
    <m/>
  </r>
  <r>
    <x v="12"/>
    <x v="12"/>
    <s v="052"/>
    <s v="Infrastructure, Product Development and Conservation"/>
    <s v="0523"/>
    <s v="Develop, conserve and diversify tourism products"/>
    <s v="052305"/>
    <s v="Develop competitive tour packages (including transportation, lodging, and excursions)"/>
    <s v="-"/>
    <s v="-"/>
    <s v="05230501"/>
    <s v="A competitive tour package"/>
    <s v="Visitor satisfaction %"/>
    <n v="73"/>
    <n v="74"/>
    <n v="75"/>
    <n v="76"/>
    <n v="77"/>
    <n v="78"/>
    <s v="MTWA"/>
    <e v="#N/A"/>
    <m/>
    <m/>
    <m/>
    <m/>
    <m/>
    <m/>
    <m/>
    <n v="0"/>
    <n v="0"/>
    <n v="0"/>
    <m/>
    <n v="0"/>
    <m/>
    <m/>
    <m/>
    <m/>
    <m/>
    <n v="0"/>
    <m/>
    <m/>
    <m/>
  </r>
  <r>
    <x v="12"/>
    <x v="12"/>
    <s v="052"/>
    <s v="Infrastructure, Product Development and Conservation"/>
    <s v="0523"/>
    <s v="Develop, conserve and diversify tourism products"/>
    <s v="052305"/>
    <s v="Develop competitive tour packages (including transportation, lodging, and excursions)"/>
    <s v="-"/>
    <s v="-"/>
    <s v="05230501"/>
    <s v="A competitive tour package"/>
    <s v="% of package tourists to total tourist arrivals"/>
    <n v="8.8000000000000007"/>
    <n v="9.8000000000000007"/>
    <n v="10.8"/>
    <n v="11.8"/>
    <n v="12.8"/>
    <n v="13.8"/>
    <s v="UTB"/>
    <s v="117 Uganda Tourism Board"/>
    <m/>
    <m/>
    <m/>
    <m/>
    <m/>
    <m/>
    <m/>
    <n v="0"/>
    <n v="0"/>
    <n v="0"/>
    <m/>
    <n v="0"/>
    <m/>
    <m/>
    <m/>
    <m/>
    <m/>
    <n v="0"/>
    <m/>
    <m/>
    <m/>
  </r>
  <r>
    <x v="12"/>
    <x v="12"/>
    <s v="052"/>
    <s v="Infrastructure, Product Development and Conservation"/>
    <s v="0523"/>
    <s v="Develop, conserve and diversify tourism products"/>
    <s v="052306"/>
    <s v="Provide security at tourist attraction sites including addressing human-wildlife conflicts"/>
    <s v="-"/>
    <s v="-"/>
    <s v="05230601"/>
    <s v="Tourism police strengthened "/>
    <s v="Tourism police units recruited, trained and equipped"/>
    <s v="Yes"/>
    <s v="Yes"/>
    <s v="Yes"/>
    <s v="Yes"/>
    <s v="Yes"/>
    <s v="Yes"/>
    <s v="UPF"/>
    <s v="144 Uganda Police Force"/>
    <m/>
    <m/>
    <m/>
    <m/>
    <m/>
    <m/>
    <m/>
    <n v="0"/>
    <n v="0"/>
    <n v="0"/>
    <m/>
    <n v="0"/>
    <m/>
    <m/>
    <m/>
    <m/>
    <m/>
    <n v="0"/>
    <m/>
    <m/>
    <m/>
  </r>
  <r>
    <x v="12"/>
    <x v="12"/>
    <s v="052"/>
    <s v="Infrastructure, Product Development and Conservation"/>
    <s v="0523"/>
    <s v="Develop, conserve and diversify tourism products"/>
    <s v="052306"/>
    <s v="Provide security at tourist attraction sites including addressing human-wildlife conflicts"/>
    <s v="-"/>
    <s v="-"/>
    <s v="05230601"/>
    <s v="Tourism police strengthened "/>
    <s v="Joint Tourism Security Committee strengthened "/>
    <n v="1"/>
    <n v="1"/>
    <n v="1"/>
    <n v="1"/>
    <n v="1"/>
    <n v="1"/>
    <s v="UWA"/>
    <e v="#N/A"/>
    <m/>
    <m/>
    <m/>
    <m/>
    <m/>
    <m/>
    <m/>
    <n v="0"/>
    <n v="0"/>
    <n v="0"/>
    <m/>
    <n v="0"/>
    <m/>
    <m/>
    <m/>
    <m/>
    <m/>
    <n v="0"/>
    <m/>
    <m/>
    <m/>
  </r>
  <r>
    <x v="12"/>
    <x v="12"/>
    <s v="052"/>
    <s v="Infrastructure, Product Development and Conservation"/>
    <s v="0523"/>
    <s v="Develop, conserve and diversify tourism products"/>
    <s v="052306"/>
    <s v="Provide security at tourist attraction sites including addressing human-wildlife conflicts"/>
    <s v="-"/>
    <s v="-"/>
    <s v="05230602"/>
    <s v="Adequate accommodation for Tourism security personnel provided"/>
    <s v="Proportion of tourism sites/facilities with appropriate safety and rescue facilities, %"/>
    <n v="30"/>
    <n v="35"/>
    <n v="40"/>
    <n v="45"/>
    <n v="48"/>
    <n v="50"/>
    <s v="UPDF"/>
    <e v="#N/A"/>
    <m/>
    <m/>
    <m/>
    <m/>
    <m/>
    <m/>
    <m/>
    <n v="0"/>
    <n v="0"/>
    <n v="0"/>
    <m/>
    <n v="0"/>
    <m/>
    <m/>
    <m/>
    <m/>
    <m/>
    <n v="0"/>
    <m/>
    <m/>
    <m/>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s v="No. of new ranger outposts established in protected areas"/>
    <s v="-"/>
    <n v="5"/>
    <n v="5"/>
    <n v="5"/>
    <n v="5"/>
    <n v="5"/>
    <s v="UWA"/>
    <e v="#N/A"/>
    <s v="Recover populations of selected rare, threatened, endemic, endangered and locally extinct species"/>
    <n v="1"/>
    <n v="1"/>
    <n v="1"/>
    <n v="1"/>
    <n v="1"/>
    <n v="1"/>
    <n v="0"/>
    <n v="1"/>
    <n v="0.875"/>
    <m/>
    <n v="0"/>
    <n v="1"/>
    <n v="1"/>
    <n v="1"/>
    <n v="1"/>
    <n v="1"/>
    <n v="2"/>
    <s v="MoTWA (UWA)"/>
    <s v="022 Ministry of Tourism, Wildlife and Antiquities"/>
    <s v="UWEC"/>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s v="Kms of protected areas fenced off"/>
    <n v="0"/>
    <n v="60"/>
    <n v="101"/>
    <n v="130"/>
    <n v="300"/>
    <n v="350"/>
    <s v="UWA"/>
    <e v="#N/A"/>
    <s v="Conduct valuation of protected areas"/>
    <n v="1"/>
    <n v="1"/>
    <n v="0"/>
    <n v="1"/>
    <n v="1"/>
    <n v="0"/>
    <n v="0"/>
    <n v="1"/>
    <n v="0.625"/>
    <m/>
    <n v="0"/>
    <n v="0"/>
    <n v="2.5"/>
    <n v="0"/>
    <n v="0"/>
    <n v="0"/>
    <n v="0"/>
    <s v="MoTWA (UWA)"/>
    <s v="022 Ministry of Tourism, Wildlife and Antiquities"/>
    <s v="MoTWA, UTB"/>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m/>
    <m/>
    <m/>
    <m/>
    <m/>
    <m/>
    <m/>
    <s v="UWA"/>
    <e v="#N/A"/>
    <s v="Establish buffer areas and corridors around Conservation areas to prevent encroachment on Protected Areas"/>
    <n v="1"/>
    <n v="1"/>
    <n v="1"/>
    <n v="1"/>
    <n v="0"/>
    <n v="1"/>
    <n v="1"/>
    <n v="0"/>
    <n v="0.75"/>
    <m/>
    <n v="0"/>
    <n v="5.0000000000000001E-3"/>
    <n v="5.0000000000000001E-3"/>
    <n v="5.0000000000000001E-3"/>
    <n v="5.0000000000000001E-3"/>
    <n v="5.0000000000000001E-3"/>
    <n v="0.01"/>
    <s v="MoTWA (UWA)"/>
    <s v="022 Ministry of Tourism, Wildlife and Antiquities"/>
    <s v="MoTWA, UTB"/>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m/>
    <m/>
    <m/>
    <m/>
    <m/>
    <m/>
    <m/>
    <s v="UWA"/>
    <e v="#N/A"/>
    <s v="Boundary maintenance and patrols."/>
    <n v="1"/>
    <n v="1"/>
    <n v="1"/>
    <n v="1"/>
    <n v="1"/>
    <n v="0"/>
    <n v="1"/>
    <n v="1"/>
    <n v="0.875"/>
    <m/>
    <n v="0"/>
    <n v="4.2"/>
    <n v="4.2"/>
    <n v="4.2"/>
    <n v="94.2"/>
    <n v="94.2"/>
    <n v="188.4"/>
    <s v="MoTWA (UWA)"/>
    <s v="022 Ministry of Tourism, Wildlife and Antiquities"/>
    <s v="MoLG"/>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m/>
    <m/>
    <m/>
    <m/>
    <m/>
    <m/>
    <m/>
    <s v="UWA"/>
    <e v="#N/A"/>
    <s v="Animal health management"/>
    <n v="1"/>
    <n v="1"/>
    <n v="1"/>
    <n v="1"/>
    <n v="1"/>
    <n v="1"/>
    <n v="1"/>
    <n v="0"/>
    <n v="0.875"/>
    <m/>
    <n v="0"/>
    <n v="0"/>
    <n v="0"/>
    <n v="0"/>
    <n v="0"/>
    <n v="0"/>
    <n v="0"/>
    <s v="MoTWA (UWA)"/>
    <s v="022 Ministry of Tourism, Wildlife and Antiquities"/>
    <s v="MoLG, NARO"/>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m/>
    <m/>
    <m/>
    <m/>
    <m/>
    <m/>
    <m/>
    <s v="UWA"/>
    <e v="#N/A"/>
    <s v="Install/construct electric fencing."/>
    <n v="1"/>
    <n v="1"/>
    <n v="1"/>
    <n v="1"/>
    <n v="1"/>
    <n v="0"/>
    <n v="1"/>
    <n v="1"/>
    <n v="0.875"/>
    <m/>
    <n v="0"/>
    <n v="1.2"/>
    <n v="1.6"/>
    <n v="2"/>
    <n v="4"/>
    <n v="4"/>
    <n v="8"/>
    <s v="MoTWA (UWA)"/>
    <s v="022 Ministry of Tourism, Wildlife and Antiquities"/>
    <s v="MoTWA"/>
  </r>
  <r>
    <x v="12"/>
    <x v="12"/>
    <s v="052"/>
    <s v="Infrastructure, Product Development and Conservation"/>
    <s v="0523"/>
    <s v="Develop, conserve and diversify tourism products"/>
    <s v="052306"/>
    <s v="Provide security at tourist attraction sites including addressing human-wildlife conflicts"/>
    <s v="-"/>
    <s v="-"/>
    <s v="05230603"/>
    <s v="Human-wildlife conflicts managed"/>
    <m/>
    <m/>
    <m/>
    <m/>
    <m/>
    <m/>
    <m/>
    <s v="UWA"/>
    <e v="#N/A"/>
    <s v="Undertake maintenance."/>
    <n v="1"/>
    <n v="1"/>
    <n v="1"/>
    <n v="1"/>
    <n v="1"/>
    <n v="0"/>
    <n v="1"/>
    <n v="1"/>
    <n v="0.875"/>
    <m/>
    <n v="0"/>
    <n v="0"/>
    <n v="0"/>
    <n v="0"/>
    <n v="0"/>
    <n v="0"/>
    <n v="0"/>
    <s v="MoTWA (UWA)"/>
    <s v="022 Ministry of Tourism, Wildlife and Antiquities"/>
    <s v="N/A"/>
  </r>
  <r>
    <x v="12"/>
    <x v="12"/>
    <s v="052"/>
    <s v="Infrastructure, Product Development and Conservation"/>
    <s v="0523"/>
    <s v="Develop, conserve and diversify tourism products"/>
    <s v="052307"/>
    <s v="Develop and implement a framework for conserving natural and cultural heritage"/>
    <s v="-"/>
    <s v="-"/>
    <s v="05230701"/>
    <s v="Uganda National museum upgraded"/>
    <s v="Uganda National museum upgraded"/>
    <n v="0.1"/>
    <n v="0.1"/>
    <n v="0.2"/>
    <n v="30"/>
    <n v="60"/>
    <n v="100"/>
    <s v="MTWA"/>
    <e v="#N/A"/>
    <s v="Modernize, expand and equip the National Museum"/>
    <n v="1"/>
    <n v="1"/>
    <n v="0"/>
    <n v="1"/>
    <n v="1"/>
    <n v="1"/>
    <n v="0"/>
    <n v="1"/>
    <n v="0.75"/>
    <m/>
    <n v="0"/>
    <n v="4"/>
    <n v="20"/>
    <n v="16"/>
    <n v="2"/>
    <n v="2"/>
    <n v="4"/>
    <s v="MoTWA"/>
    <s v="022 Ministry of Tourism, Wildlife and Antiquities"/>
    <s v="UTB, MoGLSD"/>
  </r>
  <r>
    <x v="12"/>
    <x v="12"/>
    <s v="052"/>
    <s v="Infrastructure, Product Development and Conservation"/>
    <s v="0523"/>
    <s v="Develop, conserve and diversify tourism products"/>
    <s v="052307"/>
    <s v="Develop and implement a framework for conserving natural and cultural heritage"/>
    <s v="-"/>
    <s v="-"/>
    <s v="05230701"/>
    <s v="Uganda National museum upgraded"/>
    <m/>
    <m/>
    <m/>
    <m/>
    <m/>
    <m/>
    <m/>
    <s v="MTWA"/>
    <e v="#N/A"/>
    <s v="Celebrate international Museums day."/>
    <n v="1"/>
    <n v="1"/>
    <n v="0"/>
    <n v="1"/>
    <n v="1"/>
    <n v="0"/>
    <n v="1"/>
    <n v="0"/>
    <n v="0.625"/>
    <m/>
    <n v="0"/>
    <n v="0"/>
    <n v="0"/>
    <n v="0"/>
    <n v="0"/>
    <n v="0"/>
    <n v="0"/>
    <s v="MoTWA"/>
    <s v="022 Ministry of Tourism, Wildlife and Antiquities"/>
    <s v="N/A"/>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s v="No of Regional museums established/ developed "/>
    <n v="3"/>
    <n v="3"/>
    <n v="3"/>
    <n v="3"/>
    <n v="3"/>
    <n v="4"/>
    <s v="MTWA"/>
    <e v="#N/A"/>
    <s v="5 Regional Museums developed/modernized."/>
    <n v="1"/>
    <n v="1"/>
    <n v="1"/>
    <n v="1"/>
    <n v="0"/>
    <n v="1"/>
    <m/>
    <n v="1"/>
    <n v="0.75"/>
    <m/>
    <n v="0"/>
    <n v="0"/>
    <n v="0.5"/>
    <n v="0.75"/>
    <n v="7"/>
    <n v="7"/>
    <n v="14"/>
    <s v="MoTWA"/>
    <s v="022 Ministry of Tourism, Wildlife and Antiquities"/>
    <s v="MoGLSD, MoLG"/>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m/>
    <m/>
    <m/>
    <m/>
    <m/>
    <m/>
    <m/>
    <s v="MTWA"/>
    <e v="#N/A"/>
    <s v="Upgrade UWEC"/>
    <n v="1"/>
    <n v="1"/>
    <n v="1"/>
    <n v="1"/>
    <n v="1"/>
    <n v="1"/>
    <n v="0"/>
    <n v="1"/>
    <n v="0.875"/>
    <m/>
    <n v="0"/>
    <n v="13"/>
    <n v="15"/>
    <n v="18"/>
    <n v="13"/>
    <n v="27"/>
    <n v="40"/>
    <s v="MoTWA (UWEC)"/>
    <s v="022 Ministry of Tourism, Wildlife and Antiquities"/>
    <s v="MoTWA"/>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s v="No of tourists visiting Museums and cultural heritage sites "/>
    <n v="55000"/>
    <n v="60000"/>
    <n v="80000"/>
    <n v="110000"/>
    <n v="150000"/>
    <n v="200000"/>
    <s v="MTWA"/>
    <e v="#N/A"/>
    <s v="9 cultural sites developed."/>
    <n v="1"/>
    <n v="1"/>
    <n v="1"/>
    <n v="1"/>
    <n v="0"/>
    <n v="1"/>
    <n v="1"/>
    <n v="1"/>
    <n v="0.875"/>
    <m/>
    <n v="0"/>
    <n v="1.2"/>
    <n v="1.66"/>
    <n v="1.66"/>
    <n v="17"/>
    <n v="8.1935044707640259"/>
    <n v="25.193504470764026"/>
    <s v="MoTWA"/>
    <s v="022 Ministry of Tourism, Wildlife and Antiquities"/>
    <s v="MoLG, UTB"/>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m/>
    <m/>
    <m/>
    <m/>
    <m/>
    <m/>
    <m/>
    <s v="MTWA"/>
    <e v="#N/A"/>
    <s v="Conduct program and create public awareness on Cultural heritage Conservation in Uganda."/>
    <n v="1"/>
    <n v="1"/>
    <n v="0"/>
    <n v="1"/>
    <n v="1"/>
    <n v="1"/>
    <n v="0"/>
    <n v="1"/>
    <n v="0.75"/>
    <m/>
    <n v="0"/>
    <n v="0.5"/>
    <n v="0.5"/>
    <n v="0.5"/>
    <n v="0.5"/>
    <n v="0.5"/>
    <n v="1"/>
    <s v="MoTWA"/>
    <s v="022 Ministry of Tourism, Wildlife and Antiquities"/>
    <s v="UTB, MoGLSD"/>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m/>
    <m/>
    <m/>
    <m/>
    <m/>
    <m/>
    <m/>
    <s v="MTWA"/>
    <e v="#N/A"/>
    <s v="Process land titles for natural/historical heritage sites"/>
    <n v="1"/>
    <m/>
    <n v="1"/>
    <n v="1"/>
    <n v="1"/>
    <m/>
    <n v="1"/>
    <n v="1"/>
    <n v="0.75"/>
    <m/>
    <n v="0"/>
    <n v="0.5"/>
    <n v="0.6"/>
    <n v="0.6"/>
    <n v="1"/>
    <n v="0.6"/>
    <n v="1.6"/>
    <s v="MoTWA"/>
    <s v="022 Ministry of Tourism, Wildlife and Antiquities"/>
    <s v="MoLHUD, MoLG"/>
  </r>
  <r>
    <x v="12"/>
    <x v="12"/>
    <s v="052"/>
    <s v="Infrastructure, Product Development and Conservation"/>
    <s v="0523"/>
    <s v="Develop, conserve and diversify tourism products"/>
    <s v="052307"/>
    <s v="Develop and implement a framework for conserving natural and cultural heritage"/>
    <s v="-"/>
    <s v="-"/>
    <s v="05230702"/>
    <s v="Regional museums established/ developed at Jinja, Soroti, Moroto, Arua, Fort portal and Gulu"/>
    <m/>
    <m/>
    <m/>
    <m/>
    <m/>
    <m/>
    <m/>
    <s v="MTWA"/>
    <e v="#N/A"/>
    <s v="Establish a Satellite Wildlife conservation Education Centre in Mbale"/>
    <n v="1"/>
    <n v="1"/>
    <n v="1"/>
    <n v="0"/>
    <n v="0"/>
    <n v="1"/>
    <n v="1"/>
    <n v="1"/>
    <n v="0.75"/>
    <m/>
    <n v="0"/>
    <n v="2.5"/>
    <n v="3"/>
    <n v="3"/>
    <n v="3"/>
    <n v="3"/>
    <n v="6"/>
    <s v="MoTWA (UWEC)"/>
    <s v="022 Ministry of Tourism, Wildlife and Antiquities"/>
    <s v="MoTWA"/>
  </r>
  <r>
    <x v="12"/>
    <x v="12"/>
    <s v="052"/>
    <s v="Infrastructure, Product Development and Conservation"/>
    <s v="0523"/>
    <s v="Develop, conserve and diversify tourism products"/>
    <s v="052307"/>
    <s v="Develop and implement a framework for conserving natural and cultural heritage"/>
    <s v="-"/>
    <s v="-"/>
    <s v="05230703"/>
    <s v="New National and regional Theatres established"/>
    <s v="New National and regional Theatres in place"/>
    <n v="0"/>
    <m/>
    <n v="1"/>
    <m/>
    <m/>
    <n v="1"/>
    <s v="MTWA"/>
    <e v="#N/A"/>
    <s v="Routine maintenance of museums and cultural heritage sites."/>
    <n v="1"/>
    <n v="1"/>
    <n v="1"/>
    <n v="1"/>
    <n v="1"/>
    <n v="1"/>
    <n v="1"/>
    <n v="1"/>
    <n v="1"/>
    <m/>
    <n v="0"/>
    <n v="0.8"/>
    <n v="0.8"/>
    <n v="0.88"/>
    <n v="0.88"/>
    <n v="1.1499999999999999"/>
    <n v="2.0299999999999998"/>
    <s v="MoTWA"/>
    <s v="022 Ministry of Tourism, Wildlife and Antiquities"/>
    <s v="MoGLSD, MoLG"/>
  </r>
  <r>
    <x v="12"/>
    <x v="12"/>
    <s v="052"/>
    <s v="Infrastructure, Product Development and Conservation"/>
    <s v="0523"/>
    <s v="Develop, conserve and diversify tourism products"/>
    <s v="052307"/>
    <s v="Develop and implement a framework for conserving natural and cultural heritage"/>
    <s v="-"/>
    <s v="-"/>
    <s v="05230704"/>
    <s v="Key Wildlife Reserves and Natural Central Forest Reserves upgraded to National Park status"/>
    <s v="No of Key Wildlife Reserves and Natural Central Forest Reserves upgraded to National Park status"/>
    <n v="10"/>
    <n v="10"/>
    <n v="10"/>
    <n v="10"/>
    <n v="12"/>
    <n v="15"/>
    <s v="UWA"/>
    <e v="#N/A"/>
    <s v="Activate new wildlife clubs"/>
    <n v="1"/>
    <n v="0"/>
    <n v="0"/>
    <n v="1"/>
    <n v="1"/>
    <n v="0"/>
    <n v="1"/>
    <n v="1"/>
    <n v="0.625"/>
    <m/>
    <n v="0"/>
    <n v="0.2"/>
    <n v="0.2"/>
    <n v="0.5"/>
    <n v="0.7"/>
    <n v="1"/>
    <n v="1.7"/>
    <s v="MoTWA"/>
    <s v="022 Ministry of Tourism, Wildlife and Antiquities"/>
    <s v="UWEC"/>
  </r>
  <r>
    <x v="12"/>
    <x v="12"/>
    <s v="052"/>
    <s v="Infrastructure, Product Development and Conservation"/>
    <s v="0523"/>
    <s v="Develop, conserve and diversify tourism products"/>
    <s v="052307"/>
    <s v="Develop and implement a framework for conserving natural and cultural heritage"/>
    <s v="-"/>
    <s v="-"/>
    <s v="05230704"/>
    <s v="Key Wildlife Reserves and Natural Central Forest Reserves upgraded to National Park status"/>
    <m/>
    <m/>
    <m/>
    <m/>
    <m/>
    <m/>
    <m/>
    <s v="UWA"/>
    <e v="#N/A"/>
    <s v="Conduct program to promote and create public awareness on wildlife heritage Conservation in Uganda"/>
    <n v="1"/>
    <n v="1"/>
    <n v="0"/>
    <n v="1"/>
    <n v="1"/>
    <n v="1"/>
    <n v="0"/>
    <n v="1"/>
    <n v="0.75"/>
    <m/>
    <n v="0"/>
    <n v="0.5"/>
    <n v="0.5"/>
    <n v="0.5"/>
    <n v="0.5"/>
    <n v="0.5"/>
    <n v="1"/>
    <s v="MoTWA (UWEC)"/>
    <s v="022 Ministry of Tourism, Wildlife and Antiquities"/>
    <s v="UTB, MoTWA"/>
  </r>
  <r>
    <x v="12"/>
    <x v="12"/>
    <s v="052"/>
    <s v="Infrastructure, Product Development and Conservation"/>
    <s v="0523"/>
    <s v="Develop, conserve and diversify tourism products"/>
    <s v="052308"/>
    <s v="Strengthen enforcement against tourism crime"/>
    <s v="-"/>
    <s v="-"/>
    <s v="05230801"/>
    <s v="Reduced tourism crime"/>
    <s v="No. of security incidents at various tourist attraction sites"/>
    <n v="4000"/>
    <n v="3809.5238095238092"/>
    <n v="3628.1179138321991"/>
    <n v="3455.3503941259037"/>
    <n v="3290.809899167527"/>
    <n v="3134.1046658738351"/>
    <s v="MTWA"/>
    <e v="#N/A"/>
    <s v="Rescue wildlife, Undertake rehabilitation and release back to the wild."/>
    <n v="1"/>
    <n v="1"/>
    <n v="0"/>
    <n v="1"/>
    <n v="1"/>
    <n v="0"/>
    <n v="1"/>
    <n v="1"/>
    <n v="0.75"/>
    <m/>
    <n v="0"/>
    <n v="5"/>
    <n v="1"/>
    <n v="1"/>
    <n v="1"/>
    <n v="1"/>
    <n v="2"/>
    <s v="MoTWA (UWEC)"/>
    <s v="022 Ministry of Tourism, Wildlife and Antiquities"/>
    <s v="UWA"/>
  </r>
  <r>
    <x v="12"/>
    <x v="12"/>
    <s v="052"/>
    <s v="Infrastructure, Product Development and Conservation"/>
    <s v="0523"/>
    <s v="Develop, conserve and diversify tourism products"/>
    <s v="052309"/>
    <s v="Remove evasive species in protected areas"/>
    <s v="-"/>
    <s v="-"/>
    <s v="05230901"/>
    <s v="Spread of evasive species controlled"/>
    <s v="Proportion of Protected Areas encroached by invasive species, %"/>
    <n v="30"/>
    <n v="29"/>
    <n v="28"/>
    <n v="27"/>
    <n v="26"/>
    <n v="20"/>
    <s v="UWA, NFA, UWRTI, MAAIF, NARO"/>
    <e v="#N/A"/>
    <s v="Map out invasive species."/>
    <n v="1"/>
    <n v="1"/>
    <n v="0"/>
    <n v="1"/>
    <n v="1"/>
    <n v="1"/>
    <n v="0"/>
    <n v="1"/>
    <n v="0.75"/>
    <m/>
    <n v="0"/>
    <n v="3.6"/>
    <n v="3.6"/>
    <n v="3.6"/>
    <n v="5.6"/>
    <n v="5.6"/>
    <n v="11.2"/>
    <s v="MoTWA (UWA)"/>
    <s v="022 Ministry of Tourism, Wildlife and Antiquities"/>
    <s v="MoLG"/>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s v="Reviewed UHTTI curriculum operationalized"/>
    <s v="-"/>
    <s v="-"/>
    <n v="0"/>
    <n v="1"/>
    <n v="1"/>
    <n v="1"/>
    <s v="MTWA"/>
    <e v="#N/A"/>
    <s v="Diseminate and implement the new UHTTI Curriculum at UHTTI"/>
    <n v="1"/>
    <n v="1"/>
    <n v="0"/>
    <n v="1"/>
    <n v="1"/>
    <n v="1"/>
    <n v="0"/>
    <n v="1"/>
    <n v="0.75"/>
    <m/>
    <n v="0"/>
    <n v="0.02"/>
    <n v="0.02"/>
    <n v="0.02"/>
    <n v="0.02"/>
    <n v="0.02"/>
    <n v="0.04"/>
    <s v="MoTWA (UHTTI)"/>
    <s v="022 Ministry of Tourism, Wildlife and Antiquities"/>
    <s v="MoES, MoTWA"/>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Identify the equipment need of the institutions. Provide the training equipment."/>
    <n v="1"/>
    <n v="1"/>
    <n v="0"/>
    <n v="1"/>
    <n v="1"/>
    <n v="1"/>
    <n v="1"/>
    <n v="1"/>
    <n v="0.875"/>
    <m/>
    <n v="0"/>
    <n v="0"/>
    <n v="5"/>
    <n v="5"/>
    <n v="5"/>
    <n v="5"/>
    <n v="10"/>
    <s v="MoTWA"/>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Standardization of the training and certifications (scope to include informal sector)"/>
    <n v="1"/>
    <n v="1"/>
    <n v="0"/>
    <n v="1"/>
    <n v="1"/>
    <n v="1"/>
    <n v="1"/>
    <n v="1"/>
    <n v="0.875"/>
    <m/>
    <n v="0"/>
    <n v="0"/>
    <n v="0"/>
    <n v="0.1"/>
    <n v="0.1"/>
    <n v="0.1"/>
    <n v="0.2"/>
    <s v="MoTWA"/>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Target enrollment of students from underserved regions especially Busoga, Teso, Bukedi and Karamoja"/>
    <n v="1"/>
    <n v="1"/>
    <n v="0"/>
    <n v="1"/>
    <n v="1"/>
    <n v="1"/>
    <n v="1"/>
    <n v="0"/>
    <n v="0.75"/>
    <m/>
    <n v="0"/>
    <n v="0"/>
    <n v="0.1"/>
    <n v="0.1"/>
    <n v="0.1"/>
    <n v="0.1"/>
    <n v="0.2"/>
    <s v="MoTWA (UHTTI)"/>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Equip institutes with instruction material"/>
    <n v="1"/>
    <n v="1"/>
    <n v="0"/>
    <n v="1"/>
    <n v="1"/>
    <n v="1"/>
    <n v="0"/>
    <n v="1"/>
    <n v="0.75"/>
    <m/>
    <n v="0"/>
    <n v="0"/>
    <n v="0.5"/>
    <n v="0.5"/>
    <n v="0"/>
    <n v="0"/>
    <n v="0"/>
    <s v="MoTWA (UHTTI)"/>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Scale up and conduct apprenticeship programs"/>
    <n v="1"/>
    <n v="1"/>
    <n v="0"/>
    <n v="1"/>
    <n v="1"/>
    <n v="1"/>
    <n v="0"/>
    <n v="0"/>
    <n v="0.625"/>
    <m/>
    <n v="0"/>
    <n v="0"/>
    <n v="0.1"/>
    <n v="1"/>
    <n v="3"/>
    <n v="1"/>
    <n v="4"/>
    <s v="MoTWA"/>
    <s v="022 Ministry of Tourism, Wildlife and Antiquities"/>
    <s v="UWRTI, UHTTI"/>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Scale up internship programmes for the students"/>
    <n v="1"/>
    <n v="1"/>
    <n v="0"/>
    <n v="1"/>
    <n v="1"/>
    <n v="1"/>
    <n v="0"/>
    <n v="0"/>
    <n v="0.625"/>
    <m/>
    <n v="0"/>
    <n v="0.05"/>
    <n v="0.05"/>
    <n v="0.05"/>
    <n v="0.05"/>
    <n v="0.05"/>
    <n v="0.1"/>
    <s v="MoES"/>
    <s v="013 Ministry of Education and Sports"/>
    <s v="UWRTI, UHTTI"/>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Provide specialized trainings in the Tourism sector including Trainings of museologists, museography, curatorship and heritage experts"/>
    <n v="1"/>
    <n v="1"/>
    <n v="0"/>
    <n v="1"/>
    <n v="1"/>
    <n v="1"/>
    <n v="0"/>
    <n v="1"/>
    <n v="0.75"/>
    <m/>
    <n v="0"/>
    <n v="0.2"/>
    <n v="1"/>
    <n v="1"/>
    <n v="1"/>
    <n v="1"/>
    <n v="2"/>
    <s v="MoTWA"/>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Introduce teacher and student study exchange programs with regional and international centres of excellence like UTALI in Kenya"/>
    <n v="1"/>
    <n v="0"/>
    <n v="0"/>
    <n v="1"/>
    <n v="1"/>
    <n v="1"/>
    <n v="0"/>
    <n v="1"/>
    <n v="0.625"/>
    <m/>
    <n v="0"/>
    <n v="0"/>
    <n v="0.59"/>
    <n v="0.59"/>
    <n v="0.59"/>
    <n v="0.59"/>
    <n v="1.18"/>
    <s v="MoTWA"/>
    <s v="022 Ministry of Tourism, Wildlife and Antiquities"/>
    <s v="UWRTI, UHTTI"/>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Engage enterprises to participate in on job trainings."/>
    <n v="1"/>
    <n v="1"/>
    <n v="0"/>
    <n v="1"/>
    <n v="1"/>
    <n v="1"/>
    <n v="0"/>
    <n v="1"/>
    <n v="0.75"/>
    <m/>
    <n v="0"/>
    <n v="0"/>
    <n v="0.05"/>
    <n v="0.15"/>
    <n v="0.15"/>
    <n v="0.15"/>
    <n v="0.3"/>
    <s v="MoTWA"/>
    <s v="022 Ministry of Tourism, Wildlife and Antiquities"/>
    <s v="MoES, UHTTI"/>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Identify and train staff in the private sector"/>
    <n v="1"/>
    <n v="1"/>
    <n v="0"/>
    <n v="1"/>
    <n v="1"/>
    <n v="1"/>
    <n v="0"/>
    <n v="1"/>
    <n v="0.75"/>
    <m/>
    <n v="0"/>
    <n v="0"/>
    <n v="0"/>
    <n v="0"/>
    <n v="0"/>
    <n v="0"/>
    <n v="0"/>
    <s v="MoTWA"/>
    <s v="022 Ministry of Tourism, Wildlife and Antiquities"/>
    <s v="MoES"/>
  </r>
  <r>
    <x v="12"/>
    <x v="12"/>
    <s v="053"/>
    <s v="Regulation and Skills Development"/>
    <s v="0534"/>
    <s v="Develop a pool of skilled personnel along the tourism value chain and ensure decent working conditions"/>
    <s v="053401"/>
    <s v="Implement the tourism curriculum at the Uganda Hotel and Tourism Training Institute (HTTI)"/>
    <s v="-"/>
    <s v="-"/>
    <s v="05340101"/>
    <s v="HTTI curriculum revised and implemented"/>
    <m/>
    <m/>
    <m/>
    <m/>
    <m/>
    <m/>
    <m/>
    <s v="MTWA"/>
    <e v="#N/A"/>
    <s v="Undertake outreaches to communities and schools/institutions."/>
    <n v="1"/>
    <n v="1"/>
    <n v="0"/>
    <n v="1"/>
    <n v="1"/>
    <n v="1"/>
    <n v="0"/>
    <n v="1"/>
    <n v="0.75"/>
    <m/>
    <n v="0"/>
    <n v="0"/>
    <n v="0"/>
    <n v="0"/>
    <n v="0"/>
    <n v="0"/>
    <n v="0"/>
    <s v="MoTWA"/>
    <s v="022 Ministry of Tourism, Wildlife and Antiquities"/>
    <s v="N/A"/>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1"/>
    <s v="UHTTI infrastructure developed (training application hotel, class rooms, labs, admin block)"/>
    <s v="Level of development of UHTTI infrastructure (training application hotel, class rooms, labs, admin block), %"/>
    <n v="10"/>
    <n v="30"/>
    <n v="35"/>
    <n v="40"/>
    <n v="60"/>
    <n v="100"/>
    <s v="MTWA, UHTTI"/>
    <e v="#N/A"/>
    <m/>
    <n v="1"/>
    <n v="1"/>
    <n v="0"/>
    <n v="1"/>
    <n v="1"/>
    <n v="1"/>
    <n v="0"/>
    <n v="1"/>
    <n v="0.75"/>
    <m/>
    <n v="0"/>
    <m/>
    <m/>
    <m/>
    <n v="15"/>
    <m/>
    <n v="15"/>
    <m/>
    <m/>
    <m/>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2"/>
    <s v="Students enrolled at Uganda Hotel and Tourism Training Institute (UHTTI)-Jinja"/>
    <s v="No of students enrolled Uganda Hotel and Tourism Training Institute (UHTTI)-Jinja"/>
    <n v="380"/>
    <n v="380"/>
    <n v="400"/>
    <n v="500"/>
    <n v="500"/>
    <n v="500"/>
    <s v="MTWA, UHTTI,"/>
    <e v="#N/A"/>
    <s v="Enroll students at UHTTI"/>
    <n v="1"/>
    <n v="1"/>
    <n v="0"/>
    <n v="1"/>
    <n v="1"/>
    <n v="1"/>
    <n v="0"/>
    <n v="1"/>
    <n v="0.75"/>
    <m/>
    <n v="0"/>
    <n v="0.02"/>
    <n v="0.02"/>
    <n v="0.02"/>
    <n v="0.02"/>
    <n v="0.02"/>
    <n v="0.04"/>
    <s v="MoTWA (UHTTI)"/>
    <s v="022 Ministry of Tourism, Wildlife and Antiquities"/>
    <s v="MoES, MoTWA"/>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3"/>
    <s v="UWRTI infrastructure developed (class rooms, labs, admin block, fence, staff housing, guest house, etc)"/>
    <s v="Level of development of UWRTI infrastructure (class rooms, labs, admin block, fence, staff housing, guest house, etc), %"/>
    <n v="5"/>
    <n v="5"/>
    <n v="10"/>
    <n v="20"/>
    <n v="50"/>
    <n v="100"/>
    <s v="MTWA, UWRTI"/>
    <e v="#N/A"/>
    <s v="8 training facilities/structures constructed/rehabilitated"/>
    <n v="1"/>
    <n v="1"/>
    <n v="0"/>
    <n v="1"/>
    <n v="1"/>
    <n v="0"/>
    <n v="0"/>
    <n v="1"/>
    <n v="0.625"/>
    <m/>
    <n v="0"/>
    <n v="0.5"/>
    <n v="0.5"/>
    <n v="0.5"/>
    <n v="6.6608989242580492"/>
    <n v="12.549999999999955"/>
    <n v="19.210898924258004"/>
    <s v="MoTWA"/>
    <s v="022 Ministry of Tourism, Wildlife and Antiquities"/>
    <s v="MoES"/>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4"/>
    <s v="Students enrolled at Uganda Wildlife Research Training Institute (UWRTI)"/>
    <s v="No of students enrolled at Uganda Wildlife Research Training Institute (UWRTI)"/>
    <n v="240"/>
    <n v="240"/>
    <n v="250"/>
    <n v="300"/>
    <n v="300"/>
    <n v="300"/>
    <s v="MTWA, UWRTI"/>
    <e v="#N/A"/>
    <s v="Enroll, train and manage students"/>
    <n v="1"/>
    <n v="1"/>
    <n v="0"/>
    <n v="1"/>
    <n v="1"/>
    <n v="0"/>
    <n v="0"/>
    <n v="1"/>
    <n v="0.625"/>
    <m/>
    <n v="0"/>
    <n v="0"/>
    <n v="0"/>
    <n v="0"/>
    <n v="0"/>
    <n v="0"/>
    <n v="0"/>
    <s v="MoTWA"/>
    <s v="022 Ministry of Tourism, Wildlife and Antiquities"/>
    <s v="UHTTI"/>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4"/>
    <s v="Students enrolled at Uganda Wildlife Research Training Institute (UWRTI)"/>
    <m/>
    <m/>
    <m/>
    <m/>
    <m/>
    <m/>
    <m/>
    <s v="UWRTI"/>
    <e v="#N/A"/>
    <s v="Recruit researchers"/>
    <n v="1"/>
    <n v="1"/>
    <n v="0"/>
    <n v="1"/>
    <n v="1"/>
    <n v="0"/>
    <n v="0"/>
    <n v="1"/>
    <n v="0.625"/>
    <m/>
    <n v="0"/>
    <n v="0.5"/>
    <n v="0.5"/>
    <n v="0.5"/>
    <n v="0.5"/>
    <n v="0.5"/>
    <n v="1"/>
    <s v="MoTWA (UWRTI)"/>
    <s v="022 Ministry of Tourism, Wildlife and Antiquities"/>
    <s v="MoES, MoTWA"/>
  </r>
  <r>
    <x v="12"/>
    <x v="12"/>
    <s v="053"/>
    <s v="Regulation and Skills Development"/>
    <s v="0534"/>
    <s v="Develop a pool of skilled personnel along the tourism value chain and ensure decent working conditions"/>
    <s v="053402"/>
    <s v="Provide tailor-made training for actors across the entire tourism value chain"/>
    <s v="053402a"/>
    <s v="Develop the Jinja and Kasese institutes to international standards"/>
    <s v="053402a04"/>
    <s v="Students enrolled at Uganda Wildlife Research Training Institute (UWRTI)"/>
    <m/>
    <m/>
    <m/>
    <m/>
    <m/>
    <m/>
    <m/>
    <s v="UWRTI"/>
    <e v="#N/A"/>
    <s v="Revise and modularize training programmes"/>
    <n v="1"/>
    <n v="1"/>
    <n v="0"/>
    <n v="1"/>
    <n v="1"/>
    <n v="1"/>
    <n v="0"/>
    <n v="1"/>
    <n v="0.75"/>
    <m/>
    <n v="0"/>
    <n v="0"/>
    <n v="0.3"/>
    <n v="0"/>
    <n v="0"/>
    <n v="0"/>
    <n v="0"/>
    <s v="MoTWA (UWRTI)"/>
    <s v="022 Ministry of Tourism, Wildlife and Antiquities"/>
    <s v="UHTTI, UWRTI, MoES"/>
  </r>
  <r>
    <x v="12"/>
    <x v="12"/>
    <s v="053"/>
    <s v="Regulation and Skills Development"/>
    <s v="0534"/>
    <s v="Develop a pool of skilled personnel along the tourism value chain and ensure decent working conditions"/>
    <s v="053402"/>
    <s v="Provide tailor-made training for actors across the entire tourism value chain"/>
    <s v="053402b"/>
    <s v="Provide a financing framework for this training"/>
    <s v="053402b01"/>
    <s v="Financing framework for tourism tailor-made training provided"/>
    <m/>
    <m/>
    <m/>
    <m/>
    <m/>
    <m/>
    <m/>
    <m/>
    <e v="#N/A"/>
    <m/>
    <m/>
    <m/>
    <m/>
    <m/>
    <m/>
    <m/>
    <n v="0"/>
    <n v="0"/>
    <n v="0"/>
    <m/>
    <n v="0"/>
    <m/>
    <m/>
    <m/>
    <m/>
    <m/>
    <n v="0"/>
    <m/>
    <m/>
    <m/>
  </r>
  <r>
    <x v="12"/>
    <x v="12"/>
    <s v="053"/>
    <s v="Regulation and Skills Development"/>
    <s v="0534"/>
    <s v="Develop a pool of skilled personnel along the tourism value chain and ensure decent working conditions"/>
    <s v="053403"/>
    <s v="Incentivize the private sector to provide skills through internship and apprenticeship programs"/>
    <s v="-"/>
    <s v="-"/>
    <s v="05340301"/>
    <s v="Incentives provided"/>
    <s v="Number of incentives provided to the private sector"/>
    <n v="0"/>
    <n v="0"/>
    <n v="1"/>
    <n v="1"/>
    <n v="2"/>
    <n v="3"/>
    <s v="MTWA, MoES"/>
    <e v="#N/A"/>
    <m/>
    <m/>
    <m/>
    <m/>
    <m/>
    <m/>
    <m/>
    <n v="0"/>
    <n v="0"/>
    <n v="0"/>
    <m/>
    <n v="0"/>
    <m/>
    <m/>
    <m/>
    <m/>
    <m/>
    <n v="0"/>
    <m/>
    <m/>
    <m/>
  </r>
  <r>
    <x v="12"/>
    <x v="12"/>
    <s v="053"/>
    <s v="Regulation and Skills Development"/>
    <s v="0534"/>
    <s v="Develop a pool of skilled personnel along the tourism value chain and ensure decent working conditions"/>
    <s v="053403"/>
    <s v="Incentivize the private sector to provide skills through internship and apprenticeship programs"/>
    <s v="-"/>
    <s v="-"/>
    <s v="05340301"/>
    <s v="Partnerships with private sector created for apprenticeship projects"/>
    <s v="No. of private sector companies partnered with"/>
    <n v="0"/>
    <s v="-"/>
    <n v="0"/>
    <n v="0"/>
    <n v="2"/>
    <n v="4"/>
    <s v="MTWA, DIT, UTB, MOES"/>
    <e v="#N/A"/>
    <m/>
    <m/>
    <m/>
    <m/>
    <m/>
    <m/>
    <m/>
    <n v="0"/>
    <n v="0"/>
    <n v="0"/>
    <m/>
    <n v="0"/>
    <m/>
    <m/>
    <m/>
    <m/>
    <m/>
    <n v="0"/>
    <m/>
    <m/>
    <m/>
  </r>
  <r>
    <x v="12"/>
    <x v="12"/>
    <s v="053"/>
    <s v="Regulation and Skills Development"/>
    <s v="0534"/>
    <s v="Develop a pool of skilled personnel along the tourism value chain and ensure decent working conditions"/>
    <s v="053404"/>
    <s v="Nurture local hospitality sector enterprises for participation in local, regional and global tourism value chains"/>
    <s v="-"/>
    <s v="-"/>
    <s v="05340401"/>
    <s v="Capacity built for local hospitality sector enterprises for increased participation in local, regional and global tourism value chains"/>
    <s v="Number of trainings conducted to nurture local hospitality sector enterprises"/>
    <n v="0"/>
    <n v="2"/>
    <n v="4"/>
    <n v="6"/>
    <n v="8"/>
    <n v="10"/>
    <s v="UTB, MTWA, MoFPED, MTIC"/>
    <e v="#N/A"/>
    <m/>
    <m/>
    <m/>
    <m/>
    <m/>
    <m/>
    <m/>
    <n v="0"/>
    <n v="0"/>
    <n v="0"/>
    <m/>
    <n v="0"/>
    <m/>
    <m/>
    <m/>
    <m/>
    <m/>
    <n v="0"/>
    <m/>
    <m/>
    <m/>
  </r>
  <r>
    <x v="12"/>
    <x v="12"/>
    <s v="053"/>
    <s v="Regulation and Skills Development"/>
    <s v="0534"/>
    <s v="Develop a pool of skilled personnel along the tourism value chain and ensure decent working conditions"/>
    <s v="053404"/>
    <s v="Nurture local hospitality sector enterprises for participation in local, regional and global tourism value chains"/>
    <s v="-"/>
    <s v="-"/>
    <s v="05340402"/>
    <s v="Tourism Business Development Services strengthened through best practice training and benchmarking"/>
    <s v="Proportion of hospitality enterprises complying to international standards"/>
    <n v="35"/>
    <n v="40"/>
    <n v="45"/>
    <n v="48"/>
    <n v="50"/>
    <n v="50"/>
    <s v="Enterprise Uganda"/>
    <e v="#N/A"/>
    <m/>
    <m/>
    <m/>
    <m/>
    <m/>
    <m/>
    <m/>
    <n v="0"/>
    <n v="0"/>
    <n v="0"/>
    <m/>
    <n v="0"/>
    <m/>
    <m/>
    <m/>
    <m/>
    <m/>
    <n v="0"/>
    <m/>
    <m/>
    <m/>
  </r>
  <r>
    <x v="12"/>
    <x v="12"/>
    <s v="053"/>
    <s v="Regulation and Skills Development"/>
    <s v="0534"/>
    <s v="Develop a pool of skilled personnel along the tourism value chain and ensure decent working conditions"/>
    <s v="053404"/>
    <s v="Nurture local hospitality sector enterprises for participation in local, regional and global tourism value chains"/>
    <s v="-"/>
    <s v="-"/>
    <s v="05340402"/>
    <s v="Tourism Business Development Services strengthened through best practice training and benchmarking"/>
    <m/>
    <m/>
    <m/>
    <m/>
    <m/>
    <m/>
    <m/>
    <s v="UWA"/>
    <e v="#N/A"/>
    <s v="Undertake mobilization, identification, appraisal development, review and approval of bankable strategic investment projects"/>
    <n v="1"/>
    <n v="1"/>
    <n v="0"/>
    <n v="1"/>
    <n v="1"/>
    <n v="0"/>
    <n v="0"/>
    <n v="1"/>
    <n v="0.625"/>
    <m/>
    <n v="0"/>
    <n v="0.2"/>
    <n v="0.2"/>
    <n v="0.2"/>
    <n v="0.2"/>
    <n v="0.2"/>
    <n v="0.4"/>
    <s v="UIA"/>
    <s v="310 Uganda Investment Authority (UIA)"/>
    <s v="NPA, MoTWA, MoKCC&amp;MA"/>
  </r>
  <r>
    <x v="12"/>
    <x v="12"/>
    <s v="053"/>
    <s v="Regulation and Skills Development"/>
    <s v="0534"/>
    <s v="Develop a pool of skilled personnel along the tourism value chain and ensure decent working conditions"/>
    <s v="053405"/>
    <s v="Establish and operationalize a tourism investment fund to enable private investors get access to affordable finance"/>
    <s v="-"/>
    <s v="-"/>
    <s v="05340501"/>
    <s v="A tourism investment fund established and operationalized by BOU"/>
    <s v="Tourism Investment Fund in Place"/>
    <n v="0"/>
    <s v="-"/>
    <s v="-"/>
    <n v="0"/>
    <s v="-"/>
    <s v="-"/>
    <s v="MTWA"/>
    <e v="#N/A"/>
    <s v="Formalize and link the SMEs clusters along the tourism products value chain"/>
    <n v="1"/>
    <n v="1"/>
    <n v="1"/>
    <n v="1"/>
    <n v="1"/>
    <n v="1"/>
    <n v="0"/>
    <n v="0"/>
    <n v="0.75"/>
    <m/>
    <n v="0"/>
    <n v="0.05"/>
    <n v="0.05"/>
    <n v="0.05"/>
    <n v="0.05"/>
    <n v="0.05"/>
    <n v="0.1"/>
    <s v="UIA"/>
    <s v="310 Uganda Investment Authority (UIA)"/>
    <s v="UEPB, MoTWA, UTB"/>
  </r>
  <r>
    <x v="12"/>
    <x v="12"/>
    <s v="053"/>
    <s v="Regulation and Skills Development"/>
    <s v="0534"/>
    <s v="Develop a pool of skilled personnel along the tourism value chain and ensure decent working conditions"/>
    <s v="053406"/>
    <s v="Strengthen/ develop the legal and policy framework and mechanisms to ensure decent working conditions in the industry so as to reduce incidences of exploitation"/>
    <s v="-"/>
    <s v="-"/>
    <s v="05340601"/>
    <s v="Policies, Standards and regulations developed for the Management and Utilization of Natural and Cultural Heritage Resources."/>
    <s v="No of regulations and standards developed to operationalize the Uganda Wildlife Act 2019  "/>
    <m/>
    <m/>
    <m/>
    <m/>
    <m/>
    <m/>
    <s v="MTWA, UWA"/>
    <e v="#N/A"/>
    <s v="Develop regulations and standards to operationalize the Tourism Act"/>
    <n v="1"/>
    <n v="1"/>
    <n v="0"/>
    <n v="1"/>
    <n v="1"/>
    <m/>
    <n v="0"/>
    <n v="1"/>
    <n v="0.625"/>
    <m/>
    <n v="0"/>
    <n v="0"/>
    <n v="0"/>
    <n v="0.2"/>
    <n v="0.7"/>
    <n v="0.7"/>
    <n v="1.4"/>
    <s v="MoTWA"/>
    <s v="022 Ministry of Tourism, Wildlife and Antiquities"/>
    <s v="UTB"/>
  </r>
  <r>
    <x v="12"/>
    <x v="12"/>
    <s v="053"/>
    <s v="Regulation and Skills Development"/>
    <s v="0534"/>
    <s v="Develop a pool of skilled personnel along the tourism value chain and ensure decent working conditions"/>
    <s v="053406"/>
    <s v="Strengthen/ develop the legal and policy framework and mechanisms to ensure decent working conditions in the industry so as to reduce incidences of exploitation"/>
    <s v="-"/>
    <s v="-"/>
    <s v="05340601"/>
    <s v="Policies, Standards and regulations developed for the Management and Utilization of Natural and Cultural Heritage Resources."/>
    <s v="No of regulations and standards developed to operationalize Museums and Monuments Bill once enacted. "/>
    <m/>
    <m/>
    <m/>
    <m/>
    <m/>
    <m/>
    <s v="MTWA"/>
    <e v="#N/A"/>
    <s v="Review policies on Wildlife, cultural heritage, Tourism, Gender &amp; Equity"/>
    <n v="1"/>
    <n v="1"/>
    <n v="1"/>
    <n v="1"/>
    <n v="1"/>
    <n v="1"/>
    <n v="0"/>
    <n v="1"/>
    <n v="0.875"/>
    <m/>
    <n v="0"/>
    <n v="0"/>
    <n v="0.05"/>
    <n v="0.05"/>
    <n v="2"/>
    <n v="0.8"/>
    <n v="2.8"/>
    <s v="MoTWA"/>
    <s v="022 Ministry of Tourism, Wildlife and Antiquities"/>
    <s v="MoGLSD, UWA"/>
  </r>
  <r>
    <x v="12"/>
    <x v="12"/>
    <s v="053"/>
    <s v="Regulation and Skills Development"/>
    <s v="0534"/>
    <s v="Develop a pool of skilled personnel along the tourism value chain and ensure decent working conditions"/>
    <s v="053406"/>
    <s v="Strengthen/ develop the legal and policy framework and mechanisms to ensure decent working conditions in the industry so as to reduce incidences of exploitation"/>
    <s v="-"/>
    <s v="-"/>
    <s v="05340601"/>
    <s v="Policies, Standards and regulations developed for the Management and Utilization of Natural and Cultural Heritage Resources."/>
    <m/>
    <m/>
    <m/>
    <m/>
    <m/>
    <m/>
    <m/>
    <m/>
    <e v="#N/A"/>
    <s v="Develop regulations and standards to operationalize the Uganda Wildlife Act 2019"/>
    <n v="1"/>
    <n v="1"/>
    <n v="0"/>
    <n v="1"/>
    <n v="1"/>
    <n v="0"/>
    <n v="0"/>
    <n v="1"/>
    <n v="0.625"/>
    <m/>
    <n v="0"/>
    <n v="0.35"/>
    <n v="0.6"/>
    <n v="0.35"/>
    <n v="0.95"/>
    <n v="0.35"/>
    <n v="1.2999999999999998"/>
    <s v="MoTWA"/>
    <s v="022 Ministry of Tourism, Wildlife and Antiquities"/>
    <s v="UWA, UTB, MWE"/>
  </r>
  <r>
    <x v="12"/>
    <x v="12"/>
    <s v="053"/>
    <s v="Regulation and Skills Development"/>
    <s v="0534"/>
    <s v="Develop a pool of skilled personnel along the tourism value chain and ensure decent working conditions"/>
    <s v="053406"/>
    <s v="Strengthen/ develop the legal and policy framework and mechanisms to ensure decent working conditions in the industry so as to reduce incidences of exploitation"/>
    <s v="-"/>
    <s v="-"/>
    <s v="05340601"/>
    <s v="Policies, Standards and regulations developed for the Management and Utilization of Natural and Cultural Heritage Resources."/>
    <m/>
    <m/>
    <m/>
    <m/>
    <m/>
    <m/>
    <m/>
    <m/>
    <e v="#N/A"/>
    <s v="Develop regulations and standards to operationalize Museums and Monuments Bill once enacted."/>
    <n v="1"/>
    <n v="1"/>
    <n v="0"/>
    <n v="1"/>
    <n v="1"/>
    <n v="1"/>
    <n v="0"/>
    <n v="1"/>
    <n v="0.75"/>
    <m/>
    <n v="0"/>
    <n v="0"/>
    <n v="0"/>
    <n v="0.2"/>
    <n v="0.7"/>
    <n v="0.7"/>
    <n v="1.4"/>
    <s v="MoTWA"/>
    <s v="022 Ministry of Tourism, Wildlife and Antiquities"/>
    <s v="MoGLSD, UTB"/>
  </r>
  <r>
    <x v="12"/>
    <x v="12"/>
    <s v="053"/>
    <s v="Regulation and Skills Development"/>
    <s v="0535"/>
    <s v="Enhance regulation, coordination and management of the tourism"/>
    <s v="053501"/>
    <s v="Develop a Tourism Information Management System"/>
    <s v="-"/>
    <s v="-"/>
    <s v="05350101"/>
    <s v="Tourism Information Management System developed"/>
    <s v="Level of development of the Tourism Information Management System, %"/>
    <n v="5"/>
    <n v="5"/>
    <n v="5"/>
    <n v="20"/>
    <n v="50"/>
    <n v="70"/>
    <s v="MTWA"/>
    <e v="#N/A"/>
    <s v="Develop and operationalize an online Tourism information Management System (TIMS)"/>
    <n v="1"/>
    <n v="1"/>
    <n v="0"/>
    <n v="1"/>
    <n v="1"/>
    <n v="1"/>
    <n v="1"/>
    <n v="1"/>
    <n v="0.875"/>
    <m/>
    <n v="0"/>
    <n v="1.2999999999999999E-2"/>
    <n v="2.5000000000000001E-2"/>
    <n v="0"/>
    <n v="0"/>
    <n v="0"/>
    <n v="0"/>
    <s v="MoTWA"/>
    <s v="022 Ministry of Tourism, Wildlife and Antiquities"/>
    <s v="UBOS, NITA-U, UTB"/>
  </r>
  <r>
    <x v="12"/>
    <x v="12"/>
    <s v="053"/>
    <s v="Regulation and Skills Development"/>
    <s v="0535"/>
    <s v="Enhance regulation, coordination and management of the tourism"/>
    <s v="053501"/>
    <s v="Develop a Tourism Information Management System"/>
    <s v="-"/>
    <s v="-"/>
    <s v="05350101"/>
    <s v="Tourism Information Management System developed"/>
    <s v="No. of tourism information centers established "/>
    <n v="0"/>
    <n v="0"/>
    <n v="1"/>
    <n v="2"/>
    <n v="1"/>
    <n v="1"/>
    <s v="MTWA, MoFA"/>
    <e v="#N/A"/>
    <s v="Establish an online tourism information hub for the entire country "/>
    <n v="1"/>
    <n v="1"/>
    <n v="0"/>
    <n v="1"/>
    <n v="1"/>
    <n v="1"/>
    <n v="1"/>
    <n v="1"/>
    <n v="0.875"/>
    <m/>
    <n v="0"/>
    <n v="0.5"/>
    <n v="1"/>
    <n v="1"/>
    <n v="2"/>
    <n v="2.5"/>
    <n v="4.5"/>
    <s v="MoTWA"/>
    <s v="022 Ministry of Tourism, Wildlife and Antiquities"/>
    <s v="NITA-U, MoICT&amp;NG"/>
  </r>
  <r>
    <x v="12"/>
    <x v="12"/>
    <s v="053"/>
    <s v="Regulation and Skills Development"/>
    <s v="0535"/>
    <s v="Enhance regulation, coordination and management of the tourism"/>
    <s v="053502"/>
    <s v="Establish and operationalize a tourism investment fund to enable private investors get access to affordable"/>
    <s v="-"/>
    <s v="-"/>
    <s v="05350201"/>
    <s v="Framework for the Tourism levy reviewed and operationalized"/>
    <s v="Tourism fund established from collection of the levy"/>
    <n v="0"/>
    <n v="0"/>
    <n v="0"/>
    <n v="0"/>
    <n v="1"/>
    <n v="0"/>
    <s v="MTWA, MoFPED, LGs"/>
    <e v="#N/A"/>
    <s v="Tourism fund established from collection of the levy"/>
    <n v="1"/>
    <n v="1"/>
    <n v="0"/>
    <n v="0"/>
    <n v="0"/>
    <n v="1"/>
    <n v="0"/>
    <n v="1"/>
    <n v="0.5"/>
    <m/>
    <n v="0"/>
    <n v="0"/>
    <n v="0.5"/>
    <n v="0"/>
    <n v="0"/>
    <n v="0"/>
    <n v="0"/>
    <s v="MoTWA"/>
    <s v="022 Ministry of Tourism, Wildlife and Antiquities"/>
    <s v="MoFPED"/>
  </r>
  <r>
    <x v="12"/>
    <x v="12"/>
    <s v="053"/>
    <s v="Regulation and Skills Development"/>
    <s v="0535"/>
    <s v="Enhance regulation, coordination and management of the tourism"/>
    <s v="053503"/>
    <s v="Establish quality marks/ standards for grading of tourism-related facilities such as accommodation, attractions, beaches, restaurants and travel"/>
    <s v="-"/>
    <s v="-"/>
    <s v="05350301"/>
    <s v="Quality marks/ standards for grading of tourism-related facilities"/>
    <s v="No. of quality marks/ standards for grading of tourism-related facilities developed"/>
    <n v="0"/>
    <n v="0"/>
    <n v="0"/>
    <n v="1"/>
    <n v="1"/>
    <n v="1"/>
    <s v="MTWA, UTB"/>
    <e v="#N/A"/>
    <s v="Develop standards for grading of tourism-related facilities"/>
    <n v="1"/>
    <n v="1"/>
    <n v="0"/>
    <n v="1"/>
    <n v="1"/>
    <n v="1"/>
    <n v="0"/>
    <n v="1"/>
    <n v="0.75"/>
    <m/>
    <n v="0"/>
    <n v="0.4"/>
    <n v="0.5"/>
    <n v="0.5"/>
    <n v="0"/>
    <n v="0"/>
    <n v="0"/>
    <s v="MoTWA"/>
    <s v="022 Ministry of Tourism, Wildlife and Antiquities"/>
    <s v="UTB"/>
  </r>
  <r>
    <x v="12"/>
    <x v="12"/>
    <s v="053"/>
    <s v="Regulation and Skills Development"/>
    <s v="0535"/>
    <s v="Enhance regulation, coordination and management of the tourism"/>
    <s v="053503"/>
    <s v="Establish quality marks/ standards for grading of tourism-related facilities such as accommodation, attractions, beaches, restaurants and travel"/>
    <s v="-"/>
    <s v="-"/>
    <s v="05350301"/>
    <s v="Quality marks/ standards for grading of tourism-related facilities"/>
    <m/>
    <m/>
    <m/>
    <m/>
    <m/>
    <m/>
    <m/>
    <s v="UTB"/>
    <s v="117 Uganda Tourism Board"/>
    <s v="Conduct regular surveys and studies on Tourism performance"/>
    <n v="1"/>
    <n v="1"/>
    <n v="0"/>
    <n v="1"/>
    <n v="1"/>
    <n v="1"/>
    <n v="1"/>
    <n v="1"/>
    <n v="0.875"/>
    <m/>
    <n v="0"/>
    <n v="0.03"/>
    <n v="0.03"/>
    <n v="0.03"/>
    <n v="0.03"/>
    <n v="0.03"/>
    <n v="0.06"/>
    <s v="MoTWA"/>
    <s v="022 Ministry of Tourism, Wildlife and Antiquities"/>
    <s v="UBOS, UTB"/>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s v="No. of tour and travel agents registered and trained. "/>
    <n v="370"/>
    <n v="450"/>
    <n v="500"/>
    <n v="500"/>
    <n v="500"/>
    <n v="500"/>
    <s v="UTB"/>
    <s v="117 Uganda Tourism Board"/>
    <s v="Register, train, assess and license tour guides"/>
    <n v="1"/>
    <n v="1"/>
    <n v="0"/>
    <n v="1"/>
    <n v="1"/>
    <n v="1"/>
    <n v="0"/>
    <n v="1"/>
    <n v="0.75"/>
    <m/>
    <n v="0"/>
    <n v="0"/>
    <n v="0.5"/>
    <n v="0.5"/>
    <n v="0.5"/>
    <n v="0.5"/>
    <n v="1"/>
    <s v="UTB"/>
    <s v="117 Uganda Tourism Board"/>
    <s v="UWA, MoTWA"/>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s v="No. of Tour guides registered, trained, assessed and licensed (5-10% growth rate)"/>
    <n v="300"/>
    <n v="500"/>
    <n v="550"/>
    <n v="600"/>
    <n v="620"/>
    <n v="640"/>
    <s v="UTB"/>
    <s v="117 Uganda Tourism Board"/>
    <s v="Design and conduct training"/>
    <n v="1"/>
    <n v="1"/>
    <n v="0"/>
    <n v="1"/>
    <n v="1"/>
    <n v="1"/>
    <n v="0"/>
    <n v="1"/>
    <n v="0.75"/>
    <m/>
    <n v="0"/>
    <n v="0"/>
    <n v="0.5"/>
    <n v="0.5"/>
    <n v="0.5"/>
    <n v="0.5"/>
    <n v="1"/>
    <s v="UTB"/>
    <s v="117 Uganda Tourism Board"/>
    <s v="UEPB, UIA, MoTWA"/>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s v="No. of accommodation and restaurant facilities registered, inspected"/>
    <n v="1000"/>
    <n v="3000"/>
    <n v="3300"/>
    <n v="3600"/>
    <n v="3900"/>
    <n v="4200"/>
    <s v="UTB"/>
    <s v="117 Uganda Tourism Board"/>
    <s v="Register and inspect accommodation facilities"/>
    <n v="1"/>
    <n v="1"/>
    <n v="0"/>
    <n v="1"/>
    <n v="1"/>
    <n v="1"/>
    <n v="0"/>
    <n v="1"/>
    <n v="0.75"/>
    <m/>
    <n v="0"/>
    <n v="1"/>
    <n v="0.5"/>
    <n v="0.5"/>
    <n v="0.5"/>
    <n v="0.5"/>
    <n v="1"/>
    <s v="UTB"/>
    <s v="117 Uganda Tourism Board"/>
    <s v="MoTWA, Uganda Tourism Association (UTA)"/>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m/>
    <m/>
    <m/>
    <m/>
    <m/>
    <m/>
    <m/>
    <s v="UTB"/>
    <s v="117 Uganda Tourism Board"/>
    <s v="Capacity building. Financial support towards operations"/>
    <n v="1"/>
    <n v="1"/>
    <n v="0"/>
    <n v="1"/>
    <n v="1"/>
    <n v="1"/>
    <n v="0"/>
    <n v="1"/>
    <n v="0.75"/>
    <m/>
    <n v="0"/>
    <n v="0.2"/>
    <n v="2"/>
    <n v="2"/>
    <n v="2"/>
    <n v="2"/>
    <n v="4"/>
    <s v="MoTWA"/>
    <s v="022 Ministry of Tourism, Wildlife and Antiquities"/>
    <s v="UIA, UTB"/>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m/>
    <m/>
    <m/>
    <m/>
    <m/>
    <m/>
    <m/>
    <s v="UTB"/>
    <s v="117 Uganda Tourism Board"/>
    <s v="Sensitise and equip local communities/community tourism enterprises to develop, promote and market their tourism offering"/>
    <n v="1"/>
    <n v="1"/>
    <n v="1"/>
    <n v="1"/>
    <n v="1"/>
    <n v="1"/>
    <n v="1"/>
    <n v="1"/>
    <n v="1"/>
    <m/>
    <n v="0"/>
    <n v="0"/>
    <n v="0.5"/>
    <n v="1"/>
    <n v="1.5"/>
    <n v="2"/>
    <n v="3.5"/>
    <s v="LGs"/>
    <s v="500 501-850 Local Governments"/>
    <s v="UTB, MoTWA"/>
  </r>
  <r>
    <x v="12"/>
    <x v="12"/>
    <s v="053"/>
    <s v="Regulation and Skills Development"/>
    <s v="0535"/>
    <s v="Enhance regulation, coordination and management of the tourism"/>
    <s v="053504"/>
    <s v="Strengthen inspection and enforcement of service standards for tourism facilities and tour operators"/>
    <s v="-"/>
    <s v="-"/>
    <s v="05350401"/>
    <s v="Capacity building conducted for the actors in quality assurance of Tourism service standards."/>
    <m/>
    <m/>
    <m/>
    <m/>
    <m/>
    <m/>
    <m/>
    <s v="UTB"/>
    <s v="117 Uganda Tourism Board"/>
    <s v="Hold quarterly meetings of the Working Group."/>
    <n v="1"/>
    <n v="1"/>
    <n v="0"/>
    <n v="1"/>
    <n v="1"/>
    <n v="0"/>
    <n v="1"/>
    <n v="1"/>
    <n v="0.75"/>
    <m/>
    <n v="0"/>
    <n v="0.1"/>
    <n v="0.1"/>
    <n v="0.1"/>
    <n v="0.1"/>
    <n v="0.1"/>
    <n v="0.2"/>
    <s v="MoTWA"/>
    <s v="022 Ministry of Tourism, Wildlife and Antiquities"/>
    <s v="UTB, UWA, NPA"/>
  </r>
  <r>
    <x v="13"/>
    <x v="13"/>
    <s v="18X"/>
    <s v="Government Commitments"/>
    <s v="18X"/>
    <s v="Provision for Government Commitments"/>
    <s v="18X"/>
    <s v="Government Commitments"/>
    <m/>
    <m/>
    <s v="18X"/>
    <s v="Government Commitments"/>
    <s v="-"/>
    <s v="-"/>
    <s v="-"/>
    <s v="-"/>
    <s v="-"/>
    <s v="-"/>
    <s v="-"/>
    <s v="-"/>
    <s v="-"/>
    <s v="Wage"/>
    <m/>
    <m/>
    <m/>
    <m/>
    <m/>
    <m/>
    <m/>
    <m/>
    <m/>
    <m/>
    <m/>
    <m/>
    <m/>
    <m/>
    <n v="257.62"/>
    <n v="257.62"/>
    <n v="515.24"/>
    <m/>
    <m/>
    <m/>
  </r>
  <r>
    <x v="13"/>
    <x v="13"/>
    <s v="18X"/>
    <s v="Government Commitments"/>
    <s v="18X"/>
    <s v="Provision for Government Commitments"/>
    <s v="18X"/>
    <s v="Government Commitments"/>
    <m/>
    <m/>
    <s v="18X"/>
    <s v="Government Commitments"/>
    <s v="-"/>
    <s v="-"/>
    <s v="-"/>
    <s v="-"/>
    <s v="-"/>
    <s v="-"/>
    <s v="-"/>
    <s v="-"/>
    <s v="-"/>
    <s v="Non-Wage (Statutory)"/>
    <m/>
    <m/>
    <m/>
    <m/>
    <m/>
    <m/>
    <m/>
    <m/>
    <m/>
    <m/>
    <m/>
    <m/>
    <m/>
    <m/>
    <n v="103.048"/>
    <n v="103.048"/>
    <n v="206.096"/>
    <m/>
    <m/>
    <m/>
  </r>
  <r>
    <x v="13"/>
    <x v="13"/>
    <s v="18X"/>
    <s v="Government Commitments"/>
    <s v="18X"/>
    <s v="Provision for Government Commitments"/>
    <s v="18X"/>
    <s v="Government Commitments"/>
    <m/>
    <m/>
    <s v="18X"/>
    <s v="Government Commitments"/>
    <s v="-"/>
    <s v="-"/>
    <s v="-"/>
    <s v="-"/>
    <s v="-"/>
    <s v="-"/>
    <s v="-"/>
    <s v="-"/>
    <s v="-"/>
    <s v="Multi-Year Commitments"/>
    <m/>
    <m/>
    <m/>
    <m/>
    <m/>
    <m/>
    <m/>
    <m/>
    <m/>
    <m/>
    <m/>
    <m/>
    <m/>
    <m/>
    <n v="120.43013853879998"/>
    <n v="80.261654192999998"/>
    <n v="200.69179273179998"/>
    <m/>
    <m/>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1"/>
    <s v="Aligned MDA and LGs plans to NDPIII programmes"/>
    <s v="Proportion of  LGs Plans aligned to  NDPIII Programmes"/>
    <n v="94.5"/>
    <n v="50"/>
    <n v="60"/>
    <n v="75"/>
    <n v="80"/>
    <n v="85"/>
    <s v="NPA"/>
    <s v="108 National Planning Authority"/>
    <s v="Technical backstopping done to LGs to align their plans to NDP III Programs"/>
    <n v="1"/>
    <n v="1"/>
    <n v="0"/>
    <n v="1"/>
    <n v="1"/>
    <n v="0"/>
    <n v="1"/>
    <n v="1"/>
    <n v="0.75"/>
    <m/>
    <n v="0"/>
    <n v="0.72499999999999998"/>
    <n v="7.25"/>
    <n v="1.5225"/>
    <n v="1.5225"/>
    <n v="1.5225"/>
    <n v="3.0449999999999999"/>
    <s v="NPA"/>
    <s v="108 National Planning Authority"/>
    <s v="OWC"/>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1"/>
    <s v="Aligned MDA and LGs plans to NDPIII programmes"/>
    <s v="Proportion of  MDAs with aligned plans to the NDPIII Programmes"/>
    <n v="60"/>
    <n v="70"/>
    <n v="85"/>
    <n v="90"/>
    <n v="95"/>
    <n v="100"/>
    <s v="NPA"/>
    <s v="108 National Planning Authority"/>
    <s v="Technical backstopping done to MDAs to align plans to NDP III Programs"/>
    <n v="1"/>
    <n v="1"/>
    <n v="0"/>
    <n v="1"/>
    <n v="1"/>
    <n v="0"/>
    <n v="1"/>
    <n v="1"/>
    <n v="0.75"/>
    <m/>
    <n v="0"/>
    <n v="0.28999999999999998"/>
    <n v="2.1749999999999998"/>
    <n v="0.36249999999999999"/>
    <n v="0.36249999999999999"/>
    <n v="0.36249999999999999"/>
    <n v="0.72499999999999998"/>
    <s v="NPA"/>
    <s v="108 National Planning Authority"/>
    <s v="OWC"/>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2"/>
    <s v="Capacity building done in development planning, particularly for MDAs and local governments."/>
    <s v="Proportion of LGs capacity built in development planning."/>
    <n v="0"/>
    <n v="70"/>
    <n v="80"/>
    <n v="90"/>
    <n v="95"/>
    <n v="100"/>
    <s v="NPA"/>
    <s v="108 National Planning Authority"/>
    <s v="Capacity building  in development planning, particularly for LGs"/>
    <n v="1"/>
    <n v="1"/>
    <n v="0"/>
    <n v="1"/>
    <n v="1"/>
    <n v="0"/>
    <n v="1"/>
    <n v="1"/>
    <n v="0.75"/>
    <m/>
    <n v="0"/>
    <n v="1.0149999999999999"/>
    <n v="1.0149999999999999"/>
    <n v="1.0149999999999999"/>
    <n v="1.0149999999999999"/>
    <n v="1.0149999999999999"/>
    <n v="2.0299999999999998"/>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2"/>
    <s v="Capacity building done in development planning, particularly for MDAs and local governments."/>
    <s v="Proportion of MDAs capacity built in development planning."/>
    <n v="0"/>
    <n v="50"/>
    <n v="70"/>
    <n v="80"/>
    <n v="90"/>
    <n v="100"/>
    <s v="NPA"/>
    <s v="108 National Planning Authority"/>
    <s v="Capacity building  in development planning, particularly for MDAs"/>
    <n v="1"/>
    <n v="1"/>
    <n v="0"/>
    <n v="1"/>
    <n v="1"/>
    <n v="0"/>
    <n v="1"/>
    <n v="1"/>
    <n v="0.75"/>
    <m/>
    <n v="0"/>
    <n v="0.36249999999999999"/>
    <n v="1.0874999999999999"/>
    <n v="1.0874999999999999"/>
    <n v="1.0874999999999999"/>
    <n v="1.0874999999999999"/>
    <n v="2.1749999999999998"/>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3"/>
    <s v="New Office Building for National Planning Authority. "/>
    <s v="Proportion of the New Office Building for NPA completed."/>
    <n v="0"/>
    <n v="0"/>
    <n v="0"/>
    <n v="30"/>
    <n v="60"/>
    <n v="100"/>
    <s v="NPA"/>
    <s v="108 National Planning Authority"/>
    <s v="Construction of the New Planning House to enhance capacity for the National Planners to execute their functions."/>
    <n v="1"/>
    <n v="1"/>
    <n v="0"/>
    <n v="1"/>
    <n v="1"/>
    <n v="0"/>
    <n v="0"/>
    <n v="1"/>
    <n v="0.625"/>
    <m/>
    <n v="0"/>
    <n v="0"/>
    <n v="0"/>
    <n v="120.65388412681423"/>
    <n v="32"/>
    <n v="50"/>
    <n v="82"/>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4"/>
    <s v="National Development Plan IV"/>
    <s v="Approved NDP IV in place"/>
    <n v="0"/>
    <n v="0"/>
    <n v="0"/>
    <n v="0"/>
    <n v="0"/>
    <n v="1"/>
    <s v="NPA"/>
    <s v="108 National Planning Authority"/>
    <s v="Consultations and development of NDP IV"/>
    <n v="1"/>
    <n v="1"/>
    <n v="1"/>
    <n v="1"/>
    <n v="1"/>
    <n v="1"/>
    <n v="1"/>
    <n v="1"/>
    <n v="1"/>
    <m/>
    <n v="0"/>
    <n v="0"/>
    <n v="0"/>
    <n v="4.3499999999999996"/>
    <n v="4.3499999999999996"/>
    <n v="4.3499999999999996"/>
    <n v="8.6999999999999993"/>
    <s v="NPA"/>
    <s v="108 National Planning Authority"/>
    <s v="OWC"/>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5"/>
    <s v="Capacity building Strategy for PIM "/>
    <s v="Capacity Building Strategy for PIM Developed"/>
    <n v="0"/>
    <n v="1"/>
    <n v="0"/>
    <n v="0"/>
    <n v="0"/>
    <n v="0"/>
    <s v="MoFPED"/>
    <s v="008 Ministry of Finance, Planning &amp; Economic Dev."/>
    <s v="Develop capacity building Strategy for PIM "/>
    <n v="1"/>
    <n v="1"/>
    <n v="0"/>
    <n v="1"/>
    <n v="1"/>
    <n v="0"/>
    <n v="1"/>
    <n v="1"/>
    <n v="0.75"/>
    <m/>
    <n v="0"/>
    <n v="0"/>
    <n v="0.14499999999999999"/>
    <n v="0"/>
    <n v="0"/>
    <n v="0.2"/>
    <n v="0.2"/>
    <s v="MoFPED"/>
    <s v="008 Ministry of Finance, Planning &amp; Economic Dev."/>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6"/>
    <s v="Curriculum for PIM for universities and tertiary institutions"/>
    <s v="Curriculum for PIM developed"/>
    <n v="0"/>
    <n v="1"/>
    <n v="0"/>
    <n v="0"/>
    <n v="0"/>
    <n v="0"/>
    <s v="MoFPED"/>
    <s v="008 Ministry of Finance, Planning &amp; Economic Dev."/>
    <s v="Develop curriculum for PIM for universities and tertiary institutions"/>
    <n v="1"/>
    <n v="1"/>
    <n v="0"/>
    <n v="1"/>
    <n v="1"/>
    <n v="0"/>
    <n v="1"/>
    <n v="1"/>
    <n v="0.75"/>
    <m/>
    <n v="0"/>
    <n v="0"/>
    <n v="0.14499999999999999"/>
    <n v="0"/>
    <n v="0"/>
    <n v="0"/>
    <n v="0"/>
    <s v="MoFPED"/>
    <s v="008 Ministry of Finance, Planning &amp; Economic Dev."/>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7"/>
    <s v="Capacity built in Gender mainstreaming and responsive budgeting among the LGs and MDAs"/>
    <s v="Proportion of MDAs capacity built in Gender mainstreaming and responsive budgeting"/>
    <n v="50"/>
    <n v="60"/>
    <n v="79"/>
    <n v="85"/>
    <n v="90"/>
    <n v="95"/>
    <s v="EOC"/>
    <s v="124 Equal Opportunities Commission"/>
    <s v="Build capacity among the MDAs and LGs in Gender mainstreaming and Gender responsive budgeting "/>
    <n v="1"/>
    <n v="1"/>
    <n v="0"/>
    <n v="1"/>
    <n v="1"/>
    <n v="0"/>
    <n v="1"/>
    <n v="1"/>
    <n v="0.75"/>
    <m/>
    <n v="0"/>
    <n v="1.885"/>
    <n v="2.0299999999999998"/>
    <n v="2.3199999999999998"/>
    <n v="2.1749999999999998"/>
    <n v="2.0299999999999998"/>
    <n v="4.2050000000000001"/>
    <s v="EOC"/>
    <s v="124 Equal Opportunities Commission"/>
    <m/>
  </r>
  <r>
    <x v="13"/>
    <x v="13"/>
    <s v="181"/>
    <s v="Development Planning, Research, Evaluation and Statistics"/>
    <s v="1811"/>
    <s v="Strengthen capacity for development planning"/>
    <s v="181101"/>
    <s v="Strengthen capacity for development planning, particularly at the MDAs and local governments"/>
    <s v="181101a"/>
    <s v="Facilitate Professional training and retraining in planning competences in MDAs and LGs "/>
    <s v="181101a07"/>
    <s v="Capacity built in Gender mainstreaming and responsive budgeting among the LGs and MDAs"/>
    <s v="Proportion of LGs capacity built in Gender mainstreaming and responsive budgeting"/>
    <n v="40"/>
    <n v="70"/>
    <n v="80"/>
    <n v="85"/>
    <n v="90"/>
    <n v="100"/>
    <s v="EOC"/>
    <s v="124 Equal Opportunities Commission"/>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umber of users of spatial data  "/>
    <n v="0"/>
    <n v="0"/>
    <n v="0"/>
    <n v="20"/>
    <n v="50"/>
    <n v="70"/>
    <s v="NPA"/>
    <s v="108 National Planning Authority"/>
    <s v="Establish a spatial data  regulation to guide NSDI development and utilization process "/>
    <n v="1"/>
    <n v="0"/>
    <n v="0"/>
    <n v="1"/>
    <n v="1"/>
    <n v="1"/>
    <n v="1"/>
    <n v="1"/>
    <n v="0.75"/>
    <m/>
    <n v="0"/>
    <n v="0.72499999999999998"/>
    <n v="0.435"/>
    <n v="0.14499999999999999"/>
    <n v="0.14499999999999999"/>
    <n v="0.28999999999999998"/>
    <n v="0.43499999999999994"/>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umber of geodetic control points established"/>
    <n v="0"/>
    <m/>
    <m/>
    <m/>
    <m/>
    <m/>
    <s v="MLHUD"/>
    <e v="#N/A"/>
    <s v="Rehabilitate destroyed geodetic control points"/>
    <n v="1"/>
    <n v="0"/>
    <n v="0"/>
    <n v="1"/>
    <n v="1"/>
    <n v="0"/>
    <n v="1"/>
    <n v="1"/>
    <n v="0.625"/>
    <m/>
    <n v="0"/>
    <n v="0"/>
    <n v="1.45"/>
    <n v="1.45"/>
    <n v="1.45"/>
    <n v="1.45"/>
    <n v="2.9"/>
    <s v="MoLHUD"/>
    <s v="012 Ministry of Lands, Housing &amp; Urban Development"/>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 level of development of the NSDI regulation"/>
    <n v="0"/>
    <n v="0"/>
    <n v="40"/>
    <n v="60"/>
    <n v="100"/>
    <n v="100"/>
    <s v="NPA"/>
    <s v="108 National Planning Authority"/>
    <s v="Recruit and build capacity of the NSDI management team"/>
    <n v="1"/>
    <n v="0"/>
    <n v="0"/>
    <n v="1"/>
    <n v="1"/>
    <n v="1"/>
    <n v="1"/>
    <n v="1"/>
    <n v="0.75"/>
    <m/>
    <n v="0"/>
    <n v="0"/>
    <n v="1.1599999999999999"/>
    <n v="0.28999999999999998"/>
    <n v="0.28999999999999998"/>
    <n v="0.435"/>
    <n v="0.72499999999999998"/>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umber of GCPs rehabilitated"/>
    <n v="0"/>
    <n v="200"/>
    <n v="200"/>
    <n v="200"/>
    <n v="200"/>
    <n v="200"/>
    <s v="MLHUD"/>
    <e v="#N/A"/>
    <s v="Acquire required machinery and equipment for NSDI implementation."/>
    <n v="1"/>
    <n v="0"/>
    <n v="0"/>
    <n v="1"/>
    <n v="1"/>
    <n v="1"/>
    <n v="1"/>
    <n v="1"/>
    <n v="0.75"/>
    <m/>
    <n v="0"/>
    <n v="0"/>
    <n v="4.3499999999999996"/>
    <n v="1.1599999999999999"/>
    <n v="1.45"/>
    <n v="1.74"/>
    <n v="3.19"/>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o of MDAs using the NSDI system"/>
    <n v="0"/>
    <n v="40"/>
    <n v="55"/>
    <n v="70"/>
    <n v="90"/>
    <n v="120"/>
    <s v="NPA"/>
    <s v="108 National Planning Authority"/>
    <s v="Design, build, test and roll out a spatial data platform.                            "/>
    <n v="1"/>
    <n v="0"/>
    <n v="0"/>
    <n v="1"/>
    <n v="1"/>
    <n v="1"/>
    <n v="1"/>
    <n v="1"/>
    <n v="0.75"/>
    <m/>
    <n v="0"/>
    <n v="0.59449999999999992"/>
    <n v="6.2349999999999994"/>
    <n v="2.1749999999999998"/>
    <n v="2.61"/>
    <n v="4.4950000000000001"/>
    <n v="7.1050000000000004"/>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o. of LGs using NSDI system"/>
    <n v="0"/>
    <n v="0"/>
    <n v="30"/>
    <n v="50"/>
    <n v="80"/>
    <n v="100"/>
    <s v="NPA"/>
    <s v="108 National Planning Authority"/>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o. of MDAs with requisite NSDI infrastructure"/>
    <n v="0"/>
    <n v="40"/>
    <n v="55"/>
    <n v="70"/>
    <n v="85"/>
    <n v="100"/>
    <s v="NPA"/>
    <s v="108 National Planning Authority"/>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o. of LGs with requisite NSDI infrastructure"/>
    <n v="0"/>
    <n v="20"/>
    <n v="25"/>
    <n v="30"/>
    <n v="35"/>
    <n v="40"/>
    <s v="NPA"/>
    <s v="108 National Planning Authority"/>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s v="No. of MDAs and LGs trained in spatial data collection, manipulation and Usage"/>
    <n v="0"/>
    <n v="65"/>
    <n v="60"/>
    <n v="50"/>
    <n v="50"/>
    <n v="50"/>
    <s v="NPA"/>
    <s v="108 National Planning Authority"/>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b"/>
    <s v="Develop a platform to facilitate sharing of spatial data for Planning (Spatial Data infrastructure)"/>
    <s v="181101b01"/>
    <s v="Spatial data platform developed and operationalized"/>
    <m/>
    <m/>
    <m/>
    <m/>
    <m/>
    <m/>
    <m/>
    <m/>
    <e v="#N/A"/>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c"/>
    <s v="Integrate Migration, refugee planning, and all other cross cutting issues in national, Sectoral and Local Governments Plans."/>
    <s v="181101c01"/>
    <s v="Updated Development Planning guidelines with integrated Migration, Refugee and other Cross cutting issues in programmes, MDA, LG Plans for NDP IV."/>
    <s v="Updated Development Planning guidelines with integrated Migration, Refugee and other Cross cutting issues in programmes, MDA, LG Plans for NDP IV in Place."/>
    <n v="0"/>
    <n v="0"/>
    <n v="0"/>
    <n v="0"/>
    <n v="0"/>
    <n v="1"/>
    <s v="NPA"/>
    <s v="108 National Planning Authority"/>
    <s v="Review, Update and make Consultations with the Key stakeholders on the Development planning guidelines with migration, refugees and other cross cutting issues for NDP IV."/>
    <n v="0"/>
    <n v="0"/>
    <n v="0"/>
    <n v="1"/>
    <n v="1"/>
    <n v="0"/>
    <n v="1"/>
    <n v="1"/>
    <n v="0.5"/>
    <m/>
    <n v="0"/>
    <n v="0"/>
    <n v="0"/>
    <n v="0.72499999999999998"/>
    <n v="0"/>
    <n v="0"/>
    <n v="0"/>
    <s v="NPA"/>
    <s v="108 National Planning Authority"/>
    <m/>
  </r>
  <r>
    <x v="13"/>
    <x v="13"/>
    <s v="181"/>
    <s v="Development Planning, Research, Evaluation and Statistics"/>
    <s v="1811"/>
    <s v="Strengthen capacity for development planning"/>
    <s v="181101"/>
    <s v="Strengthen capacity for development planning, particularly at the MDAs and local governments"/>
    <s v="181101d"/>
    <s v=" Build sustainable capacity in government agencies to undertake Economic Policy Analysis with the aim of improving household incomes"/>
    <s v="181101d01"/>
    <s v="Training provided to government economists on  economic policy analysis "/>
    <s v="No. of trainings conducted"/>
    <n v="0"/>
    <n v="4"/>
    <n v="4"/>
    <n v="4"/>
    <n v="4"/>
    <n v="4"/>
    <s v="MoFPED"/>
    <s v="008 Ministry of Finance, Planning &amp; Economic Dev."/>
    <s v="Build capacity of the Economist and Statistics cadre to undertake economic monitoring and surveillance "/>
    <n v="1"/>
    <n v="1"/>
    <n v="0"/>
    <n v="1"/>
    <n v="1"/>
    <n v="0"/>
    <n v="1"/>
    <n v="1"/>
    <n v="0.75"/>
    <m/>
    <n v="0"/>
    <n v="0"/>
    <n v="1.595"/>
    <n v="1.595"/>
    <n v="1.595"/>
    <n v="1.595"/>
    <n v="3.19"/>
    <s v="MoFPED"/>
    <s v="008 Ministry of Finance, Planning &amp; Economic Dev."/>
    <m/>
  </r>
  <r>
    <x v="13"/>
    <x v="13"/>
    <s v="181"/>
    <s v="Development Planning, Research, Evaluation and Statistics"/>
    <s v="1811"/>
    <s v="Strengthen capacity for development planning"/>
    <s v="181101"/>
    <s v="Strengthen capacity for development planning, particularly at the MDAs and local governments"/>
    <s v="181101d"/>
    <s v=" Build sustainable capacity in government agencies to undertake Economic Policy Analysis with the aim of improving household incomes"/>
    <s v="181101d02"/>
    <s v="Capacity built to undertake economic monitoring and surveillance"/>
    <s v="Number of Economists trained in economic surveillance"/>
    <n v="0"/>
    <n v="15"/>
    <n v="15"/>
    <n v="15"/>
    <n v="15"/>
    <n v="15"/>
    <s v="MoFPED"/>
    <s v="008 Ministry of Finance, Planning &amp; Economic Dev."/>
    <m/>
    <m/>
    <m/>
    <m/>
    <m/>
    <m/>
    <m/>
    <n v="0"/>
    <n v="0"/>
    <n v="0"/>
    <m/>
    <n v="0"/>
    <m/>
    <m/>
    <m/>
    <m/>
    <m/>
    <n v="0"/>
    <m/>
    <m/>
    <m/>
  </r>
  <r>
    <x v="13"/>
    <x v="13"/>
    <s v="181"/>
    <s v="Development Planning, Research, Evaluation and Statistics"/>
    <s v="1811"/>
    <s v="Strengthen capacity for development planning"/>
    <s v="181101"/>
    <s v="Strengthen capacity for development planning, particularly at the MDAs and local governments"/>
    <s v="181101e"/>
    <s v="Global engagements for development planning"/>
    <s v="181101e01"/>
    <s v="East African Monetary Union effectively implemented"/>
    <s v="Medium term convergence program in place by 2024/25"/>
    <n v="0"/>
    <n v="0"/>
    <n v="0"/>
    <n v="0"/>
    <n v="0"/>
    <n v="1"/>
    <s v="MoFPED"/>
    <s v="008 Ministry of Finance, Planning &amp; Economic Dev."/>
    <s v="Produce the medium term convergence programme"/>
    <n v="1"/>
    <n v="1"/>
    <n v="0"/>
    <n v="1"/>
    <n v="1"/>
    <n v="1"/>
    <n v="0"/>
    <n v="1"/>
    <n v="0.75"/>
    <m/>
    <n v="0"/>
    <n v="1.0149999999999999"/>
    <n v="1.0149999999999999"/>
    <n v="1.0149999999999999"/>
    <n v="1.0149999999999999"/>
    <n v="1.0149999999999999"/>
    <n v="2.0299999999999998"/>
    <s v="MoFPED"/>
    <s v="008 Ministry of Finance, Planning &amp; Economic Dev."/>
    <m/>
  </r>
  <r>
    <x v="13"/>
    <x v="13"/>
    <s v="181"/>
    <s v="Development Planning, Research, Evaluation and Statistics"/>
    <s v="1811"/>
    <s v="Strengthen capacity for development planning"/>
    <s v="181101"/>
    <s v="Strengthen capacity for development planning, particularly at the MDAs and local governments"/>
    <s v="181101e"/>
    <s v="Global engagements for development planning"/>
    <s v="181101e02"/>
    <s v="Global engagements and commitments under African Peer Review Mechanism, Agenda 2063; ….etc followed up, reviewed and implemented. "/>
    <s v="Proportion of Global engagements and commitments under African Peer Review Mechanism, Agenda 2063; ….etc followed up, reviewed and implemented. "/>
    <n v="0"/>
    <n v="30"/>
    <n v="50"/>
    <n v="60"/>
    <n v="70"/>
    <n v="80"/>
    <s v="MoFPED"/>
    <s v="008 Ministry of Finance, Planning &amp; Economic Dev."/>
    <s v="Formulation and Implementation of the EAC Investment Policy; Follow-up and review of the African Peer Review Mechanism; Agenda 2063; Agenda 2030"/>
    <n v="1"/>
    <n v="1"/>
    <n v="0"/>
    <n v="1"/>
    <n v="1"/>
    <n v="0"/>
    <n v="1"/>
    <n v="1"/>
    <n v="0.75"/>
    <m/>
    <n v="0"/>
    <n v="0.10150000000000001"/>
    <n v="0.10150000000000001"/>
    <n v="0.10150000000000001"/>
    <n v="0.10150000000000001"/>
    <n v="0.4"/>
    <n v="0.50150000000000006"/>
    <s v="MoFPED"/>
    <s v="008 Ministry of Finance, Planning &amp; Economic Dev."/>
    <m/>
  </r>
  <r>
    <x v="13"/>
    <x v="13"/>
    <s v="181"/>
    <s v="Development Planning, Research, Evaluation and Statistics"/>
    <s v="1811"/>
    <s v="Strengthen capacity for development planning"/>
    <s v="181101"/>
    <s v="Strengthen capacity for development planning, particularly at the MDAs and local governments"/>
    <s v="181101e"/>
    <s v="Global engagements for development planning"/>
    <s v="181101e03"/>
    <s v="Aligned plans to the global agenda i.e. SDGs, Agenda 2063, APRM, EAC"/>
    <s v="Proportion of Plans aligned to Global agenda"/>
    <n v="0"/>
    <n v="70"/>
    <n v="85"/>
    <n v="90"/>
    <n v="95"/>
    <n v="100"/>
    <s v="NPA"/>
    <s v="108 National Planning Authority"/>
    <s v="Coordinate and participate in global undertakings for development planning such as APRM, EAC etc "/>
    <n v="1"/>
    <n v="1"/>
    <n v="0"/>
    <n v="1"/>
    <n v="1"/>
    <n v="0"/>
    <n v="1"/>
    <n v="1"/>
    <n v="0.75"/>
    <m/>
    <n v="0"/>
    <n v="5.8"/>
    <n v="5.8"/>
    <n v="5.8"/>
    <n v="5.8"/>
    <n v="5.8"/>
    <n v="11.6"/>
    <s v="NPA"/>
    <s v="108 National Planning Authority"/>
    <m/>
  </r>
  <r>
    <x v="13"/>
    <x v="13"/>
    <s v="181"/>
    <s v="Development Planning, Research, Evaluation and Statistics"/>
    <s v="1811"/>
    <s v="Strengthen capacity for development planning"/>
    <s v="181102"/>
    <s v=" Strengthen the planning and development function at the Parish level to bring delivery of services closer to the people"/>
    <s v="181102a"/>
    <s v="Strengthen the planning and development function at the Parish level to bring delivery of services closer to the people"/>
    <s v="181102a01"/>
    <s v="Functional Service delivery structure at parish level"/>
    <s v="Proportion of parishes with Functional Service delivery structures"/>
    <n v="0"/>
    <n v="25"/>
    <n v="50"/>
    <n v="75"/>
    <n v="100"/>
    <n v="100"/>
    <s v="MoLG (LGs)"/>
    <e v="#N/A"/>
    <s v="Equip and resource parishes to operationalize service delivery structures."/>
    <n v="1"/>
    <n v="1"/>
    <n v="1"/>
    <n v="1"/>
    <n v="1"/>
    <n v="1"/>
    <n v="1"/>
    <n v="1"/>
    <n v="1"/>
    <m/>
    <n v="0"/>
    <n v="560"/>
    <n v="260"/>
    <n v="350"/>
    <n v="0"/>
    <n v="0"/>
    <n v="0"/>
    <s v="LGs"/>
    <s v="500 501-850 Local Governments"/>
    <s v="OWC"/>
  </r>
  <r>
    <x v="13"/>
    <x v="13"/>
    <s v="181"/>
    <s v="Development Planning, Research, Evaluation and Statistics"/>
    <s v="1811"/>
    <s v="Strengthen capacity for development planning"/>
    <s v="181103"/>
    <s v="Strengthen human resource planning to inform skills projections and delivery of national human resource capacity to support expansion of the economy;"/>
    <s v="181103a"/>
    <s v="Strengthen human resource planning to inform skills projections and delivery of national human resource capacity to support expansion of the economy;"/>
    <s v="181103a01"/>
    <s v="National Human Resource Plan"/>
    <s v="National Human Resource Plan Developed and disseminated"/>
    <n v="0"/>
    <n v="0"/>
    <n v="1"/>
    <n v="0"/>
    <n v="0"/>
    <n v="0"/>
    <s v="NPA"/>
    <s v="108 National Planning Authority"/>
    <s v="Develop and disseminate the national human resource plan"/>
    <n v="1"/>
    <n v="1"/>
    <n v="1"/>
    <n v="1"/>
    <n v="1"/>
    <n v="0"/>
    <n v="1"/>
    <n v="1"/>
    <n v="0.875"/>
    <m/>
    <n v="0"/>
    <n v="1.45"/>
    <n v="0.72499999999999998"/>
    <n v="0"/>
    <n v="0.2"/>
    <n v="0.15"/>
    <n v="0.35"/>
    <s v="NPA"/>
    <s v="108 National Planning Authority"/>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
    <s v="Strengthen Public Investment Management across the entire government to be able to develop bankable projects on time"/>
    <s v="18110401"/>
    <s v="Functional Monitoring system for projects in place at all MDAs"/>
    <s v="Proportion of MDAs with functional monitoring system for Projects"/>
    <n v="0"/>
    <n v="50"/>
    <n v="60"/>
    <n v="75"/>
    <n v="80"/>
    <n v="100"/>
    <s v="MoFPED"/>
    <s v="008 Ministry of Finance, Planning &amp; Economic Dev."/>
    <m/>
    <m/>
    <m/>
    <m/>
    <m/>
    <m/>
    <m/>
    <n v="0"/>
    <n v="0"/>
    <n v="0"/>
    <m/>
    <n v="0"/>
    <m/>
    <m/>
    <m/>
    <m/>
    <m/>
    <n v="0"/>
    <m/>
    <m/>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1"/>
    <s v="Capacity built in contract management of large and complex projects"/>
    <s v="Proportion of MDAs trained in contract management of large and complex projects"/>
    <n v="0"/>
    <n v="20"/>
    <n v="40"/>
    <n v="60"/>
    <n v="80"/>
    <n v="100"/>
    <s v="PPDA"/>
    <s v="153 Public Procurement and Disposal of Public Assets Authority"/>
    <s v="Build the capacity of MDAs in contract management of large and complex projects"/>
    <n v="1"/>
    <n v="1"/>
    <n v="0"/>
    <n v="1"/>
    <n v="1"/>
    <n v="1"/>
    <n v="0"/>
    <n v="1"/>
    <n v="0.75"/>
    <m/>
    <n v="0"/>
    <n v="0.28999999999999998"/>
    <n v="0.36249999999999999"/>
    <n v="0.435"/>
    <n v="0.57999999999999996"/>
    <n v="0.59"/>
    <n v="1.17"/>
    <s v="PPDA"/>
    <s v="153 Public Procurement and Disposal of Public Assets Authority"/>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2"/>
    <s v="Capacity built in multi program planning and implementation of interventions along the  value chain"/>
    <s v="Percentage of Projects with Inter ministerial planning/implementing committees "/>
    <n v="50"/>
    <n v="60"/>
    <n v="70"/>
    <n v="80"/>
    <n v="90"/>
    <n v="100"/>
    <s v="MoFPED"/>
    <s v="008 Ministry of Finance, Planning &amp; Economic Dev."/>
    <s v="Form inter-ministerial technical committees for all Gov't projects"/>
    <n v="1"/>
    <n v="0"/>
    <n v="0"/>
    <n v="1"/>
    <n v="1"/>
    <n v="0"/>
    <n v="0"/>
    <n v="1"/>
    <n v="0.5"/>
    <m/>
    <n v="0"/>
    <n v="0"/>
    <n v="0.435"/>
    <n v="0.435"/>
    <n v="0"/>
    <n v="0"/>
    <n v="0"/>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2"/>
    <s v="Capacity built in multi program planning and implementation of interventions along the  value chain"/>
    <s v="Number of pre-feasibility and feasibility studies in priority NDP III projects/areas supported"/>
    <n v="0"/>
    <n v="0"/>
    <n v="10"/>
    <n v="10"/>
    <n v="0"/>
    <n v="0"/>
    <s v="NPA"/>
    <s v="108 National Planning Authority"/>
    <s v="Support the preparation of the pre-feasibility, feasibility and value chain studies in priority NDP III projects/areas"/>
    <n v="1"/>
    <n v="1"/>
    <n v="1"/>
    <n v="1"/>
    <n v="1"/>
    <n v="1"/>
    <n v="1"/>
    <n v="1"/>
    <n v="1"/>
    <m/>
    <n v="0"/>
    <n v="0.28999999999999998"/>
    <n v="1.45"/>
    <n v="1.45"/>
    <n v="5.18"/>
    <n v="5.45"/>
    <n v="10.629999999999999"/>
    <s v="NPA"/>
    <s v="108 National Planning Authority"/>
    <s v="OWC"/>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2"/>
    <s v="Capacity built in multi program planning and implementation of interventions along the  value chain"/>
    <m/>
    <m/>
    <m/>
    <m/>
    <m/>
    <m/>
    <m/>
    <m/>
    <e v="#N/A"/>
    <s v="Undertake the preparation of pre-feasibility and feasibility studies for programme level projects in all MDAs"/>
    <n v="1"/>
    <n v="1"/>
    <n v="0"/>
    <n v="1"/>
    <n v="1"/>
    <n v="1"/>
    <n v="1"/>
    <n v="1"/>
    <n v="0.875"/>
    <m/>
    <n v="0"/>
    <n v="49.679528222598677"/>
    <n v="49.679528222598677"/>
    <n v="49.679528222598677"/>
    <n v="0"/>
    <n v="0"/>
    <n v="0"/>
    <s v="All MDAs"/>
    <e v="#N/A"/>
    <s v="NPA, MFPED"/>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3"/>
    <s v="Policy on licensing and permit planning, implementation of infrastructure corridors and better manage compensation for large infrastructure"/>
    <s v="Policy on licensing and permit planning, implementation of infrastructure corridors and better manage compensation for large infrastructure"/>
    <n v="0"/>
    <n v="0"/>
    <n v="1"/>
    <n v="0"/>
    <n v="0"/>
    <n v="0"/>
    <s v="MoFPED"/>
    <s v="008 Ministry of Finance, Planning &amp; Economic Dev."/>
    <s v="Feasibility study for the PIM System in Uganda and develop a policy on licensing and permit planning, implementation of infrastructure corridors and better manage compensation for large infrastructure investments."/>
    <n v="1"/>
    <n v="1"/>
    <n v="0"/>
    <n v="1"/>
    <n v="0"/>
    <n v="1"/>
    <n v="0"/>
    <n v="1"/>
    <n v="0.625"/>
    <m/>
    <n v="1"/>
    <n v="0"/>
    <n v="1.2469999999999999"/>
    <n v="1.0149999999999999"/>
    <n v="0"/>
    <n v="0"/>
    <n v="0"/>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4"/>
    <s v="Automated Business Processes for PIMs"/>
    <s v="A functional PIM Management Information System in place"/>
    <n v="0"/>
    <n v="0"/>
    <n v="0"/>
    <n v="1"/>
    <n v="0"/>
    <n v="0"/>
    <s v="MoFPED"/>
    <s v="008 Ministry of Finance, Planning &amp; Economic Dev."/>
    <s v="Automation of business processes in a phased manner up to 5 PIM PEAs.  Re-Engineering (BPR) in at least five relevant authorities,"/>
    <n v="1"/>
    <n v="1"/>
    <n v="0"/>
    <n v="0"/>
    <n v="1"/>
    <n v="0"/>
    <n v="1"/>
    <n v="1"/>
    <n v="0.625"/>
    <m/>
    <n v="1"/>
    <n v="0"/>
    <n v="3.19"/>
    <n v="3.19"/>
    <n v="0"/>
    <n v="0"/>
    <n v="0"/>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5"/>
    <s v="Reviewed Public Private Partnership (PPP) Act"/>
    <s v="Revised Public Private Partnership (PPP) Act"/>
    <n v="1"/>
    <n v="0"/>
    <n v="0"/>
    <n v="1"/>
    <n v="0"/>
    <n v="0"/>
    <s v="MoFPED"/>
    <s v="008 Ministry of Finance, Planning &amp; Economic Dev."/>
    <s v="Undertake a review of the PPP act in order to harmonize the PIMS framework with the PPP legal &amp; regulatory framework."/>
    <n v="1"/>
    <n v="1"/>
    <n v="0"/>
    <n v="1"/>
    <n v="0"/>
    <n v="0"/>
    <n v="1"/>
    <n v="1"/>
    <n v="0.625"/>
    <m/>
    <n v="0"/>
    <n v="0"/>
    <n v="0.435"/>
    <n v="0.14499999999999999"/>
    <n v="0.3"/>
    <n v="0"/>
    <n v="0.3"/>
    <s v="MoFPED"/>
    <s v="008 Ministry of Finance, Planning &amp; Economic Dev."/>
    <s v="OWC"/>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6"/>
    <s v="Thematic leaders and experts for the project Unit Recruited."/>
    <s v=" Number of thematic leaders and experts recruited for the project staff."/>
    <n v="0"/>
    <n v="0"/>
    <n v="12"/>
    <n v="0"/>
    <n v="12"/>
    <n v="12"/>
    <s v="OPM"/>
    <s v="003 Office of the Prime Minister"/>
    <s v="Recruit and equip staff(4 thematic leaders, 8 experts)."/>
    <n v="1"/>
    <n v="0"/>
    <n v="0"/>
    <n v="1"/>
    <n v="1"/>
    <n v="0"/>
    <n v="0"/>
    <n v="1"/>
    <n v="0.5"/>
    <m/>
    <n v="0"/>
    <n v="0"/>
    <n v="2.1604999999999999"/>
    <n v="2.1604999999999999"/>
    <n v="4.16"/>
    <n v="4.16"/>
    <n v="8.32"/>
    <s v="OPM"/>
    <s v="003 Office of the Prime Minister"/>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a"/>
    <s v="Strengthen capacity for implementation/ multi-Program planning (identify, design, appraise and execute projects and programmes that cut across MDAs and take advantage of synergies across Programs) along the implementation chain."/>
    <s v="181104a07"/>
    <s v="IT systems for the project Unit procured and installed"/>
    <s v="Number of units of IT systems procured and installed for the Project Unit."/>
    <n v="0"/>
    <n v="0"/>
    <n v="15"/>
    <n v="0"/>
    <n v="0"/>
    <n v="0"/>
    <s v="OPM"/>
    <s v="003 Office of the Prime Minister"/>
    <m/>
    <m/>
    <m/>
    <m/>
    <m/>
    <m/>
    <m/>
    <n v="0"/>
    <n v="0"/>
    <n v="0"/>
    <m/>
    <n v="0"/>
    <m/>
    <m/>
    <m/>
    <m/>
    <m/>
    <n v="0"/>
    <m/>
    <m/>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b"/>
    <s v="Review the Development Committee guidelines in view of the emerging developments in PIMs to include gender and equity and green growth principles, among others"/>
    <s v="181104b01"/>
    <s v="Development Committee Guidelines reviewed and updated to include gender equity, green growth principles and other emerging issues."/>
    <s v="Reviewed and updated Development Committee guidelines in place by 2021."/>
    <n v="0"/>
    <n v="0"/>
    <n v="1"/>
    <n v="0"/>
    <n v="0"/>
    <n v="0"/>
    <s v="MoFPED"/>
    <s v="008 Ministry of Finance, Planning &amp; Economic Dev."/>
    <s v="Review, update Development Committee guidelines and Build capacity of DC members in green growth responsive project designs"/>
    <n v="1"/>
    <n v="0"/>
    <n v="0"/>
    <n v="1"/>
    <n v="1"/>
    <n v="0"/>
    <n v="1"/>
    <n v="1"/>
    <n v="0.625"/>
    <m/>
    <n v="0"/>
    <n v="0.2175"/>
    <n v="0.2175"/>
    <n v="0"/>
    <n v="0.22"/>
    <n v="0"/>
    <n v="0.22"/>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c"/>
    <s v="Strengthen the capacity of the Development Committee and MDA project units to support the PIMs process"/>
    <s v="181104c01"/>
    <s v="Bankable projects prepared  by MDAs"/>
    <s v="Number of bankable projects"/>
    <n v="0"/>
    <n v="270"/>
    <n v="280"/>
    <n v="290"/>
    <n v="300"/>
    <n v="310"/>
    <s v="MoFPED"/>
    <s v="008 Ministry of Finance, Planning &amp; Economic Dev."/>
    <s v="Train, resource and equip Development Committee and MDA Project Units"/>
    <n v="1"/>
    <n v="0"/>
    <n v="0"/>
    <n v="1"/>
    <n v="1"/>
    <n v="0"/>
    <n v="1"/>
    <n v="1"/>
    <n v="0.625"/>
    <m/>
    <n v="0"/>
    <n v="0.2175"/>
    <n v="0.2175"/>
    <n v="0.2175"/>
    <n v="0.2175"/>
    <n v="0.2175"/>
    <n v="0.435"/>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d"/>
    <s v="Undertake real time monitoring of project and budget spending across all MDAs through the Integrated bank of projects"/>
    <s v="181104d01"/>
    <s v="Upgraded and functional IBP to allow performance reporting for both MDAs and LGs."/>
    <s v="An Upgraded and functional IBP in Place."/>
    <n v="0"/>
    <n v="1"/>
    <n v="1"/>
    <n v="1"/>
    <n v="1"/>
    <n v="1"/>
    <s v="MoFPED"/>
    <s v="008 Ministry of Finance, Planning &amp; Economic Dev."/>
    <s v="Implement the IBP II including training and change management for proper monitoring of project implementation"/>
    <n v="1"/>
    <n v="0"/>
    <n v="0"/>
    <n v="1"/>
    <n v="1"/>
    <n v="0"/>
    <n v="1"/>
    <n v="1"/>
    <n v="0.625"/>
    <m/>
    <n v="0"/>
    <n v="0"/>
    <n v="2.9"/>
    <n v="2.1749999999999998"/>
    <n v="0.45"/>
    <n v="0.45"/>
    <n v="0.9"/>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d"/>
    <s v="Undertake real time monitoring of project and budget spending across all MDAs through the Integrated bank of projects"/>
    <s v="181104d02"/>
    <s v="Quarterly spot check field visits conducted in  PMDU  districts"/>
    <s v="Number of quarterly spot check field visits in 40 PMDU districts "/>
    <s v="(blank)"/>
    <n v="4"/>
    <n v="4"/>
    <n v="4"/>
    <n v="4"/>
    <n v="4"/>
    <s v="OPM"/>
    <s v="003 Office of the Prime Minister"/>
    <s v="Conduct quarterly spot checks field visits &amp; joint quarterly supportive supervision for projects"/>
    <n v="1"/>
    <n v="1"/>
    <n v="0"/>
    <n v="1"/>
    <n v="1"/>
    <n v="0"/>
    <n v="1"/>
    <n v="1"/>
    <n v="0.75"/>
    <m/>
    <n v="0"/>
    <n v="0.28999999999999998"/>
    <n v="0.36249999999999999"/>
    <n v="0.435"/>
    <n v="7.5"/>
    <n v="7.5"/>
    <n v="15"/>
    <s v="OPM"/>
    <s v="003 Office of the Prime Minister"/>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d"/>
    <s v="Undertake real time monitoring of project and budget spending across all MDAs through the Integrated bank of projects"/>
    <s v="181104d02"/>
    <s v="Quarterly spot check field visits conducted in  PMDU  districts"/>
    <m/>
    <m/>
    <m/>
    <m/>
    <m/>
    <m/>
    <m/>
    <s v="OPM"/>
    <s v="003 Office of the Prime Minister"/>
    <s v="Monitor implementation and reporting for all government projects and programmes"/>
    <n v="1"/>
    <n v="1"/>
    <n v="0"/>
    <n v="1"/>
    <n v="1"/>
    <n v="0"/>
    <n v="1"/>
    <n v="1"/>
    <n v="0.75"/>
    <m/>
    <n v="0"/>
    <n v="145"/>
    <n v="145"/>
    <n v="100"/>
    <n v="10"/>
    <n v="10"/>
    <n v="20"/>
    <s v="OPM"/>
    <s v="003 Office of the Prime Minister"/>
    <s v="All MDAs"/>
  </r>
  <r>
    <x v="13"/>
    <x v="13"/>
    <s v="181"/>
    <s v="Development Planning, Research, Evaluation and Statistics"/>
    <s v="1811"/>
    <s v="Strengthen capacity for development planning"/>
    <s v="181104"/>
    <s v="Strengthen Public Investment Management across the entire government to be able to develop bankable projects on time"/>
    <s v="181104d"/>
    <s v="Undertake real time monitoring of project and budget spending across all MDAs through the Integrated bank of projects"/>
    <s v="181104d03"/>
    <s v="Joint quarterly supportive supervision field visits conducted "/>
    <s v="Number of Joint quarterly supportive supervision field conducted "/>
    <s v="(blank)"/>
    <n v="4"/>
    <n v="4"/>
    <n v="4"/>
    <n v="4"/>
    <n v="4"/>
    <s v="OPM"/>
    <s v="003 Office of the Prime Minister"/>
    <s v="Coordinate implementation of government programmes"/>
    <n v="1"/>
    <n v="1"/>
    <n v="0"/>
    <n v="1"/>
    <n v="1"/>
    <n v="0"/>
    <n v="1"/>
    <n v="1"/>
    <n v="0.75"/>
    <m/>
    <n v="0"/>
    <n v="34.799999999999997"/>
    <n v="34.799999999999997"/>
    <n v="34.799999999999997"/>
    <n v="20"/>
    <n v="20.100000000000001"/>
    <n v="40.1"/>
    <s v="OPM"/>
    <s v="003 Office of the Prime Minister"/>
    <s v="NPA, MFPED"/>
  </r>
  <r>
    <x v="13"/>
    <x v="13"/>
    <s v="181"/>
    <s v="Development Planning, Research, Evaluation and Statistics"/>
    <s v="1811"/>
    <s v="Strengthen capacity for development planning"/>
    <s v="181104"/>
    <s v="Strengthen Public Investment Management across the entire government to be able to develop bankable projects on time"/>
    <s v="181104d"/>
    <s v="Undertake real time monitoring of project and budget spending across all MDAs through the Integrated bank of projects"/>
    <s v="181104d04"/>
    <s v="Government flagship projects  Fast tracked"/>
    <s v="Number of flagship projects fast-tracked D81"/>
    <s v="(blank)"/>
    <n v="12"/>
    <n v="12"/>
    <n v="12"/>
    <n v="12"/>
    <n v="12"/>
    <s v="OPM"/>
    <s v="003 Office of the Prime Minister"/>
    <s v="Develop programme specific delivery plans. Establish delivery plan implementation roadmaps, conduct specific project real time assessment  "/>
    <n v="0"/>
    <n v="0"/>
    <n v="0"/>
    <n v="1"/>
    <n v="1"/>
    <n v="0"/>
    <n v="1"/>
    <n v="1"/>
    <n v="0.5"/>
    <m/>
    <n v="0"/>
    <n v="1.45"/>
    <n v="1.45"/>
    <n v="1.4789999999999999"/>
    <n v="5.8"/>
    <n v="5.8"/>
    <n v="11.6"/>
    <s v="OPM"/>
    <s v="003 Office of the Prime Minister"/>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e"/>
    <s v="Develop and implement a PIMs policy"/>
    <s v="181104e01"/>
    <s v="PIMs Policy developed and implemented"/>
    <s v="PIMs Policy developed and in place by 2021"/>
    <n v="0"/>
    <n v="0"/>
    <n v="1"/>
    <n v="0"/>
    <n v="0"/>
    <n v="0"/>
    <s v="MoFPED"/>
    <s v="008 Ministry of Finance, Planning &amp; Economic Dev."/>
    <s v="Develop  and implement the PIMs policy"/>
    <n v="1"/>
    <n v="1"/>
    <n v="0"/>
    <n v="1"/>
    <n v="1"/>
    <n v="0"/>
    <n v="1"/>
    <n v="1"/>
    <n v="0.75"/>
    <m/>
    <n v="0"/>
    <n v="0"/>
    <n v="0"/>
    <n v="0"/>
    <n v="0.72499999999999998"/>
    <n v="0"/>
    <n v="0.72499999999999998"/>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f"/>
    <s v="Operationalize the Project Preparation fund"/>
    <s v="181104f01"/>
    <s v="Programme Specific project preparation and appraisal manuals and guidelines"/>
    <s v="No of programmes with Specific project preparation and appraisal manuals/guidelines"/>
    <n v="0"/>
    <n v="0"/>
    <n v="3"/>
    <n v="8"/>
    <n v="14"/>
    <n v="18"/>
    <s v="MoFPED"/>
    <s v="008 Ministry of Finance, Planning &amp; Economic Dev."/>
    <s v="Develop and implement programme specific project preparation and appraisal manuals/guidelines"/>
    <n v="1"/>
    <n v="0"/>
    <n v="0"/>
    <n v="1"/>
    <n v="1"/>
    <n v="0"/>
    <n v="1"/>
    <n v="1"/>
    <n v="0.625"/>
    <m/>
    <n v="0"/>
    <n v="0"/>
    <n v="0.14499999999999999"/>
    <n v="0"/>
    <n v="0.25"/>
    <m/>
    <n v="0.25"/>
    <s v="MoFPED"/>
    <s v="008 Ministry of Finance, Planning &amp; Economic Dev."/>
    <m/>
  </r>
  <r>
    <x v="13"/>
    <x v="13"/>
    <s v="181"/>
    <s v="Development Planning, Research, Evaluation and Statistics"/>
    <s v="1811"/>
    <s v="Strengthen capacity for development planning"/>
    <s v="181104"/>
    <s v="Strengthen Public Investment Management across the entire government to be able to develop bankable projects on time"/>
    <s v="181104f"/>
    <s v="Operationalize the Project Preparation fund"/>
    <s v="181104f02"/>
    <s v="A functional Project preparation fund for both public and PPP projects."/>
    <s v="A functional Project preparation fund for public and PPP projects in place by 2022"/>
    <n v="0"/>
    <n v="0"/>
    <n v="1"/>
    <n v="1"/>
    <n v="1"/>
    <n v="1"/>
    <s v="MoFPED"/>
    <s v="008 Ministry of Finance, Planning &amp; Economic Dev."/>
    <s v="Establish and operationalize a project preparation fund"/>
    <n v="1"/>
    <n v="0"/>
    <n v="0"/>
    <n v="1"/>
    <n v="1"/>
    <n v="0"/>
    <n v="1"/>
    <n v="1"/>
    <n v="0.625"/>
    <m/>
    <n v="0"/>
    <n v="42.62"/>
    <n v="62.62"/>
    <n v="52.62"/>
    <n v="27"/>
    <n v="28"/>
    <n v="55"/>
    <s v="MoFPED"/>
    <s v="008 Ministry of Finance, Planning &amp; Economic Dev."/>
    <m/>
  </r>
  <r>
    <x v="13"/>
    <x v="13"/>
    <s v="182"/>
    <s v="Resource Mobilization and Budgeting "/>
    <s v="1822"/>
    <s v="Strengthen budgeting and resource mobilization"/>
    <s v="182201"/>
    <s v="Fast track the implementation of the integrated identification solution linking taxation and service delivery (e-citizen)"/>
    <m/>
    <m/>
    <s v="18220101"/>
    <s v="Integrated identification system developed"/>
    <s v="Functional Integrated identification system"/>
    <n v="0"/>
    <n v="0"/>
    <n v="0"/>
    <n v="0"/>
    <n v="1"/>
    <n v="1"/>
    <s v="NIRA"/>
    <s v="309 National Identification and Registration Authority (NIRA)"/>
    <s v="Develop the integrated identification system"/>
    <n v="1"/>
    <n v="0"/>
    <n v="0"/>
    <n v="1"/>
    <n v="1"/>
    <n v="1"/>
    <n v="1"/>
    <n v="1"/>
    <n v="0.75"/>
    <n v="1"/>
    <n v="0"/>
    <n v="0"/>
    <n v="1.45"/>
    <n v="0.72499999999999998"/>
    <n v="7"/>
    <n v="7"/>
    <n v="14"/>
    <s v="NIRA"/>
    <s v="309 National Identification and Registration Authority (NIRA)"/>
    <m/>
  </r>
  <r>
    <x v="13"/>
    <x v="13"/>
    <s v="182"/>
    <s v="Resource Mobilization and Budgeting "/>
    <s v="1822"/>
    <s v="Strengthen budgeting and resource mobilization"/>
    <s v="182201"/>
    <s v="Fast track the implementation of the integrated identification solution linking taxation and service delivery (e-citizen)"/>
    <m/>
    <m/>
    <s v="18220101"/>
    <s v="Integrated identification system developed"/>
    <m/>
    <m/>
    <m/>
    <m/>
    <m/>
    <m/>
    <m/>
    <m/>
    <e v="#N/A"/>
    <s v="Facilitate the development of an Integrated identification system "/>
    <n v="1"/>
    <n v="0"/>
    <n v="0"/>
    <n v="1"/>
    <n v="1"/>
    <n v="1"/>
    <n v="1"/>
    <n v="1"/>
    <n v="0.75"/>
    <m/>
    <n v="0"/>
    <n v="1.45"/>
    <n v="1.45"/>
    <n v="1.45"/>
    <n v="1.45"/>
    <n v="1.45"/>
    <n v="2.9"/>
    <s v="URA"/>
    <s v="141 Uganda Revenue Authority"/>
    <s v="Coordinate with NIRA &amp; MLHUD, URSB "/>
  </r>
  <r>
    <x v="13"/>
    <x v="13"/>
    <s v="182"/>
    <s v="Resource Mobilization and Budgeting "/>
    <s v="1822"/>
    <s v="Strengthen budgeting and resource mobilization"/>
    <s v="182201"/>
    <s v="Fast track the implementation of the integrated identification solution linking taxation and service delivery (e-citizen)"/>
    <m/>
    <m/>
    <s v="18220102"/>
    <s v="Integrated government tax system"/>
    <s v="Integrated government tax system in place "/>
    <n v="0"/>
    <n v="0"/>
    <n v="1"/>
    <n v="0"/>
    <n v="0"/>
    <n v="0"/>
    <s v="URA"/>
    <s v="141 Uganda Revenue Authority"/>
    <s v="Develop the integrated Government tax system"/>
    <n v="1"/>
    <n v="1"/>
    <n v="0"/>
    <n v="1"/>
    <n v="1"/>
    <n v="1"/>
    <n v="0"/>
    <n v="1"/>
    <n v="0.75"/>
    <m/>
    <n v="0"/>
    <n v="0"/>
    <n v="5.22"/>
    <n v="0"/>
    <n v="0"/>
    <n v="0"/>
    <n v="0"/>
    <s v="URA"/>
    <s v="141 Uganda Revenue Authority"/>
    <s v="NIRA"/>
  </r>
  <r>
    <x v="13"/>
    <x v="13"/>
    <s v="182"/>
    <s v="Resource Mobilization and Budgeting "/>
    <s v="1822"/>
    <s v="Strengthen budgeting and resource mobilization"/>
    <s v="182201"/>
    <s v="Fast track the implementation of the integrated identification solution linking taxation and service delivery (e-citizen)"/>
    <m/>
    <m/>
    <s v="18220103"/>
    <s v="Tax Payer engagements and consultations with private sector associations undertaken for improved compliance"/>
    <s v="No of tax payer engagements undertaken "/>
    <n v="0"/>
    <n v="7"/>
    <n v="7"/>
    <n v="7"/>
    <n v="7"/>
    <n v="7"/>
    <s v="URA"/>
    <s v="141 Uganda Revenue Authority"/>
    <s v="Conduct the Tax Payers engagements"/>
    <n v="1"/>
    <n v="1"/>
    <n v="0"/>
    <n v="1"/>
    <n v="1"/>
    <n v="0"/>
    <n v="0"/>
    <n v="1"/>
    <n v="0.625"/>
    <m/>
    <n v="0"/>
    <n v="2.9"/>
    <n v="2.9"/>
    <n v="2.9"/>
    <n v="2.9"/>
    <n v="2.9"/>
    <n v="5.8"/>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Tax Payer education strategy"/>
    <n v="0"/>
    <n v="0"/>
    <n v="1"/>
    <n v="0"/>
    <n v="0"/>
    <n v="0"/>
    <s v="URA"/>
    <s v="141 Uganda Revenue Authority"/>
    <s v="Develop Taxpayer education strategy"/>
    <m/>
    <m/>
    <m/>
    <m/>
    <m/>
    <m/>
    <n v="0"/>
    <n v="0"/>
    <n v="0"/>
    <m/>
    <n v="0"/>
    <n v="0.54"/>
    <n v="0.28999999999999998"/>
    <n v="0.15"/>
    <n v="0"/>
    <n v="0"/>
    <n v="0"/>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Functional Data Analysis function/unit within URA"/>
    <n v="0"/>
    <n v="1"/>
    <n v="0"/>
    <n v="0"/>
    <n v="0"/>
    <n v="0"/>
    <s v="URA"/>
    <s v="141 Uganda Revenue Authority"/>
    <s v="Establish the Data Analysis function/unit within URA"/>
    <m/>
    <m/>
    <m/>
    <m/>
    <m/>
    <m/>
    <n v="0"/>
    <n v="0"/>
    <n v="0"/>
    <m/>
    <n v="0"/>
    <n v="0.52"/>
    <n v="0.57999999999999996"/>
    <n v="0.42"/>
    <n v="0"/>
    <n v="0"/>
    <n v="0"/>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Risk management strategy disseminated"/>
    <n v="0"/>
    <n v="0"/>
    <n v="0"/>
    <n v="1"/>
    <n v="0"/>
    <n v="0"/>
    <s v="URA"/>
    <s v="141 Uganda Revenue Authority"/>
    <s v="Develop a risk management policy and operational framework"/>
    <m/>
    <m/>
    <m/>
    <m/>
    <m/>
    <m/>
    <n v="0"/>
    <n v="0"/>
    <n v="0"/>
    <m/>
    <n v="0"/>
    <n v="0.25"/>
    <n v="0.28999999999999998"/>
    <n v="0"/>
    <n v="0"/>
    <n v="0"/>
    <n v="0"/>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Assessment report on cost benefit analysis on possibility of outsourcing some compliance"/>
    <n v="0"/>
    <n v="0"/>
    <n v="1"/>
    <n v="0"/>
    <n v="0"/>
    <n v="0"/>
    <s v="URA"/>
    <s v="141 Uganda Revenue Authority"/>
    <s v="Conduct an assessment of cost benefit analysis on possibility of outsourcing some compliance e.g. educating of and providing support to the informal sector etc."/>
    <n v="0"/>
    <n v="0"/>
    <n v="0"/>
    <n v="1"/>
    <n v="1"/>
    <n v="0"/>
    <n v="0"/>
    <n v="1"/>
    <n v="0.375"/>
    <m/>
    <n v="0"/>
    <n v="0.52"/>
    <n v="0"/>
    <n v="0"/>
    <n v="0"/>
    <n v="0"/>
    <n v="0"/>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Timely assessment report on efficacy and integration of IT systems"/>
    <n v="0"/>
    <n v="0"/>
    <n v="1"/>
    <n v="0"/>
    <n v="0"/>
    <n v="0"/>
    <s v="URA"/>
    <s v="141 Uganda Revenue Authority"/>
    <s v="A study to assess efficacy and integration of IT systems for tax administration &amp; Action plan"/>
    <n v="0"/>
    <n v="0"/>
    <n v="0"/>
    <n v="1"/>
    <n v="1"/>
    <n v="0"/>
    <n v="0"/>
    <n v="1"/>
    <n v="0.375"/>
    <m/>
    <n v="0"/>
    <n v="0.49"/>
    <n v="0"/>
    <n v="0"/>
    <n v="0"/>
    <n v="0"/>
    <n v="0"/>
    <s v="URA"/>
    <s v="141 Uganda Revenue Authority"/>
    <m/>
  </r>
  <r>
    <x v="13"/>
    <x v="13"/>
    <s v="182"/>
    <s v="Resource Mobilization and Budgeting "/>
    <s v="1822"/>
    <s v="Strengthen budgeting and resource mobilization"/>
    <s v="182201"/>
    <s v="Fast track the implementation of the integrated identification solution linking taxation and service delivery (e-citizen)"/>
    <m/>
    <m/>
    <s v="18220104"/>
    <s v="Tax compliance improved through increased efficiency in revenue administration"/>
    <s v="No of integrity promotional campaigns conducted"/>
    <n v="0"/>
    <n v="0"/>
    <n v="2"/>
    <n v="2"/>
    <n v="0"/>
    <n v="0"/>
    <s v="URA"/>
    <s v="141 Uganda Revenue Authority"/>
    <s v="Implement a promotion of integrity campaign (ant-corruption) based on tax payer consultation feedback"/>
    <n v="1"/>
    <n v="1"/>
    <n v="0"/>
    <n v="1"/>
    <n v="1"/>
    <n v="0"/>
    <n v="0"/>
    <n v="1"/>
    <n v="0.625"/>
    <m/>
    <n v="0"/>
    <n v="0.15"/>
    <n v="0.15"/>
    <n v="0.15"/>
    <n v="0"/>
    <n v="0"/>
    <n v="0"/>
    <s v="URA"/>
    <s v="141 Uganda Revenue Authority"/>
    <m/>
  </r>
  <r>
    <x v="13"/>
    <x v="13"/>
    <s v="182"/>
    <s v="Resource Mobilization and Budgeting "/>
    <s v="1822"/>
    <s v="Strengthen budgeting and resource mobilization"/>
    <s v="182202"/>
    <s v="Amend and develop relevant legal frameworks to facilitate resource mobilization and budget execution."/>
    <m/>
    <m/>
    <s v="18220201"/>
    <s v="Resource mobilization and Budget execution legal framework developed and amended"/>
    <s v="No.  of legal frameworks amended"/>
    <n v="0"/>
    <n v="5"/>
    <n v="5"/>
    <n v="5"/>
    <n v="5"/>
    <n v="5"/>
    <s v="MoFPED"/>
    <s v="008 Ministry of Finance, Planning &amp; Economic Dev."/>
    <s v="Review and Amend/develop the different legal frameworks to facilitate effective and efficient Resource Mobilization and Budget execution."/>
    <n v="1"/>
    <n v="1"/>
    <n v="1"/>
    <n v="1"/>
    <n v="1"/>
    <n v="1"/>
    <n v="1"/>
    <n v="1"/>
    <n v="1"/>
    <m/>
    <n v="0"/>
    <n v="1.45"/>
    <n v="2.4649999999999999"/>
    <n v="2.4649999999999999"/>
    <n v="2.4649999999999999"/>
    <n v="2.3199999999999998"/>
    <n v="4.7850000000000001"/>
    <s v="MoFPED"/>
    <s v="008 Ministry of Finance, Planning &amp; Economic Dev."/>
    <m/>
  </r>
  <r>
    <x v="13"/>
    <x v="13"/>
    <s v="182"/>
    <s v="Resource Mobilization and Budgeting "/>
    <s v="1822"/>
    <s v="Strengthen budgeting and resource mobilization"/>
    <s v="182202"/>
    <s v="Amend and develop relevant legal frameworks to facilitate resource mobilization and budget execution."/>
    <m/>
    <m/>
    <s v="18220201"/>
    <s v="Resource mobilization and Budget execution legal framework developed and amended"/>
    <s v="Charter for Fiscal Responsibility in place"/>
    <n v="0"/>
    <n v="1"/>
    <n v="1"/>
    <n v="1"/>
    <n v="1"/>
    <n v="1"/>
    <s v="MoFPED"/>
    <s v="008 Ministry of Finance, Planning &amp; Economic Dev."/>
    <s v="Implement Domestic Revenue Mobilization Strategy (DRMS)"/>
    <n v="1"/>
    <n v="1"/>
    <n v="1"/>
    <n v="1"/>
    <n v="1"/>
    <n v="1"/>
    <n v="1"/>
    <n v="1"/>
    <n v="1"/>
    <m/>
    <n v="0"/>
    <n v="2.1800000000000002"/>
    <n v="4.3499999999999996"/>
    <n v="4.3499999999999996"/>
    <n v="4.3499999999999996"/>
    <n v="4.3499999999999996"/>
    <n v="8.6999999999999993"/>
    <s v="MoFPED"/>
    <s v="008 Ministry of Finance, Planning &amp; Economic Dev."/>
    <m/>
  </r>
  <r>
    <x v="13"/>
    <x v="13"/>
    <s v="182"/>
    <s v="Resource Mobilization and Budgeting "/>
    <s v="1822"/>
    <s v="Strengthen budgeting and resource mobilization"/>
    <s v="182202"/>
    <s v="Amend and develop relevant legal frameworks to facilitate resource mobilization and budget execution."/>
    <m/>
    <m/>
    <s v="18220201"/>
    <s v="Resource mobilization and Budget execution legal framework developed and amended"/>
    <s v="Guidelines for the issuance of Certificates of Financial Implications  in Place."/>
    <n v="0"/>
    <n v="1"/>
    <n v="1"/>
    <n v="1"/>
    <n v="1"/>
    <n v="1"/>
    <s v="MoFPED"/>
    <s v="008 Ministry of Finance, Planning &amp; Economic Dev."/>
    <m/>
    <m/>
    <m/>
    <m/>
    <m/>
    <m/>
    <m/>
    <n v="0"/>
    <n v="0"/>
    <n v="0"/>
    <m/>
    <n v="0"/>
    <m/>
    <m/>
    <m/>
    <m/>
    <m/>
    <n v="0"/>
    <m/>
    <m/>
    <m/>
  </r>
  <r>
    <x v="13"/>
    <x v="13"/>
    <s v="182"/>
    <s v="Resource Mobilization and Budgeting "/>
    <s v="1822"/>
    <s v="Strengthen budgeting and resource mobilization"/>
    <s v="182202"/>
    <s v="Amend and develop relevant legal frameworks to facilitate resource mobilization and budget execution."/>
    <m/>
    <m/>
    <s v="18220201"/>
    <s v="Resource mobilization and Budget execution legal framework developed and amended"/>
    <s v="Cash management policy in place"/>
    <n v="0"/>
    <n v="0"/>
    <n v="1"/>
    <n v="0"/>
    <n v="0"/>
    <n v="0"/>
    <s v="MoFPED"/>
    <s v="008 Ministry of Finance, Planning &amp; Economic Dev."/>
    <s v="Develop a Cash ,management legal framework "/>
    <n v="1"/>
    <n v="1"/>
    <n v="0"/>
    <n v="1"/>
    <n v="1"/>
    <n v="1"/>
    <n v="1"/>
    <n v="1"/>
    <n v="0.875"/>
    <m/>
    <n v="0"/>
    <n v="0"/>
    <n v="0.28999999999999998"/>
    <n v="0"/>
    <n v="0.3"/>
    <n v="0.2"/>
    <n v="0.5"/>
    <s v="MoFPED"/>
    <s v="008 Ministry of Finance, Planning &amp; Economic Dev."/>
    <m/>
  </r>
  <r>
    <x v="13"/>
    <x v="13"/>
    <s v="182"/>
    <s v="Resource Mobilization and Budgeting "/>
    <s v="1822"/>
    <s v="Strengthen budgeting and resource mobilization"/>
    <s v="182202"/>
    <s v="Amend and develop relevant legal frameworks to facilitate resource mobilization and budget execution."/>
    <m/>
    <m/>
    <s v="18220202"/>
    <s v="KCCA relevant revenue laws and regulations are reviewed and amended."/>
    <s v="No. of Revenue enhancement Policies/ laws reviewed and approved."/>
    <n v="5"/>
    <n v="2"/>
    <n v="3"/>
    <n v="3"/>
    <n v="1"/>
    <n v="1"/>
    <s v="KCCA"/>
    <s v="122 Kampala Capital City Authority"/>
    <s v="Continuously assess the revenue mobilisation measures"/>
    <n v="1"/>
    <n v="1"/>
    <n v="1"/>
    <n v="1"/>
    <n v="1"/>
    <n v="1"/>
    <n v="0"/>
    <n v="1"/>
    <n v="0.875"/>
    <m/>
    <n v="0"/>
    <n v="1.26"/>
    <n v="0.73"/>
    <n v="0.73"/>
    <n v="1.53"/>
    <n v="2.73"/>
    <n v="4.26"/>
    <s v="KCCA"/>
    <s v="122 Kampala Capital City Authority"/>
    <m/>
  </r>
  <r>
    <x v="13"/>
    <x v="13"/>
    <s v="182"/>
    <s v="Resource Mobilization and Budgeting "/>
    <s v="1822"/>
    <s v="Strengthen budgeting and resource mobilization"/>
    <s v="182203"/>
    <s v="Expand financing beyond the traditional sources"/>
    <m/>
    <m/>
    <s v="18220301"/>
    <s v="Non-traditional financing sources developed to finance the budget (e.g. diaspora bonds, blended financing, infrastructure bonds, pension funds, a fund of funds, and sovereign wealth funds, among others)"/>
    <s v="No. of Non-traditional financing sources developed to finance the budget"/>
    <n v="0"/>
    <n v="0"/>
    <n v="1"/>
    <n v="0"/>
    <n v="0"/>
    <n v="0"/>
    <s v="MoFPED"/>
    <s v="008 Ministry of Finance, Planning &amp; Economic Dev."/>
    <s v="Implement the Public Financing Strategy "/>
    <n v="1"/>
    <n v="1"/>
    <n v="0"/>
    <n v="0"/>
    <n v="1"/>
    <n v="1"/>
    <n v="1"/>
    <n v="1"/>
    <n v="0.75"/>
    <m/>
    <n v="0"/>
    <n v="2.89"/>
    <n v="24.36"/>
    <n v="26.1"/>
    <n v="4"/>
    <n v="4"/>
    <n v="8"/>
    <s v="MoFPED"/>
    <s v="008 Ministry of Finance, Planning &amp; Economic Dev."/>
    <m/>
  </r>
  <r>
    <x v="13"/>
    <x v="13"/>
    <s v="182"/>
    <s v="Resource Mobilization and Budgeting "/>
    <s v="1822"/>
    <s v="Strengthen budgeting and resource mobilization"/>
    <s v="182203"/>
    <s v="Expand financing beyond the traditional sources"/>
    <m/>
    <m/>
    <s v="18220301"/>
    <s v="Non-traditional financing sources developed to finance the budget (e.g. diaspora bonds, blended financing, infrastructure bonds, pension funds, a fund of funds, and sovereign wealth funds, among others)"/>
    <s v="Proportion of budget financed by non-traditional sources"/>
    <n v="0"/>
    <n v="0"/>
    <n v="0"/>
    <n v="0"/>
    <n v="0"/>
    <n v="0"/>
    <s v="MoFPED"/>
    <s v="008 Ministry of Finance, Planning &amp; Economic Dev."/>
    <m/>
    <m/>
    <m/>
    <m/>
    <m/>
    <m/>
    <m/>
    <n v="0"/>
    <n v="0"/>
    <n v="0"/>
    <m/>
    <n v="0"/>
    <m/>
    <m/>
    <m/>
    <m/>
    <m/>
    <n v="0"/>
    <m/>
    <m/>
    <m/>
  </r>
  <r>
    <x v="13"/>
    <x v="13"/>
    <s v="182"/>
    <s v="Resource Mobilization and Budgeting "/>
    <s v="1822"/>
    <s v="Strengthen budgeting and resource mobilization"/>
    <s v="182203"/>
    <s v="Expand financing beyond the traditional sources"/>
    <m/>
    <m/>
    <s v="18220301"/>
    <s v="Non-traditional financing sources developed to finance the budget (e.g. diaspora bonds, blended financing, infrastructure bonds, pension funds, a fund of funds, and sovereign wealth funds, among others)"/>
    <s v="Development Cooperation Policy  (DCP) developed and disseminated"/>
    <n v="0"/>
    <n v="1"/>
    <n v="0"/>
    <n v="0"/>
    <n v="0"/>
    <n v="0"/>
    <s v="MoFPED"/>
    <s v="008 Ministry of Finance, Planning &amp; Economic Dev."/>
    <m/>
    <m/>
    <m/>
    <m/>
    <m/>
    <m/>
    <m/>
    <n v="0"/>
    <n v="0"/>
    <n v="0"/>
    <m/>
    <n v="0"/>
    <m/>
    <m/>
    <m/>
    <m/>
    <m/>
    <n v="0"/>
    <m/>
    <m/>
    <m/>
  </r>
  <r>
    <x v="13"/>
    <x v="13"/>
    <s v="182"/>
    <s v="Resource Mobilization and Budgeting "/>
    <s v="1822"/>
    <s v="Strengthen budgeting and resource mobilization"/>
    <s v="182203"/>
    <s v="Expand financing beyond the traditional sources"/>
    <m/>
    <m/>
    <s v="18220301"/>
    <s v="Non-traditional financing sources developed to finance the budget (e.g. diaspora bonds, blended financing, infrastructure bonds, pension funds, a fund of funds, and sovereign wealth funds, among others)"/>
    <s v="Study report on debt instruments to support effective cash management and budget financing"/>
    <n v="0"/>
    <n v="0"/>
    <n v="1"/>
    <n v="0"/>
    <n v="0"/>
    <n v="0"/>
    <s v="MoFPED"/>
    <s v="008 Ministry of Finance, Planning &amp; Economic Dev."/>
    <m/>
    <m/>
    <m/>
    <m/>
    <m/>
    <m/>
    <m/>
    <n v="0"/>
    <n v="0"/>
    <n v="0"/>
    <m/>
    <n v="0"/>
    <m/>
    <m/>
    <m/>
    <m/>
    <m/>
    <n v="0"/>
    <m/>
    <m/>
    <m/>
  </r>
  <r>
    <x v="13"/>
    <x v="13"/>
    <s v="182"/>
    <s v="Resource Mobilization and Budgeting "/>
    <s v="1822"/>
    <s v="Strengthen budgeting and resource mobilization"/>
    <s v="182203"/>
    <s v="Expand financing beyond the traditional sources"/>
    <m/>
    <m/>
    <s v="18220301"/>
    <s v="Non-traditional financing sources developed to finance the budget (e.g. diaspora bonds, blended financing, infrastructure bonds, pension funds, a fund of funds, and sovereign wealth funds, among others)"/>
    <s v="No of alternative financing instruments introduced to increase domestic financing"/>
    <n v="0"/>
    <n v="2"/>
    <n v="2"/>
    <n v="2"/>
    <n v="2"/>
    <n v="2"/>
    <s v="MoFPED"/>
    <s v="008 Ministry of Finance, Planning &amp; Economic Dev."/>
    <m/>
    <m/>
    <m/>
    <m/>
    <m/>
    <m/>
    <m/>
    <n v="0"/>
    <n v="0"/>
    <n v="0"/>
    <m/>
    <n v="0"/>
    <m/>
    <m/>
    <m/>
    <m/>
    <m/>
    <n v="0"/>
    <m/>
    <m/>
    <m/>
  </r>
  <r>
    <x v="13"/>
    <x v="13"/>
    <s v="182"/>
    <s v="Resource Mobilization and Budgeting "/>
    <s v="1822"/>
    <s v="Strengthen budgeting and resource mobilization"/>
    <s v="182203"/>
    <s v="Expand financing beyond the traditional sources"/>
    <m/>
    <m/>
    <s v="18220302"/>
    <s v="Government borrowing aligned to NDP priorities"/>
    <s v="No. of DSA reports produced"/>
    <n v="0"/>
    <n v="1"/>
    <n v="1"/>
    <n v="1"/>
    <n v="1"/>
    <n v="1"/>
    <s v="MoFPED"/>
    <s v="008 Ministry of Finance, Planning &amp; Economic Dev."/>
    <s v="Undertake Annual Debt Sustainability Analysis  "/>
    <n v="1"/>
    <n v="1"/>
    <n v="0"/>
    <n v="1"/>
    <n v="1"/>
    <n v="1"/>
    <n v="0"/>
    <n v="1"/>
    <n v="0.75"/>
    <m/>
    <n v="0"/>
    <n v="0.36"/>
    <n v="0.36"/>
    <n v="0.36"/>
    <n v="1.36"/>
    <n v="1.4"/>
    <n v="2.76"/>
    <s v="MoFPED"/>
    <s v="008 Ministry of Finance, Planning &amp; Economic Dev."/>
    <m/>
  </r>
  <r>
    <x v="13"/>
    <x v="13"/>
    <s v="182"/>
    <s v="Resource Mobilization and Budgeting "/>
    <s v="1822"/>
    <s v="Strengthen budgeting and resource mobilization"/>
    <s v="182203"/>
    <s v="Expand financing beyond the traditional sources"/>
    <m/>
    <m/>
    <s v="18220303"/>
    <s v="Strategy for investment of short-term cash surpluses prepared and implemented "/>
    <s v="Strategy for investment of short-term cash surpluses in place."/>
    <n v="0"/>
    <n v="0"/>
    <n v="1"/>
    <n v="0"/>
    <n v="0"/>
    <n v="0"/>
    <s v="MoFPED"/>
    <s v="008 Ministry of Finance, Planning &amp; Economic Dev."/>
    <s v="Develop a strategy to implement short term cash surpluses"/>
    <n v="1"/>
    <n v="1"/>
    <n v="0"/>
    <n v="1"/>
    <n v="1"/>
    <n v="1"/>
    <n v="0"/>
    <n v="1"/>
    <n v="0.75"/>
    <m/>
    <n v="0"/>
    <n v="0"/>
    <n v="0"/>
    <n v="0"/>
    <n v="0.5"/>
    <n v="0.5"/>
    <n v="1"/>
    <s v="MoFPED"/>
    <s v="008 Ministry of Finance, Planning &amp; Economic Dev."/>
    <m/>
  </r>
  <r>
    <x v="13"/>
    <x v="13"/>
    <s v="182"/>
    <s v="Resource Mobilization and Budgeting "/>
    <s v="1822"/>
    <s v="Strengthen budgeting and resource mobilization"/>
    <s v="182203"/>
    <s v="Expand financing beyond the traditional sources"/>
    <m/>
    <m/>
    <s v="18220304"/>
    <s v="Monitoring and evaluation framework for Debt management strengthened"/>
    <s v="Monitoring and evaluation framework for the Debt management in Place"/>
    <n v="0"/>
    <n v="0"/>
    <n v="1"/>
    <n v="0"/>
    <n v="0"/>
    <n v="0"/>
    <s v="MoFPED"/>
    <s v="008 Ministry of Finance, Planning &amp; Economic Dev."/>
    <s v="Develop a Moitoring and Evaluation frame work for Debt Management"/>
    <n v="1"/>
    <n v="1"/>
    <n v="0"/>
    <n v="1"/>
    <n v="1"/>
    <n v="1"/>
    <n v="0"/>
    <n v="1"/>
    <n v="0.75"/>
    <m/>
    <n v="0"/>
    <m/>
    <m/>
    <m/>
    <n v="0.57999999999999996"/>
    <n v="0.59"/>
    <n v="1.17"/>
    <s v="MoFPED"/>
    <s v="008 Ministry of Finance, Planning &amp; Economic Dev."/>
    <m/>
  </r>
  <r>
    <x v="13"/>
    <x v="13"/>
    <s v="182"/>
    <s v="Resource Mobilization and Budgeting "/>
    <s v="1822"/>
    <s v="Strengthen budgeting and resource mobilization"/>
    <s v="182203"/>
    <s v="Expand financing beyond the traditional sources"/>
    <m/>
    <m/>
    <s v="18220305"/>
    <s v="capacity building programme for sustainable debt management developed"/>
    <s v="Capacity Building programme for Debt, cash policy Developed"/>
    <n v="0"/>
    <n v="0"/>
    <n v="1"/>
    <n v="0"/>
    <n v="0"/>
    <n v="0"/>
    <s v="MoFPED"/>
    <s v="008 Ministry of Finance, Planning &amp; Economic Dev."/>
    <s v="Develop a capacity building programme for sustainable debt management as prescribed in the MTDS. "/>
    <n v="1"/>
    <n v="0"/>
    <n v="0"/>
    <n v="1"/>
    <n v="1"/>
    <n v="0"/>
    <n v="1"/>
    <n v="1"/>
    <n v="0.625"/>
    <m/>
    <n v="0"/>
    <n v="0.77"/>
    <n v="0.46"/>
    <n v="0.13"/>
    <n v="0.4"/>
    <n v="0.4"/>
    <n v="0.8"/>
    <s v="MoFPED"/>
    <s v="008 Ministry of Finance, Planning &amp; Economic Dev."/>
    <m/>
  </r>
  <r>
    <x v="13"/>
    <x v="13"/>
    <s v="182"/>
    <s v="Resource Mobilization and Budgeting "/>
    <s v="1822"/>
    <s v="Strengthen budgeting and resource mobilization"/>
    <s v="182203"/>
    <s v="Expand financing beyond the traditional sources"/>
    <m/>
    <m/>
    <s v="18220306"/>
    <s v="Financing Strategy including new financing options for priority projects developed"/>
    <s v="A strategy on new financing options in place."/>
    <n v="0"/>
    <n v="1"/>
    <n v="0"/>
    <n v="0"/>
    <n v="0"/>
    <n v="0"/>
    <s v="MoFPED"/>
    <s v="008 Ministry of Finance, Planning &amp; Economic Dev."/>
    <s v="Map and implement the new financing options for priority NDP III projects."/>
    <n v="1"/>
    <n v="1"/>
    <n v="0"/>
    <n v="1"/>
    <n v="1"/>
    <n v="1"/>
    <n v="0"/>
    <n v="1"/>
    <n v="0.75"/>
    <m/>
    <n v="0"/>
    <n v="0"/>
    <n v="0.28999999999999998"/>
    <n v="0"/>
    <n v="0"/>
    <n v="0"/>
    <n v="0"/>
    <s v="MoFPED"/>
    <s v="008 Ministry of Finance, Planning &amp; Economic Dev."/>
    <m/>
  </r>
  <r>
    <x v="13"/>
    <x v="13"/>
    <s v="182"/>
    <s v="Resource Mobilization and Budgeting "/>
    <s v="1822"/>
    <s v="Strengthen budgeting and resource mobilization"/>
    <s v="182203"/>
    <s v="Expand financing beyond the traditional sources"/>
    <m/>
    <m/>
    <s v="18220306"/>
    <s v="Financing Strategy including new financing options for priority projects developed"/>
    <m/>
    <m/>
    <m/>
    <m/>
    <m/>
    <m/>
    <m/>
    <s v="MoFPED"/>
    <s v="008 Ministry of Finance, Planning &amp; Economic Dev."/>
    <s v="Establish a monitoring framework for the adherence to the MTDS which supports the implementation of the Development plan"/>
    <n v="1"/>
    <n v="1"/>
    <n v="0"/>
    <n v="1"/>
    <n v="1"/>
    <n v="1"/>
    <m/>
    <n v="1"/>
    <n v="0.75"/>
    <m/>
    <n v="0"/>
    <n v="0"/>
    <n v="0.28999999999999998"/>
    <n v="0.28999999999999998"/>
    <n v="0"/>
    <n v="0"/>
    <n v="0"/>
    <s v="MoFPED"/>
    <s v="008 Ministry of Finance, Planning &amp; Economic Dev."/>
    <m/>
  </r>
  <r>
    <x v="13"/>
    <x v="13"/>
    <s v="182"/>
    <s v="Resource Mobilization and Budgeting "/>
    <s v="1822"/>
    <s v="Strengthen budgeting and resource mobilization"/>
    <s v="182203"/>
    <s v="Expand financing beyond the traditional sources"/>
    <m/>
    <m/>
    <s v="18220307"/>
    <s v="A policy framework for listing of public and private entities."/>
    <s v="A policy framework for listing of public and private entities in place and operational."/>
    <n v="0"/>
    <n v="0"/>
    <n v="0"/>
    <n v="1"/>
    <n v="0"/>
    <n v="0"/>
    <s v="MoFPED  (CMA)"/>
    <e v="#N/A"/>
    <s v="Develop and implement a policy framework to enable public listing of public and private entities."/>
    <n v="1"/>
    <m/>
    <n v="0"/>
    <n v="1"/>
    <n v="1"/>
    <n v="1"/>
    <n v="0"/>
    <n v="1"/>
    <n v="0.625"/>
    <m/>
    <n v="0"/>
    <n v="0"/>
    <n v="0.72499999999999998"/>
    <n v="0.72499999999999998"/>
    <n v="0.73"/>
    <n v="1"/>
    <n v="1.73"/>
    <s v="MoFPED (CMA)"/>
    <s v="008 Ministry of Finance, Planning &amp; Economic Dev."/>
    <s v="MFPED"/>
  </r>
  <r>
    <x v="13"/>
    <x v="13"/>
    <s v="182"/>
    <s v="Resource Mobilization and Budgeting "/>
    <s v="1822"/>
    <s v="Strengthen budgeting and resource mobilization"/>
    <s v="182203"/>
    <s v="Expand financing beyond the traditional sources"/>
    <m/>
    <m/>
    <s v="18220307"/>
    <s v="A policy framework for listing of public and private entities."/>
    <s v="Number of nontraditional sources developed to finance the budget"/>
    <n v="0"/>
    <n v="1"/>
    <n v="1"/>
    <n v="1"/>
    <n v="1"/>
    <n v="1"/>
    <s v="MoFPED"/>
    <s v="008 Ministry of Finance, Planning &amp; Economic Dev."/>
    <m/>
    <m/>
    <m/>
    <m/>
    <m/>
    <m/>
    <m/>
    <n v="0"/>
    <n v="0"/>
    <n v="0"/>
    <m/>
    <n v="0"/>
    <m/>
    <m/>
    <m/>
    <m/>
    <m/>
    <n v="0"/>
    <m/>
    <m/>
    <m/>
  </r>
  <r>
    <x v="13"/>
    <x v="13"/>
    <s v="182"/>
    <s v="Resource Mobilization and Budgeting "/>
    <s v="1822"/>
    <s v="Strengthen budgeting and resource mobilization"/>
    <s v="182203"/>
    <s v="Expand financing beyond the traditional sources"/>
    <m/>
    <m/>
    <s v="18220308"/>
    <s v="Revenue analytical reports produced and disseminated."/>
    <s v="Number of Revenue analytical reports produced and disseminated."/>
    <n v="1"/>
    <n v="1"/>
    <n v="1"/>
    <n v="1"/>
    <n v="1"/>
    <n v="1"/>
    <s v="KCCA"/>
    <s v="122 Kampala Capital City Authority"/>
    <s v="Automate the revenue analysis and production of planning reports"/>
    <n v="1"/>
    <n v="1"/>
    <n v="0"/>
    <n v="1"/>
    <n v="1"/>
    <n v="0"/>
    <n v="1"/>
    <n v="1"/>
    <n v="0.75"/>
    <m/>
    <n v="0"/>
    <n v="1.49"/>
    <n v="0.56999999999999995"/>
    <n v="0.56000000000000005"/>
    <n v="0.56000000000000005"/>
    <n v="1.56"/>
    <n v="2.12"/>
    <s v="KCCA"/>
    <m/>
    <m/>
  </r>
  <r>
    <x v="13"/>
    <x v="13"/>
    <s v="182"/>
    <s v="Resource Mobilization and Budgeting "/>
    <s v="1822"/>
    <s v="Strengthen budgeting and resource mobilization"/>
    <s v="182203"/>
    <s v="Expand financing beyond the traditional sources"/>
    <m/>
    <m/>
    <s v="18220309"/>
    <s v="Bilateral and multilateral resources for national development sourced"/>
    <s v="Value (USD Million) of bilateral and multilateral resources for national development"/>
    <n v="225.8"/>
    <n v="228"/>
    <n v="230"/>
    <n v="232"/>
    <n v="234"/>
    <n v="236"/>
    <s v="MoFA"/>
    <s v="006 Ministry of Foreign Affairs"/>
    <s v="Source bilateral and multilateral  resources for national development"/>
    <n v="1"/>
    <n v="1"/>
    <n v="0"/>
    <n v="1"/>
    <n v="1"/>
    <n v="1"/>
    <n v="0"/>
    <n v="1"/>
    <n v="0.75"/>
    <m/>
    <n v="0"/>
    <m/>
    <m/>
    <m/>
    <n v="0.5"/>
    <n v="0.55000000000000004"/>
    <n v="1.05"/>
    <s v="MoFA"/>
    <s v="006 Ministry of Foreign Affairs"/>
    <s v="Misions abroad"/>
  </r>
  <r>
    <x v="13"/>
    <x v="13"/>
    <s v="182"/>
    <s v="Resource Mobilization and Budgeting "/>
    <s v="1822"/>
    <s v="Strengthen budgeting and resource mobilization"/>
    <s v="182204"/>
    <s v="Deepening the reduction of informality and streamlining taxation at national and local government levels"/>
    <m/>
    <m/>
    <s v="18220401"/>
    <s v="Tax Registration expansion programme fast tracked"/>
    <s v="% growth in amount of NTR collected"/>
    <n v="0"/>
    <n v="10"/>
    <n v="12"/>
    <n v="12"/>
    <n v="12"/>
    <n v="12"/>
    <s v="URA"/>
    <s v="141 Uganda Revenue Authority"/>
    <s v="Collect tax revenue (all forms of taxes)"/>
    <n v="1"/>
    <n v="1"/>
    <n v="1"/>
    <n v="1"/>
    <n v="1"/>
    <n v="1"/>
    <n v="0"/>
    <n v="1"/>
    <n v="0.875"/>
    <m/>
    <n v="0"/>
    <n v="345.87"/>
    <n v="155.30000000000001"/>
    <n v="173.79033792266677"/>
    <n v="334.01"/>
    <n v="335"/>
    <n v="669.01"/>
    <s v="URA"/>
    <s v="141 Uganda Revenue Authority"/>
    <m/>
  </r>
  <r>
    <x v="13"/>
    <x v="13"/>
    <s v="182"/>
    <s v="Resource Mobilization and Budgeting "/>
    <s v="1822"/>
    <s v="Strengthen budgeting and resource mobilization"/>
    <s v="182204"/>
    <s v="Deepening the reduction of informality and streamlining taxation at national and local government levels"/>
    <m/>
    <m/>
    <s v="18220401"/>
    <s v="Tax Registration expansion programme fast tracked"/>
    <s v="% growth in Tax revenue"/>
    <n v="0"/>
    <n v="10"/>
    <n v="15"/>
    <n v="15"/>
    <n v="15"/>
    <n v="15"/>
    <s v="URA"/>
    <s v="141 Uganda Revenue Authority"/>
    <s v="Continuously register new tax payers; update the tax register"/>
    <n v="1"/>
    <n v="1"/>
    <n v="0"/>
    <n v="1"/>
    <n v="1"/>
    <n v="0"/>
    <n v="1"/>
    <n v="1"/>
    <n v="0.75"/>
    <m/>
    <n v="0"/>
    <n v="0"/>
    <n v="4.3499999999999996"/>
    <n v="4.3499999999999996"/>
    <n v="4.3499999999999996"/>
    <n v="4.3499999999999996"/>
    <n v="8.6999999999999993"/>
    <s v="URA"/>
    <s v="141 Uganda Revenue Authority"/>
    <m/>
  </r>
  <r>
    <x v="13"/>
    <x v="13"/>
    <s v="182"/>
    <s v="Resource Mobilization and Budgeting "/>
    <s v="1822"/>
    <s v="Strengthen budgeting and resource mobilization"/>
    <s v="182204"/>
    <s v="Deepening the reduction of informality and streamlining taxation at national and local government levels"/>
    <m/>
    <m/>
    <s v="18220401"/>
    <s v="Tax Registration expansion programme fast tracked"/>
    <s v="Domestic tax Revenues collected.( Billion shs)"/>
    <n v="0"/>
    <n v="17855"/>
    <n v="19819"/>
    <n v="23003"/>
    <n v="26334"/>
    <n v="30386"/>
    <s v="URA"/>
    <s v="141 Uganda Revenue Authority"/>
    <m/>
    <m/>
    <m/>
    <m/>
    <m/>
    <m/>
    <m/>
    <n v="0"/>
    <n v="0"/>
    <n v="0"/>
    <m/>
    <n v="0"/>
    <m/>
    <m/>
    <m/>
    <m/>
    <m/>
    <n v="0"/>
    <m/>
    <m/>
    <m/>
  </r>
  <r>
    <x v="13"/>
    <x v="13"/>
    <s v="182"/>
    <s v="Resource Mobilization and Budgeting "/>
    <s v="1822"/>
    <s v="Strengthen budgeting and resource mobilization"/>
    <s v="182204"/>
    <s v="Deepening the reduction of informality and streamlining taxation at national and local government levels"/>
    <m/>
    <m/>
    <s v="18220401"/>
    <s v="Tax Registration expansion programme fast tracked"/>
    <s v="LG revenues as a Percentage of their Budgets."/>
    <n v="0"/>
    <n v="6"/>
    <n v="7"/>
    <n v="8"/>
    <n v="9"/>
    <n v="9.5"/>
    <s v="LGFC"/>
    <s v="147 Local Government Finance Commission"/>
    <s v="Roll out Integrated Revenue Administration System to LGs"/>
    <n v="1"/>
    <n v="1"/>
    <n v="0"/>
    <n v="1"/>
    <n v="1"/>
    <n v="0"/>
    <n v="1"/>
    <n v="1"/>
    <n v="0.75"/>
    <m/>
    <n v="0"/>
    <n v="2.9"/>
    <n v="2.9"/>
    <n v="2.9"/>
    <n v="3.9"/>
    <n v="3.9"/>
    <n v="7.8"/>
    <s v="LGFC"/>
    <s v="147 Local Government Finance Commission"/>
    <m/>
  </r>
  <r>
    <x v="13"/>
    <x v="13"/>
    <s v="182"/>
    <s v="Resource Mobilization and Budgeting "/>
    <s v="1822"/>
    <s v="Strengthen budgeting and resource mobilization"/>
    <s v="182204"/>
    <s v="Deepening the reduction of informality and streamlining taxation at national and local government levels"/>
    <m/>
    <m/>
    <s v="18220401"/>
    <s v="Tax Registration expansion programme fast tracked"/>
    <s v="Non-Tax Revenue collected (Billions Shs)"/>
    <n v="0"/>
    <n v="577"/>
    <n v="640"/>
    <n v="719"/>
    <n v="810"/>
    <n v="913"/>
    <s v="URA"/>
    <s v="141 Uganda Revenue Authority"/>
    <m/>
    <m/>
    <m/>
    <m/>
    <m/>
    <m/>
    <m/>
    <n v="0"/>
    <n v="0"/>
    <n v="0"/>
    <m/>
    <n v="0"/>
    <m/>
    <m/>
    <m/>
    <m/>
    <m/>
    <n v="0"/>
    <m/>
    <m/>
    <m/>
  </r>
  <r>
    <x v="13"/>
    <x v="13"/>
    <s v="182"/>
    <s v="Resource Mobilization and Budgeting "/>
    <s v="1822"/>
    <s v="Strengthen budgeting and resource mobilization"/>
    <s v="182204"/>
    <s v="Deepening the reduction of informality and streamlining taxation at national and local government levels"/>
    <m/>
    <m/>
    <s v="18220402"/>
    <s v="Non-traditional financing sources developed to finance the budget (e.g. diaspora bonds, blended financing, infrastructure bonds, pension funds, a fund of funds, and sovereign wealth funds, among others)"/>
    <s v="Proportion of budget financed by non-traditional sources"/>
    <n v="1"/>
    <n v="1"/>
    <n v="2"/>
    <n v="4"/>
    <n v="5"/>
    <n v="6"/>
    <s v="LGFC"/>
    <s v="147 Local Government Finance Commission"/>
    <s v="Research on alternative  financing for Local Gov't established "/>
    <n v="1"/>
    <n v="0"/>
    <n v="0"/>
    <n v="0"/>
    <n v="0"/>
    <n v="0"/>
    <n v="1"/>
    <n v="1"/>
    <n v="0.375"/>
    <m/>
    <n v="0"/>
    <n v="0"/>
    <n v="0"/>
    <n v="1.45"/>
    <n v="0"/>
    <n v="0"/>
    <n v="0"/>
    <s v="LGFC"/>
    <s v="147 Local Government Finance Commission"/>
    <m/>
  </r>
  <r>
    <x v="13"/>
    <x v="13"/>
    <s v="182"/>
    <s v="Resource Mobilization and Budgeting "/>
    <s v="1822"/>
    <s v="Strengthen budgeting and resource mobilization"/>
    <s v="182204"/>
    <s v="Deepening the reduction of informality and streamlining taxation at national and local government levels"/>
    <m/>
    <m/>
    <s v="18220403"/>
    <s v="Revenue mobilisation communication Strategy reviewed and implemented"/>
    <s v="Proportion of the Revenue communication Strategy reviewed and implemented"/>
    <n v="0"/>
    <n v="20"/>
    <n v="40"/>
    <n v="60"/>
    <n v="80"/>
    <n v="100"/>
    <s v="KCCA"/>
    <s v="122 Kampala Capital City Authority"/>
    <s v="Review and implement KCCA Revenue mobilisation communication Strategy,  update the existing tax payer register;automate revenuw administration processes"/>
    <n v="1"/>
    <n v="1"/>
    <n v="1"/>
    <n v="1"/>
    <n v="1"/>
    <n v="1"/>
    <n v="1"/>
    <n v="1"/>
    <n v="1"/>
    <m/>
    <n v="0"/>
    <n v="3.0014999999999996"/>
    <n v="3.4944999999999999"/>
    <n v="3.7265000000000001"/>
    <n v="6.4950000000000001"/>
    <n v="7.2925000000000004"/>
    <n v="13.787500000000001"/>
    <s v="KCCA"/>
    <s v="122 Kampala Capital City Authority"/>
    <m/>
  </r>
  <r>
    <x v="13"/>
    <x v="13"/>
    <s v="182"/>
    <s v="Resource Mobilization and Budgeting "/>
    <s v="1822"/>
    <s v="Strengthen budgeting and resource mobilization"/>
    <s v="182204"/>
    <s v="Deepening the reduction of informality and streamlining taxation at national and local government levels"/>
    <m/>
    <m/>
    <s v="18220404"/>
    <s v=" Revenue base/ register expanded."/>
    <s v="% Growth in Tax payer register"/>
    <n v="0"/>
    <n v="15"/>
    <n v="20"/>
    <n v="15"/>
    <n v="15"/>
    <n v="15"/>
    <s v="KCCA"/>
    <s v="122 Kampala Capital City Authority"/>
    <m/>
    <m/>
    <m/>
    <m/>
    <m/>
    <m/>
    <m/>
    <n v="0"/>
    <n v="0"/>
    <n v="0"/>
    <m/>
    <n v="0"/>
    <m/>
    <m/>
    <m/>
    <m/>
    <m/>
    <n v="0"/>
    <m/>
    <m/>
    <m/>
  </r>
  <r>
    <x v="13"/>
    <x v="13"/>
    <s v="182"/>
    <s v="Resource Mobilization and Budgeting "/>
    <s v="1822"/>
    <s v="Strengthen budgeting and resource mobilization"/>
    <s v="182204"/>
    <s v="Deepening the reduction of informality and streamlining taxation at national and local government levels"/>
    <m/>
    <m/>
    <s v="18220404"/>
    <s v=" Revenue base/ register expanded."/>
    <s v="No. of tax payers in the tax Register Data base."/>
    <n v="165000"/>
    <n v="189750"/>
    <n v="227700"/>
    <n v="261855"/>
    <n v="301133"/>
    <n v="346303"/>
    <s v="KCCA"/>
    <s v="122 Kampala Capital City Authority"/>
    <m/>
    <m/>
    <m/>
    <m/>
    <m/>
    <m/>
    <m/>
    <n v="0"/>
    <n v="0"/>
    <n v="0"/>
    <m/>
    <n v="0"/>
    <m/>
    <m/>
    <m/>
    <m/>
    <m/>
    <n v="0"/>
    <m/>
    <m/>
    <m/>
  </r>
  <r>
    <x v="13"/>
    <x v="13"/>
    <s v="182"/>
    <s v="Resource Mobilization and Budgeting "/>
    <s v="1822"/>
    <s v="Strengthen budgeting and resource mobilization"/>
    <s v="182205"/>
    <s v="Implement electronic tax systems to improve compliance both at National and LG levels."/>
    <m/>
    <m/>
    <s v="18220501"/>
    <s v="Electronic tax systems at National and LG levels. i.e. E-invoicing ,e- logrev and Digital stamps"/>
    <s v="% of LGs with e-tax system (Interface with e-logrev)"/>
    <n v="0"/>
    <n v="60"/>
    <n v="70"/>
    <n v="80"/>
    <n v="90"/>
    <n v="100"/>
    <s v="URA"/>
    <s v="141 Uganda Revenue Authority"/>
    <s v="Upgrade the e-tax system to be able to accommodate the task at the National level each year. "/>
    <n v="1"/>
    <n v="1"/>
    <n v="0"/>
    <n v="1"/>
    <n v="1"/>
    <n v="1"/>
    <n v="0"/>
    <n v="1"/>
    <n v="0.75"/>
    <m/>
    <n v="0"/>
    <n v="23.663999999999998"/>
    <n v="26.447999999999997"/>
    <n v="23.582000000000001"/>
    <n v="15"/>
    <n v="16.5"/>
    <n v="31.5"/>
    <s v="URA"/>
    <s v="141 Uganda Revenue Authority"/>
    <m/>
  </r>
  <r>
    <x v="13"/>
    <x v="13"/>
    <s v="182"/>
    <s v="Resource Mobilization and Budgeting "/>
    <s v="1822"/>
    <s v="Strengthen budgeting and resource mobilization"/>
    <s v="182205"/>
    <s v="Implement electronic tax systems to improve compliance both at National and LG levels."/>
    <m/>
    <m/>
    <s v="18220501"/>
    <s v="Electronic tax systems at National and LG levels. i.e. E-invoicing ,e- logrev and Digital stamps"/>
    <s v="A functional &amp; integrated e-tax system at the National and LG level"/>
    <n v="0"/>
    <n v="1"/>
    <n v="1"/>
    <n v="1"/>
    <n v="1"/>
    <n v="1"/>
    <s v="URA"/>
    <s v="141 Uganda Revenue Authority"/>
    <s v="Interface e-tax with e-Local Gov't "/>
    <n v="1"/>
    <n v="1"/>
    <n v="0"/>
    <n v="1"/>
    <n v="1"/>
    <n v="0"/>
    <n v="1"/>
    <n v="1"/>
    <n v="0.75"/>
    <m/>
    <n v="0"/>
    <n v="27.143999999999995"/>
    <n v="27.84"/>
    <n v="20.797999999999998"/>
    <n v="3.06"/>
    <n v="3.93"/>
    <n v="6.99"/>
    <s v="URA"/>
    <s v="141 Uganda Revenue Authority"/>
    <m/>
  </r>
  <r>
    <x v="13"/>
    <x v="13"/>
    <s v="182"/>
    <s v="Resource Mobilization and Budgeting "/>
    <s v="1822"/>
    <s v="Strengthen budgeting and resource mobilization"/>
    <s v="182205"/>
    <s v="Implement electronic tax systems to improve compliance both at National and LG levels."/>
    <m/>
    <m/>
    <s v="18220501"/>
    <s v="Electronic tax systems at National and LG levels. i.e. E-invoicing ,e- logrev and Digital stamps"/>
    <s v="Proportion of assessments  are automated ( human interface )"/>
    <n v="0"/>
    <n v="30"/>
    <n v="50"/>
    <n v="70"/>
    <n v="80"/>
    <n v="100"/>
    <s v="URA"/>
    <s v="141 Uganda Revenue Authority"/>
    <m/>
    <m/>
    <m/>
    <m/>
    <m/>
    <m/>
    <m/>
    <n v="0"/>
    <n v="0"/>
    <n v="0"/>
    <m/>
    <n v="0"/>
    <m/>
    <m/>
    <m/>
    <m/>
    <m/>
    <n v="0"/>
    <m/>
    <m/>
    <m/>
  </r>
  <r>
    <x v="13"/>
    <x v="13"/>
    <s v="182"/>
    <s v="Resource Mobilization and Budgeting "/>
    <s v="1822"/>
    <s v="Strengthen budgeting and resource mobilization"/>
    <s v="182205"/>
    <s v="Implement electronic tax systems to improve compliance both at National and LG levels."/>
    <m/>
    <m/>
    <s v="18220502"/>
    <s v="Revenue collection enhanced."/>
    <s v="Amount of revenue collected (Billions Ushs)"/>
    <n v="79.400000000000006"/>
    <n v="100"/>
    <n v="109"/>
    <n v="112"/>
    <n v="115"/>
    <n v="120"/>
    <s v="KCCA"/>
    <s v="122 Kampala Capital City Authority"/>
    <m/>
    <m/>
    <m/>
    <m/>
    <m/>
    <m/>
    <m/>
    <n v="0"/>
    <n v="0"/>
    <n v="0"/>
    <m/>
    <n v="0"/>
    <m/>
    <m/>
    <m/>
    <m/>
    <m/>
    <n v="0"/>
    <m/>
    <m/>
    <m/>
  </r>
  <r>
    <x v="13"/>
    <x v="13"/>
    <s v="182"/>
    <s v="Resource Mobilization and Budgeting "/>
    <s v="1822"/>
    <s v="Strengthen budgeting and resource mobilization"/>
    <s v="182206"/>
    <s v="Establish an appropriate, evidence-based tax expenditure “governance framework” to limit leakages and improve transparency"/>
    <m/>
    <m/>
    <s v="18220601"/>
    <s v="Governance Framework on tax expenditure is established."/>
    <s v="Governance Framework on tax expenditure in Place."/>
    <n v="0"/>
    <n v="1"/>
    <n v="1"/>
    <n v="1"/>
    <n v="1"/>
    <n v="1"/>
    <s v="MoFPED"/>
    <s v="008 Ministry of Finance, Planning &amp; Economic Dev."/>
    <s v="Establish and implement a governance Framework on tax expenditure"/>
    <n v="1"/>
    <n v="1"/>
    <n v="0"/>
    <n v="1"/>
    <n v="1"/>
    <n v="0"/>
    <n v="0"/>
    <n v="1"/>
    <n v="0.625"/>
    <m/>
    <n v="0"/>
    <n v="0"/>
    <n v="1.6384999999999998"/>
    <n v="0.72499999999999998"/>
    <n v="0.72499999999999998"/>
    <n v="0.72499999999999998"/>
    <n v="1.45"/>
    <s v="MoFPED"/>
    <s v="008 Ministry of Finance, Planning &amp; Economic Dev."/>
    <m/>
  </r>
  <r>
    <x v="13"/>
    <x v="13"/>
    <s v="182"/>
    <s v="Resource Mobilization and Budgeting "/>
    <s v="1822"/>
    <s v="Strengthen budgeting and resource mobilization"/>
    <s v="182206"/>
    <s v="Establish an appropriate, evidence-based tax expenditure “governance framework” to limit leakages and improve transparency"/>
    <m/>
    <m/>
    <s v="18220602"/>
    <s v="Capacity Building Program (CBP) for effective implementation of the DRMS"/>
    <s v="Capacity Building programme for Tax policy &amp; URA Developed"/>
    <n v="0"/>
    <n v="0"/>
    <n v="1"/>
    <n v="0"/>
    <n v="0"/>
    <n v="0"/>
    <s v="MoFPED"/>
    <s v="008 Ministry of Finance, Planning &amp; Economic Dev."/>
    <m/>
    <m/>
    <m/>
    <m/>
    <m/>
    <m/>
    <m/>
    <n v="0"/>
    <n v="0"/>
    <n v="0"/>
    <m/>
    <n v="0"/>
    <m/>
    <m/>
    <m/>
    <m/>
    <m/>
    <n v="0"/>
    <m/>
    <m/>
    <m/>
  </r>
  <r>
    <x v="13"/>
    <x v="13"/>
    <s v="182"/>
    <s v="Resource Mobilization and Budgeting "/>
    <s v="1822"/>
    <s v="Strengthen budgeting and resource mobilization"/>
    <s v="182206"/>
    <s v="Establish an appropriate, evidence-based tax expenditure “governance framework” to limit leakages and improve transparency"/>
    <m/>
    <m/>
    <s v="18220603"/>
    <s v="Revenue monitoring unit under BMAU"/>
    <s v="Functional revenue monitoring unit under BMAU"/>
    <n v="0"/>
    <n v="0"/>
    <n v="1"/>
    <n v="0"/>
    <n v="0"/>
    <n v="0"/>
    <s v="MoFPED"/>
    <s v="008 Ministry of Finance, Planning &amp; Economic Dev."/>
    <s v="Budget monitoring under BMAU (to include revenue monitoring)"/>
    <n v="0"/>
    <n v="0"/>
    <n v="0"/>
    <n v="1"/>
    <n v="1"/>
    <n v="0"/>
    <n v="1"/>
    <n v="1"/>
    <n v="0.5"/>
    <m/>
    <n v="0"/>
    <n v="0.9"/>
    <n v="0.28999999999999998"/>
    <n v="0.15"/>
    <n v="0"/>
    <n v="0"/>
    <n v="0"/>
    <s v="MoFPED"/>
    <s v="008 Ministry of Finance, Planning &amp; Economic Dev."/>
    <m/>
  </r>
  <r>
    <x v="13"/>
    <x v="13"/>
    <s v="182"/>
    <s v="Resource Mobilization and Budgeting "/>
    <s v="1822"/>
    <s v="Strengthen budgeting and resource mobilization"/>
    <s v="182206"/>
    <s v="Establish an appropriate, evidence-based tax expenditure “governance framework” to limit leakages and improve transparency"/>
    <m/>
    <m/>
    <s v="18220604"/>
    <s v="Tax policy and legislative framework reviewed in line with priorities in DRM strategy"/>
    <s v="Reviewed Tax policy and legislative framework"/>
    <n v="0"/>
    <n v="1"/>
    <n v="1"/>
    <n v="1"/>
    <n v="1"/>
    <n v="1"/>
    <s v="MoFPED"/>
    <s v="008 Ministry of Finance, Planning &amp; Economic Dev."/>
    <s v="Review &amp; Develop Tax policy and legislative framework in line with priorities in DRM strategy"/>
    <n v="1"/>
    <n v="1"/>
    <n v="0"/>
    <n v="1"/>
    <n v="1"/>
    <n v="1"/>
    <n v="0"/>
    <n v="1"/>
    <n v="0.75"/>
    <m/>
    <n v="0"/>
    <n v="0.42"/>
    <n v="0.28999999999999998"/>
    <n v="0.15"/>
    <n v="9"/>
    <n v="9"/>
    <n v="18"/>
    <s v="MoFPED"/>
    <s v="008 Ministry of Finance, Planning &amp; Economic Dev."/>
    <m/>
  </r>
  <r>
    <x v="13"/>
    <x v="13"/>
    <s v="182"/>
    <s v="Resource Mobilization and Budgeting "/>
    <s v="1822"/>
    <s v="Strengthen budgeting and resource mobilization"/>
    <s v="182206"/>
    <s v="Establish an appropriate, evidence-based tax expenditure “governance framework” to limit leakages and improve transparency"/>
    <m/>
    <m/>
    <s v="18220605"/>
    <s v="Policy on centralized collection of NTR "/>
    <s v="Policy on centralized collection of NTR "/>
    <n v="0"/>
    <n v="0"/>
    <n v="1"/>
    <n v="0"/>
    <n v="0"/>
    <n v="0"/>
    <s v="MoFPED"/>
    <s v="008 Ministry of Finance, Planning &amp; Economic Dev."/>
    <s v="Develop and implement a Policy on centralized collection of NTR "/>
    <n v="1"/>
    <n v="0"/>
    <n v="0"/>
    <n v="1"/>
    <n v="1"/>
    <n v="0"/>
    <n v="0"/>
    <n v="1"/>
    <n v="0.5"/>
    <m/>
    <n v="0"/>
    <n v="0.28999999999999998"/>
    <n v="0.33"/>
    <n v="0.19"/>
    <n v="0"/>
    <n v="0"/>
    <n v="0"/>
    <s v="MoFPED"/>
    <s v="008 Ministry of Finance, Planning &amp; Economic Dev."/>
    <m/>
  </r>
  <r>
    <x v="13"/>
    <x v="13"/>
    <s v="182"/>
    <s v="Resource Mobilization and Budgeting "/>
    <s v="1822"/>
    <s v="Strengthen budgeting and resource mobilization"/>
    <s v="182207"/>
    <s v="Build capacity in government agencies to negotiate better terms of borrowing and PPPs"/>
    <m/>
    <m/>
    <s v="18220701"/>
    <s v="Capacity built in Government agencies to negotiate better terms of borrowing and PPPs"/>
    <s v="Proportion of Government Agencies trained to negotiate better terms of borrowing and PPPs."/>
    <n v="0"/>
    <n v="70"/>
    <n v="80"/>
    <n v="90"/>
    <n v="95"/>
    <n v="100"/>
    <s v="MoFPED"/>
    <s v="008 Ministry of Finance, Planning &amp; Economic Dev."/>
    <s v="Train government agencies to negotiate better terms of borrowing in order to implement the debt financing strategy"/>
    <n v="1"/>
    <n v="1"/>
    <n v="0"/>
    <n v="1"/>
    <n v="1"/>
    <n v="0"/>
    <n v="0"/>
    <n v="1"/>
    <n v="0.625"/>
    <m/>
    <n v="0"/>
    <n v="2.3199999999999998"/>
    <n v="0.73"/>
    <n v="0.73"/>
    <n v="1.8"/>
    <n v="1.2"/>
    <n v="3"/>
    <s v="MoFPED"/>
    <s v="008 Ministry of Finance, Planning &amp; Economic Dev."/>
    <m/>
  </r>
  <r>
    <x v="13"/>
    <x v="13"/>
    <s v="182"/>
    <s v="Resource Mobilization and Budgeting "/>
    <s v="1822"/>
    <s v="Strengthen budgeting and resource mobilization"/>
    <s v="182208"/>
    <s v="Align government borrowing with NDP priorities"/>
    <m/>
    <m/>
    <s v="18220801"/>
    <s v="Government borrowing aligned to NDP priorities"/>
    <s v="Proportion of the Government borrowing aligned to the priorities in the NDP"/>
    <n v="0"/>
    <n v="100"/>
    <n v="100"/>
    <n v="100"/>
    <n v="100"/>
    <n v="100"/>
    <s v="MoFPED"/>
    <s v="008 Ministry of Finance, Planning &amp; Economic Dev."/>
    <s v="Prepare the Domestic and external financing Cash Flow Forecasts"/>
    <n v="1"/>
    <n v="1"/>
    <n v="0"/>
    <n v="1"/>
    <n v="1"/>
    <n v="1"/>
    <n v="1"/>
    <n v="1"/>
    <n v="0.875"/>
    <m/>
    <n v="0"/>
    <n v="0.12"/>
    <n v="0.12"/>
    <n v="0.12"/>
    <n v="0.05"/>
    <n v="0.05"/>
    <n v="0.1"/>
    <s v="MoFPED"/>
    <s v="008 Ministry of Finance, Planning &amp; Economic Dev."/>
    <m/>
  </r>
  <r>
    <x v="13"/>
    <x v="13"/>
    <s v="182"/>
    <s v="Resource Mobilization and Budgeting "/>
    <s v="1822"/>
    <s v="Strengthen budgeting and resource mobilization"/>
    <s v="182208"/>
    <s v="Align government borrowing with NDP priorities"/>
    <m/>
    <m/>
    <s v="18220801"/>
    <s v="Government borrowing aligned to NDP priorities"/>
    <s v="Annual cash flow plan in place"/>
    <n v="0"/>
    <n v="1"/>
    <n v="1"/>
    <n v="1"/>
    <n v="1"/>
    <n v="1"/>
    <s v="MoFPED"/>
    <s v="008 Ministry of Finance, Planning &amp; Economic Dev."/>
    <s v="Analyse Cash Flow performance in line with NDP borrowing targets"/>
    <n v="1"/>
    <n v="1"/>
    <n v="0"/>
    <n v="1"/>
    <m/>
    <n v="1"/>
    <n v="0"/>
    <n v="1"/>
    <n v="0.625"/>
    <m/>
    <n v="0"/>
    <n v="7.0000000000000007E-2"/>
    <n v="7.0000000000000007E-2"/>
    <n v="7.0000000000000007E-2"/>
    <n v="0"/>
    <n v="0"/>
    <n v="0"/>
    <s v="MoFPED"/>
    <s v="008 Ministry of Finance, Planning &amp; Economic Dev."/>
    <m/>
  </r>
  <r>
    <x v="13"/>
    <x v="13"/>
    <s v="182"/>
    <s v="Resource Mobilization and Budgeting "/>
    <s v="1822"/>
    <s v="Strengthen budgeting and resource mobilization"/>
    <s v="182208"/>
    <s v="Align government borrowing with NDP priorities"/>
    <m/>
    <m/>
    <s v="18220801"/>
    <s v="Government borrowing aligned to NDP priorities"/>
    <s v="Number of trainings for MPs and Staff conducted to effectively scrutinize government loans."/>
    <n v="0"/>
    <n v="0"/>
    <n v="2"/>
    <n v="2"/>
    <n v="2"/>
    <n v="0"/>
    <s v="PC"/>
    <s v="104 Parliamentary Commission"/>
    <s v="Build capacity of MPs and Staff on the National Economy Committee to effectively scrutinize government loans "/>
    <m/>
    <m/>
    <m/>
    <m/>
    <m/>
    <m/>
    <n v="0"/>
    <n v="0"/>
    <n v="0"/>
    <m/>
    <n v="0"/>
    <n v="0"/>
    <n v="0.435"/>
    <n v="0.2175"/>
    <m/>
    <n v="0"/>
    <n v="0"/>
    <s v="Parliament"/>
    <s v="104 Parliamentary Commission"/>
    <m/>
  </r>
  <r>
    <x v="13"/>
    <x v="13"/>
    <s v="182"/>
    <s v="Resource Mobilization and Budgeting "/>
    <s v="1822"/>
    <s v="Strengthen budgeting and resource mobilization"/>
    <s v="182208"/>
    <s v="Align government borrowing with NDP priorities"/>
    <m/>
    <m/>
    <s v="18220802"/>
    <s v="Integrated debt management strengthened "/>
    <s v="An updated debt management system in place "/>
    <n v="0"/>
    <n v="1"/>
    <n v="1"/>
    <n v="1"/>
    <n v="1"/>
    <n v="1"/>
    <s v="MoFPED"/>
    <s v="008 Ministry of Finance, Planning &amp; Economic Dev."/>
    <s v="Upgrade and update the debt management system (DMFAS)"/>
    <n v="1"/>
    <n v="1"/>
    <n v="0"/>
    <n v="1"/>
    <n v="1"/>
    <n v="1"/>
    <n v="0"/>
    <n v="1"/>
    <n v="0.75"/>
    <m/>
    <n v="0"/>
    <n v="1.45"/>
    <n v="1.31"/>
    <n v="1.02"/>
    <n v="1.02"/>
    <n v="1.02"/>
    <n v="2.04"/>
    <s v="MoFPED"/>
    <s v="008 Ministry of Finance, Planning &amp; Economic Dev."/>
    <m/>
  </r>
  <r>
    <x v="13"/>
    <x v="13"/>
    <s v="182"/>
    <s v="Resource Mobilization and Budgeting "/>
    <s v="1822"/>
    <s v="Strengthen budgeting and resource mobilization"/>
    <s v="182208"/>
    <s v="Align government borrowing with NDP priorities"/>
    <m/>
    <m/>
    <s v="18220802"/>
    <s v="Integrated debt management strengthened "/>
    <s v="Integrated debt management strategy developed"/>
    <n v="0"/>
    <n v="0"/>
    <n v="0"/>
    <n v="0"/>
    <n v="0"/>
    <n v="0"/>
    <s v="MoFPED"/>
    <s v="008 Ministry of Finance, Planning &amp; Economic Dev."/>
    <s v="Monitor Donor financed projects"/>
    <n v="1"/>
    <n v="1"/>
    <n v="0"/>
    <n v="1"/>
    <n v="1"/>
    <n v="1"/>
    <n v="0"/>
    <n v="1"/>
    <n v="0.75"/>
    <m/>
    <n v="0"/>
    <n v="7.0000000000000007E-2"/>
    <n v="7.0000000000000007E-2"/>
    <n v="7.0000000000000007E-2"/>
    <n v="1"/>
    <n v="1"/>
    <n v="2"/>
    <s v="MoFPED"/>
    <s v="008 Ministry of Finance, Planning &amp; Economic Dev."/>
    <m/>
  </r>
  <r>
    <x v="13"/>
    <x v="13"/>
    <s v="182"/>
    <s v="Resource Mobilization and Budgeting "/>
    <s v="1822"/>
    <s v="Strengthen budgeting and resource mobilization"/>
    <s v="182208"/>
    <s v="Align government borrowing with NDP priorities"/>
    <m/>
    <m/>
    <s v="18220802"/>
    <s v="Integrated debt management strengthened "/>
    <m/>
    <m/>
    <m/>
    <m/>
    <m/>
    <m/>
    <m/>
    <s v="MoFPED"/>
    <s v="008 Ministry of Finance, Planning &amp; Economic Dev."/>
    <s v="Conduct Technical working meetings with sectors/MDAs on alignment of Loans and grants to NDP3"/>
    <n v="1"/>
    <n v="0"/>
    <n v="0"/>
    <n v="1"/>
    <n v="1"/>
    <n v="1"/>
    <n v="0"/>
    <n v="1"/>
    <n v="0.625"/>
    <m/>
    <n v="0"/>
    <n v="2.3199999999999998"/>
    <n v="0.73"/>
    <n v="0.73"/>
    <n v="0.73"/>
    <n v="0.73"/>
    <n v="1.46"/>
    <s v="MoFPED"/>
    <s v="008 Ministry of Finance, Planning &amp; Economic Dev."/>
    <m/>
  </r>
  <r>
    <x v="13"/>
    <x v="13"/>
    <s v="182"/>
    <s v="Resource Mobilization and Budgeting "/>
    <s v="1822"/>
    <s v="Strengthen budgeting and resource mobilization"/>
    <s v="182209"/>
    <s v="Impose sanctions for accumulation of domestic arrears"/>
    <m/>
    <m/>
    <s v="18220901"/>
    <s v="Systems and Sanctions to enforce commitment controls and prevent accumulation of domestic arrears in place"/>
    <s v="Proportion of verified domestic arrears to budget  "/>
    <n v="0"/>
    <n v="7.5"/>
    <n v="6"/>
    <s v=" 4.5"/>
    <n v="3"/>
    <s v=" 1.5"/>
    <s v="MoFPED"/>
    <s v="008 Ministry of Finance, Planning &amp; Economic Dev."/>
    <s v="Impose Sanctions to MDAs LGs with Domestic arrears that are beyond a certain threshold."/>
    <n v="1"/>
    <n v="1"/>
    <n v="0"/>
    <n v="1"/>
    <n v="0"/>
    <n v="0"/>
    <n v="0"/>
    <n v="1"/>
    <n v="0.5"/>
    <m/>
    <n v="0"/>
    <n v="0"/>
    <n v="0"/>
    <n v="0"/>
    <n v="0"/>
    <n v="0"/>
    <n v="0"/>
    <s v="MoFPED"/>
    <s v="008 Ministry of Finance, Planning &amp; Economic Dev."/>
    <m/>
  </r>
  <r>
    <x v="13"/>
    <x v="13"/>
    <s v="182"/>
    <s v="Resource Mobilization and Budgeting "/>
    <s v="1822"/>
    <s v="Strengthen budgeting and resource mobilization"/>
    <s v="182210"/>
    <s v="Harmonize the PFMA, PPDA, LGA, and regulations to improve the Public Financial Management systems (PFMs)."/>
    <m/>
    <m/>
    <s v="18221001"/>
    <s v="PFMA, PPDA and LGA regulations harmonized"/>
    <s v="Proportion of PFMA, PPDA and LGA regulations reviewed and harmonized"/>
    <n v="0"/>
    <n v="0"/>
    <n v="1"/>
    <n v="1"/>
    <n v="1"/>
    <n v="1"/>
    <s v="MoFPED"/>
    <s v="008 Ministry of Finance, Planning &amp; Economic Dev."/>
    <s v="Review and Amend the different legal frameworks to improve the Public Financial Management systems (PFMs)."/>
    <n v="1"/>
    <n v="1"/>
    <n v="0"/>
    <n v="1"/>
    <n v="1"/>
    <n v="1"/>
    <n v="1"/>
    <n v="1"/>
    <n v="0.875"/>
    <m/>
    <n v="0"/>
    <n v="2.3199999999999998"/>
    <n v="1.45"/>
    <n v="0.72499999999999998"/>
    <n v="1"/>
    <n v="1"/>
    <n v="2"/>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s v="Asset management policy in Place."/>
    <n v="0"/>
    <n v="0"/>
    <n v="1"/>
    <n v="0"/>
    <n v="0"/>
    <n v="0"/>
    <s v="MoFPED"/>
    <s v="008 Ministry of Finance, Planning &amp; Economic Dev."/>
    <s v="Develop  the asset management policy"/>
    <n v="1"/>
    <n v="1"/>
    <n v="0"/>
    <n v="1"/>
    <n v="1"/>
    <n v="0"/>
    <n v="1"/>
    <n v="1"/>
    <n v="0.75"/>
    <m/>
    <n v="0"/>
    <n v="0"/>
    <n v="0"/>
    <n v="0"/>
    <n v="0.5"/>
    <n v="0.5"/>
    <n v="1"/>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s v="Proportion of the Asset management Policy implemented."/>
    <n v="0"/>
    <n v="0"/>
    <n v="0"/>
    <n v="40"/>
    <n v="75"/>
    <n v="95"/>
    <s v="MoFPED"/>
    <s v="008 Ministry of Finance, Planning &amp; Economic Dev."/>
    <s v="Develop inventory Management System "/>
    <n v="1"/>
    <n v="0"/>
    <n v="0"/>
    <n v="1"/>
    <n v="1"/>
    <n v="0"/>
    <n v="1"/>
    <n v="1"/>
    <n v="0.625"/>
    <m/>
    <n v="0"/>
    <n v="0"/>
    <n v="0"/>
    <n v="0"/>
    <n v="0.28999999999999998"/>
    <n v="0.28999999999999998"/>
    <n v="0.57999999999999996"/>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m/>
    <m/>
    <m/>
    <m/>
    <m/>
    <m/>
    <m/>
    <s v="MoFPED"/>
    <s v="008 Ministry of Finance, Planning &amp; Economic Dev."/>
    <s v="Develop the Asset Accounting Guidelines "/>
    <n v="1"/>
    <n v="1"/>
    <n v="0"/>
    <n v="1"/>
    <n v="1"/>
    <n v="0"/>
    <n v="1"/>
    <n v="1"/>
    <n v="0.75"/>
    <m/>
    <n v="0"/>
    <n v="0"/>
    <n v="0.435"/>
    <n v="0"/>
    <n v="0.3"/>
    <n v="0.3"/>
    <n v="0.6"/>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m/>
    <m/>
    <m/>
    <m/>
    <m/>
    <m/>
    <m/>
    <s v="MoFPED"/>
    <s v="008 Ministry of Finance, Planning &amp; Economic Dev."/>
    <s v="Develop Asset management framework and guidelines "/>
    <n v="1"/>
    <n v="1"/>
    <n v="0"/>
    <n v="1"/>
    <n v="1"/>
    <n v="0"/>
    <n v="1"/>
    <n v="1"/>
    <n v="0.75"/>
    <m/>
    <n v="0"/>
    <n v="0"/>
    <n v="0"/>
    <n v="0"/>
    <n v="0.15"/>
    <n v="0.15"/>
    <n v="0.3"/>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m/>
    <m/>
    <m/>
    <m/>
    <m/>
    <m/>
    <m/>
    <s v="MoFPED"/>
    <s v="008 Ministry of Finance, Planning &amp; Economic Dev."/>
    <s v="Develop an asset management information system"/>
    <n v="1"/>
    <n v="1"/>
    <n v="0"/>
    <n v="1"/>
    <n v="1"/>
    <n v="0"/>
    <n v="1"/>
    <n v="1"/>
    <n v="0.75"/>
    <m/>
    <n v="0"/>
    <n v="0"/>
    <n v="0"/>
    <n v="0"/>
    <n v="0"/>
    <n v="0"/>
    <n v="0"/>
    <s v="MoFPED"/>
    <s v="008 Ministry of Finance, Planning &amp; Economic Dev."/>
    <m/>
  </r>
  <r>
    <x v="13"/>
    <x v="13"/>
    <s v="182"/>
    <s v="Resource Mobilization and Budgeting "/>
    <s v="1822"/>
    <s v="Strengthen budgeting and resource mobilization"/>
    <s v="182211"/>
    <s v="Develop a Comprehensive Asset Management Policy"/>
    <m/>
    <m/>
    <s v="18221101"/>
    <s v="Asset management policy developed and implemented "/>
    <m/>
    <m/>
    <m/>
    <m/>
    <m/>
    <m/>
    <m/>
    <s v="MoFPED"/>
    <s v="008 Ministry of Finance, Planning &amp; Economic Dev."/>
    <s v="Update Fixed Asset Registers. "/>
    <n v="1"/>
    <n v="1"/>
    <n v="0"/>
    <n v="1"/>
    <n v="1"/>
    <n v="0"/>
    <n v="1"/>
    <n v="1"/>
    <n v="0.75"/>
    <m/>
    <n v="0"/>
    <n v="0"/>
    <n v="0"/>
    <n v="0"/>
    <n v="0.55000000000000004"/>
    <n v="0.55000000000000004"/>
    <n v="1.1000000000000001"/>
    <s v="MoFPED"/>
    <s v="008 Ministry of Finance, Planning &amp; Economic Dev."/>
    <m/>
  </r>
  <r>
    <x v="13"/>
    <x v="13"/>
    <s v="182"/>
    <s v="Resource Mobilization and Budgeting "/>
    <s v="1822"/>
    <s v="Strengthen budgeting and resource mobilization"/>
    <s v="182211"/>
    <s v="Develop a Comprehensive Asset Management Policy"/>
    <m/>
    <m/>
    <s v="18221102"/>
    <s v="IPSAS Accrual accounting adopted across Government. (SAMTRAC)"/>
    <s v="Proportion of Government Agencies having adopted the IPSAS Accrual accounting"/>
    <n v="0"/>
    <n v="0"/>
    <n v="25"/>
    <n v="50"/>
    <n v="75"/>
    <n v="100"/>
    <s v="MoFPED"/>
    <s v="008 Ministry of Finance, Planning &amp; Economic Dev."/>
    <s v="Implement IPSAS Accrual Accounting and reporting "/>
    <n v="1"/>
    <n v="0"/>
    <n v="0"/>
    <n v="1"/>
    <n v="1"/>
    <n v="0"/>
    <n v="1"/>
    <n v="1"/>
    <n v="0.625"/>
    <m/>
    <n v="0"/>
    <n v="0"/>
    <n v="5.76"/>
    <n v="5.9"/>
    <n v="1.5"/>
    <n v="3.1"/>
    <n v="4.5999999999999996"/>
    <s v="MoFPED"/>
    <s v="008 Ministry of Finance, Planning &amp; Economic Dev."/>
    <m/>
  </r>
  <r>
    <x v="13"/>
    <x v="13"/>
    <s v="182"/>
    <s v="Resource Mobilization and Budgeting "/>
    <s v="1822"/>
    <s v="Strengthen budgeting and resource mobilization"/>
    <s v="182212"/>
    <s v="Strengthen the alignment of the Programmes, MDA and LG Plans to the NDP III"/>
    <m/>
    <m/>
    <s v="18221201"/>
    <s v="Adequacy for and equity in financing of  LGs"/>
    <s v=" % increase in grants to LGs."/>
    <n v="0.111"/>
    <n v="15"/>
    <n v="18"/>
    <n v="20"/>
    <n v="25"/>
    <n v="30"/>
    <s v="LGFC"/>
    <s v="147 Local Government Finance Commission"/>
    <s v="Review grants allocation formula for compliance with program objectives  and promotion of discretion for LGs "/>
    <n v="1"/>
    <n v="1"/>
    <n v="0"/>
    <n v="1"/>
    <n v="1"/>
    <n v="0"/>
    <n v="1"/>
    <n v="1"/>
    <n v="0.75"/>
    <m/>
    <n v="0"/>
    <n v="0"/>
    <n v="0.72499999999999998"/>
    <n v="0.72499999999999998"/>
    <n v="0.72499999999999998"/>
    <n v="0.72499999999999998"/>
    <n v="1.45"/>
    <s v="LGFC"/>
    <s v="147 Local Government Finance Commission"/>
    <m/>
  </r>
  <r>
    <x v="13"/>
    <x v="13"/>
    <s v="182"/>
    <s v="Resource Mobilization and Budgeting "/>
    <s v="1822"/>
    <s v="Strengthen budgeting and resource mobilization"/>
    <s v="182212"/>
    <s v="Strengthen the alignment of the Programmes, MDA and LG Plans to the NDP III"/>
    <m/>
    <m/>
    <s v="18221202"/>
    <s v="Assessment of the Compliance of the MDA &amp; LG Plans and Budgets to NDPIII programmes."/>
    <s v="Level of Compliance of the MDA plans and Budgets to NDPIII programmes"/>
    <n v="0"/>
    <n v="80"/>
    <n v="90"/>
    <n v="100"/>
    <n v="100"/>
    <n v="100"/>
    <s v="NPA"/>
    <s v="108 National Planning Authority"/>
    <s v="Assess the compliance of the MDA and LG Plans and Budgets to NDPIII programmes"/>
    <n v="1"/>
    <n v="1"/>
    <n v="1"/>
    <n v="1"/>
    <n v="1"/>
    <n v="1"/>
    <n v="1"/>
    <n v="1"/>
    <n v="1"/>
    <m/>
    <n v="0"/>
    <n v="1.45"/>
    <n v="1.45"/>
    <n v="1.45"/>
    <n v="3.5"/>
    <n v="3.5"/>
    <n v="7"/>
    <s v="NPA"/>
    <s v="108 National Planning Authority"/>
    <m/>
  </r>
  <r>
    <x v="13"/>
    <x v="13"/>
    <s v="182"/>
    <s v="Resource Mobilization and Budgeting "/>
    <s v="1822"/>
    <s v="Strengthen budgeting and resource mobilization"/>
    <s v="182212"/>
    <s v="Strengthen the alignment of the Programmes, MDA and LG Plans to the NDP III"/>
    <m/>
    <m/>
    <s v="18221202"/>
    <s v="Assessment of the Compliance of the MDA &amp; LG Plans and Budgets to NDPIII programmes."/>
    <s v="Level of Compliance of the LG plans and Budgets to NDPIII programmes"/>
    <n v="0"/>
    <n v="65"/>
    <n v="75"/>
    <n v="80"/>
    <n v="100"/>
    <n v="100"/>
    <s v="NPA"/>
    <s v="108 National Planning Authority"/>
    <m/>
    <m/>
    <m/>
    <m/>
    <m/>
    <m/>
    <m/>
    <n v="0"/>
    <n v="0"/>
    <n v="0"/>
    <m/>
    <n v="0"/>
    <m/>
    <m/>
    <m/>
    <m/>
    <m/>
    <n v="0"/>
    <m/>
    <m/>
    <m/>
  </r>
  <r>
    <x v="13"/>
    <x v="13"/>
    <s v="182"/>
    <s v="Resource Mobilization and Budgeting "/>
    <s v="1822"/>
    <s v="Strengthen budgeting and resource mobilization"/>
    <s v="182212"/>
    <s v="Strengthen the alignment of the Programmes, MDA and LG Plans to the NDP III"/>
    <m/>
    <m/>
    <s v="18221203"/>
    <s v="Reviewed Assessment framework for the Certificate of Compliance to NDP III programmes "/>
    <s v="Reviewed Assessment framework for the Certificate of Compliance to NDP III programmes in Place. "/>
    <n v="0"/>
    <n v="1"/>
    <n v="0"/>
    <n v="0"/>
    <n v="0"/>
    <n v="0"/>
    <s v="NPA"/>
    <s v="108 National Planning Authority"/>
    <s v="Review and Develop an assessment framework for the certificate of compliance for NDPIII on MDA and LG Strategic plans"/>
    <n v="0"/>
    <n v="0"/>
    <n v="0"/>
    <n v="0"/>
    <n v="0"/>
    <n v="0"/>
    <n v="0"/>
    <n v="0"/>
    <n v="0"/>
    <m/>
    <n v="0"/>
    <n v="0"/>
    <n v="0.435"/>
    <n v="0"/>
    <n v="0"/>
    <n v="0"/>
    <n v="0"/>
    <s v="NPA"/>
    <s v="108 National Planning Authority"/>
    <m/>
  </r>
  <r>
    <x v="13"/>
    <x v="13"/>
    <s v="182"/>
    <s v="Resource Mobilization and Budgeting "/>
    <s v="1822"/>
    <s v="Strengthen budgeting and resource mobilization"/>
    <s v="182213"/>
    <s v="Alignment of budgets to development plans at national and sub-national levels"/>
    <m/>
    <m/>
    <s v="18221301"/>
    <s v="Aligned MALGs budgets to the NDP priorities"/>
    <s v="Level of budget transparency index "/>
    <n v="58"/>
    <n v="60"/>
    <n v="65"/>
    <n v="70"/>
    <n v="75"/>
    <n v="80"/>
    <s v="MoFPED"/>
    <s v="008 Ministry of Finance, Planning &amp; Economic Dev."/>
    <s v="Implement budget transparency and consultations"/>
    <n v="1"/>
    <n v="1"/>
    <n v="0"/>
    <n v="1"/>
    <n v="1"/>
    <n v="1"/>
    <n v="1"/>
    <n v="1"/>
    <n v="0.875"/>
    <m/>
    <n v="0"/>
    <n v="3.19"/>
    <n v="1.45"/>
    <n v="1.45"/>
    <n v="52"/>
    <n v="53"/>
    <n v="105"/>
    <s v="MoFPED"/>
    <s v="008 Ministry of Finance, Planning &amp; Economic Dev."/>
    <m/>
  </r>
  <r>
    <x v="13"/>
    <x v="13"/>
    <s v="182"/>
    <s v="Resource Mobilization and Budgeting "/>
    <s v="1822"/>
    <s v="Strengthen budgeting and resource mobilization"/>
    <s v="182213"/>
    <s v="Alignment of budgets to development plans at national and sub-national levels"/>
    <m/>
    <m/>
    <s v="18221301"/>
    <s v="Aligned MALGs budgets to the NDP priorities"/>
    <s v="Level of alignment /Compliance of the National Budget to NDP"/>
    <n v="54"/>
    <n v="60"/>
    <n v="70"/>
    <n v="85"/>
    <n v="90"/>
    <n v="100"/>
    <s v="NPA"/>
    <s v="108 National Planning Authority"/>
    <s v="Technical backstopping of MDAs and LGs in collaboration with MFPED"/>
    <n v="1"/>
    <n v="0"/>
    <n v="0"/>
    <n v="1"/>
    <n v="1"/>
    <n v="0"/>
    <n v="1"/>
    <n v="1"/>
    <n v="0.625"/>
    <m/>
    <n v="0"/>
    <n v="0"/>
    <n v="0.28999999999999998"/>
    <n v="0.28999999999999998"/>
    <n v="0.28999999999999998"/>
    <n v="0.28999999999999998"/>
    <n v="0.57999999999999996"/>
    <s v="NPA"/>
    <s v="108 National Planning Authority"/>
    <m/>
  </r>
  <r>
    <x v="13"/>
    <x v="13"/>
    <s v="182"/>
    <s v="Resource Mobilization and Budgeting "/>
    <s v="1822"/>
    <s v="Strengthen budgeting and resource mobilization"/>
    <s v="182213"/>
    <s v="Alignment of budgets to development plans at national and sub-national levels"/>
    <m/>
    <m/>
    <s v="18221301"/>
    <s v="Aligned MALGs budgets to the NDP priorities"/>
    <s v="Level of alignment /Compliance of the LGs Budget to NDP"/>
    <n v="53.2"/>
    <n v="55"/>
    <n v="65"/>
    <n v="75"/>
    <n v="85"/>
    <n v="95"/>
    <s v="NPA"/>
    <s v="108 National Planning Authority"/>
    <m/>
    <m/>
    <m/>
    <m/>
    <m/>
    <m/>
    <m/>
    <n v="0"/>
    <m/>
    <n v="0"/>
    <m/>
    <n v="0"/>
    <m/>
    <m/>
    <m/>
    <m/>
    <m/>
    <n v="0"/>
    <m/>
    <m/>
    <m/>
  </r>
  <r>
    <x v="13"/>
    <x v="13"/>
    <s v="182"/>
    <s v="Resource Mobilization and Budgeting "/>
    <s v="1822"/>
    <s v="Strengthen budgeting and resource mobilization"/>
    <s v="182213"/>
    <s v="Alignment of budgets to development plans at national and sub-national levels"/>
    <m/>
    <m/>
    <s v="18221301"/>
    <s v="Aligned MALGs budgets to the NDP priorities"/>
    <s v="Level of alignment /Compliance of the MDA Budget to NDP"/>
    <n v="62.2"/>
    <n v="65"/>
    <n v="75"/>
    <n v="80"/>
    <n v="85"/>
    <n v="95"/>
    <s v="NPA"/>
    <s v="108 National Planning Authority"/>
    <m/>
    <m/>
    <m/>
    <m/>
    <m/>
    <m/>
    <m/>
    <n v="0"/>
    <n v="0"/>
    <n v="0"/>
    <m/>
    <n v="0"/>
    <m/>
    <m/>
    <m/>
    <m/>
    <m/>
    <n v="0"/>
    <m/>
    <m/>
    <m/>
  </r>
  <r>
    <x v="13"/>
    <x v="13"/>
    <s v="182"/>
    <s v="Resource Mobilization and Budgeting "/>
    <s v="1822"/>
    <s v="Strengthen budgeting and resource mobilization"/>
    <s v="182213"/>
    <s v="Alignment of budgets to development plans at national and sub-national levels"/>
    <m/>
    <m/>
    <s v="18221301"/>
    <s v="Aligned MALGs budgets to the NDP priorities"/>
    <s v="Proportion (%) of Parliamentary Sessional (programme) Committees trained in alignment of Plans, Budgets to NDP III priorities"/>
    <n v="0"/>
    <n v="0"/>
    <n v="60"/>
    <n v="80"/>
    <n v="100"/>
    <n v="100"/>
    <s v="PC"/>
    <s v="104 Parliamentary Commission"/>
    <s v="Build capacity of Parliamentary Sessional Committees to effectively analyze Plans and Budgets of MDAs"/>
    <m/>
    <m/>
    <m/>
    <m/>
    <m/>
    <m/>
    <n v="0"/>
    <n v="0"/>
    <n v="0"/>
    <m/>
    <n v="0"/>
    <n v="0"/>
    <n v="2.3199999999999998"/>
    <n v="2.3199999999999998"/>
    <n v="0"/>
    <n v="0"/>
    <n v="0"/>
    <s v="Parliament"/>
    <s v="104 Parliamentary Commission"/>
    <m/>
  </r>
  <r>
    <x v="13"/>
    <x v="13"/>
    <s v="182"/>
    <s v="Resource Mobilization and Budgeting "/>
    <s v="1822"/>
    <s v="Strengthen budgeting and resource mobilization"/>
    <s v="182213"/>
    <s v="Alignment of budgets to development plans at national and sub-national levels"/>
    <m/>
    <m/>
    <s v="18221302"/>
    <s v="A Review on the functionality of PWGs done."/>
    <s v="No of reviews undertaken to assess the functionality of PWGs and related capacity"/>
    <n v="0"/>
    <n v="0"/>
    <n v="1"/>
    <n v="0"/>
    <n v="1"/>
    <n v="0"/>
    <s v="NPA"/>
    <s v="108 National Planning Authority"/>
    <s v="Review the functionality of PWGs and related capacity to develop strategic plans and use of the revised planning guidelines"/>
    <n v="1"/>
    <n v="0"/>
    <n v="0"/>
    <n v="1"/>
    <n v="1"/>
    <n v="0"/>
    <n v="0"/>
    <n v="1"/>
    <n v="0.5"/>
    <m/>
    <n v="0"/>
    <n v="0"/>
    <n v="0.31900000000000001"/>
    <n v="0"/>
    <n v="0"/>
    <n v="0"/>
    <n v="0"/>
    <s v="NPA"/>
    <s v="108 National Planning Authority"/>
    <m/>
  </r>
  <r>
    <x v="13"/>
    <x v="13"/>
    <s v="182"/>
    <s v="Resource Mobilization and Budgeting "/>
    <s v="1822"/>
    <s v="Strengthen budgeting and resource mobilization"/>
    <s v="182213"/>
    <s v="Alignment of budgets to development plans at national and sub-national levels"/>
    <m/>
    <m/>
    <s v="18221303"/>
    <s v="Medium Term Budget Framework report produced"/>
    <s v="Medium Term Budget Framework report in place"/>
    <n v="1"/>
    <n v="1"/>
    <n v="1"/>
    <n v="1"/>
    <n v="1"/>
    <n v="1"/>
    <s v="MoFPED"/>
    <s v="008 Ministry of Finance, Planning &amp; Economic Dev."/>
    <s v="Produce the MTEF "/>
    <n v="1"/>
    <n v="1"/>
    <n v="0"/>
    <n v="1"/>
    <n v="1"/>
    <n v="0"/>
    <n v="1"/>
    <n v="1"/>
    <n v="0.75"/>
    <m/>
    <n v="0"/>
    <n v="0.14499999999999999"/>
    <n v="0.14499999999999999"/>
    <n v="0.14499999999999999"/>
    <n v="0.14499999999999999"/>
    <n v="0.14499999999999999"/>
    <n v="0.28999999999999998"/>
    <s v="MoFPED"/>
    <s v="008 Ministry of Finance, Planning &amp; Economic Dev."/>
    <m/>
  </r>
  <r>
    <x v="13"/>
    <x v="13"/>
    <s v="182"/>
    <s v="Resource Mobilization and Budgeting "/>
    <s v="1822"/>
    <s v="Strengthen budgeting and resource mobilization"/>
    <s v="182213"/>
    <s v="Alignment of budgets to development plans at national and sub-national levels"/>
    <m/>
    <m/>
    <s v="18221304"/>
    <s v="Regular  assessment of risks to the economy to enhance budget credibility conducted"/>
    <s v="Number of risk assessments to enhance budget credibility conducted"/>
    <n v="0"/>
    <n v="1"/>
    <n v="1"/>
    <n v="1"/>
    <n v="1"/>
    <n v="1"/>
    <s v="MoFPED"/>
    <s v="008 Ministry of Finance, Planning &amp; Economic Dev."/>
    <s v="Produce a report on the Fiscal risks and corresponding  mitigation measures "/>
    <n v="0"/>
    <n v="1"/>
    <n v="0"/>
    <n v="1"/>
    <n v="1"/>
    <n v="1"/>
    <n v="0"/>
    <n v="1"/>
    <n v="0.625"/>
    <m/>
    <n v="0"/>
    <n v="0.14499999999999999"/>
    <n v="0.14499999999999999"/>
    <n v="0.14499999999999999"/>
    <n v="0.14499999999999999"/>
    <n v="0.14499999999999999"/>
    <n v="0.28999999999999998"/>
    <s v="MoFPED"/>
    <s v="008 Ministry of Finance, Planning &amp; Economic Dev."/>
    <m/>
  </r>
  <r>
    <x v="13"/>
    <x v="13"/>
    <s v="182"/>
    <s v="Resource Mobilization and Budgeting "/>
    <s v="1822"/>
    <s v="Strengthen budgeting and resource mobilization"/>
    <s v="182213"/>
    <s v="Alignment of budgets to development plans at national and sub-national levels"/>
    <m/>
    <m/>
    <s v="18221305"/>
    <s v=" Aligned budgets to Gender and Equity Outcomes"/>
    <s v="Proportion of aligned BFPs for MDAs aligned to Gender and Equity Planning and Budgeting requirements."/>
    <n v="65"/>
    <n v="70"/>
    <n v="72"/>
    <n v="72"/>
    <n v="70"/>
    <n v="75"/>
    <s v="EOC"/>
    <s v="124 Equal Opportunities Commission"/>
    <s v="Assess and Enforce the compliance for  Gender and Equity among the MDAs, LGs and national budgets"/>
    <n v="1"/>
    <n v="0"/>
    <n v="0"/>
    <n v="1"/>
    <n v="1"/>
    <n v="0"/>
    <n v="1"/>
    <n v="1"/>
    <n v="0.625"/>
    <m/>
    <n v="0"/>
    <n v="1.45"/>
    <n v="1.45"/>
    <n v="1.45"/>
    <n v="1.45"/>
    <n v="1.45"/>
    <n v="2.9"/>
    <s v="EOC"/>
    <s v="124 Equal Opportunities Commission"/>
    <m/>
  </r>
  <r>
    <x v="13"/>
    <x v="13"/>
    <s v="182"/>
    <s v="Resource Mobilization and Budgeting "/>
    <s v="1822"/>
    <s v="Strengthen budgeting and resource mobilization"/>
    <s v="182213"/>
    <s v="Alignment of budgets to development plans at national and sub-national levels"/>
    <m/>
    <m/>
    <s v="18221305"/>
    <s v=" Aligned budgets to Gender and Equity Outcomes"/>
    <s v="Proportion of aligned MPSs for MDAs aligned to Gender and Equity Planning and Budgeting requirements."/>
    <n v="65"/>
    <n v="70"/>
    <n v="72"/>
    <n v="75"/>
    <n v="80"/>
    <n v="85"/>
    <s v="EOC"/>
    <s v="124 Equal Opportunities Commission"/>
    <m/>
    <m/>
    <m/>
    <m/>
    <m/>
    <m/>
    <m/>
    <n v="0"/>
    <n v="0"/>
    <n v="0"/>
    <m/>
    <n v="0"/>
    <m/>
    <m/>
    <m/>
    <m/>
    <m/>
    <n v="0"/>
    <m/>
    <m/>
    <m/>
  </r>
  <r>
    <x v="13"/>
    <x v="13"/>
    <s v="182"/>
    <s v="Resource Mobilization and Budgeting "/>
    <s v="1822"/>
    <s v="Strengthen budgeting and resource mobilization"/>
    <s v="182213"/>
    <s v="Alignment of budgets to development plans at national and sub-national levels"/>
    <m/>
    <m/>
    <s v="18221305"/>
    <s v=" Aligned budgets to Gender and Equity Outcomes"/>
    <s v="Proportion of LG  Budgets aligned to Gender and Equity Planning and Budgeting requirements."/>
    <n v="40"/>
    <n v="60"/>
    <n v="62"/>
    <n v="65"/>
    <n v="67"/>
    <n v="70"/>
    <s v="EOC"/>
    <s v="124 Equal Opportunities Commission"/>
    <m/>
    <m/>
    <m/>
    <m/>
    <m/>
    <m/>
    <m/>
    <n v="0"/>
    <n v="0"/>
    <n v="0"/>
    <m/>
    <n v="0"/>
    <m/>
    <m/>
    <m/>
    <m/>
    <m/>
    <n v="0"/>
    <m/>
    <m/>
    <m/>
  </r>
  <r>
    <x v="13"/>
    <x v="13"/>
    <s v="182"/>
    <s v="Resource Mobilization and Budgeting "/>
    <s v="1822"/>
    <s v="Strengthen budgeting and resource mobilization"/>
    <s v="182214"/>
    <s v="Roll out Automated Procurement systems to all MDAs and LGs (e-GP)."/>
    <m/>
    <m/>
    <s v="18221401"/>
    <s v="Automated Procurement Systems (e-GP) rolled out to all MDAs and LGs"/>
    <s v="Share of public government procurement expenditure Transacted through EGP."/>
    <n v="0"/>
    <n v="40"/>
    <n v="50"/>
    <n v="65"/>
    <n v="85"/>
    <n v="100"/>
    <s v="MoFPED"/>
    <s v="008 Ministry of Finance, Planning &amp; Economic Dev."/>
    <s v="Roll out Automated Procurement systems to all MDAs and LGs (e-GP)."/>
    <n v="1"/>
    <n v="1"/>
    <n v="0"/>
    <n v="1"/>
    <n v="1"/>
    <n v="1"/>
    <n v="0"/>
    <n v="1"/>
    <n v="0.75"/>
    <m/>
    <n v="0"/>
    <n v="1.45"/>
    <n v="1.45"/>
    <n v="1.45"/>
    <n v="3.45"/>
    <n v="3.5"/>
    <n v="6.95"/>
    <s v="MoFPED"/>
    <s v="008 Ministry of Finance, Planning &amp; Economic Dev."/>
    <m/>
  </r>
  <r>
    <x v="13"/>
    <x v="13"/>
    <s v="182"/>
    <s v="Resource Mobilization and Budgeting "/>
    <s v="1822"/>
    <s v="Strengthen budgeting and resource mobilization"/>
    <s v="182214"/>
    <s v="Roll out Automated Procurement systems to all MDAs and LGs (e-GP)."/>
    <m/>
    <m/>
    <s v="18221401"/>
    <s v="Automated Procurement Systems (e-GP) rolled out to all MDAs and LGs"/>
    <s v="Proportion of MDAs linked to the Automated Procurement Systems (e-GP)  "/>
    <n v="0"/>
    <n v="10"/>
    <n v="24"/>
    <n v="38"/>
    <n v="52"/>
    <n v="79"/>
    <s v="MoFPED"/>
    <s v="008 Ministry of Finance, Planning &amp; Economic Dev."/>
    <m/>
    <m/>
    <m/>
    <m/>
    <m/>
    <m/>
    <m/>
    <n v="0"/>
    <n v="0"/>
    <n v="0"/>
    <m/>
    <n v="0"/>
    <m/>
    <m/>
    <m/>
    <m/>
    <m/>
    <n v="0"/>
    <m/>
    <m/>
    <m/>
  </r>
  <r>
    <x v="13"/>
    <x v="13"/>
    <s v="182"/>
    <s v="Resource Mobilization and Budgeting "/>
    <s v="1822"/>
    <s v="Strengthen budgeting and resource mobilization"/>
    <s v="182215"/>
    <s v="Strengthen Parliament to effectively play its role in the national budget processes for proper implementation of NDPIII priorities"/>
    <s v="182215a"/>
    <s v="Review and strengthen the support structure in Parliament along the PFM reforms "/>
    <s v="182215a01"/>
    <s v="Appropriate support structure for PFM reform change Management."/>
    <s v="No. of Staff assigned to support Parliamentary committees along the PFM reforms."/>
    <n v="0"/>
    <n v="7"/>
    <n v="10"/>
    <n v="10"/>
    <n v="10"/>
    <n v="10"/>
    <s v="MoFPED"/>
    <s v="008 Ministry of Finance, Planning &amp; Economic Dev."/>
    <s v="Facilitate MFPED assigned staff to support the Parliamentary committees along the PFM reforms."/>
    <n v="1"/>
    <n v="0"/>
    <n v="0"/>
    <n v="1"/>
    <n v="1"/>
    <n v="0"/>
    <n v="1"/>
    <n v="1"/>
    <n v="0.625"/>
    <m/>
    <n v="0"/>
    <n v="7.2499999999999995E-2"/>
    <n v="7.2499999999999995E-2"/>
    <n v="7.2499999999999995E-2"/>
    <n v="0.1"/>
    <n v="0.3"/>
    <n v="0.4"/>
    <s v="MoFPED"/>
    <s v="008 Ministry of Finance, Planning &amp; Economic Dev."/>
    <m/>
  </r>
  <r>
    <x v="13"/>
    <x v="13"/>
    <s v="182"/>
    <s v="Resource Mobilization and Budgeting "/>
    <s v="1822"/>
    <s v="Strengthen budgeting and resource mobilization"/>
    <s v="182215"/>
    <s v="Strengthen Parliament to effectively play its role in the national budget processes for proper implementation of NDPIII priorities"/>
    <s v="182215a"/>
    <s v="Review and strengthen the support structure in Parliament along the PFM reforms "/>
    <s v="182215a01"/>
    <s v="Appropriate support structure for PFM reform change Management."/>
    <s v="Proportion (%) of Parliamentary Committees with adequate staff to support them along the PFM reforms."/>
    <n v="0"/>
    <n v="60"/>
    <n v="80"/>
    <n v="100"/>
    <n v="100"/>
    <n v="100"/>
    <s v="PC"/>
    <s v="104 Parliamentary Commission"/>
    <s v="Restructure / Recruit / Facilitate  staff to support the Parliament committees along the PFM reforms."/>
    <m/>
    <m/>
    <m/>
    <m/>
    <m/>
    <m/>
    <n v="0"/>
    <n v="0"/>
    <n v="0"/>
    <m/>
    <n v="0"/>
    <n v="1.74"/>
    <n v="1.74"/>
    <n v="2.1749999999999998"/>
    <n v="0"/>
    <n v="0"/>
    <n v="0"/>
    <s v="Parliament"/>
    <s v="104 Parliamentary Commission"/>
    <m/>
  </r>
  <r>
    <x v="13"/>
    <x v="13"/>
    <s v="182"/>
    <s v="Resource Mobilization and Budgeting "/>
    <s v="1822"/>
    <s v="Strengthen budgeting and resource mobilization"/>
    <s v="182215"/>
    <s v="Strengthen Parliament to effectively play its role in the national budget processes for proper implementation of NDPIII priorities"/>
    <s v="182215a"/>
    <s v="Review and strengthen the support structure in Parliament along the PFM reforms "/>
    <s v="182215a01"/>
    <s v="Appropriate support structure for PFM reform change Management."/>
    <s v="No. of Staff assigned to support Parliamentary committees along the PFM reforms."/>
    <n v="0"/>
    <n v="7"/>
    <n v="7"/>
    <n v="7"/>
    <n v="7"/>
    <n v="7"/>
    <s v="OAG"/>
    <s v="131 Auditor General"/>
    <s v="Facilitate OAG assigned staff to support the Parliamentary committees along the PFM reforms."/>
    <m/>
    <m/>
    <m/>
    <m/>
    <m/>
    <m/>
    <n v="0"/>
    <n v="0"/>
    <n v="0"/>
    <m/>
    <n v="0"/>
    <n v="0.435"/>
    <n v="0.50749999999999995"/>
    <n v="0.55099999999999993"/>
    <n v="0.5"/>
    <n v="0.52"/>
    <n v="1.02"/>
    <s v="OAG"/>
    <s v="131 Auditor General"/>
    <m/>
  </r>
  <r>
    <x v="13"/>
    <x v="13"/>
    <s v="182"/>
    <s v="Resource Mobilization and Budgeting "/>
    <s v="1822"/>
    <s v="Strengthen budgeting and resource mobilization"/>
    <s v="182215"/>
    <s v="Strengthen Parliament to effectively play its role in the national budget processes for proper implementation of NDPIII priorities"/>
    <s v="182215a"/>
    <s v="Review and strengthen the support structure in Parliament along the PFM reforms "/>
    <s v="182215a02"/>
    <s v="Capacity built among the MPs and Staff on PFM reforms"/>
    <s v="Proportion of Staff and MPs trained on the PFM reforms."/>
    <n v="0"/>
    <n v="50"/>
    <n v="60"/>
    <n v="70"/>
    <n v="75"/>
    <n v="85"/>
    <s v="MoFPED"/>
    <s v="008 Ministry of Finance, Planning &amp; Economic Dev."/>
    <s v="Build Capacity of MPS and staff along the PFM reforms."/>
    <m/>
    <m/>
    <m/>
    <m/>
    <m/>
    <m/>
    <n v="0"/>
    <n v="0"/>
    <n v="0"/>
    <m/>
    <n v="0"/>
    <n v="2.9"/>
    <n v="4.3499999999999996"/>
    <n v="2.9"/>
    <n v="0"/>
    <n v="0"/>
    <n v="0"/>
    <s v="Parliament"/>
    <s v="104 Parliamentary Commission"/>
    <m/>
  </r>
  <r>
    <x v="13"/>
    <x v="13"/>
    <s v="182"/>
    <s v="Resource Mobilization and Budgeting "/>
    <s v="1822"/>
    <s v="Strengthen budgeting and resource mobilization"/>
    <s v="182215"/>
    <s v="Strengthen Parliament to effectively play its role in the national budget processes for proper implementation of NDPIII priorities"/>
    <s v="182215b"/>
    <s v="Ensure compliance of all provisions of the PFMA (2015) by MDAs"/>
    <s v="182215b01"/>
    <s v="Compliance check list on all PFMA (2015) provisions."/>
    <s v="Operational checklist on all PFMA (2015) provisions."/>
    <n v="0"/>
    <n v="1"/>
    <n v="1"/>
    <n v="1"/>
    <n v="1"/>
    <n v="1"/>
    <s v="MoFPED"/>
    <s v="008 Ministry of Finance, Planning &amp; Economic Dev."/>
    <s v="Develop a Compliance check list on all PFMA (2015) provisions to be followed by MDAs, Missions abroad and LGs"/>
    <n v="1"/>
    <n v="0"/>
    <n v="0"/>
    <n v="1"/>
    <n v="1"/>
    <n v="0"/>
    <n v="1"/>
    <n v="1"/>
    <n v="0.625"/>
    <m/>
    <n v="0"/>
    <n v="0.14499999999999999"/>
    <n v="0"/>
    <n v="0"/>
    <n v="0.1"/>
    <n v="0.1"/>
    <n v="0.2"/>
    <s v="MoFPED"/>
    <s v="008 Ministry of Finance, Planning &amp; Economic Dev."/>
    <m/>
  </r>
  <r>
    <x v="13"/>
    <x v="13"/>
    <s v="182"/>
    <s v="Resource Mobilization and Budgeting "/>
    <s v="1822"/>
    <s v="Strengthen budgeting and resource mobilization"/>
    <s v="182215"/>
    <s v="Strengthen Parliament to effectively play its role in the national budget processes for proper implementation of NDPIII priorities"/>
    <s v="182215b"/>
    <s v="Ensure compliance of all provisions of the PFMA (2015) by MDAs"/>
    <s v="182215b02"/>
    <s v="MDAs, LGs and Missions Abroad Complied with all PFMA (2015) provisions."/>
    <s v="Proportion (%) of MDAs, LGs and Missions Abroad inspected to ensure compliance with the operational checklist on the PFMA 2015 provisions."/>
    <n v="0"/>
    <n v="50"/>
    <n v="60"/>
    <n v="70"/>
    <n v="80"/>
    <n v="90"/>
    <s v="MoFPED"/>
    <s v="008 Ministry of Finance, Planning &amp; Economic Dev."/>
    <s v="Enforce Compliance of all Provisions of the PFMA by MDAs, Missions abroad and LGs"/>
    <n v="1"/>
    <n v="0"/>
    <n v="0"/>
    <n v="1"/>
    <n v="1"/>
    <n v="1"/>
    <n v="0"/>
    <n v="1"/>
    <n v="0.625"/>
    <m/>
    <n v="0"/>
    <n v="5.22"/>
    <n v="1.45"/>
    <n v="1.45"/>
    <n v="1.45"/>
    <n v="1.8"/>
    <n v="3.25"/>
    <s v="MoFPED"/>
    <s v="008 Ministry of Finance, Planning &amp; Economic Dev."/>
    <m/>
  </r>
  <r>
    <x v="13"/>
    <x v="13"/>
    <s v="182"/>
    <s v="Resource Mobilization and Budgeting "/>
    <s v="1822"/>
    <s v="Strengthen budgeting and resource mobilization"/>
    <s v="182215"/>
    <s v="Strengthen Parliament to effectively play its role in the national budget processes for proper implementation of NDPIII priorities"/>
    <s v="182215b"/>
    <s v="Ensure compliance of all provisions of the PFMA (2015) by MDAs"/>
    <s v="182215b03"/>
    <s v="Capacity for all PFM cadres built to ensure compliance "/>
    <s v="Operational checklist on all PFMA (2015) provisions."/>
    <n v="0"/>
    <n v="1"/>
    <n v="1"/>
    <n v="1"/>
    <n v="1"/>
    <n v="1"/>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Attain at least 75% of PFM systems interoperability "/>
    <n v="0"/>
    <n v="0"/>
    <n v="20"/>
    <n v="35"/>
    <n v="50"/>
    <n v="75"/>
    <s v="MoFPED"/>
    <s v="008 Ministry of Finance, Planning &amp; Economic Dev."/>
    <s v="Support development and maintenance of the integrated PFM system"/>
    <n v="1"/>
    <n v="1"/>
    <n v="0"/>
    <n v="1"/>
    <n v="1"/>
    <n v="1"/>
    <n v="1"/>
    <n v="1"/>
    <n v="0.875"/>
    <m/>
    <n v="0"/>
    <n v="0"/>
    <n v="0"/>
    <n v="0"/>
    <n v="0"/>
    <n v="0"/>
    <n v="0"/>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Accounting and Financial reports generated through IFMS"/>
    <n v="0"/>
    <n v="1"/>
    <n v="1"/>
    <n v="1"/>
    <n v="1"/>
    <n v="1"/>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No of new sites rolled out on IFMS"/>
    <n v="0"/>
    <n v="0"/>
    <n v="13"/>
    <n v="0"/>
    <n v="0"/>
    <n v="0"/>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No of PFM Systems integrated for ease of information sharing"/>
    <n v="0"/>
    <n v="0"/>
    <n v="0"/>
    <n v="5"/>
    <n v="0"/>
    <n v="0"/>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Capacity building programme for AGO"/>
    <n v="0"/>
    <n v="0"/>
    <n v="1"/>
    <n v="0"/>
    <n v="0"/>
    <n v="0"/>
    <s v="MoFPED"/>
    <s v="008 Ministry of Finance, Planning &amp; Economic Dev."/>
    <s v="Build capacity for accounts and audit cadre in MDALGs for AGO"/>
    <n v="1"/>
    <n v="0"/>
    <n v="0"/>
    <n v="1"/>
    <m/>
    <n v="1"/>
    <n v="1"/>
    <n v="1"/>
    <n v="0.625"/>
    <m/>
    <n v="0"/>
    <n v="4.3499999999999996"/>
    <n v="4.3499999999999996"/>
    <n v="2.1749999999999998"/>
    <n v="2.1800000000000002"/>
    <n v="4.3499999999999996"/>
    <n v="6.5299999999999994"/>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1"/>
    <s v="GoU Public Financial Management (PFM) systems integrated into one PFM system i.e HCM ,e-GP ,e-tax "/>
    <s v="Percentage of MDALGs using PFM system "/>
    <n v="0"/>
    <n v="60"/>
    <n v="70"/>
    <n v="80"/>
    <n v="85"/>
    <n v="90"/>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2"/>
    <s v="An upgraded financial reporting system rolled out at missions abroad."/>
    <s v="Proportion of missions upgraded to the new system. "/>
    <n v="0"/>
    <n v="25"/>
    <n v="50"/>
    <n v="75"/>
    <n v="85"/>
    <n v="100"/>
    <s v="MoFPED"/>
    <s v="008 Ministry of Finance, Planning &amp; Economic Dev."/>
    <s v="Upgrade Missions system  and offer second level support to Navision system"/>
    <n v="1"/>
    <n v="1"/>
    <n v="0"/>
    <n v="1"/>
    <n v="1"/>
    <n v="1"/>
    <n v="0"/>
    <n v="1"/>
    <n v="0.75"/>
    <m/>
    <n v="0"/>
    <n v="1.45"/>
    <n v="6.96"/>
    <n v="2.9"/>
    <n v="2.9"/>
    <n v="2.9"/>
    <n v="5.8"/>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3"/>
    <s v="IFMS  rolled out to the remaining LGs"/>
    <s v="Proportion of remaining LGs rolled onto IFMS"/>
    <n v="50"/>
    <n v="60"/>
    <n v="65"/>
    <n v="75"/>
    <n v="90"/>
    <n v="100"/>
    <s v="MoFPED"/>
    <s v="008 Ministry of Finance, Planning &amp; Economic Dev."/>
    <s v="Undertake readiness assessment of sites for rollout and offer go live support to votes"/>
    <n v="1"/>
    <n v="0"/>
    <n v="0"/>
    <n v="1"/>
    <n v="1"/>
    <n v="1"/>
    <n v="1"/>
    <n v="1"/>
    <n v="0.75"/>
    <m/>
    <n v="0"/>
    <n v="1.54"/>
    <n v="2.19"/>
    <n v="2.19"/>
    <n v="1.73"/>
    <n v="1.7"/>
    <n v="3.4299999999999997"/>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3"/>
    <s v="IFMS  rolled out to the remaining LGs"/>
    <m/>
    <m/>
    <m/>
    <m/>
    <m/>
    <m/>
    <m/>
    <s v="MoFPED"/>
    <s v="008 Ministry of Finance, Planning &amp; Economic Dev."/>
    <s v="Upgrade IFMS (to a Programme based approach) and roll out to all MDAs and LGs"/>
    <n v="1"/>
    <n v="0"/>
    <n v="0"/>
    <n v="1"/>
    <n v="1"/>
    <n v="1"/>
    <n v="1"/>
    <n v="1"/>
    <n v="0.75"/>
    <m/>
    <n v="0"/>
    <n v="34.85"/>
    <n v="21.23"/>
    <n v="1.04"/>
    <n v="3"/>
    <n v="3.5"/>
    <n v="6.5"/>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3"/>
    <s v="IFMS  rolled out to the remaining LGs"/>
    <m/>
    <m/>
    <m/>
    <m/>
    <m/>
    <m/>
    <m/>
    <s v="MoFPED"/>
    <s v="008 Ministry of Finance, Planning &amp; Economic Dev."/>
    <s v="Offer technical system support to users of PFM systems"/>
    <n v="1"/>
    <n v="1"/>
    <n v="0"/>
    <n v="1"/>
    <n v="1"/>
    <n v="0"/>
    <n v="1"/>
    <n v="1"/>
    <n v="0.75"/>
    <m/>
    <n v="0"/>
    <n v="0"/>
    <n v="0"/>
    <n v="0"/>
    <n v="11"/>
    <n v="12"/>
    <n v="23"/>
    <s v="MoFPED"/>
    <s v="008 Ministry of Finance, Planning &amp; Economic Dev."/>
    <m/>
  </r>
  <r>
    <x v="13"/>
    <x v="13"/>
    <s v="182"/>
    <s v="Resource Mobilization and Budgeting "/>
    <s v="1822"/>
    <s v="Strengthen budgeting and resource mobilization"/>
    <s v="182216"/>
    <s v="Integrate GoU Public Financial Management (PFM) Systems for integrated PFM systems."/>
    <m/>
    <m/>
    <n v="18221604"/>
    <s v="IFMS (Ver. 12.2.9) rolled out to MALGs "/>
    <s v="Proportion of MALGS where IFMS (Ver. 12.2.9)  has been rolled out "/>
    <n v="0"/>
    <n v="30"/>
    <n v="69"/>
    <n v="80"/>
    <n v="85"/>
    <n v="90"/>
    <s v="MoFPED"/>
    <s v="008 Ministry of Finance, Planning &amp; Economic Dev."/>
    <m/>
    <m/>
    <m/>
    <m/>
    <m/>
    <m/>
    <m/>
    <n v="0"/>
    <n v="0"/>
    <n v="0"/>
    <m/>
    <n v="0"/>
    <m/>
    <m/>
    <m/>
    <m/>
    <m/>
    <n v="0"/>
    <m/>
    <m/>
    <m/>
  </r>
  <r>
    <x v="13"/>
    <x v="13"/>
    <s v="182"/>
    <s v="Resource Mobilization and Budgeting "/>
    <s v="1822"/>
    <s v="Strengthen budgeting and resource mobilization"/>
    <s v="182216"/>
    <s v="Integrate GoU Public Financial Management (PFM) Systems for integrated PFM systems."/>
    <m/>
    <m/>
    <n v="18221604"/>
    <s v="Robust, secure and integrated PFM systems in all MDAs and LGs "/>
    <m/>
    <m/>
    <m/>
    <m/>
    <m/>
    <m/>
    <m/>
    <s v="MoFPED"/>
    <s v="008 Ministry of Finance, Planning &amp; Economic Dev."/>
    <s v="Provide support and maintainance of PFM systems"/>
    <n v="1"/>
    <n v="0"/>
    <n v="0"/>
    <n v="1"/>
    <n v="1"/>
    <n v="1"/>
    <n v="1"/>
    <n v="1"/>
    <n v="0.75"/>
    <m/>
    <n v="0"/>
    <n v="17.399999999999999"/>
    <n v="17.399999999999999"/>
    <n v="17.399999999999999"/>
    <n v="17.399999999999999"/>
    <n v="17.399999999999999"/>
    <n v="34.799999999999997"/>
    <s v="MoFPED"/>
    <s v="008 Ministry of Finance, Planning &amp; Economic Dev."/>
    <m/>
  </r>
  <r>
    <x v="13"/>
    <x v="13"/>
    <s v="182"/>
    <s v="Resource Mobilization and Budgeting "/>
    <s v="1822"/>
    <s v="Strengthen budgeting and resource mobilization"/>
    <s v="182217"/>
    <s v="Operationalize the system for tracking off-budget financing."/>
    <m/>
    <m/>
    <n v="18221701"/>
    <s v=" An off-budget tracking mechanism for external support to MDA and LGs."/>
    <s v="A functional off-budget tracking mechanism "/>
    <n v="0"/>
    <n v="1"/>
    <n v="1"/>
    <n v="1"/>
    <n v="1"/>
    <n v="1"/>
    <s v="MoFPED"/>
    <s v="008 Ministry of Finance, Planning &amp; Economic Dev."/>
    <s v="Operationalize the system for tracking off budget financing"/>
    <n v="1"/>
    <n v="1"/>
    <n v="0"/>
    <n v="1"/>
    <n v="1"/>
    <n v="1"/>
    <n v="0"/>
    <n v="1"/>
    <n v="0.75"/>
    <m/>
    <n v="0"/>
    <n v="0.73"/>
    <n v="0.73"/>
    <n v="0.73"/>
    <n v="0.73"/>
    <n v="0.73"/>
    <n v="1.46"/>
    <s v="MoFPED"/>
    <s v="008 Ministry of Finance, Planning &amp; Economic Dev."/>
    <m/>
  </r>
  <r>
    <x v="13"/>
    <x v="13"/>
    <s v="182"/>
    <s v="Resource Mobilization and Budgeting "/>
    <s v="1822"/>
    <s v="Strengthen budgeting and resource mobilization"/>
    <s v="182218"/>
    <s v="Fast-track the review and amendment of the relevant procurement laws, policies and regulations to simplify the procurement process"/>
    <m/>
    <m/>
    <s v="18221801"/>
    <s v="Procurement laws, policies and regulations reviewed "/>
    <s v="Reviewed Procurement PPDA laws, policies and regulations in place"/>
    <n v="0"/>
    <n v="0"/>
    <n v="1"/>
    <n v="0"/>
    <n v="0"/>
    <n v="0"/>
    <s v="MoFPED"/>
    <s v="008 Ministry of Finance, Planning &amp; Economic Dev."/>
    <s v="Review of the PPDA regulations and LG(PPDA) Regulations to harmonize them with the amended PPDA Act together with the standard bid documents"/>
    <n v="1"/>
    <n v="1"/>
    <n v="0"/>
    <n v="1"/>
    <n v="1"/>
    <n v="0"/>
    <n v="1"/>
    <n v="1"/>
    <n v="0.75"/>
    <m/>
    <n v="0"/>
    <n v="0.44"/>
    <n v="0.44"/>
    <n v="0"/>
    <n v="3"/>
    <n v="3.1"/>
    <n v="6.1"/>
    <s v="MoFPED"/>
    <s v="008 Ministry of Finance, Planning &amp; Economic Dev."/>
    <m/>
  </r>
  <r>
    <x v="13"/>
    <x v="13"/>
    <s v="182"/>
    <s v="Resource Mobilization and Budgeting "/>
    <s v="1822"/>
    <s v="Strengthen budgeting and resource mobilization"/>
    <s v="182218"/>
    <s v="Fast-track the review and amendment of the relevant procurement laws, policies and regulations to simplify the procurement process"/>
    <m/>
    <m/>
    <s v="18221801"/>
    <s v="Procurement laws, policies and regulations reviewed "/>
    <s v="Proportion of NPSPP implemented"/>
    <n v="0"/>
    <n v="50"/>
    <n v="70"/>
    <n v="80"/>
    <n v="90"/>
    <n v="100"/>
    <s v="MoFPED"/>
    <s v="008 Ministry of Finance, Planning &amp; Economic Dev."/>
    <m/>
    <m/>
    <m/>
    <m/>
    <m/>
    <m/>
    <m/>
    <n v="0"/>
    <n v="0"/>
    <n v="0"/>
    <m/>
    <n v="0"/>
    <m/>
    <m/>
    <m/>
    <m/>
    <m/>
    <n v="0"/>
    <m/>
    <m/>
    <m/>
  </r>
  <r>
    <x v="13"/>
    <x v="13"/>
    <s v="182"/>
    <s v="Resource Mobilization and Budgeting "/>
    <s v="1822"/>
    <s v="Strengthen budgeting and resource mobilization"/>
    <s v="182218"/>
    <s v="Fast-track the review and amendment of the relevant procurement laws, policies and regulations to simplify the procurement process"/>
    <m/>
    <m/>
    <s v="18221802"/>
    <s v="IPPU ACT and regulation developed to Professionalise and support standards in Procurement."/>
    <s v="IPPU Act and regulations in place"/>
    <n v="0"/>
    <n v="0"/>
    <n v="0"/>
    <n v="1"/>
    <n v="0"/>
    <n v="0"/>
    <s v="MoFPED"/>
    <s v="008 Ministry of Finance, Planning &amp; Economic Dev."/>
    <s v="Develop a legal framework to govern the procurement professionals "/>
    <n v="1"/>
    <n v="0"/>
    <n v="0"/>
    <n v="1"/>
    <n v="0"/>
    <n v="0"/>
    <n v="0"/>
    <n v="1"/>
    <n v="0.375"/>
    <m/>
    <n v="0"/>
    <n v="0.14499999999999999"/>
    <n v="0.28999999999999998"/>
    <n v="0"/>
    <n v="0.8"/>
    <n v="0.7"/>
    <n v="1.5"/>
    <s v="PPDA"/>
    <s v="153 Public Procurement and Disposal of Public Assets Authority"/>
    <s v="MFPED"/>
  </r>
  <r>
    <x v="13"/>
    <x v="13"/>
    <s v="182"/>
    <s v="Resource Mobilization and Budgeting "/>
    <s v="1822"/>
    <s v="Strengthen budgeting and resource mobilization"/>
    <s v="182218"/>
    <s v="Fast-track the review and amendment of the relevant procurement laws, policies and regulations to simplify the procurement process"/>
    <m/>
    <m/>
    <s v="18221803"/>
    <s v="Capacity building program for Public Procurement "/>
    <s v="Capacity building programme for public procurement "/>
    <n v="0"/>
    <n v="0"/>
    <n v="1"/>
    <n v="0"/>
    <n v="0"/>
    <n v="0"/>
    <s v="MoFPED"/>
    <s v="008 Ministry of Finance, Planning &amp; Economic Dev."/>
    <s v="Develop and Implement Capacity building program for Public Procurement "/>
    <n v="1"/>
    <n v="0"/>
    <n v="0"/>
    <n v="1"/>
    <n v="0"/>
    <n v="0"/>
    <n v="0"/>
    <n v="1"/>
    <n v="0.375"/>
    <m/>
    <n v="0"/>
    <n v="0.79749999999999999"/>
    <n v="0.68149999999999999"/>
    <n v="0.47849999999999998"/>
    <n v="1.4"/>
    <n v="1"/>
    <n v="2.4"/>
    <s v="PPDA"/>
    <s v="153 Public Procurement and Disposal of Public Assets Authority"/>
    <s v="MFPED"/>
  </r>
  <r>
    <x v="13"/>
    <x v="13"/>
    <s v="182"/>
    <s v="Resource Mobilization and Budgeting "/>
    <s v="1822"/>
    <s v="Strengthen budgeting and resource mobilization"/>
    <s v="182218"/>
    <s v="Fast-track the review and amendment of the relevant procurement laws, policies and regulations to simplify the procurement process"/>
    <m/>
    <m/>
    <s v="18221804"/>
    <s v="Sustainable procurement practices  promoted  in public sector procurement of  goods, services and works"/>
    <s v="Number of Market readiness assessment,national spend analysis and Studies on sustainable procurement conducted."/>
    <n v="0"/>
    <n v="0"/>
    <n v="0"/>
    <n v="1"/>
    <n v="0"/>
    <n v="0"/>
    <s v="MoFPED"/>
    <s v="008 Ministry of Finance, Planning &amp; Economic Dev."/>
    <m/>
    <m/>
    <m/>
    <m/>
    <m/>
    <m/>
    <m/>
    <n v="0"/>
    <n v="0"/>
    <n v="0"/>
    <m/>
    <n v="0"/>
    <m/>
    <m/>
    <m/>
    <m/>
    <m/>
    <n v="0"/>
    <m/>
    <m/>
    <m/>
  </r>
  <r>
    <x v="13"/>
    <x v="13"/>
    <s v="182"/>
    <s v="Resource Mobilization and Budgeting "/>
    <s v="1822"/>
    <s v="Strengthen budgeting and resource mobilization"/>
    <s v="182218"/>
    <s v="Fast-track the review and amendment of the relevant procurement laws, policies and regulations to simplify the procurement process"/>
    <m/>
    <m/>
    <s v="18221804"/>
    <s v="Sustainable procurement practices  promoted  in public sector procurement of  goods, services and works"/>
    <s v="Number of Sustainable procurement practices integrated in the government procurement system"/>
    <n v="1"/>
    <n v="1"/>
    <n v="1"/>
    <n v="1"/>
    <n v="1"/>
    <n v="1"/>
    <s v="MoFPED"/>
    <s v="008 Ministry of Finance, Planning &amp; Economic Dev."/>
    <m/>
    <m/>
    <m/>
    <m/>
    <m/>
    <m/>
    <m/>
    <n v="0"/>
    <n v="0"/>
    <n v="0"/>
    <m/>
    <n v="0"/>
    <m/>
    <m/>
    <m/>
    <m/>
    <m/>
    <n v="0"/>
    <m/>
    <m/>
    <m/>
  </r>
  <r>
    <x v="13"/>
    <x v="13"/>
    <s v="182"/>
    <s v="Resource Mobilization and Budgeting "/>
    <s v="1822"/>
    <s v="Strengthen budgeting and resource mobilization"/>
    <s v="182218"/>
    <s v="Fast-track the review and amendment of the relevant procurement laws, policies and regulations to simplify the procurement process"/>
    <m/>
    <m/>
    <s v="18221805"/>
    <s v="Diagnostic Assessment of the public procurement undertaken using the MAPs tools"/>
    <s v="An assessment report on public sector procurement system for Uganda using Methodology Assessment for Procurements (MAPs) tool"/>
    <n v="0"/>
    <n v="0"/>
    <n v="0"/>
    <n v="1"/>
    <n v="0"/>
    <n v="0"/>
    <s v="MoFPED"/>
    <s v="008 Ministry of Finance, Planning &amp; Economic Dev."/>
    <s v="Undertake an assessment of public sector procurement system for Uganda using Methodology Assessment for Procurements (MAPs) tool"/>
    <n v="1"/>
    <n v="0"/>
    <n v="0"/>
    <n v="1"/>
    <n v="0"/>
    <n v="0"/>
    <n v="0"/>
    <n v="1"/>
    <n v="0.375"/>
    <m/>
    <n v="0"/>
    <n v="0"/>
    <n v="0"/>
    <n v="0.55099999999999993"/>
    <n v="0"/>
    <n v="0"/>
    <n v="0"/>
    <s v="PPDA"/>
    <s v="153 Public Procurement and Disposal of Public Assets Authority"/>
    <s v="MFPED"/>
  </r>
  <r>
    <x v="13"/>
    <x v="13"/>
    <s v="182"/>
    <s v="Resource Mobilization and Budgeting "/>
    <s v="1822"/>
    <s v="Strengthen budgeting and resource mobilization"/>
    <s v="182219"/>
    <s v="Conduct a cost-benefit analysis of current tax exemptions and government subsidies"/>
    <m/>
    <m/>
    <n v="18221901"/>
    <s v="Analytical report on the Cost benefit analysis for Gov't tax exemptions and Subsidies."/>
    <s v="An analytical report on Government tax exemptions and Subsidies in place "/>
    <n v="0"/>
    <n v="1"/>
    <n v="1"/>
    <n v="1"/>
    <n v="1"/>
    <n v="1"/>
    <s v="MoFPED"/>
    <s v="008 Ministry of Finance, Planning &amp; Economic Dev."/>
    <s v="Develop analytical capacity within Government on the impact of tax policy e.g. tax exemptions and subsidies"/>
    <n v="1"/>
    <n v="1"/>
    <n v="0"/>
    <n v="1"/>
    <n v="1"/>
    <n v="1"/>
    <n v="0"/>
    <n v="1"/>
    <n v="0.75"/>
    <m/>
    <n v="0"/>
    <n v="2.1749999999999998"/>
    <n v="2.1749999999999998"/>
    <n v="2.3199999999999998"/>
    <n v="2.4649999999999999"/>
    <n v="2.61"/>
    <n v="5.0749999999999993"/>
    <s v="MoFPED"/>
    <s v="008 Ministry of Finance, Planning &amp; Economic Dev."/>
    <m/>
  </r>
  <r>
    <x v="13"/>
    <x v="13"/>
    <s v="183"/>
    <s v="Oversight, Implementation, Coordination and Monitoring "/>
    <s v="1833"/>
    <s v="Strengthen capacity for implementation to ensure a focus on results "/>
    <s v="183301"/>
    <s v="Review and re-orient the institutional architecture for Community Development (from the parish to the national level) to focus on mind-set change and poverty eradication"/>
    <m/>
    <m/>
    <s v="18330101"/>
    <s v="A Reviewed institutional architecture for community development to focus mind set change and poverty eradication."/>
    <s v="Reviewed and functional institutional architecture for community Development to focus mind set change and poverty eradication"/>
    <n v="0"/>
    <n v="1"/>
    <n v="1"/>
    <n v="1"/>
    <n v="1"/>
    <n v="1"/>
    <s v="MoPS"/>
    <s v="005 Ministry of Public Service"/>
    <s v="Review institutional architecture for community development to focus mind set change and poverty eradication."/>
    <n v="1"/>
    <n v="1"/>
    <n v="0"/>
    <n v="1"/>
    <n v="1"/>
    <n v="1"/>
    <n v="1"/>
    <n v="0"/>
    <n v="0.75"/>
    <m/>
    <n v="0"/>
    <n v="1.1599999999999999"/>
    <n v="0.14499999999999999"/>
    <n v="0"/>
    <n v="0"/>
    <n v="0"/>
    <n v="0"/>
    <s v="MoPS"/>
    <s v="005 Ministry of Public Service"/>
    <m/>
  </r>
  <r>
    <x v="13"/>
    <x v="13"/>
    <s v="183"/>
    <s v="Oversight, Implementation, Coordination and Monitoring "/>
    <s v="1833"/>
    <s v="Strengthen capacity for implementation to ensure a focus on results "/>
    <s v="183301"/>
    <s v="Review and re-orient the institutional architecture for Community Development (from the parish to the national level) to focus on mind-set change and poverty eradication"/>
    <m/>
    <m/>
    <s v="18330102"/>
    <s v="Re-orientation of community development to focus on mind-set change and poverty eradication done."/>
    <s v="Percentage of LGs re-oriented on community development to focus on mind-set change and poverty eradication."/>
    <n v="0"/>
    <n v="50"/>
    <n v="80"/>
    <n v="100"/>
    <n v="100"/>
    <n v="100"/>
    <s v="MoGLSD"/>
    <s v="018 Ministry of Gender, Labour and Social Development"/>
    <s v=" Re-orient community development to focus on mindset change and poverty eradication."/>
    <n v="1"/>
    <n v="1"/>
    <n v="1"/>
    <n v="1"/>
    <n v="1"/>
    <n v="1"/>
    <n v="1"/>
    <n v="0"/>
    <n v="0.875"/>
    <m/>
    <n v="0"/>
    <n v="3.625"/>
    <n v="2.1749999999999998"/>
    <n v="2.1749999999999998"/>
    <n v="0.14499999999999999"/>
    <n v="0.14499999999999999"/>
    <n v="0.28999999999999998"/>
    <s v="MoGLSD"/>
    <s v="018 Ministry of Gender, Labour and Social Development"/>
    <s v="OP, MoPS"/>
  </r>
  <r>
    <x v="13"/>
    <x v="13"/>
    <s v="183"/>
    <s v="Oversight, Implementation, Coordination and Monitoring "/>
    <s v="1833"/>
    <s v="Strengthen capacity for implementation to ensure a focus on results "/>
    <s v="183302"/>
    <s v="Review and reform the Government Annual Performance Report (GAPR) to focus on achievement of key national development results."/>
    <m/>
    <m/>
    <s v="18330201"/>
    <s v="GAPR reviewed and implemented to focus on the achievement of key national development results. "/>
    <s v="No.of GAPR reports produced to focus on the achievement of key national development results. "/>
    <n v="0"/>
    <n v="1"/>
    <n v="1"/>
    <n v="1"/>
    <n v="1"/>
    <n v="1"/>
    <s v="OPM"/>
    <s v="003 Office of the Prime Minister"/>
    <s v=" Conduct a review and operationalize of the GAPR to focus on the achievement of the Development results."/>
    <n v="1"/>
    <n v="1"/>
    <n v="0"/>
    <n v="1"/>
    <n v="1"/>
    <n v="0"/>
    <n v="1"/>
    <n v="1"/>
    <n v="0.75"/>
    <m/>
    <n v="0"/>
    <n v="10.44"/>
    <n v="7.82"/>
    <n v="7.82"/>
    <n v="8.82"/>
    <n v="8.83"/>
    <n v="17.649999999999999"/>
    <s v="OPM"/>
    <s v="003 Office of the Prime Minister"/>
    <m/>
  </r>
  <r>
    <x v="13"/>
    <x v="13"/>
    <s v="183"/>
    <s v="Oversight, Implementation, Coordination and Monitoring "/>
    <s v="1833"/>
    <s v="Strengthen capacity for implementation to ensure a focus on results "/>
    <s v="183302"/>
    <s v="Review and reform the Government Annual Performance Report (GAPR) to focus on achievement of key national development results."/>
    <m/>
    <m/>
    <s v="18330202"/>
    <s v="Performance related rewards and sanctions developed and implemented"/>
    <s v="Rewards and Sanctions Developed and implemented"/>
    <n v="0"/>
    <n v="1"/>
    <n v="1"/>
    <n v="1"/>
    <n v="1"/>
    <n v="1"/>
    <s v="OPM"/>
    <s v="003 Office of the Prime Minister"/>
    <s v="Design and implement  performance related rewards and sanctions under  GAPPR  "/>
    <n v="1"/>
    <n v="1"/>
    <n v="0"/>
    <n v="1"/>
    <n v="1"/>
    <n v="0"/>
    <n v="1"/>
    <n v="1"/>
    <n v="0.75"/>
    <m/>
    <n v="0"/>
    <n v="0"/>
    <n v="0.15"/>
    <n v="0.15"/>
    <n v="2.15"/>
    <n v="2.25"/>
    <n v="4.4000000000000004"/>
    <s v="OPM"/>
    <s v="003 Office of the Prime Minister"/>
    <m/>
  </r>
  <r>
    <x v="13"/>
    <x v="13"/>
    <s v="183"/>
    <s v="Oversight, Implementation, Coordination and Monitoring "/>
    <s v="1833"/>
    <s v="Strengthen capacity for implementation to ensure a focus on results "/>
    <s v="183303"/>
    <s v="Strengthen implementation, monitoring and reporting of local governments"/>
    <m/>
    <m/>
    <s v="18330301"/>
    <s v="Monitoring Report on LG implementation of NDPIII prepared."/>
    <s v="Monitoring Report on LG implementation of NDPIII in place."/>
    <n v="0"/>
    <n v="1"/>
    <n v="1"/>
    <n v="1"/>
    <n v="1"/>
    <n v="1"/>
    <s v="OPM"/>
    <s v="003 Office of the Prime Minister"/>
    <s v="Collect data and Prepare the monitoring Report on LG implementation of NDPIII."/>
    <n v="1"/>
    <n v="1"/>
    <n v="0"/>
    <n v="1"/>
    <n v="1"/>
    <n v="0"/>
    <n v="1"/>
    <n v="1"/>
    <n v="0.75"/>
    <m/>
    <n v="0"/>
    <n v="0"/>
    <n v="10.44"/>
    <n v="10.44"/>
    <n v="7.44"/>
    <n v="7.54"/>
    <n v="14.98"/>
    <s v="OPM"/>
    <s v="003 Office of the Prime Minister"/>
    <s v="NPA, OWC"/>
  </r>
  <r>
    <x v="13"/>
    <x v="13"/>
    <s v="183"/>
    <s v="Oversight, Implementation, Coordination and Monitoring "/>
    <s v="1833"/>
    <s v="Strengthen capacity for implementation to ensure a focus on results "/>
    <s v="183303"/>
    <s v="Strengthen implementation, monitoring and reporting of local governments"/>
    <m/>
    <m/>
    <s v="18330301"/>
    <s v="Monitoring Report on LG implementation of NDPIII prepared."/>
    <m/>
    <m/>
    <m/>
    <m/>
    <m/>
    <m/>
    <m/>
    <s v="OPM"/>
    <s v="003 Office of the Prime Minister"/>
    <s v="Develop and pretest data collection tools."/>
    <n v="1"/>
    <n v="1"/>
    <n v="0"/>
    <n v="1"/>
    <n v="1"/>
    <n v="0"/>
    <n v="1"/>
    <n v="1"/>
    <n v="0.75"/>
    <m/>
    <n v="0"/>
    <n v="0.14499999999999999"/>
    <n v="0.14499999999999999"/>
    <n v="0"/>
    <n v="2.25"/>
    <n v="2.35"/>
    <n v="4.5999999999999996"/>
    <s v="OPM"/>
    <s v="003 Office of the Prime Minister"/>
    <m/>
  </r>
  <r>
    <x v="13"/>
    <x v="13"/>
    <s v="183"/>
    <s v="Oversight, Implementation, Coordination and Monitoring "/>
    <s v="1833"/>
    <s v="Strengthen capacity for implementation to ensure a focus on results "/>
    <s v="183303"/>
    <s v="Strengthen implementation, monitoring and reporting of local governments"/>
    <m/>
    <m/>
    <s v="18330302"/>
    <s v="Strategy for NDP III implementation coordination developed."/>
    <s v="Strategy for NDP III implementation coordination in Place."/>
    <n v="0"/>
    <n v="1"/>
    <n v="0"/>
    <n v="0"/>
    <n v="1"/>
    <n v="0"/>
    <s v="OPM"/>
    <s v="003 Office of the Prime Minister"/>
    <s v="Develop and implement a strategy for NDP III implementation coordination."/>
    <n v="1"/>
    <n v="1"/>
    <n v="0"/>
    <n v="1"/>
    <n v="1"/>
    <n v="0"/>
    <n v="1"/>
    <n v="1"/>
    <n v="0.75"/>
    <m/>
    <n v="0"/>
    <n v="3.625"/>
    <n v="3.625"/>
    <n v="3.625"/>
    <n v="6.5"/>
    <n v="6.5"/>
    <n v="13"/>
    <s v="OPM"/>
    <s v="003 Office of the Prime Minister"/>
    <s v="NPA, OWC"/>
  </r>
  <r>
    <x v="13"/>
    <x v="13"/>
    <s v="183"/>
    <s v="Oversight, Implementation, Coordination and Monitoring "/>
    <s v="1833"/>
    <s v="Strengthen capacity for implementation to ensure a focus on results "/>
    <s v="183303"/>
    <s v="Strengthen implementation, monitoring and reporting of local governments"/>
    <m/>
    <m/>
    <s v="18330302"/>
    <s v="Strategy for NDP III implementation coordination developed."/>
    <s v="Level of implementation of the NDPIII implementation coordination stretegy"/>
    <n v="0"/>
    <n v="0"/>
    <n v="50"/>
    <n v="65"/>
    <n v="85"/>
    <n v="100"/>
    <s v="OPM"/>
    <s v="003 Office of the Prime Minister"/>
    <m/>
    <m/>
    <m/>
    <m/>
    <m/>
    <m/>
    <m/>
    <n v="0"/>
    <n v="0"/>
    <n v="0"/>
    <m/>
    <n v="0"/>
    <m/>
    <m/>
    <m/>
    <m/>
    <m/>
    <n v="0"/>
    <m/>
    <m/>
    <m/>
  </r>
  <r>
    <x v="13"/>
    <x v="13"/>
    <s v="183"/>
    <s v="Oversight, Implementation, Coordination and Monitoring "/>
    <s v="1833"/>
    <s v="Strengthen capacity for implementation to ensure a focus on results "/>
    <s v="183303"/>
    <s v="Strengthen implementation, monitoring and reporting of local governments"/>
    <m/>
    <m/>
    <s v="18330303"/>
    <s v="NDPIII results and reporting framework for LGs."/>
    <s v="NDPIII results and reporting framework for LGs in place."/>
    <n v="0"/>
    <n v="1"/>
    <n v="1"/>
    <n v="1"/>
    <n v="1"/>
    <n v="1"/>
    <s v="NPA"/>
    <s v="108 National Planning Authority"/>
    <s v="Develop and implement  the NDPIII results and the reporting framework for LGs."/>
    <n v="1"/>
    <n v="1"/>
    <n v="0"/>
    <n v="1"/>
    <n v="1"/>
    <n v="0"/>
    <n v="1"/>
    <n v="1"/>
    <n v="0.75"/>
    <m/>
    <n v="0"/>
    <n v="0.14499999999999999"/>
    <n v="2.1749999999999998"/>
    <n v="2.1749999999999998"/>
    <n v="2.1749999999999998"/>
    <n v="2.1749999999999998"/>
    <n v="4.3499999999999996"/>
    <s v="NPA"/>
    <s v="108 National Planning Authority"/>
    <s v="OWC"/>
  </r>
  <r>
    <x v="13"/>
    <x v="13"/>
    <s v="183"/>
    <s v="Oversight, Implementation, Coordination and Monitoring "/>
    <s v="1833"/>
    <s v="Strengthen capacity for implementation to ensure a focus on results "/>
    <s v="183303"/>
    <s v="Strengthen implementation, monitoring and reporting of local governments"/>
    <m/>
    <m/>
    <s v="18330304"/>
    <s v="Facilitated Programme Secretariats with financial resources to be  able facilitate the programme Working Groups to execute their roles as highlighted in the NDPIII programme guidelines "/>
    <s v="No. of NDPIII Programme Secretariats allocated resources to facilitate the PWGs to be able to execute their roles as provided in the NDPIII Programme Guidelines."/>
    <n v="18"/>
    <n v="18"/>
    <n v="18"/>
    <n v="18"/>
    <n v="18"/>
    <n v="18"/>
    <s v="PROGRAMME LEAD MINISTRIES"/>
    <e v="#N/A"/>
    <s v="Allocate financial resources to the Programme Secretariat through the Programme lead Agency to be able to facilitate the PWGs to be able to execute their roles as guided by the NDPIII programme Guidelines"/>
    <n v="1"/>
    <n v="1"/>
    <n v="0"/>
    <n v="1"/>
    <n v="1"/>
    <n v="0"/>
    <n v="1"/>
    <n v="1"/>
    <n v="0.75"/>
    <m/>
    <n v="0"/>
    <n v="131.85722711931891"/>
    <n v="60.447590960227032"/>
    <n v="50.447590960226997"/>
    <n v="60.447590960227032"/>
    <n v="88.3"/>
    <n v="148.74759096022703"/>
    <s v="Programme Leads"/>
    <e v="#N/A"/>
    <m/>
  </r>
  <r>
    <x v="13"/>
    <x v="13"/>
    <s v="181"/>
    <s v="Development Planning, Research, Evaluation and Statistics"/>
    <s v="1814"/>
    <s v="Strengthen coordination, monitoring and reporting frameworks and systems "/>
    <s v="181401"/>
    <s v="Operationalize the High-Level Public Policy Management Executive Forum (Apex Platform)"/>
    <m/>
    <m/>
    <s v="18140101"/>
    <s v="APEX Platform operationalized."/>
    <s v="An Operational Apex Platform."/>
    <n v="0"/>
    <n v="1"/>
    <n v="1"/>
    <n v="1"/>
    <n v="1"/>
    <n v="1"/>
    <s v="OP"/>
    <s v="001 Office of the President"/>
    <s v="Convene the Apex Platform"/>
    <n v="1"/>
    <n v="1"/>
    <n v="0"/>
    <n v="1"/>
    <n v="1"/>
    <n v="0"/>
    <n v="1"/>
    <n v="1"/>
    <n v="0.75"/>
    <m/>
    <n v="0"/>
    <n v="8.8739999999999988"/>
    <n v="8.6999999999999993"/>
    <n v="8.6999999999999993"/>
    <n v="8.6999999999999993"/>
    <n v="8.6999999999999993"/>
    <n v="17.399999999999999"/>
    <s v="OP"/>
    <s v="001 Office of the President"/>
    <m/>
  </r>
  <r>
    <x v="13"/>
    <x v="13"/>
    <s v="181"/>
    <s v="Development Planning, Research, Evaluation and Statistics"/>
    <s v="1814"/>
    <s v="Strengthen coordination, monitoring and reporting frameworks and systems "/>
    <s v="181401"/>
    <s v="Operationalize the High-Level Public Policy Management Executive Forum (Apex Platform)"/>
    <m/>
    <m/>
    <s v="18140102"/>
    <s v="Oversight Monitoring Reports of NDP III Programmes by the RDCs produced."/>
    <s v="Number of Monitoring Reports produced on NDPIII programmes by RDCs."/>
    <n v="146"/>
    <n v="146"/>
    <n v="146"/>
    <n v="146"/>
    <n v="146"/>
    <n v="146"/>
    <s v="OP"/>
    <s v="001 Office of the President"/>
    <s v="Undertaking oversight monitoring of Government Programmes"/>
    <n v="1"/>
    <n v="1"/>
    <n v="0"/>
    <n v="1"/>
    <n v="1"/>
    <n v="0"/>
    <n v="1"/>
    <n v="1"/>
    <n v="0.75"/>
    <m/>
    <n v="0"/>
    <n v="0"/>
    <n v="41.411999999999999"/>
    <n v="62.988"/>
    <n v="12"/>
    <n v="12.5"/>
    <n v="24.5"/>
    <s v="OP"/>
    <s v="001 Office of the President"/>
    <s v="OWC"/>
  </r>
  <r>
    <x v="13"/>
    <x v="13"/>
    <s v="181"/>
    <s v="Development Planning, Research, Evaluation and Statistics"/>
    <s v="1814"/>
    <s v="Strengthen coordination, monitoring and reporting frameworks and systems "/>
    <s v="181401"/>
    <s v="Operationalize the High-Level Public Policy Management Executive Forum (Apex Platform)"/>
    <m/>
    <m/>
    <s v="18140103"/>
    <s v="Manifesto commitments and implementation monitored and evaluated"/>
    <s v="Number of monitoring and evaluation Reports on the Manifesto Produced"/>
    <n v="1"/>
    <n v="1"/>
    <n v="1"/>
    <n v="1"/>
    <n v="1"/>
    <n v="1"/>
    <s v="OP"/>
    <s v="001 Office of the President"/>
    <s v="Conducting  monitoring and evaluation of Manifesto commitments."/>
    <n v="1"/>
    <n v="1"/>
    <n v="0"/>
    <n v="1"/>
    <n v="1"/>
    <n v="0"/>
    <n v="1"/>
    <n v="1"/>
    <n v="0.75"/>
    <m/>
    <n v="0"/>
    <n v="5.3650000000000002"/>
    <n v="5.3650000000000002"/>
    <n v="5.3650000000000002"/>
    <n v="5.3650000000000002"/>
    <n v="5.3650000000000002"/>
    <n v="10.73"/>
    <s v="OP"/>
    <s v="001 Office of the President"/>
    <s v="OWC"/>
  </r>
  <r>
    <x v="13"/>
    <x v="13"/>
    <s v="181"/>
    <s v="Development Planning, Research, Evaluation and Statistics"/>
    <s v="1814"/>
    <s v="Strengthen coordination, monitoring and reporting frameworks and systems "/>
    <s v="181401"/>
    <s v="Operationalize the High-Level Public Policy Management Executive Forum (Apex Platform)"/>
    <m/>
    <m/>
    <s v="18140104"/>
    <s v="Apex Platform Communication Strategy developed."/>
    <s v="Apex Platform Communication Strategy in place."/>
    <n v="0"/>
    <n v="0"/>
    <n v="1"/>
    <n v="0"/>
    <n v="0"/>
    <n v="0"/>
    <s v="OP"/>
    <s v="001 Office of the President"/>
    <s v="Preparation of Apex Platform Communication Strategy"/>
    <n v="0"/>
    <n v="0"/>
    <n v="0"/>
    <n v="1"/>
    <n v="0"/>
    <n v="0"/>
    <n v="1"/>
    <n v="1"/>
    <n v="0.375"/>
    <m/>
    <n v="0"/>
    <n v="0"/>
    <n v="0.87"/>
    <n v="0"/>
    <n v="0.3"/>
    <n v="0.3"/>
    <n v="0.6"/>
    <s v="OP"/>
    <s v="001 Office of the President"/>
    <m/>
  </r>
  <r>
    <x v="13"/>
    <x v="13"/>
    <s v="181"/>
    <s v="Development Planning, Research, Evaluation and Statistics"/>
    <s v="1814"/>
    <s v="Strengthen coordination, monitoring and reporting frameworks and systems "/>
    <s v="181401"/>
    <s v="Operationalize the High-Level Public Policy Management Executive Forum (Apex Platform)"/>
    <m/>
    <m/>
    <s v="18140105"/>
    <s v="Apex Platform MIS developed."/>
    <s v="Apex Platform MIS in place."/>
    <n v="0"/>
    <n v="0"/>
    <n v="1"/>
    <n v="0"/>
    <n v="0"/>
    <n v="0"/>
    <s v="OP"/>
    <s v="001 Office of the President"/>
    <s v="Developing of Apex Platform MIS"/>
    <n v="0"/>
    <n v="0"/>
    <n v="0"/>
    <n v="1"/>
    <n v="1"/>
    <n v="0"/>
    <n v="1"/>
    <n v="1"/>
    <n v="0.5"/>
    <m/>
    <n v="0"/>
    <n v="0"/>
    <n v="1.45"/>
    <n v="0"/>
    <n v="0"/>
    <n v="0"/>
    <n v="0"/>
    <s v="OP"/>
    <s v="001 Office of the President"/>
    <m/>
  </r>
  <r>
    <x v="13"/>
    <x v="13"/>
    <s v="183"/>
    <s v="Oversight, Implementation, Coordination and Monitoring "/>
    <s v="1834"/>
    <s v="Strengthen coordination, monitoring and reporting frameworks and systems "/>
    <s v="183402"/>
    <s v="Expand the Terms of Reference for the Budget and National Economy Committees to include consideration of the NDP"/>
    <m/>
    <m/>
    <s v="18340201"/>
    <s v="Expanded Terms of Reference (TORs) for Parliamentary Committees to include consideration of the NDP."/>
    <s v="Expanded Terms of Reference (TORs) for Parliamentary Committees in place."/>
    <n v="0"/>
    <n v="0"/>
    <n v="1"/>
    <n v="1"/>
    <n v="0"/>
    <n v="0"/>
    <s v="PC"/>
    <s v="104 Parliamentary Commission"/>
    <s v="Review the Terms of Reference (TORs) under the Rules of Procedure of Parliament for Parliamentary Committees to include consideration of the NDP."/>
    <n v="1"/>
    <n v="1"/>
    <n v="0"/>
    <n v="1"/>
    <n v="1"/>
    <n v="0"/>
    <n v="1"/>
    <n v="1"/>
    <n v="0.75"/>
    <m/>
    <n v="0"/>
    <n v="0"/>
    <n v="0.435"/>
    <n v="0.14499999999999999"/>
    <n v="0"/>
    <n v="0"/>
    <n v="0"/>
    <s v="Parliament"/>
    <s v="104 Parliamentary Commission"/>
    <m/>
  </r>
  <r>
    <x v="13"/>
    <x v="13"/>
    <s v="183"/>
    <s v="Oversight, Implementation, Coordination and Monitoring "/>
    <s v="1834"/>
    <s v="Strengthen coordination, monitoring and reporting frameworks and systems "/>
    <s v="183403"/>
    <s v="Develop an effective communication strategy for NDPIII"/>
    <m/>
    <m/>
    <s v="18340301"/>
    <s v="Communication Strategy for NDP III implementation "/>
    <s v="NDPIII communication strategy in Place."/>
    <n v="0"/>
    <n v="1"/>
    <n v="0"/>
    <n v="0"/>
    <n v="0"/>
    <n v="0"/>
    <s v="NPA"/>
    <s v="108 National Planning Authority"/>
    <s v="Develop and implement a communication strategy for NDPIII."/>
    <n v="1"/>
    <n v="1"/>
    <n v="0"/>
    <n v="1"/>
    <n v="1"/>
    <n v="0"/>
    <n v="1"/>
    <n v="1"/>
    <n v="0.75"/>
    <m/>
    <n v="0"/>
    <n v="0"/>
    <n v="2.9"/>
    <n v="2.9"/>
    <n v="2.9"/>
    <n v="2.9"/>
    <n v="5.8"/>
    <s v="NPA"/>
    <s v="108 National Planning Authority"/>
    <s v="OWC"/>
  </r>
  <r>
    <x v="13"/>
    <x v="13"/>
    <s v="183"/>
    <s v="Oversight, Implementation, Coordination and Monitoring "/>
    <s v="1834"/>
    <s v="Strengthen coordination, monitoring and reporting frameworks and systems "/>
    <s v="183403"/>
    <s v="Develop an effective communication strategy for NDPIII"/>
    <m/>
    <m/>
    <s v="18340301"/>
    <s v="Communication Strategy for NDP III implementation "/>
    <s v="Proportion of the NDPIII communication strategy implemented."/>
    <n v="0"/>
    <n v="0"/>
    <n v="30"/>
    <n v="50"/>
    <n v="75"/>
    <n v="100"/>
    <s v="NPA"/>
    <s v="108 National Planning Authority"/>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1"/>
    <s v="Oversight M&amp;E framework produced."/>
    <s v="No. of Oversight M&amp;E Frameworks in place."/>
    <n v="0"/>
    <n v="1"/>
    <n v="1"/>
    <n v="1"/>
    <n v="1"/>
    <n v="1"/>
    <s v="OP"/>
    <s v="001 Office of the President"/>
    <s v="Develop and operationalize the oversight M&amp;E framework"/>
    <n v="1"/>
    <n v="1"/>
    <n v="0"/>
    <n v="1"/>
    <n v="1"/>
    <n v="0"/>
    <n v="1"/>
    <n v="1"/>
    <n v="0.75"/>
    <m/>
    <n v="0"/>
    <n v="0"/>
    <n v="2.1749999999999998"/>
    <n v="1.45"/>
    <n v="1.45"/>
    <n v="1.45"/>
    <n v="2.9"/>
    <s v="OP"/>
    <s v="001 Office of the President"/>
    <m/>
  </r>
  <r>
    <x v="13"/>
    <x v="13"/>
    <s v="183"/>
    <s v="Oversight, Implementation, Coordination and Monitoring "/>
    <s v="1834"/>
    <s v="Strengthen coordination, monitoring and reporting frameworks and systems "/>
    <s v="183404"/>
    <s v="Develop integrated M&amp;E framework and system for the NDP"/>
    <m/>
    <m/>
    <s v="18340401"/>
    <s v="Operational Integrated NDP M&amp;E system "/>
    <s v="Functional Integrated NDP M&amp;E system"/>
    <n v="0"/>
    <n v="0"/>
    <n v="1"/>
    <n v="1"/>
    <n v="1"/>
    <n v="1"/>
    <s v="NPA"/>
    <s v="108 National Planning Authority"/>
    <s v="Develop and Operationalize the integrated M&amp;E framework and system for the NDP."/>
    <n v="1"/>
    <n v="1"/>
    <n v="0"/>
    <n v="1"/>
    <n v="1"/>
    <n v="0"/>
    <n v="1"/>
    <n v="1"/>
    <n v="0.75"/>
    <m/>
    <n v="0"/>
    <n v="6.5249999999999995"/>
    <n v="6.5249999999999995"/>
    <n v="1.74"/>
    <n v="1.74"/>
    <n v="1.74"/>
    <n v="3.48"/>
    <s v="NPA"/>
    <s v="108 National Planning Authority"/>
    <s v="OWC"/>
  </r>
  <r>
    <x v="13"/>
    <x v="13"/>
    <s v="183"/>
    <s v="Oversight, Implementation, Coordination and Monitoring "/>
    <s v="1834"/>
    <s v="Strengthen coordination, monitoring and reporting frameworks and systems "/>
    <s v="183404"/>
    <s v="Develop integrated M&amp;E framework and system for the NDP"/>
    <m/>
    <m/>
    <s v="18340401"/>
    <s v="Operational Integrated NDP M&amp;E system "/>
    <s v="Quarterly and monthly NDP implementation reports"/>
    <n v="0"/>
    <n v="0"/>
    <n v="1"/>
    <n v="1"/>
    <n v="1"/>
    <n v="1"/>
    <s v="NPA"/>
    <s v="108 National Planning Authority"/>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2"/>
    <s v="Timely and quality national development reports informing policy decisions"/>
    <s v="National Development Report (NDR) in place."/>
    <n v="1"/>
    <n v="1"/>
    <n v="1"/>
    <n v="1"/>
    <n v="1"/>
    <n v="1"/>
    <s v="NPA"/>
    <s v="108 National Planning Authority"/>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3"/>
    <s v="A National Evaluation Agenda"/>
    <s v="A National Evaluation Agenda in Place"/>
    <n v="0"/>
    <n v="1"/>
    <n v="0"/>
    <n v="0"/>
    <n v="1"/>
    <n v="0"/>
    <s v="OPM"/>
    <s v="003 Office of the Prime Minister"/>
    <s v="Develop and implement a National Evaluation Agenda."/>
    <n v="1"/>
    <n v="1"/>
    <n v="0"/>
    <n v="1"/>
    <n v="1"/>
    <n v="0"/>
    <n v="1"/>
    <n v="1"/>
    <n v="0.75"/>
    <m/>
    <n v="0"/>
    <n v="1.45"/>
    <n v="2.1749999999999998"/>
    <n v="0"/>
    <n v="1.5"/>
    <n v="1.5"/>
    <n v="3"/>
    <s v="OPM"/>
    <s v="003 Office of the Prime Minister"/>
    <s v="NPA"/>
  </r>
  <r>
    <x v="13"/>
    <x v="13"/>
    <s v="183"/>
    <s v="Oversight, Implementation, Coordination and Monitoring "/>
    <s v="1834"/>
    <s v="Strengthen coordination, monitoring and reporting frameworks and systems "/>
    <s v="183404"/>
    <s v="Develop integrated M&amp;E framework and system for the NDP"/>
    <m/>
    <m/>
    <s v="18340403"/>
    <s v="A National Evaluation Agenda"/>
    <s v="Proportion of the National Evaluation Agenda implemented."/>
    <n v="0"/>
    <n v="0"/>
    <n v="30"/>
    <n v="50"/>
    <n v="70"/>
    <n v="90"/>
    <s v="OPM"/>
    <s v="003 Office of the Prime Minister"/>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4"/>
    <s v="A functional Secretariat for NDPIII programmes Coordination "/>
    <s v="A functional Secretariat for NDPIII programmes Coordination in place"/>
    <n v="0"/>
    <n v="1"/>
    <n v="1"/>
    <n v="1"/>
    <n v="1"/>
    <n v="1"/>
    <s v="OPM"/>
    <s v="003 Office of the Prime Minister"/>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5"/>
    <s v="Effective DPI Programme Secretariat"/>
    <s v="Proportion of programme outcome indicator targets achieved "/>
    <n v="0"/>
    <n v="80"/>
    <n v="80"/>
    <n v="80"/>
    <n v="80"/>
    <n v="80"/>
    <s v="MoFPED"/>
    <s v="008 Ministry of Finance, Planning &amp; Economic Dev."/>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5"/>
    <s v="Effective DPI Programme Secretariat"/>
    <s v="Proportion of the programme Outputs implemented."/>
    <n v="0"/>
    <n v="20"/>
    <n v="40"/>
    <n v="60"/>
    <n v="80"/>
    <n v="100"/>
    <s v="MoFPED"/>
    <s v="008 Ministry of Finance, Planning &amp; Economic Dev."/>
    <m/>
    <m/>
    <m/>
    <m/>
    <m/>
    <m/>
    <m/>
    <n v="0"/>
    <n v="0"/>
    <n v="0"/>
    <m/>
    <n v="0"/>
    <m/>
    <m/>
    <m/>
    <m/>
    <m/>
    <n v="0"/>
    <m/>
    <m/>
    <m/>
  </r>
  <r>
    <x v="13"/>
    <x v="13"/>
    <s v="183"/>
    <s v="Oversight, Implementation, Coordination and Monitoring "/>
    <s v="1834"/>
    <s v="Strengthen coordination, monitoring and reporting frameworks and systems "/>
    <s v="183404"/>
    <s v="Develop integrated M&amp;E framework and system for the NDP"/>
    <m/>
    <m/>
    <s v="18340406"/>
    <s v="Baraza Forum scaled up to all districts "/>
    <s v="No. of Districts with the Baraza Forums"/>
    <n v="50"/>
    <n v="50"/>
    <n v="75"/>
    <n v="100"/>
    <n v="110"/>
    <n v="114"/>
    <s v="OPM"/>
    <s v="003 Office of the Prime Minister"/>
    <s v="Conduct  baraza  in different LGs &amp; follow-up implementation of of the findings and proposals"/>
    <n v="1"/>
    <n v="1"/>
    <n v="0"/>
    <n v="1"/>
    <n v="1"/>
    <n v="0"/>
    <n v="1"/>
    <n v="1"/>
    <n v="0.75"/>
    <m/>
    <n v="0"/>
    <n v="1.9575"/>
    <n v="1.9575"/>
    <n v="1.9575"/>
    <n v="5"/>
    <n v="5"/>
    <n v="10"/>
    <s v="OPM"/>
    <s v="003 Office of the Prime Minister"/>
    <s v="OWC"/>
  </r>
  <r>
    <x v="13"/>
    <x v="13"/>
    <s v="184"/>
    <s v="Accountability Systems and Service Delivery"/>
    <s v="1844"/>
    <s v="Strengthen coordination, monitoring and reporting frameworks and systems "/>
    <s v="184405"/>
    <s v="Develop and roll out of the National Public Risk Management system in line with international best practices"/>
    <m/>
    <m/>
    <s v="18440501"/>
    <s v="National Public Risk Management system developed in line with international best practices"/>
    <s v="Functional National Public Risk Management system "/>
    <n v="0"/>
    <n v="1"/>
    <n v="1"/>
    <n v="1"/>
    <n v="1"/>
    <n v="1"/>
    <s v="MoFPED"/>
    <s v="008 Ministry of Finance, Planning &amp; Economic Dev."/>
    <s v="Develop  and implement a Public Risk system the different MDAs and LGs"/>
    <n v="1"/>
    <n v="0"/>
    <n v="0"/>
    <n v="1"/>
    <n v="1"/>
    <n v="1"/>
    <n v="1"/>
    <n v="1"/>
    <n v="0.75"/>
    <m/>
    <n v="0"/>
    <n v="1.45"/>
    <n v="2.9"/>
    <n v="3.48"/>
    <n v="3.3349999999999995"/>
    <n v="3.625"/>
    <n v="6.9599999999999991"/>
    <s v="MoFPED"/>
    <s v="008 Ministry of Finance, Planning &amp; Economic Dev."/>
    <s v="NPA"/>
  </r>
  <r>
    <x v="13"/>
    <x v="13"/>
    <s v="184"/>
    <s v="Accountability Systems and Service Delivery"/>
    <s v="1844"/>
    <s v="Strengthen coordination, monitoring and reporting frameworks and systems "/>
    <s v="184405"/>
    <s v="Develop and roll out of the National Public Risk Management system in line with international best practices"/>
    <m/>
    <m/>
    <s v="18440501"/>
    <s v="National Public Risk Management system developed in line with international best practices"/>
    <s v="Percentage of MDAs where the National Public Risk Management system has been rolled out to. "/>
    <n v="0"/>
    <n v="28"/>
    <n v="50"/>
    <n v="75"/>
    <n v="85"/>
    <n v="100"/>
    <s v="MoFPED"/>
    <s v="008 Ministry of Finance, Planning &amp; Economic Dev."/>
    <m/>
    <m/>
    <m/>
    <m/>
    <m/>
    <m/>
    <m/>
    <n v="0"/>
    <n v="0"/>
    <n v="0"/>
    <m/>
    <n v="0"/>
    <m/>
    <m/>
    <m/>
    <m/>
    <m/>
    <n v="0"/>
    <m/>
    <m/>
    <m/>
  </r>
  <r>
    <x v="13"/>
    <x v="13"/>
    <s v="184"/>
    <s v="Accountability Systems and Service Delivery"/>
    <s v="1844"/>
    <s v="Strengthen coordination, monitoring and reporting frameworks and systems "/>
    <s v="184405"/>
    <s v="Develop and roll out of the National Public Risk Management system in line with international best practices"/>
    <m/>
    <m/>
    <s v="18440501"/>
    <s v="National Public Risk Management system developed in line with international best practices"/>
    <s v=" No of risk registers developed"/>
    <n v="0"/>
    <n v="6"/>
    <n v="18"/>
    <n v="18"/>
    <n v="18"/>
    <n v="18"/>
    <s v="MoFPED"/>
    <s v="008 Ministry of Finance, Planning &amp; Economic Dev."/>
    <m/>
    <m/>
    <m/>
    <m/>
    <m/>
    <m/>
    <m/>
    <n v="0"/>
    <n v="0"/>
    <n v="0"/>
    <m/>
    <n v="0"/>
    <m/>
    <m/>
    <m/>
    <m/>
    <m/>
    <n v="0"/>
    <m/>
    <m/>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s v=" % of planned training activities undertaken  "/>
    <n v="0"/>
    <n v="20"/>
    <n v="40"/>
    <n v="60"/>
    <n v="80"/>
    <n v="100"/>
    <s v="MoFPED"/>
    <s v="008 Ministry of Finance, Planning &amp; Economic Dev."/>
    <s v="Develop and Implement a comprehensive capacity building programme to undertake high quality and impact driven audits across government addressing emerging areas, public sector priorities stakeholder needs and enhanced organizational performance Construct and equip OAG off – site facility which will accommodate a Regional training center, Engineering and Forensic Laboratories and Kampala branch."/>
    <n v="1"/>
    <n v="1"/>
    <n v="0"/>
    <n v="1"/>
    <n v="1"/>
    <n v="1"/>
    <n v="1"/>
    <n v="1"/>
    <n v="0.875"/>
    <m/>
    <n v="0"/>
    <n v="1.885"/>
    <n v="2.1749999999999998"/>
    <n v="2.61"/>
    <n v="1.74"/>
    <n v="1.45"/>
    <n v="3.19"/>
    <s v="MoFPED"/>
    <s v="008 Ministry of Finance, Planning &amp; Economic Dev."/>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s v="Percentage increase in Audits undertaken."/>
    <n v="0"/>
    <n v="5"/>
    <n v="7"/>
    <n v="8"/>
    <n v="10"/>
    <n v="10"/>
    <s v="MoFPED"/>
    <s v="008 Ministry of Finance, Planning &amp; Economic Dev."/>
    <s v="Carry out performance Audits"/>
    <n v="1"/>
    <n v="1"/>
    <n v="0"/>
    <n v="1"/>
    <n v="1"/>
    <n v="1"/>
    <n v="1"/>
    <n v="1"/>
    <n v="0.875"/>
    <m/>
    <n v="0"/>
    <n v="18.096"/>
    <n v="18.965999999999998"/>
    <n v="19.836000000000002"/>
    <n v="21.227999999999998"/>
    <n v="23.315999999999999"/>
    <n v="44.543999999999997"/>
    <s v="MoFPED"/>
    <s v="008 Ministry of Finance, Planning &amp; Economic Dev."/>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s v="No. of OAG off site facilities (Forensic Labaratories,..etc) constructed and commissioned by 2024."/>
    <s v="N/A"/>
    <n v="0"/>
    <n v="0"/>
    <n v="0"/>
    <n v="1"/>
    <n v="0"/>
    <s v="OAG"/>
    <s v="131 Auditor General"/>
    <s v="Construct and equip OAG off – site facility which will accommodate a Regional training center, Engineering and Forensic Laboratories and Kampala branch."/>
    <n v="1"/>
    <n v="0"/>
    <n v="0"/>
    <n v="1"/>
    <n v="0"/>
    <n v="0"/>
    <n v="1"/>
    <n v="1"/>
    <n v="0.5"/>
    <m/>
    <n v="0"/>
    <n v="0"/>
    <n v="2.1749999999999998"/>
    <n v="3.24"/>
    <n v="4"/>
    <n v="25"/>
    <n v="29"/>
    <s v="OAG"/>
    <s v="131 Auditor General"/>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s v="Proportion of MDA/LG internal audit staff trained to conduct high quality impact driven performance audits."/>
    <n v="0"/>
    <n v="50"/>
    <n v="60"/>
    <n v="70"/>
    <n v="80"/>
    <n v="100"/>
    <s v="OAG"/>
    <s v="131 Auditor General"/>
    <s v="Build capacity in conducting high quality and impact - driven performance Audits across government addressing emerging areas, public sector priorities stakeholder needs"/>
    <n v="1"/>
    <n v="1"/>
    <n v="0"/>
    <n v="1"/>
    <n v="1"/>
    <n v="1"/>
    <n v="1"/>
    <n v="1"/>
    <n v="0.875"/>
    <m/>
    <n v="0"/>
    <n v="18.096"/>
    <n v="18.965999999999998"/>
    <n v="18.835999999999999"/>
    <n v="4.5"/>
    <n v="5"/>
    <n v="9.5"/>
    <s v="OAG"/>
    <s v="131 Auditor General"/>
    <s v="MFPED"/>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s v="IT and PA manuals, standards and guidelines in place."/>
    <n v="0"/>
    <n v="1"/>
    <n v="1"/>
    <n v="1"/>
    <n v="1"/>
    <n v="1"/>
    <s v="OAG"/>
    <s v="131 Auditor General"/>
    <s v="Develop manuals, standards and guidelines for performance audit across government"/>
    <n v="1"/>
    <n v="1"/>
    <n v="0"/>
    <n v="1"/>
    <n v="1"/>
    <n v="1"/>
    <n v="1"/>
    <n v="1"/>
    <n v="0.875"/>
    <m/>
    <n v="0"/>
    <n v="0.72499999999999998"/>
    <n v="3.19"/>
    <n v="2.1749999999999998"/>
    <n v="3.19"/>
    <n v="4.1900000000000004"/>
    <n v="7.3800000000000008"/>
    <s v="OAG"/>
    <s v="131 Auditor General"/>
    <s v="MFPED"/>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1"/>
    <s v="Capacity built to conduct high quality and impact - driven performance Audits"/>
    <m/>
    <m/>
    <m/>
    <m/>
    <m/>
    <m/>
    <m/>
    <s v="OAG"/>
    <s v="131 Auditor General"/>
    <s v="Carry out IT Audits in MDALGs"/>
    <n v="1"/>
    <n v="1"/>
    <n v="0"/>
    <n v="1"/>
    <n v="1"/>
    <n v="1"/>
    <n v="1"/>
    <n v="1"/>
    <n v="0.875"/>
    <m/>
    <n v="0"/>
    <n v="20"/>
    <n v="27.83"/>
    <n v="24.8"/>
    <n v="0.75"/>
    <n v="0.8"/>
    <n v="1.55"/>
    <s v="OAG"/>
    <s v="131 Auditor General"/>
    <s v="MFPED, MoICT"/>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2"/>
    <s v="Internal Audit Service delivery standards to increase efficiency and effectiveness defined "/>
    <s v="Internal Audit Service delivery Standards in Place."/>
    <n v="0"/>
    <n v="1"/>
    <n v="1"/>
    <n v="1"/>
    <n v="1"/>
    <n v="1"/>
    <s v="MoFPED"/>
    <s v="008 Ministry of Finance, Planning &amp; Economic Dev."/>
    <s v="Develop and implement internal Audit service delivery standards"/>
    <n v="1"/>
    <n v="1"/>
    <n v="0"/>
    <n v="1"/>
    <n v="1"/>
    <n v="1"/>
    <n v="1"/>
    <n v="1"/>
    <n v="0.875"/>
    <m/>
    <n v="0"/>
    <n v="1.45"/>
    <n v="1.45"/>
    <n v="1.45"/>
    <n v="1.45"/>
    <n v="1.45"/>
    <n v="2.9"/>
    <s v="MoFPED"/>
    <s v="008 Ministry of Finance, Planning &amp; Economic Dev."/>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2"/>
    <s v="Internal Audit Service delivery standards to increase efficiency and effectiveness defined "/>
    <m/>
    <m/>
    <m/>
    <m/>
    <m/>
    <m/>
    <m/>
    <s v="MoFPED"/>
    <s v="008 Ministry of Finance, Planning &amp; Economic Dev."/>
    <s v="Enforce compliance to Internal Audit Service delivery standards to increase efficiency and effectiveness "/>
    <n v="1"/>
    <n v="1"/>
    <n v="0"/>
    <n v="1"/>
    <n v="1"/>
    <n v="1"/>
    <n v="1"/>
    <n v="1"/>
    <n v="0.875"/>
    <m/>
    <n v="0"/>
    <n v="0.72499999999999998"/>
    <n v="0.72499999999999998"/>
    <n v="0.72499999999999998"/>
    <n v="0.72499999999999998"/>
    <n v="0.73"/>
    <n v="1.4550000000000001"/>
    <s v="MoFPED"/>
    <s v="008 Ministry of Finance, Planning &amp; Economic Dev."/>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3"/>
    <s v="Internal Audit strategy developed and implemented"/>
    <s v="Approved Internal Audit strategy "/>
    <n v="0"/>
    <n v="0"/>
    <n v="0"/>
    <n v="0"/>
    <n v="1"/>
    <n v="0"/>
    <s v="MoFPED"/>
    <s v="008 Ministry of Finance, Planning &amp; Economic Dev."/>
    <s v="Develop and implement the internal audit strategy"/>
    <n v="0"/>
    <n v="0"/>
    <n v="0"/>
    <n v="1"/>
    <n v="1"/>
    <n v="0"/>
    <n v="0"/>
    <n v="1"/>
    <n v="0.375"/>
    <m/>
    <n v="0"/>
    <n v="0"/>
    <n v="0"/>
    <n v="0.72499999999999998"/>
    <n v="0"/>
    <n v="0"/>
    <n v="0"/>
    <s v="MoFPED"/>
    <s v="008 Ministry of Finance, Planning &amp; Economic Dev."/>
    <m/>
  </r>
  <r>
    <x v="13"/>
    <x v="13"/>
    <s v="184"/>
    <s v="Accountability Systems and Service Delivery"/>
    <s v="1844"/>
    <s v="Strengthen coordination, monitoring and reporting frameworks and systems "/>
    <s v="184406"/>
    <s v="Enhance staff capacity to conduct high quality and impact-driven performance audits across government"/>
    <m/>
    <m/>
    <s v="18440604"/>
    <s v="Audit committee manuals developed and updated."/>
    <s v="Updated Audit committee manuals in place"/>
    <n v="0"/>
    <n v="0"/>
    <n v="0"/>
    <n v="1"/>
    <n v="1"/>
    <n v="1"/>
    <s v="MoFPED"/>
    <s v="008 Ministry of Finance, Planning &amp; Economic Dev."/>
    <s v="Develop and update Audit committee manuals"/>
    <n v="1"/>
    <n v="1"/>
    <n v="0"/>
    <n v="1"/>
    <n v="1"/>
    <n v="1"/>
    <n v="1"/>
    <n v="1"/>
    <n v="0.875"/>
    <m/>
    <n v="0"/>
    <n v="0"/>
    <n v="0"/>
    <n v="0.72499999999999998"/>
    <n v="0"/>
    <n v="0.4"/>
    <n v="0.4"/>
    <s v="MoFPED"/>
    <s v="008 Ministry of Finance, Planning &amp; Economic Dev."/>
    <m/>
  </r>
  <r>
    <x v="13"/>
    <x v="13"/>
    <s v="182"/>
    <s v="Resource Mobilization and Budgeting "/>
    <s v="1824"/>
    <s v="Strengthen coordination, monitoring and reporting frameworks and systems "/>
    <s v="182407"/>
    <s v="Strengthen expenditure tracking, inspection and accountability on green growth"/>
    <m/>
    <m/>
    <s v="18240701"/>
    <s v="A Green Growth Expenditure review report"/>
    <s v="A Green growth Expenditure review report in Place."/>
    <n v="0"/>
    <n v="0"/>
    <n v="0"/>
    <n v="1"/>
    <n v="0"/>
    <n v="0"/>
    <s v="NPA"/>
    <s v="108 National Planning Authority"/>
    <s v="Conduct a Green Expenditure review "/>
    <n v="0"/>
    <n v="0"/>
    <n v="0"/>
    <n v="1"/>
    <n v="0"/>
    <n v="0"/>
    <n v="0"/>
    <n v="1"/>
    <n v="0.25"/>
    <m/>
    <n v="0"/>
    <n v="0"/>
    <n v="0"/>
    <n v="1.1599999999999999"/>
    <n v="0"/>
    <n v="0"/>
    <n v="0"/>
    <s v="NPA"/>
    <s v="108 National Planning Authority"/>
    <m/>
  </r>
  <r>
    <x v="13"/>
    <x v="13"/>
    <s v="182"/>
    <s v="Resource Mobilization and Budgeting "/>
    <s v="1824"/>
    <s v="Strengthen coordination, monitoring and reporting frameworks and systems "/>
    <s v="182407"/>
    <s v="Strengthen expenditure tracking, inspection and accountability on green growth"/>
    <m/>
    <m/>
    <s v="18240702"/>
    <s v="Inspection reports on Green growth."/>
    <s v="No. of inspection reports on green growth expenditure and Accountability"/>
    <n v="0"/>
    <n v="1"/>
    <n v="1"/>
    <n v="1"/>
    <n v="1"/>
    <n v="1"/>
    <s v="NPA"/>
    <s v="108 National Planning Authority"/>
    <s v="Monitor the implementation of Green Growth Strategy"/>
    <n v="1"/>
    <n v="0"/>
    <n v="0"/>
    <n v="1"/>
    <n v="1"/>
    <n v="0"/>
    <n v="0"/>
    <n v="1"/>
    <n v="0.5"/>
    <m/>
    <n v="0"/>
    <n v="0.2175"/>
    <n v="0.2175"/>
    <n v="0.2175"/>
    <n v="0.2175"/>
    <n v="0.2175"/>
    <n v="0.435"/>
    <s v="NPA"/>
    <s v="108 National Planning Authority"/>
    <m/>
  </r>
  <r>
    <x v="13"/>
    <x v="13"/>
    <s v="181"/>
    <s v="Development Planning, Research, Evaluation and Statistics"/>
    <s v="1815"/>
    <s v="Strengthen the capacity of the statistical system to generate data for national development "/>
    <s v="181501"/>
    <s v="Align and synchronize national survey and census programmes to NDPIII, Africa Agenda 2063, SDGs and other development framework data requirements"/>
    <m/>
    <m/>
    <s v="18150101"/>
    <s v="Censuses and Surveys aligned to NDPIII ,Africa Agenda 2063, SDGs and other development framework data requirements"/>
    <s v="Proportions of Census aligned to NDPIII, Africa Agenda 2063,SDGs and other Development framework data requirements"/>
    <n v="50"/>
    <n v="100"/>
    <n v="100"/>
    <n v="100"/>
    <n v="100"/>
    <n v="100"/>
    <s v="UBoS"/>
    <s v="143 Uganda Bureau of Statistics"/>
    <s v="Undertake long-term censuses and surveys intergrating NDPIII,Agenda 2063,SDGs.. data requirements "/>
    <n v="0"/>
    <n v="1"/>
    <n v="0"/>
    <n v="1"/>
    <n v="1"/>
    <n v="0"/>
    <n v="1"/>
    <n v="1"/>
    <n v="0.625"/>
    <m/>
    <n v="0"/>
    <n v="134.63415799216955"/>
    <n v="288.55"/>
    <n v="264.24"/>
    <n v="228.86"/>
    <n v="191.02"/>
    <n v="419.88"/>
    <s v="UBoS"/>
    <s v="143 Uganda Bureau of Statistics"/>
    <m/>
  </r>
  <r>
    <x v="13"/>
    <x v="13"/>
    <s v="181"/>
    <s v="Development Planning, Research, Evaluation and Statistics"/>
    <s v="1815"/>
    <s v="Strengthen the capacity of the statistical system to generate data for national development "/>
    <s v="181501"/>
    <s v="Align and synchronize national survey and census programmes to NDPIII, Africa Agenda 2063, SDGs and other development framework data requirements"/>
    <m/>
    <m/>
    <s v="18150102"/>
    <s v="NSS Integrated Long-term censuses and surveys Plan "/>
    <s v="Proportion of the long-term censuses and survey plan implemented as scheduled."/>
    <n v="66"/>
    <n v="100"/>
    <n v="100"/>
    <n v="100"/>
    <n v="100"/>
    <n v="100"/>
    <s v="UBoS"/>
    <s v="143 Uganda Bureau of Statistics"/>
    <m/>
    <m/>
    <m/>
    <m/>
    <m/>
    <m/>
    <m/>
    <n v="0"/>
    <n v="0"/>
    <n v="0"/>
    <m/>
    <n v="0"/>
    <m/>
    <m/>
    <m/>
    <m/>
    <m/>
    <n v="0"/>
    <m/>
    <m/>
    <m/>
  </r>
  <r>
    <x v="13"/>
    <x v="13"/>
    <s v="181"/>
    <s v="Development Planning, Research, Evaluation and Statistics"/>
    <s v="1815"/>
    <s v="Strengthen the capacity of the statistical system to generate data for national development "/>
    <s v="181502"/>
    <s v="Acquire and/or develop necessary statistical infrastructure in the NSS including physical, Information and Communication Technology and Human Resources"/>
    <m/>
    <m/>
    <s v="18150201"/>
    <s v="Functional statistical units in MDAs and LGs."/>
    <s v="Proportion of MDAs and LGs implementing the PNSD with functional statistics units."/>
    <n v="15"/>
    <n v="25"/>
    <n v="35"/>
    <n v="45"/>
    <n v="55"/>
    <n v="65"/>
    <s v="UBoS"/>
    <s v="143 Uganda Bureau of Statistics"/>
    <s v="Equip and resource MDA and LG statistical units."/>
    <n v="1"/>
    <n v="0"/>
    <n v="1"/>
    <n v="1"/>
    <n v="1"/>
    <n v="0"/>
    <n v="1"/>
    <n v="1"/>
    <n v="0.75"/>
    <m/>
    <n v="0"/>
    <n v="4.3499999999999996"/>
    <n v="33.93"/>
    <n v="4.3499999999999996"/>
    <n v="2.35"/>
    <n v="3.96"/>
    <n v="6.3100000000000005"/>
    <s v="UBoS"/>
    <s v="143 Uganda Bureau of Statistics"/>
    <m/>
  </r>
  <r>
    <x v="13"/>
    <x v="13"/>
    <s v="181"/>
    <s v="Development Planning, Research, Evaluation and Statistics"/>
    <s v="1815"/>
    <s v="Strengthen the capacity of the statistical system to generate data for national development "/>
    <s v="181502"/>
    <s v="Acquire and/or develop necessary statistical infrastructure in the NSS including physical, Information and Communication Technology and Human Resources"/>
    <m/>
    <m/>
    <s v="18150202"/>
    <s v="Functional e-data dissemination Platform"/>
    <s v="No. of Users of the UBOS e-data dissemination Platform"/>
    <m/>
    <n v="1500"/>
    <n v="2000"/>
    <n v="2300"/>
    <n v="2500"/>
    <n v="3000"/>
    <s v="UBoS"/>
    <s v="143 Uganda Bureau of Statistics"/>
    <s v="Update the UBOS website with data for dissemination"/>
    <n v="1"/>
    <n v="0"/>
    <n v="1"/>
    <n v="1"/>
    <n v="1"/>
    <n v="0"/>
    <n v="1"/>
    <n v="1"/>
    <n v="0.75"/>
    <m/>
    <n v="0"/>
    <n v="0.15"/>
    <n v="0.15"/>
    <n v="0.15"/>
    <n v="0.15"/>
    <n v="0.15"/>
    <n v="0.3"/>
    <s v="UBoS"/>
    <m/>
    <m/>
  </r>
  <r>
    <x v="13"/>
    <x v="13"/>
    <s v="181"/>
    <s v="Development Planning, Research, Evaluation and Statistics"/>
    <s v="1815"/>
    <s v="Strengthen the capacity of the statistical system to generate data for national development "/>
    <s v="181503"/>
    <s v="Harness new data sources including big data, data science, block chain technologies and geospatial technologies in statistical production"/>
    <m/>
    <m/>
    <s v="18150301"/>
    <s v="New data sources integrated in the production of Official Statistics."/>
    <s v="Number of experts trained in compilation and use of non-traditional data."/>
    <n v="0"/>
    <n v="30"/>
    <n v="30"/>
    <n v="30"/>
    <n v="30"/>
    <n v="30"/>
    <s v="UBoS"/>
    <s v="143 Uganda Bureau of Statistics"/>
    <s v="Build capacity to compile and use nontraditional data sources for statistical production."/>
    <n v="1"/>
    <n v="0"/>
    <n v="1"/>
    <n v="1"/>
    <n v="1"/>
    <n v="0"/>
    <n v="1"/>
    <n v="1"/>
    <n v="0.75"/>
    <m/>
    <n v="0"/>
    <n v="0.36"/>
    <n v="0.36"/>
    <n v="0.36"/>
    <n v="0.36"/>
    <n v="0.36"/>
    <n v="0.72"/>
    <s v="UBoS"/>
    <m/>
    <m/>
  </r>
  <r>
    <x v="13"/>
    <x v="13"/>
    <s v="181"/>
    <s v="Development Planning, Research, Evaluation and Statistics"/>
    <s v="1815"/>
    <s v="Strengthen the capacity of the statistical system to generate data for national development "/>
    <s v="181504"/>
    <s v="Amend the UBOS Act, 1998 to be inclusive of the NSS to better coordinate the NSS and define the roles of other players within the NSS Framework"/>
    <m/>
    <m/>
    <s v="18150401"/>
    <s v="Updated UBOS Act"/>
    <s v="Amended UBOS Act in place."/>
    <n v="0"/>
    <n v="0"/>
    <n v="1"/>
    <n v="0"/>
    <n v="0"/>
    <n v="0"/>
    <s v="UBoS"/>
    <s v="143 Uganda Bureau of Statistics"/>
    <s v="Review and amend the UBOS Act."/>
    <n v="1"/>
    <n v="0"/>
    <n v="0"/>
    <n v="1"/>
    <n v="1"/>
    <n v="0"/>
    <n v="1"/>
    <n v="1"/>
    <n v="0.625"/>
    <m/>
    <n v="0"/>
    <n v="7.2499999999999995E-2"/>
    <n v="2.8999999999999998E-2"/>
    <n v="0"/>
    <n v="0"/>
    <n v="2.8999999999999998E-2"/>
    <n v="2.8999999999999998E-2"/>
    <s v="UBoS"/>
    <s v="143 Uganda Bureau of Statistics"/>
    <m/>
  </r>
  <r>
    <x v="13"/>
    <x v="13"/>
    <s v="181"/>
    <s v="Development Planning, Research, Evaluation and Statistics"/>
    <s v="1815"/>
    <s v="Strengthen the capacity of the statistical system to generate data for national development "/>
    <s v="181505"/>
    <s v="Review and update the National Standard Indicator Framework in line with the NDP III, Agenda 2063 and SDGs"/>
    <m/>
    <m/>
    <s v="18150501"/>
    <s v="Updated National Standard Indicator (NSI) framework"/>
    <s v="Proportion of National, regional and international development frameworks indicators integrated in the NSI."/>
    <n v="60"/>
    <n v="80"/>
    <n v="100"/>
    <n v="100"/>
    <n v="100"/>
    <n v="100"/>
    <s v="UBoS"/>
    <s v="143 Uganda Bureau of Statistics"/>
    <s v="Review and update the NSI framework with National, regional and international development frameworks indicators."/>
    <n v="1"/>
    <n v="0"/>
    <n v="1"/>
    <n v="1"/>
    <n v="0"/>
    <n v="0"/>
    <n v="1"/>
    <n v="1"/>
    <n v="0.625"/>
    <m/>
    <n v="0"/>
    <n v="0.28999999999999998"/>
    <n v="0.14499999999999999"/>
    <n v="0"/>
    <n v="0"/>
    <n v="0"/>
    <n v="0"/>
    <s v="UBoS"/>
    <s v="143 Uganda Bureau of Statistics"/>
    <m/>
  </r>
  <r>
    <x v="13"/>
    <x v="13"/>
    <s v="181"/>
    <s v="Development Planning, Research, Evaluation and Statistics"/>
    <s v="1815"/>
    <s v="Strengthen the capacity of the statistical system to generate data for national development "/>
    <s v="181505"/>
    <s v="Review and update the National Standard Indicator Framework in line with the NDP III, Agenda 2063 and SDGs"/>
    <m/>
    <m/>
    <s v="18150501"/>
    <s v="Updated National Standard Indicator (NSI) framework"/>
    <s v="Updated national standard indicator (NSI) framework in place and online."/>
    <n v="0"/>
    <n v="1"/>
    <n v="1"/>
    <n v="1"/>
    <n v="1"/>
    <n v="1"/>
    <s v="UBoS"/>
    <s v="143 Uganda Bureau of Statistics"/>
    <m/>
    <m/>
    <m/>
    <m/>
    <m/>
    <m/>
    <m/>
    <n v="0"/>
    <n v="0"/>
    <n v="0"/>
    <m/>
    <n v="0"/>
    <m/>
    <m/>
    <m/>
    <m/>
    <m/>
    <n v="0"/>
    <m/>
    <m/>
    <m/>
  </r>
  <r>
    <x v="13"/>
    <x v="13"/>
    <s v="181"/>
    <s v="Development Planning, Research, Evaluation and Statistics"/>
    <s v="1815"/>
    <s v="Strengthen the capacity of the statistical system to generate data for national development "/>
    <s v="181506"/>
    <s v="Standardize and operationalize use of standard statistical infrastructure including the rules, regulations and instruments for conducting Censuses and Surveys among data producers"/>
    <m/>
    <m/>
    <s v="18150601"/>
    <s v="Statistical Rules, regulations and instruments Standardized and operationalized."/>
    <s v="Proportion of MDAs and HLGs trained in the use of statistical standards"/>
    <n v="31"/>
    <n v="50"/>
    <n v="60"/>
    <n v="70"/>
    <n v="80"/>
    <n v="90"/>
    <s v="UBoS"/>
    <s v="143 Uganda Bureau of Statistics"/>
    <s v="Popularize, Statistical Rules, regulations and Standards"/>
    <n v="1"/>
    <n v="0"/>
    <n v="0"/>
    <n v="1"/>
    <n v="1"/>
    <n v="0"/>
    <n v="1"/>
    <n v="1"/>
    <n v="0.625"/>
    <m/>
    <n v="0"/>
    <n v="7.2499999999999995E-2"/>
    <n v="7.2499999999999995E-2"/>
    <n v="7.2499999999999995E-2"/>
    <n v="7.2499999999999995E-2"/>
    <n v="7.2499999999999995E-2"/>
    <n v="0.14499999999999999"/>
    <s v="UBoS"/>
    <s v="143 Uganda Bureau of Statistics"/>
    <m/>
  </r>
  <r>
    <x v="13"/>
    <x v="13"/>
    <s v="181"/>
    <s v="Development Planning, Research, Evaluation and Statistics"/>
    <s v="1815"/>
    <s v="Strengthen the capacity of the statistical system to generate data for national development "/>
    <s v="181507"/>
    <s v="Mainstream documentation of methodologies (Metadata) for NSS indicators"/>
    <m/>
    <m/>
    <s v="18150701"/>
    <s v="Updated NSS Metadata Handbook and Compendium  of Statistical Concepts and Definition "/>
    <s v="Proportion of NSI with up-to-date metadata"/>
    <n v="35"/>
    <n v="40"/>
    <n v="60"/>
    <n v="75"/>
    <n v="80"/>
    <n v="90"/>
    <s v="UBoS"/>
    <s v="143 Uganda Bureau of Statistics"/>
    <s v="Develop metadata for MDA and LG indicators."/>
    <n v="1"/>
    <n v="0"/>
    <n v="0"/>
    <n v="1"/>
    <n v="1"/>
    <n v="0"/>
    <n v="1"/>
    <n v="1"/>
    <n v="0.625"/>
    <m/>
    <n v="0"/>
    <n v="0.72499999999999998"/>
    <n v="0.72499999999999998"/>
    <n v="0"/>
    <n v="0"/>
    <n v="0"/>
    <n v="0"/>
    <s v="UBoS"/>
    <s v="143 Uganda Bureau of Statistics"/>
    <m/>
  </r>
  <r>
    <x v="13"/>
    <x v="13"/>
    <s v="181"/>
    <s v="Development Planning, Research, Evaluation and Statistics"/>
    <s v="1815"/>
    <s v="Strengthen the capacity of the statistical system to generate data for national development "/>
    <s v="181507"/>
    <s v="Mainstream documentation of methodologies (Metadata) for NSS indicators"/>
    <m/>
    <m/>
    <s v="18150702"/>
    <s v="Updated statistical standards profile."/>
    <s v="Proportion of NSI compiled using international standards."/>
    <n v="35"/>
    <n v="40"/>
    <n v="60"/>
    <n v="75"/>
    <n v="80"/>
    <n v="90"/>
    <s v="UBoS"/>
    <s v="143 Uganda Bureau of Statistics"/>
    <s v="Integrate international standards in statistical production."/>
    <n v="1"/>
    <n v="1"/>
    <n v="0"/>
    <n v="1"/>
    <n v="1"/>
    <n v="0"/>
    <n v="1"/>
    <n v="1"/>
    <n v="0.75"/>
    <m/>
    <n v="0"/>
    <n v="0"/>
    <n v="7.2499999999999995E-2"/>
    <n v="0"/>
    <n v="0.2"/>
    <n v="0.3"/>
    <n v="0.5"/>
    <s v="UBoS"/>
    <s v="143 Uganda Bureau of Statistics"/>
    <m/>
  </r>
  <r>
    <x v="13"/>
    <x v="13"/>
    <s v="181"/>
    <s v="Development Planning, Research, Evaluation and Statistics"/>
    <s v="1815"/>
    <s v="Strengthen the capacity of the statistical system to generate data for national development "/>
    <s v="181508"/>
    <s v="Build the capacity the civil society and private sector associations in the production and use of statistics"/>
    <m/>
    <m/>
    <s v="18150801"/>
    <s v="1CSOs, private sector associations trained in production and use of statistics"/>
    <s v="Number of CSOs and private sector associations trained in production of and use of statistics."/>
    <n v="20"/>
    <n v="60"/>
    <n v="60"/>
    <n v="60"/>
    <n v="60"/>
    <n v="60"/>
    <s v="UBoS"/>
    <s v="143 Uganda Bureau of Statistics"/>
    <s v="Train CSOs and private sector associations in statistical production."/>
    <n v="1"/>
    <n v="0"/>
    <n v="1"/>
    <n v="1"/>
    <n v="1"/>
    <n v="0"/>
    <n v="1"/>
    <n v="1"/>
    <n v="0.75"/>
    <m/>
    <n v="0"/>
    <n v="0.14499999999999999"/>
    <n v="0.14499999999999999"/>
    <n v="0.14499999999999999"/>
    <n v="0.14499999999999999"/>
    <n v="0.14499999999999999"/>
    <n v="0.28999999999999998"/>
    <s v="UBoS"/>
    <s v="143 Uganda Bureau of Statistics"/>
    <m/>
  </r>
  <r>
    <x v="13"/>
    <x v="13"/>
    <s v="181"/>
    <s v="Development Planning, Research, Evaluation and Statistics"/>
    <s v="1815"/>
    <s v="Strengthen the capacity of the statistical system to generate data for national development "/>
    <s v="181509"/>
    <s v="Undertake research to improve methodologies for key statistics and indicators"/>
    <m/>
    <m/>
    <s v="18150901"/>
    <s v="Statistical Methodological research reports "/>
    <s v="Number of new statistical indicators compiled"/>
    <n v="5"/>
    <n v="5"/>
    <n v="5"/>
    <n v="5"/>
    <n v="5"/>
    <n v="5"/>
    <s v="UBoS"/>
    <s v="143 Uganda Bureau of Statistics"/>
    <s v="Develop methodologies for new statistical products."/>
    <n v="1"/>
    <n v="0"/>
    <n v="0"/>
    <n v="1"/>
    <n v="1"/>
    <n v="0"/>
    <n v="1"/>
    <n v="1"/>
    <n v="0.625"/>
    <m/>
    <n v="0"/>
    <n v="0"/>
    <n v="0"/>
    <n v="0"/>
    <n v="0"/>
    <n v="7.2499999999999995E-2"/>
    <n v="7.2499999999999995E-2"/>
    <s v="UBoS"/>
    <s v="143 Uganda Bureau of Statistics"/>
    <m/>
  </r>
  <r>
    <x v="13"/>
    <x v="13"/>
    <s v="181"/>
    <s v="Development Planning, Research, Evaluation and Statistics"/>
    <s v="1815"/>
    <s v="Strengthen the capacity of the statistical system to generate data for national development "/>
    <s v="181510"/>
    <s v="Support Statistical professional development and application through collaboration with the academia and relevant international organizations"/>
    <m/>
    <m/>
    <s v="18151001"/>
    <s v="New global trends in statistics integrated in the Statistics academic curriculum. "/>
    <s v="Proportion of new concepts integrated in the Statistics academic curriculum."/>
    <n v="0"/>
    <n v="0"/>
    <n v="0"/>
    <n v="5"/>
    <n v="10"/>
    <n v="10"/>
    <s v="UBoS"/>
    <s v="143 Uganda Bureau of Statistics"/>
    <s v="Review and update the Statistics academic curriculum."/>
    <n v="1"/>
    <n v="0"/>
    <n v="0"/>
    <n v="1"/>
    <n v="1"/>
    <n v="0"/>
    <n v="1"/>
    <n v="1"/>
    <n v="0.625"/>
    <m/>
    <n v="0"/>
    <n v="0.14499999999999999"/>
    <n v="0.14499999999999999"/>
    <n v="0.14499999999999999"/>
    <n v="0.14499999999999999"/>
    <n v="0.14499999999999999"/>
    <n v="0.28999999999999998"/>
    <s v="UBoS"/>
    <s v="143 Uganda Bureau of Statistics"/>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a"/>
    <s v="Strengthen compilation of statistics for cross-cutting issues e.g. (migration, gender, refugees and others)"/>
    <s v="181511a01"/>
    <s v="Statistics on cross cutting issues compiled and disseminated."/>
    <s v="Proportion of statistical reports with cross-cutting issues. (e.g. migration, gender, refugees and others) integrated."/>
    <n v="39"/>
    <n v="49"/>
    <n v="59"/>
    <n v="69"/>
    <n v="79"/>
    <n v="89"/>
    <s v="UBoS"/>
    <s v="143 Uganda Bureau of Statistics"/>
    <s v="Produce statistical reports on crosscutting issues produced."/>
    <n v="1"/>
    <n v="0"/>
    <n v="0"/>
    <n v="1"/>
    <n v="1"/>
    <n v="0"/>
    <n v="1"/>
    <n v="1"/>
    <n v="0.625"/>
    <m/>
    <n v="0"/>
    <n v="9.4829999999999988"/>
    <n v="6.96"/>
    <n v="7.8299999999999992"/>
    <n v="2.83"/>
    <n v="2.83"/>
    <n v="5.66"/>
    <s v="UBoS"/>
    <s v="143 Uganda Bureau of Statistics"/>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a"/>
    <s v="Strengthen compilation of statistics for cross-cutting issues e.g. (migration, gender, refugees and others)"/>
    <s v="181511a02"/>
    <s v="Statistics on cross cutting issues compiled and disseminated."/>
    <s v="Number of Briefs compiled on Statistics for Cross cutting issues and disseminated."/>
    <n v="1"/>
    <n v="3"/>
    <n v="3"/>
    <n v="3"/>
    <n v="3"/>
    <n v="3"/>
    <s v="UBoS"/>
    <s v="143 Uganda Bureau of Statistics"/>
    <m/>
    <m/>
    <m/>
    <m/>
    <m/>
    <m/>
    <m/>
    <n v="0"/>
    <n v="0"/>
    <n v="0"/>
    <m/>
    <n v="0"/>
    <m/>
    <m/>
    <m/>
    <m/>
    <m/>
    <n v="0"/>
    <m/>
    <m/>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a"/>
    <s v="Strengthen compilation of statistics for cross-cutting issues e.g. (migration, gender, refugees and others)"/>
    <s v="181511a03"/>
    <s v="Government Finance Statistics produced to guide Policy analysis"/>
    <s v="Government Finance Statistics in Place and used to guide Policy analysis"/>
    <n v="0"/>
    <n v="1"/>
    <n v="1"/>
    <n v="1"/>
    <n v="1"/>
    <n v="1"/>
    <s v="MoFPED"/>
    <s v="008 Ministry of Finance, Planning &amp; Economic Dev."/>
    <s v="Undertake collection of  government financial statistics"/>
    <n v="1"/>
    <n v="1"/>
    <n v="0"/>
    <n v="1"/>
    <n v="1"/>
    <n v="0"/>
    <n v="1"/>
    <n v="1"/>
    <n v="0.75"/>
    <m/>
    <n v="0"/>
    <n v="0"/>
    <n v="0.435"/>
    <n v="0.435"/>
    <n v="0.435"/>
    <n v="0.435"/>
    <n v="0.87"/>
    <s v="MoFPED"/>
    <s v="008 Ministry of Finance, Planning &amp; Economic Dev."/>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a"/>
    <s v="Strengthen compilation of statistics for cross-cutting issues e.g. (migration, gender, refugees and others)"/>
    <s v="181511a04"/>
    <s v="Administrative data Collected among the MDAs and LGs with a focus on cross cutting issues."/>
    <s v="Proportion of MDAs and LGs collecting administrative data focusing on cross cutting issues"/>
    <n v="0"/>
    <n v="20"/>
    <n v="40"/>
    <n v="60"/>
    <n v="80"/>
    <n v="100"/>
    <s v="UBOS"/>
    <s v="143 Uganda Bureau of Statistics"/>
    <s v="Build capacity in, and coordinate the collection and storage of  administrative and high frequency data  across government ."/>
    <n v="1"/>
    <n v="0"/>
    <n v="1"/>
    <n v="1"/>
    <n v="1"/>
    <n v="0"/>
    <n v="1"/>
    <n v="1"/>
    <n v="0.75"/>
    <m/>
    <n v="0"/>
    <n v="9.4829999999999988"/>
    <n v="6.96"/>
    <n v="6.7859999999999987"/>
    <n v="6.96"/>
    <n v="7.8299999999999992"/>
    <n v="14.79"/>
    <s v="UBoS"/>
    <s v="143 Uganda Bureau of Statistics"/>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b"/>
    <s v="Strengthenproduction and use of disaggregated district level statistics for planning"/>
    <s v="181511b01"/>
    <s v="Functional community information system at parish level."/>
    <s v="Proportion of parishes with functional Community information system"/>
    <n v="40"/>
    <n v="50"/>
    <n v="60"/>
    <n v="70"/>
    <n v="80"/>
    <n v="90"/>
    <s v="UBoS"/>
    <s v="143 Uganda Bureau of Statistics"/>
    <s v="Develop and operationalize real time community information systems at parish level."/>
    <n v="1"/>
    <n v="1"/>
    <n v="0"/>
    <n v="1"/>
    <n v="1"/>
    <n v="0"/>
    <n v="1"/>
    <n v="1"/>
    <n v="0.75"/>
    <m/>
    <n v="0"/>
    <n v="5.22"/>
    <n v="20.88"/>
    <n v="18.27"/>
    <n v="21.8"/>
    <n v="5.88"/>
    <n v="27.68"/>
    <s v="UBoS"/>
    <s v="143 Uganda Bureau of Statistics"/>
    <m/>
  </r>
  <r>
    <x v="13"/>
    <x v="13"/>
    <s v="181"/>
    <s v="Development Planning, Research, Evaluation and Statistics"/>
    <s v="1815"/>
    <s v="Strengthen the capacity of the statistical system to generate data for national development "/>
    <s v="181511"/>
    <s v="Enhance the compilation, management and use of Administrative data among the MDAs and LGs; "/>
    <s v="181511b"/>
    <s v="Strengthenproduction and use of disaggregated district level statistics for planning"/>
    <s v="181511b02"/>
    <s v="Effective and efficient birth and death registration services at district level."/>
    <s v="Proportion of districts with effective and efficient birth and death registration services "/>
    <n v="0"/>
    <n v="30"/>
    <n v="65"/>
    <n v="70"/>
    <n v="85"/>
    <n v="100"/>
    <s v="NIRA"/>
    <s v="309 National Identification and Registration Authority (NIRA)"/>
    <s v="Resource, train and equip districts in the compilation of BDR data."/>
    <n v="1"/>
    <n v="0"/>
    <n v="1"/>
    <n v="1"/>
    <n v="1"/>
    <n v="0"/>
    <n v="1"/>
    <n v="1"/>
    <n v="0.75"/>
    <m/>
    <n v="0"/>
    <n v="14.442"/>
    <n v="23.14"/>
    <n v="24.36"/>
    <n v="24.881999999999998"/>
    <n v="26.447999999999997"/>
    <n v="51.33"/>
    <s v="NIRA"/>
    <s v="309 National Identification and Registration Authority (NIRA)"/>
    <m/>
  </r>
  <r>
    <x v="13"/>
    <x v="13"/>
    <s v="181"/>
    <s v="Development Planning, Research, Evaluation and Statistics"/>
    <s v="1816"/>
    <s v="Strengthen the Research and Evaluation function to better inform planning and plan implementation"/>
    <s v="181601"/>
    <s v="Develop the National Development Planning Research Agenda"/>
    <m/>
    <m/>
    <s v="18160101"/>
    <s v="National Development Planning Research Agenda"/>
    <s v="National Development Planning Research Agenda in place and operational."/>
    <n v="0"/>
    <n v="0"/>
    <n v="1"/>
    <n v="1"/>
    <n v="1"/>
    <n v="1"/>
    <s v="NPA"/>
    <s v="108 National Planning Authority"/>
    <s v="Develop the National Research Agenda to suppport Development Planning "/>
    <n v="1"/>
    <n v="0"/>
    <n v="0"/>
    <n v="1"/>
    <n v="1"/>
    <n v="0"/>
    <n v="1"/>
    <n v="1"/>
    <n v="0.625"/>
    <m/>
    <n v="0"/>
    <n v="0"/>
    <n v="0.36"/>
    <n v="0"/>
    <n v="0"/>
    <n v="0.36"/>
    <n v="0.36"/>
    <s v="NPA"/>
    <s v="108 National Planning Authority"/>
    <m/>
  </r>
  <r>
    <x v="13"/>
    <x v="13"/>
    <s v="181"/>
    <s v="Development Planning, Research, Evaluation and Statistics"/>
    <s v="1816"/>
    <s v="Strengthen the Research and Evaluation function to better inform planning and plan implementation"/>
    <s v="181601"/>
    <s v="Develop the National Development Planning Research Agenda"/>
    <m/>
    <m/>
    <s v="18160101"/>
    <s v="National Development Planning Research Agenda"/>
    <s v="Proportion of the research agenda implemented."/>
    <n v="0"/>
    <n v="0"/>
    <n v="0"/>
    <n v="30"/>
    <n v="60"/>
    <n v="75"/>
    <s v="NPA"/>
    <s v="108 National Planning Authority"/>
    <s v="Undertake research in line with the national research agenda."/>
    <n v="1"/>
    <n v="0"/>
    <n v="0"/>
    <n v="1"/>
    <n v="1"/>
    <n v="0"/>
    <n v="1"/>
    <n v="1"/>
    <n v="0.625"/>
    <m/>
    <n v="0"/>
    <n v="0"/>
    <n v="0"/>
    <n v="0.73"/>
    <n v="0.73"/>
    <n v="0.73"/>
    <n v="1.46"/>
    <s v="NPA"/>
    <s v="108 National Planning Authority"/>
    <m/>
  </r>
  <r>
    <x v="13"/>
    <x v="13"/>
    <s v="181"/>
    <s v="Development Planning, Research, Evaluation and Statistics"/>
    <s v="1816"/>
    <s v="Strengthen the Research and Evaluation function to better inform planning and plan implementation"/>
    <s v="181601"/>
    <s v="Develop the National Development Planning Research Agenda"/>
    <m/>
    <m/>
    <s v="18160101"/>
    <s v="National Development Planning Research Agenda"/>
    <s v=" No. of Evidence based research using modelling techniques done."/>
    <n v="0"/>
    <n v="0"/>
    <n v="1"/>
    <n v="1"/>
    <n v="1"/>
    <n v="1"/>
    <s v="NPA"/>
    <s v="108 National Planning Authority"/>
    <s v="Undertake Evidence based research using modelling techniques"/>
    <n v="1"/>
    <n v="0"/>
    <n v="0"/>
    <n v="1"/>
    <n v="1"/>
    <n v="0"/>
    <n v="1"/>
    <n v="1"/>
    <n v="0.625"/>
    <m/>
    <n v="0"/>
    <n v="0"/>
    <n v="1.02"/>
    <n v="1.02"/>
    <n v="1.02"/>
    <n v="1.02"/>
    <n v="2.04"/>
    <s v="NPA"/>
    <s v="108 National Planning Authority"/>
    <m/>
  </r>
  <r>
    <x v="13"/>
    <x v="13"/>
    <s v="181"/>
    <s v="Development Planning, Research, Evaluation and Statistics"/>
    <s v="1816"/>
    <s v="Strengthen the Research and Evaluation function to better inform planning and plan implementation"/>
    <s v="181602"/>
    <s v="Develop an integrated system for tracking implementation of internal and external audit recommendations"/>
    <m/>
    <m/>
    <s v="18160201"/>
    <s v="Integrated and functional system for tracking implementation of Audit recommendations developed and rolled out."/>
    <s v="Integrated system in place by December 2021."/>
    <n v="0"/>
    <n v="0"/>
    <n v="1"/>
    <n v="0"/>
    <n v="0"/>
    <n v="0"/>
    <s v="OAG"/>
    <s v="131 Auditor General"/>
    <s v="Develop and rollout an Integrated system for tracking implementation of Audit recommendations"/>
    <n v="1"/>
    <n v="0"/>
    <n v="0"/>
    <n v="1"/>
    <n v="1"/>
    <n v="0"/>
    <n v="1"/>
    <n v="1"/>
    <n v="0.625"/>
    <m/>
    <n v="1"/>
    <n v="0.47849999999999998"/>
    <n v="0.72499999999999998"/>
    <n v="0"/>
    <n v="0.25"/>
    <n v="0.34799999999999998"/>
    <n v="0.59799999999999998"/>
    <s v="OAG"/>
    <s v="131 Auditor General"/>
    <m/>
  </r>
  <r>
    <x v="13"/>
    <x v="13"/>
    <s v="181"/>
    <s v="Development Planning, Research, Evaluation and Statistics"/>
    <s v="1816"/>
    <s v="Strengthen the Research and Evaluation function to better inform planning and plan implementation"/>
    <s v="181602"/>
    <s v="Develop an integrated system for tracking implementation of internal and external audit recommendations"/>
    <m/>
    <m/>
    <s v="18160201"/>
    <s v="Integrated and functional system for tracking implementation of Audit recommendations developed and rolled out."/>
    <s v="Proportion of audit and investigation recommendations tracked."/>
    <n v="0"/>
    <n v="0"/>
    <n v="0"/>
    <n v="0.2"/>
    <n v="0.4"/>
    <n v="0.5"/>
    <s v="OAG"/>
    <s v="131 Auditor General"/>
    <s v="Maintain the Integrated system for tracking implementation of Audit recommendations"/>
    <n v="1"/>
    <n v="0"/>
    <n v="0"/>
    <n v="1"/>
    <n v="1"/>
    <n v="0"/>
    <n v="1"/>
    <n v="1"/>
    <n v="0.625"/>
    <m/>
    <n v="0"/>
    <n v="0"/>
    <n v="0"/>
    <n v="0.28999999999999998"/>
    <n v="0.1"/>
    <n v="0.15"/>
    <n v="0.25"/>
    <s v="OAG"/>
    <s v="131 Auditor General"/>
    <m/>
  </r>
  <r>
    <x v="13"/>
    <x v="13"/>
    <s v="181"/>
    <s v="Development Planning, Research, Evaluation and Statistics"/>
    <s v="1816"/>
    <s v="Strengthen the Research and Evaluation function to better inform planning and plan implementation"/>
    <s v="181603"/>
    <s v="Expand the Performance/Value for Money Audits, Specialized Audits and Forensic Investigations undertakings "/>
    <m/>
    <m/>
    <s v="18160301"/>
    <s v="Increased Performance / Value for Money Audits, Specialized Audits and Forensics investigations undertaken."/>
    <s v="Number of Performance / Value for Money Audits, Specialized Audits and Forensics investigations undertaken."/>
    <n v="34"/>
    <n v="38"/>
    <n v="40"/>
    <n v="46"/>
    <n v="50"/>
    <n v="52"/>
    <s v="OAG"/>
    <s v="131 Auditor General"/>
    <s v="Undertake more Performance / Value for Money Audits, Specialized Audits and Forensics investigations."/>
    <n v="1"/>
    <n v="1"/>
    <n v="0"/>
    <n v="1"/>
    <n v="1"/>
    <n v="0"/>
    <n v="1"/>
    <n v="1"/>
    <n v="0.75"/>
    <m/>
    <n v="0"/>
    <n v="4.8"/>
    <n v="5.08"/>
    <n v="6.5"/>
    <n v="6.5"/>
    <n v="7"/>
    <n v="13.5"/>
    <s v="OAG"/>
    <s v="131 Auditor General"/>
    <m/>
  </r>
  <r>
    <x v="13"/>
    <x v="13"/>
    <s v="181"/>
    <s v="Development Planning, Research, Evaluation and Statistics"/>
    <s v="1816"/>
    <s v="Strengthen the Research and Evaluation function to better inform planning and plan implementation"/>
    <s v="181603"/>
    <s v="Expand the Performance/Value for Money Audits, Specialized Audits and Forensic Investigations undertakings "/>
    <m/>
    <m/>
    <s v="18160302"/>
    <s v="Increased Performance / Value for Money Audits, Specialized Audits and Forensics investigations undertaken."/>
    <s v="Proportion of Forensic/Special audit investigations undertaken"/>
    <n v="0.5"/>
    <n v="0.5"/>
    <n v="0.55000000000000004"/>
    <n v="0.6"/>
    <n v="0.6"/>
    <n v="0.7"/>
    <s v="OAG"/>
    <s v="131 Auditor General"/>
    <m/>
    <m/>
    <m/>
    <m/>
    <m/>
    <m/>
    <m/>
    <n v="0"/>
    <n v="0"/>
    <n v="0"/>
    <m/>
    <n v="0"/>
    <m/>
    <m/>
    <m/>
    <m/>
    <m/>
    <n v="0"/>
    <m/>
    <m/>
    <m/>
  </r>
  <r>
    <x v="13"/>
    <x v="13"/>
    <s v="181"/>
    <s v="Development Planning, Research, Evaluation and Statistics"/>
    <s v="1816"/>
    <s v="Strengthen the Research and Evaluation function to better inform planning and plan implementation"/>
    <s v="181603"/>
    <s v="Expand the Performance/Value for Money Audits, Specialized Audits and Forensic Investigations undertakings "/>
    <m/>
    <m/>
    <s v="18160302"/>
    <s v="Gender and Equity Compliance Enhanced (Annual Report on the State of Equal Opportunities in Uganda)"/>
    <s v="Number of Annual Report on the State of equal opportunities in Uganda"/>
    <n v="1"/>
    <n v="1"/>
    <n v="1"/>
    <n v="1"/>
    <n v="1"/>
    <n v="1"/>
    <s v="EOC"/>
    <s v="124 Equal Opportunities Commission"/>
    <s v="Conduct Gender &amp;Equity Audits and research AND Produce and disseminate the Annual Report on the State of Equal Opportunities in Uganda"/>
    <n v="1"/>
    <n v="0"/>
    <n v="0"/>
    <n v="1"/>
    <n v="1"/>
    <n v="0"/>
    <n v="1"/>
    <n v="1"/>
    <n v="0.625"/>
    <m/>
    <n v="0"/>
    <n v="1.99"/>
    <n v="2"/>
    <n v="2.02"/>
    <n v="2.0099999999999998"/>
    <n v="2"/>
    <n v="4.01"/>
    <s v="EOC"/>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1"/>
    <s v="Updated terms of reference for oversight committees"/>
    <s v="Proportion of oversight committees with updated TORs."/>
    <n v="0"/>
    <n v="0"/>
    <n v="50"/>
    <n v="100"/>
    <n v="0"/>
    <n v="0"/>
    <s v="OP"/>
    <s v="001 Office of the President"/>
    <s v="Review and harmonize TORs for oversight committees."/>
    <n v="1"/>
    <n v="0"/>
    <n v="0"/>
    <n v="1"/>
    <n v="1"/>
    <n v="0"/>
    <n v="1"/>
    <n v="1"/>
    <n v="0.625"/>
    <m/>
    <n v="0"/>
    <n v="0"/>
    <n v="7.2499999999999995E-2"/>
    <n v="0"/>
    <n v="0"/>
    <n v="7.2499999999999995E-2"/>
    <n v="7.2499999999999995E-2"/>
    <s v="OP"/>
    <s v="001 Office of the President"/>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2"/>
    <s v="Harmonized Oversight Committees roles."/>
    <s v="Harmonized Oversight Committees roles in Place."/>
    <s v="(blank)"/>
    <n v="1"/>
    <s v="(blank)"/>
    <s v="(blank)"/>
    <n v="1"/>
    <n v="1"/>
    <s v="OPM"/>
    <s v="003 Office of the Prime Minister"/>
    <s v="Review,harmonise and compile a unified document with harmonized oversight committee roles/functions.."/>
    <n v="1"/>
    <n v="0"/>
    <n v="0"/>
    <n v="1"/>
    <n v="1"/>
    <n v="0"/>
    <n v="1"/>
    <n v="1"/>
    <n v="0.625"/>
    <m/>
    <n v="0"/>
    <n v="0.14499999999999999"/>
    <n v="0"/>
    <n v="0"/>
    <n v="1.1499999999999999"/>
    <n v="1.1499999999999999"/>
    <n v="2.2999999999999998"/>
    <s v="OPM"/>
    <s v="003 Office of the Prime Minister"/>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3"/>
    <s v="Harmonized Oversight Committees roles."/>
    <s v="Number of meetings with oversight committees"/>
    <s v="(blank)"/>
    <n v="2"/>
    <n v="2"/>
    <n v="2"/>
    <n v="2"/>
    <n v="2"/>
    <s v="OPM"/>
    <s v="003 Office of the Prime Minister"/>
    <s v="Regular coordination meetings with the various oversight committees."/>
    <n v="1"/>
    <n v="0"/>
    <n v="0"/>
    <n v="1"/>
    <n v="1"/>
    <n v="0"/>
    <n v="1"/>
    <n v="1"/>
    <n v="0.625"/>
    <m/>
    <n v="0"/>
    <n v="4.3499999999999997E-2"/>
    <n v="4.3499999999999997E-2"/>
    <n v="4.3499999999999997E-2"/>
    <n v="5"/>
    <n v="5"/>
    <n v="10"/>
    <s v="OPM"/>
    <s v="003 Office of the Prime Minister"/>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4"/>
    <s v="Inter-Ministerial activities coordinated to address the bottlenecks in service delivery."/>
    <s v="Number Inter ministerial meetings convened "/>
    <s v="(blank)"/>
    <n v="50"/>
    <n v="50"/>
    <n v="50"/>
    <n v="50"/>
    <n v="50"/>
    <s v="OPM"/>
    <s v="003 Office of the Prime Minister"/>
    <s v="Convening inter-ministerial meetings "/>
    <n v="1"/>
    <n v="0"/>
    <n v="0"/>
    <n v="1"/>
    <n v="1"/>
    <n v="0"/>
    <n v="1"/>
    <n v="1"/>
    <n v="0.625"/>
    <m/>
    <n v="0"/>
    <n v="1.1599999999999999"/>
    <n v="1.31"/>
    <n v="1.45"/>
    <n v="1.5"/>
    <n v="1.58"/>
    <n v="3.08"/>
    <s v="OPM"/>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5"/>
    <s v="PACOB reports on programme Budgets alignment to NDPIII"/>
    <s v="Number of PACOB reports on Programme Budgets alignment to NDPIII (along the 5 NDPIII strategic Objectives)"/>
    <n v="1"/>
    <n v="1"/>
    <n v="1"/>
    <n v="1"/>
    <n v="1"/>
    <n v="1"/>
    <s v="OPM"/>
    <s v="003 Office of the Prime Minister"/>
    <s v="Conduct PACOB meetings to interrogate programme/MDA Budgets in respect to the PIAPs"/>
    <n v="1"/>
    <n v="0"/>
    <n v="0"/>
    <n v="1"/>
    <n v="1"/>
    <n v="0"/>
    <n v="1"/>
    <n v="1"/>
    <n v="0.625"/>
    <m/>
    <n v="0"/>
    <n v="0.28999999999999998"/>
    <n v="0.28999999999999998"/>
    <n v="0.28999999999999998"/>
    <n v="2"/>
    <n v="2"/>
    <n v="4"/>
    <s v="OPM"/>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5"/>
    <s v="PACOB reports on programme Budgets alignment to NDPIII"/>
    <s v="Proportion of the PACOB report recommendations implemented by respective MDAs."/>
    <s v="(blank)"/>
    <n v="100"/>
    <n v="100"/>
    <n v="100"/>
    <n v="100"/>
    <n v="100"/>
    <s v="OPM"/>
    <s v="003 Office of the Prime Minister"/>
    <m/>
    <m/>
    <m/>
    <m/>
    <m/>
    <m/>
    <m/>
    <n v="0"/>
    <n v="0"/>
    <n v="0"/>
    <m/>
    <n v="0"/>
    <m/>
    <m/>
    <m/>
    <m/>
    <m/>
    <n v="0"/>
    <m/>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6"/>
    <s v="Status report on the implementation of the SDGs across MDAs."/>
    <s v="Status report on the implementation of the SDGs across MDAs in Place."/>
    <n v="0"/>
    <n v="1"/>
    <n v="1"/>
    <n v="1"/>
    <n v="1"/>
    <n v="1"/>
    <s v="OPM"/>
    <s v="003 Office of the Prime Minister"/>
    <s v="Monitor the implementation of SDGs and facilitate meetings to fast track the SDGs. "/>
    <n v="1"/>
    <n v="1"/>
    <n v="1"/>
    <n v="1"/>
    <n v="1"/>
    <n v="1"/>
    <n v="1"/>
    <n v="1"/>
    <n v="1"/>
    <m/>
    <n v="0"/>
    <n v="1.1599999999999999"/>
    <n v="0"/>
    <n v="0"/>
    <n v="3"/>
    <n v="3"/>
    <n v="6"/>
    <s v="OPM"/>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6"/>
    <s v="Status report on the implementation of the SDGs across MDAs."/>
    <s v="Proportion of recommendations in the SDG status report implemented."/>
    <m/>
    <n v="80"/>
    <n v="85"/>
    <n v="90"/>
    <n v="95"/>
    <n v="100"/>
    <s v="OPM"/>
    <s v="003 Office of the Prime Minister"/>
    <m/>
    <m/>
    <m/>
    <m/>
    <m/>
    <m/>
    <m/>
    <n v="0"/>
    <n v="0"/>
    <n v="0"/>
    <m/>
    <n v="0"/>
    <m/>
    <m/>
    <m/>
    <m/>
    <m/>
    <n v="0"/>
    <m/>
    <m/>
    <m/>
  </r>
  <r>
    <x v="13"/>
    <x v="13"/>
    <s v="181"/>
    <s v="Development Planning, Research, Evaluation and Statistics"/>
    <s v="1816"/>
    <s v="Strengthen the Research and Evaluation function to better inform planning and plan implementation"/>
    <s v="181604"/>
    <s v="Strengthen the follow up mechanism to streamline the roles of the relevant oversight committees to avoid duplication of roles"/>
    <m/>
    <m/>
    <s v="18160406"/>
    <s v="Status report on the implementation of the SDGs across MDAs."/>
    <s v="Number of SGDs on track"/>
    <n v="0"/>
    <n v="17"/>
    <n v="17"/>
    <n v="17"/>
    <n v="17"/>
    <n v="17"/>
    <s v="OPM"/>
    <s v="003 Office of the Prime Minister"/>
    <m/>
    <m/>
    <m/>
    <m/>
    <m/>
    <m/>
    <m/>
    <n v="0"/>
    <n v="0"/>
    <n v="0"/>
    <m/>
    <n v="0"/>
    <m/>
    <m/>
    <m/>
    <m/>
    <m/>
    <n v="0"/>
    <m/>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1"/>
    <s v="Big data analysis techniques incorporated in Audit and Investigations promoted"/>
    <s v="Number of audits undertaken using big data analytics"/>
    <n v="0"/>
    <n v="0"/>
    <n v="0"/>
    <n v="1"/>
    <n v="2"/>
    <n v="3"/>
    <s v="OAG"/>
    <s v="131 Auditor General"/>
    <s v="Acquire technology (software and hardware) and undertake audits requiring big data analysis."/>
    <n v="1"/>
    <n v="1"/>
    <n v="0"/>
    <n v="1"/>
    <n v="1"/>
    <n v="0"/>
    <n v="1"/>
    <n v="1"/>
    <n v="0.75"/>
    <m/>
    <n v="0"/>
    <n v="0.12"/>
    <n v="0.19"/>
    <n v="0.2"/>
    <n v="0.22"/>
    <n v="0.22"/>
    <n v="0.44"/>
    <s v="OAG"/>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1"/>
    <s v="Big data analysis techniques incorporated in Audit and Investigations promoted"/>
    <s v="Number of OAG staff trained in big data analysis"/>
    <n v="0"/>
    <n v="0"/>
    <n v="2"/>
    <n v="3"/>
    <n v="4"/>
    <n v="6"/>
    <s v="OAG"/>
    <s v="131 Auditor General"/>
    <s v="Train OAG staff in the use of big data analytics"/>
    <n v="1"/>
    <n v="1"/>
    <n v="0"/>
    <n v="1"/>
    <n v="1"/>
    <n v="0"/>
    <n v="1"/>
    <n v="1"/>
    <n v="0.75"/>
    <m/>
    <n v="0"/>
    <n v="7.0000000000000007E-2"/>
    <n v="0.09"/>
    <n v="0.23"/>
    <n v="0.17"/>
    <n v="0.12"/>
    <n v="0.29000000000000004"/>
    <s v="OAG"/>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1"/>
    <s v="Big data analysis techniques incorporated in Audit and Investigations promoted"/>
    <s v="Number of URA staff trained in big data analysis"/>
    <n v="0"/>
    <n v="50"/>
    <n v="50"/>
    <n v="50"/>
    <n v="50"/>
    <n v="50"/>
    <s v="URA"/>
    <s v="141 Uganda Revenue Authority"/>
    <s v="Train URA staff in the use of big data analytics"/>
    <n v="1"/>
    <n v="1"/>
    <n v="0"/>
    <n v="1"/>
    <n v="1"/>
    <n v="0"/>
    <n v="1"/>
    <n v="1"/>
    <n v="0.75"/>
    <m/>
    <n v="0"/>
    <n v="0.67"/>
    <n v="0.67"/>
    <n v="0.67"/>
    <n v="0.67"/>
    <n v="0.67"/>
    <n v="1.34"/>
    <s v="URA"/>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1"/>
    <s v="Big data analysis techniques incorporated in Audit and Investigations promoted"/>
    <m/>
    <m/>
    <m/>
    <m/>
    <m/>
    <m/>
    <m/>
    <s v="MoFPED"/>
    <s v="008 Ministry of Finance, Planning &amp; Economic Dev."/>
    <s v="Build Internal Auditors capacity in using big data and Undertake Audits using the big data analysis"/>
    <n v="1"/>
    <n v="1"/>
    <n v="0"/>
    <n v="1"/>
    <n v="1"/>
    <n v="0"/>
    <n v="1"/>
    <n v="1"/>
    <n v="0.75"/>
    <m/>
    <n v="0"/>
    <n v="0.28999999999999998"/>
    <n v="0.28999999999999998"/>
    <n v="0.28999999999999998"/>
    <n v="0.28999999999999998"/>
    <n v="0.28999999999999998"/>
    <n v="0.57999999999999996"/>
    <s v="MoFPED"/>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2"/>
    <s v="Capacity for use of big data analysis techniques in Financial Analysis and management to aid decision and policy formulation built."/>
    <s v="Number of staff trained in use of big data analysis techniques in Financial Analysis"/>
    <n v="0"/>
    <n v="15"/>
    <n v="15"/>
    <n v="15"/>
    <n v="15"/>
    <n v="15"/>
    <s v="MoFPED"/>
    <s v="008 Ministry of Finance, Planning &amp; Economic Dev."/>
    <m/>
    <m/>
    <m/>
    <m/>
    <m/>
    <m/>
    <m/>
    <n v="0"/>
    <n v="0"/>
    <n v="0"/>
    <m/>
    <n v="0"/>
    <m/>
    <m/>
    <m/>
    <m/>
    <m/>
    <n v="0"/>
    <m/>
    <m/>
    <m/>
  </r>
  <r>
    <x v="13"/>
    <x v="13"/>
    <s v="181"/>
    <s v="Development Planning, Research, Evaluation and Statistics"/>
    <s v="1816"/>
    <s v="Strengthen the Research and Evaluation function to better inform planning and plan implementation"/>
    <s v="181605"/>
    <s v="Promote the use of big data analysis techniques in Audit and Investigations"/>
    <m/>
    <m/>
    <s v="18160502"/>
    <s v="Capacity for use of big data analysis techniques in Financial Analysis and management to aid decision and policy formulation built."/>
    <s v="Number of Internal Audit staff trained in big data analysis"/>
    <n v="0"/>
    <n v="20"/>
    <n v="30"/>
    <n v="40"/>
    <n v="50"/>
    <n v="60"/>
    <s v="MoFPED"/>
    <s v="008 Ministry of Finance, Planning &amp; Economic Dev."/>
    <m/>
    <m/>
    <m/>
    <m/>
    <m/>
    <m/>
    <m/>
    <n v="0"/>
    <n v="0"/>
    <n v="0"/>
    <m/>
    <n v="0"/>
    <m/>
    <m/>
    <m/>
    <m/>
    <m/>
    <n v="0"/>
    <m/>
    <m/>
    <m/>
  </r>
  <r>
    <x v="13"/>
    <x v="13"/>
    <s v="181"/>
    <s v="Development Planning, Research, Evaluation and Statistics"/>
    <s v="1816"/>
    <s v="Strengthen the Research and Evaluation function to better inform planning and plan implementation"/>
    <s v="181606"/>
    <s v="Amend the relevant laws and regulations to strengthen institutional evaluation, policy evaluation, plan/program and project evaluation"/>
    <m/>
    <m/>
    <s v="18160601"/>
    <s v="Relevant laws and regulations amended to strengthen institutional evaluation, policy evaluation, plan/program and project evaluation"/>
    <s v="Updated laws and regulations amended to strengthen institutional evaluation, policy evaluation, plan/program and project evaluation"/>
    <n v="1"/>
    <n v="1"/>
    <n v="1"/>
    <n v="1"/>
    <n v="1"/>
    <n v="1"/>
    <s v="OPM"/>
    <s v="003 Office of the Prime Minister"/>
    <s v="Amend legal framework to provide for effective evaluation."/>
    <n v="1"/>
    <n v="0"/>
    <n v="0"/>
    <n v="1"/>
    <n v="1"/>
    <n v="0"/>
    <n v="1"/>
    <n v="1"/>
    <n v="0.625"/>
    <m/>
    <n v="0"/>
    <n v="0"/>
    <n v="0.15"/>
    <n v="0"/>
    <n v="1.7"/>
    <n v="1.71"/>
    <n v="3.41"/>
    <s v="OPM"/>
    <m/>
    <m/>
  </r>
  <r>
    <x v="13"/>
    <x v="13"/>
    <s v="181"/>
    <s v="Development Planning, Research, Evaluation and Statistics"/>
    <s v="1816"/>
    <s v="Strengthen the Research and Evaluation function to better inform planning and plan implementation"/>
    <s v="181606"/>
    <s v="Amend the relevant laws and regulations to strengthen institutional evaluation, policy evaluation, plan/program and project evaluation"/>
    <m/>
    <m/>
    <s v="18160602"/>
    <s v="Research and Evaluation Capacity built"/>
    <s v="Number of staff trained in Research and Evaluation "/>
    <n v="0"/>
    <n v="5"/>
    <n v="5"/>
    <n v="5"/>
    <n v="5"/>
    <n v="5"/>
    <s v="MoFPED"/>
    <s v="008 Ministry of Finance, Planning &amp; Economic Dev."/>
    <s v="Population and Development: Population Research Agenda; Technical Oversight of the Demographic Dividend Strategy"/>
    <n v="1"/>
    <n v="0"/>
    <n v="1"/>
    <n v="1"/>
    <n v="1"/>
    <n v="0"/>
    <n v="1"/>
    <n v="1"/>
    <n v="0.75"/>
    <m/>
    <n v="0"/>
    <n v="0.10150000000000001"/>
    <n v="0.10150000000000001"/>
    <n v="0.10150000000000001"/>
    <n v="0.10150000000000001"/>
    <n v="0.10150000000000001"/>
    <n v="0.20300000000000001"/>
    <s v="MoFPED"/>
    <s v="008 Ministry of Finance, Planning &amp; Economic Dev."/>
    <m/>
  </r>
  <r>
    <x v="13"/>
    <x v="13"/>
    <s v="181"/>
    <s v="Development Planning, Research, Evaluation and Statistics"/>
    <s v="1816"/>
    <s v="Strengthen the Research and Evaluation function to better inform planning and plan implementation"/>
    <s v="181606"/>
    <s v="Amend the relevant laws and regulations to strengthen institutional evaluation, policy evaluation, plan/program and project evaluation"/>
    <m/>
    <m/>
    <s v="18160602"/>
    <s v="Research and Evaluation Capacity built"/>
    <m/>
    <m/>
    <m/>
    <m/>
    <m/>
    <m/>
    <m/>
    <s v="MoFPED"/>
    <s v="008 Ministry of Finance, Planning &amp; Economic Dev."/>
    <s v="Flagship Reports: Production and Publication of the Poverty Status Reports; Sustainable Development Reports; Annual Private Sector Development Report; and Background to the Budget"/>
    <n v="1"/>
    <n v="1"/>
    <n v="1"/>
    <n v="1"/>
    <n v="1"/>
    <n v="0"/>
    <n v="1"/>
    <n v="1"/>
    <n v="0.875"/>
    <m/>
    <n v="0"/>
    <n v="0.1"/>
    <n v="0.1"/>
    <n v="0.1"/>
    <n v="0.2"/>
    <n v="0.2"/>
    <n v="0.4"/>
    <s v="MoFPED"/>
    <s v="008 Ministry of Finance, Planning &amp; Economic Dev."/>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1"/>
    <s v="Evaluation Capacity built in MDAs and LGs."/>
    <s v="Proportion of staff trained in  Evaluation Capacity built in MDAs and LGs."/>
    <n v="20"/>
    <n v="30"/>
    <n v="50"/>
    <n v="70"/>
    <n v="85"/>
    <n v="100"/>
    <s v="OPM"/>
    <s v="003 Office of the Prime Minister"/>
    <s v="Build capacity in evaluation in MDAs and LGs."/>
    <n v="1"/>
    <n v="1"/>
    <n v="0"/>
    <n v="1"/>
    <n v="1"/>
    <n v="0"/>
    <n v="1"/>
    <n v="1"/>
    <n v="0.75"/>
    <m/>
    <n v="0"/>
    <n v="0.14499999999999999"/>
    <n v="0.14499999999999999"/>
    <n v="0.14499999999999999"/>
    <n v="2.65"/>
    <n v="2.65"/>
    <n v="5.3"/>
    <s v="OPM"/>
    <s v="003 Office of the Prime Minister"/>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1"/>
    <s v="Evaluation Capacity built in MDAs and LGs."/>
    <s v="Proportion of MDAs capacity built in Research and Evaluation "/>
    <n v="0"/>
    <n v="20"/>
    <n v="40"/>
    <n v="60"/>
    <n v="80"/>
    <n v="100"/>
    <s v="MoPS"/>
    <s v="005 Ministry of Public Service"/>
    <m/>
    <m/>
    <m/>
    <m/>
    <m/>
    <m/>
    <m/>
    <n v="0"/>
    <n v="0"/>
    <n v="0"/>
    <m/>
    <n v="0"/>
    <m/>
    <m/>
    <m/>
    <m/>
    <m/>
    <n v="0"/>
    <m/>
    <m/>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2"/>
    <s v="The Public Sector Research and Innovations function which is aligned to NDPIII is developed and implemented "/>
    <s v="A revised Public Sector Research Agenda in place "/>
    <n v="0"/>
    <n v="0"/>
    <n v="1"/>
    <n v="0"/>
    <n v="0"/>
    <n v="0"/>
    <s v="MoPS"/>
    <s v="005 Ministry of Public Service"/>
    <s v="Develop, align and implement the Research function in the Public Sector"/>
    <n v="1"/>
    <n v="0"/>
    <n v="0"/>
    <n v="1"/>
    <n v="1"/>
    <n v="1"/>
    <n v="1"/>
    <n v="1"/>
    <n v="0.75"/>
    <m/>
    <n v="0"/>
    <n v="0"/>
    <n v="0.44"/>
    <n v="0"/>
    <n v="0.75800000000000001"/>
    <n v="0.49"/>
    <n v="1.248"/>
    <s v="MoPS"/>
    <m/>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3"/>
    <s v="A Centre for Public Service Policy Research and Innovations for enhanced performance developed and implemented"/>
    <s v="%age completion of Phase II construction (in terms of components completed)"/>
    <n v="0"/>
    <n v="35"/>
    <n v="47"/>
    <n v="63"/>
    <n v="80"/>
    <n v="100"/>
    <s v="MoPS"/>
    <s v="005 Ministry of Public Service"/>
    <s v="Develop a Centre for Public Service Policy Research and Innovations "/>
    <n v="1"/>
    <n v="0"/>
    <n v="0"/>
    <n v="1"/>
    <n v="0"/>
    <n v="0"/>
    <n v="0"/>
    <n v="1"/>
    <n v="0.375"/>
    <m/>
    <n v="0"/>
    <n v="0"/>
    <n v="61.595999999999997"/>
    <n v="20.532"/>
    <n v="0"/>
    <n v="0"/>
    <n v="0"/>
    <s v="MoPS"/>
    <s v="005 Ministry of Public Service"/>
    <s v="NDPIII wont prioritize build centres but operationalize the research functions "/>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4"/>
    <s v="Evidence based research output on financing of local governments "/>
    <s v="No of Policy briefs on LG financing "/>
    <n v="2"/>
    <n v="2"/>
    <n v="2"/>
    <n v="2"/>
    <n v="2"/>
    <n v="2"/>
    <s v="MoLG"/>
    <s v="011 Ministry of Local Government"/>
    <s v="Develop policy brief on financing of LGs"/>
    <n v="1"/>
    <n v="0"/>
    <n v="0"/>
    <n v="1"/>
    <n v="1"/>
    <n v="0"/>
    <n v="1"/>
    <n v="1"/>
    <n v="0.625"/>
    <m/>
    <n v="0"/>
    <n v="2.8999999999999998E-2"/>
    <n v="2.8999999999999998E-2"/>
    <n v="2.8999999999999998E-2"/>
    <n v="2.8999999999999998E-2"/>
    <n v="2.8999999999999998E-2"/>
    <n v="5.7999999999999996E-2"/>
    <s v="MoLG"/>
    <s v="011 Ministry of Local Government"/>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5"/>
    <s v="Research and Evaluation Capacity in taxation built."/>
    <s v="Number of research papers on key emerging issues in taxation"/>
    <n v="0"/>
    <n v="10"/>
    <n v="10"/>
    <n v="10"/>
    <n v="10"/>
    <n v="10"/>
    <s v="URA"/>
    <s v="141 Uganda Revenue Authority"/>
    <s v="Strengthen URA capacity in Research and Evaluation "/>
    <n v="1"/>
    <n v="1"/>
    <n v="0"/>
    <n v="1"/>
    <n v="1"/>
    <n v="0"/>
    <n v="1"/>
    <n v="1"/>
    <n v="0.75"/>
    <m/>
    <n v="0"/>
    <n v="0.1885"/>
    <n v="0.377"/>
    <n v="0.377"/>
    <n v="0.377"/>
    <n v="0.377"/>
    <n v="0.754"/>
    <s v="URA"/>
    <s v="141 Uganda Revenue Authority"/>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6"/>
    <s v="Process Evaluation Report on key interventions conducted in the 18 programs."/>
    <s v="Number of Process Evaluation reports on key interventions conducted in the 18 programs"/>
    <n v="1"/>
    <n v="1"/>
    <n v="1"/>
    <n v="1"/>
    <n v="1"/>
    <n v="1"/>
    <s v="OPM"/>
    <s v="003 Office of the Prime Minister"/>
    <s v="Conduct process evaluations of the key interventions in the 18 programs."/>
    <n v="1"/>
    <n v="1"/>
    <n v="0"/>
    <n v="1"/>
    <n v="1"/>
    <n v="0"/>
    <n v="1"/>
    <n v="1"/>
    <n v="0.75"/>
    <m/>
    <n v="0"/>
    <n v="0"/>
    <n v="0"/>
    <n v="0"/>
    <n v="4"/>
    <n v="4"/>
    <n v="8"/>
    <s v="OPM"/>
    <m/>
    <m/>
  </r>
  <r>
    <x v="13"/>
    <x v="13"/>
    <s v="181"/>
    <s v="Development Planning, Research, Evaluation and Statistics"/>
    <s v="1816"/>
    <s v="Strengthen the Research and Evaluation function to better inform planning and plan implementation"/>
    <s v="181607"/>
    <s v="Build research and evaluation capacity to inform planning, implementation as well as monitoring and evaluation;"/>
    <m/>
    <m/>
    <s v="18160707"/>
    <s v="High level strategic policy impact evaluations i.e. NDP evaluations, Decentralization Policy, YLP etc."/>
    <s v="Number of High level strategic policy impact evaluations conducted."/>
    <n v="1"/>
    <n v="1"/>
    <n v="1"/>
    <n v="1"/>
    <n v="1"/>
    <n v="1"/>
    <s v="NPA"/>
    <s v="108 National Planning Authority"/>
    <s v="Undertake High level strategic policy impact evaluations."/>
    <n v="1"/>
    <n v="1"/>
    <n v="0"/>
    <n v="1"/>
    <n v="1"/>
    <n v="0"/>
    <n v="1"/>
    <n v="1"/>
    <n v="0.75"/>
    <m/>
    <n v="0"/>
    <n v="1.0149999999999999"/>
    <n v="1.0149999999999999"/>
    <n v="1.0149999999999999"/>
    <n v="3.5"/>
    <n v="4"/>
    <n v="7.5"/>
    <s v="NPA"/>
    <s v="108 National Planning Authority"/>
    <m/>
  </r>
  <r>
    <x v="14"/>
    <x v="14"/>
    <s v="08X"/>
    <s v="Government Commitments"/>
    <s v="08X"/>
    <s v="Provision for Government Commitments"/>
    <s v="08X"/>
    <s v="Government Commitments"/>
    <m/>
    <m/>
    <s v="08X"/>
    <s v="Government Commitments"/>
    <s v="-"/>
    <s v="-"/>
    <s v="-"/>
    <s v="-"/>
    <s v="-"/>
    <s v="-"/>
    <s v="-"/>
    <s v="-"/>
    <s v="-"/>
    <s v="Wage"/>
    <m/>
    <m/>
    <m/>
    <m/>
    <m/>
    <m/>
    <m/>
    <m/>
    <m/>
    <m/>
    <m/>
    <m/>
    <m/>
    <m/>
    <n v="25.2"/>
    <n v="25.2"/>
    <n v="50.4"/>
    <m/>
    <m/>
    <m/>
  </r>
  <r>
    <x v="14"/>
    <x v="14"/>
    <s v="08X"/>
    <s v="Government Commitments"/>
    <s v="08X"/>
    <s v="Provision for Government Commitments"/>
    <s v="08X"/>
    <s v="Government Commitments"/>
    <m/>
    <m/>
    <s v="08X"/>
    <s v="Government Commitments"/>
    <s v="-"/>
    <s v="-"/>
    <s v="-"/>
    <s v="-"/>
    <s v="-"/>
    <s v="-"/>
    <s v="-"/>
    <s v="-"/>
    <s v="-"/>
    <s v="Non-Wage (Statutory)"/>
    <m/>
    <m/>
    <m/>
    <m/>
    <m/>
    <m/>
    <m/>
    <m/>
    <m/>
    <m/>
    <m/>
    <m/>
    <m/>
    <m/>
    <n v="10.08"/>
    <n v="10.08"/>
    <n v="20.16"/>
    <m/>
    <m/>
    <m/>
  </r>
  <r>
    <x v="14"/>
    <x v="14"/>
    <s v="08X"/>
    <s v="Government Commitments"/>
    <s v="08X"/>
    <s v="Provision for Government Commitments"/>
    <s v="08X"/>
    <s v="Government Commitments"/>
    <m/>
    <m/>
    <s v="08X"/>
    <s v="Government Commitments"/>
    <s v="-"/>
    <s v="-"/>
    <s v="-"/>
    <s v="-"/>
    <s v="-"/>
    <s v="-"/>
    <s v="-"/>
    <s v="-"/>
    <s v="-"/>
    <s v="Multi-Year Commitments"/>
    <m/>
    <m/>
    <m/>
    <m/>
    <m/>
    <m/>
    <m/>
    <m/>
    <m/>
    <m/>
    <m/>
    <m/>
    <m/>
    <m/>
    <n v="923.81817717901504"/>
    <n v="960.57601544399995"/>
    <n v="1884.394192623015"/>
    <m/>
    <m/>
    <m/>
  </r>
  <r>
    <x v="14"/>
    <x v="14"/>
    <s v="081"/>
    <s v="Transmission and Distribution"/>
    <s v="0811"/>
    <s v="Increase access and utilization of electricity"/>
    <s v="081101"/>
    <s v="Rehabilitate the existing transmission network"/>
    <m/>
    <m/>
    <s v="08110101"/>
    <s v="Rehabilitated transmission network"/>
    <s v="Km of Transmission line rehabilitated"/>
    <n v="0"/>
    <n v="260"/>
    <n v="47.5"/>
    <n v="160.5"/>
    <n v="253.4"/>
    <n v="558.20000000000005"/>
    <s v="UETCL"/>
    <e v="#N/A"/>
    <s v="Implementation of Kampala Metropolitan Project (Reconductoring 47.3km of TL and Buloba Substation 330MVA, Mukono Substation-375MVA, Kawaala Substation-140MVA, Bujagali-250MVA, and Mobile SS 20MVA) "/>
    <n v="1"/>
    <n v="1"/>
    <n v="1"/>
    <n v="0"/>
    <n v="1"/>
    <n v="1"/>
    <n v="1"/>
    <n v="1"/>
    <n v="0.875"/>
    <n v="1"/>
    <n v="0"/>
    <n v="113.130087921835"/>
    <n v="141.08283442952143"/>
    <n v="116.607077648643"/>
    <n v="13.63"/>
    <n v="13.63"/>
    <n v="27.26"/>
    <s v="MEMD (UETCL)"/>
    <s v="017 Ministry of Energy and Mineral Development"/>
    <s v="N/A"/>
  </r>
  <r>
    <x v="14"/>
    <x v="14"/>
    <s v="081"/>
    <s v="Transmission and Distribution"/>
    <s v="0811"/>
    <s v="Increase access and utilization of electricity"/>
    <s v="081101"/>
    <s v="Rehabilitate the existing transmission network"/>
    <m/>
    <m/>
    <s v="08110101"/>
    <s v="Rehabilitated transmission network"/>
    <s v="Transformation Capacity (MVA)"/>
    <n v="0"/>
    <n v="0"/>
    <n v="0"/>
    <n v="0"/>
    <n v="1429"/>
    <n v="1949"/>
    <s v="UETCL"/>
    <e v="#N/A"/>
    <s v="Upgrade of Mutundwe – Buloba – Kabulasoke – Masaka and Kabulasoke – Nkonge – Rugonjo – Nkenda 132kV transmission line (357.8km) and associated "/>
    <n v="1"/>
    <n v="1"/>
    <n v="1"/>
    <n v="0"/>
    <n v="1"/>
    <n v="1"/>
    <n v="1"/>
    <n v="1"/>
    <n v="0.875"/>
    <n v="1"/>
    <n v="0"/>
    <n v="0"/>
    <n v="0"/>
    <n v="0"/>
    <n v="5"/>
    <n v="5"/>
    <n v="10"/>
    <s v="MEMD (UETCL)"/>
    <s v="017 Ministry of Energy and Mineral Development"/>
    <s v="N/A"/>
  </r>
  <r>
    <x v="14"/>
    <x v="14"/>
    <s v="081"/>
    <s v="Transmission and Distribution"/>
    <s v="0811"/>
    <s v="Increase access and utilization of electricity"/>
    <s v="081101"/>
    <s v="Rehabilitate the existing transmission network"/>
    <m/>
    <m/>
    <s v="08110101"/>
    <s v="Rehabilitated transmission network"/>
    <m/>
    <m/>
    <m/>
    <m/>
    <m/>
    <m/>
    <m/>
    <m/>
    <e v="#N/A"/>
    <s v="Upgrade of Kabulasoke switching station to 80MW and Nkonge substation to 80 MW"/>
    <n v="1"/>
    <n v="1"/>
    <n v="1"/>
    <n v="1"/>
    <n v="1"/>
    <n v="1"/>
    <n v="1"/>
    <n v="1"/>
    <n v="1"/>
    <n v="1"/>
    <n v="0"/>
    <n v="0"/>
    <n v="0"/>
    <n v="0"/>
    <n v="1"/>
    <n v="1"/>
    <n v="2"/>
    <s v="MEMD (UETCL)"/>
    <s v="017 Ministry of Energy and Mineral Development"/>
    <s v="N/A"/>
  </r>
  <r>
    <x v="14"/>
    <x v="14"/>
    <s v="081"/>
    <s v="Transmission and Distribution"/>
    <s v="0811"/>
    <s v="Increase access and utilization of electricity"/>
    <s v="081101"/>
    <s v="Rehabilitate the existing transmission network"/>
    <m/>
    <m/>
    <s v="08110101"/>
    <s v="Rehabilitated transmission network"/>
    <m/>
    <m/>
    <m/>
    <m/>
    <m/>
    <m/>
    <m/>
    <m/>
    <e v="#N/A"/>
    <s v="Power Transformers Project to reinforce Substations: 2x60/80MVA 132/33kV Mutundwe SS, 2x32/40MVA 132/11kV Mutundwe SS, 1x32/40MVA 132/33kV Lugogo SS, 2x50/60MVA 132/11kV Lugogo SS, 2x50/60MVA Masaka West SS, 2x32/40MVA  132/33kV Lira substation 2x80MVA 132/33kV Tororo substation, Mbarara North 2x63MVA 132/33kV, Nkenda 2x80MVA 132/33kV, Mbarara South interbus 2x250MVA 220/132kV, Mirama 2x63MVA 132/33kV, Tororo Interbus 2x250MVA 220/132Kv"/>
    <n v="1"/>
    <n v="1"/>
    <n v="0"/>
    <n v="0"/>
    <n v="1"/>
    <n v="1"/>
    <n v="0"/>
    <n v="1"/>
    <n v="0.625"/>
    <n v="1"/>
    <n v="0"/>
    <n v="0"/>
    <n v="0"/>
    <n v="0"/>
    <n v="2"/>
    <n v="2"/>
    <n v="4"/>
    <s v="MEMD (UETCL)"/>
    <s v="017 Ministry of Energy and Mineral Development"/>
    <s v="N/A"/>
  </r>
  <r>
    <x v="14"/>
    <x v="14"/>
    <s v="081"/>
    <s v="Transmission and Distribution"/>
    <s v="0811"/>
    <s v="Increase access and utilization of electricity"/>
    <s v="081101"/>
    <s v="Rehabilitate the existing transmission network"/>
    <m/>
    <m/>
    <s v="08110101"/>
    <s v="Rehabilitated transmission network"/>
    <m/>
    <m/>
    <m/>
    <m/>
    <m/>
    <m/>
    <m/>
    <m/>
    <e v="#N/A"/>
    <s v="Undertake awareness on GBV, VAC and sexual exploitation"/>
    <n v="1"/>
    <n v="1"/>
    <n v="0"/>
    <n v="0"/>
    <n v="1"/>
    <n v="1"/>
    <n v="0"/>
    <n v="1"/>
    <n v="0.625"/>
    <m/>
    <n v="0"/>
    <n v="0"/>
    <n v="0"/>
    <n v="0"/>
    <m/>
    <m/>
    <n v="0"/>
    <s v="MoGLSD"/>
    <s v="018 Ministry of Gender, Labour and Social Development"/>
    <s v="CSOs, NGOs"/>
  </r>
  <r>
    <x v="14"/>
    <x v="14"/>
    <s v="081"/>
    <s v="Transmission and Distribution"/>
    <s v="0811"/>
    <s v="Increase access and utilization of electricity"/>
    <s v="081101"/>
    <s v="Rehabilitate the existing transmission network"/>
    <m/>
    <m/>
    <s v="08110101"/>
    <s v="Rehabilitated transmission network"/>
    <m/>
    <m/>
    <m/>
    <m/>
    <m/>
    <m/>
    <m/>
    <m/>
    <e v="#N/A"/>
    <s v="Land Acquisition with consideration of gender and equity issues"/>
    <n v="1"/>
    <n v="1"/>
    <n v="0"/>
    <n v="1"/>
    <n v="1"/>
    <n v="1"/>
    <n v="0"/>
    <n v="1"/>
    <n v="0.75"/>
    <m/>
    <n v="0"/>
    <n v="0"/>
    <n v="0"/>
    <n v="0"/>
    <n v="0.5"/>
    <n v="0.5"/>
    <n v="1"/>
    <s v="MEMD (UETCL)"/>
    <s v="017 Ministry of Energy and Mineral Development"/>
    <s v="MoLHUD"/>
  </r>
  <r>
    <x v="14"/>
    <x v="14"/>
    <s v="081"/>
    <s v="Transmission and Distribution"/>
    <s v="0811"/>
    <s v="Increase access and utilization of electricity"/>
    <s v="081101"/>
    <s v="Rehabilitate the existing transmission network"/>
    <m/>
    <m/>
    <s v="08110101"/>
    <s v="Rehabilitated transmission network"/>
    <m/>
    <m/>
    <m/>
    <m/>
    <m/>
    <m/>
    <m/>
    <m/>
    <e v="#N/A"/>
    <s v="Upgrade of Mutundwe – Buloba – Kabulasoke – Masaka and Kabulasoke – Nkonge – Rugonjo – Nkenda 132kV transmission line (357.8km) and associated "/>
    <n v="1"/>
    <n v="1"/>
    <n v="0"/>
    <n v="0"/>
    <n v="1"/>
    <n v="1"/>
    <n v="0"/>
    <n v="1"/>
    <n v="0.625"/>
    <m/>
    <n v="0"/>
    <n v="0"/>
    <n v="0"/>
    <n v="0"/>
    <m/>
    <m/>
    <n v="0"/>
    <s v="MEMD (UETCL)"/>
    <s v="017 Ministry of Energy and Mineral Development"/>
    <s v="N/A"/>
  </r>
  <r>
    <x v="14"/>
    <x v="14"/>
    <s v="081"/>
    <s v="Transmission and Distribution"/>
    <s v="0811"/>
    <s v="Increase access and utilization of electricity"/>
    <s v="081101"/>
    <s v="Rehabilitate the existing transmission network"/>
    <m/>
    <m/>
    <s v="08110101"/>
    <s v="Rehabilitated transmission network"/>
    <s v="Number of Environmental and Social Impact Assessments and environmental Audits undertaken."/>
    <m/>
    <m/>
    <n v="2"/>
    <n v="2"/>
    <n v="2"/>
    <n v="2"/>
    <s v="UETCL"/>
    <e v="#N/A"/>
    <s v="Undertake Environmental and Social Impact Assessments and Environmental Audits for the projects."/>
    <n v="1"/>
    <n v="1"/>
    <n v="1"/>
    <n v="0"/>
    <n v="1"/>
    <n v="1"/>
    <n v="1"/>
    <n v="1"/>
    <n v="0.875"/>
    <n v="1"/>
    <n v="0"/>
    <n v="0"/>
    <n v="0.9"/>
    <n v="0.9"/>
    <n v="0.9"/>
    <n v="0.9"/>
    <n v="1.8"/>
    <s v="MEMD (UETCL)"/>
    <s v="017 Ministry of Energy and Mineral Development"/>
    <s v="NEMA"/>
  </r>
  <r>
    <x v="14"/>
    <x v="14"/>
    <s v="081"/>
    <s v="Transmission and Distribution"/>
    <s v="0811"/>
    <s v="Increase access and utilization of electricity"/>
    <s v="081101"/>
    <s v="Rehabilitate the existing transmission network"/>
    <m/>
    <m/>
    <s v="08110101"/>
    <s v="Rehabilitated transmission network"/>
    <s v="No. of awareness meetings undertaken."/>
    <m/>
    <m/>
    <n v="6"/>
    <n v="6"/>
    <n v="6"/>
    <n v="6"/>
    <s v="UETCL"/>
    <e v="#N/A"/>
    <s v="Undertake awareness on GBV, VAC and sexual exploitation"/>
    <n v="1"/>
    <n v="1"/>
    <n v="1"/>
    <n v="0"/>
    <n v="1"/>
    <n v="1"/>
    <n v="1"/>
    <n v="1"/>
    <n v="0.875"/>
    <m/>
    <n v="0"/>
    <n v="0"/>
    <n v="0"/>
    <n v="0"/>
    <m/>
    <m/>
    <n v="0"/>
    <s v="MoGLSD"/>
    <s v="018 Ministry of Gender, Labour and Social Development"/>
    <s v="MEMD, UETCL"/>
  </r>
  <r>
    <x v="14"/>
    <x v="14"/>
    <s v="081"/>
    <s v="Transmission and Distribution"/>
    <s v="0811"/>
    <s v="Increase access and utilization of electricity"/>
    <s v="081101"/>
    <s v="Rehabilitate the existing transmission network"/>
    <m/>
    <m/>
    <s v="08110101"/>
    <s v="Rehabilitated transmission network"/>
    <s v="No. of transmitted Internet Bandwidth in Mbps "/>
    <m/>
    <n v="1500"/>
    <n v="1200"/>
    <n v="1200"/>
    <n v="1200"/>
    <n v="1200"/>
    <s v="UETCL"/>
    <e v="#N/A"/>
    <s v="No. of transmitted Internet Bandwidth in Mbps "/>
    <n v="1"/>
    <n v="0"/>
    <n v="0"/>
    <n v="0"/>
    <n v="1"/>
    <n v="1"/>
    <n v="0"/>
    <n v="1"/>
    <n v="0.5"/>
    <m/>
    <n v="0"/>
    <n v="0"/>
    <n v="0"/>
    <n v="0"/>
    <n v="0"/>
    <n v="0"/>
    <n v="0"/>
    <s v="MEMD (UETCL)"/>
    <s v="017 Ministry of Energy and Mineral Development"/>
    <s v="MEMD, NITA-U"/>
  </r>
  <r>
    <x v="14"/>
    <x v="14"/>
    <s v="081"/>
    <s v="Transmission and Distribution"/>
    <s v="0811"/>
    <s v="Increase access and utilization of electricity"/>
    <s v="081101"/>
    <s v="Rehabilitate the existing transmission network"/>
    <m/>
    <m/>
    <s v="08110101"/>
    <s v="Rehabilitated transmission network"/>
    <s v="Implementation of Environment and Social Management Plans and environment audits monitoring and supervision of transmission projects"/>
    <m/>
    <n v="20"/>
    <n v="30"/>
    <n v="30"/>
    <n v="30"/>
    <n v="30"/>
    <s v="UETCL"/>
    <e v="#N/A"/>
    <s v="Implement Environment and Social Management Plans and environment audits. Monitoring and supervision of transmission projects."/>
    <n v="1"/>
    <n v="1"/>
    <n v="1"/>
    <n v="0"/>
    <n v="1"/>
    <n v="1"/>
    <n v="1"/>
    <n v="1"/>
    <n v="0.875"/>
    <n v="1"/>
    <n v="0"/>
    <n v="12"/>
    <n v="6"/>
    <n v="6"/>
    <n v="0.5"/>
    <n v="0.5"/>
    <n v="1"/>
    <s v="NEMA"/>
    <s v="150 National Environment Management Authority"/>
    <s v="UETCL"/>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s v="Km of Transmission line added to the grid"/>
    <n v="2354"/>
    <n v="4446"/>
    <n v="4794"/>
    <n v="5848"/>
    <n v="6107"/>
    <n v="8265"/>
    <s v="UETCL"/>
    <e v="#N/A"/>
    <s v="Construction of Karuma-Kawanda Transmission line."/>
    <n v="1"/>
    <n v="1"/>
    <n v="1"/>
    <n v="0"/>
    <n v="1"/>
    <n v="1"/>
    <n v="1"/>
    <n v="1"/>
    <n v="0.875"/>
    <m/>
    <n v="1"/>
    <n v="219.54082196395299"/>
    <n v="28"/>
    <n v="170.45917803604661"/>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lete construction of Karuma-Olwiyo Transmission line."/>
    <n v="1"/>
    <n v="0"/>
    <n v="1"/>
    <n v="0"/>
    <n v="1"/>
    <n v="1"/>
    <n v="1"/>
    <n v="1"/>
    <n v="0.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lete construction of Karuma-Lira Transmission line."/>
    <n v="1"/>
    <n v="0"/>
    <n v="1"/>
    <n v="0"/>
    <n v="1"/>
    <n v="1"/>
    <n v="1"/>
    <n v="1"/>
    <n v="0.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lete construction of Kabale-Mirama Transmission line (83.5km, 80MVA)."/>
    <n v="1"/>
    <n v="0"/>
    <n v="0"/>
    <n v="1"/>
    <n v="1"/>
    <n v="0"/>
    <n v="0"/>
    <n v="1"/>
    <n v="0.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lete construction of Opuyo-Moroto Transmission line (160km, 120MVA)."/>
    <n v="1"/>
    <n v="1"/>
    <n v="1"/>
    <n v="0"/>
    <n v="1"/>
    <n v="1"/>
    <n v="1"/>
    <n v="1"/>
    <n v="0.8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lete construction of Gulu-Agago Transmission line."/>
    <n v="1"/>
    <n v="0"/>
    <n v="0"/>
    <n v="1"/>
    <n v="1"/>
    <n v="1"/>
    <n v="0"/>
    <n v="1"/>
    <n v="0.62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Wobulenzi – Kapeeka T-Line"/>
    <n v="1"/>
    <n v="0"/>
    <n v="0"/>
    <n v="1"/>
    <n v="1"/>
    <n v="1"/>
    <n v="0"/>
    <n v="1"/>
    <n v="0.62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Kapeeka-Kaweeta-Nakasongola T-Line"/>
    <n v="1"/>
    <n v="1"/>
    <n v="0"/>
    <n v="1"/>
    <n v="1"/>
    <n v="1"/>
    <n v="0"/>
    <n v="1"/>
    <n v="0.7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Namanve South– Luzira T-Line-(43km, 515MVA)"/>
    <n v="1"/>
    <n v="1"/>
    <n v="0"/>
    <n v="1"/>
    <n v="1"/>
    <n v="1"/>
    <n v="0"/>
    <n v="1"/>
    <n v="0.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Kawanda-Kasana T-line (45km, Kasana SS-20MVA)"/>
    <n v="1"/>
    <n v="0"/>
    <n v="0"/>
    <n v="1"/>
    <n v="1"/>
    <n v="0"/>
    <n v="0"/>
    <n v="1"/>
    <n v="0.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132kV Tororo – Opuyo (147.48km)"/>
    <n v="1"/>
    <n v="1"/>
    <n v="1"/>
    <n v="0"/>
    <n v="1"/>
    <n v="1"/>
    <n v="1"/>
    <n v="1"/>
    <n v="0.8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132kV Tororo - Lessos T-Off to Sukulu SS (1km, 160MVA)"/>
    <n v="1"/>
    <n v="1"/>
    <n v="1"/>
    <n v="0"/>
    <n v="1"/>
    <n v="1"/>
    <n v="1"/>
    <n v="1"/>
    <n v="0.8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220kV Bujagali – Tororo Transmission line(127km)"/>
    <n v="1"/>
    <n v="1"/>
    <n v="1"/>
    <n v="0"/>
    <n v="1"/>
    <n v="1"/>
    <n v="1"/>
    <n v="1"/>
    <n v="0.8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132kV Mutundwe – Entebbe TL (23.5km), Entebbe-160MVA"/>
    <n v="1"/>
    <n v="1"/>
    <n v="1"/>
    <n v="1"/>
    <n v="1"/>
    <n v="1"/>
    <n v="1"/>
    <n v="1"/>
    <n v="1"/>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132kV Lira-Gulu-Nebbi-Arua Transmission lines and associated substations (313km,240MVA)"/>
    <n v="1"/>
    <n v="1"/>
    <n v="1"/>
    <n v="1"/>
    <n v="1"/>
    <n v="1"/>
    <n v="0"/>
    <n v="1"/>
    <n v="0.875"/>
    <m/>
    <n v="1"/>
    <n v="0"/>
    <n v="0"/>
    <n v="0"/>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400kV Masaka – Mbarara 130.5km"/>
    <n v="1"/>
    <n v="0"/>
    <n v="0"/>
    <n v="1"/>
    <n v="1"/>
    <n v="1"/>
    <n v="0"/>
    <n v="1"/>
    <n v="0.62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Implementation of 220kV Hoima-Kinyara (43km,400 MVA) "/>
    <n v="1"/>
    <n v="0"/>
    <n v="0"/>
    <n v="1"/>
    <n v="1"/>
    <n v="1"/>
    <n v="0"/>
    <n v="1"/>
    <n v="0.62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220kV Kinyara – Kafu (49km, 500MVA)"/>
    <n v="1"/>
    <n v="0"/>
    <n v="0"/>
    <n v="1"/>
    <n v="1"/>
    <n v="0"/>
    <n v="0"/>
    <n v="1"/>
    <n v="0.5"/>
    <n v="1"/>
    <n v="0"/>
    <n v="0"/>
    <n v="0"/>
    <n v="0"/>
    <n v="4"/>
    <n v="3"/>
    <n v="7"/>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132kV Mirama - Kikagati – Nsongenzi (37.3km,80MVA)"/>
    <n v="1"/>
    <n v="1"/>
    <n v="1"/>
    <n v="0"/>
    <n v="1"/>
    <n v="0"/>
    <n v="1"/>
    <n v="1"/>
    <n v="0.75"/>
    <n v="1"/>
    <n v="0"/>
    <n v="0"/>
    <n v="0"/>
    <n v="0"/>
    <n v="4"/>
    <n v="2"/>
    <n v="6"/>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Upgrade of Nkenda-Forptportal – Lyanda – Kabaale - Hoima to 220kV (Fortportal 160MVA, Lyanda 200MVA, Kabaale (90MVA) "/>
    <n v="1"/>
    <n v="1"/>
    <n v="1"/>
    <n v="0"/>
    <n v="1"/>
    <n v="1"/>
    <n v="1"/>
    <n v="1"/>
    <n v="0.875"/>
    <n v="1"/>
    <n v="0"/>
    <n v="0"/>
    <n v="0"/>
    <n v="0"/>
    <n v="1"/>
    <n v="2"/>
    <n v="3"/>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Electrification of Industrial Parks Phase III (118.5km), Jinja Industrial Park 240MVA, Njeru 160MVA, Masese 160MVA, Kasese Industrial Park 160MVA, Ishaka Industrial Park 160MVA)"/>
    <n v="1"/>
    <n v="1"/>
    <n v="1"/>
    <n v="0"/>
    <n v="1"/>
    <n v="1"/>
    <n v="1"/>
    <n v="1"/>
    <n v="0.875"/>
    <n v="1"/>
    <n v="1"/>
    <n v="0"/>
    <n v="0"/>
    <n v="0"/>
    <n v="0"/>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Upgrade of Mirama, Mbarara, Tororo, Nkenda substations (1520MVA)"/>
    <n v="1"/>
    <n v="0"/>
    <n v="1"/>
    <n v="0"/>
    <n v="1"/>
    <n v="1"/>
    <n v="0"/>
    <n v="1"/>
    <n v="0.62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Transmission lines under the Standard Gauge Railway Project (174.4km, 100MVA)"/>
    <n v="1"/>
    <n v="0"/>
    <n v="0"/>
    <n v="1"/>
    <n v="1"/>
    <n v="0"/>
    <n v="0"/>
    <n v="1"/>
    <n v="0.5"/>
    <n v="1"/>
    <n v="0"/>
    <n v="0"/>
    <n v="0"/>
    <n v="0"/>
    <n v="5"/>
    <n v="5"/>
    <n v="1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Ntinda Substation (1km,120MVA)"/>
    <n v="1"/>
    <n v="1"/>
    <n v="0"/>
    <n v="1"/>
    <n v="1"/>
    <n v="1"/>
    <n v="1"/>
    <n v="1"/>
    <n v="0.87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400kV Karuma-Tororo Line (690km,500MVA)"/>
    <n v="1"/>
    <n v="1"/>
    <n v="0"/>
    <n v="1"/>
    <n v="1"/>
    <n v="1"/>
    <n v="1"/>
    <n v="1"/>
    <n v="0.875"/>
    <n v="1"/>
    <n v="0"/>
    <n v="0"/>
    <n v="0"/>
    <n v="0"/>
    <n v="2"/>
    <n v="2"/>
    <n v="4"/>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132Kv Arua-Adjumani-Elegu"/>
    <n v="1"/>
    <n v="1"/>
    <n v="0"/>
    <n v="1"/>
    <n v="1"/>
    <n v="1"/>
    <n v="1"/>
    <n v="1"/>
    <n v="0.875"/>
    <n v="1"/>
    <n v="0"/>
    <n v="0"/>
    <n v="0"/>
    <n v="0"/>
    <n v="0.5"/>
    <n v="0.5"/>
    <n v="1"/>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nstruction of Nkonge-Mubende-Kiboga- Kasana Transmission line (211km) and associated substations (Mubende 2x60/80MVA, Rakai 2x60/80MVA, Kiboga 2x50/60MVA, Lugazi 2x50/60MVA, Kasana 2x50/60.)"/>
    <n v="1"/>
    <n v="1"/>
    <n v="0"/>
    <n v="1"/>
    <n v="1"/>
    <n v="1"/>
    <n v="0"/>
    <n v="1"/>
    <n v="0.75"/>
    <n v="1"/>
    <n v="0"/>
    <n v="0"/>
    <n v="0"/>
    <n v="0"/>
    <n v="0.5"/>
    <n v="0.5"/>
    <n v="1"/>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Monitor the construction works for transmission lines and substations and report on the grid reliability"/>
    <n v="1"/>
    <n v="1"/>
    <n v="0"/>
    <n v="1"/>
    <n v="1"/>
    <n v="1"/>
    <n v="0"/>
    <n v="1"/>
    <n v="0.75"/>
    <m/>
    <n v="0"/>
    <n v="8"/>
    <n v="4"/>
    <n v="4"/>
    <m/>
    <m/>
    <n v="0"/>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Power generation infrastructure &amp; construction of transmission lines to Entebbe International Airport Free Zone, (33kVA) Buwaya Free Zone 37MVA, Kasese Free Zone 7.4MVA, Jinja Free Zone 7.4MVA &amp; Soroti Free Zone 7.4MVA."/>
    <n v="1"/>
    <n v="1"/>
    <n v="0"/>
    <n v="1"/>
    <n v="1"/>
    <n v="1"/>
    <n v="0"/>
    <n v="1"/>
    <n v="0.75"/>
    <n v="1"/>
    <n v="0"/>
    <n v="0"/>
    <n v="0"/>
    <n v="0"/>
    <n v="1"/>
    <n v="5"/>
    <n v="6"/>
    <s v="MEMD (UETCL)"/>
    <s v="017 Ministry of Energy and Mineral Development"/>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s v="Value of development assistance attracted for expansion of transmission network (USD Millions)"/>
    <m/>
    <n v="100"/>
    <n v="100"/>
    <n v="100"/>
    <n v="100"/>
    <n v="100"/>
    <s v="UETCL"/>
    <e v="#N/A"/>
    <s v="Engage development partners for support towards expansion of transmission network."/>
    <n v="1"/>
    <n v="1"/>
    <n v="0"/>
    <n v="1"/>
    <n v="1"/>
    <n v="1"/>
    <n v="0"/>
    <n v="1"/>
    <n v="0.75"/>
    <m/>
    <n v="0"/>
    <n v="1"/>
    <n v="1"/>
    <n v="1"/>
    <n v="1"/>
    <n v="1"/>
    <n v="2"/>
    <s v="MoFPED"/>
    <s v="008 Ministry of Finance, Planning &amp; Economic Dev."/>
    <s v="N/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s v="Transformation Capacity (MVA)"/>
    <n v="0"/>
    <n v="1410"/>
    <n v="340"/>
    <n v="320"/>
    <n v="980"/>
    <n v="4120"/>
    <s v="UETCL"/>
    <e v="#N/A"/>
    <s v="Engage development partners for support towards expansion of transmission network."/>
    <n v="1"/>
    <n v="1"/>
    <n v="0"/>
    <n v="0"/>
    <n v="1"/>
    <n v="1"/>
    <n v="1"/>
    <n v="1"/>
    <n v="0.75"/>
    <m/>
    <n v="0"/>
    <m/>
    <m/>
    <m/>
    <m/>
    <m/>
    <n v="0"/>
    <m/>
    <m/>
    <m/>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m/>
    <m/>
    <m/>
    <m/>
    <m/>
    <m/>
    <m/>
    <m/>
    <e v="#N/A"/>
    <s v="Comprehensive study on power demand projections for 14 proposed Special Agro-industrial"/>
    <n v="0"/>
    <n v="0"/>
    <n v="0"/>
    <n v="1"/>
    <n v="1"/>
    <n v="1"/>
    <n v="0"/>
    <n v="1"/>
    <n v="0.5"/>
    <n v="1"/>
    <n v="0"/>
    <n v="0"/>
    <n v="0"/>
    <n v="2"/>
    <n v="1.2"/>
    <n v="0"/>
    <n v="1.2"/>
    <s v="MEMD"/>
    <s v="017 Ministry of Energy and Mineral Development"/>
    <s v="MAAIF, MoTIC, UFZA"/>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s v="Transformation Capacity (MVA)"/>
    <m/>
    <m/>
    <m/>
    <m/>
    <m/>
    <m/>
    <m/>
    <e v="#N/A"/>
    <s v="Valuation for  land Acquisition"/>
    <n v="1"/>
    <n v="0"/>
    <n v="0"/>
    <n v="0"/>
    <n v="1"/>
    <n v="1"/>
    <n v="0"/>
    <n v="1"/>
    <n v="0.5"/>
    <m/>
    <n v="0"/>
    <n v="4.2"/>
    <n v="5"/>
    <n v="5.8"/>
    <n v="1"/>
    <n v="0.5"/>
    <n v="1.5"/>
    <s v="MoLHUD"/>
    <s v="012 Ministry of Lands, Housing &amp; Urban Development"/>
    <s v="MEMD"/>
  </r>
  <r>
    <x v="14"/>
    <x v="14"/>
    <s v="081"/>
    <s v="Transmission and Distribution"/>
    <s v="0811"/>
    <s v="Increase access and utilization of electricity"/>
    <s v="081102"/>
    <s v="Expand the transmission network to key growth economic zones (industrial and science parks, mining areas and free zones, etc.)"/>
    <m/>
    <m/>
    <s v="08110201"/>
    <s v="Expanded transmission network "/>
    <s v="Transformation Capacity (MVA)"/>
    <m/>
    <m/>
    <m/>
    <m/>
    <m/>
    <m/>
    <m/>
    <e v="#N/A"/>
    <s v="Profiling gazetted areas for industrial development in the different local governments for consideration for power transmission network"/>
    <n v="0"/>
    <n v="0"/>
    <n v="0"/>
    <n v="0"/>
    <n v="1"/>
    <n v="1"/>
    <n v="0"/>
    <n v="1"/>
    <n v="0.375"/>
    <m/>
    <n v="0"/>
    <n v="0"/>
    <n v="0"/>
    <n v="0"/>
    <m/>
    <m/>
    <n v="0"/>
    <s v="MEMD"/>
    <s v="017 Ministry of Energy and Mineral Development"/>
    <s v="N/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s v="Km of transmission lines to DRC Congo, Northern Tanzania and Southern Sudan"/>
    <n v="82"/>
    <n v="0"/>
    <n v="0"/>
    <n v="0"/>
    <n v="0"/>
    <n v="288.5"/>
    <s v="UETCL"/>
    <e v="#N/A"/>
    <s v="Construction of 220kV Masaka - Mutukula – Mwanza (82km)"/>
    <n v="0"/>
    <n v="1"/>
    <n v="0"/>
    <n v="1"/>
    <n v="1"/>
    <n v="1"/>
    <n v="0"/>
    <n v="1"/>
    <n v="0.625"/>
    <n v="1"/>
    <n v="0"/>
    <n v="8.1283613223479279"/>
    <n v="5"/>
    <n v="54.225333333333332"/>
    <n v="15"/>
    <n v="30"/>
    <n v="45"/>
    <s v="MEMD (UETCL)"/>
    <s v="017 Ministry of Energy and Mineral Development"/>
    <s v="N/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s v="Kilometers of land Valued for  Acquisition"/>
    <m/>
    <m/>
    <m/>
    <m/>
    <m/>
    <n v="288.5"/>
    <s v="UETCL"/>
    <e v="#N/A"/>
    <s v="Construction of 220kV Nkenda - Mpondwe - Beni- Bunia (72.5km)"/>
    <n v="1"/>
    <n v="1"/>
    <n v="1"/>
    <n v="0"/>
    <n v="1"/>
    <n v="1"/>
    <n v="1"/>
    <n v="1"/>
    <n v="0.875"/>
    <n v="1"/>
    <n v="0"/>
    <n v="0"/>
    <n v="0"/>
    <n v="0"/>
    <n v="1"/>
    <n v="2"/>
    <n v="3"/>
    <s v="MEMD (UETCL)"/>
    <s v="017 Ministry of Energy and Mineral Development"/>
    <s v="N/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m/>
    <m/>
    <m/>
    <m/>
    <m/>
    <m/>
    <m/>
    <m/>
    <e v="#N/A"/>
    <s v="Construction of 400kV Olwiyo - Elegu - Juba (134km, Elegu SS-160MVA)"/>
    <n v="1"/>
    <n v="1"/>
    <n v="1"/>
    <n v="0"/>
    <n v="1"/>
    <n v="1"/>
    <n v="1"/>
    <n v="1"/>
    <n v="0.875"/>
    <n v="1"/>
    <n v="0"/>
    <n v="0"/>
    <n v="0"/>
    <n v="0"/>
    <n v="1"/>
    <n v="2"/>
    <n v="3"/>
    <s v="MEMD (UETCL)"/>
    <s v="017 Ministry of Energy and Mineral Development"/>
    <s v="N/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s v="Km of Protected Areas electrified (Paraa ,Mubako, Wankwar Gate, Sambiya River Lodge, Pakuba lodge, Geremech, Apoka)"/>
    <n v="0"/>
    <n v="0"/>
    <n v="120"/>
    <n v="140"/>
    <n v="200"/>
    <n v="150"/>
    <s v="UETCL"/>
    <e v="#N/A"/>
    <s v="Electrification of Protected Areas in National Parks (Paraa ,Mubako, Wankwar Gate, Sambiya River Lodge, Pakuba lodge, Geremech, Apoka)"/>
    <n v="1"/>
    <n v="1"/>
    <n v="1"/>
    <n v="0"/>
    <n v="1"/>
    <n v="1"/>
    <n v="1"/>
    <n v="1"/>
    <n v="0.875"/>
    <m/>
    <n v="0"/>
    <n v="30"/>
    <n v="20"/>
    <n v="20"/>
    <n v="5"/>
    <n v="10"/>
    <n v="15"/>
    <s v="MEMD (UETCL)"/>
    <s v="017 Ministry of Energy and Mineral Development"/>
    <s v="UW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m/>
    <m/>
    <m/>
    <m/>
    <m/>
    <m/>
    <m/>
    <m/>
    <e v="#N/A"/>
    <s v="Finalize the hearing of existing complaints as well as receive, hear and resolve complaints in regards to transmission, regulation and distribution of Electricity including People with Disability (PWDs), elderly, women and youth."/>
    <n v="1"/>
    <n v="1"/>
    <n v="1"/>
    <n v="0"/>
    <n v="1"/>
    <n v="1"/>
    <n v="1"/>
    <n v="1"/>
    <n v="0.875"/>
    <m/>
    <n v="0"/>
    <n v="5"/>
    <n v="0.4"/>
    <n v="5"/>
    <n v="2"/>
    <n v="2"/>
    <n v="4"/>
    <s v="MEMD (ERA)"/>
    <s v="017 Ministry of Energy and Mineral Development"/>
    <s v="MEMD, UETCL, REA"/>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m/>
    <m/>
    <m/>
    <m/>
    <m/>
    <m/>
    <m/>
    <m/>
    <e v="#N/A"/>
    <s v="Create public awareness in regards to EDT Mandate for purposes of where to seek redress for aggrieved parties in regards to the electricity sector including gender and equity issues."/>
    <n v="1"/>
    <n v="1"/>
    <n v="1"/>
    <n v="0"/>
    <n v="1"/>
    <n v="1"/>
    <n v="1"/>
    <n v="1"/>
    <n v="0.875"/>
    <m/>
    <n v="0"/>
    <n v="0.5"/>
    <n v="0.5"/>
    <n v="0.5"/>
    <n v="0.5"/>
    <n v="0.5"/>
    <n v="1"/>
    <s v="MEMD (ERA)"/>
    <s v="017 Ministry of Energy and Mineral Development"/>
    <s v="UETCL, MEMD"/>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m/>
    <m/>
    <m/>
    <m/>
    <m/>
    <m/>
    <m/>
    <m/>
    <e v="#N/A"/>
    <s v="Establish EDT regional offices to bring redress services closer to the people."/>
    <n v="1"/>
    <n v="1"/>
    <n v="1"/>
    <n v="0"/>
    <n v="1"/>
    <n v="1"/>
    <n v="1"/>
    <n v="1"/>
    <n v="0.875"/>
    <m/>
    <n v="0"/>
    <n v="0"/>
    <n v="2"/>
    <n v="2"/>
    <n v="0"/>
    <n v="0"/>
    <n v="0"/>
    <s v="MEMD (ERA)"/>
    <s v="017 Ministry of Energy and Mineral Development"/>
    <s v="UETCL"/>
  </r>
  <r>
    <x v="14"/>
    <x v="14"/>
    <s v="081"/>
    <s v="Transmission and Distribution"/>
    <s v="0811"/>
    <s v="Increase access and utilization of electricity"/>
    <s v="081103"/>
    <s v="Construct transmission lines to the DRC Congo, Northern Tanzania and Southern Sudan"/>
    <m/>
    <m/>
    <s v="08110301"/>
    <s v="Transmission lines to DRC Congo, Northern Tanzania and Southern Sudan"/>
    <m/>
    <m/>
    <m/>
    <m/>
    <m/>
    <m/>
    <m/>
    <m/>
    <e v="#N/A"/>
    <s v="Roll out EDT Sittings to other Districts to enhance access with consideration to women, elderly and PWDs"/>
    <n v="1"/>
    <n v="1"/>
    <n v="1"/>
    <n v="0"/>
    <n v="1"/>
    <n v="1"/>
    <n v="1"/>
    <n v="1"/>
    <n v="0.875"/>
    <m/>
    <n v="0"/>
    <n v="0.5"/>
    <n v="0.5"/>
    <n v="0.5"/>
    <m/>
    <m/>
    <n v="0"/>
    <s v="MEMD (UETCL)"/>
    <s v="017 Ministry of Energy and Mineral Development"/>
    <s v="N/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Km of Medium Voltage lines constructed"/>
    <n v="11438"/>
    <n v="2500"/>
    <n v="1000"/>
    <n v="1000"/>
    <n v="2000"/>
    <n v="2000"/>
    <s v="REA"/>
    <s v="123 Rural Electrification Agency (REA)"/>
    <s v="Electrification of sub-counties in Uganda"/>
    <n v="1"/>
    <n v="1"/>
    <n v="1"/>
    <n v="0"/>
    <n v="1"/>
    <n v="1"/>
    <n v="1"/>
    <n v="1"/>
    <n v="0.875"/>
    <m/>
    <m/>
    <n v="5"/>
    <n v="5"/>
    <n v="50"/>
    <n v="16.25"/>
    <n v="10.199999999999999"/>
    <n v="26.45"/>
    <s v="MEMD (UEDCL)"/>
    <s v="017 Ministry of Energy and Mineral Development"/>
    <s v="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Km of low Voltage lines constructed"/>
    <n v="7917"/>
    <n v="2000"/>
    <n v="1000"/>
    <n v="1000"/>
    <n v="1500"/>
    <n v="1500"/>
    <s v="REA"/>
    <s v="123 Rural Electrification Agency (REA)"/>
    <s v="Implementation of Grid densification projects."/>
    <n v="1"/>
    <n v="1"/>
    <n v="1"/>
    <n v="0"/>
    <n v="1"/>
    <n v="1"/>
    <n v="1"/>
    <n v="1"/>
    <n v="0.875"/>
    <m/>
    <m/>
    <n v="0"/>
    <n v="0"/>
    <n v="0"/>
    <m/>
    <m/>
    <n v="0"/>
    <s v="REA"/>
    <s v="123 Rural Electrification Agency (REA)"/>
    <s v="MEMD, UEDCL"/>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Construction and rehabilitation of distribution network."/>
    <n v="1"/>
    <n v="1"/>
    <n v="1"/>
    <n v="0"/>
    <n v="1"/>
    <n v="1"/>
    <n v="1"/>
    <n v="1"/>
    <n v="0.875"/>
    <m/>
    <n v="0"/>
    <n v="0"/>
    <n v="0"/>
    <n v="0"/>
    <n v="50"/>
    <n v="50"/>
    <n v="100"/>
    <s v="MEMD (UEDCL)"/>
    <s v="017 Ministry of Energy and Mineral Development"/>
    <s v="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Land acquisition with consideration to gender and equity issues."/>
    <n v="1"/>
    <n v="1"/>
    <n v="0"/>
    <n v="0"/>
    <n v="1"/>
    <n v="1"/>
    <n v="1"/>
    <n v="1"/>
    <n v="0.75"/>
    <m/>
    <n v="0"/>
    <n v="0"/>
    <n v="0"/>
    <n v="0"/>
    <n v="0"/>
    <n v="0"/>
    <n v="0"/>
    <s v="MoLHUD"/>
    <s v="012 Ministry of Lands, Housing &amp; Urban Development"/>
    <s v="MEMD, UEDCL,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Monitor construction works for projects in the power Distribution segment and report on the grid reliability"/>
    <n v="1"/>
    <n v="1"/>
    <n v="1"/>
    <n v="0"/>
    <n v="1"/>
    <n v="1"/>
    <n v="1"/>
    <n v="1"/>
    <n v="0.875"/>
    <m/>
    <n v="0"/>
    <n v="0"/>
    <n v="0"/>
    <n v="0"/>
    <m/>
    <m/>
    <n v="0"/>
    <s v="MEMD (UEDCL)"/>
    <s v="017 Ministry of Energy and Mineral Development"/>
    <s v="ERA,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Construction of 10 switching station across 8 territories (Atiak, Lwala, Ntungamo, Bobi, Kyabirikwa, Kazo, Kyarutanga, Namayingo, Kisiizi, Kagadi/Muhororo, Acholibur, Lumbugu, Sembabule)"/>
    <n v="1"/>
    <n v="1"/>
    <n v="1"/>
    <n v="0"/>
    <n v="1"/>
    <n v="1"/>
    <n v="1"/>
    <n v="1"/>
    <n v="0.875"/>
    <m/>
    <n v="0"/>
    <n v="60"/>
    <n v="20"/>
    <n v="20"/>
    <n v="5"/>
    <n v="5"/>
    <n v="10"/>
    <s v="MEMD (UEDCL)"/>
    <s v="017 Ministry of Energy and Mineral Development"/>
    <s v="ERA,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Grid intensification (East, Central North, North East, North North West, North West, South, South West, MidWest) "/>
    <n v="1"/>
    <n v="1"/>
    <n v="1"/>
    <n v="1"/>
    <n v="1"/>
    <n v="1"/>
    <n v="0"/>
    <n v="0"/>
    <n v="0.75"/>
    <m/>
    <n v="0"/>
    <n v="40"/>
    <n v="30"/>
    <n v="30"/>
    <n v="15"/>
    <n v="15"/>
    <n v="30"/>
    <s v="REA"/>
    <s v="123 Rural Electrification Agency (REA)"/>
    <s v="UEDCL, 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System improvement (East, Central North, North East, North North West, North West, South, South West, Midwest)"/>
    <n v="1"/>
    <n v="1"/>
    <n v="1"/>
    <n v="0"/>
    <n v="1"/>
    <n v="1"/>
    <n v="1"/>
    <n v="1"/>
    <n v="0.875"/>
    <m/>
    <n v="0"/>
    <n v="30"/>
    <n v="10"/>
    <n v="10"/>
    <n v="5"/>
    <n v="5"/>
    <n v="10"/>
    <s v="MEMD (UEDCL)"/>
    <s v="017 Ministry of Energy and Mineral Development"/>
    <s v="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Automate network operations (Autorecloser circuit breakers, load break switches &amp; air break switches)"/>
    <n v="1"/>
    <n v="1"/>
    <n v="1"/>
    <n v="0"/>
    <n v="1"/>
    <n v="1"/>
    <n v="1"/>
    <n v="1"/>
    <n v="0.875"/>
    <m/>
    <n v="0"/>
    <n v="10"/>
    <n v="10"/>
    <n v="8"/>
    <n v="8"/>
    <n v="6"/>
    <n v="14"/>
    <s v="MEMD (UEDCL)"/>
    <s v="017 Ministry of Energy and Mineral Development"/>
    <s v="MEMD, ERA,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LAA MV feeder refurbishment (km)"/>
    <n v="1"/>
    <n v="1"/>
    <n v="1"/>
    <n v="1"/>
    <n v="1"/>
    <n v="1"/>
    <n v="0"/>
    <n v="1"/>
    <n v="0.875"/>
    <m/>
    <n v="0"/>
    <n v="25"/>
    <n v="15"/>
    <n v="15"/>
    <n v="10"/>
    <n v="10"/>
    <n v="20"/>
    <s v="MEMD (UEDCL)"/>
    <s v="017 Ministry of Energy and Mineral Development"/>
    <s v="REA,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LAA LV refurbishment (km)"/>
    <n v="1"/>
    <n v="1"/>
    <n v="1"/>
    <n v="1"/>
    <n v="1"/>
    <n v="1"/>
    <n v="0"/>
    <n v="1"/>
    <n v="0.875"/>
    <m/>
    <n v="0"/>
    <n v="25"/>
    <n v="15"/>
    <n v="15"/>
    <n v="10"/>
    <n v="10"/>
    <n v="20"/>
    <s v="MEMD (UEDCL)"/>
    <s v="017 Ministry of Energy and Mineral Development"/>
    <s v="UETCL, ERA,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LAA substation redesign"/>
    <n v="1"/>
    <n v="1"/>
    <n v="1"/>
    <n v="1"/>
    <n v="1"/>
    <n v="1"/>
    <n v="0"/>
    <n v="1"/>
    <n v="0.875"/>
    <m/>
    <n v="0"/>
    <n v="10"/>
    <n v="10"/>
    <n v="5"/>
    <n v="5"/>
    <n v="5"/>
    <n v="10"/>
    <s v="MEMD (UEDCL)"/>
    <s v="017 Ministry of Energy and Mineral Development"/>
    <s v="UETCL, ERA, RE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33kV evacuation lines from UETCL substations (km)"/>
    <n v="1"/>
    <n v="1"/>
    <n v="0"/>
    <n v="0"/>
    <n v="1"/>
    <n v="1"/>
    <n v="0"/>
    <n v="1"/>
    <n v="0.625"/>
    <m/>
    <n v="0"/>
    <n v="20"/>
    <n v="10"/>
    <n v="10"/>
    <n v="10"/>
    <n v="10"/>
    <n v="20"/>
    <s v="MEMD (UEDCL)"/>
    <s v="017 Ministry of Energy and Mineral Development"/>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LV bare wire to ABC conversion (km)"/>
    <n v="1"/>
    <n v="1"/>
    <n v="0"/>
    <n v="1"/>
    <n v="1"/>
    <n v="1"/>
    <n v="0"/>
    <n v="1"/>
    <n v="0.75"/>
    <m/>
    <n v="0"/>
    <n v="30"/>
    <n v="10"/>
    <n v="20"/>
    <m/>
    <m/>
    <n v="0"/>
    <s v="MEMD (UEDCL)"/>
    <s v="017 Ministry of Energy and Mineral Development"/>
    <s v="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Installation of concrete poles"/>
    <n v="1"/>
    <n v="1"/>
    <n v="1"/>
    <n v="1"/>
    <n v="1"/>
    <n v="1"/>
    <n v="1"/>
    <n v="1"/>
    <n v="1"/>
    <m/>
    <n v="0"/>
    <n v="12"/>
    <n v="10"/>
    <n v="8"/>
    <m/>
    <m/>
    <n v="0"/>
    <s v="MEMD (UEDCL)"/>
    <s v="017 Ministry of Energy and Mineral Development"/>
    <s v="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Conversion of Overhead MV lines to underground (km)"/>
    <n v="1"/>
    <n v="1"/>
    <n v="1"/>
    <n v="0"/>
    <n v="1"/>
    <n v="1"/>
    <n v="1"/>
    <n v="1"/>
    <n v="0.875"/>
    <m/>
    <n v="0"/>
    <n v="5"/>
    <n v="10"/>
    <n v="20"/>
    <m/>
    <m/>
    <n v="0"/>
    <s v="MEMD (UEDCL)"/>
    <s v="017 Ministry of Energy and Mineral Development"/>
    <s v="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Procurement of 33/11kV mobile substation"/>
    <n v="1"/>
    <n v="1"/>
    <n v="1"/>
    <n v="0"/>
    <n v="1"/>
    <n v="1"/>
    <n v="1"/>
    <n v="1"/>
    <n v="0.875"/>
    <m/>
    <n v="0"/>
    <n v="5"/>
    <n v="5"/>
    <n v="0"/>
    <n v="5"/>
    <n v="0"/>
    <n v="5"/>
    <s v="MEMD (UEDCL)"/>
    <s v="017 Ministry of Energy and Mineral Development"/>
    <s v="MoFPED, PPDU, 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Electrification of Protected Areas in KM (Chobe, Kichumbanyobo Gate, Bukorwe, Katokye Gate, Ishasha, Katunguru Gate"/>
    <n v="1"/>
    <n v="1"/>
    <n v="1"/>
    <n v="0"/>
    <n v="1"/>
    <n v="1"/>
    <n v="1"/>
    <n v="1"/>
    <n v="0.875"/>
    <m/>
    <n v="0"/>
    <n v="0"/>
    <n v="15"/>
    <n v="10"/>
    <n v="5"/>
    <n v="5"/>
    <n v="10"/>
    <s v="MEMD (UEDCL)"/>
    <s v="017 Ministry of Energy and Mineral Development"/>
    <s v="UWA, UTB, MoTIC"/>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m/>
    <m/>
    <m/>
    <m/>
    <m/>
    <m/>
    <m/>
    <m/>
    <e v="#N/A"/>
    <s v="Katatoro gate, Kisenyi Gate, Kikorongo Gate, Jacana Safari, Buhoma and Ruhija, Nkuringo, Rushaga, Ntebeko, Kananchu, Mainaro, Sebitoli, Karugutu, Rwonyo, Sanga Gate Education Centre, Nshara Gate, Suam, Kapkwai)"/>
    <n v="1"/>
    <n v="1"/>
    <n v="0"/>
    <n v="0"/>
    <n v="1"/>
    <n v="1"/>
    <n v="0"/>
    <n v="1"/>
    <n v="0.625"/>
    <m/>
    <n v="0"/>
    <n v="0"/>
    <n v="0"/>
    <n v="0"/>
    <n v="5"/>
    <n v="5"/>
    <n v="10"/>
    <s v="MEMD (UEDCL)"/>
    <s v="017 Ministry of Energy and Mineral Development"/>
    <s v="N/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MV Length"/>
    <n v="2549.92"/>
    <n v="2896.66"/>
    <n v="2534"/>
    <n v="1200"/>
    <s v="-"/>
    <s v="-"/>
    <s v="REA"/>
    <s v="123 Rural Electrification Agency (REA)"/>
    <s v="Ongoing Projects"/>
    <n v="1"/>
    <n v="1"/>
    <n v="1"/>
    <n v="0"/>
    <n v="1"/>
    <n v="1"/>
    <n v="1"/>
    <n v="1"/>
    <n v="0.875"/>
    <m/>
    <n v="1"/>
    <n v="75"/>
    <n v="30"/>
    <n v="30"/>
    <m/>
    <m/>
    <n v="0"/>
    <s v="REA"/>
    <s v="123 Rural Electrification Agency (REA)"/>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LV Length"/>
    <n v="2596.4699999999998"/>
    <n v="4219.21"/>
    <n v="3514"/>
    <n v="1500"/>
    <s v="-"/>
    <s v="-"/>
    <s v="REA"/>
    <s v="123 Rural Electrification Agency (REA)"/>
    <s v="Ongoing Projects"/>
    <n v="1"/>
    <n v="0"/>
    <n v="0"/>
    <n v="1"/>
    <n v="1"/>
    <n v="1"/>
    <n v="0"/>
    <n v="1"/>
    <n v="0.625"/>
    <m/>
    <n v="1"/>
    <n v="60"/>
    <n v="20"/>
    <n v="20"/>
    <m/>
    <m/>
    <n v="0"/>
    <s v="REA"/>
    <s v="123 Rural Electrification Agency (REA)"/>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Number"/>
    <n v="82"/>
    <n v="182"/>
    <n v="145"/>
    <n v="152"/>
    <m/>
    <m/>
    <s v="REA"/>
    <s v="123 Rural Electrification Agency (REA)"/>
    <s v="No. of Sub counties electrified"/>
    <n v="1"/>
    <n v="0"/>
    <n v="0"/>
    <n v="1"/>
    <n v="1"/>
    <n v="1"/>
    <n v="0"/>
    <n v="1"/>
    <n v="0.625"/>
    <m/>
    <n v="1"/>
    <n v="5"/>
    <n v="5"/>
    <n v="5"/>
    <m/>
    <m/>
    <n v="0"/>
    <s v="REA"/>
    <s v="123 Rural Electrification Agency (REA)"/>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MV Length"/>
    <n v="14677"/>
    <n v="800"/>
    <n v="2000"/>
    <n v="2000"/>
    <n v="2000"/>
    <n v="2000"/>
    <s v="REA"/>
    <s v="123 Rural Electrification Agency (REA)"/>
    <s v="Planned projects"/>
    <n v="1"/>
    <n v="1"/>
    <n v="0"/>
    <n v="0"/>
    <n v="1"/>
    <n v="1"/>
    <n v="1"/>
    <n v="1"/>
    <n v="0.75"/>
    <m/>
    <n v="1"/>
    <n v="0"/>
    <n v="0"/>
    <n v="0"/>
    <m/>
    <m/>
    <n v="0"/>
    <s v="REA"/>
    <s v="123 Rural Electrification Agency (REA)"/>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LV Length"/>
    <n v="11609"/>
    <n v="1000"/>
    <n v="2500"/>
    <n v="2500"/>
    <n v="2500"/>
    <n v="2500"/>
    <s v="REA"/>
    <s v="123 Rural Electrification Agency (REA)"/>
    <s v="Planned projects"/>
    <n v="1"/>
    <n v="0"/>
    <n v="0"/>
    <n v="1"/>
    <n v="1"/>
    <n v="1"/>
    <n v="0"/>
    <n v="1"/>
    <n v="0.625"/>
    <m/>
    <n v="1"/>
    <n v="0"/>
    <n v="0"/>
    <n v="0"/>
    <m/>
    <m/>
    <n v="0"/>
    <s v="REA"/>
    <s v="123 Rural Electrification Agency (REA)"/>
    <s v="MEMD, ERA"/>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Number"/>
    <s v="403,740(ECP and OBA)"/>
    <n v="388317"/>
    <n v="200000"/>
    <n v="457017"/>
    <n v="365613"/>
    <n v="292490"/>
    <s v="REA"/>
    <s v="123 Rural Electrification Agency (REA)"/>
    <s v="Last Mile Connections"/>
    <n v="1"/>
    <n v="1"/>
    <n v="1"/>
    <n v="0"/>
    <n v="1"/>
    <n v="1"/>
    <n v="1"/>
    <n v="1"/>
    <n v="0.875"/>
    <m/>
    <n v="1"/>
    <n v="75"/>
    <n v="65"/>
    <n v="75"/>
    <n v="60"/>
    <n v="50"/>
    <n v="110"/>
    <s v="REA"/>
    <s v="123 Rural Electrification Agency (REA)"/>
    <s v="UEDCL, 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MV Length"/>
    <n v="189"/>
    <n v="50"/>
    <n v="39"/>
    <n v="100"/>
    <s v="-"/>
    <s v="-"/>
    <s v="REA"/>
    <s v="123 Rural Electrification Agency (REA)"/>
    <s v="Ongoing Evacuation Lines"/>
    <n v="1"/>
    <n v="1"/>
    <n v="1"/>
    <n v="1"/>
    <n v="1"/>
    <n v="1"/>
    <n v="0"/>
    <n v="1"/>
    <n v="0.875"/>
    <m/>
    <n v="1"/>
    <n v="20"/>
    <n v="8"/>
    <n v="30"/>
    <m/>
    <m/>
    <n v="0"/>
    <s v="REA"/>
    <s v="123 Rural Electrification Agency (REA)"/>
    <s v="UEDCL, 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MV Length"/>
    <n v="330"/>
    <n v="67"/>
    <n v="38"/>
    <n v="100"/>
    <n v="35"/>
    <s v="-"/>
    <s v="REA"/>
    <s v="123 Rural Electrification Agency (REA)"/>
    <s v="Planned evacuation lines "/>
    <n v="1"/>
    <n v="0"/>
    <n v="0"/>
    <n v="1"/>
    <n v="1"/>
    <n v="1"/>
    <n v="0"/>
    <n v="1"/>
    <n v="0.625"/>
    <m/>
    <n v="1"/>
    <n v="10"/>
    <n v="0"/>
    <n v="0"/>
    <m/>
    <m/>
    <n v="0"/>
    <s v="REA"/>
    <s v="123 Rural Electrification Agency (REA)"/>
    <s v="UEDCL, MEM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Number"/>
    <s v="N/A"/>
    <n v="1"/>
    <n v="2"/>
    <n v="2"/>
    <n v="2"/>
    <n v="2"/>
    <s v="UEDCL"/>
    <e v="#N/A"/>
    <s v="Quality of Supply projects (Inclusive of densification)"/>
    <n v="1"/>
    <n v="0"/>
    <n v="0"/>
    <n v="1"/>
    <n v="1"/>
    <n v="1"/>
    <n v="0"/>
    <n v="1"/>
    <n v="0.625"/>
    <m/>
    <m/>
    <n v="5"/>
    <n v="5"/>
    <n v="5"/>
    <n v="5"/>
    <n v="5"/>
    <n v="10"/>
    <s v="MEMD (UEDCL)"/>
    <s v="017 Ministry of Energy and Mineral Development"/>
    <s v="ERA, MoFPED"/>
  </r>
  <r>
    <x v="14"/>
    <x v="14"/>
    <s v="081"/>
    <s v="Transmission and Distribution"/>
    <s v="0811"/>
    <s v="Increase access and utilization of electricity"/>
    <s v="081104"/>
    <s v="Expand and rehabilitate the distribution network (grid expansion and densification, last mile connections, evacuation of small generation plants, quality of supply projects)"/>
    <m/>
    <m/>
    <s v="08110401"/>
    <s v="Expanded distribution network"/>
    <s v="Kilometers of land Valued for  Acquisition"/>
    <n v="0"/>
    <n v="4000"/>
    <n v="2000"/>
    <n v="2000"/>
    <n v="3500"/>
    <n v="3500"/>
    <s v="REA"/>
    <s v="123 Rural Electrification Agency (REA)"/>
    <s v="Valuation for  land Acquisition"/>
    <n v="1"/>
    <n v="0"/>
    <n v="0"/>
    <n v="1"/>
    <n v="1"/>
    <n v="1"/>
    <n v="0"/>
    <n v="1"/>
    <n v="0.625"/>
    <m/>
    <m/>
    <n v="4.0599999999999996"/>
    <n v="2.4500000000000002"/>
    <n v="2.4500000000000002"/>
    <m/>
    <m/>
    <n v="0"/>
    <s v="MoLHUD"/>
    <s v="012 Ministry of Lands, Housing &amp; Urban Development"/>
    <s v="UEDCL, MEMD, REA"/>
  </r>
  <r>
    <x v="14"/>
    <x v="14"/>
    <s v="081"/>
    <s v="Transmission and Distribution"/>
    <s v="0811"/>
    <s v="Increase access and utilization of electricity"/>
    <s v="081105"/>
    <s v="Develop renewable off-grid energy solutions (Construct 10,000 km of medium voltage networks and 15,000 km of low voltage network)"/>
    <m/>
    <m/>
    <s v="08110501"/>
    <s v="Off-grid and mini-grids constructed"/>
    <s v="Number of off-grid mini-grids constructed"/>
    <n v="46"/>
    <n v="46"/>
    <n v="30"/>
    <n v="30"/>
    <n v="30"/>
    <n v="30"/>
    <s v="REA, MEMD"/>
    <e v="#N/A"/>
    <s v="Construction of mini-grids in northern and south western Uganda"/>
    <n v="1"/>
    <n v="0"/>
    <n v="0"/>
    <n v="1"/>
    <n v="1"/>
    <n v="1"/>
    <n v="0"/>
    <n v="1"/>
    <n v="0.625"/>
    <m/>
    <m/>
    <n v="20"/>
    <n v="20"/>
    <n v="15"/>
    <n v="15"/>
    <n v="15"/>
    <n v="30"/>
    <s v="MEMD (UEGCL)"/>
    <s v="017 Ministry of Energy and Mineral Development"/>
    <s v="UEDCL, MEMD, REA"/>
  </r>
  <r>
    <x v="14"/>
    <x v="14"/>
    <s v="081"/>
    <s v="Transmission and Distribution"/>
    <s v="0811"/>
    <s v="Increase access and utilization of electricity"/>
    <s v="081105"/>
    <s v="Develop renewable off-grid energy solutions (Construct 10,000 km of medium voltage networks and 15,000 km of low voltage network)"/>
    <m/>
    <m/>
    <s v="08110502"/>
    <s v="Medium and low voltage networks constructed"/>
    <s v="Km of medium voltage networks constructed"/>
    <m/>
    <n v="2000"/>
    <n v="2000"/>
    <n v="2000"/>
    <n v="2000"/>
    <n v="2000"/>
    <s v="REA"/>
    <s v="123 Rural Electrification Agency (REA)"/>
    <s v="Land acquisition"/>
    <n v="1"/>
    <n v="0"/>
    <n v="1"/>
    <n v="0"/>
    <n v="1"/>
    <n v="1"/>
    <n v="1"/>
    <n v="0"/>
    <n v="0.625"/>
    <m/>
    <m/>
    <n v="0"/>
    <n v="0"/>
    <n v="0"/>
    <n v="10"/>
    <n v="5"/>
    <n v="15"/>
    <s v="MoLHUD"/>
    <s v="012 Ministry of Lands, Housing &amp; Urban Development"/>
    <s v="MEMD, UEGCL, UEDCL"/>
  </r>
  <r>
    <x v="14"/>
    <x v="14"/>
    <s v="081"/>
    <s v="Transmission and Distribution"/>
    <s v="0811"/>
    <s v="Increase access and utilization of electricity"/>
    <s v="081105"/>
    <s v="Develop renewable off-grid energy solutions (Construct 10,000 km of medium voltage networks and 15,000 km of low voltage network)"/>
    <m/>
    <m/>
    <s v="08110502"/>
    <s v="Medium and low voltage networks constructed"/>
    <s v="Km of  low voltage networks constructed"/>
    <m/>
    <n v="3000"/>
    <n v="3000"/>
    <n v="3000"/>
    <n v="3000"/>
    <n v="3000"/>
    <s v="REA"/>
    <s v="123 Rural Electrification Agency (REA)"/>
    <s v="Renewable off-grid mini-grids"/>
    <n v="1"/>
    <n v="1"/>
    <n v="0"/>
    <n v="1"/>
    <n v="1"/>
    <n v="1"/>
    <n v="0"/>
    <n v="1"/>
    <n v="0.75"/>
    <m/>
    <m/>
    <n v="10"/>
    <n v="10"/>
    <n v="10"/>
    <n v="5"/>
    <n v="5"/>
    <n v="10"/>
    <s v="MEMD (UEGCL)"/>
    <s v="017 Ministry of Energy and Mineral Development"/>
    <s v="UEDCL"/>
  </r>
  <r>
    <x v="14"/>
    <x v="14"/>
    <s v="081"/>
    <s v="Transmission and Distribution"/>
    <s v="0811"/>
    <s v="Increase access and utilization of electricity"/>
    <s v="081106"/>
    <s v="Establish mechanisms to reduce the end-user tariffs"/>
    <m/>
    <m/>
    <s v="08110601"/>
    <s v="Consumers connected to the grid"/>
    <s v="Number of consumers connected to the grid per consumer category (Large Industrial, Medium industrial, Commercial and domestic"/>
    <n v="200000"/>
    <n v="300000"/>
    <n v="300000"/>
    <n v="300000"/>
    <n v="300000"/>
    <n v="300000"/>
    <s v="REA/ UEDCL"/>
    <e v="#N/A"/>
    <s v="Implementation of free connections policy taking into consideration people with disabilities, the elderly, the male and female headed houselds."/>
    <n v="1"/>
    <n v="0"/>
    <n v="0"/>
    <n v="1"/>
    <n v="1"/>
    <n v="0"/>
    <n v="0"/>
    <n v="1"/>
    <n v="0.5"/>
    <m/>
    <n v="0"/>
    <n v="0"/>
    <n v="0"/>
    <n v="0"/>
    <n v="0"/>
    <n v="0"/>
    <n v="0"/>
    <s v="MEMD (UEDCL)"/>
    <s v="017 Ministry of Energy and Mineral Development"/>
    <s v="MEMD"/>
  </r>
  <r>
    <x v="14"/>
    <x v="14"/>
    <s v="081"/>
    <s v="Transmission and Distribution"/>
    <s v="0811"/>
    <s v="Increase access and utilization of electricity"/>
    <s v="081106"/>
    <s v="Establish mechanisms to reduce the end-user tariffs"/>
    <m/>
    <m/>
    <s v="08110601"/>
    <s v="Consumers connected to the grid"/>
    <m/>
    <m/>
    <m/>
    <m/>
    <m/>
    <m/>
    <m/>
    <m/>
    <e v="#N/A"/>
    <s v="Tariff stabilization to enable affordability by all."/>
    <n v="1"/>
    <n v="0"/>
    <n v="0"/>
    <n v="1"/>
    <n v="1"/>
    <n v="0"/>
    <n v="0"/>
    <n v="1"/>
    <n v="0.5"/>
    <m/>
    <n v="0"/>
    <n v="0"/>
    <n v="0.5"/>
    <n v="0.5"/>
    <n v="0.5"/>
    <n v="0.5"/>
    <n v="1"/>
    <s v="MEMD (ERA)"/>
    <s v="017 Ministry of Energy and Mineral Development"/>
    <s v="MEMD, REA, UEDCL"/>
  </r>
  <r>
    <x v="14"/>
    <x v="14"/>
    <s v="081"/>
    <s v="Transmission and Distribution"/>
    <s v="0811"/>
    <s v="Increase access and utilization of electricity"/>
    <s v="081106"/>
    <s v="Establish mechanisms to reduce the end-user tariffs"/>
    <m/>
    <m/>
    <s v="08110601"/>
    <s v="Consumers connected to the grid"/>
    <m/>
    <m/>
    <m/>
    <m/>
    <m/>
    <m/>
    <m/>
    <m/>
    <e v="#N/A"/>
    <s v="Demand side management"/>
    <n v="1"/>
    <n v="0"/>
    <n v="0"/>
    <n v="1"/>
    <n v="1"/>
    <n v="0"/>
    <n v="0"/>
    <n v="1"/>
    <n v="0.5"/>
    <m/>
    <n v="0"/>
    <n v="0"/>
    <n v="1"/>
    <n v="1"/>
    <n v="2"/>
    <n v="2"/>
    <n v="4"/>
    <s v="MEMD"/>
    <s v="017 Ministry of Energy and Mineral Development"/>
    <s v="UEDCL, REA"/>
  </r>
  <r>
    <x v="14"/>
    <x v="14"/>
    <s v="081"/>
    <s v="Transmission and Distribution"/>
    <s v="0811"/>
    <s v="Increase access and utilization of electricity"/>
    <s v="081106"/>
    <s v="Establish mechanisms to reduce the end-user tariffs"/>
    <m/>
    <m/>
    <s v="08110601"/>
    <s v="Consumers connected to the grid"/>
    <m/>
    <m/>
    <m/>
    <m/>
    <m/>
    <m/>
    <m/>
    <m/>
    <e v="#N/A"/>
    <s v="Promotion of energy efficiency"/>
    <n v="1"/>
    <n v="0"/>
    <n v="0"/>
    <n v="1"/>
    <n v="1"/>
    <n v="1"/>
    <n v="0"/>
    <n v="1"/>
    <n v="0.625"/>
    <m/>
    <n v="0"/>
    <n v="0"/>
    <n v="1"/>
    <n v="1"/>
    <n v="1"/>
    <n v="1"/>
    <n v="2"/>
    <s v="MEMD"/>
    <s v="017 Ministry of Energy and Mineral Development"/>
    <s v="REA, ERA, UEDCL"/>
  </r>
  <r>
    <x v="14"/>
    <x v="14"/>
    <s v="081"/>
    <s v="Transmission and Distribution"/>
    <s v="0811"/>
    <s v="Increase access and utilization of electricity"/>
    <s v="081106"/>
    <s v="Establish mechanisms to reduce the end-user tariffs"/>
    <m/>
    <m/>
    <s v="08110601"/>
    <s v="Consumers connected to the grid"/>
    <m/>
    <m/>
    <m/>
    <m/>
    <m/>
    <m/>
    <m/>
    <m/>
    <e v="#N/A"/>
    <s v="Substations improvement in industrial parks"/>
    <n v="1"/>
    <n v="1"/>
    <n v="0"/>
    <n v="1"/>
    <n v="1"/>
    <n v="1"/>
    <n v="1"/>
    <n v="1"/>
    <n v="0.875"/>
    <n v="1"/>
    <n v="0"/>
    <n v="0"/>
    <n v="3"/>
    <n v="3"/>
    <n v="3"/>
    <n v="3"/>
    <n v="6"/>
    <s v="MEMD (UEDCL)"/>
    <s v="017 Ministry of Energy and Mineral Development"/>
    <s v="MEMD"/>
  </r>
  <r>
    <x v="14"/>
    <x v="14"/>
    <s v="081"/>
    <s v="Transmission and Distribution"/>
    <s v="0811"/>
    <s v="Increase access and utilization of electricity"/>
    <s v="081106"/>
    <s v="Establish mechanisms to reduce the end-user tariffs"/>
    <m/>
    <m/>
    <s v="08110601"/>
    <s v="Consumers connected to the grid"/>
    <m/>
    <m/>
    <m/>
    <m/>
    <m/>
    <m/>
    <m/>
    <m/>
    <e v="#N/A"/>
    <s v="Network loss reduction"/>
    <n v="1"/>
    <n v="0"/>
    <n v="0"/>
    <n v="1"/>
    <n v="1"/>
    <n v="1"/>
    <n v="0"/>
    <n v="1"/>
    <n v="0.625"/>
    <m/>
    <n v="0"/>
    <n v="0"/>
    <n v="5"/>
    <n v="5"/>
    <n v="5"/>
    <n v="5"/>
    <n v="10"/>
    <s v="MEMD (UEDCL)"/>
    <s v="017 Ministry of Energy and Mineral Development"/>
    <s v="MEMD, REA"/>
  </r>
  <r>
    <x v="14"/>
    <x v="14"/>
    <s v="081"/>
    <s v="Transmission and Distribution"/>
    <s v="0811"/>
    <s v="Increase access and utilization of electricity"/>
    <s v="081106"/>
    <s v="Establish mechanisms to reduce the end-user tariffs"/>
    <m/>
    <m/>
    <s v="08110601"/>
    <s v="Consumers connected to the grid"/>
    <m/>
    <m/>
    <m/>
    <m/>
    <m/>
    <m/>
    <m/>
    <m/>
    <e v="#N/A"/>
    <s v="Provide Credit Support Facility in support of wiring for on-grid household &amp; SME connections and three phase connections for commercial enterprises including women, elderly and persons with disabilities."/>
    <n v="1"/>
    <n v="0"/>
    <n v="0"/>
    <n v="1"/>
    <n v="1"/>
    <n v="1"/>
    <n v="0"/>
    <n v="1"/>
    <n v="0.625"/>
    <m/>
    <n v="1"/>
    <n v="0"/>
    <n v="4"/>
    <n v="0"/>
    <n v="0"/>
    <n v="0"/>
    <n v="0"/>
    <s v="MEMD (UECCC)"/>
    <s v="017 Ministry of Energy and Mineral Development"/>
    <s v="MEMD, REA, ERA, UEDCL"/>
  </r>
  <r>
    <x v="14"/>
    <x v="14"/>
    <s v="081"/>
    <s v="Transmission and Distribution"/>
    <s v="0811"/>
    <s v="Increase access and utilization of electricity"/>
    <s v="081106"/>
    <s v="Establish mechanisms to reduce the end-user tariffs"/>
    <m/>
    <m/>
    <s v="08110601"/>
    <s v="Consumers connected to the grid"/>
    <s v="Population connected to national grid (%)"/>
    <n v="40"/>
    <n v="50"/>
    <n v="55"/>
    <n v="60"/>
    <n v="65"/>
    <n v="70"/>
    <s v="REA"/>
    <s v="123 Rural Electrification Agency (REA)"/>
    <s v="Implementation of free connections policy with consideration to gender and equity issues."/>
    <n v="1"/>
    <n v="1"/>
    <n v="0"/>
    <n v="1"/>
    <n v="1"/>
    <n v="1"/>
    <n v="0"/>
    <n v="1"/>
    <n v="0.75"/>
    <m/>
    <n v="1"/>
    <n v="10"/>
    <n v="0"/>
    <n v="0"/>
    <m/>
    <m/>
    <n v="0"/>
    <s v="REA"/>
    <s v="123 Rural Electrification Agency (REA)"/>
    <s v="UEDCL, MEMD, ERA"/>
  </r>
  <r>
    <x v="14"/>
    <x v="14"/>
    <s v="081"/>
    <s v="Transmission and Distribution"/>
    <s v="0811"/>
    <s v="Increase access and utilization of electricity"/>
    <s v="081106"/>
    <s v="Establish mechanisms to reduce the end-user tariffs"/>
    <m/>
    <m/>
    <s v="08110601"/>
    <s v="Consumers connected to the grid"/>
    <m/>
    <m/>
    <m/>
    <m/>
    <m/>
    <m/>
    <m/>
    <m/>
    <e v="#N/A"/>
    <s v="Implementation of Grid densification projects."/>
    <n v="1"/>
    <n v="1"/>
    <n v="0"/>
    <n v="1"/>
    <n v="1"/>
    <n v="1"/>
    <n v="0"/>
    <n v="1"/>
    <n v="0.75"/>
    <m/>
    <n v="0"/>
    <n v="70"/>
    <n v="30"/>
    <n v="30"/>
    <m/>
    <m/>
    <n v="0"/>
    <s v="MEMD (UEDCL)"/>
    <s v="017 Ministry of Energy and Mineral Development"/>
    <s v="MEMD, REA, ERA"/>
  </r>
  <r>
    <x v="14"/>
    <x v="14"/>
    <s v="081"/>
    <s v="Transmission and Distribution"/>
    <s v="0811"/>
    <s v="Increase access and utilization of electricity"/>
    <s v="081106"/>
    <s v="Establish mechanisms to reduce the end-user tariffs"/>
    <m/>
    <m/>
    <s v="08110601"/>
    <s v="Consumers connected to the grid"/>
    <m/>
    <m/>
    <m/>
    <m/>
    <m/>
    <m/>
    <m/>
    <m/>
    <e v="#N/A"/>
    <s v="Implementation of rural electrification project with consideration to gender and equity issues."/>
    <n v="1"/>
    <n v="1"/>
    <n v="0"/>
    <n v="1"/>
    <n v="1"/>
    <n v="1"/>
    <n v="0"/>
    <n v="1"/>
    <n v="0.75"/>
    <m/>
    <n v="1"/>
    <n v="20"/>
    <n v="20"/>
    <n v="20"/>
    <m/>
    <m/>
    <n v="0"/>
    <s v="REA"/>
    <s v="123 Rural Electrification Agency (REA)"/>
    <s v="UEDCL, MEMD, ERA"/>
  </r>
  <r>
    <x v="14"/>
    <x v="14"/>
    <s v="081"/>
    <s v="Transmission and Distribution"/>
    <s v="0811"/>
    <s v="Increase access and utilization of electricity"/>
    <s v="081106"/>
    <s v="Establish mechanisms to reduce the end-user tariffs"/>
    <m/>
    <m/>
    <s v="08110601"/>
    <s v="Consumers connected to the grid"/>
    <m/>
    <m/>
    <m/>
    <m/>
    <m/>
    <m/>
    <m/>
    <m/>
    <e v="#N/A"/>
    <s v="Construction and rehabilitation of transmission and distribution network."/>
    <n v="1"/>
    <n v="1"/>
    <n v="0"/>
    <n v="1"/>
    <n v="1"/>
    <n v="1"/>
    <n v="0"/>
    <n v="1"/>
    <n v="0.75"/>
    <m/>
    <n v="0"/>
    <n v="0"/>
    <n v="0"/>
    <n v="0"/>
    <n v="0"/>
    <n v="0"/>
    <n v="0"/>
    <s v="MEMD (UETCL)"/>
    <s v="017 Ministry of Energy and Mineral Development"/>
    <s v="REA, MEMD, ERA, UEDCL"/>
  </r>
  <r>
    <x v="14"/>
    <x v="14"/>
    <s v="081"/>
    <s v="Transmission and Distribution"/>
    <s v="0811"/>
    <s v="Increase access and utilization of electricity"/>
    <s v="081106"/>
    <s v="Establish mechanisms to reduce the end-user tariffs"/>
    <m/>
    <m/>
    <s v="08110601"/>
    <s v="Consumers connected to the grid"/>
    <m/>
    <m/>
    <m/>
    <m/>
    <m/>
    <m/>
    <m/>
    <m/>
    <e v="#N/A"/>
    <s v="Construction and rehabilitation of transmission and distribution network."/>
    <n v="1"/>
    <n v="1"/>
    <n v="0"/>
    <n v="1"/>
    <n v="1"/>
    <n v="1"/>
    <n v="0"/>
    <n v="1"/>
    <n v="0.75"/>
    <m/>
    <n v="0"/>
    <n v="0"/>
    <n v="0"/>
    <n v="0"/>
    <m/>
    <m/>
    <n v="0"/>
    <s v="MEMD (UEDCL)"/>
    <s v="017 Ministry of Energy and Mineral Development"/>
    <s v="REA, MEMD, UETCL"/>
  </r>
  <r>
    <x v="14"/>
    <x v="14"/>
    <s v="081"/>
    <s v="Transmission and Distribution"/>
    <s v="0811"/>
    <s v="Increase access and utilization of electricity"/>
    <s v="081106"/>
    <s v="Establish mechanisms to reduce the end-user tariffs"/>
    <m/>
    <m/>
    <s v="08110601"/>
    <s v="Consumers connected to the grid"/>
    <m/>
    <m/>
    <m/>
    <m/>
    <m/>
    <m/>
    <m/>
    <m/>
    <e v="#N/A"/>
    <s v="Implement ERA strategic plan to ensure quality of service enforcement in the electricity service industry."/>
    <n v="0"/>
    <n v="0"/>
    <n v="0"/>
    <n v="1"/>
    <n v="1"/>
    <n v="0"/>
    <n v="0"/>
    <n v="0"/>
    <n v="0.25"/>
    <m/>
    <n v="0"/>
    <n v="5"/>
    <n v="10"/>
    <n v="10"/>
    <n v="0"/>
    <n v="0"/>
    <n v="0"/>
    <s v="MEMD (ERA)"/>
    <s v="017 Ministry of Energy and Mineral Development"/>
    <s v="MEMD"/>
  </r>
  <r>
    <x v="14"/>
    <x v="14"/>
    <s v="081"/>
    <s v="Transmission and Distribution"/>
    <s v="0811"/>
    <s v="Increase access and utilization of electricity"/>
    <s v="081106"/>
    <s v="Establish mechanisms to reduce the end-user tariffs"/>
    <m/>
    <m/>
    <s v="08110601"/>
    <s v="Consumers connected to the grid"/>
    <m/>
    <m/>
    <m/>
    <m/>
    <m/>
    <m/>
    <m/>
    <m/>
    <e v="#N/A"/>
    <s v="Promotion of standalone solar home systems and mini-grids (test lab for solar home system components: test equipment, test methods training &amp; test facility) including the marginalized groups."/>
    <n v="1"/>
    <n v="1"/>
    <n v="1"/>
    <n v="1"/>
    <n v="1"/>
    <n v="1"/>
    <n v="0"/>
    <n v="1"/>
    <n v="0.875"/>
    <m/>
    <n v="0"/>
    <n v="0"/>
    <n v="1.2"/>
    <n v="0.5"/>
    <n v="1"/>
    <n v="1.5"/>
    <n v="2.5"/>
    <s v="UNBS"/>
    <s v="154 Uganda National Bureau of Standards"/>
    <s v="MEMD, UEDCL, UEGCL, ERA, REA"/>
  </r>
  <r>
    <x v="14"/>
    <x v="14"/>
    <s v="081"/>
    <s v="Transmission and Distribution"/>
    <s v="0811"/>
    <s v="Increase access and utilization of electricity"/>
    <s v="081107"/>
    <s v="Develop ICT solution to enable efficient and effective cascade Management of the dams along the Nile"/>
    <m/>
    <m/>
    <s v="08110701"/>
    <s v="ICT solution along the Nile developed"/>
    <s v="ICT solutions in place"/>
    <m/>
    <n v="0"/>
    <n v="0"/>
    <n v="1"/>
    <n v="0"/>
    <n v="0"/>
    <s v="MoICT"/>
    <e v="#N/A"/>
    <m/>
    <n v="0"/>
    <n v="0"/>
    <n v="0"/>
    <n v="1"/>
    <n v="1"/>
    <n v="0"/>
    <n v="0"/>
    <n v="0"/>
    <n v="0.25"/>
    <m/>
    <n v="0"/>
    <m/>
    <m/>
    <m/>
    <m/>
    <m/>
    <n v="0"/>
    <m/>
    <m/>
    <m/>
  </r>
  <r>
    <x v="14"/>
    <x v="14"/>
    <s v="081"/>
    <s v="Transmission and Distribution"/>
    <s v="0811"/>
    <s v="Increase access and utilization of electricity"/>
    <s v="081107"/>
    <s v="Develop ICT solution to enable efficient and effective cascade Management of the dams along the Nile"/>
    <m/>
    <m/>
    <s v="08110701"/>
    <s v="Software systems (SCADA) developed"/>
    <s v="Software systems in place"/>
    <n v="0"/>
    <n v="1"/>
    <n v="1"/>
    <n v="1"/>
    <n v="0"/>
    <n v="0"/>
    <s v="UETCL"/>
    <e v="#N/A"/>
    <s v="Implementation of modern SCADA systems--Network systems upgrade and improvements."/>
    <n v="1"/>
    <n v="1"/>
    <n v="1"/>
    <n v="1"/>
    <n v="1"/>
    <n v="1"/>
    <n v="0"/>
    <n v="1"/>
    <n v="0.875"/>
    <m/>
    <n v="0"/>
    <n v="5"/>
    <n v="5"/>
    <n v="0"/>
    <n v="0"/>
    <n v="0"/>
    <n v="0"/>
    <s v="MEMD (UETCL)"/>
    <s v="017 Ministry of Energy and Mineral Development"/>
    <s v="UEGCL, MEMD, ERA"/>
  </r>
  <r>
    <x v="14"/>
    <x v="14"/>
    <s v="081"/>
    <s v="Transmission and Distribution"/>
    <s v="0811"/>
    <s v="Increase access and utilization of electricity"/>
    <s v="081108"/>
    <s v="Develop and enforce standards on quality of service in the energy industry"/>
    <m/>
    <m/>
    <s v="08110801"/>
    <s v="Increased compliance to energy standards"/>
    <s v="Standards on quality of service in the energy industry in place"/>
    <s v="-"/>
    <s v="-"/>
    <n v="1"/>
    <s v="-"/>
    <s v="-"/>
    <s v="-"/>
    <s v="MEMD"/>
    <s v="017 Ministry of Energy and Mineral Development"/>
    <m/>
    <n v="1"/>
    <n v="0"/>
    <n v="0"/>
    <n v="0"/>
    <n v="1"/>
    <n v="1"/>
    <n v="0"/>
    <n v="1"/>
    <n v="0.5"/>
    <m/>
    <n v="0"/>
    <m/>
    <m/>
    <m/>
    <m/>
    <m/>
    <n v="0"/>
    <m/>
    <m/>
    <m/>
  </r>
  <r>
    <x v="14"/>
    <x v="14"/>
    <s v="081"/>
    <s v="Transmission and Distribution"/>
    <s v="0811"/>
    <s v="Increase access and utilization of electricity"/>
    <s v="081108"/>
    <s v="Develop and enforce standards on quality of service in the energy industry"/>
    <m/>
    <m/>
    <s v="08110801"/>
    <s v="Increased compliance to energy standards"/>
    <s v="Number of quality management systems developed"/>
    <n v="0"/>
    <m/>
    <n v="2"/>
    <n v="3"/>
    <n v="3"/>
    <n v="3"/>
    <s v="UNBS"/>
    <s v="154 Uganda National Bureau of Standards"/>
    <s v="Development of a net metering framework "/>
    <n v="1"/>
    <n v="0"/>
    <n v="0"/>
    <n v="1"/>
    <n v="1"/>
    <n v="1"/>
    <n v="0"/>
    <n v="1"/>
    <n v="0.625"/>
    <m/>
    <n v="0"/>
    <n v="0"/>
    <n v="0"/>
    <n v="0"/>
    <n v="1"/>
    <n v="2"/>
    <n v="3"/>
    <s v="MEMD (UEDCL)"/>
    <s v="017 Ministry of Energy and Mineral Development"/>
    <s v="UETCL, ERA, MEMD"/>
  </r>
  <r>
    <x v="14"/>
    <x v="14"/>
    <s v="081"/>
    <s v="Transmission and Distribution"/>
    <s v="0811"/>
    <s v="Increase access and utilization of electricity"/>
    <s v="081108"/>
    <s v="Develop and enforce standards on quality of service in the energy industry"/>
    <m/>
    <m/>
    <s v="08110801"/>
    <s v="Increased compliance to energy standards"/>
    <m/>
    <m/>
    <m/>
    <m/>
    <m/>
    <m/>
    <m/>
    <m/>
    <e v="#N/A"/>
    <s v="Develop, gazette and popularise standards "/>
    <n v="1"/>
    <n v="1"/>
    <n v="1"/>
    <n v="0"/>
    <n v="1"/>
    <n v="1"/>
    <n v="1"/>
    <n v="1"/>
    <n v="0.875"/>
    <m/>
    <n v="0"/>
    <n v="2"/>
    <n v="2"/>
    <n v="2"/>
    <n v="2"/>
    <n v="2"/>
    <n v="4"/>
    <s v="UNBS"/>
    <s v="154 Uganda National Bureau of Standards"/>
    <s v="MTIC, MEMD"/>
  </r>
  <r>
    <x v="14"/>
    <x v="14"/>
    <s v="081"/>
    <s v="Transmission and Distribution"/>
    <s v="0811"/>
    <s v="Increase access and utilization of electricity"/>
    <s v="081108"/>
    <s v="Develop and enforce standards on quality of service in the energy industry"/>
    <m/>
    <m/>
    <s v="08110801"/>
    <s v="Increased compliance to energy standards"/>
    <s v="Level of compliance to energy standards, %"/>
    <n v="70"/>
    <n v="70"/>
    <n v="75"/>
    <n v="85"/>
    <n v="95"/>
    <n v="100"/>
    <s v="ERA"/>
    <e v="#N/A"/>
    <s v="Enforce standards for imports and internal production. Equipping the Testing laboratories at UNBS (Materials  and  Electrical labs)"/>
    <n v="1"/>
    <n v="1"/>
    <n v="1"/>
    <n v="0"/>
    <n v="1"/>
    <n v="1"/>
    <n v="1"/>
    <n v="1"/>
    <n v="0.875"/>
    <m/>
    <n v="0"/>
    <n v="2.13"/>
    <n v="1.53"/>
    <n v="0.95"/>
    <n v="0.95"/>
    <n v="0.36"/>
    <n v="1.31"/>
    <s v="UNBS"/>
    <s v="154 Uganda National Bureau of Standards"/>
    <s v="MTIC, MEMD"/>
  </r>
  <r>
    <x v="14"/>
    <x v="14"/>
    <s v="081"/>
    <s v="Transmission and Distribution"/>
    <s v="0811"/>
    <s v="Increase access and utilization of electricity"/>
    <s v="081108"/>
    <s v="Develop and enforce standards on quality of service in the energy industry"/>
    <m/>
    <m/>
    <s v="08110801"/>
    <s v="Increased compliance to energy standards"/>
    <m/>
    <m/>
    <m/>
    <m/>
    <m/>
    <m/>
    <m/>
    <m/>
    <e v="#N/A"/>
    <s v="Develop QHSSE standards for the energy sector"/>
    <n v="1"/>
    <n v="1"/>
    <n v="0"/>
    <n v="1"/>
    <n v="1"/>
    <n v="1"/>
    <n v="0"/>
    <n v="1"/>
    <n v="0.75"/>
    <m/>
    <n v="0"/>
    <n v="0"/>
    <n v="0.3"/>
    <n v="0.6"/>
    <n v="0.6"/>
    <n v="0.6"/>
    <n v="1.2"/>
    <s v="UNBS"/>
    <s v="154 Uganda National Bureau of Standards"/>
    <s v="MEMD, MTIC"/>
  </r>
  <r>
    <x v="14"/>
    <x v="14"/>
    <s v="081"/>
    <s v="Transmission and Distribution"/>
    <s v="0811"/>
    <s v="Increase access and utilization of electricity"/>
    <s v="081108"/>
    <s v="Develop and enforce standards on quality of service in the energy industry"/>
    <m/>
    <m/>
    <s v="08110801"/>
    <s v="Increased compliance to energy standards"/>
    <m/>
    <m/>
    <m/>
    <m/>
    <m/>
    <m/>
    <m/>
    <m/>
    <e v="#N/A"/>
    <s v="Develop QMS"/>
    <n v="1"/>
    <n v="1"/>
    <n v="1"/>
    <n v="0"/>
    <n v="1"/>
    <n v="1"/>
    <n v="1"/>
    <n v="1"/>
    <n v="0.875"/>
    <m/>
    <n v="0"/>
    <n v="0"/>
    <n v="0.4"/>
    <n v="0.6"/>
    <n v="0.6"/>
    <n v="0.6"/>
    <n v="1.2"/>
    <s v="UNBS"/>
    <s v="154 Uganda National Bureau of Standards"/>
    <s v="MEMD"/>
  </r>
  <r>
    <x v="14"/>
    <x v="14"/>
    <s v="081"/>
    <s v="Transmission and Distribution"/>
    <s v="0811"/>
    <s v="Increase access and utilization of electricity"/>
    <s v="081108"/>
    <s v="Develop and enforce standards on quality of service in the energy industry"/>
    <m/>
    <m/>
    <s v="08110801"/>
    <s v="Increased compliance to energy standards"/>
    <m/>
    <m/>
    <m/>
    <m/>
    <m/>
    <m/>
    <m/>
    <m/>
    <e v="#N/A"/>
    <s v="Climate change adaptation and mitigation"/>
    <n v="1"/>
    <n v="1"/>
    <n v="1"/>
    <n v="1"/>
    <n v="1"/>
    <n v="1"/>
    <n v="1"/>
    <n v="1"/>
    <n v="1"/>
    <m/>
    <n v="0"/>
    <n v="0"/>
    <n v="1.2"/>
    <n v="1.4"/>
    <n v="1.4"/>
    <n v="1.4"/>
    <n v="2.8"/>
    <s v="MEMD"/>
    <s v="017 Ministry of Energy and Mineral Development"/>
    <s v="NEMA"/>
  </r>
  <r>
    <x v="14"/>
    <x v="14"/>
    <s v="081"/>
    <s v="Transmission and Distribution"/>
    <s v="0811"/>
    <s v="Increase access and utilization of electricity"/>
    <s v="081108"/>
    <s v="Develop and enforce standards on quality of service in the energy industry"/>
    <m/>
    <m/>
    <s v="08110801"/>
    <s v="Increased compliance to energy standards"/>
    <s v="Number of adaptation and mitigation activities undertaken"/>
    <n v="2"/>
    <m/>
    <n v="4"/>
    <n v="6"/>
    <n v="6"/>
    <n v="6"/>
    <s v="UNBS"/>
    <s v="154 Uganda National Bureau of Standards"/>
    <s v="Amendment of the energy meter rules (2015) to include IT, PT, Sub-metering and metering software of Electricity meters."/>
    <n v="1"/>
    <n v="1"/>
    <n v="1"/>
    <n v="0"/>
    <n v="1"/>
    <n v="1"/>
    <n v="1"/>
    <n v="1"/>
    <n v="0.875"/>
    <m/>
    <n v="0"/>
    <n v="0"/>
    <n v="0"/>
    <n v="0"/>
    <m/>
    <m/>
    <n v="0"/>
    <s v="MEMD (ERA)"/>
    <s v="017 Ministry of Energy and Mineral Development"/>
    <s v="NEMA"/>
  </r>
  <r>
    <x v="14"/>
    <x v="14"/>
    <s v="081"/>
    <s v="Transmission and Distribution"/>
    <s v="0811"/>
    <s v="Increase access and utilization of electricity"/>
    <s v="081108"/>
    <s v="Develop and enforce standards on quality of service in the energy industry"/>
    <m/>
    <m/>
    <s v="08110801"/>
    <s v="Increased compliance to energy standards"/>
    <s v="No. of the mobile verification laboratories enhanced"/>
    <m/>
    <m/>
    <n v="5"/>
    <n v="3"/>
    <n v="1"/>
    <n v="2"/>
    <s v="UNBS"/>
    <s v="154 Uganda National Bureau of Standards"/>
    <s v="Procure more mobile laboratories"/>
    <n v="1"/>
    <n v="1"/>
    <n v="1"/>
    <n v="0"/>
    <n v="1"/>
    <n v="1"/>
    <n v="1"/>
    <n v="1"/>
    <n v="0.875"/>
    <m/>
    <n v="0"/>
    <n v="0"/>
    <n v="6"/>
    <n v="6"/>
    <m/>
    <m/>
    <n v="0"/>
    <s v="MEMD"/>
    <s v="017 Ministry of Energy and Mineral Development"/>
    <s v="MoFPED, UNBS"/>
  </r>
  <r>
    <x v="14"/>
    <x v="14"/>
    <s v="081"/>
    <s v="Transmission and Distribution"/>
    <s v="0811"/>
    <s v="Increase access and utilization of electricity"/>
    <s v="081108"/>
    <s v="Develop and enforce standards on quality of service in the energy industry"/>
    <m/>
    <m/>
    <s v="08110801"/>
    <s v="Increased compliance to energy standards"/>
    <s v="No. of the stationary laboratory to test DC meters, climatic effects on meters enhanced"/>
    <m/>
    <m/>
    <n v="5"/>
    <n v="1"/>
    <n v="1"/>
    <m/>
    <s v="UNBS"/>
    <s v="154 Uganda National Bureau of Standards"/>
    <s v="Procurement of IT/PT, Climatic Chamber and DC meters test bench "/>
    <n v="1"/>
    <n v="0"/>
    <n v="1"/>
    <n v="1"/>
    <n v="1"/>
    <n v="0"/>
    <n v="0"/>
    <n v="1"/>
    <n v="0.625"/>
    <m/>
    <n v="0"/>
    <n v="0"/>
    <n v="3"/>
    <n v="1"/>
    <m/>
    <m/>
    <n v="0"/>
    <s v="MEMD"/>
    <s v="017 Ministry of Energy and Mineral Development"/>
    <s v="MoICT, MoFPED"/>
  </r>
  <r>
    <x v="14"/>
    <x v="14"/>
    <s v="081"/>
    <s v="Transmission and Distribution"/>
    <s v="0811"/>
    <s v="Increase access and utilization of electricity"/>
    <s v="081108"/>
    <s v="Develop and enforce standards on quality of service in the energy industry"/>
    <m/>
    <m/>
    <s v="08110801"/>
    <s v="Increased compliance to energy standards"/>
    <s v="Accreditation and proficiency testing  of the Electricity meters laboratory"/>
    <m/>
    <n v="3"/>
    <n v="3"/>
    <n v="3"/>
    <n v="3"/>
    <n v="3"/>
    <s v="UNBS"/>
    <s v="154 Uganda National Bureau of Standards"/>
    <s v="Accredited testing laboratory (energy meters, electrical and Materials Laboratories)"/>
    <n v="1"/>
    <n v="1"/>
    <n v="1"/>
    <n v="1"/>
    <n v="1"/>
    <n v="1"/>
    <n v="1"/>
    <n v="1"/>
    <n v="1"/>
    <m/>
    <n v="0"/>
    <n v="2.8"/>
    <n v="2.14"/>
    <n v="1.6"/>
    <m/>
    <m/>
    <n v="0"/>
    <s v="MEMD"/>
    <s v="017 Ministry of Energy and Mineral Development"/>
    <s v="UNBS, MTIC,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lectricity Act, 1999  Amended"/>
    <s v="Number of existing policies and Acts reviewed"/>
    <n v="2"/>
    <n v="2"/>
    <n v="2"/>
    <n v="0"/>
    <n v="0"/>
    <n v="0"/>
    <s v="MEMD"/>
    <s v="017 Ministry of Energy and Mineral Development"/>
    <s v="Gazette the amended Electricity Act"/>
    <n v="1"/>
    <n v="1"/>
    <n v="1"/>
    <n v="0"/>
    <n v="1"/>
    <n v="1"/>
    <n v="1"/>
    <n v="1"/>
    <n v="0.875"/>
    <m/>
    <n v="0"/>
    <n v="0"/>
    <n v="0.2"/>
    <n v="0"/>
    <m/>
    <m/>
    <n v="0"/>
    <s v="MEMD"/>
    <s v="017 Ministry of Energy and Mineral Development"/>
    <s v="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lectricity Act, 1999  Amended"/>
    <m/>
    <m/>
    <m/>
    <m/>
    <m/>
    <m/>
    <m/>
    <m/>
    <e v="#N/A"/>
    <s v="Carry out and implement tax amendment changes/ budgets (including policy proposals and regulations FY22/23)"/>
    <n v="1"/>
    <n v="1"/>
    <n v="1"/>
    <n v="1"/>
    <n v="0"/>
    <n v="1"/>
    <n v="0"/>
    <n v="1"/>
    <n v="0.75"/>
    <m/>
    <n v="0"/>
    <n v="0"/>
    <n v="1.181"/>
    <n v="1.181"/>
    <n v="1.181"/>
    <n v="1.181"/>
    <n v="2.3620000000000001"/>
    <s v="URA"/>
    <s v="141 Uganda Revenue Authority"/>
    <s v="MEMD,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lectricity Act, 1999  Amended"/>
    <m/>
    <m/>
    <m/>
    <m/>
    <m/>
    <m/>
    <m/>
    <m/>
    <e v="#N/A"/>
    <s v="Complete Regulatory Impact Assessment (RIA) for Atomic  Energy"/>
    <n v="1"/>
    <n v="0"/>
    <n v="1"/>
    <n v="0"/>
    <n v="0"/>
    <n v="1"/>
    <n v="0"/>
    <n v="0"/>
    <n v="0.375"/>
    <m/>
    <n v="0"/>
    <n v="0.2"/>
    <n v="0.31"/>
    <n v="0.56000000000000005"/>
    <m/>
    <m/>
    <n v="0"/>
    <s v="MEMD (AEC)"/>
    <s v="017 Ministry of Energy and Mineral Development"/>
    <s v="MEMD, ERA, NEM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s v="Amended Atomic Energy legislation in place"/>
    <m/>
    <m/>
    <m/>
    <n v="1"/>
    <m/>
    <m/>
    <s v=" AEC"/>
    <e v="#N/A"/>
    <s v="Gazette the amended Atomic Energy Act, 2008"/>
    <n v="0"/>
    <n v="0"/>
    <n v="0"/>
    <n v="1"/>
    <n v="1"/>
    <n v="0"/>
    <n v="0"/>
    <n v="1"/>
    <n v="0.375"/>
    <m/>
    <n v="0"/>
    <n v="0"/>
    <n v="0"/>
    <n v="0"/>
    <n v="0"/>
    <n v="0"/>
    <n v="0"/>
    <s v="MEMD (AEC)"/>
    <s v="017 Ministry of Energy and Mineral Development"/>
    <s v="MEMD"/>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m/>
    <m/>
    <m/>
    <m/>
    <m/>
    <m/>
    <m/>
    <m/>
    <e v="#N/A"/>
    <s v="Promotion of the amended Atomic Energy Act, 2008"/>
    <n v="1"/>
    <n v="1"/>
    <n v="0"/>
    <n v="0"/>
    <n v="1"/>
    <n v="1"/>
    <n v="0"/>
    <n v="1"/>
    <n v="0.625"/>
    <m/>
    <n v="0"/>
    <n v="0"/>
    <n v="0"/>
    <n v="0"/>
    <n v="1"/>
    <n v="1"/>
    <n v="2"/>
    <s v="MEMD (AEC)"/>
    <s v="017 Ministry of Energy and Mineral Development"/>
    <s v="MEMD,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m/>
    <m/>
    <m/>
    <m/>
    <m/>
    <m/>
    <m/>
    <m/>
    <e v="#N/A"/>
    <s v="Ratify the relevant international treaties and conventions."/>
    <n v="1"/>
    <n v="1"/>
    <n v="1"/>
    <n v="1"/>
    <n v="0"/>
    <n v="1"/>
    <n v="0"/>
    <n v="1"/>
    <n v="0.75"/>
    <m/>
    <n v="0"/>
    <n v="0"/>
    <n v="0"/>
    <n v="0"/>
    <n v="1"/>
    <n v="1"/>
    <n v="2"/>
    <s v="MEMD (AEC)"/>
    <s v="017 Ministry of Energy and Mineral Development"/>
    <s v="MEMD, MoFA,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m/>
    <m/>
    <m/>
    <m/>
    <m/>
    <m/>
    <m/>
    <m/>
    <e v="#N/A"/>
    <s v="Develop regulations on sitting, construction, operation of nuclear power plants and for other non-nuclear power applications putting issues of gender and equity into consideration."/>
    <n v="1"/>
    <n v="0"/>
    <n v="1"/>
    <n v="0"/>
    <n v="1"/>
    <n v="0"/>
    <n v="0"/>
    <n v="1"/>
    <n v="0.5"/>
    <m/>
    <n v="0"/>
    <n v="0"/>
    <n v="3"/>
    <n v="3"/>
    <n v="3"/>
    <n v="3"/>
    <n v="6"/>
    <s v="MEMD (AEC)"/>
    <s v="017 Ministry of Energy and Mineral Development"/>
    <s v="MEMD,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m/>
    <m/>
    <m/>
    <m/>
    <m/>
    <m/>
    <m/>
    <m/>
    <e v="#N/A"/>
    <s v="Develop and/or adopt international industrial codes for construction and operation of nuclear power plants putting issues of gender and equity into consideration. "/>
    <n v="1"/>
    <n v="1"/>
    <n v="1"/>
    <n v="1"/>
    <n v="1"/>
    <n v="1"/>
    <n v="1"/>
    <n v="1"/>
    <n v="1"/>
    <m/>
    <n v="0"/>
    <n v="0"/>
    <n v="0"/>
    <n v="0"/>
    <n v="0.5"/>
    <n v="0.5"/>
    <n v="1"/>
    <s v="MEMD (AEC)"/>
    <s v="017 Ministry of Energy and Mineral Development"/>
    <s v="MoFA, MEMD,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Atomic Energy Act, 2008 amended"/>
    <m/>
    <m/>
    <m/>
    <m/>
    <m/>
    <m/>
    <m/>
    <m/>
    <e v="#N/A"/>
    <s v="Develop practice specific codes of practice for operation of nuclear power plants and other non-nuclear power applications"/>
    <n v="1"/>
    <n v="1"/>
    <n v="1"/>
    <n v="1"/>
    <n v="0"/>
    <n v="1"/>
    <n v="0"/>
    <n v="1"/>
    <n v="0.75"/>
    <m/>
    <n v="0"/>
    <n v="0"/>
    <n v="0"/>
    <n v="0"/>
    <n v="0.5"/>
    <n v="0.5"/>
    <n v="1"/>
    <s v="MEMD (AEC)"/>
    <s v="017 Ministry of Energy and Mineral Development"/>
    <s v="UNBS, MoD, MEMD, MoS, 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nergy Efficiency and Conservation Legislation developed"/>
    <s v="Energy Efficiency and Conservation Act Enacted"/>
    <m/>
    <m/>
    <n v="1"/>
    <n v="1"/>
    <n v="1"/>
    <m/>
    <m/>
    <e v="#N/A"/>
    <s v="Presentation for Cabinet Approval"/>
    <n v="1"/>
    <n v="0"/>
    <n v="0"/>
    <n v="1"/>
    <n v="1"/>
    <n v="0"/>
    <n v="0"/>
    <n v="1"/>
    <n v="0.5"/>
    <m/>
    <n v="0"/>
    <n v="0"/>
    <n v="0"/>
    <n v="0"/>
    <m/>
    <m/>
    <n v="0"/>
    <s v="MEMD"/>
    <s v="017 Ministry of Energy and Mineral Development"/>
    <s v="ERA, Parliament"/>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nergy Efficiency and Conservation Legislation developed"/>
    <m/>
    <m/>
    <m/>
    <m/>
    <m/>
    <m/>
    <m/>
    <m/>
    <e v="#N/A"/>
    <s v="Presentation for Parliamentary Approval"/>
    <n v="1"/>
    <n v="0"/>
    <n v="0"/>
    <n v="1"/>
    <n v="1"/>
    <n v="1"/>
    <n v="0"/>
    <n v="1"/>
    <n v="0.625"/>
    <m/>
    <n v="0"/>
    <n v="0"/>
    <n v="0"/>
    <n v="0"/>
    <m/>
    <m/>
    <n v="0"/>
    <s v="MEMD"/>
    <s v="017 Ministry of Energy and Mineral Development"/>
    <s v="ERA, Parliament"/>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nergy Efficiency and Conservation Legislation developed"/>
    <m/>
    <m/>
    <m/>
    <m/>
    <m/>
    <m/>
    <m/>
    <m/>
    <e v="#N/A"/>
    <s v="Presentation for Ascentment and Enactment of the ACT"/>
    <n v="1"/>
    <n v="1"/>
    <n v="1"/>
    <n v="1"/>
    <n v="1"/>
    <n v="1"/>
    <n v="1"/>
    <n v="1"/>
    <n v="1"/>
    <m/>
    <n v="0"/>
    <n v="0"/>
    <n v="0"/>
    <n v="0"/>
    <m/>
    <m/>
    <n v="0"/>
    <s v="MEMD"/>
    <s v="017 Ministry of Energy and Mineral Development"/>
    <s v="ERA, Parliament"/>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1"/>
    <s v="Energy Efficiency and Conservation Legislation developed"/>
    <m/>
    <m/>
    <m/>
    <m/>
    <m/>
    <m/>
    <m/>
    <m/>
    <e v="#N/A"/>
    <s v="Sensitization, Awareness creation and dissemination"/>
    <n v="1"/>
    <n v="1"/>
    <n v="1"/>
    <n v="0"/>
    <n v="1"/>
    <n v="1"/>
    <n v="1"/>
    <n v="1"/>
    <n v="0.875"/>
    <m/>
    <n v="0"/>
    <n v="0"/>
    <n v="0"/>
    <n v="0"/>
    <n v="1.5"/>
    <n v="1.5"/>
    <n v="3"/>
    <s v="MEMD"/>
    <s v="017 Ministry of Energy and Mineral Development"/>
    <s v="ERA"/>
  </r>
  <r>
    <x v="14"/>
    <x v="14"/>
    <s v="081"/>
    <s v="Transmission and Distribution"/>
    <s v="0811"/>
    <s v="Increase access and utilization of electricity"/>
    <s v="081109"/>
    <s v="Review the existing Acts (Electricity Act, 1999 and Atomic Energy Act, 2008) and develop legislation for geothermal to promote exploration, development and utilization of Uganda’s geothermal resources for social and economic transformation and energy efficiency"/>
    <m/>
    <m/>
    <s v="08110902"/>
    <s v="Geothermal legislation developed"/>
    <s v="Geothermal legislation in place"/>
    <n v="0"/>
    <n v="0"/>
    <n v="0"/>
    <n v="0"/>
    <n v="1"/>
    <n v="0"/>
    <s v="ERA"/>
    <e v="#N/A"/>
    <s v="Finalize the geothermal legislation"/>
    <n v="1"/>
    <n v="0"/>
    <n v="0"/>
    <n v="1"/>
    <n v="1"/>
    <n v="1"/>
    <n v="0"/>
    <n v="1"/>
    <n v="0.625"/>
    <m/>
    <n v="0"/>
    <n v="0"/>
    <n v="0.2"/>
    <n v="0.2"/>
    <m/>
    <m/>
    <n v="0"/>
    <s v="MEMD"/>
    <s v="017 Ministry of Energy and Mineral Development"/>
    <s v="ERA"/>
  </r>
  <r>
    <x v="14"/>
    <x v="14"/>
    <s v="082"/>
    <s v="Generation"/>
    <s v="0822"/>
    <s v="Increase electricity generation capacity"/>
    <s v="082201"/>
    <s v="Develop medium and small power plants (Muzizi HPP, Nyagak, biogas cogeneration)"/>
    <m/>
    <m/>
    <s v="08220101"/>
    <s v="Muzizi HPP, Nyagak and biogas cogenerations plants constructed"/>
    <s v="Installed electricity generation capacity, MW "/>
    <n v="210.12"/>
    <n v="308.3"/>
    <n v="50.5"/>
    <n v="50.5"/>
    <n v="50.5"/>
    <n v="50.5"/>
    <s v="UEGCL"/>
    <e v="#N/A"/>
    <s v="Construction of Nyagak III (6.5MW) and Muzizi (44MW)HPPs, Agago Achwa I,"/>
    <n v="1"/>
    <n v="0"/>
    <n v="0"/>
    <n v="1"/>
    <n v="1"/>
    <n v="1"/>
    <n v="0"/>
    <n v="1"/>
    <n v="0.625"/>
    <m/>
    <n v="1"/>
    <n v="0"/>
    <n v="0"/>
    <n v="0"/>
    <m/>
    <m/>
    <n v="0"/>
    <s v="MEMD (UEGCL)"/>
    <s v="017 Ministry of Energy and Mineral Development"/>
    <s v="MEMD"/>
  </r>
  <r>
    <x v="14"/>
    <x v="14"/>
    <s v="082"/>
    <s v="Generation"/>
    <s v="0822"/>
    <s v="Increase electricity generation capacity"/>
    <s v="082201"/>
    <s v="Develop medium and small power plants (Muzizi HPP, Nyagak, biogas cogeneration)"/>
    <m/>
    <m/>
    <s v="08220101"/>
    <s v="Muzizi HPP, Nyagak and biogas cogenerations plants constructed"/>
    <s v="Muzizi HPP"/>
    <n v="0"/>
    <n v="0"/>
    <n v="0"/>
    <n v="0"/>
    <n v="0"/>
    <n v="48"/>
    <s v="UEGCL"/>
    <e v="#N/A"/>
    <s v="Completion of construction of  (Kikagati 16MW, Nyamagasani I (5.9MW), Nyamagasani II (15MW) and Agago Achwa (44MW)"/>
    <n v="1"/>
    <n v="0"/>
    <n v="0"/>
    <n v="1"/>
    <n v="1"/>
    <n v="0"/>
    <n v="1"/>
    <n v="1"/>
    <n v="0.625"/>
    <m/>
    <n v="0"/>
    <n v="0"/>
    <n v="1"/>
    <n v="0"/>
    <m/>
    <m/>
    <n v="0"/>
    <s v="MEMD (UEGCL)"/>
    <s v="017 Ministry of Energy and Mineral Development"/>
    <s v="MEMD"/>
  </r>
  <r>
    <x v="14"/>
    <x v="14"/>
    <s v="082"/>
    <s v="Generation"/>
    <s v="0822"/>
    <s v="Increase electricity generation capacity"/>
    <s v="082201"/>
    <s v="Develop medium and small power plants (Muzizi HPP, Nyagak, biogas cogeneration)"/>
    <m/>
    <m/>
    <s v="08220101"/>
    <s v="Muzizi HPP, Nyagak and biogas cogenerations plants constructed"/>
    <s v="Nyagak III"/>
    <n v="0"/>
    <n v="0"/>
    <s v="6.6MW"/>
    <n v="0"/>
    <n v="0"/>
    <n v="0"/>
    <s v="UEGCL"/>
    <e v="#N/A"/>
    <s v="Completion of SCOUL cogeneration Project(23MW)"/>
    <n v="1"/>
    <n v="0"/>
    <n v="0"/>
    <n v="1"/>
    <n v="1"/>
    <n v="1"/>
    <n v="0"/>
    <n v="1"/>
    <n v="0.625"/>
    <m/>
    <n v="0"/>
    <n v="0"/>
    <n v="1"/>
    <n v="0"/>
    <m/>
    <m/>
    <n v="0"/>
    <s v="MEMD (UEGCL)"/>
    <s v="017 Ministry of Energy and Mineral Development"/>
    <s v="ERA, UEDCL, UETCL"/>
  </r>
  <r>
    <x v="14"/>
    <x v="14"/>
    <s v="082"/>
    <s v="Generation"/>
    <s v="0822"/>
    <s v="Increase electricity generation capacity"/>
    <s v="082201"/>
    <s v="Develop medium and small power plants (Muzizi HPP, Nyagak, biogas cogeneration)"/>
    <m/>
    <m/>
    <s v="08220101"/>
    <s v="Muzizi HPP, Nyagak and biogas cogenerations plants constructed"/>
    <m/>
    <m/>
    <m/>
    <m/>
    <m/>
    <m/>
    <m/>
    <m/>
    <e v="#N/A"/>
    <s v="Monitoring and supervision of operational power plants."/>
    <n v="1"/>
    <n v="1"/>
    <n v="1"/>
    <n v="0"/>
    <n v="1"/>
    <n v="1"/>
    <n v="1"/>
    <n v="1"/>
    <n v="0.875"/>
    <m/>
    <n v="0"/>
    <n v="0"/>
    <n v="1"/>
    <n v="0"/>
    <n v="1"/>
    <n v="0.5"/>
    <n v="1.5"/>
    <s v="MEMD (ERA)"/>
    <s v="017 Ministry of Energy and Mineral Development"/>
    <s v="UEGCL, UETCL, UEDCL"/>
  </r>
  <r>
    <x v="14"/>
    <x v="14"/>
    <s v="082"/>
    <s v="Generation"/>
    <s v="0822"/>
    <s v="Increase electricity generation capacity"/>
    <s v="082201"/>
    <s v="Develop medium and small power plants (Muzizi HPP, Nyagak, biogas cogeneration)"/>
    <m/>
    <m/>
    <s v="08220101"/>
    <s v="Muzizi HPP, Nyagak and biogas cogenerations plants constructed"/>
    <m/>
    <m/>
    <m/>
    <m/>
    <m/>
    <m/>
    <m/>
    <m/>
    <e v="#N/A"/>
    <s v="Land Acquisition for the construction of Muzizi HPPP with consideration of the marginalized groups."/>
    <n v="1"/>
    <n v="1"/>
    <n v="1"/>
    <n v="0"/>
    <n v="1"/>
    <n v="1"/>
    <n v="1"/>
    <n v="1"/>
    <n v="0.875"/>
    <m/>
    <n v="1"/>
    <n v="0"/>
    <n v="0"/>
    <n v="0"/>
    <m/>
    <m/>
    <n v="0"/>
    <s v="MoLHUD"/>
    <s v="012 Ministry of Lands, Housing &amp; Urban Development"/>
    <s v="UEGCL, MEMD, ERA"/>
  </r>
  <r>
    <x v="14"/>
    <x v="14"/>
    <s v="082"/>
    <s v="Generation"/>
    <s v="0822"/>
    <s v="Increase electricity generation capacity"/>
    <s v="082201"/>
    <s v="Develop medium and small power plants (Muzizi HPP, Nyagak, biogas cogeneration)"/>
    <m/>
    <m/>
    <s v="08220101"/>
    <s v="Muzizi HPP, Nyagak and biogas cogenerations plants constructed"/>
    <s v="Biogas cogeneration plant constructed "/>
    <n v="0"/>
    <n v="0"/>
    <n v="0"/>
    <s v="3MW"/>
    <n v="0"/>
    <n v="0"/>
    <s v="UEGCL"/>
    <e v="#N/A"/>
    <s v="Construction of Biogas plants"/>
    <n v="1"/>
    <n v="0"/>
    <n v="0"/>
    <n v="1"/>
    <n v="1"/>
    <n v="1"/>
    <n v="0"/>
    <n v="1"/>
    <n v="0.625"/>
    <m/>
    <n v="0"/>
    <n v="0"/>
    <n v="1"/>
    <n v="1"/>
    <n v="1"/>
    <n v="1"/>
    <n v="2"/>
    <s v="MEMD (UEGCL)"/>
    <s v="017 Ministry of Energy and Mineral Development"/>
    <s v="UEDCL, UETCL"/>
  </r>
  <r>
    <x v="14"/>
    <x v="14"/>
    <s v="082"/>
    <s v="Generation"/>
    <s v="0822"/>
    <s v="Increase electricity generation capacity"/>
    <s v="082201"/>
    <s v="Develop medium and small power plants (Muzizi HPP, Nyagak, biogas cogeneration)"/>
    <m/>
    <m/>
    <s v="08220101"/>
    <s v="5km power evacuation lines for Muzizi HPP Constructed"/>
    <s v="Distance (km) of Evacuation Transmission line"/>
    <n v="0"/>
    <n v="0"/>
    <n v="0"/>
    <n v="5"/>
    <m/>
    <m/>
    <s v="MEMD"/>
    <s v="017 Ministry of Energy and Mineral Development"/>
    <s v="Construction of 5km 132kV  FortPortal - Hoima – Muzizi Transmission Line"/>
    <n v="1"/>
    <n v="1"/>
    <n v="0"/>
    <n v="1"/>
    <n v="1"/>
    <n v="1"/>
    <n v="0"/>
    <n v="1"/>
    <n v="0.75"/>
    <m/>
    <n v="1"/>
    <n v="0"/>
    <n v="4"/>
    <n v="0"/>
    <m/>
    <m/>
    <n v="0"/>
    <s v="MEMD (UETCL)"/>
    <s v="017 Ministry of Energy and Mineral Development"/>
    <s v="MEMD"/>
  </r>
  <r>
    <x v="14"/>
    <x v="14"/>
    <s v="082"/>
    <s v="Generation"/>
    <s v="0822"/>
    <s v="Increase electricity generation capacity"/>
    <s v="082201"/>
    <s v="Develop medium and small power plants (Muzizi HPP, Nyagak, biogas cogeneration)"/>
    <m/>
    <m/>
    <s v="08220101"/>
    <s v="79km power evacuation line Mbale-Bulambuli  to evacuate Siti 2 HPP, Sisi, Simu constructed"/>
    <s v="Distance (km) of Evacuation Transmission line"/>
    <n v="0"/>
    <n v="0"/>
    <n v="0"/>
    <n v="0"/>
    <n v="0"/>
    <n v="79"/>
    <s v="MEMD"/>
    <s v="017 Ministry of Energy and Mineral Development"/>
    <s v="Construction of 79km 132kV – Mbale- Bulambuli Line and associated substations "/>
    <n v="1"/>
    <n v="0"/>
    <n v="0"/>
    <n v="1"/>
    <n v="1"/>
    <n v="1"/>
    <n v="0"/>
    <n v="1"/>
    <n v="0.625"/>
    <n v="1"/>
    <n v="0"/>
    <n v="61.88"/>
    <n v="32.56"/>
    <n v="32.56"/>
    <n v="19"/>
    <n v="16.8"/>
    <n v="35.799999999999997"/>
    <s v="MEMD (UETCL)"/>
    <s v="017 Ministry of Energy and Mineral Development"/>
    <s v="MEMD"/>
  </r>
  <r>
    <x v="14"/>
    <x v="14"/>
    <s v="082"/>
    <s v="Generation"/>
    <s v="0822"/>
    <s v="Increase electricity generation capacity"/>
    <s v="082201"/>
    <s v="Develop medium and small power plants (Muzizi HPP, Nyagak, biogas cogeneration)"/>
    <m/>
    <m/>
    <s v="08220101"/>
    <s v="79km power evacuation line Mbale-Bulambuli  to evacuate Siti 2 HPP, Sisi, Simu constructed"/>
    <s v="Kilometers of land Valued for  Acquisition"/>
    <m/>
    <m/>
    <m/>
    <n v="5"/>
    <m/>
    <n v="79"/>
    <s v="MEMD"/>
    <s v="017 Ministry of Energy and Mineral Development"/>
    <s v="Valuation for  land Acquisition"/>
    <n v="0"/>
    <n v="0"/>
    <n v="0"/>
    <n v="1"/>
    <n v="1"/>
    <n v="1"/>
    <n v="0"/>
    <n v="1"/>
    <n v="0.5"/>
    <m/>
    <n v="0"/>
    <n v="5"/>
    <n v="1"/>
    <n v="15"/>
    <n v="0.5"/>
    <n v="1"/>
    <n v="1.5"/>
    <s v="MoLHUD"/>
    <s v="012 Ministry of Lands, Housing &amp; Urban Development"/>
    <s v="MEMD, UEGCL"/>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s v="Generation Capacity added"/>
    <n v="630"/>
    <m/>
    <n v="600"/>
    <m/>
    <n v="72"/>
    <n v="100"/>
    <s v="MEMD"/>
    <s v="017 Ministry of Energy and Mineral Development"/>
    <s v="Successful completion of the Defects Liability Period (DLP) for Isimba HPP &amp; Associated Infrastructure as well as CDAP implementation for Isimba HPP."/>
    <n v="1"/>
    <n v="0"/>
    <n v="0"/>
    <n v="1"/>
    <n v="1"/>
    <n v="1"/>
    <n v="0"/>
    <n v="1"/>
    <n v="0.625"/>
    <m/>
    <n v="1"/>
    <n v="6"/>
    <n v="20"/>
    <n v="3"/>
    <n v="0"/>
    <n v="0"/>
    <n v="0"/>
    <s v="MEMD (UEGCL)"/>
    <s v="017 Ministry of Energy and Mineral Development"/>
    <s v="MEMD, UEDCL"/>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s v="Large generation plants designs finalized"/>
    <n v="0"/>
    <n v="0"/>
    <n v="1"/>
    <n v="2"/>
    <n v="3"/>
    <n v="3"/>
    <s v="MEMD"/>
    <s v="017 Ministry of Energy and Mineral Development"/>
    <s v="Completion of construction of Karuma HPP"/>
    <n v="1"/>
    <n v="0"/>
    <n v="0"/>
    <n v="1"/>
    <n v="1"/>
    <n v="1"/>
    <n v="0"/>
    <n v="1"/>
    <n v="0.625"/>
    <m/>
    <n v="1"/>
    <n v="72"/>
    <n v="25"/>
    <n v="0"/>
    <m/>
    <m/>
    <n v="0"/>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Completion of feasibility study and commencement of construction works for Ayago HPP (840 MW)"/>
    <n v="0"/>
    <n v="0"/>
    <n v="1"/>
    <n v="0"/>
    <n v="1"/>
    <n v="0"/>
    <n v="0"/>
    <n v="1"/>
    <n v="0.375"/>
    <m/>
    <n v="0"/>
    <n v="0"/>
    <n v="1"/>
    <n v="0"/>
    <n v="0"/>
    <n v="0"/>
    <n v="0"/>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Commencement of Construction Works for Kiba HPP."/>
    <n v="1"/>
    <n v="1"/>
    <n v="0"/>
    <n v="1"/>
    <n v="1"/>
    <n v="1"/>
    <n v="0"/>
    <n v="1"/>
    <n v="0.75"/>
    <m/>
    <n v="0"/>
    <n v="0"/>
    <n v="0"/>
    <n v="0"/>
    <m/>
    <m/>
    <n v="0"/>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Completion of feasibility study for Oriang HPP and licencing"/>
    <n v="1"/>
    <n v="0"/>
    <n v="0"/>
    <n v="1"/>
    <n v="1"/>
    <n v="1"/>
    <n v="0"/>
    <n v="1"/>
    <n v="0.625"/>
    <m/>
    <n v="0"/>
    <n v="0"/>
    <n v="1"/>
    <n v="0"/>
    <m/>
    <m/>
    <n v="0"/>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Rehabilitation of Nalubaale HPP"/>
    <n v="1"/>
    <n v="1"/>
    <n v="0"/>
    <n v="0"/>
    <n v="1"/>
    <n v="1"/>
    <n v="0"/>
    <n v="1"/>
    <n v="0.625"/>
    <m/>
    <n v="0"/>
    <n v="0"/>
    <n v="10"/>
    <n v="0"/>
    <n v="1"/>
    <n v="1"/>
    <n v="2"/>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Execution of Factory Acceptance Tests for projects."/>
    <n v="1"/>
    <n v="0"/>
    <n v="0"/>
    <n v="1"/>
    <n v="1"/>
    <n v="1"/>
    <n v="0"/>
    <n v="1"/>
    <n v="0.625"/>
    <m/>
    <n v="0"/>
    <n v="0"/>
    <n v="0"/>
    <n v="0"/>
    <n v="0"/>
    <n v="0"/>
    <n v="0"/>
    <s v="MEMD (UEG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ESIA/RAP implementation for projects."/>
    <n v="1"/>
    <n v="1"/>
    <n v="1"/>
    <n v="1"/>
    <n v="1"/>
    <n v="1"/>
    <n v="1"/>
    <n v="1"/>
    <n v="1"/>
    <m/>
    <n v="0"/>
    <n v="0"/>
    <n v="0"/>
    <n v="0"/>
    <m/>
    <m/>
    <n v="0"/>
    <s v="MEMD (UEGCL)"/>
    <s v="017 Ministry of Energy and Mineral Development"/>
    <s v="MoLHUD, NEMA"/>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CDAP implementation for projects Karuma HPP"/>
    <n v="1"/>
    <n v="0"/>
    <n v="0"/>
    <n v="1"/>
    <n v="1"/>
    <n v="0"/>
    <n v="0"/>
    <n v="1"/>
    <n v="0.5"/>
    <m/>
    <n v="1"/>
    <n v="0"/>
    <n v="18"/>
    <n v="0"/>
    <n v="0"/>
    <n v="0"/>
    <n v="0"/>
    <s v="MEMD (UEGCL)"/>
    <s v="017 Ministry of Energy and Mineral Development"/>
    <s v="MoLHU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Assessments of the hydrological river regimes"/>
    <n v="1"/>
    <n v="0"/>
    <n v="0"/>
    <n v="1"/>
    <n v="1"/>
    <n v="1"/>
    <n v="0"/>
    <n v="1"/>
    <n v="0.625"/>
    <m/>
    <n v="0"/>
    <n v="0"/>
    <n v="2"/>
    <n v="0"/>
    <n v="2"/>
    <n v="2"/>
    <n v="4"/>
    <s v="MEMD (UEGCL)"/>
    <s v="017 Ministry of Energy and Mineral Development"/>
    <s v="NEMA"/>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m/>
    <m/>
    <m/>
    <m/>
    <m/>
    <m/>
    <m/>
    <m/>
    <e v="#N/A"/>
    <s v="Monitoring and supervision of feasibility studies."/>
    <n v="1"/>
    <n v="0"/>
    <n v="0"/>
    <n v="1"/>
    <n v="1"/>
    <n v="1"/>
    <n v="0"/>
    <n v="1"/>
    <n v="0.625"/>
    <m/>
    <n v="0"/>
    <n v="0"/>
    <n v="0"/>
    <n v="0"/>
    <m/>
    <m/>
    <n v="0"/>
    <s v="MEMD (UEGCL)"/>
    <s v="017 Ministry of Energy and Mineral Development"/>
    <s v="ERA, MEMD"/>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s v="Updated Hydropower Master Plan"/>
    <n v="1"/>
    <n v="1"/>
    <n v="1"/>
    <n v="1"/>
    <n v="0"/>
    <n v="0"/>
    <s v="MEMD"/>
    <s v="017 Ministry of Energy and Mineral Development"/>
    <s v="Update the Hydropower Master plan"/>
    <n v="1"/>
    <n v="1"/>
    <n v="0"/>
    <n v="1"/>
    <n v="1"/>
    <n v="0"/>
    <n v="0"/>
    <n v="1"/>
    <n v="0.625"/>
    <m/>
    <n v="0"/>
    <n v="0"/>
    <n v="1"/>
    <n v="0"/>
    <n v="0"/>
    <n v="0"/>
    <n v="0"/>
    <s v="MEMD (UEGCL)"/>
    <s v="017 Ministry of Energy and Mineral Development"/>
    <s v="MEMD, NPA"/>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s v="4 MW of solar power plant at Busitema "/>
    <n v="0"/>
    <n v="4"/>
    <n v="0"/>
    <n v="0"/>
    <n v="0"/>
    <m/>
    <s v="MEMD"/>
    <s v="017 Ministry of Energy and Mineral Development"/>
    <s v="4MW  Busitema solar power plant"/>
    <n v="1"/>
    <n v="1"/>
    <n v="1"/>
    <n v="1"/>
    <n v="1"/>
    <n v="1"/>
    <n v="1"/>
    <n v="1"/>
    <n v="1"/>
    <m/>
    <n v="0"/>
    <n v="0.8"/>
    <n v="1.2"/>
    <n v="0"/>
    <n v="2"/>
    <n v="0"/>
    <n v="2"/>
    <s v="MEMD"/>
    <s v="017 Ministry of Energy and Mineral Development"/>
    <s v="UEGCL"/>
  </r>
  <r>
    <x v="14"/>
    <x v="14"/>
    <s v="082"/>
    <s v="Generation"/>
    <s v="0822"/>
    <s v="Increase electricity generation capacity"/>
    <s v="082202"/>
    <s v="Undertake preliminary development of large generation plants (construction for Ayago 840 MW, feasibility for Kiba 330 MW and Oriang 392 MW)"/>
    <m/>
    <m/>
    <s v="08220201"/>
    <s v="Large generation plants initial activities finalized"/>
    <s v="4MW of solar power plant at  Jinja"/>
    <n v="0"/>
    <n v="0"/>
    <n v="0"/>
    <n v="0"/>
    <n v="4"/>
    <m/>
    <s v="MEMD"/>
    <s v="017 Ministry of Energy and Mineral Development"/>
    <s v="4MW in Jinja "/>
    <n v="1"/>
    <n v="0"/>
    <n v="0"/>
    <n v="1"/>
    <n v="1"/>
    <n v="1"/>
    <n v="0"/>
    <n v="1"/>
    <n v="0.625"/>
    <n v="1"/>
    <n v="0"/>
    <n v="0"/>
    <n v="0"/>
    <n v="0"/>
    <n v="2"/>
    <n v="2"/>
    <n v="4"/>
    <s v="MEMD"/>
    <s v="017 Ministry of Energy and Mineral Development"/>
    <s v="UEGCL"/>
  </r>
  <r>
    <x v="14"/>
    <x v="14"/>
    <s v="082"/>
    <s v="Generation"/>
    <s v="0822"/>
    <s v="Increase electricity generation capacity"/>
    <s v="082202"/>
    <s v="Undertake preliminary development of large generation plants (construction for Ayago 840 MW, feasibility for Kiba 330 MW and Oriang 392 MW)"/>
    <m/>
    <m/>
    <s v="08220201"/>
    <s v="EIA recommendations implemented"/>
    <s v="No. of EIA recommendations implemented"/>
    <n v="0"/>
    <n v="0"/>
    <n v="1"/>
    <n v="2"/>
    <n v="3"/>
    <n v="3"/>
    <s v="MEMD/ NEMA"/>
    <e v="#N/A"/>
    <s v="Implementation of Environment and social  management plans"/>
    <n v="1"/>
    <n v="0"/>
    <n v="1"/>
    <n v="1"/>
    <n v="1"/>
    <n v="1"/>
    <n v="1"/>
    <n v="1"/>
    <n v="0.875"/>
    <n v="1"/>
    <n v="0"/>
    <n v="2"/>
    <n v="2"/>
    <n v="2"/>
    <n v="1"/>
    <n v="1"/>
    <n v="2"/>
    <s v="MEMD"/>
    <s v="017 Ministry of Energy and Mineral Development"/>
    <s v="NEMA"/>
  </r>
  <r>
    <x v="14"/>
    <x v="14"/>
    <s v="082"/>
    <s v="Generation"/>
    <s v="0822"/>
    <s v="Increase electricity generation capacity"/>
    <s v="082202"/>
    <s v="Undertake preliminary development of large generation plants (construction for Ayago 840 MW, feasibility for Kiba 330 MW and Oriang 392 MW)"/>
    <m/>
    <m/>
    <s v="08220202"/>
    <s v="EIA recommendations implemented"/>
    <s v="No. of SEA undertaken"/>
    <n v="0"/>
    <n v="0"/>
    <n v="2"/>
    <n v="2"/>
    <n v="2"/>
    <n v="2"/>
    <s v="MEMD/ NEMA"/>
    <e v="#N/A"/>
    <s v="Carry out environment audits on projects putting issues of gender and equity into consideration."/>
    <n v="1"/>
    <n v="1"/>
    <n v="1"/>
    <n v="0"/>
    <n v="1"/>
    <n v="0"/>
    <n v="1"/>
    <n v="1"/>
    <n v="0.75"/>
    <n v="1"/>
    <n v="0"/>
    <n v="0"/>
    <n v="0.5"/>
    <n v="0.5"/>
    <n v="1"/>
    <n v="1"/>
    <n v="2"/>
    <s v="MEMD"/>
    <s v="017 Ministry of Energy and Mineral Development"/>
    <s v="NEMA"/>
  </r>
  <r>
    <x v="14"/>
    <x v="14"/>
    <s v="082"/>
    <s v="Generation"/>
    <s v="0822"/>
    <s v="Increase electricity generation capacity"/>
    <s v="082202"/>
    <s v="Undertake preliminary development of large generation plants (construction for Ayago 840 MW, feasibility for Kiba 330 MW and Oriang 392 MW)"/>
    <m/>
    <m/>
    <s v="08220202"/>
    <s v="EIA recommendations implemented"/>
    <m/>
    <m/>
    <m/>
    <m/>
    <m/>
    <m/>
    <m/>
    <m/>
    <e v="#N/A"/>
    <s v="Undertake Gender inclusion activities"/>
    <n v="0"/>
    <n v="0"/>
    <n v="1"/>
    <n v="1"/>
    <n v="1"/>
    <n v="0"/>
    <n v="0"/>
    <n v="1"/>
    <n v="0.5"/>
    <m/>
    <n v="0"/>
    <n v="0"/>
    <n v="0.1"/>
    <n v="0.2"/>
    <n v="0.2"/>
    <n v="0.2"/>
    <n v="0.4"/>
    <s v="MEMD"/>
    <s v="017 Ministry of Energy and Mineral Development"/>
    <s v="MoGLSD"/>
  </r>
  <r>
    <x v="14"/>
    <x v="14"/>
    <s v="082"/>
    <s v="Generation"/>
    <s v="0822"/>
    <s v="Increase electricity generation capacity"/>
    <s v="082202"/>
    <s v="Undertake preliminary development of large generation plants (construction for Ayago 840 MW, feasibility for Kiba 330 MW and Oriang 392 MW)"/>
    <m/>
    <m/>
    <s v="08220202"/>
    <s v="EIA recommendations implemented"/>
    <s v="No. of SEA undertaken"/>
    <n v="0"/>
    <n v="0"/>
    <n v="2"/>
    <n v="2"/>
    <n v="2"/>
    <n v="2"/>
    <s v="MEMD/ NEMA"/>
    <e v="#N/A"/>
    <s v="Carry out strategic Environment assessments (SEA) for Plans, Programmes and Policies."/>
    <n v="1"/>
    <n v="0"/>
    <n v="0"/>
    <n v="1"/>
    <n v="1"/>
    <n v="0"/>
    <n v="1"/>
    <n v="1"/>
    <n v="0.625"/>
    <n v="1"/>
    <n v="0"/>
    <m/>
    <m/>
    <m/>
    <n v="1"/>
    <n v="1"/>
    <n v="2"/>
    <s v="MEMD"/>
    <s v="017 Ministry of Energy and Mineral Development"/>
    <s v="MoGLSD"/>
  </r>
  <r>
    <x v="14"/>
    <x v="14"/>
    <s v="082"/>
    <s v="Generation"/>
    <s v="0822"/>
    <s v="Increase electricity generation capacity"/>
    <s v="082202"/>
    <s v="Undertake preliminary development of large generation plants (construction for Ayago 840 MW, feasibility for Kiba 330 MW and Oriang 392 MW)"/>
    <m/>
    <m/>
    <s v="08220203"/>
    <s v="Construction of 72km Gulu-Agago Transmission line to evacuate Agago-Achwa HPP"/>
    <s v="Distance (km) of Evacuation Transmission line "/>
    <n v="0"/>
    <n v="0"/>
    <n v="0"/>
    <n v="72"/>
    <n v="0"/>
    <m/>
    <s v="MEMD"/>
    <s v="017 Ministry of Energy and Mineral Development"/>
    <s v="Construction of 132kV Gulu-Agago Transmission line"/>
    <n v="1"/>
    <n v="1"/>
    <n v="1"/>
    <n v="0"/>
    <n v="1"/>
    <n v="1"/>
    <n v="1"/>
    <n v="1"/>
    <n v="0.875"/>
    <m/>
    <n v="1"/>
    <n v="8.26"/>
    <n v="50.21"/>
    <n v="67.209999999999994"/>
    <m/>
    <m/>
    <n v="0"/>
    <s v="MEMD (UETCL)"/>
    <s v="017 Ministry of Energy and Mineral Development"/>
    <s v="MEMD"/>
  </r>
  <r>
    <x v="14"/>
    <x v="14"/>
    <s v="082"/>
    <s v="Generation"/>
    <s v="0822"/>
    <s v="Increase electricity generation capacity"/>
    <s v="082202"/>
    <s v="Undertake preliminary development of large generation plants (construction for Ayago 840 MW, feasibility for Kiba 330 MW and Oriang 392 MW)"/>
    <m/>
    <m/>
    <s v="08220203"/>
    <s v="Construction of 72km Gulu-Agago Transmission line to evacuate Agago-Achwa HPP"/>
    <s v="Kilometers of land Valued for  Acquisition"/>
    <m/>
    <m/>
    <n v="72"/>
    <m/>
    <m/>
    <n v="10"/>
    <s v="MEMD"/>
    <s v="017 Ministry of Energy and Mineral Development"/>
    <s v="Valuation for  land Acquisition"/>
    <n v="1"/>
    <n v="1"/>
    <n v="1"/>
    <n v="1"/>
    <n v="1"/>
    <n v="1"/>
    <n v="1"/>
    <n v="1"/>
    <n v="1"/>
    <m/>
    <n v="1"/>
    <n v="0"/>
    <n v="0.5"/>
    <n v="0"/>
    <m/>
    <m/>
    <n v="0"/>
    <s v="MoLHUD"/>
    <s v="012 Ministry of Lands, Housing &amp; Urban Development"/>
    <s v="MEMD, UETCL"/>
  </r>
  <r>
    <x v="14"/>
    <x v="14"/>
    <s v="082"/>
    <s v="Generation"/>
    <s v="0822"/>
    <s v="Increase electricity generation capacity"/>
    <s v="082202"/>
    <s v="Undertake preliminary development of large generation plants (construction for Ayago 840 MW, feasibility for Kiba 330 MW and Oriang 392 MW)"/>
    <m/>
    <m/>
    <s v="08220204"/>
    <s v="GOU take over operation of the Namanve thermal power plant – 50MW"/>
    <s v="Due diligence study  report "/>
    <m/>
    <n v="1"/>
    <n v="1"/>
    <m/>
    <m/>
    <m/>
    <s v="MEMD"/>
    <s v="017 Ministry of Energy and Mineral Development"/>
    <s v="Complete the due diligence study"/>
    <n v="1"/>
    <n v="1"/>
    <n v="1"/>
    <n v="1"/>
    <n v="1"/>
    <n v="0"/>
    <n v="1"/>
    <n v="1"/>
    <n v="0.875"/>
    <m/>
    <n v="0"/>
    <n v="0"/>
    <n v="0"/>
    <n v="0"/>
    <m/>
    <m/>
    <n v="0"/>
    <s v="MEMD"/>
    <s v="017 Ministry of Energy and Mineral Development"/>
    <s v="UEGCL"/>
  </r>
  <r>
    <x v="14"/>
    <x v="14"/>
    <s v="082"/>
    <s v="Generation"/>
    <s v="0822"/>
    <s v="Increase electricity generation capacity"/>
    <s v="082202"/>
    <s v="Undertake preliminary development of large generation plants (construction for Ayago 840 MW, feasibility for Kiba 330 MW and Oriang 392 MW)"/>
    <m/>
    <m/>
    <s v="08220204"/>
    <s v="GOU take over operation of the Namanve thermal power plant – 50MW"/>
    <s v="New Agreements (PPA and IA) signed"/>
    <m/>
    <m/>
    <n v="1"/>
    <m/>
    <m/>
    <m/>
    <s v="MEMD"/>
    <s v="017 Ministry of Energy and Mineral Development"/>
    <s v="Sign new Power Purchase Agreement"/>
    <n v="1"/>
    <n v="0"/>
    <n v="1"/>
    <n v="1"/>
    <n v="1"/>
    <n v="0"/>
    <n v="1"/>
    <n v="1"/>
    <n v="0.75"/>
    <m/>
    <n v="0"/>
    <n v="0"/>
    <n v="0"/>
    <n v="0"/>
    <m/>
    <m/>
    <n v="0"/>
    <s v="MEMD (UEGCL)"/>
    <s v="017 Ministry of Energy and Mineral Development"/>
    <s v="MEMD, ERA"/>
  </r>
  <r>
    <x v="14"/>
    <x v="14"/>
    <s v="082"/>
    <s v="Generation"/>
    <s v="0822"/>
    <s v="Increase electricity generation capacity"/>
    <s v="082202"/>
    <s v="Undertake preliminary development of large generation plants (construction for Ayago 840 MW, feasibility for Kiba 330 MW and Oriang 392 MW)"/>
    <m/>
    <m/>
    <s v="08220204"/>
    <s v="GOU take over operation of the Namanve thermal power plant – 50MW"/>
    <m/>
    <m/>
    <m/>
    <m/>
    <m/>
    <m/>
    <m/>
    <m/>
    <e v="#N/A"/>
    <s v="Sign New Implementation Agreement and monitoring"/>
    <n v="1"/>
    <n v="0"/>
    <n v="0"/>
    <n v="1"/>
    <n v="1"/>
    <n v="0"/>
    <n v="1"/>
    <n v="1"/>
    <n v="0.625"/>
    <m/>
    <n v="0"/>
    <n v="0"/>
    <n v="0.4"/>
    <n v="0.4"/>
    <m/>
    <m/>
    <n v="0"/>
    <s v="MEMD (UEGCL)"/>
    <s v="017 Ministry of Energy and Mineral Development"/>
    <s v="MEMD, ERA"/>
  </r>
  <r>
    <x v="14"/>
    <x v="14"/>
    <s v="082"/>
    <s v="Generation"/>
    <s v="0822"/>
    <s v="Increase electricity generation capacity"/>
    <s v="082203"/>
    <s v="Seek approvals for construction of a nuclear power generation plant"/>
    <m/>
    <m/>
    <s v="08220301"/>
    <s v="Approvals for construction of a nuclear power plant finalized"/>
    <s v="Number of approvals finalized"/>
    <n v="0"/>
    <n v="0"/>
    <n v="1"/>
    <n v="1"/>
    <n v="2"/>
    <n v="1"/>
    <s v="MEMD &amp; ERA "/>
    <e v="#N/A"/>
    <s v="Complete site selection and evaluation"/>
    <n v="1"/>
    <n v="1"/>
    <n v="1"/>
    <n v="1"/>
    <n v="1"/>
    <n v="0"/>
    <n v="1"/>
    <n v="1"/>
    <n v="0.875"/>
    <m/>
    <n v="0"/>
    <n v="3.5"/>
    <n v="3.5"/>
    <n v="3.5"/>
    <m/>
    <m/>
    <n v="0"/>
    <s v="MEMD (AEC)"/>
    <s v="017 Ministry of Energy and Mineral Development"/>
    <s v="NEMA"/>
  </r>
  <r>
    <x v="14"/>
    <x v="14"/>
    <s v="082"/>
    <s v="Generation"/>
    <s v="0822"/>
    <s v="Increase electricity generation capacity"/>
    <s v="082203"/>
    <s v="Seek approvals for construction of a nuclear power generation plant"/>
    <m/>
    <m/>
    <s v="08220301"/>
    <s v="Approvals for construction of a nuclear power plant finalized"/>
    <m/>
    <m/>
    <m/>
    <m/>
    <m/>
    <m/>
    <m/>
    <m/>
    <e v="#N/A"/>
    <s v="Complete feasibility studies for the Nuclear Power Project"/>
    <n v="1"/>
    <n v="1"/>
    <n v="1"/>
    <n v="1"/>
    <n v="1"/>
    <n v="0"/>
    <n v="1"/>
    <n v="1"/>
    <n v="0.875"/>
    <m/>
    <n v="0"/>
    <n v="0"/>
    <n v="0"/>
    <n v="0"/>
    <n v="0"/>
    <n v="0"/>
    <n v="0"/>
    <s v="MEMD (AEC)"/>
    <s v="017 Ministry of Energy and Mineral Development"/>
    <s v="NEMA"/>
  </r>
  <r>
    <x v="14"/>
    <x v="14"/>
    <s v="082"/>
    <s v="Generation"/>
    <s v="0822"/>
    <s v="Increase electricity generation capacity"/>
    <s v="082203"/>
    <s v="Seek approvals for construction of a nuclear power generation plant"/>
    <m/>
    <m/>
    <s v="08220301"/>
    <s v="Approvals for construction of a nuclear power plant finalized"/>
    <m/>
    <m/>
    <m/>
    <m/>
    <m/>
    <m/>
    <m/>
    <m/>
    <e v="#N/A"/>
    <s v="Conduct an Environmental and Social Impact Assessment (ESIA) for the nuclear power project."/>
    <n v="1"/>
    <n v="1"/>
    <n v="1"/>
    <n v="1"/>
    <n v="1"/>
    <n v="1"/>
    <n v="1"/>
    <n v="1"/>
    <n v="1"/>
    <n v="1"/>
    <n v="0"/>
    <n v="0"/>
    <n v="0"/>
    <n v="0"/>
    <n v="2"/>
    <n v="2"/>
    <n v="4"/>
    <s v="NEMA"/>
    <s v="150 National Environment Management Authority"/>
    <s v="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Acquire land for the Nuclear Power Project"/>
    <n v="1"/>
    <n v="1"/>
    <n v="1"/>
    <n v="1"/>
    <n v="1"/>
    <n v="1"/>
    <n v="1"/>
    <n v="1"/>
    <n v="1"/>
    <m/>
    <n v="0"/>
    <n v="0"/>
    <n v="0"/>
    <n v="0"/>
    <m/>
    <m/>
    <n v="0"/>
    <s v="MoLHUD"/>
    <s v="012 Ministry of Lands, Housing &amp; Urban Development"/>
    <s v="MEMD, AEC"/>
  </r>
  <r>
    <x v="14"/>
    <x v="14"/>
    <s v="082"/>
    <s v="Generation"/>
    <s v="0822"/>
    <s v="Increase electricity generation capacity"/>
    <s v="082203"/>
    <s v="Seek approvals for construction of a nuclear power generation plant"/>
    <m/>
    <m/>
    <s v="08220301"/>
    <s v="Approvals for construction of a nuclear power plant finalized"/>
    <m/>
    <m/>
    <m/>
    <m/>
    <m/>
    <m/>
    <m/>
    <m/>
    <e v="#N/A"/>
    <s v="Finalise a nuclear fuel supply strategy"/>
    <n v="1"/>
    <n v="1"/>
    <n v="0"/>
    <n v="1"/>
    <n v="1"/>
    <n v="1"/>
    <n v="0"/>
    <n v="1"/>
    <n v="0.75"/>
    <m/>
    <n v="0"/>
    <n v="0"/>
    <n v="0"/>
    <n v="0"/>
    <n v="0.5"/>
    <n v="0.01"/>
    <n v="0.51"/>
    <s v="MEMD (AEC)"/>
    <s v="017 Ministry of Energy and Mineral Development"/>
    <s v="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Complete a spent fuel and radioactive waste management strategy"/>
    <n v="1"/>
    <n v="1"/>
    <n v="1"/>
    <n v="1"/>
    <n v="1"/>
    <n v="1"/>
    <n v="1"/>
    <n v="1"/>
    <n v="1"/>
    <m/>
    <n v="0"/>
    <n v="0"/>
    <n v="0"/>
    <n v="0"/>
    <n v="0"/>
    <n v="0"/>
    <n v="0"/>
    <s v="MEMD (AEC)"/>
    <s v="017 Ministry of Energy and Mineral Development"/>
    <s v="MEMD, NEMA"/>
  </r>
  <r>
    <x v="14"/>
    <x v="14"/>
    <s v="082"/>
    <s v="Generation"/>
    <s v="0822"/>
    <s v="Increase electricity generation capacity"/>
    <s v="082203"/>
    <s v="Seek approvals for construction of a nuclear power generation plant"/>
    <m/>
    <m/>
    <s v="08220301"/>
    <s v="Approvals for construction of a nuclear power plant finalized"/>
    <m/>
    <m/>
    <m/>
    <m/>
    <m/>
    <m/>
    <m/>
    <m/>
    <e v="#N/A"/>
    <s v="Procure an EPC contractor for the Nuclear Power Project"/>
    <n v="1"/>
    <n v="1"/>
    <n v="1"/>
    <n v="1"/>
    <n v="1"/>
    <n v="0"/>
    <n v="0"/>
    <n v="1"/>
    <n v="0.75"/>
    <m/>
    <n v="0"/>
    <n v="0"/>
    <n v="0"/>
    <n v="0"/>
    <m/>
    <m/>
    <n v="0"/>
    <s v="MEMD (AEC)"/>
    <s v="017 Ministry of Energy and Mineral Development"/>
    <s v="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Develop and approve Preliminary Safety Analysis Report"/>
    <n v="1"/>
    <n v="1"/>
    <n v="0"/>
    <n v="1"/>
    <n v="1"/>
    <n v="1"/>
    <n v="1"/>
    <n v="1"/>
    <n v="0.875"/>
    <m/>
    <n v="0"/>
    <n v="0"/>
    <n v="0"/>
    <n v="0"/>
    <n v="0"/>
    <n v="0"/>
    <n v="0"/>
    <s v="MEMD (AEC)"/>
    <s v="017 Ministry of Energy and Mineral Development"/>
    <s v="NEMA, 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Promote nuclear science and applications in health, industry and research."/>
    <n v="1"/>
    <n v="1"/>
    <n v="0"/>
    <n v="1"/>
    <n v="1"/>
    <n v="1"/>
    <n v="1"/>
    <n v="1"/>
    <n v="0.875"/>
    <m/>
    <n v="0"/>
    <n v="0"/>
    <n v="0"/>
    <n v="0"/>
    <n v="1"/>
    <n v="1"/>
    <n v="2"/>
    <s v="MEMD (AEC)"/>
    <s v="017 Ministry of Energy and Mineral Development"/>
    <s v="MoSTI, 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Establish a licensing criteria and process for nuclear power plants."/>
    <n v="1"/>
    <n v="0"/>
    <n v="1"/>
    <n v="1"/>
    <n v="1"/>
    <n v="1"/>
    <n v="0"/>
    <n v="1"/>
    <n v="0.75"/>
    <m/>
    <n v="0"/>
    <n v="0"/>
    <n v="0"/>
    <n v="0"/>
    <m/>
    <m/>
    <n v="0"/>
    <s v="MEMD (AEC)"/>
    <s v="017 Ministry of Energy and Mineral Development"/>
    <s v="MEMD"/>
  </r>
  <r>
    <x v="14"/>
    <x v="14"/>
    <s v="082"/>
    <s v="Generation"/>
    <s v="0822"/>
    <s v="Increase electricity generation capacity"/>
    <s v="082203"/>
    <s v="Seek approvals for construction of a nuclear power generation plant"/>
    <m/>
    <m/>
    <s v="08220301"/>
    <s v="Approvals for construction of a nuclear power plant finalized"/>
    <m/>
    <m/>
    <m/>
    <m/>
    <m/>
    <m/>
    <m/>
    <m/>
    <e v="#N/A"/>
    <s v="Develop human resources for development and regulation of nuclear power plants."/>
    <n v="1"/>
    <n v="0"/>
    <n v="1"/>
    <n v="1"/>
    <n v="1"/>
    <n v="1"/>
    <n v="0"/>
    <n v="1"/>
    <n v="0.75"/>
    <m/>
    <n v="0"/>
    <n v="0"/>
    <n v="0"/>
    <n v="0"/>
    <n v="1"/>
    <n v="1"/>
    <n v="2"/>
    <s v="MoPS"/>
    <s v="005 Ministry of Public Service"/>
    <s v="MEMD, AEC"/>
  </r>
  <r>
    <x v="14"/>
    <x v="14"/>
    <s v="082"/>
    <s v="Generation"/>
    <s v="0822"/>
    <s v="Increase electricity generation capacity"/>
    <s v="082203"/>
    <s v="Seek approvals for construction of a nuclear power generation plant"/>
    <m/>
    <m/>
    <s v="08220301"/>
    <s v="Approvals for construction of a nuclear power plant finalized"/>
    <m/>
    <m/>
    <m/>
    <m/>
    <m/>
    <m/>
    <m/>
    <m/>
    <e v="#N/A"/>
    <s v="Enhance and harmonise national capabilities for nuclear and radiological emergency preparedness and response. "/>
    <n v="1"/>
    <n v="0"/>
    <n v="1"/>
    <n v="1"/>
    <n v="1"/>
    <n v="0"/>
    <n v="1"/>
    <n v="1"/>
    <n v="0.75"/>
    <m/>
    <n v="0"/>
    <n v="0"/>
    <n v="0"/>
    <n v="0"/>
    <n v="0"/>
    <n v="0"/>
    <n v="0"/>
    <s v="MEMD (AEC)"/>
    <s v="017 Ministry of Energy and Mineral Development"/>
    <s v="MEMD, OPM"/>
  </r>
  <r>
    <x v="14"/>
    <x v="14"/>
    <s v="082"/>
    <s v="Generation"/>
    <s v="0822"/>
    <s v="Increase electricity generation capacity"/>
    <s v="082203"/>
    <s v="Seek approvals for construction of a nuclear power generation plant"/>
    <m/>
    <m/>
    <s v="08220301"/>
    <s v="Approvals for construction of a nuclear power plant finalized"/>
    <m/>
    <m/>
    <m/>
    <m/>
    <m/>
    <m/>
    <m/>
    <m/>
    <e v="#N/A"/>
    <s v="Strengthen international, regional cooperation on nuclear energy."/>
    <n v="1"/>
    <n v="1"/>
    <n v="1"/>
    <n v="1"/>
    <n v="1"/>
    <n v="1"/>
    <n v="1"/>
    <n v="1"/>
    <n v="1"/>
    <m/>
    <n v="0"/>
    <n v="0"/>
    <n v="0"/>
    <n v="0"/>
    <n v="1"/>
    <n v="1"/>
    <n v="2"/>
    <s v="MEMD (AEC)"/>
    <s v="017 Ministry of Energy and Mineral Development"/>
    <s v="MEMD, MoFA"/>
  </r>
  <r>
    <x v="14"/>
    <x v="14"/>
    <s v="083"/>
    <s v="Renewable Energy Development"/>
    <s v="0833"/>
    <s v="Increase adoption and use of clean energy"/>
    <s v="083301"/>
    <s v="Construct 200 off-grid min-grids based on renewable energies"/>
    <m/>
    <m/>
    <s v="08330101"/>
    <s v="Off-grid min-grids based on renewable energies constructed"/>
    <s v="No. of off-grid min-grids constructed"/>
    <n v="12"/>
    <n v="12"/>
    <n v="22"/>
    <n v="32"/>
    <n v="42"/>
    <n v="52"/>
    <s v="MEMD, DLG, UECCC"/>
    <e v="#N/A"/>
    <s v="Construction of mini-grids in Northern and Western Uganda"/>
    <n v="1"/>
    <n v="0"/>
    <n v="1"/>
    <n v="1"/>
    <n v="1"/>
    <n v="0"/>
    <n v="0"/>
    <n v="1"/>
    <n v="0.625"/>
    <m/>
    <n v="0"/>
    <n v="5"/>
    <n v="5"/>
    <n v="10"/>
    <n v="5"/>
    <n v="5"/>
    <n v="10"/>
    <s v="MEMD (UEGCL)"/>
    <s v="017 Ministry of Energy and Mineral Development"/>
    <s v="N/A"/>
  </r>
  <r>
    <x v="14"/>
    <x v="14"/>
    <s v="083"/>
    <s v="Renewable Energy Development"/>
    <s v="0833"/>
    <s v="Increase adoption and use of clean energy"/>
    <s v="083301"/>
    <s v="Construct 200 off-grid min-grids based on renewable energies"/>
    <m/>
    <m/>
    <s v="08330101"/>
    <s v="Off-grid min-grids based on renewable energies constructed"/>
    <m/>
    <m/>
    <m/>
    <m/>
    <m/>
    <m/>
    <m/>
    <m/>
    <e v="#N/A"/>
    <s v="ESIA undertakings"/>
    <n v="1"/>
    <n v="1"/>
    <n v="1"/>
    <n v="1"/>
    <n v="1"/>
    <n v="1"/>
    <n v="1"/>
    <n v="1"/>
    <n v="1"/>
    <n v="1"/>
    <n v="0"/>
    <n v="0"/>
    <n v="0"/>
    <n v="0"/>
    <n v="1"/>
    <n v="1"/>
    <n v="2"/>
    <s v="NEMA"/>
    <s v="150 National Environment Management Authority"/>
    <s v="MEMD, ERA"/>
  </r>
  <r>
    <x v="14"/>
    <x v="14"/>
    <s v="083"/>
    <s v="Renewable Energy Development"/>
    <s v="0833"/>
    <s v="Increase adoption and use of clean energy"/>
    <s v="083301"/>
    <s v="Construct 200 off-grid min-grids based on renewable energies"/>
    <m/>
    <m/>
    <s v="08330101"/>
    <s v="Off-grid min-grids based on renewable energies constructed"/>
    <m/>
    <m/>
    <m/>
    <m/>
    <m/>
    <m/>
    <m/>
    <m/>
    <e v="#N/A"/>
    <s v="Sensitizations on productive and safe use of electricity"/>
    <n v="1"/>
    <n v="1"/>
    <n v="1"/>
    <n v="1"/>
    <n v="1"/>
    <n v="1"/>
    <n v="1"/>
    <n v="1"/>
    <n v="1"/>
    <m/>
    <n v="0"/>
    <n v="0"/>
    <n v="0"/>
    <n v="0"/>
    <n v="1"/>
    <n v="1"/>
    <n v="2"/>
    <s v="MEMD"/>
    <s v="017 Ministry of Energy and Mineral Development"/>
    <s v="ERA"/>
  </r>
  <r>
    <x v="14"/>
    <x v="14"/>
    <s v="083"/>
    <s v="Renewable Energy Development"/>
    <s v="0833"/>
    <s v="Increase adoption and use of clean energy"/>
    <s v="083301"/>
    <s v="Construct 200 off-grid min-grids based on renewable energies"/>
    <m/>
    <m/>
    <s v="08330101"/>
    <s v="Off-grid min-grids based on renewable energies constructed"/>
    <m/>
    <m/>
    <m/>
    <m/>
    <m/>
    <m/>
    <m/>
    <m/>
    <e v="#N/A"/>
    <s v="Implement a Mini-Grid Financing Facility/mechanism  to support construction of 200 off-grid Mini – Grids"/>
    <n v="1"/>
    <n v="1"/>
    <n v="1"/>
    <n v="1"/>
    <n v="1"/>
    <n v="1"/>
    <n v="0"/>
    <n v="1"/>
    <n v="0.875"/>
    <m/>
    <n v="0"/>
    <n v="0"/>
    <n v="0"/>
    <n v="0"/>
    <n v="0"/>
    <n v="0"/>
    <n v="0"/>
    <s v="MoFPED"/>
    <s v="008 Ministry of Finance, Planning &amp; Economic Dev."/>
    <s v="MEMD, ERA, UEGCL"/>
  </r>
  <r>
    <x v="14"/>
    <x v="14"/>
    <s v="083"/>
    <s v="Renewable Energy Development"/>
    <s v="0833"/>
    <s v="Increase adoption and use of clean energy"/>
    <s v="083301"/>
    <s v="Construct 200 off-grid min-grids based on renewable energies"/>
    <m/>
    <m/>
    <s v="08330101"/>
    <s v="Off-grid min-grids based on renewable energies constructed"/>
    <m/>
    <m/>
    <m/>
    <m/>
    <m/>
    <m/>
    <m/>
    <m/>
    <e v="#N/A"/>
    <s v="Land acquisition"/>
    <n v="1"/>
    <n v="1"/>
    <n v="1"/>
    <n v="1"/>
    <n v="1"/>
    <n v="1"/>
    <n v="1"/>
    <n v="1"/>
    <n v="1"/>
    <m/>
    <n v="0"/>
    <n v="0"/>
    <n v="0"/>
    <n v="0"/>
    <m/>
    <m/>
    <n v="0"/>
    <s v="MoLHUD"/>
    <s v="012 Ministry of Lands, Housing &amp; Urban Development"/>
    <s v="MEMD, UEGCL"/>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solar water heaters installed"/>
    <m/>
    <m/>
    <n v="100"/>
    <n v="150"/>
    <n v="500"/>
    <n v="250"/>
    <s v="MEMD"/>
    <s v="017 Ministry of Energy and Mineral Development"/>
    <s v="1,000  solar water heaters Installed in schools and health units"/>
    <n v="1"/>
    <n v="0"/>
    <n v="0"/>
    <n v="1"/>
    <n v="1"/>
    <n v="1"/>
    <n v="0"/>
    <n v="1"/>
    <n v="0.625"/>
    <m/>
    <n v="0"/>
    <n v="0"/>
    <n v="0"/>
    <n v="1.5"/>
    <n v="5"/>
    <n v="2.5"/>
    <n v="7.5"/>
    <s v="MEMD"/>
    <s v="017 Ministry of Energy and Mineral Development"/>
    <s v="N/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o. of new renewable energy solutions including: solar water heaters, solar water pumping solutions, solar irrigation solutions, solar driers installed"/>
    <m/>
    <n v="3000"/>
    <n v="5500"/>
    <n v="8000"/>
    <n v="10500"/>
    <n v="13000"/>
    <s v="UECCC"/>
    <e v="#N/A"/>
    <s v="Implement a Financial support mechanism/Facility to facilitate uptake of new renewable energy solutions (solar water heaters, solar water pumping, irrigation, driers) putting into consideration the marginalized groups."/>
    <n v="1"/>
    <n v="1"/>
    <n v="1"/>
    <n v="1"/>
    <n v="1"/>
    <n v="1"/>
    <n v="1"/>
    <n v="1"/>
    <n v="1"/>
    <m/>
    <n v="1"/>
    <n v="0"/>
    <n v="0"/>
    <n v="2"/>
    <m/>
    <m/>
    <n v="0"/>
    <s v="MEMD (UECCC)"/>
    <s v="017 Ministry of Energy and Mineral Development"/>
    <s v="UEGCL, ERA, MoFPED, MEMD"/>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households, SMEs connected to off-grid solar for lighting"/>
    <n v="2000"/>
    <n v="3000"/>
    <n v="5000"/>
    <n v="7000"/>
    <n v="9000"/>
    <n v="11000"/>
    <s v="UECCC"/>
    <e v="#N/A"/>
    <s v="Develop and implement a Financing Facility to facilitate uptake of new renewable energy solutions (solar water heaters, solar water pumping, irrigation, driers) "/>
    <n v="1"/>
    <n v="1"/>
    <n v="1"/>
    <n v="1"/>
    <n v="1"/>
    <n v="1"/>
    <n v="1"/>
    <n v="1"/>
    <n v="1"/>
    <m/>
    <n v="1"/>
    <n v="10"/>
    <n v="3"/>
    <n v="4"/>
    <m/>
    <m/>
    <n v="0"/>
    <s v="MEMD (UECCC)"/>
    <s v="017 Ministry of Energy and Mineral Development"/>
    <s v="UEGCL, MoFPED, MEMD, ER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solar dryers, installed"/>
    <n v="10"/>
    <n v="4"/>
    <n v="40"/>
    <n v="30"/>
    <n v="40"/>
    <n v="40"/>
    <s v="MEMD, DLG"/>
    <e v="#N/A"/>
    <s v="200 low cost solar driers promoted and  installed"/>
    <n v="1"/>
    <n v="1"/>
    <n v="1"/>
    <n v="1"/>
    <n v="1"/>
    <n v="1"/>
    <n v="1"/>
    <n v="1"/>
    <n v="1"/>
    <m/>
    <n v="0"/>
    <n v="0.16"/>
    <n v="0.6"/>
    <n v="0.45"/>
    <n v="2"/>
    <n v="2"/>
    <n v="4"/>
    <s v="MEMD"/>
    <s v="017 Ministry of Energy and Mineral Development"/>
    <s v="N/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cookers installed"/>
    <n v="0"/>
    <n v="10"/>
    <n v="200"/>
    <n v="200"/>
    <n v="300"/>
    <n v="200"/>
    <s v="MEMD, DLG"/>
    <e v="#N/A"/>
    <s v="1000 solar cookers promoted and  installed"/>
    <n v="1"/>
    <n v="1"/>
    <n v="1"/>
    <n v="1"/>
    <n v="1"/>
    <n v="1"/>
    <n v="1"/>
    <n v="1"/>
    <n v="1"/>
    <m/>
    <n v="0"/>
    <n v="0"/>
    <n v="0.2"/>
    <n v="0.2"/>
    <n v="0.3"/>
    <n v="0.2"/>
    <n v="0.5"/>
    <s v="MEMD"/>
    <s v="017 Ministry of Energy and Mineral Development"/>
    <s v="N/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mosquito killers  installed"/>
    <n v="0"/>
    <n v="100"/>
    <n v="1000"/>
    <n v="2000"/>
    <n v="3000"/>
    <n v="3000"/>
    <s v="MEMD/ RED/ MOH"/>
    <e v="#N/A"/>
    <s v="10,000 mosquito killers promoted and disseminated"/>
    <n v="1"/>
    <n v="1"/>
    <n v="1"/>
    <n v="0"/>
    <n v="1"/>
    <n v="1"/>
    <n v="1"/>
    <n v="1"/>
    <n v="0.875"/>
    <m/>
    <n v="0"/>
    <n v="0"/>
    <n v="0.7"/>
    <n v="1.4"/>
    <n v="2.1"/>
    <n v="2.1"/>
    <n v="4.2"/>
    <s v="MEMD"/>
    <s v="017 Ministry of Energy and Mineral Development"/>
    <s v="MoGLSD (CSOS, NGOS)"/>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o. of water pumping systems disseminated"/>
    <n v="0"/>
    <n v="26"/>
    <n v="30"/>
    <n v="50"/>
    <n v="50"/>
    <n v="60"/>
    <s v="MEMD, MWE, MAAIF"/>
    <e v="#N/A"/>
    <s v="200 solar  water pumping systems promoted and installed"/>
    <n v="1"/>
    <n v="1"/>
    <n v="1"/>
    <n v="1"/>
    <n v="1"/>
    <n v="1"/>
    <n v="0"/>
    <n v="1"/>
    <n v="0.875"/>
    <n v="1"/>
    <n v="0"/>
    <n v="0"/>
    <n v="0.9"/>
    <n v="1.5"/>
    <n v="10"/>
    <n v="10"/>
    <n v="20"/>
    <s v="MEMD"/>
    <s v="017 Ministry of Energy and Mineral Development"/>
    <s v="N/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wind water pumping solutions installed"/>
    <n v="5"/>
    <n v="0"/>
    <n v="4"/>
    <n v="4"/>
    <n v="2"/>
    <m/>
    <s v="MEMD, MWE, LDG"/>
    <e v="#N/A"/>
    <s v="10 electric wind turbines for water pumping piloted"/>
    <n v="1"/>
    <n v="0"/>
    <n v="0"/>
    <n v="1"/>
    <n v="1"/>
    <n v="1"/>
    <n v="0"/>
    <n v="1"/>
    <n v="0.625"/>
    <m/>
    <n v="0"/>
    <n v="0"/>
    <n v="0.8"/>
    <n v="0.8"/>
    <n v="3"/>
    <n v="3"/>
    <n v="6"/>
    <s v="MEMD"/>
    <s v="017 Ministry of Energy and Mineral Development"/>
    <s v="N/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s v="Number of wind water pumping solutions installed"/>
    <n v="5"/>
    <n v="0"/>
    <n v="4"/>
    <n v="4"/>
    <n v="2"/>
    <m/>
    <s v="MEMD, MWE, LDG"/>
    <e v="#N/A"/>
    <s v="Implement Solar Financing Facility/mechanisms to address demand side and supply side financing barriers for solar home systems acquisition putting into consideration the marginalized groups."/>
    <n v="1"/>
    <n v="1"/>
    <n v="1"/>
    <n v="1"/>
    <n v="1"/>
    <n v="1"/>
    <n v="1"/>
    <n v="1"/>
    <n v="1"/>
    <m/>
    <n v="1"/>
    <n v="0"/>
    <n v="3"/>
    <n v="4"/>
    <m/>
    <m/>
    <n v="0"/>
    <s v="MEMD (UECCC)"/>
    <s v="017 Ministry of Energy and Mineral Development"/>
    <s v="UEGCL, MEMD, MoFPED, ERA"/>
  </r>
  <r>
    <x v="14"/>
    <x v="14"/>
    <s v="083"/>
    <s v="Renewable Energy Development"/>
    <s v="0833"/>
    <s v="Increase adoption and use of clean energy"/>
    <s v="083302"/>
    <s v="Promote use of new renewable energy solutions (solar water heating, solar drying, solar cookers, wind water pumping solutions, solar water pumping solutions)"/>
    <m/>
    <m/>
    <s v="08330201"/>
    <s v="Increased deployment of new renewable energy solutions"/>
    <m/>
    <m/>
    <m/>
    <m/>
    <m/>
    <m/>
    <m/>
    <m/>
    <e v="#N/A"/>
    <s v="1MW  of wind turbine power generation plant installed "/>
    <n v="1"/>
    <n v="1"/>
    <n v="1"/>
    <n v="1"/>
    <n v="1"/>
    <n v="1"/>
    <n v="0"/>
    <n v="1"/>
    <n v="0.875"/>
    <m/>
    <n v="0"/>
    <n v="0"/>
    <n v="0.5"/>
    <n v="0.5"/>
    <n v="3"/>
    <n v="1"/>
    <n v="4"/>
    <s v="MEMD"/>
    <s v="017 Ministry of Energy and Mineral Development"/>
    <s v="UEGCL, ERA"/>
  </r>
  <r>
    <x v="14"/>
    <x v="14"/>
    <s v="083"/>
    <s v="Renewable Energy Development"/>
    <s v="0833"/>
    <s v="Increase adoption and use of clean energy"/>
    <s v="083303"/>
    <s v="Adopt the use of electric transport solutions e.g. solar powered motor cycles, bicycles and tricycles"/>
    <m/>
    <m/>
    <s v="08330301"/>
    <s v="Electric transport solutions promoted "/>
    <s v="Percentage of the electric transport adapted"/>
    <n v="0"/>
    <n v="0"/>
    <n v="0"/>
    <n v="1"/>
    <n v="1"/>
    <n v="1"/>
    <s v="MEMD, MOW, MEMD, MoTI, MoST, UNBS"/>
    <e v="#N/A"/>
    <s v="Two solar electric charging stations for electric cars set up (test lab for batteries and accessories involved: test equipment, test method training and test facility)  "/>
    <n v="1"/>
    <n v="1"/>
    <n v="1"/>
    <n v="1"/>
    <n v="1"/>
    <n v="1"/>
    <n v="1"/>
    <n v="1"/>
    <n v="1"/>
    <m/>
    <n v="0"/>
    <n v="0"/>
    <n v="0.1"/>
    <n v="0.2"/>
    <n v="0.2"/>
    <n v="0.2"/>
    <n v="0.4"/>
    <s v="MEMD"/>
    <s v="017 Ministry of Energy and Mineral Development"/>
    <s v="N/A"/>
  </r>
  <r>
    <x v="14"/>
    <x v="14"/>
    <s v="083"/>
    <s v="Renewable Energy Development"/>
    <s v="0833"/>
    <s v="Increase adoption and use of clean energy"/>
    <s v="083303"/>
    <s v="Adopt the use of electric transport solutions e.g. solar powered motor cycles, bicycles and tricycles"/>
    <m/>
    <m/>
    <s v="08330301"/>
    <s v="Electric transport solutions promoted "/>
    <m/>
    <m/>
    <m/>
    <m/>
    <m/>
    <m/>
    <m/>
    <m/>
    <e v="#N/A"/>
    <s v="Support Two (2) local  battery manufacturing  factories to producing solar /electric car batteries "/>
    <n v="1"/>
    <n v="1"/>
    <n v="1"/>
    <n v="1"/>
    <n v="1"/>
    <n v="1"/>
    <n v="1"/>
    <n v="1"/>
    <n v="1"/>
    <m/>
    <n v="0"/>
    <n v="0"/>
    <n v="0.3"/>
    <n v="0.5"/>
    <n v="2"/>
    <n v="2"/>
    <n v="4"/>
    <s v="MoTIC"/>
    <s v="015 Ministry of Trade, Industry and Cooperatives"/>
    <s v="UNBS, MEMD"/>
  </r>
  <r>
    <x v="14"/>
    <x v="14"/>
    <s v="083"/>
    <s v="Renewable Energy Development"/>
    <s v="0833"/>
    <s v="Increase adoption and use of clean energy"/>
    <s v="083304"/>
    <s v="Develop a framework for net metering"/>
    <m/>
    <m/>
    <s v="08330401"/>
    <s v="Net metering framework developed"/>
    <s v="A framework for net metering in place"/>
    <n v="0"/>
    <n v="0"/>
    <n v="5"/>
    <n v="10"/>
    <n v="15"/>
    <n v="20"/>
    <s v="ERA-MEMD"/>
    <e v="#N/A"/>
    <s v="Setup guidelines and specifications for Net metering"/>
    <n v="1"/>
    <n v="0"/>
    <n v="1"/>
    <n v="1"/>
    <n v="1"/>
    <n v="1"/>
    <n v="1"/>
    <n v="1"/>
    <n v="0.875"/>
    <m/>
    <n v="0"/>
    <n v="0"/>
    <n v="0"/>
    <n v="0"/>
    <n v="0.5"/>
    <n v="0"/>
    <n v="0.5"/>
    <s v="MEMD"/>
    <s v="017 Ministry of Energy and Mineral Development"/>
    <s v="UEDCL"/>
  </r>
  <r>
    <x v="14"/>
    <x v="14"/>
    <s v="083"/>
    <s v="Renewable Energy Development"/>
    <s v="0833"/>
    <s v="Increase adoption and use of clean energy"/>
    <s v="083304"/>
    <s v="Develop a framework for net metering"/>
    <m/>
    <m/>
    <s v="08330401"/>
    <s v="Net metering framework developed"/>
    <s v="Regulations  for net metering in place"/>
    <n v="0"/>
    <n v="0"/>
    <n v="2"/>
    <n v="2"/>
    <n v="0"/>
    <n v="0"/>
    <s v="MEMD, MoWT, ERA, UEGCL, UETCL"/>
    <e v="#N/A"/>
    <s v="10 electricity grid tied systems without grid export"/>
    <n v="1"/>
    <n v="0"/>
    <n v="1"/>
    <n v="1"/>
    <n v="1"/>
    <n v="1"/>
    <n v="0"/>
    <n v="1"/>
    <n v="0.75"/>
    <m/>
    <n v="0"/>
    <n v="0"/>
    <n v="2"/>
    <n v="2"/>
    <n v="3"/>
    <n v="1"/>
    <n v="4"/>
    <s v="MEMD"/>
    <s v="017 Ministry of Energy and Mineral Development"/>
    <s v="UEDCL"/>
  </r>
  <r>
    <x v="14"/>
    <x v="14"/>
    <s v="083"/>
    <s v="Renewable Energy Development"/>
    <s v="0833"/>
    <s v="Increase adoption and use of clean energy"/>
    <s v="083304"/>
    <s v="Develop a framework for net metering"/>
    <m/>
    <m/>
    <s v="08330401"/>
    <s v="Net metering framework developed"/>
    <m/>
    <m/>
    <m/>
    <m/>
    <m/>
    <m/>
    <m/>
    <m/>
    <e v="#N/A"/>
    <s v="100 small net metering solar  systems piloted and tested on the grid"/>
    <n v="1"/>
    <n v="0"/>
    <n v="1"/>
    <n v="0"/>
    <n v="1"/>
    <n v="1"/>
    <n v="0"/>
    <n v="1"/>
    <n v="0.625"/>
    <m/>
    <n v="0"/>
    <n v="0"/>
    <n v="1"/>
    <n v="1"/>
    <n v="1"/>
    <n v="2"/>
    <n v="3"/>
    <s v="MEMD"/>
    <s v="017 Ministry of Energy and Mineral Development"/>
    <s v="UEDCL"/>
  </r>
  <r>
    <x v="14"/>
    <x v="14"/>
    <s v="083"/>
    <s v="Renewable Energy Development"/>
    <s v="0833"/>
    <s v="Increase adoption and use of clean energy"/>
    <s v="083305"/>
    <s v="Build local technical capacity in renewable energy solutions"/>
    <m/>
    <m/>
    <s v="08330501"/>
    <s v="Technical capacity in renewable energy solutions built"/>
    <s v="Increased skilled energy experts in the sector"/>
    <n v="500"/>
    <n v="0"/>
    <n v="200"/>
    <n v="200"/>
    <n v="200"/>
    <n v="300"/>
    <s v="MEMD"/>
    <s v="017 Ministry of Energy and Mineral Development"/>
    <s v="Inspection of renewable energy companies, associations, products,  installed systems and trouble shooting"/>
    <n v="1"/>
    <n v="1"/>
    <n v="0"/>
    <n v="1"/>
    <n v="1"/>
    <n v="1"/>
    <n v="0"/>
    <n v="1"/>
    <n v="0.75"/>
    <m/>
    <n v="0"/>
    <n v="0"/>
    <n v="0.4"/>
    <n v="0.4"/>
    <n v="0.4"/>
    <n v="0.4"/>
    <n v="0.8"/>
    <s v="MEMD"/>
    <s v="017 Ministry of Energy and Mineral Development"/>
    <s v="UNBS, MTIC"/>
  </r>
  <r>
    <x v="14"/>
    <x v="14"/>
    <s v="083"/>
    <s v="Renewable Energy Development"/>
    <s v="0833"/>
    <s v="Increase adoption and use of clean energy"/>
    <s v="083305"/>
    <s v="Build local technical capacity in renewable energy solutions"/>
    <m/>
    <m/>
    <s v="08330501"/>
    <s v="Technical capacity in renewable energy solutions built"/>
    <s v="Number of laboratories established"/>
    <n v="1"/>
    <m/>
    <n v="0"/>
    <n v="1"/>
    <n v="1"/>
    <n v="0"/>
    <s v="MEMD"/>
    <s v="017 Ministry of Energy and Mineral Development"/>
    <s v="2 laboratories for renewable energy technologies retooled and established"/>
    <n v="1"/>
    <n v="1"/>
    <n v="0"/>
    <n v="0"/>
    <n v="1"/>
    <n v="1"/>
    <n v="0"/>
    <n v="1"/>
    <n v="0.625"/>
    <m/>
    <n v="0"/>
    <n v="0"/>
    <n v="0.2"/>
    <n v="0.4"/>
    <n v="2"/>
    <n v="2"/>
    <n v="4"/>
    <s v="MEMD"/>
    <s v="017 Ministry of Energy and Mineral Development"/>
    <s v="N/A"/>
  </r>
  <r>
    <x v="14"/>
    <x v="14"/>
    <s v="083"/>
    <s v="Renewable Energy Development"/>
    <s v="0833"/>
    <s v="Increase adoption and use of clean energy"/>
    <s v="083305"/>
    <s v="Build local technical capacity in renewable energy solutions"/>
    <m/>
    <m/>
    <s v="08330501"/>
    <s v="Technical capacity in renewable energy solutions built"/>
    <s v="Number of personnel trained"/>
    <m/>
    <n v="0"/>
    <n v="100"/>
    <n v="100"/>
    <n v="100"/>
    <n v="100"/>
    <s v="MEMD, ERA"/>
    <e v="#N/A"/>
    <s v="500 technicians, trainers, officers , engineers trained in energy systems"/>
    <n v="1"/>
    <n v="1"/>
    <n v="0"/>
    <n v="1"/>
    <n v="1"/>
    <n v="1"/>
    <n v="1"/>
    <n v="1"/>
    <n v="0.875"/>
    <m/>
    <n v="0"/>
    <n v="0.1"/>
    <n v="0.3"/>
    <n v="0.3"/>
    <n v="0.3"/>
    <n v="0.3"/>
    <n v="0.6"/>
    <s v="MEMD"/>
    <s v="017 Ministry of Energy and Mineral Development"/>
    <s v="MoES, MoPS"/>
  </r>
  <r>
    <x v="14"/>
    <x v="14"/>
    <s v="083"/>
    <s v="Renewable Energy Development"/>
    <s v="0833"/>
    <s v="Increase adoption and use of clean energy"/>
    <s v="083305"/>
    <s v="Build local technical capacity in renewable energy solutions"/>
    <m/>
    <m/>
    <s v="08330501"/>
    <s v="Technical capacity in renewable energy solutions built"/>
    <s v="Number of Financial Institutions (FIs) supported to develop credit products for renewable energy technologies"/>
    <s v="12 Financial Institutions"/>
    <n v="15"/>
    <n v="15"/>
    <n v="15"/>
    <n v="20"/>
    <n v="20"/>
    <s v="UECCC"/>
    <e v="#N/A"/>
    <s v="Provide Technical Assistance (TA) to local Financial Institutions (FIs) to enhance their capacity in appraising and on-lending for Renewable Energy technologies."/>
    <n v="1"/>
    <n v="1"/>
    <n v="0"/>
    <n v="1"/>
    <n v="1"/>
    <n v="1"/>
    <n v="0"/>
    <n v="1"/>
    <n v="0.75"/>
    <m/>
    <n v="1"/>
    <n v="0.5"/>
    <n v="0.5"/>
    <n v="0.5"/>
    <m/>
    <m/>
    <n v="0"/>
    <s v="MEMD (UECCC)"/>
    <s v="017 Ministry of Energy and Mineral Development"/>
    <s v="MoFPED, MEMD"/>
  </r>
  <r>
    <x v="14"/>
    <x v="14"/>
    <s v="083"/>
    <s v="Renewable Energy Development"/>
    <s v="0833"/>
    <s v="Increase adoption and use of clean energy"/>
    <s v="083305"/>
    <s v="Build local technical capacity in renewable energy solutions"/>
    <m/>
    <m/>
    <s v="08330501"/>
    <s v="Technical capacity in renewable energy solutions built"/>
    <s v="Minimum quality standards for renewable energy solutions in place"/>
    <m/>
    <n v="2"/>
    <n v="2"/>
    <n v="2"/>
    <n v="2"/>
    <n v="2"/>
    <s v="UNBS"/>
    <s v="154 Uganda National Bureau of Standards"/>
    <s v="10 standards for renewable energy technologies developed, updated and reviewed (biofuels, ethanol stoves, insecticidal solar lamp, solar driers, large biogas plant)"/>
    <n v="1"/>
    <n v="1"/>
    <n v="0"/>
    <n v="1"/>
    <n v="1"/>
    <n v="1"/>
    <n v="0"/>
    <n v="1"/>
    <n v="0.75"/>
    <m/>
    <n v="0"/>
    <n v="1"/>
    <n v="1"/>
    <n v="1"/>
    <n v="1"/>
    <n v="1"/>
    <n v="2"/>
    <s v="UNBS"/>
    <s v="154 Uganda National Bureau of Standards"/>
    <s v="MEMD"/>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s v="No. of households using improved cook stoves (‘000s)"/>
    <m/>
    <n v="7"/>
    <n v="12"/>
    <n v="20"/>
    <n v="20"/>
    <n v="20"/>
    <s v="MEMD, MoLG, UECCC"/>
    <e v="#N/A"/>
    <s v="Household charcoal stoves disseminated"/>
    <n v="1"/>
    <n v="1"/>
    <n v="0"/>
    <n v="0"/>
    <n v="1"/>
    <n v="1"/>
    <n v="0"/>
    <n v="1"/>
    <n v="0.625"/>
    <m/>
    <n v="1"/>
    <n v="3.5000000000000003E-2"/>
    <n v="0.06"/>
    <n v="0.06"/>
    <m/>
    <m/>
    <n v="0"/>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s v="Number of standards developed and reviewed"/>
    <n v="1"/>
    <n v="0"/>
    <n v="2"/>
    <n v="1"/>
    <n v="1"/>
    <s v="-"/>
    <s v="MEMD, UNBS"/>
    <e v="#N/A"/>
    <s v="Develop and implement a Financing mechanism to address supply side and demand side financial barriers inhibiting uptake of improved clean cooking technologies (including improved cook stoves, domestic biogas systems and LPGs)."/>
    <n v="1"/>
    <n v="1"/>
    <n v="0"/>
    <n v="1"/>
    <n v="1"/>
    <n v="1"/>
    <n v="0"/>
    <n v="1"/>
    <n v="0.75"/>
    <m/>
    <n v="1"/>
    <n v="0"/>
    <n v="0"/>
    <n v="0"/>
    <m/>
    <m/>
    <n v="0"/>
    <s v="MoFPED"/>
    <s v="008 Ministry of Finance, Planning &amp; Economic Dev."/>
    <s v="MEMD, UECCC"/>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m/>
    <m/>
    <m/>
    <m/>
    <m/>
    <m/>
    <m/>
    <m/>
    <e v="#N/A"/>
    <s v="Development of cook stoves standards"/>
    <n v="1"/>
    <n v="1"/>
    <n v="1"/>
    <n v="1"/>
    <n v="1"/>
    <n v="1"/>
    <n v="0"/>
    <n v="1"/>
    <n v="0.875"/>
    <m/>
    <n v="1"/>
    <s v="-"/>
    <n v="0.124"/>
    <n v="0.124"/>
    <m/>
    <m/>
    <n v="0"/>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m/>
    <m/>
    <m/>
    <m/>
    <m/>
    <m/>
    <m/>
    <m/>
    <e v="#N/A"/>
    <s v="Local production of ethanol stoves developed and ethanol stoves disseminated putting into consideration the marginalized groups."/>
    <n v="1"/>
    <n v="0"/>
    <n v="1"/>
    <n v="1"/>
    <n v="1"/>
    <n v="1"/>
    <n v="0"/>
    <n v="1"/>
    <n v="0.75"/>
    <m/>
    <n v="0"/>
    <n v="0.1"/>
    <n v="0.3"/>
    <n v="0.6"/>
    <n v="0.6"/>
    <n v="0.4"/>
    <n v="1"/>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m/>
    <m/>
    <m/>
    <m/>
    <m/>
    <m/>
    <m/>
    <m/>
    <e v="#N/A"/>
    <s v="Grant research to scientist/researcher to develop, test and disseminate high efficient models of biomass cook stoves, briquettes, and charcoal kilns."/>
    <n v="1"/>
    <n v="0"/>
    <n v="1"/>
    <n v="1"/>
    <n v="1"/>
    <n v="1"/>
    <n v="0"/>
    <n v="1"/>
    <n v="0.75"/>
    <m/>
    <n v="0"/>
    <n v="2.1999999999999999E-2"/>
    <n v="2.1999999999999999E-2"/>
    <n v="2.1999999999999999E-2"/>
    <n v="2.1999999999999999E-2"/>
    <s v="-"/>
    <n v="2.1999999999999999E-2"/>
    <s v="MoES"/>
    <s v="013 Ministry of Education and Sports"/>
    <s v="MEMD, UNBS"/>
  </r>
  <r>
    <x v="14"/>
    <x v="14"/>
    <s v="084"/>
    <s v="Energy Efficiency"/>
    <s v="0844"/>
    <s v="Promote utilization of energy efficient practices and technologies"/>
    <s v="084401"/>
    <s v="Promote uptake of alternative and efficient cooking technologies (electric cooking, domestic and institutional biogas and LPG)"/>
    <m/>
    <m/>
    <s v="08440101"/>
    <s v="Increased uptake of improved cook stoves"/>
    <m/>
    <m/>
    <m/>
    <m/>
    <m/>
    <m/>
    <m/>
    <m/>
    <e v="#N/A"/>
    <s v="Motorized briquetting machines systems with waste carbonize component disseminated."/>
    <n v="1"/>
    <n v="0"/>
    <n v="0"/>
    <n v="1"/>
    <n v="1"/>
    <n v="1"/>
    <n v="0"/>
    <n v="1"/>
    <n v="0.625"/>
    <m/>
    <n v="0"/>
    <n v="0"/>
    <n v="0.25"/>
    <n v="0.25"/>
    <n v="0.25"/>
    <n v="0.25"/>
    <n v="0.5"/>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s v="Proportion of population using alternative and efficient cooking technologies (electric cooking, domestic and institutional biogas and LPG"/>
    <n v="2"/>
    <n v="3"/>
    <n v="4.5"/>
    <n v="6.8"/>
    <n v="10.1"/>
    <n v="15.2"/>
    <s v="MEMD"/>
    <s v="017 Ministry of Energy and Mineral Development"/>
    <s v="Dissemination of biogas system at households and schools level for cooking. (Replacement of septic tanks for with biogas digester)"/>
    <n v="1"/>
    <n v="1"/>
    <n v="0"/>
    <n v="1"/>
    <n v="1"/>
    <n v="1"/>
    <n v="0"/>
    <n v="1"/>
    <n v="0.75"/>
    <m/>
    <n v="0"/>
    <n v="1"/>
    <n v="1"/>
    <n v="1"/>
    <n v="2"/>
    <n v="2"/>
    <n v="4"/>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Establishment of 2,000 ha of bamboo trees farming for energy in North"/>
    <n v="1"/>
    <n v="1"/>
    <n v="1"/>
    <n v="1"/>
    <n v="1"/>
    <n v="1"/>
    <n v="1"/>
    <n v="1"/>
    <n v="1"/>
    <m/>
    <n v="0"/>
    <n v="0"/>
    <n v="0.5"/>
    <n v="0.75"/>
    <n v="0.52500000000000002"/>
    <n v="0.97499999999999998"/>
    <n v="1.5"/>
    <s v="MEMD"/>
    <s v="017 Ministry of Energy and Mineral Development"/>
    <s v="NF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Support the establishment of 5 distillers for producing ethanol for cooking and blending "/>
    <n v="1"/>
    <n v="1"/>
    <n v="1"/>
    <n v="1"/>
    <n v="1"/>
    <n v="1"/>
    <n v="1"/>
    <n v="1"/>
    <n v="1"/>
    <m/>
    <n v="0"/>
    <n v="0"/>
    <n v="2"/>
    <n v="2"/>
    <n v="6"/>
    <n v="2"/>
    <n v="8"/>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Schools and  institutional using  high efficient Fire wood / charcoal stoves disseminated  No. of Institutions  with improved cook stoves"/>
    <n v="1"/>
    <n v="0"/>
    <n v="1"/>
    <n v="1"/>
    <n v="1"/>
    <n v="1"/>
    <n v="0"/>
    <n v="1"/>
    <n v="0.75"/>
    <m/>
    <n v="1"/>
    <n v="6.6000000000000003E-2"/>
    <n v="0.5"/>
    <n v="2.2999999999999998"/>
    <m/>
    <m/>
    <n v="0"/>
    <s v="MoES"/>
    <s v="013 Ministry of Education and Sports"/>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Increase adoption and transfer of energy efficient technologies into the local population putting into consideration the marginalized groups."/>
    <n v="1"/>
    <n v="1"/>
    <n v="1"/>
    <n v="1"/>
    <n v="1"/>
    <n v="1"/>
    <n v="0"/>
    <n v="1"/>
    <n v="0.875"/>
    <m/>
    <n v="0"/>
    <n v="0"/>
    <n v="0"/>
    <n v="0"/>
    <n v="2"/>
    <n v="2"/>
    <n v="4"/>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Increase Research and development into indigenous energy efficient technologies "/>
    <n v="1"/>
    <n v="0"/>
    <n v="0"/>
    <n v="1"/>
    <n v="1"/>
    <n v="1"/>
    <n v="0"/>
    <n v="1"/>
    <n v="0.625"/>
    <m/>
    <n v="0"/>
    <n v="0.1"/>
    <n v="0.1"/>
    <n v="0.1"/>
    <n v="0.1"/>
    <n v="0.1"/>
    <n v="0.2"/>
    <s v="MoSTI"/>
    <s v="023 Ministry of Science,Technology and Innovation"/>
    <s v="MEMD, UIRI"/>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Promote uptake of alternative and efficient cooking technologies such as electric cooking (%) putting into consideration the marginalized groups."/>
    <n v="1"/>
    <n v="1"/>
    <n v="1"/>
    <n v="1"/>
    <n v="1"/>
    <n v="1"/>
    <n v="1"/>
    <n v="1"/>
    <n v="1"/>
    <m/>
    <n v="0"/>
    <n v="2"/>
    <n v="2"/>
    <n v="2"/>
    <n v="1"/>
    <n v="1"/>
    <n v="2"/>
    <s v="MEMD"/>
    <s v="017 Ministry of Energy and Mineral Development"/>
    <s v="N/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Bio gas systems at institutional level "/>
    <n v="1"/>
    <n v="0"/>
    <n v="0"/>
    <n v="1"/>
    <n v="1"/>
    <n v="1"/>
    <n v="0"/>
    <n v="1"/>
    <n v="0.625"/>
    <m/>
    <n v="1"/>
    <n v="0.16"/>
    <n v="1"/>
    <n v="1.6"/>
    <m/>
    <m/>
    <n v="0"/>
    <s v="MEMD"/>
    <s v="017 Ministry of Energy and Mineral Development"/>
    <s v="MoESP, MoSTI"/>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Establishment of security Energy woodlots in districts through bylaws of sustainable charcoal production and utilization "/>
    <n v="1"/>
    <n v="1"/>
    <n v="1"/>
    <n v="1"/>
    <n v="1"/>
    <n v="1"/>
    <n v="1"/>
    <n v="1"/>
    <n v="1"/>
    <m/>
    <n v="0"/>
    <n v="0.1"/>
    <n v="1"/>
    <n v="10"/>
    <n v="1"/>
    <n v="1"/>
    <n v="2"/>
    <s v="MEMD"/>
    <s v="017 Ministry of Energy and Mineral Development"/>
    <s v="MoLSG, NFA, ERA"/>
  </r>
  <r>
    <x v="14"/>
    <x v="14"/>
    <s v="084"/>
    <s v="Energy Efficiency"/>
    <s v="0844"/>
    <s v="Promote utilization of energy efficient practices and technologies"/>
    <s v="084401"/>
    <s v="Promote uptake of alternative and efficient cooking technologies (electric cooking, domestic and institutional biogas and LPG)"/>
    <m/>
    <m/>
    <s v="08440102"/>
    <s v="Increased utilization of alternative and efficient cooking technologies"/>
    <m/>
    <m/>
    <m/>
    <m/>
    <m/>
    <m/>
    <m/>
    <m/>
    <e v="#N/A"/>
    <s v="Establishment of energy wood lots in schools coupled with Energy Efficient stoves."/>
    <n v="1"/>
    <n v="1"/>
    <n v="1"/>
    <n v="1"/>
    <n v="1"/>
    <n v="1"/>
    <n v="1"/>
    <n v="1"/>
    <n v="1"/>
    <m/>
    <n v="0"/>
    <n v="0.05"/>
    <n v="0.5"/>
    <n v="1"/>
    <n v="1.5"/>
    <n v="2"/>
    <n v="3.5"/>
    <s v="MEMD"/>
    <s v="017 Ministry of Energy and Mineral Development"/>
    <s v="MoESP, "/>
  </r>
  <r>
    <x v="14"/>
    <x v="14"/>
    <s v="084"/>
    <s v="Energy Efficiency"/>
    <s v="0844"/>
    <s v="Promote utilization of energy efficient practices and technologies"/>
    <s v="084402"/>
    <s v="Invest in LPG infrastructure"/>
    <m/>
    <m/>
    <s v="08440201"/>
    <s v="Increased uptake of LPG"/>
    <s v="Proportion of households (7.3millions ) using LPG"/>
    <n v="0.01"/>
    <n v="0.03"/>
    <n v="7.0000000000000007E-2"/>
    <n v="0.1"/>
    <n v="0.15"/>
    <n v="0.2"/>
    <s v="MEMD"/>
    <s v="017 Ministry of Energy and Mineral Development"/>
    <s v="Promote uptake of LPG for cooking putting into consideration the marginalized groups."/>
    <n v="1"/>
    <n v="0"/>
    <n v="1"/>
    <n v="1"/>
    <n v="1"/>
    <n v="1"/>
    <n v="0"/>
    <n v="1"/>
    <n v="0.75"/>
    <m/>
    <n v="1"/>
    <n v="1"/>
    <n v="1"/>
    <n v="1"/>
    <m/>
    <m/>
    <n v="0"/>
    <s v="MEMD"/>
    <s v="017 Ministry of Energy and Mineral Development"/>
    <s v="N/A"/>
  </r>
  <r>
    <x v="14"/>
    <x v="14"/>
    <s v="084"/>
    <s v="Energy Efficiency"/>
    <s v="0844"/>
    <s v="Promote utilization of energy efficient practices and technologies"/>
    <s v="084402"/>
    <s v="Invest in LPG infrastructure"/>
    <m/>
    <m/>
    <s v="08440201"/>
    <s v="Increased uptake of LPG"/>
    <m/>
    <m/>
    <m/>
    <m/>
    <m/>
    <m/>
    <m/>
    <m/>
    <e v="#N/A"/>
    <s v="LPG awareness campaigns and usage safety information disseminated to mapped public putting into consideration the marginalized groups."/>
    <n v="1"/>
    <n v="0"/>
    <n v="1"/>
    <n v="1"/>
    <n v="1"/>
    <n v="0"/>
    <n v="0"/>
    <n v="1"/>
    <n v="0.625"/>
    <m/>
    <n v="1"/>
    <n v="0"/>
    <n v="0"/>
    <n v="0"/>
    <m/>
    <m/>
    <n v="0"/>
    <s v="MEMD"/>
    <s v="017 Ministry of Energy and Mineral Development"/>
    <s v="N/A"/>
  </r>
  <r>
    <x v="14"/>
    <x v="14"/>
    <s v="084"/>
    <s v="Energy Efficiency"/>
    <s v="0844"/>
    <s v="Promote utilization of energy efficient practices and technologies"/>
    <s v="084402"/>
    <s v="Invest in LPG infrastructure"/>
    <m/>
    <m/>
    <s v="08440201"/>
    <s v="Increased uptake of LPG"/>
    <s v="Number of LPG cylinders and accessories distributed (‘000s)"/>
    <n v="0"/>
    <n v="200"/>
    <n v="200"/>
    <n v="200"/>
    <n v="200"/>
    <n v="200"/>
    <s v="MEMD"/>
    <s v="017 Ministry of Energy and Mineral Development"/>
    <s v="One million cylinders and accessories distributed"/>
    <n v="1"/>
    <n v="0"/>
    <n v="0"/>
    <n v="0"/>
    <n v="1"/>
    <n v="1"/>
    <n v="0"/>
    <n v="1"/>
    <n v="0.5"/>
    <m/>
    <n v="1"/>
    <n v="0"/>
    <n v="0"/>
    <n v="0"/>
    <m/>
    <m/>
    <n v="0"/>
    <s v="MEMD"/>
    <s v="017 Ministry of Energy and Mineral Development"/>
    <s v="N/A"/>
  </r>
  <r>
    <x v="14"/>
    <x v="14"/>
    <s v="084"/>
    <s v="Energy Efficiency"/>
    <s v="0844"/>
    <s v="Promote utilization of energy efficient practices and technologies"/>
    <s v="084402"/>
    <s v="Invest in LPG infrastructure"/>
    <m/>
    <m/>
    <s v="08440201"/>
    <s v="Increased uptake of LPG"/>
    <s v="Number of investors attracted in LPG infrastructure"/>
    <m/>
    <n v="4"/>
    <n v="4"/>
    <n v="4"/>
    <n v="4"/>
    <n v="4"/>
    <s v="MoFA"/>
    <s v="006 Ministry of Foreign Affairs"/>
    <s v="Attract investors in LPG infrastructure"/>
    <n v="1"/>
    <n v="1"/>
    <n v="0"/>
    <n v="1"/>
    <n v="1"/>
    <n v="1"/>
    <n v="0"/>
    <n v="1"/>
    <n v="0.75"/>
    <m/>
    <n v="0"/>
    <n v="1"/>
    <n v="1.03"/>
    <n v="1.04"/>
    <n v="1.05"/>
    <n v="1.06"/>
    <n v="2.1100000000000003"/>
    <s v="MoFA"/>
    <s v="006 Ministry of Foreign Affairs"/>
    <s v="MoFPED, UIA"/>
  </r>
  <r>
    <x v="14"/>
    <x v="14"/>
    <s v="084"/>
    <s v="Energy Efficiency"/>
    <s v="0844"/>
    <s v="Promote utilization of energy efficient practices and technologies"/>
    <s v="084402"/>
    <s v="Invest in LPG infrastructure"/>
    <m/>
    <m/>
    <s v="08440201"/>
    <s v="Increased uptake of LPG"/>
    <s v="Construction of LPG main and regional plants completed"/>
    <n v="0"/>
    <s v="-"/>
    <s v="-"/>
    <n v="1"/>
    <n v="1"/>
    <n v="1"/>
    <s v="MEMD"/>
    <s v="017 Ministry of Energy and Mineral Development"/>
    <s v="Construct LPG terminals"/>
    <n v="1"/>
    <n v="1"/>
    <n v="1"/>
    <n v="0"/>
    <n v="1"/>
    <n v="1"/>
    <n v="0"/>
    <n v="1"/>
    <n v="0.75"/>
    <m/>
    <n v="1"/>
    <n v="15"/>
    <n v="3"/>
    <n v="3"/>
    <m/>
    <m/>
    <n v="0"/>
    <s v="MEMD"/>
    <s v="017 Ministry of Energy and Mineral Development"/>
    <s v="N/A"/>
  </r>
  <r>
    <x v="14"/>
    <x v="14"/>
    <s v="084"/>
    <s v="Energy Efficiency"/>
    <s v="0844"/>
    <s v="Promote utilization of energy efficient practices and technologies"/>
    <s v="084402"/>
    <s v="Invest in LPG infrastructure"/>
    <m/>
    <m/>
    <s v="08440201"/>
    <s v="Increased uptake of LPG"/>
    <s v="Number of LPG wagons for Lake and rail transport acquired"/>
    <n v="0"/>
    <s v="-"/>
    <n v="15"/>
    <n v="30"/>
    <n v="15"/>
    <n v="10"/>
    <s v="MEMD"/>
    <s v="017 Ministry of Energy and Mineral Development"/>
    <s v="LPG wagons acquired"/>
    <n v="1"/>
    <n v="0"/>
    <m/>
    <n v="1"/>
    <n v="1"/>
    <n v="1"/>
    <n v="0"/>
    <n v="1"/>
    <n v="0.625"/>
    <m/>
    <n v="1"/>
    <n v="0"/>
    <n v="0"/>
    <n v="0"/>
    <m/>
    <m/>
    <n v="0"/>
    <s v="MEMD"/>
    <s v="017 Ministry of Energy and Mineral Development"/>
    <s v="MoFPED"/>
  </r>
  <r>
    <x v="14"/>
    <x v="14"/>
    <s v="084"/>
    <s v="Energy Efficiency"/>
    <s v="0844"/>
    <s v="Promote utilization of energy efficient practices and technologies"/>
    <s v="084402"/>
    <s v="Invest in LPG infrastructure"/>
    <m/>
    <m/>
    <s v="08440201"/>
    <s v="Increased uptake of LPG"/>
    <m/>
    <m/>
    <m/>
    <m/>
    <m/>
    <m/>
    <m/>
    <m/>
    <e v="#N/A"/>
    <s v="Develop LPG business case (Import 2000 tons per year)"/>
    <n v="1"/>
    <n v="0"/>
    <n v="0"/>
    <n v="1"/>
    <n v="1"/>
    <n v="1"/>
    <n v="0"/>
    <n v="1"/>
    <n v="0.625"/>
    <m/>
    <n v="1"/>
    <n v="0"/>
    <n v="1"/>
    <n v="1"/>
    <m/>
    <m/>
    <n v="0"/>
    <s v="UNOC"/>
    <s v="311 Uganda National Oil Company (UNOC)"/>
    <s v="MEMD"/>
  </r>
  <r>
    <x v="14"/>
    <x v="14"/>
    <s v="084"/>
    <s v="Energy Efficiency"/>
    <s v="0844"/>
    <s v="Promote utilization of energy efficient practices and technologies"/>
    <s v="084402"/>
    <s v="Invest in LPG infrastructure"/>
    <m/>
    <m/>
    <s v="08440201"/>
    <s v="Increased uptake of LPG"/>
    <s v="Number of investors attracted in LPG infrastructure"/>
    <m/>
    <n v="4"/>
    <n v="4"/>
    <n v="4"/>
    <n v="4"/>
    <n v="4"/>
    <s v="MoFA"/>
    <s v="006 Ministry of Foreign Affairs"/>
    <s v="Attract investors in LPG infrastructure"/>
    <n v="1"/>
    <n v="1"/>
    <n v="0"/>
    <n v="1"/>
    <n v="1"/>
    <n v="1"/>
    <n v="0"/>
    <n v="1"/>
    <n v="0.75"/>
    <m/>
    <n v="0"/>
    <n v="1"/>
    <n v="1"/>
    <n v="1"/>
    <n v="1"/>
    <n v="1"/>
    <n v="2"/>
    <s v="MoFA"/>
    <s v="006 Ministry of Foreign Affairs"/>
    <s v="Missions Abroad"/>
  </r>
  <r>
    <x v="14"/>
    <x v="14"/>
    <s v="084"/>
    <s v="Energy Efficiency"/>
    <s v="0844"/>
    <s v="Promote utilization of energy efficient practices and technologies"/>
    <s v="084403"/>
    <s v="Promote the use of energy efficient equipment for both industrial and residential consumers"/>
    <m/>
    <m/>
    <s v="08440301"/>
    <s v="Reduced energy losses in the transmission network"/>
    <s v="Energy losses"/>
    <n v="19.600000000000001"/>
    <n v="16.010000000000002"/>
    <n v="15.26"/>
    <n v="14.26"/>
    <n v="13.97"/>
    <n v="12.6"/>
    <s v="MEMD/ ERA"/>
    <e v="#N/A"/>
    <s v="Upgrade of transmission and distribution networks "/>
    <n v="1"/>
    <n v="1"/>
    <n v="0"/>
    <n v="0"/>
    <n v="1"/>
    <n v="1"/>
    <n v="0"/>
    <n v="1"/>
    <n v="0.625"/>
    <m/>
    <n v="0"/>
    <n v="0"/>
    <n v="0"/>
    <n v="0"/>
    <n v="0"/>
    <n v="0"/>
    <n v="0"/>
    <s v="MEMD (UETCL)"/>
    <s v="017 Ministry of Energy and Mineral Development"/>
    <s v="UEDCL, MEMD"/>
  </r>
  <r>
    <x v="14"/>
    <x v="14"/>
    <s v="084"/>
    <s v="Energy Efficiency"/>
    <s v="0844"/>
    <s v="Promote utilization of energy efficient practices and technologies"/>
    <s v="084403"/>
    <s v="Promote the use of energy efficient equipment for both industrial and residential consumers"/>
    <m/>
    <m/>
    <s v="08440301"/>
    <s v="Reduced energy losses in the transmission network"/>
    <m/>
    <m/>
    <m/>
    <m/>
    <m/>
    <m/>
    <m/>
    <m/>
    <e v="#N/A"/>
    <s v="Reactive power compensation installation"/>
    <n v="1"/>
    <n v="1"/>
    <n v="0"/>
    <n v="1"/>
    <n v="1"/>
    <n v="1"/>
    <n v="0"/>
    <n v="1"/>
    <n v="0.75"/>
    <m/>
    <n v="0"/>
    <n v="0"/>
    <n v="0"/>
    <n v="0"/>
    <n v="1"/>
    <n v="0"/>
    <n v="1"/>
    <s v="MEMD"/>
    <s v="017 Ministry of Energy and Mineral Development"/>
    <s v="UETCL, UEDCL"/>
  </r>
  <r>
    <x v="14"/>
    <x v="14"/>
    <s v="084"/>
    <s v="Energy Efficiency"/>
    <s v="0844"/>
    <s v="Promote utilization of energy efficient practices and technologies"/>
    <s v="084403"/>
    <s v="Promote the use of energy efficient equipment for both industrial and residential consumers"/>
    <m/>
    <m/>
    <s v="08440302"/>
    <s v="Increased energy saving"/>
    <s v="MW of energy saved (%)"/>
    <n v="6.4"/>
    <n v="7.7"/>
    <n v="9.1999999999999993"/>
    <n v="11.1"/>
    <n v="13.3"/>
    <n v="15.9"/>
    <s v="MEMD/ ERA"/>
    <e v="#N/A"/>
    <s v="Demand side management"/>
    <n v="1"/>
    <n v="1"/>
    <n v="1"/>
    <n v="1"/>
    <n v="1"/>
    <n v="1"/>
    <n v="0"/>
    <n v="1"/>
    <n v="0.875"/>
    <m/>
    <n v="0"/>
    <n v="2"/>
    <n v="2"/>
    <n v="2"/>
    <n v="0"/>
    <n v="0"/>
    <n v="0"/>
    <s v="MEMD"/>
    <s v="017 Ministry of Energy and Mineral Development"/>
    <s v="UEDCL, REA"/>
  </r>
  <r>
    <x v="14"/>
    <x v="14"/>
    <s v="084"/>
    <s v="Energy Efficiency"/>
    <s v="0844"/>
    <s v="Promote utilization of energy efficient practices and technologies"/>
    <s v="084403"/>
    <s v="Promote the use of energy efficient equipment for both industrial and residential consumers"/>
    <m/>
    <m/>
    <s v="08440302"/>
    <s v="Increased energy saving"/>
    <s v="Number of electric charging transport stations established"/>
    <n v="0"/>
    <n v="5"/>
    <n v="10"/>
    <n v="10"/>
    <n v="10"/>
    <n v="10"/>
    <s v="MEMD"/>
    <s v="017 Ministry of Energy and Mineral Development"/>
    <s v="Energy efficiency promotion"/>
    <n v="1"/>
    <n v="0"/>
    <n v="1"/>
    <n v="1"/>
    <n v="1"/>
    <n v="1"/>
    <n v="0"/>
    <n v="1"/>
    <n v="0.75"/>
    <m/>
    <n v="0"/>
    <n v="0"/>
    <n v="0"/>
    <n v="0"/>
    <n v="0"/>
    <n v="0"/>
    <n v="0"/>
    <s v="MEMD"/>
    <s v="017 Ministry of Energy and Mineral Development"/>
    <s v="UETCL, UEDCL"/>
  </r>
  <r>
    <x v="14"/>
    <x v="14"/>
    <s v="084"/>
    <s v="Energy Efficiency"/>
    <s v="0844"/>
    <s v="Promote utilization of energy efficient practices and technologies"/>
    <s v="084403"/>
    <s v="Promote the use of energy efficient equipment for both industrial and residential consumers"/>
    <m/>
    <m/>
    <s v="08440302"/>
    <s v="Increased energy saving"/>
    <m/>
    <m/>
    <m/>
    <m/>
    <m/>
    <m/>
    <m/>
    <m/>
    <e v="#N/A"/>
    <s v="Enforcement of energy efficiency standards"/>
    <n v="1"/>
    <n v="0"/>
    <n v="1"/>
    <n v="1"/>
    <n v="1"/>
    <n v="1"/>
    <n v="0"/>
    <n v="1"/>
    <n v="0.75"/>
    <m/>
    <n v="0"/>
    <n v="0"/>
    <n v="0"/>
    <n v="0"/>
    <n v="1.5"/>
    <n v="0"/>
    <n v="1.5"/>
    <s v="UNBS"/>
    <s v="154 Uganda National Bureau of Standards"/>
    <s v="MTIC, MEMD"/>
  </r>
  <r>
    <x v="14"/>
    <x v="14"/>
    <s v="084"/>
    <s v="Energy Efficiency"/>
    <s v="0844"/>
    <s v="Promote utilization of energy efficient practices and technologies"/>
    <s v="084404"/>
    <s v="Introduce Minimum Performance Standards for selected electrical appliances"/>
    <m/>
    <m/>
    <s v="08440401"/>
    <s v="Energy Management Standards integrated"/>
    <s v="No. of Minimum performance Standards for critical electrical appliances in place"/>
    <n v="5"/>
    <n v="7"/>
    <n v="9"/>
    <n v="11"/>
    <n v="13"/>
    <n v="15"/>
    <s v="MEMD/ UNBS"/>
    <e v="#N/A"/>
    <s v="Develop and enforce Minimum Energy Performance  Standards (Enforcement of Standards needs Quality Tests in a well-equipped and accredited test lab: Test equipment, test method training for analysts and designed test rooms)"/>
    <n v="1"/>
    <n v="0"/>
    <n v="0"/>
    <n v="1"/>
    <n v="1"/>
    <n v="1"/>
    <n v="0"/>
    <n v="1"/>
    <n v="0.625"/>
    <m/>
    <n v="0"/>
    <n v="0"/>
    <n v="0"/>
    <n v="0"/>
    <n v="0"/>
    <n v="0"/>
    <n v="0"/>
    <s v="MEMD"/>
    <s v="017 Ministry of Energy and Mineral Development"/>
    <s v="UNBS, MTIC"/>
  </r>
  <r>
    <x v="14"/>
    <x v="14"/>
    <s v="084"/>
    <s v="Energy Efficiency"/>
    <s v="0844"/>
    <s v="Promote utilization of energy efficient practices and technologies"/>
    <s v="084404"/>
    <s v="Introduce Minimum Performance Standards for selected electrical appliances"/>
    <m/>
    <m/>
    <s v="08440401"/>
    <s v="Energy Management Standards integrated"/>
    <m/>
    <m/>
    <m/>
    <m/>
    <m/>
    <m/>
    <m/>
    <m/>
    <e v="#N/A"/>
    <s v="Enhancement of the Electrical Test laboratory to conduct efficiency tests on the selected appliances"/>
    <n v="1"/>
    <n v="1"/>
    <n v="0"/>
    <n v="1"/>
    <n v="1"/>
    <n v="1"/>
    <n v="0"/>
    <n v="1"/>
    <n v="0.75"/>
    <m/>
    <n v="0"/>
    <n v="10"/>
    <n v="5"/>
    <n v="5"/>
    <n v="3"/>
    <n v="3"/>
    <n v="6"/>
    <s v="UNBS"/>
    <s v="154 Uganda National Bureau of Standards"/>
    <s v="MEMD, MTIC"/>
  </r>
  <r>
    <x v="15"/>
    <x v="15"/>
    <s v="15X"/>
    <s v="Government Commitments"/>
    <s v="17X"/>
    <s v="Provision for Government Commitments"/>
    <s v="17X"/>
    <s v="Government Commitments"/>
    <m/>
    <m/>
    <s v="17X"/>
    <s v="Government Commitments"/>
    <s v="-"/>
    <s v="-"/>
    <s v="-"/>
    <s v="-"/>
    <s v="-"/>
    <s v="-"/>
    <s v="-"/>
    <s v="-"/>
    <s v="-"/>
    <s v="Wage"/>
    <m/>
    <m/>
    <m/>
    <m/>
    <m/>
    <m/>
    <m/>
    <m/>
    <m/>
    <m/>
    <m/>
    <m/>
    <m/>
    <m/>
    <n v="427.34"/>
    <n v="427.34"/>
    <n v="854.68"/>
    <m/>
    <m/>
    <m/>
  </r>
  <r>
    <x v="15"/>
    <x v="15"/>
    <s v="15X"/>
    <s v="Government Commitments"/>
    <s v="17X"/>
    <s v="Provision for Government Commitments"/>
    <s v="17X"/>
    <s v="Government Commitments"/>
    <m/>
    <m/>
    <s v="17X"/>
    <s v="Government Commitments"/>
    <s v="-"/>
    <s v="-"/>
    <s v="-"/>
    <s v="-"/>
    <s v="-"/>
    <s v="-"/>
    <s v="-"/>
    <s v="-"/>
    <s v="-"/>
    <s v="Non-Wage (Statutory)"/>
    <m/>
    <m/>
    <m/>
    <m/>
    <m/>
    <m/>
    <m/>
    <m/>
    <m/>
    <m/>
    <m/>
    <m/>
    <m/>
    <m/>
    <n v="170.93600000000001"/>
    <n v="170.93600000000001"/>
    <n v="341.87200000000001"/>
    <m/>
    <m/>
    <m/>
  </r>
  <r>
    <x v="15"/>
    <x v="15"/>
    <s v="15X"/>
    <s v="Government Commitments"/>
    <s v="17X"/>
    <s v="Provision for Government Commitments"/>
    <s v="17X"/>
    <s v="Government Commitments"/>
    <m/>
    <m/>
    <s v="17X"/>
    <s v="Government Commitments"/>
    <s v="-"/>
    <s v="-"/>
    <s v="-"/>
    <s v="-"/>
    <s v="-"/>
    <s v="-"/>
    <s v="-"/>
    <s v="-"/>
    <s v="-"/>
    <s v="Multi-Year Commitments"/>
    <m/>
    <m/>
    <m/>
    <m/>
    <m/>
    <m/>
    <m/>
    <m/>
    <m/>
    <m/>
    <m/>
    <m/>
    <m/>
    <m/>
    <n v="44.639673580999997"/>
    <n v="13.615077545000002"/>
    <n v="58.254751126000002"/>
    <m/>
    <m/>
    <m/>
  </r>
  <r>
    <x v="15"/>
    <x v="15"/>
    <s v="171"/>
    <s v="Production and Productivity"/>
    <s v="1711"/>
    <s v="Stimulate the growth potential of the sub-regions through area-based agribusiness LED initiatives"/>
    <n v="171101"/>
    <s v="Organize farmers into cooperatives at district level"/>
    <m/>
    <m/>
    <s v="17110101"/>
    <s v="District Farmers’ cooperatives established"/>
    <s v="Number of farmers in cooperatives/ associations"/>
    <n v="0"/>
    <n v="56"/>
    <n v="56"/>
    <n v="56"/>
    <n v="56"/>
    <n v="56"/>
    <s v="LGs, MGLD, Farmers groups "/>
    <e v="#N/A"/>
    <s v="Mobilization of beneficiaries and special interest groups (youth and women) into creation of these cooperatives"/>
    <n v="1"/>
    <n v="0"/>
    <n v="1"/>
    <n v="0"/>
    <n v="1"/>
    <n v="0"/>
    <n v="1"/>
    <n v="0"/>
    <n v="0.5"/>
    <m/>
    <n v="0"/>
    <n v="0"/>
    <n v="2.38"/>
    <n v="2.52"/>
    <n v="0"/>
    <n v="0"/>
    <n v="0"/>
    <s v="LGs"/>
    <s v="500 501-850 Local Governments"/>
    <s v="OWC, MAAIF, MoTIC, MoLG"/>
  </r>
  <r>
    <x v="15"/>
    <x v="15"/>
    <s v="171"/>
    <s v="Production and Productivity"/>
    <s v="1711"/>
    <s v="Stimulate the growth potential of the sub-regions through area-based agribusiness LED initiatives"/>
    <n v="171101"/>
    <s v="Organize farmers into cooperatives at district level"/>
    <s v="171101a"/>
    <s v="Support Youth and Women cooperatives"/>
    <s v="171101a01"/>
    <s v="Youth and Women cooperatives supported"/>
    <s v="No. of Youth and Women cooperatives supported"/>
    <n v="0"/>
    <n v="56"/>
    <n v="56"/>
    <n v="56"/>
    <n v="56"/>
    <n v="56"/>
    <s v="LGs, MGLD, Farmers groups "/>
    <e v="#N/A"/>
    <s v="Distribute quality inputs, livestock, storage facilities and processing equipments  to farmer groups "/>
    <n v="1"/>
    <n v="1"/>
    <n v="1"/>
    <n v="1"/>
    <n v="1"/>
    <n v="1"/>
    <n v="1"/>
    <n v="0"/>
    <n v="0.875"/>
    <m/>
    <n v="0"/>
    <n v="0"/>
    <n v="2.98"/>
    <n v="3.15"/>
    <n v="0"/>
    <n v="0"/>
    <n v="0"/>
    <s v="LGs"/>
    <s v="500 501-850 Local Governments"/>
    <s v="OWC, MAAIF,MTIC,NAADS, NAGRC&amp;DB"/>
  </r>
  <r>
    <x v="15"/>
    <x v="15"/>
    <s v="171"/>
    <s v="Production and Productivity"/>
    <s v="1711"/>
    <s v="Stimulate the growth potential of the sub-regions through area-based agribusiness LED initiatives"/>
    <n v="171101"/>
    <s v="Organize farmers into cooperatives at district level"/>
    <s v="171101b"/>
    <s v="Provide financing and extension services"/>
    <s v="171101b01"/>
    <s v="Financing and extension services provided"/>
    <s v="Amount of financing provided"/>
    <n v="0"/>
    <m/>
    <m/>
    <m/>
    <m/>
    <m/>
    <s v="LGs, MGLD, Farmers groups "/>
    <e v="#N/A"/>
    <m/>
    <m/>
    <m/>
    <m/>
    <m/>
    <m/>
    <m/>
    <n v="0"/>
    <n v="0"/>
    <n v="0"/>
    <m/>
    <n v="0"/>
    <m/>
    <m/>
    <m/>
    <n v="0"/>
    <n v="0"/>
    <n v="0"/>
    <m/>
    <m/>
    <m/>
  </r>
  <r>
    <x v="15"/>
    <x v="15"/>
    <s v="171"/>
    <s v="Production and Productivity"/>
    <s v="1711"/>
    <s v="Stimulate the growth potential of the sub-regions through area-based agribusiness LED initiatives"/>
    <n v="171101"/>
    <s v="Organize farmers into cooperatives at district level"/>
    <m/>
    <m/>
    <s v="17110102"/>
    <s v="Support youth with scholarships "/>
    <s v="Number of scholarship provided to youths"/>
    <n v="0"/>
    <n v="800"/>
    <n v="800"/>
    <n v="800"/>
    <n v="800"/>
    <n v="800"/>
    <s v="LGs"/>
    <s v="500 501-850 Local Governments"/>
    <s v="Support scholarship beneficiaries with tuition and requirements to complete their studies in Higher institutions of learning (training of farmers)"/>
    <n v="0"/>
    <n v="0"/>
    <n v="0"/>
    <n v="1"/>
    <n v="1"/>
    <n v="0"/>
    <n v="0"/>
    <n v="0"/>
    <n v="0.25"/>
    <m/>
    <n v="1"/>
    <n v="0"/>
    <n v="1.7"/>
    <n v="1.8"/>
    <n v="1.8"/>
    <n v="1.8"/>
    <n v="3.6"/>
    <s v="LGs"/>
    <s v="500 501-850 Local Governments"/>
    <s v="MAAIF, MoLG"/>
  </r>
  <r>
    <x v="15"/>
    <x v="15"/>
    <s v="171"/>
    <s v="Production and Productivity"/>
    <s v="1711"/>
    <s v="Stimulate the growth potential of the sub-regions through area-based agribusiness LED initiatives"/>
    <n v="171101"/>
    <s v="Organize farmers into cooperatives at district level"/>
    <m/>
    <m/>
    <s v="17110103"/>
    <s v="Agricultural tractors and ox-ploughs provided for mechanization of agriculture"/>
    <s v="Number of tractors and oxploughs forvide to youths and women"/>
    <n v="0"/>
    <m/>
    <n v="112"/>
    <n v="112"/>
    <n v="112"/>
    <n v="112"/>
    <s v="MAAIF"/>
    <s v="010 Ministry of Agriculture, Animal &amp; Fisheries"/>
    <s v="Identification of beneficiary cooperatives, Procurement and distribution of tractors,ox-ploughs, Training of beneficiary cooperatives,monitoring of beneficiary cooperatives"/>
    <n v="1"/>
    <n v="1"/>
    <n v="1"/>
    <n v="1"/>
    <n v="1"/>
    <n v="1"/>
    <n v="1"/>
    <n v="0"/>
    <n v="0.875"/>
    <m/>
    <n v="0"/>
    <n v="0"/>
    <n v="0.31"/>
    <n v="1"/>
    <n v="0"/>
    <n v="0"/>
    <n v="0"/>
    <s v="MAAIF"/>
    <s v="010 Ministry of Agriculture, Animal &amp; Fisheries"/>
    <s v="OWC,NAADS, MAAIF"/>
  </r>
  <r>
    <x v="15"/>
    <x v="15"/>
    <s v="171"/>
    <s v="Production and Productivity"/>
    <s v="1711"/>
    <s v="Stimulate the growth potential of the sub-regions through area-based agribusiness LED initiatives"/>
    <n v="171101"/>
    <s v="Organize farmers into cooperatives at district level"/>
    <m/>
    <m/>
    <s v="17110103"/>
    <s v="Agricultural tractors and ox-ploughs provided for mechanization of agriculture"/>
    <s v="Number of tractors and oxploughs forvide to youths and women"/>
    <n v="0"/>
    <m/>
    <n v="112"/>
    <n v="112"/>
    <n v="112"/>
    <n v="112"/>
    <s v="MAAIF"/>
    <s v="010 Ministry of Agriculture, Animal &amp; Fisheries"/>
    <s v="Identification of beneficiary cooperatives"/>
    <n v="1"/>
    <n v="1"/>
    <n v="1"/>
    <n v="1"/>
    <n v="1"/>
    <n v="1"/>
    <n v="1"/>
    <n v="0"/>
    <n v="0.875"/>
    <m/>
    <n v="0"/>
    <n v="0"/>
    <n v="1.02"/>
    <n v="1.02"/>
    <n v="0"/>
    <n v="0"/>
    <n v="0"/>
    <s v="MAAIF"/>
    <s v="010 Ministry of Agriculture, Animal &amp; Fisheries"/>
    <s v="OWC,NAADS, MAAIF"/>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m/>
    <n v="112"/>
    <n v="112"/>
    <n v="112"/>
    <n v="112"/>
    <s v="MAAIF"/>
    <s v="010 Ministry of Agriculture, Animal &amp; Fisheries"/>
    <s v="Identification of beneficiary cooperatives"/>
    <m/>
    <m/>
    <m/>
    <m/>
    <m/>
    <m/>
    <n v="0"/>
    <n v="0"/>
    <n v="0"/>
    <m/>
    <n v="0"/>
    <n v="0"/>
    <n v="0.76500000000000001"/>
    <n v="0.81"/>
    <n v="0"/>
    <n v="0"/>
    <n v="0"/>
    <s v="MAAIF"/>
    <s v="010 Ministry of Agriculture, Animal &amp; Fisheries"/>
    <s v="OWC,NAADS, MAAIF"/>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m/>
    <n v="112"/>
    <n v="112"/>
    <n v="112"/>
    <n v="112"/>
    <s v="MAAIF"/>
    <s v="010 Ministry of Agriculture, Animal &amp; Fisheries"/>
    <s v="Procurement and distribution of cassava chippers"/>
    <m/>
    <m/>
    <m/>
    <m/>
    <m/>
    <m/>
    <n v="0"/>
    <n v="0"/>
    <n v="0"/>
    <m/>
    <n v="0"/>
    <n v="0"/>
    <n v="0"/>
    <n v="0"/>
    <n v="0"/>
    <n v="0"/>
    <n v="0"/>
    <s v="MAAIF"/>
    <s v="010 Ministry of Agriculture, Animal &amp; Fisheries"/>
    <s v="OWC,NAADS"/>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m/>
    <n v="112"/>
    <n v="112"/>
    <n v="112"/>
    <n v="112"/>
    <s v="MAAIF"/>
    <s v="010 Ministry of Agriculture, Animal &amp; Fisheries"/>
    <s v="Monitoring of beneficiary cooperatives"/>
    <n v="0"/>
    <n v="0"/>
    <n v="0"/>
    <n v="1"/>
    <n v="0"/>
    <n v="0"/>
    <n v="1"/>
    <n v="0"/>
    <n v="0.25"/>
    <m/>
    <n v="0"/>
    <n v="0"/>
    <n v="0"/>
    <n v="0"/>
    <n v="0"/>
    <n v="0"/>
    <n v="0"/>
    <s v="MoTIC"/>
    <s v="015 Ministry of Trade, Industry and Cooperatives"/>
    <s v="OWC,NAADS, LGs"/>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168"/>
    <n v="168"/>
    <n v="168"/>
    <n v="168"/>
    <n v="168"/>
    <s v="LGs"/>
    <s v="500 501-850 Local Governments"/>
    <s v="Identification of beneficiary cooperatives"/>
    <n v="0"/>
    <n v="0"/>
    <n v="1"/>
    <n v="1"/>
    <n v="0"/>
    <n v="0"/>
    <n v="1"/>
    <n v="0"/>
    <n v="0.375"/>
    <m/>
    <n v="0"/>
    <n v="0"/>
    <n v="1.49"/>
    <n v="1.58"/>
    <n v="0"/>
    <n v="0"/>
    <n v="0"/>
    <s v="LGs"/>
    <s v="500 501-850 Local Governments"/>
    <s v="OWC,NAADS"/>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MAAIF"/>
    <s v="010 Ministry of Agriculture, Animal &amp; Fisheries"/>
    <s v="Procurement and distribution of oil extraction machines"/>
    <n v="0"/>
    <n v="0"/>
    <n v="0"/>
    <n v="1"/>
    <n v="0"/>
    <n v="0"/>
    <n v="1"/>
    <n v="0"/>
    <n v="0.25"/>
    <m/>
    <n v="0"/>
    <n v="0"/>
    <n v="0"/>
    <n v="0"/>
    <n v="0"/>
    <n v="0"/>
    <n v="0"/>
    <s v="MAAIF"/>
    <s v="010 Ministry of Agriculture, Animal &amp; Fisheries"/>
    <s v="OWC,NAADS,LGs"/>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MoTIC"/>
    <s v="015 Ministry of Trade, Industry and Cooperatives"/>
    <s v="Training of beneficiary cooperatives"/>
    <n v="0"/>
    <n v="0"/>
    <n v="0"/>
    <n v="1"/>
    <n v="0"/>
    <n v="0"/>
    <n v="1"/>
    <n v="0"/>
    <n v="0.25"/>
    <m/>
    <n v="0"/>
    <n v="0"/>
    <n v="0"/>
    <n v="0"/>
    <n v="0"/>
    <n v="0"/>
    <n v="0"/>
    <s v="MoTIC"/>
    <s v="015 Ministry of Trade, Industry and Cooperatives"/>
    <s v="OWC,NAADS,LGs"/>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MoTIC"/>
    <s v="015 Ministry of Trade, Industry and Cooperatives"/>
    <s v="Monitoring of beneficiary cooperatives"/>
    <n v="0"/>
    <n v="0"/>
    <n v="0"/>
    <n v="1"/>
    <n v="0"/>
    <n v="0"/>
    <n v="1"/>
    <n v="0"/>
    <n v="0.25"/>
    <m/>
    <n v="0"/>
    <n v="0"/>
    <n v="0"/>
    <n v="0"/>
    <n v="0"/>
    <n v="0"/>
    <n v="0"/>
    <s v="MoTIC"/>
    <s v="015 Ministry of Trade, Industry and Cooperatives"/>
    <s v="OWC"/>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LGs"/>
    <s v="500 501-850 Local Governments"/>
    <s v="Identification of beneficiary cooperatives"/>
    <n v="1"/>
    <n v="1"/>
    <n v="1"/>
    <n v="1"/>
    <n v="1"/>
    <n v="1"/>
    <n v="1"/>
    <n v="0"/>
    <n v="0.875"/>
    <m/>
    <n v="0"/>
    <n v="0"/>
    <n v="0.37"/>
    <n v="0.39"/>
    <n v="0"/>
    <n v="0"/>
    <n v="0"/>
    <s v="LGs"/>
    <s v="500 501-850 Local Governments"/>
    <s v="OWC"/>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MAAIF"/>
    <s v="010 Ministry of Agriculture, Animal &amp; Fisheries"/>
    <s v="Procurement and distribution of maize mills"/>
    <n v="0"/>
    <n v="0"/>
    <n v="0"/>
    <n v="1"/>
    <n v="0"/>
    <n v="0"/>
    <n v="1"/>
    <n v="0"/>
    <n v="0.25"/>
    <m/>
    <n v="0"/>
    <n v="0"/>
    <n v="0"/>
    <n v="0"/>
    <n v="0"/>
    <n v="0"/>
    <n v="0"/>
    <s v="MAAIF"/>
    <s v="010 Ministry of Agriculture, Animal &amp; Fisheries"/>
    <s v="OWC"/>
  </r>
  <r>
    <x v="15"/>
    <x v="15"/>
    <s v="171"/>
    <s v="Production and Productivity"/>
    <s v="1711"/>
    <s v="Stimulate the growth potential of the sub-regions through area-based agribusiness LED initiatives"/>
    <n v="171101"/>
    <s v="Organize farmers into cooperatives at district level"/>
    <m/>
    <m/>
    <s v="17110104"/>
    <s v="Support to value chain development for key commodities through provision of cassava chippers , maize mills, oil extraction machines"/>
    <s v="Number of f cassava chippers , maize mills, oil extraction machines provided"/>
    <n v="0"/>
    <n v="435"/>
    <n v="435"/>
    <n v="435"/>
    <n v="435"/>
    <n v="435"/>
    <s v="MoTIC"/>
    <s v="015 Ministry of Trade, Industry and Cooperatives"/>
    <s v="Monitoring of beneficiary cooperatives"/>
    <n v="0"/>
    <n v="0"/>
    <n v="0"/>
    <n v="1"/>
    <n v="1"/>
    <n v="0"/>
    <n v="1"/>
    <n v="0"/>
    <n v="0.375"/>
    <m/>
    <n v="0"/>
    <n v="0"/>
    <n v="0"/>
    <n v="0"/>
    <n v="0"/>
    <n v="0"/>
    <n v="0"/>
    <s v="MoTIC"/>
    <s v="015 Ministry of Trade, Industry and Cooperatives"/>
    <s v="OWC"/>
  </r>
  <r>
    <x v="15"/>
    <x v="15"/>
    <s v="171"/>
    <s v="Production and Productivity"/>
    <s v="1711"/>
    <s v="Stimulate the growth potential of the sub-regions through area-based agribusiness LED initiatives"/>
    <n v="171101"/>
    <s v="Organize farmers into cooperatives at district level"/>
    <m/>
    <m/>
    <s v="17110105"/>
    <s v="Women and Youth enterprises supported with motorcycles and sewing machines"/>
    <s v="Number of  motorcycles and sewing machines"/>
    <n v="0"/>
    <n v="870"/>
    <n v="870"/>
    <n v="870"/>
    <n v="870"/>
    <n v="870"/>
    <s v="LGs"/>
    <s v="500 501-850 Local Governments"/>
    <s v="Identification of beneficiary cooperatives"/>
    <n v="1"/>
    <n v="1"/>
    <n v="1"/>
    <n v="1"/>
    <n v="1"/>
    <n v="1"/>
    <n v="1"/>
    <n v="0"/>
    <n v="0.875"/>
    <m/>
    <n v="0"/>
    <n v="0"/>
    <n v="1.3260000000000001"/>
    <n v="1.4039999999999999"/>
    <n v="0"/>
    <n v="0"/>
    <n v="0"/>
    <s v="LGs"/>
    <s v="500 501-850 Local Governments"/>
    <s v="OWC, MoTIC"/>
  </r>
  <r>
    <x v="15"/>
    <x v="15"/>
    <s v="171"/>
    <s v="Production and Productivity"/>
    <s v="1711"/>
    <s v="Stimulate the growth potential of the sub-regions through area-based agribusiness LED initiatives"/>
    <n v="171101"/>
    <s v="Organize farmers into cooperatives at district level"/>
    <m/>
    <m/>
    <s v="17110105"/>
    <s v="Women and Youth enterprises supported with motorcycles and sewing machines"/>
    <s v="Number of  motorcycles and sewing machines"/>
    <n v="0"/>
    <n v="870"/>
    <n v="870"/>
    <n v="870"/>
    <n v="870"/>
    <n v="870"/>
    <s v="OPM"/>
    <s v="003 Office of the Prime Minister"/>
    <s v="Procurement and distribution of motorcycles"/>
    <n v="1"/>
    <n v="0"/>
    <n v="0"/>
    <n v="1"/>
    <n v="0"/>
    <n v="0"/>
    <n v="1"/>
    <n v="0"/>
    <n v="0.375"/>
    <m/>
    <n v="0"/>
    <n v="0"/>
    <n v="0"/>
    <n v="0"/>
    <n v="0"/>
    <n v="0"/>
    <n v="0"/>
    <s v="LGs"/>
    <s v="500 501-850 Local Governments"/>
    <s v="OWC, LGs"/>
  </r>
  <r>
    <x v="15"/>
    <x v="15"/>
    <s v="171"/>
    <s v="Production and Productivity"/>
    <s v="1711"/>
    <s v="Stimulate the growth potential of the sub-regions through area-based agribusiness LED initiatives"/>
    <n v="171101"/>
    <s v="Organize farmers into cooperatives at district level"/>
    <m/>
    <m/>
    <s v="17110105"/>
    <s v="Women and Youth enterprises supported with motorcycles and sewing machines"/>
    <s v="Number of  motorcycles and sewing machines"/>
    <n v="0"/>
    <n v="870"/>
    <n v="870"/>
    <n v="870"/>
    <n v="870"/>
    <n v="870"/>
    <s v="LGs"/>
    <s v="500 501-850 Local Governments"/>
    <s v="Monitoring of beneficiary cooperatives"/>
    <n v="1"/>
    <n v="1"/>
    <n v="1"/>
    <n v="1"/>
    <n v="1"/>
    <n v="1"/>
    <n v="1"/>
    <n v="1"/>
    <n v="1"/>
    <m/>
    <n v="0"/>
    <n v="0"/>
    <n v="0"/>
    <n v="0"/>
    <n v="0"/>
    <n v="0"/>
    <n v="0"/>
    <s v="LGs"/>
    <s v="500 501-850 Local Governments"/>
    <s v="OWC, LGs"/>
  </r>
  <r>
    <x v="15"/>
    <x v="15"/>
    <s v="171"/>
    <s v="Production and Productivity"/>
    <s v="1711"/>
    <s v="Stimulate the growth potential of the sub-regions through area-based agribusiness LED initiatives"/>
    <n v="171101"/>
    <s v="Organize farmers into cooperatives at district level"/>
    <m/>
    <m/>
    <s v="17110105"/>
    <s v="Women and Youth enterprises supported with motorcycles and sewing machines"/>
    <s v="Number of  motorcycles and sewing machines"/>
    <n v="0"/>
    <n v="870"/>
    <n v="870"/>
    <n v="870"/>
    <n v="870"/>
    <n v="870"/>
    <s v="LGs"/>
    <s v="500 501-850 Local Governments"/>
    <s v="Identification of beneficiary cooperatives"/>
    <n v="1"/>
    <n v="1"/>
    <n v="1"/>
    <n v="1"/>
    <n v="1"/>
    <n v="1"/>
    <n v="1"/>
    <n v="0"/>
    <n v="0.875"/>
    <m/>
    <n v="0"/>
    <n v="0"/>
    <n v="1.43"/>
    <n v="1.51"/>
    <n v="0"/>
    <n v="0"/>
    <n v="0"/>
    <s v="LGs"/>
    <s v="500 501-850 Local Governments"/>
    <s v="OWC, MoTIC"/>
  </r>
  <r>
    <x v="15"/>
    <x v="15"/>
    <s v="171"/>
    <s v="Production and Productivity"/>
    <s v="1711"/>
    <s v="Stimulate the growth potential of the sub-regions through area-based agribusiness LED initiatives"/>
    <n v="171101"/>
    <s v="Organize farmers into cooperatives at district level"/>
    <m/>
    <m/>
    <s v="17110105"/>
    <s v="Women and Youth enterprises supported with motorcycles and sewing machines"/>
    <s v="Number of  motorcycles and sewing machines"/>
    <n v="0"/>
    <n v="870"/>
    <n v="870"/>
    <n v="870"/>
    <n v="870"/>
    <n v="870"/>
    <s v="MoGLSD"/>
    <s v="018 Ministry of Gender, Labour and Social Development"/>
    <s v="Procurement and distribution of sewing machines"/>
    <n v="0"/>
    <n v="1"/>
    <n v="1"/>
    <n v="1"/>
    <n v="0"/>
    <n v="0"/>
    <n v="1"/>
    <n v="0"/>
    <n v="0.5"/>
    <m/>
    <n v="0"/>
    <n v="0"/>
    <n v="0"/>
    <n v="0"/>
    <n v="0"/>
    <n v="0"/>
    <n v="0"/>
    <s v="MoGLSD"/>
    <s v="018 Ministry of Gender, Labour and Social Development"/>
    <s v="OWC"/>
  </r>
  <r>
    <x v="15"/>
    <x v="15"/>
    <s v="171"/>
    <s v="Production and Productivity"/>
    <s v="1711"/>
    <s v="Stimulate the growth potential of the sub-regions through area-based agribusiness LED initiatives"/>
    <n v="171101"/>
    <s v="Organize farmers into cooperatives at district level"/>
    <m/>
    <m/>
    <s v="17110106"/>
    <s v="3300 farmer Groups provided with a revolving fund"/>
    <s v="Shs. Provided as revolving fund"/>
    <n v="0"/>
    <n v="870"/>
    <n v="870"/>
    <n v="870"/>
    <n v="870"/>
    <n v="870"/>
    <s v="LGs"/>
    <s v="500 501-850 Local Governments"/>
    <s v="Using the Parish Model, provide a revolving fund for self-help groups and enterprises at a Parish level"/>
    <n v="1"/>
    <n v="1"/>
    <n v="1"/>
    <n v="1"/>
    <n v="1"/>
    <n v="1"/>
    <n v="1"/>
    <n v="1"/>
    <n v="1"/>
    <m/>
    <n v="0"/>
    <n v="0"/>
    <n v="0.5"/>
    <n v="0.5"/>
    <n v="0.5"/>
    <n v="0.5"/>
    <n v="1"/>
    <s v="LGs"/>
    <s v="500 501-850 Local Governments"/>
    <s v="OWC, MGLSD, MSC"/>
  </r>
  <r>
    <x v="15"/>
    <x v="15"/>
    <s v="171"/>
    <s v="Production and Productivity"/>
    <s v="1711"/>
    <s v="Stimulate the growth potential of the sub-regions through area-based agribusiness LED initiatives"/>
    <n v="171102"/>
    <s v="Increase regulation of farm input markets to reduce adulteration"/>
    <m/>
    <m/>
    <s v="17110201"/>
    <s v="More farm input dealers assessed and certified "/>
    <s v="Number of certified farm input dealers"/>
    <n v="56"/>
    <n v="87"/>
    <n v="87"/>
    <n v="87"/>
    <n v="87"/>
    <n v="87"/>
    <s v="MAAIF, LGs "/>
    <e v="#N/A"/>
    <s v="Certify farm input dealers in each district "/>
    <n v="1"/>
    <n v="1"/>
    <n v="1"/>
    <n v="1"/>
    <n v="1"/>
    <n v="1"/>
    <n v="1"/>
    <n v="1"/>
    <n v="1"/>
    <m/>
    <n v="0"/>
    <n v="0"/>
    <n v="0"/>
    <n v="0"/>
    <n v="0"/>
    <n v="0"/>
    <n v="0"/>
    <s v="OP (OWC)"/>
    <s v="001 Office of the President"/>
    <s v="LGs, MAAIF"/>
  </r>
  <r>
    <x v="15"/>
    <x v="15"/>
    <s v="171"/>
    <s v="Production and Productivity"/>
    <s v="1711"/>
    <s v="Stimulate the growth potential of the sub-regions through area-based agribusiness LED initiatives"/>
    <n v="171102"/>
    <s v="Increase regulation of farm input markets to reduce adulteration"/>
    <m/>
    <m/>
    <s v="17110201"/>
    <s v="More farm input dealers assessed and certified "/>
    <s v="Number of certified farm input dealers"/>
    <m/>
    <n v="87"/>
    <n v="87"/>
    <n v="87"/>
    <n v="87"/>
    <n v="87"/>
    <s v="OP (OWC)"/>
    <s v="001 Office of the President"/>
    <s v="Identify/establish and gazette regional shopping zones for farm input dealers"/>
    <n v="1"/>
    <n v="1"/>
    <n v="1"/>
    <n v="0"/>
    <n v="0"/>
    <n v="0"/>
    <n v="1"/>
    <n v="1"/>
    <n v="0.625"/>
    <m/>
    <n v="0"/>
    <n v="0"/>
    <n v="0"/>
    <n v="0"/>
    <n v="0"/>
    <n v="0"/>
    <n v="0"/>
    <s v="OP (OWC)"/>
    <s v="001 Office of the President"/>
    <s v="LGs"/>
  </r>
  <r>
    <x v="15"/>
    <x v="15"/>
    <s v="171"/>
    <s v="Production and Productivity"/>
    <s v="1711"/>
    <s v="Stimulate the growth potential of the sub-regions through area-based agribusiness LED initiatives"/>
    <n v="171102"/>
    <s v="Increase regulation of farm input markets to reduce adulteration"/>
    <m/>
    <m/>
    <s v="17110201"/>
    <s v="More farm input dealers assessed and certified "/>
    <s v="Number of certified farm input dealers"/>
    <m/>
    <n v="87"/>
    <n v="87"/>
    <n v="87"/>
    <n v="87"/>
    <n v="87"/>
    <s v="OP (OWC)"/>
    <s v="001 Office of the President"/>
    <s v="Set up public-private partnership seed/farm inputs production /centers"/>
    <n v="1"/>
    <n v="1"/>
    <n v="1"/>
    <n v="0"/>
    <n v="0"/>
    <n v="1"/>
    <n v="1"/>
    <n v="1"/>
    <n v="0.75"/>
    <m/>
    <n v="0"/>
    <n v="0"/>
    <n v="0"/>
    <n v="0"/>
    <n v="0"/>
    <n v="0"/>
    <n v="0"/>
    <s v="OP (OWC)"/>
    <s v="001 Office of the President"/>
    <s v="OWC, MAAIF"/>
  </r>
  <r>
    <x v="15"/>
    <x v="15"/>
    <s v="171"/>
    <s v="Production and Productivity"/>
    <s v="1711"/>
    <s v="Stimulate the growth potential of the sub-regions through area-based agribusiness LED initiatives"/>
    <n v="171102"/>
    <s v="Increase regulation of farm input markets to reduce adulteration"/>
    <m/>
    <m/>
    <s v="17110201"/>
    <s v="More farm input dealers assessed and certified "/>
    <s v="Number of certified farm input dealers"/>
    <m/>
    <n v="87"/>
    <n v="87"/>
    <n v="87"/>
    <n v="87"/>
    <n v="87"/>
    <s v="LGs"/>
    <s v="500 501-850 Local Governments"/>
    <s v=" Support enforcement of existing laws on farm inputs "/>
    <n v="1"/>
    <n v="1"/>
    <n v="1"/>
    <n v="1"/>
    <n v="1"/>
    <n v="1"/>
    <n v="1"/>
    <n v="1"/>
    <n v="1"/>
    <m/>
    <n v="0"/>
    <n v="0"/>
    <n v="4.26"/>
    <n v="4.26"/>
    <n v="4.26"/>
    <n v="4.26"/>
    <n v="8.52"/>
    <s v="LGs"/>
    <s v="500 501-850 Local Governments"/>
    <s v="OWC, MAAIF"/>
  </r>
  <r>
    <x v="15"/>
    <x v="15"/>
    <s v="171"/>
    <s v="Production and Productivity"/>
    <s v="1711"/>
    <s v="Stimulate the growth potential of the sub-regions through area-based agribusiness LED initiatives"/>
    <n v="171103"/>
    <s v="Construct irrigation schemes and valley dams to ensure production all year round"/>
    <m/>
    <m/>
    <s v="17110301"/>
    <s v="Irrigation schemes and valley dams constructed "/>
    <s v="Number of Irrigation schemes and valley dams constructed"/>
    <n v="0"/>
    <n v="174"/>
    <n v="174"/>
    <n v="174"/>
    <n v="174"/>
    <n v="174"/>
    <s v="MWE"/>
    <s v="019 Ministry of Water and Environment"/>
    <s v="Construct valley dams"/>
    <n v="1"/>
    <n v="1"/>
    <n v="1"/>
    <n v="1"/>
    <n v="1"/>
    <n v="1"/>
    <n v="1"/>
    <n v="1"/>
    <n v="1"/>
    <m/>
    <n v="0"/>
    <n v="0"/>
    <n v="0"/>
    <n v="27"/>
    <n v="28.8"/>
    <n v="28.8"/>
    <n v="57.6"/>
    <s v="MWE"/>
    <s v="019 Ministry of Water and Environment"/>
    <s v="OWC, LGs, MoLG"/>
  </r>
  <r>
    <x v="15"/>
    <x v="15"/>
    <s v="171"/>
    <s v="Production and Productivity"/>
    <s v="1711"/>
    <s v="Stimulate the growth potential of the sub-regions through area-based agribusiness LED initiatives"/>
    <n v="171103"/>
    <s v="Construct irrigation schemes and valley dams to ensure production all year round"/>
    <m/>
    <m/>
    <s v="17110301"/>
    <s v="Irrigation schemes and valley dams constructed "/>
    <s v="Number of Irrigation schemes and valley dams constructed"/>
    <n v="0"/>
    <n v="174"/>
    <n v="174"/>
    <n v="174"/>
    <n v="174"/>
    <n v="174"/>
    <s v="MAAIF"/>
    <s v="010 Ministry of Agriculture, Animal &amp; Fisheries"/>
    <s v="Conduct pre-feasibility (1) and feasibility studies for water for production (1)"/>
    <n v="1"/>
    <n v="1"/>
    <n v="1"/>
    <n v="1"/>
    <n v="1"/>
    <n v="1"/>
    <n v="1"/>
    <n v="1"/>
    <n v="1"/>
    <m/>
    <n v="0"/>
    <n v="0"/>
    <n v="3"/>
    <n v="3"/>
    <n v="3"/>
    <n v="3"/>
    <n v="6"/>
    <s v="MAAIF"/>
    <s v="010 Ministry of Agriculture, Animal &amp; Fisheries"/>
    <s v="OWC,NPA,MWE"/>
  </r>
  <r>
    <x v="15"/>
    <x v="15"/>
    <s v="171"/>
    <s v="Production and Productivity"/>
    <s v="1711"/>
    <s v="Stimulate the growth potential of the sub-regions through area-based agribusiness LED initiatives"/>
    <n v="171103"/>
    <s v="Construct irrigation schemes and valley dams to ensure production all year round"/>
    <m/>
    <m/>
    <s v="17110301"/>
    <s v="Irrigation schemes and valley dams constructed "/>
    <s v="Number of Irrigation schemes and valley dams constructed"/>
    <n v="0"/>
    <n v="174"/>
    <n v="174"/>
    <n v="174"/>
    <n v="174"/>
    <n v="174"/>
    <s v="MWE"/>
    <s v="019 Ministry of Water and Environment"/>
    <s v="Construct large scale irrigation schemes"/>
    <n v="1"/>
    <n v="1"/>
    <n v="1"/>
    <n v="0"/>
    <n v="1"/>
    <n v="1"/>
    <n v="1"/>
    <n v="1"/>
    <n v="0.875"/>
    <n v="1"/>
    <n v="0"/>
    <n v="0"/>
    <n v="0"/>
    <n v="15.099181210563984"/>
    <n v="18"/>
    <n v="20.90081878942965"/>
    <n v="38.90081878942965"/>
    <s v="MWE"/>
    <s v="019 Ministry of Water and Environment"/>
    <s v="OWC, MWE, MAAIF"/>
  </r>
  <r>
    <x v="15"/>
    <x v="15"/>
    <s v="171"/>
    <s v="Production and Productivity"/>
    <s v="1711"/>
    <s v="Stimulate the growth potential of the sub-regions through area-based agribusiness LED initiatives"/>
    <n v="171103"/>
    <s v="Construct irrigation schemes and valley dams to ensure production all year round"/>
    <m/>
    <m/>
    <s v="17110301"/>
    <s v="Irrigation schemes and valley dams constructed "/>
    <s v="Number of Irrigation schemes and valley dams constructed"/>
    <n v="0"/>
    <n v="174"/>
    <n v="174"/>
    <n v="174"/>
    <n v="174"/>
    <n v="174"/>
    <s v="MWE"/>
    <s v="019 Ministry of Water and Environment"/>
    <s v="Support /Construct small scale irrigation scheme "/>
    <n v="1"/>
    <n v="1"/>
    <n v="1"/>
    <n v="1"/>
    <n v="1"/>
    <n v="1"/>
    <n v="1"/>
    <n v="1"/>
    <n v="1"/>
    <n v="1"/>
    <n v="0"/>
    <n v="29.877934500195803"/>
    <n v="0"/>
    <n v="39.061032749902097"/>
    <n v="0"/>
    <n v="93.05"/>
    <n v="93.05"/>
    <s v="MWE"/>
    <s v="019 Ministry of Water and Environment"/>
    <s v="OWC, MWE, MAAIF"/>
  </r>
  <r>
    <x v="15"/>
    <x v="15"/>
    <s v="171"/>
    <s v="Production and Productivity"/>
    <s v="1711"/>
    <s v="Stimulate the growth potential of the sub-regions through area-based agribusiness LED initiatives"/>
    <n v="171103"/>
    <s v="Construct irrigation schemes and valley dams to ensure production all year round"/>
    <m/>
    <m/>
    <s v="17110302"/>
    <s v="20,000 cubic meter Parish Valley tanks constructed"/>
    <s v="Cummul tanksative cubic meter"/>
    <m/>
    <n v="174"/>
    <n v="174"/>
    <n v="174"/>
    <n v="174"/>
    <n v="174"/>
    <s v="MWE"/>
    <s v="019 Ministry of Water and Environment"/>
    <s v="Development of bills of quantities"/>
    <n v="1"/>
    <n v="1"/>
    <n v="1"/>
    <n v="1"/>
    <n v="1"/>
    <n v="1"/>
    <n v="1"/>
    <n v="1"/>
    <n v="1"/>
    <m/>
    <n v="0"/>
    <n v="10"/>
    <n v="0"/>
    <n v="37.6"/>
    <n v="0"/>
    <n v="0"/>
    <n v="0"/>
    <s v="MWE"/>
    <s v="019 Ministry of Water and Environment"/>
    <s v="OWC, MAAIF"/>
  </r>
  <r>
    <x v="15"/>
    <x v="15"/>
    <s v="171"/>
    <s v="Production and Productivity"/>
    <s v="1711"/>
    <s v="Stimulate the growth potential of the sub-regions through area-based agribusiness LED initiatives"/>
    <n v="171103"/>
    <s v="Construct irrigation schemes and valley dams to ensure production all year round"/>
    <m/>
    <m/>
    <s v="17110302"/>
    <s v="20,000 cubic meter Parish Valley tanks constructed"/>
    <s v="Cummul tanksative cubic meter"/>
    <m/>
    <n v="174"/>
    <n v="174"/>
    <n v="174"/>
    <n v="40"/>
    <n v="40"/>
    <s v="MWE"/>
    <s v="019 Ministry of Water and Environment"/>
    <s v=",Procurement of contractors"/>
    <n v="1"/>
    <n v="1"/>
    <n v="1"/>
    <n v="1"/>
    <n v="1"/>
    <n v="1"/>
    <n v="1"/>
    <n v="1"/>
    <n v="1"/>
    <m/>
    <n v="0"/>
    <n v="0"/>
    <n v="0"/>
    <n v="0"/>
    <n v="0"/>
    <n v="22.69"/>
    <n v="22.69"/>
    <s v="MWE"/>
    <s v="019 Ministry of Water and Environment"/>
    <s v="OWC, MWE, LGs"/>
  </r>
  <r>
    <x v="15"/>
    <x v="15"/>
    <s v="171"/>
    <s v="Production and Productivity"/>
    <s v="1711"/>
    <s v="Stimulate the growth potential of the sub-regions through area-based agribusiness LED initiatives"/>
    <n v="171103"/>
    <s v="Construct irrigation schemes and valley dams to ensure production all year round"/>
    <m/>
    <m/>
    <s v="17110302"/>
    <s v="20,000 cubic meter Parish Valley tanks constructed"/>
    <s v="Cummul tanksative cubic meter"/>
    <m/>
    <n v="174"/>
    <n v="174"/>
    <n v="174"/>
    <n v="174"/>
    <n v="174"/>
    <s v="MWE"/>
    <s v="019 Ministry of Water and Environment"/>
    <s v=",Construction of parish valley tanks"/>
    <n v="1"/>
    <n v="1"/>
    <n v="1"/>
    <n v="1"/>
    <n v="1"/>
    <n v="1"/>
    <n v="1"/>
    <n v="1"/>
    <n v="1"/>
    <n v="1"/>
    <n v="0"/>
    <n v="0"/>
    <n v="0"/>
    <n v="0"/>
    <n v="56.622884289233845"/>
    <n v="68.577115710766194"/>
    <n v="125.20000000000005"/>
    <s v="MWE"/>
    <s v="019 Ministry of Water and Environment"/>
    <s v="OWC, MWE, LGs, MAAIF"/>
  </r>
  <r>
    <x v="15"/>
    <x v="15"/>
    <s v="171"/>
    <s v="Production and Productivity"/>
    <s v="1711"/>
    <s v="Stimulate the growth potential of the sub-regions through area-based agribusiness LED initiatives"/>
    <n v="171103"/>
    <s v="Construct irrigation schemes and valley dams to ensure production all year round"/>
    <m/>
    <m/>
    <s v="17110303"/>
    <s v="3 piped water systems constructed "/>
    <s v="number of piped water system constructed"/>
    <n v="0"/>
    <n v="174"/>
    <n v="174"/>
    <n v="174"/>
    <n v="174"/>
    <n v="174"/>
    <s v="MWE"/>
    <s v="019 Ministry of Water and Environment"/>
    <s v="Open transmission lines, instal overhead tanks and establish connections on all the systems "/>
    <n v="1"/>
    <n v="1"/>
    <n v="1"/>
    <n v="1"/>
    <n v="1"/>
    <n v="1"/>
    <n v="1"/>
    <n v="1"/>
    <n v="1"/>
    <m/>
    <n v="0"/>
    <n v="0"/>
    <n v="0"/>
    <n v="10"/>
    <n v="18"/>
    <n v="26"/>
    <n v="44"/>
    <s v="MWE"/>
    <s v="019 Ministry of Water and Environment"/>
    <s v="LGs"/>
  </r>
  <r>
    <x v="15"/>
    <x v="15"/>
    <s v="171"/>
    <s v="Production and Productivity"/>
    <s v="1711"/>
    <s v="Stimulate the growth potential of the sub-regions through area-based agribusiness LED initiatives"/>
    <n v="171104"/>
    <s v="  Strengthen agricultural extension services through increased supervision   and implementation of the parish model"/>
    <m/>
    <m/>
    <s v="17110401"/>
    <s v="Agricultural extension services established at parish level"/>
    <s v="Number of parishes with functional agricultural extension services "/>
    <n v="5504"/>
    <n v="5504"/>
    <n v="5504"/>
    <n v="5504"/>
    <n v="5504"/>
    <n v="5504"/>
    <s v="LGs, CSOs, Farmers grouping "/>
    <e v="#N/A"/>
    <m/>
    <m/>
    <m/>
    <m/>
    <m/>
    <m/>
    <m/>
    <n v="0"/>
    <n v="0"/>
    <n v="0"/>
    <m/>
    <n v="0"/>
    <m/>
    <m/>
    <m/>
    <n v="0"/>
    <n v="0"/>
    <n v="0"/>
    <m/>
    <m/>
    <m/>
  </r>
  <r>
    <x v="15"/>
    <x v="15"/>
    <s v="171"/>
    <s v="Production and Productivity"/>
    <s v="1711"/>
    <s v="Stimulate the growth potential of the sub-regions through area-based agribusiness LED initiatives"/>
    <n v="171104"/>
    <s v="  Strengthen agricultural extension services through increased supervision   and implementation of the parish model"/>
    <m/>
    <m/>
    <s v="17110401"/>
    <s v="Agricultural extension services established at parish level"/>
    <s v="Number of parishes with functional agricultural extension services "/>
    <n v="0"/>
    <n v="5504"/>
    <n v="5504"/>
    <n v="5504"/>
    <n v="5504"/>
    <n v="5504"/>
    <s v="LGs"/>
    <s v="500 501-850 Local Governments"/>
    <s v="Number of extension assistants recruited"/>
    <n v="1"/>
    <n v="1"/>
    <n v="1"/>
    <n v="1"/>
    <n v="0"/>
    <n v="1"/>
    <n v="1"/>
    <n v="0"/>
    <n v="0.75"/>
    <m/>
    <n v="0"/>
    <n v="0"/>
    <n v="0"/>
    <n v="0"/>
    <n v="0"/>
    <n v="0"/>
    <n v="0"/>
    <s v="LGs"/>
    <s v="500 501-850 Local Governments"/>
    <s v="MAAIF, MoLG"/>
  </r>
  <r>
    <x v="15"/>
    <x v="15"/>
    <s v="171"/>
    <s v="Production and Productivity"/>
    <s v="1711"/>
    <s v="Stimulate the growth potential of the sub-regions through area-based agribusiness LED initiatives"/>
    <n v="171104"/>
    <s v="  Strengthen agricultural extension services through increased supervision   and implementation of the parish model"/>
    <m/>
    <m/>
    <s v="17110401"/>
    <s v="Agricultural extension services established at parish level"/>
    <s v="Number of parishes with functional agricultural extension services "/>
    <n v="0"/>
    <n v="5504"/>
    <n v="5504"/>
    <n v="5504"/>
    <n v="5504"/>
    <n v="5504"/>
    <s v="OP (OWC)"/>
    <s v="001 Office of the President"/>
    <s v="Provide critical farm inputs to farming households."/>
    <n v="1"/>
    <n v="1"/>
    <n v="1"/>
    <n v="1"/>
    <n v="0"/>
    <n v="1"/>
    <n v="1"/>
    <n v="0"/>
    <n v="0.75"/>
    <m/>
    <n v="0"/>
    <n v="0"/>
    <n v="0"/>
    <n v="0"/>
    <n v="0"/>
    <n v="0"/>
    <n v="0"/>
    <s v="OP (OWC)"/>
    <s v="001 Office of the President"/>
    <s v="MAAIF, NAGRC&amp;DB"/>
  </r>
  <r>
    <x v="15"/>
    <x v="15"/>
    <s v="171"/>
    <s v="Production and Productivity"/>
    <s v="1711"/>
    <s v="Stimulate the growth potential of the sub-regions through area-based agribusiness LED initiatives"/>
    <n v="171105"/>
    <s v="Strengthen research into the prioritized agro-enterprises for increase productivity"/>
    <m/>
    <m/>
    <s v="17110501"/>
    <s v="Agro-commodity research centres established in the sub-regions"/>
    <s v="Number of parishes with functional agricultural extension services "/>
    <s v="-"/>
    <n v="10"/>
    <n v="12"/>
    <n v="14"/>
    <n v="18"/>
    <n v="20"/>
    <s v="NARO, MAAIF, OWC, Cooperatives "/>
    <e v="#N/A"/>
    <s v="Set up Agro-commodity research centres for the identified enterprises at ZADIC"/>
    <n v="1"/>
    <n v="1"/>
    <n v="1"/>
    <n v="1"/>
    <n v="0"/>
    <n v="1"/>
    <n v="1"/>
    <n v="0"/>
    <n v="0.75"/>
    <m/>
    <n v="0"/>
    <n v="0"/>
    <n v="0"/>
    <n v="0"/>
    <n v="0"/>
    <n v="0"/>
    <n v="0"/>
    <s v="NARO"/>
    <s v="142 National Agricultural Research Organisation"/>
    <s v="MAAIF"/>
  </r>
  <r>
    <x v="15"/>
    <x v="15"/>
    <s v="171"/>
    <s v="Production and Productivity"/>
    <s v="1711"/>
    <s v="Stimulate the growth potential of the sub-regions through area-based agribusiness LED initiatives"/>
    <n v="171105"/>
    <s v="Strengthen research into the prioritized agro-enterprises for increase productivity"/>
    <m/>
    <m/>
    <s v="17110501"/>
    <s v="Agro-commodity research centres established in the sub-regions"/>
    <s v="Number of parishes with functional agricultural extension services "/>
    <n v="0"/>
    <n v="5504"/>
    <n v="5504"/>
    <n v="5504"/>
    <n v="5504"/>
    <n v="5504"/>
    <s v="MAAIF"/>
    <s v="010 Ministry of Agriculture, Animal &amp; Fisheries"/>
    <s v="Set up pilot farmer demonstrations on priority enterprises in every parish."/>
    <n v="1"/>
    <n v="1"/>
    <n v="1"/>
    <n v="1"/>
    <n v="0"/>
    <n v="1"/>
    <n v="1"/>
    <n v="0"/>
    <n v="0.75"/>
    <m/>
    <n v="0"/>
    <n v="0"/>
    <n v="0"/>
    <n v="0"/>
    <n v="0"/>
    <n v="0"/>
    <n v="0"/>
    <s v="MAAIF"/>
    <s v="010 Ministry of Agriculture, Animal &amp; Fisheries"/>
    <s v="LGs"/>
  </r>
  <r>
    <x v="15"/>
    <x v="15"/>
    <s v="171"/>
    <s v="Production and Productivity"/>
    <s v="1711"/>
    <s v="Stimulate the growth potential of the sub-regions through area-based agribusiness LED initiatives"/>
    <n v="171105"/>
    <s v="Strengthen research into the prioritized agro-enterprises for increase productivity"/>
    <m/>
    <m/>
    <s v="17110501"/>
    <s v="Agro-commodity research centres established in the sub-regions"/>
    <s v="Number of parishes with functional agricultural extension services "/>
    <n v="0"/>
    <n v="5504"/>
    <n v="5504"/>
    <n v="5504"/>
    <n v="5504"/>
    <n v="5504"/>
    <s v="MoFPED"/>
    <s v="008 Ministry of Finance, Planning &amp; Economic Dev."/>
    <s v="Capitalize agricultural SACCOs at parish level in addition to what is provided elsewhere"/>
    <n v="1"/>
    <n v="1"/>
    <n v="1"/>
    <n v="1"/>
    <n v="0"/>
    <n v="1"/>
    <n v="1"/>
    <n v="0"/>
    <n v="0.75"/>
    <m/>
    <n v="0"/>
    <n v="0"/>
    <n v="39.78"/>
    <n v="42.12"/>
    <n v="0"/>
    <n v="0"/>
    <n v="0"/>
    <s v="MoFPED"/>
    <s v="008 Ministry of Finance, Planning &amp; Economic Dev."/>
    <s v="OWC, MSC"/>
  </r>
  <r>
    <x v="15"/>
    <x v="15"/>
    <s v="171"/>
    <s v="Production and Productivity"/>
    <s v="1711"/>
    <s v="Stimulate the growth potential of the sub-regions through area-based agribusiness LED initiatives"/>
    <n v="171105"/>
    <s v="Strengthen research into the prioritized agro-enterprises for increase productivity"/>
    <m/>
    <m/>
    <s v="17110502"/>
    <s v="Customary tenure land registered "/>
    <s v="Acres of customary land registered"/>
    <m/>
    <m/>
    <m/>
    <m/>
    <m/>
    <m/>
    <s v="MoLHUD"/>
    <s v="012 Ministry of Lands, Housing &amp; Urban Development"/>
    <s v="Support area land committees"/>
    <n v="0"/>
    <n v="0"/>
    <n v="0"/>
    <n v="1"/>
    <n v="0"/>
    <n v="0"/>
    <n v="1"/>
    <n v="0"/>
    <n v="0.25"/>
    <m/>
    <n v="0"/>
    <n v="0"/>
    <n v="2.89"/>
    <n v="2.89"/>
    <n v="0"/>
    <n v="0"/>
    <n v="0"/>
    <s v="MoLHUD"/>
    <s v="012 Ministry of Lands, Housing &amp; Urban Development"/>
    <s v="LGs, MoLG"/>
  </r>
  <r>
    <x v="15"/>
    <x v="15"/>
    <s v="171"/>
    <s v="Production and Productivity"/>
    <s v="1711"/>
    <s v="Stimulate the growth potential of the sub-regions through area-based agribusiness LED initiatives"/>
    <n v="171105"/>
    <s v="Strengthen research into the prioritized agro-enterprises for increase productivity"/>
    <m/>
    <m/>
    <s v="17110502"/>
    <s v="Customary tenure land registered "/>
    <s v="Acres of customary land registered"/>
    <m/>
    <m/>
    <m/>
    <m/>
    <m/>
    <m/>
    <s v="MoLHUD"/>
    <s v="012 Ministry of Lands, Housing &amp; Urban Development"/>
    <s v="Sensitization of communities at Subcounty level"/>
    <n v="0"/>
    <n v="0"/>
    <n v="0"/>
    <n v="1"/>
    <n v="0"/>
    <n v="0"/>
    <n v="1"/>
    <n v="0"/>
    <n v="0.25"/>
    <m/>
    <n v="0"/>
    <n v="0"/>
    <n v="0"/>
    <n v="0"/>
    <n v="0"/>
    <n v="0"/>
    <n v="0"/>
    <s v="MoLHUD"/>
    <s v="012 Ministry of Lands, Housing &amp; Urban Development"/>
    <s v="LGs, MoLG"/>
  </r>
  <r>
    <x v="15"/>
    <x v="15"/>
    <s v="171"/>
    <s v="Production and Productivity"/>
    <s v="1711"/>
    <s v="Stimulate the growth potential of the sub-regions through area-based agribusiness LED initiatives"/>
    <n v="171105"/>
    <s v="Strengthen research into the prioritized agro-enterprises for increase productivity"/>
    <m/>
    <m/>
    <s v="17110502"/>
    <s v="Customary tenure land registered "/>
    <s v="Acres of customary land registered"/>
    <m/>
    <m/>
    <m/>
    <m/>
    <m/>
    <m/>
    <s v="MoLHUD"/>
    <s v="012 Ministry of Lands, Housing &amp; Urban Development"/>
    <s v="Demarcation and survey of customary land "/>
    <n v="0"/>
    <n v="0"/>
    <n v="0"/>
    <n v="1"/>
    <n v="1"/>
    <n v="0"/>
    <n v="1"/>
    <n v="0"/>
    <n v="0.375"/>
    <m/>
    <n v="0"/>
    <n v="0"/>
    <n v="10.199999999999999"/>
    <n v="10.8"/>
    <n v="0"/>
    <n v="0"/>
    <n v="0"/>
    <s v="MoLHUD"/>
    <s v="012 Ministry of Lands, Housing &amp; Urban Development"/>
    <s v="LGs, MoLG"/>
  </r>
  <r>
    <x v="15"/>
    <x v="15"/>
    <s v="171"/>
    <s v="Production and Productivity"/>
    <s v="1711"/>
    <s v="Stimulate the growth potential of the sub-regions through area-based agribusiness LED initiatives"/>
    <n v="171105"/>
    <s v="Strengthen research into the prioritized agro-enterprises for increase productivity"/>
    <m/>
    <m/>
    <s v="17110503"/>
    <s v="Parish Community Associations (PCAs) establishes and supported "/>
    <s v="Number of active parish community associations established"/>
    <n v="0"/>
    <m/>
    <m/>
    <m/>
    <m/>
    <m/>
    <s v="LGs"/>
    <s v="500 501-850 Local Governments"/>
    <s v="Mobilisation and sensitization of beneficiary parishes"/>
    <n v="0"/>
    <n v="0"/>
    <n v="0"/>
    <n v="0"/>
    <n v="0"/>
    <n v="0"/>
    <n v="1"/>
    <n v="1"/>
    <n v="0.25"/>
    <m/>
    <n v="0"/>
    <n v="0"/>
    <n v="13.26"/>
    <n v="13.26"/>
    <n v="0"/>
    <n v="0"/>
    <n v="0"/>
    <s v="LGs"/>
    <s v="500 501-850 Local Governments"/>
    <s v="OWC, MoLG"/>
  </r>
  <r>
    <x v="15"/>
    <x v="15"/>
    <s v="171"/>
    <s v="Production and Productivity"/>
    <s v="1711"/>
    <s v="Stimulate the growth potential of the sub-regions through area-based agribusiness LED initiatives"/>
    <n v="171105"/>
    <s v="Strengthen research into the prioritized agro-enterprises for increase productivity"/>
    <m/>
    <m/>
    <s v="17110503"/>
    <s v="Parish Community Associations (PCAs) establishes and supported "/>
    <s v="Number of active parish community associations established"/>
    <n v="0"/>
    <m/>
    <m/>
    <m/>
    <m/>
    <m/>
    <s v="LGs"/>
    <s v="500 501-850 Local Governments"/>
    <s v="Disbursement of funds to beneficiary parishes"/>
    <n v="0"/>
    <n v="0"/>
    <n v="0"/>
    <n v="0"/>
    <n v="0"/>
    <n v="0"/>
    <n v="1"/>
    <n v="1"/>
    <n v="0.25"/>
    <m/>
    <n v="0"/>
    <n v="0"/>
    <n v="0"/>
    <n v="0"/>
    <n v="0"/>
    <n v="0"/>
    <n v="0"/>
    <s v="LGs"/>
    <s v="500 501-850 Local Governments"/>
    <s v="MoLG"/>
  </r>
  <r>
    <x v="15"/>
    <x v="15"/>
    <s v="171"/>
    <s v="Production and Productivity"/>
    <s v="1711"/>
    <s v="Stimulate the growth potential of the sub-regions through area-based agribusiness LED initiatives"/>
    <n v="171105"/>
    <s v="Strengthen research into the prioritized agro-enterprises for increase productivity"/>
    <m/>
    <m/>
    <s v="17110503"/>
    <s v="Parish Community Associations (PCAs) establishes and supported "/>
    <s v="Number of active parish community associations established"/>
    <n v="0"/>
    <m/>
    <m/>
    <m/>
    <m/>
    <m/>
    <s v="LGs"/>
    <s v="500 501-850 Local Governments"/>
    <s v="Monitoring of beneficiary parishes"/>
    <n v="0"/>
    <n v="0"/>
    <n v="0"/>
    <n v="0"/>
    <n v="0"/>
    <n v="0"/>
    <n v="1"/>
    <n v="1"/>
    <n v="0.25"/>
    <m/>
    <n v="0"/>
    <n v="0"/>
    <n v="0"/>
    <n v="0"/>
    <n v="0"/>
    <n v="0"/>
    <n v="0"/>
    <s v="LGs"/>
    <s v="500 501-850 Local Governments"/>
    <s v="MoLG"/>
  </r>
  <r>
    <x v="15"/>
    <x v="15"/>
    <s v="171"/>
    <s v="Production and Productivity"/>
    <s v="1711"/>
    <s v="Stimulate the growth potential of the sub-regions through area-based agribusiness LED initiatives"/>
    <n v="171107"/>
    <s v="Operationalize the Industrial and Business Parks situated in the target regions"/>
    <m/>
    <m/>
    <s v="17110701"/>
    <s v="Industrial and Business Parks set up in the targeted regions"/>
    <s v="Number of locals employed in the regional Industrial and Business Parks"/>
    <n v="0"/>
    <m/>
    <m/>
    <m/>
    <m/>
    <m/>
    <s v="LGs"/>
    <s v="500 501-850 Local Governments"/>
    <s v="Support Locals to attain relevant skills to be used in the industrial parks"/>
    <n v="1"/>
    <n v="1"/>
    <n v="1"/>
    <n v="0"/>
    <n v="1"/>
    <n v="0"/>
    <n v="1"/>
    <n v="1"/>
    <n v="0.75"/>
    <n v="1"/>
    <n v="0"/>
    <n v="0"/>
    <n v="10"/>
    <n v="10"/>
    <n v="10"/>
    <n v="10"/>
    <n v="20"/>
    <s v="LGs"/>
    <s v="500 501-850 Local Governments"/>
    <s v="OWC"/>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oTIC"/>
    <s v="015 Ministry of Trade, Industry and Cooperatives"/>
    <s v="Draw a master plan for the feasibility study"/>
    <n v="1"/>
    <n v="0"/>
    <n v="0"/>
    <n v="1"/>
    <n v="0"/>
    <n v="0"/>
    <n v="0"/>
    <n v="0"/>
    <n v="0.25"/>
    <n v="1"/>
    <n v="0"/>
    <n v="0"/>
    <n v="0"/>
    <n v="0"/>
    <n v="0"/>
    <n v="0"/>
    <n v="0"/>
    <s v="MoTIC"/>
    <s v="015 Ministry of Trade, Industry and Cooperatives"/>
    <s v="NPA"/>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oTIC"/>
    <s v="015 Ministry of Trade, Industry and Cooperatives"/>
    <s v="Conduct pre-feasibility and feasibility studies"/>
    <n v="1"/>
    <n v="1"/>
    <n v="0"/>
    <n v="1"/>
    <n v="0"/>
    <n v="0"/>
    <n v="1"/>
    <n v="0"/>
    <n v="0.5"/>
    <m/>
    <n v="0"/>
    <n v="0"/>
    <n v="0"/>
    <n v="0"/>
    <n v="0"/>
    <n v="0"/>
    <n v="0"/>
    <s v="MoTIC"/>
    <s v="015 Ministry of Trade, Industry and Cooperatives"/>
    <s v="NPA, MAAIF, LGFC, MoLG, MoFPE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oTIC"/>
    <s v="015 Ministry of Trade, Industry and Cooperatives"/>
    <s v="Conduct pre-feasibility and feasibility studies"/>
    <n v="1"/>
    <n v="1"/>
    <n v="0"/>
    <n v="1"/>
    <n v="0"/>
    <n v="0"/>
    <n v="1"/>
    <n v="0"/>
    <n v="0.5"/>
    <m/>
    <n v="0"/>
    <n v="0"/>
    <n v="0"/>
    <n v="0"/>
    <n v="0"/>
    <n v="0"/>
    <n v="0"/>
    <s v="MoTIC"/>
    <s v="015 Ministry of Trade, Industry and Cooperatives"/>
    <s v="MAAIF, LGFC, MoLG, MoFPE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AAIF"/>
    <s v="010 Ministry of Agriculture, Animal &amp; Fisheries"/>
    <s v="Set up sub-regional/ district agro-industrial parks "/>
    <n v="1"/>
    <n v="1"/>
    <n v="1"/>
    <n v="0"/>
    <n v="0"/>
    <n v="1"/>
    <n v="1"/>
    <n v="0"/>
    <n v="0.625"/>
    <m/>
    <n v="0"/>
    <n v="0"/>
    <n v="0"/>
    <n v="0"/>
    <n v="0"/>
    <n v="0"/>
    <n v="0"/>
    <s v="MAAIF"/>
    <s v="010 Ministry of Agriculture, Animal &amp; Fisheries"/>
    <s v="MoLG, MoTIC"/>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EMD"/>
    <s v="017 Ministry of Energy and Mineral Development"/>
    <s v="Extend power transmission lines to key growth opportunity areas of the regions"/>
    <n v="1"/>
    <n v="1"/>
    <n v="1"/>
    <n v="1"/>
    <n v="0"/>
    <n v="1"/>
    <n v="1"/>
    <n v="1"/>
    <n v="0.875"/>
    <n v="1"/>
    <n v="0"/>
    <n v="0"/>
    <n v="0"/>
    <n v="0"/>
    <n v="0"/>
    <n v="0"/>
    <n v="0"/>
    <s v="MEMD"/>
    <s v="017 Ministry of Energy and Mineral Development"/>
    <s v="UEDCL, UETCL"/>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WE"/>
    <s v="019 Ministry of Water and Environment"/>
    <s v="Provide bulk water supply to support production and service industrial parks"/>
    <n v="1"/>
    <n v="1"/>
    <n v="0"/>
    <n v="0"/>
    <n v="0"/>
    <n v="1"/>
    <n v="1"/>
    <n v="0"/>
    <n v="0.5"/>
    <n v="1"/>
    <n v="0"/>
    <n v="0"/>
    <n v="0"/>
    <n v="0"/>
    <n v="0"/>
    <n v="0"/>
    <n v="0"/>
    <s v="MWE"/>
    <s v="019 Ministry of Water and Environment"/>
    <s v="MAAIF, OPM"/>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EMD"/>
    <s v="017 Ministry of Energy and Mineral Development"/>
    <s v="Build Solar Thermal Electricity (STE) Plants "/>
    <n v="1"/>
    <n v="1"/>
    <n v="0"/>
    <n v="0"/>
    <n v="1"/>
    <n v="1"/>
    <n v="1"/>
    <n v="1"/>
    <n v="0.75"/>
    <m/>
    <n v="0"/>
    <n v="0"/>
    <n v="10"/>
    <n v="10"/>
    <m/>
    <m/>
    <n v="0"/>
    <s v="MEMD"/>
    <s v="017 Ministry of Energy and Mineral Development"/>
    <s v="UEDCL, UETCL"/>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Land acquisition for the four sites (Arua, Nakasongola, Tororo, Arua)"/>
    <n v="1"/>
    <n v="1"/>
    <n v="1"/>
    <n v="1"/>
    <n v="1"/>
    <n v="1"/>
    <n v="1"/>
    <n v="1"/>
    <n v="1"/>
    <n v="1"/>
    <n v="0"/>
    <n v="0"/>
    <n v="0"/>
    <n v="0"/>
    <n v="0"/>
    <n v="0"/>
    <n v="0"/>
    <s v="UIA"/>
    <s v="310 Uganda Investment Authority (UIA)"/>
    <s v="UETCL, District Local Govts, UNBS, NEMA, UNRA, MoLHU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Land acquisition for the four sites (Arua, Nakasongola, Tororo, Arua)"/>
    <n v="1"/>
    <n v="1"/>
    <n v="1"/>
    <n v="1"/>
    <n v="1"/>
    <n v="1"/>
    <n v="1"/>
    <n v="1"/>
    <n v="1"/>
    <n v="1"/>
    <n v="0"/>
    <n v="0"/>
    <n v="0"/>
    <n v="0"/>
    <n v="0"/>
    <n v="0"/>
    <n v="0"/>
    <s v="UIA"/>
    <s v="310 Uganda Investment Authority (UIA)"/>
    <s v="ERA, OWC, MoLHU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Environmental Management Plans, Livelihood restoration plans, EIA, Master Plans, boundary opening, surveying and installation of border markers  "/>
    <n v="1"/>
    <n v="1"/>
    <n v="1"/>
    <n v="1"/>
    <n v="0"/>
    <n v="1"/>
    <n v="1"/>
    <n v="1"/>
    <n v="0.875"/>
    <m/>
    <n v="0"/>
    <n v="0"/>
    <n v="0"/>
    <n v="0"/>
    <n v="0"/>
    <n v="0"/>
    <n v="0"/>
    <s v="UIA"/>
    <s v="310 Uganda Investment Authority (UIA)"/>
    <s v="MWE, MoLHUD, MoLG, UIA"/>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Design and construct infrastructure facilities (roads, water reticulation, HV power, solid waste management/ waste water system, ICT/CCTV, service ducts, etc)"/>
    <n v="1"/>
    <n v="1"/>
    <n v="1"/>
    <n v="1"/>
    <n v="1"/>
    <n v="1"/>
    <n v="1"/>
    <n v="1"/>
    <n v="1"/>
    <n v="1"/>
    <n v="0"/>
    <n v="0"/>
    <n v="0"/>
    <n v="0"/>
    <n v="0"/>
    <n v="0"/>
    <n v="0"/>
    <s v="UIA"/>
    <s v="310 Uganda Investment Authority (UIA)"/>
    <s v="MoWT, MEMD, MoICT&amp;NG"/>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Design and construct public and SME buildings"/>
    <n v="1"/>
    <n v="1"/>
    <n v="1"/>
    <n v="1"/>
    <n v="1"/>
    <n v="1"/>
    <n v="1"/>
    <n v="1"/>
    <n v="1"/>
    <n v="1"/>
    <n v="0"/>
    <n v="0"/>
    <n v="0"/>
    <n v="0"/>
    <n v="0"/>
    <n v="0"/>
    <n v="0"/>
    <s v="UIA"/>
    <s v="310 Uganda Investment Authority (UIA)"/>
    <s v="MoFPE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Solar power generation systems in industrial parks"/>
    <n v="1"/>
    <n v="1"/>
    <n v="1"/>
    <n v="1"/>
    <n v="1"/>
    <n v="1"/>
    <n v="1"/>
    <n v="1"/>
    <n v="1"/>
    <n v="1"/>
    <n v="0"/>
    <n v="0"/>
    <n v="0"/>
    <n v="0"/>
    <n v="0"/>
    <n v="0"/>
    <n v="0"/>
    <s v="UIA"/>
    <s v="310 Uganda Investment Authority (UIA)"/>
    <s v="MEM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Project management, support services AND Maintenance of infrastructure facilities"/>
    <n v="1"/>
    <n v="1"/>
    <n v="1"/>
    <n v="1"/>
    <n v="1"/>
    <n v="1"/>
    <n v="1"/>
    <n v="1"/>
    <n v="1"/>
    <m/>
    <n v="0"/>
    <n v="0"/>
    <n v="0"/>
    <n v="0"/>
    <n v="0"/>
    <n v="0"/>
    <n v="0"/>
    <s v="UIA"/>
    <s v="310 Uganda Investment Authority (UIA)"/>
    <s v="MoWT"/>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Build technical capacity of relevant institutions and Local Governments in industrial park development and management"/>
    <n v="1"/>
    <n v="1"/>
    <n v="1"/>
    <n v="1"/>
    <n v="1"/>
    <n v="1"/>
    <n v="1"/>
    <n v="1"/>
    <n v="1"/>
    <m/>
    <n v="0"/>
    <n v="0"/>
    <n v="0"/>
    <n v="0"/>
    <n v="0"/>
    <n v="0"/>
    <n v="0"/>
    <s v="UIA"/>
    <s v="310 Uganda Investment Authority (UIA)"/>
    <s v="MoLG,UFZA, UIA, MoFPED"/>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NPA"/>
    <s v="108 National Planning Authority"/>
    <s v="Undertake feasibility studies  for the 4 industrial parks and ESIAs "/>
    <n v="1"/>
    <n v="1"/>
    <n v="1"/>
    <n v="1"/>
    <n v="1"/>
    <n v="1"/>
    <n v="1"/>
    <n v="1"/>
    <n v="1"/>
    <m/>
    <n v="0"/>
    <n v="0"/>
    <n v="0"/>
    <n v="0"/>
    <n v="0"/>
    <n v="0"/>
    <n v="0"/>
    <s v="NPA"/>
    <s v="108 National Planning Authority"/>
    <s v="UIA,MFPED,NEMA,EPRC,MoTIC"/>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Review and update incentive regime to attract industries into   the parks"/>
    <n v="1"/>
    <n v="1"/>
    <n v="0"/>
    <n v="1"/>
    <n v="1"/>
    <n v="1"/>
    <n v="0"/>
    <n v="0"/>
    <n v="0.625"/>
    <m/>
    <n v="0"/>
    <n v="0"/>
    <n v="0"/>
    <n v="0"/>
    <n v="0"/>
    <n v="0"/>
    <n v="0"/>
    <s v="UIA"/>
    <s v="310 Uganda Investment Authority (UIA)"/>
    <s v="MoTIC,URA,UMA"/>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UIA"/>
    <s v="310 Uganda Investment Authority (UIA)"/>
    <s v="Supervise and Monitor industrial parks operations"/>
    <n v="1"/>
    <n v="1"/>
    <n v="0"/>
    <n v="1"/>
    <n v="1"/>
    <n v="0"/>
    <n v="0"/>
    <n v="0"/>
    <n v="0.5"/>
    <m/>
    <n v="0"/>
    <n v="0"/>
    <n v="0"/>
    <n v="0"/>
    <n v="0"/>
    <n v="0"/>
    <n v="0"/>
    <s v="UIA"/>
    <s v="310 Uganda Investment Authority (UIA)"/>
    <s v="N/A"/>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oLG"/>
    <s v="011 Ministry of Local Government"/>
    <s v="Set up district/sub-regional based Agri-LED/commodity value addition industries"/>
    <n v="1"/>
    <n v="1"/>
    <n v="1"/>
    <n v="1"/>
    <n v="1"/>
    <n v="1"/>
    <n v="1"/>
    <n v="1"/>
    <n v="1"/>
    <m/>
    <n v="0"/>
    <n v="434.50935168842398"/>
    <n v="410.75969123779225"/>
    <n v="414.50935168842398"/>
    <n v="424.50935168842409"/>
    <n v="438.25901213905593"/>
    <n v="862.76836382748002"/>
    <s v="MoLG"/>
    <s v="011 Ministry of Local Government"/>
    <s v="MoTIC, UIA, OP, MAAIF, LGs"/>
  </r>
  <r>
    <x v="15"/>
    <x v="15"/>
    <s v="171"/>
    <s v="Production and Productivity"/>
    <s v="1711"/>
    <s v="Stimulate the growth potential of the sub-regions through area-based agribusiness LED initiatives"/>
    <n v="171107"/>
    <s v="Operationalize the Industrial and Business Parks situated in the target regions"/>
    <m/>
    <m/>
    <s v="17110702"/>
    <s v="4 Regional Industrial and Business Parks established"/>
    <s v="Number of industrial and business parks"/>
    <m/>
    <n v="1"/>
    <n v="1"/>
    <n v="1"/>
    <n v="1"/>
    <n v="1"/>
    <s v="MoLG"/>
    <s v="011 Ministry of Local Government"/>
    <s v="Support LGs to operationalize the framework linking LR to LED initiatives"/>
    <m/>
    <m/>
    <m/>
    <m/>
    <m/>
    <m/>
    <n v="0"/>
    <n v="0"/>
    <n v="0"/>
    <m/>
    <n v="0"/>
    <n v="0"/>
    <n v="35.5"/>
    <n v="0"/>
    <n v="0"/>
    <n v="0"/>
    <n v="0"/>
    <s v="MoLG"/>
    <s v="011 Ministry of Local Government"/>
    <s v="LGFC"/>
  </r>
  <r>
    <x v="15"/>
    <x v="15"/>
    <s v="171"/>
    <s v="Production and Productivity"/>
    <s v="1711"/>
    <s v="Stimulate the growth potential of the sub-regions through area-based agribusiness LED initiatives"/>
    <n v="171108"/>
    <s v="Establish post-harvest handling, storage and processing infrastructure including silos, dryers, warehouses, cold rooms and a warehouse receipt system for farmers in those regions"/>
    <m/>
    <m/>
    <s v="17110801"/>
    <s v="Post-harvest handling, storage and processing infrastructure established in the poverty-stricken sub-regions"/>
    <s v="Number of post-harvest handling, storage and processing infrastructure in the poverty-stricken sub-regions"/>
    <n v="0"/>
    <n v="2752"/>
    <n v="2752"/>
    <n v="2752"/>
    <n v="40"/>
    <n v="40"/>
    <s v="MTIC, MAAIF "/>
    <e v="#N/A"/>
    <s v="Purchase and install agricultural post-harvest handling and processing facilities in each  S/C"/>
    <n v="1"/>
    <n v="1"/>
    <n v="1"/>
    <n v="0"/>
    <n v="0"/>
    <n v="1"/>
    <n v="1"/>
    <n v="1"/>
    <n v="0.75"/>
    <n v="1"/>
    <n v="0"/>
    <n v="0"/>
    <n v="0"/>
    <n v="0"/>
    <n v="22.69"/>
    <n v="22.69"/>
    <n v="45.38"/>
    <s v="MoTIC"/>
    <s v="015 Ministry of Trade, Industry and Cooperatives"/>
    <s v="OWC, UWRSA, MAAIF"/>
  </r>
  <r>
    <x v="15"/>
    <x v="15"/>
    <s v="171"/>
    <s v="Production and Productivity"/>
    <s v="1711"/>
    <s v="Stimulate the growth potential of the sub-regions through area-based agribusiness LED initiatives"/>
    <n v="171108"/>
    <s v="Establish post-harvest handling, storage and processing infrastructure including silos, dryers, warehouses, cold rooms and a warehouse receipt system for farmers in those regions"/>
    <m/>
    <m/>
    <s v="17110801"/>
    <s v="Post-harvest handling, storage and processing infrastructure established in the poverty-stricken sub-regions"/>
    <s v="Number of post-harvest handling, storage and processing infrastructure in the poverty-stricken sub-regions"/>
    <n v="0"/>
    <m/>
    <m/>
    <m/>
    <m/>
    <m/>
    <s v="MoTIC"/>
    <s v="015 Ministry of Trade, Industry and Cooperatives"/>
    <s v="Purchase and install agricultural post-harvest handling and processing facilities at parish level"/>
    <n v="1"/>
    <n v="1"/>
    <n v="1"/>
    <n v="1"/>
    <n v="0"/>
    <n v="1"/>
    <n v="1"/>
    <n v="1"/>
    <n v="0.875"/>
    <m/>
    <n v="0"/>
    <n v="0"/>
    <n v="0"/>
    <n v="0"/>
    <n v="0"/>
    <n v="0"/>
    <n v="0"/>
    <s v="MoTIC"/>
    <s v="015 Ministry of Trade, Industry and Cooperatives"/>
    <s v="OWC, UWRSA, MAAIF"/>
  </r>
  <r>
    <x v="15"/>
    <x v="15"/>
    <s v="171"/>
    <s v="Production and Productivity"/>
    <s v="1711"/>
    <s v="Stimulate the growth potential of the sub-regions through area-based agribusiness LED initiatives"/>
    <n v="171108"/>
    <s v="Establish post-harvest handling, storage and processing infrastructure including silos, dryers, warehouses, cold rooms and a warehouse receipt system for farmers in those regions"/>
    <m/>
    <m/>
    <s v="17110802"/>
    <s v="Support the functionality of the 4 already established grain stores  "/>
    <s v="Number of functional grain stores  "/>
    <m/>
    <m/>
    <m/>
    <m/>
    <m/>
    <m/>
    <s v="MoTIC"/>
    <s v="015 Ministry of Trade, Industry and Cooperatives"/>
    <s v="Conduct training on management and utilization of the constructed grain stores "/>
    <n v="1"/>
    <n v="1"/>
    <n v="1"/>
    <n v="1"/>
    <n v="1"/>
    <n v="1"/>
    <n v="1"/>
    <n v="0"/>
    <n v="0.875"/>
    <m/>
    <n v="0"/>
    <n v="0"/>
    <n v="1.7"/>
    <n v="1.8"/>
    <n v="0"/>
    <n v="0"/>
    <n v="0"/>
    <s v="MoTIC"/>
    <s v="015 Ministry of Trade, Industry and Cooperatives"/>
    <s v="UWRSA, MAAIF"/>
  </r>
  <r>
    <x v="15"/>
    <x v="15"/>
    <s v="171"/>
    <s v="Production and Productivity"/>
    <s v="1711"/>
    <s v="Stimulate the growth potential of the sub-regions through area-based agribusiness LED initiatives"/>
    <n v="171109"/>
    <s v="Establish demonstration farms for regionally identified commodities "/>
    <m/>
    <m/>
    <s v="17110901"/>
    <s v="Demonstration farms for Export potential Commodities established in the poverty-stricken sub-regions "/>
    <s v="Number of sub-regional demonstration farms with a bias on agricultural commodities for export"/>
    <n v="0"/>
    <n v="56"/>
    <n v="56"/>
    <n v="56"/>
    <n v="56"/>
    <n v="56"/>
    <s v="MAAIF, MOLG, LGs "/>
    <e v="#N/A"/>
    <s v="Set up demonstration farms for 12 high value export crops in the sub-regions embedding elements of green incubation"/>
    <n v="1"/>
    <n v="1"/>
    <n v="1"/>
    <n v="1"/>
    <n v="0"/>
    <n v="0"/>
    <n v="1"/>
    <n v="0"/>
    <n v="0.625"/>
    <m/>
    <n v="0"/>
    <n v="0"/>
    <n v="0"/>
    <n v="0"/>
    <n v="0"/>
    <n v="0"/>
    <n v="0"/>
    <s v="MAAIF"/>
    <s v="010 Ministry of Agriculture, Animal &amp; Fisheries"/>
    <s v="OWC, NARO"/>
  </r>
  <r>
    <x v="15"/>
    <x v="15"/>
    <s v="171"/>
    <s v="Production and Productivity"/>
    <s v="1711"/>
    <s v="Stimulate the growth potential of the sub-regions through area-based agribusiness LED initiatives"/>
    <n v="171110"/>
    <s v="Establish a marketing system for the selected agro-enterprises (market information centers, standards, Packaging)"/>
    <m/>
    <m/>
    <s v="17111001"/>
    <s v="Functional marketing system established in the sub-region"/>
    <s v="Number of sub-regional agro-enterprise products "/>
    <n v="0"/>
    <n v="56"/>
    <n v="56"/>
    <n v="56"/>
    <n v="56"/>
    <n v="56"/>
    <s v="MTIC, MAAIF, LGs "/>
    <e v="#N/A"/>
    <s v="Hold agricultural trade shows and exhibition centres per regionlevel"/>
    <n v="1"/>
    <n v="0"/>
    <n v="0"/>
    <n v="1"/>
    <n v="1"/>
    <n v="0"/>
    <n v="1"/>
    <n v="1"/>
    <n v="0.625"/>
    <m/>
    <n v="0"/>
    <n v="0"/>
    <n v="1.7"/>
    <n v="1.8"/>
    <n v="0"/>
    <n v="0"/>
    <n v="0"/>
    <s v="MoTIC"/>
    <s v="015 Ministry of Trade, Industry and Cooperatives"/>
    <s v="MAAIF,OWC"/>
  </r>
  <r>
    <x v="15"/>
    <x v="15"/>
    <s v="171"/>
    <s v="Production and Productivity"/>
    <s v="1711"/>
    <s v="Stimulate the growth potential of the sub-regions through area-based agribusiness LED initiatives"/>
    <n v="171110"/>
    <s v="Establish a marketing system for the selected agro-enterprises (market information centers, standards, Packaging)"/>
    <m/>
    <m/>
    <s v="17111001"/>
    <s v="Functional marketing system established in the sub-region"/>
    <s v="Number of sub-regional agro-enterprise products "/>
    <n v="0"/>
    <m/>
    <m/>
    <m/>
    <m/>
    <m/>
    <s v="MoLG"/>
    <s v="011 Ministry of Local Government"/>
    <s v="Develop regional agricultural production databases/MIS’s"/>
    <n v="1"/>
    <n v="0"/>
    <n v="0"/>
    <n v="1"/>
    <n v="0"/>
    <n v="0"/>
    <n v="1"/>
    <n v="0"/>
    <n v="0.375"/>
    <m/>
    <n v="0"/>
    <n v="0"/>
    <n v="0"/>
    <n v="0.5"/>
    <n v="0"/>
    <n v="0"/>
    <n v="0"/>
    <s v="MoLG"/>
    <s v="011 Ministry of Local Government"/>
    <s v="MOICT, MAAIF"/>
  </r>
  <r>
    <x v="15"/>
    <x v="15"/>
    <s v="171"/>
    <s v="Production and Productivity"/>
    <s v="1711"/>
    <s v="Stimulate the growth potential of the sub-regions through area-based agribusiness LED initiatives"/>
    <n v="171110"/>
    <s v="Establish a marketing system for the selected agro-enterprises (market information centers, standards, Packaging)"/>
    <m/>
    <m/>
    <s v="17111001"/>
    <s v="Functional marketing system established in the sub-region"/>
    <s v="Number of sub-regional agro-enterprise products "/>
    <n v="0"/>
    <m/>
    <m/>
    <m/>
    <m/>
    <m/>
    <s v="LGs"/>
    <s v="500 501-850 Local Governments"/>
    <s v="Provide market and prices information to farmers"/>
    <n v="1"/>
    <n v="1"/>
    <n v="1"/>
    <n v="1"/>
    <n v="1"/>
    <n v="1"/>
    <n v="1"/>
    <n v="1"/>
    <n v="1"/>
    <m/>
    <n v="0"/>
    <n v="0"/>
    <n v="7.1"/>
    <n v="7.1"/>
    <n v="7.1"/>
    <n v="7.1"/>
    <n v="14.2"/>
    <s v="LGs"/>
    <s v="500 501-850 Local Governments"/>
    <s v="OWC,UBOS"/>
  </r>
  <r>
    <x v="15"/>
    <x v="15"/>
    <s v="171"/>
    <s v="Production and Productivity"/>
    <s v="1711"/>
    <s v="Stimulate the growth potential of the sub-regions through area-based agribusiness LED initiatives"/>
    <n v="171111"/>
    <s v="Develop targeted agri-LED interventions for refugees and host communities"/>
    <m/>
    <m/>
    <s v="17111101"/>
    <s v="Agri-LED enterprises established in refugees and host communities "/>
    <s v="Number of Agri-LED enterprises in refugees and host communities"/>
    <n v="0"/>
    <m/>
    <m/>
    <m/>
    <m/>
    <m/>
    <s v="LGs"/>
    <s v="500 501-850 Local Governments"/>
    <s v="Train and support agricultural enterprise groups in refugee communities with value addition facilities"/>
    <n v="1"/>
    <n v="1"/>
    <n v="1"/>
    <n v="1"/>
    <n v="1"/>
    <n v="1"/>
    <n v="1"/>
    <n v="0"/>
    <n v="0.875"/>
    <m/>
    <n v="0"/>
    <n v="0"/>
    <n v="6"/>
    <n v="7"/>
    <n v="0"/>
    <n v="0"/>
    <n v="0"/>
    <s v="LGs"/>
    <s v="500 501-850 Local Governments"/>
    <s v="MoTIC, MAAIF"/>
  </r>
  <r>
    <x v="15"/>
    <x v="15"/>
    <s v="171"/>
    <s v="Production and Productivity"/>
    <s v="1711"/>
    <s v="Stimulate the growth potential of the sub-regions through area-based agribusiness LED initiatives"/>
    <n v="171111"/>
    <s v="Develop targeted agri-LED interventions for refugees and host communities"/>
    <m/>
    <m/>
    <s v="17111101"/>
    <s v="Agri-LED enterprises established in refugees and host communities "/>
    <s v="Number of Agri-LED enterprises in refugees and host communities"/>
    <n v="0"/>
    <m/>
    <m/>
    <m/>
    <m/>
    <m/>
    <s v="LGs"/>
    <s v="500 501-850 Local Governments"/>
    <s v="Strengthen the capacity and skills of women/ youth for entrepreneurship, increased production and productivity"/>
    <n v="1"/>
    <n v="1"/>
    <n v="1"/>
    <n v="1"/>
    <n v="1"/>
    <n v="1"/>
    <n v="1"/>
    <n v="1"/>
    <n v="1"/>
    <m/>
    <n v="0"/>
    <n v="0"/>
    <n v="15"/>
    <n v="15"/>
    <n v="15"/>
    <n v="15"/>
    <n v="30"/>
    <s v="LGs"/>
    <s v="500 501-850 Local Governments"/>
    <s v="MAAIF, MoFPED"/>
  </r>
  <r>
    <x v="15"/>
    <x v="15"/>
    <s v="172"/>
    <s v="Infrastructure Development"/>
    <s v="1722"/>
    <s v="Close regional infrastructure gaps for exploitation of local economic potential"/>
    <s v="172201"/>
    <s v="Develop community access and motorable feeder roads for market access"/>
    <m/>
    <m/>
    <s v="17220101"/>
    <s v="More community access roads constructed/extended to productive areas"/>
    <s v="Number of parishes connected to motorable community access roads "/>
    <n v="0"/>
    <n v="8960"/>
    <n v="4480"/>
    <n v="4480"/>
    <n v="4480"/>
    <n v="4480"/>
    <s v="MWT, URF, LGs "/>
    <e v="#N/A"/>
    <s v="Construct/open access roads leading to productive areas of the regions "/>
    <n v="1"/>
    <n v="1"/>
    <n v="1"/>
    <n v="0"/>
    <n v="1"/>
    <n v="1"/>
    <n v="1"/>
    <n v="1"/>
    <n v="0.875"/>
    <m/>
    <n v="0"/>
    <n v="0"/>
    <n v="680"/>
    <n v="720"/>
    <n v="0"/>
    <n v="0"/>
    <n v="0"/>
    <s v="LGs"/>
    <s v="500 501-850 Local Governments"/>
    <s v="MoLG,MoWT,UNRA"/>
  </r>
  <r>
    <x v="15"/>
    <x v="15"/>
    <s v="172"/>
    <s v="Infrastructure Development"/>
    <s v="1722"/>
    <s v="Close regional infrastructure gaps for exploitation of local economic potential"/>
    <s v="172201"/>
    <s v="Develop community access and motorable feeder roads for market access"/>
    <m/>
    <m/>
    <s v="17220101"/>
    <s v="More community access roads constructed/extended to productive areas"/>
    <s v="Number of parishes connected to motorable community access roads "/>
    <n v="0"/>
    <m/>
    <m/>
    <m/>
    <m/>
    <m/>
    <s v="LGs"/>
    <s v="500 501-850 Local Governments"/>
    <s v="Rehabilitate existing district, urban and community access roads"/>
    <n v="1"/>
    <n v="1"/>
    <n v="1"/>
    <n v="0"/>
    <n v="1"/>
    <n v="1"/>
    <n v="1"/>
    <n v="1"/>
    <n v="0.875"/>
    <m/>
    <n v="0"/>
    <n v="0"/>
    <n v="340"/>
    <n v="360"/>
    <n v="0"/>
    <n v="0"/>
    <n v="0"/>
    <s v="LGs"/>
    <s v="500 501-850 Local Governments"/>
    <s v="UNRA, MoLG"/>
  </r>
  <r>
    <x v="15"/>
    <x v="15"/>
    <s v="172"/>
    <s v="Infrastructure Development"/>
    <s v="1722"/>
    <s v="Close regional infrastructure gaps for exploitation of local economic potential"/>
    <s v="172201"/>
    <s v="Develop community access and motorable feeder roads for market access"/>
    <m/>
    <m/>
    <s v="17220101"/>
    <s v="More community access roads constructed/extended to productive areas"/>
    <s v="Number of parishes connected to motorable community access roads "/>
    <n v="0"/>
    <m/>
    <m/>
    <m/>
    <m/>
    <m/>
    <s v="LGs"/>
    <s v="500 501-850 Local Governments"/>
    <s v=" Maintain existing district, urban and community access roads"/>
    <n v="1"/>
    <n v="1"/>
    <n v="1"/>
    <n v="0"/>
    <n v="1"/>
    <n v="1"/>
    <n v="1"/>
    <n v="1"/>
    <n v="0.875"/>
    <m/>
    <n v="0"/>
    <n v="0"/>
    <n v="340"/>
    <n v="360"/>
    <n v="0"/>
    <n v="0"/>
    <n v="0"/>
    <s v="LGs"/>
    <s v="500 501-850 Local Governments"/>
    <s v="UNRA, MoLG"/>
  </r>
  <r>
    <x v="15"/>
    <x v="15"/>
    <s v="172"/>
    <s v="Infrastructure Development"/>
    <s v="1722"/>
    <s v="Close regional infrastructure gaps for exploitation of local economic potential"/>
    <s v="172202"/>
    <s v="Increase transport interconnectivity in these programme regions to promote intra-regional trade and reduce poverty"/>
    <m/>
    <m/>
    <s v="17220201"/>
    <s v="More regional roads constructed to connect the regions for increased trade"/>
    <s v="Number of Km of roads constructed in the 8 sub regions"/>
    <n v="0"/>
    <n v="160"/>
    <n v="160"/>
    <n v="160"/>
    <n v="160"/>
    <n v="160"/>
    <s v="MoWT"/>
    <s v="016 Ministry of Works and Transport"/>
    <s v="Construct/ rehabilitate regional roads within and across regions"/>
    <n v="1"/>
    <n v="1"/>
    <n v="1"/>
    <n v="0"/>
    <n v="1"/>
    <n v="1"/>
    <n v="1"/>
    <n v="1"/>
    <n v="0.875"/>
    <m/>
    <n v="0"/>
    <n v="0"/>
    <n v="0"/>
    <n v="0"/>
    <n v="0"/>
    <n v="0"/>
    <n v="0"/>
    <s v="MoWT"/>
    <s v="016 Ministry of Works and Transport"/>
    <s v="UNRA, LGs"/>
  </r>
  <r>
    <x v="15"/>
    <x v="15"/>
    <s v="172"/>
    <s v="Infrastructure Development"/>
    <s v="1722"/>
    <s v="Close regional infrastructure gaps for exploitation of local economic potential"/>
    <s v="172202"/>
    <s v="Increase transport interconnectivity in these programme regions to promote intra-regional trade and reduce poverty"/>
    <m/>
    <m/>
    <s v="17220202"/>
    <s v="Periodic road maintenance"/>
    <s v="Number of kms of road maintained in the sub-regions"/>
    <n v="0"/>
    <m/>
    <m/>
    <m/>
    <m/>
    <m/>
    <s v="MoWT"/>
    <s v="016 Ministry of Works and Transport"/>
    <s v="Maintenance of regional roads to make them all weather roads "/>
    <n v="1"/>
    <n v="1"/>
    <n v="1"/>
    <n v="0"/>
    <n v="0"/>
    <n v="1"/>
    <n v="1"/>
    <n v="1"/>
    <n v="0.75"/>
    <m/>
    <n v="0"/>
    <n v="0"/>
    <n v="0"/>
    <n v="0"/>
    <n v="0"/>
    <n v="0"/>
    <n v="0"/>
    <s v="MoWT"/>
    <s v="016 Ministry of Works and Transport"/>
    <s v="UNRA, LGs"/>
  </r>
  <r>
    <x v="15"/>
    <x v="15"/>
    <s v="172"/>
    <s v="Infrastructure Development"/>
    <s v="1722"/>
    <s v="Close regional infrastructure gaps for exploitation of local economic potential"/>
    <s v="172203"/>
    <s v="Increase energy connectivity in these programme regions "/>
    <m/>
    <m/>
    <s v="17220301"/>
    <s v="275 APFs connected to 3 phase, and 200 RGCs connected to electricity"/>
    <s v="Km of transmission lines "/>
    <m/>
    <n v="175"/>
    <n v="106"/>
    <n v="106"/>
    <n v="106"/>
    <n v="80"/>
    <s v="MEMD"/>
    <s v="017 Ministry of Energy and Mineral Development"/>
    <s v="Connect more towns and RGCs to the national grid"/>
    <n v="1"/>
    <n v="1"/>
    <n v="1"/>
    <n v="0"/>
    <n v="0"/>
    <n v="1"/>
    <n v="1"/>
    <n v="1"/>
    <n v="0.75"/>
    <n v="1"/>
    <n v="0"/>
    <n v="0"/>
    <n v="0"/>
    <n v="0"/>
    <n v="0"/>
    <n v="0"/>
    <n v="0"/>
    <s v="MEMD"/>
    <s v="017 Ministry of Energy and Mineral Development"/>
    <s v="REA, LGs, UEDCL"/>
  </r>
  <r>
    <x v="15"/>
    <x v="15"/>
    <s v="172"/>
    <s v="Infrastructure Development"/>
    <s v="1722"/>
    <s v="Close regional infrastructure gaps for exploitation of local economic potential"/>
    <s v="172203"/>
    <s v="Increase energy connectivity in these programme regions "/>
    <m/>
    <m/>
    <s v="17220302"/>
    <s v="Regional mini-hydro power stations constructed "/>
    <s v="Number of mini-hydro-power stations constructed"/>
    <n v="0"/>
    <m/>
    <m/>
    <m/>
    <m/>
    <m/>
    <s v="MEMD"/>
    <s v="017 Ministry of Energy and Mineral Development"/>
    <s v="Construct Mini- hydro electric power to connect remote parts of the program regions"/>
    <n v="1"/>
    <n v="1"/>
    <n v="1"/>
    <n v="0"/>
    <n v="0"/>
    <n v="1"/>
    <n v="1"/>
    <n v="1"/>
    <n v="0.75"/>
    <m/>
    <n v="0"/>
    <n v="0"/>
    <n v="0"/>
    <n v="0"/>
    <n v="0"/>
    <n v="0"/>
    <n v="0"/>
    <s v="MEMD"/>
    <s v="017 Ministry of Energy and Mineral Development"/>
    <s v="UEGCL"/>
  </r>
  <r>
    <x v="15"/>
    <x v="15"/>
    <s v="172"/>
    <s v="Infrastructure Development"/>
    <s v="1722"/>
    <s v="Close regional infrastructure gaps for exploitation of local economic potential"/>
    <s v="172204"/>
    <s v="Increase ICT interconnectivity in these programme regions "/>
    <m/>
    <m/>
    <s v="17220401"/>
    <s v="ICT infrastructure extended/availed in all programme regions"/>
    <s v="Length of fibre optic network"/>
    <m/>
    <n v="1649"/>
    <n v="1916"/>
    <n v="2182"/>
    <n v="2449"/>
    <n v="2715"/>
    <s v="MoICT&amp;NG"/>
    <s v="020 Ministry of ICT and National Guidance"/>
    <s v="Carry out ICT infrastructure needs assessment/demand in the programme areas."/>
    <n v="0"/>
    <n v="0"/>
    <n v="0"/>
    <n v="1"/>
    <n v="0"/>
    <n v="0"/>
    <n v="0"/>
    <n v="1"/>
    <n v="0.25"/>
    <m/>
    <n v="0"/>
    <n v="0"/>
    <n v="0"/>
    <n v="0"/>
    <n v="0"/>
    <n v="0"/>
    <n v="0"/>
    <s v="MoICT&amp;NG"/>
    <s v="020 Ministry of ICT and National Guidance"/>
    <s v="N/A"/>
  </r>
  <r>
    <x v="15"/>
    <x v="15"/>
    <s v="172"/>
    <s v="Infrastructure Development"/>
    <s v="1722"/>
    <s v="Close regional infrastructure gaps for exploitation of local economic potential"/>
    <s v="172204"/>
    <s v="Increase ICT interconnectivity in these programme regions "/>
    <m/>
    <m/>
    <s v="17220401"/>
    <s v="ICT infrastructure extended/availed in all programme regions"/>
    <s v="Number of LGs profiled for ICT needs"/>
    <m/>
    <m/>
    <m/>
    <m/>
    <m/>
    <m/>
    <s v="MoICT&amp;NG"/>
    <s v="020 Ministry of ICT and National Guidance"/>
    <s v="Extend broadband infrastructure connectivity to  regions."/>
    <n v="1"/>
    <n v="1"/>
    <n v="0"/>
    <n v="0"/>
    <n v="0"/>
    <n v="1"/>
    <n v="1"/>
    <n v="1"/>
    <n v="0.625"/>
    <m/>
    <n v="0"/>
    <n v="0"/>
    <n v="0"/>
    <n v="0"/>
    <n v="0"/>
    <n v="0"/>
    <n v="0"/>
    <s v="MoICT&amp;NG"/>
    <s v="020 Ministry of ICT and National Guidance"/>
    <s v="LGs"/>
  </r>
  <r>
    <x v="15"/>
    <x v="15"/>
    <s v="172"/>
    <s v="Infrastructure Development"/>
    <s v="1722"/>
    <s v="Close regional infrastructure gaps for exploitation of local economic potential"/>
    <s v="172204"/>
    <s v="Increase ICT interconnectivity in these programme regions "/>
    <m/>
    <m/>
    <s v="17220401"/>
    <s v="ICT infrastructure extended/availed in all programme regions"/>
    <s v="additional Km of broadband extended in the sub-regions"/>
    <n v="0"/>
    <m/>
    <m/>
    <m/>
    <m/>
    <m/>
    <s v="MoICT&amp;NG"/>
    <s v="020 Ministry of ICT and National Guidance"/>
    <s v="Provide end users office access devices /equipment"/>
    <n v="1"/>
    <n v="0"/>
    <n v="0"/>
    <n v="1"/>
    <n v="0"/>
    <n v="0"/>
    <n v="0"/>
    <n v="0"/>
    <n v="0.25"/>
    <m/>
    <n v="0"/>
    <n v="0"/>
    <n v="0"/>
    <n v="0"/>
    <n v="0"/>
    <n v="0"/>
    <n v="0"/>
    <s v="MoICT&amp;NG"/>
    <s v="020 Ministry of ICT and National Guidance"/>
    <s v="N/A"/>
  </r>
  <r>
    <x v="15"/>
    <x v="15"/>
    <s v="172"/>
    <s v="Infrastructure Development"/>
    <s v="1722"/>
    <s v="Close regional infrastructure gaps for exploitation of local economic potential"/>
    <s v="172204"/>
    <s v="Increase ICT interconnectivity in these programme regions "/>
    <m/>
    <m/>
    <s v="17220401"/>
    <s v="ICT infrastructure extended/availed in all programme regions"/>
    <s v="Number of LGs in the su-regions supported with end user office devices"/>
    <n v="0"/>
    <m/>
    <m/>
    <m/>
    <m/>
    <m/>
    <n v="140"/>
    <e v="#N/A"/>
    <s v="Continuously invest and improve on the quality of established ICT infrastructure"/>
    <n v="1"/>
    <n v="1"/>
    <n v="0"/>
    <n v="1"/>
    <n v="0"/>
    <n v="0"/>
    <n v="1"/>
    <n v="0"/>
    <n v="0.5"/>
    <m/>
    <n v="0"/>
    <n v="0"/>
    <n v="0"/>
    <n v="0"/>
    <n v="0"/>
    <n v="0"/>
    <n v="0"/>
    <s v="LGs"/>
    <s v="500 501-850 Local Governments"/>
    <s v="N/A"/>
  </r>
  <r>
    <x v="15"/>
    <x v="15"/>
    <s v="172"/>
    <s v="Infrastructure Development"/>
    <s v="1722"/>
    <s v="Close regional infrastructure gaps for exploitation of local economic potential"/>
    <s v="172204"/>
    <s v="Increase ICT interconnectivity in these programme regions "/>
    <m/>
    <m/>
    <s v="17220401"/>
    <s v="ICT infrastructure extended/availed in all programme regions"/>
    <s v="Number of ICT infratructure maintained perodically "/>
    <n v="0"/>
    <m/>
    <m/>
    <m/>
    <m/>
    <m/>
    <m/>
    <e v="#N/A"/>
    <s v="Identify resources requirements for LGs to make use of the ICT infrastructure"/>
    <n v="0"/>
    <n v="0"/>
    <n v="0"/>
    <n v="1"/>
    <n v="0"/>
    <n v="0"/>
    <n v="0"/>
    <n v="0"/>
    <n v="0.125"/>
    <m/>
    <n v="0"/>
    <n v="0"/>
    <n v="0"/>
    <n v="0"/>
    <n v="0"/>
    <n v="0"/>
    <n v="0"/>
    <s v="LGs"/>
    <s v="500 501-850 Local Governments"/>
    <s v="N/A"/>
  </r>
  <r>
    <x v="15"/>
    <x v="15"/>
    <s v="171"/>
    <s v="Production and Productivity"/>
    <s v="1713"/>
    <s v="Strengthen and develop regional based value chains for LED;"/>
    <s v="171301"/>
    <s v="Develop and implement regional specific development plans"/>
    <m/>
    <m/>
    <s v="17130101"/>
    <s v="Regional Development Plans/LED Projects"/>
    <s v="Number of regional specific development plans"/>
    <n v="2"/>
    <n v="1"/>
    <n v="1"/>
    <n v="3"/>
    <m/>
    <m/>
    <s v="NPA"/>
    <s v="108 National Planning Authority"/>
    <s v="Develop evidence based Regional Development Plans"/>
    <n v="1"/>
    <n v="1"/>
    <n v="1"/>
    <n v="1"/>
    <n v="0"/>
    <n v="1"/>
    <n v="1"/>
    <n v="1"/>
    <n v="0.875"/>
    <n v="1"/>
    <n v="0"/>
    <n v="0"/>
    <n v="3"/>
    <n v="3"/>
    <n v="3.02"/>
    <n v="3"/>
    <n v="6.02"/>
    <s v="NPA"/>
    <s v="108 National Planning Authority"/>
    <s v="NPA,MoLG,LGs,OPM"/>
  </r>
  <r>
    <x v="15"/>
    <x v="15"/>
    <s v="171"/>
    <s v="Production and Productivity"/>
    <s v="1713"/>
    <s v="Strengthen and develop regional based value chains for LED;"/>
    <s v="171301"/>
    <s v="Develop and implement regional specific development plans"/>
    <m/>
    <m/>
    <s v="17130102"/>
    <s v="Bankable/ready projects generated"/>
    <s v="Number of bankable project generated"/>
    <m/>
    <m/>
    <m/>
    <m/>
    <m/>
    <m/>
    <s v="NPA"/>
    <s v="108 National Planning Authority"/>
    <s v="Develop Investment Profiles of bankable projects."/>
    <n v="1"/>
    <n v="1"/>
    <n v="1"/>
    <n v="1"/>
    <n v="1"/>
    <n v="1"/>
    <n v="1"/>
    <n v="1"/>
    <n v="1"/>
    <m/>
    <n v="0"/>
    <n v="0"/>
    <n v="2"/>
    <n v="2"/>
    <n v="2"/>
    <n v="2"/>
    <n v="4"/>
    <s v="OP (OWC)"/>
    <s v="001 Office of the President"/>
    <s v="NPA,LGs,UIA"/>
  </r>
  <r>
    <x v="15"/>
    <x v="15"/>
    <s v="171"/>
    <s v="Production and Productivity"/>
    <s v="1713"/>
    <s v="Strengthen and develop regional based value chains for LED;"/>
    <s v="171301"/>
    <s v="Develop and implement regional specific development plans"/>
    <m/>
    <m/>
    <s v="17130103"/>
    <s v="regional Investment Expos"/>
    <s v="Number of sub-regional expos"/>
    <m/>
    <m/>
    <m/>
    <m/>
    <m/>
    <m/>
    <s v="UIA"/>
    <s v="310 Uganda Investment Authority (UIA)"/>
    <s v="Conduct regional Investment Expos"/>
    <n v="1"/>
    <n v="1"/>
    <n v="1"/>
    <n v="1"/>
    <n v="1"/>
    <n v="1"/>
    <n v="1"/>
    <n v="1"/>
    <n v="1"/>
    <m/>
    <n v="0"/>
    <n v="0"/>
    <n v="3"/>
    <n v="3"/>
    <n v="3"/>
    <n v="3"/>
    <n v="6"/>
    <s v="OP (OWC)"/>
    <s v="001 Office of the President"/>
    <s v="LGs"/>
  </r>
  <r>
    <x v="15"/>
    <x v="15"/>
    <s v="171"/>
    <s v="Production and Productivity"/>
    <s v="1713"/>
    <s v="Strengthen and develop regional based value chains for LED;"/>
    <s v="171301"/>
    <s v="Develop and implement regional specific development plans"/>
    <m/>
    <m/>
    <s v="17130104"/>
    <s v="LED Projects generated and implemented"/>
    <s v="Number of Karamoja LED projects implemented"/>
    <n v="0"/>
    <n v="56"/>
    <n v="56"/>
    <n v="56"/>
    <n v="28"/>
    <n v="31"/>
    <s v="MoLG"/>
    <s v="011 Ministry of Local Government"/>
    <s v="Karamoja Income Enhancement"/>
    <n v="1"/>
    <n v="1"/>
    <n v="1"/>
    <n v="1"/>
    <n v="1"/>
    <n v="1"/>
    <n v="1"/>
    <n v="1"/>
    <n v="1"/>
    <m/>
    <n v="0"/>
    <n v="293.27066879999995"/>
    <n v="82"/>
    <n v="105"/>
    <n v="57.499999999999993"/>
    <n v="69.11"/>
    <n v="126.60999999999999"/>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Bukedi LED projects implemented"/>
    <n v="0"/>
    <n v="56"/>
    <n v="56"/>
    <n v="56"/>
    <n v="28"/>
    <n v="28"/>
    <s v="MoLG"/>
    <s v="011 Ministry of Local Government"/>
    <s v="Bukedi Income Enhancement"/>
    <n v="1"/>
    <n v="1"/>
    <n v="1"/>
    <n v="1"/>
    <n v="1"/>
    <n v="1"/>
    <n v="1"/>
    <n v="1"/>
    <n v="1"/>
    <m/>
    <n v="0"/>
    <n v="292.52066854999998"/>
    <n v="85"/>
    <n v="104.24999975"/>
    <n v="57.124999875"/>
    <n v="62.837499862500003"/>
    <n v="119.96249973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West Nile LED projects implemented"/>
    <n v="0"/>
    <n v="56"/>
    <n v="56"/>
    <n v="56"/>
    <n v="28"/>
    <n v="28"/>
    <s v="MoLG"/>
    <s v="011 Ministry of Local Government"/>
    <s v="Westnile Income Enhancement"/>
    <n v="1"/>
    <n v="1"/>
    <n v="1"/>
    <n v="1"/>
    <n v="1"/>
    <n v="1"/>
    <n v="1"/>
    <n v="1"/>
    <n v="1"/>
    <m/>
    <n v="0"/>
    <n v="288.77066854999998"/>
    <n v="100"/>
    <n v="100.49999975"/>
    <n v="55.249999875"/>
    <n v="60.774999862500003"/>
    <n v="116.02499973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Acholi LED projects implemented"/>
    <n v="0"/>
    <n v="56"/>
    <n v="56"/>
    <n v="56"/>
    <n v="28"/>
    <n v="30"/>
    <s v="MoLG"/>
    <s v="011 Ministry of Local Government"/>
    <s v="Acholi Income Enhancement"/>
    <n v="1"/>
    <n v="1"/>
    <n v="1"/>
    <n v="1"/>
    <n v="1"/>
    <n v="1"/>
    <n v="1"/>
    <n v="1"/>
    <n v="1"/>
    <m/>
    <n v="0"/>
    <n v="230"/>
    <n v="102.81766744999999"/>
    <n v="105.81766745"/>
    <n v="67.908833724999994"/>
    <n v="80.559717097499998"/>
    <n v="148.46855082249999"/>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Teso LED projects implemented"/>
    <n v="0"/>
    <n v="56"/>
    <n v="56"/>
    <n v="56"/>
    <n v="28"/>
    <n v="28"/>
    <s v="MoLG"/>
    <s v="011 Ministry of Local Government"/>
    <s v="Teso Income Enhancement"/>
    <n v="1"/>
    <n v="1"/>
    <n v="1"/>
    <n v="1"/>
    <n v="1"/>
    <n v="1"/>
    <n v="1"/>
    <n v="1"/>
    <n v="1"/>
    <m/>
    <n v="0"/>
    <n v="245.5860278135101"/>
    <n v="105.81766744999999"/>
    <n v="105.2316396364899"/>
    <n v="63.408833724999994"/>
    <n v="69.749717097499996"/>
    <n v="133.15855082249999"/>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Busoga LED projects implemented"/>
    <n v="0"/>
    <n v="56"/>
    <n v="56"/>
    <n v="56"/>
    <n v="28"/>
    <n v="28"/>
    <s v="MoLG"/>
    <s v="011 Ministry of Local Government"/>
    <s v="Busoga Income Enhancement"/>
    <n v="1"/>
    <n v="1"/>
    <n v="1"/>
    <n v="1"/>
    <n v="1"/>
    <n v="1"/>
    <n v="1"/>
    <n v="1"/>
    <n v="1"/>
    <m/>
    <n v="0"/>
    <n v="293.27066879999995"/>
    <n v="82"/>
    <n v="105"/>
    <n v="57.499999999999993"/>
    <n v="63.25"/>
    <n v="120.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Bugisu LED projects implemented"/>
    <n v="0"/>
    <n v="56"/>
    <n v="56"/>
    <n v="56"/>
    <n v="28"/>
    <n v="28"/>
    <s v="MoLG"/>
    <s v="011 Ministry of Local Government"/>
    <s v="Bugisu Income Enhancement"/>
    <n v="1"/>
    <n v="1"/>
    <n v="1"/>
    <n v="1"/>
    <n v="1"/>
    <n v="1"/>
    <n v="1"/>
    <n v="1"/>
    <n v="1"/>
    <m/>
    <n v="0"/>
    <n v="288.77066854999998"/>
    <n v="100"/>
    <n v="100.49999975"/>
    <n v="55.249999875"/>
    <n v="60.774999862500003"/>
    <n v="116.02499973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Bunyoro LED projects implemented"/>
    <n v="0"/>
    <n v="56"/>
    <n v="56"/>
    <n v="56"/>
    <n v="28"/>
    <n v="28"/>
    <s v="MoLG"/>
    <s v="011 Ministry of Local Government"/>
    <s v="Bunyoro Income Enhancement"/>
    <n v="1"/>
    <n v="1"/>
    <n v="1"/>
    <n v="1"/>
    <n v="1"/>
    <n v="1"/>
    <n v="1"/>
    <n v="1"/>
    <n v="1"/>
    <m/>
    <n v="0"/>
    <n v="292.52066854999998"/>
    <n v="85"/>
    <n v="104.24999975"/>
    <n v="57.124999875"/>
    <n v="62.837499862500003"/>
    <n v="119.96249973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Rwenzori LED projects implemented"/>
    <n v="0"/>
    <n v="56"/>
    <n v="56"/>
    <n v="56"/>
    <n v="28"/>
    <n v="28"/>
    <s v="MoLG"/>
    <s v="011 Ministry of Local Government"/>
    <s v="Rwenzori Income Enhancement"/>
    <n v="1"/>
    <n v="1"/>
    <n v="1"/>
    <n v="1"/>
    <n v="1"/>
    <n v="1"/>
    <n v="1"/>
    <n v="1"/>
    <n v="1"/>
    <m/>
    <n v="0"/>
    <n v="293.27066879999995"/>
    <n v="82"/>
    <n v="105"/>
    <n v="57.499999999999993"/>
    <n v="63.25"/>
    <n v="120.75"/>
    <s v="LGs"/>
    <s v="500 501-850 Local Governments"/>
    <s v="OPM, NPA, MFPED, MoLG"/>
  </r>
  <r>
    <x v="15"/>
    <x v="15"/>
    <s v="171"/>
    <s v="Production and Productivity"/>
    <s v="1713"/>
    <s v="Strengthen and develop regional based value chains for LED;"/>
    <s v="171301"/>
    <s v="Develop and implement regional specific development plans"/>
    <m/>
    <m/>
    <s v="17130104"/>
    <s v="LED Projects generated and implemented"/>
    <s v="Number of Luwero LED projects implemented"/>
    <n v="0"/>
    <n v="56"/>
    <n v="56"/>
    <n v="56"/>
    <n v="28"/>
    <n v="28"/>
    <s v="MoLG"/>
    <s v="011 Ministry of Local Government"/>
    <s v="Luwero Income Enhancement"/>
    <n v="1"/>
    <n v="1"/>
    <n v="1"/>
    <n v="1"/>
    <n v="1"/>
    <n v="1"/>
    <n v="1"/>
    <n v="1"/>
    <n v="1"/>
    <m/>
    <n v="0"/>
    <n v="230"/>
    <n v="102.81766744999999"/>
    <n v="105.81766745"/>
    <n v="67.908833724999994"/>
    <n v="74.699717097499999"/>
    <n v="142.60855082249998"/>
    <s v="LGs"/>
    <s v="500 501-850 Local Governments"/>
    <s v="OPM, NPA, MFPED, MoLG"/>
  </r>
  <r>
    <x v="15"/>
    <x v="15"/>
    <s v="171"/>
    <s v="Production and Productivity"/>
    <s v="1713"/>
    <s v="Strengthen and develop regional based value chains for LED;"/>
    <s v="171302"/>
    <s v="Develop region-specific tourism products in poverty-stricken regions"/>
    <m/>
    <m/>
    <s v="17130201"/>
    <s v="Tourism products unique to the sub-regions "/>
    <s v="Number of regional tourism portfoilios developed"/>
    <n v="0"/>
    <n v="1"/>
    <n v="1"/>
    <n v="1"/>
    <n v="1"/>
    <n v="1"/>
    <s v="UTB"/>
    <s v="117 Uganda Tourism Board"/>
    <s v="Support development and marketing of tourism products in the sub-regions"/>
    <n v="1"/>
    <n v="1"/>
    <n v="1"/>
    <n v="0"/>
    <n v="1"/>
    <n v="1"/>
    <n v="1"/>
    <n v="1"/>
    <n v="0.875"/>
    <m/>
    <n v="0"/>
    <n v="0"/>
    <n v="5"/>
    <n v="5"/>
    <n v="0"/>
    <n v="0"/>
    <n v="0"/>
    <s v="UTB"/>
    <s v="117 Uganda Tourism Board"/>
    <s v="LGs, MTWA"/>
  </r>
  <r>
    <x v="15"/>
    <x v="15"/>
    <s v="171"/>
    <s v="Production and Productivity"/>
    <s v="1713"/>
    <s v="Strengthen and develop regional based value chains for LED;"/>
    <s v="171303"/>
    <s v="Facilitate formation of tourism groups in target communities (e.g. arts and crafts);"/>
    <m/>
    <m/>
    <s v="17130301"/>
    <s v="Tourism groups established"/>
    <s v="Number of tourism groups per region"/>
    <m/>
    <n v="87"/>
    <n v="87"/>
    <n v="87"/>
    <n v="87"/>
    <n v="87"/>
    <s v="LGs"/>
    <s v="500 501-850 Local Governments"/>
    <s v="Provide technical assistance to tourism groups "/>
    <n v="1"/>
    <n v="1"/>
    <n v="1"/>
    <n v="0"/>
    <n v="1"/>
    <n v="1"/>
    <n v="1"/>
    <n v="1"/>
    <n v="0.875"/>
    <m/>
    <n v="0"/>
    <n v="0"/>
    <n v="5"/>
    <n v="5"/>
    <n v="0"/>
    <n v="0"/>
    <n v="0"/>
    <s v="LGs"/>
    <s v="500 501-850 Local Governments"/>
    <s v="UTB, MoTWA"/>
  </r>
  <r>
    <x v="15"/>
    <x v="15"/>
    <s v="171"/>
    <s v="Production and Productivity"/>
    <s v="1713"/>
    <s v="Strengthen and develop regional based value chains for LED;"/>
    <s v="171304"/>
    <s v="Establish regional tourism information centers;"/>
    <m/>
    <m/>
    <s v="17130401"/>
    <s v="Regional tourism information centers created"/>
    <s v="Number of regional tourism information centres established"/>
    <n v="0"/>
    <n v="8"/>
    <n v="8"/>
    <n v="8"/>
    <n v="8"/>
    <n v="8"/>
    <s v="LGs"/>
    <s v="500 501-850 Local Governments"/>
    <s v="Setup tourism information centres in the regions"/>
    <n v="1"/>
    <n v="1"/>
    <n v="0"/>
    <n v="0"/>
    <n v="0"/>
    <n v="0"/>
    <n v="0"/>
    <n v="1"/>
    <n v="0.375"/>
    <m/>
    <n v="0"/>
    <n v="0"/>
    <n v="0"/>
    <n v="0"/>
    <n v="0"/>
    <n v="0"/>
    <n v="0"/>
    <s v="LGs"/>
    <s v="500 501-850 Local Governments"/>
    <s v="N/A"/>
  </r>
  <r>
    <x v="15"/>
    <x v="15"/>
    <s v="171"/>
    <s v="Production and Productivity"/>
    <s v="1713"/>
    <s v="Strengthen and develop regional based value chains for LED;"/>
    <s v="171304"/>
    <s v="Establish regional tourism information centers;"/>
    <m/>
    <m/>
    <s v="17130402"/>
    <s v="LG Torism Officers recruited and equiped"/>
    <s v="Number of LG Tourism Officers on payroll"/>
    <n v="0"/>
    <m/>
    <m/>
    <m/>
    <m/>
    <m/>
    <m/>
    <e v="#N/A"/>
    <s v="Recruit LG Tourism Officers"/>
    <n v="0"/>
    <n v="1"/>
    <n v="1"/>
    <n v="0"/>
    <n v="0"/>
    <n v="0"/>
    <n v="1"/>
    <n v="1"/>
    <n v="0.5"/>
    <m/>
    <n v="0"/>
    <n v="0"/>
    <n v="0"/>
    <n v="0"/>
    <n v="0"/>
    <n v="0"/>
    <n v="0"/>
    <s v="LGs"/>
    <s v="500 501-850 Local Governments"/>
    <s v="MoPS"/>
  </r>
  <r>
    <x v="15"/>
    <x v="15"/>
    <s v="171"/>
    <s v="Production and Productivity"/>
    <s v="1713"/>
    <s v="Strengthen and develop regional based value chains for LED;"/>
    <s v="171305"/>
    <s v="Skill locals in hospitality (tour guide, hoteliers);"/>
    <m/>
    <m/>
    <s v="17130501"/>
    <s v="Locals skilled in hospitality"/>
    <s v="Number of scholarships provided to the locals in the 8 sub-regions"/>
    <n v="0"/>
    <n v="435"/>
    <n v="435"/>
    <n v="435"/>
    <n v="435"/>
    <n v="435"/>
    <s v="MoES"/>
    <s v="013 Ministry of Education and Sports"/>
    <s v="Setup public-private partnership hospitality training institutions in the regions"/>
    <n v="1"/>
    <n v="1"/>
    <n v="0"/>
    <n v="0"/>
    <n v="0"/>
    <n v="0"/>
    <n v="0"/>
    <n v="0"/>
    <n v="0.25"/>
    <m/>
    <n v="0"/>
    <n v="0"/>
    <n v="0"/>
    <n v="0"/>
    <n v="0"/>
    <n v="0"/>
    <n v="0"/>
    <s v="MoES"/>
    <s v="013 Ministry of Education and Sports"/>
    <s v="MoTWA, UHTTI, UTB"/>
  </r>
  <r>
    <x v="15"/>
    <x v="15"/>
    <s v="171"/>
    <s v="Production and Productivity"/>
    <s v="1713"/>
    <s v="Strengthen and develop regional based value chains for LED;"/>
    <s v="171305"/>
    <s v="Skill locals in hospitality (tour guide, hoteliers);"/>
    <m/>
    <m/>
    <s v="17130502"/>
    <s v="Apprentice  Institutions established in the sub-regions"/>
    <s v="Number of Apprentice institutes established in the sub-regions"/>
    <n v="0"/>
    <m/>
    <m/>
    <m/>
    <m/>
    <m/>
    <m/>
    <e v="#N/A"/>
    <s v="Establish apprenticeship scheme in the hotel industry"/>
    <n v="0"/>
    <n v="0"/>
    <n v="0"/>
    <n v="1"/>
    <n v="0"/>
    <n v="0"/>
    <n v="0"/>
    <n v="0"/>
    <n v="0.125"/>
    <m/>
    <n v="0"/>
    <n v="0"/>
    <n v="0.3"/>
    <n v="0.3"/>
    <n v="0"/>
    <n v="0"/>
    <n v="0"/>
    <s v="MoTWA (UHTTI)"/>
    <s v="022 Ministry of Tourism, Wildlife and Antiquities"/>
    <s v="N/A"/>
  </r>
  <r>
    <x v="15"/>
    <x v="15"/>
    <s v="171"/>
    <s v="Production and Productivity"/>
    <s v="1713"/>
    <s v="Strengthen and develop regional based value chains for LED;"/>
    <s v="171306"/>
    <s v="Nurture local private sector to participate in local, regional and global tourism value chains through training and credit extension"/>
    <m/>
    <m/>
    <s v="17130601"/>
    <s v="Local private sector supported to participate in local, regional and global tourism value chains"/>
    <s v="Number of private sector individual supported"/>
    <n v="0"/>
    <n v="16"/>
    <n v="16"/>
    <n v="16"/>
    <n v="16"/>
    <n v="16"/>
    <s v="MoTWA"/>
    <s v="022 Ministry of Tourism, Wildlife and Antiquities"/>
    <s v="Set up tourists stop centers"/>
    <n v="1"/>
    <n v="1"/>
    <n v="1"/>
    <n v="1"/>
    <n v="0"/>
    <n v="1"/>
    <n v="1"/>
    <n v="1"/>
    <n v="0.875"/>
    <m/>
    <n v="0"/>
    <n v="0"/>
    <n v="3.4"/>
    <n v="3.6"/>
    <n v="0"/>
    <n v="0"/>
    <n v="0"/>
    <s v="MoTWA"/>
    <s v="022 Ministry of Tourism, Wildlife and Antiquities"/>
    <s v="LGs"/>
  </r>
  <r>
    <x v="15"/>
    <x v="15"/>
    <s v="171"/>
    <s v="Production and Productivity"/>
    <s v="1713"/>
    <s v="Strengthen and develop regional based value chains for LED;"/>
    <s v="171306"/>
    <s v="Nurture local private sector to participate in local, regional and global tourism value chains through training and credit extension"/>
    <m/>
    <m/>
    <s v="17130602"/>
    <s v="LGs implementing PPP projects in the sub-region"/>
    <s v="Number of LGs implementing PPP projects in the sub-region"/>
    <n v="0"/>
    <m/>
    <m/>
    <m/>
    <m/>
    <m/>
    <m/>
    <e v="#N/A"/>
    <s v="Provide support to LGs to tap into alternative financing through PPP arrangement"/>
    <n v="1"/>
    <n v="1"/>
    <n v="1"/>
    <n v="0"/>
    <n v="1"/>
    <n v="0"/>
    <n v="0"/>
    <n v="1"/>
    <n v="0.625"/>
    <m/>
    <n v="0"/>
    <n v="0"/>
    <n v="0.8"/>
    <n v="0.8"/>
    <n v="0"/>
    <n v="0"/>
    <n v="0"/>
    <s v="LGFC"/>
    <s v="147 Local Government Finance Commission"/>
    <s v="LGs"/>
  </r>
  <r>
    <x v="15"/>
    <x v="15"/>
    <s v="171"/>
    <s v="Production and Productivity"/>
    <s v="1713"/>
    <s v="Strengthen and develop regional based value chains for LED;"/>
    <s v="171307"/>
    <s v="Expand, upgrade and maintain tourism support infrastructure"/>
    <m/>
    <m/>
    <s v="17130701"/>
    <s v="Roads leading leading to potential tourism sites constructed"/>
    <s v="Km or tourism raods constructed"/>
    <m/>
    <m/>
    <m/>
    <m/>
    <m/>
    <m/>
    <m/>
    <e v="#N/A"/>
    <s v="Construct roads leading to potential tourism sites"/>
    <n v="1"/>
    <n v="1"/>
    <n v="1"/>
    <n v="0"/>
    <n v="0"/>
    <n v="0"/>
    <n v="1"/>
    <n v="1"/>
    <n v="0.625"/>
    <m/>
    <n v="0"/>
    <n v="0"/>
    <n v="0"/>
    <n v="0"/>
    <n v="0"/>
    <n v="0"/>
    <n v="0"/>
    <s v="MoTWA"/>
    <s v="022 Ministry of Tourism, Wildlife and Antiquities"/>
    <s v="LGs, UNRA"/>
  </r>
  <r>
    <x v="15"/>
    <x v="15"/>
    <s v="171"/>
    <s v="Production and Productivity"/>
    <s v="1713"/>
    <s v="Strengthen and develop regional based value chains for LED;"/>
    <s v="171307"/>
    <s v="Expand, upgrade and maintain tourism support infrastructure"/>
    <m/>
    <m/>
    <s v="17130702"/>
    <s v="Expand ICT networks to tourism potential areas"/>
    <s v="Number of ICT infratructure installed in potential tourism areas"/>
    <n v="0"/>
    <m/>
    <m/>
    <m/>
    <m/>
    <m/>
    <m/>
    <e v="#N/A"/>
    <s v="Expand ICT networks to tourism potential areas"/>
    <n v="1"/>
    <n v="1"/>
    <n v="1"/>
    <n v="0"/>
    <n v="0"/>
    <n v="0"/>
    <n v="1"/>
    <n v="1"/>
    <n v="0.625"/>
    <m/>
    <n v="0"/>
    <n v="0"/>
    <n v="0"/>
    <n v="0"/>
    <n v="0"/>
    <n v="0"/>
    <n v="0"/>
    <s v="MoICT&amp;NG"/>
    <s v="020 Ministry of ICT and National Guidance"/>
    <s v="MoTWA"/>
  </r>
  <r>
    <x v="15"/>
    <x v="15"/>
    <s v="171"/>
    <s v="Production and Productivity"/>
    <s v="1713"/>
    <s v="Strengthen and develop regional based value chains for LED;"/>
    <s v="171307"/>
    <s v="Expand, upgrade and maintain tourism support infrastructure"/>
    <m/>
    <m/>
    <s v="17130703"/>
    <s v="Tourism infrastructurs expanded, upgraded and maintained"/>
    <s v="Km of tourim roads expanded, upgraded and maintained"/>
    <n v="0"/>
    <n v="160"/>
    <n v="160"/>
    <n v="160"/>
    <n v="160"/>
    <n v="160"/>
    <s v="MoWT, MOLG, UNRA, LGs "/>
    <e v="#N/A"/>
    <s v="Provide incentives to local investors put up tourism facilities in the sub-regions "/>
    <n v="1"/>
    <n v="1"/>
    <n v="1"/>
    <n v="0"/>
    <n v="0"/>
    <n v="1"/>
    <n v="0"/>
    <n v="0"/>
    <n v="0.5"/>
    <m/>
    <n v="0"/>
    <n v="0"/>
    <n v="0"/>
    <n v="0"/>
    <n v="0"/>
    <n v="0"/>
    <n v="0"/>
    <s v="MoFPED"/>
    <s v="008 Ministry of Finance, Planning &amp; Economic Dev."/>
    <s v="LGs"/>
  </r>
  <r>
    <x v="15"/>
    <x v="15"/>
    <s v="171"/>
    <s v="Production and Productivity"/>
    <s v="1713"/>
    <s v="Strengthen and develop regional based value chains for LED;"/>
    <s v="171308"/>
    <s v="Organize the artisanal and small-scale miners into groups/ cooperatives;"/>
    <m/>
    <m/>
    <s v="17130801"/>
    <s v="Artisanal and small-scale miners’ groups/ cooperatives supported"/>
    <s v="Number of active artisanal and small-scale miners’ groups/ cooperatives"/>
    <n v="0"/>
    <n v="56"/>
    <n v="56"/>
    <n v="56"/>
    <n v="56"/>
    <n v="56"/>
    <s v="MEMD, LGs"/>
    <e v="#N/A"/>
    <s v="Support formation of small-scale miners’ cooperatives "/>
    <n v="1"/>
    <n v="0"/>
    <n v="1"/>
    <n v="1"/>
    <n v="1"/>
    <n v="0"/>
    <n v="1"/>
    <n v="0"/>
    <n v="0.625"/>
    <m/>
    <n v="0"/>
    <n v="0"/>
    <n v="0.5"/>
    <n v="0.5"/>
    <n v="0"/>
    <n v="0"/>
    <n v="0"/>
    <s v="MoTIC"/>
    <s v="015 Ministry of Trade, Industry and Cooperatives"/>
    <s v="MoLG, MEMD, LGs"/>
  </r>
  <r>
    <x v="15"/>
    <x v="15"/>
    <s v="171"/>
    <s v="Production and Productivity"/>
    <s v="1713"/>
    <s v="Strengthen and develop regional based value chains for LED;"/>
    <s v="171309"/>
    <s v="Provide incentives for acquisition of appropriate technology;"/>
    <m/>
    <m/>
    <s v="17130901"/>
    <s v="Artisanal and small-scale miners’ groups/ cooperatives supported with appropriate technologies "/>
    <s v="Number of Artisanal and small-scale miners’ groups have acquired appropriate technologies"/>
    <n v="0"/>
    <n v="16"/>
    <n v="18"/>
    <n v="20"/>
    <n v="22"/>
    <n v="24"/>
    <s v="MEMD, MTIC, LGs"/>
    <e v="#N/A"/>
    <s v="Provide appropriate technologies to small scale miners cooperatives"/>
    <n v="1"/>
    <n v="0"/>
    <n v="1"/>
    <n v="1"/>
    <n v="1"/>
    <n v="0"/>
    <n v="1"/>
    <n v="0"/>
    <n v="0.625"/>
    <m/>
    <n v="0"/>
    <n v="0"/>
    <n v="17"/>
    <n v="10"/>
    <n v="0"/>
    <n v="0"/>
    <n v="0"/>
    <s v="MEMD"/>
    <s v="017 Ministry of Energy and Mineral Development"/>
    <s v="N/A"/>
  </r>
  <r>
    <x v="15"/>
    <x v="15"/>
    <s v="171"/>
    <s v="Production and Productivity"/>
    <s v="1713"/>
    <s v="Strengthen and develop regional based value chains for LED;"/>
    <s v="171310"/>
    <s v="Provide training and extension services to ease the adoption of the acquired technology;"/>
    <m/>
    <m/>
    <s v="17131001"/>
    <s v="Artisanal and small-scale miners’ groups/ cooperatives adopted appropriate technologies"/>
    <s v="Number of Artisanal and small-scale miners’ groups using appropriate technologies"/>
    <n v="0"/>
    <m/>
    <m/>
    <m/>
    <m/>
    <m/>
    <m/>
    <e v="#N/A"/>
    <s v="Train members of small-scale miners' cooperatives on use of appropriate technologies"/>
    <n v="1"/>
    <n v="0"/>
    <n v="1"/>
    <n v="1"/>
    <n v="1"/>
    <n v="0"/>
    <n v="1"/>
    <n v="0"/>
    <n v="0.625"/>
    <m/>
    <n v="0"/>
    <n v="0"/>
    <n v="2"/>
    <n v="2"/>
    <n v="0"/>
    <n v="0"/>
    <n v="0"/>
    <s v="MEMD"/>
    <s v="017 Ministry of Energy and Mineral Development"/>
    <s v="N/A"/>
  </r>
  <r>
    <x v="15"/>
    <x v="15"/>
    <s v="171"/>
    <s v="Production and Productivity"/>
    <s v="1713"/>
    <s v="Strengthen and develop regional based value chains for LED;"/>
    <s v="171310"/>
    <s v="Provide training and extension services to ease the adoption of the acquired technology;"/>
    <m/>
    <m/>
    <s v="17131001"/>
    <s v="Artisanal and small-scale miners’ groups/ cooperatives adopted appropriate technologies"/>
    <m/>
    <n v="0"/>
    <m/>
    <m/>
    <m/>
    <m/>
    <m/>
    <m/>
    <e v="#N/A"/>
    <s v="Provide extension services"/>
    <n v="1"/>
    <n v="0"/>
    <n v="1"/>
    <n v="1"/>
    <n v="1"/>
    <n v="0"/>
    <n v="1"/>
    <n v="0"/>
    <n v="0.625"/>
    <m/>
    <n v="0"/>
    <n v="0"/>
    <n v="0"/>
    <n v="0"/>
    <n v="0"/>
    <n v="0"/>
    <n v="0"/>
    <s v="MEMD"/>
    <s v="017 Ministry of Energy and Mineral Development"/>
    <s v="N/A"/>
  </r>
  <r>
    <x v="15"/>
    <x v="15"/>
    <s v="171"/>
    <s v="Production and Productivity"/>
    <s v="1713"/>
    <s v="Strengthen and develop regional based value chains for LED;"/>
    <s v="171311"/>
    <s v="Incentivize private sector to offer industrial training and apprenticeship opportunities;"/>
    <m/>
    <m/>
    <s v="17131101"/>
    <s v="Private sector supported to provide industrial training and apprenticeship "/>
    <s v="Number of private sector/groups providing industrial training and apprenticeship"/>
    <n v="0"/>
    <n v="56"/>
    <n v="56"/>
    <n v="56"/>
    <n v="56"/>
    <n v="56"/>
    <s v="MFPED, MEMD, MTIC, LGs, Private Sector"/>
    <e v="#N/A"/>
    <s v="Support selected Private Sector Organizations to train members of small-scale miners cooperatives in application of appropriate technologies"/>
    <n v="0"/>
    <n v="0"/>
    <n v="0"/>
    <n v="0"/>
    <n v="0"/>
    <n v="0"/>
    <n v="0"/>
    <n v="0"/>
    <n v="0"/>
    <m/>
    <n v="0"/>
    <n v="0"/>
    <n v="0"/>
    <n v="0"/>
    <n v="0"/>
    <n v="0"/>
    <n v="0"/>
    <s v="MEMD"/>
    <s v="017 Ministry of Energy and Mineral Development"/>
    <s v="LGs"/>
  </r>
  <r>
    <x v="15"/>
    <x v="15"/>
    <s v="171"/>
    <s v="Production and Productivity"/>
    <s v="1713"/>
    <s v="Strengthen and develop regional based value chains for LED;"/>
    <s v="171312"/>
    <s v="Construct roads to support mining and mineral processing in the regions;"/>
    <m/>
    <m/>
    <s v="17131201"/>
    <s v="Mining roads constructed in sub-regions with commercially viable minerals  "/>
    <s v="Length of mineral roads in the sub-region (km)"/>
    <n v="0"/>
    <n v="250"/>
    <n v="250"/>
    <n v="250"/>
    <n v="250"/>
    <n v="250"/>
    <s v="MTW, UNRA, MEMD "/>
    <e v="#N/A"/>
    <s v="Construct/open, rehabilitate and maintain access roads  leading to mining areas"/>
    <n v="1"/>
    <n v="1"/>
    <n v="1"/>
    <n v="0"/>
    <n v="0"/>
    <n v="0"/>
    <n v="0"/>
    <n v="1"/>
    <n v="0.5"/>
    <m/>
    <n v="0"/>
    <n v="0"/>
    <n v="0"/>
    <n v="0"/>
    <n v="0"/>
    <n v="0"/>
    <n v="0"/>
    <s v="UNRA"/>
    <s v="113 Uganda National Roads Authority"/>
    <s v="MEMD, MoLG"/>
  </r>
  <r>
    <x v="15"/>
    <x v="15"/>
    <s v="171"/>
    <s v="Production and Productivity"/>
    <s v="1713"/>
    <s v="Strengthen and develop regional based value chains for LED;"/>
    <s v="171313"/>
    <s v="Extend adequate and reliable energy to support mining and mineral processing industries;"/>
    <m/>
    <m/>
    <s v="17131301"/>
    <s v="Mineral products processed from within the sub-regions"/>
    <s v="Proportion of value-added mineral products "/>
    <n v="0"/>
    <n v="56"/>
    <n v="56"/>
    <n v="56"/>
    <n v="56"/>
    <n v="56"/>
    <s v="MEMD, Private Sector, MFPED, UIA "/>
    <e v="#N/A"/>
    <s v="Provide incentives to local and foreign investors set up mineral processing plants/factories in the regions"/>
    <n v="1"/>
    <n v="1"/>
    <n v="0"/>
    <n v="0"/>
    <n v="0"/>
    <n v="0"/>
    <n v="0"/>
    <n v="1"/>
    <n v="0.375"/>
    <m/>
    <n v="0"/>
    <n v="0"/>
    <n v="0"/>
    <n v="0"/>
    <n v="0"/>
    <n v="0"/>
    <n v="0"/>
    <s v="MEMD"/>
    <s v="017 Ministry of Energy and Mineral Development"/>
    <s v="MoFPED"/>
  </r>
  <r>
    <x v="15"/>
    <x v="15"/>
    <s v="171"/>
    <s v="Production and Productivity"/>
    <s v="1713"/>
    <s v="Strengthen and develop regional based value chains for LED;"/>
    <s v="171314"/>
    <s v="Provide water to support mining and mineral processing;"/>
    <m/>
    <m/>
    <s v="17131401"/>
    <s v="Water facilities constructed in mining areas"/>
    <s v="Number of mining areas with water facilities"/>
    <n v="0"/>
    <n v="8"/>
    <n v="8"/>
    <n v="8"/>
    <n v="8"/>
    <n v="8"/>
    <s v="MWE "/>
    <e v="#N/A"/>
    <s v="Provide water facilities in mining areas"/>
    <n v="1"/>
    <n v="1"/>
    <n v="0"/>
    <n v="0"/>
    <n v="0"/>
    <n v="0"/>
    <n v="0"/>
    <n v="1"/>
    <n v="0.375"/>
    <m/>
    <n v="0"/>
    <n v="0"/>
    <n v="0"/>
    <n v="0"/>
    <n v="0"/>
    <n v="0"/>
    <n v="0"/>
    <s v="MWE"/>
    <s v="019 Ministry of Water and Environment"/>
    <s v="MEMD"/>
  </r>
  <r>
    <x v="15"/>
    <x v="15"/>
    <s v="171"/>
    <s v="Production and Productivity"/>
    <s v="1713"/>
    <s v="Strengthen and develop regional based value chains for LED;"/>
    <s v="171315"/>
    <s v="Promote value addition through LED in the mining activities;"/>
    <m/>
    <m/>
    <s v="17131501"/>
    <s v="Value added mineral-LED enterprises established in the sub-regions with commercially viable minerals  "/>
    <s v="Number of value-added mineral-LED enterprises in the sub-regions"/>
    <n v="0"/>
    <n v="8"/>
    <n v="8"/>
    <n v="8"/>
    <n v="8"/>
    <n v="8"/>
    <s v="MEMD, UIA, Private Sector, MFPED, UIA"/>
    <e v="#N/A"/>
    <s v="Identify and gazette regional centres for mineral processing plants"/>
    <n v="1"/>
    <n v="0"/>
    <n v="0"/>
    <n v="0"/>
    <n v="0"/>
    <n v="0"/>
    <n v="0"/>
    <n v="1"/>
    <n v="0.25"/>
    <m/>
    <n v="0"/>
    <n v="0"/>
    <n v="0.1"/>
    <n v="0.1"/>
    <n v="0"/>
    <n v="0"/>
    <n v="0"/>
    <s v="MEMD"/>
    <m/>
    <m/>
  </r>
  <r>
    <x v="15"/>
    <x v="15"/>
    <s v="171"/>
    <s v="Production and Productivity"/>
    <s v="1713"/>
    <s v="Strengthen and develop regional based value chains for LED;"/>
    <s v="171315"/>
    <s v="Promote value addition through LED in the mining activities;"/>
    <m/>
    <m/>
    <s v="17131501"/>
    <s v="Value added mineral-LED enterprises established in the sub-regions with commercially viable minerals  "/>
    <m/>
    <n v="0"/>
    <m/>
    <m/>
    <m/>
    <m/>
    <m/>
    <m/>
    <e v="#N/A"/>
    <s v="Provide incentives to local and foreign investors put up mineral processing facilities in the sub-regions"/>
    <n v="1"/>
    <n v="0"/>
    <n v="0"/>
    <n v="0"/>
    <n v="0"/>
    <n v="0"/>
    <n v="0"/>
    <n v="1"/>
    <n v="0.25"/>
    <m/>
    <n v="0"/>
    <n v="0"/>
    <n v="0"/>
    <n v="0"/>
    <n v="0"/>
    <n v="0"/>
    <n v="0"/>
    <s v="MoFPED"/>
    <s v="008 Ministry of Finance, Planning &amp; Economic Dev."/>
    <s v="MEMD"/>
  </r>
  <r>
    <x v="15"/>
    <x v="15"/>
    <s v="171"/>
    <s v="Production and Productivity"/>
    <s v="1713"/>
    <s v="Strengthen and develop regional based value chains for LED;"/>
    <s v="171316"/>
    <s v="Restore degraded excavation sites;"/>
    <m/>
    <m/>
    <s v="17131601"/>
    <s v="Degraded excavation sites restored"/>
    <s v="Land area restored (hectares)"/>
    <m/>
    <n v="15"/>
    <n v="15"/>
    <n v="15"/>
    <n v="25"/>
    <n v="30"/>
    <s v="MWE, NEMA "/>
    <e v="#N/A"/>
    <s v="Develop and disseminate IEC materials on relation mining related environmental"/>
    <n v="1"/>
    <n v="0"/>
    <n v="0"/>
    <n v="0"/>
    <n v="0"/>
    <n v="0"/>
    <n v="0"/>
    <n v="1"/>
    <n v="0.25"/>
    <m/>
    <n v="0"/>
    <n v="0"/>
    <n v="0"/>
    <n v="0"/>
    <n v="0"/>
    <n v="0"/>
    <n v="0"/>
    <s v="MEMD"/>
    <s v="017 Ministry of Energy and Mineral Development"/>
    <s v="N/A"/>
  </r>
  <r>
    <x v="15"/>
    <x v="15"/>
    <s v="171"/>
    <s v="Production and Productivity"/>
    <s v="1713"/>
    <s v="Strengthen and develop regional based value chains for LED;"/>
    <s v="171317"/>
    <s v="Provide support to youth and women enterprises;"/>
    <m/>
    <m/>
    <s v="17131701"/>
    <s v="Youths and women owned enterprises established."/>
    <s v="Number of functional youths and women enterprises "/>
    <n v="0"/>
    <m/>
    <m/>
    <m/>
    <m/>
    <m/>
    <m/>
    <e v="#N/A"/>
    <s v="- Sensitization and mobilisation of youth and women owned enterprises."/>
    <n v="1"/>
    <n v="1"/>
    <n v="1"/>
    <n v="0"/>
    <n v="1"/>
    <n v="0"/>
    <n v="1"/>
    <m/>
    <n v="0.625"/>
    <m/>
    <n v="0"/>
    <n v="0"/>
    <n v="12"/>
    <n v="12"/>
    <n v="0"/>
    <n v="0"/>
    <n v="0"/>
    <s v="LGs"/>
    <s v="500 501-850 Local Governments"/>
    <s v="MoGLSD, MoLG"/>
  </r>
  <r>
    <x v="15"/>
    <x v="15"/>
    <s v="171"/>
    <s v="Production and Productivity"/>
    <s v="1713"/>
    <s v="Strengthen and develop regional based value chains for LED;"/>
    <s v="171317"/>
    <s v="Provide support to youth and women enterprises;"/>
    <m/>
    <m/>
    <s v="17131701"/>
    <s v="Youths and women enterprises appraised."/>
    <s v="Number of youths and women enterprises appraised"/>
    <n v="0"/>
    <m/>
    <m/>
    <m/>
    <m/>
    <m/>
    <m/>
    <e v="#N/A"/>
    <s v="-Selection and appraisal of beneficiary enterprises."/>
    <n v="1"/>
    <n v="1"/>
    <n v="1"/>
    <n v="0"/>
    <n v="1"/>
    <n v="0"/>
    <n v="1"/>
    <n v="0"/>
    <n v="0.625"/>
    <m/>
    <n v="0"/>
    <n v="0"/>
    <n v="0"/>
    <n v="0"/>
    <n v="0"/>
    <n v="0"/>
    <n v="0"/>
    <s v="MoGLSD"/>
    <s v="018 Ministry of Gender, Labour and Social Development"/>
    <s v="MoLG"/>
  </r>
  <r>
    <x v="15"/>
    <x v="15"/>
    <s v="171"/>
    <s v="Production and Productivity"/>
    <s v="1713"/>
    <s v="Strengthen and develop regional based value chains for LED;"/>
    <s v="171317"/>
    <s v="Provide support to youth and women enterprises;"/>
    <m/>
    <m/>
    <s v="17131702"/>
    <s v="Amount of funds disbursed to youth and women enterprises"/>
    <s v="Ushs. Disbursed to youth and women enterprises"/>
    <n v="0"/>
    <m/>
    <m/>
    <m/>
    <m/>
    <m/>
    <m/>
    <e v="#N/A"/>
    <s v="-Disbursement of funds to beneficiary enterprises."/>
    <n v="1"/>
    <n v="1"/>
    <n v="1"/>
    <n v="0"/>
    <n v="1"/>
    <n v="0"/>
    <n v="1"/>
    <n v="0"/>
    <n v="0.625"/>
    <m/>
    <n v="0"/>
    <n v="0"/>
    <n v="0"/>
    <n v="0"/>
    <n v="0"/>
    <n v="0"/>
    <n v="0"/>
    <s v="MoGLSD"/>
    <s v="018 Ministry of Gender, Labour and Social Development"/>
    <s v="MoLG"/>
  </r>
  <r>
    <x v="15"/>
    <x v="15"/>
    <s v="171"/>
    <s v="Production and Productivity"/>
    <s v="1713"/>
    <s v="Strengthen and develop regional based value chains for LED;"/>
    <s v="171317"/>
    <s v="Provide support to youth and women enterprises;"/>
    <m/>
    <m/>
    <s v="17131703"/>
    <s v="Performance of youth and women enterprises monitored"/>
    <s v="Frequency of monitoring visits to the enterprises"/>
    <n v="0"/>
    <m/>
    <m/>
    <m/>
    <m/>
    <m/>
    <m/>
    <e v="#N/A"/>
    <s v="-Monitoring of beneficiary enterprises. "/>
    <n v="1"/>
    <n v="1"/>
    <n v="1"/>
    <n v="0"/>
    <n v="1"/>
    <n v="0"/>
    <n v="1"/>
    <n v="0"/>
    <n v="0.625"/>
    <m/>
    <n v="0"/>
    <n v="0"/>
    <n v="0"/>
    <n v="0"/>
    <n v="0"/>
    <n v="0"/>
    <n v="0"/>
    <s v="MoGLSD"/>
    <s v="018 Ministry of Gender, Labour and Social Development"/>
    <s v="MoLG"/>
  </r>
  <r>
    <x v="15"/>
    <x v="15"/>
    <s v="171"/>
    <s v="Production and Productivity"/>
    <s v="1713"/>
    <s v="Strengthen and develop regional based value chains for LED;"/>
    <s v="171318"/>
    <s v="Undertake massive sensitization and awareness campaigns on environment."/>
    <m/>
    <m/>
    <s v="17131801"/>
    <s v="Awareness on environment degradation created"/>
    <s v="Number of communities that have received massive sensitization on environment"/>
    <n v="0"/>
    <n v="45"/>
    <n v="45"/>
    <n v="45"/>
    <n v="45"/>
    <n v="45"/>
    <s v="MWE, NEMA, LGs"/>
    <e v="#N/A"/>
    <s v="Organize sub-regional sensitization meetings on environment"/>
    <n v="1"/>
    <n v="0"/>
    <n v="0"/>
    <n v="1"/>
    <n v="0"/>
    <n v="1"/>
    <n v="1"/>
    <n v="0"/>
    <n v="0.5"/>
    <m/>
    <n v="0"/>
    <n v="0"/>
    <n v="0"/>
    <n v="0"/>
    <n v="0"/>
    <n v="0"/>
    <n v="0"/>
    <s v="MWE"/>
    <s v="019 Ministry of Water and Environment"/>
    <s v="NEMA, LGs"/>
  </r>
  <r>
    <x v="15"/>
    <x v="15"/>
    <s v="171"/>
    <s v="Production and Productivity"/>
    <s v="1713"/>
    <s v="Strengthen and develop regional based value chains for LED;"/>
    <s v="171318"/>
    <s v="Undertake massive sensitization and awareness campaigns on environment."/>
    <m/>
    <m/>
    <s v="17131801"/>
    <s v="Awareness on environment degradation created"/>
    <s v="Number of sub-counties were enforcment was undertaken"/>
    <n v="0"/>
    <n v="870"/>
    <n v="870"/>
    <n v="870"/>
    <n v="870"/>
    <n v="870"/>
    <s v="MWE"/>
    <s v="019 Ministry of Water and Environment"/>
    <s v="Enforce compliance with the environmental regulations"/>
    <n v="1"/>
    <n v="1"/>
    <n v="0"/>
    <n v="1"/>
    <n v="0"/>
    <n v="1"/>
    <n v="1"/>
    <n v="0"/>
    <n v="0.625"/>
    <m/>
    <n v="0"/>
    <n v="0"/>
    <n v="0"/>
    <n v="0"/>
    <n v="0"/>
    <n v="0"/>
    <n v="0"/>
    <s v="MWE"/>
    <s v="019 Ministry of Water and Environment"/>
    <s v="NEMA, LGs"/>
  </r>
  <r>
    <x v="15"/>
    <x v="15"/>
    <s v="171"/>
    <s v="Production and Productivity"/>
    <s v="1713"/>
    <s v="Strengthen and develop regional based value chains for LED;"/>
    <s v="171318"/>
    <s v="Undertake massive sensitization and awareness campaigns on environment."/>
    <m/>
    <m/>
    <s v="17131801"/>
    <s v="Awareness on environment degradation created"/>
    <s v="Number of sub-counties where awareness was created"/>
    <n v="0"/>
    <m/>
    <m/>
    <m/>
    <m/>
    <m/>
    <m/>
    <e v="#N/A"/>
    <s v="Conduct both sub county and parish level community awareness events on environmental regeneration"/>
    <n v="1"/>
    <n v="0"/>
    <n v="0"/>
    <n v="1"/>
    <n v="0"/>
    <n v="1"/>
    <n v="1"/>
    <n v="0"/>
    <n v="0.5"/>
    <m/>
    <n v="0"/>
    <n v="0"/>
    <n v="0"/>
    <n v="0"/>
    <n v="0"/>
    <n v="0"/>
    <n v="0"/>
    <s v="MWE"/>
    <s v="019 Ministry of Water and Environment"/>
    <s v="NEMA, LGs"/>
  </r>
  <r>
    <x v="15"/>
    <x v="15"/>
    <s v="171"/>
    <s v="Production and Productivity"/>
    <s v="1713"/>
    <s v="Strengthen and develop regional based value chains for LED;"/>
    <s v="171318"/>
    <s v="Undertake massive sensitization and awareness campaigns on environment."/>
    <m/>
    <m/>
    <s v="17131801"/>
    <s v="Awareness on environment degradation created"/>
    <s v="Degraded areas (hectares)  restored"/>
    <m/>
    <m/>
    <m/>
    <m/>
    <m/>
    <m/>
    <m/>
    <e v="#N/A"/>
    <s v="Identification and Sensitization and mobilisation"/>
    <n v="1"/>
    <n v="1"/>
    <n v="0"/>
    <n v="1"/>
    <n v="0"/>
    <n v="1"/>
    <n v="1"/>
    <n v="0"/>
    <n v="0.625"/>
    <m/>
    <n v="0"/>
    <n v="0"/>
    <n v="0"/>
    <n v="0"/>
    <n v="0"/>
    <n v="0"/>
    <n v="0"/>
    <s v="MWE"/>
    <s v="019 Ministry of Water and Environment"/>
    <s v="NEMA, LGs"/>
  </r>
  <r>
    <x v="15"/>
    <x v="15"/>
    <s v="171"/>
    <s v="Production and Productivity"/>
    <s v="1713"/>
    <s v="Strengthen and develop regional based value chains for LED;"/>
    <s v="171318"/>
    <s v="Undertake massive sensitization and awareness campaigns on environment."/>
    <m/>
    <m/>
    <s v="17131802"/>
    <s v="Water and soil conservation activities implemented"/>
    <s v="Number of sub-counties implemeting  conservation activities "/>
    <n v="0"/>
    <m/>
    <m/>
    <m/>
    <m/>
    <m/>
    <m/>
    <e v="#N/A"/>
    <s v="Undertake water and soil conservation activities"/>
    <n v="1"/>
    <n v="1"/>
    <n v="1"/>
    <n v="1"/>
    <n v="0"/>
    <n v="0"/>
    <n v="1"/>
    <n v="0"/>
    <n v="0.625"/>
    <m/>
    <n v="0"/>
    <n v="0"/>
    <n v="0"/>
    <n v="0"/>
    <n v="0"/>
    <n v="0"/>
    <n v="0"/>
    <s v="MWE"/>
    <s v="019 Ministry of Water and Environment"/>
    <s v="NEMA"/>
  </r>
  <r>
    <x v="15"/>
    <x v="15"/>
    <s v="171"/>
    <s v="Production and Productivity"/>
    <s v="1713"/>
    <s v="Strengthen and develop regional based value chains for LED;"/>
    <s v="171318"/>
    <s v="Undertake massive sensitization and awareness campaigns on environment."/>
    <m/>
    <m/>
    <s v="17131803"/>
    <s v="  Tree nursery beds established in the sub-regions"/>
    <s v="Number of tree nurseries in the sub-regions"/>
    <n v="0"/>
    <m/>
    <m/>
    <m/>
    <m/>
    <m/>
    <m/>
    <e v="#N/A"/>
    <s v=" Support establishment of tree nursery beds"/>
    <n v="1"/>
    <n v="1"/>
    <n v="1"/>
    <n v="1"/>
    <n v="0"/>
    <n v="0"/>
    <n v="1"/>
    <n v="0"/>
    <n v="0.625"/>
    <m/>
    <n v="0"/>
    <n v="0"/>
    <n v="0"/>
    <n v="0"/>
    <n v="0"/>
    <n v="0"/>
    <n v="0"/>
    <s v="NFA"/>
    <s v="157 National Forestry Authority"/>
    <s v="NFA, NEMA"/>
  </r>
  <r>
    <x v="15"/>
    <x v="15"/>
    <s v="171"/>
    <s v="Production and Productivity"/>
    <s v="1713"/>
    <s v="Strengthen and develop regional based value chains for LED;"/>
    <s v="171318"/>
    <s v="Undertake massive sensitization and awareness campaigns on environment."/>
    <m/>
    <m/>
    <s v="17131804"/>
    <s v=" Trees Planted"/>
    <s v="Hectares of new trees plantation in the sub-regions"/>
    <n v="0"/>
    <m/>
    <m/>
    <m/>
    <m/>
    <m/>
    <m/>
    <e v="#N/A"/>
    <s v=" Plan trees"/>
    <n v="1"/>
    <n v="1"/>
    <n v="1"/>
    <n v="1"/>
    <n v="0"/>
    <n v="0"/>
    <n v="1"/>
    <n v="0"/>
    <n v="0.625"/>
    <m/>
    <n v="0"/>
    <n v="0"/>
    <n v="0"/>
    <n v="0"/>
    <n v="0"/>
    <n v="0"/>
    <n v="0"/>
    <s v="NFA"/>
    <s v="157 National Forestry Authority"/>
    <s v="NFA, NEMA"/>
  </r>
  <r>
    <x v="15"/>
    <x v="15"/>
    <s v="171"/>
    <s v="Production and Productivity"/>
    <s v="1713"/>
    <s v="Strengthen and develop regional based value chains for LED;"/>
    <s v="171318"/>
    <s v="Undertake massive sensitization and awareness campaigns on environment."/>
    <m/>
    <m/>
    <s v="17131805"/>
    <s v="Conduct community awareness on environment protection"/>
    <s v="Conserved Environmental area"/>
    <m/>
    <m/>
    <m/>
    <m/>
    <m/>
    <m/>
    <m/>
    <e v="#N/A"/>
    <s v="Conduct community awareness on environment protection"/>
    <n v="1"/>
    <n v="1"/>
    <n v="1"/>
    <n v="1"/>
    <n v="0"/>
    <n v="0"/>
    <n v="1"/>
    <n v="0"/>
    <n v="0.625"/>
    <m/>
    <n v="0"/>
    <n v="0"/>
    <n v="0"/>
    <n v="0"/>
    <n v="0"/>
    <n v="0"/>
    <n v="0"/>
    <s v="NEMA"/>
    <s v="150 National Environment Management Authority"/>
    <s v="NEMA"/>
  </r>
  <r>
    <x v="15"/>
    <x v="15"/>
    <s v="173"/>
    <s v="Capacity building for leaders"/>
    <s v="1734"/>
    <s v="Strengthen the performance measurement and management frameworks for local leadership and public sector management "/>
    <s v="173401"/>
    <s v="Introduce community score cards of local government performance"/>
    <m/>
    <m/>
    <s v="17340101"/>
    <s v="Leaders sensitized and mentored on their roles and responsibilities"/>
    <s v="Number of leaders annually assessed "/>
    <m/>
    <n v="435"/>
    <n v="435"/>
    <n v="435"/>
    <n v="435"/>
    <n v="435"/>
    <s v="OP"/>
    <s v="001 Office of the President"/>
    <s v="Undertake periodic performance score card assessments"/>
    <n v="1"/>
    <n v="1"/>
    <n v="1"/>
    <n v="1"/>
    <n v="1"/>
    <n v="1"/>
    <n v="1"/>
    <n v="0"/>
    <n v="0.875"/>
    <m/>
    <n v="0"/>
    <n v="0"/>
    <n v="5"/>
    <n v="5"/>
    <n v="0"/>
    <n v="0"/>
    <n v="0"/>
    <s v="OP (OWC)"/>
    <s v="001 Office of the President"/>
    <s v="MoLG"/>
  </r>
  <r>
    <x v="15"/>
    <x v="15"/>
    <s v="173"/>
    <s v="Capacity building for leaders"/>
    <s v="1734"/>
    <s v="Strengthen the performance measurement and management frameworks for local leadership and public sector management "/>
    <s v="173401"/>
    <s v="Introduce community score cards of local government performance"/>
    <m/>
    <m/>
    <s v="17340102"/>
    <s v="LG Devt projects and priorities funded from royalties"/>
    <s v="Number of LGs funded from royalties"/>
    <m/>
    <n v="87"/>
    <n v="87"/>
    <n v="87"/>
    <n v="87"/>
    <n v="87"/>
    <s v="LGFC"/>
    <s v="147 Local Government Finance Commission"/>
    <s v="Develop expenditure structure/policy for royalty fees"/>
    <n v="1"/>
    <n v="1"/>
    <n v="1"/>
    <n v="0"/>
    <n v="0"/>
    <n v="0"/>
    <n v="0"/>
    <n v="1"/>
    <n v="0.5"/>
    <m/>
    <n v="0"/>
    <n v="0"/>
    <n v="0"/>
    <n v="0"/>
    <n v="0"/>
    <n v="0"/>
    <n v="0"/>
    <s v="LGFC"/>
    <s v="147 Local Government Finance Commission"/>
    <s v="MoLG"/>
  </r>
  <r>
    <x v="15"/>
    <x v="15"/>
    <s v="173"/>
    <s v="Capacity building for leaders"/>
    <s v="1734"/>
    <s v="Strengthen the performance measurement and management frameworks for local leadership and public sector management "/>
    <s v="173401"/>
    <s v="Introduce community score cards of local government performance"/>
    <m/>
    <m/>
    <s v="17340103"/>
    <s v="CSOs and Private Sector participate in formulation of LG development plans and budget process"/>
    <s v="Number of CSOs and Private Sector participation in the planning and budget process"/>
    <n v="0"/>
    <n v="870"/>
    <n v="870"/>
    <n v="870"/>
    <n v="870"/>
    <n v="870"/>
    <s v="MoLG"/>
    <s v="011 Ministry of Local Government"/>
    <s v="Organize Annual Planning and Budget Workshops for stakeholders"/>
    <n v="1"/>
    <n v="0"/>
    <n v="0"/>
    <n v="1"/>
    <n v="1"/>
    <n v="0"/>
    <n v="1"/>
    <n v="1"/>
    <n v="0.625"/>
    <m/>
    <n v="0"/>
    <n v="0"/>
    <n v="2.13"/>
    <n v="2.13"/>
    <n v="0"/>
    <n v="0"/>
    <n v="0"/>
    <s v="MoLG"/>
    <s v="011 Ministry of Local Government"/>
    <s v="NPA, MoFPED"/>
  </r>
  <r>
    <x v="15"/>
    <x v="15"/>
    <s v="173"/>
    <s v="Capacity building for leaders"/>
    <s v="1734"/>
    <s v="Strengthen the performance measurement and management frameworks for local leadership and public sector management "/>
    <s v="173401"/>
    <s v="Introduce community score cards of local government performance"/>
    <m/>
    <m/>
    <s v="17340103"/>
    <s v="CSOs and Private Sector support the implementation of agreed development programmes and projects"/>
    <s v="Number of CSOs and Private Sector supporting the implementation of agreed development programmes and projects"/>
    <n v="0"/>
    <n v="174"/>
    <n v="174"/>
    <n v="174"/>
    <n v="174"/>
    <n v="174"/>
    <s v="MoLG"/>
    <s v="011 Ministry of Local Government"/>
    <s v="Coordinate implementation of LGDP Programmes and Projects"/>
    <n v="1"/>
    <n v="0"/>
    <n v="1"/>
    <n v="1"/>
    <n v="1"/>
    <n v="0"/>
    <n v="1"/>
    <n v="1"/>
    <n v="0.75"/>
    <m/>
    <n v="0"/>
    <n v="0"/>
    <n v="7"/>
    <n v="7"/>
    <n v="0"/>
    <n v="0"/>
    <n v="0"/>
    <s v="MoLG"/>
    <s v="011 Ministry of Local Government"/>
    <s v="NPA, LGs"/>
  </r>
  <r>
    <x v="15"/>
    <x v="15"/>
    <s v="173"/>
    <s v="Capacity building for leaders"/>
    <s v="1734"/>
    <s v="Strengthen the performance measurement and management frameworks for local leadership and public sector management "/>
    <s v="173401"/>
    <s v="Introduce community score cards of local government performance"/>
    <m/>
    <m/>
    <s v="17340104"/>
    <s v="Communication and Feedback mechanism established"/>
    <s v="Number of Communication and feedback channels established"/>
    <n v="0"/>
    <n v="87"/>
    <n v="87"/>
    <n v="87"/>
    <n v="87"/>
    <n v="87"/>
    <s v="MoLG"/>
    <s v="011 Ministry of Local Government"/>
    <s v="Provide information on the implementation progress of LGDP and NDPIII"/>
    <n v="1"/>
    <n v="0"/>
    <n v="0"/>
    <n v="1"/>
    <n v="1"/>
    <n v="0"/>
    <n v="1"/>
    <n v="1"/>
    <n v="0.625"/>
    <m/>
    <n v="0"/>
    <n v="0"/>
    <n v="1"/>
    <n v="1"/>
    <n v="0"/>
    <n v="0"/>
    <n v="0"/>
    <s v="MoLG"/>
    <s v="011 Ministry of Local Government"/>
    <s v="NPA, LGs"/>
  </r>
  <r>
    <x v="15"/>
    <x v="15"/>
    <s v="173"/>
    <s v="Capacity building for leaders"/>
    <s v="1734"/>
    <s v="Strengthen the performance measurement and management frameworks for local leadership and public sector management "/>
    <s v="173401"/>
    <s v="Introduce community score cards of local government performance"/>
    <m/>
    <m/>
    <s v="17340105"/>
    <s v="Communities mobilized to participate in project identification, implementation, monitoring and evaluation"/>
    <s v="Number of groups/beneficiaris involved in project identification, implementation, monitoring and evaluation"/>
    <n v="0"/>
    <n v="435"/>
    <n v="435"/>
    <n v="435"/>
    <n v="435"/>
    <n v="435"/>
    <s v="MoLG"/>
    <s v="011 Ministry of Local Government"/>
    <s v="Engage beneficiaries and other stakeholders in project identification and development"/>
    <n v="1"/>
    <n v="1"/>
    <n v="1"/>
    <n v="1"/>
    <n v="1"/>
    <n v="1"/>
    <n v="1"/>
    <n v="0"/>
    <n v="0.875"/>
    <m/>
    <n v="0"/>
    <n v="0"/>
    <n v="2"/>
    <n v="2"/>
    <n v="0"/>
    <n v="0"/>
    <n v="0"/>
    <s v="MoLG"/>
    <s v="011 Ministry of Local Government"/>
    <s v="NPA, LGs"/>
  </r>
  <r>
    <x v="15"/>
    <x v="15"/>
    <s v="173"/>
    <s v="Capacity building for leaders"/>
    <s v="1734"/>
    <s v="Strengthen the performance measurement and management frameworks for local leadership and public sector management "/>
    <s v="173401"/>
    <s v="Introduce community score cards of local government performance"/>
    <m/>
    <m/>
    <s v="17340105"/>
    <s v="Communities mobilized to participate in project identification, implementation, monitoring and evaluation"/>
    <s v="Number of communities (sub-counties/parishes) mobilized in project identification, implementation, monitoring and evaluation"/>
    <n v="0"/>
    <n v="435"/>
    <n v="435"/>
    <n v="435"/>
    <n v="435"/>
    <n v="435"/>
    <s v="MoLG"/>
    <s v="011 Ministry of Local Government"/>
    <s v="Organize joint monitoring of on-going projects"/>
    <n v="1"/>
    <n v="1"/>
    <n v="1"/>
    <n v="1"/>
    <n v="1"/>
    <n v="1"/>
    <n v="1"/>
    <n v="0"/>
    <n v="0.875"/>
    <m/>
    <n v="0"/>
    <n v="0"/>
    <n v="0.9"/>
    <n v="0.9"/>
    <n v="0"/>
    <n v="0"/>
    <n v="0"/>
    <s v="MoLG"/>
    <s v="011 Ministry of Local Government"/>
    <s v="LGs"/>
  </r>
  <r>
    <x v="15"/>
    <x v="15"/>
    <s v="173"/>
    <s v="Capacity building for leaders"/>
    <s v="1734"/>
    <s v="Strengthen the performance measurement and management frameworks for local leadership and public sector management "/>
    <s v="173401"/>
    <s v="Introduce community score cards of local government performance"/>
    <m/>
    <m/>
    <s v="17340105"/>
    <s v="Communities mobilized to participate in project identification, implementation, monitoring and evaluation"/>
    <s v="Number of communities (sub-counties/parishes) mobilized in project identification, implementation, monitoring and evaluation"/>
    <n v="0"/>
    <n v="435"/>
    <n v="435"/>
    <n v="435"/>
    <n v="435"/>
    <n v="435"/>
    <s v="MoLG"/>
    <s v="011 Ministry of Local Government"/>
    <s v="Build capacity of communities in project monitoring and evaluation "/>
    <n v="1"/>
    <n v="1"/>
    <n v="1"/>
    <n v="1"/>
    <n v="0"/>
    <n v="1"/>
    <n v="1"/>
    <n v="0"/>
    <n v="0.75"/>
    <m/>
    <n v="0"/>
    <n v="0"/>
    <n v="0"/>
    <n v="0"/>
    <n v="0"/>
    <n v="0"/>
    <n v="0"/>
    <s v="MoLG"/>
    <s v="011 Ministry of Local Government"/>
    <s v="NPA, OPM, LGs"/>
  </r>
  <r>
    <x v="15"/>
    <x v="15"/>
    <s v="173"/>
    <s v="Capacity building for leaders"/>
    <s v="1734"/>
    <s v="Strengthen the performance measurement and management frameworks for local leadership and public sector management "/>
    <s v="173401"/>
    <s v="Introduce community score cards of local government performance"/>
    <m/>
    <m/>
    <s v="17340106"/>
    <s v="Achievements of earlier regional affirmative programmes consolidated"/>
    <s v="Number of recommendations adopted for implementation"/>
    <n v="0"/>
    <n v="87"/>
    <n v="87"/>
    <n v="87"/>
    <n v="87"/>
    <n v="87"/>
    <s v="MoLG"/>
    <s v="011 Ministry of Local Government"/>
    <s v="Review successes. challenges and design success Projects"/>
    <n v="1"/>
    <n v="1"/>
    <n v="1"/>
    <n v="1"/>
    <n v="1"/>
    <n v="1"/>
    <n v="1"/>
    <n v="0"/>
    <n v="0.875"/>
    <m/>
    <n v="0"/>
    <n v="0"/>
    <n v="2"/>
    <n v="2"/>
    <n v="0"/>
    <n v="0"/>
    <n v="0"/>
    <s v="MoLG"/>
    <s v="011 Ministry of Local Government"/>
    <s v="OWC, NPA"/>
  </r>
  <r>
    <x v="15"/>
    <x v="15"/>
    <s v="173"/>
    <s v="Capacity building for leaders"/>
    <s v="1734"/>
    <s v="Strengthen the performance measurement and management frameworks for local leadership and public sector management "/>
    <s v="173401"/>
    <s v="Introduce community score cards of local government performance"/>
    <m/>
    <m/>
    <s v="17340106"/>
    <s v="Achievements of earlier regional affirmative programmes consolidated"/>
    <s v="Number of recommendations adopted for implementation"/>
    <n v="0"/>
    <n v="87"/>
    <n v="87"/>
    <n v="87"/>
    <n v="87"/>
    <n v="87"/>
    <s v="MoLG"/>
    <s v="011 Ministry of Local Government"/>
    <s v="Strengthen regional offices for coordination"/>
    <n v="1"/>
    <n v="1"/>
    <n v="1"/>
    <n v="1"/>
    <n v="1"/>
    <n v="1"/>
    <n v="0"/>
    <n v="0"/>
    <n v="0.75"/>
    <m/>
    <n v="0"/>
    <n v="0"/>
    <n v="0.4"/>
    <n v="0.4"/>
    <n v="0"/>
    <n v="0"/>
    <n v="0"/>
    <s v="MoLG"/>
    <s v="011 Ministry of Local Government"/>
    <s v="N/A"/>
  </r>
  <r>
    <x v="15"/>
    <x v="15"/>
    <s v="173"/>
    <s v="Capacity building for leaders"/>
    <s v="1734"/>
    <s v="Strengthen the performance measurement and management frameworks for local leadership and public sector management "/>
    <s v="173401"/>
    <s v="Introduce community score cards of local government performance"/>
    <m/>
    <m/>
    <s v="17340107"/>
    <s v="Enhanced capacity of Local Government leadership"/>
    <s v="Number of local leaders trained in governance and administration "/>
    <n v="0"/>
    <n v="435"/>
    <n v="435"/>
    <n v="435"/>
    <n v="435"/>
    <n v="435"/>
    <s v="MoLG"/>
    <s v="011 Ministry of Local Government"/>
    <s v="Training and capacity building of Local leaders"/>
    <n v="1"/>
    <n v="1"/>
    <n v="1"/>
    <n v="1"/>
    <n v="1"/>
    <n v="1"/>
    <n v="1"/>
    <n v="0"/>
    <n v="0.875"/>
    <m/>
    <n v="0"/>
    <n v="0"/>
    <n v="0"/>
    <n v="30"/>
    <n v="0"/>
    <n v="0"/>
    <n v="0"/>
    <s v="MoLG"/>
    <s v="011 Ministry of Local Government"/>
    <s v="OW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8F0B3A4-7630-4136-B7F2-DD4A5A7D31CB}" name="PivotTable9"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6" firstHeaderRow="1" firstDataRow="1" firstDataCol="1"/>
  <pivotFields count="42">
    <pivotField axis="axisRow" showAll="0">
      <items count="17">
        <item x="0"/>
        <item x="6"/>
        <item x="7"/>
        <item x="5"/>
        <item x="12"/>
        <item x="8"/>
        <item x="3"/>
        <item x="11"/>
        <item x="2"/>
        <item x="4"/>
        <item x="10"/>
        <item x="1"/>
        <item x="13"/>
        <item x="9"/>
        <item x="14"/>
        <item x="15"/>
        <item t="default"/>
      </items>
    </pivotField>
    <pivotField axis="axisRow" showAll="0">
      <items count="17">
        <item x="0"/>
        <item x="1"/>
        <item x="13"/>
        <item x="2"/>
        <item x="4"/>
        <item x="3"/>
        <item x="5"/>
        <item x="6"/>
        <item x="8"/>
        <item x="10"/>
        <item x="7"/>
        <item x="11"/>
        <item x="12"/>
        <item x="9"/>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33">
    <i>
      <x/>
    </i>
    <i r="1">
      <x/>
    </i>
    <i>
      <x v="1"/>
    </i>
    <i r="1">
      <x v="7"/>
    </i>
    <i>
      <x v="2"/>
    </i>
    <i r="1">
      <x v="10"/>
    </i>
    <i>
      <x v="3"/>
    </i>
    <i r="1">
      <x v="6"/>
    </i>
    <i>
      <x v="4"/>
    </i>
    <i r="1">
      <x v="12"/>
    </i>
    <i>
      <x v="5"/>
    </i>
    <i r="1">
      <x v="8"/>
    </i>
    <i>
      <x v="6"/>
    </i>
    <i r="1">
      <x v="5"/>
    </i>
    <i>
      <x v="7"/>
    </i>
    <i r="1">
      <x v="11"/>
    </i>
    <i>
      <x v="8"/>
    </i>
    <i r="1">
      <x v="3"/>
    </i>
    <i>
      <x v="9"/>
    </i>
    <i r="1">
      <x v="4"/>
    </i>
    <i>
      <x v="10"/>
    </i>
    <i r="1">
      <x v="9"/>
    </i>
    <i>
      <x v="11"/>
    </i>
    <i r="1">
      <x v="1"/>
    </i>
    <i>
      <x v="12"/>
    </i>
    <i r="1">
      <x v="2"/>
    </i>
    <i>
      <x v="13"/>
    </i>
    <i r="1">
      <x v="13"/>
    </i>
    <i>
      <x v="14"/>
    </i>
    <i r="1">
      <x v="14"/>
    </i>
    <i>
      <x v="15"/>
    </i>
    <i r="1">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F45D-B336-4E9E-9F07-26CFA20FB8BE}">
  <sheetPr codeName="Sheet1"/>
  <dimension ref="A3:C42"/>
  <sheetViews>
    <sheetView workbookViewId="0">
      <selection activeCell="C42" sqref="C42"/>
    </sheetView>
  </sheetViews>
  <sheetFormatPr defaultRowHeight="14.4" x14ac:dyDescent="0.3"/>
  <cols>
    <col min="1" max="1" width="46.88671875" bestFit="1" customWidth="1"/>
  </cols>
  <sheetData>
    <row r="3" spans="1:3" x14ac:dyDescent="0.3">
      <c r="A3" s="364" t="s">
        <v>8313</v>
      </c>
      <c r="C3" t="s">
        <v>30</v>
      </c>
    </row>
    <row r="4" spans="1:3" x14ac:dyDescent="0.3">
      <c r="A4" s="1" t="s">
        <v>30</v>
      </c>
      <c r="C4" t="s">
        <v>31</v>
      </c>
    </row>
    <row r="5" spans="1:3" x14ac:dyDescent="0.3">
      <c r="A5" s="365" t="s">
        <v>31</v>
      </c>
      <c r="C5" t="s">
        <v>1444</v>
      </c>
    </row>
    <row r="6" spans="1:3" x14ac:dyDescent="0.3">
      <c r="A6" s="1" t="s">
        <v>1444</v>
      </c>
      <c r="C6" t="s">
        <v>4050</v>
      </c>
    </row>
    <row r="7" spans="1:3" x14ac:dyDescent="0.3">
      <c r="A7" s="365" t="s">
        <v>4050</v>
      </c>
      <c r="C7" t="s">
        <v>1447</v>
      </c>
    </row>
    <row r="8" spans="1:3" x14ac:dyDescent="0.3">
      <c r="A8" s="1" t="s">
        <v>1447</v>
      </c>
      <c r="C8" t="s">
        <v>4485</v>
      </c>
    </row>
    <row r="9" spans="1:3" x14ac:dyDescent="0.3">
      <c r="A9" s="365" t="s">
        <v>4485</v>
      </c>
      <c r="C9" t="s">
        <v>1448</v>
      </c>
    </row>
    <row r="10" spans="1:3" x14ac:dyDescent="0.3">
      <c r="A10" s="1" t="s">
        <v>1448</v>
      </c>
      <c r="C10" t="s">
        <v>3447</v>
      </c>
    </row>
    <row r="11" spans="1:3" x14ac:dyDescent="0.3">
      <c r="A11" s="365" t="s">
        <v>3447</v>
      </c>
      <c r="C11" t="s">
        <v>1450</v>
      </c>
    </row>
    <row r="12" spans="1:3" x14ac:dyDescent="0.3">
      <c r="A12" s="1" t="s">
        <v>1450</v>
      </c>
      <c r="C12" t="s">
        <v>6881</v>
      </c>
    </row>
    <row r="13" spans="1:3" x14ac:dyDescent="0.3">
      <c r="A13" s="365" t="s">
        <v>6881</v>
      </c>
      <c r="C13" t="s">
        <v>8315</v>
      </c>
    </row>
    <row r="14" spans="1:3" x14ac:dyDescent="0.3">
      <c r="A14" s="1" t="s">
        <v>1451</v>
      </c>
      <c r="C14" s="366" t="s">
        <v>8316</v>
      </c>
    </row>
    <row r="15" spans="1:3" x14ac:dyDescent="0.3">
      <c r="A15" s="365" t="s">
        <v>4838</v>
      </c>
      <c r="C15" t="s">
        <v>1451</v>
      </c>
    </row>
    <row r="16" spans="1:3" x14ac:dyDescent="0.3">
      <c r="A16" s="1" t="s">
        <v>1453</v>
      </c>
      <c r="C16" t="s">
        <v>4838</v>
      </c>
    </row>
    <row r="17" spans="1:3" x14ac:dyDescent="0.3">
      <c r="A17" s="365" t="s">
        <v>2496</v>
      </c>
      <c r="C17" t="s">
        <v>8317</v>
      </c>
    </row>
    <row r="18" spans="1:3" x14ac:dyDescent="0.3">
      <c r="A18" s="1" t="s">
        <v>1454</v>
      </c>
      <c r="C18" t="s">
        <v>8318</v>
      </c>
    </row>
    <row r="19" spans="1:3" x14ac:dyDescent="0.3">
      <c r="A19" s="365" t="s">
        <v>6438</v>
      </c>
      <c r="C19" t="s">
        <v>1453</v>
      </c>
    </row>
    <row r="20" spans="1:3" x14ac:dyDescent="0.3">
      <c r="A20" s="1" t="s">
        <v>1455</v>
      </c>
      <c r="C20" t="s">
        <v>2496</v>
      </c>
    </row>
    <row r="21" spans="1:3" x14ac:dyDescent="0.3">
      <c r="A21" s="365" t="s">
        <v>2061</v>
      </c>
      <c r="C21" t="s">
        <v>1454</v>
      </c>
    </row>
    <row r="22" spans="1:3" x14ac:dyDescent="0.3">
      <c r="A22" s="1" t="s">
        <v>1456</v>
      </c>
      <c r="C22" t="s">
        <v>6438</v>
      </c>
    </row>
    <row r="23" spans="1:3" x14ac:dyDescent="0.3">
      <c r="A23" s="365" t="s">
        <v>3184</v>
      </c>
      <c r="C23" t="s">
        <v>1455</v>
      </c>
    </row>
    <row r="24" spans="1:3" x14ac:dyDescent="0.3">
      <c r="A24" s="1" t="s">
        <v>1463</v>
      </c>
      <c r="C24" t="s">
        <v>2061</v>
      </c>
    </row>
    <row r="25" spans="1:3" x14ac:dyDescent="0.3">
      <c r="A25" s="365" t="s">
        <v>5664</v>
      </c>
      <c r="C25" t="s">
        <v>8319</v>
      </c>
    </row>
    <row r="26" spans="1:3" x14ac:dyDescent="0.3">
      <c r="A26" s="1" t="s">
        <v>1470</v>
      </c>
      <c r="C26" t="s">
        <v>8320</v>
      </c>
    </row>
    <row r="27" spans="1:3" x14ac:dyDescent="0.3">
      <c r="A27" s="365" t="s">
        <v>1502</v>
      </c>
      <c r="C27" t="s">
        <v>1456</v>
      </c>
    </row>
    <row r="28" spans="1:3" x14ac:dyDescent="0.3">
      <c r="A28" s="1" t="s">
        <v>7397</v>
      </c>
      <c r="C28" t="s">
        <v>3184</v>
      </c>
    </row>
    <row r="29" spans="1:3" x14ac:dyDescent="0.3">
      <c r="A29" s="365" t="s">
        <v>7398</v>
      </c>
      <c r="C29" t="s">
        <v>1463</v>
      </c>
    </row>
    <row r="30" spans="1:3" x14ac:dyDescent="0.3">
      <c r="A30" s="1" t="s">
        <v>7562</v>
      </c>
      <c r="C30" t="s">
        <v>5664</v>
      </c>
    </row>
    <row r="31" spans="1:3" x14ac:dyDescent="0.3">
      <c r="A31" s="365" t="s">
        <v>7562</v>
      </c>
      <c r="C31" t="s">
        <v>1470</v>
      </c>
    </row>
    <row r="32" spans="1:3" x14ac:dyDescent="0.3">
      <c r="A32" s="1" t="s">
        <v>8317</v>
      </c>
      <c r="C32" t="s">
        <v>1502</v>
      </c>
    </row>
    <row r="33" spans="1:3" x14ac:dyDescent="0.3">
      <c r="A33" s="365" t="s">
        <v>8318</v>
      </c>
      <c r="C33" t="s">
        <v>8321</v>
      </c>
    </row>
    <row r="34" spans="1:3" x14ac:dyDescent="0.3">
      <c r="A34" s="1" t="s">
        <v>8323</v>
      </c>
      <c r="C34" s="366" t="s">
        <v>8322</v>
      </c>
    </row>
    <row r="35" spans="1:3" x14ac:dyDescent="0.3">
      <c r="A35" s="365" t="s">
        <v>8324</v>
      </c>
      <c r="C35" t="s">
        <v>8323</v>
      </c>
    </row>
    <row r="36" spans="1:3" x14ac:dyDescent="0.3">
      <c r="A36" s="1" t="s">
        <v>8314</v>
      </c>
      <c r="C36" t="s">
        <v>8324</v>
      </c>
    </row>
    <row r="37" spans="1:3" x14ac:dyDescent="0.3">
      <c r="C37" t="s">
        <v>7397</v>
      </c>
    </row>
    <row r="38" spans="1:3" x14ac:dyDescent="0.3">
      <c r="C38" t="s">
        <v>7398</v>
      </c>
    </row>
    <row r="39" spans="1:3" x14ac:dyDescent="0.3">
      <c r="C39" t="s">
        <v>8325</v>
      </c>
    </row>
    <row r="40" spans="1:3" x14ac:dyDescent="0.3">
      <c r="C40" s="366" t="s">
        <v>8326</v>
      </c>
    </row>
    <row r="41" spans="1:3" x14ac:dyDescent="0.3">
      <c r="C41" t="s">
        <v>8327</v>
      </c>
    </row>
    <row r="42" spans="1:3" x14ac:dyDescent="0.3">
      <c r="C42" s="366" t="s">
        <v>8328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BC00D-60D2-48C3-8350-C9B000267DD7}">
  <sheetPr codeName="Sheet2"/>
  <dimension ref="A1:AX5900"/>
  <sheetViews>
    <sheetView tabSelected="1" zoomScale="130" zoomScaleNormal="130" workbookViewId="0">
      <pane ySplit="1" topLeftCell="A3543" activePane="bottomLeft" state="frozen"/>
      <selection activeCell="W40" sqref="W40"/>
      <selection pane="bottomLeft" activeCell="B3546" sqref="B3546"/>
    </sheetView>
  </sheetViews>
  <sheetFormatPr defaultColWidth="9.109375" defaultRowHeight="14.4" x14ac:dyDescent="0.3"/>
  <cols>
    <col min="1" max="1" width="7.88671875" style="283" customWidth="1"/>
    <col min="2" max="2" width="20" style="283" customWidth="1"/>
    <col min="3" max="3" width="8.88671875" style="283" customWidth="1"/>
    <col min="4" max="4" width="14.6640625" style="283" customWidth="1"/>
    <col min="5" max="5" width="10.6640625" style="283" customWidth="1"/>
    <col min="6" max="6" width="39.21875" style="283" customWidth="1"/>
    <col min="7" max="7" width="14.5546875" style="283" customWidth="1"/>
    <col min="8" max="8" width="46.5546875" style="1" customWidth="1"/>
    <col min="9" max="10" width="14.5546875" style="283" customWidth="1"/>
    <col min="11" max="11" width="18.5546875" style="283" customWidth="1"/>
    <col min="12" max="12" width="36.88671875" style="283" customWidth="1"/>
    <col min="13" max="13" width="21.6640625" style="1" customWidth="1"/>
    <col min="14" max="14" width="10.77734375" style="423" customWidth="1"/>
    <col min="15" max="15" width="10.33203125" style="1" customWidth="1"/>
    <col min="16" max="16" width="11.44140625" style="3" customWidth="1"/>
    <col min="17" max="17" width="10.5546875" style="3" customWidth="1"/>
    <col min="18" max="19" width="10.6640625" style="3" customWidth="1"/>
    <col min="20" max="20" width="10.6640625" style="283" customWidth="1"/>
    <col min="21" max="21" width="43.33203125" style="283" customWidth="1"/>
    <col min="22" max="22" width="46" style="283" customWidth="1"/>
    <col min="23" max="23" width="12.6640625" style="283" customWidth="1"/>
    <col min="24" max="24" width="12.5546875" style="283" customWidth="1"/>
    <col min="25" max="25" width="13.77734375" style="283" customWidth="1"/>
    <col min="26" max="27" width="14.5546875" style="283" customWidth="1"/>
    <col min="28" max="28" width="19.21875" style="283" customWidth="1"/>
    <col min="29" max="29" width="15" style="283" customWidth="1"/>
    <col min="30" max="30" width="20.88671875" style="283" customWidth="1"/>
    <col min="31" max="31" width="11.21875" style="283" customWidth="1"/>
    <col min="32" max="32" width="14.109375" style="64" customWidth="1"/>
    <col min="33" max="33" width="14.88671875" style="283" customWidth="1"/>
    <col min="34" max="35" width="10.5546875" style="4" customWidth="1"/>
    <col min="36" max="36" width="10.77734375" style="4" customWidth="1"/>
    <col min="37" max="37" width="12.109375" style="46" customWidth="1"/>
    <col min="38" max="38" width="12.6640625" style="46" customWidth="1"/>
    <col min="39" max="39" width="13.88671875" style="4" customWidth="1"/>
    <col min="40" max="40" width="16.109375" style="283" customWidth="1"/>
    <col min="41" max="41" width="9.109375" style="283" customWidth="1"/>
    <col min="42" max="42" width="13" style="283" customWidth="1"/>
    <col min="43" max="16384" width="9.109375" style="283"/>
  </cols>
  <sheetData>
    <row r="1" spans="1:42" s="290" customFormat="1" x14ac:dyDescent="0.3">
      <c r="A1" s="285" t="s">
        <v>0</v>
      </c>
      <c r="B1" s="285" t="s">
        <v>1</v>
      </c>
      <c r="C1" s="285" t="s">
        <v>2</v>
      </c>
      <c r="D1" s="286" t="s">
        <v>3</v>
      </c>
      <c r="E1" s="285" t="s">
        <v>4</v>
      </c>
      <c r="F1" s="286" t="s">
        <v>5</v>
      </c>
      <c r="G1" s="285" t="s">
        <v>6</v>
      </c>
      <c r="H1" s="5" t="s">
        <v>7</v>
      </c>
      <c r="I1" s="286" t="s">
        <v>8</v>
      </c>
      <c r="J1" s="286" t="s">
        <v>9</v>
      </c>
      <c r="K1" s="285" t="s">
        <v>10</v>
      </c>
      <c r="L1" s="286" t="s">
        <v>11</v>
      </c>
      <c r="M1" s="5" t="s">
        <v>12</v>
      </c>
      <c r="N1" s="419" t="s">
        <v>13</v>
      </c>
      <c r="O1" s="5" t="s">
        <v>14</v>
      </c>
      <c r="P1" s="7" t="s">
        <v>15</v>
      </c>
      <c r="Q1" s="7" t="s">
        <v>16</v>
      </c>
      <c r="R1" s="7" t="s">
        <v>17</v>
      </c>
      <c r="S1" s="7" t="s">
        <v>18</v>
      </c>
      <c r="T1" s="286" t="s">
        <v>19</v>
      </c>
      <c r="U1" s="286" t="s">
        <v>20</v>
      </c>
      <c r="V1" s="286" t="s">
        <v>21</v>
      </c>
      <c r="W1" s="62" t="s">
        <v>1479</v>
      </c>
      <c r="X1" s="62" t="s">
        <v>1480</v>
      </c>
      <c r="Y1" s="62" t="s">
        <v>1487</v>
      </c>
      <c r="Z1" s="287" t="s">
        <v>1481</v>
      </c>
      <c r="AA1" s="287" t="s">
        <v>1482</v>
      </c>
      <c r="AB1" s="287" t="s">
        <v>1483</v>
      </c>
      <c r="AC1" s="62" t="s">
        <v>1484</v>
      </c>
      <c r="AD1" s="62" t="s">
        <v>1488</v>
      </c>
      <c r="AE1" s="62" t="s">
        <v>1485</v>
      </c>
      <c r="AF1" s="288" t="s">
        <v>1477</v>
      </c>
      <c r="AG1" s="289" t="s">
        <v>1486</v>
      </c>
      <c r="AH1" s="61" t="s">
        <v>22</v>
      </c>
      <c r="AI1" s="61" t="s">
        <v>23</v>
      </c>
      <c r="AJ1" s="61" t="s">
        <v>24</v>
      </c>
      <c r="AK1" s="62" t="s">
        <v>25</v>
      </c>
      <c r="AL1" s="62" t="s">
        <v>26</v>
      </c>
      <c r="AM1" s="8" t="s">
        <v>27</v>
      </c>
      <c r="AN1" s="5" t="s">
        <v>28</v>
      </c>
      <c r="AO1" s="5" t="s">
        <v>20</v>
      </c>
      <c r="AP1" s="286" t="s">
        <v>29</v>
      </c>
    </row>
    <row r="2" spans="1:42" s="293" customFormat="1" x14ac:dyDescent="0.3">
      <c r="A2" s="50" t="s">
        <v>30</v>
      </c>
      <c r="B2" s="51" t="s">
        <v>31</v>
      </c>
      <c r="C2" s="50" t="s">
        <v>1492</v>
      </c>
      <c r="D2" s="51" t="s">
        <v>1491</v>
      </c>
      <c r="E2" s="50" t="s">
        <v>1492</v>
      </c>
      <c r="F2" s="51" t="s">
        <v>1493</v>
      </c>
      <c r="G2" s="50" t="s">
        <v>1492</v>
      </c>
      <c r="H2" s="51" t="s">
        <v>1491</v>
      </c>
      <c r="I2" s="51"/>
      <c r="J2" s="51"/>
      <c r="K2" s="50" t="s">
        <v>1492</v>
      </c>
      <c r="L2" s="51" t="s">
        <v>1491</v>
      </c>
      <c r="M2" s="420" t="s">
        <v>271</v>
      </c>
      <c r="N2" s="420" t="s">
        <v>271</v>
      </c>
      <c r="O2" s="420" t="s">
        <v>271</v>
      </c>
      <c r="P2" s="60" t="s">
        <v>271</v>
      </c>
      <c r="Q2" s="60" t="s">
        <v>271</v>
      </c>
      <c r="R2" s="60" t="s">
        <v>271</v>
      </c>
      <c r="S2" s="60" t="s">
        <v>271</v>
      </c>
      <c r="T2" s="60" t="s">
        <v>271</v>
      </c>
      <c r="U2" s="60" t="s">
        <v>271</v>
      </c>
      <c r="V2" s="51" t="s">
        <v>1489</v>
      </c>
      <c r="W2" s="291"/>
      <c r="X2" s="291"/>
      <c r="Y2" s="291"/>
      <c r="Z2" s="291"/>
      <c r="AA2" s="291"/>
      <c r="AB2" s="291"/>
      <c r="AC2" s="291"/>
      <c r="AD2" s="291"/>
      <c r="AE2" s="292"/>
      <c r="AF2" s="65"/>
      <c r="AG2" s="292"/>
      <c r="AH2" s="56"/>
      <c r="AI2" s="56"/>
      <c r="AJ2" s="56"/>
      <c r="AK2" s="57">
        <v>203</v>
      </c>
      <c r="AL2" s="57">
        <v>203</v>
      </c>
      <c r="AM2" s="56">
        <f t="shared" ref="AM2:AM65" si="0">SUM(AK2:AL2)</f>
        <v>406</v>
      </c>
      <c r="AN2" s="52" t="s">
        <v>1489</v>
      </c>
      <c r="AO2" s="52"/>
      <c r="AP2" s="51"/>
    </row>
    <row r="3" spans="1:42" s="293" customFormat="1" x14ac:dyDescent="0.3">
      <c r="A3" s="50" t="s">
        <v>30</v>
      </c>
      <c r="B3" s="51" t="s">
        <v>31</v>
      </c>
      <c r="C3" s="50" t="s">
        <v>1492</v>
      </c>
      <c r="D3" s="51" t="s">
        <v>1491</v>
      </c>
      <c r="E3" s="50" t="s">
        <v>1492</v>
      </c>
      <c r="F3" s="51" t="s">
        <v>1493</v>
      </c>
      <c r="G3" s="50" t="s">
        <v>1492</v>
      </c>
      <c r="H3" s="51" t="s">
        <v>1491</v>
      </c>
      <c r="I3" s="51"/>
      <c r="J3" s="51"/>
      <c r="K3" s="50" t="s">
        <v>1492</v>
      </c>
      <c r="L3" s="51" t="s">
        <v>1491</v>
      </c>
      <c r="M3" s="420" t="s">
        <v>271</v>
      </c>
      <c r="N3" s="420" t="s">
        <v>271</v>
      </c>
      <c r="O3" s="420" t="s">
        <v>271</v>
      </c>
      <c r="P3" s="60" t="s">
        <v>271</v>
      </c>
      <c r="Q3" s="60" t="s">
        <v>271</v>
      </c>
      <c r="R3" s="60" t="s">
        <v>271</v>
      </c>
      <c r="S3" s="60" t="s">
        <v>271</v>
      </c>
      <c r="T3" s="60" t="s">
        <v>271</v>
      </c>
      <c r="U3" s="60" t="s">
        <v>271</v>
      </c>
      <c r="V3" s="51" t="s">
        <v>1490</v>
      </c>
      <c r="W3" s="291"/>
      <c r="X3" s="291"/>
      <c r="Y3" s="291"/>
      <c r="Z3" s="291"/>
      <c r="AA3" s="291"/>
      <c r="AB3" s="291"/>
      <c r="AC3" s="291"/>
      <c r="AD3" s="291"/>
      <c r="AE3" s="292"/>
      <c r="AF3" s="65"/>
      <c r="AG3" s="292"/>
      <c r="AH3" s="56"/>
      <c r="AI3" s="56"/>
      <c r="AJ3" s="56"/>
      <c r="AK3" s="57">
        <v>81.2</v>
      </c>
      <c r="AL3" s="57">
        <v>81.2</v>
      </c>
      <c r="AM3" s="56">
        <f t="shared" si="0"/>
        <v>162.4</v>
      </c>
      <c r="AN3" s="52" t="s">
        <v>1501</v>
      </c>
      <c r="AO3" s="52"/>
      <c r="AP3" s="51"/>
    </row>
    <row r="4" spans="1:42" s="293" customFormat="1" x14ac:dyDescent="0.3">
      <c r="A4" s="50" t="s">
        <v>30</v>
      </c>
      <c r="B4" s="51" t="s">
        <v>31</v>
      </c>
      <c r="C4" s="50" t="s">
        <v>1492</v>
      </c>
      <c r="D4" s="51" t="s">
        <v>1491</v>
      </c>
      <c r="E4" s="50" t="s">
        <v>1492</v>
      </c>
      <c r="F4" s="51" t="s">
        <v>1493</v>
      </c>
      <c r="G4" s="50" t="s">
        <v>1492</v>
      </c>
      <c r="H4" s="51" t="s">
        <v>1491</v>
      </c>
      <c r="I4" s="51"/>
      <c r="J4" s="51"/>
      <c r="K4" s="50" t="s">
        <v>1492</v>
      </c>
      <c r="L4" s="51" t="s">
        <v>1491</v>
      </c>
      <c r="M4" s="420" t="s">
        <v>271</v>
      </c>
      <c r="N4" s="420" t="s">
        <v>271</v>
      </c>
      <c r="O4" s="420" t="s">
        <v>271</v>
      </c>
      <c r="P4" s="60" t="s">
        <v>271</v>
      </c>
      <c r="Q4" s="60" t="s">
        <v>271</v>
      </c>
      <c r="R4" s="60" t="s">
        <v>271</v>
      </c>
      <c r="S4" s="60" t="s">
        <v>271</v>
      </c>
      <c r="T4" s="60" t="s">
        <v>271</v>
      </c>
      <c r="U4" s="60" t="s">
        <v>271</v>
      </c>
      <c r="V4" s="51" t="s">
        <v>1495</v>
      </c>
      <c r="W4" s="291"/>
      <c r="X4" s="291"/>
      <c r="Y4" s="291"/>
      <c r="Z4" s="291"/>
      <c r="AA4" s="291"/>
      <c r="AB4" s="291"/>
      <c r="AC4" s="291"/>
      <c r="AD4" s="291"/>
      <c r="AE4" s="292"/>
      <c r="AF4" s="65"/>
      <c r="AG4" s="292"/>
      <c r="AH4" s="56"/>
      <c r="AI4" s="56"/>
      <c r="AJ4" s="56"/>
      <c r="AK4" s="57">
        <v>247.48606126069998</v>
      </c>
      <c r="AL4" s="57">
        <v>282.26901715100007</v>
      </c>
      <c r="AM4" s="56">
        <f t="shared" si="0"/>
        <v>529.75507841170008</v>
      </c>
      <c r="AN4" s="51" t="s">
        <v>1495</v>
      </c>
      <c r="AO4" s="52"/>
      <c r="AP4" s="51"/>
    </row>
    <row r="5" spans="1:42" s="294" customFormat="1" x14ac:dyDescent="0.3">
      <c r="A5" s="91" t="s">
        <v>30</v>
      </c>
      <c r="B5" s="92" t="s">
        <v>31</v>
      </c>
      <c r="C5" s="93" t="s">
        <v>32</v>
      </c>
      <c r="D5" s="94" t="s">
        <v>33</v>
      </c>
      <c r="E5" s="93" t="s">
        <v>34</v>
      </c>
      <c r="F5" s="94" t="s">
        <v>35</v>
      </c>
      <c r="G5" s="93" t="s">
        <v>36</v>
      </c>
      <c r="H5" s="94" t="s">
        <v>37</v>
      </c>
      <c r="I5" s="94" t="s">
        <v>38</v>
      </c>
      <c r="J5" s="94" t="s">
        <v>39</v>
      </c>
      <c r="K5" s="101" t="s">
        <v>40</v>
      </c>
      <c r="L5" s="102" t="s">
        <v>41</v>
      </c>
      <c r="M5" s="97" t="s">
        <v>42</v>
      </c>
      <c r="N5" s="421">
        <v>0</v>
      </c>
      <c r="O5" s="97">
        <v>1</v>
      </c>
      <c r="P5" s="104">
        <v>2</v>
      </c>
      <c r="Q5" s="104">
        <v>2</v>
      </c>
      <c r="R5" s="126">
        <v>2</v>
      </c>
      <c r="S5" s="126">
        <v>1</v>
      </c>
      <c r="T5" s="294" t="s">
        <v>43</v>
      </c>
      <c r="U5" s="294" t="s">
        <v>45</v>
      </c>
      <c r="V5" s="92" t="s">
        <v>44</v>
      </c>
      <c r="W5" s="295">
        <v>1</v>
      </c>
      <c r="X5" s="295">
        <v>1</v>
      </c>
      <c r="Y5" s="295">
        <v>1</v>
      </c>
      <c r="Z5" s="295">
        <v>1</v>
      </c>
      <c r="AA5" s="295">
        <v>1</v>
      </c>
      <c r="AB5" s="294">
        <v>1</v>
      </c>
      <c r="AC5" s="296">
        <v>1</v>
      </c>
      <c r="AD5" s="296">
        <v>1</v>
      </c>
      <c r="AE5" s="297">
        <f t="shared" ref="AE5:AE68" si="1">SUM(W5:AD5)/8</f>
        <v>1</v>
      </c>
      <c r="AF5" s="95">
        <v>1</v>
      </c>
      <c r="AG5" s="297"/>
      <c r="AH5" s="96">
        <v>16.5</v>
      </c>
      <c r="AI5" s="96">
        <v>17.3</v>
      </c>
      <c r="AJ5" s="96">
        <v>17.899999999999999</v>
      </c>
      <c r="AK5" s="127">
        <v>15.5</v>
      </c>
      <c r="AL5" s="127">
        <v>15</v>
      </c>
      <c r="AM5" s="147">
        <f t="shared" si="0"/>
        <v>30.5</v>
      </c>
      <c r="AN5" s="97" t="s">
        <v>43</v>
      </c>
      <c r="AO5" s="97" t="s">
        <v>45</v>
      </c>
      <c r="AP5" s="92" t="s">
        <v>46</v>
      </c>
    </row>
    <row r="6" spans="1:42" s="294" customFormat="1" x14ac:dyDescent="0.3">
      <c r="A6" s="91" t="s">
        <v>30</v>
      </c>
      <c r="B6" s="92" t="s">
        <v>31</v>
      </c>
      <c r="C6" s="93" t="s">
        <v>32</v>
      </c>
      <c r="D6" s="94" t="s">
        <v>33</v>
      </c>
      <c r="E6" s="93" t="s">
        <v>34</v>
      </c>
      <c r="F6" s="94" t="s">
        <v>35</v>
      </c>
      <c r="G6" s="93" t="s">
        <v>36</v>
      </c>
      <c r="H6" s="94" t="s">
        <v>37</v>
      </c>
      <c r="I6" s="94" t="s">
        <v>38</v>
      </c>
      <c r="J6" s="94" t="s">
        <v>39</v>
      </c>
      <c r="K6" s="101" t="s">
        <v>40</v>
      </c>
      <c r="L6" s="102" t="s">
        <v>41</v>
      </c>
      <c r="M6" s="97" t="s">
        <v>47</v>
      </c>
      <c r="N6" s="421">
        <v>0</v>
      </c>
      <c r="O6" s="422">
        <v>2000000</v>
      </c>
      <c r="P6" s="105">
        <v>5000000</v>
      </c>
      <c r="Q6" s="105">
        <v>5000000</v>
      </c>
      <c r="R6" s="111">
        <v>5000000</v>
      </c>
      <c r="S6" s="111">
        <v>5000000</v>
      </c>
      <c r="T6" s="294" t="s">
        <v>43</v>
      </c>
      <c r="U6" s="294" t="s">
        <v>45</v>
      </c>
      <c r="V6" s="92" t="s">
        <v>44</v>
      </c>
      <c r="W6" s="295">
        <v>1</v>
      </c>
      <c r="X6" s="295">
        <v>1</v>
      </c>
      <c r="Y6" s="295">
        <v>1</v>
      </c>
      <c r="Z6" s="295">
        <v>1</v>
      </c>
      <c r="AA6" s="295">
        <v>1</v>
      </c>
      <c r="AB6" s="294">
        <v>1</v>
      </c>
      <c r="AC6" s="296">
        <v>1</v>
      </c>
      <c r="AD6" s="296">
        <v>1</v>
      </c>
      <c r="AE6" s="297">
        <f t="shared" si="1"/>
        <v>1</v>
      </c>
      <c r="AF6" s="95">
        <v>0</v>
      </c>
      <c r="AG6" s="297"/>
      <c r="AH6" s="96"/>
      <c r="AI6" s="96"/>
      <c r="AJ6" s="96"/>
      <c r="AK6" s="109">
        <v>2</v>
      </c>
      <c r="AL6" s="109">
        <v>1</v>
      </c>
      <c r="AM6" s="147">
        <f t="shared" si="0"/>
        <v>3</v>
      </c>
      <c r="AN6" s="97" t="s">
        <v>43</v>
      </c>
      <c r="AO6" s="97" t="s">
        <v>45</v>
      </c>
      <c r="AP6" s="92" t="s">
        <v>46</v>
      </c>
    </row>
    <row r="7" spans="1:42" s="294" customFormat="1" x14ac:dyDescent="0.3">
      <c r="A7" s="91" t="s">
        <v>30</v>
      </c>
      <c r="B7" s="92" t="s">
        <v>31</v>
      </c>
      <c r="C7" s="93" t="s">
        <v>32</v>
      </c>
      <c r="D7" s="94" t="s">
        <v>33</v>
      </c>
      <c r="E7" s="93" t="s">
        <v>34</v>
      </c>
      <c r="F7" s="94" t="s">
        <v>35</v>
      </c>
      <c r="G7" s="93" t="s">
        <v>36</v>
      </c>
      <c r="H7" s="94" t="s">
        <v>37</v>
      </c>
      <c r="I7" s="94" t="s">
        <v>38</v>
      </c>
      <c r="J7" s="94" t="s">
        <v>39</v>
      </c>
      <c r="K7" s="101" t="s">
        <v>40</v>
      </c>
      <c r="L7" s="102" t="s">
        <v>41</v>
      </c>
      <c r="M7" s="97" t="s">
        <v>48</v>
      </c>
      <c r="N7" s="421">
        <v>0</v>
      </c>
      <c r="O7" s="97">
        <v>100</v>
      </c>
      <c r="P7" s="104">
        <v>700</v>
      </c>
      <c r="Q7" s="104">
        <v>700</v>
      </c>
      <c r="R7" s="110">
        <v>700</v>
      </c>
      <c r="S7" s="110">
        <v>700</v>
      </c>
      <c r="T7" s="294" t="s">
        <v>43</v>
      </c>
      <c r="U7" s="294" t="s">
        <v>45</v>
      </c>
      <c r="V7" s="92" t="s">
        <v>44</v>
      </c>
      <c r="W7" s="295">
        <v>1</v>
      </c>
      <c r="X7" s="295">
        <v>1</v>
      </c>
      <c r="Y7" s="295">
        <v>1</v>
      </c>
      <c r="Z7" s="295">
        <v>1</v>
      </c>
      <c r="AA7" s="295">
        <v>1</v>
      </c>
      <c r="AB7" s="294">
        <v>1</v>
      </c>
      <c r="AC7" s="296">
        <v>1</v>
      </c>
      <c r="AD7" s="296">
        <v>1</v>
      </c>
      <c r="AE7" s="297">
        <f t="shared" si="1"/>
        <v>1</v>
      </c>
      <c r="AF7" s="95">
        <v>0</v>
      </c>
      <c r="AG7" s="297"/>
      <c r="AH7" s="96"/>
      <c r="AI7" s="96"/>
      <c r="AJ7" s="96"/>
      <c r="AK7" s="109">
        <v>1</v>
      </c>
      <c r="AL7" s="109">
        <v>1</v>
      </c>
      <c r="AM7" s="147">
        <f t="shared" si="0"/>
        <v>2</v>
      </c>
      <c r="AN7" s="97" t="s">
        <v>43</v>
      </c>
      <c r="AO7" s="97" t="s">
        <v>45</v>
      </c>
      <c r="AP7" s="92" t="s">
        <v>46</v>
      </c>
    </row>
    <row r="8" spans="1:42" x14ac:dyDescent="0.3">
      <c r="A8" s="9" t="s">
        <v>30</v>
      </c>
      <c r="B8" s="10" t="s">
        <v>31</v>
      </c>
      <c r="C8" s="11" t="s">
        <v>32</v>
      </c>
      <c r="D8" s="12" t="s">
        <v>33</v>
      </c>
      <c r="E8" s="11" t="s">
        <v>34</v>
      </c>
      <c r="F8" s="12" t="s">
        <v>35</v>
      </c>
      <c r="G8" s="11" t="s">
        <v>36</v>
      </c>
      <c r="H8" s="12" t="s">
        <v>37</v>
      </c>
      <c r="I8" s="12" t="s">
        <v>38</v>
      </c>
      <c r="J8" s="12" t="s">
        <v>39</v>
      </c>
      <c r="K8" s="13" t="s">
        <v>49</v>
      </c>
      <c r="L8" s="12" t="s">
        <v>50</v>
      </c>
      <c r="M8" s="1" t="s">
        <v>51</v>
      </c>
      <c r="N8" s="423">
        <v>0</v>
      </c>
      <c r="O8" s="1">
        <v>1</v>
      </c>
      <c r="P8" s="3">
        <v>1</v>
      </c>
      <c r="Q8" s="3">
        <v>2</v>
      </c>
      <c r="R8" s="112">
        <v>2</v>
      </c>
      <c r="S8" s="112">
        <v>2</v>
      </c>
      <c r="T8" s="1" t="s">
        <v>43</v>
      </c>
      <c r="U8" s="283" t="s">
        <v>45</v>
      </c>
      <c r="V8" s="10" t="s">
        <v>52</v>
      </c>
      <c r="W8" s="298">
        <v>0</v>
      </c>
      <c r="X8" s="298">
        <v>0</v>
      </c>
      <c r="Y8" s="298">
        <v>0</v>
      </c>
      <c r="Z8" s="299">
        <v>1</v>
      </c>
      <c r="AA8" s="299">
        <v>1</v>
      </c>
      <c r="AB8" s="300">
        <v>0</v>
      </c>
      <c r="AC8" s="301">
        <v>1</v>
      </c>
      <c r="AD8" s="301">
        <v>0</v>
      </c>
      <c r="AE8" s="302">
        <f t="shared" si="1"/>
        <v>0.375</v>
      </c>
      <c r="AF8" s="63">
        <v>0</v>
      </c>
      <c r="AG8" s="302"/>
      <c r="AH8" s="17">
        <v>2</v>
      </c>
      <c r="AI8" s="17">
        <v>0.5</v>
      </c>
      <c r="AJ8" s="17">
        <v>5.5</v>
      </c>
      <c r="AK8" s="109"/>
      <c r="AL8" s="109"/>
      <c r="AM8" s="147">
        <f t="shared" si="0"/>
        <v>0</v>
      </c>
      <c r="AN8" s="18" t="s">
        <v>43</v>
      </c>
      <c r="AO8" s="18" t="s">
        <v>45</v>
      </c>
      <c r="AP8" s="10" t="s">
        <v>53</v>
      </c>
    </row>
    <row r="9" spans="1:42" x14ac:dyDescent="0.3">
      <c r="A9" s="9" t="s">
        <v>30</v>
      </c>
      <c r="B9" s="10" t="s">
        <v>31</v>
      </c>
      <c r="C9" s="11" t="s">
        <v>32</v>
      </c>
      <c r="D9" s="12" t="s">
        <v>33</v>
      </c>
      <c r="E9" s="11" t="s">
        <v>34</v>
      </c>
      <c r="F9" s="12" t="s">
        <v>35</v>
      </c>
      <c r="G9" s="11" t="s">
        <v>36</v>
      </c>
      <c r="H9" s="12" t="s">
        <v>37</v>
      </c>
      <c r="I9" s="12" t="s">
        <v>38</v>
      </c>
      <c r="J9" s="12" t="s">
        <v>39</v>
      </c>
      <c r="K9" s="13" t="s">
        <v>49</v>
      </c>
      <c r="L9" s="12" t="s">
        <v>50</v>
      </c>
      <c r="M9" s="1" t="s">
        <v>54</v>
      </c>
      <c r="N9" s="424">
        <v>0</v>
      </c>
      <c r="O9" s="176">
        <v>0</v>
      </c>
      <c r="P9" s="3">
        <v>1</v>
      </c>
      <c r="Q9" s="3">
        <v>1</v>
      </c>
      <c r="R9" s="112">
        <v>1</v>
      </c>
      <c r="S9" s="112">
        <v>1</v>
      </c>
      <c r="T9" s="1" t="s">
        <v>43</v>
      </c>
      <c r="U9" s="283" t="s">
        <v>45</v>
      </c>
      <c r="V9" s="10" t="s">
        <v>55</v>
      </c>
      <c r="W9" s="298">
        <v>1</v>
      </c>
      <c r="X9" s="298">
        <v>0</v>
      </c>
      <c r="Y9" s="298">
        <v>1</v>
      </c>
      <c r="Z9" s="299">
        <v>1</v>
      </c>
      <c r="AA9" s="299">
        <v>1</v>
      </c>
      <c r="AB9" s="300">
        <v>1</v>
      </c>
      <c r="AC9" s="301">
        <v>1</v>
      </c>
      <c r="AD9" s="301">
        <v>1</v>
      </c>
      <c r="AE9" s="302">
        <f t="shared" si="1"/>
        <v>0.875</v>
      </c>
      <c r="AF9" s="63">
        <v>0</v>
      </c>
      <c r="AG9" s="302"/>
      <c r="AH9" s="17">
        <v>2.6</v>
      </c>
      <c r="AI9" s="17">
        <v>1</v>
      </c>
      <c r="AJ9" s="17">
        <v>4.2</v>
      </c>
      <c r="AK9" s="109">
        <v>1.6</v>
      </c>
      <c r="AL9" s="109">
        <v>3.6</v>
      </c>
      <c r="AM9" s="147">
        <f t="shared" si="0"/>
        <v>5.2</v>
      </c>
      <c r="AN9" s="18" t="s">
        <v>43</v>
      </c>
      <c r="AO9" s="18" t="s">
        <v>45</v>
      </c>
      <c r="AP9" s="10" t="s">
        <v>53</v>
      </c>
    </row>
    <row r="10" spans="1:42" x14ac:dyDescent="0.3">
      <c r="A10" s="9" t="s">
        <v>30</v>
      </c>
      <c r="B10" s="10" t="s">
        <v>31</v>
      </c>
      <c r="C10" s="11" t="s">
        <v>32</v>
      </c>
      <c r="D10" s="12" t="s">
        <v>33</v>
      </c>
      <c r="E10" s="11" t="s">
        <v>34</v>
      </c>
      <c r="F10" s="12" t="s">
        <v>35</v>
      </c>
      <c r="G10" s="11" t="s">
        <v>36</v>
      </c>
      <c r="H10" s="12" t="s">
        <v>37</v>
      </c>
      <c r="I10" s="12" t="s">
        <v>38</v>
      </c>
      <c r="J10" s="12" t="s">
        <v>39</v>
      </c>
      <c r="K10" s="13" t="s">
        <v>49</v>
      </c>
      <c r="L10" s="12" t="s">
        <v>50</v>
      </c>
      <c r="M10" s="1" t="s">
        <v>56</v>
      </c>
      <c r="N10" s="424"/>
      <c r="O10" s="176">
        <v>0</v>
      </c>
      <c r="P10" s="3">
        <v>1</v>
      </c>
      <c r="Q10" s="3">
        <v>1</v>
      </c>
      <c r="R10" s="112">
        <v>1</v>
      </c>
      <c r="S10" s="112">
        <v>1</v>
      </c>
      <c r="T10" s="1" t="s">
        <v>43</v>
      </c>
      <c r="U10" s="283" t="s">
        <v>45</v>
      </c>
      <c r="V10" s="10" t="s">
        <v>57</v>
      </c>
      <c r="W10" s="298">
        <v>1</v>
      </c>
      <c r="X10" s="298">
        <v>1</v>
      </c>
      <c r="Y10" s="298">
        <v>1</v>
      </c>
      <c r="Z10" s="299">
        <v>1</v>
      </c>
      <c r="AA10" s="299">
        <v>0</v>
      </c>
      <c r="AB10" s="300">
        <v>1</v>
      </c>
      <c r="AC10" s="301">
        <v>1</v>
      </c>
      <c r="AD10" s="301">
        <v>0</v>
      </c>
      <c r="AE10" s="302">
        <f t="shared" si="1"/>
        <v>0.75</v>
      </c>
      <c r="AF10" s="63">
        <v>0</v>
      </c>
      <c r="AG10" s="302"/>
      <c r="AH10" s="17">
        <v>15</v>
      </c>
      <c r="AI10" s="17">
        <v>5</v>
      </c>
      <c r="AJ10" s="17">
        <v>20</v>
      </c>
      <c r="AK10" s="127">
        <v>17</v>
      </c>
      <c r="AL10" s="109">
        <v>20</v>
      </c>
      <c r="AM10" s="147">
        <f t="shared" si="0"/>
        <v>37</v>
      </c>
      <c r="AN10" s="18" t="s">
        <v>43</v>
      </c>
      <c r="AO10" s="18" t="s">
        <v>45</v>
      </c>
      <c r="AP10" s="10" t="s">
        <v>58</v>
      </c>
    </row>
    <row r="11" spans="1:42" x14ac:dyDescent="0.3">
      <c r="A11" s="9" t="s">
        <v>30</v>
      </c>
      <c r="B11" s="10" t="s">
        <v>31</v>
      </c>
      <c r="C11" s="11" t="s">
        <v>32</v>
      </c>
      <c r="D11" s="12" t="s">
        <v>33</v>
      </c>
      <c r="E11" s="11" t="s">
        <v>34</v>
      </c>
      <c r="F11" s="12" t="s">
        <v>35</v>
      </c>
      <c r="G11" s="11" t="s">
        <v>36</v>
      </c>
      <c r="H11" s="12" t="s">
        <v>37</v>
      </c>
      <c r="I11" s="12" t="s">
        <v>38</v>
      </c>
      <c r="J11" s="12" t="s">
        <v>39</v>
      </c>
      <c r="K11" s="13" t="s">
        <v>49</v>
      </c>
      <c r="L11" s="12" t="s">
        <v>50</v>
      </c>
      <c r="M11" s="1" t="s">
        <v>59</v>
      </c>
      <c r="N11" s="424">
        <v>0</v>
      </c>
      <c r="O11" s="1">
        <v>2</v>
      </c>
      <c r="P11" s="3">
        <v>1</v>
      </c>
      <c r="Q11" s="3">
        <v>5</v>
      </c>
      <c r="R11" s="126">
        <v>8</v>
      </c>
      <c r="S11" s="126">
        <v>0</v>
      </c>
      <c r="T11" s="18" t="s">
        <v>43</v>
      </c>
      <c r="U11" s="283" t="s">
        <v>45</v>
      </c>
      <c r="V11" s="67" t="s">
        <v>60</v>
      </c>
      <c r="W11" s="298">
        <v>1</v>
      </c>
      <c r="X11" s="298">
        <v>0</v>
      </c>
      <c r="Y11" s="298">
        <v>0</v>
      </c>
      <c r="Z11" s="299">
        <v>1</v>
      </c>
      <c r="AA11" s="299">
        <v>1</v>
      </c>
      <c r="AB11" s="300">
        <v>0</v>
      </c>
      <c r="AC11" s="301">
        <v>1</v>
      </c>
      <c r="AD11" s="301">
        <v>1</v>
      </c>
      <c r="AE11" s="302">
        <f t="shared" si="1"/>
        <v>0.625</v>
      </c>
      <c r="AF11" s="63">
        <v>0</v>
      </c>
      <c r="AG11" s="302"/>
      <c r="AH11" s="17">
        <v>0.7</v>
      </c>
      <c r="AI11" s="17">
        <v>0</v>
      </c>
      <c r="AJ11" s="17">
        <v>0.82</v>
      </c>
      <c r="AK11" s="127">
        <v>2.5</v>
      </c>
      <c r="AL11" s="127"/>
      <c r="AM11" s="147">
        <f t="shared" si="0"/>
        <v>2.5</v>
      </c>
      <c r="AN11" s="18" t="s">
        <v>43</v>
      </c>
      <c r="AO11" s="18" t="s">
        <v>45</v>
      </c>
      <c r="AP11" s="10" t="s">
        <v>58</v>
      </c>
    </row>
    <row r="12" spans="1:42" x14ac:dyDescent="0.3">
      <c r="A12" s="9" t="s">
        <v>30</v>
      </c>
      <c r="B12" s="10" t="s">
        <v>31</v>
      </c>
      <c r="C12" s="11" t="s">
        <v>32</v>
      </c>
      <c r="D12" s="12" t="s">
        <v>33</v>
      </c>
      <c r="E12" s="11" t="s">
        <v>34</v>
      </c>
      <c r="F12" s="12" t="s">
        <v>35</v>
      </c>
      <c r="G12" s="11" t="s">
        <v>36</v>
      </c>
      <c r="H12" s="12" t="s">
        <v>37</v>
      </c>
      <c r="I12" s="12" t="s">
        <v>38</v>
      </c>
      <c r="J12" s="12" t="s">
        <v>39</v>
      </c>
      <c r="K12" s="13" t="s">
        <v>49</v>
      </c>
      <c r="L12" s="12" t="s">
        <v>50</v>
      </c>
      <c r="M12" s="18" t="s">
        <v>61</v>
      </c>
      <c r="N12" s="424">
        <v>0</v>
      </c>
      <c r="O12" s="425">
        <v>1</v>
      </c>
      <c r="P12" s="20">
        <v>1</v>
      </c>
      <c r="Q12" s="17">
        <v>0</v>
      </c>
      <c r="R12" s="113">
        <v>1</v>
      </c>
      <c r="S12" s="113">
        <v>0</v>
      </c>
      <c r="T12" s="18" t="s">
        <v>43</v>
      </c>
      <c r="U12" s="283" t="s">
        <v>45</v>
      </c>
      <c r="V12" s="10" t="s">
        <v>62</v>
      </c>
      <c r="W12" s="298">
        <v>1</v>
      </c>
      <c r="X12" s="298">
        <v>0</v>
      </c>
      <c r="Y12" s="298">
        <v>0</v>
      </c>
      <c r="Z12" s="299">
        <v>1</v>
      </c>
      <c r="AA12" s="299">
        <v>1</v>
      </c>
      <c r="AB12" s="300">
        <v>0</v>
      </c>
      <c r="AC12" s="301">
        <v>1</v>
      </c>
      <c r="AD12" s="301">
        <v>1</v>
      </c>
      <c r="AE12" s="302">
        <f t="shared" si="1"/>
        <v>0.625</v>
      </c>
      <c r="AF12" s="63">
        <v>0</v>
      </c>
      <c r="AG12" s="302"/>
      <c r="AH12" s="17">
        <v>0.65</v>
      </c>
      <c r="AI12" s="17">
        <v>0.65</v>
      </c>
      <c r="AJ12" s="17">
        <v>0.15</v>
      </c>
      <c r="AK12" s="127">
        <v>1</v>
      </c>
      <c r="AL12" s="127">
        <v>1.2</v>
      </c>
      <c r="AM12" s="147">
        <f t="shared" si="0"/>
        <v>2.2000000000000002</v>
      </c>
      <c r="AN12" s="18" t="s">
        <v>43</v>
      </c>
      <c r="AO12" s="18" t="s">
        <v>45</v>
      </c>
      <c r="AP12" s="18" t="s">
        <v>63</v>
      </c>
    </row>
    <row r="13" spans="1:42" s="300" customFormat="1" x14ac:dyDescent="0.3">
      <c r="A13" s="66" t="s">
        <v>30</v>
      </c>
      <c r="B13" s="67" t="s">
        <v>31</v>
      </c>
      <c r="C13" s="68" t="s">
        <v>32</v>
      </c>
      <c r="D13" s="69" t="s">
        <v>33</v>
      </c>
      <c r="E13" s="68" t="s">
        <v>34</v>
      </c>
      <c r="F13" s="69" t="s">
        <v>35</v>
      </c>
      <c r="G13" s="68" t="s">
        <v>36</v>
      </c>
      <c r="H13" s="69" t="s">
        <v>37</v>
      </c>
      <c r="I13" s="69" t="s">
        <v>38</v>
      </c>
      <c r="J13" s="69" t="s">
        <v>39</v>
      </c>
      <c r="K13" s="76" t="s">
        <v>49</v>
      </c>
      <c r="L13" s="69" t="s">
        <v>50</v>
      </c>
      <c r="M13" s="74" t="s">
        <v>64</v>
      </c>
      <c r="N13" s="426">
        <v>0</v>
      </c>
      <c r="O13" s="427">
        <v>0</v>
      </c>
      <c r="P13" s="106">
        <v>3</v>
      </c>
      <c r="Q13" s="106">
        <v>4</v>
      </c>
      <c r="R13" s="114">
        <v>3</v>
      </c>
      <c r="S13" s="114">
        <v>1</v>
      </c>
      <c r="T13" s="303" t="s">
        <v>43</v>
      </c>
      <c r="U13" s="300" t="s">
        <v>45</v>
      </c>
      <c r="V13" s="67" t="s">
        <v>65</v>
      </c>
      <c r="W13" s="299">
        <v>0</v>
      </c>
      <c r="X13" s="299">
        <v>0</v>
      </c>
      <c r="Y13" s="299">
        <v>0</v>
      </c>
      <c r="Z13" s="299">
        <v>1</v>
      </c>
      <c r="AA13" s="299">
        <v>1</v>
      </c>
      <c r="AB13" s="300">
        <v>0</v>
      </c>
      <c r="AC13" s="304">
        <v>1</v>
      </c>
      <c r="AD13" s="304">
        <v>1</v>
      </c>
      <c r="AE13" s="305">
        <f t="shared" si="1"/>
        <v>0.5</v>
      </c>
      <c r="AF13" s="72">
        <v>0</v>
      </c>
      <c r="AG13" s="305"/>
      <c r="AH13" s="73">
        <v>0.8</v>
      </c>
      <c r="AI13" s="73">
        <v>0</v>
      </c>
      <c r="AJ13" s="73">
        <v>2.2000000000000002</v>
      </c>
      <c r="AK13" s="109"/>
      <c r="AL13" s="109"/>
      <c r="AM13" s="147">
        <f t="shared" si="0"/>
        <v>0</v>
      </c>
      <c r="AN13" s="74" t="s">
        <v>43</v>
      </c>
      <c r="AO13" s="74" t="s">
        <v>45</v>
      </c>
      <c r="AP13" s="67" t="s">
        <v>63</v>
      </c>
    </row>
    <row r="14" spans="1:42" x14ac:dyDescent="0.3">
      <c r="A14" s="9" t="s">
        <v>30</v>
      </c>
      <c r="B14" s="10" t="s">
        <v>31</v>
      </c>
      <c r="C14" s="11" t="s">
        <v>32</v>
      </c>
      <c r="D14" s="12" t="s">
        <v>33</v>
      </c>
      <c r="E14" s="11" t="s">
        <v>34</v>
      </c>
      <c r="F14" s="12" t="s">
        <v>35</v>
      </c>
      <c r="G14" s="11" t="s">
        <v>36</v>
      </c>
      <c r="H14" s="12" t="s">
        <v>37</v>
      </c>
      <c r="I14" s="12" t="s">
        <v>38</v>
      </c>
      <c r="J14" s="12" t="s">
        <v>39</v>
      </c>
      <c r="K14" s="11" t="s">
        <v>49</v>
      </c>
      <c r="L14" s="12" t="s">
        <v>50</v>
      </c>
      <c r="M14" s="18" t="s">
        <v>66</v>
      </c>
      <c r="N14" s="424">
        <v>0</v>
      </c>
      <c r="O14" s="176"/>
      <c r="P14" s="20">
        <v>8</v>
      </c>
      <c r="Q14" s="20">
        <v>10</v>
      </c>
      <c r="R14" s="114">
        <v>8</v>
      </c>
      <c r="S14" s="114">
        <v>8</v>
      </c>
      <c r="T14" s="306" t="s">
        <v>67</v>
      </c>
      <c r="U14" s="283" t="s">
        <v>68</v>
      </c>
      <c r="V14" s="10" t="s">
        <v>65</v>
      </c>
      <c r="W14" s="298">
        <v>0</v>
      </c>
      <c r="X14" s="298">
        <v>0</v>
      </c>
      <c r="Y14" s="298">
        <v>0</v>
      </c>
      <c r="Z14" s="299">
        <v>0</v>
      </c>
      <c r="AA14" s="299">
        <v>0</v>
      </c>
      <c r="AB14" s="300">
        <v>0</v>
      </c>
      <c r="AC14" s="301">
        <v>0</v>
      </c>
      <c r="AD14" s="301">
        <v>0</v>
      </c>
      <c r="AE14" s="302">
        <f t="shared" si="1"/>
        <v>0</v>
      </c>
      <c r="AF14" s="63">
        <v>1</v>
      </c>
      <c r="AG14" s="302"/>
      <c r="AH14" s="17"/>
      <c r="AI14" s="17"/>
      <c r="AJ14" s="17"/>
      <c r="AK14" s="109"/>
      <c r="AL14" s="109"/>
      <c r="AM14" s="147">
        <f t="shared" si="0"/>
        <v>0</v>
      </c>
      <c r="AN14" s="100" t="s">
        <v>43</v>
      </c>
      <c r="AO14" s="100" t="s">
        <v>68</v>
      </c>
      <c r="AP14" s="10" t="s">
        <v>63</v>
      </c>
    </row>
    <row r="15" spans="1:42" x14ac:dyDescent="0.3">
      <c r="A15" s="9" t="s">
        <v>30</v>
      </c>
      <c r="B15" s="10" t="s">
        <v>31</v>
      </c>
      <c r="C15" s="11" t="s">
        <v>32</v>
      </c>
      <c r="D15" s="12" t="s">
        <v>33</v>
      </c>
      <c r="E15" s="11" t="s">
        <v>34</v>
      </c>
      <c r="F15" s="12" t="s">
        <v>35</v>
      </c>
      <c r="G15" s="11" t="s">
        <v>36</v>
      </c>
      <c r="H15" s="12" t="s">
        <v>37</v>
      </c>
      <c r="I15" s="12" t="s">
        <v>38</v>
      </c>
      <c r="J15" s="12" t="s">
        <v>39</v>
      </c>
      <c r="K15" s="11" t="s">
        <v>69</v>
      </c>
      <c r="L15" s="12" t="s">
        <v>70</v>
      </c>
      <c r="M15" s="18" t="s">
        <v>71</v>
      </c>
      <c r="N15" s="424">
        <v>0</v>
      </c>
      <c r="O15" s="18">
        <v>1</v>
      </c>
      <c r="P15" s="16">
        <v>1</v>
      </c>
      <c r="Q15" s="16">
        <v>1</v>
      </c>
      <c r="R15" s="110">
        <v>1</v>
      </c>
      <c r="S15" s="110">
        <v>1</v>
      </c>
      <c r="T15" s="10" t="s">
        <v>67</v>
      </c>
      <c r="U15" s="283" t="s">
        <v>68</v>
      </c>
      <c r="V15" s="10" t="s">
        <v>72</v>
      </c>
      <c r="W15" s="298">
        <v>1</v>
      </c>
      <c r="X15" s="298">
        <v>1</v>
      </c>
      <c r="Y15" s="298">
        <v>0</v>
      </c>
      <c r="Z15" s="299">
        <v>1</v>
      </c>
      <c r="AA15" s="299">
        <v>1</v>
      </c>
      <c r="AB15" s="300">
        <v>1</v>
      </c>
      <c r="AC15" s="301">
        <v>1</v>
      </c>
      <c r="AD15" s="301">
        <v>0</v>
      </c>
      <c r="AE15" s="302">
        <f t="shared" si="1"/>
        <v>0.75</v>
      </c>
      <c r="AF15" s="63">
        <v>0</v>
      </c>
      <c r="AG15" s="302"/>
      <c r="AH15" s="17">
        <v>16.5</v>
      </c>
      <c r="AI15" s="17">
        <v>19.5</v>
      </c>
      <c r="AJ15" s="17">
        <v>12.5</v>
      </c>
      <c r="AK15" s="127">
        <v>6</v>
      </c>
      <c r="AL15" s="127">
        <v>9</v>
      </c>
      <c r="AM15" s="147">
        <f t="shared" si="0"/>
        <v>15</v>
      </c>
      <c r="AN15" s="18" t="s">
        <v>67</v>
      </c>
      <c r="AO15" s="18" t="s">
        <v>68</v>
      </c>
      <c r="AP15" s="10" t="s">
        <v>58</v>
      </c>
    </row>
    <row r="16" spans="1:42" x14ac:dyDescent="0.3">
      <c r="A16" s="9" t="s">
        <v>30</v>
      </c>
      <c r="B16" s="10" t="s">
        <v>31</v>
      </c>
      <c r="C16" s="11" t="s">
        <v>32</v>
      </c>
      <c r="D16" s="12" t="s">
        <v>33</v>
      </c>
      <c r="E16" s="11" t="s">
        <v>34</v>
      </c>
      <c r="F16" s="12" t="s">
        <v>35</v>
      </c>
      <c r="G16" s="11" t="s">
        <v>36</v>
      </c>
      <c r="H16" s="12" t="s">
        <v>37</v>
      </c>
      <c r="I16" s="12" t="s">
        <v>38</v>
      </c>
      <c r="J16" s="12" t="s">
        <v>39</v>
      </c>
      <c r="K16" s="11" t="s">
        <v>69</v>
      </c>
      <c r="L16" s="12" t="s">
        <v>70</v>
      </c>
      <c r="M16" s="18" t="s">
        <v>73</v>
      </c>
      <c r="N16" s="424">
        <v>0</v>
      </c>
      <c r="O16" s="18">
        <v>4</v>
      </c>
      <c r="P16" s="16">
        <v>7</v>
      </c>
      <c r="Q16" s="16">
        <v>6</v>
      </c>
      <c r="R16" s="110">
        <v>5</v>
      </c>
      <c r="S16" s="110">
        <v>3</v>
      </c>
      <c r="T16" s="10" t="s">
        <v>67</v>
      </c>
      <c r="U16" s="283" t="s">
        <v>68</v>
      </c>
      <c r="V16" s="10" t="s">
        <v>74</v>
      </c>
      <c r="W16" s="298">
        <v>1</v>
      </c>
      <c r="X16" s="298">
        <v>1</v>
      </c>
      <c r="Y16" s="298">
        <v>1</v>
      </c>
      <c r="Z16" s="299">
        <v>1</v>
      </c>
      <c r="AA16" s="299">
        <v>1</v>
      </c>
      <c r="AB16" s="300">
        <v>1</v>
      </c>
      <c r="AC16" s="301">
        <v>1</v>
      </c>
      <c r="AD16" s="301">
        <v>1</v>
      </c>
      <c r="AE16" s="302">
        <f t="shared" si="1"/>
        <v>1</v>
      </c>
      <c r="AF16" s="63">
        <v>0</v>
      </c>
      <c r="AG16" s="302"/>
      <c r="AH16" s="17">
        <v>2.5</v>
      </c>
      <c r="AI16" s="17">
        <v>2.5</v>
      </c>
      <c r="AJ16" s="17">
        <v>2.5</v>
      </c>
      <c r="AK16" s="127">
        <v>1.5</v>
      </c>
      <c r="AL16" s="127">
        <v>2.5</v>
      </c>
      <c r="AM16" s="147">
        <f t="shared" si="0"/>
        <v>4</v>
      </c>
      <c r="AN16" s="18" t="s">
        <v>67</v>
      </c>
      <c r="AO16" s="18" t="s">
        <v>68</v>
      </c>
      <c r="AP16" s="10" t="s">
        <v>75</v>
      </c>
    </row>
    <row r="17" spans="1:42" x14ac:dyDescent="0.3">
      <c r="A17" s="9" t="s">
        <v>30</v>
      </c>
      <c r="B17" s="10" t="s">
        <v>31</v>
      </c>
      <c r="C17" s="11" t="s">
        <v>32</v>
      </c>
      <c r="D17" s="12" t="s">
        <v>33</v>
      </c>
      <c r="E17" s="11" t="s">
        <v>34</v>
      </c>
      <c r="F17" s="12" t="s">
        <v>35</v>
      </c>
      <c r="G17" s="11" t="s">
        <v>36</v>
      </c>
      <c r="H17" s="12" t="s">
        <v>37</v>
      </c>
      <c r="I17" s="12" t="s">
        <v>38</v>
      </c>
      <c r="J17" s="12" t="s">
        <v>39</v>
      </c>
      <c r="K17" s="11" t="s">
        <v>69</v>
      </c>
      <c r="L17" s="12" t="s">
        <v>70</v>
      </c>
      <c r="M17" s="18" t="s">
        <v>76</v>
      </c>
      <c r="N17" s="424">
        <v>0</v>
      </c>
      <c r="O17" s="18">
        <v>1</v>
      </c>
      <c r="P17" s="16">
        <v>1</v>
      </c>
      <c r="Q17" s="16">
        <v>1</v>
      </c>
      <c r="R17" s="110">
        <v>1</v>
      </c>
      <c r="S17" s="110">
        <v>1</v>
      </c>
      <c r="T17" s="10" t="s">
        <v>67</v>
      </c>
      <c r="U17" s="283" t="s">
        <v>68</v>
      </c>
      <c r="V17" s="10" t="s">
        <v>77</v>
      </c>
      <c r="W17" s="298">
        <v>1</v>
      </c>
      <c r="X17" s="298">
        <v>0</v>
      </c>
      <c r="Y17" s="298">
        <v>0</v>
      </c>
      <c r="Z17" s="299">
        <v>1</v>
      </c>
      <c r="AA17" s="299">
        <v>1</v>
      </c>
      <c r="AB17" s="300">
        <v>0</v>
      </c>
      <c r="AC17" s="301">
        <v>0</v>
      </c>
      <c r="AD17" s="301">
        <v>0</v>
      </c>
      <c r="AE17" s="302">
        <f t="shared" si="1"/>
        <v>0.375</v>
      </c>
      <c r="AF17" s="63">
        <v>0</v>
      </c>
      <c r="AG17" s="302"/>
      <c r="AH17" s="17">
        <v>3.3</v>
      </c>
      <c r="AI17" s="17">
        <v>6.2</v>
      </c>
      <c r="AJ17" s="17">
        <v>9.3000000000000007</v>
      </c>
      <c r="AK17" s="109"/>
      <c r="AL17" s="109"/>
      <c r="AM17" s="147">
        <f t="shared" si="0"/>
        <v>0</v>
      </c>
      <c r="AN17" s="18" t="s">
        <v>67</v>
      </c>
      <c r="AO17" s="18" t="s">
        <v>68</v>
      </c>
      <c r="AP17" s="10" t="s">
        <v>63</v>
      </c>
    </row>
    <row r="18" spans="1:42" x14ac:dyDescent="0.3">
      <c r="A18" s="9" t="s">
        <v>30</v>
      </c>
      <c r="B18" s="10" t="s">
        <v>31</v>
      </c>
      <c r="C18" s="11" t="s">
        <v>32</v>
      </c>
      <c r="D18" s="12" t="s">
        <v>33</v>
      </c>
      <c r="E18" s="11" t="s">
        <v>34</v>
      </c>
      <c r="F18" s="12" t="s">
        <v>35</v>
      </c>
      <c r="G18" s="11" t="s">
        <v>36</v>
      </c>
      <c r="H18" s="12" t="s">
        <v>37</v>
      </c>
      <c r="I18" s="12" t="s">
        <v>38</v>
      </c>
      <c r="J18" s="12" t="s">
        <v>39</v>
      </c>
      <c r="K18" s="11" t="s">
        <v>78</v>
      </c>
      <c r="L18" s="12" t="s">
        <v>79</v>
      </c>
      <c r="M18" s="18" t="s">
        <v>80</v>
      </c>
      <c r="N18" s="424">
        <v>0</v>
      </c>
      <c r="O18" s="18">
        <v>3</v>
      </c>
      <c r="P18" s="16">
        <v>5</v>
      </c>
      <c r="Q18" s="16">
        <v>5</v>
      </c>
      <c r="R18" s="110">
        <v>3</v>
      </c>
      <c r="S18" s="110">
        <v>4</v>
      </c>
      <c r="T18" s="10" t="s">
        <v>67</v>
      </c>
      <c r="U18" s="283" t="s">
        <v>68</v>
      </c>
      <c r="V18" s="10" t="s">
        <v>81</v>
      </c>
      <c r="W18" s="298">
        <v>1</v>
      </c>
      <c r="X18" s="298">
        <v>0</v>
      </c>
      <c r="Y18" s="298">
        <v>0</v>
      </c>
      <c r="Z18" s="299">
        <v>1</v>
      </c>
      <c r="AA18" s="299">
        <v>1</v>
      </c>
      <c r="AB18" s="300">
        <v>1</v>
      </c>
      <c r="AC18" s="301">
        <v>1</v>
      </c>
      <c r="AD18" s="301">
        <v>1</v>
      </c>
      <c r="AE18" s="302">
        <f t="shared" si="1"/>
        <v>0.75</v>
      </c>
      <c r="AF18" s="63">
        <v>0</v>
      </c>
      <c r="AG18" s="302"/>
      <c r="AH18" s="17">
        <v>14.5</v>
      </c>
      <c r="AI18" s="17">
        <v>14.15</v>
      </c>
      <c r="AJ18" s="17">
        <v>15.2</v>
      </c>
      <c r="AK18" s="127">
        <v>10</v>
      </c>
      <c r="AL18" s="127">
        <v>14.64</v>
      </c>
      <c r="AM18" s="147">
        <f t="shared" si="0"/>
        <v>24.64</v>
      </c>
      <c r="AN18" s="18" t="s">
        <v>67</v>
      </c>
      <c r="AO18" s="18" t="s">
        <v>68</v>
      </c>
      <c r="AP18" s="10" t="s">
        <v>63</v>
      </c>
    </row>
    <row r="19" spans="1:42" x14ac:dyDescent="0.3">
      <c r="A19" s="9" t="s">
        <v>30</v>
      </c>
      <c r="B19" s="10" t="s">
        <v>31</v>
      </c>
      <c r="C19" s="11" t="s">
        <v>32</v>
      </c>
      <c r="D19" s="12" t="s">
        <v>33</v>
      </c>
      <c r="E19" s="11" t="s">
        <v>34</v>
      </c>
      <c r="F19" s="12" t="s">
        <v>35</v>
      </c>
      <c r="G19" s="11" t="s">
        <v>36</v>
      </c>
      <c r="H19" s="12" t="s">
        <v>37</v>
      </c>
      <c r="I19" s="12" t="s">
        <v>38</v>
      </c>
      <c r="J19" s="12" t="s">
        <v>39</v>
      </c>
      <c r="K19" s="11" t="s">
        <v>78</v>
      </c>
      <c r="L19" s="12" t="s">
        <v>79</v>
      </c>
      <c r="M19" s="18" t="s">
        <v>76</v>
      </c>
      <c r="N19" s="424">
        <v>0</v>
      </c>
      <c r="O19" s="176">
        <v>0</v>
      </c>
      <c r="P19" s="17">
        <v>0</v>
      </c>
      <c r="Q19" s="17">
        <v>0</v>
      </c>
      <c r="R19" s="110">
        <v>1</v>
      </c>
      <c r="S19" s="113">
        <v>0</v>
      </c>
      <c r="T19" s="10" t="s">
        <v>43</v>
      </c>
      <c r="U19" s="283" t="s">
        <v>45</v>
      </c>
      <c r="V19" s="10" t="s">
        <v>82</v>
      </c>
      <c r="W19" s="298">
        <v>1</v>
      </c>
      <c r="X19" s="298">
        <v>1</v>
      </c>
      <c r="Y19" s="298">
        <v>1</v>
      </c>
      <c r="Z19" s="299">
        <v>1</v>
      </c>
      <c r="AA19" s="299">
        <v>1</v>
      </c>
      <c r="AB19" s="300">
        <v>1</v>
      </c>
      <c r="AC19" s="301">
        <v>1</v>
      </c>
      <c r="AD19" s="301">
        <v>0</v>
      </c>
      <c r="AE19" s="302">
        <f t="shared" si="1"/>
        <v>0.875</v>
      </c>
      <c r="AF19" s="63">
        <v>0</v>
      </c>
      <c r="AG19" s="302"/>
      <c r="AH19" s="17">
        <v>0</v>
      </c>
      <c r="AI19" s="17"/>
      <c r="AJ19" s="17"/>
      <c r="AK19" s="109">
        <v>0.5</v>
      </c>
      <c r="AL19" s="127">
        <v>0.5</v>
      </c>
      <c r="AM19" s="147">
        <f t="shared" si="0"/>
        <v>1</v>
      </c>
      <c r="AN19" s="18" t="s">
        <v>43</v>
      </c>
      <c r="AO19" s="18" t="s">
        <v>45</v>
      </c>
      <c r="AP19" s="10" t="s">
        <v>63</v>
      </c>
    </row>
    <row r="20" spans="1:42" x14ac:dyDescent="0.3">
      <c r="A20" s="9" t="s">
        <v>30</v>
      </c>
      <c r="B20" s="10" t="s">
        <v>31</v>
      </c>
      <c r="C20" s="11" t="s">
        <v>32</v>
      </c>
      <c r="D20" s="12" t="s">
        <v>33</v>
      </c>
      <c r="E20" s="11" t="s">
        <v>34</v>
      </c>
      <c r="F20" s="12" t="s">
        <v>35</v>
      </c>
      <c r="G20" s="11" t="s">
        <v>36</v>
      </c>
      <c r="H20" s="12" t="s">
        <v>37</v>
      </c>
      <c r="I20" s="12" t="s">
        <v>83</v>
      </c>
      <c r="J20" s="12" t="s">
        <v>84</v>
      </c>
      <c r="K20" s="11" t="s">
        <v>85</v>
      </c>
      <c r="L20" s="12" t="s">
        <v>86</v>
      </c>
      <c r="M20" s="18" t="s">
        <v>87</v>
      </c>
      <c r="N20" s="424">
        <v>881</v>
      </c>
      <c r="O20" s="18">
        <v>9</v>
      </c>
      <c r="P20" s="16">
        <v>27</v>
      </c>
      <c r="Q20" s="16">
        <v>23</v>
      </c>
      <c r="R20" s="110">
        <v>23</v>
      </c>
      <c r="S20" s="110">
        <v>23</v>
      </c>
      <c r="T20" s="10" t="s">
        <v>67</v>
      </c>
      <c r="U20" s="283" t="s">
        <v>68</v>
      </c>
      <c r="V20" s="10" t="s">
        <v>88</v>
      </c>
      <c r="W20" s="298">
        <v>1</v>
      </c>
      <c r="X20" s="298">
        <v>0</v>
      </c>
      <c r="Y20" s="298">
        <v>0</v>
      </c>
      <c r="Z20" s="299">
        <v>1</v>
      </c>
      <c r="AA20" s="299">
        <v>0</v>
      </c>
      <c r="AB20" s="300">
        <v>0</v>
      </c>
      <c r="AC20" s="301">
        <v>0</v>
      </c>
      <c r="AD20" s="301">
        <v>0</v>
      </c>
      <c r="AE20" s="302">
        <f t="shared" si="1"/>
        <v>0.25</v>
      </c>
      <c r="AF20" s="63">
        <v>1</v>
      </c>
      <c r="AG20" s="302"/>
      <c r="AH20" s="17">
        <v>15.45</v>
      </c>
      <c r="AI20" s="17">
        <v>15.64</v>
      </c>
      <c r="AJ20" s="17">
        <v>16.170000000000002</v>
      </c>
      <c r="AK20" s="109">
        <v>16.73</v>
      </c>
      <c r="AL20" s="109">
        <v>17.32</v>
      </c>
      <c r="AM20" s="147">
        <f t="shared" si="0"/>
        <v>34.049999999999997</v>
      </c>
      <c r="AN20" s="18" t="s">
        <v>67</v>
      </c>
      <c r="AO20" s="18" t="s">
        <v>68</v>
      </c>
      <c r="AP20" s="10" t="s">
        <v>89</v>
      </c>
    </row>
    <row r="21" spans="1:42" x14ac:dyDescent="0.3">
      <c r="A21" s="9" t="s">
        <v>30</v>
      </c>
      <c r="B21" s="10" t="s">
        <v>31</v>
      </c>
      <c r="C21" s="11" t="s">
        <v>32</v>
      </c>
      <c r="D21" s="12" t="s">
        <v>33</v>
      </c>
      <c r="E21" s="11" t="s">
        <v>34</v>
      </c>
      <c r="F21" s="12" t="s">
        <v>35</v>
      </c>
      <c r="G21" s="11" t="s">
        <v>36</v>
      </c>
      <c r="H21" s="12" t="s">
        <v>37</v>
      </c>
      <c r="I21" s="12" t="s">
        <v>83</v>
      </c>
      <c r="J21" s="12" t="s">
        <v>84</v>
      </c>
      <c r="K21" s="11" t="s">
        <v>85</v>
      </c>
      <c r="L21" s="12" t="s">
        <v>86</v>
      </c>
      <c r="M21" s="18" t="s">
        <v>90</v>
      </c>
      <c r="N21" s="424">
        <v>357</v>
      </c>
      <c r="O21" s="18">
        <v>15</v>
      </c>
      <c r="P21" s="16">
        <v>15</v>
      </c>
      <c r="Q21" s="21">
        <v>15</v>
      </c>
      <c r="R21" s="115">
        <v>15</v>
      </c>
      <c r="S21" s="115">
        <v>10</v>
      </c>
      <c r="T21" s="10" t="s">
        <v>67</v>
      </c>
      <c r="U21" s="283" t="s">
        <v>68</v>
      </c>
      <c r="V21" s="10" t="s">
        <v>91</v>
      </c>
      <c r="W21" s="298">
        <v>1</v>
      </c>
      <c r="X21" s="298">
        <v>0</v>
      </c>
      <c r="Y21" s="298">
        <v>0</v>
      </c>
      <c r="Z21" s="299">
        <v>1</v>
      </c>
      <c r="AA21" s="299">
        <v>0</v>
      </c>
      <c r="AB21" s="300">
        <v>0</v>
      </c>
      <c r="AC21" s="301">
        <v>0</v>
      </c>
      <c r="AD21" s="301">
        <v>0</v>
      </c>
      <c r="AE21" s="302">
        <f t="shared" si="1"/>
        <v>0.25</v>
      </c>
      <c r="AF21" s="63">
        <v>1</v>
      </c>
      <c r="AG21" s="302"/>
      <c r="AH21" s="17">
        <v>0.96</v>
      </c>
      <c r="AI21" s="17">
        <v>0.96</v>
      </c>
      <c r="AJ21" s="17">
        <v>0.96</v>
      </c>
      <c r="AK21" s="109">
        <v>0.96</v>
      </c>
      <c r="AL21" s="109">
        <v>0.96</v>
      </c>
      <c r="AM21" s="147">
        <f t="shared" si="0"/>
        <v>1.92</v>
      </c>
      <c r="AN21" s="18" t="s">
        <v>67</v>
      </c>
      <c r="AO21" s="18" t="s">
        <v>68</v>
      </c>
      <c r="AP21" s="10" t="s">
        <v>92</v>
      </c>
    </row>
    <row r="22" spans="1:42" x14ac:dyDescent="0.3">
      <c r="A22" s="9" t="s">
        <v>30</v>
      </c>
      <c r="B22" s="10" t="s">
        <v>31</v>
      </c>
      <c r="C22" s="11" t="s">
        <v>32</v>
      </c>
      <c r="D22" s="12" t="s">
        <v>33</v>
      </c>
      <c r="E22" s="11" t="s">
        <v>34</v>
      </c>
      <c r="F22" s="12" t="s">
        <v>35</v>
      </c>
      <c r="G22" s="11" t="s">
        <v>36</v>
      </c>
      <c r="H22" s="12" t="s">
        <v>37</v>
      </c>
      <c r="I22" s="12" t="s">
        <v>83</v>
      </c>
      <c r="J22" s="12" t="s">
        <v>84</v>
      </c>
      <c r="K22" s="11" t="s">
        <v>85</v>
      </c>
      <c r="L22" s="12" t="s">
        <v>86</v>
      </c>
      <c r="M22" s="18" t="s">
        <v>90</v>
      </c>
      <c r="N22" s="424">
        <v>0</v>
      </c>
      <c r="O22" s="18">
        <v>5</v>
      </c>
      <c r="P22" s="16">
        <v>20</v>
      </c>
      <c r="Q22" s="21">
        <v>20</v>
      </c>
      <c r="R22" s="115">
        <v>20</v>
      </c>
      <c r="S22" s="115">
        <v>20</v>
      </c>
      <c r="T22" s="12" t="s">
        <v>43</v>
      </c>
      <c r="U22" s="283" t="s">
        <v>45</v>
      </c>
      <c r="V22" s="10" t="s">
        <v>91</v>
      </c>
      <c r="W22" s="298">
        <v>1</v>
      </c>
      <c r="X22" s="298">
        <v>0</v>
      </c>
      <c r="Y22" s="298">
        <v>0</v>
      </c>
      <c r="Z22" s="299">
        <v>1</v>
      </c>
      <c r="AA22" s="299">
        <v>0</v>
      </c>
      <c r="AB22" s="300">
        <v>0</v>
      </c>
      <c r="AC22" s="301">
        <v>0</v>
      </c>
      <c r="AD22" s="301">
        <v>0</v>
      </c>
      <c r="AE22" s="302">
        <f t="shared" si="1"/>
        <v>0.25</v>
      </c>
      <c r="AF22" s="63">
        <v>1</v>
      </c>
      <c r="AG22" s="302"/>
      <c r="AH22" s="17"/>
      <c r="AI22" s="17"/>
      <c r="AJ22" s="17"/>
      <c r="AK22" s="109"/>
      <c r="AL22" s="109"/>
      <c r="AM22" s="147">
        <f t="shared" si="0"/>
        <v>0</v>
      </c>
      <c r="AN22" s="18" t="s">
        <v>43</v>
      </c>
      <c r="AO22" s="18" t="s">
        <v>45</v>
      </c>
      <c r="AP22" s="10" t="s">
        <v>92</v>
      </c>
    </row>
    <row r="23" spans="1:42" x14ac:dyDescent="0.3">
      <c r="A23" s="9" t="s">
        <v>30</v>
      </c>
      <c r="B23" s="10" t="s">
        <v>31</v>
      </c>
      <c r="C23" s="11" t="s">
        <v>32</v>
      </c>
      <c r="D23" s="12" t="s">
        <v>33</v>
      </c>
      <c r="E23" s="11" t="s">
        <v>34</v>
      </c>
      <c r="F23" s="12" t="s">
        <v>35</v>
      </c>
      <c r="G23" s="11" t="s">
        <v>36</v>
      </c>
      <c r="H23" s="12" t="s">
        <v>37</v>
      </c>
      <c r="I23" s="12" t="s">
        <v>83</v>
      </c>
      <c r="J23" s="12" t="s">
        <v>84</v>
      </c>
      <c r="K23" s="9" t="s">
        <v>93</v>
      </c>
      <c r="L23" s="10" t="s">
        <v>94</v>
      </c>
      <c r="M23" s="18" t="s">
        <v>95</v>
      </c>
      <c r="N23" s="424">
        <v>0</v>
      </c>
      <c r="O23" s="18">
        <v>4</v>
      </c>
      <c r="P23" s="16">
        <v>8</v>
      </c>
      <c r="Q23" s="21">
        <v>6</v>
      </c>
      <c r="R23" s="115">
        <v>6</v>
      </c>
      <c r="S23" s="115">
        <v>6</v>
      </c>
      <c r="T23" s="12" t="s">
        <v>67</v>
      </c>
      <c r="U23" s="283" t="s">
        <v>68</v>
      </c>
      <c r="V23" s="10" t="s">
        <v>96</v>
      </c>
      <c r="W23" s="298">
        <v>1</v>
      </c>
      <c r="X23" s="298">
        <v>1</v>
      </c>
      <c r="Y23" s="298">
        <v>1</v>
      </c>
      <c r="Z23" s="299">
        <v>1</v>
      </c>
      <c r="AA23" s="299">
        <v>1</v>
      </c>
      <c r="AB23" s="300">
        <v>1</v>
      </c>
      <c r="AC23" s="301">
        <v>1</v>
      </c>
      <c r="AD23" s="301">
        <v>0</v>
      </c>
      <c r="AE23" s="302">
        <f t="shared" si="1"/>
        <v>0.875</v>
      </c>
      <c r="AF23" s="63">
        <v>0</v>
      </c>
      <c r="AG23" s="302"/>
      <c r="AH23" s="17">
        <v>1.5</v>
      </c>
      <c r="AI23" s="17">
        <v>2.5</v>
      </c>
      <c r="AJ23" s="17">
        <v>2.2000000000000002</v>
      </c>
      <c r="AK23" s="127">
        <v>2</v>
      </c>
      <c r="AL23" s="127">
        <v>2</v>
      </c>
      <c r="AM23" s="147">
        <f t="shared" si="0"/>
        <v>4</v>
      </c>
      <c r="AN23" s="18" t="s">
        <v>67</v>
      </c>
      <c r="AO23" s="18" t="s">
        <v>68</v>
      </c>
      <c r="AP23" s="10" t="s">
        <v>97</v>
      </c>
    </row>
    <row r="24" spans="1:42" x14ac:dyDescent="0.3">
      <c r="A24" s="9" t="s">
        <v>30</v>
      </c>
      <c r="B24" s="10" t="s">
        <v>31</v>
      </c>
      <c r="C24" s="11" t="s">
        <v>32</v>
      </c>
      <c r="D24" s="12" t="s">
        <v>33</v>
      </c>
      <c r="E24" s="11" t="s">
        <v>34</v>
      </c>
      <c r="F24" s="12" t="s">
        <v>35</v>
      </c>
      <c r="G24" s="11" t="s">
        <v>36</v>
      </c>
      <c r="H24" s="12" t="s">
        <v>37</v>
      </c>
      <c r="I24" s="12" t="s">
        <v>83</v>
      </c>
      <c r="J24" s="12" t="s">
        <v>84</v>
      </c>
      <c r="K24" s="9" t="s">
        <v>98</v>
      </c>
      <c r="L24" s="10" t="s">
        <v>99</v>
      </c>
      <c r="M24" s="428" t="s">
        <v>100</v>
      </c>
      <c r="N24" s="424">
        <v>0</v>
      </c>
      <c r="O24" s="18"/>
      <c r="P24" s="16">
        <v>1</v>
      </c>
      <c r="Q24" s="21"/>
      <c r="R24" s="115"/>
      <c r="S24" s="115"/>
      <c r="T24" s="12" t="s">
        <v>101</v>
      </c>
      <c r="U24" s="283" t="s">
        <v>103</v>
      </c>
      <c r="V24" s="10" t="s">
        <v>102</v>
      </c>
      <c r="W24" s="298">
        <v>0</v>
      </c>
      <c r="X24" s="298">
        <v>0</v>
      </c>
      <c r="Y24" s="298">
        <v>0</v>
      </c>
      <c r="Z24" s="299">
        <v>1</v>
      </c>
      <c r="AA24" s="299">
        <v>1</v>
      </c>
      <c r="AB24" s="300">
        <v>0</v>
      </c>
      <c r="AC24" s="301">
        <v>0</v>
      </c>
      <c r="AD24" s="301">
        <v>0</v>
      </c>
      <c r="AE24" s="302">
        <f t="shared" si="1"/>
        <v>0.25</v>
      </c>
      <c r="AF24" s="63">
        <v>0</v>
      </c>
      <c r="AG24" s="302"/>
      <c r="AH24" s="17"/>
      <c r="AI24" s="17"/>
      <c r="AJ24" s="17"/>
      <c r="AK24" s="109"/>
      <c r="AL24" s="109"/>
      <c r="AM24" s="147">
        <f t="shared" si="0"/>
        <v>0</v>
      </c>
      <c r="AN24" s="18" t="s">
        <v>101</v>
      </c>
      <c r="AO24" s="18" t="s">
        <v>103</v>
      </c>
      <c r="AP24" s="10" t="s">
        <v>92</v>
      </c>
    </row>
    <row r="25" spans="1:42" x14ac:dyDescent="0.3">
      <c r="A25" s="9" t="s">
        <v>30</v>
      </c>
      <c r="B25" s="10" t="s">
        <v>31</v>
      </c>
      <c r="C25" s="11" t="s">
        <v>32</v>
      </c>
      <c r="D25" s="12" t="s">
        <v>33</v>
      </c>
      <c r="E25" s="11" t="s">
        <v>34</v>
      </c>
      <c r="F25" s="12" t="s">
        <v>35</v>
      </c>
      <c r="G25" s="11" t="s">
        <v>36</v>
      </c>
      <c r="H25" s="12" t="s">
        <v>37</v>
      </c>
      <c r="I25" s="12" t="s">
        <v>83</v>
      </c>
      <c r="J25" s="12" t="s">
        <v>84</v>
      </c>
      <c r="K25" s="9" t="s">
        <v>98</v>
      </c>
      <c r="L25" s="10" t="s">
        <v>99</v>
      </c>
      <c r="M25" s="428" t="s">
        <v>104</v>
      </c>
      <c r="N25" s="424"/>
      <c r="O25" s="18">
        <v>80</v>
      </c>
      <c r="P25" s="16">
        <v>20</v>
      </c>
      <c r="Q25" s="21">
        <v>20</v>
      </c>
      <c r="R25" s="115">
        <v>20</v>
      </c>
      <c r="S25" s="115">
        <v>20</v>
      </c>
      <c r="T25" s="12" t="s">
        <v>67</v>
      </c>
      <c r="U25" s="283" t="s">
        <v>68</v>
      </c>
      <c r="V25" s="10" t="s">
        <v>102</v>
      </c>
      <c r="W25" s="298">
        <v>0</v>
      </c>
      <c r="X25" s="298">
        <v>0</v>
      </c>
      <c r="Y25" s="298">
        <v>0</v>
      </c>
      <c r="Z25" s="299">
        <v>1</v>
      </c>
      <c r="AA25" s="299">
        <v>1</v>
      </c>
      <c r="AB25" s="300">
        <v>0</v>
      </c>
      <c r="AC25" s="301">
        <v>0</v>
      </c>
      <c r="AD25" s="301">
        <v>0</v>
      </c>
      <c r="AE25" s="302">
        <f t="shared" si="1"/>
        <v>0.25</v>
      </c>
      <c r="AF25" s="63">
        <v>0</v>
      </c>
      <c r="AG25" s="302"/>
      <c r="AH25" s="17"/>
      <c r="AI25" s="17"/>
      <c r="AJ25" s="17"/>
      <c r="AK25" s="109"/>
      <c r="AL25" s="109"/>
      <c r="AM25" s="147">
        <f t="shared" si="0"/>
        <v>0</v>
      </c>
      <c r="AN25" s="18" t="s">
        <v>67</v>
      </c>
      <c r="AO25" s="18" t="s">
        <v>68</v>
      </c>
      <c r="AP25" s="10" t="s">
        <v>92</v>
      </c>
    </row>
    <row r="26" spans="1:42" x14ac:dyDescent="0.3">
      <c r="A26" s="9" t="s">
        <v>30</v>
      </c>
      <c r="B26" s="10" t="s">
        <v>31</v>
      </c>
      <c r="C26" s="11" t="s">
        <v>32</v>
      </c>
      <c r="D26" s="12" t="s">
        <v>33</v>
      </c>
      <c r="E26" s="11" t="s">
        <v>34</v>
      </c>
      <c r="F26" s="12" t="s">
        <v>35</v>
      </c>
      <c r="G26" s="11" t="s">
        <v>36</v>
      </c>
      <c r="H26" s="12" t="s">
        <v>37</v>
      </c>
      <c r="I26" s="12" t="s">
        <v>83</v>
      </c>
      <c r="J26" s="12" t="s">
        <v>84</v>
      </c>
      <c r="K26" s="9" t="s">
        <v>105</v>
      </c>
      <c r="L26" s="10" t="s">
        <v>106</v>
      </c>
      <c r="M26" s="428" t="s">
        <v>107</v>
      </c>
      <c r="N26" s="424">
        <v>32</v>
      </c>
      <c r="O26" s="18">
        <v>22</v>
      </c>
      <c r="P26" s="16">
        <v>22</v>
      </c>
      <c r="Q26" s="21">
        <v>22</v>
      </c>
      <c r="R26" s="115">
        <v>22</v>
      </c>
      <c r="S26" s="115">
        <v>22</v>
      </c>
      <c r="T26" s="12" t="s">
        <v>67</v>
      </c>
      <c r="U26" s="283" t="s">
        <v>68</v>
      </c>
      <c r="V26" s="10" t="s">
        <v>108</v>
      </c>
      <c r="W26" s="298">
        <v>1</v>
      </c>
      <c r="X26" s="298">
        <v>0</v>
      </c>
      <c r="Y26" s="298">
        <v>0</v>
      </c>
      <c r="Z26" s="299">
        <v>1</v>
      </c>
      <c r="AA26" s="299">
        <v>1</v>
      </c>
      <c r="AB26" s="300">
        <v>0</v>
      </c>
      <c r="AC26" s="301">
        <v>0</v>
      </c>
      <c r="AD26" s="301">
        <v>0</v>
      </c>
      <c r="AE26" s="302">
        <f t="shared" si="1"/>
        <v>0.375</v>
      </c>
      <c r="AF26" s="63">
        <v>1</v>
      </c>
      <c r="AG26" s="302"/>
      <c r="AH26" s="17"/>
      <c r="AI26" s="17"/>
      <c r="AJ26" s="17"/>
      <c r="AK26" s="109"/>
      <c r="AL26" s="109"/>
      <c r="AM26" s="147">
        <f t="shared" si="0"/>
        <v>0</v>
      </c>
      <c r="AN26" s="18" t="s">
        <v>67</v>
      </c>
      <c r="AO26" s="18" t="s">
        <v>68</v>
      </c>
      <c r="AP26" s="10" t="s">
        <v>92</v>
      </c>
    </row>
    <row r="27" spans="1:42" x14ac:dyDescent="0.3">
      <c r="A27" s="9" t="s">
        <v>30</v>
      </c>
      <c r="B27" s="10" t="s">
        <v>31</v>
      </c>
      <c r="C27" s="11" t="s">
        <v>32</v>
      </c>
      <c r="D27" s="12" t="s">
        <v>33</v>
      </c>
      <c r="E27" s="11" t="s">
        <v>34</v>
      </c>
      <c r="F27" s="12" t="s">
        <v>35</v>
      </c>
      <c r="G27" s="11" t="s">
        <v>36</v>
      </c>
      <c r="H27" s="12" t="s">
        <v>37</v>
      </c>
      <c r="I27" s="12" t="s">
        <v>83</v>
      </c>
      <c r="J27" s="12" t="s">
        <v>84</v>
      </c>
      <c r="K27" s="9" t="s">
        <v>109</v>
      </c>
      <c r="L27" s="10" t="s">
        <v>110</v>
      </c>
      <c r="M27" s="428" t="s">
        <v>111</v>
      </c>
      <c r="N27" s="424">
        <v>0</v>
      </c>
      <c r="O27" s="18">
        <v>55</v>
      </c>
      <c r="P27" s="16">
        <v>55</v>
      </c>
      <c r="Q27" s="21">
        <v>55</v>
      </c>
      <c r="R27" s="115">
        <v>55</v>
      </c>
      <c r="S27" s="115">
        <v>58</v>
      </c>
      <c r="T27" s="12" t="s">
        <v>67</v>
      </c>
      <c r="U27" s="283" t="s">
        <v>68</v>
      </c>
      <c r="V27" s="10" t="s">
        <v>112</v>
      </c>
      <c r="W27" s="298">
        <v>0</v>
      </c>
      <c r="X27" s="298">
        <v>0</v>
      </c>
      <c r="Y27" s="298">
        <v>0</v>
      </c>
      <c r="Z27" s="299">
        <v>0</v>
      </c>
      <c r="AA27" s="299">
        <v>0</v>
      </c>
      <c r="AB27" s="300">
        <v>0</v>
      </c>
      <c r="AC27" s="301">
        <v>0</v>
      </c>
      <c r="AD27" s="301">
        <v>0</v>
      </c>
      <c r="AE27" s="302">
        <f t="shared" si="1"/>
        <v>0</v>
      </c>
      <c r="AF27" s="63">
        <v>0</v>
      </c>
      <c r="AG27" s="302"/>
      <c r="AH27" s="17"/>
      <c r="AI27" s="17"/>
      <c r="AJ27" s="17"/>
      <c r="AK27" s="109"/>
      <c r="AL27" s="109"/>
      <c r="AM27" s="147">
        <f t="shared" si="0"/>
        <v>0</v>
      </c>
      <c r="AN27" s="18" t="s">
        <v>67</v>
      </c>
      <c r="AO27" s="18" t="s">
        <v>68</v>
      </c>
      <c r="AP27" s="10" t="s">
        <v>92</v>
      </c>
    </row>
    <row r="28" spans="1:42" x14ac:dyDescent="0.3">
      <c r="A28" s="9" t="s">
        <v>30</v>
      </c>
      <c r="B28" s="10" t="s">
        <v>31</v>
      </c>
      <c r="C28" s="11" t="s">
        <v>32</v>
      </c>
      <c r="D28" s="12" t="s">
        <v>33</v>
      </c>
      <c r="E28" s="11" t="s">
        <v>34</v>
      </c>
      <c r="F28" s="12" t="s">
        <v>35</v>
      </c>
      <c r="G28" s="11" t="s">
        <v>36</v>
      </c>
      <c r="H28" s="12" t="s">
        <v>37</v>
      </c>
      <c r="I28" s="12" t="s">
        <v>113</v>
      </c>
      <c r="J28" s="12" t="s">
        <v>114</v>
      </c>
      <c r="K28" s="13" t="s">
        <v>115</v>
      </c>
      <c r="L28" s="14" t="s">
        <v>116</v>
      </c>
      <c r="M28" s="14" t="s">
        <v>117</v>
      </c>
      <c r="N28" s="429"/>
      <c r="O28" s="14">
        <v>0</v>
      </c>
      <c r="P28" s="21"/>
      <c r="Q28" s="21"/>
      <c r="R28" s="115">
        <v>1</v>
      </c>
      <c r="S28" s="115"/>
      <c r="T28" s="12" t="s">
        <v>92</v>
      </c>
      <c r="U28" s="283" t="s">
        <v>118</v>
      </c>
      <c r="V28" s="12"/>
      <c r="W28" s="298">
        <v>0</v>
      </c>
      <c r="X28" s="298">
        <v>0</v>
      </c>
      <c r="Y28" s="298">
        <v>0</v>
      </c>
      <c r="Z28" s="299">
        <v>0</v>
      </c>
      <c r="AA28" s="299">
        <v>0</v>
      </c>
      <c r="AB28" s="300">
        <v>0</v>
      </c>
      <c r="AC28" s="301">
        <v>0</v>
      </c>
      <c r="AD28" s="301">
        <v>0</v>
      </c>
      <c r="AE28" s="302">
        <f t="shared" si="1"/>
        <v>0</v>
      </c>
      <c r="AF28" s="63">
        <v>0</v>
      </c>
      <c r="AG28" s="302"/>
      <c r="AH28" s="23">
        <v>0</v>
      </c>
      <c r="AI28" s="23"/>
      <c r="AJ28" s="23"/>
      <c r="AK28" s="125"/>
      <c r="AL28" s="125"/>
      <c r="AM28" s="147">
        <f t="shared" si="0"/>
        <v>0</v>
      </c>
      <c r="AN28" s="14" t="s">
        <v>92</v>
      </c>
      <c r="AO28" s="18" t="s">
        <v>118</v>
      </c>
      <c r="AP28" s="12" t="s">
        <v>119</v>
      </c>
    </row>
    <row r="29" spans="1:42" x14ac:dyDescent="0.3">
      <c r="A29" s="9" t="s">
        <v>30</v>
      </c>
      <c r="B29" s="10" t="s">
        <v>31</v>
      </c>
      <c r="C29" s="11" t="s">
        <v>32</v>
      </c>
      <c r="D29" s="12" t="s">
        <v>33</v>
      </c>
      <c r="E29" s="11" t="s">
        <v>34</v>
      </c>
      <c r="F29" s="12" t="s">
        <v>35</v>
      </c>
      <c r="G29" s="11" t="s">
        <v>36</v>
      </c>
      <c r="H29" s="12" t="s">
        <v>37</v>
      </c>
      <c r="I29" s="12" t="s">
        <v>120</v>
      </c>
      <c r="J29" s="12" t="s">
        <v>121</v>
      </c>
      <c r="K29" s="9" t="s">
        <v>122</v>
      </c>
      <c r="L29" s="10" t="s">
        <v>123</v>
      </c>
      <c r="M29" s="18" t="s">
        <v>124</v>
      </c>
      <c r="N29" s="424">
        <v>0</v>
      </c>
      <c r="O29" s="18">
        <v>3</v>
      </c>
      <c r="P29" s="16">
        <v>1</v>
      </c>
      <c r="Q29" s="21">
        <v>2</v>
      </c>
      <c r="R29" s="129">
        <v>1</v>
      </c>
      <c r="S29" s="129">
        <v>1</v>
      </c>
      <c r="T29" s="12" t="s">
        <v>67</v>
      </c>
      <c r="U29" s="283" t="s">
        <v>68</v>
      </c>
      <c r="V29" s="10" t="s">
        <v>125</v>
      </c>
      <c r="W29" s="298">
        <v>1</v>
      </c>
      <c r="X29" s="298">
        <v>0</v>
      </c>
      <c r="Y29" s="298">
        <v>0</v>
      </c>
      <c r="Z29" s="299">
        <v>1</v>
      </c>
      <c r="AA29" s="299">
        <v>1</v>
      </c>
      <c r="AB29" s="300">
        <v>1</v>
      </c>
      <c r="AC29" s="301">
        <v>1</v>
      </c>
      <c r="AD29" s="301">
        <v>0</v>
      </c>
      <c r="AE29" s="302">
        <f t="shared" si="1"/>
        <v>0.625</v>
      </c>
      <c r="AF29" s="63">
        <v>0</v>
      </c>
      <c r="AG29" s="302"/>
      <c r="AH29" s="17">
        <v>8.5</v>
      </c>
      <c r="AI29" s="17">
        <v>0.5</v>
      </c>
      <c r="AJ29" s="17">
        <v>1</v>
      </c>
      <c r="AK29" s="127">
        <v>1.2</v>
      </c>
      <c r="AL29" s="127">
        <v>2.6</v>
      </c>
      <c r="AM29" s="147">
        <f t="shared" si="0"/>
        <v>3.8</v>
      </c>
      <c r="AN29" s="18" t="s">
        <v>67</v>
      </c>
      <c r="AO29" s="18" t="s">
        <v>68</v>
      </c>
      <c r="AP29" s="10" t="s">
        <v>126</v>
      </c>
    </row>
    <row r="30" spans="1:42" x14ac:dyDescent="0.3">
      <c r="A30" s="9" t="s">
        <v>30</v>
      </c>
      <c r="B30" s="10" t="s">
        <v>31</v>
      </c>
      <c r="C30" s="11" t="s">
        <v>32</v>
      </c>
      <c r="D30" s="12" t="s">
        <v>33</v>
      </c>
      <c r="E30" s="11" t="s">
        <v>34</v>
      </c>
      <c r="F30" s="12" t="s">
        <v>35</v>
      </c>
      <c r="G30" s="11" t="s">
        <v>36</v>
      </c>
      <c r="H30" s="12" t="s">
        <v>37</v>
      </c>
      <c r="I30" s="12" t="s">
        <v>120</v>
      </c>
      <c r="J30" s="12" t="s">
        <v>121</v>
      </c>
      <c r="K30" s="9" t="s">
        <v>122</v>
      </c>
      <c r="L30" s="10" t="s">
        <v>123</v>
      </c>
      <c r="M30" s="18" t="s">
        <v>127</v>
      </c>
      <c r="N30" s="424">
        <v>0</v>
      </c>
      <c r="O30" s="18">
        <v>2</v>
      </c>
      <c r="P30" s="16">
        <v>2</v>
      </c>
      <c r="Q30" s="21">
        <v>2</v>
      </c>
      <c r="R30" s="115">
        <v>2</v>
      </c>
      <c r="S30" s="115">
        <v>2</v>
      </c>
      <c r="T30" s="12" t="s">
        <v>67</v>
      </c>
      <c r="U30" s="283" t="s">
        <v>68</v>
      </c>
      <c r="V30" s="10" t="s">
        <v>128</v>
      </c>
      <c r="W30" s="298">
        <v>1</v>
      </c>
      <c r="X30" s="298">
        <v>0</v>
      </c>
      <c r="Y30" s="298">
        <v>0</v>
      </c>
      <c r="Z30" s="299">
        <v>1</v>
      </c>
      <c r="AA30" s="299">
        <v>1</v>
      </c>
      <c r="AB30" s="300">
        <v>1</v>
      </c>
      <c r="AC30" s="301">
        <v>1</v>
      </c>
      <c r="AD30" s="301">
        <v>0</v>
      </c>
      <c r="AE30" s="302">
        <f t="shared" si="1"/>
        <v>0.625</v>
      </c>
      <c r="AF30" s="63">
        <v>0</v>
      </c>
      <c r="AG30" s="302"/>
      <c r="AH30" s="17"/>
      <c r="AI30" s="17"/>
      <c r="AJ30" s="17"/>
      <c r="AK30" s="109"/>
      <c r="AL30" s="127">
        <v>4</v>
      </c>
      <c r="AM30" s="147">
        <f t="shared" si="0"/>
        <v>4</v>
      </c>
      <c r="AN30" s="18" t="s">
        <v>67</v>
      </c>
      <c r="AO30" s="18" t="s">
        <v>68</v>
      </c>
      <c r="AP30" s="10" t="s">
        <v>129</v>
      </c>
    </row>
    <row r="31" spans="1:42" x14ac:dyDescent="0.3">
      <c r="A31" s="9" t="s">
        <v>30</v>
      </c>
      <c r="B31" s="10" t="s">
        <v>31</v>
      </c>
      <c r="C31" s="11" t="s">
        <v>32</v>
      </c>
      <c r="D31" s="12" t="s">
        <v>33</v>
      </c>
      <c r="E31" s="11" t="s">
        <v>34</v>
      </c>
      <c r="F31" s="12" t="s">
        <v>35</v>
      </c>
      <c r="G31" s="11" t="s">
        <v>36</v>
      </c>
      <c r="H31" s="12" t="s">
        <v>37</v>
      </c>
      <c r="I31" s="12" t="s">
        <v>120</v>
      </c>
      <c r="J31" s="12" t="s">
        <v>121</v>
      </c>
      <c r="K31" s="9" t="s">
        <v>130</v>
      </c>
      <c r="L31" s="10" t="s">
        <v>131</v>
      </c>
      <c r="M31" s="18" t="s">
        <v>132</v>
      </c>
      <c r="N31" s="424">
        <v>0</v>
      </c>
      <c r="O31" s="18">
        <v>15</v>
      </c>
      <c r="P31" s="16">
        <v>40</v>
      </c>
      <c r="Q31" s="21">
        <v>35</v>
      </c>
      <c r="R31" s="115">
        <v>35</v>
      </c>
      <c r="S31" s="115">
        <v>30</v>
      </c>
      <c r="T31" s="18" t="s">
        <v>67</v>
      </c>
      <c r="U31" s="283" t="s">
        <v>68</v>
      </c>
      <c r="V31" s="10" t="s">
        <v>133</v>
      </c>
      <c r="W31" s="298">
        <v>1</v>
      </c>
      <c r="X31" s="298">
        <v>0</v>
      </c>
      <c r="Y31" s="298">
        <v>0</v>
      </c>
      <c r="Z31" s="299">
        <v>1</v>
      </c>
      <c r="AA31" s="299">
        <v>1</v>
      </c>
      <c r="AB31" s="300">
        <v>0</v>
      </c>
      <c r="AC31" s="301">
        <v>0</v>
      </c>
      <c r="AD31" s="301">
        <v>0</v>
      </c>
      <c r="AE31" s="302">
        <f t="shared" si="1"/>
        <v>0.375</v>
      </c>
      <c r="AF31" s="63">
        <v>1</v>
      </c>
      <c r="AG31" s="302"/>
      <c r="AH31" s="17">
        <v>0</v>
      </c>
      <c r="AI31" s="17">
        <v>0.1</v>
      </c>
      <c r="AJ31" s="17">
        <v>0.1</v>
      </c>
      <c r="AK31" s="109">
        <v>0.1</v>
      </c>
      <c r="AL31" s="109">
        <v>0.1</v>
      </c>
      <c r="AM31" s="147">
        <f t="shared" si="0"/>
        <v>0.2</v>
      </c>
      <c r="AN31" s="18" t="s">
        <v>67</v>
      </c>
      <c r="AO31" s="18" t="s">
        <v>68</v>
      </c>
      <c r="AP31" s="10" t="s">
        <v>134</v>
      </c>
    </row>
    <row r="32" spans="1:42" x14ac:dyDescent="0.3">
      <c r="A32" s="9" t="s">
        <v>30</v>
      </c>
      <c r="B32" s="10" t="s">
        <v>31</v>
      </c>
      <c r="C32" s="11" t="s">
        <v>32</v>
      </c>
      <c r="D32" s="12" t="s">
        <v>33</v>
      </c>
      <c r="E32" s="11" t="s">
        <v>34</v>
      </c>
      <c r="F32" s="12" t="s">
        <v>35</v>
      </c>
      <c r="G32" s="11" t="s">
        <v>36</v>
      </c>
      <c r="H32" s="12" t="s">
        <v>37</v>
      </c>
      <c r="I32" s="12" t="s">
        <v>120</v>
      </c>
      <c r="J32" s="12" t="s">
        <v>121</v>
      </c>
      <c r="K32" s="9" t="s">
        <v>135</v>
      </c>
      <c r="L32" s="14" t="s">
        <v>136</v>
      </c>
      <c r="M32" s="18" t="s">
        <v>137</v>
      </c>
      <c r="N32" s="430">
        <v>500000</v>
      </c>
      <c r="O32" s="18">
        <v>500000</v>
      </c>
      <c r="P32" s="16">
        <v>500000</v>
      </c>
      <c r="Q32" s="21">
        <v>500000</v>
      </c>
      <c r="R32" s="115">
        <v>500000</v>
      </c>
      <c r="S32" s="110">
        <v>500000</v>
      </c>
      <c r="T32" s="10" t="s">
        <v>43</v>
      </c>
      <c r="U32" s="283" t="s">
        <v>45</v>
      </c>
      <c r="V32" s="10" t="s">
        <v>138</v>
      </c>
      <c r="W32" s="298">
        <v>1</v>
      </c>
      <c r="X32" s="298">
        <v>1</v>
      </c>
      <c r="Y32" s="298">
        <v>1</v>
      </c>
      <c r="Z32" s="299">
        <v>1</v>
      </c>
      <c r="AA32" s="299">
        <v>1</v>
      </c>
      <c r="AB32" s="300">
        <v>1</v>
      </c>
      <c r="AC32" s="301">
        <v>1</v>
      </c>
      <c r="AD32" s="301">
        <v>1</v>
      </c>
      <c r="AE32" s="302">
        <f t="shared" si="1"/>
        <v>1</v>
      </c>
      <c r="AF32" s="63">
        <v>0</v>
      </c>
      <c r="AG32" s="302"/>
      <c r="AH32" s="17">
        <v>1.5</v>
      </c>
      <c r="AI32" s="17">
        <v>1.5</v>
      </c>
      <c r="AJ32" s="17">
        <v>1.5</v>
      </c>
      <c r="AK32" s="109">
        <v>1.5</v>
      </c>
      <c r="AL32" s="127">
        <v>2.5</v>
      </c>
      <c r="AM32" s="147">
        <f t="shared" si="0"/>
        <v>4</v>
      </c>
      <c r="AN32" s="18" t="s">
        <v>43</v>
      </c>
      <c r="AO32" s="18" t="s">
        <v>45</v>
      </c>
      <c r="AP32" s="10" t="s">
        <v>139</v>
      </c>
    </row>
    <row r="33" spans="1:42" x14ac:dyDescent="0.3">
      <c r="A33" s="9" t="s">
        <v>30</v>
      </c>
      <c r="B33" s="10" t="s">
        <v>31</v>
      </c>
      <c r="C33" s="11" t="s">
        <v>32</v>
      </c>
      <c r="D33" s="12" t="s">
        <v>33</v>
      </c>
      <c r="E33" s="11" t="s">
        <v>34</v>
      </c>
      <c r="F33" s="12" t="s">
        <v>35</v>
      </c>
      <c r="G33" s="11" t="s">
        <v>36</v>
      </c>
      <c r="H33" s="12" t="s">
        <v>37</v>
      </c>
      <c r="I33" s="12" t="s">
        <v>120</v>
      </c>
      <c r="J33" s="12" t="s">
        <v>121</v>
      </c>
      <c r="K33" s="9" t="s">
        <v>135</v>
      </c>
      <c r="L33" s="14" t="s">
        <v>136</v>
      </c>
      <c r="M33" s="18" t="s">
        <v>140</v>
      </c>
      <c r="N33" s="430">
        <v>500000</v>
      </c>
      <c r="O33" s="18">
        <v>500000</v>
      </c>
      <c r="P33" s="16">
        <v>500000</v>
      </c>
      <c r="Q33" s="21">
        <v>500000</v>
      </c>
      <c r="R33" s="115">
        <v>500000</v>
      </c>
      <c r="S33" s="110">
        <v>500000</v>
      </c>
      <c r="T33" s="10" t="s">
        <v>43</v>
      </c>
      <c r="U33" s="283" t="s">
        <v>45</v>
      </c>
      <c r="V33" s="10" t="s">
        <v>141</v>
      </c>
      <c r="W33" s="298">
        <v>1</v>
      </c>
      <c r="X33" s="298">
        <v>1</v>
      </c>
      <c r="Y33" s="298">
        <v>1</v>
      </c>
      <c r="Z33" s="299">
        <v>1</v>
      </c>
      <c r="AA33" s="299">
        <v>1</v>
      </c>
      <c r="AB33" s="300">
        <v>1</v>
      </c>
      <c r="AC33" s="301">
        <v>1</v>
      </c>
      <c r="AD33" s="301">
        <v>1</v>
      </c>
      <c r="AE33" s="302">
        <f t="shared" si="1"/>
        <v>1</v>
      </c>
      <c r="AF33" s="63">
        <v>0</v>
      </c>
      <c r="AG33" s="302"/>
      <c r="AH33" s="17">
        <v>1.5</v>
      </c>
      <c r="AI33" s="17">
        <v>1.5</v>
      </c>
      <c r="AJ33" s="17">
        <v>1.5</v>
      </c>
      <c r="AK33" s="109">
        <v>1.5</v>
      </c>
      <c r="AL33" s="127">
        <v>2.5</v>
      </c>
      <c r="AM33" s="147">
        <f t="shared" si="0"/>
        <v>4</v>
      </c>
      <c r="AN33" s="18" t="s">
        <v>43</v>
      </c>
      <c r="AO33" s="18" t="s">
        <v>45</v>
      </c>
      <c r="AP33" s="10" t="s">
        <v>139</v>
      </c>
    </row>
    <row r="34" spans="1:42" x14ac:dyDescent="0.3">
      <c r="A34" s="9" t="s">
        <v>30</v>
      </c>
      <c r="B34" s="10" t="s">
        <v>31</v>
      </c>
      <c r="C34" s="11" t="s">
        <v>32</v>
      </c>
      <c r="D34" s="12" t="s">
        <v>33</v>
      </c>
      <c r="E34" s="11" t="s">
        <v>34</v>
      </c>
      <c r="F34" s="12" t="s">
        <v>35</v>
      </c>
      <c r="G34" s="11" t="s">
        <v>36</v>
      </c>
      <c r="H34" s="12" t="s">
        <v>37</v>
      </c>
      <c r="I34" s="12" t="s">
        <v>120</v>
      </c>
      <c r="J34" s="12" t="s">
        <v>121</v>
      </c>
      <c r="K34" s="12" t="s">
        <v>135</v>
      </c>
      <c r="L34" s="14" t="s">
        <v>136</v>
      </c>
      <c r="M34" s="18" t="s">
        <v>132</v>
      </c>
      <c r="N34" s="424">
        <v>0</v>
      </c>
      <c r="O34" s="18">
        <v>15</v>
      </c>
      <c r="P34" s="16">
        <v>28</v>
      </c>
      <c r="Q34" s="21">
        <v>37</v>
      </c>
      <c r="R34" s="115">
        <v>38</v>
      </c>
      <c r="S34" s="110">
        <v>37</v>
      </c>
      <c r="T34" s="10" t="s">
        <v>67</v>
      </c>
      <c r="U34" s="283" t="s">
        <v>68</v>
      </c>
      <c r="V34" s="10" t="s">
        <v>142</v>
      </c>
      <c r="W34" s="298">
        <v>1</v>
      </c>
      <c r="X34" s="298">
        <v>0</v>
      </c>
      <c r="Y34" s="298">
        <v>0</v>
      </c>
      <c r="Z34" s="299">
        <v>1</v>
      </c>
      <c r="AA34" s="299">
        <v>1</v>
      </c>
      <c r="AB34" s="300">
        <v>0</v>
      </c>
      <c r="AC34" s="301">
        <v>0</v>
      </c>
      <c r="AD34" s="301">
        <v>0</v>
      </c>
      <c r="AE34" s="302">
        <f t="shared" si="1"/>
        <v>0.375</v>
      </c>
      <c r="AF34" s="63">
        <v>0</v>
      </c>
      <c r="AG34" s="302"/>
      <c r="AH34" s="17"/>
      <c r="AI34" s="17"/>
      <c r="AJ34" s="17"/>
      <c r="AK34" s="109"/>
      <c r="AL34" s="109"/>
      <c r="AM34" s="147">
        <f t="shared" si="0"/>
        <v>0</v>
      </c>
      <c r="AN34" s="18" t="s">
        <v>67</v>
      </c>
      <c r="AO34" s="18" t="s">
        <v>68</v>
      </c>
      <c r="AP34" s="10" t="s">
        <v>43</v>
      </c>
    </row>
    <row r="35" spans="1:42" s="300" customFormat="1" x14ac:dyDescent="0.3">
      <c r="A35" s="66" t="s">
        <v>30</v>
      </c>
      <c r="B35" s="67" t="s">
        <v>31</v>
      </c>
      <c r="C35" s="68" t="s">
        <v>32</v>
      </c>
      <c r="D35" s="69" t="s">
        <v>33</v>
      </c>
      <c r="E35" s="68" t="s">
        <v>34</v>
      </c>
      <c r="F35" s="69" t="s">
        <v>35</v>
      </c>
      <c r="G35" s="68" t="s">
        <v>36</v>
      </c>
      <c r="H35" s="69" t="s">
        <v>37</v>
      </c>
      <c r="I35" s="69" t="s">
        <v>120</v>
      </c>
      <c r="J35" s="69" t="s">
        <v>121</v>
      </c>
      <c r="K35" s="66" t="s">
        <v>135</v>
      </c>
      <c r="L35" s="99" t="s">
        <v>136</v>
      </c>
      <c r="M35" s="74" t="s">
        <v>143</v>
      </c>
      <c r="N35" s="426">
        <v>14</v>
      </c>
      <c r="O35" s="99">
        <v>8</v>
      </c>
      <c r="P35" s="75">
        <v>8</v>
      </c>
      <c r="Q35" s="75">
        <v>27</v>
      </c>
      <c r="R35" s="129">
        <v>10</v>
      </c>
      <c r="S35" s="129">
        <v>25</v>
      </c>
      <c r="T35" s="67" t="s">
        <v>67</v>
      </c>
      <c r="U35" s="300" t="s">
        <v>68</v>
      </c>
      <c r="V35" s="67" t="s">
        <v>144</v>
      </c>
      <c r="W35" s="298">
        <v>1</v>
      </c>
      <c r="X35" s="298">
        <v>1</v>
      </c>
      <c r="Y35" s="298">
        <v>1</v>
      </c>
      <c r="Z35" s="299">
        <v>1</v>
      </c>
      <c r="AA35" s="299">
        <v>1</v>
      </c>
      <c r="AB35" s="300">
        <v>1</v>
      </c>
      <c r="AC35" s="301">
        <v>1</v>
      </c>
      <c r="AD35" s="301">
        <v>1</v>
      </c>
      <c r="AE35" s="305">
        <f t="shared" si="1"/>
        <v>1</v>
      </c>
      <c r="AF35" s="63">
        <v>0</v>
      </c>
      <c r="AG35" s="305"/>
      <c r="AH35" s="73">
        <v>10.8</v>
      </c>
      <c r="AI35" s="73">
        <v>12.5</v>
      </c>
      <c r="AJ35" s="73">
        <v>13.149999999999999</v>
      </c>
      <c r="AK35" s="127">
        <v>15</v>
      </c>
      <c r="AL35" s="127">
        <v>6</v>
      </c>
      <c r="AM35" s="147">
        <f t="shared" si="0"/>
        <v>21</v>
      </c>
      <c r="AN35" s="74" t="s">
        <v>67</v>
      </c>
      <c r="AO35" s="74" t="s">
        <v>68</v>
      </c>
      <c r="AP35" s="67" t="s">
        <v>145</v>
      </c>
    </row>
    <row r="36" spans="1:42" s="300" customFormat="1" x14ac:dyDescent="0.3">
      <c r="A36" s="66" t="s">
        <v>30</v>
      </c>
      <c r="B36" s="67" t="s">
        <v>31</v>
      </c>
      <c r="C36" s="68" t="s">
        <v>32</v>
      </c>
      <c r="D36" s="69" t="s">
        <v>33</v>
      </c>
      <c r="E36" s="68" t="s">
        <v>34</v>
      </c>
      <c r="F36" s="69" t="s">
        <v>35</v>
      </c>
      <c r="G36" s="68" t="s">
        <v>36</v>
      </c>
      <c r="H36" s="69" t="s">
        <v>37</v>
      </c>
      <c r="I36" s="69" t="s">
        <v>120</v>
      </c>
      <c r="J36" s="69" t="s">
        <v>121</v>
      </c>
      <c r="K36" s="66" t="s">
        <v>135</v>
      </c>
      <c r="L36" s="99" t="s">
        <v>136</v>
      </c>
      <c r="M36" s="74" t="s">
        <v>146</v>
      </c>
      <c r="N36" s="426">
        <v>0</v>
      </c>
      <c r="O36" s="99">
        <v>10</v>
      </c>
      <c r="P36" s="75">
        <v>30</v>
      </c>
      <c r="Q36" s="75">
        <v>35</v>
      </c>
      <c r="R36" s="115">
        <v>41</v>
      </c>
      <c r="S36" s="115">
        <v>40</v>
      </c>
      <c r="T36" s="67" t="s">
        <v>67</v>
      </c>
      <c r="U36" s="300" t="s">
        <v>68</v>
      </c>
      <c r="V36" s="67" t="s">
        <v>144</v>
      </c>
      <c r="W36" s="298">
        <v>1</v>
      </c>
      <c r="X36" s="298">
        <v>1</v>
      </c>
      <c r="Y36" s="298">
        <v>1</v>
      </c>
      <c r="Z36" s="299">
        <v>1</v>
      </c>
      <c r="AA36" s="299">
        <v>1</v>
      </c>
      <c r="AB36" s="300">
        <v>1</v>
      </c>
      <c r="AC36" s="301">
        <v>1</v>
      </c>
      <c r="AD36" s="301">
        <v>1</v>
      </c>
      <c r="AE36" s="305">
        <f t="shared" si="1"/>
        <v>1</v>
      </c>
      <c r="AF36" s="63">
        <v>0</v>
      </c>
      <c r="AG36" s="305"/>
      <c r="AH36" s="73"/>
      <c r="AI36" s="73"/>
      <c r="AJ36" s="73"/>
      <c r="AK36" s="127">
        <v>0.5</v>
      </c>
      <c r="AL36" s="127">
        <v>0.2</v>
      </c>
      <c r="AM36" s="147">
        <f t="shared" si="0"/>
        <v>0.7</v>
      </c>
      <c r="AN36" s="74" t="s">
        <v>67</v>
      </c>
      <c r="AO36" s="74" t="s">
        <v>68</v>
      </c>
      <c r="AP36" s="67" t="s">
        <v>145</v>
      </c>
    </row>
    <row r="37" spans="1:42" s="300" customFormat="1" x14ac:dyDescent="0.3">
      <c r="A37" s="66" t="s">
        <v>30</v>
      </c>
      <c r="B37" s="67" t="s">
        <v>31</v>
      </c>
      <c r="C37" s="68" t="s">
        <v>32</v>
      </c>
      <c r="D37" s="69" t="s">
        <v>33</v>
      </c>
      <c r="E37" s="68" t="s">
        <v>34</v>
      </c>
      <c r="F37" s="69" t="s">
        <v>35</v>
      </c>
      <c r="G37" s="68" t="s">
        <v>36</v>
      </c>
      <c r="H37" s="69" t="s">
        <v>37</v>
      </c>
      <c r="I37" s="69" t="s">
        <v>120</v>
      </c>
      <c r="J37" s="69" t="s">
        <v>121</v>
      </c>
      <c r="K37" s="66" t="s">
        <v>135</v>
      </c>
      <c r="L37" s="99" t="s">
        <v>136</v>
      </c>
      <c r="M37" s="74" t="s">
        <v>147</v>
      </c>
      <c r="N37" s="426">
        <v>0</v>
      </c>
      <c r="O37" s="99">
        <v>15</v>
      </c>
      <c r="P37" s="75">
        <v>40</v>
      </c>
      <c r="Q37" s="75">
        <v>70</v>
      </c>
      <c r="R37" s="115">
        <v>50</v>
      </c>
      <c r="S37" s="115">
        <v>48</v>
      </c>
      <c r="T37" s="67" t="s">
        <v>67</v>
      </c>
      <c r="U37" s="300" t="s">
        <v>68</v>
      </c>
      <c r="V37" s="67" t="s">
        <v>144</v>
      </c>
      <c r="W37" s="298">
        <v>1</v>
      </c>
      <c r="X37" s="298">
        <v>1</v>
      </c>
      <c r="Y37" s="298">
        <v>1</v>
      </c>
      <c r="Z37" s="299">
        <v>1</v>
      </c>
      <c r="AA37" s="299">
        <v>1</v>
      </c>
      <c r="AB37" s="300">
        <v>1</v>
      </c>
      <c r="AC37" s="301">
        <v>1</v>
      </c>
      <c r="AD37" s="301">
        <v>1</v>
      </c>
      <c r="AE37" s="305">
        <f t="shared" si="1"/>
        <v>1</v>
      </c>
      <c r="AF37" s="63">
        <v>0</v>
      </c>
      <c r="AG37" s="305"/>
      <c r="AH37" s="73"/>
      <c r="AI37" s="73"/>
      <c r="AJ37" s="73"/>
      <c r="AK37" s="127"/>
      <c r="AL37" s="127">
        <v>0.8</v>
      </c>
      <c r="AM37" s="147">
        <f t="shared" si="0"/>
        <v>0.8</v>
      </c>
      <c r="AN37" s="74" t="s">
        <v>67</v>
      </c>
      <c r="AO37" s="74" t="s">
        <v>68</v>
      </c>
      <c r="AP37" s="67" t="s">
        <v>145</v>
      </c>
    </row>
    <row r="38" spans="1:42" s="300" customFormat="1" x14ac:dyDescent="0.3">
      <c r="A38" s="66" t="s">
        <v>30</v>
      </c>
      <c r="B38" s="67" t="s">
        <v>31</v>
      </c>
      <c r="C38" s="68" t="s">
        <v>32</v>
      </c>
      <c r="D38" s="69" t="s">
        <v>33</v>
      </c>
      <c r="E38" s="68" t="s">
        <v>34</v>
      </c>
      <c r="F38" s="69" t="s">
        <v>35</v>
      </c>
      <c r="G38" s="68" t="s">
        <v>36</v>
      </c>
      <c r="H38" s="69" t="s">
        <v>37</v>
      </c>
      <c r="I38" s="69" t="s">
        <v>120</v>
      </c>
      <c r="J38" s="69" t="s">
        <v>121</v>
      </c>
      <c r="K38" s="66" t="s">
        <v>135</v>
      </c>
      <c r="L38" s="99" t="s">
        <v>136</v>
      </c>
      <c r="M38" s="74" t="s">
        <v>148</v>
      </c>
      <c r="N38" s="426">
        <v>128</v>
      </c>
      <c r="O38" s="99">
        <v>33</v>
      </c>
      <c r="P38" s="75">
        <v>47</v>
      </c>
      <c r="Q38" s="75">
        <v>66</v>
      </c>
      <c r="R38" s="129">
        <v>63</v>
      </c>
      <c r="S38" s="129">
        <v>69</v>
      </c>
      <c r="T38" s="67" t="s">
        <v>67</v>
      </c>
      <c r="U38" s="300" t="s">
        <v>68</v>
      </c>
      <c r="V38" s="67" t="s">
        <v>144</v>
      </c>
      <c r="W38" s="298">
        <v>1</v>
      </c>
      <c r="X38" s="298">
        <v>1</v>
      </c>
      <c r="Y38" s="298">
        <v>1</v>
      </c>
      <c r="Z38" s="299">
        <v>1</v>
      </c>
      <c r="AA38" s="299">
        <v>1</v>
      </c>
      <c r="AB38" s="300">
        <v>1</v>
      </c>
      <c r="AC38" s="301">
        <v>1</v>
      </c>
      <c r="AD38" s="301">
        <v>1</v>
      </c>
      <c r="AE38" s="305">
        <f t="shared" si="1"/>
        <v>1</v>
      </c>
      <c r="AF38" s="63">
        <v>0</v>
      </c>
      <c r="AG38" s="305"/>
      <c r="AH38" s="73"/>
      <c r="AI38" s="73"/>
      <c r="AJ38" s="73"/>
      <c r="AK38" s="127">
        <v>0.4</v>
      </c>
      <c r="AL38" s="127">
        <v>0.9</v>
      </c>
      <c r="AM38" s="147">
        <f t="shared" si="0"/>
        <v>1.3</v>
      </c>
      <c r="AN38" s="74" t="s">
        <v>67</v>
      </c>
      <c r="AO38" s="74" t="s">
        <v>68</v>
      </c>
      <c r="AP38" s="67" t="s">
        <v>145</v>
      </c>
    </row>
    <row r="39" spans="1:42" s="300" customFormat="1" x14ac:dyDescent="0.3">
      <c r="A39" s="66" t="s">
        <v>30</v>
      </c>
      <c r="B39" s="67" t="s">
        <v>31</v>
      </c>
      <c r="C39" s="68" t="s">
        <v>32</v>
      </c>
      <c r="D39" s="69" t="s">
        <v>33</v>
      </c>
      <c r="E39" s="68" t="s">
        <v>34</v>
      </c>
      <c r="F39" s="69" t="s">
        <v>35</v>
      </c>
      <c r="G39" s="68" t="s">
        <v>36</v>
      </c>
      <c r="H39" s="69" t="s">
        <v>37</v>
      </c>
      <c r="I39" s="69" t="s">
        <v>120</v>
      </c>
      <c r="J39" s="69" t="s">
        <v>121</v>
      </c>
      <c r="K39" s="66" t="s">
        <v>135</v>
      </c>
      <c r="L39" s="99" t="s">
        <v>136</v>
      </c>
      <c r="M39" s="74" t="s">
        <v>149</v>
      </c>
      <c r="N39" s="426">
        <v>0</v>
      </c>
      <c r="O39" s="99">
        <v>4</v>
      </c>
      <c r="P39" s="75">
        <v>6</v>
      </c>
      <c r="Q39" s="75">
        <v>15</v>
      </c>
      <c r="R39" s="129">
        <v>10</v>
      </c>
      <c r="S39" s="129">
        <v>12</v>
      </c>
      <c r="T39" s="67" t="s">
        <v>67</v>
      </c>
      <c r="U39" s="300" t="s">
        <v>68</v>
      </c>
      <c r="V39" s="67" t="s">
        <v>144</v>
      </c>
      <c r="W39" s="298">
        <v>1</v>
      </c>
      <c r="X39" s="298">
        <v>1</v>
      </c>
      <c r="Y39" s="298">
        <v>1</v>
      </c>
      <c r="Z39" s="299">
        <v>1</v>
      </c>
      <c r="AA39" s="299">
        <v>1</v>
      </c>
      <c r="AB39" s="300">
        <v>1</v>
      </c>
      <c r="AC39" s="301">
        <v>1</v>
      </c>
      <c r="AD39" s="301">
        <v>1</v>
      </c>
      <c r="AE39" s="305">
        <f t="shared" si="1"/>
        <v>1</v>
      </c>
      <c r="AF39" s="63">
        <v>0</v>
      </c>
      <c r="AG39" s="305"/>
      <c r="AH39" s="73"/>
      <c r="AI39" s="73"/>
      <c r="AJ39" s="73"/>
      <c r="AK39" s="127">
        <v>0.3</v>
      </c>
      <c r="AL39" s="127">
        <v>0.6</v>
      </c>
      <c r="AM39" s="147">
        <f t="shared" si="0"/>
        <v>0.89999999999999991</v>
      </c>
      <c r="AN39" s="74" t="s">
        <v>67</v>
      </c>
      <c r="AO39" s="74" t="s">
        <v>68</v>
      </c>
      <c r="AP39" s="67" t="s">
        <v>145</v>
      </c>
    </row>
    <row r="40" spans="1:42" x14ac:dyDescent="0.3">
      <c r="A40" s="9" t="s">
        <v>30</v>
      </c>
      <c r="B40" s="10" t="s">
        <v>31</v>
      </c>
      <c r="C40" s="11" t="s">
        <v>32</v>
      </c>
      <c r="D40" s="12" t="s">
        <v>33</v>
      </c>
      <c r="E40" s="11" t="s">
        <v>34</v>
      </c>
      <c r="F40" s="12" t="s">
        <v>35</v>
      </c>
      <c r="G40" s="11" t="s">
        <v>36</v>
      </c>
      <c r="H40" s="12" t="s">
        <v>37</v>
      </c>
      <c r="I40" s="12" t="s">
        <v>120</v>
      </c>
      <c r="J40" s="12" t="s">
        <v>121</v>
      </c>
      <c r="K40" s="9" t="s">
        <v>135</v>
      </c>
      <c r="L40" s="14" t="s">
        <v>136</v>
      </c>
      <c r="M40" s="18" t="s">
        <v>150</v>
      </c>
      <c r="N40" s="424">
        <v>0</v>
      </c>
      <c r="O40" s="14">
        <v>1</v>
      </c>
      <c r="P40" s="21">
        <v>2</v>
      </c>
      <c r="Q40" s="21">
        <v>3</v>
      </c>
      <c r="R40" s="115">
        <v>1</v>
      </c>
      <c r="S40" s="115">
        <v>3</v>
      </c>
      <c r="T40" s="12" t="s">
        <v>151</v>
      </c>
      <c r="U40" s="283" t="s">
        <v>153</v>
      </c>
      <c r="V40" s="10" t="s">
        <v>152</v>
      </c>
      <c r="W40" s="298">
        <v>1</v>
      </c>
      <c r="X40" s="298">
        <v>1</v>
      </c>
      <c r="Y40" s="298">
        <v>1</v>
      </c>
      <c r="Z40" s="299">
        <v>1</v>
      </c>
      <c r="AA40" s="299">
        <v>1</v>
      </c>
      <c r="AB40" s="300">
        <v>1</v>
      </c>
      <c r="AC40" s="301">
        <v>1</v>
      </c>
      <c r="AD40" s="301">
        <v>0</v>
      </c>
      <c r="AE40" s="302">
        <f t="shared" si="1"/>
        <v>0.875</v>
      </c>
      <c r="AF40" s="63">
        <v>0</v>
      </c>
      <c r="AG40" s="302"/>
      <c r="AH40" s="17">
        <v>2</v>
      </c>
      <c r="AI40" s="17">
        <v>2.5</v>
      </c>
      <c r="AJ40" s="17">
        <v>2.5</v>
      </c>
      <c r="AK40" s="127">
        <v>3.5</v>
      </c>
      <c r="AL40" s="127">
        <v>4.5</v>
      </c>
      <c r="AM40" s="147">
        <f t="shared" si="0"/>
        <v>8</v>
      </c>
      <c r="AN40" s="18" t="s">
        <v>151</v>
      </c>
      <c r="AO40" s="18" t="s">
        <v>153</v>
      </c>
      <c r="AP40" s="10" t="s">
        <v>154</v>
      </c>
    </row>
    <row r="41" spans="1:42" x14ac:dyDescent="0.3">
      <c r="A41" s="9" t="s">
        <v>30</v>
      </c>
      <c r="B41" s="10" t="s">
        <v>31</v>
      </c>
      <c r="C41" s="11" t="s">
        <v>32</v>
      </c>
      <c r="D41" s="12" t="s">
        <v>33</v>
      </c>
      <c r="E41" s="11" t="s">
        <v>34</v>
      </c>
      <c r="F41" s="12" t="s">
        <v>35</v>
      </c>
      <c r="G41" s="11" t="s">
        <v>36</v>
      </c>
      <c r="H41" s="12" t="s">
        <v>37</v>
      </c>
      <c r="I41" s="12" t="s">
        <v>120</v>
      </c>
      <c r="J41" s="12" t="s">
        <v>121</v>
      </c>
      <c r="K41" s="9" t="s">
        <v>135</v>
      </c>
      <c r="L41" s="14" t="s">
        <v>136</v>
      </c>
      <c r="M41" s="14" t="s">
        <v>155</v>
      </c>
      <c r="N41" s="424">
        <v>0</v>
      </c>
      <c r="O41" s="176">
        <v>0</v>
      </c>
      <c r="P41" s="21"/>
      <c r="Q41" s="21">
        <v>5</v>
      </c>
      <c r="R41" s="115"/>
      <c r="S41" s="129">
        <v>5</v>
      </c>
      <c r="T41" s="12" t="s">
        <v>156</v>
      </c>
      <c r="U41" s="283" t="s">
        <v>158</v>
      </c>
      <c r="V41" s="10" t="s">
        <v>157</v>
      </c>
      <c r="W41" s="298">
        <v>1</v>
      </c>
      <c r="X41" s="298">
        <v>1</v>
      </c>
      <c r="Y41" s="298">
        <v>1</v>
      </c>
      <c r="Z41" s="299">
        <v>1</v>
      </c>
      <c r="AA41" s="299">
        <v>1</v>
      </c>
      <c r="AB41" s="300">
        <v>1</v>
      </c>
      <c r="AC41" s="301">
        <v>0</v>
      </c>
      <c r="AD41" s="301">
        <v>0</v>
      </c>
      <c r="AE41" s="302">
        <f t="shared" si="1"/>
        <v>0.75</v>
      </c>
      <c r="AF41" s="63">
        <v>0</v>
      </c>
      <c r="AG41" s="302"/>
      <c r="AH41" s="17">
        <v>0</v>
      </c>
      <c r="AI41" s="17">
        <v>4.5</v>
      </c>
      <c r="AJ41" s="17">
        <v>5.5</v>
      </c>
      <c r="AK41" s="127">
        <v>3</v>
      </c>
      <c r="AL41" s="127">
        <v>4.0999999999999996</v>
      </c>
      <c r="AM41" s="147">
        <f t="shared" si="0"/>
        <v>7.1</v>
      </c>
      <c r="AN41" s="18" t="s">
        <v>156</v>
      </c>
      <c r="AO41" s="18" t="s">
        <v>158</v>
      </c>
      <c r="AP41" s="10" t="s">
        <v>159</v>
      </c>
    </row>
    <row r="42" spans="1:42" x14ac:dyDescent="0.3">
      <c r="A42" s="9" t="s">
        <v>30</v>
      </c>
      <c r="B42" s="10" t="s">
        <v>31</v>
      </c>
      <c r="C42" s="11" t="s">
        <v>32</v>
      </c>
      <c r="D42" s="12" t="s">
        <v>33</v>
      </c>
      <c r="E42" s="11" t="s">
        <v>34</v>
      </c>
      <c r="F42" s="12" t="s">
        <v>35</v>
      </c>
      <c r="G42" s="11" t="s">
        <v>36</v>
      </c>
      <c r="H42" s="12" t="s">
        <v>37</v>
      </c>
      <c r="I42" s="12" t="s">
        <v>120</v>
      </c>
      <c r="J42" s="12" t="s">
        <v>121</v>
      </c>
      <c r="K42" s="12" t="s">
        <v>135</v>
      </c>
      <c r="L42" s="14" t="s">
        <v>136</v>
      </c>
      <c r="M42" s="14" t="s">
        <v>160</v>
      </c>
      <c r="N42" s="424">
        <v>0</v>
      </c>
      <c r="O42" s="424">
        <v>5</v>
      </c>
      <c r="P42" s="24">
        <v>10</v>
      </c>
      <c r="Q42" s="24">
        <v>12</v>
      </c>
      <c r="R42" s="116">
        <v>9</v>
      </c>
      <c r="S42" s="116">
        <v>12</v>
      </c>
      <c r="T42" s="25" t="s">
        <v>43</v>
      </c>
      <c r="U42" s="283" t="s">
        <v>45</v>
      </c>
      <c r="V42" s="10" t="s">
        <v>1499</v>
      </c>
      <c r="W42" s="298">
        <v>1</v>
      </c>
      <c r="X42" s="298">
        <v>1</v>
      </c>
      <c r="Y42" s="298">
        <v>1</v>
      </c>
      <c r="Z42" s="299">
        <v>1</v>
      </c>
      <c r="AA42" s="299">
        <v>1</v>
      </c>
      <c r="AB42" s="300">
        <v>0</v>
      </c>
      <c r="AC42" s="301">
        <v>1</v>
      </c>
      <c r="AD42" s="301">
        <v>1</v>
      </c>
      <c r="AE42" s="302">
        <f t="shared" si="1"/>
        <v>0.875</v>
      </c>
      <c r="AF42" s="63">
        <v>0</v>
      </c>
      <c r="AG42" s="302"/>
      <c r="AH42" s="17"/>
      <c r="AI42" s="17"/>
      <c r="AJ42" s="17"/>
      <c r="AK42" s="127">
        <v>0.5</v>
      </c>
      <c r="AL42" s="127">
        <v>0.5</v>
      </c>
      <c r="AM42" s="147">
        <f t="shared" si="0"/>
        <v>1</v>
      </c>
      <c r="AN42" s="18" t="s">
        <v>43</v>
      </c>
      <c r="AO42" s="18" t="s">
        <v>45</v>
      </c>
      <c r="AP42" s="10" t="s">
        <v>161</v>
      </c>
    </row>
    <row r="43" spans="1:42" x14ac:dyDescent="0.3">
      <c r="A43" s="9" t="s">
        <v>30</v>
      </c>
      <c r="B43" s="10" t="s">
        <v>31</v>
      </c>
      <c r="C43" s="11" t="s">
        <v>32</v>
      </c>
      <c r="D43" s="12" t="s">
        <v>33</v>
      </c>
      <c r="E43" s="11" t="s">
        <v>34</v>
      </c>
      <c r="F43" s="12" t="s">
        <v>35</v>
      </c>
      <c r="G43" s="11" t="s">
        <v>36</v>
      </c>
      <c r="H43" s="12" t="s">
        <v>37</v>
      </c>
      <c r="I43" s="12" t="s">
        <v>120</v>
      </c>
      <c r="J43" s="12" t="s">
        <v>121</v>
      </c>
      <c r="K43" s="13" t="s">
        <v>162</v>
      </c>
      <c r="L43" s="14" t="s">
        <v>163</v>
      </c>
      <c r="M43" s="18" t="s">
        <v>164</v>
      </c>
      <c r="N43" s="424">
        <v>0</v>
      </c>
      <c r="O43" s="18">
        <v>2</v>
      </c>
      <c r="P43" s="16">
        <v>5</v>
      </c>
      <c r="Q43" s="21">
        <v>5</v>
      </c>
      <c r="R43" s="129">
        <v>4</v>
      </c>
      <c r="S43" s="129">
        <v>5</v>
      </c>
      <c r="T43" s="12" t="s">
        <v>67</v>
      </c>
      <c r="U43" s="283" t="s">
        <v>68</v>
      </c>
      <c r="V43" s="10" t="s">
        <v>165</v>
      </c>
      <c r="W43" s="298">
        <v>1</v>
      </c>
      <c r="X43" s="298">
        <v>0</v>
      </c>
      <c r="Y43" s="298">
        <v>0</v>
      </c>
      <c r="Z43" s="299">
        <v>1</v>
      </c>
      <c r="AA43" s="299">
        <v>1</v>
      </c>
      <c r="AB43" s="300">
        <v>1</v>
      </c>
      <c r="AC43" s="301">
        <v>0</v>
      </c>
      <c r="AD43" s="301">
        <v>1</v>
      </c>
      <c r="AE43" s="302">
        <f t="shared" si="1"/>
        <v>0.625</v>
      </c>
      <c r="AF43" s="63">
        <v>0</v>
      </c>
      <c r="AG43" s="302"/>
      <c r="AH43" s="17">
        <v>24.5</v>
      </c>
      <c r="AI43" s="17">
        <v>24.5</v>
      </c>
      <c r="AJ43" s="17">
        <v>15.67</v>
      </c>
      <c r="AK43" s="127">
        <v>10</v>
      </c>
      <c r="AL43" s="127">
        <v>17</v>
      </c>
      <c r="AM43" s="147">
        <f t="shared" si="0"/>
        <v>27</v>
      </c>
      <c r="AN43" s="18" t="s">
        <v>67</v>
      </c>
      <c r="AO43" s="18" t="s">
        <v>68</v>
      </c>
      <c r="AP43" s="10" t="s">
        <v>166</v>
      </c>
    </row>
    <row r="44" spans="1:42" x14ac:dyDescent="0.3">
      <c r="A44" s="9" t="s">
        <v>30</v>
      </c>
      <c r="B44" s="10" t="s">
        <v>31</v>
      </c>
      <c r="C44" s="11" t="s">
        <v>32</v>
      </c>
      <c r="D44" s="12" t="s">
        <v>33</v>
      </c>
      <c r="E44" s="11" t="s">
        <v>34</v>
      </c>
      <c r="F44" s="12" t="s">
        <v>35</v>
      </c>
      <c r="G44" s="11" t="s">
        <v>36</v>
      </c>
      <c r="H44" s="12" t="s">
        <v>37</v>
      </c>
      <c r="I44" s="12" t="s">
        <v>120</v>
      </c>
      <c r="J44" s="12" t="s">
        <v>121</v>
      </c>
      <c r="K44" s="13" t="s">
        <v>162</v>
      </c>
      <c r="L44" s="14" t="s">
        <v>163</v>
      </c>
      <c r="M44" s="18" t="s">
        <v>167</v>
      </c>
      <c r="N44" s="424">
        <v>1500</v>
      </c>
      <c r="O44" s="431">
        <v>2000</v>
      </c>
      <c r="P44" s="26">
        <v>2270</v>
      </c>
      <c r="Q44" s="27">
        <v>2120</v>
      </c>
      <c r="R44" s="117">
        <v>1810</v>
      </c>
      <c r="S44" s="117">
        <v>1922</v>
      </c>
      <c r="T44" s="28" t="s">
        <v>67</v>
      </c>
      <c r="U44" s="283" t="s">
        <v>68</v>
      </c>
      <c r="V44" s="10" t="s">
        <v>165</v>
      </c>
      <c r="W44" s="298">
        <v>1</v>
      </c>
      <c r="X44" s="298">
        <v>0</v>
      </c>
      <c r="Y44" s="298">
        <v>0</v>
      </c>
      <c r="Z44" s="299">
        <v>1</v>
      </c>
      <c r="AA44" s="299">
        <v>1</v>
      </c>
      <c r="AB44" s="300">
        <v>1</v>
      </c>
      <c r="AC44" s="301">
        <v>0</v>
      </c>
      <c r="AD44" s="301">
        <v>1</v>
      </c>
      <c r="AE44" s="302">
        <f t="shared" si="1"/>
        <v>0.625</v>
      </c>
      <c r="AF44" s="63">
        <v>0</v>
      </c>
      <c r="AG44" s="302"/>
      <c r="AH44" s="17"/>
      <c r="AI44" s="17"/>
      <c r="AJ44" s="17"/>
      <c r="AK44" s="109"/>
      <c r="AL44" s="127">
        <v>1.8</v>
      </c>
      <c r="AM44" s="147">
        <f t="shared" si="0"/>
        <v>1.8</v>
      </c>
      <c r="AN44" s="18" t="s">
        <v>67</v>
      </c>
      <c r="AO44" s="18" t="s">
        <v>68</v>
      </c>
      <c r="AP44" s="10" t="s">
        <v>166</v>
      </c>
    </row>
    <row r="45" spans="1:42" x14ac:dyDescent="0.3">
      <c r="A45" s="9" t="s">
        <v>30</v>
      </c>
      <c r="B45" s="10" t="s">
        <v>31</v>
      </c>
      <c r="C45" s="11" t="s">
        <v>32</v>
      </c>
      <c r="D45" s="12" t="s">
        <v>33</v>
      </c>
      <c r="E45" s="11" t="s">
        <v>34</v>
      </c>
      <c r="F45" s="12" t="s">
        <v>35</v>
      </c>
      <c r="G45" s="11" t="s">
        <v>36</v>
      </c>
      <c r="H45" s="12" t="s">
        <v>37</v>
      </c>
      <c r="I45" s="12" t="s">
        <v>120</v>
      </c>
      <c r="J45" s="12" t="s">
        <v>121</v>
      </c>
      <c r="K45" s="13" t="s">
        <v>168</v>
      </c>
      <c r="L45" s="14" t="s">
        <v>169</v>
      </c>
      <c r="M45" s="18" t="s">
        <v>170</v>
      </c>
      <c r="N45" s="424">
        <v>0</v>
      </c>
      <c r="O45" s="176">
        <v>0</v>
      </c>
      <c r="P45" s="16"/>
      <c r="Q45" s="16">
        <v>1</v>
      </c>
      <c r="R45" s="110">
        <v>1</v>
      </c>
      <c r="S45" s="110"/>
      <c r="T45" s="10" t="s">
        <v>43</v>
      </c>
      <c r="U45" s="283" t="s">
        <v>45</v>
      </c>
      <c r="V45" s="10" t="s">
        <v>171</v>
      </c>
      <c r="W45" s="298">
        <v>1</v>
      </c>
      <c r="X45" s="298">
        <v>0</v>
      </c>
      <c r="Y45" s="298">
        <v>0</v>
      </c>
      <c r="Z45" s="299">
        <v>1</v>
      </c>
      <c r="AA45" s="299">
        <v>1</v>
      </c>
      <c r="AB45" s="300">
        <v>1</v>
      </c>
      <c r="AC45" s="301">
        <v>0</v>
      </c>
      <c r="AD45" s="301">
        <v>0</v>
      </c>
      <c r="AE45" s="302">
        <f t="shared" si="1"/>
        <v>0.5</v>
      </c>
      <c r="AF45" s="63">
        <v>0</v>
      </c>
      <c r="AG45" s="302"/>
      <c r="AH45" s="17">
        <v>10</v>
      </c>
      <c r="AI45" s="17">
        <v>5</v>
      </c>
      <c r="AJ45" s="17">
        <v>5</v>
      </c>
      <c r="AK45" s="109"/>
      <c r="AL45" s="109"/>
      <c r="AM45" s="147">
        <f t="shared" si="0"/>
        <v>0</v>
      </c>
      <c r="AN45" s="18" t="s">
        <v>67</v>
      </c>
      <c r="AO45" s="18" t="s">
        <v>68</v>
      </c>
      <c r="AP45" s="10" t="s">
        <v>172</v>
      </c>
    </row>
    <row r="46" spans="1:42" x14ac:dyDescent="0.3">
      <c r="A46" s="9" t="s">
        <v>30</v>
      </c>
      <c r="B46" s="10" t="s">
        <v>31</v>
      </c>
      <c r="C46" s="11" t="s">
        <v>32</v>
      </c>
      <c r="D46" s="12" t="s">
        <v>33</v>
      </c>
      <c r="E46" s="11" t="s">
        <v>34</v>
      </c>
      <c r="F46" s="12" t="s">
        <v>35</v>
      </c>
      <c r="G46" s="11" t="s">
        <v>36</v>
      </c>
      <c r="H46" s="12" t="s">
        <v>37</v>
      </c>
      <c r="I46" s="12" t="s">
        <v>120</v>
      </c>
      <c r="J46" s="12" t="s">
        <v>121</v>
      </c>
      <c r="K46" s="13" t="s">
        <v>173</v>
      </c>
      <c r="L46" s="14" t="s">
        <v>174</v>
      </c>
      <c r="M46" s="18" t="s">
        <v>175</v>
      </c>
      <c r="N46" s="424">
        <v>0</v>
      </c>
      <c r="O46" s="176">
        <v>0</v>
      </c>
      <c r="P46" s="16">
        <v>1</v>
      </c>
      <c r="Q46" s="21">
        <v>3</v>
      </c>
      <c r="R46" s="115">
        <v>2</v>
      </c>
      <c r="S46" s="115">
        <v>1</v>
      </c>
      <c r="T46" s="12" t="s">
        <v>101</v>
      </c>
      <c r="U46" s="283" t="s">
        <v>103</v>
      </c>
      <c r="V46" s="10" t="s">
        <v>176</v>
      </c>
      <c r="W46" s="298">
        <v>1</v>
      </c>
      <c r="X46" s="298">
        <v>0</v>
      </c>
      <c r="Y46" s="298">
        <v>0</v>
      </c>
      <c r="Z46" s="299">
        <v>1</v>
      </c>
      <c r="AA46" s="299">
        <v>1</v>
      </c>
      <c r="AB46" s="300">
        <v>0</v>
      </c>
      <c r="AC46" s="301">
        <v>0</v>
      </c>
      <c r="AD46" s="301">
        <v>0</v>
      </c>
      <c r="AE46" s="302">
        <f t="shared" si="1"/>
        <v>0.375</v>
      </c>
      <c r="AF46" s="63">
        <v>0</v>
      </c>
      <c r="AG46" s="302"/>
      <c r="AH46" s="17">
        <v>12.5</v>
      </c>
      <c r="AI46" s="17">
        <v>5.5</v>
      </c>
      <c r="AJ46" s="17">
        <v>22.83</v>
      </c>
      <c r="AK46" s="109"/>
      <c r="AL46" s="109"/>
      <c r="AM46" s="147">
        <f t="shared" si="0"/>
        <v>0</v>
      </c>
      <c r="AN46" s="18" t="s">
        <v>101</v>
      </c>
      <c r="AO46" s="18" t="s">
        <v>103</v>
      </c>
      <c r="AP46" s="10" t="s">
        <v>177</v>
      </c>
    </row>
    <row r="47" spans="1:42" x14ac:dyDescent="0.3">
      <c r="A47" s="9" t="s">
        <v>30</v>
      </c>
      <c r="B47" s="10" t="s">
        <v>31</v>
      </c>
      <c r="C47" s="11" t="s">
        <v>32</v>
      </c>
      <c r="D47" s="12" t="s">
        <v>33</v>
      </c>
      <c r="E47" s="11" t="s">
        <v>34</v>
      </c>
      <c r="F47" s="12" t="s">
        <v>35</v>
      </c>
      <c r="G47" s="11" t="s">
        <v>36</v>
      </c>
      <c r="H47" s="12" t="s">
        <v>37</v>
      </c>
      <c r="I47" s="12" t="s">
        <v>120</v>
      </c>
      <c r="J47" s="12" t="s">
        <v>121</v>
      </c>
      <c r="K47" s="13" t="s">
        <v>173</v>
      </c>
      <c r="L47" s="14" t="s">
        <v>174</v>
      </c>
      <c r="M47" s="18" t="s">
        <v>178</v>
      </c>
      <c r="N47" s="424">
        <v>0</v>
      </c>
      <c r="O47" s="18">
        <v>3</v>
      </c>
      <c r="P47" s="16">
        <v>6</v>
      </c>
      <c r="Q47" s="21">
        <v>6</v>
      </c>
      <c r="R47" s="115">
        <v>6</v>
      </c>
      <c r="S47" s="115">
        <v>7</v>
      </c>
      <c r="T47" s="12" t="s">
        <v>101</v>
      </c>
      <c r="U47" s="283" t="s">
        <v>103</v>
      </c>
      <c r="V47" s="10" t="s">
        <v>176</v>
      </c>
      <c r="W47" s="298">
        <v>1</v>
      </c>
      <c r="X47" s="298">
        <v>0</v>
      </c>
      <c r="Y47" s="298">
        <v>0</v>
      </c>
      <c r="Z47" s="299">
        <v>1</v>
      </c>
      <c r="AA47" s="299">
        <v>1</v>
      </c>
      <c r="AB47" s="300">
        <v>0</v>
      </c>
      <c r="AC47" s="301">
        <v>0</v>
      </c>
      <c r="AD47" s="301">
        <v>0</v>
      </c>
      <c r="AE47" s="302">
        <f t="shared" si="1"/>
        <v>0.375</v>
      </c>
      <c r="AF47" s="63">
        <v>0</v>
      </c>
      <c r="AG47" s="302"/>
      <c r="AH47" s="17"/>
      <c r="AI47" s="17"/>
      <c r="AJ47" s="17"/>
      <c r="AK47" s="109"/>
      <c r="AL47" s="109"/>
      <c r="AM47" s="147">
        <f t="shared" si="0"/>
        <v>0</v>
      </c>
      <c r="AN47" s="18" t="s">
        <v>101</v>
      </c>
      <c r="AO47" s="18" t="s">
        <v>103</v>
      </c>
      <c r="AP47" s="10" t="s">
        <v>177</v>
      </c>
    </row>
    <row r="48" spans="1:42" x14ac:dyDescent="0.3">
      <c r="A48" s="9" t="s">
        <v>30</v>
      </c>
      <c r="B48" s="10" t="s">
        <v>31</v>
      </c>
      <c r="C48" s="11" t="s">
        <v>32</v>
      </c>
      <c r="D48" s="12" t="s">
        <v>33</v>
      </c>
      <c r="E48" s="11" t="s">
        <v>34</v>
      </c>
      <c r="F48" s="12" t="s">
        <v>35</v>
      </c>
      <c r="G48" s="11" t="s">
        <v>36</v>
      </c>
      <c r="H48" s="12" t="s">
        <v>37</v>
      </c>
      <c r="I48" s="12" t="s">
        <v>120</v>
      </c>
      <c r="J48" s="12" t="s">
        <v>121</v>
      </c>
      <c r="K48" s="13" t="s">
        <v>173</v>
      </c>
      <c r="L48" s="14" t="s">
        <v>174</v>
      </c>
      <c r="M48" s="18" t="s">
        <v>179</v>
      </c>
      <c r="N48" s="424">
        <v>0</v>
      </c>
      <c r="O48" s="432">
        <v>5</v>
      </c>
      <c r="P48" s="29">
        <v>10</v>
      </c>
      <c r="Q48" s="29">
        <v>15</v>
      </c>
      <c r="R48" s="130">
        <v>7</v>
      </c>
      <c r="S48" s="130">
        <v>8</v>
      </c>
      <c r="T48" s="12" t="s">
        <v>180</v>
      </c>
      <c r="U48" s="283" t="s">
        <v>182</v>
      </c>
      <c r="V48" s="10" t="s">
        <v>181</v>
      </c>
      <c r="W48" s="298">
        <v>1</v>
      </c>
      <c r="X48" s="298">
        <v>1</v>
      </c>
      <c r="Y48" s="298">
        <v>1</v>
      </c>
      <c r="Z48" s="299">
        <v>1</v>
      </c>
      <c r="AA48" s="299">
        <v>1</v>
      </c>
      <c r="AB48" s="300">
        <v>1</v>
      </c>
      <c r="AC48" s="301">
        <v>1</v>
      </c>
      <c r="AD48" s="301">
        <v>1</v>
      </c>
      <c r="AE48" s="302">
        <f t="shared" si="1"/>
        <v>1</v>
      </c>
      <c r="AF48" s="63">
        <v>0</v>
      </c>
      <c r="AG48" s="302"/>
      <c r="AH48" s="17">
        <v>10</v>
      </c>
      <c r="AI48" s="17">
        <v>12</v>
      </c>
      <c r="AJ48" s="17">
        <v>12.5</v>
      </c>
      <c r="AK48" s="127">
        <v>7</v>
      </c>
      <c r="AL48" s="127">
        <v>8</v>
      </c>
      <c r="AM48" s="147">
        <f t="shared" si="0"/>
        <v>15</v>
      </c>
      <c r="AN48" s="18" t="s">
        <v>180</v>
      </c>
      <c r="AO48" s="18" t="s">
        <v>182</v>
      </c>
      <c r="AP48" s="10" t="s">
        <v>183</v>
      </c>
    </row>
    <row r="49" spans="1:42" x14ac:dyDescent="0.3">
      <c r="A49" s="9" t="s">
        <v>30</v>
      </c>
      <c r="B49" s="10" t="s">
        <v>31</v>
      </c>
      <c r="C49" s="11" t="s">
        <v>32</v>
      </c>
      <c r="D49" s="12" t="s">
        <v>33</v>
      </c>
      <c r="E49" s="11" t="s">
        <v>34</v>
      </c>
      <c r="F49" s="12" t="s">
        <v>35</v>
      </c>
      <c r="G49" s="11" t="s">
        <v>36</v>
      </c>
      <c r="H49" s="12" t="s">
        <v>37</v>
      </c>
      <c r="I49" s="12" t="s">
        <v>120</v>
      </c>
      <c r="J49" s="12" t="s">
        <v>121</v>
      </c>
      <c r="K49" s="13" t="s">
        <v>173</v>
      </c>
      <c r="L49" s="14" t="s">
        <v>174</v>
      </c>
      <c r="M49" s="18" t="s">
        <v>184</v>
      </c>
      <c r="N49" s="424">
        <v>200</v>
      </c>
      <c r="O49" s="432">
        <v>700</v>
      </c>
      <c r="P49" s="29">
        <v>1200</v>
      </c>
      <c r="Q49" s="29">
        <v>1700</v>
      </c>
      <c r="R49" s="130">
        <v>1200</v>
      </c>
      <c r="S49" s="130">
        <v>1500</v>
      </c>
      <c r="T49" s="12" t="s">
        <v>156</v>
      </c>
      <c r="U49" s="283" t="s">
        <v>158</v>
      </c>
      <c r="V49" s="10" t="s">
        <v>185</v>
      </c>
      <c r="W49" s="298">
        <v>1</v>
      </c>
      <c r="X49" s="298">
        <v>1</v>
      </c>
      <c r="Y49" s="298">
        <v>1</v>
      </c>
      <c r="Z49" s="299">
        <v>1</v>
      </c>
      <c r="AA49" s="299">
        <v>1</v>
      </c>
      <c r="AB49" s="300">
        <v>1</v>
      </c>
      <c r="AC49" s="301">
        <v>1</v>
      </c>
      <c r="AD49" s="301">
        <v>1</v>
      </c>
      <c r="AE49" s="302">
        <f t="shared" si="1"/>
        <v>1</v>
      </c>
      <c r="AF49" s="63">
        <v>0</v>
      </c>
      <c r="AG49" s="302"/>
      <c r="AH49" s="17">
        <v>3.5</v>
      </c>
      <c r="AI49" s="17">
        <v>5.2</v>
      </c>
      <c r="AJ49" s="17">
        <v>5.6</v>
      </c>
      <c r="AK49" s="127">
        <v>4</v>
      </c>
      <c r="AL49" s="127">
        <v>5.7</v>
      </c>
      <c r="AM49" s="147">
        <f t="shared" si="0"/>
        <v>9.6999999999999993</v>
      </c>
      <c r="AN49" s="18" t="s">
        <v>156</v>
      </c>
      <c r="AO49" s="18" t="s">
        <v>158</v>
      </c>
      <c r="AP49" s="10" t="s">
        <v>186</v>
      </c>
    </row>
    <row r="50" spans="1:42" x14ac:dyDescent="0.3">
      <c r="A50" s="9" t="s">
        <v>30</v>
      </c>
      <c r="B50" s="10" t="s">
        <v>31</v>
      </c>
      <c r="C50" s="11" t="s">
        <v>32</v>
      </c>
      <c r="D50" s="12" t="s">
        <v>33</v>
      </c>
      <c r="E50" s="11" t="s">
        <v>34</v>
      </c>
      <c r="F50" s="12" t="s">
        <v>35</v>
      </c>
      <c r="G50" s="11" t="s">
        <v>36</v>
      </c>
      <c r="H50" s="12" t="s">
        <v>37</v>
      </c>
      <c r="I50" s="12" t="s">
        <v>187</v>
      </c>
      <c r="J50" s="12" t="s">
        <v>188</v>
      </c>
      <c r="K50" s="13" t="s">
        <v>189</v>
      </c>
      <c r="L50" s="14" t="s">
        <v>190</v>
      </c>
      <c r="M50" s="18" t="s">
        <v>191</v>
      </c>
      <c r="N50" s="424">
        <v>128</v>
      </c>
      <c r="O50" s="14">
        <v>33</v>
      </c>
      <c r="P50" s="16">
        <v>47</v>
      </c>
      <c r="Q50" s="16">
        <v>66</v>
      </c>
      <c r="R50" s="110">
        <v>69</v>
      </c>
      <c r="S50" s="110">
        <v>63</v>
      </c>
      <c r="T50" s="10" t="s">
        <v>92</v>
      </c>
      <c r="U50" s="283" t="s">
        <v>118</v>
      </c>
      <c r="V50" s="10" t="s">
        <v>192</v>
      </c>
      <c r="W50" s="298">
        <v>1</v>
      </c>
      <c r="X50" s="298">
        <v>1</v>
      </c>
      <c r="Y50" s="298">
        <v>1</v>
      </c>
      <c r="Z50" s="299">
        <v>1</v>
      </c>
      <c r="AA50" s="299">
        <v>1</v>
      </c>
      <c r="AB50" s="300">
        <v>1</v>
      </c>
      <c r="AC50" s="301">
        <v>1</v>
      </c>
      <c r="AD50" s="301">
        <v>0</v>
      </c>
      <c r="AE50" s="302">
        <f t="shared" si="1"/>
        <v>0.875</v>
      </c>
      <c r="AF50" s="63">
        <v>0</v>
      </c>
      <c r="AG50" s="302">
        <f ca="1">COUNTIF(W:AG,AE50)</f>
        <v>0</v>
      </c>
      <c r="AH50" s="17">
        <v>0</v>
      </c>
      <c r="AI50" s="17">
        <v>1</v>
      </c>
      <c r="AJ50" s="17">
        <v>1</v>
      </c>
      <c r="AK50" s="109">
        <v>1</v>
      </c>
      <c r="AL50" s="109">
        <v>1</v>
      </c>
      <c r="AM50" s="147">
        <f t="shared" si="0"/>
        <v>2</v>
      </c>
      <c r="AN50" s="18" t="s">
        <v>92</v>
      </c>
      <c r="AO50" s="18" t="s">
        <v>118</v>
      </c>
      <c r="AP50" s="12" t="s">
        <v>193</v>
      </c>
    </row>
    <row r="51" spans="1:42" x14ac:dyDescent="0.3">
      <c r="A51" s="9" t="s">
        <v>30</v>
      </c>
      <c r="B51" s="10" t="s">
        <v>31</v>
      </c>
      <c r="C51" s="11" t="s">
        <v>32</v>
      </c>
      <c r="D51" s="12" t="s">
        <v>33</v>
      </c>
      <c r="E51" s="11" t="s">
        <v>34</v>
      </c>
      <c r="F51" s="12" t="s">
        <v>35</v>
      </c>
      <c r="G51" s="11" t="s">
        <v>36</v>
      </c>
      <c r="H51" s="12" t="s">
        <v>37</v>
      </c>
      <c r="I51" s="12" t="s">
        <v>187</v>
      </c>
      <c r="J51" s="12" t="s">
        <v>188</v>
      </c>
      <c r="K51" s="13" t="s">
        <v>189</v>
      </c>
      <c r="L51" s="14" t="s">
        <v>190</v>
      </c>
      <c r="M51" s="18" t="s">
        <v>194</v>
      </c>
      <c r="N51" s="424">
        <v>0</v>
      </c>
      <c r="O51" s="14">
        <v>29</v>
      </c>
      <c r="P51" s="16">
        <v>29</v>
      </c>
      <c r="Q51" s="16">
        <v>29</v>
      </c>
      <c r="R51" s="110">
        <v>29</v>
      </c>
      <c r="S51" s="110">
        <v>28</v>
      </c>
      <c r="T51" s="10" t="s">
        <v>67</v>
      </c>
      <c r="U51" s="283" t="s">
        <v>68</v>
      </c>
      <c r="V51" s="10" t="s">
        <v>195</v>
      </c>
      <c r="W51" s="298">
        <v>1</v>
      </c>
      <c r="X51" s="298">
        <v>0</v>
      </c>
      <c r="Y51" s="298">
        <v>0</v>
      </c>
      <c r="Z51" s="299">
        <v>1</v>
      </c>
      <c r="AA51" s="299">
        <v>1</v>
      </c>
      <c r="AB51" s="300">
        <v>0</v>
      </c>
      <c r="AC51" s="301">
        <v>1</v>
      </c>
      <c r="AD51" s="301">
        <v>0</v>
      </c>
      <c r="AE51" s="302">
        <f t="shared" si="1"/>
        <v>0.5</v>
      </c>
      <c r="AF51" s="63">
        <v>0</v>
      </c>
      <c r="AG51" s="302"/>
      <c r="AH51" s="17"/>
      <c r="AI51" s="17"/>
      <c r="AJ51" s="17"/>
      <c r="AK51" s="109"/>
      <c r="AL51" s="109"/>
      <c r="AM51" s="147">
        <f t="shared" si="0"/>
        <v>0</v>
      </c>
      <c r="AN51" s="18" t="s">
        <v>67</v>
      </c>
      <c r="AO51" s="18" t="s">
        <v>68</v>
      </c>
      <c r="AP51" s="12"/>
    </row>
    <row r="52" spans="1:42" x14ac:dyDescent="0.3">
      <c r="A52" s="9" t="s">
        <v>30</v>
      </c>
      <c r="B52" s="10" t="s">
        <v>31</v>
      </c>
      <c r="C52" s="11" t="s">
        <v>32</v>
      </c>
      <c r="D52" s="12" t="s">
        <v>33</v>
      </c>
      <c r="E52" s="11" t="s">
        <v>34</v>
      </c>
      <c r="F52" s="12" t="s">
        <v>35</v>
      </c>
      <c r="G52" s="11" t="s">
        <v>36</v>
      </c>
      <c r="H52" s="12" t="s">
        <v>37</v>
      </c>
      <c r="I52" s="12" t="s">
        <v>196</v>
      </c>
      <c r="J52" s="12" t="s">
        <v>197</v>
      </c>
      <c r="K52" s="13" t="s">
        <v>198</v>
      </c>
      <c r="L52" s="14" t="s">
        <v>199</v>
      </c>
      <c r="M52" s="18" t="s">
        <v>200</v>
      </c>
      <c r="N52" s="424">
        <v>7</v>
      </c>
      <c r="O52" s="430">
        <v>1</v>
      </c>
      <c r="P52" s="26">
        <v>1</v>
      </c>
      <c r="Q52" s="26">
        <v>5</v>
      </c>
      <c r="R52" s="118">
        <v>5</v>
      </c>
      <c r="S52" s="118">
        <v>3</v>
      </c>
      <c r="T52" s="30" t="s">
        <v>67</v>
      </c>
      <c r="U52" s="283" t="s">
        <v>68</v>
      </c>
      <c r="V52" s="10" t="s">
        <v>201</v>
      </c>
      <c r="W52" s="298">
        <v>1</v>
      </c>
      <c r="X52" s="298">
        <v>1</v>
      </c>
      <c r="Y52" s="298">
        <v>1</v>
      </c>
      <c r="Z52" s="299">
        <v>1</v>
      </c>
      <c r="AA52" s="299">
        <v>1</v>
      </c>
      <c r="AB52" s="300">
        <v>1</v>
      </c>
      <c r="AC52" s="301">
        <v>1</v>
      </c>
      <c r="AD52" s="301">
        <v>1</v>
      </c>
      <c r="AE52" s="302">
        <f t="shared" si="1"/>
        <v>1</v>
      </c>
      <c r="AF52" s="63">
        <v>0</v>
      </c>
      <c r="AG52" s="302"/>
      <c r="AH52" s="17">
        <v>0</v>
      </c>
      <c r="AI52" s="17">
        <v>4</v>
      </c>
      <c r="AJ52" s="17">
        <v>4</v>
      </c>
      <c r="AK52" s="127">
        <v>2.8</v>
      </c>
      <c r="AL52" s="127">
        <v>1.2</v>
      </c>
      <c r="AM52" s="147">
        <f t="shared" si="0"/>
        <v>4</v>
      </c>
      <c r="AN52" s="18" t="s">
        <v>67</v>
      </c>
      <c r="AO52" s="18" t="s">
        <v>68</v>
      </c>
      <c r="AP52" s="12" t="s">
        <v>202</v>
      </c>
    </row>
    <row r="53" spans="1:42" x14ac:dyDescent="0.3">
      <c r="A53" s="9" t="s">
        <v>30</v>
      </c>
      <c r="B53" s="10" t="s">
        <v>31</v>
      </c>
      <c r="C53" s="11" t="s">
        <v>32</v>
      </c>
      <c r="D53" s="12" t="s">
        <v>33</v>
      </c>
      <c r="E53" s="11" t="s">
        <v>34</v>
      </c>
      <c r="F53" s="12" t="s">
        <v>35</v>
      </c>
      <c r="G53" s="11" t="s">
        <v>203</v>
      </c>
      <c r="H53" s="12" t="s">
        <v>204</v>
      </c>
      <c r="I53" s="12" t="s">
        <v>205</v>
      </c>
      <c r="J53" s="12" t="s">
        <v>206</v>
      </c>
      <c r="K53" s="11" t="s">
        <v>207</v>
      </c>
      <c r="L53" s="12" t="s">
        <v>208</v>
      </c>
      <c r="M53" s="18" t="s">
        <v>209</v>
      </c>
      <c r="N53" s="424">
        <v>4000</v>
      </c>
      <c r="O53" s="18">
        <v>0</v>
      </c>
      <c r="P53" s="16">
        <v>500</v>
      </c>
      <c r="Q53" s="16">
        <v>1000</v>
      </c>
      <c r="R53" s="126">
        <v>250</v>
      </c>
      <c r="S53" s="126">
        <v>250</v>
      </c>
      <c r="T53" s="10" t="s">
        <v>92</v>
      </c>
      <c r="U53" s="283" t="s">
        <v>118</v>
      </c>
      <c r="V53" s="10" t="s">
        <v>210</v>
      </c>
      <c r="W53" s="298">
        <v>1</v>
      </c>
      <c r="X53" s="298">
        <v>0</v>
      </c>
      <c r="Y53" s="298">
        <v>1</v>
      </c>
      <c r="Z53" s="299">
        <v>1</v>
      </c>
      <c r="AA53" s="299">
        <v>1</v>
      </c>
      <c r="AB53" s="300">
        <v>0</v>
      </c>
      <c r="AC53" s="301">
        <v>1</v>
      </c>
      <c r="AD53" s="301">
        <v>0</v>
      </c>
      <c r="AE53" s="302">
        <f t="shared" si="1"/>
        <v>0.625</v>
      </c>
      <c r="AF53" s="63">
        <v>0</v>
      </c>
      <c r="AG53" s="302"/>
      <c r="AH53" s="17">
        <v>5</v>
      </c>
      <c r="AI53" s="17">
        <v>18</v>
      </c>
      <c r="AJ53" s="17">
        <v>22</v>
      </c>
      <c r="AK53" s="127">
        <v>8</v>
      </c>
      <c r="AL53" s="127">
        <v>8</v>
      </c>
      <c r="AM53" s="147">
        <f t="shared" si="0"/>
        <v>16</v>
      </c>
      <c r="AN53" s="18" t="s">
        <v>92</v>
      </c>
      <c r="AO53" s="18" t="s">
        <v>118</v>
      </c>
      <c r="AP53" s="10" t="s">
        <v>211</v>
      </c>
    </row>
    <row r="54" spans="1:42" x14ac:dyDescent="0.3">
      <c r="A54" s="9" t="s">
        <v>30</v>
      </c>
      <c r="B54" s="10" t="s">
        <v>31</v>
      </c>
      <c r="C54" s="11" t="s">
        <v>32</v>
      </c>
      <c r="D54" s="12" t="s">
        <v>33</v>
      </c>
      <c r="E54" s="11" t="s">
        <v>34</v>
      </c>
      <c r="F54" s="12" t="s">
        <v>35</v>
      </c>
      <c r="G54" s="11" t="s">
        <v>203</v>
      </c>
      <c r="H54" s="12" t="s">
        <v>204</v>
      </c>
      <c r="I54" s="12" t="s">
        <v>205</v>
      </c>
      <c r="J54" s="12" t="s">
        <v>206</v>
      </c>
      <c r="K54" s="11" t="s">
        <v>207</v>
      </c>
      <c r="L54" s="12" t="s">
        <v>208</v>
      </c>
      <c r="M54" s="18" t="s">
        <v>212</v>
      </c>
      <c r="N54" s="424">
        <v>1061</v>
      </c>
      <c r="O54" s="425">
        <v>0</v>
      </c>
      <c r="P54" s="16">
        <v>1000</v>
      </c>
      <c r="Q54" s="16">
        <v>1000</v>
      </c>
      <c r="R54" s="110">
        <v>1000</v>
      </c>
      <c r="S54" s="110">
        <v>1000</v>
      </c>
      <c r="T54" s="10" t="s">
        <v>92</v>
      </c>
      <c r="U54" s="283" t="s">
        <v>118</v>
      </c>
      <c r="V54" s="10" t="s">
        <v>213</v>
      </c>
      <c r="W54" s="298">
        <v>1</v>
      </c>
      <c r="X54" s="298">
        <v>0</v>
      </c>
      <c r="Y54" s="298">
        <v>1</v>
      </c>
      <c r="Z54" s="299">
        <v>1</v>
      </c>
      <c r="AA54" s="299">
        <v>1</v>
      </c>
      <c r="AB54" s="300">
        <v>0</v>
      </c>
      <c r="AC54" s="301">
        <v>1</v>
      </c>
      <c r="AD54" s="301">
        <v>0</v>
      </c>
      <c r="AE54" s="302">
        <f t="shared" si="1"/>
        <v>0.625</v>
      </c>
      <c r="AF54" s="63">
        <v>0</v>
      </c>
      <c r="AG54" s="302"/>
      <c r="AH54" s="17">
        <v>3.5</v>
      </c>
      <c r="AI54" s="17">
        <v>7</v>
      </c>
      <c r="AJ54" s="17">
        <v>10</v>
      </c>
      <c r="AK54" s="127">
        <v>15</v>
      </c>
      <c r="AL54" s="127">
        <v>20</v>
      </c>
      <c r="AM54" s="147">
        <f t="shared" si="0"/>
        <v>35</v>
      </c>
      <c r="AN54" s="10" t="s">
        <v>92</v>
      </c>
      <c r="AO54" s="18" t="s">
        <v>118</v>
      </c>
      <c r="AP54" s="10" t="s">
        <v>214</v>
      </c>
    </row>
    <row r="55" spans="1:42" x14ac:dyDescent="0.3">
      <c r="A55" s="9" t="s">
        <v>30</v>
      </c>
      <c r="B55" s="10" t="s">
        <v>31</v>
      </c>
      <c r="C55" s="11" t="s">
        <v>32</v>
      </c>
      <c r="D55" s="12" t="s">
        <v>33</v>
      </c>
      <c r="E55" s="11" t="s">
        <v>34</v>
      </c>
      <c r="F55" s="12" t="s">
        <v>35</v>
      </c>
      <c r="G55" s="11" t="s">
        <v>203</v>
      </c>
      <c r="H55" s="12" t="s">
        <v>204</v>
      </c>
      <c r="I55" s="12" t="s">
        <v>205</v>
      </c>
      <c r="J55" s="12" t="s">
        <v>206</v>
      </c>
      <c r="K55" s="11" t="s">
        <v>207</v>
      </c>
      <c r="L55" s="12" t="s">
        <v>208</v>
      </c>
      <c r="M55" s="18" t="s">
        <v>215</v>
      </c>
      <c r="N55" s="424">
        <v>0</v>
      </c>
      <c r="O55" s="425"/>
      <c r="P55" s="16">
        <v>20</v>
      </c>
      <c r="Q55" s="16">
        <v>30</v>
      </c>
      <c r="R55" s="110">
        <v>120</v>
      </c>
      <c r="S55" s="110"/>
      <c r="T55" s="10" t="s">
        <v>92</v>
      </c>
      <c r="U55" s="283" t="s">
        <v>118</v>
      </c>
      <c r="V55" s="10" t="s">
        <v>216</v>
      </c>
      <c r="W55" s="298">
        <v>1</v>
      </c>
      <c r="X55" s="298">
        <v>0</v>
      </c>
      <c r="Y55" s="298">
        <v>1</v>
      </c>
      <c r="Z55" s="299">
        <v>1</v>
      </c>
      <c r="AA55" s="299">
        <v>1</v>
      </c>
      <c r="AB55" s="300">
        <v>0</v>
      </c>
      <c r="AC55" s="301">
        <v>1</v>
      </c>
      <c r="AD55" s="301">
        <v>0</v>
      </c>
      <c r="AE55" s="302">
        <f t="shared" si="1"/>
        <v>0.625</v>
      </c>
      <c r="AF55" s="63">
        <v>0</v>
      </c>
      <c r="AG55" s="302"/>
      <c r="AH55" s="17"/>
      <c r="AI55" s="17"/>
      <c r="AJ55" s="17"/>
      <c r="AK55" s="109"/>
      <c r="AL55" s="109"/>
      <c r="AM55" s="147">
        <f t="shared" si="0"/>
        <v>0</v>
      </c>
      <c r="AN55" s="10" t="s">
        <v>92</v>
      </c>
      <c r="AO55" s="18" t="s">
        <v>118</v>
      </c>
      <c r="AP55" s="10" t="s">
        <v>214</v>
      </c>
    </row>
    <row r="56" spans="1:42" x14ac:dyDescent="0.3">
      <c r="A56" s="9" t="s">
        <v>30</v>
      </c>
      <c r="B56" s="10" t="s">
        <v>31</v>
      </c>
      <c r="C56" s="11" t="s">
        <v>32</v>
      </c>
      <c r="D56" s="12" t="s">
        <v>33</v>
      </c>
      <c r="E56" s="11" t="s">
        <v>34</v>
      </c>
      <c r="F56" s="12" t="s">
        <v>35</v>
      </c>
      <c r="G56" s="11" t="s">
        <v>203</v>
      </c>
      <c r="H56" s="12" t="s">
        <v>204</v>
      </c>
      <c r="I56" s="12" t="s">
        <v>205</v>
      </c>
      <c r="J56" s="12" t="s">
        <v>206</v>
      </c>
      <c r="K56" s="11" t="s">
        <v>217</v>
      </c>
      <c r="L56" s="12" t="s">
        <v>218</v>
      </c>
      <c r="M56" s="18" t="s">
        <v>219</v>
      </c>
      <c r="N56" s="424">
        <v>0</v>
      </c>
      <c r="O56" s="425"/>
      <c r="P56" s="16">
        <v>1</v>
      </c>
      <c r="Q56" s="16"/>
      <c r="R56" s="110"/>
      <c r="S56" s="110"/>
      <c r="T56" s="10" t="s">
        <v>92</v>
      </c>
      <c r="U56" s="283" t="s">
        <v>118</v>
      </c>
      <c r="V56" s="10" t="s">
        <v>220</v>
      </c>
      <c r="W56" s="298">
        <v>1</v>
      </c>
      <c r="X56" s="298">
        <v>0</v>
      </c>
      <c r="Y56" s="298">
        <v>0</v>
      </c>
      <c r="Z56" s="299">
        <v>1</v>
      </c>
      <c r="AA56" s="299">
        <v>1</v>
      </c>
      <c r="AB56" s="300">
        <v>0</v>
      </c>
      <c r="AC56" s="301">
        <v>1</v>
      </c>
      <c r="AD56" s="301">
        <v>0</v>
      </c>
      <c r="AE56" s="302">
        <f t="shared" si="1"/>
        <v>0.5</v>
      </c>
      <c r="AF56" s="63">
        <v>0</v>
      </c>
      <c r="AG56" s="302"/>
      <c r="AH56" s="17"/>
      <c r="AI56" s="17"/>
      <c r="AJ56" s="17"/>
      <c r="AK56" s="109"/>
      <c r="AL56" s="109"/>
      <c r="AM56" s="147">
        <f t="shared" si="0"/>
        <v>0</v>
      </c>
      <c r="AN56" s="10" t="s">
        <v>92</v>
      </c>
      <c r="AO56" s="18" t="s">
        <v>118</v>
      </c>
      <c r="AP56" s="10" t="s">
        <v>214</v>
      </c>
    </row>
    <row r="57" spans="1:42" x14ac:dyDescent="0.3">
      <c r="A57" s="9" t="s">
        <v>30</v>
      </c>
      <c r="B57" s="10" t="s">
        <v>31</v>
      </c>
      <c r="C57" s="11" t="s">
        <v>32</v>
      </c>
      <c r="D57" s="12" t="s">
        <v>33</v>
      </c>
      <c r="E57" s="11" t="s">
        <v>34</v>
      </c>
      <c r="F57" s="12" t="s">
        <v>35</v>
      </c>
      <c r="G57" s="11" t="s">
        <v>203</v>
      </c>
      <c r="H57" s="12" t="s">
        <v>204</v>
      </c>
      <c r="I57" s="12" t="s">
        <v>205</v>
      </c>
      <c r="J57" s="12" t="s">
        <v>206</v>
      </c>
      <c r="K57" s="11" t="s">
        <v>221</v>
      </c>
      <c r="L57" s="12" t="s">
        <v>218</v>
      </c>
      <c r="M57" s="18" t="s">
        <v>222</v>
      </c>
      <c r="N57" s="424">
        <v>0</v>
      </c>
      <c r="O57" s="425">
        <v>136</v>
      </c>
      <c r="P57" s="16">
        <v>525</v>
      </c>
      <c r="Q57" s="16">
        <v>1050</v>
      </c>
      <c r="R57" s="110">
        <v>1575</v>
      </c>
      <c r="S57" s="110">
        <v>2100</v>
      </c>
      <c r="T57" s="10" t="s">
        <v>92</v>
      </c>
      <c r="U57" s="283" t="s">
        <v>118</v>
      </c>
      <c r="V57" s="10" t="s">
        <v>223</v>
      </c>
      <c r="W57" s="298">
        <v>0</v>
      </c>
      <c r="X57" s="298">
        <v>0</v>
      </c>
      <c r="Y57" s="298">
        <v>0</v>
      </c>
      <c r="Z57" s="299">
        <v>0</v>
      </c>
      <c r="AA57" s="299">
        <v>0</v>
      </c>
      <c r="AB57" s="300">
        <v>0</v>
      </c>
      <c r="AC57" s="301">
        <v>0</v>
      </c>
      <c r="AD57" s="301">
        <v>0</v>
      </c>
      <c r="AE57" s="302">
        <f t="shared" si="1"/>
        <v>0</v>
      </c>
      <c r="AF57" s="63">
        <v>1</v>
      </c>
      <c r="AG57" s="302"/>
      <c r="AH57" s="17"/>
      <c r="AI57" s="17"/>
      <c r="AJ57" s="17"/>
      <c r="AK57" s="109"/>
      <c r="AL57" s="109"/>
      <c r="AM57" s="147">
        <f t="shared" si="0"/>
        <v>0</v>
      </c>
      <c r="AN57" s="10" t="s">
        <v>92</v>
      </c>
      <c r="AO57" s="18" t="s">
        <v>118</v>
      </c>
      <c r="AP57" s="10" t="s">
        <v>214</v>
      </c>
    </row>
    <row r="58" spans="1:42" x14ac:dyDescent="0.3">
      <c r="A58" s="9" t="s">
        <v>30</v>
      </c>
      <c r="B58" s="10" t="s">
        <v>31</v>
      </c>
      <c r="C58" s="11" t="s">
        <v>32</v>
      </c>
      <c r="D58" s="12" t="s">
        <v>33</v>
      </c>
      <c r="E58" s="11" t="s">
        <v>34</v>
      </c>
      <c r="F58" s="12" t="s">
        <v>35</v>
      </c>
      <c r="G58" s="11" t="s">
        <v>203</v>
      </c>
      <c r="H58" s="12" t="s">
        <v>204</v>
      </c>
      <c r="I58" s="12" t="s">
        <v>205</v>
      </c>
      <c r="J58" s="12" t="s">
        <v>206</v>
      </c>
      <c r="K58" s="11" t="s">
        <v>224</v>
      </c>
      <c r="L58" s="12" t="s">
        <v>225</v>
      </c>
      <c r="M58" s="18" t="s">
        <v>226</v>
      </c>
      <c r="N58" s="424">
        <v>0</v>
      </c>
      <c r="O58" s="425">
        <v>0</v>
      </c>
      <c r="P58" s="16">
        <v>0</v>
      </c>
      <c r="Q58" s="16">
        <v>3</v>
      </c>
      <c r="R58" s="110">
        <v>7</v>
      </c>
      <c r="S58" s="110">
        <v>9</v>
      </c>
      <c r="T58" s="10" t="s">
        <v>92</v>
      </c>
      <c r="U58" s="283" t="s">
        <v>118</v>
      </c>
      <c r="V58" s="10" t="s">
        <v>227</v>
      </c>
      <c r="W58" s="298">
        <v>1</v>
      </c>
      <c r="X58" s="298">
        <v>0</v>
      </c>
      <c r="Y58" s="298">
        <v>0</v>
      </c>
      <c r="Z58" s="299">
        <v>1</v>
      </c>
      <c r="AA58" s="299">
        <v>0</v>
      </c>
      <c r="AB58" s="300">
        <v>0</v>
      </c>
      <c r="AC58" s="301">
        <v>0</v>
      </c>
      <c r="AD58" s="301">
        <v>0</v>
      </c>
      <c r="AE58" s="302">
        <f t="shared" si="1"/>
        <v>0.25</v>
      </c>
      <c r="AF58" s="63">
        <v>0</v>
      </c>
      <c r="AG58" s="302"/>
      <c r="AH58" s="17"/>
      <c r="AI58" s="17"/>
      <c r="AJ58" s="17"/>
      <c r="AK58" s="109"/>
      <c r="AL58" s="109"/>
      <c r="AM58" s="147">
        <f t="shared" si="0"/>
        <v>0</v>
      </c>
      <c r="AN58" s="10" t="s">
        <v>92</v>
      </c>
      <c r="AO58" s="18" t="s">
        <v>118</v>
      </c>
      <c r="AP58" s="10" t="s">
        <v>228</v>
      </c>
    </row>
    <row r="59" spans="1:42" x14ac:dyDescent="0.3">
      <c r="A59" s="9" t="s">
        <v>30</v>
      </c>
      <c r="B59" s="10" t="s">
        <v>31</v>
      </c>
      <c r="C59" s="11" t="s">
        <v>32</v>
      </c>
      <c r="D59" s="12" t="s">
        <v>33</v>
      </c>
      <c r="E59" s="11" t="s">
        <v>34</v>
      </c>
      <c r="F59" s="12" t="s">
        <v>35</v>
      </c>
      <c r="G59" s="11" t="s">
        <v>203</v>
      </c>
      <c r="H59" s="12" t="s">
        <v>204</v>
      </c>
      <c r="I59" s="12" t="s">
        <v>205</v>
      </c>
      <c r="J59" s="12" t="s">
        <v>206</v>
      </c>
      <c r="K59" s="11" t="s">
        <v>229</v>
      </c>
      <c r="L59" s="12" t="s">
        <v>230</v>
      </c>
      <c r="M59" s="18" t="s">
        <v>231</v>
      </c>
      <c r="N59" s="424">
        <v>1000</v>
      </c>
      <c r="O59" s="18">
        <v>1000</v>
      </c>
      <c r="P59" s="16">
        <v>1000</v>
      </c>
      <c r="Q59" s="16">
        <v>1000</v>
      </c>
      <c r="R59" s="110">
        <v>1000</v>
      </c>
      <c r="S59" s="110">
        <v>1000</v>
      </c>
      <c r="T59" s="10" t="s">
        <v>92</v>
      </c>
      <c r="U59" s="283" t="s">
        <v>118</v>
      </c>
      <c r="V59" s="10" t="s">
        <v>232</v>
      </c>
      <c r="W59" s="298">
        <v>1</v>
      </c>
      <c r="X59" s="298">
        <v>1</v>
      </c>
      <c r="Y59" s="298">
        <v>1</v>
      </c>
      <c r="Z59" s="299">
        <v>1</v>
      </c>
      <c r="AA59" s="299">
        <v>1</v>
      </c>
      <c r="AB59" s="300">
        <v>0</v>
      </c>
      <c r="AC59" s="301">
        <v>1</v>
      </c>
      <c r="AD59" s="301">
        <v>0</v>
      </c>
      <c r="AE59" s="302">
        <f t="shared" si="1"/>
        <v>0.75</v>
      </c>
      <c r="AF59" s="63">
        <v>0</v>
      </c>
      <c r="AG59" s="302"/>
      <c r="AH59" s="17">
        <v>13.5</v>
      </c>
      <c r="AI59" s="17">
        <v>13.5</v>
      </c>
      <c r="AJ59" s="17">
        <v>13.5</v>
      </c>
      <c r="AK59" s="127">
        <v>12</v>
      </c>
      <c r="AL59" s="127">
        <v>13.5</v>
      </c>
      <c r="AM59" s="147">
        <f t="shared" si="0"/>
        <v>25.5</v>
      </c>
      <c r="AN59" s="18" t="s">
        <v>92</v>
      </c>
      <c r="AO59" s="18" t="s">
        <v>118</v>
      </c>
      <c r="AP59" s="10" t="s">
        <v>233</v>
      </c>
    </row>
    <row r="60" spans="1:42" x14ac:dyDescent="0.3">
      <c r="A60" s="9" t="s">
        <v>30</v>
      </c>
      <c r="B60" s="10" t="s">
        <v>31</v>
      </c>
      <c r="C60" s="11" t="s">
        <v>32</v>
      </c>
      <c r="D60" s="12" t="s">
        <v>33</v>
      </c>
      <c r="E60" s="11" t="s">
        <v>34</v>
      </c>
      <c r="F60" s="12" t="s">
        <v>35</v>
      </c>
      <c r="G60" s="11" t="s">
        <v>203</v>
      </c>
      <c r="H60" s="12" t="s">
        <v>204</v>
      </c>
      <c r="I60" s="12" t="s">
        <v>234</v>
      </c>
      <c r="J60" s="12" t="s">
        <v>235</v>
      </c>
      <c r="K60" s="11" t="s">
        <v>236</v>
      </c>
      <c r="L60" s="12" t="s">
        <v>237</v>
      </c>
      <c r="M60" s="18" t="s">
        <v>238</v>
      </c>
      <c r="N60" s="424">
        <v>2</v>
      </c>
      <c r="O60" s="18">
        <v>15</v>
      </c>
      <c r="P60" s="16">
        <v>30</v>
      </c>
      <c r="Q60" s="16">
        <v>50</v>
      </c>
      <c r="R60" s="126">
        <v>30</v>
      </c>
      <c r="S60" s="126">
        <v>60</v>
      </c>
      <c r="T60" s="10" t="s">
        <v>239</v>
      </c>
      <c r="U60" s="283" t="s">
        <v>241</v>
      </c>
      <c r="V60" s="10" t="s">
        <v>240</v>
      </c>
      <c r="W60" s="298">
        <v>1</v>
      </c>
      <c r="X60" s="298">
        <v>1</v>
      </c>
      <c r="Y60" s="298">
        <v>0</v>
      </c>
      <c r="Z60" s="299">
        <v>1</v>
      </c>
      <c r="AA60" s="299">
        <v>1</v>
      </c>
      <c r="AB60" s="300">
        <v>1</v>
      </c>
      <c r="AC60" s="301">
        <v>1</v>
      </c>
      <c r="AD60" s="301">
        <v>0</v>
      </c>
      <c r="AE60" s="302">
        <f t="shared" si="1"/>
        <v>0.75</v>
      </c>
      <c r="AF60" s="63">
        <v>0</v>
      </c>
      <c r="AG60" s="302"/>
      <c r="AH60" s="17">
        <v>28.5</v>
      </c>
      <c r="AI60" s="17">
        <v>20</v>
      </c>
      <c r="AJ60" s="17">
        <v>24.5</v>
      </c>
      <c r="AK60" s="127">
        <v>8</v>
      </c>
      <c r="AL60" s="127">
        <v>12</v>
      </c>
      <c r="AM60" s="147">
        <f t="shared" si="0"/>
        <v>20</v>
      </c>
      <c r="AN60" s="10" t="s">
        <v>239</v>
      </c>
      <c r="AO60" s="18" t="s">
        <v>241</v>
      </c>
      <c r="AP60" s="10" t="s">
        <v>242</v>
      </c>
    </row>
    <row r="61" spans="1:42" x14ac:dyDescent="0.3">
      <c r="A61" s="9" t="s">
        <v>30</v>
      </c>
      <c r="B61" s="10" t="s">
        <v>31</v>
      </c>
      <c r="C61" s="11" t="s">
        <v>32</v>
      </c>
      <c r="D61" s="12" t="s">
        <v>33</v>
      </c>
      <c r="E61" s="11" t="s">
        <v>34</v>
      </c>
      <c r="F61" s="12" t="s">
        <v>35</v>
      </c>
      <c r="G61" s="11" t="s">
        <v>203</v>
      </c>
      <c r="H61" s="12" t="s">
        <v>204</v>
      </c>
      <c r="I61" s="12" t="s">
        <v>234</v>
      </c>
      <c r="J61" s="12" t="s">
        <v>235</v>
      </c>
      <c r="K61" s="11" t="s">
        <v>236</v>
      </c>
      <c r="L61" s="12" t="s">
        <v>237</v>
      </c>
      <c r="M61" s="18" t="s">
        <v>243</v>
      </c>
      <c r="N61" s="424">
        <v>2</v>
      </c>
      <c r="O61" s="176">
        <v>0</v>
      </c>
      <c r="P61" s="16">
        <v>40</v>
      </c>
      <c r="Q61" s="16">
        <v>60</v>
      </c>
      <c r="R61" s="110">
        <v>80</v>
      </c>
      <c r="S61" s="110">
        <v>136</v>
      </c>
      <c r="T61" s="10" t="s">
        <v>239</v>
      </c>
      <c r="U61" s="283" t="s">
        <v>241</v>
      </c>
      <c r="V61" s="10" t="s">
        <v>240</v>
      </c>
      <c r="W61" s="298">
        <v>1</v>
      </c>
      <c r="X61" s="298">
        <v>1</v>
      </c>
      <c r="Y61" s="298">
        <v>0</v>
      </c>
      <c r="Z61" s="299">
        <v>1</v>
      </c>
      <c r="AA61" s="299">
        <v>1</v>
      </c>
      <c r="AB61" s="300">
        <v>1</v>
      </c>
      <c r="AC61" s="301">
        <v>1</v>
      </c>
      <c r="AD61" s="301">
        <v>0</v>
      </c>
      <c r="AE61" s="302">
        <f t="shared" si="1"/>
        <v>0.75</v>
      </c>
      <c r="AF61" s="63">
        <v>0</v>
      </c>
      <c r="AG61" s="302"/>
      <c r="AH61" s="17"/>
      <c r="AI61" s="17"/>
      <c r="AJ61" s="17"/>
      <c r="AK61" s="109"/>
      <c r="AL61" s="109"/>
      <c r="AM61" s="147">
        <f t="shared" si="0"/>
        <v>0</v>
      </c>
      <c r="AN61" s="10" t="s">
        <v>239</v>
      </c>
      <c r="AO61" s="18" t="s">
        <v>241</v>
      </c>
      <c r="AP61" s="10" t="s">
        <v>242</v>
      </c>
    </row>
    <row r="62" spans="1:42" x14ac:dyDescent="0.3">
      <c r="A62" s="9" t="s">
        <v>30</v>
      </c>
      <c r="B62" s="10" t="s">
        <v>31</v>
      </c>
      <c r="C62" s="11" t="s">
        <v>32</v>
      </c>
      <c r="D62" s="12" t="s">
        <v>33</v>
      </c>
      <c r="E62" s="11" t="s">
        <v>34</v>
      </c>
      <c r="F62" s="12" t="s">
        <v>35</v>
      </c>
      <c r="G62" s="11" t="s">
        <v>203</v>
      </c>
      <c r="H62" s="12" t="s">
        <v>204</v>
      </c>
      <c r="I62" s="12" t="s">
        <v>234</v>
      </c>
      <c r="J62" s="12" t="s">
        <v>235</v>
      </c>
      <c r="K62" s="11" t="s">
        <v>236</v>
      </c>
      <c r="L62" s="12" t="s">
        <v>237</v>
      </c>
      <c r="M62" s="18" t="s">
        <v>244</v>
      </c>
      <c r="N62" s="424">
        <v>0</v>
      </c>
      <c r="O62" s="18">
        <v>1</v>
      </c>
      <c r="P62" s="16">
        <v>1</v>
      </c>
      <c r="Q62" s="16">
        <v>2</v>
      </c>
      <c r="R62" s="110">
        <v>3</v>
      </c>
      <c r="S62" s="110">
        <v>2</v>
      </c>
      <c r="T62" s="10" t="s">
        <v>239</v>
      </c>
      <c r="U62" s="283" t="s">
        <v>241</v>
      </c>
      <c r="V62" s="10" t="s">
        <v>240</v>
      </c>
      <c r="W62" s="298">
        <v>1</v>
      </c>
      <c r="X62" s="298">
        <v>1</v>
      </c>
      <c r="Y62" s="298">
        <v>0</v>
      </c>
      <c r="Z62" s="299">
        <v>1</v>
      </c>
      <c r="AA62" s="299">
        <v>1</v>
      </c>
      <c r="AB62" s="300">
        <v>1</v>
      </c>
      <c r="AC62" s="301">
        <v>1</v>
      </c>
      <c r="AD62" s="301">
        <v>0</v>
      </c>
      <c r="AE62" s="302">
        <f t="shared" si="1"/>
        <v>0.75</v>
      </c>
      <c r="AF62" s="63">
        <v>0</v>
      </c>
      <c r="AG62" s="302"/>
      <c r="AH62" s="17"/>
      <c r="AI62" s="17"/>
      <c r="AJ62" s="17"/>
      <c r="AK62" s="127">
        <v>2</v>
      </c>
      <c r="AL62" s="127">
        <v>3</v>
      </c>
      <c r="AM62" s="147">
        <f t="shared" si="0"/>
        <v>5</v>
      </c>
      <c r="AN62" s="10" t="s">
        <v>239</v>
      </c>
      <c r="AO62" s="18" t="s">
        <v>241</v>
      </c>
      <c r="AP62" s="10" t="s">
        <v>242</v>
      </c>
    </row>
    <row r="63" spans="1:42" x14ac:dyDescent="0.3">
      <c r="A63" s="9" t="s">
        <v>30</v>
      </c>
      <c r="B63" s="10" t="s">
        <v>31</v>
      </c>
      <c r="C63" s="11" t="s">
        <v>32</v>
      </c>
      <c r="D63" s="12" t="s">
        <v>33</v>
      </c>
      <c r="E63" s="11" t="s">
        <v>34</v>
      </c>
      <c r="F63" s="12" t="s">
        <v>35</v>
      </c>
      <c r="G63" s="11" t="s">
        <v>203</v>
      </c>
      <c r="H63" s="12" t="s">
        <v>204</v>
      </c>
      <c r="I63" s="12" t="s">
        <v>234</v>
      </c>
      <c r="J63" s="12" t="s">
        <v>235</v>
      </c>
      <c r="K63" s="11" t="s">
        <v>245</v>
      </c>
      <c r="L63" s="12" t="s">
        <v>246</v>
      </c>
      <c r="M63" s="18" t="s">
        <v>247</v>
      </c>
      <c r="N63" s="424">
        <v>0</v>
      </c>
      <c r="O63" s="18">
        <v>100</v>
      </c>
      <c r="P63" s="16">
        <v>100</v>
      </c>
      <c r="Q63" s="16">
        <v>100</v>
      </c>
      <c r="R63" s="110">
        <v>100</v>
      </c>
      <c r="S63" s="110">
        <v>100</v>
      </c>
      <c r="T63" s="10" t="s">
        <v>92</v>
      </c>
      <c r="U63" s="283" t="s">
        <v>118</v>
      </c>
      <c r="V63" s="10" t="s">
        <v>248</v>
      </c>
      <c r="W63" s="298">
        <v>1</v>
      </c>
      <c r="X63" s="298">
        <v>1</v>
      </c>
      <c r="Y63" s="298">
        <v>1</v>
      </c>
      <c r="Z63" s="299">
        <v>1</v>
      </c>
      <c r="AA63" s="299">
        <v>1</v>
      </c>
      <c r="AB63" s="300">
        <v>1</v>
      </c>
      <c r="AC63" s="301">
        <v>1</v>
      </c>
      <c r="AD63" s="301">
        <v>1</v>
      </c>
      <c r="AE63" s="302">
        <f t="shared" si="1"/>
        <v>1</v>
      </c>
      <c r="AF63" s="63">
        <v>0</v>
      </c>
      <c r="AG63" s="302"/>
      <c r="AH63" s="17">
        <v>2</v>
      </c>
      <c r="AI63" s="17">
        <v>4</v>
      </c>
      <c r="AJ63" s="17">
        <v>4</v>
      </c>
      <c r="AK63" s="127">
        <v>0.8</v>
      </c>
      <c r="AL63" s="127">
        <v>0.8</v>
      </c>
      <c r="AM63" s="147">
        <f t="shared" si="0"/>
        <v>1.6</v>
      </c>
      <c r="AN63" s="18" t="s">
        <v>92</v>
      </c>
      <c r="AO63" s="18" t="s">
        <v>118</v>
      </c>
      <c r="AP63" s="10" t="s">
        <v>249</v>
      </c>
    </row>
    <row r="64" spans="1:42" s="300" customFormat="1" x14ac:dyDescent="0.3">
      <c r="A64" s="66" t="s">
        <v>30</v>
      </c>
      <c r="B64" s="67" t="s">
        <v>31</v>
      </c>
      <c r="C64" s="68" t="s">
        <v>32</v>
      </c>
      <c r="D64" s="69" t="s">
        <v>33</v>
      </c>
      <c r="E64" s="68" t="s">
        <v>34</v>
      </c>
      <c r="F64" s="69" t="s">
        <v>35</v>
      </c>
      <c r="G64" s="68" t="s">
        <v>203</v>
      </c>
      <c r="H64" s="69" t="s">
        <v>204</v>
      </c>
      <c r="I64" s="69" t="s">
        <v>250</v>
      </c>
      <c r="J64" s="69" t="s">
        <v>251</v>
      </c>
      <c r="K64" s="68" t="s">
        <v>252</v>
      </c>
      <c r="L64" s="69" t="s">
        <v>253</v>
      </c>
      <c r="M64" s="74" t="s">
        <v>254</v>
      </c>
      <c r="N64" s="426">
        <v>0</v>
      </c>
      <c r="O64" s="74">
        <v>136</v>
      </c>
      <c r="P64" s="71">
        <v>17250</v>
      </c>
      <c r="Q64" s="71">
        <v>34500</v>
      </c>
      <c r="R64" s="110">
        <v>51750</v>
      </c>
      <c r="S64" s="110">
        <v>69000</v>
      </c>
      <c r="T64" s="67" t="s">
        <v>92</v>
      </c>
      <c r="U64" s="300" t="s">
        <v>118</v>
      </c>
      <c r="V64" s="67"/>
      <c r="W64" s="298">
        <v>0</v>
      </c>
      <c r="X64" s="298">
        <v>0</v>
      </c>
      <c r="Y64" s="298">
        <v>0</v>
      </c>
      <c r="Z64" s="299">
        <v>0</v>
      </c>
      <c r="AA64" s="299">
        <v>0</v>
      </c>
      <c r="AB64" s="300">
        <v>0</v>
      </c>
      <c r="AC64" s="301">
        <v>0</v>
      </c>
      <c r="AD64" s="301">
        <v>0</v>
      </c>
      <c r="AE64" s="305">
        <f t="shared" si="1"/>
        <v>0</v>
      </c>
      <c r="AF64" s="63">
        <v>0</v>
      </c>
      <c r="AG64" s="305"/>
      <c r="AH64" s="73"/>
      <c r="AI64" s="73"/>
      <c r="AJ64" s="73"/>
      <c r="AK64" s="109"/>
      <c r="AL64" s="109"/>
      <c r="AM64" s="147">
        <f t="shared" si="0"/>
        <v>0</v>
      </c>
      <c r="AN64" s="74" t="s">
        <v>92</v>
      </c>
      <c r="AO64" s="74" t="s">
        <v>118</v>
      </c>
      <c r="AP64" s="67" t="s">
        <v>255</v>
      </c>
    </row>
    <row r="65" spans="1:42" s="300" customFormat="1" x14ac:dyDescent="0.3">
      <c r="A65" s="66" t="s">
        <v>30</v>
      </c>
      <c r="B65" s="67" t="s">
        <v>31</v>
      </c>
      <c r="C65" s="68" t="s">
        <v>32</v>
      </c>
      <c r="D65" s="69" t="s">
        <v>33</v>
      </c>
      <c r="E65" s="68" t="s">
        <v>34</v>
      </c>
      <c r="F65" s="69" t="s">
        <v>35</v>
      </c>
      <c r="G65" s="68" t="s">
        <v>203</v>
      </c>
      <c r="H65" s="69" t="s">
        <v>204</v>
      </c>
      <c r="I65" s="69" t="s">
        <v>250</v>
      </c>
      <c r="J65" s="69" t="s">
        <v>251</v>
      </c>
      <c r="K65" s="68" t="s">
        <v>252</v>
      </c>
      <c r="L65" s="69" t="s">
        <v>253</v>
      </c>
      <c r="M65" s="74" t="s">
        <v>256</v>
      </c>
      <c r="N65" s="426">
        <v>0</v>
      </c>
      <c r="O65" s="74">
        <v>136</v>
      </c>
      <c r="P65" s="71">
        <v>2750</v>
      </c>
      <c r="Q65" s="71">
        <v>5500</v>
      </c>
      <c r="R65" s="110">
        <v>8250</v>
      </c>
      <c r="S65" s="110">
        <v>11000</v>
      </c>
      <c r="T65" s="67" t="s">
        <v>92</v>
      </c>
      <c r="U65" s="300" t="s">
        <v>118</v>
      </c>
      <c r="V65" s="67"/>
      <c r="W65" s="298">
        <v>0</v>
      </c>
      <c r="X65" s="298">
        <v>0</v>
      </c>
      <c r="Y65" s="298">
        <v>0</v>
      </c>
      <c r="Z65" s="299">
        <v>0</v>
      </c>
      <c r="AA65" s="299">
        <v>0</v>
      </c>
      <c r="AB65" s="300">
        <v>0</v>
      </c>
      <c r="AC65" s="301">
        <v>0</v>
      </c>
      <c r="AD65" s="301">
        <v>0</v>
      </c>
      <c r="AE65" s="305">
        <f t="shared" si="1"/>
        <v>0</v>
      </c>
      <c r="AF65" s="63">
        <v>0</v>
      </c>
      <c r="AG65" s="305"/>
      <c r="AH65" s="73"/>
      <c r="AI65" s="73"/>
      <c r="AJ65" s="73"/>
      <c r="AK65" s="109"/>
      <c r="AL65" s="109"/>
      <c r="AM65" s="147">
        <f t="shared" si="0"/>
        <v>0</v>
      </c>
      <c r="AN65" s="74" t="s">
        <v>92</v>
      </c>
      <c r="AO65" s="74" t="s">
        <v>118</v>
      </c>
      <c r="AP65" s="67" t="s">
        <v>255</v>
      </c>
    </row>
    <row r="66" spans="1:42" s="300" customFormat="1" x14ac:dyDescent="0.3">
      <c r="A66" s="66" t="s">
        <v>30</v>
      </c>
      <c r="B66" s="67" t="s">
        <v>31</v>
      </c>
      <c r="C66" s="68" t="s">
        <v>32</v>
      </c>
      <c r="D66" s="69" t="s">
        <v>33</v>
      </c>
      <c r="E66" s="68" t="s">
        <v>34</v>
      </c>
      <c r="F66" s="69" t="s">
        <v>35</v>
      </c>
      <c r="G66" s="68" t="s">
        <v>203</v>
      </c>
      <c r="H66" s="69" t="s">
        <v>204</v>
      </c>
      <c r="I66" s="69" t="s">
        <v>250</v>
      </c>
      <c r="J66" s="69" t="s">
        <v>251</v>
      </c>
      <c r="K66" s="68" t="s">
        <v>252</v>
      </c>
      <c r="L66" s="69" t="s">
        <v>253</v>
      </c>
      <c r="M66" s="74" t="s">
        <v>257</v>
      </c>
      <c r="N66" s="426">
        <v>0</v>
      </c>
      <c r="O66" s="74">
        <v>136</v>
      </c>
      <c r="P66" s="71">
        <v>525</v>
      </c>
      <c r="Q66" s="71">
        <v>1050</v>
      </c>
      <c r="R66" s="110">
        <v>1575</v>
      </c>
      <c r="S66" s="110">
        <v>2100</v>
      </c>
      <c r="T66" s="67" t="s">
        <v>92</v>
      </c>
      <c r="U66" s="300" t="s">
        <v>118</v>
      </c>
      <c r="V66" s="67"/>
      <c r="W66" s="298">
        <v>0</v>
      </c>
      <c r="X66" s="298">
        <v>0</v>
      </c>
      <c r="Y66" s="298">
        <v>0</v>
      </c>
      <c r="Z66" s="299">
        <v>0</v>
      </c>
      <c r="AA66" s="299">
        <v>0</v>
      </c>
      <c r="AB66" s="300">
        <v>0</v>
      </c>
      <c r="AC66" s="301">
        <v>0</v>
      </c>
      <c r="AD66" s="301">
        <v>0</v>
      </c>
      <c r="AE66" s="305">
        <f t="shared" si="1"/>
        <v>0</v>
      </c>
      <c r="AF66" s="63">
        <v>0</v>
      </c>
      <c r="AG66" s="305"/>
      <c r="AH66" s="73"/>
      <c r="AI66" s="73"/>
      <c r="AJ66" s="73"/>
      <c r="AK66" s="109"/>
      <c r="AL66" s="109"/>
      <c r="AM66" s="147">
        <f t="shared" ref="AM66:AM129" si="2">SUM(AK66:AL66)</f>
        <v>0</v>
      </c>
      <c r="AN66" s="74" t="s">
        <v>92</v>
      </c>
      <c r="AO66" s="74" t="s">
        <v>118</v>
      </c>
      <c r="AP66" s="67" t="s">
        <v>255</v>
      </c>
    </row>
    <row r="67" spans="1:42" s="300" customFormat="1" x14ac:dyDescent="0.3">
      <c r="A67" s="66" t="s">
        <v>30</v>
      </c>
      <c r="B67" s="67" t="s">
        <v>31</v>
      </c>
      <c r="C67" s="68" t="s">
        <v>32</v>
      </c>
      <c r="D67" s="69" t="s">
        <v>33</v>
      </c>
      <c r="E67" s="68" t="s">
        <v>34</v>
      </c>
      <c r="F67" s="69" t="s">
        <v>35</v>
      </c>
      <c r="G67" s="68" t="s">
        <v>203</v>
      </c>
      <c r="H67" s="69" t="s">
        <v>204</v>
      </c>
      <c r="I67" s="69" t="s">
        <v>258</v>
      </c>
      <c r="J67" s="69" t="s">
        <v>259</v>
      </c>
      <c r="K67" s="69" t="s">
        <v>260</v>
      </c>
      <c r="L67" s="69" t="s">
        <v>261</v>
      </c>
      <c r="M67" s="74" t="s">
        <v>262</v>
      </c>
      <c r="N67" s="426">
        <v>0</v>
      </c>
      <c r="O67" s="74">
        <v>0</v>
      </c>
      <c r="P67" s="71">
        <v>0</v>
      </c>
      <c r="Q67" s="71">
        <v>3</v>
      </c>
      <c r="R67" s="110">
        <v>3</v>
      </c>
      <c r="S67" s="110">
        <v>3</v>
      </c>
      <c r="T67" s="67" t="s">
        <v>92</v>
      </c>
      <c r="U67" s="300" t="s">
        <v>118</v>
      </c>
      <c r="V67" s="67"/>
      <c r="W67" s="298">
        <v>0</v>
      </c>
      <c r="X67" s="298">
        <v>0</v>
      </c>
      <c r="Y67" s="298">
        <v>0</v>
      </c>
      <c r="Z67" s="299">
        <v>0</v>
      </c>
      <c r="AA67" s="299">
        <v>0</v>
      </c>
      <c r="AB67" s="300">
        <v>0</v>
      </c>
      <c r="AC67" s="301">
        <v>0</v>
      </c>
      <c r="AD67" s="301">
        <v>0</v>
      </c>
      <c r="AE67" s="305">
        <f t="shared" si="1"/>
        <v>0</v>
      </c>
      <c r="AF67" s="63">
        <v>0</v>
      </c>
      <c r="AG67" s="305"/>
      <c r="AH67" s="73"/>
      <c r="AI67" s="73"/>
      <c r="AJ67" s="73"/>
      <c r="AK67" s="109"/>
      <c r="AL67" s="109"/>
      <c r="AM67" s="147">
        <f t="shared" si="2"/>
        <v>0</v>
      </c>
      <c r="AN67" s="74" t="s">
        <v>92</v>
      </c>
      <c r="AO67" s="74" t="s">
        <v>118</v>
      </c>
      <c r="AP67" s="67" t="s">
        <v>67</v>
      </c>
    </row>
    <row r="68" spans="1:42" s="300" customFormat="1" x14ac:dyDescent="0.3">
      <c r="A68" s="66" t="s">
        <v>30</v>
      </c>
      <c r="B68" s="67" t="s">
        <v>31</v>
      </c>
      <c r="C68" s="68" t="s">
        <v>32</v>
      </c>
      <c r="D68" s="69" t="s">
        <v>33</v>
      </c>
      <c r="E68" s="68" t="s">
        <v>34</v>
      </c>
      <c r="F68" s="69" t="s">
        <v>35</v>
      </c>
      <c r="G68" s="68" t="s">
        <v>203</v>
      </c>
      <c r="H68" s="69" t="s">
        <v>204</v>
      </c>
      <c r="I68" s="69" t="s">
        <v>258</v>
      </c>
      <c r="J68" s="69" t="s">
        <v>259</v>
      </c>
      <c r="K68" s="69" t="s">
        <v>260</v>
      </c>
      <c r="L68" s="69" t="s">
        <v>261</v>
      </c>
      <c r="M68" s="74" t="s">
        <v>263</v>
      </c>
      <c r="N68" s="426">
        <v>5</v>
      </c>
      <c r="O68" s="74">
        <v>45</v>
      </c>
      <c r="P68" s="71">
        <v>60</v>
      </c>
      <c r="Q68" s="71">
        <v>60</v>
      </c>
      <c r="R68" s="110">
        <v>60</v>
      </c>
      <c r="S68" s="110">
        <v>51</v>
      </c>
      <c r="T68" s="67" t="s">
        <v>92</v>
      </c>
      <c r="U68" s="300" t="s">
        <v>118</v>
      </c>
      <c r="V68" s="67"/>
      <c r="W68" s="298">
        <v>0</v>
      </c>
      <c r="X68" s="298">
        <v>0</v>
      </c>
      <c r="Y68" s="298">
        <v>0</v>
      </c>
      <c r="Z68" s="299">
        <v>0</v>
      </c>
      <c r="AA68" s="299">
        <v>0</v>
      </c>
      <c r="AB68" s="300">
        <v>0</v>
      </c>
      <c r="AC68" s="301">
        <v>0</v>
      </c>
      <c r="AD68" s="301">
        <v>0</v>
      </c>
      <c r="AE68" s="305">
        <f t="shared" si="1"/>
        <v>0</v>
      </c>
      <c r="AF68" s="63">
        <v>0</v>
      </c>
      <c r="AG68" s="305"/>
      <c r="AH68" s="73"/>
      <c r="AI68" s="73"/>
      <c r="AJ68" s="73"/>
      <c r="AK68" s="109"/>
      <c r="AL68" s="109"/>
      <c r="AM68" s="147">
        <f t="shared" si="2"/>
        <v>0</v>
      </c>
      <c r="AN68" s="74" t="s">
        <v>92</v>
      </c>
      <c r="AO68" s="74" t="s">
        <v>118</v>
      </c>
      <c r="AP68" s="67"/>
    </row>
    <row r="69" spans="1:42" s="300" customFormat="1" x14ac:dyDescent="0.3">
      <c r="A69" s="66" t="s">
        <v>30</v>
      </c>
      <c r="B69" s="67" t="s">
        <v>31</v>
      </c>
      <c r="C69" s="68" t="s">
        <v>32</v>
      </c>
      <c r="D69" s="69" t="s">
        <v>33</v>
      </c>
      <c r="E69" s="68" t="s">
        <v>34</v>
      </c>
      <c r="F69" s="69" t="s">
        <v>35</v>
      </c>
      <c r="G69" s="68" t="s">
        <v>203</v>
      </c>
      <c r="H69" s="69" t="s">
        <v>204</v>
      </c>
      <c r="I69" s="69" t="s">
        <v>258</v>
      </c>
      <c r="J69" s="69" t="s">
        <v>259</v>
      </c>
      <c r="K69" s="69" t="s">
        <v>260</v>
      </c>
      <c r="L69" s="69" t="s">
        <v>261</v>
      </c>
      <c r="M69" s="74" t="s">
        <v>264</v>
      </c>
      <c r="N69" s="426">
        <v>0</v>
      </c>
      <c r="O69" s="74">
        <v>3313</v>
      </c>
      <c r="P69" s="71">
        <v>3314</v>
      </c>
      <c r="Q69" s="71">
        <v>3313</v>
      </c>
      <c r="R69" s="110">
        <v>3313</v>
      </c>
      <c r="S69" s="110">
        <v>3315</v>
      </c>
      <c r="T69" s="67" t="s">
        <v>92</v>
      </c>
      <c r="U69" s="300" t="s">
        <v>118</v>
      </c>
      <c r="V69" s="67"/>
      <c r="W69" s="298">
        <v>0</v>
      </c>
      <c r="X69" s="298">
        <v>0</v>
      </c>
      <c r="Y69" s="298">
        <v>0</v>
      </c>
      <c r="Z69" s="299">
        <v>0</v>
      </c>
      <c r="AA69" s="299">
        <v>0</v>
      </c>
      <c r="AB69" s="300">
        <v>0</v>
      </c>
      <c r="AC69" s="301">
        <v>0</v>
      </c>
      <c r="AD69" s="301">
        <v>0</v>
      </c>
      <c r="AE69" s="305">
        <f t="shared" ref="AE69:AE132" si="3">SUM(W69:AD69)/8</f>
        <v>0</v>
      </c>
      <c r="AF69" s="63">
        <v>0</v>
      </c>
      <c r="AG69" s="305"/>
      <c r="AH69" s="73"/>
      <c r="AI69" s="73"/>
      <c r="AJ69" s="73"/>
      <c r="AK69" s="109"/>
      <c r="AL69" s="109"/>
      <c r="AM69" s="147">
        <f t="shared" si="2"/>
        <v>0</v>
      </c>
      <c r="AN69" s="74" t="s">
        <v>92</v>
      </c>
      <c r="AO69" s="74" t="s">
        <v>118</v>
      </c>
      <c r="AP69" s="67" t="s">
        <v>265</v>
      </c>
    </row>
    <row r="70" spans="1:42" x14ac:dyDescent="0.3">
      <c r="A70" s="9" t="s">
        <v>30</v>
      </c>
      <c r="B70" s="10" t="s">
        <v>31</v>
      </c>
      <c r="C70" s="11" t="s">
        <v>32</v>
      </c>
      <c r="D70" s="12" t="s">
        <v>33</v>
      </c>
      <c r="E70" s="11" t="s">
        <v>34</v>
      </c>
      <c r="F70" s="12" t="s">
        <v>35</v>
      </c>
      <c r="G70" s="11" t="s">
        <v>203</v>
      </c>
      <c r="H70" s="12" t="s">
        <v>204</v>
      </c>
      <c r="I70" s="12" t="s">
        <v>266</v>
      </c>
      <c r="J70" s="12" t="s">
        <v>267</v>
      </c>
      <c r="K70" s="11" t="s">
        <v>268</v>
      </c>
      <c r="L70" s="12" t="s">
        <v>269</v>
      </c>
      <c r="M70" s="18" t="s">
        <v>270</v>
      </c>
      <c r="N70" s="424">
        <v>3</v>
      </c>
      <c r="O70" s="18" t="s">
        <v>271</v>
      </c>
      <c r="P70" s="16">
        <v>20</v>
      </c>
      <c r="Q70" s="16">
        <v>20</v>
      </c>
      <c r="R70" s="110">
        <v>20</v>
      </c>
      <c r="S70" s="110">
        <v>20</v>
      </c>
      <c r="T70" s="10" t="s">
        <v>92</v>
      </c>
      <c r="U70" s="283" t="s">
        <v>118</v>
      </c>
      <c r="V70" s="10" t="s">
        <v>272</v>
      </c>
      <c r="W70" s="298">
        <v>1</v>
      </c>
      <c r="X70" s="298">
        <v>0</v>
      </c>
      <c r="Y70" s="298">
        <v>1</v>
      </c>
      <c r="Z70" s="299">
        <v>1</v>
      </c>
      <c r="AA70" s="299">
        <v>1</v>
      </c>
      <c r="AB70" s="300">
        <v>1</v>
      </c>
      <c r="AC70" s="301">
        <v>1</v>
      </c>
      <c r="AD70" s="301">
        <v>0</v>
      </c>
      <c r="AE70" s="302">
        <f t="shared" si="3"/>
        <v>0.75</v>
      </c>
      <c r="AF70" s="63">
        <v>0</v>
      </c>
      <c r="AG70" s="302"/>
      <c r="AH70" s="17"/>
      <c r="AI70" s="17"/>
      <c r="AJ70" s="17"/>
      <c r="AK70" s="127">
        <v>1</v>
      </c>
      <c r="AL70" s="127">
        <v>1.2</v>
      </c>
      <c r="AM70" s="147">
        <f t="shared" si="2"/>
        <v>2.2000000000000002</v>
      </c>
      <c r="AN70" s="18" t="s">
        <v>92</v>
      </c>
      <c r="AO70" s="18" t="s">
        <v>118</v>
      </c>
      <c r="AP70" s="10" t="s">
        <v>273</v>
      </c>
    </row>
    <row r="71" spans="1:42" x14ac:dyDescent="0.3">
      <c r="A71" s="9" t="s">
        <v>30</v>
      </c>
      <c r="B71" s="10" t="s">
        <v>31</v>
      </c>
      <c r="C71" s="11" t="s">
        <v>32</v>
      </c>
      <c r="D71" s="12" t="s">
        <v>33</v>
      </c>
      <c r="E71" s="11" t="s">
        <v>34</v>
      </c>
      <c r="F71" s="12" t="s">
        <v>35</v>
      </c>
      <c r="G71" s="11" t="s">
        <v>203</v>
      </c>
      <c r="H71" s="12" t="s">
        <v>204</v>
      </c>
      <c r="I71" s="12" t="s">
        <v>274</v>
      </c>
      <c r="J71" s="12" t="s">
        <v>275</v>
      </c>
      <c r="K71" s="11" t="s">
        <v>276</v>
      </c>
      <c r="L71" s="12" t="s">
        <v>277</v>
      </c>
      <c r="M71" s="18" t="s">
        <v>278</v>
      </c>
      <c r="N71" s="424">
        <v>0</v>
      </c>
      <c r="O71" s="18"/>
      <c r="P71" s="16">
        <v>2</v>
      </c>
      <c r="Q71" s="16">
        <v>1</v>
      </c>
      <c r="R71" s="110">
        <v>1</v>
      </c>
      <c r="S71" s="110">
        <v>1</v>
      </c>
      <c r="T71" s="10" t="s">
        <v>92</v>
      </c>
      <c r="U71" s="283" t="s">
        <v>118</v>
      </c>
      <c r="V71" s="10" t="s">
        <v>279</v>
      </c>
      <c r="W71" s="298">
        <v>1</v>
      </c>
      <c r="X71" s="298">
        <v>1</v>
      </c>
      <c r="Y71" s="298">
        <v>1</v>
      </c>
      <c r="Z71" s="299">
        <v>1</v>
      </c>
      <c r="AA71" s="299">
        <v>1</v>
      </c>
      <c r="AB71" s="300">
        <v>0</v>
      </c>
      <c r="AC71" s="301">
        <v>1</v>
      </c>
      <c r="AD71" s="301">
        <v>0</v>
      </c>
      <c r="AE71" s="302">
        <f t="shared" si="3"/>
        <v>0.75</v>
      </c>
      <c r="AF71" s="63">
        <v>0</v>
      </c>
      <c r="AG71" s="302"/>
      <c r="AH71" s="17"/>
      <c r="AI71" s="17"/>
      <c r="AJ71" s="17"/>
      <c r="AK71" s="127">
        <v>0.4</v>
      </c>
      <c r="AL71" s="127">
        <v>0.4</v>
      </c>
      <c r="AM71" s="147">
        <f t="shared" si="2"/>
        <v>0.8</v>
      </c>
      <c r="AN71" s="18" t="s">
        <v>92</v>
      </c>
      <c r="AO71" s="18" t="s">
        <v>118</v>
      </c>
      <c r="AP71" s="10" t="s">
        <v>280</v>
      </c>
    </row>
    <row r="72" spans="1:42" x14ac:dyDescent="0.3">
      <c r="A72" s="9" t="s">
        <v>30</v>
      </c>
      <c r="B72" s="10" t="s">
        <v>31</v>
      </c>
      <c r="C72" s="11" t="s">
        <v>32</v>
      </c>
      <c r="D72" s="12" t="s">
        <v>33</v>
      </c>
      <c r="E72" s="11" t="s">
        <v>34</v>
      </c>
      <c r="F72" s="12" t="s">
        <v>35</v>
      </c>
      <c r="G72" s="11" t="s">
        <v>281</v>
      </c>
      <c r="H72" s="12" t="s">
        <v>282</v>
      </c>
      <c r="I72" s="12" t="s">
        <v>283</v>
      </c>
      <c r="J72" s="12" t="s">
        <v>284</v>
      </c>
      <c r="K72" s="11" t="s">
        <v>285</v>
      </c>
      <c r="L72" s="12" t="s">
        <v>286</v>
      </c>
      <c r="M72" s="18" t="s">
        <v>287</v>
      </c>
      <c r="N72" s="424">
        <v>0</v>
      </c>
      <c r="O72" s="18">
        <v>2</v>
      </c>
      <c r="P72" s="16">
        <v>2</v>
      </c>
      <c r="Q72" s="16">
        <v>2</v>
      </c>
      <c r="R72" s="110">
        <v>2</v>
      </c>
      <c r="S72" s="110">
        <v>2</v>
      </c>
      <c r="T72" s="10" t="s">
        <v>92</v>
      </c>
      <c r="U72" s="283" t="s">
        <v>118</v>
      </c>
      <c r="V72" s="10" t="s">
        <v>288</v>
      </c>
      <c r="W72" s="298">
        <v>0</v>
      </c>
      <c r="X72" s="298">
        <v>0</v>
      </c>
      <c r="Y72" s="298">
        <v>0</v>
      </c>
      <c r="Z72" s="299">
        <v>0</v>
      </c>
      <c r="AA72" s="299">
        <v>0</v>
      </c>
      <c r="AB72" s="300">
        <v>0</v>
      </c>
      <c r="AC72" s="301">
        <v>0</v>
      </c>
      <c r="AD72" s="301">
        <v>0</v>
      </c>
      <c r="AE72" s="302">
        <f t="shared" si="3"/>
        <v>0</v>
      </c>
      <c r="AF72" s="63">
        <v>1</v>
      </c>
      <c r="AG72" s="302"/>
      <c r="AH72" s="17">
        <v>2</v>
      </c>
      <c r="AI72" s="17">
        <v>2</v>
      </c>
      <c r="AJ72" s="17">
        <v>2</v>
      </c>
      <c r="AK72" s="109">
        <v>2</v>
      </c>
      <c r="AL72" s="109">
        <v>2</v>
      </c>
      <c r="AM72" s="147">
        <f t="shared" si="2"/>
        <v>4</v>
      </c>
      <c r="AN72" s="18" t="s">
        <v>92</v>
      </c>
      <c r="AO72" s="18" t="s">
        <v>118</v>
      </c>
      <c r="AP72" s="10" t="s">
        <v>193</v>
      </c>
    </row>
    <row r="73" spans="1:42" x14ac:dyDescent="0.3">
      <c r="A73" s="9" t="s">
        <v>30</v>
      </c>
      <c r="B73" s="10" t="s">
        <v>31</v>
      </c>
      <c r="C73" s="11" t="s">
        <v>32</v>
      </c>
      <c r="D73" s="12" t="s">
        <v>33</v>
      </c>
      <c r="E73" s="11" t="s">
        <v>34</v>
      </c>
      <c r="F73" s="12" t="s">
        <v>35</v>
      </c>
      <c r="G73" s="11" t="s">
        <v>281</v>
      </c>
      <c r="H73" s="12" t="s">
        <v>282</v>
      </c>
      <c r="I73" s="12" t="s">
        <v>289</v>
      </c>
      <c r="J73" s="12" t="s">
        <v>290</v>
      </c>
      <c r="K73" s="11" t="s">
        <v>291</v>
      </c>
      <c r="L73" s="12" t="s">
        <v>292</v>
      </c>
      <c r="M73" s="18" t="s">
        <v>293</v>
      </c>
      <c r="N73" s="424">
        <v>120</v>
      </c>
      <c r="O73" s="18">
        <v>100</v>
      </c>
      <c r="P73" s="16">
        <v>200</v>
      </c>
      <c r="Q73" s="16">
        <v>200</v>
      </c>
      <c r="R73" s="110">
        <v>200</v>
      </c>
      <c r="S73" s="110">
        <v>200</v>
      </c>
      <c r="T73" s="10" t="s">
        <v>92</v>
      </c>
      <c r="U73" s="283" t="s">
        <v>118</v>
      </c>
      <c r="V73" s="10" t="s">
        <v>294</v>
      </c>
      <c r="W73" s="298">
        <v>1</v>
      </c>
      <c r="X73" s="298">
        <v>0</v>
      </c>
      <c r="Y73" s="298">
        <v>0</v>
      </c>
      <c r="Z73" s="299">
        <v>1</v>
      </c>
      <c r="AA73" s="299">
        <v>1</v>
      </c>
      <c r="AB73" s="300">
        <v>1</v>
      </c>
      <c r="AC73" s="301">
        <v>1</v>
      </c>
      <c r="AD73" s="301">
        <v>1</v>
      </c>
      <c r="AE73" s="302">
        <f t="shared" si="3"/>
        <v>0.75</v>
      </c>
      <c r="AF73" s="63">
        <v>0</v>
      </c>
      <c r="AG73" s="302"/>
      <c r="AH73" s="17">
        <v>0.5</v>
      </c>
      <c r="AI73" s="17">
        <v>0.5</v>
      </c>
      <c r="AJ73" s="17">
        <v>0.5</v>
      </c>
      <c r="AK73" s="127">
        <v>0.4</v>
      </c>
      <c r="AL73" s="127">
        <v>0.4</v>
      </c>
      <c r="AM73" s="147">
        <f t="shared" si="2"/>
        <v>0.8</v>
      </c>
      <c r="AN73" s="18" t="s">
        <v>92</v>
      </c>
      <c r="AO73" s="18" t="s">
        <v>118</v>
      </c>
      <c r="AP73" s="10" t="s">
        <v>295</v>
      </c>
    </row>
    <row r="74" spans="1:42" x14ac:dyDescent="0.3">
      <c r="A74" s="9" t="s">
        <v>30</v>
      </c>
      <c r="B74" s="10" t="s">
        <v>31</v>
      </c>
      <c r="C74" s="11" t="s">
        <v>32</v>
      </c>
      <c r="D74" s="12" t="s">
        <v>33</v>
      </c>
      <c r="E74" s="11" t="s">
        <v>34</v>
      </c>
      <c r="F74" s="12" t="s">
        <v>35</v>
      </c>
      <c r="G74" s="11" t="s">
        <v>281</v>
      </c>
      <c r="H74" s="12" t="s">
        <v>282</v>
      </c>
      <c r="I74" s="12" t="s">
        <v>289</v>
      </c>
      <c r="J74" s="12" t="s">
        <v>290</v>
      </c>
      <c r="K74" s="11" t="s">
        <v>291</v>
      </c>
      <c r="L74" s="12" t="s">
        <v>292</v>
      </c>
      <c r="M74" s="18" t="s">
        <v>296</v>
      </c>
      <c r="N74" s="424">
        <v>0</v>
      </c>
      <c r="O74" s="18">
        <v>50</v>
      </c>
      <c r="P74" s="16">
        <v>200</v>
      </c>
      <c r="Q74" s="16">
        <v>300</v>
      </c>
      <c r="R74" s="110">
        <v>300</v>
      </c>
      <c r="S74" s="110">
        <v>150</v>
      </c>
      <c r="T74" s="10" t="s">
        <v>92</v>
      </c>
      <c r="U74" s="283" t="s">
        <v>118</v>
      </c>
      <c r="V74" s="10" t="s">
        <v>294</v>
      </c>
      <c r="W74" s="298">
        <v>1</v>
      </c>
      <c r="X74" s="298">
        <v>0</v>
      </c>
      <c r="Y74" s="298">
        <v>0</v>
      </c>
      <c r="Z74" s="299">
        <v>1</v>
      </c>
      <c r="AA74" s="299">
        <v>1</v>
      </c>
      <c r="AB74" s="300">
        <v>1</v>
      </c>
      <c r="AC74" s="301">
        <v>1</v>
      </c>
      <c r="AD74" s="301">
        <v>1</v>
      </c>
      <c r="AE74" s="302">
        <f t="shared" si="3"/>
        <v>0.75</v>
      </c>
      <c r="AF74" s="63">
        <v>0</v>
      </c>
      <c r="AG74" s="302"/>
      <c r="AH74" s="17"/>
      <c r="AI74" s="17"/>
      <c r="AJ74" s="17"/>
      <c r="AK74" s="109">
        <v>0.2</v>
      </c>
      <c r="AL74" s="109">
        <v>0.1</v>
      </c>
      <c r="AM74" s="147">
        <f t="shared" si="2"/>
        <v>0.30000000000000004</v>
      </c>
      <c r="AN74" s="18" t="s">
        <v>43</v>
      </c>
      <c r="AO74" s="18" t="s">
        <v>45</v>
      </c>
      <c r="AP74" s="10" t="s">
        <v>92</v>
      </c>
    </row>
    <row r="75" spans="1:42" x14ac:dyDescent="0.3">
      <c r="A75" s="9" t="s">
        <v>30</v>
      </c>
      <c r="B75" s="10" t="s">
        <v>31</v>
      </c>
      <c r="C75" s="11" t="s">
        <v>32</v>
      </c>
      <c r="D75" s="12" t="s">
        <v>33</v>
      </c>
      <c r="E75" s="11" t="s">
        <v>34</v>
      </c>
      <c r="F75" s="12" t="s">
        <v>35</v>
      </c>
      <c r="G75" s="11" t="s">
        <v>281</v>
      </c>
      <c r="H75" s="12" t="s">
        <v>282</v>
      </c>
      <c r="I75" s="12" t="s">
        <v>289</v>
      </c>
      <c r="J75" s="12" t="s">
        <v>290</v>
      </c>
      <c r="K75" s="11" t="s">
        <v>297</v>
      </c>
      <c r="L75" s="12" t="s">
        <v>298</v>
      </c>
      <c r="M75" s="18" t="s">
        <v>299</v>
      </c>
      <c r="N75" s="424">
        <v>45</v>
      </c>
      <c r="O75" s="18">
        <v>50</v>
      </c>
      <c r="P75" s="16">
        <v>65</v>
      </c>
      <c r="Q75" s="16">
        <v>80</v>
      </c>
      <c r="R75" s="110">
        <v>100</v>
      </c>
      <c r="S75" s="110">
        <v>120</v>
      </c>
      <c r="T75" s="10" t="s">
        <v>92</v>
      </c>
      <c r="U75" s="283" t="s">
        <v>118</v>
      </c>
      <c r="V75" s="10" t="s">
        <v>300</v>
      </c>
      <c r="W75" s="298">
        <v>1</v>
      </c>
      <c r="X75" s="298">
        <v>0</v>
      </c>
      <c r="Y75" s="298">
        <v>0</v>
      </c>
      <c r="Z75" s="299">
        <v>1</v>
      </c>
      <c r="AA75" s="299">
        <v>1</v>
      </c>
      <c r="AB75" s="300">
        <v>1</v>
      </c>
      <c r="AC75" s="301">
        <v>1</v>
      </c>
      <c r="AD75" s="301">
        <v>1</v>
      </c>
      <c r="AE75" s="302">
        <f t="shared" si="3"/>
        <v>0.75</v>
      </c>
      <c r="AF75" s="63">
        <v>0</v>
      </c>
      <c r="AG75" s="302"/>
      <c r="AH75" s="17"/>
      <c r="AI75" s="17"/>
      <c r="AJ75" s="17"/>
      <c r="AK75" s="127">
        <v>0.1</v>
      </c>
      <c r="AL75" s="127">
        <v>0.1</v>
      </c>
      <c r="AM75" s="147">
        <f t="shared" si="2"/>
        <v>0.2</v>
      </c>
      <c r="AN75" s="18" t="s">
        <v>92</v>
      </c>
      <c r="AO75" s="18" t="s">
        <v>118</v>
      </c>
      <c r="AP75" s="10" t="s">
        <v>301</v>
      </c>
    </row>
    <row r="76" spans="1:42" x14ac:dyDescent="0.3">
      <c r="A76" s="9" t="s">
        <v>30</v>
      </c>
      <c r="B76" s="10" t="s">
        <v>31</v>
      </c>
      <c r="C76" s="11" t="s">
        <v>32</v>
      </c>
      <c r="D76" s="12" t="s">
        <v>33</v>
      </c>
      <c r="E76" s="11" t="s">
        <v>34</v>
      </c>
      <c r="F76" s="12" t="s">
        <v>35</v>
      </c>
      <c r="G76" s="11" t="s">
        <v>281</v>
      </c>
      <c r="H76" s="12" t="s">
        <v>282</v>
      </c>
      <c r="I76" s="12" t="s">
        <v>289</v>
      </c>
      <c r="J76" s="12" t="s">
        <v>290</v>
      </c>
      <c r="K76" s="11" t="s">
        <v>302</v>
      </c>
      <c r="L76" s="12" t="s">
        <v>303</v>
      </c>
      <c r="M76" s="18" t="s">
        <v>304</v>
      </c>
      <c r="N76" s="424">
        <v>0</v>
      </c>
      <c r="O76" s="18">
        <v>0</v>
      </c>
      <c r="P76" s="16">
        <v>30</v>
      </c>
      <c r="Q76" s="16">
        <v>30</v>
      </c>
      <c r="R76" s="110">
        <v>30</v>
      </c>
      <c r="S76" s="110">
        <v>26</v>
      </c>
      <c r="T76" s="10" t="s">
        <v>239</v>
      </c>
      <c r="U76" s="283" t="s">
        <v>241</v>
      </c>
      <c r="V76" s="10" t="s">
        <v>305</v>
      </c>
      <c r="W76" s="298">
        <v>1</v>
      </c>
      <c r="X76" s="298">
        <v>0</v>
      </c>
      <c r="Y76" s="298">
        <v>0</v>
      </c>
      <c r="Z76" s="299">
        <v>1</v>
      </c>
      <c r="AA76" s="299">
        <v>0</v>
      </c>
      <c r="AB76" s="300">
        <v>0</v>
      </c>
      <c r="AC76" s="301">
        <v>1</v>
      </c>
      <c r="AD76" s="301">
        <v>0</v>
      </c>
      <c r="AE76" s="302">
        <f t="shared" si="3"/>
        <v>0.375</v>
      </c>
      <c r="AF76" s="63">
        <v>1</v>
      </c>
      <c r="AG76" s="302">
        <v>0.01</v>
      </c>
      <c r="AH76" s="17"/>
      <c r="AI76" s="17"/>
      <c r="AJ76" s="17"/>
      <c r="AK76" s="109"/>
      <c r="AL76" s="109"/>
      <c r="AM76" s="147">
        <f t="shared" si="2"/>
        <v>0</v>
      </c>
      <c r="AN76" s="10" t="s">
        <v>239</v>
      </c>
      <c r="AO76" s="18" t="s">
        <v>241</v>
      </c>
      <c r="AP76" s="10" t="s">
        <v>306</v>
      </c>
    </row>
    <row r="77" spans="1:42" x14ac:dyDescent="0.3">
      <c r="A77" s="9" t="s">
        <v>30</v>
      </c>
      <c r="B77" s="10" t="s">
        <v>31</v>
      </c>
      <c r="C77" s="11" t="s">
        <v>32</v>
      </c>
      <c r="D77" s="12" t="s">
        <v>33</v>
      </c>
      <c r="E77" s="11" t="s">
        <v>34</v>
      </c>
      <c r="F77" s="12" t="s">
        <v>35</v>
      </c>
      <c r="G77" s="11" t="s">
        <v>281</v>
      </c>
      <c r="H77" s="12" t="s">
        <v>282</v>
      </c>
      <c r="I77" s="12" t="s">
        <v>289</v>
      </c>
      <c r="J77" s="12" t="s">
        <v>290</v>
      </c>
      <c r="K77" s="11" t="s">
        <v>307</v>
      </c>
      <c r="L77" s="12" t="s">
        <v>292</v>
      </c>
      <c r="M77" s="18" t="s">
        <v>308</v>
      </c>
      <c r="N77" s="424">
        <v>68</v>
      </c>
      <c r="O77" s="18">
        <v>32</v>
      </c>
      <c r="P77" s="16">
        <v>32</v>
      </c>
      <c r="Q77" s="16">
        <v>32</v>
      </c>
      <c r="R77" s="110">
        <v>32</v>
      </c>
      <c r="S77" s="110">
        <v>40</v>
      </c>
      <c r="T77" s="10" t="s">
        <v>92</v>
      </c>
      <c r="U77" s="283" t="s">
        <v>118</v>
      </c>
      <c r="V77" s="10" t="s">
        <v>309</v>
      </c>
      <c r="W77" s="298">
        <v>1</v>
      </c>
      <c r="X77" s="298">
        <v>1</v>
      </c>
      <c r="Y77" s="298">
        <v>1</v>
      </c>
      <c r="Z77" s="299">
        <v>1</v>
      </c>
      <c r="AA77" s="299">
        <v>1</v>
      </c>
      <c r="AB77" s="300">
        <v>0</v>
      </c>
      <c r="AC77" s="301">
        <v>1</v>
      </c>
      <c r="AD77" s="301">
        <v>0</v>
      </c>
      <c r="AE77" s="302">
        <f t="shared" si="3"/>
        <v>0.75</v>
      </c>
      <c r="AF77" s="63">
        <v>0</v>
      </c>
      <c r="AG77" s="302"/>
      <c r="AH77" s="17">
        <v>1.5</v>
      </c>
      <c r="AI77" s="17">
        <v>1.5</v>
      </c>
      <c r="AJ77" s="17">
        <v>1.5</v>
      </c>
      <c r="AK77" s="109">
        <v>1.5</v>
      </c>
      <c r="AL77" s="109">
        <v>1.5</v>
      </c>
      <c r="AM77" s="147">
        <f t="shared" si="2"/>
        <v>3</v>
      </c>
      <c r="AN77" s="18" t="s">
        <v>92</v>
      </c>
      <c r="AO77" s="18" t="s">
        <v>118</v>
      </c>
      <c r="AP77" s="10" t="s">
        <v>255</v>
      </c>
    </row>
    <row r="78" spans="1:42" x14ac:dyDescent="0.3">
      <c r="A78" s="9" t="s">
        <v>30</v>
      </c>
      <c r="B78" s="10" t="s">
        <v>31</v>
      </c>
      <c r="C78" s="11" t="s">
        <v>32</v>
      </c>
      <c r="D78" s="12" t="s">
        <v>33</v>
      </c>
      <c r="E78" s="11" t="s">
        <v>34</v>
      </c>
      <c r="F78" s="12" t="s">
        <v>35</v>
      </c>
      <c r="G78" s="11" t="s">
        <v>281</v>
      </c>
      <c r="H78" s="12" t="s">
        <v>282</v>
      </c>
      <c r="I78" s="12" t="s">
        <v>289</v>
      </c>
      <c r="J78" s="12" t="s">
        <v>290</v>
      </c>
      <c r="K78" s="11" t="s">
        <v>307</v>
      </c>
      <c r="L78" s="12" t="s">
        <v>292</v>
      </c>
      <c r="M78" s="18" t="s">
        <v>310</v>
      </c>
      <c r="N78" s="424">
        <v>0</v>
      </c>
      <c r="O78" s="18">
        <v>25</v>
      </c>
      <c r="P78" s="16">
        <v>25</v>
      </c>
      <c r="Q78" s="16">
        <v>25</v>
      </c>
      <c r="R78" s="110">
        <v>25</v>
      </c>
      <c r="S78" s="110">
        <v>25</v>
      </c>
      <c r="T78" s="10" t="s">
        <v>92</v>
      </c>
      <c r="U78" s="283" t="s">
        <v>118</v>
      </c>
      <c r="V78" s="10" t="s">
        <v>311</v>
      </c>
      <c r="W78" s="298">
        <v>1</v>
      </c>
      <c r="X78" s="298">
        <v>1</v>
      </c>
      <c r="Y78" s="298">
        <v>1</v>
      </c>
      <c r="Z78" s="299">
        <v>1</v>
      </c>
      <c r="AA78" s="299">
        <v>1</v>
      </c>
      <c r="AB78" s="300">
        <v>1</v>
      </c>
      <c r="AC78" s="301">
        <v>1</v>
      </c>
      <c r="AD78" s="301">
        <v>0</v>
      </c>
      <c r="AE78" s="302">
        <f t="shared" si="3"/>
        <v>0.875</v>
      </c>
      <c r="AF78" s="63">
        <v>0</v>
      </c>
      <c r="AG78" s="302"/>
      <c r="AH78" s="17">
        <v>0.5</v>
      </c>
      <c r="AI78" s="17">
        <v>0.5</v>
      </c>
      <c r="AJ78" s="17">
        <v>0.5</v>
      </c>
      <c r="AK78" s="109">
        <v>0.5</v>
      </c>
      <c r="AL78" s="109">
        <v>0.5</v>
      </c>
      <c r="AM78" s="147">
        <f t="shared" si="2"/>
        <v>1</v>
      </c>
      <c r="AN78" s="18" t="s">
        <v>67</v>
      </c>
      <c r="AO78" s="18" t="s">
        <v>68</v>
      </c>
      <c r="AP78" s="10" t="s">
        <v>312</v>
      </c>
    </row>
    <row r="79" spans="1:42" x14ac:dyDescent="0.3">
      <c r="A79" s="9" t="s">
        <v>30</v>
      </c>
      <c r="B79" s="10" t="s">
        <v>31</v>
      </c>
      <c r="C79" s="11" t="s">
        <v>32</v>
      </c>
      <c r="D79" s="12" t="s">
        <v>33</v>
      </c>
      <c r="E79" s="11" t="s">
        <v>34</v>
      </c>
      <c r="F79" s="12" t="s">
        <v>35</v>
      </c>
      <c r="G79" s="11" t="s">
        <v>281</v>
      </c>
      <c r="H79" s="12" t="s">
        <v>282</v>
      </c>
      <c r="I79" s="12" t="s">
        <v>289</v>
      </c>
      <c r="J79" s="12" t="s">
        <v>290</v>
      </c>
      <c r="K79" s="11" t="s">
        <v>307</v>
      </c>
      <c r="L79" s="12" t="s">
        <v>292</v>
      </c>
      <c r="M79" s="18" t="s">
        <v>313</v>
      </c>
      <c r="N79" s="424">
        <v>0</v>
      </c>
      <c r="O79" s="14">
        <v>0</v>
      </c>
      <c r="P79" s="16">
        <v>1</v>
      </c>
      <c r="Q79" s="16">
        <v>1</v>
      </c>
      <c r="R79" s="110">
        <v>1</v>
      </c>
      <c r="S79" s="110"/>
      <c r="T79" s="10" t="s">
        <v>92</v>
      </c>
      <c r="U79" s="283" t="s">
        <v>118</v>
      </c>
      <c r="V79" s="10" t="s">
        <v>314</v>
      </c>
      <c r="W79" s="298">
        <v>1</v>
      </c>
      <c r="X79" s="298">
        <v>0</v>
      </c>
      <c r="Y79" s="298">
        <v>0</v>
      </c>
      <c r="Z79" s="299">
        <v>1</v>
      </c>
      <c r="AA79" s="299">
        <v>1</v>
      </c>
      <c r="AB79" s="300">
        <v>0</v>
      </c>
      <c r="AC79" s="301">
        <v>1</v>
      </c>
      <c r="AD79" s="301">
        <v>0</v>
      </c>
      <c r="AE79" s="302">
        <f t="shared" si="3"/>
        <v>0.5</v>
      </c>
      <c r="AF79" s="63">
        <v>0</v>
      </c>
      <c r="AG79" s="302"/>
      <c r="AH79" s="17">
        <v>0</v>
      </c>
      <c r="AI79" s="17">
        <v>1</v>
      </c>
      <c r="AJ79" s="17">
        <v>1</v>
      </c>
      <c r="AK79" s="109"/>
      <c r="AL79" s="109"/>
      <c r="AM79" s="147">
        <f t="shared" si="2"/>
        <v>0</v>
      </c>
      <c r="AN79" s="18" t="s">
        <v>92</v>
      </c>
      <c r="AO79" s="18" t="s">
        <v>118</v>
      </c>
      <c r="AP79" s="10" t="s">
        <v>315</v>
      </c>
    </row>
    <row r="80" spans="1:42" x14ac:dyDescent="0.3">
      <c r="A80" s="9" t="s">
        <v>30</v>
      </c>
      <c r="B80" s="10" t="s">
        <v>31</v>
      </c>
      <c r="C80" s="11" t="s">
        <v>32</v>
      </c>
      <c r="D80" s="12" t="s">
        <v>33</v>
      </c>
      <c r="E80" s="11" t="s">
        <v>34</v>
      </c>
      <c r="F80" s="12" t="s">
        <v>35</v>
      </c>
      <c r="G80" s="11" t="s">
        <v>281</v>
      </c>
      <c r="H80" s="12" t="s">
        <v>282</v>
      </c>
      <c r="I80" s="12" t="s">
        <v>289</v>
      </c>
      <c r="J80" s="12" t="s">
        <v>290</v>
      </c>
      <c r="K80" s="11" t="s">
        <v>307</v>
      </c>
      <c r="L80" s="12" t="s">
        <v>292</v>
      </c>
      <c r="M80" s="18" t="s">
        <v>316</v>
      </c>
      <c r="N80" s="424">
        <v>0</v>
      </c>
      <c r="O80" s="18">
        <v>1</v>
      </c>
      <c r="P80" s="16">
        <v>1</v>
      </c>
      <c r="Q80" s="16">
        <v>1</v>
      </c>
      <c r="R80" s="110">
        <v>1</v>
      </c>
      <c r="S80" s="110">
        <v>1</v>
      </c>
      <c r="T80" s="10" t="s">
        <v>92</v>
      </c>
      <c r="U80" s="283" t="s">
        <v>118</v>
      </c>
      <c r="V80" s="10" t="s">
        <v>317</v>
      </c>
      <c r="W80" s="298">
        <v>1</v>
      </c>
      <c r="X80" s="298">
        <v>0</v>
      </c>
      <c r="Y80" s="298">
        <v>0</v>
      </c>
      <c r="Z80" s="299">
        <v>1</v>
      </c>
      <c r="AA80" s="299">
        <v>1</v>
      </c>
      <c r="AB80" s="300">
        <v>1</v>
      </c>
      <c r="AC80" s="301">
        <v>1</v>
      </c>
      <c r="AD80" s="301">
        <v>1</v>
      </c>
      <c r="AE80" s="302">
        <f t="shared" si="3"/>
        <v>0.75</v>
      </c>
      <c r="AF80" s="63">
        <v>0</v>
      </c>
      <c r="AG80" s="302"/>
      <c r="AH80" s="17">
        <v>5.5</v>
      </c>
      <c r="AI80" s="17">
        <v>10.5</v>
      </c>
      <c r="AJ80" s="17">
        <v>12.5</v>
      </c>
      <c r="AK80" s="127">
        <v>1.2</v>
      </c>
      <c r="AL80" s="127">
        <v>3.7</v>
      </c>
      <c r="AM80" s="147">
        <f t="shared" si="2"/>
        <v>4.9000000000000004</v>
      </c>
      <c r="AN80" s="18" t="s">
        <v>92</v>
      </c>
      <c r="AO80" s="18" t="s">
        <v>118</v>
      </c>
      <c r="AP80" s="10" t="s">
        <v>318</v>
      </c>
    </row>
    <row r="81" spans="1:42" x14ac:dyDescent="0.3">
      <c r="A81" s="9" t="s">
        <v>30</v>
      </c>
      <c r="B81" s="10" t="s">
        <v>31</v>
      </c>
      <c r="C81" s="11" t="s">
        <v>32</v>
      </c>
      <c r="D81" s="12" t="s">
        <v>33</v>
      </c>
      <c r="E81" s="11" t="s">
        <v>34</v>
      </c>
      <c r="F81" s="12" t="s">
        <v>35</v>
      </c>
      <c r="G81" s="11" t="s">
        <v>281</v>
      </c>
      <c r="H81" s="12" t="s">
        <v>282</v>
      </c>
      <c r="I81" s="12" t="s">
        <v>289</v>
      </c>
      <c r="J81" s="12" t="s">
        <v>290</v>
      </c>
      <c r="K81" s="11" t="s">
        <v>307</v>
      </c>
      <c r="L81" s="12" t="s">
        <v>292</v>
      </c>
      <c r="M81" s="18" t="s">
        <v>319</v>
      </c>
      <c r="N81" s="424">
        <v>0</v>
      </c>
      <c r="O81" s="18">
        <v>1</v>
      </c>
      <c r="P81" s="16">
        <v>1</v>
      </c>
      <c r="Q81" s="16">
        <v>1</v>
      </c>
      <c r="R81" s="110">
        <v>1</v>
      </c>
      <c r="S81" s="110">
        <v>1</v>
      </c>
      <c r="T81" s="10" t="s">
        <v>92</v>
      </c>
      <c r="U81" s="283" t="s">
        <v>118</v>
      </c>
      <c r="V81" s="10" t="s">
        <v>320</v>
      </c>
      <c r="W81" s="298">
        <v>1</v>
      </c>
      <c r="X81" s="298">
        <v>0</v>
      </c>
      <c r="Y81" s="298">
        <v>0</v>
      </c>
      <c r="Z81" s="299">
        <v>1</v>
      </c>
      <c r="AA81" s="299">
        <v>1</v>
      </c>
      <c r="AB81" s="300">
        <v>1</v>
      </c>
      <c r="AC81" s="301">
        <v>1</v>
      </c>
      <c r="AD81" s="301">
        <v>1</v>
      </c>
      <c r="AE81" s="302">
        <f t="shared" si="3"/>
        <v>0.75</v>
      </c>
      <c r="AF81" s="63">
        <v>0</v>
      </c>
      <c r="AG81" s="302"/>
      <c r="AH81" s="17"/>
      <c r="AI81" s="17"/>
      <c r="AJ81" s="17"/>
      <c r="AK81" s="127">
        <v>1.2</v>
      </c>
      <c r="AL81" s="127">
        <v>3.7</v>
      </c>
      <c r="AM81" s="147">
        <f t="shared" si="2"/>
        <v>4.9000000000000004</v>
      </c>
      <c r="AN81" s="18" t="s">
        <v>92</v>
      </c>
      <c r="AO81" s="18" t="s">
        <v>118</v>
      </c>
      <c r="AP81" s="10" t="s">
        <v>321</v>
      </c>
    </row>
    <row r="82" spans="1:42" x14ac:dyDescent="0.3">
      <c r="A82" s="9" t="s">
        <v>30</v>
      </c>
      <c r="B82" s="10" t="s">
        <v>31</v>
      </c>
      <c r="C82" s="11" t="s">
        <v>32</v>
      </c>
      <c r="D82" s="12" t="s">
        <v>33</v>
      </c>
      <c r="E82" s="11" t="s">
        <v>34</v>
      </c>
      <c r="F82" s="12" t="s">
        <v>35</v>
      </c>
      <c r="G82" s="11" t="s">
        <v>281</v>
      </c>
      <c r="H82" s="12" t="s">
        <v>282</v>
      </c>
      <c r="I82" s="12" t="s">
        <v>289</v>
      </c>
      <c r="J82" s="12" t="s">
        <v>290</v>
      </c>
      <c r="K82" s="11" t="s">
        <v>307</v>
      </c>
      <c r="L82" s="12" t="s">
        <v>292</v>
      </c>
      <c r="M82" s="18" t="s">
        <v>322</v>
      </c>
      <c r="N82" s="424">
        <v>5000000</v>
      </c>
      <c r="O82" s="433">
        <v>5000000</v>
      </c>
      <c r="P82" s="31">
        <v>5000000</v>
      </c>
      <c r="Q82" s="31">
        <v>5000000</v>
      </c>
      <c r="R82" s="131">
        <v>4000000</v>
      </c>
      <c r="S82" s="131">
        <v>4000000</v>
      </c>
      <c r="T82" s="18" t="s">
        <v>156</v>
      </c>
      <c r="U82" s="283" t="s">
        <v>158</v>
      </c>
      <c r="V82" s="10" t="s">
        <v>323</v>
      </c>
      <c r="W82" s="298">
        <v>1</v>
      </c>
      <c r="X82" s="298">
        <v>1</v>
      </c>
      <c r="Y82" s="298">
        <v>1</v>
      </c>
      <c r="Z82" s="299">
        <v>1</v>
      </c>
      <c r="AA82" s="299">
        <v>1</v>
      </c>
      <c r="AB82" s="300">
        <v>1</v>
      </c>
      <c r="AC82" s="301">
        <v>1</v>
      </c>
      <c r="AD82" s="301">
        <v>0</v>
      </c>
      <c r="AE82" s="302">
        <f t="shared" si="3"/>
        <v>0.875</v>
      </c>
      <c r="AF82" s="63">
        <v>0</v>
      </c>
      <c r="AG82" s="302"/>
      <c r="AH82" s="17">
        <v>0</v>
      </c>
      <c r="AI82" s="17">
        <v>13.5</v>
      </c>
      <c r="AJ82" s="17">
        <v>16.5</v>
      </c>
      <c r="AK82" s="127">
        <v>10.5</v>
      </c>
      <c r="AL82" s="127">
        <v>15.5</v>
      </c>
      <c r="AM82" s="147">
        <f t="shared" si="2"/>
        <v>26</v>
      </c>
      <c r="AN82" s="18" t="s">
        <v>156</v>
      </c>
      <c r="AO82" s="18" t="s">
        <v>158</v>
      </c>
      <c r="AP82" s="10" t="s">
        <v>324</v>
      </c>
    </row>
    <row r="83" spans="1:42" x14ac:dyDescent="0.3">
      <c r="A83" s="9" t="s">
        <v>30</v>
      </c>
      <c r="B83" s="10" t="s">
        <v>31</v>
      </c>
      <c r="C83" s="11" t="s">
        <v>32</v>
      </c>
      <c r="D83" s="12" t="s">
        <v>33</v>
      </c>
      <c r="E83" s="11" t="s">
        <v>34</v>
      </c>
      <c r="F83" s="12" t="s">
        <v>35</v>
      </c>
      <c r="G83" s="11" t="s">
        <v>281</v>
      </c>
      <c r="H83" s="12" t="s">
        <v>282</v>
      </c>
      <c r="I83" s="12" t="s">
        <v>289</v>
      </c>
      <c r="J83" s="12" t="s">
        <v>290</v>
      </c>
      <c r="K83" s="11" t="s">
        <v>307</v>
      </c>
      <c r="L83" s="12" t="s">
        <v>292</v>
      </c>
      <c r="M83" s="18" t="s">
        <v>325</v>
      </c>
      <c r="N83" s="424">
        <v>0</v>
      </c>
      <c r="O83" s="176">
        <v>0</v>
      </c>
      <c r="P83" s="16"/>
      <c r="Q83" s="16"/>
      <c r="R83" s="110"/>
      <c r="S83" s="110">
        <v>1</v>
      </c>
      <c r="T83" s="18" t="s">
        <v>326</v>
      </c>
      <c r="U83" s="283" t="s">
        <v>328</v>
      </c>
      <c r="V83" s="10" t="s">
        <v>327</v>
      </c>
      <c r="W83" s="298">
        <v>1</v>
      </c>
      <c r="X83" s="298">
        <v>1</v>
      </c>
      <c r="Y83" s="298">
        <v>0</v>
      </c>
      <c r="Z83" s="299">
        <v>1</v>
      </c>
      <c r="AA83" s="299">
        <v>1</v>
      </c>
      <c r="AB83" s="300">
        <v>1</v>
      </c>
      <c r="AC83" s="301">
        <v>1</v>
      </c>
      <c r="AD83" s="301">
        <v>1</v>
      </c>
      <c r="AE83" s="302">
        <f t="shared" si="3"/>
        <v>0.875</v>
      </c>
      <c r="AF83" s="63">
        <v>0</v>
      </c>
      <c r="AG83" s="302"/>
      <c r="AH83" s="17">
        <v>1.2</v>
      </c>
      <c r="AI83" s="17">
        <v>1.5</v>
      </c>
      <c r="AJ83" s="17">
        <v>0.7</v>
      </c>
      <c r="AK83" s="127">
        <v>0.5</v>
      </c>
      <c r="AL83" s="127">
        <v>1</v>
      </c>
      <c r="AM83" s="147">
        <f t="shared" si="2"/>
        <v>1.5</v>
      </c>
      <c r="AN83" s="18" t="s">
        <v>326</v>
      </c>
      <c r="AO83" s="18" t="s">
        <v>328</v>
      </c>
      <c r="AP83" s="10" t="s">
        <v>329</v>
      </c>
    </row>
    <row r="84" spans="1:42" s="294" customFormat="1" x14ac:dyDescent="0.3">
      <c r="A84" s="91" t="s">
        <v>30</v>
      </c>
      <c r="B84" s="92" t="s">
        <v>31</v>
      </c>
      <c r="C84" s="93" t="s">
        <v>32</v>
      </c>
      <c r="D84" s="94" t="s">
        <v>33</v>
      </c>
      <c r="E84" s="93" t="s">
        <v>34</v>
      </c>
      <c r="F84" s="94" t="s">
        <v>35</v>
      </c>
      <c r="G84" s="93" t="s">
        <v>281</v>
      </c>
      <c r="H84" s="94" t="s">
        <v>282</v>
      </c>
      <c r="I84" s="94" t="s">
        <v>289</v>
      </c>
      <c r="J84" s="94" t="s">
        <v>290</v>
      </c>
      <c r="K84" s="93" t="s">
        <v>330</v>
      </c>
      <c r="L84" s="94" t="s">
        <v>331</v>
      </c>
      <c r="M84" s="97" t="s">
        <v>332</v>
      </c>
      <c r="N84" s="424">
        <v>0</v>
      </c>
      <c r="O84" s="14">
        <v>0</v>
      </c>
      <c r="P84" s="16"/>
      <c r="Q84" s="16"/>
      <c r="R84" s="110">
        <v>1</v>
      </c>
      <c r="S84" s="110">
        <v>1</v>
      </c>
      <c r="T84" s="10" t="s">
        <v>92</v>
      </c>
      <c r="U84" s="283" t="s">
        <v>118</v>
      </c>
      <c r="V84" s="92" t="s">
        <v>333</v>
      </c>
      <c r="W84" s="298">
        <v>1</v>
      </c>
      <c r="X84" s="298">
        <v>1</v>
      </c>
      <c r="Y84" s="298">
        <v>1</v>
      </c>
      <c r="Z84" s="299">
        <v>1</v>
      </c>
      <c r="AA84" s="299">
        <v>1</v>
      </c>
      <c r="AB84" s="300">
        <v>1</v>
      </c>
      <c r="AC84" s="301">
        <v>1</v>
      </c>
      <c r="AD84" s="301">
        <v>1</v>
      </c>
      <c r="AE84" s="297">
        <f t="shared" si="3"/>
        <v>1</v>
      </c>
      <c r="AF84" s="63">
        <v>0</v>
      </c>
      <c r="AG84" s="297"/>
      <c r="AH84" s="96">
        <v>9.5</v>
      </c>
      <c r="AI84" s="96">
        <v>3</v>
      </c>
      <c r="AJ84" s="96">
        <v>3</v>
      </c>
      <c r="AK84" s="127">
        <v>3.5</v>
      </c>
      <c r="AL84" s="127">
        <v>5.5</v>
      </c>
      <c r="AM84" s="147">
        <f t="shared" si="2"/>
        <v>9</v>
      </c>
      <c r="AN84" s="97" t="s">
        <v>92</v>
      </c>
      <c r="AO84" s="97" t="s">
        <v>118</v>
      </c>
      <c r="AP84" s="92" t="s">
        <v>75</v>
      </c>
    </row>
    <row r="85" spans="1:42" s="309" customFormat="1" x14ac:dyDescent="0.3">
      <c r="A85" s="85" t="s">
        <v>30</v>
      </c>
      <c r="B85" s="86" t="s">
        <v>31</v>
      </c>
      <c r="C85" s="87" t="s">
        <v>32</v>
      </c>
      <c r="D85" s="88" t="s">
        <v>33</v>
      </c>
      <c r="E85" s="87" t="s">
        <v>34</v>
      </c>
      <c r="F85" s="88" t="s">
        <v>35</v>
      </c>
      <c r="G85" s="87" t="s">
        <v>281</v>
      </c>
      <c r="H85" s="88" t="s">
        <v>282</v>
      </c>
      <c r="I85" s="88" t="s">
        <v>289</v>
      </c>
      <c r="J85" s="88" t="s">
        <v>290</v>
      </c>
      <c r="K85" s="87" t="s">
        <v>330</v>
      </c>
      <c r="L85" s="88" t="s">
        <v>331</v>
      </c>
      <c r="M85" s="90" t="s">
        <v>334</v>
      </c>
      <c r="N85" s="424">
        <v>0</v>
      </c>
      <c r="O85" s="1">
        <v>1</v>
      </c>
      <c r="P85" s="3">
        <v>2</v>
      </c>
      <c r="Q85" s="3">
        <v>2</v>
      </c>
      <c r="R85" s="112">
        <v>2</v>
      </c>
      <c r="S85" s="112">
        <v>2</v>
      </c>
      <c r="T85" s="10" t="s">
        <v>92</v>
      </c>
      <c r="U85" s="283" t="s">
        <v>118</v>
      </c>
      <c r="V85" s="67" t="s">
        <v>335</v>
      </c>
      <c r="W85" s="298">
        <v>1</v>
      </c>
      <c r="X85" s="298">
        <v>0</v>
      </c>
      <c r="Y85" s="298">
        <v>0</v>
      </c>
      <c r="Z85" s="299">
        <v>0</v>
      </c>
      <c r="AA85" s="299">
        <v>0</v>
      </c>
      <c r="AB85" s="300">
        <v>0</v>
      </c>
      <c r="AC85" s="301">
        <v>0</v>
      </c>
      <c r="AD85" s="301">
        <v>0</v>
      </c>
      <c r="AE85" s="308">
        <f t="shared" si="3"/>
        <v>0.125</v>
      </c>
      <c r="AF85" s="63">
        <v>0</v>
      </c>
      <c r="AG85" s="308"/>
      <c r="AH85" s="89">
        <v>0</v>
      </c>
      <c r="AI85" s="89">
        <v>3</v>
      </c>
      <c r="AJ85" s="89">
        <v>3</v>
      </c>
      <c r="AK85" s="109"/>
      <c r="AL85" s="109"/>
      <c r="AM85" s="147">
        <f t="shared" si="2"/>
        <v>0</v>
      </c>
      <c r="AN85" s="90" t="s">
        <v>336</v>
      </c>
      <c r="AO85" s="90" t="s">
        <v>118</v>
      </c>
      <c r="AP85" s="86" t="s">
        <v>337</v>
      </c>
    </row>
    <row r="86" spans="1:42" s="294" customFormat="1" x14ac:dyDescent="0.3">
      <c r="A86" s="91" t="s">
        <v>30</v>
      </c>
      <c r="B86" s="92" t="s">
        <v>31</v>
      </c>
      <c r="C86" s="93" t="s">
        <v>32</v>
      </c>
      <c r="D86" s="94" t="s">
        <v>33</v>
      </c>
      <c r="E86" s="93" t="s">
        <v>34</v>
      </c>
      <c r="F86" s="94" t="s">
        <v>35</v>
      </c>
      <c r="G86" s="93" t="s">
        <v>281</v>
      </c>
      <c r="H86" s="94" t="s">
        <v>282</v>
      </c>
      <c r="I86" s="94" t="s">
        <v>289</v>
      </c>
      <c r="J86" s="94" t="s">
        <v>290</v>
      </c>
      <c r="K86" s="93" t="s">
        <v>338</v>
      </c>
      <c r="L86" s="94" t="s">
        <v>339</v>
      </c>
      <c r="M86" s="97" t="s">
        <v>340</v>
      </c>
      <c r="N86" s="424">
        <v>0</v>
      </c>
      <c r="O86" s="14">
        <v>5000</v>
      </c>
      <c r="P86" s="16">
        <v>8250</v>
      </c>
      <c r="Q86" s="16">
        <v>9222</v>
      </c>
      <c r="R86" s="110">
        <v>10628</v>
      </c>
      <c r="S86" s="110">
        <v>12036</v>
      </c>
      <c r="T86" s="10" t="s">
        <v>92</v>
      </c>
      <c r="U86" s="283" t="s">
        <v>118</v>
      </c>
      <c r="V86" s="92" t="s">
        <v>341</v>
      </c>
      <c r="W86" s="298">
        <v>1</v>
      </c>
      <c r="X86" s="298">
        <v>1</v>
      </c>
      <c r="Y86" s="298">
        <v>1</v>
      </c>
      <c r="Z86" s="299">
        <v>1</v>
      </c>
      <c r="AA86" s="299">
        <v>1</v>
      </c>
      <c r="AB86" s="300">
        <v>1</v>
      </c>
      <c r="AC86" s="301">
        <v>1</v>
      </c>
      <c r="AD86" s="301">
        <v>0</v>
      </c>
      <c r="AE86" s="297">
        <f t="shared" si="3"/>
        <v>0.875</v>
      </c>
      <c r="AF86" s="63">
        <v>0</v>
      </c>
      <c r="AG86" s="297"/>
      <c r="AH86" s="96">
        <v>0</v>
      </c>
      <c r="AI86" s="98">
        <v>3</v>
      </c>
      <c r="AJ86" s="98">
        <v>3</v>
      </c>
      <c r="AK86" s="132">
        <v>1.8</v>
      </c>
      <c r="AL86" s="132">
        <v>3.2</v>
      </c>
      <c r="AM86" s="147">
        <f t="shared" si="2"/>
        <v>5</v>
      </c>
      <c r="AN86" s="97" t="s">
        <v>336</v>
      </c>
      <c r="AO86" s="97" t="s">
        <v>118</v>
      </c>
      <c r="AP86" s="92" t="s">
        <v>154</v>
      </c>
    </row>
    <row r="87" spans="1:42" x14ac:dyDescent="0.3">
      <c r="A87" s="9" t="s">
        <v>30</v>
      </c>
      <c r="B87" s="10" t="s">
        <v>31</v>
      </c>
      <c r="C87" s="11" t="s">
        <v>32</v>
      </c>
      <c r="D87" s="12" t="s">
        <v>33</v>
      </c>
      <c r="E87" s="11" t="s">
        <v>34</v>
      </c>
      <c r="F87" s="12" t="s">
        <v>35</v>
      </c>
      <c r="G87" s="11" t="s">
        <v>281</v>
      </c>
      <c r="H87" s="12" t="s">
        <v>282</v>
      </c>
      <c r="I87" s="12" t="s">
        <v>289</v>
      </c>
      <c r="J87" s="12" t="s">
        <v>290</v>
      </c>
      <c r="K87" s="11" t="s">
        <v>338</v>
      </c>
      <c r="L87" s="12" t="s">
        <v>342</v>
      </c>
      <c r="M87" s="18" t="s">
        <v>343</v>
      </c>
      <c r="N87" s="424">
        <v>0</v>
      </c>
      <c r="O87" s="14">
        <v>0</v>
      </c>
      <c r="P87" s="16">
        <v>2</v>
      </c>
      <c r="Q87" s="16">
        <v>3</v>
      </c>
      <c r="R87" s="110">
        <v>4</v>
      </c>
      <c r="S87" s="110">
        <v>4</v>
      </c>
      <c r="T87" s="10" t="s">
        <v>92</v>
      </c>
      <c r="U87" s="283" t="s">
        <v>118</v>
      </c>
      <c r="V87" s="10" t="s">
        <v>344</v>
      </c>
      <c r="W87" s="298">
        <v>1</v>
      </c>
      <c r="X87" s="298">
        <v>0</v>
      </c>
      <c r="Y87" s="298">
        <v>0</v>
      </c>
      <c r="Z87" s="299">
        <v>0</v>
      </c>
      <c r="AA87" s="299">
        <v>0</v>
      </c>
      <c r="AB87" s="300">
        <v>1</v>
      </c>
      <c r="AC87" s="301">
        <v>0</v>
      </c>
      <c r="AD87" s="301">
        <v>0</v>
      </c>
      <c r="AE87" s="302">
        <f t="shared" si="3"/>
        <v>0.25</v>
      </c>
      <c r="AF87" s="63">
        <v>0</v>
      </c>
      <c r="AG87" s="302"/>
      <c r="AH87" s="17">
        <v>0</v>
      </c>
      <c r="AI87" s="32">
        <v>5</v>
      </c>
      <c r="AJ87" s="32">
        <v>8</v>
      </c>
      <c r="AK87" s="123"/>
      <c r="AL87" s="123"/>
      <c r="AM87" s="147">
        <f t="shared" si="2"/>
        <v>0</v>
      </c>
      <c r="AN87" s="18" t="s">
        <v>336</v>
      </c>
      <c r="AO87" s="18" t="s">
        <v>118</v>
      </c>
      <c r="AP87" s="10" t="s">
        <v>345</v>
      </c>
    </row>
    <row r="88" spans="1:42" x14ac:dyDescent="0.3">
      <c r="A88" s="9" t="s">
        <v>30</v>
      </c>
      <c r="B88" s="10" t="s">
        <v>31</v>
      </c>
      <c r="C88" s="11" t="s">
        <v>32</v>
      </c>
      <c r="D88" s="12" t="s">
        <v>33</v>
      </c>
      <c r="E88" s="11" t="s">
        <v>34</v>
      </c>
      <c r="F88" s="12" t="s">
        <v>35</v>
      </c>
      <c r="G88" s="11" t="s">
        <v>281</v>
      </c>
      <c r="H88" s="12" t="s">
        <v>282</v>
      </c>
      <c r="I88" s="12" t="s">
        <v>289</v>
      </c>
      <c r="J88" s="12" t="s">
        <v>290</v>
      </c>
      <c r="K88" s="11" t="s">
        <v>346</v>
      </c>
      <c r="L88" s="12" t="s">
        <v>347</v>
      </c>
      <c r="M88" s="18" t="s">
        <v>348</v>
      </c>
      <c r="N88" s="424"/>
      <c r="O88" s="18">
        <v>1</v>
      </c>
      <c r="P88" s="16">
        <v>1</v>
      </c>
      <c r="Q88" s="16">
        <v>1</v>
      </c>
      <c r="R88" s="110">
        <v>1</v>
      </c>
      <c r="S88" s="110">
        <v>1</v>
      </c>
      <c r="T88" s="10" t="s">
        <v>92</v>
      </c>
      <c r="U88" s="283" t="s">
        <v>118</v>
      </c>
      <c r="V88" s="10" t="s">
        <v>349</v>
      </c>
      <c r="W88" s="298">
        <v>1</v>
      </c>
      <c r="X88" s="298">
        <v>0</v>
      </c>
      <c r="Y88" s="298">
        <v>0</v>
      </c>
      <c r="Z88" s="299">
        <v>0</v>
      </c>
      <c r="AA88" s="299">
        <v>0</v>
      </c>
      <c r="AB88" s="300">
        <v>0</v>
      </c>
      <c r="AC88" s="301">
        <v>0</v>
      </c>
      <c r="AD88" s="301">
        <v>1</v>
      </c>
      <c r="AE88" s="302">
        <f t="shared" si="3"/>
        <v>0.25</v>
      </c>
      <c r="AF88" s="63">
        <v>0</v>
      </c>
      <c r="AG88" s="302"/>
      <c r="AH88" s="17">
        <v>26</v>
      </c>
      <c r="AI88" s="17">
        <v>28.5</v>
      </c>
      <c r="AJ88" s="17">
        <v>27.5</v>
      </c>
      <c r="AK88" s="109"/>
      <c r="AL88" s="109"/>
      <c r="AM88" s="147">
        <f t="shared" si="2"/>
        <v>0</v>
      </c>
      <c r="AN88" s="283" t="s">
        <v>92</v>
      </c>
      <c r="AO88" s="18" t="s">
        <v>350</v>
      </c>
      <c r="AP88" s="10" t="s">
        <v>351</v>
      </c>
    </row>
    <row r="89" spans="1:42" x14ac:dyDescent="0.3">
      <c r="A89" s="9" t="s">
        <v>30</v>
      </c>
      <c r="B89" s="10" t="s">
        <v>31</v>
      </c>
      <c r="C89" s="11" t="s">
        <v>32</v>
      </c>
      <c r="D89" s="12" t="s">
        <v>33</v>
      </c>
      <c r="E89" s="11" t="s">
        <v>34</v>
      </c>
      <c r="F89" s="12" t="s">
        <v>35</v>
      </c>
      <c r="G89" s="11" t="s">
        <v>281</v>
      </c>
      <c r="H89" s="12" t="s">
        <v>282</v>
      </c>
      <c r="I89" s="12" t="s">
        <v>289</v>
      </c>
      <c r="J89" s="12" t="s">
        <v>290</v>
      </c>
      <c r="K89" s="11" t="s">
        <v>352</v>
      </c>
      <c r="L89" s="12" t="s">
        <v>353</v>
      </c>
      <c r="M89" s="18" t="s">
        <v>354</v>
      </c>
      <c r="N89" s="424">
        <v>0</v>
      </c>
      <c r="O89" s="176">
        <v>0</v>
      </c>
      <c r="P89" s="26">
        <v>23000000</v>
      </c>
      <c r="Q89" s="26">
        <v>23000000</v>
      </c>
      <c r="R89" s="118">
        <v>23000000</v>
      </c>
      <c r="S89" s="118">
        <v>23000000</v>
      </c>
      <c r="T89" s="18" t="s">
        <v>156</v>
      </c>
      <c r="U89" s="283" t="s">
        <v>158</v>
      </c>
      <c r="V89" s="10" t="s">
        <v>355</v>
      </c>
      <c r="W89" s="298">
        <v>1</v>
      </c>
      <c r="X89" s="298">
        <v>1</v>
      </c>
      <c r="Y89" s="298">
        <v>1</v>
      </c>
      <c r="Z89" s="299">
        <v>1</v>
      </c>
      <c r="AA89" s="299">
        <v>1</v>
      </c>
      <c r="AB89" s="300">
        <v>0</v>
      </c>
      <c r="AC89" s="301">
        <v>1</v>
      </c>
      <c r="AD89" s="301">
        <v>0</v>
      </c>
      <c r="AE89" s="302">
        <f t="shared" si="3"/>
        <v>0.75</v>
      </c>
      <c r="AF89" s="63">
        <v>0</v>
      </c>
      <c r="AG89" s="302"/>
      <c r="AH89" s="17">
        <v>0</v>
      </c>
      <c r="AI89" s="17">
        <v>19.5</v>
      </c>
      <c r="AJ89" s="17">
        <v>19.5</v>
      </c>
      <c r="AK89" s="127">
        <v>15</v>
      </c>
      <c r="AL89" s="127">
        <v>10</v>
      </c>
      <c r="AM89" s="147">
        <f t="shared" si="2"/>
        <v>25</v>
      </c>
      <c r="AN89" s="18" t="s">
        <v>156</v>
      </c>
      <c r="AO89" s="18" t="s">
        <v>158</v>
      </c>
      <c r="AP89" s="10" t="s">
        <v>139</v>
      </c>
    </row>
    <row r="90" spans="1:42" x14ac:dyDescent="0.3">
      <c r="A90" s="9" t="s">
        <v>30</v>
      </c>
      <c r="B90" s="10" t="s">
        <v>31</v>
      </c>
      <c r="C90" s="11" t="s">
        <v>32</v>
      </c>
      <c r="D90" s="12" t="s">
        <v>33</v>
      </c>
      <c r="E90" s="11" t="s">
        <v>34</v>
      </c>
      <c r="F90" s="12" t="s">
        <v>35</v>
      </c>
      <c r="G90" s="11" t="s">
        <v>281</v>
      </c>
      <c r="H90" s="12" t="s">
        <v>282</v>
      </c>
      <c r="I90" s="12" t="s">
        <v>289</v>
      </c>
      <c r="J90" s="12" t="s">
        <v>290</v>
      </c>
      <c r="K90" s="11" t="s">
        <v>356</v>
      </c>
      <c r="L90" s="12" t="s">
        <v>357</v>
      </c>
      <c r="M90" s="18" t="s">
        <v>358</v>
      </c>
      <c r="N90" s="424">
        <v>0</v>
      </c>
      <c r="O90" s="431">
        <v>500000</v>
      </c>
      <c r="P90" s="26">
        <v>510000</v>
      </c>
      <c r="Q90" s="26">
        <v>520000</v>
      </c>
      <c r="R90" s="133">
        <v>400000</v>
      </c>
      <c r="S90" s="133">
        <v>400000</v>
      </c>
      <c r="T90" s="18" t="s">
        <v>359</v>
      </c>
      <c r="U90" s="283" t="s">
        <v>361</v>
      </c>
      <c r="V90" s="10" t="s">
        <v>360</v>
      </c>
      <c r="W90" s="298">
        <v>1</v>
      </c>
      <c r="X90" s="298">
        <v>1</v>
      </c>
      <c r="Y90" s="298">
        <v>1</v>
      </c>
      <c r="Z90" s="299">
        <v>1</v>
      </c>
      <c r="AA90" s="299">
        <v>1</v>
      </c>
      <c r="AB90" s="300">
        <v>1</v>
      </c>
      <c r="AC90" s="301">
        <v>1</v>
      </c>
      <c r="AD90" s="301">
        <v>0</v>
      </c>
      <c r="AE90" s="302">
        <f t="shared" si="3"/>
        <v>0.875</v>
      </c>
      <c r="AF90" s="63">
        <v>0</v>
      </c>
      <c r="AG90" s="302"/>
      <c r="AH90" s="17">
        <v>169</v>
      </c>
      <c r="AI90" s="17">
        <v>105</v>
      </c>
      <c r="AJ90" s="17">
        <v>85.000000000000227</v>
      </c>
      <c r="AK90" s="127">
        <v>71.69</v>
      </c>
      <c r="AL90" s="127">
        <v>98.5</v>
      </c>
      <c r="AM90" s="147">
        <f t="shared" si="2"/>
        <v>170.19</v>
      </c>
      <c r="AN90" s="18" t="s">
        <v>359</v>
      </c>
      <c r="AO90" s="18" t="s">
        <v>361</v>
      </c>
      <c r="AP90" s="10" t="s">
        <v>362</v>
      </c>
    </row>
    <row r="91" spans="1:42" x14ac:dyDescent="0.3">
      <c r="A91" s="9" t="s">
        <v>30</v>
      </c>
      <c r="B91" s="10" t="s">
        <v>31</v>
      </c>
      <c r="C91" s="11" t="s">
        <v>32</v>
      </c>
      <c r="D91" s="12" t="s">
        <v>33</v>
      </c>
      <c r="E91" s="11" t="s">
        <v>34</v>
      </c>
      <c r="F91" s="12" t="s">
        <v>35</v>
      </c>
      <c r="G91" s="11" t="s">
        <v>281</v>
      </c>
      <c r="H91" s="12" t="s">
        <v>282</v>
      </c>
      <c r="I91" s="12" t="s">
        <v>289</v>
      </c>
      <c r="J91" s="12" t="s">
        <v>290</v>
      </c>
      <c r="K91" s="11" t="s">
        <v>363</v>
      </c>
      <c r="L91" s="12" t="s">
        <v>364</v>
      </c>
      <c r="M91" s="18" t="s">
        <v>365</v>
      </c>
      <c r="N91" s="424">
        <v>0</v>
      </c>
      <c r="O91" s="431">
        <v>1000</v>
      </c>
      <c r="P91" s="26">
        <v>1000</v>
      </c>
      <c r="Q91" s="26">
        <v>1000</v>
      </c>
      <c r="R91" s="118">
        <v>1000</v>
      </c>
      <c r="S91" s="118">
        <v>1000</v>
      </c>
      <c r="T91" s="30" t="s">
        <v>92</v>
      </c>
      <c r="U91" s="283" t="s">
        <v>118</v>
      </c>
      <c r="V91" s="10" t="s">
        <v>366</v>
      </c>
      <c r="W91" s="298">
        <v>1</v>
      </c>
      <c r="X91" s="298">
        <v>1</v>
      </c>
      <c r="Y91" s="298">
        <v>1</v>
      </c>
      <c r="Z91" s="299">
        <v>1</v>
      </c>
      <c r="AA91" s="299">
        <v>1</v>
      </c>
      <c r="AB91" s="300">
        <v>1</v>
      </c>
      <c r="AC91" s="301">
        <v>1</v>
      </c>
      <c r="AD91" s="301">
        <v>0</v>
      </c>
      <c r="AE91" s="302">
        <f t="shared" si="3"/>
        <v>0.875</v>
      </c>
      <c r="AF91" s="63">
        <v>0</v>
      </c>
      <c r="AG91" s="302"/>
      <c r="AH91" s="17"/>
      <c r="AI91" s="17"/>
      <c r="AJ91" s="17"/>
      <c r="AK91" s="109"/>
      <c r="AL91" s="127">
        <v>1.9</v>
      </c>
      <c r="AM91" s="147">
        <f t="shared" si="2"/>
        <v>1.9</v>
      </c>
      <c r="AN91" s="18" t="s">
        <v>92</v>
      </c>
      <c r="AO91" s="18" t="s">
        <v>118</v>
      </c>
      <c r="AP91" s="10" t="s">
        <v>280</v>
      </c>
    </row>
    <row r="92" spans="1:42" x14ac:dyDescent="0.3">
      <c r="A92" s="9" t="s">
        <v>30</v>
      </c>
      <c r="B92" s="10" t="s">
        <v>31</v>
      </c>
      <c r="C92" s="11" t="s">
        <v>32</v>
      </c>
      <c r="D92" s="12" t="s">
        <v>33</v>
      </c>
      <c r="E92" s="11" t="s">
        <v>34</v>
      </c>
      <c r="F92" s="12" t="s">
        <v>35</v>
      </c>
      <c r="G92" s="11" t="s">
        <v>281</v>
      </c>
      <c r="H92" s="12" t="s">
        <v>282</v>
      </c>
      <c r="I92" s="12" t="s">
        <v>289</v>
      </c>
      <c r="J92" s="12" t="s">
        <v>290</v>
      </c>
      <c r="K92" s="11" t="s">
        <v>367</v>
      </c>
      <c r="L92" s="12" t="s">
        <v>368</v>
      </c>
      <c r="M92" s="18" t="s">
        <v>369</v>
      </c>
      <c r="N92" s="424">
        <v>2</v>
      </c>
      <c r="O92" s="431"/>
      <c r="P92" s="26">
        <v>1</v>
      </c>
      <c r="Q92" s="26">
        <v>1</v>
      </c>
      <c r="R92" s="118">
        <v>1</v>
      </c>
      <c r="S92" s="118">
        <v>1</v>
      </c>
      <c r="T92" s="30" t="s">
        <v>92</v>
      </c>
      <c r="U92" s="283" t="s">
        <v>118</v>
      </c>
      <c r="V92" s="10" t="s">
        <v>1497</v>
      </c>
      <c r="W92" s="298">
        <v>1</v>
      </c>
      <c r="X92" s="298">
        <v>1</v>
      </c>
      <c r="Y92" s="298">
        <v>1</v>
      </c>
      <c r="Z92" s="299">
        <v>1</v>
      </c>
      <c r="AA92" s="299">
        <v>1</v>
      </c>
      <c r="AB92" s="300">
        <v>1</v>
      </c>
      <c r="AC92" s="301">
        <v>1</v>
      </c>
      <c r="AD92" s="301">
        <v>0</v>
      </c>
      <c r="AE92" s="302">
        <f t="shared" si="3"/>
        <v>0.875</v>
      </c>
      <c r="AF92" s="63">
        <v>0</v>
      </c>
      <c r="AG92" s="302"/>
      <c r="AH92" s="17"/>
      <c r="AI92" s="17"/>
      <c r="AJ92" s="17"/>
      <c r="AK92" s="127">
        <v>11.5</v>
      </c>
      <c r="AL92" s="127">
        <v>12</v>
      </c>
      <c r="AM92" s="147">
        <f t="shared" si="2"/>
        <v>23.5</v>
      </c>
      <c r="AN92" s="18" t="s">
        <v>92</v>
      </c>
      <c r="AO92" s="18" t="s">
        <v>118</v>
      </c>
      <c r="AP92" s="10" t="s">
        <v>370</v>
      </c>
    </row>
    <row r="93" spans="1:42" s="294" customFormat="1" x14ac:dyDescent="0.3">
      <c r="A93" s="91" t="s">
        <v>30</v>
      </c>
      <c r="B93" s="92" t="s">
        <v>31</v>
      </c>
      <c r="C93" s="93" t="s">
        <v>32</v>
      </c>
      <c r="D93" s="94" t="s">
        <v>33</v>
      </c>
      <c r="E93" s="93" t="s">
        <v>34</v>
      </c>
      <c r="F93" s="94" t="s">
        <v>35</v>
      </c>
      <c r="G93" s="93" t="s">
        <v>281</v>
      </c>
      <c r="H93" s="94" t="s">
        <v>282</v>
      </c>
      <c r="I93" s="94" t="s">
        <v>289</v>
      </c>
      <c r="J93" s="94" t="s">
        <v>290</v>
      </c>
      <c r="K93" s="93" t="s">
        <v>371</v>
      </c>
      <c r="L93" s="94" t="s">
        <v>372</v>
      </c>
      <c r="M93" s="97" t="s">
        <v>373</v>
      </c>
      <c r="N93" s="424">
        <v>0</v>
      </c>
      <c r="O93" s="431" t="s">
        <v>271</v>
      </c>
      <c r="P93" s="26">
        <v>1</v>
      </c>
      <c r="Q93" s="26">
        <v>1</v>
      </c>
      <c r="R93" s="118">
        <v>1</v>
      </c>
      <c r="S93" s="118">
        <v>1</v>
      </c>
      <c r="T93" s="30" t="s">
        <v>92</v>
      </c>
      <c r="U93" s="283" t="s">
        <v>118</v>
      </c>
      <c r="V93" s="92" t="s">
        <v>374</v>
      </c>
      <c r="W93" s="298">
        <v>0</v>
      </c>
      <c r="X93" s="298">
        <v>0</v>
      </c>
      <c r="Y93" s="298">
        <v>0</v>
      </c>
      <c r="Z93" s="299">
        <v>0</v>
      </c>
      <c r="AA93" s="299">
        <v>0</v>
      </c>
      <c r="AB93" s="300">
        <v>0</v>
      </c>
      <c r="AC93" s="301">
        <v>0</v>
      </c>
      <c r="AD93" s="301">
        <v>0</v>
      </c>
      <c r="AE93" s="297">
        <f t="shared" si="3"/>
        <v>0</v>
      </c>
      <c r="AF93" s="63">
        <v>0</v>
      </c>
      <c r="AG93" s="297"/>
      <c r="AH93" s="96"/>
      <c r="AI93" s="96"/>
      <c r="AJ93" s="96"/>
      <c r="AK93" s="109"/>
      <c r="AL93" s="109"/>
      <c r="AM93" s="147">
        <f t="shared" si="2"/>
        <v>0</v>
      </c>
      <c r="AN93" s="97" t="s">
        <v>92</v>
      </c>
      <c r="AO93" s="97" t="s">
        <v>118</v>
      </c>
      <c r="AP93" s="92" t="s">
        <v>375</v>
      </c>
    </row>
    <row r="94" spans="1:42" x14ac:dyDescent="0.3">
      <c r="A94" s="9" t="s">
        <v>30</v>
      </c>
      <c r="B94" s="10" t="s">
        <v>31</v>
      </c>
      <c r="C94" s="11" t="s">
        <v>32</v>
      </c>
      <c r="D94" s="12" t="s">
        <v>33</v>
      </c>
      <c r="E94" s="11" t="s">
        <v>34</v>
      </c>
      <c r="F94" s="12" t="s">
        <v>35</v>
      </c>
      <c r="G94" s="11" t="s">
        <v>281</v>
      </c>
      <c r="H94" s="12" t="s">
        <v>282</v>
      </c>
      <c r="I94" s="12" t="s">
        <v>376</v>
      </c>
      <c r="J94" s="12" t="s">
        <v>377</v>
      </c>
      <c r="K94" s="11" t="s">
        <v>378</v>
      </c>
      <c r="L94" s="12" t="s">
        <v>379</v>
      </c>
      <c r="M94" s="18" t="s">
        <v>380</v>
      </c>
      <c r="N94" s="424">
        <v>61000</v>
      </c>
      <c r="O94" s="431">
        <v>250000</v>
      </c>
      <c r="P94" s="26">
        <v>4500000</v>
      </c>
      <c r="Q94" s="26">
        <v>550000</v>
      </c>
      <c r="R94" s="118">
        <v>650000</v>
      </c>
      <c r="S94" s="118">
        <v>750000</v>
      </c>
      <c r="T94" s="30" t="s">
        <v>92</v>
      </c>
      <c r="U94" s="283" t="s">
        <v>118</v>
      </c>
      <c r="V94" s="10"/>
      <c r="W94" s="298">
        <v>0</v>
      </c>
      <c r="X94" s="298">
        <v>0</v>
      </c>
      <c r="Y94" s="298">
        <v>0</v>
      </c>
      <c r="Z94" s="299">
        <v>0</v>
      </c>
      <c r="AA94" s="299">
        <v>0</v>
      </c>
      <c r="AB94" s="300">
        <v>0</v>
      </c>
      <c r="AC94" s="301">
        <v>0</v>
      </c>
      <c r="AD94" s="301">
        <v>0</v>
      </c>
      <c r="AE94" s="302">
        <f t="shared" si="3"/>
        <v>0</v>
      </c>
      <c r="AF94" s="63">
        <v>0</v>
      </c>
      <c r="AG94" s="17"/>
      <c r="AH94" s="17"/>
      <c r="AI94" s="17"/>
      <c r="AJ94" s="17"/>
      <c r="AK94" s="109"/>
      <c r="AL94" s="109"/>
      <c r="AM94" s="147">
        <f t="shared" si="2"/>
        <v>0</v>
      </c>
      <c r="AN94" s="18" t="s">
        <v>92</v>
      </c>
      <c r="AO94" s="18" t="s">
        <v>118</v>
      </c>
      <c r="AP94" s="10"/>
    </row>
    <row r="95" spans="1:42" s="309" customFormat="1" x14ac:dyDescent="0.3">
      <c r="A95" s="85" t="s">
        <v>30</v>
      </c>
      <c r="B95" s="86" t="s">
        <v>31</v>
      </c>
      <c r="C95" s="87" t="s">
        <v>32</v>
      </c>
      <c r="D95" s="88" t="s">
        <v>33</v>
      </c>
      <c r="E95" s="87" t="s">
        <v>34</v>
      </c>
      <c r="F95" s="88" t="s">
        <v>35</v>
      </c>
      <c r="G95" s="87" t="s">
        <v>281</v>
      </c>
      <c r="H95" s="88" t="s">
        <v>282</v>
      </c>
      <c r="I95" s="88" t="s">
        <v>376</v>
      </c>
      <c r="J95" s="88" t="s">
        <v>377</v>
      </c>
      <c r="K95" s="87" t="s">
        <v>381</v>
      </c>
      <c r="L95" s="88" t="s">
        <v>292</v>
      </c>
      <c r="M95" s="90" t="s">
        <v>382</v>
      </c>
      <c r="N95" s="424">
        <v>0</v>
      </c>
      <c r="O95" s="431">
        <v>0</v>
      </c>
      <c r="P95" s="26">
        <v>1</v>
      </c>
      <c r="Q95" s="26">
        <v>2</v>
      </c>
      <c r="R95" s="118">
        <v>3</v>
      </c>
      <c r="S95" s="118">
        <v>3</v>
      </c>
      <c r="T95" s="30" t="s">
        <v>92</v>
      </c>
      <c r="U95" s="283" t="s">
        <v>118</v>
      </c>
      <c r="V95" s="86"/>
      <c r="W95" s="298">
        <v>0</v>
      </c>
      <c r="X95" s="298">
        <v>0</v>
      </c>
      <c r="Y95" s="298">
        <v>0</v>
      </c>
      <c r="Z95" s="299">
        <v>0</v>
      </c>
      <c r="AA95" s="299">
        <v>0</v>
      </c>
      <c r="AB95" s="300">
        <v>0</v>
      </c>
      <c r="AC95" s="301">
        <v>0</v>
      </c>
      <c r="AD95" s="301">
        <v>0</v>
      </c>
      <c r="AE95" s="308">
        <f t="shared" si="3"/>
        <v>0</v>
      </c>
      <c r="AF95" s="63">
        <v>0</v>
      </c>
      <c r="AG95" s="308"/>
      <c r="AH95" s="89"/>
      <c r="AI95" s="89"/>
      <c r="AJ95" s="89"/>
      <c r="AK95" s="109"/>
      <c r="AL95" s="109"/>
      <c r="AM95" s="147">
        <f t="shared" si="2"/>
        <v>0</v>
      </c>
      <c r="AN95" s="90" t="s">
        <v>92</v>
      </c>
      <c r="AO95" s="90" t="s">
        <v>118</v>
      </c>
      <c r="AP95" s="86"/>
    </row>
    <row r="96" spans="1:42" x14ac:dyDescent="0.3">
      <c r="A96" s="9" t="s">
        <v>30</v>
      </c>
      <c r="B96" s="10" t="s">
        <v>31</v>
      </c>
      <c r="C96" s="11" t="s">
        <v>32</v>
      </c>
      <c r="D96" s="12" t="s">
        <v>33</v>
      </c>
      <c r="E96" s="11" t="s">
        <v>34</v>
      </c>
      <c r="F96" s="12" t="s">
        <v>35</v>
      </c>
      <c r="G96" s="11" t="s">
        <v>281</v>
      </c>
      <c r="H96" s="12" t="s">
        <v>282</v>
      </c>
      <c r="I96" s="12" t="s">
        <v>376</v>
      </c>
      <c r="J96" s="12" t="s">
        <v>377</v>
      </c>
      <c r="K96" s="11" t="s">
        <v>383</v>
      </c>
      <c r="L96" s="12" t="s">
        <v>339</v>
      </c>
      <c r="M96" s="18" t="s">
        <v>340</v>
      </c>
      <c r="N96" s="424">
        <v>0</v>
      </c>
      <c r="O96" s="431">
        <v>5000</v>
      </c>
      <c r="P96" s="26">
        <v>8250</v>
      </c>
      <c r="Q96" s="26">
        <v>9222</v>
      </c>
      <c r="R96" s="118">
        <v>10628</v>
      </c>
      <c r="S96" s="118">
        <v>12036</v>
      </c>
      <c r="T96" s="30" t="s">
        <v>336</v>
      </c>
      <c r="U96" s="283" t="s">
        <v>118</v>
      </c>
      <c r="V96" s="10"/>
      <c r="W96" s="298">
        <v>0</v>
      </c>
      <c r="X96" s="298">
        <v>0</v>
      </c>
      <c r="Y96" s="298">
        <v>0</v>
      </c>
      <c r="Z96" s="299">
        <v>0</v>
      </c>
      <c r="AA96" s="299">
        <v>0</v>
      </c>
      <c r="AB96" s="300">
        <v>0</v>
      </c>
      <c r="AC96" s="301">
        <v>0</v>
      </c>
      <c r="AD96" s="301">
        <v>0</v>
      </c>
      <c r="AE96" s="302">
        <f t="shared" si="3"/>
        <v>0</v>
      </c>
      <c r="AF96" s="63">
        <v>0</v>
      </c>
      <c r="AG96" s="302"/>
      <c r="AH96" s="17"/>
      <c r="AI96" s="17"/>
      <c r="AJ96" s="17"/>
      <c r="AK96" s="109"/>
      <c r="AL96" s="109"/>
      <c r="AM96" s="147">
        <f t="shared" si="2"/>
        <v>0</v>
      </c>
      <c r="AN96" s="18" t="s">
        <v>92</v>
      </c>
      <c r="AO96" s="18" t="s">
        <v>118</v>
      </c>
      <c r="AP96" s="10"/>
    </row>
    <row r="97" spans="1:42" s="294" customFormat="1" x14ac:dyDescent="0.3">
      <c r="A97" s="91" t="s">
        <v>30</v>
      </c>
      <c r="B97" s="92" t="s">
        <v>31</v>
      </c>
      <c r="C97" s="93" t="s">
        <v>32</v>
      </c>
      <c r="D97" s="94" t="s">
        <v>33</v>
      </c>
      <c r="E97" s="93" t="s">
        <v>34</v>
      </c>
      <c r="F97" s="94" t="s">
        <v>35</v>
      </c>
      <c r="G97" s="93" t="s">
        <v>281</v>
      </c>
      <c r="H97" s="94" t="s">
        <v>282</v>
      </c>
      <c r="I97" s="94" t="s">
        <v>376</v>
      </c>
      <c r="J97" s="94" t="s">
        <v>377</v>
      </c>
      <c r="K97" s="93" t="s">
        <v>384</v>
      </c>
      <c r="L97" s="94" t="s">
        <v>342</v>
      </c>
      <c r="M97" s="97" t="s">
        <v>343</v>
      </c>
      <c r="N97" s="424">
        <v>0</v>
      </c>
      <c r="O97" s="431">
        <v>0</v>
      </c>
      <c r="P97" s="26">
        <v>2</v>
      </c>
      <c r="Q97" s="26">
        <v>3</v>
      </c>
      <c r="R97" s="118">
        <v>4</v>
      </c>
      <c r="S97" s="118">
        <v>4</v>
      </c>
      <c r="T97" s="30" t="s">
        <v>336</v>
      </c>
      <c r="U97" s="283" t="s">
        <v>118</v>
      </c>
      <c r="V97" s="92"/>
      <c r="W97" s="298">
        <v>0</v>
      </c>
      <c r="X97" s="298">
        <v>0</v>
      </c>
      <c r="Y97" s="298">
        <v>0</v>
      </c>
      <c r="Z97" s="299">
        <v>0</v>
      </c>
      <c r="AA97" s="299">
        <v>0</v>
      </c>
      <c r="AB97" s="300">
        <v>0</v>
      </c>
      <c r="AC97" s="301">
        <v>0</v>
      </c>
      <c r="AD97" s="301">
        <v>0</v>
      </c>
      <c r="AE97" s="297">
        <f t="shared" si="3"/>
        <v>0</v>
      </c>
      <c r="AF97" s="63">
        <v>0</v>
      </c>
      <c r="AG97" s="297"/>
      <c r="AH97" s="96"/>
      <c r="AI97" s="96"/>
      <c r="AJ97" s="96"/>
      <c r="AK97" s="109"/>
      <c r="AL97" s="109"/>
      <c r="AM97" s="147">
        <f t="shared" si="2"/>
        <v>0</v>
      </c>
      <c r="AN97" s="97" t="s">
        <v>92</v>
      </c>
      <c r="AO97" s="97" t="s">
        <v>118</v>
      </c>
      <c r="AP97" s="92"/>
    </row>
    <row r="98" spans="1:42" x14ac:dyDescent="0.3">
      <c r="A98" s="9" t="s">
        <v>30</v>
      </c>
      <c r="B98" s="10" t="s">
        <v>31</v>
      </c>
      <c r="C98" s="11" t="s">
        <v>32</v>
      </c>
      <c r="D98" s="12" t="s">
        <v>33</v>
      </c>
      <c r="E98" s="11" t="s">
        <v>34</v>
      </c>
      <c r="F98" s="12" t="s">
        <v>35</v>
      </c>
      <c r="G98" s="11" t="s">
        <v>281</v>
      </c>
      <c r="H98" s="12" t="s">
        <v>282</v>
      </c>
      <c r="I98" s="12" t="s">
        <v>376</v>
      </c>
      <c r="J98" s="12" t="s">
        <v>377</v>
      </c>
      <c r="K98" s="11" t="s">
        <v>385</v>
      </c>
      <c r="L98" s="12" t="s">
        <v>347</v>
      </c>
      <c r="M98" s="18" t="s">
        <v>348</v>
      </c>
      <c r="N98" s="424"/>
      <c r="O98" s="431">
        <v>1</v>
      </c>
      <c r="P98" s="26">
        <v>1</v>
      </c>
      <c r="Q98" s="26">
        <v>1</v>
      </c>
      <c r="R98" s="118">
        <v>1</v>
      </c>
      <c r="S98" s="118">
        <v>1</v>
      </c>
      <c r="T98" s="30" t="s">
        <v>92</v>
      </c>
      <c r="U98" s="283" t="s">
        <v>118</v>
      </c>
      <c r="V98" s="10"/>
      <c r="W98" s="298">
        <v>0</v>
      </c>
      <c r="X98" s="298">
        <v>0</v>
      </c>
      <c r="Y98" s="298">
        <v>0</v>
      </c>
      <c r="Z98" s="299">
        <v>0</v>
      </c>
      <c r="AA98" s="299">
        <v>0</v>
      </c>
      <c r="AB98" s="300">
        <v>0</v>
      </c>
      <c r="AC98" s="301">
        <v>0</v>
      </c>
      <c r="AD98" s="301">
        <v>0</v>
      </c>
      <c r="AE98" s="302">
        <f t="shared" si="3"/>
        <v>0</v>
      </c>
      <c r="AF98" s="63">
        <v>0</v>
      </c>
      <c r="AG98" s="302"/>
      <c r="AH98" s="17"/>
      <c r="AI98" s="17"/>
      <c r="AJ98" s="17"/>
      <c r="AK98" s="109"/>
      <c r="AL98" s="109"/>
      <c r="AM98" s="147">
        <f t="shared" si="2"/>
        <v>0</v>
      </c>
      <c r="AN98" s="18" t="s">
        <v>92</v>
      </c>
      <c r="AO98" s="18" t="s">
        <v>118</v>
      </c>
      <c r="AP98" s="10"/>
    </row>
    <row r="99" spans="1:42" s="300" customFormat="1" x14ac:dyDescent="0.3">
      <c r="A99" s="66" t="s">
        <v>30</v>
      </c>
      <c r="B99" s="67" t="s">
        <v>31</v>
      </c>
      <c r="C99" s="68" t="s">
        <v>32</v>
      </c>
      <c r="D99" s="69" t="s">
        <v>33</v>
      </c>
      <c r="E99" s="68" t="s">
        <v>34</v>
      </c>
      <c r="F99" s="69" t="s">
        <v>35</v>
      </c>
      <c r="G99" s="68" t="s">
        <v>281</v>
      </c>
      <c r="H99" s="69" t="s">
        <v>282</v>
      </c>
      <c r="I99" s="69" t="s">
        <v>386</v>
      </c>
      <c r="J99" s="69" t="s">
        <v>387</v>
      </c>
      <c r="K99" s="68" t="s">
        <v>388</v>
      </c>
      <c r="L99" s="69" t="s">
        <v>389</v>
      </c>
      <c r="M99" s="74" t="s">
        <v>390</v>
      </c>
      <c r="N99" s="426">
        <v>0</v>
      </c>
      <c r="O99" s="434"/>
      <c r="P99" s="83">
        <v>30</v>
      </c>
      <c r="Q99" s="83"/>
      <c r="R99" s="118"/>
      <c r="S99" s="118"/>
      <c r="T99" s="84" t="s">
        <v>92</v>
      </c>
      <c r="U99" s="300" t="s">
        <v>118</v>
      </c>
      <c r="V99" s="67" t="s">
        <v>391</v>
      </c>
      <c r="W99" s="299">
        <v>1</v>
      </c>
      <c r="X99" s="299">
        <v>0</v>
      </c>
      <c r="Y99" s="299">
        <v>0</v>
      </c>
      <c r="Z99" s="299">
        <v>1</v>
      </c>
      <c r="AA99" s="299">
        <v>1</v>
      </c>
      <c r="AB99" s="300">
        <v>0</v>
      </c>
      <c r="AC99" s="304">
        <v>1</v>
      </c>
      <c r="AD99" s="304">
        <v>0</v>
      </c>
      <c r="AE99" s="305">
        <f t="shared" si="3"/>
        <v>0.5</v>
      </c>
      <c r="AF99" s="72">
        <v>0</v>
      </c>
      <c r="AG99" s="305"/>
      <c r="AH99" s="73"/>
      <c r="AI99" s="73"/>
      <c r="AJ99" s="73"/>
      <c r="AK99" s="109"/>
      <c r="AL99" s="109"/>
      <c r="AM99" s="147">
        <f t="shared" si="2"/>
        <v>0</v>
      </c>
      <c r="AN99" s="74" t="s">
        <v>92</v>
      </c>
      <c r="AO99" s="74" t="s">
        <v>118</v>
      </c>
      <c r="AP99" s="67" t="s">
        <v>280</v>
      </c>
    </row>
    <row r="100" spans="1:42" s="294" customFormat="1" x14ac:dyDescent="0.3">
      <c r="A100" s="91" t="s">
        <v>30</v>
      </c>
      <c r="B100" s="92" t="s">
        <v>31</v>
      </c>
      <c r="C100" s="93" t="s">
        <v>32</v>
      </c>
      <c r="D100" s="94" t="s">
        <v>33</v>
      </c>
      <c r="E100" s="93" t="s">
        <v>34</v>
      </c>
      <c r="F100" s="94" t="s">
        <v>35</v>
      </c>
      <c r="G100" s="93" t="s">
        <v>281</v>
      </c>
      <c r="H100" s="94" t="s">
        <v>282</v>
      </c>
      <c r="I100" s="94" t="s">
        <v>386</v>
      </c>
      <c r="J100" s="94" t="s">
        <v>387</v>
      </c>
      <c r="K100" s="93" t="s">
        <v>388</v>
      </c>
      <c r="L100" s="94" t="s">
        <v>389</v>
      </c>
      <c r="M100" s="97" t="s">
        <v>392</v>
      </c>
      <c r="N100" s="424">
        <v>0</v>
      </c>
      <c r="O100" s="431"/>
      <c r="P100" s="26">
        <v>5</v>
      </c>
      <c r="Q100" s="26">
        <v>5</v>
      </c>
      <c r="R100" s="118">
        <v>5</v>
      </c>
      <c r="S100" s="118">
        <v>5</v>
      </c>
      <c r="T100" s="30" t="s">
        <v>92</v>
      </c>
      <c r="U100" s="283" t="s">
        <v>118</v>
      </c>
      <c r="V100" s="92" t="s">
        <v>393</v>
      </c>
      <c r="W100" s="298">
        <v>1</v>
      </c>
      <c r="X100" s="298">
        <v>1</v>
      </c>
      <c r="Y100" s="298">
        <v>1</v>
      </c>
      <c r="Z100" s="299">
        <v>1</v>
      </c>
      <c r="AA100" s="299">
        <v>1</v>
      </c>
      <c r="AB100" s="300">
        <v>1</v>
      </c>
      <c r="AC100" s="301">
        <v>1</v>
      </c>
      <c r="AD100" s="301">
        <v>0</v>
      </c>
      <c r="AE100" s="297">
        <f t="shared" si="3"/>
        <v>0.875</v>
      </c>
      <c r="AF100" s="63">
        <v>0</v>
      </c>
      <c r="AG100" s="297"/>
      <c r="AH100" s="96"/>
      <c r="AI100" s="96"/>
      <c r="AJ100" s="96"/>
      <c r="AK100" s="127">
        <v>0.04</v>
      </c>
      <c r="AL100" s="127">
        <v>0.04</v>
      </c>
      <c r="AM100" s="147">
        <f t="shared" si="2"/>
        <v>0.08</v>
      </c>
      <c r="AN100" s="97" t="s">
        <v>92</v>
      </c>
      <c r="AO100" s="97" t="s">
        <v>118</v>
      </c>
      <c r="AP100" s="92" t="s">
        <v>280</v>
      </c>
    </row>
    <row r="101" spans="1:42" x14ac:dyDescent="0.3">
      <c r="A101" s="9" t="s">
        <v>30</v>
      </c>
      <c r="B101" s="10" t="s">
        <v>31</v>
      </c>
      <c r="C101" s="11" t="s">
        <v>32</v>
      </c>
      <c r="D101" s="12" t="s">
        <v>33</v>
      </c>
      <c r="E101" s="11" t="s">
        <v>34</v>
      </c>
      <c r="F101" s="12" t="s">
        <v>35</v>
      </c>
      <c r="G101" s="11" t="s">
        <v>281</v>
      </c>
      <c r="H101" s="12" t="s">
        <v>282</v>
      </c>
      <c r="I101" s="12" t="s">
        <v>394</v>
      </c>
      <c r="J101" s="12" t="s">
        <v>395</v>
      </c>
      <c r="K101" s="11" t="s">
        <v>396</v>
      </c>
      <c r="L101" s="12" t="s">
        <v>397</v>
      </c>
      <c r="M101" s="18" t="s">
        <v>398</v>
      </c>
      <c r="N101" s="424">
        <v>0</v>
      </c>
      <c r="O101" s="431">
        <v>5</v>
      </c>
      <c r="P101" s="26">
        <v>6</v>
      </c>
      <c r="Q101" s="26">
        <v>6</v>
      </c>
      <c r="R101" s="118">
        <v>6</v>
      </c>
      <c r="S101" s="118">
        <v>7</v>
      </c>
      <c r="T101" s="30" t="s">
        <v>92</v>
      </c>
      <c r="U101" s="283" t="s">
        <v>118</v>
      </c>
      <c r="V101" s="10" t="s">
        <v>399</v>
      </c>
      <c r="W101" s="298">
        <v>1</v>
      </c>
      <c r="X101" s="298">
        <v>1</v>
      </c>
      <c r="Y101" s="298">
        <v>1</v>
      </c>
      <c r="Z101" s="299">
        <v>1</v>
      </c>
      <c r="AA101" s="299">
        <v>1</v>
      </c>
      <c r="AB101" s="300">
        <v>1</v>
      </c>
      <c r="AC101" s="301">
        <v>1</v>
      </c>
      <c r="AD101" s="301">
        <v>0</v>
      </c>
      <c r="AE101" s="302">
        <f t="shared" si="3"/>
        <v>0.875</v>
      </c>
      <c r="AF101" s="63">
        <v>0</v>
      </c>
      <c r="AG101" s="17"/>
      <c r="AH101" s="17"/>
      <c r="AI101" s="17"/>
      <c r="AJ101" s="17"/>
      <c r="AK101" s="109"/>
      <c r="AL101" s="127">
        <v>1.8</v>
      </c>
      <c r="AM101" s="147">
        <f t="shared" si="2"/>
        <v>1.8</v>
      </c>
      <c r="AN101" s="18" t="s">
        <v>92</v>
      </c>
      <c r="AO101" s="18" t="s">
        <v>118</v>
      </c>
      <c r="AP101" s="10" t="s">
        <v>280</v>
      </c>
    </row>
    <row r="102" spans="1:42" s="300" customFormat="1" x14ac:dyDescent="0.3">
      <c r="A102" s="66" t="s">
        <v>30</v>
      </c>
      <c r="B102" s="67" t="s">
        <v>31</v>
      </c>
      <c r="C102" s="68" t="s">
        <v>32</v>
      </c>
      <c r="D102" s="69" t="s">
        <v>33</v>
      </c>
      <c r="E102" s="68" t="s">
        <v>34</v>
      </c>
      <c r="F102" s="69" t="s">
        <v>35</v>
      </c>
      <c r="G102" s="68" t="s">
        <v>400</v>
      </c>
      <c r="H102" s="69" t="s">
        <v>401</v>
      </c>
      <c r="I102" s="69" t="s">
        <v>402</v>
      </c>
      <c r="J102" s="69" t="s">
        <v>403</v>
      </c>
      <c r="K102" s="68" t="s">
        <v>404</v>
      </c>
      <c r="L102" s="69" t="s">
        <v>405</v>
      </c>
      <c r="M102" s="74" t="s">
        <v>406</v>
      </c>
      <c r="N102" s="426">
        <v>0</v>
      </c>
      <c r="O102" s="427">
        <v>0</v>
      </c>
      <c r="P102" s="71">
        <v>5</v>
      </c>
      <c r="Q102" s="71"/>
      <c r="R102" s="110"/>
      <c r="S102" s="110"/>
      <c r="T102" s="67" t="s">
        <v>407</v>
      </c>
      <c r="U102" s="300" t="s">
        <v>409</v>
      </c>
      <c r="V102" s="67" t="s">
        <v>408</v>
      </c>
      <c r="W102" s="298">
        <v>0</v>
      </c>
      <c r="X102" s="298">
        <v>0</v>
      </c>
      <c r="Y102" s="298">
        <v>0</v>
      </c>
      <c r="Z102" s="299">
        <v>0</v>
      </c>
      <c r="AA102" s="299">
        <v>0</v>
      </c>
      <c r="AB102" s="300">
        <v>0</v>
      </c>
      <c r="AC102" s="301">
        <v>0</v>
      </c>
      <c r="AD102" s="301">
        <v>0</v>
      </c>
      <c r="AE102" s="305">
        <f t="shared" si="3"/>
        <v>0</v>
      </c>
      <c r="AF102" s="63">
        <v>1</v>
      </c>
      <c r="AG102" s="305"/>
      <c r="AH102" s="73">
        <v>28.5</v>
      </c>
      <c r="AI102" s="73">
        <v>23.7</v>
      </c>
      <c r="AJ102" s="73"/>
      <c r="AK102" s="109"/>
      <c r="AL102" s="109"/>
      <c r="AM102" s="147">
        <f t="shared" si="2"/>
        <v>0</v>
      </c>
      <c r="AN102" s="74" t="s">
        <v>407</v>
      </c>
      <c r="AO102" s="74" t="s">
        <v>409</v>
      </c>
      <c r="AP102" s="67" t="s">
        <v>410</v>
      </c>
    </row>
    <row r="103" spans="1:42" s="300" customFormat="1" x14ac:dyDescent="0.3">
      <c r="A103" s="66" t="s">
        <v>30</v>
      </c>
      <c r="B103" s="67" t="s">
        <v>31</v>
      </c>
      <c r="C103" s="68" t="s">
        <v>32</v>
      </c>
      <c r="D103" s="69" t="s">
        <v>33</v>
      </c>
      <c r="E103" s="68" t="s">
        <v>34</v>
      </c>
      <c r="F103" s="69" t="s">
        <v>35</v>
      </c>
      <c r="G103" s="68" t="s">
        <v>400</v>
      </c>
      <c r="H103" s="69" t="s">
        <v>401</v>
      </c>
      <c r="I103" s="69" t="s">
        <v>411</v>
      </c>
      <c r="J103" s="69" t="s">
        <v>412</v>
      </c>
      <c r="K103" s="68" t="s">
        <v>413</v>
      </c>
      <c r="L103" s="69" t="s">
        <v>414</v>
      </c>
      <c r="M103" s="74" t="s">
        <v>415</v>
      </c>
      <c r="N103" s="426">
        <v>0</v>
      </c>
      <c r="O103" s="427">
        <v>0</v>
      </c>
      <c r="P103" s="71">
        <v>1</v>
      </c>
      <c r="Q103" s="71">
        <v>4</v>
      </c>
      <c r="R103" s="110">
        <v>5</v>
      </c>
      <c r="S103" s="110">
        <v>13</v>
      </c>
      <c r="T103" s="67" t="s">
        <v>407</v>
      </c>
      <c r="U103" s="300" t="s">
        <v>409</v>
      </c>
      <c r="V103" s="67" t="s">
        <v>416</v>
      </c>
      <c r="W103" s="298">
        <v>1</v>
      </c>
      <c r="X103" s="298">
        <v>1</v>
      </c>
      <c r="Y103" s="298">
        <v>1</v>
      </c>
      <c r="Z103" s="299">
        <v>1</v>
      </c>
      <c r="AA103" s="299">
        <v>1</v>
      </c>
      <c r="AB103" s="300">
        <v>1</v>
      </c>
      <c r="AC103" s="301">
        <v>1</v>
      </c>
      <c r="AD103" s="301">
        <v>0</v>
      </c>
      <c r="AE103" s="305">
        <f t="shared" si="3"/>
        <v>0.875</v>
      </c>
      <c r="AF103" s="63">
        <v>0</v>
      </c>
      <c r="AG103" s="305"/>
      <c r="AH103" s="73">
        <v>233.5</v>
      </c>
      <c r="AI103" s="73">
        <v>97.5</v>
      </c>
      <c r="AJ103" s="73">
        <v>67.499999999999773</v>
      </c>
      <c r="AK103" s="127">
        <v>47.5</v>
      </c>
      <c r="AL103" s="109">
        <v>127.5</v>
      </c>
      <c r="AM103" s="147">
        <f t="shared" si="2"/>
        <v>175</v>
      </c>
      <c r="AN103" s="74" t="s">
        <v>407</v>
      </c>
      <c r="AO103" s="74" t="s">
        <v>409</v>
      </c>
      <c r="AP103" s="67" t="s">
        <v>139</v>
      </c>
    </row>
    <row r="104" spans="1:42" s="300" customFormat="1" x14ac:dyDescent="0.3">
      <c r="A104" s="66" t="s">
        <v>30</v>
      </c>
      <c r="B104" s="67" t="s">
        <v>31</v>
      </c>
      <c r="C104" s="68" t="s">
        <v>32</v>
      </c>
      <c r="D104" s="69" t="s">
        <v>33</v>
      </c>
      <c r="E104" s="68" t="s">
        <v>34</v>
      </c>
      <c r="F104" s="69" t="s">
        <v>35</v>
      </c>
      <c r="G104" s="68" t="s">
        <v>400</v>
      </c>
      <c r="H104" s="69" t="s">
        <v>401</v>
      </c>
      <c r="I104" s="69" t="s">
        <v>411</v>
      </c>
      <c r="J104" s="69" t="s">
        <v>412</v>
      </c>
      <c r="K104" s="68" t="s">
        <v>417</v>
      </c>
      <c r="L104" s="69" t="s">
        <v>418</v>
      </c>
      <c r="M104" s="74" t="s">
        <v>419</v>
      </c>
      <c r="N104" s="426">
        <v>0</v>
      </c>
      <c r="O104" s="74">
        <v>0</v>
      </c>
      <c r="P104" s="71">
        <v>0</v>
      </c>
      <c r="Q104" s="71">
        <v>2</v>
      </c>
      <c r="R104" s="110">
        <v>5</v>
      </c>
      <c r="S104" s="110">
        <v>13</v>
      </c>
      <c r="T104" s="67" t="s">
        <v>407</v>
      </c>
      <c r="U104" s="300" t="s">
        <v>409</v>
      </c>
      <c r="V104" s="67" t="s">
        <v>420</v>
      </c>
      <c r="W104" s="298">
        <v>1</v>
      </c>
      <c r="X104" s="298">
        <v>1</v>
      </c>
      <c r="Y104" s="298">
        <v>1</v>
      </c>
      <c r="Z104" s="299">
        <v>1</v>
      </c>
      <c r="AA104" s="299">
        <v>1</v>
      </c>
      <c r="AB104" s="300">
        <v>1</v>
      </c>
      <c r="AC104" s="301">
        <v>1</v>
      </c>
      <c r="AD104" s="301">
        <v>0</v>
      </c>
      <c r="AE104" s="305">
        <f t="shared" si="3"/>
        <v>0.875</v>
      </c>
      <c r="AF104" s="63">
        <v>0</v>
      </c>
      <c r="AG104" s="305"/>
      <c r="AH104" s="73">
        <v>2</v>
      </c>
      <c r="AI104" s="73">
        <v>0.5</v>
      </c>
      <c r="AJ104" s="73">
        <v>0.5</v>
      </c>
      <c r="AK104" s="109">
        <v>0.5</v>
      </c>
      <c r="AL104" s="109">
        <v>0.5</v>
      </c>
      <c r="AM104" s="147">
        <f t="shared" si="2"/>
        <v>1</v>
      </c>
      <c r="AN104" s="74" t="s">
        <v>407</v>
      </c>
      <c r="AO104" s="74" t="s">
        <v>409</v>
      </c>
      <c r="AP104" s="67" t="s">
        <v>421</v>
      </c>
    </row>
    <row r="105" spans="1:42" s="300" customFormat="1" x14ac:dyDescent="0.3">
      <c r="A105" s="66" t="s">
        <v>30</v>
      </c>
      <c r="B105" s="67" t="s">
        <v>31</v>
      </c>
      <c r="C105" s="68" t="s">
        <v>32</v>
      </c>
      <c r="D105" s="69" t="s">
        <v>33</v>
      </c>
      <c r="E105" s="68" t="s">
        <v>34</v>
      </c>
      <c r="F105" s="69" t="s">
        <v>35</v>
      </c>
      <c r="G105" s="68" t="s">
        <v>400</v>
      </c>
      <c r="H105" s="69" t="s">
        <v>401</v>
      </c>
      <c r="I105" s="69" t="s">
        <v>411</v>
      </c>
      <c r="J105" s="69" t="s">
        <v>412</v>
      </c>
      <c r="K105" s="68" t="s">
        <v>422</v>
      </c>
      <c r="L105" s="69" t="s">
        <v>423</v>
      </c>
      <c r="M105" s="74" t="s">
        <v>424</v>
      </c>
      <c r="N105" s="426">
        <v>0</v>
      </c>
      <c r="O105" s="74">
        <v>3</v>
      </c>
      <c r="P105" s="71">
        <v>3</v>
      </c>
      <c r="Q105" s="71">
        <v>3</v>
      </c>
      <c r="R105" s="126">
        <v>1</v>
      </c>
      <c r="S105" s="126">
        <v>1</v>
      </c>
      <c r="T105" s="67" t="s">
        <v>67</v>
      </c>
      <c r="U105" s="300" t="s">
        <v>68</v>
      </c>
      <c r="V105" s="86" t="s">
        <v>425</v>
      </c>
      <c r="W105" s="298">
        <v>1</v>
      </c>
      <c r="X105" s="298">
        <v>1</v>
      </c>
      <c r="Y105" s="298">
        <v>0</v>
      </c>
      <c r="Z105" s="299">
        <v>1</v>
      </c>
      <c r="AA105" s="299">
        <v>1</v>
      </c>
      <c r="AB105" s="300">
        <v>1</v>
      </c>
      <c r="AC105" s="301">
        <v>0</v>
      </c>
      <c r="AD105" s="301">
        <v>0</v>
      </c>
      <c r="AE105" s="305">
        <f t="shared" si="3"/>
        <v>0.625</v>
      </c>
      <c r="AF105" s="63">
        <v>0</v>
      </c>
      <c r="AG105" s="305"/>
      <c r="AH105" s="73">
        <v>3</v>
      </c>
      <c r="AI105" s="73">
        <v>3</v>
      </c>
      <c r="AJ105" s="73">
        <v>3</v>
      </c>
      <c r="AK105" s="127">
        <v>1.5</v>
      </c>
      <c r="AL105" s="127">
        <v>1.5</v>
      </c>
      <c r="AM105" s="147">
        <f t="shared" si="2"/>
        <v>3</v>
      </c>
      <c r="AN105" s="74" t="s">
        <v>67</v>
      </c>
      <c r="AO105" s="74" t="s">
        <v>68</v>
      </c>
      <c r="AP105" s="67" t="s">
        <v>426</v>
      </c>
    </row>
    <row r="106" spans="1:42" s="300" customFormat="1" x14ac:dyDescent="0.3">
      <c r="A106" s="66" t="s">
        <v>30</v>
      </c>
      <c r="B106" s="67" t="s">
        <v>31</v>
      </c>
      <c r="C106" s="68" t="s">
        <v>32</v>
      </c>
      <c r="D106" s="69" t="s">
        <v>33</v>
      </c>
      <c r="E106" s="68" t="s">
        <v>34</v>
      </c>
      <c r="F106" s="69" t="s">
        <v>35</v>
      </c>
      <c r="G106" s="68" t="s">
        <v>400</v>
      </c>
      <c r="H106" s="69" t="s">
        <v>401</v>
      </c>
      <c r="I106" s="69" t="s">
        <v>427</v>
      </c>
      <c r="J106" s="69" t="s">
        <v>428</v>
      </c>
      <c r="K106" s="68" t="s">
        <v>429</v>
      </c>
      <c r="L106" s="69" t="s">
        <v>430</v>
      </c>
      <c r="M106" s="74" t="s">
        <v>431</v>
      </c>
      <c r="N106" s="426">
        <v>0</v>
      </c>
      <c r="O106" s="74">
        <v>200</v>
      </c>
      <c r="P106" s="71">
        <v>800</v>
      </c>
      <c r="Q106" s="71">
        <v>19000</v>
      </c>
      <c r="R106" s="110">
        <v>20000</v>
      </c>
      <c r="S106" s="126">
        <v>20000</v>
      </c>
      <c r="T106" s="67" t="s">
        <v>92</v>
      </c>
      <c r="U106" s="300" t="s">
        <v>118</v>
      </c>
      <c r="V106" s="67" t="s">
        <v>432</v>
      </c>
      <c r="W106" s="298">
        <v>1</v>
      </c>
      <c r="X106" s="298">
        <v>1</v>
      </c>
      <c r="Y106" s="298">
        <v>1</v>
      </c>
      <c r="Z106" s="299">
        <v>1</v>
      </c>
      <c r="AA106" s="299">
        <v>1</v>
      </c>
      <c r="AB106" s="300">
        <v>1</v>
      </c>
      <c r="AC106" s="301">
        <v>1</v>
      </c>
      <c r="AD106" s="301">
        <v>0</v>
      </c>
      <c r="AE106" s="305">
        <f t="shared" si="3"/>
        <v>0.875</v>
      </c>
      <c r="AF106" s="63">
        <v>0</v>
      </c>
      <c r="AG106" s="305"/>
      <c r="AH106" s="73">
        <v>60.166666666666501</v>
      </c>
      <c r="AI106" s="73">
        <v>50</v>
      </c>
      <c r="AJ106" s="73">
        <v>49.999999999999773</v>
      </c>
      <c r="AK106" s="127">
        <v>80</v>
      </c>
      <c r="AL106" s="127">
        <v>85</v>
      </c>
      <c r="AM106" s="147">
        <f t="shared" si="2"/>
        <v>165</v>
      </c>
      <c r="AN106" s="74" t="s">
        <v>92</v>
      </c>
      <c r="AO106" s="74" t="s">
        <v>118</v>
      </c>
      <c r="AP106" s="67" t="s">
        <v>433</v>
      </c>
    </row>
    <row r="107" spans="1:42" s="300" customFormat="1" x14ac:dyDescent="0.3">
      <c r="A107" s="66" t="s">
        <v>30</v>
      </c>
      <c r="B107" s="67" t="s">
        <v>31</v>
      </c>
      <c r="C107" s="68" t="s">
        <v>32</v>
      </c>
      <c r="D107" s="69" t="s">
        <v>33</v>
      </c>
      <c r="E107" s="68" t="s">
        <v>34</v>
      </c>
      <c r="F107" s="69" t="s">
        <v>35</v>
      </c>
      <c r="G107" s="68" t="s">
        <v>400</v>
      </c>
      <c r="H107" s="69" t="s">
        <v>401</v>
      </c>
      <c r="I107" s="69" t="s">
        <v>427</v>
      </c>
      <c r="J107" s="69" t="s">
        <v>428</v>
      </c>
      <c r="K107" s="68" t="s">
        <v>434</v>
      </c>
      <c r="L107" s="69" t="s">
        <v>435</v>
      </c>
      <c r="M107" s="74" t="s">
        <v>436</v>
      </c>
      <c r="N107" s="426">
        <v>0</v>
      </c>
      <c r="O107" s="99">
        <v>0</v>
      </c>
      <c r="P107" s="71">
        <v>111</v>
      </c>
      <c r="Q107" s="71">
        <v>220</v>
      </c>
      <c r="R107" s="126">
        <v>50</v>
      </c>
      <c r="S107" s="126">
        <v>50</v>
      </c>
      <c r="T107" s="67" t="s">
        <v>92</v>
      </c>
      <c r="U107" s="300" t="s">
        <v>118</v>
      </c>
      <c r="V107" s="67" t="s">
        <v>437</v>
      </c>
      <c r="W107" s="298">
        <v>1</v>
      </c>
      <c r="X107" s="298">
        <v>1</v>
      </c>
      <c r="Y107" s="298">
        <v>1</v>
      </c>
      <c r="Z107" s="299">
        <v>1</v>
      </c>
      <c r="AA107" s="299">
        <v>1</v>
      </c>
      <c r="AB107" s="300">
        <v>1</v>
      </c>
      <c r="AC107" s="301">
        <v>1</v>
      </c>
      <c r="AD107" s="301">
        <v>0</v>
      </c>
      <c r="AE107" s="305">
        <f t="shared" si="3"/>
        <v>0.875</v>
      </c>
      <c r="AF107" s="63">
        <v>0</v>
      </c>
      <c r="AG107" s="305"/>
      <c r="AH107" s="73">
        <v>40</v>
      </c>
      <c r="AI107" s="73">
        <v>40</v>
      </c>
      <c r="AJ107" s="73">
        <v>44.166666666666679</v>
      </c>
      <c r="AK107" s="127">
        <v>20</v>
      </c>
      <c r="AL107" s="127">
        <v>24</v>
      </c>
      <c r="AM107" s="147">
        <f t="shared" si="2"/>
        <v>44</v>
      </c>
      <c r="AN107" s="74" t="s">
        <v>92</v>
      </c>
      <c r="AO107" s="74" t="s">
        <v>118</v>
      </c>
      <c r="AP107" s="67" t="s">
        <v>438</v>
      </c>
    </row>
    <row r="108" spans="1:42" s="300" customFormat="1" x14ac:dyDescent="0.3">
      <c r="A108" s="66" t="s">
        <v>30</v>
      </c>
      <c r="B108" s="67" t="s">
        <v>31</v>
      </c>
      <c r="C108" s="68" t="s">
        <v>32</v>
      </c>
      <c r="D108" s="69" t="s">
        <v>33</v>
      </c>
      <c r="E108" s="68" t="s">
        <v>34</v>
      </c>
      <c r="F108" s="69" t="s">
        <v>35</v>
      </c>
      <c r="G108" s="68" t="s">
        <v>400</v>
      </c>
      <c r="H108" s="69" t="s">
        <v>401</v>
      </c>
      <c r="I108" s="69" t="s">
        <v>427</v>
      </c>
      <c r="J108" s="69" t="s">
        <v>428</v>
      </c>
      <c r="K108" s="68" t="s">
        <v>439</v>
      </c>
      <c r="L108" s="69" t="s">
        <v>440</v>
      </c>
      <c r="M108" s="74" t="s">
        <v>441</v>
      </c>
      <c r="N108" s="426">
        <v>0</v>
      </c>
      <c r="O108" s="74">
        <v>50</v>
      </c>
      <c r="P108" s="75">
        <v>76</v>
      </c>
      <c r="Q108" s="75">
        <v>100</v>
      </c>
      <c r="R108" s="129">
        <v>50</v>
      </c>
      <c r="S108" s="110">
        <v>50</v>
      </c>
      <c r="T108" s="67" t="s">
        <v>407</v>
      </c>
      <c r="U108" s="300" t="s">
        <v>409</v>
      </c>
      <c r="V108" s="67" t="s">
        <v>442</v>
      </c>
      <c r="W108" s="298">
        <v>1</v>
      </c>
      <c r="X108" s="298">
        <v>1</v>
      </c>
      <c r="Y108" s="298">
        <v>1</v>
      </c>
      <c r="Z108" s="299">
        <v>1</v>
      </c>
      <c r="AA108" s="299">
        <v>1</v>
      </c>
      <c r="AB108" s="300">
        <v>1</v>
      </c>
      <c r="AC108" s="301">
        <v>1</v>
      </c>
      <c r="AD108" s="301">
        <v>0</v>
      </c>
      <c r="AE108" s="305">
        <f t="shared" si="3"/>
        <v>0.875</v>
      </c>
      <c r="AF108" s="63">
        <v>0</v>
      </c>
      <c r="AG108" s="305"/>
      <c r="AH108" s="73">
        <v>42.5</v>
      </c>
      <c r="AI108" s="73">
        <v>42.5</v>
      </c>
      <c r="AJ108" s="73">
        <v>42.5</v>
      </c>
      <c r="AK108" s="127">
        <v>30</v>
      </c>
      <c r="AL108" s="127">
        <v>32</v>
      </c>
      <c r="AM108" s="147">
        <f t="shared" si="2"/>
        <v>62</v>
      </c>
      <c r="AN108" s="74" t="s">
        <v>407</v>
      </c>
      <c r="AO108" s="74" t="s">
        <v>409</v>
      </c>
      <c r="AP108" s="67" t="s">
        <v>443</v>
      </c>
    </row>
    <row r="109" spans="1:42" s="300" customFormat="1" x14ac:dyDescent="0.3">
      <c r="A109" s="66" t="s">
        <v>30</v>
      </c>
      <c r="B109" s="67" t="s">
        <v>31</v>
      </c>
      <c r="C109" s="68" t="s">
        <v>32</v>
      </c>
      <c r="D109" s="69" t="s">
        <v>33</v>
      </c>
      <c r="E109" s="68" t="s">
        <v>34</v>
      </c>
      <c r="F109" s="69" t="s">
        <v>35</v>
      </c>
      <c r="G109" s="68" t="s">
        <v>400</v>
      </c>
      <c r="H109" s="69" t="s">
        <v>401</v>
      </c>
      <c r="I109" s="69" t="s">
        <v>444</v>
      </c>
      <c r="J109" s="69" t="s">
        <v>445</v>
      </c>
      <c r="K109" s="68" t="s">
        <v>446</v>
      </c>
      <c r="L109" s="69" t="s">
        <v>447</v>
      </c>
      <c r="M109" s="74" t="s">
        <v>448</v>
      </c>
      <c r="N109" s="426">
        <v>0</v>
      </c>
      <c r="O109" s="99">
        <v>14</v>
      </c>
      <c r="P109" s="75"/>
      <c r="Q109" s="75"/>
      <c r="R109" s="115"/>
      <c r="S109" s="115"/>
      <c r="T109" s="67" t="s">
        <v>407</v>
      </c>
      <c r="U109" s="300" t="s">
        <v>409</v>
      </c>
      <c r="V109" s="67" t="s">
        <v>449</v>
      </c>
      <c r="W109" s="298">
        <v>1</v>
      </c>
      <c r="X109" s="298">
        <v>1</v>
      </c>
      <c r="Y109" s="298">
        <v>1</v>
      </c>
      <c r="Z109" s="299">
        <v>1</v>
      </c>
      <c r="AA109" s="299">
        <v>1</v>
      </c>
      <c r="AB109" s="300">
        <v>1</v>
      </c>
      <c r="AC109" s="301">
        <v>1</v>
      </c>
      <c r="AD109" s="301">
        <v>0</v>
      </c>
      <c r="AE109" s="305">
        <f t="shared" si="3"/>
        <v>0.875</v>
      </c>
      <c r="AF109" s="63">
        <v>0</v>
      </c>
      <c r="AG109" s="305"/>
      <c r="AH109" s="73">
        <v>38.5</v>
      </c>
      <c r="AI109" s="73">
        <v>35</v>
      </c>
      <c r="AJ109" s="73">
        <v>35.000000000000227</v>
      </c>
      <c r="AK109" s="127"/>
      <c r="AL109" s="127"/>
      <c r="AM109" s="147">
        <f t="shared" si="2"/>
        <v>0</v>
      </c>
      <c r="AN109" s="74" t="s">
        <v>407</v>
      </c>
      <c r="AO109" s="74" t="s">
        <v>409</v>
      </c>
      <c r="AP109" s="67" t="s">
        <v>410</v>
      </c>
    </row>
    <row r="110" spans="1:42" s="300" customFormat="1" x14ac:dyDescent="0.3">
      <c r="A110" s="66" t="s">
        <v>30</v>
      </c>
      <c r="B110" s="67" t="s">
        <v>31</v>
      </c>
      <c r="C110" s="68" t="s">
        <v>32</v>
      </c>
      <c r="D110" s="69" t="s">
        <v>33</v>
      </c>
      <c r="E110" s="68" t="s">
        <v>34</v>
      </c>
      <c r="F110" s="69" t="s">
        <v>35</v>
      </c>
      <c r="G110" s="68" t="s">
        <v>400</v>
      </c>
      <c r="H110" s="69" t="s">
        <v>401</v>
      </c>
      <c r="I110" s="69" t="s">
        <v>444</v>
      </c>
      <c r="J110" s="69" t="s">
        <v>445</v>
      </c>
      <c r="K110" s="68" t="s">
        <v>446</v>
      </c>
      <c r="L110" s="69" t="s">
        <v>447</v>
      </c>
      <c r="M110" s="74" t="s">
        <v>450</v>
      </c>
      <c r="N110" s="426">
        <v>0</v>
      </c>
      <c r="O110" s="99">
        <v>4</v>
      </c>
      <c r="P110" s="75">
        <v>17</v>
      </c>
      <c r="Q110" s="75"/>
      <c r="R110" s="115"/>
      <c r="S110" s="115"/>
      <c r="T110" s="67" t="s">
        <v>407</v>
      </c>
      <c r="U110" s="300" t="s">
        <v>409</v>
      </c>
      <c r="V110" s="67" t="s">
        <v>449</v>
      </c>
      <c r="W110" s="298">
        <v>1</v>
      </c>
      <c r="X110" s="298">
        <v>1</v>
      </c>
      <c r="Y110" s="298">
        <v>1</v>
      </c>
      <c r="Z110" s="299">
        <v>1</v>
      </c>
      <c r="AA110" s="299">
        <v>1</v>
      </c>
      <c r="AB110" s="300">
        <v>1</v>
      </c>
      <c r="AC110" s="301">
        <v>1</v>
      </c>
      <c r="AD110" s="301">
        <v>0</v>
      </c>
      <c r="AE110" s="305">
        <f t="shared" si="3"/>
        <v>0.875</v>
      </c>
      <c r="AF110" s="63">
        <v>0</v>
      </c>
      <c r="AG110" s="305"/>
      <c r="AH110" s="73"/>
      <c r="AI110" s="73"/>
      <c r="AJ110" s="73"/>
      <c r="AK110" s="109"/>
      <c r="AL110" s="109"/>
      <c r="AM110" s="147">
        <f t="shared" si="2"/>
        <v>0</v>
      </c>
      <c r="AN110" s="74" t="s">
        <v>407</v>
      </c>
      <c r="AO110" s="74" t="s">
        <v>409</v>
      </c>
      <c r="AP110" s="67" t="s">
        <v>410</v>
      </c>
    </row>
    <row r="111" spans="1:42" s="300" customFormat="1" x14ac:dyDescent="0.3">
      <c r="A111" s="66" t="s">
        <v>30</v>
      </c>
      <c r="B111" s="67" t="s">
        <v>31</v>
      </c>
      <c r="C111" s="68" t="s">
        <v>32</v>
      </c>
      <c r="D111" s="69" t="s">
        <v>33</v>
      </c>
      <c r="E111" s="68" t="s">
        <v>34</v>
      </c>
      <c r="F111" s="69" t="s">
        <v>35</v>
      </c>
      <c r="G111" s="68" t="s">
        <v>400</v>
      </c>
      <c r="H111" s="69" t="s">
        <v>401</v>
      </c>
      <c r="I111" s="69" t="s">
        <v>444</v>
      </c>
      <c r="J111" s="69" t="s">
        <v>445</v>
      </c>
      <c r="K111" s="68" t="s">
        <v>446</v>
      </c>
      <c r="L111" s="69" t="s">
        <v>447</v>
      </c>
      <c r="M111" s="74" t="s">
        <v>451</v>
      </c>
      <c r="N111" s="426">
        <v>0</v>
      </c>
      <c r="O111" s="99">
        <v>2</v>
      </c>
      <c r="P111" s="75">
        <v>2</v>
      </c>
      <c r="Q111" s="75">
        <v>1</v>
      </c>
      <c r="R111" s="115">
        <v>1</v>
      </c>
      <c r="S111" s="115">
        <v>1</v>
      </c>
      <c r="T111" s="67" t="s">
        <v>407</v>
      </c>
      <c r="U111" s="300" t="s">
        <v>409</v>
      </c>
      <c r="V111" s="67" t="s">
        <v>449</v>
      </c>
      <c r="W111" s="298">
        <v>1</v>
      </c>
      <c r="X111" s="298">
        <v>1</v>
      </c>
      <c r="Y111" s="298">
        <v>1</v>
      </c>
      <c r="Z111" s="299">
        <v>1</v>
      </c>
      <c r="AA111" s="299">
        <v>1</v>
      </c>
      <c r="AB111" s="300">
        <v>1</v>
      </c>
      <c r="AC111" s="301">
        <v>1</v>
      </c>
      <c r="AD111" s="301">
        <v>0</v>
      </c>
      <c r="AE111" s="305">
        <f t="shared" si="3"/>
        <v>0.875</v>
      </c>
      <c r="AF111" s="63">
        <v>0</v>
      </c>
      <c r="AG111" s="305"/>
      <c r="AH111" s="73"/>
      <c r="AI111" s="73"/>
      <c r="AJ111" s="73"/>
      <c r="AK111" s="127">
        <v>5</v>
      </c>
      <c r="AL111" s="127">
        <v>3</v>
      </c>
      <c r="AM111" s="147">
        <f t="shared" si="2"/>
        <v>8</v>
      </c>
      <c r="AN111" s="74" t="s">
        <v>407</v>
      </c>
      <c r="AO111" s="74" t="s">
        <v>409</v>
      </c>
      <c r="AP111" s="67" t="s">
        <v>410</v>
      </c>
    </row>
    <row r="112" spans="1:42" s="300" customFormat="1" x14ac:dyDescent="0.3">
      <c r="A112" s="66" t="s">
        <v>30</v>
      </c>
      <c r="B112" s="67" t="s">
        <v>31</v>
      </c>
      <c r="C112" s="68" t="s">
        <v>32</v>
      </c>
      <c r="D112" s="69" t="s">
        <v>33</v>
      </c>
      <c r="E112" s="68" t="s">
        <v>34</v>
      </c>
      <c r="F112" s="69" t="s">
        <v>35</v>
      </c>
      <c r="G112" s="68" t="s">
        <v>400</v>
      </c>
      <c r="H112" s="69" t="s">
        <v>401</v>
      </c>
      <c r="I112" s="69" t="s">
        <v>444</v>
      </c>
      <c r="J112" s="69" t="s">
        <v>445</v>
      </c>
      <c r="K112" s="68" t="s">
        <v>446</v>
      </c>
      <c r="L112" s="69" t="s">
        <v>447</v>
      </c>
      <c r="M112" s="74" t="s">
        <v>452</v>
      </c>
      <c r="N112" s="426">
        <v>20</v>
      </c>
      <c r="O112" s="74">
        <v>100</v>
      </c>
      <c r="P112" s="75">
        <v>108</v>
      </c>
      <c r="Q112" s="75">
        <v>116</v>
      </c>
      <c r="R112" s="115">
        <v>50</v>
      </c>
      <c r="S112" s="115">
        <v>40</v>
      </c>
      <c r="T112" s="67" t="s">
        <v>407</v>
      </c>
      <c r="U112" s="300" t="s">
        <v>409</v>
      </c>
      <c r="V112" s="67" t="s">
        <v>449</v>
      </c>
      <c r="W112" s="298">
        <v>1</v>
      </c>
      <c r="X112" s="298">
        <v>1</v>
      </c>
      <c r="Y112" s="298">
        <v>1</v>
      </c>
      <c r="Z112" s="299">
        <v>1</v>
      </c>
      <c r="AA112" s="299">
        <v>1</v>
      </c>
      <c r="AB112" s="300">
        <v>1</v>
      </c>
      <c r="AC112" s="301">
        <v>1</v>
      </c>
      <c r="AD112" s="301">
        <v>0</v>
      </c>
      <c r="AE112" s="305">
        <f t="shared" si="3"/>
        <v>0.875</v>
      </c>
      <c r="AF112" s="63">
        <v>0</v>
      </c>
      <c r="AG112" s="305"/>
      <c r="AH112" s="73"/>
      <c r="AI112" s="73"/>
      <c r="AJ112" s="73"/>
      <c r="AK112" s="127">
        <v>6</v>
      </c>
      <c r="AL112" s="127">
        <v>5</v>
      </c>
      <c r="AM112" s="147">
        <f t="shared" si="2"/>
        <v>11</v>
      </c>
      <c r="AN112" s="74" t="s">
        <v>407</v>
      </c>
      <c r="AO112" s="74" t="s">
        <v>409</v>
      </c>
      <c r="AP112" s="67" t="s">
        <v>410</v>
      </c>
    </row>
    <row r="113" spans="1:42" s="300" customFormat="1" x14ac:dyDescent="0.3">
      <c r="A113" s="66" t="s">
        <v>30</v>
      </c>
      <c r="B113" s="67" t="s">
        <v>31</v>
      </c>
      <c r="C113" s="68" t="s">
        <v>32</v>
      </c>
      <c r="D113" s="69" t="s">
        <v>33</v>
      </c>
      <c r="E113" s="68" t="s">
        <v>34</v>
      </c>
      <c r="F113" s="69" t="s">
        <v>35</v>
      </c>
      <c r="G113" s="68" t="s">
        <v>400</v>
      </c>
      <c r="H113" s="69" t="s">
        <v>401</v>
      </c>
      <c r="I113" s="69" t="s">
        <v>444</v>
      </c>
      <c r="J113" s="69" t="s">
        <v>445</v>
      </c>
      <c r="K113" s="68" t="s">
        <v>446</v>
      </c>
      <c r="L113" s="69" t="s">
        <v>447</v>
      </c>
      <c r="M113" s="74" t="s">
        <v>453</v>
      </c>
      <c r="N113" s="426">
        <v>0</v>
      </c>
      <c r="O113" s="99">
        <v>2</v>
      </c>
      <c r="P113" s="75">
        <v>2</v>
      </c>
      <c r="Q113" s="75">
        <v>2</v>
      </c>
      <c r="R113" s="115">
        <v>2</v>
      </c>
      <c r="S113" s="115">
        <v>2</v>
      </c>
      <c r="T113" s="67" t="s">
        <v>407</v>
      </c>
      <c r="U113" s="300" t="s">
        <v>409</v>
      </c>
      <c r="V113" s="67" t="s">
        <v>449</v>
      </c>
      <c r="W113" s="298">
        <v>1</v>
      </c>
      <c r="X113" s="298">
        <v>1</v>
      </c>
      <c r="Y113" s="298">
        <v>1</v>
      </c>
      <c r="Z113" s="299">
        <v>1</v>
      </c>
      <c r="AA113" s="299">
        <v>1</v>
      </c>
      <c r="AB113" s="300">
        <v>1</v>
      </c>
      <c r="AC113" s="301">
        <v>1</v>
      </c>
      <c r="AD113" s="301">
        <v>0</v>
      </c>
      <c r="AE113" s="305">
        <f t="shared" si="3"/>
        <v>0.875</v>
      </c>
      <c r="AF113" s="63">
        <v>0</v>
      </c>
      <c r="AG113" s="305"/>
      <c r="AH113" s="73"/>
      <c r="AI113" s="73"/>
      <c r="AJ113" s="73"/>
      <c r="AK113" s="127">
        <v>1.5</v>
      </c>
      <c r="AL113" s="127">
        <v>1.5</v>
      </c>
      <c r="AM113" s="147">
        <f t="shared" si="2"/>
        <v>3</v>
      </c>
      <c r="AN113" s="74" t="s">
        <v>407</v>
      </c>
      <c r="AO113" s="74" t="s">
        <v>409</v>
      </c>
      <c r="AP113" s="67" t="s">
        <v>410</v>
      </c>
    </row>
    <row r="114" spans="1:42" s="300" customFormat="1" x14ac:dyDescent="0.3">
      <c r="A114" s="66" t="s">
        <v>30</v>
      </c>
      <c r="B114" s="67" t="s">
        <v>31</v>
      </c>
      <c r="C114" s="68" t="s">
        <v>32</v>
      </c>
      <c r="D114" s="69" t="s">
        <v>33</v>
      </c>
      <c r="E114" s="68" t="s">
        <v>34</v>
      </c>
      <c r="F114" s="69" t="s">
        <v>35</v>
      </c>
      <c r="G114" s="68" t="s">
        <v>400</v>
      </c>
      <c r="H114" s="69" t="s">
        <v>401</v>
      </c>
      <c r="I114" s="69" t="s">
        <v>444</v>
      </c>
      <c r="J114" s="69" t="s">
        <v>445</v>
      </c>
      <c r="K114" s="68" t="s">
        <v>446</v>
      </c>
      <c r="L114" s="69" t="s">
        <v>447</v>
      </c>
      <c r="M114" s="74" t="s">
        <v>454</v>
      </c>
      <c r="N114" s="426">
        <v>0</v>
      </c>
      <c r="O114" s="427">
        <v>0</v>
      </c>
      <c r="P114" s="75">
        <v>100</v>
      </c>
      <c r="Q114" s="75">
        <v>100</v>
      </c>
      <c r="R114" s="115">
        <v>20</v>
      </c>
      <c r="S114" s="115">
        <v>20</v>
      </c>
      <c r="T114" s="67" t="s">
        <v>407</v>
      </c>
      <c r="U114" s="300" t="s">
        <v>409</v>
      </c>
      <c r="V114" s="67" t="s">
        <v>449</v>
      </c>
      <c r="W114" s="298">
        <v>1</v>
      </c>
      <c r="X114" s="298">
        <v>1</v>
      </c>
      <c r="Y114" s="298">
        <v>1</v>
      </c>
      <c r="Z114" s="299">
        <v>1</v>
      </c>
      <c r="AA114" s="299">
        <v>1</v>
      </c>
      <c r="AB114" s="300">
        <v>1</v>
      </c>
      <c r="AC114" s="301">
        <v>1</v>
      </c>
      <c r="AD114" s="301">
        <v>0</v>
      </c>
      <c r="AE114" s="305">
        <f t="shared" si="3"/>
        <v>0.875</v>
      </c>
      <c r="AF114" s="63">
        <v>0</v>
      </c>
      <c r="AG114" s="305"/>
      <c r="AH114" s="73"/>
      <c r="AI114" s="73"/>
      <c r="AJ114" s="73"/>
      <c r="AK114" s="127">
        <v>0.3</v>
      </c>
      <c r="AL114" s="127">
        <v>0.3</v>
      </c>
      <c r="AM114" s="147">
        <f t="shared" si="2"/>
        <v>0.6</v>
      </c>
      <c r="AN114" s="74" t="s">
        <v>407</v>
      </c>
      <c r="AO114" s="74" t="s">
        <v>409</v>
      </c>
      <c r="AP114" s="67" t="s">
        <v>410</v>
      </c>
    </row>
    <row r="115" spans="1:42" s="300" customFormat="1" x14ac:dyDescent="0.3">
      <c r="A115" s="66" t="s">
        <v>30</v>
      </c>
      <c r="B115" s="67" t="s">
        <v>31</v>
      </c>
      <c r="C115" s="68" t="s">
        <v>32</v>
      </c>
      <c r="D115" s="69" t="s">
        <v>33</v>
      </c>
      <c r="E115" s="68" t="s">
        <v>34</v>
      </c>
      <c r="F115" s="69" t="s">
        <v>35</v>
      </c>
      <c r="G115" s="68" t="s">
        <v>400</v>
      </c>
      <c r="H115" s="69" t="s">
        <v>401</v>
      </c>
      <c r="I115" s="69" t="s">
        <v>444</v>
      </c>
      <c r="J115" s="69" t="s">
        <v>445</v>
      </c>
      <c r="K115" s="68" t="s">
        <v>446</v>
      </c>
      <c r="L115" s="69" t="s">
        <v>447</v>
      </c>
      <c r="M115" s="74" t="s">
        <v>455</v>
      </c>
      <c r="N115" s="426">
        <v>1351</v>
      </c>
      <c r="O115" s="74">
        <v>200</v>
      </c>
      <c r="P115" s="71">
        <v>200</v>
      </c>
      <c r="Q115" s="71">
        <v>200</v>
      </c>
      <c r="R115" s="129">
        <v>100</v>
      </c>
      <c r="S115" s="126">
        <v>80</v>
      </c>
      <c r="T115" s="67" t="s">
        <v>407</v>
      </c>
      <c r="U115" s="300" t="s">
        <v>409</v>
      </c>
      <c r="V115" s="67" t="s">
        <v>449</v>
      </c>
      <c r="W115" s="298">
        <v>1</v>
      </c>
      <c r="X115" s="298">
        <v>1</v>
      </c>
      <c r="Y115" s="298">
        <v>1</v>
      </c>
      <c r="Z115" s="299">
        <v>1</v>
      </c>
      <c r="AA115" s="299">
        <v>1</v>
      </c>
      <c r="AB115" s="300">
        <v>1</v>
      </c>
      <c r="AC115" s="301">
        <v>1</v>
      </c>
      <c r="AD115" s="301">
        <v>0</v>
      </c>
      <c r="AE115" s="305">
        <f t="shared" si="3"/>
        <v>0.875</v>
      </c>
      <c r="AF115" s="63">
        <v>0</v>
      </c>
      <c r="AG115" s="305"/>
      <c r="AH115" s="73"/>
      <c r="AI115" s="73"/>
      <c r="AJ115" s="73"/>
      <c r="AK115" s="127">
        <v>2</v>
      </c>
      <c r="AL115" s="127">
        <v>1.6</v>
      </c>
      <c r="AM115" s="147">
        <f t="shared" si="2"/>
        <v>3.6</v>
      </c>
      <c r="AN115" s="74" t="s">
        <v>407</v>
      </c>
      <c r="AO115" s="74" t="s">
        <v>409</v>
      </c>
      <c r="AP115" s="67" t="s">
        <v>410</v>
      </c>
    </row>
    <row r="116" spans="1:42" s="300" customFormat="1" x14ac:dyDescent="0.3">
      <c r="A116" s="66" t="s">
        <v>30</v>
      </c>
      <c r="B116" s="67" t="s">
        <v>31</v>
      </c>
      <c r="C116" s="68" t="s">
        <v>32</v>
      </c>
      <c r="D116" s="69" t="s">
        <v>33</v>
      </c>
      <c r="E116" s="68" t="s">
        <v>34</v>
      </c>
      <c r="F116" s="69" t="s">
        <v>35</v>
      </c>
      <c r="G116" s="68" t="s">
        <v>400</v>
      </c>
      <c r="H116" s="69" t="s">
        <v>401</v>
      </c>
      <c r="I116" s="69" t="s">
        <v>444</v>
      </c>
      <c r="J116" s="69" t="s">
        <v>445</v>
      </c>
      <c r="K116" s="69" t="s">
        <v>446</v>
      </c>
      <c r="L116" s="69" t="s">
        <v>447</v>
      </c>
      <c r="M116" s="74" t="s">
        <v>456</v>
      </c>
      <c r="N116" s="426">
        <v>20</v>
      </c>
      <c r="O116" s="74">
        <v>100</v>
      </c>
      <c r="P116" s="71">
        <v>108</v>
      </c>
      <c r="Q116" s="71">
        <v>116</v>
      </c>
      <c r="R116" s="129">
        <v>60</v>
      </c>
      <c r="S116" s="126">
        <v>60</v>
      </c>
      <c r="T116" s="69" t="s">
        <v>407</v>
      </c>
      <c r="U116" s="300" t="s">
        <v>409</v>
      </c>
      <c r="V116" s="67" t="s">
        <v>449</v>
      </c>
      <c r="W116" s="298">
        <v>1</v>
      </c>
      <c r="X116" s="298">
        <v>1</v>
      </c>
      <c r="Y116" s="298">
        <v>1</v>
      </c>
      <c r="Z116" s="299">
        <v>1</v>
      </c>
      <c r="AA116" s="299">
        <v>1</v>
      </c>
      <c r="AB116" s="300">
        <v>1</v>
      </c>
      <c r="AC116" s="301">
        <v>1</v>
      </c>
      <c r="AD116" s="301">
        <v>0</v>
      </c>
      <c r="AE116" s="305">
        <f t="shared" si="3"/>
        <v>0.875</v>
      </c>
      <c r="AF116" s="63">
        <v>0</v>
      </c>
      <c r="AG116" s="305"/>
      <c r="AH116" s="73"/>
      <c r="AI116" s="73"/>
      <c r="AJ116" s="73"/>
      <c r="AK116" s="127">
        <v>3</v>
      </c>
      <c r="AL116" s="127">
        <v>3</v>
      </c>
      <c r="AM116" s="147">
        <f t="shared" si="2"/>
        <v>6</v>
      </c>
      <c r="AN116" s="74" t="s">
        <v>407</v>
      </c>
      <c r="AO116" s="74" t="s">
        <v>409</v>
      </c>
      <c r="AP116" s="67" t="s">
        <v>410</v>
      </c>
    </row>
    <row r="117" spans="1:42" s="300" customFormat="1" x14ac:dyDescent="0.3">
      <c r="A117" s="66" t="s">
        <v>30</v>
      </c>
      <c r="B117" s="67" t="s">
        <v>31</v>
      </c>
      <c r="C117" s="68" t="s">
        <v>32</v>
      </c>
      <c r="D117" s="69" t="s">
        <v>33</v>
      </c>
      <c r="E117" s="68" t="s">
        <v>34</v>
      </c>
      <c r="F117" s="69" t="s">
        <v>35</v>
      </c>
      <c r="G117" s="68" t="s">
        <v>400</v>
      </c>
      <c r="H117" s="69" t="s">
        <v>401</v>
      </c>
      <c r="I117" s="69" t="s">
        <v>444</v>
      </c>
      <c r="J117" s="69" t="s">
        <v>445</v>
      </c>
      <c r="K117" s="68" t="s">
        <v>446</v>
      </c>
      <c r="L117" s="69" t="s">
        <v>447</v>
      </c>
      <c r="M117" s="74" t="s">
        <v>457</v>
      </c>
      <c r="N117" s="426">
        <v>0</v>
      </c>
      <c r="O117" s="99">
        <v>2</v>
      </c>
      <c r="P117" s="75">
        <v>3</v>
      </c>
      <c r="Q117" s="75">
        <v>3</v>
      </c>
      <c r="R117" s="115">
        <v>2</v>
      </c>
      <c r="S117" s="115">
        <v>2</v>
      </c>
      <c r="T117" s="67" t="s">
        <v>407</v>
      </c>
      <c r="U117" s="300" t="s">
        <v>409</v>
      </c>
      <c r="V117" s="67" t="s">
        <v>449</v>
      </c>
      <c r="W117" s="298">
        <v>1</v>
      </c>
      <c r="X117" s="298">
        <v>1</v>
      </c>
      <c r="Y117" s="298">
        <v>1</v>
      </c>
      <c r="Z117" s="299">
        <v>1</v>
      </c>
      <c r="AA117" s="299">
        <v>1</v>
      </c>
      <c r="AB117" s="300">
        <v>1</v>
      </c>
      <c r="AC117" s="301">
        <v>1</v>
      </c>
      <c r="AD117" s="301">
        <v>0</v>
      </c>
      <c r="AE117" s="305">
        <f t="shared" si="3"/>
        <v>0.875</v>
      </c>
      <c r="AF117" s="63">
        <v>0</v>
      </c>
      <c r="AG117" s="305"/>
      <c r="AH117" s="73"/>
      <c r="AI117" s="73"/>
      <c r="AJ117" s="73"/>
      <c r="AK117" s="127">
        <v>3.5</v>
      </c>
      <c r="AL117" s="127">
        <v>3.5</v>
      </c>
      <c r="AM117" s="147">
        <f t="shared" si="2"/>
        <v>7</v>
      </c>
      <c r="AN117" s="74" t="s">
        <v>407</v>
      </c>
      <c r="AO117" s="74" t="s">
        <v>409</v>
      </c>
      <c r="AP117" s="67" t="s">
        <v>410</v>
      </c>
    </row>
    <row r="118" spans="1:42" s="300" customFormat="1" x14ac:dyDescent="0.3">
      <c r="A118" s="66" t="s">
        <v>30</v>
      </c>
      <c r="B118" s="67" t="s">
        <v>31</v>
      </c>
      <c r="C118" s="68" t="s">
        <v>32</v>
      </c>
      <c r="D118" s="69" t="s">
        <v>33</v>
      </c>
      <c r="E118" s="68" t="s">
        <v>34</v>
      </c>
      <c r="F118" s="69" t="s">
        <v>35</v>
      </c>
      <c r="G118" s="68" t="s">
        <v>400</v>
      </c>
      <c r="H118" s="69" t="s">
        <v>401</v>
      </c>
      <c r="I118" s="69" t="s">
        <v>444</v>
      </c>
      <c r="J118" s="69" t="s">
        <v>445</v>
      </c>
      <c r="K118" s="68" t="s">
        <v>446</v>
      </c>
      <c r="L118" s="69" t="s">
        <v>447</v>
      </c>
      <c r="M118" s="74" t="s">
        <v>458</v>
      </c>
      <c r="N118" s="426">
        <v>0</v>
      </c>
      <c r="O118" s="99">
        <v>5</v>
      </c>
      <c r="P118" s="75">
        <v>5</v>
      </c>
      <c r="Q118" s="75">
        <v>5</v>
      </c>
      <c r="R118" s="129">
        <v>8</v>
      </c>
      <c r="S118" s="115">
        <v>0</v>
      </c>
      <c r="T118" s="67" t="s">
        <v>407</v>
      </c>
      <c r="U118" s="300" t="s">
        <v>409</v>
      </c>
      <c r="V118" s="67" t="s">
        <v>449</v>
      </c>
      <c r="W118" s="298">
        <v>1</v>
      </c>
      <c r="X118" s="298">
        <v>1</v>
      </c>
      <c r="Y118" s="298">
        <v>1</v>
      </c>
      <c r="Z118" s="299">
        <v>1</v>
      </c>
      <c r="AA118" s="299">
        <v>1</v>
      </c>
      <c r="AB118" s="300">
        <v>1</v>
      </c>
      <c r="AC118" s="301">
        <v>1</v>
      </c>
      <c r="AD118" s="301">
        <v>0</v>
      </c>
      <c r="AE118" s="305">
        <f t="shared" si="3"/>
        <v>0.875</v>
      </c>
      <c r="AF118" s="63">
        <v>0</v>
      </c>
      <c r="AG118" s="305"/>
      <c r="AH118" s="73"/>
      <c r="AI118" s="73"/>
      <c r="AJ118" s="73"/>
      <c r="AK118" s="127">
        <v>3</v>
      </c>
      <c r="AL118" s="109"/>
      <c r="AM118" s="147">
        <f t="shared" si="2"/>
        <v>3</v>
      </c>
      <c r="AN118" s="74" t="s">
        <v>407</v>
      </c>
      <c r="AO118" s="74" t="s">
        <v>409</v>
      </c>
      <c r="AP118" s="67" t="s">
        <v>410</v>
      </c>
    </row>
    <row r="119" spans="1:42" s="300" customFormat="1" x14ac:dyDescent="0.3">
      <c r="A119" s="66" t="s">
        <v>30</v>
      </c>
      <c r="B119" s="67" t="s">
        <v>31</v>
      </c>
      <c r="C119" s="68" t="s">
        <v>32</v>
      </c>
      <c r="D119" s="69" t="s">
        <v>33</v>
      </c>
      <c r="E119" s="68" t="s">
        <v>34</v>
      </c>
      <c r="F119" s="69" t="s">
        <v>35</v>
      </c>
      <c r="G119" s="68" t="s">
        <v>400</v>
      </c>
      <c r="H119" s="69" t="s">
        <v>401</v>
      </c>
      <c r="I119" s="69" t="s">
        <v>444</v>
      </c>
      <c r="J119" s="69" t="s">
        <v>445</v>
      </c>
      <c r="K119" s="68" t="s">
        <v>446</v>
      </c>
      <c r="L119" s="69" t="s">
        <v>447</v>
      </c>
      <c r="M119" s="74" t="s">
        <v>459</v>
      </c>
      <c r="N119" s="426">
        <v>0</v>
      </c>
      <c r="O119" s="99">
        <v>10</v>
      </c>
      <c r="P119" s="75">
        <v>20</v>
      </c>
      <c r="Q119" s="75">
        <v>30</v>
      </c>
      <c r="R119" s="115">
        <v>20</v>
      </c>
      <c r="S119" s="115">
        <v>15</v>
      </c>
      <c r="T119" s="67" t="s">
        <v>156</v>
      </c>
      <c r="U119" s="300" t="s">
        <v>158</v>
      </c>
      <c r="V119" s="67" t="s">
        <v>460</v>
      </c>
      <c r="W119" s="298">
        <v>1</v>
      </c>
      <c r="X119" s="298">
        <v>1</v>
      </c>
      <c r="Y119" s="298">
        <v>1</v>
      </c>
      <c r="Z119" s="299">
        <v>1</v>
      </c>
      <c r="AA119" s="299">
        <v>1</v>
      </c>
      <c r="AB119" s="300">
        <v>1</v>
      </c>
      <c r="AC119" s="301">
        <v>1</v>
      </c>
      <c r="AD119" s="301">
        <v>0</v>
      </c>
      <c r="AE119" s="305">
        <f t="shared" si="3"/>
        <v>0.875</v>
      </c>
      <c r="AF119" s="63">
        <v>0</v>
      </c>
      <c r="AG119" s="305"/>
      <c r="AH119" s="73">
        <v>10.5</v>
      </c>
      <c r="AI119" s="73">
        <v>10.5</v>
      </c>
      <c r="AJ119" s="73">
        <v>10.5</v>
      </c>
      <c r="AK119" s="127">
        <v>12</v>
      </c>
      <c r="AL119" s="127">
        <v>11</v>
      </c>
      <c r="AM119" s="147">
        <f t="shared" si="2"/>
        <v>23</v>
      </c>
      <c r="AN119" s="74" t="s">
        <v>156</v>
      </c>
      <c r="AO119" s="74" t="s">
        <v>158</v>
      </c>
      <c r="AP119" s="67" t="s">
        <v>461</v>
      </c>
    </row>
    <row r="120" spans="1:42" s="300" customFormat="1" x14ac:dyDescent="0.3">
      <c r="A120" s="66" t="s">
        <v>30</v>
      </c>
      <c r="B120" s="67" t="s">
        <v>31</v>
      </c>
      <c r="C120" s="68" t="s">
        <v>32</v>
      </c>
      <c r="D120" s="69" t="s">
        <v>33</v>
      </c>
      <c r="E120" s="68" t="s">
        <v>34</v>
      </c>
      <c r="F120" s="69" t="s">
        <v>35</v>
      </c>
      <c r="G120" s="68" t="s">
        <v>400</v>
      </c>
      <c r="H120" s="69" t="s">
        <v>401</v>
      </c>
      <c r="I120" s="69" t="s">
        <v>444</v>
      </c>
      <c r="J120" s="69" t="s">
        <v>445</v>
      </c>
      <c r="K120" s="68" t="s">
        <v>462</v>
      </c>
      <c r="L120" s="69" t="s">
        <v>463</v>
      </c>
      <c r="M120" s="74" t="s">
        <v>464</v>
      </c>
      <c r="N120" s="426">
        <v>0</v>
      </c>
      <c r="O120" s="74">
        <v>2</v>
      </c>
      <c r="P120" s="71">
        <v>3</v>
      </c>
      <c r="Q120" s="71">
        <v>7</v>
      </c>
      <c r="R120" s="110">
        <v>8</v>
      </c>
      <c r="S120" s="110">
        <v>5</v>
      </c>
      <c r="T120" s="67" t="s">
        <v>407</v>
      </c>
      <c r="U120" s="300" t="s">
        <v>409</v>
      </c>
      <c r="V120" s="67" t="s">
        <v>465</v>
      </c>
      <c r="W120" s="298">
        <v>1</v>
      </c>
      <c r="X120" s="298">
        <v>1</v>
      </c>
      <c r="Y120" s="298">
        <v>1</v>
      </c>
      <c r="Z120" s="299">
        <v>1</v>
      </c>
      <c r="AA120" s="299">
        <v>1</v>
      </c>
      <c r="AB120" s="300">
        <v>1</v>
      </c>
      <c r="AC120" s="301">
        <v>1</v>
      </c>
      <c r="AD120" s="301">
        <v>0</v>
      </c>
      <c r="AE120" s="305">
        <f t="shared" si="3"/>
        <v>0.875</v>
      </c>
      <c r="AF120" s="63">
        <v>0</v>
      </c>
      <c r="AG120" s="305"/>
      <c r="AH120" s="73">
        <v>0.5</v>
      </c>
      <c r="AI120" s="73">
        <v>0.5</v>
      </c>
      <c r="AJ120" s="73">
        <v>0.5</v>
      </c>
      <c r="AK120" s="109">
        <v>0.5</v>
      </c>
      <c r="AL120" s="109">
        <v>0.5</v>
      </c>
      <c r="AM120" s="147">
        <f t="shared" si="2"/>
        <v>1</v>
      </c>
      <c r="AN120" s="74" t="s">
        <v>407</v>
      </c>
      <c r="AO120" s="74" t="s">
        <v>409</v>
      </c>
      <c r="AP120" s="67" t="s">
        <v>410</v>
      </c>
    </row>
    <row r="121" spans="1:42" s="300" customFormat="1" x14ac:dyDescent="0.3">
      <c r="A121" s="66" t="s">
        <v>30</v>
      </c>
      <c r="B121" s="67" t="s">
        <v>31</v>
      </c>
      <c r="C121" s="68" t="s">
        <v>32</v>
      </c>
      <c r="D121" s="69" t="s">
        <v>33</v>
      </c>
      <c r="E121" s="68" t="s">
        <v>34</v>
      </c>
      <c r="F121" s="69" t="s">
        <v>35</v>
      </c>
      <c r="G121" s="68" t="s">
        <v>400</v>
      </c>
      <c r="H121" s="69" t="s">
        <v>401</v>
      </c>
      <c r="I121" s="69" t="s">
        <v>444</v>
      </c>
      <c r="J121" s="69" t="s">
        <v>445</v>
      </c>
      <c r="K121" s="69" t="s">
        <v>466</v>
      </c>
      <c r="L121" s="69" t="s">
        <v>463</v>
      </c>
      <c r="M121" s="74" t="s">
        <v>467</v>
      </c>
      <c r="N121" s="426">
        <v>45</v>
      </c>
      <c r="O121" s="74">
        <v>100</v>
      </c>
      <c r="P121" s="71">
        <v>200</v>
      </c>
      <c r="Q121" s="71">
        <v>300</v>
      </c>
      <c r="R121" s="110">
        <v>400</v>
      </c>
      <c r="S121" s="110">
        <v>500</v>
      </c>
      <c r="T121" s="67" t="s">
        <v>407</v>
      </c>
      <c r="U121" s="300" t="s">
        <v>409</v>
      </c>
      <c r="V121" s="67" t="s">
        <v>465</v>
      </c>
      <c r="W121" s="298">
        <v>1</v>
      </c>
      <c r="X121" s="298">
        <v>1</v>
      </c>
      <c r="Y121" s="298">
        <v>1</v>
      </c>
      <c r="Z121" s="299">
        <v>1</v>
      </c>
      <c r="AA121" s="299">
        <v>1</v>
      </c>
      <c r="AB121" s="300">
        <v>1</v>
      </c>
      <c r="AC121" s="301">
        <v>1</v>
      </c>
      <c r="AD121" s="301">
        <v>0</v>
      </c>
      <c r="AE121" s="305">
        <f t="shared" si="3"/>
        <v>0.875</v>
      </c>
      <c r="AF121" s="63">
        <v>0</v>
      </c>
      <c r="AG121" s="305"/>
      <c r="AH121" s="73"/>
      <c r="AI121" s="73"/>
      <c r="AJ121" s="73"/>
      <c r="AK121" s="127">
        <v>0.5</v>
      </c>
      <c r="AL121" s="127">
        <v>0.5</v>
      </c>
      <c r="AM121" s="147">
        <f t="shared" si="2"/>
        <v>1</v>
      </c>
      <c r="AN121" s="74" t="s">
        <v>407</v>
      </c>
      <c r="AO121" s="74" t="s">
        <v>409</v>
      </c>
      <c r="AP121" s="67" t="s">
        <v>468</v>
      </c>
    </row>
    <row r="122" spans="1:42" s="300" customFormat="1" x14ac:dyDescent="0.3">
      <c r="A122" s="66" t="s">
        <v>30</v>
      </c>
      <c r="B122" s="67" t="s">
        <v>31</v>
      </c>
      <c r="C122" s="68" t="s">
        <v>32</v>
      </c>
      <c r="D122" s="69" t="s">
        <v>33</v>
      </c>
      <c r="E122" s="68" t="s">
        <v>34</v>
      </c>
      <c r="F122" s="69" t="s">
        <v>35</v>
      </c>
      <c r="G122" s="68" t="s">
        <v>400</v>
      </c>
      <c r="H122" s="69" t="s">
        <v>401</v>
      </c>
      <c r="I122" s="69" t="s">
        <v>444</v>
      </c>
      <c r="J122" s="69" t="s">
        <v>445</v>
      </c>
      <c r="K122" s="68" t="s">
        <v>469</v>
      </c>
      <c r="L122" s="69" t="s">
        <v>470</v>
      </c>
      <c r="M122" s="74" t="s">
        <v>471</v>
      </c>
      <c r="N122" s="426">
        <v>0</v>
      </c>
      <c r="O122" s="74">
        <v>1</v>
      </c>
      <c r="P122" s="71"/>
      <c r="Q122" s="71"/>
      <c r="R122" s="110"/>
      <c r="S122" s="110"/>
      <c r="T122" s="67" t="s">
        <v>407</v>
      </c>
      <c r="U122" s="300" t="s">
        <v>409</v>
      </c>
      <c r="V122" s="67" t="s">
        <v>472</v>
      </c>
      <c r="W122" s="298">
        <v>1</v>
      </c>
      <c r="X122" s="298">
        <v>1</v>
      </c>
      <c r="Y122" s="298">
        <v>1</v>
      </c>
      <c r="Z122" s="299">
        <v>1</v>
      </c>
      <c r="AA122" s="299">
        <v>1</v>
      </c>
      <c r="AB122" s="300">
        <v>1</v>
      </c>
      <c r="AC122" s="301">
        <v>1</v>
      </c>
      <c r="AD122" s="301">
        <v>0</v>
      </c>
      <c r="AE122" s="305">
        <f t="shared" si="3"/>
        <v>0.875</v>
      </c>
      <c r="AF122" s="63">
        <v>0</v>
      </c>
      <c r="AG122" s="305"/>
      <c r="AH122" s="73">
        <v>1</v>
      </c>
      <c r="AI122" s="73">
        <v>0.2</v>
      </c>
      <c r="AJ122" s="73"/>
      <c r="AK122" s="109"/>
      <c r="AL122" s="109"/>
      <c r="AM122" s="147">
        <f t="shared" si="2"/>
        <v>0</v>
      </c>
      <c r="AN122" s="74" t="s">
        <v>407</v>
      </c>
      <c r="AO122" s="74" t="s">
        <v>409</v>
      </c>
      <c r="AP122" s="67" t="s">
        <v>473</v>
      </c>
    </row>
    <row r="123" spans="1:42" x14ac:dyDescent="0.3">
      <c r="A123" s="9" t="s">
        <v>30</v>
      </c>
      <c r="B123" s="10" t="s">
        <v>31</v>
      </c>
      <c r="C123" s="11" t="s">
        <v>32</v>
      </c>
      <c r="D123" s="12" t="s">
        <v>33</v>
      </c>
      <c r="E123" s="11" t="s">
        <v>34</v>
      </c>
      <c r="F123" s="12" t="s">
        <v>35</v>
      </c>
      <c r="G123" s="11" t="s">
        <v>400</v>
      </c>
      <c r="H123" s="12" t="s">
        <v>401</v>
      </c>
      <c r="I123" s="12" t="s">
        <v>444</v>
      </c>
      <c r="J123" s="12" t="s">
        <v>445</v>
      </c>
      <c r="K123" s="11" t="s">
        <v>474</v>
      </c>
      <c r="L123" s="12" t="s">
        <v>475</v>
      </c>
      <c r="M123" s="18" t="s">
        <v>476</v>
      </c>
      <c r="N123" s="424">
        <v>0</v>
      </c>
      <c r="O123" s="14">
        <v>5000</v>
      </c>
      <c r="P123" s="16">
        <v>8250</v>
      </c>
      <c r="Q123" s="16">
        <v>9222</v>
      </c>
      <c r="R123" s="110">
        <v>1000</v>
      </c>
      <c r="S123" s="110">
        <v>1000</v>
      </c>
      <c r="T123" s="10" t="s">
        <v>92</v>
      </c>
      <c r="U123" s="283" t="s">
        <v>118</v>
      </c>
      <c r="V123" s="10" t="s">
        <v>477</v>
      </c>
      <c r="W123" s="298">
        <v>1</v>
      </c>
      <c r="X123" s="298">
        <v>1</v>
      </c>
      <c r="Y123" s="298">
        <v>1</v>
      </c>
      <c r="Z123" s="299">
        <v>1</v>
      </c>
      <c r="AA123" s="299">
        <v>1</v>
      </c>
      <c r="AB123" s="300">
        <v>1</v>
      </c>
      <c r="AC123" s="301">
        <v>1</v>
      </c>
      <c r="AD123" s="301">
        <v>0</v>
      </c>
      <c r="AE123" s="302">
        <f t="shared" si="3"/>
        <v>0.875</v>
      </c>
      <c r="AF123" s="63">
        <v>0</v>
      </c>
      <c r="AG123" s="17">
        <v>0</v>
      </c>
      <c r="AH123" s="17">
        <v>0</v>
      </c>
      <c r="AI123" s="32">
        <v>7.5</v>
      </c>
      <c r="AJ123" s="32">
        <v>7.5</v>
      </c>
      <c r="AK123" s="132">
        <v>5</v>
      </c>
      <c r="AL123" s="132">
        <v>5</v>
      </c>
      <c r="AM123" s="147">
        <f t="shared" si="2"/>
        <v>10</v>
      </c>
      <c r="AN123" s="18" t="s">
        <v>336</v>
      </c>
      <c r="AO123" s="18" t="s">
        <v>118</v>
      </c>
      <c r="AP123" s="10" t="s">
        <v>154</v>
      </c>
    </row>
    <row r="124" spans="1:42" x14ac:dyDescent="0.3">
      <c r="A124" s="9" t="s">
        <v>30</v>
      </c>
      <c r="B124" s="10" t="s">
        <v>31</v>
      </c>
      <c r="C124" s="11" t="s">
        <v>32</v>
      </c>
      <c r="D124" s="12" t="s">
        <v>33</v>
      </c>
      <c r="E124" s="11" t="s">
        <v>34</v>
      </c>
      <c r="F124" s="12" t="s">
        <v>35</v>
      </c>
      <c r="G124" s="11" t="s">
        <v>400</v>
      </c>
      <c r="H124" s="12" t="s">
        <v>401</v>
      </c>
      <c r="I124" s="12" t="s">
        <v>478</v>
      </c>
      <c r="J124" s="12" t="s">
        <v>479</v>
      </c>
      <c r="K124" s="33" t="s">
        <v>480</v>
      </c>
      <c r="L124" s="12" t="s">
        <v>481</v>
      </c>
      <c r="M124" s="18" t="s">
        <v>482</v>
      </c>
      <c r="N124" s="424"/>
      <c r="O124" s="14">
        <v>100</v>
      </c>
      <c r="P124" s="16">
        <v>200</v>
      </c>
      <c r="Q124" s="16">
        <v>300</v>
      </c>
      <c r="R124" s="110">
        <v>400</v>
      </c>
      <c r="S124" s="110">
        <v>500</v>
      </c>
      <c r="T124" s="10" t="s">
        <v>407</v>
      </c>
      <c r="U124" s="283" t="s">
        <v>409</v>
      </c>
      <c r="V124" s="10"/>
      <c r="W124" s="298">
        <v>0</v>
      </c>
      <c r="X124" s="298">
        <v>0</v>
      </c>
      <c r="Y124" s="298">
        <v>0</v>
      </c>
      <c r="Z124" s="299">
        <v>0</v>
      </c>
      <c r="AA124" s="299">
        <v>0</v>
      </c>
      <c r="AB124" s="300">
        <v>0</v>
      </c>
      <c r="AC124" s="301">
        <v>0</v>
      </c>
      <c r="AD124" s="301">
        <v>0</v>
      </c>
      <c r="AE124" s="302">
        <f t="shared" si="3"/>
        <v>0</v>
      </c>
      <c r="AF124" s="63">
        <v>0</v>
      </c>
      <c r="AG124" s="17">
        <v>0</v>
      </c>
      <c r="AH124" s="17"/>
      <c r="AI124" s="17"/>
      <c r="AJ124" s="17"/>
      <c r="AK124" s="109"/>
      <c r="AL124" s="109"/>
      <c r="AM124" s="147">
        <f t="shared" si="2"/>
        <v>0</v>
      </c>
      <c r="AN124" s="18" t="s">
        <v>407</v>
      </c>
      <c r="AO124" s="18" t="s">
        <v>409</v>
      </c>
      <c r="AP124" s="10"/>
    </row>
    <row r="125" spans="1:42" x14ac:dyDescent="0.3">
      <c r="A125" s="9" t="s">
        <v>30</v>
      </c>
      <c r="B125" s="10" t="s">
        <v>31</v>
      </c>
      <c r="C125" s="11" t="s">
        <v>32</v>
      </c>
      <c r="D125" s="12" t="s">
        <v>33</v>
      </c>
      <c r="E125" s="11" t="s">
        <v>34</v>
      </c>
      <c r="F125" s="12" t="s">
        <v>35</v>
      </c>
      <c r="G125" s="11" t="s">
        <v>400</v>
      </c>
      <c r="H125" s="12" t="s">
        <v>401</v>
      </c>
      <c r="I125" s="12" t="s">
        <v>478</v>
      </c>
      <c r="J125" s="12" t="s">
        <v>479</v>
      </c>
      <c r="K125" s="33" t="s">
        <v>480</v>
      </c>
      <c r="L125" s="12" t="s">
        <v>481</v>
      </c>
      <c r="M125" s="18" t="s">
        <v>483</v>
      </c>
      <c r="N125" s="424"/>
      <c r="O125" s="14">
        <v>100</v>
      </c>
      <c r="P125" s="16">
        <v>200</v>
      </c>
      <c r="Q125" s="16">
        <v>300</v>
      </c>
      <c r="R125" s="110">
        <v>400</v>
      </c>
      <c r="S125" s="110">
        <v>500</v>
      </c>
      <c r="T125" s="10" t="s">
        <v>407</v>
      </c>
      <c r="U125" s="283" t="s">
        <v>409</v>
      </c>
      <c r="V125" s="10"/>
      <c r="W125" s="298">
        <v>0</v>
      </c>
      <c r="X125" s="298">
        <v>0</v>
      </c>
      <c r="Y125" s="298">
        <v>0</v>
      </c>
      <c r="Z125" s="299">
        <v>0</v>
      </c>
      <c r="AA125" s="299">
        <v>0</v>
      </c>
      <c r="AB125" s="300">
        <v>0</v>
      </c>
      <c r="AC125" s="301">
        <v>0</v>
      </c>
      <c r="AD125" s="301">
        <v>0</v>
      </c>
      <c r="AE125" s="302">
        <f t="shared" si="3"/>
        <v>0</v>
      </c>
      <c r="AF125" s="63">
        <v>0</v>
      </c>
      <c r="AG125" s="17">
        <v>0</v>
      </c>
      <c r="AH125" s="17"/>
      <c r="AI125" s="17"/>
      <c r="AJ125" s="17"/>
      <c r="AK125" s="109"/>
      <c r="AL125" s="109"/>
      <c r="AM125" s="147">
        <f t="shared" si="2"/>
        <v>0</v>
      </c>
      <c r="AN125" s="18" t="s">
        <v>407</v>
      </c>
      <c r="AO125" s="18" t="s">
        <v>409</v>
      </c>
      <c r="AP125" s="10"/>
    </row>
    <row r="126" spans="1:42" s="300" customFormat="1" x14ac:dyDescent="0.3">
      <c r="A126" s="66" t="s">
        <v>30</v>
      </c>
      <c r="B126" s="67" t="s">
        <v>31</v>
      </c>
      <c r="C126" s="68" t="s">
        <v>32</v>
      </c>
      <c r="D126" s="69" t="s">
        <v>33</v>
      </c>
      <c r="E126" s="68" t="s">
        <v>34</v>
      </c>
      <c r="F126" s="69" t="s">
        <v>35</v>
      </c>
      <c r="G126" s="68" t="s">
        <v>484</v>
      </c>
      <c r="H126" s="69" t="s">
        <v>485</v>
      </c>
      <c r="I126" s="68" t="s">
        <v>486</v>
      </c>
      <c r="J126" s="69" t="s">
        <v>487</v>
      </c>
      <c r="K126" s="68" t="s">
        <v>488</v>
      </c>
      <c r="L126" s="69" t="s">
        <v>331</v>
      </c>
      <c r="M126" s="74" t="s">
        <v>489</v>
      </c>
      <c r="N126" s="426">
        <v>0</v>
      </c>
      <c r="O126" s="99">
        <v>0</v>
      </c>
      <c r="P126" s="71"/>
      <c r="Q126" s="71"/>
      <c r="R126" s="110">
        <v>1</v>
      </c>
      <c r="S126" s="110">
        <v>1</v>
      </c>
      <c r="T126" s="67" t="s">
        <v>336</v>
      </c>
      <c r="U126" s="300" t="s">
        <v>118</v>
      </c>
      <c r="V126" s="67" t="s">
        <v>490</v>
      </c>
      <c r="W126" s="298">
        <v>1</v>
      </c>
      <c r="X126" s="298">
        <v>1</v>
      </c>
      <c r="Y126" s="298">
        <v>1</v>
      </c>
      <c r="Z126" s="299">
        <v>1</v>
      </c>
      <c r="AA126" s="299">
        <v>1</v>
      </c>
      <c r="AB126" s="300">
        <v>1</v>
      </c>
      <c r="AC126" s="301">
        <v>1</v>
      </c>
      <c r="AD126" s="301">
        <v>0</v>
      </c>
      <c r="AE126" s="305">
        <f t="shared" si="3"/>
        <v>0.875</v>
      </c>
      <c r="AF126" s="63">
        <v>0</v>
      </c>
      <c r="AG126" s="73">
        <v>0</v>
      </c>
      <c r="AH126" s="73">
        <v>9.5</v>
      </c>
      <c r="AI126" s="73">
        <v>3</v>
      </c>
      <c r="AJ126" s="73">
        <v>3</v>
      </c>
      <c r="AK126" s="127">
        <v>10</v>
      </c>
      <c r="AL126" s="127">
        <v>10</v>
      </c>
      <c r="AM126" s="147">
        <f t="shared" si="2"/>
        <v>20</v>
      </c>
      <c r="AN126" s="74" t="s">
        <v>92</v>
      </c>
      <c r="AO126" s="74" t="s">
        <v>118</v>
      </c>
      <c r="AP126" s="67" t="s">
        <v>491</v>
      </c>
    </row>
    <row r="127" spans="1:42" s="300" customFormat="1" x14ac:dyDescent="0.3">
      <c r="A127" s="66" t="s">
        <v>30</v>
      </c>
      <c r="B127" s="67" t="s">
        <v>31</v>
      </c>
      <c r="C127" s="68" t="s">
        <v>32</v>
      </c>
      <c r="D127" s="69" t="s">
        <v>33</v>
      </c>
      <c r="E127" s="68" t="s">
        <v>34</v>
      </c>
      <c r="F127" s="69" t="s">
        <v>35</v>
      </c>
      <c r="G127" s="68" t="s">
        <v>484</v>
      </c>
      <c r="H127" s="69" t="s">
        <v>485</v>
      </c>
      <c r="I127" s="68" t="s">
        <v>486</v>
      </c>
      <c r="J127" s="69" t="s">
        <v>487</v>
      </c>
      <c r="K127" s="68" t="s">
        <v>488</v>
      </c>
      <c r="L127" s="67" t="s">
        <v>331</v>
      </c>
      <c r="M127" s="74" t="s">
        <v>492</v>
      </c>
      <c r="N127" s="426">
        <v>0</v>
      </c>
      <c r="O127" s="99">
        <v>0</v>
      </c>
      <c r="P127" s="71">
        <v>0</v>
      </c>
      <c r="Q127" s="71">
        <v>20</v>
      </c>
      <c r="R127" s="110">
        <v>20</v>
      </c>
      <c r="S127" s="110">
        <v>20</v>
      </c>
      <c r="T127" s="67" t="s">
        <v>336</v>
      </c>
      <c r="U127" s="300" t="s">
        <v>118</v>
      </c>
      <c r="V127" s="67" t="s">
        <v>493</v>
      </c>
      <c r="W127" s="298">
        <v>1</v>
      </c>
      <c r="X127" s="298">
        <v>1</v>
      </c>
      <c r="Y127" s="298">
        <v>1</v>
      </c>
      <c r="Z127" s="299">
        <v>1</v>
      </c>
      <c r="AA127" s="299">
        <v>1</v>
      </c>
      <c r="AB127" s="300">
        <v>1</v>
      </c>
      <c r="AC127" s="301">
        <v>1</v>
      </c>
      <c r="AD127" s="301">
        <v>0</v>
      </c>
      <c r="AE127" s="305">
        <f t="shared" si="3"/>
        <v>0.875</v>
      </c>
      <c r="AF127" s="63">
        <v>0</v>
      </c>
      <c r="AG127" s="73">
        <v>0</v>
      </c>
      <c r="AH127" s="73">
        <v>30</v>
      </c>
      <c r="AI127" s="73">
        <v>22</v>
      </c>
      <c r="AJ127" s="73">
        <v>22</v>
      </c>
      <c r="AK127" s="127">
        <v>5</v>
      </c>
      <c r="AL127" s="132">
        <v>5</v>
      </c>
      <c r="AM127" s="147">
        <f t="shared" si="2"/>
        <v>10</v>
      </c>
      <c r="AN127" s="74" t="s">
        <v>336</v>
      </c>
      <c r="AO127" s="74" t="s">
        <v>118</v>
      </c>
      <c r="AP127" s="67" t="s">
        <v>494</v>
      </c>
    </row>
    <row r="128" spans="1:42" s="300" customFormat="1" x14ac:dyDescent="0.3">
      <c r="A128" s="66" t="s">
        <v>30</v>
      </c>
      <c r="B128" s="67" t="s">
        <v>31</v>
      </c>
      <c r="C128" s="68" t="s">
        <v>32</v>
      </c>
      <c r="D128" s="69" t="s">
        <v>33</v>
      </c>
      <c r="E128" s="68" t="s">
        <v>34</v>
      </c>
      <c r="F128" s="69" t="s">
        <v>35</v>
      </c>
      <c r="G128" s="68" t="s">
        <v>484</v>
      </c>
      <c r="H128" s="69" t="s">
        <v>485</v>
      </c>
      <c r="I128" s="68" t="s">
        <v>486</v>
      </c>
      <c r="J128" s="69" t="s">
        <v>487</v>
      </c>
      <c r="K128" s="68" t="s">
        <v>488</v>
      </c>
      <c r="L128" s="67" t="s">
        <v>331</v>
      </c>
      <c r="M128" s="74" t="s">
        <v>495</v>
      </c>
      <c r="N128" s="426">
        <v>0</v>
      </c>
      <c r="O128" s="99">
        <v>0</v>
      </c>
      <c r="P128" s="71">
        <v>2</v>
      </c>
      <c r="Q128" s="71">
        <v>2</v>
      </c>
      <c r="R128" s="110">
        <v>2</v>
      </c>
      <c r="S128" s="110">
        <v>2</v>
      </c>
      <c r="T128" s="67" t="s">
        <v>336</v>
      </c>
      <c r="U128" s="300" t="s">
        <v>118</v>
      </c>
      <c r="V128" s="67" t="s">
        <v>493</v>
      </c>
      <c r="W128" s="298">
        <v>1</v>
      </c>
      <c r="X128" s="298">
        <v>1</v>
      </c>
      <c r="Y128" s="298">
        <v>1</v>
      </c>
      <c r="Z128" s="299">
        <v>1</v>
      </c>
      <c r="AA128" s="299">
        <v>1</v>
      </c>
      <c r="AB128" s="300">
        <v>1</v>
      </c>
      <c r="AC128" s="301">
        <v>1</v>
      </c>
      <c r="AD128" s="301">
        <v>0</v>
      </c>
      <c r="AE128" s="305">
        <f t="shared" si="3"/>
        <v>0.875</v>
      </c>
      <c r="AF128" s="63">
        <v>0</v>
      </c>
      <c r="AG128" s="73">
        <v>0</v>
      </c>
      <c r="AH128" s="73"/>
      <c r="AI128" s="73"/>
      <c r="AJ128" s="73"/>
      <c r="AK128" s="127">
        <v>4.8</v>
      </c>
      <c r="AL128" s="127">
        <v>4.8</v>
      </c>
      <c r="AM128" s="147">
        <f t="shared" si="2"/>
        <v>9.6</v>
      </c>
      <c r="AN128" s="74" t="s">
        <v>336</v>
      </c>
      <c r="AO128" s="74" t="s">
        <v>118</v>
      </c>
      <c r="AP128" s="67" t="s">
        <v>494</v>
      </c>
    </row>
    <row r="129" spans="1:42" s="300" customFormat="1" x14ac:dyDescent="0.3">
      <c r="A129" s="66" t="s">
        <v>30</v>
      </c>
      <c r="B129" s="67" t="s">
        <v>31</v>
      </c>
      <c r="C129" s="68" t="s">
        <v>32</v>
      </c>
      <c r="D129" s="69" t="s">
        <v>33</v>
      </c>
      <c r="E129" s="68" t="s">
        <v>34</v>
      </c>
      <c r="F129" s="69" t="s">
        <v>35</v>
      </c>
      <c r="G129" s="68" t="s">
        <v>484</v>
      </c>
      <c r="H129" s="69" t="s">
        <v>485</v>
      </c>
      <c r="I129" s="69" t="s">
        <v>486</v>
      </c>
      <c r="J129" s="69" t="s">
        <v>487</v>
      </c>
      <c r="K129" s="69" t="s">
        <v>488</v>
      </c>
      <c r="L129" s="67" t="s">
        <v>331</v>
      </c>
      <c r="M129" s="74" t="s">
        <v>496</v>
      </c>
      <c r="N129" s="426">
        <v>16</v>
      </c>
      <c r="O129" s="74">
        <v>20</v>
      </c>
      <c r="P129" s="71">
        <v>20</v>
      </c>
      <c r="Q129" s="71">
        <v>20</v>
      </c>
      <c r="R129" s="110">
        <v>20</v>
      </c>
      <c r="S129" s="110">
        <v>20</v>
      </c>
      <c r="T129" s="67" t="s">
        <v>336</v>
      </c>
      <c r="U129" s="300" t="s">
        <v>118</v>
      </c>
      <c r="V129" s="67" t="s">
        <v>493</v>
      </c>
      <c r="W129" s="298">
        <v>1</v>
      </c>
      <c r="X129" s="298">
        <v>1</v>
      </c>
      <c r="Y129" s="298">
        <v>1</v>
      </c>
      <c r="Z129" s="299">
        <v>1</v>
      </c>
      <c r="AA129" s="299">
        <v>1</v>
      </c>
      <c r="AB129" s="300">
        <v>1</v>
      </c>
      <c r="AC129" s="301">
        <v>1</v>
      </c>
      <c r="AD129" s="301">
        <v>0</v>
      </c>
      <c r="AE129" s="305">
        <f t="shared" si="3"/>
        <v>0.875</v>
      </c>
      <c r="AF129" s="63">
        <v>0</v>
      </c>
      <c r="AG129" s="73">
        <v>0</v>
      </c>
      <c r="AH129" s="73"/>
      <c r="AI129" s="73"/>
      <c r="AJ129" s="73"/>
      <c r="AK129" s="109"/>
      <c r="AL129" s="109"/>
      <c r="AM129" s="147">
        <f t="shared" si="2"/>
        <v>0</v>
      </c>
      <c r="AN129" s="74" t="s">
        <v>336</v>
      </c>
      <c r="AO129" s="74" t="s">
        <v>118</v>
      </c>
      <c r="AP129" s="67" t="s">
        <v>494</v>
      </c>
    </row>
    <row r="130" spans="1:42" s="300" customFormat="1" x14ac:dyDescent="0.3">
      <c r="A130" s="66" t="s">
        <v>30</v>
      </c>
      <c r="B130" s="67" t="s">
        <v>31</v>
      </c>
      <c r="C130" s="68" t="s">
        <v>32</v>
      </c>
      <c r="D130" s="69" t="s">
        <v>33</v>
      </c>
      <c r="E130" s="68" t="s">
        <v>34</v>
      </c>
      <c r="F130" s="69" t="s">
        <v>35</v>
      </c>
      <c r="G130" s="68" t="s">
        <v>484</v>
      </c>
      <c r="H130" s="69" t="s">
        <v>485</v>
      </c>
      <c r="I130" s="68" t="s">
        <v>486</v>
      </c>
      <c r="J130" s="69" t="s">
        <v>487</v>
      </c>
      <c r="K130" s="68" t="s">
        <v>488</v>
      </c>
      <c r="L130" s="67" t="s">
        <v>331</v>
      </c>
      <c r="M130" s="74" t="s">
        <v>497</v>
      </c>
      <c r="N130" s="426">
        <v>302</v>
      </c>
      <c r="O130" s="74">
        <v>160</v>
      </c>
      <c r="P130" s="71">
        <v>180</v>
      </c>
      <c r="Q130" s="71">
        <v>180</v>
      </c>
      <c r="R130" s="110">
        <v>20</v>
      </c>
      <c r="S130" s="110">
        <v>20</v>
      </c>
      <c r="T130" s="67" t="s">
        <v>336</v>
      </c>
      <c r="U130" s="300" t="s">
        <v>118</v>
      </c>
      <c r="V130" s="67" t="s">
        <v>493</v>
      </c>
      <c r="W130" s="298">
        <v>1</v>
      </c>
      <c r="X130" s="298">
        <v>1</v>
      </c>
      <c r="Y130" s="298">
        <v>1</v>
      </c>
      <c r="Z130" s="299">
        <v>1</v>
      </c>
      <c r="AA130" s="299">
        <v>1</v>
      </c>
      <c r="AB130" s="300">
        <v>1</v>
      </c>
      <c r="AC130" s="301">
        <v>1</v>
      </c>
      <c r="AD130" s="301">
        <v>0</v>
      </c>
      <c r="AE130" s="305">
        <f t="shared" si="3"/>
        <v>0.875</v>
      </c>
      <c r="AF130" s="63">
        <v>0</v>
      </c>
      <c r="AG130" s="73">
        <v>0</v>
      </c>
      <c r="AH130" s="73"/>
      <c r="AI130" s="73"/>
      <c r="AJ130" s="73"/>
      <c r="AK130" s="127">
        <f>R130*1.2</f>
        <v>24</v>
      </c>
      <c r="AL130" s="127">
        <v>24</v>
      </c>
      <c r="AM130" s="147">
        <f t="shared" ref="AM130:AM193" si="4">SUM(AK130:AL130)</f>
        <v>48</v>
      </c>
      <c r="AN130" s="74" t="s">
        <v>336</v>
      </c>
      <c r="AO130" s="74" t="s">
        <v>118</v>
      </c>
      <c r="AP130" s="67" t="s">
        <v>494</v>
      </c>
    </row>
    <row r="131" spans="1:42" s="300" customFormat="1" x14ac:dyDescent="0.3">
      <c r="A131" s="66" t="s">
        <v>30</v>
      </c>
      <c r="B131" s="67" t="s">
        <v>31</v>
      </c>
      <c r="C131" s="68" t="s">
        <v>32</v>
      </c>
      <c r="D131" s="69" t="s">
        <v>33</v>
      </c>
      <c r="E131" s="68" t="s">
        <v>34</v>
      </c>
      <c r="F131" s="69" t="s">
        <v>35</v>
      </c>
      <c r="G131" s="68" t="s">
        <v>484</v>
      </c>
      <c r="H131" s="69" t="s">
        <v>485</v>
      </c>
      <c r="I131" s="69" t="s">
        <v>486</v>
      </c>
      <c r="J131" s="69" t="s">
        <v>487</v>
      </c>
      <c r="K131" s="66" t="s">
        <v>498</v>
      </c>
      <c r="L131" s="67" t="s">
        <v>499</v>
      </c>
      <c r="M131" s="74" t="s">
        <v>500</v>
      </c>
      <c r="N131" s="426">
        <v>600</v>
      </c>
      <c r="O131" s="99">
        <v>0</v>
      </c>
      <c r="P131" s="71">
        <v>400</v>
      </c>
      <c r="Q131" s="71">
        <v>700</v>
      </c>
      <c r="R131" s="126">
        <v>500</v>
      </c>
      <c r="S131" s="126">
        <v>500</v>
      </c>
      <c r="T131" s="67" t="s">
        <v>336</v>
      </c>
      <c r="U131" s="300" t="s">
        <v>118</v>
      </c>
      <c r="V131" s="67" t="s">
        <v>493</v>
      </c>
      <c r="W131" s="298">
        <v>1</v>
      </c>
      <c r="X131" s="298">
        <v>1</v>
      </c>
      <c r="Y131" s="298">
        <v>1</v>
      </c>
      <c r="Z131" s="299">
        <v>1</v>
      </c>
      <c r="AA131" s="299">
        <v>1</v>
      </c>
      <c r="AB131" s="300">
        <v>1</v>
      </c>
      <c r="AC131" s="301">
        <v>1</v>
      </c>
      <c r="AD131" s="301">
        <v>0</v>
      </c>
      <c r="AE131" s="305">
        <f t="shared" si="3"/>
        <v>0.875</v>
      </c>
      <c r="AF131" s="63">
        <v>0</v>
      </c>
      <c r="AG131" s="73">
        <v>0</v>
      </c>
      <c r="AH131" s="73"/>
      <c r="AI131" s="73"/>
      <c r="AJ131" s="73"/>
      <c r="AK131" s="127">
        <v>0.4</v>
      </c>
      <c r="AL131" s="132">
        <v>0.4</v>
      </c>
      <c r="AM131" s="147">
        <f t="shared" si="4"/>
        <v>0.8</v>
      </c>
      <c r="AN131" s="74" t="s">
        <v>92</v>
      </c>
      <c r="AO131" s="74" t="s">
        <v>118</v>
      </c>
      <c r="AP131" s="67"/>
    </row>
    <row r="132" spans="1:42" s="300" customFormat="1" x14ac:dyDescent="0.3">
      <c r="A132" s="66" t="s">
        <v>30</v>
      </c>
      <c r="B132" s="67" t="s">
        <v>31</v>
      </c>
      <c r="C132" s="68" t="s">
        <v>32</v>
      </c>
      <c r="D132" s="69" t="s">
        <v>33</v>
      </c>
      <c r="E132" s="68" t="s">
        <v>34</v>
      </c>
      <c r="F132" s="69" t="s">
        <v>35</v>
      </c>
      <c r="G132" s="68" t="s">
        <v>484</v>
      </c>
      <c r="H132" s="69" t="s">
        <v>485</v>
      </c>
      <c r="I132" s="69" t="s">
        <v>486</v>
      </c>
      <c r="J132" s="69" t="s">
        <v>487</v>
      </c>
      <c r="K132" s="66" t="s">
        <v>501</v>
      </c>
      <c r="L132" s="67" t="s">
        <v>502</v>
      </c>
      <c r="M132" s="74" t="s">
        <v>503</v>
      </c>
      <c r="N132" s="426">
        <v>220</v>
      </c>
      <c r="O132" s="74">
        <v>300</v>
      </c>
      <c r="P132" s="71">
        <v>300</v>
      </c>
      <c r="Q132" s="71">
        <v>300</v>
      </c>
      <c r="R132" s="110">
        <v>300</v>
      </c>
      <c r="S132" s="110">
        <v>300</v>
      </c>
      <c r="T132" s="67" t="s">
        <v>336</v>
      </c>
      <c r="U132" s="300" t="s">
        <v>118</v>
      </c>
      <c r="V132" s="67" t="s">
        <v>493</v>
      </c>
      <c r="W132" s="298">
        <v>1</v>
      </c>
      <c r="X132" s="298">
        <v>1</v>
      </c>
      <c r="Y132" s="298">
        <v>1</v>
      </c>
      <c r="Z132" s="299">
        <v>1</v>
      </c>
      <c r="AA132" s="299">
        <v>1</v>
      </c>
      <c r="AB132" s="300">
        <v>1</v>
      </c>
      <c r="AC132" s="301">
        <v>1</v>
      </c>
      <c r="AD132" s="301">
        <v>0</v>
      </c>
      <c r="AE132" s="305">
        <f t="shared" si="3"/>
        <v>0.875</v>
      </c>
      <c r="AF132" s="63">
        <v>0</v>
      </c>
      <c r="AG132" s="73">
        <v>0</v>
      </c>
      <c r="AH132" s="73"/>
      <c r="AI132" s="73"/>
      <c r="AJ132" s="73"/>
      <c r="AK132" s="109"/>
      <c r="AL132" s="109"/>
      <c r="AM132" s="147">
        <f t="shared" si="4"/>
        <v>0</v>
      </c>
      <c r="AN132" s="74" t="s">
        <v>336</v>
      </c>
      <c r="AO132" s="74" t="s">
        <v>118</v>
      </c>
      <c r="AP132" s="67"/>
    </row>
    <row r="133" spans="1:42" s="300" customFormat="1" x14ac:dyDescent="0.3">
      <c r="A133" s="66" t="s">
        <v>30</v>
      </c>
      <c r="B133" s="67" t="s">
        <v>31</v>
      </c>
      <c r="C133" s="68" t="s">
        <v>32</v>
      </c>
      <c r="D133" s="69" t="s">
        <v>33</v>
      </c>
      <c r="E133" s="68" t="s">
        <v>34</v>
      </c>
      <c r="F133" s="69" t="s">
        <v>35</v>
      </c>
      <c r="G133" s="68" t="s">
        <v>484</v>
      </c>
      <c r="H133" s="69" t="s">
        <v>485</v>
      </c>
      <c r="I133" s="69" t="s">
        <v>504</v>
      </c>
      <c r="J133" s="69" t="s">
        <v>505</v>
      </c>
      <c r="K133" s="66" t="s">
        <v>506</v>
      </c>
      <c r="L133" s="67" t="s">
        <v>507</v>
      </c>
      <c r="M133" s="74" t="s">
        <v>508</v>
      </c>
      <c r="N133" s="426">
        <v>0</v>
      </c>
      <c r="O133" s="74">
        <v>0</v>
      </c>
      <c r="P133" s="71">
        <v>1</v>
      </c>
      <c r="Q133" s="71">
        <v>1</v>
      </c>
      <c r="R133" s="110">
        <v>1</v>
      </c>
      <c r="S133" s="110">
        <v>1</v>
      </c>
      <c r="T133" s="67" t="s">
        <v>509</v>
      </c>
      <c r="U133" s="300" t="s">
        <v>880</v>
      </c>
      <c r="V133" s="67" t="s">
        <v>510</v>
      </c>
      <c r="W133" s="298">
        <v>0</v>
      </c>
      <c r="X133" s="298">
        <v>0</v>
      </c>
      <c r="Y133" s="298">
        <v>0</v>
      </c>
      <c r="Z133" s="299">
        <v>0</v>
      </c>
      <c r="AA133" s="299">
        <v>0</v>
      </c>
      <c r="AB133" s="300">
        <v>0</v>
      </c>
      <c r="AC133" s="301">
        <v>0</v>
      </c>
      <c r="AD133" s="301">
        <v>0</v>
      </c>
      <c r="AE133" s="305">
        <f t="shared" ref="AE133:AE196" si="5">SUM(W133:AD133)/8</f>
        <v>0</v>
      </c>
      <c r="AF133" s="63">
        <v>0</v>
      </c>
      <c r="AG133" s="73">
        <v>0</v>
      </c>
      <c r="AH133" s="73"/>
      <c r="AI133" s="73"/>
      <c r="AJ133" s="73"/>
      <c r="AK133" s="109"/>
      <c r="AL133" s="109"/>
      <c r="AM133" s="147">
        <f t="shared" si="4"/>
        <v>0</v>
      </c>
      <c r="AN133" s="10" t="s">
        <v>1392</v>
      </c>
      <c r="AO133" s="74" t="s">
        <v>350</v>
      </c>
      <c r="AP133" s="67" t="s">
        <v>511</v>
      </c>
    </row>
    <row r="134" spans="1:42" x14ac:dyDescent="0.3">
      <c r="A134" s="9" t="s">
        <v>30</v>
      </c>
      <c r="B134" s="10" t="s">
        <v>31</v>
      </c>
      <c r="C134" s="11" t="s">
        <v>32</v>
      </c>
      <c r="D134" s="12" t="s">
        <v>33</v>
      </c>
      <c r="E134" s="11" t="s">
        <v>34</v>
      </c>
      <c r="F134" s="12" t="s">
        <v>35</v>
      </c>
      <c r="G134" s="11" t="s">
        <v>484</v>
      </c>
      <c r="H134" s="12" t="s">
        <v>485</v>
      </c>
      <c r="I134" s="12" t="s">
        <v>512</v>
      </c>
      <c r="J134" s="12" t="s">
        <v>513</v>
      </c>
      <c r="K134" s="9" t="s">
        <v>514</v>
      </c>
      <c r="L134" s="10" t="s">
        <v>515</v>
      </c>
      <c r="M134" s="18" t="s">
        <v>516</v>
      </c>
      <c r="N134" s="424">
        <v>0</v>
      </c>
      <c r="O134" s="18">
        <v>10</v>
      </c>
      <c r="P134" s="16">
        <v>10</v>
      </c>
      <c r="Q134" s="16">
        <v>10</v>
      </c>
      <c r="R134" s="110">
        <v>10</v>
      </c>
      <c r="S134" s="110">
        <v>10</v>
      </c>
      <c r="T134" s="10" t="s">
        <v>92</v>
      </c>
      <c r="U134" s="283" t="s">
        <v>118</v>
      </c>
      <c r="V134" s="86" t="s">
        <v>517</v>
      </c>
      <c r="W134" s="298">
        <v>1</v>
      </c>
      <c r="X134" s="298">
        <v>1</v>
      </c>
      <c r="Y134" s="298">
        <v>1</v>
      </c>
      <c r="Z134" s="299">
        <v>1</v>
      </c>
      <c r="AA134" s="299">
        <v>0</v>
      </c>
      <c r="AB134" s="300">
        <v>1</v>
      </c>
      <c r="AC134" s="301">
        <v>1</v>
      </c>
      <c r="AD134" s="301">
        <v>0</v>
      </c>
      <c r="AE134" s="302">
        <f t="shared" si="5"/>
        <v>0.75</v>
      </c>
      <c r="AF134" s="63">
        <v>0</v>
      </c>
      <c r="AG134" s="17">
        <v>0</v>
      </c>
      <c r="AH134" s="17"/>
      <c r="AI134" s="17"/>
      <c r="AJ134" s="17"/>
      <c r="AK134" s="109"/>
      <c r="AL134" s="109"/>
      <c r="AM134" s="147">
        <f t="shared" si="4"/>
        <v>0</v>
      </c>
      <c r="AN134" s="18" t="s">
        <v>92</v>
      </c>
      <c r="AO134" s="18" t="s">
        <v>118</v>
      </c>
      <c r="AP134" s="10" t="s">
        <v>518</v>
      </c>
    </row>
    <row r="135" spans="1:42" x14ac:dyDescent="0.3">
      <c r="A135" s="9" t="s">
        <v>30</v>
      </c>
      <c r="B135" s="10" t="s">
        <v>31</v>
      </c>
      <c r="C135" s="11" t="s">
        <v>32</v>
      </c>
      <c r="D135" s="12" t="s">
        <v>33</v>
      </c>
      <c r="E135" s="11" t="s">
        <v>34</v>
      </c>
      <c r="F135" s="12" t="s">
        <v>35</v>
      </c>
      <c r="G135" s="11" t="s">
        <v>519</v>
      </c>
      <c r="H135" s="12" t="s">
        <v>520</v>
      </c>
      <c r="I135" s="12" t="s">
        <v>521</v>
      </c>
      <c r="J135" s="12" t="s">
        <v>522</v>
      </c>
      <c r="K135" s="11" t="s">
        <v>523</v>
      </c>
      <c r="L135" s="12" t="s">
        <v>524</v>
      </c>
      <c r="M135" s="18" t="s">
        <v>525</v>
      </c>
      <c r="N135" s="424"/>
      <c r="O135" s="14">
        <v>0</v>
      </c>
      <c r="P135" s="16"/>
      <c r="Q135" s="16">
        <v>1000000</v>
      </c>
      <c r="R135" s="126">
        <v>1000000</v>
      </c>
      <c r="S135" s="126">
        <v>2000000</v>
      </c>
      <c r="T135" s="10" t="s">
        <v>92</v>
      </c>
      <c r="U135" s="283" t="s">
        <v>118</v>
      </c>
      <c r="V135" s="10" t="s">
        <v>526</v>
      </c>
      <c r="W135" s="298">
        <v>1</v>
      </c>
      <c r="X135" s="298">
        <v>1</v>
      </c>
      <c r="Y135" s="298">
        <v>1</v>
      </c>
      <c r="Z135" s="299">
        <v>0</v>
      </c>
      <c r="AA135" s="299">
        <v>1</v>
      </c>
      <c r="AB135" s="300">
        <v>1</v>
      </c>
      <c r="AC135" s="301">
        <v>1</v>
      </c>
      <c r="AD135" s="301">
        <v>0</v>
      </c>
      <c r="AE135" s="302">
        <f t="shared" si="5"/>
        <v>0.75</v>
      </c>
      <c r="AF135" s="63">
        <v>0</v>
      </c>
      <c r="AG135" s="17">
        <v>0</v>
      </c>
      <c r="AH135" s="17">
        <v>5</v>
      </c>
      <c r="AI135" s="17">
        <v>8</v>
      </c>
      <c r="AJ135" s="17">
        <v>5</v>
      </c>
      <c r="AK135" s="127">
        <v>0.2</v>
      </c>
      <c r="AL135" s="127">
        <v>0.2</v>
      </c>
      <c r="AM135" s="147">
        <f t="shared" si="4"/>
        <v>0.4</v>
      </c>
      <c r="AN135" s="18" t="s">
        <v>92</v>
      </c>
      <c r="AO135" s="18" t="s">
        <v>118</v>
      </c>
      <c r="AP135" s="10" t="s">
        <v>527</v>
      </c>
    </row>
    <row r="136" spans="1:42" x14ac:dyDescent="0.3">
      <c r="A136" s="9" t="s">
        <v>30</v>
      </c>
      <c r="B136" s="10" t="s">
        <v>31</v>
      </c>
      <c r="C136" s="11" t="s">
        <v>32</v>
      </c>
      <c r="D136" s="12" t="s">
        <v>33</v>
      </c>
      <c r="E136" s="11" t="s">
        <v>34</v>
      </c>
      <c r="F136" s="12" t="s">
        <v>35</v>
      </c>
      <c r="G136" s="11" t="s">
        <v>519</v>
      </c>
      <c r="H136" s="12" t="s">
        <v>520</v>
      </c>
      <c r="I136" s="12" t="s">
        <v>521</v>
      </c>
      <c r="J136" s="12" t="s">
        <v>522</v>
      </c>
      <c r="K136" s="11" t="s">
        <v>523</v>
      </c>
      <c r="L136" s="12" t="s">
        <v>524</v>
      </c>
      <c r="M136" s="18" t="s">
        <v>528</v>
      </c>
      <c r="N136" s="424"/>
      <c r="O136" s="14">
        <v>0</v>
      </c>
      <c r="P136" s="16">
        <v>1</v>
      </c>
      <c r="Q136" s="16">
        <v>1</v>
      </c>
      <c r="R136" s="110">
        <v>1</v>
      </c>
      <c r="S136" s="110">
        <v>1</v>
      </c>
      <c r="T136" s="10" t="s">
        <v>92</v>
      </c>
      <c r="U136" s="283" t="s">
        <v>118</v>
      </c>
      <c r="V136" s="10" t="s">
        <v>526</v>
      </c>
      <c r="W136" s="298">
        <v>1</v>
      </c>
      <c r="X136" s="298">
        <v>1</v>
      </c>
      <c r="Y136" s="298">
        <v>1</v>
      </c>
      <c r="Z136" s="299">
        <v>1</v>
      </c>
      <c r="AA136" s="299">
        <v>1</v>
      </c>
      <c r="AB136" s="300">
        <v>1</v>
      </c>
      <c r="AC136" s="301">
        <v>1</v>
      </c>
      <c r="AD136" s="301">
        <v>0</v>
      </c>
      <c r="AE136" s="302">
        <f t="shared" si="5"/>
        <v>0.875</v>
      </c>
      <c r="AF136" s="63">
        <v>0</v>
      </c>
      <c r="AG136" s="17">
        <v>0</v>
      </c>
      <c r="AH136" s="17"/>
      <c r="AI136" s="17"/>
      <c r="AJ136" s="17"/>
      <c r="AK136" s="127">
        <v>1</v>
      </c>
      <c r="AL136" s="127">
        <v>1</v>
      </c>
      <c r="AM136" s="147">
        <f t="shared" si="4"/>
        <v>2</v>
      </c>
      <c r="AN136" s="18" t="s">
        <v>92</v>
      </c>
      <c r="AO136" s="18" t="s">
        <v>118</v>
      </c>
      <c r="AP136" s="10" t="s">
        <v>527</v>
      </c>
    </row>
    <row r="137" spans="1:42" x14ac:dyDescent="0.3">
      <c r="A137" s="9" t="s">
        <v>30</v>
      </c>
      <c r="B137" s="10" t="s">
        <v>31</v>
      </c>
      <c r="C137" s="11" t="s">
        <v>32</v>
      </c>
      <c r="D137" s="12" t="s">
        <v>33</v>
      </c>
      <c r="E137" s="11" t="s">
        <v>34</v>
      </c>
      <c r="F137" s="12" t="s">
        <v>35</v>
      </c>
      <c r="G137" s="11" t="s">
        <v>519</v>
      </c>
      <c r="H137" s="12" t="s">
        <v>520</v>
      </c>
      <c r="I137" s="12" t="s">
        <v>521</v>
      </c>
      <c r="J137" s="12" t="s">
        <v>522</v>
      </c>
      <c r="K137" s="11" t="s">
        <v>529</v>
      </c>
      <c r="L137" s="12" t="s">
        <v>530</v>
      </c>
      <c r="M137" s="18" t="s">
        <v>531</v>
      </c>
      <c r="N137" s="424">
        <v>0</v>
      </c>
      <c r="O137" s="14"/>
      <c r="P137" s="16">
        <v>40</v>
      </c>
      <c r="Q137" s="16">
        <v>45</v>
      </c>
      <c r="R137" s="110">
        <v>50</v>
      </c>
      <c r="S137" s="110">
        <v>70</v>
      </c>
      <c r="T137" s="10" t="s">
        <v>92</v>
      </c>
      <c r="U137" s="283" t="s">
        <v>118</v>
      </c>
      <c r="V137" s="10" t="s">
        <v>532</v>
      </c>
      <c r="W137" s="298">
        <v>1</v>
      </c>
      <c r="X137" s="298">
        <v>1</v>
      </c>
      <c r="Y137" s="298">
        <v>1</v>
      </c>
      <c r="Z137" s="299">
        <v>1</v>
      </c>
      <c r="AA137" s="299">
        <v>1</v>
      </c>
      <c r="AB137" s="300">
        <v>1</v>
      </c>
      <c r="AC137" s="301">
        <v>1</v>
      </c>
      <c r="AD137" s="301">
        <v>0</v>
      </c>
      <c r="AE137" s="302">
        <f t="shared" si="5"/>
        <v>0.875</v>
      </c>
      <c r="AF137" s="63">
        <v>0</v>
      </c>
      <c r="AG137" s="17">
        <v>0</v>
      </c>
      <c r="AH137" s="17"/>
      <c r="AI137" s="17"/>
      <c r="AJ137" s="17"/>
      <c r="AK137" s="109"/>
      <c r="AL137" s="109"/>
      <c r="AM137" s="147">
        <f t="shared" si="4"/>
        <v>0</v>
      </c>
      <c r="AN137" s="18" t="s">
        <v>92</v>
      </c>
      <c r="AO137" s="18" t="s">
        <v>118</v>
      </c>
      <c r="AP137" s="10" t="s">
        <v>239</v>
      </c>
    </row>
    <row r="138" spans="1:42" x14ac:dyDescent="0.3">
      <c r="A138" s="9" t="s">
        <v>30</v>
      </c>
      <c r="B138" s="10" t="s">
        <v>31</v>
      </c>
      <c r="C138" s="11" t="s">
        <v>32</v>
      </c>
      <c r="D138" s="12" t="s">
        <v>33</v>
      </c>
      <c r="E138" s="11" t="s">
        <v>34</v>
      </c>
      <c r="F138" s="12" t="s">
        <v>35</v>
      </c>
      <c r="G138" s="11" t="s">
        <v>519</v>
      </c>
      <c r="H138" s="12" t="s">
        <v>520</v>
      </c>
      <c r="I138" s="12" t="s">
        <v>533</v>
      </c>
      <c r="J138" s="12" t="s">
        <v>534</v>
      </c>
      <c r="K138" s="11" t="s">
        <v>535</v>
      </c>
      <c r="L138" s="12" t="s">
        <v>536</v>
      </c>
      <c r="M138" s="18" t="s">
        <v>537</v>
      </c>
      <c r="N138" s="424">
        <v>0</v>
      </c>
      <c r="O138" s="14"/>
      <c r="P138" s="16"/>
      <c r="Q138" s="16">
        <v>2</v>
      </c>
      <c r="R138" s="110">
        <v>2</v>
      </c>
      <c r="S138" s="110">
        <v>1</v>
      </c>
      <c r="T138" s="10" t="s">
        <v>92</v>
      </c>
      <c r="U138" s="283" t="s">
        <v>118</v>
      </c>
      <c r="V138" s="10" t="s">
        <v>538</v>
      </c>
      <c r="W138" s="298">
        <v>1</v>
      </c>
      <c r="X138" s="298">
        <v>1</v>
      </c>
      <c r="Y138" s="298">
        <v>1</v>
      </c>
      <c r="Z138" s="299">
        <v>1</v>
      </c>
      <c r="AA138" s="299">
        <v>1</v>
      </c>
      <c r="AB138" s="300">
        <v>1</v>
      </c>
      <c r="AC138" s="301">
        <v>1</v>
      </c>
      <c r="AD138" s="301">
        <v>0</v>
      </c>
      <c r="AE138" s="302">
        <f t="shared" si="5"/>
        <v>0.875</v>
      </c>
      <c r="AF138" s="63">
        <v>0</v>
      </c>
      <c r="AG138" s="17">
        <v>0</v>
      </c>
      <c r="AH138" s="17"/>
      <c r="AI138" s="17"/>
      <c r="AJ138" s="17"/>
      <c r="AK138" s="109"/>
      <c r="AL138" s="109"/>
      <c r="AM138" s="147">
        <f t="shared" si="4"/>
        <v>0</v>
      </c>
      <c r="AN138" s="18" t="s">
        <v>92</v>
      </c>
      <c r="AO138" s="18" t="s">
        <v>118</v>
      </c>
      <c r="AP138" s="10"/>
    </row>
    <row r="139" spans="1:42" x14ac:dyDescent="0.3">
      <c r="A139" s="9" t="s">
        <v>30</v>
      </c>
      <c r="B139" s="10" t="s">
        <v>31</v>
      </c>
      <c r="C139" s="11" t="s">
        <v>32</v>
      </c>
      <c r="D139" s="12" t="s">
        <v>33</v>
      </c>
      <c r="E139" s="11" t="s">
        <v>34</v>
      </c>
      <c r="F139" s="12" t="s">
        <v>35</v>
      </c>
      <c r="G139" s="11" t="s">
        <v>519</v>
      </c>
      <c r="H139" s="12" t="s">
        <v>520</v>
      </c>
      <c r="I139" s="12" t="s">
        <v>533</v>
      </c>
      <c r="J139" s="12" t="s">
        <v>534</v>
      </c>
      <c r="K139" s="11" t="s">
        <v>535</v>
      </c>
      <c r="L139" s="12" t="s">
        <v>536</v>
      </c>
      <c r="M139" s="18" t="s">
        <v>244</v>
      </c>
      <c r="N139" s="424">
        <v>0</v>
      </c>
      <c r="O139" s="14">
        <v>0</v>
      </c>
      <c r="P139" s="16">
        <v>1</v>
      </c>
      <c r="Q139" s="16">
        <v>1</v>
      </c>
      <c r="R139" s="110">
        <v>2</v>
      </c>
      <c r="S139" s="110">
        <v>3</v>
      </c>
      <c r="T139" s="10" t="s">
        <v>92</v>
      </c>
      <c r="U139" s="283" t="s">
        <v>118</v>
      </c>
      <c r="V139" s="10" t="s">
        <v>539</v>
      </c>
      <c r="W139" s="298">
        <v>1</v>
      </c>
      <c r="X139" s="298">
        <v>1</v>
      </c>
      <c r="Y139" s="298">
        <v>1</v>
      </c>
      <c r="Z139" s="299">
        <v>0</v>
      </c>
      <c r="AA139" s="299">
        <v>1</v>
      </c>
      <c r="AB139" s="300">
        <v>1</v>
      </c>
      <c r="AC139" s="301">
        <v>1</v>
      </c>
      <c r="AD139" s="301">
        <v>0</v>
      </c>
      <c r="AE139" s="302">
        <f t="shared" si="5"/>
        <v>0.75</v>
      </c>
      <c r="AF139" s="63">
        <v>0</v>
      </c>
      <c r="AG139" s="17">
        <v>0</v>
      </c>
      <c r="AH139" s="17"/>
      <c r="AI139" s="17"/>
      <c r="AJ139" s="17"/>
      <c r="AK139" s="109"/>
      <c r="AL139" s="109"/>
      <c r="AM139" s="147">
        <f t="shared" si="4"/>
        <v>0</v>
      </c>
      <c r="AN139" s="18" t="s">
        <v>92</v>
      </c>
      <c r="AO139" s="18" t="s">
        <v>118</v>
      </c>
      <c r="AP139" s="10"/>
    </row>
    <row r="140" spans="1:42" x14ac:dyDescent="0.3">
      <c r="A140" s="9" t="s">
        <v>30</v>
      </c>
      <c r="B140" s="10" t="s">
        <v>31</v>
      </c>
      <c r="C140" s="11" t="s">
        <v>32</v>
      </c>
      <c r="D140" s="12" t="s">
        <v>33</v>
      </c>
      <c r="E140" s="11" t="s">
        <v>34</v>
      </c>
      <c r="F140" s="12" t="s">
        <v>35</v>
      </c>
      <c r="G140" s="11" t="s">
        <v>519</v>
      </c>
      <c r="H140" s="12" t="s">
        <v>520</v>
      </c>
      <c r="I140" s="12" t="s">
        <v>533</v>
      </c>
      <c r="J140" s="12" t="s">
        <v>534</v>
      </c>
      <c r="K140" s="11" t="s">
        <v>535</v>
      </c>
      <c r="L140" s="12" t="s">
        <v>536</v>
      </c>
      <c r="M140" s="18" t="s">
        <v>540</v>
      </c>
      <c r="N140" s="424">
        <v>0</v>
      </c>
      <c r="O140" s="14">
        <v>45</v>
      </c>
      <c r="P140" s="16">
        <v>45</v>
      </c>
      <c r="Q140" s="16">
        <v>45</v>
      </c>
      <c r="R140" s="110">
        <v>45</v>
      </c>
      <c r="S140" s="110">
        <v>45</v>
      </c>
      <c r="T140" s="10" t="s">
        <v>92</v>
      </c>
      <c r="U140" s="283" t="s">
        <v>118</v>
      </c>
      <c r="V140" s="86" t="s">
        <v>541</v>
      </c>
      <c r="W140" s="298">
        <v>0</v>
      </c>
      <c r="X140" s="298">
        <v>0</v>
      </c>
      <c r="Y140" s="298">
        <v>0</v>
      </c>
      <c r="Z140" s="298">
        <v>0</v>
      </c>
      <c r="AA140" s="298">
        <v>0</v>
      </c>
      <c r="AB140" s="298">
        <v>0</v>
      </c>
      <c r="AC140" s="301">
        <v>0</v>
      </c>
      <c r="AD140" s="301">
        <v>0</v>
      </c>
      <c r="AE140" s="302">
        <f t="shared" si="5"/>
        <v>0</v>
      </c>
      <c r="AF140" s="63">
        <v>0</v>
      </c>
      <c r="AG140" s="17">
        <v>0</v>
      </c>
      <c r="AH140" s="17"/>
      <c r="AI140" s="17"/>
      <c r="AJ140" s="17"/>
      <c r="AK140" s="109"/>
      <c r="AL140" s="109"/>
      <c r="AM140" s="147">
        <f t="shared" si="4"/>
        <v>0</v>
      </c>
      <c r="AN140" s="18" t="s">
        <v>92</v>
      </c>
      <c r="AO140" s="18" t="s">
        <v>118</v>
      </c>
      <c r="AP140" s="10"/>
    </row>
    <row r="141" spans="1:42" s="300" customFormat="1" x14ac:dyDescent="0.3">
      <c r="A141" s="66" t="s">
        <v>30</v>
      </c>
      <c r="B141" s="67" t="s">
        <v>31</v>
      </c>
      <c r="C141" s="68" t="s">
        <v>32</v>
      </c>
      <c r="D141" s="69" t="s">
        <v>33</v>
      </c>
      <c r="E141" s="68" t="s">
        <v>34</v>
      </c>
      <c r="F141" s="69" t="s">
        <v>35</v>
      </c>
      <c r="G141" s="68" t="s">
        <v>519</v>
      </c>
      <c r="H141" s="69" t="s">
        <v>520</v>
      </c>
      <c r="I141" s="69" t="s">
        <v>533</v>
      </c>
      <c r="J141" s="69" t="s">
        <v>534</v>
      </c>
      <c r="K141" s="68" t="s">
        <v>535</v>
      </c>
      <c r="L141" s="69" t="s">
        <v>536</v>
      </c>
      <c r="M141" s="74" t="s">
        <v>542</v>
      </c>
      <c r="N141" s="424">
        <v>0</v>
      </c>
      <c r="O141" s="14"/>
      <c r="P141" s="16">
        <v>1</v>
      </c>
      <c r="Q141" s="16">
        <v>1</v>
      </c>
      <c r="R141" s="110">
        <v>1</v>
      </c>
      <c r="S141" s="110">
        <v>1</v>
      </c>
      <c r="T141" s="10" t="s">
        <v>92</v>
      </c>
      <c r="U141" s="283" t="s">
        <v>118</v>
      </c>
      <c r="V141" s="67" t="s">
        <v>543</v>
      </c>
      <c r="W141" s="298">
        <v>1</v>
      </c>
      <c r="X141" s="298">
        <v>1</v>
      </c>
      <c r="Y141" s="298">
        <v>1</v>
      </c>
      <c r="Z141" s="299">
        <v>1</v>
      </c>
      <c r="AA141" s="299">
        <v>1</v>
      </c>
      <c r="AB141" s="300">
        <v>1</v>
      </c>
      <c r="AC141" s="301">
        <v>1</v>
      </c>
      <c r="AD141" s="301">
        <v>0</v>
      </c>
      <c r="AE141" s="305">
        <f t="shared" si="5"/>
        <v>0.875</v>
      </c>
      <c r="AF141" s="63">
        <v>0</v>
      </c>
      <c r="AG141" s="73">
        <v>0</v>
      </c>
      <c r="AH141" s="73"/>
      <c r="AI141" s="73"/>
      <c r="AJ141" s="73"/>
      <c r="AK141" s="109"/>
      <c r="AL141" s="109"/>
      <c r="AM141" s="147">
        <f t="shared" si="4"/>
        <v>0</v>
      </c>
      <c r="AN141" s="74" t="s">
        <v>92</v>
      </c>
      <c r="AO141" s="74" t="s">
        <v>118</v>
      </c>
      <c r="AP141" s="67" t="s">
        <v>239</v>
      </c>
    </row>
    <row r="142" spans="1:42" s="300" customFormat="1" x14ac:dyDescent="0.3">
      <c r="A142" s="66" t="s">
        <v>30</v>
      </c>
      <c r="B142" s="67" t="s">
        <v>31</v>
      </c>
      <c r="C142" s="68" t="s">
        <v>32</v>
      </c>
      <c r="D142" s="69" t="s">
        <v>33</v>
      </c>
      <c r="E142" s="68" t="s">
        <v>34</v>
      </c>
      <c r="F142" s="69" t="s">
        <v>35</v>
      </c>
      <c r="G142" s="68" t="s">
        <v>519</v>
      </c>
      <c r="H142" s="69" t="s">
        <v>520</v>
      </c>
      <c r="I142" s="69" t="s">
        <v>533</v>
      </c>
      <c r="J142" s="69" t="s">
        <v>534</v>
      </c>
      <c r="K142" s="68" t="s">
        <v>535</v>
      </c>
      <c r="L142" s="69" t="s">
        <v>536</v>
      </c>
      <c r="M142" s="74" t="s">
        <v>544</v>
      </c>
      <c r="N142" s="424">
        <v>0</v>
      </c>
      <c r="O142" s="14"/>
      <c r="P142" s="16">
        <v>1</v>
      </c>
      <c r="Q142" s="16">
        <v>1</v>
      </c>
      <c r="R142" s="110">
        <v>1</v>
      </c>
      <c r="S142" s="110">
        <v>1</v>
      </c>
      <c r="T142" s="10" t="s">
        <v>92</v>
      </c>
      <c r="U142" s="283" t="s">
        <v>118</v>
      </c>
      <c r="V142" s="67" t="s">
        <v>545</v>
      </c>
      <c r="W142" s="298">
        <v>1</v>
      </c>
      <c r="X142" s="298">
        <v>1</v>
      </c>
      <c r="Y142" s="298">
        <v>1</v>
      </c>
      <c r="Z142" s="299">
        <v>1</v>
      </c>
      <c r="AA142" s="299">
        <v>1</v>
      </c>
      <c r="AB142" s="300">
        <v>1</v>
      </c>
      <c r="AC142" s="301">
        <v>1</v>
      </c>
      <c r="AD142" s="301">
        <v>0</v>
      </c>
      <c r="AE142" s="305">
        <f t="shared" si="5"/>
        <v>0.875</v>
      </c>
      <c r="AF142" s="63">
        <v>0</v>
      </c>
      <c r="AG142" s="73">
        <v>0</v>
      </c>
      <c r="AH142" s="73"/>
      <c r="AI142" s="73"/>
      <c r="AJ142" s="73"/>
      <c r="AK142" s="109"/>
      <c r="AL142" s="109"/>
      <c r="AM142" s="147">
        <f t="shared" si="4"/>
        <v>0</v>
      </c>
      <c r="AN142" s="74" t="s">
        <v>92</v>
      </c>
      <c r="AO142" s="74" t="s">
        <v>118</v>
      </c>
      <c r="AP142" s="67" t="s">
        <v>546</v>
      </c>
    </row>
    <row r="143" spans="1:42" x14ac:dyDescent="0.3">
      <c r="A143" s="9" t="s">
        <v>30</v>
      </c>
      <c r="B143" s="10" t="s">
        <v>31</v>
      </c>
      <c r="C143" s="11" t="s">
        <v>32</v>
      </c>
      <c r="D143" s="12" t="s">
        <v>33</v>
      </c>
      <c r="E143" s="11" t="s">
        <v>34</v>
      </c>
      <c r="F143" s="12" t="s">
        <v>35</v>
      </c>
      <c r="G143" s="11" t="s">
        <v>519</v>
      </c>
      <c r="H143" s="12" t="s">
        <v>520</v>
      </c>
      <c r="I143" s="12" t="s">
        <v>533</v>
      </c>
      <c r="J143" s="12" t="s">
        <v>534</v>
      </c>
      <c r="K143" s="11" t="s">
        <v>535</v>
      </c>
      <c r="L143" s="12" t="s">
        <v>536</v>
      </c>
      <c r="M143" s="18" t="s">
        <v>547</v>
      </c>
      <c r="N143" s="424">
        <v>0</v>
      </c>
      <c r="O143" s="14"/>
      <c r="P143" s="16">
        <v>10</v>
      </c>
      <c r="Q143" s="16">
        <v>15</v>
      </c>
      <c r="R143" s="110">
        <v>15</v>
      </c>
      <c r="S143" s="110">
        <v>10</v>
      </c>
      <c r="T143" s="10" t="s">
        <v>92</v>
      </c>
      <c r="U143" s="283" t="s">
        <v>118</v>
      </c>
      <c r="V143" s="10" t="s">
        <v>548</v>
      </c>
      <c r="W143" s="298">
        <v>1</v>
      </c>
      <c r="X143" s="298">
        <v>1</v>
      </c>
      <c r="Y143" s="298">
        <v>1</v>
      </c>
      <c r="Z143" s="299">
        <v>1</v>
      </c>
      <c r="AA143" s="299">
        <v>1</v>
      </c>
      <c r="AB143" s="300">
        <v>1</v>
      </c>
      <c r="AC143" s="301">
        <v>1</v>
      </c>
      <c r="AD143" s="301">
        <v>0</v>
      </c>
      <c r="AE143" s="302">
        <f t="shared" si="5"/>
        <v>0.875</v>
      </c>
      <c r="AF143" s="63">
        <v>0</v>
      </c>
      <c r="AG143" s="17">
        <v>0</v>
      </c>
      <c r="AH143" s="17"/>
      <c r="AI143" s="17"/>
      <c r="AJ143" s="17"/>
      <c r="AK143" s="109"/>
      <c r="AL143" s="109"/>
      <c r="AM143" s="147">
        <f t="shared" si="4"/>
        <v>0</v>
      </c>
      <c r="AN143" s="18" t="s">
        <v>92</v>
      </c>
      <c r="AO143" s="18" t="s">
        <v>118</v>
      </c>
      <c r="AP143" s="10"/>
    </row>
    <row r="144" spans="1:42" x14ac:dyDescent="0.3">
      <c r="A144" s="9" t="s">
        <v>30</v>
      </c>
      <c r="B144" s="10" t="s">
        <v>31</v>
      </c>
      <c r="C144" s="11" t="s">
        <v>32</v>
      </c>
      <c r="D144" s="12" t="s">
        <v>33</v>
      </c>
      <c r="E144" s="11" t="s">
        <v>34</v>
      </c>
      <c r="F144" s="12" t="s">
        <v>35</v>
      </c>
      <c r="G144" s="11" t="s">
        <v>549</v>
      </c>
      <c r="H144" s="12" t="s">
        <v>550</v>
      </c>
      <c r="I144" s="12" t="s">
        <v>551</v>
      </c>
      <c r="J144" s="12" t="s">
        <v>552</v>
      </c>
      <c r="K144" s="11" t="s">
        <v>553</v>
      </c>
      <c r="L144" s="12" t="s">
        <v>554</v>
      </c>
      <c r="M144" s="18" t="s">
        <v>555</v>
      </c>
      <c r="N144" s="424"/>
      <c r="O144" s="14">
        <v>0</v>
      </c>
      <c r="P144" s="16">
        <v>3</v>
      </c>
      <c r="Q144" s="16">
        <v>3</v>
      </c>
      <c r="R144" s="110">
        <v>1</v>
      </c>
      <c r="S144" s="110">
        <v>1</v>
      </c>
      <c r="T144" s="10" t="s">
        <v>336</v>
      </c>
      <c r="U144" s="283" t="s">
        <v>118</v>
      </c>
      <c r="V144" s="10" t="s">
        <v>556</v>
      </c>
      <c r="W144" s="298">
        <v>1</v>
      </c>
      <c r="X144" s="298">
        <v>1</v>
      </c>
      <c r="Y144" s="298">
        <v>1</v>
      </c>
      <c r="Z144" s="299">
        <v>1</v>
      </c>
      <c r="AA144" s="299">
        <v>1</v>
      </c>
      <c r="AB144" s="300">
        <v>1</v>
      </c>
      <c r="AC144" s="301">
        <v>1</v>
      </c>
      <c r="AD144" s="301">
        <v>0</v>
      </c>
      <c r="AE144" s="302">
        <f t="shared" si="5"/>
        <v>0.875</v>
      </c>
      <c r="AF144" s="63">
        <v>0</v>
      </c>
      <c r="AG144" s="17">
        <v>0</v>
      </c>
      <c r="AH144" s="17">
        <v>0</v>
      </c>
      <c r="AI144" s="32">
        <v>5</v>
      </c>
      <c r="AJ144" s="32">
        <v>5</v>
      </c>
      <c r="AK144" s="134">
        <v>1.54</v>
      </c>
      <c r="AL144" s="134">
        <v>1.54</v>
      </c>
      <c r="AM144" s="147">
        <f t="shared" si="4"/>
        <v>3.08</v>
      </c>
      <c r="AN144" s="18" t="s">
        <v>336</v>
      </c>
      <c r="AO144" s="18" t="s">
        <v>118</v>
      </c>
      <c r="AP144" s="10" t="s">
        <v>557</v>
      </c>
    </row>
    <row r="145" spans="1:42" x14ac:dyDescent="0.3">
      <c r="A145" s="9" t="s">
        <v>30</v>
      </c>
      <c r="B145" s="10" t="s">
        <v>31</v>
      </c>
      <c r="C145" s="11" t="s">
        <v>32</v>
      </c>
      <c r="D145" s="12" t="s">
        <v>33</v>
      </c>
      <c r="E145" s="11" t="s">
        <v>34</v>
      </c>
      <c r="F145" s="12" t="s">
        <v>35</v>
      </c>
      <c r="G145" s="11" t="s">
        <v>549</v>
      </c>
      <c r="H145" s="12" t="s">
        <v>550</v>
      </c>
      <c r="I145" s="12" t="s">
        <v>558</v>
      </c>
      <c r="J145" s="12" t="s">
        <v>559</v>
      </c>
      <c r="K145" s="11" t="s">
        <v>560</v>
      </c>
      <c r="L145" s="12" t="s">
        <v>561</v>
      </c>
      <c r="M145" s="18" t="s">
        <v>562</v>
      </c>
      <c r="N145" s="424"/>
      <c r="O145" s="14">
        <v>0</v>
      </c>
      <c r="P145" s="16">
        <v>20000</v>
      </c>
      <c r="Q145" s="16">
        <v>20000</v>
      </c>
      <c r="R145" s="110">
        <v>100</v>
      </c>
      <c r="S145" s="110">
        <v>100</v>
      </c>
      <c r="T145" s="10" t="s">
        <v>336</v>
      </c>
      <c r="U145" s="283" t="s">
        <v>118</v>
      </c>
      <c r="V145" s="10" t="s">
        <v>563</v>
      </c>
      <c r="W145" s="298">
        <v>1</v>
      </c>
      <c r="X145" s="298">
        <v>1</v>
      </c>
      <c r="Y145" s="298">
        <v>1</v>
      </c>
      <c r="Z145" s="299">
        <v>1</v>
      </c>
      <c r="AA145" s="299">
        <v>1</v>
      </c>
      <c r="AB145" s="300">
        <v>1</v>
      </c>
      <c r="AC145" s="301">
        <v>1</v>
      </c>
      <c r="AD145" s="301">
        <v>0</v>
      </c>
      <c r="AE145" s="302">
        <f t="shared" si="5"/>
        <v>0.875</v>
      </c>
      <c r="AF145" s="63">
        <v>0</v>
      </c>
      <c r="AG145" s="17">
        <v>0</v>
      </c>
      <c r="AH145" s="17">
        <v>0</v>
      </c>
      <c r="AI145" s="32">
        <v>3</v>
      </c>
      <c r="AJ145" s="32">
        <v>3</v>
      </c>
      <c r="AK145" s="134">
        <v>0.6</v>
      </c>
      <c r="AL145" s="134">
        <v>0.6</v>
      </c>
      <c r="AM145" s="147">
        <f t="shared" si="4"/>
        <v>1.2</v>
      </c>
      <c r="AN145" s="18" t="s">
        <v>336</v>
      </c>
      <c r="AO145" s="18" t="s">
        <v>118</v>
      </c>
      <c r="AP145" s="10" t="s">
        <v>564</v>
      </c>
    </row>
    <row r="146" spans="1:42" x14ac:dyDescent="0.3">
      <c r="A146" s="9" t="s">
        <v>30</v>
      </c>
      <c r="B146" s="10" t="s">
        <v>31</v>
      </c>
      <c r="C146" s="11" t="s">
        <v>32</v>
      </c>
      <c r="D146" s="12" t="s">
        <v>33</v>
      </c>
      <c r="E146" s="11" t="s">
        <v>34</v>
      </c>
      <c r="F146" s="12" t="s">
        <v>35</v>
      </c>
      <c r="G146" s="11" t="s">
        <v>549</v>
      </c>
      <c r="H146" s="12" t="s">
        <v>550</v>
      </c>
      <c r="I146" s="12" t="s">
        <v>565</v>
      </c>
      <c r="J146" s="12" t="s">
        <v>566</v>
      </c>
      <c r="K146" s="9" t="s">
        <v>567</v>
      </c>
      <c r="L146" s="10" t="s">
        <v>568</v>
      </c>
      <c r="M146" s="18" t="s">
        <v>569</v>
      </c>
      <c r="N146" s="424"/>
      <c r="O146" s="14">
        <v>0</v>
      </c>
      <c r="P146" s="16"/>
      <c r="Q146" s="16"/>
      <c r="R146" s="110"/>
      <c r="S146" s="110"/>
      <c r="T146" s="10" t="s">
        <v>570</v>
      </c>
      <c r="U146" s="283" t="s">
        <v>2875</v>
      </c>
      <c r="V146" s="10" t="s">
        <v>571</v>
      </c>
      <c r="W146" s="298">
        <v>1</v>
      </c>
      <c r="X146" s="298">
        <v>1</v>
      </c>
      <c r="Y146" s="298">
        <v>1</v>
      </c>
      <c r="Z146" s="299">
        <v>1</v>
      </c>
      <c r="AA146" s="299">
        <v>1</v>
      </c>
      <c r="AB146" s="300">
        <v>1</v>
      </c>
      <c r="AC146" s="301">
        <v>1</v>
      </c>
      <c r="AD146" s="301">
        <v>0</v>
      </c>
      <c r="AE146" s="302">
        <f t="shared" si="5"/>
        <v>0.875</v>
      </c>
      <c r="AF146" s="63">
        <v>0</v>
      </c>
      <c r="AG146" s="17">
        <v>0</v>
      </c>
      <c r="AH146" s="17">
        <v>0</v>
      </c>
      <c r="AI146" s="32"/>
      <c r="AJ146" s="32"/>
      <c r="AK146" s="134">
        <v>0.4</v>
      </c>
      <c r="AL146" s="134">
        <v>0.4</v>
      </c>
      <c r="AM146" s="147">
        <f t="shared" si="4"/>
        <v>0.8</v>
      </c>
      <c r="AN146" s="18" t="s">
        <v>572</v>
      </c>
      <c r="AO146" s="18" t="s">
        <v>118</v>
      </c>
      <c r="AP146" s="10" t="s">
        <v>43</v>
      </c>
    </row>
    <row r="147" spans="1:42" x14ac:dyDescent="0.3">
      <c r="A147" s="9" t="s">
        <v>30</v>
      </c>
      <c r="B147" s="10" t="s">
        <v>31</v>
      </c>
      <c r="C147" s="11" t="s">
        <v>32</v>
      </c>
      <c r="D147" s="12" t="s">
        <v>33</v>
      </c>
      <c r="E147" s="11" t="s">
        <v>34</v>
      </c>
      <c r="F147" s="12" t="s">
        <v>35</v>
      </c>
      <c r="G147" s="11" t="s">
        <v>573</v>
      </c>
      <c r="H147" s="12" t="s">
        <v>574</v>
      </c>
      <c r="I147" s="12" t="s">
        <v>575</v>
      </c>
      <c r="J147" s="12" t="s">
        <v>576</v>
      </c>
      <c r="K147" s="34" t="s">
        <v>577</v>
      </c>
      <c r="L147" s="18" t="s">
        <v>578</v>
      </c>
      <c r="M147" s="18" t="s">
        <v>579</v>
      </c>
      <c r="N147" s="424"/>
      <c r="O147" s="176">
        <v>0</v>
      </c>
      <c r="P147" s="16">
        <v>50</v>
      </c>
      <c r="Q147" s="16">
        <v>50</v>
      </c>
      <c r="R147" s="110">
        <v>50</v>
      </c>
      <c r="S147" s="110">
        <v>50</v>
      </c>
      <c r="T147" s="10" t="s">
        <v>265</v>
      </c>
      <c r="U147" s="283" t="s">
        <v>350</v>
      </c>
      <c r="V147" s="10" t="s">
        <v>580</v>
      </c>
      <c r="W147" s="298">
        <v>1</v>
      </c>
      <c r="X147" s="298">
        <v>1</v>
      </c>
      <c r="Y147" s="298">
        <v>1</v>
      </c>
      <c r="Z147" s="299">
        <v>1</v>
      </c>
      <c r="AA147" s="299">
        <v>1</v>
      </c>
      <c r="AB147" s="300">
        <v>1</v>
      </c>
      <c r="AC147" s="301">
        <v>1</v>
      </c>
      <c r="AD147" s="301">
        <v>0</v>
      </c>
      <c r="AE147" s="302">
        <f t="shared" si="5"/>
        <v>0.875</v>
      </c>
      <c r="AF147" s="63">
        <v>0</v>
      </c>
      <c r="AG147" s="17">
        <v>0</v>
      </c>
      <c r="AH147" s="17">
        <v>0</v>
      </c>
      <c r="AI147" s="17"/>
      <c r="AJ147" s="17"/>
      <c r="AK147" s="135">
        <v>0.2</v>
      </c>
      <c r="AL147" s="135">
        <v>0.15</v>
      </c>
      <c r="AM147" s="147">
        <f t="shared" si="4"/>
        <v>0.35</v>
      </c>
      <c r="AN147" s="283" t="s">
        <v>265</v>
      </c>
      <c r="AO147" s="18" t="s">
        <v>350</v>
      </c>
      <c r="AP147" s="10" t="s">
        <v>92</v>
      </c>
    </row>
    <row r="148" spans="1:42" x14ac:dyDescent="0.3">
      <c r="A148" s="9" t="s">
        <v>30</v>
      </c>
      <c r="B148" s="10" t="s">
        <v>31</v>
      </c>
      <c r="C148" s="11" t="s">
        <v>32</v>
      </c>
      <c r="D148" s="12" t="s">
        <v>33</v>
      </c>
      <c r="E148" s="11" t="s">
        <v>34</v>
      </c>
      <c r="F148" s="12" t="s">
        <v>35</v>
      </c>
      <c r="G148" s="11" t="s">
        <v>573</v>
      </c>
      <c r="H148" s="12" t="s">
        <v>574</v>
      </c>
      <c r="I148" s="12" t="s">
        <v>575</v>
      </c>
      <c r="J148" s="12" t="s">
        <v>576</v>
      </c>
      <c r="K148" s="34" t="s">
        <v>581</v>
      </c>
      <c r="L148" s="18" t="s">
        <v>582</v>
      </c>
      <c r="M148" s="18" t="s">
        <v>583</v>
      </c>
      <c r="N148" s="424">
        <v>15000</v>
      </c>
      <c r="O148" s="424">
        <v>20000</v>
      </c>
      <c r="P148" s="20">
        <v>20300</v>
      </c>
      <c r="Q148" s="20">
        <v>20700</v>
      </c>
      <c r="R148" s="114">
        <v>20700</v>
      </c>
      <c r="S148" s="114">
        <v>20700</v>
      </c>
      <c r="T148" s="10" t="s">
        <v>265</v>
      </c>
      <c r="U148" s="283" t="s">
        <v>350</v>
      </c>
      <c r="V148" s="10" t="s">
        <v>584</v>
      </c>
      <c r="W148" s="298">
        <v>1</v>
      </c>
      <c r="X148" s="298">
        <v>1</v>
      </c>
      <c r="Y148" s="298">
        <v>1</v>
      </c>
      <c r="Z148" s="299">
        <v>1</v>
      </c>
      <c r="AA148" s="299">
        <v>1</v>
      </c>
      <c r="AB148" s="300">
        <v>1</v>
      </c>
      <c r="AC148" s="301">
        <v>1</v>
      </c>
      <c r="AD148" s="301">
        <v>0</v>
      </c>
      <c r="AE148" s="302">
        <f t="shared" si="5"/>
        <v>0.875</v>
      </c>
      <c r="AF148" s="63">
        <v>0</v>
      </c>
      <c r="AG148" s="17">
        <v>0</v>
      </c>
      <c r="AH148" s="17">
        <v>0</v>
      </c>
      <c r="AI148" s="17"/>
      <c r="AJ148" s="17"/>
      <c r="AK148" s="135">
        <v>0.1</v>
      </c>
      <c r="AL148" s="135">
        <v>0.1</v>
      </c>
      <c r="AM148" s="147">
        <f t="shared" si="4"/>
        <v>0.2</v>
      </c>
      <c r="AN148" s="283" t="s">
        <v>265</v>
      </c>
      <c r="AO148" s="18" t="s">
        <v>350</v>
      </c>
      <c r="AP148" s="10" t="s">
        <v>92</v>
      </c>
    </row>
    <row r="149" spans="1:42" x14ac:dyDescent="0.3">
      <c r="A149" s="9" t="s">
        <v>30</v>
      </c>
      <c r="B149" s="10" t="s">
        <v>31</v>
      </c>
      <c r="C149" s="11" t="s">
        <v>32</v>
      </c>
      <c r="D149" s="12" t="s">
        <v>33</v>
      </c>
      <c r="E149" s="11" t="s">
        <v>34</v>
      </c>
      <c r="F149" s="12" t="s">
        <v>35</v>
      </c>
      <c r="G149" s="11" t="s">
        <v>573</v>
      </c>
      <c r="H149" s="12" t="s">
        <v>574</v>
      </c>
      <c r="I149" s="12" t="s">
        <v>575</v>
      </c>
      <c r="J149" s="12" t="s">
        <v>576</v>
      </c>
      <c r="K149" s="34" t="s">
        <v>581</v>
      </c>
      <c r="L149" s="18" t="s">
        <v>582</v>
      </c>
      <c r="M149" s="18" t="s">
        <v>585</v>
      </c>
      <c r="N149" s="424">
        <v>0</v>
      </c>
      <c r="O149" s="424">
        <v>2</v>
      </c>
      <c r="P149" s="20">
        <v>3</v>
      </c>
      <c r="Q149" s="20">
        <v>2</v>
      </c>
      <c r="R149" s="114">
        <v>3</v>
      </c>
      <c r="S149" s="114">
        <v>2</v>
      </c>
      <c r="T149" s="35" t="s">
        <v>43</v>
      </c>
      <c r="U149" s="283" t="s">
        <v>45</v>
      </c>
      <c r="V149" s="10" t="s">
        <v>586</v>
      </c>
      <c r="W149" s="298">
        <v>1</v>
      </c>
      <c r="X149" s="298">
        <v>1</v>
      </c>
      <c r="Y149" s="298">
        <v>1</v>
      </c>
      <c r="Z149" s="299">
        <v>1</v>
      </c>
      <c r="AA149" s="299">
        <v>1</v>
      </c>
      <c r="AB149" s="300">
        <v>1</v>
      </c>
      <c r="AC149" s="301">
        <v>1</v>
      </c>
      <c r="AD149" s="301">
        <v>0</v>
      </c>
      <c r="AE149" s="302">
        <f t="shared" si="5"/>
        <v>0.875</v>
      </c>
      <c r="AF149" s="63">
        <v>0</v>
      </c>
      <c r="AG149" s="17">
        <v>0</v>
      </c>
      <c r="AH149" s="17"/>
      <c r="AI149" s="17"/>
      <c r="AJ149" s="17"/>
      <c r="AK149" s="135">
        <v>0.03</v>
      </c>
      <c r="AL149" s="135">
        <v>0.03</v>
      </c>
      <c r="AM149" s="147">
        <f t="shared" si="4"/>
        <v>0.06</v>
      </c>
      <c r="AN149" s="283" t="s">
        <v>43</v>
      </c>
      <c r="AO149" s="18" t="s">
        <v>45</v>
      </c>
      <c r="AP149" s="10" t="s">
        <v>92</v>
      </c>
    </row>
    <row r="150" spans="1:42" x14ac:dyDescent="0.3">
      <c r="A150" s="9" t="s">
        <v>30</v>
      </c>
      <c r="B150" s="10" t="s">
        <v>31</v>
      </c>
      <c r="C150" s="11" t="s">
        <v>32</v>
      </c>
      <c r="D150" s="12" t="s">
        <v>33</v>
      </c>
      <c r="E150" s="11" t="s">
        <v>34</v>
      </c>
      <c r="F150" s="12" t="s">
        <v>35</v>
      </c>
      <c r="G150" s="11" t="s">
        <v>573</v>
      </c>
      <c r="H150" s="12" t="s">
        <v>574</v>
      </c>
      <c r="I150" s="12" t="s">
        <v>587</v>
      </c>
      <c r="J150" s="12" t="s">
        <v>588</v>
      </c>
      <c r="K150" s="11" t="s">
        <v>589</v>
      </c>
      <c r="L150" s="12" t="s">
        <v>590</v>
      </c>
      <c r="M150" s="18" t="s">
        <v>591</v>
      </c>
      <c r="N150" s="424">
        <v>15000</v>
      </c>
      <c r="O150" s="18">
        <v>20000</v>
      </c>
      <c r="P150" s="16">
        <v>20000</v>
      </c>
      <c r="Q150" s="16">
        <v>20000</v>
      </c>
      <c r="R150" s="110">
        <v>20000</v>
      </c>
      <c r="S150" s="110">
        <v>20000</v>
      </c>
      <c r="T150" s="10" t="s">
        <v>265</v>
      </c>
      <c r="U150" s="283" t="s">
        <v>350</v>
      </c>
      <c r="V150" s="10" t="s">
        <v>592</v>
      </c>
      <c r="W150" s="298">
        <v>1</v>
      </c>
      <c r="X150" s="298">
        <v>0</v>
      </c>
      <c r="Y150" s="298">
        <v>0</v>
      </c>
      <c r="Z150" s="299">
        <v>1</v>
      </c>
      <c r="AA150" s="299">
        <v>1</v>
      </c>
      <c r="AB150" s="300">
        <v>0</v>
      </c>
      <c r="AC150" s="301">
        <v>1</v>
      </c>
      <c r="AD150" s="301">
        <v>0</v>
      </c>
      <c r="AE150" s="302">
        <f t="shared" si="5"/>
        <v>0.5</v>
      </c>
      <c r="AF150" s="63">
        <v>0</v>
      </c>
      <c r="AG150" s="17">
        <v>0</v>
      </c>
      <c r="AH150" s="17">
        <v>0</v>
      </c>
      <c r="AI150" s="17">
        <v>1</v>
      </c>
      <c r="AJ150" s="17">
        <v>1</v>
      </c>
      <c r="AK150" s="109"/>
      <c r="AL150" s="109"/>
      <c r="AM150" s="147">
        <f t="shared" si="4"/>
        <v>0</v>
      </c>
      <c r="AN150" s="283" t="s">
        <v>265</v>
      </c>
      <c r="AO150" s="18" t="s">
        <v>350</v>
      </c>
      <c r="AP150" s="10" t="s">
        <v>593</v>
      </c>
    </row>
    <row r="151" spans="1:42" s="309" customFormat="1" x14ac:dyDescent="0.3">
      <c r="A151" s="85" t="s">
        <v>30</v>
      </c>
      <c r="B151" s="86" t="s">
        <v>31</v>
      </c>
      <c r="C151" s="87" t="s">
        <v>32</v>
      </c>
      <c r="D151" s="88" t="s">
        <v>33</v>
      </c>
      <c r="E151" s="87" t="s">
        <v>34</v>
      </c>
      <c r="F151" s="88" t="s">
        <v>35</v>
      </c>
      <c r="G151" s="87" t="s">
        <v>594</v>
      </c>
      <c r="H151" s="88" t="s">
        <v>595</v>
      </c>
      <c r="I151" s="88" t="s">
        <v>596</v>
      </c>
      <c r="J151" s="88" t="s">
        <v>597</v>
      </c>
      <c r="K151" s="87" t="s">
        <v>598</v>
      </c>
      <c r="L151" s="88" t="s">
        <v>599</v>
      </c>
      <c r="M151" s="90" t="s">
        <v>600</v>
      </c>
      <c r="N151" s="424">
        <v>45</v>
      </c>
      <c r="O151" s="18">
        <v>47</v>
      </c>
      <c r="P151" s="16">
        <v>47</v>
      </c>
      <c r="Q151" s="16">
        <v>47</v>
      </c>
      <c r="R151" s="136">
        <v>20</v>
      </c>
      <c r="S151" s="136">
        <v>20</v>
      </c>
      <c r="T151" s="10" t="s">
        <v>92</v>
      </c>
      <c r="U151" s="283" t="s">
        <v>118</v>
      </c>
      <c r="V151" s="67" t="s">
        <v>601</v>
      </c>
      <c r="W151" s="298">
        <v>1</v>
      </c>
      <c r="X151" s="298">
        <v>1</v>
      </c>
      <c r="Y151" s="298">
        <v>1</v>
      </c>
      <c r="Z151" s="299">
        <v>1</v>
      </c>
      <c r="AA151" s="299">
        <v>1</v>
      </c>
      <c r="AB151" s="300">
        <v>1</v>
      </c>
      <c r="AC151" s="301">
        <v>1</v>
      </c>
      <c r="AD151" s="301">
        <v>0</v>
      </c>
      <c r="AE151" s="308">
        <f t="shared" si="5"/>
        <v>0.875</v>
      </c>
      <c r="AF151" s="63">
        <v>0</v>
      </c>
      <c r="AG151" s="89">
        <v>0</v>
      </c>
      <c r="AH151" s="89">
        <v>0.43</v>
      </c>
      <c r="AI151" s="89">
        <v>0.43</v>
      </c>
      <c r="AJ151" s="89">
        <v>0.43</v>
      </c>
      <c r="AK151" s="135">
        <v>0.2</v>
      </c>
      <c r="AL151" s="135">
        <v>0.2</v>
      </c>
      <c r="AM151" s="147">
        <f t="shared" si="4"/>
        <v>0.4</v>
      </c>
      <c r="AN151" s="86" t="s">
        <v>92</v>
      </c>
      <c r="AO151" s="90" t="s">
        <v>118</v>
      </c>
      <c r="AP151" s="86" t="s">
        <v>602</v>
      </c>
    </row>
    <row r="152" spans="1:42" x14ac:dyDescent="0.3">
      <c r="A152" s="9" t="s">
        <v>30</v>
      </c>
      <c r="B152" s="10" t="s">
        <v>31</v>
      </c>
      <c r="C152" s="11" t="s">
        <v>32</v>
      </c>
      <c r="D152" s="12" t="s">
        <v>33</v>
      </c>
      <c r="E152" s="11" t="s">
        <v>34</v>
      </c>
      <c r="F152" s="12" t="s">
        <v>35</v>
      </c>
      <c r="G152" s="11" t="s">
        <v>594</v>
      </c>
      <c r="H152" s="12" t="s">
        <v>595</v>
      </c>
      <c r="I152" s="12" t="s">
        <v>596</v>
      </c>
      <c r="J152" s="12" t="s">
        <v>597</v>
      </c>
      <c r="K152" s="11" t="s">
        <v>598</v>
      </c>
      <c r="L152" s="12" t="s">
        <v>599</v>
      </c>
      <c r="M152" s="18" t="s">
        <v>603</v>
      </c>
      <c r="N152" s="424">
        <v>150</v>
      </c>
      <c r="O152" s="14">
        <v>0</v>
      </c>
      <c r="P152" s="16">
        <v>45</v>
      </c>
      <c r="Q152" s="16">
        <v>45</v>
      </c>
      <c r="R152" s="136">
        <v>15</v>
      </c>
      <c r="S152" s="136">
        <v>15</v>
      </c>
      <c r="T152" s="10" t="s">
        <v>92</v>
      </c>
      <c r="U152" s="283" t="s">
        <v>118</v>
      </c>
      <c r="V152" s="10" t="s">
        <v>604</v>
      </c>
      <c r="W152" s="298">
        <v>1</v>
      </c>
      <c r="X152" s="298">
        <v>1</v>
      </c>
      <c r="Y152" s="298">
        <v>1</v>
      </c>
      <c r="Z152" s="299">
        <v>1</v>
      </c>
      <c r="AA152" s="299">
        <v>1</v>
      </c>
      <c r="AB152" s="300">
        <v>1</v>
      </c>
      <c r="AC152" s="301">
        <v>0</v>
      </c>
      <c r="AD152" s="301">
        <v>0</v>
      </c>
      <c r="AE152" s="302">
        <f t="shared" si="5"/>
        <v>0.75</v>
      </c>
      <c r="AF152" s="63">
        <v>0</v>
      </c>
      <c r="AG152" s="17">
        <v>0</v>
      </c>
      <c r="AH152" s="17">
        <v>1.2</v>
      </c>
      <c r="AI152" s="17">
        <v>1.5</v>
      </c>
      <c r="AJ152" s="17">
        <v>6.6</v>
      </c>
      <c r="AK152" s="109">
        <v>0.6</v>
      </c>
      <c r="AL152" s="109">
        <v>0.6</v>
      </c>
      <c r="AM152" s="147">
        <f t="shared" si="4"/>
        <v>1.2</v>
      </c>
      <c r="AN152" s="10" t="s">
        <v>92</v>
      </c>
      <c r="AO152" s="18" t="s">
        <v>118</v>
      </c>
      <c r="AP152" s="10" t="s">
        <v>605</v>
      </c>
    </row>
    <row r="153" spans="1:42" x14ac:dyDescent="0.3">
      <c r="A153" s="9" t="s">
        <v>30</v>
      </c>
      <c r="B153" s="10" t="s">
        <v>31</v>
      </c>
      <c r="C153" s="11" t="s">
        <v>32</v>
      </c>
      <c r="D153" s="12" t="s">
        <v>33</v>
      </c>
      <c r="E153" s="11" t="s">
        <v>34</v>
      </c>
      <c r="F153" s="12" t="s">
        <v>35</v>
      </c>
      <c r="G153" s="11" t="s">
        <v>594</v>
      </c>
      <c r="H153" s="12" t="s">
        <v>595</v>
      </c>
      <c r="I153" s="12" t="s">
        <v>596</v>
      </c>
      <c r="J153" s="12" t="s">
        <v>597</v>
      </c>
      <c r="K153" s="11" t="s">
        <v>598</v>
      </c>
      <c r="L153" s="12" t="s">
        <v>599</v>
      </c>
      <c r="M153" s="18" t="s">
        <v>606</v>
      </c>
      <c r="N153" s="424">
        <v>35</v>
      </c>
      <c r="O153" s="18">
        <v>120</v>
      </c>
      <c r="P153" s="16">
        <v>120</v>
      </c>
      <c r="Q153" s="16">
        <v>120</v>
      </c>
      <c r="R153" s="136">
        <v>50</v>
      </c>
      <c r="S153" s="136">
        <v>50</v>
      </c>
      <c r="T153" s="10" t="s">
        <v>92</v>
      </c>
      <c r="U153" s="283" t="s">
        <v>118</v>
      </c>
      <c r="V153" s="10" t="s">
        <v>607</v>
      </c>
      <c r="W153" s="298">
        <v>1</v>
      </c>
      <c r="X153" s="298">
        <v>1</v>
      </c>
      <c r="Y153" s="298">
        <v>1</v>
      </c>
      <c r="Z153" s="299">
        <v>1</v>
      </c>
      <c r="AA153" s="299">
        <v>1</v>
      </c>
      <c r="AB153" s="300">
        <v>1</v>
      </c>
      <c r="AC153" s="301">
        <v>1</v>
      </c>
      <c r="AD153" s="301">
        <v>0</v>
      </c>
      <c r="AE153" s="302">
        <f t="shared" si="5"/>
        <v>0.875</v>
      </c>
      <c r="AF153" s="63">
        <v>0</v>
      </c>
      <c r="AG153" s="17">
        <v>0</v>
      </c>
      <c r="AH153" s="17">
        <v>6.8</v>
      </c>
      <c r="AI153" s="17">
        <v>6.8</v>
      </c>
      <c r="AJ153" s="17">
        <v>6.8</v>
      </c>
      <c r="AK153" s="135">
        <v>2.833333333333333</v>
      </c>
      <c r="AL153" s="135">
        <v>2.833333333333333</v>
      </c>
      <c r="AM153" s="147">
        <f t="shared" si="4"/>
        <v>5.6666666666666661</v>
      </c>
      <c r="AN153" s="10" t="s">
        <v>92</v>
      </c>
      <c r="AO153" s="18" t="s">
        <v>118</v>
      </c>
      <c r="AP153" s="10" t="s">
        <v>608</v>
      </c>
    </row>
    <row r="154" spans="1:42" x14ac:dyDescent="0.3">
      <c r="A154" s="9" t="s">
        <v>30</v>
      </c>
      <c r="B154" s="10" t="s">
        <v>31</v>
      </c>
      <c r="C154" s="11" t="s">
        <v>32</v>
      </c>
      <c r="D154" s="12" t="s">
        <v>33</v>
      </c>
      <c r="E154" s="11" t="s">
        <v>34</v>
      </c>
      <c r="F154" s="12" t="s">
        <v>35</v>
      </c>
      <c r="G154" s="11" t="s">
        <v>594</v>
      </c>
      <c r="H154" s="12" t="s">
        <v>595</v>
      </c>
      <c r="I154" s="12" t="s">
        <v>596</v>
      </c>
      <c r="J154" s="12" t="s">
        <v>597</v>
      </c>
      <c r="K154" s="11" t="s">
        <v>598</v>
      </c>
      <c r="L154" s="12" t="s">
        <v>599</v>
      </c>
      <c r="M154" s="18" t="s">
        <v>609</v>
      </c>
      <c r="N154" s="424">
        <v>40000</v>
      </c>
      <c r="O154" s="18">
        <v>41000</v>
      </c>
      <c r="P154" s="16">
        <v>42000</v>
      </c>
      <c r="Q154" s="16">
        <v>43000</v>
      </c>
      <c r="R154" s="110">
        <v>43500</v>
      </c>
      <c r="S154" s="110">
        <v>44000</v>
      </c>
      <c r="T154" s="10" t="s">
        <v>92</v>
      </c>
      <c r="U154" s="283" t="s">
        <v>118</v>
      </c>
      <c r="V154" s="10" t="s">
        <v>610</v>
      </c>
      <c r="W154" s="298">
        <v>1</v>
      </c>
      <c r="X154" s="298">
        <v>1</v>
      </c>
      <c r="Y154" s="298">
        <v>1</v>
      </c>
      <c r="Z154" s="299">
        <v>1</v>
      </c>
      <c r="AA154" s="299">
        <v>1</v>
      </c>
      <c r="AB154" s="300">
        <v>1</v>
      </c>
      <c r="AC154" s="301">
        <v>1</v>
      </c>
      <c r="AD154" s="301">
        <v>1</v>
      </c>
      <c r="AE154" s="302">
        <f t="shared" si="5"/>
        <v>1</v>
      </c>
      <c r="AF154" s="63">
        <v>0</v>
      </c>
      <c r="AG154" s="17">
        <v>0</v>
      </c>
      <c r="AH154" s="17">
        <v>1.5</v>
      </c>
      <c r="AI154" s="17">
        <v>2</v>
      </c>
      <c r="AJ154" s="17">
        <v>2</v>
      </c>
      <c r="AK154" s="135">
        <v>1.2</v>
      </c>
      <c r="AL154" s="135">
        <v>1.2</v>
      </c>
      <c r="AM154" s="147">
        <f t="shared" si="4"/>
        <v>2.4</v>
      </c>
      <c r="AN154" s="10" t="s">
        <v>92</v>
      </c>
      <c r="AO154" s="18" t="s">
        <v>118</v>
      </c>
      <c r="AP154" s="10" t="s">
        <v>255</v>
      </c>
    </row>
    <row r="155" spans="1:42" x14ac:dyDescent="0.3">
      <c r="A155" s="9" t="s">
        <v>30</v>
      </c>
      <c r="B155" s="10" t="s">
        <v>31</v>
      </c>
      <c r="C155" s="11" t="s">
        <v>32</v>
      </c>
      <c r="D155" s="12" t="s">
        <v>33</v>
      </c>
      <c r="E155" s="11" t="s">
        <v>34</v>
      </c>
      <c r="F155" s="12" t="s">
        <v>35</v>
      </c>
      <c r="G155" s="11" t="s">
        <v>594</v>
      </c>
      <c r="H155" s="12" t="s">
        <v>595</v>
      </c>
      <c r="I155" s="12" t="s">
        <v>596</v>
      </c>
      <c r="J155" s="12" t="s">
        <v>597</v>
      </c>
      <c r="K155" s="11" t="s">
        <v>598</v>
      </c>
      <c r="L155" s="12" t="s">
        <v>599</v>
      </c>
      <c r="M155" s="18" t="s">
        <v>611</v>
      </c>
      <c r="N155" s="424">
        <v>0</v>
      </c>
      <c r="O155" s="18">
        <v>10</v>
      </c>
      <c r="P155" s="16">
        <v>20</v>
      </c>
      <c r="Q155" s="16">
        <v>30</v>
      </c>
      <c r="R155" s="110">
        <v>30</v>
      </c>
      <c r="S155" s="110">
        <v>30</v>
      </c>
      <c r="T155" s="10" t="s">
        <v>92</v>
      </c>
      <c r="U155" s="283" t="s">
        <v>118</v>
      </c>
      <c r="V155" s="10" t="s">
        <v>610</v>
      </c>
      <c r="W155" s="298">
        <v>1</v>
      </c>
      <c r="X155" s="298">
        <v>1</v>
      </c>
      <c r="Y155" s="298">
        <v>1</v>
      </c>
      <c r="Z155" s="299">
        <v>1</v>
      </c>
      <c r="AA155" s="299">
        <v>1</v>
      </c>
      <c r="AB155" s="300">
        <v>1</v>
      </c>
      <c r="AC155" s="301">
        <v>1</v>
      </c>
      <c r="AD155" s="301">
        <v>1</v>
      </c>
      <c r="AE155" s="302">
        <f t="shared" si="5"/>
        <v>1</v>
      </c>
      <c r="AF155" s="63">
        <v>0</v>
      </c>
      <c r="AG155" s="17">
        <v>0</v>
      </c>
      <c r="AH155" s="17"/>
      <c r="AI155" s="17"/>
      <c r="AJ155" s="17"/>
      <c r="AK155" s="109"/>
      <c r="AL155" s="109"/>
      <c r="AM155" s="147">
        <f t="shared" si="4"/>
        <v>0</v>
      </c>
      <c r="AN155" s="10" t="s">
        <v>92</v>
      </c>
      <c r="AO155" s="18" t="s">
        <v>118</v>
      </c>
      <c r="AP155" s="10" t="s">
        <v>255</v>
      </c>
    </row>
    <row r="156" spans="1:42" s="309" customFormat="1" x14ac:dyDescent="0.3">
      <c r="A156" s="85" t="s">
        <v>30</v>
      </c>
      <c r="B156" s="86" t="s">
        <v>31</v>
      </c>
      <c r="C156" s="87" t="s">
        <v>32</v>
      </c>
      <c r="D156" s="88" t="s">
        <v>33</v>
      </c>
      <c r="E156" s="87" t="s">
        <v>34</v>
      </c>
      <c r="F156" s="88" t="s">
        <v>35</v>
      </c>
      <c r="G156" s="87" t="s">
        <v>594</v>
      </c>
      <c r="H156" s="88" t="s">
        <v>595</v>
      </c>
      <c r="I156" s="88" t="s">
        <v>612</v>
      </c>
      <c r="J156" s="88" t="s">
        <v>613</v>
      </c>
      <c r="K156" s="87" t="s">
        <v>614</v>
      </c>
      <c r="L156" s="88" t="s">
        <v>599</v>
      </c>
      <c r="M156" s="90" t="s">
        <v>615</v>
      </c>
      <c r="N156" s="424">
        <v>1000</v>
      </c>
      <c r="O156" s="18">
        <v>1000</v>
      </c>
      <c r="P156" s="16">
        <v>1000</v>
      </c>
      <c r="Q156" s="16">
        <v>1000</v>
      </c>
      <c r="R156" s="110">
        <v>300</v>
      </c>
      <c r="S156" s="110">
        <v>300</v>
      </c>
      <c r="T156" s="10" t="s">
        <v>92</v>
      </c>
      <c r="U156" s="283" t="s">
        <v>118</v>
      </c>
      <c r="V156" s="86" t="s">
        <v>616</v>
      </c>
      <c r="W156" s="298">
        <v>1</v>
      </c>
      <c r="X156" s="298">
        <v>1</v>
      </c>
      <c r="Y156" s="298">
        <v>1</v>
      </c>
      <c r="Z156" s="299">
        <v>1</v>
      </c>
      <c r="AA156" s="299">
        <v>1</v>
      </c>
      <c r="AB156" s="300">
        <v>1</v>
      </c>
      <c r="AC156" s="301">
        <v>1</v>
      </c>
      <c r="AD156" s="301">
        <v>0</v>
      </c>
      <c r="AE156" s="308">
        <f t="shared" si="5"/>
        <v>0.875</v>
      </c>
      <c r="AF156" s="63">
        <v>0</v>
      </c>
      <c r="AG156" s="89">
        <v>0</v>
      </c>
      <c r="AH156" s="89">
        <v>0.5</v>
      </c>
      <c r="AI156" s="89">
        <v>1</v>
      </c>
      <c r="AJ156" s="89">
        <v>1</v>
      </c>
      <c r="AK156" s="135">
        <v>0.27</v>
      </c>
      <c r="AL156" s="135">
        <v>0.27</v>
      </c>
      <c r="AM156" s="147">
        <f t="shared" si="4"/>
        <v>0.54</v>
      </c>
      <c r="AN156" s="86" t="s">
        <v>92</v>
      </c>
      <c r="AO156" s="90" t="s">
        <v>118</v>
      </c>
      <c r="AP156" s="86" t="s">
        <v>617</v>
      </c>
    </row>
    <row r="157" spans="1:42" x14ac:dyDescent="0.3">
      <c r="A157" s="9" t="s">
        <v>30</v>
      </c>
      <c r="B157" s="10" t="s">
        <v>31</v>
      </c>
      <c r="C157" s="11" t="s">
        <v>32</v>
      </c>
      <c r="D157" s="12" t="s">
        <v>33</v>
      </c>
      <c r="E157" s="11" t="s">
        <v>34</v>
      </c>
      <c r="F157" s="12" t="s">
        <v>35</v>
      </c>
      <c r="G157" s="11" t="s">
        <v>594</v>
      </c>
      <c r="H157" s="12" t="s">
        <v>595</v>
      </c>
      <c r="I157" s="12" t="s">
        <v>612</v>
      </c>
      <c r="J157" s="12" t="s">
        <v>613</v>
      </c>
      <c r="K157" s="11" t="s">
        <v>614</v>
      </c>
      <c r="L157" s="12" t="s">
        <v>599</v>
      </c>
      <c r="M157" s="18" t="s">
        <v>618</v>
      </c>
      <c r="N157" s="424">
        <v>0</v>
      </c>
      <c r="O157" s="176">
        <v>0</v>
      </c>
      <c r="P157" s="16">
        <v>1</v>
      </c>
      <c r="Q157" s="16">
        <v>1</v>
      </c>
      <c r="R157" s="110">
        <v>1</v>
      </c>
      <c r="S157" s="110"/>
      <c r="T157" s="10" t="s">
        <v>619</v>
      </c>
      <c r="U157" s="283" t="e">
        <v>#N/A</v>
      </c>
      <c r="V157" s="10" t="s">
        <v>620</v>
      </c>
      <c r="W157" s="298">
        <v>1</v>
      </c>
      <c r="X157" s="298">
        <v>1</v>
      </c>
      <c r="Y157" s="298">
        <v>1</v>
      </c>
      <c r="Z157" s="299">
        <v>1</v>
      </c>
      <c r="AA157" s="299">
        <v>1</v>
      </c>
      <c r="AB157" s="300">
        <v>1</v>
      </c>
      <c r="AC157" s="301">
        <v>1</v>
      </c>
      <c r="AD157" s="301">
        <v>0</v>
      </c>
      <c r="AE157" s="302">
        <f t="shared" si="5"/>
        <v>0.875</v>
      </c>
      <c r="AF157" s="63">
        <v>0</v>
      </c>
      <c r="AG157" s="17">
        <v>0</v>
      </c>
      <c r="AH157" s="17">
        <v>0</v>
      </c>
      <c r="AI157" s="17">
        <v>2</v>
      </c>
      <c r="AJ157" s="17">
        <v>2</v>
      </c>
      <c r="AK157" s="109"/>
      <c r="AL157" s="109"/>
      <c r="AM157" s="147">
        <f t="shared" si="4"/>
        <v>0</v>
      </c>
      <c r="AN157" s="10" t="s">
        <v>619</v>
      </c>
      <c r="AO157" s="18" t="s">
        <v>350</v>
      </c>
      <c r="AP157" s="10" t="s">
        <v>621</v>
      </c>
    </row>
    <row r="158" spans="1:42" s="309" customFormat="1" x14ac:dyDescent="0.3">
      <c r="A158" s="85" t="s">
        <v>30</v>
      </c>
      <c r="B158" s="86" t="s">
        <v>31</v>
      </c>
      <c r="C158" s="87" t="s">
        <v>32</v>
      </c>
      <c r="D158" s="88" t="s">
        <v>33</v>
      </c>
      <c r="E158" s="87" t="s">
        <v>34</v>
      </c>
      <c r="F158" s="88" t="s">
        <v>35</v>
      </c>
      <c r="G158" s="87" t="s">
        <v>594</v>
      </c>
      <c r="H158" s="88" t="s">
        <v>595</v>
      </c>
      <c r="I158" s="88" t="s">
        <v>612</v>
      </c>
      <c r="J158" s="88" t="s">
        <v>613</v>
      </c>
      <c r="K158" s="87" t="s">
        <v>614</v>
      </c>
      <c r="L158" s="88" t="s">
        <v>599</v>
      </c>
      <c r="M158" s="90" t="s">
        <v>622</v>
      </c>
      <c r="N158" s="424">
        <v>0</v>
      </c>
      <c r="O158" s="424">
        <v>0</v>
      </c>
      <c r="P158" s="16">
        <v>2</v>
      </c>
      <c r="Q158" s="16">
        <v>1</v>
      </c>
      <c r="R158" s="110">
        <v>1</v>
      </c>
      <c r="S158" s="136">
        <v>1</v>
      </c>
      <c r="T158" s="10" t="s">
        <v>92</v>
      </c>
      <c r="U158" s="283" t="s">
        <v>118</v>
      </c>
      <c r="V158" s="86" t="s">
        <v>623</v>
      </c>
      <c r="W158" s="298">
        <v>1</v>
      </c>
      <c r="X158" s="298">
        <v>1</v>
      </c>
      <c r="Y158" s="298">
        <v>0</v>
      </c>
      <c r="Z158" s="299">
        <v>1</v>
      </c>
      <c r="AA158" s="299">
        <v>1</v>
      </c>
      <c r="AB158" s="300">
        <v>1</v>
      </c>
      <c r="AC158" s="301">
        <v>1</v>
      </c>
      <c r="AD158" s="301">
        <v>0</v>
      </c>
      <c r="AE158" s="308">
        <f t="shared" si="5"/>
        <v>0.75</v>
      </c>
      <c r="AF158" s="63">
        <v>0</v>
      </c>
      <c r="AG158" s="89"/>
      <c r="AH158" s="89"/>
      <c r="AI158" s="89"/>
      <c r="AJ158" s="89"/>
      <c r="AK158" s="109">
        <v>0.2</v>
      </c>
      <c r="AL158" s="109">
        <v>0.2</v>
      </c>
      <c r="AM158" s="147">
        <f t="shared" si="4"/>
        <v>0.4</v>
      </c>
      <c r="AN158" s="86" t="s">
        <v>92</v>
      </c>
      <c r="AO158" s="90" t="s">
        <v>350</v>
      </c>
      <c r="AP158" s="86" t="s">
        <v>280</v>
      </c>
    </row>
    <row r="159" spans="1:42" s="309" customFormat="1" x14ac:dyDescent="0.3">
      <c r="A159" s="85" t="s">
        <v>30</v>
      </c>
      <c r="B159" s="86" t="s">
        <v>31</v>
      </c>
      <c r="C159" s="87" t="s">
        <v>32</v>
      </c>
      <c r="D159" s="88" t="s">
        <v>33</v>
      </c>
      <c r="E159" s="87" t="s">
        <v>34</v>
      </c>
      <c r="F159" s="88" t="s">
        <v>35</v>
      </c>
      <c r="G159" s="87" t="s">
        <v>594</v>
      </c>
      <c r="H159" s="88" t="s">
        <v>595</v>
      </c>
      <c r="I159" s="88" t="s">
        <v>612</v>
      </c>
      <c r="J159" s="88" t="s">
        <v>613</v>
      </c>
      <c r="K159" s="87" t="s">
        <v>614</v>
      </c>
      <c r="L159" s="88" t="s">
        <v>599</v>
      </c>
      <c r="M159" s="90" t="s">
        <v>624</v>
      </c>
      <c r="N159" s="424">
        <v>2</v>
      </c>
      <c r="O159" s="424">
        <v>4</v>
      </c>
      <c r="P159" s="16">
        <v>6</v>
      </c>
      <c r="Q159" s="16">
        <v>5</v>
      </c>
      <c r="R159" s="110">
        <v>10</v>
      </c>
      <c r="S159" s="110">
        <v>10</v>
      </c>
      <c r="T159" s="10" t="s">
        <v>92</v>
      </c>
      <c r="U159" s="283" t="s">
        <v>118</v>
      </c>
      <c r="V159" s="86" t="s">
        <v>625</v>
      </c>
      <c r="W159" s="298">
        <v>1</v>
      </c>
      <c r="X159" s="298">
        <v>1</v>
      </c>
      <c r="Y159" s="298">
        <v>0</v>
      </c>
      <c r="Z159" s="299">
        <v>1</v>
      </c>
      <c r="AA159" s="299">
        <v>1</v>
      </c>
      <c r="AB159" s="300">
        <v>1</v>
      </c>
      <c r="AC159" s="301">
        <v>1</v>
      </c>
      <c r="AD159" s="301">
        <v>0</v>
      </c>
      <c r="AE159" s="308">
        <f t="shared" si="5"/>
        <v>0.75</v>
      </c>
      <c r="AF159" s="63">
        <v>0</v>
      </c>
      <c r="AG159" s="89">
        <v>0</v>
      </c>
      <c r="AH159" s="89"/>
      <c r="AI159" s="89"/>
      <c r="AJ159" s="89"/>
      <c r="AK159" s="135">
        <v>0.3</v>
      </c>
      <c r="AL159" s="135">
        <v>0.3</v>
      </c>
      <c r="AM159" s="147">
        <f t="shared" si="4"/>
        <v>0.6</v>
      </c>
      <c r="AN159" s="86" t="s">
        <v>92</v>
      </c>
      <c r="AO159" s="90" t="s">
        <v>350</v>
      </c>
      <c r="AP159" s="86" t="s">
        <v>280</v>
      </c>
    </row>
    <row r="160" spans="1:42" s="309" customFormat="1" x14ac:dyDescent="0.3">
      <c r="A160" s="85" t="s">
        <v>30</v>
      </c>
      <c r="B160" s="86" t="s">
        <v>31</v>
      </c>
      <c r="C160" s="87" t="s">
        <v>32</v>
      </c>
      <c r="D160" s="88" t="s">
        <v>33</v>
      </c>
      <c r="E160" s="87" t="s">
        <v>34</v>
      </c>
      <c r="F160" s="88" t="s">
        <v>35</v>
      </c>
      <c r="G160" s="87" t="s">
        <v>594</v>
      </c>
      <c r="H160" s="88" t="s">
        <v>595</v>
      </c>
      <c r="I160" s="88" t="s">
        <v>612</v>
      </c>
      <c r="J160" s="88" t="s">
        <v>613</v>
      </c>
      <c r="K160" s="87" t="s">
        <v>614</v>
      </c>
      <c r="L160" s="88" t="s">
        <v>599</v>
      </c>
      <c r="M160" s="90" t="s">
        <v>626</v>
      </c>
      <c r="N160" s="424">
        <v>5</v>
      </c>
      <c r="O160" s="424">
        <v>15</v>
      </c>
      <c r="P160" s="16">
        <v>15</v>
      </c>
      <c r="Q160" s="16">
        <v>15</v>
      </c>
      <c r="R160" s="110">
        <v>15</v>
      </c>
      <c r="S160" s="110">
        <v>15</v>
      </c>
      <c r="T160" s="10" t="s">
        <v>92</v>
      </c>
      <c r="U160" s="283" t="s">
        <v>118</v>
      </c>
      <c r="V160" s="67" t="s">
        <v>627</v>
      </c>
      <c r="W160" s="298">
        <v>1</v>
      </c>
      <c r="X160" s="298">
        <v>1</v>
      </c>
      <c r="Y160" s="298">
        <v>0</v>
      </c>
      <c r="Z160" s="299">
        <v>1</v>
      </c>
      <c r="AA160" s="299">
        <v>1</v>
      </c>
      <c r="AB160" s="300">
        <v>1</v>
      </c>
      <c r="AC160" s="301">
        <v>1</v>
      </c>
      <c r="AD160" s="301">
        <v>0</v>
      </c>
      <c r="AE160" s="308">
        <f t="shared" si="5"/>
        <v>0.75</v>
      </c>
      <c r="AF160" s="63">
        <v>0</v>
      </c>
      <c r="AG160" s="89">
        <v>0</v>
      </c>
      <c r="AH160" s="89"/>
      <c r="AI160" s="89"/>
      <c r="AJ160" s="89"/>
      <c r="AK160" s="135">
        <v>0.2</v>
      </c>
      <c r="AL160" s="135">
        <v>0.2</v>
      </c>
      <c r="AM160" s="147">
        <f t="shared" si="4"/>
        <v>0.4</v>
      </c>
      <c r="AN160" s="86" t="s">
        <v>92</v>
      </c>
      <c r="AO160" s="90" t="s">
        <v>350</v>
      </c>
      <c r="AP160" s="86" t="s">
        <v>280</v>
      </c>
    </row>
    <row r="161" spans="1:42" s="309" customFormat="1" x14ac:dyDescent="0.3">
      <c r="A161" s="85" t="s">
        <v>30</v>
      </c>
      <c r="B161" s="86" t="s">
        <v>31</v>
      </c>
      <c r="C161" s="87" t="s">
        <v>32</v>
      </c>
      <c r="D161" s="88" t="s">
        <v>33</v>
      </c>
      <c r="E161" s="87" t="s">
        <v>34</v>
      </c>
      <c r="F161" s="88" t="s">
        <v>35</v>
      </c>
      <c r="G161" s="87" t="s">
        <v>594</v>
      </c>
      <c r="H161" s="88" t="s">
        <v>595</v>
      </c>
      <c r="I161" s="88" t="s">
        <v>612</v>
      </c>
      <c r="J161" s="88" t="s">
        <v>613</v>
      </c>
      <c r="K161" s="87" t="s">
        <v>614</v>
      </c>
      <c r="L161" s="88" t="s">
        <v>599</v>
      </c>
      <c r="M161" s="90" t="s">
        <v>628</v>
      </c>
      <c r="N161" s="424">
        <v>0</v>
      </c>
      <c r="O161" s="424">
        <v>1</v>
      </c>
      <c r="P161" s="16">
        <v>2</v>
      </c>
      <c r="Q161" s="16">
        <v>2</v>
      </c>
      <c r="R161" s="110">
        <v>2</v>
      </c>
      <c r="S161" s="110">
        <v>1</v>
      </c>
      <c r="T161" s="10" t="s">
        <v>92</v>
      </c>
      <c r="U161" s="283" t="s">
        <v>118</v>
      </c>
      <c r="V161" s="67" t="s">
        <v>629</v>
      </c>
      <c r="W161" s="298">
        <v>0</v>
      </c>
      <c r="X161" s="298">
        <v>0</v>
      </c>
      <c r="Y161" s="298">
        <v>0</v>
      </c>
      <c r="Z161" s="299">
        <v>0</v>
      </c>
      <c r="AA161" s="299">
        <v>0</v>
      </c>
      <c r="AB161" s="300">
        <v>0</v>
      </c>
      <c r="AC161" s="301">
        <v>0</v>
      </c>
      <c r="AD161" s="301">
        <v>0</v>
      </c>
      <c r="AE161" s="308">
        <f t="shared" si="5"/>
        <v>0</v>
      </c>
      <c r="AF161" s="63">
        <v>1</v>
      </c>
      <c r="AG161" s="89">
        <v>0</v>
      </c>
      <c r="AH161" s="89"/>
      <c r="AI161" s="89"/>
      <c r="AJ161" s="89"/>
      <c r="AK161" s="109"/>
      <c r="AL161" s="109"/>
      <c r="AM161" s="147">
        <f t="shared" si="4"/>
        <v>0</v>
      </c>
      <c r="AN161" s="86" t="s">
        <v>92</v>
      </c>
      <c r="AO161" s="90" t="s">
        <v>350</v>
      </c>
      <c r="AP161" s="86" t="s">
        <v>280</v>
      </c>
    </row>
    <row r="162" spans="1:42" x14ac:dyDescent="0.3">
      <c r="A162" s="9" t="s">
        <v>30</v>
      </c>
      <c r="B162" s="10" t="s">
        <v>31</v>
      </c>
      <c r="C162" s="11" t="s">
        <v>32</v>
      </c>
      <c r="D162" s="12" t="s">
        <v>33</v>
      </c>
      <c r="E162" s="11" t="s">
        <v>34</v>
      </c>
      <c r="F162" s="12" t="s">
        <v>35</v>
      </c>
      <c r="G162" s="11" t="s">
        <v>594</v>
      </c>
      <c r="H162" s="12" t="s">
        <v>595</v>
      </c>
      <c r="I162" s="12" t="s">
        <v>630</v>
      </c>
      <c r="J162" s="12" t="s">
        <v>631</v>
      </c>
      <c r="K162" s="11" t="s">
        <v>632</v>
      </c>
      <c r="L162" s="12" t="s">
        <v>633</v>
      </c>
      <c r="M162" s="18" t="s">
        <v>634</v>
      </c>
      <c r="N162" s="430">
        <v>2000000</v>
      </c>
      <c r="O162" s="431">
        <v>8000000</v>
      </c>
      <c r="P162" s="26">
        <v>8000000</v>
      </c>
      <c r="Q162" s="26">
        <v>8000000</v>
      </c>
      <c r="R162" s="137">
        <v>4000000</v>
      </c>
      <c r="S162" s="137">
        <v>4000000</v>
      </c>
      <c r="T162" s="30" t="s">
        <v>92</v>
      </c>
      <c r="U162" s="283" t="s">
        <v>118</v>
      </c>
      <c r="V162" s="10" t="s">
        <v>635</v>
      </c>
      <c r="W162" s="298">
        <v>1</v>
      </c>
      <c r="X162" s="298">
        <v>1</v>
      </c>
      <c r="Y162" s="298">
        <v>1</v>
      </c>
      <c r="Z162" s="299">
        <v>1</v>
      </c>
      <c r="AA162" s="299">
        <v>1</v>
      </c>
      <c r="AB162" s="300">
        <v>1</v>
      </c>
      <c r="AC162" s="301">
        <v>1</v>
      </c>
      <c r="AD162" s="301">
        <v>0</v>
      </c>
      <c r="AE162" s="302">
        <f t="shared" si="5"/>
        <v>0.875</v>
      </c>
      <c r="AF162" s="63">
        <v>0</v>
      </c>
      <c r="AG162" s="17">
        <v>0</v>
      </c>
      <c r="AH162" s="17">
        <v>46</v>
      </c>
      <c r="AI162" s="17">
        <v>17.5</v>
      </c>
      <c r="AJ162" s="17">
        <v>18</v>
      </c>
      <c r="AK162" s="109">
        <v>15</v>
      </c>
      <c r="AL162" s="127">
        <v>20</v>
      </c>
      <c r="AM162" s="147">
        <f t="shared" si="4"/>
        <v>35</v>
      </c>
      <c r="AN162" s="18" t="s">
        <v>92</v>
      </c>
      <c r="AO162" s="18" t="s">
        <v>350</v>
      </c>
      <c r="AP162" s="10" t="s">
        <v>255</v>
      </c>
    </row>
    <row r="163" spans="1:42" x14ac:dyDescent="0.3">
      <c r="A163" s="9" t="s">
        <v>30</v>
      </c>
      <c r="B163" s="10" t="s">
        <v>31</v>
      </c>
      <c r="C163" s="11" t="s">
        <v>32</v>
      </c>
      <c r="D163" s="12" t="s">
        <v>33</v>
      </c>
      <c r="E163" s="11" t="s">
        <v>34</v>
      </c>
      <c r="F163" s="12" t="s">
        <v>35</v>
      </c>
      <c r="G163" s="11" t="s">
        <v>594</v>
      </c>
      <c r="H163" s="12" t="s">
        <v>595</v>
      </c>
      <c r="I163" s="12" t="s">
        <v>630</v>
      </c>
      <c r="J163" s="12" t="s">
        <v>631</v>
      </c>
      <c r="K163" s="11" t="s">
        <v>636</v>
      </c>
      <c r="L163" s="12" t="s">
        <v>637</v>
      </c>
      <c r="M163" s="18" t="s">
        <v>638</v>
      </c>
      <c r="N163" s="424">
        <v>0</v>
      </c>
      <c r="O163" s="431"/>
      <c r="P163" s="26"/>
      <c r="Q163" s="26">
        <v>5</v>
      </c>
      <c r="R163" s="137">
        <v>2</v>
      </c>
      <c r="S163" s="137">
        <v>0</v>
      </c>
      <c r="T163" s="30" t="s">
        <v>92</v>
      </c>
      <c r="U163" s="283" t="s">
        <v>118</v>
      </c>
      <c r="V163" s="10" t="s">
        <v>639</v>
      </c>
      <c r="W163" s="298">
        <v>1</v>
      </c>
      <c r="X163" s="298">
        <v>1</v>
      </c>
      <c r="Y163" s="298">
        <v>1</v>
      </c>
      <c r="Z163" s="299">
        <v>1</v>
      </c>
      <c r="AA163" s="299">
        <v>1</v>
      </c>
      <c r="AB163" s="300">
        <v>1</v>
      </c>
      <c r="AC163" s="301">
        <v>1</v>
      </c>
      <c r="AD163" s="301">
        <v>0</v>
      </c>
      <c r="AE163" s="302">
        <f t="shared" si="5"/>
        <v>0.875</v>
      </c>
      <c r="AF163" s="63">
        <v>0</v>
      </c>
      <c r="AG163" s="17">
        <v>0</v>
      </c>
      <c r="AH163" s="17"/>
      <c r="AI163" s="17"/>
      <c r="AJ163" s="17"/>
      <c r="AK163" s="135">
        <v>0.5</v>
      </c>
      <c r="AL163" s="109"/>
      <c r="AM163" s="147">
        <f t="shared" si="4"/>
        <v>0.5</v>
      </c>
      <c r="AN163" s="18" t="s">
        <v>92</v>
      </c>
      <c r="AO163" s="18" t="s">
        <v>350</v>
      </c>
      <c r="AP163" s="10" t="s">
        <v>640</v>
      </c>
    </row>
    <row r="164" spans="1:42" x14ac:dyDescent="0.3">
      <c r="A164" s="9" t="s">
        <v>30</v>
      </c>
      <c r="B164" s="10" t="s">
        <v>31</v>
      </c>
      <c r="C164" s="11" t="s">
        <v>32</v>
      </c>
      <c r="D164" s="12" t="s">
        <v>33</v>
      </c>
      <c r="E164" s="11" t="s">
        <v>34</v>
      </c>
      <c r="F164" s="12" t="s">
        <v>35</v>
      </c>
      <c r="G164" s="11" t="s">
        <v>594</v>
      </c>
      <c r="H164" s="12" t="s">
        <v>595</v>
      </c>
      <c r="I164" s="12" t="s">
        <v>630</v>
      </c>
      <c r="J164" s="12" t="s">
        <v>631</v>
      </c>
      <c r="K164" s="11" t="s">
        <v>636</v>
      </c>
      <c r="L164" s="12" t="s">
        <v>637</v>
      </c>
      <c r="M164" s="18" t="s">
        <v>641</v>
      </c>
      <c r="N164" s="430">
        <v>150</v>
      </c>
      <c r="O164" s="431"/>
      <c r="P164" s="26"/>
      <c r="Q164" s="26"/>
      <c r="R164" s="118">
        <v>1000</v>
      </c>
      <c r="S164" s="118"/>
      <c r="T164" s="30" t="s">
        <v>92</v>
      </c>
      <c r="U164" s="283" t="s">
        <v>118</v>
      </c>
      <c r="V164" s="10" t="s">
        <v>639</v>
      </c>
      <c r="W164" s="298">
        <v>1</v>
      </c>
      <c r="X164" s="298">
        <v>1</v>
      </c>
      <c r="Y164" s="298">
        <v>1</v>
      </c>
      <c r="Z164" s="299">
        <v>1</v>
      </c>
      <c r="AA164" s="299">
        <v>1</v>
      </c>
      <c r="AB164" s="300">
        <v>1</v>
      </c>
      <c r="AC164" s="301">
        <v>1</v>
      </c>
      <c r="AD164" s="301">
        <v>0</v>
      </c>
      <c r="AE164" s="302">
        <f t="shared" si="5"/>
        <v>0.875</v>
      </c>
      <c r="AF164" s="63">
        <v>0</v>
      </c>
      <c r="AG164" s="17">
        <v>0</v>
      </c>
      <c r="AH164" s="17"/>
      <c r="AI164" s="17"/>
      <c r="AJ164" s="17"/>
      <c r="AK164" s="135">
        <v>0.3</v>
      </c>
      <c r="AL164" s="135">
        <v>0.3</v>
      </c>
      <c r="AM164" s="147">
        <f t="shared" si="4"/>
        <v>0.6</v>
      </c>
      <c r="AN164" s="18" t="s">
        <v>92</v>
      </c>
      <c r="AO164" s="18" t="s">
        <v>350</v>
      </c>
      <c r="AP164" s="10" t="s">
        <v>640</v>
      </c>
    </row>
    <row r="165" spans="1:42" x14ac:dyDescent="0.3">
      <c r="A165" s="9" t="s">
        <v>30</v>
      </c>
      <c r="B165" s="10" t="s">
        <v>31</v>
      </c>
      <c r="C165" s="11" t="s">
        <v>32</v>
      </c>
      <c r="D165" s="12" t="s">
        <v>33</v>
      </c>
      <c r="E165" s="11" t="s">
        <v>34</v>
      </c>
      <c r="F165" s="12" t="s">
        <v>35</v>
      </c>
      <c r="G165" s="11" t="s">
        <v>594</v>
      </c>
      <c r="H165" s="12" t="s">
        <v>595</v>
      </c>
      <c r="I165" s="12" t="s">
        <v>630</v>
      </c>
      <c r="J165" s="12" t="s">
        <v>631</v>
      </c>
      <c r="K165" s="11" t="s">
        <v>642</v>
      </c>
      <c r="L165" s="12" t="s">
        <v>643</v>
      </c>
      <c r="M165" s="18" t="s">
        <v>644</v>
      </c>
      <c r="N165" s="430">
        <v>20</v>
      </c>
      <c r="O165" s="431">
        <v>100</v>
      </c>
      <c r="P165" s="26">
        <v>106</v>
      </c>
      <c r="Q165" s="26">
        <v>106</v>
      </c>
      <c r="R165" s="118">
        <v>106</v>
      </c>
      <c r="S165" s="118">
        <v>106</v>
      </c>
      <c r="T165" s="30" t="s">
        <v>92</v>
      </c>
      <c r="U165" s="283" t="s">
        <v>118</v>
      </c>
      <c r="V165" s="10" t="s">
        <v>645</v>
      </c>
      <c r="W165" s="298">
        <v>1</v>
      </c>
      <c r="X165" s="298">
        <v>1</v>
      </c>
      <c r="Y165" s="298">
        <v>1</v>
      </c>
      <c r="Z165" s="299">
        <v>1</v>
      </c>
      <c r="AA165" s="299">
        <v>1</v>
      </c>
      <c r="AB165" s="300">
        <v>1</v>
      </c>
      <c r="AC165" s="301">
        <v>1</v>
      </c>
      <c r="AD165" s="301">
        <v>0</v>
      </c>
      <c r="AE165" s="302">
        <f t="shared" si="5"/>
        <v>0.875</v>
      </c>
      <c r="AF165" s="63">
        <v>0</v>
      </c>
      <c r="AG165" s="17">
        <v>0</v>
      </c>
      <c r="AH165" s="17"/>
      <c r="AI165" s="17"/>
      <c r="AJ165" s="17"/>
      <c r="AK165" s="109"/>
      <c r="AL165" s="109"/>
      <c r="AM165" s="147">
        <f t="shared" si="4"/>
        <v>0</v>
      </c>
      <c r="AN165" s="18" t="s">
        <v>92</v>
      </c>
      <c r="AO165" s="18" t="s">
        <v>350</v>
      </c>
      <c r="AP165" s="10" t="s">
        <v>43</v>
      </c>
    </row>
    <row r="166" spans="1:42" x14ac:dyDescent="0.3">
      <c r="A166" s="9" t="s">
        <v>30</v>
      </c>
      <c r="B166" s="10" t="s">
        <v>31</v>
      </c>
      <c r="C166" s="11" t="s">
        <v>32</v>
      </c>
      <c r="D166" s="12" t="s">
        <v>33</v>
      </c>
      <c r="E166" s="11" t="s">
        <v>34</v>
      </c>
      <c r="F166" s="12" t="s">
        <v>35</v>
      </c>
      <c r="G166" s="11" t="s">
        <v>646</v>
      </c>
      <c r="H166" s="12" t="s">
        <v>647</v>
      </c>
      <c r="I166" s="12" t="s">
        <v>648</v>
      </c>
      <c r="J166" s="12" t="s">
        <v>649</v>
      </c>
      <c r="K166" s="11" t="s">
        <v>650</v>
      </c>
      <c r="L166" s="12" t="s">
        <v>651</v>
      </c>
      <c r="M166" s="18" t="s">
        <v>652</v>
      </c>
      <c r="N166" s="424">
        <v>10</v>
      </c>
      <c r="O166" s="18">
        <v>29</v>
      </c>
      <c r="P166" s="16">
        <v>29</v>
      </c>
      <c r="Q166" s="16">
        <v>29</v>
      </c>
      <c r="R166" s="136">
        <v>15</v>
      </c>
      <c r="S166" s="136">
        <v>15</v>
      </c>
      <c r="T166" s="10" t="s">
        <v>92</v>
      </c>
      <c r="U166" s="283" t="s">
        <v>118</v>
      </c>
      <c r="V166" s="10" t="s">
        <v>653</v>
      </c>
      <c r="W166" s="298">
        <v>1</v>
      </c>
      <c r="X166" s="298">
        <v>1</v>
      </c>
      <c r="Y166" s="298">
        <v>1</v>
      </c>
      <c r="Z166" s="299">
        <v>1</v>
      </c>
      <c r="AA166" s="299">
        <v>1</v>
      </c>
      <c r="AB166" s="300">
        <v>1</v>
      </c>
      <c r="AC166" s="301">
        <v>1</v>
      </c>
      <c r="AD166" s="301">
        <v>0</v>
      </c>
      <c r="AE166" s="302">
        <f t="shared" si="5"/>
        <v>0.875</v>
      </c>
      <c r="AF166" s="63">
        <v>0</v>
      </c>
      <c r="AG166" s="17">
        <v>0</v>
      </c>
      <c r="AH166" s="17">
        <v>2.5</v>
      </c>
      <c r="AI166" s="17">
        <v>2.5</v>
      </c>
      <c r="AJ166" s="17">
        <v>2</v>
      </c>
      <c r="AK166" s="135">
        <v>0.35</v>
      </c>
      <c r="AL166" s="135">
        <v>0.3</v>
      </c>
      <c r="AM166" s="147">
        <f t="shared" si="4"/>
        <v>0.64999999999999991</v>
      </c>
      <c r="AN166" s="18" t="s">
        <v>92</v>
      </c>
      <c r="AO166" s="18" t="s">
        <v>350</v>
      </c>
      <c r="AP166" s="10" t="s">
        <v>654</v>
      </c>
    </row>
    <row r="167" spans="1:42" x14ac:dyDescent="0.3">
      <c r="A167" s="9" t="s">
        <v>30</v>
      </c>
      <c r="B167" s="10" t="s">
        <v>31</v>
      </c>
      <c r="C167" s="11" t="s">
        <v>32</v>
      </c>
      <c r="D167" s="12" t="s">
        <v>33</v>
      </c>
      <c r="E167" s="11" t="s">
        <v>34</v>
      </c>
      <c r="F167" s="12" t="s">
        <v>35</v>
      </c>
      <c r="G167" s="11" t="s">
        <v>646</v>
      </c>
      <c r="H167" s="12" t="s">
        <v>647</v>
      </c>
      <c r="I167" s="12" t="s">
        <v>648</v>
      </c>
      <c r="J167" s="12" t="s">
        <v>649</v>
      </c>
      <c r="K167" s="11" t="s">
        <v>650</v>
      </c>
      <c r="L167" s="12" t="s">
        <v>651</v>
      </c>
      <c r="M167" s="18" t="s">
        <v>655</v>
      </c>
      <c r="N167" s="424">
        <v>0</v>
      </c>
      <c r="O167" s="18">
        <v>1</v>
      </c>
      <c r="P167" s="16">
        <v>1</v>
      </c>
      <c r="Q167" s="16">
        <v>1</v>
      </c>
      <c r="R167" s="110">
        <v>1</v>
      </c>
      <c r="S167" s="110">
        <v>1</v>
      </c>
      <c r="T167" s="10" t="s">
        <v>92</v>
      </c>
      <c r="U167" s="283" t="s">
        <v>118</v>
      </c>
      <c r="V167" s="10" t="s">
        <v>653</v>
      </c>
      <c r="W167" s="298">
        <v>1</v>
      </c>
      <c r="X167" s="298">
        <v>1</v>
      </c>
      <c r="Y167" s="298">
        <v>1</v>
      </c>
      <c r="Z167" s="299">
        <v>1</v>
      </c>
      <c r="AA167" s="299">
        <v>1</v>
      </c>
      <c r="AB167" s="300">
        <v>1</v>
      </c>
      <c r="AC167" s="301">
        <v>1</v>
      </c>
      <c r="AD167" s="301">
        <v>0</v>
      </c>
      <c r="AE167" s="302">
        <f t="shared" si="5"/>
        <v>0.875</v>
      </c>
      <c r="AF167" s="63">
        <v>0</v>
      </c>
      <c r="AG167" s="17">
        <v>0</v>
      </c>
      <c r="AH167" s="17"/>
      <c r="AI167" s="17"/>
      <c r="AJ167" s="17"/>
      <c r="AK167" s="109"/>
      <c r="AL167" s="127">
        <v>0.8</v>
      </c>
      <c r="AM167" s="147">
        <f t="shared" si="4"/>
        <v>0.8</v>
      </c>
      <c r="AN167" s="18" t="s">
        <v>92</v>
      </c>
      <c r="AO167" s="18" t="s">
        <v>350</v>
      </c>
      <c r="AP167" s="10" t="s">
        <v>654</v>
      </c>
    </row>
    <row r="168" spans="1:42" x14ac:dyDescent="0.3">
      <c r="A168" s="9" t="s">
        <v>30</v>
      </c>
      <c r="B168" s="10" t="s">
        <v>31</v>
      </c>
      <c r="C168" s="11" t="s">
        <v>32</v>
      </c>
      <c r="D168" s="12" t="s">
        <v>33</v>
      </c>
      <c r="E168" s="11" t="s">
        <v>34</v>
      </c>
      <c r="F168" s="12" t="s">
        <v>35</v>
      </c>
      <c r="G168" s="11" t="s">
        <v>646</v>
      </c>
      <c r="H168" s="12" t="s">
        <v>647</v>
      </c>
      <c r="I168" s="12" t="s">
        <v>648</v>
      </c>
      <c r="J168" s="12" t="s">
        <v>649</v>
      </c>
      <c r="K168" s="11" t="s">
        <v>650</v>
      </c>
      <c r="L168" s="12" t="s">
        <v>651</v>
      </c>
      <c r="M168" s="18" t="s">
        <v>656</v>
      </c>
      <c r="N168" s="424">
        <v>0</v>
      </c>
      <c r="O168" s="18">
        <v>14600</v>
      </c>
      <c r="P168" s="16">
        <v>14600</v>
      </c>
      <c r="Q168" s="16">
        <v>14600</v>
      </c>
      <c r="R168" s="110">
        <v>14600</v>
      </c>
      <c r="S168" s="110">
        <v>14600</v>
      </c>
      <c r="T168" s="10" t="s">
        <v>92</v>
      </c>
      <c r="U168" s="283" t="s">
        <v>118</v>
      </c>
      <c r="V168" s="10" t="s">
        <v>653</v>
      </c>
      <c r="W168" s="298">
        <v>1</v>
      </c>
      <c r="X168" s="298">
        <v>1</v>
      </c>
      <c r="Y168" s="298">
        <v>1</v>
      </c>
      <c r="Z168" s="299">
        <v>1</v>
      </c>
      <c r="AA168" s="299">
        <v>1</v>
      </c>
      <c r="AB168" s="300">
        <v>1</v>
      </c>
      <c r="AC168" s="301">
        <v>1</v>
      </c>
      <c r="AD168" s="301">
        <v>0</v>
      </c>
      <c r="AE168" s="302">
        <f t="shared" si="5"/>
        <v>0.875</v>
      </c>
      <c r="AF168" s="63">
        <v>0</v>
      </c>
      <c r="AG168" s="17">
        <v>0</v>
      </c>
      <c r="AH168" s="17"/>
      <c r="AI168" s="17"/>
      <c r="AJ168" s="17"/>
      <c r="AK168" s="109"/>
      <c r="AL168" s="109"/>
      <c r="AM168" s="147">
        <f t="shared" si="4"/>
        <v>0</v>
      </c>
      <c r="AN168" s="18" t="s">
        <v>92</v>
      </c>
      <c r="AO168" s="18" t="s">
        <v>350</v>
      </c>
      <c r="AP168" s="10" t="s">
        <v>280</v>
      </c>
    </row>
    <row r="169" spans="1:42" x14ac:dyDescent="0.3">
      <c r="A169" s="9" t="s">
        <v>30</v>
      </c>
      <c r="B169" s="10" t="s">
        <v>31</v>
      </c>
      <c r="C169" s="11" t="s">
        <v>32</v>
      </c>
      <c r="D169" s="12" t="s">
        <v>33</v>
      </c>
      <c r="E169" s="11" t="s">
        <v>34</v>
      </c>
      <c r="F169" s="12" t="s">
        <v>35</v>
      </c>
      <c r="G169" s="11" t="s">
        <v>646</v>
      </c>
      <c r="H169" s="12" t="s">
        <v>647</v>
      </c>
      <c r="I169" s="12" t="s">
        <v>648</v>
      </c>
      <c r="J169" s="12" t="s">
        <v>649</v>
      </c>
      <c r="K169" s="11" t="s">
        <v>650</v>
      </c>
      <c r="L169" s="12" t="s">
        <v>651</v>
      </c>
      <c r="M169" s="18" t="s">
        <v>657</v>
      </c>
      <c r="N169" s="424">
        <v>0</v>
      </c>
      <c r="O169" s="18">
        <v>2</v>
      </c>
      <c r="P169" s="16">
        <v>2</v>
      </c>
      <c r="Q169" s="16">
        <v>2</v>
      </c>
      <c r="R169" s="110">
        <v>2</v>
      </c>
      <c r="S169" s="110">
        <v>2</v>
      </c>
      <c r="T169" s="10" t="s">
        <v>92</v>
      </c>
      <c r="U169" s="283" t="s">
        <v>118</v>
      </c>
      <c r="V169" s="10" t="s">
        <v>658</v>
      </c>
      <c r="W169" s="298">
        <v>1</v>
      </c>
      <c r="X169" s="298">
        <v>0</v>
      </c>
      <c r="Y169" s="298">
        <v>0</v>
      </c>
      <c r="Z169" s="299">
        <v>1</v>
      </c>
      <c r="AA169" s="299">
        <v>1</v>
      </c>
      <c r="AB169" s="300">
        <v>1</v>
      </c>
      <c r="AC169" s="301">
        <v>1</v>
      </c>
      <c r="AD169" s="301">
        <v>0</v>
      </c>
      <c r="AE169" s="302">
        <f t="shared" si="5"/>
        <v>0.625</v>
      </c>
      <c r="AF169" s="63">
        <v>0</v>
      </c>
      <c r="AG169" s="17">
        <v>0</v>
      </c>
      <c r="AH169" s="17"/>
      <c r="AI169" s="17"/>
      <c r="AJ169" s="17"/>
      <c r="AK169" s="109"/>
      <c r="AL169" s="109"/>
      <c r="AM169" s="147">
        <f t="shared" si="4"/>
        <v>0</v>
      </c>
      <c r="AN169" s="18" t="s">
        <v>92</v>
      </c>
      <c r="AO169" s="18" t="s">
        <v>350</v>
      </c>
      <c r="AP169" s="10" t="s">
        <v>659</v>
      </c>
    </row>
    <row r="170" spans="1:42" x14ac:dyDescent="0.3">
      <c r="A170" s="9" t="s">
        <v>30</v>
      </c>
      <c r="B170" s="10" t="s">
        <v>31</v>
      </c>
      <c r="C170" s="11" t="s">
        <v>32</v>
      </c>
      <c r="D170" s="12" t="s">
        <v>33</v>
      </c>
      <c r="E170" s="11" t="s">
        <v>34</v>
      </c>
      <c r="F170" s="12" t="s">
        <v>35</v>
      </c>
      <c r="G170" s="11" t="s">
        <v>646</v>
      </c>
      <c r="H170" s="12" t="s">
        <v>647</v>
      </c>
      <c r="I170" s="12" t="s">
        <v>648</v>
      </c>
      <c r="J170" s="12" t="s">
        <v>649</v>
      </c>
      <c r="K170" s="11" t="s">
        <v>650</v>
      </c>
      <c r="L170" s="12" t="s">
        <v>651</v>
      </c>
      <c r="M170" s="18" t="s">
        <v>660</v>
      </c>
      <c r="N170" s="424">
        <v>20</v>
      </c>
      <c r="O170" s="18">
        <v>200</v>
      </c>
      <c r="P170" s="16">
        <v>200</v>
      </c>
      <c r="Q170" s="16">
        <v>200</v>
      </c>
      <c r="R170" s="110">
        <v>200</v>
      </c>
      <c r="S170" s="110">
        <v>200</v>
      </c>
      <c r="T170" s="10" t="s">
        <v>92</v>
      </c>
      <c r="U170" s="283" t="s">
        <v>118</v>
      </c>
      <c r="V170" s="10" t="s">
        <v>661</v>
      </c>
      <c r="W170" s="298">
        <v>1</v>
      </c>
      <c r="X170" s="298">
        <v>0</v>
      </c>
      <c r="Y170" s="298">
        <v>0</v>
      </c>
      <c r="Z170" s="299">
        <v>1</v>
      </c>
      <c r="AA170" s="299">
        <v>1</v>
      </c>
      <c r="AB170" s="300">
        <v>1</v>
      </c>
      <c r="AC170" s="301">
        <v>1</v>
      </c>
      <c r="AD170" s="301">
        <v>0</v>
      </c>
      <c r="AE170" s="302">
        <f t="shared" si="5"/>
        <v>0.625</v>
      </c>
      <c r="AF170" s="63">
        <v>0</v>
      </c>
      <c r="AG170" s="17">
        <v>0</v>
      </c>
      <c r="AH170" s="17"/>
      <c r="AI170" s="17"/>
      <c r="AJ170" s="17"/>
      <c r="AK170" s="109"/>
      <c r="AL170" s="109"/>
      <c r="AM170" s="147">
        <f t="shared" si="4"/>
        <v>0</v>
      </c>
      <c r="AN170" s="18" t="s">
        <v>92</v>
      </c>
      <c r="AO170" s="18" t="s">
        <v>350</v>
      </c>
      <c r="AP170" s="10" t="s">
        <v>280</v>
      </c>
    </row>
    <row r="171" spans="1:42" x14ac:dyDescent="0.3">
      <c r="A171" s="9" t="s">
        <v>30</v>
      </c>
      <c r="B171" s="10" t="s">
        <v>31</v>
      </c>
      <c r="C171" s="11" t="s">
        <v>32</v>
      </c>
      <c r="D171" s="12" t="s">
        <v>33</v>
      </c>
      <c r="E171" s="11" t="s">
        <v>34</v>
      </c>
      <c r="F171" s="12" t="s">
        <v>35</v>
      </c>
      <c r="G171" s="11" t="s">
        <v>646</v>
      </c>
      <c r="H171" s="12" t="s">
        <v>647</v>
      </c>
      <c r="I171" s="12" t="s">
        <v>648</v>
      </c>
      <c r="J171" s="12" t="s">
        <v>649</v>
      </c>
      <c r="K171" s="11" t="s">
        <v>662</v>
      </c>
      <c r="L171" s="12" t="s">
        <v>663</v>
      </c>
      <c r="M171" s="18" t="s">
        <v>664</v>
      </c>
      <c r="N171" s="424">
        <v>0</v>
      </c>
      <c r="O171" s="14">
        <v>0</v>
      </c>
      <c r="P171" s="16">
        <v>1</v>
      </c>
      <c r="Q171" s="16"/>
      <c r="R171" s="110">
        <v>1</v>
      </c>
      <c r="S171" s="110"/>
      <c r="T171" s="10" t="s">
        <v>92</v>
      </c>
      <c r="U171" s="283" t="s">
        <v>118</v>
      </c>
      <c r="V171" s="10" t="s">
        <v>665</v>
      </c>
      <c r="W171" s="298">
        <v>1</v>
      </c>
      <c r="X171" s="298">
        <v>1</v>
      </c>
      <c r="Y171" s="298">
        <v>1</v>
      </c>
      <c r="Z171" s="299">
        <v>1</v>
      </c>
      <c r="AA171" s="299">
        <v>1</v>
      </c>
      <c r="AB171" s="300">
        <v>1</v>
      </c>
      <c r="AC171" s="301">
        <v>1</v>
      </c>
      <c r="AD171" s="301">
        <v>0</v>
      </c>
      <c r="AE171" s="302">
        <f t="shared" si="5"/>
        <v>0.875</v>
      </c>
      <c r="AF171" s="63">
        <v>0</v>
      </c>
      <c r="AG171" s="17">
        <v>0</v>
      </c>
      <c r="AH171" s="17">
        <v>1.2</v>
      </c>
      <c r="AI171" s="17"/>
      <c r="AJ171" s="17"/>
      <c r="AK171" s="135">
        <v>0.2</v>
      </c>
      <c r="AL171" s="135">
        <v>0.2</v>
      </c>
      <c r="AM171" s="147">
        <f t="shared" si="4"/>
        <v>0.4</v>
      </c>
      <c r="AN171" s="10" t="s">
        <v>92</v>
      </c>
      <c r="AO171" s="18" t="s">
        <v>350</v>
      </c>
      <c r="AP171" s="10" t="s">
        <v>255</v>
      </c>
    </row>
    <row r="172" spans="1:42" x14ac:dyDescent="0.3">
      <c r="A172" s="9" t="s">
        <v>30</v>
      </c>
      <c r="B172" s="10" t="s">
        <v>31</v>
      </c>
      <c r="C172" s="11" t="s">
        <v>32</v>
      </c>
      <c r="D172" s="12" t="s">
        <v>33</v>
      </c>
      <c r="E172" s="11" t="s">
        <v>34</v>
      </c>
      <c r="F172" s="12" t="s">
        <v>35</v>
      </c>
      <c r="G172" s="11" t="s">
        <v>646</v>
      </c>
      <c r="H172" s="12" t="s">
        <v>647</v>
      </c>
      <c r="I172" s="12" t="s">
        <v>648</v>
      </c>
      <c r="J172" s="12" t="s">
        <v>649</v>
      </c>
      <c r="K172" s="11" t="s">
        <v>662</v>
      </c>
      <c r="L172" s="12" t="s">
        <v>663</v>
      </c>
      <c r="M172" s="18" t="s">
        <v>666</v>
      </c>
      <c r="N172" s="424">
        <v>0</v>
      </c>
      <c r="O172" s="14">
        <v>0</v>
      </c>
      <c r="P172" s="16">
        <v>1</v>
      </c>
      <c r="Q172" s="16"/>
      <c r="R172" s="110">
        <v>1</v>
      </c>
      <c r="S172" s="110"/>
      <c r="T172" s="10" t="s">
        <v>92</v>
      </c>
      <c r="U172" s="283" t="s">
        <v>118</v>
      </c>
      <c r="V172" s="10" t="s">
        <v>667</v>
      </c>
      <c r="W172" s="298">
        <v>1</v>
      </c>
      <c r="X172" s="298">
        <v>1</v>
      </c>
      <c r="Y172" s="298">
        <v>1</v>
      </c>
      <c r="Z172" s="299">
        <v>1</v>
      </c>
      <c r="AA172" s="299">
        <v>1</v>
      </c>
      <c r="AB172" s="300">
        <v>1</v>
      </c>
      <c r="AC172" s="301">
        <v>1</v>
      </c>
      <c r="AD172" s="301">
        <v>0</v>
      </c>
      <c r="AE172" s="302">
        <f t="shared" si="5"/>
        <v>0.875</v>
      </c>
      <c r="AF172" s="63">
        <v>0</v>
      </c>
      <c r="AG172" s="17">
        <v>0</v>
      </c>
      <c r="AH172" s="17">
        <v>1.3</v>
      </c>
      <c r="AI172" s="17">
        <v>1</v>
      </c>
      <c r="AJ172" s="17">
        <v>2.5</v>
      </c>
      <c r="AK172" s="135">
        <v>0.2</v>
      </c>
      <c r="AL172" s="135">
        <v>0.2</v>
      </c>
      <c r="AM172" s="147">
        <f t="shared" si="4"/>
        <v>0.4</v>
      </c>
      <c r="AN172" s="10" t="s">
        <v>92</v>
      </c>
      <c r="AO172" s="18" t="s">
        <v>350</v>
      </c>
      <c r="AP172" s="10" t="s">
        <v>668</v>
      </c>
    </row>
    <row r="173" spans="1:42" x14ac:dyDescent="0.3">
      <c r="A173" s="9" t="s">
        <v>30</v>
      </c>
      <c r="B173" s="10" t="s">
        <v>31</v>
      </c>
      <c r="C173" s="11" t="s">
        <v>32</v>
      </c>
      <c r="D173" s="12" t="s">
        <v>33</v>
      </c>
      <c r="E173" s="11" t="s">
        <v>34</v>
      </c>
      <c r="F173" s="12" t="s">
        <v>35</v>
      </c>
      <c r="G173" s="11" t="s">
        <v>646</v>
      </c>
      <c r="H173" s="12" t="s">
        <v>647</v>
      </c>
      <c r="I173" s="12" t="s">
        <v>648</v>
      </c>
      <c r="J173" s="12" t="s">
        <v>649</v>
      </c>
      <c r="K173" s="11" t="s">
        <v>662</v>
      </c>
      <c r="L173" s="12" t="s">
        <v>663</v>
      </c>
      <c r="M173" s="18" t="s">
        <v>669</v>
      </c>
      <c r="N173" s="424">
        <v>8</v>
      </c>
      <c r="O173" s="18">
        <v>20</v>
      </c>
      <c r="P173" s="16">
        <v>30</v>
      </c>
      <c r="Q173" s="16">
        <v>50</v>
      </c>
      <c r="R173" s="136">
        <v>25</v>
      </c>
      <c r="S173" s="136">
        <v>25</v>
      </c>
      <c r="T173" s="10" t="s">
        <v>92</v>
      </c>
      <c r="U173" s="283" t="s">
        <v>118</v>
      </c>
      <c r="V173" s="10" t="s">
        <v>670</v>
      </c>
      <c r="W173" s="298">
        <v>1</v>
      </c>
      <c r="X173" s="298">
        <v>1</v>
      </c>
      <c r="Y173" s="298">
        <v>1</v>
      </c>
      <c r="Z173" s="299">
        <v>1</v>
      </c>
      <c r="AA173" s="299">
        <v>1</v>
      </c>
      <c r="AB173" s="300">
        <v>1</v>
      </c>
      <c r="AC173" s="301">
        <v>1</v>
      </c>
      <c r="AD173" s="301">
        <v>0</v>
      </c>
      <c r="AE173" s="302">
        <f t="shared" si="5"/>
        <v>0.875</v>
      </c>
      <c r="AF173" s="63">
        <v>0</v>
      </c>
      <c r="AG173" s="17">
        <v>0</v>
      </c>
      <c r="AH173" s="17">
        <v>0.5</v>
      </c>
      <c r="AI173" s="17">
        <v>0.6</v>
      </c>
      <c r="AJ173" s="17">
        <v>1</v>
      </c>
      <c r="AK173" s="135">
        <v>0.2</v>
      </c>
      <c r="AL173" s="135">
        <v>0.2</v>
      </c>
      <c r="AM173" s="147">
        <f t="shared" si="4"/>
        <v>0.4</v>
      </c>
      <c r="AN173" s="10" t="s">
        <v>92</v>
      </c>
      <c r="AO173" s="18" t="s">
        <v>350</v>
      </c>
      <c r="AP173" s="10" t="s">
        <v>193</v>
      </c>
    </row>
    <row r="174" spans="1:42" x14ac:dyDescent="0.3">
      <c r="A174" s="9" t="s">
        <v>30</v>
      </c>
      <c r="B174" s="10" t="s">
        <v>31</v>
      </c>
      <c r="C174" s="11" t="s">
        <v>32</v>
      </c>
      <c r="D174" s="12" t="s">
        <v>33</v>
      </c>
      <c r="E174" s="11" t="s">
        <v>34</v>
      </c>
      <c r="F174" s="12" t="s">
        <v>35</v>
      </c>
      <c r="G174" s="11" t="s">
        <v>646</v>
      </c>
      <c r="H174" s="12" t="s">
        <v>647</v>
      </c>
      <c r="I174" s="12" t="s">
        <v>648</v>
      </c>
      <c r="J174" s="12" t="s">
        <v>649</v>
      </c>
      <c r="K174" s="11" t="s">
        <v>662</v>
      </c>
      <c r="L174" s="12" t="s">
        <v>663</v>
      </c>
      <c r="M174" s="18" t="s">
        <v>671</v>
      </c>
      <c r="N174" s="424">
        <v>0</v>
      </c>
      <c r="O174" s="18">
        <v>2</v>
      </c>
      <c r="P174" s="16">
        <v>4</v>
      </c>
      <c r="Q174" s="16">
        <v>8</v>
      </c>
      <c r="R174" s="136">
        <v>4</v>
      </c>
      <c r="S174" s="136">
        <v>4</v>
      </c>
      <c r="T174" s="10" t="s">
        <v>92</v>
      </c>
      <c r="U174" s="283" t="s">
        <v>118</v>
      </c>
      <c r="V174" s="10" t="s">
        <v>672</v>
      </c>
      <c r="W174" s="298">
        <v>1</v>
      </c>
      <c r="X174" s="298">
        <v>1</v>
      </c>
      <c r="Y174" s="298">
        <v>1</v>
      </c>
      <c r="Z174" s="299">
        <v>1</v>
      </c>
      <c r="AA174" s="299">
        <v>1</v>
      </c>
      <c r="AB174" s="300">
        <v>1</v>
      </c>
      <c r="AC174" s="301">
        <v>1</v>
      </c>
      <c r="AD174" s="301">
        <v>0</v>
      </c>
      <c r="AE174" s="302">
        <f t="shared" si="5"/>
        <v>0.875</v>
      </c>
      <c r="AF174" s="63">
        <v>0</v>
      </c>
      <c r="AG174" s="17">
        <v>0</v>
      </c>
      <c r="AH174" s="17">
        <v>1.2</v>
      </c>
      <c r="AI174" s="17">
        <v>2</v>
      </c>
      <c r="AJ174" s="17">
        <v>2</v>
      </c>
      <c r="AK174" s="135">
        <v>0.6</v>
      </c>
      <c r="AL174" s="135">
        <v>0.6</v>
      </c>
      <c r="AM174" s="147">
        <f t="shared" si="4"/>
        <v>1.2</v>
      </c>
      <c r="AN174" s="10" t="s">
        <v>92</v>
      </c>
      <c r="AO174" s="18" t="s">
        <v>350</v>
      </c>
      <c r="AP174" s="10" t="s">
        <v>673</v>
      </c>
    </row>
    <row r="175" spans="1:42" x14ac:dyDescent="0.3">
      <c r="A175" s="9" t="s">
        <v>30</v>
      </c>
      <c r="B175" s="10" t="s">
        <v>31</v>
      </c>
      <c r="C175" s="11" t="s">
        <v>32</v>
      </c>
      <c r="D175" s="12" t="s">
        <v>33</v>
      </c>
      <c r="E175" s="11" t="s">
        <v>34</v>
      </c>
      <c r="F175" s="12" t="s">
        <v>35</v>
      </c>
      <c r="G175" s="11" t="s">
        <v>646</v>
      </c>
      <c r="H175" s="12" t="s">
        <v>647</v>
      </c>
      <c r="I175" s="12" t="s">
        <v>648</v>
      </c>
      <c r="J175" s="12" t="s">
        <v>649</v>
      </c>
      <c r="K175" s="11" t="s">
        <v>662</v>
      </c>
      <c r="L175" s="12" t="s">
        <v>663</v>
      </c>
      <c r="M175" s="18" t="s">
        <v>674</v>
      </c>
      <c r="N175" s="424">
        <v>30000</v>
      </c>
      <c r="O175" s="431">
        <v>45000</v>
      </c>
      <c r="P175" s="26">
        <v>45000</v>
      </c>
      <c r="Q175" s="26">
        <v>45000</v>
      </c>
      <c r="R175" s="137">
        <v>20000</v>
      </c>
      <c r="S175" s="137">
        <v>20000</v>
      </c>
      <c r="T175" s="10" t="s">
        <v>92</v>
      </c>
      <c r="U175" s="283" t="s">
        <v>118</v>
      </c>
      <c r="V175" s="10" t="s">
        <v>675</v>
      </c>
      <c r="W175" s="298">
        <v>1</v>
      </c>
      <c r="X175" s="298">
        <v>1</v>
      </c>
      <c r="Y175" s="298">
        <v>1</v>
      </c>
      <c r="Z175" s="299">
        <v>1</v>
      </c>
      <c r="AA175" s="299">
        <v>1</v>
      </c>
      <c r="AB175" s="300">
        <v>1</v>
      </c>
      <c r="AC175" s="301">
        <v>1</v>
      </c>
      <c r="AD175" s="301">
        <v>1</v>
      </c>
      <c r="AE175" s="302">
        <f t="shared" si="5"/>
        <v>1</v>
      </c>
      <c r="AF175" s="63">
        <v>0</v>
      </c>
      <c r="AG175" s="17">
        <v>0</v>
      </c>
      <c r="AH175" s="17">
        <v>3.5</v>
      </c>
      <c r="AI175" s="17">
        <v>6</v>
      </c>
      <c r="AJ175" s="17">
        <v>6</v>
      </c>
      <c r="AK175" s="135">
        <v>2</v>
      </c>
      <c r="AL175" s="135">
        <v>2</v>
      </c>
      <c r="AM175" s="147">
        <f t="shared" si="4"/>
        <v>4</v>
      </c>
      <c r="AN175" s="10" t="s">
        <v>92</v>
      </c>
      <c r="AO175" s="18" t="s">
        <v>350</v>
      </c>
      <c r="AP175" s="10" t="s">
        <v>676</v>
      </c>
    </row>
    <row r="176" spans="1:42" x14ac:dyDescent="0.3">
      <c r="A176" s="9" t="s">
        <v>30</v>
      </c>
      <c r="B176" s="10" t="s">
        <v>31</v>
      </c>
      <c r="C176" s="11" t="s">
        <v>32</v>
      </c>
      <c r="D176" s="12" t="s">
        <v>33</v>
      </c>
      <c r="E176" s="11" t="s">
        <v>34</v>
      </c>
      <c r="F176" s="12" t="s">
        <v>35</v>
      </c>
      <c r="G176" s="11" t="s">
        <v>646</v>
      </c>
      <c r="H176" s="12" t="s">
        <v>647</v>
      </c>
      <c r="I176" s="12" t="s">
        <v>648</v>
      </c>
      <c r="J176" s="12" t="s">
        <v>649</v>
      </c>
      <c r="K176" s="11" t="s">
        <v>662</v>
      </c>
      <c r="L176" s="12" t="s">
        <v>663</v>
      </c>
      <c r="M176" s="18" t="s">
        <v>677</v>
      </c>
      <c r="N176" s="424">
        <v>0</v>
      </c>
      <c r="O176" s="431">
        <v>200</v>
      </c>
      <c r="P176" s="26">
        <v>200</v>
      </c>
      <c r="Q176" s="26">
        <v>200</v>
      </c>
      <c r="R176" s="118">
        <v>200</v>
      </c>
      <c r="S176" s="118">
        <v>200</v>
      </c>
      <c r="T176" s="30" t="s">
        <v>92</v>
      </c>
      <c r="U176" s="283" t="s">
        <v>118</v>
      </c>
      <c r="V176" s="10" t="s">
        <v>678</v>
      </c>
      <c r="W176" s="298">
        <v>1</v>
      </c>
      <c r="X176" s="298">
        <v>1</v>
      </c>
      <c r="Y176" s="298">
        <v>1</v>
      </c>
      <c r="Z176" s="299">
        <v>1</v>
      </c>
      <c r="AA176" s="299">
        <v>1</v>
      </c>
      <c r="AB176" s="300">
        <v>1</v>
      </c>
      <c r="AC176" s="301">
        <v>1</v>
      </c>
      <c r="AD176" s="301">
        <v>0</v>
      </c>
      <c r="AE176" s="302">
        <f t="shared" si="5"/>
        <v>0.875</v>
      </c>
      <c r="AF176" s="63">
        <v>0</v>
      </c>
      <c r="AG176" s="17">
        <v>0</v>
      </c>
      <c r="AH176" s="17"/>
      <c r="AI176" s="17"/>
      <c r="AJ176" s="17"/>
      <c r="AK176" s="109"/>
      <c r="AL176" s="109"/>
      <c r="AM176" s="147">
        <f t="shared" si="4"/>
        <v>0</v>
      </c>
      <c r="AN176" s="10" t="s">
        <v>92</v>
      </c>
      <c r="AO176" s="18" t="s">
        <v>350</v>
      </c>
      <c r="AP176" s="10" t="s">
        <v>280</v>
      </c>
    </row>
    <row r="177" spans="1:42" x14ac:dyDescent="0.3">
      <c r="A177" s="9" t="s">
        <v>30</v>
      </c>
      <c r="B177" s="10" t="s">
        <v>31</v>
      </c>
      <c r="C177" s="11" t="s">
        <v>32</v>
      </c>
      <c r="D177" s="12" t="s">
        <v>33</v>
      </c>
      <c r="E177" s="11" t="s">
        <v>34</v>
      </c>
      <c r="F177" s="12" t="s">
        <v>35</v>
      </c>
      <c r="G177" s="11" t="s">
        <v>646</v>
      </c>
      <c r="H177" s="12" t="s">
        <v>647</v>
      </c>
      <c r="I177" s="12" t="s">
        <v>648</v>
      </c>
      <c r="J177" s="12" t="s">
        <v>649</v>
      </c>
      <c r="K177" s="11" t="s">
        <v>662</v>
      </c>
      <c r="L177" s="12" t="s">
        <v>663</v>
      </c>
      <c r="M177" s="18" t="s">
        <v>679</v>
      </c>
      <c r="N177" s="424">
        <v>0</v>
      </c>
      <c r="O177" s="431">
        <v>100</v>
      </c>
      <c r="P177" s="26">
        <v>100</v>
      </c>
      <c r="Q177" s="26">
        <v>100</v>
      </c>
      <c r="R177" s="118">
        <v>100</v>
      </c>
      <c r="S177" s="118">
        <v>100</v>
      </c>
      <c r="T177" s="30" t="s">
        <v>92</v>
      </c>
      <c r="U177" s="283" t="s">
        <v>118</v>
      </c>
      <c r="V177" s="10" t="s">
        <v>680</v>
      </c>
      <c r="W177" s="298">
        <v>1</v>
      </c>
      <c r="X177" s="298">
        <v>1</v>
      </c>
      <c r="Y177" s="298">
        <v>1</v>
      </c>
      <c r="Z177" s="299">
        <v>1</v>
      </c>
      <c r="AA177" s="299">
        <v>1</v>
      </c>
      <c r="AB177" s="300">
        <v>1</v>
      </c>
      <c r="AC177" s="301">
        <v>1</v>
      </c>
      <c r="AD177" s="301">
        <v>0</v>
      </c>
      <c r="AE177" s="302">
        <f t="shared" si="5"/>
        <v>0.875</v>
      </c>
      <c r="AF177" s="63">
        <v>0</v>
      </c>
      <c r="AG177" s="17">
        <v>0</v>
      </c>
      <c r="AH177" s="17"/>
      <c r="AI177" s="17"/>
      <c r="AJ177" s="17"/>
      <c r="AK177" s="109"/>
      <c r="AL177" s="109"/>
      <c r="AM177" s="147">
        <f t="shared" si="4"/>
        <v>0</v>
      </c>
      <c r="AN177" s="10" t="s">
        <v>92</v>
      </c>
      <c r="AO177" s="18" t="s">
        <v>350</v>
      </c>
      <c r="AP177" s="10" t="s">
        <v>681</v>
      </c>
    </row>
    <row r="178" spans="1:42" x14ac:dyDescent="0.3">
      <c r="A178" s="9" t="s">
        <v>30</v>
      </c>
      <c r="B178" s="10" t="s">
        <v>31</v>
      </c>
      <c r="C178" s="11" t="s">
        <v>32</v>
      </c>
      <c r="D178" s="12" t="s">
        <v>33</v>
      </c>
      <c r="E178" s="11" t="s">
        <v>34</v>
      </c>
      <c r="F178" s="12" t="s">
        <v>35</v>
      </c>
      <c r="G178" s="11" t="s">
        <v>646</v>
      </c>
      <c r="H178" s="12" t="s">
        <v>647</v>
      </c>
      <c r="I178" s="12" t="s">
        <v>682</v>
      </c>
      <c r="J178" s="12" t="s">
        <v>683</v>
      </c>
      <c r="K178" s="11" t="s">
        <v>684</v>
      </c>
      <c r="L178" s="12" t="s">
        <v>685</v>
      </c>
      <c r="M178" s="18" t="s">
        <v>686</v>
      </c>
      <c r="N178" s="424">
        <v>0</v>
      </c>
      <c r="O178" s="14">
        <v>500000</v>
      </c>
      <c r="P178" s="16">
        <v>2000000</v>
      </c>
      <c r="Q178" s="16">
        <v>2000000</v>
      </c>
      <c r="R178" s="110">
        <v>2000000</v>
      </c>
      <c r="S178" s="110">
        <v>1500000</v>
      </c>
      <c r="T178" s="10" t="s">
        <v>92</v>
      </c>
      <c r="U178" s="283" t="s">
        <v>118</v>
      </c>
      <c r="V178" s="10" t="s">
        <v>687</v>
      </c>
      <c r="W178" s="298">
        <v>0</v>
      </c>
      <c r="X178" s="298">
        <v>0</v>
      </c>
      <c r="Y178" s="298">
        <v>0</v>
      </c>
      <c r="Z178" s="299">
        <v>0</v>
      </c>
      <c r="AA178" s="299">
        <v>0</v>
      </c>
      <c r="AB178" s="300">
        <v>0</v>
      </c>
      <c r="AC178" s="301">
        <v>0</v>
      </c>
      <c r="AD178" s="301">
        <v>0</v>
      </c>
      <c r="AE178" s="302">
        <f t="shared" si="5"/>
        <v>0</v>
      </c>
      <c r="AF178" s="63">
        <v>1</v>
      </c>
      <c r="AG178" s="17">
        <v>0</v>
      </c>
      <c r="AH178" s="17"/>
      <c r="AI178" s="17"/>
      <c r="AJ178" s="17"/>
      <c r="AK178" s="109"/>
      <c r="AL178" s="109"/>
      <c r="AM178" s="147">
        <f t="shared" si="4"/>
        <v>0</v>
      </c>
      <c r="AN178" s="10" t="s">
        <v>92</v>
      </c>
      <c r="AO178" s="18" t="s">
        <v>350</v>
      </c>
      <c r="AP178" s="10" t="s">
        <v>688</v>
      </c>
    </row>
    <row r="179" spans="1:42" x14ac:dyDescent="0.3">
      <c r="A179" s="9" t="s">
        <v>30</v>
      </c>
      <c r="B179" s="10" t="s">
        <v>31</v>
      </c>
      <c r="C179" s="11" t="s">
        <v>32</v>
      </c>
      <c r="D179" s="12" t="s">
        <v>33</v>
      </c>
      <c r="E179" s="11" t="s">
        <v>34</v>
      </c>
      <c r="F179" s="12" t="s">
        <v>35</v>
      </c>
      <c r="G179" s="11" t="s">
        <v>646</v>
      </c>
      <c r="H179" s="12" t="s">
        <v>647</v>
      </c>
      <c r="I179" s="12" t="s">
        <v>689</v>
      </c>
      <c r="J179" s="12" t="s">
        <v>690</v>
      </c>
      <c r="K179" s="11" t="s">
        <v>691</v>
      </c>
      <c r="L179" s="12" t="s">
        <v>692</v>
      </c>
      <c r="M179" s="18" t="s">
        <v>693</v>
      </c>
      <c r="N179" s="424">
        <v>0</v>
      </c>
      <c r="O179" s="14">
        <v>0</v>
      </c>
      <c r="P179" s="16">
        <v>0</v>
      </c>
      <c r="Q179" s="16">
        <v>1000</v>
      </c>
      <c r="R179" s="110">
        <v>1000</v>
      </c>
      <c r="S179" s="110">
        <v>1000</v>
      </c>
      <c r="T179" s="10" t="s">
        <v>92</v>
      </c>
      <c r="U179" s="283" t="s">
        <v>118</v>
      </c>
      <c r="V179" s="10" t="s">
        <v>694</v>
      </c>
      <c r="W179" s="298">
        <v>1</v>
      </c>
      <c r="X179" s="298">
        <v>0</v>
      </c>
      <c r="Y179" s="298">
        <v>0</v>
      </c>
      <c r="Z179" s="299">
        <v>1</v>
      </c>
      <c r="AA179" s="299">
        <v>1</v>
      </c>
      <c r="AB179" s="300">
        <v>1</v>
      </c>
      <c r="AC179" s="301">
        <v>0</v>
      </c>
      <c r="AD179" s="301">
        <v>0</v>
      </c>
      <c r="AE179" s="302">
        <f t="shared" si="5"/>
        <v>0.5</v>
      </c>
      <c r="AF179" s="63">
        <v>0</v>
      </c>
      <c r="AG179" s="17">
        <v>0</v>
      </c>
      <c r="AH179" s="17"/>
      <c r="AI179" s="17"/>
      <c r="AJ179" s="17"/>
      <c r="AK179" s="109"/>
      <c r="AL179" s="109"/>
      <c r="AM179" s="147">
        <f t="shared" si="4"/>
        <v>0</v>
      </c>
      <c r="AN179" s="10" t="s">
        <v>92</v>
      </c>
      <c r="AO179" s="18" t="s">
        <v>350</v>
      </c>
      <c r="AP179" s="10" t="s">
        <v>407</v>
      </c>
    </row>
    <row r="180" spans="1:42" x14ac:dyDescent="0.3">
      <c r="A180" s="9" t="s">
        <v>30</v>
      </c>
      <c r="B180" s="10" t="s">
        <v>31</v>
      </c>
      <c r="C180" s="11" t="s">
        <v>32</v>
      </c>
      <c r="D180" s="12" t="s">
        <v>33</v>
      </c>
      <c r="E180" s="11" t="s">
        <v>34</v>
      </c>
      <c r="F180" s="12" t="s">
        <v>35</v>
      </c>
      <c r="G180" s="11" t="s">
        <v>646</v>
      </c>
      <c r="H180" s="12" t="s">
        <v>647</v>
      </c>
      <c r="I180" s="12" t="s">
        <v>695</v>
      </c>
      <c r="J180" s="12" t="s">
        <v>696</v>
      </c>
      <c r="K180" s="11" t="s">
        <v>697</v>
      </c>
      <c r="L180" s="12" t="s">
        <v>698</v>
      </c>
      <c r="M180" s="18" t="s">
        <v>699</v>
      </c>
      <c r="N180" s="424">
        <v>0</v>
      </c>
      <c r="O180" s="424">
        <v>0</v>
      </c>
      <c r="P180" s="16"/>
      <c r="Q180" s="16">
        <v>1</v>
      </c>
      <c r="R180" s="110">
        <v>1</v>
      </c>
      <c r="S180" s="110">
        <v>1</v>
      </c>
      <c r="T180" s="10" t="s">
        <v>67</v>
      </c>
      <c r="U180" s="283" t="s">
        <v>68</v>
      </c>
      <c r="V180" s="10" t="s">
        <v>700</v>
      </c>
      <c r="W180" s="298">
        <v>1</v>
      </c>
      <c r="X180" s="298">
        <v>0</v>
      </c>
      <c r="Y180" s="298">
        <v>0</v>
      </c>
      <c r="Z180" s="299">
        <v>1</v>
      </c>
      <c r="AA180" s="299">
        <v>1</v>
      </c>
      <c r="AB180" s="300">
        <v>1</v>
      </c>
      <c r="AC180" s="301">
        <v>1</v>
      </c>
      <c r="AD180" s="301">
        <v>0</v>
      </c>
      <c r="AE180" s="302">
        <f t="shared" si="5"/>
        <v>0.625</v>
      </c>
      <c r="AF180" s="63">
        <v>0</v>
      </c>
      <c r="AG180" s="17">
        <v>0</v>
      </c>
      <c r="AH180" s="17">
        <v>1.5</v>
      </c>
      <c r="AI180" s="17">
        <v>2.4</v>
      </c>
      <c r="AJ180" s="17">
        <v>4</v>
      </c>
      <c r="AK180" s="135">
        <v>1.2</v>
      </c>
      <c r="AL180" s="135">
        <v>1.2</v>
      </c>
      <c r="AM180" s="147">
        <f t="shared" si="4"/>
        <v>2.4</v>
      </c>
      <c r="AN180" s="18" t="s">
        <v>67</v>
      </c>
      <c r="AO180" s="18" t="s">
        <v>68</v>
      </c>
      <c r="AP180" s="10" t="s">
        <v>701</v>
      </c>
    </row>
    <row r="181" spans="1:42" x14ac:dyDescent="0.3">
      <c r="A181" s="9" t="s">
        <v>30</v>
      </c>
      <c r="B181" s="10" t="s">
        <v>31</v>
      </c>
      <c r="C181" s="11" t="s">
        <v>32</v>
      </c>
      <c r="D181" s="12" t="s">
        <v>33</v>
      </c>
      <c r="E181" s="11" t="s">
        <v>34</v>
      </c>
      <c r="F181" s="12" t="s">
        <v>35</v>
      </c>
      <c r="G181" s="11" t="s">
        <v>646</v>
      </c>
      <c r="H181" s="12" t="s">
        <v>647</v>
      </c>
      <c r="I181" s="12" t="s">
        <v>695</v>
      </c>
      <c r="J181" s="12" t="s">
        <v>696</v>
      </c>
      <c r="K181" s="11" t="s">
        <v>702</v>
      </c>
      <c r="L181" s="12" t="s">
        <v>703</v>
      </c>
      <c r="M181" s="18" t="s">
        <v>704</v>
      </c>
      <c r="N181" s="424">
        <v>0</v>
      </c>
      <c r="O181" s="14">
        <v>0</v>
      </c>
      <c r="P181" s="16">
        <v>1</v>
      </c>
      <c r="Q181" s="16">
        <v>1</v>
      </c>
      <c r="R181" s="136">
        <v>1</v>
      </c>
      <c r="S181" s="136"/>
      <c r="T181" s="10" t="s">
        <v>92</v>
      </c>
      <c r="U181" s="283" t="s">
        <v>118</v>
      </c>
      <c r="V181" s="10" t="s">
        <v>705</v>
      </c>
      <c r="W181" s="298">
        <v>1</v>
      </c>
      <c r="X181" s="298">
        <v>0</v>
      </c>
      <c r="Y181" s="298">
        <v>0</v>
      </c>
      <c r="Z181" s="299">
        <v>1</v>
      </c>
      <c r="AA181" s="299">
        <v>1</v>
      </c>
      <c r="AB181" s="300">
        <v>1</v>
      </c>
      <c r="AC181" s="301">
        <v>1</v>
      </c>
      <c r="AD181" s="301">
        <v>0</v>
      </c>
      <c r="AE181" s="302">
        <f t="shared" si="5"/>
        <v>0.625</v>
      </c>
      <c r="AF181" s="63">
        <v>0</v>
      </c>
      <c r="AG181" s="17">
        <v>0</v>
      </c>
      <c r="AH181" s="17">
        <v>0.5</v>
      </c>
      <c r="AI181" s="17">
        <v>1</v>
      </c>
      <c r="AJ181" s="17">
        <v>1</v>
      </c>
      <c r="AK181" s="135">
        <v>1</v>
      </c>
      <c r="AL181" s="109"/>
      <c r="AM181" s="147">
        <f t="shared" si="4"/>
        <v>1</v>
      </c>
      <c r="AN181" s="10" t="s">
        <v>92</v>
      </c>
      <c r="AO181" s="18" t="s">
        <v>118</v>
      </c>
      <c r="AP181" s="10" t="s">
        <v>706</v>
      </c>
    </row>
    <row r="182" spans="1:42" x14ac:dyDescent="0.3">
      <c r="A182" s="9" t="s">
        <v>30</v>
      </c>
      <c r="B182" s="10" t="s">
        <v>31</v>
      </c>
      <c r="C182" s="11" t="s">
        <v>32</v>
      </c>
      <c r="D182" s="12" t="s">
        <v>33</v>
      </c>
      <c r="E182" s="11" t="s">
        <v>34</v>
      </c>
      <c r="F182" s="12" t="s">
        <v>35</v>
      </c>
      <c r="G182" s="11" t="s">
        <v>646</v>
      </c>
      <c r="H182" s="12" t="s">
        <v>647</v>
      </c>
      <c r="I182" s="12" t="s">
        <v>695</v>
      </c>
      <c r="J182" s="12" t="s">
        <v>696</v>
      </c>
      <c r="K182" s="11" t="s">
        <v>707</v>
      </c>
      <c r="L182" s="12" t="s">
        <v>708</v>
      </c>
      <c r="M182" s="18" t="s">
        <v>531</v>
      </c>
      <c r="N182" s="424">
        <v>0</v>
      </c>
      <c r="O182" s="14">
        <v>0</v>
      </c>
      <c r="P182" s="16">
        <v>0</v>
      </c>
      <c r="Q182" s="16">
        <v>10</v>
      </c>
      <c r="R182" s="110">
        <v>10</v>
      </c>
      <c r="S182" s="110">
        <v>10</v>
      </c>
      <c r="T182" s="10" t="s">
        <v>92</v>
      </c>
      <c r="U182" s="283" t="s">
        <v>118</v>
      </c>
      <c r="V182" s="10" t="s">
        <v>709</v>
      </c>
      <c r="W182" s="298">
        <v>1</v>
      </c>
      <c r="X182" s="298">
        <v>0</v>
      </c>
      <c r="Y182" s="298">
        <v>0</v>
      </c>
      <c r="Z182" s="299">
        <v>1</v>
      </c>
      <c r="AA182" s="299">
        <v>1</v>
      </c>
      <c r="AB182" s="300">
        <v>1</v>
      </c>
      <c r="AC182" s="301">
        <v>1</v>
      </c>
      <c r="AD182" s="301">
        <v>0</v>
      </c>
      <c r="AE182" s="302">
        <f t="shared" si="5"/>
        <v>0.625</v>
      </c>
      <c r="AF182" s="63">
        <v>0</v>
      </c>
      <c r="AG182" s="17">
        <v>0</v>
      </c>
      <c r="AH182" s="17"/>
      <c r="AI182" s="17"/>
      <c r="AJ182" s="17"/>
      <c r="AK182" s="109"/>
      <c r="AL182" s="109"/>
      <c r="AM182" s="147">
        <f t="shared" si="4"/>
        <v>0</v>
      </c>
      <c r="AN182" s="10" t="s">
        <v>92</v>
      </c>
      <c r="AO182" s="18" t="s">
        <v>350</v>
      </c>
      <c r="AP182" s="10" t="s">
        <v>407</v>
      </c>
    </row>
    <row r="183" spans="1:42" x14ac:dyDescent="0.3">
      <c r="A183" s="9" t="s">
        <v>30</v>
      </c>
      <c r="B183" s="10" t="s">
        <v>31</v>
      </c>
      <c r="C183" s="11" t="s">
        <v>32</v>
      </c>
      <c r="D183" s="12" t="s">
        <v>33</v>
      </c>
      <c r="E183" s="11" t="s">
        <v>34</v>
      </c>
      <c r="F183" s="12" t="s">
        <v>35</v>
      </c>
      <c r="G183" s="11" t="s">
        <v>646</v>
      </c>
      <c r="H183" s="12" t="s">
        <v>647</v>
      </c>
      <c r="I183" s="12" t="s">
        <v>710</v>
      </c>
      <c r="J183" s="12" t="s">
        <v>711</v>
      </c>
      <c r="K183" s="11" t="s">
        <v>712</v>
      </c>
      <c r="L183" s="12" t="s">
        <v>713</v>
      </c>
      <c r="M183" s="18" t="s">
        <v>714</v>
      </c>
      <c r="N183" s="424">
        <v>0</v>
      </c>
      <c r="O183" s="14">
        <v>0</v>
      </c>
      <c r="P183" s="16">
        <v>0</v>
      </c>
      <c r="Q183" s="16">
        <v>1000</v>
      </c>
      <c r="R183" s="110">
        <v>1000</v>
      </c>
      <c r="S183" s="110">
        <v>1000</v>
      </c>
      <c r="T183" s="10" t="s">
        <v>92</v>
      </c>
      <c r="U183" s="283" t="s">
        <v>118</v>
      </c>
      <c r="V183" s="10" t="s">
        <v>715</v>
      </c>
      <c r="W183" s="298">
        <v>1</v>
      </c>
      <c r="X183" s="298">
        <v>0</v>
      </c>
      <c r="Y183" s="298">
        <v>0</v>
      </c>
      <c r="Z183" s="299">
        <v>1</v>
      </c>
      <c r="AA183" s="299">
        <v>1</v>
      </c>
      <c r="AB183" s="300">
        <v>0</v>
      </c>
      <c r="AC183" s="301">
        <v>1</v>
      </c>
      <c r="AD183" s="301">
        <v>0</v>
      </c>
      <c r="AE183" s="302">
        <f t="shared" si="5"/>
        <v>0.5</v>
      </c>
      <c r="AF183" s="63">
        <v>0</v>
      </c>
      <c r="AG183" s="17">
        <v>0</v>
      </c>
      <c r="AH183" s="17"/>
      <c r="AI183" s="17"/>
      <c r="AJ183" s="17"/>
      <c r="AK183" s="109"/>
      <c r="AL183" s="109"/>
      <c r="AM183" s="147">
        <f t="shared" si="4"/>
        <v>0</v>
      </c>
      <c r="AN183" s="10" t="s">
        <v>92</v>
      </c>
      <c r="AO183" s="18" t="s">
        <v>350</v>
      </c>
      <c r="AP183" s="10" t="s">
        <v>407</v>
      </c>
    </row>
    <row r="184" spans="1:42" x14ac:dyDescent="0.3">
      <c r="A184" s="9" t="s">
        <v>30</v>
      </c>
      <c r="B184" s="10" t="s">
        <v>31</v>
      </c>
      <c r="C184" s="11" t="s">
        <v>32</v>
      </c>
      <c r="D184" s="12" t="s">
        <v>33</v>
      </c>
      <c r="E184" s="11" t="s">
        <v>34</v>
      </c>
      <c r="F184" s="12" t="s">
        <v>35</v>
      </c>
      <c r="G184" s="11" t="s">
        <v>716</v>
      </c>
      <c r="H184" s="12" t="s">
        <v>717</v>
      </c>
      <c r="I184" s="12" t="s">
        <v>718</v>
      </c>
      <c r="J184" s="12" t="s">
        <v>719</v>
      </c>
      <c r="K184" s="11" t="s">
        <v>720</v>
      </c>
      <c r="L184" s="12" t="s">
        <v>721</v>
      </c>
      <c r="M184" s="18" t="s">
        <v>722</v>
      </c>
      <c r="N184" s="424">
        <v>0</v>
      </c>
      <c r="O184" s="424">
        <v>0</v>
      </c>
      <c r="P184" s="20">
        <v>0</v>
      </c>
      <c r="Q184" s="20">
        <v>1</v>
      </c>
      <c r="R184" s="114">
        <v>2</v>
      </c>
      <c r="S184" s="114">
        <v>0</v>
      </c>
      <c r="T184" s="35" t="s">
        <v>723</v>
      </c>
      <c r="U184" s="283" t="s">
        <v>729</v>
      </c>
      <c r="V184" s="18" t="s">
        <v>724</v>
      </c>
      <c r="W184" s="298">
        <v>1</v>
      </c>
      <c r="X184" s="298">
        <v>0</v>
      </c>
      <c r="Y184" s="298">
        <v>0</v>
      </c>
      <c r="Z184" s="299">
        <v>1</v>
      </c>
      <c r="AA184" s="299">
        <v>1</v>
      </c>
      <c r="AB184" s="300">
        <v>1</v>
      </c>
      <c r="AC184" s="301">
        <v>0</v>
      </c>
      <c r="AD184" s="301">
        <v>0</v>
      </c>
      <c r="AE184" s="302">
        <f t="shared" si="5"/>
        <v>0.5</v>
      </c>
      <c r="AF184" s="63">
        <v>0</v>
      </c>
      <c r="AG184" s="17">
        <v>0</v>
      </c>
      <c r="AH184" s="36"/>
      <c r="AI184" s="36"/>
      <c r="AJ184" s="36"/>
      <c r="AK184" s="124"/>
      <c r="AL184" s="124"/>
      <c r="AM184" s="147">
        <f t="shared" si="4"/>
        <v>0</v>
      </c>
      <c r="AN184" s="18" t="s">
        <v>92</v>
      </c>
      <c r="AO184" s="18" t="s">
        <v>350</v>
      </c>
      <c r="AP184" s="16" t="s">
        <v>723</v>
      </c>
    </row>
    <row r="185" spans="1:42" x14ac:dyDescent="0.3">
      <c r="A185" s="9" t="s">
        <v>30</v>
      </c>
      <c r="B185" s="10" t="s">
        <v>31</v>
      </c>
      <c r="C185" s="11" t="s">
        <v>32</v>
      </c>
      <c r="D185" s="12" t="s">
        <v>33</v>
      </c>
      <c r="E185" s="11" t="s">
        <v>34</v>
      </c>
      <c r="F185" s="12" t="s">
        <v>35</v>
      </c>
      <c r="G185" s="11" t="s">
        <v>716</v>
      </c>
      <c r="H185" s="12" t="s">
        <v>717</v>
      </c>
      <c r="I185" s="12" t="s">
        <v>718</v>
      </c>
      <c r="J185" s="12" t="s">
        <v>719</v>
      </c>
      <c r="K185" s="11" t="s">
        <v>720</v>
      </c>
      <c r="L185" s="12" t="s">
        <v>721</v>
      </c>
      <c r="M185" s="18" t="s">
        <v>725</v>
      </c>
      <c r="N185" s="424">
        <v>0</v>
      </c>
      <c r="O185" s="424">
        <v>0</v>
      </c>
      <c r="P185" s="20">
        <v>0</v>
      </c>
      <c r="Q185" s="20">
        <v>1</v>
      </c>
      <c r="R185" s="114">
        <v>2</v>
      </c>
      <c r="S185" s="114">
        <v>0</v>
      </c>
      <c r="T185" s="35" t="s">
        <v>723</v>
      </c>
      <c r="U185" s="283" t="s">
        <v>729</v>
      </c>
      <c r="V185" s="18" t="s">
        <v>726</v>
      </c>
      <c r="W185" s="298">
        <v>1</v>
      </c>
      <c r="X185" s="298">
        <v>0</v>
      </c>
      <c r="Y185" s="298">
        <v>0</v>
      </c>
      <c r="Z185" s="299">
        <v>1</v>
      </c>
      <c r="AA185" s="299">
        <v>0</v>
      </c>
      <c r="AB185" s="300">
        <v>1</v>
      </c>
      <c r="AC185" s="301">
        <v>0</v>
      </c>
      <c r="AD185" s="301">
        <v>0</v>
      </c>
      <c r="AE185" s="302">
        <f t="shared" si="5"/>
        <v>0.375</v>
      </c>
      <c r="AF185" s="63">
        <v>0</v>
      </c>
      <c r="AG185" s="17">
        <v>0</v>
      </c>
      <c r="AH185" s="36"/>
      <c r="AI185" s="36"/>
      <c r="AJ185" s="36"/>
      <c r="AK185" s="124"/>
      <c r="AL185" s="124"/>
      <c r="AM185" s="147">
        <f t="shared" si="4"/>
        <v>0</v>
      </c>
      <c r="AN185" s="18" t="s">
        <v>92</v>
      </c>
      <c r="AO185" s="18" t="s">
        <v>350</v>
      </c>
      <c r="AP185" s="16" t="s">
        <v>723</v>
      </c>
    </row>
    <row r="186" spans="1:42" x14ac:dyDescent="0.3">
      <c r="A186" s="9" t="s">
        <v>30</v>
      </c>
      <c r="B186" s="10" t="s">
        <v>31</v>
      </c>
      <c r="C186" s="11" t="s">
        <v>32</v>
      </c>
      <c r="D186" s="12" t="s">
        <v>33</v>
      </c>
      <c r="E186" s="11" t="s">
        <v>34</v>
      </c>
      <c r="F186" s="12" t="s">
        <v>35</v>
      </c>
      <c r="G186" s="11" t="s">
        <v>716</v>
      </c>
      <c r="H186" s="12" t="s">
        <v>717</v>
      </c>
      <c r="I186" s="12" t="s">
        <v>718</v>
      </c>
      <c r="J186" s="12" t="s">
        <v>719</v>
      </c>
      <c r="K186" s="11" t="s">
        <v>720</v>
      </c>
      <c r="L186" s="12" t="s">
        <v>721</v>
      </c>
      <c r="M186" s="18" t="s">
        <v>727</v>
      </c>
      <c r="N186" s="424">
        <v>0</v>
      </c>
      <c r="O186" s="424"/>
      <c r="P186" s="20"/>
      <c r="Q186" s="20"/>
      <c r="R186" s="114"/>
      <c r="S186" s="114"/>
      <c r="T186" s="35" t="s">
        <v>723</v>
      </c>
      <c r="U186" s="283" t="s">
        <v>729</v>
      </c>
      <c r="V186" s="18" t="s">
        <v>728</v>
      </c>
      <c r="W186" s="298">
        <v>1</v>
      </c>
      <c r="X186" s="298">
        <v>0</v>
      </c>
      <c r="Y186" s="298">
        <v>0</v>
      </c>
      <c r="Z186" s="299">
        <v>1</v>
      </c>
      <c r="AA186" s="299">
        <v>1</v>
      </c>
      <c r="AB186" s="300">
        <v>1</v>
      </c>
      <c r="AC186" s="301">
        <v>1</v>
      </c>
      <c r="AD186" s="301">
        <v>0</v>
      </c>
      <c r="AE186" s="302">
        <f t="shared" si="5"/>
        <v>0.625</v>
      </c>
      <c r="AF186" s="63">
        <v>0</v>
      </c>
      <c r="AG186" s="17">
        <v>0</v>
      </c>
      <c r="AH186" s="36"/>
      <c r="AI186" s="36"/>
      <c r="AJ186" s="36"/>
      <c r="AK186" s="124"/>
      <c r="AL186" s="138">
        <v>0.15</v>
      </c>
      <c r="AM186" s="147">
        <f t="shared" si="4"/>
        <v>0.15</v>
      </c>
      <c r="AN186" s="18" t="s">
        <v>723</v>
      </c>
      <c r="AO186" s="18" t="s">
        <v>729</v>
      </c>
      <c r="AP186" s="16" t="s">
        <v>92</v>
      </c>
    </row>
    <row r="187" spans="1:42" x14ac:dyDescent="0.3">
      <c r="A187" s="9" t="s">
        <v>30</v>
      </c>
      <c r="B187" s="10" t="s">
        <v>31</v>
      </c>
      <c r="C187" s="11" t="s">
        <v>32</v>
      </c>
      <c r="D187" s="12" t="s">
        <v>33</v>
      </c>
      <c r="E187" s="11" t="s">
        <v>34</v>
      </c>
      <c r="F187" s="12" t="s">
        <v>35</v>
      </c>
      <c r="G187" s="11" t="s">
        <v>716</v>
      </c>
      <c r="H187" s="12" t="s">
        <v>717</v>
      </c>
      <c r="I187" s="12" t="s">
        <v>730</v>
      </c>
      <c r="J187" s="12" t="s">
        <v>726</v>
      </c>
      <c r="K187" s="11" t="s">
        <v>731</v>
      </c>
      <c r="L187" s="12" t="s">
        <v>732</v>
      </c>
      <c r="M187" s="18" t="s">
        <v>733</v>
      </c>
      <c r="N187" s="424"/>
      <c r="O187" s="424"/>
      <c r="P187" s="20"/>
      <c r="Q187" s="20"/>
      <c r="R187" s="114"/>
      <c r="S187" s="114"/>
      <c r="T187" s="35" t="s">
        <v>723</v>
      </c>
      <c r="U187" s="283" t="s">
        <v>729</v>
      </c>
      <c r="V187" s="18" t="s">
        <v>732</v>
      </c>
      <c r="W187" s="298">
        <v>1</v>
      </c>
      <c r="X187" s="298">
        <v>0</v>
      </c>
      <c r="Y187" s="298">
        <v>0</v>
      </c>
      <c r="Z187" s="299">
        <v>1</v>
      </c>
      <c r="AA187" s="299">
        <v>1</v>
      </c>
      <c r="AB187" s="300">
        <v>0</v>
      </c>
      <c r="AC187" s="301">
        <v>1</v>
      </c>
      <c r="AD187" s="301">
        <v>0</v>
      </c>
      <c r="AE187" s="302">
        <f t="shared" si="5"/>
        <v>0.5</v>
      </c>
      <c r="AF187" s="63">
        <v>0</v>
      </c>
      <c r="AG187" s="17">
        <v>0</v>
      </c>
      <c r="AH187" s="17"/>
      <c r="AI187" s="17"/>
      <c r="AJ187" s="17"/>
      <c r="AK187" s="109"/>
      <c r="AL187" s="109"/>
      <c r="AM187" s="147">
        <f t="shared" si="4"/>
        <v>0</v>
      </c>
      <c r="AN187" s="18" t="s">
        <v>723</v>
      </c>
      <c r="AO187" s="18" t="s">
        <v>734</v>
      </c>
      <c r="AP187" s="16" t="s">
        <v>92</v>
      </c>
    </row>
    <row r="188" spans="1:42" x14ac:dyDescent="0.3">
      <c r="A188" s="9" t="s">
        <v>30</v>
      </c>
      <c r="B188" s="10" t="s">
        <v>31</v>
      </c>
      <c r="C188" s="11" t="s">
        <v>32</v>
      </c>
      <c r="D188" s="12" t="s">
        <v>33</v>
      </c>
      <c r="E188" s="11" t="s">
        <v>34</v>
      </c>
      <c r="F188" s="12" t="s">
        <v>35</v>
      </c>
      <c r="G188" s="11" t="s">
        <v>716</v>
      </c>
      <c r="H188" s="12" t="s">
        <v>717</v>
      </c>
      <c r="I188" s="12" t="s">
        <v>735</v>
      </c>
      <c r="J188" s="12" t="s">
        <v>736</v>
      </c>
      <c r="K188" s="11" t="s">
        <v>737</v>
      </c>
      <c r="L188" s="12" t="s">
        <v>738</v>
      </c>
      <c r="M188" s="14" t="s">
        <v>738</v>
      </c>
      <c r="N188" s="14" t="s">
        <v>738</v>
      </c>
      <c r="O188" s="14" t="s">
        <v>738</v>
      </c>
      <c r="P188" s="12" t="s">
        <v>738</v>
      </c>
      <c r="Q188" s="12" t="s">
        <v>738</v>
      </c>
      <c r="R188" s="119" t="s">
        <v>738</v>
      </c>
      <c r="S188" s="119" t="s">
        <v>738</v>
      </c>
      <c r="T188" s="12" t="s">
        <v>738</v>
      </c>
      <c r="U188" s="12" t="s">
        <v>738</v>
      </c>
      <c r="V188" s="12" t="s">
        <v>739</v>
      </c>
      <c r="W188" s="298">
        <v>1</v>
      </c>
      <c r="X188" s="298">
        <v>0</v>
      </c>
      <c r="Y188" s="298">
        <v>0</v>
      </c>
      <c r="Z188" s="299">
        <v>1</v>
      </c>
      <c r="AA188" s="299">
        <v>1</v>
      </c>
      <c r="AB188" s="300">
        <v>1</v>
      </c>
      <c r="AC188" s="301">
        <v>1</v>
      </c>
      <c r="AD188" s="301">
        <v>0</v>
      </c>
      <c r="AE188" s="302">
        <f t="shared" si="5"/>
        <v>0.625</v>
      </c>
      <c r="AF188" s="63">
        <v>0</v>
      </c>
      <c r="AG188" s="17">
        <v>0</v>
      </c>
      <c r="AH188" s="17"/>
      <c r="AI188" s="17"/>
      <c r="AJ188" s="17"/>
      <c r="AK188" s="109"/>
      <c r="AL188" s="109"/>
      <c r="AM188" s="147">
        <f t="shared" si="4"/>
        <v>0</v>
      </c>
      <c r="AN188" s="18" t="s">
        <v>723</v>
      </c>
      <c r="AO188" s="18" t="s">
        <v>740</v>
      </c>
      <c r="AP188" s="16" t="s">
        <v>92</v>
      </c>
    </row>
    <row r="189" spans="1:42" x14ac:dyDescent="0.3">
      <c r="A189" s="9" t="s">
        <v>30</v>
      </c>
      <c r="B189" s="10" t="s">
        <v>31</v>
      </c>
      <c r="C189" s="11" t="s">
        <v>32</v>
      </c>
      <c r="D189" s="12" t="s">
        <v>33</v>
      </c>
      <c r="E189" s="11" t="s">
        <v>34</v>
      </c>
      <c r="F189" s="12" t="s">
        <v>35</v>
      </c>
      <c r="G189" s="11" t="s">
        <v>716</v>
      </c>
      <c r="H189" s="12" t="s">
        <v>717</v>
      </c>
      <c r="I189" s="12" t="s">
        <v>741</v>
      </c>
      <c r="J189" s="12" t="s">
        <v>742</v>
      </c>
      <c r="K189" s="11" t="s">
        <v>743</v>
      </c>
      <c r="L189" s="12" t="s">
        <v>744</v>
      </c>
      <c r="M189" s="18" t="s">
        <v>745</v>
      </c>
      <c r="N189" s="424">
        <v>0</v>
      </c>
      <c r="O189" s="424"/>
      <c r="P189" s="20"/>
      <c r="Q189" s="20"/>
      <c r="R189" s="114"/>
      <c r="S189" s="114"/>
      <c r="T189" s="35" t="s">
        <v>723</v>
      </c>
      <c r="U189" s="283" t="s">
        <v>729</v>
      </c>
      <c r="V189" s="18" t="s">
        <v>746</v>
      </c>
      <c r="W189" s="298">
        <v>1</v>
      </c>
      <c r="X189" s="298">
        <v>0</v>
      </c>
      <c r="Y189" s="298">
        <v>0</v>
      </c>
      <c r="Z189" s="299">
        <v>1</v>
      </c>
      <c r="AA189" s="299">
        <v>1</v>
      </c>
      <c r="AB189" s="300">
        <v>1</v>
      </c>
      <c r="AC189" s="301">
        <v>1</v>
      </c>
      <c r="AD189" s="301">
        <v>0</v>
      </c>
      <c r="AE189" s="302">
        <f t="shared" si="5"/>
        <v>0.625</v>
      </c>
      <c r="AF189" s="63">
        <v>0</v>
      </c>
      <c r="AG189" s="17">
        <v>0</v>
      </c>
      <c r="AH189" s="36"/>
      <c r="AI189" s="36"/>
      <c r="AJ189" s="36"/>
      <c r="AK189" s="124"/>
      <c r="AL189" s="124"/>
      <c r="AM189" s="147">
        <f t="shared" si="4"/>
        <v>0</v>
      </c>
      <c r="AN189" s="18" t="s">
        <v>723</v>
      </c>
      <c r="AO189" s="18" t="s">
        <v>729</v>
      </c>
      <c r="AP189" s="16" t="s">
        <v>92</v>
      </c>
    </row>
    <row r="190" spans="1:42" x14ac:dyDescent="0.3">
      <c r="A190" s="9" t="s">
        <v>30</v>
      </c>
      <c r="B190" s="10" t="s">
        <v>31</v>
      </c>
      <c r="C190" s="11" t="s">
        <v>32</v>
      </c>
      <c r="D190" s="12" t="s">
        <v>33</v>
      </c>
      <c r="E190" s="11" t="s">
        <v>34</v>
      </c>
      <c r="F190" s="12" t="s">
        <v>35</v>
      </c>
      <c r="G190" s="11" t="s">
        <v>716</v>
      </c>
      <c r="H190" s="12" t="s">
        <v>717</v>
      </c>
      <c r="I190" s="12" t="s">
        <v>747</v>
      </c>
      <c r="J190" s="12" t="s">
        <v>748</v>
      </c>
      <c r="K190" s="11" t="s">
        <v>749</v>
      </c>
      <c r="L190" s="12" t="s">
        <v>750</v>
      </c>
      <c r="M190" s="18" t="s">
        <v>751</v>
      </c>
      <c r="N190" s="424">
        <v>0</v>
      </c>
      <c r="O190" s="424"/>
      <c r="P190" s="20"/>
      <c r="Q190" s="20"/>
      <c r="R190" s="114"/>
      <c r="S190" s="114"/>
      <c r="T190" s="35" t="s">
        <v>723</v>
      </c>
      <c r="U190" s="283" t="s">
        <v>729</v>
      </c>
      <c r="V190" s="18" t="s">
        <v>752</v>
      </c>
      <c r="W190" s="298">
        <v>1</v>
      </c>
      <c r="X190" s="298">
        <v>0</v>
      </c>
      <c r="Y190" s="298">
        <v>0</v>
      </c>
      <c r="Z190" s="299">
        <v>1</v>
      </c>
      <c r="AA190" s="299">
        <v>1</v>
      </c>
      <c r="AB190" s="300">
        <v>0</v>
      </c>
      <c r="AC190" s="301">
        <v>1</v>
      </c>
      <c r="AD190" s="301">
        <v>0</v>
      </c>
      <c r="AE190" s="302">
        <f t="shared" si="5"/>
        <v>0.5</v>
      </c>
      <c r="AF190" s="63">
        <v>0</v>
      </c>
      <c r="AG190" s="17">
        <v>0</v>
      </c>
      <c r="AH190" s="36"/>
      <c r="AI190" s="36"/>
      <c r="AJ190" s="36"/>
      <c r="AK190" s="124"/>
      <c r="AL190" s="124"/>
      <c r="AM190" s="147">
        <f t="shared" si="4"/>
        <v>0</v>
      </c>
      <c r="AN190" s="18" t="s">
        <v>723</v>
      </c>
      <c r="AO190" s="18" t="s">
        <v>729</v>
      </c>
      <c r="AP190" s="16" t="s">
        <v>92</v>
      </c>
    </row>
    <row r="191" spans="1:42" x14ac:dyDescent="0.3">
      <c r="A191" s="9" t="s">
        <v>30</v>
      </c>
      <c r="B191" s="10" t="s">
        <v>31</v>
      </c>
      <c r="C191" s="11" t="s">
        <v>32</v>
      </c>
      <c r="D191" s="12" t="s">
        <v>33</v>
      </c>
      <c r="E191" s="11" t="s">
        <v>34</v>
      </c>
      <c r="F191" s="12" t="s">
        <v>35</v>
      </c>
      <c r="G191" s="11" t="s">
        <v>753</v>
      </c>
      <c r="H191" s="12" t="s">
        <v>754</v>
      </c>
      <c r="I191" s="12"/>
      <c r="J191" s="12"/>
      <c r="K191" s="11" t="s">
        <v>755</v>
      </c>
      <c r="L191" s="12" t="s">
        <v>756</v>
      </c>
      <c r="M191" s="18" t="s">
        <v>757</v>
      </c>
      <c r="N191" s="424"/>
      <c r="O191" s="176">
        <v>0</v>
      </c>
      <c r="P191" s="16">
        <v>1</v>
      </c>
      <c r="Q191" s="16">
        <v>1</v>
      </c>
      <c r="R191" s="110">
        <v>1</v>
      </c>
      <c r="S191" s="110">
        <v>1</v>
      </c>
      <c r="T191" s="10" t="s">
        <v>758</v>
      </c>
      <c r="U191" s="283" t="s">
        <v>760</v>
      </c>
      <c r="V191" s="18" t="s">
        <v>759</v>
      </c>
      <c r="W191" s="298">
        <v>1</v>
      </c>
      <c r="X191" s="298">
        <v>1</v>
      </c>
      <c r="Y191" s="298">
        <v>1</v>
      </c>
      <c r="Z191" s="299">
        <v>1</v>
      </c>
      <c r="AA191" s="299">
        <v>1</v>
      </c>
      <c r="AB191" s="300">
        <v>1</v>
      </c>
      <c r="AC191" s="301">
        <v>1</v>
      </c>
      <c r="AD191" s="301">
        <v>0</v>
      </c>
      <c r="AE191" s="302">
        <f t="shared" si="5"/>
        <v>0.875</v>
      </c>
      <c r="AF191" s="63">
        <v>0</v>
      </c>
      <c r="AG191" s="17">
        <v>0</v>
      </c>
      <c r="AH191" s="17">
        <v>0</v>
      </c>
      <c r="AI191" s="36">
        <v>5</v>
      </c>
      <c r="AJ191" s="36">
        <v>3</v>
      </c>
      <c r="AK191" s="138">
        <v>1.5</v>
      </c>
      <c r="AL191" s="138">
        <v>1.5</v>
      </c>
      <c r="AM191" s="147">
        <f t="shared" si="4"/>
        <v>3</v>
      </c>
      <c r="AN191" s="18" t="s">
        <v>758</v>
      </c>
      <c r="AO191" s="18" t="s">
        <v>760</v>
      </c>
      <c r="AP191" s="16" t="s">
        <v>761</v>
      </c>
    </row>
    <row r="192" spans="1:42" x14ac:dyDescent="0.3">
      <c r="A192" s="9" t="s">
        <v>30</v>
      </c>
      <c r="B192" s="10" t="s">
        <v>31</v>
      </c>
      <c r="C192" s="11" t="s">
        <v>32</v>
      </c>
      <c r="D192" s="12" t="s">
        <v>33</v>
      </c>
      <c r="E192" s="11" t="s">
        <v>34</v>
      </c>
      <c r="F192" s="12" t="s">
        <v>35</v>
      </c>
      <c r="G192" s="11" t="s">
        <v>753</v>
      </c>
      <c r="H192" s="12" t="s">
        <v>754</v>
      </c>
      <c r="I192" s="12"/>
      <c r="J192" s="12"/>
      <c r="K192" s="11" t="s">
        <v>762</v>
      </c>
      <c r="L192" s="12" t="s">
        <v>763</v>
      </c>
      <c r="M192" s="18" t="s">
        <v>764</v>
      </c>
      <c r="N192" s="424">
        <v>0</v>
      </c>
      <c r="O192" s="18">
        <v>5</v>
      </c>
      <c r="P192" s="16">
        <v>15</v>
      </c>
      <c r="Q192" s="16">
        <v>27</v>
      </c>
      <c r="R192" s="110"/>
      <c r="S192" s="110"/>
      <c r="T192" s="10" t="s">
        <v>758</v>
      </c>
      <c r="U192" s="283" t="s">
        <v>760</v>
      </c>
      <c r="V192" s="10" t="s">
        <v>765</v>
      </c>
      <c r="W192" s="298">
        <v>1</v>
      </c>
      <c r="X192" s="298">
        <v>1</v>
      </c>
      <c r="Y192" s="298">
        <v>1</v>
      </c>
      <c r="Z192" s="299">
        <v>1</v>
      </c>
      <c r="AA192" s="299">
        <v>1</v>
      </c>
      <c r="AB192" s="300">
        <v>1</v>
      </c>
      <c r="AC192" s="301">
        <v>1</v>
      </c>
      <c r="AD192" s="301">
        <v>0</v>
      </c>
      <c r="AE192" s="302">
        <f t="shared" si="5"/>
        <v>0.875</v>
      </c>
      <c r="AF192" s="63">
        <v>0</v>
      </c>
      <c r="AG192" s="17">
        <v>0</v>
      </c>
      <c r="AH192" s="17">
        <v>1.6</v>
      </c>
      <c r="AI192" s="17">
        <v>1.6</v>
      </c>
      <c r="AJ192" s="17">
        <v>3.4</v>
      </c>
      <c r="AK192" s="109"/>
      <c r="AL192" s="109"/>
      <c r="AM192" s="147">
        <f t="shared" si="4"/>
        <v>0</v>
      </c>
      <c r="AN192" s="18" t="s">
        <v>758</v>
      </c>
      <c r="AO192" s="18" t="s">
        <v>760</v>
      </c>
      <c r="AP192" s="10" t="s">
        <v>139</v>
      </c>
    </row>
    <row r="193" spans="1:42" x14ac:dyDescent="0.3">
      <c r="A193" s="9" t="s">
        <v>30</v>
      </c>
      <c r="B193" s="10" t="s">
        <v>31</v>
      </c>
      <c r="C193" s="11" t="s">
        <v>32</v>
      </c>
      <c r="D193" s="12" t="s">
        <v>33</v>
      </c>
      <c r="E193" s="11" t="s">
        <v>34</v>
      </c>
      <c r="F193" s="12" t="s">
        <v>35</v>
      </c>
      <c r="G193" s="11" t="s">
        <v>766</v>
      </c>
      <c r="H193" s="12" t="s">
        <v>767</v>
      </c>
      <c r="I193" s="12"/>
      <c r="J193" s="12"/>
      <c r="K193" s="11" t="s">
        <v>768</v>
      </c>
      <c r="L193" s="12" t="s">
        <v>769</v>
      </c>
      <c r="M193" s="18" t="s">
        <v>770</v>
      </c>
      <c r="N193" s="424"/>
      <c r="O193" s="435">
        <v>0.1</v>
      </c>
      <c r="P193" s="38">
        <v>0.2</v>
      </c>
      <c r="Q193" s="38">
        <v>0.3</v>
      </c>
      <c r="R193" s="120">
        <v>0.4</v>
      </c>
      <c r="S193" s="120">
        <v>0.5</v>
      </c>
      <c r="T193" s="39" t="s">
        <v>771</v>
      </c>
      <c r="U193" s="283" t="s">
        <v>773</v>
      </c>
      <c r="V193" s="18" t="s">
        <v>772</v>
      </c>
      <c r="W193" s="298">
        <v>0</v>
      </c>
      <c r="X193" s="298">
        <v>0</v>
      </c>
      <c r="Y193" s="298">
        <v>0</v>
      </c>
      <c r="Z193" s="299">
        <v>1</v>
      </c>
      <c r="AA193" s="299">
        <v>1</v>
      </c>
      <c r="AB193" s="300">
        <v>0</v>
      </c>
      <c r="AC193" s="301">
        <v>0</v>
      </c>
      <c r="AD193" s="301">
        <v>0</v>
      </c>
      <c r="AE193" s="302">
        <f t="shared" si="5"/>
        <v>0.25</v>
      </c>
      <c r="AF193" s="63">
        <v>0</v>
      </c>
      <c r="AG193" s="17">
        <v>0</v>
      </c>
      <c r="AH193" s="36">
        <v>0.5</v>
      </c>
      <c r="AI193" s="36">
        <v>0.5</v>
      </c>
      <c r="AJ193" s="36">
        <v>0.5</v>
      </c>
      <c r="AK193" s="124"/>
      <c r="AL193" s="124"/>
      <c r="AM193" s="147">
        <f t="shared" si="4"/>
        <v>0</v>
      </c>
      <c r="AN193" s="18" t="s">
        <v>771</v>
      </c>
      <c r="AO193" s="18" t="s">
        <v>773</v>
      </c>
      <c r="AP193" s="16" t="s">
        <v>92</v>
      </c>
    </row>
    <row r="194" spans="1:42" x14ac:dyDescent="0.3">
      <c r="A194" s="9" t="s">
        <v>30</v>
      </c>
      <c r="B194" s="10" t="s">
        <v>31</v>
      </c>
      <c r="C194" s="11" t="s">
        <v>774</v>
      </c>
      <c r="D194" s="12" t="s">
        <v>775</v>
      </c>
      <c r="E194" s="9" t="s">
        <v>776</v>
      </c>
      <c r="F194" s="12" t="s">
        <v>777</v>
      </c>
      <c r="G194" s="11" t="s">
        <v>778</v>
      </c>
      <c r="H194" s="12" t="s">
        <v>779</v>
      </c>
      <c r="I194" s="12"/>
      <c r="J194" s="12"/>
      <c r="K194" s="11" t="s">
        <v>780</v>
      </c>
      <c r="L194" s="12" t="s">
        <v>781</v>
      </c>
      <c r="M194" s="18" t="s">
        <v>782</v>
      </c>
      <c r="N194" s="424">
        <v>0</v>
      </c>
      <c r="O194" s="14">
        <v>20</v>
      </c>
      <c r="P194" s="21">
        <v>50</v>
      </c>
      <c r="Q194" s="21">
        <v>50</v>
      </c>
      <c r="R194" s="129">
        <v>10</v>
      </c>
      <c r="S194" s="129">
        <v>10</v>
      </c>
      <c r="T194" s="12" t="s">
        <v>92</v>
      </c>
      <c r="U194" s="283" t="s">
        <v>118</v>
      </c>
      <c r="V194" s="10" t="s">
        <v>783</v>
      </c>
      <c r="W194" s="298">
        <v>1</v>
      </c>
      <c r="X194" s="298">
        <v>1</v>
      </c>
      <c r="Y194" s="298">
        <v>1</v>
      </c>
      <c r="Z194" s="299">
        <v>1</v>
      </c>
      <c r="AA194" s="299">
        <v>1</v>
      </c>
      <c r="AB194" s="300">
        <v>1</v>
      </c>
      <c r="AC194" s="301">
        <v>1</v>
      </c>
      <c r="AD194" s="301">
        <v>0</v>
      </c>
      <c r="AE194" s="302">
        <f t="shared" si="5"/>
        <v>0.875</v>
      </c>
      <c r="AF194" s="63">
        <v>0</v>
      </c>
      <c r="AG194" s="17">
        <v>0</v>
      </c>
      <c r="AH194" s="17">
        <v>15.5</v>
      </c>
      <c r="AI194" s="17">
        <v>20</v>
      </c>
      <c r="AJ194" s="17">
        <v>25</v>
      </c>
      <c r="AK194" s="127">
        <v>5</v>
      </c>
      <c r="AL194" s="127">
        <v>5</v>
      </c>
      <c r="AM194" s="147">
        <f t="shared" ref="AM194:AM257" si="6">SUM(AK194:AL194)</f>
        <v>10</v>
      </c>
      <c r="AN194" s="18" t="s">
        <v>784</v>
      </c>
      <c r="AO194" s="18" t="s">
        <v>350</v>
      </c>
      <c r="AP194" s="10" t="s">
        <v>785</v>
      </c>
    </row>
    <row r="195" spans="1:42" x14ac:dyDescent="0.3">
      <c r="A195" s="9" t="s">
        <v>30</v>
      </c>
      <c r="B195" s="10" t="s">
        <v>31</v>
      </c>
      <c r="C195" s="11" t="s">
        <v>774</v>
      </c>
      <c r="D195" s="12" t="s">
        <v>775</v>
      </c>
      <c r="E195" s="9" t="s">
        <v>776</v>
      </c>
      <c r="F195" s="12" t="s">
        <v>777</v>
      </c>
      <c r="G195" s="11" t="s">
        <v>778</v>
      </c>
      <c r="H195" s="12" t="s">
        <v>779</v>
      </c>
      <c r="I195" s="12"/>
      <c r="J195" s="12"/>
      <c r="K195" s="11" t="s">
        <v>786</v>
      </c>
      <c r="L195" s="12" t="s">
        <v>787</v>
      </c>
      <c r="M195" s="18" t="s">
        <v>788</v>
      </c>
      <c r="N195" s="424">
        <v>0</v>
      </c>
      <c r="O195" s="14">
        <v>7739</v>
      </c>
      <c r="P195" s="21">
        <v>7739</v>
      </c>
      <c r="Q195" s="21">
        <v>7739</v>
      </c>
      <c r="R195" s="129">
        <v>4000</v>
      </c>
      <c r="S195" s="129">
        <v>4000</v>
      </c>
      <c r="T195" s="12" t="s">
        <v>92</v>
      </c>
      <c r="U195" s="283" t="s">
        <v>118</v>
      </c>
      <c r="V195" s="10" t="s">
        <v>789</v>
      </c>
      <c r="W195" s="298">
        <v>1</v>
      </c>
      <c r="X195" s="298">
        <v>1</v>
      </c>
      <c r="Y195" s="298">
        <v>1</v>
      </c>
      <c r="Z195" s="299">
        <v>1</v>
      </c>
      <c r="AA195" s="299">
        <v>1</v>
      </c>
      <c r="AB195" s="300">
        <v>1</v>
      </c>
      <c r="AC195" s="301">
        <v>1</v>
      </c>
      <c r="AD195" s="301">
        <v>0</v>
      </c>
      <c r="AE195" s="302">
        <f t="shared" si="5"/>
        <v>0.875</v>
      </c>
      <c r="AF195" s="63">
        <v>0</v>
      </c>
      <c r="AG195" s="17">
        <v>0</v>
      </c>
      <c r="AH195" s="17">
        <v>5</v>
      </c>
      <c r="AI195" s="17">
        <v>5</v>
      </c>
      <c r="AJ195" s="17">
        <v>5</v>
      </c>
      <c r="AK195" s="127">
        <v>1</v>
      </c>
      <c r="AL195" s="127">
        <v>1</v>
      </c>
      <c r="AM195" s="147">
        <f t="shared" si="6"/>
        <v>2</v>
      </c>
      <c r="AN195" s="10" t="s">
        <v>265</v>
      </c>
      <c r="AO195" s="18" t="s">
        <v>350</v>
      </c>
      <c r="AP195" s="10" t="s">
        <v>790</v>
      </c>
    </row>
    <row r="196" spans="1:42" x14ac:dyDescent="0.3">
      <c r="A196" s="9" t="s">
        <v>30</v>
      </c>
      <c r="B196" s="10" t="s">
        <v>31</v>
      </c>
      <c r="C196" s="11" t="s">
        <v>774</v>
      </c>
      <c r="D196" s="12" t="s">
        <v>775</v>
      </c>
      <c r="E196" s="9" t="s">
        <v>776</v>
      </c>
      <c r="F196" s="12" t="s">
        <v>777</v>
      </c>
      <c r="G196" s="11" t="s">
        <v>778</v>
      </c>
      <c r="H196" s="12" t="s">
        <v>779</v>
      </c>
      <c r="I196" s="12"/>
      <c r="J196" s="12"/>
      <c r="K196" s="11" t="s">
        <v>786</v>
      </c>
      <c r="L196" s="12" t="s">
        <v>787</v>
      </c>
      <c r="M196" s="18" t="s">
        <v>791</v>
      </c>
      <c r="N196" s="424">
        <v>0</v>
      </c>
      <c r="O196" s="14"/>
      <c r="P196" s="21">
        <v>276</v>
      </c>
      <c r="Q196" s="21">
        <v>276</v>
      </c>
      <c r="R196" s="115">
        <v>276</v>
      </c>
      <c r="S196" s="115"/>
      <c r="T196" s="12" t="s">
        <v>92</v>
      </c>
      <c r="U196" s="283" t="s">
        <v>118</v>
      </c>
      <c r="V196" s="10" t="s">
        <v>792</v>
      </c>
      <c r="W196" s="298">
        <v>1</v>
      </c>
      <c r="X196" s="298">
        <v>1</v>
      </c>
      <c r="Y196" s="298">
        <v>1</v>
      </c>
      <c r="Z196" s="299">
        <v>1</v>
      </c>
      <c r="AA196" s="299">
        <v>1</v>
      </c>
      <c r="AB196" s="300">
        <v>1</v>
      </c>
      <c r="AC196" s="301">
        <v>1</v>
      </c>
      <c r="AD196" s="301">
        <v>0</v>
      </c>
      <c r="AE196" s="302">
        <f t="shared" si="5"/>
        <v>0.875</v>
      </c>
      <c r="AF196" s="63">
        <v>0</v>
      </c>
      <c r="AG196" s="17">
        <v>0</v>
      </c>
      <c r="AH196" s="17"/>
      <c r="AI196" s="17"/>
      <c r="AJ196" s="17"/>
      <c r="AK196" s="109"/>
      <c r="AL196" s="109"/>
      <c r="AM196" s="147">
        <f t="shared" si="6"/>
        <v>0</v>
      </c>
      <c r="AN196" s="10" t="s">
        <v>265</v>
      </c>
      <c r="AO196" s="18" t="s">
        <v>350</v>
      </c>
      <c r="AP196" s="10" t="s">
        <v>790</v>
      </c>
    </row>
    <row r="197" spans="1:42" x14ac:dyDescent="0.3">
      <c r="A197" s="9" t="s">
        <v>30</v>
      </c>
      <c r="B197" s="10" t="s">
        <v>31</v>
      </c>
      <c r="C197" s="11" t="s">
        <v>774</v>
      </c>
      <c r="D197" s="12" t="s">
        <v>775</v>
      </c>
      <c r="E197" s="9" t="s">
        <v>776</v>
      </c>
      <c r="F197" s="12" t="s">
        <v>777</v>
      </c>
      <c r="G197" s="11" t="s">
        <v>778</v>
      </c>
      <c r="H197" s="12" t="s">
        <v>779</v>
      </c>
      <c r="I197" s="12"/>
      <c r="J197" s="12"/>
      <c r="K197" s="11" t="s">
        <v>786</v>
      </c>
      <c r="L197" s="12" t="s">
        <v>787</v>
      </c>
      <c r="M197" s="18" t="s">
        <v>788</v>
      </c>
      <c r="N197" s="424">
        <v>0</v>
      </c>
      <c r="O197" s="14">
        <v>1000</v>
      </c>
      <c r="P197" s="21">
        <v>1000</v>
      </c>
      <c r="Q197" s="21">
        <v>1000</v>
      </c>
      <c r="R197" s="129">
        <v>300</v>
      </c>
      <c r="S197" s="129">
        <v>300</v>
      </c>
      <c r="T197" s="12" t="s">
        <v>156</v>
      </c>
      <c r="U197" s="283" t="s">
        <v>158</v>
      </c>
      <c r="V197" s="10" t="s">
        <v>793</v>
      </c>
      <c r="W197" s="298">
        <v>1</v>
      </c>
      <c r="X197" s="298">
        <v>1</v>
      </c>
      <c r="Y197" s="298">
        <v>1</v>
      </c>
      <c r="Z197" s="299">
        <v>1</v>
      </c>
      <c r="AA197" s="299">
        <v>1</v>
      </c>
      <c r="AB197" s="300">
        <v>1</v>
      </c>
      <c r="AC197" s="301">
        <v>1</v>
      </c>
      <c r="AD197" s="301">
        <v>0</v>
      </c>
      <c r="AE197" s="302">
        <f t="shared" ref="AE197:AE260" si="7">SUM(W197:AD197)/8</f>
        <v>0.875</v>
      </c>
      <c r="AF197" s="63">
        <v>0</v>
      </c>
      <c r="AG197" s="17">
        <v>0</v>
      </c>
      <c r="AH197" s="17">
        <v>5</v>
      </c>
      <c r="AI197" s="17">
        <v>5</v>
      </c>
      <c r="AJ197" s="17">
        <v>5</v>
      </c>
      <c r="AK197" s="127">
        <v>3.5</v>
      </c>
      <c r="AL197" s="127">
        <v>3.5</v>
      </c>
      <c r="AM197" s="147">
        <f t="shared" si="6"/>
        <v>7</v>
      </c>
      <c r="AN197" s="283" t="s">
        <v>156</v>
      </c>
      <c r="AO197" s="18" t="s">
        <v>158</v>
      </c>
      <c r="AP197" s="10" t="s">
        <v>794</v>
      </c>
    </row>
    <row r="198" spans="1:42" x14ac:dyDescent="0.3">
      <c r="A198" s="9" t="s">
        <v>30</v>
      </c>
      <c r="B198" s="10" t="s">
        <v>31</v>
      </c>
      <c r="C198" s="11" t="s">
        <v>774</v>
      </c>
      <c r="D198" s="12" t="s">
        <v>775</v>
      </c>
      <c r="E198" s="9" t="s">
        <v>776</v>
      </c>
      <c r="F198" s="12" t="s">
        <v>777</v>
      </c>
      <c r="G198" s="11" t="s">
        <v>778</v>
      </c>
      <c r="H198" s="12" t="s">
        <v>779</v>
      </c>
      <c r="I198" s="12"/>
      <c r="J198" s="12"/>
      <c r="K198" s="11" t="s">
        <v>795</v>
      </c>
      <c r="L198" s="12" t="s">
        <v>796</v>
      </c>
      <c r="M198" s="18" t="s">
        <v>797</v>
      </c>
      <c r="N198" s="424">
        <v>0</v>
      </c>
      <c r="O198" s="14"/>
      <c r="P198" s="21"/>
      <c r="Q198" s="21"/>
      <c r="R198" s="115">
        <v>2</v>
      </c>
      <c r="S198" s="115">
        <v>2</v>
      </c>
      <c r="T198" s="12" t="s">
        <v>798</v>
      </c>
      <c r="U198" s="283" t="s">
        <v>350</v>
      </c>
      <c r="V198" s="10" t="s">
        <v>799</v>
      </c>
      <c r="W198" s="298">
        <v>1</v>
      </c>
      <c r="X198" s="298">
        <v>1</v>
      </c>
      <c r="Y198" s="298">
        <v>1</v>
      </c>
      <c r="Z198" s="299">
        <v>1</v>
      </c>
      <c r="AA198" s="299">
        <v>1</v>
      </c>
      <c r="AB198" s="300">
        <v>1</v>
      </c>
      <c r="AC198" s="301">
        <v>1</v>
      </c>
      <c r="AD198" s="301">
        <v>1</v>
      </c>
      <c r="AE198" s="302">
        <f t="shared" si="7"/>
        <v>1</v>
      </c>
      <c r="AF198" s="63">
        <v>0</v>
      </c>
      <c r="AG198" s="17">
        <v>0</v>
      </c>
      <c r="AH198" s="17"/>
      <c r="AI198" s="17"/>
      <c r="AJ198" s="17"/>
      <c r="AK198" s="109">
        <v>3.5</v>
      </c>
      <c r="AL198" s="109">
        <v>2</v>
      </c>
      <c r="AM198" s="147">
        <f t="shared" si="6"/>
        <v>5.5</v>
      </c>
      <c r="AN198" s="10" t="s">
        <v>619</v>
      </c>
      <c r="AO198" s="18" t="s">
        <v>350</v>
      </c>
      <c r="AP198" s="10" t="s">
        <v>800</v>
      </c>
    </row>
    <row r="199" spans="1:42" x14ac:dyDescent="0.3">
      <c r="A199" s="9" t="s">
        <v>30</v>
      </c>
      <c r="B199" s="10" t="s">
        <v>31</v>
      </c>
      <c r="C199" s="11" t="s">
        <v>774</v>
      </c>
      <c r="D199" s="12" t="s">
        <v>775</v>
      </c>
      <c r="E199" s="9" t="s">
        <v>776</v>
      </c>
      <c r="F199" s="12" t="s">
        <v>777</v>
      </c>
      <c r="G199" s="11" t="s">
        <v>778</v>
      </c>
      <c r="H199" s="12" t="s">
        <v>779</v>
      </c>
      <c r="I199" s="12"/>
      <c r="J199" s="12"/>
      <c r="K199" s="11" t="s">
        <v>801</v>
      </c>
      <c r="L199" s="12" t="s">
        <v>802</v>
      </c>
      <c r="M199" s="18" t="s">
        <v>803</v>
      </c>
      <c r="N199" s="424">
        <v>0</v>
      </c>
      <c r="O199" s="14">
        <v>1</v>
      </c>
      <c r="P199" s="21">
        <v>1</v>
      </c>
      <c r="Q199" s="21">
        <v>1</v>
      </c>
      <c r="R199" s="129">
        <v>1</v>
      </c>
      <c r="S199" s="129">
        <v>1</v>
      </c>
      <c r="T199" s="12" t="s">
        <v>180</v>
      </c>
      <c r="U199" s="283" t="s">
        <v>182</v>
      </c>
      <c r="V199" s="10" t="s">
        <v>804</v>
      </c>
      <c r="W199" s="298">
        <v>1</v>
      </c>
      <c r="X199" s="298">
        <v>1</v>
      </c>
      <c r="Y199" s="298">
        <v>1</v>
      </c>
      <c r="Z199" s="299">
        <v>1</v>
      </c>
      <c r="AA199" s="299">
        <v>1</v>
      </c>
      <c r="AB199" s="300">
        <v>1</v>
      </c>
      <c r="AC199" s="301">
        <v>1</v>
      </c>
      <c r="AD199" s="301">
        <v>1</v>
      </c>
      <c r="AE199" s="302">
        <f t="shared" si="7"/>
        <v>1</v>
      </c>
      <c r="AF199" s="63">
        <v>0</v>
      </c>
      <c r="AG199" s="17">
        <v>0</v>
      </c>
      <c r="AH199" s="17"/>
      <c r="AI199" s="17"/>
      <c r="AJ199" s="17"/>
      <c r="AK199" s="127">
        <v>0.5</v>
      </c>
      <c r="AL199" s="127">
        <v>0.5</v>
      </c>
      <c r="AM199" s="147">
        <f t="shared" si="6"/>
        <v>1</v>
      </c>
      <c r="AN199" s="10" t="s">
        <v>180</v>
      </c>
      <c r="AO199" s="18" t="s">
        <v>182</v>
      </c>
      <c r="AP199" s="10" t="s">
        <v>265</v>
      </c>
    </row>
    <row r="200" spans="1:42" x14ac:dyDescent="0.3">
      <c r="A200" s="9" t="s">
        <v>30</v>
      </c>
      <c r="B200" s="10" t="s">
        <v>31</v>
      </c>
      <c r="C200" s="11" t="s">
        <v>774</v>
      </c>
      <c r="D200" s="12" t="s">
        <v>775</v>
      </c>
      <c r="E200" s="9" t="s">
        <v>776</v>
      </c>
      <c r="F200" s="12" t="s">
        <v>777</v>
      </c>
      <c r="G200" s="11" t="s">
        <v>778</v>
      </c>
      <c r="H200" s="12" t="s">
        <v>779</v>
      </c>
      <c r="I200" s="12"/>
      <c r="J200" s="12"/>
      <c r="K200" s="11" t="s">
        <v>805</v>
      </c>
      <c r="L200" s="12" t="s">
        <v>806</v>
      </c>
      <c r="M200" s="18" t="s">
        <v>807</v>
      </c>
      <c r="N200" s="424">
        <v>0</v>
      </c>
      <c r="O200" s="14">
        <v>3</v>
      </c>
      <c r="P200" s="21">
        <v>2</v>
      </c>
      <c r="Q200" s="21">
        <v>3</v>
      </c>
      <c r="R200" s="115">
        <v>6</v>
      </c>
      <c r="S200" s="115">
        <v>6</v>
      </c>
      <c r="T200" s="12" t="s">
        <v>265</v>
      </c>
      <c r="U200" s="283" t="s">
        <v>350</v>
      </c>
      <c r="V200" s="10" t="s">
        <v>808</v>
      </c>
      <c r="W200" s="298">
        <v>1</v>
      </c>
      <c r="X200" s="298">
        <v>0</v>
      </c>
      <c r="Y200" s="298">
        <v>0</v>
      </c>
      <c r="Z200" s="299">
        <v>1</v>
      </c>
      <c r="AA200" s="299">
        <v>1</v>
      </c>
      <c r="AB200" s="300">
        <v>0</v>
      </c>
      <c r="AC200" s="301">
        <v>1</v>
      </c>
      <c r="AD200" s="301">
        <v>0</v>
      </c>
      <c r="AE200" s="302">
        <f t="shared" si="7"/>
        <v>0.5</v>
      </c>
      <c r="AF200" s="63">
        <v>0</v>
      </c>
      <c r="AG200" s="17">
        <v>0</v>
      </c>
      <c r="AH200" s="17"/>
      <c r="AI200" s="17"/>
      <c r="AJ200" s="17"/>
      <c r="AK200" s="109"/>
      <c r="AL200" s="109"/>
      <c r="AM200" s="147">
        <f t="shared" si="6"/>
        <v>0</v>
      </c>
      <c r="AN200" s="10" t="s">
        <v>92</v>
      </c>
      <c r="AO200" s="18" t="s">
        <v>118</v>
      </c>
      <c r="AP200" s="10" t="s">
        <v>265</v>
      </c>
    </row>
    <row r="201" spans="1:42" x14ac:dyDescent="0.3">
      <c r="A201" s="9" t="s">
        <v>30</v>
      </c>
      <c r="B201" s="10" t="s">
        <v>31</v>
      </c>
      <c r="C201" s="11" t="s">
        <v>774</v>
      </c>
      <c r="D201" s="12" t="s">
        <v>775</v>
      </c>
      <c r="E201" s="9" t="s">
        <v>776</v>
      </c>
      <c r="F201" s="12" t="s">
        <v>777</v>
      </c>
      <c r="G201" s="11" t="s">
        <v>778</v>
      </c>
      <c r="H201" s="12" t="s">
        <v>779</v>
      </c>
      <c r="I201" s="12"/>
      <c r="J201" s="12"/>
      <c r="K201" s="11" t="s">
        <v>809</v>
      </c>
      <c r="L201" s="12" t="s">
        <v>810</v>
      </c>
      <c r="M201" s="18" t="s">
        <v>811</v>
      </c>
      <c r="N201" s="424">
        <v>0</v>
      </c>
      <c r="O201" s="14">
        <v>2</v>
      </c>
      <c r="P201" s="21">
        <v>2</v>
      </c>
      <c r="Q201" s="21">
        <v>2</v>
      </c>
      <c r="R201" s="115">
        <v>2</v>
      </c>
      <c r="S201" s="115">
        <v>2</v>
      </c>
      <c r="T201" s="12" t="s">
        <v>92</v>
      </c>
      <c r="U201" s="283" t="s">
        <v>118</v>
      </c>
      <c r="V201" s="10" t="s">
        <v>812</v>
      </c>
      <c r="W201" s="298">
        <v>1</v>
      </c>
      <c r="X201" s="298">
        <v>1</v>
      </c>
      <c r="Y201" s="298">
        <v>1</v>
      </c>
      <c r="Z201" s="299">
        <v>1</v>
      </c>
      <c r="AA201" s="299">
        <v>1</v>
      </c>
      <c r="AB201" s="300">
        <v>1</v>
      </c>
      <c r="AC201" s="301">
        <v>1</v>
      </c>
      <c r="AD201" s="301">
        <v>1</v>
      </c>
      <c r="AE201" s="302">
        <f t="shared" si="7"/>
        <v>1</v>
      </c>
      <c r="AF201" s="63">
        <v>0</v>
      </c>
      <c r="AG201" s="17">
        <v>0</v>
      </c>
      <c r="AH201" s="17">
        <v>2</v>
      </c>
      <c r="AI201" s="17">
        <v>2</v>
      </c>
      <c r="AJ201" s="17">
        <v>0.5</v>
      </c>
      <c r="AK201" s="109">
        <v>0.5</v>
      </c>
      <c r="AL201" s="109">
        <v>0.5</v>
      </c>
      <c r="AM201" s="147">
        <f t="shared" si="6"/>
        <v>1</v>
      </c>
      <c r="AN201" s="283" t="s">
        <v>265</v>
      </c>
      <c r="AO201" s="18" t="s">
        <v>350</v>
      </c>
      <c r="AP201" s="10" t="s">
        <v>813</v>
      </c>
    </row>
    <row r="202" spans="1:42" x14ac:dyDescent="0.3">
      <c r="A202" s="9" t="s">
        <v>30</v>
      </c>
      <c r="B202" s="10" t="s">
        <v>31</v>
      </c>
      <c r="C202" s="11" t="s">
        <v>774</v>
      </c>
      <c r="D202" s="12" t="s">
        <v>775</v>
      </c>
      <c r="E202" s="9" t="s">
        <v>776</v>
      </c>
      <c r="F202" s="12" t="s">
        <v>777</v>
      </c>
      <c r="G202" s="11" t="s">
        <v>778</v>
      </c>
      <c r="H202" s="12" t="s">
        <v>779</v>
      </c>
      <c r="I202" s="12"/>
      <c r="J202" s="12"/>
      <c r="K202" s="11" t="s">
        <v>814</v>
      </c>
      <c r="L202" s="12" t="s">
        <v>815</v>
      </c>
      <c r="M202" s="157" t="s">
        <v>816</v>
      </c>
      <c r="N202" s="424">
        <v>0</v>
      </c>
      <c r="O202" s="14">
        <v>4</v>
      </c>
      <c r="P202" s="21">
        <v>6</v>
      </c>
      <c r="Q202" s="21">
        <v>10</v>
      </c>
      <c r="R202" s="140">
        <v>2</v>
      </c>
      <c r="S202" s="140">
        <v>5</v>
      </c>
      <c r="T202" s="12" t="s">
        <v>92</v>
      </c>
      <c r="U202" s="283" t="s">
        <v>118</v>
      </c>
      <c r="V202" s="10" t="s">
        <v>817</v>
      </c>
      <c r="W202" s="298">
        <v>1</v>
      </c>
      <c r="X202" s="298">
        <v>1</v>
      </c>
      <c r="Y202" s="298">
        <v>1</v>
      </c>
      <c r="Z202" s="299">
        <v>1</v>
      </c>
      <c r="AA202" s="299">
        <v>1</v>
      </c>
      <c r="AB202" s="300">
        <v>1</v>
      </c>
      <c r="AC202" s="301">
        <v>1</v>
      </c>
      <c r="AD202" s="301">
        <v>1</v>
      </c>
      <c r="AE202" s="302">
        <f t="shared" si="7"/>
        <v>1</v>
      </c>
      <c r="AF202" s="63">
        <v>0</v>
      </c>
      <c r="AG202" s="17">
        <v>0</v>
      </c>
      <c r="AH202" s="17">
        <v>2</v>
      </c>
      <c r="AI202" s="17">
        <v>2.5</v>
      </c>
      <c r="AJ202" s="17">
        <v>3</v>
      </c>
      <c r="AK202" s="139">
        <v>0.2</v>
      </c>
      <c r="AL202" s="139">
        <v>0.5</v>
      </c>
      <c r="AM202" s="147">
        <f t="shared" si="6"/>
        <v>0.7</v>
      </c>
      <c r="AN202" s="10" t="s">
        <v>265</v>
      </c>
      <c r="AO202" s="18" t="s">
        <v>350</v>
      </c>
      <c r="AP202" s="10" t="s">
        <v>139</v>
      </c>
    </row>
    <row r="203" spans="1:42" x14ac:dyDescent="0.3">
      <c r="A203" s="9" t="s">
        <v>30</v>
      </c>
      <c r="B203" s="10" t="s">
        <v>31</v>
      </c>
      <c r="C203" s="11" t="s">
        <v>774</v>
      </c>
      <c r="D203" s="12" t="s">
        <v>775</v>
      </c>
      <c r="E203" s="9" t="s">
        <v>776</v>
      </c>
      <c r="F203" s="12" t="s">
        <v>777</v>
      </c>
      <c r="G203" s="11" t="s">
        <v>778</v>
      </c>
      <c r="H203" s="12" t="s">
        <v>779</v>
      </c>
      <c r="I203" s="12"/>
      <c r="J203" s="12"/>
      <c r="K203" s="11" t="s">
        <v>814</v>
      </c>
      <c r="L203" s="12" t="s">
        <v>815</v>
      </c>
      <c r="M203" s="18" t="s">
        <v>818</v>
      </c>
      <c r="N203" s="424">
        <v>0</v>
      </c>
      <c r="O203" s="176">
        <v>0</v>
      </c>
      <c r="P203" s="21">
        <v>125</v>
      </c>
      <c r="Q203" s="21">
        <v>125</v>
      </c>
      <c r="R203" s="140">
        <v>30</v>
      </c>
      <c r="S203" s="140">
        <v>30</v>
      </c>
      <c r="T203" s="12" t="s">
        <v>156</v>
      </c>
      <c r="U203" s="283" t="s">
        <v>158</v>
      </c>
      <c r="V203" s="10" t="s">
        <v>819</v>
      </c>
      <c r="W203" s="298">
        <v>1</v>
      </c>
      <c r="X203" s="298">
        <v>1</v>
      </c>
      <c r="Y203" s="298">
        <v>1</v>
      </c>
      <c r="Z203" s="299">
        <v>1</v>
      </c>
      <c r="AA203" s="299">
        <v>1</v>
      </c>
      <c r="AB203" s="300">
        <v>0</v>
      </c>
      <c r="AC203" s="301">
        <v>1</v>
      </c>
      <c r="AD203" s="301">
        <v>0</v>
      </c>
      <c r="AE203" s="302">
        <f t="shared" si="7"/>
        <v>0.75</v>
      </c>
      <c r="AF203" s="63">
        <v>0</v>
      </c>
      <c r="AG203" s="17">
        <v>0</v>
      </c>
      <c r="AH203" s="17">
        <v>0</v>
      </c>
      <c r="AI203" s="17">
        <v>10.5</v>
      </c>
      <c r="AJ203" s="17">
        <v>10.5</v>
      </c>
      <c r="AK203" s="139">
        <v>7.5</v>
      </c>
      <c r="AL203" s="139">
        <v>6</v>
      </c>
      <c r="AM203" s="147">
        <f t="shared" si="6"/>
        <v>13.5</v>
      </c>
      <c r="AN203" s="18" t="s">
        <v>156</v>
      </c>
      <c r="AO203" s="18" t="s">
        <v>158</v>
      </c>
      <c r="AP203" s="10" t="s">
        <v>820</v>
      </c>
    </row>
    <row r="204" spans="1:42" x14ac:dyDescent="0.3">
      <c r="A204" s="9" t="s">
        <v>30</v>
      </c>
      <c r="B204" s="10" t="s">
        <v>31</v>
      </c>
      <c r="C204" s="11" t="s">
        <v>774</v>
      </c>
      <c r="D204" s="12" t="s">
        <v>775</v>
      </c>
      <c r="E204" s="9" t="s">
        <v>776</v>
      </c>
      <c r="F204" s="12" t="s">
        <v>777</v>
      </c>
      <c r="G204" s="11" t="s">
        <v>778</v>
      </c>
      <c r="H204" s="12" t="s">
        <v>779</v>
      </c>
      <c r="I204" s="12"/>
      <c r="J204" s="12"/>
      <c r="K204" s="11" t="s">
        <v>814</v>
      </c>
      <c r="L204" s="12" t="s">
        <v>815</v>
      </c>
      <c r="M204" s="18" t="s">
        <v>821</v>
      </c>
      <c r="N204" s="424">
        <v>0</v>
      </c>
      <c r="O204" s="14">
        <v>3</v>
      </c>
      <c r="P204" s="21">
        <v>10</v>
      </c>
      <c r="Q204" s="21">
        <v>10</v>
      </c>
      <c r="R204" s="140">
        <v>5</v>
      </c>
      <c r="S204" s="140">
        <v>5</v>
      </c>
      <c r="T204" s="12" t="s">
        <v>326</v>
      </c>
      <c r="U204" s="283" t="s">
        <v>328</v>
      </c>
      <c r="V204" s="10" t="s">
        <v>822</v>
      </c>
      <c r="W204" s="298">
        <v>1</v>
      </c>
      <c r="X204" s="298">
        <v>1</v>
      </c>
      <c r="Y204" s="298">
        <v>1</v>
      </c>
      <c r="Z204" s="299">
        <v>1</v>
      </c>
      <c r="AA204" s="299">
        <v>1</v>
      </c>
      <c r="AB204" s="300">
        <v>1</v>
      </c>
      <c r="AC204" s="301">
        <v>1</v>
      </c>
      <c r="AD204" s="301">
        <v>0</v>
      </c>
      <c r="AE204" s="302">
        <f t="shared" si="7"/>
        <v>0.875</v>
      </c>
      <c r="AF204" s="63">
        <v>0</v>
      </c>
      <c r="AG204" s="17">
        <v>0</v>
      </c>
      <c r="AH204" s="17">
        <v>7.5</v>
      </c>
      <c r="AI204" s="17">
        <v>8.5</v>
      </c>
      <c r="AJ204" s="17">
        <v>9.5</v>
      </c>
      <c r="AK204" s="139">
        <v>10</v>
      </c>
      <c r="AL204" s="139">
        <v>8</v>
      </c>
      <c r="AM204" s="147">
        <f t="shared" si="6"/>
        <v>18</v>
      </c>
      <c r="AN204" s="18" t="s">
        <v>326</v>
      </c>
      <c r="AO204" s="18" t="s">
        <v>328</v>
      </c>
      <c r="AP204" s="10" t="s">
        <v>823</v>
      </c>
    </row>
    <row r="205" spans="1:42" x14ac:dyDescent="0.3">
      <c r="A205" s="9" t="s">
        <v>30</v>
      </c>
      <c r="B205" s="10" t="s">
        <v>31</v>
      </c>
      <c r="C205" s="11" t="s">
        <v>774</v>
      </c>
      <c r="D205" s="12" t="s">
        <v>775</v>
      </c>
      <c r="E205" s="9" t="s">
        <v>776</v>
      </c>
      <c r="F205" s="12" t="s">
        <v>777</v>
      </c>
      <c r="G205" s="11" t="s">
        <v>778</v>
      </c>
      <c r="H205" s="12" t="s">
        <v>779</v>
      </c>
      <c r="I205" s="12"/>
      <c r="J205" s="12"/>
      <c r="K205" s="11" t="s">
        <v>814</v>
      </c>
      <c r="L205" s="12" t="s">
        <v>815</v>
      </c>
      <c r="M205" s="18" t="s">
        <v>824</v>
      </c>
      <c r="N205" s="424">
        <v>0</v>
      </c>
      <c r="O205" s="14">
        <v>50</v>
      </c>
      <c r="P205" s="21">
        <v>50</v>
      </c>
      <c r="Q205" s="21">
        <v>50</v>
      </c>
      <c r="R205" s="115">
        <v>50</v>
      </c>
      <c r="S205" s="115">
        <v>50</v>
      </c>
      <c r="T205" s="12" t="s">
        <v>326</v>
      </c>
      <c r="U205" s="283" t="s">
        <v>328</v>
      </c>
      <c r="V205" s="10" t="s">
        <v>822</v>
      </c>
      <c r="W205" s="298">
        <v>1</v>
      </c>
      <c r="X205" s="298">
        <v>1</v>
      </c>
      <c r="Y205" s="298">
        <v>1</v>
      </c>
      <c r="Z205" s="299">
        <v>1</v>
      </c>
      <c r="AA205" s="299">
        <v>1</v>
      </c>
      <c r="AB205" s="300">
        <v>1</v>
      </c>
      <c r="AC205" s="301">
        <v>1</v>
      </c>
      <c r="AD205" s="301">
        <v>0</v>
      </c>
      <c r="AE205" s="302">
        <f t="shared" si="7"/>
        <v>0.875</v>
      </c>
      <c r="AF205" s="63">
        <v>0</v>
      </c>
      <c r="AG205" s="17">
        <v>0</v>
      </c>
      <c r="AH205" s="17"/>
      <c r="AI205" s="17"/>
      <c r="AJ205" s="17"/>
      <c r="AK205" s="109"/>
      <c r="AL205" s="109"/>
      <c r="AM205" s="147">
        <f t="shared" si="6"/>
        <v>0</v>
      </c>
      <c r="AN205" s="18" t="s">
        <v>326</v>
      </c>
      <c r="AO205" s="18" t="s">
        <v>328</v>
      </c>
      <c r="AP205" s="10" t="s">
        <v>823</v>
      </c>
    </row>
    <row r="206" spans="1:42" x14ac:dyDescent="0.3">
      <c r="A206" s="9" t="s">
        <v>30</v>
      </c>
      <c r="B206" s="10" t="s">
        <v>31</v>
      </c>
      <c r="C206" s="11" t="s">
        <v>774</v>
      </c>
      <c r="D206" s="12" t="s">
        <v>775</v>
      </c>
      <c r="E206" s="9" t="s">
        <v>776</v>
      </c>
      <c r="F206" s="12" t="s">
        <v>777</v>
      </c>
      <c r="G206" s="11" t="s">
        <v>778</v>
      </c>
      <c r="H206" s="12" t="s">
        <v>779</v>
      </c>
      <c r="I206" s="12"/>
      <c r="J206" s="12"/>
      <c r="K206" s="11" t="s">
        <v>814</v>
      </c>
      <c r="L206" s="12" t="s">
        <v>815</v>
      </c>
      <c r="M206" s="18" t="s">
        <v>825</v>
      </c>
      <c r="N206" s="424">
        <v>0</v>
      </c>
      <c r="O206" s="14">
        <v>150</v>
      </c>
      <c r="P206" s="21">
        <v>150</v>
      </c>
      <c r="Q206" s="21">
        <v>150</v>
      </c>
      <c r="R206" s="140">
        <v>25</v>
      </c>
      <c r="S206" s="140">
        <v>25</v>
      </c>
      <c r="T206" s="12" t="s">
        <v>326</v>
      </c>
      <c r="U206" s="283" t="s">
        <v>328</v>
      </c>
      <c r="V206" s="10" t="s">
        <v>822</v>
      </c>
      <c r="W206" s="298">
        <v>1</v>
      </c>
      <c r="X206" s="298">
        <v>1</v>
      </c>
      <c r="Y206" s="298">
        <v>1</v>
      </c>
      <c r="Z206" s="299">
        <v>1</v>
      </c>
      <c r="AA206" s="299">
        <v>1</v>
      </c>
      <c r="AB206" s="300">
        <v>1</v>
      </c>
      <c r="AC206" s="301">
        <v>1</v>
      </c>
      <c r="AD206" s="301">
        <v>0</v>
      </c>
      <c r="AE206" s="302">
        <f t="shared" si="7"/>
        <v>0.875</v>
      </c>
      <c r="AF206" s="63">
        <v>0</v>
      </c>
      <c r="AG206" s="17">
        <v>0</v>
      </c>
      <c r="AH206" s="17"/>
      <c r="AI206" s="17"/>
      <c r="AJ206" s="17"/>
      <c r="AK206" s="139">
        <v>0.4</v>
      </c>
      <c r="AL206" s="139">
        <v>0.4</v>
      </c>
      <c r="AM206" s="147">
        <f t="shared" si="6"/>
        <v>0.8</v>
      </c>
      <c r="AN206" s="18" t="s">
        <v>326</v>
      </c>
      <c r="AO206" s="18" t="s">
        <v>328</v>
      </c>
      <c r="AP206" s="10" t="s">
        <v>823</v>
      </c>
    </row>
    <row r="207" spans="1:42" x14ac:dyDescent="0.3">
      <c r="A207" s="9" t="s">
        <v>30</v>
      </c>
      <c r="B207" s="10" t="s">
        <v>31</v>
      </c>
      <c r="C207" s="11" t="s">
        <v>774</v>
      </c>
      <c r="D207" s="12" t="s">
        <v>775</v>
      </c>
      <c r="E207" s="9" t="s">
        <v>776</v>
      </c>
      <c r="F207" s="12" t="s">
        <v>777</v>
      </c>
      <c r="G207" s="11" t="s">
        <v>778</v>
      </c>
      <c r="H207" s="12" t="s">
        <v>779</v>
      </c>
      <c r="I207" s="12"/>
      <c r="J207" s="12"/>
      <c r="K207" s="11" t="s">
        <v>814</v>
      </c>
      <c r="L207" s="12" t="s">
        <v>815</v>
      </c>
      <c r="M207" s="18" t="s">
        <v>826</v>
      </c>
      <c r="N207" s="424">
        <v>0</v>
      </c>
      <c r="O207" s="176">
        <v>0</v>
      </c>
      <c r="P207" s="21">
        <v>2</v>
      </c>
      <c r="Q207" s="21">
        <v>2</v>
      </c>
      <c r="R207" s="115">
        <v>2</v>
      </c>
      <c r="S207" s="115">
        <v>1</v>
      </c>
      <c r="T207" s="12" t="s">
        <v>92</v>
      </c>
      <c r="U207" s="283" t="s">
        <v>118</v>
      </c>
      <c r="V207" s="10" t="s">
        <v>827</v>
      </c>
      <c r="W207" s="298">
        <v>1</v>
      </c>
      <c r="X207" s="298">
        <v>1</v>
      </c>
      <c r="Y207" s="298">
        <v>1</v>
      </c>
      <c r="Z207" s="299">
        <v>1</v>
      </c>
      <c r="AA207" s="299">
        <v>1</v>
      </c>
      <c r="AB207" s="300">
        <v>1</v>
      </c>
      <c r="AC207" s="301">
        <v>1</v>
      </c>
      <c r="AD207" s="301">
        <v>1</v>
      </c>
      <c r="AE207" s="302">
        <f t="shared" si="7"/>
        <v>1</v>
      </c>
      <c r="AF207" s="63">
        <v>0</v>
      </c>
      <c r="AG207" s="17">
        <v>0</v>
      </c>
      <c r="AH207" s="17">
        <v>7</v>
      </c>
      <c r="AI207" s="17">
        <v>14</v>
      </c>
      <c r="AJ207" s="17">
        <v>14</v>
      </c>
      <c r="AK207" s="139">
        <v>12</v>
      </c>
      <c r="AL207" s="139">
        <v>1.5</v>
      </c>
      <c r="AM207" s="147">
        <f t="shared" si="6"/>
        <v>13.5</v>
      </c>
      <c r="AN207" s="18" t="s">
        <v>43</v>
      </c>
      <c r="AO207" s="18" t="s">
        <v>45</v>
      </c>
      <c r="AP207" s="10" t="s">
        <v>139</v>
      </c>
    </row>
    <row r="208" spans="1:42" x14ac:dyDescent="0.3">
      <c r="A208" s="9" t="s">
        <v>30</v>
      </c>
      <c r="B208" s="10" t="s">
        <v>31</v>
      </c>
      <c r="C208" s="11" t="s">
        <v>774</v>
      </c>
      <c r="D208" s="12" t="s">
        <v>775</v>
      </c>
      <c r="E208" s="9" t="s">
        <v>776</v>
      </c>
      <c r="F208" s="12" t="s">
        <v>777</v>
      </c>
      <c r="G208" s="11" t="s">
        <v>778</v>
      </c>
      <c r="H208" s="12" t="s">
        <v>779</v>
      </c>
      <c r="I208" s="12"/>
      <c r="J208" s="12"/>
      <c r="K208" s="11" t="s">
        <v>828</v>
      </c>
      <c r="L208" s="12" t="s">
        <v>829</v>
      </c>
      <c r="M208" s="18" t="s">
        <v>830</v>
      </c>
      <c r="N208" s="424">
        <v>0</v>
      </c>
      <c r="O208" s="176">
        <v>0</v>
      </c>
      <c r="P208" s="16">
        <v>25</v>
      </c>
      <c r="Q208" s="16">
        <v>35</v>
      </c>
      <c r="R208" s="142">
        <v>10</v>
      </c>
      <c r="S208" s="142">
        <v>10</v>
      </c>
      <c r="T208" s="10" t="s">
        <v>831</v>
      </c>
      <c r="U208" s="283" t="s">
        <v>834</v>
      </c>
      <c r="V208" s="10" t="s">
        <v>832</v>
      </c>
      <c r="W208" s="298">
        <v>1</v>
      </c>
      <c r="X208" s="298">
        <v>0</v>
      </c>
      <c r="Y208" s="298">
        <v>0</v>
      </c>
      <c r="Z208" s="299">
        <v>1</v>
      </c>
      <c r="AA208" s="299">
        <v>1</v>
      </c>
      <c r="AB208" s="300">
        <v>1</v>
      </c>
      <c r="AC208" s="301">
        <v>1</v>
      </c>
      <c r="AD208" s="301">
        <v>0</v>
      </c>
      <c r="AE208" s="302">
        <f t="shared" si="7"/>
        <v>0.625</v>
      </c>
      <c r="AF208" s="63">
        <v>0</v>
      </c>
      <c r="AG208" s="17">
        <v>0</v>
      </c>
      <c r="AH208" s="17">
        <v>0</v>
      </c>
      <c r="AI208" s="32">
        <v>10</v>
      </c>
      <c r="AJ208" s="32">
        <v>15</v>
      </c>
      <c r="AK208" s="141">
        <v>1</v>
      </c>
      <c r="AL208" s="141">
        <v>1</v>
      </c>
      <c r="AM208" s="147">
        <f t="shared" si="6"/>
        <v>2</v>
      </c>
      <c r="AN208" s="18" t="s">
        <v>833</v>
      </c>
      <c r="AO208" s="18" t="s">
        <v>834</v>
      </c>
      <c r="AP208" s="10" t="s">
        <v>835</v>
      </c>
    </row>
    <row r="209" spans="1:42" x14ac:dyDescent="0.3">
      <c r="A209" s="9" t="s">
        <v>30</v>
      </c>
      <c r="B209" s="10" t="s">
        <v>31</v>
      </c>
      <c r="C209" s="11" t="s">
        <v>774</v>
      </c>
      <c r="D209" s="12" t="s">
        <v>775</v>
      </c>
      <c r="E209" s="9" t="s">
        <v>776</v>
      </c>
      <c r="F209" s="12" t="s">
        <v>777</v>
      </c>
      <c r="G209" s="11" t="s">
        <v>778</v>
      </c>
      <c r="H209" s="12" t="s">
        <v>779</v>
      </c>
      <c r="I209" s="12"/>
      <c r="J209" s="12"/>
      <c r="K209" s="11" t="s">
        <v>836</v>
      </c>
      <c r="L209" s="12" t="s">
        <v>837</v>
      </c>
      <c r="M209" s="18" t="s">
        <v>838</v>
      </c>
      <c r="N209" s="424">
        <v>2</v>
      </c>
      <c r="O209" s="18">
        <v>20</v>
      </c>
      <c r="P209" s="16">
        <v>80</v>
      </c>
      <c r="Q209" s="16">
        <v>100</v>
      </c>
      <c r="R209" s="110">
        <v>70</v>
      </c>
      <c r="S209" s="110">
        <v>70</v>
      </c>
      <c r="T209" s="10" t="s">
        <v>92</v>
      </c>
      <c r="U209" s="283" t="s">
        <v>118</v>
      </c>
      <c r="V209" s="10" t="s">
        <v>839</v>
      </c>
      <c r="W209" s="298">
        <v>1</v>
      </c>
      <c r="X209" s="298">
        <v>1</v>
      </c>
      <c r="Y209" s="298">
        <v>1</v>
      </c>
      <c r="Z209" s="299">
        <v>1</v>
      </c>
      <c r="AA209" s="299">
        <v>1</v>
      </c>
      <c r="AB209" s="300">
        <v>1</v>
      </c>
      <c r="AC209" s="301">
        <v>1</v>
      </c>
      <c r="AD209" s="301">
        <v>0</v>
      </c>
      <c r="AE209" s="302">
        <f t="shared" si="7"/>
        <v>0.875</v>
      </c>
      <c r="AF209" s="63">
        <v>0</v>
      </c>
      <c r="AG209" s="17">
        <v>0</v>
      </c>
      <c r="AH209" s="17">
        <v>0</v>
      </c>
      <c r="AI209" s="32">
        <v>2</v>
      </c>
      <c r="AJ209" s="32">
        <v>2</v>
      </c>
      <c r="AK209" s="141">
        <v>1.24</v>
      </c>
      <c r="AL209" s="141">
        <v>1.24</v>
      </c>
      <c r="AM209" s="147">
        <f t="shared" si="6"/>
        <v>2.48</v>
      </c>
      <c r="AN209" s="18" t="s">
        <v>336</v>
      </c>
      <c r="AO209" s="18" t="s">
        <v>118</v>
      </c>
      <c r="AP209" s="10" t="s">
        <v>840</v>
      </c>
    </row>
    <row r="210" spans="1:42" x14ac:dyDescent="0.3">
      <c r="A210" s="9" t="s">
        <v>30</v>
      </c>
      <c r="B210" s="10" t="s">
        <v>31</v>
      </c>
      <c r="C210" s="11" t="s">
        <v>774</v>
      </c>
      <c r="D210" s="12" t="s">
        <v>775</v>
      </c>
      <c r="E210" s="9" t="s">
        <v>776</v>
      </c>
      <c r="F210" s="12" t="s">
        <v>777</v>
      </c>
      <c r="G210" s="11" t="s">
        <v>778</v>
      </c>
      <c r="H210" s="12" t="s">
        <v>779</v>
      </c>
      <c r="I210" s="12"/>
      <c r="J210" s="12"/>
      <c r="K210" s="11" t="s">
        <v>841</v>
      </c>
      <c r="L210" s="12" t="s">
        <v>842</v>
      </c>
      <c r="M210" s="14" t="s">
        <v>843</v>
      </c>
      <c r="N210" s="429"/>
      <c r="O210" s="14">
        <v>5</v>
      </c>
      <c r="P210" s="21">
        <v>25</v>
      </c>
      <c r="Q210" s="21">
        <v>35</v>
      </c>
      <c r="R210" s="115">
        <v>45</v>
      </c>
      <c r="S210" s="115">
        <v>10</v>
      </c>
      <c r="T210" s="10" t="s">
        <v>265</v>
      </c>
      <c r="U210" s="283" t="s">
        <v>350</v>
      </c>
      <c r="V210" s="10" t="s">
        <v>844</v>
      </c>
      <c r="W210" s="298">
        <v>1</v>
      </c>
      <c r="X210" s="298">
        <v>0</v>
      </c>
      <c r="Y210" s="298">
        <v>0</v>
      </c>
      <c r="Z210" s="299">
        <v>1</v>
      </c>
      <c r="AA210" s="299">
        <v>1</v>
      </c>
      <c r="AB210" s="300">
        <v>1</v>
      </c>
      <c r="AC210" s="301">
        <v>1</v>
      </c>
      <c r="AD210" s="301">
        <v>0</v>
      </c>
      <c r="AE210" s="302">
        <f t="shared" si="7"/>
        <v>0.625</v>
      </c>
      <c r="AF210" s="63">
        <v>0</v>
      </c>
      <c r="AG210" s="17">
        <v>0</v>
      </c>
      <c r="AH210" s="17"/>
      <c r="AI210" s="17"/>
      <c r="AJ210" s="17"/>
      <c r="AK210" s="109"/>
      <c r="AL210" s="109"/>
      <c r="AM210" s="147">
        <f t="shared" si="6"/>
        <v>0</v>
      </c>
      <c r="AN210" s="10" t="s">
        <v>265</v>
      </c>
      <c r="AO210" s="18" t="s">
        <v>350</v>
      </c>
      <c r="AP210" s="10" t="s">
        <v>845</v>
      </c>
    </row>
    <row r="211" spans="1:42" x14ac:dyDescent="0.3">
      <c r="A211" s="9" t="s">
        <v>30</v>
      </c>
      <c r="B211" s="10" t="s">
        <v>31</v>
      </c>
      <c r="C211" s="11" t="s">
        <v>774</v>
      </c>
      <c r="D211" s="12" t="s">
        <v>775</v>
      </c>
      <c r="E211" s="9" t="s">
        <v>776</v>
      </c>
      <c r="F211" s="12" t="s">
        <v>777</v>
      </c>
      <c r="G211" s="11" t="s">
        <v>778</v>
      </c>
      <c r="H211" s="12" t="s">
        <v>779</v>
      </c>
      <c r="I211" s="12"/>
      <c r="J211" s="12"/>
      <c r="K211" s="11" t="s">
        <v>841</v>
      </c>
      <c r="L211" s="12" t="s">
        <v>842</v>
      </c>
      <c r="M211" s="14" t="s">
        <v>846</v>
      </c>
      <c r="N211" s="429">
        <v>0</v>
      </c>
      <c r="O211" s="176">
        <v>0</v>
      </c>
      <c r="P211" s="21">
        <v>7</v>
      </c>
      <c r="Q211" s="21">
        <v>7</v>
      </c>
      <c r="R211" s="115">
        <v>8</v>
      </c>
      <c r="S211" s="115">
        <v>6</v>
      </c>
      <c r="T211" s="10" t="s">
        <v>265</v>
      </c>
      <c r="U211" s="283" t="s">
        <v>350</v>
      </c>
      <c r="V211" s="10" t="s">
        <v>844</v>
      </c>
      <c r="W211" s="298">
        <v>1</v>
      </c>
      <c r="X211" s="298">
        <v>0</v>
      </c>
      <c r="Y211" s="298">
        <v>0</v>
      </c>
      <c r="Z211" s="299">
        <v>1</v>
      </c>
      <c r="AA211" s="299">
        <v>1</v>
      </c>
      <c r="AB211" s="300">
        <v>1</v>
      </c>
      <c r="AC211" s="301">
        <v>1</v>
      </c>
      <c r="AD211" s="301">
        <v>0</v>
      </c>
      <c r="AE211" s="302">
        <f t="shared" si="7"/>
        <v>0.625</v>
      </c>
      <c r="AF211" s="63">
        <v>0</v>
      </c>
      <c r="AG211" s="17">
        <v>0</v>
      </c>
      <c r="AH211" s="17">
        <v>9.5</v>
      </c>
      <c r="AI211" s="17">
        <v>9.5</v>
      </c>
      <c r="AJ211" s="17">
        <v>9.5</v>
      </c>
      <c r="AK211" s="109">
        <v>0.2</v>
      </c>
      <c r="AL211" s="109"/>
      <c r="AM211" s="147">
        <f t="shared" si="6"/>
        <v>0.2</v>
      </c>
      <c r="AN211" s="283" t="s">
        <v>265</v>
      </c>
      <c r="AO211" s="18" t="s">
        <v>350</v>
      </c>
      <c r="AP211" s="10" t="s">
        <v>845</v>
      </c>
    </row>
    <row r="212" spans="1:42" x14ac:dyDescent="0.3">
      <c r="A212" s="9" t="s">
        <v>30</v>
      </c>
      <c r="B212" s="10" t="s">
        <v>31</v>
      </c>
      <c r="C212" s="11" t="s">
        <v>774</v>
      </c>
      <c r="D212" s="12" t="s">
        <v>775</v>
      </c>
      <c r="E212" s="9" t="s">
        <v>776</v>
      </c>
      <c r="F212" s="12" t="s">
        <v>777</v>
      </c>
      <c r="G212" s="11" t="s">
        <v>778</v>
      </c>
      <c r="H212" s="12" t="s">
        <v>779</v>
      </c>
      <c r="I212" s="12"/>
      <c r="J212" s="12"/>
      <c r="K212" s="11" t="s">
        <v>847</v>
      </c>
      <c r="L212" s="12" t="s">
        <v>848</v>
      </c>
      <c r="M212" s="18" t="s">
        <v>849</v>
      </c>
      <c r="N212" s="424">
        <v>0</v>
      </c>
      <c r="O212" s="176">
        <v>0</v>
      </c>
      <c r="P212" s="16">
        <v>1</v>
      </c>
      <c r="Q212" s="16">
        <v>1</v>
      </c>
      <c r="R212" s="110">
        <v>1</v>
      </c>
      <c r="S212" s="110">
        <v>1</v>
      </c>
      <c r="T212" s="10" t="s">
        <v>265</v>
      </c>
      <c r="U212" s="283" t="s">
        <v>350</v>
      </c>
      <c r="V212" s="108" t="s">
        <v>850</v>
      </c>
      <c r="W212" s="298">
        <v>0</v>
      </c>
      <c r="X212" s="298">
        <v>0</v>
      </c>
      <c r="Y212" s="298">
        <v>0</v>
      </c>
      <c r="Z212" s="299">
        <v>1</v>
      </c>
      <c r="AA212" s="299">
        <v>1</v>
      </c>
      <c r="AB212" s="300">
        <v>0</v>
      </c>
      <c r="AC212" s="301">
        <v>1</v>
      </c>
      <c r="AD212" s="301">
        <v>0</v>
      </c>
      <c r="AE212" s="302">
        <f t="shared" si="7"/>
        <v>0.375</v>
      </c>
      <c r="AF212" s="63">
        <v>0</v>
      </c>
      <c r="AG212" s="17">
        <v>0</v>
      </c>
      <c r="AH212" s="17">
        <v>0</v>
      </c>
      <c r="AI212" s="32">
        <v>1</v>
      </c>
      <c r="AJ212" s="32">
        <v>1</v>
      </c>
      <c r="AK212" s="123"/>
      <c r="AL212" s="123"/>
      <c r="AM212" s="147">
        <f t="shared" si="6"/>
        <v>0</v>
      </c>
      <c r="AN212" s="10" t="s">
        <v>265</v>
      </c>
      <c r="AO212" s="18" t="s">
        <v>350</v>
      </c>
      <c r="AP212" s="10" t="s">
        <v>851</v>
      </c>
    </row>
    <row r="213" spans="1:42" x14ac:dyDescent="0.3">
      <c r="A213" s="9" t="s">
        <v>30</v>
      </c>
      <c r="B213" s="10" t="s">
        <v>31</v>
      </c>
      <c r="C213" s="11" t="s">
        <v>774</v>
      </c>
      <c r="D213" s="12" t="s">
        <v>775</v>
      </c>
      <c r="E213" s="9" t="s">
        <v>776</v>
      </c>
      <c r="F213" s="12" t="s">
        <v>777</v>
      </c>
      <c r="G213" s="11" t="s">
        <v>852</v>
      </c>
      <c r="H213" s="12" t="s">
        <v>853</v>
      </c>
      <c r="I213" s="12"/>
      <c r="J213" s="12"/>
      <c r="K213" s="11" t="s">
        <v>854</v>
      </c>
      <c r="L213" s="12" t="s">
        <v>855</v>
      </c>
      <c r="M213" s="18" t="s">
        <v>856</v>
      </c>
      <c r="N213" s="424"/>
      <c r="O213" s="14"/>
      <c r="P213" s="21"/>
      <c r="Q213" s="21"/>
      <c r="R213" s="115">
        <v>3</v>
      </c>
      <c r="S213" s="115">
        <v>4</v>
      </c>
      <c r="T213" s="10" t="s">
        <v>265</v>
      </c>
      <c r="U213" s="283" t="s">
        <v>350</v>
      </c>
      <c r="V213" s="10"/>
      <c r="W213" s="298">
        <v>1</v>
      </c>
      <c r="X213" s="298">
        <v>1</v>
      </c>
      <c r="Y213" s="298">
        <v>1</v>
      </c>
      <c r="Z213" s="298">
        <v>1</v>
      </c>
      <c r="AA213" s="298">
        <v>1</v>
      </c>
      <c r="AB213" s="298">
        <v>1</v>
      </c>
      <c r="AC213" s="298">
        <v>1</v>
      </c>
      <c r="AD213" s="301">
        <v>0</v>
      </c>
      <c r="AE213" s="302">
        <f t="shared" si="7"/>
        <v>0.875</v>
      </c>
      <c r="AF213" s="63">
        <v>0</v>
      </c>
      <c r="AG213" s="17">
        <v>0</v>
      </c>
      <c r="AH213" s="17"/>
      <c r="AI213" s="17"/>
      <c r="AJ213" s="17"/>
      <c r="AK213" s="139">
        <v>6</v>
      </c>
      <c r="AL213" s="139">
        <v>8</v>
      </c>
      <c r="AM213" s="147">
        <f t="shared" si="6"/>
        <v>14</v>
      </c>
      <c r="AN213" s="10" t="s">
        <v>265</v>
      </c>
      <c r="AO213" s="18" t="s">
        <v>350</v>
      </c>
      <c r="AP213" s="10" t="s">
        <v>92</v>
      </c>
    </row>
    <row r="214" spans="1:42" x14ac:dyDescent="0.3">
      <c r="A214" s="9" t="s">
        <v>30</v>
      </c>
      <c r="B214" s="10" t="s">
        <v>31</v>
      </c>
      <c r="C214" s="11" t="s">
        <v>774</v>
      </c>
      <c r="D214" s="12" t="s">
        <v>775</v>
      </c>
      <c r="E214" s="9" t="s">
        <v>776</v>
      </c>
      <c r="F214" s="12" t="s">
        <v>777</v>
      </c>
      <c r="G214" s="11" t="s">
        <v>857</v>
      </c>
      <c r="H214" s="12" t="s">
        <v>858</v>
      </c>
      <c r="I214" s="12"/>
      <c r="J214" s="12"/>
      <c r="K214" s="11" t="s">
        <v>859</v>
      </c>
      <c r="L214" s="12" t="s">
        <v>860</v>
      </c>
      <c r="M214" s="18" t="s">
        <v>861</v>
      </c>
      <c r="N214" s="424"/>
      <c r="O214" s="14"/>
      <c r="P214" s="21"/>
      <c r="Q214" s="21"/>
      <c r="R214" s="115"/>
      <c r="S214" s="115"/>
      <c r="T214" s="10" t="s">
        <v>92</v>
      </c>
      <c r="U214" s="283" t="s">
        <v>118</v>
      </c>
      <c r="V214" s="10"/>
      <c r="W214" s="298">
        <v>0</v>
      </c>
      <c r="X214" s="298">
        <v>0</v>
      </c>
      <c r="Y214" s="298">
        <v>0</v>
      </c>
      <c r="Z214" s="299">
        <v>0</v>
      </c>
      <c r="AA214" s="299">
        <v>0</v>
      </c>
      <c r="AB214" s="300">
        <v>0</v>
      </c>
      <c r="AC214" s="301">
        <v>0</v>
      </c>
      <c r="AD214" s="301">
        <v>0</v>
      </c>
      <c r="AE214" s="302">
        <f t="shared" si="7"/>
        <v>0</v>
      </c>
      <c r="AF214" s="63">
        <v>0</v>
      </c>
      <c r="AG214" s="17">
        <v>0</v>
      </c>
      <c r="AH214" s="17"/>
      <c r="AI214" s="17"/>
      <c r="AJ214" s="17"/>
      <c r="AK214" s="109"/>
      <c r="AL214" s="109"/>
      <c r="AM214" s="147">
        <f t="shared" si="6"/>
        <v>0</v>
      </c>
      <c r="AN214" s="10" t="s">
        <v>92</v>
      </c>
      <c r="AO214" s="18" t="s">
        <v>118</v>
      </c>
      <c r="AP214" s="10" t="s">
        <v>265</v>
      </c>
    </row>
    <row r="215" spans="1:42" x14ac:dyDescent="0.3">
      <c r="A215" s="9" t="s">
        <v>30</v>
      </c>
      <c r="B215" s="10" t="s">
        <v>31</v>
      </c>
      <c r="C215" s="11" t="s">
        <v>774</v>
      </c>
      <c r="D215" s="12" t="s">
        <v>775</v>
      </c>
      <c r="E215" s="13" t="s">
        <v>862</v>
      </c>
      <c r="F215" s="12" t="s">
        <v>863</v>
      </c>
      <c r="G215" s="13" t="s">
        <v>864</v>
      </c>
      <c r="H215" s="14" t="s">
        <v>865</v>
      </c>
      <c r="I215" s="14"/>
      <c r="J215" s="14"/>
      <c r="K215" s="13" t="s">
        <v>866</v>
      </c>
      <c r="L215" s="14" t="s">
        <v>867</v>
      </c>
      <c r="M215" s="18" t="s">
        <v>868</v>
      </c>
      <c r="N215" s="424">
        <v>0</v>
      </c>
      <c r="O215" s="176">
        <v>0</v>
      </c>
      <c r="P215" s="21">
        <v>1</v>
      </c>
      <c r="Q215" s="21"/>
      <c r="R215" s="115"/>
      <c r="S215" s="115"/>
      <c r="T215" s="12" t="s">
        <v>869</v>
      </c>
      <c r="U215" s="283" t="s">
        <v>871</v>
      </c>
      <c r="V215" s="86" t="s">
        <v>870</v>
      </c>
      <c r="W215" s="298">
        <v>1</v>
      </c>
      <c r="X215" s="298">
        <v>1</v>
      </c>
      <c r="Y215" s="298">
        <v>1</v>
      </c>
      <c r="Z215" s="299">
        <v>1</v>
      </c>
      <c r="AA215" s="299">
        <v>1</v>
      </c>
      <c r="AB215" s="300">
        <v>1</v>
      </c>
      <c r="AC215" s="301">
        <v>0</v>
      </c>
      <c r="AD215" s="301">
        <v>0</v>
      </c>
      <c r="AE215" s="302">
        <f t="shared" si="7"/>
        <v>0.75</v>
      </c>
      <c r="AF215" s="63">
        <v>0</v>
      </c>
      <c r="AG215" s="17">
        <v>0</v>
      </c>
      <c r="AH215" s="17">
        <v>25</v>
      </c>
      <c r="AI215" s="17">
        <v>1.5</v>
      </c>
      <c r="AJ215" s="17">
        <v>0</v>
      </c>
      <c r="AK215" s="109">
        <v>0</v>
      </c>
      <c r="AL215" s="109">
        <v>0</v>
      </c>
      <c r="AM215" s="147">
        <f t="shared" si="6"/>
        <v>0</v>
      </c>
      <c r="AN215" s="18" t="s">
        <v>869</v>
      </c>
      <c r="AO215" s="18" t="s">
        <v>871</v>
      </c>
      <c r="AP215" s="10" t="s">
        <v>872</v>
      </c>
    </row>
    <row r="216" spans="1:42" x14ac:dyDescent="0.3">
      <c r="A216" s="9" t="s">
        <v>30</v>
      </c>
      <c r="B216" s="10" t="s">
        <v>31</v>
      </c>
      <c r="C216" s="11" t="s">
        <v>774</v>
      </c>
      <c r="D216" s="12" t="s">
        <v>775</v>
      </c>
      <c r="E216" s="13" t="s">
        <v>862</v>
      </c>
      <c r="F216" s="12" t="s">
        <v>863</v>
      </c>
      <c r="G216" s="13" t="s">
        <v>864</v>
      </c>
      <c r="H216" s="14" t="s">
        <v>865</v>
      </c>
      <c r="I216" s="14"/>
      <c r="J216" s="14"/>
      <c r="K216" s="13" t="s">
        <v>866</v>
      </c>
      <c r="L216" s="14" t="s">
        <v>867</v>
      </c>
      <c r="M216" s="18" t="s">
        <v>873</v>
      </c>
      <c r="N216" s="424">
        <v>0</v>
      </c>
      <c r="O216" s="176">
        <v>0</v>
      </c>
      <c r="P216" s="21">
        <v>2</v>
      </c>
      <c r="Q216" s="21">
        <v>2</v>
      </c>
      <c r="R216" s="115">
        <v>1</v>
      </c>
      <c r="S216" s="115">
        <v>1</v>
      </c>
      <c r="T216" s="12" t="s">
        <v>869</v>
      </c>
      <c r="U216" s="283" t="s">
        <v>871</v>
      </c>
      <c r="V216" s="10" t="s">
        <v>870</v>
      </c>
      <c r="W216" s="298">
        <v>1</v>
      </c>
      <c r="X216" s="298">
        <v>1</v>
      </c>
      <c r="Y216" s="298">
        <v>1</v>
      </c>
      <c r="Z216" s="299">
        <v>1</v>
      </c>
      <c r="AA216" s="299">
        <v>1</v>
      </c>
      <c r="AB216" s="300">
        <v>1</v>
      </c>
      <c r="AC216" s="301">
        <v>1</v>
      </c>
      <c r="AD216" s="301">
        <v>1</v>
      </c>
      <c r="AE216" s="302">
        <f t="shared" si="7"/>
        <v>1</v>
      </c>
      <c r="AF216" s="63">
        <v>0</v>
      </c>
      <c r="AG216" s="17">
        <v>0</v>
      </c>
      <c r="AH216" s="17"/>
      <c r="AI216" s="17"/>
      <c r="AJ216" s="17"/>
      <c r="AK216" s="139">
        <v>7</v>
      </c>
      <c r="AL216" s="139">
        <v>7</v>
      </c>
      <c r="AM216" s="147">
        <f t="shared" si="6"/>
        <v>14</v>
      </c>
      <c r="AN216" s="18" t="s">
        <v>869</v>
      </c>
      <c r="AO216" s="18" t="s">
        <v>871</v>
      </c>
      <c r="AP216" s="10" t="s">
        <v>872</v>
      </c>
    </row>
    <row r="217" spans="1:42" x14ac:dyDescent="0.3">
      <c r="A217" s="9" t="s">
        <v>30</v>
      </c>
      <c r="B217" s="10" t="s">
        <v>31</v>
      </c>
      <c r="C217" s="11" t="s">
        <v>774</v>
      </c>
      <c r="D217" s="12" t="s">
        <v>775</v>
      </c>
      <c r="E217" s="13" t="s">
        <v>862</v>
      </c>
      <c r="F217" s="12" t="s">
        <v>863</v>
      </c>
      <c r="G217" s="11" t="s">
        <v>864</v>
      </c>
      <c r="H217" s="12" t="s">
        <v>865</v>
      </c>
      <c r="I217" s="14"/>
      <c r="J217" s="14"/>
      <c r="K217" s="13" t="s">
        <v>874</v>
      </c>
      <c r="L217" s="14" t="s">
        <v>875</v>
      </c>
      <c r="M217" s="18" t="s">
        <v>876</v>
      </c>
      <c r="N217" s="424">
        <v>0</v>
      </c>
      <c r="O217" s="176">
        <v>0</v>
      </c>
      <c r="P217" s="21"/>
      <c r="Q217" s="21"/>
      <c r="R217" s="115"/>
      <c r="S217" s="115"/>
      <c r="T217" s="12" t="s">
        <v>877</v>
      </c>
      <c r="U217" s="283" t="s">
        <v>880</v>
      </c>
      <c r="V217" s="10" t="s">
        <v>878</v>
      </c>
      <c r="W217" s="298">
        <v>1</v>
      </c>
      <c r="X217" s="298">
        <v>1</v>
      </c>
      <c r="Y217" s="298">
        <v>1</v>
      </c>
      <c r="Z217" s="299">
        <v>1</v>
      </c>
      <c r="AA217" s="299">
        <v>1</v>
      </c>
      <c r="AB217" s="300">
        <v>1</v>
      </c>
      <c r="AC217" s="301">
        <v>1</v>
      </c>
      <c r="AD217" s="301">
        <v>1</v>
      </c>
      <c r="AE217" s="302">
        <f t="shared" si="7"/>
        <v>1</v>
      </c>
      <c r="AF217" s="63">
        <v>0</v>
      </c>
      <c r="AG217" s="17">
        <v>0</v>
      </c>
      <c r="AH217" s="17">
        <v>2.5</v>
      </c>
      <c r="AI217" s="17">
        <v>1.35</v>
      </c>
      <c r="AJ217" s="17">
        <v>2.4500000000000002</v>
      </c>
      <c r="AK217" s="139"/>
      <c r="AL217" s="139">
        <v>1.67</v>
      </c>
      <c r="AM217" s="147">
        <f t="shared" si="6"/>
        <v>1.67</v>
      </c>
      <c r="AN217" s="18" t="s">
        <v>879</v>
      </c>
      <c r="AO217" s="18" t="s">
        <v>880</v>
      </c>
      <c r="AP217" s="10" t="s">
        <v>881</v>
      </c>
    </row>
    <row r="218" spans="1:42" x14ac:dyDescent="0.3">
      <c r="A218" s="9" t="s">
        <v>30</v>
      </c>
      <c r="B218" s="10" t="s">
        <v>31</v>
      </c>
      <c r="C218" s="11" t="s">
        <v>774</v>
      </c>
      <c r="D218" s="12" t="s">
        <v>775</v>
      </c>
      <c r="E218" s="13" t="s">
        <v>862</v>
      </c>
      <c r="F218" s="12" t="s">
        <v>863</v>
      </c>
      <c r="G218" s="11" t="s">
        <v>864</v>
      </c>
      <c r="H218" s="12" t="s">
        <v>865</v>
      </c>
      <c r="I218" s="14"/>
      <c r="J218" s="14"/>
      <c r="K218" s="13" t="s">
        <v>882</v>
      </c>
      <c r="L218" s="14" t="s">
        <v>883</v>
      </c>
      <c r="M218" s="18" t="s">
        <v>884</v>
      </c>
      <c r="N218" s="424">
        <v>0</v>
      </c>
      <c r="O218" s="176">
        <v>0</v>
      </c>
      <c r="P218" s="16">
        <v>2</v>
      </c>
      <c r="Q218" s="16">
        <v>2</v>
      </c>
      <c r="R218" s="110">
        <v>1</v>
      </c>
      <c r="S218" s="110">
        <v>1</v>
      </c>
      <c r="T218" s="10" t="s">
        <v>359</v>
      </c>
      <c r="U218" s="283" t="s">
        <v>361</v>
      </c>
      <c r="V218" s="10" t="s">
        <v>885</v>
      </c>
      <c r="W218" s="298">
        <v>1</v>
      </c>
      <c r="X218" s="298">
        <v>1</v>
      </c>
      <c r="Y218" s="298">
        <v>1</v>
      </c>
      <c r="Z218" s="299">
        <v>1</v>
      </c>
      <c r="AA218" s="299">
        <v>1</v>
      </c>
      <c r="AB218" s="300">
        <v>1</v>
      </c>
      <c r="AC218" s="301">
        <v>1</v>
      </c>
      <c r="AD218" s="301">
        <v>0</v>
      </c>
      <c r="AE218" s="302">
        <f t="shared" si="7"/>
        <v>0.875</v>
      </c>
      <c r="AF218" s="63">
        <v>0</v>
      </c>
      <c r="AG218" s="17">
        <v>0</v>
      </c>
      <c r="AH218" s="17">
        <v>0</v>
      </c>
      <c r="AI218" s="32">
        <v>32.5</v>
      </c>
      <c r="AJ218" s="32">
        <v>32.5</v>
      </c>
      <c r="AK218" s="141">
        <v>15</v>
      </c>
      <c r="AL218" s="141">
        <v>15</v>
      </c>
      <c r="AM218" s="147">
        <f t="shared" si="6"/>
        <v>30</v>
      </c>
      <c r="AN218" s="18" t="s">
        <v>359</v>
      </c>
      <c r="AO218" s="18" t="s">
        <v>361</v>
      </c>
      <c r="AP218" s="10" t="s">
        <v>886</v>
      </c>
    </row>
    <row r="219" spans="1:42" x14ac:dyDescent="0.3">
      <c r="A219" s="9" t="s">
        <v>30</v>
      </c>
      <c r="B219" s="10" t="s">
        <v>31</v>
      </c>
      <c r="C219" s="11" t="s">
        <v>774</v>
      </c>
      <c r="D219" s="12" t="s">
        <v>775</v>
      </c>
      <c r="E219" s="13" t="s">
        <v>862</v>
      </c>
      <c r="F219" s="12" t="s">
        <v>863</v>
      </c>
      <c r="G219" s="11" t="s">
        <v>864</v>
      </c>
      <c r="H219" s="12" t="s">
        <v>865</v>
      </c>
      <c r="I219" s="14"/>
      <c r="J219" s="14"/>
      <c r="K219" s="9" t="s">
        <v>887</v>
      </c>
      <c r="L219" s="10" t="s">
        <v>888</v>
      </c>
      <c r="M219" s="18" t="s">
        <v>889</v>
      </c>
      <c r="N219" s="424">
        <v>0</v>
      </c>
      <c r="O219" s="14"/>
      <c r="P219" s="21">
        <v>500</v>
      </c>
      <c r="Q219" s="21">
        <v>500</v>
      </c>
      <c r="R219" s="115"/>
      <c r="S219" s="115"/>
      <c r="T219" s="12" t="s">
        <v>877</v>
      </c>
      <c r="U219" s="283" t="s">
        <v>880</v>
      </c>
      <c r="V219" s="10" t="s">
        <v>890</v>
      </c>
      <c r="W219" s="298">
        <v>1</v>
      </c>
      <c r="X219" s="298">
        <v>0</v>
      </c>
      <c r="Y219" s="298">
        <v>0</v>
      </c>
      <c r="Z219" s="299">
        <v>1</v>
      </c>
      <c r="AA219" s="299">
        <v>1</v>
      </c>
      <c r="AB219" s="300">
        <v>1</v>
      </c>
      <c r="AC219" s="301">
        <v>1</v>
      </c>
      <c r="AD219" s="301">
        <v>0</v>
      </c>
      <c r="AE219" s="302">
        <f t="shared" si="7"/>
        <v>0.625</v>
      </c>
      <c r="AF219" s="63">
        <v>1</v>
      </c>
      <c r="AG219" s="17">
        <v>0</v>
      </c>
      <c r="AH219" s="17">
        <v>5</v>
      </c>
      <c r="AI219" s="17">
        <v>5</v>
      </c>
      <c r="AJ219" s="17">
        <v>0</v>
      </c>
      <c r="AK219" s="139">
        <v>0.1</v>
      </c>
      <c r="AL219" s="109"/>
      <c r="AM219" s="147">
        <f t="shared" si="6"/>
        <v>0.1</v>
      </c>
      <c r="AN219" s="18" t="s">
        <v>879</v>
      </c>
      <c r="AO219" s="18" t="s">
        <v>880</v>
      </c>
      <c r="AP219" s="10" t="s">
        <v>891</v>
      </c>
    </row>
    <row r="220" spans="1:42" x14ac:dyDescent="0.3">
      <c r="A220" s="9" t="s">
        <v>30</v>
      </c>
      <c r="B220" s="10" t="s">
        <v>31</v>
      </c>
      <c r="C220" s="11" t="s">
        <v>774</v>
      </c>
      <c r="D220" s="12" t="s">
        <v>775</v>
      </c>
      <c r="E220" s="13" t="s">
        <v>862</v>
      </c>
      <c r="F220" s="12" t="s">
        <v>863</v>
      </c>
      <c r="G220" s="11" t="s">
        <v>864</v>
      </c>
      <c r="H220" s="12" t="s">
        <v>865</v>
      </c>
      <c r="I220" s="14"/>
      <c r="J220" s="14"/>
      <c r="K220" s="9" t="s">
        <v>892</v>
      </c>
      <c r="L220" s="10" t="s">
        <v>893</v>
      </c>
      <c r="M220" s="18" t="s">
        <v>894</v>
      </c>
      <c r="N220" s="424">
        <v>0</v>
      </c>
      <c r="O220" s="176">
        <v>0</v>
      </c>
      <c r="P220" s="21">
        <v>1</v>
      </c>
      <c r="Q220" s="21">
        <v>1</v>
      </c>
      <c r="R220" s="115"/>
      <c r="S220" s="140">
        <v>1</v>
      </c>
      <c r="T220" s="12" t="s">
        <v>877</v>
      </c>
      <c r="U220" s="283" t="s">
        <v>880</v>
      </c>
      <c r="V220" s="18" t="s">
        <v>895</v>
      </c>
      <c r="W220" s="298">
        <v>1</v>
      </c>
      <c r="X220" s="298">
        <v>0</v>
      </c>
      <c r="Y220" s="298">
        <v>0</v>
      </c>
      <c r="Z220" s="299">
        <v>1</v>
      </c>
      <c r="AA220" s="299">
        <v>1</v>
      </c>
      <c r="AB220" s="300">
        <v>1</v>
      </c>
      <c r="AC220" s="301">
        <v>1</v>
      </c>
      <c r="AD220" s="301">
        <v>0</v>
      </c>
      <c r="AE220" s="302">
        <f t="shared" si="7"/>
        <v>0.625</v>
      </c>
      <c r="AF220" s="63">
        <v>0</v>
      </c>
      <c r="AG220" s="17">
        <v>0</v>
      </c>
      <c r="AH220" s="17">
        <v>0</v>
      </c>
      <c r="AI220" s="17">
        <v>5</v>
      </c>
      <c r="AJ220" s="17">
        <v>5</v>
      </c>
      <c r="AK220" s="139"/>
      <c r="AL220" s="139">
        <v>8</v>
      </c>
      <c r="AM220" s="147">
        <f t="shared" si="6"/>
        <v>8</v>
      </c>
      <c r="AN220" s="18" t="s">
        <v>879</v>
      </c>
      <c r="AO220" s="18" t="s">
        <v>880</v>
      </c>
      <c r="AP220" s="10" t="s">
        <v>896</v>
      </c>
    </row>
    <row r="221" spans="1:42" x14ac:dyDescent="0.3">
      <c r="A221" s="9" t="s">
        <v>30</v>
      </c>
      <c r="B221" s="10" t="s">
        <v>31</v>
      </c>
      <c r="C221" s="11" t="s">
        <v>774</v>
      </c>
      <c r="D221" s="12" t="s">
        <v>775</v>
      </c>
      <c r="E221" s="13" t="s">
        <v>862</v>
      </c>
      <c r="F221" s="12" t="s">
        <v>863</v>
      </c>
      <c r="G221" s="11" t="s">
        <v>897</v>
      </c>
      <c r="H221" s="12" t="s">
        <v>898</v>
      </c>
      <c r="I221" s="12" t="s">
        <v>899</v>
      </c>
      <c r="J221" s="12" t="s">
        <v>900</v>
      </c>
      <c r="K221" s="11" t="s">
        <v>901</v>
      </c>
      <c r="L221" s="12" t="s">
        <v>902</v>
      </c>
      <c r="M221" s="18" t="s">
        <v>903</v>
      </c>
      <c r="N221" s="424">
        <v>0</v>
      </c>
      <c r="O221" s="176">
        <v>0</v>
      </c>
      <c r="P221" s="16">
        <v>3</v>
      </c>
      <c r="Q221" s="16">
        <v>3</v>
      </c>
      <c r="R221" s="110">
        <v>1</v>
      </c>
      <c r="S221" s="110">
        <v>1</v>
      </c>
      <c r="T221" s="10" t="s">
        <v>869</v>
      </c>
      <c r="U221" s="283" t="s">
        <v>871</v>
      </c>
      <c r="V221" s="10" t="s">
        <v>904</v>
      </c>
      <c r="W221" s="298">
        <v>1</v>
      </c>
      <c r="X221" s="298">
        <v>0</v>
      </c>
      <c r="Y221" s="298">
        <v>0</v>
      </c>
      <c r="Z221" s="299">
        <v>1</v>
      </c>
      <c r="AA221" s="299">
        <v>1</v>
      </c>
      <c r="AB221" s="300">
        <v>1</v>
      </c>
      <c r="AC221" s="301">
        <v>1</v>
      </c>
      <c r="AD221" s="301">
        <v>0</v>
      </c>
      <c r="AE221" s="302">
        <f t="shared" si="7"/>
        <v>0.625</v>
      </c>
      <c r="AF221" s="63">
        <v>0</v>
      </c>
      <c r="AG221" s="17">
        <v>0</v>
      </c>
      <c r="AH221" s="17">
        <v>0</v>
      </c>
      <c r="AI221" s="32">
        <v>0.2</v>
      </c>
      <c r="AJ221" s="32">
        <v>0.5</v>
      </c>
      <c r="AK221" s="141">
        <v>0.3</v>
      </c>
      <c r="AL221" s="141">
        <v>0.3</v>
      </c>
      <c r="AM221" s="147">
        <f t="shared" si="6"/>
        <v>0.6</v>
      </c>
      <c r="AN221" s="18" t="s">
        <v>869</v>
      </c>
      <c r="AO221" s="18" t="s">
        <v>871</v>
      </c>
      <c r="AP221" s="10" t="s">
        <v>905</v>
      </c>
    </row>
    <row r="222" spans="1:42" x14ac:dyDescent="0.3">
      <c r="A222" s="9" t="s">
        <v>30</v>
      </c>
      <c r="B222" s="10" t="s">
        <v>31</v>
      </c>
      <c r="C222" s="11" t="s">
        <v>774</v>
      </c>
      <c r="D222" s="12" t="s">
        <v>775</v>
      </c>
      <c r="E222" s="13" t="s">
        <v>862</v>
      </c>
      <c r="F222" s="12" t="s">
        <v>863</v>
      </c>
      <c r="G222" s="11" t="s">
        <v>897</v>
      </c>
      <c r="H222" s="12" t="s">
        <v>898</v>
      </c>
      <c r="I222" s="12" t="s">
        <v>899</v>
      </c>
      <c r="J222" s="12" t="s">
        <v>900</v>
      </c>
      <c r="K222" s="11" t="s">
        <v>906</v>
      </c>
      <c r="L222" s="12" t="s">
        <v>907</v>
      </c>
      <c r="M222" s="18" t="s">
        <v>908</v>
      </c>
      <c r="N222" s="424">
        <v>0</v>
      </c>
      <c r="O222" s="176">
        <v>0</v>
      </c>
      <c r="P222" s="16">
        <v>300</v>
      </c>
      <c r="Q222" s="16">
        <v>300</v>
      </c>
      <c r="R222" s="110">
        <v>300</v>
      </c>
      <c r="S222" s="110">
        <v>300</v>
      </c>
      <c r="T222" s="10" t="s">
        <v>265</v>
      </c>
      <c r="U222" s="283" t="s">
        <v>350</v>
      </c>
      <c r="V222" s="10" t="s">
        <v>909</v>
      </c>
      <c r="W222" s="298">
        <v>1</v>
      </c>
      <c r="X222" s="298">
        <v>0</v>
      </c>
      <c r="Y222" s="298">
        <v>0</v>
      </c>
      <c r="Z222" s="299">
        <v>1</v>
      </c>
      <c r="AA222" s="299">
        <v>1</v>
      </c>
      <c r="AB222" s="300">
        <v>0</v>
      </c>
      <c r="AC222" s="301">
        <v>0</v>
      </c>
      <c r="AD222" s="301">
        <v>0</v>
      </c>
      <c r="AE222" s="302">
        <f t="shared" si="7"/>
        <v>0.375</v>
      </c>
      <c r="AF222" s="63">
        <v>0</v>
      </c>
      <c r="AG222" s="17">
        <v>0</v>
      </c>
      <c r="AH222" s="17">
        <v>0</v>
      </c>
      <c r="AI222" s="32">
        <v>1</v>
      </c>
      <c r="AJ222" s="32">
        <v>1</v>
      </c>
      <c r="AK222" s="123"/>
      <c r="AL222" s="123"/>
      <c r="AM222" s="147">
        <f t="shared" si="6"/>
        <v>0</v>
      </c>
      <c r="AN222" s="283" t="s">
        <v>265</v>
      </c>
      <c r="AO222" s="18" t="s">
        <v>350</v>
      </c>
      <c r="AP222" s="10" t="s">
        <v>910</v>
      </c>
    </row>
    <row r="223" spans="1:42" x14ac:dyDescent="0.3">
      <c r="A223" s="9" t="s">
        <v>30</v>
      </c>
      <c r="B223" s="10" t="s">
        <v>31</v>
      </c>
      <c r="C223" s="11" t="s">
        <v>774</v>
      </c>
      <c r="D223" s="12" t="s">
        <v>775</v>
      </c>
      <c r="E223" s="13" t="s">
        <v>862</v>
      </c>
      <c r="F223" s="12" t="s">
        <v>863</v>
      </c>
      <c r="G223" s="11" t="s">
        <v>897</v>
      </c>
      <c r="H223" s="12" t="s">
        <v>898</v>
      </c>
      <c r="I223" s="12" t="s">
        <v>911</v>
      </c>
      <c r="J223" s="12" t="s">
        <v>912</v>
      </c>
      <c r="K223" s="11" t="s">
        <v>913</v>
      </c>
      <c r="L223" s="12" t="s">
        <v>914</v>
      </c>
      <c r="M223" s="14" t="s">
        <v>915</v>
      </c>
      <c r="N223" s="424"/>
      <c r="O223" s="176"/>
      <c r="P223" s="16"/>
      <c r="Q223" s="16"/>
      <c r="R223" s="110"/>
      <c r="S223" s="110"/>
      <c r="T223" s="10" t="s">
        <v>723</v>
      </c>
      <c r="U223" s="283" t="s">
        <v>729</v>
      </c>
      <c r="V223" s="10"/>
      <c r="W223" s="298">
        <v>1</v>
      </c>
      <c r="X223" s="298">
        <v>0</v>
      </c>
      <c r="Y223" s="298">
        <v>0</v>
      </c>
      <c r="Z223" s="299">
        <v>1</v>
      </c>
      <c r="AA223" s="299">
        <v>1</v>
      </c>
      <c r="AB223" s="300">
        <v>0</v>
      </c>
      <c r="AC223" s="301">
        <v>0</v>
      </c>
      <c r="AD223" s="301">
        <v>0</v>
      </c>
      <c r="AE223" s="302">
        <f t="shared" si="7"/>
        <v>0.375</v>
      </c>
      <c r="AF223" s="63">
        <v>0</v>
      </c>
      <c r="AG223" s="17">
        <v>0</v>
      </c>
      <c r="AH223" s="17"/>
      <c r="AI223" s="17"/>
      <c r="AJ223" s="17"/>
      <c r="AK223" s="109"/>
      <c r="AL223" s="109"/>
      <c r="AM223" s="147">
        <f t="shared" si="6"/>
        <v>0</v>
      </c>
      <c r="AN223" s="18" t="s">
        <v>723</v>
      </c>
      <c r="AO223" s="18" t="s">
        <v>729</v>
      </c>
      <c r="AP223" s="10"/>
    </row>
    <row r="224" spans="1:42" x14ac:dyDescent="0.3">
      <c r="A224" s="9" t="s">
        <v>30</v>
      </c>
      <c r="B224" s="10" t="s">
        <v>31</v>
      </c>
      <c r="C224" s="11" t="s">
        <v>774</v>
      </c>
      <c r="D224" s="12" t="s">
        <v>775</v>
      </c>
      <c r="E224" s="13" t="s">
        <v>862</v>
      </c>
      <c r="F224" s="12" t="s">
        <v>863</v>
      </c>
      <c r="G224" s="11" t="s">
        <v>897</v>
      </c>
      <c r="H224" s="12" t="s">
        <v>898</v>
      </c>
      <c r="I224" s="12" t="s">
        <v>916</v>
      </c>
      <c r="J224" s="12" t="s">
        <v>917</v>
      </c>
      <c r="K224" s="12" t="s">
        <v>918</v>
      </c>
      <c r="L224" s="12" t="s">
        <v>919</v>
      </c>
      <c r="M224" s="18" t="s">
        <v>920</v>
      </c>
      <c r="N224" s="424"/>
      <c r="O224" s="176"/>
      <c r="P224" s="16"/>
      <c r="Q224" s="16"/>
      <c r="R224" s="110"/>
      <c r="S224" s="110"/>
      <c r="T224" s="10" t="s">
        <v>921</v>
      </c>
      <c r="U224" s="283" t="s">
        <v>880</v>
      </c>
      <c r="V224" s="10"/>
      <c r="W224" s="298">
        <v>1</v>
      </c>
      <c r="X224" s="298">
        <v>0</v>
      </c>
      <c r="Y224" s="298">
        <v>0</v>
      </c>
      <c r="Z224" s="299">
        <v>1</v>
      </c>
      <c r="AA224" s="299">
        <v>1</v>
      </c>
      <c r="AB224" s="300">
        <v>0</v>
      </c>
      <c r="AC224" s="301">
        <v>0</v>
      </c>
      <c r="AD224" s="301">
        <v>0</v>
      </c>
      <c r="AE224" s="302">
        <f t="shared" si="7"/>
        <v>0.375</v>
      </c>
      <c r="AF224" s="63">
        <v>0</v>
      </c>
      <c r="AG224" s="17">
        <v>0</v>
      </c>
      <c r="AH224" s="17"/>
      <c r="AI224" s="17"/>
      <c r="AJ224" s="17"/>
      <c r="AK224" s="109"/>
      <c r="AL224" s="109"/>
      <c r="AM224" s="147">
        <f t="shared" si="6"/>
        <v>0</v>
      </c>
      <c r="AN224" s="283" t="s">
        <v>921</v>
      </c>
      <c r="AO224" s="18" t="s">
        <v>880</v>
      </c>
      <c r="AP224" s="10"/>
    </row>
    <row r="225" spans="1:42" s="300" customFormat="1" x14ac:dyDescent="0.3">
      <c r="A225" s="66" t="s">
        <v>30</v>
      </c>
      <c r="B225" s="67" t="s">
        <v>31</v>
      </c>
      <c r="C225" s="68" t="s">
        <v>774</v>
      </c>
      <c r="D225" s="69" t="s">
        <v>775</v>
      </c>
      <c r="E225" s="76" t="s">
        <v>862</v>
      </c>
      <c r="F225" s="69" t="s">
        <v>863</v>
      </c>
      <c r="G225" s="68" t="s">
        <v>922</v>
      </c>
      <c r="H225" s="69" t="s">
        <v>923</v>
      </c>
      <c r="I225" s="69" t="s">
        <v>924</v>
      </c>
      <c r="J225" s="69" t="s">
        <v>925</v>
      </c>
      <c r="K225" s="77" t="s">
        <v>926</v>
      </c>
      <c r="L225" s="74" t="s">
        <v>927</v>
      </c>
      <c r="M225" s="74" t="s">
        <v>928</v>
      </c>
      <c r="N225" s="426">
        <v>0</v>
      </c>
      <c r="O225" s="99">
        <v>1</v>
      </c>
      <c r="P225" s="75">
        <v>1</v>
      </c>
      <c r="Q225" s="75">
        <v>2</v>
      </c>
      <c r="R225" s="140">
        <v>1</v>
      </c>
      <c r="S225" s="140"/>
      <c r="T225" s="69" t="s">
        <v>619</v>
      </c>
      <c r="U225" s="300" t="e">
        <v>#N/A</v>
      </c>
      <c r="V225" s="74" t="s">
        <v>929</v>
      </c>
      <c r="W225" s="298">
        <v>1</v>
      </c>
      <c r="X225" s="298">
        <v>1</v>
      </c>
      <c r="Y225" s="298">
        <v>1</v>
      </c>
      <c r="Z225" s="299">
        <v>1</v>
      </c>
      <c r="AA225" s="299">
        <v>1</v>
      </c>
      <c r="AB225" s="300">
        <v>1</v>
      </c>
      <c r="AC225" s="301">
        <v>1</v>
      </c>
      <c r="AD225" s="301">
        <v>0</v>
      </c>
      <c r="AE225" s="305">
        <f t="shared" si="7"/>
        <v>0.875</v>
      </c>
      <c r="AF225" s="63">
        <v>0</v>
      </c>
      <c r="AG225" s="73">
        <v>0</v>
      </c>
      <c r="AH225" s="73">
        <v>14.5</v>
      </c>
      <c r="AI225" s="73">
        <v>14.5</v>
      </c>
      <c r="AJ225" s="73">
        <v>15</v>
      </c>
      <c r="AK225" s="139">
        <v>10</v>
      </c>
      <c r="AL225" s="139">
        <v>10</v>
      </c>
      <c r="AM225" s="147">
        <f t="shared" si="6"/>
        <v>20</v>
      </c>
      <c r="AN225" s="10" t="s">
        <v>619</v>
      </c>
      <c r="AO225" s="74" t="s">
        <v>350</v>
      </c>
      <c r="AP225" s="67" t="s">
        <v>930</v>
      </c>
    </row>
    <row r="226" spans="1:42" s="300" customFormat="1" x14ac:dyDescent="0.3">
      <c r="A226" s="66" t="s">
        <v>30</v>
      </c>
      <c r="B226" s="67" t="s">
        <v>31</v>
      </c>
      <c r="C226" s="68" t="s">
        <v>774</v>
      </c>
      <c r="D226" s="69" t="s">
        <v>775</v>
      </c>
      <c r="E226" s="76" t="s">
        <v>862</v>
      </c>
      <c r="F226" s="69" t="s">
        <v>863</v>
      </c>
      <c r="G226" s="68" t="s">
        <v>922</v>
      </c>
      <c r="H226" s="69" t="s">
        <v>923</v>
      </c>
      <c r="I226" s="69" t="s">
        <v>931</v>
      </c>
      <c r="J226" s="69" t="s">
        <v>932</v>
      </c>
      <c r="K226" s="66" t="s">
        <v>933</v>
      </c>
      <c r="L226" s="67" t="s">
        <v>934</v>
      </c>
      <c r="M226" s="74" t="s">
        <v>935</v>
      </c>
      <c r="N226" s="426">
        <v>0.3</v>
      </c>
      <c r="O226" s="436">
        <v>0.5</v>
      </c>
      <c r="P226" s="78">
        <v>0.75</v>
      </c>
      <c r="Q226" s="78">
        <v>1</v>
      </c>
      <c r="R226" s="115"/>
      <c r="S226" s="115"/>
      <c r="T226" s="69" t="s">
        <v>798</v>
      </c>
      <c r="U226" s="300" t="s">
        <v>350</v>
      </c>
      <c r="V226" s="67" t="s">
        <v>936</v>
      </c>
      <c r="W226" s="298">
        <v>1</v>
      </c>
      <c r="X226" s="298">
        <v>1</v>
      </c>
      <c r="Y226" s="298">
        <v>1</v>
      </c>
      <c r="Z226" s="299">
        <v>1</v>
      </c>
      <c r="AA226" s="299">
        <v>1</v>
      </c>
      <c r="AB226" s="300">
        <v>1</v>
      </c>
      <c r="AC226" s="301">
        <v>1</v>
      </c>
      <c r="AD226" s="301">
        <v>0</v>
      </c>
      <c r="AE226" s="305">
        <f t="shared" si="7"/>
        <v>0.875</v>
      </c>
      <c r="AF226" s="63">
        <v>0</v>
      </c>
      <c r="AG226" s="73">
        <v>0</v>
      </c>
      <c r="AH226" s="73">
        <v>7.5</v>
      </c>
      <c r="AI226" s="73">
        <v>2</v>
      </c>
      <c r="AJ226" s="73">
        <v>2</v>
      </c>
      <c r="AK226" s="139">
        <v>2</v>
      </c>
      <c r="AL226" s="139">
        <v>0</v>
      </c>
      <c r="AM226" s="147">
        <f t="shared" si="6"/>
        <v>2</v>
      </c>
      <c r="AN226" s="10" t="s">
        <v>619</v>
      </c>
      <c r="AO226" s="74" t="s">
        <v>350</v>
      </c>
      <c r="AP226" s="67" t="s">
        <v>937</v>
      </c>
    </row>
    <row r="227" spans="1:42" s="300" customFormat="1" x14ac:dyDescent="0.3">
      <c r="A227" s="66" t="s">
        <v>30</v>
      </c>
      <c r="B227" s="67" t="s">
        <v>31</v>
      </c>
      <c r="C227" s="68" t="s">
        <v>774</v>
      </c>
      <c r="D227" s="69" t="s">
        <v>775</v>
      </c>
      <c r="E227" s="76" t="s">
        <v>862</v>
      </c>
      <c r="F227" s="69" t="s">
        <v>863</v>
      </c>
      <c r="G227" s="68" t="s">
        <v>922</v>
      </c>
      <c r="H227" s="69" t="s">
        <v>923</v>
      </c>
      <c r="I227" s="69" t="s">
        <v>931</v>
      </c>
      <c r="J227" s="69" t="s">
        <v>932</v>
      </c>
      <c r="K227" s="66" t="s">
        <v>933</v>
      </c>
      <c r="L227" s="67" t="s">
        <v>934</v>
      </c>
      <c r="M227" s="74" t="s">
        <v>938</v>
      </c>
      <c r="N227" s="426">
        <v>0</v>
      </c>
      <c r="O227" s="427">
        <v>0</v>
      </c>
      <c r="P227" s="75">
        <v>2</v>
      </c>
      <c r="Q227" s="75"/>
      <c r="R227" s="115"/>
      <c r="S227" s="115"/>
      <c r="T227" s="69" t="s">
        <v>798</v>
      </c>
      <c r="U227" s="300" t="s">
        <v>350</v>
      </c>
      <c r="V227" s="67" t="s">
        <v>936</v>
      </c>
      <c r="W227" s="298">
        <v>1</v>
      </c>
      <c r="X227" s="298">
        <v>1</v>
      </c>
      <c r="Y227" s="298">
        <v>1</v>
      </c>
      <c r="Z227" s="299">
        <v>1</v>
      </c>
      <c r="AA227" s="299">
        <v>1</v>
      </c>
      <c r="AB227" s="300">
        <v>1</v>
      </c>
      <c r="AC227" s="301">
        <v>1</v>
      </c>
      <c r="AD227" s="301">
        <v>0</v>
      </c>
      <c r="AE227" s="305">
        <f t="shared" si="7"/>
        <v>0.875</v>
      </c>
      <c r="AF227" s="63">
        <v>0</v>
      </c>
      <c r="AG227" s="73">
        <v>0</v>
      </c>
      <c r="AH227" s="73"/>
      <c r="AI227" s="73"/>
      <c r="AJ227" s="73"/>
      <c r="AK227" s="109"/>
      <c r="AL227" s="109"/>
      <c r="AM227" s="147">
        <f t="shared" si="6"/>
        <v>0</v>
      </c>
      <c r="AN227" s="10" t="s">
        <v>619</v>
      </c>
      <c r="AO227" s="74" t="s">
        <v>350</v>
      </c>
      <c r="AP227" s="67" t="s">
        <v>937</v>
      </c>
    </row>
    <row r="228" spans="1:42" s="300" customFormat="1" x14ac:dyDescent="0.3">
      <c r="A228" s="66" t="s">
        <v>30</v>
      </c>
      <c r="B228" s="67" t="s">
        <v>31</v>
      </c>
      <c r="C228" s="68" t="s">
        <v>774</v>
      </c>
      <c r="D228" s="69" t="s">
        <v>775</v>
      </c>
      <c r="E228" s="76" t="s">
        <v>862</v>
      </c>
      <c r="F228" s="69" t="s">
        <v>863</v>
      </c>
      <c r="G228" s="68" t="s">
        <v>922</v>
      </c>
      <c r="H228" s="69" t="s">
        <v>923</v>
      </c>
      <c r="I228" s="69" t="s">
        <v>931</v>
      </c>
      <c r="J228" s="69" t="s">
        <v>932</v>
      </c>
      <c r="K228" s="66" t="s">
        <v>933</v>
      </c>
      <c r="L228" s="67" t="s">
        <v>934</v>
      </c>
      <c r="M228" s="74" t="s">
        <v>939</v>
      </c>
      <c r="N228" s="426"/>
      <c r="O228" s="427">
        <v>0</v>
      </c>
      <c r="P228" s="75"/>
      <c r="Q228" s="75">
        <v>1</v>
      </c>
      <c r="R228" s="115">
        <v>1</v>
      </c>
      <c r="S228" s="115"/>
      <c r="T228" s="69" t="s">
        <v>798</v>
      </c>
      <c r="U228" s="300" t="s">
        <v>350</v>
      </c>
      <c r="V228" s="67" t="s">
        <v>936</v>
      </c>
      <c r="W228" s="298">
        <v>1</v>
      </c>
      <c r="X228" s="298">
        <v>1</v>
      </c>
      <c r="Y228" s="298">
        <v>1</v>
      </c>
      <c r="Z228" s="299">
        <v>1</v>
      </c>
      <c r="AA228" s="299">
        <v>1</v>
      </c>
      <c r="AB228" s="300">
        <v>1</v>
      </c>
      <c r="AC228" s="301">
        <v>1</v>
      </c>
      <c r="AD228" s="301">
        <v>0</v>
      </c>
      <c r="AE228" s="305">
        <f t="shared" si="7"/>
        <v>0.875</v>
      </c>
      <c r="AF228" s="63">
        <v>0</v>
      </c>
      <c r="AG228" s="73">
        <v>0</v>
      </c>
      <c r="AH228" s="73"/>
      <c r="AI228" s="73"/>
      <c r="AJ228" s="73"/>
      <c r="AK228" s="109"/>
      <c r="AL228" s="109"/>
      <c r="AM228" s="147">
        <f t="shared" si="6"/>
        <v>0</v>
      </c>
      <c r="AN228" s="10" t="s">
        <v>619</v>
      </c>
      <c r="AO228" s="74" t="s">
        <v>350</v>
      </c>
      <c r="AP228" s="67" t="s">
        <v>937</v>
      </c>
    </row>
    <row r="229" spans="1:42" s="300" customFormat="1" x14ac:dyDescent="0.3">
      <c r="A229" s="66" t="s">
        <v>30</v>
      </c>
      <c r="B229" s="67" t="s">
        <v>31</v>
      </c>
      <c r="C229" s="68" t="s">
        <v>774</v>
      </c>
      <c r="D229" s="69" t="s">
        <v>775</v>
      </c>
      <c r="E229" s="76" t="s">
        <v>862</v>
      </c>
      <c r="F229" s="69" t="s">
        <v>863</v>
      </c>
      <c r="G229" s="68" t="s">
        <v>922</v>
      </c>
      <c r="H229" s="69" t="s">
        <v>923</v>
      </c>
      <c r="I229" s="69" t="s">
        <v>931</v>
      </c>
      <c r="J229" s="69" t="s">
        <v>932</v>
      </c>
      <c r="K229" s="66" t="s">
        <v>933</v>
      </c>
      <c r="L229" s="67" t="s">
        <v>934</v>
      </c>
      <c r="M229" s="74" t="s">
        <v>940</v>
      </c>
      <c r="N229" s="437">
        <v>0.3</v>
      </c>
      <c r="O229" s="436">
        <v>0.6</v>
      </c>
      <c r="P229" s="78">
        <v>0.8</v>
      </c>
      <c r="Q229" s="78">
        <v>1</v>
      </c>
      <c r="R229" s="121">
        <v>1</v>
      </c>
      <c r="S229" s="121">
        <v>1</v>
      </c>
      <c r="T229" s="69" t="s">
        <v>798</v>
      </c>
      <c r="U229" s="300" t="s">
        <v>350</v>
      </c>
      <c r="V229" s="67" t="s">
        <v>936</v>
      </c>
      <c r="W229" s="298">
        <v>1</v>
      </c>
      <c r="X229" s="298">
        <v>1</v>
      </c>
      <c r="Y229" s="298">
        <v>1</v>
      </c>
      <c r="Z229" s="299">
        <v>1</v>
      </c>
      <c r="AA229" s="299">
        <v>1</v>
      </c>
      <c r="AB229" s="300">
        <v>1</v>
      </c>
      <c r="AC229" s="301">
        <v>1</v>
      </c>
      <c r="AD229" s="301">
        <v>0</v>
      </c>
      <c r="AE229" s="305">
        <f t="shared" si="7"/>
        <v>0.875</v>
      </c>
      <c r="AF229" s="63">
        <v>0</v>
      </c>
      <c r="AG229" s="73">
        <v>0</v>
      </c>
      <c r="AH229" s="73"/>
      <c r="AI229" s="73"/>
      <c r="AJ229" s="73"/>
      <c r="AK229" s="109"/>
      <c r="AL229" s="109"/>
      <c r="AM229" s="147">
        <f t="shared" si="6"/>
        <v>0</v>
      </c>
      <c r="AN229" s="10" t="s">
        <v>619</v>
      </c>
      <c r="AO229" s="74" t="s">
        <v>350</v>
      </c>
      <c r="AP229" s="67" t="s">
        <v>937</v>
      </c>
    </row>
    <row r="230" spans="1:42" s="300" customFormat="1" x14ac:dyDescent="0.3">
      <c r="A230" s="66" t="s">
        <v>30</v>
      </c>
      <c r="B230" s="67" t="s">
        <v>31</v>
      </c>
      <c r="C230" s="68" t="s">
        <v>774</v>
      </c>
      <c r="D230" s="69" t="s">
        <v>775</v>
      </c>
      <c r="E230" s="76" t="s">
        <v>862</v>
      </c>
      <c r="F230" s="69" t="s">
        <v>863</v>
      </c>
      <c r="G230" s="68" t="s">
        <v>922</v>
      </c>
      <c r="H230" s="69" t="s">
        <v>923</v>
      </c>
      <c r="I230" s="69" t="s">
        <v>941</v>
      </c>
      <c r="J230" s="69" t="s">
        <v>942</v>
      </c>
      <c r="K230" s="66" t="s">
        <v>943</v>
      </c>
      <c r="L230" s="67" t="s">
        <v>944</v>
      </c>
      <c r="M230" s="74" t="s">
        <v>945</v>
      </c>
      <c r="N230" s="426"/>
      <c r="O230" s="427">
        <v>0</v>
      </c>
      <c r="P230" s="75">
        <v>1</v>
      </c>
      <c r="Q230" s="75">
        <v>1</v>
      </c>
      <c r="R230" s="115">
        <v>1</v>
      </c>
      <c r="S230" s="115"/>
      <c r="T230" s="69" t="s">
        <v>798</v>
      </c>
      <c r="U230" s="300" t="s">
        <v>350</v>
      </c>
      <c r="V230" s="67" t="s">
        <v>946</v>
      </c>
      <c r="W230" s="298">
        <v>1</v>
      </c>
      <c r="X230" s="298">
        <v>1</v>
      </c>
      <c r="Y230" s="298">
        <v>1</v>
      </c>
      <c r="Z230" s="299">
        <v>1</v>
      </c>
      <c r="AA230" s="299">
        <v>1</v>
      </c>
      <c r="AB230" s="300">
        <v>1</v>
      </c>
      <c r="AC230" s="301">
        <v>1</v>
      </c>
      <c r="AD230" s="301">
        <v>0</v>
      </c>
      <c r="AE230" s="305">
        <f t="shared" si="7"/>
        <v>0.875</v>
      </c>
      <c r="AF230" s="63">
        <v>0</v>
      </c>
      <c r="AG230" s="73">
        <v>0</v>
      </c>
      <c r="AH230" s="73">
        <v>12.5</v>
      </c>
      <c r="AI230" s="73">
        <v>12.5</v>
      </c>
      <c r="AJ230" s="73">
        <v>10.5</v>
      </c>
      <c r="AK230" s="127">
        <v>1.5</v>
      </c>
      <c r="AL230" s="127">
        <v>8</v>
      </c>
      <c r="AM230" s="147">
        <f t="shared" si="6"/>
        <v>9.5</v>
      </c>
      <c r="AN230" s="10" t="s">
        <v>619</v>
      </c>
      <c r="AO230" s="74" t="s">
        <v>350</v>
      </c>
      <c r="AP230" s="67" t="s">
        <v>840</v>
      </c>
    </row>
    <row r="231" spans="1:42" s="300" customFormat="1" x14ac:dyDescent="0.3">
      <c r="A231" s="66" t="s">
        <v>30</v>
      </c>
      <c r="B231" s="67" t="s">
        <v>31</v>
      </c>
      <c r="C231" s="68" t="s">
        <v>774</v>
      </c>
      <c r="D231" s="69" t="s">
        <v>775</v>
      </c>
      <c r="E231" s="76" t="s">
        <v>862</v>
      </c>
      <c r="F231" s="69" t="s">
        <v>863</v>
      </c>
      <c r="G231" s="68" t="s">
        <v>922</v>
      </c>
      <c r="H231" s="69" t="s">
        <v>923</v>
      </c>
      <c r="I231" s="69" t="s">
        <v>947</v>
      </c>
      <c r="J231" s="69" t="s">
        <v>948</v>
      </c>
      <c r="K231" s="77" t="s">
        <v>949</v>
      </c>
      <c r="L231" s="74" t="s">
        <v>950</v>
      </c>
      <c r="M231" s="74" t="s">
        <v>951</v>
      </c>
      <c r="N231" s="426"/>
      <c r="O231" s="99">
        <v>2</v>
      </c>
      <c r="P231" s="75">
        <v>5</v>
      </c>
      <c r="Q231" s="75">
        <v>5</v>
      </c>
      <c r="R231" s="129">
        <v>1</v>
      </c>
      <c r="S231" s="129">
        <v>1</v>
      </c>
      <c r="T231" s="69" t="s">
        <v>798</v>
      </c>
      <c r="U231" s="300" t="s">
        <v>350</v>
      </c>
      <c r="V231" s="74" t="s">
        <v>952</v>
      </c>
      <c r="W231" s="298">
        <v>1</v>
      </c>
      <c r="X231" s="298">
        <v>1</v>
      </c>
      <c r="Y231" s="298">
        <v>1</v>
      </c>
      <c r="Z231" s="299">
        <v>1</v>
      </c>
      <c r="AA231" s="299">
        <v>1</v>
      </c>
      <c r="AB231" s="300">
        <v>1</v>
      </c>
      <c r="AC231" s="301">
        <v>1</v>
      </c>
      <c r="AD231" s="301">
        <v>0</v>
      </c>
      <c r="AE231" s="305">
        <f t="shared" si="7"/>
        <v>0.875</v>
      </c>
      <c r="AF231" s="63">
        <v>0</v>
      </c>
      <c r="AG231" s="73">
        <v>0</v>
      </c>
      <c r="AH231" s="73">
        <v>5</v>
      </c>
      <c r="AI231" s="73">
        <v>5</v>
      </c>
      <c r="AJ231" s="73">
        <v>5</v>
      </c>
      <c r="AK231" s="127">
        <v>7</v>
      </c>
      <c r="AL231" s="127">
        <v>8</v>
      </c>
      <c r="AM231" s="147">
        <f t="shared" si="6"/>
        <v>15</v>
      </c>
      <c r="AN231" s="10" t="s">
        <v>619</v>
      </c>
      <c r="AO231" s="74" t="s">
        <v>350</v>
      </c>
      <c r="AP231" s="67" t="s">
        <v>953</v>
      </c>
    </row>
    <row r="232" spans="1:42" s="300" customFormat="1" x14ac:dyDescent="0.3">
      <c r="A232" s="66" t="s">
        <v>30</v>
      </c>
      <c r="B232" s="67" t="s">
        <v>31</v>
      </c>
      <c r="C232" s="68" t="s">
        <v>774</v>
      </c>
      <c r="D232" s="69" t="s">
        <v>775</v>
      </c>
      <c r="E232" s="76" t="s">
        <v>862</v>
      </c>
      <c r="F232" s="69" t="s">
        <v>863</v>
      </c>
      <c r="G232" s="68" t="s">
        <v>922</v>
      </c>
      <c r="H232" s="69" t="s">
        <v>923</v>
      </c>
      <c r="I232" s="68" t="s">
        <v>954</v>
      </c>
      <c r="J232" s="69" t="s">
        <v>955</v>
      </c>
      <c r="K232" s="77" t="s">
        <v>956</v>
      </c>
      <c r="L232" s="74" t="s">
        <v>957</v>
      </c>
      <c r="M232" s="74" t="s">
        <v>958</v>
      </c>
      <c r="N232" s="426">
        <v>0</v>
      </c>
      <c r="O232" s="99">
        <v>1</v>
      </c>
      <c r="P232" s="75">
        <v>2</v>
      </c>
      <c r="Q232" s="75">
        <v>2</v>
      </c>
      <c r="R232" s="115">
        <v>1</v>
      </c>
      <c r="S232" s="115">
        <v>1</v>
      </c>
      <c r="T232" s="69" t="s">
        <v>151</v>
      </c>
      <c r="U232" s="300" t="s">
        <v>153</v>
      </c>
      <c r="V232" s="74" t="s">
        <v>959</v>
      </c>
      <c r="W232" s="298">
        <v>1</v>
      </c>
      <c r="X232" s="298">
        <v>1</v>
      </c>
      <c r="Y232" s="298">
        <v>1</v>
      </c>
      <c r="Z232" s="299">
        <v>0</v>
      </c>
      <c r="AA232" s="299">
        <v>1</v>
      </c>
      <c r="AB232" s="300">
        <v>1</v>
      </c>
      <c r="AC232" s="301">
        <v>1</v>
      </c>
      <c r="AD232" s="301">
        <v>0</v>
      </c>
      <c r="AE232" s="305">
        <f t="shared" si="7"/>
        <v>0.75</v>
      </c>
      <c r="AF232" s="63">
        <v>0</v>
      </c>
      <c r="AG232" s="73">
        <v>0</v>
      </c>
      <c r="AH232" s="73">
        <v>12</v>
      </c>
      <c r="AI232" s="73">
        <v>12</v>
      </c>
      <c r="AJ232" s="73">
        <v>12</v>
      </c>
      <c r="AK232" s="127">
        <v>7.5</v>
      </c>
      <c r="AL232" s="127">
        <v>7.2</v>
      </c>
      <c r="AM232" s="147">
        <f t="shared" si="6"/>
        <v>14.7</v>
      </c>
      <c r="AN232" s="74" t="s">
        <v>151</v>
      </c>
      <c r="AO232" s="74" t="s">
        <v>153</v>
      </c>
      <c r="AP232" s="67" t="s">
        <v>960</v>
      </c>
    </row>
    <row r="233" spans="1:42" s="300" customFormat="1" x14ac:dyDescent="0.3">
      <c r="A233" s="66" t="s">
        <v>30</v>
      </c>
      <c r="B233" s="67" t="s">
        <v>31</v>
      </c>
      <c r="C233" s="68" t="s">
        <v>774</v>
      </c>
      <c r="D233" s="69" t="s">
        <v>775</v>
      </c>
      <c r="E233" s="76" t="s">
        <v>862</v>
      </c>
      <c r="F233" s="69" t="s">
        <v>863</v>
      </c>
      <c r="G233" s="68" t="s">
        <v>922</v>
      </c>
      <c r="H233" s="69" t="s">
        <v>923</v>
      </c>
      <c r="I233" s="69" t="s">
        <v>961</v>
      </c>
      <c r="J233" s="69" t="s">
        <v>962</v>
      </c>
      <c r="K233" s="68" t="s">
        <v>963</v>
      </c>
      <c r="L233" s="69" t="s">
        <v>964</v>
      </c>
      <c r="M233" s="74" t="s">
        <v>965</v>
      </c>
      <c r="N233" s="437"/>
      <c r="O233" s="437"/>
      <c r="P233" s="78"/>
      <c r="Q233" s="78"/>
      <c r="R233" s="121"/>
      <c r="S233" s="121"/>
      <c r="T233" s="80" t="s">
        <v>798</v>
      </c>
      <c r="U233" s="300" t="s">
        <v>350</v>
      </c>
      <c r="V233" s="74"/>
      <c r="W233" s="298">
        <v>1</v>
      </c>
      <c r="X233" s="298">
        <v>1</v>
      </c>
      <c r="Y233" s="298">
        <v>1</v>
      </c>
      <c r="Z233" s="299">
        <v>0</v>
      </c>
      <c r="AA233" s="299">
        <v>1</v>
      </c>
      <c r="AB233" s="300">
        <v>1</v>
      </c>
      <c r="AC233" s="301">
        <v>1</v>
      </c>
      <c r="AD233" s="301">
        <v>0</v>
      </c>
      <c r="AE233" s="305">
        <f t="shared" si="7"/>
        <v>0.75</v>
      </c>
      <c r="AF233" s="63">
        <v>0</v>
      </c>
      <c r="AG233" s="73">
        <v>0</v>
      </c>
      <c r="AH233" s="73"/>
      <c r="AI233" s="73"/>
      <c r="AJ233" s="73"/>
      <c r="AK233" s="109"/>
      <c r="AL233" s="109"/>
      <c r="AM233" s="147">
        <f t="shared" si="6"/>
        <v>0</v>
      </c>
      <c r="AN233" s="10" t="s">
        <v>619</v>
      </c>
      <c r="AO233" s="74" t="s">
        <v>350</v>
      </c>
      <c r="AP233" s="67"/>
    </row>
    <row r="234" spans="1:42" s="300" customFormat="1" x14ac:dyDescent="0.3">
      <c r="A234" s="66" t="s">
        <v>30</v>
      </c>
      <c r="B234" s="67" t="s">
        <v>31</v>
      </c>
      <c r="C234" s="68" t="s">
        <v>774</v>
      </c>
      <c r="D234" s="69" t="s">
        <v>775</v>
      </c>
      <c r="E234" s="76" t="s">
        <v>862</v>
      </c>
      <c r="F234" s="69" t="s">
        <v>863</v>
      </c>
      <c r="G234" s="68" t="s">
        <v>922</v>
      </c>
      <c r="H234" s="69" t="s">
        <v>923</v>
      </c>
      <c r="I234" s="69" t="s">
        <v>961</v>
      </c>
      <c r="J234" s="69" t="s">
        <v>962</v>
      </c>
      <c r="K234" s="66" t="s">
        <v>966</v>
      </c>
      <c r="L234" s="67" t="s">
        <v>967</v>
      </c>
      <c r="M234" s="74" t="s">
        <v>968</v>
      </c>
      <c r="N234" s="426">
        <v>0</v>
      </c>
      <c r="O234" s="99">
        <v>1</v>
      </c>
      <c r="P234" s="75"/>
      <c r="Q234" s="75">
        <v>2</v>
      </c>
      <c r="R234" s="129">
        <v>1</v>
      </c>
      <c r="S234" s="115"/>
      <c r="T234" s="69" t="s">
        <v>326</v>
      </c>
      <c r="U234" s="300" t="s">
        <v>328</v>
      </c>
      <c r="V234" s="67" t="s">
        <v>969</v>
      </c>
      <c r="W234" s="298">
        <v>1</v>
      </c>
      <c r="X234" s="298">
        <v>1</v>
      </c>
      <c r="Y234" s="298">
        <v>1</v>
      </c>
      <c r="Z234" s="299">
        <v>0</v>
      </c>
      <c r="AA234" s="299">
        <v>1</v>
      </c>
      <c r="AB234" s="300">
        <v>1</v>
      </c>
      <c r="AC234" s="301">
        <v>1</v>
      </c>
      <c r="AD234" s="301">
        <v>0</v>
      </c>
      <c r="AE234" s="305">
        <f t="shared" si="7"/>
        <v>0.75</v>
      </c>
      <c r="AF234" s="63">
        <v>0</v>
      </c>
      <c r="AG234" s="73">
        <v>0</v>
      </c>
      <c r="AH234" s="73">
        <v>2.5</v>
      </c>
      <c r="AI234" s="73">
        <v>3.52</v>
      </c>
      <c r="AJ234" s="73">
        <v>3.2</v>
      </c>
      <c r="AK234" s="127">
        <v>1.4</v>
      </c>
      <c r="AL234" s="127">
        <v>1.4</v>
      </c>
      <c r="AM234" s="147">
        <f t="shared" si="6"/>
        <v>2.8</v>
      </c>
      <c r="AN234" s="74" t="s">
        <v>326</v>
      </c>
      <c r="AO234" s="74" t="s">
        <v>328</v>
      </c>
      <c r="AP234" s="67" t="s">
        <v>970</v>
      </c>
    </row>
    <row r="235" spans="1:42" s="300" customFormat="1" x14ac:dyDescent="0.3">
      <c r="A235" s="66" t="s">
        <v>30</v>
      </c>
      <c r="B235" s="67" t="s">
        <v>31</v>
      </c>
      <c r="C235" s="68" t="s">
        <v>774</v>
      </c>
      <c r="D235" s="69" t="s">
        <v>775</v>
      </c>
      <c r="E235" s="76" t="s">
        <v>862</v>
      </c>
      <c r="F235" s="69" t="s">
        <v>863</v>
      </c>
      <c r="G235" s="68" t="s">
        <v>922</v>
      </c>
      <c r="H235" s="69" t="s">
        <v>923</v>
      </c>
      <c r="I235" s="69" t="s">
        <v>961</v>
      </c>
      <c r="J235" s="69" t="s">
        <v>962</v>
      </c>
      <c r="K235" s="66" t="s">
        <v>966</v>
      </c>
      <c r="L235" s="67" t="s">
        <v>967</v>
      </c>
      <c r="M235" s="74" t="s">
        <v>971</v>
      </c>
      <c r="N235" s="426">
        <v>0</v>
      </c>
      <c r="O235" s="427">
        <v>0</v>
      </c>
      <c r="P235" s="75">
        <v>1</v>
      </c>
      <c r="Q235" s="75"/>
      <c r="R235" s="115"/>
      <c r="S235" s="115"/>
      <c r="T235" s="69" t="s">
        <v>326</v>
      </c>
      <c r="U235" s="300" t="s">
        <v>328</v>
      </c>
      <c r="V235" s="67" t="s">
        <v>969</v>
      </c>
      <c r="W235" s="298">
        <v>1</v>
      </c>
      <c r="X235" s="298">
        <v>0</v>
      </c>
      <c r="Y235" s="298">
        <v>0</v>
      </c>
      <c r="Z235" s="299">
        <v>0</v>
      </c>
      <c r="AA235" s="299">
        <v>1</v>
      </c>
      <c r="AB235" s="300">
        <v>1</v>
      </c>
      <c r="AC235" s="301">
        <v>1</v>
      </c>
      <c r="AD235" s="301">
        <v>0</v>
      </c>
      <c r="AE235" s="305">
        <f t="shared" si="7"/>
        <v>0.5</v>
      </c>
      <c r="AF235" s="63">
        <v>0</v>
      </c>
      <c r="AG235" s="73">
        <v>0</v>
      </c>
      <c r="AH235" s="73"/>
      <c r="AI235" s="73"/>
      <c r="AJ235" s="73"/>
      <c r="AK235" s="109"/>
      <c r="AL235" s="109"/>
      <c r="AM235" s="147">
        <f t="shared" si="6"/>
        <v>0</v>
      </c>
      <c r="AN235" s="74" t="s">
        <v>326</v>
      </c>
      <c r="AO235" s="74" t="s">
        <v>328</v>
      </c>
      <c r="AP235" s="67" t="s">
        <v>970</v>
      </c>
    </row>
    <row r="236" spans="1:42" s="300" customFormat="1" x14ac:dyDescent="0.3">
      <c r="A236" s="66" t="s">
        <v>30</v>
      </c>
      <c r="B236" s="67" t="s">
        <v>31</v>
      </c>
      <c r="C236" s="68" t="s">
        <v>774</v>
      </c>
      <c r="D236" s="69" t="s">
        <v>775</v>
      </c>
      <c r="E236" s="76" t="s">
        <v>862</v>
      </c>
      <c r="F236" s="69" t="s">
        <v>863</v>
      </c>
      <c r="G236" s="68" t="s">
        <v>922</v>
      </c>
      <c r="H236" s="69" t="s">
        <v>923</v>
      </c>
      <c r="I236" s="69" t="s">
        <v>961</v>
      </c>
      <c r="J236" s="69" t="s">
        <v>962</v>
      </c>
      <c r="K236" s="66" t="s">
        <v>966</v>
      </c>
      <c r="L236" s="67" t="s">
        <v>967</v>
      </c>
      <c r="M236" s="74" t="s">
        <v>972</v>
      </c>
      <c r="N236" s="426"/>
      <c r="O236" s="427">
        <v>0</v>
      </c>
      <c r="P236" s="75">
        <v>15</v>
      </c>
      <c r="Q236" s="75">
        <v>9</v>
      </c>
      <c r="R236" s="115"/>
      <c r="S236" s="115"/>
      <c r="T236" s="69" t="s">
        <v>326</v>
      </c>
      <c r="U236" s="300" t="s">
        <v>328</v>
      </c>
      <c r="V236" s="67" t="s">
        <v>969</v>
      </c>
      <c r="W236" s="298">
        <v>1</v>
      </c>
      <c r="X236" s="298">
        <v>0</v>
      </c>
      <c r="Y236" s="298">
        <v>0</v>
      </c>
      <c r="Z236" s="299">
        <v>1</v>
      </c>
      <c r="AA236" s="299">
        <v>1</v>
      </c>
      <c r="AB236" s="300">
        <v>0</v>
      </c>
      <c r="AC236" s="301">
        <v>1</v>
      </c>
      <c r="AD236" s="301">
        <v>0</v>
      </c>
      <c r="AE236" s="305">
        <f t="shared" si="7"/>
        <v>0.5</v>
      </c>
      <c r="AF236" s="63">
        <v>0</v>
      </c>
      <c r="AG236" s="73">
        <v>0</v>
      </c>
      <c r="AH236" s="73"/>
      <c r="AI236" s="73"/>
      <c r="AJ236" s="73"/>
      <c r="AK236" s="109"/>
      <c r="AL236" s="109"/>
      <c r="AM236" s="147">
        <f t="shared" si="6"/>
        <v>0</v>
      </c>
      <c r="AN236" s="74" t="s">
        <v>326</v>
      </c>
      <c r="AO236" s="74" t="s">
        <v>328</v>
      </c>
      <c r="AP236" s="67" t="s">
        <v>970</v>
      </c>
    </row>
    <row r="237" spans="1:42" s="300" customFormat="1" x14ac:dyDescent="0.3">
      <c r="A237" s="66" t="s">
        <v>30</v>
      </c>
      <c r="B237" s="67" t="s">
        <v>31</v>
      </c>
      <c r="C237" s="68" t="s">
        <v>774</v>
      </c>
      <c r="D237" s="69" t="s">
        <v>775</v>
      </c>
      <c r="E237" s="76" t="s">
        <v>862</v>
      </c>
      <c r="F237" s="69" t="s">
        <v>863</v>
      </c>
      <c r="G237" s="68" t="s">
        <v>922</v>
      </c>
      <c r="H237" s="69" t="s">
        <v>923</v>
      </c>
      <c r="I237" s="69" t="s">
        <v>961</v>
      </c>
      <c r="J237" s="69" t="s">
        <v>962</v>
      </c>
      <c r="K237" s="66" t="s">
        <v>973</v>
      </c>
      <c r="L237" s="67" t="s">
        <v>974</v>
      </c>
      <c r="M237" s="99" t="s">
        <v>975</v>
      </c>
      <c r="N237" s="426"/>
      <c r="O237" s="99">
        <v>2</v>
      </c>
      <c r="P237" s="75">
        <v>2</v>
      </c>
      <c r="Q237" s="75">
        <v>2</v>
      </c>
      <c r="R237" s="129">
        <v>1</v>
      </c>
      <c r="S237" s="129">
        <v>1</v>
      </c>
      <c r="T237" s="69" t="s">
        <v>784</v>
      </c>
      <c r="U237" s="300" t="s">
        <v>350</v>
      </c>
      <c r="V237" s="67" t="s">
        <v>976</v>
      </c>
      <c r="W237" s="298">
        <v>1</v>
      </c>
      <c r="X237" s="298">
        <v>1</v>
      </c>
      <c r="Y237" s="298">
        <v>1</v>
      </c>
      <c r="Z237" s="299">
        <v>1</v>
      </c>
      <c r="AA237" s="299">
        <v>1</v>
      </c>
      <c r="AB237" s="300">
        <v>1</v>
      </c>
      <c r="AC237" s="301">
        <v>1</v>
      </c>
      <c r="AD237" s="301">
        <v>0</v>
      </c>
      <c r="AE237" s="305">
        <f t="shared" si="7"/>
        <v>0.875</v>
      </c>
      <c r="AF237" s="63">
        <v>0</v>
      </c>
      <c r="AG237" s="73">
        <v>0</v>
      </c>
      <c r="AH237" s="73">
        <v>53.5</v>
      </c>
      <c r="AI237" s="73">
        <v>61</v>
      </c>
      <c r="AJ237" s="73">
        <v>61.000000000000227</v>
      </c>
      <c r="AK237" s="127">
        <v>26.88</v>
      </c>
      <c r="AL237" s="127">
        <v>35</v>
      </c>
      <c r="AM237" s="147">
        <f t="shared" si="6"/>
        <v>61.879999999999995</v>
      </c>
      <c r="AN237" s="74" t="s">
        <v>784</v>
      </c>
      <c r="AO237" s="74" t="s">
        <v>350</v>
      </c>
      <c r="AP237" s="67" t="s">
        <v>977</v>
      </c>
    </row>
    <row r="238" spans="1:42" x14ac:dyDescent="0.3">
      <c r="A238" s="9" t="s">
        <v>30</v>
      </c>
      <c r="B238" s="10" t="s">
        <v>31</v>
      </c>
      <c r="C238" s="11" t="s">
        <v>774</v>
      </c>
      <c r="D238" s="12" t="s">
        <v>775</v>
      </c>
      <c r="E238" s="13" t="s">
        <v>862</v>
      </c>
      <c r="F238" s="12" t="s">
        <v>863</v>
      </c>
      <c r="G238" s="11" t="s">
        <v>922</v>
      </c>
      <c r="H238" s="12" t="s">
        <v>923</v>
      </c>
      <c r="I238" s="12" t="s">
        <v>961</v>
      </c>
      <c r="J238" s="12" t="s">
        <v>962</v>
      </c>
      <c r="K238" s="9" t="s">
        <v>978</v>
      </c>
      <c r="L238" s="10" t="s">
        <v>979</v>
      </c>
      <c r="M238" s="18" t="s">
        <v>980</v>
      </c>
      <c r="N238" s="424"/>
      <c r="O238" s="18">
        <v>800</v>
      </c>
      <c r="P238" s="16">
        <v>800</v>
      </c>
      <c r="Q238" s="16">
        <v>800</v>
      </c>
      <c r="R238" s="110">
        <v>800</v>
      </c>
      <c r="S238" s="110">
        <v>800</v>
      </c>
      <c r="T238" s="10" t="s">
        <v>265</v>
      </c>
      <c r="U238" s="283" t="s">
        <v>350</v>
      </c>
      <c r="V238" s="10" t="s">
        <v>981</v>
      </c>
      <c r="W238" s="298">
        <v>1</v>
      </c>
      <c r="X238" s="298">
        <v>0</v>
      </c>
      <c r="Y238" s="298">
        <v>0</v>
      </c>
      <c r="Z238" s="299">
        <v>1</v>
      </c>
      <c r="AA238" s="299">
        <v>0</v>
      </c>
      <c r="AB238" s="300">
        <v>0</v>
      </c>
      <c r="AC238" s="301">
        <v>0</v>
      </c>
      <c r="AD238" s="301">
        <v>0</v>
      </c>
      <c r="AE238" s="302">
        <f t="shared" si="7"/>
        <v>0.25</v>
      </c>
      <c r="AF238" s="63">
        <v>0</v>
      </c>
      <c r="AG238" s="17">
        <v>0</v>
      </c>
      <c r="AH238" s="17">
        <v>0</v>
      </c>
      <c r="AI238" s="32">
        <v>2</v>
      </c>
      <c r="AJ238" s="32">
        <v>2.5</v>
      </c>
      <c r="AK238" s="123"/>
      <c r="AL238" s="123"/>
      <c r="AM238" s="147">
        <f t="shared" si="6"/>
        <v>0</v>
      </c>
      <c r="AN238" s="283" t="s">
        <v>265</v>
      </c>
      <c r="AO238" s="18" t="s">
        <v>350</v>
      </c>
      <c r="AP238" s="10" t="s">
        <v>982</v>
      </c>
    </row>
    <row r="239" spans="1:42" x14ac:dyDescent="0.3">
      <c r="A239" s="9" t="s">
        <v>30</v>
      </c>
      <c r="B239" s="10" t="s">
        <v>31</v>
      </c>
      <c r="C239" s="11" t="s">
        <v>774</v>
      </c>
      <c r="D239" s="12" t="s">
        <v>775</v>
      </c>
      <c r="E239" s="13" t="s">
        <v>862</v>
      </c>
      <c r="F239" s="12" t="s">
        <v>863</v>
      </c>
      <c r="G239" s="11" t="s">
        <v>922</v>
      </c>
      <c r="H239" s="12" t="s">
        <v>923</v>
      </c>
      <c r="I239" s="12" t="s">
        <v>961</v>
      </c>
      <c r="J239" s="12" t="s">
        <v>962</v>
      </c>
      <c r="K239" s="9" t="s">
        <v>983</v>
      </c>
      <c r="L239" s="10" t="s">
        <v>984</v>
      </c>
      <c r="M239" s="18" t="s">
        <v>985</v>
      </c>
      <c r="N239" s="424"/>
      <c r="O239" s="176">
        <v>0</v>
      </c>
      <c r="P239" s="21">
        <v>200</v>
      </c>
      <c r="Q239" s="21">
        <v>500</v>
      </c>
      <c r="R239" s="129">
        <v>800</v>
      </c>
      <c r="S239" s="129">
        <v>800</v>
      </c>
      <c r="T239" s="12" t="s">
        <v>784</v>
      </c>
      <c r="U239" s="283" t="s">
        <v>350</v>
      </c>
      <c r="V239" s="10" t="s">
        <v>986</v>
      </c>
      <c r="W239" s="298">
        <v>1</v>
      </c>
      <c r="X239" s="298">
        <v>1</v>
      </c>
      <c r="Y239" s="298">
        <v>1</v>
      </c>
      <c r="Z239" s="299">
        <v>1</v>
      </c>
      <c r="AA239" s="299">
        <v>1</v>
      </c>
      <c r="AB239" s="300">
        <v>1</v>
      </c>
      <c r="AC239" s="301">
        <v>1</v>
      </c>
      <c r="AD239" s="301">
        <v>0</v>
      </c>
      <c r="AE239" s="302">
        <f t="shared" si="7"/>
        <v>0.875</v>
      </c>
      <c r="AF239" s="63">
        <v>0</v>
      </c>
      <c r="AG239" s="17">
        <v>0</v>
      </c>
      <c r="AH239" s="17">
        <v>0</v>
      </c>
      <c r="AI239" s="32">
        <v>5</v>
      </c>
      <c r="AJ239" s="32">
        <v>10</v>
      </c>
      <c r="AK239" s="123">
        <v>12</v>
      </c>
      <c r="AL239" s="123">
        <v>13</v>
      </c>
      <c r="AM239" s="147">
        <f t="shared" si="6"/>
        <v>25</v>
      </c>
      <c r="AN239" s="18" t="s">
        <v>784</v>
      </c>
      <c r="AO239" s="18" t="s">
        <v>350</v>
      </c>
      <c r="AP239" s="10" t="s">
        <v>820</v>
      </c>
    </row>
    <row r="240" spans="1:42" x14ac:dyDescent="0.3">
      <c r="A240" s="9" t="s">
        <v>30</v>
      </c>
      <c r="B240" s="10" t="s">
        <v>31</v>
      </c>
      <c r="C240" s="11" t="s">
        <v>774</v>
      </c>
      <c r="D240" s="12" t="s">
        <v>775</v>
      </c>
      <c r="E240" s="13" t="s">
        <v>862</v>
      </c>
      <c r="F240" s="12" t="s">
        <v>863</v>
      </c>
      <c r="G240" s="11" t="s">
        <v>922</v>
      </c>
      <c r="H240" s="12" t="s">
        <v>923</v>
      </c>
      <c r="I240" s="12" t="s">
        <v>987</v>
      </c>
      <c r="J240" s="12" t="s">
        <v>988</v>
      </c>
      <c r="K240" s="11" t="s">
        <v>989</v>
      </c>
      <c r="L240" s="12" t="s">
        <v>990</v>
      </c>
      <c r="M240" s="18" t="s">
        <v>991</v>
      </c>
      <c r="N240" s="435">
        <v>0</v>
      </c>
      <c r="O240" s="435">
        <v>0</v>
      </c>
      <c r="P240" s="40">
        <v>0.1</v>
      </c>
      <c r="Q240" s="40">
        <v>0.25</v>
      </c>
      <c r="R240" s="121">
        <v>0.5</v>
      </c>
      <c r="S240" s="121">
        <v>0.75</v>
      </c>
      <c r="T240" s="41" t="s">
        <v>265</v>
      </c>
      <c r="U240" s="283" t="s">
        <v>350</v>
      </c>
      <c r="V240" s="18" t="s">
        <v>992</v>
      </c>
      <c r="W240" s="298">
        <v>0</v>
      </c>
      <c r="X240" s="298">
        <v>0</v>
      </c>
      <c r="Y240" s="298">
        <v>0</v>
      </c>
      <c r="Z240" s="299">
        <v>0</v>
      </c>
      <c r="AA240" s="299">
        <v>0</v>
      </c>
      <c r="AB240" s="300">
        <v>0</v>
      </c>
      <c r="AC240" s="301">
        <v>0</v>
      </c>
      <c r="AD240" s="301">
        <v>0</v>
      </c>
      <c r="AE240" s="302">
        <f t="shared" si="7"/>
        <v>0</v>
      </c>
      <c r="AF240" s="63">
        <v>0</v>
      </c>
      <c r="AG240" s="17">
        <v>0</v>
      </c>
      <c r="AH240" s="17">
        <v>0</v>
      </c>
      <c r="AI240" s="17">
        <v>0</v>
      </c>
      <c r="AJ240" s="17">
        <v>0</v>
      </c>
      <c r="AK240" s="109"/>
      <c r="AL240" s="109"/>
      <c r="AM240" s="147">
        <f t="shared" si="6"/>
        <v>0</v>
      </c>
      <c r="AN240" s="283" t="s">
        <v>265</v>
      </c>
      <c r="AO240" s="18" t="s">
        <v>350</v>
      </c>
      <c r="AP240" s="10" t="s">
        <v>993</v>
      </c>
    </row>
    <row r="241" spans="1:42" x14ac:dyDescent="0.3">
      <c r="A241" s="9" t="s">
        <v>30</v>
      </c>
      <c r="B241" s="10" t="s">
        <v>31</v>
      </c>
      <c r="C241" s="11" t="s">
        <v>774</v>
      </c>
      <c r="D241" s="12" t="s">
        <v>775</v>
      </c>
      <c r="E241" s="13" t="s">
        <v>862</v>
      </c>
      <c r="F241" s="12" t="s">
        <v>863</v>
      </c>
      <c r="G241" s="11" t="s">
        <v>922</v>
      </c>
      <c r="H241" s="12" t="s">
        <v>923</v>
      </c>
      <c r="I241" s="12" t="s">
        <v>994</v>
      </c>
      <c r="J241" s="12" t="s">
        <v>995</v>
      </c>
      <c r="K241" s="11" t="s">
        <v>996</v>
      </c>
      <c r="L241" s="12" t="s">
        <v>997</v>
      </c>
      <c r="M241" s="18" t="s">
        <v>998</v>
      </c>
      <c r="N241" s="424">
        <v>0</v>
      </c>
      <c r="O241" s="14">
        <v>1</v>
      </c>
      <c r="P241" s="21">
        <v>2</v>
      </c>
      <c r="Q241" s="21">
        <v>3</v>
      </c>
      <c r="R241" s="115">
        <v>1</v>
      </c>
      <c r="S241" s="115">
        <v>2</v>
      </c>
      <c r="T241" s="12" t="s">
        <v>784</v>
      </c>
      <c r="U241" s="283" t="s">
        <v>350</v>
      </c>
      <c r="V241" s="18" t="s">
        <v>999</v>
      </c>
      <c r="W241" s="298">
        <v>1</v>
      </c>
      <c r="X241" s="298">
        <v>1</v>
      </c>
      <c r="Y241" s="298">
        <v>1</v>
      </c>
      <c r="Z241" s="299">
        <v>1</v>
      </c>
      <c r="AA241" s="299">
        <v>1</v>
      </c>
      <c r="AB241" s="300">
        <v>1</v>
      </c>
      <c r="AC241" s="301">
        <v>1</v>
      </c>
      <c r="AD241" s="301">
        <v>0</v>
      </c>
      <c r="AE241" s="302">
        <f t="shared" si="7"/>
        <v>0.875</v>
      </c>
      <c r="AF241" s="63">
        <v>0</v>
      </c>
      <c r="AG241" s="17">
        <v>0</v>
      </c>
      <c r="AH241" s="17">
        <v>20</v>
      </c>
      <c r="AI241" s="17">
        <v>20</v>
      </c>
      <c r="AJ241" s="17">
        <v>20</v>
      </c>
      <c r="AK241" s="127">
        <v>14</v>
      </c>
      <c r="AL241" s="127">
        <v>26.56</v>
      </c>
      <c r="AM241" s="147">
        <f t="shared" si="6"/>
        <v>40.56</v>
      </c>
      <c r="AN241" s="18" t="s">
        <v>784</v>
      </c>
      <c r="AO241" s="18" t="s">
        <v>350</v>
      </c>
      <c r="AP241" s="10" t="s">
        <v>1000</v>
      </c>
    </row>
    <row r="242" spans="1:42" x14ac:dyDescent="0.3">
      <c r="A242" s="9" t="s">
        <v>30</v>
      </c>
      <c r="B242" s="10" t="s">
        <v>31</v>
      </c>
      <c r="C242" s="11" t="s">
        <v>774</v>
      </c>
      <c r="D242" s="12" t="s">
        <v>775</v>
      </c>
      <c r="E242" s="13" t="s">
        <v>862</v>
      </c>
      <c r="F242" s="12" t="s">
        <v>863</v>
      </c>
      <c r="G242" s="11" t="s">
        <v>922</v>
      </c>
      <c r="H242" s="12" t="s">
        <v>923</v>
      </c>
      <c r="I242" s="12" t="s">
        <v>1001</v>
      </c>
      <c r="J242" s="12" t="s">
        <v>1002</v>
      </c>
      <c r="K242" s="34" t="s">
        <v>1003</v>
      </c>
      <c r="L242" s="18" t="s">
        <v>1004</v>
      </c>
      <c r="M242" s="18" t="s">
        <v>1005</v>
      </c>
      <c r="N242" s="424"/>
      <c r="O242" s="176">
        <v>0</v>
      </c>
      <c r="P242" s="21">
        <v>1</v>
      </c>
      <c r="Q242" s="21">
        <v>1</v>
      </c>
      <c r="R242" s="115">
        <v>1</v>
      </c>
      <c r="S242" s="115">
        <v>1</v>
      </c>
      <c r="T242" s="12" t="s">
        <v>798</v>
      </c>
      <c r="U242" s="283" t="s">
        <v>350</v>
      </c>
      <c r="V242" s="18" t="s">
        <v>1006</v>
      </c>
      <c r="W242" s="298">
        <v>0</v>
      </c>
      <c r="X242" s="298">
        <v>1</v>
      </c>
      <c r="Y242" s="298">
        <v>1</v>
      </c>
      <c r="Z242" s="299">
        <v>1</v>
      </c>
      <c r="AA242" s="299">
        <v>1</v>
      </c>
      <c r="AB242" s="300">
        <v>1</v>
      </c>
      <c r="AC242" s="301">
        <v>1</v>
      </c>
      <c r="AD242" s="301">
        <v>0</v>
      </c>
      <c r="AE242" s="302">
        <f t="shared" si="7"/>
        <v>0.75</v>
      </c>
      <c r="AF242" s="63">
        <v>0</v>
      </c>
      <c r="AG242" s="17">
        <v>0</v>
      </c>
      <c r="AH242" s="17">
        <v>10</v>
      </c>
      <c r="AI242" s="17">
        <v>10</v>
      </c>
      <c r="AJ242" s="17">
        <v>10</v>
      </c>
      <c r="AK242" s="127">
        <v>20</v>
      </c>
      <c r="AL242" s="109">
        <v>42.5</v>
      </c>
      <c r="AM242" s="147">
        <f t="shared" si="6"/>
        <v>62.5</v>
      </c>
      <c r="AN242" s="10" t="s">
        <v>619</v>
      </c>
      <c r="AO242" s="18" t="s">
        <v>350</v>
      </c>
      <c r="AP242" s="10" t="s">
        <v>1007</v>
      </c>
    </row>
    <row r="243" spans="1:42" x14ac:dyDescent="0.3">
      <c r="A243" s="9" t="s">
        <v>30</v>
      </c>
      <c r="B243" s="10" t="s">
        <v>31</v>
      </c>
      <c r="C243" s="11" t="s">
        <v>774</v>
      </c>
      <c r="D243" s="12" t="s">
        <v>775</v>
      </c>
      <c r="E243" s="13" t="s">
        <v>862</v>
      </c>
      <c r="F243" s="12" t="s">
        <v>863</v>
      </c>
      <c r="G243" s="11" t="s">
        <v>922</v>
      </c>
      <c r="H243" s="12" t="s">
        <v>923</v>
      </c>
      <c r="I243" s="11" t="s">
        <v>1008</v>
      </c>
      <c r="J243" s="12" t="s">
        <v>1009</v>
      </c>
      <c r="K243" s="34" t="s">
        <v>1010</v>
      </c>
      <c r="L243" s="18" t="s">
        <v>1011</v>
      </c>
      <c r="M243" s="18" t="s">
        <v>1012</v>
      </c>
      <c r="N243" s="424"/>
      <c r="O243" s="176">
        <v>0</v>
      </c>
      <c r="P243" s="21">
        <v>1</v>
      </c>
      <c r="Q243" s="21">
        <v>1</v>
      </c>
      <c r="R243" s="115">
        <v>1</v>
      </c>
      <c r="S243" s="115">
        <v>1</v>
      </c>
      <c r="T243" s="12" t="s">
        <v>798</v>
      </c>
      <c r="U243" s="283" t="s">
        <v>350</v>
      </c>
      <c r="V243" s="18" t="s">
        <v>1013</v>
      </c>
      <c r="W243" s="298">
        <v>1</v>
      </c>
      <c r="X243" s="298">
        <v>1</v>
      </c>
      <c r="Y243" s="298">
        <v>1</v>
      </c>
      <c r="Z243" s="299">
        <v>1</v>
      </c>
      <c r="AA243" s="299">
        <v>1</v>
      </c>
      <c r="AB243" s="300">
        <v>1</v>
      </c>
      <c r="AC243" s="301">
        <v>1</v>
      </c>
      <c r="AD243" s="301">
        <v>0</v>
      </c>
      <c r="AE243" s="302">
        <f t="shared" si="7"/>
        <v>0.875</v>
      </c>
      <c r="AF243" s="63">
        <v>0</v>
      </c>
      <c r="AG243" s="17"/>
      <c r="AH243" s="17">
        <v>35</v>
      </c>
      <c r="AI243" s="17">
        <v>35.5</v>
      </c>
      <c r="AJ243" s="17">
        <v>28</v>
      </c>
      <c r="AK243" s="127">
        <v>5</v>
      </c>
      <c r="AL243" s="127">
        <v>5</v>
      </c>
      <c r="AM243" s="147">
        <f t="shared" si="6"/>
        <v>10</v>
      </c>
      <c r="AN243" s="10" t="s">
        <v>619</v>
      </c>
      <c r="AO243" s="18" t="s">
        <v>350</v>
      </c>
      <c r="AP243" s="10" t="s">
        <v>359</v>
      </c>
    </row>
    <row r="244" spans="1:42" x14ac:dyDescent="0.3">
      <c r="A244" s="9" t="s">
        <v>30</v>
      </c>
      <c r="B244" s="10" t="s">
        <v>31</v>
      </c>
      <c r="C244" s="11" t="s">
        <v>774</v>
      </c>
      <c r="D244" s="12" t="s">
        <v>775</v>
      </c>
      <c r="E244" s="13" t="s">
        <v>862</v>
      </c>
      <c r="F244" s="12" t="s">
        <v>863</v>
      </c>
      <c r="G244" s="11" t="s">
        <v>922</v>
      </c>
      <c r="H244" s="12" t="s">
        <v>923</v>
      </c>
      <c r="I244" s="11" t="s">
        <v>1014</v>
      </c>
      <c r="J244" s="12" t="s">
        <v>1015</v>
      </c>
      <c r="K244" s="34" t="s">
        <v>1016</v>
      </c>
      <c r="L244" s="12" t="s">
        <v>1017</v>
      </c>
      <c r="M244" s="18" t="s">
        <v>1018</v>
      </c>
      <c r="N244" s="424">
        <v>0</v>
      </c>
      <c r="O244" s="176"/>
      <c r="P244" s="21"/>
      <c r="Q244" s="21">
        <v>1</v>
      </c>
      <c r="R244" s="115"/>
      <c r="S244" s="115"/>
      <c r="T244" s="12" t="s">
        <v>92</v>
      </c>
      <c r="U244" s="283" t="s">
        <v>118</v>
      </c>
      <c r="V244" s="18"/>
      <c r="W244" s="298">
        <v>0</v>
      </c>
      <c r="X244" s="298">
        <v>0</v>
      </c>
      <c r="Y244" s="298">
        <v>0</v>
      </c>
      <c r="Z244" s="299">
        <v>0</v>
      </c>
      <c r="AA244" s="299">
        <v>0</v>
      </c>
      <c r="AB244" s="300">
        <v>0</v>
      </c>
      <c r="AC244" s="301">
        <v>0</v>
      </c>
      <c r="AD244" s="301">
        <v>0</v>
      </c>
      <c r="AE244" s="302">
        <f t="shared" si="7"/>
        <v>0</v>
      </c>
      <c r="AF244" s="63">
        <v>0</v>
      </c>
      <c r="AG244" s="17">
        <v>0</v>
      </c>
      <c r="AH244" s="17"/>
      <c r="AI244" s="17"/>
      <c r="AJ244" s="17"/>
      <c r="AK244" s="109"/>
      <c r="AL244" s="109"/>
      <c r="AM244" s="147">
        <f t="shared" si="6"/>
        <v>0</v>
      </c>
      <c r="AN244" s="10" t="s">
        <v>619</v>
      </c>
      <c r="AO244" s="18" t="s">
        <v>118</v>
      </c>
      <c r="AP244" s="10"/>
    </row>
    <row r="245" spans="1:42" x14ac:dyDescent="0.3">
      <c r="A245" s="9" t="s">
        <v>30</v>
      </c>
      <c r="B245" s="12" t="s">
        <v>31</v>
      </c>
      <c r="C245" s="11" t="s">
        <v>774</v>
      </c>
      <c r="D245" s="12" t="s">
        <v>775</v>
      </c>
      <c r="E245" s="13" t="s">
        <v>862</v>
      </c>
      <c r="F245" s="12" t="s">
        <v>863</v>
      </c>
      <c r="G245" s="11" t="s">
        <v>922</v>
      </c>
      <c r="H245" s="12" t="s">
        <v>923</v>
      </c>
      <c r="I245" s="12" t="s">
        <v>1019</v>
      </c>
      <c r="J245" s="12" t="s">
        <v>1020</v>
      </c>
      <c r="K245" s="11" t="s">
        <v>1021</v>
      </c>
      <c r="L245" s="12" t="s">
        <v>1022</v>
      </c>
      <c r="M245" s="14" t="s">
        <v>1023</v>
      </c>
      <c r="N245" s="429">
        <v>0</v>
      </c>
      <c r="O245" s="438">
        <v>0.1</v>
      </c>
      <c r="P245" s="40">
        <v>0.3</v>
      </c>
      <c r="Q245" s="40">
        <v>0.6</v>
      </c>
      <c r="R245" s="121">
        <v>0.9</v>
      </c>
      <c r="S245" s="121">
        <v>1</v>
      </c>
      <c r="T245" s="41" t="s">
        <v>798</v>
      </c>
      <c r="U245" s="283" t="s">
        <v>350</v>
      </c>
      <c r="V245" s="12" t="s">
        <v>1024</v>
      </c>
      <c r="W245" s="298">
        <v>1</v>
      </c>
      <c r="X245" s="298">
        <v>1</v>
      </c>
      <c r="Y245" s="298">
        <v>1</v>
      </c>
      <c r="Z245" s="299">
        <v>0</v>
      </c>
      <c r="AA245" s="299">
        <v>1</v>
      </c>
      <c r="AB245" s="300">
        <v>1</v>
      </c>
      <c r="AC245" s="301">
        <v>1</v>
      </c>
      <c r="AD245" s="301">
        <v>0</v>
      </c>
      <c r="AE245" s="302">
        <f t="shared" si="7"/>
        <v>0.75</v>
      </c>
      <c r="AF245" s="63">
        <v>0</v>
      </c>
      <c r="AG245" s="17">
        <v>0</v>
      </c>
      <c r="AH245" s="23">
        <v>10</v>
      </c>
      <c r="AI245" s="23">
        <v>10</v>
      </c>
      <c r="AJ245" s="23">
        <v>18.5</v>
      </c>
      <c r="AK245" s="143">
        <v>9</v>
      </c>
      <c r="AL245" s="143">
        <v>3</v>
      </c>
      <c r="AM245" s="147">
        <f t="shared" si="6"/>
        <v>12</v>
      </c>
      <c r="AN245" s="10" t="s">
        <v>619</v>
      </c>
      <c r="AO245" s="14" t="s">
        <v>350</v>
      </c>
      <c r="AP245" s="12" t="s">
        <v>1025</v>
      </c>
    </row>
    <row r="246" spans="1:42" x14ac:dyDescent="0.3">
      <c r="A246" s="9" t="s">
        <v>30</v>
      </c>
      <c r="B246" s="10" t="s">
        <v>31</v>
      </c>
      <c r="C246" s="11" t="s">
        <v>774</v>
      </c>
      <c r="D246" s="12" t="s">
        <v>775</v>
      </c>
      <c r="E246" s="13" t="s">
        <v>862</v>
      </c>
      <c r="F246" s="12" t="s">
        <v>863</v>
      </c>
      <c r="G246" s="11" t="s">
        <v>922</v>
      </c>
      <c r="H246" s="12" t="s">
        <v>923</v>
      </c>
      <c r="I246" s="12" t="s">
        <v>1026</v>
      </c>
      <c r="J246" s="12" t="s">
        <v>1027</v>
      </c>
      <c r="K246" s="9" t="s">
        <v>1028</v>
      </c>
      <c r="L246" s="10" t="s">
        <v>1029</v>
      </c>
      <c r="M246" s="18"/>
      <c r="N246" s="424">
        <v>0</v>
      </c>
      <c r="O246" s="439">
        <v>0</v>
      </c>
      <c r="P246" s="24">
        <v>4</v>
      </c>
      <c r="Q246" s="24">
        <v>2</v>
      </c>
      <c r="R246" s="116">
        <v>1</v>
      </c>
      <c r="S246" s="116">
        <v>1</v>
      </c>
      <c r="T246" s="41" t="s">
        <v>92</v>
      </c>
      <c r="U246" s="283" t="s">
        <v>118</v>
      </c>
      <c r="V246" s="10"/>
      <c r="W246" s="298">
        <v>0</v>
      </c>
      <c r="X246" s="298">
        <v>0</v>
      </c>
      <c r="Y246" s="298">
        <v>0</v>
      </c>
      <c r="Z246" s="299">
        <v>0</v>
      </c>
      <c r="AA246" s="299">
        <v>0</v>
      </c>
      <c r="AB246" s="300">
        <v>0</v>
      </c>
      <c r="AC246" s="301">
        <v>0</v>
      </c>
      <c r="AD246" s="301">
        <v>0</v>
      </c>
      <c r="AE246" s="302">
        <f t="shared" si="7"/>
        <v>0</v>
      </c>
      <c r="AF246" s="63">
        <v>0</v>
      </c>
      <c r="AG246" s="17">
        <v>0</v>
      </c>
      <c r="AH246" s="17"/>
      <c r="AI246" s="17"/>
      <c r="AJ246" s="17"/>
      <c r="AK246" s="109"/>
      <c r="AL246" s="109"/>
      <c r="AM246" s="147">
        <f t="shared" si="6"/>
        <v>0</v>
      </c>
      <c r="AN246" s="10" t="s">
        <v>619</v>
      </c>
      <c r="AO246" s="18" t="s">
        <v>350</v>
      </c>
      <c r="AP246" s="10"/>
    </row>
    <row r="247" spans="1:42" x14ac:dyDescent="0.3">
      <c r="A247" s="9" t="s">
        <v>30</v>
      </c>
      <c r="B247" s="10" t="s">
        <v>31</v>
      </c>
      <c r="C247" s="11" t="s">
        <v>774</v>
      </c>
      <c r="D247" s="12" t="s">
        <v>775</v>
      </c>
      <c r="E247" s="13" t="s">
        <v>862</v>
      </c>
      <c r="F247" s="12" t="s">
        <v>863</v>
      </c>
      <c r="G247" s="11" t="s">
        <v>1030</v>
      </c>
      <c r="H247" s="12" t="s">
        <v>1031</v>
      </c>
      <c r="I247" s="12"/>
      <c r="J247" s="12"/>
      <c r="K247" s="11" t="s">
        <v>1032</v>
      </c>
      <c r="L247" s="12" t="s">
        <v>1033</v>
      </c>
      <c r="M247" s="18" t="s">
        <v>1034</v>
      </c>
      <c r="N247" s="424"/>
      <c r="O247" s="176">
        <v>0</v>
      </c>
      <c r="P247" s="21">
        <v>1</v>
      </c>
      <c r="Q247" s="21">
        <v>2</v>
      </c>
      <c r="R247" s="115">
        <v>2</v>
      </c>
      <c r="S247" s="115">
        <v>2</v>
      </c>
      <c r="T247" s="12" t="s">
        <v>1035</v>
      </c>
      <c r="U247" s="283" t="s">
        <v>1037</v>
      </c>
      <c r="V247" s="18" t="s">
        <v>1036</v>
      </c>
      <c r="W247" s="298">
        <v>1</v>
      </c>
      <c r="X247" s="298">
        <v>1</v>
      </c>
      <c r="Y247" s="298">
        <v>0</v>
      </c>
      <c r="Z247" s="299">
        <v>1</v>
      </c>
      <c r="AA247" s="299">
        <v>1</v>
      </c>
      <c r="AB247" s="300">
        <v>1</v>
      </c>
      <c r="AC247" s="301">
        <v>1</v>
      </c>
      <c r="AD247" s="301">
        <v>1</v>
      </c>
      <c r="AE247" s="302">
        <f t="shared" si="7"/>
        <v>0.875</v>
      </c>
      <c r="AF247" s="63">
        <v>0</v>
      </c>
      <c r="AG247" s="17">
        <v>0</v>
      </c>
      <c r="AH247" s="17">
        <v>0</v>
      </c>
      <c r="AI247" s="17">
        <v>0</v>
      </c>
      <c r="AJ247" s="17">
        <v>0</v>
      </c>
      <c r="AK247" s="109">
        <v>0</v>
      </c>
      <c r="AL247" s="109">
        <v>0</v>
      </c>
      <c r="AM247" s="147">
        <f t="shared" si="6"/>
        <v>0</v>
      </c>
      <c r="AN247" s="18" t="s">
        <v>1035</v>
      </c>
      <c r="AO247" s="18" t="s">
        <v>1037</v>
      </c>
      <c r="AP247" s="10" t="s">
        <v>1038</v>
      </c>
    </row>
    <row r="248" spans="1:42" x14ac:dyDescent="0.3">
      <c r="A248" s="9" t="s">
        <v>30</v>
      </c>
      <c r="B248" s="10" t="s">
        <v>31</v>
      </c>
      <c r="C248" s="11" t="s">
        <v>774</v>
      </c>
      <c r="D248" s="12" t="s">
        <v>775</v>
      </c>
      <c r="E248" s="13" t="s">
        <v>862</v>
      </c>
      <c r="F248" s="12" t="s">
        <v>863</v>
      </c>
      <c r="G248" s="11" t="s">
        <v>1039</v>
      </c>
      <c r="H248" s="12" t="s">
        <v>1040</v>
      </c>
      <c r="I248" s="12"/>
      <c r="J248" s="12"/>
      <c r="K248" s="11" t="s">
        <v>1041</v>
      </c>
      <c r="L248" s="12" t="s">
        <v>1042</v>
      </c>
      <c r="M248" s="18" t="s">
        <v>1043</v>
      </c>
      <c r="N248" s="424"/>
      <c r="O248" s="176"/>
      <c r="P248" s="21"/>
      <c r="Q248" s="21"/>
      <c r="R248" s="115"/>
      <c r="S248" s="115"/>
      <c r="T248" s="12" t="s">
        <v>255</v>
      </c>
      <c r="U248" s="283" t="s">
        <v>1045</v>
      </c>
      <c r="V248" s="10" t="s">
        <v>1044</v>
      </c>
      <c r="W248" s="298">
        <v>1</v>
      </c>
      <c r="X248" s="298">
        <v>1</v>
      </c>
      <c r="Y248" s="298">
        <v>1</v>
      </c>
      <c r="Z248" s="299">
        <v>1</v>
      </c>
      <c r="AA248" s="299">
        <v>1</v>
      </c>
      <c r="AB248" s="300">
        <v>1</v>
      </c>
      <c r="AC248" s="301">
        <v>1</v>
      </c>
      <c r="AD248" s="301">
        <v>0</v>
      </c>
      <c r="AE248" s="302">
        <f t="shared" si="7"/>
        <v>0.875</v>
      </c>
      <c r="AF248" s="63">
        <v>0</v>
      </c>
      <c r="AG248" s="17">
        <v>0</v>
      </c>
      <c r="AH248" s="17">
        <v>28</v>
      </c>
      <c r="AI248" s="17">
        <v>24</v>
      </c>
      <c r="AJ248" s="17">
        <v>24</v>
      </c>
      <c r="AK248" s="109">
        <v>25</v>
      </c>
      <c r="AL248" s="127">
        <v>31</v>
      </c>
      <c r="AM248" s="147">
        <f t="shared" si="6"/>
        <v>56</v>
      </c>
      <c r="AN248" s="18" t="s">
        <v>255</v>
      </c>
      <c r="AO248" s="18" t="s">
        <v>1045</v>
      </c>
      <c r="AP248" s="10" t="s">
        <v>58</v>
      </c>
    </row>
    <row r="249" spans="1:42" x14ac:dyDescent="0.3">
      <c r="A249" s="9" t="s">
        <v>30</v>
      </c>
      <c r="B249" s="10" t="s">
        <v>31</v>
      </c>
      <c r="C249" s="11" t="s">
        <v>774</v>
      </c>
      <c r="D249" s="12" t="s">
        <v>775</v>
      </c>
      <c r="E249" s="13" t="s">
        <v>862</v>
      </c>
      <c r="F249" s="12" t="s">
        <v>863</v>
      </c>
      <c r="G249" s="11" t="s">
        <v>1046</v>
      </c>
      <c r="H249" s="12" t="s">
        <v>1047</v>
      </c>
      <c r="I249" s="12"/>
      <c r="J249" s="12"/>
      <c r="K249" s="11" t="s">
        <v>1048</v>
      </c>
      <c r="L249" s="12" t="s">
        <v>1049</v>
      </c>
      <c r="M249" s="18" t="s">
        <v>1050</v>
      </c>
      <c r="N249" s="424"/>
      <c r="O249" s="176"/>
      <c r="P249" s="21"/>
      <c r="Q249" s="21"/>
      <c r="R249" s="115"/>
      <c r="S249" s="115"/>
      <c r="T249" s="12" t="s">
        <v>92</v>
      </c>
      <c r="U249" s="283" t="s">
        <v>118</v>
      </c>
      <c r="V249" s="10"/>
      <c r="W249" s="298">
        <v>0</v>
      </c>
      <c r="X249" s="298">
        <v>0</v>
      </c>
      <c r="Y249" s="298">
        <v>0</v>
      </c>
      <c r="Z249" s="299">
        <v>0</v>
      </c>
      <c r="AA249" s="299">
        <v>0</v>
      </c>
      <c r="AB249" s="300">
        <v>0</v>
      </c>
      <c r="AC249" s="301">
        <v>0</v>
      </c>
      <c r="AD249" s="301">
        <v>0</v>
      </c>
      <c r="AE249" s="302">
        <f t="shared" si="7"/>
        <v>0</v>
      </c>
      <c r="AF249" s="63">
        <v>0</v>
      </c>
      <c r="AG249" s="17">
        <v>0</v>
      </c>
      <c r="AH249" s="17"/>
      <c r="AI249" s="17"/>
      <c r="AJ249" s="17"/>
      <c r="AK249" s="109"/>
      <c r="AL249" s="109"/>
      <c r="AM249" s="147">
        <f t="shared" si="6"/>
        <v>0</v>
      </c>
      <c r="AN249" s="18" t="s">
        <v>92</v>
      </c>
      <c r="AO249" s="18" t="s">
        <v>118</v>
      </c>
      <c r="AP249" s="10" t="s">
        <v>723</v>
      </c>
    </row>
    <row r="250" spans="1:42" x14ac:dyDescent="0.3">
      <c r="A250" s="9" t="s">
        <v>30</v>
      </c>
      <c r="B250" s="10" t="s">
        <v>31</v>
      </c>
      <c r="C250" s="9" t="s">
        <v>1051</v>
      </c>
      <c r="D250" s="10" t="s">
        <v>1052</v>
      </c>
      <c r="E250" s="11" t="s">
        <v>1053</v>
      </c>
      <c r="F250" s="12" t="s">
        <v>1054</v>
      </c>
      <c r="G250" s="11" t="s">
        <v>1055</v>
      </c>
      <c r="H250" s="12" t="s">
        <v>1056</v>
      </c>
      <c r="I250" s="12" t="s">
        <v>1057</v>
      </c>
      <c r="J250" s="12" t="s">
        <v>1058</v>
      </c>
      <c r="K250" s="9" t="s">
        <v>1059</v>
      </c>
      <c r="L250" s="10" t="s">
        <v>1060</v>
      </c>
      <c r="M250" s="18" t="s">
        <v>1061</v>
      </c>
      <c r="N250" s="424">
        <v>0</v>
      </c>
      <c r="O250" s="14">
        <v>0</v>
      </c>
      <c r="P250" s="21">
        <v>1</v>
      </c>
      <c r="Q250" s="21"/>
      <c r="R250" s="115"/>
      <c r="S250" s="115"/>
      <c r="T250" s="12" t="s">
        <v>92</v>
      </c>
      <c r="U250" s="283" t="s">
        <v>118</v>
      </c>
      <c r="V250" s="10" t="s">
        <v>1062</v>
      </c>
      <c r="W250" s="298">
        <v>1</v>
      </c>
      <c r="X250" s="298">
        <v>0</v>
      </c>
      <c r="Y250" s="298">
        <v>0</v>
      </c>
      <c r="Z250" s="299">
        <v>1</v>
      </c>
      <c r="AA250" s="299">
        <v>1</v>
      </c>
      <c r="AB250" s="300">
        <v>0</v>
      </c>
      <c r="AC250" s="301">
        <v>1</v>
      </c>
      <c r="AD250" s="301">
        <v>0</v>
      </c>
      <c r="AE250" s="302">
        <f t="shared" si="7"/>
        <v>0.5</v>
      </c>
      <c r="AF250" s="63">
        <v>0</v>
      </c>
      <c r="AG250" s="17">
        <v>0</v>
      </c>
      <c r="AH250" s="17">
        <v>6.5</v>
      </c>
      <c r="AI250" s="17">
        <v>0.5</v>
      </c>
      <c r="AJ250" s="17">
        <v>0.5</v>
      </c>
      <c r="AK250" s="109"/>
      <c r="AL250" s="109"/>
      <c r="AM250" s="147">
        <f t="shared" si="6"/>
        <v>0</v>
      </c>
      <c r="AN250" s="18" t="s">
        <v>92</v>
      </c>
      <c r="AO250" s="18" t="s">
        <v>118</v>
      </c>
      <c r="AP250" s="10" t="s">
        <v>1063</v>
      </c>
    </row>
    <row r="251" spans="1:42" x14ac:dyDescent="0.3">
      <c r="A251" s="9" t="s">
        <v>30</v>
      </c>
      <c r="B251" s="10" t="s">
        <v>31</v>
      </c>
      <c r="C251" s="9" t="s">
        <v>1051</v>
      </c>
      <c r="D251" s="10" t="s">
        <v>1052</v>
      </c>
      <c r="E251" s="11" t="s">
        <v>1053</v>
      </c>
      <c r="F251" s="12" t="s">
        <v>1054</v>
      </c>
      <c r="G251" s="11" t="s">
        <v>1055</v>
      </c>
      <c r="H251" s="12" t="s">
        <v>1056</v>
      </c>
      <c r="I251" s="12" t="s">
        <v>1057</v>
      </c>
      <c r="J251" s="12" t="s">
        <v>1058</v>
      </c>
      <c r="K251" s="9" t="s">
        <v>1059</v>
      </c>
      <c r="L251" s="10" t="s">
        <v>1060</v>
      </c>
      <c r="M251" s="18" t="s">
        <v>1064</v>
      </c>
      <c r="N251" s="424">
        <v>0</v>
      </c>
      <c r="O251" s="14">
        <v>1</v>
      </c>
      <c r="P251" s="21"/>
      <c r="Q251" s="21"/>
      <c r="R251" s="115"/>
      <c r="S251" s="115"/>
      <c r="T251" s="12" t="s">
        <v>321</v>
      </c>
      <c r="U251" s="283" t="s">
        <v>1066</v>
      </c>
      <c r="V251" s="10" t="s">
        <v>1065</v>
      </c>
      <c r="W251" s="298">
        <v>1</v>
      </c>
      <c r="X251" s="298">
        <v>1</v>
      </c>
      <c r="Y251" s="298">
        <v>1</v>
      </c>
      <c r="Z251" s="299">
        <v>1</v>
      </c>
      <c r="AA251" s="299">
        <v>1</v>
      </c>
      <c r="AB251" s="300">
        <v>1</v>
      </c>
      <c r="AC251" s="301">
        <v>1</v>
      </c>
      <c r="AD251" s="301">
        <v>0</v>
      </c>
      <c r="AE251" s="302">
        <f t="shared" si="7"/>
        <v>0.875</v>
      </c>
      <c r="AF251" s="63">
        <v>0</v>
      </c>
      <c r="AG251" s="17">
        <v>0</v>
      </c>
      <c r="AH251" s="17">
        <v>2.5</v>
      </c>
      <c r="AI251" s="17">
        <v>0.5</v>
      </c>
      <c r="AJ251" s="17">
        <v>0.3</v>
      </c>
      <c r="AK251" s="109">
        <v>0.1</v>
      </c>
      <c r="AL251" s="109">
        <v>0.1</v>
      </c>
      <c r="AM251" s="147">
        <f t="shared" si="6"/>
        <v>0.2</v>
      </c>
      <c r="AN251" s="18" t="s">
        <v>321</v>
      </c>
      <c r="AO251" s="18" t="s">
        <v>1066</v>
      </c>
      <c r="AP251" s="10" t="s">
        <v>1067</v>
      </c>
    </row>
    <row r="252" spans="1:42" x14ac:dyDescent="0.3">
      <c r="A252" s="9" t="s">
        <v>30</v>
      </c>
      <c r="B252" s="10" t="s">
        <v>31</v>
      </c>
      <c r="C252" s="9" t="s">
        <v>1051</v>
      </c>
      <c r="D252" s="10" t="s">
        <v>1052</v>
      </c>
      <c r="E252" s="11" t="s">
        <v>1053</v>
      </c>
      <c r="F252" s="12" t="s">
        <v>1054</v>
      </c>
      <c r="G252" s="11" t="s">
        <v>1055</v>
      </c>
      <c r="H252" s="12" t="s">
        <v>1056</v>
      </c>
      <c r="I252" s="12" t="s">
        <v>1057</v>
      </c>
      <c r="J252" s="12" t="s">
        <v>1058</v>
      </c>
      <c r="K252" s="9" t="s">
        <v>1068</v>
      </c>
      <c r="L252" s="10" t="s">
        <v>1069</v>
      </c>
      <c r="M252" s="18" t="s">
        <v>1070</v>
      </c>
      <c r="N252" s="424"/>
      <c r="O252" s="440">
        <v>50000</v>
      </c>
      <c r="P252" s="27">
        <v>50000</v>
      </c>
      <c r="Q252" s="27">
        <v>50000</v>
      </c>
      <c r="R252" s="144">
        <v>25000</v>
      </c>
      <c r="S252" s="144">
        <v>25000</v>
      </c>
      <c r="T252" s="12" t="s">
        <v>321</v>
      </c>
      <c r="U252" s="283" t="s">
        <v>1066</v>
      </c>
      <c r="V252" s="10" t="s">
        <v>1071</v>
      </c>
      <c r="W252" s="298">
        <v>1</v>
      </c>
      <c r="X252" s="298">
        <v>1</v>
      </c>
      <c r="Y252" s="298">
        <v>1</v>
      </c>
      <c r="Z252" s="299">
        <v>1</v>
      </c>
      <c r="AA252" s="299">
        <v>1</v>
      </c>
      <c r="AB252" s="300">
        <v>1</v>
      </c>
      <c r="AC252" s="301">
        <v>1</v>
      </c>
      <c r="AD252" s="301">
        <v>0</v>
      </c>
      <c r="AE252" s="302">
        <f t="shared" si="7"/>
        <v>0.875</v>
      </c>
      <c r="AF252" s="63">
        <v>0</v>
      </c>
      <c r="AG252" s="17">
        <v>0</v>
      </c>
      <c r="AH252" s="17">
        <v>3.65</v>
      </c>
      <c r="AI252" s="17">
        <v>2.5</v>
      </c>
      <c r="AJ252" s="17">
        <v>2.5</v>
      </c>
      <c r="AK252" s="127">
        <v>1</v>
      </c>
      <c r="AL252" s="127">
        <v>1</v>
      </c>
      <c r="AM252" s="147">
        <f t="shared" si="6"/>
        <v>2</v>
      </c>
      <c r="AN252" s="18" t="s">
        <v>321</v>
      </c>
      <c r="AO252" s="18" t="s">
        <v>1066</v>
      </c>
      <c r="AP252" s="10" t="s">
        <v>1072</v>
      </c>
    </row>
    <row r="253" spans="1:42" x14ac:dyDescent="0.3">
      <c r="A253" s="9" t="s">
        <v>30</v>
      </c>
      <c r="B253" s="10" t="s">
        <v>31</v>
      </c>
      <c r="C253" s="9" t="s">
        <v>1051</v>
      </c>
      <c r="D253" s="10" t="s">
        <v>1052</v>
      </c>
      <c r="E253" s="11" t="s">
        <v>1053</v>
      </c>
      <c r="F253" s="12" t="s">
        <v>1054</v>
      </c>
      <c r="G253" s="11" t="s">
        <v>1055</v>
      </c>
      <c r="H253" s="12" t="s">
        <v>1056</v>
      </c>
      <c r="I253" s="12" t="s">
        <v>1057</v>
      </c>
      <c r="J253" s="12" t="s">
        <v>1058</v>
      </c>
      <c r="K253" s="9" t="s">
        <v>1068</v>
      </c>
      <c r="L253" s="10" t="s">
        <v>1069</v>
      </c>
      <c r="M253" s="18" t="s">
        <v>1073</v>
      </c>
      <c r="N253" s="424">
        <v>35</v>
      </c>
      <c r="O253" s="14">
        <v>50</v>
      </c>
      <c r="P253" s="21">
        <v>80</v>
      </c>
      <c r="Q253" s="21">
        <v>100</v>
      </c>
      <c r="R253" s="129">
        <v>80</v>
      </c>
      <c r="S253" s="129">
        <v>80</v>
      </c>
      <c r="T253" s="12" t="s">
        <v>321</v>
      </c>
      <c r="U253" s="283" t="s">
        <v>1066</v>
      </c>
      <c r="V253" s="10" t="s">
        <v>1071</v>
      </c>
      <c r="W253" s="298">
        <v>1</v>
      </c>
      <c r="X253" s="298">
        <v>1</v>
      </c>
      <c r="Y253" s="298">
        <v>1</v>
      </c>
      <c r="Z253" s="299">
        <v>1</v>
      </c>
      <c r="AA253" s="299">
        <v>1</v>
      </c>
      <c r="AB253" s="300">
        <v>1</v>
      </c>
      <c r="AC253" s="301">
        <v>1</v>
      </c>
      <c r="AD253" s="301">
        <v>1</v>
      </c>
      <c r="AE253" s="302">
        <f t="shared" si="7"/>
        <v>1</v>
      </c>
      <c r="AF253" s="63">
        <v>0</v>
      </c>
      <c r="AG253" s="17">
        <v>0</v>
      </c>
      <c r="AH253" s="17"/>
      <c r="AI253" s="17"/>
      <c r="AJ253" s="17"/>
      <c r="AK253" s="127">
        <v>0.2</v>
      </c>
      <c r="AL253" s="127">
        <v>0.25</v>
      </c>
      <c r="AM253" s="147">
        <f t="shared" si="6"/>
        <v>0.45</v>
      </c>
      <c r="AN253" s="18" t="s">
        <v>321</v>
      </c>
      <c r="AO253" s="18" t="s">
        <v>1066</v>
      </c>
      <c r="AP253" s="10" t="s">
        <v>1072</v>
      </c>
    </row>
    <row r="254" spans="1:42" x14ac:dyDescent="0.3">
      <c r="A254" s="9" t="s">
        <v>30</v>
      </c>
      <c r="B254" s="10" t="s">
        <v>31</v>
      </c>
      <c r="C254" s="9" t="s">
        <v>1051</v>
      </c>
      <c r="D254" s="10" t="s">
        <v>1052</v>
      </c>
      <c r="E254" s="11" t="s">
        <v>1053</v>
      </c>
      <c r="F254" s="12" t="s">
        <v>1054</v>
      </c>
      <c r="G254" s="11" t="s">
        <v>1055</v>
      </c>
      <c r="H254" s="12" t="s">
        <v>1056</v>
      </c>
      <c r="I254" s="12" t="s">
        <v>1057</v>
      </c>
      <c r="J254" s="12" t="s">
        <v>1058</v>
      </c>
      <c r="K254" s="9" t="s">
        <v>1074</v>
      </c>
      <c r="L254" s="12" t="s">
        <v>1075</v>
      </c>
      <c r="M254" s="18" t="s">
        <v>1076</v>
      </c>
      <c r="N254" s="424">
        <v>0</v>
      </c>
      <c r="O254" s="176">
        <v>0</v>
      </c>
      <c r="P254" s="21"/>
      <c r="Q254" s="21"/>
      <c r="R254" s="129">
        <v>200</v>
      </c>
      <c r="S254" s="129">
        <v>300</v>
      </c>
      <c r="T254" s="12" t="s">
        <v>156</v>
      </c>
      <c r="U254" s="283" t="s">
        <v>158</v>
      </c>
      <c r="V254" s="10" t="s">
        <v>1077</v>
      </c>
      <c r="W254" s="298">
        <v>1</v>
      </c>
      <c r="X254" s="298">
        <v>1</v>
      </c>
      <c r="Y254" s="298">
        <v>1</v>
      </c>
      <c r="Z254" s="299">
        <v>1</v>
      </c>
      <c r="AA254" s="299">
        <v>1</v>
      </c>
      <c r="AB254" s="300">
        <v>1</v>
      </c>
      <c r="AC254" s="301">
        <v>1</v>
      </c>
      <c r="AD254" s="301">
        <v>1</v>
      </c>
      <c r="AE254" s="302">
        <f t="shared" si="7"/>
        <v>1</v>
      </c>
      <c r="AF254" s="63">
        <v>0</v>
      </c>
      <c r="AG254" s="17">
        <v>0</v>
      </c>
      <c r="AH254" s="17">
        <v>0</v>
      </c>
      <c r="AI254" s="17">
        <v>2.1</v>
      </c>
      <c r="AJ254" s="17">
        <v>2.2000000000000002</v>
      </c>
      <c r="AK254" s="127">
        <v>1.5</v>
      </c>
      <c r="AL254" s="127">
        <v>1.5</v>
      </c>
      <c r="AM254" s="147">
        <f t="shared" si="6"/>
        <v>3</v>
      </c>
      <c r="AN254" s="18" t="s">
        <v>156</v>
      </c>
      <c r="AO254" s="18" t="s">
        <v>158</v>
      </c>
      <c r="AP254" s="10" t="s">
        <v>1078</v>
      </c>
    </row>
    <row r="255" spans="1:42" x14ac:dyDescent="0.3">
      <c r="A255" s="9" t="s">
        <v>30</v>
      </c>
      <c r="B255" s="10" t="s">
        <v>31</v>
      </c>
      <c r="C255" s="9" t="s">
        <v>1051</v>
      </c>
      <c r="D255" s="10" t="s">
        <v>1052</v>
      </c>
      <c r="E255" s="11" t="s">
        <v>1053</v>
      </c>
      <c r="F255" s="12" t="s">
        <v>1054</v>
      </c>
      <c r="G255" s="11" t="s">
        <v>1055</v>
      </c>
      <c r="H255" s="12" t="s">
        <v>1056</v>
      </c>
      <c r="I255" s="12" t="s">
        <v>1057</v>
      </c>
      <c r="J255" s="12" t="s">
        <v>1058</v>
      </c>
      <c r="K255" s="9" t="s">
        <v>1079</v>
      </c>
      <c r="L255" s="10" t="s">
        <v>1080</v>
      </c>
      <c r="M255" s="18" t="s">
        <v>1081</v>
      </c>
      <c r="N255" s="424"/>
      <c r="O255" s="14">
        <v>1</v>
      </c>
      <c r="P255" s="21">
        <v>2</v>
      </c>
      <c r="Q255" s="21">
        <v>4</v>
      </c>
      <c r="R255" s="115">
        <v>6</v>
      </c>
      <c r="S255" s="115">
        <v>8</v>
      </c>
      <c r="T255" s="12" t="s">
        <v>92</v>
      </c>
      <c r="U255" s="283" t="s">
        <v>118</v>
      </c>
      <c r="V255" s="10" t="s">
        <v>1082</v>
      </c>
      <c r="W255" s="298">
        <v>1</v>
      </c>
      <c r="X255" s="298">
        <v>1</v>
      </c>
      <c r="Y255" s="298">
        <v>1</v>
      </c>
      <c r="Z255" s="299">
        <v>1</v>
      </c>
      <c r="AA255" s="299">
        <v>1</v>
      </c>
      <c r="AB255" s="300">
        <v>1</v>
      </c>
      <c r="AC255" s="301">
        <v>1</v>
      </c>
      <c r="AD255" s="301">
        <v>0</v>
      </c>
      <c r="AE255" s="302">
        <f t="shared" si="7"/>
        <v>0.875</v>
      </c>
      <c r="AF255" s="63">
        <v>0</v>
      </c>
      <c r="AG255" s="17">
        <v>0</v>
      </c>
      <c r="AH255" s="17">
        <v>1</v>
      </c>
      <c r="AI255" s="17">
        <v>0.5</v>
      </c>
      <c r="AJ255" s="17">
        <v>0.5</v>
      </c>
      <c r="AK255" s="127">
        <v>0.5</v>
      </c>
      <c r="AL255" s="127">
        <v>0.9</v>
      </c>
      <c r="AM255" s="147">
        <f t="shared" si="6"/>
        <v>1.4</v>
      </c>
      <c r="AN255" s="18" t="s">
        <v>92</v>
      </c>
      <c r="AO255" s="18" t="s">
        <v>118</v>
      </c>
      <c r="AP255" s="10" t="s">
        <v>1083</v>
      </c>
    </row>
    <row r="256" spans="1:42" x14ac:dyDescent="0.3">
      <c r="A256" s="9" t="s">
        <v>30</v>
      </c>
      <c r="B256" s="10" t="s">
        <v>31</v>
      </c>
      <c r="C256" s="9" t="s">
        <v>1051</v>
      </c>
      <c r="D256" s="10" t="s">
        <v>1052</v>
      </c>
      <c r="E256" s="11" t="s">
        <v>1053</v>
      </c>
      <c r="F256" s="12" t="s">
        <v>1054</v>
      </c>
      <c r="G256" s="11" t="s">
        <v>1055</v>
      </c>
      <c r="H256" s="12" t="s">
        <v>1056</v>
      </c>
      <c r="I256" s="12" t="s">
        <v>1084</v>
      </c>
      <c r="J256" s="12" t="s">
        <v>1085</v>
      </c>
      <c r="K256" s="9" t="s">
        <v>1086</v>
      </c>
      <c r="L256" s="10" t="s">
        <v>1087</v>
      </c>
      <c r="M256" s="18" t="s">
        <v>1088</v>
      </c>
      <c r="N256" s="424"/>
      <c r="O256" s="176">
        <v>0</v>
      </c>
      <c r="P256" s="21"/>
      <c r="Q256" s="21"/>
      <c r="R256" s="115"/>
      <c r="S256" s="115"/>
      <c r="T256" s="12" t="s">
        <v>265</v>
      </c>
      <c r="U256" s="283" t="s">
        <v>350</v>
      </c>
      <c r="V256" s="10" t="s">
        <v>1089</v>
      </c>
      <c r="W256" s="298">
        <v>1</v>
      </c>
      <c r="X256" s="298">
        <v>0</v>
      </c>
      <c r="Y256" s="298">
        <v>1</v>
      </c>
      <c r="Z256" s="299">
        <v>1</v>
      </c>
      <c r="AA256" s="299">
        <v>1</v>
      </c>
      <c r="AB256" s="300">
        <v>1</v>
      </c>
      <c r="AC256" s="301">
        <v>1</v>
      </c>
      <c r="AD256" s="301">
        <v>0</v>
      </c>
      <c r="AE256" s="302">
        <f t="shared" si="7"/>
        <v>0.75</v>
      </c>
      <c r="AF256" s="63">
        <v>0</v>
      </c>
      <c r="AG256" s="17">
        <v>0</v>
      </c>
      <c r="AH256" s="17">
        <v>1.25</v>
      </c>
      <c r="AI256" s="17">
        <v>1.45</v>
      </c>
      <c r="AJ256" s="17">
        <v>2</v>
      </c>
      <c r="AK256" s="127">
        <v>1</v>
      </c>
      <c r="AL256" s="109">
        <v>2</v>
      </c>
      <c r="AM256" s="147">
        <f t="shared" si="6"/>
        <v>3</v>
      </c>
      <c r="AN256" s="283" t="s">
        <v>265</v>
      </c>
      <c r="AO256" s="18" t="s">
        <v>350</v>
      </c>
      <c r="AP256" s="10" t="s">
        <v>1090</v>
      </c>
    </row>
    <row r="257" spans="1:42" x14ac:dyDescent="0.3">
      <c r="A257" s="9" t="s">
        <v>30</v>
      </c>
      <c r="B257" s="10" t="s">
        <v>31</v>
      </c>
      <c r="C257" s="9" t="s">
        <v>1051</v>
      </c>
      <c r="D257" s="10" t="s">
        <v>1052</v>
      </c>
      <c r="E257" s="11" t="s">
        <v>1053</v>
      </c>
      <c r="F257" s="12" t="s">
        <v>1054</v>
      </c>
      <c r="G257" s="11" t="s">
        <v>1055</v>
      </c>
      <c r="H257" s="12" t="s">
        <v>1056</v>
      </c>
      <c r="I257" s="12" t="s">
        <v>1084</v>
      </c>
      <c r="J257" s="12" t="s">
        <v>1085</v>
      </c>
      <c r="K257" s="9" t="s">
        <v>1091</v>
      </c>
      <c r="L257" s="10" t="s">
        <v>1092</v>
      </c>
      <c r="M257" s="18" t="s">
        <v>1093</v>
      </c>
      <c r="N257" s="424"/>
      <c r="O257" s="18">
        <v>500</v>
      </c>
      <c r="P257" s="16">
        <v>1500</v>
      </c>
      <c r="Q257" s="16">
        <v>3000</v>
      </c>
      <c r="R257" s="126">
        <v>2000</v>
      </c>
      <c r="S257" s="126">
        <v>4000</v>
      </c>
      <c r="T257" s="10" t="s">
        <v>321</v>
      </c>
      <c r="U257" s="283" t="s">
        <v>1066</v>
      </c>
      <c r="V257" s="10" t="s">
        <v>1094</v>
      </c>
      <c r="W257" s="298">
        <v>1</v>
      </c>
      <c r="X257" s="298">
        <v>0</v>
      </c>
      <c r="Y257" s="298">
        <v>1</v>
      </c>
      <c r="Z257" s="299">
        <v>1</v>
      </c>
      <c r="AA257" s="299">
        <v>1</v>
      </c>
      <c r="AB257" s="300">
        <v>1</v>
      </c>
      <c r="AC257" s="301">
        <v>1</v>
      </c>
      <c r="AD257" s="301">
        <v>0</v>
      </c>
      <c r="AE257" s="302">
        <f t="shared" si="7"/>
        <v>0.75</v>
      </c>
      <c r="AF257" s="63">
        <v>0</v>
      </c>
      <c r="AG257" s="17">
        <v>0</v>
      </c>
      <c r="AH257" s="17">
        <v>0</v>
      </c>
      <c r="AI257" s="32">
        <v>0.2</v>
      </c>
      <c r="AJ257" s="32">
        <v>1</v>
      </c>
      <c r="AK257" s="132">
        <v>0.8</v>
      </c>
      <c r="AL257" s="132">
        <v>1.6</v>
      </c>
      <c r="AM257" s="147">
        <f t="shared" si="6"/>
        <v>2.4000000000000004</v>
      </c>
      <c r="AN257" s="18" t="s">
        <v>321</v>
      </c>
      <c r="AO257" s="18" t="s">
        <v>1066</v>
      </c>
      <c r="AP257" s="10" t="s">
        <v>1095</v>
      </c>
    </row>
    <row r="258" spans="1:42" x14ac:dyDescent="0.3">
      <c r="A258" s="9" t="s">
        <v>30</v>
      </c>
      <c r="B258" s="10" t="s">
        <v>31</v>
      </c>
      <c r="C258" s="9" t="s">
        <v>1051</v>
      </c>
      <c r="D258" s="10" t="s">
        <v>1052</v>
      </c>
      <c r="E258" s="11" t="s">
        <v>1053</v>
      </c>
      <c r="F258" s="12" t="s">
        <v>1054</v>
      </c>
      <c r="G258" s="11" t="s">
        <v>1055</v>
      </c>
      <c r="H258" s="12" t="s">
        <v>1056</v>
      </c>
      <c r="I258" s="12" t="s">
        <v>1084</v>
      </c>
      <c r="J258" s="12" t="s">
        <v>1085</v>
      </c>
      <c r="K258" s="9" t="s">
        <v>1096</v>
      </c>
      <c r="L258" s="10" t="s">
        <v>1097</v>
      </c>
      <c r="M258" s="18" t="s">
        <v>1098</v>
      </c>
      <c r="N258" s="424">
        <v>0</v>
      </c>
      <c r="O258" s="18">
        <v>1000</v>
      </c>
      <c r="P258" s="16">
        <v>5000</v>
      </c>
      <c r="Q258" s="16">
        <v>10000</v>
      </c>
      <c r="R258" s="110">
        <v>20000</v>
      </c>
      <c r="S258" s="110">
        <v>30000</v>
      </c>
      <c r="T258" s="10" t="s">
        <v>321</v>
      </c>
      <c r="U258" s="283" t="s">
        <v>1066</v>
      </c>
      <c r="V258" s="10" t="s">
        <v>1099</v>
      </c>
      <c r="W258" s="298">
        <v>1</v>
      </c>
      <c r="X258" s="298">
        <v>0</v>
      </c>
      <c r="Y258" s="298">
        <v>0</v>
      </c>
      <c r="Z258" s="299">
        <v>1</v>
      </c>
      <c r="AA258" s="299">
        <v>1</v>
      </c>
      <c r="AB258" s="300">
        <v>1</v>
      </c>
      <c r="AC258" s="301">
        <v>1</v>
      </c>
      <c r="AD258" s="301">
        <v>0</v>
      </c>
      <c r="AE258" s="302">
        <f t="shared" si="7"/>
        <v>0.625</v>
      </c>
      <c r="AF258" s="63">
        <v>0</v>
      </c>
      <c r="AG258" s="17">
        <v>0</v>
      </c>
      <c r="AH258" s="17">
        <v>0</v>
      </c>
      <c r="AI258" s="32">
        <v>0.2</v>
      </c>
      <c r="AJ258" s="32">
        <v>1</v>
      </c>
      <c r="AK258" s="123">
        <v>1</v>
      </c>
      <c r="AL258" s="132">
        <v>1.5</v>
      </c>
      <c r="AM258" s="147">
        <f t="shared" ref="AM258:AM321" si="8">SUM(AK258:AL258)</f>
        <v>2.5</v>
      </c>
      <c r="AN258" s="18" t="s">
        <v>321</v>
      </c>
      <c r="AO258" s="18" t="s">
        <v>1066</v>
      </c>
      <c r="AP258" s="10" t="s">
        <v>1100</v>
      </c>
    </row>
    <row r="259" spans="1:42" x14ac:dyDescent="0.3">
      <c r="A259" s="9" t="s">
        <v>30</v>
      </c>
      <c r="B259" s="10" t="s">
        <v>31</v>
      </c>
      <c r="C259" s="9" t="s">
        <v>1051</v>
      </c>
      <c r="D259" s="10" t="s">
        <v>1052</v>
      </c>
      <c r="E259" s="11" t="s">
        <v>1053</v>
      </c>
      <c r="F259" s="12" t="s">
        <v>1054</v>
      </c>
      <c r="G259" s="11" t="s">
        <v>1055</v>
      </c>
      <c r="H259" s="12" t="s">
        <v>1056</v>
      </c>
      <c r="I259" s="12" t="s">
        <v>1084</v>
      </c>
      <c r="J259" s="12" t="s">
        <v>1085</v>
      </c>
      <c r="K259" s="9" t="s">
        <v>1101</v>
      </c>
      <c r="L259" s="10" t="s">
        <v>1102</v>
      </c>
      <c r="M259" s="18" t="s">
        <v>1103</v>
      </c>
      <c r="N259" s="424"/>
      <c r="O259" s="14">
        <v>50</v>
      </c>
      <c r="P259" s="21">
        <v>100</v>
      </c>
      <c r="Q259" s="21">
        <v>200</v>
      </c>
      <c r="R259" s="115">
        <v>70</v>
      </c>
      <c r="S259" s="115">
        <v>80</v>
      </c>
      <c r="T259" s="12" t="s">
        <v>92</v>
      </c>
      <c r="U259" s="283" t="s">
        <v>118</v>
      </c>
      <c r="V259" s="10" t="s">
        <v>1104</v>
      </c>
      <c r="W259" s="298">
        <v>1</v>
      </c>
      <c r="X259" s="298">
        <v>0</v>
      </c>
      <c r="Y259" s="298">
        <v>1</v>
      </c>
      <c r="Z259" s="299">
        <v>1</v>
      </c>
      <c r="AA259" s="299">
        <v>1</v>
      </c>
      <c r="AB259" s="300">
        <v>1</v>
      </c>
      <c r="AC259" s="301">
        <v>1</v>
      </c>
      <c r="AD259" s="301">
        <v>0</v>
      </c>
      <c r="AE259" s="302">
        <f t="shared" si="7"/>
        <v>0.75</v>
      </c>
      <c r="AF259" s="63">
        <v>0</v>
      </c>
      <c r="AG259" s="17">
        <v>0</v>
      </c>
      <c r="AH259" s="17">
        <v>3.8</v>
      </c>
      <c r="AI259" s="17">
        <v>1</v>
      </c>
      <c r="AJ259" s="17">
        <v>1</v>
      </c>
      <c r="AK259" s="127">
        <v>0.43679999999999997</v>
      </c>
      <c r="AL259" s="127">
        <v>0.49919999999999998</v>
      </c>
      <c r="AM259" s="147">
        <f t="shared" si="8"/>
        <v>0.93599999999999994</v>
      </c>
      <c r="AN259" s="18" t="s">
        <v>92</v>
      </c>
      <c r="AO259" s="18" t="s">
        <v>118</v>
      </c>
      <c r="AP259" s="10" t="s">
        <v>1105</v>
      </c>
    </row>
    <row r="260" spans="1:42" x14ac:dyDescent="0.3">
      <c r="A260" s="9" t="s">
        <v>30</v>
      </c>
      <c r="B260" s="10" t="s">
        <v>31</v>
      </c>
      <c r="C260" s="9" t="s">
        <v>1051</v>
      </c>
      <c r="D260" s="10" t="s">
        <v>1052</v>
      </c>
      <c r="E260" s="11" t="s">
        <v>1053</v>
      </c>
      <c r="F260" s="12" t="s">
        <v>1054</v>
      </c>
      <c r="G260" s="11" t="s">
        <v>1055</v>
      </c>
      <c r="H260" s="12" t="s">
        <v>1056</v>
      </c>
      <c r="I260" s="12" t="s">
        <v>1084</v>
      </c>
      <c r="J260" s="12" t="s">
        <v>1085</v>
      </c>
      <c r="K260" s="9" t="s">
        <v>1101</v>
      </c>
      <c r="L260" s="10" t="s">
        <v>1102</v>
      </c>
      <c r="M260" s="18" t="s">
        <v>1106</v>
      </c>
      <c r="N260" s="424">
        <v>0</v>
      </c>
      <c r="O260" s="14">
        <v>1000</v>
      </c>
      <c r="P260" s="21">
        <v>1000</v>
      </c>
      <c r="Q260" s="21">
        <v>1500</v>
      </c>
      <c r="R260" s="129">
        <v>600</v>
      </c>
      <c r="S260" s="129">
        <v>800</v>
      </c>
      <c r="T260" s="12" t="s">
        <v>92</v>
      </c>
      <c r="U260" s="283" t="s">
        <v>118</v>
      </c>
      <c r="V260" s="10" t="s">
        <v>1104</v>
      </c>
      <c r="W260" s="298">
        <v>1</v>
      </c>
      <c r="X260" s="298">
        <v>0</v>
      </c>
      <c r="Y260" s="298">
        <v>1</v>
      </c>
      <c r="Z260" s="299">
        <v>1</v>
      </c>
      <c r="AA260" s="299">
        <v>1</v>
      </c>
      <c r="AB260" s="300">
        <v>1</v>
      </c>
      <c r="AC260" s="301">
        <v>1</v>
      </c>
      <c r="AD260" s="301">
        <v>0</v>
      </c>
      <c r="AE260" s="302">
        <f t="shared" si="7"/>
        <v>0.75</v>
      </c>
      <c r="AF260" s="63">
        <v>0</v>
      </c>
      <c r="AG260" s="17">
        <v>0</v>
      </c>
      <c r="AH260" s="17"/>
      <c r="AI260" s="17"/>
      <c r="AJ260" s="17"/>
      <c r="AK260" s="127">
        <v>0.6</v>
      </c>
      <c r="AL260" s="127">
        <v>0.8</v>
      </c>
      <c r="AM260" s="147">
        <f t="shared" si="8"/>
        <v>1.4</v>
      </c>
      <c r="AN260" s="18" t="s">
        <v>92</v>
      </c>
      <c r="AO260" s="18" t="s">
        <v>118</v>
      </c>
      <c r="AP260" s="10" t="s">
        <v>1105</v>
      </c>
    </row>
    <row r="261" spans="1:42" x14ac:dyDescent="0.3">
      <c r="A261" s="9" t="s">
        <v>30</v>
      </c>
      <c r="B261" s="10" t="s">
        <v>31</v>
      </c>
      <c r="C261" s="9" t="s">
        <v>1051</v>
      </c>
      <c r="D261" s="10" t="s">
        <v>1052</v>
      </c>
      <c r="E261" s="11" t="s">
        <v>1053</v>
      </c>
      <c r="F261" s="12" t="s">
        <v>1054</v>
      </c>
      <c r="G261" s="11" t="s">
        <v>1055</v>
      </c>
      <c r="H261" s="12" t="s">
        <v>1056</v>
      </c>
      <c r="I261" s="12" t="s">
        <v>1084</v>
      </c>
      <c r="J261" s="12" t="s">
        <v>1085</v>
      </c>
      <c r="K261" s="9" t="s">
        <v>1107</v>
      </c>
      <c r="L261" s="10" t="s">
        <v>1108</v>
      </c>
      <c r="M261" s="18" t="s">
        <v>1109</v>
      </c>
      <c r="N261" s="424"/>
      <c r="O261" s="176">
        <v>0</v>
      </c>
      <c r="P261" s="21">
        <v>100</v>
      </c>
      <c r="Q261" s="21">
        <v>100</v>
      </c>
      <c r="R261" s="115">
        <v>150</v>
      </c>
      <c r="S261" s="115">
        <v>150</v>
      </c>
      <c r="T261" s="12" t="s">
        <v>156</v>
      </c>
      <c r="U261" s="283" t="s">
        <v>158</v>
      </c>
      <c r="V261" s="10" t="s">
        <v>1110</v>
      </c>
      <c r="W261" s="298">
        <v>1</v>
      </c>
      <c r="X261" s="298">
        <v>0</v>
      </c>
      <c r="Y261" s="298">
        <v>1</v>
      </c>
      <c r="Z261" s="299">
        <v>1</v>
      </c>
      <c r="AA261" s="299">
        <v>1</v>
      </c>
      <c r="AB261" s="300">
        <v>1</v>
      </c>
      <c r="AC261" s="301">
        <v>1</v>
      </c>
      <c r="AD261" s="301">
        <v>0</v>
      </c>
      <c r="AE261" s="302">
        <f t="shared" ref="AE261:AE324" si="9">SUM(W261:AD261)/8</f>
        <v>0.75</v>
      </c>
      <c r="AF261" s="63">
        <v>0</v>
      </c>
      <c r="AG261" s="17">
        <v>0</v>
      </c>
      <c r="AH261" s="17">
        <v>0</v>
      </c>
      <c r="AI261" s="32">
        <v>2.1</v>
      </c>
      <c r="AJ261" s="32">
        <v>2.5</v>
      </c>
      <c r="AK261" s="132">
        <v>0.5</v>
      </c>
      <c r="AL261" s="132">
        <v>0.15</v>
      </c>
      <c r="AM261" s="147">
        <f t="shared" si="8"/>
        <v>0.65</v>
      </c>
      <c r="AN261" s="10" t="s">
        <v>156</v>
      </c>
      <c r="AO261" s="18" t="s">
        <v>158</v>
      </c>
      <c r="AP261" s="10" t="s">
        <v>265</v>
      </c>
    </row>
    <row r="262" spans="1:42" x14ac:dyDescent="0.3">
      <c r="A262" s="9" t="s">
        <v>30</v>
      </c>
      <c r="B262" s="10" t="s">
        <v>31</v>
      </c>
      <c r="C262" s="9" t="s">
        <v>1051</v>
      </c>
      <c r="D262" s="10" t="s">
        <v>1052</v>
      </c>
      <c r="E262" s="11" t="s">
        <v>1053</v>
      </c>
      <c r="F262" s="12" t="s">
        <v>1054</v>
      </c>
      <c r="G262" s="11" t="s">
        <v>1055</v>
      </c>
      <c r="H262" s="12" t="s">
        <v>1056</v>
      </c>
      <c r="I262" s="12" t="s">
        <v>1111</v>
      </c>
      <c r="J262" s="12" t="s">
        <v>1112</v>
      </c>
      <c r="K262" s="9" t="s">
        <v>1113</v>
      </c>
      <c r="L262" s="10" t="s">
        <v>1114</v>
      </c>
      <c r="M262" s="18" t="s">
        <v>1115</v>
      </c>
      <c r="N262" s="424"/>
      <c r="O262" s="14">
        <v>3</v>
      </c>
      <c r="P262" s="21">
        <v>3</v>
      </c>
      <c r="Q262" s="21">
        <v>3</v>
      </c>
      <c r="R262" s="115">
        <v>3</v>
      </c>
      <c r="S262" s="115">
        <v>3</v>
      </c>
      <c r="T262" s="12" t="s">
        <v>321</v>
      </c>
      <c r="U262" s="283" t="s">
        <v>1066</v>
      </c>
      <c r="V262" s="10" t="s">
        <v>1498</v>
      </c>
      <c r="W262" s="298">
        <v>1</v>
      </c>
      <c r="X262" s="298">
        <v>1</v>
      </c>
      <c r="Y262" s="298">
        <v>1</v>
      </c>
      <c r="Z262" s="299">
        <v>1</v>
      </c>
      <c r="AA262" s="299">
        <v>1</v>
      </c>
      <c r="AB262" s="300">
        <v>1</v>
      </c>
      <c r="AC262" s="301">
        <v>1</v>
      </c>
      <c r="AD262" s="301">
        <v>1</v>
      </c>
      <c r="AE262" s="302">
        <f t="shared" si="9"/>
        <v>1</v>
      </c>
      <c r="AF262" s="63">
        <v>0</v>
      </c>
      <c r="AG262" s="17">
        <v>0</v>
      </c>
      <c r="AH262" s="32">
        <v>5</v>
      </c>
      <c r="AI262" s="32">
        <v>5</v>
      </c>
      <c r="AJ262" s="32">
        <v>5</v>
      </c>
      <c r="AK262" s="132">
        <v>17</v>
      </c>
      <c r="AL262" s="123">
        <v>24</v>
      </c>
      <c r="AM262" s="147">
        <f t="shared" si="8"/>
        <v>41</v>
      </c>
      <c r="AN262" s="10" t="s">
        <v>321</v>
      </c>
      <c r="AO262" s="18" t="s">
        <v>1066</v>
      </c>
      <c r="AP262" s="10" t="s">
        <v>92</v>
      </c>
    </row>
    <row r="263" spans="1:42" x14ac:dyDescent="0.3">
      <c r="A263" s="9" t="s">
        <v>30</v>
      </c>
      <c r="B263" s="10" t="s">
        <v>31</v>
      </c>
      <c r="C263" s="9" t="s">
        <v>1051</v>
      </c>
      <c r="D263" s="10" t="s">
        <v>1052</v>
      </c>
      <c r="E263" s="11" t="s">
        <v>1053</v>
      </c>
      <c r="F263" s="12" t="s">
        <v>1054</v>
      </c>
      <c r="G263" s="11" t="s">
        <v>1055</v>
      </c>
      <c r="H263" s="12" t="s">
        <v>1056</v>
      </c>
      <c r="I263" s="12" t="s">
        <v>1111</v>
      </c>
      <c r="J263" s="12" t="s">
        <v>1112</v>
      </c>
      <c r="K263" s="9" t="s">
        <v>1116</v>
      </c>
      <c r="L263" s="10" t="s">
        <v>1117</v>
      </c>
      <c r="M263" s="18" t="s">
        <v>1118</v>
      </c>
      <c r="N263" s="424"/>
      <c r="O263" s="14">
        <v>2</v>
      </c>
      <c r="P263" s="21">
        <v>2</v>
      </c>
      <c r="Q263" s="21">
        <v>3</v>
      </c>
      <c r="R263" s="115">
        <v>0</v>
      </c>
      <c r="S263" s="115">
        <v>4</v>
      </c>
      <c r="T263" s="12" t="s">
        <v>326</v>
      </c>
      <c r="U263" s="283" t="s">
        <v>328</v>
      </c>
      <c r="V263" s="10" t="s">
        <v>1119</v>
      </c>
      <c r="W263" s="298">
        <v>1</v>
      </c>
      <c r="X263" s="298">
        <v>1</v>
      </c>
      <c r="Y263" s="298">
        <v>1</v>
      </c>
      <c r="Z263" s="299">
        <v>1</v>
      </c>
      <c r="AA263" s="299">
        <v>0</v>
      </c>
      <c r="AB263" s="300">
        <v>1</v>
      </c>
      <c r="AC263" s="301">
        <v>1</v>
      </c>
      <c r="AD263" s="301">
        <v>1</v>
      </c>
      <c r="AE263" s="302">
        <f t="shared" si="9"/>
        <v>0.875</v>
      </c>
      <c r="AF263" s="63">
        <v>0</v>
      </c>
      <c r="AG263" s="17">
        <v>0</v>
      </c>
      <c r="AH263" s="17">
        <v>4.8499999999999996</v>
      </c>
      <c r="AI263" s="17">
        <v>4.8499999999999996</v>
      </c>
      <c r="AJ263" s="17">
        <v>4.8499999999999996</v>
      </c>
      <c r="AK263" s="127">
        <v>3.5</v>
      </c>
      <c r="AL263" s="127">
        <v>3.6</v>
      </c>
      <c r="AM263" s="147">
        <f t="shared" si="8"/>
        <v>7.1</v>
      </c>
      <c r="AN263" s="18" t="s">
        <v>326</v>
      </c>
      <c r="AO263" s="18" t="s">
        <v>328</v>
      </c>
      <c r="AP263" s="10" t="s">
        <v>92</v>
      </c>
    </row>
    <row r="264" spans="1:42" x14ac:dyDescent="0.3">
      <c r="A264" s="9" t="s">
        <v>30</v>
      </c>
      <c r="B264" s="10" t="s">
        <v>31</v>
      </c>
      <c r="C264" s="9" t="s">
        <v>1051</v>
      </c>
      <c r="D264" s="10" t="s">
        <v>1052</v>
      </c>
      <c r="E264" s="11" t="s">
        <v>1053</v>
      </c>
      <c r="F264" s="12" t="s">
        <v>1054</v>
      </c>
      <c r="G264" s="11" t="s">
        <v>1055</v>
      </c>
      <c r="H264" s="12" t="s">
        <v>1056</v>
      </c>
      <c r="I264" s="12" t="s">
        <v>1111</v>
      </c>
      <c r="J264" s="12" t="s">
        <v>1112</v>
      </c>
      <c r="K264" s="9" t="s">
        <v>1116</v>
      </c>
      <c r="L264" s="10" t="s">
        <v>1117</v>
      </c>
      <c r="M264" s="18" t="s">
        <v>1120</v>
      </c>
      <c r="N264" s="424"/>
      <c r="O264" s="176">
        <v>0</v>
      </c>
      <c r="P264" s="21">
        <v>2</v>
      </c>
      <c r="Q264" s="21">
        <v>3</v>
      </c>
      <c r="R264" s="129">
        <v>2</v>
      </c>
      <c r="S264" s="115">
        <v>3</v>
      </c>
      <c r="T264" s="12" t="s">
        <v>326</v>
      </c>
      <c r="U264" s="283" t="s">
        <v>328</v>
      </c>
      <c r="V264" s="10" t="s">
        <v>1119</v>
      </c>
      <c r="W264" s="298">
        <v>1</v>
      </c>
      <c r="X264" s="298">
        <v>1</v>
      </c>
      <c r="Y264" s="298">
        <v>1</v>
      </c>
      <c r="Z264" s="299">
        <v>1</v>
      </c>
      <c r="AA264" s="299">
        <v>0</v>
      </c>
      <c r="AB264" s="300">
        <v>1</v>
      </c>
      <c r="AC264" s="301">
        <v>1</v>
      </c>
      <c r="AD264" s="301">
        <v>1</v>
      </c>
      <c r="AE264" s="302">
        <f t="shared" si="9"/>
        <v>0.875</v>
      </c>
      <c r="AF264" s="63">
        <v>0</v>
      </c>
      <c r="AG264" s="17">
        <v>0</v>
      </c>
      <c r="AH264" s="17">
        <v>4.8499999999999996</v>
      </c>
      <c r="AI264" s="17">
        <v>4.8499999999999996</v>
      </c>
      <c r="AJ264" s="17">
        <v>4.8499999999999996</v>
      </c>
      <c r="AK264" s="127">
        <v>4.5999999999999996</v>
      </c>
      <c r="AL264" s="127">
        <v>6.9</v>
      </c>
      <c r="AM264" s="147">
        <f t="shared" si="8"/>
        <v>11.5</v>
      </c>
      <c r="AN264" s="18" t="s">
        <v>326</v>
      </c>
      <c r="AO264" s="18" t="s">
        <v>328</v>
      </c>
      <c r="AP264" s="10" t="s">
        <v>1121</v>
      </c>
    </row>
    <row r="265" spans="1:42" x14ac:dyDescent="0.3">
      <c r="A265" s="9" t="s">
        <v>30</v>
      </c>
      <c r="B265" s="10" t="s">
        <v>31</v>
      </c>
      <c r="C265" s="9" t="s">
        <v>1051</v>
      </c>
      <c r="D265" s="10" t="s">
        <v>1052</v>
      </c>
      <c r="E265" s="11" t="s">
        <v>1053</v>
      </c>
      <c r="F265" s="12" t="s">
        <v>1054</v>
      </c>
      <c r="G265" s="11" t="s">
        <v>1055</v>
      </c>
      <c r="H265" s="12" t="s">
        <v>1056</v>
      </c>
      <c r="I265" s="12" t="s">
        <v>1111</v>
      </c>
      <c r="J265" s="12" t="s">
        <v>1112</v>
      </c>
      <c r="K265" s="9" t="s">
        <v>1122</v>
      </c>
      <c r="L265" s="10" t="s">
        <v>1123</v>
      </c>
      <c r="M265" s="18" t="s">
        <v>1124</v>
      </c>
      <c r="N265" s="424"/>
      <c r="O265" s="176">
        <v>0</v>
      </c>
      <c r="P265" s="21">
        <v>2</v>
      </c>
      <c r="Q265" s="21">
        <v>2</v>
      </c>
      <c r="R265" s="115">
        <v>1</v>
      </c>
      <c r="S265" s="115">
        <v>1</v>
      </c>
      <c r="T265" s="12" t="s">
        <v>156</v>
      </c>
      <c r="U265" s="283" t="s">
        <v>158</v>
      </c>
      <c r="V265" s="10" t="s">
        <v>1125</v>
      </c>
      <c r="W265" s="298">
        <v>1</v>
      </c>
      <c r="X265" s="298">
        <v>1</v>
      </c>
      <c r="Y265" s="298">
        <v>1</v>
      </c>
      <c r="Z265" s="299">
        <v>1</v>
      </c>
      <c r="AA265" s="299">
        <v>1</v>
      </c>
      <c r="AB265" s="300">
        <v>1</v>
      </c>
      <c r="AC265" s="301">
        <v>1</v>
      </c>
      <c r="AD265" s="301">
        <v>1</v>
      </c>
      <c r="AE265" s="302">
        <f t="shared" si="9"/>
        <v>1</v>
      </c>
      <c r="AF265" s="63">
        <v>0</v>
      </c>
      <c r="AG265" s="17">
        <v>0</v>
      </c>
      <c r="AH265" s="32">
        <v>4.5</v>
      </c>
      <c r="AI265" s="32">
        <v>6.5</v>
      </c>
      <c r="AJ265" s="32">
        <v>16.5</v>
      </c>
      <c r="AK265" s="132">
        <v>7</v>
      </c>
      <c r="AL265" s="132">
        <v>6</v>
      </c>
      <c r="AM265" s="147">
        <f t="shared" si="8"/>
        <v>13</v>
      </c>
      <c r="AN265" s="10" t="s">
        <v>156</v>
      </c>
      <c r="AO265" s="18" t="s">
        <v>158</v>
      </c>
      <c r="AP265" s="10" t="s">
        <v>1126</v>
      </c>
    </row>
    <row r="266" spans="1:42" x14ac:dyDescent="0.3">
      <c r="A266" s="9" t="s">
        <v>30</v>
      </c>
      <c r="B266" s="10" t="s">
        <v>31</v>
      </c>
      <c r="C266" s="9" t="s">
        <v>1051</v>
      </c>
      <c r="D266" s="10" t="s">
        <v>1052</v>
      </c>
      <c r="E266" s="11" t="s">
        <v>1053</v>
      </c>
      <c r="F266" s="12" t="s">
        <v>1054</v>
      </c>
      <c r="G266" s="11" t="s">
        <v>1055</v>
      </c>
      <c r="H266" s="12" t="s">
        <v>1056</v>
      </c>
      <c r="I266" s="12" t="s">
        <v>1127</v>
      </c>
      <c r="J266" s="12" t="s">
        <v>1128</v>
      </c>
      <c r="K266" s="9" t="s">
        <v>1129</v>
      </c>
      <c r="L266" s="10" t="s">
        <v>1130</v>
      </c>
      <c r="M266" s="18" t="s">
        <v>1131</v>
      </c>
      <c r="N266" s="424"/>
      <c r="O266" s="176">
        <v>13</v>
      </c>
      <c r="P266" s="21">
        <v>13</v>
      </c>
      <c r="Q266" s="21">
        <v>13</v>
      </c>
      <c r="R266" s="115">
        <v>13</v>
      </c>
      <c r="S266" s="115">
        <v>13</v>
      </c>
      <c r="T266" s="12" t="s">
        <v>1132</v>
      </c>
      <c r="U266" s="283" t="s">
        <v>3739</v>
      </c>
      <c r="V266" s="10" t="s">
        <v>1133</v>
      </c>
      <c r="W266" s="298">
        <v>1</v>
      </c>
      <c r="X266" s="298">
        <v>0</v>
      </c>
      <c r="Y266" s="298">
        <v>0</v>
      </c>
      <c r="Z266" s="299">
        <v>1</v>
      </c>
      <c r="AA266" s="299">
        <v>1</v>
      </c>
      <c r="AB266" s="300">
        <v>0</v>
      </c>
      <c r="AC266" s="301">
        <v>0</v>
      </c>
      <c r="AD266" s="301">
        <v>0</v>
      </c>
      <c r="AE266" s="302">
        <f t="shared" si="9"/>
        <v>0.375</v>
      </c>
      <c r="AF266" s="63">
        <v>0</v>
      </c>
      <c r="AG266" s="17">
        <v>0</v>
      </c>
      <c r="AH266" s="32">
        <v>2</v>
      </c>
      <c r="AI266" s="32">
        <v>2</v>
      </c>
      <c r="AJ266" s="32">
        <v>2</v>
      </c>
      <c r="AK266" s="123"/>
      <c r="AL266" s="123"/>
      <c r="AM266" s="147">
        <f t="shared" si="8"/>
        <v>0</v>
      </c>
      <c r="AN266" s="10" t="s">
        <v>1132</v>
      </c>
      <c r="AO266" s="18" t="s">
        <v>1134</v>
      </c>
      <c r="AP266" s="10" t="s">
        <v>92</v>
      </c>
    </row>
    <row r="267" spans="1:42" x14ac:dyDescent="0.3">
      <c r="A267" s="9" t="s">
        <v>30</v>
      </c>
      <c r="B267" s="10" t="s">
        <v>31</v>
      </c>
      <c r="C267" s="9" t="s">
        <v>1051</v>
      </c>
      <c r="D267" s="10" t="s">
        <v>1052</v>
      </c>
      <c r="E267" s="11" t="s">
        <v>1053</v>
      </c>
      <c r="F267" s="12" t="s">
        <v>1054</v>
      </c>
      <c r="G267" s="11" t="s">
        <v>1135</v>
      </c>
      <c r="H267" s="12" t="s">
        <v>1136</v>
      </c>
      <c r="I267" s="12" t="s">
        <v>1137</v>
      </c>
      <c r="J267" s="12" t="s">
        <v>1138</v>
      </c>
      <c r="K267" s="11" t="s">
        <v>1139</v>
      </c>
      <c r="L267" s="12" t="s">
        <v>1140</v>
      </c>
      <c r="M267" s="18" t="s">
        <v>1141</v>
      </c>
      <c r="N267" s="424"/>
      <c r="O267" s="176">
        <v>0</v>
      </c>
      <c r="P267" s="21">
        <v>1</v>
      </c>
      <c r="Q267" s="21">
        <v>1</v>
      </c>
      <c r="R267" s="115">
        <v>1</v>
      </c>
      <c r="S267" s="115">
        <v>1</v>
      </c>
      <c r="T267" s="12" t="s">
        <v>265</v>
      </c>
      <c r="U267" s="283" t="s">
        <v>350</v>
      </c>
      <c r="V267" s="10" t="s">
        <v>1142</v>
      </c>
      <c r="W267" s="298">
        <v>1</v>
      </c>
      <c r="X267" s="298">
        <v>0</v>
      </c>
      <c r="Y267" s="298">
        <v>0</v>
      </c>
      <c r="Z267" s="299">
        <v>1</v>
      </c>
      <c r="AA267" s="299">
        <v>1</v>
      </c>
      <c r="AB267" s="300">
        <v>0</v>
      </c>
      <c r="AC267" s="301">
        <v>1</v>
      </c>
      <c r="AD267" s="301">
        <v>0</v>
      </c>
      <c r="AE267" s="302">
        <f t="shared" si="9"/>
        <v>0.5</v>
      </c>
      <c r="AF267" s="63">
        <v>0</v>
      </c>
      <c r="AG267" s="17">
        <v>0</v>
      </c>
      <c r="AH267" s="17">
        <v>13.5</v>
      </c>
      <c r="AI267" s="17">
        <v>14.5</v>
      </c>
      <c r="AJ267" s="17">
        <v>12.5</v>
      </c>
      <c r="AK267" s="109"/>
      <c r="AL267" s="109"/>
      <c r="AM267" s="147">
        <f t="shared" si="8"/>
        <v>0</v>
      </c>
      <c r="AN267" s="283" t="s">
        <v>265</v>
      </c>
      <c r="AO267" s="18" t="s">
        <v>350</v>
      </c>
      <c r="AP267" s="10" t="s">
        <v>1143</v>
      </c>
    </row>
    <row r="268" spans="1:42" x14ac:dyDescent="0.3">
      <c r="A268" s="9" t="s">
        <v>30</v>
      </c>
      <c r="B268" s="10" t="s">
        <v>31</v>
      </c>
      <c r="C268" s="9" t="s">
        <v>1051</v>
      </c>
      <c r="D268" s="10" t="s">
        <v>1052</v>
      </c>
      <c r="E268" s="11" t="s">
        <v>1053</v>
      </c>
      <c r="F268" s="12" t="s">
        <v>1054</v>
      </c>
      <c r="G268" s="11" t="s">
        <v>1144</v>
      </c>
      <c r="H268" s="12" t="s">
        <v>1145</v>
      </c>
      <c r="I268" s="12" t="s">
        <v>1146</v>
      </c>
      <c r="J268" s="12" t="s">
        <v>1147</v>
      </c>
      <c r="K268" s="11" t="s">
        <v>1148</v>
      </c>
      <c r="L268" s="12" t="s">
        <v>1149</v>
      </c>
      <c r="M268" s="18" t="s">
        <v>1150</v>
      </c>
      <c r="N268" s="424">
        <v>0</v>
      </c>
      <c r="O268" s="14">
        <v>10</v>
      </c>
      <c r="P268" s="21">
        <v>10</v>
      </c>
      <c r="Q268" s="21">
        <v>10</v>
      </c>
      <c r="R268" s="115">
        <v>10</v>
      </c>
      <c r="S268" s="115">
        <v>11</v>
      </c>
      <c r="T268" s="12" t="s">
        <v>280</v>
      </c>
      <c r="U268" s="283" t="s">
        <v>1151</v>
      </c>
      <c r="V268" s="10"/>
      <c r="W268" s="298">
        <v>0</v>
      </c>
      <c r="X268" s="298">
        <v>0</v>
      </c>
      <c r="Y268" s="298">
        <v>0</v>
      </c>
      <c r="Z268" s="299">
        <v>0</v>
      </c>
      <c r="AA268" s="299">
        <v>0</v>
      </c>
      <c r="AB268" s="300">
        <v>0</v>
      </c>
      <c r="AC268" s="301">
        <v>0</v>
      </c>
      <c r="AD268" s="301">
        <v>0</v>
      </c>
      <c r="AE268" s="302">
        <f t="shared" si="9"/>
        <v>0</v>
      </c>
      <c r="AF268" s="63">
        <v>0</v>
      </c>
      <c r="AG268" s="17">
        <v>1</v>
      </c>
      <c r="AH268" s="17">
        <v>10</v>
      </c>
      <c r="AI268" s="17">
        <v>10</v>
      </c>
      <c r="AJ268" s="17">
        <v>20</v>
      </c>
      <c r="AK268" s="109"/>
      <c r="AL268" s="109"/>
      <c r="AM268" s="147">
        <f t="shared" si="8"/>
        <v>0</v>
      </c>
      <c r="AN268" s="283" t="s">
        <v>280</v>
      </c>
      <c r="AO268" s="18" t="s">
        <v>1151</v>
      </c>
      <c r="AP268" s="10" t="s">
        <v>1152</v>
      </c>
    </row>
    <row r="269" spans="1:42" x14ac:dyDescent="0.3">
      <c r="A269" s="9" t="s">
        <v>30</v>
      </c>
      <c r="B269" s="10" t="s">
        <v>31</v>
      </c>
      <c r="C269" s="9" t="s">
        <v>1051</v>
      </c>
      <c r="D269" s="10" t="s">
        <v>1052</v>
      </c>
      <c r="E269" s="11" t="s">
        <v>1053</v>
      </c>
      <c r="F269" s="12" t="s">
        <v>1054</v>
      </c>
      <c r="G269" s="11" t="s">
        <v>1135</v>
      </c>
      <c r="H269" s="12" t="s">
        <v>1136</v>
      </c>
      <c r="I269" s="12" t="s">
        <v>1137</v>
      </c>
      <c r="J269" s="12" t="s">
        <v>1138</v>
      </c>
      <c r="K269" s="11" t="s">
        <v>1153</v>
      </c>
      <c r="L269" s="12" t="s">
        <v>1154</v>
      </c>
      <c r="M269" s="18" t="s">
        <v>1155</v>
      </c>
      <c r="N269" s="424"/>
      <c r="O269" s="176">
        <v>0</v>
      </c>
      <c r="P269" s="16">
        <v>1</v>
      </c>
      <c r="Q269" s="16">
        <v>1</v>
      </c>
      <c r="R269" s="110">
        <v>1</v>
      </c>
      <c r="S269" s="110">
        <v>1</v>
      </c>
      <c r="T269" s="12" t="s">
        <v>265</v>
      </c>
      <c r="U269" s="283" t="s">
        <v>350</v>
      </c>
      <c r="V269" s="10" t="s">
        <v>1156</v>
      </c>
      <c r="W269" s="298">
        <v>1</v>
      </c>
      <c r="X269" s="298">
        <v>0</v>
      </c>
      <c r="Y269" s="298">
        <v>0</v>
      </c>
      <c r="Z269" s="299">
        <v>1</v>
      </c>
      <c r="AA269" s="299">
        <v>1</v>
      </c>
      <c r="AB269" s="300">
        <v>0</v>
      </c>
      <c r="AC269" s="301">
        <v>1</v>
      </c>
      <c r="AD269" s="301">
        <v>0</v>
      </c>
      <c r="AE269" s="302">
        <f t="shared" si="9"/>
        <v>0.5</v>
      </c>
      <c r="AF269" s="63">
        <v>0</v>
      </c>
      <c r="AG269" s="17">
        <v>0</v>
      </c>
      <c r="AH269" s="17">
        <v>0</v>
      </c>
      <c r="AI269" s="32">
        <v>1</v>
      </c>
      <c r="AJ269" s="32">
        <v>1</v>
      </c>
      <c r="AK269" s="123"/>
      <c r="AL269" s="123"/>
      <c r="AM269" s="147">
        <f t="shared" si="8"/>
        <v>0</v>
      </c>
      <c r="AN269" s="10" t="s">
        <v>265</v>
      </c>
      <c r="AO269" s="18" t="s">
        <v>350</v>
      </c>
      <c r="AP269" s="10" t="s">
        <v>1157</v>
      </c>
    </row>
    <row r="270" spans="1:42" x14ac:dyDescent="0.3">
      <c r="A270" s="9" t="s">
        <v>30</v>
      </c>
      <c r="B270" s="10" t="s">
        <v>31</v>
      </c>
      <c r="C270" s="9" t="s">
        <v>1051</v>
      </c>
      <c r="D270" s="10" t="s">
        <v>1052</v>
      </c>
      <c r="E270" s="11" t="s">
        <v>1053</v>
      </c>
      <c r="F270" s="12" t="s">
        <v>1054</v>
      </c>
      <c r="G270" s="11" t="s">
        <v>1135</v>
      </c>
      <c r="H270" s="12" t="s">
        <v>1136</v>
      </c>
      <c r="I270" s="12" t="s">
        <v>1137</v>
      </c>
      <c r="J270" s="12" t="s">
        <v>1138</v>
      </c>
      <c r="K270" s="11" t="s">
        <v>1158</v>
      </c>
      <c r="L270" s="12" t="s">
        <v>1159</v>
      </c>
      <c r="M270" s="18" t="s">
        <v>1160</v>
      </c>
      <c r="N270" s="424"/>
      <c r="O270" s="18">
        <v>1</v>
      </c>
      <c r="P270" s="16">
        <v>1</v>
      </c>
      <c r="Q270" s="16">
        <v>1</v>
      </c>
      <c r="R270" s="110">
        <v>1</v>
      </c>
      <c r="S270" s="110">
        <v>1</v>
      </c>
      <c r="T270" s="12" t="s">
        <v>265</v>
      </c>
      <c r="U270" s="283" t="s">
        <v>350</v>
      </c>
      <c r="V270" s="10" t="s">
        <v>1161</v>
      </c>
      <c r="W270" s="298">
        <v>1</v>
      </c>
      <c r="X270" s="298">
        <v>0</v>
      </c>
      <c r="Y270" s="298">
        <v>0</v>
      </c>
      <c r="Z270" s="299">
        <v>1</v>
      </c>
      <c r="AA270" s="299">
        <v>1</v>
      </c>
      <c r="AB270" s="300">
        <v>0</v>
      </c>
      <c r="AC270" s="301">
        <v>1</v>
      </c>
      <c r="AD270" s="301">
        <v>0</v>
      </c>
      <c r="AE270" s="302">
        <f t="shared" si="9"/>
        <v>0.5</v>
      </c>
      <c r="AF270" s="63">
        <v>0</v>
      </c>
      <c r="AG270" s="17">
        <v>0</v>
      </c>
      <c r="AH270" s="17">
        <v>0</v>
      </c>
      <c r="AI270" s="32">
        <v>1</v>
      </c>
      <c r="AJ270" s="32">
        <v>1</v>
      </c>
      <c r="AK270" s="123"/>
      <c r="AL270" s="123"/>
      <c r="AM270" s="147">
        <f t="shared" si="8"/>
        <v>0</v>
      </c>
      <c r="AN270" s="10" t="s">
        <v>265</v>
      </c>
      <c r="AO270" s="18" t="s">
        <v>350</v>
      </c>
      <c r="AP270" s="10" t="s">
        <v>92</v>
      </c>
    </row>
    <row r="271" spans="1:42" x14ac:dyDescent="0.3">
      <c r="A271" s="9" t="s">
        <v>30</v>
      </c>
      <c r="B271" s="10" t="s">
        <v>31</v>
      </c>
      <c r="C271" s="9" t="s">
        <v>1051</v>
      </c>
      <c r="D271" s="10" t="s">
        <v>1052</v>
      </c>
      <c r="E271" s="11" t="s">
        <v>1053</v>
      </c>
      <c r="F271" s="12" t="s">
        <v>1054</v>
      </c>
      <c r="G271" s="11" t="s">
        <v>1144</v>
      </c>
      <c r="H271" s="12" t="s">
        <v>1145</v>
      </c>
      <c r="I271" s="12" t="s">
        <v>1162</v>
      </c>
      <c r="J271" s="12" t="s">
        <v>1163</v>
      </c>
      <c r="K271" s="11" t="s">
        <v>1164</v>
      </c>
      <c r="L271" s="12" t="s">
        <v>1165</v>
      </c>
      <c r="M271" s="18" t="s">
        <v>1166</v>
      </c>
      <c r="N271" s="424">
        <v>0</v>
      </c>
      <c r="O271" s="14">
        <v>2</v>
      </c>
      <c r="P271" s="21">
        <v>2</v>
      </c>
      <c r="Q271" s="21">
        <v>2</v>
      </c>
      <c r="R271" s="129">
        <v>1</v>
      </c>
      <c r="S271" s="129">
        <v>1</v>
      </c>
      <c r="T271" s="12" t="s">
        <v>1167</v>
      </c>
      <c r="U271" s="283" t="s">
        <v>1170</v>
      </c>
      <c r="V271" s="86" t="s">
        <v>1168</v>
      </c>
      <c r="W271" s="298">
        <v>1</v>
      </c>
      <c r="X271" s="298">
        <v>1</v>
      </c>
      <c r="Y271" s="298">
        <v>1</v>
      </c>
      <c r="Z271" s="299">
        <v>1</v>
      </c>
      <c r="AA271" s="299">
        <v>1</v>
      </c>
      <c r="AB271" s="300">
        <v>0</v>
      </c>
      <c r="AC271" s="301">
        <v>1</v>
      </c>
      <c r="AD271" s="301">
        <v>0</v>
      </c>
      <c r="AE271" s="302">
        <f t="shared" si="9"/>
        <v>0.75</v>
      </c>
      <c r="AF271" s="63">
        <v>0</v>
      </c>
      <c r="AG271" s="17">
        <v>0</v>
      </c>
      <c r="AH271" s="17">
        <v>14</v>
      </c>
      <c r="AI271" s="17">
        <v>19</v>
      </c>
      <c r="AJ271" s="17">
        <v>19</v>
      </c>
      <c r="AK271" s="127">
        <v>12</v>
      </c>
      <c r="AL271" s="127">
        <v>12</v>
      </c>
      <c r="AM271" s="147">
        <f t="shared" si="8"/>
        <v>24</v>
      </c>
      <c r="AN271" s="18" t="s">
        <v>1169</v>
      </c>
      <c r="AO271" s="18" t="s">
        <v>1170</v>
      </c>
      <c r="AP271" s="10" t="s">
        <v>1171</v>
      </c>
    </row>
    <row r="272" spans="1:42" x14ac:dyDescent="0.3">
      <c r="A272" s="9" t="s">
        <v>30</v>
      </c>
      <c r="B272" s="10" t="s">
        <v>31</v>
      </c>
      <c r="C272" s="9" t="s">
        <v>1051</v>
      </c>
      <c r="D272" s="10" t="s">
        <v>1052</v>
      </c>
      <c r="E272" s="11" t="s">
        <v>1053</v>
      </c>
      <c r="F272" s="12" t="s">
        <v>1054</v>
      </c>
      <c r="G272" s="11" t="s">
        <v>1144</v>
      </c>
      <c r="H272" s="12" t="s">
        <v>1145</v>
      </c>
      <c r="I272" s="12" t="s">
        <v>1162</v>
      </c>
      <c r="J272" s="12" t="s">
        <v>1163</v>
      </c>
      <c r="K272" s="11" t="s">
        <v>1172</v>
      </c>
      <c r="L272" s="12" t="s">
        <v>1173</v>
      </c>
      <c r="M272" s="18" t="s">
        <v>1174</v>
      </c>
      <c r="N272" s="424"/>
      <c r="O272" s="176">
        <v>0</v>
      </c>
      <c r="P272" s="21">
        <v>100</v>
      </c>
      <c r="Q272" s="21">
        <v>100</v>
      </c>
      <c r="R272" s="115">
        <v>100</v>
      </c>
      <c r="S272" s="115">
        <v>100</v>
      </c>
      <c r="T272" s="12" t="s">
        <v>1175</v>
      </c>
      <c r="U272" s="283" t="s">
        <v>118</v>
      </c>
      <c r="V272" s="10" t="s">
        <v>1176</v>
      </c>
      <c r="W272" s="298">
        <v>1</v>
      </c>
      <c r="X272" s="298">
        <v>1</v>
      </c>
      <c r="Y272" s="298">
        <v>1</v>
      </c>
      <c r="Z272" s="299">
        <v>1</v>
      </c>
      <c r="AA272" s="299">
        <v>1</v>
      </c>
      <c r="AB272" s="300">
        <v>1</v>
      </c>
      <c r="AC272" s="301">
        <v>1</v>
      </c>
      <c r="AD272" s="301">
        <v>1</v>
      </c>
      <c r="AE272" s="302">
        <f t="shared" si="9"/>
        <v>1</v>
      </c>
      <c r="AF272" s="63">
        <v>0</v>
      </c>
      <c r="AG272" s="17">
        <v>0</v>
      </c>
      <c r="AH272" s="17">
        <v>3.5</v>
      </c>
      <c r="AI272" s="17">
        <v>0.5</v>
      </c>
      <c r="AJ272" s="17">
        <v>0.5</v>
      </c>
      <c r="AK272" s="109">
        <v>0.5</v>
      </c>
      <c r="AL272" s="127">
        <v>1.5</v>
      </c>
      <c r="AM272" s="147">
        <f t="shared" si="8"/>
        <v>2</v>
      </c>
      <c r="AN272" s="18" t="s">
        <v>1177</v>
      </c>
      <c r="AO272" s="18" t="s">
        <v>350</v>
      </c>
      <c r="AP272" s="10" t="s">
        <v>1083</v>
      </c>
    </row>
    <row r="273" spans="1:42" x14ac:dyDescent="0.3">
      <c r="A273" s="9" t="s">
        <v>30</v>
      </c>
      <c r="B273" s="10" t="s">
        <v>31</v>
      </c>
      <c r="C273" s="9" t="s">
        <v>1051</v>
      </c>
      <c r="D273" s="10" t="s">
        <v>1052</v>
      </c>
      <c r="E273" s="11" t="s">
        <v>1053</v>
      </c>
      <c r="F273" s="12" t="s">
        <v>1054</v>
      </c>
      <c r="G273" s="11" t="s">
        <v>1144</v>
      </c>
      <c r="H273" s="12" t="s">
        <v>1145</v>
      </c>
      <c r="I273" s="12" t="s">
        <v>1162</v>
      </c>
      <c r="J273" s="12" t="s">
        <v>1163</v>
      </c>
      <c r="K273" s="11" t="s">
        <v>1172</v>
      </c>
      <c r="L273" s="12" t="s">
        <v>1178</v>
      </c>
      <c r="M273" s="18" t="s">
        <v>1179</v>
      </c>
      <c r="N273" s="424"/>
      <c r="O273" s="176">
        <v>0</v>
      </c>
      <c r="P273" s="21">
        <v>5</v>
      </c>
      <c r="Q273" s="21">
        <v>10</v>
      </c>
      <c r="R273" s="115">
        <v>15</v>
      </c>
      <c r="S273" s="115">
        <v>20</v>
      </c>
      <c r="T273" s="12" t="s">
        <v>1175</v>
      </c>
      <c r="U273" s="283" t="s">
        <v>118</v>
      </c>
      <c r="V273" s="10" t="s">
        <v>1180</v>
      </c>
      <c r="W273" s="298">
        <v>1</v>
      </c>
      <c r="X273" s="298">
        <v>1</v>
      </c>
      <c r="Y273" s="298">
        <v>1</v>
      </c>
      <c r="Z273" s="299">
        <v>1</v>
      </c>
      <c r="AA273" s="299">
        <v>1</v>
      </c>
      <c r="AB273" s="300">
        <v>1</v>
      </c>
      <c r="AC273" s="301">
        <v>1</v>
      </c>
      <c r="AD273" s="301">
        <v>1</v>
      </c>
      <c r="AE273" s="302">
        <f t="shared" si="9"/>
        <v>1</v>
      </c>
      <c r="AF273" s="63">
        <v>0</v>
      </c>
      <c r="AG273" s="17">
        <v>0</v>
      </c>
      <c r="AH273" s="17">
        <v>0.5</v>
      </c>
      <c r="AI273" s="17">
        <v>0.5</v>
      </c>
      <c r="AJ273" s="17">
        <v>0.5</v>
      </c>
      <c r="AK273" s="109">
        <v>0.5</v>
      </c>
      <c r="AL273" s="127">
        <v>1.5</v>
      </c>
      <c r="AM273" s="147">
        <f t="shared" si="8"/>
        <v>2</v>
      </c>
      <c r="AN273" s="18" t="s">
        <v>1177</v>
      </c>
      <c r="AO273" s="18" t="s">
        <v>350</v>
      </c>
      <c r="AP273" s="10" t="s">
        <v>1181</v>
      </c>
    </row>
    <row r="274" spans="1:42" x14ac:dyDescent="0.3">
      <c r="A274" s="9" t="s">
        <v>30</v>
      </c>
      <c r="B274" s="10" t="s">
        <v>31</v>
      </c>
      <c r="C274" s="9" t="s">
        <v>1051</v>
      </c>
      <c r="D274" s="10" t="s">
        <v>1052</v>
      </c>
      <c r="E274" s="11" t="s">
        <v>1053</v>
      </c>
      <c r="F274" s="12" t="s">
        <v>1054</v>
      </c>
      <c r="G274" s="11" t="s">
        <v>1144</v>
      </c>
      <c r="H274" s="12" t="s">
        <v>1145</v>
      </c>
      <c r="I274" s="12" t="s">
        <v>1162</v>
      </c>
      <c r="J274" s="12" t="s">
        <v>1163</v>
      </c>
      <c r="K274" s="11" t="s">
        <v>1172</v>
      </c>
      <c r="L274" s="12" t="s">
        <v>1178</v>
      </c>
      <c r="M274" s="18" t="s">
        <v>1182</v>
      </c>
      <c r="N274" s="424"/>
      <c r="O274" s="176">
        <v>0</v>
      </c>
      <c r="P274" s="21">
        <v>5</v>
      </c>
      <c r="Q274" s="21">
        <v>10</v>
      </c>
      <c r="R274" s="115">
        <v>20</v>
      </c>
      <c r="S274" s="115">
        <v>50</v>
      </c>
      <c r="T274" s="12" t="s">
        <v>1175</v>
      </c>
      <c r="U274" s="283" t="s">
        <v>118</v>
      </c>
      <c r="V274" s="10" t="s">
        <v>1180</v>
      </c>
      <c r="W274" s="298">
        <v>1</v>
      </c>
      <c r="X274" s="298">
        <v>1</v>
      </c>
      <c r="Y274" s="298">
        <v>1</v>
      </c>
      <c r="Z274" s="299">
        <v>1</v>
      </c>
      <c r="AA274" s="299">
        <v>1</v>
      </c>
      <c r="AB274" s="300">
        <v>1</v>
      </c>
      <c r="AC274" s="301">
        <v>1</v>
      </c>
      <c r="AD274" s="301">
        <v>1</v>
      </c>
      <c r="AE274" s="302">
        <f t="shared" si="9"/>
        <v>1</v>
      </c>
      <c r="AF274" s="63">
        <v>0</v>
      </c>
      <c r="AG274" s="17">
        <v>0</v>
      </c>
      <c r="AH274" s="17"/>
      <c r="AI274" s="17"/>
      <c r="AJ274" s="17"/>
      <c r="AK274" s="109"/>
      <c r="AL274" s="127">
        <v>0.8</v>
      </c>
      <c r="AM274" s="147">
        <f t="shared" si="8"/>
        <v>0.8</v>
      </c>
      <c r="AN274" s="18" t="s">
        <v>1177</v>
      </c>
      <c r="AO274" s="18" t="s">
        <v>350</v>
      </c>
      <c r="AP274" s="10" t="s">
        <v>1181</v>
      </c>
    </row>
    <row r="275" spans="1:42" x14ac:dyDescent="0.3">
      <c r="A275" s="9" t="s">
        <v>30</v>
      </c>
      <c r="B275" s="10" t="s">
        <v>31</v>
      </c>
      <c r="C275" s="9" t="s">
        <v>1051</v>
      </c>
      <c r="D275" s="10" t="s">
        <v>1052</v>
      </c>
      <c r="E275" s="11" t="s">
        <v>1053</v>
      </c>
      <c r="F275" s="12" t="s">
        <v>1054</v>
      </c>
      <c r="G275" s="11" t="s">
        <v>1183</v>
      </c>
      <c r="H275" s="12" t="s">
        <v>1184</v>
      </c>
      <c r="I275" s="12" t="s">
        <v>1185</v>
      </c>
      <c r="J275" s="12" t="s">
        <v>1186</v>
      </c>
      <c r="K275" s="11" t="s">
        <v>1187</v>
      </c>
      <c r="L275" s="12" t="s">
        <v>1188</v>
      </c>
      <c r="M275" s="18" t="s">
        <v>1189</v>
      </c>
      <c r="N275" s="424"/>
      <c r="O275" s="176">
        <v>0</v>
      </c>
      <c r="P275" s="21">
        <v>10</v>
      </c>
      <c r="Q275" s="21">
        <v>10</v>
      </c>
      <c r="R275" s="115">
        <v>10</v>
      </c>
      <c r="S275" s="115">
        <v>11</v>
      </c>
      <c r="T275" s="12" t="s">
        <v>265</v>
      </c>
      <c r="U275" s="283" t="s">
        <v>350</v>
      </c>
      <c r="V275" s="10" t="s">
        <v>1190</v>
      </c>
      <c r="W275" s="298">
        <v>1</v>
      </c>
      <c r="X275" s="298">
        <v>1</v>
      </c>
      <c r="Y275" s="298">
        <v>0</v>
      </c>
      <c r="Z275" s="299">
        <v>1</v>
      </c>
      <c r="AA275" s="299">
        <v>1</v>
      </c>
      <c r="AB275" s="300">
        <v>0</v>
      </c>
      <c r="AC275" s="301">
        <v>1</v>
      </c>
      <c r="AD275" s="301">
        <v>0</v>
      </c>
      <c r="AE275" s="302">
        <f t="shared" si="9"/>
        <v>0.625</v>
      </c>
      <c r="AF275" s="63">
        <v>0</v>
      </c>
      <c r="AG275" s="17">
        <v>0</v>
      </c>
      <c r="AH275" s="17">
        <v>0.15</v>
      </c>
      <c r="AI275" s="17">
        <v>0.3</v>
      </c>
      <c r="AJ275" s="17">
        <v>0.4</v>
      </c>
      <c r="AK275" s="109">
        <v>0.4</v>
      </c>
      <c r="AL275" s="109">
        <v>0.2</v>
      </c>
      <c r="AM275" s="147">
        <f t="shared" si="8"/>
        <v>0.60000000000000009</v>
      </c>
      <c r="AN275" s="283" t="s">
        <v>265</v>
      </c>
      <c r="AO275" s="18" t="s">
        <v>350</v>
      </c>
      <c r="AP275" s="92" t="s">
        <v>1191</v>
      </c>
    </row>
    <row r="276" spans="1:42" x14ac:dyDescent="0.3">
      <c r="A276" s="9" t="s">
        <v>30</v>
      </c>
      <c r="B276" s="10" t="s">
        <v>31</v>
      </c>
      <c r="C276" s="9" t="s">
        <v>1051</v>
      </c>
      <c r="D276" s="10" t="s">
        <v>1052</v>
      </c>
      <c r="E276" s="11" t="s">
        <v>1053</v>
      </c>
      <c r="F276" s="12" t="s">
        <v>1054</v>
      </c>
      <c r="G276" s="11" t="s">
        <v>1183</v>
      </c>
      <c r="H276" s="12" t="s">
        <v>1184</v>
      </c>
      <c r="I276" s="12" t="s">
        <v>1192</v>
      </c>
      <c r="J276" s="12" t="s">
        <v>1193</v>
      </c>
      <c r="K276" s="11" t="s">
        <v>1194</v>
      </c>
      <c r="L276" s="12" t="s">
        <v>1195</v>
      </c>
      <c r="M276" s="18" t="s">
        <v>1196</v>
      </c>
      <c r="N276" s="424"/>
      <c r="O276" s="176">
        <v>0</v>
      </c>
      <c r="P276" s="16"/>
      <c r="Q276" s="16"/>
      <c r="R276" s="110">
        <v>1</v>
      </c>
      <c r="S276" s="110"/>
      <c r="T276" s="12" t="s">
        <v>265</v>
      </c>
      <c r="U276" s="283" t="s">
        <v>350</v>
      </c>
      <c r="V276" s="10" t="s">
        <v>1197</v>
      </c>
      <c r="W276" s="298">
        <v>0</v>
      </c>
      <c r="X276" s="298">
        <v>0</v>
      </c>
      <c r="Y276" s="298">
        <v>0</v>
      </c>
      <c r="Z276" s="299">
        <v>0</v>
      </c>
      <c r="AA276" s="299">
        <v>0</v>
      </c>
      <c r="AB276" s="300">
        <v>0</v>
      </c>
      <c r="AC276" s="301">
        <v>0</v>
      </c>
      <c r="AD276" s="301">
        <v>0</v>
      </c>
      <c r="AE276" s="302">
        <f t="shared" si="9"/>
        <v>0</v>
      </c>
      <c r="AF276" s="63">
        <v>0</v>
      </c>
      <c r="AG276" s="17">
        <v>0</v>
      </c>
      <c r="AH276" s="17">
        <v>0</v>
      </c>
      <c r="AI276" s="17">
        <v>1</v>
      </c>
      <c r="AJ276" s="17">
        <v>1</v>
      </c>
      <c r="AK276" s="109"/>
      <c r="AL276" s="109"/>
      <c r="AM276" s="147">
        <f t="shared" si="8"/>
        <v>0</v>
      </c>
      <c r="AN276" s="283" t="s">
        <v>265</v>
      </c>
      <c r="AO276" s="18" t="s">
        <v>350</v>
      </c>
      <c r="AP276" s="10" t="s">
        <v>982</v>
      </c>
    </row>
    <row r="277" spans="1:42" x14ac:dyDescent="0.3">
      <c r="A277" s="9" t="s">
        <v>30</v>
      </c>
      <c r="B277" s="10" t="s">
        <v>31</v>
      </c>
      <c r="C277" s="9" t="s">
        <v>1051</v>
      </c>
      <c r="D277" s="10" t="s">
        <v>1052</v>
      </c>
      <c r="E277" s="11" t="s">
        <v>1053</v>
      </c>
      <c r="F277" s="12" t="s">
        <v>1054</v>
      </c>
      <c r="G277" s="11" t="s">
        <v>1198</v>
      </c>
      <c r="H277" s="12" t="s">
        <v>1199</v>
      </c>
      <c r="I277" s="12" t="s">
        <v>1200</v>
      </c>
      <c r="J277" s="12" t="s">
        <v>1201</v>
      </c>
      <c r="K277" s="9" t="s">
        <v>1202</v>
      </c>
      <c r="L277" s="10" t="s">
        <v>1203</v>
      </c>
      <c r="M277" s="18" t="s">
        <v>1204</v>
      </c>
      <c r="N277" s="424"/>
      <c r="O277" s="14">
        <v>2</v>
      </c>
      <c r="P277" s="21">
        <v>5</v>
      </c>
      <c r="Q277" s="21">
        <v>10</v>
      </c>
      <c r="R277" s="115">
        <v>5</v>
      </c>
      <c r="S277" s="115">
        <v>5</v>
      </c>
      <c r="T277" s="12" t="s">
        <v>156</v>
      </c>
      <c r="U277" s="283" t="s">
        <v>158</v>
      </c>
      <c r="V277" s="10" t="s">
        <v>1205</v>
      </c>
      <c r="W277" s="298">
        <v>1</v>
      </c>
      <c r="X277" s="298">
        <v>1</v>
      </c>
      <c r="Y277" s="298">
        <v>1</v>
      </c>
      <c r="Z277" s="299">
        <v>1</v>
      </c>
      <c r="AA277" s="299">
        <v>1</v>
      </c>
      <c r="AB277" s="300">
        <v>1</v>
      </c>
      <c r="AC277" s="301">
        <v>1</v>
      </c>
      <c r="AD277" s="301">
        <v>1</v>
      </c>
      <c r="AE277" s="302">
        <f t="shared" si="9"/>
        <v>1</v>
      </c>
      <c r="AF277" s="63">
        <v>0</v>
      </c>
      <c r="AG277" s="17">
        <v>0</v>
      </c>
      <c r="AH277" s="17">
        <v>3.5</v>
      </c>
      <c r="AI277" s="17">
        <v>4.5</v>
      </c>
      <c r="AJ277" s="17">
        <v>4</v>
      </c>
      <c r="AK277" s="127">
        <v>0.5</v>
      </c>
      <c r="AL277" s="127">
        <v>0.5</v>
      </c>
      <c r="AM277" s="147">
        <f t="shared" si="8"/>
        <v>1</v>
      </c>
      <c r="AN277" s="10" t="s">
        <v>156</v>
      </c>
      <c r="AO277" s="18" t="s">
        <v>158</v>
      </c>
      <c r="AP277" s="10" t="s">
        <v>1206</v>
      </c>
    </row>
    <row r="278" spans="1:42" x14ac:dyDescent="0.3">
      <c r="A278" s="9" t="s">
        <v>30</v>
      </c>
      <c r="B278" s="10" t="s">
        <v>31</v>
      </c>
      <c r="C278" s="9" t="s">
        <v>1051</v>
      </c>
      <c r="D278" s="10" t="s">
        <v>1052</v>
      </c>
      <c r="E278" s="11" t="s">
        <v>1053</v>
      </c>
      <c r="F278" s="12" t="s">
        <v>1054</v>
      </c>
      <c r="G278" s="11" t="s">
        <v>1198</v>
      </c>
      <c r="H278" s="12" t="s">
        <v>1199</v>
      </c>
      <c r="I278" s="12" t="s">
        <v>1200</v>
      </c>
      <c r="J278" s="12" t="s">
        <v>1201</v>
      </c>
      <c r="K278" s="9" t="s">
        <v>1202</v>
      </c>
      <c r="L278" s="10" t="s">
        <v>1203</v>
      </c>
      <c r="M278" s="18" t="s">
        <v>1204</v>
      </c>
      <c r="N278" s="424"/>
      <c r="O278" s="176">
        <v>0</v>
      </c>
      <c r="P278" s="21">
        <v>25</v>
      </c>
      <c r="Q278" s="21">
        <v>50</v>
      </c>
      <c r="R278" s="115">
        <v>50</v>
      </c>
      <c r="S278" s="115">
        <v>50</v>
      </c>
      <c r="T278" s="12" t="s">
        <v>265</v>
      </c>
      <c r="U278" s="283" t="s">
        <v>350</v>
      </c>
      <c r="V278" s="10" t="s">
        <v>1205</v>
      </c>
      <c r="W278" s="298">
        <v>1</v>
      </c>
      <c r="X278" s="298">
        <v>1</v>
      </c>
      <c r="Y278" s="298">
        <v>1</v>
      </c>
      <c r="Z278" s="299">
        <v>1</v>
      </c>
      <c r="AA278" s="299">
        <v>1</v>
      </c>
      <c r="AB278" s="300">
        <v>1</v>
      </c>
      <c r="AC278" s="301">
        <v>1</v>
      </c>
      <c r="AD278" s="301">
        <v>1</v>
      </c>
      <c r="AE278" s="302">
        <f t="shared" si="9"/>
        <v>1</v>
      </c>
      <c r="AF278" s="63">
        <v>0</v>
      </c>
      <c r="AG278" s="17">
        <v>0</v>
      </c>
      <c r="AH278" s="17">
        <v>4.5</v>
      </c>
      <c r="AI278" s="17">
        <v>4.8</v>
      </c>
      <c r="AJ278" s="17">
        <v>4.3</v>
      </c>
      <c r="AK278" s="127">
        <v>1.5</v>
      </c>
      <c r="AL278" s="127">
        <v>3</v>
      </c>
      <c r="AM278" s="147">
        <f t="shared" si="8"/>
        <v>4.5</v>
      </c>
      <c r="AN278" s="283" t="s">
        <v>265</v>
      </c>
      <c r="AO278" s="18" t="s">
        <v>350</v>
      </c>
      <c r="AP278" s="10" t="s">
        <v>1207</v>
      </c>
    </row>
    <row r="279" spans="1:42" x14ac:dyDescent="0.3">
      <c r="A279" s="9" t="s">
        <v>30</v>
      </c>
      <c r="B279" s="10" t="s">
        <v>31</v>
      </c>
      <c r="C279" s="9" t="s">
        <v>1051</v>
      </c>
      <c r="D279" s="10" t="s">
        <v>1052</v>
      </c>
      <c r="E279" s="11" t="s">
        <v>1053</v>
      </c>
      <c r="F279" s="12" t="s">
        <v>1054</v>
      </c>
      <c r="G279" s="11" t="s">
        <v>1198</v>
      </c>
      <c r="H279" s="12" t="s">
        <v>1199</v>
      </c>
      <c r="I279" s="12" t="s">
        <v>1200</v>
      </c>
      <c r="J279" s="12" t="s">
        <v>1201</v>
      </c>
      <c r="K279" s="9" t="s">
        <v>1202</v>
      </c>
      <c r="L279" s="10" t="s">
        <v>1203</v>
      </c>
      <c r="M279" s="18" t="s">
        <v>1208</v>
      </c>
      <c r="N279" s="424"/>
      <c r="O279" s="176">
        <v>0</v>
      </c>
      <c r="P279" s="21">
        <v>25</v>
      </c>
      <c r="Q279" s="21">
        <v>50</v>
      </c>
      <c r="R279" s="115">
        <v>100</v>
      </c>
      <c r="S279" s="115">
        <v>200</v>
      </c>
      <c r="T279" s="12" t="s">
        <v>265</v>
      </c>
      <c r="U279" s="283" t="s">
        <v>350</v>
      </c>
      <c r="V279" s="10" t="s">
        <v>1205</v>
      </c>
      <c r="W279" s="298">
        <v>1</v>
      </c>
      <c r="X279" s="298">
        <v>1</v>
      </c>
      <c r="Y279" s="298">
        <v>1</v>
      </c>
      <c r="Z279" s="299">
        <v>1</v>
      </c>
      <c r="AA279" s="299">
        <v>1</v>
      </c>
      <c r="AB279" s="300">
        <v>1</v>
      </c>
      <c r="AC279" s="301">
        <v>1</v>
      </c>
      <c r="AD279" s="301">
        <v>1</v>
      </c>
      <c r="AE279" s="302">
        <f t="shared" si="9"/>
        <v>1</v>
      </c>
      <c r="AF279" s="63">
        <v>0</v>
      </c>
      <c r="AG279" s="17">
        <v>0</v>
      </c>
      <c r="AH279" s="17"/>
      <c r="AI279" s="17"/>
      <c r="AJ279" s="17"/>
      <c r="AK279" s="109"/>
      <c r="AL279" s="127">
        <v>1.5</v>
      </c>
      <c r="AM279" s="147">
        <f t="shared" si="8"/>
        <v>1.5</v>
      </c>
      <c r="AN279" s="283" t="s">
        <v>265</v>
      </c>
      <c r="AO279" s="18" t="s">
        <v>350</v>
      </c>
      <c r="AP279" s="10" t="s">
        <v>1207</v>
      </c>
    </row>
    <row r="280" spans="1:42" x14ac:dyDescent="0.3">
      <c r="A280" s="9" t="s">
        <v>30</v>
      </c>
      <c r="B280" s="10" t="s">
        <v>31</v>
      </c>
      <c r="C280" s="9" t="s">
        <v>1051</v>
      </c>
      <c r="D280" s="10" t="s">
        <v>1052</v>
      </c>
      <c r="E280" s="11" t="s">
        <v>1053</v>
      </c>
      <c r="F280" s="12" t="s">
        <v>1054</v>
      </c>
      <c r="G280" s="11" t="s">
        <v>1198</v>
      </c>
      <c r="H280" s="12" t="s">
        <v>1199</v>
      </c>
      <c r="I280" s="12" t="s">
        <v>1200</v>
      </c>
      <c r="J280" s="12" t="s">
        <v>1201</v>
      </c>
      <c r="K280" s="9" t="s">
        <v>1209</v>
      </c>
      <c r="L280" s="18" t="s">
        <v>1210</v>
      </c>
      <c r="M280" s="18" t="s">
        <v>1211</v>
      </c>
      <c r="N280" s="424"/>
      <c r="O280" s="14">
        <v>50</v>
      </c>
      <c r="P280" s="21">
        <v>50</v>
      </c>
      <c r="Q280" s="21">
        <v>50</v>
      </c>
      <c r="R280" s="115">
        <v>20</v>
      </c>
      <c r="S280" s="115">
        <v>50</v>
      </c>
      <c r="T280" s="12" t="s">
        <v>156</v>
      </c>
      <c r="U280" s="283" t="s">
        <v>158</v>
      </c>
      <c r="V280" s="10" t="s">
        <v>1212</v>
      </c>
      <c r="W280" s="298">
        <v>1</v>
      </c>
      <c r="X280" s="298">
        <v>1</v>
      </c>
      <c r="Y280" s="298">
        <v>1</v>
      </c>
      <c r="Z280" s="299">
        <v>1</v>
      </c>
      <c r="AA280" s="299">
        <v>1</v>
      </c>
      <c r="AB280" s="300">
        <v>1</v>
      </c>
      <c r="AC280" s="301">
        <v>1</v>
      </c>
      <c r="AD280" s="301">
        <v>1</v>
      </c>
      <c r="AE280" s="302">
        <f t="shared" si="9"/>
        <v>1</v>
      </c>
      <c r="AF280" s="63">
        <v>0</v>
      </c>
      <c r="AG280" s="17">
        <v>0</v>
      </c>
      <c r="AH280" s="17">
        <v>1.5</v>
      </c>
      <c r="AI280" s="17">
        <v>6.5</v>
      </c>
      <c r="AJ280" s="17">
        <v>6.5</v>
      </c>
      <c r="AK280" s="127">
        <v>2.1</v>
      </c>
      <c r="AL280" s="127">
        <v>4</v>
      </c>
      <c r="AM280" s="147">
        <f t="shared" si="8"/>
        <v>6.1</v>
      </c>
      <c r="AN280" s="18" t="s">
        <v>156</v>
      </c>
      <c r="AO280" s="18" t="s">
        <v>158</v>
      </c>
      <c r="AP280" s="10" t="s">
        <v>1206</v>
      </c>
    </row>
    <row r="281" spans="1:42" x14ac:dyDescent="0.3">
      <c r="A281" s="9" t="s">
        <v>30</v>
      </c>
      <c r="B281" s="10" t="s">
        <v>31</v>
      </c>
      <c r="C281" s="9" t="s">
        <v>1051</v>
      </c>
      <c r="D281" s="10" t="s">
        <v>1052</v>
      </c>
      <c r="E281" s="11" t="s">
        <v>1053</v>
      </c>
      <c r="F281" s="12" t="s">
        <v>1054</v>
      </c>
      <c r="G281" s="11" t="s">
        <v>1198</v>
      </c>
      <c r="H281" s="12" t="s">
        <v>1199</v>
      </c>
      <c r="I281" s="12" t="s">
        <v>1200</v>
      </c>
      <c r="J281" s="12" t="s">
        <v>1201</v>
      </c>
      <c r="K281" s="9" t="s">
        <v>1213</v>
      </c>
      <c r="L281" s="10" t="s">
        <v>1214</v>
      </c>
      <c r="M281" s="18" t="s">
        <v>1215</v>
      </c>
      <c r="N281" s="424"/>
      <c r="O281" s="176">
        <v>0</v>
      </c>
      <c r="P281" s="16">
        <v>1</v>
      </c>
      <c r="Q281" s="16">
        <v>1</v>
      </c>
      <c r="R281" s="110">
        <v>1</v>
      </c>
      <c r="S281" s="110">
        <v>1</v>
      </c>
      <c r="T281" s="10" t="s">
        <v>1216</v>
      </c>
      <c r="U281" s="283" t="s">
        <v>1218</v>
      </c>
      <c r="V281" s="10" t="s">
        <v>1217</v>
      </c>
      <c r="W281" s="298">
        <v>1</v>
      </c>
      <c r="X281" s="298">
        <v>1</v>
      </c>
      <c r="Y281" s="298">
        <v>1</v>
      </c>
      <c r="Z281" s="299">
        <v>1</v>
      </c>
      <c r="AA281" s="299">
        <v>1</v>
      </c>
      <c r="AB281" s="300">
        <v>1</v>
      </c>
      <c r="AC281" s="301">
        <v>1</v>
      </c>
      <c r="AD281" s="301">
        <v>0</v>
      </c>
      <c r="AE281" s="302">
        <f t="shared" si="9"/>
        <v>0.875</v>
      </c>
      <c r="AF281" s="63">
        <v>0</v>
      </c>
      <c r="AG281" s="17">
        <v>0</v>
      </c>
      <c r="AH281" s="17">
        <v>0</v>
      </c>
      <c r="AI281" s="32">
        <v>0.3</v>
      </c>
      <c r="AJ281" s="32">
        <v>1</v>
      </c>
      <c r="AK281" s="132">
        <v>0.8</v>
      </c>
      <c r="AL281" s="132">
        <v>1.4</v>
      </c>
      <c r="AM281" s="147">
        <f t="shared" si="8"/>
        <v>2.2000000000000002</v>
      </c>
      <c r="AN281" s="18" t="s">
        <v>1216</v>
      </c>
      <c r="AO281" s="18" t="s">
        <v>1218</v>
      </c>
      <c r="AP281" s="10" t="s">
        <v>1219</v>
      </c>
    </row>
    <row r="282" spans="1:42" x14ac:dyDescent="0.3">
      <c r="A282" s="9" t="s">
        <v>30</v>
      </c>
      <c r="B282" s="10" t="s">
        <v>31</v>
      </c>
      <c r="C282" s="9" t="s">
        <v>1051</v>
      </c>
      <c r="D282" s="10" t="s">
        <v>1052</v>
      </c>
      <c r="E282" s="11" t="s">
        <v>1053</v>
      </c>
      <c r="F282" s="12" t="s">
        <v>1054</v>
      </c>
      <c r="G282" s="11" t="s">
        <v>1198</v>
      </c>
      <c r="H282" s="12" t="s">
        <v>1199</v>
      </c>
      <c r="I282" s="12" t="s">
        <v>1200</v>
      </c>
      <c r="J282" s="12" t="s">
        <v>1201</v>
      </c>
      <c r="K282" s="9" t="s">
        <v>1220</v>
      </c>
      <c r="L282" s="10" t="s">
        <v>1221</v>
      </c>
      <c r="M282" s="18" t="s">
        <v>1222</v>
      </c>
      <c r="N282" s="424"/>
      <c r="O282" s="176">
        <v>0</v>
      </c>
      <c r="P282" s="16">
        <v>1</v>
      </c>
      <c r="Q282" s="16">
        <v>3</v>
      </c>
      <c r="R282" s="110">
        <v>6</v>
      </c>
      <c r="S282" s="110">
        <v>10</v>
      </c>
      <c r="T282" s="10" t="s">
        <v>265</v>
      </c>
      <c r="U282" s="283" t="s">
        <v>350</v>
      </c>
      <c r="V282" s="10" t="s">
        <v>1223</v>
      </c>
      <c r="W282" s="298">
        <v>1</v>
      </c>
      <c r="X282" s="298">
        <v>1</v>
      </c>
      <c r="Y282" s="298">
        <v>1</v>
      </c>
      <c r="Z282" s="299">
        <v>1</v>
      </c>
      <c r="AA282" s="299">
        <v>1</v>
      </c>
      <c r="AB282" s="300">
        <v>1</v>
      </c>
      <c r="AC282" s="301">
        <v>1</v>
      </c>
      <c r="AD282" s="301">
        <v>0</v>
      </c>
      <c r="AE282" s="302">
        <f t="shared" si="9"/>
        <v>0.875</v>
      </c>
      <c r="AF282" s="63">
        <v>0</v>
      </c>
      <c r="AG282" s="17">
        <v>0</v>
      </c>
      <c r="AH282" s="17">
        <v>0</v>
      </c>
      <c r="AI282" s="17">
        <v>1</v>
      </c>
      <c r="AJ282" s="17">
        <v>1</v>
      </c>
      <c r="AK282" s="109">
        <v>1</v>
      </c>
      <c r="AL282" s="127">
        <v>1.8</v>
      </c>
      <c r="AM282" s="147">
        <f t="shared" si="8"/>
        <v>2.8</v>
      </c>
      <c r="AN282" s="283" t="s">
        <v>265</v>
      </c>
      <c r="AO282" s="18" t="s">
        <v>350</v>
      </c>
      <c r="AP282" s="10" t="s">
        <v>1224</v>
      </c>
    </row>
    <row r="283" spans="1:42" x14ac:dyDescent="0.3">
      <c r="A283" s="9" t="s">
        <v>30</v>
      </c>
      <c r="B283" s="10" t="s">
        <v>31</v>
      </c>
      <c r="C283" s="9" t="s">
        <v>1051</v>
      </c>
      <c r="D283" s="10" t="s">
        <v>1052</v>
      </c>
      <c r="E283" s="11" t="s">
        <v>1053</v>
      </c>
      <c r="F283" s="12" t="s">
        <v>1054</v>
      </c>
      <c r="G283" s="11" t="s">
        <v>1198</v>
      </c>
      <c r="H283" s="12" t="s">
        <v>1199</v>
      </c>
      <c r="I283" s="12" t="s">
        <v>1200</v>
      </c>
      <c r="J283" s="12" t="s">
        <v>1201</v>
      </c>
      <c r="K283" s="9" t="s">
        <v>1225</v>
      </c>
      <c r="L283" s="12" t="s">
        <v>1226</v>
      </c>
      <c r="M283" s="18" t="s">
        <v>1227</v>
      </c>
      <c r="N283" s="424"/>
      <c r="O283" s="176">
        <v>0</v>
      </c>
      <c r="P283" s="16"/>
      <c r="Q283" s="16">
        <v>1</v>
      </c>
      <c r="R283" s="110">
        <v>1</v>
      </c>
      <c r="S283" s="110">
        <v>1</v>
      </c>
      <c r="T283" s="10" t="s">
        <v>265</v>
      </c>
      <c r="U283" s="283" t="s">
        <v>350</v>
      </c>
      <c r="V283" s="10" t="s">
        <v>1228</v>
      </c>
      <c r="W283" s="298">
        <v>0</v>
      </c>
      <c r="X283" s="298">
        <v>0</v>
      </c>
      <c r="Y283" s="298">
        <v>0</v>
      </c>
      <c r="Z283" s="299">
        <v>0</v>
      </c>
      <c r="AA283" s="299">
        <v>0</v>
      </c>
      <c r="AB283" s="300">
        <v>0</v>
      </c>
      <c r="AC283" s="301">
        <v>0</v>
      </c>
      <c r="AD283" s="301">
        <v>0</v>
      </c>
      <c r="AE283" s="302">
        <f t="shared" si="9"/>
        <v>0</v>
      </c>
      <c r="AF283" s="63">
        <v>0</v>
      </c>
      <c r="AG283" s="17">
        <v>0</v>
      </c>
      <c r="AH283" s="17">
        <v>0</v>
      </c>
      <c r="AI283" s="17">
        <v>1</v>
      </c>
      <c r="AJ283" s="17">
        <v>1</v>
      </c>
      <c r="AK283" s="109"/>
      <c r="AL283" s="109"/>
      <c r="AM283" s="147">
        <f t="shared" si="8"/>
        <v>0</v>
      </c>
      <c r="AN283" s="283" t="s">
        <v>265</v>
      </c>
      <c r="AO283" s="18" t="s">
        <v>350</v>
      </c>
      <c r="AP283" s="10" t="s">
        <v>982</v>
      </c>
    </row>
    <row r="284" spans="1:42" x14ac:dyDescent="0.3">
      <c r="A284" s="9" t="s">
        <v>30</v>
      </c>
      <c r="B284" s="10" t="s">
        <v>31</v>
      </c>
      <c r="C284" s="9" t="s">
        <v>1051</v>
      </c>
      <c r="D284" s="10" t="s">
        <v>1052</v>
      </c>
      <c r="E284" s="11" t="s">
        <v>1053</v>
      </c>
      <c r="F284" s="12" t="s">
        <v>1054</v>
      </c>
      <c r="G284" s="11" t="s">
        <v>1198</v>
      </c>
      <c r="H284" s="12" t="s">
        <v>1199</v>
      </c>
      <c r="I284" s="12" t="s">
        <v>1200</v>
      </c>
      <c r="J284" s="12" t="s">
        <v>1201</v>
      </c>
      <c r="K284" s="9" t="s">
        <v>1229</v>
      </c>
      <c r="L284" s="10" t="s">
        <v>1230</v>
      </c>
      <c r="M284" s="18" t="s">
        <v>1231</v>
      </c>
      <c r="N284" s="424"/>
      <c r="O284" s="176">
        <v>0</v>
      </c>
      <c r="P284" s="16">
        <v>2</v>
      </c>
      <c r="Q284" s="16">
        <v>4</v>
      </c>
      <c r="R284" s="110">
        <v>6</v>
      </c>
      <c r="S284" s="110">
        <v>10</v>
      </c>
      <c r="T284" s="10" t="s">
        <v>265</v>
      </c>
      <c r="U284" s="283" t="s">
        <v>350</v>
      </c>
      <c r="V284" s="10" t="s">
        <v>1232</v>
      </c>
      <c r="W284" s="298">
        <v>1</v>
      </c>
      <c r="X284" s="298">
        <v>1</v>
      </c>
      <c r="Y284" s="298">
        <v>1</v>
      </c>
      <c r="Z284" s="299">
        <v>1</v>
      </c>
      <c r="AA284" s="299">
        <v>1</v>
      </c>
      <c r="AB284" s="300">
        <v>1</v>
      </c>
      <c r="AC284" s="301">
        <v>1</v>
      </c>
      <c r="AD284" s="301">
        <v>0</v>
      </c>
      <c r="AE284" s="302">
        <f t="shared" si="9"/>
        <v>0.875</v>
      </c>
      <c r="AF284" s="63">
        <v>0</v>
      </c>
      <c r="AG284" s="17">
        <v>0</v>
      </c>
      <c r="AH284" s="17">
        <v>0</v>
      </c>
      <c r="AI284" s="32">
        <v>1</v>
      </c>
      <c r="AJ284" s="32">
        <v>1</v>
      </c>
      <c r="AK284" s="132">
        <v>0.2</v>
      </c>
      <c r="AL284" s="123">
        <v>1</v>
      </c>
      <c r="AM284" s="147">
        <f t="shared" si="8"/>
        <v>1.2</v>
      </c>
      <c r="AN284" s="283" t="s">
        <v>265</v>
      </c>
      <c r="AO284" s="18" t="s">
        <v>350</v>
      </c>
      <c r="AP284" s="10" t="s">
        <v>1233</v>
      </c>
    </row>
    <row r="285" spans="1:42" x14ac:dyDescent="0.3">
      <c r="A285" s="9" t="s">
        <v>30</v>
      </c>
      <c r="B285" s="10" t="s">
        <v>31</v>
      </c>
      <c r="C285" s="9" t="s">
        <v>1051</v>
      </c>
      <c r="D285" s="10" t="s">
        <v>1052</v>
      </c>
      <c r="E285" s="11" t="s">
        <v>1053</v>
      </c>
      <c r="F285" s="12" t="s">
        <v>1054</v>
      </c>
      <c r="G285" s="11" t="s">
        <v>1198</v>
      </c>
      <c r="H285" s="12" t="s">
        <v>1199</v>
      </c>
      <c r="I285" s="12" t="s">
        <v>1200</v>
      </c>
      <c r="J285" s="12" t="s">
        <v>1201</v>
      </c>
      <c r="K285" s="9" t="s">
        <v>1234</v>
      </c>
      <c r="L285" s="10" t="s">
        <v>1235</v>
      </c>
      <c r="M285" s="18" t="s">
        <v>1236</v>
      </c>
      <c r="N285" s="424"/>
      <c r="O285" s="176">
        <v>0</v>
      </c>
      <c r="P285" s="16">
        <v>1</v>
      </c>
      <c r="Q285" s="16">
        <v>1</v>
      </c>
      <c r="R285" s="110">
        <v>1</v>
      </c>
      <c r="S285" s="110">
        <v>1</v>
      </c>
      <c r="T285" s="10" t="s">
        <v>265</v>
      </c>
      <c r="U285" s="283" t="s">
        <v>350</v>
      </c>
      <c r="V285" s="10" t="s">
        <v>1237</v>
      </c>
      <c r="W285" s="298">
        <v>1</v>
      </c>
      <c r="X285" s="298">
        <v>1</v>
      </c>
      <c r="Y285" s="298">
        <v>1</v>
      </c>
      <c r="Z285" s="299">
        <v>1</v>
      </c>
      <c r="AA285" s="299">
        <v>1</v>
      </c>
      <c r="AB285" s="300">
        <v>1</v>
      </c>
      <c r="AC285" s="301">
        <v>1</v>
      </c>
      <c r="AD285" s="301">
        <v>1</v>
      </c>
      <c r="AE285" s="302">
        <f t="shared" si="9"/>
        <v>1</v>
      </c>
      <c r="AF285" s="63">
        <v>0</v>
      </c>
      <c r="AG285" s="17">
        <v>0</v>
      </c>
      <c r="AH285" s="17">
        <v>0</v>
      </c>
      <c r="AI285" s="32">
        <v>1</v>
      </c>
      <c r="AJ285" s="32">
        <v>3</v>
      </c>
      <c r="AK285" s="132">
        <v>1</v>
      </c>
      <c r="AL285" s="123">
        <v>1</v>
      </c>
      <c r="AM285" s="147">
        <f t="shared" si="8"/>
        <v>2</v>
      </c>
      <c r="AN285" s="283" t="s">
        <v>265</v>
      </c>
      <c r="AO285" s="18" t="s">
        <v>350</v>
      </c>
      <c r="AP285" s="10" t="s">
        <v>321</v>
      </c>
    </row>
    <row r="286" spans="1:42" x14ac:dyDescent="0.3">
      <c r="A286" s="9" t="s">
        <v>30</v>
      </c>
      <c r="B286" s="10" t="s">
        <v>31</v>
      </c>
      <c r="C286" s="9" t="s">
        <v>1051</v>
      </c>
      <c r="D286" s="10" t="s">
        <v>1052</v>
      </c>
      <c r="E286" s="11" t="s">
        <v>1053</v>
      </c>
      <c r="F286" s="12" t="s">
        <v>1054</v>
      </c>
      <c r="G286" s="11" t="s">
        <v>1198</v>
      </c>
      <c r="H286" s="12" t="s">
        <v>1199</v>
      </c>
      <c r="I286" s="12" t="s">
        <v>1200</v>
      </c>
      <c r="J286" s="12" t="s">
        <v>1201</v>
      </c>
      <c r="K286" s="9" t="s">
        <v>1238</v>
      </c>
      <c r="L286" s="10" t="s">
        <v>1239</v>
      </c>
      <c r="M286" s="18" t="s">
        <v>1240</v>
      </c>
      <c r="N286" s="424"/>
      <c r="O286" s="176">
        <v>0</v>
      </c>
      <c r="P286" s="21">
        <v>15</v>
      </c>
      <c r="Q286" s="21">
        <v>20</v>
      </c>
      <c r="R286" s="115">
        <v>25</v>
      </c>
      <c r="S286" s="115">
        <v>30</v>
      </c>
      <c r="T286" s="12" t="s">
        <v>1216</v>
      </c>
      <c r="U286" s="283" t="s">
        <v>1218</v>
      </c>
      <c r="V286" s="108" t="s">
        <v>1241</v>
      </c>
      <c r="W286" s="298">
        <v>1</v>
      </c>
      <c r="X286" s="298">
        <v>0</v>
      </c>
      <c r="Y286" s="298">
        <v>0</v>
      </c>
      <c r="Z286" s="299">
        <v>1</v>
      </c>
      <c r="AA286" s="299">
        <v>1</v>
      </c>
      <c r="AB286" s="300">
        <v>0</v>
      </c>
      <c r="AC286" s="301">
        <v>0</v>
      </c>
      <c r="AD286" s="301">
        <v>0</v>
      </c>
      <c r="AE286" s="302">
        <f t="shared" si="9"/>
        <v>0.375</v>
      </c>
      <c r="AF286" s="63">
        <v>0</v>
      </c>
      <c r="AG286" s="17">
        <v>0</v>
      </c>
      <c r="AH286" s="17">
        <v>6.5</v>
      </c>
      <c r="AI286" s="17">
        <v>4.5</v>
      </c>
      <c r="AJ286" s="17">
        <v>4.7</v>
      </c>
      <c r="AK286" s="109"/>
      <c r="AL286" s="109"/>
      <c r="AM286" s="147">
        <f t="shared" si="8"/>
        <v>0</v>
      </c>
      <c r="AN286" s="18" t="s">
        <v>1216</v>
      </c>
      <c r="AO286" s="18" t="s">
        <v>1218</v>
      </c>
      <c r="AP286" s="10" t="s">
        <v>1242</v>
      </c>
    </row>
    <row r="287" spans="1:42" x14ac:dyDescent="0.3">
      <c r="A287" s="9" t="s">
        <v>30</v>
      </c>
      <c r="B287" s="10" t="s">
        <v>31</v>
      </c>
      <c r="C287" s="9" t="s">
        <v>1051</v>
      </c>
      <c r="D287" s="10" t="s">
        <v>1052</v>
      </c>
      <c r="E287" s="11" t="s">
        <v>1053</v>
      </c>
      <c r="F287" s="12" t="s">
        <v>1054</v>
      </c>
      <c r="G287" s="11" t="s">
        <v>1198</v>
      </c>
      <c r="H287" s="12" t="s">
        <v>1199</v>
      </c>
      <c r="I287" s="12" t="s">
        <v>1200</v>
      </c>
      <c r="J287" s="12" t="s">
        <v>1201</v>
      </c>
      <c r="K287" s="9" t="s">
        <v>1238</v>
      </c>
      <c r="L287" s="10" t="s">
        <v>1239</v>
      </c>
      <c r="M287" s="18" t="s">
        <v>1243</v>
      </c>
      <c r="N287" s="424"/>
      <c r="O287" s="176">
        <v>0</v>
      </c>
      <c r="P287" s="21">
        <v>25</v>
      </c>
      <c r="Q287" s="21">
        <v>50</v>
      </c>
      <c r="R287" s="115">
        <v>100</v>
      </c>
      <c r="S287" s="115">
        <v>200</v>
      </c>
      <c r="T287" s="12" t="s">
        <v>1216</v>
      </c>
      <c r="U287" s="283" t="s">
        <v>1218</v>
      </c>
      <c r="V287" s="10" t="s">
        <v>1241</v>
      </c>
      <c r="W287" s="298">
        <v>1</v>
      </c>
      <c r="X287" s="298">
        <v>0</v>
      </c>
      <c r="Y287" s="298">
        <v>0</v>
      </c>
      <c r="Z287" s="299">
        <v>1</v>
      </c>
      <c r="AA287" s="299">
        <v>1</v>
      </c>
      <c r="AB287" s="300">
        <v>0</v>
      </c>
      <c r="AC287" s="301">
        <v>0</v>
      </c>
      <c r="AD287" s="301">
        <v>0</v>
      </c>
      <c r="AE287" s="302">
        <f t="shared" si="9"/>
        <v>0.375</v>
      </c>
      <c r="AF287" s="63">
        <v>0</v>
      </c>
      <c r="AG287" s="17">
        <v>0</v>
      </c>
      <c r="AH287" s="17"/>
      <c r="AI287" s="17"/>
      <c r="AJ287" s="17"/>
      <c r="AK287" s="109"/>
      <c r="AL287" s="109"/>
      <c r="AM287" s="147">
        <f t="shared" si="8"/>
        <v>0</v>
      </c>
      <c r="AN287" s="18" t="s">
        <v>1216</v>
      </c>
      <c r="AO287" s="18" t="s">
        <v>1218</v>
      </c>
      <c r="AP287" s="10" t="s">
        <v>1242</v>
      </c>
    </row>
    <row r="288" spans="1:42" x14ac:dyDescent="0.3">
      <c r="A288" s="9" t="s">
        <v>30</v>
      </c>
      <c r="B288" s="10" t="s">
        <v>31</v>
      </c>
      <c r="C288" s="9" t="s">
        <v>1051</v>
      </c>
      <c r="D288" s="10" t="s">
        <v>1052</v>
      </c>
      <c r="E288" s="11" t="s">
        <v>1053</v>
      </c>
      <c r="F288" s="12" t="s">
        <v>1054</v>
      </c>
      <c r="G288" s="11" t="s">
        <v>1198</v>
      </c>
      <c r="H288" s="12" t="s">
        <v>1199</v>
      </c>
      <c r="I288" s="12" t="s">
        <v>1200</v>
      </c>
      <c r="J288" s="12" t="s">
        <v>1201</v>
      </c>
      <c r="K288" s="9" t="s">
        <v>1238</v>
      </c>
      <c r="L288" s="10" t="s">
        <v>1239</v>
      </c>
      <c r="M288" s="18" t="s">
        <v>1244</v>
      </c>
      <c r="N288" s="424"/>
      <c r="O288" s="176">
        <v>0</v>
      </c>
      <c r="P288" s="21">
        <v>10</v>
      </c>
      <c r="Q288" s="21">
        <v>20</v>
      </c>
      <c r="R288" s="115">
        <v>25</v>
      </c>
      <c r="S288" s="115">
        <v>30</v>
      </c>
      <c r="T288" s="12" t="s">
        <v>1216</v>
      </c>
      <c r="U288" s="283" t="s">
        <v>1218</v>
      </c>
      <c r="V288" s="10" t="s">
        <v>1241</v>
      </c>
      <c r="W288" s="298">
        <v>1</v>
      </c>
      <c r="X288" s="298">
        <v>0</v>
      </c>
      <c r="Y288" s="298">
        <v>0</v>
      </c>
      <c r="Z288" s="299">
        <v>1</v>
      </c>
      <c r="AA288" s="299">
        <v>1</v>
      </c>
      <c r="AB288" s="300">
        <v>0</v>
      </c>
      <c r="AC288" s="301">
        <v>0</v>
      </c>
      <c r="AD288" s="301">
        <v>0</v>
      </c>
      <c r="AE288" s="302">
        <f t="shared" si="9"/>
        <v>0.375</v>
      </c>
      <c r="AF288" s="63">
        <v>0</v>
      </c>
      <c r="AG288" s="17">
        <v>0</v>
      </c>
      <c r="AH288" s="17"/>
      <c r="AI288" s="17"/>
      <c r="AJ288" s="17"/>
      <c r="AK288" s="109"/>
      <c r="AL288" s="109"/>
      <c r="AM288" s="147">
        <f t="shared" si="8"/>
        <v>0</v>
      </c>
      <c r="AN288" s="18" t="s">
        <v>1216</v>
      </c>
      <c r="AO288" s="18" t="s">
        <v>1218</v>
      </c>
      <c r="AP288" s="10" t="s">
        <v>1242</v>
      </c>
    </row>
    <row r="289" spans="1:42" x14ac:dyDescent="0.3">
      <c r="A289" s="9" t="s">
        <v>30</v>
      </c>
      <c r="B289" s="10" t="s">
        <v>31</v>
      </c>
      <c r="C289" s="9" t="s">
        <v>1051</v>
      </c>
      <c r="D289" s="10" t="s">
        <v>1052</v>
      </c>
      <c r="E289" s="11" t="s">
        <v>1053</v>
      </c>
      <c r="F289" s="12" t="s">
        <v>1054</v>
      </c>
      <c r="G289" s="11" t="s">
        <v>1198</v>
      </c>
      <c r="H289" s="12" t="s">
        <v>1199</v>
      </c>
      <c r="I289" s="12" t="s">
        <v>1200</v>
      </c>
      <c r="J289" s="12" t="s">
        <v>1201</v>
      </c>
      <c r="K289" s="9" t="s">
        <v>1238</v>
      </c>
      <c r="L289" s="10" t="s">
        <v>1239</v>
      </c>
      <c r="M289" s="18" t="s">
        <v>1245</v>
      </c>
      <c r="N289" s="424"/>
      <c r="O289" s="176">
        <v>0</v>
      </c>
      <c r="P289" s="21">
        <v>5</v>
      </c>
      <c r="Q289" s="21">
        <v>10</v>
      </c>
      <c r="R289" s="115">
        <v>20</v>
      </c>
      <c r="S289" s="115">
        <v>25</v>
      </c>
      <c r="T289" s="12" t="s">
        <v>1216</v>
      </c>
      <c r="U289" s="283" t="s">
        <v>1218</v>
      </c>
      <c r="V289" s="10" t="s">
        <v>1241</v>
      </c>
      <c r="W289" s="298">
        <v>1</v>
      </c>
      <c r="X289" s="298">
        <v>0</v>
      </c>
      <c r="Y289" s="298">
        <v>0</v>
      </c>
      <c r="Z289" s="299">
        <v>1</v>
      </c>
      <c r="AA289" s="299">
        <v>1</v>
      </c>
      <c r="AB289" s="300">
        <v>0</v>
      </c>
      <c r="AC289" s="301">
        <v>0</v>
      </c>
      <c r="AD289" s="301">
        <v>0</v>
      </c>
      <c r="AE289" s="302">
        <f t="shared" si="9"/>
        <v>0.375</v>
      </c>
      <c r="AF289" s="63">
        <v>0</v>
      </c>
      <c r="AG289" s="17">
        <v>0</v>
      </c>
      <c r="AH289" s="17"/>
      <c r="AI289" s="17"/>
      <c r="AJ289" s="17"/>
      <c r="AK289" s="109"/>
      <c r="AL289" s="109"/>
      <c r="AM289" s="147">
        <f t="shared" si="8"/>
        <v>0</v>
      </c>
      <c r="AN289" s="18" t="s">
        <v>1216</v>
      </c>
      <c r="AO289" s="18" t="s">
        <v>1218</v>
      </c>
      <c r="AP289" s="10" t="s">
        <v>1242</v>
      </c>
    </row>
    <row r="290" spans="1:42" x14ac:dyDescent="0.3">
      <c r="A290" s="9" t="s">
        <v>30</v>
      </c>
      <c r="B290" s="10" t="s">
        <v>31</v>
      </c>
      <c r="C290" s="9" t="s">
        <v>1051</v>
      </c>
      <c r="D290" s="10" t="s">
        <v>1052</v>
      </c>
      <c r="E290" s="11" t="s">
        <v>1053</v>
      </c>
      <c r="F290" s="12" t="s">
        <v>1054</v>
      </c>
      <c r="G290" s="11" t="s">
        <v>1198</v>
      </c>
      <c r="H290" s="12" t="s">
        <v>1199</v>
      </c>
      <c r="I290" s="12" t="s">
        <v>1200</v>
      </c>
      <c r="J290" s="12" t="s">
        <v>1201</v>
      </c>
      <c r="K290" s="9" t="s">
        <v>1238</v>
      </c>
      <c r="L290" s="10" t="s">
        <v>1239</v>
      </c>
      <c r="M290" s="18" t="s">
        <v>1246</v>
      </c>
      <c r="N290" s="424"/>
      <c r="O290" s="176">
        <v>0</v>
      </c>
      <c r="P290" s="21">
        <v>3</v>
      </c>
      <c r="Q290" s="21">
        <v>3</v>
      </c>
      <c r="R290" s="115">
        <v>3</v>
      </c>
      <c r="S290" s="115">
        <v>4</v>
      </c>
      <c r="T290" s="12" t="s">
        <v>1216</v>
      </c>
      <c r="U290" s="283" t="s">
        <v>1218</v>
      </c>
      <c r="V290" s="10" t="s">
        <v>1241</v>
      </c>
      <c r="W290" s="298">
        <v>1</v>
      </c>
      <c r="X290" s="298">
        <v>0</v>
      </c>
      <c r="Y290" s="298">
        <v>0</v>
      </c>
      <c r="Z290" s="299">
        <v>1</v>
      </c>
      <c r="AA290" s="299">
        <v>1</v>
      </c>
      <c r="AB290" s="300">
        <v>0</v>
      </c>
      <c r="AC290" s="301">
        <v>0</v>
      </c>
      <c r="AD290" s="301">
        <v>0</v>
      </c>
      <c r="AE290" s="302">
        <f t="shared" si="9"/>
        <v>0.375</v>
      </c>
      <c r="AF290" s="63">
        <v>0</v>
      </c>
      <c r="AG290" s="17">
        <v>0</v>
      </c>
      <c r="AH290" s="17"/>
      <c r="AI290" s="17"/>
      <c r="AJ290" s="17"/>
      <c r="AK290" s="109"/>
      <c r="AL290" s="109"/>
      <c r="AM290" s="147">
        <f t="shared" si="8"/>
        <v>0</v>
      </c>
      <c r="AN290" s="18" t="s">
        <v>1216</v>
      </c>
      <c r="AO290" s="18" t="s">
        <v>1218</v>
      </c>
      <c r="AP290" s="10" t="s">
        <v>1242</v>
      </c>
    </row>
    <row r="291" spans="1:42" x14ac:dyDescent="0.3">
      <c r="A291" s="9" t="s">
        <v>30</v>
      </c>
      <c r="B291" s="10" t="s">
        <v>31</v>
      </c>
      <c r="C291" s="9" t="s">
        <v>1051</v>
      </c>
      <c r="D291" s="10" t="s">
        <v>1052</v>
      </c>
      <c r="E291" s="11" t="s">
        <v>1053</v>
      </c>
      <c r="F291" s="12" t="s">
        <v>1054</v>
      </c>
      <c r="G291" s="11" t="s">
        <v>1198</v>
      </c>
      <c r="H291" s="12" t="s">
        <v>1199</v>
      </c>
      <c r="I291" s="12" t="s">
        <v>1200</v>
      </c>
      <c r="J291" s="12" t="s">
        <v>1247</v>
      </c>
      <c r="K291" s="9" t="s">
        <v>1248</v>
      </c>
      <c r="L291" s="10" t="s">
        <v>1249</v>
      </c>
      <c r="M291" s="18" t="s">
        <v>1250</v>
      </c>
      <c r="N291" s="424"/>
      <c r="O291" s="176">
        <v>4</v>
      </c>
      <c r="P291" s="21">
        <v>4</v>
      </c>
      <c r="Q291" s="21">
        <v>4</v>
      </c>
      <c r="R291" s="115">
        <v>4</v>
      </c>
      <c r="S291" s="115">
        <v>10</v>
      </c>
      <c r="T291" s="12" t="s">
        <v>1132</v>
      </c>
      <c r="U291" s="283" t="s">
        <v>3739</v>
      </c>
      <c r="V291" s="10" t="s">
        <v>1201</v>
      </c>
      <c r="W291" s="298">
        <v>1</v>
      </c>
      <c r="X291" s="298">
        <v>1</v>
      </c>
      <c r="Y291" s="298">
        <v>0</v>
      </c>
      <c r="Z291" s="299">
        <v>1</v>
      </c>
      <c r="AA291" s="299">
        <v>1</v>
      </c>
      <c r="AB291" s="300">
        <v>1</v>
      </c>
      <c r="AC291" s="301">
        <v>0</v>
      </c>
      <c r="AD291" s="301">
        <v>0</v>
      </c>
      <c r="AE291" s="302">
        <f t="shared" si="9"/>
        <v>0.625</v>
      </c>
      <c r="AF291" s="63">
        <v>0</v>
      </c>
      <c r="AG291" s="17">
        <v>0</v>
      </c>
      <c r="AH291" s="17">
        <v>1</v>
      </c>
      <c r="AI291" s="17">
        <v>1</v>
      </c>
      <c r="AJ291" s="17">
        <v>1</v>
      </c>
      <c r="AK291" s="127">
        <v>0.4</v>
      </c>
      <c r="AL291" s="109">
        <v>1</v>
      </c>
      <c r="AM291" s="147">
        <f t="shared" si="8"/>
        <v>1.4</v>
      </c>
      <c r="AN291" s="18" t="s">
        <v>1132</v>
      </c>
      <c r="AO291" s="18" t="s">
        <v>1134</v>
      </c>
      <c r="AP291" s="10"/>
    </row>
    <row r="292" spans="1:42" s="300" customFormat="1" x14ac:dyDescent="0.3">
      <c r="A292" s="66" t="s">
        <v>30</v>
      </c>
      <c r="B292" s="67" t="s">
        <v>31</v>
      </c>
      <c r="C292" s="68" t="s">
        <v>1251</v>
      </c>
      <c r="D292" s="69" t="s">
        <v>1252</v>
      </c>
      <c r="E292" s="68" t="s">
        <v>1253</v>
      </c>
      <c r="F292" s="69" t="s">
        <v>1254</v>
      </c>
      <c r="G292" s="68" t="s">
        <v>1255</v>
      </c>
      <c r="H292" s="69" t="s">
        <v>1256</v>
      </c>
      <c r="I292" s="69" t="s">
        <v>1257</v>
      </c>
      <c r="J292" s="69" t="s">
        <v>1258</v>
      </c>
      <c r="K292" s="66" t="s">
        <v>1259</v>
      </c>
      <c r="L292" s="67" t="s">
        <v>1260</v>
      </c>
      <c r="M292" s="74" t="s">
        <v>1261</v>
      </c>
      <c r="N292" s="426"/>
      <c r="O292" s="427">
        <v>0</v>
      </c>
      <c r="P292" s="71">
        <v>1</v>
      </c>
      <c r="Q292" s="71"/>
      <c r="R292" s="110"/>
      <c r="S292" s="110"/>
      <c r="T292" s="67" t="s">
        <v>921</v>
      </c>
      <c r="U292" s="300" t="s">
        <v>880</v>
      </c>
      <c r="V292" s="108" t="s">
        <v>1262</v>
      </c>
      <c r="W292" s="298">
        <v>0</v>
      </c>
      <c r="X292" s="298">
        <v>0</v>
      </c>
      <c r="Y292" s="298">
        <v>0</v>
      </c>
      <c r="Z292" s="299">
        <v>0</v>
      </c>
      <c r="AA292" s="299">
        <v>0</v>
      </c>
      <c r="AB292" s="300">
        <v>0</v>
      </c>
      <c r="AC292" s="301">
        <v>0</v>
      </c>
      <c r="AD292" s="301">
        <v>0</v>
      </c>
      <c r="AE292" s="305">
        <f t="shared" si="9"/>
        <v>0</v>
      </c>
      <c r="AF292" s="63">
        <v>0</v>
      </c>
      <c r="AG292" s="73">
        <v>0</v>
      </c>
      <c r="AH292" s="73">
        <v>0.25</v>
      </c>
      <c r="AI292" s="73">
        <v>0.2</v>
      </c>
      <c r="AJ292" s="73"/>
      <c r="AK292" s="109"/>
      <c r="AL292" s="109"/>
      <c r="AM292" s="147">
        <f t="shared" si="8"/>
        <v>0</v>
      </c>
      <c r="AN292" s="81" t="s">
        <v>921</v>
      </c>
      <c r="AO292" s="74" t="s">
        <v>880</v>
      </c>
      <c r="AP292" s="67" t="s">
        <v>840</v>
      </c>
    </row>
    <row r="293" spans="1:42" s="300" customFormat="1" x14ac:dyDescent="0.3">
      <c r="A293" s="66" t="s">
        <v>30</v>
      </c>
      <c r="B293" s="67" t="s">
        <v>31</v>
      </c>
      <c r="C293" s="68" t="s">
        <v>1251</v>
      </c>
      <c r="D293" s="69" t="s">
        <v>1252</v>
      </c>
      <c r="E293" s="68" t="s">
        <v>1253</v>
      </c>
      <c r="F293" s="69" t="s">
        <v>1254</v>
      </c>
      <c r="G293" s="68" t="s">
        <v>1255</v>
      </c>
      <c r="H293" s="69" t="s">
        <v>1256</v>
      </c>
      <c r="I293" s="69" t="s">
        <v>1257</v>
      </c>
      <c r="J293" s="69" t="s">
        <v>1258</v>
      </c>
      <c r="K293" s="66" t="s">
        <v>1263</v>
      </c>
      <c r="L293" s="67" t="s">
        <v>1264</v>
      </c>
      <c r="M293" s="74" t="s">
        <v>1265</v>
      </c>
      <c r="N293" s="426"/>
      <c r="O293" s="427">
        <v>0</v>
      </c>
      <c r="P293" s="71">
        <v>1</v>
      </c>
      <c r="Q293" s="71">
        <v>1</v>
      </c>
      <c r="R293" s="110">
        <v>1</v>
      </c>
      <c r="S293" s="110">
        <v>1</v>
      </c>
      <c r="T293" s="67" t="s">
        <v>921</v>
      </c>
      <c r="U293" s="300" t="s">
        <v>880</v>
      </c>
      <c r="V293" s="74" t="s">
        <v>1266</v>
      </c>
      <c r="W293" s="298">
        <v>1</v>
      </c>
      <c r="X293" s="298">
        <v>0</v>
      </c>
      <c r="Y293" s="298">
        <v>0</v>
      </c>
      <c r="Z293" s="299">
        <v>1</v>
      </c>
      <c r="AA293" s="299">
        <v>1</v>
      </c>
      <c r="AB293" s="300">
        <v>0</v>
      </c>
      <c r="AC293" s="301">
        <v>1</v>
      </c>
      <c r="AD293" s="301">
        <v>0</v>
      </c>
      <c r="AE293" s="305">
        <f t="shared" si="9"/>
        <v>0.5</v>
      </c>
      <c r="AF293" s="63">
        <v>0</v>
      </c>
      <c r="AG293" s="73">
        <v>0</v>
      </c>
      <c r="AH293" s="73">
        <v>0</v>
      </c>
      <c r="AI293" s="82">
        <v>1</v>
      </c>
      <c r="AJ293" s="82">
        <v>1</v>
      </c>
      <c r="AK293" s="124"/>
      <c r="AL293" s="124"/>
      <c r="AM293" s="147">
        <f t="shared" si="8"/>
        <v>0</v>
      </c>
      <c r="AN293" s="81" t="s">
        <v>921</v>
      </c>
      <c r="AO293" s="74" t="s">
        <v>880</v>
      </c>
      <c r="AP293" s="67" t="s">
        <v>92</v>
      </c>
    </row>
    <row r="294" spans="1:42" s="300" customFormat="1" x14ac:dyDescent="0.3">
      <c r="A294" s="66" t="s">
        <v>30</v>
      </c>
      <c r="B294" s="67" t="s">
        <v>31</v>
      </c>
      <c r="C294" s="68" t="s">
        <v>1251</v>
      </c>
      <c r="D294" s="69" t="s">
        <v>1252</v>
      </c>
      <c r="E294" s="68" t="s">
        <v>1253</v>
      </c>
      <c r="F294" s="69" t="s">
        <v>1254</v>
      </c>
      <c r="G294" s="68" t="s">
        <v>1255</v>
      </c>
      <c r="H294" s="69" t="s">
        <v>1256</v>
      </c>
      <c r="I294" s="69" t="s">
        <v>1257</v>
      </c>
      <c r="J294" s="69" t="s">
        <v>1258</v>
      </c>
      <c r="K294" s="66" t="s">
        <v>1267</v>
      </c>
      <c r="L294" s="67" t="s">
        <v>1268</v>
      </c>
      <c r="M294" s="74" t="s">
        <v>1269</v>
      </c>
      <c r="N294" s="426">
        <v>0</v>
      </c>
      <c r="O294" s="427">
        <v>0</v>
      </c>
      <c r="P294" s="71">
        <v>2</v>
      </c>
      <c r="Q294" s="71">
        <v>2</v>
      </c>
      <c r="R294" s="110">
        <v>2</v>
      </c>
      <c r="S294" s="110">
        <v>2</v>
      </c>
      <c r="T294" s="67" t="s">
        <v>921</v>
      </c>
      <c r="U294" s="300" t="s">
        <v>880</v>
      </c>
      <c r="V294" s="74" t="s">
        <v>1270</v>
      </c>
      <c r="W294" s="298">
        <v>1</v>
      </c>
      <c r="X294" s="298">
        <v>0</v>
      </c>
      <c r="Y294" s="298">
        <v>0</v>
      </c>
      <c r="Z294" s="299">
        <v>1</v>
      </c>
      <c r="AA294" s="299">
        <v>1</v>
      </c>
      <c r="AB294" s="300">
        <v>0</v>
      </c>
      <c r="AC294" s="301">
        <v>1</v>
      </c>
      <c r="AD294" s="301">
        <v>0</v>
      </c>
      <c r="AE294" s="305">
        <f t="shared" si="9"/>
        <v>0.5</v>
      </c>
      <c r="AF294" s="63">
        <v>0</v>
      </c>
      <c r="AG294" s="73">
        <v>0</v>
      </c>
      <c r="AH294" s="73">
        <v>0</v>
      </c>
      <c r="AI294" s="82">
        <v>0.5</v>
      </c>
      <c r="AJ294" s="82">
        <v>0.5</v>
      </c>
      <c r="AK294" s="124"/>
      <c r="AL294" s="124"/>
      <c r="AM294" s="147">
        <f t="shared" si="8"/>
        <v>0</v>
      </c>
      <c r="AN294" s="81" t="s">
        <v>921</v>
      </c>
      <c r="AO294" s="74" t="s">
        <v>880</v>
      </c>
      <c r="AP294" s="67" t="s">
        <v>1271</v>
      </c>
    </row>
    <row r="295" spans="1:42" s="300" customFormat="1" x14ac:dyDescent="0.3">
      <c r="A295" s="66" t="s">
        <v>30</v>
      </c>
      <c r="B295" s="67" t="s">
        <v>31</v>
      </c>
      <c r="C295" s="68" t="s">
        <v>1251</v>
      </c>
      <c r="D295" s="69" t="s">
        <v>1252</v>
      </c>
      <c r="E295" s="68" t="s">
        <v>1253</v>
      </c>
      <c r="F295" s="69" t="s">
        <v>1254</v>
      </c>
      <c r="G295" s="68" t="s">
        <v>1255</v>
      </c>
      <c r="H295" s="69" t="s">
        <v>1256</v>
      </c>
      <c r="I295" s="69" t="s">
        <v>1257</v>
      </c>
      <c r="J295" s="69" t="s">
        <v>1258</v>
      </c>
      <c r="K295" s="66" t="s">
        <v>1272</v>
      </c>
      <c r="L295" s="67" t="s">
        <v>1273</v>
      </c>
      <c r="M295" s="74" t="s">
        <v>1274</v>
      </c>
      <c r="N295" s="426"/>
      <c r="O295" s="427">
        <v>0</v>
      </c>
      <c r="P295" s="71"/>
      <c r="Q295" s="71">
        <v>1</v>
      </c>
      <c r="R295" s="110">
        <v>2</v>
      </c>
      <c r="S295" s="110">
        <v>2</v>
      </c>
      <c r="T295" s="67" t="s">
        <v>921</v>
      </c>
      <c r="U295" s="300" t="s">
        <v>880</v>
      </c>
      <c r="V295" s="74" t="s">
        <v>1275</v>
      </c>
      <c r="W295" s="298">
        <v>1</v>
      </c>
      <c r="X295" s="298">
        <v>0</v>
      </c>
      <c r="Y295" s="298">
        <v>1</v>
      </c>
      <c r="Z295" s="299">
        <v>1</v>
      </c>
      <c r="AA295" s="299">
        <v>1</v>
      </c>
      <c r="AB295" s="300">
        <v>0</v>
      </c>
      <c r="AC295" s="301">
        <v>1</v>
      </c>
      <c r="AD295" s="301">
        <v>0</v>
      </c>
      <c r="AE295" s="305">
        <f t="shared" si="9"/>
        <v>0.625</v>
      </c>
      <c r="AF295" s="63">
        <v>0</v>
      </c>
      <c r="AG295" s="73">
        <v>0</v>
      </c>
      <c r="AH295" s="73">
        <v>0</v>
      </c>
      <c r="AI295" s="82"/>
      <c r="AJ295" s="82"/>
      <c r="AK295" s="124"/>
      <c r="AL295" s="124"/>
      <c r="AM295" s="147">
        <f t="shared" si="8"/>
        <v>0</v>
      </c>
      <c r="AN295" s="81" t="s">
        <v>921</v>
      </c>
      <c r="AO295" s="74" t="s">
        <v>880</v>
      </c>
      <c r="AP295" s="67" t="s">
        <v>1276</v>
      </c>
    </row>
    <row r="296" spans="1:42" s="300" customFormat="1" x14ac:dyDescent="0.3">
      <c r="A296" s="66" t="s">
        <v>30</v>
      </c>
      <c r="B296" s="67" t="s">
        <v>31</v>
      </c>
      <c r="C296" s="68" t="s">
        <v>1251</v>
      </c>
      <c r="D296" s="69" t="s">
        <v>1252</v>
      </c>
      <c r="E296" s="68" t="s">
        <v>1253</v>
      </c>
      <c r="F296" s="69" t="s">
        <v>1254</v>
      </c>
      <c r="G296" s="68" t="s">
        <v>1255</v>
      </c>
      <c r="H296" s="69" t="s">
        <v>1256</v>
      </c>
      <c r="I296" s="69" t="s">
        <v>1257</v>
      </c>
      <c r="J296" s="69" t="s">
        <v>1258</v>
      </c>
      <c r="K296" s="68" t="s">
        <v>1277</v>
      </c>
      <c r="L296" s="69" t="s">
        <v>1278</v>
      </c>
      <c r="M296" s="74" t="s">
        <v>247</v>
      </c>
      <c r="N296" s="426"/>
      <c r="O296" s="74">
        <v>100</v>
      </c>
      <c r="P296" s="71">
        <v>100</v>
      </c>
      <c r="Q296" s="71">
        <v>100</v>
      </c>
      <c r="R296" s="110">
        <v>100</v>
      </c>
      <c r="S296" s="110">
        <v>100</v>
      </c>
      <c r="T296" s="67" t="s">
        <v>265</v>
      </c>
      <c r="U296" s="300" t="s">
        <v>350</v>
      </c>
      <c r="V296" s="67" t="s">
        <v>1279</v>
      </c>
      <c r="W296" s="298">
        <v>1</v>
      </c>
      <c r="X296" s="298">
        <v>0</v>
      </c>
      <c r="Y296" s="298">
        <v>0</v>
      </c>
      <c r="Z296" s="299">
        <v>1</v>
      </c>
      <c r="AA296" s="299">
        <v>1</v>
      </c>
      <c r="AB296" s="300">
        <v>0</v>
      </c>
      <c r="AC296" s="301">
        <v>1</v>
      </c>
      <c r="AD296" s="301">
        <v>1</v>
      </c>
      <c r="AE296" s="305">
        <f t="shared" si="9"/>
        <v>0.625</v>
      </c>
      <c r="AF296" s="63">
        <v>0</v>
      </c>
      <c r="AG296" s="73">
        <v>0</v>
      </c>
      <c r="AH296" s="73">
        <v>2</v>
      </c>
      <c r="AI296" s="73">
        <v>4</v>
      </c>
      <c r="AJ296" s="73">
        <v>4</v>
      </c>
      <c r="AK296" s="127">
        <v>0.8</v>
      </c>
      <c r="AL296" s="127">
        <v>1.2</v>
      </c>
      <c r="AM296" s="147">
        <f t="shared" si="8"/>
        <v>2</v>
      </c>
      <c r="AN296" s="300" t="s">
        <v>265</v>
      </c>
      <c r="AO296" s="74" t="s">
        <v>350</v>
      </c>
      <c r="AP296" s="67" t="s">
        <v>982</v>
      </c>
    </row>
    <row r="297" spans="1:42" s="300" customFormat="1" x14ac:dyDescent="0.3">
      <c r="A297" s="66" t="s">
        <v>30</v>
      </c>
      <c r="B297" s="67" t="s">
        <v>31</v>
      </c>
      <c r="C297" s="68" t="s">
        <v>1251</v>
      </c>
      <c r="D297" s="69" t="s">
        <v>1252</v>
      </c>
      <c r="E297" s="68" t="s">
        <v>1253</v>
      </c>
      <c r="F297" s="69" t="s">
        <v>1254</v>
      </c>
      <c r="G297" s="68" t="s">
        <v>1255</v>
      </c>
      <c r="H297" s="69" t="s">
        <v>1256</v>
      </c>
      <c r="I297" s="69" t="s">
        <v>1257</v>
      </c>
      <c r="J297" s="69" t="s">
        <v>1258</v>
      </c>
      <c r="K297" s="66" t="s">
        <v>1280</v>
      </c>
      <c r="L297" s="67" t="s">
        <v>1281</v>
      </c>
      <c r="M297" s="74" t="s">
        <v>1282</v>
      </c>
      <c r="N297" s="426"/>
      <c r="O297" s="427">
        <v>0</v>
      </c>
      <c r="P297" s="71"/>
      <c r="Q297" s="71">
        <v>1</v>
      </c>
      <c r="R297" s="110">
        <v>1</v>
      </c>
      <c r="S297" s="110"/>
      <c r="T297" s="67" t="s">
        <v>1283</v>
      </c>
      <c r="U297" s="300" t="s">
        <v>880</v>
      </c>
      <c r="V297" s="74" t="s">
        <v>1284</v>
      </c>
      <c r="W297" s="298">
        <v>1</v>
      </c>
      <c r="X297" s="298">
        <v>0</v>
      </c>
      <c r="Y297" s="298">
        <v>0</v>
      </c>
      <c r="Z297" s="299">
        <v>1</v>
      </c>
      <c r="AA297" s="299">
        <v>1</v>
      </c>
      <c r="AB297" s="300">
        <v>0</v>
      </c>
      <c r="AC297" s="301">
        <v>1</v>
      </c>
      <c r="AD297" s="301">
        <v>0</v>
      </c>
      <c r="AE297" s="305">
        <f t="shared" si="9"/>
        <v>0.5</v>
      </c>
      <c r="AF297" s="63">
        <v>0</v>
      </c>
      <c r="AG297" s="73">
        <v>0</v>
      </c>
      <c r="AH297" s="73">
        <v>0</v>
      </c>
      <c r="AI297" s="82"/>
      <c r="AJ297" s="82"/>
      <c r="AK297" s="124"/>
      <c r="AL297" s="124"/>
      <c r="AM297" s="147">
        <f t="shared" si="8"/>
        <v>0</v>
      </c>
      <c r="AN297" s="74" t="s">
        <v>1285</v>
      </c>
      <c r="AO297" s="74" t="s">
        <v>880</v>
      </c>
      <c r="AP297" s="74" t="s">
        <v>1191</v>
      </c>
    </row>
    <row r="298" spans="1:42" s="300" customFormat="1" x14ac:dyDescent="0.3">
      <c r="A298" s="66" t="s">
        <v>30</v>
      </c>
      <c r="B298" s="67" t="s">
        <v>31</v>
      </c>
      <c r="C298" s="68" t="s">
        <v>1251</v>
      </c>
      <c r="D298" s="69" t="s">
        <v>1252</v>
      </c>
      <c r="E298" s="68" t="s">
        <v>1253</v>
      </c>
      <c r="F298" s="69" t="s">
        <v>1254</v>
      </c>
      <c r="G298" s="68" t="s">
        <v>1255</v>
      </c>
      <c r="H298" s="69" t="s">
        <v>1256</v>
      </c>
      <c r="I298" s="69" t="s">
        <v>1257</v>
      </c>
      <c r="J298" s="69" t="s">
        <v>1258</v>
      </c>
      <c r="K298" s="66" t="s">
        <v>1286</v>
      </c>
      <c r="L298" s="67" t="s">
        <v>1287</v>
      </c>
      <c r="M298" s="74" t="s">
        <v>1288</v>
      </c>
      <c r="N298" s="426"/>
      <c r="O298" s="427">
        <v>0</v>
      </c>
      <c r="P298" s="71">
        <v>500</v>
      </c>
      <c r="Q298" s="71">
        <v>500</v>
      </c>
      <c r="R298" s="110">
        <v>500</v>
      </c>
      <c r="S298" s="110">
        <v>500</v>
      </c>
      <c r="T298" s="67" t="s">
        <v>921</v>
      </c>
      <c r="U298" s="300" t="s">
        <v>880</v>
      </c>
      <c r="V298" s="74" t="s">
        <v>1289</v>
      </c>
      <c r="W298" s="298">
        <v>1</v>
      </c>
      <c r="X298" s="298">
        <v>0</v>
      </c>
      <c r="Y298" s="298">
        <v>0</v>
      </c>
      <c r="Z298" s="299">
        <v>1</v>
      </c>
      <c r="AA298" s="299">
        <v>1</v>
      </c>
      <c r="AB298" s="300">
        <v>0</v>
      </c>
      <c r="AC298" s="301">
        <v>1</v>
      </c>
      <c r="AD298" s="301">
        <v>0</v>
      </c>
      <c r="AE298" s="305">
        <f t="shared" si="9"/>
        <v>0.5</v>
      </c>
      <c r="AF298" s="63">
        <v>0</v>
      </c>
      <c r="AG298" s="73">
        <v>0</v>
      </c>
      <c r="AH298" s="73">
        <v>0</v>
      </c>
      <c r="AI298" s="82">
        <v>1</v>
      </c>
      <c r="AJ298" s="82">
        <v>1</v>
      </c>
      <c r="AK298" s="124"/>
      <c r="AL298" s="124"/>
      <c r="AM298" s="147">
        <f t="shared" si="8"/>
        <v>0</v>
      </c>
      <c r="AN298" s="74" t="s">
        <v>921</v>
      </c>
      <c r="AO298" s="74" t="s">
        <v>880</v>
      </c>
      <c r="AP298" s="67" t="s">
        <v>1290</v>
      </c>
    </row>
    <row r="299" spans="1:42" s="300" customFormat="1" x14ac:dyDescent="0.3">
      <c r="A299" s="66" t="s">
        <v>30</v>
      </c>
      <c r="B299" s="67" t="s">
        <v>31</v>
      </c>
      <c r="C299" s="68" t="s">
        <v>1251</v>
      </c>
      <c r="D299" s="69" t="s">
        <v>1252</v>
      </c>
      <c r="E299" s="68" t="s">
        <v>1253</v>
      </c>
      <c r="F299" s="69" t="s">
        <v>1254</v>
      </c>
      <c r="G299" s="68" t="s">
        <v>1255</v>
      </c>
      <c r="H299" s="69" t="s">
        <v>1256</v>
      </c>
      <c r="I299" s="69" t="s">
        <v>1257</v>
      </c>
      <c r="J299" s="69" t="s">
        <v>1258</v>
      </c>
      <c r="K299" s="66" t="s">
        <v>1291</v>
      </c>
      <c r="L299" s="67" t="s">
        <v>1292</v>
      </c>
      <c r="M299" s="74" t="s">
        <v>1293</v>
      </c>
      <c r="N299" s="426"/>
      <c r="O299" s="427">
        <v>0</v>
      </c>
      <c r="P299" s="83">
        <v>10000</v>
      </c>
      <c r="Q299" s="83">
        <v>40000</v>
      </c>
      <c r="R299" s="118">
        <v>8000</v>
      </c>
      <c r="S299" s="118">
        <v>10000</v>
      </c>
      <c r="T299" s="84" t="s">
        <v>921</v>
      </c>
      <c r="U299" s="300" t="s">
        <v>880</v>
      </c>
      <c r="V299" s="74" t="s">
        <v>1294</v>
      </c>
      <c r="W299" s="298">
        <v>1</v>
      </c>
      <c r="X299" s="298">
        <v>1</v>
      </c>
      <c r="Y299" s="298">
        <v>0</v>
      </c>
      <c r="Z299" s="299">
        <v>0</v>
      </c>
      <c r="AA299" s="299">
        <v>1</v>
      </c>
      <c r="AB299" s="300">
        <v>1</v>
      </c>
      <c r="AC299" s="301">
        <v>1</v>
      </c>
      <c r="AD299" s="301">
        <v>0</v>
      </c>
      <c r="AE299" s="305">
        <f t="shared" si="9"/>
        <v>0.625</v>
      </c>
      <c r="AF299" s="63">
        <v>0</v>
      </c>
      <c r="AG299" s="73">
        <v>0</v>
      </c>
      <c r="AH299" s="73">
        <v>0</v>
      </c>
      <c r="AI299" s="82">
        <v>1</v>
      </c>
      <c r="AJ299" s="82">
        <v>1</v>
      </c>
      <c r="AK299" s="138">
        <v>0.8</v>
      </c>
      <c r="AL299" s="124">
        <v>1</v>
      </c>
      <c r="AM299" s="147">
        <f t="shared" si="8"/>
        <v>1.8</v>
      </c>
      <c r="AN299" s="74" t="s">
        <v>921</v>
      </c>
      <c r="AO299" s="74" t="s">
        <v>880</v>
      </c>
      <c r="AP299" s="67" t="s">
        <v>1276</v>
      </c>
    </row>
    <row r="300" spans="1:42" x14ac:dyDescent="0.3">
      <c r="A300" s="9" t="s">
        <v>30</v>
      </c>
      <c r="B300" s="10" t="s">
        <v>31</v>
      </c>
      <c r="C300" s="11" t="s">
        <v>1251</v>
      </c>
      <c r="D300" s="12" t="s">
        <v>1252</v>
      </c>
      <c r="E300" s="11" t="s">
        <v>1253</v>
      </c>
      <c r="F300" s="12" t="s">
        <v>1254</v>
      </c>
      <c r="G300" s="11" t="s">
        <v>1255</v>
      </c>
      <c r="H300" s="12" t="s">
        <v>1256</v>
      </c>
      <c r="I300" s="12" t="s">
        <v>1257</v>
      </c>
      <c r="J300" s="12" t="s">
        <v>1258</v>
      </c>
      <c r="K300" s="9" t="s">
        <v>1295</v>
      </c>
      <c r="L300" s="10" t="s">
        <v>1296</v>
      </c>
      <c r="M300" s="18" t="s">
        <v>1297</v>
      </c>
      <c r="N300" s="424"/>
      <c r="O300" s="176">
        <v>0</v>
      </c>
      <c r="P300" s="16">
        <v>1</v>
      </c>
      <c r="Q300" s="16">
        <v>1</v>
      </c>
      <c r="R300" s="110">
        <v>1</v>
      </c>
      <c r="S300" s="110">
        <v>1</v>
      </c>
      <c r="T300" s="10" t="s">
        <v>921</v>
      </c>
      <c r="U300" s="283" t="s">
        <v>880</v>
      </c>
      <c r="V300" s="18" t="s">
        <v>1298</v>
      </c>
      <c r="W300" s="298">
        <v>1</v>
      </c>
      <c r="X300" s="298">
        <v>1</v>
      </c>
      <c r="Y300" s="298">
        <v>0</v>
      </c>
      <c r="Z300" s="299">
        <v>0</v>
      </c>
      <c r="AA300" s="299">
        <v>1</v>
      </c>
      <c r="AB300" s="300">
        <v>1</v>
      </c>
      <c r="AC300" s="301">
        <v>1</v>
      </c>
      <c r="AD300" s="301">
        <v>0</v>
      </c>
      <c r="AE300" s="302">
        <f t="shared" si="9"/>
        <v>0.625</v>
      </c>
      <c r="AF300" s="63">
        <v>0</v>
      </c>
      <c r="AG300" s="17">
        <v>0</v>
      </c>
      <c r="AH300" s="17">
        <v>0</v>
      </c>
      <c r="AI300" s="36"/>
      <c r="AJ300" s="36"/>
      <c r="AK300" s="124"/>
      <c r="AL300" s="138">
        <v>0.95</v>
      </c>
      <c r="AM300" s="147">
        <f t="shared" si="8"/>
        <v>0.95</v>
      </c>
      <c r="AN300" s="18" t="s">
        <v>921</v>
      </c>
      <c r="AO300" s="18" t="s">
        <v>880</v>
      </c>
      <c r="AP300" s="10" t="s">
        <v>1290</v>
      </c>
    </row>
    <row r="301" spans="1:42" x14ac:dyDescent="0.3">
      <c r="A301" s="9" t="s">
        <v>30</v>
      </c>
      <c r="B301" s="10" t="s">
        <v>31</v>
      </c>
      <c r="C301" s="11" t="s">
        <v>1251</v>
      </c>
      <c r="D301" s="12" t="s">
        <v>1252</v>
      </c>
      <c r="E301" s="11" t="s">
        <v>1253</v>
      </c>
      <c r="F301" s="12" t="s">
        <v>1254</v>
      </c>
      <c r="G301" s="11" t="s">
        <v>1255</v>
      </c>
      <c r="H301" s="12" t="s">
        <v>1256</v>
      </c>
      <c r="I301" s="12" t="s">
        <v>1257</v>
      </c>
      <c r="J301" s="12" t="s">
        <v>1258</v>
      </c>
      <c r="K301" s="9" t="s">
        <v>1299</v>
      </c>
      <c r="L301" s="10" t="s">
        <v>1300</v>
      </c>
      <c r="M301" s="18" t="s">
        <v>1301</v>
      </c>
      <c r="N301" s="424"/>
      <c r="O301" s="176">
        <v>0</v>
      </c>
      <c r="P301" s="16"/>
      <c r="Q301" s="16">
        <v>1</v>
      </c>
      <c r="R301" s="110"/>
      <c r="S301" s="110"/>
      <c r="T301" s="10" t="s">
        <v>1302</v>
      </c>
      <c r="U301" s="283" t="s">
        <v>880</v>
      </c>
      <c r="V301" s="18" t="s">
        <v>1303</v>
      </c>
      <c r="W301" s="298">
        <v>0</v>
      </c>
      <c r="X301" s="298">
        <v>0</v>
      </c>
      <c r="Y301" s="298">
        <v>0</v>
      </c>
      <c r="Z301" s="299">
        <v>0</v>
      </c>
      <c r="AA301" s="299">
        <v>0</v>
      </c>
      <c r="AB301" s="300">
        <v>0</v>
      </c>
      <c r="AC301" s="301">
        <v>0</v>
      </c>
      <c r="AD301" s="301">
        <v>0</v>
      </c>
      <c r="AE301" s="302">
        <f t="shared" si="9"/>
        <v>0</v>
      </c>
      <c r="AF301" s="63">
        <v>0</v>
      </c>
      <c r="AG301" s="17">
        <v>0</v>
      </c>
      <c r="AH301" s="17">
        <v>0</v>
      </c>
      <c r="AI301" s="36">
        <v>1</v>
      </c>
      <c r="AJ301" s="36">
        <v>0.5</v>
      </c>
      <c r="AK301" s="124"/>
      <c r="AL301" s="124"/>
      <c r="AM301" s="147">
        <f t="shared" si="8"/>
        <v>0</v>
      </c>
      <c r="AN301" s="18" t="s">
        <v>1302</v>
      </c>
      <c r="AO301" s="18" t="s">
        <v>880</v>
      </c>
      <c r="AP301" s="10" t="s">
        <v>1304</v>
      </c>
    </row>
    <row r="302" spans="1:42" x14ac:dyDescent="0.3">
      <c r="A302" s="9" t="s">
        <v>30</v>
      </c>
      <c r="B302" s="10" t="s">
        <v>31</v>
      </c>
      <c r="C302" s="11" t="s">
        <v>1251</v>
      </c>
      <c r="D302" s="12" t="s">
        <v>1252</v>
      </c>
      <c r="E302" s="11" t="s">
        <v>1253</v>
      </c>
      <c r="F302" s="12" t="s">
        <v>1254</v>
      </c>
      <c r="G302" s="11" t="s">
        <v>1255</v>
      </c>
      <c r="H302" s="12" t="s">
        <v>1256</v>
      </c>
      <c r="I302" s="12" t="s">
        <v>1257</v>
      </c>
      <c r="J302" s="12" t="s">
        <v>1258</v>
      </c>
      <c r="K302" s="9" t="s">
        <v>1305</v>
      </c>
      <c r="L302" s="10" t="s">
        <v>1306</v>
      </c>
      <c r="M302" s="18" t="s">
        <v>1307</v>
      </c>
      <c r="N302" s="424"/>
      <c r="O302" s="441">
        <v>31.45</v>
      </c>
      <c r="P302" s="42">
        <v>41.898092701011819</v>
      </c>
      <c r="Q302" s="42">
        <v>40</v>
      </c>
      <c r="R302" s="145">
        <v>25</v>
      </c>
      <c r="S302" s="122">
        <v>50</v>
      </c>
      <c r="T302" s="43" t="s">
        <v>921</v>
      </c>
      <c r="U302" s="283" t="s">
        <v>880</v>
      </c>
      <c r="V302" s="18" t="s">
        <v>1308</v>
      </c>
      <c r="W302" s="298">
        <v>1</v>
      </c>
      <c r="X302" s="298">
        <v>1</v>
      </c>
      <c r="Y302" s="298">
        <v>1</v>
      </c>
      <c r="Z302" s="299">
        <v>1</v>
      </c>
      <c r="AA302" s="299">
        <v>1</v>
      </c>
      <c r="AB302" s="300">
        <v>1</v>
      </c>
      <c r="AC302" s="301">
        <v>1</v>
      </c>
      <c r="AD302" s="301">
        <v>0</v>
      </c>
      <c r="AE302" s="302">
        <f t="shared" si="9"/>
        <v>0.875</v>
      </c>
      <c r="AF302" s="63">
        <v>0</v>
      </c>
      <c r="AG302" s="17">
        <v>0</v>
      </c>
      <c r="AH302" s="36">
        <v>31.452232854253225</v>
      </c>
      <c r="AI302" s="36">
        <v>41.898092701011819</v>
      </c>
      <c r="AJ302" s="36">
        <v>40</v>
      </c>
      <c r="AK302" s="138">
        <v>25</v>
      </c>
      <c r="AL302" s="124">
        <v>50</v>
      </c>
      <c r="AM302" s="147">
        <f t="shared" si="8"/>
        <v>75</v>
      </c>
      <c r="AN302" s="18" t="s">
        <v>921</v>
      </c>
      <c r="AO302" s="18" t="s">
        <v>880</v>
      </c>
      <c r="AP302" s="10" t="s">
        <v>1309</v>
      </c>
    </row>
    <row r="303" spans="1:42" x14ac:dyDescent="0.3">
      <c r="A303" s="9" t="s">
        <v>30</v>
      </c>
      <c r="B303" s="10" t="s">
        <v>31</v>
      </c>
      <c r="C303" s="11" t="s">
        <v>1251</v>
      </c>
      <c r="D303" s="12" t="s">
        <v>1252</v>
      </c>
      <c r="E303" s="11" t="s">
        <v>1253</v>
      </c>
      <c r="F303" s="12" t="s">
        <v>1254</v>
      </c>
      <c r="G303" s="11" t="s">
        <v>1255</v>
      </c>
      <c r="H303" s="12" t="s">
        <v>1256</v>
      </c>
      <c r="I303" s="12" t="s">
        <v>1257</v>
      </c>
      <c r="J303" s="12" t="s">
        <v>1258</v>
      </c>
      <c r="K303" s="9" t="s">
        <v>1310</v>
      </c>
      <c r="L303" s="10" t="s">
        <v>1311</v>
      </c>
      <c r="M303" s="18" t="s">
        <v>1312</v>
      </c>
      <c r="N303" s="424"/>
      <c r="O303" s="14">
        <v>0</v>
      </c>
      <c r="P303" s="16">
        <v>5</v>
      </c>
      <c r="Q303" s="16">
        <v>14</v>
      </c>
      <c r="R303" s="126">
        <v>8</v>
      </c>
      <c r="S303" s="126">
        <v>12</v>
      </c>
      <c r="T303" s="10" t="s">
        <v>336</v>
      </c>
      <c r="U303" s="283" t="s">
        <v>118</v>
      </c>
      <c r="V303" s="18" t="s">
        <v>1313</v>
      </c>
      <c r="W303" s="298">
        <v>1</v>
      </c>
      <c r="X303" s="298">
        <v>1</v>
      </c>
      <c r="Y303" s="298">
        <v>1</v>
      </c>
      <c r="Z303" s="299">
        <v>1</v>
      </c>
      <c r="AA303" s="299">
        <v>1</v>
      </c>
      <c r="AB303" s="300">
        <v>1</v>
      </c>
      <c r="AC303" s="301">
        <v>1</v>
      </c>
      <c r="AD303" s="301">
        <v>0</v>
      </c>
      <c r="AE303" s="302">
        <f t="shared" si="9"/>
        <v>0.875</v>
      </c>
      <c r="AF303" s="63">
        <v>0</v>
      </c>
      <c r="AG303" s="17">
        <v>0</v>
      </c>
      <c r="AH303" s="17">
        <v>0</v>
      </c>
      <c r="AI303" s="36">
        <v>2</v>
      </c>
      <c r="AJ303" s="36">
        <v>5</v>
      </c>
      <c r="AK303" s="138">
        <v>2</v>
      </c>
      <c r="AL303" s="138">
        <v>4.3404255319148941</v>
      </c>
      <c r="AM303" s="147">
        <f t="shared" si="8"/>
        <v>6.3404255319148941</v>
      </c>
      <c r="AN303" s="18" t="s">
        <v>336</v>
      </c>
      <c r="AO303" s="18" t="s">
        <v>118</v>
      </c>
      <c r="AP303" s="10" t="s">
        <v>1314</v>
      </c>
    </row>
    <row r="304" spans="1:42" x14ac:dyDescent="0.3">
      <c r="A304" s="9" t="s">
        <v>30</v>
      </c>
      <c r="B304" s="10" t="s">
        <v>31</v>
      </c>
      <c r="C304" s="11" t="s">
        <v>1251</v>
      </c>
      <c r="D304" s="12" t="s">
        <v>1252</v>
      </c>
      <c r="E304" s="11" t="s">
        <v>1253</v>
      </c>
      <c r="F304" s="12" t="s">
        <v>1254</v>
      </c>
      <c r="G304" s="11" t="s">
        <v>1255</v>
      </c>
      <c r="H304" s="12" t="s">
        <v>1256</v>
      </c>
      <c r="I304" s="12" t="s">
        <v>1315</v>
      </c>
      <c r="J304" s="12" t="s">
        <v>1316</v>
      </c>
      <c r="K304" s="9" t="s">
        <v>1317</v>
      </c>
      <c r="L304" s="10" t="s">
        <v>1318</v>
      </c>
      <c r="M304" s="18" t="s">
        <v>1319</v>
      </c>
      <c r="N304" s="424"/>
      <c r="O304" s="176">
        <v>0</v>
      </c>
      <c r="P304" s="16">
        <v>1</v>
      </c>
      <c r="Q304" s="16">
        <v>3</v>
      </c>
      <c r="R304" s="110">
        <v>5</v>
      </c>
      <c r="S304" s="110">
        <v>10</v>
      </c>
      <c r="T304" s="10" t="s">
        <v>869</v>
      </c>
      <c r="U304" s="283" t="s">
        <v>871</v>
      </c>
      <c r="V304" s="18" t="s">
        <v>1320</v>
      </c>
      <c r="W304" s="298">
        <v>1</v>
      </c>
      <c r="X304" s="298">
        <v>1</v>
      </c>
      <c r="Y304" s="298">
        <v>1</v>
      </c>
      <c r="Z304" s="299">
        <v>1</v>
      </c>
      <c r="AA304" s="299">
        <v>1</v>
      </c>
      <c r="AB304" s="300">
        <v>1</v>
      </c>
      <c r="AC304" s="301">
        <v>1</v>
      </c>
      <c r="AD304" s="301">
        <v>0</v>
      </c>
      <c r="AE304" s="302">
        <f t="shared" si="9"/>
        <v>0.875</v>
      </c>
      <c r="AF304" s="63">
        <v>0</v>
      </c>
      <c r="AG304" s="17">
        <v>0</v>
      </c>
      <c r="AH304" s="17">
        <v>0</v>
      </c>
      <c r="AI304" s="36">
        <v>1</v>
      </c>
      <c r="AJ304" s="36">
        <v>2</v>
      </c>
      <c r="AK304" s="138">
        <v>1.45</v>
      </c>
      <c r="AL304" s="138">
        <v>1.5</v>
      </c>
      <c r="AM304" s="147">
        <f t="shared" si="8"/>
        <v>2.95</v>
      </c>
      <c r="AN304" s="18" t="s">
        <v>869</v>
      </c>
      <c r="AO304" s="18" t="s">
        <v>871</v>
      </c>
      <c r="AP304" s="10" t="s">
        <v>1321</v>
      </c>
    </row>
    <row r="305" spans="1:42" x14ac:dyDescent="0.3">
      <c r="A305" s="9" t="s">
        <v>30</v>
      </c>
      <c r="B305" s="10" t="s">
        <v>31</v>
      </c>
      <c r="C305" s="11" t="s">
        <v>1251</v>
      </c>
      <c r="D305" s="12" t="s">
        <v>1252</v>
      </c>
      <c r="E305" s="11" t="s">
        <v>1253</v>
      </c>
      <c r="F305" s="12" t="s">
        <v>1254</v>
      </c>
      <c r="G305" s="11" t="s">
        <v>1255</v>
      </c>
      <c r="H305" s="12" t="s">
        <v>1256</v>
      </c>
      <c r="I305" s="12" t="s">
        <v>1315</v>
      </c>
      <c r="J305" s="12" t="s">
        <v>1316</v>
      </c>
      <c r="K305" s="9" t="s">
        <v>1322</v>
      </c>
      <c r="L305" s="10" t="s">
        <v>1323</v>
      </c>
      <c r="M305" s="18" t="s">
        <v>1324</v>
      </c>
      <c r="N305" s="424"/>
      <c r="O305" s="176">
        <v>0</v>
      </c>
      <c r="P305" s="16"/>
      <c r="Q305" s="16">
        <v>1</v>
      </c>
      <c r="R305" s="110"/>
      <c r="S305" s="110"/>
      <c r="T305" s="10" t="s">
        <v>1302</v>
      </c>
      <c r="U305" s="283" t="s">
        <v>880</v>
      </c>
      <c r="V305" s="18" t="s">
        <v>1325</v>
      </c>
      <c r="W305" s="298">
        <v>1</v>
      </c>
      <c r="X305" s="298">
        <v>0</v>
      </c>
      <c r="Y305" s="298">
        <v>1</v>
      </c>
      <c r="Z305" s="299">
        <v>1</v>
      </c>
      <c r="AA305" s="299">
        <v>1</v>
      </c>
      <c r="AB305" s="300">
        <v>1</v>
      </c>
      <c r="AC305" s="301">
        <v>1</v>
      </c>
      <c r="AD305" s="301">
        <v>0</v>
      </c>
      <c r="AE305" s="302">
        <f t="shared" si="9"/>
        <v>0.75</v>
      </c>
      <c r="AF305" s="63">
        <v>0</v>
      </c>
      <c r="AG305" s="17">
        <v>0</v>
      </c>
      <c r="AH305" s="17">
        <v>0</v>
      </c>
      <c r="AI305" s="36"/>
      <c r="AJ305" s="36">
        <v>1</v>
      </c>
      <c r="AK305" s="124"/>
      <c r="AL305" s="124"/>
      <c r="AM305" s="147">
        <f t="shared" si="8"/>
        <v>0</v>
      </c>
      <c r="AN305" s="18" t="s">
        <v>1302</v>
      </c>
      <c r="AO305" s="18" t="s">
        <v>880</v>
      </c>
      <c r="AP305" s="10" t="s">
        <v>1326</v>
      </c>
    </row>
    <row r="306" spans="1:42" x14ac:dyDescent="0.3">
      <c r="A306" s="9" t="s">
        <v>30</v>
      </c>
      <c r="B306" s="10" t="s">
        <v>31</v>
      </c>
      <c r="C306" s="11" t="s">
        <v>1251</v>
      </c>
      <c r="D306" s="12" t="s">
        <v>1252</v>
      </c>
      <c r="E306" s="11" t="s">
        <v>1253</v>
      </c>
      <c r="F306" s="12" t="s">
        <v>1254</v>
      </c>
      <c r="G306" s="11" t="s">
        <v>1255</v>
      </c>
      <c r="H306" s="12" t="s">
        <v>1256</v>
      </c>
      <c r="I306" s="12" t="s">
        <v>1327</v>
      </c>
      <c r="J306" s="12" t="s">
        <v>1328</v>
      </c>
      <c r="K306" s="9" t="s">
        <v>1329</v>
      </c>
      <c r="L306" s="10" t="s">
        <v>1330</v>
      </c>
      <c r="M306" s="18" t="s">
        <v>1331</v>
      </c>
      <c r="N306" s="424"/>
      <c r="O306" s="176">
        <v>0</v>
      </c>
      <c r="P306" s="16">
        <v>5</v>
      </c>
      <c r="Q306" s="16">
        <v>10</v>
      </c>
      <c r="R306" s="110">
        <v>10</v>
      </c>
      <c r="S306" s="110">
        <v>20</v>
      </c>
      <c r="T306" s="10" t="s">
        <v>1332</v>
      </c>
      <c r="U306" s="283" t="s">
        <v>1334</v>
      </c>
      <c r="V306" s="18" t="s">
        <v>1333</v>
      </c>
      <c r="W306" s="298">
        <v>0</v>
      </c>
      <c r="X306" s="298">
        <v>0</v>
      </c>
      <c r="Y306" s="298">
        <v>0</v>
      </c>
      <c r="Z306" s="299">
        <v>0</v>
      </c>
      <c r="AA306" s="299">
        <v>0</v>
      </c>
      <c r="AB306" s="300">
        <v>0</v>
      </c>
      <c r="AC306" s="301">
        <v>0</v>
      </c>
      <c r="AD306" s="301">
        <v>0</v>
      </c>
      <c r="AE306" s="302">
        <f t="shared" si="9"/>
        <v>0</v>
      </c>
      <c r="AF306" s="63">
        <v>0</v>
      </c>
      <c r="AG306" s="17">
        <v>0</v>
      </c>
      <c r="AH306" s="17">
        <v>0</v>
      </c>
      <c r="AI306" s="36">
        <v>0.5</v>
      </c>
      <c r="AJ306" s="36">
        <v>0.5</v>
      </c>
      <c r="AK306" s="124"/>
      <c r="AL306" s="124"/>
      <c r="AM306" s="147">
        <f t="shared" si="8"/>
        <v>0</v>
      </c>
      <c r="AN306" s="18" t="s">
        <v>1332</v>
      </c>
      <c r="AO306" s="18" t="s">
        <v>1334</v>
      </c>
      <c r="AP306" s="10" t="s">
        <v>761</v>
      </c>
    </row>
    <row r="307" spans="1:42" x14ac:dyDescent="0.3">
      <c r="A307" s="9" t="s">
        <v>30</v>
      </c>
      <c r="B307" s="10" t="s">
        <v>31</v>
      </c>
      <c r="C307" s="11" t="s">
        <v>1251</v>
      </c>
      <c r="D307" s="12" t="s">
        <v>1252</v>
      </c>
      <c r="E307" s="11" t="s">
        <v>1253</v>
      </c>
      <c r="F307" s="12" t="s">
        <v>1254</v>
      </c>
      <c r="G307" s="11" t="s">
        <v>1255</v>
      </c>
      <c r="H307" s="12" t="s">
        <v>1256</v>
      </c>
      <c r="I307" s="12" t="s">
        <v>1327</v>
      </c>
      <c r="J307" s="12" t="s">
        <v>1328</v>
      </c>
      <c r="K307" s="9" t="s">
        <v>1335</v>
      </c>
      <c r="L307" s="10" t="s">
        <v>1336</v>
      </c>
      <c r="M307" s="18" t="s">
        <v>1337</v>
      </c>
      <c r="N307" s="424"/>
      <c r="O307" s="176">
        <v>0</v>
      </c>
      <c r="P307" s="16">
        <v>20</v>
      </c>
      <c r="Q307" s="16">
        <v>35</v>
      </c>
      <c r="R307" s="110">
        <v>50</v>
      </c>
      <c r="S307" s="110">
        <v>50</v>
      </c>
      <c r="T307" s="10" t="s">
        <v>798</v>
      </c>
      <c r="U307" s="283" t="s">
        <v>350</v>
      </c>
      <c r="V307" s="18" t="s">
        <v>1338</v>
      </c>
      <c r="W307" s="298">
        <v>1</v>
      </c>
      <c r="X307" s="298">
        <v>0</v>
      </c>
      <c r="Y307" s="298">
        <v>0</v>
      </c>
      <c r="Z307" s="299">
        <v>1</v>
      </c>
      <c r="AA307" s="299">
        <v>0</v>
      </c>
      <c r="AB307" s="300">
        <v>1</v>
      </c>
      <c r="AC307" s="301">
        <v>0</v>
      </c>
      <c r="AD307" s="301">
        <v>0</v>
      </c>
      <c r="AE307" s="302">
        <f t="shared" si="9"/>
        <v>0.375</v>
      </c>
      <c r="AF307" s="63">
        <v>0</v>
      </c>
      <c r="AG307" s="17">
        <v>0</v>
      </c>
      <c r="AH307" s="17">
        <v>0</v>
      </c>
      <c r="AI307" s="36">
        <v>3</v>
      </c>
      <c r="AJ307" s="36">
        <v>4</v>
      </c>
      <c r="AK307" s="124"/>
      <c r="AL307" s="124"/>
      <c r="AM307" s="147">
        <f t="shared" si="8"/>
        <v>0</v>
      </c>
      <c r="AN307" s="10" t="s">
        <v>619</v>
      </c>
      <c r="AO307" s="18" t="s">
        <v>350</v>
      </c>
      <c r="AP307" s="10" t="s">
        <v>1339</v>
      </c>
    </row>
    <row r="308" spans="1:42" x14ac:dyDescent="0.3">
      <c r="A308" s="9" t="s">
        <v>30</v>
      </c>
      <c r="B308" s="10" t="s">
        <v>31</v>
      </c>
      <c r="C308" s="11" t="s">
        <v>1251</v>
      </c>
      <c r="D308" s="12" t="s">
        <v>1252</v>
      </c>
      <c r="E308" s="11" t="s">
        <v>1253</v>
      </c>
      <c r="F308" s="12" t="s">
        <v>1254</v>
      </c>
      <c r="G308" s="11" t="s">
        <v>1255</v>
      </c>
      <c r="H308" s="12" t="s">
        <v>1256</v>
      </c>
      <c r="I308" s="12" t="s">
        <v>1340</v>
      </c>
      <c r="J308" s="12" t="s">
        <v>1341</v>
      </c>
      <c r="K308" s="9" t="s">
        <v>1342</v>
      </c>
      <c r="L308" s="10" t="s">
        <v>1343</v>
      </c>
      <c r="M308" s="18" t="s">
        <v>1344</v>
      </c>
      <c r="N308" s="424"/>
      <c r="O308" s="176">
        <v>0</v>
      </c>
      <c r="P308" s="16">
        <v>2</v>
      </c>
      <c r="Q308" s="16">
        <v>2</v>
      </c>
      <c r="R308" s="110">
        <v>2</v>
      </c>
      <c r="S308" s="110">
        <v>2</v>
      </c>
      <c r="T308" s="10" t="s">
        <v>1345</v>
      </c>
      <c r="U308" s="283" t="s">
        <v>1334</v>
      </c>
      <c r="V308" s="18" t="s">
        <v>1346</v>
      </c>
      <c r="W308" s="298">
        <v>1</v>
      </c>
      <c r="X308" s="298">
        <v>0</v>
      </c>
      <c r="Y308" s="298">
        <v>0</v>
      </c>
      <c r="Z308" s="299">
        <v>0</v>
      </c>
      <c r="AA308" s="299">
        <v>0</v>
      </c>
      <c r="AB308" s="300">
        <v>0</v>
      </c>
      <c r="AC308" s="301">
        <v>0</v>
      </c>
      <c r="AD308" s="301">
        <v>0</v>
      </c>
      <c r="AE308" s="302">
        <f t="shared" si="9"/>
        <v>0.125</v>
      </c>
      <c r="AF308" s="63">
        <v>0</v>
      </c>
      <c r="AG308" s="17">
        <v>0</v>
      </c>
      <c r="AH308" s="17">
        <v>0</v>
      </c>
      <c r="AI308" s="36"/>
      <c r="AJ308" s="36">
        <v>2</v>
      </c>
      <c r="AK308" s="124"/>
      <c r="AL308" s="124"/>
      <c r="AM308" s="147">
        <f t="shared" si="8"/>
        <v>0</v>
      </c>
      <c r="AN308" s="10" t="s">
        <v>1345</v>
      </c>
      <c r="AO308" s="18" t="s">
        <v>1334</v>
      </c>
      <c r="AP308" s="10" t="s">
        <v>1347</v>
      </c>
    </row>
    <row r="309" spans="1:42" x14ac:dyDescent="0.3">
      <c r="A309" s="9" t="s">
        <v>30</v>
      </c>
      <c r="B309" s="10" t="s">
        <v>31</v>
      </c>
      <c r="C309" s="11" t="s">
        <v>1251</v>
      </c>
      <c r="D309" s="12" t="s">
        <v>1252</v>
      </c>
      <c r="E309" s="11" t="s">
        <v>1253</v>
      </c>
      <c r="F309" s="12" t="s">
        <v>1254</v>
      </c>
      <c r="G309" s="11" t="s">
        <v>1255</v>
      </c>
      <c r="H309" s="12" t="s">
        <v>1256</v>
      </c>
      <c r="I309" s="12" t="s">
        <v>1340</v>
      </c>
      <c r="J309" s="12" t="s">
        <v>1341</v>
      </c>
      <c r="K309" s="9" t="s">
        <v>1348</v>
      </c>
      <c r="L309" s="10" t="s">
        <v>1349</v>
      </c>
      <c r="M309" s="18" t="s">
        <v>1350</v>
      </c>
      <c r="N309" s="424"/>
      <c r="O309" s="176">
        <v>0</v>
      </c>
      <c r="P309" s="16">
        <v>1</v>
      </c>
      <c r="Q309" s="16">
        <v>3</v>
      </c>
      <c r="R309" s="110">
        <v>7</v>
      </c>
      <c r="S309" s="110">
        <v>7</v>
      </c>
      <c r="T309" s="10" t="s">
        <v>921</v>
      </c>
      <c r="U309" s="283" t="s">
        <v>880</v>
      </c>
      <c r="V309" s="18" t="s">
        <v>1351</v>
      </c>
      <c r="W309" s="298">
        <v>0</v>
      </c>
      <c r="X309" s="298">
        <v>0</v>
      </c>
      <c r="Y309" s="298">
        <v>0</v>
      </c>
      <c r="Z309" s="299">
        <v>0</v>
      </c>
      <c r="AA309" s="299">
        <v>0</v>
      </c>
      <c r="AB309" s="300">
        <v>0</v>
      </c>
      <c r="AC309" s="301">
        <v>0</v>
      </c>
      <c r="AD309" s="301">
        <v>0</v>
      </c>
      <c r="AE309" s="302">
        <f t="shared" si="9"/>
        <v>0</v>
      </c>
      <c r="AF309" s="63">
        <v>0</v>
      </c>
      <c r="AG309" s="17">
        <v>0</v>
      </c>
      <c r="AH309" s="17">
        <v>0</v>
      </c>
      <c r="AI309" s="36">
        <v>1</v>
      </c>
      <c r="AJ309" s="36">
        <v>1</v>
      </c>
      <c r="AK309" s="124"/>
      <c r="AL309" s="124"/>
      <c r="AM309" s="147">
        <f t="shared" si="8"/>
        <v>0</v>
      </c>
      <c r="AN309" s="1" t="s">
        <v>921</v>
      </c>
      <c r="AO309" s="18" t="s">
        <v>880</v>
      </c>
      <c r="AP309" s="10" t="s">
        <v>1352</v>
      </c>
    </row>
    <row r="310" spans="1:42" x14ac:dyDescent="0.3">
      <c r="A310" s="9" t="s">
        <v>30</v>
      </c>
      <c r="B310" s="10" t="s">
        <v>31</v>
      </c>
      <c r="C310" s="11" t="s">
        <v>1251</v>
      </c>
      <c r="D310" s="12" t="s">
        <v>1252</v>
      </c>
      <c r="E310" s="11" t="s">
        <v>1253</v>
      </c>
      <c r="F310" s="12" t="s">
        <v>1254</v>
      </c>
      <c r="G310" s="11" t="s">
        <v>1353</v>
      </c>
      <c r="H310" s="12" t="s">
        <v>1354</v>
      </c>
      <c r="I310" s="12"/>
      <c r="J310" s="12"/>
      <c r="K310" s="11" t="s">
        <v>1355</v>
      </c>
      <c r="L310" s="12" t="s">
        <v>1356</v>
      </c>
      <c r="M310" s="18" t="s">
        <v>1357</v>
      </c>
      <c r="N310" s="424"/>
      <c r="O310" s="176">
        <v>0</v>
      </c>
      <c r="P310" s="16"/>
      <c r="Q310" s="16">
        <v>1</v>
      </c>
      <c r="R310" s="110">
        <v>1</v>
      </c>
      <c r="S310" s="110"/>
      <c r="T310" s="10" t="s">
        <v>921</v>
      </c>
      <c r="U310" s="283" t="s">
        <v>880</v>
      </c>
      <c r="V310" s="18" t="s">
        <v>1358</v>
      </c>
      <c r="W310" s="298">
        <v>1</v>
      </c>
      <c r="X310" s="298">
        <v>1</v>
      </c>
      <c r="Y310" s="298">
        <v>1</v>
      </c>
      <c r="Z310" s="299">
        <v>1</v>
      </c>
      <c r="AA310" s="299">
        <v>1</v>
      </c>
      <c r="AB310" s="300">
        <v>1</v>
      </c>
      <c r="AC310" s="301">
        <v>1</v>
      </c>
      <c r="AD310" s="301">
        <v>0</v>
      </c>
      <c r="AE310" s="302">
        <f t="shared" si="9"/>
        <v>0.875</v>
      </c>
      <c r="AF310" s="63">
        <v>0</v>
      </c>
      <c r="AG310" s="17">
        <v>0</v>
      </c>
      <c r="AH310" s="17">
        <v>0</v>
      </c>
      <c r="AI310" s="36">
        <v>0</v>
      </c>
      <c r="AJ310" s="36">
        <v>0</v>
      </c>
      <c r="AK310" s="124">
        <v>0</v>
      </c>
      <c r="AL310" s="138">
        <v>0.8</v>
      </c>
      <c r="AM310" s="147">
        <f t="shared" si="8"/>
        <v>0.8</v>
      </c>
      <c r="AN310" s="18" t="s">
        <v>921</v>
      </c>
      <c r="AO310" s="18" t="s">
        <v>880</v>
      </c>
      <c r="AP310" s="10" t="s">
        <v>1359</v>
      </c>
    </row>
    <row r="311" spans="1:42" x14ac:dyDescent="0.3">
      <c r="A311" s="9" t="s">
        <v>30</v>
      </c>
      <c r="B311" s="10" t="s">
        <v>31</v>
      </c>
      <c r="C311" s="11" t="s">
        <v>1251</v>
      </c>
      <c r="D311" s="12" t="s">
        <v>1252</v>
      </c>
      <c r="E311" s="11" t="s">
        <v>1253</v>
      </c>
      <c r="F311" s="12" t="s">
        <v>1254</v>
      </c>
      <c r="G311" s="11" t="s">
        <v>1360</v>
      </c>
      <c r="H311" s="12" t="s">
        <v>1361</v>
      </c>
      <c r="I311" s="12" t="s">
        <v>1362</v>
      </c>
      <c r="J311" s="12" t="s">
        <v>1363</v>
      </c>
      <c r="K311" s="11" t="s">
        <v>1364</v>
      </c>
      <c r="L311" s="12" t="s">
        <v>1365</v>
      </c>
      <c r="M311" s="18" t="s">
        <v>1366</v>
      </c>
      <c r="N311" s="424"/>
      <c r="O311" s="14">
        <v>0</v>
      </c>
      <c r="P311" s="26">
        <v>500000</v>
      </c>
      <c r="Q311" s="26">
        <v>1000000</v>
      </c>
      <c r="R311" s="133">
        <v>500000</v>
      </c>
      <c r="S311" s="133">
        <v>500000</v>
      </c>
      <c r="T311" s="30" t="s">
        <v>336</v>
      </c>
      <c r="U311" s="283" t="s">
        <v>118</v>
      </c>
      <c r="V311" s="18" t="s">
        <v>1367</v>
      </c>
      <c r="W311" s="298">
        <v>1</v>
      </c>
      <c r="X311" s="298">
        <v>1</v>
      </c>
      <c r="Y311" s="298">
        <v>1</v>
      </c>
      <c r="Z311" s="299">
        <v>1</v>
      </c>
      <c r="AA311" s="299">
        <v>1</v>
      </c>
      <c r="AB311" s="300">
        <v>1</v>
      </c>
      <c r="AC311" s="301">
        <v>1</v>
      </c>
      <c r="AD311" s="301">
        <v>0</v>
      </c>
      <c r="AE311" s="302">
        <f t="shared" si="9"/>
        <v>0.875</v>
      </c>
      <c r="AF311" s="63">
        <v>0</v>
      </c>
      <c r="AG311" s="17">
        <v>0</v>
      </c>
      <c r="AH311" s="17">
        <v>0</v>
      </c>
      <c r="AI311" s="36">
        <v>20</v>
      </c>
      <c r="AJ311" s="36">
        <v>20</v>
      </c>
      <c r="AK311" s="138">
        <v>0.85</v>
      </c>
      <c r="AL311" s="138">
        <v>0.85</v>
      </c>
      <c r="AM311" s="147">
        <f t="shared" si="8"/>
        <v>1.7</v>
      </c>
      <c r="AN311" s="18" t="s">
        <v>336</v>
      </c>
      <c r="AO311" s="18" t="s">
        <v>118</v>
      </c>
      <c r="AP311" s="10" t="s">
        <v>1368</v>
      </c>
    </row>
    <row r="312" spans="1:42" x14ac:dyDescent="0.3">
      <c r="A312" s="9" t="s">
        <v>30</v>
      </c>
      <c r="B312" s="10" t="s">
        <v>31</v>
      </c>
      <c r="C312" s="11" t="s">
        <v>1251</v>
      </c>
      <c r="D312" s="12" t="s">
        <v>1252</v>
      </c>
      <c r="E312" s="11" t="s">
        <v>1253</v>
      </c>
      <c r="F312" s="12" t="s">
        <v>1254</v>
      </c>
      <c r="G312" s="11" t="s">
        <v>1369</v>
      </c>
      <c r="H312" s="12" t="s">
        <v>1370</v>
      </c>
      <c r="I312" s="12" t="s">
        <v>1371</v>
      </c>
      <c r="J312" s="12" t="s">
        <v>1372</v>
      </c>
      <c r="K312" s="11" t="s">
        <v>1373</v>
      </c>
      <c r="L312" s="12" t="s">
        <v>1374</v>
      </c>
      <c r="M312" s="18" t="s">
        <v>1375</v>
      </c>
      <c r="N312" s="424"/>
      <c r="O312" s="14"/>
      <c r="P312" s="26"/>
      <c r="Q312" s="26"/>
      <c r="R312" s="118"/>
      <c r="S312" s="118"/>
      <c r="T312" s="30" t="s">
        <v>265</v>
      </c>
      <c r="U312" s="283" t="s">
        <v>350</v>
      </c>
      <c r="V312" s="18"/>
      <c r="W312" s="298">
        <v>0</v>
      </c>
      <c r="X312" s="298">
        <v>0</v>
      </c>
      <c r="Y312" s="298">
        <v>0</v>
      </c>
      <c r="Z312" s="299">
        <v>0</v>
      </c>
      <c r="AA312" s="299">
        <v>0</v>
      </c>
      <c r="AB312" s="300">
        <v>0</v>
      </c>
      <c r="AC312" s="301">
        <v>0</v>
      </c>
      <c r="AD312" s="301">
        <v>0</v>
      </c>
      <c r="AE312" s="302">
        <f t="shared" si="9"/>
        <v>0</v>
      </c>
      <c r="AF312" s="63">
        <v>0</v>
      </c>
      <c r="AG312" s="17">
        <v>0</v>
      </c>
      <c r="AH312" s="17"/>
      <c r="AI312" s="17"/>
      <c r="AJ312" s="17"/>
      <c r="AK312" s="109"/>
      <c r="AL312" s="109"/>
      <c r="AM312" s="147">
        <f t="shared" si="8"/>
        <v>0</v>
      </c>
      <c r="AN312" s="18" t="s">
        <v>265</v>
      </c>
      <c r="AO312" s="18" t="s">
        <v>350</v>
      </c>
      <c r="AP312" s="10"/>
    </row>
    <row r="313" spans="1:42" x14ac:dyDescent="0.3">
      <c r="A313" s="9" t="s">
        <v>30</v>
      </c>
      <c r="B313" s="10" t="s">
        <v>31</v>
      </c>
      <c r="C313" s="11" t="s">
        <v>1251</v>
      </c>
      <c r="D313" s="12" t="s">
        <v>1252</v>
      </c>
      <c r="E313" s="11" t="s">
        <v>1253</v>
      </c>
      <c r="F313" s="12" t="s">
        <v>1254</v>
      </c>
      <c r="G313" s="11" t="s">
        <v>1369</v>
      </c>
      <c r="H313" s="12" t="s">
        <v>1370</v>
      </c>
      <c r="I313" s="12" t="s">
        <v>1376</v>
      </c>
      <c r="J313" s="12" t="s">
        <v>1377</v>
      </c>
      <c r="K313" s="11" t="s">
        <v>1378</v>
      </c>
      <c r="L313" s="12" t="s">
        <v>1379</v>
      </c>
      <c r="M313" s="18" t="s">
        <v>1380</v>
      </c>
      <c r="N313" s="424"/>
      <c r="O313" s="14"/>
      <c r="P313" s="26"/>
      <c r="Q313" s="26"/>
      <c r="R313" s="118"/>
      <c r="S313" s="118"/>
      <c r="T313" s="30" t="s">
        <v>265</v>
      </c>
      <c r="U313" s="283" t="s">
        <v>350</v>
      </c>
      <c r="V313" s="18"/>
      <c r="W313" s="298">
        <v>0</v>
      </c>
      <c r="X313" s="298">
        <v>0</v>
      </c>
      <c r="Y313" s="298">
        <v>0</v>
      </c>
      <c r="Z313" s="299">
        <v>0</v>
      </c>
      <c r="AA313" s="299">
        <v>0</v>
      </c>
      <c r="AB313" s="300">
        <v>0</v>
      </c>
      <c r="AC313" s="301">
        <v>0</v>
      </c>
      <c r="AD313" s="301">
        <v>0</v>
      </c>
      <c r="AE313" s="302">
        <f t="shared" si="9"/>
        <v>0</v>
      </c>
      <c r="AF313" s="63">
        <v>0</v>
      </c>
      <c r="AG313" s="17">
        <v>0</v>
      </c>
      <c r="AH313" s="17"/>
      <c r="AI313" s="17"/>
      <c r="AJ313" s="17"/>
      <c r="AK313" s="109"/>
      <c r="AL313" s="109"/>
      <c r="AM313" s="147">
        <f t="shared" si="8"/>
        <v>0</v>
      </c>
      <c r="AN313" s="18" t="s">
        <v>265</v>
      </c>
      <c r="AO313" s="18" t="s">
        <v>350</v>
      </c>
      <c r="AP313" s="10"/>
    </row>
    <row r="314" spans="1:42" x14ac:dyDescent="0.3">
      <c r="A314" s="9" t="s">
        <v>30</v>
      </c>
      <c r="B314" s="10" t="s">
        <v>31</v>
      </c>
      <c r="C314" s="11" t="s">
        <v>1251</v>
      </c>
      <c r="D314" s="12" t="s">
        <v>1252</v>
      </c>
      <c r="E314" s="11" t="s">
        <v>1253</v>
      </c>
      <c r="F314" s="12" t="s">
        <v>1254</v>
      </c>
      <c r="G314" s="11" t="s">
        <v>1381</v>
      </c>
      <c r="H314" s="12" t="s">
        <v>1382</v>
      </c>
      <c r="I314" s="12"/>
      <c r="J314" s="12"/>
      <c r="K314" s="11" t="s">
        <v>1383</v>
      </c>
      <c r="L314" s="12" t="s">
        <v>1384</v>
      </c>
      <c r="M314" s="18" t="s">
        <v>1385</v>
      </c>
      <c r="N314" s="424"/>
      <c r="O314" s="176">
        <v>114.36058711236251</v>
      </c>
      <c r="P314" s="17">
        <v>47.5</v>
      </c>
      <c r="Q314" s="17">
        <v>63.139412887637498</v>
      </c>
      <c r="R314" s="113"/>
      <c r="S314" s="146">
        <v>58</v>
      </c>
      <c r="T314" s="10" t="s">
        <v>921</v>
      </c>
      <c r="U314" s="283" t="s">
        <v>880</v>
      </c>
      <c r="V314" s="18" t="s">
        <v>1386</v>
      </c>
      <c r="W314" s="298">
        <v>1</v>
      </c>
      <c r="X314" s="298">
        <v>1</v>
      </c>
      <c r="Y314" s="298">
        <v>1</v>
      </c>
      <c r="Z314" s="299">
        <v>1</v>
      </c>
      <c r="AA314" s="299">
        <v>1</v>
      </c>
      <c r="AB314" s="300">
        <v>1</v>
      </c>
      <c r="AC314" s="301">
        <v>1</v>
      </c>
      <c r="AD314" s="301">
        <v>0</v>
      </c>
      <c r="AE314" s="302">
        <f t="shared" si="9"/>
        <v>0.875</v>
      </c>
      <c r="AF314" s="63">
        <v>0</v>
      </c>
      <c r="AG314" s="17">
        <v>0</v>
      </c>
      <c r="AH314" s="36">
        <v>112.16058711236251</v>
      </c>
      <c r="AI314" s="36">
        <v>45.3</v>
      </c>
      <c r="AJ314" s="36">
        <v>60.939412887637488</v>
      </c>
      <c r="AK314" s="124" t="s">
        <v>271</v>
      </c>
      <c r="AL314" s="138">
        <v>58</v>
      </c>
      <c r="AM314" s="147">
        <f t="shared" si="8"/>
        <v>58</v>
      </c>
      <c r="AN314" s="18" t="s">
        <v>921</v>
      </c>
      <c r="AO314" s="18" t="s">
        <v>880</v>
      </c>
      <c r="AP314" s="10" t="s">
        <v>1387</v>
      </c>
    </row>
    <row r="315" spans="1:42" x14ac:dyDescent="0.3">
      <c r="A315" s="9" t="s">
        <v>30</v>
      </c>
      <c r="B315" s="10" t="s">
        <v>31</v>
      </c>
      <c r="C315" s="11" t="s">
        <v>1251</v>
      </c>
      <c r="D315" s="12" t="s">
        <v>1252</v>
      </c>
      <c r="E315" s="11" t="s">
        <v>1253</v>
      </c>
      <c r="F315" s="12" t="s">
        <v>1254</v>
      </c>
      <c r="G315" s="11" t="s">
        <v>1381</v>
      </c>
      <c r="H315" s="12" t="s">
        <v>1382</v>
      </c>
      <c r="I315" s="12"/>
      <c r="J315" s="12"/>
      <c r="K315" s="11" t="s">
        <v>1388</v>
      </c>
      <c r="L315" s="12" t="s">
        <v>1389</v>
      </c>
      <c r="M315" s="18" t="s">
        <v>1390</v>
      </c>
      <c r="N315" s="424"/>
      <c r="O315" s="176">
        <v>0</v>
      </c>
      <c r="P315" s="16">
        <v>20</v>
      </c>
      <c r="Q315" s="16">
        <v>45</v>
      </c>
      <c r="R315" s="110">
        <v>75</v>
      </c>
      <c r="S315" s="110">
        <v>100</v>
      </c>
      <c r="T315" s="10" t="s">
        <v>921</v>
      </c>
      <c r="U315" s="283" t="s">
        <v>880</v>
      </c>
      <c r="V315" s="18" t="s">
        <v>1391</v>
      </c>
      <c r="W315" s="298">
        <v>0</v>
      </c>
      <c r="X315" s="298">
        <v>0</v>
      </c>
      <c r="Y315" s="298">
        <v>0</v>
      </c>
      <c r="Z315" s="299">
        <v>0</v>
      </c>
      <c r="AA315" s="299">
        <v>0</v>
      </c>
      <c r="AB315" s="300">
        <v>0</v>
      </c>
      <c r="AC315" s="301">
        <v>0</v>
      </c>
      <c r="AD315" s="301">
        <v>0</v>
      </c>
      <c r="AE315" s="302">
        <f t="shared" si="9"/>
        <v>0</v>
      </c>
      <c r="AF315" s="63">
        <v>0</v>
      </c>
      <c r="AG315" s="17">
        <v>0</v>
      </c>
      <c r="AH315" s="36">
        <v>50</v>
      </c>
      <c r="AI315" s="36">
        <v>25</v>
      </c>
      <c r="AJ315" s="36"/>
      <c r="AK315" s="124"/>
      <c r="AL315" s="124"/>
      <c r="AM315" s="147">
        <f t="shared" si="8"/>
        <v>0</v>
      </c>
      <c r="AN315" s="10" t="s">
        <v>1392</v>
      </c>
      <c r="AO315" s="18" t="s">
        <v>880</v>
      </c>
      <c r="AP315" s="10" t="s">
        <v>1393</v>
      </c>
    </row>
    <row r="316" spans="1:42" x14ac:dyDescent="0.3">
      <c r="A316" s="9" t="s">
        <v>30</v>
      </c>
      <c r="B316" s="10" t="s">
        <v>31</v>
      </c>
      <c r="C316" s="11" t="s">
        <v>1251</v>
      </c>
      <c r="D316" s="12" t="s">
        <v>1252</v>
      </c>
      <c r="E316" s="11" t="s">
        <v>1253</v>
      </c>
      <c r="F316" s="12" t="s">
        <v>1254</v>
      </c>
      <c r="G316" s="11" t="s">
        <v>1394</v>
      </c>
      <c r="H316" s="12" t="s">
        <v>1395</v>
      </c>
      <c r="I316" s="12"/>
      <c r="J316" s="12"/>
      <c r="K316" s="9" t="s">
        <v>1396</v>
      </c>
      <c r="L316" s="10" t="s">
        <v>1397</v>
      </c>
      <c r="M316" s="18" t="s">
        <v>1398</v>
      </c>
      <c r="N316" s="424"/>
      <c r="O316" s="176">
        <v>0</v>
      </c>
      <c r="P316" s="16">
        <v>30</v>
      </c>
      <c r="Q316" s="16">
        <v>70</v>
      </c>
      <c r="R316" s="126">
        <v>50</v>
      </c>
      <c r="S316" s="126">
        <v>110</v>
      </c>
      <c r="T316" s="10" t="s">
        <v>265</v>
      </c>
      <c r="U316" s="283" t="s">
        <v>350</v>
      </c>
      <c r="V316" s="18" t="s">
        <v>1399</v>
      </c>
      <c r="W316" s="298">
        <v>1</v>
      </c>
      <c r="X316" s="298">
        <v>1</v>
      </c>
      <c r="Y316" s="298">
        <v>1</v>
      </c>
      <c r="Z316" s="299">
        <v>0</v>
      </c>
      <c r="AA316" s="299">
        <v>1</v>
      </c>
      <c r="AB316" s="300">
        <v>1</v>
      </c>
      <c r="AC316" s="301">
        <v>1</v>
      </c>
      <c r="AD316" s="301">
        <v>0</v>
      </c>
      <c r="AE316" s="302">
        <f t="shared" si="9"/>
        <v>0.75</v>
      </c>
      <c r="AF316" s="63">
        <v>0</v>
      </c>
      <c r="AG316" s="17">
        <v>0</v>
      </c>
      <c r="AH316" s="17">
        <v>0</v>
      </c>
      <c r="AI316" s="36">
        <v>7</v>
      </c>
      <c r="AJ316" s="36">
        <v>10</v>
      </c>
      <c r="AK316" s="138">
        <v>3</v>
      </c>
      <c r="AL316" s="138">
        <v>7.1</v>
      </c>
      <c r="AM316" s="147">
        <f t="shared" si="8"/>
        <v>10.1</v>
      </c>
      <c r="AN316" s="283" t="s">
        <v>265</v>
      </c>
      <c r="AO316" s="18" t="s">
        <v>350</v>
      </c>
      <c r="AP316" s="10" t="s">
        <v>1400</v>
      </c>
    </row>
    <row r="317" spans="1:42" x14ac:dyDescent="0.3">
      <c r="A317" s="9" t="s">
        <v>30</v>
      </c>
      <c r="B317" s="10" t="s">
        <v>31</v>
      </c>
      <c r="C317" s="11" t="s">
        <v>1251</v>
      </c>
      <c r="D317" s="12" t="s">
        <v>1252</v>
      </c>
      <c r="E317" s="11" t="s">
        <v>1253</v>
      </c>
      <c r="F317" s="12" t="s">
        <v>1254</v>
      </c>
      <c r="G317" s="11" t="s">
        <v>1394</v>
      </c>
      <c r="H317" s="12" t="s">
        <v>1395</v>
      </c>
      <c r="I317" s="12"/>
      <c r="J317" s="12"/>
      <c r="K317" s="11" t="s">
        <v>1401</v>
      </c>
      <c r="L317" s="12" t="s">
        <v>1402</v>
      </c>
      <c r="M317" s="18" t="s">
        <v>1403</v>
      </c>
      <c r="N317" s="424"/>
      <c r="O317" s="176">
        <v>0</v>
      </c>
      <c r="P317" s="16">
        <v>2</v>
      </c>
      <c r="Q317" s="16">
        <v>2</v>
      </c>
      <c r="R317" s="110">
        <v>2</v>
      </c>
      <c r="S317" s="110">
        <v>2</v>
      </c>
      <c r="T317" s="10" t="s">
        <v>921</v>
      </c>
      <c r="U317" s="283" t="s">
        <v>880</v>
      </c>
      <c r="V317" s="18" t="s">
        <v>1404</v>
      </c>
      <c r="W317" s="298">
        <v>0</v>
      </c>
      <c r="X317" s="298">
        <v>0</v>
      </c>
      <c r="Y317" s="298">
        <v>0</v>
      </c>
      <c r="Z317" s="299">
        <v>0</v>
      </c>
      <c r="AA317" s="299">
        <v>0</v>
      </c>
      <c r="AB317" s="300">
        <v>0</v>
      </c>
      <c r="AC317" s="301">
        <v>0</v>
      </c>
      <c r="AD317" s="301">
        <v>0</v>
      </c>
      <c r="AE317" s="302">
        <f t="shared" si="9"/>
        <v>0</v>
      </c>
      <c r="AF317" s="63">
        <v>0</v>
      </c>
      <c r="AG317" s="17">
        <v>0</v>
      </c>
      <c r="AH317" s="17">
        <v>0</v>
      </c>
      <c r="AI317" s="36">
        <v>1</v>
      </c>
      <c r="AJ317" s="36">
        <v>1</v>
      </c>
      <c r="AK317" s="124"/>
      <c r="AL317" s="124"/>
      <c r="AM317" s="147">
        <f t="shared" si="8"/>
        <v>0</v>
      </c>
      <c r="AN317" s="18" t="s">
        <v>921</v>
      </c>
      <c r="AO317" s="18" t="s">
        <v>880</v>
      </c>
      <c r="AP317" s="10" t="s">
        <v>1405</v>
      </c>
    </row>
    <row r="318" spans="1:42" x14ac:dyDescent="0.3">
      <c r="A318" s="9" t="s">
        <v>30</v>
      </c>
      <c r="B318" s="10" t="s">
        <v>31</v>
      </c>
      <c r="C318" s="11" t="s">
        <v>1251</v>
      </c>
      <c r="D318" s="12" t="s">
        <v>1252</v>
      </c>
      <c r="E318" s="11" t="s">
        <v>1253</v>
      </c>
      <c r="F318" s="12" t="s">
        <v>1254</v>
      </c>
      <c r="G318" s="11" t="s">
        <v>1394</v>
      </c>
      <c r="H318" s="12" t="s">
        <v>1395</v>
      </c>
      <c r="I318" s="12"/>
      <c r="J318" s="12"/>
      <c r="K318" s="9" t="s">
        <v>1406</v>
      </c>
      <c r="L318" s="10" t="s">
        <v>1407</v>
      </c>
      <c r="M318" s="18" t="s">
        <v>1408</v>
      </c>
      <c r="N318" s="424"/>
      <c r="O318" s="176">
        <v>0</v>
      </c>
      <c r="P318" s="16">
        <v>1</v>
      </c>
      <c r="Q318" s="16">
        <v>2</v>
      </c>
      <c r="R318" s="110">
        <v>2</v>
      </c>
      <c r="S318" s="110">
        <v>2</v>
      </c>
      <c r="T318" s="10" t="s">
        <v>921</v>
      </c>
      <c r="U318" s="283" t="s">
        <v>880</v>
      </c>
      <c r="V318" s="18" t="s">
        <v>1409</v>
      </c>
      <c r="W318" s="298">
        <v>0</v>
      </c>
      <c r="X318" s="298">
        <v>0</v>
      </c>
      <c r="Y318" s="298">
        <v>0</v>
      </c>
      <c r="Z318" s="299">
        <v>0</v>
      </c>
      <c r="AA318" s="299">
        <v>0</v>
      </c>
      <c r="AB318" s="300">
        <v>0</v>
      </c>
      <c r="AC318" s="301">
        <v>0</v>
      </c>
      <c r="AD318" s="301">
        <v>0</v>
      </c>
      <c r="AE318" s="302">
        <f t="shared" si="9"/>
        <v>0</v>
      </c>
      <c r="AF318" s="63">
        <v>0</v>
      </c>
      <c r="AG318" s="17">
        <v>0</v>
      </c>
      <c r="AH318" s="17">
        <v>0</v>
      </c>
      <c r="AI318" s="36">
        <v>2</v>
      </c>
      <c r="AJ318" s="36">
        <v>4</v>
      </c>
      <c r="AK318" s="124"/>
      <c r="AL318" s="124"/>
      <c r="AM318" s="147">
        <f t="shared" si="8"/>
        <v>0</v>
      </c>
      <c r="AN318" s="18" t="s">
        <v>921</v>
      </c>
      <c r="AO318" s="18" t="s">
        <v>880</v>
      </c>
      <c r="AP318" s="10" t="s">
        <v>1410</v>
      </c>
    </row>
    <row r="319" spans="1:42" x14ac:dyDescent="0.3">
      <c r="A319" s="9" t="s">
        <v>30</v>
      </c>
      <c r="B319" s="10" t="s">
        <v>31</v>
      </c>
      <c r="C319" s="11" t="s">
        <v>1251</v>
      </c>
      <c r="D319" s="12" t="s">
        <v>1252</v>
      </c>
      <c r="E319" s="11" t="s">
        <v>1253</v>
      </c>
      <c r="F319" s="12" t="s">
        <v>1254</v>
      </c>
      <c r="G319" s="11" t="s">
        <v>1394</v>
      </c>
      <c r="H319" s="12" t="s">
        <v>1395</v>
      </c>
      <c r="I319" s="12"/>
      <c r="J319" s="12" t="s">
        <v>1411</v>
      </c>
      <c r="K319" s="9" t="s">
        <v>1412</v>
      </c>
      <c r="L319" s="10" t="s">
        <v>1413</v>
      </c>
      <c r="M319" s="18" t="s">
        <v>1414</v>
      </c>
      <c r="N319" s="424"/>
      <c r="O319" s="176">
        <v>6</v>
      </c>
      <c r="P319" s="16">
        <v>6</v>
      </c>
      <c r="Q319" s="16">
        <v>6</v>
      </c>
      <c r="R319" s="110">
        <v>6</v>
      </c>
      <c r="S319" s="110">
        <v>10</v>
      </c>
      <c r="T319" s="10" t="s">
        <v>1132</v>
      </c>
      <c r="U319" s="283" t="s">
        <v>3739</v>
      </c>
      <c r="V319" s="18" t="s">
        <v>1415</v>
      </c>
      <c r="W319" s="298">
        <v>1</v>
      </c>
      <c r="X319" s="298">
        <v>0</v>
      </c>
      <c r="Y319" s="298">
        <v>1</v>
      </c>
      <c r="Z319" s="299">
        <v>1</v>
      </c>
      <c r="AA319" s="299">
        <v>1</v>
      </c>
      <c r="AB319" s="300">
        <v>0</v>
      </c>
      <c r="AC319" s="301">
        <v>1</v>
      </c>
      <c r="AD319" s="301">
        <v>0</v>
      </c>
      <c r="AE319" s="302">
        <f t="shared" si="9"/>
        <v>0.625</v>
      </c>
      <c r="AF319" s="63">
        <v>0</v>
      </c>
      <c r="AG319" s="17">
        <v>0</v>
      </c>
      <c r="AH319" s="17">
        <v>2.2000000000000002</v>
      </c>
      <c r="AI319" s="17">
        <v>2.2000000000000002</v>
      </c>
      <c r="AJ319" s="17">
        <v>2.2000000000000002</v>
      </c>
      <c r="AK319" s="127">
        <v>0.6</v>
      </c>
      <c r="AL319" s="127">
        <v>1</v>
      </c>
      <c r="AM319" s="147">
        <f t="shared" si="8"/>
        <v>1.6</v>
      </c>
      <c r="AN319" s="18" t="s">
        <v>1132</v>
      </c>
      <c r="AO319" s="18" t="s">
        <v>1134</v>
      </c>
      <c r="AP319" s="10"/>
    </row>
    <row r="320" spans="1:42" x14ac:dyDescent="0.3">
      <c r="A320" s="9" t="s">
        <v>30</v>
      </c>
      <c r="B320" s="10" t="s">
        <v>31</v>
      </c>
      <c r="C320" s="11" t="s">
        <v>1416</v>
      </c>
      <c r="D320" s="12" t="s">
        <v>1417</v>
      </c>
      <c r="E320" s="11" t="s">
        <v>1418</v>
      </c>
      <c r="F320" s="12" t="s">
        <v>1419</v>
      </c>
      <c r="G320" s="11" t="s">
        <v>1420</v>
      </c>
      <c r="H320" s="12" t="s">
        <v>1421</v>
      </c>
      <c r="I320" s="12" t="s">
        <v>1422</v>
      </c>
      <c r="J320" s="12" t="s">
        <v>1423</v>
      </c>
      <c r="K320" s="11" t="s">
        <v>1424</v>
      </c>
      <c r="L320" s="12" t="s">
        <v>1425</v>
      </c>
      <c r="M320" s="18" t="s">
        <v>1426</v>
      </c>
      <c r="N320" s="429"/>
      <c r="O320" s="14">
        <v>0</v>
      </c>
      <c r="P320" s="21">
        <v>5</v>
      </c>
      <c r="Q320" s="21">
        <v>5</v>
      </c>
      <c r="R320" s="115">
        <v>5</v>
      </c>
      <c r="S320" s="115">
        <v>5</v>
      </c>
      <c r="T320" s="12" t="s">
        <v>92</v>
      </c>
      <c r="U320" s="283" t="s">
        <v>118</v>
      </c>
      <c r="V320" s="18" t="s">
        <v>1427</v>
      </c>
      <c r="W320" s="298">
        <v>1</v>
      </c>
      <c r="X320" s="298">
        <v>0</v>
      </c>
      <c r="Y320" s="298">
        <v>1</v>
      </c>
      <c r="Z320" s="299">
        <v>1</v>
      </c>
      <c r="AA320" s="299">
        <v>1</v>
      </c>
      <c r="AB320" s="300">
        <v>0</v>
      </c>
      <c r="AC320" s="301">
        <v>0</v>
      </c>
      <c r="AD320" s="301">
        <v>0</v>
      </c>
      <c r="AE320" s="302">
        <f t="shared" si="9"/>
        <v>0.5</v>
      </c>
      <c r="AF320" s="63">
        <v>0</v>
      </c>
      <c r="AG320" s="17">
        <v>0</v>
      </c>
      <c r="AH320" s="17">
        <v>0</v>
      </c>
      <c r="AI320" s="36">
        <v>5</v>
      </c>
      <c r="AJ320" s="36">
        <v>5</v>
      </c>
      <c r="AK320" s="124"/>
      <c r="AL320" s="124"/>
      <c r="AM320" s="147">
        <f t="shared" si="8"/>
        <v>0</v>
      </c>
      <c r="AN320" s="10" t="s">
        <v>92</v>
      </c>
      <c r="AO320" s="18" t="s">
        <v>118</v>
      </c>
      <c r="AP320" s="10" t="s">
        <v>1428</v>
      </c>
    </row>
    <row r="321" spans="1:42" x14ac:dyDescent="0.3">
      <c r="A321" s="9" t="s">
        <v>30</v>
      </c>
      <c r="B321" s="10" t="s">
        <v>31</v>
      </c>
      <c r="C321" s="11" t="s">
        <v>1416</v>
      </c>
      <c r="D321" s="12" t="s">
        <v>1417</v>
      </c>
      <c r="E321" s="11" t="s">
        <v>1418</v>
      </c>
      <c r="F321" s="12" t="s">
        <v>1419</v>
      </c>
      <c r="G321" s="11" t="s">
        <v>1429</v>
      </c>
      <c r="H321" s="12" t="s">
        <v>1430</v>
      </c>
      <c r="I321" s="12"/>
      <c r="J321" s="12"/>
      <c r="K321" s="11" t="s">
        <v>1431</v>
      </c>
      <c r="L321" s="12" t="s">
        <v>1432</v>
      </c>
      <c r="M321" s="18" t="s">
        <v>1433</v>
      </c>
      <c r="N321" s="424"/>
      <c r="O321" s="176">
        <v>0</v>
      </c>
      <c r="P321" s="16">
        <v>1</v>
      </c>
      <c r="Q321" s="16">
        <v>1</v>
      </c>
      <c r="R321" s="110">
        <v>1</v>
      </c>
      <c r="S321" s="110">
        <v>1</v>
      </c>
      <c r="T321" s="10" t="s">
        <v>1434</v>
      </c>
      <c r="U321" s="283" t="s">
        <v>241</v>
      </c>
      <c r="V321" s="107" t="s">
        <v>1435</v>
      </c>
      <c r="W321" s="298">
        <v>1</v>
      </c>
      <c r="X321" s="298">
        <v>1</v>
      </c>
      <c r="Y321" s="298">
        <v>1</v>
      </c>
      <c r="Z321" s="299">
        <v>1</v>
      </c>
      <c r="AA321" s="299">
        <v>1</v>
      </c>
      <c r="AB321" s="300">
        <v>1</v>
      </c>
      <c r="AC321" s="301">
        <v>1</v>
      </c>
      <c r="AD321" s="301">
        <v>0</v>
      </c>
      <c r="AE321" s="302">
        <f t="shared" si="9"/>
        <v>0.875</v>
      </c>
      <c r="AF321" s="63">
        <v>0</v>
      </c>
      <c r="AG321" s="17">
        <v>0</v>
      </c>
      <c r="AH321" s="17">
        <v>0</v>
      </c>
      <c r="AI321" s="36">
        <v>7</v>
      </c>
      <c r="AJ321" s="36">
        <v>5</v>
      </c>
      <c r="AK321" s="128">
        <v>2</v>
      </c>
      <c r="AL321" s="128">
        <v>3</v>
      </c>
      <c r="AM321" s="147">
        <f t="shared" si="8"/>
        <v>5</v>
      </c>
      <c r="AN321" s="18" t="s">
        <v>1434</v>
      </c>
      <c r="AO321" s="18" t="s">
        <v>241</v>
      </c>
      <c r="AP321" s="10" t="s">
        <v>1436</v>
      </c>
    </row>
    <row r="322" spans="1:42" x14ac:dyDescent="0.3">
      <c r="A322" s="9" t="s">
        <v>30</v>
      </c>
      <c r="B322" s="10" t="s">
        <v>31</v>
      </c>
      <c r="C322" s="11" t="s">
        <v>1416</v>
      </c>
      <c r="D322" s="12" t="s">
        <v>1417</v>
      </c>
      <c r="E322" s="11" t="s">
        <v>1418</v>
      </c>
      <c r="F322" s="12" t="s">
        <v>1419</v>
      </c>
      <c r="G322" s="11" t="s">
        <v>1429</v>
      </c>
      <c r="H322" s="12" t="s">
        <v>1430</v>
      </c>
      <c r="I322" s="12"/>
      <c r="J322" s="12"/>
      <c r="K322" s="11" t="s">
        <v>1437</v>
      </c>
      <c r="L322" s="12" t="s">
        <v>1438</v>
      </c>
      <c r="M322" s="18" t="s">
        <v>1439</v>
      </c>
      <c r="N322" s="424"/>
      <c r="O322" s="14">
        <v>0</v>
      </c>
      <c r="P322" s="16">
        <v>1</v>
      </c>
      <c r="Q322" s="16">
        <v>1</v>
      </c>
      <c r="R322" s="110">
        <v>1</v>
      </c>
      <c r="S322" s="110">
        <v>1</v>
      </c>
      <c r="T322" s="10" t="s">
        <v>336</v>
      </c>
      <c r="U322" s="283" t="s">
        <v>118</v>
      </c>
      <c r="V322" s="107" t="s">
        <v>1440</v>
      </c>
      <c r="W322" s="298">
        <v>1</v>
      </c>
      <c r="X322" s="298">
        <v>1</v>
      </c>
      <c r="Y322" s="298">
        <v>1</v>
      </c>
      <c r="Z322" s="299">
        <v>1</v>
      </c>
      <c r="AA322" s="299">
        <v>1</v>
      </c>
      <c r="AB322" s="300">
        <v>0</v>
      </c>
      <c r="AC322" s="301">
        <v>1</v>
      </c>
      <c r="AD322" s="301">
        <v>0</v>
      </c>
      <c r="AE322" s="302">
        <f t="shared" si="9"/>
        <v>0.75</v>
      </c>
      <c r="AF322" s="63">
        <v>0</v>
      </c>
      <c r="AG322" s="17">
        <v>0</v>
      </c>
      <c r="AH322" s="17">
        <v>0</v>
      </c>
      <c r="AI322" s="36">
        <v>15</v>
      </c>
      <c r="AJ322" s="36">
        <v>10</v>
      </c>
      <c r="AK322" s="128">
        <v>5</v>
      </c>
      <c r="AL322" s="138">
        <v>15</v>
      </c>
      <c r="AM322" s="147">
        <f t="shared" ref="AM322:AM324" si="10">SUM(AK322:AL322)</f>
        <v>20</v>
      </c>
      <c r="AN322" s="18" t="s">
        <v>336</v>
      </c>
      <c r="AO322" s="18" t="s">
        <v>118</v>
      </c>
      <c r="AP322" s="10" t="s">
        <v>1441</v>
      </c>
    </row>
    <row r="323" spans="1:42" x14ac:dyDescent="0.3">
      <c r="A323" s="9" t="s">
        <v>30</v>
      </c>
      <c r="B323" s="10" t="s">
        <v>31</v>
      </c>
      <c r="C323" s="11" t="s">
        <v>1416</v>
      </c>
      <c r="D323" s="12" t="s">
        <v>1417</v>
      </c>
      <c r="E323" s="11" t="s">
        <v>1418</v>
      </c>
      <c r="F323" s="12" t="s">
        <v>1419</v>
      </c>
      <c r="G323" s="11" t="s">
        <v>1429</v>
      </c>
      <c r="H323" s="12" t="s">
        <v>1430</v>
      </c>
      <c r="I323" s="12"/>
      <c r="J323" s="12"/>
      <c r="K323" s="11" t="s">
        <v>1437</v>
      </c>
      <c r="L323" s="12" t="s">
        <v>1438</v>
      </c>
      <c r="M323" s="18" t="s">
        <v>1442</v>
      </c>
      <c r="O323" s="14">
        <v>0</v>
      </c>
      <c r="P323" s="16">
        <v>1</v>
      </c>
      <c r="Q323" s="16">
        <v>1</v>
      </c>
      <c r="R323" s="110">
        <v>1</v>
      </c>
      <c r="S323" s="110">
        <v>1</v>
      </c>
      <c r="T323" s="10" t="s">
        <v>336</v>
      </c>
      <c r="U323" s="283" t="s">
        <v>118</v>
      </c>
      <c r="V323" s="18" t="s">
        <v>1440</v>
      </c>
      <c r="W323" s="298">
        <v>1</v>
      </c>
      <c r="X323" s="298">
        <v>1</v>
      </c>
      <c r="Y323" s="298">
        <v>1</v>
      </c>
      <c r="Z323" s="299">
        <v>1</v>
      </c>
      <c r="AA323" s="299">
        <v>1</v>
      </c>
      <c r="AB323" s="300">
        <v>0</v>
      </c>
      <c r="AC323" s="301">
        <v>1</v>
      </c>
      <c r="AD323" s="301">
        <v>0</v>
      </c>
      <c r="AE323" s="302">
        <f t="shared" si="9"/>
        <v>0.75</v>
      </c>
      <c r="AF323" s="63">
        <v>0</v>
      </c>
      <c r="AG323" s="17">
        <v>0</v>
      </c>
      <c r="AH323" s="310"/>
      <c r="AI323" s="310"/>
      <c r="AJ323" s="310"/>
      <c r="AK323" s="311"/>
      <c r="AL323" s="312">
        <v>9</v>
      </c>
      <c r="AM323" s="147">
        <f t="shared" si="10"/>
        <v>9</v>
      </c>
      <c r="AN323" s="18" t="s">
        <v>336</v>
      </c>
      <c r="AO323" s="18" t="s">
        <v>118</v>
      </c>
      <c r="AP323" s="10" t="s">
        <v>1441</v>
      </c>
    </row>
    <row r="324" spans="1:42" x14ac:dyDescent="0.3">
      <c r="A324" s="9" t="s">
        <v>30</v>
      </c>
      <c r="B324" s="10" t="s">
        <v>31</v>
      </c>
      <c r="C324" s="11" t="s">
        <v>1416</v>
      </c>
      <c r="D324" s="12" t="s">
        <v>1417</v>
      </c>
      <c r="E324" s="11" t="s">
        <v>1418</v>
      </c>
      <c r="F324" s="12" t="s">
        <v>1419</v>
      </c>
      <c r="G324" s="11" t="s">
        <v>1429</v>
      </c>
      <c r="H324" s="12" t="s">
        <v>1430</v>
      </c>
      <c r="I324" s="12"/>
      <c r="J324" s="12"/>
      <c r="K324" s="11" t="s">
        <v>1437</v>
      </c>
      <c r="L324" s="12" t="s">
        <v>1438</v>
      </c>
      <c r="M324" s="313" t="s">
        <v>1443</v>
      </c>
      <c r="O324" s="14">
        <v>0</v>
      </c>
      <c r="P324" s="3">
        <v>30</v>
      </c>
      <c r="Q324" s="3">
        <v>30</v>
      </c>
      <c r="R324" s="112">
        <v>30</v>
      </c>
      <c r="S324" s="112"/>
      <c r="T324" s="283" t="s">
        <v>336</v>
      </c>
      <c r="U324" s="283" t="s">
        <v>118</v>
      </c>
      <c r="V324" s="18" t="s">
        <v>1440</v>
      </c>
      <c r="W324" s="298">
        <v>1</v>
      </c>
      <c r="X324" s="298">
        <v>1</v>
      </c>
      <c r="Y324" s="298">
        <v>1</v>
      </c>
      <c r="Z324" s="299">
        <v>1</v>
      </c>
      <c r="AA324" s="299">
        <v>1</v>
      </c>
      <c r="AB324" s="300">
        <v>0</v>
      </c>
      <c r="AC324" s="301">
        <v>1</v>
      </c>
      <c r="AD324" s="301">
        <v>0</v>
      </c>
      <c r="AE324" s="302">
        <f t="shared" si="9"/>
        <v>0.75</v>
      </c>
      <c r="AF324" s="63">
        <v>0</v>
      </c>
      <c r="AG324" s="17">
        <v>0</v>
      </c>
      <c r="AH324" s="310"/>
      <c r="AI324" s="310"/>
      <c r="AJ324" s="310"/>
      <c r="AK324" s="311"/>
      <c r="AL324" s="311"/>
      <c r="AM324" s="147">
        <f t="shared" si="10"/>
        <v>0</v>
      </c>
      <c r="AN324" s="18" t="s">
        <v>336</v>
      </c>
      <c r="AO324" s="18" t="s">
        <v>118</v>
      </c>
      <c r="AP324" s="10" t="s">
        <v>1441</v>
      </c>
    </row>
    <row r="325" spans="1:42" x14ac:dyDescent="0.3">
      <c r="A325" s="386" t="s">
        <v>30</v>
      </c>
      <c r="B325" s="10" t="s">
        <v>31</v>
      </c>
      <c r="C325" s="328" t="s">
        <v>12861</v>
      </c>
      <c r="D325" s="283" t="s">
        <v>6838</v>
      </c>
      <c r="E325" s="328" t="s">
        <v>12862</v>
      </c>
      <c r="F325" s="283" t="s">
        <v>12811</v>
      </c>
      <c r="G325" s="328" t="s">
        <v>12863</v>
      </c>
      <c r="H325" t="s">
        <v>12812</v>
      </c>
      <c r="K325" s="328" t="s">
        <v>12864</v>
      </c>
      <c r="L325" s="283" t="s">
        <v>12754</v>
      </c>
      <c r="V325" t="s">
        <v>12755</v>
      </c>
      <c r="AK325" s="398"/>
      <c r="AL325" s="398"/>
    </row>
    <row r="326" spans="1:42" x14ac:dyDescent="0.3">
      <c r="A326" s="386" t="s">
        <v>30</v>
      </c>
      <c r="B326" s="10" t="s">
        <v>31</v>
      </c>
      <c r="C326" s="328" t="s">
        <v>12861</v>
      </c>
      <c r="D326" s="283" t="s">
        <v>6838</v>
      </c>
      <c r="E326" s="328" t="s">
        <v>12862</v>
      </c>
      <c r="F326" s="283" t="s">
        <v>12811</v>
      </c>
      <c r="G326" s="328" t="s">
        <v>12863</v>
      </c>
      <c r="H326" t="s">
        <v>12812</v>
      </c>
      <c r="K326" s="328" t="s">
        <v>12865</v>
      </c>
      <c r="L326" s="283" t="s">
        <v>12808</v>
      </c>
      <c r="V326" s="283" t="s">
        <v>12809</v>
      </c>
      <c r="AK326" s="398"/>
      <c r="AL326" s="398"/>
    </row>
    <row r="327" spans="1:42" x14ac:dyDescent="0.3">
      <c r="A327" s="386" t="s">
        <v>30</v>
      </c>
      <c r="B327" s="10" t="s">
        <v>31</v>
      </c>
      <c r="C327" s="328" t="s">
        <v>12861</v>
      </c>
      <c r="D327" s="283" t="s">
        <v>6838</v>
      </c>
      <c r="E327" s="328" t="s">
        <v>12862</v>
      </c>
      <c r="F327" s="283" t="s">
        <v>12811</v>
      </c>
      <c r="G327" s="328" t="s">
        <v>12863</v>
      </c>
      <c r="H327" t="s">
        <v>12812</v>
      </c>
      <c r="K327" s="328" t="s">
        <v>12866</v>
      </c>
      <c r="L327" s="283" t="s">
        <v>12756</v>
      </c>
      <c r="M327" s="1" t="s">
        <v>5766</v>
      </c>
      <c r="V327" s="283" t="s">
        <v>12792</v>
      </c>
    </row>
    <row r="328" spans="1:42" x14ac:dyDescent="0.3">
      <c r="A328" s="386" t="s">
        <v>30</v>
      </c>
      <c r="B328" s="10" t="s">
        <v>31</v>
      </c>
      <c r="C328" s="328" t="s">
        <v>12861</v>
      </c>
      <c r="D328" s="283" t="s">
        <v>6838</v>
      </c>
      <c r="E328" s="328" t="s">
        <v>12862</v>
      </c>
      <c r="F328" s="283" t="s">
        <v>12811</v>
      </c>
      <c r="G328" s="328" t="s">
        <v>12863</v>
      </c>
      <c r="H328" t="s">
        <v>12812</v>
      </c>
      <c r="K328" s="328" t="s">
        <v>12867</v>
      </c>
      <c r="L328" s="283" t="s">
        <v>12757</v>
      </c>
      <c r="M328" s="1" t="s">
        <v>12758</v>
      </c>
      <c r="V328" s="283" t="s">
        <v>12793</v>
      </c>
    </row>
    <row r="329" spans="1:42" x14ac:dyDescent="0.3">
      <c r="A329" s="386" t="s">
        <v>30</v>
      </c>
      <c r="B329" s="10" t="s">
        <v>31</v>
      </c>
      <c r="C329" s="328" t="s">
        <v>12861</v>
      </c>
      <c r="D329" s="283" t="s">
        <v>6838</v>
      </c>
      <c r="E329" s="328" t="s">
        <v>12862</v>
      </c>
      <c r="F329" s="283" t="s">
        <v>12811</v>
      </c>
      <c r="G329" s="328" t="s">
        <v>12863</v>
      </c>
      <c r="H329" t="s">
        <v>12812</v>
      </c>
      <c r="K329" s="328" t="s">
        <v>12868</v>
      </c>
      <c r="L329" s="283" t="s">
        <v>12759</v>
      </c>
      <c r="M329" s="1" t="s">
        <v>12760</v>
      </c>
      <c r="V329" s="283" t="s">
        <v>12794</v>
      </c>
    </row>
    <row r="330" spans="1:42" x14ac:dyDescent="0.3">
      <c r="A330" s="386" t="s">
        <v>30</v>
      </c>
      <c r="B330" s="10" t="s">
        <v>31</v>
      </c>
      <c r="C330" s="328" t="s">
        <v>12861</v>
      </c>
      <c r="D330" s="283" t="s">
        <v>6838</v>
      </c>
      <c r="E330" s="328" t="s">
        <v>12862</v>
      </c>
      <c r="F330" s="283" t="s">
        <v>12811</v>
      </c>
      <c r="G330" s="328" t="s">
        <v>12863</v>
      </c>
      <c r="H330" t="s">
        <v>12812</v>
      </c>
      <c r="K330" s="328" t="s">
        <v>12869</v>
      </c>
      <c r="L330" s="283" t="s">
        <v>12761</v>
      </c>
      <c r="M330" s="1" t="s">
        <v>12762</v>
      </c>
      <c r="V330" s="283" t="s">
        <v>5782</v>
      </c>
    </row>
    <row r="331" spans="1:42" x14ac:dyDescent="0.3">
      <c r="A331" s="386" t="s">
        <v>30</v>
      </c>
      <c r="B331" s="10" t="s">
        <v>31</v>
      </c>
      <c r="C331" s="328" t="s">
        <v>12861</v>
      </c>
      <c r="D331" s="283" t="s">
        <v>6838</v>
      </c>
      <c r="E331" s="328" t="s">
        <v>12862</v>
      </c>
      <c r="F331" s="283" t="s">
        <v>12811</v>
      </c>
      <c r="G331" s="328" t="s">
        <v>12863</v>
      </c>
      <c r="H331" t="s">
        <v>12812</v>
      </c>
      <c r="K331" s="328" t="s">
        <v>12870</v>
      </c>
      <c r="L331" s="283" t="s">
        <v>12763</v>
      </c>
      <c r="M331" s="1" t="s">
        <v>12764</v>
      </c>
      <c r="V331" s="283" t="s">
        <v>5783</v>
      </c>
    </row>
    <row r="332" spans="1:42" x14ac:dyDescent="0.3">
      <c r="A332" s="386" t="s">
        <v>30</v>
      </c>
      <c r="B332" s="10" t="s">
        <v>31</v>
      </c>
      <c r="C332" s="328" t="s">
        <v>12861</v>
      </c>
      <c r="D332" s="283" t="s">
        <v>6838</v>
      </c>
      <c r="E332" s="328" t="s">
        <v>12862</v>
      </c>
      <c r="F332" s="283" t="s">
        <v>12811</v>
      </c>
      <c r="G332" s="328" t="s">
        <v>12863</v>
      </c>
      <c r="H332" t="s">
        <v>12812</v>
      </c>
      <c r="K332" s="328" t="s">
        <v>12871</v>
      </c>
      <c r="L332" s="283" t="s">
        <v>12765</v>
      </c>
      <c r="M332" s="1" t="s">
        <v>12766</v>
      </c>
      <c r="V332" s="283" t="s">
        <v>12795</v>
      </c>
    </row>
    <row r="333" spans="1:42" x14ac:dyDescent="0.3">
      <c r="A333" s="386" t="s">
        <v>30</v>
      </c>
      <c r="B333" s="10" t="s">
        <v>31</v>
      </c>
      <c r="C333" s="328" t="s">
        <v>12861</v>
      </c>
      <c r="D333" s="283" t="s">
        <v>6838</v>
      </c>
      <c r="E333" s="328" t="s">
        <v>12862</v>
      </c>
      <c r="F333" s="283" t="s">
        <v>12811</v>
      </c>
      <c r="G333" s="328" t="s">
        <v>12863</v>
      </c>
      <c r="H333" t="s">
        <v>12812</v>
      </c>
      <c r="K333" s="328" t="s">
        <v>12872</v>
      </c>
      <c r="L333" s="283" t="s">
        <v>12767</v>
      </c>
      <c r="M333" s="1" t="s">
        <v>12768</v>
      </c>
      <c r="V333" s="283" t="s">
        <v>12796</v>
      </c>
    </row>
    <row r="334" spans="1:42" x14ac:dyDescent="0.3">
      <c r="A334" s="386" t="s">
        <v>30</v>
      </c>
      <c r="B334" s="10" t="s">
        <v>31</v>
      </c>
      <c r="C334" s="328" t="s">
        <v>12861</v>
      </c>
      <c r="D334" s="283" t="s">
        <v>6838</v>
      </c>
      <c r="E334" s="328" t="s">
        <v>12862</v>
      </c>
      <c r="F334" s="283" t="s">
        <v>12811</v>
      </c>
      <c r="G334" s="328" t="s">
        <v>12863</v>
      </c>
      <c r="H334" t="s">
        <v>12812</v>
      </c>
      <c r="K334" s="328" t="s">
        <v>12873</v>
      </c>
      <c r="L334" s="283" t="s">
        <v>12769</v>
      </c>
      <c r="M334" s="1" t="s">
        <v>12770</v>
      </c>
      <c r="V334" s="283" t="s">
        <v>5786</v>
      </c>
    </row>
    <row r="335" spans="1:42" x14ac:dyDescent="0.3">
      <c r="A335" s="386" t="s">
        <v>30</v>
      </c>
      <c r="B335" s="10" t="s">
        <v>31</v>
      </c>
      <c r="C335" s="328" t="s">
        <v>12861</v>
      </c>
      <c r="D335" s="283" t="s">
        <v>6838</v>
      </c>
      <c r="E335" s="328" t="s">
        <v>12862</v>
      </c>
      <c r="F335" s="283" t="s">
        <v>12811</v>
      </c>
      <c r="G335" s="328" t="s">
        <v>12863</v>
      </c>
      <c r="H335" t="s">
        <v>12812</v>
      </c>
      <c r="K335" s="328" t="s">
        <v>12874</v>
      </c>
      <c r="L335" s="283" t="s">
        <v>12771</v>
      </c>
      <c r="M335" s="1" t="s">
        <v>12772</v>
      </c>
      <c r="V335" s="283" t="s">
        <v>12800</v>
      </c>
    </row>
    <row r="336" spans="1:42" x14ac:dyDescent="0.3">
      <c r="A336" s="386" t="s">
        <v>30</v>
      </c>
      <c r="B336" s="10" t="s">
        <v>31</v>
      </c>
      <c r="C336" s="328" t="s">
        <v>12861</v>
      </c>
      <c r="D336" s="283" t="s">
        <v>6838</v>
      </c>
      <c r="E336" s="328" t="s">
        <v>12862</v>
      </c>
      <c r="F336" s="283" t="s">
        <v>12811</v>
      </c>
      <c r="G336" s="328" t="s">
        <v>12863</v>
      </c>
      <c r="H336" t="s">
        <v>12812</v>
      </c>
      <c r="K336" s="328" t="s">
        <v>12875</v>
      </c>
      <c r="L336" s="283" t="s">
        <v>12773</v>
      </c>
      <c r="M336" s="1" t="s">
        <v>12774</v>
      </c>
      <c r="V336" s="283" t="s">
        <v>12797</v>
      </c>
    </row>
    <row r="337" spans="1:42" x14ac:dyDescent="0.3">
      <c r="A337" s="386" t="s">
        <v>30</v>
      </c>
      <c r="B337" s="10" t="s">
        <v>31</v>
      </c>
      <c r="C337" s="328" t="s">
        <v>12861</v>
      </c>
      <c r="D337" s="283" t="s">
        <v>6838</v>
      </c>
      <c r="E337" s="328" t="s">
        <v>12862</v>
      </c>
      <c r="F337" s="283" t="s">
        <v>12811</v>
      </c>
      <c r="G337" s="328" t="s">
        <v>12863</v>
      </c>
      <c r="H337" t="s">
        <v>12812</v>
      </c>
      <c r="K337" s="328" t="s">
        <v>12876</v>
      </c>
      <c r="L337" s="283" t="s">
        <v>12775</v>
      </c>
      <c r="M337" s="1" t="s">
        <v>12776</v>
      </c>
      <c r="V337" s="283" t="s">
        <v>12798</v>
      </c>
    </row>
    <row r="338" spans="1:42" x14ac:dyDescent="0.3">
      <c r="A338" s="386" t="s">
        <v>30</v>
      </c>
      <c r="B338" s="10" t="s">
        <v>31</v>
      </c>
      <c r="C338" s="328" t="s">
        <v>12861</v>
      </c>
      <c r="D338" s="283" t="s">
        <v>6838</v>
      </c>
      <c r="E338" s="328" t="s">
        <v>12862</v>
      </c>
      <c r="F338" s="283" t="s">
        <v>12811</v>
      </c>
      <c r="G338" s="328" t="s">
        <v>12863</v>
      </c>
      <c r="H338" t="s">
        <v>12812</v>
      </c>
      <c r="K338" s="328" t="s">
        <v>12877</v>
      </c>
      <c r="L338" s="283" t="s">
        <v>12777</v>
      </c>
      <c r="M338" s="1" t="s">
        <v>12778</v>
      </c>
      <c r="V338" s="283" t="s">
        <v>5789</v>
      </c>
    </row>
    <row r="339" spans="1:42" x14ac:dyDescent="0.3">
      <c r="A339" s="386" t="s">
        <v>30</v>
      </c>
      <c r="B339" s="10" t="s">
        <v>31</v>
      </c>
      <c r="C339" s="328" t="s">
        <v>12861</v>
      </c>
      <c r="D339" s="283" t="s">
        <v>6838</v>
      </c>
      <c r="E339" s="328" t="s">
        <v>12862</v>
      </c>
      <c r="F339" s="283" t="s">
        <v>12811</v>
      </c>
      <c r="G339" s="328" t="s">
        <v>12863</v>
      </c>
      <c r="H339" t="s">
        <v>12812</v>
      </c>
      <c r="K339" s="328" t="s">
        <v>12878</v>
      </c>
      <c r="L339" s="283" t="s">
        <v>12779</v>
      </c>
      <c r="M339" s="1" t="s">
        <v>12780</v>
      </c>
      <c r="V339" s="283" t="s">
        <v>12799</v>
      </c>
    </row>
    <row r="340" spans="1:42" x14ac:dyDescent="0.3">
      <c r="A340" s="386" t="s">
        <v>30</v>
      </c>
      <c r="B340" s="10" t="s">
        <v>31</v>
      </c>
      <c r="C340" s="328" t="s">
        <v>12861</v>
      </c>
      <c r="D340" s="283" t="s">
        <v>6838</v>
      </c>
      <c r="E340" s="328" t="s">
        <v>12862</v>
      </c>
      <c r="F340" s="283" t="s">
        <v>12811</v>
      </c>
      <c r="G340" s="328" t="s">
        <v>12863</v>
      </c>
      <c r="H340" t="s">
        <v>12812</v>
      </c>
      <c r="K340" s="328" t="s">
        <v>12879</v>
      </c>
      <c r="L340" s="283" t="s">
        <v>12806</v>
      </c>
      <c r="M340" s="1" t="s">
        <v>12781</v>
      </c>
      <c r="V340" s="283" t="s">
        <v>12805</v>
      </c>
    </row>
    <row r="341" spans="1:42" x14ac:dyDescent="0.3">
      <c r="A341" s="386" t="s">
        <v>30</v>
      </c>
      <c r="B341" s="10" t="s">
        <v>31</v>
      </c>
      <c r="C341" s="328" t="s">
        <v>12861</v>
      </c>
      <c r="D341" s="283" t="s">
        <v>6838</v>
      </c>
      <c r="E341" s="328" t="s">
        <v>12862</v>
      </c>
      <c r="F341" s="283" t="s">
        <v>12811</v>
      </c>
      <c r="G341" s="328" t="s">
        <v>12863</v>
      </c>
      <c r="H341" t="s">
        <v>12812</v>
      </c>
      <c r="K341" s="328" t="s">
        <v>12880</v>
      </c>
      <c r="L341" s="283" t="s">
        <v>12782</v>
      </c>
      <c r="V341" s="283" t="s">
        <v>12782</v>
      </c>
    </row>
    <row r="342" spans="1:42" x14ac:dyDescent="0.3">
      <c r="A342" s="386" t="s">
        <v>30</v>
      </c>
      <c r="B342" s="10" t="s">
        <v>31</v>
      </c>
      <c r="C342" s="328" t="s">
        <v>12861</v>
      </c>
      <c r="D342" s="283" t="s">
        <v>6838</v>
      </c>
      <c r="E342" s="328" t="s">
        <v>12862</v>
      </c>
      <c r="F342" s="283" t="s">
        <v>12811</v>
      </c>
      <c r="G342" s="328" t="s">
        <v>12863</v>
      </c>
      <c r="H342" t="s">
        <v>12812</v>
      </c>
      <c r="K342" s="328" t="s">
        <v>12864</v>
      </c>
      <c r="L342" s="283" t="s">
        <v>12783</v>
      </c>
      <c r="M342" s="1" t="s">
        <v>12784</v>
      </c>
      <c r="V342" s="283" t="s">
        <v>12783</v>
      </c>
    </row>
    <row r="343" spans="1:42" x14ac:dyDescent="0.3">
      <c r="A343" s="386" t="s">
        <v>30</v>
      </c>
      <c r="B343" s="10" t="s">
        <v>31</v>
      </c>
      <c r="C343" s="328" t="s">
        <v>12861</v>
      </c>
      <c r="D343" s="283" t="s">
        <v>6838</v>
      </c>
      <c r="E343" s="328" t="s">
        <v>12862</v>
      </c>
      <c r="F343" s="283" t="s">
        <v>12811</v>
      </c>
      <c r="G343" s="328" t="s">
        <v>12863</v>
      </c>
      <c r="H343" t="s">
        <v>12812</v>
      </c>
      <c r="K343" s="328" t="s">
        <v>12864</v>
      </c>
      <c r="L343" s="283" t="s">
        <v>12785</v>
      </c>
      <c r="M343" s="1" t="s">
        <v>12786</v>
      </c>
      <c r="V343" s="283" t="s">
        <v>12801</v>
      </c>
    </row>
    <row r="344" spans="1:42" x14ac:dyDescent="0.3">
      <c r="A344" s="386" t="s">
        <v>30</v>
      </c>
      <c r="B344" s="10" t="s">
        <v>31</v>
      </c>
      <c r="C344" s="328" t="s">
        <v>12861</v>
      </c>
      <c r="D344" s="283" t="s">
        <v>6838</v>
      </c>
      <c r="E344" s="328" t="s">
        <v>12862</v>
      </c>
      <c r="F344" s="283" t="s">
        <v>12811</v>
      </c>
      <c r="G344" s="328" t="s">
        <v>12863</v>
      </c>
      <c r="H344" t="s">
        <v>12812</v>
      </c>
      <c r="K344" s="328" t="s">
        <v>12881</v>
      </c>
      <c r="L344" s="283" t="s">
        <v>12787</v>
      </c>
      <c r="M344" s="1" t="s">
        <v>12788</v>
      </c>
      <c r="V344" s="283" t="s">
        <v>12802</v>
      </c>
    </row>
    <row r="345" spans="1:42" x14ac:dyDescent="0.3">
      <c r="A345" s="386" t="s">
        <v>30</v>
      </c>
      <c r="B345" s="10" t="s">
        <v>31</v>
      </c>
      <c r="C345" s="328" t="s">
        <v>12861</v>
      </c>
      <c r="D345" s="283" t="s">
        <v>6838</v>
      </c>
      <c r="E345" s="328" t="s">
        <v>12862</v>
      </c>
      <c r="F345" s="283" t="s">
        <v>12811</v>
      </c>
      <c r="G345" s="328" t="s">
        <v>12863</v>
      </c>
      <c r="H345" t="s">
        <v>12812</v>
      </c>
      <c r="K345" s="328" t="s">
        <v>12882</v>
      </c>
      <c r="L345" s="283" t="s">
        <v>12789</v>
      </c>
      <c r="M345" s="1" t="s">
        <v>12790</v>
      </c>
      <c r="V345" s="283" t="s">
        <v>12803</v>
      </c>
    </row>
    <row r="346" spans="1:42" x14ac:dyDescent="0.3">
      <c r="A346" s="386" t="s">
        <v>30</v>
      </c>
      <c r="B346" s="10" t="s">
        <v>31</v>
      </c>
      <c r="C346" s="328" t="s">
        <v>12861</v>
      </c>
      <c r="D346" s="283" t="s">
        <v>6838</v>
      </c>
      <c r="E346" s="328" t="s">
        <v>12862</v>
      </c>
      <c r="F346" s="283" t="s">
        <v>12811</v>
      </c>
      <c r="G346" s="328" t="s">
        <v>12863</v>
      </c>
      <c r="H346" t="s">
        <v>12812</v>
      </c>
      <c r="K346" s="328" t="s">
        <v>12883</v>
      </c>
      <c r="L346" s="283" t="s">
        <v>12791</v>
      </c>
      <c r="M346" s="1" t="s">
        <v>12807</v>
      </c>
      <c r="V346" s="283" t="s">
        <v>12804</v>
      </c>
    </row>
    <row r="347" spans="1:42" s="293" customFormat="1" x14ac:dyDescent="0.3">
      <c r="A347" s="50" t="s">
        <v>1444</v>
      </c>
      <c r="B347" s="51" t="s">
        <v>4050</v>
      </c>
      <c r="C347" s="50" t="s">
        <v>4051</v>
      </c>
      <c r="D347" s="51" t="s">
        <v>1491</v>
      </c>
      <c r="E347" s="50" t="s">
        <v>4051</v>
      </c>
      <c r="F347" s="51" t="s">
        <v>1493</v>
      </c>
      <c r="G347" s="50" t="s">
        <v>4051</v>
      </c>
      <c r="H347" s="51" t="s">
        <v>1491</v>
      </c>
      <c r="I347" s="51"/>
      <c r="J347" s="51"/>
      <c r="K347" s="50" t="s">
        <v>4051</v>
      </c>
      <c r="L347" s="51" t="s">
        <v>1491</v>
      </c>
      <c r="M347" s="420" t="s">
        <v>271</v>
      </c>
      <c r="N347" s="420" t="s">
        <v>271</v>
      </c>
      <c r="O347" s="420" t="s">
        <v>271</v>
      </c>
      <c r="P347" s="60" t="s">
        <v>271</v>
      </c>
      <c r="Q347" s="60" t="s">
        <v>271</v>
      </c>
      <c r="R347" s="60" t="s">
        <v>271</v>
      </c>
      <c r="S347" s="60" t="s">
        <v>271</v>
      </c>
      <c r="T347" s="60" t="s">
        <v>271</v>
      </c>
      <c r="U347" s="60" t="s">
        <v>271</v>
      </c>
      <c r="V347" s="51" t="s">
        <v>1489</v>
      </c>
      <c r="W347" s="291"/>
      <c r="X347" s="291"/>
      <c r="Y347" s="291"/>
      <c r="Z347" s="291"/>
      <c r="AA347" s="291"/>
      <c r="AB347" s="291"/>
      <c r="AC347" s="291"/>
      <c r="AD347" s="291"/>
      <c r="AE347" s="292"/>
      <c r="AF347" s="56"/>
      <c r="AG347" s="292"/>
      <c r="AH347" s="56"/>
      <c r="AI347" s="56"/>
      <c r="AJ347" s="56"/>
      <c r="AK347" s="57">
        <v>0</v>
      </c>
      <c r="AL347" s="57">
        <v>0</v>
      </c>
      <c r="AM347" s="147">
        <f t="shared" ref="AM347:AM410" si="11">SUM(AK347:AL347)</f>
        <v>0</v>
      </c>
      <c r="AN347" s="52"/>
      <c r="AO347" s="52"/>
      <c r="AP347" s="51"/>
    </row>
    <row r="348" spans="1:42" s="293" customFormat="1" x14ac:dyDescent="0.3">
      <c r="A348" s="50" t="s">
        <v>1444</v>
      </c>
      <c r="B348" s="51" t="s">
        <v>4050</v>
      </c>
      <c r="C348" s="50" t="s">
        <v>4051</v>
      </c>
      <c r="D348" s="51" t="s">
        <v>1491</v>
      </c>
      <c r="E348" s="50" t="s">
        <v>4051</v>
      </c>
      <c r="F348" s="51" t="s">
        <v>1493</v>
      </c>
      <c r="G348" s="50" t="s">
        <v>4051</v>
      </c>
      <c r="H348" s="51" t="s">
        <v>1491</v>
      </c>
      <c r="I348" s="51"/>
      <c r="J348" s="51"/>
      <c r="K348" s="50" t="s">
        <v>4051</v>
      </c>
      <c r="L348" s="51" t="s">
        <v>1491</v>
      </c>
      <c r="M348" s="420" t="s">
        <v>271</v>
      </c>
      <c r="N348" s="420" t="s">
        <v>271</v>
      </c>
      <c r="O348" s="420" t="s">
        <v>271</v>
      </c>
      <c r="P348" s="60" t="s">
        <v>271</v>
      </c>
      <c r="Q348" s="60" t="s">
        <v>271</v>
      </c>
      <c r="R348" s="60" t="s">
        <v>271</v>
      </c>
      <c r="S348" s="60" t="s">
        <v>271</v>
      </c>
      <c r="T348" s="60" t="s">
        <v>271</v>
      </c>
      <c r="U348" s="60" t="s">
        <v>271</v>
      </c>
      <c r="V348" s="51" t="s">
        <v>1490</v>
      </c>
      <c r="W348" s="291"/>
      <c r="X348" s="291"/>
      <c r="Y348" s="291"/>
      <c r="Z348" s="291"/>
      <c r="AA348" s="291"/>
      <c r="AB348" s="291"/>
      <c r="AC348" s="291"/>
      <c r="AD348" s="291"/>
      <c r="AE348" s="292"/>
      <c r="AF348" s="56"/>
      <c r="AG348" s="292"/>
      <c r="AH348" s="56"/>
      <c r="AI348" s="56"/>
      <c r="AJ348" s="56"/>
      <c r="AK348" s="57">
        <v>0</v>
      </c>
      <c r="AL348" s="57">
        <v>0</v>
      </c>
      <c r="AM348" s="147">
        <f t="shared" si="11"/>
        <v>0</v>
      </c>
      <c r="AN348" s="52"/>
      <c r="AO348" s="52"/>
      <c r="AP348" s="51"/>
    </row>
    <row r="349" spans="1:42" s="293" customFormat="1" x14ac:dyDescent="0.3">
      <c r="A349" s="50" t="s">
        <v>1444</v>
      </c>
      <c r="B349" s="51" t="s">
        <v>4050</v>
      </c>
      <c r="C349" s="50" t="s">
        <v>4051</v>
      </c>
      <c r="D349" s="51" t="s">
        <v>1491</v>
      </c>
      <c r="E349" s="50" t="s">
        <v>4051</v>
      </c>
      <c r="F349" s="51" t="s">
        <v>1493</v>
      </c>
      <c r="G349" s="50" t="s">
        <v>4051</v>
      </c>
      <c r="H349" s="51" t="s">
        <v>1491</v>
      </c>
      <c r="I349" s="51"/>
      <c r="J349" s="51"/>
      <c r="K349" s="50" t="s">
        <v>4051</v>
      </c>
      <c r="L349" s="51" t="s">
        <v>1491</v>
      </c>
      <c r="M349" s="420" t="s">
        <v>271</v>
      </c>
      <c r="N349" s="420" t="s">
        <v>271</v>
      </c>
      <c r="O349" s="420" t="s">
        <v>271</v>
      </c>
      <c r="P349" s="60" t="s">
        <v>271</v>
      </c>
      <c r="Q349" s="60" t="s">
        <v>271</v>
      </c>
      <c r="R349" s="60" t="s">
        <v>271</v>
      </c>
      <c r="S349" s="60" t="s">
        <v>271</v>
      </c>
      <c r="T349" s="60" t="s">
        <v>271</v>
      </c>
      <c r="U349" s="60" t="s">
        <v>271</v>
      </c>
      <c r="V349" s="51" t="s">
        <v>1495</v>
      </c>
      <c r="W349" s="291"/>
      <c r="X349" s="291"/>
      <c r="Y349" s="291"/>
      <c r="Z349" s="291"/>
      <c r="AA349" s="291"/>
      <c r="AB349" s="291"/>
      <c r="AC349" s="291"/>
      <c r="AD349" s="291"/>
      <c r="AE349" s="292"/>
      <c r="AF349" s="56"/>
      <c r="AG349" s="292"/>
      <c r="AH349" s="56"/>
      <c r="AI349" s="56"/>
      <c r="AJ349" s="56"/>
      <c r="AK349" s="57">
        <v>22.45</v>
      </c>
      <c r="AL349" s="57">
        <v>22.45</v>
      </c>
      <c r="AM349" s="147">
        <f t="shared" si="11"/>
        <v>44.9</v>
      </c>
      <c r="AN349" s="52"/>
      <c r="AO349" s="52"/>
      <c r="AP349" s="51"/>
    </row>
    <row r="350" spans="1:42" s="10" customFormat="1" x14ac:dyDescent="0.3">
      <c r="A350" s="213" t="s">
        <v>1444</v>
      </c>
      <c r="B350" s="10" t="s">
        <v>4050</v>
      </c>
      <c r="C350" s="213" t="s">
        <v>1445</v>
      </c>
      <c r="D350" s="10" t="s">
        <v>4052</v>
      </c>
      <c r="E350" s="213" t="s">
        <v>4053</v>
      </c>
      <c r="F350" s="10" t="s">
        <v>4054</v>
      </c>
      <c r="G350" s="213" t="s">
        <v>4055</v>
      </c>
      <c r="H350" s="10" t="s">
        <v>4056</v>
      </c>
      <c r="K350" s="213" t="s">
        <v>4057</v>
      </c>
      <c r="L350" s="10" t="s">
        <v>4058</v>
      </c>
      <c r="M350" s="18" t="s">
        <v>4059</v>
      </c>
      <c r="N350" s="18">
        <v>0</v>
      </c>
      <c r="O350" s="18">
        <v>0</v>
      </c>
      <c r="P350" s="16">
        <v>0</v>
      </c>
      <c r="Q350" s="16">
        <v>0</v>
      </c>
      <c r="R350" s="16">
        <v>1</v>
      </c>
      <c r="S350" s="16" t="s">
        <v>271</v>
      </c>
      <c r="T350" s="10" t="s">
        <v>1035</v>
      </c>
      <c r="U350" s="283" t="s">
        <v>1037</v>
      </c>
      <c r="V350" s="10" t="s">
        <v>4060</v>
      </c>
      <c r="W350" s="10">
        <v>1</v>
      </c>
      <c r="X350" s="10">
        <v>0</v>
      </c>
      <c r="Y350" s="10">
        <v>0</v>
      </c>
      <c r="Z350" s="10">
        <v>1</v>
      </c>
      <c r="AA350" s="10">
        <v>1</v>
      </c>
      <c r="AB350" s="10">
        <v>0</v>
      </c>
      <c r="AC350" s="316">
        <v>0</v>
      </c>
      <c r="AD350" s="316">
        <v>1</v>
      </c>
      <c r="AE350" s="302">
        <f t="shared" ref="AE350:AE413" si="12">SUM(W350:AD350)/8</f>
        <v>0.5</v>
      </c>
      <c r="AF350" s="32"/>
      <c r="AG350" s="17">
        <v>0</v>
      </c>
      <c r="AH350" s="32">
        <v>0.1</v>
      </c>
      <c r="AI350" s="32">
        <v>0.1</v>
      </c>
      <c r="AJ350" s="32">
        <v>0.1</v>
      </c>
      <c r="AK350" s="153">
        <v>0</v>
      </c>
      <c r="AL350" s="154">
        <v>0</v>
      </c>
      <c r="AM350" s="147">
        <f t="shared" si="11"/>
        <v>0</v>
      </c>
      <c r="AN350" s="32" t="s">
        <v>1035</v>
      </c>
      <c r="AO350" s="18" t="s">
        <v>1037</v>
      </c>
      <c r="AP350" s="10" t="s">
        <v>4061</v>
      </c>
    </row>
    <row r="351" spans="1:42" s="10" customFormat="1" x14ac:dyDescent="0.3">
      <c r="A351" s="213" t="s">
        <v>1444</v>
      </c>
      <c r="B351" s="10" t="s">
        <v>4050</v>
      </c>
      <c r="C351" s="213" t="s">
        <v>1445</v>
      </c>
      <c r="D351" s="10" t="s">
        <v>4052</v>
      </c>
      <c r="E351" s="213" t="s">
        <v>4053</v>
      </c>
      <c r="F351" s="10" t="s">
        <v>4054</v>
      </c>
      <c r="G351" s="213" t="s">
        <v>4055</v>
      </c>
      <c r="H351" s="10" t="s">
        <v>4056</v>
      </c>
      <c r="K351" s="213" t="s">
        <v>4057</v>
      </c>
      <c r="L351" s="10" t="s">
        <v>4058</v>
      </c>
      <c r="M351" s="18" t="s">
        <v>4059</v>
      </c>
      <c r="N351" s="18"/>
      <c r="O351" s="18"/>
      <c r="P351" s="16"/>
      <c r="Q351" s="16"/>
      <c r="R351" s="16"/>
      <c r="S351" s="16"/>
      <c r="T351" s="10" t="s">
        <v>4062</v>
      </c>
      <c r="U351" s="283" t="s">
        <v>1037</v>
      </c>
      <c r="V351" s="10" t="s">
        <v>4060</v>
      </c>
      <c r="W351" s="10">
        <v>1</v>
      </c>
      <c r="X351" s="10">
        <v>0</v>
      </c>
      <c r="Y351" s="10">
        <v>0</v>
      </c>
      <c r="Z351" s="10">
        <v>1</v>
      </c>
      <c r="AA351" s="10">
        <v>1</v>
      </c>
      <c r="AB351" s="10">
        <v>0</v>
      </c>
      <c r="AC351" s="316">
        <v>0</v>
      </c>
      <c r="AD351" s="316">
        <v>1</v>
      </c>
      <c r="AE351" s="302">
        <f t="shared" si="12"/>
        <v>0.5</v>
      </c>
      <c r="AF351" s="32"/>
      <c r="AG351" s="17">
        <v>0</v>
      </c>
      <c r="AH351" s="32">
        <v>0.1</v>
      </c>
      <c r="AI351" s="32">
        <v>0.1</v>
      </c>
      <c r="AJ351" s="32">
        <v>0.1</v>
      </c>
      <c r="AK351" s="153">
        <v>0</v>
      </c>
      <c r="AL351" s="154">
        <v>0</v>
      </c>
      <c r="AM351" s="147">
        <f t="shared" si="11"/>
        <v>0</v>
      </c>
      <c r="AN351" s="10" t="s">
        <v>2172</v>
      </c>
      <c r="AO351" s="18" t="s">
        <v>2236</v>
      </c>
      <c r="AP351" s="10" t="s">
        <v>4063</v>
      </c>
    </row>
    <row r="352" spans="1:42" s="10" customFormat="1" x14ac:dyDescent="0.3">
      <c r="A352" s="213" t="s">
        <v>1444</v>
      </c>
      <c r="B352" s="10" t="s">
        <v>4050</v>
      </c>
      <c r="C352" s="213" t="s">
        <v>1445</v>
      </c>
      <c r="D352" s="10" t="s">
        <v>4052</v>
      </c>
      <c r="E352" s="213" t="s">
        <v>4053</v>
      </c>
      <c r="F352" s="10" t="s">
        <v>4054</v>
      </c>
      <c r="G352" s="213" t="s">
        <v>4055</v>
      </c>
      <c r="H352" s="10" t="s">
        <v>4056</v>
      </c>
      <c r="K352" s="213" t="s">
        <v>4057</v>
      </c>
      <c r="L352" s="10" t="s">
        <v>4058</v>
      </c>
      <c r="M352" s="18" t="s">
        <v>4059</v>
      </c>
      <c r="N352" s="18"/>
      <c r="O352" s="18"/>
      <c r="P352" s="16"/>
      <c r="Q352" s="16"/>
      <c r="R352" s="16"/>
      <c r="S352" s="16"/>
      <c r="T352" s="32" t="s">
        <v>1035</v>
      </c>
      <c r="U352" s="283" t="s">
        <v>1037</v>
      </c>
      <c r="V352" s="10" t="s">
        <v>4064</v>
      </c>
      <c r="W352" s="10">
        <v>1</v>
      </c>
      <c r="X352" s="10">
        <v>0</v>
      </c>
      <c r="Y352" s="10">
        <v>0</v>
      </c>
      <c r="Z352" s="10">
        <v>1</v>
      </c>
      <c r="AA352" s="10">
        <v>1</v>
      </c>
      <c r="AB352" s="10">
        <v>0</v>
      </c>
      <c r="AC352" s="316">
        <v>0</v>
      </c>
      <c r="AD352" s="316">
        <v>1</v>
      </c>
      <c r="AE352" s="302">
        <f t="shared" si="12"/>
        <v>0.5</v>
      </c>
      <c r="AF352" s="32">
        <v>1</v>
      </c>
      <c r="AG352" s="17">
        <v>0</v>
      </c>
      <c r="AH352" s="32" t="s">
        <v>271</v>
      </c>
      <c r="AI352" s="32">
        <v>1.5</v>
      </c>
      <c r="AJ352" s="32">
        <v>1.5</v>
      </c>
      <c r="AK352" s="214">
        <v>2</v>
      </c>
      <c r="AL352" s="154">
        <v>0</v>
      </c>
      <c r="AM352" s="147">
        <f t="shared" si="11"/>
        <v>2</v>
      </c>
      <c r="AN352" s="32" t="s">
        <v>1035</v>
      </c>
      <c r="AO352" s="18" t="s">
        <v>1037</v>
      </c>
      <c r="AP352" s="10" t="s">
        <v>4065</v>
      </c>
    </row>
    <row r="353" spans="1:42" s="10" customFormat="1" x14ac:dyDescent="0.3">
      <c r="A353" s="213" t="s">
        <v>1444</v>
      </c>
      <c r="B353" s="10" t="s">
        <v>4050</v>
      </c>
      <c r="C353" s="213" t="s">
        <v>1445</v>
      </c>
      <c r="D353" s="10" t="s">
        <v>4052</v>
      </c>
      <c r="E353" s="213" t="s">
        <v>4053</v>
      </c>
      <c r="F353" s="10" t="s">
        <v>4054</v>
      </c>
      <c r="G353" s="213" t="s">
        <v>4055</v>
      </c>
      <c r="H353" s="10" t="s">
        <v>4056</v>
      </c>
      <c r="K353" s="213" t="s">
        <v>4057</v>
      </c>
      <c r="L353" s="10" t="s">
        <v>4058</v>
      </c>
      <c r="M353" s="18" t="s">
        <v>4059</v>
      </c>
      <c r="N353" s="18"/>
      <c r="O353" s="18"/>
      <c r="P353" s="16"/>
      <c r="Q353" s="16"/>
      <c r="R353" s="16"/>
      <c r="S353" s="16"/>
      <c r="T353" s="10" t="s">
        <v>4062</v>
      </c>
      <c r="U353" s="283" t="s">
        <v>1037</v>
      </c>
      <c r="V353" s="10" t="s">
        <v>4066</v>
      </c>
      <c r="W353" s="10">
        <v>1</v>
      </c>
      <c r="X353" s="10">
        <v>0</v>
      </c>
      <c r="Y353" s="10">
        <v>0</v>
      </c>
      <c r="Z353" s="10">
        <v>1</v>
      </c>
      <c r="AA353" s="10">
        <v>1</v>
      </c>
      <c r="AB353" s="10">
        <v>0</v>
      </c>
      <c r="AC353" s="316">
        <v>0</v>
      </c>
      <c r="AD353" s="316">
        <v>1</v>
      </c>
      <c r="AE353" s="302">
        <f t="shared" si="12"/>
        <v>0.5</v>
      </c>
      <c r="AF353" s="32">
        <v>1</v>
      </c>
      <c r="AG353" s="17">
        <v>0</v>
      </c>
      <c r="AH353" s="32">
        <v>33</v>
      </c>
      <c r="AI353" s="32">
        <v>23</v>
      </c>
      <c r="AJ353" s="17">
        <v>0</v>
      </c>
      <c r="AK353" s="153">
        <v>0</v>
      </c>
      <c r="AL353" s="154">
        <v>0</v>
      </c>
      <c r="AM353" s="147">
        <f t="shared" si="11"/>
        <v>0</v>
      </c>
      <c r="AN353" s="32" t="s">
        <v>4067</v>
      </c>
      <c r="AO353" s="18" t="s">
        <v>1037</v>
      </c>
      <c r="AP353" s="10" t="s">
        <v>4068</v>
      </c>
    </row>
    <row r="354" spans="1:42" s="10" customFormat="1" x14ac:dyDescent="0.3">
      <c r="A354" s="213" t="s">
        <v>1444</v>
      </c>
      <c r="B354" s="10" t="s">
        <v>4050</v>
      </c>
      <c r="C354" s="213" t="s">
        <v>1445</v>
      </c>
      <c r="D354" s="10" t="s">
        <v>4052</v>
      </c>
      <c r="E354" s="213" t="s">
        <v>4053</v>
      </c>
      <c r="F354" s="10" t="s">
        <v>4054</v>
      </c>
      <c r="G354" s="213" t="s">
        <v>4069</v>
      </c>
      <c r="H354" s="10" t="s">
        <v>4070</v>
      </c>
      <c r="K354" s="213" t="s">
        <v>4071</v>
      </c>
      <c r="L354" s="10" t="s">
        <v>4072</v>
      </c>
      <c r="M354" s="18" t="s">
        <v>4073</v>
      </c>
      <c r="N354" s="18">
        <v>0.6</v>
      </c>
      <c r="O354" s="18">
        <v>1.5</v>
      </c>
      <c r="P354" s="16">
        <v>2</v>
      </c>
      <c r="Q354" s="16">
        <v>2.5</v>
      </c>
      <c r="R354" s="16">
        <v>3.5</v>
      </c>
      <c r="S354" s="16">
        <v>3.5</v>
      </c>
      <c r="T354" s="10" t="s">
        <v>4062</v>
      </c>
      <c r="U354" s="283" t="s">
        <v>1037</v>
      </c>
      <c r="V354" s="10" t="s">
        <v>4074</v>
      </c>
      <c r="W354" s="10">
        <v>1</v>
      </c>
      <c r="X354" s="10">
        <v>0</v>
      </c>
      <c r="Y354" s="10">
        <v>0</v>
      </c>
      <c r="Z354" s="10">
        <v>1</v>
      </c>
      <c r="AA354" s="10">
        <v>1</v>
      </c>
      <c r="AB354" s="10">
        <v>0</v>
      </c>
      <c r="AC354" s="316">
        <v>0</v>
      </c>
      <c r="AD354" s="316">
        <v>1</v>
      </c>
      <c r="AE354" s="302">
        <f t="shared" si="12"/>
        <v>0.5</v>
      </c>
      <c r="AF354" s="32">
        <v>1</v>
      </c>
      <c r="AG354" s="17">
        <v>0</v>
      </c>
      <c r="AH354" s="32">
        <v>47.5</v>
      </c>
      <c r="AI354" s="32">
        <v>30</v>
      </c>
      <c r="AJ354" s="32">
        <v>22.5</v>
      </c>
      <c r="AK354" s="153">
        <v>0</v>
      </c>
      <c r="AL354" s="154">
        <v>0</v>
      </c>
      <c r="AM354" s="147">
        <f t="shared" si="11"/>
        <v>0</v>
      </c>
      <c r="AN354" s="32" t="s">
        <v>4067</v>
      </c>
      <c r="AO354" s="18" t="s">
        <v>1037</v>
      </c>
      <c r="AP354" s="10" t="s">
        <v>4075</v>
      </c>
    </row>
    <row r="355" spans="1:42" s="10" customFormat="1" x14ac:dyDescent="0.3">
      <c r="A355" s="213" t="s">
        <v>1444</v>
      </c>
      <c r="B355" s="10" t="s">
        <v>4050</v>
      </c>
      <c r="C355" s="213" t="s">
        <v>1445</v>
      </c>
      <c r="D355" s="10" t="s">
        <v>4052</v>
      </c>
      <c r="E355" s="213" t="s">
        <v>4053</v>
      </c>
      <c r="F355" s="10" t="s">
        <v>4054</v>
      </c>
      <c r="G355" s="213" t="s">
        <v>4069</v>
      </c>
      <c r="H355" s="10" t="s">
        <v>4070</v>
      </c>
      <c r="K355" s="213" t="s">
        <v>4071</v>
      </c>
      <c r="L355" s="10" t="s">
        <v>4072</v>
      </c>
      <c r="M355" s="18"/>
      <c r="N355" s="18"/>
      <c r="O355" s="18"/>
      <c r="P355" s="16"/>
      <c r="Q355" s="16"/>
      <c r="R355" s="16"/>
      <c r="S355" s="16"/>
      <c r="T355" s="10" t="s">
        <v>4062</v>
      </c>
      <c r="U355" s="283" t="s">
        <v>1037</v>
      </c>
      <c r="V355" s="10" t="s">
        <v>4076</v>
      </c>
      <c r="W355" s="10">
        <v>1</v>
      </c>
      <c r="X355" s="10">
        <v>0</v>
      </c>
      <c r="Y355" s="10">
        <v>0</v>
      </c>
      <c r="Z355" s="10">
        <v>1</v>
      </c>
      <c r="AA355" s="10">
        <v>1</v>
      </c>
      <c r="AB355" s="10">
        <v>0</v>
      </c>
      <c r="AC355" s="316">
        <v>0</v>
      </c>
      <c r="AD355" s="316">
        <v>1</v>
      </c>
      <c r="AE355" s="302">
        <f t="shared" si="12"/>
        <v>0.5</v>
      </c>
      <c r="AF355" s="32">
        <v>1</v>
      </c>
      <c r="AG355" s="17">
        <v>0</v>
      </c>
      <c r="AH355" s="32">
        <v>1</v>
      </c>
      <c r="AI355" s="32">
        <v>2</v>
      </c>
      <c r="AJ355" s="32">
        <v>2</v>
      </c>
      <c r="AK355" s="214">
        <v>40</v>
      </c>
      <c r="AL355" s="214">
        <v>15</v>
      </c>
      <c r="AM355" s="147">
        <f t="shared" si="11"/>
        <v>55</v>
      </c>
      <c r="AN355" s="32" t="s">
        <v>4067</v>
      </c>
      <c r="AO355" s="18" t="s">
        <v>1037</v>
      </c>
      <c r="AP355" s="10" t="s">
        <v>4075</v>
      </c>
    </row>
    <row r="356" spans="1:42" s="10" customFormat="1" x14ac:dyDescent="0.3">
      <c r="A356" s="213" t="s">
        <v>1444</v>
      </c>
      <c r="B356" s="10" t="s">
        <v>4050</v>
      </c>
      <c r="C356" s="213" t="s">
        <v>1445</v>
      </c>
      <c r="D356" s="10" t="s">
        <v>4052</v>
      </c>
      <c r="E356" s="213" t="s">
        <v>4053</v>
      </c>
      <c r="F356" s="10" t="s">
        <v>4054</v>
      </c>
      <c r="G356" s="213" t="s">
        <v>4069</v>
      </c>
      <c r="H356" s="10" t="s">
        <v>4070</v>
      </c>
      <c r="K356" s="213" t="s">
        <v>4071</v>
      </c>
      <c r="L356" s="10" t="s">
        <v>4072</v>
      </c>
      <c r="M356" s="18"/>
      <c r="N356" s="18"/>
      <c r="O356" s="18"/>
      <c r="P356" s="16"/>
      <c r="Q356" s="16"/>
      <c r="R356" s="16"/>
      <c r="S356" s="16"/>
      <c r="T356" s="10" t="s">
        <v>4062</v>
      </c>
      <c r="U356" s="283" t="s">
        <v>1037</v>
      </c>
      <c r="V356" s="10" t="s">
        <v>4077</v>
      </c>
      <c r="W356" s="10">
        <v>1</v>
      </c>
      <c r="X356" s="10">
        <v>0</v>
      </c>
      <c r="Y356" s="10">
        <v>0</v>
      </c>
      <c r="Z356" s="10">
        <v>1</v>
      </c>
      <c r="AA356" s="10">
        <v>1</v>
      </c>
      <c r="AB356" s="10">
        <v>0</v>
      </c>
      <c r="AC356" s="316">
        <v>0</v>
      </c>
      <c r="AD356" s="316">
        <v>1</v>
      </c>
      <c r="AE356" s="302">
        <f t="shared" si="12"/>
        <v>0.5</v>
      </c>
      <c r="AF356" s="32"/>
      <c r="AG356" s="17">
        <v>0</v>
      </c>
      <c r="AH356" s="32">
        <v>33.099999999999994</v>
      </c>
      <c r="AI356" s="32">
        <v>25.6</v>
      </c>
      <c r="AJ356" s="32">
        <v>25.6</v>
      </c>
      <c r="AK356" s="214">
        <v>25.6</v>
      </c>
      <c r="AL356" s="154">
        <v>15</v>
      </c>
      <c r="AM356" s="147">
        <f t="shared" si="11"/>
        <v>40.6</v>
      </c>
      <c r="AN356" s="32" t="s">
        <v>4067</v>
      </c>
      <c r="AO356" s="18" t="s">
        <v>1037</v>
      </c>
      <c r="AP356" s="10" t="s">
        <v>4078</v>
      </c>
    </row>
    <row r="357" spans="1:42" s="10" customFormat="1" x14ac:dyDescent="0.3">
      <c r="A357" s="213" t="s">
        <v>1444</v>
      </c>
      <c r="B357" s="10" t="s">
        <v>4050</v>
      </c>
      <c r="C357" s="213" t="s">
        <v>1445</v>
      </c>
      <c r="D357" s="10" t="s">
        <v>4052</v>
      </c>
      <c r="E357" s="213" t="s">
        <v>4053</v>
      </c>
      <c r="F357" s="10" t="s">
        <v>4054</v>
      </c>
      <c r="G357" s="213" t="s">
        <v>4069</v>
      </c>
      <c r="H357" s="10" t="s">
        <v>4070</v>
      </c>
      <c r="K357" s="213" t="s">
        <v>4079</v>
      </c>
      <c r="L357" s="10" t="s">
        <v>4080</v>
      </c>
      <c r="M357" s="18" t="s">
        <v>4081</v>
      </c>
      <c r="N357" s="18">
        <v>0</v>
      </c>
      <c r="O357" s="18" t="s">
        <v>271</v>
      </c>
      <c r="P357" s="16">
        <v>1</v>
      </c>
      <c r="Q357" s="16" t="s">
        <v>271</v>
      </c>
      <c r="R357" s="16" t="s">
        <v>271</v>
      </c>
      <c r="S357" s="16" t="s">
        <v>271</v>
      </c>
      <c r="T357" s="10" t="s">
        <v>4062</v>
      </c>
      <c r="U357" s="283" t="s">
        <v>1037</v>
      </c>
      <c r="V357" s="10" t="s">
        <v>4082</v>
      </c>
      <c r="W357" s="10">
        <v>1</v>
      </c>
      <c r="X357" s="10">
        <v>0</v>
      </c>
      <c r="Y357" s="10">
        <v>0</v>
      </c>
      <c r="Z357" s="10">
        <v>1</v>
      </c>
      <c r="AA357" s="10">
        <v>1</v>
      </c>
      <c r="AB357" s="10">
        <v>0</v>
      </c>
      <c r="AC357" s="316">
        <v>0</v>
      </c>
      <c r="AD357" s="316">
        <v>1</v>
      </c>
      <c r="AE357" s="302">
        <f t="shared" si="12"/>
        <v>0.5</v>
      </c>
      <c r="AF357" s="32"/>
      <c r="AG357" s="17">
        <v>0</v>
      </c>
      <c r="AH357" s="32">
        <v>15</v>
      </c>
      <c r="AI357" s="32">
        <v>15</v>
      </c>
      <c r="AJ357" s="32">
        <v>15</v>
      </c>
      <c r="AK357" s="214">
        <v>15</v>
      </c>
      <c r="AL357" s="154">
        <v>13.5</v>
      </c>
      <c r="AM357" s="147">
        <f t="shared" si="11"/>
        <v>28.5</v>
      </c>
      <c r="AN357" s="32" t="s">
        <v>4067</v>
      </c>
      <c r="AO357" s="18" t="s">
        <v>1037</v>
      </c>
      <c r="AP357" s="10" t="s">
        <v>4078</v>
      </c>
    </row>
    <row r="358" spans="1:42" s="10" customFormat="1" x14ac:dyDescent="0.3">
      <c r="A358" s="213" t="s">
        <v>1444</v>
      </c>
      <c r="B358" s="10" t="s">
        <v>4050</v>
      </c>
      <c r="C358" s="213" t="s">
        <v>1445</v>
      </c>
      <c r="D358" s="10" t="s">
        <v>4052</v>
      </c>
      <c r="E358" s="213" t="s">
        <v>4053</v>
      </c>
      <c r="F358" s="10" t="s">
        <v>4054</v>
      </c>
      <c r="G358" s="213" t="s">
        <v>4069</v>
      </c>
      <c r="H358" s="10" t="s">
        <v>4070</v>
      </c>
      <c r="K358" s="213" t="s">
        <v>4079</v>
      </c>
      <c r="L358" s="10" t="s">
        <v>4080</v>
      </c>
      <c r="M358" s="18"/>
      <c r="N358" s="18"/>
      <c r="O358" s="18"/>
      <c r="P358" s="16"/>
      <c r="Q358" s="16"/>
      <c r="R358" s="16"/>
      <c r="S358" s="16"/>
      <c r="T358" s="10" t="s">
        <v>4062</v>
      </c>
      <c r="U358" s="283" t="s">
        <v>1037</v>
      </c>
      <c r="V358" s="10" t="s">
        <v>4083</v>
      </c>
      <c r="W358" s="10">
        <v>1</v>
      </c>
      <c r="X358" s="10">
        <v>0</v>
      </c>
      <c r="Y358" s="10">
        <v>0</v>
      </c>
      <c r="Z358" s="10">
        <v>1</v>
      </c>
      <c r="AA358" s="10">
        <v>1</v>
      </c>
      <c r="AB358" s="10">
        <v>1</v>
      </c>
      <c r="AC358" s="316">
        <v>1</v>
      </c>
      <c r="AD358" s="316">
        <v>1</v>
      </c>
      <c r="AE358" s="302">
        <f t="shared" si="12"/>
        <v>0.75</v>
      </c>
      <c r="AF358" s="32"/>
      <c r="AG358" s="17">
        <v>0</v>
      </c>
      <c r="AH358" s="32">
        <v>1</v>
      </c>
      <c r="AI358" s="32">
        <v>2</v>
      </c>
      <c r="AJ358" s="32">
        <v>1</v>
      </c>
      <c r="AK358" s="214">
        <v>1</v>
      </c>
      <c r="AL358" s="214">
        <v>1</v>
      </c>
      <c r="AM358" s="147">
        <f t="shared" si="11"/>
        <v>2</v>
      </c>
      <c r="AN358" s="32" t="s">
        <v>4067</v>
      </c>
      <c r="AO358" s="18" t="s">
        <v>1037</v>
      </c>
      <c r="AP358" s="10" t="s">
        <v>4084</v>
      </c>
    </row>
    <row r="359" spans="1:42" s="10" customFormat="1" x14ac:dyDescent="0.3">
      <c r="A359" s="213" t="s">
        <v>1444</v>
      </c>
      <c r="B359" s="10" t="s">
        <v>4050</v>
      </c>
      <c r="C359" s="213" t="s">
        <v>1445</v>
      </c>
      <c r="D359" s="10" t="s">
        <v>4052</v>
      </c>
      <c r="E359" s="213" t="s">
        <v>4053</v>
      </c>
      <c r="F359" s="10" t="s">
        <v>4054</v>
      </c>
      <c r="G359" s="213" t="s">
        <v>4069</v>
      </c>
      <c r="H359" s="10" t="s">
        <v>4070</v>
      </c>
      <c r="K359" s="213" t="s">
        <v>4079</v>
      </c>
      <c r="L359" s="10" t="s">
        <v>4080</v>
      </c>
      <c r="M359" s="18"/>
      <c r="N359" s="18"/>
      <c r="O359" s="18"/>
      <c r="P359" s="16"/>
      <c r="Q359" s="16"/>
      <c r="R359" s="16"/>
      <c r="S359" s="16"/>
      <c r="T359" s="10" t="s">
        <v>4062</v>
      </c>
      <c r="U359" s="283" t="s">
        <v>1037</v>
      </c>
      <c r="V359" s="10" t="s">
        <v>4083</v>
      </c>
      <c r="W359" s="10">
        <v>1</v>
      </c>
      <c r="X359" s="10">
        <v>0</v>
      </c>
      <c r="Y359" s="10">
        <v>0</v>
      </c>
      <c r="Z359" s="10">
        <v>1</v>
      </c>
      <c r="AA359" s="10">
        <v>1</v>
      </c>
      <c r="AB359" s="10">
        <v>1</v>
      </c>
      <c r="AC359" s="316">
        <v>1</v>
      </c>
      <c r="AD359" s="316">
        <v>1</v>
      </c>
      <c r="AE359" s="302">
        <f t="shared" si="12"/>
        <v>0.75</v>
      </c>
      <c r="AF359" s="32"/>
      <c r="AG359" s="17">
        <v>0</v>
      </c>
      <c r="AH359" s="32" t="s">
        <v>271</v>
      </c>
      <c r="AI359" s="32">
        <v>0.2</v>
      </c>
      <c r="AJ359" s="32">
        <v>0.1</v>
      </c>
      <c r="AK359" s="214">
        <v>0.1</v>
      </c>
      <c r="AL359" s="214">
        <v>0.1</v>
      </c>
      <c r="AM359" s="147">
        <f t="shared" si="11"/>
        <v>0.2</v>
      </c>
      <c r="AN359" s="10" t="s">
        <v>2074</v>
      </c>
      <c r="AO359" s="18" t="s">
        <v>2075</v>
      </c>
      <c r="AP359" s="10" t="s">
        <v>4085</v>
      </c>
    </row>
    <row r="360" spans="1:42" s="10" customFormat="1" x14ac:dyDescent="0.3">
      <c r="A360" s="213" t="s">
        <v>1444</v>
      </c>
      <c r="B360" s="10" t="s">
        <v>4050</v>
      </c>
      <c r="C360" s="213" t="s">
        <v>1445</v>
      </c>
      <c r="D360" s="10" t="s">
        <v>4052</v>
      </c>
      <c r="E360" s="213" t="s">
        <v>4053</v>
      </c>
      <c r="F360" s="10" t="s">
        <v>4054</v>
      </c>
      <c r="G360" s="213" t="s">
        <v>4069</v>
      </c>
      <c r="H360" s="10" t="s">
        <v>4070</v>
      </c>
      <c r="K360" s="213" t="s">
        <v>4079</v>
      </c>
      <c r="L360" s="10" t="s">
        <v>4080</v>
      </c>
      <c r="M360" s="18"/>
      <c r="N360" s="18"/>
      <c r="O360" s="18"/>
      <c r="P360" s="16"/>
      <c r="Q360" s="16"/>
      <c r="R360" s="16"/>
      <c r="S360" s="16"/>
      <c r="T360" s="10" t="s">
        <v>4062</v>
      </c>
      <c r="U360" s="283" t="s">
        <v>1037</v>
      </c>
      <c r="V360" s="10" t="s">
        <v>4086</v>
      </c>
      <c r="W360" s="10">
        <v>1</v>
      </c>
      <c r="X360" s="10">
        <v>0</v>
      </c>
      <c r="Y360" s="10">
        <v>0</v>
      </c>
      <c r="Z360" s="10">
        <v>1</v>
      </c>
      <c r="AA360" s="10">
        <v>1</v>
      </c>
      <c r="AB360" s="10">
        <v>1</v>
      </c>
      <c r="AC360" s="316">
        <v>1</v>
      </c>
      <c r="AD360" s="316">
        <v>1</v>
      </c>
      <c r="AE360" s="302">
        <f t="shared" si="12"/>
        <v>0.75</v>
      </c>
      <c r="AF360" s="32"/>
      <c r="AG360" s="17">
        <v>0</v>
      </c>
      <c r="AH360" s="32">
        <v>1</v>
      </c>
      <c r="AI360" s="32">
        <v>0.2</v>
      </c>
      <c r="AJ360" s="32">
        <v>0.4</v>
      </c>
      <c r="AK360" s="214">
        <v>0.3</v>
      </c>
      <c r="AL360" s="214">
        <v>0.3</v>
      </c>
      <c r="AM360" s="147">
        <f t="shared" si="11"/>
        <v>0.6</v>
      </c>
      <c r="AN360" s="32" t="s">
        <v>4067</v>
      </c>
      <c r="AO360" s="18" t="s">
        <v>1037</v>
      </c>
      <c r="AP360" s="10" t="s">
        <v>4087</v>
      </c>
    </row>
    <row r="361" spans="1:42" s="10" customFormat="1" x14ac:dyDescent="0.3">
      <c r="A361" s="213" t="s">
        <v>1444</v>
      </c>
      <c r="B361" s="10" t="s">
        <v>4050</v>
      </c>
      <c r="C361" s="213" t="s">
        <v>1445</v>
      </c>
      <c r="D361" s="10" t="s">
        <v>4052</v>
      </c>
      <c r="E361" s="213" t="s">
        <v>4053</v>
      </c>
      <c r="F361" s="10" t="s">
        <v>4054</v>
      </c>
      <c r="G361" s="213" t="s">
        <v>4069</v>
      </c>
      <c r="H361" s="10" t="s">
        <v>4070</v>
      </c>
      <c r="K361" s="213" t="s">
        <v>4079</v>
      </c>
      <c r="L361" s="10" t="s">
        <v>4080</v>
      </c>
      <c r="M361" s="18"/>
      <c r="N361" s="18"/>
      <c r="O361" s="18"/>
      <c r="P361" s="16"/>
      <c r="Q361" s="16"/>
      <c r="R361" s="16"/>
      <c r="S361" s="16"/>
      <c r="T361" s="10" t="s">
        <v>4062</v>
      </c>
      <c r="U361" s="283" t="s">
        <v>1037</v>
      </c>
      <c r="V361" s="10" t="s">
        <v>4086</v>
      </c>
      <c r="W361" s="10">
        <v>1</v>
      </c>
      <c r="X361" s="10">
        <v>0</v>
      </c>
      <c r="Y361" s="10">
        <v>0</v>
      </c>
      <c r="Z361" s="10">
        <v>1</v>
      </c>
      <c r="AA361" s="10">
        <v>1</v>
      </c>
      <c r="AB361" s="10">
        <v>1</v>
      </c>
      <c r="AC361" s="316">
        <v>1</v>
      </c>
      <c r="AD361" s="316">
        <v>1</v>
      </c>
      <c r="AE361" s="302">
        <f t="shared" si="12"/>
        <v>0.75</v>
      </c>
      <c r="AF361" s="32"/>
      <c r="AG361" s="17">
        <v>0</v>
      </c>
      <c r="AH361" s="32" t="s">
        <v>271</v>
      </c>
      <c r="AI361" s="32">
        <v>0.2</v>
      </c>
      <c r="AJ361" s="32">
        <v>0.1</v>
      </c>
      <c r="AK361" s="214">
        <v>0.1</v>
      </c>
      <c r="AL361" s="214">
        <v>0.1</v>
      </c>
      <c r="AM361" s="147">
        <f t="shared" si="11"/>
        <v>0.2</v>
      </c>
      <c r="AN361" s="10" t="s">
        <v>2074</v>
      </c>
      <c r="AO361" s="18" t="s">
        <v>2075</v>
      </c>
      <c r="AP361" s="10" t="s">
        <v>4088</v>
      </c>
    </row>
    <row r="362" spans="1:42" s="10" customFormat="1" x14ac:dyDescent="0.3">
      <c r="A362" s="213" t="s">
        <v>1444</v>
      </c>
      <c r="B362" s="10" t="s">
        <v>4050</v>
      </c>
      <c r="C362" s="213" t="s">
        <v>1445</v>
      </c>
      <c r="D362" s="10" t="s">
        <v>4052</v>
      </c>
      <c r="E362" s="213" t="s">
        <v>4053</v>
      </c>
      <c r="F362" s="10" t="s">
        <v>4054</v>
      </c>
      <c r="G362" s="213" t="s">
        <v>4089</v>
      </c>
      <c r="H362" s="10" t="s">
        <v>4090</v>
      </c>
      <c r="K362" s="213" t="s">
        <v>4091</v>
      </c>
      <c r="L362" s="10" t="s">
        <v>4092</v>
      </c>
      <c r="M362" s="18" t="s">
        <v>4093</v>
      </c>
      <c r="N362" s="18">
        <v>0.05</v>
      </c>
      <c r="O362" s="18">
        <v>0.5</v>
      </c>
      <c r="P362" s="16">
        <v>0.5</v>
      </c>
      <c r="Q362" s="16">
        <v>0.8</v>
      </c>
      <c r="R362" s="16">
        <v>1.5</v>
      </c>
      <c r="S362" s="16">
        <v>1.5</v>
      </c>
      <c r="T362" s="10" t="s">
        <v>4062</v>
      </c>
      <c r="U362" s="283" t="s">
        <v>1037</v>
      </c>
      <c r="V362" s="10" t="s">
        <v>4094</v>
      </c>
      <c r="W362" s="10">
        <v>1</v>
      </c>
      <c r="X362" s="10">
        <v>0</v>
      </c>
      <c r="Y362" s="10">
        <v>0</v>
      </c>
      <c r="Z362" s="10">
        <v>0</v>
      </c>
      <c r="AA362" s="10">
        <v>0</v>
      </c>
      <c r="AB362" s="10">
        <v>0</v>
      </c>
      <c r="AC362" s="316">
        <v>0</v>
      </c>
      <c r="AD362" s="316">
        <v>1</v>
      </c>
      <c r="AE362" s="302">
        <f t="shared" si="12"/>
        <v>0.25</v>
      </c>
      <c r="AF362" s="32"/>
      <c r="AG362" s="17">
        <v>0</v>
      </c>
      <c r="AH362" s="32">
        <v>0</v>
      </c>
      <c r="AI362" s="32">
        <v>0.5</v>
      </c>
      <c r="AJ362" s="32">
        <v>0.8</v>
      </c>
      <c r="AK362" s="214"/>
      <c r="AL362" s="214"/>
      <c r="AM362" s="147">
        <f t="shared" si="11"/>
        <v>0</v>
      </c>
      <c r="AN362" s="32" t="s">
        <v>4067</v>
      </c>
      <c r="AO362" s="18" t="s">
        <v>1037</v>
      </c>
      <c r="AP362" s="10" t="s">
        <v>4095</v>
      </c>
    </row>
    <row r="363" spans="1:42" s="10" customFormat="1" x14ac:dyDescent="0.3">
      <c r="A363" s="213" t="s">
        <v>1444</v>
      </c>
      <c r="B363" s="10" t="s">
        <v>4050</v>
      </c>
      <c r="C363" s="213" t="s">
        <v>1445</v>
      </c>
      <c r="D363" s="10" t="s">
        <v>4052</v>
      </c>
      <c r="E363" s="213" t="s">
        <v>4053</v>
      </c>
      <c r="F363" s="10" t="s">
        <v>4054</v>
      </c>
      <c r="G363" s="213" t="s">
        <v>4089</v>
      </c>
      <c r="H363" s="10" t="s">
        <v>4090</v>
      </c>
      <c r="K363" s="213" t="s">
        <v>4091</v>
      </c>
      <c r="L363" s="10" t="s">
        <v>4092</v>
      </c>
      <c r="M363" s="18"/>
      <c r="N363" s="18"/>
      <c r="O363" s="18"/>
      <c r="P363" s="16"/>
      <c r="Q363" s="16"/>
      <c r="R363" s="16"/>
      <c r="S363" s="16"/>
      <c r="T363" s="10" t="s">
        <v>4062</v>
      </c>
      <c r="U363" s="283" t="s">
        <v>1037</v>
      </c>
      <c r="V363" s="10" t="s">
        <v>4094</v>
      </c>
      <c r="W363" s="10">
        <v>1</v>
      </c>
      <c r="X363" s="10">
        <v>0</v>
      </c>
      <c r="Y363" s="10">
        <v>0</v>
      </c>
      <c r="Z363" s="10">
        <v>0</v>
      </c>
      <c r="AA363" s="10">
        <v>0</v>
      </c>
      <c r="AB363" s="10">
        <v>0</v>
      </c>
      <c r="AC363" s="316">
        <v>0</v>
      </c>
      <c r="AD363" s="316">
        <v>1</v>
      </c>
      <c r="AE363" s="302">
        <f t="shared" si="12"/>
        <v>0.25</v>
      </c>
      <c r="AF363" s="32"/>
      <c r="AG363" s="17">
        <v>0</v>
      </c>
      <c r="AH363" s="32" t="s">
        <v>271</v>
      </c>
      <c r="AI363" s="32">
        <v>0.2</v>
      </c>
      <c r="AJ363" s="32">
        <v>0.2</v>
      </c>
      <c r="AK363" s="214"/>
      <c r="AL363" s="214"/>
      <c r="AM363" s="147">
        <f t="shared" si="11"/>
        <v>0</v>
      </c>
      <c r="AN363" s="10" t="s">
        <v>1233</v>
      </c>
      <c r="AO363" s="18" t="s">
        <v>1650</v>
      </c>
      <c r="AP363" s="10" t="s">
        <v>4096</v>
      </c>
    </row>
    <row r="364" spans="1:42" s="10" customFormat="1" x14ac:dyDescent="0.3">
      <c r="A364" s="213" t="s">
        <v>1444</v>
      </c>
      <c r="B364" s="10" t="s">
        <v>4050</v>
      </c>
      <c r="C364" s="213" t="s">
        <v>1445</v>
      </c>
      <c r="D364" s="10" t="s">
        <v>4052</v>
      </c>
      <c r="E364" s="213" t="s">
        <v>4053</v>
      </c>
      <c r="F364" s="10" t="s">
        <v>4054</v>
      </c>
      <c r="G364" s="213" t="s">
        <v>4089</v>
      </c>
      <c r="H364" s="10" t="s">
        <v>4090</v>
      </c>
      <c r="K364" s="213" t="s">
        <v>4091</v>
      </c>
      <c r="L364" s="10" t="s">
        <v>4092</v>
      </c>
      <c r="M364" s="18"/>
      <c r="N364" s="18"/>
      <c r="O364" s="18"/>
      <c r="P364" s="16"/>
      <c r="Q364" s="16"/>
      <c r="R364" s="16"/>
      <c r="S364" s="16"/>
      <c r="T364" s="10" t="s">
        <v>4062</v>
      </c>
      <c r="U364" s="283" t="s">
        <v>1037</v>
      </c>
      <c r="V364" s="10" t="s">
        <v>4097</v>
      </c>
      <c r="W364" s="10">
        <v>1</v>
      </c>
      <c r="X364" s="10">
        <v>0</v>
      </c>
      <c r="Y364" s="10">
        <v>0</v>
      </c>
      <c r="Z364" s="10">
        <v>0</v>
      </c>
      <c r="AA364" s="10">
        <v>0</v>
      </c>
      <c r="AB364" s="10">
        <v>0</v>
      </c>
      <c r="AC364" s="316">
        <v>0</v>
      </c>
      <c r="AD364" s="316">
        <v>1</v>
      </c>
      <c r="AE364" s="302">
        <f t="shared" si="12"/>
        <v>0.25</v>
      </c>
      <c r="AF364" s="32"/>
      <c r="AG364" s="17">
        <v>0</v>
      </c>
      <c r="AH364" s="32" t="s">
        <v>271</v>
      </c>
      <c r="AI364" s="32">
        <v>0.5</v>
      </c>
      <c r="AJ364" s="32">
        <v>0.5</v>
      </c>
      <c r="AK364" s="214"/>
      <c r="AL364" s="214"/>
      <c r="AM364" s="147">
        <f t="shared" si="11"/>
        <v>0</v>
      </c>
      <c r="AN364" s="32" t="s">
        <v>4067</v>
      </c>
      <c r="AO364" s="18" t="s">
        <v>1037</v>
      </c>
      <c r="AP364" s="10" t="s">
        <v>723</v>
      </c>
    </row>
    <row r="365" spans="1:42" s="10" customFormat="1" x14ac:dyDescent="0.3">
      <c r="A365" s="213" t="s">
        <v>1444</v>
      </c>
      <c r="B365" s="10" t="s">
        <v>4050</v>
      </c>
      <c r="C365" s="213" t="s">
        <v>1445</v>
      </c>
      <c r="D365" s="10" t="s">
        <v>4052</v>
      </c>
      <c r="E365" s="213" t="s">
        <v>4053</v>
      </c>
      <c r="F365" s="10" t="s">
        <v>4054</v>
      </c>
      <c r="G365" s="213" t="s">
        <v>4098</v>
      </c>
      <c r="H365" s="10" t="s">
        <v>4099</v>
      </c>
      <c r="K365" s="213" t="s">
        <v>4100</v>
      </c>
      <c r="L365" s="10" t="s">
        <v>2540</v>
      </c>
      <c r="M365" s="18" t="s">
        <v>4101</v>
      </c>
      <c r="N365" s="18">
        <v>2</v>
      </c>
      <c r="O365" s="18">
        <v>2</v>
      </c>
      <c r="P365" s="16">
        <v>2</v>
      </c>
      <c r="Q365" s="16">
        <v>2</v>
      </c>
      <c r="R365" s="16">
        <v>2</v>
      </c>
      <c r="S365" s="16">
        <v>2</v>
      </c>
      <c r="T365" s="10" t="s">
        <v>4062</v>
      </c>
      <c r="U365" s="283" t="s">
        <v>1037</v>
      </c>
      <c r="V365" s="10" t="s">
        <v>4102</v>
      </c>
      <c r="W365" s="10">
        <v>1</v>
      </c>
      <c r="X365" s="10">
        <v>0</v>
      </c>
      <c r="Y365" s="10">
        <v>0</v>
      </c>
      <c r="Z365" s="10">
        <v>1</v>
      </c>
      <c r="AA365" s="10">
        <v>1</v>
      </c>
      <c r="AB365" s="10">
        <v>0</v>
      </c>
      <c r="AC365" s="316">
        <v>0</v>
      </c>
      <c r="AD365" s="316">
        <v>1</v>
      </c>
      <c r="AE365" s="302">
        <f t="shared" si="12"/>
        <v>0.5</v>
      </c>
      <c r="AF365" s="32"/>
      <c r="AG365" s="17">
        <v>0</v>
      </c>
      <c r="AH365" s="32" t="s">
        <v>271</v>
      </c>
      <c r="AI365" s="32">
        <v>2</v>
      </c>
      <c r="AJ365" s="32">
        <v>2</v>
      </c>
      <c r="AK365" s="214">
        <v>2</v>
      </c>
      <c r="AL365" s="214">
        <v>2</v>
      </c>
      <c r="AM365" s="147">
        <f t="shared" si="11"/>
        <v>4</v>
      </c>
      <c r="AN365" s="32" t="s">
        <v>4067</v>
      </c>
      <c r="AO365" s="18" t="s">
        <v>1037</v>
      </c>
      <c r="AP365" s="10" t="s">
        <v>4103</v>
      </c>
    </row>
    <row r="366" spans="1:42" s="10" customFormat="1" x14ac:dyDescent="0.3">
      <c r="A366" s="213" t="s">
        <v>1444</v>
      </c>
      <c r="B366" s="10" t="s">
        <v>4050</v>
      </c>
      <c r="C366" s="213" t="s">
        <v>1445</v>
      </c>
      <c r="D366" s="10" t="s">
        <v>4052</v>
      </c>
      <c r="E366" s="213" t="s">
        <v>4053</v>
      </c>
      <c r="F366" s="10" t="s">
        <v>4054</v>
      </c>
      <c r="G366" s="213" t="s">
        <v>4098</v>
      </c>
      <c r="H366" s="10" t="s">
        <v>4099</v>
      </c>
      <c r="K366" s="213" t="s">
        <v>4100</v>
      </c>
      <c r="L366" s="10" t="s">
        <v>2540</v>
      </c>
      <c r="M366" s="18"/>
      <c r="N366" s="18"/>
      <c r="O366" s="18"/>
      <c r="P366" s="16"/>
      <c r="Q366" s="16"/>
      <c r="R366" s="16"/>
      <c r="S366" s="16"/>
      <c r="U366" s="283" t="e">
        <v>#N/A</v>
      </c>
      <c r="V366" s="10" t="s">
        <v>4102</v>
      </c>
      <c r="W366" s="10">
        <v>1</v>
      </c>
      <c r="X366" s="10">
        <v>0</v>
      </c>
      <c r="Y366" s="10">
        <v>0</v>
      </c>
      <c r="Z366" s="10">
        <v>1</v>
      </c>
      <c r="AA366" s="10">
        <v>1</v>
      </c>
      <c r="AB366" s="10">
        <v>0</v>
      </c>
      <c r="AC366" s="316">
        <v>0</v>
      </c>
      <c r="AD366" s="316">
        <v>1</v>
      </c>
      <c r="AE366" s="302">
        <f t="shared" si="12"/>
        <v>0.5</v>
      </c>
      <c r="AF366" s="32"/>
      <c r="AG366" s="17">
        <v>0</v>
      </c>
      <c r="AH366" s="32" t="s">
        <v>271</v>
      </c>
      <c r="AI366" s="32">
        <v>0.5</v>
      </c>
      <c r="AJ366" s="32">
        <v>0.5</v>
      </c>
      <c r="AK366" s="214">
        <v>0.5</v>
      </c>
      <c r="AL366" s="214">
        <v>0.5</v>
      </c>
      <c r="AM366" s="147">
        <f t="shared" si="11"/>
        <v>1</v>
      </c>
      <c r="AN366" s="18" t="s">
        <v>619</v>
      </c>
      <c r="AO366" s="18" t="s">
        <v>350</v>
      </c>
      <c r="AP366" s="10" t="s">
        <v>4104</v>
      </c>
    </row>
    <row r="367" spans="1:42" s="10" customFormat="1" x14ac:dyDescent="0.3">
      <c r="A367" s="213" t="s">
        <v>1444</v>
      </c>
      <c r="B367" s="10" t="s">
        <v>4050</v>
      </c>
      <c r="C367" s="213" t="s">
        <v>1445</v>
      </c>
      <c r="D367" s="10" t="s">
        <v>4052</v>
      </c>
      <c r="E367" s="213" t="s">
        <v>4053</v>
      </c>
      <c r="F367" s="10" t="s">
        <v>4054</v>
      </c>
      <c r="G367" s="213" t="s">
        <v>4098</v>
      </c>
      <c r="H367" s="10" t="s">
        <v>4099</v>
      </c>
      <c r="K367" s="213" t="s">
        <v>4100</v>
      </c>
      <c r="L367" s="10" t="s">
        <v>2540</v>
      </c>
      <c r="M367" s="18"/>
      <c r="N367" s="18"/>
      <c r="O367" s="18"/>
      <c r="P367" s="16"/>
      <c r="Q367" s="16"/>
      <c r="R367" s="16"/>
      <c r="S367" s="16"/>
      <c r="U367" s="283" t="e">
        <v>#N/A</v>
      </c>
      <c r="V367" s="10" t="s">
        <v>4105</v>
      </c>
      <c r="W367" s="10">
        <v>1</v>
      </c>
      <c r="X367" s="10">
        <v>0</v>
      </c>
      <c r="Y367" s="10">
        <v>0</v>
      </c>
      <c r="Z367" s="10">
        <v>1</v>
      </c>
      <c r="AA367" s="10">
        <v>1</v>
      </c>
      <c r="AB367" s="10">
        <v>0</v>
      </c>
      <c r="AC367" s="316">
        <v>0</v>
      </c>
      <c r="AD367" s="316">
        <v>1</v>
      </c>
      <c r="AE367" s="302">
        <f t="shared" si="12"/>
        <v>0.5</v>
      </c>
      <c r="AF367" s="32"/>
      <c r="AG367" s="17">
        <v>0</v>
      </c>
      <c r="AH367" s="32" t="s">
        <v>271</v>
      </c>
      <c r="AI367" s="32">
        <v>0.1</v>
      </c>
      <c r="AJ367" s="32">
        <v>0.1</v>
      </c>
      <c r="AK367" s="214">
        <v>0.1</v>
      </c>
      <c r="AL367" s="214">
        <v>0.1</v>
      </c>
      <c r="AM367" s="147">
        <f t="shared" si="11"/>
        <v>0.2</v>
      </c>
      <c r="AN367" s="18" t="s">
        <v>869</v>
      </c>
      <c r="AO367" s="18" t="s">
        <v>871</v>
      </c>
      <c r="AP367" s="10" t="s">
        <v>4062</v>
      </c>
    </row>
    <row r="368" spans="1:42" s="10" customFormat="1" x14ac:dyDescent="0.3">
      <c r="A368" s="213" t="s">
        <v>1444</v>
      </c>
      <c r="B368" s="10" t="s">
        <v>4050</v>
      </c>
      <c r="C368" s="213" t="s">
        <v>1445</v>
      </c>
      <c r="D368" s="10" t="s">
        <v>4052</v>
      </c>
      <c r="E368" s="213" t="s">
        <v>4106</v>
      </c>
      <c r="F368" s="10" t="s">
        <v>4107</v>
      </c>
      <c r="G368" s="213" t="s">
        <v>4108</v>
      </c>
      <c r="H368" s="10" t="s">
        <v>4109</v>
      </c>
      <c r="K368" s="213" t="s">
        <v>4110</v>
      </c>
      <c r="L368" s="10" t="s">
        <v>4111</v>
      </c>
      <c r="M368" s="18" t="s">
        <v>4112</v>
      </c>
      <c r="N368" s="18">
        <v>5</v>
      </c>
      <c r="O368" s="18">
        <v>60</v>
      </c>
      <c r="P368" s="16">
        <v>60</v>
      </c>
      <c r="Q368" s="16">
        <v>60</v>
      </c>
      <c r="R368" s="16">
        <v>60</v>
      </c>
      <c r="S368" s="16">
        <v>60</v>
      </c>
      <c r="T368" s="10" t="s">
        <v>4062</v>
      </c>
      <c r="U368" s="283" t="s">
        <v>1037</v>
      </c>
      <c r="V368" s="10" t="s">
        <v>4113</v>
      </c>
      <c r="W368" s="10">
        <v>1</v>
      </c>
      <c r="X368" s="10">
        <v>1</v>
      </c>
      <c r="Y368" s="10">
        <v>1</v>
      </c>
      <c r="Z368" s="10">
        <v>1</v>
      </c>
      <c r="AA368" s="10">
        <v>1</v>
      </c>
      <c r="AB368" s="10">
        <v>1</v>
      </c>
      <c r="AC368" s="316">
        <v>1</v>
      </c>
      <c r="AD368" s="316">
        <v>1</v>
      </c>
      <c r="AE368" s="302">
        <f t="shared" si="12"/>
        <v>1</v>
      </c>
      <c r="AF368" s="32">
        <v>1</v>
      </c>
      <c r="AG368" s="17">
        <v>0</v>
      </c>
      <c r="AH368" s="32">
        <v>1.5</v>
      </c>
      <c r="AI368" s="32">
        <v>1.5</v>
      </c>
      <c r="AJ368" s="32">
        <v>0.5</v>
      </c>
      <c r="AK368" s="214">
        <v>2</v>
      </c>
      <c r="AL368" s="214">
        <v>1</v>
      </c>
      <c r="AM368" s="147">
        <f t="shared" si="11"/>
        <v>3</v>
      </c>
      <c r="AN368" s="32" t="s">
        <v>4067</v>
      </c>
      <c r="AO368" s="18" t="s">
        <v>1037</v>
      </c>
      <c r="AP368" s="10" t="s">
        <v>4114</v>
      </c>
    </row>
    <row r="369" spans="1:42" s="10" customFormat="1" x14ac:dyDescent="0.3">
      <c r="A369" s="213" t="s">
        <v>1444</v>
      </c>
      <c r="B369" s="10" t="s">
        <v>4050</v>
      </c>
      <c r="C369" s="213" t="s">
        <v>1445</v>
      </c>
      <c r="D369" s="10" t="s">
        <v>4052</v>
      </c>
      <c r="E369" s="213" t="s">
        <v>4106</v>
      </c>
      <c r="F369" s="10" t="s">
        <v>4107</v>
      </c>
      <c r="G369" s="213" t="s">
        <v>4108</v>
      </c>
      <c r="H369" s="10" t="s">
        <v>4109</v>
      </c>
      <c r="K369" s="213" t="s">
        <v>4110</v>
      </c>
      <c r="L369" s="10" t="s">
        <v>4111</v>
      </c>
      <c r="M369" s="18"/>
      <c r="N369" s="18"/>
      <c r="O369" s="18"/>
      <c r="P369" s="16"/>
      <c r="Q369" s="16"/>
      <c r="R369" s="16"/>
      <c r="S369" s="16"/>
      <c r="U369" s="283" t="e">
        <v>#N/A</v>
      </c>
      <c r="V369" s="10" t="s">
        <v>4113</v>
      </c>
      <c r="W369" s="10">
        <v>1</v>
      </c>
      <c r="X369" s="10">
        <v>1</v>
      </c>
      <c r="Y369" s="10">
        <v>1</v>
      </c>
      <c r="Z369" s="10">
        <v>1</v>
      </c>
      <c r="AA369" s="10">
        <v>1</v>
      </c>
      <c r="AB369" s="10">
        <v>1</v>
      </c>
      <c r="AC369" s="316">
        <v>1</v>
      </c>
      <c r="AD369" s="316">
        <v>1</v>
      </c>
      <c r="AE369" s="302">
        <f t="shared" si="12"/>
        <v>1</v>
      </c>
      <c r="AF369" s="32">
        <v>1</v>
      </c>
      <c r="AG369" s="17">
        <v>0</v>
      </c>
      <c r="AH369" s="32" t="s">
        <v>271</v>
      </c>
      <c r="AI369" s="32">
        <v>0.2</v>
      </c>
      <c r="AJ369" s="32">
        <v>0.1</v>
      </c>
      <c r="AK369" s="214" t="s">
        <v>271</v>
      </c>
      <c r="AL369" s="214" t="s">
        <v>271</v>
      </c>
      <c r="AM369" s="147">
        <f t="shared" si="11"/>
        <v>0</v>
      </c>
      <c r="AN369" s="32" t="s">
        <v>4115</v>
      </c>
      <c r="AO369" s="18" t="s">
        <v>4116</v>
      </c>
      <c r="AP369" s="10" t="s">
        <v>4117</v>
      </c>
    </row>
    <row r="370" spans="1:42" s="10" customFormat="1" x14ac:dyDescent="0.3">
      <c r="A370" s="213" t="s">
        <v>1444</v>
      </c>
      <c r="B370" s="10" t="s">
        <v>4050</v>
      </c>
      <c r="C370" s="213" t="s">
        <v>1445</v>
      </c>
      <c r="D370" s="10" t="s">
        <v>4052</v>
      </c>
      <c r="E370" s="213" t="s">
        <v>4106</v>
      </c>
      <c r="F370" s="10" t="s">
        <v>4107</v>
      </c>
      <c r="G370" s="213" t="s">
        <v>4108</v>
      </c>
      <c r="H370" s="10" t="s">
        <v>4109</v>
      </c>
      <c r="K370" s="213" t="s">
        <v>4110</v>
      </c>
      <c r="L370" s="10" t="s">
        <v>4111</v>
      </c>
      <c r="M370" s="18"/>
      <c r="N370" s="18"/>
      <c r="O370" s="18"/>
      <c r="P370" s="16"/>
      <c r="Q370" s="16"/>
      <c r="R370" s="16"/>
      <c r="S370" s="16"/>
      <c r="U370" s="283" t="e">
        <v>#N/A</v>
      </c>
      <c r="V370" s="10" t="s">
        <v>4113</v>
      </c>
      <c r="W370" s="10">
        <v>1</v>
      </c>
      <c r="X370" s="10">
        <v>1</v>
      </c>
      <c r="Y370" s="10">
        <v>1</v>
      </c>
      <c r="Z370" s="10">
        <v>1</v>
      </c>
      <c r="AA370" s="10">
        <v>1</v>
      </c>
      <c r="AB370" s="10">
        <v>1</v>
      </c>
      <c r="AC370" s="316">
        <v>1</v>
      </c>
      <c r="AD370" s="316">
        <v>1</v>
      </c>
      <c r="AE370" s="302">
        <f t="shared" si="12"/>
        <v>1</v>
      </c>
      <c r="AF370" s="32">
        <v>1</v>
      </c>
      <c r="AG370" s="17">
        <v>0</v>
      </c>
      <c r="AH370" s="32" t="s">
        <v>271</v>
      </c>
      <c r="AI370" s="32">
        <v>0.2</v>
      </c>
      <c r="AJ370" s="32">
        <v>0.1</v>
      </c>
      <c r="AK370" s="214">
        <v>0.1</v>
      </c>
      <c r="AL370" s="214">
        <v>0.1</v>
      </c>
      <c r="AM370" s="147">
        <f t="shared" si="11"/>
        <v>0.2</v>
      </c>
      <c r="AN370" s="10" t="s">
        <v>2074</v>
      </c>
      <c r="AO370" s="18" t="s">
        <v>2075</v>
      </c>
      <c r="AP370" s="10" t="s">
        <v>4117</v>
      </c>
    </row>
    <row r="371" spans="1:42" s="10" customFormat="1" x14ac:dyDescent="0.3">
      <c r="A371" s="213" t="s">
        <v>1444</v>
      </c>
      <c r="B371" s="10" t="s">
        <v>4050</v>
      </c>
      <c r="C371" s="213" t="s">
        <v>1445</v>
      </c>
      <c r="D371" s="10" t="s">
        <v>4052</v>
      </c>
      <c r="E371" s="213" t="s">
        <v>4106</v>
      </c>
      <c r="F371" s="10" t="s">
        <v>4107</v>
      </c>
      <c r="G371" s="213" t="s">
        <v>4108</v>
      </c>
      <c r="H371" s="10" t="s">
        <v>4109</v>
      </c>
      <c r="K371" s="213" t="s">
        <v>4110</v>
      </c>
      <c r="L371" s="10" t="s">
        <v>4111</v>
      </c>
      <c r="M371" s="18"/>
      <c r="N371" s="18"/>
      <c r="O371" s="18"/>
      <c r="P371" s="16"/>
      <c r="Q371" s="16"/>
      <c r="R371" s="16"/>
      <c r="S371" s="16"/>
      <c r="U371" s="283" t="e">
        <v>#N/A</v>
      </c>
      <c r="V371" s="10" t="s">
        <v>4113</v>
      </c>
      <c r="W371" s="10">
        <v>1</v>
      </c>
      <c r="X371" s="10">
        <v>1</v>
      </c>
      <c r="Y371" s="10">
        <v>1</v>
      </c>
      <c r="Z371" s="10">
        <v>1</v>
      </c>
      <c r="AA371" s="10">
        <v>1</v>
      </c>
      <c r="AB371" s="10">
        <v>1</v>
      </c>
      <c r="AC371" s="316">
        <v>1</v>
      </c>
      <c r="AD371" s="316">
        <v>1</v>
      </c>
      <c r="AE371" s="302">
        <f t="shared" si="12"/>
        <v>1</v>
      </c>
      <c r="AF371" s="32">
        <v>1</v>
      </c>
      <c r="AG371" s="17">
        <v>0</v>
      </c>
      <c r="AH371" s="32" t="s">
        <v>271</v>
      </c>
      <c r="AI371" s="32">
        <v>0.5</v>
      </c>
      <c r="AJ371" s="32">
        <v>0.5</v>
      </c>
      <c r="AK371" s="214">
        <v>0.5</v>
      </c>
      <c r="AL371" s="214">
        <v>0.5</v>
      </c>
      <c r="AM371" s="147">
        <f t="shared" si="11"/>
        <v>1</v>
      </c>
      <c r="AN371" s="18" t="s">
        <v>255</v>
      </c>
      <c r="AO371" s="18" t="s">
        <v>1045</v>
      </c>
      <c r="AP371" s="10" t="s">
        <v>4118</v>
      </c>
    </row>
    <row r="372" spans="1:42" s="10" customFormat="1" x14ac:dyDescent="0.3">
      <c r="A372" s="213" t="s">
        <v>1444</v>
      </c>
      <c r="B372" s="10" t="s">
        <v>4050</v>
      </c>
      <c r="C372" s="213" t="s">
        <v>1445</v>
      </c>
      <c r="D372" s="10" t="s">
        <v>4052</v>
      </c>
      <c r="E372" s="213" t="s">
        <v>4106</v>
      </c>
      <c r="F372" s="10" t="s">
        <v>4107</v>
      </c>
      <c r="G372" s="213" t="s">
        <v>4108</v>
      </c>
      <c r="H372" s="10" t="s">
        <v>4109</v>
      </c>
      <c r="K372" s="213" t="s">
        <v>4110</v>
      </c>
      <c r="L372" s="10" t="s">
        <v>4111</v>
      </c>
      <c r="M372" s="18"/>
      <c r="N372" s="18"/>
      <c r="O372" s="18"/>
      <c r="P372" s="16"/>
      <c r="Q372" s="16"/>
      <c r="R372" s="16"/>
      <c r="S372" s="16"/>
      <c r="U372" s="283" t="e">
        <v>#N/A</v>
      </c>
      <c r="V372" s="10" t="s">
        <v>4119</v>
      </c>
      <c r="W372" s="10">
        <v>1</v>
      </c>
      <c r="X372" s="10">
        <v>0</v>
      </c>
      <c r="Y372" s="10">
        <v>0</v>
      </c>
      <c r="Z372" s="10">
        <v>1</v>
      </c>
      <c r="AA372" s="10">
        <v>1</v>
      </c>
      <c r="AB372" s="10">
        <v>0</v>
      </c>
      <c r="AC372" s="316">
        <v>1</v>
      </c>
      <c r="AD372" s="316">
        <v>1</v>
      </c>
      <c r="AE372" s="302">
        <f t="shared" si="12"/>
        <v>0.625</v>
      </c>
      <c r="AF372" s="32">
        <v>1</v>
      </c>
      <c r="AG372" s="17">
        <v>0</v>
      </c>
      <c r="AH372" s="32">
        <v>1</v>
      </c>
      <c r="AI372" s="32">
        <v>1</v>
      </c>
      <c r="AJ372" s="32">
        <v>1</v>
      </c>
      <c r="AK372" s="214">
        <v>1</v>
      </c>
      <c r="AL372" s="214">
        <v>1</v>
      </c>
      <c r="AM372" s="147">
        <f t="shared" si="11"/>
        <v>2</v>
      </c>
      <c r="AN372" s="32" t="s">
        <v>4067</v>
      </c>
      <c r="AO372" s="18" t="s">
        <v>1037</v>
      </c>
      <c r="AP372" s="10" t="s">
        <v>1035</v>
      </c>
    </row>
    <row r="373" spans="1:42" s="10" customFormat="1" x14ac:dyDescent="0.3">
      <c r="A373" s="213" t="s">
        <v>1444</v>
      </c>
      <c r="B373" s="10" t="s">
        <v>4050</v>
      </c>
      <c r="C373" s="213" t="s">
        <v>1445</v>
      </c>
      <c r="D373" s="10" t="s">
        <v>4052</v>
      </c>
      <c r="E373" s="213" t="s">
        <v>4106</v>
      </c>
      <c r="F373" s="10" t="s">
        <v>4107</v>
      </c>
      <c r="G373" s="213" t="s">
        <v>4108</v>
      </c>
      <c r="H373" s="10" t="s">
        <v>4109</v>
      </c>
      <c r="K373" s="213" t="s">
        <v>4110</v>
      </c>
      <c r="L373" s="10" t="s">
        <v>4111</v>
      </c>
      <c r="M373" s="18"/>
      <c r="N373" s="18"/>
      <c r="O373" s="18"/>
      <c r="P373" s="16"/>
      <c r="Q373" s="16"/>
      <c r="R373" s="16"/>
      <c r="S373" s="16"/>
      <c r="U373" s="283" t="e">
        <v>#N/A</v>
      </c>
      <c r="V373" s="10" t="s">
        <v>4120</v>
      </c>
      <c r="W373" s="10">
        <v>1</v>
      </c>
      <c r="X373" s="10">
        <v>0</v>
      </c>
      <c r="Y373" s="10">
        <v>0</v>
      </c>
      <c r="Z373" s="10">
        <v>1</v>
      </c>
      <c r="AA373" s="10">
        <v>1</v>
      </c>
      <c r="AB373" s="10">
        <v>1</v>
      </c>
      <c r="AC373" s="316">
        <v>1</v>
      </c>
      <c r="AD373" s="316">
        <v>1</v>
      </c>
      <c r="AE373" s="302">
        <f t="shared" si="12"/>
        <v>0.75</v>
      </c>
      <c r="AF373" s="32">
        <v>1</v>
      </c>
      <c r="AG373" s="17">
        <v>0</v>
      </c>
      <c r="AH373" s="32">
        <v>0</v>
      </c>
      <c r="AI373" s="32">
        <v>0</v>
      </c>
      <c r="AJ373" s="32">
        <v>0</v>
      </c>
      <c r="AK373" s="214">
        <v>2</v>
      </c>
      <c r="AL373" s="214">
        <v>0</v>
      </c>
      <c r="AM373" s="147">
        <f t="shared" si="11"/>
        <v>2</v>
      </c>
      <c r="AN373" s="32" t="s">
        <v>4067</v>
      </c>
      <c r="AO373" s="18" t="s">
        <v>1037</v>
      </c>
      <c r="AP373" s="10" t="s">
        <v>1035</v>
      </c>
    </row>
    <row r="374" spans="1:42" s="10" customFormat="1" x14ac:dyDescent="0.3">
      <c r="A374" s="213" t="s">
        <v>1444</v>
      </c>
      <c r="B374" s="10" t="s">
        <v>4050</v>
      </c>
      <c r="C374" s="213" t="s">
        <v>1445</v>
      </c>
      <c r="D374" s="10" t="s">
        <v>4052</v>
      </c>
      <c r="E374" s="213" t="s">
        <v>4106</v>
      </c>
      <c r="F374" s="10" t="s">
        <v>4107</v>
      </c>
      <c r="G374" s="213" t="s">
        <v>4108</v>
      </c>
      <c r="H374" s="10" t="s">
        <v>4109</v>
      </c>
      <c r="K374" s="213" t="s">
        <v>4110</v>
      </c>
      <c r="L374" s="10" t="s">
        <v>4111</v>
      </c>
      <c r="M374" s="18"/>
      <c r="N374" s="18"/>
      <c r="O374" s="18"/>
      <c r="P374" s="16"/>
      <c r="Q374" s="16"/>
      <c r="R374" s="16"/>
      <c r="S374" s="16"/>
      <c r="U374" s="283" t="e">
        <v>#N/A</v>
      </c>
      <c r="V374" s="10" t="s">
        <v>4121</v>
      </c>
      <c r="W374" s="10">
        <v>1</v>
      </c>
      <c r="X374" s="10">
        <v>0</v>
      </c>
      <c r="Y374" s="10">
        <v>0</v>
      </c>
      <c r="Z374" s="10">
        <v>1</v>
      </c>
      <c r="AA374" s="10">
        <v>1</v>
      </c>
      <c r="AB374" s="10">
        <v>1</v>
      </c>
      <c r="AC374" s="316">
        <v>1</v>
      </c>
      <c r="AD374" s="316">
        <v>1</v>
      </c>
      <c r="AE374" s="302">
        <f t="shared" si="12"/>
        <v>0.75</v>
      </c>
      <c r="AF374" s="32">
        <v>1</v>
      </c>
      <c r="AG374" s="17">
        <v>0</v>
      </c>
      <c r="AH374" s="32">
        <v>0</v>
      </c>
      <c r="AI374" s="32">
        <v>0</v>
      </c>
      <c r="AJ374" s="32">
        <v>0</v>
      </c>
      <c r="AK374" s="214">
        <v>1</v>
      </c>
      <c r="AL374" s="214">
        <v>0</v>
      </c>
      <c r="AM374" s="147">
        <f t="shared" si="11"/>
        <v>1</v>
      </c>
      <c r="AN374" s="18" t="s">
        <v>255</v>
      </c>
      <c r="AO374" s="18" t="s">
        <v>1045</v>
      </c>
      <c r="AP374" s="10" t="s">
        <v>1035</v>
      </c>
    </row>
    <row r="375" spans="1:42" s="10" customFormat="1" x14ac:dyDescent="0.3">
      <c r="A375" s="213" t="s">
        <v>1444</v>
      </c>
      <c r="B375" s="10" t="s">
        <v>4050</v>
      </c>
      <c r="C375" s="213" t="s">
        <v>1445</v>
      </c>
      <c r="D375" s="10" t="s">
        <v>4052</v>
      </c>
      <c r="E375" s="213" t="s">
        <v>4106</v>
      </c>
      <c r="F375" s="10" t="s">
        <v>4107</v>
      </c>
      <c r="G375" s="213" t="s">
        <v>4108</v>
      </c>
      <c r="H375" s="10" t="s">
        <v>4109</v>
      </c>
      <c r="K375" s="213" t="s">
        <v>4110</v>
      </c>
      <c r="L375" s="10" t="s">
        <v>4111</v>
      </c>
      <c r="M375" s="18"/>
      <c r="N375" s="18"/>
      <c r="O375" s="18"/>
      <c r="P375" s="16"/>
      <c r="Q375" s="16"/>
      <c r="R375" s="16"/>
      <c r="S375" s="16"/>
      <c r="U375" s="283" t="e">
        <v>#N/A</v>
      </c>
      <c r="V375" s="10" t="s">
        <v>4122</v>
      </c>
      <c r="W375" s="10">
        <v>1</v>
      </c>
      <c r="X375" s="10">
        <v>1</v>
      </c>
      <c r="Y375" s="10">
        <v>0</v>
      </c>
      <c r="Z375" s="10">
        <v>1</v>
      </c>
      <c r="AA375" s="10">
        <v>1</v>
      </c>
      <c r="AB375" s="10">
        <v>1</v>
      </c>
      <c r="AC375" s="316">
        <v>1</v>
      </c>
      <c r="AD375" s="316">
        <v>1</v>
      </c>
      <c r="AE375" s="302">
        <f t="shared" si="12"/>
        <v>0.875</v>
      </c>
      <c r="AF375" s="32">
        <v>1</v>
      </c>
      <c r="AG375" s="17">
        <v>0</v>
      </c>
      <c r="AH375" s="32">
        <v>0.5</v>
      </c>
      <c r="AI375" s="32">
        <v>0.5</v>
      </c>
      <c r="AJ375" s="32">
        <v>0.5</v>
      </c>
      <c r="AK375" s="214">
        <v>0.5</v>
      </c>
      <c r="AL375" s="214">
        <v>0.5</v>
      </c>
      <c r="AM375" s="147">
        <f t="shared" si="11"/>
        <v>1</v>
      </c>
      <c r="AN375" s="32" t="s">
        <v>4067</v>
      </c>
      <c r="AO375" s="18" t="s">
        <v>1037</v>
      </c>
      <c r="AP375" s="10" t="s">
        <v>1035</v>
      </c>
    </row>
    <row r="376" spans="1:42" s="10" customFormat="1" x14ac:dyDescent="0.3">
      <c r="A376" s="213" t="s">
        <v>1444</v>
      </c>
      <c r="B376" s="10" t="s">
        <v>4050</v>
      </c>
      <c r="C376" s="213" t="s">
        <v>1445</v>
      </c>
      <c r="D376" s="10" t="s">
        <v>4052</v>
      </c>
      <c r="E376" s="213" t="s">
        <v>4106</v>
      </c>
      <c r="F376" s="10" t="s">
        <v>4107</v>
      </c>
      <c r="G376" s="213" t="s">
        <v>4108</v>
      </c>
      <c r="H376" s="10" t="s">
        <v>4109</v>
      </c>
      <c r="K376" s="213" t="s">
        <v>4110</v>
      </c>
      <c r="L376" s="10" t="s">
        <v>4111</v>
      </c>
      <c r="M376" s="449" t="s">
        <v>4123</v>
      </c>
      <c r="N376" s="18"/>
      <c r="O376" s="18"/>
      <c r="P376" s="16"/>
      <c r="Q376" s="16">
        <v>1</v>
      </c>
      <c r="R376" s="16"/>
      <c r="S376" s="16"/>
      <c r="T376" s="10" t="s">
        <v>1035</v>
      </c>
      <c r="U376" s="283" t="s">
        <v>1037</v>
      </c>
      <c r="V376" s="10" t="s">
        <v>4124</v>
      </c>
      <c r="W376" s="10">
        <v>1</v>
      </c>
      <c r="X376" s="10">
        <v>0</v>
      </c>
      <c r="Y376" s="10">
        <v>0</v>
      </c>
      <c r="Z376" s="10">
        <v>1</v>
      </c>
      <c r="AA376" s="10">
        <v>1</v>
      </c>
      <c r="AB376" s="10">
        <v>1</v>
      </c>
      <c r="AC376" s="316">
        <v>0</v>
      </c>
      <c r="AD376" s="316">
        <v>1</v>
      </c>
      <c r="AE376" s="302">
        <f t="shared" si="12"/>
        <v>0.625</v>
      </c>
      <c r="AF376" s="32">
        <v>1</v>
      </c>
      <c r="AG376" s="17">
        <v>0</v>
      </c>
      <c r="AH376" s="32">
        <v>0.1</v>
      </c>
      <c r="AI376" s="32">
        <v>0.1</v>
      </c>
      <c r="AJ376" s="32">
        <v>0.1</v>
      </c>
      <c r="AK376" s="214">
        <v>0.1</v>
      </c>
      <c r="AL376" s="214">
        <v>0.1</v>
      </c>
      <c r="AM376" s="147">
        <f t="shared" si="11"/>
        <v>0.2</v>
      </c>
      <c r="AN376" s="32" t="s">
        <v>1446</v>
      </c>
      <c r="AO376" s="18" t="s">
        <v>3715</v>
      </c>
      <c r="AP376" s="10" t="s">
        <v>4125</v>
      </c>
    </row>
    <row r="377" spans="1:42" s="10" customFormat="1" x14ac:dyDescent="0.3">
      <c r="A377" s="213" t="s">
        <v>1444</v>
      </c>
      <c r="B377" s="10" t="s">
        <v>4050</v>
      </c>
      <c r="C377" s="213" t="s">
        <v>1445</v>
      </c>
      <c r="D377" s="10" t="s">
        <v>4052</v>
      </c>
      <c r="E377" s="213" t="s">
        <v>4106</v>
      </c>
      <c r="F377" s="10" t="s">
        <v>4107</v>
      </c>
      <c r="G377" s="213" t="s">
        <v>4108</v>
      </c>
      <c r="H377" s="10" t="s">
        <v>4109</v>
      </c>
      <c r="K377" s="213" t="s">
        <v>4110</v>
      </c>
      <c r="L377" s="10" t="s">
        <v>4111</v>
      </c>
      <c r="M377" s="18"/>
      <c r="N377" s="18"/>
      <c r="O377" s="18"/>
      <c r="P377" s="16"/>
      <c r="Q377" s="16"/>
      <c r="R377" s="16"/>
      <c r="S377" s="16"/>
      <c r="U377" s="283" t="e">
        <v>#N/A</v>
      </c>
      <c r="V377" s="10" t="s">
        <v>4126</v>
      </c>
      <c r="W377" s="10">
        <v>1</v>
      </c>
      <c r="X377" s="10">
        <v>0</v>
      </c>
      <c r="Y377" s="10">
        <v>0</v>
      </c>
      <c r="Z377" s="10">
        <v>1</v>
      </c>
      <c r="AA377" s="10">
        <v>1</v>
      </c>
      <c r="AB377" s="10">
        <v>1</v>
      </c>
      <c r="AC377" s="316">
        <v>1</v>
      </c>
      <c r="AD377" s="316">
        <v>1</v>
      </c>
      <c r="AE377" s="302">
        <f t="shared" si="12"/>
        <v>0.75</v>
      </c>
      <c r="AF377" s="32">
        <v>1</v>
      </c>
      <c r="AG377" s="17">
        <v>0</v>
      </c>
      <c r="AH377" s="32">
        <v>0</v>
      </c>
      <c r="AI377" s="32">
        <v>0</v>
      </c>
      <c r="AJ377" s="32">
        <v>0</v>
      </c>
      <c r="AK377" s="214">
        <v>2</v>
      </c>
      <c r="AL377" s="214">
        <v>0</v>
      </c>
      <c r="AM377" s="147">
        <f t="shared" si="11"/>
        <v>2</v>
      </c>
      <c r="AN377" s="32" t="s">
        <v>1035</v>
      </c>
      <c r="AO377" s="18" t="s">
        <v>1037</v>
      </c>
      <c r="AP377" s="10" t="s">
        <v>119</v>
      </c>
    </row>
    <row r="378" spans="1:42" s="10" customFormat="1" x14ac:dyDescent="0.3">
      <c r="A378" s="213" t="s">
        <v>1444</v>
      </c>
      <c r="B378" s="10" t="s">
        <v>4050</v>
      </c>
      <c r="C378" s="213" t="s">
        <v>1445</v>
      </c>
      <c r="D378" s="10" t="s">
        <v>4052</v>
      </c>
      <c r="E378" s="213" t="s">
        <v>4106</v>
      </c>
      <c r="F378" s="10" t="s">
        <v>4107</v>
      </c>
      <c r="G378" s="213" t="s">
        <v>4108</v>
      </c>
      <c r="H378" s="10" t="s">
        <v>4109</v>
      </c>
      <c r="K378" s="213" t="s">
        <v>4110</v>
      </c>
      <c r="L378" s="10" t="s">
        <v>4111</v>
      </c>
      <c r="M378" s="18"/>
      <c r="N378" s="18"/>
      <c r="O378" s="18"/>
      <c r="P378" s="16"/>
      <c r="Q378" s="16"/>
      <c r="R378" s="16"/>
      <c r="S378" s="16"/>
      <c r="U378" s="283" t="e">
        <v>#N/A</v>
      </c>
      <c r="V378" s="10" t="s">
        <v>4127</v>
      </c>
      <c r="W378" s="10">
        <v>1</v>
      </c>
      <c r="X378" s="10">
        <v>1</v>
      </c>
      <c r="Y378" s="10">
        <v>0</v>
      </c>
      <c r="Z378" s="10">
        <v>1</v>
      </c>
      <c r="AA378" s="10">
        <v>1</v>
      </c>
      <c r="AB378" s="10">
        <v>1</v>
      </c>
      <c r="AC378" s="316">
        <v>0</v>
      </c>
      <c r="AD378" s="316">
        <v>1</v>
      </c>
      <c r="AE378" s="302">
        <f t="shared" si="12"/>
        <v>0.75</v>
      </c>
      <c r="AF378" s="32">
        <v>1</v>
      </c>
      <c r="AG378" s="17">
        <v>0</v>
      </c>
      <c r="AH378" s="32">
        <v>0.2</v>
      </c>
      <c r="AI378" s="32">
        <v>0.2</v>
      </c>
      <c r="AJ378" s="32">
        <v>0.3</v>
      </c>
      <c r="AK378" s="214">
        <v>5</v>
      </c>
      <c r="AL378" s="214">
        <v>5</v>
      </c>
      <c r="AM378" s="147">
        <f t="shared" si="11"/>
        <v>10</v>
      </c>
      <c r="AN378" s="32" t="s">
        <v>1035</v>
      </c>
      <c r="AO378" s="18" t="s">
        <v>1037</v>
      </c>
      <c r="AP378" s="10" t="s">
        <v>4125</v>
      </c>
    </row>
    <row r="379" spans="1:42" s="10" customFormat="1" x14ac:dyDescent="0.3">
      <c r="A379" s="213" t="s">
        <v>1444</v>
      </c>
      <c r="B379" s="10" t="s">
        <v>4050</v>
      </c>
      <c r="C379" s="213" t="s">
        <v>1445</v>
      </c>
      <c r="D379" s="10" t="s">
        <v>4052</v>
      </c>
      <c r="E379" s="213" t="s">
        <v>4106</v>
      </c>
      <c r="F379" s="10" t="s">
        <v>4107</v>
      </c>
      <c r="G379" s="213" t="s">
        <v>4108</v>
      </c>
      <c r="H379" s="10" t="s">
        <v>4109</v>
      </c>
      <c r="K379" s="213" t="s">
        <v>4110</v>
      </c>
      <c r="L379" s="10" t="s">
        <v>4111</v>
      </c>
      <c r="M379" s="18"/>
      <c r="N379" s="18"/>
      <c r="O379" s="18"/>
      <c r="P379" s="16"/>
      <c r="Q379" s="16"/>
      <c r="R379" s="16"/>
      <c r="S379" s="16"/>
      <c r="U379" s="283" t="e">
        <v>#N/A</v>
      </c>
      <c r="V379" s="10" t="s">
        <v>4128</v>
      </c>
      <c r="W379" s="10">
        <v>1</v>
      </c>
      <c r="X379" s="10">
        <v>0</v>
      </c>
      <c r="Y379" s="10">
        <v>0</v>
      </c>
      <c r="Z379" s="10">
        <v>1</v>
      </c>
      <c r="AA379" s="10">
        <v>1</v>
      </c>
      <c r="AB379" s="10">
        <v>1</v>
      </c>
      <c r="AC379" s="316">
        <v>1</v>
      </c>
      <c r="AD379" s="316">
        <v>1</v>
      </c>
      <c r="AE379" s="302">
        <f t="shared" si="12"/>
        <v>0.75</v>
      </c>
      <c r="AF379" s="32">
        <v>1</v>
      </c>
      <c r="AG379" s="17">
        <v>0</v>
      </c>
      <c r="AH379" s="32" t="s">
        <v>271</v>
      </c>
      <c r="AI379" s="32">
        <v>0.2</v>
      </c>
      <c r="AJ379" s="32">
        <v>0</v>
      </c>
      <c r="AK379" s="214">
        <v>0.5</v>
      </c>
      <c r="AL379" s="214">
        <v>0</v>
      </c>
      <c r="AM379" s="147">
        <f t="shared" si="11"/>
        <v>0.5</v>
      </c>
      <c r="AN379" s="32" t="s">
        <v>1035</v>
      </c>
      <c r="AO379" s="18" t="s">
        <v>1037</v>
      </c>
      <c r="AP379" s="10" t="s">
        <v>4129</v>
      </c>
    </row>
    <row r="380" spans="1:42" s="10" customFormat="1" x14ac:dyDescent="0.3">
      <c r="A380" s="213" t="s">
        <v>1444</v>
      </c>
      <c r="B380" s="10" t="s">
        <v>4050</v>
      </c>
      <c r="C380" s="213" t="s">
        <v>1445</v>
      </c>
      <c r="D380" s="10" t="s">
        <v>4052</v>
      </c>
      <c r="E380" s="213" t="s">
        <v>4106</v>
      </c>
      <c r="F380" s="10" t="s">
        <v>4107</v>
      </c>
      <c r="G380" s="213" t="s">
        <v>4130</v>
      </c>
      <c r="H380" s="10" t="s">
        <v>4131</v>
      </c>
      <c r="K380" s="213" t="s">
        <v>4132</v>
      </c>
      <c r="L380" s="10" t="s">
        <v>4133</v>
      </c>
      <c r="M380" s="18" t="s">
        <v>4134</v>
      </c>
      <c r="N380" s="18" t="s">
        <v>271</v>
      </c>
      <c r="O380" s="18">
        <v>6000</v>
      </c>
      <c r="P380" s="16">
        <v>6000</v>
      </c>
      <c r="Q380" s="16">
        <v>6000</v>
      </c>
      <c r="R380" s="16">
        <v>6000</v>
      </c>
      <c r="S380" s="16">
        <v>6000</v>
      </c>
      <c r="T380" s="10" t="s">
        <v>4062</v>
      </c>
      <c r="U380" s="283" t="s">
        <v>1037</v>
      </c>
      <c r="V380" s="10" t="s">
        <v>4135</v>
      </c>
      <c r="W380" s="10">
        <v>1</v>
      </c>
      <c r="X380" s="10">
        <v>0</v>
      </c>
      <c r="Y380" s="10">
        <v>1</v>
      </c>
      <c r="Z380" s="10">
        <v>1</v>
      </c>
      <c r="AA380" s="10">
        <v>1</v>
      </c>
      <c r="AB380" s="10">
        <v>0</v>
      </c>
      <c r="AC380" s="316">
        <v>1</v>
      </c>
      <c r="AD380" s="316">
        <v>1</v>
      </c>
      <c r="AE380" s="302">
        <f t="shared" si="12"/>
        <v>0.75</v>
      </c>
      <c r="AF380" s="17"/>
      <c r="AG380" s="17">
        <v>0</v>
      </c>
      <c r="AH380" s="17">
        <v>0</v>
      </c>
      <c r="AI380" s="32">
        <v>3</v>
      </c>
      <c r="AJ380" s="32">
        <v>3</v>
      </c>
      <c r="AK380" s="214">
        <v>3</v>
      </c>
      <c r="AL380" s="214">
        <v>3</v>
      </c>
      <c r="AM380" s="147">
        <f t="shared" si="11"/>
        <v>6</v>
      </c>
      <c r="AN380" s="32" t="s">
        <v>4067</v>
      </c>
      <c r="AO380" s="18" t="s">
        <v>1037</v>
      </c>
      <c r="AP380" s="10" t="s">
        <v>4136</v>
      </c>
    </row>
    <row r="381" spans="1:42" s="10" customFormat="1" x14ac:dyDescent="0.3">
      <c r="A381" s="213" t="s">
        <v>1444</v>
      </c>
      <c r="B381" s="10" t="s">
        <v>4050</v>
      </c>
      <c r="C381" s="213" t="s">
        <v>1445</v>
      </c>
      <c r="D381" s="10" t="s">
        <v>4052</v>
      </c>
      <c r="E381" s="213" t="s">
        <v>4106</v>
      </c>
      <c r="F381" s="10" t="s">
        <v>4107</v>
      </c>
      <c r="G381" s="213" t="s">
        <v>4130</v>
      </c>
      <c r="H381" s="10" t="s">
        <v>4131</v>
      </c>
      <c r="K381" s="213" t="s">
        <v>4132</v>
      </c>
      <c r="L381" s="10" t="s">
        <v>4133</v>
      </c>
      <c r="M381" s="18"/>
      <c r="N381" s="18"/>
      <c r="O381" s="18"/>
      <c r="P381" s="16"/>
      <c r="Q381" s="16"/>
      <c r="R381" s="16"/>
      <c r="S381" s="16"/>
      <c r="U381" s="283" t="e">
        <v>#N/A</v>
      </c>
      <c r="V381" s="215" t="s">
        <v>4137</v>
      </c>
      <c r="W381" s="10">
        <v>1</v>
      </c>
      <c r="X381" s="10">
        <v>1</v>
      </c>
      <c r="Y381" s="10">
        <v>1</v>
      </c>
      <c r="Z381" s="10">
        <v>1</v>
      </c>
      <c r="AA381" s="10">
        <v>1</v>
      </c>
      <c r="AB381" s="10">
        <v>0</v>
      </c>
      <c r="AC381" s="316">
        <v>1</v>
      </c>
      <c r="AD381" s="316">
        <v>1</v>
      </c>
      <c r="AE381" s="302">
        <f t="shared" si="12"/>
        <v>0.875</v>
      </c>
      <c r="AF381" s="32"/>
      <c r="AG381" s="17">
        <v>0</v>
      </c>
      <c r="AH381" s="32" t="s">
        <v>271</v>
      </c>
      <c r="AI381" s="32">
        <v>0</v>
      </c>
      <c r="AJ381" s="32">
        <v>0</v>
      </c>
      <c r="AK381" s="214">
        <v>10</v>
      </c>
      <c r="AL381" s="214">
        <v>5</v>
      </c>
      <c r="AM381" s="147">
        <f t="shared" si="11"/>
        <v>15</v>
      </c>
      <c r="AN381" s="32" t="s">
        <v>4067</v>
      </c>
      <c r="AO381" s="18" t="s">
        <v>1037</v>
      </c>
      <c r="AP381" s="10" t="s">
        <v>4078</v>
      </c>
    </row>
    <row r="382" spans="1:42" s="10" customFormat="1" x14ac:dyDescent="0.3">
      <c r="A382" s="213" t="s">
        <v>1444</v>
      </c>
      <c r="B382" s="10" t="s">
        <v>4050</v>
      </c>
      <c r="C382" s="213" t="s">
        <v>1445</v>
      </c>
      <c r="D382" s="10" t="s">
        <v>4052</v>
      </c>
      <c r="E382" s="213" t="s">
        <v>4106</v>
      </c>
      <c r="F382" s="10" t="s">
        <v>4107</v>
      </c>
      <c r="G382" s="213" t="s">
        <v>4130</v>
      </c>
      <c r="H382" s="10" t="s">
        <v>4131</v>
      </c>
      <c r="K382" s="213" t="s">
        <v>4132</v>
      </c>
      <c r="L382" s="10" t="s">
        <v>4133</v>
      </c>
      <c r="M382" s="18"/>
      <c r="N382" s="18"/>
      <c r="O382" s="18"/>
      <c r="P382" s="16"/>
      <c r="Q382" s="16"/>
      <c r="R382" s="16"/>
      <c r="S382" s="16"/>
      <c r="U382" s="283" t="e">
        <v>#N/A</v>
      </c>
      <c r="V382" s="215" t="s">
        <v>4137</v>
      </c>
      <c r="W382" s="10">
        <v>1</v>
      </c>
      <c r="X382" s="10">
        <v>1</v>
      </c>
      <c r="Y382" s="10">
        <v>1</v>
      </c>
      <c r="Z382" s="10">
        <v>1</v>
      </c>
      <c r="AA382" s="10">
        <v>1</v>
      </c>
      <c r="AB382" s="10">
        <v>0</v>
      </c>
      <c r="AC382" s="316">
        <v>1</v>
      </c>
      <c r="AD382" s="316">
        <v>1</v>
      </c>
      <c r="AE382" s="302">
        <f t="shared" si="12"/>
        <v>0.875</v>
      </c>
      <c r="AF382" s="32"/>
      <c r="AG382" s="17">
        <v>0</v>
      </c>
      <c r="AH382" s="32" t="s">
        <v>271</v>
      </c>
      <c r="AI382" s="32">
        <v>0</v>
      </c>
      <c r="AJ382" s="32">
        <v>0</v>
      </c>
      <c r="AK382" s="214">
        <v>0</v>
      </c>
      <c r="AL382" s="214">
        <v>0</v>
      </c>
      <c r="AM382" s="147">
        <f t="shared" si="11"/>
        <v>0</v>
      </c>
      <c r="AN382" s="10" t="s">
        <v>63</v>
      </c>
      <c r="AO382" s="18" t="s">
        <v>2510</v>
      </c>
      <c r="AP382" s="10" t="s">
        <v>119</v>
      </c>
    </row>
    <row r="383" spans="1:42" s="10" customFormat="1" x14ac:dyDescent="0.3">
      <c r="A383" s="213" t="s">
        <v>1444</v>
      </c>
      <c r="B383" s="10" t="s">
        <v>4050</v>
      </c>
      <c r="C383" s="213" t="s">
        <v>1445</v>
      </c>
      <c r="D383" s="10" t="s">
        <v>4052</v>
      </c>
      <c r="E383" s="213" t="s">
        <v>4106</v>
      </c>
      <c r="F383" s="10" t="s">
        <v>4107</v>
      </c>
      <c r="G383" s="213" t="s">
        <v>4130</v>
      </c>
      <c r="H383" s="10" t="s">
        <v>4131</v>
      </c>
      <c r="K383" s="213" t="s">
        <v>4132</v>
      </c>
      <c r="L383" s="10" t="s">
        <v>4133</v>
      </c>
      <c r="M383" s="18"/>
      <c r="N383" s="18"/>
      <c r="O383" s="18"/>
      <c r="P383" s="16"/>
      <c r="Q383" s="16"/>
      <c r="R383" s="16"/>
      <c r="S383" s="16"/>
      <c r="U383" s="283" t="e">
        <v>#N/A</v>
      </c>
      <c r="V383" s="10" t="s">
        <v>4138</v>
      </c>
      <c r="W383" s="10">
        <v>1</v>
      </c>
      <c r="X383" s="10">
        <v>0</v>
      </c>
      <c r="Y383" s="10">
        <v>0</v>
      </c>
      <c r="Z383" s="10">
        <v>0</v>
      </c>
      <c r="AA383" s="10">
        <v>1</v>
      </c>
      <c r="AB383" s="10">
        <v>0</v>
      </c>
      <c r="AC383" s="316">
        <v>1</v>
      </c>
      <c r="AD383" s="316">
        <v>1</v>
      </c>
      <c r="AE383" s="302">
        <f t="shared" si="12"/>
        <v>0.5</v>
      </c>
      <c r="AF383" s="32"/>
      <c r="AG383" s="17">
        <v>0</v>
      </c>
      <c r="AH383" s="32" t="s">
        <v>271</v>
      </c>
      <c r="AI383" s="17">
        <v>0</v>
      </c>
      <c r="AJ383" s="32">
        <v>2.9</v>
      </c>
      <c r="AK383" s="214">
        <v>5.9</v>
      </c>
      <c r="AL383" s="214">
        <v>5.9</v>
      </c>
      <c r="AM383" s="147">
        <f t="shared" si="11"/>
        <v>11.8</v>
      </c>
      <c r="AN383" s="32" t="s">
        <v>4067</v>
      </c>
      <c r="AO383" s="18" t="s">
        <v>1037</v>
      </c>
      <c r="AP383" s="10" t="s">
        <v>4139</v>
      </c>
    </row>
    <row r="384" spans="1:42" s="10" customFormat="1" x14ac:dyDescent="0.3">
      <c r="A384" s="213" t="s">
        <v>1444</v>
      </c>
      <c r="B384" s="10" t="s">
        <v>4050</v>
      </c>
      <c r="C384" s="213" t="s">
        <v>1445</v>
      </c>
      <c r="D384" s="10" t="s">
        <v>4052</v>
      </c>
      <c r="E384" s="213" t="s">
        <v>4106</v>
      </c>
      <c r="F384" s="10" t="s">
        <v>4107</v>
      </c>
      <c r="G384" s="213" t="s">
        <v>4130</v>
      </c>
      <c r="H384" s="10" t="s">
        <v>4131</v>
      </c>
      <c r="K384" s="213" t="s">
        <v>4132</v>
      </c>
      <c r="L384" s="10" t="s">
        <v>4133</v>
      </c>
      <c r="M384" s="18"/>
      <c r="N384" s="18"/>
      <c r="O384" s="18"/>
      <c r="P384" s="16"/>
      <c r="Q384" s="16"/>
      <c r="R384" s="16"/>
      <c r="S384" s="16"/>
      <c r="U384" s="283" t="e">
        <v>#N/A</v>
      </c>
      <c r="V384" s="10" t="s">
        <v>4138</v>
      </c>
      <c r="W384" s="10">
        <v>1</v>
      </c>
      <c r="X384" s="10">
        <v>0</v>
      </c>
      <c r="Y384" s="10">
        <v>0</v>
      </c>
      <c r="Z384" s="10">
        <v>0</v>
      </c>
      <c r="AA384" s="10">
        <v>1</v>
      </c>
      <c r="AB384" s="10">
        <v>0</v>
      </c>
      <c r="AC384" s="316">
        <v>1</v>
      </c>
      <c r="AD384" s="316">
        <v>1</v>
      </c>
      <c r="AE384" s="302">
        <f t="shared" si="12"/>
        <v>0.5</v>
      </c>
      <c r="AF384" s="32"/>
      <c r="AG384" s="17">
        <v>0</v>
      </c>
      <c r="AH384" s="32" t="s">
        <v>271</v>
      </c>
      <c r="AI384" s="17">
        <v>0</v>
      </c>
      <c r="AJ384" s="32">
        <v>0.1</v>
      </c>
      <c r="AK384" s="214">
        <v>0.1</v>
      </c>
      <c r="AL384" s="214">
        <v>0.1</v>
      </c>
      <c r="AM384" s="147">
        <f t="shared" si="11"/>
        <v>0.2</v>
      </c>
      <c r="AN384" s="10" t="s">
        <v>63</v>
      </c>
      <c r="AO384" s="18" t="s">
        <v>2510</v>
      </c>
      <c r="AP384" s="10" t="s">
        <v>4140</v>
      </c>
    </row>
    <row r="385" spans="1:42" s="10" customFormat="1" x14ac:dyDescent="0.3">
      <c r="A385" s="213" t="s">
        <v>1444</v>
      </c>
      <c r="B385" s="10" t="s">
        <v>4050</v>
      </c>
      <c r="C385" s="213" t="s">
        <v>1445</v>
      </c>
      <c r="D385" s="10" t="s">
        <v>4052</v>
      </c>
      <c r="E385" s="213" t="s">
        <v>4106</v>
      </c>
      <c r="F385" s="10" t="s">
        <v>4107</v>
      </c>
      <c r="G385" s="213" t="s">
        <v>4130</v>
      </c>
      <c r="H385" s="10" t="s">
        <v>4131</v>
      </c>
      <c r="K385" s="213" t="s">
        <v>4132</v>
      </c>
      <c r="L385" s="10" t="s">
        <v>4133</v>
      </c>
      <c r="M385" s="18"/>
      <c r="N385" s="18"/>
      <c r="O385" s="18"/>
      <c r="P385" s="16"/>
      <c r="Q385" s="16"/>
      <c r="R385" s="16"/>
      <c r="S385" s="16"/>
      <c r="U385" s="283" t="e">
        <v>#N/A</v>
      </c>
      <c r="V385" s="10" t="s">
        <v>4141</v>
      </c>
      <c r="W385" s="10">
        <v>1</v>
      </c>
      <c r="X385" s="10">
        <v>0</v>
      </c>
      <c r="Y385" s="10">
        <v>0</v>
      </c>
      <c r="Z385" s="10">
        <v>1</v>
      </c>
      <c r="AA385" s="10">
        <v>1</v>
      </c>
      <c r="AB385" s="10">
        <v>0</v>
      </c>
      <c r="AC385" s="316">
        <v>0</v>
      </c>
      <c r="AD385" s="316">
        <v>0</v>
      </c>
      <c r="AE385" s="302">
        <f t="shared" si="12"/>
        <v>0.375</v>
      </c>
      <c r="AF385" s="32"/>
      <c r="AG385" s="17">
        <v>0</v>
      </c>
      <c r="AH385" s="32" t="s">
        <v>271</v>
      </c>
      <c r="AI385" s="32">
        <v>0.5</v>
      </c>
      <c r="AJ385" s="32">
        <v>0.5</v>
      </c>
      <c r="AK385" s="214"/>
      <c r="AL385" s="214"/>
      <c r="AM385" s="147">
        <f t="shared" si="11"/>
        <v>0</v>
      </c>
      <c r="AN385" s="32" t="s">
        <v>4067</v>
      </c>
      <c r="AO385" s="18" t="s">
        <v>1037</v>
      </c>
      <c r="AP385" s="10" t="s">
        <v>640</v>
      </c>
    </row>
    <row r="386" spans="1:42" s="10" customFormat="1" x14ac:dyDescent="0.3">
      <c r="A386" s="213" t="s">
        <v>1444</v>
      </c>
      <c r="B386" s="10" t="s">
        <v>4050</v>
      </c>
      <c r="C386" s="213" t="s">
        <v>1445</v>
      </c>
      <c r="D386" s="10" t="s">
        <v>4052</v>
      </c>
      <c r="E386" s="213" t="s">
        <v>4106</v>
      </c>
      <c r="F386" s="10" t="s">
        <v>4107</v>
      </c>
      <c r="G386" s="213" t="s">
        <v>4130</v>
      </c>
      <c r="H386" s="10" t="s">
        <v>4131</v>
      </c>
      <c r="K386" s="213" t="s">
        <v>4132</v>
      </c>
      <c r="L386" s="10" t="s">
        <v>4133</v>
      </c>
      <c r="M386" s="18"/>
      <c r="N386" s="18"/>
      <c r="O386" s="18"/>
      <c r="P386" s="16"/>
      <c r="Q386" s="16"/>
      <c r="R386" s="16"/>
      <c r="S386" s="16"/>
      <c r="U386" s="283" t="e">
        <v>#N/A</v>
      </c>
      <c r="V386" s="10" t="s">
        <v>4142</v>
      </c>
      <c r="W386" s="10">
        <v>1</v>
      </c>
      <c r="X386" s="10">
        <v>1</v>
      </c>
      <c r="Y386" s="10">
        <v>1</v>
      </c>
      <c r="Z386" s="10">
        <v>0</v>
      </c>
      <c r="AA386" s="10">
        <v>1</v>
      </c>
      <c r="AB386" s="10">
        <v>0</v>
      </c>
      <c r="AC386" s="316">
        <v>1</v>
      </c>
      <c r="AD386" s="316">
        <v>1</v>
      </c>
      <c r="AE386" s="302">
        <f t="shared" si="12"/>
        <v>0.75</v>
      </c>
      <c r="AF386" s="32"/>
      <c r="AG386" s="17">
        <v>0</v>
      </c>
      <c r="AH386" s="32" t="s">
        <v>271</v>
      </c>
      <c r="AI386" s="32">
        <v>0.5</v>
      </c>
      <c r="AJ386" s="32">
        <v>0.5</v>
      </c>
      <c r="AK386" s="214">
        <v>1.44</v>
      </c>
      <c r="AL386" s="214">
        <v>0.5</v>
      </c>
      <c r="AM386" s="147">
        <f t="shared" si="11"/>
        <v>1.94</v>
      </c>
      <c r="AN386" s="32" t="s">
        <v>4067</v>
      </c>
      <c r="AO386" s="18" t="s">
        <v>1037</v>
      </c>
      <c r="AP386" s="10" t="s">
        <v>4143</v>
      </c>
    </row>
    <row r="387" spans="1:42" s="10" customFormat="1" x14ac:dyDescent="0.3">
      <c r="A387" s="213" t="s">
        <v>1444</v>
      </c>
      <c r="B387" s="10" t="s">
        <v>4050</v>
      </c>
      <c r="C387" s="213" t="s">
        <v>1445</v>
      </c>
      <c r="D387" s="10" t="s">
        <v>4052</v>
      </c>
      <c r="E387" s="213" t="s">
        <v>4106</v>
      </c>
      <c r="F387" s="10" t="s">
        <v>4107</v>
      </c>
      <c r="G387" s="213" t="s">
        <v>4130</v>
      </c>
      <c r="H387" s="10" t="s">
        <v>4131</v>
      </c>
      <c r="K387" s="213" t="s">
        <v>4132</v>
      </c>
      <c r="L387" s="10" t="s">
        <v>4133</v>
      </c>
      <c r="M387" s="18"/>
      <c r="N387" s="18"/>
      <c r="O387" s="18"/>
      <c r="P387" s="16"/>
      <c r="Q387" s="16"/>
      <c r="R387" s="16"/>
      <c r="S387" s="16"/>
      <c r="U387" s="283" t="e">
        <v>#N/A</v>
      </c>
      <c r="V387" s="10" t="s">
        <v>4142</v>
      </c>
      <c r="W387" s="10">
        <v>1</v>
      </c>
      <c r="X387" s="10">
        <v>1</v>
      </c>
      <c r="Y387" s="10">
        <v>1</v>
      </c>
      <c r="Z387" s="10">
        <v>0</v>
      </c>
      <c r="AA387" s="10">
        <v>1</v>
      </c>
      <c r="AB387" s="10">
        <v>0</v>
      </c>
      <c r="AC387" s="316">
        <v>1</v>
      </c>
      <c r="AD387" s="316">
        <v>1</v>
      </c>
      <c r="AE387" s="302">
        <f t="shared" si="12"/>
        <v>0.75</v>
      </c>
      <c r="AF387" s="32"/>
      <c r="AG387" s="17">
        <v>0</v>
      </c>
      <c r="AH387" s="32" t="s">
        <v>271</v>
      </c>
      <c r="AI387" s="32">
        <v>1.5</v>
      </c>
      <c r="AJ387" s="32">
        <v>1.5</v>
      </c>
      <c r="AK387" s="214">
        <v>1.5</v>
      </c>
      <c r="AL387" s="214">
        <v>1.5</v>
      </c>
      <c r="AM387" s="147">
        <f t="shared" si="11"/>
        <v>3</v>
      </c>
      <c r="AN387" s="18" t="s">
        <v>101</v>
      </c>
      <c r="AO387" s="18" t="s">
        <v>103</v>
      </c>
      <c r="AP387" s="10" t="s">
        <v>4062</v>
      </c>
    </row>
    <row r="388" spans="1:42" s="10" customFormat="1" x14ac:dyDescent="0.3">
      <c r="A388" s="213" t="s">
        <v>1444</v>
      </c>
      <c r="B388" s="10" t="s">
        <v>4050</v>
      </c>
      <c r="C388" s="213" t="s">
        <v>1445</v>
      </c>
      <c r="D388" s="10" t="s">
        <v>4052</v>
      </c>
      <c r="E388" s="213" t="s">
        <v>4106</v>
      </c>
      <c r="F388" s="10" t="s">
        <v>4107</v>
      </c>
      <c r="G388" s="213" t="s">
        <v>4130</v>
      </c>
      <c r="H388" s="10" t="s">
        <v>4131</v>
      </c>
      <c r="K388" s="213" t="s">
        <v>4132</v>
      </c>
      <c r="L388" s="10" t="s">
        <v>4133</v>
      </c>
      <c r="M388" s="18"/>
      <c r="N388" s="18"/>
      <c r="O388" s="18"/>
      <c r="P388" s="16"/>
      <c r="Q388" s="16"/>
      <c r="R388" s="16"/>
      <c r="S388" s="16"/>
      <c r="U388" s="283" t="e">
        <v>#N/A</v>
      </c>
      <c r="V388" s="10" t="s">
        <v>4144</v>
      </c>
      <c r="W388" s="10">
        <v>1</v>
      </c>
      <c r="X388" s="10">
        <v>0</v>
      </c>
      <c r="Y388" s="10">
        <v>0</v>
      </c>
      <c r="Z388" s="10">
        <v>1</v>
      </c>
      <c r="AA388" s="10">
        <v>1</v>
      </c>
      <c r="AB388" s="10">
        <v>0</v>
      </c>
      <c r="AC388" s="316">
        <v>0</v>
      </c>
      <c r="AD388" s="316">
        <v>1</v>
      </c>
      <c r="AE388" s="302">
        <f t="shared" si="12"/>
        <v>0.5</v>
      </c>
      <c r="AF388" s="32"/>
      <c r="AG388" s="17">
        <v>0</v>
      </c>
      <c r="AH388" s="32" t="s">
        <v>271</v>
      </c>
      <c r="AI388" s="32">
        <v>0.5</v>
      </c>
      <c r="AJ388" s="32">
        <v>0.5</v>
      </c>
      <c r="AK388" s="214">
        <v>0.5</v>
      </c>
      <c r="AL388" s="214">
        <v>0.5</v>
      </c>
      <c r="AM388" s="147">
        <f t="shared" si="11"/>
        <v>1</v>
      </c>
      <c r="AN388" s="32" t="s">
        <v>4067</v>
      </c>
      <c r="AO388" s="18" t="s">
        <v>1037</v>
      </c>
      <c r="AP388" s="10" t="s">
        <v>4145</v>
      </c>
    </row>
    <row r="389" spans="1:42" s="10" customFormat="1" x14ac:dyDescent="0.3">
      <c r="A389" s="213" t="s">
        <v>1444</v>
      </c>
      <c r="B389" s="10" t="s">
        <v>4050</v>
      </c>
      <c r="C389" s="213" t="s">
        <v>1445</v>
      </c>
      <c r="D389" s="10" t="s">
        <v>4052</v>
      </c>
      <c r="E389" s="213" t="s">
        <v>4106</v>
      </c>
      <c r="F389" s="10" t="s">
        <v>4107</v>
      </c>
      <c r="G389" s="213" t="s">
        <v>4130</v>
      </c>
      <c r="H389" s="10" t="s">
        <v>4131</v>
      </c>
      <c r="K389" s="213" t="s">
        <v>4132</v>
      </c>
      <c r="L389" s="10" t="s">
        <v>4133</v>
      </c>
      <c r="M389" s="18"/>
      <c r="N389" s="18"/>
      <c r="O389" s="18"/>
      <c r="P389" s="16"/>
      <c r="Q389" s="16"/>
      <c r="R389" s="16"/>
      <c r="S389" s="16"/>
      <c r="U389" s="283" t="e">
        <v>#N/A</v>
      </c>
      <c r="V389" s="10" t="s">
        <v>4144</v>
      </c>
      <c r="W389" s="10">
        <v>1</v>
      </c>
      <c r="X389" s="10">
        <v>0</v>
      </c>
      <c r="Y389" s="10">
        <v>0</v>
      </c>
      <c r="Z389" s="10">
        <v>1</v>
      </c>
      <c r="AA389" s="10">
        <v>1</v>
      </c>
      <c r="AB389" s="10">
        <v>0</v>
      </c>
      <c r="AC389" s="316">
        <v>0</v>
      </c>
      <c r="AD389" s="316">
        <v>1</v>
      </c>
      <c r="AE389" s="302">
        <f t="shared" si="12"/>
        <v>0.5</v>
      </c>
      <c r="AF389" s="32"/>
      <c r="AG389" s="17">
        <v>0</v>
      </c>
      <c r="AH389" s="32" t="s">
        <v>271</v>
      </c>
      <c r="AI389" s="32">
        <v>0.2</v>
      </c>
      <c r="AJ389" s="32">
        <v>0.2</v>
      </c>
      <c r="AK389" s="214">
        <v>0.3</v>
      </c>
      <c r="AL389" s="214">
        <v>0.5</v>
      </c>
      <c r="AM389" s="147">
        <f t="shared" si="11"/>
        <v>0.8</v>
      </c>
      <c r="AN389" s="18" t="s">
        <v>101</v>
      </c>
      <c r="AO389" s="18" t="s">
        <v>103</v>
      </c>
      <c r="AP389" s="10" t="s">
        <v>4146</v>
      </c>
    </row>
    <row r="390" spans="1:42" s="10" customFormat="1" x14ac:dyDescent="0.3">
      <c r="A390" s="213" t="s">
        <v>1444</v>
      </c>
      <c r="B390" s="10" t="s">
        <v>4050</v>
      </c>
      <c r="C390" s="213" t="s">
        <v>1445</v>
      </c>
      <c r="D390" s="10" t="s">
        <v>4052</v>
      </c>
      <c r="E390" s="213" t="s">
        <v>4106</v>
      </c>
      <c r="F390" s="10" t="s">
        <v>4107</v>
      </c>
      <c r="G390" s="213" t="s">
        <v>4147</v>
      </c>
      <c r="H390" s="10" t="s">
        <v>4148</v>
      </c>
      <c r="K390" s="213" t="s">
        <v>4149</v>
      </c>
      <c r="L390" s="10" t="s">
        <v>4150</v>
      </c>
      <c r="M390" s="18" t="s">
        <v>4151</v>
      </c>
      <c r="N390" s="18">
        <v>0</v>
      </c>
      <c r="O390" s="18">
        <v>1</v>
      </c>
      <c r="P390" s="16">
        <v>1</v>
      </c>
      <c r="Q390" s="16">
        <v>1</v>
      </c>
      <c r="R390" s="16">
        <v>1</v>
      </c>
      <c r="S390" s="16">
        <v>1</v>
      </c>
      <c r="T390" s="10" t="s">
        <v>1035</v>
      </c>
      <c r="U390" s="283" t="s">
        <v>1037</v>
      </c>
      <c r="V390" s="10" t="s">
        <v>4152</v>
      </c>
      <c r="W390" s="10">
        <v>1</v>
      </c>
      <c r="X390" s="10">
        <v>0</v>
      </c>
      <c r="Y390" s="10">
        <v>0</v>
      </c>
      <c r="Z390" s="10">
        <v>0</v>
      </c>
      <c r="AA390" s="10">
        <v>0</v>
      </c>
      <c r="AB390" s="10">
        <v>0</v>
      </c>
      <c r="AC390" s="316">
        <v>0</v>
      </c>
      <c r="AD390" s="316">
        <v>1</v>
      </c>
      <c r="AE390" s="302">
        <f t="shared" si="12"/>
        <v>0.25</v>
      </c>
      <c r="AF390" s="32"/>
      <c r="AG390" s="17">
        <v>0</v>
      </c>
      <c r="AH390" s="32">
        <v>0</v>
      </c>
      <c r="AI390" s="32">
        <v>0</v>
      </c>
      <c r="AJ390" s="32">
        <v>0</v>
      </c>
      <c r="AK390" s="214">
        <v>0</v>
      </c>
      <c r="AL390" s="214">
        <v>0</v>
      </c>
      <c r="AM390" s="147">
        <f t="shared" si="11"/>
        <v>0</v>
      </c>
      <c r="AN390" s="32" t="s">
        <v>1035</v>
      </c>
      <c r="AO390" s="18" t="s">
        <v>1037</v>
      </c>
      <c r="AP390" s="10" t="s">
        <v>4153</v>
      </c>
    </row>
    <row r="391" spans="1:42" s="10" customFormat="1" x14ac:dyDescent="0.3">
      <c r="A391" s="213" t="s">
        <v>1444</v>
      </c>
      <c r="B391" s="10" t="s">
        <v>4050</v>
      </c>
      <c r="C391" s="213" t="s">
        <v>1445</v>
      </c>
      <c r="D391" s="10" t="s">
        <v>4052</v>
      </c>
      <c r="E391" s="213" t="s">
        <v>4106</v>
      </c>
      <c r="F391" s="10" t="s">
        <v>4107</v>
      </c>
      <c r="G391" s="213" t="s">
        <v>4147</v>
      </c>
      <c r="H391" s="10" t="s">
        <v>4148</v>
      </c>
      <c r="K391" s="213" t="s">
        <v>4149</v>
      </c>
      <c r="L391" s="10" t="s">
        <v>4150</v>
      </c>
      <c r="M391" s="18"/>
      <c r="N391" s="18"/>
      <c r="O391" s="18"/>
      <c r="P391" s="16"/>
      <c r="Q391" s="16"/>
      <c r="R391" s="16"/>
      <c r="S391" s="16"/>
      <c r="U391" s="283" t="e">
        <v>#N/A</v>
      </c>
      <c r="V391" s="10" t="s">
        <v>4152</v>
      </c>
      <c r="W391" s="10">
        <v>1</v>
      </c>
      <c r="X391" s="10">
        <v>0</v>
      </c>
      <c r="Y391" s="10">
        <v>0</v>
      </c>
      <c r="Z391" s="10">
        <v>0</v>
      </c>
      <c r="AA391" s="10">
        <v>0</v>
      </c>
      <c r="AB391" s="10">
        <v>0</v>
      </c>
      <c r="AC391" s="316">
        <v>0</v>
      </c>
      <c r="AD391" s="316">
        <v>1</v>
      </c>
      <c r="AE391" s="302">
        <f t="shared" si="12"/>
        <v>0.25</v>
      </c>
      <c r="AF391" s="32"/>
      <c r="AG391" s="17">
        <v>0</v>
      </c>
      <c r="AH391" s="32">
        <v>0</v>
      </c>
      <c r="AI391" s="32">
        <v>0</v>
      </c>
      <c r="AJ391" s="32">
        <v>0</v>
      </c>
      <c r="AK391" s="214">
        <v>0</v>
      </c>
      <c r="AL391" s="214">
        <v>0</v>
      </c>
      <c r="AM391" s="147">
        <f t="shared" si="11"/>
        <v>0</v>
      </c>
      <c r="AN391" s="10" t="s">
        <v>723</v>
      </c>
      <c r="AO391" s="18" t="s">
        <v>729</v>
      </c>
      <c r="AP391" s="10" t="s">
        <v>4154</v>
      </c>
    </row>
    <row r="392" spans="1:42" s="10" customFormat="1" x14ac:dyDescent="0.3">
      <c r="A392" s="213" t="s">
        <v>1444</v>
      </c>
      <c r="B392" s="10" t="s">
        <v>4050</v>
      </c>
      <c r="C392" s="213" t="s">
        <v>1445</v>
      </c>
      <c r="D392" s="10" t="s">
        <v>4052</v>
      </c>
      <c r="E392" s="213" t="s">
        <v>4106</v>
      </c>
      <c r="F392" s="10" t="s">
        <v>4107</v>
      </c>
      <c r="G392" s="213" t="s">
        <v>4147</v>
      </c>
      <c r="H392" s="10" t="s">
        <v>4148</v>
      </c>
      <c r="K392" s="213" t="s">
        <v>4149</v>
      </c>
      <c r="L392" s="10" t="s">
        <v>4150</v>
      </c>
      <c r="M392" s="18"/>
      <c r="N392" s="18"/>
      <c r="O392" s="18"/>
      <c r="P392" s="16"/>
      <c r="Q392" s="16"/>
      <c r="R392" s="16"/>
      <c r="S392" s="16"/>
      <c r="U392" s="283" t="e">
        <v>#N/A</v>
      </c>
      <c r="V392" s="10" t="s">
        <v>4155</v>
      </c>
      <c r="W392" s="10">
        <v>1</v>
      </c>
      <c r="X392" s="10">
        <v>0</v>
      </c>
      <c r="Y392" s="10">
        <v>0</v>
      </c>
      <c r="Z392" s="10">
        <v>1</v>
      </c>
      <c r="AA392" s="10">
        <v>1</v>
      </c>
      <c r="AB392" s="10">
        <v>0</v>
      </c>
      <c r="AC392" s="316">
        <v>0</v>
      </c>
      <c r="AD392" s="316">
        <v>1</v>
      </c>
      <c r="AE392" s="302">
        <f t="shared" si="12"/>
        <v>0.5</v>
      </c>
      <c r="AF392" s="32"/>
      <c r="AG392" s="17">
        <v>0</v>
      </c>
      <c r="AH392" s="32" t="s">
        <v>271</v>
      </c>
      <c r="AI392" s="32">
        <v>1</v>
      </c>
      <c r="AJ392" s="32">
        <v>1</v>
      </c>
      <c r="AK392" s="214">
        <v>1</v>
      </c>
      <c r="AL392" s="214">
        <v>1</v>
      </c>
      <c r="AM392" s="147">
        <f t="shared" si="11"/>
        <v>2</v>
      </c>
      <c r="AN392" s="32" t="s">
        <v>4067</v>
      </c>
      <c r="AO392" s="18" t="s">
        <v>1037</v>
      </c>
      <c r="AP392" s="10" t="s">
        <v>4156</v>
      </c>
    </row>
    <row r="393" spans="1:42" s="10" customFormat="1" x14ac:dyDescent="0.3">
      <c r="A393" s="213" t="s">
        <v>1444</v>
      </c>
      <c r="B393" s="10" t="s">
        <v>4050</v>
      </c>
      <c r="C393" s="213" t="s">
        <v>1445</v>
      </c>
      <c r="D393" s="10" t="s">
        <v>4052</v>
      </c>
      <c r="E393" s="213" t="s">
        <v>4106</v>
      </c>
      <c r="F393" s="10" t="s">
        <v>4107</v>
      </c>
      <c r="G393" s="213" t="s">
        <v>4147</v>
      </c>
      <c r="H393" s="10" t="s">
        <v>4148</v>
      </c>
      <c r="K393" s="213" t="s">
        <v>4149</v>
      </c>
      <c r="L393" s="10" t="s">
        <v>4150</v>
      </c>
      <c r="M393" s="18"/>
      <c r="N393" s="18"/>
      <c r="O393" s="18"/>
      <c r="P393" s="16"/>
      <c r="Q393" s="16"/>
      <c r="R393" s="16"/>
      <c r="S393" s="16"/>
      <c r="U393" s="283" t="e">
        <v>#N/A</v>
      </c>
      <c r="V393" s="10" t="s">
        <v>4155</v>
      </c>
      <c r="W393" s="10">
        <v>1</v>
      </c>
      <c r="X393" s="10">
        <v>0</v>
      </c>
      <c r="Y393" s="10">
        <v>0</v>
      </c>
      <c r="Z393" s="10">
        <v>1</v>
      </c>
      <c r="AA393" s="10">
        <v>1</v>
      </c>
      <c r="AB393" s="10">
        <v>0</v>
      </c>
      <c r="AC393" s="316">
        <v>0</v>
      </c>
      <c r="AD393" s="316">
        <v>1</v>
      </c>
      <c r="AE393" s="302">
        <f t="shared" si="12"/>
        <v>0.5</v>
      </c>
      <c r="AF393" s="32"/>
      <c r="AG393" s="17">
        <v>0</v>
      </c>
      <c r="AH393" s="32" t="s">
        <v>271</v>
      </c>
      <c r="AI393" s="32">
        <v>0</v>
      </c>
      <c r="AJ393" s="32">
        <v>0</v>
      </c>
      <c r="AK393" s="214">
        <v>0</v>
      </c>
      <c r="AL393" s="214">
        <v>0</v>
      </c>
      <c r="AM393" s="147">
        <f t="shared" si="11"/>
        <v>0</v>
      </c>
      <c r="AN393" s="18" t="s">
        <v>101</v>
      </c>
      <c r="AO393" s="18" t="s">
        <v>103</v>
      </c>
      <c r="AP393" s="10" t="s">
        <v>4104</v>
      </c>
    </row>
    <row r="394" spans="1:42" s="10" customFormat="1" x14ac:dyDescent="0.3">
      <c r="A394" s="213" t="s">
        <v>1444</v>
      </c>
      <c r="B394" s="10" t="s">
        <v>4050</v>
      </c>
      <c r="C394" s="213" t="s">
        <v>1445</v>
      </c>
      <c r="D394" s="10" t="s">
        <v>4052</v>
      </c>
      <c r="E394" s="213" t="s">
        <v>4106</v>
      </c>
      <c r="F394" s="10" t="s">
        <v>4107</v>
      </c>
      <c r="G394" s="213" t="s">
        <v>4147</v>
      </c>
      <c r="H394" s="10" t="s">
        <v>4148</v>
      </c>
      <c r="K394" s="213" t="s">
        <v>4149</v>
      </c>
      <c r="L394" s="10" t="s">
        <v>4150</v>
      </c>
      <c r="M394" s="18"/>
      <c r="N394" s="18"/>
      <c r="O394" s="18"/>
      <c r="P394" s="16"/>
      <c r="Q394" s="16"/>
      <c r="R394" s="16"/>
      <c r="S394" s="16"/>
      <c r="U394" s="283" t="e">
        <v>#N/A</v>
      </c>
      <c r="V394" s="10" t="s">
        <v>4157</v>
      </c>
      <c r="W394" s="10">
        <v>1</v>
      </c>
      <c r="X394" s="10">
        <v>0</v>
      </c>
      <c r="Y394" s="10">
        <v>0</v>
      </c>
      <c r="Z394" s="10">
        <v>1</v>
      </c>
      <c r="AA394" s="10">
        <v>1</v>
      </c>
      <c r="AB394" s="10">
        <v>0</v>
      </c>
      <c r="AC394" s="316">
        <v>0</v>
      </c>
      <c r="AD394" s="316">
        <v>1</v>
      </c>
      <c r="AE394" s="302">
        <f t="shared" si="12"/>
        <v>0.5</v>
      </c>
      <c r="AF394" s="32"/>
      <c r="AG394" s="17">
        <v>0</v>
      </c>
      <c r="AH394" s="32" t="s">
        <v>271</v>
      </c>
      <c r="AI394" s="32">
        <v>1</v>
      </c>
      <c r="AJ394" s="32">
        <v>1</v>
      </c>
      <c r="AK394" s="214">
        <v>1</v>
      </c>
      <c r="AL394" s="214">
        <v>1</v>
      </c>
      <c r="AM394" s="147">
        <f t="shared" si="11"/>
        <v>2</v>
      </c>
      <c r="AN394" s="10" t="s">
        <v>723</v>
      </c>
      <c r="AO394" s="18" t="s">
        <v>729</v>
      </c>
      <c r="AP394" s="10" t="s">
        <v>4158</v>
      </c>
    </row>
    <row r="395" spans="1:42" s="10" customFormat="1" x14ac:dyDescent="0.3">
      <c r="A395" s="213" t="s">
        <v>1444</v>
      </c>
      <c r="B395" s="10" t="s">
        <v>4050</v>
      </c>
      <c r="C395" s="213" t="s">
        <v>1445</v>
      </c>
      <c r="D395" s="10" t="s">
        <v>4052</v>
      </c>
      <c r="E395" s="213" t="s">
        <v>4106</v>
      </c>
      <c r="F395" s="10" t="s">
        <v>4107</v>
      </c>
      <c r="G395" s="213" t="s">
        <v>4147</v>
      </c>
      <c r="H395" s="10" t="s">
        <v>4148</v>
      </c>
      <c r="K395" s="213" t="s">
        <v>4149</v>
      </c>
      <c r="L395" s="10" t="s">
        <v>4150</v>
      </c>
      <c r="M395" s="18"/>
      <c r="N395" s="18"/>
      <c r="O395" s="18"/>
      <c r="P395" s="16"/>
      <c r="Q395" s="16"/>
      <c r="R395" s="16"/>
      <c r="S395" s="16"/>
      <c r="U395" s="283" t="e">
        <v>#N/A</v>
      </c>
      <c r="V395" s="10" t="s">
        <v>4157</v>
      </c>
      <c r="W395" s="10">
        <v>1</v>
      </c>
      <c r="X395" s="10">
        <v>0</v>
      </c>
      <c r="Y395" s="10">
        <v>0</v>
      </c>
      <c r="Z395" s="10">
        <v>1</v>
      </c>
      <c r="AA395" s="10">
        <v>1</v>
      </c>
      <c r="AB395" s="10">
        <v>0</v>
      </c>
      <c r="AC395" s="316">
        <v>0</v>
      </c>
      <c r="AD395" s="316">
        <v>1</v>
      </c>
      <c r="AE395" s="302">
        <f t="shared" si="12"/>
        <v>0.5</v>
      </c>
      <c r="AF395" s="32"/>
      <c r="AG395" s="17">
        <v>0</v>
      </c>
      <c r="AH395" s="32" t="s">
        <v>271</v>
      </c>
      <c r="AI395" s="32">
        <v>1</v>
      </c>
      <c r="AJ395" s="32">
        <v>1.5</v>
      </c>
      <c r="AK395" s="214">
        <v>1.5</v>
      </c>
      <c r="AL395" s="214">
        <v>1.5</v>
      </c>
      <c r="AM395" s="147">
        <f t="shared" si="11"/>
        <v>3</v>
      </c>
      <c r="AN395" s="32" t="s">
        <v>4067</v>
      </c>
      <c r="AO395" s="18" t="s">
        <v>1037</v>
      </c>
      <c r="AP395" s="10" t="s">
        <v>4159</v>
      </c>
    </row>
    <row r="396" spans="1:42" s="10" customFormat="1" x14ac:dyDescent="0.3">
      <c r="A396" s="213" t="s">
        <v>1444</v>
      </c>
      <c r="B396" s="10" t="s">
        <v>4050</v>
      </c>
      <c r="C396" s="213" t="s">
        <v>1445</v>
      </c>
      <c r="D396" s="10" t="s">
        <v>4052</v>
      </c>
      <c r="E396" s="213" t="s">
        <v>4106</v>
      </c>
      <c r="F396" s="10" t="s">
        <v>4107</v>
      </c>
      <c r="G396" s="213" t="s">
        <v>4147</v>
      </c>
      <c r="H396" s="10" t="s">
        <v>4148</v>
      </c>
      <c r="K396" s="213" t="s">
        <v>4149</v>
      </c>
      <c r="L396" s="10" t="s">
        <v>4150</v>
      </c>
      <c r="M396" s="18"/>
      <c r="N396" s="18"/>
      <c r="O396" s="18"/>
      <c r="P396" s="16"/>
      <c r="Q396" s="16"/>
      <c r="R396" s="16"/>
      <c r="S396" s="16"/>
      <c r="U396" s="283" t="e">
        <v>#N/A</v>
      </c>
      <c r="V396" s="10" t="s">
        <v>4160</v>
      </c>
      <c r="W396" s="10">
        <v>1</v>
      </c>
      <c r="X396" s="10">
        <v>0</v>
      </c>
      <c r="Y396" s="10">
        <v>0</v>
      </c>
      <c r="Z396" s="10">
        <v>1</v>
      </c>
      <c r="AA396" s="10">
        <v>1</v>
      </c>
      <c r="AB396" s="10">
        <v>0</v>
      </c>
      <c r="AC396" s="316">
        <v>0</v>
      </c>
      <c r="AD396" s="316">
        <v>0</v>
      </c>
      <c r="AE396" s="302">
        <f t="shared" si="12"/>
        <v>0.375</v>
      </c>
      <c r="AF396" s="32"/>
      <c r="AG396" s="17">
        <v>0</v>
      </c>
      <c r="AH396" s="32">
        <v>1</v>
      </c>
      <c r="AI396" s="32">
        <v>1</v>
      </c>
      <c r="AJ396" s="32">
        <v>1</v>
      </c>
      <c r="AK396" s="214"/>
      <c r="AL396" s="214"/>
      <c r="AM396" s="147">
        <f t="shared" si="11"/>
        <v>0</v>
      </c>
      <c r="AN396" s="32" t="s">
        <v>4067</v>
      </c>
      <c r="AO396" s="18" t="s">
        <v>1037</v>
      </c>
      <c r="AP396" s="10" t="s">
        <v>4161</v>
      </c>
    </row>
    <row r="397" spans="1:42" s="10" customFormat="1" x14ac:dyDescent="0.3">
      <c r="A397" s="213" t="s">
        <v>1444</v>
      </c>
      <c r="B397" s="10" t="s">
        <v>4050</v>
      </c>
      <c r="C397" s="213" t="s">
        <v>1445</v>
      </c>
      <c r="D397" s="10" t="s">
        <v>4052</v>
      </c>
      <c r="E397" s="213" t="s">
        <v>4106</v>
      </c>
      <c r="F397" s="10" t="s">
        <v>4107</v>
      </c>
      <c r="G397" s="213" t="s">
        <v>4147</v>
      </c>
      <c r="H397" s="10" t="s">
        <v>4148</v>
      </c>
      <c r="K397" s="213" t="s">
        <v>4149</v>
      </c>
      <c r="L397" s="10" t="s">
        <v>4150</v>
      </c>
      <c r="M397" s="18"/>
      <c r="N397" s="18"/>
      <c r="O397" s="18"/>
      <c r="P397" s="16"/>
      <c r="Q397" s="16"/>
      <c r="R397" s="16"/>
      <c r="S397" s="16"/>
      <c r="U397" s="283" t="e">
        <v>#N/A</v>
      </c>
      <c r="V397" s="10" t="s">
        <v>4160</v>
      </c>
      <c r="W397" s="10">
        <v>1</v>
      </c>
      <c r="X397" s="10">
        <v>0</v>
      </c>
      <c r="Y397" s="10">
        <v>0</v>
      </c>
      <c r="Z397" s="10">
        <v>1</v>
      </c>
      <c r="AA397" s="10">
        <v>1</v>
      </c>
      <c r="AB397" s="10">
        <v>0</v>
      </c>
      <c r="AC397" s="316">
        <v>0</v>
      </c>
      <c r="AD397" s="316">
        <v>0</v>
      </c>
      <c r="AE397" s="302">
        <f t="shared" si="12"/>
        <v>0.375</v>
      </c>
      <c r="AF397" s="32"/>
      <c r="AG397" s="17">
        <v>0</v>
      </c>
      <c r="AH397" s="32" t="s">
        <v>271</v>
      </c>
      <c r="AI397" s="32" t="s">
        <v>271</v>
      </c>
      <c r="AJ397" s="32">
        <v>0.5</v>
      </c>
      <c r="AK397" s="214"/>
      <c r="AL397" s="214"/>
      <c r="AM397" s="147">
        <f t="shared" si="11"/>
        <v>0</v>
      </c>
      <c r="AN397" s="18" t="s">
        <v>101</v>
      </c>
      <c r="AO397" s="18" t="s">
        <v>103</v>
      </c>
      <c r="AP397" s="10" t="s">
        <v>4162</v>
      </c>
    </row>
    <row r="398" spans="1:42" s="10" customFormat="1" x14ac:dyDescent="0.3">
      <c r="A398" s="213" t="s">
        <v>1444</v>
      </c>
      <c r="B398" s="10" t="s">
        <v>4050</v>
      </c>
      <c r="C398" s="213" t="s">
        <v>1445</v>
      </c>
      <c r="D398" s="10" t="s">
        <v>4052</v>
      </c>
      <c r="E398" s="213" t="s">
        <v>4106</v>
      </c>
      <c r="F398" s="10" t="s">
        <v>4107</v>
      </c>
      <c r="G398" s="213" t="s">
        <v>4147</v>
      </c>
      <c r="H398" s="10" t="s">
        <v>4148</v>
      </c>
      <c r="K398" s="213" t="s">
        <v>4149</v>
      </c>
      <c r="L398" s="10" t="s">
        <v>4150</v>
      </c>
      <c r="M398" s="18"/>
      <c r="N398" s="18"/>
      <c r="O398" s="18"/>
      <c r="P398" s="16"/>
      <c r="Q398" s="16"/>
      <c r="R398" s="16"/>
      <c r="S398" s="16"/>
      <c r="U398" s="283" t="e">
        <v>#N/A</v>
      </c>
      <c r="V398" s="10" t="s">
        <v>4160</v>
      </c>
      <c r="W398" s="10">
        <v>1</v>
      </c>
      <c r="X398" s="10">
        <v>0</v>
      </c>
      <c r="Y398" s="10">
        <v>0</v>
      </c>
      <c r="Z398" s="10">
        <v>1</v>
      </c>
      <c r="AA398" s="10">
        <v>1</v>
      </c>
      <c r="AB398" s="10">
        <v>0</v>
      </c>
      <c r="AC398" s="316">
        <v>0</v>
      </c>
      <c r="AD398" s="316">
        <v>0</v>
      </c>
      <c r="AE398" s="302">
        <f t="shared" si="12"/>
        <v>0.375</v>
      </c>
      <c r="AF398" s="32"/>
      <c r="AG398" s="17">
        <v>0</v>
      </c>
      <c r="AH398" s="32" t="s">
        <v>271</v>
      </c>
      <c r="AI398" s="32" t="s">
        <v>271</v>
      </c>
      <c r="AJ398" s="32">
        <v>0.5</v>
      </c>
      <c r="AK398" s="214"/>
      <c r="AL398" s="214"/>
      <c r="AM398" s="147">
        <f t="shared" si="11"/>
        <v>0</v>
      </c>
      <c r="AN398" s="10" t="s">
        <v>723</v>
      </c>
      <c r="AO398" s="18" t="s">
        <v>729</v>
      </c>
      <c r="AP398" s="10" t="s">
        <v>4163</v>
      </c>
    </row>
    <row r="399" spans="1:42" s="10" customFormat="1" x14ac:dyDescent="0.3">
      <c r="A399" s="213" t="s">
        <v>1444</v>
      </c>
      <c r="B399" s="10" t="s">
        <v>4050</v>
      </c>
      <c r="C399" s="213" t="s">
        <v>1445</v>
      </c>
      <c r="D399" s="10" t="s">
        <v>4052</v>
      </c>
      <c r="E399" s="213" t="s">
        <v>4106</v>
      </c>
      <c r="F399" s="10" t="s">
        <v>4107</v>
      </c>
      <c r="G399" s="213" t="s">
        <v>4164</v>
      </c>
      <c r="H399" s="10" t="s">
        <v>4165</v>
      </c>
      <c r="K399" s="213" t="s">
        <v>4166</v>
      </c>
      <c r="L399" s="10" t="s">
        <v>4167</v>
      </c>
      <c r="M399" s="18" t="s">
        <v>4168</v>
      </c>
      <c r="N399" s="18"/>
      <c r="O399" s="18"/>
      <c r="P399" s="16"/>
      <c r="Q399" s="16"/>
      <c r="R399" s="16"/>
      <c r="S399" s="16">
        <v>500</v>
      </c>
      <c r="T399" s="10" t="s">
        <v>1035</v>
      </c>
      <c r="U399" s="283" t="s">
        <v>1037</v>
      </c>
      <c r="V399" s="10" t="s">
        <v>4169</v>
      </c>
      <c r="W399" s="10">
        <v>1</v>
      </c>
      <c r="X399" s="10">
        <v>0</v>
      </c>
      <c r="Y399" s="10">
        <v>0</v>
      </c>
      <c r="Z399" s="10">
        <v>1</v>
      </c>
      <c r="AA399" s="10">
        <v>1</v>
      </c>
      <c r="AB399" s="10">
        <v>0</v>
      </c>
      <c r="AC399" s="316">
        <v>1</v>
      </c>
      <c r="AD399" s="316">
        <v>1</v>
      </c>
      <c r="AE399" s="302">
        <f t="shared" si="12"/>
        <v>0.625</v>
      </c>
      <c r="AF399" s="32"/>
      <c r="AG399" s="17">
        <v>0</v>
      </c>
      <c r="AH399" s="32">
        <v>0.2</v>
      </c>
      <c r="AI399" s="32">
        <v>0.2</v>
      </c>
      <c r="AJ399" s="32">
        <v>0.2</v>
      </c>
      <c r="AK399" s="214">
        <v>0.2</v>
      </c>
      <c r="AL399" s="214">
        <v>0.2</v>
      </c>
      <c r="AM399" s="147">
        <f t="shared" si="11"/>
        <v>0.4</v>
      </c>
      <c r="AN399" s="32" t="s">
        <v>1035</v>
      </c>
      <c r="AO399" s="18" t="s">
        <v>1037</v>
      </c>
      <c r="AP399" s="10" t="s">
        <v>4170</v>
      </c>
    </row>
    <row r="400" spans="1:42" s="10" customFormat="1" x14ac:dyDescent="0.3">
      <c r="A400" s="213" t="s">
        <v>1444</v>
      </c>
      <c r="B400" s="10" t="s">
        <v>4050</v>
      </c>
      <c r="C400" s="213" t="s">
        <v>1445</v>
      </c>
      <c r="D400" s="10" t="s">
        <v>4052</v>
      </c>
      <c r="E400" s="213" t="s">
        <v>4106</v>
      </c>
      <c r="F400" s="10" t="s">
        <v>4107</v>
      </c>
      <c r="G400" s="213" t="s">
        <v>4164</v>
      </c>
      <c r="H400" s="10" t="s">
        <v>4165</v>
      </c>
      <c r="K400" s="213" t="s">
        <v>4166</v>
      </c>
      <c r="L400" s="10" t="s">
        <v>4167</v>
      </c>
      <c r="M400" s="18" t="s">
        <v>4171</v>
      </c>
      <c r="N400" s="18"/>
      <c r="O400" s="18"/>
      <c r="P400" s="16"/>
      <c r="Q400" s="16"/>
      <c r="R400" s="16"/>
      <c r="S400" s="16">
        <v>500</v>
      </c>
      <c r="T400" s="10" t="s">
        <v>1035</v>
      </c>
      <c r="U400" s="283" t="s">
        <v>1037</v>
      </c>
      <c r="V400" s="10" t="s">
        <v>4172</v>
      </c>
      <c r="W400" s="10">
        <v>1</v>
      </c>
      <c r="X400" s="10">
        <v>0</v>
      </c>
      <c r="Y400" s="10">
        <v>0</v>
      </c>
      <c r="Z400" s="10">
        <v>1</v>
      </c>
      <c r="AA400" s="10">
        <v>1</v>
      </c>
      <c r="AB400" s="10">
        <v>0</v>
      </c>
      <c r="AC400" s="316">
        <v>1</v>
      </c>
      <c r="AD400" s="316">
        <v>1</v>
      </c>
      <c r="AE400" s="302">
        <f t="shared" si="12"/>
        <v>0.625</v>
      </c>
      <c r="AF400" s="32"/>
      <c r="AG400" s="17">
        <v>0</v>
      </c>
      <c r="AH400" s="32">
        <v>0.2</v>
      </c>
      <c r="AI400" s="32">
        <v>0.2</v>
      </c>
      <c r="AJ400" s="32">
        <v>0.2</v>
      </c>
      <c r="AK400" s="214">
        <v>0.2</v>
      </c>
      <c r="AL400" s="214">
        <v>0.2</v>
      </c>
      <c r="AM400" s="147">
        <f t="shared" si="11"/>
        <v>0.4</v>
      </c>
      <c r="AN400" s="32" t="s">
        <v>1035</v>
      </c>
      <c r="AO400" s="18" t="s">
        <v>1037</v>
      </c>
      <c r="AP400" s="10" t="s">
        <v>4173</v>
      </c>
    </row>
    <row r="401" spans="1:42" s="10" customFormat="1" x14ac:dyDescent="0.3">
      <c r="A401" s="213" t="s">
        <v>1444</v>
      </c>
      <c r="B401" s="10" t="s">
        <v>4050</v>
      </c>
      <c r="C401" s="213" t="s">
        <v>1445</v>
      </c>
      <c r="D401" s="10" t="s">
        <v>4052</v>
      </c>
      <c r="E401" s="213" t="s">
        <v>4106</v>
      </c>
      <c r="F401" s="10" t="s">
        <v>4107</v>
      </c>
      <c r="G401" s="213" t="s">
        <v>4164</v>
      </c>
      <c r="H401" s="10" t="s">
        <v>4165</v>
      </c>
      <c r="K401" s="213" t="s">
        <v>4166</v>
      </c>
      <c r="L401" s="10" t="s">
        <v>4167</v>
      </c>
      <c r="M401" s="18"/>
      <c r="N401" s="18"/>
      <c r="O401" s="18"/>
      <c r="P401" s="16"/>
      <c r="Q401" s="16"/>
      <c r="R401" s="16"/>
      <c r="S401" s="16"/>
      <c r="U401" s="283" t="e">
        <v>#N/A</v>
      </c>
      <c r="V401" s="10" t="s">
        <v>4174</v>
      </c>
      <c r="W401" s="10">
        <v>1</v>
      </c>
      <c r="X401" s="10">
        <v>1</v>
      </c>
      <c r="Y401" s="10">
        <v>1</v>
      </c>
      <c r="Z401" s="10">
        <v>1</v>
      </c>
      <c r="AA401" s="10">
        <v>1</v>
      </c>
      <c r="AB401" s="10">
        <v>0</v>
      </c>
      <c r="AC401" s="316">
        <v>1</v>
      </c>
      <c r="AD401" s="316">
        <v>1</v>
      </c>
      <c r="AE401" s="302">
        <f t="shared" si="12"/>
        <v>0.875</v>
      </c>
      <c r="AF401" s="32"/>
      <c r="AG401" s="17">
        <v>0</v>
      </c>
      <c r="AH401" s="32">
        <v>0.2</v>
      </c>
      <c r="AI401" s="32">
        <v>0.3</v>
      </c>
      <c r="AJ401" s="32">
        <v>0.5</v>
      </c>
      <c r="AK401" s="214">
        <v>1</v>
      </c>
      <c r="AL401" s="214">
        <v>1</v>
      </c>
      <c r="AM401" s="147">
        <f t="shared" si="11"/>
        <v>2</v>
      </c>
      <c r="AN401" s="32" t="s">
        <v>4067</v>
      </c>
      <c r="AO401" s="18" t="s">
        <v>1037</v>
      </c>
      <c r="AP401" s="10" t="s">
        <v>1083</v>
      </c>
    </row>
    <row r="402" spans="1:42" s="10" customFormat="1" x14ac:dyDescent="0.3">
      <c r="A402" s="213" t="s">
        <v>1444</v>
      </c>
      <c r="B402" s="10" t="s">
        <v>4050</v>
      </c>
      <c r="C402" s="213" t="s">
        <v>1445</v>
      </c>
      <c r="D402" s="10" t="s">
        <v>4052</v>
      </c>
      <c r="E402" s="213" t="s">
        <v>4106</v>
      </c>
      <c r="F402" s="10" t="s">
        <v>4107</v>
      </c>
      <c r="G402" s="213" t="s">
        <v>4164</v>
      </c>
      <c r="H402" s="10" t="s">
        <v>4165</v>
      </c>
      <c r="K402" s="213" t="s">
        <v>4166</v>
      </c>
      <c r="L402" s="10" t="s">
        <v>4167</v>
      </c>
      <c r="M402" s="18"/>
      <c r="N402" s="18"/>
      <c r="O402" s="18"/>
      <c r="P402" s="16"/>
      <c r="Q402" s="16"/>
      <c r="R402" s="16"/>
      <c r="S402" s="16"/>
      <c r="U402" s="283" t="e">
        <v>#N/A</v>
      </c>
      <c r="V402" s="10" t="s">
        <v>4174</v>
      </c>
      <c r="W402" s="10">
        <v>1</v>
      </c>
      <c r="X402" s="10">
        <v>1</v>
      </c>
      <c r="Y402" s="10">
        <v>1</v>
      </c>
      <c r="Z402" s="10">
        <v>1</v>
      </c>
      <c r="AA402" s="10">
        <v>1</v>
      </c>
      <c r="AB402" s="10">
        <v>0</v>
      </c>
      <c r="AC402" s="316">
        <v>1</v>
      </c>
      <c r="AD402" s="316">
        <v>1</v>
      </c>
      <c r="AE402" s="302">
        <f t="shared" si="12"/>
        <v>0.875</v>
      </c>
      <c r="AF402" s="32"/>
      <c r="AG402" s="17">
        <v>0</v>
      </c>
      <c r="AH402" s="32" t="s">
        <v>271</v>
      </c>
      <c r="AI402" s="32" t="s">
        <v>271</v>
      </c>
      <c r="AJ402" s="32">
        <v>0.2</v>
      </c>
      <c r="AK402" s="214"/>
      <c r="AL402" s="214"/>
      <c r="AM402" s="147">
        <f t="shared" si="11"/>
        <v>0</v>
      </c>
      <c r="AN402" s="18" t="s">
        <v>101</v>
      </c>
      <c r="AO402" s="18" t="s">
        <v>103</v>
      </c>
      <c r="AP402" s="10" t="s">
        <v>4175</v>
      </c>
    </row>
    <row r="403" spans="1:42" s="10" customFormat="1" x14ac:dyDescent="0.3">
      <c r="A403" s="213" t="s">
        <v>1444</v>
      </c>
      <c r="B403" s="10" t="s">
        <v>4050</v>
      </c>
      <c r="C403" s="213" t="s">
        <v>1445</v>
      </c>
      <c r="D403" s="10" t="s">
        <v>4052</v>
      </c>
      <c r="E403" s="213" t="s">
        <v>4106</v>
      </c>
      <c r="F403" s="10" t="s">
        <v>4107</v>
      </c>
      <c r="G403" s="213" t="s">
        <v>4164</v>
      </c>
      <c r="H403" s="10" t="s">
        <v>4165</v>
      </c>
      <c r="K403" s="213" t="s">
        <v>4166</v>
      </c>
      <c r="L403" s="10" t="s">
        <v>4167</v>
      </c>
      <c r="M403" s="18"/>
      <c r="N403" s="18"/>
      <c r="O403" s="18"/>
      <c r="P403" s="16"/>
      <c r="Q403" s="16"/>
      <c r="R403" s="16"/>
      <c r="S403" s="16"/>
      <c r="U403" s="283" t="e">
        <v>#N/A</v>
      </c>
      <c r="V403" s="10" t="s">
        <v>4174</v>
      </c>
      <c r="W403" s="10">
        <v>1</v>
      </c>
      <c r="X403" s="10">
        <v>1</v>
      </c>
      <c r="Y403" s="10">
        <v>1</v>
      </c>
      <c r="Z403" s="10">
        <v>1</v>
      </c>
      <c r="AA403" s="10">
        <v>1</v>
      </c>
      <c r="AB403" s="10">
        <v>0</v>
      </c>
      <c r="AC403" s="316">
        <v>1</v>
      </c>
      <c r="AD403" s="316">
        <v>1</v>
      </c>
      <c r="AE403" s="302">
        <f t="shared" si="12"/>
        <v>0.875</v>
      </c>
      <c r="AF403" s="32"/>
      <c r="AG403" s="17">
        <v>0</v>
      </c>
      <c r="AH403" s="32" t="s">
        <v>271</v>
      </c>
      <c r="AI403" s="32" t="s">
        <v>271</v>
      </c>
      <c r="AJ403" s="32">
        <v>0.2</v>
      </c>
      <c r="AK403" s="214">
        <v>0.2</v>
      </c>
      <c r="AL403" s="214">
        <v>0.3</v>
      </c>
      <c r="AM403" s="147">
        <f t="shared" si="11"/>
        <v>0.5</v>
      </c>
      <c r="AN403" s="10" t="s">
        <v>265</v>
      </c>
      <c r="AO403" s="18" t="s">
        <v>350</v>
      </c>
      <c r="AP403" s="10" t="s">
        <v>4062</v>
      </c>
    </row>
    <row r="404" spans="1:42" s="10" customFormat="1" x14ac:dyDescent="0.3">
      <c r="A404" s="213" t="s">
        <v>1444</v>
      </c>
      <c r="B404" s="10" t="s">
        <v>4050</v>
      </c>
      <c r="C404" s="213" t="s">
        <v>1445</v>
      </c>
      <c r="D404" s="10" t="s">
        <v>4052</v>
      </c>
      <c r="E404" s="213" t="s">
        <v>4106</v>
      </c>
      <c r="F404" s="10" t="s">
        <v>4107</v>
      </c>
      <c r="G404" s="213" t="s">
        <v>4164</v>
      </c>
      <c r="H404" s="10" t="s">
        <v>4165</v>
      </c>
      <c r="K404" s="213" t="s">
        <v>4166</v>
      </c>
      <c r="L404" s="10" t="s">
        <v>4167</v>
      </c>
      <c r="M404" s="18"/>
      <c r="N404" s="18"/>
      <c r="O404" s="18"/>
      <c r="P404" s="16"/>
      <c r="Q404" s="16"/>
      <c r="R404" s="16"/>
      <c r="S404" s="16"/>
      <c r="U404" s="283" t="e">
        <v>#N/A</v>
      </c>
      <c r="V404" s="10" t="s">
        <v>4176</v>
      </c>
      <c r="W404" s="10">
        <v>1</v>
      </c>
      <c r="X404" s="10">
        <v>0</v>
      </c>
      <c r="Y404" s="10">
        <v>0</v>
      </c>
      <c r="Z404" s="10">
        <v>1</v>
      </c>
      <c r="AA404" s="10">
        <v>1</v>
      </c>
      <c r="AB404" s="10">
        <v>1</v>
      </c>
      <c r="AC404" s="316">
        <v>1</v>
      </c>
      <c r="AD404" s="316">
        <v>1</v>
      </c>
      <c r="AE404" s="302">
        <f t="shared" si="12"/>
        <v>0.75</v>
      </c>
      <c r="AF404" s="32"/>
      <c r="AG404" s="17">
        <v>0</v>
      </c>
      <c r="AH404" s="32">
        <v>0.1</v>
      </c>
      <c r="AI404" s="32">
        <v>0.2</v>
      </c>
      <c r="AJ404" s="32">
        <v>0.3</v>
      </c>
      <c r="AK404" s="214">
        <v>0.3</v>
      </c>
      <c r="AL404" s="214">
        <v>0.3</v>
      </c>
      <c r="AM404" s="147">
        <f t="shared" si="11"/>
        <v>0.6</v>
      </c>
      <c r="AN404" s="32" t="s">
        <v>1035</v>
      </c>
      <c r="AO404" s="18" t="s">
        <v>1037</v>
      </c>
      <c r="AP404" s="10" t="s">
        <v>2043</v>
      </c>
    </row>
    <row r="405" spans="1:42" s="10" customFormat="1" x14ac:dyDescent="0.3">
      <c r="A405" s="213" t="s">
        <v>1444</v>
      </c>
      <c r="B405" s="10" t="s">
        <v>4050</v>
      </c>
      <c r="C405" s="213" t="s">
        <v>1445</v>
      </c>
      <c r="D405" s="10" t="s">
        <v>4052</v>
      </c>
      <c r="E405" s="213" t="s">
        <v>4106</v>
      </c>
      <c r="F405" s="10" t="s">
        <v>4107</v>
      </c>
      <c r="G405" s="213" t="s">
        <v>4164</v>
      </c>
      <c r="H405" s="10" t="s">
        <v>4165</v>
      </c>
      <c r="K405" s="213" t="s">
        <v>4166</v>
      </c>
      <c r="L405" s="10" t="s">
        <v>4167</v>
      </c>
      <c r="M405" s="18"/>
      <c r="N405" s="18"/>
      <c r="O405" s="18"/>
      <c r="P405" s="16"/>
      <c r="Q405" s="16"/>
      <c r="R405" s="16"/>
      <c r="S405" s="16"/>
      <c r="U405" s="283" t="e">
        <v>#N/A</v>
      </c>
      <c r="V405" s="10" t="s">
        <v>4176</v>
      </c>
      <c r="W405" s="10">
        <v>1</v>
      </c>
      <c r="X405" s="10">
        <v>0</v>
      </c>
      <c r="Y405" s="10">
        <v>0</v>
      </c>
      <c r="Z405" s="10">
        <v>1</v>
      </c>
      <c r="AA405" s="10">
        <v>1</v>
      </c>
      <c r="AB405" s="10">
        <v>1</v>
      </c>
      <c r="AC405" s="316">
        <v>1</v>
      </c>
      <c r="AD405" s="316">
        <v>1</v>
      </c>
      <c r="AE405" s="302">
        <f t="shared" si="12"/>
        <v>0.75</v>
      </c>
      <c r="AF405" s="32"/>
      <c r="AG405" s="17">
        <v>0</v>
      </c>
      <c r="AH405" s="32" t="s">
        <v>271</v>
      </c>
      <c r="AI405" s="32">
        <v>0.2</v>
      </c>
      <c r="AJ405" s="32">
        <v>0.2</v>
      </c>
      <c r="AK405" s="214">
        <v>0.3</v>
      </c>
      <c r="AL405" s="214">
        <v>0.3</v>
      </c>
      <c r="AM405" s="147">
        <f t="shared" si="11"/>
        <v>0.6</v>
      </c>
      <c r="AN405" s="18" t="s">
        <v>255</v>
      </c>
      <c r="AO405" s="18" t="s">
        <v>1045</v>
      </c>
      <c r="AP405" s="10" t="s">
        <v>4177</v>
      </c>
    </row>
    <row r="406" spans="1:42" s="10" customFormat="1" x14ac:dyDescent="0.3">
      <c r="A406" s="213" t="s">
        <v>1444</v>
      </c>
      <c r="B406" s="10" t="s">
        <v>4050</v>
      </c>
      <c r="C406" s="213" t="s">
        <v>1445</v>
      </c>
      <c r="D406" s="10" t="s">
        <v>4052</v>
      </c>
      <c r="E406" s="213" t="s">
        <v>4106</v>
      </c>
      <c r="F406" s="10" t="s">
        <v>4107</v>
      </c>
      <c r="G406" s="213" t="s">
        <v>4164</v>
      </c>
      <c r="H406" s="10" t="s">
        <v>4165</v>
      </c>
      <c r="K406" s="213" t="s">
        <v>4166</v>
      </c>
      <c r="L406" s="10" t="s">
        <v>4167</v>
      </c>
      <c r="M406" s="18"/>
      <c r="N406" s="18"/>
      <c r="O406" s="18"/>
      <c r="P406" s="16"/>
      <c r="Q406" s="16"/>
      <c r="R406" s="16"/>
      <c r="S406" s="16"/>
      <c r="U406" s="283" t="e">
        <v>#N/A</v>
      </c>
      <c r="V406" s="10" t="s">
        <v>4176</v>
      </c>
      <c r="W406" s="10">
        <v>1</v>
      </c>
      <c r="X406" s="10">
        <v>0</v>
      </c>
      <c r="Y406" s="10">
        <v>0</v>
      </c>
      <c r="Z406" s="10">
        <v>1</v>
      </c>
      <c r="AA406" s="10">
        <v>1</v>
      </c>
      <c r="AB406" s="10">
        <v>1</v>
      </c>
      <c r="AC406" s="316">
        <v>1</v>
      </c>
      <c r="AD406" s="316">
        <v>1</v>
      </c>
      <c r="AE406" s="302">
        <f t="shared" si="12"/>
        <v>0.75</v>
      </c>
      <c r="AF406" s="32"/>
      <c r="AG406" s="17">
        <v>0</v>
      </c>
      <c r="AH406" s="32" t="s">
        <v>271</v>
      </c>
      <c r="AI406" s="32">
        <v>0.2</v>
      </c>
      <c r="AJ406" s="32">
        <v>0.2</v>
      </c>
      <c r="AK406" s="214">
        <v>0.3</v>
      </c>
      <c r="AL406" s="214">
        <v>0.3</v>
      </c>
      <c r="AM406" s="147">
        <f t="shared" si="11"/>
        <v>0.6</v>
      </c>
      <c r="AN406" s="32" t="s">
        <v>3605</v>
      </c>
      <c r="AO406" s="18" t="s">
        <v>4178</v>
      </c>
      <c r="AP406" s="10" t="s">
        <v>4063</v>
      </c>
    </row>
    <row r="407" spans="1:42" s="10" customFormat="1" x14ac:dyDescent="0.3">
      <c r="A407" s="213" t="s">
        <v>1444</v>
      </c>
      <c r="B407" s="10" t="s">
        <v>4050</v>
      </c>
      <c r="C407" s="213" t="s">
        <v>1445</v>
      </c>
      <c r="D407" s="10" t="s">
        <v>4052</v>
      </c>
      <c r="E407" s="213" t="s">
        <v>4106</v>
      </c>
      <c r="F407" s="10" t="s">
        <v>4107</v>
      </c>
      <c r="G407" s="213" t="s">
        <v>4164</v>
      </c>
      <c r="H407" s="10" t="s">
        <v>4165</v>
      </c>
      <c r="K407" s="213" t="s">
        <v>4166</v>
      </c>
      <c r="L407" s="10" t="s">
        <v>4167</v>
      </c>
      <c r="M407" s="18"/>
      <c r="N407" s="18"/>
      <c r="O407" s="18"/>
      <c r="P407" s="16"/>
      <c r="Q407" s="16"/>
      <c r="R407" s="16"/>
      <c r="S407" s="16"/>
      <c r="U407" s="283" t="e">
        <v>#N/A</v>
      </c>
      <c r="V407" s="10" t="s">
        <v>4176</v>
      </c>
      <c r="W407" s="10">
        <v>1</v>
      </c>
      <c r="X407" s="10">
        <v>0</v>
      </c>
      <c r="Y407" s="10">
        <v>0</v>
      </c>
      <c r="Z407" s="10">
        <v>1</v>
      </c>
      <c r="AA407" s="10">
        <v>1</v>
      </c>
      <c r="AB407" s="10">
        <v>1</v>
      </c>
      <c r="AC407" s="316">
        <v>1</v>
      </c>
      <c r="AD407" s="316">
        <v>1</v>
      </c>
      <c r="AE407" s="302">
        <f t="shared" si="12"/>
        <v>0.75</v>
      </c>
      <c r="AF407" s="32"/>
      <c r="AG407" s="17">
        <v>0</v>
      </c>
      <c r="AH407" s="32" t="s">
        <v>271</v>
      </c>
      <c r="AI407" s="32">
        <v>0.2</v>
      </c>
      <c r="AJ407" s="32">
        <v>0.2</v>
      </c>
      <c r="AK407" s="214">
        <v>0.2</v>
      </c>
      <c r="AL407" s="214">
        <v>0.3</v>
      </c>
      <c r="AM407" s="147">
        <f t="shared" si="11"/>
        <v>0.5</v>
      </c>
      <c r="AN407" s="18" t="s">
        <v>771</v>
      </c>
      <c r="AO407" s="18" t="s">
        <v>773</v>
      </c>
      <c r="AP407" s="10" t="s">
        <v>4063</v>
      </c>
    </row>
    <row r="408" spans="1:42" s="10" customFormat="1" x14ac:dyDescent="0.3">
      <c r="A408" s="213" t="s">
        <v>1444</v>
      </c>
      <c r="B408" s="10" t="s">
        <v>4050</v>
      </c>
      <c r="C408" s="213" t="s">
        <v>1445</v>
      </c>
      <c r="D408" s="10" t="s">
        <v>4052</v>
      </c>
      <c r="E408" s="213" t="s">
        <v>4106</v>
      </c>
      <c r="F408" s="10" t="s">
        <v>4107</v>
      </c>
      <c r="G408" s="213" t="s">
        <v>4164</v>
      </c>
      <c r="H408" s="10" t="s">
        <v>4165</v>
      </c>
      <c r="K408" s="213" t="s">
        <v>4166</v>
      </c>
      <c r="L408" s="10" t="s">
        <v>4167</v>
      </c>
      <c r="M408" s="18"/>
      <c r="N408" s="18"/>
      <c r="O408" s="18"/>
      <c r="P408" s="16"/>
      <c r="Q408" s="16"/>
      <c r="R408" s="16"/>
      <c r="S408" s="16"/>
      <c r="U408" s="283" t="e">
        <v>#N/A</v>
      </c>
      <c r="V408" s="10" t="s">
        <v>4179</v>
      </c>
      <c r="W408" s="10">
        <v>1</v>
      </c>
      <c r="X408" s="10">
        <v>1</v>
      </c>
      <c r="Y408" s="10">
        <v>1</v>
      </c>
      <c r="Z408" s="10">
        <v>1</v>
      </c>
      <c r="AA408" s="10">
        <v>1</v>
      </c>
      <c r="AB408" s="10">
        <v>0</v>
      </c>
      <c r="AC408" s="316">
        <v>1</v>
      </c>
      <c r="AD408" s="316">
        <v>1</v>
      </c>
      <c r="AE408" s="302">
        <f t="shared" si="12"/>
        <v>0.875</v>
      </c>
      <c r="AF408" s="32"/>
      <c r="AG408" s="17">
        <v>0</v>
      </c>
      <c r="AH408" s="32" t="s">
        <v>271</v>
      </c>
      <c r="AI408" s="32">
        <v>0.2</v>
      </c>
      <c r="AJ408" s="32">
        <v>0.2</v>
      </c>
      <c r="AK408" s="214">
        <v>0.2</v>
      </c>
      <c r="AL408" s="214">
        <v>0.2</v>
      </c>
      <c r="AM408" s="147">
        <f t="shared" si="11"/>
        <v>0.4</v>
      </c>
      <c r="AN408" s="10" t="s">
        <v>265</v>
      </c>
      <c r="AO408" s="18" t="s">
        <v>350</v>
      </c>
      <c r="AP408" s="10" t="s">
        <v>4180</v>
      </c>
    </row>
    <row r="409" spans="1:42" s="10" customFormat="1" x14ac:dyDescent="0.3">
      <c r="A409" s="213" t="s">
        <v>1444</v>
      </c>
      <c r="B409" s="10" t="s">
        <v>4050</v>
      </c>
      <c r="C409" s="213" t="s">
        <v>1445</v>
      </c>
      <c r="D409" s="10" t="s">
        <v>4052</v>
      </c>
      <c r="E409" s="213" t="s">
        <v>4106</v>
      </c>
      <c r="F409" s="10" t="s">
        <v>4107</v>
      </c>
      <c r="G409" s="213" t="s">
        <v>4164</v>
      </c>
      <c r="H409" s="10" t="s">
        <v>4165</v>
      </c>
      <c r="K409" s="213" t="s">
        <v>4166</v>
      </c>
      <c r="L409" s="10" t="s">
        <v>4167</v>
      </c>
      <c r="M409" s="18"/>
      <c r="N409" s="18"/>
      <c r="O409" s="18"/>
      <c r="P409" s="16"/>
      <c r="Q409" s="16"/>
      <c r="R409" s="16"/>
      <c r="S409" s="16"/>
      <c r="U409" s="283" t="e">
        <v>#N/A</v>
      </c>
      <c r="V409" s="10" t="s">
        <v>4181</v>
      </c>
      <c r="W409" s="10">
        <v>1</v>
      </c>
      <c r="X409" s="10">
        <v>1</v>
      </c>
      <c r="Y409" s="10">
        <v>0</v>
      </c>
      <c r="Z409" s="10">
        <v>1</v>
      </c>
      <c r="AA409" s="10">
        <v>1</v>
      </c>
      <c r="AB409" s="10">
        <v>0</v>
      </c>
      <c r="AC409" s="316">
        <v>1</v>
      </c>
      <c r="AD409" s="316">
        <v>1</v>
      </c>
      <c r="AE409" s="302">
        <f t="shared" si="12"/>
        <v>0.75</v>
      </c>
      <c r="AF409" s="32"/>
      <c r="AG409" s="17">
        <v>0</v>
      </c>
      <c r="AH409" s="32">
        <v>0.1</v>
      </c>
      <c r="AI409" s="32">
        <v>0.2</v>
      </c>
      <c r="AJ409" s="32">
        <v>0.2</v>
      </c>
      <c r="AK409" s="214">
        <v>0.2</v>
      </c>
      <c r="AL409" s="214">
        <v>0.2</v>
      </c>
      <c r="AM409" s="147">
        <f t="shared" si="11"/>
        <v>0.4</v>
      </c>
      <c r="AN409" s="32" t="s">
        <v>4067</v>
      </c>
      <c r="AO409" s="18" t="s">
        <v>1037</v>
      </c>
      <c r="AP409" s="10" t="s">
        <v>1035</v>
      </c>
    </row>
    <row r="410" spans="1:42" s="10" customFormat="1" x14ac:dyDescent="0.3">
      <c r="A410" s="213" t="s">
        <v>1444</v>
      </c>
      <c r="B410" s="10" t="s">
        <v>4050</v>
      </c>
      <c r="C410" s="213" t="s">
        <v>1445</v>
      </c>
      <c r="D410" s="10" t="s">
        <v>4052</v>
      </c>
      <c r="E410" s="213" t="s">
        <v>4106</v>
      </c>
      <c r="F410" s="10" t="s">
        <v>4107</v>
      </c>
      <c r="G410" s="213" t="s">
        <v>4164</v>
      </c>
      <c r="H410" s="10" t="s">
        <v>4165</v>
      </c>
      <c r="K410" s="213" t="s">
        <v>4166</v>
      </c>
      <c r="L410" s="10" t="s">
        <v>4167</v>
      </c>
      <c r="M410" s="18"/>
      <c r="N410" s="18"/>
      <c r="O410" s="18"/>
      <c r="P410" s="16"/>
      <c r="Q410" s="16"/>
      <c r="R410" s="16"/>
      <c r="S410" s="16"/>
      <c r="U410" s="283" t="e">
        <v>#N/A</v>
      </c>
      <c r="V410" s="10" t="s">
        <v>4182</v>
      </c>
      <c r="W410" s="10">
        <v>1</v>
      </c>
      <c r="X410" s="10">
        <v>0</v>
      </c>
      <c r="Y410" s="10">
        <v>0</v>
      </c>
      <c r="Z410" s="10">
        <v>1</v>
      </c>
      <c r="AA410" s="10">
        <v>1</v>
      </c>
      <c r="AB410" s="10">
        <v>1</v>
      </c>
      <c r="AC410" s="316">
        <v>1</v>
      </c>
      <c r="AD410" s="316">
        <v>0</v>
      </c>
      <c r="AE410" s="302">
        <f t="shared" si="12"/>
        <v>0.625</v>
      </c>
      <c r="AF410" s="32"/>
      <c r="AG410" s="17">
        <v>0</v>
      </c>
      <c r="AH410" s="32">
        <v>0.2</v>
      </c>
      <c r="AI410" s="32">
        <v>2</v>
      </c>
      <c r="AJ410" s="32">
        <v>2</v>
      </c>
      <c r="AK410" s="214">
        <v>2</v>
      </c>
      <c r="AL410" s="214">
        <v>2</v>
      </c>
      <c r="AM410" s="147">
        <f t="shared" si="11"/>
        <v>4</v>
      </c>
      <c r="AN410" s="32" t="s">
        <v>4067</v>
      </c>
      <c r="AO410" s="18" t="s">
        <v>1037</v>
      </c>
      <c r="AP410" s="10" t="s">
        <v>1035</v>
      </c>
    </row>
    <row r="411" spans="1:42" s="10" customFormat="1" x14ac:dyDescent="0.3">
      <c r="A411" s="213" t="s">
        <v>1444</v>
      </c>
      <c r="B411" s="10" t="s">
        <v>4050</v>
      </c>
      <c r="C411" s="213" t="s">
        <v>1445</v>
      </c>
      <c r="D411" s="10" t="s">
        <v>4052</v>
      </c>
      <c r="E411" s="213" t="s">
        <v>4183</v>
      </c>
      <c r="F411" s="10" t="s">
        <v>4184</v>
      </c>
      <c r="G411" s="213" t="s">
        <v>4185</v>
      </c>
      <c r="H411" s="10" t="s">
        <v>4186</v>
      </c>
      <c r="K411" s="213" t="s">
        <v>4187</v>
      </c>
      <c r="L411" s="10" t="s">
        <v>4188</v>
      </c>
      <c r="M411" s="18" t="s">
        <v>4189</v>
      </c>
      <c r="N411" s="18" t="s">
        <v>271</v>
      </c>
      <c r="O411" s="18">
        <v>1</v>
      </c>
      <c r="P411" s="16" t="s">
        <v>271</v>
      </c>
      <c r="Q411" s="16" t="s">
        <v>271</v>
      </c>
      <c r="R411" s="16" t="s">
        <v>271</v>
      </c>
      <c r="S411" s="16">
        <v>2</v>
      </c>
      <c r="T411" s="10" t="s">
        <v>1035</v>
      </c>
      <c r="U411" s="283" t="s">
        <v>1037</v>
      </c>
      <c r="V411" s="215" t="s">
        <v>4190</v>
      </c>
      <c r="W411" s="10">
        <v>1</v>
      </c>
      <c r="X411" s="10">
        <v>0</v>
      </c>
      <c r="Y411" s="10">
        <v>0</v>
      </c>
      <c r="Z411" s="10">
        <v>1</v>
      </c>
      <c r="AA411" s="10">
        <v>1</v>
      </c>
      <c r="AB411" s="10">
        <v>1</v>
      </c>
      <c r="AC411" s="316">
        <v>1</v>
      </c>
      <c r="AD411" s="316">
        <v>1</v>
      </c>
      <c r="AE411" s="302">
        <f t="shared" si="12"/>
        <v>0.75</v>
      </c>
      <c r="AF411" s="32"/>
      <c r="AG411" s="17">
        <v>0</v>
      </c>
      <c r="AH411" s="32">
        <v>0.5</v>
      </c>
      <c r="AI411" s="32">
        <v>0.5</v>
      </c>
      <c r="AJ411" s="32">
        <v>0.5</v>
      </c>
      <c r="AK411" s="153">
        <v>0.5</v>
      </c>
      <c r="AL411" s="214">
        <v>0.1</v>
      </c>
      <c r="AM411" s="147">
        <f t="shared" ref="AM411:AM474" si="13">SUM(AK411:AL411)</f>
        <v>0.6</v>
      </c>
      <c r="AN411" s="32" t="s">
        <v>1035</v>
      </c>
      <c r="AO411" s="18" t="s">
        <v>1037</v>
      </c>
      <c r="AP411" s="10" t="s">
        <v>4191</v>
      </c>
    </row>
    <row r="412" spans="1:42" s="10" customFormat="1" x14ac:dyDescent="0.3">
      <c r="A412" s="213" t="s">
        <v>1444</v>
      </c>
      <c r="B412" s="10" t="s">
        <v>4050</v>
      </c>
      <c r="C412" s="213" t="s">
        <v>1445</v>
      </c>
      <c r="D412" s="10" t="s">
        <v>4052</v>
      </c>
      <c r="E412" s="213" t="s">
        <v>4183</v>
      </c>
      <c r="F412" s="10" t="s">
        <v>4184</v>
      </c>
      <c r="G412" s="213" t="s">
        <v>4185</v>
      </c>
      <c r="H412" s="10" t="s">
        <v>4186</v>
      </c>
      <c r="K412" s="213" t="s">
        <v>4187</v>
      </c>
      <c r="L412" s="10" t="s">
        <v>4188</v>
      </c>
      <c r="M412" s="18"/>
      <c r="N412" s="18"/>
      <c r="O412" s="18"/>
      <c r="P412" s="16"/>
      <c r="Q412" s="16"/>
      <c r="R412" s="16"/>
      <c r="S412" s="16"/>
      <c r="U412" s="283" t="e">
        <v>#N/A</v>
      </c>
      <c r="V412" s="10" t="s">
        <v>4190</v>
      </c>
      <c r="W412" s="10">
        <v>1</v>
      </c>
      <c r="X412" s="10">
        <v>0</v>
      </c>
      <c r="Y412" s="10">
        <v>0</v>
      </c>
      <c r="Z412" s="10">
        <v>1</v>
      </c>
      <c r="AA412" s="10">
        <v>1</v>
      </c>
      <c r="AB412" s="10">
        <v>1</v>
      </c>
      <c r="AC412" s="316">
        <v>1</v>
      </c>
      <c r="AD412" s="316">
        <v>1</v>
      </c>
      <c r="AE412" s="302">
        <f t="shared" si="12"/>
        <v>0.75</v>
      </c>
      <c r="AF412" s="32"/>
      <c r="AG412" s="17">
        <v>0</v>
      </c>
      <c r="AH412" s="32" t="s">
        <v>271</v>
      </c>
      <c r="AI412" s="32">
        <v>0.1</v>
      </c>
      <c r="AJ412" s="32">
        <v>0.1</v>
      </c>
      <c r="AK412" s="153"/>
      <c r="AL412" s="214"/>
      <c r="AM412" s="147">
        <f t="shared" si="13"/>
        <v>0</v>
      </c>
      <c r="AN412" s="32" t="s">
        <v>4192</v>
      </c>
      <c r="AO412" s="18" t="s">
        <v>1334</v>
      </c>
      <c r="AP412" s="10" t="s">
        <v>4193</v>
      </c>
    </row>
    <row r="413" spans="1:42" s="10" customFormat="1" x14ac:dyDescent="0.3">
      <c r="A413" s="213" t="s">
        <v>1444</v>
      </c>
      <c r="B413" s="10" t="s">
        <v>4050</v>
      </c>
      <c r="C413" s="213" t="s">
        <v>1445</v>
      </c>
      <c r="D413" s="10" t="s">
        <v>4052</v>
      </c>
      <c r="E413" s="213" t="s">
        <v>4183</v>
      </c>
      <c r="F413" s="10" t="s">
        <v>4184</v>
      </c>
      <c r="G413" s="213" t="s">
        <v>4185</v>
      </c>
      <c r="H413" s="10" t="s">
        <v>4186</v>
      </c>
      <c r="K413" s="213" t="s">
        <v>4187</v>
      </c>
      <c r="L413" s="10" t="s">
        <v>4188</v>
      </c>
      <c r="M413" s="18"/>
      <c r="N413" s="18"/>
      <c r="O413" s="18"/>
      <c r="P413" s="16"/>
      <c r="Q413" s="16"/>
      <c r="R413" s="16"/>
      <c r="S413" s="16"/>
      <c r="U413" s="283" t="e">
        <v>#N/A</v>
      </c>
      <c r="V413" s="10" t="s">
        <v>4190</v>
      </c>
      <c r="W413" s="10">
        <v>1</v>
      </c>
      <c r="X413" s="10">
        <v>0</v>
      </c>
      <c r="Y413" s="10">
        <v>0</v>
      </c>
      <c r="Z413" s="10">
        <v>1</v>
      </c>
      <c r="AA413" s="10">
        <v>1</v>
      </c>
      <c r="AB413" s="10">
        <v>1</v>
      </c>
      <c r="AC413" s="316">
        <v>1</v>
      </c>
      <c r="AD413" s="316">
        <v>1</v>
      </c>
      <c r="AE413" s="302">
        <f t="shared" si="12"/>
        <v>0.75</v>
      </c>
      <c r="AF413" s="32"/>
      <c r="AG413" s="17">
        <v>0</v>
      </c>
      <c r="AH413" s="32" t="s">
        <v>271</v>
      </c>
      <c r="AI413" s="32">
        <v>0.2</v>
      </c>
      <c r="AJ413" s="32">
        <v>0.2</v>
      </c>
      <c r="AK413" s="153">
        <v>0</v>
      </c>
      <c r="AL413" s="214"/>
      <c r="AM413" s="147">
        <f t="shared" si="13"/>
        <v>0</v>
      </c>
      <c r="AN413" s="10" t="s">
        <v>3875</v>
      </c>
      <c r="AO413" s="18" t="s">
        <v>3877</v>
      </c>
      <c r="AP413" s="10" t="s">
        <v>4194</v>
      </c>
    </row>
    <row r="414" spans="1:42" s="10" customFormat="1" x14ac:dyDescent="0.3">
      <c r="A414" s="213" t="s">
        <v>1444</v>
      </c>
      <c r="B414" s="10" t="s">
        <v>4050</v>
      </c>
      <c r="C414" s="213" t="s">
        <v>1445</v>
      </c>
      <c r="D414" s="10" t="s">
        <v>4052</v>
      </c>
      <c r="E414" s="213" t="s">
        <v>4183</v>
      </c>
      <c r="F414" s="10" t="s">
        <v>4184</v>
      </c>
      <c r="G414" s="213" t="s">
        <v>4185</v>
      </c>
      <c r="H414" s="10" t="s">
        <v>4186</v>
      </c>
      <c r="K414" s="213" t="s">
        <v>4187</v>
      </c>
      <c r="L414" s="10" t="s">
        <v>4188</v>
      </c>
      <c r="M414" s="18"/>
      <c r="N414" s="18"/>
      <c r="O414" s="18"/>
      <c r="P414" s="16"/>
      <c r="Q414" s="16"/>
      <c r="R414" s="16"/>
      <c r="S414" s="16"/>
      <c r="U414" s="283" t="e">
        <v>#N/A</v>
      </c>
      <c r="V414" s="10" t="s">
        <v>4190</v>
      </c>
      <c r="W414" s="10">
        <v>1</v>
      </c>
      <c r="X414" s="10">
        <v>0</v>
      </c>
      <c r="Y414" s="10">
        <v>0</v>
      </c>
      <c r="Z414" s="10">
        <v>1</v>
      </c>
      <c r="AA414" s="10">
        <v>1</v>
      </c>
      <c r="AB414" s="10">
        <v>1</v>
      </c>
      <c r="AC414" s="316">
        <v>1</v>
      </c>
      <c r="AD414" s="316">
        <v>1</v>
      </c>
      <c r="AE414" s="302">
        <f t="shared" ref="AE414:AE477" si="14">SUM(W414:AD414)/8</f>
        <v>0.75</v>
      </c>
      <c r="AF414" s="32"/>
      <c r="AG414" s="17">
        <v>0</v>
      </c>
      <c r="AH414" s="32" t="s">
        <v>271</v>
      </c>
      <c r="AI414" s="32">
        <v>0.2</v>
      </c>
      <c r="AJ414" s="32">
        <v>0.2</v>
      </c>
      <c r="AK414" s="153">
        <v>0</v>
      </c>
      <c r="AL414" s="214"/>
      <c r="AM414" s="147">
        <f t="shared" si="13"/>
        <v>0</v>
      </c>
      <c r="AN414" s="32" t="s">
        <v>4195</v>
      </c>
      <c r="AO414" s="18" t="s">
        <v>4196</v>
      </c>
      <c r="AP414" s="10" t="s">
        <v>4197</v>
      </c>
    </row>
    <row r="415" spans="1:42" s="10" customFormat="1" x14ac:dyDescent="0.3">
      <c r="A415" s="213" t="s">
        <v>1444</v>
      </c>
      <c r="B415" s="10" t="s">
        <v>4050</v>
      </c>
      <c r="C415" s="213" t="s">
        <v>1445</v>
      </c>
      <c r="D415" s="10" t="s">
        <v>4052</v>
      </c>
      <c r="E415" s="213" t="s">
        <v>4183</v>
      </c>
      <c r="F415" s="10" t="s">
        <v>4184</v>
      </c>
      <c r="G415" s="213" t="s">
        <v>4185</v>
      </c>
      <c r="H415" s="10" t="s">
        <v>4186</v>
      </c>
      <c r="K415" s="213" t="s">
        <v>4187</v>
      </c>
      <c r="L415" s="10" t="s">
        <v>4188</v>
      </c>
      <c r="M415" s="18"/>
      <c r="N415" s="18"/>
      <c r="O415" s="18"/>
      <c r="P415" s="16"/>
      <c r="Q415" s="16"/>
      <c r="R415" s="16"/>
      <c r="S415" s="16"/>
      <c r="U415" s="283" t="e">
        <v>#N/A</v>
      </c>
      <c r="V415" s="10" t="s">
        <v>4198</v>
      </c>
      <c r="W415" s="10">
        <v>1</v>
      </c>
      <c r="X415" s="10">
        <v>0</v>
      </c>
      <c r="Y415" s="10">
        <v>0</v>
      </c>
      <c r="Z415" s="10">
        <v>1</v>
      </c>
      <c r="AA415" s="10">
        <v>1</v>
      </c>
      <c r="AB415" s="10">
        <v>1</v>
      </c>
      <c r="AC415" s="316">
        <v>1</v>
      </c>
      <c r="AD415" s="316">
        <v>1</v>
      </c>
      <c r="AE415" s="302">
        <f t="shared" si="14"/>
        <v>0.75</v>
      </c>
      <c r="AF415" s="32"/>
      <c r="AG415" s="17">
        <v>0</v>
      </c>
      <c r="AH415" s="32" t="s">
        <v>271</v>
      </c>
      <c r="AI415" s="32" t="s">
        <v>271</v>
      </c>
      <c r="AJ415" s="32">
        <v>0.2</v>
      </c>
      <c r="AK415" s="214">
        <v>0.2</v>
      </c>
      <c r="AL415" s="214">
        <v>0.2</v>
      </c>
      <c r="AM415" s="147">
        <f t="shared" si="13"/>
        <v>0.4</v>
      </c>
      <c r="AN415" s="32" t="s">
        <v>1035</v>
      </c>
      <c r="AO415" s="18" t="s">
        <v>1037</v>
      </c>
      <c r="AP415" s="10" t="s">
        <v>4199</v>
      </c>
    </row>
    <row r="416" spans="1:42" s="10" customFormat="1" x14ac:dyDescent="0.3">
      <c r="A416" s="213" t="s">
        <v>1444</v>
      </c>
      <c r="B416" s="10" t="s">
        <v>4050</v>
      </c>
      <c r="C416" s="213" t="s">
        <v>1445</v>
      </c>
      <c r="D416" s="10" t="s">
        <v>4052</v>
      </c>
      <c r="E416" s="213" t="s">
        <v>4183</v>
      </c>
      <c r="F416" s="10" t="s">
        <v>4184</v>
      </c>
      <c r="G416" s="213" t="s">
        <v>4185</v>
      </c>
      <c r="H416" s="10" t="s">
        <v>4186</v>
      </c>
      <c r="K416" s="213" t="s">
        <v>4187</v>
      </c>
      <c r="L416" s="10" t="s">
        <v>4188</v>
      </c>
      <c r="M416" s="18"/>
      <c r="N416" s="18"/>
      <c r="O416" s="18"/>
      <c r="P416" s="16"/>
      <c r="Q416" s="16"/>
      <c r="R416" s="16"/>
      <c r="S416" s="16"/>
      <c r="U416" s="283" t="e">
        <v>#N/A</v>
      </c>
      <c r="V416" s="10" t="s">
        <v>4198</v>
      </c>
      <c r="W416" s="10">
        <v>1</v>
      </c>
      <c r="X416" s="10">
        <v>0</v>
      </c>
      <c r="Y416" s="10">
        <v>0</v>
      </c>
      <c r="Z416" s="10">
        <v>1</v>
      </c>
      <c r="AA416" s="10">
        <v>1</v>
      </c>
      <c r="AB416" s="10">
        <v>1</v>
      </c>
      <c r="AC416" s="316">
        <v>1</v>
      </c>
      <c r="AD416" s="316">
        <v>1</v>
      </c>
      <c r="AE416" s="302">
        <f t="shared" si="14"/>
        <v>0.75</v>
      </c>
      <c r="AF416" s="32"/>
      <c r="AG416" s="17">
        <v>0</v>
      </c>
      <c r="AH416" s="32" t="s">
        <v>271</v>
      </c>
      <c r="AI416" s="32" t="s">
        <v>271</v>
      </c>
      <c r="AJ416" s="32">
        <v>0.2</v>
      </c>
      <c r="AK416" s="214">
        <v>0.2</v>
      </c>
      <c r="AL416" s="214">
        <v>0.2</v>
      </c>
      <c r="AM416" s="147">
        <f t="shared" si="13"/>
        <v>0.4</v>
      </c>
      <c r="AN416" s="10" t="s">
        <v>265</v>
      </c>
      <c r="AO416" s="18" t="s">
        <v>350</v>
      </c>
      <c r="AP416" s="10" t="s">
        <v>4200</v>
      </c>
    </row>
    <row r="417" spans="1:42" s="10" customFormat="1" x14ac:dyDescent="0.3">
      <c r="A417" s="213" t="s">
        <v>1444</v>
      </c>
      <c r="B417" s="10" t="s">
        <v>4050</v>
      </c>
      <c r="C417" s="213" t="s">
        <v>1445</v>
      </c>
      <c r="D417" s="10" t="s">
        <v>4052</v>
      </c>
      <c r="E417" s="213" t="s">
        <v>4183</v>
      </c>
      <c r="F417" s="10" t="s">
        <v>4184</v>
      </c>
      <c r="G417" s="213" t="s">
        <v>4185</v>
      </c>
      <c r="H417" s="10" t="s">
        <v>4186</v>
      </c>
      <c r="K417" s="213" t="s">
        <v>4187</v>
      </c>
      <c r="L417" s="10" t="s">
        <v>4188</v>
      </c>
      <c r="M417" s="18"/>
      <c r="N417" s="18"/>
      <c r="O417" s="18"/>
      <c r="P417" s="16"/>
      <c r="Q417" s="16"/>
      <c r="R417" s="16"/>
      <c r="S417" s="16"/>
      <c r="U417" s="283" t="e">
        <v>#N/A</v>
      </c>
      <c r="V417" s="10" t="s">
        <v>4198</v>
      </c>
      <c r="W417" s="10">
        <v>1</v>
      </c>
      <c r="X417" s="10">
        <v>0</v>
      </c>
      <c r="Y417" s="10">
        <v>0</v>
      </c>
      <c r="Z417" s="10">
        <v>1</v>
      </c>
      <c r="AA417" s="10">
        <v>1</v>
      </c>
      <c r="AB417" s="10">
        <v>1</v>
      </c>
      <c r="AC417" s="316">
        <v>1</v>
      </c>
      <c r="AD417" s="316">
        <v>1</v>
      </c>
      <c r="AE417" s="302">
        <f t="shared" si="14"/>
        <v>0.75</v>
      </c>
      <c r="AF417" s="32"/>
      <c r="AG417" s="17">
        <v>0</v>
      </c>
      <c r="AH417" s="32" t="s">
        <v>271</v>
      </c>
      <c r="AI417" s="32" t="s">
        <v>271</v>
      </c>
      <c r="AJ417" s="32">
        <v>0.2</v>
      </c>
      <c r="AK417" s="214">
        <v>0.2</v>
      </c>
      <c r="AL417" s="214">
        <v>0.2</v>
      </c>
      <c r="AM417" s="147">
        <f t="shared" si="13"/>
        <v>0.4</v>
      </c>
      <c r="AN417" s="18" t="s">
        <v>407</v>
      </c>
      <c r="AO417" s="18" t="s">
        <v>409</v>
      </c>
      <c r="AP417" s="10" t="s">
        <v>4201</v>
      </c>
    </row>
    <row r="418" spans="1:42" s="10" customFormat="1" x14ac:dyDescent="0.3">
      <c r="A418" s="213" t="s">
        <v>1444</v>
      </c>
      <c r="B418" s="10" t="s">
        <v>4050</v>
      </c>
      <c r="C418" s="213" t="s">
        <v>1445</v>
      </c>
      <c r="D418" s="10" t="s">
        <v>4052</v>
      </c>
      <c r="E418" s="213" t="s">
        <v>4183</v>
      </c>
      <c r="F418" s="10" t="s">
        <v>4184</v>
      </c>
      <c r="G418" s="213" t="s">
        <v>4185</v>
      </c>
      <c r="H418" s="10" t="s">
        <v>4186</v>
      </c>
      <c r="K418" s="213" t="s">
        <v>4187</v>
      </c>
      <c r="L418" s="10" t="s">
        <v>4188</v>
      </c>
      <c r="M418" s="18"/>
      <c r="N418" s="18"/>
      <c r="O418" s="18"/>
      <c r="P418" s="16"/>
      <c r="Q418" s="16"/>
      <c r="R418" s="16"/>
      <c r="S418" s="16"/>
      <c r="U418" s="283" t="e">
        <v>#N/A</v>
      </c>
      <c r="V418" s="10" t="s">
        <v>4198</v>
      </c>
      <c r="W418" s="10">
        <v>1</v>
      </c>
      <c r="X418" s="10">
        <v>0</v>
      </c>
      <c r="Y418" s="10">
        <v>0</v>
      </c>
      <c r="Z418" s="10">
        <v>1</v>
      </c>
      <c r="AA418" s="10">
        <v>1</v>
      </c>
      <c r="AB418" s="10">
        <v>1</v>
      </c>
      <c r="AC418" s="316">
        <v>1</v>
      </c>
      <c r="AD418" s="316">
        <v>1</v>
      </c>
      <c r="AE418" s="302">
        <f t="shared" si="14"/>
        <v>0.75</v>
      </c>
      <c r="AF418" s="32"/>
      <c r="AG418" s="17">
        <v>0</v>
      </c>
      <c r="AH418" s="32" t="s">
        <v>271</v>
      </c>
      <c r="AI418" s="32" t="s">
        <v>271</v>
      </c>
      <c r="AJ418" s="32">
        <v>0.1</v>
      </c>
      <c r="AK418" s="214">
        <v>0.1</v>
      </c>
      <c r="AL418" s="214">
        <v>0.1</v>
      </c>
      <c r="AM418" s="147">
        <f t="shared" si="13"/>
        <v>0.2</v>
      </c>
      <c r="AN418" s="32" t="s">
        <v>4192</v>
      </c>
      <c r="AO418" s="18" t="s">
        <v>1334</v>
      </c>
      <c r="AP418" s="10" t="s">
        <v>4202</v>
      </c>
    </row>
    <row r="419" spans="1:42" s="10" customFormat="1" x14ac:dyDescent="0.3">
      <c r="A419" s="213" t="s">
        <v>1444</v>
      </c>
      <c r="B419" s="10" t="s">
        <v>4050</v>
      </c>
      <c r="C419" s="213" t="s">
        <v>1445</v>
      </c>
      <c r="D419" s="10" t="s">
        <v>4052</v>
      </c>
      <c r="E419" s="213" t="s">
        <v>4183</v>
      </c>
      <c r="F419" s="10" t="s">
        <v>4184</v>
      </c>
      <c r="G419" s="213" t="s">
        <v>4185</v>
      </c>
      <c r="H419" s="10" t="s">
        <v>4186</v>
      </c>
      <c r="K419" s="213" t="s">
        <v>4187</v>
      </c>
      <c r="L419" s="10" t="s">
        <v>4188</v>
      </c>
      <c r="M419" s="18"/>
      <c r="N419" s="18"/>
      <c r="O419" s="18"/>
      <c r="P419" s="16"/>
      <c r="Q419" s="16"/>
      <c r="R419" s="16"/>
      <c r="S419" s="16"/>
      <c r="U419" s="283" t="e">
        <v>#N/A</v>
      </c>
      <c r="V419" s="10" t="s">
        <v>4198</v>
      </c>
      <c r="W419" s="10">
        <v>1</v>
      </c>
      <c r="X419" s="10">
        <v>0</v>
      </c>
      <c r="Y419" s="10">
        <v>0</v>
      </c>
      <c r="Z419" s="10">
        <v>1</v>
      </c>
      <c r="AA419" s="10">
        <v>1</v>
      </c>
      <c r="AB419" s="10">
        <v>1</v>
      </c>
      <c r="AC419" s="316">
        <v>1</v>
      </c>
      <c r="AD419" s="316">
        <v>1</v>
      </c>
      <c r="AE419" s="302">
        <f t="shared" si="14"/>
        <v>0.75</v>
      </c>
      <c r="AF419" s="32"/>
      <c r="AG419" s="17">
        <v>0</v>
      </c>
      <c r="AH419" s="32" t="s">
        <v>271</v>
      </c>
      <c r="AI419" s="32" t="s">
        <v>271</v>
      </c>
      <c r="AJ419" s="32">
        <v>0.2</v>
      </c>
      <c r="AK419" s="214">
        <v>0.2</v>
      </c>
      <c r="AL419" s="214">
        <v>0.2</v>
      </c>
      <c r="AM419" s="147">
        <f t="shared" si="13"/>
        <v>0.4</v>
      </c>
      <c r="AN419" s="10" t="s">
        <v>3875</v>
      </c>
      <c r="AO419" s="18" t="s">
        <v>3877</v>
      </c>
      <c r="AP419" s="10" t="s">
        <v>4203</v>
      </c>
    </row>
    <row r="420" spans="1:42" s="10" customFormat="1" x14ac:dyDescent="0.3">
      <c r="A420" s="213" t="s">
        <v>1444</v>
      </c>
      <c r="B420" s="10" t="s">
        <v>4050</v>
      </c>
      <c r="C420" s="213" t="s">
        <v>1445</v>
      </c>
      <c r="D420" s="10" t="s">
        <v>4052</v>
      </c>
      <c r="E420" s="213" t="s">
        <v>4183</v>
      </c>
      <c r="F420" s="10" t="s">
        <v>4184</v>
      </c>
      <c r="G420" s="213" t="s">
        <v>4185</v>
      </c>
      <c r="H420" s="10" t="s">
        <v>4186</v>
      </c>
      <c r="K420" s="213" t="s">
        <v>4187</v>
      </c>
      <c r="L420" s="10" t="s">
        <v>4188</v>
      </c>
      <c r="M420" s="18"/>
      <c r="N420" s="18"/>
      <c r="O420" s="18"/>
      <c r="P420" s="16"/>
      <c r="Q420" s="16"/>
      <c r="R420" s="16"/>
      <c r="S420" s="16"/>
      <c r="U420" s="283" t="e">
        <v>#N/A</v>
      </c>
      <c r="V420" s="10" t="s">
        <v>4198</v>
      </c>
      <c r="W420" s="10">
        <v>1</v>
      </c>
      <c r="X420" s="10">
        <v>0</v>
      </c>
      <c r="Y420" s="10">
        <v>0</v>
      </c>
      <c r="Z420" s="10">
        <v>1</v>
      </c>
      <c r="AA420" s="10">
        <v>1</v>
      </c>
      <c r="AB420" s="10">
        <v>1</v>
      </c>
      <c r="AC420" s="316">
        <v>1</v>
      </c>
      <c r="AD420" s="316">
        <v>1</v>
      </c>
      <c r="AE420" s="302">
        <f t="shared" si="14"/>
        <v>0.75</v>
      </c>
      <c r="AF420" s="32"/>
      <c r="AG420" s="17">
        <v>0</v>
      </c>
      <c r="AH420" s="32" t="s">
        <v>271</v>
      </c>
      <c r="AI420" s="32" t="s">
        <v>271</v>
      </c>
      <c r="AJ420" s="32" t="s">
        <v>271</v>
      </c>
      <c r="AK420" s="214">
        <v>0.2</v>
      </c>
      <c r="AL420" s="214">
        <v>0.2</v>
      </c>
      <c r="AM420" s="147">
        <f t="shared" si="13"/>
        <v>0.4</v>
      </c>
      <c r="AN420" s="32" t="s">
        <v>4195</v>
      </c>
      <c r="AO420" s="18" t="s">
        <v>4196</v>
      </c>
      <c r="AP420" s="10" t="s">
        <v>4203</v>
      </c>
    </row>
    <row r="421" spans="1:42" s="10" customFormat="1" x14ac:dyDescent="0.3">
      <c r="A421" s="213" t="s">
        <v>1444</v>
      </c>
      <c r="B421" s="10" t="s">
        <v>4050</v>
      </c>
      <c r="C421" s="213" t="s">
        <v>1445</v>
      </c>
      <c r="D421" s="10" t="s">
        <v>4052</v>
      </c>
      <c r="E421" s="213" t="s">
        <v>4183</v>
      </c>
      <c r="F421" s="10" t="s">
        <v>4184</v>
      </c>
      <c r="G421" s="213" t="s">
        <v>4185</v>
      </c>
      <c r="H421" s="10" t="s">
        <v>4186</v>
      </c>
      <c r="K421" s="213" t="s">
        <v>4187</v>
      </c>
      <c r="L421" s="10" t="s">
        <v>4188</v>
      </c>
      <c r="M421" s="18"/>
      <c r="N421" s="18"/>
      <c r="O421" s="18"/>
      <c r="P421" s="16"/>
      <c r="Q421" s="16"/>
      <c r="R421" s="16"/>
      <c r="S421" s="16"/>
      <c r="U421" s="283" t="e">
        <v>#N/A</v>
      </c>
      <c r="V421" s="10" t="s">
        <v>4204</v>
      </c>
      <c r="W421" s="10">
        <v>1</v>
      </c>
      <c r="X421" s="10">
        <v>0</v>
      </c>
      <c r="Y421" s="10">
        <v>0</v>
      </c>
      <c r="Z421" s="10">
        <v>1</v>
      </c>
      <c r="AA421" s="10">
        <v>1</v>
      </c>
      <c r="AB421" s="10">
        <v>0</v>
      </c>
      <c r="AC421" s="316">
        <v>1</v>
      </c>
      <c r="AD421" s="316">
        <v>1</v>
      </c>
      <c r="AE421" s="302">
        <f t="shared" si="14"/>
        <v>0.625</v>
      </c>
      <c r="AF421" s="32"/>
      <c r="AG421" s="17">
        <v>0</v>
      </c>
      <c r="AH421" s="32" t="s">
        <v>271</v>
      </c>
      <c r="AI421" s="32" t="s">
        <v>271</v>
      </c>
      <c r="AJ421" s="17">
        <v>0</v>
      </c>
      <c r="AK421" s="214">
        <v>0.2</v>
      </c>
      <c r="AL421" s="214">
        <v>0.2</v>
      </c>
      <c r="AM421" s="147">
        <f t="shared" si="13"/>
        <v>0.4</v>
      </c>
      <c r="AN421" s="10" t="s">
        <v>3875</v>
      </c>
      <c r="AO421" s="18" t="s">
        <v>3877</v>
      </c>
      <c r="AP421" s="10" t="s">
        <v>4205</v>
      </c>
    </row>
    <row r="422" spans="1:42" s="10" customFormat="1" x14ac:dyDescent="0.3">
      <c r="A422" s="213" t="s">
        <v>1444</v>
      </c>
      <c r="B422" s="10" t="s">
        <v>4050</v>
      </c>
      <c r="C422" s="213" t="s">
        <v>1445</v>
      </c>
      <c r="D422" s="10" t="s">
        <v>4052</v>
      </c>
      <c r="E422" s="213" t="s">
        <v>4183</v>
      </c>
      <c r="F422" s="10" t="s">
        <v>4184</v>
      </c>
      <c r="G422" s="213" t="s">
        <v>4185</v>
      </c>
      <c r="H422" s="10" t="s">
        <v>4186</v>
      </c>
      <c r="K422" s="213" t="s">
        <v>4187</v>
      </c>
      <c r="L422" s="10" t="s">
        <v>4188</v>
      </c>
      <c r="M422" s="18"/>
      <c r="N422" s="18"/>
      <c r="O422" s="18"/>
      <c r="P422" s="16"/>
      <c r="Q422" s="16"/>
      <c r="R422" s="16"/>
      <c r="S422" s="16"/>
      <c r="U422" s="283" t="e">
        <v>#N/A</v>
      </c>
      <c r="V422" s="10" t="s">
        <v>4204</v>
      </c>
      <c r="W422" s="10">
        <v>1</v>
      </c>
      <c r="X422" s="10">
        <v>0</v>
      </c>
      <c r="Y422" s="10">
        <v>0</v>
      </c>
      <c r="Z422" s="10">
        <v>1</v>
      </c>
      <c r="AA422" s="10">
        <v>1</v>
      </c>
      <c r="AB422" s="10">
        <v>0</v>
      </c>
      <c r="AC422" s="316">
        <v>1</v>
      </c>
      <c r="AD422" s="316">
        <v>1</v>
      </c>
      <c r="AE422" s="302">
        <f t="shared" si="14"/>
        <v>0.625</v>
      </c>
      <c r="AF422" s="32"/>
      <c r="AG422" s="17">
        <v>0</v>
      </c>
      <c r="AH422" s="32" t="s">
        <v>271</v>
      </c>
      <c r="AI422" s="32" t="s">
        <v>271</v>
      </c>
      <c r="AJ422" s="17">
        <v>0</v>
      </c>
      <c r="AK422" s="153">
        <v>0</v>
      </c>
      <c r="AL422" s="214">
        <v>0</v>
      </c>
      <c r="AM422" s="147">
        <f t="shared" si="13"/>
        <v>0</v>
      </c>
      <c r="AN422" s="32" t="s">
        <v>1035</v>
      </c>
      <c r="AO422" s="18" t="s">
        <v>1037</v>
      </c>
      <c r="AP422" s="10" t="s">
        <v>4206</v>
      </c>
    </row>
    <row r="423" spans="1:42" s="10" customFormat="1" x14ac:dyDescent="0.3">
      <c r="A423" s="213" t="s">
        <v>1444</v>
      </c>
      <c r="B423" s="10" t="s">
        <v>4050</v>
      </c>
      <c r="C423" s="213" t="s">
        <v>1445</v>
      </c>
      <c r="D423" s="10" t="s">
        <v>4052</v>
      </c>
      <c r="E423" s="213" t="s">
        <v>4183</v>
      </c>
      <c r="F423" s="10" t="s">
        <v>4184</v>
      </c>
      <c r="G423" s="213" t="s">
        <v>4185</v>
      </c>
      <c r="H423" s="10" t="s">
        <v>4186</v>
      </c>
      <c r="K423" s="213" t="s">
        <v>4207</v>
      </c>
      <c r="L423" s="10" t="s">
        <v>4208</v>
      </c>
      <c r="M423" s="18" t="s">
        <v>4209</v>
      </c>
      <c r="N423" s="18" t="s">
        <v>271</v>
      </c>
      <c r="O423" s="18"/>
      <c r="P423" s="16">
        <v>1</v>
      </c>
      <c r="Q423" s="16">
        <v>1</v>
      </c>
      <c r="R423" s="16">
        <v>1</v>
      </c>
      <c r="S423" s="16">
        <v>1</v>
      </c>
      <c r="T423" s="10" t="s">
        <v>1035</v>
      </c>
      <c r="U423" s="283" t="s">
        <v>1037</v>
      </c>
      <c r="V423" s="10" t="s">
        <v>4210</v>
      </c>
      <c r="W423" s="10">
        <v>1</v>
      </c>
      <c r="X423" s="10">
        <v>0</v>
      </c>
      <c r="Y423" s="10">
        <v>0</v>
      </c>
      <c r="Z423" s="10">
        <v>1</v>
      </c>
      <c r="AA423" s="10">
        <v>1</v>
      </c>
      <c r="AB423" s="10">
        <v>1</v>
      </c>
      <c r="AC423" s="316">
        <v>0</v>
      </c>
      <c r="AD423" s="316">
        <v>1</v>
      </c>
      <c r="AE423" s="302">
        <f t="shared" si="14"/>
        <v>0.625</v>
      </c>
      <c r="AF423" s="32"/>
      <c r="AG423" s="17">
        <v>0</v>
      </c>
      <c r="AH423" s="32">
        <v>0.5</v>
      </c>
      <c r="AI423" s="32">
        <v>1</v>
      </c>
      <c r="AJ423" s="32">
        <v>1</v>
      </c>
      <c r="AK423" s="214">
        <v>1</v>
      </c>
      <c r="AL423" s="214">
        <v>1</v>
      </c>
      <c r="AM423" s="147">
        <f t="shared" si="13"/>
        <v>2</v>
      </c>
      <c r="AN423" s="32" t="s">
        <v>1035</v>
      </c>
      <c r="AO423" s="18" t="s">
        <v>1037</v>
      </c>
      <c r="AP423" s="10" t="s">
        <v>4211</v>
      </c>
    </row>
    <row r="424" spans="1:42" s="10" customFormat="1" x14ac:dyDescent="0.3">
      <c r="A424" s="213" t="s">
        <v>1444</v>
      </c>
      <c r="B424" s="10" t="s">
        <v>4050</v>
      </c>
      <c r="C424" s="213" t="s">
        <v>1445</v>
      </c>
      <c r="D424" s="10" t="s">
        <v>4052</v>
      </c>
      <c r="E424" s="213" t="s">
        <v>4183</v>
      </c>
      <c r="F424" s="10" t="s">
        <v>4184</v>
      </c>
      <c r="G424" s="213" t="s">
        <v>4185</v>
      </c>
      <c r="H424" s="10" t="s">
        <v>4186</v>
      </c>
      <c r="K424" s="213" t="s">
        <v>4207</v>
      </c>
      <c r="L424" s="10" t="s">
        <v>4208</v>
      </c>
      <c r="M424" s="18"/>
      <c r="N424" s="18"/>
      <c r="O424" s="18"/>
      <c r="P424" s="16"/>
      <c r="Q424" s="16"/>
      <c r="R424" s="16"/>
      <c r="S424" s="16"/>
      <c r="U424" s="283" t="e">
        <v>#N/A</v>
      </c>
      <c r="V424" s="215" t="s">
        <v>4212</v>
      </c>
      <c r="W424" s="10">
        <v>1</v>
      </c>
      <c r="X424" s="10">
        <v>0</v>
      </c>
      <c r="Y424" s="10">
        <v>0</v>
      </c>
      <c r="Z424" s="10">
        <v>1</v>
      </c>
      <c r="AA424" s="10">
        <v>1</v>
      </c>
      <c r="AB424" s="10">
        <v>0</v>
      </c>
      <c r="AC424" s="316">
        <v>0</v>
      </c>
      <c r="AD424" s="316">
        <v>1</v>
      </c>
      <c r="AE424" s="302">
        <f t="shared" si="14"/>
        <v>0.5</v>
      </c>
      <c r="AF424" s="32"/>
      <c r="AG424" s="17">
        <v>0</v>
      </c>
      <c r="AH424" s="32" t="s">
        <v>271</v>
      </c>
      <c r="AI424" s="32" t="s">
        <v>271</v>
      </c>
      <c r="AJ424" s="32" t="s">
        <v>271</v>
      </c>
      <c r="AK424" s="214">
        <v>0.3</v>
      </c>
      <c r="AL424" s="214">
        <v>0.3</v>
      </c>
      <c r="AM424" s="147">
        <f t="shared" si="13"/>
        <v>0.6</v>
      </c>
      <c r="AN424" s="18" t="s">
        <v>407</v>
      </c>
      <c r="AO424" s="18" t="s">
        <v>409</v>
      </c>
      <c r="AP424" s="10" t="s">
        <v>4213</v>
      </c>
    </row>
    <row r="425" spans="1:42" s="10" customFormat="1" x14ac:dyDescent="0.3">
      <c r="A425" s="213" t="s">
        <v>1444</v>
      </c>
      <c r="B425" s="10" t="s">
        <v>4050</v>
      </c>
      <c r="C425" s="213" t="s">
        <v>1445</v>
      </c>
      <c r="D425" s="10" t="s">
        <v>4052</v>
      </c>
      <c r="E425" s="213" t="s">
        <v>4183</v>
      </c>
      <c r="F425" s="10" t="s">
        <v>4184</v>
      </c>
      <c r="G425" s="213" t="s">
        <v>4185</v>
      </c>
      <c r="H425" s="10" t="s">
        <v>4186</v>
      </c>
      <c r="K425" s="213" t="s">
        <v>4207</v>
      </c>
      <c r="L425" s="10" t="s">
        <v>4208</v>
      </c>
      <c r="M425" s="18"/>
      <c r="N425" s="18"/>
      <c r="O425" s="18"/>
      <c r="P425" s="16"/>
      <c r="Q425" s="16"/>
      <c r="R425" s="16"/>
      <c r="S425" s="16"/>
      <c r="U425" s="283" t="e">
        <v>#N/A</v>
      </c>
      <c r="V425" s="215" t="s">
        <v>4214</v>
      </c>
      <c r="W425" s="10">
        <v>1</v>
      </c>
      <c r="X425" s="10">
        <v>0</v>
      </c>
      <c r="Y425" s="10">
        <v>0</v>
      </c>
      <c r="Z425" s="10">
        <v>0</v>
      </c>
      <c r="AA425" s="10">
        <v>0</v>
      </c>
      <c r="AB425" s="10">
        <v>0</v>
      </c>
      <c r="AC425" s="316">
        <v>0</v>
      </c>
      <c r="AD425" s="316">
        <v>1</v>
      </c>
      <c r="AE425" s="302">
        <f t="shared" si="14"/>
        <v>0.25</v>
      </c>
      <c r="AF425" s="32"/>
      <c r="AG425" s="17">
        <v>0</v>
      </c>
      <c r="AH425" s="32" t="s">
        <v>271</v>
      </c>
      <c r="AI425" s="32">
        <v>0.2</v>
      </c>
      <c r="AJ425" s="32">
        <v>0.2</v>
      </c>
      <c r="AK425" s="214"/>
      <c r="AL425" s="214"/>
      <c r="AM425" s="147">
        <f t="shared" si="13"/>
        <v>0</v>
      </c>
      <c r="AN425" s="10" t="s">
        <v>3875</v>
      </c>
      <c r="AO425" s="18" t="s">
        <v>3877</v>
      </c>
      <c r="AP425" s="10" t="s">
        <v>4213</v>
      </c>
    </row>
    <row r="426" spans="1:42" s="10" customFormat="1" x14ac:dyDescent="0.3">
      <c r="A426" s="213" t="s">
        <v>1444</v>
      </c>
      <c r="B426" s="10" t="s">
        <v>4050</v>
      </c>
      <c r="C426" s="213" t="s">
        <v>1445</v>
      </c>
      <c r="D426" s="10" t="s">
        <v>4052</v>
      </c>
      <c r="E426" s="213" t="s">
        <v>4183</v>
      </c>
      <c r="F426" s="10" t="s">
        <v>4184</v>
      </c>
      <c r="G426" s="213" t="s">
        <v>4185</v>
      </c>
      <c r="H426" s="10" t="s">
        <v>4186</v>
      </c>
      <c r="K426" s="213" t="s">
        <v>4207</v>
      </c>
      <c r="L426" s="10" t="s">
        <v>4208</v>
      </c>
      <c r="M426" s="18"/>
      <c r="N426" s="18"/>
      <c r="O426" s="18"/>
      <c r="P426" s="16"/>
      <c r="Q426" s="16"/>
      <c r="R426" s="16"/>
      <c r="S426" s="16"/>
      <c r="U426" s="283" t="e">
        <v>#N/A</v>
      </c>
      <c r="V426" s="10" t="s">
        <v>4215</v>
      </c>
      <c r="W426" s="10">
        <v>1</v>
      </c>
      <c r="X426" s="10">
        <v>0</v>
      </c>
      <c r="Y426" s="10">
        <v>0</v>
      </c>
      <c r="Z426" s="10">
        <v>1</v>
      </c>
      <c r="AA426" s="10">
        <v>0</v>
      </c>
      <c r="AB426" s="10">
        <v>0</v>
      </c>
      <c r="AC426" s="316">
        <v>0</v>
      </c>
      <c r="AD426" s="316">
        <v>1</v>
      </c>
      <c r="AE426" s="302">
        <f t="shared" si="14"/>
        <v>0.375</v>
      </c>
      <c r="AF426" s="32"/>
      <c r="AG426" s="17">
        <v>0</v>
      </c>
      <c r="AH426" s="32" t="s">
        <v>271</v>
      </c>
      <c r="AI426" s="32">
        <v>0.05</v>
      </c>
      <c r="AJ426" s="32">
        <v>0.05</v>
      </c>
      <c r="AK426" s="214"/>
      <c r="AL426" s="214"/>
      <c r="AM426" s="147">
        <f t="shared" si="13"/>
        <v>0</v>
      </c>
      <c r="AN426" s="32" t="s">
        <v>4192</v>
      </c>
      <c r="AO426" s="18" t="s">
        <v>1334</v>
      </c>
      <c r="AP426" s="10" t="s">
        <v>4213</v>
      </c>
    </row>
    <row r="427" spans="1:42" s="10" customFormat="1" x14ac:dyDescent="0.3">
      <c r="A427" s="213" t="s">
        <v>1444</v>
      </c>
      <c r="B427" s="10" t="s">
        <v>4050</v>
      </c>
      <c r="C427" s="213" t="s">
        <v>1445</v>
      </c>
      <c r="D427" s="10" t="s">
        <v>4052</v>
      </c>
      <c r="E427" s="213" t="s">
        <v>4183</v>
      </c>
      <c r="F427" s="10" t="s">
        <v>4184</v>
      </c>
      <c r="G427" s="213" t="s">
        <v>4216</v>
      </c>
      <c r="H427" s="10" t="s">
        <v>4217</v>
      </c>
      <c r="K427" s="213" t="s">
        <v>4218</v>
      </c>
      <c r="L427" s="10" t="s">
        <v>4219</v>
      </c>
      <c r="M427" s="18" t="s">
        <v>4220</v>
      </c>
      <c r="N427" s="18">
        <v>34</v>
      </c>
      <c r="O427" s="18">
        <v>36</v>
      </c>
      <c r="P427" s="16">
        <v>58</v>
      </c>
      <c r="Q427" s="16">
        <v>65</v>
      </c>
      <c r="R427" s="16">
        <v>68</v>
      </c>
      <c r="S427" s="16">
        <v>75</v>
      </c>
      <c r="T427" s="10" t="s">
        <v>1035</v>
      </c>
      <c r="U427" s="283" t="s">
        <v>1037</v>
      </c>
      <c r="V427" s="10" t="s">
        <v>4221</v>
      </c>
      <c r="W427" s="10">
        <v>1</v>
      </c>
      <c r="X427" s="10">
        <v>0</v>
      </c>
      <c r="Y427" s="10">
        <v>0</v>
      </c>
      <c r="Z427" s="10">
        <v>0</v>
      </c>
      <c r="AA427" s="10">
        <v>1</v>
      </c>
      <c r="AB427" s="10">
        <v>0</v>
      </c>
      <c r="AC427" s="316">
        <v>0</v>
      </c>
      <c r="AD427" s="316">
        <v>1</v>
      </c>
      <c r="AE427" s="302">
        <f t="shared" si="14"/>
        <v>0.375</v>
      </c>
      <c r="AF427" s="32"/>
      <c r="AG427" s="17">
        <v>0</v>
      </c>
      <c r="AH427" s="32" t="s">
        <v>271</v>
      </c>
      <c r="AI427" s="32">
        <v>0.5</v>
      </c>
      <c r="AJ427" s="32">
        <v>0.5</v>
      </c>
      <c r="AK427" s="214">
        <v>0.5</v>
      </c>
      <c r="AL427" s="214">
        <v>0.5</v>
      </c>
      <c r="AM427" s="147">
        <f t="shared" si="13"/>
        <v>1</v>
      </c>
      <c r="AN427" s="32" t="s">
        <v>1035</v>
      </c>
      <c r="AO427" s="18" t="s">
        <v>1037</v>
      </c>
      <c r="AP427" s="10" t="s">
        <v>4062</v>
      </c>
    </row>
    <row r="428" spans="1:42" s="10" customFormat="1" x14ac:dyDescent="0.3">
      <c r="A428" s="213" t="s">
        <v>1444</v>
      </c>
      <c r="B428" s="10" t="s">
        <v>4050</v>
      </c>
      <c r="C428" s="213" t="s">
        <v>1445</v>
      </c>
      <c r="D428" s="10" t="s">
        <v>4052</v>
      </c>
      <c r="E428" s="213" t="s">
        <v>4183</v>
      </c>
      <c r="F428" s="10" t="s">
        <v>4184</v>
      </c>
      <c r="G428" s="213" t="s">
        <v>4216</v>
      </c>
      <c r="H428" s="10" t="s">
        <v>4217</v>
      </c>
      <c r="K428" s="213" t="s">
        <v>4218</v>
      </c>
      <c r="L428" s="10" t="s">
        <v>4219</v>
      </c>
      <c r="M428" s="18"/>
      <c r="N428" s="18"/>
      <c r="O428" s="18"/>
      <c r="P428" s="16"/>
      <c r="Q428" s="16"/>
      <c r="R428" s="16"/>
      <c r="S428" s="16"/>
      <c r="U428" s="283" t="e">
        <v>#N/A</v>
      </c>
      <c r="V428" s="10" t="s">
        <v>4221</v>
      </c>
      <c r="W428" s="10">
        <v>1</v>
      </c>
      <c r="X428" s="10">
        <v>0</v>
      </c>
      <c r="Y428" s="10">
        <v>0</v>
      </c>
      <c r="Z428" s="10">
        <v>0</v>
      </c>
      <c r="AA428" s="10">
        <v>1</v>
      </c>
      <c r="AB428" s="10">
        <v>0</v>
      </c>
      <c r="AC428" s="316">
        <v>0</v>
      </c>
      <c r="AD428" s="316">
        <v>1</v>
      </c>
      <c r="AE428" s="302">
        <f t="shared" si="14"/>
        <v>0.375</v>
      </c>
      <c r="AF428" s="32"/>
      <c r="AG428" s="17">
        <v>0</v>
      </c>
      <c r="AH428" s="32" t="s">
        <v>271</v>
      </c>
      <c r="AI428" s="32">
        <v>0.1</v>
      </c>
      <c r="AJ428" s="32">
        <v>0.1</v>
      </c>
      <c r="AK428" s="214">
        <v>0.1</v>
      </c>
      <c r="AL428" s="214">
        <v>0.1</v>
      </c>
      <c r="AM428" s="147">
        <f t="shared" si="13"/>
        <v>0.2</v>
      </c>
      <c r="AN428" s="10" t="s">
        <v>2172</v>
      </c>
      <c r="AO428" s="18" t="s">
        <v>2236</v>
      </c>
      <c r="AP428" s="10" t="s">
        <v>4118</v>
      </c>
    </row>
    <row r="429" spans="1:42" s="10" customFormat="1" x14ac:dyDescent="0.3">
      <c r="A429" s="213" t="s">
        <v>1444</v>
      </c>
      <c r="B429" s="10" t="s">
        <v>4050</v>
      </c>
      <c r="C429" s="213" t="s">
        <v>1445</v>
      </c>
      <c r="D429" s="10" t="s">
        <v>4052</v>
      </c>
      <c r="E429" s="213" t="s">
        <v>4183</v>
      </c>
      <c r="F429" s="10" t="s">
        <v>4184</v>
      </c>
      <c r="G429" s="213" t="s">
        <v>4216</v>
      </c>
      <c r="H429" s="10" t="s">
        <v>4217</v>
      </c>
      <c r="K429" s="213" t="s">
        <v>4218</v>
      </c>
      <c r="L429" s="10" t="s">
        <v>4219</v>
      </c>
      <c r="M429" s="18"/>
      <c r="N429" s="18"/>
      <c r="O429" s="18"/>
      <c r="P429" s="16"/>
      <c r="Q429" s="16"/>
      <c r="R429" s="16"/>
      <c r="S429" s="16"/>
      <c r="U429" s="283" t="e">
        <v>#N/A</v>
      </c>
      <c r="V429" s="10" t="s">
        <v>4222</v>
      </c>
      <c r="W429" s="10">
        <v>1</v>
      </c>
      <c r="X429" s="10">
        <v>0</v>
      </c>
      <c r="Y429" s="10">
        <v>0</v>
      </c>
      <c r="Z429" s="10">
        <v>0</v>
      </c>
      <c r="AA429" s="10">
        <v>1</v>
      </c>
      <c r="AB429" s="10">
        <v>0</v>
      </c>
      <c r="AC429" s="316">
        <v>0</v>
      </c>
      <c r="AD429" s="316">
        <v>1</v>
      </c>
      <c r="AE429" s="302">
        <f t="shared" si="14"/>
        <v>0.375</v>
      </c>
      <c r="AF429" s="32"/>
      <c r="AG429" s="17">
        <v>0</v>
      </c>
      <c r="AH429" s="32">
        <v>5</v>
      </c>
      <c r="AI429" s="32">
        <v>2.2999999999999998</v>
      </c>
      <c r="AJ429" s="32">
        <v>3.2</v>
      </c>
      <c r="AK429" s="214">
        <v>0.3</v>
      </c>
      <c r="AL429" s="214">
        <v>0.3</v>
      </c>
      <c r="AM429" s="147">
        <f t="shared" si="13"/>
        <v>0.6</v>
      </c>
      <c r="AN429" s="32" t="s">
        <v>1035</v>
      </c>
      <c r="AO429" s="18" t="s">
        <v>1037</v>
      </c>
      <c r="AP429" s="10" t="s">
        <v>4223</v>
      </c>
    </row>
    <row r="430" spans="1:42" s="10" customFormat="1" x14ac:dyDescent="0.3">
      <c r="A430" s="213" t="s">
        <v>1444</v>
      </c>
      <c r="B430" s="10" t="s">
        <v>4050</v>
      </c>
      <c r="C430" s="213" t="s">
        <v>1445</v>
      </c>
      <c r="D430" s="10" t="s">
        <v>4052</v>
      </c>
      <c r="E430" s="213" t="s">
        <v>4183</v>
      </c>
      <c r="F430" s="10" t="s">
        <v>4184</v>
      </c>
      <c r="G430" s="213" t="s">
        <v>4216</v>
      </c>
      <c r="H430" s="10" t="s">
        <v>4217</v>
      </c>
      <c r="K430" s="213" t="s">
        <v>4218</v>
      </c>
      <c r="L430" s="10" t="s">
        <v>4219</v>
      </c>
      <c r="M430" s="18"/>
      <c r="N430" s="18"/>
      <c r="O430" s="18"/>
      <c r="P430" s="16"/>
      <c r="Q430" s="16"/>
      <c r="R430" s="16"/>
      <c r="S430" s="16"/>
      <c r="U430" s="283" t="e">
        <v>#N/A</v>
      </c>
      <c r="V430" s="10" t="s">
        <v>4222</v>
      </c>
      <c r="W430" s="10">
        <v>1</v>
      </c>
      <c r="X430" s="10">
        <v>0</v>
      </c>
      <c r="Y430" s="10">
        <v>0</v>
      </c>
      <c r="Z430" s="10">
        <v>0</v>
      </c>
      <c r="AA430" s="10">
        <v>1</v>
      </c>
      <c r="AB430" s="10">
        <v>0</v>
      </c>
      <c r="AC430" s="316">
        <v>0</v>
      </c>
      <c r="AD430" s="316">
        <v>1</v>
      </c>
      <c r="AE430" s="302">
        <f t="shared" si="14"/>
        <v>0.375</v>
      </c>
      <c r="AF430" s="32"/>
      <c r="AG430" s="17">
        <v>0</v>
      </c>
      <c r="AH430" s="32" t="s">
        <v>271</v>
      </c>
      <c r="AI430" s="32">
        <v>0.1</v>
      </c>
      <c r="AJ430" s="32">
        <v>0.2</v>
      </c>
      <c r="AK430" s="214">
        <v>0.1</v>
      </c>
      <c r="AL430" s="214">
        <v>0.1</v>
      </c>
      <c r="AM430" s="147">
        <f t="shared" si="13"/>
        <v>0.2</v>
      </c>
      <c r="AN430" s="10" t="s">
        <v>2172</v>
      </c>
      <c r="AO430" s="18" t="s">
        <v>2236</v>
      </c>
      <c r="AP430" s="10" t="s">
        <v>4224</v>
      </c>
    </row>
    <row r="431" spans="1:42" s="10" customFormat="1" x14ac:dyDescent="0.3">
      <c r="A431" s="216" t="s">
        <v>1444</v>
      </c>
      <c r="B431" s="10" t="s">
        <v>4050</v>
      </c>
      <c r="C431" s="216" t="s">
        <v>1445</v>
      </c>
      <c r="D431" s="10" t="s">
        <v>4052</v>
      </c>
      <c r="E431" s="216" t="s">
        <v>4183</v>
      </c>
      <c r="F431" s="10" t="s">
        <v>4184</v>
      </c>
      <c r="G431" s="217" t="s">
        <v>4225</v>
      </c>
      <c r="H431" s="10" t="s">
        <v>4226</v>
      </c>
      <c r="K431" s="213" t="s">
        <v>4227</v>
      </c>
      <c r="L431" s="10" t="s">
        <v>4228</v>
      </c>
      <c r="M431" s="18" t="s">
        <v>4229</v>
      </c>
      <c r="N431" s="18">
        <v>45</v>
      </c>
      <c r="O431" s="18">
        <v>50</v>
      </c>
      <c r="P431" s="16">
        <v>80</v>
      </c>
      <c r="Q431" s="16">
        <v>100</v>
      </c>
      <c r="R431" s="16">
        <v>120</v>
      </c>
      <c r="S431" s="16">
        <v>200</v>
      </c>
      <c r="T431" s="10" t="s">
        <v>1035</v>
      </c>
      <c r="U431" s="283" t="s">
        <v>1037</v>
      </c>
      <c r="V431" s="10" t="s">
        <v>4230</v>
      </c>
      <c r="W431" s="10">
        <v>1</v>
      </c>
      <c r="X431" s="10">
        <v>0</v>
      </c>
      <c r="Y431" s="10">
        <v>0</v>
      </c>
      <c r="Z431" s="10">
        <v>0</v>
      </c>
      <c r="AA431" s="10">
        <v>1</v>
      </c>
      <c r="AB431" s="10">
        <v>0</v>
      </c>
      <c r="AC431" s="316">
        <v>0</v>
      </c>
      <c r="AD431" s="316">
        <v>1</v>
      </c>
      <c r="AE431" s="302">
        <f t="shared" si="14"/>
        <v>0.375</v>
      </c>
      <c r="AF431" s="32"/>
      <c r="AG431" s="17">
        <v>0</v>
      </c>
      <c r="AH431" s="32" t="s">
        <v>271</v>
      </c>
      <c r="AI431" s="32">
        <v>1.5</v>
      </c>
      <c r="AJ431" s="32">
        <v>1.3</v>
      </c>
      <c r="AK431" s="214"/>
      <c r="AL431" s="214"/>
      <c r="AM431" s="147">
        <f t="shared" si="13"/>
        <v>0</v>
      </c>
      <c r="AN431" s="32" t="s">
        <v>4067</v>
      </c>
      <c r="AO431" s="18" t="s">
        <v>1037</v>
      </c>
      <c r="AP431" s="10" t="s">
        <v>4231</v>
      </c>
    </row>
    <row r="432" spans="1:42" s="10" customFormat="1" x14ac:dyDescent="0.3">
      <c r="A432" s="213" t="s">
        <v>1444</v>
      </c>
      <c r="B432" s="10" t="s">
        <v>4050</v>
      </c>
      <c r="C432" s="213" t="s">
        <v>1445</v>
      </c>
      <c r="D432" s="10" t="s">
        <v>4052</v>
      </c>
      <c r="E432" s="213" t="s">
        <v>4183</v>
      </c>
      <c r="F432" s="10" t="s">
        <v>4184</v>
      </c>
      <c r="G432" s="217" t="s">
        <v>4225</v>
      </c>
      <c r="H432" s="10" t="s">
        <v>4226</v>
      </c>
      <c r="K432" s="213" t="s">
        <v>4227</v>
      </c>
      <c r="L432" s="10" t="s">
        <v>4228</v>
      </c>
      <c r="M432" s="18"/>
      <c r="N432" s="18"/>
      <c r="O432" s="18"/>
      <c r="P432" s="16"/>
      <c r="Q432" s="16"/>
      <c r="R432" s="16"/>
      <c r="S432" s="16"/>
      <c r="U432" s="283" t="e">
        <v>#N/A</v>
      </c>
      <c r="V432" s="10" t="s">
        <v>4230</v>
      </c>
      <c r="W432" s="10">
        <v>1</v>
      </c>
      <c r="X432" s="10">
        <v>0</v>
      </c>
      <c r="Y432" s="10">
        <v>0</v>
      </c>
      <c r="Z432" s="10">
        <v>0</v>
      </c>
      <c r="AA432" s="10">
        <v>1</v>
      </c>
      <c r="AB432" s="10">
        <v>0</v>
      </c>
      <c r="AC432" s="316">
        <v>0</v>
      </c>
      <c r="AD432" s="316">
        <v>1</v>
      </c>
      <c r="AE432" s="302">
        <f t="shared" si="14"/>
        <v>0.375</v>
      </c>
      <c r="AF432" s="32"/>
      <c r="AG432" s="17">
        <v>0</v>
      </c>
      <c r="AH432" s="32" t="s">
        <v>271</v>
      </c>
      <c r="AI432" s="32">
        <v>0</v>
      </c>
      <c r="AJ432" s="32">
        <v>0</v>
      </c>
      <c r="AK432" s="214">
        <v>0</v>
      </c>
      <c r="AL432" s="214">
        <v>0</v>
      </c>
      <c r="AM432" s="147">
        <f t="shared" si="13"/>
        <v>0</v>
      </c>
      <c r="AN432" s="18" t="s">
        <v>771</v>
      </c>
      <c r="AO432" s="18" t="s">
        <v>773</v>
      </c>
      <c r="AP432" s="10" t="s">
        <v>119</v>
      </c>
    </row>
    <row r="433" spans="1:42" s="10" customFormat="1" x14ac:dyDescent="0.3">
      <c r="A433" s="213" t="s">
        <v>1444</v>
      </c>
      <c r="B433" s="10" t="s">
        <v>4050</v>
      </c>
      <c r="C433" s="213" t="s">
        <v>1445</v>
      </c>
      <c r="D433" s="10" t="s">
        <v>4052</v>
      </c>
      <c r="E433" s="213" t="s">
        <v>4183</v>
      </c>
      <c r="F433" s="10" t="s">
        <v>4184</v>
      </c>
      <c r="G433" s="217" t="s">
        <v>4225</v>
      </c>
      <c r="H433" s="10" t="s">
        <v>4226</v>
      </c>
      <c r="K433" s="213" t="s">
        <v>4227</v>
      </c>
      <c r="L433" s="10" t="s">
        <v>4228</v>
      </c>
      <c r="M433" s="18"/>
      <c r="N433" s="18"/>
      <c r="O433" s="18"/>
      <c r="P433" s="16"/>
      <c r="Q433" s="16"/>
      <c r="R433" s="16"/>
      <c r="S433" s="16"/>
      <c r="U433" s="283" t="e">
        <v>#N/A</v>
      </c>
      <c r="V433" s="10" t="s">
        <v>4230</v>
      </c>
      <c r="W433" s="10">
        <v>1</v>
      </c>
      <c r="X433" s="10">
        <v>0</v>
      </c>
      <c r="Y433" s="10">
        <v>0</v>
      </c>
      <c r="Z433" s="10">
        <v>0</v>
      </c>
      <c r="AA433" s="10">
        <v>1</v>
      </c>
      <c r="AB433" s="10">
        <v>0</v>
      </c>
      <c r="AC433" s="316">
        <v>0</v>
      </c>
      <c r="AD433" s="316">
        <v>1</v>
      </c>
      <c r="AE433" s="302">
        <f t="shared" si="14"/>
        <v>0.375</v>
      </c>
      <c r="AF433" s="32"/>
      <c r="AG433" s="17">
        <v>0</v>
      </c>
      <c r="AH433" s="32" t="s">
        <v>271</v>
      </c>
      <c r="AI433" s="32">
        <v>0</v>
      </c>
      <c r="AJ433" s="32">
        <v>0</v>
      </c>
      <c r="AK433" s="214">
        <v>0</v>
      </c>
      <c r="AL433" s="214">
        <v>0</v>
      </c>
      <c r="AM433" s="147">
        <f t="shared" si="13"/>
        <v>0</v>
      </c>
      <c r="AN433" s="10" t="s">
        <v>265</v>
      </c>
      <c r="AO433" s="18" t="s">
        <v>350</v>
      </c>
      <c r="AP433" s="10" t="s">
        <v>4232</v>
      </c>
    </row>
    <row r="434" spans="1:42" s="10" customFormat="1" x14ac:dyDescent="0.3">
      <c r="A434" s="213" t="s">
        <v>1444</v>
      </c>
      <c r="B434" s="10" t="s">
        <v>4050</v>
      </c>
      <c r="C434" s="213" t="s">
        <v>1445</v>
      </c>
      <c r="D434" s="10" t="s">
        <v>4052</v>
      </c>
      <c r="E434" s="213" t="s">
        <v>4183</v>
      </c>
      <c r="F434" s="10" t="s">
        <v>4184</v>
      </c>
      <c r="G434" s="217" t="s">
        <v>4225</v>
      </c>
      <c r="H434" s="10" t="s">
        <v>4226</v>
      </c>
      <c r="K434" s="213" t="s">
        <v>4227</v>
      </c>
      <c r="L434" s="10" t="s">
        <v>4228</v>
      </c>
      <c r="M434" s="18"/>
      <c r="N434" s="18"/>
      <c r="O434" s="18"/>
      <c r="P434" s="16"/>
      <c r="Q434" s="16"/>
      <c r="R434" s="16"/>
      <c r="S434" s="16"/>
      <c r="U434" s="283" t="e">
        <v>#N/A</v>
      </c>
      <c r="V434" s="10" t="s">
        <v>4230</v>
      </c>
      <c r="W434" s="10">
        <v>1</v>
      </c>
      <c r="X434" s="10">
        <v>0</v>
      </c>
      <c r="Y434" s="10">
        <v>0</v>
      </c>
      <c r="Z434" s="10">
        <v>0</v>
      </c>
      <c r="AA434" s="10">
        <v>1</v>
      </c>
      <c r="AB434" s="10">
        <v>0</v>
      </c>
      <c r="AC434" s="316">
        <v>0</v>
      </c>
      <c r="AD434" s="316">
        <v>1</v>
      </c>
      <c r="AE434" s="302">
        <f t="shared" si="14"/>
        <v>0.375</v>
      </c>
      <c r="AF434" s="32"/>
      <c r="AG434" s="17">
        <v>0</v>
      </c>
      <c r="AH434" s="32" t="s">
        <v>271</v>
      </c>
      <c r="AI434" s="32">
        <v>0</v>
      </c>
      <c r="AJ434" s="32">
        <v>0</v>
      </c>
      <c r="AK434" s="214">
        <v>0</v>
      </c>
      <c r="AL434" s="214">
        <v>0</v>
      </c>
      <c r="AM434" s="147">
        <f t="shared" si="13"/>
        <v>0</v>
      </c>
      <c r="AN434" s="10" t="s">
        <v>723</v>
      </c>
      <c r="AO434" s="18" t="s">
        <v>729</v>
      </c>
      <c r="AP434" s="10" t="s">
        <v>1083</v>
      </c>
    </row>
    <row r="435" spans="1:42" s="10" customFormat="1" x14ac:dyDescent="0.3">
      <c r="A435" s="213" t="s">
        <v>1444</v>
      </c>
      <c r="B435" s="10" t="s">
        <v>4050</v>
      </c>
      <c r="C435" s="213" t="s">
        <v>1445</v>
      </c>
      <c r="D435" s="10" t="s">
        <v>4052</v>
      </c>
      <c r="E435" s="213" t="s">
        <v>4183</v>
      </c>
      <c r="F435" s="10" t="s">
        <v>4184</v>
      </c>
      <c r="G435" s="213" t="s">
        <v>4233</v>
      </c>
      <c r="H435" s="10" t="s">
        <v>4234</v>
      </c>
      <c r="K435" s="213" t="s">
        <v>4235</v>
      </c>
      <c r="L435" s="10" t="s">
        <v>4236</v>
      </c>
      <c r="M435" s="18" t="s">
        <v>4237</v>
      </c>
      <c r="N435" s="18" t="s">
        <v>271</v>
      </c>
      <c r="O435" s="18">
        <v>2</v>
      </c>
      <c r="P435" s="16">
        <v>2</v>
      </c>
      <c r="Q435" s="16">
        <v>2</v>
      </c>
      <c r="R435" s="16">
        <v>2</v>
      </c>
      <c r="S435" s="16">
        <v>2</v>
      </c>
      <c r="T435" s="10" t="s">
        <v>1035</v>
      </c>
      <c r="U435" s="283" t="s">
        <v>1037</v>
      </c>
      <c r="V435" s="10" t="s">
        <v>4238</v>
      </c>
      <c r="W435" s="10">
        <v>1</v>
      </c>
      <c r="X435" s="10">
        <v>0</v>
      </c>
      <c r="Y435" s="10">
        <v>0</v>
      </c>
      <c r="Z435" s="10">
        <v>1</v>
      </c>
      <c r="AA435" s="10">
        <v>1</v>
      </c>
      <c r="AB435" s="10">
        <v>1</v>
      </c>
      <c r="AC435" s="316">
        <v>0</v>
      </c>
      <c r="AD435" s="316">
        <v>1</v>
      </c>
      <c r="AE435" s="302">
        <f t="shared" si="14"/>
        <v>0.625</v>
      </c>
      <c r="AF435" s="32"/>
      <c r="AG435" s="17">
        <v>0</v>
      </c>
      <c r="AH435" s="32" t="s">
        <v>271</v>
      </c>
      <c r="AI435" s="32">
        <v>0.15</v>
      </c>
      <c r="AJ435" s="32">
        <v>0.2</v>
      </c>
      <c r="AK435" s="214">
        <v>0.35</v>
      </c>
      <c r="AL435" s="214">
        <v>0.35</v>
      </c>
      <c r="AM435" s="147">
        <f t="shared" si="13"/>
        <v>0.7</v>
      </c>
      <c r="AN435" s="32" t="s">
        <v>1035</v>
      </c>
      <c r="AO435" s="18" t="s">
        <v>1037</v>
      </c>
      <c r="AP435" s="10" t="s">
        <v>4159</v>
      </c>
    </row>
    <row r="436" spans="1:42" s="10" customFormat="1" x14ac:dyDescent="0.3">
      <c r="A436" s="213" t="s">
        <v>1444</v>
      </c>
      <c r="B436" s="10" t="s">
        <v>4050</v>
      </c>
      <c r="C436" s="213" t="s">
        <v>1445</v>
      </c>
      <c r="D436" s="10" t="s">
        <v>4052</v>
      </c>
      <c r="E436" s="213" t="s">
        <v>4183</v>
      </c>
      <c r="F436" s="10" t="s">
        <v>4184</v>
      </c>
      <c r="G436" s="213" t="s">
        <v>4233</v>
      </c>
      <c r="H436" s="10" t="s">
        <v>4234</v>
      </c>
      <c r="K436" s="213" t="s">
        <v>4235</v>
      </c>
      <c r="L436" s="10" t="s">
        <v>4236</v>
      </c>
      <c r="M436" s="18" t="s">
        <v>4237</v>
      </c>
      <c r="N436" s="18"/>
      <c r="O436" s="18"/>
      <c r="P436" s="16"/>
      <c r="Q436" s="16"/>
      <c r="R436" s="16"/>
      <c r="S436" s="16"/>
      <c r="U436" s="283" t="e">
        <v>#N/A</v>
      </c>
      <c r="V436" s="10" t="s">
        <v>4238</v>
      </c>
      <c r="W436" s="10">
        <v>1</v>
      </c>
      <c r="X436" s="10">
        <v>0</v>
      </c>
      <c r="Y436" s="10">
        <v>0</v>
      </c>
      <c r="Z436" s="10">
        <v>1</v>
      </c>
      <c r="AA436" s="10">
        <v>1</v>
      </c>
      <c r="AB436" s="10">
        <v>1</v>
      </c>
      <c r="AC436" s="316">
        <v>0</v>
      </c>
      <c r="AD436" s="316">
        <v>1</v>
      </c>
      <c r="AE436" s="302">
        <f t="shared" si="14"/>
        <v>0.625</v>
      </c>
      <c r="AF436" s="32"/>
      <c r="AG436" s="17">
        <v>0</v>
      </c>
      <c r="AH436" s="32" t="s">
        <v>271</v>
      </c>
      <c r="AI436" s="32">
        <v>0.05</v>
      </c>
      <c r="AJ436" s="32">
        <v>0.05</v>
      </c>
      <c r="AK436" s="214">
        <v>0.05</v>
      </c>
      <c r="AL436" s="214">
        <v>0.05</v>
      </c>
      <c r="AM436" s="147">
        <f t="shared" si="13"/>
        <v>0.1</v>
      </c>
      <c r="AN436" s="18" t="s">
        <v>771</v>
      </c>
      <c r="AO436" s="18" t="s">
        <v>773</v>
      </c>
      <c r="AP436" s="10" t="s">
        <v>4239</v>
      </c>
    </row>
    <row r="437" spans="1:42" s="10" customFormat="1" x14ac:dyDescent="0.3">
      <c r="A437" s="213" t="s">
        <v>1444</v>
      </c>
      <c r="B437" s="10" t="s">
        <v>4050</v>
      </c>
      <c r="C437" s="213" t="s">
        <v>1445</v>
      </c>
      <c r="D437" s="10" t="s">
        <v>4052</v>
      </c>
      <c r="E437" s="213" t="s">
        <v>4183</v>
      </c>
      <c r="F437" s="10" t="s">
        <v>4184</v>
      </c>
      <c r="G437" s="213" t="s">
        <v>4233</v>
      </c>
      <c r="H437" s="10" t="s">
        <v>4234</v>
      </c>
      <c r="K437" s="213" t="s">
        <v>4235</v>
      </c>
      <c r="L437" s="10" t="s">
        <v>4236</v>
      </c>
      <c r="M437" s="18" t="s">
        <v>4237</v>
      </c>
      <c r="N437" s="18"/>
      <c r="O437" s="18"/>
      <c r="P437" s="16"/>
      <c r="Q437" s="16"/>
      <c r="R437" s="16"/>
      <c r="S437" s="16"/>
      <c r="U437" s="283" t="e">
        <v>#N/A</v>
      </c>
      <c r="V437" s="10" t="s">
        <v>4238</v>
      </c>
      <c r="W437" s="10">
        <v>1</v>
      </c>
      <c r="X437" s="10">
        <v>0</v>
      </c>
      <c r="Y437" s="10">
        <v>0</v>
      </c>
      <c r="Z437" s="10">
        <v>1</v>
      </c>
      <c r="AA437" s="10">
        <v>1</v>
      </c>
      <c r="AB437" s="10">
        <v>1</v>
      </c>
      <c r="AC437" s="316">
        <v>0</v>
      </c>
      <c r="AD437" s="316">
        <v>1</v>
      </c>
      <c r="AE437" s="302">
        <f t="shared" si="14"/>
        <v>0.625</v>
      </c>
      <c r="AF437" s="32"/>
      <c r="AG437" s="17">
        <v>0</v>
      </c>
      <c r="AH437" s="32" t="s">
        <v>271</v>
      </c>
      <c r="AI437" s="32">
        <v>0.05</v>
      </c>
      <c r="AJ437" s="32">
        <v>0.05</v>
      </c>
      <c r="AK437" s="214">
        <v>0.05</v>
      </c>
      <c r="AL437" s="214">
        <v>0.05</v>
      </c>
      <c r="AM437" s="147">
        <f t="shared" si="13"/>
        <v>0.1</v>
      </c>
      <c r="AN437" s="10" t="s">
        <v>723</v>
      </c>
      <c r="AO437" s="18" t="s">
        <v>729</v>
      </c>
      <c r="AP437" s="10" t="s">
        <v>4177</v>
      </c>
    </row>
    <row r="438" spans="1:42" s="10" customFormat="1" x14ac:dyDescent="0.3">
      <c r="A438" s="213" t="s">
        <v>1444</v>
      </c>
      <c r="B438" s="10" t="s">
        <v>4050</v>
      </c>
      <c r="C438" s="213" t="s">
        <v>1445</v>
      </c>
      <c r="D438" s="10" t="s">
        <v>4052</v>
      </c>
      <c r="E438" s="213" t="s">
        <v>4183</v>
      </c>
      <c r="F438" s="10" t="s">
        <v>4184</v>
      </c>
      <c r="G438" s="213" t="s">
        <v>4233</v>
      </c>
      <c r="H438" s="10" t="s">
        <v>4234</v>
      </c>
      <c r="K438" s="213" t="s">
        <v>4235</v>
      </c>
      <c r="L438" s="10" t="s">
        <v>4236</v>
      </c>
      <c r="M438" s="18" t="s">
        <v>4237</v>
      </c>
      <c r="N438" s="18"/>
      <c r="O438" s="18"/>
      <c r="P438" s="16"/>
      <c r="Q438" s="16"/>
      <c r="R438" s="16"/>
      <c r="S438" s="16"/>
      <c r="U438" s="283" t="e">
        <v>#N/A</v>
      </c>
      <c r="V438" s="10" t="s">
        <v>4240</v>
      </c>
      <c r="W438" s="10">
        <v>1</v>
      </c>
      <c r="X438" s="10">
        <v>0</v>
      </c>
      <c r="Y438" s="10">
        <v>0</v>
      </c>
      <c r="Z438" s="10">
        <v>1</v>
      </c>
      <c r="AA438" s="10">
        <v>1</v>
      </c>
      <c r="AB438" s="10">
        <v>0</v>
      </c>
      <c r="AC438" s="316">
        <v>1</v>
      </c>
      <c r="AD438" s="316">
        <v>1</v>
      </c>
      <c r="AE438" s="302">
        <f t="shared" si="14"/>
        <v>0.625</v>
      </c>
      <c r="AF438" s="32"/>
      <c r="AG438" s="17">
        <v>0</v>
      </c>
      <c r="AH438" s="32" t="s">
        <v>271</v>
      </c>
      <c r="AI438" s="32" t="s">
        <v>271</v>
      </c>
      <c r="AJ438" s="32">
        <v>0.2</v>
      </c>
      <c r="AK438" s="214">
        <v>0.4</v>
      </c>
      <c r="AL438" s="214">
        <v>0.5</v>
      </c>
      <c r="AM438" s="147">
        <f t="shared" si="13"/>
        <v>0.9</v>
      </c>
      <c r="AN438" s="10" t="s">
        <v>723</v>
      </c>
      <c r="AO438" s="18" t="s">
        <v>729</v>
      </c>
      <c r="AP438" s="10" t="s">
        <v>4177</v>
      </c>
    </row>
    <row r="439" spans="1:42" s="10" customFormat="1" x14ac:dyDescent="0.3">
      <c r="A439" s="213" t="s">
        <v>1444</v>
      </c>
      <c r="B439" s="10" t="s">
        <v>4050</v>
      </c>
      <c r="C439" s="213" t="s">
        <v>1445</v>
      </c>
      <c r="D439" s="10" t="s">
        <v>4052</v>
      </c>
      <c r="E439" s="213" t="s">
        <v>4183</v>
      </c>
      <c r="F439" s="10" t="s">
        <v>4184</v>
      </c>
      <c r="G439" s="213" t="s">
        <v>4233</v>
      </c>
      <c r="H439" s="10" t="s">
        <v>4234</v>
      </c>
      <c r="K439" s="213" t="s">
        <v>4235</v>
      </c>
      <c r="L439" s="10" t="s">
        <v>4236</v>
      </c>
      <c r="M439" s="18" t="s">
        <v>4237</v>
      </c>
      <c r="N439" s="18"/>
      <c r="O439" s="18"/>
      <c r="P439" s="16"/>
      <c r="Q439" s="16"/>
      <c r="R439" s="16"/>
      <c r="S439" s="16"/>
      <c r="U439" s="283" t="e">
        <v>#N/A</v>
      </c>
      <c r="V439" s="10" t="s">
        <v>4240</v>
      </c>
      <c r="W439" s="10">
        <v>1</v>
      </c>
      <c r="X439" s="10">
        <v>0</v>
      </c>
      <c r="Y439" s="10">
        <v>0</v>
      </c>
      <c r="Z439" s="10">
        <v>1</v>
      </c>
      <c r="AA439" s="10">
        <v>1</v>
      </c>
      <c r="AB439" s="10">
        <v>0</v>
      </c>
      <c r="AC439" s="316">
        <v>1</v>
      </c>
      <c r="AD439" s="316">
        <v>1</v>
      </c>
      <c r="AE439" s="302">
        <f t="shared" si="14"/>
        <v>0.625</v>
      </c>
      <c r="AF439" s="32"/>
      <c r="AG439" s="17">
        <v>0</v>
      </c>
      <c r="AH439" s="32" t="s">
        <v>271</v>
      </c>
      <c r="AI439" s="32" t="s">
        <v>271</v>
      </c>
      <c r="AJ439" s="32">
        <v>0.05</v>
      </c>
      <c r="AK439" s="214">
        <v>0.05</v>
      </c>
      <c r="AL439" s="214">
        <v>0.05</v>
      </c>
      <c r="AM439" s="147">
        <f t="shared" si="13"/>
        <v>0.1</v>
      </c>
      <c r="AN439" s="18" t="s">
        <v>771</v>
      </c>
      <c r="AO439" s="18" t="s">
        <v>773</v>
      </c>
      <c r="AP439" s="10" t="s">
        <v>4239</v>
      </c>
    </row>
    <row r="440" spans="1:42" s="10" customFormat="1" x14ac:dyDescent="0.3">
      <c r="A440" s="213" t="s">
        <v>1444</v>
      </c>
      <c r="B440" s="10" t="s">
        <v>4050</v>
      </c>
      <c r="C440" s="213" t="s">
        <v>1445</v>
      </c>
      <c r="D440" s="10" t="s">
        <v>4052</v>
      </c>
      <c r="E440" s="213" t="s">
        <v>4183</v>
      </c>
      <c r="F440" s="10" t="s">
        <v>4184</v>
      </c>
      <c r="G440" s="213" t="s">
        <v>4241</v>
      </c>
      <c r="H440" s="10" t="s">
        <v>4242</v>
      </c>
      <c r="I440" s="213" t="s">
        <v>4243</v>
      </c>
      <c r="J440" s="10" t="s">
        <v>4244</v>
      </c>
      <c r="K440" s="213" t="s">
        <v>4245</v>
      </c>
      <c r="L440" s="10" t="s">
        <v>4246</v>
      </c>
      <c r="M440" s="18" t="s">
        <v>4247</v>
      </c>
      <c r="N440" s="18">
        <v>0</v>
      </c>
      <c r="O440" s="18" t="s">
        <v>271</v>
      </c>
      <c r="P440" s="16" t="s">
        <v>271</v>
      </c>
      <c r="Q440" s="16" t="s">
        <v>271</v>
      </c>
      <c r="R440" s="16" t="s">
        <v>271</v>
      </c>
      <c r="S440" s="16">
        <v>1</v>
      </c>
      <c r="T440" s="10" t="s">
        <v>1035</v>
      </c>
      <c r="U440" s="283" t="s">
        <v>1037</v>
      </c>
      <c r="V440" s="10" t="s">
        <v>4248</v>
      </c>
      <c r="W440" s="10">
        <v>1</v>
      </c>
      <c r="X440" s="10">
        <v>0</v>
      </c>
      <c r="Y440" s="10">
        <v>0</v>
      </c>
      <c r="Z440" s="10">
        <v>1</v>
      </c>
      <c r="AA440" s="10">
        <v>1</v>
      </c>
      <c r="AB440" s="10">
        <v>0</v>
      </c>
      <c r="AC440" s="316">
        <v>0</v>
      </c>
      <c r="AD440" s="316">
        <v>1</v>
      </c>
      <c r="AE440" s="302">
        <f t="shared" si="14"/>
        <v>0.5</v>
      </c>
      <c r="AF440" s="32"/>
      <c r="AG440" s="17">
        <v>0</v>
      </c>
      <c r="AH440" s="32">
        <v>0</v>
      </c>
      <c r="AI440" s="32">
        <v>0</v>
      </c>
      <c r="AJ440" s="32" t="s">
        <v>271</v>
      </c>
      <c r="AK440" s="214" t="s">
        <v>2112</v>
      </c>
      <c r="AL440" s="214" t="s">
        <v>271</v>
      </c>
      <c r="AM440" s="147">
        <f t="shared" si="13"/>
        <v>0</v>
      </c>
      <c r="AN440" s="32" t="s">
        <v>1035</v>
      </c>
      <c r="AO440" s="18" t="s">
        <v>1037</v>
      </c>
      <c r="AP440" s="10" t="s">
        <v>119</v>
      </c>
    </row>
    <row r="441" spans="1:42" s="10" customFormat="1" x14ac:dyDescent="0.3">
      <c r="A441" s="213" t="s">
        <v>1444</v>
      </c>
      <c r="B441" s="10" t="s">
        <v>4050</v>
      </c>
      <c r="C441" s="213" t="s">
        <v>1445</v>
      </c>
      <c r="D441" s="10" t="s">
        <v>4052</v>
      </c>
      <c r="E441" s="213" t="s">
        <v>4183</v>
      </c>
      <c r="F441" s="10" t="s">
        <v>4184</v>
      </c>
      <c r="G441" s="213" t="s">
        <v>4241</v>
      </c>
      <c r="H441" s="10" t="s">
        <v>4242</v>
      </c>
      <c r="I441" s="213" t="s">
        <v>4243</v>
      </c>
      <c r="J441" s="10" t="s">
        <v>4244</v>
      </c>
      <c r="K441" s="213" t="s">
        <v>4245</v>
      </c>
      <c r="L441" s="10" t="s">
        <v>4246</v>
      </c>
      <c r="M441" s="18"/>
      <c r="N441" s="18"/>
      <c r="O441" s="18"/>
      <c r="P441" s="16"/>
      <c r="Q441" s="16"/>
      <c r="R441" s="16"/>
      <c r="S441" s="16"/>
      <c r="U441" s="283" t="e">
        <v>#N/A</v>
      </c>
      <c r="V441" s="10" t="s">
        <v>4248</v>
      </c>
      <c r="W441" s="10">
        <v>1</v>
      </c>
      <c r="X441" s="10">
        <v>0</v>
      </c>
      <c r="Y441" s="10">
        <v>0</v>
      </c>
      <c r="Z441" s="10">
        <v>1</v>
      </c>
      <c r="AA441" s="10">
        <v>1</v>
      </c>
      <c r="AB441" s="10">
        <v>0</v>
      </c>
      <c r="AC441" s="316">
        <v>0</v>
      </c>
      <c r="AD441" s="316">
        <v>1</v>
      </c>
      <c r="AE441" s="302">
        <f t="shared" si="14"/>
        <v>0.5</v>
      </c>
      <c r="AF441" s="32"/>
      <c r="AG441" s="17">
        <v>0</v>
      </c>
      <c r="AH441" s="32" t="s">
        <v>271</v>
      </c>
      <c r="AI441" s="32">
        <v>0</v>
      </c>
      <c r="AJ441" s="32" t="s">
        <v>271</v>
      </c>
      <c r="AK441" s="214" t="s">
        <v>271</v>
      </c>
      <c r="AL441" s="214" t="s">
        <v>271</v>
      </c>
      <c r="AM441" s="147">
        <f t="shared" si="13"/>
        <v>0</v>
      </c>
      <c r="AN441" s="10" t="s">
        <v>3875</v>
      </c>
      <c r="AO441" s="18" t="s">
        <v>3877</v>
      </c>
      <c r="AP441" s="10" t="s">
        <v>119</v>
      </c>
    </row>
    <row r="442" spans="1:42" s="10" customFormat="1" x14ac:dyDescent="0.3">
      <c r="A442" s="213" t="s">
        <v>1444</v>
      </c>
      <c r="B442" s="10" t="s">
        <v>4050</v>
      </c>
      <c r="C442" s="213" t="s">
        <v>1445</v>
      </c>
      <c r="D442" s="10" t="s">
        <v>4052</v>
      </c>
      <c r="E442" s="213" t="s">
        <v>4183</v>
      </c>
      <c r="F442" s="10" t="s">
        <v>4184</v>
      </c>
      <c r="G442" s="213" t="s">
        <v>4241</v>
      </c>
      <c r="H442" s="10" t="s">
        <v>4242</v>
      </c>
      <c r="I442" s="213" t="s">
        <v>4243</v>
      </c>
      <c r="J442" s="10" t="s">
        <v>4244</v>
      </c>
      <c r="K442" s="213" t="s">
        <v>4245</v>
      </c>
      <c r="L442" s="10" t="s">
        <v>4246</v>
      </c>
      <c r="M442" s="18"/>
      <c r="N442" s="18"/>
      <c r="O442" s="18"/>
      <c r="P442" s="16"/>
      <c r="Q442" s="16"/>
      <c r="R442" s="16"/>
      <c r="S442" s="16"/>
      <c r="U442" s="283" t="e">
        <v>#N/A</v>
      </c>
      <c r="V442" s="10" t="s">
        <v>4248</v>
      </c>
      <c r="W442" s="10">
        <v>1</v>
      </c>
      <c r="X442" s="10">
        <v>0</v>
      </c>
      <c r="Y442" s="10">
        <v>0</v>
      </c>
      <c r="Z442" s="10">
        <v>1</v>
      </c>
      <c r="AA442" s="10">
        <v>1</v>
      </c>
      <c r="AB442" s="10">
        <v>0</v>
      </c>
      <c r="AC442" s="316">
        <v>0</v>
      </c>
      <c r="AD442" s="316">
        <v>1</v>
      </c>
      <c r="AE442" s="302">
        <f t="shared" si="14"/>
        <v>0.5</v>
      </c>
      <c r="AF442" s="32"/>
      <c r="AG442" s="17">
        <v>0</v>
      </c>
      <c r="AH442" s="32" t="s">
        <v>271</v>
      </c>
      <c r="AI442" s="32">
        <v>0</v>
      </c>
      <c r="AJ442" s="32" t="s">
        <v>271</v>
      </c>
      <c r="AK442" s="214" t="s">
        <v>271</v>
      </c>
      <c r="AL442" s="214" t="s">
        <v>271</v>
      </c>
      <c r="AM442" s="147">
        <f t="shared" si="13"/>
        <v>0</v>
      </c>
      <c r="AN442" s="32" t="s">
        <v>4192</v>
      </c>
      <c r="AO442" s="18" t="s">
        <v>1334</v>
      </c>
      <c r="AP442" s="10" t="s">
        <v>119</v>
      </c>
    </row>
    <row r="443" spans="1:42" s="10" customFormat="1" x14ac:dyDescent="0.3">
      <c r="A443" s="213" t="s">
        <v>1444</v>
      </c>
      <c r="B443" s="10" t="s">
        <v>4050</v>
      </c>
      <c r="C443" s="213" t="s">
        <v>1445</v>
      </c>
      <c r="D443" s="10" t="s">
        <v>4052</v>
      </c>
      <c r="E443" s="213" t="s">
        <v>4183</v>
      </c>
      <c r="F443" s="10" t="s">
        <v>4184</v>
      </c>
      <c r="G443" s="213" t="s">
        <v>4241</v>
      </c>
      <c r="H443" s="10" t="s">
        <v>4242</v>
      </c>
      <c r="I443" s="213" t="s">
        <v>4243</v>
      </c>
      <c r="J443" s="10" t="s">
        <v>4244</v>
      </c>
      <c r="K443" s="213" t="s">
        <v>4245</v>
      </c>
      <c r="L443" s="10" t="s">
        <v>4246</v>
      </c>
      <c r="M443" s="18"/>
      <c r="N443" s="18"/>
      <c r="O443" s="18"/>
      <c r="P443" s="16"/>
      <c r="Q443" s="16"/>
      <c r="R443" s="16"/>
      <c r="S443" s="16"/>
      <c r="U443" s="283" t="e">
        <v>#N/A</v>
      </c>
      <c r="V443" s="10" t="s">
        <v>4248</v>
      </c>
      <c r="W443" s="10">
        <v>1</v>
      </c>
      <c r="X443" s="10">
        <v>0</v>
      </c>
      <c r="Y443" s="10">
        <v>0</v>
      </c>
      <c r="Z443" s="10">
        <v>1</v>
      </c>
      <c r="AA443" s="10">
        <v>1</v>
      </c>
      <c r="AB443" s="10">
        <v>0</v>
      </c>
      <c r="AC443" s="316">
        <v>0</v>
      </c>
      <c r="AD443" s="316">
        <v>1</v>
      </c>
      <c r="AE443" s="302">
        <f t="shared" si="14"/>
        <v>0.5</v>
      </c>
      <c r="AF443" s="32"/>
      <c r="AG443" s="17">
        <v>0</v>
      </c>
      <c r="AH443" s="32" t="s">
        <v>271</v>
      </c>
      <c r="AI443" s="32">
        <v>0</v>
      </c>
      <c r="AJ443" s="32" t="s">
        <v>271</v>
      </c>
      <c r="AK443" s="214" t="s">
        <v>271</v>
      </c>
      <c r="AL443" s="214" t="s">
        <v>271</v>
      </c>
      <c r="AM443" s="147">
        <f t="shared" si="13"/>
        <v>0</v>
      </c>
      <c r="AN443" s="32" t="s">
        <v>4195</v>
      </c>
      <c r="AO443" s="18" t="s">
        <v>4196</v>
      </c>
      <c r="AP443" s="10" t="s">
        <v>119</v>
      </c>
    </row>
    <row r="444" spans="1:42" s="10" customFormat="1" x14ac:dyDescent="0.3">
      <c r="A444" s="213" t="s">
        <v>1444</v>
      </c>
      <c r="B444" s="10" t="s">
        <v>4050</v>
      </c>
      <c r="C444" s="213" t="s">
        <v>1445</v>
      </c>
      <c r="D444" s="10" t="s">
        <v>4052</v>
      </c>
      <c r="E444" s="213" t="s">
        <v>4183</v>
      </c>
      <c r="F444" s="10" t="s">
        <v>4184</v>
      </c>
      <c r="G444" s="213" t="s">
        <v>4241</v>
      </c>
      <c r="H444" s="10" t="s">
        <v>4242</v>
      </c>
      <c r="I444" s="213" t="s">
        <v>4243</v>
      </c>
      <c r="J444" s="10" t="s">
        <v>4244</v>
      </c>
      <c r="K444" s="213" t="s">
        <v>4245</v>
      </c>
      <c r="L444" s="10" t="s">
        <v>4246</v>
      </c>
      <c r="M444" s="18"/>
      <c r="N444" s="18"/>
      <c r="O444" s="18"/>
      <c r="P444" s="16"/>
      <c r="Q444" s="16"/>
      <c r="R444" s="16"/>
      <c r="S444" s="16"/>
      <c r="U444" s="283" t="e">
        <v>#N/A</v>
      </c>
      <c r="V444" s="10" t="s">
        <v>4249</v>
      </c>
      <c r="W444" s="10">
        <v>1</v>
      </c>
      <c r="X444" s="10">
        <v>0</v>
      </c>
      <c r="Y444" s="10">
        <v>0</v>
      </c>
      <c r="Z444" s="10">
        <v>0</v>
      </c>
      <c r="AA444" s="10">
        <v>0</v>
      </c>
      <c r="AB444" s="10">
        <v>0</v>
      </c>
      <c r="AC444" s="316">
        <v>0</v>
      </c>
      <c r="AD444" s="316">
        <v>1</v>
      </c>
      <c r="AE444" s="302">
        <f t="shared" si="14"/>
        <v>0.25</v>
      </c>
      <c r="AF444" s="32"/>
      <c r="AG444" s="17">
        <v>0</v>
      </c>
      <c r="AH444" s="32" t="s">
        <v>271</v>
      </c>
      <c r="AI444" s="32" t="s">
        <v>271</v>
      </c>
      <c r="AJ444" s="32">
        <v>0</v>
      </c>
      <c r="AK444" s="214">
        <v>0</v>
      </c>
      <c r="AL444" s="214" t="s">
        <v>271</v>
      </c>
      <c r="AM444" s="147">
        <f t="shared" si="13"/>
        <v>0</v>
      </c>
      <c r="AN444" s="32" t="s">
        <v>1035</v>
      </c>
      <c r="AO444" s="18" t="s">
        <v>1037</v>
      </c>
      <c r="AP444" s="10" t="s">
        <v>119</v>
      </c>
    </row>
    <row r="445" spans="1:42" s="10" customFormat="1" x14ac:dyDescent="0.3">
      <c r="A445" s="213" t="s">
        <v>1444</v>
      </c>
      <c r="B445" s="10" t="s">
        <v>4050</v>
      </c>
      <c r="C445" s="213" t="s">
        <v>1445</v>
      </c>
      <c r="D445" s="10" t="s">
        <v>4052</v>
      </c>
      <c r="E445" s="213" t="s">
        <v>4183</v>
      </c>
      <c r="F445" s="10" t="s">
        <v>4184</v>
      </c>
      <c r="G445" s="213" t="s">
        <v>4241</v>
      </c>
      <c r="H445" s="10" t="s">
        <v>4242</v>
      </c>
      <c r="I445" s="213" t="s">
        <v>4243</v>
      </c>
      <c r="J445" s="10" t="s">
        <v>4244</v>
      </c>
      <c r="K445" s="213" t="s">
        <v>4245</v>
      </c>
      <c r="L445" s="10" t="s">
        <v>4246</v>
      </c>
      <c r="M445" s="18"/>
      <c r="N445" s="18"/>
      <c r="O445" s="18"/>
      <c r="P445" s="16"/>
      <c r="Q445" s="16"/>
      <c r="R445" s="16"/>
      <c r="S445" s="16"/>
      <c r="U445" s="283" t="e">
        <v>#N/A</v>
      </c>
      <c r="V445" s="10" t="s">
        <v>4249</v>
      </c>
      <c r="W445" s="10">
        <v>1</v>
      </c>
      <c r="X445" s="10">
        <v>0</v>
      </c>
      <c r="Y445" s="10">
        <v>0</v>
      </c>
      <c r="Z445" s="10">
        <v>0</v>
      </c>
      <c r="AA445" s="10">
        <v>0</v>
      </c>
      <c r="AB445" s="10">
        <v>0</v>
      </c>
      <c r="AC445" s="316">
        <v>0</v>
      </c>
      <c r="AD445" s="316">
        <v>1</v>
      </c>
      <c r="AE445" s="302">
        <f t="shared" si="14"/>
        <v>0.25</v>
      </c>
      <c r="AF445" s="32"/>
      <c r="AG445" s="17">
        <v>0</v>
      </c>
      <c r="AH445" s="32" t="s">
        <v>271</v>
      </c>
      <c r="AI445" s="32" t="s">
        <v>271</v>
      </c>
      <c r="AJ445" s="32">
        <v>0</v>
      </c>
      <c r="AK445" s="214">
        <v>0</v>
      </c>
      <c r="AL445" s="214" t="s">
        <v>271</v>
      </c>
      <c r="AM445" s="147">
        <f t="shared" si="13"/>
        <v>0</v>
      </c>
      <c r="AN445" s="10" t="s">
        <v>3875</v>
      </c>
      <c r="AO445" s="18" t="s">
        <v>3877</v>
      </c>
      <c r="AP445" s="10" t="s">
        <v>119</v>
      </c>
    </row>
    <row r="446" spans="1:42" s="10" customFormat="1" x14ac:dyDescent="0.3">
      <c r="A446" s="213" t="s">
        <v>1444</v>
      </c>
      <c r="B446" s="10" t="s">
        <v>4050</v>
      </c>
      <c r="C446" s="213" t="s">
        <v>1445</v>
      </c>
      <c r="D446" s="10" t="s">
        <v>4052</v>
      </c>
      <c r="E446" s="213" t="s">
        <v>4183</v>
      </c>
      <c r="F446" s="10" t="s">
        <v>4184</v>
      </c>
      <c r="G446" s="213" t="s">
        <v>4241</v>
      </c>
      <c r="H446" s="10" t="s">
        <v>4242</v>
      </c>
      <c r="I446" s="213" t="s">
        <v>4243</v>
      </c>
      <c r="J446" s="10" t="s">
        <v>4244</v>
      </c>
      <c r="K446" s="213" t="s">
        <v>4245</v>
      </c>
      <c r="L446" s="10" t="s">
        <v>4246</v>
      </c>
      <c r="M446" s="18"/>
      <c r="N446" s="18"/>
      <c r="O446" s="18"/>
      <c r="P446" s="16"/>
      <c r="Q446" s="16"/>
      <c r="R446" s="16"/>
      <c r="S446" s="16"/>
      <c r="U446" s="283" t="e">
        <v>#N/A</v>
      </c>
      <c r="V446" s="10" t="s">
        <v>4249</v>
      </c>
      <c r="W446" s="10">
        <v>1</v>
      </c>
      <c r="X446" s="10">
        <v>0</v>
      </c>
      <c r="Y446" s="10">
        <v>0</v>
      </c>
      <c r="Z446" s="10">
        <v>0</v>
      </c>
      <c r="AA446" s="10">
        <v>0</v>
      </c>
      <c r="AB446" s="10">
        <v>0</v>
      </c>
      <c r="AC446" s="316">
        <v>0</v>
      </c>
      <c r="AD446" s="316">
        <v>1</v>
      </c>
      <c r="AE446" s="302">
        <f t="shared" si="14"/>
        <v>0.25</v>
      </c>
      <c r="AF446" s="32"/>
      <c r="AG446" s="17">
        <v>0</v>
      </c>
      <c r="AH446" s="32" t="s">
        <v>271</v>
      </c>
      <c r="AI446" s="32" t="s">
        <v>271</v>
      </c>
      <c r="AJ446" s="32">
        <v>0</v>
      </c>
      <c r="AK446" s="214">
        <v>0</v>
      </c>
      <c r="AL446" s="214" t="s">
        <v>271</v>
      </c>
      <c r="AM446" s="147">
        <f t="shared" si="13"/>
        <v>0</v>
      </c>
      <c r="AN446" s="32" t="s">
        <v>4192</v>
      </c>
      <c r="AO446" s="18" t="s">
        <v>1334</v>
      </c>
      <c r="AP446" s="10" t="s">
        <v>119</v>
      </c>
    </row>
    <row r="447" spans="1:42" s="10" customFormat="1" x14ac:dyDescent="0.3">
      <c r="A447" s="213" t="s">
        <v>1444</v>
      </c>
      <c r="B447" s="10" t="s">
        <v>4050</v>
      </c>
      <c r="C447" s="213" t="s">
        <v>1445</v>
      </c>
      <c r="D447" s="10" t="s">
        <v>4052</v>
      </c>
      <c r="E447" s="213" t="s">
        <v>4183</v>
      </c>
      <c r="F447" s="10" t="s">
        <v>4184</v>
      </c>
      <c r="G447" s="213" t="s">
        <v>4241</v>
      </c>
      <c r="H447" s="10" t="s">
        <v>4242</v>
      </c>
      <c r="I447" s="213" t="s">
        <v>4243</v>
      </c>
      <c r="J447" s="10" t="s">
        <v>4244</v>
      </c>
      <c r="K447" s="213" t="s">
        <v>4245</v>
      </c>
      <c r="L447" s="10" t="s">
        <v>4246</v>
      </c>
      <c r="M447" s="18"/>
      <c r="N447" s="18"/>
      <c r="O447" s="18"/>
      <c r="P447" s="16"/>
      <c r="Q447" s="16"/>
      <c r="R447" s="16"/>
      <c r="S447" s="16"/>
      <c r="U447" s="283" t="e">
        <v>#N/A</v>
      </c>
      <c r="V447" s="10" t="s">
        <v>4250</v>
      </c>
      <c r="W447" s="10">
        <v>1</v>
      </c>
      <c r="X447" s="10">
        <v>0</v>
      </c>
      <c r="Y447" s="10">
        <v>0</v>
      </c>
      <c r="Z447" s="10">
        <v>0</v>
      </c>
      <c r="AA447" s="10">
        <v>0</v>
      </c>
      <c r="AB447" s="10">
        <v>0</v>
      </c>
      <c r="AC447" s="316">
        <v>0</v>
      </c>
      <c r="AD447" s="316">
        <v>1</v>
      </c>
      <c r="AE447" s="302">
        <f t="shared" si="14"/>
        <v>0.25</v>
      </c>
      <c r="AF447" s="32"/>
      <c r="AG447" s="17">
        <v>0</v>
      </c>
      <c r="AH447" s="32" t="s">
        <v>271</v>
      </c>
      <c r="AI447" s="32" t="s">
        <v>271</v>
      </c>
      <c r="AJ447" s="32">
        <v>0.4</v>
      </c>
      <c r="AK447" s="214"/>
      <c r="AL447" s="214" t="s">
        <v>271</v>
      </c>
      <c r="AM447" s="147">
        <f t="shared" si="13"/>
        <v>0</v>
      </c>
      <c r="AN447" s="32" t="s">
        <v>1035</v>
      </c>
      <c r="AO447" s="18" t="s">
        <v>1037</v>
      </c>
      <c r="AP447" s="10" t="s">
        <v>4251</v>
      </c>
    </row>
    <row r="448" spans="1:42" s="10" customFormat="1" x14ac:dyDescent="0.3">
      <c r="A448" s="213" t="s">
        <v>1444</v>
      </c>
      <c r="B448" s="10" t="s">
        <v>4050</v>
      </c>
      <c r="C448" s="213" t="s">
        <v>1445</v>
      </c>
      <c r="D448" s="10" t="s">
        <v>4052</v>
      </c>
      <c r="E448" s="213" t="s">
        <v>4183</v>
      </c>
      <c r="F448" s="10" t="s">
        <v>4184</v>
      </c>
      <c r="G448" s="213" t="s">
        <v>4241</v>
      </c>
      <c r="H448" s="10" t="s">
        <v>4242</v>
      </c>
      <c r="I448" s="213" t="s">
        <v>4243</v>
      </c>
      <c r="J448" s="10" t="s">
        <v>4244</v>
      </c>
      <c r="K448" s="213" t="s">
        <v>4245</v>
      </c>
      <c r="L448" s="10" t="s">
        <v>4246</v>
      </c>
      <c r="M448" s="18"/>
      <c r="N448" s="18"/>
      <c r="O448" s="18"/>
      <c r="P448" s="16"/>
      <c r="Q448" s="16"/>
      <c r="R448" s="16"/>
      <c r="S448" s="16"/>
      <c r="U448" s="283" t="e">
        <v>#N/A</v>
      </c>
      <c r="V448" s="10" t="s">
        <v>4250</v>
      </c>
      <c r="W448" s="10">
        <v>1</v>
      </c>
      <c r="X448" s="10">
        <v>0</v>
      </c>
      <c r="Y448" s="10">
        <v>0</v>
      </c>
      <c r="Z448" s="10">
        <v>0</v>
      </c>
      <c r="AA448" s="10">
        <v>0</v>
      </c>
      <c r="AB448" s="10">
        <v>0</v>
      </c>
      <c r="AC448" s="316">
        <v>0</v>
      </c>
      <c r="AD448" s="316">
        <v>1</v>
      </c>
      <c r="AE448" s="302">
        <f t="shared" si="14"/>
        <v>0.25</v>
      </c>
      <c r="AF448" s="32"/>
      <c r="AG448" s="17">
        <v>0</v>
      </c>
      <c r="AH448" s="32" t="s">
        <v>271</v>
      </c>
      <c r="AI448" s="32" t="s">
        <v>271</v>
      </c>
      <c r="AJ448" s="32">
        <v>0.1</v>
      </c>
      <c r="AK448" s="214"/>
      <c r="AL448" s="214" t="s">
        <v>271</v>
      </c>
      <c r="AM448" s="147">
        <f t="shared" si="13"/>
        <v>0</v>
      </c>
      <c r="AN448" s="32" t="s">
        <v>321</v>
      </c>
      <c r="AO448" s="18" t="s">
        <v>1066</v>
      </c>
      <c r="AP448" s="10" t="s">
        <v>4118</v>
      </c>
    </row>
    <row r="449" spans="1:42" s="10" customFormat="1" x14ac:dyDescent="0.3">
      <c r="A449" s="213" t="s">
        <v>1444</v>
      </c>
      <c r="B449" s="10" t="s">
        <v>4050</v>
      </c>
      <c r="C449" s="213" t="s">
        <v>1445</v>
      </c>
      <c r="D449" s="10" t="s">
        <v>4052</v>
      </c>
      <c r="E449" s="213" t="s">
        <v>4183</v>
      </c>
      <c r="F449" s="10" t="s">
        <v>4184</v>
      </c>
      <c r="G449" s="213" t="s">
        <v>4241</v>
      </c>
      <c r="H449" s="10" t="s">
        <v>4242</v>
      </c>
      <c r="I449" s="213" t="s">
        <v>4252</v>
      </c>
      <c r="J449" s="10" t="s">
        <v>4253</v>
      </c>
      <c r="K449" s="213" t="s">
        <v>4254</v>
      </c>
      <c r="L449" s="10" t="s">
        <v>4255</v>
      </c>
      <c r="M449" s="18" t="s">
        <v>4255</v>
      </c>
      <c r="N449" s="18">
        <v>0</v>
      </c>
      <c r="O449" s="18" t="s">
        <v>271</v>
      </c>
      <c r="P449" s="16" t="s">
        <v>271</v>
      </c>
      <c r="Q449" s="16">
        <v>1</v>
      </c>
      <c r="R449" s="16" t="s">
        <v>271</v>
      </c>
      <c r="S449" s="16" t="s">
        <v>271</v>
      </c>
      <c r="T449" s="10" t="s">
        <v>1035</v>
      </c>
      <c r="U449" s="283" t="s">
        <v>1037</v>
      </c>
      <c r="V449" s="10" t="s">
        <v>4256</v>
      </c>
      <c r="W449" s="10">
        <v>1</v>
      </c>
      <c r="X449" s="10">
        <v>0</v>
      </c>
      <c r="Y449" s="10">
        <v>0</v>
      </c>
      <c r="Z449" s="10">
        <v>0</v>
      </c>
      <c r="AA449" s="10">
        <v>0</v>
      </c>
      <c r="AB449" s="10">
        <v>0</v>
      </c>
      <c r="AC449" s="316">
        <v>0</v>
      </c>
      <c r="AD449" s="316">
        <v>1</v>
      </c>
      <c r="AE449" s="302">
        <f t="shared" si="14"/>
        <v>0.25</v>
      </c>
      <c r="AF449" s="32"/>
      <c r="AG449" s="17">
        <v>0</v>
      </c>
      <c r="AH449" s="32" t="s">
        <v>2112</v>
      </c>
      <c r="AI449" s="32" t="s">
        <v>2112</v>
      </c>
      <c r="AJ449" s="32">
        <v>0.5</v>
      </c>
      <c r="AK449" s="214"/>
      <c r="AL449" s="214" t="s">
        <v>271</v>
      </c>
      <c r="AM449" s="147">
        <f t="shared" si="13"/>
        <v>0</v>
      </c>
      <c r="AN449" s="32" t="s">
        <v>1035</v>
      </c>
      <c r="AO449" s="18" t="s">
        <v>1037</v>
      </c>
      <c r="AP449" s="10" t="s">
        <v>4257</v>
      </c>
    </row>
    <row r="450" spans="1:42" s="10" customFormat="1" x14ac:dyDescent="0.3">
      <c r="A450" s="213" t="s">
        <v>1444</v>
      </c>
      <c r="B450" s="10" t="s">
        <v>4050</v>
      </c>
      <c r="C450" s="213" t="s">
        <v>1445</v>
      </c>
      <c r="D450" s="10" t="s">
        <v>4052</v>
      </c>
      <c r="E450" s="213" t="s">
        <v>4183</v>
      </c>
      <c r="F450" s="10" t="s">
        <v>4184</v>
      </c>
      <c r="G450" s="213" t="s">
        <v>4258</v>
      </c>
      <c r="H450" s="10" t="s">
        <v>4259</v>
      </c>
      <c r="K450" s="213" t="s">
        <v>4260</v>
      </c>
      <c r="L450" s="10" t="s">
        <v>4261</v>
      </c>
      <c r="M450" s="18" t="s">
        <v>4262</v>
      </c>
      <c r="N450" s="18" t="s">
        <v>271</v>
      </c>
      <c r="O450" s="18">
        <v>60</v>
      </c>
      <c r="P450" s="16">
        <v>70</v>
      </c>
      <c r="Q450" s="16">
        <v>80</v>
      </c>
      <c r="R450" s="16">
        <v>90</v>
      </c>
      <c r="S450" s="16">
        <v>95</v>
      </c>
      <c r="T450" s="10" t="s">
        <v>1035</v>
      </c>
      <c r="U450" s="283" t="s">
        <v>1037</v>
      </c>
      <c r="V450" s="10" t="s">
        <v>4060</v>
      </c>
      <c r="W450" s="10">
        <v>1</v>
      </c>
      <c r="X450" s="10">
        <v>0</v>
      </c>
      <c r="Y450" s="10">
        <v>0</v>
      </c>
      <c r="Z450" s="10">
        <v>1</v>
      </c>
      <c r="AA450" s="10">
        <v>1</v>
      </c>
      <c r="AB450" s="10">
        <v>0</v>
      </c>
      <c r="AC450" s="316">
        <v>0</v>
      </c>
      <c r="AD450" s="316">
        <v>1</v>
      </c>
      <c r="AE450" s="302">
        <f t="shared" si="14"/>
        <v>0.5</v>
      </c>
      <c r="AF450" s="32"/>
      <c r="AG450" s="17">
        <v>0</v>
      </c>
      <c r="AH450" s="32">
        <v>2</v>
      </c>
      <c r="AI450" s="32">
        <v>2</v>
      </c>
      <c r="AJ450" s="32">
        <v>2</v>
      </c>
      <c r="AK450" s="214">
        <v>0.5</v>
      </c>
      <c r="AL450" s="214">
        <v>0.5</v>
      </c>
      <c r="AM450" s="147">
        <f t="shared" si="13"/>
        <v>1</v>
      </c>
      <c r="AN450" s="32" t="s">
        <v>1035</v>
      </c>
      <c r="AO450" s="18" t="s">
        <v>1037</v>
      </c>
      <c r="AP450" s="10" t="s">
        <v>4263</v>
      </c>
    </row>
    <row r="451" spans="1:42" s="10" customFormat="1" x14ac:dyDescent="0.3">
      <c r="A451" s="213" t="s">
        <v>1444</v>
      </c>
      <c r="B451" s="10" t="s">
        <v>4050</v>
      </c>
      <c r="C451" s="213" t="s">
        <v>1445</v>
      </c>
      <c r="D451" s="10" t="s">
        <v>4052</v>
      </c>
      <c r="E451" s="213" t="s">
        <v>4183</v>
      </c>
      <c r="F451" s="10" t="s">
        <v>4184</v>
      </c>
      <c r="G451" s="213" t="s">
        <v>4258</v>
      </c>
      <c r="H451" s="10" t="s">
        <v>4259</v>
      </c>
      <c r="K451" s="213" t="s">
        <v>4260</v>
      </c>
      <c r="L451" s="10" t="s">
        <v>4261</v>
      </c>
      <c r="M451" s="18" t="s">
        <v>4264</v>
      </c>
      <c r="N451" s="18" t="s">
        <v>271</v>
      </c>
      <c r="O451" s="18">
        <v>0</v>
      </c>
      <c r="P451" s="16">
        <v>1</v>
      </c>
      <c r="Q451" s="16">
        <v>4</v>
      </c>
      <c r="R451" s="16">
        <v>108</v>
      </c>
      <c r="S451" s="16">
        <v>208</v>
      </c>
      <c r="T451" s="10" t="s">
        <v>1035</v>
      </c>
      <c r="U451" s="283" t="s">
        <v>1037</v>
      </c>
      <c r="V451" s="10" t="s">
        <v>4265</v>
      </c>
      <c r="W451" s="10">
        <v>1</v>
      </c>
      <c r="X451" s="10">
        <v>0</v>
      </c>
      <c r="Y451" s="10">
        <v>0</v>
      </c>
      <c r="Z451" s="10">
        <v>1</v>
      </c>
      <c r="AA451" s="10">
        <v>1</v>
      </c>
      <c r="AB451" s="10">
        <v>0</v>
      </c>
      <c r="AC451" s="316">
        <v>0</v>
      </c>
      <c r="AD451" s="316">
        <v>1</v>
      </c>
      <c r="AE451" s="302">
        <f t="shared" si="14"/>
        <v>0.5</v>
      </c>
      <c r="AF451" s="32"/>
      <c r="AG451" s="17">
        <v>0</v>
      </c>
      <c r="AH451" s="32">
        <v>0.2</v>
      </c>
      <c r="AI451" s="32">
        <v>1</v>
      </c>
      <c r="AJ451" s="32">
        <v>1</v>
      </c>
      <c r="AK451" s="214">
        <v>0.5</v>
      </c>
      <c r="AL451" s="214">
        <v>0.5</v>
      </c>
      <c r="AM451" s="147">
        <f t="shared" si="13"/>
        <v>1</v>
      </c>
      <c r="AN451" s="32" t="s">
        <v>1035</v>
      </c>
      <c r="AO451" s="18" t="s">
        <v>1037</v>
      </c>
      <c r="AP451" s="10" t="s">
        <v>723</v>
      </c>
    </row>
    <row r="452" spans="1:42" s="10" customFormat="1" x14ac:dyDescent="0.3">
      <c r="A452" s="213" t="s">
        <v>1444</v>
      </c>
      <c r="B452" s="10" t="s">
        <v>4050</v>
      </c>
      <c r="C452" s="213" t="s">
        <v>1445</v>
      </c>
      <c r="D452" s="10" t="s">
        <v>4052</v>
      </c>
      <c r="E452" s="213" t="s">
        <v>4183</v>
      </c>
      <c r="F452" s="10" t="s">
        <v>4184</v>
      </c>
      <c r="G452" s="213" t="s">
        <v>4258</v>
      </c>
      <c r="H452" s="10" t="s">
        <v>4259</v>
      </c>
      <c r="K452" s="213" t="s">
        <v>4260</v>
      </c>
      <c r="L452" s="10" t="s">
        <v>4261</v>
      </c>
      <c r="M452" s="18"/>
      <c r="N452" s="18"/>
      <c r="O452" s="18"/>
      <c r="P452" s="16"/>
      <c r="Q452" s="16"/>
      <c r="R452" s="16"/>
      <c r="S452" s="16"/>
      <c r="U452" s="283" t="e">
        <v>#N/A</v>
      </c>
      <c r="V452" s="10" t="s">
        <v>4265</v>
      </c>
      <c r="W452" s="10">
        <v>1</v>
      </c>
      <c r="X452" s="10">
        <v>0</v>
      </c>
      <c r="Y452" s="10">
        <v>0</v>
      </c>
      <c r="Z452" s="10">
        <v>1</v>
      </c>
      <c r="AA452" s="10">
        <v>1</v>
      </c>
      <c r="AB452" s="10">
        <v>0</v>
      </c>
      <c r="AC452" s="316">
        <v>0</v>
      </c>
      <c r="AD452" s="316">
        <v>1</v>
      </c>
      <c r="AE452" s="302">
        <f t="shared" si="14"/>
        <v>0.5</v>
      </c>
      <c r="AF452" s="32"/>
      <c r="AG452" s="17">
        <v>0</v>
      </c>
      <c r="AH452" s="32" t="s">
        <v>271</v>
      </c>
      <c r="AI452" s="32">
        <v>0.1</v>
      </c>
      <c r="AJ452" s="32">
        <v>0.2</v>
      </c>
      <c r="AK452" s="214">
        <v>0.2</v>
      </c>
      <c r="AL452" s="214">
        <v>0.2</v>
      </c>
      <c r="AM452" s="147">
        <f t="shared" si="13"/>
        <v>0.4</v>
      </c>
      <c r="AN452" s="10" t="s">
        <v>2172</v>
      </c>
      <c r="AO452" s="18" t="s">
        <v>2236</v>
      </c>
      <c r="AP452" s="10" t="s">
        <v>4266</v>
      </c>
    </row>
    <row r="453" spans="1:42" s="10" customFormat="1" x14ac:dyDescent="0.3">
      <c r="A453" s="213" t="s">
        <v>1444</v>
      </c>
      <c r="B453" s="10" t="s">
        <v>4050</v>
      </c>
      <c r="C453" s="213" t="s">
        <v>1445</v>
      </c>
      <c r="D453" s="10" t="s">
        <v>4052</v>
      </c>
      <c r="E453" s="213" t="s">
        <v>4183</v>
      </c>
      <c r="F453" s="10" t="s">
        <v>4184</v>
      </c>
      <c r="G453" s="213" t="s">
        <v>4258</v>
      </c>
      <c r="H453" s="10" t="s">
        <v>4259</v>
      </c>
      <c r="K453" s="213" t="s">
        <v>4260</v>
      </c>
      <c r="L453" s="10" t="s">
        <v>4261</v>
      </c>
      <c r="M453" s="18"/>
      <c r="N453" s="18"/>
      <c r="O453" s="18"/>
      <c r="P453" s="16"/>
      <c r="Q453" s="16"/>
      <c r="R453" s="16"/>
      <c r="S453" s="16"/>
      <c r="U453" s="283" t="e">
        <v>#N/A</v>
      </c>
      <c r="V453" s="10" t="s">
        <v>4267</v>
      </c>
      <c r="W453" s="10">
        <v>1</v>
      </c>
      <c r="X453" s="10">
        <v>0</v>
      </c>
      <c r="Y453" s="10">
        <v>0</v>
      </c>
      <c r="Z453" s="10">
        <v>1</v>
      </c>
      <c r="AA453" s="10">
        <v>1</v>
      </c>
      <c r="AB453" s="10">
        <v>1</v>
      </c>
      <c r="AC453" s="316">
        <v>0</v>
      </c>
      <c r="AD453" s="316">
        <v>1</v>
      </c>
      <c r="AE453" s="302">
        <f t="shared" si="14"/>
        <v>0.625</v>
      </c>
      <c r="AF453" s="32"/>
      <c r="AG453" s="17">
        <v>0</v>
      </c>
      <c r="AH453" s="32" t="s">
        <v>271</v>
      </c>
      <c r="AI453" s="32">
        <v>4.8</v>
      </c>
      <c r="AJ453" s="32">
        <v>10</v>
      </c>
      <c r="AK453" s="214">
        <v>10</v>
      </c>
      <c r="AL453" s="214">
        <v>10</v>
      </c>
      <c r="AM453" s="147">
        <f t="shared" si="13"/>
        <v>20</v>
      </c>
      <c r="AN453" s="32" t="s">
        <v>4067</v>
      </c>
      <c r="AO453" s="18" t="s">
        <v>1037</v>
      </c>
      <c r="AP453" s="10" t="s">
        <v>4268</v>
      </c>
    </row>
    <row r="454" spans="1:42" s="10" customFormat="1" x14ac:dyDescent="0.3">
      <c r="A454" s="213" t="s">
        <v>1444</v>
      </c>
      <c r="B454" s="10" t="s">
        <v>4050</v>
      </c>
      <c r="C454" s="213" t="s">
        <v>1445</v>
      </c>
      <c r="D454" s="10" t="s">
        <v>4052</v>
      </c>
      <c r="E454" s="213" t="s">
        <v>4183</v>
      </c>
      <c r="F454" s="10" t="s">
        <v>4184</v>
      </c>
      <c r="G454" s="213" t="s">
        <v>4258</v>
      </c>
      <c r="H454" s="10" t="s">
        <v>4259</v>
      </c>
      <c r="K454" s="213" t="s">
        <v>4260</v>
      </c>
      <c r="L454" s="10" t="s">
        <v>4261</v>
      </c>
      <c r="M454" s="18"/>
      <c r="N454" s="18"/>
      <c r="O454" s="18"/>
      <c r="P454" s="16"/>
      <c r="Q454" s="16"/>
      <c r="R454" s="16"/>
      <c r="S454" s="16"/>
      <c r="U454" s="283" t="e">
        <v>#N/A</v>
      </c>
      <c r="V454" s="10" t="s">
        <v>4267</v>
      </c>
      <c r="W454" s="10">
        <v>1</v>
      </c>
      <c r="X454" s="10">
        <v>0</v>
      </c>
      <c r="Y454" s="10">
        <v>0</v>
      </c>
      <c r="Z454" s="10">
        <v>1</v>
      </c>
      <c r="AA454" s="10">
        <v>1</v>
      </c>
      <c r="AB454" s="10">
        <v>1</v>
      </c>
      <c r="AC454" s="316">
        <v>0</v>
      </c>
      <c r="AD454" s="316">
        <v>1</v>
      </c>
      <c r="AE454" s="302">
        <f t="shared" si="14"/>
        <v>0.625</v>
      </c>
      <c r="AF454" s="32"/>
      <c r="AG454" s="17">
        <v>0</v>
      </c>
      <c r="AH454" s="32" t="s">
        <v>271</v>
      </c>
      <c r="AI454" s="32">
        <v>0.2</v>
      </c>
      <c r="AJ454" s="32">
        <v>0.3</v>
      </c>
      <c r="AK454" s="214">
        <v>0.4</v>
      </c>
      <c r="AL454" s="214">
        <v>0.5</v>
      </c>
      <c r="AM454" s="147">
        <f t="shared" si="13"/>
        <v>0.9</v>
      </c>
      <c r="AN454" s="10" t="s">
        <v>63</v>
      </c>
      <c r="AO454" s="18" t="s">
        <v>2510</v>
      </c>
      <c r="AP454" s="10" t="s">
        <v>4268</v>
      </c>
    </row>
    <row r="455" spans="1:42" s="10" customFormat="1" x14ac:dyDescent="0.3">
      <c r="A455" s="213" t="s">
        <v>1444</v>
      </c>
      <c r="B455" s="10" t="s">
        <v>4050</v>
      </c>
      <c r="C455" s="213" t="s">
        <v>1445</v>
      </c>
      <c r="D455" s="10" t="s">
        <v>4052</v>
      </c>
      <c r="E455" s="213" t="s">
        <v>4183</v>
      </c>
      <c r="F455" s="10" t="s">
        <v>4184</v>
      </c>
      <c r="G455" s="213" t="s">
        <v>4258</v>
      </c>
      <c r="H455" s="10" t="s">
        <v>4259</v>
      </c>
      <c r="K455" s="213" t="s">
        <v>4260</v>
      </c>
      <c r="L455" s="10" t="s">
        <v>4261</v>
      </c>
      <c r="M455" s="18"/>
      <c r="N455" s="18"/>
      <c r="O455" s="18"/>
      <c r="P455" s="16"/>
      <c r="Q455" s="16"/>
      <c r="R455" s="16"/>
      <c r="S455" s="16"/>
      <c r="U455" s="283" t="e">
        <v>#N/A</v>
      </c>
      <c r="V455" s="10" t="s">
        <v>4269</v>
      </c>
      <c r="W455" s="10">
        <v>1</v>
      </c>
      <c r="X455" s="10">
        <v>0</v>
      </c>
      <c r="Y455" s="10">
        <v>0</v>
      </c>
      <c r="Z455" s="10">
        <v>1</v>
      </c>
      <c r="AA455" s="10">
        <v>1</v>
      </c>
      <c r="AB455" s="10">
        <v>1</v>
      </c>
      <c r="AC455" s="316">
        <v>0</v>
      </c>
      <c r="AD455" s="316">
        <v>1</v>
      </c>
      <c r="AE455" s="302">
        <f t="shared" si="14"/>
        <v>0.625</v>
      </c>
      <c r="AF455" s="32"/>
      <c r="AG455" s="17">
        <v>0</v>
      </c>
      <c r="AH455" s="32">
        <v>23</v>
      </c>
      <c r="AI455" s="32">
        <v>23</v>
      </c>
      <c r="AJ455" s="32">
        <v>23</v>
      </c>
      <c r="AK455" s="214">
        <v>22</v>
      </c>
      <c r="AL455" s="214">
        <v>22</v>
      </c>
      <c r="AM455" s="147">
        <f t="shared" si="13"/>
        <v>44</v>
      </c>
      <c r="AN455" s="32" t="s">
        <v>4067</v>
      </c>
      <c r="AO455" s="18" t="s">
        <v>1037</v>
      </c>
      <c r="AP455" s="10" t="s">
        <v>4270</v>
      </c>
    </row>
    <row r="456" spans="1:42" s="10" customFormat="1" x14ac:dyDescent="0.3">
      <c r="A456" s="213" t="s">
        <v>1444</v>
      </c>
      <c r="B456" s="10" t="s">
        <v>4050</v>
      </c>
      <c r="C456" s="213" t="s">
        <v>1445</v>
      </c>
      <c r="D456" s="10" t="s">
        <v>4052</v>
      </c>
      <c r="E456" s="213" t="s">
        <v>4183</v>
      </c>
      <c r="F456" s="10" t="s">
        <v>4184</v>
      </c>
      <c r="G456" s="213" t="s">
        <v>4271</v>
      </c>
      <c r="H456" s="10" t="s">
        <v>4272</v>
      </c>
      <c r="K456" s="213" t="s">
        <v>4273</v>
      </c>
      <c r="L456" s="10" t="s">
        <v>4274</v>
      </c>
      <c r="M456" s="18" t="s">
        <v>4275</v>
      </c>
      <c r="N456" s="18"/>
      <c r="O456" s="18">
        <v>100</v>
      </c>
      <c r="P456" s="16">
        <v>100</v>
      </c>
      <c r="Q456" s="16">
        <v>100</v>
      </c>
      <c r="R456" s="16">
        <v>100</v>
      </c>
      <c r="S456" s="16">
        <v>100</v>
      </c>
      <c r="T456" s="10" t="s">
        <v>1035</v>
      </c>
      <c r="U456" s="283" t="s">
        <v>1037</v>
      </c>
      <c r="V456" s="10" t="s">
        <v>4276</v>
      </c>
      <c r="W456" s="10">
        <v>1</v>
      </c>
      <c r="X456" s="10">
        <v>0</v>
      </c>
      <c r="Y456" s="10">
        <v>0</v>
      </c>
      <c r="Z456" s="10">
        <v>1</v>
      </c>
      <c r="AA456" s="10">
        <v>1</v>
      </c>
      <c r="AB456" s="10">
        <v>1</v>
      </c>
      <c r="AC456" s="316">
        <v>1</v>
      </c>
      <c r="AD456" s="316">
        <v>1</v>
      </c>
      <c r="AE456" s="302">
        <f t="shared" si="14"/>
        <v>0.75</v>
      </c>
      <c r="AF456" s="32"/>
      <c r="AG456" s="17">
        <v>0</v>
      </c>
      <c r="AH456" s="32">
        <v>0.5</v>
      </c>
      <c r="AI456" s="32">
        <v>0.5</v>
      </c>
      <c r="AJ456" s="32">
        <v>0.5</v>
      </c>
      <c r="AK456" s="214">
        <v>2.5</v>
      </c>
      <c r="AL456" s="214">
        <v>2.5</v>
      </c>
      <c r="AM456" s="147">
        <f t="shared" si="13"/>
        <v>5</v>
      </c>
      <c r="AN456" s="32" t="s">
        <v>4067</v>
      </c>
      <c r="AO456" s="18" t="s">
        <v>1037</v>
      </c>
      <c r="AP456" s="10" t="s">
        <v>4277</v>
      </c>
    </row>
    <row r="457" spans="1:42" s="10" customFormat="1" x14ac:dyDescent="0.3">
      <c r="A457" s="213" t="s">
        <v>1444</v>
      </c>
      <c r="B457" s="10" t="s">
        <v>4050</v>
      </c>
      <c r="C457" s="213" t="s">
        <v>1445</v>
      </c>
      <c r="D457" s="10" t="s">
        <v>4052</v>
      </c>
      <c r="E457" s="213" t="s">
        <v>4183</v>
      </c>
      <c r="F457" s="10" t="s">
        <v>4184</v>
      </c>
      <c r="G457" s="213" t="s">
        <v>4271</v>
      </c>
      <c r="H457" s="10" t="s">
        <v>4272</v>
      </c>
      <c r="K457" s="213" t="s">
        <v>4273</v>
      </c>
      <c r="L457" s="10" t="s">
        <v>4274</v>
      </c>
      <c r="M457" s="18"/>
      <c r="N457" s="18"/>
      <c r="O457" s="18"/>
      <c r="P457" s="16"/>
      <c r="Q457" s="16"/>
      <c r="R457" s="16"/>
      <c r="S457" s="16"/>
      <c r="U457" s="283" t="e">
        <v>#N/A</v>
      </c>
      <c r="V457" s="10" t="s">
        <v>4276</v>
      </c>
      <c r="W457" s="10">
        <v>1</v>
      </c>
      <c r="X457" s="10">
        <v>0</v>
      </c>
      <c r="Y457" s="10">
        <v>0</v>
      </c>
      <c r="Z457" s="10">
        <v>1</v>
      </c>
      <c r="AA457" s="10">
        <v>1</v>
      </c>
      <c r="AB457" s="10">
        <v>1</v>
      </c>
      <c r="AC457" s="316">
        <v>1</v>
      </c>
      <c r="AD457" s="316">
        <v>1</v>
      </c>
      <c r="AE457" s="302">
        <f t="shared" si="14"/>
        <v>0.75</v>
      </c>
      <c r="AF457" s="32"/>
      <c r="AG457" s="17">
        <v>0</v>
      </c>
      <c r="AH457" s="32" t="s">
        <v>271</v>
      </c>
      <c r="AI457" s="32">
        <v>1</v>
      </c>
      <c r="AJ457" s="32">
        <v>1</v>
      </c>
      <c r="AK457" s="214">
        <v>1</v>
      </c>
      <c r="AL457" s="214">
        <v>1</v>
      </c>
      <c r="AM457" s="147">
        <f t="shared" si="13"/>
        <v>2</v>
      </c>
      <c r="AN457" s="18" t="s">
        <v>255</v>
      </c>
      <c r="AO457" s="18" t="s">
        <v>1045</v>
      </c>
      <c r="AP457" s="10" t="s">
        <v>4277</v>
      </c>
    </row>
    <row r="458" spans="1:42" s="10" customFormat="1" x14ac:dyDescent="0.3">
      <c r="A458" s="213" t="s">
        <v>1444</v>
      </c>
      <c r="B458" s="10" t="s">
        <v>4050</v>
      </c>
      <c r="C458" s="213" t="s">
        <v>1445</v>
      </c>
      <c r="D458" s="10" t="s">
        <v>4052</v>
      </c>
      <c r="E458" s="213" t="s">
        <v>4183</v>
      </c>
      <c r="F458" s="10" t="s">
        <v>4184</v>
      </c>
      <c r="G458" s="213" t="s">
        <v>4271</v>
      </c>
      <c r="H458" s="10" t="s">
        <v>4272</v>
      </c>
      <c r="K458" s="213" t="s">
        <v>4273</v>
      </c>
      <c r="L458" s="10" t="s">
        <v>4274</v>
      </c>
      <c r="M458" s="18"/>
      <c r="N458" s="18"/>
      <c r="O458" s="18"/>
      <c r="P458" s="16"/>
      <c r="Q458" s="16"/>
      <c r="R458" s="16"/>
      <c r="S458" s="16"/>
      <c r="U458" s="283" t="e">
        <v>#N/A</v>
      </c>
      <c r="V458" s="10" t="s">
        <v>4276</v>
      </c>
      <c r="W458" s="10">
        <v>1</v>
      </c>
      <c r="X458" s="10">
        <v>0</v>
      </c>
      <c r="Y458" s="10">
        <v>0</v>
      </c>
      <c r="Z458" s="10">
        <v>1</v>
      </c>
      <c r="AA458" s="10">
        <v>1</v>
      </c>
      <c r="AB458" s="10">
        <v>1</v>
      </c>
      <c r="AC458" s="316">
        <v>1</v>
      </c>
      <c r="AD458" s="316">
        <v>1</v>
      </c>
      <c r="AE458" s="302">
        <f t="shared" si="14"/>
        <v>0.75</v>
      </c>
      <c r="AF458" s="32"/>
      <c r="AG458" s="17">
        <v>0</v>
      </c>
      <c r="AH458" s="32" t="s">
        <v>271</v>
      </c>
      <c r="AI458" s="32">
        <v>0.2</v>
      </c>
      <c r="AJ458" s="32">
        <v>0.2</v>
      </c>
      <c r="AK458" s="214">
        <v>0.2</v>
      </c>
      <c r="AL458" s="214">
        <v>0.2</v>
      </c>
      <c r="AM458" s="147">
        <f t="shared" si="13"/>
        <v>0.4</v>
      </c>
      <c r="AN458" s="32" t="s">
        <v>3605</v>
      </c>
      <c r="AO458" s="18" t="s">
        <v>4178</v>
      </c>
      <c r="AP458" s="10" t="s">
        <v>4277</v>
      </c>
    </row>
    <row r="459" spans="1:42" s="10" customFormat="1" x14ac:dyDescent="0.3">
      <c r="A459" s="213" t="s">
        <v>1444</v>
      </c>
      <c r="B459" s="10" t="s">
        <v>4050</v>
      </c>
      <c r="C459" s="213" t="s">
        <v>1445</v>
      </c>
      <c r="D459" s="10" t="s">
        <v>4052</v>
      </c>
      <c r="E459" s="213" t="s">
        <v>4183</v>
      </c>
      <c r="F459" s="10" t="s">
        <v>4184</v>
      </c>
      <c r="G459" s="213" t="s">
        <v>4271</v>
      </c>
      <c r="H459" s="10" t="s">
        <v>4272</v>
      </c>
      <c r="K459" s="213" t="s">
        <v>4273</v>
      </c>
      <c r="L459" s="10" t="s">
        <v>4274</v>
      </c>
      <c r="M459" s="18"/>
      <c r="N459" s="18"/>
      <c r="O459" s="18"/>
      <c r="P459" s="16"/>
      <c r="Q459" s="16"/>
      <c r="R459" s="16"/>
      <c r="S459" s="16"/>
      <c r="U459" s="283" t="e">
        <v>#N/A</v>
      </c>
      <c r="V459" s="10" t="s">
        <v>4278</v>
      </c>
      <c r="W459" s="10">
        <v>1</v>
      </c>
      <c r="X459" s="10">
        <v>0</v>
      </c>
      <c r="Y459" s="10">
        <v>0</v>
      </c>
      <c r="Z459" s="10">
        <v>1</v>
      </c>
      <c r="AA459" s="10">
        <v>1</v>
      </c>
      <c r="AB459" s="10">
        <v>1</v>
      </c>
      <c r="AC459" s="316">
        <v>0</v>
      </c>
      <c r="AD459" s="316">
        <v>1</v>
      </c>
      <c r="AE459" s="302">
        <f t="shared" si="14"/>
        <v>0.625</v>
      </c>
      <c r="AF459" s="32"/>
      <c r="AG459" s="17">
        <v>0</v>
      </c>
      <c r="AH459" s="32" t="s">
        <v>271</v>
      </c>
      <c r="AI459" s="32">
        <v>0.35</v>
      </c>
      <c r="AJ459" s="32">
        <v>0.35</v>
      </c>
      <c r="AK459" s="214">
        <v>0.35</v>
      </c>
      <c r="AL459" s="214">
        <v>0.35</v>
      </c>
      <c r="AM459" s="147">
        <f t="shared" si="13"/>
        <v>0.7</v>
      </c>
      <c r="AN459" s="32" t="s">
        <v>4067</v>
      </c>
      <c r="AO459" s="18" t="s">
        <v>1037</v>
      </c>
      <c r="AP459" s="10" t="s">
        <v>3615</v>
      </c>
    </row>
    <row r="460" spans="1:42" s="10" customFormat="1" x14ac:dyDescent="0.3">
      <c r="A460" s="213" t="s">
        <v>1444</v>
      </c>
      <c r="B460" s="10" t="s">
        <v>4050</v>
      </c>
      <c r="C460" s="213" t="s">
        <v>1445</v>
      </c>
      <c r="D460" s="10" t="s">
        <v>4052</v>
      </c>
      <c r="E460" s="213" t="s">
        <v>4183</v>
      </c>
      <c r="F460" s="10" t="s">
        <v>4184</v>
      </c>
      <c r="G460" s="213" t="s">
        <v>4271</v>
      </c>
      <c r="H460" s="10" t="s">
        <v>4272</v>
      </c>
      <c r="K460" s="213" t="s">
        <v>4273</v>
      </c>
      <c r="L460" s="10" t="s">
        <v>4274</v>
      </c>
      <c r="M460" s="18"/>
      <c r="N460" s="18"/>
      <c r="O460" s="18"/>
      <c r="P460" s="16"/>
      <c r="Q460" s="16"/>
      <c r="R460" s="16"/>
      <c r="S460" s="16"/>
      <c r="U460" s="283" t="e">
        <v>#N/A</v>
      </c>
      <c r="V460" s="10" t="s">
        <v>4278</v>
      </c>
      <c r="W460" s="10">
        <v>1</v>
      </c>
      <c r="X460" s="10">
        <v>0</v>
      </c>
      <c r="Y460" s="10">
        <v>0</v>
      </c>
      <c r="Z460" s="10">
        <v>1</v>
      </c>
      <c r="AA460" s="10">
        <v>1</v>
      </c>
      <c r="AB460" s="10">
        <v>1</v>
      </c>
      <c r="AC460" s="316">
        <v>0</v>
      </c>
      <c r="AD460" s="316">
        <v>1</v>
      </c>
      <c r="AE460" s="302">
        <f t="shared" si="14"/>
        <v>0.625</v>
      </c>
      <c r="AF460" s="32"/>
      <c r="AG460" s="17">
        <v>0</v>
      </c>
      <c r="AH460" s="32" t="s">
        <v>271</v>
      </c>
      <c r="AI460" s="32">
        <v>0.05</v>
      </c>
      <c r="AJ460" s="32">
        <v>0.05</v>
      </c>
      <c r="AK460" s="214">
        <v>0.05</v>
      </c>
      <c r="AL460" s="214">
        <v>0.05</v>
      </c>
      <c r="AM460" s="147">
        <f t="shared" si="13"/>
        <v>0.1</v>
      </c>
      <c r="AN460" s="32" t="s">
        <v>321</v>
      </c>
      <c r="AO460" s="18" t="s">
        <v>1066</v>
      </c>
      <c r="AP460" s="10" t="s">
        <v>4177</v>
      </c>
    </row>
    <row r="461" spans="1:42" s="10" customFormat="1" x14ac:dyDescent="0.3">
      <c r="A461" s="213" t="s">
        <v>1444</v>
      </c>
      <c r="B461" s="10" t="s">
        <v>4050</v>
      </c>
      <c r="C461" s="213" t="s">
        <v>1445</v>
      </c>
      <c r="D461" s="10" t="s">
        <v>4052</v>
      </c>
      <c r="E461" s="213" t="s">
        <v>4183</v>
      </c>
      <c r="F461" s="10" t="s">
        <v>4184</v>
      </c>
      <c r="G461" s="213" t="s">
        <v>4271</v>
      </c>
      <c r="H461" s="10" t="s">
        <v>4272</v>
      </c>
      <c r="K461" s="213" t="s">
        <v>4273</v>
      </c>
      <c r="L461" s="10" t="s">
        <v>4274</v>
      </c>
      <c r="M461" s="18"/>
      <c r="N461" s="18"/>
      <c r="O461" s="18"/>
      <c r="P461" s="16"/>
      <c r="Q461" s="16"/>
      <c r="R461" s="16"/>
      <c r="S461" s="16"/>
      <c r="U461" s="283" t="e">
        <v>#N/A</v>
      </c>
      <c r="V461" s="10" t="s">
        <v>4279</v>
      </c>
      <c r="W461" s="10">
        <v>1</v>
      </c>
      <c r="X461" s="10">
        <v>0</v>
      </c>
      <c r="Y461" s="10">
        <v>0</v>
      </c>
      <c r="Z461" s="10">
        <v>1</v>
      </c>
      <c r="AA461" s="10">
        <v>1</v>
      </c>
      <c r="AB461" s="10">
        <v>0</v>
      </c>
      <c r="AC461" s="316">
        <v>0</v>
      </c>
      <c r="AD461" s="316">
        <v>1</v>
      </c>
      <c r="AE461" s="302">
        <f t="shared" si="14"/>
        <v>0.5</v>
      </c>
      <c r="AF461" s="32"/>
      <c r="AG461" s="17">
        <v>0</v>
      </c>
      <c r="AH461" s="32" t="s">
        <v>271</v>
      </c>
      <c r="AI461" s="32">
        <v>0.6</v>
      </c>
      <c r="AJ461" s="32">
        <v>0.6</v>
      </c>
      <c r="AK461" s="214">
        <v>0.6</v>
      </c>
      <c r="AL461" s="214">
        <v>0.6</v>
      </c>
      <c r="AM461" s="147">
        <f t="shared" si="13"/>
        <v>1.2</v>
      </c>
      <c r="AN461" s="32" t="s">
        <v>1035</v>
      </c>
      <c r="AO461" s="18" t="s">
        <v>1037</v>
      </c>
      <c r="AP461" s="10" t="s">
        <v>4280</v>
      </c>
    </row>
    <row r="462" spans="1:42" s="10" customFormat="1" x14ac:dyDescent="0.3">
      <c r="A462" s="213" t="s">
        <v>1444</v>
      </c>
      <c r="B462" s="10" t="s">
        <v>4050</v>
      </c>
      <c r="C462" s="213" t="s">
        <v>1445</v>
      </c>
      <c r="D462" s="10" t="s">
        <v>4052</v>
      </c>
      <c r="E462" s="213" t="s">
        <v>4183</v>
      </c>
      <c r="F462" s="10" t="s">
        <v>4184</v>
      </c>
      <c r="G462" s="213" t="s">
        <v>4271</v>
      </c>
      <c r="H462" s="10" t="s">
        <v>4272</v>
      </c>
      <c r="K462" s="213" t="s">
        <v>4273</v>
      </c>
      <c r="L462" s="10" t="s">
        <v>4274</v>
      </c>
      <c r="M462" s="18"/>
      <c r="N462" s="18"/>
      <c r="O462" s="18"/>
      <c r="P462" s="16"/>
      <c r="Q462" s="16"/>
      <c r="R462" s="16"/>
      <c r="S462" s="16"/>
      <c r="U462" s="283" t="e">
        <v>#N/A</v>
      </c>
      <c r="V462" s="10" t="s">
        <v>4281</v>
      </c>
      <c r="W462" s="10">
        <v>1</v>
      </c>
      <c r="X462" s="10">
        <v>0</v>
      </c>
      <c r="Y462" s="10">
        <v>0</v>
      </c>
      <c r="Z462" s="10">
        <v>0</v>
      </c>
      <c r="AA462" s="10">
        <v>1</v>
      </c>
      <c r="AB462" s="10">
        <v>0</v>
      </c>
      <c r="AC462" s="316">
        <v>0</v>
      </c>
      <c r="AD462" s="316">
        <v>1</v>
      </c>
      <c r="AE462" s="302">
        <f t="shared" si="14"/>
        <v>0.375</v>
      </c>
      <c r="AF462" s="32"/>
      <c r="AG462" s="17">
        <v>0</v>
      </c>
      <c r="AH462" s="32" t="s">
        <v>271</v>
      </c>
      <c r="AI462" s="32">
        <v>0.1</v>
      </c>
      <c r="AJ462" s="32">
        <v>0.1</v>
      </c>
      <c r="AK462" s="214"/>
      <c r="AL462" s="214"/>
      <c r="AM462" s="147">
        <f t="shared" si="13"/>
        <v>0</v>
      </c>
      <c r="AN462" s="32" t="s">
        <v>1035</v>
      </c>
      <c r="AO462" s="18" t="s">
        <v>1037</v>
      </c>
      <c r="AP462" s="10" t="s">
        <v>4282</v>
      </c>
    </row>
    <row r="463" spans="1:42" s="10" customFormat="1" x14ac:dyDescent="0.3">
      <c r="A463" s="213" t="s">
        <v>1444</v>
      </c>
      <c r="B463" s="10" t="s">
        <v>4050</v>
      </c>
      <c r="C463" s="213" t="s">
        <v>1445</v>
      </c>
      <c r="D463" s="10" t="s">
        <v>4052</v>
      </c>
      <c r="E463" s="213" t="s">
        <v>4183</v>
      </c>
      <c r="F463" s="10" t="s">
        <v>4184</v>
      </c>
      <c r="G463" s="213" t="s">
        <v>4271</v>
      </c>
      <c r="H463" s="10" t="s">
        <v>4272</v>
      </c>
      <c r="K463" s="213" t="s">
        <v>4273</v>
      </c>
      <c r="L463" s="10" t="s">
        <v>4274</v>
      </c>
      <c r="M463" s="18"/>
      <c r="N463" s="18"/>
      <c r="O463" s="18"/>
      <c r="P463" s="16"/>
      <c r="Q463" s="16"/>
      <c r="R463" s="16"/>
      <c r="S463" s="16"/>
      <c r="U463" s="283" t="e">
        <v>#N/A</v>
      </c>
      <c r="V463" s="10" t="s">
        <v>4281</v>
      </c>
      <c r="W463" s="10">
        <v>1</v>
      </c>
      <c r="X463" s="10">
        <v>0</v>
      </c>
      <c r="Y463" s="10">
        <v>0</v>
      </c>
      <c r="Z463" s="10">
        <v>0</v>
      </c>
      <c r="AA463" s="10">
        <v>1</v>
      </c>
      <c r="AB463" s="10">
        <v>0</v>
      </c>
      <c r="AC463" s="316">
        <v>0</v>
      </c>
      <c r="AD463" s="316">
        <v>1</v>
      </c>
      <c r="AE463" s="302">
        <f t="shared" si="14"/>
        <v>0.375</v>
      </c>
      <c r="AF463" s="32"/>
      <c r="AG463" s="17">
        <v>0</v>
      </c>
      <c r="AH463" s="32" t="s">
        <v>271</v>
      </c>
      <c r="AI463" s="32">
        <v>0.2</v>
      </c>
      <c r="AJ463" s="32">
        <v>0.2</v>
      </c>
      <c r="AK463" s="214"/>
      <c r="AL463" s="214"/>
      <c r="AM463" s="147">
        <f t="shared" si="13"/>
        <v>0</v>
      </c>
      <c r="AN463" s="18" t="s">
        <v>407</v>
      </c>
      <c r="AO463" s="18" t="s">
        <v>409</v>
      </c>
      <c r="AP463" s="10" t="s">
        <v>4283</v>
      </c>
    </row>
    <row r="464" spans="1:42" s="10" customFormat="1" x14ac:dyDescent="0.3">
      <c r="A464" s="213" t="s">
        <v>1444</v>
      </c>
      <c r="B464" s="10" t="s">
        <v>4050</v>
      </c>
      <c r="C464" s="213" t="s">
        <v>1445</v>
      </c>
      <c r="D464" s="10" t="s">
        <v>4052</v>
      </c>
      <c r="E464" s="213" t="s">
        <v>4183</v>
      </c>
      <c r="F464" s="10" t="s">
        <v>4184</v>
      </c>
      <c r="G464" s="213" t="s">
        <v>4284</v>
      </c>
      <c r="H464" s="10" t="s">
        <v>4285</v>
      </c>
      <c r="K464" s="213" t="s">
        <v>4286</v>
      </c>
      <c r="L464" s="10" t="s">
        <v>4287</v>
      </c>
      <c r="M464" s="18" t="s">
        <v>4288</v>
      </c>
      <c r="N464" s="18"/>
      <c r="O464" s="18">
        <v>0</v>
      </c>
      <c r="P464" s="16">
        <v>0</v>
      </c>
      <c r="Q464" s="16">
        <v>2</v>
      </c>
      <c r="R464" s="16">
        <v>1</v>
      </c>
      <c r="S464" s="16">
        <v>1</v>
      </c>
      <c r="T464" s="10" t="s">
        <v>1035</v>
      </c>
      <c r="U464" s="283" t="s">
        <v>1037</v>
      </c>
      <c r="V464" s="10" t="s">
        <v>4289</v>
      </c>
      <c r="W464" s="10">
        <v>1</v>
      </c>
      <c r="X464" s="10">
        <v>0</v>
      </c>
      <c r="Y464" s="10">
        <v>0</v>
      </c>
      <c r="Z464" s="10">
        <v>1</v>
      </c>
      <c r="AA464" s="10">
        <v>1</v>
      </c>
      <c r="AB464" s="10">
        <v>1</v>
      </c>
      <c r="AC464" s="316">
        <v>0</v>
      </c>
      <c r="AD464" s="316">
        <v>1</v>
      </c>
      <c r="AE464" s="302">
        <f t="shared" si="14"/>
        <v>0.625</v>
      </c>
      <c r="AF464" s="32"/>
      <c r="AG464" s="17">
        <v>0</v>
      </c>
      <c r="AH464" s="32" t="s">
        <v>271</v>
      </c>
      <c r="AI464" s="32">
        <v>0.5</v>
      </c>
      <c r="AJ464" s="32">
        <v>0.5</v>
      </c>
      <c r="AK464" s="214">
        <v>0.5</v>
      </c>
      <c r="AL464" s="214">
        <v>0.5</v>
      </c>
      <c r="AM464" s="147">
        <f t="shared" si="13"/>
        <v>1</v>
      </c>
      <c r="AN464" s="32" t="s">
        <v>4067</v>
      </c>
      <c r="AO464" s="18" t="s">
        <v>1037</v>
      </c>
      <c r="AP464" s="10" t="s">
        <v>4290</v>
      </c>
    </row>
    <row r="465" spans="1:42" s="10" customFormat="1" x14ac:dyDescent="0.3">
      <c r="A465" s="213" t="s">
        <v>1444</v>
      </c>
      <c r="B465" s="10" t="s">
        <v>4050</v>
      </c>
      <c r="C465" s="213" t="s">
        <v>1445</v>
      </c>
      <c r="D465" s="10" t="s">
        <v>4052</v>
      </c>
      <c r="E465" s="213" t="s">
        <v>4183</v>
      </c>
      <c r="F465" s="10" t="s">
        <v>4184</v>
      </c>
      <c r="G465" s="213" t="s">
        <v>4284</v>
      </c>
      <c r="H465" s="10" t="s">
        <v>4285</v>
      </c>
      <c r="K465" s="213" t="s">
        <v>4286</v>
      </c>
      <c r="L465" s="10" t="s">
        <v>4287</v>
      </c>
      <c r="M465" s="18"/>
      <c r="N465" s="18"/>
      <c r="O465" s="18"/>
      <c r="P465" s="16"/>
      <c r="Q465" s="16"/>
      <c r="R465" s="16"/>
      <c r="S465" s="16"/>
      <c r="U465" s="283" t="e">
        <v>#N/A</v>
      </c>
      <c r="V465" s="10" t="s">
        <v>4291</v>
      </c>
      <c r="W465" s="10">
        <v>1</v>
      </c>
      <c r="X465" s="10">
        <v>1</v>
      </c>
      <c r="Y465" s="10">
        <v>1</v>
      </c>
      <c r="Z465" s="10">
        <v>1</v>
      </c>
      <c r="AA465" s="10">
        <v>1</v>
      </c>
      <c r="AB465" s="10">
        <v>0</v>
      </c>
      <c r="AC465" s="316">
        <v>1</v>
      </c>
      <c r="AD465" s="316">
        <v>1</v>
      </c>
      <c r="AE465" s="302">
        <f t="shared" si="14"/>
        <v>0.875</v>
      </c>
      <c r="AF465" s="32"/>
      <c r="AG465" s="17">
        <v>0</v>
      </c>
      <c r="AH465" s="32">
        <v>0.5</v>
      </c>
      <c r="AI465" s="32">
        <v>0.3</v>
      </c>
      <c r="AJ465" s="32">
        <v>0.3</v>
      </c>
      <c r="AK465" s="214">
        <v>0.3</v>
      </c>
      <c r="AL465" s="214">
        <v>0.6</v>
      </c>
      <c r="AM465" s="147">
        <f t="shared" si="13"/>
        <v>0.89999999999999991</v>
      </c>
      <c r="AN465" s="32" t="s">
        <v>4067</v>
      </c>
      <c r="AO465" s="18" t="s">
        <v>1037</v>
      </c>
      <c r="AP465" s="10" t="s">
        <v>4292</v>
      </c>
    </row>
    <row r="466" spans="1:42" s="10" customFormat="1" x14ac:dyDescent="0.3">
      <c r="A466" s="213" t="s">
        <v>1444</v>
      </c>
      <c r="B466" s="10" t="s">
        <v>4050</v>
      </c>
      <c r="C466" s="213" t="s">
        <v>1445</v>
      </c>
      <c r="D466" s="10" t="s">
        <v>4052</v>
      </c>
      <c r="E466" s="213" t="s">
        <v>4183</v>
      </c>
      <c r="F466" s="10" t="s">
        <v>4184</v>
      </c>
      <c r="G466" s="213" t="s">
        <v>4284</v>
      </c>
      <c r="H466" s="10" t="s">
        <v>4285</v>
      </c>
      <c r="K466" s="213" t="s">
        <v>4286</v>
      </c>
      <c r="L466" s="10" t="s">
        <v>4287</v>
      </c>
      <c r="M466" s="18"/>
      <c r="N466" s="18"/>
      <c r="O466" s="18"/>
      <c r="P466" s="16"/>
      <c r="Q466" s="16"/>
      <c r="R466" s="16"/>
      <c r="S466" s="16"/>
      <c r="U466" s="283" t="e">
        <v>#N/A</v>
      </c>
      <c r="V466" s="10" t="s">
        <v>4291</v>
      </c>
      <c r="W466" s="10">
        <v>1</v>
      </c>
      <c r="X466" s="10">
        <v>1</v>
      </c>
      <c r="Y466" s="10">
        <v>1</v>
      </c>
      <c r="Z466" s="10">
        <v>1</v>
      </c>
      <c r="AA466" s="10">
        <v>1</v>
      </c>
      <c r="AB466" s="10">
        <v>0</v>
      </c>
      <c r="AC466" s="316">
        <v>1</v>
      </c>
      <c r="AD466" s="316">
        <v>1</v>
      </c>
      <c r="AE466" s="302">
        <f t="shared" si="14"/>
        <v>0.875</v>
      </c>
      <c r="AF466" s="32"/>
      <c r="AG466" s="17">
        <v>0</v>
      </c>
      <c r="AH466" s="32" t="s">
        <v>271</v>
      </c>
      <c r="AI466" s="32">
        <v>0.2</v>
      </c>
      <c r="AJ466" s="32">
        <v>0.2</v>
      </c>
      <c r="AK466" s="214">
        <v>0.2</v>
      </c>
      <c r="AL466" s="214">
        <v>0.4</v>
      </c>
      <c r="AM466" s="147">
        <f t="shared" si="13"/>
        <v>0.60000000000000009</v>
      </c>
      <c r="AN466" s="18" t="s">
        <v>255</v>
      </c>
      <c r="AO466" s="18" t="s">
        <v>1045</v>
      </c>
      <c r="AP466" s="10" t="s">
        <v>4118</v>
      </c>
    </row>
    <row r="467" spans="1:42" s="10" customFormat="1" x14ac:dyDescent="0.3">
      <c r="A467" s="213" t="s">
        <v>1444</v>
      </c>
      <c r="B467" s="10" t="s">
        <v>4050</v>
      </c>
      <c r="C467" s="213" t="s">
        <v>1445</v>
      </c>
      <c r="D467" s="10" t="s">
        <v>4052</v>
      </c>
      <c r="E467" s="213" t="s">
        <v>4183</v>
      </c>
      <c r="F467" s="10" t="s">
        <v>4184</v>
      </c>
      <c r="G467" s="213" t="s">
        <v>4284</v>
      </c>
      <c r="H467" s="10" t="s">
        <v>4285</v>
      </c>
      <c r="K467" s="213" t="s">
        <v>4286</v>
      </c>
      <c r="L467" s="10" t="s">
        <v>4287</v>
      </c>
      <c r="M467" s="18"/>
      <c r="N467" s="18"/>
      <c r="O467" s="18"/>
      <c r="P467" s="16"/>
      <c r="Q467" s="16"/>
      <c r="R467" s="16"/>
      <c r="S467" s="16"/>
      <c r="U467" s="283" t="e">
        <v>#N/A</v>
      </c>
      <c r="V467" s="10" t="s">
        <v>4293</v>
      </c>
      <c r="W467" s="10">
        <v>1</v>
      </c>
      <c r="X467" s="10">
        <v>0</v>
      </c>
      <c r="Y467" s="10">
        <v>0</v>
      </c>
      <c r="Z467" s="10">
        <v>1</v>
      </c>
      <c r="AA467" s="10">
        <v>1</v>
      </c>
      <c r="AB467" s="10">
        <v>0</v>
      </c>
      <c r="AC467" s="316">
        <v>1</v>
      </c>
      <c r="AD467" s="316">
        <v>1</v>
      </c>
      <c r="AE467" s="302">
        <f t="shared" si="14"/>
        <v>0.625</v>
      </c>
      <c r="AF467" s="32"/>
      <c r="AG467" s="17">
        <v>0</v>
      </c>
      <c r="AH467" s="32" t="s">
        <v>271</v>
      </c>
      <c r="AI467" s="32">
        <v>0.3</v>
      </c>
      <c r="AJ467" s="32">
        <v>0.3</v>
      </c>
      <c r="AK467" s="214">
        <v>0.3</v>
      </c>
      <c r="AL467" s="214">
        <v>0.3</v>
      </c>
      <c r="AM467" s="147">
        <f t="shared" si="13"/>
        <v>0.6</v>
      </c>
      <c r="AN467" s="32" t="s">
        <v>4067</v>
      </c>
      <c r="AO467" s="18" t="s">
        <v>1037</v>
      </c>
      <c r="AP467" s="10" t="s">
        <v>4292</v>
      </c>
    </row>
    <row r="468" spans="1:42" s="10" customFormat="1" x14ac:dyDescent="0.3">
      <c r="A468" s="213" t="s">
        <v>1444</v>
      </c>
      <c r="B468" s="10" t="s">
        <v>4050</v>
      </c>
      <c r="C468" s="213" t="s">
        <v>1445</v>
      </c>
      <c r="D468" s="10" t="s">
        <v>4052</v>
      </c>
      <c r="E468" s="213" t="s">
        <v>4183</v>
      </c>
      <c r="F468" s="10" t="s">
        <v>4184</v>
      </c>
      <c r="G468" s="213" t="s">
        <v>4284</v>
      </c>
      <c r="H468" s="10" t="s">
        <v>4285</v>
      </c>
      <c r="K468" s="213" t="s">
        <v>4286</v>
      </c>
      <c r="L468" s="10" t="s">
        <v>4287</v>
      </c>
      <c r="M468" s="18"/>
      <c r="N468" s="18"/>
      <c r="O468" s="18"/>
      <c r="P468" s="16"/>
      <c r="Q468" s="16"/>
      <c r="R468" s="16"/>
      <c r="S468" s="16"/>
      <c r="U468" s="283" t="e">
        <v>#N/A</v>
      </c>
      <c r="V468" s="10" t="s">
        <v>4293</v>
      </c>
      <c r="W468" s="10">
        <v>1</v>
      </c>
      <c r="X468" s="10">
        <v>0</v>
      </c>
      <c r="Y468" s="10">
        <v>0</v>
      </c>
      <c r="Z468" s="10">
        <v>1</v>
      </c>
      <c r="AA468" s="10">
        <v>1</v>
      </c>
      <c r="AB468" s="10">
        <v>0</v>
      </c>
      <c r="AC468" s="316">
        <v>1</v>
      </c>
      <c r="AD468" s="316">
        <v>1</v>
      </c>
      <c r="AE468" s="302">
        <f t="shared" si="14"/>
        <v>0.625</v>
      </c>
      <c r="AF468" s="32"/>
      <c r="AG468" s="17">
        <v>0</v>
      </c>
      <c r="AH468" s="32" t="s">
        <v>271</v>
      </c>
      <c r="AI468" s="32">
        <v>0.2</v>
      </c>
      <c r="AJ468" s="32">
        <v>0.2</v>
      </c>
      <c r="AK468" s="214">
        <v>0.2</v>
      </c>
      <c r="AL468" s="214">
        <v>0.2</v>
      </c>
      <c r="AM468" s="147">
        <f t="shared" si="13"/>
        <v>0.4</v>
      </c>
      <c r="AN468" s="10" t="s">
        <v>280</v>
      </c>
      <c r="AO468" s="18" t="s">
        <v>1151</v>
      </c>
      <c r="AP468" s="10" t="s">
        <v>4118</v>
      </c>
    </row>
    <row r="469" spans="1:42" s="10" customFormat="1" x14ac:dyDescent="0.3">
      <c r="A469" s="213" t="s">
        <v>1444</v>
      </c>
      <c r="B469" s="10" t="s">
        <v>4050</v>
      </c>
      <c r="C469" s="213" t="s">
        <v>1445</v>
      </c>
      <c r="D469" s="10" t="s">
        <v>4052</v>
      </c>
      <c r="E469" s="213" t="s">
        <v>4183</v>
      </c>
      <c r="F469" s="10" t="s">
        <v>4184</v>
      </c>
      <c r="G469" s="213" t="s">
        <v>4294</v>
      </c>
      <c r="H469" s="10" t="s">
        <v>4295</v>
      </c>
      <c r="K469" s="213" t="s">
        <v>4296</v>
      </c>
      <c r="L469" s="10" t="s">
        <v>4297</v>
      </c>
      <c r="M469" s="18" t="s">
        <v>2288</v>
      </c>
      <c r="N469" s="18">
        <v>0</v>
      </c>
      <c r="O469" s="18">
        <v>0</v>
      </c>
      <c r="P469" s="16">
        <v>1</v>
      </c>
      <c r="Q469" s="16">
        <v>0</v>
      </c>
      <c r="R469" s="16">
        <v>0</v>
      </c>
      <c r="S469" s="16">
        <v>0</v>
      </c>
      <c r="T469" s="10" t="s">
        <v>771</v>
      </c>
      <c r="U469" s="283" t="s">
        <v>773</v>
      </c>
      <c r="V469" s="10" t="s">
        <v>4298</v>
      </c>
      <c r="W469" s="10">
        <v>1</v>
      </c>
      <c r="X469" s="10">
        <v>0</v>
      </c>
      <c r="Y469" s="10">
        <v>1</v>
      </c>
      <c r="Z469" s="10">
        <v>1</v>
      </c>
      <c r="AA469" s="10">
        <v>1</v>
      </c>
      <c r="AB469" s="10">
        <v>1</v>
      </c>
      <c r="AC469" s="316">
        <v>1</v>
      </c>
      <c r="AD469" s="316">
        <v>0</v>
      </c>
      <c r="AE469" s="302">
        <f t="shared" si="14"/>
        <v>0.75</v>
      </c>
      <c r="AF469" s="32"/>
      <c r="AG469" s="17">
        <v>0</v>
      </c>
      <c r="AH469" s="32" t="s">
        <v>271</v>
      </c>
      <c r="AI469" s="32">
        <v>0.1</v>
      </c>
      <c r="AJ469" s="32">
        <v>0.1</v>
      </c>
      <c r="AK469" s="214">
        <v>0.2</v>
      </c>
      <c r="AL469" s="214">
        <v>0.25</v>
      </c>
      <c r="AM469" s="147">
        <f t="shared" si="13"/>
        <v>0.45</v>
      </c>
      <c r="AN469" s="32" t="s">
        <v>4067</v>
      </c>
      <c r="AO469" s="18" t="s">
        <v>1037</v>
      </c>
      <c r="AP469" s="10" t="s">
        <v>1536</v>
      </c>
    </row>
    <row r="470" spans="1:42" s="10" customFormat="1" x14ac:dyDescent="0.3">
      <c r="A470" s="213" t="s">
        <v>1444</v>
      </c>
      <c r="B470" s="10" t="s">
        <v>4050</v>
      </c>
      <c r="C470" s="213" t="s">
        <v>1445</v>
      </c>
      <c r="D470" s="10" t="s">
        <v>4052</v>
      </c>
      <c r="E470" s="213" t="s">
        <v>4183</v>
      </c>
      <c r="F470" s="10" t="s">
        <v>4184</v>
      </c>
      <c r="G470" s="213" t="s">
        <v>4294</v>
      </c>
      <c r="H470" s="10" t="s">
        <v>4295</v>
      </c>
      <c r="K470" s="213" t="s">
        <v>4296</v>
      </c>
      <c r="L470" s="10" t="s">
        <v>4297</v>
      </c>
      <c r="M470" s="18"/>
      <c r="N470" s="18"/>
      <c r="O470" s="18"/>
      <c r="P470" s="16"/>
      <c r="Q470" s="16"/>
      <c r="R470" s="16"/>
      <c r="S470" s="16"/>
      <c r="U470" s="283" t="e">
        <v>#N/A</v>
      </c>
      <c r="V470" s="10" t="s">
        <v>4298</v>
      </c>
      <c r="W470" s="10">
        <v>1</v>
      </c>
      <c r="X470" s="10">
        <v>0</v>
      </c>
      <c r="Y470" s="10">
        <v>1</v>
      </c>
      <c r="Z470" s="10">
        <v>1</v>
      </c>
      <c r="AA470" s="10">
        <v>1</v>
      </c>
      <c r="AB470" s="10">
        <v>1</v>
      </c>
      <c r="AC470" s="316">
        <v>1</v>
      </c>
      <c r="AD470" s="316">
        <v>0</v>
      </c>
      <c r="AE470" s="302">
        <f t="shared" si="14"/>
        <v>0.75</v>
      </c>
      <c r="AF470" s="32"/>
      <c r="AG470" s="17">
        <v>0</v>
      </c>
      <c r="AH470" s="32" t="s">
        <v>271</v>
      </c>
      <c r="AI470" s="32">
        <v>0.05</v>
      </c>
      <c r="AJ470" s="32">
        <v>0.05</v>
      </c>
      <c r="AK470" s="214">
        <v>0.05</v>
      </c>
      <c r="AL470" s="214">
        <v>0.05</v>
      </c>
      <c r="AM470" s="147">
        <f t="shared" si="13"/>
        <v>0.1</v>
      </c>
      <c r="AN470" s="18" t="s">
        <v>771</v>
      </c>
      <c r="AO470" s="18" t="s">
        <v>773</v>
      </c>
      <c r="AP470" s="10" t="s">
        <v>4062</v>
      </c>
    </row>
    <row r="471" spans="1:42" s="10" customFormat="1" x14ac:dyDescent="0.3">
      <c r="A471" s="213" t="s">
        <v>1444</v>
      </c>
      <c r="B471" s="10" t="s">
        <v>4050</v>
      </c>
      <c r="C471" s="213" t="s">
        <v>1445</v>
      </c>
      <c r="D471" s="10" t="s">
        <v>4052</v>
      </c>
      <c r="E471" s="213" t="s">
        <v>4183</v>
      </c>
      <c r="F471" s="10" t="s">
        <v>4184</v>
      </c>
      <c r="G471" s="213" t="s">
        <v>4294</v>
      </c>
      <c r="H471" s="10" t="s">
        <v>4295</v>
      </c>
      <c r="K471" s="213" t="s">
        <v>4296</v>
      </c>
      <c r="L471" s="10" t="s">
        <v>4297</v>
      </c>
      <c r="M471" s="18"/>
      <c r="N471" s="18"/>
      <c r="O471" s="18"/>
      <c r="P471" s="16"/>
      <c r="Q471" s="16"/>
      <c r="R471" s="16"/>
      <c r="S471" s="16"/>
      <c r="U471" s="283" t="e">
        <v>#N/A</v>
      </c>
      <c r="V471" s="10" t="s">
        <v>4298</v>
      </c>
      <c r="W471" s="10">
        <v>1</v>
      </c>
      <c r="X471" s="10">
        <v>0</v>
      </c>
      <c r="Y471" s="10">
        <v>1</v>
      </c>
      <c r="Z471" s="10">
        <v>1</v>
      </c>
      <c r="AA471" s="10">
        <v>1</v>
      </c>
      <c r="AB471" s="10">
        <v>1</v>
      </c>
      <c r="AC471" s="316">
        <v>1</v>
      </c>
      <c r="AD471" s="316">
        <v>0</v>
      </c>
      <c r="AE471" s="302">
        <f t="shared" si="14"/>
        <v>0.75</v>
      </c>
      <c r="AF471" s="32"/>
      <c r="AG471" s="17">
        <v>0</v>
      </c>
      <c r="AH471" s="32" t="s">
        <v>271</v>
      </c>
      <c r="AI471" s="32">
        <v>0.1</v>
      </c>
      <c r="AJ471" s="32">
        <v>0.1</v>
      </c>
      <c r="AK471" s="214">
        <v>0.1</v>
      </c>
      <c r="AL471" s="214">
        <v>0.1</v>
      </c>
      <c r="AM471" s="147">
        <f t="shared" si="13"/>
        <v>0.2</v>
      </c>
      <c r="AN471" s="10" t="s">
        <v>1563</v>
      </c>
      <c r="AO471" s="18" t="s">
        <v>1565</v>
      </c>
      <c r="AP471" s="10" t="s">
        <v>4299</v>
      </c>
    </row>
    <row r="472" spans="1:42" s="10" customFormat="1" x14ac:dyDescent="0.3">
      <c r="A472" s="213" t="s">
        <v>1444</v>
      </c>
      <c r="B472" s="10" t="s">
        <v>4050</v>
      </c>
      <c r="C472" s="213" t="s">
        <v>1445</v>
      </c>
      <c r="D472" s="10" t="s">
        <v>4052</v>
      </c>
      <c r="E472" s="213" t="s">
        <v>4183</v>
      </c>
      <c r="F472" s="10" t="s">
        <v>4184</v>
      </c>
      <c r="G472" s="213" t="s">
        <v>4300</v>
      </c>
      <c r="H472" s="10" t="s">
        <v>4301</v>
      </c>
      <c r="K472" s="213" t="s">
        <v>4302</v>
      </c>
      <c r="L472" s="10" t="s">
        <v>4303</v>
      </c>
      <c r="M472" s="18" t="s">
        <v>4304</v>
      </c>
      <c r="N472" s="18">
        <v>0</v>
      </c>
      <c r="O472" s="18">
        <v>1</v>
      </c>
      <c r="P472" s="16">
        <v>1</v>
      </c>
      <c r="Q472" s="16">
        <v>1</v>
      </c>
      <c r="R472" s="16">
        <v>1</v>
      </c>
      <c r="S472" s="16">
        <v>1</v>
      </c>
      <c r="T472" s="10" t="s">
        <v>3875</v>
      </c>
      <c r="U472" s="283" t="s">
        <v>3877</v>
      </c>
      <c r="V472" s="10" t="s">
        <v>4305</v>
      </c>
      <c r="W472" s="10">
        <v>1</v>
      </c>
      <c r="X472" s="10">
        <v>0</v>
      </c>
      <c r="Y472" s="10">
        <v>0</v>
      </c>
      <c r="Z472" s="10">
        <v>1</v>
      </c>
      <c r="AA472" s="10">
        <v>1</v>
      </c>
      <c r="AB472" s="10">
        <v>0</v>
      </c>
      <c r="AC472" s="316">
        <v>0</v>
      </c>
      <c r="AD472" s="316">
        <v>1</v>
      </c>
      <c r="AE472" s="302">
        <f t="shared" si="14"/>
        <v>0.5</v>
      </c>
      <c r="AF472" s="32"/>
      <c r="AG472" s="17">
        <v>0</v>
      </c>
      <c r="AH472" s="32">
        <v>0</v>
      </c>
      <c r="AI472" s="32">
        <v>0</v>
      </c>
      <c r="AJ472" s="32">
        <v>0.6</v>
      </c>
      <c r="AK472" s="214">
        <v>0.1</v>
      </c>
      <c r="AL472" s="214">
        <v>0.1</v>
      </c>
      <c r="AM472" s="147">
        <f t="shared" si="13"/>
        <v>0.2</v>
      </c>
      <c r="AN472" s="32" t="s">
        <v>1035</v>
      </c>
      <c r="AO472" s="18" t="s">
        <v>1037</v>
      </c>
      <c r="AP472" s="10" t="s">
        <v>4306</v>
      </c>
    </row>
    <row r="473" spans="1:42" s="10" customFormat="1" x14ac:dyDescent="0.3">
      <c r="A473" s="213" t="s">
        <v>1444</v>
      </c>
      <c r="B473" s="10" t="s">
        <v>4050</v>
      </c>
      <c r="C473" s="213" t="s">
        <v>1445</v>
      </c>
      <c r="D473" s="10" t="s">
        <v>4052</v>
      </c>
      <c r="E473" s="213" t="s">
        <v>4183</v>
      </c>
      <c r="F473" s="10" t="s">
        <v>4184</v>
      </c>
      <c r="G473" s="213" t="s">
        <v>4300</v>
      </c>
      <c r="H473" s="10" t="s">
        <v>4301</v>
      </c>
      <c r="K473" s="213" t="s">
        <v>4302</v>
      </c>
      <c r="L473" s="10" t="s">
        <v>4303</v>
      </c>
      <c r="M473" s="18"/>
      <c r="N473" s="18"/>
      <c r="O473" s="18"/>
      <c r="P473" s="16"/>
      <c r="Q473" s="16"/>
      <c r="R473" s="16"/>
      <c r="S473" s="16"/>
      <c r="U473" s="283" t="e">
        <v>#N/A</v>
      </c>
      <c r="V473" s="10" t="s">
        <v>4305</v>
      </c>
      <c r="W473" s="10">
        <v>1</v>
      </c>
      <c r="X473" s="10">
        <v>0</v>
      </c>
      <c r="Y473" s="10">
        <v>0</v>
      </c>
      <c r="Z473" s="10">
        <v>1</v>
      </c>
      <c r="AA473" s="10">
        <v>1</v>
      </c>
      <c r="AB473" s="10">
        <v>0</v>
      </c>
      <c r="AC473" s="316">
        <v>0</v>
      </c>
      <c r="AD473" s="316">
        <v>1</v>
      </c>
      <c r="AE473" s="302">
        <f t="shared" si="14"/>
        <v>0.5</v>
      </c>
      <c r="AF473" s="32"/>
      <c r="AG473" s="17">
        <v>0</v>
      </c>
      <c r="AH473" s="32" t="s">
        <v>271</v>
      </c>
      <c r="AI473" s="32" t="s">
        <v>271</v>
      </c>
      <c r="AJ473" s="32">
        <v>0.5</v>
      </c>
      <c r="AK473" s="214">
        <v>0.2</v>
      </c>
      <c r="AL473" s="214">
        <v>0.1</v>
      </c>
      <c r="AM473" s="147">
        <f t="shared" si="13"/>
        <v>0.30000000000000004</v>
      </c>
      <c r="AN473" s="10" t="s">
        <v>1233</v>
      </c>
      <c r="AO473" s="18" t="s">
        <v>1650</v>
      </c>
      <c r="AP473" s="10" t="s">
        <v>4307</v>
      </c>
    </row>
    <row r="474" spans="1:42" s="10" customFormat="1" x14ac:dyDescent="0.3">
      <c r="A474" s="213" t="s">
        <v>1444</v>
      </c>
      <c r="B474" s="10" t="s">
        <v>4050</v>
      </c>
      <c r="C474" s="213" t="s">
        <v>1445</v>
      </c>
      <c r="D474" s="10" t="s">
        <v>4052</v>
      </c>
      <c r="E474" s="213" t="s">
        <v>4183</v>
      </c>
      <c r="F474" s="10" t="s">
        <v>4184</v>
      </c>
      <c r="G474" s="213" t="s">
        <v>4300</v>
      </c>
      <c r="H474" s="10" t="s">
        <v>4301</v>
      </c>
      <c r="K474" s="213" t="s">
        <v>4302</v>
      </c>
      <c r="L474" s="10" t="s">
        <v>4303</v>
      </c>
      <c r="M474" s="18"/>
      <c r="N474" s="18"/>
      <c r="O474" s="18"/>
      <c r="P474" s="16"/>
      <c r="Q474" s="16"/>
      <c r="R474" s="16"/>
      <c r="S474" s="16"/>
      <c r="U474" s="283" t="e">
        <v>#N/A</v>
      </c>
      <c r="V474" s="218" t="s">
        <v>4308</v>
      </c>
      <c r="AC474" s="316">
        <v>0</v>
      </c>
      <c r="AD474" s="316">
        <v>0</v>
      </c>
      <c r="AE474" s="302">
        <f t="shared" si="14"/>
        <v>0</v>
      </c>
      <c r="AF474" s="32"/>
      <c r="AG474" s="17">
        <v>0</v>
      </c>
      <c r="AH474" s="32">
        <v>0.2</v>
      </c>
      <c r="AI474" s="32">
        <v>0.2</v>
      </c>
      <c r="AJ474" s="32">
        <v>0.2</v>
      </c>
      <c r="AK474" s="219"/>
      <c r="AL474" s="219"/>
      <c r="AM474" s="147">
        <f t="shared" si="13"/>
        <v>0</v>
      </c>
      <c r="AN474" s="32" t="s">
        <v>1035</v>
      </c>
      <c r="AO474" s="18" t="s">
        <v>1037</v>
      </c>
      <c r="AP474" s="10" t="s">
        <v>4309</v>
      </c>
    </row>
    <row r="475" spans="1:42" s="10" customFormat="1" x14ac:dyDescent="0.3">
      <c r="A475" s="213" t="s">
        <v>1444</v>
      </c>
      <c r="B475" s="10" t="s">
        <v>4050</v>
      </c>
      <c r="C475" s="213" t="s">
        <v>1445</v>
      </c>
      <c r="D475" s="10" t="s">
        <v>4052</v>
      </c>
      <c r="E475" s="213" t="s">
        <v>4183</v>
      </c>
      <c r="F475" s="10" t="s">
        <v>4184</v>
      </c>
      <c r="G475" s="213" t="s">
        <v>4300</v>
      </c>
      <c r="H475" s="10" t="s">
        <v>4301</v>
      </c>
      <c r="K475" s="213" t="s">
        <v>4302</v>
      </c>
      <c r="L475" s="10" t="s">
        <v>4303</v>
      </c>
      <c r="M475" s="18"/>
      <c r="N475" s="18"/>
      <c r="O475" s="18"/>
      <c r="P475" s="16"/>
      <c r="Q475" s="16"/>
      <c r="R475" s="16"/>
      <c r="S475" s="16"/>
      <c r="U475" s="283" t="e">
        <v>#N/A</v>
      </c>
      <c r="V475" s="220" t="s">
        <v>4310</v>
      </c>
      <c r="AC475" s="316">
        <v>0</v>
      </c>
      <c r="AD475" s="316">
        <v>0</v>
      </c>
      <c r="AE475" s="302">
        <f t="shared" si="14"/>
        <v>0</v>
      </c>
      <c r="AF475" s="32"/>
      <c r="AG475" s="17">
        <v>0</v>
      </c>
      <c r="AH475" s="32" t="s">
        <v>271</v>
      </c>
      <c r="AI475" s="32">
        <v>0.1</v>
      </c>
      <c r="AJ475" s="32">
        <v>0.1</v>
      </c>
      <c r="AK475" s="219"/>
      <c r="AL475" s="219"/>
      <c r="AM475" s="147">
        <f t="shared" ref="AM475:AM538" si="15">SUM(AK475:AL475)</f>
        <v>0</v>
      </c>
      <c r="AN475" s="10" t="s">
        <v>1233</v>
      </c>
      <c r="AO475" s="18" t="s">
        <v>1650</v>
      </c>
      <c r="AP475" s="10" t="s">
        <v>4309</v>
      </c>
    </row>
    <row r="476" spans="1:42" s="10" customFormat="1" x14ac:dyDescent="0.3">
      <c r="A476" s="213" t="s">
        <v>1444</v>
      </c>
      <c r="B476" s="10" t="s">
        <v>4050</v>
      </c>
      <c r="C476" s="213" t="s">
        <v>1445</v>
      </c>
      <c r="D476" s="10" t="s">
        <v>4052</v>
      </c>
      <c r="E476" s="213" t="s">
        <v>4183</v>
      </c>
      <c r="F476" s="10" t="s">
        <v>4184</v>
      </c>
      <c r="G476" s="213" t="s">
        <v>4300</v>
      </c>
      <c r="H476" s="10" t="s">
        <v>4301</v>
      </c>
      <c r="K476" s="213" t="s">
        <v>4302</v>
      </c>
      <c r="L476" s="10" t="s">
        <v>4303</v>
      </c>
      <c r="M476" s="18"/>
      <c r="N476" s="18"/>
      <c r="O476" s="18"/>
      <c r="P476" s="16"/>
      <c r="Q476" s="16"/>
      <c r="R476" s="16"/>
      <c r="S476" s="16"/>
      <c r="U476" s="283" t="e">
        <v>#N/A</v>
      </c>
      <c r="V476" s="220" t="s">
        <v>4311</v>
      </c>
      <c r="AC476" s="316">
        <v>0</v>
      </c>
      <c r="AD476" s="316">
        <v>0</v>
      </c>
      <c r="AE476" s="302">
        <f t="shared" si="14"/>
        <v>0</v>
      </c>
      <c r="AF476" s="32"/>
      <c r="AG476" s="17">
        <v>0</v>
      </c>
      <c r="AH476" s="32" t="s">
        <v>271</v>
      </c>
      <c r="AI476" s="32">
        <v>0</v>
      </c>
      <c r="AJ476" s="32">
        <v>0</v>
      </c>
      <c r="AK476" s="214">
        <v>0</v>
      </c>
      <c r="AL476" s="214">
        <v>0</v>
      </c>
      <c r="AM476" s="147">
        <f t="shared" si="15"/>
        <v>0</v>
      </c>
      <c r="AN476" s="10" t="s">
        <v>3875</v>
      </c>
      <c r="AO476" s="18" t="s">
        <v>3877</v>
      </c>
      <c r="AP476" s="10" t="s">
        <v>4309</v>
      </c>
    </row>
    <row r="477" spans="1:42" s="10" customFormat="1" x14ac:dyDescent="0.3">
      <c r="A477" s="213" t="s">
        <v>1444</v>
      </c>
      <c r="B477" s="10" t="s">
        <v>4050</v>
      </c>
      <c r="C477" s="213" t="s">
        <v>1445</v>
      </c>
      <c r="D477" s="10" t="s">
        <v>4052</v>
      </c>
      <c r="E477" s="213" t="s">
        <v>4183</v>
      </c>
      <c r="F477" s="10" t="s">
        <v>4184</v>
      </c>
      <c r="G477" s="213" t="s">
        <v>4312</v>
      </c>
      <c r="H477" s="10" t="s">
        <v>4313</v>
      </c>
      <c r="K477" s="213" t="s">
        <v>4314</v>
      </c>
      <c r="L477" s="10" t="s">
        <v>4315</v>
      </c>
      <c r="M477" s="18" t="s">
        <v>4316</v>
      </c>
      <c r="N477" s="18"/>
      <c r="O477" s="18" t="s">
        <v>4317</v>
      </c>
      <c r="P477" s="16" t="s">
        <v>4317</v>
      </c>
      <c r="Q477" s="16" t="s">
        <v>4317</v>
      </c>
      <c r="R477" s="16" t="s">
        <v>4317</v>
      </c>
      <c r="S477" s="16" t="s">
        <v>4317</v>
      </c>
      <c r="T477" s="10" t="s">
        <v>1035</v>
      </c>
      <c r="U477" s="283" t="s">
        <v>1037</v>
      </c>
      <c r="V477" s="10" t="s">
        <v>4318</v>
      </c>
      <c r="W477" s="10">
        <v>1</v>
      </c>
      <c r="X477" s="10">
        <v>0</v>
      </c>
      <c r="Y477" s="10">
        <v>0</v>
      </c>
      <c r="Z477" s="10">
        <v>1</v>
      </c>
      <c r="AA477" s="10">
        <v>1</v>
      </c>
      <c r="AB477" s="10">
        <v>1</v>
      </c>
      <c r="AC477" s="316">
        <v>0</v>
      </c>
      <c r="AD477" s="316">
        <v>1</v>
      </c>
      <c r="AE477" s="302">
        <f t="shared" si="14"/>
        <v>0.625</v>
      </c>
      <c r="AF477" s="32"/>
      <c r="AG477" s="17">
        <v>0</v>
      </c>
      <c r="AH477" s="32">
        <v>0.5</v>
      </c>
      <c r="AI477" s="32">
        <v>2.5</v>
      </c>
      <c r="AJ477" s="32">
        <v>2.5</v>
      </c>
      <c r="AK477" s="214">
        <v>2.5</v>
      </c>
      <c r="AL477" s="214">
        <v>2.5</v>
      </c>
      <c r="AM477" s="147">
        <f t="shared" si="15"/>
        <v>5</v>
      </c>
      <c r="AN477" s="32" t="s">
        <v>4067</v>
      </c>
      <c r="AO477" s="18" t="s">
        <v>1037</v>
      </c>
      <c r="AP477" s="10" t="s">
        <v>4319</v>
      </c>
    </row>
    <row r="478" spans="1:42" s="10" customFormat="1" x14ac:dyDescent="0.3">
      <c r="A478" s="213" t="s">
        <v>1444</v>
      </c>
      <c r="B478" s="10" t="s">
        <v>4050</v>
      </c>
      <c r="C478" s="213" t="s">
        <v>1445</v>
      </c>
      <c r="D478" s="10" t="s">
        <v>4052</v>
      </c>
      <c r="E478" s="213" t="s">
        <v>4183</v>
      </c>
      <c r="F478" s="10" t="s">
        <v>4184</v>
      </c>
      <c r="G478" s="213" t="s">
        <v>4312</v>
      </c>
      <c r="H478" s="10" t="s">
        <v>4313</v>
      </c>
      <c r="K478" s="213" t="s">
        <v>4314</v>
      </c>
      <c r="L478" s="10" t="s">
        <v>4315</v>
      </c>
      <c r="M478" s="18"/>
      <c r="N478" s="18"/>
      <c r="O478" s="18"/>
      <c r="P478" s="16"/>
      <c r="Q478" s="16"/>
      <c r="R478" s="16"/>
      <c r="S478" s="16"/>
      <c r="U478" s="283" t="e">
        <v>#N/A</v>
      </c>
      <c r="V478" s="10" t="s">
        <v>4318</v>
      </c>
      <c r="W478" s="10">
        <v>1</v>
      </c>
      <c r="X478" s="10">
        <v>0</v>
      </c>
      <c r="Y478" s="10">
        <v>0</v>
      </c>
      <c r="Z478" s="10">
        <v>1</v>
      </c>
      <c r="AA478" s="10">
        <v>1</v>
      </c>
      <c r="AB478" s="10">
        <v>1</v>
      </c>
      <c r="AC478" s="316">
        <v>0</v>
      </c>
      <c r="AD478" s="316">
        <v>1</v>
      </c>
      <c r="AE478" s="302">
        <f t="shared" ref="AE478:AE541" si="16">SUM(W478:AD478)/8</f>
        <v>0.625</v>
      </c>
      <c r="AF478" s="32"/>
      <c r="AG478" s="17">
        <v>0</v>
      </c>
      <c r="AH478" s="32" t="s">
        <v>271</v>
      </c>
      <c r="AI478" s="32">
        <v>0</v>
      </c>
      <c r="AJ478" s="32">
        <v>0</v>
      </c>
      <c r="AK478" s="214">
        <v>0</v>
      </c>
      <c r="AL478" s="214">
        <v>0</v>
      </c>
      <c r="AM478" s="147">
        <f t="shared" si="15"/>
        <v>0</v>
      </c>
      <c r="AN478" s="18" t="s">
        <v>407</v>
      </c>
      <c r="AO478" s="18" t="s">
        <v>409</v>
      </c>
      <c r="AP478" s="10" t="s">
        <v>119</v>
      </c>
    </row>
    <row r="479" spans="1:42" s="10" customFormat="1" x14ac:dyDescent="0.3">
      <c r="A479" s="213" t="s">
        <v>1444</v>
      </c>
      <c r="B479" s="10" t="s">
        <v>4050</v>
      </c>
      <c r="C479" s="213" t="s">
        <v>1445</v>
      </c>
      <c r="D479" s="10" t="s">
        <v>4052</v>
      </c>
      <c r="E479" s="213" t="s">
        <v>4183</v>
      </c>
      <c r="F479" s="10" t="s">
        <v>4184</v>
      </c>
      <c r="G479" s="213" t="s">
        <v>4312</v>
      </c>
      <c r="H479" s="10" t="s">
        <v>4313</v>
      </c>
      <c r="K479" s="213" t="s">
        <v>4314</v>
      </c>
      <c r="L479" s="10" t="s">
        <v>4315</v>
      </c>
      <c r="M479" s="18"/>
      <c r="N479" s="18"/>
      <c r="O479" s="18"/>
      <c r="P479" s="16"/>
      <c r="Q479" s="16"/>
      <c r="R479" s="16"/>
      <c r="S479" s="16"/>
      <c r="U479" s="283" t="e">
        <v>#N/A</v>
      </c>
      <c r="V479" s="10" t="s">
        <v>4318</v>
      </c>
      <c r="W479" s="10">
        <v>1</v>
      </c>
      <c r="X479" s="10">
        <v>0</v>
      </c>
      <c r="Y479" s="10">
        <v>0</v>
      </c>
      <c r="Z479" s="10">
        <v>1</v>
      </c>
      <c r="AA479" s="10">
        <v>1</v>
      </c>
      <c r="AB479" s="10">
        <v>1</v>
      </c>
      <c r="AC479" s="316">
        <v>0</v>
      </c>
      <c r="AD479" s="316">
        <v>1</v>
      </c>
      <c r="AE479" s="302">
        <f t="shared" si="16"/>
        <v>0.625</v>
      </c>
      <c r="AF479" s="32"/>
      <c r="AG479" s="17">
        <v>0</v>
      </c>
      <c r="AH479" s="32" t="s">
        <v>271</v>
      </c>
      <c r="AI479" s="32">
        <v>0</v>
      </c>
      <c r="AJ479" s="32">
        <v>0</v>
      </c>
      <c r="AK479" s="214">
        <v>0</v>
      </c>
      <c r="AL479" s="214">
        <v>0</v>
      </c>
      <c r="AM479" s="147">
        <f t="shared" si="15"/>
        <v>0</v>
      </c>
      <c r="AN479" s="10" t="s">
        <v>1167</v>
      </c>
      <c r="AO479" s="18" t="s">
        <v>1170</v>
      </c>
      <c r="AP479" s="10" t="s">
        <v>119</v>
      </c>
    </row>
    <row r="480" spans="1:42" s="10" customFormat="1" x14ac:dyDescent="0.3">
      <c r="A480" s="213" t="s">
        <v>1444</v>
      </c>
      <c r="B480" s="10" t="s">
        <v>4050</v>
      </c>
      <c r="C480" s="213" t="s">
        <v>1445</v>
      </c>
      <c r="D480" s="10" t="s">
        <v>4052</v>
      </c>
      <c r="E480" s="213" t="s">
        <v>4183</v>
      </c>
      <c r="F480" s="10" t="s">
        <v>4184</v>
      </c>
      <c r="G480" s="213" t="s">
        <v>4320</v>
      </c>
      <c r="H480" s="10" t="s">
        <v>4321</v>
      </c>
      <c r="K480" s="213" t="s">
        <v>4322</v>
      </c>
      <c r="L480" s="10" t="s">
        <v>4323</v>
      </c>
      <c r="M480" s="18" t="s">
        <v>4324</v>
      </c>
      <c r="N480" s="18"/>
      <c r="O480" s="18">
        <v>60</v>
      </c>
      <c r="P480" s="16">
        <v>70</v>
      </c>
      <c r="Q480" s="16">
        <v>75</v>
      </c>
      <c r="R480" s="16">
        <v>80</v>
      </c>
      <c r="S480" s="16">
        <v>90</v>
      </c>
      <c r="T480" s="10" t="s">
        <v>1035</v>
      </c>
      <c r="U480" s="283" t="s">
        <v>1037</v>
      </c>
      <c r="V480" s="10" t="s">
        <v>4325</v>
      </c>
      <c r="W480" s="10">
        <v>1</v>
      </c>
      <c r="X480" s="10">
        <v>0</v>
      </c>
      <c r="Y480" s="10">
        <v>0</v>
      </c>
      <c r="Z480" s="10">
        <v>1</v>
      </c>
      <c r="AA480" s="10">
        <v>1</v>
      </c>
      <c r="AB480" s="10">
        <v>1</v>
      </c>
      <c r="AC480" s="316">
        <v>0</v>
      </c>
      <c r="AD480" s="316">
        <v>1</v>
      </c>
      <c r="AE480" s="302">
        <f t="shared" si="16"/>
        <v>0.625</v>
      </c>
      <c r="AF480" s="32"/>
      <c r="AG480" s="17">
        <v>0</v>
      </c>
      <c r="AH480" s="32">
        <v>0.5</v>
      </c>
      <c r="AI480" s="32">
        <v>1.7</v>
      </c>
      <c r="AJ480" s="32">
        <v>1.7</v>
      </c>
      <c r="AK480" s="214">
        <v>1.7</v>
      </c>
      <c r="AL480" s="214">
        <v>1.7</v>
      </c>
      <c r="AM480" s="147">
        <f t="shared" si="15"/>
        <v>3.4</v>
      </c>
      <c r="AN480" s="32" t="s">
        <v>4067</v>
      </c>
      <c r="AO480" s="18" t="s">
        <v>1037</v>
      </c>
      <c r="AP480" s="10" t="s">
        <v>4326</v>
      </c>
    </row>
    <row r="481" spans="1:42" s="10" customFormat="1" x14ac:dyDescent="0.3">
      <c r="A481" s="213" t="s">
        <v>1444</v>
      </c>
      <c r="B481" s="10" t="s">
        <v>4050</v>
      </c>
      <c r="C481" s="213" t="s">
        <v>1445</v>
      </c>
      <c r="D481" s="10" t="s">
        <v>4052</v>
      </c>
      <c r="E481" s="213" t="s">
        <v>4183</v>
      </c>
      <c r="F481" s="10" t="s">
        <v>4184</v>
      </c>
      <c r="G481" s="213" t="s">
        <v>4320</v>
      </c>
      <c r="H481" s="10" t="s">
        <v>4321</v>
      </c>
      <c r="K481" s="213" t="s">
        <v>4322</v>
      </c>
      <c r="L481" s="10" t="s">
        <v>4323</v>
      </c>
      <c r="M481" s="18"/>
      <c r="N481" s="18"/>
      <c r="O481" s="18"/>
      <c r="P481" s="16"/>
      <c r="Q481" s="16"/>
      <c r="R481" s="16"/>
      <c r="S481" s="16"/>
      <c r="U481" s="283" t="e">
        <v>#N/A</v>
      </c>
      <c r="V481" s="10" t="s">
        <v>4325</v>
      </c>
      <c r="W481" s="10">
        <v>1</v>
      </c>
      <c r="X481" s="10">
        <v>0</v>
      </c>
      <c r="Y481" s="10">
        <v>0</v>
      </c>
      <c r="Z481" s="10">
        <v>1</v>
      </c>
      <c r="AA481" s="10">
        <v>1</v>
      </c>
      <c r="AB481" s="10">
        <v>1</v>
      </c>
      <c r="AC481" s="316">
        <v>0</v>
      </c>
      <c r="AD481" s="316">
        <v>1</v>
      </c>
      <c r="AE481" s="302">
        <f t="shared" si="16"/>
        <v>0.625</v>
      </c>
      <c r="AF481" s="32"/>
      <c r="AG481" s="17">
        <v>0</v>
      </c>
      <c r="AH481" s="32" t="s">
        <v>271</v>
      </c>
      <c r="AI481" s="32">
        <v>0</v>
      </c>
      <c r="AJ481" s="32">
        <v>0</v>
      </c>
      <c r="AK481" s="214">
        <v>0</v>
      </c>
      <c r="AL481" s="214">
        <v>0</v>
      </c>
      <c r="AM481" s="147">
        <f t="shared" si="15"/>
        <v>0</v>
      </c>
      <c r="AN481" s="18" t="s">
        <v>771</v>
      </c>
      <c r="AO481" s="18" t="s">
        <v>773</v>
      </c>
      <c r="AP481" s="10" t="s">
        <v>4062</v>
      </c>
    </row>
    <row r="482" spans="1:42" s="10" customFormat="1" x14ac:dyDescent="0.3">
      <c r="A482" s="213" t="s">
        <v>1444</v>
      </c>
      <c r="B482" s="10" t="s">
        <v>4050</v>
      </c>
      <c r="C482" s="213" t="s">
        <v>1445</v>
      </c>
      <c r="D482" s="10" t="s">
        <v>4052</v>
      </c>
      <c r="E482" s="213" t="s">
        <v>4183</v>
      </c>
      <c r="F482" s="10" t="s">
        <v>4184</v>
      </c>
      <c r="G482" s="213" t="s">
        <v>4320</v>
      </c>
      <c r="H482" s="10" t="s">
        <v>4321</v>
      </c>
      <c r="K482" s="213" t="s">
        <v>4322</v>
      </c>
      <c r="L482" s="10" t="s">
        <v>4323</v>
      </c>
      <c r="M482" s="18"/>
      <c r="N482" s="18"/>
      <c r="O482" s="18"/>
      <c r="P482" s="16"/>
      <c r="Q482" s="16"/>
      <c r="R482" s="16"/>
      <c r="S482" s="16"/>
      <c r="U482" s="283" t="e">
        <v>#N/A</v>
      </c>
      <c r="V482" s="10" t="s">
        <v>4325</v>
      </c>
      <c r="W482" s="10">
        <v>1</v>
      </c>
      <c r="X482" s="10">
        <v>0</v>
      </c>
      <c r="Y482" s="10">
        <v>0</v>
      </c>
      <c r="Z482" s="10">
        <v>1</v>
      </c>
      <c r="AA482" s="10">
        <v>1</v>
      </c>
      <c r="AB482" s="10">
        <v>1</v>
      </c>
      <c r="AC482" s="316">
        <v>0</v>
      </c>
      <c r="AD482" s="316">
        <v>1</v>
      </c>
      <c r="AE482" s="302">
        <f t="shared" si="16"/>
        <v>0.625</v>
      </c>
      <c r="AF482" s="32"/>
      <c r="AG482" s="17">
        <v>0</v>
      </c>
      <c r="AH482" s="32" t="s">
        <v>271</v>
      </c>
      <c r="AI482" s="32">
        <v>0</v>
      </c>
      <c r="AJ482" s="32">
        <v>0</v>
      </c>
      <c r="AK482" s="214">
        <v>0</v>
      </c>
      <c r="AL482" s="214">
        <v>0</v>
      </c>
      <c r="AM482" s="147">
        <f t="shared" si="15"/>
        <v>0</v>
      </c>
      <c r="AN482" s="32" t="s">
        <v>3605</v>
      </c>
      <c r="AO482" s="18" t="s">
        <v>4178</v>
      </c>
      <c r="AP482" s="10" t="s">
        <v>119</v>
      </c>
    </row>
    <row r="483" spans="1:42" s="10" customFormat="1" x14ac:dyDescent="0.3">
      <c r="A483" s="213" t="s">
        <v>1444</v>
      </c>
      <c r="B483" s="10" t="s">
        <v>4050</v>
      </c>
      <c r="C483" s="213" t="s">
        <v>1445</v>
      </c>
      <c r="D483" s="10" t="s">
        <v>4052</v>
      </c>
      <c r="E483" s="213" t="s">
        <v>4183</v>
      </c>
      <c r="F483" s="10" t="s">
        <v>4184</v>
      </c>
      <c r="G483" s="213" t="s">
        <v>4320</v>
      </c>
      <c r="H483" s="10" t="s">
        <v>4321</v>
      </c>
      <c r="K483" s="213" t="s">
        <v>4322</v>
      </c>
      <c r="L483" s="10" t="s">
        <v>4323</v>
      </c>
      <c r="M483" s="18"/>
      <c r="N483" s="18"/>
      <c r="O483" s="18"/>
      <c r="P483" s="16"/>
      <c r="Q483" s="16"/>
      <c r="R483" s="16"/>
      <c r="S483" s="16"/>
      <c r="U483" s="283" t="e">
        <v>#N/A</v>
      </c>
      <c r="V483" s="10" t="s">
        <v>4325</v>
      </c>
      <c r="W483" s="10">
        <v>1</v>
      </c>
      <c r="X483" s="10">
        <v>0</v>
      </c>
      <c r="Y483" s="10">
        <v>0</v>
      </c>
      <c r="Z483" s="10">
        <v>1</v>
      </c>
      <c r="AA483" s="10">
        <v>1</v>
      </c>
      <c r="AB483" s="10">
        <v>1</v>
      </c>
      <c r="AC483" s="316">
        <v>0</v>
      </c>
      <c r="AD483" s="316">
        <v>1</v>
      </c>
      <c r="AE483" s="302">
        <f t="shared" si="16"/>
        <v>0.625</v>
      </c>
      <c r="AF483" s="32"/>
      <c r="AG483" s="17">
        <v>0</v>
      </c>
      <c r="AH483" s="32" t="s">
        <v>271</v>
      </c>
      <c r="AI483" s="32">
        <v>0.4</v>
      </c>
      <c r="AJ483" s="32">
        <v>0.6</v>
      </c>
      <c r="AK483" s="214">
        <v>0.8</v>
      </c>
      <c r="AL483" s="214">
        <v>1</v>
      </c>
      <c r="AM483" s="147">
        <f t="shared" si="15"/>
        <v>1.8</v>
      </c>
      <c r="AN483" s="18" t="s">
        <v>255</v>
      </c>
      <c r="AO483" s="18" t="s">
        <v>1045</v>
      </c>
      <c r="AP483" s="10" t="s">
        <v>4327</v>
      </c>
    </row>
    <row r="484" spans="1:42" s="10" customFormat="1" x14ac:dyDescent="0.3">
      <c r="A484" s="213" t="s">
        <v>1444</v>
      </c>
      <c r="B484" s="10" t="s">
        <v>4050</v>
      </c>
      <c r="C484" s="213" t="s">
        <v>1445</v>
      </c>
      <c r="D484" s="10" t="s">
        <v>4052</v>
      </c>
      <c r="E484" s="213" t="s">
        <v>4328</v>
      </c>
      <c r="F484" s="10" t="s">
        <v>4329</v>
      </c>
      <c r="G484" s="213" t="s">
        <v>4330</v>
      </c>
      <c r="H484" s="10" t="s">
        <v>4331</v>
      </c>
      <c r="K484" s="213" t="s">
        <v>4332</v>
      </c>
      <c r="L484" s="10" t="s">
        <v>4333</v>
      </c>
      <c r="M484" s="18" t="s">
        <v>4334</v>
      </c>
      <c r="N484" s="18"/>
      <c r="O484" s="18"/>
      <c r="P484" s="16"/>
      <c r="Q484" s="16"/>
      <c r="R484" s="16"/>
      <c r="S484" s="16"/>
      <c r="U484" s="283" t="e">
        <v>#N/A</v>
      </c>
      <c r="V484" s="10" t="s">
        <v>4335</v>
      </c>
      <c r="W484" s="10">
        <v>1</v>
      </c>
      <c r="X484" s="10">
        <v>1</v>
      </c>
      <c r="Y484" s="10">
        <v>1</v>
      </c>
      <c r="Z484" s="10">
        <v>1</v>
      </c>
      <c r="AA484" s="10">
        <v>1</v>
      </c>
      <c r="AB484" s="10">
        <v>1</v>
      </c>
      <c r="AC484" s="316">
        <v>1</v>
      </c>
      <c r="AD484" s="316">
        <v>1</v>
      </c>
      <c r="AE484" s="302">
        <f t="shared" si="16"/>
        <v>1</v>
      </c>
      <c r="AF484" s="32"/>
      <c r="AG484" s="17">
        <v>0</v>
      </c>
      <c r="AH484" s="32" t="s">
        <v>271</v>
      </c>
      <c r="AI484" s="32">
        <v>0.5</v>
      </c>
      <c r="AJ484" s="32">
        <v>0.5</v>
      </c>
      <c r="AK484" s="214">
        <v>0.5</v>
      </c>
      <c r="AL484" s="214">
        <v>0.5</v>
      </c>
      <c r="AM484" s="147">
        <f t="shared" si="15"/>
        <v>1</v>
      </c>
      <c r="AN484" s="32" t="s">
        <v>1035</v>
      </c>
      <c r="AO484" s="18" t="s">
        <v>1037</v>
      </c>
      <c r="AP484" s="10" t="s">
        <v>4336</v>
      </c>
    </row>
    <row r="485" spans="1:42" s="10" customFormat="1" x14ac:dyDescent="0.3">
      <c r="A485" s="213" t="s">
        <v>1444</v>
      </c>
      <c r="B485" s="10" t="s">
        <v>4050</v>
      </c>
      <c r="C485" s="213" t="s">
        <v>1445</v>
      </c>
      <c r="D485" s="10" t="s">
        <v>4052</v>
      </c>
      <c r="E485" s="213" t="s">
        <v>4328</v>
      </c>
      <c r="F485" s="10" t="s">
        <v>4329</v>
      </c>
      <c r="G485" s="213" t="s">
        <v>4330</v>
      </c>
      <c r="H485" s="10" t="s">
        <v>4331</v>
      </c>
      <c r="K485" s="213" t="s">
        <v>4332</v>
      </c>
      <c r="L485" s="10" t="s">
        <v>4333</v>
      </c>
      <c r="M485" s="18" t="s">
        <v>4337</v>
      </c>
      <c r="N485" s="18"/>
      <c r="O485" s="18"/>
      <c r="P485" s="16"/>
      <c r="Q485" s="16"/>
      <c r="R485" s="16"/>
      <c r="S485" s="16"/>
      <c r="U485" s="283" t="e">
        <v>#N/A</v>
      </c>
      <c r="V485" s="10" t="s">
        <v>4335</v>
      </c>
      <c r="W485" s="10">
        <v>1</v>
      </c>
      <c r="X485" s="10">
        <v>1</v>
      </c>
      <c r="Y485" s="10">
        <v>1</v>
      </c>
      <c r="Z485" s="10">
        <v>1</v>
      </c>
      <c r="AA485" s="10">
        <v>1</v>
      </c>
      <c r="AB485" s="10">
        <v>1</v>
      </c>
      <c r="AC485" s="316">
        <v>1</v>
      </c>
      <c r="AD485" s="316">
        <v>1</v>
      </c>
      <c r="AE485" s="302">
        <f t="shared" si="16"/>
        <v>1</v>
      </c>
      <c r="AF485" s="32"/>
      <c r="AG485" s="17">
        <v>0</v>
      </c>
      <c r="AH485" s="32" t="s">
        <v>271</v>
      </c>
      <c r="AI485" s="32">
        <v>1</v>
      </c>
      <c r="AJ485" s="32">
        <v>1</v>
      </c>
      <c r="AK485" s="214">
        <v>1</v>
      </c>
      <c r="AL485" s="214">
        <v>1</v>
      </c>
      <c r="AM485" s="147">
        <f t="shared" si="15"/>
        <v>2</v>
      </c>
      <c r="AN485" s="176" t="s">
        <v>921</v>
      </c>
      <c r="AO485" s="18" t="s">
        <v>880</v>
      </c>
      <c r="AP485" s="10" t="s">
        <v>4338</v>
      </c>
    </row>
    <row r="486" spans="1:42" s="10" customFormat="1" x14ac:dyDescent="0.3">
      <c r="A486" s="213" t="s">
        <v>1444</v>
      </c>
      <c r="B486" s="10" t="s">
        <v>4050</v>
      </c>
      <c r="C486" s="213" t="s">
        <v>1445</v>
      </c>
      <c r="D486" s="10" t="s">
        <v>4052</v>
      </c>
      <c r="E486" s="213" t="s">
        <v>4328</v>
      </c>
      <c r="F486" s="10" t="s">
        <v>4329</v>
      </c>
      <c r="G486" s="213" t="s">
        <v>4330</v>
      </c>
      <c r="H486" s="10" t="s">
        <v>4331</v>
      </c>
      <c r="K486" s="213" t="s">
        <v>4332</v>
      </c>
      <c r="L486" s="10" t="s">
        <v>4333</v>
      </c>
      <c r="M486" s="18" t="s">
        <v>4339</v>
      </c>
      <c r="N486" s="18"/>
      <c r="O486" s="18"/>
      <c r="P486" s="16"/>
      <c r="Q486" s="16"/>
      <c r="R486" s="16"/>
      <c r="S486" s="16"/>
      <c r="U486" s="283" t="e">
        <v>#N/A</v>
      </c>
      <c r="V486" s="10" t="s">
        <v>4340</v>
      </c>
      <c r="W486" s="10">
        <v>1</v>
      </c>
      <c r="X486" s="10">
        <v>0</v>
      </c>
      <c r="Y486" s="10">
        <v>0</v>
      </c>
      <c r="Z486" s="10">
        <v>1</v>
      </c>
      <c r="AA486" s="10">
        <v>1</v>
      </c>
      <c r="AB486" s="10">
        <v>1</v>
      </c>
      <c r="AC486" s="316">
        <v>0</v>
      </c>
      <c r="AD486" s="316">
        <v>1</v>
      </c>
      <c r="AE486" s="302">
        <f t="shared" si="16"/>
        <v>0.625</v>
      </c>
      <c r="AF486" s="32"/>
      <c r="AG486" s="17">
        <v>0</v>
      </c>
      <c r="AH486" s="32" t="s">
        <v>271</v>
      </c>
      <c r="AI486" s="32">
        <v>0.2</v>
      </c>
      <c r="AJ486" s="32">
        <v>0.2</v>
      </c>
      <c r="AK486" s="214">
        <v>0.2</v>
      </c>
      <c r="AL486" s="214">
        <v>0.2</v>
      </c>
      <c r="AM486" s="147">
        <f t="shared" si="15"/>
        <v>0.4</v>
      </c>
      <c r="AN486" s="32" t="s">
        <v>321</v>
      </c>
      <c r="AO486" s="18" t="s">
        <v>1066</v>
      </c>
      <c r="AP486" s="10" t="s">
        <v>4341</v>
      </c>
    </row>
    <row r="487" spans="1:42" s="10" customFormat="1" x14ac:dyDescent="0.3">
      <c r="A487" s="213" t="s">
        <v>1444</v>
      </c>
      <c r="B487" s="10" t="s">
        <v>4050</v>
      </c>
      <c r="C487" s="213" t="s">
        <v>1445</v>
      </c>
      <c r="D487" s="10" t="s">
        <v>4052</v>
      </c>
      <c r="E487" s="213" t="s">
        <v>4328</v>
      </c>
      <c r="F487" s="10" t="s">
        <v>4329</v>
      </c>
      <c r="G487" s="213" t="s">
        <v>4330</v>
      </c>
      <c r="H487" s="10" t="s">
        <v>4331</v>
      </c>
      <c r="K487" s="213" t="s">
        <v>4332</v>
      </c>
      <c r="L487" s="10" t="s">
        <v>4333</v>
      </c>
      <c r="M487" s="18" t="s">
        <v>4342</v>
      </c>
      <c r="N487" s="18"/>
      <c r="O487" s="18"/>
      <c r="P487" s="16"/>
      <c r="Q487" s="16"/>
      <c r="R487" s="16"/>
      <c r="S487" s="16"/>
      <c r="U487" s="283" t="e">
        <v>#N/A</v>
      </c>
      <c r="V487" s="10" t="s">
        <v>4340</v>
      </c>
      <c r="W487" s="10">
        <v>1</v>
      </c>
      <c r="X487" s="10">
        <v>0</v>
      </c>
      <c r="Y487" s="10">
        <v>0</v>
      </c>
      <c r="Z487" s="10">
        <v>1</v>
      </c>
      <c r="AA487" s="10">
        <v>1</v>
      </c>
      <c r="AB487" s="10">
        <v>1</v>
      </c>
      <c r="AC487" s="316">
        <v>0</v>
      </c>
      <c r="AD487" s="316">
        <v>1</v>
      </c>
      <c r="AE487" s="302">
        <f t="shared" si="16"/>
        <v>0.625</v>
      </c>
      <c r="AF487" s="32"/>
      <c r="AG487" s="17">
        <v>0</v>
      </c>
      <c r="AH487" s="32" t="s">
        <v>271</v>
      </c>
      <c r="AI487" s="32">
        <v>0</v>
      </c>
      <c r="AJ487" s="32">
        <v>0</v>
      </c>
      <c r="AK487" s="214">
        <v>0</v>
      </c>
      <c r="AL487" s="214">
        <v>0</v>
      </c>
      <c r="AM487" s="147">
        <f t="shared" si="15"/>
        <v>0</v>
      </c>
      <c r="AN487" s="10" t="s">
        <v>63</v>
      </c>
      <c r="AO487" s="18" t="s">
        <v>2510</v>
      </c>
      <c r="AP487" s="10" t="s">
        <v>119</v>
      </c>
    </row>
    <row r="488" spans="1:42" s="10" customFormat="1" x14ac:dyDescent="0.3">
      <c r="A488" s="213" t="s">
        <v>1444</v>
      </c>
      <c r="B488" s="10" t="s">
        <v>4050</v>
      </c>
      <c r="C488" s="213" t="s">
        <v>1445</v>
      </c>
      <c r="D488" s="10" t="s">
        <v>4052</v>
      </c>
      <c r="E488" s="213" t="s">
        <v>4328</v>
      </c>
      <c r="F488" s="10" t="s">
        <v>4329</v>
      </c>
      <c r="G488" s="213" t="s">
        <v>4330</v>
      </c>
      <c r="H488" s="10" t="s">
        <v>4331</v>
      </c>
      <c r="K488" s="213" t="s">
        <v>4332</v>
      </c>
      <c r="L488" s="10" t="s">
        <v>4333</v>
      </c>
      <c r="M488" s="18"/>
      <c r="N488" s="18"/>
      <c r="O488" s="18"/>
      <c r="P488" s="16"/>
      <c r="Q488" s="16"/>
      <c r="R488" s="16"/>
      <c r="S488" s="16"/>
      <c r="U488" s="283" t="e">
        <v>#N/A</v>
      </c>
      <c r="V488" s="10" t="s">
        <v>4343</v>
      </c>
      <c r="W488" s="10">
        <v>1</v>
      </c>
      <c r="X488" s="10">
        <v>0</v>
      </c>
      <c r="Y488" s="10">
        <v>0</v>
      </c>
      <c r="Z488" s="10">
        <v>1</v>
      </c>
      <c r="AA488" s="10">
        <v>1</v>
      </c>
      <c r="AB488" s="10">
        <v>1</v>
      </c>
      <c r="AC488" s="316">
        <v>0</v>
      </c>
      <c r="AD488" s="316">
        <v>1</v>
      </c>
      <c r="AE488" s="302">
        <f t="shared" si="16"/>
        <v>0.625</v>
      </c>
      <c r="AF488" s="32"/>
      <c r="AG488" s="17">
        <v>0</v>
      </c>
      <c r="AH488" s="32" t="s">
        <v>271</v>
      </c>
      <c r="AI488" s="32">
        <v>0.2</v>
      </c>
      <c r="AJ488" s="32">
        <v>0.2</v>
      </c>
      <c r="AK488" s="214">
        <v>0.2</v>
      </c>
      <c r="AL488" s="214">
        <v>0.2</v>
      </c>
      <c r="AM488" s="147">
        <f t="shared" si="15"/>
        <v>0.4</v>
      </c>
      <c r="AN488" s="10" t="s">
        <v>265</v>
      </c>
      <c r="AO488" s="18" t="s">
        <v>350</v>
      </c>
      <c r="AP488" s="10" t="s">
        <v>4344</v>
      </c>
    </row>
    <row r="489" spans="1:42" s="10" customFormat="1" x14ac:dyDescent="0.3">
      <c r="A489" s="213" t="s">
        <v>1444</v>
      </c>
      <c r="B489" s="10" t="s">
        <v>4050</v>
      </c>
      <c r="C489" s="213" t="s">
        <v>1445</v>
      </c>
      <c r="D489" s="10" t="s">
        <v>4052</v>
      </c>
      <c r="E489" s="213" t="s">
        <v>4328</v>
      </c>
      <c r="F489" s="10" t="s">
        <v>4329</v>
      </c>
      <c r="G489" s="213" t="s">
        <v>4330</v>
      </c>
      <c r="H489" s="10" t="s">
        <v>4331</v>
      </c>
      <c r="K489" s="213" t="s">
        <v>4332</v>
      </c>
      <c r="L489" s="10" t="s">
        <v>4333</v>
      </c>
      <c r="M489" s="18"/>
      <c r="N489" s="18"/>
      <c r="O489" s="18"/>
      <c r="P489" s="16"/>
      <c r="Q489" s="16"/>
      <c r="R489" s="16"/>
      <c r="S489" s="16"/>
      <c r="U489" s="283" t="e">
        <v>#N/A</v>
      </c>
      <c r="V489" s="10" t="s">
        <v>4343</v>
      </c>
      <c r="W489" s="10">
        <v>1</v>
      </c>
      <c r="X489" s="10">
        <v>0</v>
      </c>
      <c r="Y489" s="10">
        <v>0</v>
      </c>
      <c r="Z489" s="10">
        <v>1</v>
      </c>
      <c r="AA489" s="10">
        <v>1</v>
      </c>
      <c r="AB489" s="10">
        <v>1</v>
      </c>
      <c r="AC489" s="316">
        <v>0</v>
      </c>
      <c r="AD489" s="316">
        <v>1</v>
      </c>
      <c r="AE489" s="302">
        <f t="shared" si="16"/>
        <v>0.625</v>
      </c>
      <c r="AF489" s="32"/>
      <c r="AG489" s="17">
        <v>0</v>
      </c>
      <c r="AH489" s="32" t="s">
        <v>271</v>
      </c>
      <c r="AI489" s="32">
        <v>0.1</v>
      </c>
      <c r="AJ489" s="32">
        <v>0.1</v>
      </c>
      <c r="AK489" s="214">
        <v>0.2</v>
      </c>
      <c r="AL489" s="214">
        <v>0.2</v>
      </c>
      <c r="AM489" s="147">
        <f t="shared" si="15"/>
        <v>0.4</v>
      </c>
      <c r="AN489" s="18" t="s">
        <v>869</v>
      </c>
      <c r="AO489" s="18" t="s">
        <v>871</v>
      </c>
      <c r="AP489" s="10" t="s">
        <v>4345</v>
      </c>
    </row>
    <row r="490" spans="1:42" s="10" customFormat="1" x14ac:dyDescent="0.3">
      <c r="A490" s="213" t="s">
        <v>1444</v>
      </c>
      <c r="B490" s="10" t="s">
        <v>4050</v>
      </c>
      <c r="C490" s="213" t="s">
        <v>1445</v>
      </c>
      <c r="D490" s="10" t="s">
        <v>4052</v>
      </c>
      <c r="E490" s="213" t="s">
        <v>4328</v>
      </c>
      <c r="F490" s="10" t="s">
        <v>4329</v>
      </c>
      <c r="G490" s="213" t="s">
        <v>4346</v>
      </c>
      <c r="H490" s="10" t="s">
        <v>4347</v>
      </c>
      <c r="K490" s="213" t="s">
        <v>4348</v>
      </c>
      <c r="L490" s="10" t="s">
        <v>4349</v>
      </c>
      <c r="M490" s="18" t="s">
        <v>4350</v>
      </c>
      <c r="N490" s="18">
        <v>0</v>
      </c>
      <c r="O490" s="18">
        <v>1</v>
      </c>
      <c r="P490" s="16">
        <v>2</v>
      </c>
      <c r="Q490" s="16">
        <v>3</v>
      </c>
      <c r="R490" s="16">
        <v>3</v>
      </c>
      <c r="S490" s="16">
        <v>4</v>
      </c>
      <c r="T490" s="10" t="s">
        <v>1035</v>
      </c>
      <c r="U490" s="283" t="s">
        <v>1037</v>
      </c>
      <c r="V490" s="10" t="s">
        <v>4351</v>
      </c>
      <c r="W490" s="10">
        <v>1</v>
      </c>
      <c r="X490" s="10">
        <v>0</v>
      </c>
      <c r="Y490" s="10">
        <v>0</v>
      </c>
      <c r="Z490" s="10">
        <v>0</v>
      </c>
      <c r="AA490" s="10">
        <v>1</v>
      </c>
      <c r="AB490" s="10">
        <v>0</v>
      </c>
      <c r="AC490" s="316">
        <v>0</v>
      </c>
      <c r="AD490" s="316">
        <v>1</v>
      </c>
      <c r="AE490" s="302">
        <f t="shared" si="16"/>
        <v>0.375</v>
      </c>
      <c r="AF490" s="32">
        <v>1</v>
      </c>
      <c r="AG490" s="17">
        <v>0</v>
      </c>
      <c r="AH490" s="32">
        <v>1.7</v>
      </c>
      <c r="AI490" s="32">
        <v>10</v>
      </c>
      <c r="AJ490" s="32">
        <v>10</v>
      </c>
      <c r="AK490" s="214">
        <v>1</v>
      </c>
      <c r="AL490" s="214">
        <v>1</v>
      </c>
      <c r="AM490" s="147">
        <f t="shared" si="15"/>
        <v>2</v>
      </c>
      <c r="AN490" s="32" t="s">
        <v>1035</v>
      </c>
      <c r="AO490" s="18" t="s">
        <v>1037</v>
      </c>
      <c r="AP490" s="10" t="s">
        <v>4352</v>
      </c>
    </row>
    <row r="491" spans="1:42" s="10" customFormat="1" x14ac:dyDescent="0.3">
      <c r="A491" s="213" t="s">
        <v>1444</v>
      </c>
      <c r="B491" s="10" t="s">
        <v>4050</v>
      </c>
      <c r="C491" s="213" t="s">
        <v>1445</v>
      </c>
      <c r="D491" s="10" t="s">
        <v>4052</v>
      </c>
      <c r="E491" s="213" t="s">
        <v>4328</v>
      </c>
      <c r="F491" s="10" t="s">
        <v>4329</v>
      </c>
      <c r="G491" s="213" t="s">
        <v>4353</v>
      </c>
      <c r="H491" s="10" t="s">
        <v>4354</v>
      </c>
      <c r="K491" s="213" t="s">
        <v>4355</v>
      </c>
      <c r="L491" s="10" t="s">
        <v>4356</v>
      </c>
      <c r="M491" s="18" t="s">
        <v>4357</v>
      </c>
      <c r="N491" s="18" t="s">
        <v>271</v>
      </c>
      <c r="O491" s="18">
        <v>160</v>
      </c>
      <c r="P491" s="16">
        <v>100</v>
      </c>
      <c r="Q491" s="16">
        <v>35</v>
      </c>
      <c r="R491" s="16">
        <v>100</v>
      </c>
      <c r="S491" s="16">
        <v>73</v>
      </c>
      <c r="T491" s="10" t="s">
        <v>63</v>
      </c>
      <c r="U491" s="283" t="s">
        <v>2510</v>
      </c>
      <c r="V491" s="215" t="s">
        <v>4358</v>
      </c>
      <c r="W491" s="10">
        <v>1</v>
      </c>
      <c r="X491" s="10">
        <v>1</v>
      </c>
      <c r="Y491" s="10">
        <v>1</v>
      </c>
      <c r="Z491" s="10">
        <v>0</v>
      </c>
      <c r="AA491" s="10">
        <v>1</v>
      </c>
      <c r="AB491" s="10">
        <v>0</v>
      </c>
      <c r="AC491" s="316">
        <v>1</v>
      </c>
      <c r="AD491" s="316">
        <v>1</v>
      </c>
      <c r="AE491" s="348">
        <f t="shared" si="16"/>
        <v>0.75</v>
      </c>
      <c r="AF491" s="221"/>
      <c r="AG491" s="17">
        <v>0</v>
      </c>
      <c r="AH491" s="32">
        <v>0</v>
      </c>
      <c r="AI491" s="32">
        <v>0</v>
      </c>
      <c r="AJ491" s="32">
        <v>0</v>
      </c>
      <c r="AK491" s="222">
        <v>66.61</v>
      </c>
      <c r="AL491" s="222">
        <v>134.19999999999999</v>
      </c>
      <c r="AM491" s="147">
        <f t="shared" si="15"/>
        <v>200.81</v>
      </c>
      <c r="AN491" s="215" t="s">
        <v>63</v>
      </c>
      <c r="AO491" s="18" t="s">
        <v>2510</v>
      </c>
      <c r="AP491" s="10" t="s">
        <v>119</v>
      </c>
    </row>
    <row r="492" spans="1:42" s="10" customFormat="1" x14ac:dyDescent="0.3">
      <c r="A492" s="213" t="s">
        <v>1444</v>
      </c>
      <c r="B492" s="10" t="s">
        <v>4050</v>
      </c>
      <c r="C492" s="213" t="s">
        <v>1445</v>
      </c>
      <c r="D492" s="10" t="s">
        <v>4052</v>
      </c>
      <c r="E492" s="213" t="s">
        <v>4328</v>
      </c>
      <c r="F492" s="10" t="s">
        <v>4329</v>
      </c>
      <c r="G492" s="213" t="s">
        <v>4353</v>
      </c>
      <c r="H492" s="10" t="s">
        <v>4354</v>
      </c>
      <c r="K492" s="213" t="s">
        <v>4355</v>
      </c>
      <c r="L492" s="10" t="s">
        <v>4356</v>
      </c>
      <c r="M492" s="18" t="s">
        <v>4359</v>
      </c>
      <c r="N492" s="18" t="s">
        <v>271</v>
      </c>
      <c r="O492" s="18" t="s">
        <v>271</v>
      </c>
      <c r="P492" s="16">
        <v>661</v>
      </c>
      <c r="Q492" s="16">
        <v>379</v>
      </c>
      <c r="R492" s="16" t="s">
        <v>271</v>
      </c>
      <c r="S492" s="16">
        <v>170</v>
      </c>
      <c r="T492" s="10" t="s">
        <v>63</v>
      </c>
      <c r="U492" s="283" t="s">
        <v>2510</v>
      </c>
      <c r="V492" s="10" t="s">
        <v>4358</v>
      </c>
      <c r="W492" s="10">
        <v>1</v>
      </c>
      <c r="X492" s="10">
        <v>1</v>
      </c>
      <c r="Y492" s="10">
        <v>1</v>
      </c>
      <c r="Z492" s="10">
        <v>0</v>
      </c>
      <c r="AA492" s="10">
        <v>1</v>
      </c>
      <c r="AB492" s="10">
        <v>0</v>
      </c>
      <c r="AC492" s="316">
        <v>1</v>
      </c>
      <c r="AD492" s="316">
        <v>1</v>
      </c>
      <c r="AE492" s="302">
        <f t="shared" si="16"/>
        <v>0.75</v>
      </c>
      <c r="AF492" s="32"/>
      <c r="AG492" s="17">
        <v>0</v>
      </c>
      <c r="AH492" s="32" t="s">
        <v>271</v>
      </c>
      <c r="AI492" s="32">
        <v>0</v>
      </c>
      <c r="AJ492" s="32">
        <v>0</v>
      </c>
      <c r="AK492" s="214">
        <v>2</v>
      </c>
      <c r="AL492" s="214">
        <v>5</v>
      </c>
      <c r="AM492" s="147">
        <f t="shared" si="15"/>
        <v>7</v>
      </c>
      <c r="AN492" s="32" t="s">
        <v>1035</v>
      </c>
      <c r="AO492" s="18" t="s">
        <v>1037</v>
      </c>
      <c r="AP492" s="10" t="s">
        <v>119</v>
      </c>
    </row>
    <row r="493" spans="1:42" s="10" customFormat="1" x14ac:dyDescent="0.3">
      <c r="A493" s="213" t="s">
        <v>1444</v>
      </c>
      <c r="B493" s="10" t="s">
        <v>4050</v>
      </c>
      <c r="C493" s="213" t="s">
        <v>1445</v>
      </c>
      <c r="D493" s="10" t="s">
        <v>4052</v>
      </c>
      <c r="E493" s="213" t="s">
        <v>4328</v>
      </c>
      <c r="F493" s="10" t="s">
        <v>4329</v>
      </c>
      <c r="G493" s="213" t="s">
        <v>4353</v>
      </c>
      <c r="H493" s="10" t="s">
        <v>4354</v>
      </c>
      <c r="K493" s="213" t="s">
        <v>4355</v>
      </c>
      <c r="L493" s="10" t="s">
        <v>4356</v>
      </c>
      <c r="M493" s="18" t="s">
        <v>4360</v>
      </c>
      <c r="N493" s="18"/>
      <c r="O493" s="18"/>
      <c r="P493" s="16"/>
      <c r="Q493" s="16"/>
      <c r="R493" s="16"/>
      <c r="S493" s="16"/>
      <c r="U493" s="283" t="e">
        <v>#N/A</v>
      </c>
      <c r="V493" s="215" t="s">
        <v>4361</v>
      </c>
      <c r="W493" s="10">
        <v>1</v>
      </c>
      <c r="X493" s="10">
        <v>1</v>
      </c>
      <c r="Y493" s="10">
        <v>1</v>
      </c>
      <c r="Z493" s="10">
        <v>0</v>
      </c>
      <c r="AA493" s="10">
        <v>1</v>
      </c>
      <c r="AB493" s="10">
        <v>0</v>
      </c>
      <c r="AC493" s="316">
        <v>1</v>
      </c>
      <c r="AD493" s="316">
        <v>1</v>
      </c>
      <c r="AE493" s="348">
        <f t="shared" si="16"/>
        <v>0.75</v>
      </c>
      <c r="AF493" s="221"/>
      <c r="AG493" s="17">
        <v>0</v>
      </c>
      <c r="AH493" s="32">
        <v>453.15444220460415</v>
      </c>
      <c r="AI493" s="32">
        <v>239.11026707156299</v>
      </c>
      <c r="AJ493" s="32">
        <v>267.83397413108082</v>
      </c>
      <c r="AK493" s="222">
        <v>10</v>
      </c>
      <c r="AL493" s="222">
        <v>20</v>
      </c>
      <c r="AM493" s="147">
        <f t="shared" si="15"/>
        <v>30</v>
      </c>
      <c r="AN493" s="10" t="s">
        <v>63</v>
      </c>
      <c r="AO493" s="18" t="s">
        <v>2510</v>
      </c>
      <c r="AP493" s="10" t="s">
        <v>4224</v>
      </c>
    </row>
    <row r="494" spans="1:42" s="10" customFormat="1" x14ac:dyDescent="0.3">
      <c r="A494" s="213" t="s">
        <v>1444</v>
      </c>
      <c r="B494" s="10" t="s">
        <v>4050</v>
      </c>
      <c r="C494" s="213" t="s">
        <v>1445</v>
      </c>
      <c r="D494" s="10" t="s">
        <v>4052</v>
      </c>
      <c r="E494" s="213" t="s">
        <v>4328</v>
      </c>
      <c r="F494" s="10" t="s">
        <v>4329</v>
      </c>
      <c r="G494" s="213" t="s">
        <v>4353</v>
      </c>
      <c r="H494" s="10" t="s">
        <v>4354</v>
      </c>
      <c r="K494" s="213" t="s">
        <v>4355</v>
      </c>
      <c r="L494" s="10" t="s">
        <v>4356</v>
      </c>
      <c r="M494" s="18" t="s">
        <v>4362</v>
      </c>
      <c r="N494" s="18">
        <v>179</v>
      </c>
      <c r="O494" s="18">
        <v>431</v>
      </c>
      <c r="P494" s="16">
        <v>163</v>
      </c>
      <c r="Q494" s="16">
        <v>22</v>
      </c>
      <c r="R494" s="16">
        <v>30</v>
      </c>
      <c r="S494" s="16">
        <v>155</v>
      </c>
      <c r="T494" s="10" t="s">
        <v>1035</v>
      </c>
      <c r="U494" s="283" t="s">
        <v>1037</v>
      </c>
      <c r="V494" s="215" t="s">
        <v>4361</v>
      </c>
      <c r="W494" s="10">
        <v>1</v>
      </c>
      <c r="X494" s="10">
        <v>1</v>
      </c>
      <c r="Y494" s="10">
        <v>1</v>
      </c>
      <c r="Z494" s="10">
        <v>0</v>
      </c>
      <c r="AA494" s="10">
        <v>1</v>
      </c>
      <c r="AB494" s="10">
        <v>0</v>
      </c>
      <c r="AC494" s="316">
        <v>1</v>
      </c>
      <c r="AD494" s="316">
        <v>1</v>
      </c>
      <c r="AE494" s="348">
        <f t="shared" si="16"/>
        <v>0.75</v>
      </c>
      <c r="AF494" s="221"/>
      <c r="AG494" s="17">
        <v>0</v>
      </c>
      <c r="AH494" s="32" t="s">
        <v>271</v>
      </c>
      <c r="AI494" s="32">
        <v>0.3</v>
      </c>
      <c r="AJ494" s="32">
        <v>0.3</v>
      </c>
      <c r="AK494" s="222">
        <v>0.5</v>
      </c>
      <c r="AL494" s="222">
        <v>0.5</v>
      </c>
      <c r="AM494" s="147">
        <f t="shared" si="15"/>
        <v>1</v>
      </c>
      <c r="AN494" s="32" t="s">
        <v>1035</v>
      </c>
      <c r="AO494" s="18" t="s">
        <v>1037</v>
      </c>
      <c r="AP494" s="10" t="s">
        <v>4363</v>
      </c>
    </row>
    <row r="495" spans="1:42" s="10" customFormat="1" x14ac:dyDescent="0.3">
      <c r="A495" s="213" t="s">
        <v>1444</v>
      </c>
      <c r="B495" s="10" t="s">
        <v>4050</v>
      </c>
      <c r="C495" s="213" t="s">
        <v>1445</v>
      </c>
      <c r="D495" s="10" t="s">
        <v>4052</v>
      </c>
      <c r="E495" s="213" t="s">
        <v>4328</v>
      </c>
      <c r="F495" s="10" t="s">
        <v>4329</v>
      </c>
      <c r="G495" s="213" t="s">
        <v>4353</v>
      </c>
      <c r="H495" s="10" t="s">
        <v>4354</v>
      </c>
      <c r="K495" s="213" t="s">
        <v>4355</v>
      </c>
      <c r="L495" s="10" t="s">
        <v>4356</v>
      </c>
      <c r="M495" s="18" t="s">
        <v>4364</v>
      </c>
      <c r="N495" s="18">
        <v>0</v>
      </c>
      <c r="O495" s="18">
        <v>10</v>
      </c>
      <c r="P495" s="16">
        <v>20</v>
      </c>
      <c r="Q495" s="16">
        <v>50</v>
      </c>
      <c r="R495" s="16">
        <v>80</v>
      </c>
      <c r="S495" s="16">
        <v>100</v>
      </c>
      <c r="T495" s="10" t="s">
        <v>1035</v>
      </c>
      <c r="U495" s="283" t="s">
        <v>1037</v>
      </c>
      <c r="V495" s="215" t="s">
        <v>4365</v>
      </c>
      <c r="W495" s="10">
        <v>1</v>
      </c>
      <c r="X495" s="10">
        <v>1</v>
      </c>
      <c r="Y495" s="10">
        <v>1</v>
      </c>
      <c r="Z495" s="10">
        <v>0</v>
      </c>
      <c r="AA495" s="10">
        <v>1</v>
      </c>
      <c r="AB495" s="10">
        <v>0</v>
      </c>
      <c r="AC495" s="316">
        <v>1</v>
      </c>
      <c r="AD495" s="316">
        <v>1</v>
      </c>
      <c r="AE495" s="348">
        <f t="shared" si="16"/>
        <v>0.75</v>
      </c>
      <c r="AF495" s="221"/>
      <c r="AG495" s="17">
        <v>0</v>
      </c>
      <c r="AH495" s="32" t="s">
        <v>271</v>
      </c>
      <c r="AI495" s="32">
        <v>15</v>
      </c>
      <c r="AJ495" s="32">
        <v>15</v>
      </c>
      <c r="AK495" s="222">
        <v>15</v>
      </c>
      <c r="AL495" s="222">
        <v>15</v>
      </c>
      <c r="AM495" s="147">
        <f t="shared" si="15"/>
        <v>30</v>
      </c>
      <c r="AN495" s="32" t="s">
        <v>1035</v>
      </c>
      <c r="AO495" s="18" t="s">
        <v>1037</v>
      </c>
      <c r="AP495" s="10" t="s">
        <v>4363</v>
      </c>
    </row>
    <row r="496" spans="1:42" s="10" customFormat="1" x14ac:dyDescent="0.3">
      <c r="A496" s="213" t="s">
        <v>1444</v>
      </c>
      <c r="B496" s="10" t="s">
        <v>4050</v>
      </c>
      <c r="C496" s="213" t="s">
        <v>1445</v>
      </c>
      <c r="D496" s="10" t="s">
        <v>4052</v>
      </c>
      <c r="E496" s="213" t="s">
        <v>4328</v>
      </c>
      <c r="F496" s="10" t="s">
        <v>4329</v>
      </c>
      <c r="G496" s="213" t="s">
        <v>4353</v>
      </c>
      <c r="H496" s="10" t="s">
        <v>4354</v>
      </c>
      <c r="K496" s="213" t="s">
        <v>4355</v>
      </c>
      <c r="L496" s="10" t="s">
        <v>4356</v>
      </c>
      <c r="M496" s="18" t="s">
        <v>4366</v>
      </c>
      <c r="N496" s="18">
        <v>1</v>
      </c>
      <c r="O496" s="18">
        <v>1</v>
      </c>
      <c r="P496" s="16">
        <v>1</v>
      </c>
      <c r="Q496" s="16">
        <v>1</v>
      </c>
      <c r="R496" s="16">
        <v>1</v>
      </c>
      <c r="S496" s="16">
        <v>1</v>
      </c>
      <c r="T496" s="10" t="s">
        <v>2072</v>
      </c>
      <c r="U496" s="283" t="e">
        <v>#N/A</v>
      </c>
      <c r="V496" s="10" t="s">
        <v>4367</v>
      </c>
      <c r="W496" s="10">
        <v>1</v>
      </c>
      <c r="X496" s="10">
        <v>1</v>
      </c>
      <c r="Y496" s="10">
        <v>1</v>
      </c>
      <c r="Z496" s="10">
        <v>0</v>
      </c>
      <c r="AA496" s="10">
        <v>1</v>
      </c>
      <c r="AB496" s="10">
        <v>0</v>
      </c>
      <c r="AC496" s="316">
        <v>1</v>
      </c>
      <c r="AD496" s="316">
        <v>1</v>
      </c>
      <c r="AE496" s="302">
        <f t="shared" si="16"/>
        <v>0.75</v>
      </c>
      <c r="AF496" s="17"/>
      <c r="AG496" s="17">
        <v>0</v>
      </c>
      <c r="AH496" s="17">
        <v>0</v>
      </c>
      <c r="AI496" s="32">
        <v>4.3499999999999996</v>
      </c>
      <c r="AJ496" s="32">
        <v>4.0999999999999996</v>
      </c>
      <c r="AK496" s="214">
        <v>12</v>
      </c>
      <c r="AL496" s="214">
        <v>12</v>
      </c>
      <c r="AM496" s="147">
        <f t="shared" si="15"/>
        <v>24</v>
      </c>
      <c r="AN496" s="32" t="s">
        <v>1035</v>
      </c>
      <c r="AO496" s="18" t="s">
        <v>1037</v>
      </c>
      <c r="AP496" s="10" t="s">
        <v>4368</v>
      </c>
    </row>
    <row r="497" spans="1:42" s="10" customFormat="1" x14ac:dyDescent="0.3">
      <c r="A497" s="213" t="s">
        <v>1444</v>
      </c>
      <c r="B497" s="10" t="s">
        <v>4050</v>
      </c>
      <c r="C497" s="213" t="s">
        <v>1445</v>
      </c>
      <c r="D497" s="10" t="s">
        <v>4052</v>
      </c>
      <c r="E497" s="213" t="s">
        <v>4328</v>
      </c>
      <c r="F497" s="10" t="s">
        <v>4329</v>
      </c>
      <c r="G497" s="213" t="s">
        <v>4353</v>
      </c>
      <c r="H497" s="10" t="s">
        <v>4354</v>
      </c>
      <c r="K497" s="213" t="s">
        <v>4355</v>
      </c>
      <c r="L497" s="10" t="s">
        <v>4356</v>
      </c>
      <c r="M497" s="18"/>
      <c r="N497" s="18"/>
      <c r="O497" s="18"/>
      <c r="P497" s="16"/>
      <c r="Q497" s="16"/>
      <c r="R497" s="16"/>
      <c r="S497" s="16"/>
      <c r="U497" s="283" t="e">
        <v>#N/A</v>
      </c>
      <c r="V497" s="10" t="s">
        <v>4367</v>
      </c>
      <c r="W497" s="10">
        <v>1</v>
      </c>
      <c r="X497" s="10">
        <v>1</v>
      </c>
      <c r="Y497" s="10">
        <v>1</v>
      </c>
      <c r="Z497" s="10">
        <v>0</v>
      </c>
      <c r="AA497" s="10">
        <v>1</v>
      </c>
      <c r="AB497" s="10">
        <v>0</v>
      </c>
      <c r="AC497" s="316">
        <v>1</v>
      </c>
      <c r="AD497" s="316">
        <v>1</v>
      </c>
      <c r="AE497" s="302">
        <f t="shared" si="16"/>
        <v>0.75</v>
      </c>
      <c r="AF497" s="32"/>
      <c r="AG497" s="17">
        <v>0</v>
      </c>
      <c r="AH497" s="32" t="s">
        <v>271</v>
      </c>
      <c r="AI497" s="32">
        <v>0.2</v>
      </c>
      <c r="AJ497" s="32">
        <v>0.2</v>
      </c>
      <c r="AK497" s="214">
        <v>0.2</v>
      </c>
      <c r="AL497" s="214">
        <v>0.2</v>
      </c>
      <c r="AM497" s="147">
        <f t="shared" si="15"/>
        <v>0.4</v>
      </c>
      <c r="AN497" s="10" t="s">
        <v>63</v>
      </c>
      <c r="AO497" s="18" t="s">
        <v>2510</v>
      </c>
      <c r="AP497" s="10" t="s">
        <v>4368</v>
      </c>
    </row>
    <row r="498" spans="1:42" s="10" customFormat="1" x14ac:dyDescent="0.3">
      <c r="A498" s="213" t="s">
        <v>1444</v>
      </c>
      <c r="B498" s="10" t="s">
        <v>4050</v>
      </c>
      <c r="C498" s="213" t="s">
        <v>1445</v>
      </c>
      <c r="D498" s="10" t="s">
        <v>4052</v>
      </c>
      <c r="E498" s="213" t="s">
        <v>4328</v>
      </c>
      <c r="F498" s="10" t="s">
        <v>4329</v>
      </c>
      <c r="G498" s="213" t="s">
        <v>4353</v>
      </c>
      <c r="H498" s="10" t="s">
        <v>4354</v>
      </c>
      <c r="K498" s="213" t="s">
        <v>4355</v>
      </c>
      <c r="L498" s="10" t="s">
        <v>4356</v>
      </c>
      <c r="M498" s="18"/>
      <c r="N498" s="18"/>
      <c r="O498" s="18"/>
      <c r="P498" s="16"/>
      <c r="Q498" s="16"/>
      <c r="R498" s="16"/>
      <c r="S498" s="16"/>
      <c r="U498" s="283" t="e">
        <v>#N/A</v>
      </c>
      <c r="V498" s="10" t="s">
        <v>4367</v>
      </c>
      <c r="W498" s="10">
        <v>1</v>
      </c>
      <c r="X498" s="10">
        <v>1</v>
      </c>
      <c r="Y498" s="10">
        <v>1</v>
      </c>
      <c r="Z498" s="10">
        <v>0</v>
      </c>
      <c r="AA498" s="10">
        <v>1</v>
      </c>
      <c r="AB498" s="10">
        <v>0</v>
      </c>
      <c r="AC498" s="316">
        <v>1</v>
      </c>
      <c r="AD498" s="316">
        <v>1</v>
      </c>
      <c r="AE498" s="302">
        <f t="shared" si="16"/>
        <v>0.75</v>
      </c>
      <c r="AF498" s="32"/>
      <c r="AG498" s="17">
        <v>0</v>
      </c>
      <c r="AH498" s="32" t="s">
        <v>271</v>
      </c>
      <c r="AI498" s="32">
        <v>0</v>
      </c>
      <c r="AJ498" s="32">
        <v>0</v>
      </c>
      <c r="AK498" s="214">
        <v>0</v>
      </c>
      <c r="AL498" s="214">
        <v>0</v>
      </c>
      <c r="AM498" s="147">
        <f t="shared" si="15"/>
        <v>0</v>
      </c>
      <c r="AN498" s="10" t="s">
        <v>570</v>
      </c>
      <c r="AO498" s="18" t="s">
        <v>2875</v>
      </c>
      <c r="AP498" s="10" t="s">
        <v>4368</v>
      </c>
    </row>
    <row r="499" spans="1:42" s="10" customFormat="1" x14ac:dyDescent="0.3">
      <c r="A499" s="213" t="s">
        <v>1444</v>
      </c>
      <c r="B499" s="10" t="s">
        <v>4050</v>
      </c>
      <c r="C499" s="213" t="s">
        <v>1445</v>
      </c>
      <c r="D499" s="10" t="s">
        <v>4052</v>
      </c>
      <c r="E499" s="213" t="s">
        <v>4328</v>
      </c>
      <c r="F499" s="10" t="s">
        <v>4329</v>
      </c>
      <c r="G499" s="213" t="s">
        <v>4353</v>
      </c>
      <c r="H499" s="10" t="s">
        <v>4354</v>
      </c>
      <c r="K499" s="213" t="s">
        <v>4355</v>
      </c>
      <c r="L499" s="10" t="s">
        <v>4356</v>
      </c>
      <c r="M499" s="18"/>
      <c r="N499" s="18"/>
      <c r="O499" s="18"/>
      <c r="P499" s="16"/>
      <c r="Q499" s="16"/>
      <c r="R499" s="16"/>
      <c r="S499" s="16"/>
      <c r="U499" s="283" t="e">
        <v>#N/A</v>
      </c>
      <c r="V499" s="10" t="s">
        <v>4367</v>
      </c>
      <c r="W499" s="10">
        <v>1</v>
      </c>
      <c r="X499" s="10">
        <v>1</v>
      </c>
      <c r="Y499" s="10">
        <v>1</v>
      </c>
      <c r="Z499" s="10">
        <v>0</v>
      </c>
      <c r="AA499" s="10">
        <v>1</v>
      </c>
      <c r="AB499" s="10">
        <v>0</v>
      </c>
      <c r="AC499" s="316">
        <v>1</v>
      </c>
      <c r="AD499" s="316">
        <v>1</v>
      </c>
      <c r="AE499" s="302">
        <f t="shared" si="16"/>
        <v>0.75</v>
      </c>
      <c r="AF499" s="32"/>
      <c r="AG499" s="17">
        <v>0</v>
      </c>
      <c r="AH499" s="32" t="s">
        <v>271</v>
      </c>
      <c r="AI499" s="32">
        <v>0</v>
      </c>
      <c r="AJ499" s="32">
        <v>0</v>
      </c>
      <c r="AK499" s="214">
        <v>0</v>
      </c>
      <c r="AL499" s="214">
        <v>0</v>
      </c>
      <c r="AM499" s="147">
        <f t="shared" si="15"/>
        <v>0</v>
      </c>
      <c r="AN499" s="10" t="s">
        <v>1233</v>
      </c>
      <c r="AO499" s="18" t="s">
        <v>1650</v>
      </c>
      <c r="AP499" s="10" t="s">
        <v>4368</v>
      </c>
    </row>
    <row r="500" spans="1:42" s="10" customFormat="1" x14ac:dyDescent="0.3">
      <c r="A500" s="213" t="s">
        <v>1444</v>
      </c>
      <c r="B500" s="10" t="s">
        <v>4050</v>
      </c>
      <c r="C500" s="213" t="s">
        <v>1445</v>
      </c>
      <c r="D500" s="10" t="s">
        <v>4052</v>
      </c>
      <c r="E500" s="213" t="s">
        <v>4328</v>
      </c>
      <c r="F500" s="10" t="s">
        <v>4329</v>
      </c>
      <c r="G500" s="213" t="s">
        <v>4353</v>
      </c>
      <c r="H500" s="10" t="s">
        <v>4354</v>
      </c>
      <c r="K500" s="213" t="s">
        <v>4355</v>
      </c>
      <c r="L500" s="10" t="s">
        <v>4356</v>
      </c>
      <c r="M500" s="18"/>
      <c r="N500" s="18"/>
      <c r="O500" s="18"/>
      <c r="P500" s="16"/>
      <c r="Q500" s="16"/>
      <c r="R500" s="16"/>
      <c r="S500" s="16"/>
      <c r="U500" s="283" t="e">
        <v>#N/A</v>
      </c>
      <c r="V500" s="10" t="s">
        <v>4367</v>
      </c>
      <c r="W500" s="10">
        <v>1</v>
      </c>
      <c r="X500" s="10">
        <v>1</v>
      </c>
      <c r="Y500" s="10">
        <v>1</v>
      </c>
      <c r="Z500" s="10">
        <v>0</v>
      </c>
      <c r="AA500" s="10">
        <v>1</v>
      </c>
      <c r="AB500" s="10">
        <v>0</v>
      </c>
      <c r="AC500" s="316">
        <v>1</v>
      </c>
      <c r="AD500" s="316">
        <v>1</v>
      </c>
      <c r="AE500" s="302">
        <f t="shared" si="16"/>
        <v>0.75</v>
      </c>
      <c r="AF500" s="32"/>
      <c r="AG500" s="17">
        <v>0</v>
      </c>
      <c r="AH500" s="32" t="s">
        <v>271</v>
      </c>
      <c r="AI500" s="32">
        <v>0</v>
      </c>
      <c r="AJ500" s="32">
        <v>0</v>
      </c>
      <c r="AK500" s="214">
        <v>0</v>
      </c>
      <c r="AL500" s="214">
        <v>0</v>
      </c>
      <c r="AM500" s="147">
        <f t="shared" si="15"/>
        <v>0</v>
      </c>
      <c r="AN500" s="10" t="s">
        <v>3875</v>
      </c>
      <c r="AO500" s="18" t="s">
        <v>3877</v>
      </c>
      <c r="AP500" s="10" t="s">
        <v>4368</v>
      </c>
    </row>
    <row r="501" spans="1:42" s="10" customFormat="1" x14ac:dyDescent="0.3">
      <c r="A501" s="213" t="s">
        <v>1444</v>
      </c>
      <c r="B501" s="10" t="s">
        <v>4050</v>
      </c>
      <c r="C501" s="213" t="s">
        <v>1445</v>
      </c>
      <c r="D501" s="10" t="s">
        <v>4052</v>
      </c>
      <c r="E501" s="213" t="s">
        <v>4328</v>
      </c>
      <c r="F501" s="10" t="s">
        <v>4329</v>
      </c>
      <c r="G501" s="213" t="s">
        <v>4353</v>
      </c>
      <c r="H501" s="10" t="s">
        <v>4354</v>
      </c>
      <c r="K501" s="213" t="s">
        <v>4355</v>
      </c>
      <c r="L501" s="10" t="s">
        <v>4356</v>
      </c>
      <c r="M501" s="18"/>
      <c r="N501" s="18"/>
      <c r="O501" s="18"/>
      <c r="P501" s="16"/>
      <c r="Q501" s="16"/>
      <c r="R501" s="16"/>
      <c r="S501" s="16"/>
      <c r="U501" s="283" t="e">
        <v>#N/A</v>
      </c>
      <c r="V501" s="10" t="s">
        <v>4367</v>
      </c>
      <c r="W501" s="10">
        <v>1</v>
      </c>
      <c r="X501" s="10">
        <v>1</v>
      </c>
      <c r="Y501" s="10">
        <v>1</v>
      </c>
      <c r="Z501" s="10">
        <v>0</v>
      </c>
      <c r="AA501" s="10">
        <v>1</v>
      </c>
      <c r="AB501" s="10">
        <v>0</v>
      </c>
      <c r="AC501" s="316">
        <v>1</v>
      </c>
      <c r="AD501" s="316">
        <v>1</v>
      </c>
      <c r="AE501" s="302">
        <f t="shared" si="16"/>
        <v>0.75</v>
      </c>
      <c r="AF501" s="32"/>
      <c r="AG501" s="17">
        <v>0</v>
      </c>
      <c r="AH501" s="32" t="s">
        <v>271</v>
      </c>
      <c r="AI501" s="32">
        <v>0</v>
      </c>
      <c r="AJ501" s="32">
        <v>0</v>
      </c>
      <c r="AK501" s="214">
        <v>0</v>
      </c>
      <c r="AL501" s="214">
        <v>0</v>
      </c>
      <c r="AM501" s="147">
        <f t="shared" si="15"/>
        <v>0</v>
      </c>
      <c r="AN501" s="176" t="s">
        <v>921</v>
      </c>
      <c r="AO501" s="18" t="s">
        <v>880</v>
      </c>
      <c r="AP501" s="10" t="s">
        <v>4368</v>
      </c>
    </row>
    <row r="502" spans="1:42" s="10" customFormat="1" x14ac:dyDescent="0.3">
      <c r="A502" s="213" t="s">
        <v>1444</v>
      </c>
      <c r="B502" s="10" t="s">
        <v>4050</v>
      </c>
      <c r="C502" s="213" t="s">
        <v>1445</v>
      </c>
      <c r="D502" s="10" t="s">
        <v>4052</v>
      </c>
      <c r="E502" s="213" t="s">
        <v>4328</v>
      </c>
      <c r="F502" s="10" t="s">
        <v>4329</v>
      </c>
      <c r="G502" s="213" t="s">
        <v>4353</v>
      </c>
      <c r="H502" s="10" t="s">
        <v>4354</v>
      </c>
      <c r="K502" s="213" t="s">
        <v>4355</v>
      </c>
      <c r="L502" s="10" t="s">
        <v>4356</v>
      </c>
      <c r="M502" s="18"/>
      <c r="N502" s="18"/>
      <c r="O502" s="18"/>
      <c r="P502" s="16"/>
      <c r="Q502" s="16"/>
      <c r="R502" s="16"/>
      <c r="S502" s="16"/>
      <c r="U502" s="283" t="e">
        <v>#N/A</v>
      </c>
      <c r="V502" s="10" t="s">
        <v>4369</v>
      </c>
      <c r="W502" s="10">
        <v>1</v>
      </c>
      <c r="X502" s="10">
        <v>1</v>
      </c>
      <c r="Y502" s="10">
        <v>1</v>
      </c>
      <c r="Z502" s="10">
        <v>0</v>
      </c>
      <c r="AA502" s="10">
        <v>1</v>
      </c>
      <c r="AB502" s="10">
        <v>0</v>
      </c>
      <c r="AC502" s="316">
        <v>1</v>
      </c>
      <c r="AD502" s="316">
        <v>1</v>
      </c>
      <c r="AE502" s="302">
        <f t="shared" si="16"/>
        <v>0.75</v>
      </c>
      <c r="AF502" s="32"/>
      <c r="AG502" s="17">
        <v>0</v>
      </c>
      <c r="AH502" s="32" t="s">
        <v>2112</v>
      </c>
      <c r="AI502" s="32">
        <v>0.2</v>
      </c>
      <c r="AJ502" s="32">
        <v>3</v>
      </c>
      <c r="AK502" s="214" t="s">
        <v>3548</v>
      </c>
      <c r="AL502" s="214" t="s">
        <v>3561</v>
      </c>
      <c r="AM502" s="147">
        <f t="shared" si="15"/>
        <v>0</v>
      </c>
      <c r="AN502" s="32" t="s">
        <v>4370</v>
      </c>
      <c r="AO502" s="18" t="s">
        <v>409</v>
      </c>
      <c r="AP502" s="10" t="s">
        <v>4371</v>
      </c>
    </row>
    <row r="503" spans="1:42" s="10" customFormat="1" x14ac:dyDescent="0.3">
      <c r="A503" s="213" t="s">
        <v>1444</v>
      </c>
      <c r="B503" s="10" t="s">
        <v>4050</v>
      </c>
      <c r="C503" s="213" t="s">
        <v>1445</v>
      </c>
      <c r="D503" s="10" t="s">
        <v>4052</v>
      </c>
      <c r="E503" s="213" t="s">
        <v>4328</v>
      </c>
      <c r="F503" s="10" t="s">
        <v>4329</v>
      </c>
      <c r="G503" s="213" t="s">
        <v>4353</v>
      </c>
      <c r="H503" s="10" t="s">
        <v>4354</v>
      </c>
      <c r="K503" s="213" t="s">
        <v>4355</v>
      </c>
      <c r="L503" s="10" t="s">
        <v>4356</v>
      </c>
      <c r="M503" s="18"/>
      <c r="N503" s="18"/>
      <c r="O503" s="18"/>
      <c r="P503" s="16"/>
      <c r="Q503" s="16"/>
      <c r="R503" s="16"/>
      <c r="S503" s="16"/>
      <c r="U503" s="283" t="e">
        <v>#N/A</v>
      </c>
      <c r="V503" s="10" t="s">
        <v>4369</v>
      </c>
      <c r="W503" s="10">
        <v>1</v>
      </c>
      <c r="X503" s="10">
        <v>1</v>
      </c>
      <c r="Y503" s="10">
        <v>1</v>
      </c>
      <c r="Z503" s="10">
        <v>0</v>
      </c>
      <c r="AA503" s="10">
        <v>1</v>
      </c>
      <c r="AB503" s="10">
        <v>0</v>
      </c>
      <c r="AC503" s="316">
        <v>1</v>
      </c>
      <c r="AD503" s="316">
        <v>1</v>
      </c>
      <c r="AE503" s="302">
        <f t="shared" si="16"/>
        <v>0.75</v>
      </c>
      <c r="AF503" s="32"/>
      <c r="AG503" s="17">
        <v>0</v>
      </c>
      <c r="AH503" s="32" t="s">
        <v>271</v>
      </c>
      <c r="AI503" s="32">
        <v>0.1</v>
      </c>
      <c r="AJ503" s="32">
        <v>0.1</v>
      </c>
      <c r="AK503" s="214">
        <v>0.2</v>
      </c>
      <c r="AL503" s="214">
        <v>0.2</v>
      </c>
      <c r="AM503" s="147">
        <f t="shared" si="15"/>
        <v>0.4</v>
      </c>
      <c r="AN503" s="32" t="s">
        <v>4067</v>
      </c>
      <c r="AO503" s="18" t="s">
        <v>1037</v>
      </c>
      <c r="AP503" s="10" t="s">
        <v>4371</v>
      </c>
    </row>
    <row r="504" spans="1:42" s="10" customFormat="1" x14ac:dyDescent="0.3">
      <c r="A504" s="213" t="s">
        <v>1444</v>
      </c>
      <c r="B504" s="10" t="s">
        <v>4050</v>
      </c>
      <c r="C504" s="213" t="s">
        <v>1445</v>
      </c>
      <c r="D504" s="10" t="s">
        <v>4052</v>
      </c>
      <c r="E504" s="213" t="s">
        <v>4328</v>
      </c>
      <c r="F504" s="10" t="s">
        <v>4329</v>
      </c>
      <c r="G504" s="213" t="s">
        <v>4353</v>
      </c>
      <c r="H504" s="10" t="s">
        <v>4354</v>
      </c>
      <c r="K504" s="213" t="s">
        <v>4355</v>
      </c>
      <c r="L504" s="10" t="s">
        <v>4356</v>
      </c>
      <c r="M504" s="18"/>
      <c r="N504" s="18"/>
      <c r="O504" s="18"/>
      <c r="P504" s="16"/>
      <c r="Q504" s="16"/>
      <c r="R504" s="16"/>
      <c r="S504" s="16"/>
      <c r="U504" s="283" t="e">
        <v>#N/A</v>
      </c>
      <c r="V504" s="10" t="s">
        <v>4372</v>
      </c>
      <c r="W504" s="10">
        <v>1</v>
      </c>
      <c r="X504" s="10">
        <v>1</v>
      </c>
      <c r="Y504" s="10">
        <v>1</v>
      </c>
      <c r="Z504" s="10">
        <v>0</v>
      </c>
      <c r="AA504" s="10">
        <v>1</v>
      </c>
      <c r="AB504" s="10">
        <v>0</v>
      </c>
      <c r="AC504" s="316">
        <v>1</v>
      </c>
      <c r="AD504" s="316">
        <v>1</v>
      </c>
      <c r="AE504" s="302">
        <f t="shared" si="16"/>
        <v>0.75</v>
      </c>
      <c r="AF504" s="32"/>
      <c r="AG504" s="17">
        <v>0</v>
      </c>
      <c r="AH504" s="32" t="s">
        <v>271</v>
      </c>
      <c r="AI504" s="32">
        <v>1.5</v>
      </c>
      <c r="AJ504" s="32">
        <v>3</v>
      </c>
      <c r="AK504" s="214">
        <v>5</v>
      </c>
      <c r="AL504" s="214">
        <v>5</v>
      </c>
      <c r="AM504" s="147">
        <f t="shared" si="15"/>
        <v>10</v>
      </c>
      <c r="AN504" s="10" t="s">
        <v>239</v>
      </c>
      <c r="AO504" s="18" t="s">
        <v>241</v>
      </c>
      <c r="AP504" s="10" t="s">
        <v>4373</v>
      </c>
    </row>
    <row r="505" spans="1:42" s="10" customFormat="1" x14ac:dyDescent="0.3">
      <c r="A505" s="213" t="s">
        <v>1444</v>
      </c>
      <c r="B505" s="10" t="s">
        <v>4050</v>
      </c>
      <c r="C505" s="213" t="s">
        <v>1445</v>
      </c>
      <c r="D505" s="10" t="s">
        <v>4052</v>
      </c>
      <c r="E505" s="213" t="s">
        <v>4328</v>
      </c>
      <c r="F505" s="10" t="s">
        <v>4329</v>
      </c>
      <c r="G505" s="213" t="s">
        <v>4353</v>
      </c>
      <c r="H505" s="10" t="s">
        <v>4354</v>
      </c>
      <c r="K505" s="213" t="s">
        <v>4355</v>
      </c>
      <c r="L505" s="10" t="s">
        <v>4356</v>
      </c>
      <c r="M505" s="18"/>
      <c r="N505" s="18"/>
      <c r="O505" s="18"/>
      <c r="P505" s="16"/>
      <c r="Q505" s="16"/>
      <c r="R505" s="16"/>
      <c r="S505" s="16"/>
      <c r="U505" s="283" t="e">
        <v>#N/A</v>
      </c>
      <c r="V505" s="10" t="s">
        <v>4372</v>
      </c>
      <c r="W505" s="10">
        <v>1</v>
      </c>
      <c r="X505" s="10">
        <v>1</v>
      </c>
      <c r="Y505" s="10">
        <v>1</v>
      </c>
      <c r="Z505" s="10">
        <v>0</v>
      </c>
      <c r="AA505" s="10">
        <v>1</v>
      </c>
      <c r="AB505" s="10">
        <v>0</v>
      </c>
      <c r="AC505" s="316">
        <v>1</v>
      </c>
      <c r="AD505" s="316">
        <v>1</v>
      </c>
      <c r="AE505" s="302">
        <f t="shared" si="16"/>
        <v>0.75</v>
      </c>
      <c r="AF505" s="32"/>
      <c r="AG505" s="17">
        <v>0</v>
      </c>
      <c r="AH505" s="32" t="s">
        <v>271</v>
      </c>
      <c r="AI505" s="32">
        <v>0</v>
      </c>
      <c r="AJ505" s="32">
        <v>0</v>
      </c>
      <c r="AK505" s="214">
        <v>1</v>
      </c>
      <c r="AL505" s="214">
        <v>1</v>
      </c>
      <c r="AM505" s="147">
        <f t="shared" si="15"/>
        <v>2</v>
      </c>
      <c r="AN505" s="32" t="s">
        <v>4067</v>
      </c>
      <c r="AO505" s="18" t="s">
        <v>1037</v>
      </c>
      <c r="AP505" s="10" t="s">
        <v>119</v>
      </c>
    </row>
    <row r="506" spans="1:42" s="10" customFormat="1" x14ac:dyDescent="0.3">
      <c r="A506" s="213" t="s">
        <v>1444</v>
      </c>
      <c r="B506" s="10" t="s">
        <v>4050</v>
      </c>
      <c r="C506" s="213" t="s">
        <v>1445</v>
      </c>
      <c r="D506" s="10" t="s">
        <v>4052</v>
      </c>
      <c r="E506" s="213" t="s">
        <v>4328</v>
      </c>
      <c r="F506" s="10" t="s">
        <v>4329</v>
      </c>
      <c r="G506" s="213" t="s">
        <v>4353</v>
      </c>
      <c r="H506" s="10" t="s">
        <v>4354</v>
      </c>
      <c r="K506" s="213" t="s">
        <v>4355</v>
      </c>
      <c r="L506" s="10" t="s">
        <v>4356</v>
      </c>
      <c r="M506" s="18" t="s">
        <v>4374</v>
      </c>
      <c r="N506" s="18"/>
      <c r="O506" s="18"/>
      <c r="P506" s="16"/>
      <c r="Q506" s="16"/>
      <c r="R506" s="16"/>
      <c r="S506" s="16"/>
      <c r="U506" s="283" t="e">
        <v>#N/A</v>
      </c>
      <c r="V506" s="10" t="s">
        <v>4375</v>
      </c>
      <c r="W506" s="10">
        <v>1</v>
      </c>
      <c r="X506" s="10">
        <v>1</v>
      </c>
      <c r="Y506" s="10">
        <v>0</v>
      </c>
      <c r="Z506" s="10">
        <v>0</v>
      </c>
      <c r="AA506" s="10">
        <v>0</v>
      </c>
      <c r="AB506" s="10">
        <v>1</v>
      </c>
      <c r="AC506" s="316">
        <v>0</v>
      </c>
      <c r="AD506" s="316">
        <v>1</v>
      </c>
      <c r="AE506" s="302">
        <f t="shared" si="16"/>
        <v>0.5</v>
      </c>
      <c r="AF506" s="32"/>
      <c r="AG506" s="17">
        <v>0</v>
      </c>
      <c r="AH506" s="32" t="s">
        <v>271</v>
      </c>
      <c r="AI506" s="32">
        <v>0.05</v>
      </c>
      <c r="AJ506" s="32">
        <v>0.1</v>
      </c>
      <c r="AK506" s="214">
        <v>0.1</v>
      </c>
      <c r="AL506" s="214">
        <v>0.1</v>
      </c>
      <c r="AM506" s="147">
        <f t="shared" si="15"/>
        <v>0.2</v>
      </c>
      <c r="AN506" s="32" t="s">
        <v>1233</v>
      </c>
      <c r="AO506" s="18" t="s">
        <v>1650</v>
      </c>
      <c r="AP506" s="10" t="s">
        <v>4376</v>
      </c>
    </row>
    <row r="507" spans="1:42" s="10" customFormat="1" x14ac:dyDescent="0.3">
      <c r="A507" s="213" t="s">
        <v>1444</v>
      </c>
      <c r="B507" s="10" t="s">
        <v>4050</v>
      </c>
      <c r="C507" s="213" t="s">
        <v>1445</v>
      </c>
      <c r="D507" s="10" t="s">
        <v>4052</v>
      </c>
      <c r="E507" s="213" t="s">
        <v>4328</v>
      </c>
      <c r="F507" s="10" t="s">
        <v>4329</v>
      </c>
      <c r="G507" s="213" t="s">
        <v>4377</v>
      </c>
      <c r="H507" s="10" t="s">
        <v>4378</v>
      </c>
      <c r="K507" s="213" t="s">
        <v>4379</v>
      </c>
      <c r="L507" s="10" t="s">
        <v>4380</v>
      </c>
      <c r="M507" s="18" t="s">
        <v>4381</v>
      </c>
      <c r="N507" s="18">
        <v>0</v>
      </c>
      <c r="O507" s="18">
        <v>20</v>
      </c>
      <c r="P507" s="16">
        <v>30</v>
      </c>
      <c r="Q507" s="16">
        <v>50</v>
      </c>
      <c r="R507" s="16">
        <v>70</v>
      </c>
      <c r="S507" s="16">
        <v>100</v>
      </c>
      <c r="T507" s="10" t="s">
        <v>1035</v>
      </c>
      <c r="U507" s="283" t="s">
        <v>1037</v>
      </c>
      <c r="V507" s="10" t="s">
        <v>4382</v>
      </c>
      <c r="W507" s="10">
        <v>1</v>
      </c>
      <c r="X507" s="10">
        <v>0</v>
      </c>
      <c r="Y507" s="10">
        <v>0</v>
      </c>
      <c r="Z507" s="10">
        <v>0</v>
      </c>
      <c r="AA507" s="10">
        <v>1</v>
      </c>
      <c r="AB507" s="10">
        <v>0</v>
      </c>
      <c r="AC507" s="316">
        <v>1</v>
      </c>
      <c r="AD507" s="316">
        <v>1</v>
      </c>
      <c r="AE507" s="302">
        <f t="shared" si="16"/>
        <v>0.5</v>
      </c>
      <c r="AF507" s="32"/>
      <c r="AG507" s="17">
        <v>0</v>
      </c>
      <c r="AH507" s="32">
        <v>3.25</v>
      </c>
      <c r="AI507" s="32">
        <v>15</v>
      </c>
      <c r="AJ507" s="32">
        <v>100</v>
      </c>
      <c r="AK507" s="214">
        <v>10</v>
      </c>
      <c r="AL507" s="214">
        <v>10</v>
      </c>
      <c r="AM507" s="147">
        <f t="shared" si="15"/>
        <v>20</v>
      </c>
      <c r="AN507" s="32" t="s">
        <v>4067</v>
      </c>
      <c r="AO507" s="18" t="s">
        <v>1037</v>
      </c>
      <c r="AP507" s="10" t="s">
        <v>4383</v>
      </c>
    </row>
    <row r="508" spans="1:42" s="10" customFormat="1" x14ac:dyDescent="0.3">
      <c r="A508" s="213" t="s">
        <v>1444</v>
      </c>
      <c r="B508" s="10" t="s">
        <v>4050</v>
      </c>
      <c r="C508" s="213" t="s">
        <v>1445</v>
      </c>
      <c r="D508" s="10" t="s">
        <v>4052</v>
      </c>
      <c r="E508" s="213" t="s">
        <v>4328</v>
      </c>
      <c r="F508" s="10" t="s">
        <v>4329</v>
      </c>
      <c r="G508" s="213" t="s">
        <v>4377</v>
      </c>
      <c r="H508" s="10" t="s">
        <v>4378</v>
      </c>
      <c r="K508" s="213" t="s">
        <v>4379</v>
      </c>
      <c r="L508" s="10" t="s">
        <v>4380</v>
      </c>
      <c r="M508" s="18"/>
      <c r="N508" s="18"/>
      <c r="O508" s="18"/>
      <c r="P508" s="16"/>
      <c r="Q508" s="16"/>
      <c r="R508" s="16"/>
      <c r="S508" s="16"/>
      <c r="U508" s="283" t="e">
        <v>#N/A</v>
      </c>
      <c r="V508" s="10" t="s">
        <v>4382</v>
      </c>
      <c r="W508" s="10">
        <v>1</v>
      </c>
      <c r="X508" s="10">
        <v>0</v>
      </c>
      <c r="Y508" s="10">
        <v>0</v>
      </c>
      <c r="Z508" s="10">
        <v>0</v>
      </c>
      <c r="AA508" s="10">
        <v>1</v>
      </c>
      <c r="AB508" s="10">
        <v>0</v>
      </c>
      <c r="AC508" s="316">
        <v>1</v>
      </c>
      <c r="AD508" s="316">
        <v>1</v>
      </c>
      <c r="AE508" s="302">
        <f t="shared" si="16"/>
        <v>0.5</v>
      </c>
      <c r="AF508" s="32"/>
      <c r="AG508" s="17">
        <v>0</v>
      </c>
      <c r="AH508" s="32" t="s">
        <v>271</v>
      </c>
      <c r="AI508" s="32">
        <v>0</v>
      </c>
      <c r="AJ508" s="32">
        <v>0</v>
      </c>
      <c r="AK508" s="214">
        <v>0</v>
      </c>
      <c r="AL508" s="214">
        <v>0</v>
      </c>
      <c r="AM508" s="147">
        <f t="shared" si="15"/>
        <v>0</v>
      </c>
      <c r="AN508" s="18" t="s">
        <v>101</v>
      </c>
      <c r="AO508" s="18" t="s">
        <v>103</v>
      </c>
      <c r="AP508" s="10" t="s">
        <v>119</v>
      </c>
    </row>
    <row r="509" spans="1:42" s="10" customFormat="1" x14ac:dyDescent="0.3">
      <c r="A509" s="213" t="s">
        <v>1444</v>
      </c>
      <c r="B509" s="10" t="s">
        <v>4050</v>
      </c>
      <c r="C509" s="213" t="s">
        <v>1445</v>
      </c>
      <c r="D509" s="10" t="s">
        <v>4052</v>
      </c>
      <c r="E509" s="213" t="s">
        <v>4328</v>
      </c>
      <c r="F509" s="10" t="s">
        <v>4329</v>
      </c>
      <c r="G509" s="213" t="s">
        <v>4377</v>
      </c>
      <c r="H509" s="10" t="s">
        <v>4378</v>
      </c>
      <c r="K509" s="213" t="s">
        <v>4379</v>
      </c>
      <c r="L509" s="10" t="s">
        <v>4380</v>
      </c>
      <c r="M509" s="18"/>
      <c r="N509" s="18"/>
      <c r="O509" s="18"/>
      <c r="P509" s="16"/>
      <c r="Q509" s="16"/>
      <c r="R509" s="16"/>
      <c r="S509" s="16"/>
      <c r="U509" s="283" t="e">
        <v>#N/A</v>
      </c>
      <c r="V509" s="10" t="s">
        <v>4382</v>
      </c>
      <c r="W509" s="10">
        <v>1</v>
      </c>
      <c r="X509" s="10">
        <v>0</v>
      </c>
      <c r="Y509" s="10">
        <v>0</v>
      </c>
      <c r="Z509" s="10">
        <v>0</v>
      </c>
      <c r="AA509" s="10">
        <v>1</v>
      </c>
      <c r="AB509" s="10">
        <v>0</v>
      </c>
      <c r="AC509" s="316">
        <v>1</v>
      </c>
      <c r="AD509" s="316">
        <v>1</v>
      </c>
      <c r="AE509" s="302">
        <f t="shared" si="16"/>
        <v>0.5</v>
      </c>
      <c r="AF509" s="32"/>
      <c r="AG509" s="17">
        <v>0</v>
      </c>
      <c r="AH509" s="32" t="s">
        <v>271</v>
      </c>
      <c r="AI509" s="32">
        <v>0</v>
      </c>
      <c r="AJ509" s="32">
        <v>0</v>
      </c>
      <c r="AK509" s="214">
        <v>0</v>
      </c>
      <c r="AL509" s="214">
        <v>0</v>
      </c>
      <c r="AM509" s="147">
        <f t="shared" si="15"/>
        <v>0</v>
      </c>
      <c r="AN509" s="10" t="s">
        <v>723</v>
      </c>
      <c r="AO509" s="18" t="s">
        <v>729</v>
      </c>
      <c r="AP509" s="10" t="s">
        <v>119</v>
      </c>
    </row>
    <row r="510" spans="1:42" s="10" customFormat="1" x14ac:dyDescent="0.3">
      <c r="A510" s="213" t="s">
        <v>1444</v>
      </c>
      <c r="B510" s="10" t="s">
        <v>4050</v>
      </c>
      <c r="C510" s="213" t="s">
        <v>1445</v>
      </c>
      <c r="D510" s="10" t="s">
        <v>4052</v>
      </c>
      <c r="E510" s="213" t="s">
        <v>4328</v>
      </c>
      <c r="F510" s="10" t="s">
        <v>4329</v>
      </c>
      <c r="G510" s="213" t="s">
        <v>4377</v>
      </c>
      <c r="H510" s="10" t="s">
        <v>4378</v>
      </c>
      <c r="K510" s="213" t="s">
        <v>4379</v>
      </c>
      <c r="L510" s="10" t="s">
        <v>4380</v>
      </c>
      <c r="M510" s="18"/>
      <c r="N510" s="18"/>
      <c r="O510" s="18"/>
      <c r="P510" s="16"/>
      <c r="Q510" s="16"/>
      <c r="R510" s="16"/>
      <c r="S510" s="16"/>
      <c r="U510" s="283" t="e">
        <v>#N/A</v>
      </c>
      <c r="V510" s="10" t="s">
        <v>4384</v>
      </c>
      <c r="W510" s="10">
        <v>1</v>
      </c>
      <c r="X510" s="10">
        <v>0</v>
      </c>
      <c r="Y510" s="10">
        <v>0</v>
      </c>
      <c r="Z510" s="10">
        <v>1</v>
      </c>
      <c r="AA510" s="10">
        <v>1</v>
      </c>
      <c r="AB510" s="10">
        <v>1</v>
      </c>
      <c r="AC510" s="316">
        <v>0</v>
      </c>
      <c r="AD510" s="316">
        <v>1</v>
      </c>
      <c r="AE510" s="302">
        <f t="shared" si="16"/>
        <v>0.625</v>
      </c>
      <c r="AF510" s="32"/>
      <c r="AG510" s="17">
        <v>0</v>
      </c>
      <c r="AH510" s="32" t="s">
        <v>271</v>
      </c>
      <c r="AI510" s="32">
        <v>1.5</v>
      </c>
      <c r="AJ510" s="32">
        <v>0.2</v>
      </c>
      <c r="AK510" s="214">
        <v>0.2</v>
      </c>
      <c r="AL510" s="214">
        <v>0.2</v>
      </c>
      <c r="AM510" s="147">
        <f t="shared" si="15"/>
        <v>0.4</v>
      </c>
      <c r="AN510" s="10" t="s">
        <v>4385</v>
      </c>
      <c r="AO510" s="18" t="s">
        <v>103</v>
      </c>
      <c r="AP510" s="10" t="s">
        <v>4386</v>
      </c>
    </row>
    <row r="511" spans="1:42" s="10" customFormat="1" x14ac:dyDescent="0.3">
      <c r="A511" s="213" t="s">
        <v>1444</v>
      </c>
      <c r="B511" s="10" t="s">
        <v>4050</v>
      </c>
      <c r="C511" s="213" t="s">
        <v>1445</v>
      </c>
      <c r="D511" s="10" t="s">
        <v>4052</v>
      </c>
      <c r="E511" s="213" t="s">
        <v>4328</v>
      </c>
      <c r="F511" s="10" t="s">
        <v>4329</v>
      </c>
      <c r="G511" s="213" t="s">
        <v>4377</v>
      </c>
      <c r="H511" s="10" t="s">
        <v>4378</v>
      </c>
      <c r="K511" s="213" t="s">
        <v>4379</v>
      </c>
      <c r="L511" s="10" t="s">
        <v>4380</v>
      </c>
      <c r="M511" s="18"/>
      <c r="N511" s="18"/>
      <c r="O511" s="18"/>
      <c r="P511" s="16"/>
      <c r="Q511" s="16"/>
      <c r="R511" s="16"/>
      <c r="S511" s="16"/>
      <c r="U511" s="283" t="e">
        <v>#N/A</v>
      </c>
      <c r="V511" s="10" t="s">
        <v>4384</v>
      </c>
      <c r="W511" s="10">
        <v>1</v>
      </c>
      <c r="X511" s="10">
        <v>0</v>
      </c>
      <c r="Y511" s="10">
        <v>0</v>
      </c>
      <c r="Z511" s="10">
        <v>1</v>
      </c>
      <c r="AA511" s="10">
        <v>1</v>
      </c>
      <c r="AB511" s="10">
        <v>1</v>
      </c>
      <c r="AC511" s="316">
        <v>0</v>
      </c>
      <c r="AD511" s="316">
        <v>1</v>
      </c>
      <c r="AE511" s="302">
        <f t="shared" si="16"/>
        <v>0.625</v>
      </c>
      <c r="AF511" s="32"/>
      <c r="AG511" s="17">
        <v>0</v>
      </c>
      <c r="AH511" s="32" t="s">
        <v>271</v>
      </c>
      <c r="AI511" s="32">
        <v>0</v>
      </c>
      <c r="AJ511" s="32">
        <v>0</v>
      </c>
      <c r="AK511" s="214">
        <v>0.1</v>
      </c>
      <c r="AL511" s="214">
        <v>0.1</v>
      </c>
      <c r="AM511" s="147">
        <f t="shared" si="15"/>
        <v>0.2</v>
      </c>
      <c r="AN511" s="32" t="s">
        <v>4067</v>
      </c>
      <c r="AO511" s="18" t="s">
        <v>1037</v>
      </c>
      <c r="AP511" s="10" t="s">
        <v>119</v>
      </c>
    </row>
    <row r="512" spans="1:42" s="10" customFormat="1" x14ac:dyDescent="0.3">
      <c r="A512" s="213" t="s">
        <v>1444</v>
      </c>
      <c r="B512" s="10" t="s">
        <v>4050</v>
      </c>
      <c r="C512" s="213" t="s">
        <v>1445</v>
      </c>
      <c r="D512" s="10" t="s">
        <v>4052</v>
      </c>
      <c r="E512" s="213" t="s">
        <v>4328</v>
      </c>
      <c r="F512" s="10" t="s">
        <v>4329</v>
      </c>
      <c r="G512" s="213" t="s">
        <v>4387</v>
      </c>
      <c r="H512" s="10" t="s">
        <v>4388</v>
      </c>
      <c r="K512" s="213" t="s">
        <v>4389</v>
      </c>
      <c r="L512" s="10" t="s">
        <v>4390</v>
      </c>
      <c r="M512" s="18" t="s">
        <v>4391</v>
      </c>
      <c r="N512" s="18">
        <v>10</v>
      </c>
      <c r="O512" s="18">
        <v>10</v>
      </c>
      <c r="P512" s="16">
        <v>12.5</v>
      </c>
      <c r="Q512" s="16">
        <v>20</v>
      </c>
      <c r="R512" s="16">
        <v>31.25</v>
      </c>
      <c r="S512" s="16">
        <v>41.25</v>
      </c>
      <c r="T512" s="10" t="s">
        <v>1035</v>
      </c>
      <c r="U512" s="283" t="s">
        <v>1037</v>
      </c>
      <c r="V512" s="10" t="s">
        <v>4392</v>
      </c>
      <c r="W512" s="10">
        <v>1</v>
      </c>
      <c r="X512" s="10">
        <v>0</v>
      </c>
      <c r="Y512" s="10">
        <v>0</v>
      </c>
      <c r="Z512" s="10">
        <v>1</v>
      </c>
      <c r="AA512" s="10">
        <v>1</v>
      </c>
      <c r="AB512" s="10">
        <v>1</v>
      </c>
      <c r="AC512" s="316">
        <v>0</v>
      </c>
      <c r="AD512" s="316">
        <v>1</v>
      </c>
      <c r="AE512" s="302">
        <f t="shared" si="16"/>
        <v>0.625</v>
      </c>
      <c r="AF512" s="32">
        <v>1</v>
      </c>
      <c r="AG512" s="17">
        <v>0</v>
      </c>
      <c r="AH512" s="32" t="s">
        <v>271</v>
      </c>
      <c r="AI512" s="32">
        <v>0.5</v>
      </c>
      <c r="AJ512" s="32">
        <v>0.1</v>
      </c>
      <c r="AK512" s="214">
        <v>0.1</v>
      </c>
      <c r="AL512" s="214">
        <v>0.1</v>
      </c>
      <c r="AM512" s="147">
        <f t="shared" si="15"/>
        <v>0.2</v>
      </c>
      <c r="AN512" s="32" t="s">
        <v>4067</v>
      </c>
      <c r="AO512" s="18" t="s">
        <v>1037</v>
      </c>
      <c r="AP512" s="10" t="s">
        <v>4393</v>
      </c>
    </row>
    <row r="513" spans="1:42" s="10" customFormat="1" x14ac:dyDescent="0.3">
      <c r="A513" s="213" t="s">
        <v>1444</v>
      </c>
      <c r="B513" s="10" t="s">
        <v>4050</v>
      </c>
      <c r="C513" s="213" t="s">
        <v>1445</v>
      </c>
      <c r="D513" s="10" t="s">
        <v>4052</v>
      </c>
      <c r="E513" s="213" t="s">
        <v>4328</v>
      </c>
      <c r="F513" s="10" t="s">
        <v>4329</v>
      </c>
      <c r="G513" s="213" t="s">
        <v>4387</v>
      </c>
      <c r="H513" s="10" t="s">
        <v>4388</v>
      </c>
      <c r="K513" s="213" t="s">
        <v>4389</v>
      </c>
      <c r="L513" s="10" t="s">
        <v>4390</v>
      </c>
      <c r="M513" s="18"/>
      <c r="N513" s="18"/>
      <c r="O513" s="18"/>
      <c r="P513" s="16"/>
      <c r="Q513" s="16"/>
      <c r="R513" s="16"/>
      <c r="S513" s="16"/>
      <c r="U513" s="283" t="e">
        <v>#N/A</v>
      </c>
      <c r="V513" s="10" t="s">
        <v>4394</v>
      </c>
      <c r="W513" s="10">
        <v>1</v>
      </c>
      <c r="X513" s="10">
        <v>1</v>
      </c>
      <c r="Y513" s="10">
        <v>1</v>
      </c>
      <c r="Z513" s="10">
        <v>1</v>
      </c>
      <c r="AA513" s="10">
        <v>1</v>
      </c>
      <c r="AB513" s="10">
        <v>1</v>
      </c>
      <c r="AC513" s="316">
        <v>1</v>
      </c>
      <c r="AD513" s="316">
        <v>1</v>
      </c>
      <c r="AE513" s="302">
        <f t="shared" si="16"/>
        <v>1</v>
      </c>
      <c r="AF513" s="32"/>
      <c r="AG513" s="17">
        <v>0</v>
      </c>
      <c r="AH513" s="32" t="s">
        <v>271</v>
      </c>
      <c r="AI513" s="32">
        <v>0</v>
      </c>
      <c r="AJ513" s="32">
        <v>0</v>
      </c>
      <c r="AK513" s="214">
        <v>5</v>
      </c>
      <c r="AL513" s="214">
        <v>5</v>
      </c>
      <c r="AM513" s="147">
        <f t="shared" si="15"/>
        <v>10</v>
      </c>
      <c r="AN513" s="32" t="s">
        <v>4067</v>
      </c>
      <c r="AO513" s="18" t="s">
        <v>1037</v>
      </c>
      <c r="AP513" s="10" t="s">
        <v>119</v>
      </c>
    </row>
    <row r="514" spans="1:42" s="10" customFormat="1" x14ac:dyDescent="0.3">
      <c r="A514" s="213" t="s">
        <v>1444</v>
      </c>
      <c r="B514" s="10" t="s">
        <v>4050</v>
      </c>
      <c r="C514" s="213" t="s">
        <v>1445</v>
      </c>
      <c r="D514" s="10" t="s">
        <v>4052</v>
      </c>
      <c r="E514" s="213" t="s">
        <v>4328</v>
      </c>
      <c r="F514" s="10" t="s">
        <v>4329</v>
      </c>
      <c r="G514" s="213" t="s">
        <v>4387</v>
      </c>
      <c r="H514" s="10" t="s">
        <v>4388</v>
      </c>
      <c r="K514" s="213" t="s">
        <v>4389</v>
      </c>
      <c r="L514" s="10" t="s">
        <v>4390</v>
      </c>
      <c r="M514" s="18"/>
      <c r="N514" s="18"/>
      <c r="O514" s="18"/>
      <c r="P514" s="16"/>
      <c r="Q514" s="16"/>
      <c r="R514" s="16"/>
      <c r="S514" s="16"/>
      <c r="U514" s="283" t="e">
        <v>#N/A</v>
      </c>
      <c r="V514" s="10" t="s">
        <v>4394</v>
      </c>
      <c r="W514" s="10">
        <v>1</v>
      </c>
      <c r="X514" s="10">
        <v>1</v>
      </c>
      <c r="Y514" s="10">
        <v>1</v>
      </c>
      <c r="Z514" s="10">
        <v>1</v>
      </c>
      <c r="AA514" s="10">
        <v>1</v>
      </c>
      <c r="AB514" s="10">
        <v>1</v>
      </c>
      <c r="AC514" s="316">
        <v>1</v>
      </c>
      <c r="AD514" s="316">
        <v>1</v>
      </c>
      <c r="AE514" s="302">
        <f t="shared" si="16"/>
        <v>1</v>
      </c>
      <c r="AF514" s="32"/>
      <c r="AG514" s="17">
        <v>0</v>
      </c>
      <c r="AH514" s="32" t="s">
        <v>271</v>
      </c>
      <c r="AI514" s="32">
        <v>0.1</v>
      </c>
      <c r="AJ514" s="32">
        <v>0.2</v>
      </c>
      <c r="AK514" s="214">
        <v>0.2</v>
      </c>
      <c r="AL514" s="214">
        <v>0.2</v>
      </c>
      <c r="AM514" s="147">
        <f t="shared" si="15"/>
        <v>0.4</v>
      </c>
      <c r="AN514" s="18" t="s">
        <v>869</v>
      </c>
      <c r="AO514" s="18" t="s">
        <v>871</v>
      </c>
      <c r="AP514" s="10" t="s">
        <v>4395</v>
      </c>
    </row>
    <row r="515" spans="1:42" s="10" customFormat="1" x14ac:dyDescent="0.3">
      <c r="A515" s="213" t="s">
        <v>1444</v>
      </c>
      <c r="B515" s="10" t="s">
        <v>4050</v>
      </c>
      <c r="C515" s="213" t="s">
        <v>1445</v>
      </c>
      <c r="D515" s="10" t="s">
        <v>4052</v>
      </c>
      <c r="E515" s="213" t="s">
        <v>4328</v>
      </c>
      <c r="F515" s="10" t="s">
        <v>4329</v>
      </c>
      <c r="G515" s="213" t="s">
        <v>4387</v>
      </c>
      <c r="H515" s="10" t="s">
        <v>4388</v>
      </c>
      <c r="K515" s="213" t="s">
        <v>4389</v>
      </c>
      <c r="L515" s="10" t="s">
        <v>4390</v>
      </c>
      <c r="M515" s="18"/>
      <c r="N515" s="18"/>
      <c r="O515" s="18"/>
      <c r="P515" s="16"/>
      <c r="Q515" s="16"/>
      <c r="R515" s="16"/>
      <c r="S515" s="16"/>
      <c r="U515" s="283" t="e">
        <v>#N/A</v>
      </c>
      <c r="V515" s="10" t="s">
        <v>4394</v>
      </c>
      <c r="W515" s="10">
        <v>1</v>
      </c>
      <c r="X515" s="10">
        <v>1</v>
      </c>
      <c r="Y515" s="10">
        <v>1</v>
      </c>
      <c r="Z515" s="10">
        <v>1</v>
      </c>
      <c r="AA515" s="10">
        <v>1</v>
      </c>
      <c r="AB515" s="10">
        <v>1</v>
      </c>
      <c r="AC515" s="316">
        <v>1</v>
      </c>
      <c r="AD515" s="316">
        <v>1</v>
      </c>
      <c r="AE515" s="302">
        <f t="shared" si="16"/>
        <v>1</v>
      </c>
      <c r="AF515" s="32"/>
      <c r="AG515" s="17">
        <v>0</v>
      </c>
      <c r="AH515" s="32" t="s">
        <v>271</v>
      </c>
      <c r="AI515" s="32">
        <v>0.2</v>
      </c>
      <c r="AJ515" s="32">
        <v>0.2</v>
      </c>
      <c r="AK515" s="214">
        <v>0.2</v>
      </c>
      <c r="AL515" s="214">
        <v>0.2</v>
      </c>
      <c r="AM515" s="147">
        <f t="shared" si="15"/>
        <v>0.4</v>
      </c>
      <c r="AN515" s="10" t="s">
        <v>265</v>
      </c>
      <c r="AO515" s="18" t="s">
        <v>350</v>
      </c>
      <c r="AP515" s="10" t="s">
        <v>4395</v>
      </c>
    </row>
    <row r="516" spans="1:42" s="10" customFormat="1" x14ac:dyDescent="0.3">
      <c r="A516" s="213" t="s">
        <v>1444</v>
      </c>
      <c r="B516" s="10" t="s">
        <v>4050</v>
      </c>
      <c r="C516" s="213" t="s">
        <v>1445</v>
      </c>
      <c r="D516" s="10" t="s">
        <v>4052</v>
      </c>
      <c r="E516" s="213" t="s">
        <v>4328</v>
      </c>
      <c r="F516" s="10" t="s">
        <v>4329</v>
      </c>
      <c r="G516" s="213" t="s">
        <v>4387</v>
      </c>
      <c r="H516" s="10" t="s">
        <v>4388</v>
      </c>
      <c r="K516" s="213" t="s">
        <v>4389</v>
      </c>
      <c r="L516" s="10" t="s">
        <v>4390</v>
      </c>
      <c r="M516" s="18"/>
      <c r="N516" s="18"/>
      <c r="O516" s="18"/>
      <c r="P516" s="16"/>
      <c r="Q516" s="16"/>
      <c r="R516" s="16"/>
      <c r="S516" s="16"/>
      <c r="U516" s="283" t="e">
        <v>#N/A</v>
      </c>
      <c r="V516" s="10" t="s">
        <v>4396</v>
      </c>
      <c r="W516" s="10">
        <v>1</v>
      </c>
      <c r="X516" s="10">
        <v>1</v>
      </c>
      <c r="Y516" s="10">
        <v>1</v>
      </c>
      <c r="Z516" s="10">
        <v>0</v>
      </c>
      <c r="AA516" s="10">
        <v>1</v>
      </c>
      <c r="AB516" s="10">
        <v>0</v>
      </c>
      <c r="AC516" s="316">
        <v>0</v>
      </c>
      <c r="AD516" s="316">
        <v>1</v>
      </c>
      <c r="AE516" s="302">
        <f t="shared" si="16"/>
        <v>0.625</v>
      </c>
      <c r="AF516" s="32"/>
      <c r="AG516" s="17">
        <v>0</v>
      </c>
      <c r="AH516" s="32" t="s">
        <v>271</v>
      </c>
      <c r="AI516" s="32" t="s">
        <v>271</v>
      </c>
      <c r="AJ516" s="32">
        <v>20</v>
      </c>
      <c r="AK516" s="214">
        <v>50</v>
      </c>
      <c r="AL516" s="214">
        <v>30</v>
      </c>
      <c r="AM516" s="147">
        <f t="shared" si="15"/>
        <v>80</v>
      </c>
      <c r="AN516" s="18" t="s">
        <v>619</v>
      </c>
      <c r="AO516" s="18" t="s">
        <v>350</v>
      </c>
      <c r="AP516" s="10" t="s">
        <v>4397</v>
      </c>
    </row>
    <row r="517" spans="1:42" s="10" customFormat="1" x14ac:dyDescent="0.3">
      <c r="A517" s="213" t="s">
        <v>1444</v>
      </c>
      <c r="B517" s="10" t="s">
        <v>4050</v>
      </c>
      <c r="C517" s="213" t="s">
        <v>1445</v>
      </c>
      <c r="D517" s="10" t="s">
        <v>4052</v>
      </c>
      <c r="E517" s="213" t="s">
        <v>4328</v>
      </c>
      <c r="F517" s="10" t="s">
        <v>4329</v>
      </c>
      <c r="G517" s="213" t="s">
        <v>4387</v>
      </c>
      <c r="H517" s="10" t="s">
        <v>4388</v>
      </c>
      <c r="K517" s="213" t="s">
        <v>4389</v>
      </c>
      <c r="L517" s="10" t="s">
        <v>4390</v>
      </c>
      <c r="M517" s="18"/>
      <c r="N517" s="18"/>
      <c r="O517" s="18"/>
      <c r="P517" s="16"/>
      <c r="Q517" s="16"/>
      <c r="R517" s="16"/>
      <c r="S517" s="16"/>
      <c r="U517" s="283" t="e">
        <v>#N/A</v>
      </c>
      <c r="V517" s="10" t="s">
        <v>4398</v>
      </c>
      <c r="W517" s="10">
        <v>1</v>
      </c>
      <c r="X517" s="10">
        <v>0</v>
      </c>
      <c r="Y517" s="10">
        <v>0</v>
      </c>
      <c r="Z517" s="10">
        <v>1</v>
      </c>
      <c r="AA517" s="10">
        <v>1</v>
      </c>
      <c r="AB517" s="10">
        <v>0</v>
      </c>
      <c r="AC517" s="316">
        <v>0</v>
      </c>
      <c r="AD517" s="316">
        <v>0</v>
      </c>
      <c r="AE517" s="302">
        <f t="shared" si="16"/>
        <v>0.375</v>
      </c>
      <c r="AF517" s="32"/>
      <c r="AG517" s="17">
        <v>0</v>
      </c>
      <c r="AH517" s="32" t="s">
        <v>271</v>
      </c>
      <c r="AI517" s="32">
        <v>0.15</v>
      </c>
      <c r="AJ517" s="32">
        <v>0.1</v>
      </c>
      <c r="AK517" s="214" t="s">
        <v>271</v>
      </c>
      <c r="AL517" s="214" t="s">
        <v>271</v>
      </c>
      <c r="AM517" s="147">
        <f t="shared" si="15"/>
        <v>0</v>
      </c>
      <c r="AN517" s="32" t="s">
        <v>831</v>
      </c>
      <c r="AO517" s="18" t="s">
        <v>834</v>
      </c>
      <c r="AP517" s="10" t="s">
        <v>4399</v>
      </c>
    </row>
    <row r="518" spans="1:42" s="10" customFormat="1" x14ac:dyDescent="0.3">
      <c r="A518" s="213" t="s">
        <v>1444</v>
      </c>
      <c r="B518" s="10" t="s">
        <v>4050</v>
      </c>
      <c r="C518" s="213" t="s">
        <v>1445</v>
      </c>
      <c r="D518" s="10" t="s">
        <v>4052</v>
      </c>
      <c r="E518" s="213" t="s">
        <v>4328</v>
      </c>
      <c r="F518" s="10" t="s">
        <v>4329</v>
      </c>
      <c r="G518" s="213" t="s">
        <v>4400</v>
      </c>
      <c r="H518" s="10" t="s">
        <v>4401</v>
      </c>
      <c r="K518" s="213" t="s">
        <v>4402</v>
      </c>
      <c r="L518" s="10" t="s">
        <v>4403</v>
      </c>
      <c r="M518" s="18" t="s">
        <v>4404</v>
      </c>
      <c r="N518" s="18">
        <v>20</v>
      </c>
      <c r="O518" s="18">
        <v>20</v>
      </c>
      <c r="P518" s="16">
        <v>20</v>
      </c>
      <c r="Q518" s="16">
        <v>20</v>
      </c>
      <c r="R518" s="16">
        <v>20</v>
      </c>
      <c r="S518" s="16">
        <v>20</v>
      </c>
      <c r="T518" s="10" t="s">
        <v>1035</v>
      </c>
      <c r="U518" s="283" t="s">
        <v>1037</v>
      </c>
      <c r="V518" s="10" t="s">
        <v>4405</v>
      </c>
      <c r="W518" s="10">
        <v>1</v>
      </c>
      <c r="X518" s="10">
        <v>0</v>
      </c>
      <c r="Y518" s="10">
        <v>0</v>
      </c>
      <c r="Z518" s="10">
        <v>1</v>
      </c>
      <c r="AA518" s="10">
        <v>1</v>
      </c>
      <c r="AB518" s="10">
        <v>1</v>
      </c>
      <c r="AC518" s="316">
        <v>0</v>
      </c>
      <c r="AD518" s="316">
        <v>1</v>
      </c>
      <c r="AE518" s="302">
        <f t="shared" si="16"/>
        <v>0.625</v>
      </c>
      <c r="AF518" s="32"/>
      <c r="AG518" s="17">
        <v>0</v>
      </c>
      <c r="AH518" s="32" t="s">
        <v>2112</v>
      </c>
      <c r="AI518" s="32" t="s">
        <v>2112</v>
      </c>
      <c r="AJ518" s="32">
        <v>0.5</v>
      </c>
      <c r="AK518" s="214" t="s">
        <v>4406</v>
      </c>
      <c r="AL518" s="214">
        <v>0.5</v>
      </c>
      <c r="AM518" s="147">
        <f t="shared" si="15"/>
        <v>0.5</v>
      </c>
      <c r="AN518" s="176" t="s">
        <v>921</v>
      </c>
      <c r="AO518" s="18" t="s">
        <v>880</v>
      </c>
      <c r="AP518" s="10" t="s">
        <v>4407</v>
      </c>
    </row>
    <row r="519" spans="1:42" s="10" customFormat="1" x14ac:dyDescent="0.3">
      <c r="A519" s="213" t="s">
        <v>1444</v>
      </c>
      <c r="B519" s="10" t="s">
        <v>4050</v>
      </c>
      <c r="C519" s="213" t="s">
        <v>1445</v>
      </c>
      <c r="D519" s="10" t="s">
        <v>4052</v>
      </c>
      <c r="E519" s="213" t="s">
        <v>4328</v>
      </c>
      <c r="F519" s="10" t="s">
        <v>4329</v>
      </c>
      <c r="G519" s="213" t="s">
        <v>4400</v>
      </c>
      <c r="H519" s="10" t="s">
        <v>4401</v>
      </c>
      <c r="K519" s="213" t="s">
        <v>4402</v>
      </c>
      <c r="L519" s="10" t="s">
        <v>4403</v>
      </c>
      <c r="M519" s="18"/>
      <c r="N519" s="18"/>
      <c r="O519" s="18"/>
      <c r="P519" s="16"/>
      <c r="Q519" s="16"/>
      <c r="R519" s="16"/>
      <c r="S519" s="16"/>
      <c r="U519" s="283" t="e">
        <v>#N/A</v>
      </c>
      <c r="V519" s="10" t="s">
        <v>4405</v>
      </c>
      <c r="W519" s="10">
        <v>1</v>
      </c>
      <c r="X519" s="10">
        <v>0</v>
      </c>
      <c r="Y519" s="10">
        <v>0</v>
      </c>
      <c r="Z519" s="10">
        <v>1</v>
      </c>
      <c r="AA519" s="10">
        <v>1</v>
      </c>
      <c r="AB519" s="10">
        <v>1</v>
      </c>
      <c r="AC519" s="316">
        <v>0</v>
      </c>
      <c r="AD519" s="316">
        <v>1</v>
      </c>
      <c r="AE519" s="302">
        <f t="shared" si="16"/>
        <v>0.625</v>
      </c>
      <c r="AF519" s="32"/>
      <c r="AG519" s="17">
        <v>0</v>
      </c>
      <c r="AH519" s="32" t="s">
        <v>271</v>
      </c>
      <c r="AI519" s="32" t="s">
        <v>271</v>
      </c>
      <c r="AJ519" s="32">
        <v>0</v>
      </c>
      <c r="AK519" s="214">
        <v>0</v>
      </c>
      <c r="AL519" s="214">
        <v>0</v>
      </c>
      <c r="AM519" s="147">
        <f t="shared" si="15"/>
        <v>0</v>
      </c>
      <c r="AN519" s="32" t="s">
        <v>4067</v>
      </c>
      <c r="AO519" s="18" t="s">
        <v>1037</v>
      </c>
      <c r="AP519" s="10" t="s">
        <v>119</v>
      </c>
    </row>
    <row r="520" spans="1:42" s="10" customFormat="1" x14ac:dyDescent="0.3">
      <c r="A520" s="213" t="s">
        <v>1444</v>
      </c>
      <c r="B520" s="10" t="s">
        <v>4050</v>
      </c>
      <c r="C520" s="213" t="s">
        <v>1445</v>
      </c>
      <c r="D520" s="10" t="s">
        <v>4052</v>
      </c>
      <c r="E520" s="213" t="s">
        <v>4328</v>
      </c>
      <c r="F520" s="10" t="s">
        <v>4329</v>
      </c>
      <c r="G520" s="213" t="s">
        <v>4400</v>
      </c>
      <c r="H520" s="10" t="s">
        <v>4401</v>
      </c>
      <c r="K520" s="213" t="s">
        <v>4402</v>
      </c>
      <c r="L520" s="10" t="s">
        <v>4403</v>
      </c>
      <c r="M520" s="18"/>
      <c r="N520" s="18"/>
      <c r="O520" s="18"/>
      <c r="P520" s="16"/>
      <c r="Q520" s="16"/>
      <c r="R520" s="16"/>
      <c r="S520" s="16"/>
      <c r="U520" s="283" t="e">
        <v>#N/A</v>
      </c>
      <c r="V520" s="10" t="s">
        <v>4405</v>
      </c>
      <c r="W520" s="10">
        <v>1</v>
      </c>
      <c r="X520" s="10">
        <v>0</v>
      </c>
      <c r="Y520" s="10">
        <v>0</v>
      </c>
      <c r="Z520" s="10">
        <v>1</v>
      </c>
      <c r="AA520" s="10">
        <v>1</v>
      </c>
      <c r="AB520" s="10">
        <v>1</v>
      </c>
      <c r="AC520" s="316">
        <v>0</v>
      </c>
      <c r="AD520" s="316">
        <v>1</v>
      </c>
      <c r="AE520" s="302">
        <f t="shared" si="16"/>
        <v>0.625</v>
      </c>
      <c r="AF520" s="32"/>
      <c r="AG520" s="17">
        <v>0</v>
      </c>
      <c r="AH520" s="32" t="s">
        <v>271</v>
      </c>
      <c r="AI520" s="32" t="s">
        <v>271</v>
      </c>
      <c r="AJ520" s="32">
        <v>0</v>
      </c>
      <c r="AK520" s="214">
        <v>0</v>
      </c>
      <c r="AL520" s="214">
        <v>0</v>
      </c>
      <c r="AM520" s="147">
        <f t="shared" si="15"/>
        <v>0</v>
      </c>
      <c r="AN520" s="18" t="s">
        <v>869</v>
      </c>
      <c r="AO520" s="18" t="s">
        <v>871</v>
      </c>
      <c r="AP520" s="10" t="s">
        <v>119</v>
      </c>
    </row>
    <row r="521" spans="1:42" s="10" customFormat="1" x14ac:dyDescent="0.3">
      <c r="A521" s="213" t="s">
        <v>1444</v>
      </c>
      <c r="B521" s="10" t="s">
        <v>4050</v>
      </c>
      <c r="C521" s="213" t="s">
        <v>1445</v>
      </c>
      <c r="D521" s="10" t="s">
        <v>4052</v>
      </c>
      <c r="E521" s="213" t="s">
        <v>4328</v>
      </c>
      <c r="F521" s="10" t="s">
        <v>4329</v>
      </c>
      <c r="G521" s="213" t="s">
        <v>4400</v>
      </c>
      <c r="H521" s="10" t="s">
        <v>4401</v>
      </c>
      <c r="K521" s="213" t="s">
        <v>4402</v>
      </c>
      <c r="L521" s="10" t="s">
        <v>4403</v>
      </c>
      <c r="M521" s="18"/>
      <c r="N521" s="18"/>
      <c r="O521" s="18"/>
      <c r="P521" s="16"/>
      <c r="Q521" s="16"/>
      <c r="R521" s="16"/>
      <c r="S521" s="16"/>
      <c r="U521" s="283" t="e">
        <v>#N/A</v>
      </c>
      <c r="V521" s="10" t="s">
        <v>4405</v>
      </c>
      <c r="W521" s="10">
        <v>1</v>
      </c>
      <c r="X521" s="10">
        <v>0</v>
      </c>
      <c r="Y521" s="10">
        <v>0</v>
      </c>
      <c r="Z521" s="10">
        <v>1</v>
      </c>
      <c r="AA521" s="10">
        <v>1</v>
      </c>
      <c r="AB521" s="10">
        <v>1</v>
      </c>
      <c r="AC521" s="316">
        <v>0</v>
      </c>
      <c r="AD521" s="316">
        <v>1</v>
      </c>
      <c r="AE521" s="302">
        <f t="shared" si="16"/>
        <v>0.625</v>
      </c>
      <c r="AF521" s="32"/>
      <c r="AG521" s="17">
        <v>0</v>
      </c>
      <c r="AH521" s="32" t="s">
        <v>271</v>
      </c>
      <c r="AI521" s="32" t="s">
        <v>271</v>
      </c>
      <c r="AJ521" s="32">
        <v>0.5</v>
      </c>
      <c r="AK521" s="214">
        <v>0.5</v>
      </c>
      <c r="AL521" s="214">
        <v>0.5</v>
      </c>
      <c r="AM521" s="147">
        <f t="shared" si="15"/>
        <v>1</v>
      </c>
      <c r="AN521" s="10" t="s">
        <v>1233</v>
      </c>
      <c r="AO521" s="18" t="s">
        <v>1650</v>
      </c>
      <c r="AP521" s="10" t="s">
        <v>4408</v>
      </c>
    </row>
    <row r="522" spans="1:42" s="10" customFormat="1" x14ac:dyDescent="0.3">
      <c r="A522" s="213" t="s">
        <v>1444</v>
      </c>
      <c r="B522" s="10" t="s">
        <v>4050</v>
      </c>
      <c r="C522" s="213" t="s">
        <v>1445</v>
      </c>
      <c r="D522" s="10" t="s">
        <v>4052</v>
      </c>
      <c r="E522" s="213" t="s">
        <v>4328</v>
      </c>
      <c r="F522" s="10" t="s">
        <v>4329</v>
      </c>
      <c r="G522" s="213" t="s">
        <v>4400</v>
      </c>
      <c r="H522" s="10" t="s">
        <v>4401</v>
      </c>
      <c r="K522" s="213" t="s">
        <v>4402</v>
      </c>
      <c r="L522" s="10" t="s">
        <v>4403</v>
      </c>
      <c r="M522" s="18"/>
      <c r="N522" s="18"/>
      <c r="O522" s="18"/>
      <c r="P522" s="16"/>
      <c r="Q522" s="16"/>
      <c r="R522" s="16"/>
      <c r="S522" s="16"/>
      <c r="U522" s="283" t="e">
        <v>#N/A</v>
      </c>
      <c r="V522" s="10" t="s">
        <v>4409</v>
      </c>
      <c r="W522" s="10">
        <v>1</v>
      </c>
      <c r="X522" s="10">
        <v>1</v>
      </c>
      <c r="Y522" s="10">
        <v>1</v>
      </c>
      <c r="Z522" s="10">
        <v>1</v>
      </c>
      <c r="AA522" s="10">
        <v>1</v>
      </c>
      <c r="AB522" s="10">
        <v>1</v>
      </c>
      <c r="AC522" s="316">
        <v>0</v>
      </c>
      <c r="AD522" s="316">
        <v>1</v>
      </c>
      <c r="AE522" s="302">
        <f t="shared" si="16"/>
        <v>0.875</v>
      </c>
      <c r="AF522" s="32"/>
      <c r="AG522" s="17">
        <v>0</v>
      </c>
      <c r="AH522" s="32" t="s">
        <v>271</v>
      </c>
      <c r="AI522" s="32">
        <v>0.2</v>
      </c>
      <c r="AJ522" s="32">
        <v>0.2</v>
      </c>
      <c r="AK522" s="214">
        <v>0.2</v>
      </c>
      <c r="AL522" s="214">
        <v>0.2</v>
      </c>
      <c r="AM522" s="147">
        <f t="shared" si="15"/>
        <v>0.4</v>
      </c>
      <c r="AN522" s="32" t="s">
        <v>4410</v>
      </c>
      <c r="AO522" s="18" t="s">
        <v>880</v>
      </c>
      <c r="AP522" s="10" t="s">
        <v>4068</v>
      </c>
    </row>
    <row r="523" spans="1:42" s="10" customFormat="1" x14ac:dyDescent="0.3">
      <c r="A523" s="213" t="s">
        <v>1444</v>
      </c>
      <c r="B523" s="10" t="s">
        <v>4050</v>
      </c>
      <c r="C523" s="213" t="s">
        <v>1445</v>
      </c>
      <c r="D523" s="10" t="s">
        <v>4052</v>
      </c>
      <c r="E523" s="213" t="s">
        <v>4328</v>
      </c>
      <c r="F523" s="10" t="s">
        <v>4329</v>
      </c>
      <c r="G523" s="213" t="s">
        <v>4400</v>
      </c>
      <c r="H523" s="10" t="s">
        <v>4401</v>
      </c>
      <c r="K523" s="213" t="s">
        <v>4402</v>
      </c>
      <c r="L523" s="10" t="s">
        <v>4403</v>
      </c>
      <c r="M523" s="18"/>
      <c r="N523" s="18"/>
      <c r="O523" s="18"/>
      <c r="P523" s="16"/>
      <c r="Q523" s="16"/>
      <c r="R523" s="16"/>
      <c r="S523" s="16"/>
      <c r="U523" s="283" t="e">
        <v>#N/A</v>
      </c>
      <c r="V523" s="10" t="s">
        <v>4409</v>
      </c>
      <c r="W523" s="10">
        <v>1</v>
      </c>
      <c r="X523" s="10">
        <v>1</v>
      </c>
      <c r="Y523" s="10">
        <v>1</v>
      </c>
      <c r="Z523" s="10">
        <v>1</v>
      </c>
      <c r="AA523" s="10">
        <v>1</v>
      </c>
      <c r="AB523" s="10">
        <v>1</v>
      </c>
      <c r="AC523" s="316">
        <v>0</v>
      </c>
      <c r="AD523" s="316">
        <v>1</v>
      </c>
      <c r="AE523" s="302">
        <f t="shared" si="16"/>
        <v>0.875</v>
      </c>
      <c r="AF523" s="32"/>
      <c r="AG523" s="17">
        <v>0</v>
      </c>
      <c r="AH523" s="32" t="s">
        <v>271</v>
      </c>
      <c r="AI523" s="32">
        <v>0</v>
      </c>
      <c r="AJ523" s="32">
        <v>10</v>
      </c>
      <c r="AK523" s="214">
        <v>10</v>
      </c>
      <c r="AL523" s="214">
        <v>10</v>
      </c>
      <c r="AM523" s="147">
        <f t="shared" si="15"/>
        <v>20</v>
      </c>
      <c r="AN523" s="18" t="s">
        <v>619</v>
      </c>
      <c r="AO523" s="18" t="s">
        <v>350</v>
      </c>
      <c r="AP523" s="10" t="s">
        <v>4411</v>
      </c>
    </row>
    <row r="524" spans="1:42" s="10" customFormat="1" x14ac:dyDescent="0.3">
      <c r="A524" s="213" t="s">
        <v>1444</v>
      </c>
      <c r="B524" s="10" t="s">
        <v>4050</v>
      </c>
      <c r="C524" s="213" t="s">
        <v>1445</v>
      </c>
      <c r="D524" s="10" t="s">
        <v>4052</v>
      </c>
      <c r="E524" s="213" t="s">
        <v>4328</v>
      </c>
      <c r="F524" s="10" t="s">
        <v>4329</v>
      </c>
      <c r="G524" s="213" t="s">
        <v>4400</v>
      </c>
      <c r="H524" s="10" t="s">
        <v>4401</v>
      </c>
      <c r="K524" s="213" t="s">
        <v>4402</v>
      </c>
      <c r="L524" s="10" t="s">
        <v>4403</v>
      </c>
      <c r="M524" s="18"/>
      <c r="N524" s="18"/>
      <c r="O524" s="18"/>
      <c r="P524" s="16"/>
      <c r="Q524" s="16"/>
      <c r="R524" s="16"/>
      <c r="S524" s="16"/>
      <c r="U524" s="283" t="e">
        <v>#N/A</v>
      </c>
      <c r="V524" s="10" t="s">
        <v>4409</v>
      </c>
      <c r="W524" s="10">
        <v>1</v>
      </c>
      <c r="X524" s="10">
        <v>1</v>
      </c>
      <c r="Y524" s="10">
        <v>1</v>
      </c>
      <c r="Z524" s="10">
        <v>1</v>
      </c>
      <c r="AA524" s="10">
        <v>1</v>
      </c>
      <c r="AB524" s="10">
        <v>1</v>
      </c>
      <c r="AC524" s="316">
        <v>0</v>
      </c>
      <c r="AD524" s="316">
        <v>1</v>
      </c>
      <c r="AE524" s="302">
        <f t="shared" si="16"/>
        <v>0.875</v>
      </c>
      <c r="AF524" s="32"/>
      <c r="AG524" s="17">
        <v>0</v>
      </c>
      <c r="AH524" s="32" t="s">
        <v>271</v>
      </c>
      <c r="AI524" s="32">
        <v>0</v>
      </c>
      <c r="AJ524" s="32">
        <v>0</v>
      </c>
      <c r="AK524" s="214">
        <v>0</v>
      </c>
      <c r="AL524" s="214">
        <v>0</v>
      </c>
      <c r="AM524" s="147">
        <f t="shared" si="15"/>
        <v>0</v>
      </c>
      <c r="AN524" s="18" t="s">
        <v>869</v>
      </c>
      <c r="AO524" s="18" t="s">
        <v>871</v>
      </c>
      <c r="AP524" s="10" t="s">
        <v>119</v>
      </c>
    </row>
    <row r="525" spans="1:42" s="10" customFormat="1" x14ac:dyDescent="0.3">
      <c r="A525" s="213" t="s">
        <v>1444</v>
      </c>
      <c r="B525" s="10" t="s">
        <v>4050</v>
      </c>
      <c r="C525" s="213" t="s">
        <v>1445</v>
      </c>
      <c r="D525" s="10" t="s">
        <v>4052</v>
      </c>
      <c r="E525" s="213" t="s">
        <v>4328</v>
      </c>
      <c r="F525" s="10" t="s">
        <v>4329</v>
      </c>
      <c r="G525" s="213" t="s">
        <v>4400</v>
      </c>
      <c r="H525" s="10" t="s">
        <v>4401</v>
      </c>
      <c r="K525" s="213" t="s">
        <v>4402</v>
      </c>
      <c r="L525" s="10" t="s">
        <v>4403</v>
      </c>
      <c r="M525" s="18"/>
      <c r="N525" s="18"/>
      <c r="O525" s="18"/>
      <c r="P525" s="16"/>
      <c r="Q525" s="16"/>
      <c r="R525" s="16"/>
      <c r="S525" s="16"/>
      <c r="U525" s="283" t="e">
        <v>#N/A</v>
      </c>
      <c r="V525" s="10" t="s">
        <v>4409</v>
      </c>
      <c r="W525" s="10">
        <v>1</v>
      </c>
      <c r="X525" s="10">
        <v>1</v>
      </c>
      <c r="Y525" s="10">
        <v>1</v>
      </c>
      <c r="Z525" s="10">
        <v>1</v>
      </c>
      <c r="AA525" s="10">
        <v>1</v>
      </c>
      <c r="AB525" s="10">
        <v>1</v>
      </c>
      <c r="AC525" s="316">
        <v>0</v>
      </c>
      <c r="AD525" s="316">
        <v>1</v>
      </c>
      <c r="AE525" s="302">
        <f t="shared" si="16"/>
        <v>0.875</v>
      </c>
      <c r="AF525" s="32"/>
      <c r="AG525" s="17">
        <v>0</v>
      </c>
      <c r="AH525" s="32" t="s">
        <v>271</v>
      </c>
      <c r="AI525" s="32">
        <v>0</v>
      </c>
      <c r="AJ525" s="32">
        <v>0</v>
      </c>
      <c r="AK525" s="214">
        <v>0</v>
      </c>
      <c r="AL525" s="214">
        <v>0</v>
      </c>
      <c r="AM525" s="147">
        <f t="shared" si="15"/>
        <v>0</v>
      </c>
      <c r="AN525" s="10" t="s">
        <v>3875</v>
      </c>
      <c r="AO525" s="18" t="s">
        <v>3877</v>
      </c>
      <c r="AP525" s="10" t="s">
        <v>119</v>
      </c>
    </row>
    <row r="526" spans="1:42" s="10" customFormat="1" x14ac:dyDescent="0.3">
      <c r="A526" s="213" t="s">
        <v>1444</v>
      </c>
      <c r="B526" s="10" t="s">
        <v>4050</v>
      </c>
      <c r="C526" s="213" t="s">
        <v>1445</v>
      </c>
      <c r="D526" s="10" t="s">
        <v>4052</v>
      </c>
      <c r="E526" s="213" t="s">
        <v>4328</v>
      </c>
      <c r="F526" s="10" t="s">
        <v>4329</v>
      </c>
      <c r="G526" s="213" t="s">
        <v>4400</v>
      </c>
      <c r="H526" s="10" t="s">
        <v>4401</v>
      </c>
      <c r="K526" s="213" t="s">
        <v>4402</v>
      </c>
      <c r="L526" s="10" t="s">
        <v>4403</v>
      </c>
      <c r="M526" s="18"/>
      <c r="N526" s="18"/>
      <c r="O526" s="18"/>
      <c r="P526" s="16"/>
      <c r="Q526" s="16"/>
      <c r="R526" s="16"/>
      <c r="S526" s="16"/>
      <c r="U526" s="283" t="e">
        <v>#N/A</v>
      </c>
      <c r="V526" s="10" t="s">
        <v>4409</v>
      </c>
      <c r="W526" s="10">
        <v>1</v>
      </c>
      <c r="X526" s="10">
        <v>1</v>
      </c>
      <c r="Y526" s="10">
        <v>1</v>
      </c>
      <c r="Z526" s="10">
        <v>1</v>
      </c>
      <c r="AA526" s="10">
        <v>1</v>
      </c>
      <c r="AB526" s="10">
        <v>1</v>
      </c>
      <c r="AC526" s="316">
        <v>0</v>
      </c>
      <c r="AD526" s="316">
        <v>1</v>
      </c>
      <c r="AE526" s="302">
        <f t="shared" si="16"/>
        <v>0.875</v>
      </c>
      <c r="AF526" s="32"/>
      <c r="AG526" s="17">
        <v>0</v>
      </c>
      <c r="AH526" s="32" t="s">
        <v>271</v>
      </c>
      <c r="AI526" s="32">
        <v>0</v>
      </c>
      <c r="AJ526" s="32">
        <v>0</v>
      </c>
      <c r="AK526" s="214">
        <v>1</v>
      </c>
      <c r="AL526" s="214">
        <v>1</v>
      </c>
      <c r="AM526" s="147">
        <f t="shared" si="15"/>
        <v>2</v>
      </c>
      <c r="AN526" s="32" t="s">
        <v>4067</v>
      </c>
      <c r="AO526" s="18" t="s">
        <v>1037</v>
      </c>
      <c r="AP526" s="10" t="s">
        <v>119</v>
      </c>
    </row>
    <row r="527" spans="1:42" s="10" customFormat="1" x14ac:dyDescent="0.3">
      <c r="A527" s="213" t="s">
        <v>1444</v>
      </c>
      <c r="B527" s="10" t="s">
        <v>4050</v>
      </c>
      <c r="C527" s="213" t="s">
        <v>1445</v>
      </c>
      <c r="D527" s="10" t="s">
        <v>4052</v>
      </c>
      <c r="E527" s="213" t="s">
        <v>4328</v>
      </c>
      <c r="F527" s="10" t="s">
        <v>4329</v>
      </c>
      <c r="G527" s="213" t="s">
        <v>4400</v>
      </c>
      <c r="H527" s="10" t="s">
        <v>4401</v>
      </c>
      <c r="K527" s="213" t="s">
        <v>4402</v>
      </c>
      <c r="L527" s="10" t="s">
        <v>4403</v>
      </c>
      <c r="M527" s="18"/>
      <c r="N527" s="18"/>
      <c r="O527" s="18"/>
      <c r="P527" s="16"/>
      <c r="Q527" s="16"/>
      <c r="R527" s="16"/>
      <c r="S527" s="16"/>
      <c r="U527" s="283" t="e">
        <v>#N/A</v>
      </c>
      <c r="V527" s="10" t="s">
        <v>4412</v>
      </c>
      <c r="W527" s="10">
        <v>1</v>
      </c>
      <c r="X527" s="10">
        <v>0</v>
      </c>
      <c r="Y527" s="10">
        <v>0</v>
      </c>
      <c r="Z527" s="10">
        <v>1</v>
      </c>
      <c r="AA527" s="10">
        <v>1</v>
      </c>
      <c r="AB527" s="10">
        <v>1</v>
      </c>
      <c r="AC527" s="316">
        <v>0</v>
      </c>
      <c r="AD527" s="316">
        <v>0</v>
      </c>
      <c r="AE527" s="302">
        <f t="shared" si="16"/>
        <v>0.5</v>
      </c>
      <c r="AF527" s="32"/>
      <c r="AG527" s="17">
        <v>0</v>
      </c>
      <c r="AH527" s="32" t="s">
        <v>271</v>
      </c>
      <c r="AI527" s="32">
        <v>0.1</v>
      </c>
      <c r="AJ527" s="32">
        <v>0.1</v>
      </c>
      <c r="AK527" s="214">
        <v>0.1</v>
      </c>
      <c r="AL527" s="214">
        <v>0.1</v>
      </c>
      <c r="AM527" s="147">
        <f t="shared" si="15"/>
        <v>0.2</v>
      </c>
      <c r="AN527" s="32" t="s">
        <v>4067</v>
      </c>
      <c r="AO527" s="18" t="s">
        <v>1037</v>
      </c>
      <c r="AP527" s="10" t="s">
        <v>4413</v>
      </c>
    </row>
    <row r="528" spans="1:42" s="10" customFormat="1" x14ac:dyDescent="0.3">
      <c r="A528" s="213" t="s">
        <v>1444</v>
      </c>
      <c r="B528" s="10" t="s">
        <v>4050</v>
      </c>
      <c r="C528" s="213" t="s">
        <v>1445</v>
      </c>
      <c r="D528" s="10" t="s">
        <v>4052</v>
      </c>
      <c r="E528" s="213" t="s">
        <v>4328</v>
      </c>
      <c r="F528" s="10" t="s">
        <v>4329</v>
      </c>
      <c r="G528" s="213" t="s">
        <v>4400</v>
      </c>
      <c r="H528" s="10" t="s">
        <v>4401</v>
      </c>
      <c r="K528" s="213" t="s">
        <v>4402</v>
      </c>
      <c r="L528" s="10" t="s">
        <v>4403</v>
      </c>
      <c r="M528" s="18"/>
      <c r="N528" s="18"/>
      <c r="O528" s="18"/>
      <c r="P528" s="16"/>
      <c r="Q528" s="16"/>
      <c r="R528" s="16"/>
      <c r="S528" s="16"/>
      <c r="U528" s="283" t="e">
        <v>#N/A</v>
      </c>
      <c r="V528" s="10" t="s">
        <v>4412</v>
      </c>
      <c r="W528" s="10">
        <v>1</v>
      </c>
      <c r="X528" s="10">
        <v>0</v>
      </c>
      <c r="Y528" s="10">
        <v>0</v>
      </c>
      <c r="Z528" s="10">
        <v>1</v>
      </c>
      <c r="AA528" s="10">
        <v>1</v>
      </c>
      <c r="AB528" s="10">
        <v>1</v>
      </c>
      <c r="AC528" s="316">
        <v>0</v>
      </c>
      <c r="AD528" s="316">
        <v>0</v>
      </c>
      <c r="AE528" s="302">
        <f t="shared" si="16"/>
        <v>0.5</v>
      </c>
      <c r="AF528" s="32"/>
      <c r="AG528" s="17">
        <v>0</v>
      </c>
      <c r="AH528" s="32" t="s">
        <v>271</v>
      </c>
      <c r="AI528" s="32">
        <v>0.2</v>
      </c>
      <c r="AJ528" s="32">
        <v>0.2</v>
      </c>
      <c r="AK528" s="214">
        <v>0.2</v>
      </c>
      <c r="AL528" s="214">
        <v>0.2</v>
      </c>
      <c r="AM528" s="147">
        <f t="shared" si="15"/>
        <v>0.4</v>
      </c>
      <c r="AN528" s="18" t="s">
        <v>869</v>
      </c>
      <c r="AO528" s="18" t="s">
        <v>871</v>
      </c>
      <c r="AP528" s="10" t="s">
        <v>4414</v>
      </c>
    </row>
    <row r="529" spans="1:42" s="10" customFormat="1" x14ac:dyDescent="0.3">
      <c r="A529" s="213" t="s">
        <v>1444</v>
      </c>
      <c r="B529" s="10" t="s">
        <v>4050</v>
      </c>
      <c r="C529" s="213" t="s">
        <v>1445</v>
      </c>
      <c r="D529" s="10" t="s">
        <v>4052</v>
      </c>
      <c r="E529" s="213" t="s">
        <v>4328</v>
      </c>
      <c r="F529" s="10" t="s">
        <v>4329</v>
      </c>
      <c r="G529" s="213" t="s">
        <v>4415</v>
      </c>
      <c r="H529" s="10" t="s">
        <v>4416</v>
      </c>
      <c r="K529" s="213" t="s">
        <v>4417</v>
      </c>
      <c r="L529" s="10" t="s">
        <v>4390</v>
      </c>
      <c r="M529" s="18" t="s">
        <v>4391</v>
      </c>
      <c r="N529" s="18">
        <v>10</v>
      </c>
      <c r="O529" s="18">
        <v>10</v>
      </c>
      <c r="P529" s="16">
        <v>12.5</v>
      </c>
      <c r="Q529" s="16">
        <v>20</v>
      </c>
      <c r="R529" s="16">
        <v>31.25</v>
      </c>
      <c r="S529" s="16">
        <v>41.25</v>
      </c>
      <c r="T529" s="10" t="s">
        <v>1035</v>
      </c>
      <c r="U529" s="283" t="s">
        <v>1037</v>
      </c>
      <c r="V529" s="10" t="s">
        <v>4418</v>
      </c>
      <c r="W529" s="10">
        <v>1</v>
      </c>
      <c r="X529" s="10">
        <v>1</v>
      </c>
      <c r="Y529" s="10">
        <v>0</v>
      </c>
      <c r="Z529" s="10">
        <v>1</v>
      </c>
      <c r="AA529" s="10">
        <v>1</v>
      </c>
      <c r="AB529" s="10">
        <v>1</v>
      </c>
      <c r="AC529" s="316">
        <v>0</v>
      </c>
      <c r="AD529" s="316">
        <v>1</v>
      </c>
      <c r="AE529" s="302">
        <f t="shared" si="16"/>
        <v>0.75</v>
      </c>
      <c r="AF529" s="32"/>
      <c r="AG529" s="17">
        <v>0</v>
      </c>
      <c r="AH529" s="32">
        <v>0</v>
      </c>
      <c r="AI529" s="32">
        <v>0</v>
      </c>
      <c r="AJ529" s="32">
        <v>0</v>
      </c>
      <c r="AK529" s="214">
        <v>30</v>
      </c>
      <c r="AL529" s="214">
        <v>30</v>
      </c>
      <c r="AM529" s="147">
        <f t="shared" si="15"/>
        <v>60</v>
      </c>
      <c r="AN529" s="32" t="s">
        <v>4067</v>
      </c>
      <c r="AO529" s="18" t="s">
        <v>1037</v>
      </c>
      <c r="AP529" s="10" t="s">
        <v>119</v>
      </c>
    </row>
    <row r="530" spans="1:42" s="10" customFormat="1" x14ac:dyDescent="0.3">
      <c r="A530" s="213" t="s">
        <v>1444</v>
      </c>
      <c r="B530" s="10" t="s">
        <v>4050</v>
      </c>
      <c r="C530" s="213" t="s">
        <v>1445</v>
      </c>
      <c r="D530" s="10" t="s">
        <v>4052</v>
      </c>
      <c r="E530" s="213" t="s">
        <v>4328</v>
      </c>
      <c r="F530" s="10" t="s">
        <v>4329</v>
      </c>
      <c r="G530" s="213" t="s">
        <v>4415</v>
      </c>
      <c r="H530" s="10" t="s">
        <v>4416</v>
      </c>
      <c r="K530" s="213" t="s">
        <v>4417</v>
      </c>
      <c r="L530" s="10" t="s">
        <v>4390</v>
      </c>
      <c r="M530" s="18"/>
      <c r="N530" s="18"/>
      <c r="O530" s="18"/>
      <c r="P530" s="16"/>
      <c r="Q530" s="16"/>
      <c r="R530" s="16"/>
      <c r="S530" s="16"/>
      <c r="U530" s="283" t="e">
        <v>#N/A</v>
      </c>
      <c r="V530" s="10" t="s">
        <v>4419</v>
      </c>
      <c r="W530" s="10">
        <v>1</v>
      </c>
      <c r="X530" s="10">
        <v>1</v>
      </c>
      <c r="Y530" s="10">
        <v>1</v>
      </c>
      <c r="Z530" s="10">
        <v>1</v>
      </c>
      <c r="AA530" s="10">
        <v>1</v>
      </c>
      <c r="AB530" s="10">
        <v>1</v>
      </c>
      <c r="AC530" s="316">
        <v>1</v>
      </c>
      <c r="AD530" s="316">
        <v>1</v>
      </c>
      <c r="AE530" s="302">
        <f t="shared" si="16"/>
        <v>1</v>
      </c>
      <c r="AF530" s="32"/>
      <c r="AG530" s="17">
        <v>0</v>
      </c>
      <c r="AH530" s="32" t="s">
        <v>271</v>
      </c>
      <c r="AI530" s="32">
        <v>0</v>
      </c>
      <c r="AJ530" s="32">
        <v>0</v>
      </c>
      <c r="AK530" s="214">
        <v>10</v>
      </c>
      <c r="AL530" s="214">
        <v>2</v>
      </c>
      <c r="AM530" s="147">
        <f t="shared" si="15"/>
        <v>12</v>
      </c>
      <c r="AN530" s="32" t="s">
        <v>4067</v>
      </c>
      <c r="AO530" s="18" t="s">
        <v>1037</v>
      </c>
      <c r="AP530" s="10" t="s">
        <v>119</v>
      </c>
    </row>
    <row r="531" spans="1:42" s="10" customFormat="1" x14ac:dyDescent="0.3">
      <c r="A531" s="213" t="s">
        <v>1444</v>
      </c>
      <c r="B531" s="10" t="s">
        <v>4050</v>
      </c>
      <c r="C531" s="213" t="s">
        <v>1445</v>
      </c>
      <c r="D531" s="10" t="s">
        <v>4052</v>
      </c>
      <c r="E531" s="213" t="s">
        <v>4328</v>
      </c>
      <c r="F531" s="10" t="s">
        <v>4329</v>
      </c>
      <c r="G531" s="213" t="s">
        <v>4420</v>
      </c>
      <c r="H531" s="10" t="s">
        <v>4421</v>
      </c>
      <c r="K531" s="213" t="s">
        <v>4422</v>
      </c>
      <c r="L531" s="10" t="s">
        <v>4423</v>
      </c>
      <c r="M531" s="18" t="s">
        <v>4424</v>
      </c>
      <c r="N531" s="18"/>
      <c r="O531" s="18"/>
      <c r="P531" s="16"/>
      <c r="Q531" s="16"/>
      <c r="R531" s="16"/>
      <c r="S531" s="16"/>
      <c r="T531" s="10" t="s">
        <v>1035</v>
      </c>
      <c r="U531" s="283" t="s">
        <v>1037</v>
      </c>
      <c r="V531" s="10" t="s">
        <v>4425</v>
      </c>
      <c r="W531" s="10">
        <v>1</v>
      </c>
      <c r="X531" s="10">
        <v>1</v>
      </c>
      <c r="Y531" s="10">
        <v>1</v>
      </c>
      <c r="Z531" s="10">
        <v>1</v>
      </c>
      <c r="AA531" s="10">
        <v>1</v>
      </c>
      <c r="AB531" s="10">
        <v>0</v>
      </c>
      <c r="AC531" s="316">
        <v>1</v>
      </c>
      <c r="AD531" s="316">
        <v>1</v>
      </c>
      <c r="AE531" s="302">
        <f t="shared" si="16"/>
        <v>0.875</v>
      </c>
      <c r="AF531" s="32"/>
      <c r="AG531" s="17">
        <v>0</v>
      </c>
      <c r="AH531" s="32" t="s">
        <v>271</v>
      </c>
      <c r="AI531" s="32">
        <v>0.1</v>
      </c>
      <c r="AJ531" s="32">
        <v>0.2</v>
      </c>
      <c r="AK531" s="214">
        <v>0.2</v>
      </c>
      <c r="AL531" s="214">
        <v>0.2</v>
      </c>
      <c r="AM531" s="147">
        <f t="shared" si="15"/>
        <v>0.4</v>
      </c>
      <c r="AN531" s="32" t="s">
        <v>4067</v>
      </c>
      <c r="AO531" s="18" t="s">
        <v>1037</v>
      </c>
      <c r="AP531" s="10" t="s">
        <v>4426</v>
      </c>
    </row>
    <row r="532" spans="1:42" s="10" customFormat="1" x14ac:dyDescent="0.3">
      <c r="A532" s="213" t="s">
        <v>1444</v>
      </c>
      <c r="B532" s="10" t="s">
        <v>4050</v>
      </c>
      <c r="C532" s="213" t="s">
        <v>1445</v>
      </c>
      <c r="D532" s="10" t="s">
        <v>4052</v>
      </c>
      <c r="E532" s="213" t="s">
        <v>4328</v>
      </c>
      <c r="F532" s="10" t="s">
        <v>4329</v>
      </c>
      <c r="G532" s="213" t="s">
        <v>4420</v>
      </c>
      <c r="H532" s="10" t="s">
        <v>4421</v>
      </c>
      <c r="K532" s="213" t="s">
        <v>4422</v>
      </c>
      <c r="L532" s="10" t="s">
        <v>4423</v>
      </c>
      <c r="M532" s="18"/>
      <c r="N532" s="18"/>
      <c r="O532" s="18"/>
      <c r="P532" s="16"/>
      <c r="Q532" s="16"/>
      <c r="R532" s="16"/>
      <c r="S532" s="16"/>
      <c r="U532" s="283" t="e">
        <v>#N/A</v>
      </c>
      <c r="V532" s="10" t="s">
        <v>4425</v>
      </c>
      <c r="W532" s="10">
        <v>1</v>
      </c>
      <c r="X532" s="10">
        <v>1</v>
      </c>
      <c r="Y532" s="10">
        <v>1</v>
      </c>
      <c r="Z532" s="10">
        <v>1</v>
      </c>
      <c r="AA532" s="10">
        <v>1</v>
      </c>
      <c r="AB532" s="10">
        <v>0</v>
      </c>
      <c r="AC532" s="316">
        <v>1</v>
      </c>
      <c r="AD532" s="316">
        <v>1</v>
      </c>
      <c r="AE532" s="302">
        <f t="shared" si="16"/>
        <v>0.875</v>
      </c>
      <c r="AF532" s="32"/>
      <c r="AG532" s="17">
        <v>0</v>
      </c>
      <c r="AH532" s="32" t="s">
        <v>271</v>
      </c>
      <c r="AI532" s="32" t="s">
        <v>271</v>
      </c>
      <c r="AJ532" s="32" t="s">
        <v>271</v>
      </c>
      <c r="AK532" s="214" t="s">
        <v>271</v>
      </c>
      <c r="AL532" s="214">
        <v>10</v>
      </c>
      <c r="AM532" s="147">
        <f t="shared" si="15"/>
        <v>10</v>
      </c>
      <c r="AN532" s="18" t="s">
        <v>619</v>
      </c>
      <c r="AO532" s="18" t="s">
        <v>350</v>
      </c>
      <c r="AP532" s="10" t="s">
        <v>4427</v>
      </c>
    </row>
    <row r="533" spans="1:42" s="10" customFormat="1" x14ac:dyDescent="0.3">
      <c r="A533" s="213" t="s">
        <v>1444</v>
      </c>
      <c r="B533" s="10" t="s">
        <v>4050</v>
      </c>
      <c r="C533" s="213" t="s">
        <v>1445</v>
      </c>
      <c r="D533" s="10" t="s">
        <v>4052</v>
      </c>
      <c r="E533" s="213" t="s">
        <v>4328</v>
      </c>
      <c r="F533" s="10" t="s">
        <v>4329</v>
      </c>
      <c r="G533" s="213" t="s">
        <v>4420</v>
      </c>
      <c r="H533" s="10" t="s">
        <v>4421</v>
      </c>
      <c r="K533" s="213" t="s">
        <v>4422</v>
      </c>
      <c r="L533" s="10" t="s">
        <v>4423</v>
      </c>
      <c r="M533" s="18"/>
      <c r="N533" s="18"/>
      <c r="O533" s="18"/>
      <c r="P533" s="16"/>
      <c r="Q533" s="16"/>
      <c r="R533" s="16"/>
      <c r="S533" s="16"/>
      <c r="U533" s="283" t="e">
        <v>#N/A</v>
      </c>
      <c r="V533" s="10" t="s">
        <v>4425</v>
      </c>
      <c r="W533" s="10">
        <v>1</v>
      </c>
      <c r="X533" s="10">
        <v>1</v>
      </c>
      <c r="Y533" s="10">
        <v>1</v>
      </c>
      <c r="Z533" s="10">
        <v>1</v>
      </c>
      <c r="AA533" s="10">
        <v>1</v>
      </c>
      <c r="AB533" s="10">
        <v>0</v>
      </c>
      <c r="AC533" s="316">
        <v>1</v>
      </c>
      <c r="AD533" s="316">
        <v>1</v>
      </c>
      <c r="AE533" s="302">
        <f t="shared" si="16"/>
        <v>0.875</v>
      </c>
      <c r="AF533" s="32"/>
      <c r="AG533" s="17">
        <v>0</v>
      </c>
      <c r="AH533" s="32" t="s">
        <v>271</v>
      </c>
      <c r="AI533" s="32">
        <v>0.2</v>
      </c>
      <c r="AJ533" s="32">
        <v>0.3</v>
      </c>
      <c r="AK533" s="214">
        <v>0.4</v>
      </c>
      <c r="AL533" s="214">
        <v>0.5</v>
      </c>
      <c r="AM533" s="147">
        <f t="shared" si="15"/>
        <v>0.9</v>
      </c>
      <c r="AN533" s="10" t="s">
        <v>1392</v>
      </c>
      <c r="AO533" s="18" t="s">
        <v>880</v>
      </c>
      <c r="AP533" s="10" t="s">
        <v>1035</v>
      </c>
    </row>
    <row r="534" spans="1:42" s="10" customFormat="1" x14ac:dyDescent="0.3">
      <c r="A534" s="213" t="s">
        <v>1444</v>
      </c>
      <c r="B534" s="10" t="s">
        <v>4050</v>
      </c>
      <c r="C534" s="213" t="s">
        <v>1445</v>
      </c>
      <c r="D534" s="10" t="s">
        <v>4052</v>
      </c>
      <c r="E534" s="213" t="s">
        <v>4328</v>
      </c>
      <c r="F534" s="10" t="s">
        <v>4329</v>
      </c>
      <c r="G534" s="213" t="s">
        <v>4420</v>
      </c>
      <c r="H534" s="10" t="s">
        <v>4421</v>
      </c>
      <c r="K534" s="213" t="s">
        <v>4422</v>
      </c>
      <c r="L534" s="10" t="s">
        <v>4423</v>
      </c>
      <c r="M534" s="18"/>
      <c r="N534" s="18"/>
      <c r="O534" s="18"/>
      <c r="P534" s="16"/>
      <c r="Q534" s="16"/>
      <c r="R534" s="16"/>
      <c r="S534" s="16"/>
      <c r="U534" s="283" t="e">
        <v>#N/A</v>
      </c>
      <c r="V534" s="10" t="s">
        <v>4428</v>
      </c>
      <c r="W534" s="10">
        <v>1</v>
      </c>
      <c r="X534" s="10">
        <v>1</v>
      </c>
      <c r="Y534" s="10">
        <v>1</v>
      </c>
      <c r="Z534" s="10">
        <v>1</v>
      </c>
      <c r="AA534" s="10">
        <v>0</v>
      </c>
      <c r="AB534" s="10">
        <v>0</v>
      </c>
      <c r="AC534" s="316">
        <v>1</v>
      </c>
      <c r="AD534" s="316">
        <v>1</v>
      </c>
      <c r="AE534" s="302">
        <f t="shared" si="16"/>
        <v>0.75</v>
      </c>
      <c r="AF534" s="32"/>
      <c r="AG534" s="17">
        <v>0</v>
      </c>
      <c r="AH534" s="32" t="s">
        <v>271</v>
      </c>
      <c r="AI534" s="32">
        <v>0</v>
      </c>
      <c r="AJ534" s="32">
        <v>0</v>
      </c>
      <c r="AK534" s="214">
        <v>0</v>
      </c>
      <c r="AL534" s="214">
        <v>0</v>
      </c>
      <c r="AM534" s="147">
        <f t="shared" si="15"/>
        <v>0</v>
      </c>
      <c r="AN534" s="10" t="s">
        <v>1392</v>
      </c>
      <c r="AO534" s="18" t="s">
        <v>880</v>
      </c>
      <c r="AP534" s="10" t="s">
        <v>119</v>
      </c>
    </row>
    <row r="535" spans="1:42" s="10" customFormat="1" x14ac:dyDescent="0.3">
      <c r="A535" s="213" t="s">
        <v>1444</v>
      </c>
      <c r="B535" s="10" t="s">
        <v>4050</v>
      </c>
      <c r="C535" s="213" t="s">
        <v>1445</v>
      </c>
      <c r="D535" s="10" t="s">
        <v>4052</v>
      </c>
      <c r="E535" s="213" t="s">
        <v>4328</v>
      </c>
      <c r="F535" s="10" t="s">
        <v>4329</v>
      </c>
      <c r="G535" s="213" t="s">
        <v>4420</v>
      </c>
      <c r="H535" s="10" t="s">
        <v>4421</v>
      </c>
      <c r="K535" s="213" t="s">
        <v>4422</v>
      </c>
      <c r="L535" s="10" t="s">
        <v>4423</v>
      </c>
      <c r="M535" s="18"/>
      <c r="N535" s="18"/>
      <c r="O535" s="18"/>
      <c r="P535" s="16"/>
      <c r="Q535" s="16"/>
      <c r="R535" s="16"/>
      <c r="S535" s="16"/>
      <c r="U535" s="283" t="e">
        <v>#N/A</v>
      </c>
      <c r="V535" s="10" t="s">
        <v>4428</v>
      </c>
      <c r="W535" s="10">
        <v>1</v>
      </c>
      <c r="X535" s="10">
        <v>1</v>
      </c>
      <c r="Y535" s="10">
        <v>1</v>
      </c>
      <c r="Z535" s="10">
        <v>1</v>
      </c>
      <c r="AA535" s="10">
        <v>0</v>
      </c>
      <c r="AB535" s="10">
        <v>0</v>
      </c>
      <c r="AC535" s="316">
        <v>1</v>
      </c>
      <c r="AD535" s="316">
        <v>1</v>
      </c>
      <c r="AE535" s="302">
        <f t="shared" si="16"/>
        <v>0.75</v>
      </c>
      <c r="AF535" s="32"/>
      <c r="AG535" s="17">
        <v>0</v>
      </c>
      <c r="AH535" s="32" t="s">
        <v>271</v>
      </c>
      <c r="AI535" s="32">
        <v>0</v>
      </c>
      <c r="AJ535" s="32">
        <v>0</v>
      </c>
      <c r="AK535" s="214">
        <v>0</v>
      </c>
      <c r="AL535" s="214">
        <v>0</v>
      </c>
      <c r="AM535" s="147">
        <f t="shared" si="15"/>
        <v>0</v>
      </c>
      <c r="AN535" s="32" t="s">
        <v>4067</v>
      </c>
      <c r="AO535" s="18" t="s">
        <v>1037</v>
      </c>
      <c r="AP535" s="10" t="s">
        <v>119</v>
      </c>
    </row>
    <row r="536" spans="1:42" s="10" customFormat="1" x14ac:dyDescent="0.3">
      <c r="A536" s="213" t="s">
        <v>1444</v>
      </c>
      <c r="B536" s="10" t="s">
        <v>4050</v>
      </c>
      <c r="C536" s="213" t="s">
        <v>1445</v>
      </c>
      <c r="D536" s="10" t="s">
        <v>4052</v>
      </c>
      <c r="E536" s="213" t="s">
        <v>4328</v>
      </c>
      <c r="F536" s="10" t="s">
        <v>4329</v>
      </c>
      <c r="G536" s="213" t="s">
        <v>4420</v>
      </c>
      <c r="H536" s="10" t="s">
        <v>4421</v>
      </c>
      <c r="K536" s="213" t="s">
        <v>4422</v>
      </c>
      <c r="L536" s="10" t="s">
        <v>4423</v>
      </c>
      <c r="M536" s="18"/>
      <c r="N536" s="18"/>
      <c r="O536" s="18"/>
      <c r="P536" s="16"/>
      <c r="Q536" s="16"/>
      <c r="R536" s="16"/>
      <c r="S536" s="16"/>
      <c r="U536" s="283" t="e">
        <v>#N/A</v>
      </c>
      <c r="V536" s="10" t="s">
        <v>4428</v>
      </c>
      <c r="W536" s="10">
        <v>1</v>
      </c>
      <c r="X536" s="10">
        <v>1</v>
      </c>
      <c r="Y536" s="10">
        <v>1</v>
      </c>
      <c r="Z536" s="10">
        <v>1</v>
      </c>
      <c r="AA536" s="10">
        <v>0</v>
      </c>
      <c r="AB536" s="10">
        <v>0</v>
      </c>
      <c r="AC536" s="316">
        <v>1</v>
      </c>
      <c r="AD536" s="316">
        <v>1</v>
      </c>
      <c r="AE536" s="302">
        <f t="shared" si="16"/>
        <v>0.75</v>
      </c>
      <c r="AF536" s="32"/>
      <c r="AG536" s="17">
        <v>0</v>
      </c>
      <c r="AH536" s="32" t="s">
        <v>271</v>
      </c>
      <c r="AI536" s="32">
        <v>0</v>
      </c>
      <c r="AJ536" s="32">
        <v>0</v>
      </c>
      <c r="AK536" s="214">
        <v>0</v>
      </c>
      <c r="AL536" s="214">
        <v>0</v>
      </c>
      <c r="AM536" s="147">
        <f t="shared" si="15"/>
        <v>0</v>
      </c>
      <c r="AN536" s="176" t="s">
        <v>921</v>
      </c>
      <c r="AO536" s="18" t="s">
        <v>880</v>
      </c>
      <c r="AP536" s="10" t="s">
        <v>119</v>
      </c>
    </row>
    <row r="537" spans="1:42" s="10" customFormat="1" x14ac:dyDescent="0.3">
      <c r="A537" s="213" t="s">
        <v>1444</v>
      </c>
      <c r="B537" s="10" t="s">
        <v>4050</v>
      </c>
      <c r="C537" s="213" t="s">
        <v>1445</v>
      </c>
      <c r="D537" s="10" t="s">
        <v>4052</v>
      </c>
      <c r="E537" s="213" t="s">
        <v>4429</v>
      </c>
      <c r="F537" s="10" t="s">
        <v>4430</v>
      </c>
      <c r="G537" s="213" t="s">
        <v>4431</v>
      </c>
      <c r="H537" s="10" t="s">
        <v>4432</v>
      </c>
      <c r="K537" s="213" t="s">
        <v>4433</v>
      </c>
      <c r="L537" s="10" t="s">
        <v>4434</v>
      </c>
      <c r="M537" s="18" t="s">
        <v>4435</v>
      </c>
      <c r="N537" s="18" t="s">
        <v>271</v>
      </c>
      <c r="O537" s="18">
        <v>10</v>
      </c>
      <c r="P537" s="16">
        <v>20</v>
      </c>
      <c r="Q537" s="16">
        <v>30</v>
      </c>
      <c r="R537" s="16">
        <v>40</v>
      </c>
      <c r="S537" s="16">
        <v>50</v>
      </c>
      <c r="T537" s="10" t="s">
        <v>1035</v>
      </c>
      <c r="U537" s="283" t="s">
        <v>1037</v>
      </c>
      <c r="V537" s="10" t="s">
        <v>4436</v>
      </c>
      <c r="W537" s="10">
        <v>1</v>
      </c>
      <c r="X537" s="10">
        <v>1</v>
      </c>
      <c r="Y537" s="10">
        <v>0</v>
      </c>
      <c r="Z537" s="10">
        <v>1</v>
      </c>
      <c r="AA537" s="10">
        <v>1</v>
      </c>
      <c r="AB537" s="10">
        <v>1</v>
      </c>
      <c r="AC537" s="316">
        <v>0</v>
      </c>
      <c r="AD537" s="316">
        <v>1</v>
      </c>
      <c r="AE537" s="302">
        <f t="shared" si="16"/>
        <v>0.75</v>
      </c>
      <c r="AF537" s="32"/>
      <c r="AG537" s="17">
        <v>0</v>
      </c>
      <c r="AH537" s="32" t="s">
        <v>271</v>
      </c>
      <c r="AI537" s="32">
        <v>0</v>
      </c>
      <c r="AJ537" s="32">
        <v>0</v>
      </c>
      <c r="AK537" s="214">
        <v>0</v>
      </c>
      <c r="AL537" s="214">
        <v>0</v>
      </c>
      <c r="AM537" s="147">
        <f t="shared" si="15"/>
        <v>0</v>
      </c>
      <c r="AN537" s="10" t="s">
        <v>265</v>
      </c>
      <c r="AO537" s="18" t="s">
        <v>350</v>
      </c>
      <c r="AP537" s="10" t="s">
        <v>119</v>
      </c>
    </row>
    <row r="538" spans="1:42" s="10" customFormat="1" x14ac:dyDescent="0.3">
      <c r="A538" s="213" t="s">
        <v>1444</v>
      </c>
      <c r="B538" s="10" t="s">
        <v>4050</v>
      </c>
      <c r="C538" s="213" t="s">
        <v>1445</v>
      </c>
      <c r="D538" s="10" t="s">
        <v>4052</v>
      </c>
      <c r="E538" s="213" t="s">
        <v>4429</v>
      </c>
      <c r="F538" s="10" t="s">
        <v>4430</v>
      </c>
      <c r="G538" s="213" t="s">
        <v>4431</v>
      </c>
      <c r="H538" s="10" t="s">
        <v>4432</v>
      </c>
      <c r="K538" s="213" t="s">
        <v>4433</v>
      </c>
      <c r="L538" s="10" t="s">
        <v>4434</v>
      </c>
      <c r="M538" s="18"/>
      <c r="N538" s="18"/>
      <c r="O538" s="18"/>
      <c r="P538" s="16"/>
      <c r="Q538" s="16"/>
      <c r="R538" s="16"/>
      <c r="S538" s="16"/>
      <c r="U538" s="283" t="e">
        <v>#N/A</v>
      </c>
      <c r="AC538" s="316">
        <v>0</v>
      </c>
      <c r="AD538" s="316">
        <v>0</v>
      </c>
      <c r="AE538" s="302">
        <f t="shared" si="16"/>
        <v>0</v>
      </c>
      <c r="AF538" s="17"/>
      <c r="AG538" s="17">
        <v>0</v>
      </c>
      <c r="AH538" s="17" t="s">
        <v>271</v>
      </c>
      <c r="AI538" s="17">
        <v>0</v>
      </c>
      <c r="AJ538" s="17">
        <v>0</v>
      </c>
      <c r="AK538" s="154">
        <v>0</v>
      </c>
      <c r="AL538" s="154">
        <v>0</v>
      </c>
      <c r="AM538" s="147">
        <f t="shared" si="15"/>
        <v>0</v>
      </c>
      <c r="AN538" s="32" t="s">
        <v>4067</v>
      </c>
      <c r="AO538" s="18" t="s">
        <v>1037</v>
      </c>
      <c r="AP538" s="10" t="s">
        <v>119</v>
      </c>
    </row>
    <row r="539" spans="1:42" s="10" customFormat="1" x14ac:dyDescent="0.3">
      <c r="A539" s="213" t="s">
        <v>1444</v>
      </c>
      <c r="B539" s="10" t="s">
        <v>4050</v>
      </c>
      <c r="C539" s="213" t="s">
        <v>1445</v>
      </c>
      <c r="D539" s="10" t="s">
        <v>4052</v>
      </c>
      <c r="E539" s="213" t="s">
        <v>4429</v>
      </c>
      <c r="F539" s="10" t="s">
        <v>4430</v>
      </c>
      <c r="G539" s="213" t="s">
        <v>4431</v>
      </c>
      <c r="H539" s="10" t="s">
        <v>4432</v>
      </c>
      <c r="K539" s="213" t="s">
        <v>4433</v>
      </c>
      <c r="L539" s="10" t="s">
        <v>4434</v>
      </c>
      <c r="M539" s="18"/>
      <c r="N539" s="18"/>
      <c r="O539" s="18"/>
      <c r="P539" s="16"/>
      <c r="Q539" s="16"/>
      <c r="R539" s="16"/>
      <c r="S539" s="16"/>
      <c r="U539" s="283" t="e">
        <v>#N/A</v>
      </c>
      <c r="AC539" s="316">
        <v>0</v>
      </c>
      <c r="AD539" s="316">
        <v>0</v>
      </c>
      <c r="AE539" s="302">
        <f t="shared" si="16"/>
        <v>0</v>
      </c>
      <c r="AF539" s="17"/>
      <c r="AG539" s="17">
        <v>0</v>
      </c>
      <c r="AH539" s="17" t="s">
        <v>271</v>
      </c>
      <c r="AI539" s="17">
        <v>0</v>
      </c>
      <c r="AJ539" s="17">
        <v>0</v>
      </c>
      <c r="AK539" s="154">
        <v>0</v>
      </c>
      <c r="AL539" s="154">
        <v>0</v>
      </c>
      <c r="AM539" s="147">
        <f t="shared" ref="AM539:AM563" si="17">SUM(AK539:AL539)</f>
        <v>0</v>
      </c>
      <c r="AN539" s="32" t="s">
        <v>1216</v>
      </c>
      <c r="AO539" s="18" t="s">
        <v>1218</v>
      </c>
      <c r="AP539" s="10" t="s">
        <v>119</v>
      </c>
    </row>
    <row r="540" spans="1:42" s="10" customFormat="1" x14ac:dyDescent="0.3">
      <c r="A540" s="213" t="s">
        <v>1444</v>
      </c>
      <c r="B540" s="10" t="s">
        <v>4050</v>
      </c>
      <c r="C540" s="213" t="s">
        <v>1445</v>
      </c>
      <c r="D540" s="10" t="s">
        <v>4052</v>
      </c>
      <c r="E540" s="213" t="s">
        <v>4429</v>
      </c>
      <c r="F540" s="10" t="s">
        <v>4430</v>
      </c>
      <c r="G540" s="213" t="s">
        <v>4431</v>
      </c>
      <c r="H540" s="10" t="s">
        <v>4432</v>
      </c>
      <c r="K540" s="213" t="s">
        <v>4433</v>
      </c>
      <c r="L540" s="10" t="s">
        <v>4434</v>
      </c>
      <c r="M540" s="18"/>
      <c r="N540" s="18"/>
      <c r="O540" s="18"/>
      <c r="P540" s="16"/>
      <c r="Q540" s="16"/>
      <c r="R540" s="16"/>
      <c r="S540" s="16"/>
      <c r="U540" s="283" t="e">
        <v>#N/A</v>
      </c>
      <c r="AC540" s="316">
        <v>0</v>
      </c>
      <c r="AD540" s="316">
        <v>0</v>
      </c>
      <c r="AE540" s="302">
        <f t="shared" si="16"/>
        <v>0</v>
      </c>
      <c r="AF540" s="17"/>
      <c r="AG540" s="17">
        <v>0</v>
      </c>
      <c r="AH540" s="17" t="s">
        <v>271</v>
      </c>
      <c r="AI540" s="17">
        <v>0</v>
      </c>
      <c r="AJ540" s="17">
        <v>0</v>
      </c>
      <c r="AK540" s="154">
        <v>0</v>
      </c>
      <c r="AL540" s="154">
        <v>0</v>
      </c>
      <c r="AM540" s="147">
        <f t="shared" si="17"/>
        <v>0</v>
      </c>
      <c r="AN540" s="10" t="s">
        <v>1233</v>
      </c>
      <c r="AO540" s="18" t="s">
        <v>1650</v>
      </c>
      <c r="AP540" s="10" t="s">
        <v>119</v>
      </c>
    </row>
    <row r="541" spans="1:42" s="10" customFormat="1" x14ac:dyDescent="0.3">
      <c r="A541" s="213" t="s">
        <v>1444</v>
      </c>
      <c r="B541" s="10" t="s">
        <v>4050</v>
      </c>
      <c r="C541" s="213" t="s">
        <v>1445</v>
      </c>
      <c r="D541" s="10" t="s">
        <v>4052</v>
      </c>
      <c r="E541" s="213" t="s">
        <v>4429</v>
      </c>
      <c r="F541" s="10" t="s">
        <v>4430</v>
      </c>
      <c r="G541" s="213" t="s">
        <v>4431</v>
      </c>
      <c r="H541" s="10" t="s">
        <v>4432</v>
      </c>
      <c r="K541" s="213" t="s">
        <v>4433</v>
      </c>
      <c r="L541" s="10" t="s">
        <v>4434</v>
      </c>
      <c r="M541" s="18"/>
      <c r="N541" s="18"/>
      <c r="O541" s="18"/>
      <c r="P541" s="16"/>
      <c r="Q541" s="16"/>
      <c r="R541" s="16"/>
      <c r="S541" s="16"/>
      <c r="U541" s="283" t="e">
        <v>#N/A</v>
      </c>
      <c r="AC541" s="316">
        <v>0</v>
      </c>
      <c r="AD541" s="316">
        <v>0</v>
      </c>
      <c r="AE541" s="302">
        <f t="shared" si="16"/>
        <v>0</v>
      </c>
      <c r="AF541" s="17"/>
      <c r="AG541" s="17">
        <v>0</v>
      </c>
      <c r="AH541" s="17" t="s">
        <v>271</v>
      </c>
      <c r="AI541" s="17">
        <v>0</v>
      </c>
      <c r="AJ541" s="17">
        <v>0</v>
      </c>
      <c r="AK541" s="154">
        <v>0</v>
      </c>
      <c r="AL541" s="154">
        <v>0</v>
      </c>
      <c r="AM541" s="147">
        <f t="shared" si="17"/>
        <v>0</v>
      </c>
      <c r="AN541" s="176" t="s">
        <v>921</v>
      </c>
      <c r="AO541" s="18" t="s">
        <v>880</v>
      </c>
      <c r="AP541" s="10" t="s">
        <v>119</v>
      </c>
    </row>
    <row r="542" spans="1:42" s="10" customFormat="1" x14ac:dyDescent="0.3">
      <c r="A542" s="213" t="s">
        <v>1444</v>
      </c>
      <c r="B542" s="10" t="s">
        <v>4050</v>
      </c>
      <c r="C542" s="213" t="s">
        <v>1445</v>
      </c>
      <c r="D542" s="10" t="s">
        <v>4052</v>
      </c>
      <c r="E542" s="213" t="s">
        <v>4429</v>
      </c>
      <c r="F542" s="10" t="s">
        <v>4430</v>
      </c>
      <c r="G542" s="213" t="s">
        <v>4431</v>
      </c>
      <c r="H542" s="10" t="s">
        <v>4432</v>
      </c>
      <c r="K542" s="213" t="s">
        <v>4433</v>
      </c>
      <c r="L542" s="10" t="s">
        <v>4434</v>
      </c>
      <c r="M542" s="18"/>
      <c r="N542" s="18"/>
      <c r="O542" s="18"/>
      <c r="P542" s="16"/>
      <c r="Q542" s="16"/>
      <c r="R542" s="16"/>
      <c r="S542" s="16"/>
      <c r="U542" s="283" t="e">
        <v>#N/A</v>
      </c>
      <c r="V542" s="10" t="s">
        <v>4437</v>
      </c>
      <c r="W542" s="10">
        <v>1</v>
      </c>
      <c r="X542" s="10">
        <v>1</v>
      </c>
      <c r="Y542" s="10">
        <v>0</v>
      </c>
      <c r="Z542" s="10">
        <v>1</v>
      </c>
      <c r="AA542" s="10">
        <v>1</v>
      </c>
      <c r="AB542" s="10">
        <v>1</v>
      </c>
      <c r="AC542" s="316">
        <v>0</v>
      </c>
      <c r="AD542" s="316">
        <v>1</v>
      </c>
      <c r="AE542" s="302">
        <f t="shared" ref="AE542:AE563" si="18">SUM(W542:AD542)/8</f>
        <v>0.75</v>
      </c>
      <c r="AF542" s="32"/>
      <c r="AG542" s="17">
        <v>0</v>
      </c>
      <c r="AH542" s="32" t="s">
        <v>271</v>
      </c>
      <c r="AI542" s="32">
        <v>0.2</v>
      </c>
      <c r="AJ542" s="32">
        <v>0.2</v>
      </c>
      <c r="AK542" s="214">
        <v>0.2</v>
      </c>
      <c r="AL542" s="214">
        <v>0.2</v>
      </c>
      <c r="AM542" s="147">
        <f t="shared" si="17"/>
        <v>0.4</v>
      </c>
      <c r="AN542" s="176" t="s">
        <v>921</v>
      </c>
      <c r="AO542" s="18" t="s">
        <v>880</v>
      </c>
      <c r="AP542" s="10" t="s">
        <v>4438</v>
      </c>
    </row>
    <row r="543" spans="1:42" s="10" customFormat="1" x14ac:dyDescent="0.3">
      <c r="A543" s="213" t="s">
        <v>1444</v>
      </c>
      <c r="B543" s="10" t="s">
        <v>4050</v>
      </c>
      <c r="C543" s="213" t="s">
        <v>1445</v>
      </c>
      <c r="D543" s="10" t="s">
        <v>4052</v>
      </c>
      <c r="E543" s="213" t="s">
        <v>4429</v>
      </c>
      <c r="F543" s="10" t="s">
        <v>4430</v>
      </c>
      <c r="G543" s="213" t="s">
        <v>4431</v>
      </c>
      <c r="H543" s="10" t="s">
        <v>4432</v>
      </c>
      <c r="K543" s="213" t="s">
        <v>4433</v>
      </c>
      <c r="L543" s="10" t="s">
        <v>4434</v>
      </c>
      <c r="M543" s="18"/>
      <c r="N543" s="18"/>
      <c r="O543" s="18"/>
      <c r="P543" s="16"/>
      <c r="Q543" s="16"/>
      <c r="R543" s="16"/>
      <c r="S543" s="16"/>
      <c r="U543" s="283" t="e">
        <v>#N/A</v>
      </c>
      <c r="AC543" s="316">
        <v>0</v>
      </c>
      <c r="AD543" s="316">
        <v>0</v>
      </c>
      <c r="AE543" s="302">
        <f t="shared" si="18"/>
        <v>0</v>
      </c>
      <c r="AF543" s="17"/>
      <c r="AG543" s="17">
        <v>0</v>
      </c>
      <c r="AH543" s="17" t="s">
        <v>271</v>
      </c>
      <c r="AI543" s="17">
        <v>0</v>
      </c>
      <c r="AJ543" s="17">
        <v>0</v>
      </c>
      <c r="AK543" s="154">
        <v>0</v>
      </c>
      <c r="AL543" s="154">
        <v>0</v>
      </c>
      <c r="AM543" s="147">
        <f t="shared" si="17"/>
        <v>0</v>
      </c>
      <c r="AN543" s="32" t="s">
        <v>1446</v>
      </c>
      <c r="AO543" s="18" t="s">
        <v>3715</v>
      </c>
      <c r="AP543" s="10" t="s">
        <v>119</v>
      </c>
    </row>
    <row r="544" spans="1:42" s="10" customFormat="1" x14ac:dyDescent="0.3">
      <c r="A544" s="213" t="s">
        <v>1444</v>
      </c>
      <c r="B544" s="10" t="s">
        <v>4050</v>
      </c>
      <c r="C544" s="213" t="s">
        <v>1445</v>
      </c>
      <c r="D544" s="10" t="s">
        <v>4052</v>
      </c>
      <c r="E544" s="213" t="s">
        <v>4429</v>
      </c>
      <c r="F544" s="10" t="s">
        <v>4430</v>
      </c>
      <c r="G544" s="213" t="s">
        <v>4431</v>
      </c>
      <c r="H544" s="10" t="s">
        <v>4432</v>
      </c>
      <c r="K544" s="213" t="s">
        <v>4433</v>
      </c>
      <c r="L544" s="10" t="s">
        <v>4434</v>
      </c>
      <c r="M544" s="18"/>
      <c r="N544" s="18"/>
      <c r="O544" s="18"/>
      <c r="P544" s="16"/>
      <c r="Q544" s="16"/>
      <c r="R544" s="16"/>
      <c r="S544" s="16"/>
      <c r="U544" s="283" t="e">
        <v>#N/A</v>
      </c>
      <c r="AC544" s="316">
        <v>0</v>
      </c>
      <c r="AD544" s="316">
        <v>0</v>
      </c>
      <c r="AE544" s="302">
        <f t="shared" si="18"/>
        <v>0</v>
      </c>
      <c r="AF544" s="17"/>
      <c r="AG544" s="17">
        <v>0</v>
      </c>
      <c r="AH544" s="17" t="s">
        <v>271</v>
      </c>
      <c r="AI544" s="17">
        <v>0</v>
      </c>
      <c r="AJ544" s="17">
        <v>0</v>
      </c>
      <c r="AK544" s="154">
        <v>0</v>
      </c>
      <c r="AL544" s="154">
        <v>0</v>
      </c>
      <c r="AM544" s="147">
        <f t="shared" si="17"/>
        <v>0</v>
      </c>
      <c r="AN544" s="10" t="s">
        <v>265</v>
      </c>
      <c r="AO544" s="18" t="s">
        <v>350</v>
      </c>
      <c r="AP544" s="10" t="s">
        <v>1035</v>
      </c>
    </row>
    <row r="545" spans="1:42" s="10" customFormat="1" x14ac:dyDescent="0.3">
      <c r="A545" s="213" t="s">
        <v>1444</v>
      </c>
      <c r="B545" s="10" t="s">
        <v>4050</v>
      </c>
      <c r="C545" s="213" t="s">
        <v>1445</v>
      </c>
      <c r="D545" s="10" t="s">
        <v>4052</v>
      </c>
      <c r="E545" s="213" t="s">
        <v>4429</v>
      </c>
      <c r="F545" s="10" t="s">
        <v>4430</v>
      </c>
      <c r="G545" s="213" t="s">
        <v>4431</v>
      </c>
      <c r="H545" s="10" t="s">
        <v>4432</v>
      </c>
      <c r="K545" s="213" t="s">
        <v>4433</v>
      </c>
      <c r="L545" s="10" t="s">
        <v>4434</v>
      </c>
      <c r="M545" s="18"/>
      <c r="N545" s="18"/>
      <c r="O545" s="18"/>
      <c r="P545" s="16"/>
      <c r="Q545" s="16"/>
      <c r="R545" s="16"/>
      <c r="S545" s="16"/>
      <c r="U545" s="283" t="e">
        <v>#N/A</v>
      </c>
      <c r="V545" s="10" t="s">
        <v>4437</v>
      </c>
      <c r="W545" s="10">
        <v>1</v>
      </c>
      <c r="X545" s="10">
        <v>1</v>
      </c>
      <c r="Y545" s="10">
        <v>0</v>
      </c>
      <c r="Z545" s="10">
        <v>1</v>
      </c>
      <c r="AA545" s="10">
        <v>1</v>
      </c>
      <c r="AB545" s="10">
        <v>1</v>
      </c>
      <c r="AC545" s="316">
        <v>0</v>
      </c>
      <c r="AD545" s="316">
        <v>1</v>
      </c>
      <c r="AE545" s="302">
        <f t="shared" si="18"/>
        <v>0.75</v>
      </c>
      <c r="AF545" s="17"/>
      <c r="AG545" s="17">
        <v>0</v>
      </c>
      <c r="AH545" s="17" t="s">
        <v>271</v>
      </c>
      <c r="AI545" s="17">
        <v>0.1</v>
      </c>
      <c r="AJ545" s="17">
        <v>0.1</v>
      </c>
      <c r="AK545" s="154">
        <v>0.1</v>
      </c>
      <c r="AL545" s="154">
        <v>0.1</v>
      </c>
      <c r="AM545" s="147">
        <f t="shared" si="17"/>
        <v>0.2</v>
      </c>
      <c r="AN545" s="10" t="s">
        <v>1233</v>
      </c>
      <c r="AO545" s="18" t="s">
        <v>1650</v>
      </c>
      <c r="AP545" s="10" t="s">
        <v>4439</v>
      </c>
    </row>
    <row r="546" spans="1:42" s="10" customFormat="1" x14ac:dyDescent="0.3">
      <c r="A546" s="213" t="s">
        <v>1444</v>
      </c>
      <c r="B546" s="10" t="s">
        <v>4050</v>
      </c>
      <c r="C546" s="213" t="s">
        <v>1445</v>
      </c>
      <c r="D546" s="10" t="s">
        <v>4052</v>
      </c>
      <c r="E546" s="213" t="s">
        <v>4429</v>
      </c>
      <c r="F546" s="10" t="s">
        <v>4430</v>
      </c>
      <c r="G546" s="213" t="s">
        <v>4440</v>
      </c>
      <c r="H546" s="10" t="s">
        <v>4441</v>
      </c>
      <c r="K546" s="213" t="s">
        <v>4442</v>
      </c>
      <c r="L546" s="10" t="s">
        <v>4443</v>
      </c>
      <c r="M546" s="18" t="s">
        <v>4444</v>
      </c>
      <c r="N546" s="18">
        <v>1</v>
      </c>
      <c r="O546" s="18">
        <v>2</v>
      </c>
      <c r="P546" s="16">
        <v>3</v>
      </c>
      <c r="Q546" s="16">
        <v>3</v>
      </c>
      <c r="R546" s="16">
        <v>3</v>
      </c>
      <c r="S546" s="16">
        <v>3</v>
      </c>
      <c r="T546" s="10" t="s">
        <v>1035</v>
      </c>
      <c r="U546" s="283" t="s">
        <v>1037</v>
      </c>
      <c r="V546" s="10" t="s">
        <v>4445</v>
      </c>
      <c r="W546" s="10">
        <v>1</v>
      </c>
      <c r="X546" s="10">
        <v>1</v>
      </c>
      <c r="Y546" s="10">
        <v>0</v>
      </c>
      <c r="Z546" s="10">
        <v>1</v>
      </c>
      <c r="AA546" s="10">
        <v>1</v>
      </c>
      <c r="AB546" s="10">
        <v>1</v>
      </c>
      <c r="AC546" s="316">
        <v>0</v>
      </c>
      <c r="AD546" s="316">
        <v>1</v>
      </c>
      <c r="AE546" s="302">
        <f t="shared" si="18"/>
        <v>0.75</v>
      </c>
      <c r="AF546" s="32"/>
      <c r="AG546" s="17">
        <v>0</v>
      </c>
      <c r="AH546" s="32">
        <v>5</v>
      </c>
      <c r="AI546" s="32">
        <v>5</v>
      </c>
      <c r="AJ546" s="32">
        <v>5</v>
      </c>
      <c r="AK546" s="214">
        <v>5</v>
      </c>
      <c r="AL546" s="214">
        <v>5</v>
      </c>
      <c r="AM546" s="147">
        <f t="shared" si="17"/>
        <v>10</v>
      </c>
      <c r="AN546" s="176" t="s">
        <v>921</v>
      </c>
      <c r="AO546" s="18" t="s">
        <v>880</v>
      </c>
      <c r="AP546" s="10" t="s">
        <v>4446</v>
      </c>
    </row>
    <row r="547" spans="1:42" s="10" customFormat="1" x14ac:dyDescent="0.3">
      <c r="A547" s="213" t="s">
        <v>1444</v>
      </c>
      <c r="B547" s="10" t="s">
        <v>4050</v>
      </c>
      <c r="C547" s="213" t="s">
        <v>1445</v>
      </c>
      <c r="D547" s="10" t="s">
        <v>4052</v>
      </c>
      <c r="E547" s="213" t="s">
        <v>4429</v>
      </c>
      <c r="F547" s="10" t="s">
        <v>4430</v>
      </c>
      <c r="G547" s="213" t="s">
        <v>4440</v>
      </c>
      <c r="H547" s="10" t="s">
        <v>4441</v>
      </c>
      <c r="K547" s="213" t="s">
        <v>4442</v>
      </c>
      <c r="L547" s="10" t="s">
        <v>4443</v>
      </c>
      <c r="M547" s="18"/>
      <c r="N547" s="18"/>
      <c r="O547" s="18"/>
      <c r="P547" s="16"/>
      <c r="Q547" s="16"/>
      <c r="R547" s="16"/>
      <c r="S547" s="16"/>
      <c r="U547" s="283" t="e">
        <v>#N/A</v>
      </c>
      <c r="V547" s="10" t="s">
        <v>4445</v>
      </c>
      <c r="W547" s="10">
        <v>1</v>
      </c>
      <c r="X547" s="10">
        <v>1</v>
      </c>
      <c r="Y547" s="10">
        <v>0</v>
      </c>
      <c r="Z547" s="10">
        <v>1</v>
      </c>
      <c r="AA547" s="10">
        <v>1</v>
      </c>
      <c r="AB547" s="10">
        <v>1</v>
      </c>
      <c r="AC547" s="316">
        <v>0</v>
      </c>
      <c r="AD547" s="316">
        <v>1</v>
      </c>
      <c r="AE547" s="302">
        <f t="shared" si="18"/>
        <v>0.75</v>
      </c>
      <c r="AF547" s="17"/>
      <c r="AG547" s="17">
        <v>0</v>
      </c>
      <c r="AH547" s="17" t="s">
        <v>271</v>
      </c>
      <c r="AI547" s="17">
        <v>0.1</v>
      </c>
      <c r="AJ547" s="17">
        <v>0.1</v>
      </c>
      <c r="AK547" s="154">
        <v>0.1</v>
      </c>
      <c r="AL547" s="154">
        <v>0.1</v>
      </c>
      <c r="AM547" s="147">
        <f t="shared" si="17"/>
        <v>0.2</v>
      </c>
      <c r="AN547" s="32" t="s">
        <v>4067</v>
      </c>
      <c r="AO547" s="18" t="s">
        <v>1037</v>
      </c>
      <c r="AP547" s="10" t="s">
        <v>4447</v>
      </c>
    </row>
    <row r="548" spans="1:42" s="10" customFormat="1" x14ac:dyDescent="0.3">
      <c r="A548" s="213" t="s">
        <v>1444</v>
      </c>
      <c r="B548" s="10" t="s">
        <v>4050</v>
      </c>
      <c r="C548" s="213" t="s">
        <v>1445</v>
      </c>
      <c r="D548" s="10" t="s">
        <v>4052</v>
      </c>
      <c r="E548" s="213" t="s">
        <v>4429</v>
      </c>
      <c r="F548" s="10" t="s">
        <v>4430</v>
      </c>
      <c r="G548" s="213" t="s">
        <v>4440</v>
      </c>
      <c r="H548" s="10" t="s">
        <v>4441</v>
      </c>
      <c r="K548" s="213" t="s">
        <v>4442</v>
      </c>
      <c r="L548" s="10" t="s">
        <v>4443</v>
      </c>
      <c r="M548" s="18"/>
      <c r="N548" s="18"/>
      <c r="O548" s="18"/>
      <c r="P548" s="16"/>
      <c r="Q548" s="16"/>
      <c r="R548" s="16"/>
      <c r="S548" s="16"/>
      <c r="U548" s="283" t="e">
        <v>#N/A</v>
      </c>
      <c r="V548" s="10" t="s">
        <v>4445</v>
      </c>
      <c r="W548" s="10">
        <v>1</v>
      </c>
      <c r="X548" s="10">
        <v>1</v>
      </c>
      <c r="Y548" s="10">
        <v>0</v>
      </c>
      <c r="Z548" s="10">
        <v>1</v>
      </c>
      <c r="AA548" s="10">
        <v>1</v>
      </c>
      <c r="AB548" s="10">
        <v>1</v>
      </c>
      <c r="AC548" s="316">
        <v>0</v>
      </c>
      <c r="AD548" s="316">
        <v>1</v>
      </c>
      <c r="AE548" s="302">
        <f t="shared" si="18"/>
        <v>0.75</v>
      </c>
      <c r="AF548" s="17"/>
      <c r="AG548" s="17">
        <v>0</v>
      </c>
      <c r="AH548" s="17" t="s">
        <v>271</v>
      </c>
      <c r="AI548" s="17">
        <v>0.1</v>
      </c>
      <c r="AJ548" s="17">
        <v>0.1</v>
      </c>
      <c r="AK548" s="154">
        <v>0.1</v>
      </c>
      <c r="AL548" s="154">
        <v>0.1</v>
      </c>
      <c r="AM548" s="147">
        <f t="shared" si="17"/>
        <v>0.2</v>
      </c>
      <c r="AN548" s="18" t="s">
        <v>869</v>
      </c>
      <c r="AO548" s="18" t="s">
        <v>871</v>
      </c>
      <c r="AP548" s="10" t="s">
        <v>119</v>
      </c>
    </row>
    <row r="549" spans="1:42" s="10" customFormat="1" x14ac:dyDescent="0.3">
      <c r="A549" s="213" t="s">
        <v>1444</v>
      </c>
      <c r="B549" s="10" t="s">
        <v>4050</v>
      </c>
      <c r="C549" s="213" t="s">
        <v>1445</v>
      </c>
      <c r="D549" s="10" t="s">
        <v>4052</v>
      </c>
      <c r="E549" s="213" t="s">
        <v>4429</v>
      </c>
      <c r="F549" s="10" t="s">
        <v>4430</v>
      </c>
      <c r="G549" s="213" t="s">
        <v>4440</v>
      </c>
      <c r="H549" s="10" t="s">
        <v>4441</v>
      </c>
      <c r="K549" s="213" t="s">
        <v>4442</v>
      </c>
      <c r="L549" s="10" t="s">
        <v>4443</v>
      </c>
      <c r="M549" s="18"/>
      <c r="N549" s="18"/>
      <c r="O549" s="18"/>
      <c r="P549" s="16"/>
      <c r="Q549" s="16"/>
      <c r="R549" s="16"/>
      <c r="S549" s="16"/>
      <c r="U549" s="283" t="e">
        <v>#N/A</v>
      </c>
      <c r="V549" s="10" t="s">
        <v>4445</v>
      </c>
      <c r="W549" s="10">
        <v>1</v>
      </c>
      <c r="X549" s="10">
        <v>1</v>
      </c>
      <c r="Y549" s="10">
        <v>0</v>
      </c>
      <c r="Z549" s="10">
        <v>1</v>
      </c>
      <c r="AA549" s="10">
        <v>1</v>
      </c>
      <c r="AB549" s="10">
        <v>1</v>
      </c>
      <c r="AC549" s="316">
        <v>0</v>
      </c>
      <c r="AD549" s="316">
        <v>1</v>
      </c>
      <c r="AE549" s="302">
        <f t="shared" si="18"/>
        <v>0.75</v>
      </c>
      <c r="AF549" s="17"/>
      <c r="AG549" s="17">
        <v>0</v>
      </c>
      <c r="AH549" s="17" t="s">
        <v>271</v>
      </c>
      <c r="AI549" s="17">
        <v>0.2</v>
      </c>
      <c r="AJ549" s="17">
        <v>0.2</v>
      </c>
      <c r="AK549" s="154">
        <v>0.2</v>
      </c>
      <c r="AL549" s="154">
        <v>0.2</v>
      </c>
      <c r="AM549" s="147">
        <f t="shared" si="17"/>
        <v>0.4</v>
      </c>
      <c r="AN549" s="10" t="s">
        <v>265</v>
      </c>
      <c r="AO549" s="18" t="s">
        <v>350</v>
      </c>
      <c r="AP549" s="10" t="s">
        <v>4448</v>
      </c>
    </row>
    <row r="550" spans="1:42" s="10" customFormat="1" x14ac:dyDescent="0.3">
      <c r="A550" s="213" t="s">
        <v>1444</v>
      </c>
      <c r="B550" s="10" t="s">
        <v>4050</v>
      </c>
      <c r="C550" s="213" t="s">
        <v>1445</v>
      </c>
      <c r="D550" s="10" t="s">
        <v>4052</v>
      </c>
      <c r="E550" s="213" t="s">
        <v>4429</v>
      </c>
      <c r="F550" s="10" t="s">
        <v>4430</v>
      </c>
      <c r="G550" s="213" t="s">
        <v>4440</v>
      </c>
      <c r="H550" s="10" t="s">
        <v>4441</v>
      </c>
      <c r="K550" s="213" t="s">
        <v>4442</v>
      </c>
      <c r="L550" s="10" t="s">
        <v>4443</v>
      </c>
      <c r="M550" s="18"/>
      <c r="N550" s="18"/>
      <c r="O550" s="18"/>
      <c r="P550" s="16"/>
      <c r="Q550" s="16"/>
      <c r="R550" s="16"/>
      <c r="S550" s="16"/>
      <c r="U550" s="283" t="e">
        <v>#N/A</v>
      </c>
      <c r="V550" s="10" t="s">
        <v>4449</v>
      </c>
      <c r="W550" s="10">
        <v>1</v>
      </c>
      <c r="X550" s="10">
        <v>1</v>
      </c>
      <c r="Y550" s="10">
        <v>0</v>
      </c>
      <c r="Z550" s="10">
        <v>1</v>
      </c>
      <c r="AA550" s="10">
        <v>0</v>
      </c>
      <c r="AB550" s="10">
        <v>0</v>
      </c>
      <c r="AC550" s="316">
        <v>0</v>
      </c>
      <c r="AD550" s="316">
        <v>1</v>
      </c>
      <c r="AE550" s="302">
        <f t="shared" si="18"/>
        <v>0.5</v>
      </c>
      <c r="AF550" s="32"/>
      <c r="AG550" s="17">
        <v>0</v>
      </c>
      <c r="AH550" s="32" t="s">
        <v>271</v>
      </c>
      <c r="AI550" s="32">
        <v>0</v>
      </c>
      <c r="AJ550" s="32">
        <v>0</v>
      </c>
      <c r="AK550" s="214">
        <v>0</v>
      </c>
      <c r="AL550" s="214">
        <v>0</v>
      </c>
      <c r="AM550" s="147">
        <f t="shared" si="17"/>
        <v>0</v>
      </c>
      <c r="AN550" s="32" t="s">
        <v>879</v>
      </c>
      <c r="AO550" s="18" t="s">
        <v>880</v>
      </c>
      <c r="AP550" s="10" t="s">
        <v>119</v>
      </c>
    </row>
    <row r="551" spans="1:42" s="10" customFormat="1" x14ac:dyDescent="0.3">
      <c r="A551" s="213" t="s">
        <v>1444</v>
      </c>
      <c r="B551" s="10" t="s">
        <v>4050</v>
      </c>
      <c r="C551" s="213" t="s">
        <v>1445</v>
      </c>
      <c r="D551" s="10" t="s">
        <v>4052</v>
      </c>
      <c r="E551" s="213" t="s">
        <v>4429</v>
      </c>
      <c r="F551" s="10" t="s">
        <v>4430</v>
      </c>
      <c r="G551" s="213" t="s">
        <v>4450</v>
      </c>
      <c r="H551" s="10" t="s">
        <v>4451</v>
      </c>
      <c r="K551" s="213" t="s">
        <v>4452</v>
      </c>
      <c r="L551" s="10" t="s">
        <v>4453</v>
      </c>
      <c r="M551" s="18" t="s">
        <v>4454</v>
      </c>
      <c r="N551" s="18">
        <v>4</v>
      </c>
      <c r="O551" s="18">
        <v>5</v>
      </c>
      <c r="P551" s="16">
        <v>5</v>
      </c>
      <c r="Q551" s="16">
        <v>5</v>
      </c>
      <c r="R551" s="16">
        <v>5</v>
      </c>
      <c r="S551" s="16">
        <v>5</v>
      </c>
      <c r="T551" s="10" t="s">
        <v>1035</v>
      </c>
      <c r="U551" s="283" t="s">
        <v>1037</v>
      </c>
      <c r="V551" s="10" t="s">
        <v>4455</v>
      </c>
      <c r="W551" s="10">
        <v>1</v>
      </c>
      <c r="X551" s="10">
        <v>0</v>
      </c>
      <c r="Y551" s="10">
        <v>0</v>
      </c>
      <c r="Z551" s="10">
        <v>1</v>
      </c>
      <c r="AA551" s="10">
        <v>1</v>
      </c>
      <c r="AB551" s="10">
        <v>0</v>
      </c>
      <c r="AC551" s="316">
        <v>0</v>
      </c>
      <c r="AD551" s="316">
        <v>1</v>
      </c>
      <c r="AE551" s="302">
        <f t="shared" si="18"/>
        <v>0.5</v>
      </c>
      <c r="AF551" s="32"/>
      <c r="AG551" s="17">
        <v>0</v>
      </c>
      <c r="AH551" s="32">
        <v>1</v>
      </c>
      <c r="AI551" s="32">
        <v>0.2</v>
      </c>
      <c r="AJ551" s="32">
        <v>0.2</v>
      </c>
      <c r="AK551" s="214">
        <v>0.2</v>
      </c>
      <c r="AL551" s="214">
        <v>0.2</v>
      </c>
      <c r="AM551" s="147">
        <f t="shared" si="17"/>
        <v>0.4</v>
      </c>
      <c r="AN551" s="32" t="s">
        <v>4067</v>
      </c>
      <c r="AO551" s="18" t="s">
        <v>1037</v>
      </c>
      <c r="AP551" s="10" t="s">
        <v>4456</v>
      </c>
    </row>
    <row r="552" spans="1:42" s="10" customFormat="1" x14ac:dyDescent="0.3">
      <c r="A552" s="213" t="s">
        <v>1444</v>
      </c>
      <c r="B552" s="10" t="s">
        <v>4050</v>
      </c>
      <c r="C552" s="213" t="s">
        <v>1445</v>
      </c>
      <c r="D552" s="10" t="s">
        <v>4052</v>
      </c>
      <c r="E552" s="213" t="s">
        <v>4429</v>
      </c>
      <c r="F552" s="10" t="s">
        <v>4430</v>
      </c>
      <c r="G552" s="213" t="s">
        <v>4450</v>
      </c>
      <c r="H552" s="10" t="s">
        <v>4451</v>
      </c>
      <c r="K552" s="213" t="s">
        <v>4452</v>
      </c>
      <c r="L552" s="10" t="s">
        <v>4453</v>
      </c>
      <c r="M552" s="18" t="s">
        <v>4457</v>
      </c>
      <c r="N552" s="18" t="s">
        <v>271</v>
      </c>
      <c r="O552" s="18" t="s">
        <v>271</v>
      </c>
      <c r="P552" s="16">
        <v>1</v>
      </c>
      <c r="Q552" s="16" t="s">
        <v>271</v>
      </c>
      <c r="R552" s="16" t="s">
        <v>271</v>
      </c>
      <c r="S552" s="16" t="s">
        <v>271</v>
      </c>
      <c r="T552" s="10" t="s">
        <v>1035</v>
      </c>
      <c r="U552" s="283" t="s">
        <v>1037</v>
      </c>
      <c r="V552" s="10" t="s">
        <v>4458</v>
      </c>
      <c r="W552" s="10">
        <v>1</v>
      </c>
      <c r="X552" s="10">
        <v>0</v>
      </c>
      <c r="Y552" s="10">
        <v>0</v>
      </c>
      <c r="Z552" s="10">
        <v>1</v>
      </c>
      <c r="AA552" s="10">
        <v>1</v>
      </c>
      <c r="AB552" s="10">
        <v>1</v>
      </c>
      <c r="AC552" s="316">
        <v>0</v>
      </c>
      <c r="AD552" s="316">
        <v>1</v>
      </c>
      <c r="AE552" s="302">
        <f t="shared" si="18"/>
        <v>0.625</v>
      </c>
      <c r="AF552" s="32"/>
      <c r="AG552" s="17">
        <v>0</v>
      </c>
      <c r="AH552" s="32" t="s">
        <v>271</v>
      </c>
      <c r="AI552" s="32">
        <v>0.1</v>
      </c>
      <c r="AJ552" s="32">
        <v>0.1</v>
      </c>
      <c r="AK552" s="214">
        <v>0.1</v>
      </c>
      <c r="AL552" s="214">
        <v>0.1</v>
      </c>
      <c r="AM552" s="147">
        <f t="shared" si="17"/>
        <v>0.2</v>
      </c>
      <c r="AN552" s="18" t="s">
        <v>869</v>
      </c>
      <c r="AO552" s="18" t="s">
        <v>871</v>
      </c>
      <c r="AP552" s="10" t="s">
        <v>4459</v>
      </c>
    </row>
    <row r="553" spans="1:42" s="10" customFormat="1" x14ac:dyDescent="0.3">
      <c r="A553" s="213" t="s">
        <v>1444</v>
      </c>
      <c r="B553" s="10" t="s">
        <v>4050</v>
      </c>
      <c r="C553" s="213" t="s">
        <v>1445</v>
      </c>
      <c r="D553" s="10" t="s">
        <v>4052</v>
      </c>
      <c r="E553" s="213" t="s">
        <v>4429</v>
      </c>
      <c r="F553" s="10" t="s">
        <v>4430</v>
      </c>
      <c r="G553" s="213" t="s">
        <v>4450</v>
      </c>
      <c r="H553" s="10" t="s">
        <v>4451</v>
      </c>
      <c r="K553" s="213" t="s">
        <v>4452</v>
      </c>
      <c r="L553" s="10" t="s">
        <v>4453</v>
      </c>
      <c r="M553" s="18"/>
      <c r="N553" s="18"/>
      <c r="O553" s="18"/>
      <c r="P553" s="16"/>
      <c r="Q553" s="16"/>
      <c r="R553" s="16"/>
      <c r="S553" s="16"/>
      <c r="U553" s="283" t="e">
        <v>#N/A</v>
      </c>
      <c r="V553" s="10" t="s">
        <v>4460</v>
      </c>
      <c r="W553" s="10">
        <v>1</v>
      </c>
      <c r="X553" s="10">
        <v>0</v>
      </c>
      <c r="Y553" s="10">
        <v>0</v>
      </c>
      <c r="Z553" s="10">
        <v>1</v>
      </c>
      <c r="AA553" s="10">
        <v>1</v>
      </c>
      <c r="AB553" s="10">
        <v>1</v>
      </c>
      <c r="AC553" s="316">
        <v>0</v>
      </c>
      <c r="AD553" s="316">
        <v>1</v>
      </c>
      <c r="AE553" s="302">
        <f t="shared" si="18"/>
        <v>0.625</v>
      </c>
      <c r="AF553" s="32"/>
      <c r="AG553" s="17">
        <v>0</v>
      </c>
      <c r="AH553" s="32">
        <v>0.25</v>
      </c>
      <c r="AI553" s="32">
        <v>1</v>
      </c>
      <c r="AJ553" s="32">
        <v>1</v>
      </c>
      <c r="AK553" s="214">
        <v>1</v>
      </c>
      <c r="AL553" s="214">
        <v>1</v>
      </c>
      <c r="AM553" s="147">
        <f t="shared" si="17"/>
        <v>2</v>
      </c>
      <c r="AN553" s="32" t="s">
        <v>4067</v>
      </c>
      <c r="AO553" s="18" t="s">
        <v>1037</v>
      </c>
      <c r="AP553" s="10" t="s">
        <v>1614</v>
      </c>
    </row>
    <row r="554" spans="1:42" s="10" customFormat="1" x14ac:dyDescent="0.3">
      <c r="A554" s="213" t="s">
        <v>1444</v>
      </c>
      <c r="B554" s="10" t="s">
        <v>4050</v>
      </c>
      <c r="C554" s="213" t="s">
        <v>1445</v>
      </c>
      <c r="D554" s="10" t="s">
        <v>4052</v>
      </c>
      <c r="E554" s="213" t="s">
        <v>4429</v>
      </c>
      <c r="F554" s="10" t="s">
        <v>4430</v>
      </c>
      <c r="G554" s="213" t="s">
        <v>4450</v>
      </c>
      <c r="H554" s="10" t="s">
        <v>4451</v>
      </c>
      <c r="K554" s="213" t="s">
        <v>4452</v>
      </c>
      <c r="L554" s="10" t="s">
        <v>4453</v>
      </c>
      <c r="M554" s="18"/>
      <c r="N554" s="18"/>
      <c r="O554" s="18"/>
      <c r="P554" s="16"/>
      <c r="Q554" s="16"/>
      <c r="R554" s="16"/>
      <c r="S554" s="16"/>
      <c r="U554" s="283" t="e">
        <v>#N/A</v>
      </c>
      <c r="V554" s="10" t="s">
        <v>4461</v>
      </c>
      <c r="W554" s="10">
        <v>1</v>
      </c>
      <c r="X554" s="10">
        <v>0</v>
      </c>
      <c r="Y554" s="10">
        <v>0</v>
      </c>
      <c r="Z554" s="10">
        <v>1</v>
      </c>
      <c r="AA554" s="10">
        <v>1</v>
      </c>
      <c r="AB554" s="10">
        <v>1</v>
      </c>
      <c r="AC554" s="316">
        <v>0</v>
      </c>
      <c r="AD554" s="316">
        <v>1</v>
      </c>
      <c r="AE554" s="302">
        <f t="shared" si="18"/>
        <v>0.625</v>
      </c>
      <c r="AF554" s="32"/>
      <c r="AG554" s="17">
        <v>0</v>
      </c>
      <c r="AH554" s="32" t="s">
        <v>2112</v>
      </c>
      <c r="AI554" s="32">
        <v>0</v>
      </c>
      <c r="AJ554" s="32">
        <v>0</v>
      </c>
      <c r="AK554" s="214">
        <v>1</v>
      </c>
      <c r="AL554" s="214">
        <v>0.16</v>
      </c>
      <c r="AM554" s="147">
        <f t="shared" si="17"/>
        <v>1.1599999999999999</v>
      </c>
      <c r="AN554" s="32" t="s">
        <v>4067</v>
      </c>
      <c r="AO554" s="18" t="s">
        <v>1037</v>
      </c>
      <c r="AP554" s="10" t="s">
        <v>119</v>
      </c>
    </row>
    <row r="555" spans="1:42" s="10" customFormat="1" x14ac:dyDescent="0.3">
      <c r="A555" s="213" t="s">
        <v>1444</v>
      </c>
      <c r="B555" s="10" t="s">
        <v>4050</v>
      </c>
      <c r="C555" s="213" t="s">
        <v>1445</v>
      </c>
      <c r="D555" s="10" t="s">
        <v>4052</v>
      </c>
      <c r="E555" s="213" t="s">
        <v>4429</v>
      </c>
      <c r="F555" s="10" t="s">
        <v>4430</v>
      </c>
      <c r="G555" s="213" t="s">
        <v>4450</v>
      </c>
      <c r="H555" s="10" t="s">
        <v>4451</v>
      </c>
      <c r="K555" s="213" t="s">
        <v>4452</v>
      </c>
      <c r="L555" s="10" t="s">
        <v>4453</v>
      </c>
      <c r="M555" s="18"/>
      <c r="N555" s="18"/>
      <c r="O555" s="18"/>
      <c r="P555" s="16"/>
      <c r="Q555" s="16"/>
      <c r="R555" s="16"/>
      <c r="S555" s="16"/>
      <c r="U555" s="283" t="e">
        <v>#N/A</v>
      </c>
      <c r="V555" s="10" t="s">
        <v>4462</v>
      </c>
      <c r="W555" s="10">
        <v>1</v>
      </c>
      <c r="X555" s="10">
        <v>0</v>
      </c>
      <c r="Y555" s="10">
        <v>0</v>
      </c>
      <c r="Z555" s="10">
        <v>1</v>
      </c>
      <c r="AA555" s="10">
        <v>1</v>
      </c>
      <c r="AB555" s="10">
        <v>1</v>
      </c>
      <c r="AC555" s="316">
        <v>0</v>
      </c>
      <c r="AD555" s="316">
        <v>1</v>
      </c>
      <c r="AE555" s="302">
        <f t="shared" si="18"/>
        <v>0.625</v>
      </c>
      <c r="AF555" s="32"/>
      <c r="AG555" s="17">
        <v>0</v>
      </c>
      <c r="AH555" s="32" t="s">
        <v>271</v>
      </c>
      <c r="AI555" s="32">
        <v>0.5</v>
      </c>
      <c r="AJ555" s="32">
        <v>0.5</v>
      </c>
      <c r="AK555" s="214">
        <v>0.5</v>
      </c>
      <c r="AL555" s="214">
        <v>0.5</v>
      </c>
      <c r="AM555" s="147">
        <f t="shared" si="17"/>
        <v>1</v>
      </c>
      <c r="AN555" s="18" t="s">
        <v>869</v>
      </c>
      <c r="AO555" s="18" t="s">
        <v>871</v>
      </c>
      <c r="AP555" s="10" t="s">
        <v>4463</v>
      </c>
    </row>
    <row r="556" spans="1:42" s="10" customFormat="1" x14ac:dyDescent="0.3">
      <c r="A556" s="213" t="s">
        <v>1444</v>
      </c>
      <c r="B556" s="10" t="s">
        <v>4050</v>
      </c>
      <c r="C556" s="213" t="s">
        <v>1445</v>
      </c>
      <c r="D556" s="10" t="s">
        <v>4052</v>
      </c>
      <c r="E556" s="213" t="s">
        <v>4429</v>
      </c>
      <c r="F556" s="10" t="s">
        <v>4430</v>
      </c>
      <c r="G556" s="213" t="s">
        <v>4464</v>
      </c>
      <c r="H556" s="10" t="s">
        <v>4465</v>
      </c>
      <c r="K556" s="213" t="s">
        <v>4466</v>
      </c>
      <c r="L556" s="10" t="s">
        <v>4467</v>
      </c>
      <c r="M556" s="18" t="s">
        <v>4468</v>
      </c>
      <c r="N556" s="18"/>
      <c r="O556" s="18"/>
      <c r="P556" s="16"/>
      <c r="Q556" s="16"/>
      <c r="R556" s="16"/>
      <c r="S556" s="16"/>
      <c r="U556" s="283" t="e">
        <v>#N/A</v>
      </c>
      <c r="V556" s="10" t="s">
        <v>4469</v>
      </c>
      <c r="W556" s="10">
        <v>1</v>
      </c>
      <c r="X556" s="10">
        <v>0</v>
      </c>
      <c r="Y556" s="10">
        <v>0</v>
      </c>
      <c r="Z556" s="10">
        <v>1</v>
      </c>
      <c r="AA556" s="10">
        <v>1</v>
      </c>
      <c r="AB556" s="10">
        <v>1</v>
      </c>
      <c r="AC556" s="316">
        <v>0</v>
      </c>
      <c r="AD556" s="316">
        <v>1</v>
      </c>
      <c r="AE556" s="302">
        <f t="shared" si="18"/>
        <v>0.625</v>
      </c>
      <c r="AF556" s="32"/>
      <c r="AG556" s="17">
        <v>0</v>
      </c>
      <c r="AH556" s="32" t="s">
        <v>271</v>
      </c>
      <c r="AI556" s="32">
        <v>0</v>
      </c>
      <c r="AJ556" s="32">
        <v>0</v>
      </c>
      <c r="AK556" s="214">
        <v>0.5</v>
      </c>
      <c r="AL556" s="214">
        <v>0</v>
      </c>
      <c r="AM556" s="147">
        <f t="shared" si="17"/>
        <v>0.5</v>
      </c>
      <c r="AN556" s="10" t="s">
        <v>265</v>
      </c>
      <c r="AO556" s="18" t="s">
        <v>350</v>
      </c>
      <c r="AP556" s="10" t="s">
        <v>119</v>
      </c>
    </row>
    <row r="557" spans="1:42" s="10" customFormat="1" x14ac:dyDescent="0.3">
      <c r="A557" s="213" t="s">
        <v>1444</v>
      </c>
      <c r="B557" s="10" t="s">
        <v>4050</v>
      </c>
      <c r="C557" s="213" t="s">
        <v>1445</v>
      </c>
      <c r="D557" s="10" t="s">
        <v>4052</v>
      </c>
      <c r="E557" s="213" t="s">
        <v>4429</v>
      </c>
      <c r="F557" s="10" t="s">
        <v>4430</v>
      </c>
      <c r="G557" s="213" t="s">
        <v>4464</v>
      </c>
      <c r="H557" s="10" t="s">
        <v>4465</v>
      </c>
      <c r="K557" s="213" t="s">
        <v>4466</v>
      </c>
      <c r="L557" s="10" t="s">
        <v>4467</v>
      </c>
      <c r="M557" s="18"/>
      <c r="N557" s="18"/>
      <c r="O557" s="18"/>
      <c r="P557" s="16"/>
      <c r="Q557" s="16"/>
      <c r="R557" s="16"/>
      <c r="S557" s="16"/>
      <c r="U557" s="283" t="e">
        <v>#N/A</v>
      </c>
      <c r="W557" s="10">
        <v>1</v>
      </c>
      <c r="X557" s="10">
        <v>0</v>
      </c>
      <c r="Y557" s="10">
        <v>0</v>
      </c>
      <c r="Z557" s="10">
        <v>1</v>
      </c>
      <c r="AA557" s="10">
        <v>1</v>
      </c>
      <c r="AB557" s="10">
        <v>1</v>
      </c>
      <c r="AC557" s="316">
        <v>0</v>
      </c>
      <c r="AD557" s="316">
        <v>1</v>
      </c>
      <c r="AE557" s="302">
        <f t="shared" si="18"/>
        <v>0.625</v>
      </c>
      <c r="AF557" s="17"/>
      <c r="AG557" s="17">
        <v>0</v>
      </c>
      <c r="AH557" s="17" t="s">
        <v>271</v>
      </c>
      <c r="AI557" s="17">
        <v>0</v>
      </c>
      <c r="AJ557" s="17">
        <v>0</v>
      </c>
      <c r="AK557" s="154">
        <v>0.2</v>
      </c>
      <c r="AL557" s="154">
        <v>0</v>
      </c>
      <c r="AM557" s="147">
        <f t="shared" si="17"/>
        <v>0.2</v>
      </c>
      <c r="AN557" s="32" t="s">
        <v>1035</v>
      </c>
      <c r="AO557" s="18" t="s">
        <v>1037</v>
      </c>
      <c r="AP557" s="10" t="s">
        <v>119</v>
      </c>
    </row>
    <row r="558" spans="1:42" s="10" customFormat="1" x14ac:dyDescent="0.3">
      <c r="A558" s="213" t="s">
        <v>1444</v>
      </c>
      <c r="B558" s="10" t="s">
        <v>4050</v>
      </c>
      <c r="C558" s="213" t="s">
        <v>1445</v>
      </c>
      <c r="D558" s="10" t="s">
        <v>4052</v>
      </c>
      <c r="E558" s="213" t="s">
        <v>4429</v>
      </c>
      <c r="F558" s="10" t="s">
        <v>4430</v>
      </c>
      <c r="G558" s="213" t="s">
        <v>4464</v>
      </c>
      <c r="H558" s="10" t="s">
        <v>4465</v>
      </c>
      <c r="K558" s="213" t="s">
        <v>4466</v>
      </c>
      <c r="L558" s="10" t="s">
        <v>4467</v>
      </c>
      <c r="M558" s="18"/>
      <c r="N558" s="18"/>
      <c r="O558" s="18"/>
      <c r="P558" s="16"/>
      <c r="Q558" s="16"/>
      <c r="R558" s="16"/>
      <c r="S558" s="16"/>
      <c r="U558" s="283" t="e">
        <v>#N/A</v>
      </c>
      <c r="W558" s="10">
        <v>1</v>
      </c>
      <c r="X558" s="10">
        <v>0</v>
      </c>
      <c r="Y558" s="10">
        <v>0</v>
      </c>
      <c r="Z558" s="10">
        <v>1</v>
      </c>
      <c r="AA558" s="10">
        <v>1</v>
      </c>
      <c r="AB558" s="10">
        <v>1</v>
      </c>
      <c r="AC558" s="316">
        <v>0</v>
      </c>
      <c r="AD558" s="316">
        <v>1</v>
      </c>
      <c r="AE558" s="302">
        <f t="shared" si="18"/>
        <v>0.625</v>
      </c>
      <c r="AF558" s="17"/>
      <c r="AG558" s="17">
        <v>0</v>
      </c>
      <c r="AH558" s="17" t="s">
        <v>271</v>
      </c>
      <c r="AI558" s="17">
        <v>0</v>
      </c>
      <c r="AJ558" s="17">
        <v>0</v>
      </c>
      <c r="AK558" s="154">
        <v>0</v>
      </c>
      <c r="AL558" s="154">
        <v>0</v>
      </c>
      <c r="AM558" s="147">
        <f t="shared" si="17"/>
        <v>0</v>
      </c>
      <c r="AN558" s="176" t="s">
        <v>921</v>
      </c>
      <c r="AO558" s="18" t="s">
        <v>880</v>
      </c>
      <c r="AP558" s="10" t="s">
        <v>119</v>
      </c>
    </row>
    <row r="559" spans="1:42" s="10" customFormat="1" x14ac:dyDescent="0.3">
      <c r="A559" s="213" t="s">
        <v>1444</v>
      </c>
      <c r="B559" s="10" t="s">
        <v>4050</v>
      </c>
      <c r="C559" s="213" t="s">
        <v>1445</v>
      </c>
      <c r="D559" s="10" t="s">
        <v>4052</v>
      </c>
      <c r="E559" s="213" t="s">
        <v>4429</v>
      </c>
      <c r="F559" s="10" t="s">
        <v>4430</v>
      </c>
      <c r="G559" s="213" t="s">
        <v>4470</v>
      </c>
      <c r="H559" s="10" t="s">
        <v>4471</v>
      </c>
      <c r="K559" s="213" t="s">
        <v>4472</v>
      </c>
      <c r="L559" s="10" t="s">
        <v>4473</v>
      </c>
      <c r="M559" s="18" t="s">
        <v>4474</v>
      </c>
      <c r="N559" s="18"/>
      <c r="O559" s="18"/>
      <c r="P559" s="16"/>
      <c r="Q559" s="16"/>
      <c r="R559" s="16"/>
      <c r="S559" s="16"/>
      <c r="U559" s="283" t="e">
        <v>#N/A</v>
      </c>
      <c r="V559" s="10" t="s">
        <v>4475</v>
      </c>
      <c r="W559" s="10">
        <v>1</v>
      </c>
      <c r="X559" s="10">
        <v>0</v>
      </c>
      <c r="Y559" s="10">
        <v>0</v>
      </c>
      <c r="Z559" s="10">
        <v>1</v>
      </c>
      <c r="AA559" s="10">
        <v>1</v>
      </c>
      <c r="AB559" s="10">
        <v>1</v>
      </c>
      <c r="AC559" s="316">
        <v>0</v>
      </c>
      <c r="AD559" s="316">
        <v>1</v>
      </c>
      <c r="AE559" s="302">
        <f t="shared" si="18"/>
        <v>0.625</v>
      </c>
      <c r="AF559" s="32"/>
      <c r="AG559" s="17">
        <v>0</v>
      </c>
      <c r="AH559" s="32" t="s">
        <v>271</v>
      </c>
      <c r="AI559" s="32">
        <v>0.7</v>
      </c>
      <c r="AJ559" s="32">
        <v>0.2</v>
      </c>
      <c r="AK559" s="214">
        <v>0.2</v>
      </c>
      <c r="AL559" s="214">
        <v>0.2</v>
      </c>
      <c r="AM559" s="147">
        <f t="shared" si="17"/>
        <v>0.4</v>
      </c>
      <c r="AN559" s="32" t="s">
        <v>321</v>
      </c>
      <c r="AO559" s="18" t="s">
        <v>1066</v>
      </c>
      <c r="AP559" s="10" t="s">
        <v>4476</v>
      </c>
    </row>
    <row r="560" spans="1:42" s="10" customFormat="1" x14ac:dyDescent="0.3">
      <c r="A560" s="213" t="s">
        <v>1444</v>
      </c>
      <c r="B560" s="10" t="s">
        <v>4050</v>
      </c>
      <c r="C560" s="213" t="s">
        <v>1445</v>
      </c>
      <c r="D560" s="10" t="s">
        <v>4052</v>
      </c>
      <c r="E560" s="213" t="s">
        <v>4429</v>
      </c>
      <c r="F560" s="10" t="s">
        <v>4430</v>
      </c>
      <c r="G560" s="213" t="s">
        <v>4470</v>
      </c>
      <c r="H560" s="10" t="s">
        <v>4471</v>
      </c>
      <c r="K560" s="213" t="s">
        <v>4472</v>
      </c>
      <c r="L560" s="10" t="s">
        <v>4473</v>
      </c>
      <c r="M560" s="18"/>
      <c r="N560" s="18"/>
      <c r="O560" s="18"/>
      <c r="P560" s="16"/>
      <c r="Q560" s="16"/>
      <c r="R560" s="16"/>
      <c r="S560" s="16"/>
      <c r="U560" s="283" t="e">
        <v>#N/A</v>
      </c>
      <c r="W560" s="10">
        <v>1</v>
      </c>
      <c r="X560" s="10">
        <v>0</v>
      </c>
      <c r="Y560" s="10">
        <v>0</v>
      </c>
      <c r="Z560" s="10">
        <v>1</v>
      </c>
      <c r="AA560" s="10">
        <v>1</v>
      </c>
      <c r="AB560" s="10">
        <v>1</v>
      </c>
      <c r="AC560" s="316">
        <v>0</v>
      </c>
      <c r="AD560" s="316">
        <v>1</v>
      </c>
      <c r="AE560" s="302">
        <f t="shared" si="18"/>
        <v>0.625</v>
      </c>
      <c r="AF560" s="17"/>
      <c r="AG560" s="17">
        <v>0</v>
      </c>
      <c r="AH560" s="17" t="s">
        <v>271</v>
      </c>
      <c r="AI560" s="17">
        <v>0</v>
      </c>
      <c r="AJ560" s="17">
        <v>0</v>
      </c>
      <c r="AK560" s="154">
        <v>0</v>
      </c>
      <c r="AL560" s="154">
        <v>0</v>
      </c>
      <c r="AM560" s="147">
        <f t="shared" si="17"/>
        <v>0</v>
      </c>
      <c r="AN560" s="10" t="s">
        <v>265</v>
      </c>
      <c r="AO560" s="18" t="s">
        <v>350</v>
      </c>
      <c r="AP560" s="10" t="s">
        <v>119</v>
      </c>
    </row>
    <row r="561" spans="1:42" s="10" customFormat="1" x14ac:dyDescent="0.3">
      <c r="A561" s="213" t="s">
        <v>1444</v>
      </c>
      <c r="B561" s="10" t="s">
        <v>4050</v>
      </c>
      <c r="C561" s="213" t="s">
        <v>1445</v>
      </c>
      <c r="D561" s="10" t="s">
        <v>4052</v>
      </c>
      <c r="E561" s="213" t="s">
        <v>4429</v>
      </c>
      <c r="F561" s="10" t="s">
        <v>4430</v>
      </c>
      <c r="G561" s="213" t="s">
        <v>4470</v>
      </c>
      <c r="H561" s="10" t="s">
        <v>4471</v>
      </c>
      <c r="K561" s="213" t="s">
        <v>4472</v>
      </c>
      <c r="L561" s="10" t="s">
        <v>4473</v>
      </c>
      <c r="M561" s="18"/>
      <c r="N561" s="18"/>
      <c r="O561" s="18"/>
      <c r="P561" s="16"/>
      <c r="Q561" s="16"/>
      <c r="R561" s="16"/>
      <c r="S561" s="16"/>
      <c r="U561" s="283" t="e">
        <v>#N/A</v>
      </c>
      <c r="W561" s="10">
        <v>1</v>
      </c>
      <c r="X561" s="10">
        <v>0</v>
      </c>
      <c r="Y561" s="10">
        <v>0</v>
      </c>
      <c r="Z561" s="10">
        <v>1</v>
      </c>
      <c r="AA561" s="10">
        <v>1</v>
      </c>
      <c r="AB561" s="10">
        <v>1</v>
      </c>
      <c r="AC561" s="316">
        <v>0</v>
      </c>
      <c r="AD561" s="316">
        <v>1</v>
      </c>
      <c r="AE561" s="302">
        <f t="shared" si="18"/>
        <v>0.625</v>
      </c>
      <c r="AF561" s="17"/>
      <c r="AG561" s="17">
        <v>0</v>
      </c>
      <c r="AH561" s="17" t="s">
        <v>271</v>
      </c>
      <c r="AI561" s="17">
        <v>0</v>
      </c>
      <c r="AJ561" s="17">
        <v>0</v>
      </c>
      <c r="AK561" s="154">
        <v>0</v>
      </c>
      <c r="AL561" s="154">
        <v>0</v>
      </c>
      <c r="AM561" s="147">
        <f t="shared" si="17"/>
        <v>0</v>
      </c>
      <c r="AN561" s="32" t="s">
        <v>4067</v>
      </c>
      <c r="AO561" s="18" t="s">
        <v>1037</v>
      </c>
      <c r="AP561" s="10" t="s">
        <v>119</v>
      </c>
    </row>
    <row r="562" spans="1:42" s="10" customFormat="1" x14ac:dyDescent="0.3">
      <c r="A562" s="213" t="s">
        <v>1444</v>
      </c>
      <c r="B562" s="10" t="s">
        <v>4050</v>
      </c>
      <c r="C562" s="213" t="s">
        <v>1445</v>
      </c>
      <c r="D562" s="10" t="s">
        <v>4052</v>
      </c>
      <c r="E562" s="213" t="s">
        <v>4429</v>
      </c>
      <c r="F562" s="10" t="s">
        <v>4430</v>
      </c>
      <c r="G562" s="213" t="s">
        <v>4477</v>
      </c>
      <c r="H562" s="10" t="s">
        <v>4478</v>
      </c>
      <c r="K562" s="213" t="s">
        <v>4479</v>
      </c>
      <c r="L562" s="10" t="s">
        <v>4480</v>
      </c>
      <c r="M562" s="18" t="s">
        <v>4481</v>
      </c>
      <c r="N562" s="18">
        <v>0</v>
      </c>
      <c r="O562" s="18">
        <v>0</v>
      </c>
      <c r="P562" s="16">
        <v>1</v>
      </c>
      <c r="Q562" s="16" t="s">
        <v>271</v>
      </c>
      <c r="R562" s="16" t="s">
        <v>271</v>
      </c>
      <c r="S562" s="16" t="s">
        <v>271</v>
      </c>
      <c r="T562" s="10" t="s">
        <v>1035</v>
      </c>
      <c r="U562" s="283" t="s">
        <v>1037</v>
      </c>
      <c r="V562" s="10" t="s">
        <v>4482</v>
      </c>
      <c r="W562" s="10">
        <v>1</v>
      </c>
      <c r="X562" s="10">
        <v>1</v>
      </c>
      <c r="Y562" s="10">
        <v>0</v>
      </c>
      <c r="Z562" s="10">
        <v>1</v>
      </c>
      <c r="AA562" s="10">
        <v>1</v>
      </c>
      <c r="AB562" s="10">
        <v>1</v>
      </c>
      <c r="AC562" s="316">
        <v>0</v>
      </c>
      <c r="AD562" s="316">
        <v>1</v>
      </c>
      <c r="AE562" s="302">
        <f t="shared" si="18"/>
        <v>0.75</v>
      </c>
      <c r="AF562" s="32"/>
      <c r="AG562" s="17">
        <v>0</v>
      </c>
      <c r="AH562" s="32" t="s">
        <v>271</v>
      </c>
      <c r="AI562" s="32">
        <v>2.5</v>
      </c>
      <c r="AJ562" s="32">
        <v>2.5</v>
      </c>
      <c r="AK562" s="214">
        <v>1.5</v>
      </c>
      <c r="AL562" s="214">
        <v>1.5</v>
      </c>
      <c r="AM562" s="147">
        <f t="shared" si="17"/>
        <v>3</v>
      </c>
      <c r="AN562" s="32" t="s">
        <v>4067</v>
      </c>
      <c r="AO562" s="18" t="s">
        <v>1037</v>
      </c>
      <c r="AP562" s="10" t="s">
        <v>1035</v>
      </c>
    </row>
    <row r="563" spans="1:42" s="10" customFormat="1" x14ac:dyDescent="0.3">
      <c r="A563" s="213" t="s">
        <v>1444</v>
      </c>
      <c r="B563" s="10" t="s">
        <v>4050</v>
      </c>
      <c r="C563" s="213" t="s">
        <v>1445</v>
      </c>
      <c r="D563" s="10" t="s">
        <v>4052</v>
      </c>
      <c r="E563" s="213" t="s">
        <v>4429</v>
      </c>
      <c r="F563" s="10" t="s">
        <v>4430</v>
      </c>
      <c r="G563" s="213" t="s">
        <v>4477</v>
      </c>
      <c r="H563" s="10" t="s">
        <v>4478</v>
      </c>
      <c r="K563" s="213" t="s">
        <v>4479</v>
      </c>
      <c r="L563" s="10" t="s">
        <v>4480</v>
      </c>
      <c r="M563" s="18"/>
      <c r="N563" s="18"/>
      <c r="O563" s="18"/>
      <c r="P563" s="16"/>
      <c r="Q563" s="16"/>
      <c r="R563" s="16"/>
      <c r="S563" s="16"/>
      <c r="U563" s="283" t="e">
        <v>#N/A</v>
      </c>
      <c r="V563" s="10" t="s">
        <v>4483</v>
      </c>
      <c r="W563" s="10">
        <v>1</v>
      </c>
      <c r="X563" s="10">
        <v>0</v>
      </c>
      <c r="Y563" s="10">
        <v>0</v>
      </c>
      <c r="Z563" s="10">
        <v>1</v>
      </c>
      <c r="AA563" s="10">
        <v>1</v>
      </c>
      <c r="AB563" s="10">
        <v>1</v>
      </c>
      <c r="AC563" s="316">
        <v>0</v>
      </c>
      <c r="AD563" s="316">
        <v>1</v>
      </c>
      <c r="AE563" s="302">
        <f t="shared" si="18"/>
        <v>0.625</v>
      </c>
      <c r="AF563" s="32"/>
      <c r="AG563" s="17">
        <v>0</v>
      </c>
      <c r="AH563" s="32" t="s">
        <v>271</v>
      </c>
      <c r="AI563" s="32">
        <v>0.1</v>
      </c>
      <c r="AJ563" s="32">
        <v>0.1</v>
      </c>
      <c r="AK563" s="214">
        <v>0.1</v>
      </c>
      <c r="AL563" s="214">
        <v>0.1</v>
      </c>
      <c r="AM563" s="147">
        <f t="shared" si="17"/>
        <v>0.2</v>
      </c>
      <c r="AN563" s="10" t="s">
        <v>1233</v>
      </c>
      <c r="AO563" s="18" t="s">
        <v>1650</v>
      </c>
      <c r="AP563" s="10" t="s">
        <v>4484</v>
      </c>
    </row>
    <row r="564" spans="1:42" x14ac:dyDescent="0.3">
      <c r="A564" s="213" t="s">
        <v>1444</v>
      </c>
      <c r="B564" t="s">
        <v>4050</v>
      </c>
      <c r="C564" s="328" t="s">
        <v>12884</v>
      </c>
      <c r="D564" s="283" t="s">
        <v>6838</v>
      </c>
      <c r="E564" s="328" t="s">
        <v>12885</v>
      </c>
      <c r="F564" s="283" t="s">
        <v>12811</v>
      </c>
      <c r="G564" s="328" t="s">
        <v>12886</v>
      </c>
      <c r="H564" t="s">
        <v>12812</v>
      </c>
      <c r="K564" s="328" t="s">
        <v>12887</v>
      </c>
      <c r="L564" s="283" t="s">
        <v>12754</v>
      </c>
      <c r="V564" t="s">
        <v>12755</v>
      </c>
      <c r="AK564" s="398"/>
      <c r="AL564" s="398"/>
    </row>
    <row r="565" spans="1:42" x14ac:dyDescent="0.3">
      <c r="A565" s="213" t="s">
        <v>1444</v>
      </c>
      <c r="B565" t="s">
        <v>4050</v>
      </c>
      <c r="C565" s="328" t="s">
        <v>12884</v>
      </c>
      <c r="D565" s="283" t="s">
        <v>6838</v>
      </c>
      <c r="E565" s="328" t="s">
        <v>12885</v>
      </c>
      <c r="F565" s="283" t="s">
        <v>12811</v>
      </c>
      <c r="G565" s="328" t="s">
        <v>12886</v>
      </c>
      <c r="H565" t="s">
        <v>12812</v>
      </c>
      <c r="K565" s="328" t="s">
        <v>12888</v>
      </c>
      <c r="L565" s="283" t="s">
        <v>12808</v>
      </c>
      <c r="V565" s="283" t="s">
        <v>12809</v>
      </c>
      <c r="AK565" s="398"/>
      <c r="AL565" s="398"/>
    </row>
    <row r="566" spans="1:42" x14ac:dyDescent="0.3">
      <c r="A566" s="213" t="s">
        <v>1444</v>
      </c>
      <c r="B566" t="s">
        <v>4050</v>
      </c>
      <c r="C566" s="328" t="s">
        <v>12884</v>
      </c>
      <c r="D566" s="283" t="s">
        <v>6838</v>
      </c>
      <c r="E566" s="328" t="s">
        <v>12885</v>
      </c>
      <c r="F566" s="283" t="s">
        <v>12811</v>
      </c>
      <c r="G566" s="328" t="s">
        <v>12886</v>
      </c>
      <c r="H566" t="s">
        <v>12812</v>
      </c>
      <c r="K566" s="328" t="s">
        <v>12889</v>
      </c>
      <c r="L566" s="283" t="s">
        <v>12756</v>
      </c>
      <c r="M566" s="1" t="s">
        <v>5766</v>
      </c>
      <c r="V566" s="283" t="s">
        <v>12792</v>
      </c>
    </row>
    <row r="567" spans="1:42" x14ac:dyDescent="0.3">
      <c r="A567" s="213" t="s">
        <v>1444</v>
      </c>
      <c r="B567" t="s">
        <v>4050</v>
      </c>
      <c r="C567" s="328" t="s">
        <v>12884</v>
      </c>
      <c r="D567" s="283" t="s">
        <v>6838</v>
      </c>
      <c r="E567" s="328" t="s">
        <v>12885</v>
      </c>
      <c r="F567" s="283" t="s">
        <v>12811</v>
      </c>
      <c r="G567" s="328" t="s">
        <v>12886</v>
      </c>
      <c r="H567" t="s">
        <v>12812</v>
      </c>
      <c r="K567" s="328" t="s">
        <v>12890</v>
      </c>
      <c r="L567" s="283" t="s">
        <v>12757</v>
      </c>
      <c r="M567" s="1" t="s">
        <v>12758</v>
      </c>
      <c r="V567" s="283" t="s">
        <v>12793</v>
      </c>
    </row>
    <row r="568" spans="1:42" x14ac:dyDescent="0.3">
      <c r="A568" s="213" t="s">
        <v>1444</v>
      </c>
      <c r="B568" t="s">
        <v>4050</v>
      </c>
      <c r="C568" s="328" t="s">
        <v>12884</v>
      </c>
      <c r="D568" s="283" t="s">
        <v>6838</v>
      </c>
      <c r="E568" s="328" t="s">
        <v>12885</v>
      </c>
      <c r="F568" s="283" t="s">
        <v>12811</v>
      </c>
      <c r="G568" s="328" t="s">
        <v>12886</v>
      </c>
      <c r="H568" t="s">
        <v>12812</v>
      </c>
      <c r="K568" s="328" t="s">
        <v>12891</v>
      </c>
      <c r="L568" s="283" t="s">
        <v>12759</v>
      </c>
      <c r="M568" s="1" t="s">
        <v>12760</v>
      </c>
      <c r="V568" s="283" t="s">
        <v>12794</v>
      </c>
    </row>
    <row r="569" spans="1:42" x14ac:dyDescent="0.3">
      <c r="A569" s="213" t="s">
        <v>1444</v>
      </c>
      <c r="B569" t="s">
        <v>4050</v>
      </c>
      <c r="C569" s="328" t="s">
        <v>12884</v>
      </c>
      <c r="D569" s="283" t="s">
        <v>6838</v>
      </c>
      <c r="E569" s="328" t="s">
        <v>12885</v>
      </c>
      <c r="F569" s="283" t="s">
        <v>12811</v>
      </c>
      <c r="G569" s="328" t="s">
        <v>12886</v>
      </c>
      <c r="H569" t="s">
        <v>12812</v>
      </c>
      <c r="K569" s="328" t="s">
        <v>12892</v>
      </c>
      <c r="L569" s="283" t="s">
        <v>12761</v>
      </c>
      <c r="M569" s="1" t="s">
        <v>12762</v>
      </c>
      <c r="V569" s="283" t="s">
        <v>5782</v>
      </c>
    </row>
    <row r="570" spans="1:42" x14ac:dyDescent="0.3">
      <c r="A570" s="213" t="s">
        <v>1444</v>
      </c>
      <c r="B570" t="s">
        <v>4050</v>
      </c>
      <c r="C570" s="328" t="s">
        <v>12884</v>
      </c>
      <c r="D570" s="283" t="s">
        <v>6838</v>
      </c>
      <c r="E570" s="328" t="s">
        <v>12885</v>
      </c>
      <c r="F570" s="283" t="s">
        <v>12811</v>
      </c>
      <c r="G570" s="328" t="s">
        <v>12886</v>
      </c>
      <c r="H570" t="s">
        <v>12812</v>
      </c>
      <c r="K570" s="328" t="s">
        <v>12893</v>
      </c>
      <c r="L570" s="283" t="s">
        <v>12763</v>
      </c>
      <c r="M570" s="1" t="s">
        <v>12764</v>
      </c>
      <c r="V570" s="283" t="s">
        <v>5783</v>
      </c>
    </row>
    <row r="571" spans="1:42" x14ac:dyDescent="0.3">
      <c r="A571" s="213" t="s">
        <v>1444</v>
      </c>
      <c r="B571" t="s">
        <v>4050</v>
      </c>
      <c r="C571" s="328" t="s">
        <v>12884</v>
      </c>
      <c r="D571" s="283" t="s">
        <v>6838</v>
      </c>
      <c r="E571" s="328" t="s">
        <v>12885</v>
      </c>
      <c r="F571" s="283" t="s">
        <v>12811</v>
      </c>
      <c r="G571" s="328" t="s">
        <v>12886</v>
      </c>
      <c r="H571" t="s">
        <v>12812</v>
      </c>
      <c r="K571" s="328" t="s">
        <v>12894</v>
      </c>
      <c r="L571" s="283" t="s">
        <v>12765</v>
      </c>
      <c r="M571" s="1" t="s">
        <v>12766</v>
      </c>
      <c r="V571" s="283" t="s">
        <v>12795</v>
      </c>
    </row>
    <row r="572" spans="1:42" x14ac:dyDescent="0.3">
      <c r="A572" s="213" t="s">
        <v>1444</v>
      </c>
      <c r="B572" t="s">
        <v>4050</v>
      </c>
      <c r="C572" s="328" t="s">
        <v>12884</v>
      </c>
      <c r="D572" s="283" t="s">
        <v>6838</v>
      </c>
      <c r="E572" s="328" t="s">
        <v>12885</v>
      </c>
      <c r="F572" s="283" t="s">
        <v>12811</v>
      </c>
      <c r="G572" s="328" t="s">
        <v>12886</v>
      </c>
      <c r="H572" t="s">
        <v>12812</v>
      </c>
      <c r="K572" s="328" t="s">
        <v>12895</v>
      </c>
      <c r="L572" s="283" t="s">
        <v>12767</v>
      </c>
      <c r="M572" s="1" t="s">
        <v>12768</v>
      </c>
      <c r="V572" s="283" t="s">
        <v>12796</v>
      </c>
    </row>
    <row r="573" spans="1:42" x14ac:dyDescent="0.3">
      <c r="A573" s="213" t="s">
        <v>1444</v>
      </c>
      <c r="B573" t="s">
        <v>4050</v>
      </c>
      <c r="C573" s="328" t="s">
        <v>12884</v>
      </c>
      <c r="D573" s="283" t="s">
        <v>6838</v>
      </c>
      <c r="E573" s="328" t="s">
        <v>12885</v>
      </c>
      <c r="F573" s="283" t="s">
        <v>12811</v>
      </c>
      <c r="G573" s="328" t="s">
        <v>12886</v>
      </c>
      <c r="H573" t="s">
        <v>12812</v>
      </c>
      <c r="K573" s="328" t="s">
        <v>12896</v>
      </c>
      <c r="L573" s="283" t="s">
        <v>12769</v>
      </c>
      <c r="M573" s="1" t="s">
        <v>12770</v>
      </c>
      <c r="V573" s="283" t="s">
        <v>5786</v>
      </c>
    </row>
    <row r="574" spans="1:42" x14ac:dyDescent="0.3">
      <c r="A574" s="213" t="s">
        <v>1444</v>
      </c>
      <c r="B574" t="s">
        <v>4050</v>
      </c>
      <c r="C574" s="328" t="s">
        <v>12884</v>
      </c>
      <c r="D574" s="283" t="s">
        <v>6838</v>
      </c>
      <c r="E574" s="328" t="s">
        <v>12885</v>
      </c>
      <c r="F574" s="283" t="s">
        <v>12811</v>
      </c>
      <c r="G574" s="328" t="s">
        <v>12886</v>
      </c>
      <c r="H574" t="s">
        <v>12812</v>
      </c>
      <c r="K574" s="328" t="s">
        <v>12897</v>
      </c>
      <c r="L574" s="283" t="s">
        <v>12771</v>
      </c>
      <c r="M574" s="1" t="s">
        <v>12772</v>
      </c>
      <c r="V574" s="283" t="s">
        <v>12800</v>
      </c>
    </row>
    <row r="575" spans="1:42" x14ac:dyDescent="0.3">
      <c r="A575" s="213" t="s">
        <v>1444</v>
      </c>
      <c r="B575" t="s">
        <v>4050</v>
      </c>
      <c r="C575" s="328" t="s">
        <v>12884</v>
      </c>
      <c r="D575" s="283" t="s">
        <v>6838</v>
      </c>
      <c r="E575" s="328" t="s">
        <v>12885</v>
      </c>
      <c r="F575" s="283" t="s">
        <v>12811</v>
      </c>
      <c r="G575" s="328" t="s">
        <v>12886</v>
      </c>
      <c r="H575" t="s">
        <v>12812</v>
      </c>
      <c r="K575" s="328" t="s">
        <v>12898</v>
      </c>
      <c r="L575" s="283" t="s">
        <v>12773</v>
      </c>
      <c r="M575" s="1" t="s">
        <v>12774</v>
      </c>
      <c r="V575" s="283" t="s">
        <v>12797</v>
      </c>
    </row>
    <row r="576" spans="1:42" x14ac:dyDescent="0.3">
      <c r="A576" s="213" t="s">
        <v>1444</v>
      </c>
      <c r="B576" t="s">
        <v>4050</v>
      </c>
      <c r="C576" s="328" t="s">
        <v>12884</v>
      </c>
      <c r="D576" s="283" t="s">
        <v>6838</v>
      </c>
      <c r="E576" s="328" t="s">
        <v>12885</v>
      </c>
      <c r="F576" s="283" t="s">
        <v>12811</v>
      </c>
      <c r="G576" s="328" t="s">
        <v>12886</v>
      </c>
      <c r="H576" t="s">
        <v>12812</v>
      </c>
      <c r="K576" s="328" t="s">
        <v>12899</v>
      </c>
      <c r="L576" s="283" t="s">
        <v>12775</v>
      </c>
      <c r="M576" s="1" t="s">
        <v>12776</v>
      </c>
      <c r="V576" s="283" t="s">
        <v>12798</v>
      </c>
    </row>
    <row r="577" spans="1:42" x14ac:dyDescent="0.3">
      <c r="A577" s="213" t="s">
        <v>1444</v>
      </c>
      <c r="B577" t="s">
        <v>4050</v>
      </c>
      <c r="C577" s="328" t="s">
        <v>12884</v>
      </c>
      <c r="D577" s="283" t="s">
        <v>6838</v>
      </c>
      <c r="E577" s="328" t="s">
        <v>12885</v>
      </c>
      <c r="F577" s="283" t="s">
        <v>12811</v>
      </c>
      <c r="G577" s="328" t="s">
        <v>12886</v>
      </c>
      <c r="H577" t="s">
        <v>12812</v>
      </c>
      <c r="K577" s="328" t="s">
        <v>12900</v>
      </c>
      <c r="L577" s="283" t="s">
        <v>12777</v>
      </c>
      <c r="M577" s="1" t="s">
        <v>12778</v>
      </c>
      <c r="V577" s="283" t="s">
        <v>5789</v>
      </c>
    </row>
    <row r="578" spans="1:42" x14ac:dyDescent="0.3">
      <c r="A578" s="213" t="s">
        <v>1444</v>
      </c>
      <c r="B578" t="s">
        <v>4050</v>
      </c>
      <c r="C578" s="328" t="s">
        <v>12884</v>
      </c>
      <c r="D578" s="283" t="s">
        <v>6838</v>
      </c>
      <c r="E578" s="328" t="s">
        <v>12885</v>
      </c>
      <c r="F578" s="283" t="s">
        <v>12811</v>
      </c>
      <c r="G578" s="328" t="s">
        <v>12886</v>
      </c>
      <c r="H578" t="s">
        <v>12812</v>
      </c>
      <c r="K578" s="328" t="s">
        <v>12901</v>
      </c>
      <c r="L578" s="283" t="s">
        <v>12779</v>
      </c>
      <c r="M578" s="1" t="s">
        <v>12780</v>
      </c>
      <c r="V578" s="283" t="s">
        <v>12799</v>
      </c>
    </row>
    <row r="579" spans="1:42" x14ac:dyDescent="0.3">
      <c r="A579" s="213" t="s">
        <v>1444</v>
      </c>
      <c r="B579" t="s">
        <v>4050</v>
      </c>
      <c r="C579" s="328" t="s">
        <v>12884</v>
      </c>
      <c r="D579" s="283" t="s">
        <v>6838</v>
      </c>
      <c r="E579" s="328" t="s">
        <v>12885</v>
      </c>
      <c r="F579" s="283" t="s">
        <v>12811</v>
      </c>
      <c r="G579" s="328" t="s">
        <v>12886</v>
      </c>
      <c r="H579" t="s">
        <v>12812</v>
      </c>
      <c r="K579" s="328" t="s">
        <v>12902</v>
      </c>
      <c r="L579" s="283" t="s">
        <v>12806</v>
      </c>
      <c r="M579" s="1" t="s">
        <v>12781</v>
      </c>
      <c r="V579" s="283" t="s">
        <v>12805</v>
      </c>
    </row>
    <row r="580" spans="1:42" x14ac:dyDescent="0.3">
      <c r="A580" s="213" t="s">
        <v>1444</v>
      </c>
      <c r="B580" t="s">
        <v>4050</v>
      </c>
      <c r="C580" s="328" t="s">
        <v>12884</v>
      </c>
      <c r="D580" s="283" t="s">
        <v>6838</v>
      </c>
      <c r="E580" s="328" t="s">
        <v>12885</v>
      </c>
      <c r="F580" s="283" t="s">
        <v>12811</v>
      </c>
      <c r="G580" s="328" t="s">
        <v>12886</v>
      </c>
      <c r="H580" t="s">
        <v>12812</v>
      </c>
      <c r="K580" s="328" t="s">
        <v>12903</v>
      </c>
      <c r="L580" s="283" t="s">
        <v>12782</v>
      </c>
      <c r="V580" s="283" t="s">
        <v>12782</v>
      </c>
    </row>
    <row r="581" spans="1:42" x14ac:dyDescent="0.3">
      <c r="A581" s="213" t="s">
        <v>1444</v>
      </c>
      <c r="B581" t="s">
        <v>4050</v>
      </c>
      <c r="C581" s="328" t="s">
        <v>12884</v>
      </c>
      <c r="D581" s="283" t="s">
        <v>6838</v>
      </c>
      <c r="E581" s="328" t="s">
        <v>12885</v>
      </c>
      <c r="F581" s="283" t="s">
        <v>12811</v>
      </c>
      <c r="G581" s="328" t="s">
        <v>12886</v>
      </c>
      <c r="H581" t="s">
        <v>12812</v>
      </c>
      <c r="K581" s="328" t="s">
        <v>12887</v>
      </c>
      <c r="L581" s="283" t="s">
        <v>12783</v>
      </c>
      <c r="M581" s="1" t="s">
        <v>12784</v>
      </c>
      <c r="V581" s="283" t="s">
        <v>12783</v>
      </c>
    </row>
    <row r="582" spans="1:42" x14ac:dyDescent="0.3">
      <c r="A582" s="213" t="s">
        <v>1444</v>
      </c>
      <c r="B582" t="s">
        <v>4050</v>
      </c>
      <c r="C582" s="328" t="s">
        <v>12884</v>
      </c>
      <c r="D582" s="283" t="s">
        <v>6838</v>
      </c>
      <c r="E582" s="328" t="s">
        <v>12885</v>
      </c>
      <c r="F582" s="283" t="s">
        <v>12811</v>
      </c>
      <c r="G582" s="328" t="s">
        <v>12886</v>
      </c>
      <c r="H582" t="s">
        <v>12812</v>
      </c>
      <c r="K582" s="328" t="s">
        <v>12887</v>
      </c>
      <c r="L582" s="283" t="s">
        <v>12785</v>
      </c>
      <c r="M582" s="1" t="s">
        <v>12786</v>
      </c>
      <c r="V582" s="283" t="s">
        <v>12801</v>
      </c>
    </row>
    <row r="583" spans="1:42" x14ac:dyDescent="0.3">
      <c r="A583" s="213" t="s">
        <v>1444</v>
      </c>
      <c r="B583" t="s">
        <v>4050</v>
      </c>
      <c r="C583" s="328" t="s">
        <v>12884</v>
      </c>
      <c r="D583" s="283" t="s">
        <v>6838</v>
      </c>
      <c r="E583" s="328" t="s">
        <v>12885</v>
      </c>
      <c r="F583" s="283" t="s">
        <v>12811</v>
      </c>
      <c r="G583" s="328" t="s">
        <v>12886</v>
      </c>
      <c r="H583" t="s">
        <v>12812</v>
      </c>
      <c r="K583" s="328" t="s">
        <v>12904</v>
      </c>
      <c r="L583" s="283" t="s">
        <v>12787</v>
      </c>
      <c r="M583" s="1" t="s">
        <v>12788</v>
      </c>
      <c r="V583" s="283" t="s">
        <v>12802</v>
      </c>
    </row>
    <row r="584" spans="1:42" x14ac:dyDescent="0.3">
      <c r="A584" s="213" t="s">
        <v>1444</v>
      </c>
      <c r="B584" t="s">
        <v>4050</v>
      </c>
      <c r="C584" s="328" t="s">
        <v>12884</v>
      </c>
      <c r="D584" s="283" t="s">
        <v>6838</v>
      </c>
      <c r="E584" s="328" t="s">
        <v>12885</v>
      </c>
      <c r="F584" s="283" t="s">
        <v>12811</v>
      </c>
      <c r="G584" s="328" t="s">
        <v>12886</v>
      </c>
      <c r="H584" t="s">
        <v>12812</v>
      </c>
      <c r="K584" s="328" t="s">
        <v>12905</v>
      </c>
      <c r="L584" s="283" t="s">
        <v>12789</v>
      </c>
      <c r="M584" s="1" t="s">
        <v>12790</v>
      </c>
      <c r="V584" s="283" t="s">
        <v>12803</v>
      </c>
    </row>
    <row r="585" spans="1:42" x14ac:dyDescent="0.3">
      <c r="A585" s="213" t="s">
        <v>1444</v>
      </c>
      <c r="B585" t="s">
        <v>4050</v>
      </c>
      <c r="C585" s="328" t="s">
        <v>12884</v>
      </c>
      <c r="D585" s="283" t="s">
        <v>6838</v>
      </c>
      <c r="E585" s="328" t="s">
        <v>12885</v>
      </c>
      <c r="F585" s="283" t="s">
        <v>12811</v>
      </c>
      <c r="G585" s="328" t="s">
        <v>12886</v>
      </c>
      <c r="H585" t="s">
        <v>12812</v>
      </c>
      <c r="K585" s="328" t="s">
        <v>12906</v>
      </c>
      <c r="L585" s="283" t="s">
        <v>12791</v>
      </c>
      <c r="M585" s="1" t="s">
        <v>12807</v>
      </c>
      <c r="V585" s="283" t="s">
        <v>12804</v>
      </c>
    </row>
    <row r="586" spans="1:42" s="293" customFormat="1" x14ac:dyDescent="0.3">
      <c r="A586" s="50" t="s">
        <v>1447</v>
      </c>
      <c r="B586" s="51" t="s">
        <v>4485</v>
      </c>
      <c r="C586" s="50" t="s">
        <v>4486</v>
      </c>
      <c r="D586" s="51" t="s">
        <v>1491</v>
      </c>
      <c r="E586" s="50" t="s">
        <v>4486</v>
      </c>
      <c r="F586" s="51" t="s">
        <v>1493</v>
      </c>
      <c r="G586" s="50" t="s">
        <v>4486</v>
      </c>
      <c r="H586" s="51" t="s">
        <v>1491</v>
      </c>
      <c r="I586" s="51"/>
      <c r="J586" s="51"/>
      <c r="K586" s="50" t="s">
        <v>4486</v>
      </c>
      <c r="L586" s="51" t="s">
        <v>1491</v>
      </c>
      <c r="M586" s="420" t="s">
        <v>271</v>
      </c>
      <c r="N586" s="420" t="s">
        <v>271</v>
      </c>
      <c r="O586" s="420" t="s">
        <v>271</v>
      </c>
      <c r="P586" s="60" t="s">
        <v>271</v>
      </c>
      <c r="Q586" s="60" t="s">
        <v>271</v>
      </c>
      <c r="R586" s="60" t="s">
        <v>271</v>
      </c>
      <c r="S586" s="60" t="s">
        <v>271</v>
      </c>
      <c r="T586" s="60" t="s">
        <v>271</v>
      </c>
      <c r="U586" s="60" t="s">
        <v>271</v>
      </c>
      <c r="V586" s="51" t="s">
        <v>1489</v>
      </c>
      <c r="W586" s="291"/>
      <c r="X586" s="291"/>
      <c r="Y586" s="291"/>
      <c r="Z586" s="291"/>
      <c r="AA586" s="291"/>
      <c r="AB586" s="291"/>
      <c r="AC586" s="291"/>
      <c r="AD586" s="291"/>
      <c r="AE586" s="292"/>
      <c r="AF586" s="56"/>
      <c r="AG586" s="292"/>
      <c r="AH586" s="56"/>
      <c r="AI586" s="56"/>
      <c r="AJ586" s="56"/>
      <c r="AK586" s="57">
        <v>28.7</v>
      </c>
      <c r="AL586" s="57">
        <v>28.7</v>
      </c>
      <c r="AM586" s="147">
        <f t="shared" ref="AM586:AM617" si="19">SUM(AK586:AL586)</f>
        <v>57.4</v>
      </c>
      <c r="AN586" s="52"/>
      <c r="AO586" s="52"/>
      <c r="AP586" s="51"/>
    </row>
    <row r="587" spans="1:42" s="293" customFormat="1" x14ac:dyDescent="0.3">
      <c r="A587" s="50" t="s">
        <v>1447</v>
      </c>
      <c r="B587" s="51" t="s">
        <v>4485</v>
      </c>
      <c r="C587" s="50" t="s">
        <v>4486</v>
      </c>
      <c r="D587" s="51" t="s">
        <v>1491</v>
      </c>
      <c r="E587" s="50" t="s">
        <v>4486</v>
      </c>
      <c r="F587" s="51" t="s">
        <v>1493</v>
      </c>
      <c r="G587" s="50" t="s">
        <v>4486</v>
      </c>
      <c r="H587" s="51" t="s">
        <v>1491</v>
      </c>
      <c r="I587" s="51"/>
      <c r="J587" s="51"/>
      <c r="K587" s="50" t="s">
        <v>4486</v>
      </c>
      <c r="L587" s="51" t="s">
        <v>1491</v>
      </c>
      <c r="M587" s="420" t="s">
        <v>271</v>
      </c>
      <c r="N587" s="420" t="s">
        <v>271</v>
      </c>
      <c r="O587" s="420" t="s">
        <v>271</v>
      </c>
      <c r="P587" s="60" t="s">
        <v>271</v>
      </c>
      <c r="Q587" s="60" t="s">
        <v>271</v>
      </c>
      <c r="R587" s="60" t="s">
        <v>271</v>
      </c>
      <c r="S587" s="60" t="s">
        <v>271</v>
      </c>
      <c r="T587" s="60" t="s">
        <v>271</v>
      </c>
      <c r="U587" s="60" t="s">
        <v>271</v>
      </c>
      <c r="V587" s="51" t="s">
        <v>1490</v>
      </c>
      <c r="W587" s="291"/>
      <c r="X587" s="291"/>
      <c r="Y587" s="291"/>
      <c r="Z587" s="291"/>
      <c r="AA587" s="291"/>
      <c r="AB587" s="291"/>
      <c r="AC587" s="291"/>
      <c r="AD587" s="291"/>
      <c r="AE587" s="292"/>
      <c r="AF587" s="56"/>
      <c r="AG587" s="292"/>
      <c r="AH587" s="56"/>
      <c r="AI587" s="56"/>
      <c r="AJ587" s="56"/>
      <c r="AK587" s="57">
        <v>14.6</v>
      </c>
      <c r="AL587" s="57">
        <v>17</v>
      </c>
      <c r="AM587" s="147">
        <f t="shared" si="19"/>
        <v>31.6</v>
      </c>
      <c r="AN587" s="52"/>
      <c r="AO587" s="52"/>
      <c r="AP587" s="51"/>
    </row>
    <row r="588" spans="1:42" s="293" customFormat="1" x14ac:dyDescent="0.3">
      <c r="A588" s="50" t="s">
        <v>1447</v>
      </c>
      <c r="B588" s="51" t="s">
        <v>4485</v>
      </c>
      <c r="C588" s="50" t="s">
        <v>4486</v>
      </c>
      <c r="D588" s="51" t="s">
        <v>1491</v>
      </c>
      <c r="E588" s="50" t="s">
        <v>4486</v>
      </c>
      <c r="F588" s="51" t="s">
        <v>1493</v>
      </c>
      <c r="G588" s="50" t="s">
        <v>4486</v>
      </c>
      <c r="H588" s="51" t="s">
        <v>1491</v>
      </c>
      <c r="I588" s="51"/>
      <c r="J588" s="51"/>
      <c r="K588" s="50" t="s">
        <v>4486</v>
      </c>
      <c r="L588" s="51" t="s">
        <v>1491</v>
      </c>
      <c r="M588" s="420" t="s">
        <v>271</v>
      </c>
      <c r="N588" s="420" t="s">
        <v>271</v>
      </c>
      <c r="O588" s="420" t="s">
        <v>271</v>
      </c>
      <c r="P588" s="60" t="s">
        <v>271</v>
      </c>
      <c r="Q588" s="60" t="s">
        <v>271</v>
      </c>
      <c r="R588" s="60" t="s">
        <v>271</v>
      </c>
      <c r="S588" s="60" t="s">
        <v>271</v>
      </c>
      <c r="T588" s="60" t="s">
        <v>271</v>
      </c>
      <c r="U588" s="60" t="s">
        <v>271</v>
      </c>
      <c r="V588" s="51" t="s">
        <v>1495</v>
      </c>
      <c r="W588" s="291"/>
      <c r="X588" s="291"/>
      <c r="Y588" s="291"/>
      <c r="Z588" s="291"/>
      <c r="AA588" s="291"/>
      <c r="AB588" s="291"/>
      <c r="AC588" s="291"/>
      <c r="AD588" s="291"/>
      <c r="AE588" s="292"/>
      <c r="AF588" s="56"/>
      <c r="AG588" s="292"/>
      <c r="AH588" s="56"/>
      <c r="AI588" s="56"/>
      <c r="AJ588" s="56"/>
      <c r="AK588" s="57">
        <v>49.679000000000002</v>
      </c>
      <c r="AL588" s="57">
        <v>31.034999999999997</v>
      </c>
      <c r="AM588" s="147">
        <f t="shared" si="19"/>
        <v>80.713999999999999</v>
      </c>
      <c r="AN588" s="52"/>
      <c r="AO588" s="52"/>
      <c r="AP588" s="51"/>
    </row>
    <row r="589" spans="1:42" x14ac:dyDescent="0.3">
      <c r="A589" s="314" t="s">
        <v>1447</v>
      </c>
      <c r="B589" s="283" t="s">
        <v>4485</v>
      </c>
      <c r="C589" s="314" t="s">
        <v>4487</v>
      </c>
      <c r="D589" s="283" t="s">
        <v>4488</v>
      </c>
      <c r="E589" s="314" t="s">
        <v>4489</v>
      </c>
      <c r="F589" s="283" t="s">
        <v>4490</v>
      </c>
      <c r="G589" s="314" t="s">
        <v>4491</v>
      </c>
      <c r="H589" s="283" t="s">
        <v>4492</v>
      </c>
      <c r="I589" s="223"/>
      <c r="J589" s="349"/>
      <c r="K589" s="350" t="s">
        <v>4493</v>
      </c>
      <c r="L589" s="283" t="s">
        <v>4494</v>
      </c>
      <c r="M589" s="167" t="s">
        <v>4495</v>
      </c>
      <c r="N589" s="162">
        <v>6</v>
      </c>
      <c r="O589" s="162"/>
      <c r="P589" s="224"/>
      <c r="Q589" s="224">
        <v>1</v>
      </c>
      <c r="R589" s="224">
        <v>0.5</v>
      </c>
      <c r="S589" s="224">
        <v>2</v>
      </c>
      <c r="T589" s="206" t="s">
        <v>1035</v>
      </c>
      <c r="U589" s="283" t="s">
        <v>1037</v>
      </c>
      <c r="V589" s="283" t="s">
        <v>4496</v>
      </c>
      <c r="W589" s="283">
        <v>1</v>
      </c>
      <c r="X589" s="283">
        <v>0</v>
      </c>
      <c r="Y589" s="283">
        <v>0</v>
      </c>
      <c r="Z589" s="283">
        <v>1</v>
      </c>
      <c r="AA589" s="283">
        <v>1</v>
      </c>
      <c r="AB589" s="283">
        <v>1</v>
      </c>
      <c r="AC589" s="316">
        <v>0</v>
      </c>
      <c r="AD589" s="316">
        <v>1</v>
      </c>
      <c r="AE589" s="302">
        <f t="shared" ref="AE589:AE620" si="20">SUM(W589:AD589)/8</f>
        <v>0.625</v>
      </c>
      <c r="AF589" s="310"/>
      <c r="AG589" s="17">
        <v>0</v>
      </c>
      <c r="AH589" s="310">
        <v>1</v>
      </c>
      <c r="AI589" s="310">
        <v>2</v>
      </c>
      <c r="AJ589" s="17">
        <v>0</v>
      </c>
      <c r="AK589" s="153">
        <v>3</v>
      </c>
      <c r="AL589" s="154">
        <v>5</v>
      </c>
      <c r="AM589" s="147">
        <f t="shared" si="19"/>
        <v>8</v>
      </c>
      <c r="AN589" s="283" t="s">
        <v>1035</v>
      </c>
      <c r="AO589" s="18" t="s">
        <v>1037</v>
      </c>
      <c r="AP589" s="283" t="s">
        <v>4497</v>
      </c>
    </row>
    <row r="590" spans="1:42" x14ac:dyDescent="0.3">
      <c r="A590" s="314" t="s">
        <v>1447</v>
      </c>
      <c r="B590" s="283" t="s">
        <v>4485</v>
      </c>
      <c r="C590" s="314" t="s">
        <v>4487</v>
      </c>
      <c r="D590" s="283" t="s">
        <v>4488</v>
      </c>
      <c r="E590" s="314" t="s">
        <v>4489</v>
      </c>
      <c r="F590" s="283" t="s">
        <v>4490</v>
      </c>
      <c r="G590" s="314" t="s">
        <v>4491</v>
      </c>
      <c r="H590" s="283" t="s">
        <v>4492</v>
      </c>
      <c r="I590" s="223"/>
      <c r="J590" s="225"/>
      <c r="K590" s="350" t="s">
        <v>4493</v>
      </c>
      <c r="L590" s="283" t="s">
        <v>4494</v>
      </c>
      <c r="M590" s="162"/>
      <c r="N590" s="162"/>
      <c r="O590" s="162"/>
      <c r="P590" s="224"/>
      <c r="Q590" s="224"/>
      <c r="R590" s="224"/>
      <c r="S590" s="224"/>
      <c r="T590" s="223"/>
      <c r="U590" s="283" t="e">
        <v>#N/A</v>
      </c>
      <c r="V590" s="283" t="s">
        <v>4498</v>
      </c>
      <c r="W590" s="283">
        <v>0</v>
      </c>
      <c r="X590" s="283">
        <v>0</v>
      </c>
      <c r="Y590" s="283">
        <v>0</v>
      </c>
      <c r="Z590" s="283">
        <v>1</v>
      </c>
      <c r="AA590" s="283">
        <v>1</v>
      </c>
      <c r="AB590" s="283">
        <v>1</v>
      </c>
      <c r="AC590" s="316">
        <v>0</v>
      </c>
      <c r="AD590" s="316">
        <v>1</v>
      </c>
      <c r="AE590" s="302">
        <f t="shared" si="20"/>
        <v>0.5</v>
      </c>
      <c r="AF590" s="310"/>
      <c r="AG590" s="17">
        <v>0</v>
      </c>
      <c r="AH590" s="310">
        <v>1</v>
      </c>
      <c r="AI590" s="310">
        <v>1.3</v>
      </c>
      <c r="AJ590" s="310">
        <v>1.5</v>
      </c>
      <c r="AK590" s="317">
        <v>1.5</v>
      </c>
      <c r="AL590" s="317">
        <v>1.5</v>
      </c>
      <c r="AM590" s="147">
        <f t="shared" si="19"/>
        <v>3</v>
      </c>
      <c r="AN590" s="283" t="s">
        <v>4497</v>
      </c>
      <c r="AO590" s="18" t="s">
        <v>4499</v>
      </c>
      <c r="AP590" s="283" t="s">
        <v>1035</v>
      </c>
    </row>
    <row r="591" spans="1:42" x14ac:dyDescent="0.3">
      <c r="A591" s="314" t="s">
        <v>1447</v>
      </c>
      <c r="B591" s="283" t="s">
        <v>4485</v>
      </c>
      <c r="C591" s="314" t="s">
        <v>4487</v>
      </c>
      <c r="D591" s="283" t="s">
        <v>4488</v>
      </c>
      <c r="E591" s="314" t="s">
        <v>4489</v>
      </c>
      <c r="F591" s="283" t="s">
        <v>4490</v>
      </c>
      <c r="G591" s="314" t="s">
        <v>4491</v>
      </c>
      <c r="H591" s="283" t="s">
        <v>4492</v>
      </c>
      <c r="I591" s="223"/>
      <c r="J591" s="225"/>
      <c r="K591" s="350" t="s">
        <v>4493</v>
      </c>
      <c r="L591" s="283" t="s">
        <v>4494</v>
      </c>
      <c r="M591" s="162"/>
      <c r="N591" s="162"/>
      <c r="O591" s="162"/>
      <c r="P591" s="224"/>
      <c r="Q591" s="224"/>
      <c r="R591" s="224"/>
      <c r="S591" s="224"/>
      <c r="T591" s="223"/>
      <c r="U591" s="283" t="e">
        <v>#N/A</v>
      </c>
      <c r="V591" s="283" t="s">
        <v>4500</v>
      </c>
      <c r="W591" s="283">
        <v>0</v>
      </c>
      <c r="X591" s="283">
        <v>0</v>
      </c>
      <c r="Y591" s="283">
        <v>0</v>
      </c>
      <c r="Z591" s="283">
        <v>1</v>
      </c>
      <c r="AA591" s="283">
        <v>1</v>
      </c>
      <c r="AB591" s="283">
        <v>1</v>
      </c>
      <c r="AC591" s="316">
        <v>0</v>
      </c>
      <c r="AD591" s="316">
        <v>1</v>
      </c>
      <c r="AE591" s="302">
        <f t="shared" si="20"/>
        <v>0.5</v>
      </c>
      <c r="AF591" s="310"/>
      <c r="AG591" s="17">
        <v>0</v>
      </c>
      <c r="AH591" s="310">
        <v>2.8</v>
      </c>
      <c r="AI591" s="310">
        <v>2.5999999999999996</v>
      </c>
      <c r="AJ591" s="310">
        <v>2.38</v>
      </c>
      <c r="AK591" s="317">
        <v>0.6</v>
      </c>
      <c r="AL591" s="317">
        <v>0.6</v>
      </c>
      <c r="AM591" s="147">
        <f t="shared" si="19"/>
        <v>1.2</v>
      </c>
      <c r="AN591" s="283" t="s">
        <v>1035</v>
      </c>
      <c r="AO591" s="18" t="s">
        <v>1037</v>
      </c>
      <c r="AP591" s="283" t="s">
        <v>4501</v>
      </c>
    </row>
    <row r="592" spans="1:42" x14ac:dyDescent="0.3">
      <c r="A592" s="314" t="s">
        <v>1447</v>
      </c>
      <c r="B592" s="283" t="s">
        <v>4485</v>
      </c>
      <c r="C592" s="314" t="s">
        <v>4487</v>
      </c>
      <c r="D592" s="283" t="s">
        <v>4488</v>
      </c>
      <c r="E592" s="314" t="s">
        <v>4489</v>
      </c>
      <c r="F592" s="283" t="s">
        <v>4490</v>
      </c>
      <c r="G592" s="314" t="s">
        <v>4491</v>
      </c>
      <c r="H592" s="283" t="s">
        <v>4492</v>
      </c>
      <c r="I592" s="223"/>
      <c r="J592" s="225"/>
      <c r="K592" s="350" t="s">
        <v>4493</v>
      </c>
      <c r="L592" s="283" t="s">
        <v>4494</v>
      </c>
      <c r="M592" s="167"/>
      <c r="N592" s="167"/>
      <c r="O592" s="167"/>
      <c r="P592" s="211"/>
      <c r="Q592" s="211"/>
      <c r="R592" s="211">
        <v>1</v>
      </c>
      <c r="S592" s="211">
        <v>2</v>
      </c>
      <c r="T592" s="223"/>
      <c r="U592" s="283" t="e">
        <v>#N/A</v>
      </c>
      <c r="V592" s="283" t="s">
        <v>4502</v>
      </c>
      <c r="W592" s="283">
        <v>1</v>
      </c>
      <c r="X592" s="283">
        <v>1</v>
      </c>
      <c r="Y592" s="283">
        <v>0</v>
      </c>
      <c r="Z592" s="283">
        <v>1</v>
      </c>
      <c r="AA592" s="283">
        <v>1</v>
      </c>
      <c r="AB592" s="283">
        <v>1</v>
      </c>
      <c r="AC592" s="316">
        <v>0</v>
      </c>
      <c r="AD592" s="316">
        <v>1</v>
      </c>
      <c r="AE592" s="302">
        <f t="shared" si="20"/>
        <v>0.75</v>
      </c>
      <c r="AF592" s="310"/>
      <c r="AG592" s="17">
        <v>0</v>
      </c>
      <c r="AH592" s="310">
        <v>1</v>
      </c>
      <c r="AI592" s="310">
        <v>0.6</v>
      </c>
      <c r="AJ592" s="310">
        <v>0.6</v>
      </c>
      <c r="AK592" s="317">
        <v>5</v>
      </c>
      <c r="AL592" s="317">
        <v>5</v>
      </c>
      <c r="AM592" s="147">
        <f t="shared" si="19"/>
        <v>10</v>
      </c>
      <c r="AN592" s="283" t="s">
        <v>1035</v>
      </c>
      <c r="AO592" s="18" t="s">
        <v>1037</v>
      </c>
      <c r="AP592" s="176" t="s">
        <v>4497</v>
      </c>
    </row>
    <row r="593" spans="1:42" x14ac:dyDescent="0.3">
      <c r="A593" s="314" t="s">
        <v>1447</v>
      </c>
      <c r="B593" s="283" t="s">
        <v>4485</v>
      </c>
      <c r="C593" s="314" t="s">
        <v>4487</v>
      </c>
      <c r="D593" s="283" t="s">
        <v>4488</v>
      </c>
      <c r="E593" s="314" t="s">
        <v>4489</v>
      </c>
      <c r="F593" s="283" t="s">
        <v>4490</v>
      </c>
      <c r="G593" s="314" t="s">
        <v>4491</v>
      </c>
      <c r="H593" s="283" t="s">
        <v>4492</v>
      </c>
      <c r="I593" s="223"/>
      <c r="J593" s="225"/>
      <c r="K593" s="350" t="s">
        <v>4493</v>
      </c>
      <c r="L593" s="283" t="s">
        <v>4494</v>
      </c>
      <c r="M593" s="162"/>
      <c r="N593" s="162"/>
      <c r="O593" s="162"/>
      <c r="P593" s="224"/>
      <c r="Q593" s="224"/>
      <c r="R593" s="224"/>
      <c r="S593" s="224"/>
      <c r="T593" s="223"/>
      <c r="U593" s="283" t="e">
        <v>#N/A</v>
      </c>
      <c r="V593" s="283" t="s">
        <v>4503</v>
      </c>
      <c r="W593" s="283">
        <v>0</v>
      </c>
      <c r="X593" s="283">
        <v>0</v>
      </c>
      <c r="Y593" s="283">
        <v>0</v>
      </c>
      <c r="Z593" s="283">
        <v>1</v>
      </c>
      <c r="AA593" s="283">
        <v>1</v>
      </c>
      <c r="AB593" s="283">
        <v>1</v>
      </c>
      <c r="AC593" s="316">
        <v>0</v>
      </c>
      <c r="AD593" s="316">
        <v>1</v>
      </c>
      <c r="AE593" s="302">
        <f t="shared" si="20"/>
        <v>0.5</v>
      </c>
      <c r="AF593" s="310"/>
      <c r="AG593" s="17">
        <v>0</v>
      </c>
      <c r="AH593" s="310">
        <v>1.5</v>
      </c>
      <c r="AI593" s="310">
        <v>1.25</v>
      </c>
      <c r="AJ593" s="310">
        <v>1.25</v>
      </c>
      <c r="AK593" s="317">
        <v>1.25</v>
      </c>
      <c r="AL593" s="317">
        <v>1.25</v>
      </c>
      <c r="AM593" s="147">
        <f t="shared" si="19"/>
        <v>2.5</v>
      </c>
      <c r="AN593" s="283" t="s">
        <v>1035</v>
      </c>
      <c r="AO593" s="18" t="s">
        <v>1037</v>
      </c>
      <c r="AP593" s="283" t="s">
        <v>4497</v>
      </c>
    </row>
    <row r="594" spans="1:42" x14ac:dyDescent="0.3">
      <c r="A594" s="314" t="s">
        <v>1447</v>
      </c>
      <c r="B594" s="283" t="s">
        <v>4485</v>
      </c>
      <c r="C594" s="314" t="s">
        <v>4487</v>
      </c>
      <c r="D594" s="283" t="s">
        <v>4488</v>
      </c>
      <c r="E594" s="314" t="s">
        <v>4489</v>
      </c>
      <c r="F594" s="283" t="s">
        <v>4490</v>
      </c>
      <c r="G594" s="314" t="s">
        <v>4491</v>
      </c>
      <c r="H594" s="283" t="s">
        <v>4492</v>
      </c>
      <c r="I594" s="223"/>
      <c r="J594" s="225"/>
      <c r="K594" s="350" t="s">
        <v>4493</v>
      </c>
      <c r="L594" s="283" t="s">
        <v>4494</v>
      </c>
      <c r="M594" s="167"/>
      <c r="N594" s="167"/>
      <c r="O594" s="167"/>
      <c r="P594" s="211"/>
      <c r="Q594" s="211"/>
      <c r="R594" s="211">
        <v>1</v>
      </c>
      <c r="S594" s="211">
        <v>1</v>
      </c>
      <c r="T594" s="223"/>
      <c r="U594" s="283" t="e">
        <v>#N/A</v>
      </c>
      <c r="V594" s="283" t="s">
        <v>4504</v>
      </c>
      <c r="W594" s="283">
        <v>1</v>
      </c>
      <c r="X594" s="283">
        <v>1</v>
      </c>
      <c r="Y594" s="283">
        <v>0</v>
      </c>
      <c r="Z594" s="283">
        <v>1</v>
      </c>
      <c r="AA594" s="283">
        <v>1</v>
      </c>
      <c r="AB594" s="283">
        <v>0</v>
      </c>
      <c r="AC594" s="316">
        <v>0</v>
      </c>
      <c r="AD594" s="316">
        <v>1</v>
      </c>
      <c r="AE594" s="302">
        <f t="shared" si="20"/>
        <v>0.625</v>
      </c>
      <c r="AF594" s="310"/>
      <c r="AG594" s="17">
        <v>0</v>
      </c>
      <c r="AH594" s="310">
        <v>0.5</v>
      </c>
      <c r="AI594" s="310">
        <v>0.5</v>
      </c>
      <c r="AJ594" s="17">
        <v>0</v>
      </c>
      <c r="AK594" s="153">
        <v>0.3</v>
      </c>
      <c r="AL594" s="154">
        <v>0.3</v>
      </c>
      <c r="AM594" s="147">
        <f t="shared" si="19"/>
        <v>0.6</v>
      </c>
      <c r="AN594" s="283" t="s">
        <v>1035</v>
      </c>
      <c r="AO594" s="18" t="s">
        <v>1037</v>
      </c>
      <c r="AP594" s="283" t="s">
        <v>4501</v>
      </c>
    </row>
    <row r="595" spans="1:42" x14ac:dyDescent="0.3">
      <c r="A595" s="314" t="s">
        <v>1447</v>
      </c>
      <c r="B595" s="283" t="s">
        <v>4485</v>
      </c>
      <c r="C595" s="314" t="s">
        <v>4487</v>
      </c>
      <c r="D595" s="283" t="s">
        <v>4488</v>
      </c>
      <c r="E595" s="314" t="s">
        <v>4489</v>
      </c>
      <c r="F595" s="283" t="s">
        <v>4490</v>
      </c>
      <c r="G595" s="314" t="s">
        <v>4505</v>
      </c>
      <c r="H595" s="283" t="s">
        <v>4506</v>
      </c>
      <c r="I595" s="314" t="s">
        <v>4507</v>
      </c>
      <c r="J595" s="283" t="s">
        <v>4508</v>
      </c>
      <c r="K595" s="350" t="s">
        <v>4509</v>
      </c>
      <c r="L595" s="283" t="s">
        <v>4510</v>
      </c>
      <c r="M595" s="1" t="s">
        <v>4511</v>
      </c>
      <c r="N595" s="162">
        <v>0</v>
      </c>
      <c r="O595" s="162">
        <v>20</v>
      </c>
      <c r="P595" s="224">
        <v>40</v>
      </c>
      <c r="Q595" s="224">
        <v>60</v>
      </c>
      <c r="R595" s="224">
        <v>20</v>
      </c>
      <c r="S595" s="224">
        <v>40</v>
      </c>
      <c r="T595" s="223" t="s">
        <v>4512</v>
      </c>
      <c r="U595" s="283" t="s">
        <v>4514</v>
      </c>
      <c r="V595" s="283" t="s">
        <v>4513</v>
      </c>
      <c r="W595" s="283">
        <v>1</v>
      </c>
      <c r="X595" s="283">
        <v>1</v>
      </c>
      <c r="Y595" s="283">
        <v>1</v>
      </c>
      <c r="Z595" s="283">
        <v>1</v>
      </c>
      <c r="AA595" s="283">
        <v>1</v>
      </c>
      <c r="AB595" s="283">
        <v>0</v>
      </c>
      <c r="AC595" s="316">
        <v>0</v>
      </c>
      <c r="AD595" s="316">
        <v>1</v>
      </c>
      <c r="AE595" s="302">
        <f t="shared" si="20"/>
        <v>0.75</v>
      </c>
      <c r="AF595" s="17"/>
      <c r="AG595" s="17">
        <v>0</v>
      </c>
      <c r="AH595" s="17">
        <v>0</v>
      </c>
      <c r="AI595" s="310">
        <v>3.16</v>
      </c>
      <c r="AJ595" s="310">
        <v>20</v>
      </c>
      <c r="AK595" s="317">
        <v>31.5</v>
      </c>
      <c r="AL595" s="154">
        <v>40.5</v>
      </c>
      <c r="AM595" s="147">
        <f t="shared" si="19"/>
        <v>72</v>
      </c>
      <c r="AN595" s="283" t="s">
        <v>4512</v>
      </c>
      <c r="AO595" s="18" t="s">
        <v>4514</v>
      </c>
      <c r="AP595" s="176" t="s">
        <v>4515</v>
      </c>
    </row>
    <row r="596" spans="1:42" x14ac:dyDescent="0.3">
      <c r="A596" s="314" t="s">
        <v>1447</v>
      </c>
      <c r="B596" s="283" t="s">
        <v>4485</v>
      </c>
      <c r="C596" s="314" t="s">
        <v>4487</v>
      </c>
      <c r="D596" s="283" t="s">
        <v>4488</v>
      </c>
      <c r="E596" s="314" t="s">
        <v>4489</v>
      </c>
      <c r="F596" s="283" t="s">
        <v>4490</v>
      </c>
      <c r="G596" s="314" t="s">
        <v>4505</v>
      </c>
      <c r="H596" s="283" t="s">
        <v>4506</v>
      </c>
      <c r="I596" s="314" t="s">
        <v>4507</v>
      </c>
      <c r="J596" s="283" t="s">
        <v>4508</v>
      </c>
      <c r="K596" s="350" t="s">
        <v>4509</v>
      </c>
      <c r="L596" s="283" t="s">
        <v>4510</v>
      </c>
      <c r="M596" s="162"/>
      <c r="N596" s="162"/>
      <c r="O596" s="162"/>
      <c r="P596" s="224"/>
      <c r="Q596" s="224"/>
      <c r="R596" s="224"/>
      <c r="S596" s="226"/>
      <c r="T596" s="223" t="s">
        <v>4512</v>
      </c>
      <c r="U596" s="283" t="s">
        <v>4514</v>
      </c>
      <c r="V596" s="283" t="s">
        <v>4516</v>
      </c>
      <c r="W596" s="283">
        <v>0</v>
      </c>
      <c r="X596" s="283">
        <v>0</v>
      </c>
      <c r="Y596" s="283">
        <v>0</v>
      </c>
      <c r="Z596" s="283">
        <v>1</v>
      </c>
      <c r="AA596" s="283">
        <v>0</v>
      </c>
      <c r="AB596" s="283">
        <v>0</v>
      </c>
      <c r="AC596" s="316">
        <v>0</v>
      </c>
      <c r="AD596" s="316">
        <v>1</v>
      </c>
      <c r="AE596" s="302">
        <f t="shared" si="20"/>
        <v>0.25</v>
      </c>
      <c r="AF596" s="17"/>
      <c r="AG596" s="17">
        <v>0</v>
      </c>
      <c r="AH596" s="17">
        <v>0</v>
      </c>
      <c r="AI596" s="310">
        <v>0.9</v>
      </c>
      <c r="AJ596" s="310">
        <v>3</v>
      </c>
      <c r="AK596" s="317">
        <v>2.5</v>
      </c>
      <c r="AL596" s="317">
        <v>1.85</v>
      </c>
      <c r="AM596" s="147">
        <f t="shared" si="19"/>
        <v>4.3499999999999996</v>
      </c>
      <c r="AN596" s="283" t="s">
        <v>1035</v>
      </c>
      <c r="AO596" s="18" t="s">
        <v>1037</v>
      </c>
      <c r="AP596" s="176" t="s">
        <v>4497</v>
      </c>
    </row>
    <row r="597" spans="1:42" x14ac:dyDescent="0.3">
      <c r="A597" s="314" t="s">
        <v>1447</v>
      </c>
      <c r="B597" s="283" t="s">
        <v>4485</v>
      </c>
      <c r="C597" s="314" t="s">
        <v>4487</v>
      </c>
      <c r="D597" s="283" t="s">
        <v>4488</v>
      </c>
      <c r="E597" s="314" t="s">
        <v>4489</v>
      </c>
      <c r="F597" s="283" t="s">
        <v>4490</v>
      </c>
      <c r="G597" s="314" t="s">
        <v>4505</v>
      </c>
      <c r="H597" s="283" t="s">
        <v>4506</v>
      </c>
      <c r="I597" s="314" t="s">
        <v>4517</v>
      </c>
      <c r="J597" s="283" t="s">
        <v>4518</v>
      </c>
      <c r="K597" s="350" t="s">
        <v>4519</v>
      </c>
      <c r="L597" s="283" t="s">
        <v>4520</v>
      </c>
      <c r="M597" s="167" t="s">
        <v>4521</v>
      </c>
      <c r="N597" s="167">
        <v>2</v>
      </c>
      <c r="O597" s="167">
        <v>5</v>
      </c>
      <c r="P597" s="211">
        <v>10</v>
      </c>
      <c r="Q597" s="211">
        <v>33</v>
      </c>
      <c r="R597" s="211">
        <v>100</v>
      </c>
      <c r="S597" s="211">
        <v>0</v>
      </c>
      <c r="T597" s="223" t="s">
        <v>4512</v>
      </c>
      <c r="U597" s="283" t="s">
        <v>4514</v>
      </c>
      <c r="V597" s="283" t="s">
        <v>4522</v>
      </c>
      <c r="W597" s="283">
        <v>1</v>
      </c>
      <c r="X597" s="283">
        <v>1</v>
      </c>
      <c r="Y597" s="283">
        <v>1</v>
      </c>
      <c r="Z597" s="283">
        <v>1</v>
      </c>
      <c r="AA597" s="283">
        <v>1</v>
      </c>
      <c r="AB597" s="283">
        <v>0</v>
      </c>
      <c r="AC597" s="316">
        <v>0</v>
      </c>
      <c r="AD597" s="316">
        <v>1</v>
      </c>
      <c r="AE597" s="302">
        <f t="shared" si="20"/>
        <v>0.75</v>
      </c>
      <c r="AF597" s="310"/>
      <c r="AG597" s="17">
        <v>0</v>
      </c>
      <c r="AH597" s="310">
        <v>8</v>
      </c>
      <c r="AI597" s="310">
        <v>4</v>
      </c>
      <c r="AJ597" s="310">
        <v>2</v>
      </c>
      <c r="AK597" s="317">
        <v>1</v>
      </c>
      <c r="AL597" s="154">
        <v>0</v>
      </c>
      <c r="AM597" s="147">
        <f t="shared" si="19"/>
        <v>1</v>
      </c>
      <c r="AN597" s="283" t="s">
        <v>1035</v>
      </c>
      <c r="AO597" s="18" t="s">
        <v>1037</v>
      </c>
      <c r="AP597" s="283" t="s">
        <v>4523</v>
      </c>
    </row>
    <row r="598" spans="1:42" x14ac:dyDescent="0.3">
      <c r="A598" s="314" t="s">
        <v>1447</v>
      </c>
      <c r="B598" s="283" t="s">
        <v>4485</v>
      </c>
      <c r="C598" s="314" t="s">
        <v>4487</v>
      </c>
      <c r="D598" s="283" t="s">
        <v>4488</v>
      </c>
      <c r="E598" s="314" t="s">
        <v>4489</v>
      </c>
      <c r="F598" s="283" t="s">
        <v>4490</v>
      </c>
      <c r="G598" s="314" t="s">
        <v>4505</v>
      </c>
      <c r="H598" s="283" t="s">
        <v>4506</v>
      </c>
      <c r="I598" s="314" t="s">
        <v>4517</v>
      </c>
      <c r="J598" s="283" t="s">
        <v>4518</v>
      </c>
      <c r="K598" s="350" t="s">
        <v>4519</v>
      </c>
      <c r="L598" s="283" t="s">
        <v>4520</v>
      </c>
      <c r="M598" s="167"/>
      <c r="N598" s="167"/>
      <c r="O598" s="167"/>
      <c r="P598" s="211"/>
      <c r="Q598" s="211"/>
      <c r="R598" s="211">
        <v>75</v>
      </c>
      <c r="S598" s="211">
        <v>100</v>
      </c>
      <c r="T598" s="223"/>
      <c r="U598" s="283" t="e">
        <v>#N/A</v>
      </c>
      <c r="V598" s="283" t="s">
        <v>4524</v>
      </c>
      <c r="W598" s="283">
        <v>1</v>
      </c>
      <c r="X598" s="283">
        <v>0</v>
      </c>
      <c r="Y598" s="283">
        <v>1</v>
      </c>
      <c r="Z598" s="283">
        <v>1</v>
      </c>
      <c r="AA598" s="283">
        <v>1</v>
      </c>
      <c r="AB598" s="283">
        <v>1</v>
      </c>
      <c r="AC598" s="316">
        <v>0</v>
      </c>
      <c r="AD598" s="316">
        <v>1</v>
      </c>
      <c r="AE598" s="302">
        <f t="shared" si="20"/>
        <v>0.75</v>
      </c>
      <c r="AF598" s="310"/>
      <c r="AG598" s="17">
        <v>0</v>
      </c>
      <c r="AH598" s="310">
        <v>50</v>
      </c>
      <c r="AI598" s="310">
        <v>40</v>
      </c>
      <c r="AJ598" s="310">
        <v>5</v>
      </c>
      <c r="AK598" s="317">
        <v>77</v>
      </c>
      <c r="AL598" s="317">
        <v>2</v>
      </c>
      <c r="AM598" s="147">
        <f t="shared" si="19"/>
        <v>79</v>
      </c>
      <c r="AN598" s="283" t="s">
        <v>1035</v>
      </c>
      <c r="AO598" s="18" t="s">
        <v>1037</v>
      </c>
      <c r="AP598" s="283" t="s">
        <v>4523</v>
      </c>
    </row>
    <row r="599" spans="1:42" x14ac:dyDescent="0.3">
      <c r="A599" s="314" t="s">
        <v>1447</v>
      </c>
      <c r="B599" s="283" t="s">
        <v>4485</v>
      </c>
      <c r="C599" s="314" t="s">
        <v>4487</v>
      </c>
      <c r="D599" s="283" t="s">
        <v>4488</v>
      </c>
      <c r="E599" s="314" t="s">
        <v>4489</v>
      </c>
      <c r="F599" s="283" t="s">
        <v>4490</v>
      </c>
      <c r="G599" s="314" t="s">
        <v>4505</v>
      </c>
      <c r="H599" s="283" t="s">
        <v>4506</v>
      </c>
      <c r="I599" s="314" t="s">
        <v>4517</v>
      </c>
      <c r="J599" s="283" t="s">
        <v>4518</v>
      </c>
      <c r="K599" s="350" t="s">
        <v>4519</v>
      </c>
      <c r="L599" s="283" t="s">
        <v>4520</v>
      </c>
      <c r="M599" s="167"/>
      <c r="N599" s="167"/>
      <c r="O599" s="167"/>
      <c r="P599" s="211"/>
      <c r="Q599" s="211"/>
      <c r="R599" s="211"/>
      <c r="S599" s="211"/>
      <c r="T599" s="223"/>
      <c r="U599" s="283" t="e">
        <v>#N/A</v>
      </c>
      <c r="V599" s="283" t="s">
        <v>4525</v>
      </c>
      <c r="W599" s="283">
        <v>0</v>
      </c>
      <c r="X599" s="283">
        <v>0</v>
      </c>
      <c r="Y599" s="283">
        <v>0</v>
      </c>
      <c r="Z599" s="283">
        <v>1</v>
      </c>
      <c r="AA599" s="283">
        <v>1</v>
      </c>
      <c r="AB599" s="283">
        <v>0</v>
      </c>
      <c r="AC599" s="316">
        <v>0</v>
      </c>
      <c r="AD599" s="316">
        <v>1</v>
      </c>
      <c r="AE599" s="302">
        <f t="shared" si="20"/>
        <v>0.375</v>
      </c>
      <c r="AF599" s="310"/>
      <c r="AG599" s="17">
        <v>0</v>
      </c>
      <c r="AH599" s="310">
        <v>3</v>
      </c>
      <c r="AI599" s="310">
        <v>1</v>
      </c>
      <c r="AJ599" s="310">
        <v>1</v>
      </c>
      <c r="AK599" s="153">
        <v>0</v>
      </c>
      <c r="AL599" s="154">
        <v>0</v>
      </c>
      <c r="AM599" s="147">
        <f t="shared" si="19"/>
        <v>0</v>
      </c>
      <c r="AN599" s="283" t="s">
        <v>1035</v>
      </c>
      <c r="AO599" s="18" t="s">
        <v>1037</v>
      </c>
      <c r="AP599" s="283" t="s">
        <v>4526</v>
      </c>
    </row>
    <row r="600" spans="1:42" x14ac:dyDescent="0.3">
      <c r="A600" s="314" t="s">
        <v>1447</v>
      </c>
      <c r="B600" s="283" t="s">
        <v>4485</v>
      </c>
      <c r="C600" s="314" t="s">
        <v>4487</v>
      </c>
      <c r="D600" s="283" t="s">
        <v>4488</v>
      </c>
      <c r="E600" s="314" t="s">
        <v>4489</v>
      </c>
      <c r="F600" s="283" t="s">
        <v>4490</v>
      </c>
      <c r="G600" s="314" t="s">
        <v>4505</v>
      </c>
      <c r="H600" s="283" t="s">
        <v>4506</v>
      </c>
      <c r="I600" s="314" t="s">
        <v>4517</v>
      </c>
      <c r="J600" s="283" t="s">
        <v>4518</v>
      </c>
      <c r="K600" s="350" t="s">
        <v>4519</v>
      </c>
      <c r="L600" s="283" t="s">
        <v>4520</v>
      </c>
      <c r="M600" s="167"/>
      <c r="N600" s="167"/>
      <c r="O600" s="167"/>
      <c r="P600" s="211"/>
      <c r="Q600" s="211"/>
      <c r="R600" s="211">
        <v>10</v>
      </c>
      <c r="S600" s="211">
        <v>20</v>
      </c>
      <c r="T600" s="223"/>
      <c r="U600" s="283" t="e">
        <v>#N/A</v>
      </c>
      <c r="V600" s="283" t="s">
        <v>4527</v>
      </c>
      <c r="W600" s="283">
        <v>1</v>
      </c>
      <c r="X600" s="283">
        <v>1</v>
      </c>
      <c r="Y600" s="283">
        <v>1</v>
      </c>
      <c r="Z600" s="283">
        <v>0</v>
      </c>
      <c r="AA600" s="283">
        <v>1</v>
      </c>
      <c r="AB600" s="283">
        <v>0</v>
      </c>
      <c r="AC600" s="316">
        <v>0</v>
      </c>
      <c r="AD600" s="316">
        <v>1</v>
      </c>
      <c r="AE600" s="302">
        <f t="shared" si="20"/>
        <v>0.625</v>
      </c>
      <c r="AF600" s="310"/>
      <c r="AG600" s="17">
        <v>1</v>
      </c>
      <c r="AH600" s="310">
        <v>322.60898851777466</v>
      </c>
      <c r="AI600" s="310">
        <v>119.88885761466707</v>
      </c>
      <c r="AJ600" s="310">
        <v>221.24892306621842</v>
      </c>
      <c r="AK600" s="317">
        <v>221.248923066218</v>
      </c>
      <c r="AL600" s="317">
        <v>600</v>
      </c>
      <c r="AM600" s="147">
        <f t="shared" si="19"/>
        <v>821.24892306621803</v>
      </c>
      <c r="AN600" s="283" t="s">
        <v>4512</v>
      </c>
      <c r="AO600" s="18" t="s">
        <v>4514</v>
      </c>
      <c r="AP600" s="345" t="s">
        <v>4528</v>
      </c>
    </row>
    <row r="601" spans="1:42" x14ac:dyDescent="0.3">
      <c r="A601" s="314" t="s">
        <v>1447</v>
      </c>
      <c r="B601" s="283" t="s">
        <v>4485</v>
      </c>
      <c r="C601" s="314" t="s">
        <v>4487</v>
      </c>
      <c r="D601" s="283" t="s">
        <v>4488</v>
      </c>
      <c r="E601" s="314" t="s">
        <v>4489</v>
      </c>
      <c r="F601" s="283" t="s">
        <v>4490</v>
      </c>
      <c r="G601" s="314" t="s">
        <v>4505</v>
      </c>
      <c r="H601" s="283" t="s">
        <v>4506</v>
      </c>
      <c r="I601" s="314" t="s">
        <v>4517</v>
      </c>
      <c r="J601" s="283" t="s">
        <v>4518</v>
      </c>
      <c r="K601" s="350" t="s">
        <v>4519</v>
      </c>
      <c r="L601" s="283" t="s">
        <v>4520</v>
      </c>
      <c r="M601" s="167"/>
      <c r="N601" s="167"/>
      <c r="O601" s="167"/>
      <c r="P601" s="211"/>
      <c r="Q601" s="211"/>
      <c r="R601" s="211">
        <v>10</v>
      </c>
      <c r="S601" s="211">
        <v>20</v>
      </c>
      <c r="T601" s="206"/>
      <c r="U601" s="283" t="e">
        <v>#N/A</v>
      </c>
      <c r="V601" s="283" t="s">
        <v>4529</v>
      </c>
      <c r="W601" s="283">
        <v>1</v>
      </c>
      <c r="X601" s="283">
        <v>1</v>
      </c>
      <c r="Y601" s="283">
        <v>1</v>
      </c>
      <c r="Z601" s="283">
        <v>0</v>
      </c>
      <c r="AA601" s="283">
        <v>1</v>
      </c>
      <c r="AB601" s="283">
        <v>0</v>
      </c>
      <c r="AC601" s="316">
        <v>0</v>
      </c>
      <c r="AD601" s="316">
        <v>1</v>
      </c>
      <c r="AE601" s="302">
        <f t="shared" si="20"/>
        <v>0.625</v>
      </c>
      <c r="AF601" s="310"/>
      <c r="AG601" s="17">
        <v>0</v>
      </c>
      <c r="AH601" s="310">
        <v>5</v>
      </c>
      <c r="AI601" s="310">
        <v>8</v>
      </c>
      <c r="AJ601" s="310">
        <v>10</v>
      </c>
      <c r="AK601" s="317">
        <v>8</v>
      </c>
      <c r="AL601" s="317">
        <v>7</v>
      </c>
      <c r="AM601" s="147">
        <f t="shared" si="19"/>
        <v>15</v>
      </c>
      <c r="AN601" s="283" t="s">
        <v>1035</v>
      </c>
      <c r="AO601" s="18" t="s">
        <v>1037</v>
      </c>
      <c r="AP601" s="283" t="s">
        <v>4512</v>
      </c>
    </row>
    <row r="602" spans="1:42" x14ac:dyDescent="0.3">
      <c r="A602" s="314" t="s">
        <v>1447</v>
      </c>
      <c r="B602" s="283" t="s">
        <v>4485</v>
      </c>
      <c r="C602" s="314" t="s">
        <v>4487</v>
      </c>
      <c r="D602" s="283" t="s">
        <v>4488</v>
      </c>
      <c r="E602" s="314" t="s">
        <v>4489</v>
      </c>
      <c r="F602" s="283" t="s">
        <v>4490</v>
      </c>
      <c r="G602" s="314" t="s">
        <v>4505</v>
      </c>
      <c r="H602" s="283" t="s">
        <v>4506</v>
      </c>
      <c r="I602" s="314" t="s">
        <v>4530</v>
      </c>
      <c r="J602" s="283" t="s">
        <v>4531</v>
      </c>
      <c r="K602" s="350" t="s">
        <v>4532</v>
      </c>
      <c r="L602" s="283" t="s">
        <v>4533</v>
      </c>
      <c r="M602" s="167" t="s">
        <v>4534</v>
      </c>
      <c r="N602" s="167">
        <v>5</v>
      </c>
      <c r="O602" s="167">
        <v>10</v>
      </c>
      <c r="P602" s="211">
        <v>33</v>
      </c>
      <c r="Q602" s="211">
        <v>67</v>
      </c>
      <c r="R602" s="211">
        <v>30</v>
      </c>
      <c r="S602" s="211">
        <v>70</v>
      </c>
      <c r="T602" s="206" t="s">
        <v>4535</v>
      </c>
      <c r="U602" s="283" t="e">
        <v>#N/A</v>
      </c>
      <c r="V602" s="283" t="s">
        <v>4536</v>
      </c>
      <c r="W602" s="283">
        <v>1</v>
      </c>
      <c r="X602" s="283">
        <v>1</v>
      </c>
      <c r="Y602" s="283">
        <v>1</v>
      </c>
      <c r="Z602" s="283">
        <v>0</v>
      </c>
      <c r="AA602" s="283">
        <v>1</v>
      </c>
      <c r="AB602" s="283">
        <v>0</v>
      </c>
      <c r="AC602" s="316">
        <v>0</v>
      </c>
      <c r="AD602" s="316">
        <v>1</v>
      </c>
      <c r="AE602" s="302">
        <f t="shared" si="20"/>
        <v>0.625</v>
      </c>
      <c r="AF602" s="310"/>
      <c r="AG602" s="17">
        <v>1</v>
      </c>
      <c r="AH602" s="310">
        <v>284.53500000000003</v>
      </c>
      <c r="AI602" s="310">
        <v>111.14344604537442</v>
      </c>
      <c r="AJ602" s="310">
        <v>267.60912933845788</v>
      </c>
      <c r="AK602" s="317">
        <v>78.859998045169675</v>
      </c>
      <c r="AL602" s="317">
        <v>300</v>
      </c>
      <c r="AM602" s="147">
        <f t="shared" si="19"/>
        <v>378.85999804516968</v>
      </c>
      <c r="AN602" s="283" t="s">
        <v>4512</v>
      </c>
      <c r="AO602" s="18" t="s">
        <v>4514</v>
      </c>
      <c r="AP602" s="345" t="s">
        <v>4537</v>
      </c>
    </row>
    <row r="603" spans="1:42" x14ac:dyDescent="0.3">
      <c r="A603" s="314" t="s">
        <v>1447</v>
      </c>
      <c r="B603" s="283" t="s">
        <v>4485</v>
      </c>
      <c r="C603" s="314" t="s">
        <v>4487</v>
      </c>
      <c r="D603" s="283" t="s">
        <v>4488</v>
      </c>
      <c r="E603" s="314" t="s">
        <v>4489</v>
      </c>
      <c r="F603" s="283" t="s">
        <v>4490</v>
      </c>
      <c r="G603" s="314" t="s">
        <v>4505</v>
      </c>
      <c r="H603" s="283" t="s">
        <v>4506</v>
      </c>
      <c r="I603" s="314" t="s">
        <v>4530</v>
      </c>
      <c r="J603" s="283" t="s">
        <v>4531</v>
      </c>
      <c r="K603" s="350" t="s">
        <v>4532</v>
      </c>
      <c r="L603" s="283" t="s">
        <v>4533</v>
      </c>
      <c r="M603" s="162"/>
      <c r="N603" s="167"/>
      <c r="O603" s="167"/>
      <c r="P603" s="211"/>
      <c r="Q603" s="211"/>
      <c r="R603" s="211">
        <v>85</v>
      </c>
      <c r="S603" s="211">
        <v>100</v>
      </c>
      <c r="T603" s="206"/>
      <c r="U603" s="283" t="e">
        <v>#N/A</v>
      </c>
      <c r="V603" s="283" t="s">
        <v>4538</v>
      </c>
      <c r="W603" s="283">
        <v>1</v>
      </c>
      <c r="X603" s="283">
        <v>1</v>
      </c>
      <c r="Y603" s="283">
        <v>1</v>
      </c>
      <c r="Z603" s="283">
        <v>1</v>
      </c>
      <c r="AA603" s="283">
        <v>1</v>
      </c>
      <c r="AB603" s="283">
        <v>0</v>
      </c>
      <c r="AC603" s="316">
        <v>0</v>
      </c>
      <c r="AD603" s="316">
        <v>1</v>
      </c>
      <c r="AE603" s="302">
        <f t="shared" si="20"/>
        <v>0.75</v>
      </c>
      <c r="AF603" s="310"/>
      <c r="AG603" s="17">
        <v>0</v>
      </c>
      <c r="AH603" s="310">
        <v>13</v>
      </c>
      <c r="AI603" s="310">
        <v>10</v>
      </c>
      <c r="AJ603" s="310">
        <v>5</v>
      </c>
      <c r="AK603" s="317">
        <v>5</v>
      </c>
      <c r="AL603" s="154">
        <v>3</v>
      </c>
      <c r="AM603" s="147">
        <f t="shared" si="19"/>
        <v>8</v>
      </c>
      <c r="AN603" s="283" t="s">
        <v>1035</v>
      </c>
      <c r="AO603" s="18" t="s">
        <v>1037</v>
      </c>
      <c r="AP603" s="345" t="s">
        <v>4539</v>
      </c>
    </row>
    <row r="604" spans="1:42" x14ac:dyDescent="0.3">
      <c r="A604" s="314" t="s">
        <v>1447</v>
      </c>
      <c r="B604" s="283" t="s">
        <v>4485</v>
      </c>
      <c r="C604" s="314" t="s">
        <v>4487</v>
      </c>
      <c r="D604" s="283" t="s">
        <v>4488</v>
      </c>
      <c r="E604" s="314" t="s">
        <v>4489</v>
      </c>
      <c r="F604" s="283" t="s">
        <v>4490</v>
      </c>
      <c r="G604" s="314" t="s">
        <v>4505</v>
      </c>
      <c r="H604" s="283" t="s">
        <v>4506</v>
      </c>
      <c r="I604" s="314" t="s">
        <v>4530</v>
      </c>
      <c r="J604" s="283" t="s">
        <v>4531</v>
      </c>
      <c r="K604" s="350" t="s">
        <v>4532</v>
      </c>
      <c r="L604" s="283" t="s">
        <v>4533</v>
      </c>
      <c r="M604" s="162"/>
      <c r="N604" s="167"/>
      <c r="O604" s="167"/>
      <c r="P604" s="211"/>
      <c r="Q604" s="224"/>
      <c r="R604" s="224">
        <v>80</v>
      </c>
      <c r="S604" s="224">
        <v>100</v>
      </c>
      <c r="T604" s="206"/>
      <c r="U604" s="283" t="e">
        <v>#N/A</v>
      </c>
      <c r="V604" s="283" t="s">
        <v>4540</v>
      </c>
      <c r="W604" s="283">
        <v>1</v>
      </c>
      <c r="X604" s="283">
        <v>0</v>
      </c>
      <c r="Y604" s="283">
        <v>0</v>
      </c>
      <c r="Z604" s="283">
        <v>1</v>
      </c>
      <c r="AA604" s="283">
        <v>1</v>
      </c>
      <c r="AB604" s="283">
        <v>1</v>
      </c>
      <c r="AC604" s="316">
        <v>0</v>
      </c>
      <c r="AD604" s="316">
        <v>1</v>
      </c>
      <c r="AE604" s="302">
        <f t="shared" si="20"/>
        <v>0.625</v>
      </c>
      <c r="AF604" s="310"/>
      <c r="AG604" s="17">
        <v>0</v>
      </c>
      <c r="AH604" s="310">
        <v>2.5</v>
      </c>
      <c r="AI604" s="310">
        <v>2.5</v>
      </c>
      <c r="AJ604" s="310">
        <v>2.5</v>
      </c>
      <c r="AK604" s="317">
        <v>2.5</v>
      </c>
      <c r="AL604" s="317">
        <v>2.5</v>
      </c>
      <c r="AM604" s="147">
        <f t="shared" si="19"/>
        <v>5</v>
      </c>
      <c r="AN604" s="283" t="s">
        <v>1035</v>
      </c>
      <c r="AO604" s="18" t="s">
        <v>1037</v>
      </c>
      <c r="AP604" s="345" t="s">
        <v>4541</v>
      </c>
    </row>
    <row r="605" spans="1:42" x14ac:dyDescent="0.3">
      <c r="A605" s="314" t="s">
        <v>1447</v>
      </c>
      <c r="B605" s="283" t="s">
        <v>4485</v>
      </c>
      <c r="C605" s="314" t="s">
        <v>4487</v>
      </c>
      <c r="D605" s="283" t="s">
        <v>4488</v>
      </c>
      <c r="E605" s="314" t="s">
        <v>4489</v>
      </c>
      <c r="F605" s="283" t="s">
        <v>4490</v>
      </c>
      <c r="G605" s="314" t="s">
        <v>4505</v>
      </c>
      <c r="H605" s="283" t="s">
        <v>4506</v>
      </c>
      <c r="I605" s="314" t="s">
        <v>4542</v>
      </c>
      <c r="J605" s="283" t="s">
        <v>4543</v>
      </c>
      <c r="K605" s="350" t="s">
        <v>4544</v>
      </c>
      <c r="L605" s="283" t="s">
        <v>4545</v>
      </c>
      <c r="M605" s="167" t="s">
        <v>4546</v>
      </c>
      <c r="N605" s="162">
        <v>5</v>
      </c>
      <c r="O605" s="162">
        <v>45</v>
      </c>
      <c r="P605" s="224">
        <v>75</v>
      </c>
      <c r="Q605" s="224">
        <v>100</v>
      </c>
      <c r="R605" s="224" t="s">
        <v>271</v>
      </c>
      <c r="S605" s="224" t="s">
        <v>271</v>
      </c>
      <c r="T605" s="206" t="s">
        <v>4535</v>
      </c>
      <c r="U605" s="283" t="e">
        <v>#N/A</v>
      </c>
      <c r="V605" s="283" t="s">
        <v>4547</v>
      </c>
      <c r="W605" s="283">
        <v>1</v>
      </c>
      <c r="X605" s="283">
        <v>1</v>
      </c>
      <c r="Y605" s="283">
        <v>0</v>
      </c>
      <c r="Z605" s="283">
        <v>0</v>
      </c>
      <c r="AA605" s="283">
        <v>1</v>
      </c>
      <c r="AB605" s="283">
        <v>0</v>
      </c>
      <c r="AC605" s="316">
        <v>0</v>
      </c>
      <c r="AD605" s="316">
        <v>1</v>
      </c>
      <c r="AE605" s="302">
        <f t="shared" si="20"/>
        <v>0.5</v>
      </c>
      <c r="AF605" s="310"/>
      <c r="AG605" s="17">
        <v>0</v>
      </c>
      <c r="AH605" s="310">
        <v>120.87</v>
      </c>
      <c r="AI605" s="310">
        <v>161.16</v>
      </c>
      <c r="AJ605" s="17">
        <v>0</v>
      </c>
      <c r="AK605" s="153">
        <v>0</v>
      </c>
      <c r="AL605" s="154">
        <v>0</v>
      </c>
      <c r="AM605" s="147">
        <f t="shared" si="19"/>
        <v>0</v>
      </c>
      <c r="AN605" s="283" t="s">
        <v>4512</v>
      </c>
      <c r="AO605" s="18" t="s">
        <v>4514</v>
      </c>
      <c r="AP605" s="345" t="s">
        <v>4528</v>
      </c>
    </row>
    <row r="606" spans="1:42" x14ac:dyDescent="0.3">
      <c r="A606" s="314" t="s">
        <v>1447</v>
      </c>
      <c r="B606" s="283" t="s">
        <v>4485</v>
      </c>
      <c r="C606" s="314" t="s">
        <v>4487</v>
      </c>
      <c r="D606" s="283" t="s">
        <v>4488</v>
      </c>
      <c r="E606" s="314" t="s">
        <v>4489</v>
      </c>
      <c r="F606" s="283" t="s">
        <v>4490</v>
      </c>
      <c r="G606" s="314" t="s">
        <v>4505</v>
      </c>
      <c r="H606" s="283" t="s">
        <v>4506</v>
      </c>
      <c r="I606" s="314" t="s">
        <v>4548</v>
      </c>
      <c r="J606" s="283" t="s">
        <v>4549</v>
      </c>
      <c r="K606" s="350" t="s">
        <v>4550</v>
      </c>
      <c r="L606" s="283" t="s">
        <v>4551</v>
      </c>
      <c r="M606" s="167" t="s">
        <v>4552</v>
      </c>
      <c r="N606" s="162">
        <v>0</v>
      </c>
      <c r="O606" s="162" t="s">
        <v>271</v>
      </c>
      <c r="P606" s="224">
        <v>10</v>
      </c>
      <c r="Q606" s="224">
        <v>60</v>
      </c>
      <c r="R606" s="224">
        <v>80</v>
      </c>
      <c r="S606" s="224">
        <v>100</v>
      </c>
      <c r="T606" s="206" t="s">
        <v>1035</v>
      </c>
      <c r="U606" s="283" t="s">
        <v>1037</v>
      </c>
      <c r="V606" s="283" t="s">
        <v>4553</v>
      </c>
      <c r="W606" s="283">
        <v>0</v>
      </c>
      <c r="X606" s="283">
        <v>0</v>
      </c>
      <c r="Y606" s="283">
        <v>0</v>
      </c>
      <c r="Z606" s="283">
        <v>1</v>
      </c>
      <c r="AA606" s="283">
        <v>1</v>
      </c>
      <c r="AB606" s="283">
        <v>0</v>
      </c>
      <c r="AC606" s="316">
        <v>0</v>
      </c>
      <c r="AD606" s="316">
        <v>1</v>
      </c>
      <c r="AE606" s="302">
        <f t="shared" si="20"/>
        <v>0.375</v>
      </c>
      <c r="AF606" s="310"/>
      <c r="AG606" s="17">
        <v>0</v>
      </c>
      <c r="AH606" s="310">
        <v>0.5</v>
      </c>
      <c r="AI606" s="17">
        <v>0</v>
      </c>
      <c r="AJ606" s="17">
        <v>0</v>
      </c>
      <c r="AK606" s="153">
        <v>0</v>
      </c>
      <c r="AL606" s="154">
        <v>0</v>
      </c>
      <c r="AM606" s="147">
        <f t="shared" si="19"/>
        <v>0</v>
      </c>
      <c r="AN606" s="283" t="s">
        <v>1035</v>
      </c>
      <c r="AO606" s="18" t="s">
        <v>1037</v>
      </c>
      <c r="AP606" s="345" t="s">
        <v>4501</v>
      </c>
    </row>
    <row r="607" spans="1:42" x14ac:dyDescent="0.3">
      <c r="A607" s="314" t="s">
        <v>1447</v>
      </c>
      <c r="B607" s="283" t="s">
        <v>4485</v>
      </c>
      <c r="C607" s="314" t="s">
        <v>4487</v>
      </c>
      <c r="D607" s="283" t="s">
        <v>4488</v>
      </c>
      <c r="E607" s="314" t="s">
        <v>4489</v>
      </c>
      <c r="F607" s="283" t="s">
        <v>4490</v>
      </c>
      <c r="G607" s="314" t="s">
        <v>4505</v>
      </c>
      <c r="H607" s="283" t="s">
        <v>4506</v>
      </c>
      <c r="I607" s="314" t="s">
        <v>4548</v>
      </c>
      <c r="J607" s="283" t="s">
        <v>4549</v>
      </c>
      <c r="K607" s="350" t="s">
        <v>4550</v>
      </c>
      <c r="L607" s="283" t="s">
        <v>4551</v>
      </c>
      <c r="M607" s="167"/>
      <c r="N607" s="167"/>
      <c r="O607" s="167"/>
      <c r="P607" s="211"/>
      <c r="Q607" s="224"/>
      <c r="R607" s="224">
        <v>30</v>
      </c>
      <c r="S607" s="224">
        <v>50</v>
      </c>
      <c r="T607" s="206"/>
      <c r="U607" s="283" t="e">
        <v>#N/A</v>
      </c>
      <c r="V607" s="283" t="s">
        <v>4554</v>
      </c>
      <c r="W607" s="283">
        <v>1</v>
      </c>
      <c r="X607" s="283">
        <v>1</v>
      </c>
      <c r="Y607" s="283">
        <v>0</v>
      </c>
      <c r="Z607" s="283">
        <v>1</v>
      </c>
      <c r="AA607" s="283">
        <v>1</v>
      </c>
      <c r="AB607" s="283">
        <v>0</v>
      </c>
      <c r="AC607" s="316">
        <v>0</v>
      </c>
      <c r="AD607" s="316">
        <v>1</v>
      </c>
      <c r="AE607" s="302">
        <f t="shared" si="20"/>
        <v>0.625</v>
      </c>
      <c r="AF607" s="310"/>
      <c r="AG607" s="17">
        <v>0</v>
      </c>
      <c r="AH607" s="310">
        <v>0.93400000000000005</v>
      </c>
      <c r="AI607" s="310">
        <v>0.93400000000000005</v>
      </c>
      <c r="AJ607" s="310">
        <v>0.93400000000000005</v>
      </c>
      <c r="AK607" s="317">
        <v>0.93400000000000005</v>
      </c>
      <c r="AL607" s="317">
        <v>0.93400000000000005</v>
      </c>
      <c r="AM607" s="147">
        <f t="shared" si="19"/>
        <v>1.8680000000000001</v>
      </c>
      <c r="AN607" s="283" t="s">
        <v>321</v>
      </c>
      <c r="AO607" s="18" t="s">
        <v>1066</v>
      </c>
      <c r="AP607" s="345" t="s">
        <v>4555</v>
      </c>
    </row>
    <row r="608" spans="1:42" x14ac:dyDescent="0.3">
      <c r="A608" s="314" t="s">
        <v>1447</v>
      </c>
      <c r="B608" s="283" t="s">
        <v>4485</v>
      </c>
      <c r="C608" s="314" t="s">
        <v>4487</v>
      </c>
      <c r="D608" s="283" t="s">
        <v>4488</v>
      </c>
      <c r="E608" s="314" t="s">
        <v>4489</v>
      </c>
      <c r="F608" s="283" t="s">
        <v>4490</v>
      </c>
      <c r="G608" s="314" t="s">
        <v>4505</v>
      </c>
      <c r="H608" s="283" t="s">
        <v>4506</v>
      </c>
      <c r="I608" s="314" t="s">
        <v>4548</v>
      </c>
      <c r="J608" s="283" t="s">
        <v>4549</v>
      </c>
      <c r="K608" s="350" t="s">
        <v>4550</v>
      </c>
      <c r="L608" s="283" t="s">
        <v>4551</v>
      </c>
      <c r="M608" s="167"/>
      <c r="N608" s="167"/>
      <c r="O608" s="167"/>
      <c r="P608" s="211"/>
      <c r="Q608" s="224"/>
      <c r="R608" s="224">
        <v>50</v>
      </c>
      <c r="S608" s="224">
        <v>80</v>
      </c>
      <c r="T608" s="206"/>
      <c r="U608" s="283" t="e">
        <v>#N/A</v>
      </c>
      <c r="V608" s="283" t="s">
        <v>4556</v>
      </c>
      <c r="W608" s="283">
        <v>1</v>
      </c>
      <c r="X608" s="283">
        <v>0</v>
      </c>
      <c r="Y608" s="283">
        <v>0</v>
      </c>
      <c r="Z608" s="283">
        <v>1</v>
      </c>
      <c r="AA608" s="283">
        <v>1</v>
      </c>
      <c r="AB608" s="283">
        <v>1</v>
      </c>
      <c r="AC608" s="316">
        <v>0</v>
      </c>
      <c r="AD608" s="316">
        <v>1</v>
      </c>
      <c r="AE608" s="302">
        <f t="shared" si="20"/>
        <v>0.625</v>
      </c>
      <c r="AF608" s="310"/>
      <c r="AG608" s="17">
        <v>0</v>
      </c>
      <c r="AH608" s="310">
        <v>1.4340999999999999</v>
      </c>
      <c r="AI608" s="310">
        <v>6</v>
      </c>
      <c r="AJ608" s="310">
        <v>6.4595000000000002</v>
      </c>
      <c r="AK608" s="317">
        <v>23.628</v>
      </c>
      <c r="AL608" s="317">
        <v>50</v>
      </c>
      <c r="AM608" s="147">
        <f t="shared" si="19"/>
        <v>73.628</v>
      </c>
      <c r="AN608" s="283" t="s">
        <v>1035</v>
      </c>
      <c r="AO608" s="18" t="s">
        <v>1037</v>
      </c>
      <c r="AP608" s="345" t="s">
        <v>119</v>
      </c>
    </row>
    <row r="609" spans="1:42" x14ac:dyDescent="0.3">
      <c r="A609" s="314" t="s">
        <v>1447</v>
      </c>
      <c r="B609" s="283" t="s">
        <v>4485</v>
      </c>
      <c r="C609" s="314" t="s">
        <v>4487</v>
      </c>
      <c r="D609" s="283" t="s">
        <v>4488</v>
      </c>
      <c r="E609" s="314" t="s">
        <v>4489</v>
      </c>
      <c r="F609" s="283" t="s">
        <v>4490</v>
      </c>
      <c r="G609" s="314" t="s">
        <v>4505</v>
      </c>
      <c r="H609" s="283" t="s">
        <v>4506</v>
      </c>
      <c r="I609" s="314" t="s">
        <v>4557</v>
      </c>
      <c r="J609" s="283" t="s">
        <v>4558</v>
      </c>
      <c r="K609" s="350" t="s">
        <v>4559</v>
      </c>
      <c r="L609" s="283" t="s">
        <v>4560</v>
      </c>
      <c r="M609" s="167" t="s">
        <v>4561</v>
      </c>
      <c r="N609" s="162">
        <v>0</v>
      </c>
      <c r="O609" s="162">
        <v>45</v>
      </c>
      <c r="P609" s="224">
        <v>66</v>
      </c>
      <c r="Q609" s="224">
        <v>80</v>
      </c>
      <c r="R609" s="224">
        <v>40</v>
      </c>
      <c r="S609" s="224">
        <v>60</v>
      </c>
      <c r="T609" s="206" t="s">
        <v>4497</v>
      </c>
      <c r="U609" s="283" t="s">
        <v>4499</v>
      </c>
      <c r="V609" s="283" t="s">
        <v>4562</v>
      </c>
      <c r="W609" s="283">
        <v>1</v>
      </c>
      <c r="X609" s="283">
        <v>0</v>
      </c>
      <c r="Y609" s="283">
        <v>0</v>
      </c>
      <c r="Z609" s="283">
        <v>1</v>
      </c>
      <c r="AA609" s="283">
        <v>1</v>
      </c>
      <c r="AB609" s="283">
        <v>1</v>
      </c>
      <c r="AC609" s="316">
        <v>0</v>
      </c>
      <c r="AD609" s="316">
        <v>1</v>
      </c>
      <c r="AE609" s="302">
        <f t="shared" si="20"/>
        <v>0.625</v>
      </c>
      <c r="AF609" s="310"/>
      <c r="AG609" s="17">
        <v>0</v>
      </c>
      <c r="AH609" s="310">
        <v>23.5</v>
      </c>
      <c r="AI609" s="310">
        <v>10</v>
      </c>
      <c r="AJ609" s="310">
        <v>10</v>
      </c>
      <c r="AK609" s="317">
        <v>30</v>
      </c>
      <c r="AL609" s="317">
        <v>40</v>
      </c>
      <c r="AM609" s="147">
        <f t="shared" si="19"/>
        <v>70</v>
      </c>
      <c r="AN609" s="283" t="s">
        <v>4497</v>
      </c>
      <c r="AO609" s="18" t="s">
        <v>4499</v>
      </c>
      <c r="AP609" s="345" t="s">
        <v>1035</v>
      </c>
    </row>
    <row r="610" spans="1:42" x14ac:dyDescent="0.3">
      <c r="A610" s="314" t="s">
        <v>1447</v>
      </c>
      <c r="B610" s="283" t="s">
        <v>4485</v>
      </c>
      <c r="C610" s="314" t="s">
        <v>4487</v>
      </c>
      <c r="D610" s="283" t="s">
        <v>4488</v>
      </c>
      <c r="E610" s="314" t="s">
        <v>4489</v>
      </c>
      <c r="F610" s="283" t="s">
        <v>4490</v>
      </c>
      <c r="G610" s="314" t="s">
        <v>4563</v>
      </c>
      <c r="H610" s="283" t="s">
        <v>4564</v>
      </c>
      <c r="I610" s="223"/>
      <c r="J610" s="225"/>
      <c r="K610" s="350" t="s">
        <v>4565</v>
      </c>
      <c r="L610" s="283" t="s">
        <v>4566</v>
      </c>
      <c r="M610" s="167" t="s">
        <v>4567</v>
      </c>
      <c r="N610" s="162">
        <v>0</v>
      </c>
      <c r="O610" s="162">
        <v>0</v>
      </c>
      <c r="P610" s="224">
        <v>33</v>
      </c>
      <c r="Q610" s="224">
        <v>67</v>
      </c>
      <c r="R610" s="224">
        <v>95</v>
      </c>
      <c r="S610" s="211">
        <v>100</v>
      </c>
      <c r="T610" s="206" t="s">
        <v>4512</v>
      </c>
      <c r="U610" s="283" t="s">
        <v>4514</v>
      </c>
      <c r="V610" s="283" t="s">
        <v>4568</v>
      </c>
      <c r="W610" s="283">
        <v>1</v>
      </c>
      <c r="X610" s="283">
        <v>1</v>
      </c>
      <c r="Y610" s="283">
        <v>1</v>
      </c>
      <c r="Z610" s="283">
        <v>1</v>
      </c>
      <c r="AA610" s="283">
        <v>1</v>
      </c>
      <c r="AB610" s="283">
        <v>0</v>
      </c>
      <c r="AC610" s="316">
        <v>0</v>
      </c>
      <c r="AD610" s="316">
        <v>1</v>
      </c>
      <c r="AE610" s="302">
        <f t="shared" si="20"/>
        <v>0.75</v>
      </c>
      <c r="AF610" s="310"/>
      <c r="AG610" s="17">
        <v>0</v>
      </c>
      <c r="AH610" s="310">
        <v>1.7</v>
      </c>
      <c r="AI610" s="310">
        <v>6.2</v>
      </c>
      <c r="AJ610" s="310">
        <v>5.5</v>
      </c>
      <c r="AK610" s="317">
        <v>2.4</v>
      </c>
      <c r="AL610" s="317">
        <v>1</v>
      </c>
      <c r="AM610" s="147">
        <f t="shared" si="19"/>
        <v>3.4</v>
      </c>
      <c r="AN610" s="283" t="s">
        <v>1035</v>
      </c>
      <c r="AO610" s="18" t="s">
        <v>1037</v>
      </c>
      <c r="AP610" s="345" t="s">
        <v>4537</v>
      </c>
    </row>
    <row r="611" spans="1:42" x14ac:dyDescent="0.3">
      <c r="A611" s="314" t="s">
        <v>1447</v>
      </c>
      <c r="B611" s="283" t="s">
        <v>4485</v>
      </c>
      <c r="C611" s="314" t="s">
        <v>4487</v>
      </c>
      <c r="D611" s="283" t="s">
        <v>4488</v>
      </c>
      <c r="E611" s="314" t="s">
        <v>4489</v>
      </c>
      <c r="F611" s="283" t="s">
        <v>4490</v>
      </c>
      <c r="G611" s="314" t="s">
        <v>4569</v>
      </c>
      <c r="H611" s="283" t="s">
        <v>4570</v>
      </c>
      <c r="I611" s="223"/>
      <c r="J611" s="225"/>
      <c r="K611" s="350" t="s">
        <v>4571</v>
      </c>
      <c r="L611" s="283" t="s">
        <v>4572</v>
      </c>
      <c r="M611" s="167" t="s">
        <v>4573</v>
      </c>
      <c r="N611" s="167">
        <v>0</v>
      </c>
      <c r="O611" s="167">
        <v>50</v>
      </c>
      <c r="P611" s="211">
        <v>100</v>
      </c>
      <c r="Q611" s="224"/>
      <c r="R611" s="224"/>
      <c r="S611" s="224"/>
      <c r="T611" s="206" t="s">
        <v>4512</v>
      </c>
      <c r="U611" s="283" t="s">
        <v>4514</v>
      </c>
      <c r="V611" s="283" t="s">
        <v>4574</v>
      </c>
      <c r="W611" s="283">
        <v>1</v>
      </c>
      <c r="X611" s="283">
        <v>0</v>
      </c>
      <c r="Y611" s="283">
        <v>0</v>
      </c>
      <c r="Z611" s="283">
        <v>1</v>
      </c>
      <c r="AA611" s="283">
        <v>1</v>
      </c>
      <c r="AB611" s="283">
        <v>0</v>
      </c>
      <c r="AC611" s="316">
        <v>0</v>
      </c>
      <c r="AD611" s="316">
        <v>1</v>
      </c>
      <c r="AE611" s="302">
        <f t="shared" si="20"/>
        <v>0.5</v>
      </c>
      <c r="AF611" s="310"/>
      <c r="AG611" s="17">
        <v>0</v>
      </c>
      <c r="AH611" s="310">
        <v>3</v>
      </c>
      <c r="AI611" s="310">
        <v>1</v>
      </c>
      <c r="AJ611" s="17">
        <v>0</v>
      </c>
      <c r="AK611" s="153">
        <v>0</v>
      </c>
      <c r="AL611" s="154">
        <v>0</v>
      </c>
      <c r="AM611" s="147">
        <f t="shared" si="19"/>
        <v>0</v>
      </c>
      <c r="AN611" s="283" t="s">
        <v>1035</v>
      </c>
      <c r="AO611" s="18" t="s">
        <v>1037</v>
      </c>
      <c r="AP611" s="345" t="s">
        <v>4575</v>
      </c>
    </row>
    <row r="612" spans="1:42" x14ac:dyDescent="0.3">
      <c r="A612" s="314" t="s">
        <v>1447</v>
      </c>
      <c r="B612" s="283" t="s">
        <v>4485</v>
      </c>
      <c r="C612" s="314" t="s">
        <v>4487</v>
      </c>
      <c r="D612" s="283" t="s">
        <v>4488</v>
      </c>
      <c r="E612" s="314" t="s">
        <v>4489</v>
      </c>
      <c r="F612" s="283" t="s">
        <v>4490</v>
      </c>
      <c r="G612" s="314" t="s">
        <v>4569</v>
      </c>
      <c r="H612" s="283" t="s">
        <v>4570</v>
      </c>
      <c r="I612" s="223"/>
      <c r="J612" s="225"/>
      <c r="K612" s="350" t="s">
        <v>4576</v>
      </c>
      <c r="L612" s="283" t="s">
        <v>4577</v>
      </c>
      <c r="M612" s="167" t="s">
        <v>4578</v>
      </c>
      <c r="N612" s="167">
        <v>0</v>
      </c>
      <c r="O612" s="167">
        <v>0</v>
      </c>
      <c r="P612" s="211">
        <v>0</v>
      </c>
      <c r="Q612" s="224">
        <v>15</v>
      </c>
      <c r="R612" s="224">
        <v>50</v>
      </c>
      <c r="S612" s="224">
        <v>100</v>
      </c>
      <c r="T612" s="206" t="s">
        <v>4512</v>
      </c>
      <c r="U612" s="283" t="s">
        <v>4514</v>
      </c>
      <c r="V612" s="283" t="s">
        <v>4579</v>
      </c>
      <c r="W612" s="283">
        <v>1</v>
      </c>
      <c r="X612" s="283">
        <v>0</v>
      </c>
      <c r="Y612" s="283">
        <v>0</v>
      </c>
      <c r="Z612" s="283">
        <v>1</v>
      </c>
      <c r="AA612" s="283">
        <v>1</v>
      </c>
      <c r="AB612" s="283">
        <v>1</v>
      </c>
      <c r="AC612" s="316">
        <v>0</v>
      </c>
      <c r="AD612" s="316">
        <v>1</v>
      </c>
      <c r="AE612" s="302">
        <f t="shared" si="20"/>
        <v>0.625</v>
      </c>
      <c r="AF612" s="17"/>
      <c r="AG612" s="17">
        <v>0</v>
      </c>
      <c r="AH612" s="17">
        <v>0</v>
      </c>
      <c r="AI612" s="17">
        <v>0</v>
      </c>
      <c r="AJ612" s="310">
        <v>1</v>
      </c>
      <c r="AK612" s="317">
        <v>1</v>
      </c>
      <c r="AL612" s="317">
        <v>0.2</v>
      </c>
      <c r="AM612" s="147">
        <f t="shared" si="19"/>
        <v>1.2</v>
      </c>
      <c r="AN612" s="283" t="s">
        <v>1035</v>
      </c>
      <c r="AO612" s="18" t="s">
        <v>1037</v>
      </c>
      <c r="AP612" s="345" t="s">
        <v>4575</v>
      </c>
    </row>
    <row r="613" spans="1:42" x14ac:dyDescent="0.3">
      <c r="A613" s="314" t="s">
        <v>1447</v>
      </c>
      <c r="B613" s="283" t="s">
        <v>4485</v>
      </c>
      <c r="C613" s="314" t="s">
        <v>4487</v>
      </c>
      <c r="D613" s="283" t="s">
        <v>4488</v>
      </c>
      <c r="E613" s="314" t="s">
        <v>4489</v>
      </c>
      <c r="F613" s="283" t="s">
        <v>4490</v>
      </c>
      <c r="G613" s="314" t="s">
        <v>4580</v>
      </c>
      <c r="H613" s="283" t="s">
        <v>4581</v>
      </c>
      <c r="I613" s="223"/>
      <c r="J613" s="225"/>
      <c r="K613" s="350" t="s">
        <v>4582</v>
      </c>
      <c r="L613" s="283" t="s">
        <v>4583</v>
      </c>
      <c r="M613" s="167" t="s">
        <v>4584</v>
      </c>
      <c r="N613" s="167">
        <v>0</v>
      </c>
      <c r="O613" s="167">
        <v>10</v>
      </c>
      <c r="P613" s="211">
        <v>25</v>
      </c>
      <c r="Q613" s="224">
        <v>50</v>
      </c>
      <c r="R613" s="224">
        <v>70</v>
      </c>
      <c r="S613" s="224">
        <v>100</v>
      </c>
      <c r="T613" s="206" t="s">
        <v>1035</v>
      </c>
      <c r="U613" s="283" t="s">
        <v>1037</v>
      </c>
      <c r="V613" s="283" t="s">
        <v>4585</v>
      </c>
      <c r="W613" s="283">
        <v>1</v>
      </c>
      <c r="X613" s="283">
        <v>0</v>
      </c>
      <c r="Y613" s="283">
        <v>0</v>
      </c>
      <c r="Z613" s="283">
        <v>1</v>
      </c>
      <c r="AA613" s="283">
        <v>1</v>
      </c>
      <c r="AB613" s="283">
        <v>0</v>
      </c>
      <c r="AC613" s="316">
        <v>0</v>
      </c>
      <c r="AD613" s="316">
        <v>1</v>
      </c>
      <c r="AE613" s="302">
        <f t="shared" si="20"/>
        <v>0.5</v>
      </c>
      <c r="AF613" s="310"/>
      <c r="AG613" s="17">
        <v>0</v>
      </c>
      <c r="AH613" s="310">
        <v>5</v>
      </c>
      <c r="AI613" s="310">
        <v>5</v>
      </c>
      <c r="AJ613" s="17">
        <v>0</v>
      </c>
      <c r="AK613" s="153">
        <v>0</v>
      </c>
      <c r="AL613" s="154">
        <v>0</v>
      </c>
      <c r="AM613" s="147">
        <f t="shared" si="19"/>
        <v>0</v>
      </c>
      <c r="AN613" s="283" t="s">
        <v>1035</v>
      </c>
      <c r="AO613" s="18" t="s">
        <v>1037</v>
      </c>
      <c r="AP613" s="345" t="s">
        <v>831</v>
      </c>
    </row>
    <row r="614" spans="1:42" x14ac:dyDescent="0.3">
      <c r="A614" s="314" t="s">
        <v>1447</v>
      </c>
      <c r="B614" s="283" t="s">
        <v>4485</v>
      </c>
      <c r="C614" s="314" t="s">
        <v>4487</v>
      </c>
      <c r="D614" s="283" t="s">
        <v>4488</v>
      </c>
      <c r="E614" s="314" t="s">
        <v>4489</v>
      </c>
      <c r="F614" s="283" t="s">
        <v>4490</v>
      </c>
      <c r="G614" s="314" t="s">
        <v>4580</v>
      </c>
      <c r="H614" s="283" t="s">
        <v>4581</v>
      </c>
      <c r="I614" s="225"/>
      <c r="J614" s="225"/>
      <c r="K614" s="350" t="s">
        <v>4582</v>
      </c>
      <c r="L614" s="283" t="s">
        <v>4583</v>
      </c>
      <c r="M614" s="162"/>
      <c r="N614" s="162"/>
      <c r="O614" s="162"/>
      <c r="P614" s="224"/>
      <c r="Q614" s="224"/>
      <c r="R614" s="224"/>
      <c r="S614" s="224"/>
      <c r="T614" s="223"/>
      <c r="U614" s="283" t="e">
        <v>#N/A</v>
      </c>
      <c r="V614" s="283" t="s">
        <v>4586</v>
      </c>
      <c r="W614" s="283">
        <v>1</v>
      </c>
      <c r="X614" s="283">
        <v>0</v>
      </c>
      <c r="Y614" s="283">
        <v>0</v>
      </c>
      <c r="Z614" s="283">
        <v>0</v>
      </c>
      <c r="AA614" s="283">
        <v>1</v>
      </c>
      <c r="AB614" s="283">
        <v>0</v>
      </c>
      <c r="AC614" s="316">
        <v>0</v>
      </c>
      <c r="AD614" s="316">
        <v>1</v>
      </c>
      <c r="AE614" s="302">
        <f t="shared" si="20"/>
        <v>0.375</v>
      </c>
      <c r="AF614" s="17"/>
      <c r="AG614" s="17">
        <v>0</v>
      </c>
      <c r="AH614" s="17">
        <v>0</v>
      </c>
      <c r="AI614" s="17">
        <v>0</v>
      </c>
      <c r="AJ614" s="310">
        <v>30</v>
      </c>
      <c r="AK614" s="317">
        <v>5</v>
      </c>
      <c r="AL614" s="317">
        <v>5</v>
      </c>
      <c r="AM614" s="147">
        <f t="shared" si="19"/>
        <v>10</v>
      </c>
      <c r="AN614" s="283" t="s">
        <v>570</v>
      </c>
      <c r="AO614" s="18" t="s">
        <v>2875</v>
      </c>
      <c r="AP614" s="345" t="s">
        <v>4587</v>
      </c>
    </row>
    <row r="615" spans="1:42" x14ac:dyDescent="0.3">
      <c r="A615" s="314" t="s">
        <v>1447</v>
      </c>
      <c r="B615" s="283" t="s">
        <v>4485</v>
      </c>
      <c r="C615" s="314" t="s">
        <v>4487</v>
      </c>
      <c r="D615" s="283" t="s">
        <v>4488</v>
      </c>
      <c r="E615" s="314" t="s">
        <v>4489</v>
      </c>
      <c r="F615" s="283" t="s">
        <v>4490</v>
      </c>
      <c r="G615" s="318" t="s">
        <v>4580</v>
      </c>
      <c r="H615" s="283" t="s">
        <v>4581</v>
      </c>
      <c r="I615" s="223"/>
      <c r="J615" s="225"/>
      <c r="K615" s="351" t="s">
        <v>4582</v>
      </c>
      <c r="L615" s="283" t="s">
        <v>4583</v>
      </c>
      <c r="M615" s="162"/>
      <c r="N615" s="162"/>
      <c r="O615" s="162"/>
      <c r="P615" s="224"/>
      <c r="Q615" s="224"/>
      <c r="R615" s="224"/>
      <c r="S615" s="224"/>
      <c r="T615" s="223"/>
      <c r="U615" s="283" t="e">
        <v>#N/A</v>
      </c>
      <c r="V615" s="283" t="s">
        <v>4588</v>
      </c>
      <c r="W615" s="283">
        <v>1</v>
      </c>
      <c r="X615" s="283">
        <v>0</v>
      </c>
      <c r="Y615" s="283">
        <v>0</v>
      </c>
      <c r="Z615" s="283">
        <v>1</v>
      </c>
      <c r="AA615" s="283">
        <v>1</v>
      </c>
      <c r="AB615" s="283">
        <v>0</v>
      </c>
      <c r="AC615" s="316">
        <v>0</v>
      </c>
      <c r="AD615" s="316">
        <v>1</v>
      </c>
      <c r="AE615" s="302">
        <f t="shared" si="20"/>
        <v>0.5</v>
      </c>
      <c r="AF615" s="310"/>
      <c r="AG615" s="17">
        <v>0</v>
      </c>
      <c r="AH615" s="310">
        <v>2</v>
      </c>
      <c r="AI615" s="310">
        <v>2</v>
      </c>
      <c r="AJ615" s="17">
        <v>0</v>
      </c>
      <c r="AK615" s="153">
        <v>0</v>
      </c>
      <c r="AL615" s="154">
        <v>0</v>
      </c>
      <c r="AM615" s="147">
        <f t="shared" si="19"/>
        <v>0</v>
      </c>
      <c r="AN615" s="283" t="s">
        <v>1035</v>
      </c>
      <c r="AO615" s="18" t="s">
        <v>1037</v>
      </c>
      <c r="AP615" s="345" t="s">
        <v>4575</v>
      </c>
    </row>
    <row r="616" spans="1:42" x14ac:dyDescent="0.3">
      <c r="A616" s="314" t="s">
        <v>1447</v>
      </c>
      <c r="B616" s="283" t="s">
        <v>4485</v>
      </c>
      <c r="C616" s="314" t="s">
        <v>4487</v>
      </c>
      <c r="D616" s="283" t="s">
        <v>4488</v>
      </c>
      <c r="E616" s="314" t="s">
        <v>4489</v>
      </c>
      <c r="F616" s="283" t="s">
        <v>4490</v>
      </c>
      <c r="G616" s="318" t="s">
        <v>4580</v>
      </c>
      <c r="H616" s="283" t="s">
        <v>4581</v>
      </c>
      <c r="I616" s="223"/>
      <c r="J616" s="225"/>
      <c r="K616" s="351" t="s">
        <v>4582</v>
      </c>
      <c r="L616" s="283" t="s">
        <v>4583</v>
      </c>
      <c r="M616" s="162"/>
      <c r="N616" s="162"/>
      <c r="O616" s="162"/>
      <c r="P616" s="224"/>
      <c r="Q616" s="224"/>
      <c r="R616" s="224"/>
      <c r="S616" s="224"/>
      <c r="T616" s="223"/>
      <c r="U616" s="283" t="e">
        <v>#N/A</v>
      </c>
      <c r="V616" s="283" t="s">
        <v>4589</v>
      </c>
      <c r="W616" s="283">
        <v>1</v>
      </c>
      <c r="X616" s="283">
        <v>0</v>
      </c>
      <c r="Y616" s="283">
        <v>1</v>
      </c>
      <c r="Z616" s="283">
        <v>0</v>
      </c>
      <c r="AA616" s="283">
        <v>0</v>
      </c>
      <c r="AB616" s="283">
        <v>0</v>
      </c>
      <c r="AC616" s="316">
        <v>0</v>
      </c>
      <c r="AD616" s="316">
        <v>1</v>
      </c>
      <c r="AE616" s="302">
        <f t="shared" si="20"/>
        <v>0.375</v>
      </c>
      <c r="AF616" s="17"/>
      <c r="AG616" s="17">
        <v>0</v>
      </c>
      <c r="AH616" s="17">
        <v>0</v>
      </c>
      <c r="AI616" s="17">
        <v>0</v>
      </c>
      <c r="AJ616" s="310">
        <v>80</v>
      </c>
      <c r="AK616" s="317">
        <v>30</v>
      </c>
      <c r="AL616" s="317">
        <v>5</v>
      </c>
      <c r="AM616" s="147">
        <f t="shared" si="19"/>
        <v>35</v>
      </c>
      <c r="AN616" s="283" t="s">
        <v>1035</v>
      </c>
      <c r="AO616" s="18" t="s">
        <v>1037</v>
      </c>
      <c r="AP616" s="345" t="s">
        <v>4590</v>
      </c>
    </row>
    <row r="617" spans="1:42" s="18" customFormat="1" x14ac:dyDescent="0.3">
      <c r="A617" s="207" t="s">
        <v>1447</v>
      </c>
      <c r="B617" s="18" t="s">
        <v>4485</v>
      </c>
      <c r="C617" s="207" t="s">
        <v>4487</v>
      </c>
      <c r="D617" s="18" t="s">
        <v>4488</v>
      </c>
      <c r="E617" s="207" t="s">
        <v>4591</v>
      </c>
      <c r="F617" s="18" t="s">
        <v>4592</v>
      </c>
      <c r="G617" s="207" t="s">
        <v>4593</v>
      </c>
      <c r="H617" s="18" t="s">
        <v>4594</v>
      </c>
      <c r="I617" s="208" t="s">
        <v>4595</v>
      </c>
      <c r="J617" s="18" t="s">
        <v>4596</v>
      </c>
      <c r="K617" s="227" t="s">
        <v>4597</v>
      </c>
      <c r="L617" s="18" t="s">
        <v>4598</v>
      </c>
      <c r="M617" s="157" t="s">
        <v>4599</v>
      </c>
      <c r="N617" s="18">
        <v>9</v>
      </c>
      <c r="O617" s="18">
        <v>3</v>
      </c>
      <c r="P617" s="16">
        <v>6</v>
      </c>
      <c r="Q617" s="16">
        <v>5</v>
      </c>
      <c r="R617" s="16">
        <v>0</v>
      </c>
      <c r="S617" s="16">
        <v>0</v>
      </c>
      <c r="T617" s="18" t="s">
        <v>1035</v>
      </c>
      <c r="U617" s="283" t="s">
        <v>1037</v>
      </c>
      <c r="V617" s="18" t="s">
        <v>4600</v>
      </c>
      <c r="W617" s="18">
        <v>1</v>
      </c>
      <c r="X617" s="18">
        <v>0</v>
      </c>
      <c r="Y617" s="18">
        <v>0</v>
      </c>
      <c r="Z617" s="18">
        <v>1</v>
      </c>
      <c r="AA617" s="18">
        <v>1</v>
      </c>
      <c r="AB617" s="18">
        <v>0</v>
      </c>
      <c r="AC617" s="316">
        <v>0</v>
      </c>
      <c r="AD617" s="316">
        <v>1</v>
      </c>
      <c r="AE617" s="302">
        <f t="shared" si="20"/>
        <v>0.5</v>
      </c>
      <c r="AF617" s="176"/>
      <c r="AG617" s="17">
        <v>0</v>
      </c>
      <c r="AH617" s="176">
        <v>1</v>
      </c>
      <c r="AI617" s="176">
        <v>1</v>
      </c>
      <c r="AJ617" s="176">
        <v>0</v>
      </c>
      <c r="AK617" s="165">
        <v>0</v>
      </c>
      <c r="AL617" s="177">
        <v>0</v>
      </c>
      <c r="AM617" s="147">
        <f t="shared" si="19"/>
        <v>0</v>
      </c>
      <c r="AN617" s="18" t="s">
        <v>1035</v>
      </c>
      <c r="AO617" s="18" t="s">
        <v>1037</v>
      </c>
      <c r="AP617" s="228" t="s">
        <v>4601</v>
      </c>
    </row>
    <row r="618" spans="1:42" x14ac:dyDescent="0.3">
      <c r="A618" s="314" t="s">
        <v>1447</v>
      </c>
      <c r="B618" s="283" t="s">
        <v>4485</v>
      </c>
      <c r="C618" s="314" t="s">
        <v>4487</v>
      </c>
      <c r="D618" s="283" t="s">
        <v>4488</v>
      </c>
      <c r="E618" s="314" t="s">
        <v>4591</v>
      </c>
      <c r="F618" s="18" t="s">
        <v>4592</v>
      </c>
      <c r="G618" s="314" t="s">
        <v>4602</v>
      </c>
      <c r="H618" s="283" t="s">
        <v>4603</v>
      </c>
      <c r="I618" s="223"/>
      <c r="J618" s="225"/>
      <c r="K618" s="350" t="s">
        <v>4604</v>
      </c>
      <c r="L618" s="283" t="s">
        <v>4605</v>
      </c>
      <c r="M618" s="167" t="s">
        <v>4606</v>
      </c>
      <c r="N618" s="162">
        <v>10</v>
      </c>
      <c r="O618" s="162">
        <v>0</v>
      </c>
      <c r="P618" s="224">
        <v>0</v>
      </c>
      <c r="Q618" s="224">
        <v>0</v>
      </c>
      <c r="R618" s="224">
        <v>100</v>
      </c>
      <c r="S618" s="224">
        <v>100</v>
      </c>
      <c r="T618" s="223" t="s">
        <v>1035</v>
      </c>
      <c r="U618" s="283" t="s">
        <v>1037</v>
      </c>
      <c r="V618" s="283" t="s">
        <v>4607</v>
      </c>
      <c r="W618" s="283">
        <v>1</v>
      </c>
      <c r="X618" s="283">
        <v>0</v>
      </c>
      <c r="Y618" s="283">
        <v>0</v>
      </c>
      <c r="Z618" s="283">
        <v>1</v>
      </c>
      <c r="AA618" s="283">
        <v>1</v>
      </c>
      <c r="AB618" s="283">
        <v>1</v>
      </c>
      <c r="AC618" s="316">
        <v>0</v>
      </c>
      <c r="AD618" s="316">
        <v>1</v>
      </c>
      <c r="AE618" s="302">
        <f t="shared" si="20"/>
        <v>0.625</v>
      </c>
      <c r="AF618" s="17"/>
      <c r="AG618" s="17">
        <v>0</v>
      </c>
      <c r="AH618" s="17">
        <v>0</v>
      </c>
      <c r="AI618" s="17">
        <v>0</v>
      </c>
      <c r="AJ618" s="310">
        <v>0.5</v>
      </c>
      <c r="AK618" s="153">
        <v>0</v>
      </c>
      <c r="AL618" s="154">
        <v>0</v>
      </c>
      <c r="AM618" s="147">
        <f t="shared" ref="AM618:AM649" si="21">SUM(AK618:AL618)</f>
        <v>0</v>
      </c>
      <c r="AN618" s="283" t="s">
        <v>1035</v>
      </c>
      <c r="AO618" s="18" t="s">
        <v>1037</v>
      </c>
      <c r="AP618" s="345" t="s">
        <v>4608</v>
      </c>
    </row>
    <row r="619" spans="1:42" x14ac:dyDescent="0.3">
      <c r="A619" s="314" t="s">
        <v>1447</v>
      </c>
      <c r="B619" s="283" t="s">
        <v>4485</v>
      </c>
      <c r="C619" s="314" t="s">
        <v>4487</v>
      </c>
      <c r="D619" s="283" t="s">
        <v>4488</v>
      </c>
      <c r="E619" s="314" t="s">
        <v>4591</v>
      </c>
      <c r="F619" s="18" t="s">
        <v>4592</v>
      </c>
      <c r="G619" s="314" t="s">
        <v>4602</v>
      </c>
      <c r="H619" s="283" t="s">
        <v>4603</v>
      </c>
      <c r="I619" s="223"/>
      <c r="J619" s="225"/>
      <c r="K619" s="350" t="s">
        <v>4604</v>
      </c>
      <c r="L619" s="283" t="s">
        <v>4605</v>
      </c>
      <c r="M619" s="162"/>
      <c r="N619" s="450"/>
      <c r="O619" s="450"/>
      <c r="P619" s="229"/>
      <c r="Q619" s="229"/>
      <c r="R619" s="229">
        <v>80</v>
      </c>
      <c r="S619" s="229">
        <v>100</v>
      </c>
      <c r="T619" s="223"/>
      <c r="U619" s="283" t="e">
        <v>#N/A</v>
      </c>
      <c r="V619" s="283" t="s">
        <v>4609</v>
      </c>
      <c r="W619" s="283">
        <v>1</v>
      </c>
      <c r="X619" s="283">
        <v>0</v>
      </c>
      <c r="Y619" s="283">
        <v>0</v>
      </c>
      <c r="Z619" s="283">
        <v>1</v>
      </c>
      <c r="AA619" s="283">
        <v>1</v>
      </c>
      <c r="AB619" s="283">
        <v>1</v>
      </c>
      <c r="AC619" s="316">
        <v>0</v>
      </c>
      <c r="AD619" s="316">
        <v>1</v>
      </c>
      <c r="AE619" s="302">
        <f t="shared" si="20"/>
        <v>0.625</v>
      </c>
      <c r="AF619" s="17"/>
      <c r="AG619" s="17">
        <v>0</v>
      </c>
      <c r="AH619" s="17">
        <v>0</v>
      </c>
      <c r="AI619" s="17">
        <v>0</v>
      </c>
      <c r="AJ619" s="310">
        <v>0.2</v>
      </c>
      <c r="AK619" s="317">
        <v>0.3</v>
      </c>
      <c r="AL619" s="154">
        <v>0.3</v>
      </c>
      <c r="AM619" s="147">
        <f t="shared" si="21"/>
        <v>0.6</v>
      </c>
      <c r="AN619" s="283" t="s">
        <v>1035</v>
      </c>
      <c r="AO619" s="18" t="s">
        <v>1037</v>
      </c>
      <c r="AP619" s="345" t="s">
        <v>4608</v>
      </c>
    </row>
    <row r="620" spans="1:42" x14ac:dyDescent="0.3">
      <c r="A620" s="314" t="s">
        <v>1447</v>
      </c>
      <c r="B620" s="283" t="s">
        <v>4485</v>
      </c>
      <c r="C620" s="314" t="s">
        <v>4487</v>
      </c>
      <c r="D620" s="283" t="s">
        <v>4488</v>
      </c>
      <c r="E620" s="314" t="s">
        <v>4591</v>
      </c>
      <c r="F620" s="18" t="s">
        <v>4592</v>
      </c>
      <c r="G620" s="314" t="s">
        <v>4602</v>
      </c>
      <c r="H620" s="283" t="s">
        <v>4603</v>
      </c>
      <c r="I620" s="223"/>
      <c r="J620" s="225"/>
      <c r="K620" s="350" t="s">
        <v>4604</v>
      </c>
      <c r="L620" s="283" t="s">
        <v>4605</v>
      </c>
      <c r="M620" s="162"/>
      <c r="N620" s="162"/>
      <c r="O620" s="162"/>
      <c r="P620" s="224"/>
      <c r="Q620" s="224"/>
      <c r="R620" s="224">
        <v>2</v>
      </c>
      <c r="S620" s="224">
        <v>5</v>
      </c>
      <c r="T620" s="223"/>
      <c r="U620" s="283" t="e">
        <v>#N/A</v>
      </c>
      <c r="V620" s="283" t="s">
        <v>4610</v>
      </c>
      <c r="W620" s="283">
        <v>1</v>
      </c>
      <c r="X620" s="283">
        <v>0</v>
      </c>
      <c r="Y620" s="283">
        <v>0</v>
      </c>
      <c r="Z620" s="283">
        <v>1</v>
      </c>
      <c r="AA620" s="283">
        <v>1</v>
      </c>
      <c r="AB620" s="283">
        <v>1</v>
      </c>
      <c r="AC620" s="316">
        <v>0</v>
      </c>
      <c r="AD620" s="316">
        <v>1</v>
      </c>
      <c r="AE620" s="302">
        <f t="shared" si="20"/>
        <v>0.625</v>
      </c>
      <c r="AF620" s="17"/>
      <c r="AG620" s="17">
        <v>0</v>
      </c>
      <c r="AH620" s="17">
        <v>0</v>
      </c>
      <c r="AI620" s="17">
        <v>0</v>
      </c>
      <c r="AJ620" s="17">
        <v>0</v>
      </c>
      <c r="AK620" s="317">
        <v>1</v>
      </c>
      <c r="AL620" s="317">
        <v>1</v>
      </c>
      <c r="AM620" s="147">
        <f t="shared" si="21"/>
        <v>2</v>
      </c>
      <c r="AN620" s="283" t="s">
        <v>1035</v>
      </c>
      <c r="AO620" s="18" t="s">
        <v>1037</v>
      </c>
      <c r="AP620" s="345" t="s">
        <v>119</v>
      </c>
    </row>
    <row r="621" spans="1:42" x14ac:dyDescent="0.3">
      <c r="A621" s="314" t="s">
        <v>1447</v>
      </c>
      <c r="B621" s="283" t="s">
        <v>4485</v>
      </c>
      <c r="C621" s="314" t="s">
        <v>4487</v>
      </c>
      <c r="D621" s="283" t="s">
        <v>4488</v>
      </c>
      <c r="E621" s="314" t="s">
        <v>4591</v>
      </c>
      <c r="F621" s="18" t="s">
        <v>4592</v>
      </c>
      <c r="G621" s="314" t="s">
        <v>4611</v>
      </c>
      <c r="H621" s="283" t="s">
        <v>4612</v>
      </c>
      <c r="I621" s="223"/>
      <c r="J621" s="225"/>
      <c r="K621" s="350" t="s">
        <v>4613</v>
      </c>
      <c r="L621" s="283" t="s">
        <v>4614</v>
      </c>
      <c r="M621" s="167" t="s">
        <v>4615</v>
      </c>
      <c r="N621" s="162">
        <v>28</v>
      </c>
      <c r="O621" s="162">
        <v>30</v>
      </c>
      <c r="P621" s="224">
        <v>30</v>
      </c>
      <c r="Q621" s="224">
        <v>32</v>
      </c>
      <c r="R621" s="224">
        <v>25</v>
      </c>
      <c r="S621" s="224">
        <v>30</v>
      </c>
      <c r="T621" s="223" t="s">
        <v>4497</v>
      </c>
      <c r="U621" s="283" t="s">
        <v>4499</v>
      </c>
      <c r="V621" s="283" t="s">
        <v>4616</v>
      </c>
      <c r="W621" s="283">
        <v>1</v>
      </c>
      <c r="X621" s="283">
        <v>1</v>
      </c>
      <c r="Y621" s="283">
        <v>1</v>
      </c>
      <c r="Z621" s="283">
        <v>1</v>
      </c>
      <c r="AA621" s="283">
        <v>1</v>
      </c>
      <c r="AB621" s="283">
        <v>0</v>
      </c>
      <c r="AC621" s="316">
        <v>1</v>
      </c>
      <c r="AD621" s="316">
        <v>1</v>
      </c>
      <c r="AE621" s="302">
        <f t="shared" ref="AE621:AE652" si="22">SUM(W621:AD621)/8</f>
        <v>0.875</v>
      </c>
      <c r="AF621" s="310"/>
      <c r="AG621" s="17">
        <v>0</v>
      </c>
      <c r="AH621" s="310">
        <v>0</v>
      </c>
      <c r="AI621" s="310">
        <v>0</v>
      </c>
      <c r="AJ621" s="310">
        <v>0</v>
      </c>
      <c r="AK621" s="317">
        <v>6</v>
      </c>
      <c r="AL621" s="317">
        <v>5</v>
      </c>
      <c r="AM621" s="147">
        <f t="shared" si="21"/>
        <v>11</v>
      </c>
      <c r="AN621" s="283" t="s">
        <v>1035</v>
      </c>
      <c r="AO621" s="18" t="s">
        <v>1037</v>
      </c>
      <c r="AP621" s="345" t="s">
        <v>4501</v>
      </c>
    </row>
    <row r="622" spans="1:42" x14ac:dyDescent="0.3">
      <c r="A622" s="314" t="s">
        <v>1447</v>
      </c>
      <c r="B622" s="283" t="s">
        <v>4485</v>
      </c>
      <c r="C622" s="314" t="s">
        <v>4487</v>
      </c>
      <c r="D622" s="283" t="s">
        <v>4488</v>
      </c>
      <c r="E622" s="314" t="s">
        <v>4591</v>
      </c>
      <c r="F622" s="18" t="s">
        <v>4592</v>
      </c>
      <c r="G622" s="314" t="s">
        <v>4611</v>
      </c>
      <c r="H622" s="283" t="s">
        <v>4612</v>
      </c>
      <c r="I622" s="223"/>
      <c r="J622" s="225"/>
      <c r="K622" s="350" t="s">
        <v>4613</v>
      </c>
      <c r="L622" s="283" t="s">
        <v>4614</v>
      </c>
      <c r="M622" s="162"/>
      <c r="N622" s="162"/>
      <c r="O622" s="162"/>
      <c r="P622" s="224"/>
      <c r="Q622" s="224"/>
      <c r="R622" s="224">
        <v>35</v>
      </c>
      <c r="S622" s="224">
        <v>40</v>
      </c>
      <c r="T622" s="223"/>
      <c r="U622" s="283" t="e">
        <v>#N/A</v>
      </c>
      <c r="V622" s="283" t="s">
        <v>4617</v>
      </c>
      <c r="W622" s="283">
        <v>1</v>
      </c>
      <c r="X622" s="283">
        <v>1</v>
      </c>
      <c r="Y622" s="283">
        <v>1</v>
      </c>
      <c r="Z622" s="283">
        <v>1</v>
      </c>
      <c r="AA622" s="283">
        <v>1</v>
      </c>
      <c r="AB622" s="283">
        <v>0</v>
      </c>
      <c r="AC622" s="316">
        <v>1</v>
      </c>
      <c r="AD622" s="316">
        <v>1</v>
      </c>
      <c r="AE622" s="302">
        <f t="shared" si="22"/>
        <v>0.875</v>
      </c>
      <c r="AF622" s="310"/>
      <c r="AG622" s="17">
        <v>0</v>
      </c>
      <c r="AH622" s="310">
        <v>0</v>
      </c>
      <c r="AI622" s="310">
        <v>0</v>
      </c>
      <c r="AJ622" s="310">
        <v>0</v>
      </c>
      <c r="AK622" s="317">
        <v>7</v>
      </c>
      <c r="AL622" s="317">
        <v>6</v>
      </c>
      <c r="AM622" s="147">
        <f t="shared" si="21"/>
        <v>13</v>
      </c>
      <c r="AN622" s="283" t="s">
        <v>1035</v>
      </c>
      <c r="AO622" s="18" t="s">
        <v>1037</v>
      </c>
      <c r="AP622" s="345" t="s">
        <v>4618</v>
      </c>
    </row>
    <row r="623" spans="1:42" x14ac:dyDescent="0.3">
      <c r="A623" s="314" t="s">
        <v>1447</v>
      </c>
      <c r="B623" s="283" t="s">
        <v>4485</v>
      </c>
      <c r="C623" s="314" t="s">
        <v>4487</v>
      </c>
      <c r="D623" s="283" t="s">
        <v>4488</v>
      </c>
      <c r="E623" s="314" t="s">
        <v>4591</v>
      </c>
      <c r="F623" s="18" t="s">
        <v>4592</v>
      </c>
      <c r="G623" s="314" t="s">
        <v>4619</v>
      </c>
      <c r="H623" s="283" t="s">
        <v>4620</v>
      </c>
      <c r="I623" s="223"/>
      <c r="J623" s="225"/>
      <c r="K623" s="350" t="s">
        <v>4621</v>
      </c>
      <c r="L623" s="283" t="s">
        <v>4622</v>
      </c>
      <c r="M623" s="167" t="s">
        <v>4623</v>
      </c>
      <c r="N623" s="162">
        <v>0</v>
      </c>
      <c r="O623" s="162">
        <v>40</v>
      </c>
      <c r="P623" s="224">
        <v>60</v>
      </c>
      <c r="Q623" s="224">
        <v>100</v>
      </c>
      <c r="R623" s="224"/>
      <c r="S623" s="224"/>
      <c r="T623" s="223" t="s">
        <v>1035</v>
      </c>
      <c r="U623" s="283" t="s">
        <v>1037</v>
      </c>
      <c r="V623" s="283" t="s">
        <v>4624</v>
      </c>
      <c r="W623" s="283">
        <v>1</v>
      </c>
      <c r="X623" s="283">
        <v>0</v>
      </c>
      <c r="Y623" s="283">
        <v>0</v>
      </c>
      <c r="Z623" s="283">
        <v>1</v>
      </c>
      <c r="AA623" s="283">
        <v>1</v>
      </c>
      <c r="AB623" s="283">
        <v>0</v>
      </c>
      <c r="AC623" s="316">
        <v>0</v>
      </c>
      <c r="AD623" s="316">
        <v>1</v>
      </c>
      <c r="AE623" s="302">
        <f t="shared" si="22"/>
        <v>0.5</v>
      </c>
      <c r="AF623" s="310"/>
      <c r="AG623" s="17">
        <v>0</v>
      </c>
      <c r="AH623" s="310">
        <v>0.5</v>
      </c>
      <c r="AI623" s="310">
        <v>0.3</v>
      </c>
      <c r="AJ623" s="310">
        <v>0</v>
      </c>
      <c r="AK623" s="153">
        <v>0</v>
      </c>
      <c r="AL623" s="154">
        <v>0</v>
      </c>
      <c r="AM623" s="147">
        <f t="shared" si="21"/>
        <v>0</v>
      </c>
      <c r="AN623" s="283" t="s">
        <v>101</v>
      </c>
      <c r="AO623" s="18" t="s">
        <v>103</v>
      </c>
      <c r="AP623" s="345" t="s">
        <v>4625</v>
      </c>
    </row>
    <row r="624" spans="1:42" x14ac:dyDescent="0.3">
      <c r="A624" s="314" t="s">
        <v>1447</v>
      </c>
      <c r="B624" s="283" t="s">
        <v>4485</v>
      </c>
      <c r="C624" s="314" t="s">
        <v>4487</v>
      </c>
      <c r="D624" s="283" t="s">
        <v>4488</v>
      </c>
      <c r="E624" s="314" t="s">
        <v>4591</v>
      </c>
      <c r="F624" s="18" t="s">
        <v>4592</v>
      </c>
      <c r="G624" s="314" t="s">
        <v>4619</v>
      </c>
      <c r="H624" s="283" t="s">
        <v>4620</v>
      </c>
      <c r="I624" s="223"/>
      <c r="J624" s="225"/>
      <c r="K624" s="350" t="s">
        <v>4621</v>
      </c>
      <c r="L624" s="283" t="s">
        <v>4622</v>
      </c>
      <c r="M624" s="167" t="s">
        <v>4626</v>
      </c>
      <c r="N624" s="162">
        <v>0</v>
      </c>
      <c r="O624" s="162">
        <v>1</v>
      </c>
      <c r="P624" s="224">
        <v>2</v>
      </c>
      <c r="Q624" s="224">
        <v>2</v>
      </c>
      <c r="R624" s="224">
        <v>4</v>
      </c>
      <c r="S624" s="224">
        <v>4</v>
      </c>
      <c r="T624" s="223" t="s">
        <v>1035</v>
      </c>
      <c r="U624" s="283" t="s">
        <v>1037</v>
      </c>
      <c r="V624" s="283" t="s">
        <v>4627</v>
      </c>
      <c r="W624" s="283">
        <v>1</v>
      </c>
      <c r="X624" s="283">
        <v>0</v>
      </c>
      <c r="Y624" s="283">
        <v>0</v>
      </c>
      <c r="Z624" s="283">
        <v>1</v>
      </c>
      <c r="AA624" s="283">
        <v>1</v>
      </c>
      <c r="AB624" s="283">
        <v>0</v>
      </c>
      <c r="AC624" s="316">
        <v>0</v>
      </c>
      <c r="AD624" s="316">
        <v>1</v>
      </c>
      <c r="AE624" s="302">
        <f t="shared" si="22"/>
        <v>0.5</v>
      </c>
      <c r="AF624" s="17"/>
      <c r="AG624" s="17">
        <v>0</v>
      </c>
      <c r="AH624" s="17">
        <v>0</v>
      </c>
      <c r="AI624" s="17">
        <v>0</v>
      </c>
      <c r="AJ624" s="17">
        <v>0</v>
      </c>
      <c r="AK624" s="317">
        <v>0.1</v>
      </c>
      <c r="AL624" s="317">
        <v>0.05</v>
      </c>
      <c r="AM624" s="147">
        <f t="shared" si="21"/>
        <v>0.15000000000000002</v>
      </c>
      <c r="AN624" s="283" t="s">
        <v>101</v>
      </c>
      <c r="AO624" s="18" t="s">
        <v>103</v>
      </c>
      <c r="AP624" s="345" t="s">
        <v>4587</v>
      </c>
    </row>
    <row r="625" spans="1:42" x14ac:dyDescent="0.3">
      <c r="A625" s="314" t="s">
        <v>1447</v>
      </c>
      <c r="B625" s="283" t="s">
        <v>4485</v>
      </c>
      <c r="C625" s="314" t="s">
        <v>4487</v>
      </c>
      <c r="D625" s="283" t="s">
        <v>4488</v>
      </c>
      <c r="E625" s="314" t="s">
        <v>4591</v>
      </c>
      <c r="F625" s="18" t="s">
        <v>4592</v>
      </c>
      <c r="G625" s="314" t="s">
        <v>4619</v>
      </c>
      <c r="H625" s="283" t="s">
        <v>4620</v>
      </c>
      <c r="I625" s="223"/>
      <c r="J625" s="225"/>
      <c r="K625" s="350" t="s">
        <v>4621</v>
      </c>
      <c r="L625" s="283" t="s">
        <v>4622</v>
      </c>
      <c r="M625" s="162"/>
      <c r="N625" s="167"/>
      <c r="O625" s="167"/>
      <c r="P625" s="224"/>
      <c r="Q625" s="224"/>
      <c r="R625" s="224">
        <v>50</v>
      </c>
      <c r="S625" s="224">
        <v>80</v>
      </c>
      <c r="T625" s="206"/>
      <c r="U625" s="283" t="e">
        <v>#N/A</v>
      </c>
      <c r="V625" s="283" t="s">
        <v>4628</v>
      </c>
      <c r="W625" s="283">
        <v>1</v>
      </c>
      <c r="X625" s="283">
        <v>0</v>
      </c>
      <c r="Y625" s="283">
        <v>0</v>
      </c>
      <c r="Z625" s="283">
        <v>1</v>
      </c>
      <c r="AA625" s="283">
        <v>1</v>
      </c>
      <c r="AB625" s="283">
        <v>1</v>
      </c>
      <c r="AC625" s="316">
        <v>0</v>
      </c>
      <c r="AD625" s="316">
        <v>1</v>
      </c>
      <c r="AE625" s="302">
        <f t="shared" si="22"/>
        <v>0.625</v>
      </c>
      <c r="AF625" s="310"/>
      <c r="AG625" s="17">
        <v>0</v>
      </c>
      <c r="AH625" s="310">
        <v>1</v>
      </c>
      <c r="AI625" s="310">
        <v>1</v>
      </c>
      <c r="AJ625" s="310">
        <v>1</v>
      </c>
      <c r="AK625" s="317">
        <v>1</v>
      </c>
      <c r="AL625" s="317">
        <v>1</v>
      </c>
      <c r="AM625" s="147">
        <f t="shared" si="21"/>
        <v>2</v>
      </c>
      <c r="AN625" s="283" t="s">
        <v>1035</v>
      </c>
      <c r="AO625" s="18" t="s">
        <v>1037</v>
      </c>
      <c r="AP625" s="345" t="s">
        <v>4501</v>
      </c>
    </row>
    <row r="626" spans="1:42" x14ac:dyDescent="0.3">
      <c r="A626" s="314" t="s">
        <v>1447</v>
      </c>
      <c r="B626" s="283" t="s">
        <v>4485</v>
      </c>
      <c r="C626" s="314" t="s">
        <v>4487</v>
      </c>
      <c r="D626" s="283" t="s">
        <v>4488</v>
      </c>
      <c r="E626" s="314" t="s">
        <v>4591</v>
      </c>
      <c r="F626" s="18" t="s">
        <v>4592</v>
      </c>
      <c r="G626" s="314" t="s">
        <v>4629</v>
      </c>
      <c r="H626" s="283" t="s">
        <v>4630</v>
      </c>
      <c r="I626" s="223"/>
      <c r="J626" s="225"/>
      <c r="K626" s="350" t="s">
        <v>4631</v>
      </c>
      <c r="L626" s="283" t="s">
        <v>4632</v>
      </c>
      <c r="M626" s="162" t="s">
        <v>4633</v>
      </c>
      <c r="N626" s="167">
        <v>50</v>
      </c>
      <c r="O626" s="167">
        <v>60</v>
      </c>
      <c r="P626" s="224">
        <v>75</v>
      </c>
      <c r="Q626" s="224">
        <v>100</v>
      </c>
      <c r="R626" s="224">
        <v>80</v>
      </c>
      <c r="S626" s="224">
        <v>100</v>
      </c>
      <c r="T626" s="206" t="s">
        <v>1035</v>
      </c>
      <c r="U626" s="283" t="s">
        <v>1037</v>
      </c>
      <c r="V626" s="283" t="s">
        <v>4634</v>
      </c>
      <c r="W626" s="283">
        <v>1</v>
      </c>
      <c r="X626" s="283">
        <v>0</v>
      </c>
      <c r="Y626" s="283">
        <v>0</v>
      </c>
      <c r="Z626" s="283">
        <v>1</v>
      </c>
      <c r="AA626" s="283">
        <v>1</v>
      </c>
      <c r="AB626" s="283">
        <v>1</v>
      </c>
      <c r="AC626" s="316">
        <v>0</v>
      </c>
      <c r="AD626" s="316">
        <v>1</v>
      </c>
      <c r="AE626" s="302">
        <f t="shared" si="22"/>
        <v>0.625</v>
      </c>
      <c r="AF626" s="310"/>
      <c r="AG626" s="17">
        <v>0</v>
      </c>
      <c r="AH626" s="310">
        <v>0.2</v>
      </c>
      <c r="AI626" s="310">
        <v>0.2</v>
      </c>
      <c r="AJ626" s="310">
        <v>0</v>
      </c>
      <c r="AK626" s="317">
        <v>0.5</v>
      </c>
      <c r="AL626" s="317">
        <v>0.4</v>
      </c>
      <c r="AM626" s="147">
        <f t="shared" si="21"/>
        <v>0.9</v>
      </c>
      <c r="AN626" s="283" t="s">
        <v>1035</v>
      </c>
      <c r="AO626" s="18" t="s">
        <v>1037</v>
      </c>
      <c r="AP626" s="345" t="s">
        <v>4501</v>
      </c>
    </row>
    <row r="627" spans="1:42" x14ac:dyDescent="0.3">
      <c r="A627" s="314" t="s">
        <v>1447</v>
      </c>
      <c r="B627" s="283" t="s">
        <v>4485</v>
      </c>
      <c r="C627" s="314" t="s">
        <v>4487</v>
      </c>
      <c r="D627" s="283" t="s">
        <v>4488</v>
      </c>
      <c r="E627" s="314" t="s">
        <v>4591</v>
      </c>
      <c r="F627" s="18" t="s">
        <v>4592</v>
      </c>
      <c r="G627" s="314" t="s">
        <v>4635</v>
      </c>
      <c r="H627" s="283" t="s">
        <v>4636</v>
      </c>
      <c r="I627" s="223"/>
      <c r="J627" s="225"/>
      <c r="K627" s="350" t="s">
        <v>4637</v>
      </c>
      <c r="L627" s="283" t="s">
        <v>4638</v>
      </c>
      <c r="M627" s="167" t="s">
        <v>4639</v>
      </c>
      <c r="N627" s="162">
        <v>0</v>
      </c>
      <c r="O627" s="162">
        <v>20</v>
      </c>
      <c r="P627" s="224">
        <v>40</v>
      </c>
      <c r="Q627" s="224">
        <v>60</v>
      </c>
      <c r="R627" s="224">
        <v>80</v>
      </c>
      <c r="S627" s="224">
        <v>100</v>
      </c>
      <c r="T627" s="223" t="s">
        <v>921</v>
      </c>
      <c r="U627" s="283" t="s">
        <v>880</v>
      </c>
      <c r="V627" s="283" t="s">
        <v>4640</v>
      </c>
      <c r="W627" s="283">
        <v>1</v>
      </c>
      <c r="X627" s="283">
        <v>0</v>
      </c>
      <c r="Y627" s="283">
        <v>0</v>
      </c>
      <c r="Z627" s="283">
        <v>1</v>
      </c>
      <c r="AA627" s="283">
        <v>1</v>
      </c>
      <c r="AB627" s="283">
        <v>1</v>
      </c>
      <c r="AC627" s="316">
        <v>1</v>
      </c>
      <c r="AD627" s="316">
        <v>1</v>
      </c>
      <c r="AE627" s="302">
        <f t="shared" si="22"/>
        <v>0.75</v>
      </c>
      <c r="AF627" s="310"/>
      <c r="AG627" s="17">
        <v>0</v>
      </c>
      <c r="AH627" s="310">
        <v>0.3</v>
      </c>
      <c r="AI627" s="310">
        <v>0.3</v>
      </c>
      <c r="AJ627" s="310">
        <v>0.3</v>
      </c>
      <c r="AK627" s="317">
        <v>2</v>
      </c>
      <c r="AL627" s="317">
        <v>2</v>
      </c>
      <c r="AM627" s="147">
        <f t="shared" si="21"/>
        <v>4</v>
      </c>
      <c r="AN627" s="1" t="s">
        <v>921</v>
      </c>
      <c r="AO627" s="18" t="s">
        <v>880</v>
      </c>
      <c r="AP627" s="345" t="s">
        <v>4641</v>
      </c>
    </row>
    <row r="628" spans="1:42" x14ac:dyDescent="0.3">
      <c r="A628" s="314" t="s">
        <v>1447</v>
      </c>
      <c r="B628" s="283" t="s">
        <v>4485</v>
      </c>
      <c r="C628" s="314" t="s">
        <v>4642</v>
      </c>
      <c r="D628" s="283" t="s">
        <v>4643</v>
      </c>
      <c r="E628" s="314" t="s">
        <v>4644</v>
      </c>
      <c r="F628" s="283" t="s">
        <v>4645</v>
      </c>
      <c r="G628" s="314" t="s">
        <v>4646</v>
      </c>
      <c r="H628" s="283" t="s">
        <v>4647</v>
      </c>
      <c r="I628" s="223"/>
      <c r="J628" s="225"/>
      <c r="K628" s="350" t="s">
        <v>4648</v>
      </c>
      <c r="L628" s="283" t="s">
        <v>4649</v>
      </c>
      <c r="M628" s="167" t="s">
        <v>4650</v>
      </c>
      <c r="N628" s="162">
        <v>0</v>
      </c>
      <c r="O628" s="162">
        <v>0</v>
      </c>
      <c r="P628" s="224">
        <v>500</v>
      </c>
      <c r="Q628" s="224">
        <v>500</v>
      </c>
      <c r="R628" s="224">
        <v>80</v>
      </c>
      <c r="S628" s="224">
        <v>100</v>
      </c>
      <c r="T628" s="223" t="s">
        <v>921</v>
      </c>
      <c r="U628" s="283" t="s">
        <v>880</v>
      </c>
      <c r="V628" s="283" t="s">
        <v>4651</v>
      </c>
      <c r="W628" s="283">
        <v>1</v>
      </c>
      <c r="X628" s="283">
        <v>0</v>
      </c>
      <c r="Y628" s="283">
        <v>0</v>
      </c>
      <c r="Z628" s="283">
        <v>1</v>
      </c>
      <c r="AA628" s="283">
        <v>1</v>
      </c>
      <c r="AB628" s="283">
        <v>1</v>
      </c>
      <c r="AC628" s="316">
        <v>0</v>
      </c>
      <c r="AD628" s="316">
        <v>1</v>
      </c>
      <c r="AE628" s="302">
        <f t="shared" si="22"/>
        <v>0.625</v>
      </c>
      <c r="AF628" s="17"/>
      <c r="AG628" s="17">
        <v>0</v>
      </c>
      <c r="AH628" s="17">
        <v>0</v>
      </c>
      <c r="AI628" s="310">
        <v>1</v>
      </c>
      <c r="AJ628" s="17">
        <v>0</v>
      </c>
      <c r="AK628" s="153">
        <v>1</v>
      </c>
      <c r="AL628" s="154">
        <v>0.5</v>
      </c>
      <c r="AM628" s="147">
        <f t="shared" si="21"/>
        <v>1.5</v>
      </c>
      <c r="AN628" s="283" t="s">
        <v>1035</v>
      </c>
      <c r="AO628" s="18" t="s">
        <v>1037</v>
      </c>
      <c r="AP628" s="283" t="s">
        <v>4652</v>
      </c>
    </row>
    <row r="629" spans="1:42" x14ac:dyDescent="0.3">
      <c r="A629" s="314" t="s">
        <v>1447</v>
      </c>
      <c r="B629" s="283" t="s">
        <v>4485</v>
      </c>
      <c r="C629" s="314" t="s">
        <v>4642</v>
      </c>
      <c r="D629" s="283" t="s">
        <v>4643</v>
      </c>
      <c r="E629" s="314" t="s">
        <v>4644</v>
      </c>
      <c r="F629" s="283" t="s">
        <v>4645</v>
      </c>
      <c r="G629" s="314" t="s">
        <v>4646</v>
      </c>
      <c r="H629" s="283" t="s">
        <v>4647</v>
      </c>
      <c r="I629" s="223"/>
      <c r="J629" s="225"/>
      <c r="K629" s="350" t="s">
        <v>4648</v>
      </c>
      <c r="L629" s="283" t="s">
        <v>4649</v>
      </c>
      <c r="M629" s="167"/>
      <c r="N629" s="167"/>
      <c r="O629" s="451"/>
      <c r="P629" s="230"/>
      <c r="Q629" s="229"/>
      <c r="R629" s="229">
        <v>40</v>
      </c>
      <c r="S629" s="229">
        <v>60</v>
      </c>
      <c r="T629" s="206"/>
      <c r="U629" s="283" t="e">
        <v>#N/A</v>
      </c>
      <c r="V629" s="283" t="s">
        <v>4653</v>
      </c>
      <c r="W629" s="283">
        <v>1</v>
      </c>
      <c r="X629" s="283">
        <v>1</v>
      </c>
      <c r="Y629" s="283">
        <v>1</v>
      </c>
      <c r="Z629" s="283">
        <v>1</v>
      </c>
      <c r="AA629" s="283">
        <v>1</v>
      </c>
      <c r="AB629" s="283">
        <v>0</v>
      </c>
      <c r="AC629" s="316">
        <v>0</v>
      </c>
      <c r="AD629" s="316">
        <v>1</v>
      </c>
      <c r="AE629" s="302">
        <f t="shared" si="22"/>
        <v>0.75</v>
      </c>
      <c r="AF629" s="17"/>
      <c r="AG629" s="17">
        <v>0</v>
      </c>
      <c r="AH629" s="17">
        <v>0</v>
      </c>
      <c r="AI629" s="310">
        <v>30</v>
      </c>
      <c r="AJ629" s="310">
        <v>30</v>
      </c>
      <c r="AK629" s="317">
        <v>60.71</v>
      </c>
      <c r="AL629" s="317">
        <v>50</v>
      </c>
      <c r="AM629" s="147">
        <f t="shared" si="21"/>
        <v>110.71000000000001</v>
      </c>
      <c r="AN629" s="283" t="s">
        <v>921</v>
      </c>
      <c r="AO629" s="18" t="s">
        <v>880</v>
      </c>
      <c r="AP629" s="345" t="s">
        <v>4625</v>
      </c>
    </row>
    <row r="630" spans="1:42" x14ac:dyDescent="0.3">
      <c r="A630" s="314" t="s">
        <v>1447</v>
      </c>
      <c r="B630" s="283" t="s">
        <v>4485</v>
      </c>
      <c r="C630" s="314" t="s">
        <v>4642</v>
      </c>
      <c r="D630" s="283" t="s">
        <v>4643</v>
      </c>
      <c r="E630" s="314" t="s">
        <v>4644</v>
      </c>
      <c r="F630" s="283" t="s">
        <v>4645</v>
      </c>
      <c r="G630" s="314" t="s">
        <v>4646</v>
      </c>
      <c r="H630" s="283" t="s">
        <v>4647</v>
      </c>
      <c r="I630" s="223"/>
      <c r="J630" s="225"/>
      <c r="K630" s="350" t="s">
        <v>4648</v>
      </c>
      <c r="L630" s="283" t="s">
        <v>4649</v>
      </c>
      <c r="M630" s="167" t="s">
        <v>4654</v>
      </c>
      <c r="N630" s="162">
        <v>28</v>
      </c>
      <c r="O630" s="162">
        <v>30</v>
      </c>
      <c r="P630" s="224">
        <v>30</v>
      </c>
      <c r="Q630" s="224">
        <v>35</v>
      </c>
      <c r="R630" s="224">
        <v>35</v>
      </c>
      <c r="S630" s="224">
        <v>35</v>
      </c>
      <c r="T630" s="223" t="s">
        <v>4655</v>
      </c>
      <c r="U630" s="283" t="e">
        <v>#N/A</v>
      </c>
      <c r="V630" s="283" t="s">
        <v>4656</v>
      </c>
      <c r="W630" s="283">
        <v>0</v>
      </c>
      <c r="X630" s="283">
        <v>0</v>
      </c>
      <c r="Y630" s="283">
        <v>0</v>
      </c>
      <c r="Z630" s="283">
        <v>0</v>
      </c>
      <c r="AA630" s="283">
        <v>0</v>
      </c>
      <c r="AB630" s="283">
        <v>0</v>
      </c>
      <c r="AC630" s="316">
        <v>0</v>
      </c>
      <c r="AD630" s="316">
        <v>0</v>
      </c>
      <c r="AE630" s="302">
        <f t="shared" si="22"/>
        <v>0</v>
      </c>
      <c r="AF630" s="310"/>
      <c r="AG630" s="17">
        <v>0</v>
      </c>
      <c r="AH630" s="310">
        <v>0.8</v>
      </c>
      <c r="AI630" s="310">
        <v>0.5</v>
      </c>
      <c r="AJ630" s="310">
        <v>0.1</v>
      </c>
      <c r="AK630" s="317">
        <v>0.1</v>
      </c>
      <c r="AL630" s="317">
        <v>0.05</v>
      </c>
      <c r="AM630" s="147">
        <f t="shared" si="21"/>
        <v>0.15000000000000002</v>
      </c>
      <c r="AN630" s="283" t="s">
        <v>4497</v>
      </c>
      <c r="AO630" s="18" t="s">
        <v>4499</v>
      </c>
      <c r="AP630" s="345" t="s">
        <v>4657</v>
      </c>
    </row>
    <row r="631" spans="1:42" x14ac:dyDescent="0.3">
      <c r="A631" s="314" t="s">
        <v>1447</v>
      </c>
      <c r="B631" s="283" t="s">
        <v>4485</v>
      </c>
      <c r="C631" s="314" t="s">
        <v>4642</v>
      </c>
      <c r="D631" s="283" t="s">
        <v>4643</v>
      </c>
      <c r="E631" s="314" t="s">
        <v>4644</v>
      </c>
      <c r="F631" s="283" t="s">
        <v>4645</v>
      </c>
      <c r="G631" s="314" t="s">
        <v>4658</v>
      </c>
      <c r="H631" s="283" t="s">
        <v>4659</v>
      </c>
      <c r="I631" s="223"/>
      <c r="J631" s="225"/>
      <c r="K631" s="350" t="s">
        <v>4660</v>
      </c>
      <c r="L631" s="283" t="s">
        <v>4661</v>
      </c>
      <c r="M631" s="167" t="s">
        <v>4662</v>
      </c>
      <c r="N631" s="167">
        <v>0</v>
      </c>
      <c r="O631" s="167">
        <v>14</v>
      </c>
      <c r="P631" s="211">
        <v>37</v>
      </c>
      <c r="Q631" s="224">
        <v>56</v>
      </c>
      <c r="R631" s="224">
        <v>39</v>
      </c>
      <c r="S631" s="224">
        <v>100</v>
      </c>
      <c r="T631" s="206" t="s">
        <v>4512</v>
      </c>
      <c r="U631" s="283" t="s">
        <v>4514</v>
      </c>
      <c r="V631" s="283" t="s">
        <v>4663</v>
      </c>
      <c r="W631" s="283">
        <v>1</v>
      </c>
      <c r="X631" s="283">
        <v>1</v>
      </c>
      <c r="Y631" s="283">
        <v>0</v>
      </c>
      <c r="Z631" s="283">
        <v>1</v>
      </c>
      <c r="AA631" s="283">
        <v>1</v>
      </c>
      <c r="AB631" s="283">
        <v>0</v>
      </c>
      <c r="AC631" s="316">
        <v>0</v>
      </c>
      <c r="AD631" s="316">
        <v>1</v>
      </c>
      <c r="AE631" s="302">
        <f t="shared" si="22"/>
        <v>0.625</v>
      </c>
      <c r="AF631" s="310"/>
      <c r="AG631" s="17">
        <v>0</v>
      </c>
      <c r="AH631" s="310">
        <v>31.47</v>
      </c>
      <c r="AI631" s="310">
        <v>31.47</v>
      </c>
      <c r="AJ631" s="310">
        <v>31.47</v>
      </c>
      <c r="AK631" s="317">
        <v>50</v>
      </c>
      <c r="AL631" s="317">
        <v>129</v>
      </c>
      <c r="AM631" s="147">
        <f t="shared" si="21"/>
        <v>179</v>
      </c>
      <c r="AN631" s="283" t="s">
        <v>4512</v>
      </c>
      <c r="AO631" s="18" t="s">
        <v>4514</v>
      </c>
      <c r="AP631" s="345" t="s">
        <v>921</v>
      </c>
    </row>
    <row r="632" spans="1:42" x14ac:dyDescent="0.3">
      <c r="A632" s="314" t="s">
        <v>1447</v>
      </c>
      <c r="B632" s="283" t="s">
        <v>4485</v>
      </c>
      <c r="C632" s="314" t="s">
        <v>4642</v>
      </c>
      <c r="D632" s="283" t="s">
        <v>4643</v>
      </c>
      <c r="E632" s="314" t="s">
        <v>4644</v>
      </c>
      <c r="F632" s="283" t="s">
        <v>4645</v>
      </c>
      <c r="G632" s="314" t="s">
        <v>4664</v>
      </c>
      <c r="H632" s="283" t="s">
        <v>4665</v>
      </c>
      <c r="I632" s="223"/>
      <c r="J632" s="225"/>
      <c r="K632" s="350" t="s">
        <v>4666</v>
      </c>
      <c r="L632" s="283" t="s">
        <v>4667</v>
      </c>
      <c r="M632" s="167" t="s">
        <v>4668</v>
      </c>
      <c r="N632" s="167">
        <v>1</v>
      </c>
      <c r="O632" s="167">
        <v>1</v>
      </c>
      <c r="P632" s="211">
        <v>1</v>
      </c>
      <c r="Q632" s="224">
        <v>1</v>
      </c>
      <c r="R632" s="224">
        <v>2</v>
      </c>
      <c r="S632" s="224">
        <v>2</v>
      </c>
      <c r="T632" s="206" t="s">
        <v>1035</v>
      </c>
      <c r="U632" s="283" t="s">
        <v>1037</v>
      </c>
      <c r="V632" s="283" t="s">
        <v>4669</v>
      </c>
      <c r="W632" s="283">
        <v>1</v>
      </c>
      <c r="X632" s="283">
        <v>0</v>
      </c>
      <c r="Y632" s="283">
        <v>0</v>
      </c>
      <c r="Z632" s="283">
        <v>1</v>
      </c>
      <c r="AA632" s="283">
        <v>1</v>
      </c>
      <c r="AB632" s="283">
        <v>1</v>
      </c>
      <c r="AC632" s="316">
        <v>0</v>
      </c>
      <c r="AD632" s="316">
        <v>1</v>
      </c>
      <c r="AE632" s="302">
        <f t="shared" si="22"/>
        <v>0.625</v>
      </c>
      <c r="AF632" s="17"/>
      <c r="AG632" s="17">
        <v>0</v>
      </c>
      <c r="AH632" s="17">
        <v>0</v>
      </c>
      <c r="AI632" s="310">
        <v>0.3</v>
      </c>
      <c r="AJ632" s="310">
        <v>0.3</v>
      </c>
      <c r="AK632" s="153">
        <v>0</v>
      </c>
      <c r="AL632" s="154">
        <v>0</v>
      </c>
      <c r="AM632" s="147">
        <f t="shared" si="21"/>
        <v>0</v>
      </c>
      <c r="AN632" s="283" t="s">
        <v>723</v>
      </c>
      <c r="AO632" s="18" t="s">
        <v>729</v>
      </c>
      <c r="AP632" s="345" t="s">
        <v>4625</v>
      </c>
    </row>
    <row r="633" spans="1:42" x14ac:dyDescent="0.3">
      <c r="A633" s="314" t="s">
        <v>1447</v>
      </c>
      <c r="B633" s="283" t="s">
        <v>4485</v>
      </c>
      <c r="C633" s="314" t="s">
        <v>4642</v>
      </c>
      <c r="D633" s="283" t="s">
        <v>4643</v>
      </c>
      <c r="E633" s="314" t="s">
        <v>4644</v>
      </c>
      <c r="F633" s="283" t="s">
        <v>4645</v>
      </c>
      <c r="G633" s="314" t="s">
        <v>4664</v>
      </c>
      <c r="H633" s="283" t="s">
        <v>4665</v>
      </c>
      <c r="I633" s="223"/>
      <c r="J633" s="225"/>
      <c r="K633" s="350" t="s">
        <v>4666</v>
      </c>
      <c r="L633" s="283" t="s">
        <v>4667</v>
      </c>
      <c r="M633" s="167"/>
      <c r="N633" s="167"/>
      <c r="O633" s="167"/>
      <c r="P633" s="211"/>
      <c r="Q633" s="211"/>
      <c r="R633" s="211">
        <v>200</v>
      </c>
      <c r="S633" s="211">
        <v>400</v>
      </c>
      <c r="T633" s="206"/>
      <c r="U633" s="283" t="e">
        <v>#N/A</v>
      </c>
      <c r="V633" s="283" t="s">
        <v>4670</v>
      </c>
      <c r="W633" s="283">
        <v>1</v>
      </c>
      <c r="X633" s="283">
        <v>0</v>
      </c>
      <c r="Y633" s="283">
        <v>1</v>
      </c>
      <c r="Z633" s="283">
        <v>1</v>
      </c>
      <c r="AA633" s="283">
        <v>1</v>
      </c>
      <c r="AB633" s="283">
        <v>0</v>
      </c>
      <c r="AC633" s="316">
        <v>0</v>
      </c>
      <c r="AD633" s="316">
        <v>1</v>
      </c>
      <c r="AE633" s="302">
        <f t="shared" si="22"/>
        <v>0.625</v>
      </c>
      <c r="AF633" s="310"/>
      <c r="AG633" s="17">
        <v>0</v>
      </c>
      <c r="AH633" s="310">
        <v>0.5</v>
      </c>
      <c r="AI633" s="310">
        <v>3</v>
      </c>
      <c r="AJ633" s="310">
        <v>3</v>
      </c>
      <c r="AK633" s="317">
        <v>4</v>
      </c>
      <c r="AL633" s="317">
        <v>4</v>
      </c>
      <c r="AM633" s="147">
        <f t="shared" si="21"/>
        <v>8</v>
      </c>
      <c r="AN633" s="283" t="s">
        <v>723</v>
      </c>
      <c r="AO633" s="18" t="s">
        <v>729</v>
      </c>
      <c r="AP633" s="345" t="s">
        <v>4671</v>
      </c>
    </row>
    <row r="634" spans="1:42" x14ac:dyDescent="0.3">
      <c r="A634" s="314" t="s">
        <v>1447</v>
      </c>
      <c r="B634" s="283" t="s">
        <v>4485</v>
      </c>
      <c r="C634" s="314" t="s">
        <v>4642</v>
      </c>
      <c r="D634" s="283" t="s">
        <v>4643</v>
      </c>
      <c r="E634" s="314" t="s">
        <v>4644</v>
      </c>
      <c r="F634" s="283" t="s">
        <v>4645</v>
      </c>
      <c r="G634" s="314" t="s">
        <v>4664</v>
      </c>
      <c r="H634" s="283" t="s">
        <v>4665</v>
      </c>
      <c r="I634" s="223"/>
      <c r="J634" s="225"/>
      <c r="K634" s="350" t="s">
        <v>4666</v>
      </c>
      <c r="L634" s="283" t="s">
        <v>4672</v>
      </c>
      <c r="M634" s="167" t="s">
        <v>4673</v>
      </c>
      <c r="N634" s="162">
        <v>60</v>
      </c>
      <c r="O634" s="162">
        <v>20</v>
      </c>
      <c r="P634" s="224">
        <v>30</v>
      </c>
      <c r="Q634" s="224">
        <v>50</v>
      </c>
      <c r="R634" s="224">
        <v>50</v>
      </c>
      <c r="S634" s="224">
        <v>50</v>
      </c>
      <c r="T634" s="223" t="s">
        <v>4497</v>
      </c>
      <c r="U634" s="283" t="s">
        <v>4499</v>
      </c>
      <c r="V634" s="283" t="s">
        <v>4674</v>
      </c>
      <c r="AC634" s="316">
        <v>0</v>
      </c>
      <c r="AD634" s="316">
        <v>0</v>
      </c>
      <c r="AE634" s="302">
        <f t="shared" si="22"/>
        <v>0</v>
      </c>
      <c r="AF634" s="17"/>
      <c r="AG634" s="17">
        <v>0</v>
      </c>
      <c r="AH634" s="17">
        <v>0</v>
      </c>
      <c r="AI634" s="310">
        <v>1</v>
      </c>
      <c r="AJ634" s="310">
        <v>1</v>
      </c>
      <c r="AK634" s="153">
        <v>0</v>
      </c>
      <c r="AL634" s="154">
        <v>0</v>
      </c>
      <c r="AM634" s="147">
        <f t="shared" si="21"/>
        <v>0</v>
      </c>
      <c r="AN634" s="283" t="s">
        <v>723</v>
      </c>
      <c r="AO634" s="18" t="s">
        <v>729</v>
      </c>
      <c r="AP634" s="345" t="s">
        <v>4675</v>
      </c>
    </row>
    <row r="635" spans="1:42" x14ac:dyDescent="0.3">
      <c r="A635" s="314" t="s">
        <v>1447</v>
      </c>
      <c r="B635" s="283" t="s">
        <v>4485</v>
      </c>
      <c r="C635" s="314" t="s">
        <v>4642</v>
      </c>
      <c r="D635" s="283" t="s">
        <v>4643</v>
      </c>
      <c r="E635" s="314" t="s">
        <v>4644</v>
      </c>
      <c r="F635" s="283" t="s">
        <v>4645</v>
      </c>
      <c r="G635" s="314" t="s">
        <v>4664</v>
      </c>
      <c r="H635" s="283" t="s">
        <v>4665</v>
      </c>
      <c r="I635" s="223"/>
      <c r="J635" s="225"/>
      <c r="K635" s="350" t="s">
        <v>4666</v>
      </c>
      <c r="L635" s="283" t="s">
        <v>4672</v>
      </c>
      <c r="M635" s="167"/>
      <c r="N635" s="162"/>
      <c r="O635" s="162"/>
      <c r="P635" s="224"/>
      <c r="Q635" s="224"/>
      <c r="R635" s="224">
        <v>35</v>
      </c>
      <c r="S635" s="224">
        <v>50</v>
      </c>
      <c r="T635" s="223"/>
      <c r="U635" s="283" t="e">
        <v>#N/A</v>
      </c>
      <c r="V635" s="283" t="s">
        <v>4676</v>
      </c>
      <c r="W635" s="283">
        <v>1</v>
      </c>
      <c r="X635" s="283">
        <v>0</v>
      </c>
      <c r="Y635" s="283">
        <v>1</v>
      </c>
      <c r="Z635" s="283">
        <v>1</v>
      </c>
      <c r="AA635" s="283">
        <v>1</v>
      </c>
      <c r="AB635" s="283">
        <v>0</v>
      </c>
      <c r="AC635" s="316">
        <v>1</v>
      </c>
      <c r="AD635" s="316">
        <v>1</v>
      </c>
      <c r="AE635" s="302">
        <f t="shared" si="22"/>
        <v>0.75</v>
      </c>
      <c r="AF635" s="310"/>
      <c r="AG635" s="17">
        <v>0</v>
      </c>
      <c r="AH635" s="310">
        <v>0.3</v>
      </c>
      <c r="AI635" s="310">
        <v>3</v>
      </c>
      <c r="AJ635" s="310">
        <v>4</v>
      </c>
      <c r="AK635" s="317">
        <v>5</v>
      </c>
      <c r="AL635" s="317">
        <v>5</v>
      </c>
      <c r="AM635" s="147">
        <f t="shared" si="21"/>
        <v>10</v>
      </c>
      <c r="AN635" s="283" t="s">
        <v>723</v>
      </c>
      <c r="AO635" s="18" t="s">
        <v>729</v>
      </c>
      <c r="AP635" s="345" t="s">
        <v>4677</v>
      </c>
    </row>
    <row r="636" spans="1:42" x14ac:dyDescent="0.3">
      <c r="A636" s="314" t="s">
        <v>1447</v>
      </c>
      <c r="B636" s="283" t="s">
        <v>4485</v>
      </c>
      <c r="C636" s="314" t="s">
        <v>4642</v>
      </c>
      <c r="D636" s="283" t="s">
        <v>4643</v>
      </c>
      <c r="E636" s="314" t="s">
        <v>4644</v>
      </c>
      <c r="F636" s="283" t="s">
        <v>4645</v>
      </c>
      <c r="G636" s="314" t="s">
        <v>4678</v>
      </c>
      <c r="H636" s="283" t="s">
        <v>4679</v>
      </c>
      <c r="I636" s="223"/>
      <c r="J636" s="225"/>
      <c r="K636" s="350" t="s">
        <v>4680</v>
      </c>
      <c r="L636" s="283" t="s">
        <v>4681</v>
      </c>
      <c r="M636" s="1" t="s">
        <v>4682</v>
      </c>
      <c r="N636" s="162">
        <v>0</v>
      </c>
      <c r="O636" s="162">
        <v>35</v>
      </c>
      <c r="P636" s="224">
        <v>50</v>
      </c>
      <c r="Q636" s="224">
        <v>75</v>
      </c>
      <c r="R636" s="224">
        <v>40</v>
      </c>
      <c r="S636" s="224">
        <v>50</v>
      </c>
      <c r="T636" s="223" t="s">
        <v>1035</v>
      </c>
      <c r="U636" s="283" t="s">
        <v>1037</v>
      </c>
      <c r="V636" s="283" t="s">
        <v>4683</v>
      </c>
      <c r="W636" s="283">
        <v>1</v>
      </c>
      <c r="X636" s="283">
        <v>1</v>
      </c>
      <c r="Y636" s="283">
        <v>1</v>
      </c>
      <c r="Z636" s="283">
        <v>1</v>
      </c>
      <c r="AA636" s="283">
        <v>1</v>
      </c>
      <c r="AB636" s="283">
        <v>0</v>
      </c>
      <c r="AC636" s="316">
        <v>1</v>
      </c>
      <c r="AD636" s="316">
        <v>1</v>
      </c>
      <c r="AE636" s="302">
        <f t="shared" si="22"/>
        <v>0.875</v>
      </c>
      <c r="AF636" s="17"/>
      <c r="AG636" s="17">
        <v>0</v>
      </c>
      <c r="AH636" s="17">
        <v>0</v>
      </c>
      <c r="AI636" s="310">
        <v>1</v>
      </c>
      <c r="AJ636" s="310">
        <v>0.5</v>
      </c>
      <c r="AK636" s="317">
        <v>2</v>
      </c>
      <c r="AL636" s="317">
        <v>5</v>
      </c>
      <c r="AM636" s="147">
        <f t="shared" si="21"/>
        <v>7</v>
      </c>
      <c r="AN636" s="283" t="s">
        <v>1035</v>
      </c>
      <c r="AO636" s="18" t="s">
        <v>1037</v>
      </c>
      <c r="AP636" s="345" t="s">
        <v>4684</v>
      </c>
    </row>
    <row r="637" spans="1:42" x14ac:dyDescent="0.3">
      <c r="A637" s="314" t="s">
        <v>1447</v>
      </c>
      <c r="B637" s="283" t="s">
        <v>4485</v>
      </c>
      <c r="C637" s="314" t="s">
        <v>4642</v>
      </c>
      <c r="D637" s="283" t="s">
        <v>4643</v>
      </c>
      <c r="E637" s="314" t="s">
        <v>4644</v>
      </c>
      <c r="F637" s="283" t="s">
        <v>4645</v>
      </c>
      <c r="G637" s="314" t="s">
        <v>4678</v>
      </c>
      <c r="H637" s="283" t="s">
        <v>4679</v>
      </c>
      <c r="I637" s="223"/>
      <c r="J637" s="225"/>
      <c r="K637" s="350" t="s">
        <v>4680</v>
      </c>
      <c r="L637" s="283" t="s">
        <v>4681</v>
      </c>
      <c r="M637" s="167" t="s">
        <v>4685</v>
      </c>
      <c r="N637" s="162" t="s">
        <v>271</v>
      </c>
      <c r="O637" s="162" t="s">
        <v>271</v>
      </c>
      <c r="P637" s="224">
        <v>1</v>
      </c>
      <c r="Q637" s="224" t="s">
        <v>271</v>
      </c>
      <c r="R637" s="224">
        <v>40</v>
      </c>
      <c r="S637" s="224">
        <v>60</v>
      </c>
      <c r="T637" s="223" t="s">
        <v>1035</v>
      </c>
      <c r="U637" s="283" t="s">
        <v>1037</v>
      </c>
      <c r="V637" s="283" t="s">
        <v>4686</v>
      </c>
      <c r="W637" s="283">
        <v>1</v>
      </c>
      <c r="X637" s="283">
        <v>1</v>
      </c>
      <c r="Y637" s="283">
        <v>1</v>
      </c>
      <c r="Z637" s="283">
        <v>1</v>
      </c>
      <c r="AA637" s="283">
        <v>1</v>
      </c>
      <c r="AB637" s="283">
        <v>1</v>
      </c>
      <c r="AC637" s="316">
        <v>1</v>
      </c>
      <c r="AD637" s="316">
        <v>1</v>
      </c>
      <c r="AE637" s="302">
        <f t="shared" si="22"/>
        <v>1</v>
      </c>
      <c r="AF637" s="17"/>
      <c r="AG637" s="17">
        <v>0</v>
      </c>
      <c r="AH637" s="17">
        <v>0</v>
      </c>
      <c r="AI637" s="310">
        <v>0.5</v>
      </c>
      <c r="AJ637" s="310">
        <v>0.5</v>
      </c>
      <c r="AK637" s="317">
        <v>2</v>
      </c>
      <c r="AL637" s="317">
        <v>2</v>
      </c>
      <c r="AM637" s="147">
        <f t="shared" si="21"/>
        <v>4</v>
      </c>
      <c r="AN637" s="283" t="s">
        <v>321</v>
      </c>
      <c r="AO637" s="18" t="s">
        <v>1066</v>
      </c>
      <c r="AP637" s="283" t="s">
        <v>4687</v>
      </c>
    </row>
    <row r="638" spans="1:42" x14ac:dyDescent="0.3">
      <c r="A638" s="314" t="s">
        <v>1447</v>
      </c>
      <c r="B638" s="283" t="s">
        <v>4485</v>
      </c>
      <c r="C638" s="314" t="s">
        <v>4642</v>
      </c>
      <c r="D638" s="283" t="s">
        <v>4643</v>
      </c>
      <c r="E638" s="314" t="s">
        <v>4644</v>
      </c>
      <c r="F638" s="283" t="s">
        <v>4645</v>
      </c>
      <c r="G638" s="314" t="s">
        <v>4688</v>
      </c>
      <c r="H638" s="283" t="s">
        <v>4689</v>
      </c>
      <c r="I638" s="223"/>
      <c r="J638" s="225"/>
      <c r="K638" s="350" t="s">
        <v>4690</v>
      </c>
      <c r="L638" s="283" t="s">
        <v>4691</v>
      </c>
      <c r="M638" s="167" t="s">
        <v>4692</v>
      </c>
      <c r="N638" s="162">
        <v>0</v>
      </c>
      <c r="O638" s="450">
        <v>0</v>
      </c>
      <c r="P638" s="229">
        <v>200</v>
      </c>
      <c r="Q638" s="229">
        <v>300</v>
      </c>
      <c r="R638" s="229">
        <v>500</v>
      </c>
      <c r="S638" s="229">
        <v>700</v>
      </c>
      <c r="T638" s="223" t="s">
        <v>1035</v>
      </c>
      <c r="U638" s="283" t="s">
        <v>1037</v>
      </c>
      <c r="V638" s="283" t="s">
        <v>4693</v>
      </c>
      <c r="W638" s="283">
        <v>1</v>
      </c>
      <c r="X638" s="283">
        <v>0</v>
      </c>
      <c r="Y638" s="283">
        <v>0</v>
      </c>
      <c r="Z638" s="283">
        <v>1</v>
      </c>
      <c r="AA638" s="283">
        <v>1</v>
      </c>
      <c r="AB638" s="283">
        <v>0</v>
      </c>
      <c r="AC638" s="316">
        <v>0</v>
      </c>
      <c r="AD638" s="316">
        <v>1</v>
      </c>
      <c r="AE638" s="302">
        <f t="shared" si="22"/>
        <v>0.5</v>
      </c>
      <c r="AF638" s="17"/>
      <c r="AG638" s="17">
        <v>0</v>
      </c>
      <c r="AH638" s="17">
        <v>0</v>
      </c>
      <c r="AI638" s="310">
        <v>0</v>
      </c>
      <c r="AJ638" s="310">
        <v>0</v>
      </c>
      <c r="AK638" s="317">
        <v>0</v>
      </c>
      <c r="AL638" s="317">
        <v>0</v>
      </c>
      <c r="AM638" s="147">
        <f t="shared" si="21"/>
        <v>0</v>
      </c>
      <c r="AN638" s="283" t="s">
        <v>1035</v>
      </c>
      <c r="AO638" s="18" t="s">
        <v>1037</v>
      </c>
      <c r="AP638" s="345" t="s">
        <v>4694</v>
      </c>
    </row>
    <row r="639" spans="1:42" x14ac:dyDescent="0.3">
      <c r="A639" s="314" t="s">
        <v>1447</v>
      </c>
      <c r="B639" s="283" t="s">
        <v>4485</v>
      </c>
      <c r="C639" s="314" t="s">
        <v>4642</v>
      </c>
      <c r="D639" s="283" t="s">
        <v>4643</v>
      </c>
      <c r="E639" s="314" t="s">
        <v>4644</v>
      </c>
      <c r="F639" s="283" t="s">
        <v>4645</v>
      </c>
      <c r="G639" s="314" t="s">
        <v>4695</v>
      </c>
      <c r="H639" s="283" t="s">
        <v>4696</v>
      </c>
      <c r="I639" s="223"/>
      <c r="J639" s="225"/>
      <c r="K639" s="350" t="s">
        <v>4697</v>
      </c>
      <c r="L639" s="283" t="s">
        <v>4698</v>
      </c>
      <c r="M639" s="167" t="s">
        <v>4699</v>
      </c>
      <c r="N639" s="162">
        <v>100</v>
      </c>
      <c r="O639" s="162">
        <v>300</v>
      </c>
      <c r="P639" s="224">
        <v>200</v>
      </c>
      <c r="Q639" s="224">
        <v>200</v>
      </c>
      <c r="R639" s="224">
        <v>300</v>
      </c>
      <c r="S639" s="224">
        <v>600</v>
      </c>
      <c r="T639" s="223" t="s">
        <v>1035</v>
      </c>
      <c r="U639" s="283" t="s">
        <v>1037</v>
      </c>
      <c r="V639" s="283" t="s">
        <v>4700</v>
      </c>
      <c r="W639" s="283">
        <v>1</v>
      </c>
      <c r="X639" s="283">
        <v>0</v>
      </c>
      <c r="Y639" s="283">
        <v>1</v>
      </c>
      <c r="Z639" s="283">
        <v>1</v>
      </c>
      <c r="AA639" s="283">
        <v>1</v>
      </c>
      <c r="AB639" s="283">
        <v>0</v>
      </c>
      <c r="AC639" s="316">
        <v>0</v>
      </c>
      <c r="AD639" s="316">
        <v>1</v>
      </c>
      <c r="AE639" s="302">
        <f t="shared" si="22"/>
        <v>0.625</v>
      </c>
      <c r="AF639" s="17"/>
      <c r="AG639" s="17">
        <v>0</v>
      </c>
      <c r="AH639" s="17">
        <v>0</v>
      </c>
      <c r="AI639" s="310">
        <v>1</v>
      </c>
      <c r="AJ639" s="310">
        <v>1.2</v>
      </c>
      <c r="AK639" s="317">
        <v>5</v>
      </c>
      <c r="AL639" s="317">
        <v>5</v>
      </c>
      <c r="AM639" s="147">
        <f t="shared" si="21"/>
        <v>10</v>
      </c>
      <c r="AN639" s="283" t="s">
        <v>1035</v>
      </c>
      <c r="AO639" s="18" t="s">
        <v>1037</v>
      </c>
      <c r="AP639" s="345" t="s">
        <v>4618</v>
      </c>
    </row>
    <row r="640" spans="1:42" x14ac:dyDescent="0.3">
      <c r="A640" s="314" t="s">
        <v>1447</v>
      </c>
      <c r="B640" s="283" t="s">
        <v>4485</v>
      </c>
      <c r="C640" s="314" t="s">
        <v>4642</v>
      </c>
      <c r="D640" s="283" t="s">
        <v>4643</v>
      </c>
      <c r="E640" s="314" t="s">
        <v>4644</v>
      </c>
      <c r="F640" s="283" t="s">
        <v>4645</v>
      </c>
      <c r="G640" s="314" t="s">
        <v>4701</v>
      </c>
      <c r="H640" s="283" t="s">
        <v>4702</v>
      </c>
      <c r="I640" s="223"/>
      <c r="J640" s="225"/>
      <c r="K640" s="350" t="s">
        <v>4703</v>
      </c>
      <c r="L640" s="283" t="s">
        <v>4704</v>
      </c>
      <c r="M640" s="167" t="s">
        <v>4705</v>
      </c>
      <c r="N640" s="167">
        <v>85</v>
      </c>
      <c r="O640" s="162">
        <v>100</v>
      </c>
      <c r="P640" s="211">
        <v>100</v>
      </c>
      <c r="Q640" s="211">
        <v>500</v>
      </c>
      <c r="R640" s="211">
        <v>200</v>
      </c>
      <c r="S640" s="211">
        <v>400</v>
      </c>
      <c r="T640" s="206" t="s">
        <v>4497</v>
      </c>
      <c r="U640" s="283" t="s">
        <v>4499</v>
      </c>
      <c r="V640" s="283" t="s">
        <v>4706</v>
      </c>
      <c r="W640" s="283">
        <v>1</v>
      </c>
      <c r="X640" s="283">
        <v>1</v>
      </c>
      <c r="Y640" s="283">
        <v>1</v>
      </c>
      <c r="Z640" s="283">
        <v>1</v>
      </c>
      <c r="AA640" s="283">
        <v>1</v>
      </c>
      <c r="AB640" s="283">
        <v>1</v>
      </c>
      <c r="AC640" s="316">
        <v>1</v>
      </c>
      <c r="AD640" s="316">
        <v>1</v>
      </c>
      <c r="AE640" s="302">
        <f t="shared" si="22"/>
        <v>1</v>
      </c>
      <c r="AF640" s="17"/>
      <c r="AG640" s="17">
        <v>0</v>
      </c>
      <c r="AH640" s="17">
        <v>0</v>
      </c>
      <c r="AI640" s="310"/>
      <c r="AJ640" s="310"/>
      <c r="AK640" s="317">
        <v>10</v>
      </c>
      <c r="AL640" s="317">
        <v>10</v>
      </c>
      <c r="AM640" s="147">
        <f t="shared" si="21"/>
        <v>20</v>
      </c>
      <c r="AN640" s="283" t="s">
        <v>4497</v>
      </c>
      <c r="AO640" s="18" t="s">
        <v>118</v>
      </c>
      <c r="AP640" s="345" t="s">
        <v>4707</v>
      </c>
    </row>
    <row r="641" spans="1:42" x14ac:dyDescent="0.3">
      <c r="A641" s="314" t="s">
        <v>1447</v>
      </c>
      <c r="B641" s="283" t="s">
        <v>4485</v>
      </c>
      <c r="C641" s="314" t="s">
        <v>4642</v>
      </c>
      <c r="D641" s="283" t="s">
        <v>4643</v>
      </c>
      <c r="E641" s="314" t="s">
        <v>4644</v>
      </c>
      <c r="F641" s="283" t="s">
        <v>4645</v>
      </c>
      <c r="G641" s="314" t="s">
        <v>4701</v>
      </c>
      <c r="H641" s="283" t="s">
        <v>4702</v>
      </c>
      <c r="I641" s="223"/>
      <c r="J641" s="225"/>
      <c r="K641" s="350" t="s">
        <v>4703</v>
      </c>
      <c r="L641" s="283" t="s">
        <v>4704</v>
      </c>
      <c r="M641" s="167" t="s">
        <v>4708</v>
      </c>
      <c r="N641" s="167">
        <v>20</v>
      </c>
      <c r="O641" s="162">
        <v>20</v>
      </c>
      <c r="P641" s="211">
        <v>20</v>
      </c>
      <c r="Q641" s="211">
        <v>20</v>
      </c>
      <c r="R641" s="211">
        <v>200</v>
      </c>
      <c r="S641" s="211">
        <v>400</v>
      </c>
      <c r="T641" s="206" t="s">
        <v>4497</v>
      </c>
      <c r="U641" s="283" t="s">
        <v>4499</v>
      </c>
      <c r="V641" s="283" t="s">
        <v>4709</v>
      </c>
      <c r="W641" s="283">
        <v>1</v>
      </c>
      <c r="X641" s="283">
        <v>1</v>
      </c>
      <c r="Y641" s="283">
        <v>1</v>
      </c>
      <c r="Z641" s="283">
        <v>1</v>
      </c>
      <c r="AA641" s="283">
        <v>1</v>
      </c>
      <c r="AB641" s="283">
        <v>1</v>
      </c>
      <c r="AC641" s="316">
        <v>1</v>
      </c>
      <c r="AD641" s="316">
        <v>1</v>
      </c>
      <c r="AE641" s="302">
        <f t="shared" si="22"/>
        <v>1</v>
      </c>
      <c r="AF641" s="17"/>
      <c r="AG641" s="17">
        <v>0</v>
      </c>
      <c r="AH641" s="17">
        <v>0</v>
      </c>
      <c r="AI641" s="310"/>
      <c r="AJ641" s="310"/>
      <c r="AK641" s="317">
        <v>20</v>
      </c>
      <c r="AL641" s="317">
        <v>20</v>
      </c>
      <c r="AM641" s="147">
        <f t="shared" si="21"/>
        <v>40</v>
      </c>
      <c r="AN641" s="283" t="s">
        <v>1035</v>
      </c>
      <c r="AO641" s="18" t="s">
        <v>118</v>
      </c>
      <c r="AP641" s="345" t="s">
        <v>4537</v>
      </c>
    </row>
    <row r="642" spans="1:42" x14ac:dyDescent="0.3">
      <c r="A642" s="314" t="s">
        <v>1447</v>
      </c>
      <c r="B642" s="283" t="s">
        <v>4485</v>
      </c>
      <c r="C642" s="314" t="s">
        <v>4642</v>
      </c>
      <c r="D642" s="283" t="s">
        <v>4643</v>
      </c>
      <c r="E642" s="314" t="s">
        <v>4710</v>
      </c>
      <c r="F642" s="283" t="s">
        <v>4711</v>
      </c>
      <c r="G642" s="314" t="s">
        <v>4712</v>
      </c>
      <c r="H642" s="283" t="s">
        <v>4713</v>
      </c>
      <c r="I642" s="231"/>
      <c r="J642" s="231"/>
      <c r="K642" s="350" t="s">
        <v>4714</v>
      </c>
      <c r="L642" s="283" t="s">
        <v>4715</v>
      </c>
      <c r="M642" s="167" t="s">
        <v>4716</v>
      </c>
      <c r="N642" s="162" t="s">
        <v>3926</v>
      </c>
      <c r="O642" s="162" t="s">
        <v>3709</v>
      </c>
      <c r="P642" s="224" t="s">
        <v>3709</v>
      </c>
      <c r="Q642" s="224" t="s">
        <v>3709</v>
      </c>
      <c r="R642" s="224" t="s">
        <v>3709</v>
      </c>
      <c r="S642" s="224" t="s">
        <v>3709</v>
      </c>
      <c r="T642" s="223" t="s">
        <v>4512</v>
      </c>
      <c r="U642" s="283" t="s">
        <v>4514</v>
      </c>
      <c r="V642" s="283" t="s">
        <v>4717</v>
      </c>
      <c r="W642" s="283">
        <v>0</v>
      </c>
      <c r="X642" s="283">
        <v>0</v>
      </c>
      <c r="Y642" s="283">
        <v>0</v>
      </c>
      <c r="Z642" s="283">
        <v>0</v>
      </c>
      <c r="AA642" s="283">
        <v>0</v>
      </c>
      <c r="AB642" s="283">
        <v>0</v>
      </c>
      <c r="AC642" s="316">
        <v>0</v>
      </c>
      <c r="AD642" s="316">
        <v>0</v>
      </c>
      <c r="AE642" s="302">
        <f t="shared" si="22"/>
        <v>0</v>
      </c>
      <c r="AF642" s="310"/>
      <c r="AG642" s="17">
        <v>0</v>
      </c>
      <c r="AH642" s="310">
        <v>0.1</v>
      </c>
      <c r="AI642" s="17">
        <v>0</v>
      </c>
      <c r="AJ642" s="17">
        <v>0</v>
      </c>
      <c r="AK642" s="153">
        <v>0</v>
      </c>
      <c r="AL642" s="154">
        <v>0</v>
      </c>
      <c r="AM642" s="147">
        <f t="shared" si="21"/>
        <v>0</v>
      </c>
      <c r="AN642" s="283" t="s">
        <v>4512</v>
      </c>
      <c r="AO642" s="18" t="s">
        <v>4514</v>
      </c>
      <c r="AP642" s="345" t="s">
        <v>4718</v>
      </c>
    </row>
    <row r="643" spans="1:42" x14ac:dyDescent="0.3">
      <c r="A643" s="314" t="s">
        <v>1447</v>
      </c>
      <c r="B643" s="283" t="s">
        <v>4485</v>
      </c>
      <c r="C643" s="314" t="s">
        <v>4642</v>
      </c>
      <c r="D643" s="283" t="s">
        <v>4643</v>
      </c>
      <c r="E643" s="314" t="s">
        <v>4710</v>
      </c>
      <c r="F643" s="283" t="s">
        <v>4711</v>
      </c>
      <c r="G643" s="314" t="s">
        <v>4712</v>
      </c>
      <c r="H643" s="283" t="s">
        <v>4713</v>
      </c>
      <c r="I643" s="223"/>
      <c r="J643" s="225"/>
      <c r="K643" s="350" t="s">
        <v>4714</v>
      </c>
      <c r="L643" s="283" t="s">
        <v>4715</v>
      </c>
      <c r="M643" s="167" t="s">
        <v>4719</v>
      </c>
      <c r="N643" s="167"/>
      <c r="O643" s="167">
        <v>4</v>
      </c>
      <c r="P643" s="211">
        <v>4</v>
      </c>
      <c r="Q643" s="211">
        <v>4</v>
      </c>
      <c r="R643" s="211">
        <v>4</v>
      </c>
      <c r="S643" s="211">
        <v>4</v>
      </c>
      <c r="T643" s="223" t="s">
        <v>1035</v>
      </c>
      <c r="U643" s="283" t="s">
        <v>1037</v>
      </c>
      <c r="V643" s="283" t="s">
        <v>4720</v>
      </c>
      <c r="W643" s="283">
        <v>1</v>
      </c>
      <c r="X643" s="283">
        <v>0</v>
      </c>
      <c r="Y643" s="283">
        <v>0</v>
      </c>
      <c r="Z643" s="283">
        <v>1</v>
      </c>
      <c r="AA643" s="283">
        <v>1</v>
      </c>
      <c r="AB643" s="283">
        <v>1</v>
      </c>
      <c r="AC643" s="316">
        <v>0</v>
      </c>
      <c r="AD643" s="316">
        <v>1</v>
      </c>
      <c r="AE643" s="302">
        <f t="shared" si="22"/>
        <v>0.625</v>
      </c>
      <c r="AF643" s="310"/>
      <c r="AG643" s="17">
        <v>0</v>
      </c>
      <c r="AH643" s="310">
        <v>2</v>
      </c>
      <c r="AI643" s="310">
        <v>2</v>
      </c>
      <c r="AJ643" s="310">
        <v>2</v>
      </c>
      <c r="AK643" s="317">
        <v>2</v>
      </c>
      <c r="AL643" s="317">
        <v>2</v>
      </c>
      <c r="AM643" s="147">
        <f t="shared" si="21"/>
        <v>4</v>
      </c>
      <c r="AN643" s="283" t="s">
        <v>1233</v>
      </c>
      <c r="AO643" s="18" t="s">
        <v>1650</v>
      </c>
      <c r="AP643" s="345" t="s">
        <v>4528</v>
      </c>
    </row>
    <row r="644" spans="1:42" x14ac:dyDescent="0.3">
      <c r="A644" s="314" t="s">
        <v>1447</v>
      </c>
      <c r="B644" s="283" t="s">
        <v>4485</v>
      </c>
      <c r="C644" s="314" t="s">
        <v>4642</v>
      </c>
      <c r="D644" s="283" t="s">
        <v>4643</v>
      </c>
      <c r="E644" s="314" t="s">
        <v>4710</v>
      </c>
      <c r="F644" s="283" t="s">
        <v>4711</v>
      </c>
      <c r="G644" s="314" t="s">
        <v>4712</v>
      </c>
      <c r="H644" s="283" t="s">
        <v>4713</v>
      </c>
      <c r="I644" s="223"/>
      <c r="J644" s="223"/>
      <c r="K644" s="350" t="s">
        <v>4714</v>
      </c>
      <c r="L644" s="283" t="s">
        <v>4715</v>
      </c>
      <c r="M644" s="162"/>
      <c r="N644" s="452"/>
      <c r="O644" s="452"/>
      <c r="P644" s="226"/>
      <c r="Q644" s="226"/>
      <c r="R644" s="226"/>
      <c r="S644" s="226"/>
      <c r="T644" s="223"/>
      <c r="U644" s="283" t="e">
        <v>#N/A</v>
      </c>
      <c r="V644" s="283" t="s">
        <v>4721</v>
      </c>
      <c r="W644" s="283">
        <v>0</v>
      </c>
      <c r="X644" s="283">
        <v>0</v>
      </c>
      <c r="Y644" s="283">
        <v>0</v>
      </c>
      <c r="Z644" s="283">
        <v>0</v>
      </c>
      <c r="AA644" s="283">
        <v>0</v>
      </c>
      <c r="AB644" s="283">
        <v>0</v>
      </c>
      <c r="AC644" s="316">
        <v>0</v>
      </c>
      <c r="AD644" s="316">
        <v>0</v>
      </c>
      <c r="AE644" s="302">
        <f t="shared" si="22"/>
        <v>0</v>
      </c>
      <c r="AF644" s="17"/>
      <c r="AG644" s="17">
        <v>0</v>
      </c>
      <c r="AH644" s="17">
        <v>0</v>
      </c>
      <c r="AI644" s="17">
        <v>0</v>
      </c>
      <c r="AJ644" s="17">
        <v>0</v>
      </c>
      <c r="AK644" s="153">
        <v>0</v>
      </c>
      <c r="AL644" s="154">
        <v>0</v>
      </c>
      <c r="AM644" s="147">
        <f t="shared" si="21"/>
        <v>0</v>
      </c>
      <c r="AN644" s="283" t="s">
        <v>1035</v>
      </c>
      <c r="AO644" s="18" t="s">
        <v>1037</v>
      </c>
      <c r="AP644" s="345" t="s">
        <v>4722</v>
      </c>
    </row>
    <row r="645" spans="1:42" x14ac:dyDescent="0.3">
      <c r="A645" s="314" t="s">
        <v>1447</v>
      </c>
      <c r="B645" s="283" t="s">
        <v>4485</v>
      </c>
      <c r="C645" s="314" t="s">
        <v>4642</v>
      </c>
      <c r="D645" s="283" t="s">
        <v>4643</v>
      </c>
      <c r="E645" s="314" t="s">
        <v>4710</v>
      </c>
      <c r="F645" s="283" t="s">
        <v>4711</v>
      </c>
      <c r="G645" s="314" t="s">
        <v>4712</v>
      </c>
      <c r="H645" s="283" t="s">
        <v>4713</v>
      </c>
      <c r="I645" s="223"/>
      <c r="J645" s="223"/>
      <c r="K645" s="350" t="s">
        <v>4714</v>
      </c>
      <c r="L645" s="283" t="s">
        <v>4715</v>
      </c>
      <c r="M645" s="162" t="s">
        <v>4719</v>
      </c>
      <c r="N645" s="452"/>
      <c r="O645" s="452"/>
      <c r="P645" s="226"/>
      <c r="Q645" s="226"/>
      <c r="R645" s="226"/>
      <c r="S645" s="226"/>
      <c r="T645" s="223" t="s">
        <v>1233</v>
      </c>
      <c r="U645" s="283" t="s">
        <v>1650</v>
      </c>
      <c r="V645" s="283" t="s">
        <v>4723</v>
      </c>
      <c r="W645" s="283">
        <v>0</v>
      </c>
      <c r="X645" s="283">
        <v>0</v>
      </c>
      <c r="Y645" s="283">
        <v>0</v>
      </c>
      <c r="Z645" s="283">
        <v>0</v>
      </c>
      <c r="AA645" s="283">
        <v>0</v>
      </c>
      <c r="AB645" s="283">
        <v>0</v>
      </c>
      <c r="AC645" s="316">
        <v>0</v>
      </c>
      <c r="AD645" s="316">
        <v>0</v>
      </c>
      <c r="AE645" s="302">
        <f t="shared" si="22"/>
        <v>0</v>
      </c>
      <c r="AF645" s="17"/>
      <c r="AG645" s="17">
        <v>0</v>
      </c>
      <c r="AH645" s="17"/>
      <c r="AI645" s="17"/>
      <c r="AJ645" s="17"/>
      <c r="AK645" s="153"/>
      <c r="AL645" s="154"/>
      <c r="AM645" s="147">
        <f t="shared" si="21"/>
        <v>0</v>
      </c>
      <c r="AN645" s="283" t="s">
        <v>1233</v>
      </c>
      <c r="AO645" s="18" t="s">
        <v>1650</v>
      </c>
      <c r="AP645" s="345"/>
    </row>
    <row r="646" spans="1:42" x14ac:dyDescent="0.3">
      <c r="A646" s="314" t="s">
        <v>1447</v>
      </c>
      <c r="B646" s="283" t="s">
        <v>4485</v>
      </c>
      <c r="C646" s="314" t="s">
        <v>4642</v>
      </c>
      <c r="D646" s="283" t="s">
        <v>4643</v>
      </c>
      <c r="E646" s="314" t="s">
        <v>4710</v>
      </c>
      <c r="F646" s="283" t="s">
        <v>4711</v>
      </c>
      <c r="G646" s="314" t="s">
        <v>4724</v>
      </c>
      <c r="H646" s="283" t="s">
        <v>4725</v>
      </c>
      <c r="I646" s="223"/>
      <c r="J646" s="225"/>
      <c r="K646" s="350" t="s">
        <v>4726</v>
      </c>
      <c r="L646" s="283" t="s">
        <v>4727</v>
      </c>
      <c r="M646" s="167" t="s">
        <v>4728</v>
      </c>
      <c r="N646" s="162">
        <v>300</v>
      </c>
      <c r="O646" s="162">
        <v>400</v>
      </c>
      <c r="P646" s="224">
        <v>500</v>
      </c>
      <c r="Q646" s="224">
        <v>500</v>
      </c>
      <c r="R646" s="224">
        <v>1000</v>
      </c>
      <c r="S646" s="224">
        <v>1000</v>
      </c>
      <c r="T646" s="206" t="s">
        <v>1035</v>
      </c>
      <c r="U646" s="283" t="s">
        <v>1037</v>
      </c>
      <c r="V646" s="283" t="s">
        <v>4729</v>
      </c>
      <c r="W646" s="283">
        <v>1</v>
      </c>
      <c r="X646" s="283">
        <v>0</v>
      </c>
      <c r="Y646" s="283">
        <v>0</v>
      </c>
      <c r="Z646" s="283">
        <v>1</v>
      </c>
      <c r="AA646" s="283">
        <v>1</v>
      </c>
      <c r="AB646" s="283">
        <v>1</v>
      </c>
      <c r="AC646" s="316">
        <v>0</v>
      </c>
      <c r="AD646" s="316">
        <v>1</v>
      </c>
      <c r="AE646" s="302">
        <f t="shared" si="22"/>
        <v>0.625</v>
      </c>
      <c r="AF646" s="310"/>
      <c r="AG646" s="17">
        <v>0</v>
      </c>
      <c r="AH646" s="310">
        <v>1</v>
      </c>
      <c r="AI646" s="310">
        <v>1</v>
      </c>
      <c r="AJ646" s="310">
        <v>1</v>
      </c>
      <c r="AK646" s="317">
        <v>1</v>
      </c>
      <c r="AL646" s="317">
        <v>1</v>
      </c>
      <c r="AM646" s="147">
        <f t="shared" si="21"/>
        <v>2</v>
      </c>
      <c r="AN646" s="283" t="s">
        <v>1035</v>
      </c>
      <c r="AO646" s="18" t="s">
        <v>1037</v>
      </c>
      <c r="AP646" s="345" t="s">
        <v>4501</v>
      </c>
    </row>
    <row r="647" spans="1:42" x14ac:dyDescent="0.3">
      <c r="A647" s="314" t="s">
        <v>1447</v>
      </c>
      <c r="B647" s="283" t="s">
        <v>4485</v>
      </c>
      <c r="C647" s="314" t="s">
        <v>4642</v>
      </c>
      <c r="D647" s="283" t="s">
        <v>4643</v>
      </c>
      <c r="E647" s="314" t="s">
        <v>4710</v>
      </c>
      <c r="F647" s="283" t="s">
        <v>4711</v>
      </c>
      <c r="G647" s="314" t="s">
        <v>4730</v>
      </c>
      <c r="H647" s="283" t="s">
        <v>4731</v>
      </c>
      <c r="I647" s="223"/>
      <c r="J647" s="225"/>
      <c r="K647" s="350" t="s">
        <v>4732</v>
      </c>
      <c r="L647" s="283" t="s">
        <v>4733</v>
      </c>
      <c r="M647" s="167" t="s">
        <v>4734</v>
      </c>
      <c r="N647" s="162">
        <v>0</v>
      </c>
      <c r="O647" s="162">
        <v>0</v>
      </c>
      <c r="P647" s="224">
        <v>1</v>
      </c>
      <c r="Q647" s="224" t="s">
        <v>271</v>
      </c>
      <c r="R647" s="224" t="s">
        <v>271</v>
      </c>
      <c r="S647" s="226" t="s">
        <v>271</v>
      </c>
      <c r="T647" s="206" t="s">
        <v>4512</v>
      </c>
      <c r="U647" s="283" t="s">
        <v>4514</v>
      </c>
      <c r="V647" s="283" t="s">
        <v>4735</v>
      </c>
      <c r="W647" s="283">
        <v>0</v>
      </c>
      <c r="X647" s="283">
        <v>0</v>
      </c>
      <c r="Y647" s="283">
        <v>0</v>
      </c>
      <c r="Z647" s="283">
        <v>0</v>
      </c>
      <c r="AA647" s="283">
        <v>0</v>
      </c>
      <c r="AB647" s="283">
        <v>0</v>
      </c>
      <c r="AC647" s="316">
        <v>0</v>
      </c>
      <c r="AD647" s="316">
        <v>0</v>
      </c>
      <c r="AE647" s="302">
        <f t="shared" si="22"/>
        <v>0</v>
      </c>
      <c r="AF647" s="17"/>
      <c r="AG647" s="17">
        <v>0</v>
      </c>
      <c r="AH647" s="17">
        <v>0</v>
      </c>
      <c r="AI647" s="310">
        <v>0.5</v>
      </c>
      <c r="AJ647" s="310">
        <v>0.1</v>
      </c>
      <c r="AK647" s="153">
        <v>0</v>
      </c>
      <c r="AL647" s="154">
        <v>0</v>
      </c>
      <c r="AM647" s="147">
        <f t="shared" si="21"/>
        <v>0</v>
      </c>
      <c r="AN647" s="283" t="s">
        <v>1035</v>
      </c>
      <c r="AO647" s="18" t="s">
        <v>1037</v>
      </c>
      <c r="AP647" s="345" t="s">
        <v>4501</v>
      </c>
    </row>
    <row r="648" spans="1:42" x14ac:dyDescent="0.3">
      <c r="A648" s="314" t="s">
        <v>1447</v>
      </c>
      <c r="B648" s="283" t="s">
        <v>4485</v>
      </c>
      <c r="C648" s="314" t="s">
        <v>4487</v>
      </c>
      <c r="D648" s="283" t="s">
        <v>4488</v>
      </c>
      <c r="E648" s="314" t="s">
        <v>4736</v>
      </c>
      <c r="F648" s="283" t="s">
        <v>4737</v>
      </c>
      <c r="G648" s="314" t="s">
        <v>4738</v>
      </c>
      <c r="H648" s="283" t="s">
        <v>4739</v>
      </c>
      <c r="I648" s="223"/>
      <c r="J648" s="225"/>
      <c r="K648" s="350" t="s">
        <v>4740</v>
      </c>
      <c r="L648" s="283" t="s">
        <v>4741</v>
      </c>
      <c r="M648" s="167" t="s">
        <v>4742</v>
      </c>
      <c r="N648" s="162">
        <v>110</v>
      </c>
      <c r="O648" s="162">
        <v>40</v>
      </c>
      <c r="P648" s="224">
        <v>60</v>
      </c>
      <c r="Q648" s="224">
        <v>60</v>
      </c>
      <c r="R648" s="224">
        <v>70</v>
      </c>
      <c r="S648" s="224">
        <v>80</v>
      </c>
      <c r="T648" s="206" t="s">
        <v>321</v>
      </c>
      <c r="U648" s="283" t="s">
        <v>1066</v>
      </c>
      <c r="V648" s="283" t="s">
        <v>4743</v>
      </c>
      <c r="W648" s="283">
        <v>1</v>
      </c>
      <c r="X648" s="283">
        <v>0</v>
      </c>
      <c r="Y648" s="283">
        <v>0</v>
      </c>
      <c r="Z648" s="283">
        <v>1</v>
      </c>
      <c r="AA648" s="283">
        <v>1</v>
      </c>
      <c r="AB648" s="283">
        <v>1</v>
      </c>
      <c r="AC648" s="316">
        <v>0</v>
      </c>
      <c r="AD648" s="316">
        <v>1</v>
      </c>
      <c r="AE648" s="302">
        <f t="shared" si="22"/>
        <v>0.625</v>
      </c>
      <c r="AF648" s="310"/>
      <c r="AG648" s="17">
        <v>0</v>
      </c>
      <c r="AH648" s="310">
        <v>1.7</v>
      </c>
      <c r="AI648" s="310">
        <v>2.2999999999999998</v>
      </c>
      <c r="AJ648" s="310">
        <v>2.2999999999999998</v>
      </c>
      <c r="AK648" s="317">
        <v>2.6</v>
      </c>
      <c r="AL648" s="317">
        <v>2.4</v>
      </c>
      <c r="AM648" s="147">
        <f t="shared" si="21"/>
        <v>5</v>
      </c>
      <c r="AN648" s="283" t="s">
        <v>4497</v>
      </c>
      <c r="AO648" s="18" t="s">
        <v>4499</v>
      </c>
      <c r="AP648" s="345" t="s">
        <v>4657</v>
      </c>
    </row>
    <row r="649" spans="1:42" x14ac:dyDescent="0.3">
      <c r="A649" s="314" t="s">
        <v>1447</v>
      </c>
      <c r="B649" s="283" t="s">
        <v>4485</v>
      </c>
      <c r="C649" s="314" t="s">
        <v>4487</v>
      </c>
      <c r="D649" s="283" t="s">
        <v>4488</v>
      </c>
      <c r="E649" s="314" t="s">
        <v>4736</v>
      </c>
      <c r="F649" s="283" t="s">
        <v>4737</v>
      </c>
      <c r="G649" s="314" t="s">
        <v>4738</v>
      </c>
      <c r="H649" s="283" t="s">
        <v>4739</v>
      </c>
      <c r="I649" s="223"/>
      <c r="J649" s="225"/>
      <c r="K649" s="350" t="s">
        <v>4740</v>
      </c>
      <c r="L649" s="283" t="s">
        <v>4741</v>
      </c>
      <c r="M649" s="167" t="s">
        <v>4744</v>
      </c>
      <c r="N649" s="162">
        <v>0</v>
      </c>
      <c r="O649" s="162">
        <v>0</v>
      </c>
      <c r="P649" s="224">
        <v>1</v>
      </c>
      <c r="Q649" s="224">
        <v>1</v>
      </c>
      <c r="R649" s="224">
        <v>0</v>
      </c>
      <c r="S649" s="224">
        <v>1</v>
      </c>
      <c r="T649" s="206" t="s">
        <v>321</v>
      </c>
      <c r="U649" s="283" t="s">
        <v>1066</v>
      </c>
      <c r="V649" s="283" t="s">
        <v>4745</v>
      </c>
      <c r="W649" s="283">
        <v>1</v>
      </c>
      <c r="X649" s="283">
        <v>0</v>
      </c>
      <c r="Y649" s="283">
        <v>0</v>
      </c>
      <c r="Z649" s="283">
        <v>1</v>
      </c>
      <c r="AA649" s="283">
        <v>1</v>
      </c>
      <c r="AB649" s="283">
        <v>1</v>
      </c>
      <c r="AC649" s="316">
        <v>0</v>
      </c>
      <c r="AD649" s="316">
        <v>1</v>
      </c>
      <c r="AE649" s="302">
        <f t="shared" si="22"/>
        <v>0.625</v>
      </c>
      <c r="AF649" s="17"/>
      <c r="AG649" s="17">
        <v>0</v>
      </c>
      <c r="AH649" s="17">
        <v>0</v>
      </c>
      <c r="AI649" s="17">
        <v>0</v>
      </c>
      <c r="AJ649" s="17">
        <v>0</v>
      </c>
      <c r="AK649" s="153">
        <v>0</v>
      </c>
      <c r="AL649" s="154">
        <v>2</v>
      </c>
      <c r="AM649" s="147">
        <f t="shared" si="21"/>
        <v>2</v>
      </c>
      <c r="AN649" s="283" t="s">
        <v>1035</v>
      </c>
      <c r="AO649" s="18" t="s">
        <v>1037</v>
      </c>
      <c r="AP649" s="345" t="s">
        <v>4501</v>
      </c>
    </row>
    <row r="650" spans="1:42" x14ac:dyDescent="0.3">
      <c r="A650" s="314" t="s">
        <v>1447</v>
      </c>
      <c r="B650" s="283" t="s">
        <v>4485</v>
      </c>
      <c r="C650" s="314" t="s">
        <v>4487</v>
      </c>
      <c r="D650" s="283" t="s">
        <v>4488</v>
      </c>
      <c r="E650" s="314" t="s">
        <v>4736</v>
      </c>
      <c r="F650" s="283" t="s">
        <v>4737</v>
      </c>
      <c r="G650" s="314" t="s">
        <v>4738</v>
      </c>
      <c r="H650" s="283" t="s">
        <v>4739</v>
      </c>
      <c r="I650" s="223"/>
      <c r="J650" s="225"/>
      <c r="K650" s="350" t="s">
        <v>4740</v>
      </c>
      <c r="L650" s="283" t="s">
        <v>4741</v>
      </c>
      <c r="M650" s="167" t="s">
        <v>4746</v>
      </c>
      <c r="N650" s="162" t="s">
        <v>271</v>
      </c>
      <c r="O650" s="162">
        <v>10</v>
      </c>
      <c r="P650" s="224">
        <v>10</v>
      </c>
      <c r="Q650" s="224">
        <v>10</v>
      </c>
      <c r="R650" s="224">
        <v>0</v>
      </c>
      <c r="S650" s="224">
        <v>10</v>
      </c>
      <c r="T650" s="206" t="s">
        <v>321</v>
      </c>
      <c r="U650" s="283" t="s">
        <v>1066</v>
      </c>
      <c r="V650" s="283" t="s">
        <v>4747</v>
      </c>
      <c r="W650" s="283">
        <v>1</v>
      </c>
      <c r="X650" s="283">
        <v>0</v>
      </c>
      <c r="Y650" s="283">
        <v>0</v>
      </c>
      <c r="Z650" s="283">
        <v>1</v>
      </c>
      <c r="AA650" s="283">
        <v>1</v>
      </c>
      <c r="AB650" s="283">
        <v>1</v>
      </c>
      <c r="AC650" s="316">
        <v>0</v>
      </c>
      <c r="AD650" s="316">
        <v>1</v>
      </c>
      <c r="AE650" s="302">
        <f t="shared" si="22"/>
        <v>0.625</v>
      </c>
      <c r="AF650" s="17"/>
      <c r="AG650" s="17">
        <v>0</v>
      </c>
      <c r="AH650" s="17">
        <v>0</v>
      </c>
      <c r="AI650" s="17">
        <v>0</v>
      </c>
      <c r="AJ650" s="17">
        <v>0</v>
      </c>
      <c r="AK650" s="153">
        <v>0</v>
      </c>
      <c r="AL650" s="154">
        <v>2</v>
      </c>
      <c r="AM650" s="147">
        <f t="shared" ref="AM650:AM677" si="23">SUM(AK650:AL650)</f>
        <v>2</v>
      </c>
      <c r="AN650" s="283" t="s">
        <v>4497</v>
      </c>
      <c r="AO650" s="18" t="s">
        <v>4499</v>
      </c>
      <c r="AP650" s="345" t="s">
        <v>4748</v>
      </c>
    </row>
    <row r="651" spans="1:42" x14ac:dyDescent="0.3">
      <c r="A651" s="314" t="s">
        <v>1447</v>
      </c>
      <c r="B651" s="283" t="s">
        <v>4485</v>
      </c>
      <c r="C651" s="314" t="s">
        <v>4487</v>
      </c>
      <c r="D651" s="283" t="s">
        <v>4488</v>
      </c>
      <c r="E651" s="314" t="s">
        <v>4736</v>
      </c>
      <c r="F651" s="283" t="s">
        <v>4737</v>
      </c>
      <c r="G651" s="314" t="s">
        <v>4749</v>
      </c>
      <c r="H651" s="283" t="s">
        <v>4750</v>
      </c>
      <c r="I651" s="223"/>
      <c r="J651" s="225"/>
      <c r="K651" s="350" t="s">
        <v>4751</v>
      </c>
      <c r="L651" s="283" t="s">
        <v>4752</v>
      </c>
      <c r="M651" s="167" t="s">
        <v>4753</v>
      </c>
      <c r="N651" s="162" t="s">
        <v>271</v>
      </c>
      <c r="O651" s="162">
        <v>25</v>
      </c>
      <c r="P651" s="224">
        <v>50</v>
      </c>
      <c r="Q651" s="224">
        <v>75</v>
      </c>
      <c r="R651" s="224">
        <v>0</v>
      </c>
      <c r="S651" s="224">
        <v>1</v>
      </c>
      <c r="T651" s="223" t="s">
        <v>4754</v>
      </c>
      <c r="U651" s="283" t="e">
        <v>#N/A</v>
      </c>
      <c r="V651" s="283" t="s">
        <v>4755</v>
      </c>
      <c r="W651" s="283">
        <v>1</v>
      </c>
      <c r="X651" s="283">
        <v>0</v>
      </c>
      <c r="Y651" s="283">
        <v>0</v>
      </c>
      <c r="Z651" s="283">
        <v>1</v>
      </c>
      <c r="AA651" s="283">
        <v>1</v>
      </c>
      <c r="AB651" s="283">
        <v>1</v>
      </c>
      <c r="AC651" s="316">
        <v>0</v>
      </c>
      <c r="AD651" s="316">
        <v>1</v>
      </c>
      <c r="AE651" s="302">
        <f t="shared" si="22"/>
        <v>0.625</v>
      </c>
      <c r="AF651" s="310"/>
      <c r="AG651" s="17">
        <v>0</v>
      </c>
      <c r="AH651" s="310">
        <v>0.5</v>
      </c>
      <c r="AI651" s="310">
        <v>0.5</v>
      </c>
      <c r="AJ651" s="310">
        <v>0.5</v>
      </c>
      <c r="AK651" s="153">
        <v>0</v>
      </c>
      <c r="AL651" s="154">
        <v>0.5</v>
      </c>
      <c r="AM651" s="147">
        <f t="shared" si="23"/>
        <v>0.5</v>
      </c>
      <c r="AN651" s="283" t="s">
        <v>321</v>
      </c>
      <c r="AO651" s="18" t="s">
        <v>1066</v>
      </c>
      <c r="AP651" s="345" t="s">
        <v>4756</v>
      </c>
    </row>
    <row r="652" spans="1:42" x14ac:dyDescent="0.3">
      <c r="A652" s="314" t="s">
        <v>1447</v>
      </c>
      <c r="B652" s="283" t="s">
        <v>4485</v>
      </c>
      <c r="C652" s="314" t="s">
        <v>4487</v>
      </c>
      <c r="D652" s="283" t="s">
        <v>4488</v>
      </c>
      <c r="E652" s="314" t="s">
        <v>4736</v>
      </c>
      <c r="F652" s="283" t="s">
        <v>4737</v>
      </c>
      <c r="G652" s="314" t="s">
        <v>4749</v>
      </c>
      <c r="H652" s="283" t="s">
        <v>4750</v>
      </c>
      <c r="I652" s="223"/>
      <c r="J652" s="225"/>
      <c r="K652" s="350" t="s">
        <v>4751</v>
      </c>
      <c r="L652" s="283" t="s">
        <v>4752</v>
      </c>
      <c r="M652" s="167"/>
      <c r="N652" s="167"/>
      <c r="O652" s="167"/>
      <c r="P652" s="211"/>
      <c r="Q652" s="211"/>
      <c r="R652" s="211"/>
      <c r="S652" s="211"/>
      <c r="T652" s="206"/>
      <c r="U652" s="283" t="e">
        <v>#N/A</v>
      </c>
      <c r="V652" s="283" t="s">
        <v>4757</v>
      </c>
      <c r="W652" s="283">
        <v>0</v>
      </c>
      <c r="X652" s="283">
        <v>0</v>
      </c>
      <c r="Y652" s="283">
        <v>0</v>
      </c>
      <c r="Z652" s="283">
        <v>0</v>
      </c>
      <c r="AA652" s="283">
        <v>0</v>
      </c>
      <c r="AB652" s="283">
        <v>0</v>
      </c>
      <c r="AC652" s="316">
        <v>0</v>
      </c>
      <c r="AD652" s="316">
        <v>0</v>
      </c>
      <c r="AE652" s="302">
        <f t="shared" si="22"/>
        <v>0</v>
      </c>
      <c r="AF652" s="310"/>
      <c r="AG652" s="17">
        <v>0</v>
      </c>
      <c r="AH652" s="310">
        <v>0.1</v>
      </c>
      <c r="AI652" s="310">
        <v>0.2</v>
      </c>
      <c r="AJ652" s="310">
        <v>1</v>
      </c>
      <c r="AK652" s="317">
        <v>2</v>
      </c>
      <c r="AL652" s="317">
        <v>3</v>
      </c>
      <c r="AM652" s="147">
        <f t="shared" si="23"/>
        <v>5</v>
      </c>
      <c r="AN652" s="283" t="s">
        <v>321</v>
      </c>
      <c r="AO652" s="18" t="s">
        <v>1066</v>
      </c>
      <c r="AP652" s="345" t="s">
        <v>4555</v>
      </c>
    </row>
    <row r="653" spans="1:42" x14ac:dyDescent="0.3">
      <c r="A653" s="314" t="s">
        <v>1447</v>
      </c>
      <c r="B653" s="283" t="s">
        <v>4485</v>
      </c>
      <c r="C653" s="314" t="s">
        <v>4487</v>
      </c>
      <c r="D653" s="283" t="s">
        <v>4488</v>
      </c>
      <c r="E653" s="314" t="s">
        <v>4736</v>
      </c>
      <c r="F653" s="283" t="s">
        <v>4737</v>
      </c>
      <c r="G653" s="314" t="s">
        <v>4749</v>
      </c>
      <c r="H653" s="283" t="s">
        <v>4750</v>
      </c>
      <c r="I653" s="223"/>
      <c r="J653" s="225"/>
      <c r="K653" s="350" t="s">
        <v>4751</v>
      </c>
      <c r="L653" s="283" t="s">
        <v>4752</v>
      </c>
      <c r="M653" s="167"/>
      <c r="N653" s="167"/>
      <c r="O653" s="167"/>
      <c r="P653" s="211"/>
      <c r="Q653" s="211"/>
      <c r="R653" s="211">
        <v>1</v>
      </c>
      <c r="S653" s="211">
        <v>1</v>
      </c>
      <c r="T653" s="206"/>
      <c r="U653" s="283" t="e">
        <v>#N/A</v>
      </c>
      <c r="V653" s="283" t="s">
        <v>4758</v>
      </c>
      <c r="W653" s="283">
        <v>1</v>
      </c>
      <c r="X653" s="283">
        <v>0</v>
      </c>
      <c r="Y653" s="283">
        <v>0</v>
      </c>
      <c r="Z653" s="283">
        <v>1</v>
      </c>
      <c r="AA653" s="283">
        <v>1</v>
      </c>
      <c r="AB653" s="283">
        <v>1</v>
      </c>
      <c r="AC653" s="316">
        <v>0</v>
      </c>
      <c r="AD653" s="316">
        <v>1</v>
      </c>
      <c r="AE653" s="302">
        <f t="shared" ref="AE653:AE677" si="24">SUM(W653:AD653)/8</f>
        <v>0.625</v>
      </c>
      <c r="AF653" s="310"/>
      <c r="AG653" s="17">
        <v>0</v>
      </c>
      <c r="AH653" s="310">
        <v>0.2</v>
      </c>
      <c r="AI653" s="310">
        <v>0.2</v>
      </c>
      <c r="AJ653" s="310">
        <v>0.2</v>
      </c>
      <c r="AK653" s="317">
        <v>0.2</v>
      </c>
      <c r="AL653" s="317">
        <v>0.2</v>
      </c>
      <c r="AM653" s="147">
        <f t="shared" si="23"/>
        <v>0.4</v>
      </c>
      <c r="AN653" s="283" t="s">
        <v>321</v>
      </c>
      <c r="AO653" s="18" t="s">
        <v>1066</v>
      </c>
      <c r="AP653" s="345" t="s">
        <v>4555</v>
      </c>
    </row>
    <row r="654" spans="1:42" x14ac:dyDescent="0.3">
      <c r="A654" s="314" t="s">
        <v>1447</v>
      </c>
      <c r="B654" s="283" t="s">
        <v>4485</v>
      </c>
      <c r="C654" s="314" t="s">
        <v>4487</v>
      </c>
      <c r="D654" s="283" t="s">
        <v>4488</v>
      </c>
      <c r="E654" s="314" t="s">
        <v>4736</v>
      </c>
      <c r="F654" s="283" t="s">
        <v>4737</v>
      </c>
      <c r="G654" s="314" t="s">
        <v>4749</v>
      </c>
      <c r="H654" s="283" t="s">
        <v>4750</v>
      </c>
      <c r="I654" s="223"/>
      <c r="J654" s="225"/>
      <c r="K654" s="350" t="s">
        <v>4751</v>
      </c>
      <c r="L654" s="283" t="s">
        <v>4752</v>
      </c>
      <c r="M654" s="167"/>
      <c r="N654" s="167"/>
      <c r="O654" s="167"/>
      <c r="P654" s="211"/>
      <c r="Q654" s="211"/>
      <c r="R654" s="211">
        <v>5</v>
      </c>
      <c r="S654" s="211">
        <v>10</v>
      </c>
      <c r="T654" s="206"/>
      <c r="U654" s="283" t="e">
        <v>#N/A</v>
      </c>
      <c r="V654" s="283" t="s">
        <v>4759</v>
      </c>
      <c r="W654" s="283">
        <v>1</v>
      </c>
      <c r="X654" s="283">
        <v>0</v>
      </c>
      <c r="Y654" s="283">
        <v>0</v>
      </c>
      <c r="Z654" s="283">
        <v>1</v>
      </c>
      <c r="AA654" s="283">
        <v>1</v>
      </c>
      <c r="AB654" s="283">
        <v>1</v>
      </c>
      <c r="AC654" s="316">
        <v>1</v>
      </c>
      <c r="AD654" s="316">
        <v>1</v>
      </c>
      <c r="AE654" s="302">
        <f t="shared" si="24"/>
        <v>0.75</v>
      </c>
      <c r="AF654" s="310"/>
      <c r="AG654" s="17">
        <v>0</v>
      </c>
      <c r="AH654" s="310">
        <v>0</v>
      </c>
      <c r="AI654" s="310">
        <v>0</v>
      </c>
      <c r="AJ654" s="310">
        <v>0.2</v>
      </c>
      <c r="AK654" s="317">
        <v>0.5</v>
      </c>
      <c r="AL654" s="317">
        <v>0.5</v>
      </c>
      <c r="AM654" s="147">
        <f t="shared" si="23"/>
        <v>1</v>
      </c>
      <c r="AN654" s="283" t="s">
        <v>1035</v>
      </c>
      <c r="AO654" s="18" t="s">
        <v>1037</v>
      </c>
      <c r="AP654" s="345" t="s">
        <v>4760</v>
      </c>
    </row>
    <row r="655" spans="1:42" x14ac:dyDescent="0.3">
      <c r="A655" s="314" t="s">
        <v>1447</v>
      </c>
      <c r="B655" s="283" t="s">
        <v>4485</v>
      </c>
      <c r="C655" s="314" t="s">
        <v>4487</v>
      </c>
      <c r="D655" s="283" t="s">
        <v>4488</v>
      </c>
      <c r="E655" s="314" t="s">
        <v>4736</v>
      </c>
      <c r="F655" s="283" t="s">
        <v>4737</v>
      </c>
      <c r="G655" s="314" t="s">
        <v>4761</v>
      </c>
      <c r="H655" s="283" t="s">
        <v>4762</v>
      </c>
      <c r="I655" s="223"/>
      <c r="J655" s="225"/>
      <c r="K655" s="350" t="s">
        <v>4763</v>
      </c>
      <c r="L655" s="283" t="s">
        <v>4764</v>
      </c>
      <c r="M655" s="162" t="s">
        <v>4765</v>
      </c>
      <c r="N655" s="162">
        <v>0</v>
      </c>
      <c r="O655" s="162">
        <v>1</v>
      </c>
      <c r="P655" s="224" t="s">
        <v>271</v>
      </c>
      <c r="Q655" s="224" t="s">
        <v>271</v>
      </c>
      <c r="R655" s="224">
        <v>0</v>
      </c>
      <c r="S655" s="224">
        <v>1</v>
      </c>
      <c r="T655" s="223" t="s">
        <v>4497</v>
      </c>
      <c r="U655" s="283" t="s">
        <v>4499</v>
      </c>
      <c r="V655" s="283" t="s">
        <v>4766</v>
      </c>
      <c r="W655" s="283">
        <v>1</v>
      </c>
      <c r="X655" s="283">
        <v>0</v>
      </c>
      <c r="Y655" s="283">
        <v>0</v>
      </c>
      <c r="Z655" s="283">
        <v>1</v>
      </c>
      <c r="AA655" s="283">
        <v>1</v>
      </c>
      <c r="AB655" s="283">
        <v>1</v>
      </c>
      <c r="AC655" s="316">
        <v>0</v>
      </c>
      <c r="AD655" s="316">
        <v>1</v>
      </c>
      <c r="AE655" s="302">
        <f t="shared" si="24"/>
        <v>0.625</v>
      </c>
      <c r="AF655" s="17"/>
      <c r="AG655" s="17">
        <v>0</v>
      </c>
      <c r="AH655" s="17">
        <v>0</v>
      </c>
      <c r="AI655" s="310">
        <v>0.3</v>
      </c>
      <c r="AJ655" s="310">
        <v>0.3</v>
      </c>
      <c r="AK655" s="153">
        <v>0</v>
      </c>
      <c r="AL655" s="154">
        <v>3</v>
      </c>
      <c r="AM655" s="147">
        <f t="shared" si="23"/>
        <v>3</v>
      </c>
      <c r="AN655" s="283" t="s">
        <v>4497</v>
      </c>
      <c r="AO655" s="18" t="s">
        <v>4499</v>
      </c>
      <c r="AP655" s="345" t="s">
        <v>4767</v>
      </c>
    </row>
    <row r="656" spans="1:42" x14ac:dyDescent="0.3">
      <c r="A656" s="314" t="s">
        <v>1447</v>
      </c>
      <c r="B656" s="283" t="s">
        <v>4485</v>
      </c>
      <c r="C656" s="314" t="s">
        <v>4487</v>
      </c>
      <c r="D656" s="283" t="s">
        <v>4488</v>
      </c>
      <c r="E656" s="314" t="s">
        <v>4736</v>
      </c>
      <c r="F656" s="283" t="s">
        <v>4737</v>
      </c>
      <c r="G656" s="314" t="s">
        <v>4761</v>
      </c>
      <c r="H656" s="283" t="s">
        <v>4762</v>
      </c>
      <c r="I656" s="223"/>
      <c r="J656" s="225"/>
      <c r="K656" s="350" t="s">
        <v>4763</v>
      </c>
      <c r="L656" s="283" t="s">
        <v>4764</v>
      </c>
      <c r="M656" s="167" t="s">
        <v>4768</v>
      </c>
      <c r="N656" s="162">
        <v>0</v>
      </c>
      <c r="O656" s="162">
        <v>1</v>
      </c>
      <c r="P656" s="224">
        <v>1</v>
      </c>
      <c r="Q656" s="224">
        <v>1</v>
      </c>
      <c r="R656" s="224">
        <v>1</v>
      </c>
      <c r="S656" s="224">
        <v>1</v>
      </c>
      <c r="T656" s="223" t="s">
        <v>4497</v>
      </c>
      <c r="U656" s="283" t="s">
        <v>4499</v>
      </c>
      <c r="V656" s="283" t="s">
        <v>4769</v>
      </c>
      <c r="W656" s="283">
        <v>1</v>
      </c>
      <c r="X656" s="283">
        <v>0</v>
      </c>
      <c r="Y656" s="283">
        <v>0</v>
      </c>
      <c r="Z656" s="283">
        <v>1</v>
      </c>
      <c r="AA656" s="283">
        <v>1</v>
      </c>
      <c r="AB656" s="283">
        <v>0</v>
      </c>
      <c r="AC656" s="316">
        <v>0</v>
      </c>
      <c r="AD656" s="316">
        <v>1</v>
      </c>
      <c r="AE656" s="302">
        <f t="shared" si="24"/>
        <v>0.5</v>
      </c>
      <c r="AF656" s="310"/>
      <c r="AG656" s="17">
        <v>0</v>
      </c>
      <c r="AH656" s="310">
        <v>0</v>
      </c>
      <c r="AI656" s="310">
        <v>0</v>
      </c>
      <c r="AJ656" s="310">
        <v>0</v>
      </c>
      <c r="AK656" s="317">
        <v>2</v>
      </c>
      <c r="AL656" s="317">
        <v>3</v>
      </c>
      <c r="AM656" s="147">
        <f t="shared" si="23"/>
        <v>5</v>
      </c>
      <c r="AN656" s="283" t="s">
        <v>4497</v>
      </c>
      <c r="AO656" s="18" t="s">
        <v>4499</v>
      </c>
      <c r="AP656" s="345" t="s">
        <v>4767</v>
      </c>
    </row>
    <row r="657" spans="1:42" x14ac:dyDescent="0.3">
      <c r="A657" s="314" t="s">
        <v>1447</v>
      </c>
      <c r="B657" s="283" t="s">
        <v>4485</v>
      </c>
      <c r="C657" s="314" t="s">
        <v>4487</v>
      </c>
      <c r="D657" s="283" t="s">
        <v>4488</v>
      </c>
      <c r="E657" s="314" t="s">
        <v>4736</v>
      </c>
      <c r="F657" s="283" t="s">
        <v>4737</v>
      </c>
      <c r="G657" s="314" t="s">
        <v>4761</v>
      </c>
      <c r="H657" s="283" t="s">
        <v>4762</v>
      </c>
      <c r="I657" s="223"/>
      <c r="J657" s="225"/>
      <c r="K657" s="350" t="s">
        <v>4763</v>
      </c>
      <c r="L657" s="283" t="s">
        <v>4764</v>
      </c>
      <c r="M657" s="167"/>
      <c r="N657" s="162"/>
      <c r="O657" s="162"/>
      <c r="P657" s="224"/>
      <c r="Q657" s="229"/>
      <c r="R657" s="229"/>
      <c r="S657" s="229"/>
      <c r="T657" s="206"/>
      <c r="U657" s="283" t="e">
        <v>#N/A</v>
      </c>
      <c r="V657" s="283" t="s">
        <v>4770</v>
      </c>
      <c r="W657" s="283">
        <v>1</v>
      </c>
      <c r="X657" s="283">
        <v>0</v>
      </c>
      <c r="Y657" s="283">
        <v>0</v>
      </c>
      <c r="Z657" s="283">
        <v>1</v>
      </c>
      <c r="AA657" s="283">
        <v>1</v>
      </c>
      <c r="AB657" s="283">
        <v>0</v>
      </c>
      <c r="AC657" s="316">
        <v>0</v>
      </c>
      <c r="AD657" s="316">
        <v>1</v>
      </c>
      <c r="AE657" s="302">
        <f t="shared" si="24"/>
        <v>0.5</v>
      </c>
      <c r="AF657" s="310"/>
      <c r="AG657" s="17">
        <v>0</v>
      </c>
      <c r="AH657" s="310">
        <v>0.1</v>
      </c>
      <c r="AI657" s="310">
        <v>0.1</v>
      </c>
      <c r="AJ657" s="310">
        <v>0.1</v>
      </c>
      <c r="AK657" s="317">
        <v>0.1</v>
      </c>
      <c r="AL657" s="317">
        <v>0.1</v>
      </c>
      <c r="AM657" s="147">
        <f t="shared" si="23"/>
        <v>0.2</v>
      </c>
      <c r="AN657" s="283" t="s">
        <v>4497</v>
      </c>
      <c r="AO657" s="18" t="s">
        <v>4499</v>
      </c>
      <c r="AP657" s="345" t="s">
        <v>4771</v>
      </c>
    </row>
    <row r="658" spans="1:42" x14ac:dyDescent="0.3">
      <c r="A658" s="314" t="s">
        <v>1447</v>
      </c>
      <c r="B658" s="283" t="s">
        <v>4485</v>
      </c>
      <c r="C658" s="314" t="s">
        <v>4487</v>
      </c>
      <c r="D658" s="283" t="s">
        <v>4488</v>
      </c>
      <c r="E658" s="314" t="s">
        <v>4736</v>
      </c>
      <c r="F658" s="283" t="s">
        <v>4737</v>
      </c>
      <c r="G658" s="314" t="s">
        <v>4772</v>
      </c>
      <c r="H658" s="283" t="s">
        <v>4773</v>
      </c>
      <c r="I658" s="223"/>
      <c r="J658" s="225"/>
      <c r="K658" s="350" t="s">
        <v>4774</v>
      </c>
      <c r="L658" s="283" t="s">
        <v>4775</v>
      </c>
      <c r="M658" s="1" t="s">
        <v>4776</v>
      </c>
      <c r="N658" s="162">
        <v>5</v>
      </c>
      <c r="O658" s="162">
        <v>10</v>
      </c>
      <c r="P658" s="224">
        <v>20</v>
      </c>
      <c r="Q658" s="224">
        <v>20</v>
      </c>
      <c r="R658" s="224">
        <v>1</v>
      </c>
      <c r="S658" s="224">
        <v>2</v>
      </c>
      <c r="T658" s="223" t="s">
        <v>4497</v>
      </c>
      <c r="U658" s="283" t="s">
        <v>4499</v>
      </c>
      <c r="V658" s="283" t="s">
        <v>4777</v>
      </c>
      <c r="W658" s="283">
        <v>1</v>
      </c>
      <c r="X658" s="283">
        <v>0</v>
      </c>
      <c r="Y658" s="283">
        <v>0</v>
      </c>
      <c r="Z658" s="283">
        <v>1</v>
      </c>
      <c r="AA658" s="283">
        <v>1</v>
      </c>
      <c r="AB658" s="283">
        <v>1</v>
      </c>
      <c r="AC658" s="316">
        <v>0</v>
      </c>
      <c r="AD658" s="316">
        <v>1</v>
      </c>
      <c r="AE658" s="302">
        <f t="shared" si="24"/>
        <v>0.625</v>
      </c>
      <c r="AF658" s="310"/>
      <c r="AG658" s="17">
        <v>0</v>
      </c>
      <c r="AH658" s="310">
        <v>0</v>
      </c>
      <c r="AI658" s="310">
        <v>0</v>
      </c>
      <c r="AJ658" s="310">
        <v>0</v>
      </c>
      <c r="AK658" s="317">
        <v>0.2</v>
      </c>
      <c r="AL658" s="154">
        <v>0.3</v>
      </c>
      <c r="AM658" s="147">
        <f t="shared" si="23"/>
        <v>0.5</v>
      </c>
      <c r="AN658" s="283" t="s">
        <v>1035</v>
      </c>
      <c r="AO658" s="18" t="s">
        <v>1037</v>
      </c>
      <c r="AP658" s="345" t="s">
        <v>4501</v>
      </c>
    </row>
    <row r="659" spans="1:42" x14ac:dyDescent="0.3">
      <c r="A659" s="314" t="s">
        <v>1447</v>
      </c>
      <c r="B659" s="283" t="s">
        <v>4485</v>
      </c>
      <c r="C659" s="314" t="s">
        <v>4487</v>
      </c>
      <c r="D659" s="283" t="s">
        <v>4488</v>
      </c>
      <c r="E659" s="314" t="s">
        <v>4736</v>
      </c>
      <c r="F659" s="283" t="s">
        <v>4737</v>
      </c>
      <c r="G659" s="314" t="s">
        <v>4772</v>
      </c>
      <c r="H659" s="283" t="s">
        <v>4773</v>
      </c>
      <c r="I659" s="223"/>
      <c r="J659" s="225"/>
      <c r="K659" s="350" t="s">
        <v>4774</v>
      </c>
      <c r="L659" s="283" t="s">
        <v>4775</v>
      </c>
      <c r="N659" s="162"/>
      <c r="O659" s="162"/>
      <c r="P659" s="224"/>
      <c r="Q659" s="224"/>
      <c r="R659" s="224">
        <v>0</v>
      </c>
      <c r="S659" s="224">
        <v>1</v>
      </c>
      <c r="T659" s="223"/>
      <c r="U659" s="283" t="e">
        <v>#N/A</v>
      </c>
      <c r="V659" s="283" t="s">
        <v>4773</v>
      </c>
      <c r="W659" s="283">
        <v>1</v>
      </c>
      <c r="X659" s="283">
        <v>0</v>
      </c>
      <c r="Y659" s="283">
        <v>0</v>
      </c>
      <c r="Z659" s="283">
        <v>1</v>
      </c>
      <c r="AA659" s="283">
        <v>1</v>
      </c>
      <c r="AB659" s="283">
        <v>1</v>
      </c>
      <c r="AC659" s="316">
        <v>0</v>
      </c>
      <c r="AD659" s="316">
        <v>1</v>
      </c>
      <c r="AE659" s="302">
        <f t="shared" si="24"/>
        <v>0.625</v>
      </c>
      <c r="AF659" s="17"/>
      <c r="AG659" s="17">
        <v>0</v>
      </c>
      <c r="AH659" s="17">
        <v>0</v>
      </c>
      <c r="AI659" s="17">
        <v>0</v>
      </c>
      <c r="AJ659" s="310">
        <v>0</v>
      </c>
      <c r="AK659" s="153">
        <v>0</v>
      </c>
      <c r="AL659" s="317">
        <v>0.1</v>
      </c>
      <c r="AM659" s="147">
        <f t="shared" si="23"/>
        <v>0.1</v>
      </c>
      <c r="AN659" s="283" t="s">
        <v>4497</v>
      </c>
      <c r="AO659" s="18" t="s">
        <v>4499</v>
      </c>
      <c r="AP659" s="345" t="s">
        <v>4657</v>
      </c>
    </row>
    <row r="660" spans="1:42" x14ac:dyDescent="0.3">
      <c r="A660" s="314" t="s">
        <v>1447</v>
      </c>
      <c r="B660" s="283" t="s">
        <v>4485</v>
      </c>
      <c r="C660" s="314" t="s">
        <v>4487</v>
      </c>
      <c r="D660" s="283" t="s">
        <v>4488</v>
      </c>
      <c r="E660" s="314" t="s">
        <v>4736</v>
      </c>
      <c r="F660" s="283" t="s">
        <v>4737</v>
      </c>
      <c r="G660" s="314" t="s">
        <v>4778</v>
      </c>
      <c r="H660" s="283" t="s">
        <v>4779</v>
      </c>
      <c r="I660" s="223"/>
      <c r="J660" s="225"/>
      <c r="K660" s="350" t="s">
        <v>4780</v>
      </c>
      <c r="L660" s="283" t="s">
        <v>4781</v>
      </c>
      <c r="M660" s="1" t="s">
        <v>4782</v>
      </c>
      <c r="N660" s="162">
        <v>0</v>
      </c>
      <c r="O660" s="162">
        <v>1</v>
      </c>
      <c r="P660" s="224" t="s">
        <v>271</v>
      </c>
      <c r="Q660" s="224" t="s">
        <v>271</v>
      </c>
      <c r="R660" s="224" t="s">
        <v>271</v>
      </c>
      <c r="S660" s="224" t="s">
        <v>271</v>
      </c>
      <c r="T660" s="223" t="s">
        <v>4754</v>
      </c>
      <c r="U660" s="283" t="e">
        <v>#N/A</v>
      </c>
      <c r="V660" s="283" t="s">
        <v>4783</v>
      </c>
      <c r="W660" s="283">
        <v>1</v>
      </c>
      <c r="X660" s="283">
        <v>0</v>
      </c>
      <c r="Y660" s="283">
        <v>0</v>
      </c>
      <c r="Z660" s="283">
        <v>1</v>
      </c>
      <c r="AA660" s="283">
        <v>1</v>
      </c>
      <c r="AB660" s="283">
        <v>0</v>
      </c>
      <c r="AC660" s="316">
        <v>0</v>
      </c>
      <c r="AD660" s="316">
        <v>1</v>
      </c>
      <c r="AE660" s="302">
        <f t="shared" si="24"/>
        <v>0.5</v>
      </c>
      <c r="AF660" s="310"/>
      <c r="AG660" s="17">
        <v>0</v>
      </c>
      <c r="AH660" s="310">
        <v>0</v>
      </c>
      <c r="AI660" s="310">
        <v>0</v>
      </c>
      <c r="AJ660" s="310">
        <v>0.3</v>
      </c>
      <c r="AK660" s="317">
        <v>1</v>
      </c>
      <c r="AL660" s="317">
        <v>0</v>
      </c>
      <c r="AM660" s="147">
        <f t="shared" si="23"/>
        <v>1</v>
      </c>
      <c r="AN660" s="283" t="s">
        <v>3605</v>
      </c>
      <c r="AO660" s="18" t="s">
        <v>4178</v>
      </c>
      <c r="AP660" s="345" t="s">
        <v>4528</v>
      </c>
    </row>
    <row r="661" spans="1:42" x14ac:dyDescent="0.3">
      <c r="A661" s="314" t="s">
        <v>1447</v>
      </c>
      <c r="B661" s="283" t="s">
        <v>4485</v>
      </c>
      <c r="C661" s="314" t="s">
        <v>4487</v>
      </c>
      <c r="D661" s="283" t="s">
        <v>4488</v>
      </c>
      <c r="E661" s="314" t="s">
        <v>4736</v>
      </c>
      <c r="F661" s="283" t="s">
        <v>4737</v>
      </c>
      <c r="G661" s="314" t="s">
        <v>4778</v>
      </c>
      <c r="H661" s="283" t="s">
        <v>4779</v>
      </c>
      <c r="I661" s="223"/>
      <c r="J661" s="225"/>
      <c r="K661" s="350" t="s">
        <v>4780</v>
      </c>
      <c r="L661" s="283" t="s">
        <v>4781</v>
      </c>
      <c r="N661" s="167"/>
      <c r="O661" s="167"/>
      <c r="P661" s="211"/>
      <c r="Q661" s="211"/>
      <c r="R661" s="211"/>
      <c r="S661" s="211"/>
      <c r="T661" s="223"/>
      <c r="U661" s="283" t="e">
        <v>#N/A</v>
      </c>
      <c r="V661" s="283" t="s">
        <v>4784</v>
      </c>
      <c r="W661" s="283">
        <v>1</v>
      </c>
      <c r="X661" s="283">
        <v>0</v>
      </c>
      <c r="Y661" s="283">
        <v>0</v>
      </c>
      <c r="Z661" s="283">
        <v>1</v>
      </c>
      <c r="AA661" s="283">
        <v>1</v>
      </c>
      <c r="AB661" s="283">
        <v>0</v>
      </c>
      <c r="AC661" s="316">
        <v>0</v>
      </c>
      <c r="AD661" s="316">
        <v>1</v>
      </c>
      <c r="AE661" s="302">
        <f t="shared" si="24"/>
        <v>0.5</v>
      </c>
      <c r="AF661" s="310"/>
      <c r="AG661" s="17">
        <v>0</v>
      </c>
      <c r="AH661" s="310">
        <v>0.5</v>
      </c>
      <c r="AI661" s="310">
        <v>0.5</v>
      </c>
      <c r="AJ661" s="310">
        <v>0.5</v>
      </c>
      <c r="AK661" s="317">
        <v>0.5</v>
      </c>
      <c r="AL661" s="317">
        <v>0.5</v>
      </c>
      <c r="AM661" s="147">
        <f t="shared" si="23"/>
        <v>1</v>
      </c>
      <c r="AN661" s="283" t="s">
        <v>4497</v>
      </c>
      <c r="AO661" s="18" t="s">
        <v>4499</v>
      </c>
      <c r="AP661" s="345" t="s">
        <v>1035</v>
      </c>
    </row>
    <row r="662" spans="1:42" x14ac:dyDescent="0.3">
      <c r="A662" s="314" t="s">
        <v>1447</v>
      </c>
      <c r="B662" s="283" t="s">
        <v>4485</v>
      </c>
      <c r="C662" s="314" t="s">
        <v>4487</v>
      </c>
      <c r="D662" s="283" t="s">
        <v>4488</v>
      </c>
      <c r="E662" s="314" t="s">
        <v>4736</v>
      </c>
      <c r="F662" s="283" t="s">
        <v>4737</v>
      </c>
      <c r="G662" s="314" t="s">
        <v>4778</v>
      </c>
      <c r="H662" s="283" t="s">
        <v>4779</v>
      </c>
      <c r="I662" s="223"/>
      <c r="J662" s="225"/>
      <c r="K662" s="350" t="s">
        <v>4780</v>
      </c>
      <c r="L662" s="283" t="s">
        <v>4781</v>
      </c>
      <c r="N662" s="167"/>
      <c r="O662" s="167"/>
      <c r="P662" s="211"/>
      <c r="Q662" s="211"/>
      <c r="R662" s="211">
        <v>2</v>
      </c>
      <c r="S662" s="211">
        <v>5</v>
      </c>
      <c r="T662" s="223"/>
      <c r="U662" s="283" t="e">
        <v>#N/A</v>
      </c>
      <c r="V662" s="283" t="s">
        <v>4785</v>
      </c>
      <c r="W662" s="283">
        <v>1</v>
      </c>
      <c r="X662" s="283">
        <v>0</v>
      </c>
      <c r="Y662" s="283">
        <v>0</v>
      </c>
      <c r="Z662" s="283">
        <v>1</v>
      </c>
      <c r="AA662" s="283">
        <v>1</v>
      </c>
      <c r="AB662" s="283">
        <v>1</v>
      </c>
      <c r="AC662" s="316">
        <v>0</v>
      </c>
      <c r="AD662" s="316">
        <v>1</v>
      </c>
      <c r="AE662" s="302">
        <f t="shared" si="24"/>
        <v>0.625</v>
      </c>
      <c r="AF662" s="310"/>
      <c r="AG662" s="17">
        <v>0</v>
      </c>
      <c r="AH662" s="310">
        <v>0</v>
      </c>
      <c r="AI662" s="310">
        <v>0</v>
      </c>
      <c r="AJ662" s="310">
        <v>1</v>
      </c>
      <c r="AK662" s="317">
        <v>1</v>
      </c>
      <c r="AL662" s="317">
        <v>1</v>
      </c>
      <c r="AM662" s="147">
        <f t="shared" si="23"/>
        <v>2</v>
      </c>
      <c r="AN662" s="283" t="s">
        <v>3605</v>
      </c>
      <c r="AO662" s="18" t="s">
        <v>4178</v>
      </c>
      <c r="AP662" s="345" t="s">
        <v>4528</v>
      </c>
    </row>
    <row r="663" spans="1:42" x14ac:dyDescent="0.3">
      <c r="A663" s="314" t="s">
        <v>1447</v>
      </c>
      <c r="B663" s="283" t="s">
        <v>4485</v>
      </c>
      <c r="C663" s="314" t="s">
        <v>4487</v>
      </c>
      <c r="D663" s="283" t="s">
        <v>4488</v>
      </c>
      <c r="E663" s="314" t="s">
        <v>4736</v>
      </c>
      <c r="F663" s="283" t="s">
        <v>4737</v>
      </c>
      <c r="G663" s="314" t="s">
        <v>4778</v>
      </c>
      <c r="H663" s="283" t="s">
        <v>4779</v>
      </c>
      <c r="I663" s="223"/>
      <c r="J663" s="223"/>
      <c r="K663" s="350" t="s">
        <v>4780</v>
      </c>
      <c r="L663" s="283" t="s">
        <v>4781</v>
      </c>
      <c r="M663" s="1" t="s">
        <v>4786</v>
      </c>
      <c r="N663" s="162" t="s">
        <v>271</v>
      </c>
      <c r="O663" s="162">
        <v>2</v>
      </c>
      <c r="P663" s="224">
        <v>3</v>
      </c>
      <c r="Q663" s="224" t="s">
        <v>271</v>
      </c>
      <c r="R663" s="224">
        <v>2</v>
      </c>
      <c r="S663" s="224">
        <v>5</v>
      </c>
      <c r="T663" s="223" t="s">
        <v>4754</v>
      </c>
      <c r="U663" s="283" t="e">
        <v>#N/A</v>
      </c>
      <c r="V663" s="283" t="s">
        <v>4787</v>
      </c>
      <c r="W663" s="283">
        <v>1</v>
      </c>
      <c r="X663" s="283">
        <v>0</v>
      </c>
      <c r="Y663" s="283">
        <v>0</v>
      </c>
      <c r="Z663" s="283">
        <v>1</v>
      </c>
      <c r="AA663" s="283">
        <v>1</v>
      </c>
      <c r="AB663" s="283">
        <v>1</v>
      </c>
      <c r="AC663" s="316">
        <v>0</v>
      </c>
      <c r="AD663" s="316">
        <v>1</v>
      </c>
      <c r="AE663" s="302">
        <f t="shared" si="24"/>
        <v>0.625</v>
      </c>
      <c r="AF663" s="310"/>
      <c r="AG663" s="17">
        <v>0</v>
      </c>
      <c r="AH663" s="310">
        <v>0</v>
      </c>
      <c r="AI663" s="310">
        <v>0</v>
      </c>
      <c r="AJ663" s="310">
        <v>0.4</v>
      </c>
      <c r="AK663" s="317">
        <v>0.5</v>
      </c>
      <c r="AL663" s="317">
        <v>0.5</v>
      </c>
      <c r="AM663" s="147">
        <f t="shared" si="23"/>
        <v>1</v>
      </c>
      <c r="AN663" s="283" t="s">
        <v>3605</v>
      </c>
      <c r="AO663" s="18" t="s">
        <v>4178</v>
      </c>
      <c r="AP663" s="345" t="s">
        <v>4587</v>
      </c>
    </row>
    <row r="664" spans="1:42" x14ac:dyDescent="0.3">
      <c r="A664" s="314" t="s">
        <v>1447</v>
      </c>
      <c r="B664" s="283" t="s">
        <v>4485</v>
      </c>
      <c r="C664" s="314" t="s">
        <v>4487</v>
      </c>
      <c r="D664" s="283" t="s">
        <v>4488</v>
      </c>
      <c r="E664" s="314" t="s">
        <v>4736</v>
      </c>
      <c r="F664" s="283" t="s">
        <v>4737</v>
      </c>
      <c r="G664" s="314" t="s">
        <v>4778</v>
      </c>
      <c r="H664" s="283" t="s">
        <v>4779</v>
      </c>
      <c r="I664" s="223"/>
      <c r="J664" s="225"/>
      <c r="K664" s="350" t="s">
        <v>4780</v>
      </c>
      <c r="L664" s="283" t="s">
        <v>4781</v>
      </c>
      <c r="N664" s="162"/>
      <c r="O664" s="162"/>
      <c r="P664" s="224"/>
      <c r="Q664" s="224"/>
      <c r="R664" s="224"/>
      <c r="S664" s="224"/>
      <c r="T664" s="223"/>
      <c r="U664" s="283" t="e">
        <v>#N/A</v>
      </c>
      <c r="V664" s="283" t="s">
        <v>4788</v>
      </c>
      <c r="W664" s="283">
        <v>1</v>
      </c>
      <c r="X664" s="283">
        <v>0</v>
      </c>
      <c r="Y664" s="283">
        <v>0</v>
      </c>
      <c r="Z664" s="283">
        <v>1</v>
      </c>
      <c r="AA664" s="283">
        <v>1</v>
      </c>
      <c r="AB664" s="283">
        <v>0</v>
      </c>
      <c r="AC664" s="316">
        <v>0</v>
      </c>
      <c r="AD664" s="316">
        <v>1</v>
      </c>
      <c r="AE664" s="302">
        <f t="shared" si="24"/>
        <v>0.5</v>
      </c>
      <c r="AF664" s="310"/>
      <c r="AG664" s="17">
        <v>0</v>
      </c>
      <c r="AH664" s="310">
        <v>0</v>
      </c>
      <c r="AI664" s="310">
        <v>0</v>
      </c>
      <c r="AJ664" s="310">
        <v>0.4</v>
      </c>
      <c r="AK664" s="317">
        <v>0.2</v>
      </c>
      <c r="AL664" s="317">
        <v>0.2</v>
      </c>
      <c r="AM664" s="147">
        <f t="shared" si="23"/>
        <v>0.4</v>
      </c>
      <c r="AN664" s="283" t="s">
        <v>1035</v>
      </c>
      <c r="AO664" s="18" t="s">
        <v>1037</v>
      </c>
      <c r="AP664" s="345" t="s">
        <v>723</v>
      </c>
    </row>
    <row r="665" spans="1:42" x14ac:dyDescent="0.3">
      <c r="A665" s="314" t="s">
        <v>1447</v>
      </c>
      <c r="B665" s="283" t="s">
        <v>4485</v>
      </c>
      <c r="C665" s="314" t="s">
        <v>4487</v>
      </c>
      <c r="D665" s="283" t="s">
        <v>4488</v>
      </c>
      <c r="E665" s="314" t="s">
        <v>4736</v>
      </c>
      <c r="F665" s="283" t="s">
        <v>4737</v>
      </c>
      <c r="G665" s="314" t="s">
        <v>4789</v>
      </c>
      <c r="H665" s="283" t="s">
        <v>4790</v>
      </c>
      <c r="I665" s="223"/>
      <c r="J665" s="225"/>
      <c r="K665" s="350" t="s">
        <v>4791</v>
      </c>
      <c r="L665" s="283" t="s">
        <v>4792</v>
      </c>
      <c r="M665" s="1" t="s">
        <v>4793</v>
      </c>
      <c r="N665" s="162">
        <v>0</v>
      </c>
      <c r="O665" s="162">
        <v>10</v>
      </c>
      <c r="P665" s="224">
        <v>10</v>
      </c>
      <c r="Q665" s="224">
        <v>10</v>
      </c>
      <c r="R665" s="224">
        <v>10</v>
      </c>
      <c r="S665" s="224">
        <v>10</v>
      </c>
      <c r="T665" s="223" t="s">
        <v>321</v>
      </c>
      <c r="U665" s="283" t="s">
        <v>1066</v>
      </c>
      <c r="V665" s="283" t="s">
        <v>4794</v>
      </c>
      <c r="W665" s="283">
        <v>1</v>
      </c>
      <c r="X665" s="283">
        <v>0</v>
      </c>
      <c r="Y665" s="283">
        <v>0</v>
      </c>
      <c r="Z665" s="283">
        <v>1</v>
      </c>
      <c r="AA665" s="283">
        <v>1</v>
      </c>
      <c r="AB665" s="283">
        <v>1</v>
      </c>
      <c r="AC665" s="316">
        <v>0</v>
      </c>
      <c r="AD665" s="316">
        <v>1</v>
      </c>
      <c r="AE665" s="302">
        <f t="shared" si="24"/>
        <v>0.625</v>
      </c>
      <c r="AF665" s="310"/>
      <c r="AG665" s="17">
        <v>0</v>
      </c>
      <c r="AH665" s="310">
        <v>0</v>
      </c>
      <c r="AI665" s="310">
        <v>0</v>
      </c>
      <c r="AJ665" s="310">
        <v>0.3</v>
      </c>
      <c r="AK665" s="317">
        <v>0.5</v>
      </c>
      <c r="AL665" s="317">
        <v>0.5</v>
      </c>
      <c r="AM665" s="147">
        <f t="shared" si="23"/>
        <v>1</v>
      </c>
      <c r="AN665" s="283" t="s">
        <v>321</v>
      </c>
      <c r="AO665" s="18" t="s">
        <v>1066</v>
      </c>
      <c r="AP665" s="345" t="s">
        <v>1035</v>
      </c>
    </row>
    <row r="666" spans="1:42" x14ac:dyDescent="0.3">
      <c r="A666" s="314" t="s">
        <v>1447</v>
      </c>
      <c r="B666" s="283" t="s">
        <v>4485</v>
      </c>
      <c r="C666" s="314" t="s">
        <v>4795</v>
      </c>
      <c r="D666" s="283" t="s">
        <v>4796</v>
      </c>
      <c r="E666" s="314" t="s">
        <v>4797</v>
      </c>
      <c r="F666" s="283" t="s">
        <v>4798</v>
      </c>
      <c r="G666" s="314" t="s">
        <v>4799</v>
      </c>
      <c r="H666" s="283" t="s">
        <v>4800</v>
      </c>
      <c r="I666" s="223"/>
      <c r="J666" s="225"/>
      <c r="K666" s="350" t="s">
        <v>4801</v>
      </c>
      <c r="L666" s="283" t="s">
        <v>4802</v>
      </c>
      <c r="M666" s="1" t="s">
        <v>4803</v>
      </c>
      <c r="N666" s="162">
        <v>99.3</v>
      </c>
      <c r="O666" s="162">
        <v>99.5</v>
      </c>
      <c r="P666" s="224">
        <v>99.6</v>
      </c>
      <c r="Q666" s="224">
        <v>99.7</v>
      </c>
      <c r="R666" s="224">
        <v>10</v>
      </c>
      <c r="S666" s="224">
        <v>10</v>
      </c>
      <c r="T666" s="223" t="s">
        <v>321</v>
      </c>
      <c r="U666" s="283" t="s">
        <v>1066</v>
      </c>
      <c r="V666" s="283" t="s">
        <v>4804</v>
      </c>
      <c r="W666" s="283">
        <v>1</v>
      </c>
      <c r="X666" s="283">
        <v>0</v>
      </c>
      <c r="Y666" s="283">
        <v>0</v>
      </c>
      <c r="Z666" s="283">
        <v>1</v>
      </c>
      <c r="AA666" s="283">
        <v>1</v>
      </c>
      <c r="AB666" s="283">
        <v>1</v>
      </c>
      <c r="AC666" s="316">
        <v>0</v>
      </c>
      <c r="AD666" s="316">
        <v>1</v>
      </c>
      <c r="AE666" s="302">
        <f t="shared" si="24"/>
        <v>0.625</v>
      </c>
      <c r="AF666" s="310"/>
      <c r="AG666" s="17">
        <v>0</v>
      </c>
      <c r="AH666" s="310">
        <v>0</v>
      </c>
      <c r="AI666" s="310">
        <v>0</v>
      </c>
      <c r="AJ666" s="310">
        <v>0.3</v>
      </c>
      <c r="AK666" s="317">
        <v>0.5</v>
      </c>
      <c r="AL666" s="317">
        <v>0.5</v>
      </c>
      <c r="AM666" s="147">
        <f t="shared" si="23"/>
        <v>1</v>
      </c>
      <c r="AN666" s="283" t="s">
        <v>321</v>
      </c>
      <c r="AO666" s="18" t="s">
        <v>1066</v>
      </c>
      <c r="AP666" s="345" t="s">
        <v>1035</v>
      </c>
    </row>
    <row r="667" spans="1:42" x14ac:dyDescent="0.3">
      <c r="A667" s="314" t="s">
        <v>1447</v>
      </c>
      <c r="B667" s="283" t="s">
        <v>4485</v>
      </c>
      <c r="C667" s="314" t="s">
        <v>4795</v>
      </c>
      <c r="D667" s="283" t="s">
        <v>4796</v>
      </c>
      <c r="E667" s="314" t="s">
        <v>4797</v>
      </c>
      <c r="F667" s="283" t="s">
        <v>4798</v>
      </c>
      <c r="G667" s="314" t="s">
        <v>4799</v>
      </c>
      <c r="H667" s="283" t="s">
        <v>4800</v>
      </c>
      <c r="I667" s="223"/>
      <c r="J667" s="225"/>
      <c r="K667" s="350" t="s">
        <v>4801</v>
      </c>
      <c r="L667" s="283" t="s">
        <v>4802</v>
      </c>
      <c r="N667" s="167"/>
      <c r="O667" s="167"/>
      <c r="P667" s="211"/>
      <c r="Q667" s="211"/>
      <c r="R667" s="211">
        <v>3</v>
      </c>
      <c r="S667" s="211">
        <v>5</v>
      </c>
      <c r="T667" s="206"/>
      <c r="U667" s="283" t="e">
        <v>#N/A</v>
      </c>
      <c r="V667" s="283" t="s">
        <v>4805</v>
      </c>
      <c r="W667" s="283">
        <v>1</v>
      </c>
      <c r="X667" s="283">
        <v>0</v>
      </c>
      <c r="Y667" s="283">
        <v>0</v>
      </c>
      <c r="Z667" s="283">
        <v>1</v>
      </c>
      <c r="AA667" s="283">
        <v>1</v>
      </c>
      <c r="AB667" s="283">
        <v>1</v>
      </c>
      <c r="AC667" s="316">
        <v>0</v>
      </c>
      <c r="AD667" s="316">
        <v>1</v>
      </c>
      <c r="AE667" s="302">
        <f t="shared" si="24"/>
        <v>0.625</v>
      </c>
      <c r="AF667" s="310"/>
      <c r="AG667" s="17">
        <v>0</v>
      </c>
      <c r="AH667" s="310">
        <v>0</v>
      </c>
      <c r="AI667" s="310">
        <v>0</v>
      </c>
      <c r="AJ667" s="310">
        <v>0</v>
      </c>
      <c r="AK667" s="317">
        <v>0.2</v>
      </c>
      <c r="AL667" s="317">
        <v>0.5</v>
      </c>
      <c r="AM667" s="147">
        <f t="shared" si="23"/>
        <v>0.7</v>
      </c>
      <c r="AN667" s="283" t="s">
        <v>1035</v>
      </c>
      <c r="AO667" s="18" t="s">
        <v>1037</v>
      </c>
      <c r="AP667" s="345" t="s">
        <v>321</v>
      </c>
    </row>
    <row r="668" spans="1:42" x14ac:dyDescent="0.3">
      <c r="A668" s="314" t="s">
        <v>1447</v>
      </c>
      <c r="B668" s="283" t="s">
        <v>4485</v>
      </c>
      <c r="C668" s="314" t="s">
        <v>4795</v>
      </c>
      <c r="D668" s="283" t="s">
        <v>4796</v>
      </c>
      <c r="E668" s="314" t="s">
        <v>4797</v>
      </c>
      <c r="F668" s="283" t="s">
        <v>4798</v>
      </c>
      <c r="G668" s="314" t="s">
        <v>4806</v>
      </c>
      <c r="H668" s="283" t="s">
        <v>4807</v>
      </c>
      <c r="I668" s="223"/>
      <c r="J668" s="225"/>
      <c r="K668" s="350" t="s">
        <v>4808</v>
      </c>
      <c r="L668" s="283" t="s">
        <v>4809</v>
      </c>
      <c r="M668" s="1" t="s">
        <v>4810</v>
      </c>
      <c r="N668" s="162">
        <v>0</v>
      </c>
      <c r="O668" s="162">
        <v>5</v>
      </c>
      <c r="P668" s="224">
        <v>5</v>
      </c>
      <c r="Q668" s="224">
        <v>5</v>
      </c>
      <c r="R668" s="224">
        <v>5</v>
      </c>
      <c r="S668" s="224">
        <v>5</v>
      </c>
      <c r="T668" s="223" t="s">
        <v>1035</v>
      </c>
      <c r="U668" s="283" t="s">
        <v>1037</v>
      </c>
      <c r="V668" s="283" t="s">
        <v>4811</v>
      </c>
      <c r="W668" s="283">
        <v>1</v>
      </c>
      <c r="X668" s="283">
        <v>0</v>
      </c>
      <c r="Y668" s="283">
        <v>0</v>
      </c>
      <c r="Z668" s="283">
        <v>1</v>
      </c>
      <c r="AA668" s="283">
        <v>1</v>
      </c>
      <c r="AB668" s="283">
        <v>1</v>
      </c>
      <c r="AC668" s="316">
        <v>0</v>
      </c>
      <c r="AD668" s="316">
        <v>1</v>
      </c>
      <c r="AE668" s="302">
        <f t="shared" si="24"/>
        <v>0.625</v>
      </c>
      <c r="AF668" s="310"/>
      <c r="AG668" s="17">
        <v>0</v>
      </c>
      <c r="AH668" s="310">
        <v>0</v>
      </c>
      <c r="AI668" s="310">
        <v>0</v>
      </c>
      <c r="AJ668" s="310">
        <v>0</v>
      </c>
      <c r="AK668" s="317">
        <v>0.2</v>
      </c>
      <c r="AL668" s="317">
        <v>0.6</v>
      </c>
      <c r="AM668" s="147">
        <f t="shared" si="23"/>
        <v>0.8</v>
      </c>
      <c r="AN668" s="283" t="s">
        <v>1035</v>
      </c>
      <c r="AO668" s="18" t="s">
        <v>1037</v>
      </c>
      <c r="AP668" s="345" t="s">
        <v>321</v>
      </c>
    </row>
    <row r="669" spans="1:42" x14ac:dyDescent="0.3">
      <c r="A669" s="314" t="s">
        <v>1447</v>
      </c>
      <c r="B669" s="283" t="s">
        <v>4485</v>
      </c>
      <c r="C669" s="314" t="s">
        <v>4795</v>
      </c>
      <c r="D669" s="283" t="s">
        <v>4796</v>
      </c>
      <c r="E669" s="314" t="s">
        <v>4797</v>
      </c>
      <c r="F669" s="283" t="s">
        <v>4798</v>
      </c>
      <c r="G669" s="314" t="s">
        <v>4806</v>
      </c>
      <c r="H669" s="283" t="s">
        <v>4807</v>
      </c>
      <c r="I669" s="223"/>
      <c r="J669" s="225"/>
      <c r="K669" s="350" t="s">
        <v>4808</v>
      </c>
      <c r="L669" s="283" t="s">
        <v>4809</v>
      </c>
      <c r="N669" s="167"/>
      <c r="O669" s="167"/>
      <c r="P669" s="211"/>
      <c r="Q669" s="211"/>
      <c r="R669" s="211"/>
      <c r="S669" s="211"/>
      <c r="T669" s="223" t="s">
        <v>1035</v>
      </c>
      <c r="U669" s="283" t="s">
        <v>1037</v>
      </c>
      <c r="V669" s="283" t="s">
        <v>4812</v>
      </c>
      <c r="W669" s="283">
        <v>0</v>
      </c>
      <c r="X669" s="283">
        <v>0</v>
      </c>
      <c r="Y669" s="283">
        <v>0</v>
      </c>
      <c r="Z669" s="283">
        <v>0</v>
      </c>
      <c r="AA669" s="283">
        <v>0</v>
      </c>
      <c r="AB669" s="283">
        <v>0</v>
      </c>
      <c r="AC669" s="316">
        <v>0</v>
      </c>
      <c r="AD669" s="316">
        <v>0</v>
      </c>
      <c r="AE669" s="302">
        <f t="shared" si="24"/>
        <v>0</v>
      </c>
      <c r="AF669" s="310"/>
      <c r="AG669" s="17">
        <v>0</v>
      </c>
      <c r="AH669" s="310">
        <v>0</v>
      </c>
      <c r="AI669" s="310">
        <v>0</v>
      </c>
      <c r="AJ669" s="310">
        <v>0</v>
      </c>
      <c r="AK669" s="317">
        <v>0.2</v>
      </c>
      <c r="AL669" s="317">
        <v>0.2</v>
      </c>
      <c r="AM669" s="147">
        <f t="shared" si="23"/>
        <v>0.4</v>
      </c>
      <c r="AN669" s="283" t="s">
        <v>321</v>
      </c>
      <c r="AO669" s="18" t="s">
        <v>1066</v>
      </c>
      <c r="AP669" s="345" t="s">
        <v>4657</v>
      </c>
    </row>
    <row r="670" spans="1:42" x14ac:dyDescent="0.3">
      <c r="A670" s="314" t="s">
        <v>1447</v>
      </c>
      <c r="B670" s="283" t="s">
        <v>4485</v>
      </c>
      <c r="C670" s="314" t="s">
        <v>4795</v>
      </c>
      <c r="D670" s="283" t="s">
        <v>4796</v>
      </c>
      <c r="E670" s="314" t="s">
        <v>4797</v>
      </c>
      <c r="F670" s="283" t="s">
        <v>4798</v>
      </c>
      <c r="G670" s="314" t="s">
        <v>4806</v>
      </c>
      <c r="H670" s="283" t="s">
        <v>4807</v>
      </c>
      <c r="I670" s="223"/>
      <c r="J670" s="225"/>
      <c r="K670" s="350" t="s">
        <v>4808</v>
      </c>
      <c r="L670" s="283" t="s">
        <v>4809</v>
      </c>
      <c r="M670" s="1" t="s">
        <v>4813</v>
      </c>
      <c r="N670" s="167"/>
      <c r="O670" s="162"/>
      <c r="P670" s="232">
        <v>0.5</v>
      </c>
      <c r="Q670" s="232">
        <v>1</v>
      </c>
      <c r="R670" s="211">
        <v>1</v>
      </c>
      <c r="S670" s="211">
        <v>1</v>
      </c>
      <c r="T670" s="223" t="s">
        <v>1035</v>
      </c>
      <c r="U670" s="283" t="s">
        <v>1037</v>
      </c>
      <c r="V670" s="283" t="s">
        <v>4814</v>
      </c>
      <c r="W670" s="283">
        <v>1</v>
      </c>
      <c r="X670" s="283">
        <v>0</v>
      </c>
      <c r="Y670" s="283">
        <v>0</v>
      </c>
      <c r="Z670" s="283">
        <v>1</v>
      </c>
      <c r="AA670" s="283">
        <v>1</v>
      </c>
      <c r="AB670" s="283">
        <v>1</v>
      </c>
      <c r="AC670" s="316">
        <v>0</v>
      </c>
      <c r="AD670" s="316">
        <v>1</v>
      </c>
      <c r="AE670" s="302">
        <f t="shared" si="24"/>
        <v>0.625</v>
      </c>
      <c r="AF670" s="310"/>
      <c r="AG670" s="17">
        <v>0</v>
      </c>
      <c r="AH670" s="310">
        <v>0</v>
      </c>
      <c r="AI670" s="310">
        <v>0</v>
      </c>
      <c r="AJ670" s="310">
        <v>0</v>
      </c>
      <c r="AK670" s="317">
        <v>0.2</v>
      </c>
      <c r="AL670" s="317">
        <v>0.5</v>
      </c>
      <c r="AM670" s="147">
        <f t="shared" si="23"/>
        <v>0.7</v>
      </c>
      <c r="AN670" s="283" t="s">
        <v>1035</v>
      </c>
      <c r="AO670" s="18" t="s">
        <v>1037</v>
      </c>
      <c r="AP670" s="345" t="s">
        <v>4815</v>
      </c>
    </row>
    <row r="671" spans="1:42" x14ac:dyDescent="0.3">
      <c r="A671" s="314" t="s">
        <v>1447</v>
      </c>
      <c r="B671" s="283" t="s">
        <v>4485</v>
      </c>
      <c r="C671" s="314" t="s">
        <v>4795</v>
      </c>
      <c r="D671" s="283" t="s">
        <v>4796</v>
      </c>
      <c r="E671" s="314" t="s">
        <v>4797</v>
      </c>
      <c r="F671" s="283" t="s">
        <v>4798</v>
      </c>
      <c r="G671" s="314" t="s">
        <v>4806</v>
      </c>
      <c r="H671" s="283" t="s">
        <v>4807</v>
      </c>
      <c r="I671" s="223"/>
      <c r="J671" s="225"/>
      <c r="K671" s="350" t="s">
        <v>4808</v>
      </c>
      <c r="L671" s="283" t="s">
        <v>4809</v>
      </c>
      <c r="M671" s="1" t="s">
        <v>4816</v>
      </c>
      <c r="N671" s="167">
        <v>0</v>
      </c>
      <c r="O671" s="162" t="s">
        <v>271</v>
      </c>
      <c r="P671" s="211">
        <v>1</v>
      </c>
      <c r="Q671" s="224" t="s">
        <v>271</v>
      </c>
      <c r="R671" s="224">
        <v>5</v>
      </c>
      <c r="S671" s="224">
        <v>10</v>
      </c>
      <c r="T671" s="223" t="s">
        <v>4497</v>
      </c>
      <c r="U671" s="283" t="s">
        <v>4499</v>
      </c>
      <c r="V671" s="283" t="s">
        <v>4817</v>
      </c>
      <c r="W671" s="283">
        <v>1</v>
      </c>
      <c r="X671" s="283">
        <v>0</v>
      </c>
      <c r="Y671" s="283">
        <v>0</v>
      </c>
      <c r="Z671" s="283">
        <v>1</v>
      </c>
      <c r="AA671" s="283">
        <v>1</v>
      </c>
      <c r="AB671" s="283">
        <v>1</v>
      </c>
      <c r="AC671" s="316">
        <v>0</v>
      </c>
      <c r="AD671" s="316">
        <v>1</v>
      </c>
      <c r="AE671" s="302">
        <f t="shared" si="24"/>
        <v>0.625</v>
      </c>
      <c r="AF671" s="310"/>
      <c r="AG671" s="17">
        <v>0</v>
      </c>
      <c r="AH671" s="310">
        <v>0</v>
      </c>
      <c r="AI671" s="310">
        <v>0</v>
      </c>
      <c r="AJ671" s="310">
        <v>0</v>
      </c>
      <c r="AK671" s="317">
        <v>0.2</v>
      </c>
      <c r="AL671" s="317">
        <v>0.3</v>
      </c>
      <c r="AM671" s="147">
        <f t="shared" si="23"/>
        <v>0.5</v>
      </c>
      <c r="AN671" s="283" t="s">
        <v>1035</v>
      </c>
      <c r="AO671" s="18" t="s">
        <v>1037</v>
      </c>
      <c r="AP671" s="345" t="s">
        <v>4815</v>
      </c>
    </row>
    <row r="672" spans="1:42" x14ac:dyDescent="0.3">
      <c r="A672" s="314" t="s">
        <v>1447</v>
      </c>
      <c r="B672" s="283" t="s">
        <v>4485</v>
      </c>
      <c r="C672" s="314" t="s">
        <v>4795</v>
      </c>
      <c r="D672" s="283" t="s">
        <v>4796</v>
      </c>
      <c r="E672" s="314" t="s">
        <v>4797</v>
      </c>
      <c r="F672" s="283" t="s">
        <v>4798</v>
      </c>
      <c r="G672" s="314" t="s">
        <v>4818</v>
      </c>
      <c r="H672" s="283" t="s">
        <v>4819</v>
      </c>
      <c r="I672" s="223"/>
      <c r="J672" s="225"/>
      <c r="K672" s="350" t="s">
        <v>4820</v>
      </c>
      <c r="L672" s="283" t="s">
        <v>4821</v>
      </c>
      <c r="M672" s="1" t="s">
        <v>4822</v>
      </c>
      <c r="N672" s="162" t="s">
        <v>3532</v>
      </c>
      <c r="O672" s="162">
        <v>1</v>
      </c>
      <c r="P672" s="224">
        <v>1</v>
      </c>
      <c r="Q672" s="224">
        <v>1</v>
      </c>
      <c r="R672" s="224">
        <v>1</v>
      </c>
      <c r="S672" s="224">
        <v>1</v>
      </c>
      <c r="T672" s="223" t="s">
        <v>4512</v>
      </c>
      <c r="U672" s="283" t="s">
        <v>4514</v>
      </c>
      <c r="V672" s="283" t="s">
        <v>4823</v>
      </c>
      <c r="W672" s="283">
        <v>1</v>
      </c>
      <c r="X672" s="283">
        <v>0</v>
      </c>
      <c r="Y672" s="283">
        <v>0</v>
      </c>
      <c r="Z672" s="283">
        <v>0</v>
      </c>
      <c r="AA672" s="283">
        <v>0</v>
      </c>
      <c r="AB672" s="283">
        <v>0</v>
      </c>
      <c r="AC672" s="316">
        <v>0</v>
      </c>
      <c r="AD672" s="316">
        <v>1</v>
      </c>
      <c r="AE672" s="302">
        <f t="shared" si="24"/>
        <v>0.25</v>
      </c>
      <c r="AF672" s="17"/>
      <c r="AG672" s="17">
        <v>0</v>
      </c>
      <c r="AH672" s="17">
        <v>0</v>
      </c>
      <c r="AI672" s="310">
        <v>0</v>
      </c>
      <c r="AJ672" s="310">
        <v>0</v>
      </c>
      <c r="AK672" s="317">
        <v>50</v>
      </c>
      <c r="AL672" s="317">
        <v>70</v>
      </c>
      <c r="AM672" s="147">
        <f t="shared" si="23"/>
        <v>120</v>
      </c>
      <c r="AN672" s="283" t="s">
        <v>1035</v>
      </c>
      <c r="AO672" s="18" t="s">
        <v>1037</v>
      </c>
      <c r="AP672" s="345" t="s">
        <v>4815</v>
      </c>
    </row>
    <row r="673" spans="1:42" x14ac:dyDescent="0.3">
      <c r="A673" s="314" t="s">
        <v>1447</v>
      </c>
      <c r="B673" s="283" t="s">
        <v>4485</v>
      </c>
      <c r="C673" s="314" t="s">
        <v>4795</v>
      </c>
      <c r="D673" s="283" t="s">
        <v>4796</v>
      </c>
      <c r="E673" s="314" t="s">
        <v>4797</v>
      </c>
      <c r="F673" s="283" t="s">
        <v>4798</v>
      </c>
      <c r="G673" s="314" t="s">
        <v>4818</v>
      </c>
      <c r="H673" s="283" t="s">
        <v>4819</v>
      </c>
      <c r="I673" s="223"/>
      <c r="J673" s="225"/>
      <c r="K673" s="350" t="s">
        <v>4820</v>
      </c>
      <c r="L673" s="283" t="s">
        <v>4821</v>
      </c>
      <c r="N673" s="167"/>
      <c r="O673" s="451"/>
      <c r="P673" s="230"/>
      <c r="Q673" s="230"/>
      <c r="R673" s="230"/>
      <c r="S673" s="230"/>
      <c r="T673" s="206"/>
      <c r="U673" s="283" t="e">
        <v>#N/A</v>
      </c>
      <c r="V673" s="283" t="s">
        <v>4824</v>
      </c>
      <c r="W673" s="283">
        <v>1</v>
      </c>
      <c r="X673" s="283">
        <v>0</v>
      </c>
      <c r="Y673" s="283">
        <v>0</v>
      </c>
      <c r="Z673" s="283">
        <v>0</v>
      </c>
      <c r="AA673" s="283">
        <v>0</v>
      </c>
      <c r="AB673" s="283">
        <v>0</v>
      </c>
      <c r="AC673" s="316">
        <v>0</v>
      </c>
      <c r="AD673" s="316">
        <v>1</v>
      </c>
      <c r="AE673" s="302">
        <f t="shared" si="24"/>
        <v>0.25</v>
      </c>
      <c r="AF673" s="310"/>
      <c r="AG673" s="17">
        <v>0</v>
      </c>
      <c r="AH673" s="310">
        <v>0</v>
      </c>
      <c r="AI673" s="310">
        <v>5</v>
      </c>
      <c r="AJ673" s="310">
        <v>5</v>
      </c>
      <c r="AK673" s="153">
        <v>0</v>
      </c>
      <c r="AL673" s="154">
        <v>0</v>
      </c>
      <c r="AM673" s="147">
        <f t="shared" si="23"/>
        <v>0</v>
      </c>
      <c r="AN673" s="283" t="s">
        <v>4825</v>
      </c>
      <c r="AO673" s="18" t="s">
        <v>4826</v>
      </c>
      <c r="AP673" s="345" t="s">
        <v>4771</v>
      </c>
    </row>
    <row r="674" spans="1:42" x14ac:dyDescent="0.3">
      <c r="A674" s="314" t="s">
        <v>1447</v>
      </c>
      <c r="B674" s="283" t="s">
        <v>4485</v>
      </c>
      <c r="C674" s="314" t="s">
        <v>4795</v>
      </c>
      <c r="D674" s="283" t="s">
        <v>4796</v>
      </c>
      <c r="E674" s="314" t="s">
        <v>4797</v>
      </c>
      <c r="F674" s="283" t="s">
        <v>4798</v>
      </c>
      <c r="G674" s="314" t="s">
        <v>4818</v>
      </c>
      <c r="H674" s="283" t="s">
        <v>4819</v>
      </c>
      <c r="I674" s="223"/>
      <c r="J674" s="225"/>
      <c r="K674" s="350" t="s">
        <v>4820</v>
      </c>
      <c r="L674" s="283" t="s">
        <v>4821</v>
      </c>
      <c r="N674" s="167"/>
      <c r="O674" s="167"/>
      <c r="P674" s="211"/>
      <c r="Q674" s="211"/>
      <c r="R674" s="211">
        <v>40</v>
      </c>
      <c r="S674" s="211">
        <v>80</v>
      </c>
      <c r="T674" s="206"/>
      <c r="U674" s="283" t="e">
        <v>#N/A</v>
      </c>
      <c r="V674" s="283" t="s">
        <v>4827</v>
      </c>
      <c r="W674" s="283">
        <v>1</v>
      </c>
      <c r="X674" s="283">
        <v>1</v>
      </c>
      <c r="Y674" s="283">
        <v>1</v>
      </c>
      <c r="Z674" s="283">
        <v>1</v>
      </c>
      <c r="AA674" s="283">
        <v>1</v>
      </c>
      <c r="AB674" s="283">
        <v>0</v>
      </c>
      <c r="AC674" s="316">
        <v>0</v>
      </c>
      <c r="AD674" s="316">
        <v>1</v>
      </c>
      <c r="AE674" s="302">
        <f t="shared" si="24"/>
        <v>0.75</v>
      </c>
      <c r="AF674" s="17"/>
      <c r="AG674" s="17">
        <v>0</v>
      </c>
      <c r="AH674" s="17">
        <v>0</v>
      </c>
      <c r="AI674" s="310">
        <v>0</v>
      </c>
      <c r="AJ674" s="310">
        <v>0</v>
      </c>
      <c r="AK674" s="317">
        <v>70</v>
      </c>
      <c r="AL674" s="317">
        <v>50</v>
      </c>
      <c r="AM674" s="147">
        <f t="shared" si="23"/>
        <v>120</v>
      </c>
      <c r="AN674" s="283" t="s">
        <v>1035</v>
      </c>
      <c r="AO674" s="18" t="s">
        <v>1037</v>
      </c>
      <c r="AP674" s="345" t="s">
        <v>4828</v>
      </c>
    </row>
    <row r="675" spans="1:42" x14ac:dyDescent="0.3">
      <c r="A675" s="314" t="s">
        <v>1447</v>
      </c>
      <c r="B675" s="283" t="s">
        <v>4485</v>
      </c>
      <c r="C675" s="314" t="s">
        <v>4795</v>
      </c>
      <c r="D675" s="283" t="s">
        <v>4796</v>
      </c>
      <c r="E675" s="314" t="s">
        <v>4797</v>
      </c>
      <c r="F675" s="283" t="s">
        <v>4798</v>
      </c>
      <c r="G675" s="314" t="s">
        <v>4818</v>
      </c>
      <c r="H675" s="283" t="s">
        <v>4819</v>
      </c>
      <c r="I675" s="223"/>
      <c r="J675" s="225"/>
      <c r="K675" s="350" t="s">
        <v>4820</v>
      </c>
      <c r="L675" s="283" t="s">
        <v>4821</v>
      </c>
      <c r="N675" s="167"/>
      <c r="O675" s="167"/>
      <c r="P675" s="211"/>
      <c r="Q675" s="211"/>
      <c r="R675" s="211"/>
      <c r="S675" s="211"/>
      <c r="T675" s="206"/>
      <c r="U675" s="283" t="e">
        <v>#N/A</v>
      </c>
      <c r="V675" s="283" t="s">
        <v>4829</v>
      </c>
      <c r="W675" s="283">
        <v>0</v>
      </c>
      <c r="X675" s="283">
        <v>0</v>
      </c>
      <c r="Y675" s="283">
        <v>0</v>
      </c>
      <c r="Z675" s="283">
        <v>0</v>
      </c>
      <c r="AA675" s="283">
        <v>0</v>
      </c>
      <c r="AB675" s="283">
        <v>0</v>
      </c>
      <c r="AC675" s="316">
        <v>0</v>
      </c>
      <c r="AD675" s="316">
        <v>0</v>
      </c>
      <c r="AE675" s="302">
        <f t="shared" si="24"/>
        <v>0</v>
      </c>
      <c r="AF675" s="310"/>
      <c r="AG675" s="17">
        <v>0</v>
      </c>
      <c r="AH675" s="310">
        <v>0</v>
      </c>
      <c r="AI675" s="310">
        <v>0</v>
      </c>
      <c r="AJ675" s="310">
        <v>0.5</v>
      </c>
      <c r="AK675" s="317">
        <v>0.5</v>
      </c>
      <c r="AL675" s="317">
        <v>0.5</v>
      </c>
      <c r="AM675" s="147">
        <f t="shared" si="23"/>
        <v>1</v>
      </c>
      <c r="AN675" s="283" t="s">
        <v>1035</v>
      </c>
      <c r="AO675" s="18" t="s">
        <v>1037</v>
      </c>
      <c r="AP675" s="345" t="s">
        <v>4512</v>
      </c>
    </row>
    <row r="676" spans="1:42" x14ac:dyDescent="0.3">
      <c r="A676" s="314" t="s">
        <v>1447</v>
      </c>
      <c r="B676" s="283" t="s">
        <v>4485</v>
      </c>
      <c r="C676" s="314" t="s">
        <v>4795</v>
      </c>
      <c r="D676" s="283" t="s">
        <v>4796</v>
      </c>
      <c r="E676" s="314" t="s">
        <v>4797</v>
      </c>
      <c r="F676" s="283" t="s">
        <v>4798</v>
      </c>
      <c r="G676" s="314" t="s">
        <v>4830</v>
      </c>
      <c r="H676" s="283" t="s">
        <v>4831</v>
      </c>
      <c r="I676" s="223"/>
      <c r="J676" s="225"/>
      <c r="K676" s="350" t="s">
        <v>4832</v>
      </c>
      <c r="L676" s="283" t="s">
        <v>4833</v>
      </c>
      <c r="M676" s="1" t="s">
        <v>4834</v>
      </c>
      <c r="N676" s="162">
        <v>10</v>
      </c>
      <c r="O676" s="162">
        <v>50</v>
      </c>
      <c r="P676" s="224">
        <v>100</v>
      </c>
      <c r="Q676" s="224">
        <v>100</v>
      </c>
      <c r="R676" s="224">
        <v>100</v>
      </c>
      <c r="S676" s="224" t="s">
        <v>4835</v>
      </c>
      <c r="T676" s="223" t="s">
        <v>4512</v>
      </c>
      <c r="U676" s="283" t="s">
        <v>4514</v>
      </c>
      <c r="V676" s="283" t="s">
        <v>4836</v>
      </c>
      <c r="W676" s="283">
        <v>1</v>
      </c>
      <c r="X676" s="283">
        <v>0</v>
      </c>
      <c r="Y676" s="283">
        <v>0</v>
      </c>
      <c r="Z676" s="283">
        <v>1</v>
      </c>
      <c r="AA676" s="283">
        <v>1</v>
      </c>
      <c r="AB676" s="283">
        <v>0</v>
      </c>
      <c r="AC676" s="316">
        <v>0</v>
      </c>
      <c r="AD676" s="316">
        <v>1</v>
      </c>
      <c r="AE676" s="302">
        <f t="shared" si="24"/>
        <v>0.5</v>
      </c>
      <c r="AF676" s="17"/>
      <c r="AG676" s="17">
        <v>0</v>
      </c>
      <c r="AH676" s="17">
        <v>0</v>
      </c>
      <c r="AI676" s="310">
        <v>21.27</v>
      </c>
      <c r="AJ676" s="310">
        <v>3.16</v>
      </c>
      <c r="AK676" s="153">
        <v>0</v>
      </c>
      <c r="AL676" s="154">
        <v>0</v>
      </c>
      <c r="AM676" s="147">
        <f t="shared" si="23"/>
        <v>0</v>
      </c>
      <c r="AN676" s="283" t="s">
        <v>4512</v>
      </c>
      <c r="AO676" s="18" t="s">
        <v>4514</v>
      </c>
      <c r="AP676" s="345" t="s">
        <v>1035</v>
      </c>
    </row>
    <row r="677" spans="1:42" x14ac:dyDescent="0.3">
      <c r="A677" s="314" t="s">
        <v>1447</v>
      </c>
      <c r="B677" s="283" t="s">
        <v>4485</v>
      </c>
      <c r="C677" s="314" t="s">
        <v>4795</v>
      </c>
      <c r="D677" s="283" t="s">
        <v>4796</v>
      </c>
      <c r="E677" s="314" t="s">
        <v>4797</v>
      </c>
      <c r="F677" s="283" t="s">
        <v>4798</v>
      </c>
      <c r="G677" s="314" t="s">
        <v>4830</v>
      </c>
      <c r="H677" s="283" t="s">
        <v>4831</v>
      </c>
      <c r="I677" s="223"/>
      <c r="J677" s="225"/>
      <c r="K677" s="350" t="s">
        <v>4832</v>
      </c>
      <c r="L677" s="283" t="s">
        <v>4833</v>
      </c>
      <c r="N677" s="162"/>
      <c r="O677" s="162"/>
      <c r="P677" s="224"/>
      <c r="Q677" s="224"/>
      <c r="R677" s="224"/>
      <c r="S677" s="224"/>
      <c r="T677" s="206"/>
      <c r="U677" s="283" t="e">
        <v>#N/A</v>
      </c>
      <c r="V677" s="283" t="s">
        <v>4837</v>
      </c>
      <c r="W677" s="283">
        <v>1</v>
      </c>
      <c r="X677" s="283">
        <v>0</v>
      </c>
      <c r="Y677" s="283">
        <v>0</v>
      </c>
      <c r="Z677" s="283">
        <v>1</v>
      </c>
      <c r="AA677" s="283">
        <v>1</v>
      </c>
      <c r="AB677" s="283">
        <v>0</v>
      </c>
      <c r="AC677" s="316">
        <v>0</v>
      </c>
      <c r="AD677" s="316">
        <v>1</v>
      </c>
      <c r="AE677" s="302">
        <f t="shared" si="24"/>
        <v>0.5</v>
      </c>
      <c r="AF677" s="17"/>
      <c r="AG677" s="17">
        <v>0</v>
      </c>
      <c r="AH677" s="17">
        <v>0</v>
      </c>
      <c r="AI677" s="310">
        <v>23.7</v>
      </c>
      <c r="AJ677" s="310">
        <v>23.7</v>
      </c>
      <c r="AK677" s="153">
        <v>0</v>
      </c>
      <c r="AL677" s="154">
        <v>0</v>
      </c>
      <c r="AM677" s="147">
        <f t="shared" si="23"/>
        <v>0</v>
      </c>
      <c r="AN677" s="283" t="s">
        <v>4512</v>
      </c>
      <c r="AO677" s="18" t="s">
        <v>4514</v>
      </c>
      <c r="AP677" s="345" t="s">
        <v>1035</v>
      </c>
    </row>
    <row r="678" spans="1:42" customFormat="1" x14ac:dyDescent="0.3">
      <c r="A678" s="386" t="s">
        <v>1447</v>
      </c>
      <c r="B678" s="10" t="s">
        <v>4485</v>
      </c>
      <c r="C678" s="200" t="s">
        <v>12907</v>
      </c>
      <c r="D678" t="s">
        <v>6838</v>
      </c>
      <c r="E678" s="200" t="s">
        <v>12908</v>
      </c>
      <c r="F678" t="s">
        <v>12811</v>
      </c>
      <c r="G678" s="200" t="s">
        <v>12909</v>
      </c>
      <c r="H678" t="s">
        <v>12812</v>
      </c>
      <c r="K678" s="200" t="s">
        <v>12926</v>
      </c>
      <c r="L678" t="s">
        <v>12754</v>
      </c>
      <c r="M678" s="1"/>
      <c r="N678" s="423"/>
      <c r="O678" s="1"/>
      <c r="P678" s="3"/>
      <c r="Q678" s="3"/>
      <c r="R678" s="3"/>
      <c r="S678" s="3"/>
      <c r="V678" t="s">
        <v>12755</v>
      </c>
      <c r="AF678" s="64"/>
      <c r="AH678" s="4"/>
      <c r="AI678" s="4"/>
      <c r="AJ678" s="4"/>
      <c r="AK678" s="398"/>
      <c r="AL678" s="398"/>
      <c r="AM678" s="4"/>
    </row>
    <row r="679" spans="1:42" customFormat="1" x14ac:dyDescent="0.3">
      <c r="A679" s="386" t="s">
        <v>1447</v>
      </c>
      <c r="B679" s="10" t="s">
        <v>4485</v>
      </c>
      <c r="C679" s="200" t="s">
        <v>12907</v>
      </c>
      <c r="D679" t="s">
        <v>6838</v>
      </c>
      <c r="E679" s="200" t="s">
        <v>12908</v>
      </c>
      <c r="F679" t="s">
        <v>12811</v>
      </c>
      <c r="G679" s="200" t="s">
        <v>12909</v>
      </c>
      <c r="H679" t="s">
        <v>12812</v>
      </c>
      <c r="K679" s="200" t="s">
        <v>12910</v>
      </c>
      <c r="L679" t="s">
        <v>12808</v>
      </c>
      <c r="M679" s="1"/>
      <c r="N679" s="423"/>
      <c r="O679" s="1"/>
      <c r="P679" s="3"/>
      <c r="Q679" s="3"/>
      <c r="R679" s="3"/>
      <c r="S679" s="3"/>
      <c r="V679" t="s">
        <v>12809</v>
      </c>
      <c r="AF679" s="64"/>
      <c r="AH679" s="4"/>
      <c r="AI679" s="4"/>
      <c r="AJ679" s="4"/>
      <c r="AK679" s="398"/>
      <c r="AL679" s="398"/>
      <c r="AM679" s="4"/>
    </row>
    <row r="680" spans="1:42" customFormat="1" x14ac:dyDescent="0.3">
      <c r="A680" s="386" t="s">
        <v>1447</v>
      </c>
      <c r="B680" s="10" t="s">
        <v>4485</v>
      </c>
      <c r="C680" s="200" t="s">
        <v>12907</v>
      </c>
      <c r="D680" t="s">
        <v>6838</v>
      </c>
      <c r="E680" s="200" t="s">
        <v>12908</v>
      </c>
      <c r="F680" t="s">
        <v>12811</v>
      </c>
      <c r="G680" s="200" t="s">
        <v>12909</v>
      </c>
      <c r="H680" t="s">
        <v>12812</v>
      </c>
      <c r="K680" s="200" t="s">
        <v>12911</v>
      </c>
      <c r="L680" t="s">
        <v>12756</v>
      </c>
      <c r="M680" s="1" t="s">
        <v>5766</v>
      </c>
      <c r="N680" s="423"/>
      <c r="O680" s="1"/>
      <c r="P680" s="3"/>
      <c r="Q680" s="3"/>
      <c r="R680" s="3"/>
      <c r="S680" s="3"/>
      <c r="V680" t="s">
        <v>12792</v>
      </c>
      <c r="AF680" s="64"/>
      <c r="AH680" s="4"/>
      <c r="AI680" s="4"/>
      <c r="AJ680" s="4"/>
      <c r="AK680" s="46"/>
      <c r="AL680" s="46"/>
      <c r="AM680" s="4"/>
    </row>
    <row r="681" spans="1:42" customFormat="1" x14ac:dyDescent="0.3">
      <c r="A681" s="386" t="s">
        <v>1447</v>
      </c>
      <c r="B681" s="10" t="s">
        <v>4485</v>
      </c>
      <c r="C681" s="200" t="s">
        <v>12907</v>
      </c>
      <c r="D681" t="s">
        <v>6838</v>
      </c>
      <c r="E681" s="200" t="s">
        <v>12908</v>
      </c>
      <c r="F681" t="s">
        <v>12811</v>
      </c>
      <c r="G681" s="200" t="s">
        <v>12909</v>
      </c>
      <c r="H681" t="s">
        <v>12812</v>
      </c>
      <c r="K681" s="200" t="s">
        <v>12912</v>
      </c>
      <c r="L681" t="s">
        <v>12757</v>
      </c>
      <c r="M681" s="1" t="s">
        <v>12758</v>
      </c>
      <c r="N681" s="423"/>
      <c r="O681" s="1"/>
      <c r="P681" s="3"/>
      <c r="Q681" s="3"/>
      <c r="R681" s="3"/>
      <c r="S681" s="3"/>
      <c r="V681" t="s">
        <v>12793</v>
      </c>
      <c r="AF681" s="64"/>
      <c r="AH681" s="4"/>
      <c r="AI681" s="4"/>
      <c r="AJ681" s="4"/>
      <c r="AK681" s="46"/>
      <c r="AL681" s="46"/>
      <c r="AM681" s="4"/>
    </row>
    <row r="682" spans="1:42" customFormat="1" x14ac:dyDescent="0.3">
      <c r="A682" s="386" t="s">
        <v>1447</v>
      </c>
      <c r="B682" s="10" t="s">
        <v>4485</v>
      </c>
      <c r="C682" s="200" t="s">
        <v>12907</v>
      </c>
      <c r="D682" t="s">
        <v>6838</v>
      </c>
      <c r="E682" s="200" t="s">
        <v>12908</v>
      </c>
      <c r="F682" t="s">
        <v>12811</v>
      </c>
      <c r="G682" s="200" t="s">
        <v>12909</v>
      </c>
      <c r="H682" t="s">
        <v>12812</v>
      </c>
      <c r="K682" s="200" t="s">
        <v>12913</v>
      </c>
      <c r="L682" t="s">
        <v>12759</v>
      </c>
      <c r="M682" s="1" t="s">
        <v>12760</v>
      </c>
      <c r="N682" s="423"/>
      <c r="O682" s="1"/>
      <c r="P682" s="3"/>
      <c r="Q682" s="3"/>
      <c r="R682" s="3"/>
      <c r="S682" s="3"/>
      <c r="V682" t="s">
        <v>12794</v>
      </c>
      <c r="AF682" s="64"/>
      <c r="AH682" s="4"/>
      <c r="AI682" s="4"/>
      <c r="AJ682" s="4"/>
      <c r="AK682" s="46"/>
      <c r="AL682" s="46"/>
      <c r="AM682" s="4"/>
    </row>
    <row r="683" spans="1:42" customFormat="1" x14ac:dyDescent="0.3">
      <c r="A683" s="386" t="s">
        <v>1447</v>
      </c>
      <c r="B683" s="10" t="s">
        <v>4485</v>
      </c>
      <c r="C683" s="200" t="s">
        <v>12907</v>
      </c>
      <c r="D683" t="s">
        <v>6838</v>
      </c>
      <c r="E683" s="200" t="s">
        <v>12908</v>
      </c>
      <c r="F683" t="s">
        <v>12811</v>
      </c>
      <c r="G683" s="200" t="s">
        <v>12909</v>
      </c>
      <c r="H683" t="s">
        <v>12812</v>
      </c>
      <c r="K683" s="200" t="s">
        <v>12914</v>
      </c>
      <c r="L683" t="s">
        <v>12761</v>
      </c>
      <c r="M683" s="1" t="s">
        <v>12762</v>
      </c>
      <c r="N683" s="423"/>
      <c r="O683" s="1"/>
      <c r="P683" s="3"/>
      <c r="Q683" s="3"/>
      <c r="R683" s="3"/>
      <c r="S683" s="3"/>
      <c r="V683" t="s">
        <v>5782</v>
      </c>
      <c r="AF683" s="64"/>
      <c r="AH683" s="4"/>
      <c r="AI683" s="4"/>
      <c r="AJ683" s="4"/>
      <c r="AK683" s="46"/>
      <c r="AL683" s="46"/>
      <c r="AM683" s="4"/>
    </row>
    <row r="684" spans="1:42" customFormat="1" x14ac:dyDescent="0.3">
      <c r="A684" s="386" t="s">
        <v>1447</v>
      </c>
      <c r="B684" s="10" t="s">
        <v>4485</v>
      </c>
      <c r="C684" s="200" t="s">
        <v>12907</v>
      </c>
      <c r="D684" t="s">
        <v>6838</v>
      </c>
      <c r="E684" s="200" t="s">
        <v>12908</v>
      </c>
      <c r="F684" t="s">
        <v>12811</v>
      </c>
      <c r="G684" s="200" t="s">
        <v>12909</v>
      </c>
      <c r="H684" t="s">
        <v>12812</v>
      </c>
      <c r="K684" s="200" t="s">
        <v>12915</v>
      </c>
      <c r="L684" t="s">
        <v>12763</v>
      </c>
      <c r="M684" s="1" t="s">
        <v>12764</v>
      </c>
      <c r="N684" s="423"/>
      <c r="O684" s="1"/>
      <c r="P684" s="3"/>
      <c r="Q684" s="3"/>
      <c r="R684" s="3"/>
      <c r="S684" s="3"/>
      <c r="V684" t="s">
        <v>5783</v>
      </c>
      <c r="AF684" s="64"/>
      <c r="AH684" s="4"/>
      <c r="AI684" s="4"/>
      <c r="AJ684" s="4"/>
      <c r="AK684" s="46"/>
      <c r="AL684" s="46"/>
      <c r="AM684" s="4"/>
    </row>
    <row r="685" spans="1:42" customFormat="1" x14ac:dyDescent="0.3">
      <c r="A685" s="386" t="s">
        <v>1447</v>
      </c>
      <c r="B685" s="10" t="s">
        <v>4485</v>
      </c>
      <c r="C685" s="200" t="s">
        <v>12907</v>
      </c>
      <c r="D685" t="s">
        <v>6838</v>
      </c>
      <c r="E685" s="200" t="s">
        <v>12908</v>
      </c>
      <c r="F685" t="s">
        <v>12811</v>
      </c>
      <c r="G685" s="200" t="s">
        <v>12909</v>
      </c>
      <c r="H685" t="s">
        <v>12812</v>
      </c>
      <c r="K685" s="200" t="s">
        <v>12916</v>
      </c>
      <c r="L685" t="s">
        <v>12765</v>
      </c>
      <c r="M685" s="1" t="s">
        <v>12766</v>
      </c>
      <c r="N685" s="423"/>
      <c r="O685" s="1"/>
      <c r="P685" s="3"/>
      <c r="Q685" s="3"/>
      <c r="R685" s="3"/>
      <c r="S685" s="3"/>
      <c r="V685" t="s">
        <v>12795</v>
      </c>
      <c r="AF685" s="64"/>
      <c r="AH685" s="4"/>
      <c r="AI685" s="4"/>
      <c r="AJ685" s="4"/>
      <c r="AK685" s="46"/>
      <c r="AL685" s="46"/>
      <c r="AM685" s="4"/>
    </row>
    <row r="686" spans="1:42" customFormat="1" x14ac:dyDescent="0.3">
      <c r="A686" s="386" t="s">
        <v>1447</v>
      </c>
      <c r="B686" s="10" t="s">
        <v>4485</v>
      </c>
      <c r="C686" s="200" t="s">
        <v>12907</v>
      </c>
      <c r="D686" t="s">
        <v>6838</v>
      </c>
      <c r="E686" s="200" t="s">
        <v>12908</v>
      </c>
      <c r="F686" t="s">
        <v>12811</v>
      </c>
      <c r="G686" s="200" t="s">
        <v>12909</v>
      </c>
      <c r="H686" t="s">
        <v>12812</v>
      </c>
      <c r="K686" s="200" t="s">
        <v>12917</v>
      </c>
      <c r="L686" t="s">
        <v>12767</v>
      </c>
      <c r="M686" s="1" t="s">
        <v>12768</v>
      </c>
      <c r="N686" s="423"/>
      <c r="O686" s="1"/>
      <c r="P686" s="3"/>
      <c r="Q686" s="3"/>
      <c r="R686" s="3"/>
      <c r="S686" s="3"/>
      <c r="V686" t="s">
        <v>12796</v>
      </c>
      <c r="AF686" s="64"/>
      <c r="AH686" s="4"/>
      <c r="AI686" s="4"/>
      <c r="AJ686" s="4"/>
      <c r="AK686" s="46"/>
      <c r="AL686" s="46"/>
      <c r="AM686" s="4"/>
    </row>
    <row r="687" spans="1:42" customFormat="1" x14ac:dyDescent="0.3">
      <c r="A687" s="386" t="s">
        <v>1447</v>
      </c>
      <c r="B687" s="10" t="s">
        <v>4485</v>
      </c>
      <c r="C687" s="200" t="s">
        <v>12907</v>
      </c>
      <c r="D687" t="s">
        <v>6838</v>
      </c>
      <c r="E687" s="200" t="s">
        <v>12908</v>
      </c>
      <c r="F687" t="s">
        <v>12811</v>
      </c>
      <c r="G687" s="200" t="s">
        <v>12909</v>
      </c>
      <c r="H687" t="s">
        <v>12812</v>
      </c>
      <c r="K687" s="200" t="s">
        <v>12918</v>
      </c>
      <c r="L687" t="s">
        <v>12769</v>
      </c>
      <c r="M687" s="1" t="s">
        <v>12770</v>
      </c>
      <c r="N687" s="423"/>
      <c r="O687" s="1"/>
      <c r="P687" s="3"/>
      <c r="Q687" s="3"/>
      <c r="R687" s="3"/>
      <c r="S687" s="3"/>
      <c r="V687" t="s">
        <v>5786</v>
      </c>
      <c r="AF687" s="64"/>
      <c r="AH687" s="4"/>
      <c r="AI687" s="4"/>
      <c r="AJ687" s="4"/>
      <c r="AK687" s="46"/>
      <c r="AL687" s="46"/>
      <c r="AM687" s="4"/>
    </row>
    <row r="688" spans="1:42" customFormat="1" x14ac:dyDescent="0.3">
      <c r="A688" s="386" t="s">
        <v>1447</v>
      </c>
      <c r="B688" s="10" t="s">
        <v>4485</v>
      </c>
      <c r="C688" s="200" t="s">
        <v>12907</v>
      </c>
      <c r="D688" t="s">
        <v>6838</v>
      </c>
      <c r="E688" s="200" t="s">
        <v>12908</v>
      </c>
      <c r="F688" t="s">
        <v>12811</v>
      </c>
      <c r="G688" s="200" t="s">
        <v>12909</v>
      </c>
      <c r="H688" t="s">
        <v>12812</v>
      </c>
      <c r="K688" s="200" t="s">
        <v>12919</v>
      </c>
      <c r="L688" t="s">
        <v>12771</v>
      </c>
      <c r="M688" s="1" t="s">
        <v>12772</v>
      </c>
      <c r="N688" s="423"/>
      <c r="O688" s="1"/>
      <c r="P688" s="3"/>
      <c r="Q688" s="3"/>
      <c r="R688" s="3"/>
      <c r="S688" s="3"/>
      <c r="V688" t="s">
        <v>12800</v>
      </c>
      <c r="AF688" s="64"/>
      <c r="AH688" s="4"/>
      <c r="AI688" s="4"/>
      <c r="AJ688" s="4"/>
      <c r="AK688" s="46"/>
      <c r="AL688" s="46"/>
      <c r="AM688" s="4"/>
    </row>
    <row r="689" spans="1:42" customFormat="1" x14ac:dyDescent="0.3">
      <c r="A689" s="386" t="s">
        <v>1447</v>
      </c>
      <c r="B689" s="10" t="s">
        <v>4485</v>
      </c>
      <c r="C689" s="200" t="s">
        <v>12907</v>
      </c>
      <c r="D689" t="s">
        <v>6838</v>
      </c>
      <c r="E689" s="200" t="s">
        <v>12908</v>
      </c>
      <c r="F689" t="s">
        <v>12811</v>
      </c>
      <c r="G689" s="200" t="s">
        <v>12909</v>
      </c>
      <c r="H689" t="s">
        <v>12812</v>
      </c>
      <c r="K689" s="200" t="s">
        <v>12920</v>
      </c>
      <c r="L689" t="s">
        <v>12773</v>
      </c>
      <c r="M689" s="1" t="s">
        <v>12774</v>
      </c>
      <c r="N689" s="423"/>
      <c r="O689" s="1"/>
      <c r="P689" s="3"/>
      <c r="Q689" s="3"/>
      <c r="R689" s="3"/>
      <c r="S689" s="3"/>
      <c r="V689" t="s">
        <v>12797</v>
      </c>
      <c r="AF689" s="64"/>
      <c r="AH689" s="4"/>
      <c r="AI689" s="4"/>
      <c r="AJ689" s="4"/>
      <c r="AK689" s="46"/>
      <c r="AL689" s="46"/>
      <c r="AM689" s="4"/>
    </row>
    <row r="690" spans="1:42" customFormat="1" x14ac:dyDescent="0.3">
      <c r="A690" s="386" t="s">
        <v>1447</v>
      </c>
      <c r="B690" s="10" t="s">
        <v>4485</v>
      </c>
      <c r="C690" s="200" t="s">
        <v>12907</v>
      </c>
      <c r="D690" t="s">
        <v>6838</v>
      </c>
      <c r="E690" s="200" t="s">
        <v>12908</v>
      </c>
      <c r="F690" t="s">
        <v>12811</v>
      </c>
      <c r="G690" s="200" t="s">
        <v>12909</v>
      </c>
      <c r="H690" t="s">
        <v>12812</v>
      </c>
      <c r="K690" s="200" t="s">
        <v>12921</v>
      </c>
      <c r="L690" t="s">
        <v>12775</v>
      </c>
      <c r="M690" s="1" t="s">
        <v>12776</v>
      </c>
      <c r="N690" s="423"/>
      <c r="O690" s="1"/>
      <c r="P690" s="3"/>
      <c r="Q690" s="3"/>
      <c r="R690" s="3"/>
      <c r="S690" s="3"/>
      <c r="V690" t="s">
        <v>12798</v>
      </c>
      <c r="AF690" s="64"/>
      <c r="AH690" s="4"/>
      <c r="AI690" s="4"/>
      <c r="AJ690" s="4"/>
      <c r="AK690" s="46"/>
      <c r="AL690" s="46"/>
      <c r="AM690" s="4"/>
    </row>
    <row r="691" spans="1:42" customFormat="1" x14ac:dyDescent="0.3">
      <c r="A691" s="386" t="s">
        <v>1447</v>
      </c>
      <c r="B691" s="10" t="s">
        <v>4485</v>
      </c>
      <c r="C691" s="200" t="s">
        <v>12907</v>
      </c>
      <c r="D691" t="s">
        <v>6838</v>
      </c>
      <c r="E691" s="200" t="s">
        <v>12908</v>
      </c>
      <c r="F691" t="s">
        <v>12811</v>
      </c>
      <c r="G691" s="200" t="s">
        <v>12909</v>
      </c>
      <c r="H691" t="s">
        <v>12812</v>
      </c>
      <c r="K691" s="200" t="s">
        <v>12922</v>
      </c>
      <c r="L691" t="s">
        <v>12777</v>
      </c>
      <c r="M691" s="1" t="s">
        <v>12778</v>
      </c>
      <c r="N691" s="423"/>
      <c r="O691" s="1"/>
      <c r="P691" s="3"/>
      <c r="Q691" s="3"/>
      <c r="R691" s="3"/>
      <c r="S691" s="3"/>
      <c r="V691" t="s">
        <v>5789</v>
      </c>
      <c r="AF691" s="64"/>
      <c r="AH691" s="4"/>
      <c r="AI691" s="4"/>
      <c r="AJ691" s="4"/>
      <c r="AK691" s="46"/>
      <c r="AL691" s="46"/>
      <c r="AM691" s="4"/>
    </row>
    <row r="692" spans="1:42" customFormat="1" x14ac:dyDescent="0.3">
      <c r="A692" s="386" t="s">
        <v>1447</v>
      </c>
      <c r="B692" s="10" t="s">
        <v>4485</v>
      </c>
      <c r="C692" s="200" t="s">
        <v>12907</v>
      </c>
      <c r="D692" t="s">
        <v>6838</v>
      </c>
      <c r="E692" s="200" t="s">
        <v>12908</v>
      </c>
      <c r="F692" t="s">
        <v>12811</v>
      </c>
      <c r="G692" s="200" t="s">
        <v>12909</v>
      </c>
      <c r="H692" t="s">
        <v>12812</v>
      </c>
      <c r="K692" s="200" t="s">
        <v>12923</v>
      </c>
      <c r="L692" t="s">
        <v>12779</v>
      </c>
      <c r="M692" s="1" t="s">
        <v>12780</v>
      </c>
      <c r="N692" s="423"/>
      <c r="O692" s="1"/>
      <c r="P692" s="3"/>
      <c r="Q692" s="3"/>
      <c r="R692" s="3"/>
      <c r="S692" s="3"/>
      <c r="V692" t="s">
        <v>12799</v>
      </c>
      <c r="AF692" s="64"/>
      <c r="AH692" s="4"/>
      <c r="AI692" s="4"/>
      <c r="AJ692" s="4"/>
      <c r="AK692" s="46"/>
      <c r="AL692" s="46"/>
      <c r="AM692" s="4"/>
    </row>
    <row r="693" spans="1:42" customFormat="1" x14ac:dyDescent="0.3">
      <c r="A693" s="386" t="s">
        <v>1447</v>
      </c>
      <c r="B693" s="10" t="s">
        <v>4485</v>
      </c>
      <c r="C693" s="200" t="s">
        <v>12907</v>
      </c>
      <c r="D693" t="s">
        <v>6838</v>
      </c>
      <c r="E693" s="200" t="s">
        <v>12908</v>
      </c>
      <c r="F693" t="s">
        <v>12811</v>
      </c>
      <c r="G693" s="200" t="s">
        <v>12909</v>
      </c>
      <c r="H693" t="s">
        <v>12812</v>
      </c>
      <c r="K693" s="200" t="s">
        <v>12924</v>
      </c>
      <c r="L693" t="s">
        <v>12806</v>
      </c>
      <c r="M693" s="1" t="s">
        <v>12781</v>
      </c>
      <c r="N693" s="423"/>
      <c r="O693" s="1"/>
      <c r="P693" s="3"/>
      <c r="Q693" s="3"/>
      <c r="R693" s="3"/>
      <c r="S693" s="3"/>
      <c r="V693" t="s">
        <v>12805</v>
      </c>
      <c r="AF693" s="64"/>
      <c r="AH693" s="4"/>
      <c r="AI693" s="4"/>
      <c r="AJ693" s="4"/>
      <c r="AK693" s="46"/>
      <c r="AL693" s="46"/>
      <c r="AM693" s="4"/>
    </row>
    <row r="694" spans="1:42" customFormat="1" x14ac:dyDescent="0.3">
      <c r="A694" s="386" t="s">
        <v>1447</v>
      </c>
      <c r="B694" s="10" t="s">
        <v>4485</v>
      </c>
      <c r="C694" s="200" t="s">
        <v>12907</v>
      </c>
      <c r="D694" t="s">
        <v>6838</v>
      </c>
      <c r="E694" s="200" t="s">
        <v>12908</v>
      </c>
      <c r="F694" t="s">
        <v>12811</v>
      </c>
      <c r="G694" s="200" t="s">
        <v>12909</v>
      </c>
      <c r="H694" t="s">
        <v>12812</v>
      </c>
      <c r="K694" s="200" t="s">
        <v>12925</v>
      </c>
      <c r="L694" t="s">
        <v>12782</v>
      </c>
      <c r="M694" s="1"/>
      <c r="N694" s="423"/>
      <c r="O694" s="1"/>
      <c r="P694" s="3"/>
      <c r="Q694" s="3"/>
      <c r="R694" s="3"/>
      <c r="S694" s="3"/>
      <c r="V694" t="s">
        <v>12782</v>
      </c>
      <c r="AF694" s="64"/>
      <c r="AH694" s="4"/>
      <c r="AI694" s="4"/>
      <c r="AJ694" s="4"/>
      <c r="AK694" s="46"/>
      <c r="AL694" s="46"/>
      <c r="AM694" s="4"/>
    </row>
    <row r="695" spans="1:42" customFormat="1" x14ac:dyDescent="0.3">
      <c r="A695" s="386" t="s">
        <v>1447</v>
      </c>
      <c r="B695" s="10" t="s">
        <v>4485</v>
      </c>
      <c r="C695" s="200" t="s">
        <v>12907</v>
      </c>
      <c r="D695" t="s">
        <v>6838</v>
      </c>
      <c r="E695" s="200" t="s">
        <v>12908</v>
      </c>
      <c r="F695" t="s">
        <v>12811</v>
      </c>
      <c r="G695" s="200" t="s">
        <v>12909</v>
      </c>
      <c r="H695" t="s">
        <v>12812</v>
      </c>
      <c r="K695" s="200" t="s">
        <v>12926</v>
      </c>
      <c r="L695" t="s">
        <v>12783</v>
      </c>
      <c r="M695" s="1" t="s">
        <v>12784</v>
      </c>
      <c r="N695" s="423"/>
      <c r="O695" s="1"/>
      <c r="P695" s="3"/>
      <c r="Q695" s="3"/>
      <c r="R695" s="3"/>
      <c r="S695" s="3"/>
      <c r="V695" t="s">
        <v>12783</v>
      </c>
      <c r="AF695" s="64"/>
      <c r="AH695" s="4"/>
      <c r="AI695" s="4"/>
      <c r="AJ695" s="4"/>
      <c r="AK695" s="46"/>
      <c r="AL695" s="46"/>
      <c r="AM695" s="4"/>
    </row>
    <row r="696" spans="1:42" customFormat="1" x14ac:dyDescent="0.3">
      <c r="A696" s="386" t="s">
        <v>1447</v>
      </c>
      <c r="B696" s="10" t="s">
        <v>4485</v>
      </c>
      <c r="C696" s="200" t="s">
        <v>12907</v>
      </c>
      <c r="D696" t="s">
        <v>6838</v>
      </c>
      <c r="E696" s="200" t="s">
        <v>12908</v>
      </c>
      <c r="F696" t="s">
        <v>12811</v>
      </c>
      <c r="G696" s="200" t="s">
        <v>12909</v>
      </c>
      <c r="H696" t="s">
        <v>12812</v>
      </c>
      <c r="K696" s="200" t="s">
        <v>12926</v>
      </c>
      <c r="L696" t="s">
        <v>12785</v>
      </c>
      <c r="M696" s="1" t="s">
        <v>12786</v>
      </c>
      <c r="N696" s="423"/>
      <c r="O696" s="1"/>
      <c r="P696" s="3"/>
      <c r="Q696" s="3"/>
      <c r="R696" s="3"/>
      <c r="S696" s="3"/>
      <c r="V696" t="s">
        <v>12801</v>
      </c>
      <c r="AF696" s="64"/>
      <c r="AH696" s="4"/>
      <c r="AI696" s="4"/>
      <c r="AJ696" s="4"/>
      <c r="AK696" s="46"/>
      <c r="AL696" s="46"/>
      <c r="AM696" s="4"/>
    </row>
    <row r="697" spans="1:42" customFormat="1" x14ac:dyDescent="0.3">
      <c r="A697" s="386" t="s">
        <v>1447</v>
      </c>
      <c r="B697" s="10" t="s">
        <v>4485</v>
      </c>
      <c r="C697" s="200" t="s">
        <v>12907</v>
      </c>
      <c r="D697" t="s">
        <v>6838</v>
      </c>
      <c r="E697" s="200" t="s">
        <v>12908</v>
      </c>
      <c r="F697" t="s">
        <v>12811</v>
      </c>
      <c r="G697" s="200" t="s">
        <v>12909</v>
      </c>
      <c r="H697" t="s">
        <v>12812</v>
      </c>
      <c r="K697" s="200" t="s">
        <v>12927</v>
      </c>
      <c r="L697" t="s">
        <v>12787</v>
      </c>
      <c r="M697" s="1" t="s">
        <v>12788</v>
      </c>
      <c r="N697" s="423"/>
      <c r="O697" s="1"/>
      <c r="P697" s="3"/>
      <c r="Q697" s="3"/>
      <c r="R697" s="3"/>
      <c r="S697" s="3"/>
      <c r="V697" t="s">
        <v>12802</v>
      </c>
      <c r="AF697" s="64"/>
      <c r="AH697" s="4"/>
      <c r="AI697" s="4"/>
      <c r="AJ697" s="4"/>
      <c r="AK697" s="46"/>
      <c r="AL697" s="46"/>
      <c r="AM697" s="4"/>
    </row>
    <row r="698" spans="1:42" customFormat="1" x14ac:dyDescent="0.3">
      <c r="A698" s="386" t="s">
        <v>1447</v>
      </c>
      <c r="B698" s="10" t="s">
        <v>4485</v>
      </c>
      <c r="C698" s="200" t="s">
        <v>12907</v>
      </c>
      <c r="D698" t="s">
        <v>6838</v>
      </c>
      <c r="E698" s="200" t="s">
        <v>12908</v>
      </c>
      <c r="F698" t="s">
        <v>12811</v>
      </c>
      <c r="G698" s="200" t="s">
        <v>12909</v>
      </c>
      <c r="H698" t="s">
        <v>12812</v>
      </c>
      <c r="K698" s="200" t="s">
        <v>12928</v>
      </c>
      <c r="L698" t="s">
        <v>12789</v>
      </c>
      <c r="M698" s="1" t="s">
        <v>12790</v>
      </c>
      <c r="N698" s="423"/>
      <c r="O698" s="1"/>
      <c r="P698" s="3"/>
      <c r="Q698" s="3"/>
      <c r="R698" s="3"/>
      <c r="S698" s="3"/>
      <c r="V698" t="s">
        <v>12803</v>
      </c>
      <c r="AF698" s="64"/>
      <c r="AH698" s="4"/>
      <c r="AI698" s="4"/>
      <c r="AJ698" s="4"/>
      <c r="AK698" s="46"/>
      <c r="AL698" s="46"/>
      <c r="AM698" s="4"/>
    </row>
    <row r="699" spans="1:42" customFormat="1" x14ac:dyDescent="0.3">
      <c r="A699" s="386" t="s">
        <v>1447</v>
      </c>
      <c r="B699" s="10" t="s">
        <v>4485</v>
      </c>
      <c r="C699" s="200" t="s">
        <v>12907</v>
      </c>
      <c r="D699" t="s">
        <v>6838</v>
      </c>
      <c r="E699" s="200" t="s">
        <v>12908</v>
      </c>
      <c r="F699" t="s">
        <v>12811</v>
      </c>
      <c r="G699" s="200" t="s">
        <v>12909</v>
      </c>
      <c r="H699" t="s">
        <v>12812</v>
      </c>
      <c r="K699" s="200" t="s">
        <v>12929</v>
      </c>
      <c r="L699" t="s">
        <v>12791</v>
      </c>
      <c r="M699" s="1" t="s">
        <v>12807</v>
      </c>
      <c r="N699" s="423"/>
      <c r="O699" s="1"/>
      <c r="P699" s="3"/>
      <c r="Q699" s="3"/>
      <c r="R699" s="3"/>
      <c r="S699" s="3"/>
      <c r="V699" t="s">
        <v>12804</v>
      </c>
      <c r="AF699" s="64"/>
      <c r="AH699" s="4"/>
      <c r="AI699" s="4"/>
      <c r="AJ699" s="4"/>
      <c r="AK699" s="46"/>
      <c r="AL699" s="46"/>
      <c r="AM699" s="4"/>
    </row>
    <row r="700" spans="1:42" s="293" customFormat="1" x14ac:dyDescent="0.3">
      <c r="A700" s="50" t="s">
        <v>1448</v>
      </c>
      <c r="B700" s="51" t="s">
        <v>3447</v>
      </c>
      <c r="C700" s="50" t="s">
        <v>3448</v>
      </c>
      <c r="D700" s="51" t="s">
        <v>1491</v>
      </c>
      <c r="E700" s="50" t="s">
        <v>3448</v>
      </c>
      <c r="F700" s="51" t="s">
        <v>1493</v>
      </c>
      <c r="G700" s="50" t="s">
        <v>3448</v>
      </c>
      <c r="H700" s="51" t="s">
        <v>1491</v>
      </c>
      <c r="I700" s="51"/>
      <c r="J700" s="51"/>
      <c r="K700" s="50" t="s">
        <v>3448</v>
      </c>
      <c r="L700" s="51" t="s">
        <v>1491</v>
      </c>
      <c r="M700" s="420" t="s">
        <v>271</v>
      </c>
      <c r="N700" s="420" t="s">
        <v>271</v>
      </c>
      <c r="O700" s="420" t="s">
        <v>271</v>
      </c>
      <c r="P700" s="60" t="s">
        <v>271</v>
      </c>
      <c r="Q700" s="60" t="s">
        <v>271</v>
      </c>
      <c r="R700" s="60" t="s">
        <v>271</v>
      </c>
      <c r="S700" s="60" t="s">
        <v>271</v>
      </c>
      <c r="T700" s="60" t="s">
        <v>271</v>
      </c>
      <c r="U700" s="60" t="s">
        <v>271</v>
      </c>
      <c r="V700" s="51" t="s">
        <v>1489</v>
      </c>
      <c r="W700" s="291"/>
      <c r="X700" s="291"/>
      <c r="Y700" s="291"/>
      <c r="Z700" s="291"/>
      <c r="AA700" s="291"/>
      <c r="AB700" s="291"/>
      <c r="AC700" s="291"/>
      <c r="AD700" s="291"/>
      <c r="AE700" s="292"/>
      <c r="AF700" s="56"/>
      <c r="AG700" s="292"/>
      <c r="AH700" s="56"/>
      <c r="AI700" s="56"/>
      <c r="AJ700" s="56"/>
      <c r="AK700" s="57">
        <v>2.2000000000000002</v>
      </c>
      <c r="AL700" s="57">
        <v>2.2000000000000002</v>
      </c>
      <c r="AM700" s="147">
        <f t="shared" ref="AM700:AM731" si="25">SUM(AK700:AL700)</f>
        <v>4.4000000000000004</v>
      </c>
      <c r="AN700" s="52"/>
      <c r="AO700" s="52"/>
      <c r="AP700" s="51"/>
    </row>
    <row r="701" spans="1:42" s="293" customFormat="1" x14ac:dyDescent="0.3">
      <c r="A701" s="50" t="s">
        <v>1448</v>
      </c>
      <c r="B701" s="51" t="s">
        <v>3447</v>
      </c>
      <c r="C701" s="50" t="s">
        <v>3448</v>
      </c>
      <c r="D701" s="51" t="s">
        <v>1491</v>
      </c>
      <c r="E701" s="50" t="s">
        <v>3448</v>
      </c>
      <c r="F701" s="51" t="s">
        <v>1493</v>
      </c>
      <c r="G701" s="50" t="s">
        <v>3448</v>
      </c>
      <c r="H701" s="51" t="s">
        <v>1491</v>
      </c>
      <c r="I701" s="51"/>
      <c r="J701" s="51"/>
      <c r="K701" s="50" t="s">
        <v>3448</v>
      </c>
      <c r="L701" s="51" t="s">
        <v>1491</v>
      </c>
      <c r="M701" s="420" t="s">
        <v>271</v>
      </c>
      <c r="N701" s="420" t="s">
        <v>271</v>
      </c>
      <c r="O701" s="420" t="s">
        <v>271</v>
      </c>
      <c r="P701" s="60" t="s">
        <v>271</v>
      </c>
      <c r="Q701" s="60" t="s">
        <v>271</v>
      </c>
      <c r="R701" s="60" t="s">
        <v>271</v>
      </c>
      <c r="S701" s="60" t="s">
        <v>271</v>
      </c>
      <c r="T701" s="60" t="s">
        <v>271</v>
      </c>
      <c r="U701" s="60" t="s">
        <v>271</v>
      </c>
      <c r="V701" s="51" t="s">
        <v>1490</v>
      </c>
      <c r="W701" s="291"/>
      <c r="X701" s="291"/>
      <c r="Y701" s="291"/>
      <c r="Z701" s="291"/>
      <c r="AA701" s="291"/>
      <c r="AB701" s="291"/>
      <c r="AC701" s="291"/>
      <c r="AD701" s="291"/>
      <c r="AE701" s="292"/>
      <c r="AF701" s="56"/>
      <c r="AG701" s="292"/>
      <c r="AH701" s="56"/>
      <c r="AI701" s="56"/>
      <c r="AJ701" s="56"/>
      <c r="AK701" s="57">
        <v>0.88000000000000012</v>
      </c>
      <c r="AL701" s="57">
        <v>0.88000000000000012</v>
      </c>
      <c r="AM701" s="147">
        <f t="shared" si="25"/>
        <v>1.7600000000000002</v>
      </c>
      <c r="AN701" s="52"/>
      <c r="AO701" s="52"/>
      <c r="AP701" s="51"/>
    </row>
    <row r="702" spans="1:42" s="293" customFormat="1" x14ac:dyDescent="0.3">
      <c r="A702" s="50" t="s">
        <v>1448</v>
      </c>
      <c r="B702" s="51" t="s">
        <v>3447</v>
      </c>
      <c r="C702" s="50" t="s">
        <v>3448</v>
      </c>
      <c r="D702" s="51" t="s">
        <v>1491</v>
      </c>
      <c r="E702" s="50" t="s">
        <v>3448</v>
      </c>
      <c r="F702" s="51" t="s">
        <v>1493</v>
      </c>
      <c r="G702" s="50" t="s">
        <v>3448</v>
      </c>
      <c r="H702" s="51" t="s">
        <v>1491</v>
      </c>
      <c r="I702" s="51"/>
      <c r="J702" s="51"/>
      <c r="K702" s="50" t="s">
        <v>3448</v>
      </c>
      <c r="L702" s="51" t="s">
        <v>1491</v>
      </c>
      <c r="M702" s="420" t="s">
        <v>271</v>
      </c>
      <c r="N702" s="420" t="s">
        <v>271</v>
      </c>
      <c r="O702" s="420" t="s">
        <v>271</v>
      </c>
      <c r="P702" s="60" t="s">
        <v>271</v>
      </c>
      <c r="Q702" s="60" t="s">
        <v>271</v>
      </c>
      <c r="R702" s="60" t="s">
        <v>271</v>
      </c>
      <c r="S702" s="60" t="s">
        <v>271</v>
      </c>
      <c r="T702" s="60" t="s">
        <v>271</v>
      </c>
      <c r="U702" s="60" t="s">
        <v>271</v>
      </c>
      <c r="V702" s="51" t="s">
        <v>1495</v>
      </c>
      <c r="W702" s="291"/>
      <c r="X702" s="291"/>
      <c r="Y702" s="291"/>
      <c r="Z702" s="291"/>
      <c r="AA702" s="291"/>
      <c r="AB702" s="291"/>
      <c r="AC702" s="291"/>
      <c r="AD702" s="291"/>
      <c r="AE702" s="292"/>
      <c r="AF702" s="56"/>
      <c r="AG702" s="292"/>
      <c r="AH702" s="56"/>
      <c r="AI702" s="56"/>
      <c r="AJ702" s="56"/>
      <c r="AK702" s="57">
        <v>15.054376299999999</v>
      </c>
      <c r="AL702" s="57">
        <v>18.006804160000002</v>
      </c>
      <c r="AM702" s="147">
        <f t="shared" si="25"/>
        <v>33.061180460000003</v>
      </c>
      <c r="AN702" s="52"/>
      <c r="AO702" s="52"/>
      <c r="AP702" s="51"/>
    </row>
    <row r="703" spans="1:42" x14ac:dyDescent="0.3">
      <c r="A703" s="314" t="s">
        <v>1448</v>
      </c>
      <c r="B703" s="283" t="s">
        <v>3447</v>
      </c>
      <c r="C703" s="314" t="s">
        <v>3449</v>
      </c>
      <c r="D703" s="283" t="s">
        <v>3450</v>
      </c>
      <c r="E703" s="314" t="s">
        <v>3451</v>
      </c>
      <c r="F703" s="283" t="s">
        <v>3452</v>
      </c>
      <c r="G703" s="314" t="s">
        <v>3453</v>
      </c>
      <c r="H703" s="283" t="s">
        <v>3454</v>
      </c>
      <c r="K703" s="318" t="s">
        <v>3455</v>
      </c>
      <c r="L703" s="283" t="s">
        <v>3456</v>
      </c>
      <c r="M703" s="167" t="s">
        <v>3457</v>
      </c>
      <c r="N703" s="1" t="s">
        <v>271</v>
      </c>
      <c r="O703" s="1">
        <v>1</v>
      </c>
      <c r="P703" s="3">
        <v>1</v>
      </c>
      <c r="Q703" s="3">
        <v>1</v>
      </c>
      <c r="R703" s="3">
        <v>0</v>
      </c>
      <c r="S703" s="3">
        <v>0</v>
      </c>
      <c r="T703" s="283" t="s">
        <v>265</v>
      </c>
      <c r="U703" s="283" t="s">
        <v>350</v>
      </c>
      <c r="V703" s="1" t="s">
        <v>3458</v>
      </c>
      <c r="W703" s="1">
        <v>1</v>
      </c>
      <c r="X703" s="1">
        <v>0</v>
      </c>
      <c r="Y703" s="1">
        <v>0</v>
      </c>
      <c r="Z703" s="1">
        <v>1</v>
      </c>
      <c r="AA703" s="1">
        <v>1</v>
      </c>
      <c r="AB703" s="1">
        <v>0</v>
      </c>
      <c r="AC703" s="1">
        <v>0</v>
      </c>
      <c r="AD703" s="1">
        <v>1</v>
      </c>
      <c r="AE703" s="302">
        <f t="shared" ref="AE703:AE734" si="26">SUM(W703:AD703)/8</f>
        <v>0.5</v>
      </c>
      <c r="AF703" s="310"/>
      <c r="AG703" s="17">
        <v>0</v>
      </c>
      <c r="AH703" s="310">
        <v>0</v>
      </c>
      <c r="AI703" s="310">
        <v>0.2</v>
      </c>
      <c r="AJ703" s="310">
        <v>0.2</v>
      </c>
      <c r="AK703" s="317">
        <v>0</v>
      </c>
      <c r="AL703" s="317"/>
      <c r="AM703" s="147">
        <f t="shared" si="25"/>
        <v>0</v>
      </c>
      <c r="AN703" s="283" t="s">
        <v>265</v>
      </c>
      <c r="AO703" s="18" t="s">
        <v>350</v>
      </c>
      <c r="AP703" s="283" t="s">
        <v>3459</v>
      </c>
    </row>
    <row r="704" spans="1:42" x14ac:dyDescent="0.3">
      <c r="A704" s="314" t="s">
        <v>1448</v>
      </c>
      <c r="B704" s="283" t="s">
        <v>3447</v>
      </c>
      <c r="C704" s="314" t="s">
        <v>3449</v>
      </c>
      <c r="D704" s="283" t="s">
        <v>3450</v>
      </c>
      <c r="E704" s="314" t="s">
        <v>3451</v>
      </c>
      <c r="F704" s="283" t="s">
        <v>3452</v>
      </c>
      <c r="G704" s="314" t="s">
        <v>3453</v>
      </c>
      <c r="H704" s="283" t="s">
        <v>3454</v>
      </c>
      <c r="K704" s="318" t="s">
        <v>3455</v>
      </c>
      <c r="L704" s="283" t="s">
        <v>3456</v>
      </c>
      <c r="M704" s="1" t="s">
        <v>3460</v>
      </c>
      <c r="N704" s="1" t="s">
        <v>271</v>
      </c>
      <c r="O704" s="1">
        <v>0</v>
      </c>
      <c r="P704" s="3">
        <v>4</v>
      </c>
      <c r="Q704" s="3">
        <v>4</v>
      </c>
      <c r="R704" s="3">
        <v>4</v>
      </c>
      <c r="S704" s="3">
        <v>4</v>
      </c>
      <c r="T704" s="283" t="s">
        <v>265</v>
      </c>
      <c r="U704" s="283" t="s">
        <v>350</v>
      </c>
      <c r="V704" s="1" t="s">
        <v>3461</v>
      </c>
      <c r="W704" s="1">
        <v>1</v>
      </c>
      <c r="X704" s="1">
        <v>0</v>
      </c>
      <c r="Y704" s="1">
        <v>0</v>
      </c>
      <c r="Z704" s="1">
        <v>1</v>
      </c>
      <c r="AA704" s="1">
        <v>1</v>
      </c>
      <c r="AB704" s="1">
        <v>0</v>
      </c>
      <c r="AC704" s="316">
        <v>0</v>
      </c>
      <c r="AD704" s="316">
        <v>1</v>
      </c>
      <c r="AE704" s="302">
        <f t="shared" si="26"/>
        <v>0.5</v>
      </c>
      <c r="AF704" s="310"/>
      <c r="AG704" s="17">
        <v>0</v>
      </c>
      <c r="AH704" s="310">
        <v>0</v>
      </c>
      <c r="AI704" s="310">
        <v>0</v>
      </c>
      <c r="AJ704" s="310">
        <v>0</v>
      </c>
      <c r="AK704" s="317">
        <v>0</v>
      </c>
      <c r="AL704" s="317"/>
      <c r="AM704" s="147">
        <f t="shared" si="25"/>
        <v>0</v>
      </c>
      <c r="AN704" s="283" t="s">
        <v>265</v>
      </c>
      <c r="AO704" s="18" t="s">
        <v>350</v>
      </c>
      <c r="AP704" s="283" t="s">
        <v>869</v>
      </c>
    </row>
    <row r="705" spans="1:42" x14ac:dyDescent="0.3">
      <c r="A705" s="314" t="s">
        <v>1448</v>
      </c>
      <c r="B705" s="283" t="s">
        <v>3447</v>
      </c>
      <c r="C705" s="314" t="s">
        <v>3449</v>
      </c>
      <c r="D705" s="283" t="s">
        <v>3450</v>
      </c>
      <c r="E705" s="314" t="s">
        <v>3451</v>
      </c>
      <c r="F705" s="283" t="s">
        <v>3452</v>
      </c>
      <c r="G705" s="314" t="s">
        <v>3453</v>
      </c>
      <c r="H705" s="283" t="s">
        <v>3454</v>
      </c>
      <c r="K705" s="318" t="s">
        <v>3455</v>
      </c>
      <c r="L705" s="283" t="s">
        <v>3456</v>
      </c>
      <c r="M705" s="1" t="s">
        <v>3462</v>
      </c>
      <c r="N705" s="1" t="s">
        <v>271</v>
      </c>
      <c r="O705" s="1">
        <v>0</v>
      </c>
      <c r="P705" s="3">
        <v>200</v>
      </c>
      <c r="Q705" s="3">
        <v>200</v>
      </c>
      <c r="R705" s="3">
        <v>200</v>
      </c>
      <c r="S705" s="3">
        <v>200</v>
      </c>
      <c r="T705" s="283" t="s">
        <v>265</v>
      </c>
      <c r="U705" s="283" t="s">
        <v>350</v>
      </c>
      <c r="V705" s="1" t="s">
        <v>3463</v>
      </c>
      <c r="W705" s="1">
        <v>1</v>
      </c>
      <c r="X705" s="1">
        <v>1</v>
      </c>
      <c r="Y705" s="1">
        <v>0</v>
      </c>
      <c r="Z705" s="1">
        <v>1</v>
      </c>
      <c r="AA705" s="1">
        <v>1</v>
      </c>
      <c r="AB705" s="1">
        <v>0</v>
      </c>
      <c r="AC705" s="316">
        <v>1</v>
      </c>
      <c r="AD705" s="316">
        <v>1</v>
      </c>
      <c r="AE705" s="302">
        <f t="shared" si="26"/>
        <v>0.75</v>
      </c>
      <c r="AF705" s="310"/>
      <c r="AG705" s="17">
        <v>0</v>
      </c>
      <c r="AH705" s="310">
        <v>0</v>
      </c>
      <c r="AI705" s="310">
        <v>0.1</v>
      </c>
      <c r="AJ705" s="310">
        <v>0.1</v>
      </c>
      <c r="AK705" s="317">
        <v>0.1</v>
      </c>
      <c r="AL705" s="317">
        <v>0.1</v>
      </c>
      <c r="AM705" s="147">
        <f t="shared" si="25"/>
        <v>0.2</v>
      </c>
      <c r="AN705" s="283" t="s">
        <v>265</v>
      </c>
      <c r="AO705" s="18" t="s">
        <v>350</v>
      </c>
      <c r="AP705" s="283" t="s">
        <v>3464</v>
      </c>
    </row>
    <row r="706" spans="1:42" s="18" customFormat="1" x14ac:dyDescent="0.3">
      <c r="A706" s="207" t="s">
        <v>1448</v>
      </c>
      <c r="B706" s="18" t="s">
        <v>3447</v>
      </c>
      <c r="C706" s="207" t="s">
        <v>3449</v>
      </c>
      <c r="D706" s="18" t="s">
        <v>3450</v>
      </c>
      <c r="E706" s="207" t="s">
        <v>3451</v>
      </c>
      <c r="F706" s="18" t="s">
        <v>3452</v>
      </c>
      <c r="G706" s="207" t="s">
        <v>3453</v>
      </c>
      <c r="H706" s="18" t="s">
        <v>3454</v>
      </c>
      <c r="K706" s="208" t="s">
        <v>3455</v>
      </c>
      <c r="L706" s="18" t="s">
        <v>3456</v>
      </c>
      <c r="M706" s="18" t="s">
        <v>3465</v>
      </c>
      <c r="N706" s="18">
        <v>0</v>
      </c>
      <c r="O706" s="18">
        <v>0</v>
      </c>
      <c r="P706" s="16">
        <v>100</v>
      </c>
      <c r="Q706" s="16">
        <v>100</v>
      </c>
      <c r="R706" s="16">
        <v>100</v>
      </c>
      <c r="S706" s="16">
        <v>100</v>
      </c>
      <c r="T706" s="283" t="s">
        <v>265</v>
      </c>
      <c r="U706" s="283" t="s">
        <v>350</v>
      </c>
      <c r="V706" s="243" t="s">
        <v>3466</v>
      </c>
      <c r="W706" s="18">
        <v>1</v>
      </c>
      <c r="X706" s="18">
        <v>0</v>
      </c>
      <c r="Y706" s="18">
        <v>0</v>
      </c>
      <c r="Z706" s="18">
        <v>1</v>
      </c>
      <c r="AA706" s="18">
        <v>1</v>
      </c>
      <c r="AB706" s="18">
        <v>0</v>
      </c>
      <c r="AC706" s="316">
        <v>0</v>
      </c>
      <c r="AD706" s="316">
        <v>1</v>
      </c>
      <c r="AE706" s="302">
        <f t="shared" si="26"/>
        <v>0.5</v>
      </c>
      <c r="AF706" s="176"/>
      <c r="AG706" s="17">
        <v>0</v>
      </c>
      <c r="AH706" s="176">
        <v>0</v>
      </c>
      <c r="AI706" s="176">
        <v>0</v>
      </c>
      <c r="AJ706" s="176">
        <v>0</v>
      </c>
      <c r="AK706" s="177">
        <v>0</v>
      </c>
      <c r="AL706" s="177"/>
      <c r="AM706" s="147">
        <f t="shared" si="25"/>
        <v>0</v>
      </c>
      <c r="AN706" s="18" t="s">
        <v>265</v>
      </c>
      <c r="AO706" s="18" t="s">
        <v>350</v>
      </c>
      <c r="AP706" s="18" t="s">
        <v>3467</v>
      </c>
    </row>
    <row r="707" spans="1:42" x14ac:dyDescent="0.3">
      <c r="A707" s="314" t="s">
        <v>1448</v>
      </c>
      <c r="B707" s="283" t="s">
        <v>3447</v>
      </c>
      <c r="C707" s="314" t="s">
        <v>3449</v>
      </c>
      <c r="D707" s="283" t="s">
        <v>3450</v>
      </c>
      <c r="E707" s="314" t="s">
        <v>3451</v>
      </c>
      <c r="F707" s="283" t="s">
        <v>3452</v>
      </c>
      <c r="G707" s="314" t="s">
        <v>3453</v>
      </c>
      <c r="H707" s="283" t="s">
        <v>3454</v>
      </c>
      <c r="K707" s="318" t="s">
        <v>3468</v>
      </c>
      <c r="L707" s="283" t="s">
        <v>3469</v>
      </c>
      <c r="M707" s="1" t="s">
        <v>3470</v>
      </c>
      <c r="N707" s="1">
        <v>0</v>
      </c>
      <c r="O707" s="1">
        <v>4</v>
      </c>
      <c r="P707" s="3" t="s">
        <v>271</v>
      </c>
      <c r="Q707" s="3" t="s">
        <v>271</v>
      </c>
      <c r="R707" s="3" t="s">
        <v>271</v>
      </c>
      <c r="S707" s="3" t="s">
        <v>271</v>
      </c>
      <c r="T707" s="283" t="s">
        <v>869</v>
      </c>
      <c r="U707" s="283" t="s">
        <v>871</v>
      </c>
      <c r="V707" s="338" t="s">
        <v>3471</v>
      </c>
      <c r="W707" s="1">
        <v>1</v>
      </c>
      <c r="X707" s="1">
        <v>0</v>
      </c>
      <c r="Y707" s="1">
        <v>0</v>
      </c>
      <c r="Z707" s="1">
        <v>1</v>
      </c>
      <c r="AA707" s="1">
        <v>1</v>
      </c>
      <c r="AB707" s="1">
        <v>0</v>
      </c>
      <c r="AC707" s="316">
        <v>0</v>
      </c>
      <c r="AD707" s="316">
        <v>1</v>
      </c>
      <c r="AE707" s="302">
        <f t="shared" si="26"/>
        <v>0.5</v>
      </c>
      <c r="AF707" s="310"/>
      <c r="AG707" s="17">
        <v>0</v>
      </c>
      <c r="AH707" s="310">
        <v>0</v>
      </c>
      <c r="AI707" s="310">
        <v>0</v>
      </c>
      <c r="AJ707" s="17">
        <v>0</v>
      </c>
      <c r="AK707" s="153">
        <v>0</v>
      </c>
      <c r="AL707" s="154"/>
      <c r="AM707" s="147">
        <f t="shared" si="25"/>
        <v>0</v>
      </c>
      <c r="AN707" s="283" t="s">
        <v>265</v>
      </c>
      <c r="AO707" s="18" t="s">
        <v>350</v>
      </c>
      <c r="AP707" s="283" t="s">
        <v>3472</v>
      </c>
    </row>
    <row r="708" spans="1:42" x14ac:dyDescent="0.3">
      <c r="A708" s="314" t="s">
        <v>1448</v>
      </c>
      <c r="B708" s="283" t="s">
        <v>3447</v>
      </c>
      <c r="C708" s="314" t="s">
        <v>3449</v>
      </c>
      <c r="D708" s="283" t="s">
        <v>3450</v>
      </c>
      <c r="E708" s="314" t="s">
        <v>3451</v>
      </c>
      <c r="F708" s="283" t="s">
        <v>3452</v>
      </c>
      <c r="G708" s="314" t="s">
        <v>3453</v>
      </c>
      <c r="H708" s="283" t="s">
        <v>3454</v>
      </c>
      <c r="K708" s="318" t="s">
        <v>3468</v>
      </c>
      <c r="L708" s="283" t="s">
        <v>3469</v>
      </c>
      <c r="M708" s="1" t="s">
        <v>3473</v>
      </c>
      <c r="N708" s="1">
        <v>0</v>
      </c>
      <c r="O708" s="1">
        <v>0</v>
      </c>
      <c r="P708" s="3">
        <v>1</v>
      </c>
      <c r="Q708" s="3">
        <v>1</v>
      </c>
      <c r="R708" s="3">
        <v>1</v>
      </c>
      <c r="S708" s="3">
        <v>0</v>
      </c>
      <c r="T708" s="283" t="s">
        <v>869</v>
      </c>
      <c r="U708" s="283" t="s">
        <v>871</v>
      </c>
      <c r="V708" s="1" t="s">
        <v>3471</v>
      </c>
      <c r="W708" s="1">
        <v>1</v>
      </c>
      <c r="X708" s="1">
        <v>0</v>
      </c>
      <c r="Y708" s="1">
        <v>0</v>
      </c>
      <c r="Z708" s="1">
        <v>1</v>
      </c>
      <c r="AA708" s="1">
        <v>1</v>
      </c>
      <c r="AB708" s="1">
        <v>0</v>
      </c>
      <c r="AC708" s="316">
        <v>0</v>
      </c>
      <c r="AD708" s="316">
        <v>1</v>
      </c>
      <c r="AE708" s="302">
        <f t="shared" si="26"/>
        <v>0.5</v>
      </c>
      <c r="AF708" s="310"/>
      <c r="AG708" s="17">
        <v>0</v>
      </c>
      <c r="AH708" s="310">
        <v>0</v>
      </c>
      <c r="AI708" s="310">
        <v>2</v>
      </c>
      <c r="AJ708" s="17">
        <v>0</v>
      </c>
      <c r="AK708" s="153">
        <v>0</v>
      </c>
      <c r="AL708" s="154"/>
      <c r="AM708" s="147">
        <f t="shared" si="25"/>
        <v>0</v>
      </c>
      <c r="AN708" s="283" t="s">
        <v>869</v>
      </c>
      <c r="AO708" s="18" t="s">
        <v>871</v>
      </c>
      <c r="AP708" s="283" t="s">
        <v>3474</v>
      </c>
    </row>
    <row r="709" spans="1:42" x14ac:dyDescent="0.3">
      <c r="A709" s="314" t="s">
        <v>1448</v>
      </c>
      <c r="B709" s="283" t="s">
        <v>3447</v>
      </c>
      <c r="C709" s="314" t="s">
        <v>3449</v>
      </c>
      <c r="D709" s="283" t="s">
        <v>3450</v>
      </c>
      <c r="E709" s="314" t="s">
        <v>3451</v>
      </c>
      <c r="F709" s="283" t="s">
        <v>3452</v>
      </c>
      <c r="G709" s="314" t="s">
        <v>3453</v>
      </c>
      <c r="H709" s="283" t="s">
        <v>3454</v>
      </c>
      <c r="K709" s="318" t="s">
        <v>3468</v>
      </c>
      <c r="L709" s="283" t="s">
        <v>3469</v>
      </c>
      <c r="M709" s="1" t="s">
        <v>3475</v>
      </c>
      <c r="N709" s="1">
        <v>0</v>
      </c>
      <c r="P709" s="3">
        <v>1</v>
      </c>
      <c r="Q709" s="3">
        <v>0</v>
      </c>
      <c r="R709" s="3">
        <v>0</v>
      </c>
      <c r="S709" s="3">
        <v>0</v>
      </c>
      <c r="T709" s="283" t="s">
        <v>877</v>
      </c>
      <c r="U709" s="283" t="s">
        <v>880</v>
      </c>
      <c r="V709" s="1" t="s">
        <v>3471</v>
      </c>
      <c r="W709" s="1">
        <v>1</v>
      </c>
      <c r="X709" s="1">
        <v>0</v>
      </c>
      <c r="Y709" s="1">
        <v>0</v>
      </c>
      <c r="Z709" s="1">
        <v>1</v>
      </c>
      <c r="AA709" s="1">
        <v>1</v>
      </c>
      <c r="AB709" s="1">
        <v>0</v>
      </c>
      <c r="AC709" s="316">
        <v>0</v>
      </c>
      <c r="AD709" s="316">
        <v>1</v>
      </c>
      <c r="AE709" s="302">
        <f t="shared" si="26"/>
        <v>0.5</v>
      </c>
      <c r="AF709" s="310"/>
      <c r="AG709" s="17">
        <v>0</v>
      </c>
      <c r="AH709" s="310">
        <v>0</v>
      </c>
      <c r="AI709" s="310">
        <v>0</v>
      </c>
      <c r="AJ709" s="17">
        <v>0</v>
      </c>
      <c r="AK709" s="153">
        <v>0</v>
      </c>
      <c r="AL709" s="154"/>
      <c r="AM709" s="147">
        <f t="shared" si="25"/>
        <v>0</v>
      </c>
      <c r="AN709" s="283" t="s">
        <v>879</v>
      </c>
      <c r="AO709" s="18" t="s">
        <v>880</v>
      </c>
      <c r="AP709" s="283" t="s">
        <v>3476</v>
      </c>
    </row>
    <row r="710" spans="1:42" s="309" customFormat="1" x14ac:dyDescent="0.3">
      <c r="A710" s="339" t="s">
        <v>1448</v>
      </c>
      <c r="B710" s="309" t="s">
        <v>3447</v>
      </c>
      <c r="C710" s="339" t="s">
        <v>3449</v>
      </c>
      <c r="D710" s="309" t="s">
        <v>3450</v>
      </c>
      <c r="E710" s="339" t="s">
        <v>3451</v>
      </c>
      <c r="F710" s="309" t="s">
        <v>3452</v>
      </c>
      <c r="G710" s="339" t="s">
        <v>3453</v>
      </c>
      <c r="H710" s="309" t="s">
        <v>3454</v>
      </c>
      <c r="K710" s="340" t="s">
        <v>3468</v>
      </c>
      <c r="L710" s="309" t="s">
        <v>3469</v>
      </c>
      <c r="M710" s="338" t="s">
        <v>3477</v>
      </c>
      <c r="N710" s="338">
        <v>0</v>
      </c>
      <c r="O710" s="338">
        <v>0</v>
      </c>
      <c r="P710" s="209">
        <v>2</v>
      </c>
      <c r="Q710" s="209">
        <v>1</v>
      </c>
      <c r="R710" s="209">
        <v>1</v>
      </c>
      <c r="S710" s="209">
        <v>0</v>
      </c>
      <c r="T710" s="309" t="s">
        <v>265</v>
      </c>
      <c r="U710" s="309" t="s">
        <v>350</v>
      </c>
      <c r="V710" s="338" t="s">
        <v>3478</v>
      </c>
      <c r="W710" s="338">
        <v>1</v>
      </c>
      <c r="X710" s="338">
        <v>1</v>
      </c>
      <c r="Y710" s="338">
        <v>0</v>
      </c>
      <c r="Z710" s="338">
        <v>1</v>
      </c>
      <c r="AA710" s="338">
        <v>1</v>
      </c>
      <c r="AB710" s="338">
        <v>1</v>
      </c>
      <c r="AC710" s="341">
        <v>1</v>
      </c>
      <c r="AD710" s="341">
        <v>1</v>
      </c>
      <c r="AE710" s="308">
        <f t="shared" si="26"/>
        <v>0.875</v>
      </c>
      <c r="AF710" s="342"/>
      <c r="AG710" s="89">
        <v>0</v>
      </c>
      <c r="AH710" s="343">
        <v>0</v>
      </c>
      <c r="AI710" s="343">
        <v>15</v>
      </c>
      <c r="AJ710" s="342">
        <v>15</v>
      </c>
      <c r="AK710" s="317">
        <v>0</v>
      </c>
      <c r="AL710" s="317">
        <v>0</v>
      </c>
      <c r="AM710" s="147">
        <f t="shared" si="25"/>
        <v>0</v>
      </c>
      <c r="AN710" s="309" t="s">
        <v>869</v>
      </c>
      <c r="AO710" s="90" t="s">
        <v>871</v>
      </c>
      <c r="AP710" s="309" t="s">
        <v>3479</v>
      </c>
    </row>
    <row r="711" spans="1:42" x14ac:dyDescent="0.3">
      <c r="A711" s="314" t="s">
        <v>1448</v>
      </c>
      <c r="B711" s="283" t="s">
        <v>3447</v>
      </c>
      <c r="C711" s="314" t="s">
        <v>3449</v>
      </c>
      <c r="D711" s="283" t="s">
        <v>3450</v>
      </c>
      <c r="E711" s="314" t="s">
        <v>3451</v>
      </c>
      <c r="F711" s="283" t="s">
        <v>3452</v>
      </c>
      <c r="G711" s="314" t="s">
        <v>3453</v>
      </c>
      <c r="H711" s="283" t="s">
        <v>3454</v>
      </c>
      <c r="K711" s="318" t="s">
        <v>3468</v>
      </c>
      <c r="L711" s="283" t="s">
        <v>3469</v>
      </c>
      <c r="M711" s="1" t="s">
        <v>3480</v>
      </c>
      <c r="N711" s="1">
        <v>0</v>
      </c>
      <c r="O711" s="1">
        <v>0</v>
      </c>
      <c r="P711" s="3">
        <v>1</v>
      </c>
      <c r="Q711" s="3">
        <v>1</v>
      </c>
      <c r="R711" s="3">
        <v>1</v>
      </c>
      <c r="S711" s="3">
        <v>0</v>
      </c>
      <c r="T711" s="283" t="s">
        <v>869</v>
      </c>
      <c r="U711" s="283" t="s">
        <v>871</v>
      </c>
      <c r="V711" s="1" t="s">
        <v>3478</v>
      </c>
      <c r="W711" s="338">
        <v>1</v>
      </c>
      <c r="X711" s="338">
        <v>1</v>
      </c>
      <c r="Y711" s="338">
        <v>0</v>
      </c>
      <c r="Z711" s="338">
        <v>1</v>
      </c>
      <c r="AA711" s="338">
        <v>1</v>
      </c>
      <c r="AB711" s="338">
        <v>1</v>
      </c>
      <c r="AC711" s="341">
        <v>1</v>
      </c>
      <c r="AD711" s="341">
        <v>1</v>
      </c>
      <c r="AE711" s="302">
        <f t="shared" si="26"/>
        <v>0.875</v>
      </c>
      <c r="AF711" s="17"/>
      <c r="AG711" s="17">
        <v>0</v>
      </c>
      <c r="AH711" s="17">
        <v>0</v>
      </c>
      <c r="AI711" s="310">
        <v>0</v>
      </c>
      <c r="AJ711" s="17">
        <v>0</v>
      </c>
      <c r="AK711" s="153">
        <v>0</v>
      </c>
      <c r="AL711" s="154">
        <v>0</v>
      </c>
      <c r="AM711" s="147">
        <f t="shared" si="25"/>
        <v>0</v>
      </c>
      <c r="AN711" s="283" t="s">
        <v>879</v>
      </c>
      <c r="AO711" s="18" t="s">
        <v>880</v>
      </c>
      <c r="AP711" s="283" t="s">
        <v>3479</v>
      </c>
    </row>
    <row r="712" spans="1:42" x14ac:dyDescent="0.3">
      <c r="A712" s="314" t="s">
        <v>1448</v>
      </c>
      <c r="B712" s="283" t="s">
        <v>3447</v>
      </c>
      <c r="C712" s="314" t="s">
        <v>3449</v>
      </c>
      <c r="D712" s="283" t="s">
        <v>3450</v>
      </c>
      <c r="E712" s="314" t="s">
        <v>3451</v>
      </c>
      <c r="F712" s="283" t="s">
        <v>3452</v>
      </c>
      <c r="G712" s="314" t="s">
        <v>3453</v>
      </c>
      <c r="H712" s="283" t="s">
        <v>3454</v>
      </c>
      <c r="K712" s="318" t="s">
        <v>3468</v>
      </c>
      <c r="L712" s="283" t="s">
        <v>3469</v>
      </c>
      <c r="M712" s="1" t="s">
        <v>3481</v>
      </c>
      <c r="N712" s="1">
        <v>0</v>
      </c>
      <c r="P712" s="3">
        <v>1</v>
      </c>
      <c r="R712" s="3">
        <v>0</v>
      </c>
      <c r="S712" s="3">
        <v>0</v>
      </c>
      <c r="T712" s="283" t="s">
        <v>877</v>
      </c>
      <c r="U712" s="283" t="s">
        <v>880</v>
      </c>
      <c r="V712" s="1" t="s">
        <v>3482</v>
      </c>
      <c r="W712" s="1">
        <v>1</v>
      </c>
      <c r="X712" s="1">
        <v>0</v>
      </c>
      <c r="Y712" s="1">
        <v>0</v>
      </c>
      <c r="Z712" s="1">
        <v>1</v>
      </c>
      <c r="AA712" s="1">
        <v>1</v>
      </c>
      <c r="AB712" s="1">
        <v>0</v>
      </c>
      <c r="AC712" s="316">
        <v>1</v>
      </c>
      <c r="AD712" s="316">
        <v>1</v>
      </c>
      <c r="AE712" s="302">
        <f t="shared" si="26"/>
        <v>0.625</v>
      </c>
      <c r="AF712" s="310"/>
      <c r="AG712" s="17">
        <v>0</v>
      </c>
      <c r="AH712" s="310">
        <v>0</v>
      </c>
      <c r="AI712" s="310">
        <v>0</v>
      </c>
      <c r="AJ712" s="310">
        <v>0</v>
      </c>
      <c r="AK712" s="317">
        <v>0</v>
      </c>
      <c r="AL712" s="317">
        <v>0</v>
      </c>
      <c r="AM712" s="147">
        <f t="shared" si="25"/>
        <v>0</v>
      </c>
      <c r="AN712" s="283" t="s">
        <v>265</v>
      </c>
      <c r="AO712" s="18" t="s">
        <v>350</v>
      </c>
      <c r="AP712" s="283" t="s">
        <v>3483</v>
      </c>
    </row>
    <row r="713" spans="1:42" x14ac:dyDescent="0.3">
      <c r="A713" s="314" t="s">
        <v>1448</v>
      </c>
      <c r="B713" s="283" t="s">
        <v>3447</v>
      </c>
      <c r="C713" s="314" t="s">
        <v>3449</v>
      </c>
      <c r="D713" s="283" t="s">
        <v>3450</v>
      </c>
      <c r="E713" s="314" t="s">
        <v>3451</v>
      </c>
      <c r="F713" s="283" t="s">
        <v>3452</v>
      </c>
      <c r="G713" s="314" t="s">
        <v>3453</v>
      </c>
      <c r="H713" s="283" t="s">
        <v>3454</v>
      </c>
      <c r="K713" s="318" t="s">
        <v>3468</v>
      </c>
      <c r="L713" s="283" t="s">
        <v>3469</v>
      </c>
      <c r="M713" s="1" t="s">
        <v>3484</v>
      </c>
      <c r="N713" s="1">
        <v>0</v>
      </c>
      <c r="O713" s="1">
        <v>0</v>
      </c>
      <c r="P713" s="3">
        <v>0</v>
      </c>
      <c r="Q713" s="3">
        <v>1</v>
      </c>
      <c r="R713" s="3">
        <v>2</v>
      </c>
      <c r="S713" s="3">
        <v>1</v>
      </c>
      <c r="T713" s="283" t="s">
        <v>265</v>
      </c>
      <c r="U713" s="283" t="s">
        <v>350</v>
      </c>
      <c r="V713" s="1" t="s">
        <v>3482</v>
      </c>
      <c r="W713" s="1">
        <v>1</v>
      </c>
      <c r="X713" s="1">
        <v>0</v>
      </c>
      <c r="Y713" s="1">
        <v>0</v>
      </c>
      <c r="Z713" s="1">
        <v>1</v>
      </c>
      <c r="AA713" s="1">
        <v>1</v>
      </c>
      <c r="AB713" s="1">
        <v>0</v>
      </c>
      <c r="AC713" s="316">
        <v>1</v>
      </c>
      <c r="AD713" s="316">
        <v>1</v>
      </c>
      <c r="AE713" s="302">
        <f t="shared" si="26"/>
        <v>0.625</v>
      </c>
      <c r="AF713" s="310"/>
      <c r="AG713" s="17">
        <v>0</v>
      </c>
      <c r="AH713" s="310">
        <v>0</v>
      </c>
      <c r="AI713" s="310">
        <v>0</v>
      </c>
      <c r="AJ713" s="310">
        <v>0</v>
      </c>
      <c r="AK713" s="317">
        <v>0</v>
      </c>
      <c r="AL713" s="317">
        <v>0</v>
      </c>
      <c r="AM713" s="147">
        <f t="shared" si="25"/>
        <v>0</v>
      </c>
      <c r="AN713" s="283" t="s">
        <v>869</v>
      </c>
      <c r="AO713" s="18" t="s">
        <v>871</v>
      </c>
      <c r="AP713" s="283" t="s">
        <v>3485</v>
      </c>
    </row>
    <row r="714" spans="1:42" x14ac:dyDescent="0.3">
      <c r="A714" s="314" t="s">
        <v>1448</v>
      </c>
      <c r="B714" s="283" t="s">
        <v>3447</v>
      </c>
      <c r="C714" s="314" t="s">
        <v>3449</v>
      </c>
      <c r="D714" s="283" t="s">
        <v>3450</v>
      </c>
      <c r="E714" s="314" t="s">
        <v>3451</v>
      </c>
      <c r="F714" s="283" t="s">
        <v>3452</v>
      </c>
      <c r="G714" s="314" t="s">
        <v>3453</v>
      </c>
      <c r="H714" s="283" t="s">
        <v>3454</v>
      </c>
      <c r="K714" s="318" t="s">
        <v>3468</v>
      </c>
      <c r="L714" s="283" t="s">
        <v>3469</v>
      </c>
      <c r="M714" s="1" t="s">
        <v>3486</v>
      </c>
      <c r="N714" s="1">
        <v>0</v>
      </c>
      <c r="O714" s="1">
        <v>0</v>
      </c>
      <c r="P714" s="3">
        <v>0</v>
      </c>
      <c r="Q714" s="3">
        <v>2</v>
      </c>
      <c r="R714" s="3">
        <v>2</v>
      </c>
      <c r="S714" s="3">
        <v>2</v>
      </c>
      <c r="T714" s="283" t="s">
        <v>869</v>
      </c>
      <c r="U714" s="283" t="s">
        <v>871</v>
      </c>
      <c r="V714" s="1" t="s">
        <v>3482</v>
      </c>
      <c r="W714" s="1">
        <v>1</v>
      </c>
      <c r="X714" s="1">
        <v>0</v>
      </c>
      <c r="Y714" s="1">
        <v>0</v>
      </c>
      <c r="Z714" s="1">
        <v>1</v>
      </c>
      <c r="AA714" s="1">
        <v>1</v>
      </c>
      <c r="AB714" s="1">
        <v>0</v>
      </c>
      <c r="AC714" s="316">
        <v>1</v>
      </c>
      <c r="AD714" s="316">
        <v>1</v>
      </c>
      <c r="AE714" s="302">
        <f t="shared" si="26"/>
        <v>0.625</v>
      </c>
      <c r="AF714" s="310"/>
      <c r="AG714" s="17">
        <v>0</v>
      </c>
      <c r="AH714" s="310">
        <v>0</v>
      </c>
      <c r="AI714" s="310">
        <v>0</v>
      </c>
      <c r="AJ714" s="310">
        <v>0</v>
      </c>
      <c r="AK714" s="317">
        <v>0</v>
      </c>
      <c r="AL714" s="317">
        <v>0</v>
      </c>
      <c r="AM714" s="147">
        <f t="shared" si="25"/>
        <v>0</v>
      </c>
      <c r="AN714" s="283" t="s">
        <v>879</v>
      </c>
      <c r="AO714" s="18" t="s">
        <v>880</v>
      </c>
      <c r="AP714" s="283" t="s">
        <v>3487</v>
      </c>
    </row>
    <row r="715" spans="1:42" x14ac:dyDescent="0.3">
      <c r="A715" s="314" t="s">
        <v>1448</v>
      </c>
      <c r="B715" s="283" t="s">
        <v>3447</v>
      </c>
      <c r="C715" s="314" t="s">
        <v>3449</v>
      </c>
      <c r="D715" s="283" t="s">
        <v>3450</v>
      </c>
      <c r="E715" s="314" t="s">
        <v>3451</v>
      </c>
      <c r="F715" s="283" t="s">
        <v>3452</v>
      </c>
      <c r="G715" s="314" t="s">
        <v>3453</v>
      </c>
      <c r="H715" s="283" t="s">
        <v>3454</v>
      </c>
      <c r="K715" s="318" t="s">
        <v>3468</v>
      </c>
      <c r="L715" s="283" t="s">
        <v>3469</v>
      </c>
      <c r="M715" s="1" t="s">
        <v>3488</v>
      </c>
      <c r="N715" s="1">
        <v>0</v>
      </c>
      <c r="O715" s="1">
        <v>0</v>
      </c>
      <c r="P715" s="3">
        <v>0</v>
      </c>
      <c r="Q715" s="3">
        <v>1</v>
      </c>
      <c r="R715" s="3">
        <v>0</v>
      </c>
      <c r="S715" s="3">
        <v>0</v>
      </c>
      <c r="T715" s="283" t="s">
        <v>877</v>
      </c>
      <c r="U715" s="283" t="s">
        <v>880</v>
      </c>
      <c r="V715" s="1" t="s">
        <v>3489</v>
      </c>
      <c r="W715" s="1">
        <v>1</v>
      </c>
      <c r="X715" s="1">
        <v>1</v>
      </c>
      <c r="Y715" s="1">
        <v>0</v>
      </c>
      <c r="Z715" s="1">
        <v>1</v>
      </c>
      <c r="AA715" s="1">
        <v>1</v>
      </c>
      <c r="AB715" s="1">
        <v>0</v>
      </c>
      <c r="AC715" s="316">
        <v>1</v>
      </c>
      <c r="AD715" s="316">
        <v>1</v>
      </c>
      <c r="AE715" s="302">
        <f t="shared" si="26"/>
        <v>0.75</v>
      </c>
      <c r="AF715" s="310"/>
      <c r="AG715" s="17">
        <v>0</v>
      </c>
      <c r="AH715" s="310">
        <v>0</v>
      </c>
      <c r="AI715" s="310">
        <v>0</v>
      </c>
      <c r="AJ715" s="310">
        <v>0.5</v>
      </c>
      <c r="AK715" s="317">
        <v>1</v>
      </c>
      <c r="AL715" s="317">
        <v>0.5</v>
      </c>
      <c r="AM715" s="147">
        <f t="shared" si="25"/>
        <v>1.5</v>
      </c>
      <c r="AN715" s="283" t="s">
        <v>265</v>
      </c>
      <c r="AO715" s="18" t="s">
        <v>350</v>
      </c>
      <c r="AP715" s="283" t="s">
        <v>3490</v>
      </c>
    </row>
    <row r="716" spans="1:42" x14ac:dyDescent="0.3">
      <c r="A716" s="314" t="s">
        <v>1448</v>
      </c>
      <c r="B716" s="283" t="s">
        <v>3447</v>
      </c>
      <c r="C716" s="314" t="s">
        <v>3449</v>
      </c>
      <c r="D716" s="283" t="s">
        <v>3450</v>
      </c>
      <c r="E716" s="314" t="s">
        <v>3451</v>
      </c>
      <c r="F716" s="283" t="s">
        <v>3452</v>
      </c>
      <c r="G716" s="314" t="s">
        <v>3453</v>
      </c>
      <c r="H716" s="283" t="s">
        <v>3454</v>
      </c>
      <c r="K716" s="318" t="s">
        <v>3468</v>
      </c>
      <c r="L716" s="283" t="s">
        <v>3469</v>
      </c>
      <c r="M716" s="1" t="s">
        <v>3491</v>
      </c>
      <c r="N716" s="1">
        <v>0</v>
      </c>
      <c r="P716" s="3">
        <v>1</v>
      </c>
      <c r="Q716" s="3">
        <v>1</v>
      </c>
      <c r="R716" s="3">
        <v>1</v>
      </c>
      <c r="S716" s="3">
        <v>1</v>
      </c>
      <c r="T716" s="283" t="s">
        <v>321</v>
      </c>
      <c r="U716" s="283" t="s">
        <v>1066</v>
      </c>
      <c r="V716" s="1" t="s">
        <v>3489</v>
      </c>
      <c r="W716" s="1">
        <v>1</v>
      </c>
      <c r="X716" s="1">
        <v>1</v>
      </c>
      <c r="Y716" s="1">
        <v>0</v>
      </c>
      <c r="Z716" s="1">
        <v>1</v>
      </c>
      <c r="AA716" s="1">
        <v>1</v>
      </c>
      <c r="AB716" s="1">
        <v>0</v>
      </c>
      <c r="AC716" s="316">
        <v>1</v>
      </c>
      <c r="AD716" s="316">
        <v>1</v>
      </c>
      <c r="AE716" s="302">
        <f t="shared" si="26"/>
        <v>0.75</v>
      </c>
      <c r="AF716" s="310"/>
      <c r="AG716" s="17">
        <v>0</v>
      </c>
      <c r="AH716" s="310">
        <v>165.65928108619545</v>
      </c>
      <c r="AI716" s="310">
        <v>91.495086686465129</v>
      </c>
      <c r="AJ716" s="310">
        <v>165.3774331567069</v>
      </c>
      <c r="AK716" s="317">
        <v>169.36557591588564</v>
      </c>
      <c r="AL716" s="317">
        <f>345.03649203719-2.86</f>
        <v>342.17649203718997</v>
      </c>
      <c r="AM716" s="147">
        <f t="shared" si="25"/>
        <v>511.54206795307562</v>
      </c>
      <c r="AN716" s="283" t="s">
        <v>869</v>
      </c>
      <c r="AO716" s="18" t="s">
        <v>871</v>
      </c>
      <c r="AP716" s="283" t="s">
        <v>3492</v>
      </c>
    </row>
    <row r="717" spans="1:42" x14ac:dyDescent="0.3">
      <c r="A717" s="314" t="s">
        <v>1448</v>
      </c>
      <c r="B717" s="283" t="s">
        <v>3447</v>
      </c>
      <c r="C717" s="314" t="s">
        <v>3449</v>
      </c>
      <c r="D717" s="283" t="s">
        <v>3450</v>
      </c>
      <c r="E717" s="314" t="s">
        <v>3451</v>
      </c>
      <c r="F717" s="283" t="s">
        <v>3452</v>
      </c>
      <c r="G717" s="314" t="s">
        <v>3453</v>
      </c>
      <c r="H717" s="283" t="s">
        <v>3454</v>
      </c>
      <c r="K717" s="318" t="s">
        <v>3468</v>
      </c>
      <c r="L717" s="283" t="s">
        <v>3469</v>
      </c>
      <c r="N717" s="1"/>
      <c r="U717" s="283" t="e">
        <v>#N/A</v>
      </c>
      <c r="V717" s="1" t="s">
        <v>3489</v>
      </c>
      <c r="W717" s="1">
        <v>1</v>
      </c>
      <c r="X717" s="1">
        <v>1</v>
      </c>
      <c r="Y717" s="1">
        <v>0</v>
      </c>
      <c r="Z717" s="1">
        <v>1</v>
      </c>
      <c r="AA717" s="1">
        <v>1</v>
      </c>
      <c r="AB717" s="1">
        <v>0</v>
      </c>
      <c r="AC717" s="316">
        <v>1</v>
      </c>
      <c r="AD717" s="316">
        <v>1</v>
      </c>
      <c r="AE717" s="302">
        <f t="shared" si="26"/>
        <v>0.75</v>
      </c>
      <c r="AF717" s="310"/>
      <c r="AG717" s="17">
        <v>0</v>
      </c>
      <c r="AH717" s="310">
        <v>0</v>
      </c>
      <c r="AI717" s="310">
        <v>0</v>
      </c>
      <c r="AJ717" s="310">
        <v>0</v>
      </c>
      <c r="AK717" s="317">
        <v>1</v>
      </c>
      <c r="AL717" s="317">
        <v>0</v>
      </c>
      <c r="AM717" s="147">
        <f t="shared" si="25"/>
        <v>1</v>
      </c>
      <c r="AN717" s="283" t="s">
        <v>879</v>
      </c>
      <c r="AO717" s="18" t="s">
        <v>880</v>
      </c>
      <c r="AP717" s="283" t="s">
        <v>3493</v>
      </c>
    </row>
    <row r="718" spans="1:42" x14ac:dyDescent="0.3">
      <c r="A718" s="314" t="s">
        <v>1448</v>
      </c>
      <c r="B718" s="283" t="s">
        <v>3447</v>
      </c>
      <c r="C718" s="314" t="s">
        <v>3449</v>
      </c>
      <c r="D718" s="283" t="s">
        <v>3450</v>
      </c>
      <c r="E718" s="314" t="s">
        <v>3451</v>
      </c>
      <c r="F718" s="283" t="s">
        <v>3452</v>
      </c>
      <c r="G718" s="314" t="s">
        <v>3453</v>
      </c>
      <c r="H718" s="283" t="s">
        <v>3454</v>
      </c>
      <c r="K718" s="318" t="s">
        <v>3468</v>
      </c>
      <c r="L718" s="283" t="s">
        <v>3469</v>
      </c>
      <c r="N718" s="1"/>
      <c r="U718" s="283" t="e">
        <v>#N/A</v>
      </c>
      <c r="V718" s="1" t="s">
        <v>3494</v>
      </c>
      <c r="W718" s="1">
        <v>1</v>
      </c>
      <c r="X718" s="1">
        <v>1</v>
      </c>
      <c r="Y718" s="1">
        <v>1</v>
      </c>
      <c r="Z718" s="1">
        <v>1</v>
      </c>
      <c r="AA718" s="1">
        <v>1</v>
      </c>
      <c r="AB718" s="1">
        <v>0</v>
      </c>
      <c r="AC718" s="316">
        <v>1</v>
      </c>
      <c r="AD718" s="316">
        <v>1</v>
      </c>
      <c r="AE718" s="302">
        <f t="shared" si="26"/>
        <v>0.875</v>
      </c>
      <c r="AF718" s="17"/>
      <c r="AG718" s="17">
        <v>0</v>
      </c>
      <c r="AH718" s="17">
        <v>0</v>
      </c>
      <c r="AI718" s="310">
        <v>10</v>
      </c>
      <c r="AJ718" s="310">
        <v>10</v>
      </c>
      <c r="AK718" s="317">
        <v>10</v>
      </c>
      <c r="AL718" s="317">
        <v>10</v>
      </c>
      <c r="AM718" s="147">
        <f t="shared" si="25"/>
        <v>20</v>
      </c>
      <c r="AN718" s="283" t="s">
        <v>321</v>
      </c>
      <c r="AO718" s="18" t="s">
        <v>1066</v>
      </c>
      <c r="AP718" s="283" t="s">
        <v>3495</v>
      </c>
    </row>
    <row r="719" spans="1:42" x14ac:dyDescent="0.3">
      <c r="A719" s="314" t="s">
        <v>1448</v>
      </c>
      <c r="B719" s="283" t="s">
        <v>3447</v>
      </c>
      <c r="C719" s="314" t="s">
        <v>3449</v>
      </c>
      <c r="D719" s="283" t="s">
        <v>3450</v>
      </c>
      <c r="E719" s="314" t="s">
        <v>3451</v>
      </c>
      <c r="F719" s="283" t="s">
        <v>3452</v>
      </c>
      <c r="G719" s="314" t="s">
        <v>3453</v>
      </c>
      <c r="H719" s="283" t="s">
        <v>3454</v>
      </c>
      <c r="K719" s="318" t="s">
        <v>3468</v>
      </c>
      <c r="L719" s="283" t="s">
        <v>3469</v>
      </c>
      <c r="N719" s="1"/>
      <c r="U719" s="283" t="e">
        <v>#N/A</v>
      </c>
      <c r="V719" s="1"/>
      <c r="W719" s="1"/>
      <c r="X719" s="1"/>
      <c r="Y719" s="1"/>
      <c r="Z719" s="1"/>
      <c r="AA719" s="1"/>
      <c r="AB719" s="1"/>
      <c r="AC719" s="316">
        <v>0</v>
      </c>
      <c r="AD719" s="316">
        <v>0</v>
      </c>
      <c r="AE719" s="302">
        <f t="shared" si="26"/>
        <v>0</v>
      </c>
      <c r="AF719" s="17"/>
      <c r="AG719" s="17">
        <v>0</v>
      </c>
      <c r="AH719" s="17"/>
      <c r="AM719" s="147">
        <f t="shared" si="25"/>
        <v>0</v>
      </c>
      <c r="AO719" s="18"/>
    </row>
    <row r="720" spans="1:42" x14ac:dyDescent="0.3">
      <c r="A720" s="314" t="s">
        <v>1448</v>
      </c>
      <c r="B720" s="283" t="s">
        <v>3447</v>
      </c>
      <c r="C720" s="314" t="s">
        <v>3449</v>
      </c>
      <c r="D720" s="283" t="s">
        <v>3450</v>
      </c>
      <c r="E720" s="314" t="s">
        <v>3451</v>
      </c>
      <c r="F720" s="283" t="s">
        <v>3452</v>
      </c>
      <c r="G720" s="314" t="s">
        <v>3453</v>
      </c>
      <c r="H720" s="283" t="s">
        <v>3454</v>
      </c>
      <c r="K720" s="318" t="s">
        <v>3468</v>
      </c>
      <c r="L720" s="283" t="s">
        <v>3469</v>
      </c>
      <c r="N720" s="1"/>
      <c r="U720" s="283" t="e">
        <v>#N/A</v>
      </c>
      <c r="V720" s="1"/>
      <c r="W720" s="1"/>
      <c r="X720" s="1"/>
      <c r="Y720" s="1"/>
      <c r="Z720" s="1"/>
      <c r="AA720" s="1"/>
      <c r="AB720" s="1"/>
      <c r="AC720" s="316">
        <v>0</v>
      </c>
      <c r="AD720" s="316">
        <v>0</v>
      </c>
      <c r="AE720" s="302">
        <f t="shared" si="26"/>
        <v>0</v>
      </c>
      <c r="AF720" s="17"/>
      <c r="AG720" s="17">
        <v>0</v>
      </c>
      <c r="AH720" s="17"/>
      <c r="AM720" s="147">
        <f t="shared" si="25"/>
        <v>0</v>
      </c>
      <c r="AO720" s="18"/>
    </row>
    <row r="721" spans="1:42" x14ac:dyDescent="0.3">
      <c r="A721" s="314" t="s">
        <v>1448</v>
      </c>
      <c r="B721" s="283" t="s">
        <v>3447</v>
      </c>
      <c r="C721" s="314" t="s">
        <v>3449</v>
      </c>
      <c r="D721" s="283" t="s">
        <v>3450</v>
      </c>
      <c r="E721" s="314" t="s">
        <v>3451</v>
      </c>
      <c r="F721" s="283" t="s">
        <v>3452</v>
      </c>
      <c r="G721" s="314" t="s">
        <v>3453</v>
      </c>
      <c r="H721" s="283" t="s">
        <v>3454</v>
      </c>
      <c r="K721" s="318" t="s">
        <v>3496</v>
      </c>
      <c r="L721" s="283" t="s">
        <v>3497</v>
      </c>
      <c r="M721" s="1" t="s">
        <v>3498</v>
      </c>
      <c r="N721" s="1"/>
      <c r="O721" s="1">
        <v>20</v>
      </c>
      <c r="P721" s="3">
        <v>21</v>
      </c>
      <c r="Q721" s="3">
        <v>25</v>
      </c>
      <c r="R721" s="3">
        <v>30</v>
      </c>
      <c r="S721" s="3">
        <v>30</v>
      </c>
      <c r="T721" s="283" t="s">
        <v>265</v>
      </c>
      <c r="U721" s="283" t="s">
        <v>350</v>
      </c>
      <c r="V721" s="1" t="s">
        <v>3499</v>
      </c>
      <c r="W721" s="1">
        <v>1</v>
      </c>
      <c r="X721" s="1">
        <v>0</v>
      </c>
      <c r="Y721" s="1">
        <v>1</v>
      </c>
      <c r="Z721" s="1">
        <v>1</v>
      </c>
      <c r="AA721" s="1">
        <v>1</v>
      </c>
      <c r="AB721" s="1">
        <v>1</v>
      </c>
      <c r="AC721" s="316">
        <v>1</v>
      </c>
      <c r="AD721" s="316">
        <v>1</v>
      </c>
      <c r="AE721" s="302">
        <f t="shared" si="26"/>
        <v>0.875</v>
      </c>
      <c r="AF721" s="310"/>
      <c r="AG721" s="17">
        <v>0</v>
      </c>
      <c r="AH721" s="310">
        <v>5</v>
      </c>
      <c r="AI721" s="310">
        <v>5</v>
      </c>
      <c r="AJ721" s="310">
        <v>10</v>
      </c>
      <c r="AK721" s="317">
        <v>10</v>
      </c>
      <c r="AL721" s="317">
        <v>5</v>
      </c>
      <c r="AM721" s="147">
        <f t="shared" si="25"/>
        <v>15</v>
      </c>
      <c r="AN721" s="283" t="s">
        <v>1449</v>
      </c>
      <c r="AO721" s="18" t="s">
        <v>3500</v>
      </c>
      <c r="AP721" s="283" t="s">
        <v>3501</v>
      </c>
    </row>
    <row r="722" spans="1:42" x14ac:dyDescent="0.3">
      <c r="A722" s="314" t="s">
        <v>1448</v>
      </c>
      <c r="B722" s="283" t="s">
        <v>3447</v>
      </c>
      <c r="C722" s="314" t="s">
        <v>3449</v>
      </c>
      <c r="D722" s="283" t="s">
        <v>3450</v>
      </c>
      <c r="E722" s="314" t="s">
        <v>3451</v>
      </c>
      <c r="F722" s="283" t="s">
        <v>3452</v>
      </c>
      <c r="G722" s="314" t="s">
        <v>3453</v>
      </c>
      <c r="H722" s="283" t="s">
        <v>3454</v>
      </c>
      <c r="K722" s="318" t="s">
        <v>3496</v>
      </c>
      <c r="L722" s="283" t="s">
        <v>3497</v>
      </c>
      <c r="N722" s="1"/>
      <c r="U722" s="283" t="e">
        <v>#N/A</v>
      </c>
      <c r="V722" s="344" t="s">
        <v>3502</v>
      </c>
      <c r="W722" s="1">
        <v>1</v>
      </c>
      <c r="X722" s="1">
        <v>1</v>
      </c>
      <c r="Y722" s="1">
        <v>0</v>
      </c>
      <c r="Z722" s="1">
        <v>1</v>
      </c>
      <c r="AA722" s="1">
        <v>1</v>
      </c>
      <c r="AB722" s="1">
        <v>0</v>
      </c>
      <c r="AC722" s="316">
        <v>0</v>
      </c>
      <c r="AD722" s="316">
        <v>1</v>
      </c>
      <c r="AE722" s="302">
        <f t="shared" si="26"/>
        <v>0.625</v>
      </c>
      <c r="AF722" s="310"/>
      <c r="AG722" s="17">
        <v>0</v>
      </c>
      <c r="AH722" s="310">
        <v>0</v>
      </c>
      <c r="AI722" s="310">
        <v>0</v>
      </c>
      <c r="AJ722" s="310">
        <v>0</v>
      </c>
      <c r="AK722" s="317">
        <v>0</v>
      </c>
      <c r="AL722" s="317">
        <v>0</v>
      </c>
      <c r="AM722" s="147">
        <f t="shared" si="25"/>
        <v>0</v>
      </c>
      <c r="AN722" s="283" t="s">
        <v>265</v>
      </c>
      <c r="AO722" s="18" t="s">
        <v>350</v>
      </c>
      <c r="AP722" s="283" t="s">
        <v>3503</v>
      </c>
    </row>
    <row r="723" spans="1:42" x14ac:dyDescent="0.3">
      <c r="A723" s="314" t="s">
        <v>1448</v>
      </c>
      <c r="B723" s="283" t="s">
        <v>3447</v>
      </c>
      <c r="C723" s="314" t="s">
        <v>3449</v>
      </c>
      <c r="D723" s="283" t="s">
        <v>3450</v>
      </c>
      <c r="E723" s="314" t="s">
        <v>3451</v>
      </c>
      <c r="F723" s="283" t="s">
        <v>3452</v>
      </c>
      <c r="G723" s="314" t="s">
        <v>3453</v>
      </c>
      <c r="H723" s="283" t="s">
        <v>3454</v>
      </c>
      <c r="K723" s="318" t="s">
        <v>3504</v>
      </c>
      <c r="L723" s="283" t="s">
        <v>3505</v>
      </c>
      <c r="M723" s="1" t="s">
        <v>3506</v>
      </c>
      <c r="N723" s="1">
        <v>0</v>
      </c>
      <c r="O723" s="1">
        <v>0</v>
      </c>
      <c r="P723" s="3">
        <v>1</v>
      </c>
      <c r="Q723" s="3">
        <v>0</v>
      </c>
      <c r="R723" s="3">
        <v>0</v>
      </c>
      <c r="S723" s="3">
        <v>0</v>
      </c>
      <c r="T723" s="283" t="s">
        <v>831</v>
      </c>
      <c r="U723" s="283" t="s">
        <v>834</v>
      </c>
      <c r="V723" s="1" t="s">
        <v>3507</v>
      </c>
      <c r="W723" s="1">
        <v>1</v>
      </c>
      <c r="X723" s="1">
        <v>0</v>
      </c>
      <c r="Y723" s="1">
        <v>0</v>
      </c>
      <c r="Z723" s="1">
        <v>1</v>
      </c>
      <c r="AA723" s="1">
        <v>1</v>
      </c>
      <c r="AB723" s="1">
        <v>0</v>
      </c>
      <c r="AC723" s="316">
        <v>1</v>
      </c>
      <c r="AD723" s="316">
        <v>1</v>
      </c>
      <c r="AE723" s="302">
        <f t="shared" si="26"/>
        <v>0.625</v>
      </c>
      <c r="AF723" s="310"/>
      <c r="AG723" s="17">
        <v>0</v>
      </c>
      <c r="AH723" s="310">
        <v>1</v>
      </c>
      <c r="AI723" s="310">
        <v>1</v>
      </c>
      <c r="AJ723" s="17">
        <v>0</v>
      </c>
      <c r="AK723" s="153">
        <v>0</v>
      </c>
      <c r="AL723" s="154">
        <v>0</v>
      </c>
      <c r="AM723" s="147">
        <f t="shared" si="25"/>
        <v>0</v>
      </c>
      <c r="AN723" s="283" t="s">
        <v>831</v>
      </c>
      <c r="AO723" s="18" t="s">
        <v>834</v>
      </c>
      <c r="AP723" s="283" t="s">
        <v>3508</v>
      </c>
    </row>
    <row r="724" spans="1:42" x14ac:dyDescent="0.3">
      <c r="A724" s="314" t="s">
        <v>1448</v>
      </c>
      <c r="B724" s="283" t="s">
        <v>3447</v>
      </c>
      <c r="C724" s="314" t="s">
        <v>3449</v>
      </c>
      <c r="D724" s="283" t="s">
        <v>3450</v>
      </c>
      <c r="E724" s="314" t="s">
        <v>3451</v>
      </c>
      <c r="F724" s="283" t="s">
        <v>3452</v>
      </c>
      <c r="G724" s="314" t="s">
        <v>3509</v>
      </c>
      <c r="H724" s="283" t="s">
        <v>3510</v>
      </c>
      <c r="I724" s="314" t="s">
        <v>3511</v>
      </c>
      <c r="J724" s="283" t="s">
        <v>3512</v>
      </c>
      <c r="K724" s="314" t="s">
        <v>3513</v>
      </c>
      <c r="L724" s="283" t="s">
        <v>3514</v>
      </c>
      <c r="M724" s="1" t="s">
        <v>3515</v>
      </c>
      <c r="N724" s="1" t="s">
        <v>271</v>
      </c>
      <c r="O724" s="1">
        <v>0</v>
      </c>
      <c r="P724" s="3" t="s">
        <v>3516</v>
      </c>
      <c r="Q724" s="3" t="s">
        <v>3516</v>
      </c>
      <c r="R724" s="3">
        <v>3</v>
      </c>
      <c r="S724" s="3">
        <v>3</v>
      </c>
      <c r="T724" s="283" t="s">
        <v>265</v>
      </c>
      <c r="U724" s="283" t="s">
        <v>350</v>
      </c>
      <c r="V724" s="1" t="s">
        <v>3517</v>
      </c>
      <c r="W724" s="1">
        <v>1</v>
      </c>
      <c r="X724" s="1">
        <v>1</v>
      </c>
      <c r="Y724" s="1">
        <v>1</v>
      </c>
      <c r="Z724" s="1">
        <v>1</v>
      </c>
      <c r="AA724" s="1">
        <v>1</v>
      </c>
      <c r="AB724" s="1">
        <v>1</v>
      </c>
      <c r="AC724" s="316">
        <v>1</v>
      </c>
      <c r="AD724" s="316">
        <v>1</v>
      </c>
      <c r="AE724" s="302">
        <f t="shared" si="26"/>
        <v>1</v>
      </c>
      <c r="AF724" s="17"/>
      <c r="AG724" s="17">
        <v>0</v>
      </c>
      <c r="AH724" s="17">
        <v>0</v>
      </c>
      <c r="AI724" s="310">
        <v>0</v>
      </c>
      <c r="AJ724" s="310">
        <v>0</v>
      </c>
      <c r="AK724" s="317">
        <v>0</v>
      </c>
      <c r="AL724" s="317">
        <v>0</v>
      </c>
      <c r="AM724" s="147">
        <f t="shared" si="25"/>
        <v>0</v>
      </c>
      <c r="AN724" s="283" t="s">
        <v>265</v>
      </c>
      <c r="AO724" s="18" t="s">
        <v>350</v>
      </c>
      <c r="AP724" s="283" t="s">
        <v>921</v>
      </c>
    </row>
    <row r="725" spans="1:42" x14ac:dyDescent="0.3">
      <c r="A725" s="314" t="s">
        <v>1448</v>
      </c>
      <c r="B725" s="283" t="s">
        <v>3447</v>
      </c>
      <c r="C725" s="314" t="s">
        <v>3449</v>
      </c>
      <c r="D725" s="283" t="s">
        <v>3450</v>
      </c>
      <c r="E725" s="314" t="s">
        <v>3451</v>
      </c>
      <c r="F725" s="283" t="s">
        <v>3452</v>
      </c>
      <c r="G725" s="314" t="s">
        <v>3509</v>
      </c>
      <c r="H725" s="283" t="s">
        <v>3510</v>
      </c>
      <c r="I725" s="314" t="s">
        <v>3511</v>
      </c>
      <c r="J725" s="283" t="s">
        <v>3512</v>
      </c>
      <c r="K725" s="314" t="s">
        <v>3513</v>
      </c>
      <c r="L725" s="283" t="s">
        <v>3514</v>
      </c>
      <c r="M725" s="1" t="s">
        <v>3515</v>
      </c>
      <c r="N725" s="1"/>
      <c r="P725" s="3">
        <v>1</v>
      </c>
      <c r="Q725" s="3">
        <v>1</v>
      </c>
      <c r="R725" s="3">
        <v>1</v>
      </c>
      <c r="S725" s="3">
        <v>1</v>
      </c>
      <c r="T725" s="283" t="s">
        <v>921</v>
      </c>
      <c r="U725" s="283" t="s">
        <v>880</v>
      </c>
      <c r="V725" s="1" t="s">
        <v>3517</v>
      </c>
      <c r="W725" s="1"/>
      <c r="X725" s="1"/>
      <c r="Y725" s="1"/>
      <c r="Z725" s="1"/>
      <c r="AA725" s="1"/>
      <c r="AB725" s="1"/>
      <c r="AC725" s="316">
        <v>0</v>
      </c>
      <c r="AD725" s="316">
        <v>0</v>
      </c>
      <c r="AE725" s="302">
        <f t="shared" si="26"/>
        <v>0</v>
      </c>
      <c r="AF725" s="17"/>
      <c r="AG725" s="17">
        <v>0</v>
      </c>
      <c r="AH725" s="17">
        <v>0</v>
      </c>
      <c r="AI725" s="310">
        <v>0</v>
      </c>
      <c r="AJ725" s="310">
        <v>0</v>
      </c>
      <c r="AK725" s="317">
        <v>0</v>
      </c>
      <c r="AL725" s="317"/>
      <c r="AM725" s="147">
        <f t="shared" si="25"/>
        <v>0</v>
      </c>
      <c r="AN725" s="1" t="s">
        <v>921</v>
      </c>
      <c r="AO725" s="18" t="s">
        <v>880</v>
      </c>
      <c r="AP725" s="283" t="s">
        <v>265</v>
      </c>
    </row>
    <row r="726" spans="1:42" x14ac:dyDescent="0.3">
      <c r="A726" s="314" t="s">
        <v>1448</v>
      </c>
      <c r="B726" s="283" t="s">
        <v>3447</v>
      </c>
      <c r="C726" s="314" t="s">
        <v>3449</v>
      </c>
      <c r="D726" s="283" t="s">
        <v>3450</v>
      </c>
      <c r="E726" s="314" t="s">
        <v>3451</v>
      </c>
      <c r="F726" s="283" t="s">
        <v>3452</v>
      </c>
      <c r="G726" s="314" t="s">
        <v>3509</v>
      </c>
      <c r="H726" s="283" t="s">
        <v>3510</v>
      </c>
      <c r="I726" s="314" t="s">
        <v>3511</v>
      </c>
      <c r="J726" s="283" t="s">
        <v>3512</v>
      </c>
      <c r="K726" s="314" t="s">
        <v>3513</v>
      </c>
      <c r="L726" s="283" t="s">
        <v>3514</v>
      </c>
      <c r="M726" s="1" t="s">
        <v>3518</v>
      </c>
      <c r="N726" s="1" t="s">
        <v>271</v>
      </c>
      <c r="O726" s="1">
        <v>0</v>
      </c>
      <c r="P726" s="3">
        <v>5</v>
      </c>
      <c r="Q726" s="3">
        <v>5</v>
      </c>
      <c r="R726" s="3">
        <v>5</v>
      </c>
      <c r="S726" s="3">
        <v>5</v>
      </c>
      <c r="T726" s="283" t="s">
        <v>798</v>
      </c>
      <c r="U726" s="283" t="s">
        <v>350</v>
      </c>
      <c r="V726" s="1" t="s">
        <v>3519</v>
      </c>
      <c r="W726" s="1">
        <v>1</v>
      </c>
      <c r="X726" s="1">
        <v>1</v>
      </c>
      <c r="Y726" s="1">
        <v>1</v>
      </c>
      <c r="Z726" s="1">
        <v>1</v>
      </c>
      <c r="AA726" s="1">
        <v>1</v>
      </c>
      <c r="AB726" s="1">
        <v>1</v>
      </c>
      <c r="AC726" s="316">
        <v>1</v>
      </c>
      <c r="AD726" s="316">
        <v>1</v>
      </c>
      <c r="AE726" s="302">
        <f t="shared" si="26"/>
        <v>1</v>
      </c>
      <c r="AF726" s="310"/>
      <c r="AG726" s="17">
        <v>0</v>
      </c>
      <c r="AH726" s="310">
        <v>133.33333333333334</v>
      </c>
      <c r="AI726" s="310">
        <v>83.333333333333329</v>
      </c>
      <c r="AJ726" s="310">
        <v>83.333333333333329</v>
      </c>
      <c r="AK726" s="317">
        <v>83.333333333333329</v>
      </c>
      <c r="AL726" s="317">
        <v>16.666666666666686</v>
      </c>
      <c r="AM726" s="147">
        <f t="shared" si="25"/>
        <v>100.00000000000001</v>
      </c>
      <c r="AN726" s="283" t="s">
        <v>619</v>
      </c>
      <c r="AO726" s="18" t="s">
        <v>350</v>
      </c>
      <c r="AP726" s="345" t="s">
        <v>3520</v>
      </c>
    </row>
    <row r="727" spans="1:42" x14ac:dyDescent="0.3">
      <c r="A727" s="314" t="s">
        <v>1448</v>
      </c>
      <c r="B727" s="283" t="s">
        <v>3447</v>
      </c>
      <c r="C727" s="314" t="s">
        <v>3449</v>
      </c>
      <c r="D727" s="283" t="s">
        <v>3450</v>
      </c>
      <c r="E727" s="314" t="s">
        <v>3451</v>
      </c>
      <c r="F727" s="283" t="s">
        <v>3452</v>
      </c>
      <c r="G727" s="314" t="s">
        <v>3509</v>
      </c>
      <c r="H727" s="283" t="s">
        <v>3510</v>
      </c>
      <c r="I727" s="314" t="s">
        <v>3511</v>
      </c>
      <c r="J727" s="283" t="s">
        <v>3512</v>
      </c>
      <c r="K727" s="314" t="s">
        <v>3513</v>
      </c>
      <c r="L727" s="283" t="s">
        <v>3514</v>
      </c>
      <c r="M727" s="1" t="s">
        <v>3521</v>
      </c>
      <c r="N727" s="1">
        <v>0</v>
      </c>
      <c r="O727" s="1">
        <v>0</v>
      </c>
      <c r="P727" s="3">
        <v>50</v>
      </c>
      <c r="Q727" s="3">
        <v>50</v>
      </c>
      <c r="R727" s="3" t="s">
        <v>3522</v>
      </c>
      <c r="S727" s="3">
        <v>50</v>
      </c>
      <c r="T727" s="283" t="s">
        <v>265</v>
      </c>
      <c r="U727" s="283" t="s">
        <v>350</v>
      </c>
      <c r="V727" s="1" t="s">
        <v>3523</v>
      </c>
      <c r="W727" s="1">
        <v>1</v>
      </c>
      <c r="X727" s="1">
        <v>1</v>
      </c>
      <c r="Y727" s="1">
        <v>1</v>
      </c>
      <c r="Z727" s="1">
        <v>1</v>
      </c>
      <c r="AA727" s="1">
        <v>1</v>
      </c>
      <c r="AB727" s="1">
        <v>1</v>
      </c>
      <c r="AC727" s="316">
        <v>1</v>
      </c>
      <c r="AD727" s="316">
        <v>1</v>
      </c>
      <c r="AE727" s="302">
        <f t="shared" si="26"/>
        <v>1</v>
      </c>
      <c r="AF727" s="17"/>
      <c r="AG727" s="17">
        <v>0</v>
      </c>
      <c r="AH727" s="17">
        <v>0</v>
      </c>
      <c r="AI727" s="310">
        <v>0</v>
      </c>
      <c r="AJ727" s="310">
        <v>0</v>
      </c>
      <c r="AK727" s="317">
        <v>0.5</v>
      </c>
      <c r="AL727" s="317">
        <v>0</v>
      </c>
      <c r="AM727" s="147">
        <f t="shared" si="25"/>
        <v>0.5</v>
      </c>
      <c r="AN727" s="283" t="s">
        <v>265</v>
      </c>
      <c r="AO727" s="18" t="s">
        <v>350</v>
      </c>
      <c r="AP727" s="283" t="s">
        <v>3524</v>
      </c>
    </row>
    <row r="728" spans="1:42" x14ac:dyDescent="0.3">
      <c r="A728" s="314" t="s">
        <v>1448</v>
      </c>
      <c r="B728" s="283" t="s">
        <v>3447</v>
      </c>
      <c r="C728" s="314" t="s">
        <v>3449</v>
      </c>
      <c r="D728" s="283" t="s">
        <v>3450</v>
      </c>
      <c r="E728" s="314" t="s">
        <v>3451</v>
      </c>
      <c r="F728" s="283" t="s">
        <v>3452</v>
      </c>
      <c r="G728" s="314" t="s">
        <v>3509</v>
      </c>
      <c r="H728" s="283" t="s">
        <v>3510</v>
      </c>
      <c r="I728" s="314" t="s">
        <v>3511</v>
      </c>
      <c r="J728" s="283" t="s">
        <v>3512</v>
      </c>
      <c r="K728" s="314" t="s">
        <v>3513</v>
      </c>
      <c r="L728" s="283" t="s">
        <v>3514</v>
      </c>
      <c r="M728" s="1" t="s">
        <v>3525</v>
      </c>
      <c r="N728" s="1">
        <v>30</v>
      </c>
      <c r="O728" s="1">
        <v>40</v>
      </c>
      <c r="P728" s="3">
        <v>50</v>
      </c>
      <c r="Q728" s="3">
        <v>50</v>
      </c>
      <c r="R728" s="3">
        <v>50</v>
      </c>
      <c r="T728" s="283" t="s">
        <v>265</v>
      </c>
      <c r="U728" s="283" t="s">
        <v>350</v>
      </c>
      <c r="V728" s="1" t="s">
        <v>3526</v>
      </c>
      <c r="W728" s="1">
        <v>1</v>
      </c>
      <c r="X728" s="1">
        <v>1</v>
      </c>
      <c r="Y728" s="1">
        <v>0</v>
      </c>
      <c r="Z728" s="1">
        <v>1</v>
      </c>
      <c r="AA728" s="1">
        <v>1</v>
      </c>
      <c r="AB728" s="1">
        <v>0</v>
      </c>
      <c r="AC728" s="316">
        <v>1</v>
      </c>
      <c r="AD728" s="316">
        <v>1</v>
      </c>
      <c r="AE728" s="302">
        <f t="shared" si="26"/>
        <v>0.75</v>
      </c>
      <c r="AF728" s="310"/>
      <c r="AG728" s="17">
        <v>0</v>
      </c>
      <c r="AH728" s="310">
        <v>0.5</v>
      </c>
      <c r="AI728" s="310">
        <v>0.7</v>
      </c>
      <c r="AJ728" s="310">
        <v>0.6</v>
      </c>
      <c r="AK728" s="317">
        <v>0.6</v>
      </c>
      <c r="AL728" s="317">
        <v>0.6</v>
      </c>
      <c r="AM728" s="147">
        <f t="shared" si="25"/>
        <v>1.2</v>
      </c>
      <c r="AN728" s="283" t="s">
        <v>265</v>
      </c>
      <c r="AO728" s="18" t="s">
        <v>350</v>
      </c>
      <c r="AP728" s="283" t="s">
        <v>92</v>
      </c>
    </row>
    <row r="729" spans="1:42" x14ac:dyDescent="0.3">
      <c r="A729" s="314" t="s">
        <v>1448</v>
      </c>
      <c r="B729" s="283" t="s">
        <v>3447</v>
      </c>
      <c r="C729" s="314" t="s">
        <v>3449</v>
      </c>
      <c r="D729" s="283" t="s">
        <v>3450</v>
      </c>
      <c r="E729" s="314" t="s">
        <v>3451</v>
      </c>
      <c r="F729" s="283" t="s">
        <v>3452</v>
      </c>
      <c r="G729" s="314" t="s">
        <v>3509</v>
      </c>
      <c r="H729" s="283" t="s">
        <v>3510</v>
      </c>
      <c r="I729" s="314" t="s">
        <v>3527</v>
      </c>
      <c r="J729" s="283" t="s">
        <v>3528</v>
      </c>
      <c r="K729" s="314" t="s">
        <v>3529</v>
      </c>
      <c r="L729" s="283" t="s">
        <v>3530</v>
      </c>
      <c r="M729" s="1" t="s">
        <v>3531</v>
      </c>
      <c r="N729" s="1">
        <v>0</v>
      </c>
      <c r="O729" s="1" t="s">
        <v>3532</v>
      </c>
      <c r="P729" s="3">
        <v>2</v>
      </c>
      <c r="Q729" s="3">
        <v>2</v>
      </c>
      <c r="R729" s="3">
        <v>2</v>
      </c>
      <c r="S729" s="3">
        <v>2</v>
      </c>
      <c r="T729" s="283" t="s">
        <v>869</v>
      </c>
      <c r="U729" s="283" t="s">
        <v>871</v>
      </c>
      <c r="V729" s="1" t="s">
        <v>3533</v>
      </c>
      <c r="W729" s="1">
        <v>1</v>
      </c>
      <c r="X729" s="1">
        <v>0</v>
      </c>
      <c r="Y729" s="1">
        <v>0</v>
      </c>
      <c r="Z729" s="1">
        <v>1</v>
      </c>
      <c r="AA729" s="1">
        <v>1</v>
      </c>
      <c r="AB729" s="1">
        <v>0</v>
      </c>
      <c r="AC729" s="316">
        <v>1</v>
      </c>
      <c r="AD729" s="316">
        <v>1</v>
      </c>
      <c r="AE729" s="302">
        <f t="shared" si="26"/>
        <v>0.625</v>
      </c>
      <c r="AF729" s="310"/>
      <c r="AG729" s="17">
        <v>0</v>
      </c>
      <c r="AH729" s="310">
        <v>0.5</v>
      </c>
      <c r="AI729" s="310">
        <v>0.5</v>
      </c>
      <c r="AJ729" s="310">
        <v>0.5</v>
      </c>
      <c r="AK729" s="317">
        <v>0.2</v>
      </c>
      <c r="AL729" s="317"/>
      <c r="AM729" s="147">
        <f t="shared" si="25"/>
        <v>0.2</v>
      </c>
      <c r="AN729" s="283" t="s">
        <v>869</v>
      </c>
      <c r="AO729" s="18" t="s">
        <v>871</v>
      </c>
      <c r="AP729" s="283" t="s">
        <v>3534</v>
      </c>
    </row>
    <row r="730" spans="1:42" x14ac:dyDescent="0.3">
      <c r="A730" s="314" t="s">
        <v>1448</v>
      </c>
      <c r="B730" s="283" t="s">
        <v>3447</v>
      </c>
      <c r="C730" s="314" t="s">
        <v>3449</v>
      </c>
      <c r="D730" s="283" t="s">
        <v>3450</v>
      </c>
      <c r="E730" s="314" t="s">
        <v>3451</v>
      </c>
      <c r="F730" s="283" t="s">
        <v>3452</v>
      </c>
      <c r="G730" s="314" t="s">
        <v>3509</v>
      </c>
      <c r="H730" s="283" t="s">
        <v>3510</v>
      </c>
      <c r="I730" s="314" t="s">
        <v>3527</v>
      </c>
      <c r="J730" s="283" t="s">
        <v>3528</v>
      </c>
      <c r="K730" s="314" t="s">
        <v>3529</v>
      </c>
      <c r="L730" s="283" t="s">
        <v>3530</v>
      </c>
      <c r="M730" s="1" t="s">
        <v>3531</v>
      </c>
      <c r="N730" s="1">
        <v>0</v>
      </c>
      <c r="O730" s="1">
        <v>1</v>
      </c>
      <c r="P730" s="3">
        <v>2</v>
      </c>
      <c r="Q730" s="3">
        <v>2</v>
      </c>
      <c r="R730" s="3">
        <v>2</v>
      </c>
      <c r="S730" s="3">
        <v>2</v>
      </c>
      <c r="T730" s="283" t="s">
        <v>265</v>
      </c>
      <c r="U730" s="283" t="s">
        <v>350</v>
      </c>
      <c r="V730" s="1" t="s">
        <v>3533</v>
      </c>
      <c r="W730" s="1"/>
      <c r="X730" s="1"/>
      <c r="Y730" s="1"/>
      <c r="Z730" s="1"/>
      <c r="AA730" s="1"/>
      <c r="AB730" s="1"/>
      <c r="AC730" s="316">
        <v>0</v>
      </c>
      <c r="AD730" s="316">
        <v>0</v>
      </c>
      <c r="AE730" s="302">
        <f t="shared" si="26"/>
        <v>0</v>
      </c>
      <c r="AF730" s="310"/>
      <c r="AG730" s="17">
        <v>0</v>
      </c>
      <c r="AH730" s="310">
        <v>0</v>
      </c>
      <c r="AI730" s="310">
        <v>0</v>
      </c>
      <c r="AJ730" s="310">
        <v>0</v>
      </c>
      <c r="AK730" s="317">
        <v>0</v>
      </c>
      <c r="AL730" s="317"/>
      <c r="AM730" s="147">
        <f t="shared" si="25"/>
        <v>0</v>
      </c>
      <c r="AN730" s="283" t="s">
        <v>265</v>
      </c>
      <c r="AO730" s="18" t="s">
        <v>350</v>
      </c>
      <c r="AP730" s="283" t="s">
        <v>3535</v>
      </c>
    </row>
    <row r="731" spans="1:42" x14ac:dyDescent="0.3">
      <c r="A731" s="314" t="s">
        <v>1448</v>
      </c>
      <c r="B731" s="283" t="s">
        <v>3447</v>
      </c>
      <c r="C731" s="314" t="s">
        <v>3449</v>
      </c>
      <c r="D731" s="283" t="s">
        <v>3450</v>
      </c>
      <c r="E731" s="314" t="s">
        <v>3451</v>
      </c>
      <c r="F731" s="283" t="s">
        <v>3452</v>
      </c>
      <c r="G731" s="314" t="s">
        <v>3509</v>
      </c>
      <c r="H731" s="283" t="s">
        <v>3510</v>
      </c>
      <c r="I731" s="314" t="s">
        <v>3527</v>
      </c>
      <c r="J731" s="283" t="s">
        <v>3528</v>
      </c>
      <c r="K731" s="314" t="s">
        <v>3529</v>
      </c>
      <c r="L731" s="283" t="s">
        <v>3530</v>
      </c>
      <c r="M731" s="1" t="s">
        <v>3536</v>
      </c>
      <c r="N731" s="1">
        <v>0</v>
      </c>
      <c r="O731" s="1">
        <v>5</v>
      </c>
      <c r="P731" s="3">
        <v>5</v>
      </c>
      <c r="Q731" s="3">
        <v>5</v>
      </c>
      <c r="R731" s="3">
        <v>5</v>
      </c>
      <c r="S731" s="3">
        <v>5</v>
      </c>
      <c r="T731" s="283" t="s">
        <v>265</v>
      </c>
      <c r="U731" s="283" t="s">
        <v>350</v>
      </c>
      <c r="V731" s="1" t="s">
        <v>3537</v>
      </c>
      <c r="W731" s="1">
        <v>1</v>
      </c>
      <c r="X731" s="1">
        <v>1</v>
      </c>
      <c r="Y731" s="1">
        <v>1</v>
      </c>
      <c r="Z731" s="1">
        <v>1</v>
      </c>
      <c r="AA731" s="1">
        <v>1</v>
      </c>
      <c r="AB731" s="1">
        <v>1</v>
      </c>
      <c r="AC731" s="316">
        <v>1</v>
      </c>
      <c r="AD731" s="316">
        <v>1</v>
      </c>
      <c r="AE731" s="302">
        <f t="shared" si="26"/>
        <v>1</v>
      </c>
      <c r="AF731" s="310"/>
      <c r="AG731" s="17">
        <v>0</v>
      </c>
      <c r="AH731" s="310">
        <v>0.2</v>
      </c>
      <c r="AI731" s="310">
        <v>0.2</v>
      </c>
      <c r="AJ731" s="310">
        <v>0.2</v>
      </c>
      <c r="AK731" s="317">
        <v>0.2</v>
      </c>
      <c r="AL731" s="317">
        <v>0.2</v>
      </c>
      <c r="AM731" s="147">
        <f t="shared" si="25"/>
        <v>0.4</v>
      </c>
      <c r="AN731" s="283" t="s">
        <v>265</v>
      </c>
      <c r="AO731" s="18" t="s">
        <v>350</v>
      </c>
      <c r="AP731" s="283" t="s">
        <v>3538</v>
      </c>
    </row>
    <row r="732" spans="1:42" x14ac:dyDescent="0.3">
      <c r="A732" s="314" t="s">
        <v>1448</v>
      </c>
      <c r="B732" s="283" t="s">
        <v>3447</v>
      </c>
      <c r="C732" s="314" t="s">
        <v>3449</v>
      </c>
      <c r="D732" s="283" t="s">
        <v>3450</v>
      </c>
      <c r="E732" s="314" t="s">
        <v>3451</v>
      </c>
      <c r="F732" s="283" t="s">
        <v>3452</v>
      </c>
      <c r="G732" s="314" t="s">
        <v>3509</v>
      </c>
      <c r="H732" s="283" t="s">
        <v>3510</v>
      </c>
      <c r="I732" s="314" t="s">
        <v>3527</v>
      </c>
      <c r="J732" s="283" t="s">
        <v>3528</v>
      </c>
      <c r="K732" s="314" t="s">
        <v>3529</v>
      </c>
      <c r="L732" s="283" t="s">
        <v>3530</v>
      </c>
      <c r="M732" s="1" t="s">
        <v>3536</v>
      </c>
      <c r="N732" s="1">
        <v>0</v>
      </c>
      <c r="O732" s="1">
        <v>5</v>
      </c>
      <c r="P732" s="3">
        <v>5</v>
      </c>
      <c r="Q732" s="3">
        <v>5</v>
      </c>
      <c r="R732" s="3">
        <v>5</v>
      </c>
      <c r="S732" s="3">
        <v>5</v>
      </c>
      <c r="T732" s="283" t="s">
        <v>1233</v>
      </c>
      <c r="U732" s="283" t="s">
        <v>1650</v>
      </c>
      <c r="V732" s="1" t="s">
        <v>3537</v>
      </c>
      <c r="W732" s="1"/>
      <c r="X732" s="1"/>
      <c r="Y732" s="1"/>
      <c r="Z732" s="1"/>
      <c r="AA732" s="1"/>
      <c r="AB732" s="1"/>
      <c r="AC732" s="316">
        <v>0</v>
      </c>
      <c r="AD732" s="316">
        <v>0</v>
      </c>
      <c r="AE732" s="302">
        <f t="shared" si="26"/>
        <v>0</v>
      </c>
      <c r="AF732" s="310"/>
      <c r="AG732" s="17">
        <v>0</v>
      </c>
      <c r="AH732" s="310">
        <v>0.2</v>
      </c>
      <c r="AI732" s="310">
        <v>0.2</v>
      </c>
      <c r="AJ732" s="310">
        <v>0.2</v>
      </c>
      <c r="AK732" s="317">
        <v>0</v>
      </c>
      <c r="AL732" s="317"/>
      <c r="AM732" s="147">
        <f t="shared" ref="AM732:AM763" si="27">SUM(AK732:AL732)</f>
        <v>0</v>
      </c>
      <c r="AN732" s="283" t="s">
        <v>1233</v>
      </c>
      <c r="AO732" s="18" t="s">
        <v>1650</v>
      </c>
      <c r="AP732" s="283" t="s">
        <v>3539</v>
      </c>
    </row>
    <row r="733" spans="1:42" x14ac:dyDescent="0.3">
      <c r="A733" s="314" t="s">
        <v>1448</v>
      </c>
      <c r="B733" s="283" t="s">
        <v>3447</v>
      </c>
      <c r="C733" s="314" t="s">
        <v>3449</v>
      </c>
      <c r="D733" s="283" t="s">
        <v>3450</v>
      </c>
      <c r="E733" s="314" t="s">
        <v>3451</v>
      </c>
      <c r="F733" s="283" t="s">
        <v>3452</v>
      </c>
      <c r="G733" s="314" t="s">
        <v>3509</v>
      </c>
      <c r="H733" s="283" t="s">
        <v>3510</v>
      </c>
      <c r="I733" s="314" t="s">
        <v>3527</v>
      </c>
      <c r="J733" s="283" t="s">
        <v>3528</v>
      </c>
      <c r="K733" s="314" t="s">
        <v>3529</v>
      </c>
      <c r="L733" s="283" t="s">
        <v>3530</v>
      </c>
      <c r="M733" s="1" t="s">
        <v>3540</v>
      </c>
      <c r="N733" s="1">
        <v>0</v>
      </c>
      <c r="O733" s="1">
        <v>1</v>
      </c>
      <c r="P733" s="3">
        <v>10</v>
      </c>
      <c r="Q733" s="3">
        <v>10</v>
      </c>
      <c r="R733" s="3">
        <v>10</v>
      </c>
      <c r="S733" s="3">
        <v>10</v>
      </c>
      <c r="T733" s="283" t="s">
        <v>1233</v>
      </c>
      <c r="U733" s="283" t="s">
        <v>1650</v>
      </c>
      <c r="V733" s="1" t="s">
        <v>3541</v>
      </c>
      <c r="W733" s="1">
        <v>1</v>
      </c>
      <c r="X733" s="1">
        <v>1</v>
      </c>
      <c r="Y733" s="1">
        <v>0</v>
      </c>
      <c r="Z733" s="1">
        <v>1</v>
      </c>
      <c r="AA733" s="1">
        <v>1</v>
      </c>
      <c r="AB733" s="1">
        <v>0</v>
      </c>
      <c r="AC733" s="346">
        <v>0</v>
      </c>
      <c r="AD733" s="316">
        <v>0</v>
      </c>
      <c r="AE733" s="302">
        <f t="shared" si="26"/>
        <v>0.5</v>
      </c>
      <c r="AF733" s="17"/>
      <c r="AG733" s="17">
        <v>0</v>
      </c>
      <c r="AH733" s="17">
        <v>0</v>
      </c>
      <c r="AI733" s="310">
        <v>0</v>
      </c>
      <c r="AJ733" s="310">
        <v>0</v>
      </c>
      <c r="AK733" s="317">
        <v>0</v>
      </c>
      <c r="AL733" s="317"/>
      <c r="AM733" s="147">
        <f t="shared" si="27"/>
        <v>0</v>
      </c>
      <c r="AN733" s="283" t="s">
        <v>1233</v>
      </c>
      <c r="AO733" s="18" t="s">
        <v>1650</v>
      </c>
      <c r="AP733" s="283" t="s">
        <v>265</v>
      </c>
    </row>
    <row r="734" spans="1:42" x14ac:dyDescent="0.3">
      <c r="A734" s="314" t="s">
        <v>1448</v>
      </c>
      <c r="B734" s="283" t="s">
        <v>3447</v>
      </c>
      <c r="C734" s="314" t="s">
        <v>3449</v>
      </c>
      <c r="D734" s="283" t="s">
        <v>3450</v>
      </c>
      <c r="E734" s="314" t="s">
        <v>3451</v>
      </c>
      <c r="F734" s="283" t="s">
        <v>3452</v>
      </c>
      <c r="G734" s="314" t="s">
        <v>3509</v>
      </c>
      <c r="H734" s="283" t="s">
        <v>3510</v>
      </c>
      <c r="I734" s="314" t="s">
        <v>3527</v>
      </c>
      <c r="J734" s="283" t="s">
        <v>3528</v>
      </c>
      <c r="K734" s="314" t="s">
        <v>3529</v>
      </c>
      <c r="L734" s="283" t="s">
        <v>3530</v>
      </c>
      <c r="M734" s="1" t="s">
        <v>3542</v>
      </c>
      <c r="N734" s="1">
        <v>0</v>
      </c>
      <c r="O734" s="1">
        <v>0</v>
      </c>
      <c r="P734" s="3">
        <v>10</v>
      </c>
      <c r="Q734" s="3">
        <v>10</v>
      </c>
      <c r="R734" s="3">
        <v>10</v>
      </c>
      <c r="S734" s="3">
        <v>10</v>
      </c>
      <c r="T734" s="283" t="s">
        <v>1233</v>
      </c>
      <c r="U734" s="283" t="s">
        <v>1650</v>
      </c>
      <c r="V734" s="1" t="s">
        <v>3543</v>
      </c>
      <c r="W734" s="1">
        <v>1</v>
      </c>
      <c r="X734" s="1">
        <v>1</v>
      </c>
      <c r="Y734" s="1">
        <v>0</v>
      </c>
      <c r="Z734" s="1">
        <v>1</v>
      </c>
      <c r="AA734" s="1">
        <v>1</v>
      </c>
      <c r="AB734" s="1">
        <v>1</v>
      </c>
      <c r="AC734" s="316">
        <v>1</v>
      </c>
      <c r="AD734" s="316">
        <v>1</v>
      </c>
      <c r="AE734" s="302">
        <f t="shared" si="26"/>
        <v>0.875</v>
      </c>
      <c r="AF734" s="17"/>
      <c r="AG734" s="17">
        <v>0</v>
      </c>
      <c r="AH734" s="17">
        <v>0</v>
      </c>
      <c r="AI734" s="310">
        <v>1</v>
      </c>
      <c r="AJ734" s="310">
        <v>1</v>
      </c>
      <c r="AK734" s="317">
        <v>1</v>
      </c>
      <c r="AL734" s="317">
        <v>1</v>
      </c>
      <c r="AM734" s="147">
        <f t="shared" si="27"/>
        <v>2</v>
      </c>
      <c r="AN734" s="283" t="s">
        <v>1233</v>
      </c>
      <c r="AO734" s="18" t="s">
        <v>1650</v>
      </c>
      <c r="AP734" s="283" t="s">
        <v>265</v>
      </c>
    </row>
    <row r="735" spans="1:42" x14ac:dyDescent="0.3">
      <c r="A735" s="314" t="s">
        <v>1448</v>
      </c>
      <c r="B735" s="283" t="s">
        <v>3447</v>
      </c>
      <c r="C735" s="314" t="s">
        <v>3449</v>
      </c>
      <c r="D735" s="283" t="s">
        <v>3450</v>
      </c>
      <c r="E735" s="314" t="s">
        <v>3451</v>
      </c>
      <c r="F735" s="283" t="s">
        <v>3452</v>
      </c>
      <c r="G735" s="314" t="s">
        <v>3509</v>
      </c>
      <c r="H735" s="283" t="s">
        <v>3510</v>
      </c>
      <c r="I735" s="314" t="s">
        <v>3527</v>
      </c>
      <c r="J735" s="283" t="s">
        <v>3528</v>
      </c>
      <c r="K735" s="314" t="s">
        <v>3529</v>
      </c>
      <c r="L735" s="283" t="s">
        <v>3530</v>
      </c>
      <c r="M735" s="1" t="s">
        <v>3544</v>
      </c>
      <c r="N735" s="1">
        <v>0</v>
      </c>
      <c r="O735" s="1">
        <v>0</v>
      </c>
      <c r="P735" s="3" t="s">
        <v>3545</v>
      </c>
      <c r="Q735" s="3" t="s">
        <v>3545</v>
      </c>
      <c r="R735" s="3" t="s">
        <v>3545</v>
      </c>
      <c r="S735" s="3" t="s">
        <v>3545</v>
      </c>
      <c r="T735" s="283" t="s">
        <v>265</v>
      </c>
      <c r="U735" s="283" t="s">
        <v>350</v>
      </c>
      <c r="V735" s="1" t="s">
        <v>3546</v>
      </c>
      <c r="W735" s="1">
        <v>0</v>
      </c>
      <c r="X735" s="1">
        <v>0</v>
      </c>
      <c r="Y735" s="1">
        <v>0</v>
      </c>
      <c r="Z735" s="1">
        <v>1</v>
      </c>
      <c r="AA735" s="1">
        <v>0</v>
      </c>
      <c r="AB735" s="1">
        <v>0</v>
      </c>
      <c r="AC735" s="316">
        <v>0</v>
      </c>
      <c r="AD735" s="316">
        <v>0</v>
      </c>
      <c r="AE735" s="302">
        <f t="shared" ref="AE735:AE766" si="28">SUM(W735:AD735)/8</f>
        <v>0.125</v>
      </c>
      <c r="AF735" s="17"/>
      <c r="AG735" s="17">
        <v>0</v>
      </c>
      <c r="AH735" s="17">
        <v>0</v>
      </c>
      <c r="AI735" s="310">
        <v>0.2</v>
      </c>
      <c r="AJ735" s="310">
        <v>0.2</v>
      </c>
      <c r="AK735" s="317">
        <v>0</v>
      </c>
      <c r="AL735" s="317"/>
      <c r="AM735" s="147">
        <f t="shared" si="27"/>
        <v>0</v>
      </c>
      <c r="AN735" s="283" t="s">
        <v>265</v>
      </c>
      <c r="AO735" s="18" t="s">
        <v>350</v>
      </c>
      <c r="AP735" s="283" t="s">
        <v>3535</v>
      </c>
    </row>
    <row r="736" spans="1:42" x14ac:dyDescent="0.3">
      <c r="A736" s="314" t="s">
        <v>1448</v>
      </c>
      <c r="B736" s="283" t="s">
        <v>3447</v>
      </c>
      <c r="C736" s="314" t="s">
        <v>3449</v>
      </c>
      <c r="D736" s="283" t="s">
        <v>3450</v>
      </c>
      <c r="E736" s="314" t="s">
        <v>3451</v>
      </c>
      <c r="F736" s="283" t="s">
        <v>3452</v>
      </c>
      <c r="G736" s="314" t="s">
        <v>3509</v>
      </c>
      <c r="H736" s="283" t="s">
        <v>3510</v>
      </c>
      <c r="I736" s="314" t="s">
        <v>3527</v>
      </c>
      <c r="J736" s="283" t="s">
        <v>3528</v>
      </c>
      <c r="K736" s="314" t="s">
        <v>3529</v>
      </c>
      <c r="L736" s="283" t="s">
        <v>3530</v>
      </c>
      <c r="M736" s="1" t="s">
        <v>3547</v>
      </c>
      <c r="N736" s="1">
        <v>0</v>
      </c>
      <c r="O736" s="1">
        <v>1</v>
      </c>
      <c r="P736" s="3" t="s">
        <v>3548</v>
      </c>
      <c r="Q736" s="3" t="s">
        <v>3549</v>
      </c>
      <c r="R736" s="3" t="s">
        <v>3550</v>
      </c>
      <c r="S736" s="3" t="s">
        <v>3550</v>
      </c>
      <c r="T736" s="283" t="s">
        <v>869</v>
      </c>
      <c r="U736" s="283" t="s">
        <v>871</v>
      </c>
      <c r="V736" s="1" t="s">
        <v>3551</v>
      </c>
      <c r="W736" s="1">
        <v>1</v>
      </c>
      <c r="X736" s="1">
        <v>0</v>
      </c>
      <c r="Y736" s="1">
        <v>0</v>
      </c>
      <c r="Z736" s="1">
        <v>1</v>
      </c>
      <c r="AA736" s="1">
        <v>1</v>
      </c>
      <c r="AB736" s="1">
        <v>0</v>
      </c>
      <c r="AC736" s="316">
        <v>1</v>
      </c>
      <c r="AD736" s="316">
        <v>1</v>
      </c>
      <c r="AE736" s="302">
        <f t="shared" si="28"/>
        <v>0.625</v>
      </c>
      <c r="AF736" s="17"/>
      <c r="AG736" s="17">
        <v>0</v>
      </c>
      <c r="AH736" s="17">
        <v>0</v>
      </c>
      <c r="AI736" s="310">
        <v>0.5</v>
      </c>
      <c r="AJ736" s="310">
        <v>0.5</v>
      </c>
      <c r="AK736" s="317">
        <v>0.1</v>
      </c>
      <c r="AL736" s="317">
        <v>0.1</v>
      </c>
      <c r="AM736" s="147">
        <f t="shared" si="27"/>
        <v>0.2</v>
      </c>
      <c r="AN736" s="283" t="s">
        <v>869</v>
      </c>
      <c r="AO736" s="18" t="s">
        <v>871</v>
      </c>
      <c r="AP736" s="283" t="s">
        <v>3552</v>
      </c>
    </row>
    <row r="737" spans="1:42" x14ac:dyDescent="0.3">
      <c r="A737" s="314" t="s">
        <v>1448</v>
      </c>
      <c r="B737" s="283" t="s">
        <v>3447</v>
      </c>
      <c r="C737" s="314" t="s">
        <v>3449</v>
      </c>
      <c r="D737" s="283" t="s">
        <v>3450</v>
      </c>
      <c r="E737" s="314" t="s">
        <v>3451</v>
      </c>
      <c r="F737" s="283" t="s">
        <v>3452</v>
      </c>
      <c r="G737" s="314" t="s">
        <v>3509</v>
      </c>
      <c r="H737" s="283" t="s">
        <v>3510</v>
      </c>
      <c r="I737" s="314" t="s">
        <v>3527</v>
      </c>
      <c r="J737" s="283" t="s">
        <v>3528</v>
      </c>
      <c r="K737" s="314" t="s">
        <v>3529</v>
      </c>
      <c r="L737" s="283" t="s">
        <v>3530</v>
      </c>
      <c r="M737" s="1" t="s">
        <v>3553</v>
      </c>
      <c r="N737" s="1">
        <v>0</v>
      </c>
      <c r="O737" s="1">
        <v>0</v>
      </c>
      <c r="P737" s="3" t="s">
        <v>3532</v>
      </c>
      <c r="S737" s="3" t="s">
        <v>3554</v>
      </c>
      <c r="T737" s="283" t="s">
        <v>921</v>
      </c>
      <c r="U737" s="283" t="s">
        <v>880</v>
      </c>
      <c r="V737" s="1" t="s">
        <v>3555</v>
      </c>
      <c r="W737" s="1">
        <v>1</v>
      </c>
      <c r="X737" s="1">
        <v>1</v>
      </c>
      <c r="Y737" s="1">
        <v>0</v>
      </c>
      <c r="Z737" s="1">
        <v>1</v>
      </c>
      <c r="AA737" s="1">
        <v>1</v>
      </c>
      <c r="AB737" s="1">
        <v>1</v>
      </c>
      <c r="AC737" s="316">
        <v>1</v>
      </c>
      <c r="AD737" s="316">
        <v>0</v>
      </c>
      <c r="AE737" s="302">
        <f t="shared" si="28"/>
        <v>0.75</v>
      </c>
      <c r="AF737" s="17"/>
      <c r="AG737" s="17">
        <v>0</v>
      </c>
      <c r="AH737" s="17">
        <v>0</v>
      </c>
      <c r="AI737" s="310">
        <v>0.2</v>
      </c>
      <c r="AJ737" s="17">
        <v>0</v>
      </c>
      <c r="AK737" s="153">
        <v>0.1</v>
      </c>
      <c r="AL737" s="317">
        <v>0.2</v>
      </c>
      <c r="AM737" s="147">
        <f t="shared" si="27"/>
        <v>0.30000000000000004</v>
      </c>
      <c r="AN737" s="1" t="s">
        <v>921</v>
      </c>
      <c r="AO737" s="18" t="s">
        <v>880</v>
      </c>
      <c r="AP737" s="283" t="s">
        <v>265</v>
      </c>
    </row>
    <row r="738" spans="1:42" x14ac:dyDescent="0.3">
      <c r="A738" s="314" t="s">
        <v>1448</v>
      </c>
      <c r="B738" s="283" t="s">
        <v>3447</v>
      </c>
      <c r="C738" s="314" t="s">
        <v>3449</v>
      </c>
      <c r="D738" s="283" t="s">
        <v>3450</v>
      </c>
      <c r="E738" s="314" t="s">
        <v>3451</v>
      </c>
      <c r="F738" s="283" t="s">
        <v>3452</v>
      </c>
      <c r="G738" s="314" t="s">
        <v>3509</v>
      </c>
      <c r="H738" s="283" t="s">
        <v>3510</v>
      </c>
      <c r="I738" s="314" t="s">
        <v>3527</v>
      </c>
      <c r="J738" s="283" t="s">
        <v>3528</v>
      </c>
      <c r="K738" s="314" t="s">
        <v>3529</v>
      </c>
      <c r="L738" s="283" t="s">
        <v>3530</v>
      </c>
      <c r="M738" s="1" t="s">
        <v>3556</v>
      </c>
      <c r="N738" s="1">
        <v>0</v>
      </c>
      <c r="O738" s="1">
        <v>1</v>
      </c>
      <c r="P738" s="3">
        <v>2</v>
      </c>
      <c r="Q738" s="3">
        <v>1</v>
      </c>
      <c r="R738" s="3">
        <v>2</v>
      </c>
      <c r="S738" s="3">
        <v>2</v>
      </c>
      <c r="T738" s="283" t="s">
        <v>265</v>
      </c>
      <c r="U738" s="283" t="s">
        <v>350</v>
      </c>
      <c r="V738" s="1" t="s">
        <v>3557</v>
      </c>
      <c r="W738" s="1">
        <v>1</v>
      </c>
      <c r="X738" s="1">
        <v>1</v>
      </c>
      <c r="Y738" s="1">
        <v>1</v>
      </c>
      <c r="Z738" s="1">
        <v>1</v>
      </c>
      <c r="AA738" s="1">
        <v>1</v>
      </c>
      <c r="AB738" s="1">
        <v>1</v>
      </c>
      <c r="AC738" s="316">
        <v>1</v>
      </c>
      <c r="AD738" s="316">
        <v>1</v>
      </c>
      <c r="AE738" s="302">
        <f t="shared" si="28"/>
        <v>1</v>
      </c>
      <c r="AF738" s="17"/>
      <c r="AG738" s="17">
        <v>0</v>
      </c>
      <c r="AH738" s="17">
        <v>0</v>
      </c>
      <c r="AI738" s="310">
        <v>0</v>
      </c>
      <c r="AJ738" s="310">
        <v>0</v>
      </c>
      <c r="AK738" s="317">
        <v>0.1</v>
      </c>
      <c r="AL738" s="317">
        <v>0</v>
      </c>
      <c r="AM738" s="147">
        <f t="shared" si="27"/>
        <v>0.1</v>
      </c>
      <c r="AN738" s="283" t="s">
        <v>265</v>
      </c>
      <c r="AO738" s="18" t="s">
        <v>350</v>
      </c>
      <c r="AP738" s="283" t="s">
        <v>3558</v>
      </c>
    </row>
    <row r="739" spans="1:42" x14ac:dyDescent="0.3">
      <c r="A739" s="314" t="s">
        <v>1448</v>
      </c>
      <c r="B739" s="283" t="s">
        <v>3447</v>
      </c>
      <c r="C739" s="314" t="s">
        <v>3449</v>
      </c>
      <c r="D739" s="283" t="s">
        <v>3450</v>
      </c>
      <c r="E739" s="314" t="s">
        <v>3451</v>
      </c>
      <c r="F739" s="283" t="s">
        <v>3452</v>
      </c>
      <c r="G739" s="314" t="s">
        <v>3509</v>
      </c>
      <c r="H739" s="283" t="s">
        <v>3510</v>
      </c>
      <c r="I739" s="314" t="s">
        <v>3527</v>
      </c>
      <c r="J739" s="283" t="s">
        <v>3528</v>
      </c>
      <c r="K739" s="314" t="s">
        <v>3529</v>
      </c>
      <c r="L739" s="283" t="s">
        <v>3530</v>
      </c>
      <c r="M739" s="1" t="s">
        <v>3559</v>
      </c>
      <c r="N739" s="1">
        <v>0</v>
      </c>
      <c r="O739" s="1">
        <v>2</v>
      </c>
      <c r="P739" s="3" t="s">
        <v>3548</v>
      </c>
      <c r="Q739" s="3" t="s">
        <v>3560</v>
      </c>
      <c r="R739" s="3" t="s">
        <v>3561</v>
      </c>
      <c r="S739" s="3" t="s">
        <v>3561</v>
      </c>
      <c r="T739" s="283" t="s">
        <v>869</v>
      </c>
      <c r="U739" s="283" t="s">
        <v>871</v>
      </c>
      <c r="V739" s="1" t="s">
        <v>3562</v>
      </c>
      <c r="W739" s="1">
        <v>1</v>
      </c>
      <c r="X739" s="1">
        <v>1</v>
      </c>
      <c r="Y739" s="1">
        <v>1</v>
      </c>
      <c r="Z739" s="1">
        <v>1</v>
      </c>
      <c r="AA739" s="1">
        <v>1</v>
      </c>
      <c r="AB739" s="1">
        <v>0</v>
      </c>
      <c r="AC739" s="316">
        <v>1</v>
      </c>
      <c r="AD739" s="316">
        <v>1</v>
      </c>
      <c r="AE739" s="302">
        <f t="shared" si="28"/>
        <v>0.875</v>
      </c>
      <c r="AF739" s="17"/>
      <c r="AG739" s="17">
        <v>0</v>
      </c>
      <c r="AH739" s="17">
        <v>0</v>
      </c>
      <c r="AI739" s="310">
        <v>0</v>
      </c>
      <c r="AJ739" s="310">
        <v>0</v>
      </c>
      <c r="AK739" s="317">
        <v>0.1</v>
      </c>
      <c r="AL739" s="317">
        <v>0</v>
      </c>
      <c r="AM739" s="147">
        <f t="shared" si="27"/>
        <v>0.1</v>
      </c>
      <c r="AN739" s="283" t="s">
        <v>869</v>
      </c>
      <c r="AO739" s="18" t="s">
        <v>871</v>
      </c>
      <c r="AP739" s="283" t="s">
        <v>3563</v>
      </c>
    </row>
    <row r="740" spans="1:42" x14ac:dyDescent="0.3">
      <c r="A740" s="314" t="s">
        <v>1448</v>
      </c>
      <c r="B740" s="283" t="s">
        <v>3447</v>
      </c>
      <c r="C740" s="314" t="s">
        <v>3449</v>
      </c>
      <c r="D740" s="283" t="s">
        <v>3450</v>
      </c>
      <c r="E740" s="314" t="s">
        <v>3451</v>
      </c>
      <c r="F740" s="283" t="s">
        <v>3452</v>
      </c>
      <c r="G740" s="314" t="s">
        <v>3509</v>
      </c>
      <c r="H740" s="283" t="s">
        <v>3510</v>
      </c>
      <c r="I740" s="314" t="s">
        <v>3527</v>
      </c>
      <c r="J740" s="283" t="s">
        <v>3528</v>
      </c>
      <c r="K740" s="314" t="s">
        <v>3529</v>
      </c>
      <c r="L740" s="283" t="s">
        <v>3530</v>
      </c>
      <c r="M740" s="1" t="s">
        <v>3564</v>
      </c>
      <c r="N740" s="1">
        <v>0</v>
      </c>
      <c r="O740" s="1">
        <v>1</v>
      </c>
      <c r="P740" s="3" t="s">
        <v>3565</v>
      </c>
      <c r="Q740" s="3" t="s">
        <v>3565</v>
      </c>
      <c r="R740" s="3" t="s">
        <v>3565</v>
      </c>
      <c r="S740" s="3" t="s">
        <v>3565</v>
      </c>
      <c r="T740" s="283" t="s">
        <v>869</v>
      </c>
      <c r="U740" s="283" t="s">
        <v>871</v>
      </c>
      <c r="V740" s="1" t="s">
        <v>3566</v>
      </c>
      <c r="W740" s="1">
        <v>1</v>
      </c>
      <c r="X740" s="1">
        <v>0</v>
      </c>
      <c r="Y740" s="1">
        <v>0</v>
      </c>
      <c r="Z740" s="1">
        <v>1</v>
      </c>
      <c r="AA740" s="1">
        <v>1</v>
      </c>
      <c r="AB740" s="1">
        <v>1</v>
      </c>
      <c r="AC740" s="316">
        <v>0</v>
      </c>
      <c r="AD740" s="316">
        <v>0</v>
      </c>
      <c r="AE740" s="302">
        <f t="shared" si="28"/>
        <v>0.5</v>
      </c>
      <c r="AF740" s="17"/>
      <c r="AG740" s="17">
        <v>0</v>
      </c>
      <c r="AH740" s="17">
        <v>0</v>
      </c>
      <c r="AI740" s="310">
        <v>0</v>
      </c>
      <c r="AJ740" s="310">
        <v>0</v>
      </c>
      <c r="AK740" s="317">
        <v>0</v>
      </c>
      <c r="AL740" s="317"/>
      <c r="AM740" s="147">
        <f t="shared" si="27"/>
        <v>0</v>
      </c>
      <c r="AN740" s="283" t="s">
        <v>869</v>
      </c>
      <c r="AO740" s="18" t="s">
        <v>871</v>
      </c>
      <c r="AP740" s="283" t="s">
        <v>3567</v>
      </c>
    </row>
    <row r="741" spans="1:42" x14ac:dyDescent="0.3">
      <c r="A741" s="314" t="s">
        <v>1448</v>
      </c>
      <c r="B741" s="283" t="s">
        <v>3447</v>
      </c>
      <c r="C741" s="314" t="s">
        <v>3449</v>
      </c>
      <c r="D741" s="283" t="s">
        <v>3450</v>
      </c>
      <c r="E741" s="314" t="s">
        <v>3451</v>
      </c>
      <c r="F741" s="283" t="s">
        <v>3452</v>
      </c>
      <c r="G741" s="314" t="s">
        <v>3568</v>
      </c>
      <c r="H741" s="283" t="s">
        <v>3569</v>
      </c>
      <c r="K741" s="314" t="s">
        <v>3570</v>
      </c>
      <c r="L741" s="283" t="s">
        <v>3571</v>
      </c>
      <c r="M741" s="1" t="s">
        <v>3572</v>
      </c>
      <c r="N741" s="1" t="s">
        <v>271</v>
      </c>
      <c r="O741" s="1">
        <v>100</v>
      </c>
      <c r="P741" s="3">
        <v>100</v>
      </c>
      <c r="Q741" s="3">
        <v>100</v>
      </c>
      <c r="R741" s="3">
        <v>100</v>
      </c>
      <c r="S741" s="3">
        <v>100</v>
      </c>
      <c r="T741" s="283" t="s">
        <v>2524</v>
      </c>
      <c r="U741" s="283" t="e">
        <v>#N/A</v>
      </c>
      <c r="V741" s="1" t="s">
        <v>3573</v>
      </c>
      <c r="W741" s="1">
        <v>1</v>
      </c>
      <c r="X741" s="1">
        <v>1</v>
      </c>
      <c r="Y741" s="1">
        <v>1</v>
      </c>
      <c r="Z741" s="1">
        <v>1</v>
      </c>
      <c r="AA741" s="1">
        <v>1</v>
      </c>
      <c r="AB741" s="1">
        <v>1</v>
      </c>
      <c r="AC741" s="316">
        <v>1</v>
      </c>
      <c r="AD741" s="316">
        <v>1</v>
      </c>
      <c r="AE741" s="302">
        <f t="shared" si="28"/>
        <v>1</v>
      </c>
      <c r="AF741" s="17"/>
      <c r="AG741" s="17">
        <v>0</v>
      </c>
      <c r="AH741" s="17">
        <v>0</v>
      </c>
      <c r="AI741" s="310">
        <v>0</v>
      </c>
      <c r="AJ741" s="310">
        <v>0</v>
      </c>
      <c r="AK741" s="317">
        <v>2</v>
      </c>
      <c r="AL741" s="317">
        <v>0</v>
      </c>
      <c r="AM741" s="147">
        <f t="shared" si="27"/>
        <v>2</v>
      </c>
      <c r="AN741" s="283" t="s">
        <v>63</v>
      </c>
      <c r="AO741" s="18" t="s">
        <v>2510</v>
      </c>
      <c r="AP741" s="283" t="s">
        <v>3574</v>
      </c>
    </row>
    <row r="742" spans="1:42" x14ac:dyDescent="0.3">
      <c r="A742" s="314" t="s">
        <v>1448</v>
      </c>
      <c r="B742" s="283" t="s">
        <v>3447</v>
      </c>
      <c r="C742" s="314" t="s">
        <v>3449</v>
      </c>
      <c r="D742" s="283" t="s">
        <v>3450</v>
      </c>
      <c r="E742" s="314" t="s">
        <v>3451</v>
      </c>
      <c r="F742" s="283" t="s">
        <v>3452</v>
      </c>
      <c r="G742" s="314" t="s">
        <v>3568</v>
      </c>
      <c r="H742" s="283" t="s">
        <v>3569</v>
      </c>
      <c r="K742" s="314" t="s">
        <v>3570</v>
      </c>
      <c r="L742" s="283" t="s">
        <v>3571</v>
      </c>
      <c r="M742" s="1" t="s">
        <v>3575</v>
      </c>
      <c r="N742" s="1" t="s">
        <v>271</v>
      </c>
      <c r="O742" s="1">
        <v>100</v>
      </c>
      <c r="P742" s="3">
        <v>100</v>
      </c>
      <c r="Q742" s="3">
        <v>100</v>
      </c>
      <c r="R742" s="3">
        <v>100</v>
      </c>
      <c r="S742" s="3">
        <v>100</v>
      </c>
      <c r="T742" s="283" t="s">
        <v>2507</v>
      </c>
      <c r="U742" s="283" t="e">
        <v>#N/A</v>
      </c>
      <c r="V742" s="1" t="s">
        <v>3576</v>
      </c>
      <c r="W742" s="1">
        <v>1</v>
      </c>
      <c r="X742" s="1">
        <v>1</v>
      </c>
      <c r="Y742" s="1">
        <v>1</v>
      </c>
      <c r="Z742" s="1">
        <v>1</v>
      </c>
      <c r="AA742" s="1">
        <v>1</v>
      </c>
      <c r="AB742" s="1">
        <v>1</v>
      </c>
      <c r="AC742" s="316">
        <v>1</v>
      </c>
      <c r="AD742" s="316">
        <v>1</v>
      </c>
      <c r="AE742" s="302">
        <f t="shared" si="28"/>
        <v>1</v>
      </c>
      <c r="AF742" s="17">
        <v>1</v>
      </c>
      <c r="AG742" s="17">
        <v>0</v>
      </c>
      <c r="AH742" s="17">
        <v>0</v>
      </c>
      <c r="AI742" s="310">
        <v>0</v>
      </c>
      <c r="AJ742" s="310">
        <v>0</v>
      </c>
      <c r="AK742" s="317">
        <v>0</v>
      </c>
      <c r="AL742" s="317">
        <v>0</v>
      </c>
      <c r="AM742" s="147">
        <f t="shared" si="27"/>
        <v>0</v>
      </c>
      <c r="AN742" s="283" t="s">
        <v>2509</v>
      </c>
      <c r="AO742" s="18" t="s">
        <v>2510</v>
      </c>
      <c r="AP742" s="283" t="s">
        <v>3577</v>
      </c>
    </row>
    <row r="743" spans="1:42" x14ac:dyDescent="0.3">
      <c r="A743" s="314" t="s">
        <v>1448</v>
      </c>
      <c r="B743" s="283" t="s">
        <v>3447</v>
      </c>
      <c r="C743" s="314" t="s">
        <v>3449</v>
      </c>
      <c r="D743" s="283" t="s">
        <v>3450</v>
      </c>
      <c r="E743" s="314" t="s">
        <v>3451</v>
      </c>
      <c r="F743" s="283" t="s">
        <v>3452</v>
      </c>
      <c r="G743" s="314" t="s">
        <v>3578</v>
      </c>
      <c r="H743" s="283" t="s">
        <v>3579</v>
      </c>
      <c r="K743" s="318" t="s">
        <v>3580</v>
      </c>
      <c r="L743" s="283" t="s">
        <v>3581</v>
      </c>
      <c r="M743" s="1" t="s">
        <v>3582</v>
      </c>
      <c r="N743" s="1" t="s">
        <v>271</v>
      </c>
      <c r="O743" s="1">
        <v>100</v>
      </c>
      <c r="P743" s="3">
        <v>100</v>
      </c>
      <c r="Q743" s="3">
        <v>100</v>
      </c>
      <c r="R743" s="3">
        <v>50</v>
      </c>
      <c r="S743" s="3">
        <v>0</v>
      </c>
      <c r="T743" s="283" t="s">
        <v>2528</v>
      </c>
      <c r="U743" s="283" t="s">
        <v>2530</v>
      </c>
      <c r="V743" s="1" t="s">
        <v>3583</v>
      </c>
      <c r="W743" s="1">
        <v>1</v>
      </c>
      <c r="X743" s="1">
        <v>1</v>
      </c>
      <c r="Y743" s="1">
        <v>1</v>
      </c>
      <c r="Z743" s="1">
        <v>1</v>
      </c>
      <c r="AA743" s="1">
        <v>1</v>
      </c>
      <c r="AB743" s="1">
        <v>1</v>
      </c>
      <c r="AC743" s="316">
        <v>1</v>
      </c>
      <c r="AD743" s="316">
        <v>1</v>
      </c>
      <c r="AE743" s="302">
        <f t="shared" si="28"/>
        <v>1</v>
      </c>
      <c r="AF743" s="17">
        <v>1</v>
      </c>
      <c r="AG743" s="17">
        <v>0</v>
      </c>
      <c r="AH743" s="17">
        <v>0</v>
      </c>
      <c r="AI743" s="310">
        <v>0</v>
      </c>
      <c r="AJ743" s="310">
        <v>0</v>
      </c>
      <c r="AK743" s="317">
        <v>0</v>
      </c>
      <c r="AL743" s="154">
        <v>0</v>
      </c>
      <c r="AM743" s="147">
        <f t="shared" si="27"/>
        <v>0</v>
      </c>
      <c r="AN743" s="283" t="s">
        <v>2528</v>
      </c>
      <c r="AO743" s="18" t="s">
        <v>2530</v>
      </c>
      <c r="AP743" s="283" t="s">
        <v>63</v>
      </c>
    </row>
    <row r="744" spans="1:42" x14ac:dyDescent="0.3">
      <c r="A744" s="314" t="s">
        <v>1448</v>
      </c>
      <c r="B744" s="283" t="s">
        <v>3447</v>
      </c>
      <c r="C744" s="314" t="s">
        <v>3449</v>
      </c>
      <c r="D744" s="283" t="s">
        <v>3450</v>
      </c>
      <c r="E744" s="314" t="s">
        <v>3451</v>
      </c>
      <c r="F744" s="283" t="s">
        <v>3452</v>
      </c>
      <c r="G744" s="314" t="s">
        <v>3578</v>
      </c>
      <c r="H744" s="283" t="s">
        <v>3579</v>
      </c>
      <c r="K744" s="318" t="s">
        <v>3580</v>
      </c>
      <c r="L744" s="283" t="s">
        <v>3581</v>
      </c>
      <c r="M744" s="1" t="s">
        <v>3584</v>
      </c>
      <c r="N744" s="1" t="s">
        <v>271</v>
      </c>
      <c r="O744" s="1">
        <v>0</v>
      </c>
      <c r="P744" s="3">
        <v>1</v>
      </c>
      <c r="Q744" s="3">
        <v>2</v>
      </c>
      <c r="R744" s="3">
        <v>2</v>
      </c>
      <c r="S744" s="3">
        <v>2</v>
      </c>
      <c r="T744" s="283" t="s">
        <v>265</v>
      </c>
      <c r="U744" s="283" t="s">
        <v>350</v>
      </c>
      <c r="V744" s="1" t="s">
        <v>3585</v>
      </c>
      <c r="W744" s="1">
        <v>1</v>
      </c>
      <c r="X744" s="1">
        <v>1</v>
      </c>
      <c r="Y744" s="1">
        <v>1</v>
      </c>
      <c r="Z744" s="1">
        <v>1</v>
      </c>
      <c r="AA744" s="1">
        <v>1</v>
      </c>
      <c r="AB744" s="1">
        <v>1</v>
      </c>
      <c r="AC744" s="316">
        <v>1</v>
      </c>
      <c r="AD744" s="316">
        <v>1</v>
      </c>
      <c r="AE744" s="302">
        <f t="shared" si="28"/>
        <v>1</v>
      </c>
      <c r="AF744" s="17"/>
      <c r="AG744" s="17">
        <v>0</v>
      </c>
      <c r="AH744" s="17">
        <v>0</v>
      </c>
      <c r="AI744" s="17">
        <v>0</v>
      </c>
      <c r="AJ744" s="310">
        <v>26</v>
      </c>
      <c r="AK744" s="317">
        <v>28</v>
      </c>
      <c r="AL744" s="317">
        <v>30</v>
      </c>
      <c r="AM744" s="147">
        <f t="shared" si="27"/>
        <v>58</v>
      </c>
      <c r="AN744" s="283" t="s">
        <v>265</v>
      </c>
      <c r="AO744" s="18" t="s">
        <v>350</v>
      </c>
      <c r="AP744" s="283" t="s">
        <v>3586</v>
      </c>
    </row>
    <row r="745" spans="1:42" x14ac:dyDescent="0.3">
      <c r="A745" s="314" t="s">
        <v>1448</v>
      </c>
      <c r="B745" s="283" t="s">
        <v>3447</v>
      </c>
      <c r="C745" s="314" t="s">
        <v>3449</v>
      </c>
      <c r="D745" s="283" t="s">
        <v>3450</v>
      </c>
      <c r="E745" s="314" t="s">
        <v>3451</v>
      </c>
      <c r="F745" s="283" t="s">
        <v>3452</v>
      </c>
      <c r="G745" s="314" t="s">
        <v>3578</v>
      </c>
      <c r="H745" s="283" t="s">
        <v>3579</v>
      </c>
      <c r="K745" s="318" t="s">
        <v>3587</v>
      </c>
      <c r="L745" s="283" t="s">
        <v>3588</v>
      </c>
      <c r="M745" s="1" t="s">
        <v>3544</v>
      </c>
      <c r="N745" s="1">
        <v>0</v>
      </c>
      <c r="O745" s="1">
        <v>2</v>
      </c>
      <c r="P745" s="3" t="s">
        <v>3565</v>
      </c>
      <c r="Q745" s="3" t="s">
        <v>3565</v>
      </c>
      <c r="R745" s="3" t="s">
        <v>3565</v>
      </c>
      <c r="S745" s="3" t="s">
        <v>3565</v>
      </c>
      <c r="T745" s="283" t="s">
        <v>265</v>
      </c>
      <c r="U745" s="283" t="s">
        <v>350</v>
      </c>
      <c r="V745" s="1" t="s">
        <v>3589</v>
      </c>
      <c r="W745" s="1">
        <v>1</v>
      </c>
      <c r="X745" s="1">
        <v>0</v>
      </c>
      <c r="Y745" s="1">
        <v>0</v>
      </c>
      <c r="Z745" s="1">
        <v>1</v>
      </c>
      <c r="AA745" s="1">
        <v>0</v>
      </c>
      <c r="AB745" s="1">
        <v>0</v>
      </c>
      <c r="AC745" s="316">
        <v>1</v>
      </c>
      <c r="AD745" s="316">
        <v>1</v>
      </c>
      <c r="AE745" s="302">
        <f t="shared" si="28"/>
        <v>0.5</v>
      </c>
      <c r="AF745" s="17"/>
      <c r="AG745" s="17">
        <v>0</v>
      </c>
      <c r="AH745" s="17">
        <v>0</v>
      </c>
      <c r="AI745" s="310">
        <v>0.1</v>
      </c>
      <c r="AJ745" s="310">
        <v>0.1</v>
      </c>
      <c r="AK745" s="317">
        <v>0</v>
      </c>
      <c r="AL745" s="317"/>
      <c r="AM745" s="147">
        <f t="shared" si="27"/>
        <v>0</v>
      </c>
      <c r="AN745" s="283" t="s">
        <v>265</v>
      </c>
      <c r="AO745" s="18" t="s">
        <v>350</v>
      </c>
      <c r="AP745" s="283" t="s">
        <v>3590</v>
      </c>
    </row>
    <row r="746" spans="1:42" x14ac:dyDescent="0.3">
      <c r="A746" s="314" t="s">
        <v>1448</v>
      </c>
      <c r="B746" s="283" t="s">
        <v>3447</v>
      </c>
      <c r="C746" s="314" t="s">
        <v>3449</v>
      </c>
      <c r="D746" s="283" t="s">
        <v>3450</v>
      </c>
      <c r="E746" s="314" t="s">
        <v>3451</v>
      </c>
      <c r="F746" s="283" t="s">
        <v>3452</v>
      </c>
      <c r="G746" s="314" t="s">
        <v>3578</v>
      </c>
      <c r="H746" s="283" t="s">
        <v>3579</v>
      </c>
      <c r="K746" s="318" t="s">
        <v>3587</v>
      </c>
      <c r="L746" s="283" t="s">
        <v>3588</v>
      </c>
      <c r="M746" s="1" t="s">
        <v>3591</v>
      </c>
      <c r="N746" s="1">
        <v>0</v>
      </c>
      <c r="O746" s="1">
        <v>2</v>
      </c>
      <c r="P746" s="3">
        <v>2</v>
      </c>
      <c r="Q746" s="3">
        <v>2</v>
      </c>
      <c r="R746" s="3">
        <v>2</v>
      </c>
      <c r="S746" s="3">
        <v>2</v>
      </c>
      <c r="T746" s="283" t="s">
        <v>265</v>
      </c>
      <c r="U746" s="283" t="s">
        <v>350</v>
      </c>
      <c r="V746" s="1" t="s">
        <v>3592</v>
      </c>
      <c r="W746" s="1">
        <v>1</v>
      </c>
      <c r="X746" s="1">
        <v>0</v>
      </c>
      <c r="Y746" s="1">
        <v>0</v>
      </c>
      <c r="Z746" s="1">
        <v>1</v>
      </c>
      <c r="AA746" s="1">
        <v>0</v>
      </c>
      <c r="AB746" s="1">
        <v>0</v>
      </c>
      <c r="AC746" s="316">
        <v>1</v>
      </c>
      <c r="AD746" s="316">
        <v>1</v>
      </c>
      <c r="AE746" s="302">
        <f t="shared" si="28"/>
        <v>0.5</v>
      </c>
      <c r="AF746" s="17"/>
      <c r="AG746" s="17">
        <v>0</v>
      </c>
      <c r="AH746" s="17">
        <v>0</v>
      </c>
      <c r="AI746" s="310">
        <v>0</v>
      </c>
      <c r="AJ746" s="310">
        <v>0</v>
      </c>
      <c r="AK746" s="317">
        <v>0</v>
      </c>
      <c r="AL746" s="317"/>
      <c r="AM746" s="147">
        <f t="shared" si="27"/>
        <v>0</v>
      </c>
      <c r="AN746" s="283" t="s">
        <v>265</v>
      </c>
      <c r="AO746" s="18" t="s">
        <v>350</v>
      </c>
      <c r="AP746" s="283" t="s">
        <v>3590</v>
      </c>
    </row>
    <row r="747" spans="1:42" x14ac:dyDescent="0.3">
      <c r="A747" s="314" t="s">
        <v>1448</v>
      </c>
      <c r="B747" s="283" t="s">
        <v>3447</v>
      </c>
      <c r="C747" s="314" t="s">
        <v>3449</v>
      </c>
      <c r="D747" s="283" t="s">
        <v>3450</v>
      </c>
      <c r="E747" s="314" t="s">
        <v>3451</v>
      </c>
      <c r="F747" s="283" t="s">
        <v>3452</v>
      </c>
      <c r="G747" s="314" t="s">
        <v>3578</v>
      </c>
      <c r="H747" s="283" t="s">
        <v>3579</v>
      </c>
      <c r="K747" s="318" t="s">
        <v>3587</v>
      </c>
      <c r="L747" s="283" t="s">
        <v>3588</v>
      </c>
      <c r="M747" s="1" t="s">
        <v>3593</v>
      </c>
      <c r="N747" s="1">
        <v>0</v>
      </c>
      <c r="O747" s="1">
        <v>0</v>
      </c>
      <c r="P747" s="3">
        <v>0</v>
      </c>
      <c r="Q747" s="3">
        <v>1</v>
      </c>
      <c r="R747" s="3">
        <v>0</v>
      </c>
      <c r="S747" s="3">
        <v>0</v>
      </c>
      <c r="T747" s="283" t="s">
        <v>265</v>
      </c>
      <c r="U747" s="283" t="s">
        <v>350</v>
      </c>
      <c r="V747" s="1" t="s">
        <v>3594</v>
      </c>
      <c r="W747" s="1">
        <v>1</v>
      </c>
      <c r="X747" s="1">
        <v>0</v>
      </c>
      <c r="Y747" s="1">
        <v>0</v>
      </c>
      <c r="Z747" s="1">
        <v>0</v>
      </c>
      <c r="AA747" s="1">
        <v>0</v>
      </c>
      <c r="AB747" s="1">
        <v>1</v>
      </c>
      <c r="AC747" s="316">
        <v>1</v>
      </c>
      <c r="AD747" s="316">
        <v>1</v>
      </c>
      <c r="AE747" s="302">
        <f t="shared" si="28"/>
        <v>0.5</v>
      </c>
      <c r="AF747" s="17"/>
      <c r="AG747" s="17">
        <v>0</v>
      </c>
      <c r="AH747" s="17">
        <v>0</v>
      </c>
      <c r="AI747" s="17">
        <v>0</v>
      </c>
      <c r="AJ747" s="310">
        <v>0.2</v>
      </c>
      <c r="AK747" s="317">
        <v>0</v>
      </c>
      <c r="AL747" s="317"/>
      <c r="AM747" s="147">
        <f t="shared" si="27"/>
        <v>0</v>
      </c>
      <c r="AN747" s="283" t="s">
        <v>265</v>
      </c>
      <c r="AO747" s="18" t="s">
        <v>350</v>
      </c>
      <c r="AP747" s="283" t="s">
        <v>3595</v>
      </c>
    </row>
    <row r="748" spans="1:42" x14ac:dyDescent="0.3">
      <c r="A748" s="314" t="s">
        <v>1448</v>
      </c>
      <c r="B748" s="283" t="s">
        <v>3447</v>
      </c>
      <c r="C748" s="314" t="s">
        <v>3449</v>
      </c>
      <c r="D748" s="283" t="s">
        <v>3450</v>
      </c>
      <c r="E748" s="314" t="s">
        <v>3451</v>
      </c>
      <c r="F748" s="283" t="s">
        <v>3452</v>
      </c>
      <c r="G748" s="314" t="s">
        <v>3578</v>
      </c>
      <c r="H748" s="283" t="s">
        <v>3579</v>
      </c>
      <c r="K748" s="318" t="s">
        <v>3587</v>
      </c>
      <c r="L748" s="283" t="s">
        <v>3588</v>
      </c>
      <c r="N748" s="1"/>
      <c r="U748" s="283" t="e">
        <v>#N/A</v>
      </c>
      <c r="V748" s="1" t="s">
        <v>3594</v>
      </c>
      <c r="W748" s="1"/>
      <c r="X748" s="1"/>
      <c r="Y748" s="1"/>
      <c r="Z748" s="1"/>
      <c r="AA748" s="1"/>
      <c r="AB748" s="1"/>
      <c r="AC748" s="316">
        <v>0</v>
      </c>
      <c r="AD748" s="316">
        <v>0</v>
      </c>
      <c r="AE748" s="302">
        <f t="shared" si="28"/>
        <v>0</v>
      </c>
      <c r="AF748" s="17"/>
      <c r="AG748" s="17">
        <v>0</v>
      </c>
      <c r="AH748" s="17">
        <v>0</v>
      </c>
      <c r="AI748" s="17">
        <v>0</v>
      </c>
      <c r="AJ748" s="310">
        <v>1</v>
      </c>
      <c r="AK748" s="317">
        <v>0</v>
      </c>
      <c r="AL748" s="317"/>
      <c r="AM748" s="147">
        <f t="shared" si="27"/>
        <v>0</v>
      </c>
      <c r="AN748" s="283" t="s">
        <v>2074</v>
      </c>
      <c r="AO748" s="18" t="s">
        <v>2075</v>
      </c>
      <c r="AP748" s="283" t="s">
        <v>3596</v>
      </c>
    </row>
    <row r="749" spans="1:42" x14ac:dyDescent="0.3">
      <c r="A749" s="314" t="s">
        <v>1448</v>
      </c>
      <c r="B749" s="283" t="s">
        <v>3447</v>
      </c>
      <c r="C749" s="314" t="s">
        <v>3449</v>
      </c>
      <c r="D749" s="283" t="s">
        <v>3450</v>
      </c>
      <c r="E749" s="314" t="s">
        <v>3451</v>
      </c>
      <c r="F749" s="283" t="s">
        <v>3452</v>
      </c>
      <c r="G749" s="314" t="s">
        <v>3597</v>
      </c>
      <c r="H749" s="283" t="s">
        <v>3598</v>
      </c>
      <c r="K749" s="314" t="s">
        <v>3599</v>
      </c>
      <c r="L749" s="283" t="s">
        <v>3600</v>
      </c>
      <c r="M749" s="1" t="s">
        <v>3601</v>
      </c>
      <c r="N749" s="1">
        <v>0</v>
      </c>
      <c r="O749" s="1">
        <v>1</v>
      </c>
      <c r="P749" s="3">
        <v>3</v>
      </c>
      <c r="Q749" s="3" t="s">
        <v>3516</v>
      </c>
      <c r="R749" s="3" t="s">
        <v>3565</v>
      </c>
      <c r="S749" s="3" t="s">
        <v>3545</v>
      </c>
      <c r="T749" s="283" t="s">
        <v>265</v>
      </c>
      <c r="U749" s="283" t="s">
        <v>350</v>
      </c>
      <c r="V749" s="1" t="s">
        <v>3602</v>
      </c>
      <c r="W749" s="1">
        <v>1</v>
      </c>
      <c r="X749" s="1">
        <v>0</v>
      </c>
      <c r="Y749" s="1">
        <v>0</v>
      </c>
      <c r="Z749" s="1">
        <v>1</v>
      </c>
      <c r="AA749" s="1">
        <v>1</v>
      </c>
      <c r="AB749" s="1">
        <v>1</v>
      </c>
      <c r="AC749" s="316">
        <v>1</v>
      </c>
      <c r="AD749" s="316">
        <v>1</v>
      </c>
      <c r="AE749" s="302">
        <f t="shared" si="28"/>
        <v>0.75</v>
      </c>
      <c r="AF749" s="310"/>
      <c r="AG749" s="17">
        <v>0</v>
      </c>
      <c r="AH749" s="310">
        <v>0.15</v>
      </c>
      <c r="AI749" s="310">
        <v>0.15</v>
      </c>
      <c r="AJ749" s="310">
        <v>0.15</v>
      </c>
      <c r="AK749" s="317">
        <v>0.1</v>
      </c>
      <c r="AL749" s="317">
        <v>0.1</v>
      </c>
      <c r="AM749" s="147">
        <f t="shared" si="27"/>
        <v>0.2</v>
      </c>
      <c r="AN749" s="283" t="s">
        <v>265</v>
      </c>
      <c r="AO749" s="18" t="s">
        <v>350</v>
      </c>
      <c r="AP749" s="283" t="s">
        <v>119</v>
      </c>
    </row>
    <row r="750" spans="1:42" x14ac:dyDescent="0.3">
      <c r="A750" s="314" t="s">
        <v>1448</v>
      </c>
      <c r="B750" s="283" t="s">
        <v>3447</v>
      </c>
      <c r="C750" s="314" t="s">
        <v>3449</v>
      </c>
      <c r="D750" s="283" t="s">
        <v>3450</v>
      </c>
      <c r="E750" s="314" t="s">
        <v>3451</v>
      </c>
      <c r="F750" s="283" t="s">
        <v>3452</v>
      </c>
      <c r="G750" s="314" t="s">
        <v>3597</v>
      </c>
      <c r="H750" s="283" t="s">
        <v>3598</v>
      </c>
      <c r="K750" s="314" t="s">
        <v>3599</v>
      </c>
      <c r="L750" s="283" t="s">
        <v>3600</v>
      </c>
      <c r="M750" s="1" t="s">
        <v>3603</v>
      </c>
      <c r="N750" s="1">
        <v>0</v>
      </c>
      <c r="O750" s="1">
        <v>0</v>
      </c>
      <c r="P750" s="3">
        <v>30</v>
      </c>
      <c r="Q750" s="3">
        <v>30</v>
      </c>
      <c r="R750" s="3">
        <v>30</v>
      </c>
      <c r="S750" s="3">
        <v>30</v>
      </c>
      <c r="T750" s="283" t="s">
        <v>265</v>
      </c>
      <c r="U750" s="283" t="s">
        <v>350</v>
      </c>
      <c r="V750" s="1" t="s">
        <v>3604</v>
      </c>
      <c r="W750" s="1">
        <v>1</v>
      </c>
      <c r="X750" s="1">
        <v>1</v>
      </c>
      <c r="Y750" s="1">
        <v>1</v>
      </c>
      <c r="Z750" s="1">
        <v>1</v>
      </c>
      <c r="AA750" s="1">
        <v>1</v>
      </c>
      <c r="AB750" s="1">
        <v>1</v>
      </c>
      <c r="AC750" s="316">
        <v>1</v>
      </c>
      <c r="AD750" s="316">
        <v>1</v>
      </c>
      <c r="AE750" s="302">
        <f t="shared" si="28"/>
        <v>1</v>
      </c>
      <c r="AF750" s="17"/>
      <c r="AG750" s="17">
        <v>0</v>
      </c>
      <c r="AH750" s="17">
        <v>0</v>
      </c>
      <c r="AI750" s="310">
        <v>0</v>
      </c>
      <c r="AJ750" s="310">
        <v>0</v>
      </c>
      <c r="AK750" s="317">
        <v>0</v>
      </c>
      <c r="AL750" s="317">
        <v>0</v>
      </c>
      <c r="AM750" s="147">
        <f t="shared" si="27"/>
        <v>0</v>
      </c>
      <c r="AN750" s="283" t="s">
        <v>265</v>
      </c>
      <c r="AO750" s="18" t="s">
        <v>350</v>
      </c>
      <c r="AP750" s="283" t="s">
        <v>3605</v>
      </c>
    </row>
    <row r="751" spans="1:42" x14ac:dyDescent="0.3">
      <c r="A751" s="314" t="s">
        <v>1448</v>
      </c>
      <c r="B751" s="283" t="s">
        <v>3447</v>
      </c>
      <c r="C751" s="314" t="s">
        <v>3449</v>
      </c>
      <c r="D751" s="283" t="s">
        <v>3450</v>
      </c>
      <c r="E751" s="314" t="s">
        <v>3451</v>
      </c>
      <c r="F751" s="283" t="s">
        <v>3452</v>
      </c>
      <c r="G751" s="314" t="s">
        <v>3597</v>
      </c>
      <c r="H751" s="283" t="s">
        <v>3598</v>
      </c>
      <c r="K751" s="314" t="s">
        <v>3599</v>
      </c>
      <c r="L751" s="283" t="s">
        <v>3600</v>
      </c>
      <c r="M751" s="1" t="s">
        <v>3606</v>
      </c>
      <c r="N751" s="1">
        <v>0</v>
      </c>
      <c r="O751" s="1">
        <v>0</v>
      </c>
      <c r="P751" s="3">
        <v>0</v>
      </c>
      <c r="Q751" s="3">
        <v>1</v>
      </c>
      <c r="R751" s="3">
        <v>0</v>
      </c>
      <c r="S751" s="3">
        <v>0</v>
      </c>
      <c r="T751" s="283" t="s">
        <v>265</v>
      </c>
      <c r="U751" s="283" t="s">
        <v>350</v>
      </c>
      <c r="V751" s="1" t="s">
        <v>3607</v>
      </c>
      <c r="W751" s="1">
        <v>0</v>
      </c>
      <c r="X751" s="1">
        <v>0</v>
      </c>
      <c r="Y751" s="1">
        <v>0</v>
      </c>
      <c r="Z751" s="1">
        <v>1</v>
      </c>
      <c r="AA751" s="1">
        <v>1</v>
      </c>
      <c r="AB751" s="1">
        <v>1</v>
      </c>
      <c r="AC751" s="316">
        <v>0</v>
      </c>
      <c r="AD751" s="316">
        <v>1</v>
      </c>
      <c r="AE751" s="302">
        <f t="shared" si="28"/>
        <v>0.5</v>
      </c>
      <c r="AF751" s="17"/>
      <c r="AG751" s="17">
        <v>0</v>
      </c>
      <c r="AH751" s="17">
        <v>0</v>
      </c>
      <c r="AI751" s="17">
        <v>0</v>
      </c>
      <c r="AJ751" s="310">
        <v>1</v>
      </c>
      <c r="AK751" s="317">
        <v>0</v>
      </c>
      <c r="AL751" s="317"/>
      <c r="AM751" s="147">
        <f t="shared" si="27"/>
        <v>0</v>
      </c>
      <c r="AN751" s="283" t="s">
        <v>265</v>
      </c>
      <c r="AO751" s="18" t="s">
        <v>350</v>
      </c>
      <c r="AP751" s="283" t="s">
        <v>321</v>
      </c>
    </row>
    <row r="752" spans="1:42" x14ac:dyDescent="0.3">
      <c r="A752" s="314" t="s">
        <v>1448</v>
      </c>
      <c r="B752" s="283" t="s">
        <v>3447</v>
      </c>
      <c r="C752" s="314" t="s">
        <v>3449</v>
      </c>
      <c r="D752" s="283" t="s">
        <v>3450</v>
      </c>
      <c r="E752" s="314" t="s">
        <v>3451</v>
      </c>
      <c r="F752" s="283" t="s">
        <v>3452</v>
      </c>
      <c r="G752" s="314" t="s">
        <v>3597</v>
      </c>
      <c r="H752" s="283" t="s">
        <v>3598</v>
      </c>
      <c r="K752" s="314" t="s">
        <v>3599</v>
      </c>
      <c r="L752" s="283" t="s">
        <v>3600</v>
      </c>
      <c r="M752" s="1" t="s">
        <v>3608</v>
      </c>
      <c r="N752" s="1">
        <v>0</v>
      </c>
      <c r="O752" s="1">
        <v>0</v>
      </c>
      <c r="P752" s="3">
        <v>0</v>
      </c>
      <c r="Q752" s="3">
        <v>1</v>
      </c>
      <c r="R752" s="3">
        <v>1</v>
      </c>
      <c r="S752" s="3">
        <v>1</v>
      </c>
      <c r="T752" s="283" t="s">
        <v>265</v>
      </c>
      <c r="U752" s="283" t="s">
        <v>350</v>
      </c>
      <c r="V752" s="1" t="s">
        <v>3609</v>
      </c>
      <c r="W752" s="1">
        <v>1</v>
      </c>
      <c r="X752" s="1">
        <v>0</v>
      </c>
      <c r="Y752" s="1">
        <v>0</v>
      </c>
      <c r="Z752" s="1">
        <v>1</v>
      </c>
      <c r="AA752" s="1">
        <v>1</v>
      </c>
      <c r="AB752" s="1">
        <v>0</v>
      </c>
      <c r="AC752" s="316">
        <v>0</v>
      </c>
      <c r="AD752" s="316">
        <v>0</v>
      </c>
      <c r="AE752" s="302">
        <f t="shared" si="28"/>
        <v>0.375</v>
      </c>
      <c r="AF752" s="17"/>
      <c r="AG752" s="17">
        <v>0</v>
      </c>
      <c r="AH752" s="17">
        <v>0</v>
      </c>
      <c r="AI752" s="17">
        <v>0</v>
      </c>
      <c r="AJ752" s="310">
        <v>0</v>
      </c>
      <c r="AK752" s="317">
        <v>0</v>
      </c>
      <c r="AL752" s="317"/>
      <c r="AM752" s="147">
        <f t="shared" si="27"/>
        <v>0</v>
      </c>
      <c r="AN752" s="283" t="s">
        <v>265</v>
      </c>
      <c r="AO752" s="18" t="s">
        <v>350</v>
      </c>
      <c r="AP752" s="283" t="s">
        <v>119</v>
      </c>
    </row>
    <row r="753" spans="1:42" x14ac:dyDescent="0.3">
      <c r="A753" s="314" t="s">
        <v>1448</v>
      </c>
      <c r="B753" s="283" t="s">
        <v>3447</v>
      </c>
      <c r="C753" s="314" t="s">
        <v>3449</v>
      </c>
      <c r="D753" s="283" t="s">
        <v>3450</v>
      </c>
      <c r="E753" s="314" t="s">
        <v>3451</v>
      </c>
      <c r="F753" s="283" t="s">
        <v>3452</v>
      </c>
      <c r="G753" s="314" t="s">
        <v>3597</v>
      </c>
      <c r="H753" s="283" t="s">
        <v>3598</v>
      </c>
      <c r="K753" s="314" t="s">
        <v>3599</v>
      </c>
      <c r="L753" s="283" t="s">
        <v>3600</v>
      </c>
      <c r="M753" s="1" t="s">
        <v>3610</v>
      </c>
      <c r="N753" s="1">
        <v>0</v>
      </c>
      <c r="O753" s="1">
        <v>100</v>
      </c>
      <c r="P753" s="3">
        <v>100</v>
      </c>
      <c r="Q753" s="3">
        <v>100</v>
      </c>
      <c r="R753" s="3">
        <v>100</v>
      </c>
      <c r="S753" s="3">
        <v>100</v>
      </c>
      <c r="T753" s="283" t="s">
        <v>265</v>
      </c>
      <c r="U753" s="283" t="s">
        <v>350</v>
      </c>
      <c r="V753" s="1" t="s">
        <v>3611</v>
      </c>
      <c r="W753" s="1">
        <v>1</v>
      </c>
      <c r="X753" s="1"/>
      <c r="Y753" s="1"/>
      <c r="Z753" s="1"/>
      <c r="AA753" s="1"/>
      <c r="AB753" s="1"/>
      <c r="AC753" s="316">
        <v>0</v>
      </c>
      <c r="AD753" s="316">
        <v>0</v>
      </c>
      <c r="AE753" s="302">
        <f t="shared" si="28"/>
        <v>0.125</v>
      </c>
      <c r="AF753" s="17"/>
      <c r="AG753" s="17">
        <v>1</v>
      </c>
      <c r="AH753" s="17">
        <v>0</v>
      </c>
      <c r="AI753" s="310">
        <v>0.5</v>
      </c>
      <c r="AJ753" s="310">
        <v>0.5</v>
      </c>
      <c r="AK753" s="317">
        <v>0</v>
      </c>
      <c r="AL753" s="317"/>
      <c r="AM753" s="147">
        <f t="shared" si="27"/>
        <v>0</v>
      </c>
      <c r="AN753" s="283" t="s">
        <v>265</v>
      </c>
      <c r="AO753" s="18" t="s">
        <v>350</v>
      </c>
      <c r="AP753" s="283" t="s">
        <v>3612</v>
      </c>
    </row>
    <row r="754" spans="1:42" x14ac:dyDescent="0.3">
      <c r="A754" s="314" t="s">
        <v>1448</v>
      </c>
      <c r="B754" s="283" t="s">
        <v>3447</v>
      </c>
      <c r="C754" s="314" t="s">
        <v>3449</v>
      </c>
      <c r="D754" s="283" t="s">
        <v>3450</v>
      </c>
      <c r="E754" s="314" t="s">
        <v>3451</v>
      </c>
      <c r="F754" s="283" t="s">
        <v>3452</v>
      </c>
      <c r="G754" s="314" t="s">
        <v>3597</v>
      </c>
      <c r="H754" s="283" t="s">
        <v>3598</v>
      </c>
      <c r="K754" s="314" t="s">
        <v>3599</v>
      </c>
      <c r="L754" s="283" t="s">
        <v>3600</v>
      </c>
      <c r="M754" s="1" t="s">
        <v>3613</v>
      </c>
      <c r="N754" s="1">
        <v>0</v>
      </c>
      <c r="O754" s="1">
        <v>100</v>
      </c>
      <c r="P754" s="3">
        <v>100</v>
      </c>
      <c r="Q754" s="3">
        <v>100</v>
      </c>
      <c r="R754" s="3">
        <v>100</v>
      </c>
      <c r="S754" s="3">
        <v>100</v>
      </c>
      <c r="T754" s="283" t="s">
        <v>265</v>
      </c>
      <c r="U754" s="283" t="s">
        <v>350</v>
      </c>
      <c r="V754" s="1" t="s">
        <v>3614</v>
      </c>
      <c r="W754" s="1">
        <v>1</v>
      </c>
      <c r="X754" s="1">
        <v>0</v>
      </c>
      <c r="Y754" s="1">
        <v>0</v>
      </c>
      <c r="Z754" s="1">
        <v>1</v>
      </c>
      <c r="AA754" s="1">
        <v>1</v>
      </c>
      <c r="AB754" s="1">
        <v>0</v>
      </c>
      <c r="AC754" s="316">
        <v>0</v>
      </c>
      <c r="AD754" s="316">
        <v>1</v>
      </c>
      <c r="AE754" s="302">
        <f t="shared" si="28"/>
        <v>0.5</v>
      </c>
      <c r="AF754" s="17"/>
      <c r="AG754" s="17">
        <v>0</v>
      </c>
      <c r="AH754" s="17">
        <v>0</v>
      </c>
      <c r="AI754" s="310">
        <v>0.5</v>
      </c>
      <c r="AJ754" s="310">
        <v>0.5</v>
      </c>
      <c r="AK754" s="317">
        <v>0</v>
      </c>
      <c r="AL754" s="317"/>
      <c r="AM754" s="147">
        <f t="shared" si="27"/>
        <v>0</v>
      </c>
      <c r="AN754" s="283" t="s">
        <v>265</v>
      </c>
      <c r="AO754" s="18" t="s">
        <v>350</v>
      </c>
      <c r="AP754" s="283" t="s">
        <v>3615</v>
      </c>
    </row>
    <row r="755" spans="1:42" x14ac:dyDescent="0.3">
      <c r="A755" s="314" t="s">
        <v>1448</v>
      </c>
      <c r="B755" s="283" t="s">
        <v>3447</v>
      </c>
      <c r="C755" s="314" t="s">
        <v>3449</v>
      </c>
      <c r="D755" s="283" t="s">
        <v>3450</v>
      </c>
      <c r="E755" s="314" t="s">
        <v>3451</v>
      </c>
      <c r="F755" s="283" t="s">
        <v>3452</v>
      </c>
      <c r="G755" s="314" t="s">
        <v>3597</v>
      </c>
      <c r="H755" s="283" t="s">
        <v>3598</v>
      </c>
      <c r="K755" s="314" t="s">
        <v>3599</v>
      </c>
      <c r="L755" s="283" t="s">
        <v>3600</v>
      </c>
      <c r="M755" s="1" t="s">
        <v>3616</v>
      </c>
      <c r="N755" s="1">
        <v>0</v>
      </c>
      <c r="O755" s="1">
        <v>100</v>
      </c>
      <c r="P755" s="3">
        <v>100</v>
      </c>
      <c r="Q755" s="3">
        <v>100</v>
      </c>
      <c r="R755" s="3">
        <v>100</v>
      </c>
      <c r="S755" s="3">
        <v>100</v>
      </c>
      <c r="T755" s="283" t="s">
        <v>265</v>
      </c>
      <c r="U755" s="283" t="s">
        <v>350</v>
      </c>
      <c r="V755" s="1" t="s">
        <v>3617</v>
      </c>
      <c r="W755" s="1">
        <v>1</v>
      </c>
      <c r="X755" s="1">
        <v>0</v>
      </c>
      <c r="Y755" s="1">
        <v>0</v>
      </c>
      <c r="Z755" s="1">
        <v>1</v>
      </c>
      <c r="AA755" s="1">
        <v>1</v>
      </c>
      <c r="AB755" s="1">
        <v>0</v>
      </c>
      <c r="AC755" s="316">
        <v>0</v>
      </c>
      <c r="AD755" s="316">
        <v>1</v>
      </c>
      <c r="AE755" s="302">
        <f t="shared" si="28"/>
        <v>0.5</v>
      </c>
      <c r="AF755" s="17"/>
      <c r="AG755" s="17">
        <v>0</v>
      </c>
      <c r="AH755" s="17">
        <v>0</v>
      </c>
      <c r="AI755" s="310">
        <v>0.5</v>
      </c>
      <c r="AJ755" s="310">
        <v>0.5</v>
      </c>
      <c r="AK755" s="317">
        <v>0</v>
      </c>
      <c r="AL755" s="317"/>
      <c r="AM755" s="147">
        <f t="shared" si="27"/>
        <v>0</v>
      </c>
      <c r="AN755" s="283" t="s">
        <v>265</v>
      </c>
      <c r="AO755" s="18" t="s">
        <v>350</v>
      </c>
      <c r="AP755" s="283" t="s">
        <v>3615</v>
      </c>
    </row>
    <row r="756" spans="1:42" x14ac:dyDescent="0.3">
      <c r="A756" s="314" t="s">
        <v>1448</v>
      </c>
      <c r="B756" s="283" t="s">
        <v>3447</v>
      </c>
      <c r="C756" s="314" t="s">
        <v>3449</v>
      </c>
      <c r="D756" s="283" t="s">
        <v>3450</v>
      </c>
      <c r="E756" s="314" t="s">
        <v>3451</v>
      </c>
      <c r="F756" s="283" t="s">
        <v>3452</v>
      </c>
      <c r="G756" s="314" t="s">
        <v>3597</v>
      </c>
      <c r="H756" s="283" t="s">
        <v>3598</v>
      </c>
      <c r="K756" s="314" t="s">
        <v>3599</v>
      </c>
      <c r="L756" s="283" t="s">
        <v>3600</v>
      </c>
      <c r="M756" s="1" t="s">
        <v>3618</v>
      </c>
      <c r="N756" s="1">
        <v>0</v>
      </c>
      <c r="O756" s="1">
        <v>1</v>
      </c>
      <c r="P756" s="3">
        <v>1</v>
      </c>
      <c r="Q756" s="3">
        <v>1</v>
      </c>
      <c r="R756" s="3">
        <v>1</v>
      </c>
      <c r="S756" s="3" t="s">
        <v>3619</v>
      </c>
      <c r="T756" s="283" t="s">
        <v>265</v>
      </c>
      <c r="U756" s="283" t="s">
        <v>350</v>
      </c>
      <c r="V756" s="1" t="s">
        <v>3620</v>
      </c>
      <c r="W756" s="1">
        <v>1</v>
      </c>
      <c r="X756" s="1">
        <v>0</v>
      </c>
      <c r="Y756" s="1">
        <v>0</v>
      </c>
      <c r="Z756" s="1">
        <v>1</v>
      </c>
      <c r="AA756" s="1">
        <v>1</v>
      </c>
      <c r="AB756" s="1">
        <v>0</v>
      </c>
      <c r="AC756" s="316">
        <v>0</v>
      </c>
      <c r="AD756" s="316">
        <v>1</v>
      </c>
      <c r="AE756" s="302">
        <f t="shared" si="28"/>
        <v>0.5</v>
      </c>
      <c r="AF756" s="17"/>
      <c r="AG756" s="17">
        <v>0</v>
      </c>
      <c r="AH756" s="17">
        <v>0</v>
      </c>
      <c r="AI756" s="310">
        <v>0</v>
      </c>
      <c r="AJ756" s="310">
        <v>0</v>
      </c>
      <c r="AK756" s="317">
        <v>0</v>
      </c>
      <c r="AL756" s="317"/>
      <c r="AM756" s="147">
        <f t="shared" si="27"/>
        <v>0</v>
      </c>
      <c r="AN756" s="283" t="s">
        <v>265</v>
      </c>
      <c r="AO756" s="18" t="s">
        <v>350</v>
      </c>
      <c r="AP756" s="283" t="s">
        <v>119</v>
      </c>
    </row>
    <row r="757" spans="1:42" x14ac:dyDescent="0.3">
      <c r="A757" s="314" t="s">
        <v>1448</v>
      </c>
      <c r="B757" s="283" t="s">
        <v>3447</v>
      </c>
      <c r="C757" s="314" t="s">
        <v>3449</v>
      </c>
      <c r="D757" s="283" t="s">
        <v>3450</v>
      </c>
      <c r="E757" s="314" t="s">
        <v>3621</v>
      </c>
      <c r="F757" s="283" t="s">
        <v>3622</v>
      </c>
      <c r="G757" s="314" t="s">
        <v>3623</v>
      </c>
      <c r="H757" s="283" t="s">
        <v>3624</v>
      </c>
      <c r="K757" s="314" t="s">
        <v>3625</v>
      </c>
      <c r="L757" s="283" t="s">
        <v>3626</v>
      </c>
      <c r="M757" s="1" t="s">
        <v>3627</v>
      </c>
      <c r="N757" s="1">
        <v>0</v>
      </c>
      <c r="O757" s="1">
        <v>10</v>
      </c>
      <c r="P757" s="3">
        <v>10</v>
      </c>
      <c r="Q757" s="3">
        <v>10</v>
      </c>
      <c r="R757" s="3">
        <v>10</v>
      </c>
      <c r="S757" s="3">
        <v>10</v>
      </c>
      <c r="T757" s="283" t="s">
        <v>265</v>
      </c>
      <c r="U757" s="283" t="s">
        <v>350</v>
      </c>
      <c r="V757" s="1" t="s">
        <v>3628</v>
      </c>
      <c r="W757" s="1">
        <v>1</v>
      </c>
      <c r="X757" s="1">
        <v>1</v>
      </c>
      <c r="Y757" s="1">
        <v>1</v>
      </c>
      <c r="Z757" s="1">
        <v>1</v>
      </c>
      <c r="AA757" s="1">
        <v>1</v>
      </c>
      <c r="AB757" s="1">
        <v>1</v>
      </c>
      <c r="AC757" s="316">
        <v>1</v>
      </c>
      <c r="AD757" s="316">
        <v>1</v>
      </c>
      <c r="AE757" s="302">
        <f t="shared" si="28"/>
        <v>1</v>
      </c>
      <c r="AF757" s="310"/>
      <c r="AG757" s="17">
        <v>0</v>
      </c>
      <c r="AH757" s="310">
        <v>0.5</v>
      </c>
      <c r="AI757" s="310">
        <v>0.5</v>
      </c>
      <c r="AJ757" s="310">
        <v>0.5</v>
      </c>
      <c r="AK757" s="317">
        <v>0.5</v>
      </c>
      <c r="AL757" s="317">
        <v>0.5</v>
      </c>
      <c r="AM757" s="147">
        <f t="shared" si="27"/>
        <v>1</v>
      </c>
      <c r="AN757" s="283" t="s">
        <v>3629</v>
      </c>
      <c r="AO757" s="18" t="s">
        <v>3630</v>
      </c>
      <c r="AP757" s="283" t="s">
        <v>321</v>
      </c>
    </row>
    <row r="758" spans="1:42" x14ac:dyDescent="0.3">
      <c r="A758" s="314" t="s">
        <v>1448</v>
      </c>
      <c r="B758" s="283" t="s">
        <v>3447</v>
      </c>
      <c r="C758" s="314" t="s">
        <v>3449</v>
      </c>
      <c r="D758" s="283" t="s">
        <v>3450</v>
      </c>
      <c r="E758" s="314" t="s">
        <v>3621</v>
      </c>
      <c r="F758" s="283" t="s">
        <v>3622</v>
      </c>
      <c r="G758" s="314" t="s">
        <v>3623</v>
      </c>
      <c r="H758" s="283" t="s">
        <v>3624</v>
      </c>
      <c r="K758" s="314" t="s">
        <v>3625</v>
      </c>
      <c r="L758" s="283" t="s">
        <v>3626</v>
      </c>
      <c r="M758" s="1" t="s">
        <v>3631</v>
      </c>
      <c r="N758" s="1">
        <v>2</v>
      </c>
      <c r="O758" s="1" t="s">
        <v>3516</v>
      </c>
      <c r="P758" s="3" t="s">
        <v>3516</v>
      </c>
      <c r="Q758" s="3" t="s">
        <v>3516</v>
      </c>
      <c r="R758" s="3" t="s">
        <v>3516</v>
      </c>
      <c r="S758" s="3">
        <v>3</v>
      </c>
      <c r="T758" s="283" t="s">
        <v>265</v>
      </c>
      <c r="U758" s="283" t="s">
        <v>350</v>
      </c>
      <c r="V758" s="1" t="s">
        <v>3632</v>
      </c>
      <c r="W758" s="1">
        <v>1</v>
      </c>
      <c r="X758" s="1">
        <v>1</v>
      </c>
      <c r="Y758" s="1">
        <v>1</v>
      </c>
      <c r="Z758" s="1">
        <v>1</v>
      </c>
      <c r="AA758" s="1">
        <v>1</v>
      </c>
      <c r="AB758" s="1">
        <v>1</v>
      </c>
      <c r="AC758" s="316">
        <v>1</v>
      </c>
      <c r="AD758" s="316">
        <v>1</v>
      </c>
      <c r="AE758" s="302">
        <f t="shared" si="28"/>
        <v>1</v>
      </c>
      <c r="AF758" s="310"/>
      <c r="AG758" s="17">
        <v>0</v>
      </c>
      <c r="AH758" s="310">
        <v>0</v>
      </c>
      <c r="AI758" s="310">
        <v>0</v>
      </c>
      <c r="AJ758" s="310">
        <v>0</v>
      </c>
      <c r="AK758" s="317">
        <v>0</v>
      </c>
      <c r="AL758" s="317">
        <v>0</v>
      </c>
      <c r="AM758" s="147">
        <f t="shared" si="27"/>
        <v>0</v>
      </c>
      <c r="AN758" s="283" t="s">
        <v>265</v>
      </c>
      <c r="AO758" s="18" t="s">
        <v>350</v>
      </c>
      <c r="AP758" s="283" t="s">
        <v>3633</v>
      </c>
    </row>
    <row r="759" spans="1:42" x14ac:dyDescent="0.3">
      <c r="A759" s="314" t="s">
        <v>1448</v>
      </c>
      <c r="B759" s="283" t="s">
        <v>3447</v>
      </c>
      <c r="C759" s="314" t="s">
        <v>3449</v>
      </c>
      <c r="D759" s="283" t="s">
        <v>3450</v>
      </c>
      <c r="E759" s="314" t="s">
        <v>3621</v>
      </c>
      <c r="F759" s="283" t="s">
        <v>3622</v>
      </c>
      <c r="G759" s="314" t="s">
        <v>3623</v>
      </c>
      <c r="H759" s="283" t="s">
        <v>3624</v>
      </c>
      <c r="K759" s="314" t="s">
        <v>3625</v>
      </c>
      <c r="L759" s="283" t="s">
        <v>3626</v>
      </c>
      <c r="M759" s="1" t="s">
        <v>3631</v>
      </c>
      <c r="N759" s="1">
        <v>2</v>
      </c>
      <c r="O759" s="1" t="s">
        <v>3516</v>
      </c>
      <c r="P759" s="3" t="s">
        <v>3516</v>
      </c>
      <c r="Q759" s="3" t="s">
        <v>3516</v>
      </c>
      <c r="R759" s="3" t="s">
        <v>3516</v>
      </c>
      <c r="S759" s="3">
        <v>3</v>
      </c>
      <c r="T759" s="283" t="s">
        <v>3634</v>
      </c>
      <c r="U759" s="283" t="e">
        <v>#N/A</v>
      </c>
      <c r="V759" s="1" t="s">
        <v>3632</v>
      </c>
      <c r="W759" s="1"/>
      <c r="X759" s="1"/>
      <c r="Y759" s="1"/>
      <c r="Z759" s="1"/>
      <c r="AA759" s="1"/>
      <c r="AB759" s="1"/>
      <c r="AC759" s="316">
        <v>0</v>
      </c>
      <c r="AD759" s="316">
        <v>0</v>
      </c>
      <c r="AE759" s="302">
        <f t="shared" si="28"/>
        <v>0</v>
      </c>
      <c r="AF759" s="310"/>
      <c r="AG759" s="17">
        <v>0</v>
      </c>
      <c r="AH759" s="310">
        <v>0.5</v>
      </c>
      <c r="AI759" s="310">
        <v>0.5</v>
      </c>
      <c r="AJ759" s="310">
        <v>0.5</v>
      </c>
      <c r="AK759" s="317">
        <v>0</v>
      </c>
      <c r="AL759" s="317"/>
      <c r="AM759" s="147">
        <f t="shared" si="27"/>
        <v>0</v>
      </c>
      <c r="AN759" s="283" t="s">
        <v>3629</v>
      </c>
      <c r="AO759" s="18" t="s">
        <v>3630</v>
      </c>
      <c r="AP759" s="283" t="s">
        <v>3635</v>
      </c>
    </row>
    <row r="760" spans="1:42" x14ac:dyDescent="0.3">
      <c r="A760" s="314" t="s">
        <v>1448</v>
      </c>
      <c r="B760" s="283" t="s">
        <v>3447</v>
      </c>
      <c r="C760" s="314" t="s">
        <v>3449</v>
      </c>
      <c r="D760" s="283" t="s">
        <v>3450</v>
      </c>
      <c r="E760" s="314" t="s">
        <v>3621</v>
      </c>
      <c r="F760" s="283" t="s">
        <v>3622</v>
      </c>
      <c r="G760" s="314" t="s">
        <v>3623</v>
      </c>
      <c r="H760" s="283" t="s">
        <v>3624</v>
      </c>
      <c r="K760" s="314" t="s">
        <v>3625</v>
      </c>
      <c r="L760" s="283" t="s">
        <v>3626</v>
      </c>
      <c r="M760" s="1" t="s">
        <v>3636</v>
      </c>
      <c r="N760" s="1">
        <v>1</v>
      </c>
      <c r="O760" s="1" t="s">
        <v>3565</v>
      </c>
      <c r="P760" s="3" t="s">
        <v>3565</v>
      </c>
      <c r="Q760" s="3" t="s">
        <v>3565</v>
      </c>
      <c r="R760" s="3" t="s">
        <v>3565</v>
      </c>
      <c r="S760" s="3">
        <v>2</v>
      </c>
      <c r="T760" s="283" t="s">
        <v>265</v>
      </c>
      <c r="U760" s="283" t="s">
        <v>350</v>
      </c>
      <c r="V760" s="1" t="s">
        <v>3637</v>
      </c>
      <c r="W760" s="1">
        <v>1</v>
      </c>
      <c r="X760" s="1">
        <v>1</v>
      </c>
      <c r="Y760" s="1">
        <v>1</v>
      </c>
      <c r="Z760" s="1">
        <v>1</v>
      </c>
      <c r="AA760" s="1">
        <v>1</v>
      </c>
      <c r="AB760" s="1">
        <v>0</v>
      </c>
      <c r="AC760" s="316">
        <v>1</v>
      </c>
      <c r="AD760" s="316">
        <v>1</v>
      </c>
      <c r="AE760" s="302">
        <f t="shared" si="28"/>
        <v>0.875</v>
      </c>
      <c r="AF760" s="310"/>
      <c r="AG760" s="17">
        <v>0</v>
      </c>
      <c r="AH760" s="310">
        <v>0.1</v>
      </c>
      <c r="AI760" s="310">
        <v>0.1</v>
      </c>
      <c r="AJ760" s="310">
        <v>0.1</v>
      </c>
      <c r="AK760" s="317">
        <v>0.1</v>
      </c>
      <c r="AL760" s="317">
        <v>0.1</v>
      </c>
      <c r="AM760" s="147">
        <f t="shared" si="27"/>
        <v>0.2</v>
      </c>
      <c r="AN760" s="283" t="s">
        <v>265</v>
      </c>
      <c r="AO760" s="18" t="s">
        <v>350</v>
      </c>
      <c r="AP760" s="283" t="s">
        <v>3638</v>
      </c>
    </row>
    <row r="761" spans="1:42" x14ac:dyDescent="0.3">
      <c r="A761" s="314" t="s">
        <v>1448</v>
      </c>
      <c r="B761" s="283" t="s">
        <v>3447</v>
      </c>
      <c r="C761" s="314" t="s">
        <v>3449</v>
      </c>
      <c r="D761" s="283" t="s">
        <v>3450</v>
      </c>
      <c r="E761" s="314" t="s">
        <v>3621</v>
      </c>
      <c r="F761" s="283" t="s">
        <v>3622</v>
      </c>
      <c r="G761" s="314" t="s">
        <v>3623</v>
      </c>
      <c r="H761" s="283" t="s">
        <v>3624</v>
      </c>
      <c r="K761" s="314" t="s">
        <v>3625</v>
      </c>
      <c r="L761" s="283" t="s">
        <v>3626</v>
      </c>
      <c r="M761" s="1" t="s">
        <v>3639</v>
      </c>
      <c r="N761" s="1">
        <v>0</v>
      </c>
      <c r="O761" s="1">
        <v>5</v>
      </c>
      <c r="P761" s="3">
        <v>5</v>
      </c>
      <c r="Q761" s="3">
        <v>5</v>
      </c>
      <c r="R761" s="3">
        <v>5</v>
      </c>
      <c r="S761" s="3">
        <v>5</v>
      </c>
      <c r="T761" s="283" t="s">
        <v>3640</v>
      </c>
      <c r="U761" s="283" t="s">
        <v>3630</v>
      </c>
      <c r="V761" s="1" t="s">
        <v>3641</v>
      </c>
      <c r="W761" s="1">
        <v>1</v>
      </c>
      <c r="X761" s="1">
        <v>1</v>
      </c>
      <c r="Y761" s="1">
        <v>1</v>
      </c>
      <c r="Z761" s="1">
        <v>1</v>
      </c>
      <c r="AA761" s="1">
        <v>1</v>
      </c>
      <c r="AB761" s="1">
        <v>0</v>
      </c>
      <c r="AC761" s="316">
        <v>1</v>
      </c>
      <c r="AD761" s="316">
        <v>1</v>
      </c>
      <c r="AE761" s="302">
        <f t="shared" si="28"/>
        <v>0.875</v>
      </c>
      <c r="AF761" s="310"/>
      <c r="AG761" s="17">
        <v>0</v>
      </c>
      <c r="AH761" s="310">
        <v>0</v>
      </c>
      <c r="AI761" s="310">
        <v>0</v>
      </c>
      <c r="AJ761" s="310">
        <v>0</v>
      </c>
      <c r="AK761" s="317">
        <v>0</v>
      </c>
      <c r="AL761" s="317">
        <v>0</v>
      </c>
      <c r="AM761" s="147">
        <f t="shared" si="27"/>
        <v>0</v>
      </c>
      <c r="AN761" s="283" t="s">
        <v>265</v>
      </c>
      <c r="AO761" s="18" t="s">
        <v>350</v>
      </c>
      <c r="AP761" s="283" t="s">
        <v>3638</v>
      </c>
    </row>
    <row r="762" spans="1:42" x14ac:dyDescent="0.3">
      <c r="A762" s="314" t="s">
        <v>1448</v>
      </c>
      <c r="B762" s="283" t="s">
        <v>3447</v>
      </c>
      <c r="C762" s="314" t="s">
        <v>3449</v>
      </c>
      <c r="D762" s="283" t="s">
        <v>3450</v>
      </c>
      <c r="E762" s="314" t="s">
        <v>3621</v>
      </c>
      <c r="F762" s="283" t="s">
        <v>3622</v>
      </c>
      <c r="G762" s="314" t="s">
        <v>3623</v>
      </c>
      <c r="H762" s="283" t="s">
        <v>3624</v>
      </c>
      <c r="K762" s="314" t="s">
        <v>3625</v>
      </c>
      <c r="L762" s="283" t="s">
        <v>3626</v>
      </c>
      <c r="M762" s="1" t="s">
        <v>3642</v>
      </c>
      <c r="N762" s="1">
        <v>0</v>
      </c>
      <c r="O762" s="1">
        <v>5</v>
      </c>
      <c r="P762" s="3">
        <v>5</v>
      </c>
      <c r="Q762" s="3">
        <v>5</v>
      </c>
      <c r="R762" s="3">
        <v>5</v>
      </c>
      <c r="S762" s="3">
        <v>5</v>
      </c>
      <c r="T762" s="283" t="s">
        <v>265</v>
      </c>
      <c r="U762" s="283" t="s">
        <v>350</v>
      </c>
      <c r="V762" s="1" t="s">
        <v>3641</v>
      </c>
      <c r="W762" s="1"/>
      <c r="X762" s="1"/>
      <c r="Y762" s="1"/>
      <c r="Z762" s="1"/>
      <c r="AA762" s="1"/>
      <c r="AB762" s="1"/>
      <c r="AC762" s="316">
        <v>0</v>
      </c>
      <c r="AD762" s="316">
        <v>0</v>
      </c>
      <c r="AE762" s="302">
        <f t="shared" si="28"/>
        <v>0</v>
      </c>
      <c r="AF762" s="310"/>
      <c r="AG762" s="17">
        <v>0</v>
      </c>
      <c r="AH762" s="310">
        <v>0.7</v>
      </c>
      <c r="AI762" s="310">
        <v>0.7</v>
      </c>
      <c r="AJ762" s="310">
        <v>0.7</v>
      </c>
      <c r="AK762" s="317">
        <v>0</v>
      </c>
      <c r="AL762" s="317"/>
      <c r="AM762" s="147">
        <f t="shared" si="27"/>
        <v>0</v>
      </c>
      <c r="AN762" s="283" t="s">
        <v>3643</v>
      </c>
      <c r="AO762" s="18" t="s">
        <v>3630</v>
      </c>
      <c r="AP762" s="283" t="s">
        <v>3644</v>
      </c>
    </row>
    <row r="763" spans="1:42" x14ac:dyDescent="0.3">
      <c r="A763" s="314" t="s">
        <v>1448</v>
      </c>
      <c r="B763" s="283" t="s">
        <v>3447</v>
      </c>
      <c r="C763" s="314" t="s">
        <v>3449</v>
      </c>
      <c r="D763" s="283" t="s">
        <v>3450</v>
      </c>
      <c r="E763" s="314" t="s">
        <v>3621</v>
      </c>
      <c r="F763" s="283" t="s">
        <v>3622</v>
      </c>
      <c r="G763" s="314" t="s">
        <v>3623</v>
      </c>
      <c r="H763" s="283" t="s">
        <v>3624</v>
      </c>
      <c r="K763" s="314" t="s">
        <v>3625</v>
      </c>
      <c r="L763" s="283" t="s">
        <v>3626</v>
      </c>
      <c r="M763" s="1" t="s">
        <v>3645</v>
      </c>
      <c r="N763" s="1">
        <v>0</v>
      </c>
      <c r="O763" s="1">
        <v>1</v>
      </c>
      <c r="P763" s="3" t="s">
        <v>3565</v>
      </c>
      <c r="Q763" s="3" t="s">
        <v>3565</v>
      </c>
      <c r="R763" s="3" t="s">
        <v>3565</v>
      </c>
      <c r="S763" s="3" t="s">
        <v>3565</v>
      </c>
      <c r="T763" s="283" t="s">
        <v>798</v>
      </c>
      <c r="U763" s="283" t="s">
        <v>350</v>
      </c>
      <c r="V763" s="1" t="s">
        <v>3646</v>
      </c>
      <c r="W763" s="1">
        <v>1</v>
      </c>
      <c r="X763" s="1">
        <v>1</v>
      </c>
      <c r="Y763" s="1">
        <v>1</v>
      </c>
      <c r="Z763" s="1">
        <v>1</v>
      </c>
      <c r="AA763" s="1">
        <v>1</v>
      </c>
      <c r="AB763" s="1">
        <v>0</v>
      </c>
      <c r="AC763" s="316">
        <v>1</v>
      </c>
      <c r="AD763" s="316">
        <v>1</v>
      </c>
      <c r="AE763" s="302">
        <f t="shared" si="28"/>
        <v>0.875</v>
      </c>
      <c r="AF763" s="310"/>
      <c r="AG763" s="17">
        <v>0</v>
      </c>
      <c r="AH763" s="310">
        <v>25</v>
      </c>
      <c r="AI763" s="310">
        <v>25</v>
      </c>
      <c r="AJ763" s="310">
        <v>25</v>
      </c>
      <c r="AK763" s="317">
        <v>25</v>
      </c>
      <c r="AL763" s="317">
        <v>25</v>
      </c>
      <c r="AM763" s="147">
        <f t="shared" si="27"/>
        <v>50</v>
      </c>
      <c r="AN763" s="283" t="s">
        <v>619</v>
      </c>
      <c r="AO763" s="18" t="s">
        <v>350</v>
      </c>
      <c r="AP763" s="283" t="s">
        <v>3647</v>
      </c>
    </row>
    <row r="764" spans="1:42" x14ac:dyDescent="0.3">
      <c r="A764" s="314" t="s">
        <v>1448</v>
      </c>
      <c r="B764" s="283" t="s">
        <v>3447</v>
      </c>
      <c r="C764" s="314" t="s">
        <v>3449</v>
      </c>
      <c r="D764" s="283" t="s">
        <v>3450</v>
      </c>
      <c r="E764" s="314" t="s">
        <v>3621</v>
      </c>
      <c r="F764" s="283" t="s">
        <v>3622</v>
      </c>
      <c r="G764" s="314" t="s">
        <v>3623</v>
      </c>
      <c r="H764" s="283" t="s">
        <v>3624</v>
      </c>
      <c r="K764" s="314" t="s">
        <v>3648</v>
      </c>
      <c r="L764" s="283" t="s">
        <v>3626</v>
      </c>
      <c r="M764" s="1" t="s">
        <v>3649</v>
      </c>
      <c r="N764" s="1" t="s">
        <v>271</v>
      </c>
      <c r="O764" s="1">
        <v>2</v>
      </c>
      <c r="P764" s="3">
        <v>2</v>
      </c>
      <c r="Q764" s="3">
        <v>2</v>
      </c>
      <c r="R764" s="3">
        <v>2</v>
      </c>
      <c r="S764" s="3">
        <v>2</v>
      </c>
      <c r="T764" s="283" t="s">
        <v>265</v>
      </c>
      <c r="U764" s="283" t="s">
        <v>350</v>
      </c>
      <c r="V764" s="1" t="s">
        <v>3650</v>
      </c>
      <c r="W764" s="1">
        <v>1</v>
      </c>
      <c r="X764" s="1">
        <v>1</v>
      </c>
      <c r="Y764" s="1">
        <v>0</v>
      </c>
      <c r="Z764" s="1">
        <v>1</v>
      </c>
      <c r="AA764" s="1">
        <v>1</v>
      </c>
      <c r="AB764" s="1">
        <v>0</v>
      </c>
      <c r="AC764" s="316">
        <v>1</v>
      </c>
      <c r="AD764" s="316">
        <v>1</v>
      </c>
      <c r="AE764" s="302">
        <f t="shared" si="28"/>
        <v>0.75</v>
      </c>
      <c r="AF764" s="310"/>
      <c r="AG764" s="17">
        <v>0</v>
      </c>
      <c r="AH764" s="310">
        <v>0.5</v>
      </c>
      <c r="AI764" s="310">
        <v>0.5</v>
      </c>
      <c r="AJ764" s="310">
        <v>0.5</v>
      </c>
      <c r="AK764" s="317">
        <v>0.5</v>
      </c>
      <c r="AL764" s="317" t="s">
        <v>3651</v>
      </c>
      <c r="AM764" s="147">
        <f t="shared" ref="AM764:AM795" si="29">SUM(AK764:AL764)</f>
        <v>0.5</v>
      </c>
      <c r="AN764" s="283" t="s">
        <v>265</v>
      </c>
      <c r="AO764" s="18" t="s">
        <v>350</v>
      </c>
      <c r="AP764" s="283" t="s">
        <v>1233</v>
      </c>
    </row>
    <row r="765" spans="1:42" x14ac:dyDescent="0.3">
      <c r="A765" s="314" t="s">
        <v>1448</v>
      </c>
      <c r="B765" s="283" t="s">
        <v>3447</v>
      </c>
      <c r="C765" s="314" t="s">
        <v>3449</v>
      </c>
      <c r="D765" s="283" t="s">
        <v>3450</v>
      </c>
      <c r="E765" s="314" t="s">
        <v>3621</v>
      </c>
      <c r="F765" s="283" t="s">
        <v>3622</v>
      </c>
      <c r="G765" s="314" t="s">
        <v>3623</v>
      </c>
      <c r="H765" s="283" t="s">
        <v>3624</v>
      </c>
      <c r="K765" s="314" t="s">
        <v>3648</v>
      </c>
      <c r="L765" s="283" t="s">
        <v>3626</v>
      </c>
      <c r="M765" s="1" t="s">
        <v>3649</v>
      </c>
      <c r="N765" s="1" t="s">
        <v>271</v>
      </c>
      <c r="O765" s="1">
        <v>2</v>
      </c>
      <c r="P765" s="3">
        <v>2</v>
      </c>
      <c r="Q765" s="3">
        <v>2</v>
      </c>
      <c r="R765" s="3">
        <v>2</v>
      </c>
      <c r="S765" s="3">
        <v>2</v>
      </c>
      <c r="T765" s="283" t="s">
        <v>1233</v>
      </c>
      <c r="U765" s="283" t="s">
        <v>1650</v>
      </c>
      <c r="V765" s="344" t="s">
        <v>3652</v>
      </c>
      <c r="W765" s="1"/>
      <c r="X765" s="1"/>
      <c r="Y765" s="1"/>
      <c r="Z765" s="1"/>
      <c r="AA765" s="1"/>
      <c r="AB765" s="1"/>
      <c r="AC765" s="316">
        <v>0</v>
      </c>
      <c r="AD765" s="316">
        <v>0</v>
      </c>
      <c r="AE765" s="302">
        <f t="shared" si="28"/>
        <v>0</v>
      </c>
      <c r="AF765" s="310"/>
      <c r="AG765" s="17">
        <v>0</v>
      </c>
      <c r="AH765" s="310">
        <v>0.5</v>
      </c>
      <c r="AI765" s="310">
        <v>0.2</v>
      </c>
      <c r="AJ765" s="310">
        <v>0.2</v>
      </c>
      <c r="AK765" s="317">
        <v>0</v>
      </c>
      <c r="AL765" s="317"/>
      <c r="AM765" s="147">
        <f t="shared" si="29"/>
        <v>0</v>
      </c>
      <c r="AN765" s="283" t="s">
        <v>1233</v>
      </c>
      <c r="AO765" s="18" t="s">
        <v>1650</v>
      </c>
      <c r="AP765" s="283" t="s">
        <v>265</v>
      </c>
    </row>
    <row r="766" spans="1:42" x14ac:dyDescent="0.3">
      <c r="A766" s="314" t="s">
        <v>1448</v>
      </c>
      <c r="B766" s="283" t="s">
        <v>3447</v>
      </c>
      <c r="C766" s="314" t="s">
        <v>3449</v>
      </c>
      <c r="D766" s="283" t="s">
        <v>3450</v>
      </c>
      <c r="E766" s="314" t="s">
        <v>3621</v>
      </c>
      <c r="F766" s="283" t="s">
        <v>3622</v>
      </c>
      <c r="G766" s="314" t="s">
        <v>3623</v>
      </c>
      <c r="H766" s="283" t="s">
        <v>3624</v>
      </c>
      <c r="K766" s="314" t="s">
        <v>3648</v>
      </c>
      <c r="L766" s="283" t="s">
        <v>3653</v>
      </c>
      <c r="M766" s="1" t="s">
        <v>3654</v>
      </c>
      <c r="N766" s="1">
        <v>0</v>
      </c>
      <c r="O766" s="1">
        <v>5</v>
      </c>
      <c r="P766" s="3">
        <v>5</v>
      </c>
      <c r="Q766" s="3">
        <v>5</v>
      </c>
      <c r="R766" s="3">
        <v>5</v>
      </c>
      <c r="S766" s="3">
        <v>5</v>
      </c>
      <c r="T766" s="283" t="s">
        <v>265</v>
      </c>
      <c r="U766" s="283" t="s">
        <v>350</v>
      </c>
      <c r="V766" s="1" t="s">
        <v>3655</v>
      </c>
      <c r="W766" s="1">
        <v>1</v>
      </c>
      <c r="X766" s="1">
        <v>0</v>
      </c>
      <c r="Y766" s="1">
        <v>0</v>
      </c>
      <c r="Z766" s="1">
        <v>1</v>
      </c>
      <c r="AA766" s="1">
        <v>1</v>
      </c>
      <c r="AB766" s="1">
        <v>1</v>
      </c>
      <c r="AC766" s="316">
        <v>0</v>
      </c>
      <c r="AD766" s="316">
        <v>1</v>
      </c>
      <c r="AE766" s="302">
        <f t="shared" si="28"/>
        <v>0.625</v>
      </c>
      <c r="AF766" s="310"/>
      <c r="AG766" s="17">
        <v>0</v>
      </c>
      <c r="AH766" s="310">
        <v>0.2</v>
      </c>
      <c r="AI766" s="310">
        <v>0.2</v>
      </c>
      <c r="AJ766" s="310">
        <v>0.2</v>
      </c>
      <c r="AK766" s="153">
        <v>0</v>
      </c>
      <c r="AL766" s="154">
        <v>0</v>
      </c>
      <c r="AM766" s="147">
        <f t="shared" si="29"/>
        <v>0</v>
      </c>
      <c r="AN766" s="283" t="s">
        <v>265</v>
      </c>
      <c r="AO766" s="18" t="s">
        <v>350</v>
      </c>
      <c r="AP766" s="283" t="s">
        <v>3656</v>
      </c>
    </row>
    <row r="767" spans="1:42" x14ac:dyDescent="0.3">
      <c r="A767" s="314" t="s">
        <v>1448</v>
      </c>
      <c r="B767" s="283" t="s">
        <v>3447</v>
      </c>
      <c r="C767" s="314" t="s">
        <v>3449</v>
      </c>
      <c r="D767" s="283" t="s">
        <v>3450</v>
      </c>
      <c r="E767" s="314" t="s">
        <v>3621</v>
      </c>
      <c r="F767" s="283" t="s">
        <v>3622</v>
      </c>
      <c r="G767" s="314" t="s">
        <v>3623</v>
      </c>
      <c r="H767" s="283" t="s">
        <v>3624</v>
      </c>
      <c r="K767" s="314" t="s">
        <v>3648</v>
      </c>
      <c r="L767" s="283" t="s">
        <v>3653</v>
      </c>
      <c r="M767" s="1" t="s">
        <v>3657</v>
      </c>
      <c r="N767" s="1" t="s">
        <v>271</v>
      </c>
      <c r="O767" s="1">
        <v>1</v>
      </c>
      <c r="P767" s="3">
        <v>1</v>
      </c>
      <c r="Q767" s="3">
        <v>1</v>
      </c>
      <c r="R767" s="3">
        <v>1</v>
      </c>
      <c r="S767" s="3">
        <v>1</v>
      </c>
      <c r="T767" s="283" t="s">
        <v>265</v>
      </c>
      <c r="U767" s="283" t="s">
        <v>350</v>
      </c>
      <c r="V767" s="1" t="s">
        <v>3658</v>
      </c>
      <c r="W767" s="1">
        <v>1</v>
      </c>
      <c r="X767" s="1">
        <v>1</v>
      </c>
      <c r="Y767" s="1">
        <v>1</v>
      </c>
      <c r="Z767" s="1">
        <v>1</v>
      </c>
      <c r="AA767" s="1">
        <v>1</v>
      </c>
      <c r="AB767" s="1">
        <v>0</v>
      </c>
      <c r="AC767" s="316">
        <v>1</v>
      </c>
      <c r="AD767" s="316">
        <v>1</v>
      </c>
      <c r="AE767" s="302">
        <f t="shared" ref="AE767:AE798" si="30">SUM(W767:AD767)/8</f>
        <v>0.875</v>
      </c>
      <c r="AF767" s="310"/>
      <c r="AG767" s="17">
        <v>0</v>
      </c>
      <c r="AH767" s="310">
        <v>0</v>
      </c>
      <c r="AI767" s="310">
        <v>0</v>
      </c>
      <c r="AJ767" s="310">
        <v>0</v>
      </c>
      <c r="AK767" s="317">
        <v>0.25</v>
      </c>
      <c r="AL767" s="317">
        <v>0.25</v>
      </c>
      <c r="AM767" s="147">
        <f t="shared" si="29"/>
        <v>0.5</v>
      </c>
      <c r="AN767" s="283" t="s">
        <v>265</v>
      </c>
      <c r="AO767" s="18" t="s">
        <v>350</v>
      </c>
      <c r="AP767" s="283" t="s">
        <v>3659</v>
      </c>
    </row>
    <row r="768" spans="1:42" x14ac:dyDescent="0.3">
      <c r="A768" s="314" t="s">
        <v>1448</v>
      </c>
      <c r="B768" s="283" t="s">
        <v>3447</v>
      </c>
      <c r="C768" s="314" t="s">
        <v>3449</v>
      </c>
      <c r="D768" s="283" t="s">
        <v>3450</v>
      </c>
      <c r="E768" s="314" t="s">
        <v>3621</v>
      </c>
      <c r="F768" s="283" t="s">
        <v>3622</v>
      </c>
      <c r="G768" s="314" t="s">
        <v>3660</v>
      </c>
      <c r="H768" s="283" t="s">
        <v>3661</v>
      </c>
      <c r="K768" s="314" t="s">
        <v>3662</v>
      </c>
      <c r="L768" s="283" t="s">
        <v>3663</v>
      </c>
      <c r="M768" s="1" t="s">
        <v>3664</v>
      </c>
      <c r="N768" s="1" t="s">
        <v>271</v>
      </c>
      <c r="O768" s="1">
        <v>1</v>
      </c>
      <c r="P768" s="3">
        <v>1</v>
      </c>
      <c r="Q768" s="3">
        <v>1</v>
      </c>
      <c r="T768" s="283" t="s">
        <v>321</v>
      </c>
      <c r="U768" s="283" t="s">
        <v>1066</v>
      </c>
      <c r="V768" s="1" t="s">
        <v>3665</v>
      </c>
      <c r="W768" s="1">
        <v>1</v>
      </c>
      <c r="X768" s="1">
        <v>0</v>
      </c>
      <c r="Y768" s="1">
        <v>1</v>
      </c>
      <c r="Z768" s="1">
        <v>1</v>
      </c>
      <c r="AA768" s="1">
        <v>1</v>
      </c>
      <c r="AB768" s="1">
        <v>1</v>
      </c>
      <c r="AC768" s="316">
        <v>1</v>
      </c>
      <c r="AD768" s="316">
        <v>1</v>
      </c>
      <c r="AE768" s="302">
        <f t="shared" si="30"/>
        <v>0.875</v>
      </c>
      <c r="AF768" s="310"/>
      <c r="AG768" s="17">
        <v>0</v>
      </c>
      <c r="AH768" s="310">
        <v>0.2</v>
      </c>
      <c r="AI768" s="310">
        <v>0.2</v>
      </c>
      <c r="AJ768" s="310">
        <v>0.2</v>
      </c>
      <c r="AK768" s="153">
        <v>0.2</v>
      </c>
      <c r="AL768" s="154">
        <v>0</v>
      </c>
      <c r="AM768" s="147">
        <f t="shared" si="29"/>
        <v>0.2</v>
      </c>
      <c r="AN768" s="283" t="s">
        <v>321</v>
      </c>
      <c r="AO768" s="18" t="s">
        <v>1066</v>
      </c>
      <c r="AP768" s="283" t="s">
        <v>265</v>
      </c>
    </row>
    <row r="769" spans="1:42" x14ac:dyDescent="0.3">
      <c r="A769" s="314" t="s">
        <v>1448</v>
      </c>
      <c r="B769" s="283" t="s">
        <v>3447</v>
      </c>
      <c r="C769" s="314" t="s">
        <v>3449</v>
      </c>
      <c r="D769" s="283" t="s">
        <v>3450</v>
      </c>
      <c r="E769" s="314" t="s">
        <v>3621</v>
      </c>
      <c r="F769" s="283" t="s">
        <v>3622</v>
      </c>
      <c r="G769" s="314" t="s">
        <v>3660</v>
      </c>
      <c r="H769" s="283" t="s">
        <v>3661</v>
      </c>
      <c r="K769" s="314" t="s">
        <v>3662</v>
      </c>
      <c r="L769" s="283" t="s">
        <v>3663</v>
      </c>
      <c r="M769" s="1" t="s">
        <v>3666</v>
      </c>
      <c r="N769" s="1" t="s">
        <v>271</v>
      </c>
      <c r="O769" s="1">
        <v>2000</v>
      </c>
      <c r="P769" s="3">
        <v>2000</v>
      </c>
      <c r="Q769" s="3">
        <v>2000</v>
      </c>
      <c r="R769" s="3">
        <v>2000</v>
      </c>
      <c r="S769" s="3">
        <v>2000</v>
      </c>
      <c r="T769" s="283" t="s">
        <v>321</v>
      </c>
      <c r="U769" s="283" t="s">
        <v>1066</v>
      </c>
      <c r="V769" s="344" t="s">
        <v>3667</v>
      </c>
      <c r="W769" s="1"/>
      <c r="X769" s="1"/>
      <c r="Y769" s="1"/>
      <c r="Z769" s="1"/>
      <c r="AA769" s="1"/>
      <c r="AB769" s="1"/>
      <c r="AC769" s="316">
        <v>0</v>
      </c>
      <c r="AD769" s="316">
        <v>0</v>
      </c>
      <c r="AE769" s="302">
        <f t="shared" si="30"/>
        <v>0</v>
      </c>
      <c r="AF769" s="310"/>
      <c r="AG769" s="17">
        <v>0</v>
      </c>
      <c r="AH769" s="310">
        <v>0.3</v>
      </c>
      <c r="AI769" s="310">
        <v>0.3</v>
      </c>
      <c r="AJ769" s="310">
        <v>0.3</v>
      </c>
      <c r="AK769" s="317">
        <v>0</v>
      </c>
      <c r="AL769" s="317"/>
      <c r="AM769" s="147">
        <f t="shared" si="29"/>
        <v>0</v>
      </c>
      <c r="AN769" s="283" t="s">
        <v>321</v>
      </c>
      <c r="AO769" s="18" t="s">
        <v>1066</v>
      </c>
      <c r="AP769" s="283" t="s">
        <v>3668</v>
      </c>
    </row>
    <row r="770" spans="1:42" x14ac:dyDescent="0.3">
      <c r="A770" s="314" t="s">
        <v>1448</v>
      </c>
      <c r="B770" s="283" t="s">
        <v>3447</v>
      </c>
      <c r="C770" s="314" t="s">
        <v>3449</v>
      </c>
      <c r="D770" s="283" t="s">
        <v>3450</v>
      </c>
      <c r="E770" s="314" t="s">
        <v>3621</v>
      </c>
      <c r="F770" s="283" t="s">
        <v>3622</v>
      </c>
      <c r="G770" s="314" t="s">
        <v>3660</v>
      </c>
      <c r="H770" s="283" t="s">
        <v>3661</v>
      </c>
      <c r="K770" s="314" t="s">
        <v>3662</v>
      </c>
      <c r="L770" s="283" t="s">
        <v>3663</v>
      </c>
      <c r="M770" s="1" t="s">
        <v>3669</v>
      </c>
      <c r="N770" s="1" t="s">
        <v>271</v>
      </c>
      <c r="O770" s="1">
        <v>300</v>
      </c>
      <c r="P770" s="3">
        <v>300</v>
      </c>
      <c r="Q770" s="3">
        <v>300</v>
      </c>
      <c r="R770" s="3">
        <v>300</v>
      </c>
      <c r="S770" s="3">
        <v>300</v>
      </c>
      <c r="T770" s="283" t="s">
        <v>321</v>
      </c>
      <c r="U770" s="283" t="s">
        <v>1066</v>
      </c>
      <c r="V770" s="1" t="s">
        <v>3670</v>
      </c>
      <c r="W770" s="1">
        <v>1</v>
      </c>
      <c r="X770" s="1">
        <v>1</v>
      </c>
      <c r="Y770" s="1">
        <v>1</v>
      </c>
      <c r="Z770" s="1">
        <v>1</v>
      </c>
      <c r="AA770" s="1">
        <v>1</v>
      </c>
      <c r="AB770" s="1">
        <v>0</v>
      </c>
      <c r="AC770" s="316">
        <v>1</v>
      </c>
      <c r="AD770" s="316">
        <v>1</v>
      </c>
      <c r="AE770" s="302">
        <f t="shared" si="30"/>
        <v>0.875</v>
      </c>
      <c r="AF770" s="310"/>
      <c r="AG770" s="17">
        <v>0</v>
      </c>
      <c r="AH770" s="310">
        <v>0.5</v>
      </c>
      <c r="AI770" s="310">
        <v>0.5</v>
      </c>
      <c r="AJ770" s="310">
        <v>0.5</v>
      </c>
      <c r="AK770" s="317">
        <v>0.5</v>
      </c>
      <c r="AL770" s="317">
        <v>0.5</v>
      </c>
      <c r="AM770" s="147">
        <f t="shared" si="29"/>
        <v>1</v>
      </c>
      <c r="AN770" s="283" t="s">
        <v>321</v>
      </c>
      <c r="AO770" s="18" t="s">
        <v>1066</v>
      </c>
      <c r="AP770" s="283" t="s">
        <v>265</v>
      </c>
    </row>
    <row r="771" spans="1:42" x14ac:dyDescent="0.3">
      <c r="A771" s="314" t="s">
        <v>1448</v>
      </c>
      <c r="B771" s="283" t="s">
        <v>3447</v>
      </c>
      <c r="C771" s="314" t="s">
        <v>3449</v>
      </c>
      <c r="D771" s="283" t="s">
        <v>3450</v>
      </c>
      <c r="E771" s="314" t="s">
        <v>3621</v>
      </c>
      <c r="F771" s="283" t="s">
        <v>3622</v>
      </c>
      <c r="G771" s="314" t="s">
        <v>3660</v>
      </c>
      <c r="H771" s="283" t="s">
        <v>3661</v>
      </c>
      <c r="K771" s="314" t="s">
        <v>3671</v>
      </c>
      <c r="L771" s="283" t="s">
        <v>3672</v>
      </c>
      <c r="M771" s="1" t="s">
        <v>3673</v>
      </c>
      <c r="N771" s="1" t="s">
        <v>271</v>
      </c>
      <c r="O771" s="1">
        <v>50</v>
      </c>
      <c r="P771" s="3">
        <v>50</v>
      </c>
      <c r="Q771" s="3">
        <v>50</v>
      </c>
      <c r="R771" s="3">
        <v>50</v>
      </c>
      <c r="S771" s="3">
        <v>50</v>
      </c>
      <c r="T771" s="283" t="s">
        <v>265</v>
      </c>
      <c r="U771" s="283" t="s">
        <v>350</v>
      </c>
      <c r="V771" s="1" t="s">
        <v>3674</v>
      </c>
      <c r="W771" s="1">
        <v>1</v>
      </c>
      <c r="X771" s="1">
        <v>1</v>
      </c>
      <c r="Y771" s="1">
        <v>1</v>
      </c>
      <c r="Z771" s="1">
        <v>1</v>
      </c>
      <c r="AA771" s="1">
        <v>1</v>
      </c>
      <c r="AB771" s="1">
        <v>0</v>
      </c>
      <c r="AC771" s="316">
        <v>1</v>
      </c>
      <c r="AD771" s="316">
        <v>1</v>
      </c>
      <c r="AE771" s="302">
        <f t="shared" si="30"/>
        <v>0.875</v>
      </c>
      <c r="AF771" s="310"/>
      <c r="AG771" s="17">
        <v>0</v>
      </c>
      <c r="AH771" s="310">
        <v>0.5</v>
      </c>
      <c r="AI771" s="310">
        <v>0.5</v>
      </c>
      <c r="AJ771" s="310">
        <v>0.5</v>
      </c>
      <c r="AK771" s="317">
        <v>0.5</v>
      </c>
      <c r="AL771" s="317">
        <v>0.5</v>
      </c>
      <c r="AM771" s="147">
        <f t="shared" si="29"/>
        <v>1</v>
      </c>
      <c r="AN771" s="283" t="s">
        <v>265</v>
      </c>
      <c r="AO771" s="18" t="s">
        <v>350</v>
      </c>
      <c r="AP771" s="283" t="s">
        <v>3675</v>
      </c>
    </row>
    <row r="772" spans="1:42" x14ac:dyDescent="0.3">
      <c r="A772" s="314" t="s">
        <v>1448</v>
      </c>
      <c r="B772" s="283" t="s">
        <v>3447</v>
      </c>
      <c r="C772" s="314" t="s">
        <v>3449</v>
      </c>
      <c r="D772" s="283" t="s">
        <v>3450</v>
      </c>
      <c r="E772" s="314" t="s">
        <v>3621</v>
      </c>
      <c r="F772" s="283" t="s">
        <v>3622</v>
      </c>
      <c r="G772" s="314" t="s">
        <v>3660</v>
      </c>
      <c r="H772" s="283" t="s">
        <v>3661</v>
      </c>
      <c r="K772" s="314" t="s">
        <v>3671</v>
      </c>
      <c r="L772" s="283" t="s">
        <v>3672</v>
      </c>
      <c r="M772" s="1" t="s">
        <v>3676</v>
      </c>
      <c r="N772" s="1" t="s">
        <v>271</v>
      </c>
      <c r="O772" s="1">
        <v>0</v>
      </c>
      <c r="P772" s="3">
        <v>0</v>
      </c>
      <c r="Q772" s="3">
        <v>0</v>
      </c>
      <c r="R772" s="3">
        <v>2</v>
      </c>
      <c r="S772" s="3">
        <v>2</v>
      </c>
      <c r="T772" s="283" t="s">
        <v>265</v>
      </c>
      <c r="U772" s="283" t="s">
        <v>350</v>
      </c>
      <c r="V772" s="1" t="s">
        <v>3677</v>
      </c>
      <c r="W772" s="1">
        <v>1</v>
      </c>
      <c r="X772" s="1">
        <v>1</v>
      </c>
      <c r="Y772" s="1">
        <v>1</v>
      </c>
      <c r="Z772" s="1">
        <v>1</v>
      </c>
      <c r="AA772" s="1">
        <v>1</v>
      </c>
      <c r="AB772" s="1">
        <v>0</v>
      </c>
      <c r="AC772" s="316">
        <v>1</v>
      </c>
      <c r="AD772" s="316">
        <v>1</v>
      </c>
      <c r="AE772" s="302">
        <f t="shared" si="30"/>
        <v>0.875</v>
      </c>
      <c r="AF772" s="17"/>
      <c r="AG772" s="17">
        <v>0</v>
      </c>
      <c r="AH772" s="17">
        <v>0</v>
      </c>
      <c r="AI772" s="17">
        <v>0</v>
      </c>
      <c r="AJ772" s="310">
        <v>0</v>
      </c>
      <c r="AK772" s="317">
        <v>0.2</v>
      </c>
      <c r="AL772" s="317">
        <v>0</v>
      </c>
      <c r="AM772" s="147">
        <f t="shared" si="29"/>
        <v>0.2</v>
      </c>
      <c r="AN772" s="283" t="s">
        <v>265</v>
      </c>
      <c r="AO772" s="18" t="s">
        <v>350</v>
      </c>
      <c r="AP772" s="283" t="s">
        <v>3678</v>
      </c>
    </row>
    <row r="773" spans="1:42" x14ac:dyDescent="0.3">
      <c r="A773" s="314" t="s">
        <v>1448</v>
      </c>
      <c r="B773" s="283" t="s">
        <v>3447</v>
      </c>
      <c r="C773" s="314" t="s">
        <v>3449</v>
      </c>
      <c r="D773" s="283" t="s">
        <v>3450</v>
      </c>
      <c r="E773" s="314" t="s">
        <v>3621</v>
      </c>
      <c r="F773" s="283" t="s">
        <v>3622</v>
      </c>
      <c r="G773" s="314" t="s">
        <v>3660</v>
      </c>
      <c r="H773" s="283" t="s">
        <v>3661</v>
      </c>
      <c r="K773" s="314" t="s">
        <v>3671</v>
      </c>
      <c r="L773" s="283" t="s">
        <v>3672</v>
      </c>
      <c r="M773" s="1" t="s">
        <v>3679</v>
      </c>
      <c r="N773" s="1" t="s">
        <v>271</v>
      </c>
      <c r="O773" s="1">
        <v>4</v>
      </c>
      <c r="P773" s="3">
        <v>4</v>
      </c>
      <c r="Q773" s="3">
        <v>4</v>
      </c>
      <c r="R773" s="3">
        <v>4</v>
      </c>
      <c r="S773" s="3">
        <v>4</v>
      </c>
      <c r="T773" s="283" t="s">
        <v>2361</v>
      </c>
      <c r="U773" s="283" t="s">
        <v>103</v>
      </c>
      <c r="V773" s="1" t="s">
        <v>3680</v>
      </c>
      <c r="W773" s="1">
        <v>1</v>
      </c>
      <c r="X773" s="1">
        <v>1</v>
      </c>
      <c r="Y773" s="1">
        <v>1</v>
      </c>
      <c r="Z773" s="1">
        <v>1</v>
      </c>
      <c r="AA773" s="1">
        <v>1</v>
      </c>
      <c r="AB773" s="1">
        <v>0</v>
      </c>
      <c r="AC773" s="316">
        <v>1</v>
      </c>
      <c r="AD773" s="316">
        <v>1</v>
      </c>
      <c r="AE773" s="302">
        <f t="shared" si="30"/>
        <v>0.875</v>
      </c>
      <c r="AF773" s="310"/>
      <c r="AG773" s="17">
        <v>0</v>
      </c>
      <c r="AH773" s="310">
        <v>1</v>
      </c>
      <c r="AI773" s="310">
        <v>1</v>
      </c>
      <c r="AJ773" s="310">
        <v>1</v>
      </c>
      <c r="AK773" s="317">
        <v>1</v>
      </c>
      <c r="AL773" s="317">
        <v>1</v>
      </c>
      <c r="AM773" s="147">
        <f t="shared" si="29"/>
        <v>2</v>
      </c>
      <c r="AN773" s="283" t="s">
        <v>101</v>
      </c>
      <c r="AO773" s="18" t="s">
        <v>103</v>
      </c>
      <c r="AP773" s="283" t="s">
        <v>3681</v>
      </c>
    </row>
    <row r="774" spans="1:42" x14ac:dyDescent="0.3">
      <c r="A774" s="314" t="s">
        <v>1448</v>
      </c>
      <c r="B774" s="283" t="s">
        <v>3447</v>
      </c>
      <c r="C774" s="314" t="s">
        <v>3449</v>
      </c>
      <c r="D774" s="283" t="s">
        <v>3450</v>
      </c>
      <c r="E774" s="314" t="s">
        <v>3621</v>
      </c>
      <c r="F774" s="283" t="s">
        <v>3622</v>
      </c>
      <c r="G774" s="314" t="s">
        <v>3682</v>
      </c>
      <c r="H774" s="283" t="s">
        <v>3683</v>
      </c>
      <c r="K774" s="314" t="s">
        <v>3684</v>
      </c>
      <c r="L774" s="283" t="s">
        <v>3685</v>
      </c>
      <c r="M774" s="1" t="s">
        <v>3686</v>
      </c>
      <c r="N774" s="1">
        <v>0</v>
      </c>
      <c r="O774" s="1">
        <v>0</v>
      </c>
      <c r="P774" s="3" t="s">
        <v>3565</v>
      </c>
      <c r="Q774" s="3">
        <v>3</v>
      </c>
      <c r="R774" s="3" t="s">
        <v>3565</v>
      </c>
      <c r="S774" s="3" t="s">
        <v>3565</v>
      </c>
      <c r="T774" s="283" t="s">
        <v>321</v>
      </c>
      <c r="U774" s="283" t="s">
        <v>1066</v>
      </c>
      <c r="V774" s="1" t="s">
        <v>3687</v>
      </c>
      <c r="W774" s="1">
        <v>1</v>
      </c>
      <c r="X774" s="1">
        <v>1</v>
      </c>
      <c r="Y774" s="1">
        <v>1</v>
      </c>
      <c r="Z774" s="1">
        <v>1</v>
      </c>
      <c r="AA774" s="1">
        <v>1</v>
      </c>
      <c r="AB774" s="1">
        <v>0</v>
      </c>
      <c r="AC774" s="316">
        <v>1</v>
      </c>
      <c r="AD774" s="316">
        <v>1</v>
      </c>
      <c r="AE774" s="302">
        <f t="shared" si="30"/>
        <v>0.875</v>
      </c>
      <c r="AF774" s="17"/>
      <c r="AG774" s="17">
        <v>1</v>
      </c>
      <c r="AH774" s="17">
        <v>0</v>
      </c>
      <c r="AI774" s="310">
        <v>0.5</v>
      </c>
      <c r="AJ774" s="310">
        <v>0.5</v>
      </c>
      <c r="AK774" s="317" t="s">
        <v>3651</v>
      </c>
      <c r="AL774" s="317" t="s">
        <v>3651</v>
      </c>
      <c r="AM774" s="147">
        <f t="shared" si="29"/>
        <v>0</v>
      </c>
      <c r="AN774" s="283" t="s">
        <v>321</v>
      </c>
      <c r="AO774" s="18" t="s">
        <v>1066</v>
      </c>
      <c r="AP774" s="283" t="s">
        <v>3688</v>
      </c>
    </row>
    <row r="775" spans="1:42" x14ac:dyDescent="0.3">
      <c r="A775" s="314" t="s">
        <v>1448</v>
      </c>
      <c r="B775" s="283" t="s">
        <v>3447</v>
      </c>
      <c r="C775" s="314" t="s">
        <v>3449</v>
      </c>
      <c r="D775" s="283" t="s">
        <v>3450</v>
      </c>
      <c r="E775" s="314" t="s">
        <v>3621</v>
      </c>
      <c r="F775" s="283" t="s">
        <v>3622</v>
      </c>
      <c r="G775" s="314" t="s">
        <v>3682</v>
      </c>
      <c r="H775" s="283" t="s">
        <v>3683</v>
      </c>
      <c r="K775" s="314" t="s">
        <v>3684</v>
      </c>
      <c r="L775" s="283" t="s">
        <v>3685</v>
      </c>
      <c r="M775" s="1" t="s">
        <v>3689</v>
      </c>
      <c r="N775" s="1"/>
      <c r="T775" s="283" t="s">
        <v>321</v>
      </c>
      <c r="U775" s="283" t="s">
        <v>1066</v>
      </c>
      <c r="V775" s="1" t="s">
        <v>3690</v>
      </c>
      <c r="W775" s="1">
        <v>1</v>
      </c>
      <c r="X775" s="1">
        <v>1</v>
      </c>
      <c r="Y775" s="1">
        <v>0</v>
      </c>
      <c r="Z775" s="1">
        <v>1</v>
      </c>
      <c r="AA775" s="1">
        <v>1</v>
      </c>
      <c r="AB775" s="1">
        <v>1</v>
      </c>
      <c r="AC775" s="316">
        <v>0</v>
      </c>
      <c r="AD775" s="316">
        <v>1</v>
      </c>
      <c r="AE775" s="302">
        <f t="shared" si="30"/>
        <v>0.75</v>
      </c>
      <c r="AF775" s="17"/>
      <c r="AG775" s="17">
        <v>0</v>
      </c>
      <c r="AH775" s="17">
        <v>0</v>
      </c>
      <c r="AI775" s="17">
        <v>0</v>
      </c>
      <c r="AJ775" s="17">
        <v>0</v>
      </c>
      <c r="AK775" s="153">
        <v>0</v>
      </c>
      <c r="AL775" s="154">
        <v>0</v>
      </c>
      <c r="AM775" s="147">
        <f t="shared" si="29"/>
        <v>0</v>
      </c>
      <c r="AN775" s="10" t="s">
        <v>3691</v>
      </c>
      <c r="AO775" s="18" t="s">
        <v>103</v>
      </c>
      <c r="AP775" s="283" t="s">
        <v>321</v>
      </c>
    </row>
    <row r="776" spans="1:42" x14ac:dyDescent="0.3">
      <c r="A776" s="314" t="s">
        <v>1448</v>
      </c>
      <c r="B776" s="283" t="s">
        <v>3447</v>
      </c>
      <c r="C776" s="314" t="s">
        <v>3449</v>
      </c>
      <c r="D776" s="283" t="s">
        <v>3450</v>
      </c>
      <c r="E776" s="314" t="s">
        <v>3621</v>
      </c>
      <c r="F776" s="283" t="s">
        <v>3622</v>
      </c>
      <c r="G776" s="314" t="s">
        <v>3682</v>
      </c>
      <c r="H776" s="283" t="s">
        <v>3683</v>
      </c>
      <c r="K776" s="314" t="s">
        <v>3684</v>
      </c>
      <c r="L776" s="283" t="s">
        <v>3685</v>
      </c>
      <c r="M776" s="1" t="s">
        <v>3692</v>
      </c>
      <c r="N776" s="1"/>
      <c r="T776" s="283" t="s">
        <v>321</v>
      </c>
      <c r="U776" s="283" t="s">
        <v>1066</v>
      </c>
      <c r="V776" s="1" t="s">
        <v>3693</v>
      </c>
      <c r="W776" s="1">
        <v>1</v>
      </c>
      <c r="X776" s="1">
        <v>1</v>
      </c>
      <c r="Y776" s="1">
        <v>0</v>
      </c>
      <c r="Z776" s="1">
        <v>1</v>
      </c>
      <c r="AA776" s="1">
        <v>1</v>
      </c>
      <c r="AB776" s="1">
        <v>1</v>
      </c>
      <c r="AC776" s="316">
        <v>0</v>
      </c>
      <c r="AD776" s="316">
        <v>1</v>
      </c>
      <c r="AE776" s="302">
        <f t="shared" si="30"/>
        <v>0.75</v>
      </c>
      <c r="AF776" s="17"/>
      <c r="AG776" s="17">
        <v>0</v>
      </c>
      <c r="AH776" s="17">
        <v>0</v>
      </c>
      <c r="AI776" s="17">
        <v>0</v>
      </c>
      <c r="AJ776" s="17">
        <v>0</v>
      </c>
      <c r="AK776" s="153">
        <v>0</v>
      </c>
      <c r="AL776" s="154">
        <v>0</v>
      </c>
      <c r="AM776" s="147">
        <f t="shared" si="29"/>
        <v>0</v>
      </c>
      <c r="AN776" s="10" t="s">
        <v>3691</v>
      </c>
      <c r="AO776" s="18" t="s">
        <v>103</v>
      </c>
      <c r="AP776" s="283" t="s">
        <v>321</v>
      </c>
    </row>
    <row r="777" spans="1:42" x14ac:dyDescent="0.3">
      <c r="A777" s="314" t="s">
        <v>1448</v>
      </c>
      <c r="B777" s="283" t="s">
        <v>3447</v>
      </c>
      <c r="C777" s="314" t="s">
        <v>3449</v>
      </c>
      <c r="D777" s="283" t="s">
        <v>3450</v>
      </c>
      <c r="E777" s="314" t="s">
        <v>3621</v>
      </c>
      <c r="F777" s="283" t="s">
        <v>3622</v>
      </c>
      <c r="G777" s="314" t="s">
        <v>3682</v>
      </c>
      <c r="H777" s="283" t="s">
        <v>3683</v>
      </c>
      <c r="K777" s="314" t="s">
        <v>3684</v>
      </c>
      <c r="L777" s="283" t="s">
        <v>3685</v>
      </c>
      <c r="M777" s="1" t="s">
        <v>3692</v>
      </c>
      <c r="N777" s="1"/>
      <c r="T777" s="283" t="s">
        <v>321</v>
      </c>
      <c r="U777" s="283" t="s">
        <v>1066</v>
      </c>
      <c r="V777" s="1" t="s">
        <v>3694</v>
      </c>
      <c r="W777" s="1">
        <v>1</v>
      </c>
      <c r="X777" s="1">
        <v>1</v>
      </c>
      <c r="Y777" s="1">
        <v>0</v>
      </c>
      <c r="Z777" s="1">
        <v>1</v>
      </c>
      <c r="AA777" s="1">
        <v>1</v>
      </c>
      <c r="AB777" s="1">
        <v>1</v>
      </c>
      <c r="AC777" s="316">
        <v>0</v>
      </c>
      <c r="AD777" s="316">
        <v>1</v>
      </c>
      <c r="AE777" s="302">
        <f t="shared" si="30"/>
        <v>0.75</v>
      </c>
      <c r="AF777" s="17"/>
      <c r="AG777" s="17">
        <v>0</v>
      </c>
      <c r="AH777" s="17">
        <v>0</v>
      </c>
      <c r="AI777" s="17">
        <v>0</v>
      </c>
      <c r="AJ777" s="17">
        <v>0</v>
      </c>
      <c r="AK777" s="153">
        <v>0</v>
      </c>
      <c r="AL777" s="154">
        <v>0</v>
      </c>
      <c r="AM777" s="147">
        <f t="shared" si="29"/>
        <v>0</v>
      </c>
      <c r="AN777" s="10" t="s">
        <v>321</v>
      </c>
      <c r="AO777" s="18" t="s">
        <v>1066</v>
      </c>
      <c r="AP777" s="283" t="s">
        <v>3292</v>
      </c>
    </row>
    <row r="778" spans="1:42" x14ac:dyDescent="0.3">
      <c r="A778" s="314" t="s">
        <v>1448</v>
      </c>
      <c r="B778" s="283" t="s">
        <v>3447</v>
      </c>
      <c r="C778" s="314" t="s">
        <v>3449</v>
      </c>
      <c r="D778" s="283" t="s">
        <v>3450</v>
      </c>
      <c r="E778" s="314" t="s">
        <v>3621</v>
      </c>
      <c r="F778" s="283" t="s">
        <v>3622</v>
      </c>
      <c r="G778" s="314" t="s">
        <v>3682</v>
      </c>
      <c r="H778" s="283" t="s">
        <v>3683</v>
      </c>
      <c r="K778" s="314" t="s">
        <v>3684</v>
      </c>
      <c r="L778" s="283" t="s">
        <v>3685</v>
      </c>
      <c r="M778" s="1" t="s">
        <v>3695</v>
      </c>
      <c r="N778" s="1"/>
      <c r="P778" s="3">
        <v>50</v>
      </c>
      <c r="Q778" s="3">
        <v>85</v>
      </c>
      <c r="R778" s="3" t="s">
        <v>3696</v>
      </c>
      <c r="T778" s="283" t="s">
        <v>3292</v>
      </c>
      <c r="U778" s="283" t="e">
        <v>#N/A</v>
      </c>
      <c r="V778" s="1" t="s">
        <v>3697</v>
      </c>
      <c r="W778" s="1">
        <v>1</v>
      </c>
      <c r="X778" s="1">
        <v>1</v>
      </c>
      <c r="Y778" s="1">
        <v>0</v>
      </c>
      <c r="Z778" s="1">
        <v>0</v>
      </c>
      <c r="AA778" s="1">
        <v>1</v>
      </c>
      <c r="AB778" s="1">
        <v>1</v>
      </c>
      <c r="AC778" s="316">
        <v>0</v>
      </c>
      <c r="AD778" s="316">
        <v>1</v>
      </c>
      <c r="AE778" s="302">
        <f t="shared" si="30"/>
        <v>0.625</v>
      </c>
      <c r="AF778" s="17">
        <v>1</v>
      </c>
      <c r="AG778" s="17">
        <v>0</v>
      </c>
      <c r="AH778" s="17">
        <v>0</v>
      </c>
      <c r="AI778" s="310">
        <v>60</v>
      </c>
      <c r="AJ778" s="310">
        <v>41</v>
      </c>
      <c r="AK778" s="317">
        <v>30.5</v>
      </c>
      <c r="AL778" s="154">
        <v>0</v>
      </c>
      <c r="AM778" s="147">
        <f t="shared" si="29"/>
        <v>30.5</v>
      </c>
      <c r="AN778" s="10" t="s">
        <v>3691</v>
      </c>
      <c r="AO778" s="18" t="s">
        <v>103</v>
      </c>
      <c r="AP778" s="283" t="s">
        <v>3698</v>
      </c>
    </row>
    <row r="779" spans="1:42" x14ac:dyDescent="0.3">
      <c r="A779" s="314" t="s">
        <v>1448</v>
      </c>
      <c r="B779" s="283" t="s">
        <v>3447</v>
      </c>
      <c r="C779" s="314" t="s">
        <v>3449</v>
      </c>
      <c r="D779" s="283" t="s">
        <v>3450</v>
      </c>
      <c r="E779" s="314" t="s">
        <v>3621</v>
      </c>
      <c r="F779" s="283" t="s">
        <v>3622</v>
      </c>
      <c r="G779" s="314" t="s">
        <v>3682</v>
      </c>
      <c r="H779" s="283" t="s">
        <v>3683</v>
      </c>
      <c r="K779" s="314" t="s">
        <v>3684</v>
      </c>
      <c r="L779" s="283" t="s">
        <v>3685</v>
      </c>
      <c r="M779" s="1" t="s">
        <v>3699</v>
      </c>
      <c r="N779" s="1">
        <v>0</v>
      </c>
      <c r="O779" s="1">
        <v>0</v>
      </c>
      <c r="P779" s="3">
        <v>100</v>
      </c>
      <c r="Q779" s="3">
        <v>100</v>
      </c>
      <c r="R779" s="3">
        <v>100</v>
      </c>
      <c r="S779" s="3">
        <v>100</v>
      </c>
      <c r="T779" s="283" t="s">
        <v>2524</v>
      </c>
      <c r="U779" s="283" t="e">
        <v>#N/A</v>
      </c>
      <c r="V779" s="1" t="s">
        <v>3700</v>
      </c>
      <c r="W779" s="1">
        <v>1</v>
      </c>
      <c r="X779" s="1">
        <v>1</v>
      </c>
      <c r="Y779" s="1">
        <v>0</v>
      </c>
      <c r="Z779" s="1">
        <v>0</v>
      </c>
      <c r="AA779" s="1">
        <v>1</v>
      </c>
      <c r="AB779" s="1">
        <v>1</v>
      </c>
      <c r="AC779" s="316">
        <v>0</v>
      </c>
      <c r="AD779" s="316">
        <v>1</v>
      </c>
      <c r="AE779" s="302">
        <f t="shared" si="30"/>
        <v>0.625</v>
      </c>
      <c r="AF779" s="310"/>
      <c r="AG779" s="17">
        <v>0</v>
      </c>
      <c r="AH779" s="310">
        <v>140</v>
      </c>
      <c r="AI779" s="310">
        <v>40</v>
      </c>
      <c r="AJ779" s="310">
        <v>40</v>
      </c>
      <c r="AK779" s="317">
        <v>0</v>
      </c>
      <c r="AL779" s="317"/>
      <c r="AM779" s="147">
        <f t="shared" si="29"/>
        <v>0</v>
      </c>
      <c r="AN779" s="283" t="s">
        <v>63</v>
      </c>
      <c r="AO779" s="18" t="s">
        <v>2510</v>
      </c>
      <c r="AP779" s="283" t="s">
        <v>3701</v>
      </c>
    </row>
    <row r="780" spans="1:42" x14ac:dyDescent="0.3">
      <c r="A780" s="314" t="s">
        <v>1448</v>
      </c>
      <c r="B780" s="283" t="s">
        <v>3447</v>
      </c>
      <c r="C780" s="314" t="s">
        <v>3449</v>
      </c>
      <c r="D780" s="283" t="s">
        <v>3450</v>
      </c>
      <c r="E780" s="314" t="s">
        <v>3621</v>
      </c>
      <c r="F780" s="283" t="s">
        <v>3622</v>
      </c>
      <c r="G780" s="314" t="s">
        <v>3682</v>
      </c>
      <c r="H780" s="283" t="s">
        <v>3683</v>
      </c>
      <c r="K780" s="314" t="s">
        <v>3684</v>
      </c>
      <c r="L780" s="283" t="s">
        <v>3685</v>
      </c>
      <c r="M780" s="1" t="s">
        <v>3702</v>
      </c>
      <c r="N780" s="1">
        <v>0</v>
      </c>
      <c r="O780" s="1">
        <v>0</v>
      </c>
      <c r="P780" s="3">
        <v>1</v>
      </c>
      <c r="Q780" s="3">
        <v>1</v>
      </c>
      <c r="R780" s="3">
        <v>1</v>
      </c>
      <c r="S780" s="3">
        <v>1</v>
      </c>
      <c r="T780" s="283" t="s">
        <v>798</v>
      </c>
      <c r="U780" s="283" t="s">
        <v>350</v>
      </c>
      <c r="V780" s="1" t="s">
        <v>3703</v>
      </c>
      <c r="W780" s="1">
        <v>1</v>
      </c>
      <c r="X780" s="1">
        <v>1</v>
      </c>
      <c r="Y780" s="1">
        <v>1</v>
      </c>
      <c r="Z780" s="1">
        <v>0</v>
      </c>
      <c r="AA780" s="1">
        <v>0</v>
      </c>
      <c r="AB780" s="1">
        <v>1</v>
      </c>
      <c r="AC780" s="316">
        <v>0</v>
      </c>
      <c r="AD780" s="316">
        <v>1</v>
      </c>
      <c r="AE780" s="302">
        <f t="shared" si="30"/>
        <v>0.625</v>
      </c>
      <c r="AF780" s="17"/>
      <c r="AG780" s="17">
        <v>0</v>
      </c>
      <c r="AH780" s="17">
        <v>0</v>
      </c>
      <c r="AI780" s="310">
        <v>0</v>
      </c>
      <c r="AJ780" s="310">
        <v>0</v>
      </c>
      <c r="AK780" s="317">
        <v>0</v>
      </c>
      <c r="AL780" s="317">
        <v>0</v>
      </c>
      <c r="AM780" s="147">
        <f t="shared" si="29"/>
        <v>0</v>
      </c>
      <c r="AN780" s="283" t="s">
        <v>619</v>
      </c>
      <c r="AO780" s="18" t="s">
        <v>350</v>
      </c>
      <c r="AP780" s="283" t="s">
        <v>3292</v>
      </c>
    </row>
    <row r="781" spans="1:42" x14ac:dyDescent="0.3">
      <c r="A781" s="314" t="s">
        <v>1448</v>
      </c>
      <c r="B781" s="283" t="s">
        <v>3447</v>
      </c>
      <c r="C781" s="314" t="s">
        <v>3449</v>
      </c>
      <c r="D781" s="283" t="s">
        <v>3450</v>
      </c>
      <c r="E781" s="314" t="s">
        <v>3621</v>
      </c>
      <c r="F781" s="283" t="s">
        <v>3622</v>
      </c>
      <c r="G781" s="314" t="s">
        <v>3682</v>
      </c>
      <c r="H781" s="283" t="s">
        <v>3683</v>
      </c>
      <c r="K781" s="314" t="s">
        <v>3684</v>
      </c>
      <c r="L781" s="283" t="s">
        <v>3685</v>
      </c>
      <c r="M781" s="1" t="s">
        <v>3704</v>
      </c>
      <c r="N781" s="1">
        <v>0</v>
      </c>
      <c r="O781" s="1">
        <v>0</v>
      </c>
      <c r="P781" s="3">
        <v>0</v>
      </c>
      <c r="Q781" s="3">
        <v>1</v>
      </c>
      <c r="S781" s="3">
        <v>1</v>
      </c>
      <c r="T781" s="283" t="s">
        <v>3705</v>
      </c>
      <c r="U781" s="283" t="s">
        <v>880</v>
      </c>
      <c r="V781" s="1" t="s">
        <v>3706</v>
      </c>
      <c r="W781" s="1">
        <v>1</v>
      </c>
      <c r="X781" s="1">
        <v>1</v>
      </c>
      <c r="Y781" s="1">
        <v>1</v>
      </c>
      <c r="Z781" s="1">
        <v>1</v>
      </c>
      <c r="AA781" s="1">
        <v>0</v>
      </c>
      <c r="AB781" s="1">
        <v>1</v>
      </c>
      <c r="AC781" s="316">
        <v>0</v>
      </c>
      <c r="AD781" s="316">
        <v>1</v>
      </c>
      <c r="AE781" s="302">
        <f t="shared" si="30"/>
        <v>0.75</v>
      </c>
      <c r="AF781" s="17"/>
      <c r="AG781" s="17">
        <v>0</v>
      </c>
      <c r="AH781" s="17">
        <v>0</v>
      </c>
      <c r="AI781" s="17">
        <v>0</v>
      </c>
      <c r="AJ781" s="310">
        <v>0</v>
      </c>
      <c r="AK781" s="153">
        <v>0</v>
      </c>
      <c r="AL781" s="317">
        <v>0</v>
      </c>
      <c r="AM781" s="147">
        <f t="shared" si="29"/>
        <v>0</v>
      </c>
      <c r="AN781" s="1" t="s">
        <v>921</v>
      </c>
      <c r="AO781" s="18" t="s">
        <v>880</v>
      </c>
      <c r="AP781" s="283" t="s">
        <v>3707</v>
      </c>
    </row>
    <row r="782" spans="1:42" x14ac:dyDescent="0.3">
      <c r="A782" s="314" t="s">
        <v>1448</v>
      </c>
      <c r="B782" s="283" t="s">
        <v>3447</v>
      </c>
      <c r="C782" s="314" t="s">
        <v>3449</v>
      </c>
      <c r="D782" s="283" t="s">
        <v>3450</v>
      </c>
      <c r="E782" s="314" t="s">
        <v>3621</v>
      </c>
      <c r="F782" s="283" t="s">
        <v>3622</v>
      </c>
      <c r="G782" s="314" t="s">
        <v>3682</v>
      </c>
      <c r="H782" s="283" t="s">
        <v>3683</v>
      </c>
      <c r="K782" s="314" t="s">
        <v>3684</v>
      </c>
      <c r="L782" s="283" t="s">
        <v>3685</v>
      </c>
      <c r="M782" s="1" t="s">
        <v>3708</v>
      </c>
      <c r="N782" s="1">
        <v>0</v>
      </c>
      <c r="O782" s="1">
        <v>3</v>
      </c>
      <c r="P782" s="3" t="s">
        <v>3516</v>
      </c>
      <c r="Q782" s="3" t="s">
        <v>3709</v>
      </c>
      <c r="R782" s="3" t="s">
        <v>3709</v>
      </c>
      <c r="S782" s="3">
        <v>6</v>
      </c>
      <c r="T782" s="283" t="s">
        <v>265</v>
      </c>
      <c r="U782" s="283" t="s">
        <v>350</v>
      </c>
      <c r="V782" s="1" t="s">
        <v>3710</v>
      </c>
      <c r="W782" s="1">
        <v>1</v>
      </c>
      <c r="X782" s="1">
        <v>1</v>
      </c>
      <c r="Y782" s="1">
        <v>1</v>
      </c>
      <c r="Z782" s="1">
        <v>1</v>
      </c>
      <c r="AA782" s="1">
        <v>1</v>
      </c>
      <c r="AB782" s="1">
        <v>0</v>
      </c>
      <c r="AC782" s="316">
        <v>0</v>
      </c>
      <c r="AD782" s="316">
        <v>1</v>
      </c>
      <c r="AE782" s="302">
        <f t="shared" si="30"/>
        <v>0.75</v>
      </c>
      <c r="AF782" s="17"/>
      <c r="AG782" s="17">
        <v>0</v>
      </c>
      <c r="AH782" s="17">
        <v>0</v>
      </c>
      <c r="AI782" s="310">
        <v>0.1</v>
      </c>
      <c r="AJ782" s="310">
        <v>0.1</v>
      </c>
      <c r="AK782" s="317">
        <v>0.1</v>
      </c>
      <c r="AL782" s="317">
        <v>0.1</v>
      </c>
      <c r="AM782" s="147">
        <f t="shared" si="29"/>
        <v>0.2</v>
      </c>
      <c r="AN782" s="283" t="s">
        <v>265</v>
      </c>
      <c r="AO782" s="18" t="s">
        <v>350</v>
      </c>
      <c r="AP782" s="283" t="s">
        <v>3292</v>
      </c>
    </row>
    <row r="783" spans="1:42" x14ac:dyDescent="0.3">
      <c r="A783" s="314" t="s">
        <v>1448</v>
      </c>
      <c r="B783" s="283" t="s">
        <v>3447</v>
      </c>
      <c r="C783" s="314" t="s">
        <v>3449</v>
      </c>
      <c r="D783" s="283" t="s">
        <v>3450</v>
      </c>
      <c r="E783" s="314" t="s">
        <v>3621</v>
      </c>
      <c r="F783" s="283" t="s">
        <v>3622</v>
      </c>
      <c r="G783" s="314" t="s">
        <v>3682</v>
      </c>
      <c r="H783" s="283" t="s">
        <v>3683</v>
      </c>
      <c r="K783" s="314" t="s">
        <v>3684</v>
      </c>
      <c r="L783" s="283" t="s">
        <v>3685</v>
      </c>
      <c r="M783" s="1" t="s">
        <v>3711</v>
      </c>
      <c r="N783" s="1">
        <v>0</v>
      </c>
      <c r="Q783" s="3">
        <v>1</v>
      </c>
      <c r="R783" s="3">
        <v>1</v>
      </c>
      <c r="S783" s="3">
        <v>1</v>
      </c>
      <c r="T783" s="283" t="s">
        <v>265</v>
      </c>
      <c r="U783" s="283" t="s">
        <v>350</v>
      </c>
      <c r="V783" s="1" t="s">
        <v>3712</v>
      </c>
      <c r="W783" s="1">
        <v>1</v>
      </c>
      <c r="X783" s="1">
        <v>1</v>
      </c>
      <c r="Y783" s="1">
        <v>1</v>
      </c>
      <c r="Z783" s="1">
        <v>0</v>
      </c>
      <c r="AA783" s="1">
        <v>0</v>
      </c>
      <c r="AB783" s="1">
        <v>1</v>
      </c>
      <c r="AC783" s="316">
        <v>0</v>
      </c>
      <c r="AD783" s="316">
        <v>1</v>
      </c>
      <c r="AE783" s="302">
        <f t="shared" si="30"/>
        <v>0.625</v>
      </c>
      <c r="AF783" s="17"/>
      <c r="AG783" s="17">
        <v>0</v>
      </c>
      <c r="AH783" s="17">
        <v>0</v>
      </c>
      <c r="AI783" s="17">
        <v>0</v>
      </c>
      <c r="AJ783" s="310">
        <v>0</v>
      </c>
      <c r="AK783" s="317">
        <v>0</v>
      </c>
      <c r="AL783" s="317">
        <v>0</v>
      </c>
      <c r="AM783" s="147">
        <f t="shared" si="29"/>
        <v>0</v>
      </c>
      <c r="AN783" s="283" t="s">
        <v>265</v>
      </c>
      <c r="AO783" s="18" t="s">
        <v>350</v>
      </c>
      <c r="AP783" s="283" t="s">
        <v>3292</v>
      </c>
    </row>
    <row r="784" spans="1:42" x14ac:dyDescent="0.3">
      <c r="A784" s="314" t="s">
        <v>1448</v>
      </c>
      <c r="B784" s="283" t="s">
        <v>3447</v>
      </c>
      <c r="C784" s="314" t="s">
        <v>3449</v>
      </c>
      <c r="D784" s="283" t="s">
        <v>3450</v>
      </c>
      <c r="E784" s="314" t="s">
        <v>3621</v>
      </c>
      <c r="F784" s="283" t="s">
        <v>3622</v>
      </c>
      <c r="G784" s="314" t="s">
        <v>3682</v>
      </c>
      <c r="H784" s="283" t="s">
        <v>3683</v>
      </c>
      <c r="K784" s="314" t="s">
        <v>3684</v>
      </c>
      <c r="L784" s="283" t="s">
        <v>3685</v>
      </c>
      <c r="M784" s="1" t="s">
        <v>3713</v>
      </c>
      <c r="N784" s="1">
        <v>0</v>
      </c>
      <c r="O784" s="1">
        <v>2</v>
      </c>
      <c r="P784" s="3">
        <v>2</v>
      </c>
      <c r="Q784" s="3">
        <v>2</v>
      </c>
      <c r="R784" s="3">
        <v>2</v>
      </c>
      <c r="S784" s="3">
        <v>2</v>
      </c>
      <c r="T784" s="283" t="s">
        <v>321</v>
      </c>
      <c r="U784" s="283" t="s">
        <v>1066</v>
      </c>
      <c r="V784" s="1" t="s">
        <v>3714</v>
      </c>
      <c r="W784" s="1">
        <v>1</v>
      </c>
      <c r="X784" s="1">
        <v>1</v>
      </c>
      <c r="Y784" s="1">
        <v>0</v>
      </c>
      <c r="Z784" s="1">
        <v>0</v>
      </c>
      <c r="AA784" s="1">
        <v>0</v>
      </c>
      <c r="AB784" s="1">
        <v>1</v>
      </c>
      <c r="AC784" s="316">
        <v>0</v>
      </c>
      <c r="AD784" s="316">
        <v>1</v>
      </c>
      <c r="AE784" s="302">
        <f t="shared" si="30"/>
        <v>0.5</v>
      </c>
      <c r="AF784" s="310"/>
      <c r="AG784" s="17">
        <v>0</v>
      </c>
      <c r="AH784" s="310">
        <v>0</v>
      </c>
      <c r="AI784" s="310">
        <v>0</v>
      </c>
      <c r="AJ784" s="310">
        <v>0</v>
      </c>
      <c r="AK784" s="317">
        <v>0</v>
      </c>
      <c r="AL784" s="317"/>
      <c r="AM784" s="147">
        <f t="shared" si="29"/>
        <v>0</v>
      </c>
      <c r="AN784" s="283" t="s">
        <v>1446</v>
      </c>
      <c r="AO784" s="18" t="s">
        <v>3715</v>
      </c>
      <c r="AP784" s="283" t="s">
        <v>3716</v>
      </c>
    </row>
    <row r="785" spans="1:42" x14ac:dyDescent="0.3">
      <c r="A785" s="314" t="s">
        <v>1448</v>
      </c>
      <c r="B785" s="283" t="s">
        <v>3447</v>
      </c>
      <c r="C785" s="314" t="s">
        <v>3449</v>
      </c>
      <c r="D785" s="283" t="s">
        <v>3450</v>
      </c>
      <c r="E785" s="314" t="s">
        <v>3621</v>
      </c>
      <c r="F785" s="283" t="s">
        <v>3622</v>
      </c>
      <c r="G785" s="314" t="s">
        <v>3682</v>
      </c>
      <c r="H785" s="283" t="s">
        <v>3683</v>
      </c>
      <c r="K785" s="314" t="s">
        <v>3684</v>
      </c>
      <c r="L785" s="283" t="s">
        <v>3685</v>
      </c>
      <c r="M785" s="1" t="s">
        <v>3717</v>
      </c>
      <c r="N785" s="1">
        <v>0</v>
      </c>
      <c r="Q785" s="3">
        <v>1</v>
      </c>
      <c r="T785" s="283" t="s">
        <v>265</v>
      </c>
      <c r="U785" s="283" t="s">
        <v>350</v>
      </c>
      <c r="V785" s="1" t="s">
        <v>3718</v>
      </c>
      <c r="W785" s="1">
        <v>1</v>
      </c>
      <c r="X785" s="1">
        <v>0</v>
      </c>
      <c r="Y785" s="1">
        <v>0</v>
      </c>
      <c r="Z785" s="1">
        <v>0</v>
      </c>
      <c r="AA785" s="1">
        <v>0</v>
      </c>
      <c r="AB785" s="1">
        <v>1</v>
      </c>
      <c r="AC785" s="316">
        <v>0</v>
      </c>
      <c r="AD785" s="316">
        <v>1</v>
      </c>
      <c r="AE785" s="302">
        <f t="shared" si="30"/>
        <v>0.375</v>
      </c>
      <c r="AF785" s="17"/>
      <c r="AG785" s="17">
        <v>0</v>
      </c>
      <c r="AH785" s="17">
        <v>0</v>
      </c>
      <c r="AI785" s="17">
        <v>0</v>
      </c>
      <c r="AJ785" s="310">
        <v>0</v>
      </c>
      <c r="AK785" s="317">
        <v>0</v>
      </c>
      <c r="AL785" s="154"/>
      <c r="AM785" s="147">
        <f t="shared" si="29"/>
        <v>0</v>
      </c>
      <c r="AN785" s="283" t="s">
        <v>63</v>
      </c>
      <c r="AO785" s="18" t="s">
        <v>2510</v>
      </c>
      <c r="AP785" s="283" t="s">
        <v>3292</v>
      </c>
    </row>
    <row r="786" spans="1:42" x14ac:dyDescent="0.3">
      <c r="A786" s="314" t="s">
        <v>1448</v>
      </c>
      <c r="B786" s="283" t="s">
        <v>3447</v>
      </c>
      <c r="C786" s="314" t="s">
        <v>3449</v>
      </c>
      <c r="D786" s="283" t="s">
        <v>3450</v>
      </c>
      <c r="E786" s="314" t="s">
        <v>3621</v>
      </c>
      <c r="F786" s="283" t="s">
        <v>3622</v>
      </c>
      <c r="G786" s="314" t="s">
        <v>3682</v>
      </c>
      <c r="H786" s="283" t="s">
        <v>3683</v>
      </c>
      <c r="K786" s="318" t="s">
        <v>3684</v>
      </c>
      <c r="L786" s="283" t="s">
        <v>3685</v>
      </c>
      <c r="M786" s="1" t="s">
        <v>3719</v>
      </c>
      <c r="N786" s="1">
        <v>0</v>
      </c>
      <c r="O786" s="1">
        <v>1</v>
      </c>
      <c r="P786" s="3">
        <v>2</v>
      </c>
      <c r="Q786" s="3">
        <v>2</v>
      </c>
      <c r="R786" s="3">
        <v>2</v>
      </c>
      <c r="S786" s="3">
        <v>2</v>
      </c>
      <c r="T786" s="283" t="s">
        <v>3292</v>
      </c>
      <c r="U786" s="283" t="e">
        <v>#N/A</v>
      </c>
      <c r="V786" s="1" t="s">
        <v>3720</v>
      </c>
      <c r="W786" s="1">
        <v>1</v>
      </c>
      <c r="X786" s="1">
        <v>1</v>
      </c>
      <c r="Y786" s="1">
        <v>1</v>
      </c>
      <c r="Z786" s="1">
        <v>0</v>
      </c>
      <c r="AA786" s="1">
        <v>0</v>
      </c>
      <c r="AB786" s="1">
        <v>1</v>
      </c>
      <c r="AC786" s="316">
        <v>0</v>
      </c>
      <c r="AD786" s="316">
        <v>1</v>
      </c>
      <c r="AE786" s="302">
        <f t="shared" si="30"/>
        <v>0.625</v>
      </c>
      <c r="AF786" s="17"/>
      <c r="AG786" s="17">
        <v>0</v>
      </c>
      <c r="AH786" s="17">
        <v>0</v>
      </c>
      <c r="AI786" s="17">
        <v>0</v>
      </c>
      <c r="AJ786" s="17">
        <v>0</v>
      </c>
      <c r="AK786" s="153">
        <v>0</v>
      </c>
      <c r="AL786" s="154">
        <v>0</v>
      </c>
      <c r="AM786" s="147">
        <f t="shared" si="29"/>
        <v>0</v>
      </c>
      <c r="AN786" s="10" t="s">
        <v>3691</v>
      </c>
      <c r="AO786" s="18" t="s">
        <v>103</v>
      </c>
      <c r="AP786" s="283" t="s">
        <v>321</v>
      </c>
    </row>
    <row r="787" spans="1:42" x14ac:dyDescent="0.3">
      <c r="A787" s="314" t="s">
        <v>1448</v>
      </c>
      <c r="B787" s="283" t="s">
        <v>3447</v>
      </c>
      <c r="C787" s="314" t="s">
        <v>3449</v>
      </c>
      <c r="D787" s="283" t="s">
        <v>3450</v>
      </c>
      <c r="E787" s="314" t="s">
        <v>3621</v>
      </c>
      <c r="F787" s="283" t="s">
        <v>3622</v>
      </c>
      <c r="G787" s="314" t="s">
        <v>3721</v>
      </c>
      <c r="H787" s="283" t="s">
        <v>3722</v>
      </c>
      <c r="K787" s="314" t="s">
        <v>3723</v>
      </c>
      <c r="L787" s="283" t="s">
        <v>3724</v>
      </c>
      <c r="M787" s="1" t="s">
        <v>3725</v>
      </c>
      <c r="N787" s="1">
        <v>0</v>
      </c>
      <c r="O787" s="1">
        <v>1</v>
      </c>
      <c r="P787" s="3">
        <v>0</v>
      </c>
      <c r="Q787" s="3">
        <v>0</v>
      </c>
      <c r="R787" s="3">
        <v>0</v>
      </c>
      <c r="S787" s="3">
        <v>0</v>
      </c>
      <c r="T787" s="283" t="s">
        <v>1191</v>
      </c>
      <c r="U787" s="283" t="e">
        <v>#N/A</v>
      </c>
      <c r="V787" s="1" t="s">
        <v>3726</v>
      </c>
      <c r="W787" s="1">
        <v>1</v>
      </c>
      <c r="X787" s="1">
        <v>1</v>
      </c>
      <c r="Y787" s="1">
        <v>1</v>
      </c>
      <c r="Z787" s="1">
        <v>1</v>
      </c>
      <c r="AA787" s="1">
        <v>1</v>
      </c>
      <c r="AB787" s="1">
        <v>1</v>
      </c>
      <c r="AC787" s="316">
        <v>1</v>
      </c>
      <c r="AD787" s="316">
        <v>1</v>
      </c>
      <c r="AE787" s="302">
        <f t="shared" si="30"/>
        <v>1</v>
      </c>
      <c r="AF787" s="17">
        <v>1</v>
      </c>
      <c r="AG787" s="17">
        <v>0</v>
      </c>
      <c r="AH787" s="17">
        <v>0</v>
      </c>
      <c r="AI787" s="310">
        <v>0.3</v>
      </c>
      <c r="AJ787" s="17">
        <v>0</v>
      </c>
      <c r="AK787" s="153">
        <v>0.1</v>
      </c>
      <c r="AL787" s="154">
        <v>0</v>
      </c>
      <c r="AM787" s="147">
        <f t="shared" si="29"/>
        <v>0.1</v>
      </c>
      <c r="AN787" s="1" t="s">
        <v>921</v>
      </c>
      <c r="AO787" s="18" t="s">
        <v>880</v>
      </c>
      <c r="AP787" s="283" t="s">
        <v>265</v>
      </c>
    </row>
    <row r="788" spans="1:42" x14ac:dyDescent="0.3">
      <c r="A788" s="314" t="s">
        <v>1448</v>
      </c>
      <c r="B788" s="283" t="s">
        <v>3447</v>
      </c>
      <c r="C788" s="314" t="s">
        <v>3449</v>
      </c>
      <c r="D788" s="283" t="s">
        <v>3450</v>
      </c>
      <c r="E788" s="314" t="s">
        <v>3621</v>
      </c>
      <c r="F788" s="283" t="s">
        <v>3622</v>
      </c>
      <c r="G788" s="314" t="s">
        <v>3721</v>
      </c>
      <c r="H788" s="283" t="s">
        <v>3722</v>
      </c>
      <c r="K788" s="314" t="s">
        <v>3723</v>
      </c>
      <c r="L788" s="283" t="s">
        <v>3724</v>
      </c>
      <c r="M788" s="1" t="s">
        <v>3727</v>
      </c>
      <c r="N788" s="1"/>
      <c r="P788" s="3">
        <v>2</v>
      </c>
      <c r="Q788" s="3">
        <v>4</v>
      </c>
      <c r="R788" s="3">
        <v>4</v>
      </c>
      <c r="S788" s="3">
        <v>4</v>
      </c>
      <c r="T788" s="283" t="s">
        <v>265</v>
      </c>
      <c r="U788" s="283" t="s">
        <v>350</v>
      </c>
      <c r="V788" s="1" t="s">
        <v>3728</v>
      </c>
      <c r="W788" s="1">
        <v>1</v>
      </c>
      <c r="X788" s="1">
        <v>1</v>
      </c>
      <c r="Y788" s="1">
        <v>1</v>
      </c>
      <c r="Z788" s="1">
        <v>1</v>
      </c>
      <c r="AA788" s="1">
        <v>1</v>
      </c>
      <c r="AB788" s="1">
        <v>1</v>
      </c>
      <c r="AC788" s="316">
        <v>1</v>
      </c>
      <c r="AD788" s="316">
        <v>1</v>
      </c>
      <c r="AE788" s="302">
        <f t="shared" si="30"/>
        <v>1</v>
      </c>
      <c r="AF788" s="17">
        <v>1</v>
      </c>
      <c r="AG788" s="17">
        <v>0</v>
      </c>
      <c r="AH788" s="17">
        <v>0</v>
      </c>
      <c r="AI788" s="310">
        <v>0.1</v>
      </c>
      <c r="AJ788" s="310">
        <v>0.3</v>
      </c>
      <c r="AK788" s="317">
        <v>0.3</v>
      </c>
      <c r="AL788" s="317">
        <v>0.3</v>
      </c>
      <c r="AM788" s="147">
        <f t="shared" si="29"/>
        <v>0.6</v>
      </c>
      <c r="AN788" s="283" t="s">
        <v>265</v>
      </c>
      <c r="AO788" s="18" t="s">
        <v>350</v>
      </c>
      <c r="AP788" s="283" t="s">
        <v>101</v>
      </c>
    </row>
    <row r="789" spans="1:42" x14ac:dyDescent="0.3">
      <c r="A789" s="314" t="s">
        <v>1448</v>
      </c>
      <c r="B789" s="283" t="s">
        <v>3447</v>
      </c>
      <c r="C789" s="314" t="s">
        <v>3449</v>
      </c>
      <c r="D789" s="283" t="s">
        <v>3450</v>
      </c>
      <c r="E789" s="314" t="s">
        <v>3621</v>
      </c>
      <c r="F789" s="283" t="s">
        <v>3622</v>
      </c>
      <c r="G789" s="314" t="s">
        <v>3721</v>
      </c>
      <c r="H789" s="283" t="s">
        <v>3722</v>
      </c>
      <c r="K789" s="314" t="s">
        <v>3723</v>
      </c>
      <c r="L789" s="283" t="s">
        <v>3724</v>
      </c>
      <c r="M789" s="1" t="s">
        <v>3729</v>
      </c>
      <c r="N789" s="1">
        <v>0</v>
      </c>
      <c r="O789" s="1">
        <v>1</v>
      </c>
      <c r="P789" s="3">
        <v>0</v>
      </c>
      <c r="Q789" s="3">
        <v>0</v>
      </c>
      <c r="R789" s="3">
        <v>0</v>
      </c>
      <c r="S789" s="3">
        <v>0</v>
      </c>
      <c r="T789" s="283" t="s">
        <v>265</v>
      </c>
      <c r="U789" s="283" t="s">
        <v>350</v>
      </c>
      <c r="V789" s="1" t="s">
        <v>3730</v>
      </c>
      <c r="W789" s="1">
        <v>1</v>
      </c>
      <c r="X789" s="1">
        <v>1</v>
      </c>
      <c r="Y789" s="1">
        <v>1</v>
      </c>
      <c r="Z789" s="1">
        <v>1</v>
      </c>
      <c r="AA789" s="1">
        <v>1</v>
      </c>
      <c r="AB789" s="1">
        <v>1</v>
      </c>
      <c r="AC789" s="316">
        <v>0</v>
      </c>
      <c r="AD789" s="316">
        <v>1</v>
      </c>
      <c r="AE789" s="302">
        <f t="shared" si="30"/>
        <v>0.875</v>
      </c>
      <c r="AF789" s="17"/>
      <c r="AG789" s="17">
        <v>0</v>
      </c>
      <c r="AH789" s="17">
        <v>0</v>
      </c>
      <c r="AI789" s="310">
        <v>0</v>
      </c>
      <c r="AJ789" s="17">
        <v>0</v>
      </c>
      <c r="AK789" s="153">
        <v>0.6</v>
      </c>
      <c r="AL789" s="154">
        <v>0</v>
      </c>
      <c r="AM789" s="147">
        <f t="shared" si="29"/>
        <v>0.6</v>
      </c>
      <c r="AN789" s="18" t="s">
        <v>92</v>
      </c>
      <c r="AO789" s="18" t="s">
        <v>118</v>
      </c>
      <c r="AP789" s="283" t="s">
        <v>67</v>
      </c>
    </row>
    <row r="790" spans="1:42" x14ac:dyDescent="0.3">
      <c r="A790" s="314" t="s">
        <v>1448</v>
      </c>
      <c r="B790" s="283" t="s">
        <v>3447</v>
      </c>
      <c r="C790" s="314" t="s">
        <v>3449</v>
      </c>
      <c r="D790" s="283" t="s">
        <v>3450</v>
      </c>
      <c r="E790" s="314" t="s">
        <v>3621</v>
      </c>
      <c r="F790" s="283" t="s">
        <v>3622</v>
      </c>
      <c r="G790" s="314" t="s">
        <v>3721</v>
      </c>
      <c r="H790" s="283" t="s">
        <v>3722</v>
      </c>
      <c r="K790" s="314" t="s">
        <v>3723</v>
      </c>
      <c r="L790" s="283" t="s">
        <v>3724</v>
      </c>
      <c r="M790" s="1" t="s">
        <v>3731</v>
      </c>
      <c r="N790" s="1">
        <v>0</v>
      </c>
      <c r="O790" s="1">
        <v>10</v>
      </c>
      <c r="P790" s="3">
        <v>20</v>
      </c>
      <c r="Q790" s="3">
        <v>50</v>
      </c>
      <c r="R790" s="3">
        <v>50</v>
      </c>
      <c r="S790" s="3">
        <v>50</v>
      </c>
      <c r="T790" s="283" t="s">
        <v>265</v>
      </c>
      <c r="U790" s="283" t="s">
        <v>350</v>
      </c>
      <c r="V790" s="1" t="s">
        <v>3732</v>
      </c>
      <c r="W790" s="1">
        <v>1</v>
      </c>
      <c r="X790" s="1">
        <v>1</v>
      </c>
      <c r="Y790" s="1">
        <v>1</v>
      </c>
      <c r="Z790" s="1">
        <v>1</v>
      </c>
      <c r="AA790" s="1">
        <v>1</v>
      </c>
      <c r="AB790" s="1">
        <v>1</v>
      </c>
      <c r="AC790" s="316">
        <v>1</v>
      </c>
      <c r="AD790" s="316">
        <v>1</v>
      </c>
      <c r="AE790" s="302">
        <f t="shared" si="30"/>
        <v>1</v>
      </c>
      <c r="AF790" s="17"/>
      <c r="AG790" s="17">
        <v>0</v>
      </c>
      <c r="AH790" s="17">
        <v>0</v>
      </c>
      <c r="AI790" s="310">
        <v>0</v>
      </c>
      <c r="AJ790" s="310">
        <v>0</v>
      </c>
      <c r="AK790" s="317">
        <v>2</v>
      </c>
      <c r="AL790" s="317">
        <v>0</v>
      </c>
      <c r="AM790" s="147">
        <f t="shared" si="29"/>
        <v>2</v>
      </c>
      <c r="AN790" s="283" t="s">
        <v>321</v>
      </c>
      <c r="AO790" s="18" t="s">
        <v>1066</v>
      </c>
      <c r="AP790" s="283" t="s">
        <v>265</v>
      </c>
    </row>
    <row r="791" spans="1:42" x14ac:dyDescent="0.3">
      <c r="A791" s="314" t="s">
        <v>1448</v>
      </c>
      <c r="B791" s="283" t="s">
        <v>3447</v>
      </c>
      <c r="C791" s="314" t="s">
        <v>3449</v>
      </c>
      <c r="D791" s="283" t="s">
        <v>3450</v>
      </c>
      <c r="E791" s="314" t="s">
        <v>3621</v>
      </c>
      <c r="F791" s="283" t="s">
        <v>3622</v>
      </c>
      <c r="G791" s="314" t="s">
        <v>3721</v>
      </c>
      <c r="H791" s="283" t="s">
        <v>3722</v>
      </c>
      <c r="K791" s="318" t="s">
        <v>3733</v>
      </c>
      <c r="L791" s="283" t="s">
        <v>3734</v>
      </c>
      <c r="M791" s="1" t="s">
        <v>3735</v>
      </c>
      <c r="N791" s="1">
        <v>0</v>
      </c>
      <c r="O791" s="1">
        <v>0</v>
      </c>
      <c r="P791" s="3">
        <v>2</v>
      </c>
      <c r="Q791" s="3">
        <v>2</v>
      </c>
      <c r="R791" s="3">
        <v>2</v>
      </c>
      <c r="S791" s="3">
        <v>2</v>
      </c>
      <c r="T791" s="283" t="s">
        <v>265</v>
      </c>
      <c r="U791" s="283" t="s">
        <v>350</v>
      </c>
      <c r="V791" s="1" t="s">
        <v>3736</v>
      </c>
      <c r="W791" s="1">
        <v>1</v>
      </c>
      <c r="X791" s="1">
        <v>1</v>
      </c>
      <c r="Y791" s="1">
        <v>1</v>
      </c>
      <c r="Z791" s="1">
        <v>1</v>
      </c>
      <c r="AA791" s="1">
        <v>1</v>
      </c>
      <c r="AB791" s="1">
        <v>1</v>
      </c>
      <c r="AC791" s="316">
        <v>1</v>
      </c>
      <c r="AD791" s="316">
        <v>1</v>
      </c>
      <c r="AE791" s="302">
        <f t="shared" si="30"/>
        <v>1</v>
      </c>
      <c r="AF791" s="17"/>
      <c r="AG791" s="17">
        <v>0</v>
      </c>
      <c r="AH791" s="17">
        <v>0</v>
      </c>
      <c r="AI791" s="310">
        <v>0.5</v>
      </c>
      <c r="AJ791" s="310">
        <v>0.5</v>
      </c>
      <c r="AK791" s="317">
        <v>0.5</v>
      </c>
      <c r="AL791" s="317" t="s">
        <v>3651</v>
      </c>
      <c r="AM791" s="147">
        <f t="shared" si="29"/>
        <v>0.5</v>
      </c>
      <c r="AN791" s="283" t="s">
        <v>265</v>
      </c>
      <c r="AO791" s="18" t="s">
        <v>350</v>
      </c>
      <c r="AP791" s="283" t="s">
        <v>3737</v>
      </c>
    </row>
    <row r="792" spans="1:42" x14ac:dyDescent="0.3">
      <c r="A792" s="314" t="s">
        <v>1448</v>
      </c>
      <c r="B792" s="283" t="s">
        <v>3447</v>
      </c>
      <c r="C792" s="314" t="s">
        <v>3449</v>
      </c>
      <c r="D792" s="283" t="s">
        <v>3450</v>
      </c>
      <c r="E792" s="314" t="s">
        <v>3621</v>
      </c>
      <c r="F792" s="283" t="s">
        <v>3622</v>
      </c>
      <c r="G792" s="314" t="s">
        <v>3721</v>
      </c>
      <c r="H792" s="283" t="s">
        <v>3722</v>
      </c>
      <c r="K792" s="318" t="s">
        <v>3733</v>
      </c>
      <c r="L792" s="283" t="s">
        <v>3734</v>
      </c>
      <c r="M792" s="1" t="s">
        <v>3735</v>
      </c>
      <c r="N792" s="1">
        <v>0</v>
      </c>
      <c r="O792" s="1">
        <v>0</v>
      </c>
      <c r="P792" s="3">
        <v>2</v>
      </c>
      <c r="Q792" s="3">
        <v>2</v>
      </c>
      <c r="R792" s="3">
        <v>2</v>
      </c>
      <c r="S792" s="3">
        <v>2</v>
      </c>
      <c r="T792" s="283" t="s">
        <v>1233</v>
      </c>
      <c r="U792" s="283" t="s">
        <v>1650</v>
      </c>
      <c r="V792" s="1" t="s">
        <v>3736</v>
      </c>
      <c r="W792" s="1"/>
      <c r="X792" s="1"/>
      <c r="Y792" s="1"/>
      <c r="Z792" s="1"/>
      <c r="AA792" s="1"/>
      <c r="AB792" s="1"/>
      <c r="AC792" s="316">
        <v>0</v>
      </c>
      <c r="AD792" s="316">
        <v>0</v>
      </c>
      <c r="AE792" s="302">
        <f t="shared" si="30"/>
        <v>0</v>
      </c>
      <c r="AF792" s="17"/>
      <c r="AG792" s="17">
        <v>0</v>
      </c>
      <c r="AH792" s="17">
        <v>0</v>
      </c>
      <c r="AI792" s="310">
        <v>0.2</v>
      </c>
      <c r="AJ792" s="310">
        <v>0.2</v>
      </c>
      <c r="AK792" s="317">
        <v>0</v>
      </c>
      <c r="AL792" s="317"/>
      <c r="AM792" s="147">
        <f t="shared" si="29"/>
        <v>0</v>
      </c>
      <c r="AN792" s="283" t="s">
        <v>1233</v>
      </c>
      <c r="AO792" s="18" t="s">
        <v>1650</v>
      </c>
      <c r="AP792" s="283" t="s">
        <v>3738</v>
      </c>
    </row>
    <row r="793" spans="1:42" x14ac:dyDescent="0.3">
      <c r="A793" s="314" t="s">
        <v>1448</v>
      </c>
      <c r="B793" s="283" t="s">
        <v>3447</v>
      </c>
      <c r="C793" s="314" t="s">
        <v>3449</v>
      </c>
      <c r="D793" s="283" t="s">
        <v>3450</v>
      </c>
      <c r="E793" s="314" t="s">
        <v>3621</v>
      </c>
      <c r="F793" s="283" t="s">
        <v>3622</v>
      </c>
      <c r="G793" s="314" t="s">
        <v>3721</v>
      </c>
      <c r="H793" s="283" t="s">
        <v>3722</v>
      </c>
      <c r="K793" s="318" t="s">
        <v>3733</v>
      </c>
      <c r="L793" s="283" t="s">
        <v>3734</v>
      </c>
      <c r="M793" s="1" t="s">
        <v>3735</v>
      </c>
      <c r="N793" s="1">
        <v>0</v>
      </c>
      <c r="O793" s="1">
        <v>0</v>
      </c>
      <c r="P793" s="3">
        <v>2</v>
      </c>
      <c r="Q793" s="3">
        <v>2</v>
      </c>
      <c r="R793" s="3">
        <v>2</v>
      </c>
      <c r="S793" s="3">
        <v>2</v>
      </c>
      <c r="T793" s="283" t="s">
        <v>1132</v>
      </c>
      <c r="U793" s="283" t="s">
        <v>3739</v>
      </c>
      <c r="V793" s="1" t="s">
        <v>3736</v>
      </c>
      <c r="W793" s="1"/>
      <c r="X793" s="1"/>
      <c r="Y793" s="1"/>
      <c r="Z793" s="1"/>
      <c r="AA793" s="1"/>
      <c r="AB793" s="1"/>
      <c r="AC793" s="316">
        <v>0</v>
      </c>
      <c r="AD793" s="316">
        <v>0</v>
      </c>
      <c r="AE793" s="302">
        <f t="shared" si="30"/>
        <v>0</v>
      </c>
      <c r="AF793" s="17"/>
      <c r="AG793" s="17">
        <v>0</v>
      </c>
      <c r="AH793" s="17">
        <v>0</v>
      </c>
      <c r="AI793" s="310">
        <v>0.1</v>
      </c>
      <c r="AJ793" s="310">
        <v>0.1</v>
      </c>
      <c r="AK793" s="317">
        <v>0</v>
      </c>
      <c r="AL793" s="317"/>
      <c r="AM793" s="147">
        <f t="shared" si="29"/>
        <v>0</v>
      </c>
      <c r="AN793" s="283" t="s">
        <v>1132</v>
      </c>
      <c r="AO793" s="18" t="s">
        <v>3739</v>
      </c>
      <c r="AP793" s="283" t="s">
        <v>3740</v>
      </c>
    </row>
    <row r="794" spans="1:42" x14ac:dyDescent="0.3">
      <c r="A794" s="314" t="s">
        <v>1448</v>
      </c>
      <c r="B794" s="283" t="s">
        <v>3447</v>
      </c>
      <c r="C794" s="314" t="s">
        <v>3449</v>
      </c>
      <c r="D794" s="283" t="s">
        <v>3450</v>
      </c>
      <c r="E794" s="314" t="s">
        <v>3621</v>
      </c>
      <c r="F794" s="283" t="s">
        <v>3622</v>
      </c>
      <c r="G794" s="314" t="s">
        <v>3721</v>
      </c>
      <c r="H794" s="283" t="s">
        <v>3722</v>
      </c>
      <c r="K794" s="318" t="s">
        <v>3733</v>
      </c>
      <c r="L794" s="283" t="s">
        <v>3734</v>
      </c>
      <c r="M794" s="1" t="s">
        <v>3741</v>
      </c>
      <c r="N794" s="1">
        <v>100</v>
      </c>
      <c r="O794" s="1">
        <v>100</v>
      </c>
      <c r="P794" s="3">
        <v>100</v>
      </c>
      <c r="Q794" s="3">
        <v>100</v>
      </c>
      <c r="R794" s="3">
        <v>100</v>
      </c>
      <c r="S794" s="3">
        <v>100</v>
      </c>
      <c r="T794" s="283" t="s">
        <v>265</v>
      </c>
      <c r="U794" s="283" t="s">
        <v>350</v>
      </c>
      <c r="V794" s="1" t="s">
        <v>3742</v>
      </c>
      <c r="W794" s="1">
        <v>1</v>
      </c>
      <c r="X794" s="1">
        <v>1</v>
      </c>
      <c r="Y794" s="1">
        <v>1</v>
      </c>
      <c r="Z794" s="1">
        <v>1</v>
      </c>
      <c r="AA794" s="1">
        <v>1</v>
      </c>
      <c r="AB794" s="1">
        <v>1</v>
      </c>
      <c r="AC794" s="316">
        <v>1</v>
      </c>
      <c r="AD794" s="316">
        <v>1</v>
      </c>
      <c r="AE794" s="302">
        <f t="shared" si="30"/>
        <v>1</v>
      </c>
      <c r="AF794" s="310"/>
      <c r="AG794" s="17">
        <v>0</v>
      </c>
      <c r="AH794" s="310">
        <v>0</v>
      </c>
      <c r="AI794" s="310">
        <v>0</v>
      </c>
      <c r="AJ794" s="310">
        <v>0</v>
      </c>
      <c r="AK794" s="317">
        <v>7.0000000000000007E-2</v>
      </c>
      <c r="AL794" s="317">
        <v>0</v>
      </c>
      <c r="AM794" s="147">
        <f t="shared" si="29"/>
        <v>7.0000000000000007E-2</v>
      </c>
      <c r="AN794" s="283" t="s">
        <v>265</v>
      </c>
      <c r="AO794" s="18" t="s">
        <v>350</v>
      </c>
      <c r="AP794" s="283" t="s">
        <v>3743</v>
      </c>
    </row>
    <row r="795" spans="1:42" x14ac:dyDescent="0.3">
      <c r="A795" s="314" t="s">
        <v>1448</v>
      </c>
      <c r="B795" s="283" t="s">
        <v>3447</v>
      </c>
      <c r="C795" s="314" t="s">
        <v>3744</v>
      </c>
      <c r="D795" s="283" t="s">
        <v>3745</v>
      </c>
      <c r="E795" s="314" t="s">
        <v>3746</v>
      </c>
      <c r="F795" s="283" t="s">
        <v>3747</v>
      </c>
      <c r="G795" s="314" t="s">
        <v>3748</v>
      </c>
      <c r="H795" s="283" t="s">
        <v>3749</v>
      </c>
      <c r="K795" s="314" t="s">
        <v>3750</v>
      </c>
      <c r="L795" s="283" t="s">
        <v>3751</v>
      </c>
      <c r="M795" s="1" t="s">
        <v>3752</v>
      </c>
      <c r="N795" s="1" t="s">
        <v>271</v>
      </c>
      <c r="O795" s="1">
        <v>600</v>
      </c>
      <c r="P795" s="3">
        <v>650</v>
      </c>
      <c r="Q795" s="3" t="s">
        <v>3753</v>
      </c>
      <c r="R795" s="3" t="s">
        <v>3754</v>
      </c>
      <c r="S795" s="3" t="s">
        <v>3755</v>
      </c>
      <c r="T795" s="283" t="s">
        <v>3756</v>
      </c>
      <c r="U795" s="283" t="e">
        <v>#N/A</v>
      </c>
      <c r="V795" s="1" t="s">
        <v>3757</v>
      </c>
      <c r="W795" s="1">
        <v>1</v>
      </c>
      <c r="X795" s="1">
        <v>1</v>
      </c>
      <c r="Y795" s="1">
        <v>1</v>
      </c>
      <c r="Z795" s="1">
        <v>1</v>
      </c>
      <c r="AA795" s="1">
        <v>1</v>
      </c>
      <c r="AB795" s="1">
        <v>1</v>
      </c>
      <c r="AC795" s="316">
        <v>1</v>
      </c>
      <c r="AD795" s="316">
        <v>1</v>
      </c>
      <c r="AE795" s="302">
        <f t="shared" si="30"/>
        <v>1</v>
      </c>
      <c r="AF795" s="310"/>
      <c r="AG795" s="17">
        <v>0</v>
      </c>
      <c r="AH795" s="310">
        <v>0</v>
      </c>
      <c r="AI795" s="310">
        <v>0</v>
      </c>
      <c r="AJ795" s="310">
        <v>0</v>
      </c>
      <c r="AK795" s="317">
        <v>1</v>
      </c>
      <c r="AL795" s="317">
        <v>0</v>
      </c>
      <c r="AM795" s="147">
        <f t="shared" si="29"/>
        <v>1</v>
      </c>
      <c r="AN795" s="283" t="s">
        <v>321</v>
      </c>
      <c r="AO795" s="18" t="s">
        <v>1066</v>
      </c>
      <c r="AP795" s="283" t="s">
        <v>265</v>
      </c>
    </row>
    <row r="796" spans="1:42" x14ac:dyDescent="0.3">
      <c r="A796" s="314" t="s">
        <v>1448</v>
      </c>
      <c r="B796" s="283" t="s">
        <v>3447</v>
      </c>
      <c r="C796" s="314" t="s">
        <v>3744</v>
      </c>
      <c r="D796" s="283" t="s">
        <v>3745</v>
      </c>
      <c r="E796" s="314" t="s">
        <v>3746</v>
      </c>
      <c r="F796" s="283" t="s">
        <v>3747</v>
      </c>
      <c r="G796" s="314" t="s">
        <v>3748</v>
      </c>
      <c r="H796" s="283" t="s">
        <v>3749</v>
      </c>
      <c r="K796" s="314" t="s">
        <v>3750</v>
      </c>
      <c r="L796" s="283" t="s">
        <v>3751</v>
      </c>
      <c r="M796" s="1" t="s">
        <v>3758</v>
      </c>
      <c r="N796" s="1">
        <v>0</v>
      </c>
      <c r="O796" s="1">
        <v>10</v>
      </c>
      <c r="P796" s="3">
        <v>12</v>
      </c>
      <c r="Q796" s="3">
        <v>12</v>
      </c>
      <c r="R796" s="3">
        <v>12</v>
      </c>
      <c r="S796" s="3">
        <v>10</v>
      </c>
      <c r="T796" s="283" t="s">
        <v>321</v>
      </c>
      <c r="U796" s="283" t="s">
        <v>1066</v>
      </c>
      <c r="V796" s="1" t="s">
        <v>3759</v>
      </c>
      <c r="W796" s="1">
        <v>1</v>
      </c>
      <c r="X796" s="1">
        <v>1</v>
      </c>
      <c r="Y796" s="1">
        <v>1</v>
      </c>
      <c r="Z796" s="1">
        <v>1</v>
      </c>
      <c r="AA796" s="1">
        <v>1</v>
      </c>
      <c r="AB796" s="1">
        <v>1</v>
      </c>
      <c r="AC796" s="316">
        <v>1</v>
      </c>
      <c r="AD796" s="316">
        <v>1</v>
      </c>
      <c r="AE796" s="302">
        <f t="shared" si="30"/>
        <v>1</v>
      </c>
      <c r="AF796" s="310"/>
      <c r="AG796" s="17">
        <v>0</v>
      </c>
      <c r="AH796" s="310">
        <v>0</v>
      </c>
      <c r="AI796" s="310">
        <v>0</v>
      </c>
      <c r="AJ796" s="310">
        <v>0</v>
      </c>
      <c r="AK796" s="317">
        <v>0.2</v>
      </c>
      <c r="AL796" s="317">
        <v>0</v>
      </c>
      <c r="AM796" s="147">
        <f t="shared" ref="AM796:AM827" si="31">SUM(AK796:AL796)</f>
        <v>0.2</v>
      </c>
      <c r="AN796" s="283" t="s">
        <v>321</v>
      </c>
      <c r="AO796" s="18" t="s">
        <v>1066</v>
      </c>
      <c r="AP796" s="283" t="s">
        <v>265</v>
      </c>
    </row>
    <row r="797" spans="1:42" x14ac:dyDescent="0.3">
      <c r="A797" s="314" t="s">
        <v>1448</v>
      </c>
      <c r="B797" s="283" t="s">
        <v>3447</v>
      </c>
      <c r="C797" s="314" t="s">
        <v>3744</v>
      </c>
      <c r="D797" s="283" t="s">
        <v>3745</v>
      </c>
      <c r="E797" s="314" t="s">
        <v>3746</v>
      </c>
      <c r="F797" s="283" t="s">
        <v>3747</v>
      </c>
      <c r="G797" s="314" t="s">
        <v>3748</v>
      </c>
      <c r="H797" s="283" t="s">
        <v>3749</v>
      </c>
      <c r="K797" s="314" t="s">
        <v>3750</v>
      </c>
      <c r="L797" s="283" t="s">
        <v>3751</v>
      </c>
      <c r="M797" s="1" t="s">
        <v>3760</v>
      </c>
      <c r="N797" s="1">
        <v>0</v>
      </c>
      <c r="O797" s="1">
        <v>300</v>
      </c>
      <c r="P797" s="3">
        <v>300</v>
      </c>
      <c r="Q797" s="3">
        <v>300</v>
      </c>
      <c r="R797" s="3">
        <v>300</v>
      </c>
      <c r="S797" s="3">
        <v>300</v>
      </c>
      <c r="T797" s="283" t="s">
        <v>321</v>
      </c>
      <c r="U797" s="283" t="s">
        <v>1066</v>
      </c>
      <c r="V797" s="1" t="s">
        <v>3761</v>
      </c>
      <c r="W797" s="1">
        <v>1</v>
      </c>
      <c r="X797" s="1">
        <v>1</v>
      </c>
      <c r="Y797" s="1">
        <v>1</v>
      </c>
      <c r="Z797" s="1">
        <v>1</v>
      </c>
      <c r="AA797" s="1">
        <v>1</v>
      </c>
      <c r="AB797" s="1">
        <v>1</v>
      </c>
      <c r="AC797" s="316">
        <v>1</v>
      </c>
      <c r="AD797" s="316">
        <v>1</v>
      </c>
      <c r="AE797" s="302">
        <f t="shared" si="30"/>
        <v>1</v>
      </c>
      <c r="AF797" s="310"/>
      <c r="AG797" s="17">
        <v>0</v>
      </c>
      <c r="AH797" s="310">
        <v>0</v>
      </c>
      <c r="AI797" s="310">
        <v>0</v>
      </c>
      <c r="AJ797" s="310">
        <v>0</v>
      </c>
      <c r="AK797" s="317">
        <v>0.5</v>
      </c>
      <c r="AL797" s="317">
        <v>0</v>
      </c>
      <c r="AM797" s="147">
        <f t="shared" si="31"/>
        <v>0.5</v>
      </c>
      <c r="AN797" s="283" t="s">
        <v>321</v>
      </c>
      <c r="AO797" s="18" t="s">
        <v>1066</v>
      </c>
      <c r="AP797" s="283" t="s">
        <v>265</v>
      </c>
    </row>
    <row r="798" spans="1:42" x14ac:dyDescent="0.3">
      <c r="A798" s="314" t="s">
        <v>1448</v>
      </c>
      <c r="B798" s="283" t="s">
        <v>3447</v>
      </c>
      <c r="C798" s="314" t="s">
        <v>3744</v>
      </c>
      <c r="D798" s="283" t="s">
        <v>3745</v>
      </c>
      <c r="E798" s="314" t="s">
        <v>3746</v>
      </c>
      <c r="F798" s="283" t="s">
        <v>3747</v>
      </c>
      <c r="G798" s="314" t="s">
        <v>3748</v>
      </c>
      <c r="H798" s="283" t="s">
        <v>3749</v>
      </c>
      <c r="K798" s="314" t="s">
        <v>3750</v>
      </c>
      <c r="L798" s="283" t="s">
        <v>3751</v>
      </c>
      <c r="M798" s="1" t="s">
        <v>3762</v>
      </c>
      <c r="N798" s="1">
        <v>0</v>
      </c>
      <c r="O798" s="1">
        <v>4</v>
      </c>
      <c r="P798" s="3" t="s">
        <v>3763</v>
      </c>
      <c r="Q798" s="3" t="s">
        <v>3763</v>
      </c>
      <c r="R798" s="3" t="s">
        <v>3763</v>
      </c>
      <c r="S798" s="3" t="s">
        <v>3763</v>
      </c>
      <c r="T798" s="283" t="s">
        <v>3756</v>
      </c>
      <c r="U798" s="283" t="e">
        <v>#N/A</v>
      </c>
      <c r="V798" s="1" t="s">
        <v>3764</v>
      </c>
      <c r="W798" s="1">
        <v>1</v>
      </c>
      <c r="X798" s="1">
        <v>1</v>
      </c>
      <c r="Y798" s="1">
        <v>1</v>
      </c>
      <c r="Z798" s="1">
        <v>1</v>
      </c>
      <c r="AA798" s="1">
        <v>1</v>
      </c>
      <c r="AB798" s="1">
        <v>0</v>
      </c>
      <c r="AC798" s="316">
        <v>1</v>
      </c>
      <c r="AD798" s="316">
        <v>1</v>
      </c>
      <c r="AE798" s="302">
        <f t="shared" si="30"/>
        <v>0.875</v>
      </c>
      <c r="AF798" s="310"/>
      <c r="AG798" s="17">
        <v>0</v>
      </c>
      <c r="AH798" s="310">
        <v>0</v>
      </c>
      <c r="AI798" s="310">
        <v>0</v>
      </c>
      <c r="AJ798" s="310">
        <v>0</v>
      </c>
      <c r="AK798" s="317">
        <v>0.5</v>
      </c>
      <c r="AL798" s="317">
        <v>0</v>
      </c>
      <c r="AM798" s="147">
        <f t="shared" si="31"/>
        <v>0.5</v>
      </c>
      <c r="AN798" s="283" t="s">
        <v>321</v>
      </c>
      <c r="AO798" s="18" t="s">
        <v>1066</v>
      </c>
      <c r="AP798" s="283" t="s">
        <v>3765</v>
      </c>
    </row>
    <row r="799" spans="1:42" x14ac:dyDescent="0.3">
      <c r="A799" s="314" t="s">
        <v>1448</v>
      </c>
      <c r="B799" s="283" t="s">
        <v>3447</v>
      </c>
      <c r="C799" s="314" t="s">
        <v>3744</v>
      </c>
      <c r="D799" s="283" t="s">
        <v>3745</v>
      </c>
      <c r="E799" s="314" t="s">
        <v>3746</v>
      </c>
      <c r="F799" s="283" t="s">
        <v>3747</v>
      </c>
      <c r="G799" s="314" t="s">
        <v>3748</v>
      </c>
      <c r="H799" s="283" t="s">
        <v>3749</v>
      </c>
      <c r="K799" s="314" t="s">
        <v>3750</v>
      </c>
      <c r="L799" s="283" t="s">
        <v>3751</v>
      </c>
      <c r="M799" s="1" t="s">
        <v>3766</v>
      </c>
      <c r="N799" s="1" t="s">
        <v>271</v>
      </c>
      <c r="O799" s="1">
        <v>12</v>
      </c>
      <c r="P799" s="3" t="s">
        <v>3767</v>
      </c>
      <c r="Q799" s="3">
        <v>12</v>
      </c>
      <c r="R799" s="3" t="s">
        <v>3767</v>
      </c>
      <c r="S799" s="3" t="s">
        <v>3767</v>
      </c>
      <c r="T799" s="283" t="s">
        <v>1216</v>
      </c>
      <c r="U799" s="283" t="s">
        <v>1218</v>
      </c>
      <c r="V799" s="1" t="s">
        <v>3768</v>
      </c>
      <c r="W799" s="1">
        <v>1</v>
      </c>
      <c r="X799" s="1">
        <v>1</v>
      </c>
      <c r="Y799" s="1">
        <v>1</v>
      </c>
      <c r="Z799" s="1">
        <v>1</v>
      </c>
      <c r="AA799" s="1">
        <v>1</v>
      </c>
      <c r="AB799" s="1">
        <v>0</v>
      </c>
      <c r="AC799" s="316">
        <v>1</v>
      </c>
      <c r="AD799" s="316">
        <v>1</v>
      </c>
      <c r="AE799" s="302">
        <f t="shared" ref="AE799:AE830" si="32">SUM(W799:AD799)/8</f>
        <v>0.875</v>
      </c>
      <c r="AF799" s="310"/>
      <c r="AG799" s="17">
        <v>0</v>
      </c>
      <c r="AH799" s="310">
        <v>0.7</v>
      </c>
      <c r="AI799" s="310" t="s">
        <v>3769</v>
      </c>
      <c r="AJ799" s="310" t="s">
        <v>3769</v>
      </c>
      <c r="AK799" s="317">
        <v>0.7</v>
      </c>
      <c r="AL799" s="317" t="s">
        <v>3769</v>
      </c>
      <c r="AM799" s="147">
        <f t="shared" si="31"/>
        <v>0.7</v>
      </c>
      <c r="AN799" s="283" t="s">
        <v>1216</v>
      </c>
      <c r="AO799" s="18" t="s">
        <v>1218</v>
      </c>
      <c r="AP799" s="283" t="s">
        <v>3770</v>
      </c>
    </row>
    <row r="800" spans="1:42" x14ac:dyDescent="0.3">
      <c r="A800" s="314" t="s">
        <v>1448</v>
      </c>
      <c r="B800" s="283" t="s">
        <v>3447</v>
      </c>
      <c r="C800" s="314" t="s">
        <v>3744</v>
      </c>
      <c r="D800" s="283" t="s">
        <v>3745</v>
      </c>
      <c r="E800" s="314" t="s">
        <v>3746</v>
      </c>
      <c r="F800" s="283" t="s">
        <v>3747</v>
      </c>
      <c r="G800" s="314" t="s">
        <v>3748</v>
      </c>
      <c r="H800" s="283" t="s">
        <v>3749</v>
      </c>
      <c r="K800" s="314" t="s">
        <v>3750</v>
      </c>
      <c r="L800" s="283" t="s">
        <v>3751</v>
      </c>
      <c r="M800" s="1" t="s">
        <v>3771</v>
      </c>
      <c r="N800" s="1" t="s">
        <v>271</v>
      </c>
      <c r="O800" s="1">
        <v>20</v>
      </c>
      <c r="P800" s="3">
        <v>50</v>
      </c>
      <c r="Q800" s="3">
        <v>50</v>
      </c>
      <c r="R800" s="3">
        <v>50</v>
      </c>
      <c r="S800" s="3">
        <v>50</v>
      </c>
      <c r="T800" s="283" t="s">
        <v>265</v>
      </c>
      <c r="U800" s="283" t="s">
        <v>350</v>
      </c>
      <c r="V800" s="1" t="s">
        <v>3772</v>
      </c>
      <c r="W800" s="1">
        <v>1</v>
      </c>
      <c r="X800" s="1">
        <v>1</v>
      </c>
      <c r="Y800" s="1">
        <v>1</v>
      </c>
      <c r="Z800" s="1">
        <v>1</v>
      </c>
      <c r="AA800" s="1">
        <v>1</v>
      </c>
      <c r="AB800" s="1">
        <v>1</v>
      </c>
      <c r="AC800" s="316">
        <v>1</v>
      </c>
      <c r="AD800" s="316">
        <v>1</v>
      </c>
      <c r="AE800" s="302">
        <f t="shared" si="32"/>
        <v>1</v>
      </c>
      <c r="AF800" s="310"/>
      <c r="AG800" s="17">
        <v>0</v>
      </c>
      <c r="AH800" s="310">
        <v>0.2</v>
      </c>
      <c r="AI800" s="310">
        <v>0.5</v>
      </c>
      <c r="AJ800" s="310">
        <v>0.5</v>
      </c>
      <c r="AK800" s="317">
        <v>0.5</v>
      </c>
      <c r="AL800" s="317">
        <v>0.5</v>
      </c>
      <c r="AM800" s="147">
        <f t="shared" si="31"/>
        <v>1</v>
      </c>
      <c r="AN800" s="283" t="s">
        <v>265</v>
      </c>
      <c r="AO800" s="18" t="s">
        <v>350</v>
      </c>
      <c r="AP800" s="283" t="s">
        <v>3773</v>
      </c>
    </row>
    <row r="801" spans="1:42" x14ac:dyDescent="0.3">
      <c r="A801" s="314" t="s">
        <v>1448</v>
      </c>
      <c r="B801" s="283" t="s">
        <v>3447</v>
      </c>
      <c r="C801" s="314" t="s">
        <v>3744</v>
      </c>
      <c r="D801" s="283" t="s">
        <v>3745</v>
      </c>
      <c r="E801" s="314" t="s">
        <v>3746</v>
      </c>
      <c r="F801" s="283" t="s">
        <v>3747</v>
      </c>
      <c r="G801" s="314" t="s">
        <v>3748</v>
      </c>
      <c r="H801" s="283" t="s">
        <v>3749</v>
      </c>
      <c r="K801" s="314" t="s">
        <v>3750</v>
      </c>
      <c r="L801" s="283" t="s">
        <v>3751</v>
      </c>
      <c r="M801" s="1" t="s">
        <v>3774</v>
      </c>
      <c r="N801" s="1">
        <v>0</v>
      </c>
      <c r="O801" s="1">
        <v>150</v>
      </c>
      <c r="P801" s="3">
        <v>150</v>
      </c>
      <c r="Q801" s="3">
        <v>150</v>
      </c>
      <c r="R801" s="3">
        <v>150</v>
      </c>
      <c r="S801" s="3">
        <v>150</v>
      </c>
      <c r="T801" s="283" t="s">
        <v>1216</v>
      </c>
      <c r="U801" s="283" t="s">
        <v>1218</v>
      </c>
      <c r="V801" s="1" t="s">
        <v>3775</v>
      </c>
      <c r="W801" s="1">
        <v>1</v>
      </c>
      <c r="X801" s="1">
        <v>1</v>
      </c>
      <c r="Y801" s="1">
        <v>1</v>
      </c>
      <c r="Z801" s="1">
        <v>1</v>
      </c>
      <c r="AA801" s="1">
        <v>1</v>
      </c>
      <c r="AB801" s="1">
        <v>0</v>
      </c>
      <c r="AC801" s="316">
        <v>1</v>
      </c>
      <c r="AD801" s="316">
        <v>1</v>
      </c>
      <c r="AE801" s="302">
        <f t="shared" si="32"/>
        <v>0.875</v>
      </c>
      <c r="AF801" s="310"/>
      <c r="AG801" s="17">
        <v>0</v>
      </c>
      <c r="AH801" s="310">
        <v>0.5</v>
      </c>
      <c r="AI801" s="310">
        <v>0.5</v>
      </c>
      <c r="AJ801" s="310">
        <v>0.5</v>
      </c>
      <c r="AK801" s="317">
        <v>0.5</v>
      </c>
      <c r="AL801" s="317">
        <v>0.5</v>
      </c>
      <c r="AM801" s="147">
        <f t="shared" si="31"/>
        <v>1</v>
      </c>
      <c r="AN801" s="283" t="s">
        <v>1216</v>
      </c>
      <c r="AO801" s="18" t="s">
        <v>1218</v>
      </c>
      <c r="AP801" s="283" t="s">
        <v>265</v>
      </c>
    </row>
    <row r="802" spans="1:42" x14ac:dyDescent="0.3">
      <c r="A802" s="314" t="s">
        <v>1448</v>
      </c>
      <c r="B802" s="283" t="s">
        <v>3447</v>
      </c>
      <c r="C802" s="314" t="s">
        <v>3744</v>
      </c>
      <c r="D802" s="283" t="s">
        <v>3745</v>
      </c>
      <c r="E802" s="314" t="s">
        <v>3746</v>
      </c>
      <c r="F802" s="283" t="s">
        <v>3747</v>
      </c>
      <c r="G802" s="314" t="s">
        <v>3748</v>
      </c>
      <c r="H802" s="283" t="s">
        <v>3749</v>
      </c>
      <c r="K802" s="314" t="s">
        <v>3776</v>
      </c>
      <c r="L802" s="283" t="s">
        <v>3777</v>
      </c>
      <c r="M802" s="1" t="s">
        <v>3778</v>
      </c>
      <c r="N802" s="1">
        <v>0</v>
      </c>
      <c r="O802" s="1">
        <v>2</v>
      </c>
      <c r="P802" s="3">
        <v>2</v>
      </c>
      <c r="Q802" s="3">
        <v>2</v>
      </c>
      <c r="R802" s="3">
        <v>2</v>
      </c>
      <c r="S802" s="3">
        <v>2</v>
      </c>
      <c r="T802" s="283" t="s">
        <v>265</v>
      </c>
      <c r="U802" s="283" t="s">
        <v>350</v>
      </c>
      <c r="V802" s="1" t="s">
        <v>3779</v>
      </c>
      <c r="W802" s="1">
        <v>1</v>
      </c>
      <c r="X802" s="1">
        <v>1</v>
      </c>
      <c r="Y802" s="1">
        <v>1</v>
      </c>
      <c r="Z802" s="1">
        <v>1</v>
      </c>
      <c r="AA802" s="1">
        <v>1</v>
      </c>
      <c r="AB802" s="1">
        <v>1</v>
      </c>
      <c r="AC802" s="316">
        <v>0</v>
      </c>
      <c r="AD802" s="316">
        <v>1</v>
      </c>
      <c r="AE802" s="302">
        <f t="shared" si="32"/>
        <v>0.875</v>
      </c>
      <c r="AF802" s="310"/>
      <c r="AG802" s="17">
        <v>0</v>
      </c>
      <c r="AH802" s="310">
        <v>0</v>
      </c>
      <c r="AI802" s="310">
        <v>0</v>
      </c>
      <c r="AJ802" s="310">
        <v>0</v>
      </c>
      <c r="AK802" s="317">
        <v>0.1</v>
      </c>
      <c r="AL802" s="317">
        <v>0</v>
      </c>
      <c r="AM802" s="147">
        <f t="shared" si="31"/>
        <v>0.1</v>
      </c>
      <c r="AN802" s="283" t="s">
        <v>265</v>
      </c>
      <c r="AO802" s="18" t="s">
        <v>350</v>
      </c>
      <c r="AP802" s="283" t="s">
        <v>921</v>
      </c>
    </row>
    <row r="803" spans="1:42" x14ac:dyDescent="0.3">
      <c r="A803" s="314" t="s">
        <v>1448</v>
      </c>
      <c r="B803" s="283" t="s">
        <v>3447</v>
      </c>
      <c r="C803" s="314" t="s">
        <v>3744</v>
      </c>
      <c r="D803" s="283" t="s">
        <v>3745</v>
      </c>
      <c r="E803" s="314" t="s">
        <v>3746</v>
      </c>
      <c r="F803" s="283" t="s">
        <v>3747</v>
      </c>
      <c r="G803" s="314" t="s">
        <v>3748</v>
      </c>
      <c r="H803" s="283" t="s">
        <v>3749</v>
      </c>
      <c r="K803" s="314" t="s">
        <v>3776</v>
      </c>
      <c r="L803" s="283" t="s">
        <v>3777</v>
      </c>
      <c r="M803" s="1" t="s">
        <v>3780</v>
      </c>
      <c r="N803" s="1">
        <v>0</v>
      </c>
      <c r="O803" s="1">
        <v>5</v>
      </c>
      <c r="P803" s="3">
        <v>5</v>
      </c>
      <c r="Q803" s="3">
        <v>5</v>
      </c>
      <c r="R803" s="3">
        <v>5</v>
      </c>
      <c r="S803" s="3">
        <v>5</v>
      </c>
      <c r="T803" s="283" t="s">
        <v>265</v>
      </c>
      <c r="U803" s="283" t="s">
        <v>350</v>
      </c>
      <c r="V803" s="1" t="s">
        <v>3781</v>
      </c>
      <c r="W803" s="1">
        <v>1</v>
      </c>
      <c r="X803" s="1">
        <v>1</v>
      </c>
      <c r="Y803" s="1">
        <v>1</v>
      </c>
      <c r="Z803" s="1">
        <v>1</v>
      </c>
      <c r="AA803" s="1">
        <v>1</v>
      </c>
      <c r="AB803" s="1">
        <v>1</v>
      </c>
      <c r="AC803" s="316">
        <v>0</v>
      </c>
      <c r="AD803" s="316">
        <v>1</v>
      </c>
      <c r="AE803" s="302">
        <f t="shared" si="32"/>
        <v>0.875</v>
      </c>
      <c r="AF803" s="310"/>
      <c r="AG803" s="17">
        <v>0</v>
      </c>
      <c r="AH803" s="310">
        <v>0</v>
      </c>
      <c r="AI803" s="310">
        <v>0</v>
      </c>
      <c r="AJ803" s="310">
        <v>0</v>
      </c>
      <c r="AK803" s="317">
        <v>0</v>
      </c>
      <c r="AL803" s="317">
        <v>0</v>
      </c>
      <c r="AM803" s="147">
        <f t="shared" si="31"/>
        <v>0</v>
      </c>
      <c r="AN803" s="283" t="s">
        <v>265</v>
      </c>
      <c r="AO803" s="18" t="s">
        <v>350</v>
      </c>
      <c r="AP803" s="283" t="s">
        <v>1216</v>
      </c>
    </row>
    <row r="804" spans="1:42" x14ac:dyDescent="0.3">
      <c r="A804" s="314" t="s">
        <v>1448</v>
      </c>
      <c r="B804" s="283" t="s">
        <v>3447</v>
      </c>
      <c r="C804" s="314" t="s">
        <v>3744</v>
      </c>
      <c r="D804" s="283" t="s">
        <v>3745</v>
      </c>
      <c r="E804" s="314" t="s">
        <v>3746</v>
      </c>
      <c r="F804" s="283" t="s">
        <v>3747</v>
      </c>
      <c r="G804" s="314" t="s">
        <v>3748</v>
      </c>
      <c r="H804" s="283" t="s">
        <v>3749</v>
      </c>
      <c r="K804" s="314" t="s">
        <v>3776</v>
      </c>
      <c r="L804" s="283" t="s">
        <v>3777</v>
      </c>
      <c r="M804" s="1" t="s">
        <v>2288</v>
      </c>
      <c r="N804" s="1">
        <v>0</v>
      </c>
      <c r="O804" s="1" t="s">
        <v>3782</v>
      </c>
      <c r="P804" s="3">
        <v>1</v>
      </c>
      <c r="R804" s="3" t="s">
        <v>3782</v>
      </c>
      <c r="S804" s="3" t="s">
        <v>3782</v>
      </c>
      <c r="T804" s="283" t="s">
        <v>265</v>
      </c>
      <c r="U804" s="283" t="s">
        <v>350</v>
      </c>
      <c r="V804" s="1" t="s">
        <v>3783</v>
      </c>
      <c r="W804" s="1">
        <v>1</v>
      </c>
      <c r="X804" s="1">
        <v>0</v>
      </c>
      <c r="Y804" s="1">
        <v>0</v>
      </c>
      <c r="Z804" s="1">
        <v>1</v>
      </c>
      <c r="AA804" s="1">
        <v>1</v>
      </c>
      <c r="AB804" s="1">
        <v>1</v>
      </c>
      <c r="AC804" s="316">
        <v>1</v>
      </c>
      <c r="AD804" s="316">
        <v>1</v>
      </c>
      <c r="AE804" s="302">
        <f t="shared" si="32"/>
        <v>0.75</v>
      </c>
      <c r="AF804" s="17"/>
      <c r="AG804" s="17">
        <v>0</v>
      </c>
      <c r="AH804" s="17">
        <v>0</v>
      </c>
      <c r="AI804" s="310">
        <v>1</v>
      </c>
      <c r="AJ804" s="17">
        <v>0</v>
      </c>
      <c r="AK804" s="153">
        <v>0.2</v>
      </c>
      <c r="AL804" s="154">
        <v>0</v>
      </c>
      <c r="AM804" s="147">
        <f t="shared" si="31"/>
        <v>0.2</v>
      </c>
      <c r="AN804" s="283" t="s">
        <v>265</v>
      </c>
      <c r="AO804" s="18" t="s">
        <v>350</v>
      </c>
      <c r="AP804" s="283" t="s">
        <v>321</v>
      </c>
    </row>
    <row r="805" spans="1:42" x14ac:dyDescent="0.3">
      <c r="A805" s="314" t="s">
        <v>1448</v>
      </c>
      <c r="B805" s="283" t="s">
        <v>3447</v>
      </c>
      <c r="C805" s="314" t="s">
        <v>3744</v>
      </c>
      <c r="D805" s="283" t="s">
        <v>3745</v>
      </c>
      <c r="E805" s="314" t="s">
        <v>3746</v>
      </c>
      <c r="F805" s="283" t="s">
        <v>3747</v>
      </c>
      <c r="G805" s="314" t="s">
        <v>3748</v>
      </c>
      <c r="H805" s="283" t="s">
        <v>3749</v>
      </c>
      <c r="K805" s="314" t="s">
        <v>3776</v>
      </c>
      <c r="L805" s="283" t="s">
        <v>3777</v>
      </c>
      <c r="M805" s="1" t="s">
        <v>3784</v>
      </c>
      <c r="N805" s="1" t="s">
        <v>271</v>
      </c>
      <c r="O805" s="1">
        <v>100</v>
      </c>
      <c r="P805" s="3">
        <v>100</v>
      </c>
      <c r="Q805" s="3">
        <v>100</v>
      </c>
      <c r="R805" s="3">
        <v>100</v>
      </c>
      <c r="S805" s="3">
        <v>100</v>
      </c>
      <c r="T805" s="283" t="s">
        <v>265</v>
      </c>
      <c r="U805" s="283" t="s">
        <v>350</v>
      </c>
      <c r="V805" s="1" t="s">
        <v>3785</v>
      </c>
      <c r="W805" s="1">
        <v>1</v>
      </c>
      <c r="X805" s="1">
        <v>1</v>
      </c>
      <c r="Y805" s="1">
        <v>1</v>
      </c>
      <c r="Z805" s="1">
        <v>1</v>
      </c>
      <c r="AA805" s="1">
        <v>1</v>
      </c>
      <c r="AB805" s="1">
        <v>1</v>
      </c>
      <c r="AC805" s="316">
        <v>1</v>
      </c>
      <c r="AD805" s="316">
        <v>1</v>
      </c>
      <c r="AE805" s="302">
        <f t="shared" si="32"/>
        <v>1</v>
      </c>
      <c r="AF805" s="310"/>
      <c r="AG805" s="17">
        <v>0</v>
      </c>
      <c r="AH805" s="310">
        <v>1</v>
      </c>
      <c r="AI805" s="310">
        <v>1</v>
      </c>
      <c r="AJ805" s="310">
        <v>1</v>
      </c>
      <c r="AK805" s="317">
        <v>1</v>
      </c>
      <c r="AL805" s="317" t="s">
        <v>3554</v>
      </c>
      <c r="AM805" s="147">
        <f t="shared" si="31"/>
        <v>1</v>
      </c>
      <c r="AN805" s="283" t="s">
        <v>265</v>
      </c>
      <c r="AO805" s="18" t="s">
        <v>350</v>
      </c>
      <c r="AP805" s="283" t="s">
        <v>3743</v>
      </c>
    </row>
    <row r="806" spans="1:42" x14ac:dyDescent="0.3">
      <c r="A806" s="314" t="s">
        <v>1448</v>
      </c>
      <c r="B806" s="283" t="s">
        <v>3447</v>
      </c>
      <c r="C806" s="314" t="s">
        <v>3744</v>
      </c>
      <c r="D806" s="283" t="s">
        <v>3745</v>
      </c>
      <c r="E806" s="314" t="s">
        <v>3746</v>
      </c>
      <c r="F806" s="283" t="s">
        <v>3747</v>
      </c>
      <c r="G806" s="314" t="s">
        <v>3748</v>
      </c>
      <c r="H806" s="283" t="s">
        <v>3749</v>
      </c>
      <c r="K806" s="318" t="s">
        <v>3786</v>
      </c>
      <c r="L806" s="283" t="s">
        <v>3787</v>
      </c>
      <c r="M806" s="1" t="s">
        <v>3788</v>
      </c>
      <c r="N806" s="1"/>
      <c r="O806" s="1">
        <v>3700</v>
      </c>
      <c r="P806" s="3">
        <v>4200</v>
      </c>
      <c r="Q806" s="3">
        <v>4700</v>
      </c>
      <c r="R806" s="3">
        <v>5200</v>
      </c>
      <c r="S806" s="3">
        <v>5700</v>
      </c>
      <c r="T806" s="283" t="s">
        <v>321</v>
      </c>
      <c r="U806" s="283" t="s">
        <v>1066</v>
      </c>
      <c r="V806" s="1" t="s">
        <v>3789</v>
      </c>
      <c r="W806" s="1">
        <v>1</v>
      </c>
      <c r="X806" s="1">
        <v>1</v>
      </c>
      <c r="Y806" s="1">
        <v>1</v>
      </c>
      <c r="Z806" s="1">
        <v>1</v>
      </c>
      <c r="AA806" s="1">
        <v>1</v>
      </c>
      <c r="AB806" s="1">
        <v>1</v>
      </c>
      <c r="AC806" s="316">
        <v>1</v>
      </c>
      <c r="AD806" s="316">
        <v>1</v>
      </c>
      <c r="AE806" s="302">
        <f t="shared" si="32"/>
        <v>1</v>
      </c>
      <c r="AF806" s="310"/>
      <c r="AG806" s="17">
        <v>0</v>
      </c>
      <c r="AH806" s="310">
        <v>0</v>
      </c>
      <c r="AI806" s="310">
        <v>0</v>
      </c>
      <c r="AJ806" s="310">
        <v>0</v>
      </c>
      <c r="AK806" s="317">
        <v>0.5</v>
      </c>
      <c r="AL806" s="317">
        <v>0</v>
      </c>
      <c r="AM806" s="147">
        <f t="shared" si="31"/>
        <v>0.5</v>
      </c>
      <c r="AN806" s="283" t="s">
        <v>321</v>
      </c>
      <c r="AO806" s="18" t="s">
        <v>1066</v>
      </c>
      <c r="AP806" s="283" t="s">
        <v>265</v>
      </c>
    </row>
    <row r="807" spans="1:42" x14ac:dyDescent="0.3">
      <c r="A807" s="314" t="s">
        <v>1448</v>
      </c>
      <c r="B807" s="283" t="s">
        <v>3447</v>
      </c>
      <c r="C807" s="314" t="s">
        <v>3744</v>
      </c>
      <c r="D807" s="283" t="s">
        <v>3745</v>
      </c>
      <c r="E807" s="314" t="s">
        <v>3746</v>
      </c>
      <c r="F807" s="283" t="s">
        <v>3747</v>
      </c>
      <c r="G807" s="314" t="s">
        <v>3748</v>
      </c>
      <c r="H807" s="283" t="s">
        <v>3749</v>
      </c>
      <c r="K807" s="318" t="s">
        <v>3786</v>
      </c>
      <c r="L807" s="283" t="s">
        <v>3787</v>
      </c>
      <c r="M807" s="1" t="s">
        <v>3790</v>
      </c>
      <c r="N807" s="1"/>
      <c r="O807" s="1">
        <v>500</v>
      </c>
      <c r="P807" s="3">
        <v>500</v>
      </c>
      <c r="Q807" s="3">
        <v>500</v>
      </c>
      <c r="R807" s="3">
        <v>500</v>
      </c>
      <c r="S807" s="3">
        <v>500</v>
      </c>
      <c r="T807" s="283" t="s">
        <v>265</v>
      </c>
      <c r="U807" s="283" t="s">
        <v>350</v>
      </c>
      <c r="V807" s="1" t="s">
        <v>3791</v>
      </c>
      <c r="W807" s="1">
        <v>1</v>
      </c>
      <c r="X807" s="1">
        <v>1</v>
      </c>
      <c r="Y807" s="1">
        <v>1</v>
      </c>
      <c r="Z807" s="1">
        <v>1</v>
      </c>
      <c r="AA807" s="1">
        <v>1</v>
      </c>
      <c r="AB807" s="1">
        <v>1</v>
      </c>
      <c r="AC807" s="316">
        <v>1</v>
      </c>
      <c r="AD807" s="316">
        <v>1</v>
      </c>
      <c r="AE807" s="302">
        <f t="shared" si="32"/>
        <v>1</v>
      </c>
      <c r="AF807" s="310"/>
      <c r="AG807" s="17">
        <v>0</v>
      </c>
      <c r="AH807" s="310">
        <v>0</v>
      </c>
      <c r="AI807" s="310">
        <v>0</v>
      </c>
      <c r="AJ807" s="310">
        <v>0</v>
      </c>
      <c r="AK807" s="317">
        <v>1</v>
      </c>
      <c r="AL807" s="317">
        <v>0</v>
      </c>
      <c r="AM807" s="147">
        <f t="shared" si="31"/>
        <v>1</v>
      </c>
      <c r="AN807" s="283" t="s">
        <v>265</v>
      </c>
      <c r="AO807" s="18" t="s">
        <v>350</v>
      </c>
      <c r="AP807" s="283" t="s">
        <v>321</v>
      </c>
    </row>
    <row r="808" spans="1:42" x14ac:dyDescent="0.3">
      <c r="A808" s="314" t="s">
        <v>1448</v>
      </c>
      <c r="B808" s="283" t="s">
        <v>3447</v>
      </c>
      <c r="C808" s="314" t="s">
        <v>3744</v>
      </c>
      <c r="D808" s="283" t="s">
        <v>3745</v>
      </c>
      <c r="E808" s="314" t="s">
        <v>3746</v>
      </c>
      <c r="F808" s="283" t="s">
        <v>3747</v>
      </c>
      <c r="G808" s="314" t="s">
        <v>3748</v>
      </c>
      <c r="H808" s="283" t="s">
        <v>3749</v>
      </c>
      <c r="K808" s="318" t="s">
        <v>3786</v>
      </c>
      <c r="L808" s="283" t="s">
        <v>3787</v>
      </c>
      <c r="M808" s="1" t="s">
        <v>3792</v>
      </c>
      <c r="N808" s="1"/>
      <c r="O808" s="1">
        <v>200</v>
      </c>
      <c r="P808" s="3">
        <v>200</v>
      </c>
      <c r="Q808" s="3">
        <v>200</v>
      </c>
      <c r="R808" s="3">
        <v>200</v>
      </c>
      <c r="S808" s="3">
        <v>200</v>
      </c>
      <c r="T808" s="283" t="s">
        <v>265</v>
      </c>
      <c r="U808" s="283" t="s">
        <v>350</v>
      </c>
      <c r="V808" s="1" t="s">
        <v>3793</v>
      </c>
      <c r="W808" s="1">
        <v>1</v>
      </c>
      <c r="X808" s="1">
        <v>1</v>
      </c>
      <c r="Y808" s="1">
        <v>1</v>
      </c>
      <c r="Z808" s="1">
        <v>1</v>
      </c>
      <c r="AA808" s="1">
        <v>1</v>
      </c>
      <c r="AB808" s="1">
        <v>1</v>
      </c>
      <c r="AC808" s="316">
        <v>1</v>
      </c>
      <c r="AD808" s="316">
        <v>1</v>
      </c>
      <c r="AE808" s="302">
        <f t="shared" si="32"/>
        <v>1</v>
      </c>
      <c r="AF808" s="310"/>
      <c r="AG808" s="17">
        <v>0</v>
      </c>
      <c r="AH808" s="310">
        <v>2</v>
      </c>
      <c r="AI808" s="310">
        <v>2</v>
      </c>
      <c r="AJ808" s="310">
        <v>2</v>
      </c>
      <c r="AK808" s="317">
        <v>2</v>
      </c>
      <c r="AL808" s="317">
        <v>2</v>
      </c>
      <c r="AM808" s="147">
        <f t="shared" si="31"/>
        <v>4</v>
      </c>
      <c r="AN808" s="18" t="s">
        <v>255</v>
      </c>
      <c r="AO808" s="18" t="s">
        <v>1045</v>
      </c>
      <c r="AP808" s="283" t="s">
        <v>3635</v>
      </c>
    </row>
    <row r="809" spans="1:42" x14ac:dyDescent="0.3">
      <c r="A809" s="314" t="s">
        <v>1448</v>
      </c>
      <c r="B809" s="283" t="s">
        <v>3447</v>
      </c>
      <c r="C809" s="314" t="s">
        <v>3744</v>
      </c>
      <c r="D809" s="283" t="s">
        <v>3745</v>
      </c>
      <c r="E809" s="314" t="s">
        <v>3746</v>
      </c>
      <c r="F809" s="283" t="s">
        <v>3747</v>
      </c>
      <c r="G809" s="314" t="s">
        <v>3748</v>
      </c>
      <c r="H809" s="283" t="s">
        <v>3749</v>
      </c>
      <c r="K809" s="318" t="s">
        <v>3786</v>
      </c>
      <c r="L809" s="283" t="s">
        <v>3787</v>
      </c>
      <c r="M809" s="1" t="s">
        <v>3794</v>
      </c>
      <c r="N809" s="1"/>
      <c r="O809" s="1">
        <v>15000</v>
      </c>
      <c r="P809" s="3">
        <v>20000</v>
      </c>
      <c r="Q809" s="3">
        <v>25000</v>
      </c>
      <c r="R809" s="3">
        <v>30000</v>
      </c>
      <c r="S809" s="3">
        <v>35000</v>
      </c>
      <c r="T809" s="283" t="s">
        <v>321</v>
      </c>
      <c r="U809" s="283" t="s">
        <v>1066</v>
      </c>
      <c r="V809" s="1" t="s">
        <v>3795</v>
      </c>
      <c r="W809" s="1">
        <v>1</v>
      </c>
      <c r="X809" s="1">
        <v>1</v>
      </c>
      <c r="Y809" s="1">
        <v>1</v>
      </c>
      <c r="Z809" s="1">
        <v>1</v>
      </c>
      <c r="AA809" s="1">
        <v>1</v>
      </c>
      <c r="AB809" s="1">
        <v>1</v>
      </c>
      <c r="AC809" s="316">
        <v>1</v>
      </c>
      <c r="AD809" s="316">
        <v>1</v>
      </c>
      <c r="AE809" s="302">
        <f t="shared" si="32"/>
        <v>1</v>
      </c>
      <c r="AF809" s="310"/>
      <c r="AG809" s="17">
        <v>0</v>
      </c>
      <c r="AH809" s="310">
        <v>0</v>
      </c>
      <c r="AI809" s="310">
        <v>0</v>
      </c>
      <c r="AJ809" s="310">
        <v>0</v>
      </c>
      <c r="AK809" s="317">
        <v>0</v>
      </c>
      <c r="AL809" s="317">
        <v>0</v>
      </c>
      <c r="AM809" s="147">
        <f t="shared" si="31"/>
        <v>0</v>
      </c>
      <c r="AN809" s="283" t="s">
        <v>321</v>
      </c>
      <c r="AO809" s="18" t="s">
        <v>1066</v>
      </c>
      <c r="AP809" s="283" t="s">
        <v>265</v>
      </c>
    </row>
    <row r="810" spans="1:42" x14ac:dyDescent="0.3">
      <c r="A810" s="314" t="s">
        <v>1448</v>
      </c>
      <c r="B810" s="283" t="s">
        <v>3447</v>
      </c>
      <c r="C810" s="314" t="s">
        <v>3744</v>
      </c>
      <c r="D810" s="283" t="s">
        <v>3745</v>
      </c>
      <c r="E810" s="314" t="s">
        <v>3746</v>
      </c>
      <c r="F810" s="283" t="s">
        <v>3747</v>
      </c>
      <c r="G810" s="314" t="s">
        <v>3748</v>
      </c>
      <c r="H810" s="283" t="s">
        <v>3749</v>
      </c>
      <c r="K810" s="318" t="s">
        <v>3786</v>
      </c>
      <c r="L810" s="283" t="s">
        <v>3787</v>
      </c>
      <c r="M810" s="1" t="s">
        <v>3796</v>
      </c>
      <c r="N810" s="1"/>
      <c r="O810" s="1">
        <v>8000</v>
      </c>
      <c r="P810" s="3">
        <v>9000</v>
      </c>
      <c r="Q810" s="3">
        <v>10000</v>
      </c>
      <c r="R810" s="3">
        <v>11000</v>
      </c>
      <c r="S810" s="3">
        <v>12000</v>
      </c>
      <c r="T810" s="283" t="s">
        <v>321</v>
      </c>
      <c r="U810" s="283" t="s">
        <v>1066</v>
      </c>
      <c r="V810" s="1" t="s">
        <v>3797</v>
      </c>
      <c r="W810" s="1">
        <v>1</v>
      </c>
      <c r="X810" s="1">
        <v>1</v>
      </c>
      <c r="Y810" s="1">
        <v>1</v>
      </c>
      <c r="Z810" s="1">
        <v>1</v>
      </c>
      <c r="AA810" s="1">
        <v>1</v>
      </c>
      <c r="AB810" s="1">
        <v>1</v>
      </c>
      <c r="AC810" s="316">
        <v>1</v>
      </c>
      <c r="AD810" s="316">
        <v>1</v>
      </c>
      <c r="AE810" s="302">
        <f t="shared" si="32"/>
        <v>1</v>
      </c>
      <c r="AF810" s="310"/>
      <c r="AG810" s="17">
        <v>0</v>
      </c>
      <c r="AH810" s="310">
        <v>0</v>
      </c>
      <c r="AI810" s="310">
        <v>0</v>
      </c>
      <c r="AJ810" s="310">
        <v>0</v>
      </c>
      <c r="AK810" s="317">
        <v>1.5</v>
      </c>
      <c r="AL810" s="317">
        <v>0</v>
      </c>
      <c r="AM810" s="147">
        <f t="shared" si="31"/>
        <v>1.5</v>
      </c>
      <c r="AN810" s="283" t="s">
        <v>321</v>
      </c>
      <c r="AO810" s="18" t="s">
        <v>1066</v>
      </c>
      <c r="AP810" s="283" t="s">
        <v>3798</v>
      </c>
    </row>
    <row r="811" spans="1:42" x14ac:dyDescent="0.3">
      <c r="A811" s="314" t="s">
        <v>1448</v>
      </c>
      <c r="B811" s="283" t="s">
        <v>3447</v>
      </c>
      <c r="C811" s="314" t="s">
        <v>3744</v>
      </c>
      <c r="D811" s="283" t="s">
        <v>3745</v>
      </c>
      <c r="E811" s="314" t="s">
        <v>3746</v>
      </c>
      <c r="F811" s="283" t="s">
        <v>3747</v>
      </c>
      <c r="G811" s="314" t="s">
        <v>3748</v>
      </c>
      <c r="H811" s="283" t="s">
        <v>3749</v>
      </c>
      <c r="K811" s="318" t="s">
        <v>3786</v>
      </c>
      <c r="L811" s="283" t="s">
        <v>3787</v>
      </c>
      <c r="M811" s="1" t="s">
        <v>3799</v>
      </c>
      <c r="N811" s="1"/>
      <c r="O811" s="1">
        <v>190000</v>
      </c>
      <c r="P811" s="3">
        <v>195000</v>
      </c>
      <c r="Q811" s="3">
        <v>200000</v>
      </c>
      <c r="R811" s="3">
        <v>205000</v>
      </c>
      <c r="S811" s="3">
        <v>210000</v>
      </c>
      <c r="T811" s="283" t="s">
        <v>321</v>
      </c>
      <c r="U811" s="283" t="s">
        <v>1066</v>
      </c>
      <c r="V811" s="1" t="s">
        <v>3800</v>
      </c>
      <c r="W811" s="1">
        <v>1</v>
      </c>
      <c r="X811" s="1">
        <v>1</v>
      </c>
      <c r="Y811" s="1">
        <v>1</v>
      </c>
      <c r="Z811" s="1">
        <v>1</v>
      </c>
      <c r="AA811" s="1">
        <v>1</v>
      </c>
      <c r="AB811" s="1">
        <v>1</v>
      </c>
      <c r="AC811" s="316">
        <v>1</v>
      </c>
      <c r="AD811" s="316">
        <v>1</v>
      </c>
      <c r="AE811" s="302">
        <f t="shared" si="32"/>
        <v>1</v>
      </c>
      <c r="AF811" s="310"/>
      <c r="AG811" s="17">
        <v>0</v>
      </c>
      <c r="AH811" s="310">
        <v>2</v>
      </c>
      <c r="AI811" s="310">
        <v>2</v>
      </c>
      <c r="AJ811" s="310">
        <v>2</v>
      </c>
      <c r="AK811" s="317">
        <v>2</v>
      </c>
      <c r="AL811" s="317">
        <v>2</v>
      </c>
      <c r="AM811" s="147">
        <f t="shared" si="31"/>
        <v>4</v>
      </c>
      <c r="AN811" s="283" t="s">
        <v>321</v>
      </c>
      <c r="AO811" s="18" t="s">
        <v>1066</v>
      </c>
      <c r="AP811" s="283" t="s">
        <v>3801</v>
      </c>
    </row>
    <row r="812" spans="1:42" x14ac:dyDescent="0.3">
      <c r="A812" s="314" t="s">
        <v>1448</v>
      </c>
      <c r="B812" s="283" t="s">
        <v>3447</v>
      </c>
      <c r="C812" s="314" t="s">
        <v>3744</v>
      </c>
      <c r="D812" s="283" t="s">
        <v>3745</v>
      </c>
      <c r="E812" s="314" t="s">
        <v>3746</v>
      </c>
      <c r="F812" s="283" t="s">
        <v>3747</v>
      </c>
      <c r="G812" s="314" t="s">
        <v>3748</v>
      </c>
      <c r="H812" s="283" t="s">
        <v>3749</v>
      </c>
      <c r="K812" s="318" t="s">
        <v>3786</v>
      </c>
      <c r="L812" s="283" t="s">
        <v>3787</v>
      </c>
      <c r="M812" s="1" t="s">
        <v>3802</v>
      </c>
      <c r="N812" s="1"/>
      <c r="P812" s="3">
        <v>1</v>
      </c>
      <c r="Q812" s="3">
        <v>1</v>
      </c>
      <c r="R812" s="3">
        <v>1</v>
      </c>
      <c r="S812" s="3">
        <v>1</v>
      </c>
      <c r="T812" s="283" t="s">
        <v>321</v>
      </c>
      <c r="U812" s="283" t="s">
        <v>1066</v>
      </c>
      <c r="V812" s="1" t="s">
        <v>3803</v>
      </c>
      <c r="W812" s="1">
        <v>1</v>
      </c>
      <c r="X812" s="1">
        <v>0</v>
      </c>
      <c r="Y812" s="1">
        <v>0</v>
      </c>
      <c r="Z812" s="1">
        <v>1</v>
      </c>
      <c r="AA812" s="1">
        <v>0</v>
      </c>
      <c r="AB812" s="1">
        <v>0</v>
      </c>
      <c r="AC812" s="316">
        <v>1</v>
      </c>
      <c r="AD812" s="316">
        <v>0</v>
      </c>
      <c r="AE812" s="302">
        <f t="shared" si="32"/>
        <v>0.375</v>
      </c>
      <c r="AF812" s="17"/>
      <c r="AG812" s="17">
        <v>0</v>
      </c>
      <c r="AH812" s="17">
        <v>0</v>
      </c>
      <c r="AI812" s="310">
        <v>0.5</v>
      </c>
      <c r="AJ812" s="310">
        <v>0.5</v>
      </c>
      <c r="AK812" s="317">
        <v>0</v>
      </c>
      <c r="AL812" s="317"/>
      <c r="AM812" s="147">
        <f t="shared" si="31"/>
        <v>0</v>
      </c>
      <c r="AN812" s="283" t="s">
        <v>321</v>
      </c>
      <c r="AO812" s="18" t="s">
        <v>1066</v>
      </c>
      <c r="AP812" s="283" t="s">
        <v>265</v>
      </c>
    </row>
    <row r="813" spans="1:42" x14ac:dyDescent="0.3">
      <c r="A813" s="314" t="s">
        <v>1448</v>
      </c>
      <c r="B813" s="283" t="s">
        <v>3447</v>
      </c>
      <c r="C813" s="314" t="s">
        <v>3744</v>
      </c>
      <c r="D813" s="283" t="s">
        <v>3745</v>
      </c>
      <c r="E813" s="314" t="s">
        <v>3746</v>
      </c>
      <c r="F813" s="283" t="s">
        <v>3747</v>
      </c>
      <c r="G813" s="314" t="s">
        <v>3804</v>
      </c>
      <c r="H813" s="283" t="s">
        <v>3805</v>
      </c>
      <c r="K813" s="314" t="s">
        <v>3806</v>
      </c>
      <c r="L813" s="283" t="s">
        <v>3807</v>
      </c>
      <c r="M813" s="1" t="s">
        <v>3808</v>
      </c>
      <c r="N813" s="1"/>
      <c r="O813" s="1">
        <v>10</v>
      </c>
      <c r="P813" s="3">
        <v>20</v>
      </c>
      <c r="Q813" s="3">
        <v>30</v>
      </c>
      <c r="R813" s="3">
        <v>40</v>
      </c>
      <c r="S813" s="3">
        <v>40</v>
      </c>
      <c r="T813" s="283" t="s">
        <v>265</v>
      </c>
      <c r="U813" s="283" t="s">
        <v>350</v>
      </c>
      <c r="V813" s="1" t="s">
        <v>3809</v>
      </c>
      <c r="W813" s="1">
        <v>1</v>
      </c>
      <c r="X813" s="1">
        <v>1</v>
      </c>
      <c r="Y813" s="1">
        <v>0</v>
      </c>
      <c r="Z813" s="1">
        <v>1</v>
      </c>
      <c r="AA813" s="1">
        <v>1</v>
      </c>
      <c r="AB813" s="1">
        <v>1</v>
      </c>
      <c r="AC813" s="316">
        <v>0</v>
      </c>
      <c r="AD813" s="316">
        <v>0</v>
      </c>
      <c r="AE813" s="302">
        <f t="shared" si="32"/>
        <v>0.625</v>
      </c>
      <c r="AF813" s="310"/>
      <c r="AG813" s="17">
        <v>0</v>
      </c>
      <c r="AH813" s="310">
        <v>1.5</v>
      </c>
      <c r="AI813" s="310">
        <v>1.5</v>
      </c>
      <c r="AJ813" s="310">
        <v>1.5</v>
      </c>
      <c r="AK813" s="317">
        <v>0.5</v>
      </c>
      <c r="AL813" s="317"/>
      <c r="AM813" s="147">
        <f t="shared" si="31"/>
        <v>0.5</v>
      </c>
      <c r="AN813" s="283" t="s">
        <v>265</v>
      </c>
      <c r="AO813" s="18" t="s">
        <v>350</v>
      </c>
      <c r="AP813" s="283" t="s">
        <v>3810</v>
      </c>
    </row>
    <row r="814" spans="1:42" x14ac:dyDescent="0.3">
      <c r="A814" s="314" t="s">
        <v>1448</v>
      </c>
      <c r="B814" s="283" t="s">
        <v>3447</v>
      </c>
      <c r="C814" s="314" t="s">
        <v>3744</v>
      </c>
      <c r="D814" s="283" t="s">
        <v>3745</v>
      </c>
      <c r="E814" s="314" t="s">
        <v>3746</v>
      </c>
      <c r="F814" s="283" t="s">
        <v>3747</v>
      </c>
      <c r="G814" s="314" t="s">
        <v>3811</v>
      </c>
      <c r="H814" s="283" t="s">
        <v>3812</v>
      </c>
      <c r="K814" s="314" t="s">
        <v>3813</v>
      </c>
      <c r="L814" s="283" t="s">
        <v>3814</v>
      </c>
      <c r="M814" s="1" t="s">
        <v>3815</v>
      </c>
      <c r="N814" s="1" t="s">
        <v>271</v>
      </c>
      <c r="O814" s="1" t="s">
        <v>271</v>
      </c>
      <c r="P814" s="3">
        <v>1</v>
      </c>
      <c r="Q814" s="3" t="s">
        <v>271</v>
      </c>
      <c r="R814" s="3" t="s">
        <v>271</v>
      </c>
      <c r="S814" s="3" t="s">
        <v>271</v>
      </c>
      <c r="T814" s="283" t="s">
        <v>265</v>
      </c>
      <c r="U814" s="283" t="s">
        <v>350</v>
      </c>
      <c r="V814" s="1" t="s">
        <v>3816</v>
      </c>
      <c r="W814" s="1">
        <v>1</v>
      </c>
      <c r="X814" s="1">
        <v>1</v>
      </c>
      <c r="Y814" s="1">
        <v>1</v>
      </c>
      <c r="Z814" s="1">
        <v>1</v>
      </c>
      <c r="AA814" s="1">
        <v>1</v>
      </c>
      <c r="AB814" s="1">
        <v>1</v>
      </c>
      <c r="AC814" s="316">
        <v>1</v>
      </c>
      <c r="AD814" s="316">
        <v>1</v>
      </c>
      <c r="AE814" s="302">
        <f t="shared" si="32"/>
        <v>1</v>
      </c>
      <c r="AF814" s="17"/>
      <c r="AG814" s="17">
        <v>0</v>
      </c>
      <c r="AH814" s="17">
        <v>0</v>
      </c>
      <c r="AI814" s="310">
        <v>1</v>
      </c>
      <c r="AJ814" s="17">
        <v>0</v>
      </c>
      <c r="AK814" s="153"/>
      <c r="AL814" s="154">
        <v>0</v>
      </c>
      <c r="AM814" s="147">
        <f t="shared" si="31"/>
        <v>0</v>
      </c>
      <c r="AN814" s="283" t="s">
        <v>265</v>
      </c>
      <c r="AO814" s="18" t="s">
        <v>350</v>
      </c>
      <c r="AP814" s="283" t="s">
        <v>3817</v>
      </c>
    </row>
    <row r="815" spans="1:42" x14ac:dyDescent="0.3">
      <c r="A815" s="314" t="s">
        <v>1448</v>
      </c>
      <c r="B815" s="283" t="s">
        <v>3447</v>
      </c>
      <c r="C815" s="314" t="s">
        <v>3744</v>
      </c>
      <c r="D815" s="283" t="s">
        <v>3745</v>
      </c>
      <c r="E815" s="314" t="s">
        <v>3746</v>
      </c>
      <c r="F815" s="283" t="s">
        <v>3747</v>
      </c>
      <c r="G815" s="314" t="s">
        <v>3811</v>
      </c>
      <c r="H815" s="283" t="s">
        <v>3812</v>
      </c>
      <c r="K815" s="314" t="s">
        <v>3813</v>
      </c>
      <c r="L815" s="283" t="s">
        <v>3814</v>
      </c>
      <c r="M815" s="1" t="s">
        <v>3818</v>
      </c>
      <c r="N815" s="1"/>
      <c r="O815" s="167"/>
      <c r="P815" s="211">
        <v>1</v>
      </c>
      <c r="Q815" s="211">
        <v>1</v>
      </c>
      <c r="R815" s="211"/>
      <c r="S815" s="211"/>
      <c r="T815" s="212" t="s">
        <v>1216</v>
      </c>
      <c r="U815" s="283" t="s">
        <v>1218</v>
      </c>
      <c r="V815" s="1" t="s">
        <v>3819</v>
      </c>
      <c r="W815" s="1">
        <v>1</v>
      </c>
      <c r="X815" s="1">
        <v>1</v>
      </c>
      <c r="Y815" s="1">
        <v>1</v>
      </c>
      <c r="Z815" s="1">
        <v>1</v>
      </c>
      <c r="AA815" s="1">
        <v>1</v>
      </c>
      <c r="AB815" s="1">
        <v>1</v>
      </c>
      <c r="AC815" s="316">
        <v>1</v>
      </c>
      <c r="AD815" s="316">
        <v>1</v>
      </c>
      <c r="AE815" s="302">
        <f t="shared" si="32"/>
        <v>1</v>
      </c>
      <c r="AF815" s="17"/>
      <c r="AG815" s="17">
        <v>0</v>
      </c>
      <c r="AH815" s="17">
        <v>0</v>
      </c>
      <c r="AI815" s="310">
        <v>0.2</v>
      </c>
      <c r="AJ815" s="310">
        <v>0.2</v>
      </c>
      <c r="AK815" s="153">
        <v>0.2</v>
      </c>
      <c r="AL815" s="154">
        <v>0</v>
      </c>
      <c r="AM815" s="147">
        <f t="shared" si="31"/>
        <v>0.2</v>
      </c>
      <c r="AN815" s="283" t="s">
        <v>1216</v>
      </c>
      <c r="AO815" s="18" t="s">
        <v>1218</v>
      </c>
      <c r="AP815" s="283" t="s">
        <v>3820</v>
      </c>
    </row>
    <row r="816" spans="1:42" x14ac:dyDescent="0.3">
      <c r="A816" s="314" t="s">
        <v>1448</v>
      </c>
      <c r="B816" s="283" t="s">
        <v>3447</v>
      </c>
      <c r="C816" s="314" t="s">
        <v>3744</v>
      </c>
      <c r="D816" s="283" t="s">
        <v>3745</v>
      </c>
      <c r="E816" s="314" t="s">
        <v>3746</v>
      </c>
      <c r="F816" s="283" t="s">
        <v>3747</v>
      </c>
      <c r="G816" s="314" t="s">
        <v>3811</v>
      </c>
      <c r="H816" s="283" t="s">
        <v>3812</v>
      </c>
      <c r="K816" s="314" t="s">
        <v>3813</v>
      </c>
      <c r="L816" s="283" t="s">
        <v>3814</v>
      </c>
      <c r="M816" s="1" t="s">
        <v>3821</v>
      </c>
      <c r="N816" s="1"/>
      <c r="O816" s="167">
        <v>30</v>
      </c>
      <c r="P816" s="211">
        <v>30</v>
      </c>
      <c r="Q816" s="211">
        <v>60</v>
      </c>
      <c r="R816" s="211">
        <v>60</v>
      </c>
      <c r="S816" s="211">
        <v>90</v>
      </c>
      <c r="T816" s="283" t="s">
        <v>265</v>
      </c>
      <c r="U816" s="283" t="s">
        <v>350</v>
      </c>
      <c r="V816" s="1" t="s">
        <v>3822</v>
      </c>
      <c r="W816" s="1">
        <v>1</v>
      </c>
      <c r="X816" s="1">
        <v>1</v>
      </c>
      <c r="Y816" s="1">
        <v>1</v>
      </c>
      <c r="Z816" s="1">
        <v>0</v>
      </c>
      <c r="AA816" s="1">
        <v>1</v>
      </c>
      <c r="AB816" s="1">
        <v>1</v>
      </c>
      <c r="AC816" s="316">
        <v>1</v>
      </c>
      <c r="AD816" s="316">
        <v>1</v>
      </c>
      <c r="AE816" s="302">
        <f t="shared" si="32"/>
        <v>0.875</v>
      </c>
      <c r="AF816" s="310"/>
      <c r="AG816" s="17">
        <v>0</v>
      </c>
      <c r="AH816" s="310">
        <v>1</v>
      </c>
      <c r="AI816" s="310">
        <v>1</v>
      </c>
      <c r="AJ816" s="310">
        <v>1</v>
      </c>
      <c r="AK816" s="317">
        <v>1</v>
      </c>
      <c r="AL816" s="317">
        <v>1</v>
      </c>
      <c r="AM816" s="147">
        <f t="shared" si="31"/>
        <v>2</v>
      </c>
      <c r="AN816" s="283" t="s">
        <v>265</v>
      </c>
      <c r="AO816" s="18" t="s">
        <v>350</v>
      </c>
      <c r="AP816" s="283" t="s">
        <v>3817</v>
      </c>
    </row>
    <row r="817" spans="1:42" x14ac:dyDescent="0.3">
      <c r="A817" s="314" t="s">
        <v>1448</v>
      </c>
      <c r="B817" s="283" t="s">
        <v>3447</v>
      </c>
      <c r="C817" s="314" t="s">
        <v>3744</v>
      </c>
      <c r="D817" s="283" t="s">
        <v>3745</v>
      </c>
      <c r="E817" s="314" t="s">
        <v>3746</v>
      </c>
      <c r="F817" s="283" t="s">
        <v>3747</v>
      </c>
      <c r="G817" s="314" t="s">
        <v>3823</v>
      </c>
      <c r="H817" s="283" t="s">
        <v>3824</v>
      </c>
      <c r="K817" s="314" t="s">
        <v>3825</v>
      </c>
      <c r="L817" s="283" t="s">
        <v>3826</v>
      </c>
      <c r="M817" s="1" t="s">
        <v>3827</v>
      </c>
      <c r="N817" s="1"/>
      <c r="O817" s="1">
        <v>1</v>
      </c>
      <c r="P817" s="3">
        <v>1</v>
      </c>
      <c r="T817" s="283" t="s">
        <v>265</v>
      </c>
      <c r="U817" s="283" t="s">
        <v>350</v>
      </c>
      <c r="V817" s="1" t="s">
        <v>3828</v>
      </c>
      <c r="W817" s="1">
        <v>1</v>
      </c>
      <c r="X817" s="1">
        <v>1</v>
      </c>
      <c r="Y817" s="1">
        <v>1</v>
      </c>
      <c r="Z817" s="1">
        <v>1</v>
      </c>
      <c r="AA817" s="1">
        <v>1</v>
      </c>
      <c r="AB817" s="1">
        <v>1</v>
      </c>
      <c r="AC817" s="316">
        <v>0</v>
      </c>
      <c r="AD817" s="316">
        <v>1</v>
      </c>
      <c r="AE817" s="302">
        <f t="shared" si="32"/>
        <v>0.875</v>
      </c>
      <c r="AF817" s="310"/>
      <c r="AG817" s="17">
        <v>0</v>
      </c>
      <c r="AH817" s="310">
        <v>0.2</v>
      </c>
      <c r="AI817" s="310">
        <v>0.2</v>
      </c>
      <c r="AJ817" s="17">
        <v>0</v>
      </c>
      <c r="AK817" s="153">
        <v>0</v>
      </c>
      <c r="AL817" s="154">
        <v>0</v>
      </c>
      <c r="AM817" s="147">
        <f t="shared" si="31"/>
        <v>0</v>
      </c>
      <c r="AN817" s="283" t="s">
        <v>265</v>
      </c>
      <c r="AO817" s="18" t="s">
        <v>350</v>
      </c>
      <c r="AP817" s="283" t="s">
        <v>3829</v>
      </c>
    </row>
    <row r="818" spans="1:42" x14ac:dyDescent="0.3">
      <c r="A818" s="314" t="s">
        <v>1448</v>
      </c>
      <c r="B818" s="283" t="s">
        <v>3447</v>
      </c>
      <c r="C818" s="314" t="s">
        <v>3744</v>
      </c>
      <c r="D818" s="283" t="s">
        <v>3745</v>
      </c>
      <c r="E818" s="314" t="s">
        <v>3746</v>
      </c>
      <c r="F818" s="283" t="s">
        <v>3747</v>
      </c>
      <c r="G818" s="314" t="s">
        <v>3823</v>
      </c>
      <c r="H818" s="283" t="s">
        <v>3824</v>
      </c>
      <c r="K818" s="314" t="s">
        <v>3825</v>
      </c>
      <c r="L818" s="283" t="s">
        <v>3826</v>
      </c>
      <c r="M818" s="1" t="s">
        <v>3830</v>
      </c>
      <c r="N818" s="1"/>
      <c r="P818" s="3">
        <v>4</v>
      </c>
      <c r="T818" s="283" t="s">
        <v>265</v>
      </c>
      <c r="U818" s="283" t="s">
        <v>350</v>
      </c>
      <c r="V818" s="1" t="s">
        <v>3831</v>
      </c>
      <c r="W818" s="1">
        <v>1</v>
      </c>
      <c r="X818" s="1">
        <v>1</v>
      </c>
      <c r="Y818" s="1">
        <v>1</v>
      </c>
      <c r="Z818" s="1">
        <v>1</v>
      </c>
      <c r="AA818" s="1">
        <v>1</v>
      </c>
      <c r="AB818" s="1">
        <v>1</v>
      </c>
      <c r="AC818" s="316">
        <v>0</v>
      </c>
      <c r="AD818" s="316">
        <v>1</v>
      </c>
      <c r="AE818" s="302">
        <f t="shared" si="32"/>
        <v>0.875</v>
      </c>
      <c r="AF818" s="17"/>
      <c r="AG818" s="17">
        <v>0</v>
      </c>
      <c r="AH818" s="17">
        <v>0</v>
      </c>
      <c r="AI818" s="310">
        <v>1</v>
      </c>
      <c r="AJ818" s="17">
        <v>0</v>
      </c>
      <c r="AK818" s="153">
        <v>0</v>
      </c>
      <c r="AL818" s="154">
        <v>0</v>
      </c>
      <c r="AM818" s="147">
        <f t="shared" si="31"/>
        <v>0</v>
      </c>
      <c r="AN818" s="283" t="s">
        <v>265</v>
      </c>
      <c r="AO818" s="18" t="s">
        <v>350</v>
      </c>
      <c r="AP818" s="283" t="s">
        <v>3558</v>
      </c>
    </row>
    <row r="819" spans="1:42" x14ac:dyDescent="0.3">
      <c r="A819" s="314" t="s">
        <v>1448</v>
      </c>
      <c r="B819" s="283" t="s">
        <v>3447</v>
      </c>
      <c r="C819" s="314" t="s">
        <v>3744</v>
      </c>
      <c r="D819" s="283" t="s">
        <v>3745</v>
      </c>
      <c r="E819" s="314" t="s">
        <v>3746</v>
      </c>
      <c r="F819" s="283" t="s">
        <v>3747</v>
      </c>
      <c r="G819" s="314" t="s">
        <v>3823</v>
      </c>
      <c r="H819" s="283" t="s">
        <v>3824</v>
      </c>
      <c r="K819" s="314" t="s">
        <v>3825</v>
      </c>
      <c r="L819" s="283" t="s">
        <v>3826</v>
      </c>
      <c r="M819" s="1" t="s">
        <v>3832</v>
      </c>
      <c r="N819" s="1"/>
      <c r="Q819" s="3">
        <v>2</v>
      </c>
      <c r="R819" s="3">
        <v>2</v>
      </c>
      <c r="T819" s="283" t="s">
        <v>265</v>
      </c>
      <c r="U819" s="283" t="s">
        <v>350</v>
      </c>
      <c r="V819" s="1" t="s">
        <v>3833</v>
      </c>
      <c r="W819" s="1">
        <v>1</v>
      </c>
      <c r="X819" s="1">
        <v>1</v>
      </c>
      <c r="Y819" s="1">
        <v>1</v>
      </c>
      <c r="Z819" s="1">
        <v>1</v>
      </c>
      <c r="AA819" s="1">
        <v>1</v>
      </c>
      <c r="AB819" s="1">
        <v>1</v>
      </c>
      <c r="AC819" s="316">
        <v>0</v>
      </c>
      <c r="AD819" s="316">
        <v>1</v>
      </c>
      <c r="AE819" s="302">
        <f t="shared" si="32"/>
        <v>0.875</v>
      </c>
      <c r="AF819" s="17"/>
      <c r="AG819" s="17">
        <v>0</v>
      </c>
      <c r="AH819" s="17">
        <v>0</v>
      </c>
      <c r="AI819" s="17">
        <v>0</v>
      </c>
      <c r="AJ819" s="310">
        <v>0.5</v>
      </c>
      <c r="AK819" s="317">
        <v>0.5</v>
      </c>
      <c r="AL819" s="154">
        <v>0</v>
      </c>
      <c r="AM819" s="147">
        <f t="shared" si="31"/>
        <v>0.5</v>
      </c>
      <c r="AN819" s="283" t="s">
        <v>265</v>
      </c>
      <c r="AO819" s="18" t="s">
        <v>350</v>
      </c>
      <c r="AP819" s="283" t="s">
        <v>3834</v>
      </c>
    </row>
    <row r="820" spans="1:42" x14ac:dyDescent="0.3">
      <c r="A820" s="314" t="s">
        <v>1448</v>
      </c>
      <c r="B820" s="283" t="s">
        <v>3447</v>
      </c>
      <c r="C820" s="314" t="s">
        <v>3744</v>
      </c>
      <c r="D820" s="283" t="s">
        <v>3745</v>
      </c>
      <c r="E820" s="314" t="s">
        <v>3746</v>
      </c>
      <c r="F820" s="283" t="s">
        <v>3747</v>
      </c>
      <c r="G820" s="314" t="s">
        <v>3823</v>
      </c>
      <c r="H820" s="283" t="s">
        <v>3824</v>
      </c>
      <c r="K820" s="314" t="s">
        <v>3825</v>
      </c>
      <c r="L820" s="283" t="s">
        <v>3826</v>
      </c>
      <c r="M820" s="1" t="s">
        <v>3835</v>
      </c>
      <c r="N820" s="1">
        <v>0</v>
      </c>
      <c r="O820" s="1">
        <v>0</v>
      </c>
      <c r="P820" s="3">
        <v>0</v>
      </c>
      <c r="Q820" s="3">
        <v>0</v>
      </c>
      <c r="R820" s="3">
        <v>2</v>
      </c>
      <c r="S820" s="3">
        <v>2</v>
      </c>
      <c r="T820" s="283" t="s">
        <v>265</v>
      </c>
      <c r="U820" s="283" t="s">
        <v>350</v>
      </c>
      <c r="V820" s="1" t="s">
        <v>3836</v>
      </c>
      <c r="W820" s="1">
        <v>1</v>
      </c>
      <c r="X820" s="1">
        <v>1</v>
      </c>
      <c r="Y820" s="1">
        <v>1</v>
      </c>
      <c r="Z820" s="1">
        <v>1</v>
      </c>
      <c r="AA820" s="1">
        <v>1</v>
      </c>
      <c r="AB820" s="1">
        <v>1</v>
      </c>
      <c r="AC820" s="316">
        <v>0</v>
      </c>
      <c r="AD820" s="316">
        <v>1</v>
      </c>
      <c r="AE820" s="302">
        <f t="shared" si="32"/>
        <v>0.875</v>
      </c>
      <c r="AF820" s="310"/>
      <c r="AG820" s="17">
        <v>0</v>
      </c>
      <c r="AH820" s="310">
        <v>40</v>
      </c>
      <c r="AI820" s="310">
        <v>40</v>
      </c>
      <c r="AJ820" s="310">
        <v>40</v>
      </c>
      <c r="AK820" s="317">
        <v>40</v>
      </c>
      <c r="AL820" s="317">
        <v>40</v>
      </c>
      <c r="AM820" s="147">
        <f t="shared" si="31"/>
        <v>80</v>
      </c>
      <c r="AN820" s="283" t="s">
        <v>265</v>
      </c>
      <c r="AO820" s="18" t="s">
        <v>350</v>
      </c>
      <c r="AP820" s="345" t="s">
        <v>63</v>
      </c>
    </row>
    <row r="821" spans="1:42" x14ac:dyDescent="0.3">
      <c r="A821" s="314" t="s">
        <v>1448</v>
      </c>
      <c r="B821" s="283" t="s">
        <v>3447</v>
      </c>
      <c r="C821" s="314" t="s">
        <v>3744</v>
      </c>
      <c r="D821" s="283" t="s">
        <v>3745</v>
      </c>
      <c r="E821" s="314" t="s">
        <v>3746</v>
      </c>
      <c r="F821" s="283" t="s">
        <v>3747</v>
      </c>
      <c r="G821" s="314" t="s">
        <v>3837</v>
      </c>
      <c r="H821" s="283" t="s">
        <v>3838</v>
      </c>
      <c r="K821" s="314" t="s">
        <v>3839</v>
      </c>
      <c r="L821" s="283" t="s">
        <v>3840</v>
      </c>
      <c r="M821" s="1" t="s">
        <v>3841</v>
      </c>
      <c r="N821" s="1">
        <v>0</v>
      </c>
      <c r="O821" s="1">
        <v>0</v>
      </c>
      <c r="P821" s="3">
        <v>0</v>
      </c>
      <c r="Q821" s="3">
        <v>1</v>
      </c>
      <c r="R821" s="3">
        <v>2</v>
      </c>
      <c r="S821" s="3">
        <v>1</v>
      </c>
      <c r="T821" s="283" t="s">
        <v>265</v>
      </c>
      <c r="U821" s="283" t="s">
        <v>350</v>
      </c>
      <c r="V821" s="1" t="s">
        <v>3842</v>
      </c>
      <c r="W821" s="1">
        <v>1</v>
      </c>
      <c r="X821" s="1">
        <v>0</v>
      </c>
      <c r="Y821" s="1">
        <v>0</v>
      </c>
      <c r="Z821" s="1">
        <v>1</v>
      </c>
      <c r="AA821" s="1">
        <v>1</v>
      </c>
      <c r="AB821" s="1">
        <v>0</v>
      </c>
      <c r="AC821" s="316">
        <v>1</v>
      </c>
      <c r="AD821" s="316">
        <v>1</v>
      </c>
      <c r="AE821" s="302">
        <f t="shared" si="32"/>
        <v>0.625</v>
      </c>
      <c r="AF821" s="17"/>
      <c r="AG821" s="17">
        <v>0</v>
      </c>
      <c r="AH821" s="17">
        <v>0</v>
      </c>
      <c r="AI821" s="310">
        <v>0.2</v>
      </c>
      <c r="AJ821" s="17">
        <v>0</v>
      </c>
      <c r="AK821" s="153">
        <v>0</v>
      </c>
      <c r="AL821" s="154">
        <v>0</v>
      </c>
      <c r="AM821" s="147">
        <f t="shared" si="31"/>
        <v>0</v>
      </c>
      <c r="AN821" s="283" t="s">
        <v>265</v>
      </c>
      <c r="AO821" s="18" t="s">
        <v>350</v>
      </c>
      <c r="AP821" s="283" t="s">
        <v>3843</v>
      </c>
    </row>
    <row r="822" spans="1:42" x14ac:dyDescent="0.3">
      <c r="A822" s="314" t="s">
        <v>1448</v>
      </c>
      <c r="B822" s="283" t="s">
        <v>3447</v>
      </c>
      <c r="C822" s="314" t="s">
        <v>3744</v>
      </c>
      <c r="D822" s="283" t="s">
        <v>3745</v>
      </c>
      <c r="E822" s="314" t="s">
        <v>3746</v>
      </c>
      <c r="F822" s="283" t="s">
        <v>3747</v>
      </c>
      <c r="G822" s="314" t="s">
        <v>3837</v>
      </c>
      <c r="H822" s="283" t="s">
        <v>3838</v>
      </c>
      <c r="K822" s="314" t="s">
        <v>3839</v>
      </c>
      <c r="L822" s="283" t="s">
        <v>3840</v>
      </c>
      <c r="M822" s="1" t="s">
        <v>3844</v>
      </c>
      <c r="N822" s="1">
        <v>0</v>
      </c>
      <c r="O822" s="1">
        <v>95</v>
      </c>
      <c r="P822" s="3">
        <v>95</v>
      </c>
      <c r="Q822" s="3">
        <v>95</v>
      </c>
      <c r="R822" s="3">
        <v>95</v>
      </c>
      <c r="S822" s="3">
        <v>95</v>
      </c>
      <c r="T822" s="283" t="s">
        <v>1446</v>
      </c>
      <c r="U822" s="283" t="s">
        <v>3715</v>
      </c>
      <c r="V822" s="1" t="s">
        <v>3845</v>
      </c>
      <c r="W822" s="1">
        <v>1</v>
      </c>
      <c r="X822" s="1">
        <v>0</v>
      </c>
      <c r="Y822" s="1">
        <v>0</v>
      </c>
      <c r="Z822" s="1">
        <v>1</v>
      </c>
      <c r="AA822" s="1">
        <v>1</v>
      </c>
      <c r="AB822" s="1">
        <v>0</v>
      </c>
      <c r="AC822" s="316">
        <v>1</v>
      </c>
      <c r="AD822" s="316">
        <v>1</v>
      </c>
      <c r="AE822" s="302">
        <f t="shared" si="32"/>
        <v>0.625</v>
      </c>
      <c r="AF822" s="17"/>
      <c r="AG822" s="17">
        <v>0</v>
      </c>
      <c r="AH822" s="17">
        <v>0</v>
      </c>
      <c r="AI822" s="17">
        <v>0</v>
      </c>
      <c r="AJ822" s="310" t="s">
        <v>3554</v>
      </c>
      <c r="AK822" s="153">
        <v>0</v>
      </c>
      <c r="AL822" s="154">
        <v>0</v>
      </c>
      <c r="AM822" s="147">
        <f t="shared" si="31"/>
        <v>0</v>
      </c>
      <c r="AN822" s="283" t="s">
        <v>265</v>
      </c>
      <c r="AO822" s="18" t="s">
        <v>350</v>
      </c>
      <c r="AP822" s="283" t="s">
        <v>3558</v>
      </c>
    </row>
    <row r="823" spans="1:42" x14ac:dyDescent="0.3">
      <c r="A823" s="314" t="s">
        <v>1448</v>
      </c>
      <c r="B823" s="283" t="s">
        <v>3447</v>
      </c>
      <c r="C823" s="314" t="s">
        <v>3744</v>
      </c>
      <c r="D823" s="283" t="s">
        <v>3745</v>
      </c>
      <c r="E823" s="314" t="s">
        <v>3746</v>
      </c>
      <c r="F823" s="283" t="s">
        <v>3747</v>
      </c>
      <c r="G823" s="314" t="s">
        <v>3837</v>
      </c>
      <c r="H823" s="283" t="s">
        <v>3838</v>
      </c>
      <c r="K823" s="314" t="s">
        <v>3839</v>
      </c>
      <c r="L823" s="283" t="s">
        <v>3840</v>
      </c>
      <c r="M823" s="1" t="s">
        <v>3846</v>
      </c>
      <c r="N823" s="1" t="s">
        <v>271</v>
      </c>
      <c r="O823" s="1">
        <v>4</v>
      </c>
      <c r="P823" s="3">
        <v>4</v>
      </c>
      <c r="Q823" s="3">
        <v>4</v>
      </c>
      <c r="R823" s="3">
        <v>4</v>
      </c>
      <c r="S823" s="3">
        <v>4</v>
      </c>
      <c r="T823" s="283" t="s">
        <v>1446</v>
      </c>
      <c r="U823" s="283" t="s">
        <v>3715</v>
      </c>
      <c r="V823" s="1" t="s">
        <v>3847</v>
      </c>
      <c r="W823" s="1">
        <v>1</v>
      </c>
      <c r="X823" s="1">
        <v>1</v>
      </c>
      <c r="Y823" s="1">
        <v>1</v>
      </c>
      <c r="Z823" s="1">
        <v>1</v>
      </c>
      <c r="AA823" s="1">
        <v>1</v>
      </c>
      <c r="AB823" s="1">
        <v>1</v>
      </c>
      <c r="AC823" s="316">
        <v>1</v>
      </c>
      <c r="AD823" s="316">
        <v>1</v>
      </c>
      <c r="AE823" s="302">
        <f t="shared" si="32"/>
        <v>1</v>
      </c>
      <c r="AF823" s="17"/>
      <c r="AG823" s="17">
        <v>0</v>
      </c>
      <c r="AH823" s="17">
        <v>0</v>
      </c>
      <c r="AI823" s="17">
        <v>0</v>
      </c>
      <c r="AJ823" s="310">
        <v>28</v>
      </c>
      <c r="AK823" s="317">
        <v>28</v>
      </c>
      <c r="AL823" s="154">
        <v>0</v>
      </c>
      <c r="AM823" s="147">
        <f t="shared" si="31"/>
        <v>28</v>
      </c>
      <c r="AN823" s="283" t="s">
        <v>265</v>
      </c>
      <c r="AO823" s="18" t="s">
        <v>350</v>
      </c>
      <c r="AP823" s="283" t="s">
        <v>3848</v>
      </c>
    </row>
    <row r="824" spans="1:42" x14ac:dyDescent="0.3">
      <c r="A824" s="314" t="s">
        <v>1448</v>
      </c>
      <c r="B824" s="283" t="s">
        <v>3447</v>
      </c>
      <c r="C824" s="314" t="s">
        <v>3744</v>
      </c>
      <c r="D824" s="283" t="s">
        <v>3745</v>
      </c>
      <c r="E824" s="314" t="s">
        <v>3746</v>
      </c>
      <c r="F824" s="283" t="s">
        <v>3747</v>
      </c>
      <c r="G824" s="314" t="s">
        <v>3837</v>
      </c>
      <c r="H824" s="283" t="s">
        <v>3838</v>
      </c>
      <c r="K824" s="314" t="s">
        <v>3839</v>
      </c>
      <c r="L824" s="283" t="s">
        <v>3840</v>
      </c>
      <c r="M824" s="1" t="s">
        <v>3849</v>
      </c>
      <c r="N824" s="1" t="s">
        <v>271</v>
      </c>
      <c r="O824" s="1">
        <v>85</v>
      </c>
      <c r="P824" s="3">
        <v>85</v>
      </c>
      <c r="Q824" s="3">
        <v>85</v>
      </c>
      <c r="R824" s="3">
        <v>85</v>
      </c>
      <c r="S824" s="3">
        <v>85</v>
      </c>
      <c r="T824" s="283" t="s">
        <v>1446</v>
      </c>
      <c r="U824" s="283" t="s">
        <v>3715</v>
      </c>
      <c r="V824" s="1" t="s">
        <v>3850</v>
      </c>
      <c r="W824" s="1">
        <v>1</v>
      </c>
      <c r="X824" s="1">
        <v>1</v>
      </c>
      <c r="Y824" s="1">
        <v>1</v>
      </c>
      <c r="Z824" s="1">
        <v>1</v>
      </c>
      <c r="AA824" s="1">
        <v>1</v>
      </c>
      <c r="AB824" s="1">
        <v>1</v>
      </c>
      <c r="AC824" s="316">
        <v>1</v>
      </c>
      <c r="AD824" s="316">
        <v>1</v>
      </c>
      <c r="AE824" s="302">
        <f t="shared" si="32"/>
        <v>1</v>
      </c>
      <c r="AF824" s="17"/>
      <c r="AG824" s="17">
        <v>0</v>
      </c>
      <c r="AH824" s="17">
        <v>0</v>
      </c>
      <c r="AI824" s="310">
        <v>0.01</v>
      </c>
      <c r="AJ824" s="310">
        <v>0.01</v>
      </c>
      <c r="AK824" s="317">
        <v>0.01</v>
      </c>
      <c r="AL824" s="317">
        <v>0.01</v>
      </c>
      <c r="AM824" s="147">
        <f t="shared" si="31"/>
        <v>0.02</v>
      </c>
      <c r="AN824" s="283" t="s">
        <v>1446</v>
      </c>
      <c r="AO824" s="18" t="s">
        <v>3715</v>
      </c>
      <c r="AP824" s="283" t="s">
        <v>265</v>
      </c>
    </row>
    <row r="825" spans="1:42" x14ac:dyDescent="0.3">
      <c r="A825" s="314" t="s">
        <v>1448</v>
      </c>
      <c r="B825" s="283" t="s">
        <v>3447</v>
      </c>
      <c r="C825" s="314" t="s">
        <v>3744</v>
      </c>
      <c r="D825" s="283" t="s">
        <v>3745</v>
      </c>
      <c r="E825" s="314" t="s">
        <v>3746</v>
      </c>
      <c r="F825" s="283" t="s">
        <v>3747</v>
      </c>
      <c r="G825" s="314" t="s">
        <v>3837</v>
      </c>
      <c r="H825" s="283" t="s">
        <v>3838</v>
      </c>
      <c r="K825" s="314" t="s">
        <v>3839</v>
      </c>
      <c r="L825" s="283" t="s">
        <v>3840</v>
      </c>
      <c r="N825" s="1"/>
      <c r="U825" s="283" t="e">
        <v>#N/A</v>
      </c>
      <c r="V825" s="1" t="s">
        <v>3851</v>
      </c>
      <c r="W825" s="1">
        <v>1</v>
      </c>
      <c r="X825" s="1">
        <v>1</v>
      </c>
      <c r="Y825" s="1">
        <v>1</v>
      </c>
      <c r="Z825" s="1">
        <v>1</v>
      </c>
      <c r="AA825" s="1">
        <v>1</v>
      </c>
      <c r="AB825" s="1">
        <v>1</v>
      </c>
      <c r="AC825" s="316">
        <v>1</v>
      </c>
      <c r="AD825" s="316">
        <v>1</v>
      </c>
      <c r="AE825" s="302">
        <f t="shared" si="32"/>
        <v>1</v>
      </c>
      <c r="AF825" s="17"/>
      <c r="AG825" s="17">
        <v>0</v>
      </c>
      <c r="AH825" s="17">
        <v>0</v>
      </c>
      <c r="AI825" s="17">
        <v>0</v>
      </c>
      <c r="AJ825" s="17">
        <v>0</v>
      </c>
      <c r="AK825" s="153">
        <v>0.2</v>
      </c>
      <c r="AL825" s="154">
        <v>0</v>
      </c>
      <c r="AM825" s="147">
        <f t="shared" si="31"/>
        <v>0.2</v>
      </c>
      <c r="AN825" s="10" t="s">
        <v>265</v>
      </c>
      <c r="AO825" s="18" t="s">
        <v>350</v>
      </c>
      <c r="AP825" s="283" t="s">
        <v>119</v>
      </c>
    </row>
    <row r="826" spans="1:42" x14ac:dyDescent="0.3">
      <c r="A826" s="314" t="s">
        <v>1448</v>
      </c>
      <c r="B826" s="283" t="s">
        <v>3447</v>
      </c>
      <c r="C826" s="314" t="s">
        <v>3744</v>
      </c>
      <c r="D826" s="283" t="s">
        <v>3745</v>
      </c>
      <c r="E826" s="314" t="s">
        <v>3746</v>
      </c>
      <c r="F826" s="283" t="s">
        <v>3747</v>
      </c>
      <c r="G826" s="314" t="s">
        <v>3837</v>
      </c>
      <c r="H826" s="283" t="s">
        <v>3838</v>
      </c>
      <c r="K826" s="314" t="s">
        <v>3839</v>
      </c>
      <c r="L826" s="283" t="s">
        <v>3840</v>
      </c>
      <c r="N826" s="1"/>
      <c r="U826" s="283" t="e">
        <v>#N/A</v>
      </c>
      <c r="V826" s="344" t="s">
        <v>3852</v>
      </c>
      <c r="W826" s="1">
        <v>1</v>
      </c>
      <c r="X826" s="1">
        <v>1</v>
      </c>
      <c r="Y826" s="1">
        <v>0</v>
      </c>
      <c r="Z826" s="1">
        <v>1</v>
      </c>
      <c r="AA826" s="1">
        <v>1</v>
      </c>
      <c r="AB826" s="1">
        <v>1</v>
      </c>
      <c r="AC826" s="316">
        <v>0</v>
      </c>
      <c r="AD826" s="316">
        <v>1</v>
      </c>
      <c r="AE826" s="302">
        <f t="shared" si="32"/>
        <v>0.75</v>
      </c>
      <c r="AF826" s="310"/>
      <c r="AG826" s="17">
        <v>0</v>
      </c>
      <c r="AH826" s="310">
        <v>0</v>
      </c>
      <c r="AI826" s="310">
        <v>0.01</v>
      </c>
      <c r="AJ826" s="310">
        <v>0.01</v>
      </c>
      <c r="AK826" s="317">
        <v>0.01</v>
      </c>
      <c r="AL826" s="317">
        <v>0.01</v>
      </c>
      <c r="AM826" s="147">
        <f t="shared" si="31"/>
        <v>0.02</v>
      </c>
      <c r="AN826" s="283" t="s">
        <v>1446</v>
      </c>
      <c r="AO826" s="18" t="s">
        <v>3715</v>
      </c>
      <c r="AP826" s="283" t="s">
        <v>3853</v>
      </c>
    </row>
    <row r="827" spans="1:42" x14ac:dyDescent="0.3">
      <c r="A827" s="314" t="s">
        <v>1448</v>
      </c>
      <c r="B827" s="283" t="s">
        <v>3447</v>
      </c>
      <c r="C827" s="314" t="s">
        <v>3744</v>
      </c>
      <c r="D827" s="283" t="s">
        <v>3745</v>
      </c>
      <c r="E827" s="314" t="s">
        <v>3746</v>
      </c>
      <c r="F827" s="283" t="s">
        <v>3747</v>
      </c>
      <c r="G827" s="314" t="s">
        <v>3837</v>
      </c>
      <c r="H827" s="283" t="s">
        <v>3838</v>
      </c>
      <c r="K827" s="314" t="s">
        <v>3839</v>
      </c>
      <c r="L827" s="283" t="s">
        <v>3840</v>
      </c>
      <c r="N827" s="1"/>
      <c r="U827" s="283" t="e">
        <v>#N/A</v>
      </c>
      <c r="V827" s="1" t="s">
        <v>3854</v>
      </c>
      <c r="W827" s="1">
        <v>1</v>
      </c>
      <c r="X827" s="1">
        <v>1</v>
      </c>
      <c r="Y827" s="1">
        <v>1</v>
      </c>
      <c r="Z827" s="1">
        <v>1</v>
      </c>
      <c r="AA827" s="1">
        <v>1</v>
      </c>
      <c r="AB827" s="1">
        <v>1</v>
      </c>
      <c r="AC827" s="316">
        <v>1</v>
      </c>
      <c r="AD827" s="316">
        <v>1</v>
      </c>
      <c r="AE827" s="302">
        <f t="shared" si="32"/>
        <v>1</v>
      </c>
      <c r="AF827" s="17"/>
      <c r="AG827" s="17">
        <v>0</v>
      </c>
      <c r="AH827" s="17">
        <v>0</v>
      </c>
      <c r="AI827" s="310">
        <v>5.5E-2</v>
      </c>
      <c r="AJ827" s="310">
        <v>5.5E-2</v>
      </c>
      <c r="AK827" s="317">
        <v>5.5E-2</v>
      </c>
      <c r="AL827" s="317">
        <v>5.5E-2</v>
      </c>
      <c r="AM827" s="147">
        <f t="shared" si="31"/>
        <v>0.11</v>
      </c>
      <c r="AN827" s="283" t="s">
        <v>1446</v>
      </c>
      <c r="AO827" s="18" t="s">
        <v>3715</v>
      </c>
      <c r="AP827" s="283" t="s">
        <v>265</v>
      </c>
    </row>
    <row r="828" spans="1:42" x14ac:dyDescent="0.3">
      <c r="A828" s="314" t="s">
        <v>1448</v>
      </c>
      <c r="B828" s="283" t="s">
        <v>3447</v>
      </c>
      <c r="C828" s="314" t="s">
        <v>3744</v>
      </c>
      <c r="D828" s="283" t="s">
        <v>3745</v>
      </c>
      <c r="E828" s="314" t="s">
        <v>3746</v>
      </c>
      <c r="F828" s="283" t="s">
        <v>3747</v>
      </c>
      <c r="G828" s="314" t="s">
        <v>3837</v>
      </c>
      <c r="H828" s="283" t="s">
        <v>3838</v>
      </c>
      <c r="K828" s="314" t="s">
        <v>3839</v>
      </c>
      <c r="L828" s="283" t="s">
        <v>3840</v>
      </c>
      <c r="N828" s="1"/>
      <c r="U828" s="283" t="e">
        <v>#N/A</v>
      </c>
      <c r="V828" s="1" t="s">
        <v>3855</v>
      </c>
      <c r="W828" s="1">
        <v>1</v>
      </c>
      <c r="X828" s="1">
        <v>0</v>
      </c>
      <c r="Y828" s="1">
        <v>0</v>
      </c>
      <c r="Z828" s="1">
        <v>1</v>
      </c>
      <c r="AA828" s="1">
        <v>1</v>
      </c>
      <c r="AB828" s="1">
        <v>0</v>
      </c>
      <c r="AC828" s="316">
        <v>0</v>
      </c>
      <c r="AD828" s="316">
        <v>1</v>
      </c>
      <c r="AE828" s="302">
        <f t="shared" si="32"/>
        <v>0.5</v>
      </c>
      <c r="AF828" s="17"/>
      <c r="AG828" s="17">
        <v>0</v>
      </c>
      <c r="AH828" s="17">
        <v>0</v>
      </c>
      <c r="AI828" s="310">
        <v>0.01</v>
      </c>
      <c r="AJ828" s="310">
        <v>0.01</v>
      </c>
      <c r="AK828" s="317">
        <v>0</v>
      </c>
      <c r="AL828" s="317"/>
      <c r="AM828" s="147">
        <f t="shared" ref="AM828:AM859" si="33">SUM(AK828:AL828)</f>
        <v>0</v>
      </c>
      <c r="AN828" s="283" t="s">
        <v>1446</v>
      </c>
      <c r="AO828" s="18" t="s">
        <v>3715</v>
      </c>
      <c r="AP828" s="283" t="s">
        <v>3856</v>
      </c>
    </row>
    <row r="829" spans="1:42" x14ac:dyDescent="0.3">
      <c r="A829" s="314" t="s">
        <v>1448</v>
      </c>
      <c r="B829" s="283" t="s">
        <v>3447</v>
      </c>
      <c r="C829" s="314" t="s">
        <v>3744</v>
      </c>
      <c r="D829" s="283" t="s">
        <v>3745</v>
      </c>
      <c r="E829" s="314" t="s">
        <v>3746</v>
      </c>
      <c r="F829" s="283" t="s">
        <v>3747</v>
      </c>
      <c r="G829" s="314" t="s">
        <v>3857</v>
      </c>
      <c r="H829" s="283" t="s">
        <v>3858</v>
      </c>
      <c r="K829" s="318" t="s">
        <v>3859</v>
      </c>
      <c r="L829" s="283" t="s">
        <v>3860</v>
      </c>
      <c r="M829" s="1" t="s">
        <v>3861</v>
      </c>
      <c r="N829" s="1"/>
      <c r="O829" s="167">
        <v>3</v>
      </c>
      <c r="P829" s="211" t="s">
        <v>3516</v>
      </c>
      <c r="Q829" s="211" t="s">
        <v>3516</v>
      </c>
      <c r="R829" s="211" t="s">
        <v>3516</v>
      </c>
      <c r="S829" s="211" t="s">
        <v>3516</v>
      </c>
      <c r="T829" s="283" t="s">
        <v>265</v>
      </c>
      <c r="U829" s="283" t="s">
        <v>350</v>
      </c>
      <c r="V829" s="1" t="s">
        <v>3862</v>
      </c>
      <c r="W829" s="1">
        <v>1</v>
      </c>
      <c r="X829" s="1">
        <v>1</v>
      </c>
      <c r="Y829" s="1">
        <v>0</v>
      </c>
      <c r="Z829" s="1">
        <v>1</v>
      </c>
      <c r="AA829" s="1">
        <v>1</v>
      </c>
      <c r="AB829" s="1">
        <v>1</v>
      </c>
      <c r="AC829" s="316">
        <v>0</v>
      </c>
      <c r="AD829" s="316">
        <v>1</v>
      </c>
      <c r="AE829" s="302">
        <f t="shared" si="32"/>
        <v>0.75</v>
      </c>
      <c r="AF829" s="310"/>
      <c r="AG829" s="17">
        <v>0</v>
      </c>
      <c r="AH829" s="310">
        <v>0.2</v>
      </c>
      <c r="AI829" s="310">
        <v>0.2</v>
      </c>
      <c r="AJ829" s="310">
        <v>0.2</v>
      </c>
      <c r="AK829" s="317">
        <v>0.2</v>
      </c>
      <c r="AL829" s="317">
        <v>0.2</v>
      </c>
      <c r="AM829" s="147">
        <f t="shared" si="33"/>
        <v>0.4</v>
      </c>
      <c r="AN829" s="283" t="s">
        <v>265</v>
      </c>
      <c r="AO829" s="18" t="s">
        <v>350</v>
      </c>
      <c r="AP829" s="283" t="s">
        <v>3863</v>
      </c>
    </row>
    <row r="830" spans="1:42" x14ac:dyDescent="0.3">
      <c r="A830" s="314" t="s">
        <v>1448</v>
      </c>
      <c r="B830" s="283" t="s">
        <v>3447</v>
      </c>
      <c r="C830" s="314" t="s">
        <v>3744</v>
      </c>
      <c r="D830" s="283" t="s">
        <v>3745</v>
      </c>
      <c r="E830" s="314" t="s">
        <v>3746</v>
      </c>
      <c r="F830" s="283" t="s">
        <v>3747</v>
      </c>
      <c r="G830" s="314" t="s">
        <v>3857</v>
      </c>
      <c r="H830" s="283" t="s">
        <v>3858</v>
      </c>
      <c r="K830" s="318" t="s">
        <v>3859</v>
      </c>
      <c r="L830" s="283" t="s">
        <v>3860</v>
      </c>
      <c r="M830" s="449" t="s">
        <v>3864</v>
      </c>
      <c r="N830" s="1"/>
      <c r="O830" s="167">
        <v>24</v>
      </c>
      <c r="P830" s="211" t="s">
        <v>3865</v>
      </c>
      <c r="Q830" s="211" t="s">
        <v>3865</v>
      </c>
      <c r="R830" s="211" t="s">
        <v>3865</v>
      </c>
      <c r="S830" s="211" t="s">
        <v>3865</v>
      </c>
      <c r="T830" s="212" t="s">
        <v>1216</v>
      </c>
      <c r="U830" s="283" t="s">
        <v>1218</v>
      </c>
      <c r="V830" s="1" t="s">
        <v>3866</v>
      </c>
      <c r="W830" s="1">
        <v>1</v>
      </c>
      <c r="X830" s="1">
        <v>1</v>
      </c>
      <c r="Y830" s="1">
        <v>1</v>
      </c>
      <c r="Z830" s="1">
        <v>1</v>
      </c>
      <c r="AA830" s="1">
        <v>1</v>
      </c>
      <c r="AB830" s="1">
        <v>1</v>
      </c>
      <c r="AC830" s="316">
        <v>1</v>
      </c>
      <c r="AD830" s="316">
        <v>1</v>
      </c>
      <c r="AE830" s="302">
        <f t="shared" si="32"/>
        <v>1</v>
      </c>
      <c r="AF830" s="310"/>
      <c r="AG830" s="17">
        <v>0</v>
      </c>
      <c r="AH830" s="310">
        <v>1.2</v>
      </c>
      <c r="AI830" s="310">
        <v>1.2</v>
      </c>
      <c r="AJ830" s="310">
        <v>1.2</v>
      </c>
      <c r="AK830" s="317">
        <v>1.2</v>
      </c>
      <c r="AL830" s="317">
        <v>1.2</v>
      </c>
      <c r="AM830" s="147">
        <f t="shared" si="33"/>
        <v>2.4</v>
      </c>
      <c r="AN830" s="283" t="s">
        <v>1216</v>
      </c>
      <c r="AO830" s="18" t="s">
        <v>1218</v>
      </c>
      <c r="AP830" s="283" t="s">
        <v>265</v>
      </c>
    </row>
    <row r="831" spans="1:42" x14ac:dyDescent="0.3">
      <c r="A831" s="314" t="s">
        <v>1448</v>
      </c>
      <c r="B831" s="283" t="s">
        <v>3447</v>
      </c>
      <c r="C831" s="314" t="s">
        <v>3744</v>
      </c>
      <c r="D831" s="283" t="s">
        <v>3745</v>
      </c>
      <c r="E831" s="314" t="s">
        <v>3746</v>
      </c>
      <c r="F831" s="283" t="s">
        <v>3747</v>
      </c>
      <c r="G831" s="314" t="s">
        <v>3857</v>
      </c>
      <c r="H831" s="283" t="s">
        <v>3858</v>
      </c>
      <c r="K831" s="318" t="s">
        <v>3859</v>
      </c>
      <c r="L831" s="283" t="s">
        <v>3860</v>
      </c>
      <c r="M831" s="449" t="s">
        <v>3867</v>
      </c>
      <c r="N831" s="1"/>
      <c r="O831" s="167">
        <v>12</v>
      </c>
      <c r="P831" s="211">
        <v>12</v>
      </c>
      <c r="Q831" s="211">
        <v>12</v>
      </c>
      <c r="R831" s="211">
        <v>12</v>
      </c>
      <c r="S831" s="211">
        <v>12</v>
      </c>
      <c r="T831" s="283" t="s">
        <v>265</v>
      </c>
      <c r="U831" s="283" t="s">
        <v>350</v>
      </c>
      <c r="V831" s="347" t="s">
        <v>3868</v>
      </c>
      <c r="W831" s="347">
        <v>1</v>
      </c>
      <c r="X831" s="347">
        <v>1</v>
      </c>
      <c r="Y831" s="347">
        <v>0</v>
      </c>
      <c r="Z831" s="347">
        <v>1</v>
      </c>
      <c r="AA831" s="347">
        <v>1</v>
      </c>
      <c r="AB831" s="347">
        <v>1</v>
      </c>
      <c r="AC831" s="316">
        <v>0</v>
      </c>
      <c r="AD831" s="316">
        <v>1</v>
      </c>
      <c r="AE831" s="302">
        <f t="shared" ref="AE831:AE862" si="34">SUM(W831:AD831)/8</f>
        <v>0.75</v>
      </c>
      <c r="AF831" s="17"/>
      <c r="AG831" s="17">
        <v>0</v>
      </c>
      <c r="AH831" s="17"/>
      <c r="AI831" s="310"/>
      <c r="AJ831" s="310"/>
      <c r="AK831" s="317"/>
      <c r="AL831" s="317"/>
      <c r="AM831" s="147">
        <f t="shared" si="33"/>
        <v>0</v>
      </c>
      <c r="AN831" s="283" t="s">
        <v>265</v>
      </c>
      <c r="AO831" s="18" t="s">
        <v>350</v>
      </c>
      <c r="AP831" s="283" t="s">
        <v>3863</v>
      </c>
    </row>
    <row r="832" spans="1:42" x14ac:dyDescent="0.3">
      <c r="A832" s="314" t="s">
        <v>1448</v>
      </c>
      <c r="B832" s="283" t="s">
        <v>3447</v>
      </c>
      <c r="C832" s="314" t="s">
        <v>3744</v>
      </c>
      <c r="D832" s="283" t="s">
        <v>3745</v>
      </c>
      <c r="E832" s="314" t="s">
        <v>3746</v>
      </c>
      <c r="F832" s="283" t="s">
        <v>3747</v>
      </c>
      <c r="G832" s="314" t="s">
        <v>3857</v>
      </c>
      <c r="H832" s="283" t="s">
        <v>3858</v>
      </c>
      <c r="K832" s="318" t="s">
        <v>3859</v>
      </c>
      <c r="L832" s="283" t="s">
        <v>3860</v>
      </c>
      <c r="M832" s="449" t="s">
        <v>3869</v>
      </c>
      <c r="N832" s="1"/>
      <c r="O832" s="1">
        <v>3</v>
      </c>
      <c r="P832" s="3">
        <v>3</v>
      </c>
      <c r="Q832" s="3">
        <v>3</v>
      </c>
      <c r="R832" s="3">
        <v>3</v>
      </c>
      <c r="S832" s="3">
        <v>3</v>
      </c>
      <c r="T832" s="283" t="s">
        <v>265</v>
      </c>
      <c r="U832" s="283" t="s">
        <v>350</v>
      </c>
      <c r="V832" s="1" t="s">
        <v>3870</v>
      </c>
      <c r="W832" s="1">
        <v>1</v>
      </c>
      <c r="X832" s="1">
        <v>1</v>
      </c>
      <c r="Y832" s="1">
        <v>0</v>
      </c>
      <c r="Z832" s="1">
        <v>1</v>
      </c>
      <c r="AA832" s="1">
        <v>1</v>
      </c>
      <c r="AB832" s="1">
        <v>1</v>
      </c>
      <c r="AC832" s="316">
        <v>0</v>
      </c>
      <c r="AD832" s="316">
        <v>1</v>
      </c>
      <c r="AE832" s="302">
        <f t="shared" si="34"/>
        <v>0.75</v>
      </c>
      <c r="AF832" s="310"/>
      <c r="AG832" s="17">
        <v>0</v>
      </c>
      <c r="AH832" s="310">
        <v>0.5</v>
      </c>
      <c r="AI832" s="310">
        <v>0.5</v>
      </c>
      <c r="AJ832" s="310">
        <v>0.5</v>
      </c>
      <c r="AK832" s="317">
        <v>0.5</v>
      </c>
      <c r="AL832" s="317">
        <v>0.5</v>
      </c>
      <c r="AM832" s="147">
        <f t="shared" si="33"/>
        <v>1</v>
      </c>
      <c r="AN832" s="283" t="s">
        <v>265</v>
      </c>
      <c r="AO832" s="18" t="s">
        <v>350</v>
      </c>
      <c r="AP832" s="283" t="s">
        <v>3871</v>
      </c>
    </row>
    <row r="833" spans="1:42" x14ac:dyDescent="0.3">
      <c r="A833" s="314" t="s">
        <v>1448</v>
      </c>
      <c r="B833" s="283" t="s">
        <v>3447</v>
      </c>
      <c r="C833" s="314" t="s">
        <v>3744</v>
      </c>
      <c r="D833" s="283" t="s">
        <v>3745</v>
      </c>
      <c r="E833" s="314" t="s">
        <v>3746</v>
      </c>
      <c r="F833" s="283" t="s">
        <v>3747</v>
      </c>
      <c r="G833" s="314" t="s">
        <v>3857</v>
      </c>
      <c r="H833" s="283" t="s">
        <v>3858</v>
      </c>
      <c r="K833" s="318" t="s">
        <v>3859</v>
      </c>
      <c r="L833" s="283" t="s">
        <v>3860</v>
      </c>
      <c r="M833" s="449" t="s">
        <v>3869</v>
      </c>
      <c r="N833" s="1"/>
      <c r="O833" s="1">
        <v>3</v>
      </c>
      <c r="P833" s="3">
        <v>3</v>
      </c>
      <c r="Q833" s="3">
        <v>3</v>
      </c>
      <c r="R833" s="3">
        <v>3</v>
      </c>
      <c r="S833" s="3">
        <v>3</v>
      </c>
      <c r="T833" s="212" t="s">
        <v>3872</v>
      </c>
      <c r="U833" s="283" t="s">
        <v>1650</v>
      </c>
      <c r="V833" s="1" t="s">
        <v>3873</v>
      </c>
      <c r="W833" s="1"/>
      <c r="X833" s="1"/>
      <c r="Y833" s="1"/>
      <c r="Z833" s="1"/>
      <c r="AA833" s="1"/>
      <c r="AB833" s="1"/>
      <c r="AC833" s="316">
        <v>0</v>
      </c>
      <c r="AD833" s="316">
        <v>0</v>
      </c>
      <c r="AE833" s="302">
        <f t="shared" si="34"/>
        <v>0</v>
      </c>
      <c r="AF833" s="310"/>
      <c r="AG833" s="17">
        <v>0</v>
      </c>
      <c r="AH833" s="310">
        <v>0.2</v>
      </c>
      <c r="AI833" s="310">
        <v>0.2</v>
      </c>
      <c r="AJ833" s="310">
        <v>0.2</v>
      </c>
      <c r="AK833" s="317">
        <v>0</v>
      </c>
      <c r="AL833" s="317"/>
      <c r="AM833" s="147">
        <f t="shared" si="33"/>
        <v>0</v>
      </c>
      <c r="AN833" s="283" t="s">
        <v>1233</v>
      </c>
      <c r="AO833" s="18" t="s">
        <v>1650</v>
      </c>
      <c r="AP833" s="283" t="s">
        <v>3874</v>
      </c>
    </row>
    <row r="834" spans="1:42" x14ac:dyDescent="0.3">
      <c r="A834" s="314" t="s">
        <v>1448</v>
      </c>
      <c r="B834" s="283" t="s">
        <v>3447</v>
      </c>
      <c r="C834" s="314" t="s">
        <v>3744</v>
      </c>
      <c r="D834" s="283" t="s">
        <v>3745</v>
      </c>
      <c r="E834" s="314" t="s">
        <v>3746</v>
      </c>
      <c r="F834" s="283" t="s">
        <v>3747</v>
      </c>
      <c r="G834" s="314" t="s">
        <v>3857</v>
      </c>
      <c r="H834" s="283" t="s">
        <v>3858</v>
      </c>
      <c r="K834" s="318" t="s">
        <v>3859</v>
      </c>
      <c r="L834" s="283" t="s">
        <v>3860</v>
      </c>
      <c r="M834" s="449" t="s">
        <v>3869</v>
      </c>
      <c r="N834" s="1"/>
      <c r="O834" s="1">
        <v>3</v>
      </c>
      <c r="P834" s="3">
        <v>3</v>
      </c>
      <c r="Q834" s="3">
        <v>3</v>
      </c>
      <c r="R834" s="3">
        <v>3</v>
      </c>
      <c r="S834" s="3">
        <v>3</v>
      </c>
      <c r="T834" s="212" t="s">
        <v>3875</v>
      </c>
      <c r="U834" s="283" t="s">
        <v>3877</v>
      </c>
      <c r="V834" s="1" t="s">
        <v>3876</v>
      </c>
      <c r="W834" s="1"/>
      <c r="X834" s="1"/>
      <c r="Y834" s="1"/>
      <c r="Z834" s="1"/>
      <c r="AA834" s="1"/>
      <c r="AB834" s="1"/>
      <c r="AC834" s="316">
        <v>0</v>
      </c>
      <c r="AD834" s="316">
        <v>0</v>
      </c>
      <c r="AE834" s="302">
        <f t="shared" si="34"/>
        <v>0</v>
      </c>
      <c r="AF834" s="310"/>
      <c r="AG834" s="17">
        <v>0</v>
      </c>
      <c r="AH834" s="310">
        <v>0.1</v>
      </c>
      <c r="AI834" s="310">
        <v>0.1</v>
      </c>
      <c r="AJ834" s="310">
        <v>0.1</v>
      </c>
      <c r="AK834" s="317">
        <v>0</v>
      </c>
      <c r="AL834" s="317"/>
      <c r="AM834" s="147">
        <f t="shared" si="33"/>
        <v>0</v>
      </c>
      <c r="AN834" s="283" t="s">
        <v>3875</v>
      </c>
      <c r="AO834" s="18" t="s">
        <v>3877</v>
      </c>
      <c r="AP834" s="283" t="s">
        <v>3878</v>
      </c>
    </row>
    <row r="835" spans="1:42" x14ac:dyDescent="0.3">
      <c r="A835" s="314" t="s">
        <v>1448</v>
      </c>
      <c r="B835" s="283" t="s">
        <v>3447</v>
      </c>
      <c r="C835" s="314" t="s">
        <v>3744</v>
      </c>
      <c r="D835" s="283" t="s">
        <v>3745</v>
      </c>
      <c r="E835" s="314" t="s">
        <v>3746</v>
      </c>
      <c r="F835" s="283" t="s">
        <v>3747</v>
      </c>
      <c r="G835" s="314" t="s">
        <v>3857</v>
      </c>
      <c r="H835" s="283" t="s">
        <v>3858</v>
      </c>
      <c r="K835" s="318" t="s">
        <v>3859</v>
      </c>
      <c r="L835" s="283" t="s">
        <v>3860</v>
      </c>
      <c r="M835" s="449" t="s">
        <v>3869</v>
      </c>
      <c r="N835" s="1"/>
      <c r="O835" s="1">
        <v>3</v>
      </c>
      <c r="P835" s="3">
        <v>3</v>
      </c>
      <c r="Q835" s="3">
        <v>3</v>
      </c>
      <c r="R835" s="3">
        <v>3</v>
      </c>
      <c r="S835" s="3">
        <v>3</v>
      </c>
      <c r="T835" s="212" t="s">
        <v>3879</v>
      </c>
      <c r="U835" s="283" t="s">
        <v>3881</v>
      </c>
      <c r="V835" s="1" t="s">
        <v>3880</v>
      </c>
      <c r="W835" s="1"/>
      <c r="X835" s="1"/>
      <c r="Y835" s="1"/>
      <c r="Z835" s="1"/>
      <c r="AA835" s="1"/>
      <c r="AB835" s="1"/>
      <c r="AC835" s="316">
        <v>0</v>
      </c>
      <c r="AD835" s="316">
        <v>0</v>
      </c>
      <c r="AE835" s="302">
        <f t="shared" si="34"/>
        <v>0</v>
      </c>
      <c r="AF835" s="310"/>
      <c r="AG835" s="17">
        <v>0</v>
      </c>
      <c r="AH835" s="310">
        <v>0.1</v>
      </c>
      <c r="AI835" s="310">
        <v>0.1</v>
      </c>
      <c r="AJ835" s="310">
        <v>0.1</v>
      </c>
      <c r="AK835" s="317">
        <v>0</v>
      </c>
      <c r="AL835" s="317"/>
      <c r="AM835" s="147">
        <f t="shared" si="33"/>
        <v>0</v>
      </c>
      <c r="AN835" s="283" t="s">
        <v>3879</v>
      </c>
      <c r="AO835" s="18" t="s">
        <v>3881</v>
      </c>
      <c r="AP835" s="283" t="s">
        <v>3882</v>
      </c>
    </row>
    <row r="836" spans="1:42" x14ac:dyDescent="0.3">
      <c r="A836" s="314" t="s">
        <v>1448</v>
      </c>
      <c r="B836" s="283" t="s">
        <v>3447</v>
      </c>
      <c r="C836" s="314" t="s">
        <v>3744</v>
      </c>
      <c r="D836" s="283" t="s">
        <v>3745</v>
      </c>
      <c r="E836" s="314" t="s">
        <v>3746</v>
      </c>
      <c r="F836" s="283" t="s">
        <v>3747</v>
      </c>
      <c r="G836" s="314" t="s">
        <v>3883</v>
      </c>
      <c r="H836" s="283" t="s">
        <v>3884</v>
      </c>
      <c r="K836" s="314" t="s">
        <v>3885</v>
      </c>
      <c r="L836" s="283" t="s">
        <v>3886</v>
      </c>
      <c r="M836" s="1" t="s">
        <v>3887</v>
      </c>
      <c r="N836" s="1">
        <v>0</v>
      </c>
      <c r="P836" s="3">
        <v>1</v>
      </c>
      <c r="T836" s="283" t="s">
        <v>265</v>
      </c>
      <c r="U836" s="283" t="s">
        <v>350</v>
      </c>
      <c r="V836" s="1" t="s">
        <v>3888</v>
      </c>
      <c r="W836" s="1">
        <v>1</v>
      </c>
      <c r="X836" s="1">
        <v>1</v>
      </c>
      <c r="Y836" s="1">
        <v>0</v>
      </c>
      <c r="Z836" s="1">
        <v>1</v>
      </c>
      <c r="AA836" s="1">
        <v>1</v>
      </c>
      <c r="AB836" s="1">
        <v>0</v>
      </c>
      <c r="AC836" s="316">
        <v>0</v>
      </c>
      <c r="AD836" s="316">
        <v>1</v>
      </c>
      <c r="AE836" s="302">
        <f t="shared" si="34"/>
        <v>0.625</v>
      </c>
      <c r="AF836" s="310"/>
      <c r="AG836" s="17">
        <v>0</v>
      </c>
      <c r="AH836" s="310">
        <v>0</v>
      </c>
      <c r="AI836" s="310">
        <v>0.2</v>
      </c>
      <c r="AJ836" s="310">
        <v>0</v>
      </c>
      <c r="AK836" s="317">
        <v>0</v>
      </c>
      <c r="AL836" s="317">
        <v>0</v>
      </c>
      <c r="AM836" s="147">
        <f t="shared" si="33"/>
        <v>0</v>
      </c>
      <c r="AN836" s="283" t="s">
        <v>265</v>
      </c>
      <c r="AO836" s="18" t="s">
        <v>350</v>
      </c>
      <c r="AP836" s="283" t="s">
        <v>723</v>
      </c>
    </row>
    <row r="837" spans="1:42" x14ac:dyDescent="0.3">
      <c r="A837" s="314" t="s">
        <v>1448</v>
      </c>
      <c r="B837" s="283" t="s">
        <v>3447</v>
      </c>
      <c r="C837" s="314" t="s">
        <v>3744</v>
      </c>
      <c r="D837" s="283" t="s">
        <v>3745</v>
      </c>
      <c r="E837" s="314" t="s">
        <v>3746</v>
      </c>
      <c r="F837" s="283" t="s">
        <v>3747</v>
      </c>
      <c r="G837" s="314" t="s">
        <v>3883</v>
      </c>
      <c r="H837" s="283" t="s">
        <v>3884</v>
      </c>
      <c r="K837" s="314" t="s">
        <v>3885</v>
      </c>
      <c r="L837" s="283" t="s">
        <v>3886</v>
      </c>
      <c r="M837" s="1" t="s">
        <v>3889</v>
      </c>
      <c r="N837" s="1">
        <v>0</v>
      </c>
      <c r="O837" s="1">
        <v>1</v>
      </c>
      <c r="P837" s="3">
        <v>0</v>
      </c>
      <c r="Q837" s="3">
        <v>0</v>
      </c>
      <c r="R837" s="3">
        <v>0</v>
      </c>
      <c r="S837" s="3">
        <v>0</v>
      </c>
      <c r="T837" s="283" t="s">
        <v>265</v>
      </c>
      <c r="U837" s="283" t="s">
        <v>350</v>
      </c>
      <c r="V837" s="1" t="s">
        <v>3890</v>
      </c>
      <c r="W837" s="1">
        <v>1</v>
      </c>
      <c r="X837" s="1">
        <v>1</v>
      </c>
      <c r="Y837" s="1">
        <v>0</v>
      </c>
      <c r="Z837" s="1">
        <v>1</v>
      </c>
      <c r="AA837" s="1">
        <v>1</v>
      </c>
      <c r="AB837" s="1">
        <v>1</v>
      </c>
      <c r="AC837" s="316">
        <v>0</v>
      </c>
      <c r="AD837" s="316">
        <v>1</v>
      </c>
      <c r="AE837" s="302">
        <f t="shared" si="34"/>
        <v>0.75</v>
      </c>
      <c r="AF837" s="310"/>
      <c r="AG837" s="17">
        <v>0</v>
      </c>
      <c r="AH837" s="310">
        <v>0</v>
      </c>
      <c r="AI837" s="310">
        <v>0.2</v>
      </c>
      <c r="AJ837" s="310">
        <v>0</v>
      </c>
      <c r="AK837" s="317">
        <v>0.5</v>
      </c>
      <c r="AL837" s="317">
        <v>0</v>
      </c>
      <c r="AM837" s="147">
        <f t="shared" si="33"/>
        <v>0.5</v>
      </c>
      <c r="AN837" s="10" t="s">
        <v>239</v>
      </c>
      <c r="AO837" s="18" t="s">
        <v>241</v>
      </c>
      <c r="AP837" s="283" t="s">
        <v>3891</v>
      </c>
    </row>
    <row r="838" spans="1:42" x14ac:dyDescent="0.3">
      <c r="A838" s="314" t="s">
        <v>1448</v>
      </c>
      <c r="B838" s="283" t="s">
        <v>3447</v>
      </c>
      <c r="C838" s="314" t="s">
        <v>3744</v>
      </c>
      <c r="D838" s="283" t="s">
        <v>3745</v>
      </c>
      <c r="E838" s="314" t="s">
        <v>3746</v>
      </c>
      <c r="F838" s="283" t="s">
        <v>3747</v>
      </c>
      <c r="G838" s="314" t="s">
        <v>3883</v>
      </c>
      <c r="H838" s="283" t="s">
        <v>3884</v>
      </c>
      <c r="K838" s="314" t="s">
        <v>3885</v>
      </c>
      <c r="L838" s="283" t="s">
        <v>3886</v>
      </c>
      <c r="M838" s="1" t="s">
        <v>3892</v>
      </c>
      <c r="N838" s="1"/>
      <c r="Q838" s="3">
        <v>1</v>
      </c>
      <c r="T838" s="283" t="s">
        <v>265</v>
      </c>
      <c r="U838" s="283" t="s">
        <v>350</v>
      </c>
      <c r="V838" s="344" t="s">
        <v>3893</v>
      </c>
      <c r="W838" s="1">
        <v>1</v>
      </c>
      <c r="X838" s="1">
        <v>1</v>
      </c>
      <c r="Y838" s="1">
        <v>0</v>
      </c>
      <c r="Z838" s="1">
        <v>1</v>
      </c>
      <c r="AA838" s="1">
        <v>1</v>
      </c>
      <c r="AB838" s="1">
        <v>1</v>
      </c>
      <c r="AC838" s="316">
        <v>0</v>
      </c>
      <c r="AD838" s="316">
        <v>1</v>
      </c>
      <c r="AE838" s="302">
        <f t="shared" si="34"/>
        <v>0.75</v>
      </c>
      <c r="AF838" s="310"/>
      <c r="AG838" s="17">
        <v>0</v>
      </c>
      <c r="AH838" s="310">
        <v>0</v>
      </c>
      <c r="AI838" s="310">
        <v>0</v>
      </c>
      <c r="AJ838" s="310">
        <v>0.2</v>
      </c>
      <c r="AK838" s="317">
        <v>0</v>
      </c>
      <c r="AL838" s="317">
        <v>0</v>
      </c>
      <c r="AM838" s="147">
        <f t="shared" si="33"/>
        <v>0</v>
      </c>
      <c r="AN838" s="283" t="s">
        <v>265</v>
      </c>
      <c r="AO838" s="18" t="s">
        <v>350</v>
      </c>
      <c r="AP838" s="283" t="s">
        <v>3595</v>
      </c>
    </row>
    <row r="839" spans="1:42" x14ac:dyDescent="0.3">
      <c r="A839" s="314" t="s">
        <v>1448</v>
      </c>
      <c r="B839" s="283" t="s">
        <v>3447</v>
      </c>
      <c r="C839" s="314" t="s">
        <v>3744</v>
      </c>
      <c r="D839" s="283" t="s">
        <v>3745</v>
      </c>
      <c r="E839" s="314" t="s">
        <v>3746</v>
      </c>
      <c r="F839" s="283" t="s">
        <v>3747</v>
      </c>
      <c r="G839" s="314" t="s">
        <v>3883</v>
      </c>
      <c r="H839" s="283" t="s">
        <v>3884</v>
      </c>
      <c r="K839" s="314" t="s">
        <v>3885</v>
      </c>
      <c r="L839" s="283" t="s">
        <v>3886</v>
      </c>
      <c r="M839" s="1" t="s">
        <v>3894</v>
      </c>
      <c r="N839" s="1"/>
      <c r="O839" s="1" t="s">
        <v>3763</v>
      </c>
      <c r="P839" s="3" t="s">
        <v>3763</v>
      </c>
      <c r="Q839" s="3" t="s">
        <v>3763</v>
      </c>
      <c r="R839" s="3" t="s">
        <v>3763</v>
      </c>
      <c r="S839" s="3">
        <v>4</v>
      </c>
      <c r="T839" s="283" t="s">
        <v>1216</v>
      </c>
      <c r="U839" s="283" t="s">
        <v>1218</v>
      </c>
      <c r="V839" s="1" t="s">
        <v>3895</v>
      </c>
      <c r="W839" s="1">
        <v>1</v>
      </c>
      <c r="X839" s="1">
        <v>1</v>
      </c>
      <c r="Y839" s="1">
        <v>1</v>
      </c>
      <c r="Z839" s="1">
        <v>1</v>
      </c>
      <c r="AA839" s="1">
        <v>1</v>
      </c>
      <c r="AB839" s="1">
        <v>0</v>
      </c>
      <c r="AC839" s="316">
        <v>1</v>
      </c>
      <c r="AD839" s="316">
        <v>1</v>
      </c>
      <c r="AE839" s="302">
        <f t="shared" si="34"/>
        <v>0.875</v>
      </c>
      <c r="AF839" s="310"/>
      <c r="AG839" s="17">
        <v>0</v>
      </c>
      <c r="AH839" s="310">
        <v>0</v>
      </c>
      <c r="AI839" s="310">
        <v>0.2</v>
      </c>
      <c r="AJ839" s="310">
        <v>0.2</v>
      </c>
      <c r="AK839" s="317">
        <v>0.2</v>
      </c>
      <c r="AL839" s="317">
        <v>0.2</v>
      </c>
      <c r="AM839" s="147">
        <f t="shared" si="33"/>
        <v>0.4</v>
      </c>
      <c r="AN839" s="283" t="s">
        <v>1216</v>
      </c>
      <c r="AO839" s="18" t="s">
        <v>1218</v>
      </c>
      <c r="AP839" s="283" t="s">
        <v>3896</v>
      </c>
    </row>
    <row r="840" spans="1:42" x14ac:dyDescent="0.3">
      <c r="A840" s="314" t="s">
        <v>1448</v>
      </c>
      <c r="B840" s="283" t="s">
        <v>3447</v>
      </c>
      <c r="C840" s="314" t="s">
        <v>3744</v>
      </c>
      <c r="D840" s="283" t="s">
        <v>3745</v>
      </c>
      <c r="E840" s="314" t="s">
        <v>3746</v>
      </c>
      <c r="F840" s="283" t="s">
        <v>3747</v>
      </c>
      <c r="G840" s="314" t="s">
        <v>3897</v>
      </c>
      <c r="H840" s="283" t="s">
        <v>3898</v>
      </c>
      <c r="K840" s="314" t="s">
        <v>3899</v>
      </c>
      <c r="L840" s="283" t="s">
        <v>3900</v>
      </c>
      <c r="M840" s="1" t="s">
        <v>3901</v>
      </c>
      <c r="N840" s="1">
        <v>0</v>
      </c>
      <c r="O840" s="1" t="s">
        <v>271</v>
      </c>
      <c r="P840" s="3">
        <v>1</v>
      </c>
      <c r="Q840" s="3" t="s">
        <v>271</v>
      </c>
      <c r="R840" s="3" t="s">
        <v>271</v>
      </c>
      <c r="S840" s="3" t="s">
        <v>271</v>
      </c>
      <c r="T840" s="283" t="s">
        <v>265</v>
      </c>
      <c r="U840" s="283" t="s">
        <v>350</v>
      </c>
      <c r="V840" s="1" t="s">
        <v>3902</v>
      </c>
      <c r="W840" s="283">
        <v>1</v>
      </c>
      <c r="X840" s="1">
        <v>1</v>
      </c>
      <c r="Y840" s="1">
        <v>0</v>
      </c>
      <c r="Z840" s="1">
        <v>1</v>
      </c>
      <c r="AA840" s="1">
        <v>1</v>
      </c>
      <c r="AB840" s="1">
        <v>1</v>
      </c>
      <c r="AC840" s="316">
        <v>0</v>
      </c>
      <c r="AD840" s="316">
        <v>1</v>
      </c>
      <c r="AE840" s="302">
        <f t="shared" si="34"/>
        <v>0.75</v>
      </c>
      <c r="AF840" s="17"/>
      <c r="AG840" s="17">
        <v>0</v>
      </c>
      <c r="AH840" s="17">
        <v>0</v>
      </c>
      <c r="AI840" s="310">
        <v>0.1</v>
      </c>
      <c r="AJ840" s="17">
        <v>0</v>
      </c>
      <c r="AK840" s="153">
        <v>0.1</v>
      </c>
      <c r="AL840" s="154">
        <v>0</v>
      </c>
      <c r="AM840" s="147">
        <f t="shared" si="33"/>
        <v>0.1</v>
      </c>
      <c r="AN840" s="283" t="s">
        <v>265</v>
      </c>
      <c r="AO840" s="18" t="s">
        <v>350</v>
      </c>
      <c r="AP840" s="283" t="s">
        <v>3903</v>
      </c>
    </row>
    <row r="841" spans="1:42" x14ac:dyDescent="0.3">
      <c r="A841" s="314" t="s">
        <v>1448</v>
      </c>
      <c r="B841" s="283" t="s">
        <v>3447</v>
      </c>
      <c r="C841" s="314" t="s">
        <v>3744</v>
      </c>
      <c r="D841" s="283" t="s">
        <v>3745</v>
      </c>
      <c r="E841" s="314" t="s">
        <v>3746</v>
      </c>
      <c r="F841" s="283" t="s">
        <v>3747</v>
      </c>
      <c r="G841" s="314" t="s">
        <v>3897</v>
      </c>
      <c r="H841" s="283" t="s">
        <v>3898</v>
      </c>
      <c r="K841" s="314" t="s">
        <v>3899</v>
      </c>
      <c r="L841" s="283" t="s">
        <v>3900</v>
      </c>
      <c r="M841" s="1" t="s">
        <v>3904</v>
      </c>
      <c r="N841" s="1">
        <v>0</v>
      </c>
      <c r="O841" s="1" t="s">
        <v>271</v>
      </c>
      <c r="P841" s="3">
        <v>1</v>
      </c>
      <c r="Q841" s="3" t="s">
        <v>271</v>
      </c>
      <c r="R841" s="3" t="s">
        <v>271</v>
      </c>
      <c r="S841" s="3" t="s">
        <v>271</v>
      </c>
      <c r="T841" s="283" t="s">
        <v>265</v>
      </c>
      <c r="U841" s="283" t="s">
        <v>350</v>
      </c>
      <c r="V841" s="1" t="s">
        <v>3905</v>
      </c>
      <c r="W841" s="1">
        <v>1</v>
      </c>
      <c r="X841" s="1">
        <v>1</v>
      </c>
      <c r="Y841" s="1">
        <v>0</v>
      </c>
      <c r="Z841" s="1">
        <v>1</v>
      </c>
      <c r="AA841" s="1">
        <v>1</v>
      </c>
      <c r="AB841" s="1">
        <v>1</v>
      </c>
      <c r="AC841" s="316">
        <v>0</v>
      </c>
      <c r="AD841" s="316">
        <v>1</v>
      </c>
      <c r="AE841" s="302">
        <f t="shared" si="34"/>
        <v>0.75</v>
      </c>
      <c r="AF841" s="17"/>
      <c r="AG841" s="17">
        <v>0</v>
      </c>
      <c r="AH841" s="17">
        <v>0</v>
      </c>
      <c r="AI841" s="310">
        <v>0.3</v>
      </c>
      <c r="AJ841" s="17">
        <v>0</v>
      </c>
      <c r="AK841" s="153">
        <v>0.5</v>
      </c>
      <c r="AL841" s="154">
        <v>0</v>
      </c>
      <c r="AM841" s="147">
        <f t="shared" si="33"/>
        <v>0.5</v>
      </c>
      <c r="AN841" s="283" t="s">
        <v>265</v>
      </c>
      <c r="AO841" s="18" t="s">
        <v>350</v>
      </c>
      <c r="AP841" s="283" t="s">
        <v>3906</v>
      </c>
    </row>
    <row r="842" spans="1:42" x14ac:dyDescent="0.3">
      <c r="A842" s="314" t="s">
        <v>1448</v>
      </c>
      <c r="B842" s="283" t="s">
        <v>3447</v>
      </c>
      <c r="C842" s="314" t="s">
        <v>3744</v>
      </c>
      <c r="D842" s="283" t="s">
        <v>3745</v>
      </c>
      <c r="E842" s="314" t="s">
        <v>3746</v>
      </c>
      <c r="F842" s="283" t="s">
        <v>3747</v>
      </c>
      <c r="G842" s="314" t="s">
        <v>3897</v>
      </c>
      <c r="H842" s="283" t="s">
        <v>3898</v>
      </c>
      <c r="K842" s="314" t="s">
        <v>3899</v>
      </c>
      <c r="L842" s="283" t="s">
        <v>3900</v>
      </c>
      <c r="M842" s="1" t="s">
        <v>3907</v>
      </c>
      <c r="N842" s="1">
        <v>15</v>
      </c>
      <c r="O842" s="1">
        <v>1</v>
      </c>
      <c r="P842" s="3" t="s">
        <v>271</v>
      </c>
      <c r="Q842" s="3" t="s">
        <v>271</v>
      </c>
      <c r="R842" s="3" t="s">
        <v>271</v>
      </c>
      <c r="S842" s="3" t="s">
        <v>271</v>
      </c>
      <c r="T842" s="283" t="s">
        <v>321</v>
      </c>
      <c r="U842" s="283" t="s">
        <v>1066</v>
      </c>
      <c r="V842" s="1" t="s">
        <v>3908</v>
      </c>
      <c r="W842" s="1">
        <v>1</v>
      </c>
      <c r="X842" s="1">
        <v>1</v>
      </c>
      <c r="Y842" s="1">
        <v>0</v>
      </c>
      <c r="Z842" s="1">
        <v>1</v>
      </c>
      <c r="AA842" s="1">
        <v>1</v>
      </c>
      <c r="AB842" s="1">
        <v>1</v>
      </c>
      <c r="AC842" s="316">
        <v>0</v>
      </c>
      <c r="AD842" s="316">
        <v>1</v>
      </c>
      <c r="AE842" s="302">
        <f t="shared" si="34"/>
        <v>0.75</v>
      </c>
      <c r="AF842" s="310"/>
      <c r="AG842" s="17">
        <v>0</v>
      </c>
      <c r="AH842" s="310">
        <v>0.01</v>
      </c>
      <c r="AI842" s="310">
        <v>0.64</v>
      </c>
      <c r="AJ842" s="17">
        <v>0</v>
      </c>
      <c r="AK842" s="153">
        <v>0.5</v>
      </c>
      <c r="AL842" s="154">
        <v>0</v>
      </c>
      <c r="AM842" s="147">
        <f t="shared" si="33"/>
        <v>0.5</v>
      </c>
      <c r="AN842" s="283" t="s">
        <v>265</v>
      </c>
      <c r="AO842" s="18" t="s">
        <v>350</v>
      </c>
      <c r="AP842" s="283" t="s">
        <v>3906</v>
      </c>
    </row>
    <row r="843" spans="1:42" x14ac:dyDescent="0.3">
      <c r="A843" s="314" t="s">
        <v>1448</v>
      </c>
      <c r="B843" s="283" t="s">
        <v>3447</v>
      </c>
      <c r="C843" s="314" t="s">
        <v>3744</v>
      </c>
      <c r="D843" s="283" t="s">
        <v>3745</v>
      </c>
      <c r="E843" s="314" t="s">
        <v>3746</v>
      </c>
      <c r="F843" s="283" t="s">
        <v>3747</v>
      </c>
      <c r="G843" s="314" t="s">
        <v>3897</v>
      </c>
      <c r="H843" s="283" t="s">
        <v>3898</v>
      </c>
      <c r="K843" s="314" t="s">
        <v>3899</v>
      </c>
      <c r="L843" s="283" t="s">
        <v>3900</v>
      </c>
      <c r="M843" s="1" t="s">
        <v>3909</v>
      </c>
      <c r="N843" s="1">
        <v>0</v>
      </c>
      <c r="O843" s="1">
        <v>4</v>
      </c>
      <c r="P843" s="3">
        <v>4</v>
      </c>
      <c r="Q843" s="3">
        <v>4</v>
      </c>
      <c r="R843" s="3">
        <v>4</v>
      </c>
      <c r="S843" s="3">
        <v>4</v>
      </c>
      <c r="T843" s="283" t="s">
        <v>321</v>
      </c>
      <c r="U843" s="283" t="s">
        <v>1066</v>
      </c>
      <c r="V843" s="1" t="s">
        <v>3910</v>
      </c>
      <c r="W843" s="1">
        <v>1</v>
      </c>
      <c r="X843" s="1">
        <v>1</v>
      </c>
      <c r="Y843" s="1">
        <v>0</v>
      </c>
      <c r="Z843" s="1">
        <v>1</v>
      </c>
      <c r="AA843" s="1">
        <v>1</v>
      </c>
      <c r="AB843" s="1">
        <v>1</v>
      </c>
      <c r="AC843" s="316">
        <v>0</v>
      </c>
      <c r="AD843" s="316">
        <v>1</v>
      </c>
      <c r="AE843" s="302">
        <f t="shared" si="34"/>
        <v>0.75</v>
      </c>
      <c r="AF843" s="17"/>
      <c r="AG843" s="17">
        <v>0</v>
      </c>
      <c r="AH843" s="17">
        <v>0</v>
      </c>
      <c r="AI843" s="310" t="s">
        <v>3911</v>
      </c>
      <c r="AJ843" s="310">
        <v>0.35</v>
      </c>
      <c r="AK843" s="317">
        <v>0.35</v>
      </c>
      <c r="AL843" s="317">
        <v>0.35</v>
      </c>
      <c r="AM843" s="147">
        <f t="shared" si="33"/>
        <v>0.7</v>
      </c>
      <c r="AN843" s="283" t="s">
        <v>321</v>
      </c>
      <c r="AO843" s="18" t="s">
        <v>1066</v>
      </c>
      <c r="AP843" s="283" t="s">
        <v>3912</v>
      </c>
    </row>
    <row r="844" spans="1:42" x14ac:dyDescent="0.3">
      <c r="A844" s="314" t="s">
        <v>1448</v>
      </c>
      <c r="B844" s="283" t="s">
        <v>3447</v>
      </c>
      <c r="C844" s="314" t="s">
        <v>3744</v>
      </c>
      <c r="D844" s="283" t="s">
        <v>3745</v>
      </c>
      <c r="E844" s="314" t="s">
        <v>3746</v>
      </c>
      <c r="F844" s="283" t="s">
        <v>3747</v>
      </c>
      <c r="G844" s="314" t="s">
        <v>3897</v>
      </c>
      <c r="H844" s="283" t="s">
        <v>3898</v>
      </c>
      <c r="K844" s="314" t="s">
        <v>3913</v>
      </c>
      <c r="L844" s="283" t="s">
        <v>3914</v>
      </c>
      <c r="M844" s="1" t="s">
        <v>3915</v>
      </c>
      <c r="N844" s="1" t="s">
        <v>271</v>
      </c>
      <c r="O844" s="1">
        <v>10</v>
      </c>
      <c r="P844" s="3">
        <v>30</v>
      </c>
      <c r="Q844" s="3">
        <v>50</v>
      </c>
      <c r="R844" s="3">
        <v>75</v>
      </c>
      <c r="S844" s="3">
        <v>100</v>
      </c>
      <c r="T844" s="283" t="s">
        <v>321</v>
      </c>
      <c r="U844" s="283" t="s">
        <v>1066</v>
      </c>
      <c r="V844" s="1" t="s">
        <v>3916</v>
      </c>
      <c r="W844" s="1">
        <v>1</v>
      </c>
      <c r="X844" s="1">
        <v>1</v>
      </c>
      <c r="Y844" s="1">
        <v>0</v>
      </c>
      <c r="Z844" s="1">
        <v>1</v>
      </c>
      <c r="AA844" s="1">
        <v>1</v>
      </c>
      <c r="AB844" s="1">
        <v>1</v>
      </c>
      <c r="AC844" s="316">
        <v>0</v>
      </c>
      <c r="AD844" s="316">
        <v>1</v>
      </c>
      <c r="AE844" s="302">
        <f t="shared" si="34"/>
        <v>0.75</v>
      </c>
      <c r="AF844" s="310"/>
      <c r="AG844" s="17">
        <v>0</v>
      </c>
      <c r="AH844" s="310">
        <v>1</v>
      </c>
      <c r="AI844" s="310">
        <v>1</v>
      </c>
      <c r="AJ844" s="310">
        <v>1</v>
      </c>
      <c r="AK844" s="317">
        <v>1</v>
      </c>
      <c r="AL844" s="317">
        <v>1</v>
      </c>
      <c r="AM844" s="147">
        <f t="shared" si="33"/>
        <v>2</v>
      </c>
      <c r="AN844" s="283" t="s">
        <v>321</v>
      </c>
      <c r="AO844" s="18" t="s">
        <v>1066</v>
      </c>
      <c r="AP844" s="283" t="s">
        <v>3917</v>
      </c>
    </row>
    <row r="845" spans="1:42" x14ac:dyDescent="0.3">
      <c r="A845" s="314" t="s">
        <v>1448</v>
      </c>
      <c r="B845" s="283" t="s">
        <v>3447</v>
      </c>
      <c r="C845" s="314" t="s">
        <v>3744</v>
      </c>
      <c r="D845" s="283" t="s">
        <v>3745</v>
      </c>
      <c r="E845" s="314" t="s">
        <v>3746</v>
      </c>
      <c r="F845" s="283" t="s">
        <v>3747</v>
      </c>
      <c r="G845" s="314" t="s">
        <v>3897</v>
      </c>
      <c r="H845" s="283" t="s">
        <v>3898</v>
      </c>
      <c r="K845" s="314" t="s">
        <v>3913</v>
      </c>
      <c r="L845" s="283" t="s">
        <v>3914</v>
      </c>
      <c r="M845" s="1" t="s">
        <v>3918</v>
      </c>
      <c r="N845" s="1" t="s">
        <v>271</v>
      </c>
      <c r="O845" s="1">
        <v>0</v>
      </c>
      <c r="P845" s="3">
        <v>2</v>
      </c>
      <c r="Q845" s="3">
        <v>4</v>
      </c>
      <c r="R845" s="3">
        <v>5</v>
      </c>
      <c r="S845" s="3">
        <v>6</v>
      </c>
      <c r="T845" s="283" t="s">
        <v>321</v>
      </c>
      <c r="U845" s="283" t="s">
        <v>1066</v>
      </c>
      <c r="V845" s="1" t="s">
        <v>3919</v>
      </c>
      <c r="W845" s="1">
        <v>1</v>
      </c>
      <c r="X845" s="1">
        <v>1</v>
      </c>
      <c r="Y845" s="1">
        <v>0</v>
      </c>
      <c r="Z845" s="1">
        <v>1</v>
      </c>
      <c r="AA845" s="1">
        <v>1</v>
      </c>
      <c r="AB845" s="1">
        <v>1</v>
      </c>
      <c r="AC845" s="316">
        <v>0</v>
      </c>
      <c r="AD845" s="316">
        <v>1</v>
      </c>
      <c r="AE845" s="302">
        <f t="shared" si="34"/>
        <v>0.75</v>
      </c>
      <c r="AF845" s="17"/>
      <c r="AG845" s="17">
        <v>0</v>
      </c>
      <c r="AH845" s="17">
        <v>0</v>
      </c>
      <c r="AI845" s="310">
        <v>10</v>
      </c>
      <c r="AJ845" s="310">
        <v>10</v>
      </c>
      <c r="AK845" s="317">
        <v>10</v>
      </c>
      <c r="AL845" s="317">
        <v>10</v>
      </c>
      <c r="AM845" s="147">
        <f t="shared" si="33"/>
        <v>20</v>
      </c>
      <c r="AN845" s="283" t="s">
        <v>321</v>
      </c>
      <c r="AO845" s="18" t="s">
        <v>1066</v>
      </c>
      <c r="AP845" s="283" t="s">
        <v>3920</v>
      </c>
    </row>
    <row r="846" spans="1:42" x14ac:dyDescent="0.3">
      <c r="A846" s="314" t="s">
        <v>1448</v>
      </c>
      <c r="B846" s="283" t="s">
        <v>3447</v>
      </c>
      <c r="C846" s="314" t="s">
        <v>3744</v>
      </c>
      <c r="D846" s="283" t="s">
        <v>3745</v>
      </c>
      <c r="E846" s="314" t="s">
        <v>3746</v>
      </c>
      <c r="F846" s="283" t="s">
        <v>3747</v>
      </c>
      <c r="G846" s="318" t="s">
        <v>3921</v>
      </c>
      <c r="H846" s="283" t="s">
        <v>3922</v>
      </c>
      <c r="K846" s="318" t="s">
        <v>3923</v>
      </c>
      <c r="L846" s="283" t="s">
        <v>3924</v>
      </c>
      <c r="M846" s="1" t="s">
        <v>3925</v>
      </c>
      <c r="N846" s="1" t="s">
        <v>271</v>
      </c>
      <c r="O846" s="1" t="s">
        <v>271</v>
      </c>
      <c r="P846" s="3" t="s">
        <v>3532</v>
      </c>
      <c r="Q846" s="3" t="s">
        <v>3782</v>
      </c>
      <c r="R846" s="3" t="s">
        <v>3926</v>
      </c>
      <c r="S846" s="3" t="s">
        <v>3926</v>
      </c>
      <c r="T846" s="283" t="s">
        <v>265</v>
      </c>
      <c r="U846" s="283" t="s">
        <v>350</v>
      </c>
      <c r="V846" s="1" t="s">
        <v>3927</v>
      </c>
      <c r="W846" s="1">
        <v>1</v>
      </c>
      <c r="X846" s="1">
        <v>1</v>
      </c>
      <c r="Y846" s="1">
        <v>1</v>
      </c>
      <c r="Z846" s="1">
        <v>1</v>
      </c>
      <c r="AA846" s="1">
        <v>1</v>
      </c>
      <c r="AB846" s="1">
        <v>1</v>
      </c>
      <c r="AC846" s="316">
        <v>1</v>
      </c>
      <c r="AD846" s="316">
        <v>1</v>
      </c>
      <c r="AE846" s="302">
        <f t="shared" si="34"/>
        <v>1</v>
      </c>
      <c r="AF846" s="17"/>
      <c r="AG846" s="17">
        <v>0</v>
      </c>
      <c r="AH846" s="17">
        <v>0</v>
      </c>
      <c r="AI846" s="310">
        <v>0</v>
      </c>
      <c r="AJ846" s="17">
        <v>0</v>
      </c>
      <c r="AK846" s="153">
        <v>0</v>
      </c>
      <c r="AL846" s="154">
        <v>0</v>
      </c>
      <c r="AM846" s="147">
        <f t="shared" si="33"/>
        <v>0</v>
      </c>
      <c r="AN846" s="283" t="s">
        <v>265</v>
      </c>
      <c r="AO846" s="18" t="s">
        <v>350</v>
      </c>
      <c r="AP846" s="283" t="s">
        <v>921</v>
      </c>
    </row>
    <row r="847" spans="1:42" x14ac:dyDescent="0.3">
      <c r="A847" s="314" t="s">
        <v>1448</v>
      </c>
      <c r="B847" s="283" t="s">
        <v>3447</v>
      </c>
      <c r="C847" s="314" t="s">
        <v>3744</v>
      </c>
      <c r="D847" s="283" t="s">
        <v>3745</v>
      </c>
      <c r="E847" s="314" t="s">
        <v>3746</v>
      </c>
      <c r="F847" s="283" t="s">
        <v>3747</v>
      </c>
      <c r="G847" s="318" t="s">
        <v>3921</v>
      </c>
      <c r="H847" s="283" t="s">
        <v>3922</v>
      </c>
      <c r="K847" s="318" t="s">
        <v>3923</v>
      </c>
      <c r="L847" s="283" t="s">
        <v>3924</v>
      </c>
      <c r="M847" s="1" t="s">
        <v>3928</v>
      </c>
      <c r="N847" s="1" t="s">
        <v>271</v>
      </c>
      <c r="O847" s="1">
        <v>0</v>
      </c>
      <c r="P847" s="3" t="s">
        <v>3926</v>
      </c>
      <c r="Q847" s="3" t="s">
        <v>3565</v>
      </c>
      <c r="R847" s="3" t="s">
        <v>3548</v>
      </c>
      <c r="S847" s="3" t="s">
        <v>3548</v>
      </c>
      <c r="T847" s="283" t="s">
        <v>265</v>
      </c>
      <c r="U847" s="283" t="s">
        <v>350</v>
      </c>
      <c r="V847" s="1" t="s">
        <v>3929</v>
      </c>
      <c r="W847" s="1">
        <v>1</v>
      </c>
      <c r="X847" s="1">
        <v>1</v>
      </c>
      <c r="Y847" s="1">
        <v>1</v>
      </c>
      <c r="Z847" s="1">
        <v>1</v>
      </c>
      <c r="AA847" s="1">
        <v>1</v>
      </c>
      <c r="AB847" s="1">
        <v>1</v>
      </c>
      <c r="AC847" s="316">
        <v>1</v>
      </c>
      <c r="AD847" s="316">
        <v>1</v>
      </c>
      <c r="AE847" s="302">
        <f t="shared" si="34"/>
        <v>1</v>
      </c>
      <c r="AF847" s="17"/>
      <c r="AG847" s="17">
        <v>0</v>
      </c>
      <c r="AH847" s="17">
        <v>0</v>
      </c>
      <c r="AI847" s="17">
        <v>0</v>
      </c>
      <c r="AJ847" s="310">
        <v>0</v>
      </c>
      <c r="AK847" s="317">
        <v>0</v>
      </c>
      <c r="AL847" s="317">
        <v>0</v>
      </c>
      <c r="AM847" s="147">
        <f t="shared" si="33"/>
        <v>0</v>
      </c>
      <c r="AN847" s="283" t="s">
        <v>265</v>
      </c>
      <c r="AO847" s="18" t="s">
        <v>350</v>
      </c>
      <c r="AP847" s="283" t="s">
        <v>3930</v>
      </c>
    </row>
    <row r="848" spans="1:42" x14ac:dyDescent="0.3">
      <c r="A848" s="314" t="s">
        <v>1448</v>
      </c>
      <c r="B848" s="283" t="s">
        <v>3447</v>
      </c>
      <c r="C848" s="314" t="s">
        <v>3744</v>
      </c>
      <c r="D848" s="283" t="s">
        <v>3745</v>
      </c>
      <c r="E848" s="314" t="s">
        <v>3746</v>
      </c>
      <c r="F848" s="283" t="s">
        <v>3747</v>
      </c>
      <c r="G848" s="318" t="s">
        <v>3921</v>
      </c>
      <c r="H848" s="283" t="s">
        <v>3922</v>
      </c>
      <c r="K848" s="318" t="s">
        <v>3923</v>
      </c>
      <c r="L848" s="283" t="s">
        <v>3924</v>
      </c>
      <c r="M848" s="1" t="s">
        <v>3931</v>
      </c>
      <c r="N848" s="1" t="s">
        <v>271</v>
      </c>
      <c r="O848" s="1" t="s">
        <v>271</v>
      </c>
      <c r="P848" s="3" t="s">
        <v>3560</v>
      </c>
      <c r="Q848" s="3" t="s">
        <v>3932</v>
      </c>
      <c r="R848" s="3" t="s">
        <v>3932</v>
      </c>
      <c r="S848" s="3" t="s">
        <v>3932</v>
      </c>
      <c r="T848" s="283" t="s">
        <v>265</v>
      </c>
      <c r="U848" s="283" t="s">
        <v>350</v>
      </c>
      <c r="V848" s="1" t="s">
        <v>3933</v>
      </c>
      <c r="W848" s="1">
        <v>1</v>
      </c>
      <c r="X848" s="1">
        <v>1</v>
      </c>
      <c r="Y848" s="1">
        <v>1</v>
      </c>
      <c r="Z848" s="1">
        <v>1</v>
      </c>
      <c r="AA848" s="1">
        <v>1</v>
      </c>
      <c r="AB848" s="1">
        <v>1</v>
      </c>
      <c r="AC848" s="316">
        <v>1</v>
      </c>
      <c r="AD848" s="316">
        <v>1</v>
      </c>
      <c r="AE848" s="302">
        <f t="shared" si="34"/>
        <v>1</v>
      </c>
      <c r="AF848" s="17"/>
      <c r="AG848" s="17">
        <v>0</v>
      </c>
      <c r="AH848" s="17">
        <v>0</v>
      </c>
      <c r="AI848" s="310">
        <v>0</v>
      </c>
      <c r="AJ848" s="310">
        <v>0</v>
      </c>
      <c r="AK848" s="317">
        <v>0</v>
      </c>
      <c r="AL848" s="317">
        <v>0</v>
      </c>
      <c r="AM848" s="147">
        <f t="shared" si="33"/>
        <v>0</v>
      </c>
      <c r="AN848" s="283" t="s">
        <v>265</v>
      </c>
      <c r="AO848" s="18" t="s">
        <v>350</v>
      </c>
      <c r="AP848" s="283" t="s">
        <v>119</v>
      </c>
    </row>
    <row r="849" spans="1:42" x14ac:dyDescent="0.3">
      <c r="A849" s="314" t="s">
        <v>1448</v>
      </c>
      <c r="B849" s="283" t="s">
        <v>3447</v>
      </c>
      <c r="C849" s="314" t="s">
        <v>3934</v>
      </c>
      <c r="D849" s="283" t="s">
        <v>2439</v>
      </c>
      <c r="E849" s="314" t="s">
        <v>3935</v>
      </c>
      <c r="F849" s="283" t="s">
        <v>3936</v>
      </c>
      <c r="G849" s="314" t="s">
        <v>3937</v>
      </c>
      <c r="H849" s="283" t="s">
        <v>3938</v>
      </c>
      <c r="K849" s="314" t="s">
        <v>3939</v>
      </c>
      <c r="L849" s="347" t="s">
        <v>3940</v>
      </c>
      <c r="M849" s="1" t="s">
        <v>3940</v>
      </c>
      <c r="N849" s="1">
        <v>0</v>
      </c>
      <c r="O849" s="1">
        <v>1</v>
      </c>
      <c r="P849" s="3" t="s">
        <v>271</v>
      </c>
      <c r="Q849" s="3" t="s">
        <v>271</v>
      </c>
      <c r="R849" s="3" t="s">
        <v>271</v>
      </c>
      <c r="S849" s="3" t="s">
        <v>271</v>
      </c>
      <c r="T849" s="283" t="s">
        <v>265</v>
      </c>
      <c r="U849" s="283" t="s">
        <v>350</v>
      </c>
      <c r="V849" s="1" t="s">
        <v>3941</v>
      </c>
      <c r="W849" s="1">
        <v>1</v>
      </c>
      <c r="X849" s="1">
        <v>1</v>
      </c>
      <c r="Y849" s="1">
        <v>1</v>
      </c>
      <c r="Z849" s="1">
        <v>1</v>
      </c>
      <c r="AA849" s="1">
        <v>1</v>
      </c>
      <c r="AB849" s="1">
        <v>1</v>
      </c>
      <c r="AC849" s="316">
        <v>1</v>
      </c>
      <c r="AD849" s="316">
        <v>1</v>
      </c>
      <c r="AE849" s="302">
        <f t="shared" si="34"/>
        <v>1</v>
      </c>
      <c r="AF849" s="17"/>
      <c r="AG849" s="17">
        <v>0</v>
      </c>
      <c r="AH849" s="17">
        <v>0</v>
      </c>
      <c r="AI849" s="310">
        <v>0</v>
      </c>
      <c r="AJ849" s="310">
        <v>0</v>
      </c>
      <c r="AK849" s="317">
        <v>0.1</v>
      </c>
      <c r="AL849" s="317">
        <v>0</v>
      </c>
      <c r="AM849" s="147">
        <f t="shared" si="33"/>
        <v>0.1</v>
      </c>
      <c r="AN849" s="283" t="s">
        <v>265</v>
      </c>
      <c r="AO849" s="18" t="s">
        <v>350</v>
      </c>
      <c r="AP849" s="283" t="s">
        <v>119</v>
      </c>
    </row>
    <row r="850" spans="1:42" x14ac:dyDescent="0.3">
      <c r="A850" s="314" t="s">
        <v>1448</v>
      </c>
      <c r="B850" s="283" t="s">
        <v>3447</v>
      </c>
      <c r="C850" s="314" t="s">
        <v>3934</v>
      </c>
      <c r="D850" s="283" t="s">
        <v>2439</v>
      </c>
      <c r="E850" s="314" t="s">
        <v>3935</v>
      </c>
      <c r="F850" s="283" t="s">
        <v>3936</v>
      </c>
      <c r="G850" s="314" t="s">
        <v>3937</v>
      </c>
      <c r="H850" s="283" t="s">
        <v>3938</v>
      </c>
      <c r="K850" s="314" t="s">
        <v>3939</v>
      </c>
      <c r="L850" s="347" t="s">
        <v>3940</v>
      </c>
      <c r="M850" s="1" t="s">
        <v>3942</v>
      </c>
      <c r="N850" s="1"/>
      <c r="O850" s="167"/>
      <c r="P850" s="211"/>
      <c r="Q850" s="211">
        <v>10</v>
      </c>
      <c r="R850" s="211">
        <v>15</v>
      </c>
      <c r="S850" s="211">
        <v>20</v>
      </c>
      <c r="T850" s="283" t="s">
        <v>265</v>
      </c>
      <c r="U850" s="283" t="s">
        <v>350</v>
      </c>
      <c r="V850" s="1" t="s">
        <v>3943</v>
      </c>
      <c r="W850" s="1">
        <v>1</v>
      </c>
      <c r="X850" s="1">
        <v>1</v>
      </c>
      <c r="Y850" s="1">
        <v>1</v>
      </c>
      <c r="Z850" s="1">
        <v>1</v>
      </c>
      <c r="AA850" s="1">
        <v>1</v>
      </c>
      <c r="AB850" s="1">
        <v>1</v>
      </c>
      <c r="AC850" s="316">
        <v>1</v>
      </c>
      <c r="AD850" s="316">
        <v>1</v>
      </c>
      <c r="AE850" s="302">
        <f t="shared" si="34"/>
        <v>1</v>
      </c>
      <c r="AF850" s="17"/>
      <c r="AG850" s="17">
        <v>0</v>
      </c>
      <c r="AH850" s="17">
        <v>0</v>
      </c>
      <c r="AI850" s="310">
        <v>0</v>
      </c>
      <c r="AJ850" s="310">
        <v>0</v>
      </c>
      <c r="AK850" s="317">
        <v>0.1</v>
      </c>
      <c r="AL850" s="317">
        <v>0</v>
      </c>
      <c r="AM850" s="147">
        <f t="shared" si="33"/>
        <v>0.1</v>
      </c>
      <c r="AN850" s="283" t="s">
        <v>265</v>
      </c>
      <c r="AO850" s="18" t="s">
        <v>350</v>
      </c>
      <c r="AP850" s="283" t="s">
        <v>119</v>
      </c>
    </row>
    <row r="851" spans="1:42" x14ac:dyDescent="0.3">
      <c r="A851" s="314" t="s">
        <v>1448</v>
      </c>
      <c r="B851" s="283" t="s">
        <v>3447</v>
      </c>
      <c r="C851" s="314" t="s">
        <v>3934</v>
      </c>
      <c r="D851" s="283" t="s">
        <v>2439</v>
      </c>
      <c r="E851" s="314" t="s">
        <v>3935</v>
      </c>
      <c r="F851" s="283" t="s">
        <v>3936</v>
      </c>
      <c r="G851" s="314" t="s">
        <v>3937</v>
      </c>
      <c r="H851" s="283" t="s">
        <v>3938</v>
      </c>
      <c r="K851" s="314" t="s">
        <v>3939</v>
      </c>
      <c r="L851" s="347" t="s">
        <v>3940</v>
      </c>
      <c r="M851" s="1" t="s">
        <v>3944</v>
      </c>
      <c r="N851" s="1"/>
      <c r="R851" s="3">
        <v>50</v>
      </c>
      <c r="S851" s="3">
        <v>100</v>
      </c>
      <c r="T851" s="283" t="s">
        <v>265</v>
      </c>
      <c r="U851" s="283" t="s">
        <v>350</v>
      </c>
      <c r="V851" s="1" t="s">
        <v>3945</v>
      </c>
      <c r="W851" s="1">
        <v>1</v>
      </c>
      <c r="X851" s="1">
        <v>1</v>
      </c>
      <c r="Y851" s="1">
        <v>1</v>
      </c>
      <c r="Z851" s="1">
        <v>1</v>
      </c>
      <c r="AA851" s="1">
        <v>1</v>
      </c>
      <c r="AB851" s="1">
        <v>1</v>
      </c>
      <c r="AC851" s="316">
        <v>1</v>
      </c>
      <c r="AD851" s="316">
        <v>1</v>
      </c>
      <c r="AE851" s="302">
        <f t="shared" si="34"/>
        <v>1</v>
      </c>
      <c r="AF851" s="17"/>
      <c r="AG851" s="17">
        <v>0</v>
      </c>
      <c r="AH851" s="17">
        <v>0</v>
      </c>
      <c r="AI851" s="310" t="s">
        <v>3946</v>
      </c>
      <c r="AJ851" s="310">
        <v>0</v>
      </c>
      <c r="AK851" s="317">
        <v>0.1</v>
      </c>
      <c r="AL851" s="317">
        <v>0</v>
      </c>
      <c r="AM851" s="147">
        <f t="shared" si="33"/>
        <v>0.1</v>
      </c>
      <c r="AN851" s="283" t="s">
        <v>265</v>
      </c>
      <c r="AO851" s="18" t="s">
        <v>350</v>
      </c>
      <c r="AP851" s="283" t="s">
        <v>119</v>
      </c>
    </row>
    <row r="852" spans="1:42" x14ac:dyDescent="0.3">
      <c r="A852" s="314" t="s">
        <v>1448</v>
      </c>
      <c r="B852" s="283" t="s">
        <v>3447</v>
      </c>
      <c r="C852" s="314" t="s">
        <v>3934</v>
      </c>
      <c r="D852" s="283" t="s">
        <v>2439</v>
      </c>
      <c r="E852" s="314" t="s">
        <v>3935</v>
      </c>
      <c r="F852" s="283" t="s">
        <v>3936</v>
      </c>
      <c r="G852" s="314" t="s">
        <v>3937</v>
      </c>
      <c r="H852" s="283" t="s">
        <v>3938</v>
      </c>
      <c r="K852" s="314" t="s">
        <v>3939</v>
      </c>
      <c r="L852" s="347" t="s">
        <v>3940</v>
      </c>
      <c r="M852" s="1" t="s">
        <v>3947</v>
      </c>
      <c r="N852" s="1"/>
      <c r="O852" s="167">
        <v>5</v>
      </c>
      <c r="P852" s="211">
        <v>10</v>
      </c>
      <c r="T852" s="283" t="s">
        <v>265</v>
      </c>
      <c r="U852" s="283" t="s">
        <v>350</v>
      </c>
      <c r="V852" s="1" t="s">
        <v>3948</v>
      </c>
      <c r="W852" s="1">
        <v>1</v>
      </c>
      <c r="X852" s="1">
        <v>1</v>
      </c>
      <c r="Y852" s="1">
        <v>1</v>
      </c>
      <c r="Z852" s="1">
        <v>1</v>
      </c>
      <c r="AA852" s="1">
        <v>1</v>
      </c>
      <c r="AB852" s="1">
        <v>1</v>
      </c>
      <c r="AC852" s="316">
        <v>1</v>
      </c>
      <c r="AD852" s="316">
        <v>1</v>
      </c>
      <c r="AE852" s="302">
        <f t="shared" si="34"/>
        <v>1</v>
      </c>
      <c r="AF852" s="310"/>
      <c r="AG852" s="17">
        <v>0</v>
      </c>
      <c r="AH852" s="310">
        <v>0</v>
      </c>
      <c r="AI852" s="310">
        <v>1</v>
      </c>
      <c r="AJ852" s="310">
        <v>1</v>
      </c>
      <c r="AK852" s="153">
        <v>1.5</v>
      </c>
      <c r="AL852" s="154">
        <v>1.5</v>
      </c>
      <c r="AM852" s="147">
        <f t="shared" si="33"/>
        <v>3</v>
      </c>
      <c r="AN852" s="283" t="s">
        <v>265</v>
      </c>
      <c r="AO852" s="18" t="s">
        <v>350</v>
      </c>
      <c r="AP852" s="283" t="s">
        <v>3949</v>
      </c>
    </row>
    <row r="853" spans="1:42" x14ac:dyDescent="0.3">
      <c r="A853" s="314" t="s">
        <v>1448</v>
      </c>
      <c r="B853" s="283" t="s">
        <v>3447</v>
      </c>
      <c r="C853" s="314" t="s">
        <v>3934</v>
      </c>
      <c r="D853" s="283" t="s">
        <v>2439</v>
      </c>
      <c r="E853" s="314" t="s">
        <v>3935</v>
      </c>
      <c r="F853" s="283" t="s">
        <v>3936</v>
      </c>
      <c r="G853" s="314" t="s">
        <v>3937</v>
      </c>
      <c r="H853" s="283" t="s">
        <v>3938</v>
      </c>
      <c r="K853" s="314" t="s">
        <v>3939</v>
      </c>
      <c r="L853" s="347" t="s">
        <v>3940</v>
      </c>
      <c r="M853" s="1" t="s">
        <v>3950</v>
      </c>
      <c r="N853" s="1">
        <v>0</v>
      </c>
      <c r="O853" s="1">
        <v>1</v>
      </c>
      <c r="P853" s="3">
        <v>1</v>
      </c>
      <c r="Q853" s="3">
        <v>1</v>
      </c>
      <c r="R853" s="3">
        <v>1</v>
      </c>
      <c r="S853" s="3">
        <v>1</v>
      </c>
      <c r="T853" s="283" t="s">
        <v>265</v>
      </c>
      <c r="U853" s="283" t="s">
        <v>350</v>
      </c>
      <c r="V853" s="1" t="s">
        <v>3951</v>
      </c>
      <c r="W853" s="1">
        <v>1</v>
      </c>
      <c r="X853" s="1">
        <v>1</v>
      </c>
      <c r="Y853" s="1">
        <v>1</v>
      </c>
      <c r="Z853" s="1">
        <v>1</v>
      </c>
      <c r="AA853" s="1">
        <v>1</v>
      </c>
      <c r="AB853" s="1">
        <v>1</v>
      </c>
      <c r="AC853" s="316">
        <v>1</v>
      </c>
      <c r="AD853" s="316">
        <v>1</v>
      </c>
      <c r="AE853" s="302">
        <f t="shared" si="34"/>
        <v>1</v>
      </c>
      <c r="AF853" s="310"/>
      <c r="AG853" s="17">
        <v>0</v>
      </c>
      <c r="AH853" s="310">
        <v>0</v>
      </c>
      <c r="AI853" s="310">
        <v>0</v>
      </c>
      <c r="AJ853" s="310">
        <v>0</v>
      </c>
      <c r="AK853" s="317">
        <v>1</v>
      </c>
      <c r="AL853" s="317">
        <v>0</v>
      </c>
      <c r="AM853" s="147">
        <f t="shared" si="33"/>
        <v>1</v>
      </c>
      <c r="AN853" s="283" t="s">
        <v>265</v>
      </c>
      <c r="AO853" s="18" t="s">
        <v>350</v>
      </c>
      <c r="AP853" s="283" t="s">
        <v>869</v>
      </c>
    </row>
    <row r="854" spans="1:42" x14ac:dyDescent="0.3">
      <c r="A854" s="314" t="s">
        <v>1448</v>
      </c>
      <c r="B854" s="283" t="s">
        <v>3447</v>
      </c>
      <c r="C854" s="314" t="s">
        <v>3934</v>
      </c>
      <c r="D854" s="283" t="s">
        <v>2439</v>
      </c>
      <c r="E854" s="314" t="s">
        <v>3935</v>
      </c>
      <c r="F854" s="283" t="s">
        <v>3936</v>
      </c>
      <c r="G854" s="314" t="s">
        <v>3937</v>
      </c>
      <c r="H854" s="283" t="s">
        <v>3938</v>
      </c>
      <c r="K854" s="314" t="s">
        <v>3939</v>
      </c>
      <c r="L854" s="347" t="s">
        <v>3940</v>
      </c>
      <c r="M854" s="449" t="s">
        <v>3952</v>
      </c>
      <c r="N854" s="1"/>
      <c r="O854" s="167">
        <v>1</v>
      </c>
      <c r="P854" s="211">
        <v>5</v>
      </c>
      <c r="Q854" s="211">
        <v>20</v>
      </c>
      <c r="R854" s="211">
        <v>30</v>
      </c>
      <c r="S854" s="211">
        <v>40</v>
      </c>
      <c r="T854" s="283" t="s">
        <v>265</v>
      </c>
      <c r="U854" s="283" t="s">
        <v>350</v>
      </c>
      <c r="V854" s="1" t="s">
        <v>3953</v>
      </c>
      <c r="W854" s="1">
        <v>1</v>
      </c>
      <c r="X854" s="1">
        <v>1</v>
      </c>
      <c r="Y854" s="1">
        <v>1</v>
      </c>
      <c r="Z854" s="1">
        <v>1</v>
      </c>
      <c r="AA854" s="1">
        <v>1</v>
      </c>
      <c r="AB854" s="1">
        <v>0</v>
      </c>
      <c r="AC854" s="316">
        <v>1</v>
      </c>
      <c r="AD854" s="316">
        <v>1</v>
      </c>
      <c r="AE854" s="302">
        <f t="shared" si="34"/>
        <v>0.875</v>
      </c>
      <c r="AF854" s="310"/>
      <c r="AG854" s="17">
        <v>0</v>
      </c>
      <c r="AH854" s="310">
        <v>0.01</v>
      </c>
      <c r="AI854" s="310">
        <v>0.15</v>
      </c>
      <c r="AJ854" s="310">
        <v>0.52</v>
      </c>
      <c r="AK854" s="317">
        <v>0.83</v>
      </c>
      <c r="AL854" s="317">
        <v>0.94</v>
      </c>
      <c r="AM854" s="147">
        <f t="shared" si="33"/>
        <v>1.77</v>
      </c>
      <c r="AN854" s="283" t="s">
        <v>265</v>
      </c>
      <c r="AO854" s="18" t="s">
        <v>350</v>
      </c>
      <c r="AP854" s="283" t="s">
        <v>3954</v>
      </c>
    </row>
    <row r="855" spans="1:42" x14ac:dyDescent="0.3">
      <c r="A855" s="314" t="s">
        <v>1448</v>
      </c>
      <c r="B855" s="283" t="s">
        <v>3447</v>
      </c>
      <c r="C855" s="314" t="s">
        <v>3934</v>
      </c>
      <c r="D855" s="283" t="s">
        <v>2439</v>
      </c>
      <c r="E855" s="314" t="s">
        <v>3935</v>
      </c>
      <c r="F855" s="283" t="s">
        <v>3936</v>
      </c>
      <c r="G855" s="314" t="s">
        <v>3937</v>
      </c>
      <c r="H855" s="283" t="s">
        <v>3938</v>
      </c>
      <c r="K855" s="314" t="s">
        <v>3939</v>
      </c>
      <c r="L855" s="347" t="s">
        <v>3940</v>
      </c>
      <c r="M855" s="1" t="s">
        <v>3955</v>
      </c>
      <c r="N855" s="1"/>
      <c r="O855" s="1">
        <v>75</v>
      </c>
      <c r="P855" s="3">
        <v>75</v>
      </c>
      <c r="Q855" s="3">
        <v>75</v>
      </c>
      <c r="R855" s="3">
        <v>75</v>
      </c>
      <c r="S855" s="3">
        <v>75</v>
      </c>
      <c r="T855" s="283" t="s">
        <v>1446</v>
      </c>
      <c r="U855" s="283" t="s">
        <v>3715</v>
      </c>
      <c r="V855" s="1" t="s">
        <v>3956</v>
      </c>
      <c r="W855" s="1">
        <v>1</v>
      </c>
      <c r="X855" s="1">
        <v>1</v>
      </c>
      <c r="Y855" s="1">
        <v>0</v>
      </c>
      <c r="Z855" s="1">
        <v>1</v>
      </c>
      <c r="AA855" s="1">
        <v>1</v>
      </c>
      <c r="AB855" s="1">
        <v>1</v>
      </c>
      <c r="AC855" s="316">
        <v>0</v>
      </c>
      <c r="AD855" s="316">
        <v>1</v>
      </c>
      <c r="AE855" s="302">
        <f t="shared" si="34"/>
        <v>0.75</v>
      </c>
      <c r="AF855" s="17"/>
      <c r="AG855" s="17">
        <v>0</v>
      </c>
      <c r="AH855" s="17">
        <v>0</v>
      </c>
      <c r="AI855" s="310">
        <v>0.2</v>
      </c>
      <c r="AJ855" s="310">
        <v>0.2</v>
      </c>
      <c r="AK855" s="317">
        <v>0.2</v>
      </c>
      <c r="AL855" s="317">
        <v>0.2</v>
      </c>
      <c r="AM855" s="147">
        <f t="shared" si="33"/>
        <v>0.4</v>
      </c>
      <c r="AN855" s="283" t="s">
        <v>1446</v>
      </c>
      <c r="AO855" s="18" t="s">
        <v>3715</v>
      </c>
      <c r="AP855" s="283" t="s">
        <v>3957</v>
      </c>
    </row>
    <row r="856" spans="1:42" x14ac:dyDescent="0.3">
      <c r="A856" s="314" t="s">
        <v>1448</v>
      </c>
      <c r="B856" s="283" t="s">
        <v>3447</v>
      </c>
      <c r="C856" s="314" t="s">
        <v>3934</v>
      </c>
      <c r="D856" s="283" t="s">
        <v>2439</v>
      </c>
      <c r="E856" s="314" t="s">
        <v>3935</v>
      </c>
      <c r="F856" s="283" t="s">
        <v>3936</v>
      </c>
      <c r="G856" s="314" t="s">
        <v>3958</v>
      </c>
      <c r="H856" s="283" t="s">
        <v>3959</v>
      </c>
      <c r="K856" s="314" t="s">
        <v>3960</v>
      </c>
      <c r="L856" s="283" t="s">
        <v>3961</v>
      </c>
      <c r="M856" s="1" t="s">
        <v>3962</v>
      </c>
      <c r="N856" s="1">
        <v>0</v>
      </c>
      <c r="O856" s="1">
        <v>1</v>
      </c>
      <c r="P856" s="3">
        <v>1</v>
      </c>
      <c r="Q856" s="3">
        <v>1</v>
      </c>
      <c r="T856" s="283" t="s">
        <v>265</v>
      </c>
      <c r="U856" s="283" t="s">
        <v>350</v>
      </c>
      <c r="V856" s="1" t="s">
        <v>3963</v>
      </c>
      <c r="W856" s="1">
        <v>1</v>
      </c>
      <c r="X856" s="1">
        <v>1</v>
      </c>
      <c r="Y856" s="1">
        <v>0</v>
      </c>
      <c r="Z856" s="1">
        <v>0</v>
      </c>
      <c r="AA856" s="1">
        <v>1</v>
      </c>
      <c r="AB856" s="1">
        <v>1</v>
      </c>
      <c r="AC856" s="316">
        <v>1</v>
      </c>
      <c r="AD856" s="316">
        <v>1</v>
      </c>
      <c r="AE856" s="302">
        <f t="shared" si="34"/>
        <v>0.75</v>
      </c>
      <c r="AF856" s="310"/>
      <c r="AG856" s="17">
        <v>0</v>
      </c>
      <c r="AH856" s="310">
        <v>0.5</v>
      </c>
      <c r="AI856" s="310">
        <v>0.5</v>
      </c>
      <c r="AJ856" s="310">
        <v>0.5</v>
      </c>
      <c r="AK856" s="153">
        <v>0</v>
      </c>
      <c r="AL856" s="154">
        <v>0</v>
      </c>
      <c r="AM856" s="147">
        <f t="shared" si="33"/>
        <v>0</v>
      </c>
      <c r="AN856" s="283" t="s">
        <v>265</v>
      </c>
      <c r="AO856" s="18" t="s">
        <v>350</v>
      </c>
      <c r="AP856" s="283" t="s">
        <v>3964</v>
      </c>
    </row>
    <row r="857" spans="1:42" x14ac:dyDescent="0.3">
      <c r="A857" s="314" t="s">
        <v>1448</v>
      </c>
      <c r="B857" s="283" t="s">
        <v>3447</v>
      </c>
      <c r="C857" s="314" t="s">
        <v>3934</v>
      </c>
      <c r="D857" s="283" t="s">
        <v>2439</v>
      </c>
      <c r="E857" s="314" t="s">
        <v>3935</v>
      </c>
      <c r="F857" s="283" t="s">
        <v>3936</v>
      </c>
      <c r="G857" s="314" t="s">
        <v>3958</v>
      </c>
      <c r="H857" s="283" t="s">
        <v>3959</v>
      </c>
      <c r="K857" s="314" t="s">
        <v>3960</v>
      </c>
      <c r="L857" s="283" t="s">
        <v>3961</v>
      </c>
      <c r="M857" s="1" t="s">
        <v>3965</v>
      </c>
      <c r="N857" s="1"/>
      <c r="P857" s="3">
        <v>3</v>
      </c>
      <c r="Q857" s="3">
        <v>1</v>
      </c>
      <c r="R857" s="3">
        <v>1</v>
      </c>
      <c r="S857" s="3">
        <v>1</v>
      </c>
      <c r="T857" s="283" t="s">
        <v>1581</v>
      </c>
      <c r="U857" s="283" t="s">
        <v>1583</v>
      </c>
      <c r="V857" s="1" t="s">
        <v>3966</v>
      </c>
      <c r="W857" s="1">
        <v>1</v>
      </c>
      <c r="X857" s="1">
        <v>1</v>
      </c>
      <c r="Y857" s="1">
        <v>1</v>
      </c>
      <c r="Z857" s="1">
        <v>0</v>
      </c>
      <c r="AA857" s="1">
        <v>1</v>
      </c>
      <c r="AB857" s="1">
        <v>1</v>
      </c>
      <c r="AC857" s="316">
        <v>1</v>
      </c>
      <c r="AD857" s="316">
        <v>1</v>
      </c>
      <c r="AE857" s="302">
        <f t="shared" si="34"/>
        <v>0.875</v>
      </c>
      <c r="AF857" s="17"/>
      <c r="AG857" s="17">
        <v>0</v>
      </c>
      <c r="AH857" s="17">
        <v>0</v>
      </c>
      <c r="AI857" s="310">
        <v>0.3</v>
      </c>
      <c r="AJ857" s="310">
        <v>0.1</v>
      </c>
      <c r="AK857" s="317">
        <v>0.1</v>
      </c>
      <c r="AL857" s="317">
        <v>0.1</v>
      </c>
      <c r="AM857" s="147">
        <f t="shared" si="33"/>
        <v>0.2</v>
      </c>
      <c r="AN857" s="283" t="s">
        <v>1581</v>
      </c>
      <c r="AO857" s="18" t="s">
        <v>1583</v>
      </c>
      <c r="AP857" s="283" t="s">
        <v>3967</v>
      </c>
    </row>
    <row r="858" spans="1:42" x14ac:dyDescent="0.3">
      <c r="A858" s="314" t="s">
        <v>1448</v>
      </c>
      <c r="B858" s="283" t="s">
        <v>3447</v>
      </c>
      <c r="C858" s="314" t="s">
        <v>3934</v>
      </c>
      <c r="D858" s="283" t="s">
        <v>2439</v>
      </c>
      <c r="E858" s="314" t="s">
        <v>3935</v>
      </c>
      <c r="F858" s="283" t="s">
        <v>3936</v>
      </c>
      <c r="G858" s="314" t="s">
        <v>3958</v>
      </c>
      <c r="H858" s="283" t="s">
        <v>3959</v>
      </c>
      <c r="K858" s="314" t="s">
        <v>3960</v>
      </c>
      <c r="L858" s="283" t="s">
        <v>3961</v>
      </c>
      <c r="M858" s="1" t="s">
        <v>3968</v>
      </c>
      <c r="N858" s="1">
        <v>0</v>
      </c>
      <c r="O858" s="1" t="s">
        <v>3926</v>
      </c>
      <c r="P858" s="3" t="s">
        <v>3532</v>
      </c>
      <c r="Q858" s="3" t="s">
        <v>3926</v>
      </c>
      <c r="R858" s="3" t="s">
        <v>3782</v>
      </c>
      <c r="S858" s="3" t="s">
        <v>3782</v>
      </c>
      <c r="T858" s="283" t="s">
        <v>321</v>
      </c>
      <c r="U858" s="283" t="s">
        <v>1066</v>
      </c>
      <c r="V858" s="277" t="s">
        <v>3969</v>
      </c>
      <c r="W858" s="1">
        <v>1</v>
      </c>
      <c r="X858" s="1">
        <v>0</v>
      </c>
      <c r="Y858" s="1">
        <v>1</v>
      </c>
      <c r="Z858" s="1">
        <v>1</v>
      </c>
      <c r="AA858" s="1">
        <v>1</v>
      </c>
      <c r="AB858" s="1">
        <v>1</v>
      </c>
      <c r="AC858" s="316">
        <v>1</v>
      </c>
      <c r="AD858" s="316">
        <v>1</v>
      </c>
      <c r="AE858" s="302">
        <f t="shared" si="34"/>
        <v>0.875</v>
      </c>
      <c r="AF858" s="17"/>
      <c r="AG858" s="17">
        <v>0</v>
      </c>
      <c r="AH858" s="17">
        <v>0</v>
      </c>
      <c r="AI858" s="310">
        <v>0.3</v>
      </c>
      <c r="AJ858" s="17">
        <v>0</v>
      </c>
      <c r="AK858" s="153">
        <v>0</v>
      </c>
      <c r="AL858" s="154">
        <v>0</v>
      </c>
      <c r="AM858" s="147">
        <f t="shared" si="33"/>
        <v>0</v>
      </c>
      <c r="AN858" s="283" t="s">
        <v>321</v>
      </c>
      <c r="AO858" s="18" t="s">
        <v>1066</v>
      </c>
      <c r="AP858" s="283" t="s">
        <v>3903</v>
      </c>
    </row>
    <row r="859" spans="1:42" x14ac:dyDescent="0.3">
      <c r="A859" s="314" t="s">
        <v>1448</v>
      </c>
      <c r="B859" s="283" t="s">
        <v>3447</v>
      </c>
      <c r="C859" s="314" t="s">
        <v>3934</v>
      </c>
      <c r="D859" s="283" t="s">
        <v>2439</v>
      </c>
      <c r="E859" s="314" t="s">
        <v>3935</v>
      </c>
      <c r="F859" s="283" t="s">
        <v>3936</v>
      </c>
      <c r="G859" s="314" t="s">
        <v>3958</v>
      </c>
      <c r="H859" s="283" t="s">
        <v>3959</v>
      </c>
      <c r="K859" s="314" t="s">
        <v>3960</v>
      </c>
      <c r="L859" s="283" t="s">
        <v>3961</v>
      </c>
      <c r="M859" s="1" t="s">
        <v>3970</v>
      </c>
      <c r="N859" s="1">
        <v>0</v>
      </c>
      <c r="O859" s="1">
        <v>200000</v>
      </c>
      <c r="P859" s="3" t="s">
        <v>3971</v>
      </c>
      <c r="Q859" s="3" t="s">
        <v>3972</v>
      </c>
      <c r="R859" s="3" t="s">
        <v>3973</v>
      </c>
      <c r="S859" s="3" t="s">
        <v>3974</v>
      </c>
      <c r="T859" s="283" t="s">
        <v>321</v>
      </c>
      <c r="U859" s="283" t="s">
        <v>1066</v>
      </c>
      <c r="V859" s="1" t="s">
        <v>3945</v>
      </c>
      <c r="W859" s="1">
        <v>1</v>
      </c>
      <c r="X859" s="1">
        <v>0</v>
      </c>
      <c r="Y859" s="1">
        <v>1</v>
      </c>
      <c r="Z859" s="1">
        <v>1</v>
      </c>
      <c r="AA859" s="1">
        <v>1</v>
      </c>
      <c r="AB859" s="1">
        <v>1</v>
      </c>
      <c r="AC859" s="316">
        <v>1</v>
      </c>
      <c r="AD859" s="316">
        <v>1</v>
      </c>
      <c r="AE859" s="302">
        <f t="shared" si="34"/>
        <v>0.875</v>
      </c>
      <c r="AF859" s="17"/>
      <c r="AG859" s="17">
        <v>0</v>
      </c>
      <c r="AH859" s="17">
        <v>0</v>
      </c>
      <c r="AI859" s="17">
        <v>0</v>
      </c>
      <c r="AJ859" s="310">
        <v>0.1</v>
      </c>
      <c r="AK859" s="153">
        <v>0</v>
      </c>
      <c r="AL859" s="154">
        <v>0</v>
      </c>
      <c r="AM859" s="147">
        <f t="shared" si="33"/>
        <v>0</v>
      </c>
      <c r="AN859" s="283" t="s">
        <v>265</v>
      </c>
      <c r="AO859" s="18" t="s">
        <v>350</v>
      </c>
      <c r="AP859" s="283" t="s">
        <v>3975</v>
      </c>
    </row>
    <row r="860" spans="1:42" x14ac:dyDescent="0.3">
      <c r="A860" s="314" t="s">
        <v>1448</v>
      </c>
      <c r="B860" s="283" t="s">
        <v>3447</v>
      </c>
      <c r="C860" s="314" t="s">
        <v>3934</v>
      </c>
      <c r="D860" s="283" t="s">
        <v>2439</v>
      </c>
      <c r="E860" s="314" t="s">
        <v>3935</v>
      </c>
      <c r="F860" s="283" t="s">
        <v>3936</v>
      </c>
      <c r="G860" s="314" t="s">
        <v>3958</v>
      </c>
      <c r="H860" s="283" t="s">
        <v>3959</v>
      </c>
      <c r="K860" s="314" t="s">
        <v>3960</v>
      </c>
      <c r="L860" s="283" t="s">
        <v>3961</v>
      </c>
      <c r="M860" s="1" t="s">
        <v>3976</v>
      </c>
      <c r="N860" s="1"/>
      <c r="O860" s="1">
        <v>1</v>
      </c>
      <c r="P860" s="3">
        <v>1</v>
      </c>
      <c r="Q860" s="3">
        <v>1</v>
      </c>
      <c r="R860" s="3">
        <v>1</v>
      </c>
      <c r="T860" s="283" t="s">
        <v>265</v>
      </c>
      <c r="U860" s="283" t="s">
        <v>350</v>
      </c>
      <c r="V860" s="1" t="s">
        <v>3977</v>
      </c>
      <c r="W860" s="1">
        <v>1</v>
      </c>
      <c r="X860" s="1">
        <v>1</v>
      </c>
      <c r="Y860" s="1">
        <v>0</v>
      </c>
      <c r="Z860" s="1">
        <v>0</v>
      </c>
      <c r="AA860" s="1">
        <v>1</v>
      </c>
      <c r="AB860" s="1">
        <v>0</v>
      </c>
      <c r="AC860" s="316">
        <v>1</v>
      </c>
      <c r="AD860" s="316">
        <v>1</v>
      </c>
      <c r="AE860" s="302">
        <f t="shared" si="34"/>
        <v>0.625</v>
      </c>
      <c r="AF860" s="310"/>
      <c r="AG860" s="17">
        <v>0</v>
      </c>
      <c r="AH860" s="310">
        <v>0.1</v>
      </c>
      <c r="AI860" s="310">
        <v>0.2</v>
      </c>
      <c r="AJ860" s="310">
        <v>0.2</v>
      </c>
      <c r="AK860" s="317">
        <v>0.2</v>
      </c>
      <c r="AL860" s="154">
        <v>0</v>
      </c>
      <c r="AM860" s="147">
        <f t="shared" ref="AM860:AM891" si="35">SUM(AK860:AL860)</f>
        <v>0.2</v>
      </c>
      <c r="AN860" s="283" t="s">
        <v>265</v>
      </c>
      <c r="AO860" s="18" t="s">
        <v>350</v>
      </c>
      <c r="AP860" s="283" t="s">
        <v>3903</v>
      </c>
    </row>
    <row r="861" spans="1:42" x14ac:dyDescent="0.3">
      <c r="A861" s="314" t="s">
        <v>1448</v>
      </c>
      <c r="B861" s="283" t="s">
        <v>3447</v>
      </c>
      <c r="C861" s="314" t="s">
        <v>3934</v>
      </c>
      <c r="D861" s="283" t="s">
        <v>2439</v>
      </c>
      <c r="E861" s="314" t="s">
        <v>3935</v>
      </c>
      <c r="F861" s="283" t="s">
        <v>3936</v>
      </c>
      <c r="G861" s="314" t="s">
        <v>3958</v>
      </c>
      <c r="H861" s="283" t="s">
        <v>3959</v>
      </c>
      <c r="K861" s="314" t="s">
        <v>3960</v>
      </c>
      <c r="L861" s="283" t="s">
        <v>3961</v>
      </c>
      <c r="M861" s="1" t="s">
        <v>3978</v>
      </c>
      <c r="N861" s="1"/>
      <c r="O861" s="1">
        <v>10</v>
      </c>
      <c r="P861" s="3" t="s">
        <v>3561</v>
      </c>
      <c r="Q861" s="3" t="s">
        <v>3561</v>
      </c>
      <c r="R861" s="3" t="s">
        <v>3561</v>
      </c>
      <c r="S861" s="3" t="s">
        <v>3561</v>
      </c>
      <c r="T861" s="283" t="s">
        <v>321</v>
      </c>
      <c r="U861" s="283" t="s">
        <v>1066</v>
      </c>
      <c r="V861" s="1" t="s">
        <v>3979</v>
      </c>
      <c r="W861" s="1">
        <v>1</v>
      </c>
      <c r="X861" s="1">
        <v>0</v>
      </c>
      <c r="Y861" s="1">
        <v>0</v>
      </c>
      <c r="Z861" s="1">
        <v>1</v>
      </c>
      <c r="AA861" s="1">
        <v>1</v>
      </c>
      <c r="AB861" s="1">
        <v>1</v>
      </c>
      <c r="AC861" s="316">
        <v>1</v>
      </c>
      <c r="AD861" s="316">
        <v>0</v>
      </c>
      <c r="AE861" s="302">
        <f t="shared" si="34"/>
        <v>0.625</v>
      </c>
      <c r="AF861" s="310"/>
      <c r="AG861" s="17">
        <v>0</v>
      </c>
      <c r="AH861" s="310">
        <v>0.2</v>
      </c>
      <c r="AI861" s="310" t="s">
        <v>3980</v>
      </c>
      <c r="AJ861" s="310" t="s">
        <v>3980</v>
      </c>
      <c r="AK861" s="317">
        <v>0.2</v>
      </c>
      <c r="AL861" s="317">
        <v>0.2</v>
      </c>
      <c r="AM861" s="147">
        <f t="shared" si="35"/>
        <v>0.4</v>
      </c>
      <c r="AN861" s="283" t="s">
        <v>321</v>
      </c>
      <c r="AO861" s="18" t="s">
        <v>1066</v>
      </c>
      <c r="AP861" s="283" t="s">
        <v>265</v>
      </c>
    </row>
    <row r="862" spans="1:42" x14ac:dyDescent="0.3">
      <c r="A862" s="314" t="s">
        <v>1448</v>
      </c>
      <c r="B862" s="283" t="s">
        <v>3447</v>
      </c>
      <c r="C862" s="314" t="s">
        <v>3934</v>
      </c>
      <c r="D862" s="283" t="s">
        <v>2439</v>
      </c>
      <c r="E862" s="314" t="s">
        <v>3935</v>
      </c>
      <c r="F862" s="283" t="s">
        <v>3936</v>
      </c>
      <c r="G862" s="314" t="s">
        <v>3958</v>
      </c>
      <c r="H862" s="283" t="s">
        <v>3959</v>
      </c>
      <c r="K862" s="314" t="s">
        <v>3960</v>
      </c>
      <c r="L862" s="283" t="s">
        <v>3961</v>
      </c>
      <c r="M862" s="1" t="s">
        <v>3844</v>
      </c>
      <c r="N862" s="1" t="s">
        <v>271</v>
      </c>
      <c r="O862" s="1">
        <v>0.95</v>
      </c>
      <c r="P862" s="3">
        <v>0.95</v>
      </c>
      <c r="Q862" s="3">
        <v>0.95</v>
      </c>
      <c r="R862" s="3">
        <v>0.95</v>
      </c>
      <c r="S862" s="3">
        <v>0.95</v>
      </c>
      <c r="T862" s="283" t="s">
        <v>1446</v>
      </c>
      <c r="U862" s="283" t="s">
        <v>3715</v>
      </c>
      <c r="V862" s="1" t="s">
        <v>3981</v>
      </c>
      <c r="W862" s="1">
        <v>1</v>
      </c>
      <c r="X862" s="1">
        <v>1</v>
      </c>
      <c r="Y862" s="1">
        <v>1</v>
      </c>
      <c r="Z862" s="1">
        <v>1</v>
      </c>
      <c r="AA862" s="1">
        <v>1</v>
      </c>
      <c r="AB862" s="1">
        <v>1</v>
      </c>
      <c r="AC862" s="316">
        <v>1</v>
      </c>
      <c r="AD862" s="316">
        <v>1</v>
      </c>
      <c r="AE862" s="302">
        <f t="shared" si="34"/>
        <v>1</v>
      </c>
      <c r="AF862" s="310"/>
      <c r="AG862" s="17">
        <v>0</v>
      </c>
      <c r="AH862" s="310">
        <v>0.5</v>
      </c>
      <c r="AI862" s="310">
        <v>0.5</v>
      </c>
      <c r="AJ862" s="310">
        <v>0.5</v>
      </c>
      <c r="AK862" s="317">
        <v>0.5</v>
      </c>
      <c r="AL862" s="317">
        <v>0.5</v>
      </c>
      <c r="AM862" s="147">
        <f t="shared" si="35"/>
        <v>1</v>
      </c>
      <c r="AN862" s="283" t="s">
        <v>265</v>
      </c>
      <c r="AO862" s="18" t="s">
        <v>350</v>
      </c>
      <c r="AP862" s="283" t="s">
        <v>3982</v>
      </c>
    </row>
    <row r="863" spans="1:42" x14ac:dyDescent="0.3">
      <c r="A863" s="314" t="s">
        <v>1448</v>
      </c>
      <c r="B863" s="283" t="s">
        <v>3447</v>
      </c>
      <c r="C863" s="314" t="s">
        <v>3934</v>
      </c>
      <c r="D863" s="283" t="s">
        <v>2439</v>
      </c>
      <c r="E863" s="314" t="s">
        <v>3935</v>
      </c>
      <c r="F863" s="283" t="s">
        <v>3936</v>
      </c>
      <c r="G863" s="314" t="s">
        <v>3958</v>
      </c>
      <c r="H863" s="283" t="s">
        <v>3959</v>
      </c>
      <c r="K863" s="314" t="s">
        <v>3960</v>
      </c>
      <c r="L863" s="283" t="s">
        <v>3961</v>
      </c>
      <c r="M863" s="1" t="s">
        <v>3983</v>
      </c>
      <c r="N863" s="1" t="s">
        <v>271</v>
      </c>
      <c r="O863" s="1">
        <v>0.85</v>
      </c>
      <c r="P863" s="3">
        <v>0.85</v>
      </c>
      <c r="Q863" s="3">
        <v>0.85</v>
      </c>
      <c r="R863" s="3">
        <v>0.85</v>
      </c>
      <c r="S863" s="3">
        <v>0.85</v>
      </c>
      <c r="T863" s="283" t="s">
        <v>1446</v>
      </c>
      <c r="U863" s="283" t="s">
        <v>3715</v>
      </c>
      <c r="V863" s="1" t="s">
        <v>3984</v>
      </c>
      <c r="W863" s="1">
        <v>1</v>
      </c>
      <c r="X863" s="1">
        <v>1</v>
      </c>
      <c r="Y863" s="1">
        <v>1</v>
      </c>
      <c r="Z863" s="1">
        <v>1</v>
      </c>
      <c r="AA863" s="1">
        <v>1</v>
      </c>
      <c r="AB863" s="1">
        <v>1</v>
      </c>
      <c r="AC863" s="316">
        <v>1</v>
      </c>
      <c r="AD863" s="316">
        <v>1</v>
      </c>
      <c r="AE863" s="302">
        <f t="shared" ref="AE863:AE894" si="36">SUM(W863:AD863)/8</f>
        <v>1</v>
      </c>
      <c r="AF863" s="310"/>
      <c r="AG863" s="17">
        <v>0</v>
      </c>
      <c r="AH863" s="310">
        <v>0.2</v>
      </c>
      <c r="AI863" s="310">
        <v>0.2</v>
      </c>
      <c r="AJ863" s="310">
        <v>0.2</v>
      </c>
      <c r="AK863" s="317">
        <v>0.2</v>
      </c>
      <c r="AL863" s="317">
        <v>0.2</v>
      </c>
      <c r="AM863" s="147">
        <f t="shared" si="35"/>
        <v>0.4</v>
      </c>
      <c r="AN863" s="283" t="s">
        <v>321</v>
      </c>
      <c r="AO863" s="18" t="s">
        <v>1066</v>
      </c>
      <c r="AP863" s="283" t="s">
        <v>3801</v>
      </c>
    </row>
    <row r="864" spans="1:42" x14ac:dyDescent="0.3">
      <c r="A864" s="314" t="s">
        <v>1448</v>
      </c>
      <c r="B864" s="283" t="s">
        <v>3447</v>
      </c>
      <c r="C864" s="314" t="s">
        <v>3934</v>
      </c>
      <c r="D864" s="283" t="s">
        <v>2439</v>
      </c>
      <c r="E864" s="314" t="s">
        <v>3935</v>
      </c>
      <c r="F864" s="283" t="s">
        <v>3936</v>
      </c>
      <c r="G864" s="314" t="s">
        <v>3958</v>
      </c>
      <c r="H864" s="283" t="s">
        <v>3959</v>
      </c>
      <c r="K864" s="314" t="s">
        <v>3960</v>
      </c>
      <c r="L864" s="283" t="s">
        <v>3961</v>
      </c>
      <c r="N864" s="1"/>
      <c r="U864" s="283" t="e">
        <v>#N/A</v>
      </c>
      <c r="V864" s="1" t="s">
        <v>3985</v>
      </c>
      <c r="W864" s="1">
        <v>1</v>
      </c>
      <c r="X864" s="1">
        <v>1</v>
      </c>
      <c r="Y864" s="1">
        <v>1</v>
      </c>
      <c r="Z864" s="1">
        <v>1</v>
      </c>
      <c r="AA864" s="1">
        <v>1</v>
      </c>
      <c r="AB864" s="1">
        <v>1</v>
      </c>
      <c r="AC864" s="316">
        <v>1</v>
      </c>
      <c r="AD864" s="316">
        <v>1</v>
      </c>
      <c r="AE864" s="302">
        <f t="shared" si="36"/>
        <v>1</v>
      </c>
      <c r="AF864" s="310"/>
      <c r="AG864" s="17">
        <v>0</v>
      </c>
      <c r="AH864" s="310">
        <v>0.1</v>
      </c>
      <c r="AI864" s="310">
        <v>0.1</v>
      </c>
      <c r="AJ864" s="310">
        <v>0.1</v>
      </c>
      <c r="AK864" s="153">
        <v>0.2</v>
      </c>
      <c r="AL864" s="154">
        <v>0</v>
      </c>
      <c r="AM864" s="147">
        <f t="shared" si="35"/>
        <v>0.2</v>
      </c>
      <c r="AN864" s="283" t="s">
        <v>265</v>
      </c>
      <c r="AO864" s="18" t="s">
        <v>350</v>
      </c>
      <c r="AP864" s="283" t="s">
        <v>3986</v>
      </c>
    </row>
    <row r="865" spans="1:42" x14ac:dyDescent="0.3">
      <c r="A865" s="314" t="s">
        <v>1448</v>
      </c>
      <c r="B865" s="283" t="s">
        <v>3447</v>
      </c>
      <c r="C865" s="314" t="s">
        <v>3934</v>
      </c>
      <c r="D865" s="283" t="s">
        <v>2439</v>
      </c>
      <c r="E865" s="314" t="s">
        <v>3935</v>
      </c>
      <c r="F865" s="283" t="s">
        <v>3936</v>
      </c>
      <c r="G865" s="314" t="s">
        <v>3958</v>
      </c>
      <c r="H865" s="283" t="s">
        <v>3959</v>
      </c>
      <c r="K865" s="314" t="s">
        <v>3960</v>
      </c>
      <c r="L865" s="283" t="s">
        <v>3961</v>
      </c>
      <c r="N865" s="1"/>
      <c r="U865" s="283" t="e">
        <v>#N/A</v>
      </c>
      <c r="V865" s="1" t="s">
        <v>3987</v>
      </c>
      <c r="W865" s="1">
        <v>1</v>
      </c>
      <c r="X865" s="1">
        <v>1</v>
      </c>
      <c r="Y865" s="1">
        <v>1</v>
      </c>
      <c r="Z865" s="1">
        <v>1</v>
      </c>
      <c r="AA865" s="1">
        <v>1</v>
      </c>
      <c r="AB865" s="1">
        <v>1</v>
      </c>
      <c r="AC865" s="316">
        <v>1</v>
      </c>
      <c r="AD865" s="316">
        <v>1</v>
      </c>
      <c r="AE865" s="302">
        <f t="shared" si="36"/>
        <v>1</v>
      </c>
      <c r="AF865" s="17"/>
      <c r="AG865" s="17">
        <v>0</v>
      </c>
      <c r="AH865" s="17">
        <v>0</v>
      </c>
      <c r="AI865" s="17">
        <v>0</v>
      </c>
      <c r="AJ865" s="17">
        <v>0</v>
      </c>
      <c r="AK865" s="153">
        <v>0.2</v>
      </c>
      <c r="AL865" s="154">
        <v>0</v>
      </c>
      <c r="AM865" s="147">
        <f t="shared" si="35"/>
        <v>0.2</v>
      </c>
      <c r="AN865" s="283" t="s">
        <v>265</v>
      </c>
      <c r="AO865" s="18" t="s">
        <v>350</v>
      </c>
      <c r="AP865" s="283" t="s">
        <v>3903</v>
      </c>
    </row>
    <row r="866" spans="1:42" x14ac:dyDescent="0.3">
      <c r="A866" s="314" t="s">
        <v>1448</v>
      </c>
      <c r="B866" s="283" t="s">
        <v>3447</v>
      </c>
      <c r="C866" s="314" t="s">
        <v>3934</v>
      </c>
      <c r="D866" s="283" t="s">
        <v>2439</v>
      </c>
      <c r="E866" s="314" t="s">
        <v>3935</v>
      </c>
      <c r="F866" s="283" t="s">
        <v>3936</v>
      </c>
      <c r="G866" s="314" t="s">
        <v>3958</v>
      </c>
      <c r="H866" s="283" t="s">
        <v>3959</v>
      </c>
      <c r="K866" s="314" t="s">
        <v>3960</v>
      </c>
      <c r="L866" s="283" t="s">
        <v>3961</v>
      </c>
      <c r="N866" s="1"/>
      <c r="U866" s="283" t="e">
        <v>#N/A</v>
      </c>
      <c r="V866" s="1" t="s">
        <v>3988</v>
      </c>
      <c r="W866" s="1">
        <v>1</v>
      </c>
      <c r="X866" s="1">
        <v>1</v>
      </c>
      <c r="Y866" s="1">
        <v>1</v>
      </c>
      <c r="Z866" s="1">
        <v>1</v>
      </c>
      <c r="AA866" s="1">
        <v>1</v>
      </c>
      <c r="AB866" s="1">
        <v>1</v>
      </c>
      <c r="AC866" s="316">
        <v>1</v>
      </c>
      <c r="AD866" s="316">
        <v>1</v>
      </c>
      <c r="AE866" s="302">
        <f t="shared" si="36"/>
        <v>1</v>
      </c>
      <c r="AF866" s="17"/>
      <c r="AG866" s="17">
        <v>0</v>
      </c>
      <c r="AH866" s="17">
        <v>0</v>
      </c>
      <c r="AI866" s="17">
        <v>0</v>
      </c>
      <c r="AJ866" s="17">
        <v>0</v>
      </c>
      <c r="AK866" s="153">
        <v>0.3</v>
      </c>
      <c r="AL866" s="154">
        <v>0</v>
      </c>
      <c r="AM866" s="147">
        <f t="shared" si="35"/>
        <v>0.3</v>
      </c>
      <c r="AN866" s="283" t="s">
        <v>265</v>
      </c>
      <c r="AO866" s="18" t="s">
        <v>350</v>
      </c>
      <c r="AP866" s="283" t="s">
        <v>3903</v>
      </c>
    </row>
    <row r="867" spans="1:42" x14ac:dyDescent="0.3">
      <c r="A867" s="314" t="s">
        <v>1448</v>
      </c>
      <c r="B867" s="283" t="s">
        <v>3447</v>
      </c>
      <c r="C867" s="314" t="s">
        <v>3934</v>
      </c>
      <c r="D867" s="283" t="s">
        <v>2439</v>
      </c>
      <c r="E867" s="314" t="s">
        <v>3935</v>
      </c>
      <c r="F867" s="283" t="s">
        <v>3936</v>
      </c>
      <c r="G867" s="314" t="s">
        <v>3958</v>
      </c>
      <c r="H867" s="283" t="s">
        <v>3959</v>
      </c>
      <c r="K867" s="314" t="s">
        <v>3960</v>
      </c>
      <c r="L867" s="283" t="s">
        <v>3961</v>
      </c>
      <c r="N867" s="1"/>
      <c r="U867" s="283" t="e">
        <v>#N/A</v>
      </c>
      <c r="V867" s="1" t="s">
        <v>3989</v>
      </c>
      <c r="W867" s="1">
        <v>1</v>
      </c>
      <c r="X867" s="1">
        <v>1</v>
      </c>
      <c r="Y867" s="1">
        <v>1</v>
      </c>
      <c r="Z867" s="1">
        <v>1</v>
      </c>
      <c r="AA867" s="1">
        <v>1</v>
      </c>
      <c r="AB867" s="1">
        <v>1</v>
      </c>
      <c r="AC867" s="316">
        <v>1</v>
      </c>
      <c r="AD867" s="316">
        <v>1</v>
      </c>
      <c r="AE867" s="302">
        <f t="shared" si="36"/>
        <v>1</v>
      </c>
      <c r="AF867" s="310"/>
      <c r="AG867" s="17">
        <v>0</v>
      </c>
      <c r="AH867" s="310">
        <v>0.2</v>
      </c>
      <c r="AI867" s="310">
        <v>0.2</v>
      </c>
      <c r="AJ867" s="310">
        <v>0.2</v>
      </c>
      <c r="AK867" s="317">
        <v>0.2</v>
      </c>
      <c r="AL867" s="154">
        <v>0</v>
      </c>
      <c r="AM867" s="147">
        <f t="shared" si="35"/>
        <v>0.2</v>
      </c>
      <c r="AN867" s="283" t="s">
        <v>265</v>
      </c>
      <c r="AO867" s="18" t="s">
        <v>350</v>
      </c>
      <c r="AP867" s="283" t="s">
        <v>119</v>
      </c>
    </row>
    <row r="868" spans="1:42" x14ac:dyDescent="0.3">
      <c r="A868" s="314" t="s">
        <v>1448</v>
      </c>
      <c r="B868" s="283" t="s">
        <v>3447</v>
      </c>
      <c r="C868" s="314" t="s">
        <v>3934</v>
      </c>
      <c r="D868" s="283" t="s">
        <v>2439</v>
      </c>
      <c r="E868" s="314" t="s">
        <v>3935</v>
      </c>
      <c r="F868" s="283" t="s">
        <v>3936</v>
      </c>
      <c r="G868" s="314" t="s">
        <v>3958</v>
      </c>
      <c r="H868" s="283" t="s">
        <v>3959</v>
      </c>
      <c r="K868" s="314" t="s">
        <v>3960</v>
      </c>
      <c r="L868" s="283" t="s">
        <v>3961</v>
      </c>
      <c r="N868" s="1"/>
      <c r="U868" s="283" t="e">
        <v>#N/A</v>
      </c>
      <c r="V868" s="1" t="s">
        <v>3990</v>
      </c>
      <c r="W868" s="1">
        <v>1</v>
      </c>
      <c r="X868" s="1">
        <v>1</v>
      </c>
      <c r="Y868" s="1">
        <v>1</v>
      </c>
      <c r="Z868" s="1">
        <v>1</v>
      </c>
      <c r="AA868" s="1">
        <v>1</v>
      </c>
      <c r="AB868" s="1">
        <v>1</v>
      </c>
      <c r="AC868" s="316">
        <v>1</v>
      </c>
      <c r="AD868" s="316">
        <v>1</v>
      </c>
      <c r="AE868" s="302">
        <f t="shared" si="36"/>
        <v>1</v>
      </c>
      <c r="AF868" s="17"/>
      <c r="AG868" s="17">
        <v>0</v>
      </c>
      <c r="AH868" s="17">
        <v>0</v>
      </c>
      <c r="AI868" s="17">
        <v>0</v>
      </c>
      <c r="AJ868" s="17">
        <v>0</v>
      </c>
      <c r="AK868" s="153">
        <v>0.1</v>
      </c>
      <c r="AL868" s="154">
        <v>0</v>
      </c>
      <c r="AM868" s="147">
        <f t="shared" si="35"/>
        <v>0.1</v>
      </c>
      <c r="AN868" s="283" t="s">
        <v>265</v>
      </c>
      <c r="AO868" s="18" t="s">
        <v>350</v>
      </c>
      <c r="AP868" s="283" t="s">
        <v>119</v>
      </c>
    </row>
    <row r="869" spans="1:42" x14ac:dyDescent="0.3">
      <c r="A869" s="314" t="s">
        <v>1448</v>
      </c>
      <c r="B869" s="283" t="s">
        <v>3447</v>
      </c>
      <c r="C869" s="314" t="s">
        <v>3934</v>
      </c>
      <c r="D869" s="283" t="s">
        <v>2439</v>
      </c>
      <c r="E869" s="314" t="s">
        <v>3935</v>
      </c>
      <c r="F869" s="283" t="s">
        <v>3936</v>
      </c>
      <c r="G869" s="314" t="s">
        <v>3958</v>
      </c>
      <c r="H869" s="283" t="s">
        <v>3959</v>
      </c>
      <c r="K869" s="314" t="s">
        <v>3960</v>
      </c>
      <c r="L869" s="283" t="s">
        <v>3961</v>
      </c>
      <c r="N869" s="1"/>
      <c r="U869" s="283" t="e">
        <v>#N/A</v>
      </c>
      <c r="V869" s="1" t="s">
        <v>3991</v>
      </c>
      <c r="W869" s="1">
        <v>1</v>
      </c>
      <c r="X869" s="1">
        <v>1</v>
      </c>
      <c r="Y869" s="1">
        <v>1</v>
      </c>
      <c r="Z869" s="1">
        <v>1</v>
      </c>
      <c r="AA869" s="1">
        <v>1</v>
      </c>
      <c r="AB869" s="1">
        <v>1</v>
      </c>
      <c r="AC869" s="316">
        <v>1</v>
      </c>
      <c r="AD869" s="316">
        <v>1</v>
      </c>
      <c r="AE869" s="302">
        <f t="shared" si="36"/>
        <v>1</v>
      </c>
      <c r="AF869" s="17"/>
      <c r="AG869" s="17">
        <v>0</v>
      </c>
      <c r="AH869" s="17">
        <v>0</v>
      </c>
      <c r="AI869" s="17">
        <v>0</v>
      </c>
      <c r="AJ869" s="17">
        <v>0</v>
      </c>
      <c r="AK869" s="153">
        <v>0.3</v>
      </c>
      <c r="AL869" s="154">
        <v>0</v>
      </c>
      <c r="AM869" s="147">
        <f t="shared" si="35"/>
        <v>0.3</v>
      </c>
      <c r="AN869" s="283" t="s">
        <v>265</v>
      </c>
      <c r="AO869" s="18" t="s">
        <v>350</v>
      </c>
      <c r="AP869" s="283" t="s">
        <v>119</v>
      </c>
    </row>
    <row r="870" spans="1:42" x14ac:dyDescent="0.3">
      <c r="A870" s="314" t="s">
        <v>1448</v>
      </c>
      <c r="B870" s="283" t="s">
        <v>3447</v>
      </c>
      <c r="C870" s="314" t="s">
        <v>3934</v>
      </c>
      <c r="D870" s="283" t="s">
        <v>2439</v>
      </c>
      <c r="E870" s="314" t="s">
        <v>3935</v>
      </c>
      <c r="F870" s="283" t="s">
        <v>3936</v>
      </c>
      <c r="G870" s="314" t="s">
        <v>3958</v>
      </c>
      <c r="H870" s="283" t="s">
        <v>3959</v>
      </c>
      <c r="K870" s="314" t="s">
        <v>3960</v>
      </c>
      <c r="L870" s="283" t="s">
        <v>3961</v>
      </c>
      <c r="N870" s="1"/>
      <c r="U870" s="283" t="e">
        <v>#N/A</v>
      </c>
      <c r="V870" s="1" t="s">
        <v>3992</v>
      </c>
      <c r="W870" s="1">
        <v>1</v>
      </c>
      <c r="X870" s="1">
        <v>1</v>
      </c>
      <c r="Y870" s="1">
        <v>1</v>
      </c>
      <c r="Z870" s="1">
        <v>1</v>
      </c>
      <c r="AA870" s="1">
        <v>1</v>
      </c>
      <c r="AB870" s="1">
        <v>1</v>
      </c>
      <c r="AC870" s="316">
        <v>1</v>
      </c>
      <c r="AD870" s="316">
        <v>1</v>
      </c>
      <c r="AE870" s="302">
        <f t="shared" si="36"/>
        <v>1</v>
      </c>
      <c r="AF870" s="17"/>
      <c r="AG870" s="17">
        <v>0</v>
      </c>
      <c r="AH870" s="17">
        <v>0</v>
      </c>
      <c r="AI870" s="17">
        <v>0</v>
      </c>
      <c r="AJ870" s="17">
        <v>0</v>
      </c>
      <c r="AK870" s="153">
        <v>0</v>
      </c>
      <c r="AL870" s="154">
        <v>0</v>
      </c>
      <c r="AM870" s="147">
        <f t="shared" si="35"/>
        <v>0</v>
      </c>
      <c r="AN870" s="283" t="s">
        <v>265</v>
      </c>
      <c r="AO870" s="18" t="s">
        <v>350</v>
      </c>
      <c r="AP870" s="283" t="s">
        <v>119</v>
      </c>
    </row>
    <row r="871" spans="1:42" x14ac:dyDescent="0.3">
      <c r="A871" s="314" t="s">
        <v>1448</v>
      </c>
      <c r="B871" s="283" t="s">
        <v>3447</v>
      </c>
      <c r="C871" s="314" t="s">
        <v>3934</v>
      </c>
      <c r="D871" s="283" t="s">
        <v>2439</v>
      </c>
      <c r="E871" s="314" t="s">
        <v>3935</v>
      </c>
      <c r="F871" s="283" t="s">
        <v>3936</v>
      </c>
      <c r="G871" s="314" t="s">
        <v>3958</v>
      </c>
      <c r="H871" s="283" t="s">
        <v>3959</v>
      </c>
      <c r="K871" s="314" t="s">
        <v>3960</v>
      </c>
      <c r="L871" s="283" t="s">
        <v>3961</v>
      </c>
      <c r="N871" s="1"/>
      <c r="U871" s="283" t="e">
        <v>#N/A</v>
      </c>
      <c r="V871" s="344" t="s">
        <v>3993</v>
      </c>
      <c r="W871" s="1">
        <v>1</v>
      </c>
      <c r="X871" s="1">
        <v>1</v>
      </c>
      <c r="Y871" s="1">
        <v>1</v>
      </c>
      <c r="Z871" s="1">
        <v>1</v>
      </c>
      <c r="AA871" s="1">
        <v>1</v>
      </c>
      <c r="AB871" s="1">
        <v>1</v>
      </c>
      <c r="AC871" s="316">
        <v>1</v>
      </c>
      <c r="AD871" s="316">
        <v>1</v>
      </c>
      <c r="AE871" s="302">
        <f t="shared" si="36"/>
        <v>1</v>
      </c>
      <c r="AF871" s="17"/>
      <c r="AG871" s="17">
        <v>0</v>
      </c>
      <c r="AH871" s="17">
        <v>0</v>
      </c>
      <c r="AI871" s="17">
        <v>0</v>
      </c>
      <c r="AJ871" s="17">
        <v>0</v>
      </c>
      <c r="AK871" s="153">
        <v>0</v>
      </c>
      <c r="AL871" s="154">
        <v>0</v>
      </c>
      <c r="AM871" s="147">
        <f t="shared" si="35"/>
        <v>0</v>
      </c>
      <c r="AN871" s="283" t="s">
        <v>265</v>
      </c>
      <c r="AO871" s="18" t="s">
        <v>350</v>
      </c>
      <c r="AP871" s="283" t="s">
        <v>119</v>
      </c>
    </row>
    <row r="872" spans="1:42" x14ac:dyDescent="0.3">
      <c r="A872" s="314" t="s">
        <v>1448</v>
      </c>
      <c r="B872" s="283" t="s">
        <v>3447</v>
      </c>
      <c r="C872" s="314" t="s">
        <v>3934</v>
      </c>
      <c r="D872" s="283" t="s">
        <v>2439</v>
      </c>
      <c r="E872" s="314" t="s">
        <v>3935</v>
      </c>
      <c r="F872" s="283" t="s">
        <v>3936</v>
      </c>
      <c r="G872" s="314" t="s">
        <v>3958</v>
      </c>
      <c r="H872" s="283" t="s">
        <v>3959</v>
      </c>
      <c r="K872" s="314" t="s">
        <v>3960</v>
      </c>
      <c r="L872" s="283" t="s">
        <v>3961</v>
      </c>
      <c r="N872" s="1"/>
      <c r="U872" s="283" t="e">
        <v>#N/A</v>
      </c>
      <c r="V872" s="1" t="s">
        <v>3994</v>
      </c>
      <c r="W872" s="1">
        <v>1</v>
      </c>
      <c r="X872" s="1">
        <v>1</v>
      </c>
      <c r="Y872" s="1">
        <v>1</v>
      </c>
      <c r="Z872" s="1">
        <v>1</v>
      </c>
      <c r="AA872" s="1">
        <v>1</v>
      </c>
      <c r="AB872" s="1">
        <v>1</v>
      </c>
      <c r="AC872" s="316">
        <v>1</v>
      </c>
      <c r="AD872" s="316">
        <v>1</v>
      </c>
      <c r="AE872" s="302">
        <f t="shared" si="36"/>
        <v>1</v>
      </c>
      <c r="AF872" s="17"/>
      <c r="AG872" s="17">
        <v>0</v>
      </c>
      <c r="AH872" s="17">
        <v>0</v>
      </c>
      <c r="AI872" s="17">
        <v>0</v>
      </c>
      <c r="AJ872" s="17">
        <v>0</v>
      </c>
      <c r="AK872" s="153">
        <v>0.1</v>
      </c>
      <c r="AL872" s="154">
        <v>0</v>
      </c>
      <c r="AM872" s="147">
        <f t="shared" si="35"/>
        <v>0.1</v>
      </c>
      <c r="AN872" s="283" t="s">
        <v>265</v>
      </c>
      <c r="AO872" s="18" t="s">
        <v>350</v>
      </c>
      <c r="AP872" s="283" t="s">
        <v>119</v>
      </c>
    </row>
    <row r="873" spans="1:42" x14ac:dyDescent="0.3">
      <c r="A873" s="314" t="s">
        <v>1448</v>
      </c>
      <c r="B873" s="283" t="s">
        <v>3447</v>
      </c>
      <c r="C873" s="314" t="s">
        <v>3934</v>
      </c>
      <c r="D873" s="283" t="s">
        <v>2439</v>
      </c>
      <c r="E873" s="314" t="s">
        <v>3935</v>
      </c>
      <c r="F873" s="283" t="s">
        <v>3936</v>
      </c>
      <c r="G873" s="314" t="s">
        <v>3958</v>
      </c>
      <c r="H873" s="283" t="s">
        <v>3959</v>
      </c>
      <c r="K873" s="314" t="s">
        <v>3960</v>
      </c>
      <c r="L873" s="283" t="s">
        <v>3961</v>
      </c>
      <c r="N873" s="1"/>
      <c r="U873" s="283" t="e">
        <v>#N/A</v>
      </c>
      <c r="V873" s="1" t="s">
        <v>3995</v>
      </c>
      <c r="W873" s="1">
        <v>1</v>
      </c>
      <c r="X873" s="1">
        <v>1</v>
      </c>
      <c r="Y873" s="1">
        <v>1</v>
      </c>
      <c r="Z873" s="1">
        <v>1</v>
      </c>
      <c r="AA873" s="1">
        <v>1</v>
      </c>
      <c r="AB873" s="1">
        <v>1</v>
      </c>
      <c r="AC873" s="316">
        <v>1</v>
      </c>
      <c r="AD873" s="316">
        <v>1</v>
      </c>
      <c r="AE873" s="302">
        <f t="shared" si="36"/>
        <v>1</v>
      </c>
      <c r="AF873" s="17"/>
      <c r="AG873" s="17">
        <v>0</v>
      </c>
      <c r="AH873" s="17">
        <v>0</v>
      </c>
      <c r="AI873" s="17">
        <v>0</v>
      </c>
      <c r="AJ873" s="17">
        <v>0</v>
      </c>
      <c r="AK873" s="153">
        <v>0</v>
      </c>
      <c r="AL873" s="154">
        <v>0</v>
      </c>
      <c r="AM873" s="147">
        <f t="shared" si="35"/>
        <v>0</v>
      </c>
      <c r="AN873" s="283" t="s">
        <v>265</v>
      </c>
      <c r="AO873" s="18" t="s">
        <v>350</v>
      </c>
      <c r="AP873" s="283" t="s">
        <v>119</v>
      </c>
    </row>
    <row r="874" spans="1:42" x14ac:dyDescent="0.3">
      <c r="A874" s="314" t="s">
        <v>1448</v>
      </c>
      <c r="B874" s="283" t="s">
        <v>3447</v>
      </c>
      <c r="C874" s="314" t="s">
        <v>3934</v>
      </c>
      <c r="D874" s="283" t="s">
        <v>2439</v>
      </c>
      <c r="E874" s="314" t="s">
        <v>3935</v>
      </c>
      <c r="F874" s="283" t="s">
        <v>3936</v>
      </c>
      <c r="G874" s="314" t="s">
        <v>3958</v>
      </c>
      <c r="H874" s="283" t="s">
        <v>3959</v>
      </c>
      <c r="K874" s="314" t="s">
        <v>3960</v>
      </c>
      <c r="L874" s="283" t="s">
        <v>3961</v>
      </c>
      <c r="N874" s="1"/>
      <c r="U874" s="283" t="e">
        <v>#N/A</v>
      </c>
      <c r="V874" s="1" t="s">
        <v>3996</v>
      </c>
      <c r="W874" s="1">
        <v>1</v>
      </c>
      <c r="X874" s="1">
        <v>1</v>
      </c>
      <c r="Y874" s="1">
        <v>1</v>
      </c>
      <c r="Z874" s="1">
        <v>1</v>
      </c>
      <c r="AA874" s="1">
        <v>1</v>
      </c>
      <c r="AB874" s="1">
        <v>1</v>
      </c>
      <c r="AC874" s="316">
        <v>1</v>
      </c>
      <c r="AD874" s="316">
        <v>1</v>
      </c>
      <c r="AE874" s="302">
        <f t="shared" si="36"/>
        <v>1</v>
      </c>
      <c r="AF874" s="17"/>
      <c r="AG874" s="17">
        <v>0</v>
      </c>
      <c r="AH874" s="17">
        <v>0</v>
      </c>
      <c r="AI874" s="17">
        <v>0</v>
      </c>
      <c r="AJ874" s="17">
        <v>0</v>
      </c>
      <c r="AK874" s="153">
        <v>0</v>
      </c>
      <c r="AL874" s="154">
        <v>0</v>
      </c>
      <c r="AM874" s="147">
        <f t="shared" si="35"/>
        <v>0</v>
      </c>
      <c r="AN874" s="283" t="s">
        <v>265</v>
      </c>
      <c r="AO874" s="18" t="s">
        <v>350</v>
      </c>
      <c r="AP874" s="283" t="s">
        <v>3997</v>
      </c>
    </row>
    <row r="875" spans="1:42" x14ac:dyDescent="0.3">
      <c r="A875" s="314" t="s">
        <v>1448</v>
      </c>
      <c r="B875" s="283" t="s">
        <v>3447</v>
      </c>
      <c r="C875" s="314" t="s">
        <v>3934</v>
      </c>
      <c r="D875" s="283" t="s">
        <v>2439</v>
      </c>
      <c r="E875" s="314" t="s">
        <v>3935</v>
      </c>
      <c r="F875" s="283" t="s">
        <v>3936</v>
      </c>
      <c r="G875" s="314" t="s">
        <v>3958</v>
      </c>
      <c r="H875" s="283" t="s">
        <v>3959</v>
      </c>
      <c r="K875" s="314" t="s">
        <v>3960</v>
      </c>
      <c r="L875" s="283" t="s">
        <v>3961</v>
      </c>
      <c r="N875" s="1"/>
      <c r="U875" s="283" t="e">
        <v>#N/A</v>
      </c>
      <c r="V875" s="1" t="s">
        <v>3998</v>
      </c>
      <c r="W875" s="1">
        <v>1</v>
      </c>
      <c r="X875" s="1">
        <v>0</v>
      </c>
      <c r="Y875" s="1">
        <v>1</v>
      </c>
      <c r="Z875" s="1">
        <v>0</v>
      </c>
      <c r="AA875" s="1">
        <v>1</v>
      </c>
      <c r="AB875" s="1">
        <v>0</v>
      </c>
      <c r="AC875" s="316">
        <v>1</v>
      </c>
      <c r="AD875" s="316">
        <v>1</v>
      </c>
      <c r="AE875" s="302">
        <f t="shared" si="36"/>
        <v>0.625</v>
      </c>
      <c r="AF875" s="17"/>
      <c r="AG875" s="17">
        <v>0</v>
      </c>
      <c r="AH875" s="17">
        <v>0</v>
      </c>
      <c r="AI875" s="17">
        <v>0</v>
      </c>
      <c r="AJ875" s="17">
        <v>0</v>
      </c>
      <c r="AK875" s="153">
        <v>0</v>
      </c>
      <c r="AL875" s="154">
        <v>0</v>
      </c>
      <c r="AM875" s="147">
        <f t="shared" si="35"/>
        <v>0</v>
      </c>
      <c r="AN875" s="283" t="s">
        <v>265</v>
      </c>
      <c r="AO875" s="18" t="s">
        <v>350</v>
      </c>
      <c r="AP875" s="283" t="s">
        <v>921</v>
      </c>
    </row>
    <row r="876" spans="1:42" x14ac:dyDescent="0.3">
      <c r="A876" s="314" t="s">
        <v>1448</v>
      </c>
      <c r="B876" s="283" t="s">
        <v>3447</v>
      </c>
      <c r="C876" s="314" t="s">
        <v>3934</v>
      </c>
      <c r="D876" s="283" t="s">
        <v>2439</v>
      </c>
      <c r="E876" s="314" t="s">
        <v>3935</v>
      </c>
      <c r="F876" s="283" t="s">
        <v>3936</v>
      </c>
      <c r="G876" s="314" t="s">
        <v>3958</v>
      </c>
      <c r="H876" s="283" t="s">
        <v>3959</v>
      </c>
      <c r="K876" s="314" t="s">
        <v>3960</v>
      </c>
      <c r="L876" s="283" t="s">
        <v>3961</v>
      </c>
      <c r="N876" s="1"/>
      <c r="U876" s="283" t="e">
        <v>#N/A</v>
      </c>
      <c r="V876" s="1" t="s">
        <v>3999</v>
      </c>
      <c r="W876" s="1">
        <v>1</v>
      </c>
      <c r="X876" s="1">
        <v>1</v>
      </c>
      <c r="Y876" s="1">
        <v>1</v>
      </c>
      <c r="Z876" s="1">
        <v>1</v>
      </c>
      <c r="AA876" s="1">
        <v>1</v>
      </c>
      <c r="AB876" s="1">
        <v>1</v>
      </c>
      <c r="AC876" s="316">
        <v>1</v>
      </c>
      <c r="AD876" s="316">
        <v>1</v>
      </c>
      <c r="AE876" s="302">
        <f t="shared" si="36"/>
        <v>1</v>
      </c>
      <c r="AF876" s="17"/>
      <c r="AG876" s="17">
        <v>0</v>
      </c>
      <c r="AH876" s="17">
        <v>0</v>
      </c>
      <c r="AI876" s="17">
        <v>0</v>
      </c>
      <c r="AJ876" s="17">
        <v>0</v>
      </c>
      <c r="AK876" s="153">
        <v>0</v>
      </c>
      <c r="AL876" s="154">
        <v>0</v>
      </c>
      <c r="AM876" s="147">
        <f t="shared" si="35"/>
        <v>0</v>
      </c>
      <c r="AN876" s="283" t="s">
        <v>265</v>
      </c>
      <c r="AO876" s="18" t="s">
        <v>350</v>
      </c>
      <c r="AP876" s="283" t="s">
        <v>119</v>
      </c>
    </row>
    <row r="877" spans="1:42" x14ac:dyDescent="0.3">
      <c r="A877" s="314" t="s">
        <v>1448</v>
      </c>
      <c r="B877" s="283" t="s">
        <v>3447</v>
      </c>
      <c r="C877" s="314" t="s">
        <v>3934</v>
      </c>
      <c r="D877" s="283" t="s">
        <v>2439</v>
      </c>
      <c r="E877" s="314" t="s">
        <v>3935</v>
      </c>
      <c r="F877" s="283" t="s">
        <v>3936</v>
      </c>
      <c r="G877" s="314" t="s">
        <v>3958</v>
      </c>
      <c r="H877" s="283" t="s">
        <v>3959</v>
      </c>
      <c r="K877" s="314" t="s">
        <v>3960</v>
      </c>
      <c r="L877" s="283" t="s">
        <v>3961</v>
      </c>
      <c r="N877" s="1"/>
      <c r="U877" s="283" t="e">
        <v>#N/A</v>
      </c>
      <c r="V877" s="1" t="s">
        <v>4000</v>
      </c>
      <c r="W877" s="1">
        <v>1</v>
      </c>
      <c r="X877" s="1">
        <v>1</v>
      </c>
      <c r="Y877" s="1">
        <v>1</v>
      </c>
      <c r="Z877" s="1">
        <v>1</v>
      </c>
      <c r="AA877" s="1">
        <v>1</v>
      </c>
      <c r="AB877" s="1">
        <v>1</v>
      </c>
      <c r="AC877" s="316">
        <v>1</v>
      </c>
      <c r="AD877" s="316">
        <v>1</v>
      </c>
      <c r="AE877" s="302">
        <f t="shared" si="36"/>
        <v>1</v>
      </c>
      <c r="AF877" s="17"/>
      <c r="AG877" s="17">
        <v>0</v>
      </c>
      <c r="AH877" s="17">
        <v>0</v>
      </c>
      <c r="AI877" s="17">
        <v>0</v>
      </c>
      <c r="AJ877" s="17">
        <v>0</v>
      </c>
      <c r="AK877" s="153">
        <v>0.06</v>
      </c>
      <c r="AL877" s="154">
        <v>0</v>
      </c>
      <c r="AM877" s="147">
        <f t="shared" si="35"/>
        <v>0.06</v>
      </c>
      <c r="AN877" s="283" t="s">
        <v>265</v>
      </c>
      <c r="AO877" s="18" t="s">
        <v>350</v>
      </c>
      <c r="AP877" s="283" t="s">
        <v>119</v>
      </c>
    </row>
    <row r="878" spans="1:42" x14ac:dyDescent="0.3">
      <c r="A878" s="314" t="s">
        <v>1448</v>
      </c>
      <c r="B878" s="283" t="s">
        <v>3447</v>
      </c>
      <c r="C878" s="314" t="s">
        <v>3934</v>
      </c>
      <c r="D878" s="283" t="s">
        <v>2439</v>
      </c>
      <c r="E878" s="314" t="s">
        <v>3935</v>
      </c>
      <c r="F878" s="283" t="s">
        <v>3936</v>
      </c>
      <c r="G878" s="314" t="s">
        <v>3958</v>
      </c>
      <c r="H878" s="283" t="s">
        <v>3959</v>
      </c>
      <c r="K878" s="314" t="s">
        <v>3960</v>
      </c>
      <c r="L878" s="283" t="s">
        <v>3961</v>
      </c>
      <c r="N878" s="1"/>
      <c r="U878" s="283" t="e">
        <v>#N/A</v>
      </c>
      <c r="V878" s="1" t="s">
        <v>4001</v>
      </c>
      <c r="W878" s="1">
        <v>1</v>
      </c>
      <c r="X878" s="1">
        <v>1</v>
      </c>
      <c r="Y878" s="1">
        <v>1</v>
      </c>
      <c r="Z878" s="1">
        <v>1</v>
      </c>
      <c r="AA878" s="1">
        <v>1</v>
      </c>
      <c r="AB878" s="1">
        <v>1</v>
      </c>
      <c r="AC878" s="316">
        <v>1</v>
      </c>
      <c r="AD878" s="316">
        <v>1</v>
      </c>
      <c r="AE878" s="302">
        <f t="shared" si="36"/>
        <v>1</v>
      </c>
      <c r="AF878" s="17"/>
      <c r="AG878" s="17">
        <v>0</v>
      </c>
      <c r="AH878" s="17">
        <v>0</v>
      </c>
      <c r="AI878" s="17">
        <v>0</v>
      </c>
      <c r="AJ878" s="17">
        <v>0</v>
      </c>
      <c r="AK878" s="153">
        <v>0</v>
      </c>
      <c r="AL878" s="154">
        <v>0</v>
      </c>
      <c r="AM878" s="147">
        <f t="shared" si="35"/>
        <v>0</v>
      </c>
      <c r="AN878" s="283" t="s">
        <v>265</v>
      </c>
      <c r="AO878" s="18" t="s">
        <v>350</v>
      </c>
      <c r="AP878" s="283" t="s">
        <v>119</v>
      </c>
    </row>
    <row r="879" spans="1:42" x14ac:dyDescent="0.3">
      <c r="A879" s="314" t="s">
        <v>1448</v>
      </c>
      <c r="B879" s="283" t="s">
        <v>3447</v>
      </c>
      <c r="C879" s="314" t="s">
        <v>3934</v>
      </c>
      <c r="D879" s="283" t="s">
        <v>2439</v>
      </c>
      <c r="E879" s="314" t="s">
        <v>3935</v>
      </c>
      <c r="F879" s="283" t="s">
        <v>3936</v>
      </c>
      <c r="G879" s="314" t="s">
        <v>3958</v>
      </c>
      <c r="H879" s="283" t="s">
        <v>3959</v>
      </c>
      <c r="K879" s="314" t="s">
        <v>3960</v>
      </c>
      <c r="L879" s="283" t="s">
        <v>3961</v>
      </c>
      <c r="N879" s="1"/>
      <c r="U879" s="283" t="e">
        <v>#N/A</v>
      </c>
      <c r="V879" s="1" t="s">
        <v>4002</v>
      </c>
      <c r="W879" s="1">
        <v>1</v>
      </c>
      <c r="X879" s="1">
        <v>1</v>
      </c>
      <c r="Y879" s="1">
        <v>1</v>
      </c>
      <c r="Z879" s="1">
        <v>1</v>
      </c>
      <c r="AA879" s="1">
        <v>1</v>
      </c>
      <c r="AB879" s="1">
        <v>1</v>
      </c>
      <c r="AC879" s="316">
        <v>1</v>
      </c>
      <c r="AD879" s="316">
        <v>1</v>
      </c>
      <c r="AE879" s="302">
        <f t="shared" si="36"/>
        <v>1</v>
      </c>
      <c r="AF879" s="17"/>
      <c r="AG879" s="17">
        <v>0</v>
      </c>
      <c r="AH879" s="17">
        <v>0</v>
      </c>
      <c r="AI879" s="17">
        <v>0</v>
      </c>
      <c r="AJ879" s="17">
        <v>0</v>
      </c>
      <c r="AK879" s="153">
        <v>0</v>
      </c>
      <c r="AL879" s="154">
        <v>0</v>
      </c>
      <c r="AM879" s="147">
        <f t="shared" si="35"/>
        <v>0</v>
      </c>
      <c r="AN879" s="283" t="s">
        <v>265</v>
      </c>
      <c r="AO879" s="18" t="s">
        <v>350</v>
      </c>
      <c r="AP879" s="283" t="s">
        <v>119</v>
      </c>
    </row>
    <row r="880" spans="1:42" x14ac:dyDescent="0.3">
      <c r="A880" s="314" t="s">
        <v>1448</v>
      </c>
      <c r="B880" s="283" t="s">
        <v>3447</v>
      </c>
      <c r="C880" s="314" t="s">
        <v>3934</v>
      </c>
      <c r="D880" s="283" t="s">
        <v>2439</v>
      </c>
      <c r="E880" s="314" t="s">
        <v>3935</v>
      </c>
      <c r="F880" s="283" t="s">
        <v>3936</v>
      </c>
      <c r="G880" s="314" t="s">
        <v>3958</v>
      </c>
      <c r="H880" s="283" t="s">
        <v>3959</v>
      </c>
      <c r="K880" s="314" t="s">
        <v>3960</v>
      </c>
      <c r="L880" s="283" t="s">
        <v>3961</v>
      </c>
      <c r="N880" s="1"/>
      <c r="U880" s="283" t="e">
        <v>#N/A</v>
      </c>
      <c r="V880" s="1" t="s">
        <v>4003</v>
      </c>
      <c r="W880" s="1">
        <v>1</v>
      </c>
      <c r="X880" s="1">
        <v>1</v>
      </c>
      <c r="Y880" s="1">
        <v>1</v>
      </c>
      <c r="Z880" s="1">
        <v>1</v>
      </c>
      <c r="AA880" s="1">
        <v>1</v>
      </c>
      <c r="AB880" s="1">
        <v>1</v>
      </c>
      <c r="AC880" s="316">
        <v>1</v>
      </c>
      <c r="AD880" s="316">
        <v>1</v>
      </c>
      <c r="AE880" s="302">
        <f t="shared" si="36"/>
        <v>1</v>
      </c>
      <c r="AF880" s="310"/>
      <c r="AG880" s="17">
        <v>0</v>
      </c>
      <c r="AH880" s="310">
        <v>0</v>
      </c>
      <c r="AI880" s="310">
        <v>0.01</v>
      </c>
      <c r="AJ880" s="310">
        <v>0.01</v>
      </c>
      <c r="AK880" s="317">
        <v>0.01</v>
      </c>
      <c r="AL880" s="317">
        <v>0.01</v>
      </c>
      <c r="AM880" s="147">
        <f t="shared" si="35"/>
        <v>0.02</v>
      </c>
      <c r="AN880" s="283" t="s">
        <v>1446</v>
      </c>
      <c r="AO880" s="18" t="s">
        <v>3715</v>
      </c>
      <c r="AP880" s="283" t="s">
        <v>119</v>
      </c>
    </row>
    <row r="881" spans="1:42" x14ac:dyDescent="0.3">
      <c r="A881" s="314" t="s">
        <v>1448</v>
      </c>
      <c r="B881" s="283" t="s">
        <v>3447</v>
      </c>
      <c r="C881" s="314" t="s">
        <v>3934</v>
      </c>
      <c r="D881" s="283" t="s">
        <v>2439</v>
      </c>
      <c r="E881" s="314" t="s">
        <v>3935</v>
      </c>
      <c r="F881" s="283" t="s">
        <v>3936</v>
      </c>
      <c r="G881" s="314" t="s">
        <v>3958</v>
      </c>
      <c r="H881" s="283" t="s">
        <v>3959</v>
      </c>
      <c r="K881" s="314" t="s">
        <v>3960</v>
      </c>
      <c r="L881" s="283" t="s">
        <v>3961</v>
      </c>
      <c r="N881" s="1"/>
      <c r="U881" s="283" t="e">
        <v>#N/A</v>
      </c>
      <c r="V881" s="1" t="s">
        <v>4004</v>
      </c>
      <c r="W881" s="1">
        <v>1</v>
      </c>
      <c r="X881" s="1">
        <v>1</v>
      </c>
      <c r="Y881" s="1">
        <v>0</v>
      </c>
      <c r="Z881" s="1">
        <v>1</v>
      </c>
      <c r="AA881" s="1">
        <v>1</v>
      </c>
      <c r="AB881" s="1">
        <v>0</v>
      </c>
      <c r="AC881" s="316">
        <v>0</v>
      </c>
      <c r="AD881" s="316">
        <v>1</v>
      </c>
      <c r="AE881" s="302">
        <f t="shared" si="36"/>
        <v>0.625</v>
      </c>
      <c r="AF881" s="310"/>
      <c r="AG881" s="17">
        <v>0</v>
      </c>
      <c r="AH881" s="310">
        <v>0.2</v>
      </c>
      <c r="AI881" s="310">
        <v>0.2</v>
      </c>
      <c r="AJ881" s="310">
        <v>0.2</v>
      </c>
      <c r="AK881" s="317">
        <v>0.2</v>
      </c>
      <c r="AL881" s="317"/>
      <c r="AM881" s="147">
        <f t="shared" si="35"/>
        <v>0.2</v>
      </c>
      <c r="AN881" s="283" t="s">
        <v>1446</v>
      </c>
      <c r="AO881" s="18" t="s">
        <v>3715</v>
      </c>
      <c r="AP881" s="283" t="s">
        <v>3635</v>
      </c>
    </row>
    <row r="882" spans="1:42" x14ac:dyDescent="0.3">
      <c r="A882" s="314" t="s">
        <v>1448</v>
      </c>
      <c r="B882" s="283" t="s">
        <v>3447</v>
      </c>
      <c r="C882" s="314" t="s">
        <v>3934</v>
      </c>
      <c r="D882" s="283" t="s">
        <v>2439</v>
      </c>
      <c r="E882" s="314" t="s">
        <v>3935</v>
      </c>
      <c r="F882" s="283" t="s">
        <v>3936</v>
      </c>
      <c r="G882" s="314" t="s">
        <v>4005</v>
      </c>
      <c r="H882" s="283" t="s">
        <v>4006</v>
      </c>
      <c r="K882" s="314" t="s">
        <v>4007</v>
      </c>
      <c r="L882" s="283" t="s">
        <v>4008</v>
      </c>
      <c r="M882" s="1" t="s">
        <v>4009</v>
      </c>
      <c r="N882" s="1">
        <v>0</v>
      </c>
      <c r="O882" s="1">
        <v>1</v>
      </c>
      <c r="P882" s="3">
        <v>1</v>
      </c>
      <c r="Q882" s="3">
        <v>1</v>
      </c>
      <c r="T882" s="283" t="s">
        <v>265</v>
      </c>
      <c r="U882" s="283" t="s">
        <v>350</v>
      </c>
      <c r="V882" s="1" t="s">
        <v>4010</v>
      </c>
      <c r="W882" s="1">
        <v>1</v>
      </c>
      <c r="X882" s="1">
        <v>1</v>
      </c>
      <c r="Y882" s="1">
        <v>1</v>
      </c>
      <c r="Z882" s="1">
        <v>1</v>
      </c>
      <c r="AA882" s="1">
        <v>1</v>
      </c>
      <c r="AB882" s="1">
        <v>1</v>
      </c>
      <c r="AC882" s="316">
        <v>1</v>
      </c>
      <c r="AD882" s="316">
        <v>1</v>
      </c>
      <c r="AE882" s="302">
        <f t="shared" si="36"/>
        <v>1</v>
      </c>
      <c r="AF882" s="310"/>
      <c r="AG882" s="17">
        <v>0</v>
      </c>
      <c r="AH882" s="310">
        <v>0.3</v>
      </c>
      <c r="AI882" s="310">
        <v>0.3</v>
      </c>
      <c r="AJ882" s="310">
        <v>0.3</v>
      </c>
      <c r="AK882" s="153">
        <v>0</v>
      </c>
      <c r="AL882" s="154">
        <v>0</v>
      </c>
      <c r="AM882" s="147">
        <f t="shared" si="35"/>
        <v>0</v>
      </c>
      <c r="AN882" s="283" t="s">
        <v>265</v>
      </c>
      <c r="AO882" s="18" t="s">
        <v>350</v>
      </c>
      <c r="AP882" s="283" t="s">
        <v>921</v>
      </c>
    </row>
    <row r="883" spans="1:42" x14ac:dyDescent="0.3">
      <c r="A883" s="314" t="s">
        <v>1448</v>
      </c>
      <c r="B883" s="283" t="s">
        <v>3447</v>
      </c>
      <c r="C883" s="314" t="s">
        <v>3934</v>
      </c>
      <c r="D883" s="283" t="s">
        <v>2439</v>
      </c>
      <c r="E883" s="314" t="s">
        <v>3935</v>
      </c>
      <c r="F883" s="283" t="s">
        <v>3936</v>
      </c>
      <c r="G883" s="314" t="s">
        <v>4005</v>
      </c>
      <c r="H883" s="283" t="s">
        <v>4006</v>
      </c>
      <c r="K883" s="314" t="s">
        <v>4007</v>
      </c>
      <c r="L883" s="283" t="s">
        <v>4008</v>
      </c>
      <c r="M883" s="1" t="s">
        <v>4011</v>
      </c>
      <c r="N883" s="1"/>
      <c r="U883" s="283" t="e">
        <v>#N/A</v>
      </c>
      <c r="V883" s="1" t="s">
        <v>4012</v>
      </c>
      <c r="W883" s="1">
        <v>1</v>
      </c>
      <c r="X883" s="1">
        <v>1</v>
      </c>
      <c r="Y883" s="1">
        <v>1</v>
      </c>
      <c r="Z883" s="1">
        <v>1</v>
      </c>
      <c r="AA883" s="1">
        <v>1</v>
      </c>
      <c r="AB883" s="1">
        <v>1</v>
      </c>
      <c r="AC883" s="316">
        <v>1</v>
      </c>
      <c r="AD883" s="316">
        <v>1</v>
      </c>
      <c r="AE883" s="302">
        <f t="shared" si="36"/>
        <v>1</v>
      </c>
      <c r="AF883" s="310"/>
      <c r="AG883" s="17">
        <v>0</v>
      </c>
      <c r="AH883" s="310">
        <v>0.3</v>
      </c>
      <c r="AI883" s="310">
        <v>0.3</v>
      </c>
      <c r="AJ883" s="310">
        <v>0.3</v>
      </c>
      <c r="AK883" s="317">
        <v>0.3</v>
      </c>
      <c r="AL883" s="317">
        <v>0.3</v>
      </c>
      <c r="AM883" s="147">
        <f t="shared" si="35"/>
        <v>0.6</v>
      </c>
      <c r="AN883" s="1" t="s">
        <v>921</v>
      </c>
      <c r="AO883" s="18" t="s">
        <v>880</v>
      </c>
      <c r="AP883" s="283" t="s">
        <v>4013</v>
      </c>
    </row>
    <row r="884" spans="1:42" x14ac:dyDescent="0.3">
      <c r="A884" s="314" t="s">
        <v>1448</v>
      </c>
      <c r="B884" s="283" t="s">
        <v>3447</v>
      </c>
      <c r="C884" s="314" t="s">
        <v>3934</v>
      </c>
      <c r="D884" s="283" t="s">
        <v>2439</v>
      </c>
      <c r="E884" s="314" t="s">
        <v>3935</v>
      </c>
      <c r="F884" s="283" t="s">
        <v>3936</v>
      </c>
      <c r="G884" s="314" t="s">
        <v>4005</v>
      </c>
      <c r="H884" s="283" t="s">
        <v>4006</v>
      </c>
      <c r="K884" s="314" t="s">
        <v>4007</v>
      </c>
      <c r="L884" s="283" t="s">
        <v>4008</v>
      </c>
      <c r="N884" s="1"/>
      <c r="U884" s="283" t="e">
        <v>#N/A</v>
      </c>
      <c r="V884" s="1" t="s">
        <v>4014</v>
      </c>
      <c r="W884" s="1">
        <v>1</v>
      </c>
      <c r="X884" s="1">
        <v>1</v>
      </c>
      <c r="Y884" s="1">
        <v>1</v>
      </c>
      <c r="Z884" s="1">
        <v>1</v>
      </c>
      <c r="AA884" s="1">
        <v>1</v>
      </c>
      <c r="AB884" s="1">
        <v>1</v>
      </c>
      <c r="AC884" s="316">
        <v>1</v>
      </c>
      <c r="AD884" s="316">
        <v>1</v>
      </c>
      <c r="AE884" s="302">
        <f t="shared" si="36"/>
        <v>1</v>
      </c>
      <c r="AF884" s="310"/>
      <c r="AG884" s="17">
        <v>0</v>
      </c>
      <c r="AH884" s="310">
        <v>0.2</v>
      </c>
      <c r="AI884" s="310">
        <v>0.2</v>
      </c>
      <c r="AJ884" s="17">
        <v>0</v>
      </c>
      <c r="AK884" s="317">
        <v>0.2</v>
      </c>
      <c r="AL884" s="317">
        <v>0.2</v>
      </c>
      <c r="AM884" s="147">
        <f t="shared" si="35"/>
        <v>0.4</v>
      </c>
      <c r="AN884" s="1" t="s">
        <v>921</v>
      </c>
      <c r="AO884" s="18" t="s">
        <v>880</v>
      </c>
      <c r="AP884" s="283" t="s">
        <v>4015</v>
      </c>
    </row>
    <row r="885" spans="1:42" x14ac:dyDescent="0.3">
      <c r="A885" s="314" t="s">
        <v>1448</v>
      </c>
      <c r="B885" s="283" t="s">
        <v>3447</v>
      </c>
      <c r="C885" s="314" t="s">
        <v>3934</v>
      </c>
      <c r="D885" s="283" t="s">
        <v>2439</v>
      </c>
      <c r="E885" s="314" t="s">
        <v>3935</v>
      </c>
      <c r="F885" s="283" t="s">
        <v>3936</v>
      </c>
      <c r="G885" s="314" t="s">
        <v>4005</v>
      </c>
      <c r="H885" s="283" t="s">
        <v>4006</v>
      </c>
      <c r="K885" s="314" t="s">
        <v>4007</v>
      </c>
      <c r="L885" s="283" t="s">
        <v>4008</v>
      </c>
      <c r="N885" s="1"/>
      <c r="U885" s="283" t="e">
        <v>#N/A</v>
      </c>
      <c r="V885" s="1" t="s">
        <v>4016</v>
      </c>
      <c r="W885" s="1">
        <v>1</v>
      </c>
      <c r="X885" s="1">
        <v>1</v>
      </c>
      <c r="Y885" s="1">
        <v>1</v>
      </c>
      <c r="Z885" s="1">
        <v>1</v>
      </c>
      <c r="AA885" s="1">
        <v>1</v>
      </c>
      <c r="AB885" s="1">
        <v>1</v>
      </c>
      <c r="AC885" s="316">
        <v>1</v>
      </c>
      <c r="AD885" s="316">
        <v>1</v>
      </c>
      <c r="AE885" s="302">
        <f t="shared" si="36"/>
        <v>1</v>
      </c>
      <c r="AF885" s="310"/>
      <c r="AG885" s="17">
        <v>0</v>
      </c>
      <c r="AH885" s="310">
        <v>0</v>
      </c>
      <c r="AI885" s="310">
        <v>0</v>
      </c>
      <c r="AJ885" s="310">
        <v>0</v>
      </c>
      <c r="AK885" s="317">
        <v>1</v>
      </c>
      <c r="AL885" s="317">
        <v>0</v>
      </c>
      <c r="AM885" s="147">
        <f t="shared" si="35"/>
        <v>1</v>
      </c>
      <c r="AN885" s="283" t="s">
        <v>265</v>
      </c>
      <c r="AO885" s="18" t="s">
        <v>350</v>
      </c>
      <c r="AP885" s="283" t="s">
        <v>119</v>
      </c>
    </row>
    <row r="886" spans="1:42" x14ac:dyDescent="0.3">
      <c r="A886" s="314" t="s">
        <v>1448</v>
      </c>
      <c r="B886" s="283" t="s">
        <v>3447</v>
      </c>
      <c r="C886" s="314" t="s">
        <v>3934</v>
      </c>
      <c r="D886" s="283" t="s">
        <v>2439</v>
      </c>
      <c r="E886" s="314" t="s">
        <v>3935</v>
      </c>
      <c r="F886" s="283" t="s">
        <v>3936</v>
      </c>
      <c r="G886" s="314" t="s">
        <v>4005</v>
      </c>
      <c r="H886" s="283" t="s">
        <v>4006</v>
      </c>
      <c r="K886" s="314" t="s">
        <v>4007</v>
      </c>
      <c r="L886" s="283" t="s">
        <v>4008</v>
      </c>
      <c r="M886" s="1" t="s">
        <v>4017</v>
      </c>
      <c r="N886" s="1"/>
      <c r="O886" s="167"/>
      <c r="P886" s="211" t="s">
        <v>3532</v>
      </c>
      <c r="Q886" s="211">
        <v>1</v>
      </c>
      <c r="R886" s="211">
        <v>1</v>
      </c>
      <c r="S886" s="211">
        <v>1</v>
      </c>
      <c r="T886" s="283" t="s">
        <v>265</v>
      </c>
      <c r="U886" s="283" t="s">
        <v>350</v>
      </c>
      <c r="V886" s="1" t="s">
        <v>4018</v>
      </c>
      <c r="W886" s="1">
        <v>1</v>
      </c>
      <c r="X886" s="1">
        <v>1</v>
      </c>
      <c r="Y886" s="1">
        <v>1</v>
      </c>
      <c r="Z886" s="1">
        <v>1</v>
      </c>
      <c r="AA886" s="1">
        <v>1</v>
      </c>
      <c r="AB886" s="1">
        <v>1</v>
      </c>
      <c r="AC886" s="316">
        <v>1</v>
      </c>
      <c r="AD886" s="316">
        <v>1</v>
      </c>
      <c r="AE886" s="302">
        <f t="shared" si="36"/>
        <v>1</v>
      </c>
      <c r="AF886" s="17">
        <v>1</v>
      </c>
      <c r="AG886" s="17">
        <v>0</v>
      </c>
      <c r="AH886" s="17">
        <v>0</v>
      </c>
      <c r="AI886" s="310">
        <v>0.1</v>
      </c>
      <c r="AJ886" s="310">
        <v>0.1</v>
      </c>
      <c r="AK886" s="317">
        <v>0.1</v>
      </c>
      <c r="AL886" s="317">
        <v>0.1</v>
      </c>
      <c r="AM886" s="147">
        <f t="shared" si="35"/>
        <v>0.2</v>
      </c>
      <c r="AN886" s="283" t="s">
        <v>265</v>
      </c>
      <c r="AO886" s="18" t="s">
        <v>350</v>
      </c>
      <c r="AP886" s="283" t="s">
        <v>4019</v>
      </c>
    </row>
    <row r="887" spans="1:42" x14ac:dyDescent="0.3">
      <c r="A887" s="314" t="s">
        <v>1448</v>
      </c>
      <c r="B887" s="283" t="s">
        <v>3447</v>
      </c>
      <c r="C887" s="314" t="s">
        <v>3934</v>
      </c>
      <c r="D887" s="283" t="s">
        <v>2439</v>
      </c>
      <c r="E887" s="314" t="s">
        <v>3935</v>
      </c>
      <c r="F887" s="283" t="s">
        <v>3936</v>
      </c>
      <c r="G887" s="314" t="s">
        <v>4005</v>
      </c>
      <c r="H887" s="283" t="s">
        <v>4006</v>
      </c>
      <c r="K887" s="314" t="s">
        <v>4007</v>
      </c>
      <c r="L887" s="283" t="s">
        <v>4008</v>
      </c>
      <c r="M887" s="1" t="s">
        <v>4020</v>
      </c>
      <c r="N887" s="1" t="s">
        <v>271</v>
      </c>
      <c r="O887" s="1">
        <v>100</v>
      </c>
      <c r="P887" s="3">
        <v>100</v>
      </c>
      <c r="Q887" s="3">
        <v>100</v>
      </c>
      <c r="R887" s="3">
        <v>100</v>
      </c>
      <c r="S887" s="3">
        <v>100</v>
      </c>
      <c r="T887" s="283" t="s">
        <v>1446</v>
      </c>
      <c r="U887" s="283" t="s">
        <v>3715</v>
      </c>
      <c r="V887" s="1" t="s">
        <v>4021</v>
      </c>
      <c r="W887" s="1">
        <v>1</v>
      </c>
      <c r="X887" s="1">
        <v>1</v>
      </c>
      <c r="Y887" s="1">
        <v>0</v>
      </c>
      <c r="Z887" s="1">
        <v>1</v>
      </c>
      <c r="AA887" s="1">
        <v>1</v>
      </c>
      <c r="AB887" s="1">
        <v>1</v>
      </c>
      <c r="AC887" s="316">
        <v>0</v>
      </c>
      <c r="AD887" s="316">
        <v>1</v>
      </c>
      <c r="AE887" s="302">
        <f t="shared" si="36"/>
        <v>0.75</v>
      </c>
      <c r="AF887" s="17"/>
      <c r="AG887" s="17">
        <v>0</v>
      </c>
      <c r="AH887" s="17">
        <v>0</v>
      </c>
      <c r="AI887" s="310">
        <v>0.03</v>
      </c>
      <c r="AJ887" s="310">
        <v>0.03</v>
      </c>
      <c r="AK887" s="317">
        <v>0.03</v>
      </c>
      <c r="AL887" s="317">
        <v>0.03</v>
      </c>
      <c r="AM887" s="147">
        <f t="shared" si="35"/>
        <v>0.06</v>
      </c>
      <c r="AN887" s="283" t="s">
        <v>1446</v>
      </c>
      <c r="AO887" s="18" t="s">
        <v>3715</v>
      </c>
      <c r="AP887" s="283" t="s">
        <v>4022</v>
      </c>
    </row>
    <row r="888" spans="1:42" x14ac:dyDescent="0.3">
      <c r="A888" s="314" t="s">
        <v>1448</v>
      </c>
      <c r="B888" s="283" t="s">
        <v>3447</v>
      </c>
      <c r="C888" s="314" t="s">
        <v>3934</v>
      </c>
      <c r="D888" s="283" t="s">
        <v>2439</v>
      </c>
      <c r="E888" s="314" t="s">
        <v>3935</v>
      </c>
      <c r="F888" s="283" t="s">
        <v>3936</v>
      </c>
      <c r="G888" s="314" t="s">
        <v>4023</v>
      </c>
      <c r="H888" s="283" t="s">
        <v>4024</v>
      </c>
      <c r="K888" s="318" t="s">
        <v>4025</v>
      </c>
      <c r="L888" s="283" t="s">
        <v>4026</v>
      </c>
      <c r="M888" s="1" t="s">
        <v>4027</v>
      </c>
      <c r="N888" s="1">
        <v>0</v>
      </c>
      <c r="O888" s="1">
        <v>0</v>
      </c>
      <c r="P888" s="3">
        <v>0.5</v>
      </c>
      <c r="Q888" s="3">
        <v>0.5</v>
      </c>
      <c r="R888" s="3" t="s">
        <v>271</v>
      </c>
      <c r="S888" s="3" t="s">
        <v>271</v>
      </c>
      <c r="T888" s="283" t="s">
        <v>265</v>
      </c>
      <c r="U888" s="283" t="s">
        <v>350</v>
      </c>
      <c r="V888" s="1" t="s">
        <v>4028</v>
      </c>
      <c r="W888" s="1">
        <v>1</v>
      </c>
      <c r="X888" s="1">
        <v>1</v>
      </c>
      <c r="Y888" s="1">
        <v>1</v>
      </c>
      <c r="Z888" s="1">
        <v>1</v>
      </c>
      <c r="AA888" s="1">
        <v>1</v>
      </c>
      <c r="AB888" s="1">
        <v>1</v>
      </c>
      <c r="AC888" s="316">
        <v>0</v>
      </c>
      <c r="AD888" s="316">
        <v>1</v>
      </c>
      <c r="AE888" s="302">
        <f t="shared" si="36"/>
        <v>0.875</v>
      </c>
      <c r="AF888" s="310"/>
      <c r="AG888" s="17">
        <v>0</v>
      </c>
      <c r="AH888" s="310">
        <v>1</v>
      </c>
      <c r="AI888" s="310">
        <v>1</v>
      </c>
      <c r="AJ888" s="17">
        <v>0</v>
      </c>
      <c r="AK888" s="153">
        <v>0</v>
      </c>
      <c r="AL888" s="154">
        <v>0</v>
      </c>
      <c r="AM888" s="147">
        <f t="shared" si="35"/>
        <v>0</v>
      </c>
      <c r="AN888" s="283" t="s">
        <v>265</v>
      </c>
      <c r="AO888" s="18" t="s">
        <v>350</v>
      </c>
      <c r="AP888" s="283" t="s">
        <v>3903</v>
      </c>
    </row>
    <row r="889" spans="1:42" x14ac:dyDescent="0.3">
      <c r="A889" s="314" t="s">
        <v>1448</v>
      </c>
      <c r="B889" s="283" t="s">
        <v>3447</v>
      </c>
      <c r="C889" s="314" t="s">
        <v>3934</v>
      </c>
      <c r="D889" s="283" t="s">
        <v>2439</v>
      </c>
      <c r="E889" s="314" t="s">
        <v>3935</v>
      </c>
      <c r="F889" s="283" t="s">
        <v>3936</v>
      </c>
      <c r="G889" s="314" t="s">
        <v>4023</v>
      </c>
      <c r="H889" s="283" t="s">
        <v>4024</v>
      </c>
      <c r="K889" s="314" t="s">
        <v>4029</v>
      </c>
      <c r="L889" s="283" t="s">
        <v>4030</v>
      </c>
      <c r="M889" s="1" t="s">
        <v>4031</v>
      </c>
      <c r="N889" s="1">
        <v>0</v>
      </c>
      <c r="P889" s="3">
        <v>5</v>
      </c>
      <c r="Q889" s="3">
        <v>5</v>
      </c>
      <c r="R889" s="3">
        <v>5</v>
      </c>
      <c r="S889" s="3">
        <v>5</v>
      </c>
      <c r="T889" s="283" t="s">
        <v>265</v>
      </c>
      <c r="U889" s="283" t="s">
        <v>350</v>
      </c>
      <c r="V889" s="1" t="s">
        <v>4032</v>
      </c>
      <c r="W889" s="1">
        <v>1</v>
      </c>
      <c r="X889" s="1">
        <v>1</v>
      </c>
      <c r="Y889" s="1">
        <v>0</v>
      </c>
      <c r="Z889" s="1">
        <v>0</v>
      </c>
      <c r="AA889" s="1">
        <v>1</v>
      </c>
      <c r="AB889" s="1">
        <v>0</v>
      </c>
      <c r="AC889" s="316">
        <v>1</v>
      </c>
      <c r="AD889" s="316">
        <v>1</v>
      </c>
      <c r="AE889" s="302">
        <f t="shared" si="36"/>
        <v>0.625</v>
      </c>
      <c r="AF889" s="17"/>
      <c r="AG889" s="17">
        <v>0</v>
      </c>
      <c r="AH889" s="17">
        <v>0</v>
      </c>
      <c r="AI889" s="310">
        <v>0.3</v>
      </c>
      <c r="AJ889" s="310">
        <v>0.3</v>
      </c>
      <c r="AK889" s="317">
        <v>0.3</v>
      </c>
      <c r="AL889" s="317"/>
      <c r="AM889" s="147">
        <f t="shared" si="35"/>
        <v>0.3</v>
      </c>
      <c r="AN889" s="283" t="s">
        <v>265</v>
      </c>
      <c r="AO889" s="18" t="s">
        <v>350</v>
      </c>
      <c r="AP889" s="283" t="s">
        <v>4033</v>
      </c>
    </row>
    <row r="890" spans="1:42" x14ac:dyDescent="0.3">
      <c r="A890" s="314" t="s">
        <v>1448</v>
      </c>
      <c r="B890" s="283" t="s">
        <v>3447</v>
      </c>
      <c r="C890" s="314" t="s">
        <v>3934</v>
      </c>
      <c r="D890" s="283" t="s">
        <v>2439</v>
      </c>
      <c r="E890" s="314" t="s">
        <v>3935</v>
      </c>
      <c r="F890" s="283" t="s">
        <v>3936</v>
      </c>
      <c r="G890" s="314" t="s">
        <v>4023</v>
      </c>
      <c r="H890" s="283" t="s">
        <v>4024</v>
      </c>
      <c r="K890" s="314" t="s">
        <v>4029</v>
      </c>
      <c r="L890" s="283" t="s">
        <v>4030</v>
      </c>
      <c r="M890" s="1" t="s">
        <v>4034</v>
      </c>
      <c r="N890" s="1">
        <v>0</v>
      </c>
      <c r="P890" s="3" t="s">
        <v>3565</v>
      </c>
      <c r="Q890" s="3">
        <v>2</v>
      </c>
      <c r="R890" s="3" t="s">
        <v>3565</v>
      </c>
      <c r="S890" s="3">
        <v>2</v>
      </c>
      <c r="T890" s="283" t="s">
        <v>265</v>
      </c>
      <c r="U890" s="283" t="s">
        <v>350</v>
      </c>
      <c r="V890" s="1" t="s">
        <v>4035</v>
      </c>
      <c r="W890" s="1">
        <v>1</v>
      </c>
      <c r="X890" s="1">
        <v>1</v>
      </c>
      <c r="Y890" s="1">
        <v>0</v>
      </c>
      <c r="Z890" s="1">
        <v>1</v>
      </c>
      <c r="AA890" s="1">
        <v>1</v>
      </c>
      <c r="AB890" s="1">
        <v>1</v>
      </c>
      <c r="AC890" s="316">
        <v>1</v>
      </c>
      <c r="AD890" s="316">
        <v>1</v>
      </c>
      <c r="AE890" s="302">
        <f t="shared" si="36"/>
        <v>0.875</v>
      </c>
      <c r="AF890" s="17"/>
      <c r="AG890" s="17">
        <v>0</v>
      </c>
      <c r="AH890" s="17">
        <v>0</v>
      </c>
      <c r="AI890" s="310">
        <v>0.2</v>
      </c>
      <c r="AJ890" s="310">
        <v>0.2</v>
      </c>
      <c r="AK890" s="317">
        <v>0.2</v>
      </c>
      <c r="AL890" s="317">
        <v>0.2</v>
      </c>
      <c r="AM890" s="147">
        <f t="shared" si="35"/>
        <v>0.4</v>
      </c>
      <c r="AN890" s="283" t="s">
        <v>265</v>
      </c>
      <c r="AO890" s="18" t="s">
        <v>350</v>
      </c>
      <c r="AP890" s="283" t="s">
        <v>4036</v>
      </c>
    </row>
    <row r="891" spans="1:42" x14ac:dyDescent="0.3">
      <c r="A891" s="314" t="s">
        <v>1448</v>
      </c>
      <c r="B891" s="283" t="s">
        <v>3447</v>
      </c>
      <c r="C891" s="314" t="s">
        <v>3934</v>
      </c>
      <c r="D891" s="283" t="s">
        <v>2439</v>
      </c>
      <c r="E891" s="314" t="s">
        <v>3935</v>
      </c>
      <c r="F891" s="283" t="s">
        <v>3936</v>
      </c>
      <c r="G891" s="314" t="s">
        <v>4023</v>
      </c>
      <c r="H891" s="283" t="s">
        <v>4024</v>
      </c>
      <c r="K891" s="314" t="s">
        <v>4029</v>
      </c>
      <c r="L891" s="283" t="s">
        <v>4030</v>
      </c>
      <c r="M891" s="1" t="s">
        <v>4037</v>
      </c>
      <c r="N891" s="1">
        <v>0</v>
      </c>
      <c r="O891" s="1">
        <v>200</v>
      </c>
      <c r="P891" s="3" t="s">
        <v>4038</v>
      </c>
      <c r="Q891" s="3" t="s">
        <v>4038</v>
      </c>
      <c r="R891" s="3" t="s">
        <v>4038</v>
      </c>
      <c r="S891" s="3" t="s">
        <v>4038</v>
      </c>
      <c r="T891" s="283" t="s">
        <v>265</v>
      </c>
      <c r="U891" s="283" t="s">
        <v>350</v>
      </c>
      <c r="V891" s="344" t="s">
        <v>4039</v>
      </c>
      <c r="W891" s="1">
        <v>1</v>
      </c>
      <c r="X891" s="1">
        <v>1</v>
      </c>
      <c r="Y891" s="1">
        <v>1</v>
      </c>
      <c r="Z891" s="1">
        <v>1</v>
      </c>
      <c r="AA891" s="1">
        <v>1</v>
      </c>
      <c r="AB891" s="1">
        <v>1</v>
      </c>
      <c r="AC891" s="316">
        <v>1</v>
      </c>
      <c r="AD891" s="316">
        <v>1</v>
      </c>
      <c r="AE891" s="302">
        <f t="shared" si="36"/>
        <v>1</v>
      </c>
      <c r="AF891" s="17"/>
      <c r="AG891" s="17">
        <v>0</v>
      </c>
      <c r="AH891" s="17">
        <v>0</v>
      </c>
      <c r="AI891" s="310">
        <v>0</v>
      </c>
      <c r="AJ891" s="310">
        <v>0</v>
      </c>
      <c r="AK891" s="153">
        <v>0</v>
      </c>
      <c r="AL891" s="154">
        <v>0</v>
      </c>
      <c r="AM891" s="147">
        <f t="shared" si="35"/>
        <v>0</v>
      </c>
      <c r="AN891" s="283" t="s">
        <v>265</v>
      </c>
      <c r="AO891" s="18" t="s">
        <v>350</v>
      </c>
      <c r="AP891" s="283" t="s">
        <v>3903</v>
      </c>
    </row>
    <row r="892" spans="1:42" x14ac:dyDescent="0.3">
      <c r="A892" s="314" t="s">
        <v>1448</v>
      </c>
      <c r="B892" s="283" t="s">
        <v>3447</v>
      </c>
      <c r="C892" s="314" t="s">
        <v>3934</v>
      </c>
      <c r="D892" s="283" t="s">
        <v>2439</v>
      </c>
      <c r="E892" s="314" t="s">
        <v>3935</v>
      </c>
      <c r="F892" s="283" t="s">
        <v>3936</v>
      </c>
      <c r="G892" s="314" t="s">
        <v>4023</v>
      </c>
      <c r="H892" s="283" t="s">
        <v>4024</v>
      </c>
      <c r="K892" s="314" t="s">
        <v>4029</v>
      </c>
      <c r="L892" s="283" t="s">
        <v>4030</v>
      </c>
      <c r="N892" s="1"/>
      <c r="U892" s="283" t="e">
        <v>#N/A</v>
      </c>
      <c r="V892" s="1" t="s">
        <v>4040</v>
      </c>
      <c r="W892" s="1">
        <v>1</v>
      </c>
      <c r="X892" s="1">
        <v>1</v>
      </c>
      <c r="Y892" s="1">
        <v>1</v>
      </c>
      <c r="Z892" s="1">
        <v>0</v>
      </c>
      <c r="AA892" s="1">
        <v>1</v>
      </c>
      <c r="AB892" s="1">
        <v>1</v>
      </c>
      <c r="AC892" s="316">
        <v>1</v>
      </c>
      <c r="AD892" s="316">
        <v>1</v>
      </c>
      <c r="AE892" s="302">
        <f t="shared" si="36"/>
        <v>0.875</v>
      </c>
      <c r="AF892" s="310"/>
      <c r="AG892" s="17">
        <v>0</v>
      </c>
      <c r="AH892" s="310">
        <v>0.2</v>
      </c>
      <c r="AI892" s="310">
        <v>0.2</v>
      </c>
      <c r="AJ892" s="17">
        <v>0</v>
      </c>
      <c r="AK892" s="153">
        <v>0</v>
      </c>
      <c r="AL892" s="154">
        <v>0</v>
      </c>
      <c r="AM892" s="147">
        <f t="shared" ref="AM892:AM896" si="37">SUM(AK892:AL892)</f>
        <v>0</v>
      </c>
      <c r="AN892" s="283" t="s">
        <v>265</v>
      </c>
      <c r="AO892" s="18" t="s">
        <v>350</v>
      </c>
      <c r="AP892" s="283" t="s">
        <v>3903</v>
      </c>
    </row>
    <row r="893" spans="1:42" x14ac:dyDescent="0.3">
      <c r="A893" s="314" t="s">
        <v>1448</v>
      </c>
      <c r="B893" s="283" t="s">
        <v>3447</v>
      </c>
      <c r="C893" s="314" t="s">
        <v>3934</v>
      </c>
      <c r="D893" s="283" t="s">
        <v>2439</v>
      </c>
      <c r="E893" s="314" t="s">
        <v>3935</v>
      </c>
      <c r="F893" s="283" t="s">
        <v>3936</v>
      </c>
      <c r="G893" s="314" t="s">
        <v>4023</v>
      </c>
      <c r="H893" s="283" t="s">
        <v>4024</v>
      </c>
      <c r="K893" s="314" t="s">
        <v>4029</v>
      </c>
      <c r="L893" s="283" t="s">
        <v>4030</v>
      </c>
      <c r="N893" s="1"/>
      <c r="U893" s="283" t="e">
        <v>#N/A</v>
      </c>
      <c r="V893" s="1" t="s">
        <v>4041</v>
      </c>
      <c r="W893" s="1">
        <v>1</v>
      </c>
      <c r="X893" s="1">
        <v>1</v>
      </c>
      <c r="Y893" s="1">
        <v>1</v>
      </c>
      <c r="Z893" s="1">
        <v>1</v>
      </c>
      <c r="AA893" s="1">
        <v>1</v>
      </c>
      <c r="AB893" s="1">
        <v>1</v>
      </c>
      <c r="AC893" s="316">
        <v>0</v>
      </c>
      <c r="AD893" s="316">
        <v>1</v>
      </c>
      <c r="AE893" s="302">
        <f t="shared" si="36"/>
        <v>0.875</v>
      </c>
      <c r="AF893" s="17"/>
      <c r="AG893" s="17">
        <v>0</v>
      </c>
      <c r="AH893" s="17">
        <v>0</v>
      </c>
      <c r="AI893" s="310">
        <v>0.3</v>
      </c>
      <c r="AJ893" s="17">
        <v>0</v>
      </c>
      <c r="AK893" s="153">
        <v>0</v>
      </c>
      <c r="AL893" s="154">
        <v>0</v>
      </c>
      <c r="AM893" s="147">
        <f t="shared" si="37"/>
        <v>0</v>
      </c>
      <c r="AN893" s="283" t="s">
        <v>265</v>
      </c>
      <c r="AO893" s="18" t="s">
        <v>350</v>
      </c>
      <c r="AP893" s="283" t="s">
        <v>3903</v>
      </c>
    </row>
    <row r="894" spans="1:42" x14ac:dyDescent="0.3">
      <c r="A894" s="314" t="s">
        <v>1448</v>
      </c>
      <c r="B894" s="283" t="s">
        <v>3447</v>
      </c>
      <c r="C894" s="314" t="s">
        <v>3934</v>
      </c>
      <c r="D894" s="283" t="s">
        <v>2439</v>
      </c>
      <c r="E894" s="314" t="s">
        <v>3935</v>
      </c>
      <c r="F894" s="283" t="s">
        <v>3936</v>
      </c>
      <c r="G894" s="314" t="s">
        <v>4023</v>
      </c>
      <c r="H894" s="283" t="s">
        <v>4024</v>
      </c>
      <c r="K894" s="314" t="s">
        <v>4029</v>
      </c>
      <c r="L894" s="283" t="s">
        <v>4030</v>
      </c>
      <c r="N894" s="1"/>
      <c r="U894" s="283" t="e">
        <v>#N/A</v>
      </c>
      <c r="V894" s="1" t="s">
        <v>4042</v>
      </c>
      <c r="W894" s="1">
        <v>1</v>
      </c>
      <c r="X894" s="1">
        <v>0</v>
      </c>
      <c r="Y894" s="1">
        <v>0</v>
      </c>
      <c r="Z894" s="1">
        <v>1</v>
      </c>
      <c r="AA894" s="1">
        <v>1</v>
      </c>
      <c r="AB894" s="1">
        <v>1</v>
      </c>
      <c r="AC894" s="316">
        <v>1</v>
      </c>
      <c r="AD894" s="316">
        <v>1</v>
      </c>
      <c r="AE894" s="302">
        <f t="shared" si="36"/>
        <v>0.75</v>
      </c>
      <c r="AF894" s="17"/>
      <c r="AG894" s="17">
        <v>0</v>
      </c>
      <c r="AH894" s="17">
        <v>0</v>
      </c>
      <c r="AI894" s="310">
        <v>1</v>
      </c>
      <c r="AJ894" s="310">
        <v>1</v>
      </c>
      <c r="AK894" s="317">
        <v>1</v>
      </c>
      <c r="AL894" s="317">
        <v>1</v>
      </c>
      <c r="AM894" s="147">
        <f t="shared" si="37"/>
        <v>2</v>
      </c>
      <c r="AN894" s="283" t="s">
        <v>265</v>
      </c>
      <c r="AO894" s="18" t="s">
        <v>350</v>
      </c>
      <c r="AP894" s="283" t="s">
        <v>4043</v>
      </c>
    </row>
    <row r="895" spans="1:42" x14ac:dyDescent="0.3">
      <c r="A895" s="314" t="s">
        <v>1448</v>
      </c>
      <c r="B895" s="283" t="s">
        <v>3447</v>
      </c>
      <c r="C895" s="314" t="s">
        <v>3934</v>
      </c>
      <c r="D895" s="283" t="s">
        <v>2439</v>
      </c>
      <c r="E895" s="314" t="s">
        <v>3935</v>
      </c>
      <c r="F895" s="283" t="s">
        <v>3936</v>
      </c>
      <c r="G895" s="314" t="s">
        <v>4023</v>
      </c>
      <c r="H895" s="283" t="s">
        <v>4024</v>
      </c>
      <c r="K895" s="318" t="s">
        <v>4044</v>
      </c>
      <c r="L895" s="283" t="s">
        <v>4045</v>
      </c>
      <c r="M895" s="1" t="s">
        <v>4046</v>
      </c>
      <c r="N895" s="1">
        <v>0</v>
      </c>
      <c r="O895" s="1">
        <v>5</v>
      </c>
      <c r="P895" s="3">
        <v>10</v>
      </c>
      <c r="Q895" s="3">
        <v>10</v>
      </c>
      <c r="R895" s="3">
        <v>10</v>
      </c>
      <c r="S895" s="3">
        <v>10</v>
      </c>
      <c r="T895" s="283" t="s">
        <v>265</v>
      </c>
      <c r="U895" s="283" t="s">
        <v>350</v>
      </c>
      <c r="V895" s="1" t="s">
        <v>4047</v>
      </c>
      <c r="W895" s="1">
        <v>0</v>
      </c>
      <c r="X895" s="1">
        <v>0</v>
      </c>
      <c r="Y895" s="1">
        <v>1</v>
      </c>
      <c r="Z895" s="1">
        <v>1</v>
      </c>
      <c r="AA895" s="1">
        <v>1</v>
      </c>
      <c r="AB895" s="1">
        <v>1</v>
      </c>
      <c r="AC895" s="316">
        <v>1</v>
      </c>
      <c r="AD895" s="316">
        <v>1</v>
      </c>
      <c r="AE895" s="302">
        <f t="shared" ref="AE895:AE896" si="38">SUM(W895:AD895)/8</f>
        <v>0.75</v>
      </c>
      <c r="AF895" s="310"/>
      <c r="AG895" s="17">
        <v>0</v>
      </c>
      <c r="AH895" s="310">
        <v>0.1</v>
      </c>
      <c r="AI895" s="310">
        <v>0.2</v>
      </c>
      <c r="AJ895" s="310">
        <v>0.2</v>
      </c>
      <c r="AK895" s="317">
        <v>0.2</v>
      </c>
      <c r="AL895" s="317">
        <v>0.2</v>
      </c>
      <c r="AM895" s="147">
        <f t="shared" si="37"/>
        <v>0.4</v>
      </c>
      <c r="AN895" s="283" t="s">
        <v>265</v>
      </c>
      <c r="AO895" s="18" t="s">
        <v>350</v>
      </c>
      <c r="AP895" s="283" t="s">
        <v>4043</v>
      </c>
    </row>
    <row r="896" spans="1:42" x14ac:dyDescent="0.3">
      <c r="A896" s="314" t="s">
        <v>1448</v>
      </c>
      <c r="B896" s="283" t="s">
        <v>3447</v>
      </c>
      <c r="C896" s="314" t="s">
        <v>3934</v>
      </c>
      <c r="D896" s="283" t="s">
        <v>2439</v>
      </c>
      <c r="E896" s="314" t="s">
        <v>3935</v>
      </c>
      <c r="F896" s="283" t="s">
        <v>3936</v>
      </c>
      <c r="G896" s="314" t="s">
        <v>4023</v>
      </c>
      <c r="H896" s="283" t="s">
        <v>4024</v>
      </c>
      <c r="K896" s="318" t="s">
        <v>4044</v>
      </c>
      <c r="L896" s="283" t="s">
        <v>4045</v>
      </c>
      <c r="M896" s="1" t="s">
        <v>4048</v>
      </c>
      <c r="N896" s="1">
        <v>0</v>
      </c>
      <c r="P896" s="3">
        <v>1</v>
      </c>
      <c r="Q896" s="3">
        <v>0</v>
      </c>
      <c r="R896" s="3">
        <v>0</v>
      </c>
      <c r="S896" s="3">
        <v>0</v>
      </c>
      <c r="T896" s="283" t="s">
        <v>265</v>
      </c>
      <c r="U896" s="283" t="s">
        <v>350</v>
      </c>
      <c r="V896" s="1" t="s">
        <v>4049</v>
      </c>
      <c r="W896" s="1">
        <v>1</v>
      </c>
      <c r="X896" s="1">
        <v>0</v>
      </c>
      <c r="Y896" s="1">
        <v>1</v>
      </c>
      <c r="Z896" s="1">
        <v>1</v>
      </c>
      <c r="AA896" s="1">
        <v>1</v>
      </c>
      <c r="AB896" s="1">
        <v>1</v>
      </c>
      <c r="AC896" s="316">
        <v>1</v>
      </c>
      <c r="AD896" s="316">
        <v>1</v>
      </c>
      <c r="AE896" s="302">
        <f t="shared" si="38"/>
        <v>0.875</v>
      </c>
      <c r="AF896" s="17"/>
      <c r="AG896" s="17">
        <v>0</v>
      </c>
      <c r="AH896" s="17">
        <v>0</v>
      </c>
      <c r="AI896" s="310">
        <v>1</v>
      </c>
      <c r="AJ896" s="17">
        <v>0</v>
      </c>
      <c r="AK896" s="153">
        <v>0</v>
      </c>
      <c r="AL896" s="154">
        <v>0</v>
      </c>
      <c r="AM896" s="147">
        <f t="shared" si="37"/>
        <v>0</v>
      </c>
      <c r="AN896" s="283" t="s">
        <v>265</v>
      </c>
      <c r="AO896" s="18" t="s">
        <v>350</v>
      </c>
      <c r="AP896" s="283" t="s">
        <v>3605</v>
      </c>
    </row>
    <row r="897" spans="1:39" customFormat="1" x14ac:dyDescent="0.3">
      <c r="A897" s="386" t="s">
        <v>1448</v>
      </c>
      <c r="B897" t="s">
        <v>3447</v>
      </c>
      <c r="C897" s="200" t="s">
        <v>12930</v>
      </c>
      <c r="D897" t="s">
        <v>6838</v>
      </c>
      <c r="E897" s="200" t="s">
        <v>12931</v>
      </c>
      <c r="F897" t="s">
        <v>12811</v>
      </c>
      <c r="G897" s="200" t="s">
        <v>12932</v>
      </c>
      <c r="H897" t="s">
        <v>12812</v>
      </c>
      <c r="K897" s="200" t="s">
        <v>12933</v>
      </c>
      <c r="L897" t="s">
        <v>12754</v>
      </c>
      <c r="M897" s="1"/>
      <c r="N897" s="423"/>
      <c r="O897" s="1"/>
      <c r="P897" s="3"/>
      <c r="Q897" s="3"/>
      <c r="R897" s="3"/>
      <c r="S897" s="3"/>
      <c r="V897" t="s">
        <v>12755</v>
      </c>
      <c r="AF897" s="64"/>
      <c r="AH897" s="4"/>
      <c r="AI897" s="4"/>
      <c r="AJ897" s="4"/>
      <c r="AK897" s="398"/>
      <c r="AL897" s="398"/>
      <c r="AM897" s="4"/>
    </row>
    <row r="898" spans="1:39" customFormat="1" x14ac:dyDescent="0.3">
      <c r="A898" s="386" t="s">
        <v>1448</v>
      </c>
      <c r="B898" t="s">
        <v>3447</v>
      </c>
      <c r="C898" s="200" t="s">
        <v>12930</v>
      </c>
      <c r="D898" t="s">
        <v>6838</v>
      </c>
      <c r="E898" s="200" t="s">
        <v>12931</v>
      </c>
      <c r="F898" t="s">
        <v>12811</v>
      </c>
      <c r="G898" s="200" t="s">
        <v>12932</v>
      </c>
      <c r="H898" t="s">
        <v>12812</v>
      </c>
      <c r="K898" s="200" t="s">
        <v>12934</v>
      </c>
      <c r="L898" t="s">
        <v>12808</v>
      </c>
      <c r="M898" s="1"/>
      <c r="N898" s="423"/>
      <c r="O898" s="1"/>
      <c r="P898" s="3"/>
      <c r="Q898" s="3"/>
      <c r="R898" s="3"/>
      <c r="S898" s="3"/>
      <c r="V898" t="s">
        <v>12809</v>
      </c>
      <c r="AF898" s="64"/>
      <c r="AH898" s="4"/>
      <c r="AI898" s="4"/>
      <c r="AJ898" s="4"/>
      <c r="AK898" s="398"/>
      <c r="AL898" s="398"/>
      <c r="AM898" s="4"/>
    </row>
    <row r="899" spans="1:39" customFormat="1" x14ac:dyDescent="0.3">
      <c r="A899" s="386" t="s">
        <v>1448</v>
      </c>
      <c r="B899" t="s">
        <v>3447</v>
      </c>
      <c r="C899" s="200" t="s">
        <v>12930</v>
      </c>
      <c r="D899" t="s">
        <v>6838</v>
      </c>
      <c r="E899" s="200" t="s">
        <v>12931</v>
      </c>
      <c r="F899" t="s">
        <v>12811</v>
      </c>
      <c r="G899" s="200" t="s">
        <v>12932</v>
      </c>
      <c r="H899" t="s">
        <v>12812</v>
      </c>
      <c r="K899" s="200" t="s">
        <v>12935</v>
      </c>
      <c r="L899" t="s">
        <v>12756</v>
      </c>
      <c r="M899" s="1" t="s">
        <v>5766</v>
      </c>
      <c r="N899" s="423"/>
      <c r="O899" s="1"/>
      <c r="P899" s="3"/>
      <c r="Q899" s="3"/>
      <c r="R899" s="3"/>
      <c r="S899" s="3"/>
      <c r="V899" t="s">
        <v>12792</v>
      </c>
      <c r="AF899" s="64"/>
      <c r="AH899" s="4"/>
      <c r="AI899" s="4"/>
      <c r="AJ899" s="4"/>
      <c r="AK899" s="46"/>
      <c r="AL899" s="46"/>
      <c r="AM899" s="4"/>
    </row>
    <row r="900" spans="1:39" customFormat="1" x14ac:dyDescent="0.3">
      <c r="A900" s="386" t="s">
        <v>1448</v>
      </c>
      <c r="B900" t="s">
        <v>3447</v>
      </c>
      <c r="C900" s="200" t="s">
        <v>12930</v>
      </c>
      <c r="D900" t="s">
        <v>6838</v>
      </c>
      <c r="E900" s="200" t="s">
        <v>12931</v>
      </c>
      <c r="F900" t="s">
        <v>12811</v>
      </c>
      <c r="G900" s="200" t="s">
        <v>12932</v>
      </c>
      <c r="H900" t="s">
        <v>12812</v>
      </c>
      <c r="K900" s="200" t="s">
        <v>12936</v>
      </c>
      <c r="L900" t="s">
        <v>12757</v>
      </c>
      <c r="M900" s="1" t="s">
        <v>12758</v>
      </c>
      <c r="N900" s="423"/>
      <c r="O900" s="1"/>
      <c r="P900" s="3"/>
      <c r="Q900" s="3"/>
      <c r="R900" s="3"/>
      <c r="S900" s="3"/>
      <c r="V900" t="s">
        <v>12793</v>
      </c>
      <c r="AF900" s="64"/>
      <c r="AH900" s="4"/>
      <c r="AI900" s="4"/>
      <c r="AJ900" s="4"/>
      <c r="AK900" s="46"/>
      <c r="AL900" s="46"/>
      <c r="AM900" s="4"/>
    </row>
    <row r="901" spans="1:39" customFormat="1" x14ac:dyDescent="0.3">
      <c r="A901" s="386" t="s">
        <v>1448</v>
      </c>
      <c r="B901" t="s">
        <v>3447</v>
      </c>
      <c r="C901" s="200" t="s">
        <v>12930</v>
      </c>
      <c r="D901" t="s">
        <v>6838</v>
      </c>
      <c r="E901" s="200" t="s">
        <v>12931</v>
      </c>
      <c r="F901" t="s">
        <v>12811</v>
      </c>
      <c r="G901" s="200" t="s">
        <v>12932</v>
      </c>
      <c r="H901" t="s">
        <v>12812</v>
      </c>
      <c r="K901" s="200" t="s">
        <v>12937</v>
      </c>
      <c r="L901" t="s">
        <v>12759</v>
      </c>
      <c r="M901" s="1" t="s">
        <v>12760</v>
      </c>
      <c r="N901" s="423"/>
      <c r="O901" s="1"/>
      <c r="P901" s="3"/>
      <c r="Q901" s="3"/>
      <c r="R901" s="3"/>
      <c r="S901" s="3"/>
      <c r="V901" t="s">
        <v>12794</v>
      </c>
      <c r="AF901" s="64"/>
      <c r="AH901" s="4"/>
      <c r="AI901" s="4"/>
      <c r="AJ901" s="4"/>
      <c r="AK901" s="46"/>
      <c r="AL901" s="46"/>
      <c r="AM901" s="4"/>
    </row>
    <row r="902" spans="1:39" customFormat="1" x14ac:dyDescent="0.3">
      <c r="A902" s="386" t="s">
        <v>1448</v>
      </c>
      <c r="B902" t="s">
        <v>3447</v>
      </c>
      <c r="C902" s="200" t="s">
        <v>12930</v>
      </c>
      <c r="D902" t="s">
        <v>6838</v>
      </c>
      <c r="E902" s="200" t="s">
        <v>12931</v>
      </c>
      <c r="F902" t="s">
        <v>12811</v>
      </c>
      <c r="G902" s="200" t="s">
        <v>12932</v>
      </c>
      <c r="H902" t="s">
        <v>12812</v>
      </c>
      <c r="K902" s="200" t="s">
        <v>12938</v>
      </c>
      <c r="L902" t="s">
        <v>12761</v>
      </c>
      <c r="M902" s="1" t="s">
        <v>12762</v>
      </c>
      <c r="N902" s="423"/>
      <c r="O902" s="1"/>
      <c r="P902" s="3"/>
      <c r="Q902" s="3"/>
      <c r="R902" s="3"/>
      <c r="S902" s="3"/>
      <c r="V902" t="s">
        <v>5782</v>
      </c>
      <c r="AF902" s="64"/>
      <c r="AH902" s="4"/>
      <c r="AI902" s="4"/>
      <c r="AJ902" s="4"/>
      <c r="AK902" s="46"/>
      <c r="AL902" s="46"/>
      <c r="AM902" s="4"/>
    </row>
    <row r="903" spans="1:39" customFormat="1" x14ac:dyDescent="0.3">
      <c r="A903" s="386" t="s">
        <v>1448</v>
      </c>
      <c r="B903" t="s">
        <v>3447</v>
      </c>
      <c r="C903" s="200" t="s">
        <v>12930</v>
      </c>
      <c r="D903" t="s">
        <v>6838</v>
      </c>
      <c r="E903" s="200" t="s">
        <v>12931</v>
      </c>
      <c r="F903" t="s">
        <v>12811</v>
      </c>
      <c r="G903" s="200" t="s">
        <v>12932</v>
      </c>
      <c r="H903" t="s">
        <v>12812</v>
      </c>
      <c r="K903" s="200" t="s">
        <v>12939</v>
      </c>
      <c r="L903" t="s">
        <v>12763</v>
      </c>
      <c r="M903" s="1" t="s">
        <v>12764</v>
      </c>
      <c r="N903" s="423"/>
      <c r="O903" s="1"/>
      <c r="P903" s="3"/>
      <c r="Q903" s="3"/>
      <c r="R903" s="3"/>
      <c r="S903" s="3"/>
      <c r="V903" t="s">
        <v>5783</v>
      </c>
      <c r="AF903" s="64"/>
      <c r="AH903" s="4"/>
      <c r="AI903" s="4"/>
      <c r="AJ903" s="4"/>
      <c r="AK903" s="46"/>
      <c r="AL903" s="46"/>
      <c r="AM903" s="4"/>
    </row>
    <row r="904" spans="1:39" customFormat="1" x14ac:dyDescent="0.3">
      <c r="A904" s="386" t="s">
        <v>1448</v>
      </c>
      <c r="B904" t="s">
        <v>3447</v>
      </c>
      <c r="C904" s="200" t="s">
        <v>12930</v>
      </c>
      <c r="D904" t="s">
        <v>6838</v>
      </c>
      <c r="E904" s="200" t="s">
        <v>12931</v>
      </c>
      <c r="F904" t="s">
        <v>12811</v>
      </c>
      <c r="G904" s="200" t="s">
        <v>12932</v>
      </c>
      <c r="H904" t="s">
        <v>12812</v>
      </c>
      <c r="K904" s="200" t="s">
        <v>12940</v>
      </c>
      <c r="L904" t="s">
        <v>12765</v>
      </c>
      <c r="M904" s="1" t="s">
        <v>12766</v>
      </c>
      <c r="N904" s="423"/>
      <c r="O904" s="1"/>
      <c r="P904" s="3"/>
      <c r="Q904" s="3"/>
      <c r="R904" s="3"/>
      <c r="S904" s="3"/>
      <c r="V904" t="s">
        <v>12795</v>
      </c>
      <c r="AF904" s="64"/>
      <c r="AH904" s="4"/>
      <c r="AI904" s="4"/>
      <c r="AJ904" s="4"/>
      <c r="AK904" s="46"/>
      <c r="AL904" s="46"/>
      <c r="AM904" s="4"/>
    </row>
    <row r="905" spans="1:39" customFormat="1" x14ac:dyDescent="0.3">
      <c r="A905" s="386" t="s">
        <v>1448</v>
      </c>
      <c r="B905" t="s">
        <v>3447</v>
      </c>
      <c r="C905" s="200" t="s">
        <v>12930</v>
      </c>
      <c r="D905" t="s">
        <v>6838</v>
      </c>
      <c r="E905" s="200" t="s">
        <v>12931</v>
      </c>
      <c r="F905" t="s">
        <v>12811</v>
      </c>
      <c r="G905" s="200" t="s">
        <v>12932</v>
      </c>
      <c r="H905" t="s">
        <v>12812</v>
      </c>
      <c r="K905" s="200" t="s">
        <v>12941</v>
      </c>
      <c r="L905" t="s">
        <v>12767</v>
      </c>
      <c r="M905" s="1" t="s">
        <v>12768</v>
      </c>
      <c r="N905" s="423"/>
      <c r="O905" s="1"/>
      <c r="P905" s="3"/>
      <c r="Q905" s="3"/>
      <c r="R905" s="3"/>
      <c r="S905" s="3"/>
      <c r="V905" t="s">
        <v>12796</v>
      </c>
      <c r="AF905" s="64"/>
      <c r="AH905" s="4"/>
      <c r="AI905" s="4"/>
      <c r="AJ905" s="4"/>
      <c r="AK905" s="46"/>
      <c r="AL905" s="46"/>
      <c r="AM905" s="4"/>
    </row>
    <row r="906" spans="1:39" customFormat="1" x14ac:dyDescent="0.3">
      <c r="A906" s="386" t="s">
        <v>1448</v>
      </c>
      <c r="B906" t="s">
        <v>3447</v>
      </c>
      <c r="C906" s="200" t="s">
        <v>12930</v>
      </c>
      <c r="D906" t="s">
        <v>6838</v>
      </c>
      <c r="E906" s="200" t="s">
        <v>12931</v>
      </c>
      <c r="F906" t="s">
        <v>12811</v>
      </c>
      <c r="G906" s="200" t="s">
        <v>12932</v>
      </c>
      <c r="H906" t="s">
        <v>12812</v>
      </c>
      <c r="K906" s="200" t="s">
        <v>12942</v>
      </c>
      <c r="L906" t="s">
        <v>12769</v>
      </c>
      <c r="M906" s="1" t="s">
        <v>12770</v>
      </c>
      <c r="N906" s="423"/>
      <c r="O906" s="1"/>
      <c r="P906" s="3"/>
      <c r="Q906" s="3"/>
      <c r="R906" s="3"/>
      <c r="S906" s="3"/>
      <c r="V906" t="s">
        <v>5786</v>
      </c>
      <c r="AF906" s="64"/>
      <c r="AH906" s="4"/>
      <c r="AI906" s="4"/>
      <c r="AJ906" s="4"/>
      <c r="AK906" s="46"/>
      <c r="AL906" s="46"/>
      <c r="AM906" s="4"/>
    </row>
    <row r="907" spans="1:39" customFormat="1" x14ac:dyDescent="0.3">
      <c r="A907" s="386" t="s">
        <v>1448</v>
      </c>
      <c r="B907" t="s">
        <v>3447</v>
      </c>
      <c r="C907" s="200" t="s">
        <v>12930</v>
      </c>
      <c r="D907" t="s">
        <v>6838</v>
      </c>
      <c r="E907" s="200" t="s">
        <v>12931</v>
      </c>
      <c r="F907" t="s">
        <v>12811</v>
      </c>
      <c r="G907" s="200" t="s">
        <v>12932</v>
      </c>
      <c r="H907" t="s">
        <v>12812</v>
      </c>
      <c r="K907" s="200" t="s">
        <v>12943</v>
      </c>
      <c r="L907" t="s">
        <v>12771</v>
      </c>
      <c r="M907" s="1" t="s">
        <v>12772</v>
      </c>
      <c r="N907" s="423"/>
      <c r="O907" s="1"/>
      <c r="P907" s="3"/>
      <c r="Q907" s="3"/>
      <c r="R907" s="3"/>
      <c r="S907" s="3"/>
      <c r="V907" t="s">
        <v>12800</v>
      </c>
      <c r="AF907" s="64"/>
      <c r="AH907" s="4"/>
      <c r="AI907" s="4"/>
      <c r="AJ907" s="4"/>
      <c r="AK907" s="46"/>
      <c r="AL907" s="46"/>
      <c r="AM907" s="4"/>
    </row>
    <row r="908" spans="1:39" customFormat="1" x14ac:dyDescent="0.3">
      <c r="A908" s="386" t="s">
        <v>1448</v>
      </c>
      <c r="B908" t="s">
        <v>3447</v>
      </c>
      <c r="C908" s="200" t="s">
        <v>12930</v>
      </c>
      <c r="D908" t="s">
        <v>6838</v>
      </c>
      <c r="E908" s="200" t="s">
        <v>12931</v>
      </c>
      <c r="F908" t="s">
        <v>12811</v>
      </c>
      <c r="G908" s="200" t="s">
        <v>12932</v>
      </c>
      <c r="H908" t="s">
        <v>12812</v>
      </c>
      <c r="K908" s="200" t="s">
        <v>12944</v>
      </c>
      <c r="L908" t="s">
        <v>12773</v>
      </c>
      <c r="M908" s="1" t="s">
        <v>12774</v>
      </c>
      <c r="N908" s="423"/>
      <c r="O908" s="1"/>
      <c r="P908" s="3"/>
      <c r="Q908" s="3"/>
      <c r="R908" s="3"/>
      <c r="S908" s="3"/>
      <c r="V908" t="s">
        <v>12797</v>
      </c>
      <c r="AF908" s="64"/>
      <c r="AH908" s="4"/>
      <c r="AI908" s="4"/>
      <c r="AJ908" s="4"/>
      <c r="AK908" s="46"/>
      <c r="AL908" s="46"/>
      <c r="AM908" s="4"/>
    </row>
    <row r="909" spans="1:39" customFormat="1" x14ac:dyDescent="0.3">
      <c r="A909" s="386" t="s">
        <v>1448</v>
      </c>
      <c r="B909" t="s">
        <v>3447</v>
      </c>
      <c r="C909" s="200" t="s">
        <v>12930</v>
      </c>
      <c r="D909" t="s">
        <v>6838</v>
      </c>
      <c r="E909" s="200" t="s">
        <v>12931</v>
      </c>
      <c r="F909" t="s">
        <v>12811</v>
      </c>
      <c r="G909" s="200" t="s">
        <v>12932</v>
      </c>
      <c r="H909" t="s">
        <v>12812</v>
      </c>
      <c r="K909" s="200" t="s">
        <v>12945</v>
      </c>
      <c r="L909" t="s">
        <v>12775</v>
      </c>
      <c r="M909" s="1" t="s">
        <v>12776</v>
      </c>
      <c r="N909" s="423"/>
      <c r="O909" s="1"/>
      <c r="P909" s="3"/>
      <c r="Q909" s="3"/>
      <c r="R909" s="3"/>
      <c r="S909" s="3"/>
      <c r="V909" t="s">
        <v>12798</v>
      </c>
      <c r="AF909" s="64"/>
      <c r="AH909" s="4"/>
      <c r="AI909" s="4"/>
      <c r="AJ909" s="4"/>
      <c r="AK909" s="46"/>
      <c r="AL909" s="46"/>
      <c r="AM909" s="4"/>
    </row>
    <row r="910" spans="1:39" customFormat="1" x14ac:dyDescent="0.3">
      <c r="A910" s="386" t="s">
        <v>1448</v>
      </c>
      <c r="B910" t="s">
        <v>3447</v>
      </c>
      <c r="C910" s="200" t="s">
        <v>12930</v>
      </c>
      <c r="D910" t="s">
        <v>6838</v>
      </c>
      <c r="E910" s="200" t="s">
        <v>12931</v>
      </c>
      <c r="F910" t="s">
        <v>12811</v>
      </c>
      <c r="G910" s="200" t="s">
        <v>12932</v>
      </c>
      <c r="H910" t="s">
        <v>12812</v>
      </c>
      <c r="K910" s="200" t="s">
        <v>12946</v>
      </c>
      <c r="L910" t="s">
        <v>12777</v>
      </c>
      <c r="M910" s="1" t="s">
        <v>12778</v>
      </c>
      <c r="N910" s="423"/>
      <c r="O910" s="1"/>
      <c r="P910" s="3"/>
      <c r="Q910" s="3"/>
      <c r="R910" s="3"/>
      <c r="S910" s="3"/>
      <c r="V910" t="s">
        <v>5789</v>
      </c>
      <c r="AF910" s="64"/>
      <c r="AH910" s="4"/>
      <c r="AI910" s="4"/>
      <c r="AJ910" s="4"/>
      <c r="AK910" s="46"/>
      <c r="AL910" s="46"/>
      <c r="AM910" s="4"/>
    </row>
    <row r="911" spans="1:39" customFormat="1" x14ac:dyDescent="0.3">
      <c r="A911" s="386" t="s">
        <v>1448</v>
      </c>
      <c r="B911" t="s">
        <v>3447</v>
      </c>
      <c r="C911" s="200" t="s">
        <v>12930</v>
      </c>
      <c r="D911" t="s">
        <v>6838</v>
      </c>
      <c r="E911" s="200" t="s">
        <v>12931</v>
      </c>
      <c r="F911" t="s">
        <v>12811</v>
      </c>
      <c r="G911" s="200" t="s">
        <v>12932</v>
      </c>
      <c r="H911" t="s">
        <v>12812</v>
      </c>
      <c r="K911" s="200" t="s">
        <v>12947</v>
      </c>
      <c r="L911" t="s">
        <v>12779</v>
      </c>
      <c r="M911" s="1" t="s">
        <v>12780</v>
      </c>
      <c r="N911" s="423"/>
      <c r="O911" s="1"/>
      <c r="P911" s="3"/>
      <c r="Q911" s="3"/>
      <c r="R911" s="3"/>
      <c r="S911" s="3"/>
      <c r="V911" t="s">
        <v>12799</v>
      </c>
      <c r="AF911" s="64"/>
      <c r="AH911" s="4"/>
      <c r="AI911" s="4"/>
      <c r="AJ911" s="4"/>
      <c r="AK911" s="46"/>
      <c r="AL911" s="46"/>
      <c r="AM911" s="4"/>
    </row>
    <row r="912" spans="1:39" customFormat="1" x14ac:dyDescent="0.3">
      <c r="A912" s="386" t="s">
        <v>1448</v>
      </c>
      <c r="B912" t="s">
        <v>3447</v>
      </c>
      <c r="C912" s="200" t="s">
        <v>12930</v>
      </c>
      <c r="D912" t="s">
        <v>6838</v>
      </c>
      <c r="E912" s="200" t="s">
        <v>12931</v>
      </c>
      <c r="F912" t="s">
        <v>12811</v>
      </c>
      <c r="G912" s="200" t="s">
        <v>12932</v>
      </c>
      <c r="H912" t="s">
        <v>12812</v>
      </c>
      <c r="K912" s="200" t="s">
        <v>12948</v>
      </c>
      <c r="L912" t="s">
        <v>12806</v>
      </c>
      <c r="M912" s="1" t="s">
        <v>12781</v>
      </c>
      <c r="N912" s="423"/>
      <c r="O912" s="1"/>
      <c r="P912" s="3"/>
      <c r="Q912" s="3"/>
      <c r="R912" s="3"/>
      <c r="S912" s="3"/>
      <c r="V912" t="s">
        <v>12805</v>
      </c>
      <c r="AF912" s="64"/>
      <c r="AH912" s="4"/>
      <c r="AI912" s="4"/>
      <c r="AJ912" s="4"/>
      <c r="AK912" s="46"/>
      <c r="AL912" s="46"/>
      <c r="AM912" s="4"/>
    </row>
    <row r="913" spans="1:42" customFormat="1" x14ac:dyDescent="0.3">
      <c r="A913" s="386" t="s">
        <v>1448</v>
      </c>
      <c r="B913" t="s">
        <v>3447</v>
      </c>
      <c r="C913" s="200" t="s">
        <v>12930</v>
      </c>
      <c r="D913" t="s">
        <v>6838</v>
      </c>
      <c r="E913" s="200" t="s">
        <v>12931</v>
      </c>
      <c r="F913" t="s">
        <v>12811</v>
      </c>
      <c r="G913" s="200" t="s">
        <v>12932</v>
      </c>
      <c r="H913" t="s">
        <v>12812</v>
      </c>
      <c r="K913" s="200" t="s">
        <v>12949</v>
      </c>
      <c r="L913" t="s">
        <v>12782</v>
      </c>
      <c r="M913" s="1"/>
      <c r="N913" s="423"/>
      <c r="O913" s="1"/>
      <c r="P913" s="3"/>
      <c r="Q913" s="3"/>
      <c r="R913" s="3"/>
      <c r="S913" s="3"/>
      <c r="V913" t="s">
        <v>12782</v>
      </c>
      <c r="AF913" s="64"/>
      <c r="AH913" s="4"/>
      <c r="AI913" s="4"/>
      <c r="AJ913" s="4"/>
      <c r="AK913" s="46"/>
      <c r="AL913" s="46"/>
      <c r="AM913" s="4"/>
    </row>
    <row r="914" spans="1:42" customFormat="1" x14ac:dyDescent="0.3">
      <c r="A914" s="386" t="s">
        <v>1448</v>
      </c>
      <c r="B914" t="s">
        <v>3447</v>
      </c>
      <c r="C914" s="200" t="s">
        <v>12930</v>
      </c>
      <c r="D914" t="s">
        <v>6838</v>
      </c>
      <c r="E914" s="200" t="s">
        <v>12931</v>
      </c>
      <c r="F914" t="s">
        <v>12811</v>
      </c>
      <c r="G914" s="200" t="s">
        <v>12932</v>
      </c>
      <c r="H914" t="s">
        <v>12812</v>
      </c>
      <c r="K914" s="200" t="s">
        <v>12933</v>
      </c>
      <c r="L914" t="s">
        <v>12783</v>
      </c>
      <c r="M914" s="1" t="s">
        <v>12784</v>
      </c>
      <c r="N914" s="423"/>
      <c r="O914" s="1"/>
      <c r="P914" s="3"/>
      <c r="Q914" s="3"/>
      <c r="R914" s="3"/>
      <c r="S914" s="3"/>
      <c r="V914" t="s">
        <v>12783</v>
      </c>
      <c r="AF914" s="64"/>
      <c r="AH914" s="4"/>
      <c r="AI914" s="4"/>
      <c r="AJ914" s="4"/>
      <c r="AK914" s="46"/>
      <c r="AL914" s="46"/>
      <c r="AM914" s="4"/>
    </row>
    <row r="915" spans="1:42" customFormat="1" x14ac:dyDescent="0.3">
      <c r="A915" s="386" t="s">
        <v>1448</v>
      </c>
      <c r="B915" t="s">
        <v>3447</v>
      </c>
      <c r="C915" s="200" t="s">
        <v>12930</v>
      </c>
      <c r="D915" t="s">
        <v>6838</v>
      </c>
      <c r="E915" s="200" t="s">
        <v>12931</v>
      </c>
      <c r="F915" t="s">
        <v>12811</v>
      </c>
      <c r="G915" s="200" t="s">
        <v>12932</v>
      </c>
      <c r="H915" t="s">
        <v>12812</v>
      </c>
      <c r="K915" s="200" t="s">
        <v>12933</v>
      </c>
      <c r="L915" t="s">
        <v>12785</v>
      </c>
      <c r="M915" s="1" t="s">
        <v>12786</v>
      </c>
      <c r="N915" s="423"/>
      <c r="O915" s="1"/>
      <c r="P915" s="3"/>
      <c r="Q915" s="3"/>
      <c r="R915" s="3"/>
      <c r="S915" s="3"/>
      <c r="V915" t="s">
        <v>12801</v>
      </c>
      <c r="AF915" s="64"/>
      <c r="AH915" s="4"/>
      <c r="AI915" s="4"/>
      <c r="AJ915" s="4"/>
      <c r="AK915" s="46"/>
      <c r="AL915" s="46"/>
      <c r="AM915" s="4"/>
    </row>
    <row r="916" spans="1:42" customFormat="1" x14ac:dyDescent="0.3">
      <c r="A916" s="386" t="s">
        <v>1448</v>
      </c>
      <c r="B916" t="s">
        <v>3447</v>
      </c>
      <c r="C916" s="200" t="s">
        <v>12930</v>
      </c>
      <c r="D916" t="s">
        <v>6838</v>
      </c>
      <c r="E916" s="200" t="s">
        <v>12931</v>
      </c>
      <c r="F916" t="s">
        <v>12811</v>
      </c>
      <c r="G916" s="200" t="s">
        <v>12932</v>
      </c>
      <c r="H916" t="s">
        <v>12812</v>
      </c>
      <c r="K916" s="200" t="s">
        <v>12950</v>
      </c>
      <c r="L916" t="s">
        <v>12787</v>
      </c>
      <c r="M916" s="1" t="s">
        <v>12788</v>
      </c>
      <c r="N916" s="423"/>
      <c r="O916" s="1"/>
      <c r="P916" s="3"/>
      <c r="Q916" s="3"/>
      <c r="R916" s="3"/>
      <c r="S916" s="3"/>
      <c r="V916" t="s">
        <v>12802</v>
      </c>
      <c r="AF916" s="64"/>
      <c r="AH916" s="4"/>
      <c r="AI916" s="4"/>
      <c r="AJ916" s="4"/>
      <c r="AK916" s="46"/>
      <c r="AL916" s="46"/>
      <c r="AM916" s="4"/>
    </row>
    <row r="917" spans="1:42" customFormat="1" x14ac:dyDescent="0.3">
      <c r="A917" s="386" t="s">
        <v>1448</v>
      </c>
      <c r="B917" t="s">
        <v>3447</v>
      </c>
      <c r="C917" s="200" t="s">
        <v>12930</v>
      </c>
      <c r="D917" t="s">
        <v>6838</v>
      </c>
      <c r="E917" s="200" t="s">
        <v>12931</v>
      </c>
      <c r="F917" t="s">
        <v>12811</v>
      </c>
      <c r="G917" s="200" t="s">
        <v>12932</v>
      </c>
      <c r="H917" t="s">
        <v>12812</v>
      </c>
      <c r="K917" s="200" t="s">
        <v>12951</v>
      </c>
      <c r="L917" t="s">
        <v>12789</v>
      </c>
      <c r="M917" s="1" t="s">
        <v>12790</v>
      </c>
      <c r="N917" s="423"/>
      <c r="O917" s="1"/>
      <c r="P917" s="3"/>
      <c r="Q917" s="3"/>
      <c r="R917" s="3"/>
      <c r="S917" s="3"/>
      <c r="V917" t="s">
        <v>12803</v>
      </c>
      <c r="AF917" s="64"/>
      <c r="AH917" s="4"/>
      <c r="AI917" s="4"/>
      <c r="AJ917" s="4"/>
      <c r="AK917" s="46"/>
      <c r="AL917" s="46"/>
      <c r="AM917" s="4"/>
    </row>
    <row r="918" spans="1:42" customFormat="1" x14ac:dyDescent="0.3">
      <c r="A918" s="386" t="s">
        <v>1448</v>
      </c>
      <c r="B918" t="s">
        <v>3447</v>
      </c>
      <c r="C918" s="200" t="s">
        <v>12930</v>
      </c>
      <c r="D918" t="s">
        <v>6838</v>
      </c>
      <c r="E918" s="200" t="s">
        <v>12931</v>
      </c>
      <c r="F918" t="s">
        <v>12811</v>
      </c>
      <c r="G918" s="200" t="s">
        <v>12932</v>
      </c>
      <c r="H918" t="s">
        <v>12812</v>
      </c>
      <c r="K918" s="200" t="s">
        <v>12952</v>
      </c>
      <c r="L918" t="s">
        <v>12791</v>
      </c>
      <c r="M918" s="1" t="s">
        <v>12807</v>
      </c>
      <c r="N918" s="423"/>
      <c r="O918" s="1"/>
      <c r="P918" s="3"/>
      <c r="Q918" s="3"/>
      <c r="R918" s="3"/>
      <c r="S918" s="3"/>
      <c r="V918" t="s">
        <v>12804</v>
      </c>
      <c r="AF918" s="64"/>
      <c r="AH918" s="4"/>
      <c r="AI918" s="4"/>
      <c r="AJ918" s="4"/>
      <c r="AK918" s="46"/>
      <c r="AL918" s="46"/>
      <c r="AM918" s="4"/>
    </row>
    <row r="919" spans="1:42" s="293" customFormat="1" x14ac:dyDescent="0.3">
      <c r="A919" s="50" t="s">
        <v>1450</v>
      </c>
      <c r="B919" s="51" t="s">
        <v>6881</v>
      </c>
      <c r="C919" s="50" t="s">
        <v>6882</v>
      </c>
      <c r="D919" s="51" t="s">
        <v>1491</v>
      </c>
      <c r="E919" s="50" t="s">
        <v>6882</v>
      </c>
      <c r="F919" s="51" t="s">
        <v>1493</v>
      </c>
      <c r="G919" s="50" t="s">
        <v>6882</v>
      </c>
      <c r="H919" s="51" t="s">
        <v>1491</v>
      </c>
      <c r="I919" s="51"/>
      <c r="J919" s="51"/>
      <c r="K919" s="50" t="s">
        <v>6882</v>
      </c>
      <c r="L919" s="51" t="s">
        <v>1491</v>
      </c>
      <c r="M919" s="420" t="s">
        <v>271</v>
      </c>
      <c r="N919" s="420" t="s">
        <v>271</v>
      </c>
      <c r="O919" s="420" t="s">
        <v>271</v>
      </c>
      <c r="P919" s="60" t="s">
        <v>271</v>
      </c>
      <c r="Q919" s="60" t="s">
        <v>271</v>
      </c>
      <c r="R919" s="60" t="s">
        <v>271</v>
      </c>
      <c r="S919" s="60" t="s">
        <v>271</v>
      </c>
      <c r="T919" s="60" t="s">
        <v>271</v>
      </c>
      <c r="U919" s="60" t="s">
        <v>271</v>
      </c>
      <c r="V919" s="51" t="s">
        <v>1489</v>
      </c>
      <c r="W919" s="291"/>
      <c r="X919" s="291"/>
      <c r="Y919" s="291"/>
      <c r="Z919" s="291"/>
      <c r="AA919" s="291"/>
      <c r="AB919" s="291"/>
      <c r="AC919" s="291"/>
      <c r="AD919" s="291"/>
      <c r="AE919" s="292"/>
      <c r="AF919" s="56"/>
      <c r="AG919" s="292"/>
      <c r="AH919" s="56"/>
      <c r="AI919" s="56"/>
      <c r="AJ919" s="56"/>
      <c r="AK919" s="57">
        <v>4.2</v>
      </c>
      <c r="AL919" s="57">
        <v>4.2</v>
      </c>
      <c r="AM919" s="147">
        <f t="shared" ref="AM919:AM950" si="39">SUM(AK919:AL919)</f>
        <v>8.4</v>
      </c>
      <c r="AN919" s="52"/>
      <c r="AO919" s="52"/>
      <c r="AP919" s="51"/>
    </row>
    <row r="920" spans="1:42" s="293" customFormat="1" x14ac:dyDescent="0.3">
      <c r="A920" s="50" t="s">
        <v>1450</v>
      </c>
      <c r="B920" s="51" t="s">
        <v>6881</v>
      </c>
      <c r="C920" s="50" t="s">
        <v>6882</v>
      </c>
      <c r="D920" s="51" t="s">
        <v>1491</v>
      </c>
      <c r="E920" s="50" t="s">
        <v>6882</v>
      </c>
      <c r="F920" s="51" t="s">
        <v>1493</v>
      </c>
      <c r="G920" s="50" t="s">
        <v>6882</v>
      </c>
      <c r="H920" s="51" t="s">
        <v>1491</v>
      </c>
      <c r="I920" s="51"/>
      <c r="J920" s="51"/>
      <c r="K920" s="50" t="s">
        <v>6882</v>
      </c>
      <c r="L920" s="51" t="s">
        <v>1491</v>
      </c>
      <c r="M920" s="420" t="s">
        <v>271</v>
      </c>
      <c r="N920" s="420" t="s">
        <v>271</v>
      </c>
      <c r="O920" s="420" t="s">
        <v>271</v>
      </c>
      <c r="P920" s="60" t="s">
        <v>271</v>
      </c>
      <c r="Q920" s="60" t="s">
        <v>271</v>
      </c>
      <c r="R920" s="60" t="s">
        <v>271</v>
      </c>
      <c r="S920" s="60" t="s">
        <v>271</v>
      </c>
      <c r="T920" s="60" t="s">
        <v>271</v>
      </c>
      <c r="U920" s="60" t="s">
        <v>271</v>
      </c>
      <c r="V920" s="51" t="s">
        <v>1490</v>
      </c>
      <c r="W920" s="291"/>
      <c r="X920" s="291"/>
      <c r="Y920" s="291"/>
      <c r="Z920" s="291"/>
      <c r="AA920" s="291"/>
      <c r="AB920" s="291"/>
      <c r="AC920" s="291"/>
      <c r="AD920" s="291"/>
      <c r="AE920" s="292"/>
      <c r="AF920" s="56"/>
      <c r="AG920" s="292"/>
      <c r="AH920" s="56"/>
      <c r="AI920" s="56"/>
      <c r="AJ920" s="56"/>
      <c r="AK920" s="57">
        <v>1.6800000000000002</v>
      </c>
      <c r="AL920" s="57">
        <v>1.6800000000000002</v>
      </c>
      <c r="AM920" s="147">
        <f t="shared" si="39"/>
        <v>3.3600000000000003</v>
      </c>
      <c r="AN920" s="52"/>
      <c r="AO920" s="52"/>
      <c r="AP920" s="51"/>
    </row>
    <row r="921" spans="1:42" s="293" customFormat="1" x14ac:dyDescent="0.3">
      <c r="A921" s="50" t="s">
        <v>1450</v>
      </c>
      <c r="B921" s="51" t="s">
        <v>6881</v>
      </c>
      <c r="C921" s="50" t="s">
        <v>6882</v>
      </c>
      <c r="D921" s="51" t="s">
        <v>1491</v>
      </c>
      <c r="E921" s="50" t="s">
        <v>6882</v>
      </c>
      <c r="F921" s="51" t="s">
        <v>1493</v>
      </c>
      <c r="G921" s="50" t="s">
        <v>6882</v>
      </c>
      <c r="H921" s="51" t="s">
        <v>1491</v>
      </c>
      <c r="I921" s="51"/>
      <c r="J921" s="51"/>
      <c r="K921" s="50" t="s">
        <v>6882</v>
      </c>
      <c r="L921" s="51" t="s">
        <v>1491</v>
      </c>
      <c r="M921" s="420" t="s">
        <v>271</v>
      </c>
      <c r="N921" s="420" t="s">
        <v>271</v>
      </c>
      <c r="O921" s="420" t="s">
        <v>271</v>
      </c>
      <c r="P921" s="60" t="s">
        <v>271</v>
      </c>
      <c r="Q921" s="60" t="s">
        <v>271</v>
      </c>
      <c r="R921" s="60" t="s">
        <v>271</v>
      </c>
      <c r="S921" s="60" t="s">
        <v>271</v>
      </c>
      <c r="T921" s="60" t="s">
        <v>271</v>
      </c>
      <c r="U921" s="60" t="s">
        <v>271</v>
      </c>
      <c r="V921" s="51" t="s">
        <v>1495</v>
      </c>
      <c r="W921" s="291"/>
      <c r="X921" s="291"/>
      <c r="Y921" s="291"/>
      <c r="Z921" s="291"/>
      <c r="AA921" s="291"/>
      <c r="AB921" s="291"/>
      <c r="AC921" s="291"/>
      <c r="AD921" s="291"/>
      <c r="AE921" s="292"/>
      <c r="AF921" s="56"/>
      <c r="AG921" s="292"/>
      <c r="AH921" s="56"/>
      <c r="AI921" s="56"/>
      <c r="AJ921" s="56"/>
      <c r="AK921" s="57">
        <v>54.553832763000003</v>
      </c>
      <c r="AL921" s="57">
        <v>47.127999316</v>
      </c>
      <c r="AM921" s="147">
        <f t="shared" si="39"/>
        <v>101.681832079</v>
      </c>
      <c r="AN921" s="52"/>
      <c r="AO921" s="52"/>
      <c r="AP921" s="51"/>
    </row>
    <row r="922" spans="1:42" s="320" customFormat="1" x14ac:dyDescent="0.3">
      <c r="A922" s="353" t="s">
        <v>1450</v>
      </c>
      <c r="B922" s="320" t="s">
        <v>6881</v>
      </c>
      <c r="C922" s="320" t="s">
        <v>6883</v>
      </c>
      <c r="D922" s="320" t="s">
        <v>6884</v>
      </c>
      <c r="E922" s="320" t="s">
        <v>6885</v>
      </c>
      <c r="F922" s="320" t="s">
        <v>6886</v>
      </c>
      <c r="G922" s="320" t="s">
        <v>6887</v>
      </c>
      <c r="H922" s="320" t="s">
        <v>6888</v>
      </c>
      <c r="I922" s="320" t="s">
        <v>6889</v>
      </c>
      <c r="J922" s="320" t="s">
        <v>6890</v>
      </c>
      <c r="K922" s="320" t="s">
        <v>6891</v>
      </c>
      <c r="L922" s="320" t="s">
        <v>6892</v>
      </c>
      <c r="M922" s="277" t="s">
        <v>6893</v>
      </c>
      <c r="N922" s="277">
        <v>0</v>
      </c>
      <c r="O922" s="277">
        <v>0</v>
      </c>
      <c r="P922" s="275">
        <v>0</v>
      </c>
      <c r="Q922" s="275">
        <v>1</v>
      </c>
      <c r="R922" s="275">
        <v>0</v>
      </c>
      <c r="S922" s="275">
        <v>0</v>
      </c>
      <c r="T922" s="320" t="s">
        <v>6894</v>
      </c>
      <c r="U922" s="283" t="s">
        <v>6896</v>
      </c>
      <c r="V922" s="320" t="s">
        <v>6895</v>
      </c>
      <c r="W922" s="320">
        <v>1</v>
      </c>
      <c r="X922" s="320">
        <v>1</v>
      </c>
      <c r="Y922" s="320">
        <v>1</v>
      </c>
      <c r="Z922" s="320">
        <v>1</v>
      </c>
      <c r="AA922" s="320">
        <v>1</v>
      </c>
      <c r="AB922" s="320">
        <v>0</v>
      </c>
      <c r="AC922" s="316">
        <v>1</v>
      </c>
      <c r="AD922" s="316">
        <v>1</v>
      </c>
      <c r="AE922" s="302">
        <f t="shared" ref="AE922:AE953" si="40">SUM(W922:AD922)/8</f>
        <v>0.875</v>
      </c>
      <c r="AF922" s="354"/>
      <c r="AG922" s="17">
        <v>0</v>
      </c>
      <c r="AH922" s="354">
        <v>0.3</v>
      </c>
      <c r="AI922" s="354">
        <v>0.3</v>
      </c>
      <c r="AJ922" s="354">
        <v>0</v>
      </c>
      <c r="AK922" s="319">
        <v>0</v>
      </c>
      <c r="AL922" s="319">
        <v>0</v>
      </c>
      <c r="AM922" s="147">
        <f t="shared" si="39"/>
        <v>0</v>
      </c>
      <c r="AN922" s="320" t="s">
        <v>6894</v>
      </c>
      <c r="AO922" s="320" t="s">
        <v>6896</v>
      </c>
      <c r="AP922" s="320" t="s">
        <v>6897</v>
      </c>
    </row>
    <row r="923" spans="1:42" s="320" customFormat="1" x14ac:dyDescent="0.3">
      <c r="A923" s="353" t="s">
        <v>1450</v>
      </c>
      <c r="B923" s="320" t="s">
        <v>6881</v>
      </c>
      <c r="C923" s="320" t="s">
        <v>6883</v>
      </c>
      <c r="D923" s="320" t="s">
        <v>6884</v>
      </c>
      <c r="E923" s="320" t="s">
        <v>6885</v>
      </c>
      <c r="F923" s="320" t="s">
        <v>6886</v>
      </c>
      <c r="G923" s="320" t="s">
        <v>6887</v>
      </c>
      <c r="H923" s="320" t="s">
        <v>6888</v>
      </c>
      <c r="I923" s="320" t="s">
        <v>6889</v>
      </c>
      <c r="J923" s="320" t="s">
        <v>6890</v>
      </c>
      <c r="K923" s="320" t="s">
        <v>6891</v>
      </c>
      <c r="L923" s="320" t="s">
        <v>6892</v>
      </c>
      <c r="M923" s="277" t="s">
        <v>6898</v>
      </c>
      <c r="N923" s="277" t="s">
        <v>271</v>
      </c>
      <c r="O923" s="277"/>
      <c r="P923" s="275"/>
      <c r="Q923" s="275"/>
      <c r="R923" s="275">
        <v>20</v>
      </c>
      <c r="S923" s="275">
        <v>40</v>
      </c>
      <c r="T923" s="320" t="s">
        <v>6894</v>
      </c>
      <c r="U923" s="283" t="s">
        <v>6896</v>
      </c>
      <c r="V923" s="320" t="s">
        <v>6899</v>
      </c>
      <c r="W923" s="320">
        <v>1</v>
      </c>
      <c r="X923" s="320">
        <v>1</v>
      </c>
      <c r="Y923" s="320">
        <v>1</v>
      </c>
      <c r="Z923" s="320">
        <v>1</v>
      </c>
      <c r="AA923" s="320">
        <v>1</v>
      </c>
      <c r="AB923" s="320">
        <v>0</v>
      </c>
      <c r="AC923" s="316">
        <v>1</v>
      </c>
      <c r="AD923" s="316">
        <v>1</v>
      </c>
      <c r="AE923" s="302">
        <f t="shared" si="40"/>
        <v>0.875</v>
      </c>
      <c r="AF923" s="354">
        <v>0</v>
      </c>
      <c r="AG923" s="17">
        <v>0</v>
      </c>
      <c r="AH923" s="354">
        <v>0</v>
      </c>
      <c r="AI923" s="354">
        <v>2</v>
      </c>
      <c r="AJ923" s="354">
        <v>4</v>
      </c>
      <c r="AK923" s="319">
        <v>10</v>
      </c>
      <c r="AL923" s="319">
        <v>10</v>
      </c>
      <c r="AM923" s="147">
        <f t="shared" si="39"/>
        <v>20</v>
      </c>
      <c r="AN923" s="320" t="s">
        <v>6900</v>
      </c>
      <c r="AO923" s="14" t="s">
        <v>6901</v>
      </c>
      <c r="AP923" s="320" t="s">
        <v>280</v>
      </c>
    </row>
    <row r="924" spans="1:42" s="320" customFormat="1" x14ac:dyDescent="0.3">
      <c r="A924" s="353" t="s">
        <v>1450</v>
      </c>
      <c r="B924" s="320" t="s">
        <v>6881</v>
      </c>
      <c r="C924" s="320" t="s">
        <v>6883</v>
      </c>
      <c r="D924" s="320" t="s">
        <v>6884</v>
      </c>
      <c r="E924" s="320" t="s">
        <v>6885</v>
      </c>
      <c r="F924" s="320" t="s">
        <v>6886</v>
      </c>
      <c r="G924" s="320" t="s">
        <v>6887</v>
      </c>
      <c r="H924" s="320" t="s">
        <v>6888</v>
      </c>
      <c r="I924" s="320" t="s">
        <v>6889</v>
      </c>
      <c r="J924" s="320" t="s">
        <v>6890</v>
      </c>
      <c r="K924" s="320" t="s">
        <v>6891</v>
      </c>
      <c r="L924" s="320" t="s">
        <v>6892</v>
      </c>
      <c r="M924" s="277" t="s">
        <v>6902</v>
      </c>
      <c r="N924" s="277">
        <v>1.4</v>
      </c>
      <c r="O924" s="277">
        <v>0.51291500000000001</v>
      </c>
      <c r="P924" s="275">
        <v>0.76900000000000002</v>
      </c>
      <c r="Q924" s="275">
        <v>1</v>
      </c>
      <c r="R924" s="275">
        <v>1.2</v>
      </c>
      <c r="S924" s="275">
        <v>1.44</v>
      </c>
      <c r="T924" s="320" t="s">
        <v>6903</v>
      </c>
      <c r="U924" s="283" t="e">
        <v>#N/A</v>
      </c>
      <c r="V924" s="320" t="s">
        <v>6904</v>
      </c>
      <c r="W924" s="320">
        <v>1</v>
      </c>
      <c r="X924" s="320">
        <v>1</v>
      </c>
      <c r="Y924" s="320">
        <v>0</v>
      </c>
      <c r="Z924" s="320">
        <v>1</v>
      </c>
      <c r="AA924" s="320">
        <v>1</v>
      </c>
      <c r="AB924" s="320">
        <v>1</v>
      </c>
      <c r="AC924" s="316">
        <v>0</v>
      </c>
      <c r="AD924" s="316">
        <v>1</v>
      </c>
      <c r="AE924" s="302">
        <f t="shared" si="40"/>
        <v>0.75</v>
      </c>
      <c r="AF924" s="354">
        <v>0</v>
      </c>
      <c r="AG924" s="17">
        <v>0</v>
      </c>
      <c r="AH924" s="354">
        <v>5</v>
      </c>
      <c r="AI924" s="354">
        <v>5</v>
      </c>
      <c r="AJ924" s="354">
        <v>10</v>
      </c>
      <c r="AK924" s="319">
        <v>10</v>
      </c>
      <c r="AL924" s="319">
        <v>10</v>
      </c>
      <c r="AM924" s="147">
        <f t="shared" si="39"/>
        <v>20</v>
      </c>
      <c r="AN924" s="320" t="s">
        <v>6894</v>
      </c>
      <c r="AO924" s="14" t="s">
        <v>6896</v>
      </c>
      <c r="AP924" s="320" t="s">
        <v>6905</v>
      </c>
    </row>
    <row r="925" spans="1:42" s="320" customFormat="1" x14ac:dyDescent="0.3">
      <c r="A925" s="353" t="s">
        <v>1450</v>
      </c>
      <c r="B925" s="320" t="s">
        <v>6881</v>
      </c>
      <c r="C925" s="320" t="s">
        <v>6883</v>
      </c>
      <c r="D925" s="320" t="s">
        <v>6884</v>
      </c>
      <c r="E925" s="320" t="s">
        <v>6885</v>
      </c>
      <c r="F925" s="320" t="s">
        <v>6886</v>
      </c>
      <c r="G925" s="320" t="s">
        <v>6887</v>
      </c>
      <c r="H925" s="320" t="s">
        <v>6888</v>
      </c>
      <c r="I925" s="320" t="s">
        <v>6889</v>
      </c>
      <c r="J925" s="320" t="s">
        <v>6890</v>
      </c>
      <c r="K925" s="320" t="s">
        <v>6891</v>
      </c>
      <c r="L925" s="320" t="s">
        <v>6892</v>
      </c>
      <c r="M925" s="277" t="s">
        <v>6906</v>
      </c>
      <c r="N925" s="277">
        <v>20.100000000000001</v>
      </c>
      <c r="O925" s="277">
        <v>10</v>
      </c>
      <c r="P925" s="275">
        <v>14</v>
      </c>
      <c r="Q925" s="275">
        <v>16</v>
      </c>
      <c r="R925" s="275">
        <v>18</v>
      </c>
      <c r="S925" s="275">
        <v>20.100000000000001</v>
      </c>
      <c r="T925" s="320" t="s">
        <v>6894</v>
      </c>
      <c r="U925" s="283" t="s">
        <v>6896</v>
      </c>
      <c r="V925" s="320" t="s">
        <v>6907</v>
      </c>
      <c r="W925" s="320">
        <v>1</v>
      </c>
      <c r="X925" s="320">
        <v>1</v>
      </c>
      <c r="Y925" s="320">
        <v>1</v>
      </c>
      <c r="Z925" s="320">
        <v>1</v>
      </c>
      <c r="AA925" s="320">
        <v>1</v>
      </c>
      <c r="AB925" s="320">
        <v>1</v>
      </c>
      <c r="AC925" s="316">
        <v>1</v>
      </c>
      <c r="AD925" s="316">
        <v>1</v>
      </c>
      <c r="AE925" s="302">
        <f t="shared" si="40"/>
        <v>1</v>
      </c>
      <c r="AF925" s="23"/>
      <c r="AG925" s="17">
        <v>0</v>
      </c>
      <c r="AH925" s="23">
        <v>0</v>
      </c>
      <c r="AI925" s="354">
        <v>1</v>
      </c>
      <c r="AJ925" s="354">
        <v>1</v>
      </c>
      <c r="AK925" s="319">
        <v>1</v>
      </c>
      <c r="AL925" s="319">
        <v>1</v>
      </c>
      <c r="AM925" s="147">
        <f t="shared" si="39"/>
        <v>2</v>
      </c>
      <c r="AN925" s="320" t="s">
        <v>6894</v>
      </c>
      <c r="AO925" s="14" t="s">
        <v>6896</v>
      </c>
      <c r="AP925" s="320" t="s">
        <v>6908</v>
      </c>
    </row>
    <row r="926" spans="1:42" s="320" customFormat="1" x14ac:dyDescent="0.3">
      <c r="A926" s="353" t="s">
        <v>1450</v>
      </c>
      <c r="B926" s="320" t="s">
        <v>6881</v>
      </c>
      <c r="C926" s="320" t="s">
        <v>6883</v>
      </c>
      <c r="D926" s="320" t="s">
        <v>6884</v>
      </c>
      <c r="E926" s="320" t="s">
        <v>6885</v>
      </c>
      <c r="F926" s="320" t="s">
        <v>6886</v>
      </c>
      <c r="G926" s="320" t="s">
        <v>6887</v>
      </c>
      <c r="H926" s="320" t="s">
        <v>6888</v>
      </c>
      <c r="I926" s="320" t="s">
        <v>6889</v>
      </c>
      <c r="J926" s="320" t="s">
        <v>6890</v>
      </c>
      <c r="K926" s="320" t="s">
        <v>6891</v>
      </c>
      <c r="L926" s="320" t="s">
        <v>6892</v>
      </c>
      <c r="M926" s="277" t="s">
        <v>6909</v>
      </c>
      <c r="N926" s="277"/>
      <c r="O926" s="277"/>
      <c r="P926" s="275"/>
      <c r="Q926" s="275"/>
      <c r="R926" s="275">
        <v>3</v>
      </c>
      <c r="S926" s="275">
        <v>5</v>
      </c>
      <c r="T926" s="320" t="s">
        <v>6894</v>
      </c>
      <c r="U926" s="283" t="s">
        <v>6896</v>
      </c>
      <c r="V926" s="320" t="s">
        <v>6910</v>
      </c>
      <c r="W926" s="320">
        <v>1</v>
      </c>
      <c r="X926" s="320">
        <v>1</v>
      </c>
      <c r="Y926" s="320">
        <v>1</v>
      </c>
      <c r="Z926" s="320">
        <v>1</v>
      </c>
      <c r="AA926" s="320">
        <v>1</v>
      </c>
      <c r="AB926" s="320">
        <v>1</v>
      </c>
      <c r="AC926" s="316">
        <v>0</v>
      </c>
      <c r="AD926" s="316">
        <v>1</v>
      </c>
      <c r="AE926" s="302">
        <f t="shared" si="40"/>
        <v>0.875</v>
      </c>
      <c r="AF926" s="354"/>
      <c r="AG926" s="17">
        <v>0</v>
      </c>
      <c r="AH926" s="354">
        <v>0.5</v>
      </c>
      <c r="AI926" s="354">
        <v>3</v>
      </c>
      <c r="AJ926" s="354">
        <v>4</v>
      </c>
      <c r="AK926" s="319">
        <v>4</v>
      </c>
      <c r="AL926" s="319">
        <v>6</v>
      </c>
      <c r="AM926" s="147">
        <f t="shared" si="39"/>
        <v>10</v>
      </c>
      <c r="AN926" s="320" t="s">
        <v>6894</v>
      </c>
      <c r="AO926" s="14" t="s">
        <v>6896</v>
      </c>
      <c r="AP926" s="320" t="s">
        <v>6911</v>
      </c>
    </row>
    <row r="927" spans="1:42" s="320" customFormat="1" x14ac:dyDescent="0.3">
      <c r="A927" s="353" t="s">
        <v>1450</v>
      </c>
      <c r="B927" s="320" t="s">
        <v>6881</v>
      </c>
      <c r="C927" s="320" t="s">
        <v>6883</v>
      </c>
      <c r="D927" s="320" t="s">
        <v>6884</v>
      </c>
      <c r="E927" s="320" t="s">
        <v>6885</v>
      </c>
      <c r="F927" s="320" t="s">
        <v>6886</v>
      </c>
      <c r="G927" s="320" t="s">
        <v>6887</v>
      </c>
      <c r="H927" s="320" t="s">
        <v>6888</v>
      </c>
      <c r="I927" s="320" t="s">
        <v>6889</v>
      </c>
      <c r="J927" s="320" t="s">
        <v>6890</v>
      </c>
      <c r="K927" s="320" t="s">
        <v>6891</v>
      </c>
      <c r="L927" s="320" t="s">
        <v>6892</v>
      </c>
      <c r="M927" s="277" t="s">
        <v>6912</v>
      </c>
      <c r="N927" s="277"/>
      <c r="O927" s="277"/>
      <c r="P927" s="275"/>
      <c r="Q927" s="275"/>
      <c r="R927" s="275">
        <v>6</v>
      </c>
      <c r="S927" s="275">
        <v>6</v>
      </c>
      <c r="T927" s="320" t="s">
        <v>6894</v>
      </c>
      <c r="U927" s="283" t="s">
        <v>6896</v>
      </c>
      <c r="V927" s="320" t="s">
        <v>6913</v>
      </c>
      <c r="W927" s="320">
        <v>1</v>
      </c>
      <c r="X927" s="320">
        <v>1</v>
      </c>
      <c r="Y927" s="320">
        <v>0</v>
      </c>
      <c r="Z927" s="320">
        <v>1</v>
      </c>
      <c r="AA927" s="320">
        <v>1</v>
      </c>
      <c r="AB927" s="320">
        <v>1</v>
      </c>
      <c r="AC927" s="316">
        <v>0</v>
      </c>
      <c r="AD927" s="316">
        <v>1</v>
      </c>
      <c r="AE927" s="302">
        <f t="shared" si="40"/>
        <v>0.75</v>
      </c>
      <c r="AF927" s="23"/>
      <c r="AG927" s="17">
        <v>0</v>
      </c>
      <c r="AH927" s="23">
        <v>0</v>
      </c>
      <c r="AI927" s="354">
        <v>0.35299999999999998</v>
      </c>
      <c r="AJ927" s="354">
        <v>0.35299999999999998</v>
      </c>
      <c r="AK927" s="319">
        <v>0.70599999999999996</v>
      </c>
      <c r="AL927" s="319">
        <v>0.70599999999999996</v>
      </c>
      <c r="AM927" s="147">
        <f t="shared" si="39"/>
        <v>1.4119999999999999</v>
      </c>
      <c r="AN927" s="320" t="s">
        <v>1216</v>
      </c>
      <c r="AO927" s="14" t="s">
        <v>1218</v>
      </c>
      <c r="AP927" s="320" t="s">
        <v>6914</v>
      </c>
    </row>
    <row r="928" spans="1:42" s="320" customFormat="1" x14ac:dyDescent="0.3">
      <c r="A928" s="353" t="s">
        <v>1450</v>
      </c>
      <c r="B928" s="320" t="s">
        <v>6881</v>
      </c>
      <c r="C928" s="320" t="s">
        <v>6883</v>
      </c>
      <c r="D928" s="320" t="s">
        <v>6884</v>
      </c>
      <c r="E928" s="320" t="s">
        <v>6885</v>
      </c>
      <c r="F928" s="320" t="s">
        <v>6886</v>
      </c>
      <c r="G928" s="320" t="s">
        <v>6887</v>
      </c>
      <c r="H928" s="320" t="s">
        <v>6888</v>
      </c>
      <c r="I928" s="320" t="s">
        <v>6889</v>
      </c>
      <c r="J928" s="320" t="s">
        <v>6890</v>
      </c>
      <c r="K928" s="320" t="s">
        <v>6891</v>
      </c>
      <c r="L928" s="320" t="s">
        <v>6892</v>
      </c>
      <c r="M928" s="277"/>
      <c r="N928" s="277"/>
      <c r="O928" s="277"/>
      <c r="P928" s="275"/>
      <c r="Q928" s="275"/>
      <c r="R928" s="275"/>
      <c r="S928" s="275"/>
      <c r="T928" s="320" t="s">
        <v>6894</v>
      </c>
      <c r="U928" s="283" t="s">
        <v>6896</v>
      </c>
      <c r="V928" s="320" t="s">
        <v>6915</v>
      </c>
      <c r="W928" s="320">
        <v>1</v>
      </c>
      <c r="X928" s="320">
        <v>1</v>
      </c>
      <c r="Y928" s="320">
        <v>0</v>
      </c>
      <c r="Z928" s="320">
        <v>1</v>
      </c>
      <c r="AA928" s="320">
        <v>1</v>
      </c>
      <c r="AB928" s="320">
        <v>1</v>
      </c>
      <c r="AC928" s="316">
        <v>0</v>
      </c>
      <c r="AD928" s="316">
        <v>0</v>
      </c>
      <c r="AE928" s="302">
        <f t="shared" si="40"/>
        <v>0.625</v>
      </c>
      <c r="AF928" s="23"/>
      <c r="AG928" s="17">
        <v>0</v>
      </c>
      <c r="AH928" s="23">
        <v>0</v>
      </c>
      <c r="AI928" s="23">
        <v>0</v>
      </c>
      <c r="AJ928" s="354">
        <v>0</v>
      </c>
      <c r="AK928" s="319">
        <v>1.83</v>
      </c>
      <c r="AL928" s="319">
        <v>1.83</v>
      </c>
      <c r="AM928" s="147">
        <f t="shared" si="39"/>
        <v>3.66</v>
      </c>
      <c r="AN928" s="277" t="s">
        <v>921</v>
      </c>
      <c r="AO928" s="14" t="s">
        <v>880</v>
      </c>
      <c r="AP928" s="320" t="s">
        <v>6916</v>
      </c>
    </row>
    <row r="929" spans="1:42" s="320" customFormat="1" x14ac:dyDescent="0.3">
      <c r="A929" s="353" t="s">
        <v>1450</v>
      </c>
      <c r="B929" s="320" t="s">
        <v>6881</v>
      </c>
      <c r="C929" s="320" t="s">
        <v>6883</v>
      </c>
      <c r="D929" s="320" t="s">
        <v>6884</v>
      </c>
      <c r="E929" s="320" t="s">
        <v>6885</v>
      </c>
      <c r="F929" s="320" t="s">
        <v>6886</v>
      </c>
      <c r="G929" s="320" t="s">
        <v>6887</v>
      </c>
      <c r="H929" s="320" t="s">
        <v>6888</v>
      </c>
      <c r="I929" s="320" t="s">
        <v>6889</v>
      </c>
      <c r="J929" s="320" t="s">
        <v>6890</v>
      </c>
      <c r="K929" s="320" t="s">
        <v>6891</v>
      </c>
      <c r="L929" s="320" t="s">
        <v>6892</v>
      </c>
      <c r="M929" s="277"/>
      <c r="N929" s="277"/>
      <c r="O929" s="277"/>
      <c r="P929" s="275"/>
      <c r="Q929" s="275"/>
      <c r="R929" s="275"/>
      <c r="S929" s="275"/>
      <c r="T929" s="320" t="s">
        <v>6894</v>
      </c>
      <c r="U929" s="283" t="s">
        <v>6896</v>
      </c>
      <c r="V929" s="320" t="s">
        <v>6917</v>
      </c>
      <c r="W929" s="320">
        <v>1</v>
      </c>
      <c r="X929" s="320">
        <v>1</v>
      </c>
      <c r="Y929" s="320">
        <v>0</v>
      </c>
      <c r="Z929" s="320">
        <v>1</v>
      </c>
      <c r="AA929" s="320">
        <v>1</v>
      </c>
      <c r="AB929" s="320">
        <v>1</v>
      </c>
      <c r="AC929" s="316">
        <v>0</v>
      </c>
      <c r="AD929" s="316">
        <v>1</v>
      </c>
      <c r="AE929" s="302">
        <f t="shared" si="40"/>
        <v>0.75</v>
      </c>
      <c r="AF929" s="23"/>
      <c r="AG929" s="17">
        <v>0</v>
      </c>
      <c r="AH929" s="23">
        <v>0</v>
      </c>
      <c r="AI929" s="354">
        <v>0.125</v>
      </c>
      <c r="AJ929" s="354">
        <v>0.125</v>
      </c>
      <c r="AK929" s="319">
        <v>0.125</v>
      </c>
      <c r="AL929" s="319">
        <v>0.125</v>
      </c>
      <c r="AM929" s="147">
        <f t="shared" si="39"/>
        <v>0.25</v>
      </c>
      <c r="AN929" s="320" t="s">
        <v>1216</v>
      </c>
      <c r="AO929" s="14" t="s">
        <v>1218</v>
      </c>
      <c r="AP929" s="320" t="s">
        <v>6918</v>
      </c>
    </row>
    <row r="930" spans="1:42" s="320" customFormat="1" x14ac:dyDescent="0.3">
      <c r="A930" s="353" t="s">
        <v>1450</v>
      </c>
      <c r="B930" s="320" t="s">
        <v>6881</v>
      </c>
      <c r="C930" s="320" t="s">
        <v>6883</v>
      </c>
      <c r="D930" s="320" t="s">
        <v>6884</v>
      </c>
      <c r="E930" s="320" t="s">
        <v>6885</v>
      </c>
      <c r="F930" s="320" t="s">
        <v>6886</v>
      </c>
      <c r="G930" s="320" t="s">
        <v>6887</v>
      </c>
      <c r="H930" s="320" t="s">
        <v>6888</v>
      </c>
      <c r="I930" s="320" t="s">
        <v>6889</v>
      </c>
      <c r="J930" s="320" t="s">
        <v>6890</v>
      </c>
      <c r="K930" s="320" t="s">
        <v>6919</v>
      </c>
      <c r="L930" s="320" t="s">
        <v>6920</v>
      </c>
      <c r="M930" s="277" t="s">
        <v>6921</v>
      </c>
      <c r="N930" s="277" t="s">
        <v>271</v>
      </c>
      <c r="O930" s="277"/>
      <c r="P930" s="275"/>
      <c r="Q930" s="275"/>
      <c r="R930" s="275">
        <v>10</v>
      </c>
      <c r="S930" s="275">
        <v>12</v>
      </c>
      <c r="T930" s="320" t="s">
        <v>6894</v>
      </c>
      <c r="U930" s="283" t="s">
        <v>6896</v>
      </c>
      <c r="V930" s="320" t="s">
        <v>6922</v>
      </c>
      <c r="W930" s="320">
        <v>1</v>
      </c>
      <c r="X930" s="320">
        <v>1</v>
      </c>
      <c r="Y930" s="320">
        <v>0</v>
      </c>
      <c r="Z930" s="320">
        <v>1</v>
      </c>
      <c r="AA930" s="320">
        <v>1</v>
      </c>
      <c r="AB930" s="320">
        <v>1</v>
      </c>
      <c r="AC930" s="316">
        <v>0</v>
      </c>
      <c r="AD930" s="316">
        <v>1</v>
      </c>
      <c r="AE930" s="302">
        <f t="shared" si="40"/>
        <v>0.75</v>
      </c>
      <c r="AF930" s="354"/>
      <c r="AG930" s="17">
        <v>0</v>
      </c>
      <c r="AH930" s="354">
        <v>0</v>
      </c>
      <c r="AI930" s="354">
        <v>3</v>
      </c>
      <c r="AJ930" s="354">
        <v>3</v>
      </c>
      <c r="AK930" s="319">
        <v>3</v>
      </c>
      <c r="AL930" s="319">
        <v>3</v>
      </c>
      <c r="AM930" s="147">
        <f t="shared" si="39"/>
        <v>6</v>
      </c>
      <c r="AN930" s="320" t="s">
        <v>6894</v>
      </c>
      <c r="AO930" s="320" t="s">
        <v>6896</v>
      </c>
      <c r="AP930" s="320" t="s">
        <v>6923</v>
      </c>
    </row>
    <row r="931" spans="1:42" s="320" customFormat="1" x14ac:dyDescent="0.3">
      <c r="A931" s="353" t="s">
        <v>1450</v>
      </c>
      <c r="B931" s="320" t="s">
        <v>6881</v>
      </c>
      <c r="C931" s="320" t="s">
        <v>6883</v>
      </c>
      <c r="D931" s="320" t="s">
        <v>6884</v>
      </c>
      <c r="E931" s="320" t="s">
        <v>6885</v>
      </c>
      <c r="F931" s="320" t="s">
        <v>6886</v>
      </c>
      <c r="G931" s="320" t="s">
        <v>6887</v>
      </c>
      <c r="H931" s="320" t="s">
        <v>6888</v>
      </c>
      <c r="I931" s="320" t="s">
        <v>6889</v>
      </c>
      <c r="J931" s="320" t="s">
        <v>6890</v>
      </c>
      <c r="K931" s="320" t="s">
        <v>6919</v>
      </c>
      <c r="L931" s="320" t="s">
        <v>6920</v>
      </c>
      <c r="M931" s="277" t="s">
        <v>6924</v>
      </c>
      <c r="N931" s="277" t="s">
        <v>119</v>
      </c>
      <c r="O931" s="277">
        <v>4</v>
      </c>
      <c r="P931" s="275">
        <v>4</v>
      </c>
      <c r="Q931" s="275">
        <v>4</v>
      </c>
      <c r="R931" s="275">
        <v>4</v>
      </c>
      <c r="S931" s="275">
        <v>4</v>
      </c>
      <c r="T931" s="320" t="s">
        <v>6894</v>
      </c>
      <c r="U931" s="283" t="s">
        <v>6896</v>
      </c>
      <c r="V931" s="320" t="s">
        <v>6925</v>
      </c>
      <c r="W931" s="320">
        <v>1</v>
      </c>
      <c r="X931" s="320">
        <v>1</v>
      </c>
      <c r="Y931" s="320">
        <v>0</v>
      </c>
      <c r="Z931" s="320">
        <v>1</v>
      </c>
      <c r="AA931" s="320">
        <v>1</v>
      </c>
      <c r="AB931" s="320">
        <v>1</v>
      </c>
      <c r="AC931" s="316">
        <v>0</v>
      </c>
      <c r="AD931" s="316">
        <v>1</v>
      </c>
      <c r="AE931" s="302">
        <f t="shared" si="40"/>
        <v>0.75</v>
      </c>
      <c r="AF931" s="354"/>
      <c r="AG931" s="17">
        <v>0</v>
      </c>
      <c r="AH931" s="354">
        <v>0.5</v>
      </c>
      <c r="AI931" s="354">
        <v>0.25</v>
      </c>
      <c r="AJ931" s="354">
        <v>0.25</v>
      </c>
      <c r="AK931" s="319">
        <v>1</v>
      </c>
      <c r="AL931" s="319">
        <v>1</v>
      </c>
      <c r="AM931" s="147">
        <f t="shared" si="39"/>
        <v>2</v>
      </c>
      <c r="AN931" s="320" t="s">
        <v>6894</v>
      </c>
      <c r="AO931" s="320" t="s">
        <v>6896</v>
      </c>
      <c r="AP931" s="320" t="s">
        <v>6926</v>
      </c>
    </row>
    <row r="932" spans="1:42" s="320" customFormat="1" x14ac:dyDescent="0.3">
      <c r="A932" s="353" t="s">
        <v>1450</v>
      </c>
      <c r="B932" s="320" t="s">
        <v>6881</v>
      </c>
      <c r="C932" s="320" t="s">
        <v>6883</v>
      </c>
      <c r="D932" s="320" t="s">
        <v>6884</v>
      </c>
      <c r="E932" s="320" t="s">
        <v>6885</v>
      </c>
      <c r="F932" s="320" t="s">
        <v>6886</v>
      </c>
      <c r="G932" s="320" t="s">
        <v>6887</v>
      </c>
      <c r="H932" s="320" t="s">
        <v>6888</v>
      </c>
      <c r="I932" s="320" t="s">
        <v>6889</v>
      </c>
      <c r="J932" s="320" t="s">
        <v>6890</v>
      </c>
      <c r="K932" s="320" t="s">
        <v>6919</v>
      </c>
      <c r="L932" s="320" t="s">
        <v>6920</v>
      </c>
      <c r="M932" s="277" t="s">
        <v>6927</v>
      </c>
      <c r="N932" s="277" t="s">
        <v>119</v>
      </c>
      <c r="O932" s="277">
        <v>4</v>
      </c>
      <c r="P932" s="275">
        <v>4</v>
      </c>
      <c r="Q932" s="275">
        <v>4</v>
      </c>
      <c r="R932" s="275">
        <v>4</v>
      </c>
      <c r="S932" s="275">
        <v>4</v>
      </c>
      <c r="T932" s="320" t="s">
        <v>6894</v>
      </c>
      <c r="U932" s="283" t="s">
        <v>6896</v>
      </c>
      <c r="V932" s="320" t="s">
        <v>6928</v>
      </c>
      <c r="W932" s="320">
        <v>1</v>
      </c>
      <c r="X932" s="320">
        <v>1</v>
      </c>
      <c r="Y932" s="320">
        <v>0</v>
      </c>
      <c r="Z932" s="320">
        <v>1</v>
      </c>
      <c r="AA932" s="320">
        <v>1</v>
      </c>
      <c r="AB932" s="320">
        <v>1</v>
      </c>
      <c r="AC932" s="316">
        <v>0</v>
      </c>
      <c r="AD932" s="316">
        <v>1</v>
      </c>
      <c r="AE932" s="302">
        <f t="shared" si="40"/>
        <v>0.75</v>
      </c>
      <c r="AF932" s="354"/>
      <c r="AG932" s="17">
        <v>0</v>
      </c>
      <c r="AH932" s="354">
        <v>0.1</v>
      </c>
      <c r="AI932" s="354">
        <v>0.1</v>
      </c>
      <c r="AJ932" s="354">
        <v>0.1</v>
      </c>
      <c r="AK932" s="319">
        <v>0.5</v>
      </c>
      <c r="AL932" s="319">
        <v>0.3</v>
      </c>
      <c r="AM932" s="147">
        <f t="shared" si="39"/>
        <v>0.8</v>
      </c>
      <c r="AN932" s="320" t="s">
        <v>1576</v>
      </c>
      <c r="AO932" s="320" t="s">
        <v>241</v>
      </c>
      <c r="AP932" s="320" t="s">
        <v>6929</v>
      </c>
    </row>
    <row r="933" spans="1:42" s="320" customFormat="1" x14ac:dyDescent="0.3">
      <c r="A933" s="353" t="s">
        <v>1450</v>
      </c>
      <c r="B933" s="320" t="s">
        <v>6881</v>
      </c>
      <c r="C933" s="320" t="s">
        <v>6883</v>
      </c>
      <c r="D933" s="320" t="s">
        <v>6884</v>
      </c>
      <c r="E933" s="320" t="s">
        <v>6885</v>
      </c>
      <c r="F933" s="320" t="s">
        <v>6886</v>
      </c>
      <c r="G933" s="320" t="s">
        <v>6887</v>
      </c>
      <c r="H933" s="320" t="s">
        <v>6888</v>
      </c>
      <c r="I933" s="320" t="s">
        <v>6889</v>
      </c>
      <c r="J933" s="320" t="s">
        <v>6890</v>
      </c>
      <c r="K933" s="320" t="s">
        <v>6919</v>
      </c>
      <c r="L933" s="320" t="s">
        <v>6920</v>
      </c>
      <c r="M933" s="277"/>
      <c r="N933" s="277"/>
      <c r="O933" s="277"/>
      <c r="P933" s="275"/>
      <c r="Q933" s="275"/>
      <c r="R933" s="275"/>
      <c r="S933" s="275"/>
      <c r="U933" s="283" t="e">
        <v>#N/A</v>
      </c>
      <c r="V933" s="320" t="s">
        <v>6930</v>
      </c>
      <c r="W933" s="320">
        <v>1</v>
      </c>
      <c r="X933" s="320">
        <v>0</v>
      </c>
      <c r="Y933" s="320">
        <v>0</v>
      </c>
      <c r="Z933" s="320">
        <v>1</v>
      </c>
      <c r="AA933" s="320">
        <v>0</v>
      </c>
      <c r="AB933" s="320">
        <v>0</v>
      </c>
      <c r="AC933" s="316">
        <v>0</v>
      </c>
      <c r="AD933" s="316">
        <v>0</v>
      </c>
      <c r="AE933" s="302">
        <f t="shared" si="40"/>
        <v>0.25</v>
      </c>
      <c r="AF933" s="354"/>
      <c r="AG933" s="17">
        <v>0</v>
      </c>
      <c r="AH933" s="354">
        <v>424.0087606083672</v>
      </c>
      <c r="AI933" s="354">
        <v>332.35243491812423</v>
      </c>
      <c r="AJ933" s="354">
        <v>372.5233891594246</v>
      </c>
      <c r="AK933" s="319"/>
      <c r="AL933" s="319"/>
      <c r="AM933" s="147">
        <f t="shared" si="39"/>
        <v>0</v>
      </c>
      <c r="AN933" s="277" t="s">
        <v>921</v>
      </c>
      <c r="AO933" s="14" t="s">
        <v>880</v>
      </c>
      <c r="AP933" s="320" t="s">
        <v>6931</v>
      </c>
    </row>
    <row r="934" spans="1:42" s="320" customFormat="1" x14ac:dyDescent="0.3">
      <c r="A934" s="353" t="s">
        <v>1450</v>
      </c>
      <c r="B934" s="320" t="s">
        <v>6881</v>
      </c>
      <c r="C934" s="320" t="s">
        <v>6883</v>
      </c>
      <c r="D934" s="320" t="s">
        <v>6884</v>
      </c>
      <c r="E934" s="320" t="s">
        <v>6885</v>
      </c>
      <c r="F934" s="320" t="s">
        <v>6886</v>
      </c>
      <c r="G934" s="320" t="s">
        <v>6887</v>
      </c>
      <c r="H934" s="320" t="s">
        <v>6888</v>
      </c>
      <c r="I934" s="320" t="s">
        <v>6889</v>
      </c>
      <c r="J934" s="320" t="s">
        <v>6890</v>
      </c>
      <c r="K934" s="320" t="s">
        <v>6932</v>
      </c>
      <c r="L934" s="320" t="s">
        <v>6933</v>
      </c>
      <c r="M934" s="277" t="s">
        <v>6934</v>
      </c>
      <c r="N934" s="277">
        <v>40</v>
      </c>
      <c r="O934" s="277">
        <v>50</v>
      </c>
      <c r="P934" s="275">
        <v>60</v>
      </c>
      <c r="Q934" s="275">
        <v>60</v>
      </c>
      <c r="R934" s="275">
        <v>70</v>
      </c>
      <c r="S934" s="275">
        <v>80</v>
      </c>
      <c r="T934" s="320" t="s">
        <v>6894</v>
      </c>
      <c r="U934" s="283" t="s">
        <v>6896</v>
      </c>
      <c r="V934" s="320" t="s">
        <v>6935</v>
      </c>
      <c r="W934" s="320">
        <v>1</v>
      </c>
      <c r="X934" s="320">
        <v>1</v>
      </c>
      <c r="Y934" s="320">
        <v>0</v>
      </c>
      <c r="Z934" s="320">
        <v>1</v>
      </c>
      <c r="AA934" s="320">
        <v>1</v>
      </c>
      <c r="AB934" s="320">
        <v>1</v>
      </c>
      <c r="AC934" s="316">
        <v>0</v>
      </c>
      <c r="AD934" s="316">
        <v>1</v>
      </c>
      <c r="AE934" s="302">
        <f t="shared" si="40"/>
        <v>0.75</v>
      </c>
      <c r="AF934" s="354"/>
      <c r="AG934" s="17">
        <v>0</v>
      </c>
      <c r="AH934" s="354">
        <v>0.5</v>
      </c>
      <c r="AI934" s="354">
        <v>0.5</v>
      </c>
      <c r="AJ934" s="354">
        <v>0.5</v>
      </c>
      <c r="AK934" s="319">
        <v>2</v>
      </c>
      <c r="AL934" s="319">
        <v>2</v>
      </c>
      <c r="AM934" s="147">
        <f t="shared" si="39"/>
        <v>4</v>
      </c>
      <c r="AN934" s="320" t="s">
        <v>1576</v>
      </c>
      <c r="AO934" s="320" t="s">
        <v>241</v>
      </c>
      <c r="AP934" s="320" t="s">
        <v>6936</v>
      </c>
    </row>
    <row r="935" spans="1:42" s="320" customFormat="1" x14ac:dyDescent="0.3">
      <c r="A935" s="353" t="s">
        <v>1450</v>
      </c>
      <c r="B935" s="320" t="s">
        <v>6881</v>
      </c>
      <c r="C935" s="320" t="s">
        <v>6883</v>
      </c>
      <c r="D935" s="320" t="s">
        <v>6884</v>
      </c>
      <c r="E935" s="320" t="s">
        <v>6885</v>
      </c>
      <c r="F935" s="320" t="s">
        <v>6886</v>
      </c>
      <c r="G935" s="320" t="s">
        <v>6887</v>
      </c>
      <c r="H935" s="320" t="s">
        <v>6888</v>
      </c>
      <c r="I935" s="320" t="s">
        <v>6889</v>
      </c>
      <c r="J935" s="320" t="s">
        <v>6890</v>
      </c>
      <c r="K935" s="320" t="s">
        <v>6932</v>
      </c>
      <c r="L935" s="320" t="s">
        <v>6933</v>
      </c>
      <c r="M935" s="277"/>
      <c r="N935" s="277"/>
      <c r="O935" s="277"/>
      <c r="P935" s="275"/>
      <c r="Q935" s="275"/>
      <c r="R935" s="275"/>
      <c r="S935" s="275"/>
      <c r="U935" s="283" t="e">
        <v>#N/A</v>
      </c>
      <c r="V935" s="320" t="s">
        <v>6937</v>
      </c>
      <c r="W935" s="320">
        <v>0</v>
      </c>
      <c r="X935" s="320">
        <v>0</v>
      </c>
      <c r="Y935" s="320">
        <v>0</v>
      </c>
      <c r="Z935" s="320">
        <v>1</v>
      </c>
      <c r="AA935" s="320">
        <v>1</v>
      </c>
      <c r="AB935" s="320">
        <v>0</v>
      </c>
      <c r="AC935" s="316">
        <v>1</v>
      </c>
      <c r="AD935" s="316">
        <v>0</v>
      </c>
      <c r="AE935" s="302">
        <f t="shared" si="40"/>
        <v>0.375</v>
      </c>
      <c r="AF935" s="354"/>
      <c r="AG935" s="17">
        <v>0</v>
      </c>
      <c r="AH935" s="354">
        <v>0</v>
      </c>
      <c r="AI935" s="354">
        <v>0.1</v>
      </c>
      <c r="AJ935" s="354">
        <v>0.1</v>
      </c>
      <c r="AK935" s="153"/>
      <c r="AL935" s="153"/>
      <c r="AM935" s="147">
        <f t="shared" si="39"/>
        <v>0</v>
      </c>
      <c r="AN935" s="320" t="s">
        <v>6900</v>
      </c>
      <c r="AO935" s="14" t="s">
        <v>6901</v>
      </c>
      <c r="AP935" s="320" t="s">
        <v>6938</v>
      </c>
    </row>
    <row r="936" spans="1:42" s="320" customFormat="1" x14ac:dyDescent="0.3">
      <c r="A936" s="353" t="s">
        <v>1450</v>
      </c>
      <c r="B936" s="320" t="s">
        <v>6881</v>
      </c>
      <c r="C936" s="320" t="s">
        <v>6883</v>
      </c>
      <c r="D936" s="320" t="s">
        <v>6884</v>
      </c>
      <c r="E936" s="320" t="s">
        <v>6885</v>
      </c>
      <c r="F936" s="320" t="s">
        <v>6886</v>
      </c>
      <c r="G936" s="320" t="s">
        <v>6887</v>
      </c>
      <c r="H936" s="320" t="s">
        <v>6888</v>
      </c>
      <c r="I936" s="320" t="s">
        <v>6889</v>
      </c>
      <c r="J936" s="320" t="s">
        <v>6890</v>
      </c>
      <c r="K936" s="320" t="s">
        <v>6932</v>
      </c>
      <c r="L936" s="320" t="s">
        <v>6933</v>
      </c>
      <c r="M936" s="277"/>
      <c r="N936" s="277"/>
      <c r="O936" s="277"/>
      <c r="P936" s="275"/>
      <c r="Q936" s="275"/>
      <c r="R936" s="275"/>
      <c r="S936" s="275"/>
      <c r="U936" s="283" t="e">
        <v>#N/A</v>
      </c>
      <c r="V936" s="320" t="s">
        <v>6939</v>
      </c>
      <c r="W936" s="320">
        <v>1</v>
      </c>
      <c r="X936" s="320">
        <v>1</v>
      </c>
      <c r="Y936" s="320">
        <v>0</v>
      </c>
      <c r="Z936" s="320">
        <v>1</v>
      </c>
      <c r="AA936" s="320">
        <v>1</v>
      </c>
      <c r="AB936" s="320">
        <v>1</v>
      </c>
      <c r="AC936" s="316">
        <v>0</v>
      </c>
      <c r="AD936" s="316">
        <v>1</v>
      </c>
      <c r="AE936" s="302">
        <f t="shared" si="40"/>
        <v>0.75</v>
      </c>
      <c r="AF936" s="354"/>
      <c r="AG936" s="17">
        <v>0</v>
      </c>
      <c r="AH936" s="354">
        <v>1</v>
      </c>
      <c r="AI936" s="354">
        <v>1</v>
      </c>
      <c r="AJ936" s="354">
        <v>1</v>
      </c>
      <c r="AK936" s="319">
        <v>0.9</v>
      </c>
      <c r="AL936" s="319">
        <v>1.1000000000000001</v>
      </c>
      <c r="AM936" s="147">
        <f t="shared" si="39"/>
        <v>2</v>
      </c>
      <c r="AN936" s="320" t="s">
        <v>869</v>
      </c>
      <c r="AO936" s="14" t="s">
        <v>871</v>
      </c>
      <c r="AP936" s="320" t="s">
        <v>6940</v>
      </c>
    </row>
    <row r="937" spans="1:42" s="320" customFormat="1" x14ac:dyDescent="0.3">
      <c r="A937" s="353" t="s">
        <v>1450</v>
      </c>
      <c r="B937" s="320" t="s">
        <v>6881</v>
      </c>
      <c r="C937" s="320" t="s">
        <v>6883</v>
      </c>
      <c r="D937" s="320" t="s">
        <v>6884</v>
      </c>
      <c r="E937" s="320" t="s">
        <v>6885</v>
      </c>
      <c r="F937" s="320" t="s">
        <v>6886</v>
      </c>
      <c r="G937" s="320" t="s">
        <v>6887</v>
      </c>
      <c r="H937" s="320" t="s">
        <v>6888</v>
      </c>
      <c r="I937" s="320" t="s">
        <v>6889</v>
      </c>
      <c r="J937" s="320" t="s">
        <v>6890</v>
      </c>
      <c r="K937" s="320" t="s">
        <v>6932</v>
      </c>
      <c r="L937" s="320" t="s">
        <v>6933</v>
      </c>
      <c r="M937" s="277"/>
      <c r="N937" s="277"/>
      <c r="O937" s="277"/>
      <c r="P937" s="275"/>
      <c r="Q937" s="275"/>
      <c r="R937" s="275"/>
      <c r="S937" s="275"/>
      <c r="U937" s="283" t="e">
        <v>#N/A</v>
      </c>
      <c r="V937" s="320" t="s">
        <v>6941</v>
      </c>
      <c r="W937" s="320">
        <v>1</v>
      </c>
      <c r="X937" s="320">
        <v>1</v>
      </c>
      <c r="Y937" s="320">
        <v>0</v>
      </c>
      <c r="Z937" s="320">
        <v>1</v>
      </c>
      <c r="AA937" s="320">
        <v>1</v>
      </c>
      <c r="AB937" s="320">
        <v>1</v>
      </c>
      <c r="AC937" s="316">
        <v>0</v>
      </c>
      <c r="AD937" s="316">
        <v>1</v>
      </c>
      <c r="AE937" s="302">
        <f t="shared" si="40"/>
        <v>0.75</v>
      </c>
      <c r="AF937" s="354"/>
      <c r="AG937" s="17">
        <v>0</v>
      </c>
      <c r="AH937" s="354">
        <v>2.7</v>
      </c>
      <c r="AI937" s="354">
        <v>3.1</v>
      </c>
      <c r="AJ937" s="354">
        <v>3.5</v>
      </c>
      <c r="AK937" s="319">
        <v>3</v>
      </c>
      <c r="AL937" s="319">
        <v>3.5</v>
      </c>
      <c r="AM937" s="147">
        <f t="shared" si="39"/>
        <v>6.5</v>
      </c>
      <c r="AN937" s="320" t="s">
        <v>6894</v>
      </c>
      <c r="AO937" s="320" t="s">
        <v>6896</v>
      </c>
      <c r="AP937" s="320" t="s">
        <v>6942</v>
      </c>
    </row>
    <row r="938" spans="1:42" s="320" customFormat="1" x14ac:dyDescent="0.3">
      <c r="A938" s="353" t="s">
        <v>1450</v>
      </c>
      <c r="B938" s="320" t="s">
        <v>6881</v>
      </c>
      <c r="C938" s="320" t="s">
        <v>6883</v>
      </c>
      <c r="D938" s="320" t="s">
        <v>6884</v>
      </c>
      <c r="E938" s="320" t="s">
        <v>6885</v>
      </c>
      <c r="F938" s="320" t="s">
        <v>6886</v>
      </c>
      <c r="G938" s="320" t="s">
        <v>6887</v>
      </c>
      <c r="H938" s="320" t="s">
        <v>6888</v>
      </c>
      <c r="I938" s="320" t="s">
        <v>6889</v>
      </c>
      <c r="J938" s="320" t="s">
        <v>6890</v>
      </c>
      <c r="K938" s="320" t="s">
        <v>6943</v>
      </c>
      <c r="L938" s="320" t="s">
        <v>6944</v>
      </c>
      <c r="M938" s="277" t="s">
        <v>6945</v>
      </c>
      <c r="N938" s="277">
        <v>4</v>
      </c>
      <c r="O938" s="277">
        <v>6</v>
      </c>
      <c r="P938" s="275">
        <v>6</v>
      </c>
      <c r="Q938" s="275">
        <v>6</v>
      </c>
      <c r="R938" s="275">
        <v>6</v>
      </c>
      <c r="S938" s="275">
        <v>6</v>
      </c>
      <c r="T938" s="320" t="s">
        <v>6894</v>
      </c>
      <c r="U938" s="283" t="s">
        <v>6896</v>
      </c>
      <c r="V938" s="320" t="s">
        <v>6946</v>
      </c>
      <c r="W938" s="320">
        <v>1</v>
      </c>
      <c r="X938" s="320">
        <v>1</v>
      </c>
      <c r="Y938" s="320">
        <v>0</v>
      </c>
      <c r="Z938" s="320">
        <v>1</v>
      </c>
      <c r="AA938" s="320">
        <v>1</v>
      </c>
      <c r="AB938" s="320">
        <v>1</v>
      </c>
      <c r="AC938" s="316">
        <v>1</v>
      </c>
      <c r="AD938" s="316">
        <v>0</v>
      </c>
      <c r="AE938" s="302">
        <f t="shared" si="40"/>
        <v>0.75</v>
      </c>
      <c r="AF938" s="354"/>
      <c r="AG938" s="17">
        <v>0</v>
      </c>
      <c r="AH938" s="354">
        <v>1.5</v>
      </c>
      <c r="AI938" s="354">
        <v>1.5</v>
      </c>
      <c r="AJ938" s="354">
        <v>1.5</v>
      </c>
      <c r="AK938" s="319">
        <v>5</v>
      </c>
      <c r="AL938" s="319">
        <v>5</v>
      </c>
      <c r="AM938" s="147">
        <f t="shared" si="39"/>
        <v>10</v>
      </c>
      <c r="AN938" s="320" t="s">
        <v>6894</v>
      </c>
      <c r="AO938" s="320" t="s">
        <v>6896</v>
      </c>
      <c r="AP938" s="320" t="s">
        <v>6947</v>
      </c>
    </row>
    <row r="939" spans="1:42" s="320" customFormat="1" x14ac:dyDescent="0.3">
      <c r="A939" s="353" t="s">
        <v>1450</v>
      </c>
      <c r="B939" s="320" t="s">
        <v>6881</v>
      </c>
      <c r="C939" s="320" t="s">
        <v>6883</v>
      </c>
      <c r="D939" s="320" t="s">
        <v>6884</v>
      </c>
      <c r="E939" s="320" t="s">
        <v>6885</v>
      </c>
      <c r="F939" s="320" t="s">
        <v>6886</v>
      </c>
      <c r="G939" s="320" t="s">
        <v>6887</v>
      </c>
      <c r="H939" s="320" t="s">
        <v>6888</v>
      </c>
      <c r="I939" s="320" t="s">
        <v>6889</v>
      </c>
      <c r="J939" s="320" t="s">
        <v>6890</v>
      </c>
      <c r="K939" s="320" t="s">
        <v>6943</v>
      </c>
      <c r="L939" s="320" t="s">
        <v>6944</v>
      </c>
      <c r="M939" s="277" t="s">
        <v>6948</v>
      </c>
      <c r="N939" s="453">
        <v>434000</v>
      </c>
      <c r="O939" s="453">
        <v>372304</v>
      </c>
      <c r="P939" s="281">
        <v>496886</v>
      </c>
      <c r="Q939" s="281">
        <v>531668</v>
      </c>
      <c r="R939" s="281">
        <v>568885</v>
      </c>
      <c r="S939" s="281">
        <v>651317</v>
      </c>
      <c r="T939" s="320" t="s">
        <v>6903</v>
      </c>
      <c r="U939" s="283" t="e">
        <v>#N/A</v>
      </c>
      <c r="V939" s="320" t="s">
        <v>6946</v>
      </c>
      <c r="W939" s="320">
        <v>1</v>
      </c>
      <c r="X939" s="320">
        <v>1</v>
      </c>
      <c r="Y939" s="320">
        <v>0</v>
      </c>
      <c r="Z939" s="320">
        <v>1</v>
      </c>
      <c r="AA939" s="320">
        <v>1</v>
      </c>
      <c r="AB939" s="320">
        <v>1</v>
      </c>
      <c r="AC939" s="316">
        <v>1</v>
      </c>
      <c r="AD939" s="316">
        <v>0</v>
      </c>
      <c r="AE939" s="302">
        <f t="shared" si="40"/>
        <v>0.75</v>
      </c>
      <c r="AF939" s="354"/>
      <c r="AG939" s="17">
        <v>0</v>
      </c>
      <c r="AH939" s="354">
        <v>0.01</v>
      </c>
      <c r="AI939" s="354">
        <v>0.01</v>
      </c>
      <c r="AJ939" s="354">
        <v>0.01</v>
      </c>
      <c r="AK939" s="319">
        <v>0.01</v>
      </c>
      <c r="AL939" s="319">
        <v>0.01</v>
      </c>
      <c r="AM939" s="147">
        <f t="shared" si="39"/>
        <v>0.02</v>
      </c>
      <c r="AN939" s="320" t="s">
        <v>2571</v>
      </c>
      <c r="AO939" s="14" t="s">
        <v>2573</v>
      </c>
      <c r="AP939" s="320" t="s">
        <v>6949</v>
      </c>
    </row>
    <row r="940" spans="1:42" s="320" customFormat="1" x14ac:dyDescent="0.3">
      <c r="A940" s="353" t="s">
        <v>1450</v>
      </c>
      <c r="B940" s="320" t="s">
        <v>6881</v>
      </c>
      <c r="C940" s="320" t="s">
        <v>6883</v>
      </c>
      <c r="D940" s="320" t="s">
        <v>6884</v>
      </c>
      <c r="E940" s="320" t="s">
        <v>6885</v>
      </c>
      <c r="F940" s="320" t="s">
        <v>6886</v>
      </c>
      <c r="G940" s="320" t="s">
        <v>6887</v>
      </c>
      <c r="H940" s="320" t="s">
        <v>6888</v>
      </c>
      <c r="I940" s="320" t="s">
        <v>6889</v>
      </c>
      <c r="J940" s="320" t="s">
        <v>6890</v>
      </c>
      <c r="K940" s="320" t="s">
        <v>6943</v>
      </c>
      <c r="L940" s="320" t="s">
        <v>6944</v>
      </c>
      <c r="M940" s="277"/>
      <c r="N940" s="277"/>
      <c r="O940" s="277"/>
      <c r="P940" s="275"/>
      <c r="Q940" s="275"/>
      <c r="R940" s="275"/>
      <c r="S940" s="275"/>
      <c r="U940" s="283" t="e">
        <v>#N/A</v>
      </c>
      <c r="V940" s="320" t="s">
        <v>6950</v>
      </c>
      <c r="W940" s="320">
        <v>1</v>
      </c>
      <c r="X940" s="320">
        <v>0</v>
      </c>
      <c r="Y940" s="320">
        <v>1</v>
      </c>
      <c r="Z940" s="320">
        <v>1</v>
      </c>
      <c r="AA940" s="320">
        <v>1</v>
      </c>
      <c r="AB940" s="320">
        <v>0</v>
      </c>
      <c r="AC940" s="316">
        <v>1</v>
      </c>
      <c r="AD940" s="316">
        <v>1</v>
      </c>
      <c r="AE940" s="302">
        <f t="shared" si="40"/>
        <v>0.75</v>
      </c>
      <c r="AF940" s="354"/>
      <c r="AG940" s="17">
        <v>0</v>
      </c>
      <c r="AH940" s="354">
        <v>0.01</v>
      </c>
      <c r="AI940" s="354">
        <v>0.01</v>
      </c>
      <c r="AJ940" s="354">
        <v>0.01</v>
      </c>
      <c r="AK940" s="319">
        <v>0.01</v>
      </c>
      <c r="AL940" s="319">
        <v>0.01</v>
      </c>
      <c r="AM940" s="147">
        <f t="shared" si="39"/>
        <v>0.02</v>
      </c>
      <c r="AN940" s="277" t="s">
        <v>2571</v>
      </c>
      <c r="AO940" s="14" t="s">
        <v>2573</v>
      </c>
      <c r="AP940" s="320" t="s">
        <v>6951</v>
      </c>
    </row>
    <row r="941" spans="1:42" s="320" customFormat="1" x14ac:dyDescent="0.3">
      <c r="A941" s="353" t="s">
        <v>1450</v>
      </c>
      <c r="B941" s="320" t="s">
        <v>6881</v>
      </c>
      <c r="C941" s="320" t="s">
        <v>6883</v>
      </c>
      <c r="D941" s="320" t="s">
        <v>6884</v>
      </c>
      <c r="E941" s="320" t="s">
        <v>6885</v>
      </c>
      <c r="F941" s="320" t="s">
        <v>6886</v>
      </c>
      <c r="G941" s="320" t="s">
        <v>6887</v>
      </c>
      <c r="H941" s="320" t="s">
        <v>6888</v>
      </c>
      <c r="I941" s="320" t="s">
        <v>6889</v>
      </c>
      <c r="J941" s="320" t="s">
        <v>6890</v>
      </c>
      <c r="K941" s="320" t="s">
        <v>6943</v>
      </c>
      <c r="L941" s="320" t="s">
        <v>6944</v>
      </c>
      <c r="M941" s="277"/>
      <c r="N941" s="277"/>
      <c r="O941" s="277"/>
      <c r="P941" s="275"/>
      <c r="Q941" s="275"/>
      <c r="R941" s="275"/>
      <c r="S941" s="275"/>
      <c r="U941" s="283" t="e">
        <v>#N/A</v>
      </c>
      <c r="V941" s="320" t="s">
        <v>6952</v>
      </c>
      <c r="W941" s="320">
        <v>1</v>
      </c>
      <c r="X941" s="320">
        <v>1</v>
      </c>
      <c r="Y941" s="320">
        <v>1</v>
      </c>
      <c r="Z941" s="320">
        <v>1</v>
      </c>
      <c r="AA941" s="320">
        <v>1</v>
      </c>
      <c r="AB941" s="320">
        <v>1</v>
      </c>
      <c r="AC941" s="316">
        <v>1</v>
      </c>
      <c r="AD941" s="316">
        <v>1</v>
      </c>
      <c r="AE941" s="302">
        <f t="shared" si="40"/>
        <v>1</v>
      </c>
      <c r="AF941" s="354"/>
      <c r="AG941" s="17">
        <v>0</v>
      </c>
      <c r="AH941" s="354">
        <v>0.3</v>
      </c>
      <c r="AI941" s="354">
        <v>0.3</v>
      </c>
      <c r="AJ941" s="354">
        <v>0.31</v>
      </c>
      <c r="AK941" s="319">
        <v>0.34</v>
      </c>
      <c r="AL941" s="319">
        <v>0.34</v>
      </c>
      <c r="AM941" s="147">
        <f t="shared" si="39"/>
        <v>0.68</v>
      </c>
      <c r="AN941" s="320" t="s">
        <v>6900</v>
      </c>
      <c r="AO941" s="14" t="s">
        <v>6901</v>
      </c>
      <c r="AP941" s="320" t="s">
        <v>6953</v>
      </c>
    </row>
    <row r="942" spans="1:42" s="320" customFormat="1" x14ac:dyDescent="0.3">
      <c r="A942" s="353" t="s">
        <v>1450</v>
      </c>
      <c r="B942" s="320" t="s">
        <v>6881</v>
      </c>
      <c r="C942" s="320" t="s">
        <v>6883</v>
      </c>
      <c r="D942" s="320" t="s">
        <v>6884</v>
      </c>
      <c r="E942" s="320" t="s">
        <v>6885</v>
      </c>
      <c r="F942" s="320" t="s">
        <v>6886</v>
      </c>
      <c r="G942" s="320" t="s">
        <v>6887</v>
      </c>
      <c r="H942" s="320" t="s">
        <v>6888</v>
      </c>
      <c r="I942" s="320" t="s">
        <v>6889</v>
      </c>
      <c r="J942" s="320" t="s">
        <v>6890</v>
      </c>
      <c r="K942" s="320" t="s">
        <v>6943</v>
      </c>
      <c r="L942" s="320" t="s">
        <v>6944</v>
      </c>
      <c r="M942" s="277"/>
      <c r="N942" s="277"/>
      <c r="O942" s="277"/>
      <c r="P942" s="275"/>
      <c r="Q942" s="275"/>
      <c r="R942" s="275"/>
      <c r="S942" s="275"/>
      <c r="U942" s="283" t="e">
        <v>#N/A</v>
      </c>
      <c r="V942" s="320" t="s">
        <v>6954</v>
      </c>
      <c r="W942" s="320">
        <v>1</v>
      </c>
      <c r="X942" s="320">
        <v>1</v>
      </c>
      <c r="Y942" s="320">
        <v>0</v>
      </c>
      <c r="Z942" s="320">
        <v>1</v>
      </c>
      <c r="AA942" s="320">
        <v>1</v>
      </c>
      <c r="AB942" s="320">
        <v>1</v>
      </c>
      <c r="AC942" s="316">
        <v>0</v>
      </c>
      <c r="AD942" s="316">
        <v>1</v>
      </c>
      <c r="AE942" s="302">
        <f t="shared" si="40"/>
        <v>0.75</v>
      </c>
      <c r="AF942" s="354"/>
      <c r="AG942" s="17">
        <v>0</v>
      </c>
      <c r="AH942" s="354">
        <v>0.02</v>
      </c>
      <c r="AI942" s="354">
        <v>0.02</v>
      </c>
      <c r="AJ942" s="354">
        <v>0.02</v>
      </c>
      <c r="AK942" s="319">
        <v>0.02</v>
      </c>
      <c r="AL942" s="319">
        <v>0.02</v>
      </c>
      <c r="AM942" s="147">
        <f t="shared" si="39"/>
        <v>0.04</v>
      </c>
      <c r="AN942" s="320" t="s">
        <v>2571</v>
      </c>
      <c r="AO942" s="14" t="s">
        <v>2573</v>
      </c>
      <c r="AP942" s="320" t="s">
        <v>6949</v>
      </c>
    </row>
    <row r="943" spans="1:42" s="320" customFormat="1" x14ac:dyDescent="0.3">
      <c r="A943" s="353" t="s">
        <v>1450</v>
      </c>
      <c r="B943" s="320" t="s">
        <v>6881</v>
      </c>
      <c r="C943" s="320" t="s">
        <v>6883</v>
      </c>
      <c r="D943" s="320" t="s">
        <v>6884</v>
      </c>
      <c r="E943" s="320" t="s">
        <v>6885</v>
      </c>
      <c r="F943" s="320" t="s">
        <v>6886</v>
      </c>
      <c r="G943" s="320" t="s">
        <v>6887</v>
      </c>
      <c r="H943" s="320" t="s">
        <v>6888</v>
      </c>
      <c r="I943" s="320" t="s">
        <v>6889</v>
      </c>
      <c r="J943" s="320" t="s">
        <v>6890</v>
      </c>
      <c r="K943" s="320" t="s">
        <v>6943</v>
      </c>
      <c r="L943" s="320" t="s">
        <v>6944</v>
      </c>
      <c r="M943" s="277"/>
      <c r="N943" s="277"/>
      <c r="O943" s="277"/>
      <c r="P943" s="275"/>
      <c r="Q943" s="275"/>
      <c r="R943" s="275"/>
      <c r="S943" s="275"/>
      <c r="U943" s="283" t="e">
        <v>#N/A</v>
      </c>
      <c r="V943" s="320" t="s">
        <v>6955</v>
      </c>
      <c r="W943" s="320">
        <v>1</v>
      </c>
      <c r="X943" s="320">
        <v>1</v>
      </c>
      <c r="Y943" s="320">
        <v>0</v>
      </c>
      <c r="Z943" s="320">
        <v>1</v>
      </c>
      <c r="AA943" s="320">
        <v>1</v>
      </c>
      <c r="AB943" s="320">
        <v>1</v>
      </c>
      <c r="AC943" s="316">
        <v>0</v>
      </c>
      <c r="AD943" s="316">
        <v>1</v>
      </c>
      <c r="AE943" s="302">
        <f t="shared" si="40"/>
        <v>0.75</v>
      </c>
      <c r="AF943" s="354"/>
      <c r="AG943" s="17">
        <v>0</v>
      </c>
      <c r="AH943" s="354">
        <v>6.0000000000000001E-3</v>
      </c>
      <c r="AI943" s="354">
        <v>6.0000000000000001E-3</v>
      </c>
      <c r="AJ943" s="354">
        <v>6.0000000000000001E-3</v>
      </c>
      <c r="AK943" s="319">
        <v>6.0000000000000001E-3</v>
      </c>
      <c r="AL943" s="319">
        <v>6.0000000000000001E-3</v>
      </c>
      <c r="AM943" s="147">
        <f t="shared" si="39"/>
        <v>1.2E-2</v>
      </c>
      <c r="AN943" s="320" t="s">
        <v>2571</v>
      </c>
      <c r="AO943" s="14" t="s">
        <v>2573</v>
      </c>
      <c r="AP943" s="320" t="s">
        <v>6956</v>
      </c>
    </row>
    <row r="944" spans="1:42" s="320" customFormat="1" x14ac:dyDescent="0.3">
      <c r="A944" s="353" t="s">
        <v>1450</v>
      </c>
      <c r="B944" s="320" t="s">
        <v>6881</v>
      </c>
      <c r="C944" s="320" t="s">
        <v>6883</v>
      </c>
      <c r="D944" s="320" t="s">
        <v>6884</v>
      </c>
      <c r="E944" s="320" t="s">
        <v>6885</v>
      </c>
      <c r="F944" s="320" t="s">
        <v>6886</v>
      </c>
      <c r="G944" s="320" t="s">
        <v>6887</v>
      </c>
      <c r="H944" s="320" t="s">
        <v>6888</v>
      </c>
      <c r="I944" s="320" t="s">
        <v>6889</v>
      </c>
      <c r="J944" s="320" t="s">
        <v>6890</v>
      </c>
      <c r="K944" s="320" t="s">
        <v>6943</v>
      </c>
      <c r="L944" s="320" t="s">
        <v>6944</v>
      </c>
      <c r="M944" s="277"/>
      <c r="N944" s="277"/>
      <c r="O944" s="277"/>
      <c r="P944" s="275"/>
      <c r="Q944" s="275"/>
      <c r="R944" s="275"/>
      <c r="S944" s="275"/>
      <c r="U944" s="283" t="e">
        <v>#N/A</v>
      </c>
      <c r="V944" s="320" t="s">
        <v>6957</v>
      </c>
      <c r="W944" s="320">
        <v>1</v>
      </c>
      <c r="X944" s="320">
        <v>1</v>
      </c>
      <c r="Y944" s="320">
        <v>0</v>
      </c>
      <c r="Z944" s="320">
        <v>1</v>
      </c>
      <c r="AA944" s="320">
        <v>1</v>
      </c>
      <c r="AB944" s="320">
        <v>1</v>
      </c>
      <c r="AC944" s="316">
        <v>1</v>
      </c>
      <c r="AD944" s="316">
        <v>0</v>
      </c>
      <c r="AE944" s="302">
        <f t="shared" si="40"/>
        <v>0.75</v>
      </c>
      <c r="AF944" s="354"/>
      <c r="AG944" s="17">
        <v>0</v>
      </c>
      <c r="AH944" s="354">
        <v>0.02</v>
      </c>
      <c r="AI944" s="354">
        <v>0.02</v>
      </c>
      <c r="AJ944" s="354">
        <v>0.02</v>
      </c>
      <c r="AK944" s="319">
        <v>0.02</v>
      </c>
      <c r="AL944" s="319">
        <v>0.02</v>
      </c>
      <c r="AM944" s="147">
        <f t="shared" si="39"/>
        <v>0.04</v>
      </c>
      <c r="AN944" s="320" t="s">
        <v>2571</v>
      </c>
      <c r="AO944" s="14" t="s">
        <v>2573</v>
      </c>
      <c r="AP944" s="320" t="s">
        <v>6956</v>
      </c>
    </row>
    <row r="945" spans="1:42" s="320" customFormat="1" x14ac:dyDescent="0.3">
      <c r="A945" s="353" t="s">
        <v>1450</v>
      </c>
      <c r="B945" s="320" t="s">
        <v>6881</v>
      </c>
      <c r="C945" s="320" t="s">
        <v>6883</v>
      </c>
      <c r="D945" s="320" t="s">
        <v>6884</v>
      </c>
      <c r="E945" s="320" t="s">
        <v>6885</v>
      </c>
      <c r="F945" s="320" t="s">
        <v>6886</v>
      </c>
      <c r="G945" s="320" t="s">
        <v>6887</v>
      </c>
      <c r="H945" s="320" t="s">
        <v>6888</v>
      </c>
      <c r="I945" s="320" t="s">
        <v>6889</v>
      </c>
      <c r="J945" s="320" t="s">
        <v>6890</v>
      </c>
      <c r="K945" s="320" t="s">
        <v>6943</v>
      </c>
      <c r="L945" s="320" t="s">
        <v>6944</v>
      </c>
      <c r="M945" s="277"/>
      <c r="N945" s="277"/>
      <c r="O945" s="277"/>
      <c r="P945" s="275"/>
      <c r="Q945" s="275"/>
      <c r="R945" s="275"/>
      <c r="S945" s="275"/>
      <c r="U945" s="283" t="e">
        <v>#N/A</v>
      </c>
      <c r="V945" s="320" t="s">
        <v>6958</v>
      </c>
      <c r="W945" s="320">
        <v>1</v>
      </c>
      <c r="X945" s="320">
        <v>1</v>
      </c>
      <c r="Y945" s="320">
        <v>0</v>
      </c>
      <c r="Z945" s="320">
        <v>1</v>
      </c>
      <c r="AA945" s="320">
        <v>1</v>
      </c>
      <c r="AB945" s="320">
        <v>1</v>
      </c>
      <c r="AC945" s="316">
        <v>1</v>
      </c>
      <c r="AD945" s="316">
        <v>0</v>
      </c>
      <c r="AE945" s="302">
        <f t="shared" si="40"/>
        <v>0.75</v>
      </c>
      <c r="AF945" s="354"/>
      <c r="AG945" s="17">
        <v>0</v>
      </c>
      <c r="AH945" s="354">
        <v>0.01</v>
      </c>
      <c r="AI945" s="354">
        <v>0.01</v>
      </c>
      <c r="AJ945" s="354">
        <v>0.01</v>
      </c>
      <c r="AK945" s="319">
        <v>0.01</v>
      </c>
      <c r="AL945" s="319">
        <v>0.01</v>
      </c>
      <c r="AM945" s="147">
        <f t="shared" si="39"/>
        <v>0.02</v>
      </c>
      <c r="AN945" s="320" t="s">
        <v>2571</v>
      </c>
      <c r="AO945" s="14" t="s">
        <v>2573</v>
      </c>
      <c r="AP945" s="320" t="s">
        <v>6959</v>
      </c>
    </row>
    <row r="946" spans="1:42" s="320" customFormat="1" x14ac:dyDescent="0.3">
      <c r="A946" s="353" t="s">
        <v>1450</v>
      </c>
      <c r="B946" s="320" t="s">
        <v>6881</v>
      </c>
      <c r="C946" s="320" t="s">
        <v>6883</v>
      </c>
      <c r="D946" s="320" t="s">
        <v>6884</v>
      </c>
      <c r="E946" s="320" t="s">
        <v>6885</v>
      </c>
      <c r="F946" s="320" t="s">
        <v>6886</v>
      </c>
      <c r="G946" s="320" t="s">
        <v>6887</v>
      </c>
      <c r="H946" s="320" t="s">
        <v>6888</v>
      </c>
      <c r="I946" s="320" t="s">
        <v>6889</v>
      </c>
      <c r="J946" s="320" t="s">
        <v>6890</v>
      </c>
      <c r="K946" s="320" t="s">
        <v>6943</v>
      </c>
      <c r="L946" s="320" t="s">
        <v>6944</v>
      </c>
      <c r="M946" s="277"/>
      <c r="N946" s="277"/>
      <c r="O946" s="277"/>
      <c r="P946" s="275"/>
      <c r="Q946" s="275"/>
      <c r="R946" s="275"/>
      <c r="S946" s="275"/>
      <c r="U946" s="283" t="e">
        <v>#N/A</v>
      </c>
      <c r="V946" s="320" t="s">
        <v>6960</v>
      </c>
      <c r="W946" s="320">
        <v>1</v>
      </c>
      <c r="X946" s="320">
        <v>1</v>
      </c>
      <c r="Y946" s="320">
        <v>0</v>
      </c>
      <c r="Z946" s="320">
        <v>1</v>
      </c>
      <c r="AA946" s="320">
        <v>1</v>
      </c>
      <c r="AB946" s="320">
        <v>1</v>
      </c>
      <c r="AC946" s="316">
        <v>1</v>
      </c>
      <c r="AD946" s="316">
        <v>0</v>
      </c>
      <c r="AE946" s="302">
        <f t="shared" si="40"/>
        <v>0.75</v>
      </c>
      <c r="AF946" s="354"/>
      <c r="AG946" s="17">
        <v>0</v>
      </c>
      <c r="AH946" s="354">
        <v>6.0000000000000001E-3</v>
      </c>
      <c r="AI946" s="354">
        <v>6.0000000000000001E-3</v>
      </c>
      <c r="AJ946" s="354">
        <v>6.0000000000000001E-3</v>
      </c>
      <c r="AK946" s="319">
        <v>6.0000000000000001E-3</v>
      </c>
      <c r="AL946" s="319">
        <v>6.0000000000000001E-3</v>
      </c>
      <c r="AM946" s="147">
        <f t="shared" si="39"/>
        <v>1.2E-2</v>
      </c>
      <c r="AN946" s="320" t="s">
        <v>2571</v>
      </c>
      <c r="AO946" s="14" t="s">
        <v>2573</v>
      </c>
      <c r="AP946" s="320" t="s">
        <v>6959</v>
      </c>
    </row>
    <row r="947" spans="1:42" s="320" customFormat="1" x14ac:dyDescent="0.3">
      <c r="A947" s="353" t="s">
        <v>1450</v>
      </c>
      <c r="B947" s="320" t="s">
        <v>6881</v>
      </c>
      <c r="C947" s="320" t="s">
        <v>6883</v>
      </c>
      <c r="D947" s="320" t="s">
        <v>6884</v>
      </c>
      <c r="E947" s="320" t="s">
        <v>6885</v>
      </c>
      <c r="F947" s="320" t="s">
        <v>6886</v>
      </c>
      <c r="G947" s="320" t="s">
        <v>6887</v>
      </c>
      <c r="H947" s="320" t="s">
        <v>6888</v>
      </c>
      <c r="I947" s="320" t="s">
        <v>6889</v>
      </c>
      <c r="J947" s="320" t="s">
        <v>6890</v>
      </c>
      <c r="K947" s="320" t="s">
        <v>6943</v>
      </c>
      <c r="L947" s="320" t="s">
        <v>6944</v>
      </c>
      <c r="M947" s="277"/>
      <c r="N947" s="277"/>
      <c r="O947" s="277"/>
      <c r="P947" s="275"/>
      <c r="Q947" s="275"/>
      <c r="R947" s="275"/>
      <c r="S947" s="275"/>
      <c r="U947" s="283" t="e">
        <v>#N/A</v>
      </c>
      <c r="V947" s="320" t="s">
        <v>6961</v>
      </c>
      <c r="W947" s="320">
        <v>1</v>
      </c>
      <c r="X947" s="320">
        <v>0</v>
      </c>
      <c r="Y947" s="320">
        <v>1</v>
      </c>
      <c r="Z947" s="320">
        <v>1</v>
      </c>
      <c r="AA947" s="320">
        <v>1</v>
      </c>
      <c r="AB947" s="320">
        <v>0</v>
      </c>
      <c r="AC947" s="316">
        <v>1</v>
      </c>
      <c r="AD947" s="316">
        <v>1</v>
      </c>
      <c r="AE947" s="302">
        <f t="shared" si="40"/>
        <v>0.75</v>
      </c>
      <c r="AF947" s="354"/>
      <c r="AG947" s="17">
        <v>0</v>
      </c>
      <c r="AH947" s="354">
        <v>0</v>
      </c>
      <c r="AI947" s="354">
        <v>0.1</v>
      </c>
      <c r="AJ947" s="354">
        <v>0.1</v>
      </c>
      <c r="AK947" s="319">
        <v>0.1</v>
      </c>
      <c r="AL947" s="319">
        <v>0.1</v>
      </c>
      <c r="AM947" s="147">
        <f t="shared" si="39"/>
        <v>0.2</v>
      </c>
      <c r="AN947" s="320" t="s">
        <v>6894</v>
      </c>
      <c r="AO947" s="14" t="s">
        <v>6896</v>
      </c>
      <c r="AP947" s="320" t="s">
        <v>6962</v>
      </c>
    </row>
    <row r="948" spans="1:42" s="320" customFormat="1" x14ac:dyDescent="0.3">
      <c r="A948" s="353" t="s">
        <v>1450</v>
      </c>
      <c r="B948" s="320" t="s">
        <v>6881</v>
      </c>
      <c r="C948" s="320" t="s">
        <v>6883</v>
      </c>
      <c r="D948" s="320" t="s">
        <v>6884</v>
      </c>
      <c r="E948" s="320" t="s">
        <v>6885</v>
      </c>
      <c r="F948" s="320" t="s">
        <v>6886</v>
      </c>
      <c r="G948" s="320" t="s">
        <v>6887</v>
      </c>
      <c r="H948" s="320" t="s">
        <v>6888</v>
      </c>
      <c r="I948" s="320" t="s">
        <v>6963</v>
      </c>
      <c r="J948" s="320" t="s">
        <v>6964</v>
      </c>
      <c r="K948" s="320" t="s">
        <v>6965</v>
      </c>
      <c r="L948" s="320" t="s">
        <v>6966</v>
      </c>
      <c r="M948" s="277" t="s">
        <v>6967</v>
      </c>
      <c r="N948" s="277">
        <v>0</v>
      </c>
      <c r="O948" s="277">
        <v>2</v>
      </c>
      <c r="P948" s="275">
        <v>4</v>
      </c>
      <c r="Q948" s="275">
        <v>6</v>
      </c>
      <c r="R948" s="275">
        <v>14</v>
      </c>
      <c r="S948" s="275">
        <v>15</v>
      </c>
      <c r="T948" s="320" t="s">
        <v>6894</v>
      </c>
      <c r="U948" s="283" t="s">
        <v>6896</v>
      </c>
      <c r="AC948" s="316">
        <v>0</v>
      </c>
      <c r="AD948" s="316">
        <v>0</v>
      </c>
      <c r="AE948" s="302">
        <f t="shared" si="40"/>
        <v>0</v>
      </c>
      <c r="AF948" s="278"/>
      <c r="AG948" s="17">
        <v>0</v>
      </c>
      <c r="AH948" s="278"/>
      <c r="AI948" s="278"/>
      <c r="AJ948" s="278"/>
      <c r="AK948" s="279"/>
      <c r="AL948" s="279"/>
      <c r="AM948" s="147">
        <f t="shared" si="39"/>
        <v>0</v>
      </c>
      <c r="AO948" s="14"/>
    </row>
    <row r="949" spans="1:42" s="320" customFormat="1" x14ac:dyDescent="0.3">
      <c r="A949" s="353" t="s">
        <v>1450</v>
      </c>
      <c r="B949" s="320" t="s">
        <v>6881</v>
      </c>
      <c r="C949" s="320" t="s">
        <v>6883</v>
      </c>
      <c r="D949" s="320" t="s">
        <v>6884</v>
      </c>
      <c r="E949" s="320" t="s">
        <v>6885</v>
      </c>
      <c r="F949" s="320" t="s">
        <v>6886</v>
      </c>
      <c r="G949" s="320" t="s">
        <v>6887</v>
      </c>
      <c r="H949" s="320" t="s">
        <v>6888</v>
      </c>
      <c r="I949" s="320" t="s">
        <v>6963</v>
      </c>
      <c r="J949" s="320" t="s">
        <v>6964</v>
      </c>
      <c r="K949" s="320" t="s">
        <v>6965</v>
      </c>
      <c r="L949" s="320" t="s">
        <v>6966</v>
      </c>
      <c r="M949" s="277" t="s">
        <v>6968</v>
      </c>
      <c r="N949" s="277" t="s">
        <v>271</v>
      </c>
      <c r="O949" s="277" t="s">
        <v>271</v>
      </c>
      <c r="P949" s="275">
        <v>2</v>
      </c>
      <c r="Q949" s="275">
        <v>1</v>
      </c>
      <c r="R949" s="275">
        <v>2</v>
      </c>
      <c r="S949" s="275">
        <v>1</v>
      </c>
      <c r="T949" s="320" t="s">
        <v>6894</v>
      </c>
      <c r="U949" s="283" t="s">
        <v>6896</v>
      </c>
      <c r="AC949" s="316">
        <v>0</v>
      </c>
      <c r="AD949" s="316">
        <v>0</v>
      </c>
      <c r="AE949" s="302">
        <f t="shared" si="40"/>
        <v>0</v>
      </c>
      <c r="AF949" s="278"/>
      <c r="AG949" s="17">
        <v>0</v>
      </c>
      <c r="AH949" s="278"/>
      <c r="AI949" s="278"/>
      <c r="AJ949" s="278"/>
      <c r="AK949" s="279"/>
      <c r="AL949" s="279"/>
      <c r="AM949" s="147">
        <f t="shared" si="39"/>
        <v>0</v>
      </c>
      <c r="AO949" s="14"/>
    </row>
    <row r="950" spans="1:42" s="320" customFormat="1" x14ac:dyDescent="0.3">
      <c r="A950" s="353" t="s">
        <v>1450</v>
      </c>
      <c r="B950" s="320" t="s">
        <v>6881</v>
      </c>
      <c r="C950" s="320" t="s">
        <v>6883</v>
      </c>
      <c r="D950" s="320" t="s">
        <v>6884</v>
      </c>
      <c r="E950" s="320" t="s">
        <v>6885</v>
      </c>
      <c r="F950" s="320" t="s">
        <v>6886</v>
      </c>
      <c r="G950" s="320" t="s">
        <v>6887</v>
      </c>
      <c r="H950" s="320" t="s">
        <v>6888</v>
      </c>
      <c r="I950" s="320" t="s">
        <v>6963</v>
      </c>
      <c r="J950" s="320" t="s">
        <v>6964</v>
      </c>
      <c r="K950" s="320" t="s">
        <v>6969</v>
      </c>
      <c r="L950" s="320" t="s">
        <v>6970</v>
      </c>
      <c r="M950" s="277" t="s">
        <v>6971</v>
      </c>
      <c r="N950" s="277">
        <v>3</v>
      </c>
      <c r="O950" s="277">
        <v>7</v>
      </c>
      <c r="P950" s="275">
        <v>7</v>
      </c>
      <c r="Q950" s="275">
        <v>7</v>
      </c>
      <c r="R950" s="275">
        <v>9</v>
      </c>
      <c r="S950" s="275">
        <v>9</v>
      </c>
      <c r="T950" s="320" t="s">
        <v>6894</v>
      </c>
      <c r="U950" s="283" t="s">
        <v>6896</v>
      </c>
      <c r="V950" s="320" t="s">
        <v>6972</v>
      </c>
      <c r="W950" s="320">
        <v>1</v>
      </c>
      <c r="X950" s="320">
        <v>1</v>
      </c>
      <c r="Y950" s="320">
        <v>0</v>
      </c>
      <c r="Z950" s="320">
        <v>1</v>
      </c>
      <c r="AA950" s="320">
        <v>1</v>
      </c>
      <c r="AB950" s="320">
        <v>1</v>
      </c>
      <c r="AC950" s="316">
        <v>0</v>
      </c>
      <c r="AD950" s="316">
        <v>1</v>
      </c>
      <c r="AE950" s="302">
        <f t="shared" si="40"/>
        <v>0.75</v>
      </c>
      <c r="AF950" s="354"/>
      <c r="AG950" s="17">
        <v>0</v>
      </c>
      <c r="AH950" s="354">
        <v>4.4400000000000004</v>
      </c>
      <c r="AI950" s="354">
        <v>4.92</v>
      </c>
      <c r="AJ950" s="354">
        <v>6.4</v>
      </c>
      <c r="AK950" s="319">
        <v>7.88</v>
      </c>
      <c r="AL950" s="319">
        <v>7.88</v>
      </c>
      <c r="AM950" s="147">
        <f t="shared" si="39"/>
        <v>15.76</v>
      </c>
      <c r="AN950" s="320" t="s">
        <v>6894</v>
      </c>
      <c r="AO950" s="320" t="s">
        <v>6896</v>
      </c>
      <c r="AP950" s="320" t="s">
        <v>6973</v>
      </c>
    </row>
    <row r="951" spans="1:42" s="320" customFormat="1" x14ac:dyDescent="0.3">
      <c r="A951" s="353" t="s">
        <v>1450</v>
      </c>
      <c r="B951" s="320" t="s">
        <v>6881</v>
      </c>
      <c r="C951" s="320" t="s">
        <v>6883</v>
      </c>
      <c r="D951" s="320" t="s">
        <v>6884</v>
      </c>
      <c r="E951" s="320" t="s">
        <v>6885</v>
      </c>
      <c r="F951" s="320" t="s">
        <v>6886</v>
      </c>
      <c r="G951" s="320" t="s">
        <v>6887</v>
      </c>
      <c r="H951" s="320" t="s">
        <v>6888</v>
      </c>
      <c r="I951" s="320" t="s">
        <v>6963</v>
      </c>
      <c r="J951" s="320" t="s">
        <v>6964</v>
      </c>
      <c r="K951" s="320" t="s">
        <v>6969</v>
      </c>
      <c r="L951" s="320" t="s">
        <v>6970</v>
      </c>
      <c r="M951" s="277"/>
      <c r="N951" s="277"/>
      <c r="O951" s="277"/>
      <c r="P951" s="275"/>
      <c r="Q951" s="275"/>
      <c r="R951" s="275"/>
      <c r="S951" s="275"/>
      <c r="U951" s="283" t="e">
        <v>#N/A</v>
      </c>
      <c r="V951" s="320" t="s">
        <v>6974</v>
      </c>
      <c r="W951" s="320">
        <v>1</v>
      </c>
      <c r="X951" s="320">
        <v>0</v>
      </c>
      <c r="Y951" s="320">
        <v>0</v>
      </c>
      <c r="Z951" s="320">
        <v>1</v>
      </c>
      <c r="AA951" s="320">
        <v>1</v>
      </c>
      <c r="AB951" s="320">
        <v>0</v>
      </c>
      <c r="AC951" s="316">
        <v>0</v>
      </c>
      <c r="AD951" s="316">
        <v>1</v>
      </c>
      <c r="AE951" s="302">
        <f t="shared" si="40"/>
        <v>0.5</v>
      </c>
      <c r="AF951" s="354"/>
      <c r="AG951" s="17">
        <v>0</v>
      </c>
      <c r="AH951" s="354">
        <v>0</v>
      </c>
      <c r="AI951" s="354">
        <v>0.01</v>
      </c>
      <c r="AJ951" s="23">
        <v>0</v>
      </c>
      <c r="AK951" s="153">
        <v>0</v>
      </c>
      <c r="AL951" s="153">
        <v>0</v>
      </c>
      <c r="AM951" s="147">
        <f t="shared" ref="AM951:AM982" si="41">SUM(AK951:AL951)</f>
        <v>0</v>
      </c>
      <c r="AN951" s="320" t="s">
        <v>6894</v>
      </c>
      <c r="AO951" s="14" t="s">
        <v>6896</v>
      </c>
      <c r="AP951" s="320" t="s">
        <v>6975</v>
      </c>
    </row>
    <row r="952" spans="1:42" s="320" customFormat="1" x14ac:dyDescent="0.3">
      <c r="A952" s="353" t="s">
        <v>1450</v>
      </c>
      <c r="B952" s="320" t="s">
        <v>6881</v>
      </c>
      <c r="C952" s="320" t="s">
        <v>6883</v>
      </c>
      <c r="D952" s="320" t="s">
        <v>6884</v>
      </c>
      <c r="E952" s="320" t="s">
        <v>6885</v>
      </c>
      <c r="F952" s="320" t="s">
        <v>6886</v>
      </c>
      <c r="G952" s="320" t="s">
        <v>6887</v>
      </c>
      <c r="H952" s="320" t="s">
        <v>6888</v>
      </c>
      <c r="I952" s="320" t="s">
        <v>6963</v>
      </c>
      <c r="J952" s="320" t="s">
        <v>6964</v>
      </c>
      <c r="K952" s="320" t="s">
        <v>6976</v>
      </c>
      <c r="L952" s="320" t="s">
        <v>6977</v>
      </c>
      <c r="M952" s="277" t="s">
        <v>6978</v>
      </c>
      <c r="N952" s="277">
        <v>1</v>
      </c>
      <c r="O952" s="277">
        <v>1</v>
      </c>
      <c r="P952" s="275">
        <v>1</v>
      </c>
      <c r="Q952" s="275">
        <v>2</v>
      </c>
      <c r="R952" s="275">
        <v>2</v>
      </c>
      <c r="S952" s="275">
        <v>2</v>
      </c>
      <c r="T952" s="320" t="s">
        <v>6903</v>
      </c>
      <c r="U952" s="283" t="e">
        <v>#N/A</v>
      </c>
      <c r="W952" s="320">
        <v>1</v>
      </c>
      <c r="X952" s="320">
        <v>1</v>
      </c>
      <c r="Y952" s="320">
        <v>0</v>
      </c>
      <c r="Z952" s="320">
        <v>1</v>
      </c>
      <c r="AA952" s="320">
        <v>1</v>
      </c>
      <c r="AB952" s="320">
        <v>0</v>
      </c>
      <c r="AC952" s="316">
        <v>1</v>
      </c>
      <c r="AD952" s="316">
        <v>1</v>
      </c>
      <c r="AE952" s="302">
        <f t="shared" si="40"/>
        <v>0.75</v>
      </c>
      <c r="AF952" s="278"/>
      <c r="AG952" s="17">
        <v>0</v>
      </c>
      <c r="AH952" s="278"/>
      <c r="AI952" s="278"/>
      <c r="AJ952" s="23"/>
      <c r="AK952" s="153">
        <v>2.5</v>
      </c>
      <c r="AL952" s="153">
        <v>2.5</v>
      </c>
      <c r="AM952" s="147">
        <f t="shared" si="41"/>
        <v>5</v>
      </c>
      <c r="AO952" s="14"/>
    </row>
    <row r="953" spans="1:42" s="320" customFormat="1" x14ac:dyDescent="0.3">
      <c r="A953" s="353" t="s">
        <v>1450</v>
      </c>
      <c r="B953" s="320" t="s">
        <v>6881</v>
      </c>
      <c r="C953" s="320" t="s">
        <v>6883</v>
      </c>
      <c r="D953" s="320" t="s">
        <v>6884</v>
      </c>
      <c r="E953" s="320" t="s">
        <v>6885</v>
      </c>
      <c r="F953" s="320" t="s">
        <v>6886</v>
      </c>
      <c r="G953" s="320" t="s">
        <v>6887</v>
      </c>
      <c r="H953" s="320" t="s">
        <v>6888</v>
      </c>
      <c r="I953" s="320" t="s">
        <v>6963</v>
      </c>
      <c r="J953" s="320" t="s">
        <v>6964</v>
      </c>
      <c r="K953" s="320" t="s">
        <v>6979</v>
      </c>
      <c r="L953" s="320" t="s">
        <v>6980</v>
      </c>
      <c r="M953" s="277" t="s">
        <v>6981</v>
      </c>
      <c r="N953" s="277">
        <v>0</v>
      </c>
      <c r="O953" s="277">
        <v>0</v>
      </c>
      <c r="P953" s="275">
        <v>0</v>
      </c>
      <c r="Q953" s="275">
        <v>0</v>
      </c>
      <c r="R953" s="275">
        <v>60</v>
      </c>
      <c r="S953" s="275">
        <v>100</v>
      </c>
      <c r="T953" s="320" t="s">
        <v>6894</v>
      </c>
      <c r="U953" s="283" t="s">
        <v>6896</v>
      </c>
      <c r="AC953" s="316">
        <v>0</v>
      </c>
      <c r="AD953" s="316">
        <v>0</v>
      </c>
      <c r="AE953" s="302">
        <f t="shared" si="40"/>
        <v>0</v>
      </c>
      <c r="AF953" s="278"/>
      <c r="AG953" s="17">
        <v>0</v>
      </c>
      <c r="AH953" s="278"/>
      <c r="AI953" s="278"/>
      <c r="AJ953" s="278"/>
      <c r="AK953" s="279"/>
      <c r="AL953" s="279"/>
      <c r="AM953" s="147">
        <f t="shared" si="41"/>
        <v>0</v>
      </c>
    </row>
    <row r="954" spans="1:42" s="320" customFormat="1" x14ac:dyDescent="0.3">
      <c r="A954" s="353" t="s">
        <v>1450</v>
      </c>
      <c r="B954" s="320" t="s">
        <v>6881</v>
      </c>
      <c r="C954" s="320" t="s">
        <v>6883</v>
      </c>
      <c r="D954" s="320" t="s">
        <v>6884</v>
      </c>
      <c r="E954" s="320" t="s">
        <v>6885</v>
      </c>
      <c r="F954" s="320" t="s">
        <v>6886</v>
      </c>
      <c r="G954" s="320" t="s">
        <v>6887</v>
      </c>
      <c r="H954" s="320" t="s">
        <v>6888</v>
      </c>
      <c r="I954" s="320" t="s">
        <v>6982</v>
      </c>
      <c r="J954" s="320" t="s">
        <v>6983</v>
      </c>
      <c r="K954" s="320" t="s">
        <v>6984</v>
      </c>
      <c r="L954" s="320" t="s">
        <v>6985</v>
      </c>
      <c r="M954" s="277" t="s">
        <v>6986</v>
      </c>
      <c r="N954" s="277">
        <v>0</v>
      </c>
      <c r="O954" s="277">
        <v>0</v>
      </c>
      <c r="P954" s="275">
        <v>0</v>
      </c>
      <c r="Q954" s="275" t="s">
        <v>271</v>
      </c>
      <c r="R954" s="275" t="s">
        <v>271</v>
      </c>
      <c r="S954" s="275">
        <v>1</v>
      </c>
      <c r="T954" s="320" t="s">
        <v>6894</v>
      </c>
      <c r="U954" s="283" t="s">
        <v>6896</v>
      </c>
      <c r="AC954" s="316">
        <v>0</v>
      </c>
      <c r="AD954" s="316">
        <v>0</v>
      </c>
      <c r="AE954" s="302">
        <f t="shared" ref="AE954:AE985" si="42">SUM(W954:AD954)/8</f>
        <v>0</v>
      </c>
      <c r="AF954" s="278"/>
      <c r="AG954" s="17">
        <v>0</v>
      </c>
      <c r="AH954" s="278"/>
      <c r="AI954" s="278"/>
      <c r="AJ954" s="278"/>
      <c r="AK954" s="279"/>
      <c r="AL954" s="279">
        <v>2</v>
      </c>
      <c r="AM954" s="147">
        <f t="shared" si="41"/>
        <v>2</v>
      </c>
    </row>
    <row r="955" spans="1:42" s="320" customFormat="1" x14ac:dyDescent="0.3">
      <c r="A955" s="353" t="s">
        <v>1450</v>
      </c>
      <c r="B955" s="320" t="s">
        <v>6881</v>
      </c>
      <c r="C955" s="320" t="s">
        <v>6883</v>
      </c>
      <c r="D955" s="320" t="s">
        <v>6884</v>
      </c>
      <c r="E955" s="320" t="s">
        <v>6885</v>
      </c>
      <c r="F955" s="320" t="s">
        <v>6886</v>
      </c>
      <c r="G955" s="320" t="s">
        <v>6987</v>
      </c>
      <c r="H955" s="320" t="s">
        <v>6988</v>
      </c>
      <c r="I955" s="320" t="s">
        <v>271</v>
      </c>
      <c r="J955" s="320" t="s">
        <v>271</v>
      </c>
      <c r="K955" s="320" t="s">
        <v>6989</v>
      </c>
      <c r="L955" s="320" t="s">
        <v>6990</v>
      </c>
      <c r="M955" s="277" t="s">
        <v>6991</v>
      </c>
      <c r="N955" s="277">
        <v>0</v>
      </c>
      <c r="O955" s="277">
        <v>0</v>
      </c>
      <c r="P955" s="275">
        <v>1</v>
      </c>
      <c r="Q955" s="275">
        <v>1</v>
      </c>
      <c r="R955" s="275">
        <v>1</v>
      </c>
      <c r="S955" s="275">
        <v>2</v>
      </c>
      <c r="T955" s="320" t="s">
        <v>63</v>
      </c>
      <c r="U955" s="283" t="s">
        <v>2510</v>
      </c>
      <c r="V955" s="320" t="s">
        <v>6992</v>
      </c>
      <c r="W955" s="320">
        <v>1</v>
      </c>
      <c r="X955" s="320">
        <v>1</v>
      </c>
      <c r="Y955" s="320">
        <v>0</v>
      </c>
      <c r="Z955" s="320">
        <v>0</v>
      </c>
      <c r="AA955" s="320">
        <v>0</v>
      </c>
      <c r="AB955" s="320">
        <v>1</v>
      </c>
      <c r="AC955" s="316">
        <v>0</v>
      </c>
      <c r="AD955" s="316">
        <v>0</v>
      </c>
      <c r="AE955" s="302">
        <f t="shared" si="42"/>
        <v>0.375</v>
      </c>
      <c r="AF955" s="354"/>
      <c r="AG955" s="17">
        <v>0</v>
      </c>
      <c r="AH955" s="354">
        <v>0</v>
      </c>
      <c r="AI955" s="354">
        <v>35</v>
      </c>
      <c r="AJ955" s="354">
        <v>35</v>
      </c>
      <c r="AK955" s="319"/>
      <c r="AL955" s="319"/>
      <c r="AM955" s="147">
        <f t="shared" si="41"/>
        <v>0</v>
      </c>
      <c r="AN955" s="320" t="s">
        <v>2520</v>
      </c>
      <c r="AO955" s="320" t="s">
        <v>2510</v>
      </c>
      <c r="AP955" s="320" t="s">
        <v>63</v>
      </c>
    </row>
    <row r="956" spans="1:42" s="320" customFormat="1" x14ac:dyDescent="0.3">
      <c r="A956" s="353" t="s">
        <v>1450</v>
      </c>
      <c r="B956" s="320" t="s">
        <v>6881</v>
      </c>
      <c r="C956" s="320" t="s">
        <v>6883</v>
      </c>
      <c r="D956" s="320" t="s">
        <v>6884</v>
      </c>
      <c r="E956" s="320" t="s">
        <v>6885</v>
      </c>
      <c r="F956" s="320" t="s">
        <v>6886</v>
      </c>
      <c r="G956" s="320" t="s">
        <v>6987</v>
      </c>
      <c r="H956" s="320" t="s">
        <v>6988</v>
      </c>
      <c r="I956" s="320" t="s">
        <v>271</v>
      </c>
      <c r="J956" s="320" t="s">
        <v>271</v>
      </c>
      <c r="K956" s="320" t="s">
        <v>6993</v>
      </c>
      <c r="L956" s="320" t="s">
        <v>6994</v>
      </c>
      <c r="M956" s="277" t="s">
        <v>6995</v>
      </c>
      <c r="N956" s="277">
        <v>14</v>
      </c>
      <c r="O956" s="277">
        <v>14</v>
      </c>
      <c r="P956" s="275">
        <v>15</v>
      </c>
      <c r="Q956" s="275">
        <v>15</v>
      </c>
      <c r="R956" s="275">
        <v>17</v>
      </c>
      <c r="S956" s="275">
        <v>17</v>
      </c>
      <c r="T956" s="320" t="s">
        <v>2518</v>
      </c>
      <c r="U956" s="283" t="e">
        <v>#N/A</v>
      </c>
      <c r="AC956" s="316">
        <v>0</v>
      </c>
      <c r="AD956" s="316">
        <v>0</v>
      </c>
      <c r="AE956" s="302">
        <f t="shared" si="42"/>
        <v>0</v>
      </c>
      <c r="AF956" s="278"/>
      <c r="AG956" s="17">
        <v>0</v>
      </c>
      <c r="AH956" s="278"/>
      <c r="AI956" s="278"/>
      <c r="AJ956" s="278"/>
      <c r="AK956" s="279"/>
      <c r="AL956" s="279"/>
      <c r="AM956" s="147">
        <f t="shared" si="41"/>
        <v>0</v>
      </c>
    </row>
    <row r="957" spans="1:42" s="320" customFormat="1" x14ac:dyDescent="0.3">
      <c r="A957" s="353" t="s">
        <v>1450</v>
      </c>
      <c r="B957" s="320" t="s">
        <v>6881</v>
      </c>
      <c r="C957" s="320" t="s">
        <v>6883</v>
      </c>
      <c r="D957" s="320" t="s">
        <v>6884</v>
      </c>
      <c r="E957" s="320" t="s">
        <v>6885</v>
      </c>
      <c r="F957" s="320" t="s">
        <v>6886</v>
      </c>
      <c r="G957" s="320" t="s">
        <v>6987</v>
      </c>
      <c r="H957" s="320" t="s">
        <v>6988</v>
      </c>
      <c r="I957" s="320" t="s">
        <v>271</v>
      </c>
      <c r="J957" s="320" t="s">
        <v>271</v>
      </c>
      <c r="K957" s="320" t="s">
        <v>6993</v>
      </c>
      <c r="L957" s="320" t="s">
        <v>6994</v>
      </c>
      <c r="M957" s="277" t="s">
        <v>6996</v>
      </c>
      <c r="N957" s="277">
        <v>6</v>
      </c>
      <c r="O957" s="277">
        <v>8</v>
      </c>
      <c r="P957" s="275">
        <v>10</v>
      </c>
      <c r="Q957" s="275">
        <v>12</v>
      </c>
      <c r="R957" s="275">
        <v>14</v>
      </c>
      <c r="S957" s="275">
        <v>15</v>
      </c>
      <c r="T957" s="320" t="s">
        <v>2518</v>
      </c>
      <c r="U957" s="283" t="e">
        <v>#N/A</v>
      </c>
      <c r="AC957" s="316">
        <v>0</v>
      </c>
      <c r="AD957" s="316">
        <v>0</v>
      </c>
      <c r="AE957" s="302">
        <f t="shared" si="42"/>
        <v>0</v>
      </c>
      <c r="AF957" s="278"/>
      <c r="AG957" s="17">
        <v>0</v>
      </c>
      <c r="AH957" s="278"/>
      <c r="AI957" s="278"/>
      <c r="AJ957" s="278"/>
      <c r="AK957" s="279"/>
      <c r="AL957" s="279"/>
      <c r="AM957" s="147">
        <f t="shared" si="41"/>
        <v>0</v>
      </c>
    </row>
    <row r="958" spans="1:42" s="320" customFormat="1" x14ac:dyDescent="0.3">
      <c r="A958" s="353" t="s">
        <v>1450</v>
      </c>
      <c r="B958" s="320" t="s">
        <v>6881</v>
      </c>
      <c r="C958" s="320" t="s">
        <v>6883</v>
      </c>
      <c r="D958" s="320" t="s">
        <v>6884</v>
      </c>
      <c r="E958" s="320" t="s">
        <v>6885</v>
      </c>
      <c r="F958" s="320" t="s">
        <v>6886</v>
      </c>
      <c r="G958" s="320" t="s">
        <v>6987</v>
      </c>
      <c r="H958" s="320" t="s">
        <v>6988</v>
      </c>
      <c r="I958" s="320" t="s">
        <v>271</v>
      </c>
      <c r="J958" s="320" t="s">
        <v>271</v>
      </c>
      <c r="K958" s="320" t="s">
        <v>6997</v>
      </c>
      <c r="L958" s="320" t="s">
        <v>6998</v>
      </c>
      <c r="M958" s="277" t="s">
        <v>6999</v>
      </c>
      <c r="N958" s="277">
        <v>0.95</v>
      </c>
      <c r="O958" s="277">
        <v>0.89</v>
      </c>
      <c r="P958" s="275">
        <v>1.01</v>
      </c>
      <c r="Q958" s="275">
        <v>1.04</v>
      </c>
      <c r="R958" s="275">
        <v>1.07</v>
      </c>
      <c r="S958" s="275">
        <v>1.1000000000000001</v>
      </c>
      <c r="T958" s="320" t="s">
        <v>6903</v>
      </c>
      <c r="U958" s="283" t="e">
        <v>#N/A</v>
      </c>
      <c r="AC958" s="316">
        <v>0</v>
      </c>
      <c r="AD958" s="316">
        <v>0</v>
      </c>
      <c r="AE958" s="302">
        <f t="shared" si="42"/>
        <v>0</v>
      </c>
      <c r="AF958" s="278"/>
      <c r="AG958" s="17">
        <v>0</v>
      </c>
      <c r="AH958" s="278"/>
      <c r="AI958" s="278"/>
      <c r="AJ958" s="278"/>
      <c r="AK958" s="279"/>
      <c r="AL958" s="279"/>
      <c r="AM958" s="147">
        <f t="shared" si="41"/>
        <v>0</v>
      </c>
    </row>
    <row r="959" spans="1:42" s="320" customFormat="1" x14ac:dyDescent="0.3">
      <c r="A959" s="353" t="s">
        <v>1450</v>
      </c>
      <c r="B959" s="320" t="s">
        <v>6881</v>
      </c>
      <c r="C959" s="320" t="s">
        <v>6883</v>
      </c>
      <c r="D959" s="320" t="s">
        <v>6884</v>
      </c>
      <c r="E959" s="320" t="s">
        <v>6885</v>
      </c>
      <c r="F959" s="320" t="s">
        <v>6886</v>
      </c>
      <c r="G959" s="320" t="s">
        <v>7000</v>
      </c>
      <c r="H959" s="320" t="s">
        <v>7001</v>
      </c>
      <c r="I959" s="320" t="s">
        <v>271</v>
      </c>
      <c r="J959" s="320" t="s">
        <v>271</v>
      </c>
      <c r="K959" s="320" t="s">
        <v>7002</v>
      </c>
      <c r="L959" s="320" t="s">
        <v>7003</v>
      </c>
      <c r="M959" s="277" t="s">
        <v>7004</v>
      </c>
      <c r="N959" s="277">
        <v>0</v>
      </c>
      <c r="O959" s="277">
        <v>0</v>
      </c>
      <c r="P959" s="275">
        <v>0</v>
      </c>
      <c r="Q959" s="275">
        <v>0</v>
      </c>
      <c r="R959" s="275">
        <v>0</v>
      </c>
      <c r="S959" s="275">
        <v>1</v>
      </c>
      <c r="T959" s="320" t="s">
        <v>7005</v>
      </c>
      <c r="U959" s="283" t="e">
        <v>#N/A</v>
      </c>
      <c r="V959" s="320" t="s">
        <v>7006</v>
      </c>
      <c r="W959" s="320">
        <v>1</v>
      </c>
      <c r="X959" s="320">
        <v>1</v>
      </c>
      <c r="Y959" s="320">
        <v>1</v>
      </c>
      <c r="Z959" s="320">
        <v>1</v>
      </c>
      <c r="AA959" s="320">
        <v>1</v>
      </c>
      <c r="AB959" s="320">
        <v>1</v>
      </c>
      <c r="AC959" s="316">
        <v>0</v>
      </c>
      <c r="AD959" s="316">
        <v>0</v>
      </c>
      <c r="AE959" s="302">
        <f t="shared" si="42"/>
        <v>0.75</v>
      </c>
      <c r="AF959" s="23"/>
      <c r="AG959" s="17">
        <v>0</v>
      </c>
      <c r="AH959" s="23">
        <v>0</v>
      </c>
      <c r="AI959" s="354">
        <v>0</v>
      </c>
      <c r="AJ959" s="354">
        <v>0.2</v>
      </c>
      <c r="AK959" s="153">
        <v>0</v>
      </c>
      <c r="AL959" s="153">
        <v>0.2</v>
      </c>
      <c r="AM959" s="147">
        <f t="shared" si="41"/>
        <v>0.2</v>
      </c>
      <c r="AN959" s="320" t="s">
        <v>6900</v>
      </c>
      <c r="AO959" s="14" t="s">
        <v>6901</v>
      </c>
      <c r="AP959" s="320" t="s">
        <v>7007</v>
      </c>
    </row>
    <row r="960" spans="1:42" s="320" customFormat="1" x14ac:dyDescent="0.3">
      <c r="A960" s="353" t="s">
        <v>1450</v>
      </c>
      <c r="B960" s="320" t="s">
        <v>6881</v>
      </c>
      <c r="C960" s="320" t="s">
        <v>6883</v>
      </c>
      <c r="D960" s="320" t="s">
        <v>6884</v>
      </c>
      <c r="E960" s="320" t="s">
        <v>6885</v>
      </c>
      <c r="F960" s="320" t="s">
        <v>6886</v>
      </c>
      <c r="G960" s="320" t="s">
        <v>7008</v>
      </c>
      <c r="H960" s="320" t="s">
        <v>7009</v>
      </c>
      <c r="I960" s="320" t="s">
        <v>7010</v>
      </c>
      <c r="J960" s="320" t="s">
        <v>7011</v>
      </c>
      <c r="K960" s="320" t="s">
        <v>7012</v>
      </c>
      <c r="L960" s="320" t="s">
        <v>7013</v>
      </c>
      <c r="M960" s="277" t="s">
        <v>7014</v>
      </c>
      <c r="N960" s="277" t="s">
        <v>119</v>
      </c>
      <c r="O960" s="277">
        <v>30</v>
      </c>
      <c r="P960" s="275">
        <v>90</v>
      </c>
      <c r="Q960" s="275">
        <v>200</v>
      </c>
      <c r="R960" s="275">
        <v>250</v>
      </c>
      <c r="S960" s="275">
        <v>500</v>
      </c>
      <c r="T960" s="320" t="s">
        <v>1233</v>
      </c>
      <c r="U960" s="283" t="s">
        <v>1650</v>
      </c>
      <c r="V960" s="320" t="s">
        <v>7015</v>
      </c>
      <c r="W960" s="320">
        <v>1</v>
      </c>
      <c r="X960" s="320">
        <v>1</v>
      </c>
      <c r="Y960" s="320">
        <v>0</v>
      </c>
      <c r="Z960" s="320">
        <v>1</v>
      </c>
      <c r="AA960" s="320">
        <v>1</v>
      </c>
      <c r="AB960" s="320">
        <v>1</v>
      </c>
      <c r="AC960" s="316">
        <v>0</v>
      </c>
      <c r="AD960" s="316">
        <v>1</v>
      </c>
      <c r="AE960" s="302">
        <f t="shared" si="42"/>
        <v>0.75</v>
      </c>
      <c r="AF960" s="354"/>
      <c r="AG960" s="17">
        <v>0</v>
      </c>
      <c r="AH960" s="354">
        <v>0.05</v>
      </c>
      <c r="AI960" s="354">
        <v>1.1599999999999999</v>
      </c>
      <c r="AJ960" s="354">
        <v>1.33</v>
      </c>
      <c r="AK960" s="319">
        <v>1.41</v>
      </c>
      <c r="AL960" s="319">
        <v>1.83</v>
      </c>
      <c r="AM960" s="147">
        <f t="shared" si="41"/>
        <v>3.24</v>
      </c>
      <c r="AN960" s="320" t="s">
        <v>1233</v>
      </c>
      <c r="AO960" s="320" t="s">
        <v>1650</v>
      </c>
      <c r="AP960" s="320" t="s">
        <v>7016</v>
      </c>
    </row>
    <row r="961" spans="1:42" s="320" customFormat="1" x14ac:dyDescent="0.3">
      <c r="A961" s="353" t="s">
        <v>1450</v>
      </c>
      <c r="B961" s="320" t="s">
        <v>6881</v>
      </c>
      <c r="C961" s="320" t="s">
        <v>6883</v>
      </c>
      <c r="D961" s="320" t="s">
        <v>6884</v>
      </c>
      <c r="E961" s="320" t="s">
        <v>6885</v>
      </c>
      <c r="F961" s="320" t="s">
        <v>6886</v>
      </c>
      <c r="G961" s="320" t="s">
        <v>7008</v>
      </c>
      <c r="H961" s="320" t="s">
        <v>7009</v>
      </c>
      <c r="I961" s="320" t="s">
        <v>7017</v>
      </c>
      <c r="J961" s="320" t="s">
        <v>7018</v>
      </c>
      <c r="K961" s="320" t="s">
        <v>7019</v>
      </c>
      <c r="L961" s="320" t="s">
        <v>7020</v>
      </c>
      <c r="M961" s="277" t="s">
        <v>7021</v>
      </c>
      <c r="N961" s="277" t="s">
        <v>7022</v>
      </c>
      <c r="O961" s="277" t="s">
        <v>271</v>
      </c>
      <c r="P961" s="275" t="s">
        <v>4939</v>
      </c>
      <c r="Q961" s="275" t="s">
        <v>4939</v>
      </c>
      <c r="R961" s="275" t="s">
        <v>4939</v>
      </c>
      <c r="S961" s="275" t="s">
        <v>4939</v>
      </c>
      <c r="T961" s="320" t="s">
        <v>7023</v>
      </c>
      <c r="U961" s="283" t="e">
        <v>#N/A</v>
      </c>
      <c r="AC961" s="316">
        <v>0</v>
      </c>
      <c r="AD961" s="316">
        <v>0</v>
      </c>
      <c r="AE961" s="302">
        <f t="shared" si="42"/>
        <v>0</v>
      </c>
      <c r="AF961" s="278"/>
      <c r="AG961" s="17">
        <v>0</v>
      </c>
      <c r="AH961" s="278"/>
      <c r="AI961" s="278"/>
      <c r="AJ961" s="278"/>
      <c r="AK961" s="279"/>
      <c r="AL961" s="279"/>
      <c r="AM961" s="147">
        <f t="shared" si="41"/>
        <v>0</v>
      </c>
    </row>
    <row r="962" spans="1:42" s="320" customFormat="1" x14ac:dyDescent="0.3">
      <c r="A962" s="353" t="s">
        <v>1450</v>
      </c>
      <c r="B962" s="320" t="s">
        <v>6881</v>
      </c>
      <c r="C962" s="320" t="s">
        <v>6883</v>
      </c>
      <c r="D962" s="320" t="s">
        <v>6884</v>
      </c>
      <c r="E962" s="320" t="s">
        <v>6885</v>
      </c>
      <c r="F962" s="320" t="s">
        <v>6886</v>
      </c>
      <c r="G962" s="320" t="s">
        <v>7008</v>
      </c>
      <c r="H962" s="320" t="s">
        <v>7009</v>
      </c>
      <c r="I962" s="320" t="s">
        <v>7017</v>
      </c>
      <c r="J962" s="320" t="s">
        <v>7018</v>
      </c>
      <c r="K962" s="320" t="s">
        <v>7019</v>
      </c>
      <c r="L962" s="320" t="s">
        <v>7020</v>
      </c>
      <c r="M962" s="277" t="s">
        <v>7024</v>
      </c>
      <c r="N962" s="277" t="s">
        <v>7022</v>
      </c>
      <c r="O962" s="277" t="s">
        <v>271</v>
      </c>
      <c r="P962" s="275" t="s">
        <v>271</v>
      </c>
      <c r="Q962" s="275">
        <v>50</v>
      </c>
      <c r="R962" s="275">
        <v>50</v>
      </c>
      <c r="S962" s="275">
        <v>70</v>
      </c>
      <c r="T962" s="320" t="s">
        <v>7023</v>
      </c>
      <c r="U962" s="283" t="e">
        <v>#N/A</v>
      </c>
      <c r="AC962" s="316">
        <v>0</v>
      </c>
      <c r="AD962" s="316">
        <v>0</v>
      </c>
      <c r="AE962" s="302">
        <f t="shared" si="42"/>
        <v>0</v>
      </c>
      <c r="AF962" s="278"/>
      <c r="AG962" s="17">
        <v>0</v>
      </c>
      <c r="AH962" s="278"/>
      <c r="AI962" s="278"/>
      <c r="AJ962" s="278"/>
      <c r="AK962" s="279"/>
      <c r="AL962" s="279"/>
      <c r="AM962" s="147">
        <f t="shared" si="41"/>
        <v>0</v>
      </c>
    </row>
    <row r="963" spans="1:42" s="320" customFormat="1" x14ac:dyDescent="0.3">
      <c r="A963" s="353" t="s">
        <v>1450</v>
      </c>
      <c r="B963" s="320" t="s">
        <v>6881</v>
      </c>
      <c r="C963" s="320" t="s">
        <v>6883</v>
      </c>
      <c r="D963" s="320" t="s">
        <v>6884</v>
      </c>
      <c r="E963" s="320" t="s">
        <v>6885</v>
      </c>
      <c r="F963" s="320" t="s">
        <v>6886</v>
      </c>
      <c r="G963" s="320" t="s">
        <v>7008</v>
      </c>
      <c r="H963" s="320" t="s">
        <v>7009</v>
      </c>
      <c r="I963" s="320" t="s">
        <v>7017</v>
      </c>
      <c r="J963" s="320" t="s">
        <v>7018</v>
      </c>
      <c r="K963" s="320" t="s">
        <v>7025</v>
      </c>
      <c r="L963" s="320" t="s">
        <v>7026</v>
      </c>
      <c r="M963" s="277" t="s">
        <v>7027</v>
      </c>
      <c r="N963" s="277">
        <v>106</v>
      </c>
      <c r="O963" s="277">
        <v>105</v>
      </c>
      <c r="P963" s="275">
        <v>104</v>
      </c>
      <c r="Q963" s="275">
        <v>103</v>
      </c>
      <c r="R963" s="275">
        <v>101</v>
      </c>
      <c r="S963" s="275">
        <v>100</v>
      </c>
      <c r="U963" s="283" t="e">
        <v>#N/A</v>
      </c>
      <c r="AC963" s="316">
        <v>0</v>
      </c>
      <c r="AD963" s="316">
        <v>0</v>
      </c>
      <c r="AE963" s="302">
        <f t="shared" si="42"/>
        <v>0</v>
      </c>
      <c r="AF963" s="278"/>
      <c r="AG963" s="17">
        <v>0</v>
      </c>
      <c r="AH963" s="278"/>
      <c r="AI963" s="278"/>
      <c r="AJ963" s="278"/>
      <c r="AK963" s="279"/>
      <c r="AL963" s="279"/>
      <c r="AM963" s="147">
        <f t="shared" si="41"/>
        <v>0</v>
      </c>
    </row>
    <row r="964" spans="1:42" s="320" customFormat="1" x14ac:dyDescent="0.3">
      <c r="A964" s="353" t="s">
        <v>1450</v>
      </c>
      <c r="B964" s="320" t="s">
        <v>6881</v>
      </c>
      <c r="C964" s="320" t="s">
        <v>7028</v>
      </c>
      <c r="D964" s="320" t="s">
        <v>7029</v>
      </c>
      <c r="E964" s="320" t="s">
        <v>7030</v>
      </c>
      <c r="F964" s="320" t="s">
        <v>7031</v>
      </c>
      <c r="G964" s="320" t="s">
        <v>7032</v>
      </c>
      <c r="H964" s="320" t="s">
        <v>7033</v>
      </c>
      <c r="I964" s="320" t="s">
        <v>7034</v>
      </c>
      <c r="J964" s="320" t="s">
        <v>7035</v>
      </c>
      <c r="K964" s="320" t="s">
        <v>7036</v>
      </c>
      <c r="L964" s="320" t="s">
        <v>7037</v>
      </c>
      <c r="M964" s="277" t="s">
        <v>7038</v>
      </c>
      <c r="N964" s="277">
        <v>0</v>
      </c>
      <c r="O964" s="277">
        <v>20</v>
      </c>
      <c r="P964" s="275">
        <v>40</v>
      </c>
      <c r="Q964" s="275">
        <v>40</v>
      </c>
      <c r="R964" s="275">
        <v>40</v>
      </c>
      <c r="S964" s="275">
        <v>50</v>
      </c>
      <c r="T964" s="320" t="s">
        <v>63</v>
      </c>
      <c r="U964" s="283" t="s">
        <v>2510</v>
      </c>
      <c r="AC964" s="316">
        <v>0</v>
      </c>
      <c r="AD964" s="316">
        <v>0</v>
      </c>
      <c r="AE964" s="302">
        <f t="shared" si="42"/>
        <v>0</v>
      </c>
      <c r="AF964" s="278"/>
      <c r="AG964" s="17">
        <v>0</v>
      </c>
      <c r="AH964" s="278"/>
      <c r="AI964" s="278"/>
      <c r="AJ964" s="278"/>
      <c r="AK964" s="279"/>
      <c r="AL964" s="279"/>
      <c r="AM964" s="147">
        <f t="shared" si="41"/>
        <v>0</v>
      </c>
    </row>
    <row r="965" spans="1:42" s="320" customFormat="1" x14ac:dyDescent="0.3">
      <c r="A965" s="353" t="s">
        <v>1450</v>
      </c>
      <c r="B965" s="320" t="s">
        <v>6881</v>
      </c>
      <c r="C965" s="320" t="s">
        <v>7028</v>
      </c>
      <c r="D965" s="320" t="s">
        <v>7029</v>
      </c>
      <c r="E965" s="320" t="s">
        <v>7030</v>
      </c>
      <c r="F965" s="320" t="s">
        <v>7031</v>
      </c>
      <c r="G965" s="320" t="s">
        <v>7032</v>
      </c>
      <c r="H965" s="320" t="s">
        <v>7033</v>
      </c>
      <c r="I965" s="320" t="s">
        <v>7039</v>
      </c>
      <c r="J965" s="320" t="s">
        <v>7040</v>
      </c>
      <c r="K965" s="320" t="s">
        <v>7041</v>
      </c>
      <c r="L965" s="320" t="s">
        <v>7042</v>
      </c>
      <c r="M965" s="277" t="s">
        <v>7043</v>
      </c>
      <c r="N965" s="277">
        <v>0</v>
      </c>
      <c r="O965" s="277">
        <v>20</v>
      </c>
      <c r="P965" s="275">
        <v>50</v>
      </c>
      <c r="Q965" s="275">
        <v>100</v>
      </c>
      <c r="R965" s="275">
        <v>100</v>
      </c>
      <c r="S965" s="275">
        <v>100</v>
      </c>
      <c r="T965" s="320" t="s">
        <v>2528</v>
      </c>
      <c r="U965" s="283" t="s">
        <v>2530</v>
      </c>
      <c r="AC965" s="316">
        <v>0</v>
      </c>
      <c r="AD965" s="316">
        <v>0</v>
      </c>
      <c r="AE965" s="302">
        <f t="shared" si="42"/>
        <v>0</v>
      </c>
      <c r="AF965" s="278"/>
      <c r="AG965" s="17">
        <v>0</v>
      </c>
      <c r="AH965" s="278"/>
      <c r="AI965" s="278"/>
      <c r="AJ965" s="278"/>
      <c r="AK965" s="279"/>
      <c r="AL965" s="279"/>
      <c r="AM965" s="147">
        <f t="shared" si="41"/>
        <v>0</v>
      </c>
    </row>
    <row r="966" spans="1:42" s="320" customFormat="1" x14ac:dyDescent="0.3">
      <c r="A966" s="353" t="s">
        <v>1450</v>
      </c>
      <c r="B966" s="320" t="s">
        <v>6881</v>
      </c>
      <c r="C966" s="320" t="s">
        <v>7028</v>
      </c>
      <c r="D966" s="320" t="s">
        <v>7029</v>
      </c>
      <c r="E966" s="320" t="s">
        <v>7030</v>
      </c>
      <c r="F966" s="320" t="s">
        <v>7031</v>
      </c>
      <c r="G966" s="320" t="s">
        <v>7032</v>
      </c>
      <c r="H966" s="320" t="s">
        <v>7033</v>
      </c>
      <c r="I966" s="320" t="s">
        <v>7044</v>
      </c>
      <c r="J966" s="320" t="s">
        <v>7045</v>
      </c>
      <c r="K966" s="320" t="s">
        <v>7046</v>
      </c>
      <c r="L966" s="320" t="s">
        <v>7047</v>
      </c>
      <c r="M966" s="277" t="s">
        <v>7048</v>
      </c>
      <c r="N966" s="277">
        <v>0</v>
      </c>
      <c r="O966" s="277">
        <v>20</v>
      </c>
      <c r="P966" s="275">
        <v>40</v>
      </c>
      <c r="Q966" s="275">
        <v>60</v>
      </c>
      <c r="R966" s="275">
        <v>80</v>
      </c>
      <c r="S966" s="275">
        <v>100</v>
      </c>
      <c r="T966" s="320" t="s">
        <v>63</v>
      </c>
      <c r="U966" s="283" t="s">
        <v>2510</v>
      </c>
      <c r="V966" s="320" t="s">
        <v>7049</v>
      </c>
      <c r="W966" s="320">
        <v>1</v>
      </c>
      <c r="X966" s="320">
        <v>1</v>
      </c>
      <c r="Y966" s="320">
        <v>0</v>
      </c>
      <c r="Z966" s="320">
        <v>0</v>
      </c>
      <c r="AA966" s="320">
        <v>0</v>
      </c>
      <c r="AB966" s="320">
        <v>1</v>
      </c>
      <c r="AC966" s="316">
        <v>0</v>
      </c>
      <c r="AD966" s="316">
        <v>1</v>
      </c>
      <c r="AE966" s="302">
        <f t="shared" si="42"/>
        <v>0.5</v>
      </c>
      <c r="AF966" s="354"/>
      <c r="AG966" s="17">
        <v>0</v>
      </c>
      <c r="AH966" s="354">
        <v>0</v>
      </c>
      <c r="AI966" s="354">
        <v>2</v>
      </c>
      <c r="AJ966" s="354">
        <v>12</v>
      </c>
      <c r="AK966" s="319"/>
      <c r="AL966" s="319"/>
      <c r="AM966" s="147">
        <f t="shared" si="41"/>
        <v>0</v>
      </c>
      <c r="AN966" s="320" t="s">
        <v>2520</v>
      </c>
      <c r="AO966" s="320" t="s">
        <v>2510</v>
      </c>
      <c r="AP966" s="320" t="s">
        <v>7050</v>
      </c>
    </row>
    <row r="967" spans="1:42" s="320" customFormat="1" x14ac:dyDescent="0.3">
      <c r="A967" s="353" t="s">
        <v>1450</v>
      </c>
      <c r="B967" s="320" t="s">
        <v>6881</v>
      </c>
      <c r="C967" s="320" t="s">
        <v>7028</v>
      </c>
      <c r="D967" s="320" t="s">
        <v>7029</v>
      </c>
      <c r="E967" s="320" t="s">
        <v>7030</v>
      </c>
      <c r="F967" s="320" t="s">
        <v>7031</v>
      </c>
      <c r="G967" s="320" t="s">
        <v>7032</v>
      </c>
      <c r="H967" s="320" t="s">
        <v>7033</v>
      </c>
      <c r="I967" s="320" t="s">
        <v>7044</v>
      </c>
      <c r="J967" s="320" t="s">
        <v>7045</v>
      </c>
      <c r="K967" s="320" t="s">
        <v>7046</v>
      </c>
      <c r="L967" s="320" t="s">
        <v>7047</v>
      </c>
      <c r="M967" s="277" t="s">
        <v>7051</v>
      </c>
      <c r="N967" s="277"/>
      <c r="O967" s="277"/>
      <c r="P967" s="275"/>
      <c r="Q967" s="275">
        <v>2</v>
      </c>
      <c r="R967" s="275">
        <v>2</v>
      </c>
      <c r="S967" s="275">
        <v>4</v>
      </c>
      <c r="U967" s="283" t="e">
        <v>#N/A</v>
      </c>
      <c r="V967" s="320" t="s">
        <v>7052</v>
      </c>
      <c r="W967" s="320">
        <v>1</v>
      </c>
      <c r="X967" s="320">
        <v>1</v>
      </c>
      <c r="Y967" s="320">
        <v>1</v>
      </c>
      <c r="Z967" s="320">
        <v>1</v>
      </c>
      <c r="AA967" s="320">
        <v>0</v>
      </c>
      <c r="AB967" s="320">
        <v>1</v>
      </c>
      <c r="AC967" s="316">
        <v>1</v>
      </c>
      <c r="AD967" s="316">
        <v>1</v>
      </c>
      <c r="AE967" s="302">
        <f t="shared" si="42"/>
        <v>0.875</v>
      </c>
      <c r="AF967" s="354"/>
      <c r="AG967" s="17">
        <v>0</v>
      </c>
      <c r="AH967" s="354" t="s">
        <v>271</v>
      </c>
      <c r="AI967" s="354" t="s">
        <v>271</v>
      </c>
      <c r="AJ967" s="354">
        <v>0.2</v>
      </c>
      <c r="AK967" s="319">
        <v>0.2</v>
      </c>
      <c r="AL967" s="319">
        <v>0.04</v>
      </c>
      <c r="AM967" s="147">
        <f t="shared" si="41"/>
        <v>0.24000000000000002</v>
      </c>
      <c r="AN967" s="320" t="s">
        <v>1216</v>
      </c>
      <c r="AO967" s="14" t="s">
        <v>1218</v>
      </c>
      <c r="AP967" s="320" t="s">
        <v>7053</v>
      </c>
    </row>
    <row r="968" spans="1:42" s="320" customFormat="1" x14ac:dyDescent="0.3">
      <c r="A968" s="353" t="s">
        <v>1450</v>
      </c>
      <c r="B968" s="320" t="s">
        <v>6881</v>
      </c>
      <c r="C968" s="320" t="s">
        <v>7028</v>
      </c>
      <c r="D968" s="320" t="s">
        <v>7029</v>
      </c>
      <c r="E968" s="320" t="s">
        <v>7030</v>
      </c>
      <c r="F968" s="320" t="s">
        <v>7031</v>
      </c>
      <c r="G968" s="320" t="s">
        <v>7032</v>
      </c>
      <c r="H968" s="320" t="s">
        <v>7033</v>
      </c>
      <c r="I968" s="320" t="s">
        <v>7054</v>
      </c>
      <c r="J968" s="320" t="s">
        <v>7055</v>
      </c>
      <c r="K968" s="320" t="s">
        <v>7056</v>
      </c>
      <c r="L968" s="320" t="s">
        <v>7057</v>
      </c>
      <c r="M968" s="277" t="s">
        <v>7058</v>
      </c>
      <c r="N968" s="277">
        <v>765</v>
      </c>
      <c r="O968" s="277">
        <v>810</v>
      </c>
      <c r="P968" s="275">
        <v>840</v>
      </c>
      <c r="Q968" s="275">
        <v>870</v>
      </c>
      <c r="R968" s="275">
        <f>Q968+200</f>
        <v>1070</v>
      </c>
      <c r="S968" s="275">
        <v>1375</v>
      </c>
      <c r="T968" s="320" t="s">
        <v>2528</v>
      </c>
      <c r="U968" s="283" t="s">
        <v>2530</v>
      </c>
      <c r="V968" s="320" t="s">
        <v>7059</v>
      </c>
      <c r="W968" s="320">
        <v>1</v>
      </c>
      <c r="X968" s="320">
        <v>1</v>
      </c>
      <c r="Y968" s="320">
        <v>1</v>
      </c>
      <c r="Z968" s="320">
        <v>0</v>
      </c>
      <c r="AA968" s="320">
        <v>1</v>
      </c>
      <c r="AB968" s="320">
        <v>1</v>
      </c>
      <c r="AC968" s="316">
        <v>0</v>
      </c>
      <c r="AD968" s="316">
        <v>1</v>
      </c>
      <c r="AE968" s="302">
        <f t="shared" si="42"/>
        <v>0.75</v>
      </c>
      <c r="AF968" s="354"/>
      <c r="AG968" s="17">
        <v>0</v>
      </c>
      <c r="AH968" s="354">
        <v>0</v>
      </c>
      <c r="AI968" s="354">
        <v>37</v>
      </c>
      <c r="AJ968" s="354">
        <v>37</v>
      </c>
      <c r="AK968" s="319">
        <v>0</v>
      </c>
      <c r="AL968" s="319">
        <v>0</v>
      </c>
      <c r="AM968" s="147">
        <f t="shared" si="41"/>
        <v>0</v>
      </c>
      <c r="AN968" s="320" t="s">
        <v>2528</v>
      </c>
      <c r="AO968" s="14" t="s">
        <v>2530</v>
      </c>
      <c r="AP968" s="320" t="s">
        <v>7060</v>
      </c>
    </row>
    <row r="969" spans="1:42" s="320" customFormat="1" x14ac:dyDescent="0.3">
      <c r="A969" s="353" t="s">
        <v>1450</v>
      </c>
      <c r="B969" s="320" t="s">
        <v>6881</v>
      </c>
      <c r="C969" s="320" t="s">
        <v>7028</v>
      </c>
      <c r="D969" s="320" t="s">
        <v>7029</v>
      </c>
      <c r="E969" s="320" t="s">
        <v>7030</v>
      </c>
      <c r="F969" s="320" t="s">
        <v>7031</v>
      </c>
      <c r="G969" s="320" t="s">
        <v>7032</v>
      </c>
      <c r="H969" s="320" t="s">
        <v>7033</v>
      </c>
      <c r="I969" s="320" t="s">
        <v>7061</v>
      </c>
      <c r="J969" s="320" t="s">
        <v>7062</v>
      </c>
      <c r="K969" s="320" t="s">
        <v>7063</v>
      </c>
      <c r="L969" s="320" t="s">
        <v>7064</v>
      </c>
      <c r="M969" s="277" t="s">
        <v>7065</v>
      </c>
      <c r="N969" s="277">
        <v>5</v>
      </c>
      <c r="O969" s="277">
        <v>0</v>
      </c>
      <c r="P969" s="275">
        <v>0</v>
      </c>
      <c r="Q969" s="275">
        <v>5</v>
      </c>
      <c r="R969" s="275">
        <v>7</v>
      </c>
      <c r="S969" s="275">
        <v>10</v>
      </c>
      <c r="T969" s="320" t="s">
        <v>6903</v>
      </c>
      <c r="U969" s="283" t="e">
        <v>#N/A</v>
      </c>
      <c r="AC969" s="316">
        <v>0</v>
      </c>
      <c r="AD969" s="316">
        <v>0</v>
      </c>
      <c r="AE969" s="302">
        <f t="shared" si="42"/>
        <v>0</v>
      </c>
      <c r="AF969" s="278"/>
      <c r="AG969" s="17">
        <v>0</v>
      </c>
      <c r="AH969" s="278"/>
      <c r="AI969" s="278"/>
      <c r="AJ969" s="278"/>
      <c r="AK969" s="279"/>
      <c r="AL969" s="279"/>
      <c r="AM969" s="147">
        <f t="shared" si="41"/>
        <v>0</v>
      </c>
    </row>
    <row r="970" spans="1:42" s="320" customFormat="1" x14ac:dyDescent="0.3">
      <c r="A970" s="353" t="s">
        <v>1450</v>
      </c>
      <c r="B970" s="320" t="s">
        <v>6881</v>
      </c>
      <c r="C970" s="320" t="s">
        <v>7028</v>
      </c>
      <c r="D970" s="320" t="s">
        <v>7029</v>
      </c>
      <c r="E970" s="320" t="s">
        <v>7030</v>
      </c>
      <c r="F970" s="320" t="s">
        <v>7031</v>
      </c>
      <c r="G970" s="320" t="s">
        <v>7032</v>
      </c>
      <c r="H970" s="320" t="s">
        <v>7033</v>
      </c>
      <c r="I970" s="320" t="s">
        <v>7066</v>
      </c>
      <c r="J970" s="320" t="s">
        <v>7067</v>
      </c>
      <c r="K970" s="320" t="s">
        <v>7068</v>
      </c>
      <c r="L970" s="320" t="s">
        <v>7069</v>
      </c>
      <c r="M970" s="277" t="s">
        <v>7070</v>
      </c>
      <c r="N970" s="277">
        <v>2000</v>
      </c>
      <c r="O970" s="277">
        <v>2100</v>
      </c>
      <c r="P970" s="275">
        <v>2100</v>
      </c>
      <c r="Q970" s="275">
        <v>2200</v>
      </c>
      <c r="R970" s="275">
        <v>2200</v>
      </c>
      <c r="S970" s="275">
        <v>2300</v>
      </c>
      <c r="T970" s="320" t="s">
        <v>7071</v>
      </c>
      <c r="U970" s="283" t="e">
        <v>#N/A</v>
      </c>
      <c r="V970" s="320" t="s">
        <v>7072</v>
      </c>
      <c r="W970" s="320">
        <v>1</v>
      </c>
      <c r="X970" s="320">
        <v>1</v>
      </c>
      <c r="Y970" s="320">
        <v>1</v>
      </c>
      <c r="Z970" s="320">
        <v>1</v>
      </c>
      <c r="AA970" s="320">
        <v>1</v>
      </c>
      <c r="AB970" s="320">
        <v>1</v>
      </c>
      <c r="AC970" s="316">
        <v>0</v>
      </c>
      <c r="AD970" s="316">
        <v>1</v>
      </c>
      <c r="AE970" s="302">
        <f t="shared" si="42"/>
        <v>0.875</v>
      </c>
      <c r="AF970" s="354"/>
      <c r="AG970" s="17">
        <v>0</v>
      </c>
      <c r="AH970" s="354">
        <v>2</v>
      </c>
      <c r="AI970" s="354">
        <v>2.1</v>
      </c>
      <c r="AJ970" s="354">
        <v>2.2000000000000002</v>
      </c>
      <c r="AK970" s="319">
        <v>2.2000000000000002</v>
      </c>
      <c r="AL970" s="319">
        <v>2.2999999999999998</v>
      </c>
      <c r="AM970" s="147">
        <f t="shared" si="41"/>
        <v>4.5</v>
      </c>
      <c r="AN970" s="320" t="s">
        <v>7073</v>
      </c>
      <c r="AO970" s="320" t="s">
        <v>6901</v>
      </c>
      <c r="AP970" s="320" t="s">
        <v>7074</v>
      </c>
    </row>
    <row r="971" spans="1:42" s="320" customFormat="1" x14ac:dyDescent="0.3">
      <c r="A971" s="353" t="s">
        <v>1450</v>
      </c>
      <c r="B971" s="320" t="s">
        <v>6881</v>
      </c>
      <c r="C971" s="320" t="s">
        <v>7028</v>
      </c>
      <c r="D971" s="320" t="s">
        <v>7029</v>
      </c>
      <c r="E971" s="320" t="s">
        <v>7030</v>
      </c>
      <c r="F971" s="320" t="s">
        <v>7031</v>
      </c>
      <c r="G971" s="320" t="s">
        <v>7032</v>
      </c>
      <c r="H971" s="320" t="s">
        <v>7033</v>
      </c>
      <c r="I971" s="320" t="s">
        <v>7075</v>
      </c>
      <c r="J971" s="320" t="s">
        <v>7076</v>
      </c>
      <c r="K971" s="320" t="s">
        <v>7077</v>
      </c>
      <c r="L971" s="320" t="s">
        <v>7078</v>
      </c>
      <c r="M971" s="277" t="s">
        <v>7079</v>
      </c>
      <c r="N971" s="277"/>
      <c r="O971" s="277">
        <v>2</v>
      </c>
      <c r="P971" s="275">
        <v>3</v>
      </c>
      <c r="Q971" s="275">
        <v>3</v>
      </c>
      <c r="R971" s="275">
        <v>4</v>
      </c>
      <c r="S971" s="275">
        <v>4</v>
      </c>
      <c r="T971" s="320" t="s">
        <v>63</v>
      </c>
      <c r="U971" s="283" t="s">
        <v>2510</v>
      </c>
      <c r="V971" s="320" t="s">
        <v>7080</v>
      </c>
      <c r="W971" s="320">
        <v>1</v>
      </c>
      <c r="X971" s="320">
        <v>1</v>
      </c>
      <c r="Y971" s="320">
        <v>1</v>
      </c>
      <c r="Z971" s="320">
        <v>0</v>
      </c>
      <c r="AA971" s="320">
        <v>0</v>
      </c>
      <c r="AB971" s="320">
        <v>0</v>
      </c>
      <c r="AC971" s="316">
        <v>0</v>
      </c>
      <c r="AD971" s="316">
        <v>1</v>
      </c>
      <c r="AE971" s="302">
        <f t="shared" si="42"/>
        <v>0.5</v>
      </c>
      <c r="AF971" s="354"/>
      <c r="AG971" s="17">
        <v>0</v>
      </c>
      <c r="AH971" s="354">
        <v>0</v>
      </c>
      <c r="AI971" s="354">
        <v>4</v>
      </c>
      <c r="AJ971" s="354">
        <v>6</v>
      </c>
      <c r="AK971" s="319"/>
      <c r="AL971" s="319"/>
      <c r="AM971" s="147">
        <f t="shared" si="41"/>
        <v>0</v>
      </c>
      <c r="AN971" s="320" t="s">
        <v>63</v>
      </c>
      <c r="AO971" s="320" t="s">
        <v>2510</v>
      </c>
      <c r="AP971" s="320" t="s">
        <v>7081</v>
      </c>
    </row>
    <row r="972" spans="1:42" s="320" customFormat="1" x14ac:dyDescent="0.3">
      <c r="A972" s="353" t="s">
        <v>1450</v>
      </c>
      <c r="B972" s="320" t="s">
        <v>6881</v>
      </c>
      <c r="C972" s="320" t="s">
        <v>7028</v>
      </c>
      <c r="D972" s="320" t="s">
        <v>7029</v>
      </c>
      <c r="E972" s="320" t="s">
        <v>7030</v>
      </c>
      <c r="F972" s="320" t="s">
        <v>7031</v>
      </c>
      <c r="G972" s="320" t="s">
        <v>7032</v>
      </c>
      <c r="H972" s="320" t="s">
        <v>7033</v>
      </c>
      <c r="I972" s="320" t="s">
        <v>7075</v>
      </c>
      <c r="J972" s="320" t="s">
        <v>7076</v>
      </c>
      <c r="K972" s="320" t="s">
        <v>7077</v>
      </c>
      <c r="L972" s="320" t="s">
        <v>7078</v>
      </c>
      <c r="M972" s="277" t="s">
        <v>7082</v>
      </c>
      <c r="N972" s="168">
        <v>2</v>
      </c>
      <c r="O972" s="168">
        <v>3</v>
      </c>
      <c r="P972" s="189">
        <v>4</v>
      </c>
      <c r="Q972" s="189">
        <v>5</v>
      </c>
      <c r="R972" s="189">
        <v>6</v>
      </c>
      <c r="S972" s="189">
        <v>7</v>
      </c>
      <c r="T972" s="320" t="s">
        <v>6903</v>
      </c>
      <c r="U972" s="283" t="e">
        <v>#N/A</v>
      </c>
      <c r="AC972" s="316">
        <v>0</v>
      </c>
      <c r="AD972" s="316">
        <v>0</v>
      </c>
      <c r="AE972" s="302">
        <f t="shared" si="42"/>
        <v>0</v>
      </c>
      <c r="AF972" s="278"/>
      <c r="AG972" s="17">
        <v>0</v>
      </c>
      <c r="AH972" s="278"/>
      <c r="AI972" s="278"/>
      <c r="AJ972" s="278"/>
      <c r="AK972" s="279"/>
      <c r="AL972" s="279"/>
      <c r="AM972" s="147">
        <f t="shared" si="41"/>
        <v>0</v>
      </c>
    </row>
    <row r="973" spans="1:42" s="320" customFormat="1" x14ac:dyDescent="0.3">
      <c r="A973" s="353" t="s">
        <v>1450</v>
      </c>
      <c r="B973" s="320" t="s">
        <v>6881</v>
      </c>
      <c r="C973" s="320" t="s">
        <v>7028</v>
      </c>
      <c r="D973" s="320" t="s">
        <v>7029</v>
      </c>
      <c r="E973" s="320" t="s">
        <v>7030</v>
      </c>
      <c r="F973" s="320" t="s">
        <v>7031</v>
      </c>
      <c r="G973" s="320" t="s">
        <v>7032</v>
      </c>
      <c r="H973" s="320" t="s">
        <v>7033</v>
      </c>
      <c r="I973" s="320" t="s">
        <v>7083</v>
      </c>
      <c r="J973" s="320" t="s">
        <v>7084</v>
      </c>
      <c r="K973" s="320" t="s">
        <v>7085</v>
      </c>
      <c r="L973" s="320" t="s">
        <v>7086</v>
      </c>
      <c r="M973" s="277" t="s">
        <v>7087</v>
      </c>
      <c r="N973" s="277" t="s">
        <v>271</v>
      </c>
      <c r="O973" s="277" t="s">
        <v>271</v>
      </c>
      <c r="P973" s="275" t="s">
        <v>271</v>
      </c>
      <c r="Q973" s="275" t="s">
        <v>271</v>
      </c>
      <c r="R973" s="275" t="s">
        <v>271</v>
      </c>
      <c r="S973" s="275">
        <v>114</v>
      </c>
      <c r="T973" s="320" t="s">
        <v>2528</v>
      </c>
      <c r="U973" s="283" t="s">
        <v>2530</v>
      </c>
      <c r="V973" s="320" t="s">
        <v>7088</v>
      </c>
      <c r="W973" s="320">
        <v>1</v>
      </c>
      <c r="X973" s="320">
        <v>1</v>
      </c>
      <c r="Y973" s="320">
        <v>1</v>
      </c>
      <c r="Z973" s="320">
        <v>0</v>
      </c>
      <c r="AA973" s="320">
        <v>1</v>
      </c>
      <c r="AB973" s="320">
        <v>1</v>
      </c>
      <c r="AC973" s="316">
        <v>0</v>
      </c>
      <c r="AD973" s="316">
        <v>1</v>
      </c>
      <c r="AE973" s="302">
        <f t="shared" si="42"/>
        <v>0.75</v>
      </c>
      <c r="AF973" s="354"/>
      <c r="AG973" s="17">
        <v>0</v>
      </c>
      <c r="AH973" s="354">
        <v>0</v>
      </c>
      <c r="AI973" s="354">
        <v>0</v>
      </c>
      <c r="AJ973" s="354">
        <v>25.9</v>
      </c>
      <c r="AK973" s="319">
        <v>5</v>
      </c>
      <c r="AL973" s="319">
        <v>50</v>
      </c>
      <c r="AM973" s="147">
        <f t="shared" si="41"/>
        <v>55</v>
      </c>
      <c r="AN973" s="320" t="s">
        <v>2528</v>
      </c>
      <c r="AO973" s="320" t="s">
        <v>2530</v>
      </c>
      <c r="AP973" s="320" t="s">
        <v>75</v>
      </c>
    </row>
    <row r="974" spans="1:42" s="320" customFormat="1" x14ac:dyDescent="0.3">
      <c r="A974" s="353" t="s">
        <v>1450</v>
      </c>
      <c r="B974" s="320" t="s">
        <v>6881</v>
      </c>
      <c r="C974" s="320" t="s">
        <v>7028</v>
      </c>
      <c r="D974" s="320" t="s">
        <v>7029</v>
      </c>
      <c r="E974" s="320" t="s">
        <v>7030</v>
      </c>
      <c r="F974" s="320" t="s">
        <v>7031</v>
      </c>
      <c r="G974" s="320" t="s">
        <v>7032</v>
      </c>
      <c r="H974" s="320" t="s">
        <v>7033</v>
      </c>
      <c r="I974" s="320" t="s">
        <v>7083</v>
      </c>
      <c r="J974" s="320" t="s">
        <v>7084</v>
      </c>
      <c r="K974" s="320" t="s">
        <v>7085</v>
      </c>
      <c r="L974" s="320" t="s">
        <v>7086</v>
      </c>
      <c r="M974" s="277"/>
      <c r="N974" s="277" t="s">
        <v>271</v>
      </c>
      <c r="O974" s="277" t="s">
        <v>271</v>
      </c>
      <c r="P974" s="275" t="s">
        <v>271</v>
      </c>
      <c r="Q974" s="275" t="s">
        <v>271</v>
      </c>
      <c r="R974" s="275" t="s">
        <v>271</v>
      </c>
      <c r="S974" s="275">
        <v>10</v>
      </c>
      <c r="T974" s="320" t="s">
        <v>2528</v>
      </c>
      <c r="U974" s="283" t="s">
        <v>2530</v>
      </c>
      <c r="V974" s="320" t="s">
        <v>7089</v>
      </c>
      <c r="W974" s="320">
        <v>1</v>
      </c>
      <c r="X974" s="320">
        <v>1</v>
      </c>
      <c r="Y974" s="320">
        <v>1</v>
      </c>
      <c r="Z974" s="320">
        <v>0</v>
      </c>
      <c r="AA974" s="320">
        <v>1</v>
      </c>
      <c r="AB974" s="320">
        <v>1</v>
      </c>
      <c r="AC974" s="316">
        <v>0</v>
      </c>
      <c r="AD974" s="316">
        <v>1</v>
      </c>
      <c r="AE974" s="302">
        <f t="shared" si="42"/>
        <v>0.75</v>
      </c>
      <c r="AF974" s="354"/>
      <c r="AG974" s="17">
        <v>0</v>
      </c>
      <c r="AH974" s="354">
        <v>0</v>
      </c>
      <c r="AI974" s="354">
        <v>0</v>
      </c>
      <c r="AJ974" s="354">
        <v>29.6</v>
      </c>
      <c r="AK974" s="319"/>
      <c r="AL974" s="319"/>
      <c r="AM974" s="147">
        <f t="shared" si="41"/>
        <v>0</v>
      </c>
      <c r="AN974" s="320" t="s">
        <v>2528</v>
      </c>
      <c r="AO974" s="320" t="s">
        <v>2530</v>
      </c>
      <c r="AP974" s="320" t="s">
        <v>7090</v>
      </c>
    </row>
    <row r="975" spans="1:42" s="320" customFormat="1" x14ac:dyDescent="0.3">
      <c r="A975" s="353" t="s">
        <v>1450</v>
      </c>
      <c r="B975" s="320" t="s">
        <v>6881</v>
      </c>
      <c r="C975" s="320" t="s">
        <v>7028</v>
      </c>
      <c r="D975" s="320" t="s">
        <v>7029</v>
      </c>
      <c r="E975" s="320" t="s">
        <v>7030</v>
      </c>
      <c r="F975" s="320" t="s">
        <v>7031</v>
      </c>
      <c r="G975" s="320" t="s">
        <v>7032</v>
      </c>
      <c r="H975" s="320" t="s">
        <v>7033</v>
      </c>
      <c r="I975" s="320" t="s">
        <v>7083</v>
      </c>
      <c r="J975" s="320" t="s">
        <v>7084</v>
      </c>
      <c r="K975" s="320" t="s">
        <v>7085</v>
      </c>
      <c r="L975" s="320" t="s">
        <v>7086</v>
      </c>
      <c r="M975" s="277"/>
      <c r="N975" s="277" t="s">
        <v>271</v>
      </c>
      <c r="O975" s="277" t="s">
        <v>271</v>
      </c>
      <c r="P975" s="275" t="s">
        <v>271</v>
      </c>
      <c r="Q975" s="275" t="s">
        <v>271</v>
      </c>
      <c r="R975" s="275" t="s">
        <v>271</v>
      </c>
      <c r="S975" s="275">
        <v>37</v>
      </c>
      <c r="T975" s="320" t="s">
        <v>2528</v>
      </c>
      <c r="U975" s="283" t="s">
        <v>2530</v>
      </c>
      <c r="AC975" s="316">
        <v>0</v>
      </c>
      <c r="AD975" s="316">
        <v>0</v>
      </c>
      <c r="AE975" s="302">
        <f t="shared" si="42"/>
        <v>0</v>
      </c>
      <c r="AF975" s="278"/>
      <c r="AG975" s="17">
        <v>0</v>
      </c>
      <c r="AH975" s="278"/>
      <c r="AI975" s="278"/>
      <c r="AJ975" s="278"/>
      <c r="AK975" s="279"/>
      <c r="AL975" s="279"/>
      <c r="AM975" s="147">
        <f t="shared" si="41"/>
        <v>0</v>
      </c>
    </row>
    <row r="976" spans="1:42" s="320" customFormat="1" x14ac:dyDescent="0.3">
      <c r="A976" s="353" t="s">
        <v>1450</v>
      </c>
      <c r="B976" s="320" t="s">
        <v>6881</v>
      </c>
      <c r="C976" s="320" t="s">
        <v>7028</v>
      </c>
      <c r="D976" s="320" t="s">
        <v>7029</v>
      </c>
      <c r="E976" s="320" t="s">
        <v>7030</v>
      </c>
      <c r="F976" s="320" t="s">
        <v>7031</v>
      </c>
      <c r="G976" s="320" t="s">
        <v>7032</v>
      </c>
      <c r="H976" s="320" t="s">
        <v>7033</v>
      </c>
      <c r="I976" s="320" t="s">
        <v>7083</v>
      </c>
      <c r="J976" s="320" t="s">
        <v>7084</v>
      </c>
      <c r="K976" s="320" t="s">
        <v>7085</v>
      </c>
      <c r="L976" s="320" t="s">
        <v>7086</v>
      </c>
      <c r="M976" s="277"/>
      <c r="N976" s="277" t="s">
        <v>271</v>
      </c>
      <c r="O976" s="277" t="s">
        <v>271</v>
      </c>
      <c r="P976" s="275" t="s">
        <v>271</v>
      </c>
      <c r="Q976" s="275" t="s">
        <v>271</v>
      </c>
      <c r="R976" s="275" t="s">
        <v>271</v>
      </c>
      <c r="S976" s="275">
        <v>40</v>
      </c>
      <c r="T976" s="320" t="s">
        <v>2528</v>
      </c>
      <c r="U976" s="283" t="s">
        <v>2530</v>
      </c>
      <c r="AC976" s="316">
        <v>0</v>
      </c>
      <c r="AD976" s="316">
        <v>0</v>
      </c>
      <c r="AE976" s="302">
        <f t="shared" si="42"/>
        <v>0</v>
      </c>
      <c r="AF976" s="278"/>
      <c r="AG976" s="17">
        <v>0</v>
      </c>
      <c r="AH976" s="278"/>
      <c r="AI976" s="278"/>
      <c r="AJ976" s="278"/>
      <c r="AK976" s="279"/>
      <c r="AL976" s="279"/>
      <c r="AM976" s="147">
        <f t="shared" si="41"/>
        <v>0</v>
      </c>
    </row>
    <row r="977" spans="1:42" s="320" customFormat="1" x14ac:dyDescent="0.3">
      <c r="A977" s="353" t="s">
        <v>1450</v>
      </c>
      <c r="B977" s="320" t="s">
        <v>6881</v>
      </c>
      <c r="C977" s="320" t="s">
        <v>7028</v>
      </c>
      <c r="D977" s="320" t="s">
        <v>7029</v>
      </c>
      <c r="E977" s="320" t="s">
        <v>7030</v>
      </c>
      <c r="F977" s="320" t="s">
        <v>7031</v>
      </c>
      <c r="G977" s="320" t="s">
        <v>7032</v>
      </c>
      <c r="H977" s="320" t="s">
        <v>7033</v>
      </c>
      <c r="I977" s="320" t="s">
        <v>7083</v>
      </c>
      <c r="J977" s="320" t="s">
        <v>7084</v>
      </c>
      <c r="K977" s="320" t="s">
        <v>7085</v>
      </c>
      <c r="L977" s="320" t="s">
        <v>7086</v>
      </c>
      <c r="M977" s="277"/>
      <c r="N977" s="277" t="s">
        <v>271</v>
      </c>
      <c r="O977" s="277" t="s">
        <v>271</v>
      </c>
      <c r="P977" s="275" t="s">
        <v>271</v>
      </c>
      <c r="Q977" s="275" t="s">
        <v>271</v>
      </c>
      <c r="R977" s="275" t="s">
        <v>271</v>
      </c>
      <c r="S977" s="275">
        <v>12</v>
      </c>
      <c r="T977" s="320" t="s">
        <v>2528</v>
      </c>
      <c r="U977" s="283" t="s">
        <v>2530</v>
      </c>
      <c r="AC977" s="316">
        <v>0</v>
      </c>
      <c r="AD977" s="316">
        <v>0</v>
      </c>
      <c r="AE977" s="302">
        <f t="shared" si="42"/>
        <v>0</v>
      </c>
      <c r="AF977" s="278"/>
      <c r="AG977" s="17">
        <v>0</v>
      </c>
      <c r="AH977" s="278"/>
      <c r="AI977" s="278"/>
      <c r="AJ977" s="278"/>
      <c r="AK977" s="279"/>
      <c r="AL977" s="279"/>
      <c r="AM977" s="147">
        <f t="shared" si="41"/>
        <v>0</v>
      </c>
    </row>
    <row r="978" spans="1:42" s="320" customFormat="1" x14ac:dyDescent="0.3">
      <c r="A978" s="353" t="s">
        <v>1450</v>
      </c>
      <c r="B978" s="320" t="s">
        <v>6881</v>
      </c>
      <c r="C978" s="320" t="s">
        <v>7028</v>
      </c>
      <c r="D978" s="320" t="s">
        <v>7029</v>
      </c>
      <c r="E978" s="320" t="s">
        <v>7030</v>
      </c>
      <c r="F978" s="320" t="s">
        <v>7031</v>
      </c>
      <c r="G978" s="320" t="s">
        <v>7091</v>
      </c>
      <c r="H978" s="320" t="s">
        <v>7092</v>
      </c>
      <c r="I978" s="320" t="s">
        <v>7093</v>
      </c>
      <c r="J978" s="320" t="s">
        <v>7094</v>
      </c>
      <c r="K978" s="320" t="s">
        <v>7095</v>
      </c>
      <c r="L978" s="320" t="s">
        <v>7096</v>
      </c>
      <c r="M978" s="277" t="s">
        <v>7097</v>
      </c>
      <c r="N978" s="277">
        <v>1097</v>
      </c>
      <c r="O978" s="277">
        <v>1117</v>
      </c>
      <c r="P978" s="275">
        <v>1137</v>
      </c>
      <c r="Q978" s="275">
        <v>1157</v>
      </c>
      <c r="R978" s="275">
        <v>1177</v>
      </c>
      <c r="S978" s="275">
        <v>1197</v>
      </c>
      <c r="T978" s="320" t="s">
        <v>6903</v>
      </c>
      <c r="U978" s="283" t="e">
        <v>#N/A</v>
      </c>
      <c r="V978" s="320" t="s">
        <v>7098</v>
      </c>
      <c r="W978" s="320">
        <v>1</v>
      </c>
      <c r="X978" s="320">
        <v>1</v>
      </c>
      <c r="Y978" s="320">
        <v>0</v>
      </c>
      <c r="Z978" s="320">
        <v>1</v>
      </c>
      <c r="AA978" s="320">
        <v>1</v>
      </c>
      <c r="AB978" s="320">
        <v>1</v>
      </c>
      <c r="AC978" s="316">
        <v>0</v>
      </c>
      <c r="AD978" s="316">
        <v>1</v>
      </c>
      <c r="AE978" s="302">
        <f t="shared" si="42"/>
        <v>0.75</v>
      </c>
      <c r="AF978" s="354"/>
      <c r="AG978" s="17">
        <v>0</v>
      </c>
      <c r="AH978" s="354">
        <v>5</v>
      </c>
      <c r="AI978" s="354">
        <v>3</v>
      </c>
      <c r="AJ978" s="23">
        <v>0</v>
      </c>
      <c r="AK978" s="319">
        <v>3</v>
      </c>
      <c r="AL978" s="153">
        <v>0</v>
      </c>
      <c r="AM978" s="147">
        <f t="shared" si="41"/>
        <v>3</v>
      </c>
      <c r="AN978" s="320" t="s">
        <v>6900</v>
      </c>
      <c r="AO978" s="14" t="s">
        <v>6901</v>
      </c>
      <c r="AP978" s="320" t="s">
        <v>7099</v>
      </c>
    </row>
    <row r="979" spans="1:42" s="320" customFormat="1" x14ac:dyDescent="0.3">
      <c r="A979" s="353" t="s">
        <v>1450</v>
      </c>
      <c r="B979" s="320" t="s">
        <v>6881</v>
      </c>
      <c r="C979" s="320" t="s">
        <v>7028</v>
      </c>
      <c r="D979" s="320" t="s">
        <v>7029</v>
      </c>
      <c r="E979" s="320" t="s">
        <v>7030</v>
      </c>
      <c r="F979" s="320" t="s">
        <v>7031</v>
      </c>
      <c r="G979" s="320" t="s">
        <v>7091</v>
      </c>
      <c r="H979" s="320" t="s">
        <v>7092</v>
      </c>
      <c r="I979" s="320" t="s">
        <v>7093</v>
      </c>
      <c r="J979" s="320" t="s">
        <v>7094</v>
      </c>
      <c r="K979" s="320" t="s">
        <v>7095</v>
      </c>
      <c r="L979" s="320" t="s">
        <v>7096</v>
      </c>
      <c r="M979" s="277"/>
      <c r="N979" s="277"/>
      <c r="O979" s="277"/>
      <c r="P979" s="275"/>
      <c r="Q979" s="275"/>
      <c r="R979" s="275"/>
      <c r="S979" s="275"/>
      <c r="U979" s="283" t="e">
        <v>#N/A</v>
      </c>
      <c r="V979" s="320" t="s">
        <v>7100</v>
      </c>
      <c r="W979" s="320">
        <v>1</v>
      </c>
      <c r="X979" s="320">
        <v>1</v>
      </c>
      <c r="Y979" s="320">
        <v>0</v>
      </c>
      <c r="Z979" s="320">
        <v>1</v>
      </c>
      <c r="AA979" s="320">
        <v>1</v>
      </c>
      <c r="AB979" s="320">
        <v>1</v>
      </c>
      <c r="AC979" s="316">
        <v>0</v>
      </c>
      <c r="AD979" s="316">
        <v>1</v>
      </c>
      <c r="AE979" s="302">
        <f t="shared" si="42"/>
        <v>0.75</v>
      </c>
      <c r="AF979" s="354"/>
      <c r="AG979" s="17">
        <v>0</v>
      </c>
      <c r="AH979" s="354">
        <v>0</v>
      </c>
      <c r="AI979" s="354">
        <v>3</v>
      </c>
      <c r="AJ979" s="23">
        <v>0</v>
      </c>
      <c r="AK979" s="319">
        <v>1</v>
      </c>
      <c r="AL979" s="319">
        <v>0</v>
      </c>
      <c r="AM979" s="147">
        <f t="shared" si="41"/>
        <v>1</v>
      </c>
      <c r="AN979" s="320" t="s">
        <v>7101</v>
      </c>
      <c r="AO979" s="14" t="s">
        <v>6901</v>
      </c>
      <c r="AP979" s="320" t="s">
        <v>7102</v>
      </c>
    </row>
    <row r="980" spans="1:42" s="320" customFormat="1" x14ac:dyDescent="0.3">
      <c r="A980" s="353" t="s">
        <v>1450</v>
      </c>
      <c r="B980" s="320" t="s">
        <v>6881</v>
      </c>
      <c r="C980" s="320" t="s">
        <v>7028</v>
      </c>
      <c r="D980" s="320" t="s">
        <v>7029</v>
      </c>
      <c r="E980" s="320" t="s">
        <v>7030</v>
      </c>
      <c r="F980" s="320" t="s">
        <v>7031</v>
      </c>
      <c r="G980" s="320" t="s">
        <v>7091</v>
      </c>
      <c r="H980" s="320" t="s">
        <v>7092</v>
      </c>
      <c r="I980" s="320" t="s">
        <v>7093</v>
      </c>
      <c r="J980" s="320" t="s">
        <v>7094</v>
      </c>
      <c r="K980" s="320" t="s">
        <v>7095</v>
      </c>
      <c r="L980" s="320" t="s">
        <v>7096</v>
      </c>
      <c r="M980" s="277"/>
      <c r="N980" s="277"/>
      <c r="O980" s="277"/>
      <c r="P980" s="275"/>
      <c r="Q980" s="275"/>
      <c r="R980" s="275"/>
      <c r="S980" s="275"/>
      <c r="U980" s="283" t="e">
        <v>#N/A</v>
      </c>
      <c r="V980" s="320" t="s">
        <v>7103</v>
      </c>
      <c r="W980" s="320">
        <v>1</v>
      </c>
      <c r="X980" s="320">
        <v>1</v>
      </c>
      <c r="Y980" s="320">
        <v>1</v>
      </c>
      <c r="Z980" s="320">
        <v>1</v>
      </c>
      <c r="AA980" s="320">
        <v>1</v>
      </c>
      <c r="AB980" s="320">
        <v>1</v>
      </c>
      <c r="AC980" s="316">
        <v>0</v>
      </c>
      <c r="AD980" s="316">
        <v>1</v>
      </c>
      <c r="AE980" s="302">
        <f t="shared" si="42"/>
        <v>0.875</v>
      </c>
      <c r="AF980" s="354"/>
      <c r="AG980" s="17">
        <v>0</v>
      </c>
      <c r="AH980" s="354">
        <v>0</v>
      </c>
      <c r="AI980" s="354">
        <v>1</v>
      </c>
      <c r="AJ980" s="354">
        <v>3</v>
      </c>
      <c r="AK980" s="319">
        <v>6</v>
      </c>
      <c r="AL980" s="319">
        <v>6</v>
      </c>
      <c r="AM980" s="147">
        <f t="shared" si="41"/>
        <v>12</v>
      </c>
      <c r="AN980" s="320" t="s">
        <v>239</v>
      </c>
      <c r="AO980" s="14" t="s">
        <v>241</v>
      </c>
      <c r="AP980" s="320" t="s">
        <v>7104</v>
      </c>
    </row>
    <row r="981" spans="1:42" s="320" customFormat="1" x14ac:dyDescent="0.3">
      <c r="A981" s="353" t="s">
        <v>1450</v>
      </c>
      <c r="B981" s="320" t="s">
        <v>6881</v>
      </c>
      <c r="C981" s="320" t="s">
        <v>7028</v>
      </c>
      <c r="D981" s="320" t="s">
        <v>7029</v>
      </c>
      <c r="E981" s="320" t="s">
        <v>7030</v>
      </c>
      <c r="F981" s="320" t="s">
        <v>7031</v>
      </c>
      <c r="G981" s="320" t="s">
        <v>7091</v>
      </c>
      <c r="H981" s="320" t="s">
        <v>7092</v>
      </c>
      <c r="I981" s="320" t="s">
        <v>7105</v>
      </c>
      <c r="J981" s="320" t="s">
        <v>7106</v>
      </c>
      <c r="K981" s="320" t="s">
        <v>7107</v>
      </c>
      <c r="L981" s="320" t="s">
        <v>7108</v>
      </c>
      <c r="M981" s="277" t="s">
        <v>7109</v>
      </c>
      <c r="N981" s="277">
        <v>4</v>
      </c>
      <c r="O981" s="277">
        <v>5</v>
      </c>
      <c r="P981" s="275">
        <v>6</v>
      </c>
      <c r="Q981" s="275">
        <v>7</v>
      </c>
      <c r="R981" s="275">
        <v>8</v>
      </c>
      <c r="S981" s="275">
        <v>9</v>
      </c>
      <c r="T981" s="320" t="s">
        <v>6894</v>
      </c>
      <c r="U981" s="283" t="s">
        <v>6896</v>
      </c>
      <c r="AC981" s="316">
        <v>0</v>
      </c>
      <c r="AD981" s="316">
        <v>0</v>
      </c>
      <c r="AE981" s="302">
        <f t="shared" si="42"/>
        <v>0</v>
      </c>
      <c r="AF981" s="278"/>
      <c r="AG981" s="17">
        <v>0</v>
      </c>
      <c r="AH981" s="278"/>
      <c r="AI981" s="278"/>
      <c r="AJ981" s="278"/>
      <c r="AK981" s="279"/>
      <c r="AL981" s="279"/>
      <c r="AM981" s="147">
        <f t="shared" si="41"/>
        <v>0</v>
      </c>
    </row>
    <row r="982" spans="1:42" s="320" customFormat="1" x14ac:dyDescent="0.3">
      <c r="A982" s="353" t="s">
        <v>1450</v>
      </c>
      <c r="B982" s="320" t="s">
        <v>6881</v>
      </c>
      <c r="C982" s="320" t="s">
        <v>7028</v>
      </c>
      <c r="D982" s="320" t="s">
        <v>7029</v>
      </c>
      <c r="E982" s="320" t="s">
        <v>7030</v>
      </c>
      <c r="F982" s="320" t="s">
        <v>7031</v>
      </c>
      <c r="G982" s="320" t="s">
        <v>7091</v>
      </c>
      <c r="H982" s="320" t="s">
        <v>7092</v>
      </c>
      <c r="I982" s="320" t="s">
        <v>7110</v>
      </c>
      <c r="J982" s="320" t="s">
        <v>7111</v>
      </c>
      <c r="K982" s="320" t="s">
        <v>7112</v>
      </c>
      <c r="L982" s="320" t="s">
        <v>7113</v>
      </c>
      <c r="M982" s="277" t="s">
        <v>7114</v>
      </c>
      <c r="N982" s="277">
        <v>0</v>
      </c>
      <c r="O982" s="277">
        <v>0</v>
      </c>
      <c r="P982" s="275">
        <v>10</v>
      </c>
      <c r="Q982" s="275">
        <v>15</v>
      </c>
      <c r="R982" s="275">
        <v>20</v>
      </c>
      <c r="S982" s="275">
        <v>25</v>
      </c>
      <c r="T982" s="320" t="s">
        <v>6903</v>
      </c>
      <c r="U982" s="283" t="e">
        <v>#N/A</v>
      </c>
      <c r="AC982" s="316">
        <v>0</v>
      </c>
      <c r="AD982" s="316">
        <v>0</v>
      </c>
      <c r="AE982" s="302">
        <f t="shared" si="42"/>
        <v>0</v>
      </c>
      <c r="AF982" s="278"/>
      <c r="AG982" s="17">
        <v>0</v>
      </c>
      <c r="AH982" s="278"/>
      <c r="AI982" s="278"/>
      <c r="AJ982" s="278"/>
      <c r="AK982" s="279"/>
      <c r="AL982" s="279"/>
      <c r="AM982" s="147">
        <f t="shared" si="41"/>
        <v>0</v>
      </c>
    </row>
    <row r="983" spans="1:42" s="320" customFormat="1" x14ac:dyDescent="0.3">
      <c r="A983" s="353" t="s">
        <v>1450</v>
      </c>
      <c r="B983" s="320" t="s">
        <v>6881</v>
      </c>
      <c r="C983" s="320" t="s">
        <v>7028</v>
      </c>
      <c r="D983" s="320" t="s">
        <v>7029</v>
      </c>
      <c r="E983" s="320" t="s">
        <v>7030</v>
      </c>
      <c r="F983" s="320" t="s">
        <v>7031</v>
      </c>
      <c r="G983" s="320" t="s">
        <v>7115</v>
      </c>
      <c r="H983" s="320" t="s">
        <v>7116</v>
      </c>
      <c r="I983" s="320" t="s">
        <v>271</v>
      </c>
      <c r="J983" s="320" t="s">
        <v>271</v>
      </c>
      <c r="K983" s="320" t="s">
        <v>7117</v>
      </c>
      <c r="L983" s="320" t="s">
        <v>7118</v>
      </c>
      <c r="M983" s="168" t="s">
        <v>7119</v>
      </c>
      <c r="N983" s="454">
        <v>950</v>
      </c>
      <c r="O983" s="454">
        <v>1065</v>
      </c>
      <c r="P983" s="355">
        <v>1096.95</v>
      </c>
      <c r="Q983" s="355">
        <v>1129.8585</v>
      </c>
      <c r="R983" s="355">
        <v>1163.7542550000001</v>
      </c>
      <c r="S983" s="355">
        <v>1198.6668826500002</v>
      </c>
      <c r="T983" s="184" t="s">
        <v>7071</v>
      </c>
      <c r="U983" s="283" t="e">
        <v>#N/A</v>
      </c>
      <c r="V983" s="320" t="s">
        <v>7120</v>
      </c>
      <c r="W983" s="320">
        <v>1</v>
      </c>
      <c r="X983" s="320">
        <v>0</v>
      </c>
      <c r="Y983" s="320">
        <v>1</v>
      </c>
      <c r="Z983" s="320">
        <v>1</v>
      </c>
      <c r="AA983" s="320">
        <v>1</v>
      </c>
      <c r="AB983" s="320">
        <v>1</v>
      </c>
      <c r="AC983" s="316">
        <v>1</v>
      </c>
      <c r="AD983" s="316">
        <v>1</v>
      </c>
      <c r="AE983" s="302">
        <f t="shared" si="42"/>
        <v>0.875</v>
      </c>
      <c r="AF983" s="354">
        <v>1</v>
      </c>
      <c r="AG983" s="17">
        <v>0</v>
      </c>
      <c r="AH983" s="354">
        <v>0</v>
      </c>
      <c r="AI983" s="354">
        <v>0</v>
      </c>
      <c r="AJ983" s="354">
        <v>1</v>
      </c>
      <c r="AK983" s="319">
        <v>0.75</v>
      </c>
      <c r="AL983" s="319">
        <v>1.375</v>
      </c>
      <c r="AM983" s="147">
        <f t="shared" ref="AM983:AM1014" si="43">SUM(AK983:AL983)</f>
        <v>2.125</v>
      </c>
      <c r="AN983" s="320" t="s">
        <v>6900</v>
      </c>
      <c r="AO983" s="14" t="s">
        <v>6901</v>
      </c>
      <c r="AP983" s="320" t="s">
        <v>7121</v>
      </c>
    </row>
    <row r="984" spans="1:42" s="320" customFormat="1" x14ac:dyDescent="0.3">
      <c r="A984" s="353" t="s">
        <v>1450</v>
      </c>
      <c r="B984" s="320" t="s">
        <v>6881</v>
      </c>
      <c r="C984" s="320" t="s">
        <v>7028</v>
      </c>
      <c r="D984" s="320" t="s">
        <v>7029</v>
      </c>
      <c r="E984" s="320" t="s">
        <v>7030</v>
      </c>
      <c r="F984" s="320" t="s">
        <v>7031</v>
      </c>
      <c r="G984" s="320" t="s">
        <v>7122</v>
      </c>
      <c r="H984" s="320" t="s">
        <v>7123</v>
      </c>
      <c r="I984" s="320" t="s">
        <v>7124</v>
      </c>
      <c r="J984" s="320" t="s">
        <v>7125</v>
      </c>
      <c r="K984" s="320" t="s">
        <v>7126</v>
      </c>
      <c r="L984" s="320" t="s">
        <v>7127</v>
      </c>
      <c r="M984" s="277" t="s">
        <v>7128</v>
      </c>
      <c r="N984" s="277">
        <v>0</v>
      </c>
      <c r="O984" s="277">
        <v>0</v>
      </c>
      <c r="P984" s="275">
        <v>0</v>
      </c>
      <c r="Q984" s="275">
        <v>0</v>
      </c>
      <c r="R984" s="275">
        <v>2</v>
      </c>
      <c r="S984" s="275">
        <v>4</v>
      </c>
      <c r="T984" s="320" t="s">
        <v>2072</v>
      </c>
      <c r="U984" s="283" t="e">
        <v>#N/A</v>
      </c>
      <c r="AC984" s="316">
        <v>0</v>
      </c>
      <c r="AD984" s="316">
        <v>0</v>
      </c>
      <c r="AE984" s="302">
        <f t="shared" si="42"/>
        <v>0</v>
      </c>
      <c r="AF984" s="278"/>
      <c r="AG984" s="17">
        <v>0</v>
      </c>
      <c r="AH984" s="278"/>
      <c r="AI984" s="278"/>
      <c r="AJ984" s="278"/>
      <c r="AK984" s="279"/>
      <c r="AL984" s="279"/>
      <c r="AM984" s="147">
        <f t="shared" si="43"/>
        <v>0</v>
      </c>
    </row>
    <row r="985" spans="1:42" s="320" customFormat="1" x14ac:dyDescent="0.3">
      <c r="A985" s="353" t="s">
        <v>1450</v>
      </c>
      <c r="B985" s="320" t="s">
        <v>6881</v>
      </c>
      <c r="C985" s="320" t="s">
        <v>7028</v>
      </c>
      <c r="D985" s="320" t="s">
        <v>7029</v>
      </c>
      <c r="E985" s="320" t="s">
        <v>7030</v>
      </c>
      <c r="F985" s="320" t="s">
        <v>7031</v>
      </c>
      <c r="G985" s="320" t="s">
        <v>7122</v>
      </c>
      <c r="H985" s="320" t="s">
        <v>7123</v>
      </c>
      <c r="I985" s="320" t="s">
        <v>7129</v>
      </c>
      <c r="J985" s="320" t="s">
        <v>7130</v>
      </c>
      <c r="K985" s="320" t="s">
        <v>7131</v>
      </c>
      <c r="L985" s="320" t="s">
        <v>7132</v>
      </c>
      <c r="M985" s="277" t="s">
        <v>7133</v>
      </c>
      <c r="N985" s="277" t="s">
        <v>271</v>
      </c>
      <c r="O985" s="277">
        <v>30</v>
      </c>
      <c r="P985" s="275">
        <v>40</v>
      </c>
      <c r="Q985" s="275">
        <v>50</v>
      </c>
      <c r="R985" s="275">
        <v>60</v>
      </c>
      <c r="S985" s="275">
        <v>70</v>
      </c>
      <c r="T985" s="320" t="s">
        <v>6894</v>
      </c>
      <c r="U985" s="283" t="s">
        <v>6896</v>
      </c>
      <c r="AC985" s="316">
        <v>0</v>
      </c>
      <c r="AD985" s="316">
        <v>0</v>
      </c>
      <c r="AE985" s="302">
        <f t="shared" si="42"/>
        <v>0</v>
      </c>
      <c r="AF985" s="278"/>
      <c r="AG985" s="17">
        <v>0</v>
      </c>
      <c r="AH985" s="278"/>
      <c r="AI985" s="278"/>
      <c r="AJ985" s="278"/>
      <c r="AK985" s="279"/>
      <c r="AL985" s="279"/>
      <c r="AM985" s="147">
        <f t="shared" si="43"/>
        <v>0</v>
      </c>
    </row>
    <row r="986" spans="1:42" s="320" customFormat="1" x14ac:dyDescent="0.3">
      <c r="A986" s="353" t="s">
        <v>1450</v>
      </c>
      <c r="B986" s="320" t="s">
        <v>6881</v>
      </c>
      <c r="C986" s="320" t="s">
        <v>7028</v>
      </c>
      <c r="D986" s="320" t="s">
        <v>7029</v>
      </c>
      <c r="E986" s="320" t="s">
        <v>7030</v>
      </c>
      <c r="F986" s="320" t="s">
        <v>7031</v>
      </c>
      <c r="G986" s="320" t="s">
        <v>7122</v>
      </c>
      <c r="H986" s="320" t="s">
        <v>7123</v>
      </c>
      <c r="I986" s="320" t="s">
        <v>7129</v>
      </c>
      <c r="J986" s="320" t="s">
        <v>7130</v>
      </c>
      <c r="K986" s="320" t="s">
        <v>7131</v>
      </c>
      <c r="L986" s="320" t="s">
        <v>7132</v>
      </c>
      <c r="M986" s="277" t="s">
        <v>7134</v>
      </c>
      <c r="N986" s="277" t="s">
        <v>271</v>
      </c>
      <c r="O986" s="277" t="s">
        <v>271</v>
      </c>
      <c r="P986" s="275">
        <v>1</v>
      </c>
      <c r="Q986" s="275">
        <v>1</v>
      </c>
      <c r="R986" s="275">
        <v>1</v>
      </c>
      <c r="S986" s="275">
        <v>1</v>
      </c>
      <c r="T986" s="320" t="s">
        <v>6903</v>
      </c>
      <c r="U986" s="283" t="e">
        <v>#N/A</v>
      </c>
      <c r="V986" s="320" t="s">
        <v>7135</v>
      </c>
      <c r="W986" s="320">
        <v>1</v>
      </c>
      <c r="X986" s="320">
        <v>1</v>
      </c>
      <c r="Y986" s="320">
        <v>0</v>
      </c>
      <c r="Z986" s="320">
        <v>1</v>
      </c>
      <c r="AA986" s="320">
        <v>1</v>
      </c>
      <c r="AB986" s="320">
        <v>1</v>
      </c>
      <c r="AC986" s="316">
        <v>0</v>
      </c>
      <c r="AD986" s="316">
        <v>1</v>
      </c>
      <c r="AE986" s="302">
        <f t="shared" ref="AE986:AE1017" si="44">SUM(W986:AD986)/8</f>
        <v>0.75</v>
      </c>
      <c r="AF986" s="23"/>
      <c r="AG986" s="17">
        <v>0</v>
      </c>
      <c r="AH986" s="23">
        <v>0</v>
      </c>
      <c r="AI986" s="354">
        <v>0.54</v>
      </c>
      <c r="AJ986" s="354">
        <v>0.54</v>
      </c>
      <c r="AK986" s="319">
        <v>0.54</v>
      </c>
      <c r="AL986" s="319">
        <v>0.54</v>
      </c>
      <c r="AM986" s="147">
        <f t="shared" si="43"/>
        <v>1.08</v>
      </c>
      <c r="AN986" s="320" t="s">
        <v>7136</v>
      </c>
      <c r="AO986" s="14" t="s">
        <v>3881</v>
      </c>
      <c r="AP986" s="320" t="s">
        <v>1233</v>
      </c>
    </row>
    <row r="987" spans="1:42" s="320" customFormat="1" x14ac:dyDescent="0.3">
      <c r="A987" s="353" t="s">
        <v>1450</v>
      </c>
      <c r="B987" s="320" t="s">
        <v>6881</v>
      </c>
      <c r="C987" s="320" t="s">
        <v>7028</v>
      </c>
      <c r="D987" s="320" t="s">
        <v>7029</v>
      </c>
      <c r="E987" s="320" t="s">
        <v>7030</v>
      </c>
      <c r="F987" s="320" t="s">
        <v>7031</v>
      </c>
      <c r="G987" s="320" t="s">
        <v>7122</v>
      </c>
      <c r="H987" s="320" t="s">
        <v>7123</v>
      </c>
      <c r="I987" s="320" t="s">
        <v>7129</v>
      </c>
      <c r="J987" s="320" t="s">
        <v>7130</v>
      </c>
      <c r="K987" s="320" t="s">
        <v>7131</v>
      </c>
      <c r="L987" s="320" t="s">
        <v>7132</v>
      </c>
      <c r="M987" s="277"/>
      <c r="N987" s="277"/>
      <c r="O987" s="277"/>
      <c r="P987" s="275"/>
      <c r="Q987" s="275"/>
      <c r="R987" s="275"/>
      <c r="S987" s="275"/>
      <c r="U987" s="283" t="e">
        <v>#N/A</v>
      </c>
      <c r="V987" s="320" t="s">
        <v>7137</v>
      </c>
      <c r="W987" s="320">
        <v>1</v>
      </c>
      <c r="X987" s="320">
        <v>1</v>
      </c>
      <c r="Y987" s="320">
        <v>0</v>
      </c>
      <c r="Z987" s="320">
        <v>1</v>
      </c>
      <c r="AA987" s="320">
        <v>1</v>
      </c>
      <c r="AB987" s="320">
        <v>1</v>
      </c>
      <c r="AC987" s="316">
        <v>0</v>
      </c>
      <c r="AD987" s="316">
        <v>1</v>
      </c>
      <c r="AE987" s="302">
        <f t="shared" si="44"/>
        <v>0.75</v>
      </c>
      <c r="AF987" s="354"/>
      <c r="AG987" s="17">
        <v>0</v>
      </c>
      <c r="AH987" s="354">
        <v>38.33</v>
      </c>
      <c r="AI987" s="354">
        <v>0.98</v>
      </c>
      <c r="AJ987" s="354">
        <v>0.98</v>
      </c>
      <c r="AK987" s="319">
        <v>0.98</v>
      </c>
      <c r="AL987" s="319">
        <v>0.49</v>
      </c>
      <c r="AM987" s="147">
        <f t="shared" si="43"/>
        <v>1.47</v>
      </c>
      <c r="AN987" s="320" t="s">
        <v>7136</v>
      </c>
      <c r="AO987" s="14" t="s">
        <v>3881</v>
      </c>
      <c r="AP987" s="320" t="s">
        <v>7138</v>
      </c>
    </row>
    <row r="988" spans="1:42" s="320" customFormat="1" x14ac:dyDescent="0.3">
      <c r="A988" s="353" t="s">
        <v>1450</v>
      </c>
      <c r="B988" s="320" t="s">
        <v>6881</v>
      </c>
      <c r="C988" s="320" t="s">
        <v>7028</v>
      </c>
      <c r="D988" s="320" t="s">
        <v>7029</v>
      </c>
      <c r="E988" s="320" t="s">
        <v>7030</v>
      </c>
      <c r="F988" s="320" t="s">
        <v>7031</v>
      </c>
      <c r="G988" s="320" t="s">
        <v>7139</v>
      </c>
      <c r="H988" s="320" t="s">
        <v>7140</v>
      </c>
      <c r="I988" s="320" t="s">
        <v>271</v>
      </c>
      <c r="J988" s="320" t="s">
        <v>271</v>
      </c>
      <c r="K988" s="320" t="s">
        <v>7141</v>
      </c>
      <c r="L988" s="320" t="s">
        <v>7142</v>
      </c>
      <c r="M988" s="277" t="s">
        <v>7143</v>
      </c>
      <c r="N988" s="277">
        <v>0</v>
      </c>
      <c r="O988" s="277">
        <v>1</v>
      </c>
      <c r="P988" s="275">
        <v>1</v>
      </c>
      <c r="Q988" s="275">
        <v>2</v>
      </c>
      <c r="R988" s="275">
        <v>3</v>
      </c>
      <c r="S988" s="275">
        <v>3</v>
      </c>
      <c r="T988" s="320" t="s">
        <v>407</v>
      </c>
      <c r="U988" s="283" t="s">
        <v>409</v>
      </c>
      <c r="V988" s="320" t="s">
        <v>7144</v>
      </c>
      <c r="W988" s="320">
        <v>1</v>
      </c>
      <c r="X988" s="320">
        <v>1</v>
      </c>
      <c r="Y988" s="320">
        <v>1</v>
      </c>
      <c r="Z988" s="320">
        <v>1</v>
      </c>
      <c r="AA988" s="320">
        <v>1</v>
      </c>
      <c r="AB988" s="320">
        <v>1</v>
      </c>
      <c r="AC988" s="316">
        <v>0</v>
      </c>
      <c r="AD988" s="316">
        <v>0</v>
      </c>
      <c r="AE988" s="302">
        <f t="shared" si="44"/>
        <v>0.75</v>
      </c>
      <c r="AF988" s="354">
        <v>1</v>
      </c>
      <c r="AG988" s="17">
        <v>0</v>
      </c>
      <c r="AH988" s="354">
        <v>0.01</v>
      </c>
      <c r="AI988" s="354">
        <v>0.02</v>
      </c>
      <c r="AJ988" s="354">
        <v>0.02</v>
      </c>
      <c r="AK988" s="319">
        <v>0.02</v>
      </c>
      <c r="AL988" s="319">
        <v>0.03</v>
      </c>
      <c r="AM988" s="147">
        <f t="shared" si="43"/>
        <v>0.05</v>
      </c>
      <c r="AN988" s="320" t="s">
        <v>407</v>
      </c>
      <c r="AO988" s="320" t="s">
        <v>409</v>
      </c>
      <c r="AP988" s="320" t="s">
        <v>63</v>
      </c>
    </row>
    <row r="989" spans="1:42" s="320" customFormat="1" x14ac:dyDescent="0.3">
      <c r="A989" s="353" t="s">
        <v>1450</v>
      </c>
      <c r="B989" s="320" t="s">
        <v>6881</v>
      </c>
      <c r="C989" s="320" t="s">
        <v>7028</v>
      </c>
      <c r="D989" s="320" t="s">
        <v>7029</v>
      </c>
      <c r="E989" s="320" t="s">
        <v>7030</v>
      </c>
      <c r="F989" s="320" t="s">
        <v>7031</v>
      </c>
      <c r="G989" s="320" t="s">
        <v>7145</v>
      </c>
      <c r="H989" s="320" t="s">
        <v>7146</v>
      </c>
      <c r="I989" s="320" t="s">
        <v>271</v>
      </c>
      <c r="J989" s="320" t="s">
        <v>271</v>
      </c>
      <c r="K989" s="320" t="s">
        <v>7147</v>
      </c>
      <c r="L989" s="320" t="s">
        <v>7148</v>
      </c>
      <c r="M989" s="277" t="s">
        <v>7149</v>
      </c>
      <c r="N989" s="277">
        <v>0</v>
      </c>
      <c r="O989" s="277" t="s">
        <v>271</v>
      </c>
      <c r="P989" s="275">
        <v>1</v>
      </c>
      <c r="Q989" s="275" t="s">
        <v>271</v>
      </c>
      <c r="R989" s="275" t="s">
        <v>271</v>
      </c>
      <c r="S989" s="275">
        <v>1</v>
      </c>
      <c r="T989" s="320" t="s">
        <v>6903</v>
      </c>
      <c r="U989" s="283" t="e">
        <v>#N/A</v>
      </c>
      <c r="V989" s="320" t="s">
        <v>7150</v>
      </c>
      <c r="W989" s="320">
        <v>1</v>
      </c>
      <c r="X989" s="320">
        <v>1</v>
      </c>
      <c r="Y989" s="320">
        <v>1</v>
      </c>
      <c r="Z989" s="320">
        <v>1</v>
      </c>
      <c r="AA989" s="320">
        <v>0</v>
      </c>
      <c r="AB989" s="320">
        <v>1</v>
      </c>
      <c r="AC989" s="316">
        <v>1</v>
      </c>
      <c r="AD989" s="316">
        <v>1</v>
      </c>
      <c r="AE989" s="302">
        <f t="shared" si="44"/>
        <v>0.875</v>
      </c>
      <c r="AF989" s="354"/>
      <c r="AG989" s="17">
        <v>0</v>
      </c>
      <c r="AH989" s="354">
        <v>0</v>
      </c>
      <c r="AI989" s="354">
        <v>0</v>
      </c>
      <c r="AJ989" s="354">
        <v>0</v>
      </c>
      <c r="AK989" s="319">
        <v>0</v>
      </c>
      <c r="AL989" s="319">
        <v>0</v>
      </c>
      <c r="AM989" s="147">
        <f t="shared" si="43"/>
        <v>0</v>
      </c>
      <c r="AN989" s="320" t="s">
        <v>6900</v>
      </c>
      <c r="AO989" s="320" t="s">
        <v>6901</v>
      </c>
      <c r="AP989" s="320" t="s">
        <v>7151</v>
      </c>
    </row>
    <row r="990" spans="1:42" s="320" customFormat="1" x14ac:dyDescent="0.3">
      <c r="A990" s="353" t="s">
        <v>1450</v>
      </c>
      <c r="B990" s="320" t="s">
        <v>6881</v>
      </c>
      <c r="C990" s="320" t="s">
        <v>7028</v>
      </c>
      <c r="D990" s="320" t="s">
        <v>7029</v>
      </c>
      <c r="E990" s="320" t="s">
        <v>7030</v>
      </c>
      <c r="F990" s="320" t="s">
        <v>7031</v>
      </c>
      <c r="G990" s="320" t="s">
        <v>7145</v>
      </c>
      <c r="H990" s="320" t="s">
        <v>7146</v>
      </c>
      <c r="I990" s="320" t="s">
        <v>271</v>
      </c>
      <c r="J990" s="320" t="s">
        <v>271</v>
      </c>
      <c r="K990" s="320" t="s">
        <v>7147</v>
      </c>
      <c r="L990" s="320" t="s">
        <v>7148</v>
      </c>
      <c r="M990" s="277" t="s">
        <v>7152</v>
      </c>
      <c r="N990" s="277" t="s">
        <v>271</v>
      </c>
      <c r="O990" s="277" t="s">
        <v>271</v>
      </c>
      <c r="P990" s="275">
        <v>1</v>
      </c>
      <c r="Q990" s="275" t="s">
        <v>271</v>
      </c>
      <c r="R990" s="275">
        <v>1</v>
      </c>
      <c r="S990" s="275">
        <v>1</v>
      </c>
      <c r="T990" s="283" t="s">
        <v>265</v>
      </c>
      <c r="U990" s="283" t="s">
        <v>350</v>
      </c>
      <c r="AC990" s="316">
        <v>0</v>
      </c>
      <c r="AD990" s="316">
        <v>0</v>
      </c>
      <c r="AE990" s="302">
        <f t="shared" si="44"/>
        <v>0</v>
      </c>
      <c r="AF990" s="278"/>
      <c r="AG990" s="17">
        <v>0</v>
      </c>
      <c r="AH990" s="278"/>
      <c r="AI990" s="278"/>
      <c r="AJ990" s="278"/>
      <c r="AK990" s="279"/>
      <c r="AL990" s="279"/>
      <c r="AM990" s="147">
        <f t="shared" si="43"/>
        <v>0</v>
      </c>
    </row>
    <row r="991" spans="1:42" s="320" customFormat="1" x14ac:dyDescent="0.3">
      <c r="A991" s="353" t="s">
        <v>1450</v>
      </c>
      <c r="B991" s="320" t="s">
        <v>6881</v>
      </c>
      <c r="C991" s="320" t="s">
        <v>7028</v>
      </c>
      <c r="D991" s="320" t="s">
        <v>7029</v>
      </c>
      <c r="E991" s="320" t="s">
        <v>7153</v>
      </c>
      <c r="F991" s="320" t="s">
        <v>7154</v>
      </c>
      <c r="G991" s="320" t="s">
        <v>7155</v>
      </c>
      <c r="H991" s="320" t="s">
        <v>7156</v>
      </c>
      <c r="I991" s="320" t="s">
        <v>271</v>
      </c>
      <c r="J991" s="320" t="s">
        <v>271</v>
      </c>
      <c r="K991" s="320" t="s">
        <v>7157</v>
      </c>
      <c r="L991" s="320" t="s">
        <v>7158</v>
      </c>
      <c r="M991" s="277" t="s">
        <v>7159</v>
      </c>
      <c r="N991" s="277">
        <v>2</v>
      </c>
      <c r="O991" s="277">
        <v>4</v>
      </c>
      <c r="P991" s="275">
        <v>6</v>
      </c>
      <c r="Q991" s="275">
        <v>8</v>
      </c>
      <c r="R991" s="275">
        <v>9</v>
      </c>
      <c r="S991" s="275">
        <v>10</v>
      </c>
      <c r="T991" s="320" t="s">
        <v>6903</v>
      </c>
      <c r="U991" s="283" t="e">
        <v>#N/A</v>
      </c>
      <c r="V991" s="320" t="s">
        <v>7160</v>
      </c>
      <c r="W991" s="320">
        <v>1</v>
      </c>
      <c r="X991" s="320">
        <v>1</v>
      </c>
      <c r="Y991" s="320">
        <v>1</v>
      </c>
      <c r="Z991" s="320">
        <v>1</v>
      </c>
      <c r="AA991" s="320">
        <v>1</v>
      </c>
      <c r="AB991" s="320">
        <v>1</v>
      </c>
      <c r="AC991" s="316">
        <v>0</v>
      </c>
      <c r="AD991" s="316">
        <v>1</v>
      </c>
      <c r="AE991" s="302">
        <f t="shared" si="44"/>
        <v>0.875</v>
      </c>
      <c r="AF991" s="354"/>
      <c r="AG991" s="17">
        <v>0</v>
      </c>
      <c r="AH991" s="354">
        <v>2</v>
      </c>
      <c r="AI991" s="354">
        <v>2</v>
      </c>
      <c r="AJ991" s="354">
        <v>2</v>
      </c>
      <c r="AK991" s="319">
        <v>13</v>
      </c>
      <c r="AL991" s="319">
        <v>24</v>
      </c>
      <c r="AM991" s="147">
        <f t="shared" si="43"/>
        <v>37</v>
      </c>
      <c r="AN991" s="320" t="s">
        <v>6900</v>
      </c>
      <c r="AO991" s="320" t="s">
        <v>6901</v>
      </c>
      <c r="AP991" s="320" t="s">
        <v>7161</v>
      </c>
    </row>
    <row r="992" spans="1:42" s="320" customFormat="1" x14ac:dyDescent="0.3">
      <c r="A992" s="353" t="s">
        <v>1450</v>
      </c>
      <c r="B992" s="320" t="s">
        <v>6881</v>
      </c>
      <c r="C992" s="320" t="s">
        <v>7028</v>
      </c>
      <c r="D992" s="320" t="s">
        <v>7029</v>
      </c>
      <c r="E992" s="320" t="s">
        <v>7153</v>
      </c>
      <c r="F992" s="320" t="s">
        <v>7154</v>
      </c>
      <c r="G992" s="320" t="s">
        <v>7155</v>
      </c>
      <c r="H992" s="320" t="s">
        <v>7156</v>
      </c>
      <c r="I992" s="320" t="s">
        <v>271</v>
      </c>
      <c r="J992" s="320" t="s">
        <v>271</v>
      </c>
      <c r="K992" s="320" t="s">
        <v>7157</v>
      </c>
      <c r="L992" s="320" t="s">
        <v>7158</v>
      </c>
      <c r="M992" s="277"/>
      <c r="N992" s="277"/>
      <c r="O992" s="277"/>
      <c r="P992" s="275"/>
      <c r="Q992" s="275"/>
      <c r="R992" s="275"/>
      <c r="S992" s="275"/>
      <c r="U992" s="283" t="e">
        <v>#N/A</v>
      </c>
      <c r="V992" s="320" t="s">
        <v>7162</v>
      </c>
      <c r="W992" s="320">
        <v>1</v>
      </c>
      <c r="X992" s="320">
        <v>1</v>
      </c>
      <c r="Y992" s="320">
        <v>1</v>
      </c>
      <c r="Z992" s="320">
        <v>1</v>
      </c>
      <c r="AA992" s="320">
        <v>1</v>
      </c>
      <c r="AB992" s="320">
        <v>1</v>
      </c>
      <c r="AC992" s="316">
        <v>0</v>
      </c>
      <c r="AD992" s="316">
        <v>1</v>
      </c>
      <c r="AE992" s="302">
        <f t="shared" si="44"/>
        <v>0.875</v>
      </c>
      <c r="AF992" s="354"/>
      <c r="AG992" s="17">
        <v>0</v>
      </c>
      <c r="AH992" s="354">
        <v>1.25</v>
      </c>
      <c r="AI992" s="354">
        <v>2.5</v>
      </c>
      <c r="AJ992" s="354">
        <v>3.75</v>
      </c>
      <c r="AK992" s="319">
        <v>4</v>
      </c>
      <c r="AL992" s="319">
        <v>4.25</v>
      </c>
      <c r="AM992" s="147">
        <f t="shared" si="43"/>
        <v>8.25</v>
      </c>
      <c r="AN992" s="320" t="s">
        <v>7073</v>
      </c>
      <c r="AO992" s="14" t="s">
        <v>6901</v>
      </c>
      <c r="AP992" s="320" t="s">
        <v>6900</v>
      </c>
    </row>
    <row r="993" spans="1:42" s="320" customFormat="1" x14ac:dyDescent="0.3">
      <c r="A993" s="353" t="s">
        <v>1450</v>
      </c>
      <c r="B993" s="320" t="s">
        <v>6881</v>
      </c>
      <c r="C993" s="320" t="s">
        <v>7028</v>
      </c>
      <c r="D993" s="320" t="s">
        <v>7029</v>
      </c>
      <c r="E993" s="320" t="s">
        <v>7153</v>
      </c>
      <c r="F993" s="320" t="s">
        <v>7154</v>
      </c>
      <c r="G993" s="320" t="s">
        <v>7155</v>
      </c>
      <c r="H993" s="320" t="s">
        <v>7156</v>
      </c>
      <c r="I993" s="320" t="s">
        <v>271</v>
      </c>
      <c r="J993" s="320" t="s">
        <v>271</v>
      </c>
      <c r="K993" s="320" t="s">
        <v>7157</v>
      </c>
      <c r="L993" s="320" t="s">
        <v>7158</v>
      </c>
      <c r="M993" s="277"/>
      <c r="N993" s="277"/>
      <c r="O993" s="277"/>
      <c r="P993" s="275"/>
      <c r="Q993" s="275"/>
      <c r="R993" s="275"/>
      <c r="S993" s="275"/>
      <c r="U993" s="283" t="e">
        <v>#N/A</v>
      </c>
      <c r="AC993" s="316">
        <v>0</v>
      </c>
      <c r="AD993" s="316">
        <v>0</v>
      </c>
      <c r="AE993" s="302">
        <f t="shared" si="44"/>
        <v>0</v>
      </c>
      <c r="AF993" s="278"/>
      <c r="AG993" s="17">
        <v>0</v>
      </c>
      <c r="AH993" s="278"/>
      <c r="AI993" s="278"/>
      <c r="AJ993" s="278"/>
      <c r="AK993" s="279"/>
      <c r="AL993" s="279"/>
      <c r="AM993" s="147">
        <f t="shared" si="43"/>
        <v>0</v>
      </c>
      <c r="AO993" s="14"/>
    </row>
    <row r="994" spans="1:42" s="320" customFormat="1" x14ac:dyDescent="0.3">
      <c r="A994" s="353" t="s">
        <v>1450</v>
      </c>
      <c r="B994" s="320" t="s">
        <v>6881</v>
      </c>
      <c r="C994" s="320" t="s">
        <v>7028</v>
      </c>
      <c r="D994" s="320" t="s">
        <v>7029</v>
      </c>
      <c r="E994" s="320" t="s">
        <v>7153</v>
      </c>
      <c r="F994" s="320" t="s">
        <v>7154</v>
      </c>
      <c r="G994" s="320" t="s">
        <v>7155</v>
      </c>
      <c r="H994" s="320" t="s">
        <v>7156</v>
      </c>
      <c r="I994" s="320" t="s">
        <v>271</v>
      </c>
      <c r="J994" s="320" t="s">
        <v>271</v>
      </c>
      <c r="K994" s="320" t="s">
        <v>7157</v>
      </c>
      <c r="L994" s="320" t="s">
        <v>7158</v>
      </c>
      <c r="M994" s="277"/>
      <c r="N994" s="277"/>
      <c r="O994" s="277"/>
      <c r="P994" s="275"/>
      <c r="Q994" s="275"/>
      <c r="R994" s="275"/>
      <c r="S994" s="275"/>
      <c r="U994" s="283" t="e">
        <v>#N/A</v>
      </c>
      <c r="V994" s="320" t="s">
        <v>7163</v>
      </c>
      <c r="W994" s="320">
        <v>1</v>
      </c>
      <c r="X994" s="320">
        <v>1</v>
      </c>
      <c r="Y994" s="320">
        <v>1</v>
      </c>
      <c r="Z994" s="320">
        <v>1</v>
      </c>
      <c r="AA994" s="320">
        <v>1</v>
      </c>
      <c r="AB994" s="320">
        <v>1</v>
      </c>
      <c r="AC994" s="316">
        <v>0</v>
      </c>
      <c r="AD994" s="316">
        <v>1</v>
      </c>
      <c r="AE994" s="302">
        <f t="shared" si="44"/>
        <v>0.875</v>
      </c>
      <c r="AF994" s="354"/>
      <c r="AG994" s="17">
        <v>0</v>
      </c>
      <c r="AH994" s="354">
        <v>21</v>
      </c>
      <c r="AI994" s="354">
        <v>18</v>
      </c>
      <c r="AJ994" s="354">
        <v>18</v>
      </c>
      <c r="AK994" s="319">
        <v>13</v>
      </c>
      <c r="AL994" s="319">
        <v>31</v>
      </c>
      <c r="AM994" s="147">
        <f t="shared" si="43"/>
        <v>44</v>
      </c>
      <c r="AN994" s="320" t="s">
        <v>6900</v>
      </c>
      <c r="AO994" s="14" t="s">
        <v>6901</v>
      </c>
      <c r="AP994" s="320" t="s">
        <v>6938</v>
      </c>
    </row>
    <row r="995" spans="1:42" s="320" customFormat="1" x14ac:dyDescent="0.3">
      <c r="A995" s="353" t="s">
        <v>1450</v>
      </c>
      <c r="B995" s="320" t="s">
        <v>6881</v>
      </c>
      <c r="C995" s="320" t="s">
        <v>7028</v>
      </c>
      <c r="D995" s="320" t="s">
        <v>7029</v>
      </c>
      <c r="E995" s="320" t="s">
        <v>7153</v>
      </c>
      <c r="F995" s="320" t="s">
        <v>7154</v>
      </c>
      <c r="G995" s="320" t="s">
        <v>7164</v>
      </c>
      <c r="H995" s="320" t="s">
        <v>7165</v>
      </c>
      <c r="I995" s="320" t="s">
        <v>271</v>
      </c>
      <c r="J995" s="320" t="s">
        <v>271</v>
      </c>
      <c r="K995" s="320" t="s">
        <v>7166</v>
      </c>
      <c r="L995" s="320" t="s">
        <v>7158</v>
      </c>
      <c r="M995" s="277" t="s">
        <v>7167</v>
      </c>
      <c r="N995" s="277" t="s">
        <v>271</v>
      </c>
      <c r="O995" s="277" t="s">
        <v>271</v>
      </c>
      <c r="P995" s="275" t="s">
        <v>271</v>
      </c>
      <c r="Q995" s="275" t="s">
        <v>271</v>
      </c>
      <c r="R995" s="275">
        <v>1</v>
      </c>
      <c r="S995" s="275">
        <v>1</v>
      </c>
      <c r="T995" s="320" t="s">
        <v>6903</v>
      </c>
      <c r="U995" s="283" t="e">
        <v>#N/A</v>
      </c>
      <c r="AC995" s="316">
        <v>0</v>
      </c>
      <c r="AD995" s="316">
        <v>0</v>
      </c>
      <c r="AE995" s="302">
        <f t="shared" si="44"/>
        <v>0</v>
      </c>
      <c r="AF995" s="278"/>
      <c r="AG995" s="17">
        <v>0</v>
      </c>
      <c r="AH995" s="278"/>
      <c r="AI995" s="278"/>
      <c r="AJ995" s="278"/>
      <c r="AK995" s="279"/>
      <c r="AL995" s="279"/>
      <c r="AM995" s="147">
        <f t="shared" si="43"/>
        <v>0</v>
      </c>
    </row>
    <row r="996" spans="1:42" s="320" customFormat="1" x14ac:dyDescent="0.3">
      <c r="A996" s="353" t="s">
        <v>1450</v>
      </c>
      <c r="B996" s="320" t="s">
        <v>6881</v>
      </c>
      <c r="C996" s="320" t="s">
        <v>7028</v>
      </c>
      <c r="D996" s="320" t="s">
        <v>7029</v>
      </c>
      <c r="E996" s="320" t="s">
        <v>7153</v>
      </c>
      <c r="F996" s="320" t="s">
        <v>7154</v>
      </c>
      <c r="G996" s="320" t="s">
        <v>7168</v>
      </c>
      <c r="H996" s="320" t="s">
        <v>7169</v>
      </c>
      <c r="I996" s="320" t="s">
        <v>271</v>
      </c>
      <c r="J996" s="320" t="s">
        <v>271</v>
      </c>
      <c r="K996" s="320" t="s">
        <v>7170</v>
      </c>
      <c r="L996" s="320" t="s">
        <v>7171</v>
      </c>
      <c r="M996" s="277" t="s">
        <v>7172</v>
      </c>
      <c r="N996" s="277">
        <v>0</v>
      </c>
      <c r="O996" s="277">
        <v>0</v>
      </c>
      <c r="P996" s="275">
        <v>0</v>
      </c>
      <c r="Q996" s="275">
        <v>1</v>
      </c>
      <c r="R996" s="275">
        <v>1</v>
      </c>
      <c r="S996" s="275">
        <v>2</v>
      </c>
      <c r="T996" s="320" t="s">
        <v>6903</v>
      </c>
      <c r="U996" s="283" t="e">
        <v>#N/A</v>
      </c>
      <c r="V996" s="320" t="s">
        <v>7173</v>
      </c>
      <c r="W996" s="320">
        <v>1</v>
      </c>
      <c r="X996" s="320">
        <v>1</v>
      </c>
      <c r="Y996" s="320">
        <v>1</v>
      </c>
      <c r="Z996" s="320">
        <v>1</v>
      </c>
      <c r="AA996" s="320">
        <v>1</v>
      </c>
      <c r="AB996" s="320">
        <v>1</v>
      </c>
      <c r="AC996" s="316">
        <v>0</v>
      </c>
      <c r="AD996" s="316">
        <v>1</v>
      </c>
      <c r="AE996" s="302">
        <f t="shared" si="44"/>
        <v>0.875</v>
      </c>
      <c r="AF996" s="354"/>
      <c r="AG996" s="17">
        <v>0</v>
      </c>
      <c r="AH996" s="354">
        <v>0</v>
      </c>
      <c r="AI996" s="354">
        <v>0</v>
      </c>
      <c r="AJ996" s="354">
        <v>0</v>
      </c>
      <c r="AK996" s="319">
        <v>5</v>
      </c>
      <c r="AL996" s="319">
        <v>5</v>
      </c>
      <c r="AM996" s="147">
        <f t="shared" si="43"/>
        <v>10</v>
      </c>
      <c r="AN996" s="320" t="s">
        <v>6900</v>
      </c>
      <c r="AO996" s="320" t="s">
        <v>6901</v>
      </c>
      <c r="AP996" s="320" t="s">
        <v>6938</v>
      </c>
    </row>
    <row r="997" spans="1:42" s="320" customFormat="1" x14ac:dyDescent="0.3">
      <c r="A997" s="353" t="s">
        <v>1450</v>
      </c>
      <c r="B997" s="320" t="s">
        <v>6881</v>
      </c>
      <c r="C997" s="320" t="s">
        <v>7028</v>
      </c>
      <c r="D997" s="320" t="s">
        <v>7029</v>
      </c>
      <c r="E997" s="320" t="s">
        <v>7153</v>
      </c>
      <c r="F997" s="320" t="s">
        <v>7154</v>
      </c>
      <c r="G997" s="320" t="s">
        <v>7174</v>
      </c>
      <c r="H997" s="320" t="s">
        <v>7175</v>
      </c>
      <c r="I997" s="320" t="s">
        <v>271</v>
      </c>
      <c r="J997" s="320" t="s">
        <v>271</v>
      </c>
      <c r="K997" s="320" t="s">
        <v>7176</v>
      </c>
      <c r="L997" s="320" t="s">
        <v>7177</v>
      </c>
      <c r="M997" s="277" t="s">
        <v>7178</v>
      </c>
      <c r="N997" s="277">
        <v>3000</v>
      </c>
      <c r="O997" s="277">
        <v>3500</v>
      </c>
      <c r="P997" s="275">
        <v>4000</v>
      </c>
      <c r="Q997" s="275">
        <v>1000</v>
      </c>
      <c r="R997" s="275">
        <v>1500</v>
      </c>
      <c r="S997" s="275">
        <v>1700</v>
      </c>
      <c r="T997" s="320" t="s">
        <v>6903</v>
      </c>
      <c r="U997" s="283" t="e">
        <v>#N/A</v>
      </c>
      <c r="AC997" s="316">
        <v>0</v>
      </c>
      <c r="AD997" s="316">
        <v>0</v>
      </c>
      <c r="AE997" s="302">
        <f t="shared" si="44"/>
        <v>0</v>
      </c>
      <c r="AF997" s="278"/>
      <c r="AG997" s="17">
        <v>0</v>
      </c>
      <c r="AH997" s="278"/>
      <c r="AI997" s="278"/>
      <c r="AJ997" s="278"/>
      <c r="AK997" s="153"/>
      <c r="AL997" s="153"/>
      <c r="AM997" s="147">
        <f t="shared" si="43"/>
        <v>0</v>
      </c>
      <c r="AO997" s="14"/>
    </row>
    <row r="998" spans="1:42" s="320" customFormat="1" x14ac:dyDescent="0.3">
      <c r="A998" s="353" t="s">
        <v>1450</v>
      </c>
      <c r="B998" s="320" t="s">
        <v>6881</v>
      </c>
      <c r="C998" s="320" t="s">
        <v>7028</v>
      </c>
      <c r="D998" s="320" t="s">
        <v>7029</v>
      </c>
      <c r="E998" s="320" t="s">
        <v>7153</v>
      </c>
      <c r="F998" s="320" t="s">
        <v>7154</v>
      </c>
      <c r="G998" s="320" t="s">
        <v>7174</v>
      </c>
      <c r="H998" s="320" t="s">
        <v>7175</v>
      </c>
      <c r="I998" s="320" t="s">
        <v>271</v>
      </c>
      <c r="J998" s="320" t="s">
        <v>271</v>
      </c>
      <c r="K998" s="320" t="s">
        <v>7176</v>
      </c>
      <c r="L998" s="320" t="s">
        <v>7177</v>
      </c>
      <c r="M998" s="277" t="s">
        <v>7179</v>
      </c>
      <c r="N998" s="277">
        <v>91</v>
      </c>
      <c r="O998" s="277">
        <v>121</v>
      </c>
      <c r="P998" s="275">
        <v>160</v>
      </c>
      <c r="Q998" s="275">
        <v>50</v>
      </c>
      <c r="R998" s="275">
        <v>100</v>
      </c>
      <c r="S998" s="275">
        <v>150</v>
      </c>
      <c r="T998" s="320" t="s">
        <v>6894</v>
      </c>
      <c r="U998" s="283" t="s">
        <v>6896</v>
      </c>
      <c r="AC998" s="316">
        <v>0</v>
      </c>
      <c r="AD998" s="316">
        <v>0</v>
      </c>
      <c r="AE998" s="302">
        <f t="shared" si="44"/>
        <v>0</v>
      </c>
      <c r="AF998" s="278"/>
      <c r="AG998" s="17">
        <v>0</v>
      </c>
      <c r="AH998" s="278"/>
      <c r="AI998" s="278"/>
      <c r="AJ998" s="278"/>
      <c r="AK998" s="279"/>
      <c r="AL998" s="279"/>
      <c r="AM998" s="147">
        <f t="shared" si="43"/>
        <v>0</v>
      </c>
    </row>
    <row r="999" spans="1:42" s="320" customFormat="1" x14ac:dyDescent="0.3">
      <c r="A999" s="353" t="s">
        <v>1450</v>
      </c>
      <c r="B999" s="320" t="s">
        <v>6881</v>
      </c>
      <c r="C999" s="320" t="s">
        <v>7028</v>
      </c>
      <c r="D999" s="320" t="s">
        <v>7029</v>
      </c>
      <c r="E999" s="320" t="s">
        <v>7153</v>
      </c>
      <c r="F999" s="320" t="s">
        <v>7154</v>
      </c>
      <c r="G999" s="320" t="s">
        <v>7174</v>
      </c>
      <c r="H999" s="320" t="s">
        <v>7175</v>
      </c>
      <c r="I999" s="320" t="s">
        <v>271</v>
      </c>
      <c r="J999" s="320" t="s">
        <v>271</v>
      </c>
      <c r="K999" s="320" t="s">
        <v>7176</v>
      </c>
      <c r="L999" s="320" t="s">
        <v>7177</v>
      </c>
      <c r="M999" s="277" t="s">
        <v>7180</v>
      </c>
      <c r="N999" s="277">
        <v>30</v>
      </c>
      <c r="O999" s="277">
        <v>35</v>
      </c>
      <c r="P999" s="275">
        <v>40</v>
      </c>
      <c r="Q999" s="275">
        <v>45</v>
      </c>
      <c r="R999" s="275">
        <v>48</v>
      </c>
      <c r="S999" s="275">
        <v>50</v>
      </c>
      <c r="T999" s="320" t="s">
        <v>6894</v>
      </c>
      <c r="U999" s="283" t="s">
        <v>6896</v>
      </c>
      <c r="AC999" s="316">
        <v>0</v>
      </c>
      <c r="AD999" s="316">
        <v>0</v>
      </c>
      <c r="AE999" s="302">
        <f t="shared" si="44"/>
        <v>0</v>
      </c>
      <c r="AF999" s="278"/>
      <c r="AG999" s="17">
        <v>0</v>
      </c>
      <c r="AH999" s="278"/>
      <c r="AI999" s="278"/>
      <c r="AJ999" s="278"/>
      <c r="AK999" s="279"/>
      <c r="AL999" s="279"/>
      <c r="AM999" s="147">
        <f t="shared" si="43"/>
        <v>0</v>
      </c>
    </row>
    <row r="1000" spans="1:42" s="320" customFormat="1" x14ac:dyDescent="0.3">
      <c r="A1000" s="353" t="s">
        <v>1450</v>
      </c>
      <c r="B1000" s="320" t="s">
        <v>6881</v>
      </c>
      <c r="C1000" s="320" t="s">
        <v>7028</v>
      </c>
      <c r="D1000" s="320" t="s">
        <v>7029</v>
      </c>
      <c r="E1000" s="320" t="s">
        <v>7153</v>
      </c>
      <c r="F1000" s="320" t="s">
        <v>7154</v>
      </c>
      <c r="G1000" s="320" t="s">
        <v>7181</v>
      </c>
      <c r="H1000" s="320" t="s">
        <v>7182</v>
      </c>
      <c r="I1000" s="320" t="s">
        <v>271</v>
      </c>
      <c r="J1000" s="320" t="s">
        <v>271</v>
      </c>
      <c r="K1000" s="320" t="s">
        <v>7183</v>
      </c>
      <c r="L1000" s="320" t="s">
        <v>7184</v>
      </c>
      <c r="M1000" s="277" t="s">
        <v>7185</v>
      </c>
      <c r="N1000" s="277">
        <v>0</v>
      </c>
      <c r="O1000" s="277">
        <v>2</v>
      </c>
      <c r="P1000" s="275">
        <v>4</v>
      </c>
      <c r="Q1000" s="275">
        <v>6</v>
      </c>
      <c r="R1000" s="275">
        <v>8</v>
      </c>
      <c r="S1000" s="275">
        <v>10</v>
      </c>
      <c r="T1000" s="320" t="s">
        <v>7186</v>
      </c>
      <c r="U1000" s="283" t="e">
        <v>#N/A</v>
      </c>
      <c r="AC1000" s="316">
        <v>0</v>
      </c>
      <c r="AD1000" s="316">
        <v>0</v>
      </c>
      <c r="AE1000" s="302">
        <f t="shared" si="44"/>
        <v>0</v>
      </c>
      <c r="AF1000" s="278"/>
      <c r="AG1000" s="17">
        <v>0</v>
      </c>
      <c r="AH1000" s="278"/>
      <c r="AI1000" s="278"/>
      <c r="AJ1000" s="278"/>
      <c r="AK1000" s="279"/>
      <c r="AL1000" s="279"/>
      <c r="AM1000" s="147">
        <f t="shared" si="43"/>
        <v>0</v>
      </c>
    </row>
    <row r="1001" spans="1:42" s="320" customFormat="1" x14ac:dyDescent="0.3">
      <c r="A1001" s="353" t="s">
        <v>1450</v>
      </c>
      <c r="B1001" s="320" t="s">
        <v>6881</v>
      </c>
      <c r="C1001" s="320" t="s">
        <v>7028</v>
      </c>
      <c r="D1001" s="320" t="s">
        <v>7029</v>
      </c>
      <c r="E1001" s="320" t="s">
        <v>7153</v>
      </c>
      <c r="F1001" s="320" t="s">
        <v>7154</v>
      </c>
      <c r="G1001" s="320" t="s">
        <v>7181</v>
      </c>
      <c r="H1001" s="320" t="s">
        <v>7182</v>
      </c>
      <c r="I1001" s="320" t="s">
        <v>271</v>
      </c>
      <c r="J1001" s="320" t="s">
        <v>271</v>
      </c>
      <c r="K1001" s="320" t="s">
        <v>7183</v>
      </c>
      <c r="L1001" s="320" t="s">
        <v>7184</v>
      </c>
      <c r="M1001" s="277" t="s">
        <v>7187</v>
      </c>
      <c r="N1001" s="277">
        <v>73</v>
      </c>
      <c r="O1001" s="277">
        <v>74</v>
      </c>
      <c r="P1001" s="275">
        <v>75</v>
      </c>
      <c r="Q1001" s="275">
        <v>76</v>
      </c>
      <c r="R1001" s="275">
        <v>77</v>
      </c>
      <c r="S1001" s="275">
        <v>78</v>
      </c>
      <c r="T1001" s="320" t="s">
        <v>6903</v>
      </c>
      <c r="U1001" s="283" t="e">
        <v>#N/A</v>
      </c>
      <c r="AC1001" s="316">
        <v>0</v>
      </c>
      <c r="AD1001" s="316">
        <v>0</v>
      </c>
      <c r="AE1001" s="302">
        <f t="shared" si="44"/>
        <v>0</v>
      </c>
      <c r="AF1001" s="278"/>
      <c r="AG1001" s="17">
        <v>0</v>
      </c>
      <c r="AH1001" s="278"/>
      <c r="AI1001" s="278"/>
      <c r="AJ1001" s="278"/>
      <c r="AK1001" s="279"/>
      <c r="AL1001" s="279"/>
      <c r="AM1001" s="147">
        <f t="shared" si="43"/>
        <v>0</v>
      </c>
    </row>
    <row r="1002" spans="1:42" s="320" customFormat="1" x14ac:dyDescent="0.3">
      <c r="A1002" s="353" t="s">
        <v>1450</v>
      </c>
      <c r="B1002" s="320" t="s">
        <v>6881</v>
      </c>
      <c r="C1002" s="320" t="s">
        <v>7028</v>
      </c>
      <c r="D1002" s="320" t="s">
        <v>7029</v>
      </c>
      <c r="E1002" s="320" t="s">
        <v>7153</v>
      </c>
      <c r="F1002" s="320" t="s">
        <v>7154</v>
      </c>
      <c r="G1002" s="320" t="s">
        <v>7181</v>
      </c>
      <c r="H1002" s="320" t="s">
        <v>7182</v>
      </c>
      <c r="I1002" s="320" t="s">
        <v>271</v>
      </c>
      <c r="J1002" s="320" t="s">
        <v>271</v>
      </c>
      <c r="K1002" s="320" t="s">
        <v>7183</v>
      </c>
      <c r="L1002" s="320" t="s">
        <v>7184</v>
      </c>
      <c r="M1002" s="277" t="s">
        <v>7188</v>
      </c>
      <c r="N1002" s="277">
        <v>8.8000000000000007</v>
      </c>
      <c r="O1002" s="277">
        <v>9.8000000000000007</v>
      </c>
      <c r="P1002" s="275">
        <v>10.8</v>
      </c>
      <c r="Q1002" s="275">
        <v>11.8</v>
      </c>
      <c r="R1002" s="275">
        <v>12.8</v>
      </c>
      <c r="S1002" s="275">
        <v>13.8</v>
      </c>
      <c r="T1002" s="320" t="s">
        <v>6894</v>
      </c>
      <c r="U1002" s="283" t="s">
        <v>6896</v>
      </c>
      <c r="AC1002" s="316">
        <v>0</v>
      </c>
      <c r="AD1002" s="316">
        <v>0</v>
      </c>
      <c r="AE1002" s="302">
        <f t="shared" si="44"/>
        <v>0</v>
      </c>
      <c r="AF1002" s="278"/>
      <c r="AG1002" s="17">
        <v>0</v>
      </c>
      <c r="AH1002" s="278"/>
      <c r="AI1002" s="278"/>
      <c r="AJ1002" s="278"/>
      <c r="AK1002" s="279"/>
      <c r="AL1002" s="279"/>
      <c r="AM1002" s="147">
        <f t="shared" si="43"/>
        <v>0</v>
      </c>
    </row>
    <row r="1003" spans="1:42" s="320" customFormat="1" x14ac:dyDescent="0.3">
      <c r="A1003" s="353" t="s">
        <v>1450</v>
      </c>
      <c r="B1003" s="320" t="s">
        <v>6881</v>
      </c>
      <c r="C1003" s="320" t="s">
        <v>7028</v>
      </c>
      <c r="D1003" s="320" t="s">
        <v>7029</v>
      </c>
      <c r="E1003" s="320" t="s">
        <v>7153</v>
      </c>
      <c r="F1003" s="320" t="s">
        <v>7154</v>
      </c>
      <c r="G1003" s="320" t="s">
        <v>7189</v>
      </c>
      <c r="H1003" s="320" t="s">
        <v>7190</v>
      </c>
      <c r="I1003" s="320" t="s">
        <v>271</v>
      </c>
      <c r="J1003" s="320" t="s">
        <v>271</v>
      </c>
      <c r="K1003" s="320" t="s">
        <v>7191</v>
      </c>
      <c r="L1003" s="320" t="s">
        <v>7192</v>
      </c>
      <c r="M1003" s="277" t="s">
        <v>7193</v>
      </c>
      <c r="N1003" s="277" t="s">
        <v>4939</v>
      </c>
      <c r="O1003" s="277" t="s">
        <v>4939</v>
      </c>
      <c r="P1003" s="275" t="s">
        <v>4939</v>
      </c>
      <c r="Q1003" s="275" t="s">
        <v>4939</v>
      </c>
      <c r="R1003" s="275" t="s">
        <v>4939</v>
      </c>
      <c r="S1003" s="275" t="s">
        <v>4939</v>
      </c>
      <c r="T1003" s="320" t="s">
        <v>7194</v>
      </c>
      <c r="U1003" s="283" t="s">
        <v>7396</v>
      </c>
      <c r="AC1003" s="316">
        <v>0</v>
      </c>
      <c r="AD1003" s="316">
        <v>0</v>
      </c>
      <c r="AE1003" s="302">
        <f t="shared" si="44"/>
        <v>0</v>
      </c>
      <c r="AF1003" s="278"/>
      <c r="AG1003" s="17">
        <v>0</v>
      </c>
      <c r="AH1003" s="278"/>
      <c r="AI1003" s="278"/>
      <c r="AJ1003" s="278"/>
      <c r="AK1003" s="279"/>
      <c r="AL1003" s="279"/>
      <c r="AM1003" s="147">
        <f t="shared" si="43"/>
        <v>0</v>
      </c>
    </row>
    <row r="1004" spans="1:42" s="320" customFormat="1" x14ac:dyDescent="0.3">
      <c r="A1004" s="353" t="s">
        <v>1450</v>
      </c>
      <c r="B1004" s="320" t="s">
        <v>6881</v>
      </c>
      <c r="C1004" s="320" t="s">
        <v>7028</v>
      </c>
      <c r="D1004" s="320" t="s">
        <v>7029</v>
      </c>
      <c r="E1004" s="320" t="s">
        <v>7153</v>
      </c>
      <c r="F1004" s="320" t="s">
        <v>7154</v>
      </c>
      <c r="G1004" s="320" t="s">
        <v>7189</v>
      </c>
      <c r="H1004" s="320" t="s">
        <v>7190</v>
      </c>
      <c r="I1004" s="320" t="s">
        <v>271</v>
      </c>
      <c r="J1004" s="320" t="s">
        <v>271</v>
      </c>
      <c r="K1004" s="320" t="s">
        <v>7191</v>
      </c>
      <c r="L1004" s="320" t="s">
        <v>7192</v>
      </c>
      <c r="M1004" s="277" t="s">
        <v>7195</v>
      </c>
      <c r="N1004" s="277">
        <v>1</v>
      </c>
      <c r="O1004" s="277">
        <v>1</v>
      </c>
      <c r="P1004" s="275">
        <v>1</v>
      </c>
      <c r="Q1004" s="275">
        <v>1</v>
      </c>
      <c r="R1004" s="275">
        <v>1</v>
      </c>
      <c r="S1004" s="275">
        <v>1</v>
      </c>
      <c r="T1004" s="320" t="s">
        <v>7071</v>
      </c>
      <c r="U1004" s="283" t="e">
        <v>#N/A</v>
      </c>
      <c r="AC1004" s="316">
        <v>0</v>
      </c>
      <c r="AD1004" s="316">
        <v>0</v>
      </c>
      <c r="AE1004" s="302">
        <f t="shared" si="44"/>
        <v>0</v>
      </c>
      <c r="AF1004" s="278"/>
      <c r="AG1004" s="17">
        <v>0</v>
      </c>
      <c r="AH1004" s="278"/>
      <c r="AI1004" s="278"/>
      <c r="AJ1004" s="278"/>
      <c r="AK1004" s="279"/>
      <c r="AL1004" s="279"/>
      <c r="AM1004" s="147">
        <f t="shared" si="43"/>
        <v>0</v>
      </c>
    </row>
    <row r="1005" spans="1:42" s="320" customFormat="1" x14ac:dyDescent="0.3">
      <c r="A1005" s="353" t="s">
        <v>1450</v>
      </c>
      <c r="B1005" s="320" t="s">
        <v>6881</v>
      </c>
      <c r="C1005" s="320" t="s">
        <v>7028</v>
      </c>
      <c r="D1005" s="320" t="s">
        <v>7029</v>
      </c>
      <c r="E1005" s="320" t="s">
        <v>7153</v>
      </c>
      <c r="F1005" s="320" t="s">
        <v>7154</v>
      </c>
      <c r="G1005" s="320" t="s">
        <v>7189</v>
      </c>
      <c r="H1005" s="320" t="s">
        <v>7190</v>
      </c>
      <c r="I1005" s="320" t="s">
        <v>271</v>
      </c>
      <c r="J1005" s="320" t="s">
        <v>271</v>
      </c>
      <c r="K1005" s="320" t="s">
        <v>7196</v>
      </c>
      <c r="L1005" s="320" t="s">
        <v>7197</v>
      </c>
      <c r="M1005" s="277" t="s">
        <v>7198</v>
      </c>
      <c r="N1005" s="277">
        <v>30</v>
      </c>
      <c r="O1005" s="277">
        <v>35</v>
      </c>
      <c r="P1005" s="275">
        <v>40</v>
      </c>
      <c r="Q1005" s="275">
        <v>45</v>
      </c>
      <c r="R1005" s="275">
        <v>48</v>
      </c>
      <c r="S1005" s="275">
        <v>50</v>
      </c>
      <c r="T1005" s="320" t="s">
        <v>7199</v>
      </c>
      <c r="U1005" s="283" t="e">
        <v>#N/A</v>
      </c>
      <c r="AC1005" s="316">
        <v>0</v>
      </c>
      <c r="AD1005" s="316">
        <v>0</v>
      </c>
      <c r="AE1005" s="302">
        <f t="shared" si="44"/>
        <v>0</v>
      </c>
      <c r="AF1005" s="278"/>
      <c r="AG1005" s="17">
        <v>0</v>
      </c>
      <c r="AH1005" s="278"/>
      <c r="AI1005" s="278"/>
      <c r="AJ1005" s="278"/>
      <c r="AK1005" s="279"/>
      <c r="AL1005" s="279"/>
      <c r="AM1005" s="147">
        <f t="shared" si="43"/>
        <v>0</v>
      </c>
    </row>
    <row r="1006" spans="1:42" s="320" customFormat="1" x14ac:dyDescent="0.3">
      <c r="A1006" s="353" t="s">
        <v>1450</v>
      </c>
      <c r="B1006" s="320" t="s">
        <v>6881</v>
      </c>
      <c r="C1006" s="320" t="s">
        <v>7028</v>
      </c>
      <c r="D1006" s="320" t="s">
        <v>7029</v>
      </c>
      <c r="E1006" s="320" t="s">
        <v>7153</v>
      </c>
      <c r="F1006" s="320" t="s">
        <v>7154</v>
      </c>
      <c r="G1006" s="320" t="s">
        <v>7189</v>
      </c>
      <c r="H1006" s="320" t="s">
        <v>7190</v>
      </c>
      <c r="I1006" s="320" t="s">
        <v>271</v>
      </c>
      <c r="J1006" s="320" t="s">
        <v>271</v>
      </c>
      <c r="K1006" s="320" t="s">
        <v>7200</v>
      </c>
      <c r="L1006" s="320" t="s">
        <v>7201</v>
      </c>
      <c r="M1006" s="277" t="s">
        <v>7202</v>
      </c>
      <c r="N1006" s="277" t="s">
        <v>271</v>
      </c>
      <c r="O1006" s="277">
        <v>5</v>
      </c>
      <c r="P1006" s="275">
        <v>5</v>
      </c>
      <c r="Q1006" s="275">
        <v>5</v>
      </c>
      <c r="R1006" s="275">
        <v>5</v>
      </c>
      <c r="S1006" s="275">
        <v>5</v>
      </c>
      <c r="T1006" s="320" t="s">
        <v>7071</v>
      </c>
      <c r="U1006" s="283" t="e">
        <v>#N/A</v>
      </c>
      <c r="V1006" s="320" t="s">
        <v>7203</v>
      </c>
      <c r="W1006" s="320">
        <v>1</v>
      </c>
      <c r="X1006" s="320">
        <v>1</v>
      </c>
      <c r="Y1006" s="320">
        <v>1</v>
      </c>
      <c r="Z1006" s="320">
        <v>1</v>
      </c>
      <c r="AA1006" s="320">
        <v>1</v>
      </c>
      <c r="AB1006" s="320">
        <v>1</v>
      </c>
      <c r="AC1006" s="316">
        <v>0</v>
      </c>
      <c r="AD1006" s="316">
        <v>1</v>
      </c>
      <c r="AE1006" s="302">
        <f t="shared" si="44"/>
        <v>0.875</v>
      </c>
      <c r="AF1006" s="354"/>
      <c r="AG1006" s="17">
        <v>0</v>
      </c>
      <c r="AH1006" s="354">
        <v>1</v>
      </c>
      <c r="AI1006" s="354">
        <v>1</v>
      </c>
      <c r="AJ1006" s="354">
        <v>1</v>
      </c>
      <c r="AK1006" s="319">
        <v>1</v>
      </c>
      <c r="AL1006" s="319">
        <v>1</v>
      </c>
      <c r="AM1006" s="147">
        <f t="shared" si="43"/>
        <v>2</v>
      </c>
      <c r="AN1006" s="320" t="s">
        <v>7073</v>
      </c>
      <c r="AO1006" s="14" t="s">
        <v>6901</v>
      </c>
      <c r="AP1006" s="320" t="s">
        <v>7204</v>
      </c>
    </row>
    <row r="1007" spans="1:42" s="320" customFormat="1" x14ac:dyDescent="0.3">
      <c r="A1007" s="353" t="s">
        <v>1450</v>
      </c>
      <c r="B1007" s="320" t="s">
        <v>6881</v>
      </c>
      <c r="C1007" s="320" t="s">
        <v>7028</v>
      </c>
      <c r="D1007" s="320" t="s">
        <v>7029</v>
      </c>
      <c r="E1007" s="320" t="s">
        <v>7153</v>
      </c>
      <c r="F1007" s="320" t="s">
        <v>7154</v>
      </c>
      <c r="G1007" s="320" t="s">
        <v>7189</v>
      </c>
      <c r="H1007" s="320" t="s">
        <v>7190</v>
      </c>
      <c r="I1007" s="320" t="s">
        <v>271</v>
      </c>
      <c r="J1007" s="320" t="s">
        <v>271</v>
      </c>
      <c r="K1007" s="320" t="s">
        <v>7200</v>
      </c>
      <c r="L1007" s="320" t="s">
        <v>7201</v>
      </c>
      <c r="M1007" s="277" t="s">
        <v>7205</v>
      </c>
      <c r="N1007" s="277">
        <v>0</v>
      </c>
      <c r="O1007" s="277">
        <v>60</v>
      </c>
      <c r="P1007" s="275">
        <v>101</v>
      </c>
      <c r="Q1007" s="275">
        <v>130</v>
      </c>
      <c r="R1007" s="275">
        <v>300</v>
      </c>
      <c r="S1007" s="275">
        <v>350</v>
      </c>
      <c r="T1007" s="320" t="s">
        <v>7071</v>
      </c>
      <c r="U1007" s="283" t="e">
        <v>#N/A</v>
      </c>
      <c r="V1007" s="320" t="s">
        <v>7206</v>
      </c>
      <c r="W1007" s="320">
        <v>1</v>
      </c>
      <c r="X1007" s="320">
        <v>1</v>
      </c>
      <c r="Y1007" s="320">
        <v>0</v>
      </c>
      <c r="Z1007" s="320">
        <v>1</v>
      </c>
      <c r="AA1007" s="320">
        <v>1</v>
      </c>
      <c r="AB1007" s="320">
        <v>0</v>
      </c>
      <c r="AC1007" s="316">
        <v>0</v>
      </c>
      <c r="AD1007" s="316">
        <v>1</v>
      </c>
      <c r="AE1007" s="302">
        <f t="shared" si="44"/>
        <v>0.625</v>
      </c>
      <c r="AF1007" s="354"/>
      <c r="AG1007" s="17">
        <v>0</v>
      </c>
      <c r="AH1007" s="354">
        <v>0</v>
      </c>
      <c r="AI1007" s="354">
        <v>2.5</v>
      </c>
      <c r="AJ1007" s="23">
        <v>0</v>
      </c>
      <c r="AK1007" s="153">
        <v>0</v>
      </c>
      <c r="AL1007" s="153">
        <v>0</v>
      </c>
      <c r="AM1007" s="147">
        <f t="shared" si="43"/>
        <v>0</v>
      </c>
      <c r="AN1007" s="320" t="s">
        <v>7073</v>
      </c>
      <c r="AO1007" s="14" t="s">
        <v>6901</v>
      </c>
      <c r="AP1007" s="320" t="s">
        <v>6956</v>
      </c>
    </row>
    <row r="1008" spans="1:42" s="320" customFormat="1" x14ac:dyDescent="0.3">
      <c r="A1008" s="353" t="s">
        <v>1450</v>
      </c>
      <c r="B1008" s="320" t="s">
        <v>6881</v>
      </c>
      <c r="C1008" s="320" t="s">
        <v>7028</v>
      </c>
      <c r="D1008" s="320" t="s">
        <v>7029</v>
      </c>
      <c r="E1008" s="320" t="s">
        <v>7153</v>
      </c>
      <c r="F1008" s="320" t="s">
        <v>7154</v>
      </c>
      <c r="G1008" s="320" t="s">
        <v>7189</v>
      </c>
      <c r="H1008" s="320" t="s">
        <v>7190</v>
      </c>
      <c r="I1008" s="320" t="s">
        <v>271</v>
      </c>
      <c r="J1008" s="320" t="s">
        <v>271</v>
      </c>
      <c r="K1008" s="320" t="s">
        <v>7200</v>
      </c>
      <c r="L1008" s="320" t="s">
        <v>7201</v>
      </c>
      <c r="M1008" s="277"/>
      <c r="N1008" s="277"/>
      <c r="O1008" s="277"/>
      <c r="P1008" s="275"/>
      <c r="Q1008" s="275"/>
      <c r="R1008" s="275"/>
      <c r="S1008" s="275"/>
      <c r="T1008" s="320" t="s">
        <v>7071</v>
      </c>
      <c r="U1008" s="283" t="e">
        <v>#N/A</v>
      </c>
      <c r="V1008" s="320" t="s">
        <v>7207</v>
      </c>
      <c r="W1008" s="320">
        <v>1</v>
      </c>
      <c r="X1008" s="320">
        <v>1</v>
      </c>
      <c r="Y1008" s="320">
        <v>1</v>
      </c>
      <c r="Z1008" s="320">
        <v>1</v>
      </c>
      <c r="AA1008" s="320">
        <v>0</v>
      </c>
      <c r="AB1008" s="320">
        <v>1</v>
      </c>
      <c r="AC1008" s="316">
        <v>1</v>
      </c>
      <c r="AD1008" s="316">
        <v>0</v>
      </c>
      <c r="AE1008" s="302">
        <f t="shared" si="44"/>
        <v>0.75</v>
      </c>
      <c r="AF1008" s="354"/>
      <c r="AG1008" s="17">
        <v>0</v>
      </c>
      <c r="AH1008" s="354">
        <v>5.0000000000000001E-3</v>
      </c>
      <c r="AI1008" s="354">
        <v>5.0000000000000001E-3</v>
      </c>
      <c r="AJ1008" s="354">
        <v>5.0000000000000001E-3</v>
      </c>
      <c r="AK1008" s="319">
        <v>5.0000000000000001E-3</v>
      </c>
      <c r="AL1008" s="319">
        <v>5.0000000000000001E-3</v>
      </c>
      <c r="AM1008" s="147">
        <f t="shared" si="43"/>
        <v>0.01</v>
      </c>
      <c r="AN1008" s="320" t="s">
        <v>7073</v>
      </c>
      <c r="AO1008" s="14" t="s">
        <v>6901</v>
      </c>
      <c r="AP1008" s="320" t="s">
        <v>6956</v>
      </c>
    </row>
    <row r="1009" spans="1:42" s="320" customFormat="1" x14ac:dyDescent="0.3">
      <c r="A1009" s="353" t="s">
        <v>1450</v>
      </c>
      <c r="B1009" s="320" t="s">
        <v>6881</v>
      </c>
      <c r="C1009" s="320" t="s">
        <v>7028</v>
      </c>
      <c r="D1009" s="320" t="s">
        <v>7029</v>
      </c>
      <c r="E1009" s="320" t="s">
        <v>7153</v>
      </c>
      <c r="F1009" s="320" t="s">
        <v>7154</v>
      </c>
      <c r="G1009" s="320" t="s">
        <v>7189</v>
      </c>
      <c r="H1009" s="320" t="s">
        <v>7190</v>
      </c>
      <c r="I1009" s="320" t="s">
        <v>271</v>
      </c>
      <c r="J1009" s="320" t="s">
        <v>271</v>
      </c>
      <c r="K1009" s="320" t="s">
        <v>7200</v>
      </c>
      <c r="L1009" s="320" t="s">
        <v>7201</v>
      </c>
      <c r="M1009" s="277"/>
      <c r="N1009" s="277"/>
      <c r="O1009" s="277"/>
      <c r="P1009" s="275"/>
      <c r="Q1009" s="275"/>
      <c r="R1009" s="275"/>
      <c r="S1009" s="275"/>
      <c r="T1009" s="320" t="s">
        <v>7071</v>
      </c>
      <c r="U1009" s="283" t="e">
        <v>#N/A</v>
      </c>
      <c r="V1009" s="320" t="s">
        <v>7208</v>
      </c>
      <c r="W1009" s="320">
        <v>1</v>
      </c>
      <c r="X1009" s="320">
        <v>1</v>
      </c>
      <c r="Y1009" s="320">
        <v>1</v>
      </c>
      <c r="Z1009" s="320">
        <v>1</v>
      </c>
      <c r="AA1009" s="320">
        <v>1</v>
      </c>
      <c r="AB1009" s="320">
        <v>0</v>
      </c>
      <c r="AC1009" s="316">
        <v>1</v>
      </c>
      <c r="AD1009" s="316">
        <v>1</v>
      </c>
      <c r="AE1009" s="302">
        <f t="shared" si="44"/>
        <v>0.875</v>
      </c>
      <c r="AF1009" s="354"/>
      <c r="AG1009" s="17">
        <v>0</v>
      </c>
      <c r="AH1009" s="354">
        <v>4.2</v>
      </c>
      <c r="AI1009" s="354">
        <v>4.2</v>
      </c>
      <c r="AJ1009" s="354">
        <v>4.2</v>
      </c>
      <c r="AK1009" s="319">
        <v>94.2</v>
      </c>
      <c r="AL1009" s="319">
        <v>94.2</v>
      </c>
      <c r="AM1009" s="147">
        <f t="shared" si="43"/>
        <v>188.4</v>
      </c>
      <c r="AN1009" s="320" t="s">
        <v>7073</v>
      </c>
      <c r="AO1009" s="320" t="s">
        <v>6901</v>
      </c>
      <c r="AP1009" s="320" t="s">
        <v>280</v>
      </c>
    </row>
    <row r="1010" spans="1:42" s="320" customFormat="1" x14ac:dyDescent="0.3">
      <c r="A1010" s="353" t="s">
        <v>1450</v>
      </c>
      <c r="B1010" s="320" t="s">
        <v>6881</v>
      </c>
      <c r="C1010" s="320" t="s">
        <v>7028</v>
      </c>
      <c r="D1010" s="320" t="s">
        <v>7029</v>
      </c>
      <c r="E1010" s="320" t="s">
        <v>7153</v>
      </c>
      <c r="F1010" s="320" t="s">
        <v>7154</v>
      </c>
      <c r="G1010" s="320" t="s">
        <v>7189</v>
      </c>
      <c r="H1010" s="320" t="s">
        <v>7190</v>
      </c>
      <c r="I1010" s="320" t="s">
        <v>271</v>
      </c>
      <c r="J1010" s="320" t="s">
        <v>271</v>
      </c>
      <c r="K1010" s="320" t="s">
        <v>7200</v>
      </c>
      <c r="L1010" s="320" t="s">
        <v>7201</v>
      </c>
      <c r="M1010" s="277"/>
      <c r="N1010" s="277"/>
      <c r="O1010" s="277"/>
      <c r="P1010" s="275"/>
      <c r="Q1010" s="275"/>
      <c r="R1010" s="275"/>
      <c r="S1010" s="275"/>
      <c r="T1010" s="320" t="s">
        <v>7071</v>
      </c>
      <c r="U1010" s="283" t="e">
        <v>#N/A</v>
      </c>
      <c r="V1010" s="320" t="s">
        <v>7209</v>
      </c>
      <c r="W1010" s="320">
        <v>1</v>
      </c>
      <c r="X1010" s="320">
        <v>1</v>
      </c>
      <c r="Y1010" s="320">
        <v>1</v>
      </c>
      <c r="Z1010" s="320">
        <v>1</v>
      </c>
      <c r="AA1010" s="320">
        <v>1</v>
      </c>
      <c r="AB1010" s="320">
        <v>1</v>
      </c>
      <c r="AC1010" s="316">
        <v>1</v>
      </c>
      <c r="AD1010" s="316">
        <v>0</v>
      </c>
      <c r="AE1010" s="302">
        <f t="shared" si="44"/>
        <v>0.875</v>
      </c>
      <c r="AF1010" s="354"/>
      <c r="AG1010" s="17">
        <v>0</v>
      </c>
      <c r="AH1010" s="354">
        <v>0</v>
      </c>
      <c r="AI1010" s="354">
        <v>0</v>
      </c>
      <c r="AJ1010" s="354">
        <v>0</v>
      </c>
      <c r="AK1010" s="319">
        <v>0</v>
      </c>
      <c r="AL1010" s="319">
        <v>0</v>
      </c>
      <c r="AM1010" s="147">
        <f t="shared" si="43"/>
        <v>0</v>
      </c>
      <c r="AN1010" s="320" t="s">
        <v>7073</v>
      </c>
      <c r="AO1010" s="320" t="s">
        <v>6901</v>
      </c>
      <c r="AP1010" s="320" t="s">
        <v>7210</v>
      </c>
    </row>
    <row r="1011" spans="1:42" s="320" customFormat="1" x14ac:dyDescent="0.3">
      <c r="A1011" s="353" t="s">
        <v>1450</v>
      </c>
      <c r="B1011" s="320" t="s">
        <v>6881</v>
      </c>
      <c r="C1011" s="320" t="s">
        <v>7028</v>
      </c>
      <c r="D1011" s="320" t="s">
        <v>7029</v>
      </c>
      <c r="E1011" s="320" t="s">
        <v>7153</v>
      </c>
      <c r="F1011" s="320" t="s">
        <v>7154</v>
      </c>
      <c r="G1011" s="320" t="s">
        <v>7189</v>
      </c>
      <c r="H1011" s="320" t="s">
        <v>7190</v>
      </c>
      <c r="I1011" s="320" t="s">
        <v>271</v>
      </c>
      <c r="J1011" s="320" t="s">
        <v>271</v>
      </c>
      <c r="K1011" s="320" t="s">
        <v>7200</v>
      </c>
      <c r="L1011" s="320" t="s">
        <v>7201</v>
      </c>
      <c r="M1011" s="277"/>
      <c r="N1011" s="277"/>
      <c r="O1011" s="277"/>
      <c r="P1011" s="275"/>
      <c r="Q1011" s="275"/>
      <c r="R1011" s="275"/>
      <c r="S1011" s="275"/>
      <c r="T1011" s="320" t="s">
        <v>7071</v>
      </c>
      <c r="U1011" s="283" t="e">
        <v>#N/A</v>
      </c>
      <c r="V1011" s="320" t="s">
        <v>7211</v>
      </c>
      <c r="W1011" s="320">
        <v>1</v>
      </c>
      <c r="X1011" s="320">
        <v>1</v>
      </c>
      <c r="Y1011" s="320">
        <v>1</v>
      </c>
      <c r="Z1011" s="320">
        <v>1</v>
      </c>
      <c r="AA1011" s="320">
        <v>1</v>
      </c>
      <c r="AB1011" s="320">
        <v>0</v>
      </c>
      <c r="AC1011" s="316">
        <v>1</v>
      </c>
      <c r="AD1011" s="316">
        <v>1</v>
      </c>
      <c r="AE1011" s="302">
        <f t="shared" si="44"/>
        <v>0.875</v>
      </c>
      <c r="AF1011" s="354"/>
      <c r="AG1011" s="17">
        <v>0</v>
      </c>
      <c r="AH1011" s="354">
        <v>1.2</v>
      </c>
      <c r="AI1011" s="354">
        <v>1.6</v>
      </c>
      <c r="AJ1011" s="354">
        <v>2</v>
      </c>
      <c r="AK1011" s="319">
        <v>4</v>
      </c>
      <c r="AL1011" s="319">
        <v>4</v>
      </c>
      <c r="AM1011" s="147">
        <f t="shared" si="43"/>
        <v>8</v>
      </c>
      <c r="AN1011" s="320" t="s">
        <v>7073</v>
      </c>
      <c r="AO1011" s="320" t="s">
        <v>6901</v>
      </c>
      <c r="AP1011" s="320" t="s">
        <v>6900</v>
      </c>
    </row>
    <row r="1012" spans="1:42" s="320" customFormat="1" x14ac:dyDescent="0.3">
      <c r="A1012" s="353" t="s">
        <v>1450</v>
      </c>
      <c r="B1012" s="320" t="s">
        <v>6881</v>
      </c>
      <c r="C1012" s="320" t="s">
        <v>7028</v>
      </c>
      <c r="D1012" s="320" t="s">
        <v>7029</v>
      </c>
      <c r="E1012" s="320" t="s">
        <v>7153</v>
      </c>
      <c r="F1012" s="320" t="s">
        <v>7154</v>
      </c>
      <c r="G1012" s="320" t="s">
        <v>7189</v>
      </c>
      <c r="H1012" s="320" t="s">
        <v>7190</v>
      </c>
      <c r="I1012" s="320" t="s">
        <v>271</v>
      </c>
      <c r="J1012" s="320" t="s">
        <v>271</v>
      </c>
      <c r="K1012" s="320" t="s">
        <v>7200</v>
      </c>
      <c r="L1012" s="320" t="s">
        <v>7201</v>
      </c>
      <c r="M1012" s="277"/>
      <c r="N1012" s="277"/>
      <c r="O1012" s="277"/>
      <c r="P1012" s="275"/>
      <c r="Q1012" s="275"/>
      <c r="R1012" s="275"/>
      <c r="S1012" s="275"/>
      <c r="T1012" s="320" t="s">
        <v>7071</v>
      </c>
      <c r="U1012" s="283" t="e">
        <v>#N/A</v>
      </c>
      <c r="V1012" s="320" t="s">
        <v>7212</v>
      </c>
      <c r="W1012" s="320">
        <v>1</v>
      </c>
      <c r="X1012" s="320">
        <v>1</v>
      </c>
      <c r="Y1012" s="320">
        <v>1</v>
      </c>
      <c r="Z1012" s="320">
        <v>1</v>
      </c>
      <c r="AA1012" s="320">
        <v>1</v>
      </c>
      <c r="AB1012" s="320">
        <v>0</v>
      </c>
      <c r="AC1012" s="316">
        <v>1</v>
      </c>
      <c r="AD1012" s="316">
        <v>1</v>
      </c>
      <c r="AE1012" s="302">
        <f t="shared" si="44"/>
        <v>0.875</v>
      </c>
      <c r="AF1012" s="23"/>
      <c r="AG1012" s="17">
        <v>0</v>
      </c>
      <c r="AH1012" s="23">
        <v>0</v>
      </c>
      <c r="AI1012" s="23">
        <v>0</v>
      </c>
      <c r="AJ1012" s="23">
        <v>0</v>
      </c>
      <c r="AK1012" s="153">
        <v>0</v>
      </c>
      <c r="AL1012" s="153">
        <v>0</v>
      </c>
      <c r="AM1012" s="147">
        <f t="shared" si="43"/>
        <v>0</v>
      </c>
      <c r="AN1012" s="320" t="s">
        <v>7073</v>
      </c>
      <c r="AO1012" s="14" t="s">
        <v>6901</v>
      </c>
      <c r="AP1012" s="320" t="s">
        <v>119</v>
      </c>
    </row>
    <row r="1013" spans="1:42" s="320" customFormat="1" x14ac:dyDescent="0.3">
      <c r="A1013" s="353" t="s">
        <v>1450</v>
      </c>
      <c r="B1013" s="320" t="s">
        <v>6881</v>
      </c>
      <c r="C1013" s="320" t="s">
        <v>7028</v>
      </c>
      <c r="D1013" s="320" t="s">
        <v>7029</v>
      </c>
      <c r="E1013" s="320" t="s">
        <v>7153</v>
      </c>
      <c r="F1013" s="320" t="s">
        <v>7154</v>
      </c>
      <c r="G1013" s="320" t="s">
        <v>7213</v>
      </c>
      <c r="H1013" s="320" t="s">
        <v>7214</v>
      </c>
      <c r="I1013" s="320" t="s">
        <v>271</v>
      </c>
      <c r="J1013" s="320" t="s">
        <v>271</v>
      </c>
      <c r="K1013" s="320" t="s">
        <v>7215</v>
      </c>
      <c r="L1013" s="320" t="s">
        <v>7216</v>
      </c>
      <c r="M1013" s="277" t="s">
        <v>7216</v>
      </c>
      <c r="N1013" s="455">
        <v>0.1</v>
      </c>
      <c r="O1013" s="455">
        <v>0.1</v>
      </c>
      <c r="P1013" s="280">
        <v>0.2</v>
      </c>
      <c r="Q1013" s="281">
        <v>30</v>
      </c>
      <c r="R1013" s="275">
        <v>60</v>
      </c>
      <c r="S1013" s="275">
        <v>100</v>
      </c>
      <c r="T1013" s="320" t="s">
        <v>6903</v>
      </c>
      <c r="U1013" s="283" t="e">
        <v>#N/A</v>
      </c>
      <c r="V1013" s="320" t="s">
        <v>7217</v>
      </c>
      <c r="W1013" s="320">
        <v>1</v>
      </c>
      <c r="X1013" s="320">
        <v>1</v>
      </c>
      <c r="Y1013" s="320">
        <v>0</v>
      </c>
      <c r="Z1013" s="320">
        <v>1</v>
      </c>
      <c r="AA1013" s="320">
        <v>1</v>
      </c>
      <c r="AB1013" s="320">
        <v>1</v>
      </c>
      <c r="AC1013" s="316">
        <v>0</v>
      </c>
      <c r="AD1013" s="316">
        <v>1</v>
      </c>
      <c r="AE1013" s="302">
        <f t="shared" si="44"/>
        <v>0.75</v>
      </c>
      <c r="AF1013" s="354"/>
      <c r="AG1013" s="17">
        <v>0</v>
      </c>
      <c r="AH1013" s="354">
        <v>4</v>
      </c>
      <c r="AI1013" s="354">
        <v>20</v>
      </c>
      <c r="AJ1013" s="354">
        <v>16</v>
      </c>
      <c r="AK1013" s="319">
        <v>2</v>
      </c>
      <c r="AL1013" s="319">
        <v>2</v>
      </c>
      <c r="AM1013" s="147">
        <f t="shared" si="43"/>
        <v>4</v>
      </c>
      <c r="AN1013" s="320" t="s">
        <v>6900</v>
      </c>
      <c r="AO1013" s="14" t="s">
        <v>6901</v>
      </c>
      <c r="AP1013" s="320" t="s">
        <v>7218</v>
      </c>
    </row>
    <row r="1014" spans="1:42" s="320" customFormat="1" x14ac:dyDescent="0.3">
      <c r="A1014" s="353" t="s">
        <v>1450</v>
      </c>
      <c r="B1014" s="320" t="s">
        <v>6881</v>
      </c>
      <c r="C1014" s="320" t="s">
        <v>7028</v>
      </c>
      <c r="D1014" s="320" t="s">
        <v>7029</v>
      </c>
      <c r="E1014" s="320" t="s">
        <v>7153</v>
      </c>
      <c r="F1014" s="320" t="s">
        <v>7154</v>
      </c>
      <c r="G1014" s="320" t="s">
        <v>7213</v>
      </c>
      <c r="H1014" s="320" t="s">
        <v>7214</v>
      </c>
      <c r="I1014" s="320" t="s">
        <v>271</v>
      </c>
      <c r="J1014" s="320" t="s">
        <v>271</v>
      </c>
      <c r="K1014" s="320" t="s">
        <v>7215</v>
      </c>
      <c r="L1014" s="320" t="s">
        <v>7216</v>
      </c>
      <c r="M1014" s="277"/>
      <c r="N1014" s="455"/>
      <c r="O1014" s="455"/>
      <c r="P1014" s="280"/>
      <c r="Q1014" s="281"/>
      <c r="R1014" s="275"/>
      <c r="S1014" s="275"/>
      <c r="T1014" s="320" t="s">
        <v>6903</v>
      </c>
      <c r="U1014" s="283" t="e">
        <v>#N/A</v>
      </c>
      <c r="V1014" s="320" t="s">
        <v>7219</v>
      </c>
      <c r="W1014" s="320">
        <v>1</v>
      </c>
      <c r="X1014" s="320">
        <v>1</v>
      </c>
      <c r="Y1014" s="320">
        <v>0</v>
      </c>
      <c r="Z1014" s="320">
        <v>1</v>
      </c>
      <c r="AA1014" s="320">
        <v>1</v>
      </c>
      <c r="AB1014" s="320">
        <v>0</v>
      </c>
      <c r="AC1014" s="316">
        <v>1</v>
      </c>
      <c r="AD1014" s="316">
        <v>0</v>
      </c>
      <c r="AE1014" s="302">
        <f t="shared" si="44"/>
        <v>0.625</v>
      </c>
      <c r="AF1014" s="23"/>
      <c r="AG1014" s="17">
        <v>0</v>
      </c>
      <c r="AH1014" s="23">
        <v>0</v>
      </c>
      <c r="AI1014" s="23">
        <v>0</v>
      </c>
      <c r="AJ1014" s="23">
        <v>0</v>
      </c>
      <c r="AK1014" s="153">
        <v>0</v>
      </c>
      <c r="AL1014" s="153">
        <v>0</v>
      </c>
      <c r="AM1014" s="147">
        <f t="shared" si="43"/>
        <v>0</v>
      </c>
      <c r="AN1014" s="320" t="s">
        <v>6900</v>
      </c>
      <c r="AO1014" s="14" t="s">
        <v>6901</v>
      </c>
      <c r="AP1014" s="320" t="s">
        <v>119</v>
      </c>
    </row>
    <row r="1015" spans="1:42" s="320" customFormat="1" x14ac:dyDescent="0.3">
      <c r="A1015" s="353" t="s">
        <v>1450</v>
      </c>
      <c r="B1015" s="320" t="s">
        <v>6881</v>
      </c>
      <c r="C1015" s="320" t="s">
        <v>7028</v>
      </c>
      <c r="D1015" s="320" t="s">
        <v>7029</v>
      </c>
      <c r="E1015" s="320" t="s">
        <v>7153</v>
      </c>
      <c r="F1015" s="320" t="s">
        <v>7154</v>
      </c>
      <c r="G1015" s="320" t="s">
        <v>7213</v>
      </c>
      <c r="H1015" s="320" t="s">
        <v>7214</v>
      </c>
      <c r="I1015" s="320" t="s">
        <v>271</v>
      </c>
      <c r="J1015" s="320" t="s">
        <v>271</v>
      </c>
      <c r="K1015" s="320" t="s">
        <v>7220</v>
      </c>
      <c r="L1015" s="320" t="s">
        <v>7221</v>
      </c>
      <c r="M1015" s="277" t="s">
        <v>7222</v>
      </c>
      <c r="N1015" s="277">
        <v>3</v>
      </c>
      <c r="O1015" s="277">
        <v>3</v>
      </c>
      <c r="P1015" s="275">
        <v>3</v>
      </c>
      <c r="Q1015" s="275">
        <v>3</v>
      </c>
      <c r="R1015" s="275">
        <v>3</v>
      </c>
      <c r="S1015" s="275">
        <v>4</v>
      </c>
      <c r="T1015" s="320" t="s">
        <v>6903</v>
      </c>
      <c r="U1015" s="283" t="e">
        <v>#N/A</v>
      </c>
      <c r="V1015" s="320" t="s">
        <v>7223</v>
      </c>
      <c r="W1015" s="320">
        <v>1</v>
      </c>
      <c r="X1015" s="320">
        <v>1</v>
      </c>
      <c r="Y1015" s="320">
        <v>1</v>
      </c>
      <c r="Z1015" s="320">
        <v>1</v>
      </c>
      <c r="AA1015" s="320">
        <v>0</v>
      </c>
      <c r="AB1015" s="320">
        <v>1</v>
      </c>
      <c r="AC1015" s="316"/>
      <c r="AD1015" s="316">
        <v>1</v>
      </c>
      <c r="AE1015" s="302">
        <f t="shared" si="44"/>
        <v>0.75</v>
      </c>
      <c r="AF1015" s="23"/>
      <c r="AG1015" s="17">
        <v>0</v>
      </c>
      <c r="AH1015" s="23">
        <v>0</v>
      </c>
      <c r="AI1015" s="354">
        <v>0.5</v>
      </c>
      <c r="AJ1015" s="354">
        <v>0.75</v>
      </c>
      <c r="AK1015" s="319">
        <v>7</v>
      </c>
      <c r="AL1015" s="319">
        <v>7</v>
      </c>
      <c r="AM1015" s="147">
        <f t="shared" ref="AM1015:AM1046" si="45">SUM(AK1015:AL1015)</f>
        <v>14</v>
      </c>
      <c r="AN1015" s="320" t="s">
        <v>6900</v>
      </c>
      <c r="AO1015" s="14" t="s">
        <v>6901</v>
      </c>
      <c r="AP1015" s="320" t="s">
        <v>7224</v>
      </c>
    </row>
    <row r="1016" spans="1:42" s="320" customFormat="1" x14ac:dyDescent="0.3">
      <c r="A1016" s="353" t="s">
        <v>1450</v>
      </c>
      <c r="B1016" s="320" t="s">
        <v>6881</v>
      </c>
      <c r="C1016" s="320" t="s">
        <v>7028</v>
      </c>
      <c r="D1016" s="320" t="s">
        <v>7029</v>
      </c>
      <c r="E1016" s="320" t="s">
        <v>7153</v>
      </c>
      <c r="F1016" s="320" t="s">
        <v>7154</v>
      </c>
      <c r="G1016" s="320" t="s">
        <v>7213</v>
      </c>
      <c r="H1016" s="320" t="s">
        <v>7214</v>
      </c>
      <c r="I1016" s="320" t="s">
        <v>271</v>
      </c>
      <c r="J1016" s="320" t="s">
        <v>271</v>
      </c>
      <c r="K1016" s="320" t="s">
        <v>7220</v>
      </c>
      <c r="L1016" s="320" t="s">
        <v>7221</v>
      </c>
      <c r="M1016" s="277"/>
      <c r="N1016" s="277"/>
      <c r="O1016" s="277"/>
      <c r="P1016" s="275"/>
      <c r="Q1016" s="275"/>
      <c r="R1016" s="275"/>
      <c r="S1016" s="275"/>
      <c r="T1016" s="320" t="s">
        <v>6903</v>
      </c>
      <c r="U1016" s="283" t="e">
        <v>#N/A</v>
      </c>
      <c r="V1016" s="320" t="s">
        <v>7225</v>
      </c>
      <c r="W1016" s="320">
        <v>1</v>
      </c>
      <c r="X1016" s="320">
        <v>1</v>
      </c>
      <c r="Y1016" s="320">
        <v>1</v>
      </c>
      <c r="Z1016" s="320">
        <v>1</v>
      </c>
      <c r="AA1016" s="320">
        <v>1</v>
      </c>
      <c r="AB1016" s="320">
        <v>1</v>
      </c>
      <c r="AC1016" s="316">
        <v>0</v>
      </c>
      <c r="AD1016" s="316">
        <v>1</v>
      </c>
      <c r="AE1016" s="302">
        <f t="shared" si="44"/>
        <v>0.875</v>
      </c>
      <c r="AF1016" s="354"/>
      <c r="AG1016" s="17">
        <v>0</v>
      </c>
      <c r="AH1016" s="354">
        <v>13</v>
      </c>
      <c r="AI1016" s="354">
        <v>15</v>
      </c>
      <c r="AJ1016" s="354">
        <v>18</v>
      </c>
      <c r="AK1016" s="319">
        <v>13</v>
      </c>
      <c r="AL1016" s="319">
        <v>27</v>
      </c>
      <c r="AM1016" s="147">
        <f t="shared" si="45"/>
        <v>40</v>
      </c>
      <c r="AN1016" s="320" t="s">
        <v>7226</v>
      </c>
      <c r="AO1016" s="14" t="s">
        <v>6901</v>
      </c>
      <c r="AP1016" s="320" t="s">
        <v>6900</v>
      </c>
    </row>
    <row r="1017" spans="1:42" s="320" customFormat="1" x14ac:dyDescent="0.3">
      <c r="A1017" s="353" t="s">
        <v>1450</v>
      </c>
      <c r="B1017" s="320" t="s">
        <v>6881</v>
      </c>
      <c r="C1017" s="320" t="s">
        <v>7028</v>
      </c>
      <c r="D1017" s="320" t="s">
        <v>7029</v>
      </c>
      <c r="E1017" s="320" t="s">
        <v>7153</v>
      </c>
      <c r="F1017" s="320" t="s">
        <v>7154</v>
      </c>
      <c r="G1017" s="320" t="s">
        <v>7213</v>
      </c>
      <c r="H1017" s="320" t="s">
        <v>7214</v>
      </c>
      <c r="I1017" s="320" t="s">
        <v>271</v>
      </c>
      <c r="J1017" s="320" t="s">
        <v>271</v>
      </c>
      <c r="K1017" s="320" t="s">
        <v>7220</v>
      </c>
      <c r="L1017" s="320" t="s">
        <v>7221</v>
      </c>
      <c r="M1017" s="277" t="s">
        <v>7227</v>
      </c>
      <c r="N1017" s="277">
        <v>55000</v>
      </c>
      <c r="O1017" s="277">
        <v>60000</v>
      </c>
      <c r="P1017" s="275">
        <v>80000</v>
      </c>
      <c r="Q1017" s="275">
        <v>110000</v>
      </c>
      <c r="R1017" s="275">
        <v>150000</v>
      </c>
      <c r="S1017" s="275">
        <v>200000</v>
      </c>
      <c r="T1017" s="320" t="s">
        <v>6903</v>
      </c>
      <c r="U1017" s="283" t="e">
        <v>#N/A</v>
      </c>
      <c r="V1017" s="320" t="s">
        <v>7228</v>
      </c>
      <c r="W1017" s="320">
        <v>1</v>
      </c>
      <c r="X1017" s="320">
        <v>1</v>
      </c>
      <c r="Y1017" s="320">
        <v>1</v>
      </c>
      <c r="Z1017" s="320">
        <v>1</v>
      </c>
      <c r="AA1017" s="320">
        <v>0</v>
      </c>
      <c r="AB1017" s="320">
        <v>1</v>
      </c>
      <c r="AC1017" s="316">
        <v>1</v>
      </c>
      <c r="AD1017" s="316">
        <v>1</v>
      </c>
      <c r="AE1017" s="302">
        <f t="shared" si="44"/>
        <v>0.875</v>
      </c>
      <c r="AF1017" s="354"/>
      <c r="AG1017" s="17">
        <v>0</v>
      </c>
      <c r="AH1017" s="354">
        <v>1.2</v>
      </c>
      <c r="AI1017" s="354">
        <v>1.66</v>
      </c>
      <c r="AJ1017" s="354">
        <v>1.66</v>
      </c>
      <c r="AK1017" s="319">
        <v>17</v>
      </c>
      <c r="AL1017" s="319">
        <v>8.1935044707640259</v>
      </c>
      <c r="AM1017" s="147">
        <f t="shared" si="45"/>
        <v>25.193504470764026</v>
      </c>
      <c r="AN1017" s="320" t="s">
        <v>6900</v>
      </c>
      <c r="AO1017" s="14" t="s">
        <v>6901</v>
      </c>
      <c r="AP1017" s="320" t="s">
        <v>6938</v>
      </c>
    </row>
    <row r="1018" spans="1:42" s="320" customFormat="1" x14ac:dyDescent="0.3">
      <c r="A1018" s="353" t="s">
        <v>1450</v>
      </c>
      <c r="B1018" s="320" t="s">
        <v>6881</v>
      </c>
      <c r="C1018" s="320" t="s">
        <v>7028</v>
      </c>
      <c r="D1018" s="320" t="s">
        <v>7029</v>
      </c>
      <c r="E1018" s="320" t="s">
        <v>7153</v>
      </c>
      <c r="F1018" s="320" t="s">
        <v>7154</v>
      </c>
      <c r="G1018" s="320" t="s">
        <v>7213</v>
      </c>
      <c r="H1018" s="320" t="s">
        <v>7214</v>
      </c>
      <c r="I1018" s="320" t="s">
        <v>271</v>
      </c>
      <c r="J1018" s="320" t="s">
        <v>271</v>
      </c>
      <c r="K1018" s="320" t="s">
        <v>7220</v>
      </c>
      <c r="L1018" s="320" t="s">
        <v>7221</v>
      </c>
      <c r="M1018" s="277"/>
      <c r="N1018" s="277"/>
      <c r="O1018" s="277"/>
      <c r="P1018" s="275"/>
      <c r="Q1018" s="275"/>
      <c r="R1018" s="275"/>
      <c r="S1018" s="275"/>
      <c r="T1018" s="320" t="s">
        <v>6903</v>
      </c>
      <c r="U1018" s="283" t="e">
        <v>#N/A</v>
      </c>
      <c r="V1018" s="320" t="s">
        <v>7229</v>
      </c>
      <c r="W1018" s="320">
        <v>1</v>
      </c>
      <c r="X1018" s="320">
        <v>1</v>
      </c>
      <c r="Y1018" s="320">
        <v>0</v>
      </c>
      <c r="Z1018" s="320">
        <v>1</v>
      </c>
      <c r="AA1018" s="320">
        <v>1</v>
      </c>
      <c r="AB1018" s="320">
        <v>1</v>
      </c>
      <c r="AC1018" s="316">
        <v>0</v>
      </c>
      <c r="AD1018" s="316">
        <v>1</v>
      </c>
      <c r="AE1018" s="302">
        <f t="shared" ref="AE1018:AE1049" si="46">SUM(W1018:AD1018)/8</f>
        <v>0.75</v>
      </c>
      <c r="AF1018" s="354"/>
      <c r="AG1018" s="17">
        <v>0</v>
      </c>
      <c r="AH1018" s="354">
        <v>0.5</v>
      </c>
      <c r="AI1018" s="354">
        <v>0.5</v>
      </c>
      <c r="AJ1018" s="354">
        <v>0.5</v>
      </c>
      <c r="AK1018" s="319">
        <v>0.5</v>
      </c>
      <c r="AL1018" s="319">
        <v>0.5</v>
      </c>
      <c r="AM1018" s="147">
        <f t="shared" si="45"/>
        <v>1</v>
      </c>
      <c r="AN1018" s="320" t="s">
        <v>6900</v>
      </c>
      <c r="AO1018" s="14" t="s">
        <v>6901</v>
      </c>
      <c r="AP1018" s="320" t="s">
        <v>7218</v>
      </c>
    </row>
    <row r="1019" spans="1:42" s="320" customFormat="1" x14ac:dyDescent="0.3">
      <c r="A1019" s="353" t="s">
        <v>1450</v>
      </c>
      <c r="B1019" s="320" t="s">
        <v>6881</v>
      </c>
      <c r="C1019" s="320" t="s">
        <v>7028</v>
      </c>
      <c r="D1019" s="320" t="s">
        <v>7029</v>
      </c>
      <c r="E1019" s="320" t="s">
        <v>7153</v>
      </c>
      <c r="F1019" s="320" t="s">
        <v>7154</v>
      </c>
      <c r="G1019" s="320" t="s">
        <v>7213</v>
      </c>
      <c r="H1019" s="320" t="s">
        <v>7214</v>
      </c>
      <c r="I1019" s="320" t="s">
        <v>271</v>
      </c>
      <c r="J1019" s="320" t="s">
        <v>271</v>
      </c>
      <c r="K1019" s="320" t="s">
        <v>7220</v>
      </c>
      <c r="L1019" s="320" t="s">
        <v>7221</v>
      </c>
      <c r="M1019" s="277"/>
      <c r="N1019" s="277"/>
      <c r="O1019" s="277"/>
      <c r="P1019" s="275"/>
      <c r="Q1019" s="275"/>
      <c r="R1019" s="275"/>
      <c r="S1019" s="275"/>
      <c r="T1019" s="320" t="s">
        <v>6903</v>
      </c>
      <c r="U1019" s="283" t="e">
        <v>#N/A</v>
      </c>
      <c r="V1019" s="320" t="s">
        <v>7230</v>
      </c>
      <c r="W1019" s="320">
        <v>1</v>
      </c>
      <c r="Y1019" s="320">
        <v>1</v>
      </c>
      <c r="Z1019" s="320">
        <v>1</v>
      </c>
      <c r="AA1019" s="320">
        <v>1</v>
      </c>
      <c r="AC1019" s="316">
        <v>1</v>
      </c>
      <c r="AD1019" s="316">
        <v>1</v>
      </c>
      <c r="AE1019" s="302">
        <f t="shared" si="46"/>
        <v>0.75</v>
      </c>
      <c r="AF1019" s="354"/>
      <c r="AG1019" s="17">
        <v>0</v>
      </c>
      <c r="AH1019" s="354">
        <v>0.5</v>
      </c>
      <c r="AI1019" s="354">
        <v>0.6</v>
      </c>
      <c r="AJ1019" s="354">
        <v>0.6</v>
      </c>
      <c r="AK1019" s="319">
        <v>1</v>
      </c>
      <c r="AL1019" s="319">
        <v>0.6</v>
      </c>
      <c r="AM1019" s="147">
        <f t="shared" si="45"/>
        <v>1.6</v>
      </c>
      <c r="AN1019" s="320" t="s">
        <v>6900</v>
      </c>
      <c r="AO1019" s="14" t="s">
        <v>6901</v>
      </c>
      <c r="AP1019" s="320" t="s">
        <v>3829</v>
      </c>
    </row>
    <row r="1020" spans="1:42" s="320" customFormat="1" x14ac:dyDescent="0.3">
      <c r="A1020" s="353" t="s">
        <v>1450</v>
      </c>
      <c r="B1020" s="320" t="s">
        <v>6881</v>
      </c>
      <c r="C1020" s="320" t="s">
        <v>7028</v>
      </c>
      <c r="D1020" s="320" t="s">
        <v>7029</v>
      </c>
      <c r="E1020" s="320" t="s">
        <v>7153</v>
      </c>
      <c r="F1020" s="320" t="s">
        <v>7154</v>
      </c>
      <c r="G1020" s="320" t="s">
        <v>7213</v>
      </c>
      <c r="H1020" s="320" t="s">
        <v>7214</v>
      </c>
      <c r="I1020" s="320" t="s">
        <v>271</v>
      </c>
      <c r="J1020" s="320" t="s">
        <v>271</v>
      </c>
      <c r="K1020" s="320" t="s">
        <v>7220</v>
      </c>
      <c r="L1020" s="320" t="s">
        <v>7221</v>
      </c>
      <c r="M1020" s="277"/>
      <c r="N1020" s="277"/>
      <c r="O1020" s="277"/>
      <c r="P1020" s="275"/>
      <c r="Q1020" s="275"/>
      <c r="R1020" s="275"/>
      <c r="S1020" s="275"/>
      <c r="T1020" s="320" t="s">
        <v>6903</v>
      </c>
      <c r="U1020" s="283" t="e">
        <v>#N/A</v>
      </c>
      <c r="V1020" s="320" t="s">
        <v>7231</v>
      </c>
      <c r="W1020" s="320">
        <v>1</v>
      </c>
      <c r="X1020" s="320">
        <v>1</v>
      </c>
      <c r="Y1020" s="320">
        <v>1</v>
      </c>
      <c r="Z1020" s="320">
        <v>0</v>
      </c>
      <c r="AA1020" s="320">
        <v>0</v>
      </c>
      <c r="AB1020" s="320">
        <v>1</v>
      </c>
      <c r="AC1020" s="316">
        <v>1</v>
      </c>
      <c r="AD1020" s="316">
        <v>1</v>
      </c>
      <c r="AE1020" s="302">
        <f t="shared" si="46"/>
        <v>0.75</v>
      </c>
      <c r="AF1020" s="354"/>
      <c r="AG1020" s="17">
        <v>0</v>
      </c>
      <c r="AH1020" s="354">
        <v>2.5</v>
      </c>
      <c r="AI1020" s="354">
        <v>3</v>
      </c>
      <c r="AJ1020" s="354">
        <v>3</v>
      </c>
      <c r="AK1020" s="319">
        <v>3</v>
      </c>
      <c r="AL1020" s="319">
        <v>3</v>
      </c>
      <c r="AM1020" s="147">
        <f t="shared" si="45"/>
        <v>6</v>
      </c>
      <c r="AN1020" s="320" t="s">
        <v>7226</v>
      </c>
      <c r="AO1020" s="14" t="s">
        <v>6901</v>
      </c>
      <c r="AP1020" s="320" t="s">
        <v>6900</v>
      </c>
    </row>
    <row r="1021" spans="1:42" s="320" customFormat="1" x14ac:dyDescent="0.3">
      <c r="A1021" s="353" t="s">
        <v>1450</v>
      </c>
      <c r="B1021" s="320" t="s">
        <v>6881</v>
      </c>
      <c r="C1021" s="320" t="s">
        <v>7028</v>
      </c>
      <c r="D1021" s="320" t="s">
        <v>7029</v>
      </c>
      <c r="E1021" s="320" t="s">
        <v>7153</v>
      </c>
      <c r="F1021" s="320" t="s">
        <v>7154</v>
      </c>
      <c r="G1021" s="320" t="s">
        <v>7213</v>
      </c>
      <c r="H1021" s="320" t="s">
        <v>7214</v>
      </c>
      <c r="I1021" s="320" t="s">
        <v>271</v>
      </c>
      <c r="J1021" s="320" t="s">
        <v>271</v>
      </c>
      <c r="K1021" s="320" t="s">
        <v>7232</v>
      </c>
      <c r="L1021" s="320" t="s">
        <v>7233</v>
      </c>
      <c r="M1021" s="277" t="s">
        <v>7234</v>
      </c>
      <c r="N1021" s="277">
        <v>0</v>
      </c>
      <c r="O1021" s="277"/>
      <c r="P1021" s="275">
        <v>1</v>
      </c>
      <c r="Q1021" s="275"/>
      <c r="R1021" s="275"/>
      <c r="S1021" s="275">
        <v>1</v>
      </c>
      <c r="T1021" s="320" t="s">
        <v>6903</v>
      </c>
      <c r="U1021" s="283" t="e">
        <v>#N/A</v>
      </c>
      <c r="V1021" s="320" t="s">
        <v>7235</v>
      </c>
      <c r="W1021" s="320">
        <v>1</v>
      </c>
      <c r="X1021" s="320">
        <v>1</v>
      </c>
      <c r="Y1021" s="320">
        <v>1</v>
      </c>
      <c r="Z1021" s="320">
        <v>1</v>
      </c>
      <c r="AA1021" s="320">
        <v>1</v>
      </c>
      <c r="AB1021" s="320">
        <v>1</v>
      </c>
      <c r="AC1021" s="316">
        <v>1</v>
      </c>
      <c r="AD1021" s="316">
        <v>1</v>
      </c>
      <c r="AE1021" s="302">
        <f t="shared" si="46"/>
        <v>1</v>
      </c>
      <c r="AF1021" s="354"/>
      <c r="AG1021" s="17">
        <v>0</v>
      </c>
      <c r="AH1021" s="354">
        <v>0.8</v>
      </c>
      <c r="AI1021" s="354">
        <v>0.8</v>
      </c>
      <c r="AJ1021" s="354">
        <v>0.88</v>
      </c>
      <c r="AK1021" s="319">
        <v>0.88</v>
      </c>
      <c r="AL1021" s="319">
        <v>1.1499999999999999</v>
      </c>
      <c r="AM1021" s="147">
        <f t="shared" si="45"/>
        <v>2.0299999999999998</v>
      </c>
      <c r="AN1021" s="320" t="s">
        <v>6900</v>
      </c>
      <c r="AO1021" s="14" t="s">
        <v>6901</v>
      </c>
      <c r="AP1021" s="320" t="s">
        <v>7224</v>
      </c>
    </row>
    <row r="1022" spans="1:42" s="320" customFormat="1" x14ac:dyDescent="0.3">
      <c r="A1022" s="353" t="s">
        <v>1450</v>
      </c>
      <c r="B1022" s="320" t="s">
        <v>6881</v>
      </c>
      <c r="C1022" s="320" t="s">
        <v>7028</v>
      </c>
      <c r="D1022" s="320" t="s">
        <v>7029</v>
      </c>
      <c r="E1022" s="320" t="s">
        <v>7153</v>
      </c>
      <c r="F1022" s="320" t="s">
        <v>7154</v>
      </c>
      <c r="G1022" s="320" t="s">
        <v>7213</v>
      </c>
      <c r="H1022" s="320" t="s">
        <v>7214</v>
      </c>
      <c r="I1022" s="320" t="s">
        <v>271</v>
      </c>
      <c r="J1022" s="320" t="s">
        <v>271</v>
      </c>
      <c r="K1022" s="320" t="s">
        <v>7236</v>
      </c>
      <c r="L1022" s="320" t="s">
        <v>7237</v>
      </c>
      <c r="M1022" s="277" t="s">
        <v>7238</v>
      </c>
      <c r="N1022" s="277">
        <v>10</v>
      </c>
      <c r="O1022" s="277">
        <v>10</v>
      </c>
      <c r="P1022" s="275">
        <v>10</v>
      </c>
      <c r="Q1022" s="275">
        <v>10</v>
      </c>
      <c r="R1022" s="275">
        <v>12</v>
      </c>
      <c r="S1022" s="275">
        <v>15</v>
      </c>
      <c r="T1022" s="320" t="s">
        <v>7071</v>
      </c>
      <c r="U1022" s="283" t="e">
        <v>#N/A</v>
      </c>
      <c r="V1022" s="320" t="s">
        <v>7239</v>
      </c>
      <c r="W1022" s="320">
        <v>1</v>
      </c>
      <c r="X1022" s="320">
        <v>0</v>
      </c>
      <c r="Y1022" s="320">
        <v>0</v>
      </c>
      <c r="Z1022" s="320">
        <v>1</v>
      </c>
      <c r="AA1022" s="320">
        <v>1</v>
      </c>
      <c r="AB1022" s="320">
        <v>0</v>
      </c>
      <c r="AC1022" s="316">
        <v>1</v>
      </c>
      <c r="AD1022" s="316">
        <v>1</v>
      </c>
      <c r="AE1022" s="302">
        <f t="shared" si="46"/>
        <v>0.625</v>
      </c>
      <c r="AF1022" s="354"/>
      <c r="AG1022" s="17">
        <v>0</v>
      </c>
      <c r="AH1022" s="354">
        <v>0.2</v>
      </c>
      <c r="AI1022" s="354">
        <v>0.2</v>
      </c>
      <c r="AJ1022" s="354">
        <v>0.5</v>
      </c>
      <c r="AK1022" s="319">
        <v>0.7</v>
      </c>
      <c r="AL1022" s="319">
        <v>1</v>
      </c>
      <c r="AM1022" s="147">
        <f t="shared" si="45"/>
        <v>1.7</v>
      </c>
      <c r="AN1022" s="320" t="s">
        <v>6900</v>
      </c>
      <c r="AO1022" s="14" t="s">
        <v>6901</v>
      </c>
      <c r="AP1022" s="320" t="s">
        <v>7204</v>
      </c>
    </row>
    <row r="1023" spans="1:42" s="320" customFormat="1" x14ac:dyDescent="0.3">
      <c r="A1023" s="353" t="s">
        <v>1450</v>
      </c>
      <c r="B1023" s="320" t="s">
        <v>6881</v>
      </c>
      <c r="C1023" s="320" t="s">
        <v>7028</v>
      </c>
      <c r="D1023" s="320" t="s">
        <v>7029</v>
      </c>
      <c r="E1023" s="320" t="s">
        <v>7153</v>
      </c>
      <c r="F1023" s="320" t="s">
        <v>7154</v>
      </c>
      <c r="G1023" s="320" t="s">
        <v>7213</v>
      </c>
      <c r="H1023" s="320" t="s">
        <v>7214</v>
      </c>
      <c r="I1023" s="320" t="s">
        <v>271</v>
      </c>
      <c r="J1023" s="320" t="s">
        <v>271</v>
      </c>
      <c r="K1023" s="320" t="s">
        <v>7236</v>
      </c>
      <c r="L1023" s="320" t="s">
        <v>7237</v>
      </c>
      <c r="M1023" s="277"/>
      <c r="N1023" s="277"/>
      <c r="O1023" s="277"/>
      <c r="P1023" s="275"/>
      <c r="Q1023" s="275"/>
      <c r="R1023" s="275"/>
      <c r="S1023" s="275"/>
      <c r="T1023" s="320" t="s">
        <v>7071</v>
      </c>
      <c r="U1023" s="283" t="e">
        <v>#N/A</v>
      </c>
      <c r="V1023" s="320" t="s">
        <v>7240</v>
      </c>
      <c r="W1023" s="320">
        <v>1</v>
      </c>
      <c r="X1023" s="320">
        <v>1</v>
      </c>
      <c r="Y1023" s="320">
        <v>0</v>
      </c>
      <c r="Z1023" s="320">
        <v>1</v>
      </c>
      <c r="AA1023" s="320">
        <v>1</v>
      </c>
      <c r="AB1023" s="320">
        <v>1</v>
      </c>
      <c r="AC1023" s="316">
        <v>0</v>
      </c>
      <c r="AD1023" s="316">
        <v>1</v>
      </c>
      <c r="AE1023" s="302">
        <f t="shared" si="46"/>
        <v>0.75</v>
      </c>
      <c r="AF1023" s="354"/>
      <c r="AG1023" s="17">
        <v>0</v>
      </c>
      <c r="AH1023" s="354">
        <v>0.5</v>
      </c>
      <c r="AI1023" s="354">
        <v>0.5</v>
      </c>
      <c r="AJ1023" s="354">
        <v>0.5</v>
      </c>
      <c r="AK1023" s="319">
        <v>0.5</v>
      </c>
      <c r="AL1023" s="319">
        <v>0.5</v>
      </c>
      <c r="AM1023" s="147">
        <f t="shared" si="45"/>
        <v>1</v>
      </c>
      <c r="AN1023" s="320" t="s">
        <v>7226</v>
      </c>
      <c r="AO1023" s="14" t="s">
        <v>6901</v>
      </c>
      <c r="AP1023" s="320" t="s">
        <v>7241</v>
      </c>
    </row>
    <row r="1024" spans="1:42" s="320" customFormat="1" x14ac:dyDescent="0.3">
      <c r="A1024" s="353" t="s">
        <v>1450</v>
      </c>
      <c r="B1024" s="320" t="s">
        <v>6881</v>
      </c>
      <c r="C1024" s="320" t="s">
        <v>7028</v>
      </c>
      <c r="D1024" s="320" t="s">
        <v>7029</v>
      </c>
      <c r="E1024" s="320" t="s">
        <v>7153</v>
      </c>
      <c r="F1024" s="320" t="s">
        <v>7154</v>
      </c>
      <c r="G1024" s="320" t="s">
        <v>7242</v>
      </c>
      <c r="H1024" s="320" t="s">
        <v>7243</v>
      </c>
      <c r="I1024" s="320" t="s">
        <v>271</v>
      </c>
      <c r="J1024" s="320" t="s">
        <v>271</v>
      </c>
      <c r="K1024" s="320" t="s">
        <v>7244</v>
      </c>
      <c r="L1024" s="320" t="s">
        <v>7245</v>
      </c>
      <c r="M1024" s="277" t="s">
        <v>7246</v>
      </c>
      <c r="N1024" s="454">
        <v>4000</v>
      </c>
      <c r="O1024" s="456">
        <v>3809.5238095238092</v>
      </c>
      <c r="P1024" s="356">
        <v>3628.1179138321991</v>
      </c>
      <c r="Q1024" s="356">
        <v>3455.3503941259037</v>
      </c>
      <c r="R1024" s="356">
        <v>3290.809899167527</v>
      </c>
      <c r="S1024" s="356">
        <v>3134.1046658738351</v>
      </c>
      <c r="T1024" s="184" t="s">
        <v>6903</v>
      </c>
      <c r="U1024" s="283" t="e">
        <v>#N/A</v>
      </c>
      <c r="V1024" s="320" t="s">
        <v>7247</v>
      </c>
      <c r="W1024" s="320">
        <v>1</v>
      </c>
      <c r="X1024" s="320">
        <v>1</v>
      </c>
      <c r="Y1024" s="320">
        <v>0</v>
      </c>
      <c r="Z1024" s="320">
        <v>1</v>
      </c>
      <c r="AA1024" s="320">
        <v>1</v>
      </c>
      <c r="AB1024" s="320">
        <v>0</v>
      </c>
      <c r="AC1024" s="316">
        <v>1</v>
      </c>
      <c r="AD1024" s="316">
        <v>1</v>
      </c>
      <c r="AE1024" s="302">
        <f t="shared" si="46"/>
        <v>0.75</v>
      </c>
      <c r="AF1024" s="354"/>
      <c r="AG1024" s="17">
        <v>0</v>
      </c>
      <c r="AH1024" s="354">
        <v>5</v>
      </c>
      <c r="AI1024" s="354">
        <v>1</v>
      </c>
      <c r="AJ1024" s="354">
        <v>1</v>
      </c>
      <c r="AK1024" s="319">
        <v>1</v>
      </c>
      <c r="AL1024" s="319">
        <v>1</v>
      </c>
      <c r="AM1024" s="147">
        <f t="shared" si="45"/>
        <v>2</v>
      </c>
      <c r="AN1024" s="320" t="s">
        <v>7226</v>
      </c>
      <c r="AO1024" s="14" t="s">
        <v>6901</v>
      </c>
      <c r="AP1024" s="320" t="s">
        <v>7071</v>
      </c>
    </row>
    <row r="1025" spans="1:42" s="320" customFormat="1" x14ac:dyDescent="0.3">
      <c r="A1025" s="353" t="s">
        <v>1450</v>
      </c>
      <c r="B1025" s="320" t="s">
        <v>6881</v>
      </c>
      <c r="C1025" s="320" t="s">
        <v>7028</v>
      </c>
      <c r="D1025" s="320" t="s">
        <v>7029</v>
      </c>
      <c r="E1025" s="320" t="s">
        <v>7153</v>
      </c>
      <c r="F1025" s="320" t="s">
        <v>7154</v>
      </c>
      <c r="G1025" s="320" t="s">
        <v>7248</v>
      </c>
      <c r="H1025" s="320" t="s">
        <v>7249</v>
      </c>
      <c r="I1025" s="320" t="s">
        <v>271</v>
      </c>
      <c r="J1025" s="320" t="s">
        <v>271</v>
      </c>
      <c r="K1025" s="320" t="s">
        <v>7250</v>
      </c>
      <c r="L1025" s="320" t="s">
        <v>7251</v>
      </c>
      <c r="M1025" s="277" t="s">
        <v>7252</v>
      </c>
      <c r="N1025" s="277">
        <v>30</v>
      </c>
      <c r="O1025" s="277">
        <v>29</v>
      </c>
      <c r="P1025" s="275">
        <v>28</v>
      </c>
      <c r="Q1025" s="275">
        <v>27</v>
      </c>
      <c r="R1025" s="275">
        <v>26</v>
      </c>
      <c r="S1025" s="275">
        <v>20</v>
      </c>
      <c r="T1025" s="320" t="s">
        <v>7253</v>
      </c>
      <c r="U1025" s="283" t="e">
        <v>#N/A</v>
      </c>
      <c r="V1025" s="320" t="s">
        <v>7254</v>
      </c>
      <c r="W1025" s="320">
        <v>1</v>
      </c>
      <c r="X1025" s="320">
        <v>1</v>
      </c>
      <c r="Y1025" s="320">
        <v>0</v>
      </c>
      <c r="Z1025" s="320">
        <v>1</v>
      </c>
      <c r="AA1025" s="320">
        <v>1</v>
      </c>
      <c r="AB1025" s="320">
        <v>1</v>
      </c>
      <c r="AC1025" s="316">
        <v>0</v>
      </c>
      <c r="AD1025" s="316">
        <v>1</v>
      </c>
      <c r="AE1025" s="302">
        <f t="shared" si="46"/>
        <v>0.75</v>
      </c>
      <c r="AF1025" s="354"/>
      <c r="AG1025" s="17">
        <v>0</v>
      </c>
      <c r="AH1025" s="354">
        <v>3.6</v>
      </c>
      <c r="AI1025" s="354">
        <v>3.6</v>
      </c>
      <c r="AJ1025" s="354">
        <v>3.6</v>
      </c>
      <c r="AK1025" s="319">
        <v>5.6</v>
      </c>
      <c r="AL1025" s="319">
        <v>5.6</v>
      </c>
      <c r="AM1025" s="147">
        <f t="shared" si="45"/>
        <v>11.2</v>
      </c>
      <c r="AN1025" s="320" t="s">
        <v>7073</v>
      </c>
      <c r="AO1025" s="14" t="s">
        <v>6901</v>
      </c>
      <c r="AP1025" s="320" t="s">
        <v>280</v>
      </c>
    </row>
    <row r="1026" spans="1:42" s="320" customFormat="1" x14ac:dyDescent="0.3">
      <c r="A1026" s="353" t="s">
        <v>1450</v>
      </c>
      <c r="B1026" s="320" t="s">
        <v>6881</v>
      </c>
      <c r="C1026" s="320" t="s">
        <v>7255</v>
      </c>
      <c r="D1026" s="320" t="s">
        <v>7256</v>
      </c>
      <c r="E1026" s="320" t="s">
        <v>7257</v>
      </c>
      <c r="F1026" s="320" t="s">
        <v>7258</v>
      </c>
      <c r="G1026" s="320" t="s">
        <v>7259</v>
      </c>
      <c r="H1026" s="320" t="s">
        <v>7260</v>
      </c>
      <c r="I1026" s="320" t="s">
        <v>271</v>
      </c>
      <c r="J1026" s="320" t="s">
        <v>271</v>
      </c>
      <c r="K1026" s="320" t="s">
        <v>7261</v>
      </c>
      <c r="L1026" s="320" t="s">
        <v>7262</v>
      </c>
      <c r="M1026" s="277" t="s">
        <v>7263</v>
      </c>
      <c r="N1026" s="277" t="s">
        <v>271</v>
      </c>
      <c r="O1026" s="277" t="s">
        <v>271</v>
      </c>
      <c r="P1026" s="275">
        <v>0</v>
      </c>
      <c r="Q1026" s="275">
        <v>1</v>
      </c>
      <c r="R1026" s="275">
        <v>1</v>
      </c>
      <c r="S1026" s="275">
        <v>1</v>
      </c>
      <c r="T1026" s="320" t="s">
        <v>6903</v>
      </c>
      <c r="U1026" s="283" t="e">
        <v>#N/A</v>
      </c>
      <c r="V1026" s="320" t="s">
        <v>7264</v>
      </c>
      <c r="W1026" s="320">
        <v>1</v>
      </c>
      <c r="X1026" s="320">
        <v>1</v>
      </c>
      <c r="Y1026" s="320">
        <v>0</v>
      </c>
      <c r="Z1026" s="320">
        <v>1</v>
      </c>
      <c r="AA1026" s="320">
        <v>1</v>
      </c>
      <c r="AB1026" s="320">
        <v>1</v>
      </c>
      <c r="AC1026" s="316">
        <v>0</v>
      </c>
      <c r="AD1026" s="316">
        <v>1</v>
      </c>
      <c r="AE1026" s="302">
        <f t="shared" si="46"/>
        <v>0.75</v>
      </c>
      <c r="AF1026" s="354"/>
      <c r="AG1026" s="17">
        <v>0</v>
      </c>
      <c r="AH1026" s="354">
        <v>0.02</v>
      </c>
      <c r="AI1026" s="354">
        <v>0.02</v>
      </c>
      <c r="AJ1026" s="354">
        <v>0.02</v>
      </c>
      <c r="AK1026" s="319">
        <v>0.02</v>
      </c>
      <c r="AL1026" s="319">
        <v>0.02</v>
      </c>
      <c r="AM1026" s="147">
        <f t="shared" si="45"/>
        <v>0.04</v>
      </c>
      <c r="AN1026" s="320" t="s">
        <v>7101</v>
      </c>
      <c r="AO1026" s="14" t="s">
        <v>6901</v>
      </c>
      <c r="AP1026" s="320" t="s">
        <v>7102</v>
      </c>
    </row>
    <row r="1027" spans="1:42" s="320" customFormat="1" x14ac:dyDescent="0.3">
      <c r="A1027" s="353" t="s">
        <v>1450</v>
      </c>
      <c r="B1027" s="320" t="s">
        <v>6881</v>
      </c>
      <c r="C1027" s="320" t="s">
        <v>7255</v>
      </c>
      <c r="D1027" s="320" t="s">
        <v>7256</v>
      </c>
      <c r="E1027" s="320" t="s">
        <v>7257</v>
      </c>
      <c r="F1027" s="320" t="s">
        <v>7258</v>
      </c>
      <c r="G1027" s="320" t="s">
        <v>7259</v>
      </c>
      <c r="H1027" s="320" t="s">
        <v>7260</v>
      </c>
      <c r="I1027" s="320" t="s">
        <v>271</v>
      </c>
      <c r="J1027" s="320" t="s">
        <v>271</v>
      </c>
      <c r="K1027" s="320" t="s">
        <v>7261</v>
      </c>
      <c r="L1027" s="320" t="s">
        <v>7262</v>
      </c>
      <c r="M1027" s="277"/>
      <c r="N1027" s="277"/>
      <c r="O1027" s="277"/>
      <c r="P1027" s="275"/>
      <c r="Q1027" s="275"/>
      <c r="R1027" s="275"/>
      <c r="S1027" s="275"/>
      <c r="T1027" s="320" t="s">
        <v>6903</v>
      </c>
      <c r="U1027" s="283" t="e">
        <v>#N/A</v>
      </c>
      <c r="V1027" s="320" t="s">
        <v>7265</v>
      </c>
      <c r="W1027" s="320">
        <v>1</v>
      </c>
      <c r="X1027" s="320">
        <v>1</v>
      </c>
      <c r="Y1027" s="320">
        <v>0</v>
      </c>
      <c r="Z1027" s="320">
        <v>1</v>
      </c>
      <c r="AA1027" s="320">
        <v>1</v>
      </c>
      <c r="AB1027" s="320">
        <v>1</v>
      </c>
      <c r="AC1027" s="316">
        <v>1</v>
      </c>
      <c r="AD1027" s="316">
        <v>1</v>
      </c>
      <c r="AE1027" s="302">
        <f t="shared" si="46"/>
        <v>0.875</v>
      </c>
      <c r="AF1027" s="354"/>
      <c r="AG1027" s="17">
        <v>0</v>
      </c>
      <c r="AH1027" s="354">
        <v>0</v>
      </c>
      <c r="AI1027" s="354">
        <v>5</v>
      </c>
      <c r="AJ1027" s="354">
        <v>5</v>
      </c>
      <c r="AK1027" s="319">
        <v>5</v>
      </c>
      <c r="AL1027" s="319">
        <v>5</v>
      </c>
      <c r="AM1027" s="147">
        <f t="shared" si="45"/>
        <v>10</v>
      </c>
      <c r="AN1027" s="320" t="s">
        <v>6900</v>
      </c>
      <c r="AO1027" s="14" t="s">
        <v>6901</v>
      </c>
      <c r="AP1027" s="320" t="s">
        <v>723</v>
      </c>
    </row>
    <row r="1028" spans="1:42" s="320" customFormat="1" x14ac:dyDescent="0.3">
      <c r="A1028" s="353" t="s">
        <v>1450</v>
      </c>
      <c r="B1028" s="320" t="s">
        <v>6881</v>
      </c>
      <c r="C1028" s="320" t="s">
        <v>7255</v>
      </c>
      <c r="D1028" s="320" t="s">
        <v>7256</v>
      </c>
      <c r="E1028" s="320" t="s">
        <v>7257</v>
      </c>
      <c r="F1028" s="320" t="s">
        <v>7258</v>
      </c>
      <c r="G1028" s="320" t="s">
        <v>7259</v>
      </c>
      <c r="H1028" s="320" t="s">
        <v>7260</v>
      </c>
      <c r="I1028" s="320" t="s">
        <v>271</v>
      </c>
      <c r="J1028" s="320" t="s">
        <v>271</v>
      </c>
      <c r="K1028" s="320" t="s">
        <v>7261</v>
      </c>
      <c r="L1028" s="320" t="s">
        <v>7262</v>
      </c>
      <c r="M1028" s="277"/>
      <c r="N1028" s="277"/>
      <c r="O1028" s="277"/>
      <c r="P1028" s="275"/>
      <c r="Q1028" s="275"/>
      <c r="R1028" s="275"/>
      <c r="S1028" s="275"/>
      <c r="T1028" s="320" t="s">
        <v>6903</v>
      </c>
      <c r="U1028" s="283" t="e">
        <v>#N/A</v>
      </c>
      <c r="V1028" s="320" t="s">
        <v>7266</v>
      </c>
      <c r="W1028" s="320">
        <v>1</v>
      </c>
      <c r="X1028" s="320">
        <v>1</v>
      </c>
      <c r="Y1028" s="320">
        <v>0</v>
      </c>
      <c r="Z1028" s="320">
        <v>1</v>
      </c>
      <c r="AA1028" s="320">
        <v>1</v>
      </c>
      <c r="AB1028" s="320">
        <v>1</v>
      </c>
      <c r="AC1028" s="316">
        <v>1</v>
      </c>
      <c r="AD1028" s="316">
        <v>1</v>
      </c>
      <c r="AE1028" s="302">
        <f t="shared" si="46"/>
        <v>0.875</v>
      </c>
      <c r="AF1028" s="354"/>
      <c r="AG1028" s="17">
        <v>0</v>
      </c>
      <c r="AH1028" s="354">
        <v>0</v>
      </c>
      <c r="AI1028" s="354">
        <v>0</v>
      </c>
      <c r="AJ1028" s="354">
        <v>0.1</v>
      </c>
      <c r="AK1028" s="319">
        <v>0.1</v>
      </c>
      <c r="AL1028" s="319">
        <v>0.1</v>
      </c>
      <c r="AM1028" s="147">
        <f t="shared" si="45"/>
        <v>0.2</v>
      </c>
      <c r="AN1028" s="320" t="s">
        <v>6900</v>
      </c>
      <c r="AO1028" s="14" t="s">
        <v>6901</v>
      </c>
      <c r="AP1028" s="320" t="s">
        <v>723</v>
      </c>
    </row>
    <row r="1029" spans="1:42" s="320" customFormat="1" x14ac:dyDescent="0.3">
      <c r="A1029" s="353" t="s">
        <v>1450</v>
      </c>
      <c r="B1029" s="320" t="s">
        <v>6881</v>
      </c>
      <c r="C1029" s="320" t="s">
        <v>7255</v>
      </c>
      <c r="D1029" s="320" t="s">
        <v>7256</v>
      </c>
      <c r="E1029" s="320" t="s">
        <v>7257</v>
      </c>
      <c r="F1029" s="320" t="s">
        <v>7258</v>
      </c>
      <c r="G1029" s="320" t="s">
        <v>7259</v>
      </c>
      <c r="H1029" s="320" t="s">
        <v>7260</v>
      </c>
      <c r="I1029" s="320" t="s">
        <v>271</v>
      </c>
      <c r="J1029" s="320" t="s">
        <v>271</v>
      </c>
      <c r="K1029" s="320" t="s">
        <v>7261</v>
      </c>
      <c r="L1029" s="320" t="s">
        <v>7262</v>
      </c>
      <c r="M1029" s="277"/>
      <c r="N1029" s="277"/>
      <c r="O1029" s="277"/>
      <c r="P1029" s="275"/>
      <c r="Q1029" s="275"/>
      <c r="R1029" s="275"/>
      <c r="S1029" s="275"/>
      <c r="T1029" s="320" t="s">
        <v>6903</v>
      </c>
      <c r="U1029" s="283" t="e">
        <v>#N/A</v>
      </c>
      <c r="V1029" s="320" t="s">
        <v>7267</v>
      </c>
      <c r="W1029" s="320">
        <v>1</v>
      </c>
      <c r="X1029" s="320">
        <v>1</v>
      </c>
      <c r="Y1029" s="320">
        <v>0</v>
      </c>
      <c r="Z1029" s="320">
        <v>1</v>
      </c>
      <c r="AA1029" s="320">
        <v>1</v>
      </c>
      <c r="AB1029" s="320">
        <v>1</v>
      </c>
      <c r="AC1029" s="316">
        <v>1</v>
      </c>
      <c r="AD1029" s="316">
        <v>0</v>
      </c>
      <c r="AE1029" s="302">
        <f t="shared" si="46"/>
        <v>0.75</v>
      </c>
      <c r="AF1029" s="354"/>
      <c r="AG1029" s="17">
        <v>0</v>
      </c>
      <c r="AH1029" s="354">
        <v>0</v>
      </c>
      <c r="AI1029" s="354">
        <v>0.1</v>
      </c>
      <c r="AJ1029" s="354">
        <v>0.1</v>
      </c>
      <c r="AK1029" s="319">
        <v>0.1</v>
      </c>
      <c r="AL1029" s="319">
        <v>0.1</v>
      </c>
      <c r="AM1029" s="147">
        <f t="shared" si="45"/>
        <v>0.2</v>
      </c>
      <c r="AN1029" s="320" t="s">
        <v>7101</v>
      </c>
      <c r="AO1029" s="14" t="s">
        <v>6901</v>
      </c>
      <c r="AP1029" s="320" t="s">
        <v>723</v>
      </c>
    </row>
    <row r="1030" spans="1:42" s="320" customFormat="1" x14ac:dyDescent="0.3">
      <c r="A1030" s="353" t="s">
        <v>1450</v>
      </c>
      <c r="B1030" s="320" t="s">
        <v>6881</v>
      </c>
      <c r="C1030" s="320" t="s">
        <v>7255</v>
      </c>
      <c r="D1030" s="320" t="s">
        <v>7256</v>
      </c>
      <c r="E1030" s="320" t="s">
        <v>7257</v>
      </c>
      <c r="F1030" s="320" t="s">
        <v>7258</v>
      </c>
      <c r="G1030" s="320" t="s">
        <v>7259</v>
      </c>
      <c r="H1030" s="320" t="s">
        <v>7260</v>
      </c>
      <c r="I1030" s="320" t="s">
        <v>271</v>
      </c>
      <c r="J1030" s="320" t="s">
        <v>271</v>
      </c>
      <c r="K1030" s="320" t="s">
        <v>7261</v>
      </c>
      <c r="L1030" s="320" t="s">
        <v>7262</v>
      </c>
      <c r="M1030" s="277"/>
      <c r="N1030" s="277"/>
      <c r="O1030" s="277"/>
      <c r="P1030" s="275"/>
      <c r="Q1030" s="275"/>
      <c r="R1030" s="275"/>
      <c r="S1030" s="275"/>
      <c r="T1030" s="320" t="s">
        <v>6903</v>
      </c>
      <c r="U1030" s="283" t="e">
        <v>#N/A</v>
      </c>
      <c r="V1030" s="320" t="s">
        <v>7268</v>
      </c>
      <c r="W1030" s="320">
        <v>1</v>
      </c>
      <c r="X1030" s="320">
        <v>1</v>
      </c>
      <c r="Y1030" s="320">
        <v>0</v>
      </c>
      <c r="Z1030" s="320">
        <v>1</v>
      </c>
      <c r="AA1030" s="320">
        <v>1</v>
      </c>
      <c r="AB1030" s="320">
        <v>1</v>
      </c>
      <c r="AC1030" s="316">
        <v>0</v>
      </c>
      <c r="AD1030" s="316">
        <v>1</v>
      </c>
      <c r="AE1030" s="302">
        <f t="shared" si="46"/>
        <v>0.75</v>
      </c>
      <c r="AF1030" s="354"/>
      <c r="AG1030" s="17">
        <v>0</v>
      </c>
      <c r="AH1030" s="354">
        <v>0</v>
      </c>
      <c r="AI1030" s="354">
        <v>0.5</v>
      </c>
      <c r="AJ1030" s="354">
        <v>0.5</v>
      </c>
      <c r="AK1030" s="319">
        <v>0</v>
      </c>
      <c r="AL1030" s="319">
        <v>0</v>
      </c>
      <c r="AM1030" s="147">
        <f t="shared" si="45"/>
        <v>0</v>
      </c>
      <c r="AN1030" s="320" t="s">
        <v>7101</v>
      </c>
      <c r="AO1030" s="14" t="s">
        <v>6901</v>
      </c>
      <c r="AP1030" s="320" t="s">
        <v>723</v>
      </c>
    </row>
    <row r="1031" spans="1:42" s="320" customFormat="1" x14ac:dyDescent="0.3">
      <c r="A1031" s="353" t="s">
        <v>1450</v>
      </c>
      <c r="B1031" s="320" t="s">
        <v>6881</v>
      </c>
      <c r="C1031" s="320" t="s">
        <v>7255</v>
      </c>
      <c r="D1031" s="320" t="s">
        <v>7256</v>
      </c>
      <c r="E1031" s="320" t="s">
        <v>7257</v>
      </c>
      <c r="F1031" s="320" t="s">
        <v>7258</v>
      </c>
      <c r="G1031" s="320" t="s">
        <v>7259</v>
      </c>
      <c r="H1031" s="320" t="s">
        <v>7260</v>
      </c>
      <c r="I1031" s="320" t="s">
        <v>271</v>
      </c>
      <c r="J1031" s="320" t="s">
        <v>271</v>
      </c>
      <c r="K1031" s="320" t="s">
        <v>7261</v>
      </c>
      <c r="L1031" s="320" t="s">
        <v>7262</v>
      </c>
      <c r="M1031" s="277"/>
      <c r="N1031" s="277"/>
      <c r="O1031" s="277"/>
      <c r="P1031" s="275"/>
      <c r="Q1031" s="275"/>
      <c r="R1031" s="275"/>
      <c r="S1031" s="275"/>
      <c r="T1031" s="320" t="s">
        <v>6903</v>
      </c>
      <c r="U1031" s="283" t="e">
        <v>#N/A</v>
      </c>
      <c r="V1031" s="320" t="s">
        <v>7269</v>
      </c>
      <c r="W1031" s="320">
        <v>1</v>
      </c>
      <c r="X1031" s="320">
        <v>1</v>
      </c>
      <c r="Y1031" s="320">
        <v>0</v>
      </c>
      <c r="Z1031" s="320">
        <v>1</v>
      </c>
      <c r="AA1031" s="320">
        <v>1</v>
      </c>
      <c r="AB1031" s="320">
        <v>1</v>
      </c>
      <c r="AC1031" s="316">
        <v>0</v>
      </c>
      <c r="AD1031" s="316">
        <v>0</v>
      </c>
      <c r="AE1031" s="302">
        <f t="shared" si="46"/>
        <v>0.625</v>
      </c>
      <c r="AF1031" s="354"/>
      <c r="AG1031" s="17">
        <v>0</v>
      </c>
      <c r="AH1031" s="354">
        <v>0</v>
      </c>
      <c r="AI1031" s="354">
        <v>0.1</v>
      </c>
      <c r="AJ1031" s="354">
        <v>1</v>
      </c>
      <c r="AK1031" s="319">
        <v>3</v>
      </c>
      <c r="AL1031" s="319">
        <v>1</v>
      </c>
      <c r="AM1031" s="147">
        <f t="shared" si="45"/>
        <v>4</v>
      </c>
      <c r="AN1031" s="320" t="s">
        <v>6900</v>
      </c>
      <c r="AO1031" s="14" t="s">
        <v>6901</v>
      </c>
      <c r="AP1031" s="320" t="s">
        <v>7270</v>
      </c>
    </row>
    <row r="1032" spans="1:42" s="320" customFormat="1" x14ac:dyDescent="0.3">
      <c r="A1032" s="353" t="s">
        <v>1450</v>
      </c>
      <c r="B1032" s="320" t="s">
        <v>6881</v>
      </c>
      <c r="C1032" s="320" t="s">
        <v>7255</v>
      </c>
      <c r="D1032" s="320" t="s">
        <v>7256</v>
      </c>
      <c r="E1032" s="320" t="s">
        <v>7257</v>
      </c>
      <c r="F1032" s="320" t="s">
        <v>7258</v>
      </c>
      <c r="G1032" s="320" t="s">
        <v>7259</v>
      </c>
      <c r="H1032" s="320" t="s">
        <v>7260</v>
      </c>
      <c r="I1032" s="320" t="s">
        <v>271</v>
      </c>
      <c r="J1032" s="320" t="s">
        <v>271</v>
      </c>
      <c r="K1032" s="320" t="s">
        <v>7261</v>
      </c>
      <c r="L1032" s="320" t="s">
        <v>7262</v>
      </c>
      <c r="M1032" s="277"/>
      <c r="N1032" s="277"/>
      <c r="O1032" s="277"/>
      <c r="P1032" s="275"/>
      <c r="Q1032" s="275"/>
      <c r="R1032" s="275"/>
      <c r="S1032" s="275"/>
      <c r="T1032" s="320" t="s">
        <v>6903</v>
      </c>
      <c r="U1032" s="283" t="e">
        <v>#N/A</v>
      </c>
      <c r="V1032" s="320" t="s">
        <v>7271</v>
      </c>
      <c r="W1032" s="320">
        <v>1</v>
      </c>
      <c r="X1032" s="320">
        <v>1</v>
      </c>
      <c r="Y1032" s="320">
        <v>0</v>
      </c>
      <c r="Z1032" s="320">
        <v>1</v>
      </c>
      <c r="AA1032" s="320">
        <v>1</v>
      </c>
      <c r="AB1032" s="320">
        <v>1</v>
      </c>
      <c r="AC1032" s="316">
        <v>0</v>
      </c>
      <c r="AD1032" s="316">
        <v>0</v>
      </c>
      <c r="AE1032" s="302">
        <f t="shared" si="46"/>
        <v>0.625</v>
      </c>
      <c r="AF1032" s="354"/>
      <c r="AG1032" s="17">
        <v>0</v>
      </c>
      <c r="AH1032" s="354">
        <v>0.05</v>
      </c>
      <c r="AI1032" s="354">
        <v>0.05</v>
      </c>
      <c r="AJ1032" s="354">
        <v>0.05</v>
      </c>
      <c r="AK1032" s="319">
        <v>0.05</v>
      </c>
      <c r="AL1032" s="319">
        <v>0.05</v>
      </c>
      <c r="AM1032" s="147">
        <f t="shared" si="45"/>
        <v>0.1</v>
      </c>
      <c r="AN1032" s="320" t="s">
        <v>723</v>
      </c>
      <c r="AO1032" s="14" t="s">
        <v>729</v>
      </c>
      <c r="AP1032" s="320" t="s">
        <v>7270</v>
      </c>
    </row>
    <row r="1033" spans="1:42" s="320" customFormat="1" x14ac:dyDescent="0.3">
      <c r="A1033" s="353" t="s">
        <v>1450</v>
      </c>
      <c r="B1033" s="320" t="s">
        <v>6881</v>
      </c>
      <c r="C1033" s="320" t="s">
        <v>7255</v>
      </c>
      <c r="D1033" s="320" t="s">
        <v>7256</v>
      </c>
      <c r="E1033" s="320" t="s">
        <v>7257</v>
      </c>
      <c r="F1033" s="320" t="s">
        <v>7258</v>
      </c>
      <c r="G1033" s="320" t="s">
        <v>7259</v>
      </c>
      <c r="H1033" s="320" t="s">
        <v>7260</v>
      </c>
      <c r="I1033" s="320" t="s">
        <v>271</v>
      </c>
      <c r="J1033" s="320" t="s">
        <v>271</v>
      </c>
      <c r="K1033" s="320" t="s">
        <v>7261</v>
      </c>
      <c r="L1033" s="320" t="s">
        <v>7262</v>
      </c>
      <c r="M1033" s="277"/>
      <c r="N1033" s="277"/>
      <c r="O1033" s="277"/>
      <c r="P1033" s="275"/>
      <c r="Q1033" s="275"/>
      <c r="R1033" s="275"/>
      <c r="S1033" s="275"/>
      <c r="T1033" s="320" t="s">
        <v>6903</v>
      </c>
      <c r="U1033" s="283" t="e">
        <v>#N/A</v>
      </c>
      <c r="V1033" s="320" t="s">
        <v>7272</v>
      </c>
      <c r="W1033" s="320">
        <v>1</v>
      </c>
      <c r="X1033" s="320">
        <v>1</v>
      </c>
      <c r="Y1033" s="320">
        <v>0</v>
      </c>
      <c r="Z1033" s="320">
        <v>1</v>
      </c>
      <c r="AA1033" s="320">
        <v>1</v>
      </c>
      <c r="AB1033" s="320">
        <v>1</v>
      </c>
      <c r="AC1033" s="316">
        <v>0</v>
      </c>
      <c r="AD1033" s="316">
        <v>1</v>
      </c>
      <c r="AE1033" s="302">
        <f t="shared" si="46"/>
        <v>0.75</v>
      </c>
      <c r="AF1033" s="354"/>
      <c r="AG1033" s="17">
        <v>0</v>
      </c>
      <c r="AH1033" s="354">
        <v>0.2</v>
      </c>
      <c r="AI1033" s="354">
        <v>1</v>
      </c>
      <c r="AJ1033" s="354">
        <v>1</v>
      </c>
      <c r="AK1033" s="319">
        <v>1</v>
      </c>
      <c r="AL1033" s="319">
        <v>1</v>
      </c>
      <c r="AM1033" s="147">
        <f t="shared" si="45"/>
        <v>2</v>
      </c>
      <c r="AN1033" s="320" t="s">
        <v>6900</v>
      </c>
      <c r="AO1033" s="14" t="s">
        <v>6901</v>
      </c>
      <c r="AP1033" s="320" t="s">
        <v>723</v>
      </c>
    </row>
    <row r="1034" spans="1:42" s="320" customFormat="1" x14ac:dyDescent="0.3">
      <c r="A1034" s="353" t="s">
        <v>1450</v>
      </c>
      <c r="B1034" s="320" t="s">
        <v>6881</v>
      </c>
      <c r="C1034" s="320" t="s">
        <v>7255</v>
      </c>
      <c r="D1034" s="320" t="s">
        <v>7256</v>
      </c>
      <c r="E1034" s="320" t="s">
        <v>7257</v>
      </c>
      <c r="F1034" s="320" t="s">
        <v>7258</v>
      </c>
      <c r="G1034" s="320" t="s">
        <v>7259</v>
      </c>
      <c r="H1034" s="320" t="s">
        <v>7260</v>
      </c>
      <c r="I1034" s="320" t="s">
        <v>271</v>
      </c>
      <c r="J1034" s="320" t="s">
        <v>271</v>
      </c>
      <c r="K1034" s="320" t="s">
        <v>7261</v>
      </c>
      <c r="L1034" s="320" t="s">
        <v>7262</v>
      </c>
      <c r="M1034" s="277"/>
      <c r="N1034" s="277"/>
      <c r="O1034" s="277"/>
      <c r="P1034" s="275"/>
      <c r="Q1034" s="275"/>
      <c r="R1034" s="275"/>
      <c r="S1034" s="275"/>
      <c r="T1034" s="320" t="s">
        <v>6903</v>
      </c>
      <c r="U1034" s="283" t="e">
        <v>#N/A</v>
      </c>
      <c r="V1034" s="320" t="s">
        <v>7273</v>
      </c>
      <c r="W1034" s="320">
        <v>1</v>
      </c>
      <c r="X1034" s="320">
        <v>0</v>
      </c>
      <c r="Y1034" s="320">
        <v>0</v>
      </c>
      <c r="Z1034" s="320">
        <v>1</v>
      </c>
      <c r="AA1034" s="320">
        <v>1</v>
      </c>
      <c r="AB1034" s="320">
        <v>1</v>
      </c>
      <c r="AC1034" s="316">
        <v>0</v>
      </c>
      <c r="AD1034" s="316">
        <v>1</v>
      </c>
      <c r="AE1034" s="302">
        <f t="shared" si="46"/>
        <v>0.625</v>
      </c>
      <c r="AF1034" s="354"/>
      <c r="AG1034" s="17">
        <v>0</v>
      </c>
      <c r="AH1034" s="354">
        <v>0</v>
      </c>
      <c r="AI1034" s="354">
        <v>0.59</v>
      </c>
      <c r="AJ1034" s="354">
        <v>0.59</v>
      </c>
      <c r="AK1034" s="319">
        <v>0.59</v>
      </c>
      <c r="AL1034" s="319">
        <v>0.59</v>
      </c>
      <c r="AM1034" s="147">
        <f t="shared" si="45"/>
        <v>1.18</v>
      </c>
      <c r="AN1034" s="320" t="s">
        <v>6900</v>
      </c>
      <c r="AO1034" s="14" t="s">
        <v>6901</v>
      </c>
      <c r="AP1034" s="320" t="s">
        <v>7270</v>
      </c>
    </row>
    <row r="1035" spans="1:42" s="320" customFormat="1" x14ac:dyDescent="0.3">
      <c r="A1035" s="353" t="s">
        <v>1450</v>
      </c>
      <c r="B1035" s="320" t="s">
        <v>6881</v>
      </c>
      <c r="C1035" s="320" t="s">
        <v>7255</v>
      </c>
      <c r="D1035" s="320" t="s">
        <v>7256</v>
      </c>
      <c r="E1035" s="320" t="s">
        <v>7257</v>
      </c>
      <c r="F1035" s="320" t="s">
        <v>7258</v>
      </c>
      <c r="G1035" s="320" t="s">
        <v>7259</v>
      </c>
      <c r="H1035" s="320" t="s">
        <v>7260</v>
      </c>
      <c r="I1035" s="320" t="s">
        <v>271</v>
      </c>
      <c r="J1035" s="320" t="s">
        <v>271</v>
      </c>
      <c r="K1035" s="320" t="s">
        <v>7261</v>
      </c>
      <c r="L1035" s="320" t="s">
        <v>7262</v>
      </c>
      <c r="M1035" s="277"/>
      <c r="N1035" s="277"/>
      <c r="O1035" s="277"/>
      <c r="P1035" s="275"/>
      <c r="Q1035" s="275"/>
      <c r="R1035" s="275"/>
      <c r="S1035" s="275"/>
      <c r="T1035" s="320" t="s">
        <v>6903</v>
      </c>
      <c r="U1035" s="283" t="e">
        <v>#N/A</v>
      </c>
      <c r="V1035" s="320" t="s">
        <v>7274</v>
      </c>
      <c r="W1035" s="320">
        <v>1</v>
      </c>
      <c r="X1035" s="320">
        <v>1</v>
      </c>
      <c r="Y1035" s="320">
        <v>0</v>
      </c>
      <c r="Z1035" s="320">
        <v>1</v>
      </c>
      <c r="AA1035" s="320">
        <v>1</v>
      </c>
      <c r="AB1035" s="320">
        <v>1</v>
      </c>
      <c r="AC1035" s="316">
        <v>0</v>
      </c>
      <c r="AD1035" s="316">
        <v>1</v>
      </c>
      <c r="AE1035" s="302">
        <f t="shared" si="46"/>
        <v>0.75</v>
      </c>
      <c r="AF1035" s="354"/>
      <c r="AG1035" s="17">
        <v>0</v>
      </c>
      <c r="AH1035" s="354">
        <v>0</v>
      </c>
      <c r="AI1035" s="354">
        <v>0.05</v>
      </c>
      <c r="AJ1035" s="354">
        <v>0.15</v>
      </c>
      <c r="AK1035" s="319">
        <v>0.15</v>
      </c>
      <c r="AL1035" s="319">
        <v>0.15</v>
      </c>
      <c r="AM1035" s="147">
        <f t="shared" si="45"/>
        <v>0.3</v>
      </c>
      <c r="AN1035" s="320" t="s">
        <v>6900</v>
      </c>
      <c r="AO1035" s="14" t="s">
        <v>6901</v>
      </c>
      <c r="AP1035" s="320" t="s">
        <v>7275</v>
      </c>
    </row>
    <row r="1036" spans="1:42" s="320" customFormat="1" x14ac:dyDescent="0.3">
      <c r="A1036" s="353" t="s">
        <v>1450</v>
      </c>
      <c r="B1036" s="320" t="s">
        <v>6881</v>
      </c>
      <c r="C1036" s="320" t="s">
        <v>7255</v>
      </c>
      <c r="D1036" s="320" t="s">
        <v>7256</v>
      </c>
      <c r="E1036" s="320" t="s">
        <v>7257</v>
      </c>
      <c r="F1036" s="320" t="s">
        <v>7258</v>
      </c>
      <c r="G1036" s="320" t="s">
        <v>7259</v>
      </c>
      <c r="H1036" s="320" t="s">
        <v>7260</v>
      </c>
      <c r="I1036" s="320" t="s">
        <v>271</v>
      </c>
      <c r="J1036" s="320" t="s">
        <v>271</v>
      </c>
      <c r="K1036" s="320" t="s">
        <v>7261</v>
      </c>
      <c r="L1036" s="320" t="s">
        <v>7262</v>
      </c>
      <c r="M1036" s="277"/>
      <c r="N1036" s="277"/>
      <c r="O1036" s="277"/>
      <c r="P1036" s="275"/>
      <c r="Q1036" s="275"/>
      <c r="R1036" s="275"/>
      <c r="S1036" s="275"/>
      <c r="T1036" s="320" t="s">
        <v>6903</v>
      </c>
      <c r="U1036" s="283" t="e">
        <v>#N/A</v>
      </c>
      <c r="V1036" s="320" t="s">
        <v>7276</v>
      </c>
      <c r="W1036" s="320">
        <v>1</v>
      </c>
      <c r="X1036" s="320">
        <v>1</v>
      </c>
      <c r="Y1036" s="320">
        <v>0</v>
      </c>
      <c r="Z1036" s="320">
        <v>1</v>
      </c>
      <c r="AA1036" s="320">
        <v>1</v>
      </c>
      <c r="AB1036" s="320">
        <v>1</v>
      </c>
      <c r="AC1036" s="316">
        <v>0</v>
      </c>
      <c r="AD1036" s="316">
        <v>1</v>
      </c>
      <c r="AE1036" s="302">
        <f t="shared" si="46"/>
        <v>0.75</v>
      </c>
      <c r="AF1036" s="23"/>
      <c r="AG1036" s="17">
        <v>0</v>
      </c>
      <c r="AH1036" s="23">
        <v>0</v>
      </c>
      <c r="AI1036" s="23">
        <v>0</v>
      </c>
      <c r="AJ1036" s="23">
        <v>0</v>
      </c>
      <c r="AK1036" s="153">
        <v>0</v>
      </c>
      <c r="AL1036" s="153">
        <v>0</v>
      </c>
      <c r="AM1036" s="147">
        <f t="shared" si="45"/>
        <v>0</v>
      </c>
      <c r="AN1036" s="320" t="s">
        <v>6900</v>
      </c>
      <c r="AO1036" s="14" t="s">
        <v>6901</v>
      </c>
      <c r="AP1036" s="320" t="s">
        <v>723</v>
      </c>
    </row>
    <row r="1037" spans="1:42" s="320" customFormat="1" x14ac:dyDescent="0.3">
      <c r="A1037" s="353" t="s">
        <v>1450</v>
      </c>
      <c r="B1037" s="320" t="s">
        <v>6881</v>
      </c>
      <c r="C1037" s="320" t="s">
        <v>7255</v>
      </c>
      <c r="D1037" s="320" t="s">
        <v>7256</v>
      </c>
      <c r="E1037" s="320" t="s">
        <v>7257</v>
      </c>
      <c r="F1037" s="320" t="s">
        <v>7258</v>
      </c>
      <c r="G1037" s="320" t="s">
        <v>7259</v>
      </c>
      <c r="H1037" s="320" t="s">
        <v>7260</v>
      </c>
      <c r="I1037" s="320" t="s">
        <v>271</v>
      </c>
      <c r="J1037" s="320" t="s">
        <v>271</v>
      </c>
      <c r="K1037" s="320" t="s">
        <v>7261</v>
      </c>
      <c r="L1037" s="320" t="s">
        <v>7262</v>
      </c>
      <c r="M1037" s="277"/>
      <c r="N1037" s="277"/>
      <c r="O1037" s="277"/>
      <c r="P1037" s="275"/>
      <c r="Q1037" s="275"/>
      <c r="R1037" s="275"/>
      <c r="S1037" s="275"/>
      <c r="T1037" s="320" t="s">
        <v>6903</v>
      </c>
      <c r="U1037" s="283" t="e">
        <v>#N/A</v>
      </c>
      <c r="V1037" s="320" t="s">
        <v>7277</v>
      </c>
      <c r="W1037" s="320">
        <v>1</v>
      </c>
      <c r="X1037" s="320">
        <v>1</v>
      </c>
      <c r="Y1037" s="320">
        <v>0</v>
      </c>
      <c r="Z1037" s="320">
        <v>1</v>
      </c>
      <c r="AA1037" s="320">
        <v>1</v>
      </c>
      <c r="AB1037" s="320">
        <v>1</v>
      </c>
      <c r="AC1037" s="316">
        <v>0</v>
      </c>
      <c r="AD1037" s="316">
        <v>1</v>
      </c>
      <c r="AE1037" s="302">
        <f t="shared" si="46"/>
        <v>0.75</v>
      </c>
      <c r="AF1037" s="23"/>
      <c r="AG1037" s="17">
        <v>0</v>
      </c>
      <c r="AH1037" s="23">
        <v>0</v>
      </c>
      <c r="AI1037" s="23">
        <v>0</v>
      </c>
      <c r="AJ1037" s="23">
        <v>0</v>
      </c>
      <c r="AK1037" s="153">
        <v>0</v>
      </c>
      <c r="AL1037" s="153">
        <v>0</v>
      </c>
      <c r="AM1037" s="147">
        <f t="shared" si="45"/>
        <v>0</v>
      </c>
      <c r="AN1037" s="320" t="s">
        <v>6900</v>
      </c>
      <c r="AO1037" s="14" t="s">
        <v>6901</v>
      </c>
      <c r="AP1037" s="320" t="s">
        <v>119</v>
      </c>
    </row>
    <row r="1038" spans="1:42" s="320" customFormat="1" x14ac:dyDescent="0.3">
      <c r="A1038" s="353" t="s">
        <v>1450</v>
      </c>
      <c r="B1038" s="320" t="s">
        <v>6881</v>
      </c>
      <c r="C1038" s="320" t="s">
        <v>7255</v>
      </c>
      <c r="D1038" s="320" t="s">
        <v>7256</v>
      </c>
      <c r="E1038" s="320" t="s">
        <v>7257</v>
      </c>
      <c r="F1038" s="320" t="s">
        <v>7258</v>
      </c>
      <c r="G1038" s="320" t="s">
        <v>7278</v>
      </c>
      <c r="H1038" s="320" t="s">
        <v>7279</v>
      </c>
      <c r="I1038" s="320" t="s">
        <v>7280</v>
      </c>
      <c r="J1038" s="320" t="s">
        <v>7281</v>
      </c>
      <c r="K1038" s="320" t="s">
        <v>7282</v>
      </c>
      <c r="L1038" s="320" t="s">
        <v>7283</v>
      </c>
      <c r="M1038" s="277" t="s">
        <v>7284</v>
      </c>
      <c r="N1038" s="277">
        <v>10</v>
      </c>
      <c r="O1038" s="277">
        <v>30</v>
      </c>
      <c r="P1038" s="275">
        <v>35</v>
      </c>
      <c r="Q1038" s="275">
        <v>40</v>
      </c>
      <c r="R1038" s="275">
        <v>60</v>
      </c>
      <c r="S1038" s="275">
        <v>100</v>
      </c>
      <c r="T1038" s="320" t="s">
        <v>7285</v>
      </c>
      <c r="U1038" s="283" t="e">
        <v>#N/A</v>
      </c>
      <c r="W1038" s="320">
        <v>1</v>
      </c>
      <c r="X1038" s="320">
        <v>1</v>
      </c>
      <c r="Y1038" s="320">
        <v>0</v>
      </c>
      <c r="Z1038" s="320">
        <v>1</v>
      </c>
      <c r="AA1038" s="320">
        <v>1</v>
      </c>
      <c r="AB1038" s="320">
        <v>1</v>
      </c>
      <c r="AC1038" s="316">
        <v>0</v>
      </c>
      <c r="AD1038" s="316">
        <v>1</v>
      </c>
      <c r="AE1038" s="302">
        <f t="shared" si="46"/>
        <v>0.75</v>
      </c>
      <c r="AF1038" s="278"/>
      <c r="AG1038" s="17">
        <v>0</v>
      </c>
      <c r="AH1038" s="278"/>
      <c r="AI1038" s="278"/>
      <c r="AJ1038" s="278"/>
      <c r="AK1038" s="279">
        <v>15</v>
      </c>
      <c r="AL1038" s="279"/>
      <c r="AM1038" s="147">
        <f t="shared" si="45"/>
        <v>15</v>
      </c>
    </row>
    <row r="1039" spans="1:42" s="320" customFormat="1" x14ac:dyDescent="0.3">
      <c r="A1039" s="353" t="s">
        <v>1450</v>
      </c>
      <c r="B1039" s="320" t="s">
        <v>6881</v>
      </c>
      <c r="C1039" s="320" t="s">
        <v>7255</v>
      </c>
      <c r="D1039" s="320" t="s">
        <v>7256</v>
      </c>
      <c r="E1039" s="320" t="s">
        <v>7257</v>
      </c>
      <c r="F1039" s="320" t="s">
        <v>7258</v>
      </c>
      <c r="G1039" s="320" t="s">
        <v>7278</v>
      </c>
      <c r="H1039" s="320" t="s">
        <v>7279</v>
      </c>
      <c r="I1039" s="320" t="s">
        <v>7280</v>
      </c>
      <c r="J1039" s="320" t="s">
        <v>7281</v>
      </c>
      <c r="K1039" s="320" t="s">
        <v>7286</v>
      </c>
      <c r="L1039" s="320" t="s">
        <v>7287</v>
      </c>
      <c r="M1039" s="277" t="s">
        <v>7288</v>
      </c>
      <c r="N1039" s="277">
        <v>380</v>
      </c>
      <c r="O1039" s="277">
        <v>380</v>
      </c>
      <c r="P1039" s="275">
        <v>400</v>
      </c>
      <c r="Q1039" s="275">
        <v>500</v>
      </c>
      <c r="R1039" s="275">
        <v>500</v>
      </c>
      <c r="S1039" s="275">
        <v>500</v>
      </c>
      <c r="T1039" s="320" t="s">
        <v>7289</v>
      </c>
      <c r="U1039" s="283" t="e">
        <v>#N/A</v>
      </c>
      <c r="V1039" s="320" t="s">
        <v>7290</v>
      </c>
      <c r="W1039" s="320">
        <v>1</v>
      </c>
      <c r="X1039" s="320">
        <v>1</v>
      </c>
      <c r="Y1039" s="320">
        <v>0</v>
      </c>
      <c r="Z1039" s="320">
        <v>1</v>
      </c>
      <c r="AA1039" s="320">
        <v>1</v>
      </c>
      <c r="AB1039" s="320">
        <v>1</v>
      </c>
      <c r="AC1039" s="316">
        <v>0</v>
      </c>
      <c r="AD1039" s="316">
        <v>1</v>
      </c>
      <c r="AE1039" s="302">
        <f t="shared" si="46"/>
        <v>0.75</v>
      </c>
      <c r="AF1039" s="354"/>
      <c r="AG1039" s="17">
        <v>0</v>
      </c>
      <c r="AH1039" s="354">
        <v>0.02</v>
      </c>
      <c r="AI1039" s="354">
        <v>0.02</v>
      </c>
      <c r="AJ1039" s="354">
        <v>0.02</v>
      </c>
      <c r="AK1039" s="319">
        <v>0.02</v>
      </c>
      <c r="AL1039" s="319">
        <v>0.02</v>
      </c>
      <c r="AM1039" s="147">
        <f t="shared" si="45"/>
        <v>0.04</v>
      </c>
      <c r="AN1039" s="320" t="s">
        <v>7101</v>
      </c>
      <c r="AO1039" s="14" t="s">
        <v>6901</v>
      </c>
      <c r="AP1039" s="320" t="s">
        <v>7102</v>
      </c>
    </row>
    <row r="1040" spans="1:42" s="320" customFormat="1" x14ac:dyDescent="0.3">
      <c r="A1040" s="353" t="s">
        <v>1450</v>
      </c>
      <c r="B1040" s="320" t="s">
        <v>6881</v>
      </c>
      <c r="C1040" s="320" t="s">
        <v>7255</v>
      </c>
      <c r="D1040" s="320" t="s">
        <v>7256</v>
      </c>
      <c r="E1040" s="320" t="s">
        <v>7257</v>
      </c>
      <c r="F1040" s="320" t="s">
        <v>7258</v>
      </c>
      <c r="G1040" s="320" t="s">
        <v>7278</v>
      </c>
      <c r="H1040" s="320" t="s">
        <v>7279</v>
      </c>
      <c r="I1040" s="320" t="s">
        <v>7280</v>
      </c>
      <c r="J1040" s="320" t="s">
        <v>7281</v>
      </c>
      <c r="K1040" s="320" t="s">
        <v>7291</v>
      </c>
      <c r="L1040" s="320" t="s">
        <v>7292</v>
      </c>
      <c r="M1040" s="277" t="s">
        <v>7293</v>
      </c>
      <c r="N1040" s="277">
        <v>5</v>
      </c>
      <c r="O1040" s="277">
        <v>5</v>
      </c>
      <c r="P1040" s="275">
        <v>10</v>
      </c>
      <c r="Q1040" s="275">
        <v>20</v>
      </c>
      <c r="R1040" s="275">
        <v>50</v>
      </c>
      <c r="S1040" s="275">
        <v>100</v>
      </c>
      <c r="T1040" s="320" t="s">
        <v>7294</v>
      </c>
      <c r="U1040" s="283" t="e">
        <v>#N/A</v>
      </c>
      <c r="V1040" s="320" t="s">
        <v>7295</v>
      </c>
      <c r="W1040" s="320">
        <v>1</v>
      </c>
      <c r="X1040" s="320">
        <v>1</v>
      </c>
      <c r="Y1040" s="320">
        <v>0</v>
      </c>
      <c r="Z1040" s="320">
        <v>1</v>
      </c>
      <c r="AA1040" s="320">
        <v>1</v>
      </c>
      <c r="AB1040" s="320">
        <v>0</v>
      </c>
      <c r="AC1040" s="316">
        <v>0</v>
      </c>
      <c r="AD1040" s="316">
        <v>1</v>
      </c>
      <c r="AE1040" s="302">
        <f t="shared" si="46"/>
        <v>0.625</v>
      </c>
      <c r="AF1040" s="354"/>
      <c r="AG1040" s="17">
        <v>0</v>
      </c>
      <c r="AH1040" s="354">
        <v>0.5</v>
      </c>
      <c r="AI1040" s="354">
        <v>0.5</v>
      </c>
      <c r="AJ1040" s="354">
        <v>0.5</v>
      </c>
      <c r="AK1040" s="319">
        <v>6.6608989242580492</v>
      </c>
      <c r="AL1040" s="319">
        <v>12.549999999999955</v>
      </c>
      <c r="AM1040" s="147">
        <f t="shared" si="45"/>
        <v>19.210898924258004</v>
      </c>
      <c r="AN1040" s="320" t="s">
        <v>6900</v>
      </c>
      <c r="AO1040" s="14" t="s">
        <v>6901</v>
      </c>
      <c r="AP1040" s="320" t="s">
        <v>723</v>
      </c>
    </row>
    <row r="1041" spans="1:42" s="320" customFormat="1" x14ac:dyDescent="0.3">
      <c r="A1041" s="353" t="s">
        <v>1450</v>
      </c>
      <c r="B1041" s="320" t="s">
        <v>6881</v>
      </c>
      <c r="C1041" s="320" t="s">
        <v>7255</v>
      </c>
      <c r="D1041" s="320" t="s">
        <v>7256</v>
      </c>
      <c r="E1041" s="320" t="s">
        <v>7257</v>
      </c>
      <c r="F1041" s="320" t="s">
        <v>7258</v>
      </c>
      <c r="G1041" s="320" t="s">
        <v>7278</v>
      </c>
      <c r="H1041" s="320" t="s">
        <v>7279</v>
      </c>
      <c r="I1041" s="320" t="s">
        <v>7280</v>
      </c>
      <c r="J1041" s="320" t="s">
        <v>7281</v>
      </c>
      <c r="K1041" s="320" t="s">
        <v>7296</v>
      </c>
      <c r="L1041" s="320" t="s">
        <v>7297</v>
      </c>
      <c r="M1041" s="277" t="s">
        <v>7298</v>
      </c>
      <c r="N1041" s="277">
        <v>240</v>
      </c>
      <c r="O1041" s="277">
        <v>240</v>
      </c>
      <c r="P1041" s="275">
        <v>250</v>
      </c>
      <c r="Q1041" s="275">
        <v>300</v>
      </c>
      <c r="R1041" s="275">
        <v>300</v>
      </c>
      <c r="S1041" s="275">
        <v>300</v>
      </c>
      <c r="T1041" s="320" t="s">
        <v>7294</v>
      </c>
      <c r="U1041" s="283" t="e">
        <v>#N/A</v>
      </c>
      <c r="V1041" s="320" t="s">
        <v>7299</v>
      </c>
      <c r="W1041" s="320">
        <v>1</v>
      </c>
      <c r="X1041" s="320">
        <v>1</v>
      </c>
      <c r="Y1041" s="320">
        <v>0</v>
      </c>
      <c r="Z1041" s="320">
        <v>1</v>
      </c>
      <c r="AA1041" s="320">
        <v>1</v>
      </c>
      <c r="AB1041" s="320">
        <v>0</v>
      </c>
      <c r="AC1041" s="316">
        <v>0</v>
      </c>
      <c r="AD1041" s="316">
        <v>1</v>
      </c>
      <c r="AE1041" s="302">
        <f t="shared" si="46"/>
        <v>0.625</v>
      </c>
      <c r="AF1041" s="354"/>
      <c r="AG1041" s="17">
        <v>0</v>
      </c>
      <c r="AH1041" s="354">
        <v>0</v>
      </c>
      <c r="AI1041" s="354">
        <v>0</v>
      </c>
      <c r="AJ1041" s="354">
        <v>0</v>
      </c>
      <c r="AK1041" s="319">
        <v>0</v>
      </c>
      <c r="AL1041" s="319">
        <v>0</v>
      </c>
      <c r="AM1041" s="147">
        <f t="shared" si="45"/>
        <v>0</v>
      </c>
      <c r="AN1041" s="320" t="s">
        <v>6900</v>
      </c>
      <c r="AO1041" s="14" t="s">
        <v>6901</v>
      </c>
      <c r="AP1041" s="320" t="s">
        <v>7300</v>
      </c>
    </row>
    <row r="1042" spans="1:42" s="320" customFormat="1" x14ac:dyDescent="0.3">
      <c r="A1042" s="353" t="s">
        <v>1450</v>
      </c>
      <c r="B1042" s="320" t="s">
        <v>6881</v>
      </c>
      <c r="C1042" s="320" t="s">
        <v>7255</v>
      </c>
      <c r="D1042" s="320" t="s">
        <v>7256</v>
      </c>
      <c r="E1042" s="320" t="s">
        <v>7257</v>
      </c>
      <c r="F1042" s="320" t="s">
        <v>7258</v>
      </c>
      <c r="G1042" s="320" t="s">
        <v>7278</v>
      </c>
      <c r="H1042" s="320" t="s">
        <v>7279</v>
      </c>
      <c r="I1042" s="320" t="s">
        <v>7280</v>
      </c>
      <c r="J1042" s="320" t="s">
        <v>7281</v>
      </c>
      <c r="K1042" s="320" t="s">
        <v>7296</v>
      </c>
      <c r="L1042" s="320" t="s">
        <v>7297</v>
      </c>
      <c r="M1042" s="277"/>
      <c r="N1042" s="277"/>
      <c r="O1042" s="277"/>
      <c r="P1042" s="275"/>
      <c r="Q1042" s="275"/>
      <c r="R1042" s="275"/>
      <c r="S1042" s="275"/>
      <c r="T1042" s="320" t="s">
        <v>7301</v>
      </c>
      <c r="U1042" s="283" t="e">
        <v>#N/A</v>
      </c>
      <c r="V1042" s="320" t="s">
        <v>7302</v>
      </c>
      <c r="W1042" s="320">
        <v>1</v>
      </c>
      <c r="X1042" s="320">
        <v>1</v>
      </c>
      <c r="Y1042" s="320">
        <v>0</v>
      </c>
      <c r="Z1042" s="320">
        <v>1</v>
      </c>
      <c r="AA1042" s="320">
        <v>1</v>
      </c>
      <c r="AB1042" s="320">
        <v>0</v>
      </c>
      <c r="AC1042" s="316">
        <v>0</v>
      </c>
      <c r="AD1042" s="316">
        <v>1</v>
      </c>
      <c r="AE1042" s="302">
        <f t="shared" si="46"/>
        <v>0.625</v>
      </c>
      <c r="AF1042" s="354"/>
      <c r="AG1042" s="17">
        <v>0</v>
      </c>
      <c r="AH1042" s="354">
        <v>0.5</v>
      </c>
      <c r="AI1042" s="354">
        <v>0.5</v>
      </c>
      <c r="AJ1042" s="354">
        <v>0.5</v>
      </c>
      <c r="AK1042" s="319">
        <v>0.5</v>
      </c>
      <c r="AL1042" s="319">
        <v>0.5</v>
      </c>
      <c r="AM1042" s="147">
        <f t="shared" si="45"/>
        <v>1</v>
      </c>
      <c r="AN1042" s="320" t="s">
        <v>7303</v>
      </c>
      <c r="AO1042" s="14" t="s">
        <v>6901</v>
      </c>
      <c r="AP1042" s="320" t="s">
        <v>7102</v>
      </c>
    </row>
    <row r="1043" spans="1:42" s="320" customFormat="1" x14ac:dyDescent="0.3">
      <c r="A1043" s="353" t="s">
        <v>1450</v>
      </c>
      <c r="B1043" s="320" t="s">
        <v>6881</v>
      </c>
      <c r="C1043" s="320" t="s">
        <v>7255</v>
      </c>
      <c r="D1043" s="320" t="s">
        <v>7256</v>
      </c>
      <c r="E1043" s="320" t="s">
        <v>7257</v>
      </c>
      <c r="F1043" s="320" t="s">
        <v>7258</v>
      </c>
      <c r="G1043" s="320" t="s">
        <v>7278</v>
      </c>
      <c r="H1043" s="320" t="s">
        <v>7279</v>
      </c>
      <c r="I1043" s="320" t="s">
        <v>7280</v>
      </c>
      <c r="J1043" s="320" t="s">
        <v>7281</v>
      </c>
      <c r="K1043" s="320" t="s">
        <v>7296</v>
      </c>
      <c r="L1043" s="320" t="s">
        <v>7297</v>
      </c>
      <c r="M1043" s="277"/>
      <c r="N1043" s="277"/>
      <c r="O1043" s="277"/>
      <c r="P1043" s="275"/>
      <c r="Q1043" s="275"/>
      <c r="R1043" s="275"/>
      <c r="S1043" s="275"/>
      <c r="T1043" s="320" t="s">
        <v>7301</v>
      </c>
      <c r="U1043" s="283" t="e">
        <v>#N/A</v>
      </c>
      <c r="V1043" s="320" t="s">
        <v>7304</v>
      </c>
      <c r="W1043" s="320">
        <v>1</v>
      </c>
      <c r="X1043" s="320">
        <v>1</v>
      </c>
      <c r="Y1043" s="320">
        <v>0</v>
      </c>
      <c r="Z1043" s="320">
        <v>1</v>
      </c>
      <c r="AA1043" s="320">
        <v>1</v>
      </c>
      <c r="AB1043" s="320">
        <v>1</v>
      </c>
      <c r="AC1043" s="316">
        <v>0</v>
      </c>
      <c r="AD1043" s="316">
        <v>1</v>
      </c>
      <c r="AE1043" s="302">
        <f t="shared" si="46"/>
        <v>0.75</v>
      </c>
      <c r="AF1043" s="354"/>
      <c r="AG1043" s="17">
        <v>0</v>
      </c>
      <c r="AH1043" s="354">
        <v>0</v>
      </c>
      <c r="AI1043" s="354">
        <v>0.3</v>
      </c>
      <c r="AJ1043" s="23">
        <v>0</v>
      </c>
      <c r="AK1043" s="153">
        <v>0</v>
      </c>
      <c r="AL1043" s="153">
        <v>0</v>
      </c>
      <c r="AM1043" s="147">
        <f t="shared" si="45"/>
        <v>0</v>
      </c>
      <c r="AN1043" s="320" t="s">
        <v>7303</v>
      </c>
      <c r="AO1043" s="14" t="s">
        <v>6901</v>
      </c>
      <c r="AP1043" s="320" t="s">
        <v>7305</v>
      </c>
    </row>
    <row r="1044" spans="1:42" s="320" customFormat="1" x14ac:dyDescent="0.3">
      <c r="A1044" s="353" t="s">
        <v>1450</v>
      </c>
      <c r="B1044" s="320" t="s">
        <v>6881</v>
      </c>
      <c r="C1044" s="320" t="s">
        <v>7255</v>
      </c>
      <c r="D1044" s="320" t="s">
        <v>7256</v>
      </c>
      <c r="E1044" s="320" t="s">
        <v>7257</v>
      </c>
      <c r="F1044" s="320" t="s">
        <v>7258</v>
      </c>
      <c r="G1044" s="320" t="s">
        <v>7278</v>
      </c>
      <c r="H1044" s="320" t="s">
        <v>7279</v>
      </c>
      <c r="I1044" s="320" t="s">
        <v>7306</v>
      </c>
      <c r="J1044" s="320" t="s">
        <v>7307</v>
      </c>
      <c r="K1044" s="320" t="s">
        <v>7308</v>
      </c>
      <c r="L1044" s="320" t="s">
        <v>7309</v>
      </c>
      <c r="M1044" s="277"/>
      <c r="N1044" s="277"/>
      <c r="O1044" s="277"/>
      <c r="P1044" s="275"/>
      <c r="Q1044" s="275"/>
      <c r="R1044" s="275"/>
      <c r="S1044" s="275"/>
      <c r="U1044" s="283" t="e">
        <v>#N/A</v>
      </c>
      <c r="AC1044" s="316">
        <v>0</v>
      </c>
      <c r="AD1044" s="316">
        <v>0</v>
      </c>
      <c r="AE1044" s="302">
        <f t="shared" si="46"/>
        <v>0</v>
      </c>
      <c r="AF1044" s="278"/>
      <c r="AG1044" s="17">
        <v>0</v>
      </c>
      <c r="AH1044" s="278"/>
      <c r="AI1044" s="278"/>
      <c r="AJ1044" s="278"/>
      <c r="AK1044" s="279"/>
      <c r="AL1044" s="279"/>
      <c r="AM1044" s="147">
        <f t="shared" si="45"/>
        <v>0</v>
      </c>
    </row>
    <row r="1045" spans="1:42" s="320" customFormat="1" x14ac:dyDescent="0.3">
      <c r="A1045" s="353" t="s">
        <v>1450</v>
      </c>
      <c r="B1045" s="320" t="s">
        <v>6881</v>
      </c>
      <c r="C1045" s="320" t="s">
        <v>7255</v>
      </c>
      <c r="D1045" s="320" t="s">
        <v>7256</v>
      </c>
      <c r="E1045" s="320" t="s">
        <v>7257</v>
      </c>
      <c r="F1045" s="320" t="s">
        <v>7258</v>
      </c>
      <c r="G1045" s="320" t="s">
        <v>7310</v>
      </c>
      <c r="H1045" s="320" t="s">
        <v>7311</v>
      </c>
      <c r="I1045" s="320" t="s">
        <v>271</v>
      </c>
      <c r="J1045" s="320" t="s">
        <v>271</v>
      </c>
      <c r="K1045" s="320" t="s">
        <v>7312</v>
      </c>
      <c r="L1045" s="320" t="s">
        <v>7313</v>
      </c>
      <c r="M1045" s="277" t="s">
        <v>7314</v>
      </c>
      <c r="N1045" s="277">
        <v>0</v>
      </c>
      <c r="O1045" s="277">
        <v>0</v>
      </c>
      <c r="P1045" s="275">
        <v>1</v>
      </c>
      <c r="Q1045" s="275">
        <v>1</v>
      </c>
      <c r="R1045" s="275">
        <v>2</v>
      </c>
      <c r="S1045" s="275">
        <v>3</v>
      </c>
      <c r="T1045" s="320" t="s">
        <v>7315</v>
      </c>
      <c r="U1045" s="283" t="e">
        <v>#N/A</v>
      </c>
      <c r="AC1045" s="316">
        <v>0</v>
      </c>
      <c r="AD1045" s="316">
        <v>0</v>
      </c>
      <c r="AE1045" s="302">
        <f t="shared" si="46"/>
        <v>0</v>
      </c>
      <c r="AF1045" s="278"/>
      <c r="AG1045" s="17">
        <v>0</v>
      </c>
      <c r="AH1045" s="278"/>
      <c r="AI1045" s="278"/>
      <c r="AJ1045" s="278"/>
      <c r="AK1045" s="279"/>
      <c r="AL1045" s="279"/>
      <c r="AM1045" s="147">
        <f t="shared" si="45"/>
        <v>0</v>
      </c>
    </row>
    <row r="1046" spans="1:42" s="320" customFormat="1" x14ac:dyDescent="0.3">
      <c r="A1046" s="353" t="s">
        <v>1450</v>
      </c>
      <c r="B1046" s="320" t="s">
        <v>6881</v>
      </c>
      <c r="C1046" s="320" t="s">
        <v>7255</v>
      </c>
      <c r="D1046" s="320" t="s">
        <v>7256</v>
      </c>
      <c r="E1046" s="320" t="s">
        <v>7257</v>
      </c>
      <c r="F1046" s="320" t="s">
        <v>7258</v>
      </c>
      <c r="G1046" s="320" t="s">
        <v>7310</v>
      </c>
      <c r="H1046" s="320" t="s">
        <v>7311</v>
      </c>
      <c r="I1046" s="320" t="s">
        <v>271</v>
      </c>
      <c r="J1046" s="320" t="s">
        <v>271</v>
      </c>
      <c r="K1046" s="320" t="s">
        <v>7312</v>
      </c>
      <c r="L1046" s="320" t="s">
        <v>7316</v>
      </c>
      <c r="M1046" s="277" t="s">
        <v>7317</v>
      </c>
      <c r="N1046" s="277">
        <v>0</v>
      </c>
      <c r="O1046" s="277" t="s">
        <v>271</v>
      </c>
      <c r="P1046" s="275">
        <v>0</v>
      </c>
      <c r="Q1046" s="275">
        <v>0</v>
      </c>
      <c r="R1046" s="275">
        <v>2</v>
      </c>
      <c r="S1046" s="275">
        <v>4</v>
      </c>
      <c r="T1046" s="320" t="s">
        <v>7318</v>
      </c>
      <c r="U1046" s="283" t="e">
        <v>#N/A</v>
      </c>
      <c r="AC1046" s="316">
        <v>0</v>
      </c>
      <c r="AD1046" s="316">
        <v>0</v>
      </c>
      <c r="AE1046" s="302">
        <f t="shared" si="46"/>
        <v>0</v>
      </c>
      <c r="AF1046" s="278"/>
      <c r="AG1046" s="17">
        <v>0</v>
      </c>
      <c r="AH1046" s="278"/>
      <c r="AI1046" s="278"/>
      <c r="AJ1046" s="278"/>
      <c r="AK1046" s="279"/>
      <c r="AL1046" s="279"/>
      <c r="AM1046" s="147">
        <f t="shared" si="45"/>
        <v>0</v>
      </c>
    </row>
    <row r="1047" spans="1:42" s="320" customFormat="1" x14ac:dyDescent="0.3">
      <c r="A1047" s="353" t="s">
        <v>1450</v>
      </c>
      <c r="B1047" s="320" t="s">
        <v>6881</v>
      </c>
      <c r="C1047" s="320" t="s">
        <v>7255</v>
      </c>
      <c r="D1047" s="320" t="s">
        <v>7256</v>
      </c>
      <c r="E1047" s="320" t="s">
        <v>7257</v>
      </c>
      <c r="F1047" s="320" t="s">
        <v>7258</v>
      </c>
      <c r="G1047" s="320" t="s">
        <v>7319</v>
      </c>
      <c r="H1047" s="320" t="s">
        <v>7320</v>
      </c>
      <c r="I1047" s="320" t="s">
        <v>271</v>
      </c>
      <c r="J1047" s="320" t="s">
        <v>271</v>
      </c>
      <c r="K1047" s="320" t="s">
        <v>7321</v>
      </c>
      <c r="L1047" s="320" t="s">
        <v>7322</v>
      </c>
      <c r="M1047" s="277" t="s">
        <v>7323</v>
      </c>
      <c r="N1047" s="277">
        <v>0</v>
      </c>
      <c r="O1047" s="277">
        <v>2</v>
      </c>
      <c r="P1047" s="275">
        <v>4</v>
      </c>
      <c r="Q1047" s="275">
        <v>6</v>
      </c>
      <c r="R1047" s="275">
        <v>8</v>
      </c>
      <c r="S1047" s="275">
        <v>10</v>
      </c>
      <c r="T1047" s="320" t="s">
        <v>7324</v>
      </c>
      <c r="U1047" s="283" t="e">
        <v>#N/A</v>
      </c>
      <c r="AC1047" s="316">
        <v>0</v>
      </c>
      <c r="AD1047" s="316">
        <v>0</v>
      </c>
      <c r="AE1047" s="302">
        <f t="shared" si="46"/>
        <v>0</v>
      </c>
      <c r="AF1047" s="278"/>
      <c r="AG1047" s="17">
        <v>0</v>
      </c>
      <c r="AH1047" s="278"/>
      <c r="AI1047" s="278"/>
      <c r="AJ1047" s="278"/>
      <c r="AK1047" s="279"/>
      <c r="AL1047" s="279"/>
      <c r="AM1047" s="147">
        <f t="shared" ref="AM1047:AM1065" si="47">SUM(AK1047:AL1047)</f>
        <v>0</v>
      </c>
    </row>
    <row r="1048" spans="1:42" s="320" customFormat="1" x14ac:dyDescent="0.3">
      <c r="A1048" s="353" t="s">
        <v>1450</v>
      </c>
      <c r="B1048" s="320" t="s">
        <v>6881</v>
      </c>
      <c r="C1048" s="320" t="s">
        <v>7255</v>
      </c>
      <c r="D1048" s="320" t="s">
        <v>7256</v>
      </c>
      <c r="E1048" s="320" t="s">
        <v>7257</v>
      </c>
      <c r="F1048" s="320" t="s">
        <v>7258</v>
      </c>
      <c r="G1048" s="320" t="s">
        <v>7319</v>
      </c>
      <c r="H1048" s="320" t="s">
        <v>7320</v>
      </c>
      <c r="I1048" s="320" t="s">
        <v>271</v>
      </c>
      <c r="J1048" s="320" t="s">
        <v>271</v>
      </c>
      <c r="K1048" s="320" t="s">
        <v>7325</v>
      </c>
      <c r="L1048" s="320" t="s">
        <v>7326</v>
      </c>
      <c r="M1048" s="277" t="s">
        <v>7327</v>
      </c>
      <c r="N1048" s="277">
        <v>35</v>
      </c>
      <c r="O1048" s="277">
        <v>40</v>
      </c>
      <c r="P1048" s="275">
        <v>45</v>
      </c>
      <c r="Q1048" s="275">
        <v>48</v>
      </c>
      <c r="R1048" s="275">
        <v>50</v>
      </c>
      <c r="S1048" s="275">
        <v>50</v>
      </c>
      <c r="T1048" s="320" t="s">
        <v>5135</v>
      </c>
      <c r="U1048" s="283" t="e">
        <v>#N/A</v>
      </c>
      <c r="AC1048" s="316">
        <v>0</v>
      </c>
      <c r="AD1048" s="316">
        <v>0</v>
      </c>
      <c r="AE1048" s="302">
        <f t="shared" si="46"/>
        <v>0</v>
      </c>
      <c r="AF1048" s="278"/>
      <c r="AG1048" s="17">
        <v>0</v>
      </c>
      <c r="AH1048" s="278"/>
      <c r="AI1048" s="278"/>
      <c r="AJ1048" s="278"/>
      <c r="AK1048" s="279"/>
      <c r="AL1048" s="279"/>
      <c r="AM1048" s="147">
        <f t="shared" si="47"/>
        <v>0</v>
      </c>
    </row>
    <row r="1049" spans="1:42" s="320" customFormat="1" x14ac:dyDescent="0.3">
      <c r="A1049" s="353" t="s">
        <v>1450</v>
      </c>
      <c r="B1049" s="320" t="s">
        <v>6881</v>
      </c>
      <c r="C1049" s="320" t="s">
        <v>7255</v>
      </c>
      <c r="D1049" s="320" t="s">
        <v>7256</v>
      </c>
      <c r="E1049" s="320" t="s">
        <v>7257</v>
      </c>
      <c r="F1049" s="320" t="s">
        <v>7258</v>
      </c>
      <c r="G1049" s="320" t="s">
        <v>7319</v>
      </c>
      <c r="H1049" s="320" t="s">
        <v>7320</v>
      </c>
      <c r="I1049" s="320" t="s">
        <v>271</v>
      </c>
      <c r="J1049" s="320" t="s">
        <v>271</v>
      </c>
      <c r="K1049" s="320" t="s">
        <v>7325</v>
      </c>
      <c r="L1049" s="320" t="s">
        <v>7326</v>
      </c>
      <c r="M1049" s="277"/>
      <c r="N1049" s="277"/>
      <c r="O1049" s="277"/>
      <c r="P1049" s="275"/>
      <c r="Q1049" s="275"/>
      <c r="R1049" s="275"/>
      <c r="S1049" s="275"/>
      <c r="T1049" s="320" t="s">
        <v>7071</v>
      </c>
      <c r="U1049" s="283" t="e">
        <v>#N/A</v>
      </c>
      <c r="V1049" s="320" t="s">
        <v>7328</v>
      </c>
      <c r="W1049" s="320">
        <v>1</v>
      </c>
      <c r="X1049" s="320">
        <v>1</v>
      </c>
      <c r="Y1049" s="320">
        <v>0</v>
      </c>
      <c r="Z1049" s="320">
        <v>1</v>
      </c>
      <c r="AA1049" s="320">
        <v>1</v>
      </c>
      <c r="AB1049" s="320">
        <v>0</v>
      </c>
      <c r="AC1049" s="316">
        <v>0</v>
      </c>
      <c r="AD1049" s="316">
        <v>1</v>
      </c>
      <c r="AE1049" s="302">
        <f t="shared" si="46"/>
        <v>0.625</v>
      </c>
      <c r="AF1049" s="354"/>
      <c r="AG1049" s="17">
        <v>0</v>
      </c>
      <c r="AH1049" s="354">
        <v>0.2</v>
      </c>
      <c r="AI1049" s="354">
        <v>0.2</v>
      </c>
      <c r="AJ1049" s="354">
        <v>0.2</v>
      </c>
      <c r="AK1049" s="319">
        <v>0.2</v>
      </c>
      <c r="AL1049" s="319">
        <v>0.2</v>
      </c>
      <c r="AM1049" s="147">
        <f t="shared" si="47"/>
        <v>0.4</v>
      </c>
      <c r="AN1049" s="320" t="s">
        <v>869</v>
      </c>
      <c r="AO1049" s="14" t="s">
        <v>871</v>
      </c>
      <c r="AP1049" s="320" t="s">
        <v>7329</v>
      </c>
    </row>
    <row r="1050" spans="1:42" s="320" customFormat="1" x14ac:dyDescent="0.3">
      <c r="A1050" s="353" t="s">
        <v>1450</v>
      </c>
      <c r="B1050" s="320" t="s">
        <v>6881</v>
      </c>
      <c r="C1050" s="320" t="s">
        <v>7255</v>
      </c>
      <c r="D1050" s="320" t="s">
        <v>7256</v>
      </c>
      <c r="E1050" s="320" t="s">
        <v>7257</v>
      </c>
      <c r="F1050" s="320" t="s">
        <v>7258</v>
      </c>
      <c r="G1050" s="320" t="s">
        <v>7330</v>
      </c>
      <c r="H1050" s="320" t="s">
        <v>7331</v>
      </c>
      <c r="I1050" s="320" t="s">
        <v>271</v>
      </c>
      <c r="J1050" s="320" t="s">
        <v>271</v>
      </c>
      <c r="K1050" s="320" t="s">
        <v>7332</v>
      </c>
      <c r="L1050" s="320" t="s">
        <v>7333</v>
      </c>
      <c r="M1050" s="277" t="s">
        <v>7334</v>
      </c>
      <c r="N1050" s="277">
        <v>0</v>
      </c>
      <c r="O1050" s="277" t="s">
        <v>271</v>
      </c>
      <c r="P1050" s="275" t="s">
        <v>271</v>
      </c>
      <c r="Q1050" s="275">
        <v>0</v>
      </c>
      <c r="R1050" s="275" t="s">
        <v>271</v>
      </c>
      <c r="S1050" s="275" t="s">
        <v>271</v>
      </c>
      <c r="T1050" s="320" t="s">
        <v>6903</v>
      </c>
      <c r="U1050" s="283" t="e">
        <v>#N/A</v>
      </c>
      <c r="V1050" s="320" t="s">
        <v>7335</v>
      </c>
      <c r="W1050" s="320">
        <v>1</v>
      </c>
      <c r="X1050" s="320">
        <v>1</v>
      </c>
      <c r="Y1050" s="320">
        <v>1</v>
      </c>
      <c r="Z1050" s="320">
        <v>1</v>
      </c>
      <c r="AA1050" s="320">
        <v>1</v>
      </c>
      <c r="AB1050" s="320">
        <v>1</v>
      </c>
      <c r="AC1050" s="316">
        <v>0</v>
      </c>
      <c r="AD1050" s="316">
        <v>0</v>
      </c>
      <c r="AE1050" s="302">
        <f t="shared" ref="AE1050:AE1065" si="48">SUM(W1050:AD1050)/8</f>
        <v>0.75</v>
      </c>
      <c r="AF1050" s="354"/>
      <c r="AG1050" s="17">
        <v>0</v>
      </c>
      <c r="AH1050" s="354">
        <v>0.05</v>
      </c>
      <c r="AI1050" s="354">
        <v>0.05</v>
      </c>
      <c r="AJ1050" s="354">
        <v>0.05</v>
      </c>
      <c r="AK1050" s="319">
        <v>0.05</v>
      </c>
      <c r="AL1050" s="319">
        <v>0.05</v>
      </c>
      <c r="AM1050" s="147">
        <f t="shared" si="47"/>
        <v>0.1</v>
      </c>
      <c r="AN1050" s="320" t="s">
        <v>869</v>
      </c>
      <c r="AO1050" s="14" t="s">
        <v>871</v>
      </c>
      <c r="AP1050" s="320" t="s">
        <v>7336</v>
      </c>
    </row>
    <row r="1051" spans="1:42" s="320" customFormat="1" x14ac:dyDescent="0.3">
      <c r="A1051" s="353" t="s">
        <v>1450</v>
      </c>
      <c r="B1051" s="320" t="s">
        <v>6881</v>
      </c>
      <c r="C1051" s="320" t="s">
        <v>7255</v>
      </c>
      <c r="D1051" s="320" t="s">
        <v>7256</v>
      </c>
      <c r="E1051" s="320" t="s">
        <v>7257</v>
      </c>
      <c r="F1051" s="320" t="s">
        <v>7258</v>
      </c>
      <c r="G1051" s="320" t="s">
        <v>7337</v>
      </c>
      <c r="H1051" s="320" t="s">
        <v>7338</v>
      </c>
      <c r="I1051" s="320" t="s">
        <v>271</v>
      </c>
      <c r="J1051" s="320" t="s">
        <v>271</v>
      </c>
      <c r="K1051" s="320" t="s">
        <v>7339</v>
      </c>
      <c r="L1051" s="320" t="s">
        <v>7340</v>
      </c>
      <c r="M1051" s="277" t="s">
        <v>7341</v>
      </c>
      <c r="N1051" s="277"/>
      <c r="O1051" s="277"/>
      <c r="P1051" s="275"/>
      <c r="Q1051" s="275"/>
      <c r="R1051" s="275"/>
      <c r="S1051" s="275"/>
      <c r="T1051" s="320" t="s">
        <v>7342</v>
      </c>
      <c r="U1051" s="283" t="e">
        <v>#N/A</v>
      </c>
      <c r="V1051" s="320" t="s">
        <v>7343</v>
      </c>
      <c r="W1051" s="320">
        <v>1</v>
      </c>
      <c r="X1051" s="320">
        <v>1</v>
      </c>
      <c r="Y1051" s="320">
        <v>0</v>
      </c>
      <c r="Z1051" s="320">
        <v>1</v>
      </c>
      <c r="AA1051" s="320">
        <v>1</v>
      </c>
      <c r="AC1051" s="316">
        <v>0</v>
      </c>
      <c r="AD1051" s="316">
        <v>1</v>
      </c>
      <c r="AE1051" s="302">
        <f t="shared" si="48"/>
        <v>0.625</v>
      </c>
      <c r="AF1051" s="23"/>
      <c r="AG1051" s="17">
        <v>0</v>
      </c>
      <c r="AH1051" s="23">
        <v>0</v>
      </c>
      <c r="AI1051" s="23">
        <v>0</v>
      </c>
      <c r="AJ1051" s="354">
        <v>0.2</v>
      </c>
      <c r="AK1051" s="319">
        <v>0.7</v>
      </c>
      <c r="AL1051" s="319">
        <v>0.7</v>
      </c>
      <c r="AM1051" s="147">
        <f t="shared" si="47"/>
        <v>1.4</v>
      </c>
      <c r="AN1051" s="320" t="s">
        <v>6900</v>
      </c>
      <c r="AO1051" s="14" t="s">
        <v>6901</v>
      </c>
      <c r="AP1051" s="320" t="s">
        <v>6894</v>
      </c>
    </row>
    <row r="1052" spans="1:42" s="320" customFormat="1" x14ac:dyDescent="0.3">
      <c r="A1052" s="353" t="s">
        <v>1450</v>
      </c>
      <c r="B1052" s="320" t="s">
        <v>6881</v>
      </c>
      <c r="C1052" s="320" t="s">
        <v>7255</v>
      </c>
      <c r="D1052" s="320" t="s">
        <v>7256</v>
      </c>
      <c r="E1052" s="320" t="s">
        <v>7257</v>
      </c>
      <c r="F1052" s="320" t="s">
        <v>7258</v>
      </c>
      <c r="G1052" s="320" t="s">
        <v>7337</v>
      </c>
      <c r="H1052" s="320" t="s">
        <v>7338</v>
      </c>
      <c r="I1052" s="320" t="s">
        <v>271</v>
      </c>
      <c r="J1052" s="320" t="s">
        <v>271</v>
      </c>
      <c r="K1052" s="320" t="s">
        <v>7339</v>
      </c>
      <c r="L1052" s="320" t="s">
        <v>7340</v>
      </c>
      <c r="M1052" s="277" t="s">
        <v>7344</v>
      </c>
      <c r="N1052" s="277"/>
      <c r="O1052" s="277"/>
      <c r="P1052" s="275"/>
      <c r="Q1052" s="275"/>
      <c r="R1052" s="275"/>
      <c r="S1052" s="275"/>
      <c r="T1052" s="320" t="s">
        <v>6903</v>
      </c>
      <c r="U1052" s="283" t="e">
        <v>#N/A</v>
      </c>
      <c r="V1052" s="320" t="s">
        <v>7345</v>
      </c>
      <c r="W1052" s="320">
        <v>1</v>
      </c>
      <c r="X1052" s="320">
        <v>1</v>
      </c>
      <c r="Y1052" s="320">
        <v>1</v>
      </c>
      <c r="Z1052" s="320">
        <v>1</v>
      </c>
      <c r="AA1052" s="320">
        <v>1</v>
      </c>
      <c r="AB1052" s="320">
        <v>1</v>
      </c>
      <c r="AC1052" s="316">
        <v>0</v>
      </c>
      <c r="AD1052" s="316">
        <v>1</v>
      </c>
      <c r="AE1052" s="302">
        <f t="shared" si="48"/>
        <v>0.875</v>
      </c>
      <c r="AF1052" s="23"/>
      <c r="AG1052" s="17">
        <v>0</v>
      </c>
      <c r="AH1052" s="23">
        <v>0</v>
      </c>
      <c r="AI1052" s="354">
        <v>0.05</v>
      </c>
      <c r="AJ1052" s="354">
        <v>0.05</v>
      </c>
      <c r="AK1052" s="319">
        <v>2</v>
      </c>
      <c r="AL1052" s="319">
        <v>0.8</v>
      </c>
      <c r="AM1052" s="147">
        <f t="shared" si="47"/>
        <v>2.8</v>
      </c>
      <c r="AN1052" s="320" t="s">
        <v>6900</v>
      </c>
      <c r="AO1052" s="14" t="s">
        <v>6901</v>
      </c>
      <c r="AP1052" s="320" t="s">
        <v>7346</v>
      </c>
    </row>
    <row r="1053" spans="1:42" s="320" customFormat="1" x14ac:dyDescent="0.3">
      <c r="A1053" s="353" t="s">
        <v>1450</v>
      </c>
      <c r="B1053" s="320" t="s">
        <v>6881</v>
      </c>
      <c r="C1053" s="320" t="s">
        <v>7255</v>
      </c>
      <c r="D1053" s="320" t="s">
        <v>7256</v>
      </c>
      <c r="E1053" s="320" t="s">
        <v>7257</v>
      </c>
      <c r="F1053" s="320" t="s">
        <v>7258</v>
      </c>
      <c r="G1053" s="320" t="s">
        <v>7337</v>
      </c>
      <c r="H1053" s="320" t="s">
        <v>7338</v>
      </c>
      <c r="I1053" s="320" t="s">
        <v>271</v>
      </c>
      <c r="J1053" s="320" t="s">
        <v>271</v>
      </c>
      <c r="K1053" s="320" t="s">
        <v>7339</v>
      </c>
      <c r="L1053" s="320" t="s">
        <v>7340</v>
      </c>
      <c r="M1053" s="277"/>
      <c r="N1053" s="277"/>
      <c r="O1053" s="277"/>
      <c r="P1053" s="275"/>
      <c r="Q1053" s="275"/>
      <c r="R1053" s="275"/>
      <c r="S1053" s="275"/>
      <c r="U1053" s="283" t="e">
        <v>#N/A</v>
      </c>
      <c r="V1053" s="320" t="s">
        <v>7347</v>
      </c>
      <c r="W1053" s="320">
        <v>1</v>
      </c>
      <c r="X1053" s="320">
        <v>1</v>
      </c>
      <c r="Y1053" s="320">
        <v>0</v>
      </c>
      <c r="Z1053" s="320">
        <v>1</v>
      </c>
      <c r="AA1053" s="320">
        <v>1</v>
      </c>
      <c r="AB1053" s="320">
        <v>0</v>
      </c>
      <c r="AC1053" s="316">
        <v>0</v>
      </c>
      <c r="AD1053" s="316">
        <v>1</v>
      </c>
      <c r="AE1053" s="302">
        <f t="shared" si="48"/>
        <v>0.625</v>
      </c>
      <c r="AF1053" s="354"/>
      <c r="AG1053" s="17">
        <v>0</v>
      </c>
      <c r="AH1053" s="354">
        <v>0.35</v>
      </c>
      <c r="AI1053" s="354">
        <v>0.6</v>
      </c>
      <c r="AJ1053" s="354">
        <v>0.35</v>
      </c>
      <c r="AK1053" s="319">
        <v>0.95</v>
      </c>
      <c r="AL1053" s="319">
        <v>0.35</v>
      </c>
      <c r="AM1053" s="147">
        <f t="shared" si="47"/>
        <v>1.2999999999999998</v>
      </c>
      <c r="AN1053" s="320" t="s">
        <v>6900</v>
      </c>
      <c r="AO1053" s="14" t="s">
        <v>6901</v>
      </c>
      <c r="AP1053" s="320" t="s">
        <v>7348</v>
      </c>
    </row>
    <row r="1054" spans="1:42" s="320" customFormat="1" x14ac:dyDescent="0.3">
      <c r="A1054" s="353" t="s">
        <v>1450</v>
      </c>
      <c r="B1054" s="320" t="s">
        <v>6881</v>
      </c>
      <c r="C1054" s="320" t="s">
        <v>7255</v>
      </c>
      <c r="D1054" s="320" t="s">
        <v>7256</v>
      </c>
      <c r="E1054" s="320" t="s">
        <v>7257</v>
      </c>
      <c r="F1054" s="320" t="s">
        <v>7258</v>
      </c>
      <c r="G1054" s="320" t="s">
        <v>7337</v>
      </c>
      <c r="H1054" s="320" t="s">
        <v>7338</v>
      </c>
      <c r="I1054" s="320" t="s">
        <v>271</v>
      </c>
      <c r="J1054" s="320" t="s">
        <v>271</v>
      </c>
      <c r="K1054" s="320" t="s">
        <v>7339</v>
      </c>
      <c r="L1054" s="320" t="s">
        <v>7340</v>
      </c>
      <c r="M1054" s="277"/>
      <c r="N1054" s="277"/>
      <c r="O1054" s="277"/>
      <c r="P1054" s="275"/>
      <c r="Q1054" s="275"/>
      <c r="R1054" s="275"/>
      <c r="S1054" s="275"/>
      <c r="U1054" s="283" t="e">
        <v>#N/A</v>
      </c>
      <c r="V1054" s="320" t="s">
        <v>7349</v>
      </c>
      <c r="W1054" s="320">
        <v>1</v>
      </c>
      <c r="X1054" s="320">
        <v>1</v>
      </c>
      <c r="Y1054" s="320">
        <v>0</v>
      </c>
      <c r="Z1054" s="320">
        <v>1</v>
      </c>
      <c r="AA1054" s="320">
        <v>1</v>
      </c>
      <c r="AB1054" s="320">
        <v>1</v>
      </c>
      <c r="AC1054" s="316">
        <v>0</v>
      </c>
      <c r="AD1054" s="316">
        <v>1</v>
      </c>
      <c r="AE1054" s="302">
        <f t="shared" si="48"/>
        <v>0.75</v>
      </c>
      <c r="AF1054" s="23"/>
      <c r="AG1054" s="17">
        <v>0</v>
      </c>
      <c r="AH1054" s="23">
        <v>0</v>
      </c>
      <c r="AI1054" s="23">
        <v>0</v>
      </c>
      <c r="AJ1054" s="354">
        <v>0.2</v>
      </c>
      <c r="AK1054" s="319">
        <v>0.7</v>
      </c>
      <c r="AL1054" s="319">
        <v>0.7</v>
      </c>
      <c r="AM1054" s="147">
        <f t="shared" si="47"/>
        <v>1.4</v>
      </c>
      <c r="AN1054" s="320" t="s">
        <v>6900</v>
      </c>
      <c r="AO1054" s="14" t="s">
        <v>6901</v>
      </c>
      <c r="AP1054" s="320" t="s">
        <v>7350</v>
      </c>
    </row>
    <row r="1055" spans="1:42" s="320" customFormat="1" x14ac:dyDescent="0.3">
      <c r="A1055" s="353" t="s">
        <v>1450</v>
      </c>
      <c r="B1055" s="320" t="s">
        <v>6881</v>
      </c>
      <c r="C1055" s="320" t="s">
        <v>7255</v>
      </c>
      <c r="D1055" s="320" t="s">
        <v>7256</v>
      </c>
      <c r="E1055" s="320" t="s">
        <v>7351</v>
      </c>
      <c r="F1055" s="320" t="s">
        <v>7352</v>
      </c>
      <c r="G1055" s="320" t="s">
        <v>7353</v>
      </c>
      <c r="H1055" s="320" t="s">
        <v>7354</v>
      </c>
      <c r="I1055" s="320" t="s">
        <v>271</v>
      </c>
      <c r="J1055" s="320" t="s">
        <v>271</v>
      </c>
      <c r="K1055" s="320" t="s">
        <v>7355</v>
      </c>
      <c r="L1055" s="320" t="s">
        <v>7356</v>
      </c>
      <c r="M1055" s="277" t="s">
        <v>7357</v>
      </c>
      <c r="N1055" s="277">
        <v>5</v>
      </c>
      <c r="O1055" s="277">
        <v>5</v>
      </c>
      <c r="P1055" s="275">
        <v>5</v>
      </c>
      <c r="Q1055" s="275">
        <v>20</v>
      </c>
      <c r="R1055" s="275">
        <v>50</v>
      </c>
      <c r="S1055" s="275">
        <v>70</v>
      </c>
      <c r="T1055" s="320" t="s">
        <v>6903</v>
      </c>
      <c r="U1055" s="283" t="e">
        <v>#N/A</v>
      </c>
      <c r="V1055" s="320" t="s">
        <v>7358</v>
      </c>
      <c r="W1055" s="320">
        <v>1</v>
      </c>
      <c r="X1055" s="320">
        <v>1</v>
      </c>
      <c r="Y1055" s="320">
        <v>0</v>
      </c>
      <c r="Z1055" s="320">
        <v>1</v>
      </c>
      <c r="AA1055" s="320">
        <v>1</v>
      </c>
      <c r="AB1055" s="320">
        <v>1</v>
      </c>
      <c r="AC1055" s="316">
        <v>1</v>
      </c>
      <c r="AD1055" s="316">
        <v>1</v>
      </c>
      <c r="AE1055" s="302">
        <f t="shared" si="48"/>
        <v>0.875</v>
      </c>
      <c r="AF1055" s="354"/>
      <c r="AG1055" s="17">
        <v>0</v>
      </c>
      <c r="AH1055" s="354">
        <v>1.2999999999999999E-2</v>
      </c>
      <c r="AI1055" s="354">
        <v>2.5000000000000001E-2</v>
      </c>
      <c r="AJ1055" s="23">
        <v>0</v>
      </c>
      <c r="AK1055" s="153">
        <v>0</v>
      </c>
      <c r="AL1055" s="153">
        <v>0</v>
      </c>
      <c r="AM1055" s="147">
        <f t="shared" si="47"/>
        <v>0</v>
      </c>
      <c r="AN1055" s="320" t="s">
        <v>6900</v>
      </c>
      <c r="AO1055" s="14" t="s">
        <v>6901</v>
      </c>
      <c r="AP1055" s="320" t="s">
        <v>7359</v>
      </c>
    </row>
    <row r="1056" spans="1:42" s="320" customFormat="1" x14ac:dyDescent="0.3">
      <c r="A1056" s="353" t="s">
        <v>1450</v>
      </c>
      <c r="B1056" s="320" t="s">
        <v>6881</v>
      </c>
      <c r="C1056" s="320" t="s">
        <v>7255</v>
      </c>
      <c r="D1056" s="320" t="s">
        <v>7256</v>
      </c>
      <c r="E1056" s="320" t="s">
        <v>7351</v>
      </c>
      <c r="F1056" s="320" t="s">
        <v>7352</v>
      </c>
      <c r="G1056" s="320" t="s">
        <v>7353</v>
      </c>
      <c r="H1056" s="320" t="s">
        <v>7354</v>
      </c>
      <c r="I1056" s="320" t="s">
        <v>271</v>
      </c>
      <c r="J1056" s="320" t="s">
        <v>271</v>
      </c>
      <c r="K1056" s="320" t="s">
        <v>7355</v>
      </c>
      <c r="L1056" s="320" t="s">
        <v>7356</v>
      </c>
      <c r="M1056" s="277" t="s">
        <v>7360</v>
      </c>
      <c r="N1056" s="277">
        <v>0</v>
      </c>
      <c r="O1056" s="277">
        <v>0</v>
      </c>
      <c r="P1056" s="275">
        <v>1</v>
      </c>
      <c r="Q1056" s="275">
        <v>2</v>
      </c>
      <c r="R1056" s="275">
        <v>1</v>
      </c>
      <c r="S1056" s="275">
        <v>1</v>
      </c>
      <c r="T1056" s="320" t="s">
        <v>7361</v>
      </c>
      <c r="U1056" s="283" t="e">
        <v>#N/A</v>
      </c>
      <c r="V1056" s="320" t="s">
        <v>7362</v>
      </c>
      <c r="W1056" s="320">
        <v>1</v>
      </c>
      <c r="X1056" s="320">
        <v>1</v>
      </c>
      <c r="Y1056" s="320">
        <v>0</v>
      </c>
      <c r="Z1056" s="320">
        <v>1</v>
      </c>
      <c r="AA1056" s="320">
        <v>1</v>
      </c>
      <c r="AB1056" s="320">
        <v>1</v>
      </c>
      <c r="AC1056" s="316">
        <v>1</v>
      </c>
      <c r="AD1056" s="316">
        <v>1</v>
      </c>
      <c r="AE1056" s="302">
        <f t="shared" si="48"/>
        <v>0.875</v>
      </c>
      <c r="AF1056" s="354"/>
      <c r="AG1056" s="17">
        <v>0</v>
      </c>
      <c r="AH1056" s="354">
        <v>0.5</v>
      </c>
      <c r="AI1056" s="354">
        <v>1</v>
      </c>
      <c r="AJ1056" s="354">
        <v>1</v>
      </c>
      <c r="AK1056" s="319">
        <v>2</v>
      </c>
      <c r="AL1056" s="319">
        <v>2.5</v>
      </c>
      <c r="AM1056" s="147">
        <f t="shared" si="47"/>
        <v>4.5</v>
      </c>
      <c r="AN1056" s="320" t="s">
        <v>6900</v>
      </c>
      <c r="AO1056" s="320" t="s">
        <v>6901</v>
      </c>
      <c r="AP1056" s="320" t="s">
        <v>5104</v>
      </c>
    </row>
    <row r="1057" spans="1:42" s="320" customFormat="1" x14ac:dyDescent="0.3">
      <c r="A1057" s="353" t="s">
        <v>1450</v>
      </c>
      <c r="B1057" s="320" t="s">
        <v>6881</v>
      </c>
      <c r="C1057" s="320" t="s">
        <v>7255</v>
      </c>
      <c r="D1057" s="320" t="s">
        <v>7256</v>
      </c>
      <c r="E1057" s="320" t="s">
        <v>7351</v>
      </c>
      <c r="F1057" s="320" t="s">
        <v>7352</v>
      </c>
      <c r="G1057" s="320" t="s">
        <v>7363</v>
      </c>
      <c r="H1057" s="320" t="s">
        <v>7364</v>
      </c>
      <c r="I1057" s="320" t="s">
        <v>271</v>
      </c>
      <c r="J1057" s="320" t="s">
        <v>271</v>
      </c>
      <c r="K1057" s="320" t="s">
        <v>7365</v>
      </c>
      <c r="L1057" s="320" t="s">
        <v>7366</v>
      </c>
      <c r="M1057" s="277" t="s">
        <v>7367</v>
      </c>
      <c r="N1057" s="277">
        <v>0</v>
      </c>
      <c r="O1057" s="277">
        <v>0</v>
      </c>
      <c r="P1057" s="275">
        <v>0</v>
      </c>
      <c r="Q1057" s="275">
        <v>0</v>
      </c>
      <c r="R1057" s="275">
        <v>1</v>
      </c>
      <c r="S1057" s="275">
        <v>0</v>
      </c>
      <c r="T1057" s="320" t="s">
        <v>7368</v>
      </c>
      <c r="U1057" s="283" t="e">
        <v>#N/A</v>
      </c>
      <c r="V1057" s="320" t="s">
        <v>7367</v>
      </c>
      <c r="W1057" s="320">
        <v>1</v>
      </c>
      <c r="X1057" s="320">
        <v>1</v>
      </c>
      <c r="Y1057" s="320">
        <v>0</v>
      </c>
      <c r="Z1057" s="320">
        <v>0</v>
      </c>
      <c r="AA1057" s="320">
        <v>0</v>
      </c>
      <c r="AB1057" s="320">
        <v>1</v>
      </c>
      <c r="AC1057" s="316">
        <v>0</v>
      </c>
      <c r="AD1057" s="316">
        <v>1</v>
      </c>
      <c r="AE1057" s="302">
        <f t="shared" si="48"/>
        <v>0.5</v>
      </c>
      <c r="AF1057" s="23"/>
      <c r="AG1057" s="17">
        <v>0</v>
      </c>
      <c r="AH1057" s="23">
        <v>0</v>
      </c>
      <c r="AI1057" s="354">
        <v>0.5</v>
      </c>
      <c r="AJ1057" s="23">
        <v>0</v>
      </c>
      <c r="AK1057" s="153">
        <v>0</v>
      </c>
      <c r="AL1057" s="153">
        <v>0</v>
      </c>
      <c r="AM1057" s="147">
        <f t="shared" si="47"/>
        <v>0</v>
      </c>
      <c r="AN1057" s="320" t="s">
        <v>6900</v>
      </c>
      <c r="AO1057" s="14" t="s">
        <v>6901</v>
      </c>
      <c r="AP1057" s="320" t="s">
        <v>921</v>
      </c>
    </row>
    <row r="1058" spans="1:42" s="320" customFormat="1" x14ac:dyDescent="0.3">
      <c r="A1058" s="353" t="s">
        <v>1450</v>
      </c>
      <c r="B1058" s="320" t="s">
        <v>6881</v>
      </c>
      <c r="C1058" s="320" t="s">
        <v>7255</v>
      </c>
      <c r="D1058" s="320" t="s">
        <v>7256</v>
      </c>
      <c r="E1058" s="320" t="s">
        <v>7351</v>
      </c>
      <c r="F1058" s="320" t="s">
        <v>7352</v>
      </c>
      <c r="G1058" s="320" t="s">
        <v>7369</v>
      </c>
      <c r="H1058" s="320" t="s">
        <v>7370</v>
      </c>
      <c r="I1058" s="320" t="s">
        <v>271</v>
      </c>
      <c r="J1058" s="320" t="s">
        <v>271</v>
      </c>
      <c r="K1058" s="320" t="s">
        <v>7371</v>
      </c>
      <c r="L1058" s="320" t="s">
        <v>7372</v>
      </c>
      <c r="M1058" s="277" t="s">
        <v>7373</v>
      </c>
      <c r="N1058" s="277">
        <v>0</v>
      </c>
      <c r="O1058" s="277">
        <v>0</v>
      </c>
      <c r="P1058" s="275">
        <v>0</v>
      </c>
      <c r="Q1058" s="275">
        <v>1</v>
      </c>
      <c r="R1058" s="275">
        <v>1</v>
      </c>
      <c r="S1058" s="275">
        <v>1</v>
      </c>
      <c r="T1058" s="320" t="s">
        <v>7374</v>
      </c>
      <c r="U1058" s="283" t="e">
        <v>#N/A</v>
      </c>
      <c r="V1058" s="320" t="s">
        <v>7375</v>
      </c>
      <c r="W1058" s="320">
        <v>1</v>
      </c>
      <c r="X1058" s="320">
        <v>1</v>
      </c>
      <c r="Y1058" s="320">
        <v>0</v>
      </c>
      <c r="Z1058" s="320">
        <v>1</v>
      </c>
      <c r="AA1058" s="320">
        <v>1</v>
      </c>
      <c r="AB1058" s="320">
        <v>1</v>
      </c>
      <c r="AC1058" s="316">
        <v>0</v>
      </c>
      <c r="AD1058" s="316">
        <v>1</v>
      </c>
      <c r="AE1058" s="302">
        <f t="shared" si="48"/>
        <v>0.75</v>
      </c>
      <c r="AF1058" s="354"/>
      <c r="AG1058" s="17">
        <v>0</v>
      </c>
      <c r="AH1058" s="354">
        <v>0.4</v>
      </c>
      <c r="AI1058" s="354">
        <v>0.5</v>
      </c>
      <c r="AJ1058" s="354">
        <v>0.5</v>
      </c>
      <c r="AK1058" s="319">
        <v>0</v>
      </c>
      <c r="AL1058" s="319">
        <v>0</v>
      </c>
      <c r="AM1058" s="147">
        <f t="shared" si="47"/>
        <v>0</v>
      </c>
      <c r="AN1058" s="320" t="s">
        <v>6900</v>
      </c>
      <c r="AO1058" s="320" t="s">
        <v>6901</v>
      </c>
      <c r="AP1058" s="320" t="s">
        <v>6894</v>
      </c>
    </row>
    <row r="1059" spans="1:42" s="320" customFormat="1" x14ac:dyDescent="0.3">
      <c r="A1059" s="353" t="s">
        <v>1450</v>
      </c>
      <c r="B1059" s="320" t="s">
        <v>6881</v>
      </c>
      <c r="C1059" s="320" t="s">
        <v>7255</v>
      </c>
      <c r="D1059" s="320" t="s">
        <v>7256</v>
      </c>
      <c r="E1059" s="320" t="s">
        <v>7351</v>
      </c>
      <c r="F1059" s="320" t="s">
        <v>7352</v>
      </c>
      <c r="G1059" s="320" t="s">
        <v>7369</v>
      </c>
      <c r="H1059" s="320" t="s">
        <v>7370</v>
      </c>
      <c r="I1059" s="320" t="s">
        <v>271</v>
      </c>
      <c r="J1059" s="320" t="s">
        <v>271</v>
      </c>
      <c r="K1059" s="320" t="s">
        <v>7371</v>
      </c>
      <c r="L1059" s="320" t="s">
        <v>7372</v>
      </c>
      <c r="M1059" s="277"/>
      <c r="N1059" s="277"/>
      <c r="O1059" s="277"/>
      <c r="P1059" s="275"/>
      <c r="Q1059" s="275"/>
      <c r="R1059" s="275"/>
      <c r="S1059" s="275"/>
      <c r="T1059" s="320" t="s">
        <v>6894</v>
      </c>
      <c r="U1059" s="283" t="s">
        <v>6896</v>
      </c>
      <c r="V1059" s="320" t="s">
        <v>7376</v>
      </c>
      <c r="W1059" s="320">
        <v>1</v>
      </c>
      <c r="X1059" s="320">
        <v>1</v>
      </c>
      <c r="Y1059" s="320">
        <v>0</v>
      </c>
      <c r="Z1059" s="320">
        <v>1</v>
      </c>
      <c r="AA1059" s="320">
        <v>1</v>
      </c>
      <c r="AB1059" s="320">
        <v>1</v>
      </c>
      <c r="AC1059" s="316">
        <v>1</v>
      </c>
      <c r="AD1059" s="316">
        <v>1</v>
      </c>
      <c r="AE1059" s="302">
        <f t="shared" si="48"/>
        <v>0.875</v>
      </c>
      <c r="AF1059" s="354"/>
      <c r="AG1059" s="17">
        <v>0</v>
      </c>
      <c r="AH1059" s="354">
        <v>0.03</v>
      </c>
      <c r="AI1059" s="354">
        <v>0.03</v>
      </c>
      <c r="AJ1059" s="354">
        <v>0.03</v>
      </c>
      <c r="AK1059" s="319">
        <v>0.03</v>
      </c>
      <c r="AL1059" s="319">
        <v>0.03</v>
      </c>
      <c r="AM1059" s="147">
        <f t="shared" si="47"/>
        <v>0.06</v>
      </c>
      <c r="AN1059" s="320" t="s">
        <v>6900</v>
      </c>
      <c r="AO1059" s="14" t="s">
        <v>6901</v>
      </c>
      <c r="AP1059" s="320" t="s">
        <v>7377</v>
      </c>
    </row>
    <row r="1060" spans="1:42" s="320" customFormat="1" x14ac:dyDescent="0.3">
      <c r="A1060" s="353" t="s">
        <v>1450</v>
      </c>
      <c r="B1060" s="320" t="s">
        <v>6881</v>
      </c>
      <c r="C1060" s="320" t="s">
        <v>7255</v>
      </c>
      <c r="D1060" s="320" t="s">
        <v>7256</v>
      </c>
      <c r="E1060" s="320" t="s">
        <v>7351</v>
      </c>
      <c r="F1060" s="320" t="s">
        <v>7352</v>
      </c>
      <c r="G1060" s="320" t="s">
        <v>7378</v>
      </c>
      <c r="H1060" s="320" t="s">
        <v>7379</v>
      </c>
      <c r="I1060" s="320" t="s">
        <v>271</v>
      </c>
      <c r="J1060" s="320" t="s">
        <v>271</v>
      </c>
      <c r="K1060" s="320" t="s">
        <v>7380</v>
      </c>
      <c r="L1060" s="320" t="s">
        <v>7381</v>
      </c>
      <c r="M1060" s="277" t="s">
        <v>7382</v>
      </c>
      <c r="N1060" s="277">
        <v>370</v>
      </c>
      <c r="O1060" s="277">
        <v>450</v>
      </c>
      <c r="P1060" s="275">
        <v>500</v>
      </c>
      <c r="Q1060" s="275">
        <v>500</v>
      </c>
      <c r="R1060" s="275">
        <v>500</v>
      </c>
      <c r="S1060" s="275">
        <v>500</v>
      </c>
      <c r="T1060" s="320" t="s">
        <v>6894</v>
      </c>
      <c r="U1060" s="283" t="s">
        <v>6896</v>
      </c>
      <c r="V1060" s="320" t="s">
        <v>7383</v>
      </c>
      <c r="W1060" s="320">
        <v>1</v>
      </c>
      <c r="X1060" s="320">
        <v>1</v>
      </c>
      <c r="Y1060" s="320">
        <v>0</v>
      </c>
      <c r="Z1060" s="320">
        <v>1</v>
      </c>
      <c r="AA1060" s="320">
        <v>1</v>
      </c>
      <c r="AB1060" s="320">
        <v>1</v>
      </c>
      <c r="AC1060" s="316">
        <v>0</v>
      </c>
      <c r="AD1060" s="316">
        <v>1</v>
      </c>
      <c r="AE1060" s="302">
        <f t="shared" si="48"/>
        <v>0.75</v>
      </c>
      <c r="AF1060" s="354"/>
      <c r="AG1060" s="17">
        <v>0</v>
      </c>
      <c r="AH1060" s="354">
        <v>0</v>
      </c>
      <c r="AI1060" s="354">
        <v>0.5</v>
      </c>
      <c r="AJ1060" s="354">
        <v>0.5</v>
      </c>
      <c r="AK1060" s="319">
        <v>0.5</v>
      </c>
      <c r="AL1060" s="319">
        <v>0.5</v>
      </c>
      <c r="AM1060" s="147">
        <f t="shared" si="47"/>
        <v>1</v>
      </c>
      <c r="AN1060" s="320" t="s">
        <v>6894</v>
      </c>
      <c r="AO1060" s="14" t="s">
        <v>6896</v>
      </c>
      <c r="AP1060" s="320" t="s">
        <v>7384</v>
      </c>
    </row>
    <row r="1061" spans="1:42" s="320" customFormat="1" x14ac:dyDescent="0.3">
      <c r="A1061" s="353" t="s">
        <v>1450</v>
      </c>
      <c r="B1061" s="320" t="s">
        <v>6881</v>
      </c>
      <c r="C1061" s="320" t="s">
        <v>7255</v>
      </c>
      <c r="D1061" s="320" t="s">
        <v>7256</v>
      </c>
      <c r="E1061" s="320" t="s">
        <v>7351</v>
      </c>
      <c r="F1061" s="320" t="s">
        <v>7352</v>
      </c>
      <c r="G1061" s="320" t="s">
        <v>7378</v>
      </c>
      <c r="H1061" s="320" t="s">
        <v>7379</v>
      </c>
      <c r="I1061" s="320" t="s">
        <v>271</v>
      </c>
      <c r="J1061" s="320" t="s">
        <v>271</v>
      </c>
      <c r="K1061" s="320" t="s">
        <v>7380</v>
      </c>
      <c r="L1061" s="320" t="s">
        <v>7381</v>
      </c>
      <c r="M1061" s="277" t="s">
        <v>7385</v>
      </c>
      <c r="N1061" s="277">
        <v>300</v>
      </c>
      <c r="O1061" s="277">
        <v>500</v>
      </c>
      <c r="P1061" s="275">
        <v>550</v>
      </c>
      <c r="Q1061" s="275">
        <v>600</v>
      </c>
      <c r="R1061" s="275">
        <v>620</v>
      </c>
      <c r="S1061" s="275">
        <v>640</v>
      </c>
      <c r="T1061" s="320" t="s">
        <v>6894</v>
      </c>
      <c r="U1061" s="283" t="s">
        <v>6896</v>
      </c>
      <c r="V1061" s="320" t="s">
        <v>7386</v>
      </c>
      <c r="W1061" s="320">
        <v>1</v>
      </c>
      <c r="X1061" s="320">
        <v>1</v>
      </c>
      <c r="Y1061" s="320">
        <v>0</v>
      </c>
      <c r="Z1061" s="320">
        <v>1</v>
      </c>
      <c r="AA1061" s="320">
        <v>1</v>
      </c>
      <c r="AB1061" s="320">
        <v>1</v>
      </c>
      <c r="AC1061" s="316">
        <v>0</v>
      </c>
      <c r="AD1061" s="316">
        <v>1</v>
      </c>
      <c r="AE1061" s="302">
        <f t="shared" si="48"/>
        <v>0.75</v>
      </c>
      <c r="AF1061" s="354"/>
      <c r="AG1061" s="17">
        <v>0</v>
      </c>
      <c r="AH1061" s="354">
        <v>0</v>
      </c>
      <c r="AI1061" s="354">
        <v>0.5</v>
      </c>
      <c r="AJ1061" s="354">
        <v>0.5</v>
      </c>
      <c r="AK1061" s="319">
        <v>0.5</v>
      </c>
      <c r="AL1061" s="319">
        <v>0.5</v>
      </c>
      <c r="AM1061" s="147">
        <f t="shared" si="47"/>
        <v>1</v>
      </c>
      <c r="AN1061" s="320" t="s">
        <v>6894</v>
      </c>
      <c r="AO1061" s="14" t="s">
        <v>6896</v>
      </c>
      <c r="AP1061" s="320" t="s">
        <v>7387</v>
      </c>
    </row>
    <row r="1062" spans="1:42" s="320" customFormat="1" x14ac:dyDescent="0.3">
      <c r="A1062" s="353" t="s">
        <v>1450</v>
      </c>
      <c r="B1062" s="320" t="s">
        <v>6881</v>
      </c>
      <c r="C1062" s="320" t="s">
        <v>7255</v>
      </c>
      <c r="D1062" s="320" t="s">
        <v>7256</v>
      </c>
      <c r="E1062" s="320" t="s">
        <v>7351</v>
      </c>
      <c r="F1062" s="320" t="s">
        <v>7352</v>
      </c>
      <c r="G1062" s="320" t="s">
        <v>7378</v>
      </c>
      <c r="H1062" s="320" t="s">
        <v>7379</v>
      </c>
      <c r="I1062" s="320" t="s">
        <v>271</v>
      </c>
      <c r="J1062" s="320" t="s">
        <v>271</v>
      </c>
      <c r="K1062" s="320" t="s">
        <v>7380</v>
      </c>
      <c r="L1062" s="320" t="s">
        <v>7381</v>
      </c>
      <c r="M1062" s="277" t="s">
        <v>7388</v>
      </c>
      <c r="N1062" s="277">
        <v>1000</v>
      </c>
      <c r="O1062" s="277">
        <v>3000</v>
      </c>
      <c r="P1062" s="275">
        <v>3300</v>
      </c>
      <c r="Q1062" s="275">
        <v>3600</v>
      </c>
      <c r="R1062" s="275">
        <v>3900</v>
      </c>
      <c r="S1062" s="275">
        <v>4200</v>
      </c>
      <c r="T1062" s="320" t="s">
        <v>6894</v>
      </c>
      <c r="U1062" s="283" t="s">
        <v>6896</v>
      </c>
      <c r="V1062" s="320" t="s">
        <v>7389</v>
      </c>
      <c r="W1062" s="320">
        <v>1</v>
      </c>
      <c r="X1062" s="320">
        <v>1</v>
      </c>
      <c r="Y1062" s="320">
        <v>0</v>
      </c>
      <c r="Z1062" s="320">
        <v>1</v>
      </c>
      <c r="AA1062" s="320">
        <v>1</v>
      </c>
      <c r="AB1062" s="320">
        <v>1</v>
      </c>
      <c r="AC1062" s="316">
        <v>0</v>
      </c>
      <c r="AD1062" s="316">
        <v>1</v>
      </c>
      <c r="AE1062" s="302">
        <f t="shared" si="48"/>
        <v>0.75</v>
      </c>
      <c r="AF1062" s="354"/>
      <c r="AG1062" s="17">
        <v>0</v>
      </c>
      <c r="AH1062" s="354">
        <v>1</v>
      </c>
      <c r="AI1062" s="354">
        <v>0.5</v>
      </c>
      <c r="AJ1062" s="354">
        <v>0.5</v>
      </c>
      <c r="AK1062" s="319">
        <v>0.5</v>
      </c>
      <c r="AL1062" s="319">
        <v>0.5</v>
      </c>
      <c r="AM1062" s="147">
        <f t="shared" si="47"/>
        <v>1</v>
      </c>
      <c r="AN1062" s="320" t="s">
        <v>6894</v>
      </c>
      <c r="AO1062" s="14" t="s">
        <v>6896</v>
      </c>
      <c r="AP1062" s="320" t="s">
        <v>7390</v>
      </c>
    </row>
    <row r="1063" spans="1:42" s="320" customFormat="1" x14ac:dyDescent="0.3">
      <c r="A1063" s="353" t="s">
        <v>1450</v>
      </c>
      <c r="B1063" s="320" t="s">
        <v>6881</v>
      </c>
      <c r="C1063" s="320" t="s">
        <v>7255</v>
      </c>
      <c r="D1063" s="320" t="s">
        <v>7256</v>
      </c>
      <c r="E1063" s="320" t="s">
        <v>7351</v>
      </c>
      <c r="F1063" s="320" t="s">
        <v>7352</v>
      </c>
      <c r="G1063" s="320" t="s">
        <v>7378</v>
      </c>
      <c r="H1063" s="320" t="s">
        <v>7379</v>
      </c>
      <c r="I1063" s="320" t="s">
        <v>271</v>
      </c>
      <c r="J1063" s="320" t="s">
        <v>271</v>
      </c>
      <c r="K1063" s="320" t="s">
        <v>7380</v>
      </c>
      <c r="L1063" s="320" t="s">
        <v>7381</v>
      </c>
      <c r="M1063" s="277"/>
      <c r="N1063" s="277"/>
      <c r="O1063" s="277"/>
      <c r="P1063" s="275"/>
      <c r="Q1063" s="275"/>
      <c r="R1063" s="275"/>
      <c r="S1063" s="275"/>
      <c r="T1063" s="320" t="s">
        <v>6894</v>
      </c>
      <c r="U1063" s="283" t="s">
        <v>6896</v>
      </c>
      <c r="V1063" s="320" t="s">
        <v>7391</v>
      </c>
      <c r="W1063" s="320">
        <v>1</v>
      </c>
      <c r="X1063" s="320">
        <v>1</v>
      </c>
      <c r="Y1063" s="320">
        <v>0</v>
      </c>
      <c r="Z1063" s="320">
        <v>1</v>
      </c>
      <c r="AA1063" s="320">
        <v>1</v>
      </c>
      <c r="AB1063" s="320">
        <v>1</v>
      </c>
      <c r="AC1063" s="316">
        <v>0</v>
      </c>
      <c r="AD1063" s="316">
        <v>1</v>
      </c>
      <c r="AE1063" s="302">
        <f t="shared" si="48"/>
        <v>0.75</v>
      </c>
      <c r="AF1063" s="354"/>
      <c r="AG1063" s="17">
        <v>0</v>
      </c>
      <c r="AH1063" s="354">
        <v>0.2</v>
      </c>
      <c r="AI1063" s="354">
        <v>2</v>
      </c>
      <c r="AJ1063" s="354">
        <v>2</v>
      </c>
      <c r="AK1063" s="319">
        <v>2</v>
      </c>
      <c r="AL1063" s="319">
        <v>2</v>
      </c>
      <c r="AM1063" s="147">
        <f t="shared" si="47"/>
        <v>4</v>
      </c>
      <c r="AN1063" s="320" t="s">
        <v>6900</v>
      </c>
      <c r="AO1063" s="14" t="s">
        <v>6901</v>
      </c>
      <c r="AP1063" s="320" t="s">
        <v>6914</v>
      </c>
    </row>
    <row r="1064" spans="1:42" s="320" customFormat="1" x14ac:dyDescent="0.3">
      <c r="A1064" s="353" t="s">
        <v>1450</v>
      </c>
      <c r="B1064" s="320" t="s">
        <v>6881</v>
      </c>
      <c r="C1064" s="320" t="s">
        <v>7255</v>
      </c>
      <c r="D1064" s="320" t="s">
        <v>7256</v>
      </c>
      <c r="E1064" s="320" t="s">
        <v>7351</v>
      </c>
      <c r="F1064" s="320" t="s">
        <v>7352</v>
      </c>
      <c r="G1064" s="320" t="s">
        <v>7378</v>
      </c>
      <c r="H1064" s="320" t="s">
        <v>7379</v>
      </c>
      <c r="I1064" s="320" t="s">
        <v>271</v>
      </c>
      <c r="J1064" s="320" t="s">
        <v>271</v>
      </c>
      <c r="K1064" s="320" t="s">
        <v>7380</v>
      </c>
      <c r="L1064" s="320" t="s">
        <v>7381</v>
      </c>
      <c r="M1064" s="277"/>
      <c r="N1064" s="277"/>
      <c r="O1064" s="277"/>
      <c r="P1064" s="275"/>
      <c r="Q1064" s="275"/>
      <c r="R1064" s="275"/>
      <c r="S1064" s="275"/>
      <c r="T1064" s="320" t="s">
        <v>6894</v>
      </c>
      <c r="U1064" s="283" t="s">
        <v>6896</v>
      </c>
      <c r="V1064" s="320" t="s">
        <v>7392</v>
      </c>
      <c r="W1064" s="320">
        <v>1</v>
      </c>
      <c r="X1064" s="320">
        <v>1</v>
      </c>
      <c r="Y1064" s="320">
        <v>1</v>
      </c>
      <c r="Z1064" s="320">
        <v>1</v>
      </c>
      <c r="AA1064" s="320">
        <v>1</v>
      </c>
      <c r="AB1064" s="320">
        <v>1</v>
      </c>
      <c r="AC1064" s="316">
        <v>1</v>
      </c>
      <c r="AD1064" s="316">
        <v>1</v>
      </c>
      <c r="AE1064" s="302">
        <f t="shared" si="48"/>
        <v>1</v>
      </c>
      <c r="AF1064" s="354"/>
      <c r="AG1064" s="17">
        <v>0</v>
      </c>
      <c r="AH1064" s="354">
        <v>0</v>
      </c>
      <c r="AI1064" s="354">
        <v>0.5</v>
      </c>
      <c r="AJ1064" s="354">
        <v>1</v>
      </c>
      <c r="AK1064" s="319">
        <v>1.5</v>
      </c>
      <c r="AL1064" s="319">
        <v>2</v>
      </c>
      <c r="AM1064" s="147">
        <f t="shared" si="47"/>
        <v>3.5</v>
      </c>
      <c r="AN1064" s="320" t="s">
        <v>255</v>
      </c>
      <c r="AO1064" s="14" t="s">
        <v>1045</v>
      </c>
      <c r="AP1064" s="320" t="s">
        <v>7241</v>
      </c>
    </row>
    <row r="1065" spans="1:42" s="320" customFormat="1" x14ac:dyDescent="0.3">
      <c r="A1065" s="353" t="s">
        <v>1450</v>
      </c>
      <c r="B1065" s="320" t="s">
        <v>6881</v>
      </c>
      <c r="C1065" s="320" t="s">
        <v>7255</v>
      </c>
      <c r="D1065" s="320" t="s">
        <v>7256</v>
      </c>
      <c r="E1065" s="320" t="s">
        <v>7351</v>
      </c>
      <c r="F1065" s="320" t="s">
        <v>7352</v>
      </c>
      <c r="G1065" s="320" t="s">
        <v>7378</v>
      </c>
      <c r="H1065" s="320" t="s">
        <v>7379</v>
      </c>
      <c r="I1065" s="320" t="s">
        <v>271</v>
      </c>
      <c r="J1065" s="320" t="s">
        <v>271</v>
      </c>
      <c r="K1065" s="320" t="s">
        <v>7380</v>
      </c>
      <c r="L1065" s="320" t="s">
        <v>7381</v>
      </c>
      <c r="M1065" s="277"/>
      <c r="N1065" s="277"/>
      <c r="O1065" s="277"/>
      <c r="P1065" s="275"/>
      <c r="Q1065" s="275"/>
      <c r="R1065" s="275"/>
      <c r="S1065" s="275"/>
      <c r="T1065" s="320" t="s">
        <v>6894</v>
      </c>
      <c r="U1065" s="283" t="s">
        <v>6896</v>
      </c>
      <c r="V1065" s="320" t="s">
        <v>7393</v>
      </c>
      <c r="W1065" s="320">
        <v>1</v>
      </c>
      <c r="X1065" s="320">
        <v>1</v>
      </c>
      <c r="Y1065" s="320">
        <v>0</v>
      </c>
      <c r="Z1065" s="320">
        <v>1</v>
      </c>
      <c r="AA1065" s="320">
        <v>1</v>
      </c>
      <c r="AB1065" s="320">
        <v>0</v>
      </c>
      <c r="AC1065" s="316">
        <v>1</v>
      </c>
      <c r="AD1065" s="316">
        <v>1</v>
      </c>
      <c r="AE1065" s="302">
        <f t="shared" si="48"/>
        <v>0.75</v>
      </c>
      <c r="AF1065" s="354"/>
      <c r="AG1065" s="17">
        <v>0</v>
      </c>
      <c r="AH1065" s="354">
        <v>0.1</v>
      </c>
      <c r="AI1065" s="354">
        <v>0.1</v>
      </c>
      <c r="AJ1065" s="354">
        <v>0.1</v>
      </c>
      <c r="AK1065" s="319">
        <v>0.1</v>
      </c>
      <c r="AL1065" s="319">
        <v>0.1</v>
      </c>
      <c r="AM1065" s="147">
        <f t="shared" si="47"/>
        <v>0.2</v>
      </c>
      <c r="AN1065" s="320" t="s">
        <v>6900</v>
      </c>
      <c r="AO1065" s="14" t="s">
        <v>6901</v>
      </c>
      <c r="AP1065" s="320" t="s">
        <v>7394</v>
      </c>
    </row>
    <row r="1066" spans="1:42" customFormat="1" x14ac:dyDescent="0.3">
      <c r="A1066" s="386" t="s">
        <v>1450</v>
      </c>
      <c r="B1066" t="s">
        <v>6881</v>
      </c>
      <c r="C1066" s="200" t="s">
        <v>12953</v>
      </c>
      <c r="D1066" t="s">
        <v>6838</v>
      </c>
      <c r="E1066" s="200" t="s">
        <v>12954</v>
      </c>
      <c r="F1066" t="s">
        <v>12811</v>
      </c>
      <c r="G1066" s="200" t="s">
        <v>12955</v>
      </c>
      <c r="H1066" t="s">
        <v>12812</v>
      </c>
      <c r="K1066" s="200" t="s">
        <v>12956</v>
      </c>
      <c r="L1066" t="s">
        <v>12754</v>
      </c>
      <c r="M1066" s="1"/>
      <c r="N1066" s="423"/>
      <c r="O1066" s="1"/>
      <c r="P1066" s="3"/>
      <c r="Q1066" s="3"/>
      <c r="R1066" s="3"/>
      <c r="S1066" s="3"/>
      <c r="V1066" t="s">
        <v>12755</v>
      </c>
      <c r="AF1066" s="64"/>
      <c r="AH1066" s="4"/>
      <c r="AI1066" s="4"/>
      <c r="AJ1066" s="4"/>
      <c r="AK1066" s="398"/>
      <c r="AL1066" s="398"/>
      <c r="AM1066" s="4"/>
    </row>
    <row r="1067" spans="1:42" customFormat="1" x14ac:dyDescent="0.3">
      <c r="A1067" s="386" t="s">
        <v>1450</v>
      </c>
      <c r="B1067" t="s">
        <v>6881</v>
      </c>
      <c r="C1067" s="200" t="s">
        <v>12953</v>
      </c>
      <c r="D1067" t="s">
        <v>6838</v>
      </c>
      <c r="E1067" s="200" t="s">
        <v>12954</v>
      </c>
      <c r="F1067" t="s">
        <v>12811</v>
      </c>
      <c r="G1067" s="200" t="s">
        <v>12955</v>
      </c>
      <c r="H1067" t="s">
        <v>12812</v>
      </c>
      <c r="K1067" s="200" t="s">
        <v>12957</v>
      </c>
      <c r="L1067" t="s">
        <v>12808</v>
      </c>
      <c r="M1067" s="1"/>
      <c r="N1067" s="423"/>
      <c r="O1067" s="1"/>
      <c r="P1067" s="3"/>
      <c r="Q1067" s="3"/>
      <c r="R1067" s="3"/>
      <c r="S1067" s="3"/>
      <c r="V1067" t="s">
        <v>12809</v>
      </c>
      <c r="AF1067" s="64"/>
      <c r="AH1067" s="4"/>
      <c r="AI1067" s="4"/>
      <c r="AJ1067" s="4"/>
      <c r="AK1067" s="398"/>
      <c r="AL1067" s="398"/>
      <c r="AM1067" s="4"/>
    </row>
    <row r="1068" spans="1:42" customFormat="1" x14ac:dyDescent="0.3">
      <c r="A1068" s="386" t="s">
        <v>1450</v>
      </c>
      <c r="B1068" t="s">
        <v>6881</v>
      </c>
      <c r="C1068" s="200" t="s">
        <v>12953</v>
      </c>
      <c r="D1068" t="s">
        <v>6838</v>
      </c>
      <c r="E1068" s="200" t="s">
        <v>12954</v>
      </c>
      <c r="F1068" t="s">
        <v>12811</v>
      </c>
      <c r="G1068" s="200" t="s">
        <v>12955</v>
      </c>
      <c r="H1068" t="s">
        <v>12812</v>
      </c>
      <c r="K1068" s="200" t="s">
        <v>12958</v>
      </c>
      <c r="L1068" t="s">
        <v>12756</v>
      </c>
      <c r="M1068" s="1" t="s">
        <v>5766</v>
      </c>
      <c r="N1068" s="423"/>
      <c r="O1068" s="1"/>
      <c r="P1068" s="3"/>
      <c r="Q1068" s="3"/>
      <c r="R1068" s="3"/>
      <c r="S1068" s="3"/>
      <c r="V1068" t="s">
        <v>12792</v>
      </c>
      <c r="AF1068" s="64"/>
      <c r="AH1068" s="4"/>
      <c r="AI1068" s="4"/>
      <c r="AJ1068" s="4"/>
      <c r="AK1068" s="46"/>
      <c r="AL1068" s="46"/>
      <c r="AM1068" s="4"/>
    </row>
    <row r="1069" spans="1:42" customFormat="1" x14ac:dyDescent="0.3">
      <c r="A1069" s="386" t="s">
        <v>1450</v>
      </c>
      <c r="B1069" t="s">
        <v>6881</v>
      </c>
      <c r="C1069" s="200" t="s">
        <v>12953</v>
      </c>
      <c r="D1069" t="s">
        <v>6838</v>
      </c>
      <c r="E1069" s="200" t="s">
        <v>12954</v>
      </c>
      <c r="F1069" t="s">
        <v>12811</v>
      </c>
      <c r="G1069" s="200" t="s">
        <v>12955</v>
      </c>
      <c r="H1069" t="s">
        <v>12812</v>
      </c>
      <c r="K1069" s="200" t="s">
        <v>12959</v>
      </c>
      <c r="L1069" t="s">
        <v>12757</v>
      </c>
      <c r="M1069" s="1" t="s">
        <v>12758</v>
      </c>
      <c r="N1069" s="423"/>
      <c r="O1069" s="1"/>
      <c r="P1069" s="3"/>
      <c r="Q1069" s="3"/>
      <c r="R1069" s="3"/>
      <c r="S1069" s="3"/>
      <c r="V1069" t="s">
        <v>12793</v>
      </c>
      <c r="AF1069" s="64"/>
      <c r="AH1069" s="4"/>
      <c r="AI1069" s="4"/>
      <c r="AJ1069" s="4"/>
      <c r="AK1069" s="46"/>
      <c r="AL1069" s="46"/>
      <c r="AM1069" s="4"/>
    </row>
    <row r="1070" spans="1:42" customFormat="1" x14ac:dyDescent="0.3">
      <c r="A1070" s="386" t="s">
        <v>1450</v>
      </c>
      <c r="B1070" t="s">
        <v>6881</v>
      </c>
      <c r="C1070" s="200" t="s">
        <v>12953</v>
      </c>
      <c r="D1070" t="s">
        <v>6838</v>
      </c>
      <c r="E1070" s="200" t="s">
        <v>12954</v>
      </c>
      <c r="F1070" t="s">
        <v>12811</v>
      </c>
      <c r="G1070" s="200" t="s">
        <v>12955</v>
      </c>
      <c r="H1070" t="s">
        <v>12812</v>
      </c>
      <c r="K1070" s="200" t="s">
        <v>12960</v>
      </c>
      <c r="L1070" t="s">
        <v>12759</v>
      </c>
      <c r="M1070" s="1" t="s">
        <v>12760</v>
      </c>
      <c r="N1070" s="423"/>
      <c r="O1070" s="1"/>
      <c r="P1070" s="3"/>
      <c r="Q1070" s="3"/>
      <c r="R1070" s="3"/>
      <c r="S1070" s="3"/>
      <c r="V1070" t="s">
        <v>12794</v>
      </c>
      <c r="AF1070" s="64"/>
      <c r="AH1070" s="4"/>
      <c r="AI1070" s="4"/>
      <c r="AJ1070" s="4"/>
      <c r="AK1070" s="46"/>
      <c r="AL1070" s="46"/>
      <c r="AM1070" s="4"/>
    </row>
    <row r="1071" spans="1:42" customFormat="1" x14ac:dyDescent="0.3">
      <c r="A1071" s="386" t="s">
        <v>1450</v>
      </c>
      <c r="B1071" t="s">
        <v>6881</v>
      </c>
      <c r="C1071" s="200" t="s">
        <v>12953</v>
      </c>
      <c r="D1071" t="s">
        <v>6838</v>
      </c>
      <c r="E1071" s="200" t="s">
        <v>12954</v>
      </c>
      <c r="F1071" t="s">
        <v>12811</v>
      </c>
      <c r="G1071" s="200" t="s">
        <v>12955</v>
      </c>
      <c r="H1071" t="s">
        <v>12812</v>
      </c>
      <c r="K1071" s="200" t="s">
        <v>12961</v>
      </c>
      <c r="L1071" t="s">
        <v>12761</v>
      </c>
      <c r="M1071" s="1" t="s">
        <v>12762</v>
      </c>
      <c r="N1071" s="423"/>
      <c r="O1071" s="1"/>
      <c r="P1071" s="3"/>
      <c r="Q1071" s="3"/>
      <c r="R1071" s="3"/>
      <c r="S1071" s="3"/>
      <c r="V1071" t="s">
        <v>5782</v>
      </c>
      <c r="AF1071" s="64"/>
      <c r="AH1071" s="4"/>
      <c r="AI1071" s="4"/>
      <c r="AJ1071" s="4"/>
      <c r="AK1071" s="46"/>
      <c r="AL1071" s="46"/>
      <c r="AM1071" s="4"/>
    </row>
    <row r="1072" spans="1:42" customFormat="1" x14ac:dyDescent="0.3">
      <c r="A1072" s="386" t="s">
        <v>1450</v>
      </c>
      <c r="B1072" t="s">
        <v>6881</v>
      </c>
      <c r="C1072" s="200" t="s">
        <v>12953</v>
      </c>
      <c r="D1072" t="s">
        <v>6838</v>
      </c>
      <c r="E1072" s="200" t="s">
        <v>12954</v>
      </c>
      <c r="F1072" t="s">
        <v>12811</v>
      </c>
      <c r="G1072" s="200" t="s">
        <v>12955</v>
      </c>
      <c r="H1072" t="s">
        <v>12812</v>
      </c>
      <c r="K1072" s="200" t="s">
        <v>12962</v>
      </c>
      <c r="L1072" t="s">
        <v>12763</v>
      </c>
      <c r="M1072" s="1" t="s">
        <v>12764</v>
      </c>
      <c r="N1072" s="423"/>
      <c r="O1072" s="1"/>
      <c r="P1072" s="3"/>
      <c r="Q1072" s="3"/>
      <c r="R1072" s="3"/>
      <c r="S1072" s="3"/>
      <c r="V1072" t="s">
        <v>5783</v>
      </c>
      <c r="AF1072" s="64"/>
      <c r="AH1072" s="4"/>
      <c r="AI1072" s="4"/>
      <c r="AJ1072" s="4"/>
      <c r="AK1072" s="46"/>
      <c r="AL1072" s="46"/>
      <c r="AM1072" s="4"/>
    </row>
    <row r="1073" spans="1:39" customFormat="1" x14ac:dyDescent="0.3">
      <c r="A1073" s="386" t="s">
        <v>1450</v>
      </c>
      <c r="B1073" t="s">
        <v>6881</v>
      </c>
      <c r="C1073" s="200" t="s">
        <v>12953</v>
      </c>
      <c r="D1073" t="s">
        <v>6838</v>
      </c>
      <c r="E1073" s="200" t="s">
        <v>12954</v>
      </c>
      <c r="F1073" t="s">
        <v>12811</v>
      </c>
      <c r="G1073" s="200" t="s">
        <v>12955</v>
      </c>
      <c r="H1073" t="s">
        <v>12812</v>
      </c>
      <c r="K1073" s="200" t="s">
        <v>12963</v>
      </c>
      <c r="L1073" t="s">
        <v>12765</v>
      </c>
      <c r="M1073" s="1" t="s">
        <v>12766</v>
      </c>
      <c r="N1073" s="423"/>
      <c r="O1073" s="1"/>
      <c r="P1073" s="3"/>
      <c r="Q1073" s="3"/>
      <c r="R1073" s="3"/>
      <c r="S1073" s="3"/>
      <c r="V1073" t="s">
        <v>12795</v>
      </c>
      <c r="AF1073" s="64"/>
      <c r="AH1073" s="4"/>
      <c r="AI1073" s="4"/>
      <c r="AJ1073" s="4"/>
      <c r="AK1073" s="46"/>
      <c r="AL1073" s="46"/>
      <c r="AM1073" s="4"/>
    </row>
    <row r="1074" spans="1:39" customFormat="1" x14ac:dyDescent="0.3">
      <c r="A1074" s="386" t="s">
        <v>1450</v>
      </c>
      <c r="B1074" t="s">
        <v>6881</v>
      </c>
      <c r="C1074" s="200" t="s">
        <v>12953</v>
      </c>
      <c r="D1074" t="s">
        <v>6838</v>
      </c>
      <c r="E1074" s="200" t="s">
        <v>12954</v>
      </c>
      <c r="F1074" t="s">
        <v>12811</v>
      </c>
      <c r="G1074" s="200" t="s">
        <v>12955</v>
      </c>
      <c r="H1074" t="s">
        <v>12812</v>
      </c>
      <c r="K1074" s="200" t="s">
        <v>12964</v>
      </c>
      <c r="L1074" t="s">
        <v>12767</v>
      </c>
      <c r="M1074" s="1" t="s">
        <v>12768</v>
      </c>
      <c r="N1074" s="423"/>
      <c r="O1074" s="1"/>
      <c r="P1074" s="3"/>
      <c r="Q1074" s="3"/>
      <c r="R1074" s="3"/>
      <c r="S1074" s="3"/>
      <c r="V1074" t="s">
        <v>12796</v>
      </c>
      <c r="AF1074" s="64"/>
      <c r="AH1074" s="4"/>
      <c r="AI1074" s="4"/>
      <c r="AJ1074" s="4"/>
      <c r="AK1074" s="46"/>
      <c r="AL1074" s="46"/>
      <c r="AM1074" s="4"/>
    </row>
    <row r="1075" spans="1:39" customFormat="1" x14ac:dyDescent="0.3">
      <c r="A1075" s="386" t="s">
        <v>1450</v>
      </c>
      <c r="B1075" t="s">
        <v>6881</v>
      </c>
      <c r="C1075" s="200" t="s">
        <v>12953</v>
      </c>
      <c r="D1075" t="s">
        <v>6838</v>
      </c>
      <c r="E1075" s="200" t="s">
        <v>12954</v>
      </c>
      <c r="F1075" t="s">
        <v>12811</v>
      </c>
      <c r="G1075" s="200" t="s">
        <v>12955</v>
      </c>
      <c r="H1075" t="s">
        <v>12812</v>
      </c>
      <c r="K1075" s="200" t="s">
        <v>12965</v>
      </c>
      <c r="L1075" t="s">
        <v>12769</v>
      </c>
      <c r="M1075" s="1" t="s">
        <v>12770</v>
      </c>
      <c r="N1075" s="423"/>
      <c r="O1075" s="1"/>
      <c r="P1075" s="3"/>
      <c r="Q1075" s="3"/>
      <c r="R1075" s="3"/>
      <c r="S1075" s="3"/>
      <c r="V1075" t="s">
        <v>5786</v>
      </c>
      <c r="AF1075" s="64"/>
      <c r="AH1075" s="4"/>
      <c r="AI1075" s="4"/>
      <c r="AJ1075" s="4"/>
      <c r="AK1075" s="46"/>
      <c r="AL1075" s="46"/>
      <c r="AM1075" s="4"/>
    </row>
    <row r="1076" spans="1:39" customFormat="1" x14ac:dyDescent="0.3">
      <c r="A1076" s="386" t="s">
        <v>1450</v>
      </c>
      <c r="B1076" t="s">
        <v>6881</v>
      </c>
      <c r="C1076" s="200" t="s">
        <v>12953</v>
      </c>
      <c r="D1076" t="s">
        <v>6838</v>
      </c>
      <c r="E1076" s="200" t="s">
        <v>12954</v>
      </c>
      <c r="F1076" t="s">
        <v>12811</v>
      </c>
      <c r="G1076" s="200" t="s">
        <v>12955</v>
      </c>
      <c r="H1076" t="s">
        <v>12812</v>
      </c>
      <c r="K1076" s="200" t="s">
        <v>12966</v>
      </c>
      <c r="L1076" t="s">
        <v>12771</v>
      </c>
      <c r="M1076" s="1" t="s">
        <v>12772</v>
      </c>
      <c r="N1076" s="423"/>
      <c r="O1076" s="1"/>
      <c r="P1076" s="3"/>
      <c r="Q1076" s="3"/>
      <c r="R1076" s="3"/>
      <c r="S1076" s="3"/>
      <c r="V1076" t="s">
        <v>12800</v>
      </c>
      <c r="AF1076" s="64"/>
      <c r="AH1076" s="4"/>
      <c r="AI1076" s="4"/>
      <c r="AJ1076" s="4"/>
      <c r="AK1076" s="46"/>
      <c r="AL1076" s="46"/>
      <c r="AM1076" s="4"/>
    </row>
    <row r="1077" spans="1:39" customFormat="1" x14ac:dyDescent="0.3">
      <c r="A1077" s="386" t="s">
        <v>1450</v>
      </c>
      <c r="B1077" t="s">
        <v>6881</v>
      </c>
      <c r="C1077" s="200" t="s">
        <v>12953</v>
      </c>
      <c r="D1077" t="s">
        <v>6838</v>
      </c>
      <c r="E1077" s="200" t="s">
        <v>12954</v>
      </c>
      <c r="F1077" t="s">
        <v>12811</v>
      </c>
      <c r="G1077" s="200" t="s">
        <v>12955</v>
      </c>
      <c r="H1077" t="s">
        <v>12812</v>
      </c>
      <c r="K1077" s="200" t="s">
        <v>12967</v>
      </c>
      <c r="L1077" t="s">
        <v>12773</v>
      </c>
      <c r="M1077" s="1" t="s">
        <v>12774</v>
      </c>
      <c r="N1077" s="423"/>
      <c r="O1077" s="1"/>
      <c r="P1077" s="3"/>
      <c r="Q1077" s="3"/>
      <c r="R1077" s="3"/>
      <c r="S1077" s="3"/>
      <c r="V1077" t="s">
        <v>12797</v>
      </c>
      <c r="AF1077" s="64"/>
      <c r="AH1077" s="4"/>
      <c r="AI1077" s="4"/>
      <c r="AJ1077" s="4"/>
      <c r="AK1077" s="46"/>
      <c r="AL1077" s="46"/>
      <c r="AM1077" s="4"/>
    </row>
    <row r="1078" spans="1:39" customFormat="1" x14ac:dyDescent="0.3">
      <c r="A1078" s="386" t="s">
        <v>1450</v>
      </c>
      <c r="B1078" t="s">
        <v>6881</v>
      </c>
      <c r="C1078" s="200" t="s">
        <v>12953</v>
      </c>
      <c r="D1078" t="s">
        <v>6838</v>
      </c>
      <c r="E1078" s="200" t="s">
        <v>12954</v>
      </c>
      <c r="F1078" t="s">
        <v>12811</v>
      </c>
      <c r="G1078" s="200" t="s">
        <v>12955</v>
      </c>
      <c r="H1078" t="s">
        <v>12812</v>
      </c>
      <c r="K1078" s="200" t="s">
        <v>12968</v>
      </c>
      <c r="L1078" t="s">
        <v>12775</v>
      </c>
      <c r="M1078" s="1" t="s">
        <v>12776</v>
      </c>
      <c r="N1078" s="423"/>
      <c r="O1078" s="1"/>
      <c r="P1078" s="3"/>
      <c r="Q1078" s="3"/>
      <c r="R1078" s="3"/>
      <c r="S1078" s="3"/>
      <c r="V1078" t="s">
        <v>12798</v>
      </c>
      <c r="AF1078" s="64"/>
      <c r="AH1078" s="4"/>
      <c r="AI1078" s="4"/>
      <c r="AJ1078" s="4"/>
      <c r="AK1078" s="46"/>
      <c r="AL1078" s="46"/>
      <c r="AM1078" s="4"/>
    </row>
    <row r="1079" spans="1:39" customFormat="1" x14ac:dyDescent="0.3">
      <c r="A1079" s="386" t="s">
        <v>1450</v>
      </c>
      <c r="B1079" t="s">
        <v>6881</v>
      </c>
      <c r="C1079" s="200" t="s">
        <v>12953</v>
      </c>
      <c r="D1079" t="s">
        <v>6838</v>
      </c>
      <c r="E1079" s="200" t="s">
        <v>12954</v>
      </c>
      <c r="F1079" t="s">
        <v>12811</v>
      </c>
      <c r="G1079" s="200" t="s">
        <v>12955</v>
      </c>
      <c r="H1079" t="s">
        <v>12812</v>
      </c>
      <c r="K1079" s="200" t="s">
        <v>12969</v>
      </c>
      <c r="L1079" t="s">
        <v>12777</v>
      </c>
      <c r="M1079" s="1" t="s">
        <v>12778</v>
      </c>
      <c r="N1079" s="423"/>
      <c r="O1079" s="1"/>
      <c r="P1079" s="3"/>
      <c r="Q1079" s="3"/>
      <c r="R1079" s="3"/>
      <c r="S1079" s="3"/>
      <c r="V1079" t="s">
        <v>5789</v>
      </c>
      <c r="AF1079" s="64"/>
      <c r="AH1079" s="4"/>
      <c r="AI1079" s="4"/>
      <c r="AJ1079" s="4"/>
      <c r="AK1079" s="46"/>
      <c r="AL1079" s="46"/>
      <c r="AM1079" s="4"/>
    </row>
    <row r="1080" spans="1:39" customFormat="1" x14ac:dyDescent="0.3">
      <c r="A1080" s="386" t="s">
        <v>1450</v>
      </c>
      <c r="B1080" t="s">
        <v>6881</v>
      </c>
      <c r="C1080" s="200" t="s">
        <v>12953</v>
      </c>
      <c r="D1080" t="s">
        <v>6838</v>
      </c>
      <c r="E1080" s="200" t="s">
        <v>12954</v>
      </c>
      <c r="F1080" t="s">
        <v>12811</v>
      </c>
      <c r="G1080" s="200" t="s">
        <v>12955</v>
      </c>
      <c r="H1080" t="s">
        <v>12812</v>
      </c>
      <c r="K1080" s="200" t="s">
        <v>12970</v>
      </c>
      <c r="L1080" t="s">
        <v>12779</v>
      </c>
      <c r="M1080" s="1" t="s">
        <v>12780</v>
      </c>
      <c r="N1080" s="423"/>
      <c r="O1080" s="1"/>
      <c r="P1080" s="3"/>
      <c r="Q1080" s="3"/>
      <c r="R1080" s="3"/>
      <c r="S1080" s="3"/>
      <c r="V1080" t="s">
        <v>12799</v>
      </c>
      <c r="AF1080" s="64"/>
      <c r="AH1080" s="4"/>
      <c r="AI1080" s="4"/>
      <c r="AJ1080" s="4"/>
      <c r="AK1080" s="46"/>
      <c r="AL1080" s="46"/>
      <c r="AM1080" s="4"/>
    </row>
    <row r="1081" spans="1:39" customFormat="1" x14ac:dyDescent="0.3">
      <c r="A1081" s="386" t="s">
        <v>1450</v>
      </c>
      <c r="B1081" t="s">
        <v>6881</v>
      </c>
      <c r="C1081" s="200" t="s">
        <v>12953</v>
      </c>
      <c r="D1081" t="s">
        <v>6838</v>
      </c>
      <c r="E1081" s="200" t="s">
        <v>12954</v>
      </c>
      <c r="F1081" t="s">
        <v>12811</v>
      </c>
      <c r="G1081" s="200" t="s">
        <v>12955</v>
      </c>
      <c r="H1081" t="s">
        <v>12812</v>
      </c>
      <c r="K1081" s="200" t="s">
        <v>12971</v>
      </c>
      <c r="L1081" t="s">
        <v>12806</v>
      </c>
      <c r="M1081" s="1" t="s">
        <v>12781</v>
      </c>
      <c r="N1081" s="423"/>
      <c r="O1081" s="1"/>
      <c r="P1081" s="3"/>
      <c r="Q1081" s="3"/>
      <c r="R1081" s="3"/>
      <c r="S1081" s="3"/>
      <c r="V1081" t="s">
        <v>12805</v>
      </c>
      <c r="AF1081" s="64"/>
      <c r="AH1081" s="4"/>
      <c r="AI1081" s="4"/>
      <c r="AJ1081" s="4"/>
      <c r="AK1081" s="46"/>
      <c r="AL1081" s="46"/>
      <c r="AM1081" s="4"/>
    </row>
    <row r="1082" spans="1:39" customFormat="1" x14ac:dyDescent="0.3">
      <c r="A1082" s="386" t="s">
        <v>1450</v>
      </c>
      <c r="B1082" t="s">
        <v>6881</v>
      </c>
      <c r="C1082" s="200" t="s">
        <v>12953</v>
      </c>
      <c r="D1082" t="s">
        <v>6838</v>
      </c>
      <c r="E1082" s="200" t="s">
        <v>12954</v>
      </c>
      <c r="F1082" t="s">
        <v>12811</v>
      </c>
      <c r="G1082" s="200" t="s">
        <v>12955</v>
      </c>
      <c r="H1082" t="s">
        <v>12812</v>
      </c>
      <c r="K1082" s="200" t="s">
        <v>12972</v>
      </c>
      <c r="L1082" t="s">
        <v>12782</v>
      </c>
      <c r="M1082" s="1"/>
      <c r="N1082" s="423"/>
      <c r="O1082" s="1"/>
      <c r="P1082" s="3"/>
      <c r="Q1082" s="3"/>
      <c r="R1082" s="3"/>
      <c r="S1082" s="3"/>
      <c r="V1082" t="s">
        <v>12782</v>
      </c>
      <c r="AF1082" s="64"/>
      <c r="AH1082" s="4"/>
      <c r="AI1082" s="4"/>
      <c r="AJ1082" s="4"/>
      <c r="AK1082" s="46"/>
      <c r="AL1082" s="46"/>
      <c r="AM1082" s="4"/>
    </row>
    <row r="1083" spans="1:39" customFormat="1" x14ac:dyDescent="0.3">
      <c r="A1083" s="386" t="s">
        <v>1450</v>
      </c>
      <c r="B1083" t="s">
        <v>6881</v>
      </c>
      <c r="C1083" s="200" t="s">
        <v>12953</v>
      </c>
      <c r="D1083" t="s">
        <v>6838</v>
      </c>
      <c r="E1083" s="200" t="s">
        <v>12954</v>
      </c>
      <c r="F1083" t="s">
        <v>12811</v>
      </c>
      <c r="G1083" s="200" t="s">
        <v>12955</v>
      </c>
      <c r="H1083" t="s">
        <v>12812</v>
      </c>
      <c r="K1083" s="200" t="s">
        <v>12956</v>
      </c>
      <c r="L1083" t="s">
        <v>12783</v>
      </c>
      <c r="M1083" s="1" t="s">
        <v>12784</v>
      </c>
      <c r="N1083" s="423"/>
      <c r="O1083" s="1"/>
      <c r="P1083" s="3"/>
      <c r="Q1083" s="3"/>
      <c r="R1083" s="3"/>
      <c r="S1083" s="3"/>
      <c r="V1083" t="s">
        <v>12783</v>
      </c>
      <c r="AF1083" s="64"/>
      <c r="AH1083" s="4"/>
      <c r="AI1083" s="4"/>
      <c r="AJ1083" s="4"/>
      <c r="AK1083" s="46"/>
      <c r="AL1083" s="46"/>
      <c r="AM1083" s="4"/>
    </row>
    <row r="1084" spans="1:39" customFormat="1" x14ac:dyDescent="0.3">
      <c r="A1084" s="386" t="s">
        <v>1450</v>
      </c>
      <c r="B1084" t="s">
        <v>6881</v>
      </c>
      <c r="C1084" s="200" t="s">
        <v>12953</v>
      </c>
      <c r="D1084" t="s">
        <v>6838</v>
      </c>
      <c r="E1084" s="200" t="s">
        <v>12954</v>
      </c>
      <c r="F1084" t="s">
        <v>12811</v>
      </c>
      <c r="G1084" s="200" t="s">
        <v>12955</v>
      </c>
      <c r="H1084" t="s">
        <v>12812</v>
      </c>
      <c r="K1084" s="200" t="s">
        <v>12956</v>
      </c>
      <c r="L1084" t="s">
        <v>12785</v>
      </c>
      <c r="M1084" s="1" t="s">
        <v>12786</v>
      </c>
      <c r="N1084" s="423"/>
      <c r="O1084" s="1"/>
      <c r="P1084" s="3"/>
      <c r="Q1084" s="3"/>
      <c r="R1084" s="3"/>
      <c r="S1084" s="3"/>
      <c r="V1084" t="s">
        <v>12801</v>
      </c>
      <c r="AF1084" s="64"/>
      <c r="AH1084" s="4"/>
      <c r="AI1084" s="4"/>
      <c r="AJ1084" s="4"/>
      <c r="AK1084" s="46"/>
      <c r="AL1084" s="46"/>
      <c r="AM1084" s="4"/>
    </row>
    <row r="1085" spans="1:39" customFormat="1" x14ac:dyDescent="0.3">
      <c r="A1085" s="386" t="s">
        <v>1450</v>
      </c>
      <c r="B1085" t="s">
        <v>6881</v>
      </c>
      <c r="C1085" s="200" t="s">
        <v>12953</v>
      </c>
      <c r="D1085" t="s">
        <v>6838</v>
      </c>
      <c r="E1085" s="200" t="s">
        <v>12954</v>
      </c>
      <c r="F1085" t="s">
        <v>12811</v>
      </c>
      <c r="G1085" s="200" t="s">
        <v>12955</v>
      </c>
      <c r="H1085" t="s">
        <v>12812</v>
      </c>
      <c r="K1085" s="200" t="s">
        <v>12973</v>
      </c>
      <c r="L1085" t="s">
        <v>12787</v>
      </c>
      <c r="M1085" s="1" t="s">
        <v>12788</v>
      </c>
      <c r="N1085" s="423"/>
      <c r="O1085" s="1"/>
      <c r="P1085" s="3"/>
      <c r="Q1085" s="3"/>
      <c r="R1085" s="3"/>
      <c r="S1085" s="3"/>
      <c r="V1085" t="s">
        <v>12802</v>
      </c>
      <c r="AF1085" s="64"/>
      <c r="AH1085" s="4"/>
      <c r="AI1085" s="4"/>
      <c r="AJ1085" s="4"/>
      <c r="AK1085" s="46"/>
      <c r="AL1085" s="46"/>
      <c r="AM1085" s="4"/>
    </row>
    <row r="1086" spans="1:39" customFormat="1" x14ac:dyDescent="0.3">
      <c r="A1086" s="386" t="s">
        <v>1450</v>
      </c>
      <c r="B1086" t="s">
        <v>6881</v>
      </c>
      <c r="C1086" s="200" t="s">
        <v>12953</v>
      </c>
      <c r="D1086" t="s">
        <v>6838</v>
      </c>
      <c r="E1086" s="200" t="s">
        <v>12954</v>
      </c>
      <c r="F1086" t="s">
        <v>12811</v>
      </c>
      <c r="G1086" s="200" t="s">
        <v>12955</v>
      </c>
      <c r="H1086" t="s">
        <v>12812</v>
      </c>
      <c r="K1086" s="200" t="s">
        <v>12974</v>
      </c>
      <c r="L1086" t="s">
        <v>12789</v>
      </c>
      <c r="M1086" s="1" t="s">
        <v>12790</v>
      </c>
      <c r="N1086" s="423"/>
      <c r="O1086" s="1"/>
      <c r="P1086" s="3"/>
      <c r="Q1086" s="3"/>
      <c r="R1086" s="3"/>
      <c r="S1086" s="3"/>
      <c r="V1086" t="s">
        <v>12803</v>
      </c>
      <c r="AF1086" s="64"/>
      <c r="AH1086" s="4"/>
      <c r="AI1086" s="4"/>
      <c r="AJ1086" s="4"/>
      <c r="AK1086" s="46"/>
      <c r="AL1086" s="46"/>
      <c r="AM1086" s="4"/>
    </row>
    <row r="1087" spans="1:39" customFormat="1" x14ac:dyDescent="0.3">
      <c r="A1087" s="386" t="s">
        <v>1450</v>
      </c>
      <c r="B1087" t="s">
        <v>6881</v>
      </c>
      <c r="C1087" s="200" t="s">
        <v>12953</v>
      </c>
      <c r="D1087" t="s">
        <v>6838</v>
      </c>
      <c r="E1087" s="200" t="s">
        <v>12954</v>
      </c>
      <c r="F1087" t="s">
        <v>12811</v>
      </c>
      <c r="G1087" s="200" t="s">
        <v>12955</v>
      </c>
      <c r="H1087" t="s">
        <v>12812</v>
      </c>
      <c r="K1087" s="200" t="s">
        <v>12975</v>
      </c>
      <c r="L1087" t="s">
        <v>12791</v>
      </c>
      <c r="M1087" s="1" t="s">
        <v>12807</v>
      </c>
      <c r="N1087" s="423"/>
      <c r="O1087" s="1"/>
      <c r="P1087" s="3"/>
      <c r="Q1087" s="3"/>
      <c r="R1087" s="3"/>
      <c r="S1087" s="3"/>
      <c r="V1087" t="s">
        <v>12804</v>
      </c>
      <c r="AF1087" s="64"/>
      <c r="AH1087" s="4"/>
      <c r="AI1087" s="4"/>
      <c r="AJ1087" s="4"/>
      <c r="AK1087" s="46"/>
      <c r="AL1087" s="46"/>
      <c r="AM1087" s="4"/>
    </row>
    <row r="1088" spans="1:39" customFormat="1" x14ac:dyDescent="0.3">
      <c r="A1088" s="386" t="s">
        <v>8315</v>
      </c>
      <c r="B1088" t="s">
        <v>8316</v>
      </c>
      <c r="C1088" s="200" t="s">
        <v>12976</v>
      </c>
      <c r="D1088" t="s">
        <v>6838</v>
      </c>
      <c r="E1088" s="200" t="s">
        <v>12977</v>
      </c>
      <c r="F1088" t="s">
        <v>12811</v>
      </c>
      <c r="G1088" s="200" t="s">
        <v>12978</v>
      </c>
      <c r="H1088" t="s">
        <v>12812</v>
      </c>
      <c r="K1088" s="200" t="s">
        <v>12979</v>
      </c>
      <c r="L1088" t="s">
        <v>12754</v>
      </c>
      <c r="M1088" s="1"/>
      <c r="N1088" s="423"/>
      <c r="O1088" s="1"/>
      <c r="P1088" s="3"/>
      <c r="Q1088" s="3"/>
      <c r="R1088" s="3"/>
      <c r="S1088" s="3"/>
      <c r="V1088" t="s">
        <v>12755</v>
      </c>
      <c r="AF1088" s="64"/>
      <c r="AH1088" s="4"/>
      <c r="AI1088" s="4"/>
      <c r="AJ1088" s="4"/>
      <c r="AK1088" s="398"/>
      <c r="AL1088" s="398"/>
      <c r="AM1088" s="4"/>
    </row>
    <row r="1089" spans="1:39" customFormat="1" x14ac:dyDescent="0.3">
      <c r="A1089" s="386" t="s">
        <v>8315</v>
      </c>
      <c r="B1089" t="s">
        <v>8316</v>
      </c>
      <c r="C1089" s="200" t="s">
        <v>12976</v>
      </c>
      <c r="D1089" t="s">
        <v>6838</v>
      </c>
      <c r="E1089" s="200" t="s">
        <v>12977</v>
      </c>
      <c r="F1089" t="s">
        <v>12811</v>
      </c>
      <c r="G1089" s="200" t="s">
        <v>12978</v>
      </c>
      <c r="H1089" t="s">
        <v>12812</v>
      </c>
      <c r="K1089" s="200" t="s">
        <v>12980</v>
      </c>
      <c r="L1089" t="s">
        <v>12808</v>
      </c>
      <c r="M1089" s="1"/>
      <c r="N1089" s="423"/>
      <c r="O1089" s="1"/>
      <c r="P1089" s="3"/>
      <c r="Q1089" s="3"/>
      <c r="R1089" s="3"/>
      <c r="S1089" s="3"/>
      <c r="V1089" t="s">
        <v>12809</v>
      </c>
      <c r="AF1089" s="64"/>
      <c r="AH1089" s="4"/>
      <c r="AI1089" s="4"/>
      <c r="AJ1089" s="4"/>
      <c r="AK1089" s="398"/>
      <c r="AL1089" s="398"/>
      <c r="AM1089" s="4"/>
    </row>
    <row r="1090" spans="1:39" customFormat="1" x14ac:dyDescent="0.3">
      <c r="A1090" s="386" t="s">
        <v>8315</v>
      </c>
      <c r="B1090" t="s">
        <v>8316</v>
      </c>
      <c r="C1090" s="200" t="s">
        <v>12976</v>
      </c>
      <c r="D1090" t="s">
        <v>6838</v>
      </c>
      <c r="E1090" s="200" t="s">
        <v>12977</v>
      </c>
      <c r="F1090" t="s">
        <v>12811</v>
      </c>
      <c r="G1090" s="200" t="s">
        <v>12978</v>
      </c>
      <c r="H1090" t="s">
        <v>12812</v>
      </c>
      <c r="K1090" s="200" t="s">
        <v>12981</v>
      </c>
      <c r="L1090" t="s">
        <v>12756</v>
      </c>
      <c r="M1090" s="1" t="s">
        <v>5766</v>
      </c>
      <c r="N1090" s="423"/>
      <c r="O1090" s="1"/>
      <c r="P1090" s="3"/>
      <c r="Q1090" s="3"/>
      <c r="R1090" s="3"/>
      <c r="S1090" s="3"/>
      <c r="V1090" t="s">
        <v>12792</v>
      </c>
      <c r="AF1090" s="64"/>
      <c r="AH1090" s="4"/>
      <c r="AI1090" s="4"/>
      <c r="AJ1090" s="4"/>
      <c r="AK1090" s="46"/>
      <c r="AL1090" s="46"/>
      <c r="AM1090" s="4"/>
    </row>
    <row r="1091" spans="1:39" customFormat="1" x14ac:dyDescent="0.3">
      <c r="A1091" s="386" t="s">
        <v>8315</v>
      </c>
      <c r="B1091" t="s">
        <v>8316</v>
      </c>
      <c r="C1091" s="200" t="s">
        <v>12976</v>
      </c>
      <c r="D1091" t="s">
        <v>6838</v>
      </c>
      <c r="E1091" s="200" t="s">
        <v>12977</v>
      </c>
      <c r="F1091" t="s">
        <v>12811</v>
      </c>
      <c r="G1091" s="200" t="s">
        <v>12978</v>
      </c>
      <c r="H1091" t="s">
        <v>12812</v>
      </c>
      <c r="K1091" s="200" t="s">
        <v>12982</v>
      </c>
      <c r="L1091" t="s">
        <v>12757</v>
      </c>
      <c r="M1091" s="1" t="s">
        <v>12758</v>
      </c>
      <c r="N1091" s="423"/>
      <c r="O1091" s="1"/>
      <c r="P1091" s="3"/>
      <c r="Q1091" s="3"/>
      <c r="R1091" s="3"/>
      <c r="S1091" s="3"/>
      <c r="V1091" t="s">
        <v>12793</v>
      </c>
      <c r="AF1091" s="64"/>
      <c r="AH1091" s="4"/>
      <c r="AI1091" s="4"/>
      <c r="AJ1091" s="4"/>
      <c r="AK1091" s="46"/>
      <c r="AL1091" s="46"/>
      <c r="AM1091" s="4"/>
    </row>
    <row r="1092" spans="1:39" customFormat="1" x14ac:dyDescent="0.3">
      <c r="A1092" s="386" t="s">
        <v>8315</v>
      </c>
      <c r="B1092" t="s">
        <v>8316</v>
      </c>
      <c r="C1092" s="200" t="s">
        <v>12976</v>
      </c>
      <c r="D1092" t="s">
        <v>6838</v>
      </c>
      <c r="E1092" s="200" t="s">
        <v>12977</v>
      </c>
      <c r="F1092" t="s">
        <v>12811</v>
      </c>
      <c r="G1092" s="200" t="s">
        <v>12978</v>
      </c>
      <c r="H1092" t="s">
        <v>12812</v>
      </c>
      <c r="K1092" s="200" t="s">
        <v>12983</v>
      </c>
      <c r="L1092" t="s">
        <v>12759</v>
      </c>
      <c r="M1092" s="1" t="s">
        <v>12760</v>
      </c>
      <c r="N1092" s="423"/>
      <c r="O1092" s="1"/>
      <c r="P1092" s="3"/>
      <c r="Q1092" s="3"/>
      <c r="R1092" s="3"/>
      <c r="S1092" s="3"/>
      <c r="V1092" t="s">
        <v>12794</v>
      </c>
      <c r="AF1092" s="64"/>
      <c r="AH1092" s="4"/>
      <c r="AI1092" s="4"/>
      <c r="AJ1092" s="4"/>
      <c r="AK1092" s="46"/>
      <c r="AL1092" s="46"/>
      <c r="AM1092" s="4"/>
    </row>
    <row r="1093" spans="1:39" customFormat="1" x14ac:dyDescent="0.3">
      <c r="A1093" s="386" t="s">
        <v>8315</v>
      </c>
      <c r="B1093" t="s">
        <v>8316</v>
      </c>
      <c r="C1093" s="200" t="s">
        <v>12976</v>
      </c>
      <c r="D1093" t="s">
        <v>6838</v>
      </c>
      <c r="E1093" s="200" t="s">
        <v>12977</v>
      </c>
      <c r="F1093" t="s">
        <v>12811</v>
      </c>
      <c r="G1093" s="200" t="s">
        <v>12978</v>
      </c>
      <c r="H1093" t="s">
        <v>12812</v>
      </c>
      <c r="K1093" s="200" t="s">
        <v>12984</v>
      </c>
      <c r="L1093" t="s">
        <v>12761</v>
      </c>
      <c r="M1093" s="1" t="s">
        <v>12762</v>
      </c>
      <c r="N1093" s="423"/>
      <c r="O1093" s="1"/>
      <c r="P1093" s="3"/>
      <c r="Q1093" s="3"/>
      <c r="R1093" s="3"/>
      <c r="S1093" s="3"/>
      <c r="V1093" t="s">
        <v>5782</v>
      </c>
      <c r="AF1093" s="64"/>
      <c r="AH1093" s="4"/>
      <c r="AI1093" s="4"/>
      <c r="AJ1093" s="4"/>
      <c r="AK1093" s="46"/>
      <c r="AL1093" s="46"/>
      <c r="AM1093" s="4"/>
    </row>
    <row r="1094" spans="1:39" customFormat="1" x14ac:dyDescent="0.3">
      <c r="A1094" s="386" t="s">
        <v>8315</v>
      </c>
      <c r="B1094" t="s">
        <v>8316</v>
      </c>
      <c r="C1094" s="200" t="s">
        <v>12976</v>
      </c>
      <c r="D1094" t="s">
        <v>6838</v>
      </c>
      <c r="E1094" s="200" t="s">
        <v>12977</v>
      </c>
      <c r="F1094" t="s">
        <v>12811</v>
      </c>
      <c r="G1094" s="200" t="s">
        <v>12978</v>
      </c>
      <c r="H1094" t="s">
        <v>12812</v>
      </c>
      <c r="K1094" s="200" t="s">
        <v>12985</v>
      </c>
      <c r="L1094" t="s">
        <v>12763</v>
      </c>
      <c r="M1094" s="1" t="s">
        <v>12764</v>
      </c>
      <c r="N1094" s="423"/>
      <c r="O1094" s="1"/>
      <c r="P1094" s="3"/>
      <c r="Q1094" s="3"/>
      <c r="R1094" s="3"/>
      <c r="S1094" s="3"/>
      <c r="V1094" t="s">
        <v>5783</v>
      </c>
      <c r="AF1094" s="64"/>
      <c r="AH1094" s="4"/>
      <c r="AI1094" s="4"/>
      <c r="AJ1094" s="4"/>
      <c r="AK1094" s="46"/>
      <c r="AL1094" s="46"/>
      <c r="AM1094" s="4"/>
    </row>
    <row r="1095" spans="1:39" customFormat="1" x14ac:dyDescent="0.3">
      <c r="A1095" s="386" t="s">
        <v>8315</v>
      </c>
      <c r="B1095" t="s">
        <v>8316</v>
      </c>
      <c r="C1095" s="200" t="s">
        <v>12976</v>
      </c>
      <c r="D1095" t="s">
        <v>6838</v>
      </c>
      <c r="E1095" s="200" t="s">
        <v>12977</v>
      </c>
      <c r="F1095" t="s">
        <v>12811</v>
      </c>
      <c r="G1095" s="200" t="s">
        <v>12978</v>
      </c>
      <c r="H1095" t="s">
        <v>12812</v>
      </c>
      <c r="K1095" s="200" t="s">
        <v>12986</v>
      </c>
      <c r="L1095" t="s">
        <v>12765</v>
      </c>
      <c r="M1095" s="1" t="s">
        <v>12766</v>
      </c>
      <c r="N1095" s="423"/>
      <c r="O1095" s="1"/>
      <c r="P1095" s="3"/>
      <c r="Q1095" s="3"/>
      <c r="R1095" s="3"/>
      <c r="S1095" s="3"/>
      <c r="V1095" t="s">
        <v>12795</v>
      </c>
      <c r="AF1095" s="64"/>
      <c r="AH1095" s="4"/>
      <c r="AI1095" s="4"/>
      <c r="AJ1095" s="4"/>
      <c r="AK1095" s="46"/>
      <c r="AL1095" s="46"/>
      <c r="AM1095" s="4"/>
    </row>
    <row r="1096" spans="1:39" customFormat="1" x14ac:dyDescent="0.3">
      <c r="A1096" s="386" t="s">
        <v>8315</v>
      </c>
      <c r="B1096" t="s">
        <v>8316</v>
      </c>
      <c r="C1096" s="200" t="s">
        <v>12976</v>
      </c>
      <c r="D1096" t="s">
        <v>6838</v>
      </c>
      <c r="E1096" s="200" t="s">
        <v>12977</v>
      </c>
      <c r="F1096" t="s">
        <v>12811</v>
      </c>
      <c r="G1096" s="200" t="s">
        <v>12978</v>
      </c>
      <c r="H1096" t="s">
        <v>12812</v>
      </c>
      <c r="K1096" s="200" t="s">
        <v>12987</v>
      </c>
      <c r="L1096" t="s">
        <v>12767</v>
      </c>
      <c r="M1096" s="1" t="s">
        <v>12768</v>
      </c>
      <c r="N1096" s="423"/>
      <c r="O1096" s="1"/>
      <c r="P1096" s="3"/>
      <c r="Q1096" s="3"/>
      <c r="R1096" s="3"/>
      <c r="S1096" s="3"/>
      <c r="V1096" t="s">
        <v>12796</v>
      </c>
      <c r="AF1096" s="64"/>
      <c r="AH1096" s="4"/>
      <c r="AI1096" s="4"/>
      <c r="AJ1096" s="4"/>
      <c r="AK1096" s="46"/>
      <c r="AL1096" s="46"/>
      <c r="AM1096" s="4"/>
    </row>
    <row r="1097" spans="1:39" customFormat="1" x14ac:dyDescent="0.3">
      <c r="A1097" s="386" t="s">
        <v>8315</v>
      </c>
      <c r="B1097" t="s">
        <v>8316</v>
      </c>
      <c r="C1097" s="200" t="s">
        <v>12976</v>
      </c>
      <c r="D1097" t="s">
        <v>6838</v>
      </c>
      <c r="E1097" s="200" t="s">
        <v>12977</v>
      </c>
      <c r="F1097" t="s">
        <v>12811</v>
      </c>
      <c r="G1097" s="200" t="s">
        <v>12978</v>
      </c>
      <c r="H1097" t="s">
        <v>12812</v>
      </c>
      <c r="K1097" s="200" t="s">
        <v>12988</v>
      </c>
      <c r="L1097" t="s">
        <v>12769</v>
      </c>
      <c r="M1097" s="1" t="s">
        <v>12770</v>
      </c>
      <c r="N1097" s="423"/>
      <c r="O1097" s="1"/>
      <c r="P1097" s="3"/>
      <c r="Q1097" s="3"/>
      <c r="R1097" s="3"/>
      <c r="S1097" s="3"/>
      <c r="V1097" t="s">
        <v>5786</v>
      </c>
      <c r="AF1097" s="64"/>
      <c r="AH1097" s="4"/>
      <c r="AI1097" s="4"/>
      <c r="AJ1097" s="4"/>
      <c r="AK1097" s="46"/>
      <c r="AL1097" s="46"/>
      <c r="AM1097" s="4"/>
    </row>
    <row r="1098" spans="1:39" customFormat="1" x14ac:dyDescent="0.3">
      <c r="A1098" s="386" t="s">
        <v>8315</v>
      </c>
      <c r="B1098" t="s">
        <v>8316</v>
      </c>
      <c r="C1098" s="200" t="s">
        <v>12976</v>
      </c>
      <c r="D1098" t="s">
        <v>6838</v>
      </c>
      <c r="E1098" s="200" t="s">
        <v>12977</v>
      </c>
      <c r="F1098" t="s">
        <v>12811</v>
      </c>
      <c r="G1098" s="200" t="s">
        <v>12978</v>
      </c>
      <c r="H1098" t="s">
        <v>12812</v>
      </c>
      <c r="K1098" s="200" t="s">
        <v>12989</v>
      </c>
      <c r="L1098" t="s">
        <v>12771</v>
      </c>
      <c r="M1098" s="1" t="s">
        <v>12772</v>
      </c>
      <c r="N1098" s="423"/>
      <c r="O1098" s="1"/>
      <c r="P1098" s="3"/>
      <c r="Q1098" s="3"/>
      <c r="R1098" s="3"/>
      <c r="S1098" s="3"/>
      <c r="V1098" t="s">
        <v>12800</v>
      </c>
      <c r="AF1098" s="64"/>
      <c r="AH1098" s="4"/>
      <c r="AI1098" s="4"/>
      <c r="AJ1098" s="4"/>
      <c r="AK1098" s="46"/>
      <c r="AL1098" s="46"/>
      <c r="AM1098" s="4"/>
    </row>
    <row r="1099" spans="1:39" customFormat="1" x14ac:dyDescent="0.3">
      <c r="A1099" s="386" t="s">
        <v>8315</v>
      </c>
      <c r="B1099" t="s">
        <v>8316</v>
      </c>
      <c r="C1099" s="200" t="s">
        <v>12976</v>
      </c>
      <c r="D1099" t="s">
        <v>6838</v>
      </c>
      <c r="E1099" s="200" t="s">
        <v>12977</v>
      </c>
      <c r="F1099" t="s">
        <v>12811</v>
      </c>
      <c r="G1099" s="200" t="s">
        <v>12978</v>
      </c>
      <c r="H1099" t="s">
        <v>12812</v>
      </c>
      <c r="K1099" s="200" t="s">
        <v>12990</v>
      </c>
      <c r="L1099" t="s">
        <v>12773</v>
      </c>
      <c r="M1099" s="1" t="s">
        <v>12774</v>
      </c>
      <c r="N1099" s="423"/>
      <c r="O1099" s="1"/>
      <c r="P1099" s="3"/>
      <c r="Q1099" s="3"/>
      <c r="R1099" s="3"/>
      <c r="S1099" s="3"/>
      <c r="V1099" t="s">
        <v>12797</v>
      </c>
      <c r="AF1099" s="64"/>
      <c r="AH1099" s="4"/>
      <c r="AI1099" s="4"/>
      <c r="AJ1099" s="4"/>
      <c r="AK1099" s="46"/>
      <c r="AL1099" s="46"/>
      <c r="AM1099" s="4"/>
    </row>
    <row r="1100" spans="1:39" customFormat="1" x14ac:dyDescent="0.3">
      <c r="A1100" s="386" t="s">
        <v>8315</v>
      </c>
      <c r="B1100" t="s">
        <v>8316</v>
      </c>
      <c r="C1100" s="200" t="s">
        <v>12976</v>
      </c>
      <c r="D1100" t="s">
        <v>6838</v>
      </c>
      <c r="E1100" s="200" t="s">
        <v>12977</v>
      </c>
      <c r="F1100" t="s">
        <v>12811</v>
      </c>
      <c r="G1100" s="200" t="s">
        <v>12978</v>
      </c>
      <c r="H1100" t="s">
        <v>12812</v>
      </c>
      <c r="K1100" s="200" t="s">
        <v>12991</v>
      </c>
      <c r="L1100" t="s">
        <v>12775</v>
      </c>
      <c r="M1100" s="1" t="s">
        <v>12776</v>
      </c>
      <c r="N1100" s="423"/>
      <c r="O1100" s="1"/>
      <c r="P1100" s="3"/>
      <c r="Q1100" s="3"/>
      <c r="R1100" s="3"/>
      <c r="S1100" s="3"/>
      <c r="V1100" t="s">
        <v>12798</v>
      </c>
      <c r="AF1100" s="64"/>
      <c r="AH1100" s="4"/>
      <c r="AI1100" s="4"/>
      <c r="AJ1100" s="4"/>
      <c r="AK1100" s="46"/>
      <c r="AL1100" s="46"/>
      <c r="AM1100" s="4"/>
    </row>
    <row r="1101" spans="1:39" customFormat="1" x14ac:dyDescent="0.3">
      <c r="A1101" s="386" t="s">
        <v>8315</v>
      </c>
      <c r="B1101" t="s">
        <v>8316</v>
      </c>
      <c r="C1101" s="200" t="s">
        <v>12976</v>
      </c>
      <c r="D1101" t="s">
        <v>6838</v>
      </c>
      <c r="E1101" s="200" t="s">
        <v>12977</v>
      </c>
      <c r="F1101" t="s">
        <v>12811</v>
      </c>
      <c r="G1101" s="200" t="s">
        <v>12978</v>
      </c>
      <c r="H1101" t="s">
        <v>12812</v>
      </c>
      <c r="K1101" s="200" t="s">
        <v>12992</v>
      </c>
      <c r="L1101" t="s">
        <v>12777</v>
      </c>
      <c r="M1101" s="1" t="s">
        <v>12778</v>
      </c>
      <c r="N1101" s="423"/>
      <c r="O1101" s="1"/>
      <c r="P1101" s="3"/>
      <c r="Q1101" s="3"/>
      <c r="R1101" s="3"/>
      <c r="S1101" s="3"/>
      <c r="V1101" t="s">
        <v>5789</v>
      </c>
      <c r="AF1101" s="64"/>
      <c r="AH1101" s="4"/>
      <c r="AI1101" s="4"/>
      <c r="AJ1101" s="4"/>
      <c r="AK1101" s="46"/>
      <c r="AL1101" s="46"/>
      <c r="AM1101" s="4"/>
    </row>
    <row r="1102" spans="1:39" customFormat="1" x14ac:dyDescent="0.3">
      <c r="A1102" s="386" t="s">
        <v>8315</v>
      </c>
      <c r="B1102" t="s">
        <v>8316</v>
      </c>
      <c r="C1102" s="200" t="s">
        <v>12976</v>
      </c>
      <c r="D1102" t="s">
        <v>6838</v>
      </c>
      <c r="E1102" s="200" t="s">
        <v>12977</v>
      </c>
      <c r="F1102" t="s">
        <v>12811</v>
      </c>
      <c r="G1102" s="200" t="s">
        <v>12978</v>
      </c>
      <c r="H1102" t="s">
        <v>12812</v>
      </c>
      <c r="K1102" s="200" t="s">
        <v>12993</v>
      </c>
      <c r="L1102" t="s">
        <v>12779</v>
      </c>
      <c r="M1102" s="1" t="s">
        <v>12780</v>
      </c>
      <c r="N1102" s="423"/>
      <c r="O1102" s="1"/>
      <c r="P1102" s="3"/>
      <c r="Q1102" s="3"/>
      <c r="R1102" s="3"/>
      <c r="S1102" s="3"/>
      <c r="V1102" t="s">
        <v>12799</v>
      </c>
      <c r="AF1102" s="64"/>
      <c r="AH1102" s="4"/>
      <c r="AI1102" s="4"/>
      <c r="AJ1102" s="4"/>
      <c r="AK1102" s="46"/>
      <c r="AL1102" s="46"/>
      <c r="AM1102" s="4"/>
    </row>
    <row r="1103" spans="1:39" customFormat="1" x14ac:dyDescent="0.3">
      <c r="A1103" s="386" t="s">
        <v>8315</v>
      </c>
      <c r="B1103" t="s">
        <v>8316</v>
      </c>
      <c r="C1103" s="200" t="s">
        <v>12976</v>
      </c>
      <c r="D1103" t="s">
        <v>6838</v>
      </c>
      <c r="E1103" s="200" t="s">
        <v>12977</v>
      </c>
      <c r="F1103" t="s">
        <v>12811</v>
      </c>
      <c r="G1103" s="200" t="s">
        <v>12978</v>
      </c>
      <c r="H1103" t="s">
        <v>12812</v>
      </c>
      <c r="K1103" s="200" t="s">
        <v>12994</v>
      </c>
      <c r="L1103" t="s">
        <v>12806</v>
      </c>
      <c r="M1103" s="1" t="s">
        <v>12781</v>
      </c>
      <c r="N1103" s="423"/>
      <c r="O1103" s="1"/>
      <c r="P1103" s="3"/>
      <c r="Q1103" s="3"/>
      <c r="R1103" s="3"/>
      <c r="S1103" s="3"/>
      <c r="V1103" t="s">
        <v>12805</v>
      </c>
      <c r="AF1103" s="64"/>
      <c r="AH1103" s="4"/>
      <c r="AI1103" s="4"/>
      <c r="AJ1103" s="4"/>
      <c r="AK1103" s="46"/>
      <c r="AL1103" s="46"/>
      <c r="AM1103" s="4"/>
    </row>
    <row r="1104" spans="1:39" customFormat="1" x14ac:dyDescent="0.3">
      <c r="A1104" s="386" t="s">
        <v>8315</v>
      </c>
      <c r="B1104" t="s">
        <v>8316</v>
      </c>
      <c r="C1104" s="200" t="s">
        <v>12976</v>
      </c>
      <c r="D1104" t="s">
        <v>6838</v>
      </c>
      <c r="E1104" s="200" t="s">
        <v>12977</v>
      </c>
      <c r="F1104" t="s">
        <v>12811</v>
      </c>
      <c r="G1104" s="200" t="s">
        <v>12978</v>
      </c>
      <c r="H1104" t="s">
        <v>12812</v>
      </c>
      <c r="K1104" s="200" t="s">
        <v>12995</v>
      </c>
      <c r="L1104" t="s">
        <v>12782</v>
      </c>
      <c r="M1104" s="1"/>
      <c r="N1104" s="423"/>
      <c r="O1104" s="1"/>
      <c r="P1104" s="3"/>
      <c r="Q1104" s="3"/>
      <c r="R1104" s="3"/>
      <c r="S1104" s="3"/>
      <c r="V1104" t="s">
        <v>12782</v>
      </c>
      <c r="AF1104" s="64"/>
      <c r="AH1104" s="4"/>
      <c r="AI1104" s="4"/>
      <c r="AJ1104" s="4"/>
      <c r="AK1104" s="46"/>
      <c r="AL1104" s="46"/>
      <c r="AM1104" s="4"/>
    </row>
    <row r="1105" spans="1:42" customFormat="1" x14ac:dyDescent="0.3">
      <c r="A1105" s="386" t="s">
        <v>8315</v>
      </c>
      <c r="B1105" t="s">
        <v>8316</v>
      </c>
      <c r="C1105" s="200" t="s">
        <v>12976</v>
      </c>
      <c r="D1105" t="s">
        <v>6838</v>
      </c>
      <c r="E1105" s="200" t="s">
        <v>12977</v>
      </c>
      <c r="F1105" t="s">
        <v>12811</v>
      </c>
      <c r="G1105" s="200" t="s">
        <v>12978</v>
      </c>
      <c r="H1105" t="s">
        <v>12812</v>
      </c>
      <c r="K1105" s="200" t="s">
        <v>12979</v>
      </c>
      <c r="L1105" t="s">
        <v>12783</v>
      </c>
      <c r="M1105" s="1" t="s">
        <v>12784</v>
      </c>
      <c r="N1105" s="423"/>
      <c r="O1105" s="1"/>
      <c r="P1105" s="3"/>
      <c r="Q1105" s="3"/>
      <c r="R1105" s="3"/>
      <c r="S1105" s="3"/>
      <c r="V1105" t="s">
        <v>12783</v>
      </c>
      <c r="AF1105" s="64"/>
      <c r="AH1105" s="4"/>
      <c r="AI1105" s="4"/>
      <c r="AJ1105" s="4"/>
      <c r="AK1105" s="46"/>
      <c r="AL1105" s="46"/>
      <c r="AM1105" s="4"/>
    </row>
    <row r="1106" spans="1:42" customFormat="1" x14ac:dyDescent="0.3">
      <c r="A1106" s="386" t="s">
        <v>8315</v>
      </c>
      <c r="B1106" t="s">
        <v>8316</v>
      </c>
      <c r="C1106" s="200" t="s">
        <v>12976</v>
      </c>
      <c r="D1106" t="s">
        <v>6838</v>
      </c>
      <c r="E1106" s="200" t="s">
        <v>12977</v>
      </c>
      <c r="F1106" t="s">
        <v>12811</v>
      </c>
      <c r="G1106" s="200" t="s">
        <v>12978</v>
      </c>
      <c r="H1106" t="s">
        <v>12812</v>
      </c>
      <c r="K1106" s="200" t="s">
        <v>12979</v>
      </c>
      <c r="L1106" t="s">
        <v>12785</v>
      </c>
      <c r="M1106" s="1" t="s">
        <v>12786</v>
      </c>
      <c r="N1106" s="423"/>
      <c r="O1106" s="1"/>
      <c r="P1106" s="3"/>
      <c r="Q1106" s="3"/>
      <c r="R1106" s="3"/>
      <c r="S1106" s="3"/>
      <c r="V1106" t="s">
        <v>12801</v>
      </c>
      <c r="AF1106" s="64"/>
      <c r="AH1106" s="4"/>
      <c r="AI1106" s="4"/>
      <c r="AJ1106" s="4"/>
      <c r="AK1106" s="46"/>
      <c r="AL1106" s="46"/>
      <c r="AM1106" s="4"/>
    </row>
    <row r="1107" spans="1:42" customFormat="1" x14ac:dyDescent="0.3">
      <c r="A1107" s="386" t="s">
        <v>8315</v>
      </c>
      <c r="B1107" t="s">
        <v>8316</v>
      </c>
      <c r="C1107" s="200" t="s">
        <v>12976</v>
      </c>
      <c r="D1107" t="s">
        <v>6838</v>
      </c>
      <c r="E1107" s="200" t="s">
        <v>12977</v>
      </c>
      <c r="F1107" t="s">
        <v>12811</v>
      </c>
      <c r="G1107" s="200" t="s">
        <v>12978</v>
      </c>
      <c r="H1107" t="s">
        <v>12812</v>
      </c>
      <c r="K1107" s="200" t="s">
        <v>12996</v>
      </c>
      <c r="L1107" t="s">
        <v>12787</v>
      </c>
      <c r="M1107" s="1" t="s">
        <v>12788</v>
      </c>
      <c r="N1107" s="423"/>
      <c r="O1107" s="1"/>
      <c r="P1107" s="3"/>
      <c r="Q1107" s="3"/>
      <c r="R1107" s="3"/>
      <c r="S1107" s="3"/>
      <c r="V1107" t="s">
        <v>12802</v>
      </c>
      <c r="AF1107" s="64"/>
      <c r="AH1107" s="4"/>
      <c r="AI1107" s="4"/>
      <c r="AJ1107" s="4"/>
      <c r="AK1107" s="46"/>
      <c r="AL1107" s="46"/>
      <c r="AM1107" s="4"/>
    </row>
    <row r="1108" spans="1:42" customFormat="1" x14ac:dyDescent="0.3">
      <c r="A1108" s="386" t="s">
        <v>8315</v>
      </c>
      <c r="B1108" t="s">
        <v>8316</v>
      </c>
      <c r="C1108" s="200" t="s">
        <v>12976</v>
      </c>
      <c r="D1108" t="s">
        <v>6838</v>
      </c>
      <c r="E1108" s="200" t="s">
        <v>12977</v>
      </c>
      <c r="F1108" t="s">
        <v>12811</v>
      </c>
      <c r="G1108" s="200" t="s">
        <v>12978</v>
      </c>
      <c r="H1108" t="s">
        <v>12812</v>
      </c>
      <c r="K1108" s="200" t="s">
        <v>12997</v>
      </c>
      <c r="L1108" t="s">
        <v>12789</v>
      </c>
      <c r="M1108" s="1" t="s">
        <v>12790</v>
      </c>
      <c r="N1108" s="423"/>
      <c r="O1108" s="1"/>
      <c r="P1108" s="3"/>
      <c r="Q1108" s="3"/>
      <c r="R1108" s="3"/>
      <c r="S1108" s="3"/>
      <c r="V1108" t="s">
        <v>12803</v>
      </c>
      <c r="AF1108" s="64"/>
      <c r="AH1108" s="4"/>
      <c r="AI1108" s="4"/>
      <c r="AJ1108" s="4"/>
      <c r="AK1108" s="46"/>
      <c r="AL1108" s="46"/>
      <c r="AM1108" s="4"/>
    </row>
    <row r="1109" spans="1:42" customFormat="1" x14ac:dyDescent="0.3">
      <c r="A1109" s="386" t="s">
        <v>8315</v>
      </c>
      <c r="B1109" t="s">
        <v>8316</v>
      </c>
      <c r="C1109" s="200" t="s">
        <v>12976</v>
      </c>
      <c r="D1109" t="s">
        <v>6838</v>
      </c>
      <c r="E1109" s="200" t="s">
        <v>12977</v>
      </c>
      <c r="F1109" t="s">
        <v>12811</v>
      </c>
      <c r="G1109" s="200" t="s">
        <v>12978</v>
      </c>
      <c r="H1109" t="s">
        <v>12812</v>
      </c>
      <c r="K1109" s="200" t="s">
        <v>12998</v>
      </c>
      <c r="L1109" t="s">
        <v>12791</v>
      </c>
      <c r="M1109" s="1" t="s">
        <v>12807</v>
      </c>
      <c r="N1109" s="423"/>
      <c r="O1109" s="1"/>
      <c r="P1109" s="3"/>
      <c r="Q1109" s="3"/>
      <c r="R1109" s="3"/>
      <c r="S1109" s="3"/>
      <c r="V1109" t="s">
        <v>12804</v>
      </c>
      <c r="AF1109" s="64"/>
      <c r="AH1109" s="4"/>
      <c r="AI1109" s="4"/>
      <c r="AJ1109" s="4"/>
      <c r="AK1109" s="46"/>
      <c r="AL1109" s="46"/>
      <c r="AM1109" s="4"/>
    </row>
    <row r="1110" spans="1:42" s="293" customFormat="1" x14ac:dyDescent="0.3">
      <c r="A1110" s="50" t="s">
        <v>1451</v>
      </c>
      <c r="B1110" s="51" t="s">
        <v>4838</v>
      </c>
      <c r="C1110" s="50" t="s">
        <v>4839</v>
      </c>
      <c r="D1110" s="51" t="s">
        <v>1491</v>
      </c>
      <c r="E1110" s="50" t="s">
        <v>4839</v>
      </c>
      <c r="F1110" s="51" t="s">
        <v>1493</v>
      </c>
      <c r="G1110" s="50" t="s">
        <v>4839</v>
      </c>
      <c r="H1110" s="51" t="s">
        <v>1491</v>
      </c>
      <c r="I1110" s="51"/>
      <c r="J1110" s="51"/>
      <c r="K1110" s="50" t="s">
        <v>4839</v>
      </c>
      <c r="L1110" s="51" t="s">
        <v>1491</v>
      </c>
      <c r="M1110" s="420" t="s">
        <v>271</v>
      </c>
      <c r="N1110" s="420" t="s">
        <v>271</v>
      </c>
      <c r="O1110" s="420" t="s">
        <v>271</v>
      </c>
      <c r="P1110" s="60" t="s">
        <v>271</v>
      </c>
      <c r="Q1110" s="60" t="s">
        <v>271</v>
      </c>
      <c r="R1110" s="60" t="s">
        <v>271</v>
      </c>
      <c r="S1110" s="60" t="s">
        <v>271</v>
      </c>
      <c r="T1110" s="60" t="s">
        <v>271</v>
      </c>
      <c r="U1110" s="60" t="s">
        <v>271</v>
      </c>
      <c r="V1110" s="51" t="s">
        <v>1489</v>
      </c>
      <c r="W1110" s="291"/>
      <c r="X1110" s="291"/>
      <c r="Y1110" s="291"/>
      <c r="Z1110" s="291"/>
      <c r="AA1110" s="291"/>
      <c r="AB1110" s="291"/>
      <c r="AC1110" s="291"/>
      <c r="AD1110" s="291"/>
      <c r="AE1110" s="292"/>
      <c r="AF1110" s="56"/>
      <c r="AG1110" s="292"/>
      <c r="AH1110" s="56"/>
      <c r="AI1110" s="56"/>
      <c r="AJ1110" s="56"/>
      <c r="AK1110" s="57">
        <v>53.6</v>
      </c>
      <c r="AL1110" s="57">
        <v>53.6</v>
      </c>
      <c r="AM1110" s="147">
        <f t="shared" ref="AM1110:AM1173" si="49">SUM(AK1110:AL1110)</f>
        <v>107.2</v>
      </c>
      <c r="AN1110" s="52"/>
      <c r="AO1110" s="52"/>
      <c r="AP1110" s="51"/>
    </row>
    <row r="1111" spans="1:42" s="293" customFormat="1" x14ac:dyDescent="0.3">
      <c r="A1111" s="50" t="s">
        <v>1451</v>
      </c>
      <c r="B1111" s="51" t="s">
        <v>4838</v>
      </c>
      <c r="C1111" s="50" t="s">
        <v>4839</v>
      </c>
      <c r="D1111" s="51" t="s">
        <v>1491</v>
      </c>
      <c r="E1111" s="50" t="s">
        <v>4839</v>
      </c>
      <c r="F1111" s="51" t="s">
        <v>1493</v>
      </c>
      <c r="G1111" s="50" t="s">
        <v>4839</v>
      </c>
      <c r="H1111" s="51" t="s">
        <v>1491</v>
      </c>
      <c r="I1111" s="51"/>
      <c r="J1111" s="51"/>
      <c r="K1111" s="50" t="s">
        <v>4839</v>
      </c>
      <c r="L1111" s="51" t="s">
        <v>1491</v>
      </c>
      <c r="M1111" s="420" t="s">
        <v>271</v>
      </c>
      <c r="N1111" s="420" t="s">
        <v>271</v>
      </c>
      <c r="O1111" s="420" t="s">
        <v>271</v>
      </c>
      <c r="P1111" s="60" t="s">
        <v>271</v>
      </c>
      <c r="Q1111" s="60" t="s">
        <v>271</v>
      </c>
      <c r="R1111" s="60" t="s">
        <v>271</v>
      </c>
      <c r="S1111" s="60" t="s">
        <v>271</v>
      </c>
      <c r="T1111" s="60" t="s">
        <v>271</v>
      </c>
      <c r="U1111" s="60" t="s">
        <v>271</v>
      </c>
      <c r="V1111" s="51" t="s">
        <v>1490</v>
      </c>
      <c r="W1111" s="291"/>
      <c r="X1111" s="291"/>
      <c r="Y1111" s="291"/>
      <c r="Z1111" s="291"/>
      <c r="AA1111" s="291"/>
      <c r="AB1111" s="291"/>
      <c r="AC1111" s="291"/>
      <c r="AD1111" s="291"/>
      <c r="AE1111" s="292"/>
      <c r="AF1111" s="56"/>
      <c r="AG1111" s="292"/>
      <c r="AH1111" s="56"/>
      <c r="AI1111" s="56"/>
      <c r="AJ1111" s="56"/>
      <c r="AK1111" s="57">
        <v>21.44</v>
      </c>
      <c r="AL1111" s="57">
        <v>21.44</v>
      </c>
      <c r="AM1111" s="147">
        <f t="shared" si="49"/>
        <v>42.88</v>
      </c>
      <c r="AN1111" s="52"/>
      <c r="AO1111" s="52"/>
      <c r="AP1111" s="51"/>
    </row>
    <row r="1112" spans="1:42" s="293" customFormat="1" x14ac:dyDescent="0.3">
      <c r="A1112" s="50" t="s">
        <v>1451</v>
      </c>
      <c r="B1112" s="51" t="s">
        <v>4838</v>
      </c>
      <c r="C1112" s="50" t="s">
        <v>4839</v>
      </c>
      <c r="D1112" s="51" t="s">
        <v>1491</v>
      </c>
      <c r="E1112" s="50" t="s">
        <v>4839</v>
      </c>
      <c r="F1112" s="51" t="s">
        <v>1493</v>
      </c>
      <c r="G1112" s="50" t="s">
        <v>4839</v>
      </c>
      <c r="H1112" s="51" t="s">
        <v>1491</v>
      </c>
      <c r="I1112" s="51"/>
      <c r="J1112" s="51"/>
      <c r="K1112" s="50" t="s">
        <v>4839</v>
      </c>
      <c r="L1112" s="51" t="s">
        <v>1491</v>
      </c>
      <c r="M1112" s="420" t="s">
        <v>271</v>
      </c>
      <c r="N1112" s="420" t="s">
        <v>271</v>
      </c>
      <c r="O1112" s="420" t="s">
        <v>271</v>
      </c>
      <c r="P1112" s="60" t="s">
        <v>271</v>
      </c>
      <c r="Q1112" s="60" t="s">
        <v>271</v>
      </c>
      <c r="R1112" s="60" t="s">
        <v>271</v>
      </c>
      <c r="S1112" s="60" t="s">
        <v>271</v>
      </c>
      <c r="T1112" s="60" t="s">
        <v>271</v>
      </c>
      <c r="U1112" s="60" t="s">
        <v>271</v>
      </c>
      <c r="V1112" s="51" t="s">
        <v>1495</v>
      </c>
      <c r="W1112" s="291"/>
      <c r="X1112" s="291"/>
      <c r="Y1112" s="291"/>
      <c r="Z1112" s="291"/>
      <c r="AA1112" s="291"/>
      <c r="AB1112" s="291"/>
      <c r="AC1112" s="291"/>
      <c r="AD1112" s="291"/>
      <c r="AE1112" s="292"/>
      <c r="AF1112" s="56"/>
      <c r="AG1112" s="292"/>
      <c r="AH1112" s="56"/>
      <c r="AI1112" s="56"/>
      <c r="AJ1112" s="56"/>
      <c r="AK1112" s="57">
        <v>128.59161554300002</v>
      </c>
      <c r="AL1112" s="57">
        <v>123.67673865099999</v>
      </c>
      <c r="AM1112" s="147">
        <f t="shared" si="49"/>
        <v>252.26835419400001</v>
      </c>
      <c r="AN1112" s="52"/>
      <c r="AO1112" s="52"/>
      <c r="AP1112" s="51"/>
    </row>
    <row r="1113" spans="1:42" s="293" customFormat="1" x14ac:dyDescent="0.3">
      <c r="A1113" s="396" t="s">
        <v>1451</v>
      </c>
      <c r="B1113" s="51" t="s">
        <v>4838</v>
      </c>
      <c r="C1113" s="50"/>
      <c r="D1113" s="51" t="s">
        <v>1491</v>
      </c>
      <c r="E1113" s="50" t="s">
        <v>4839</v>
      </c>
      <c r="F1113" s="51" t="s">
        <v>1493</v>
      </c>
      <c r="G1113" s="50" t="s">
        <v>4839</v>
      </c>
      <c r="H1113" s="51" t="s">
        <v>1491</v>
      </c>
      <c r="I1113" s="51"/>
      <c r="J1113" s="51"/>
      <c r="K1113" s="50" t="s">
        <v>4839</v>
      </c>
      <c r="L1113" s="51" t="s">
        <v>1491</v>
      </c>
      <c r="M1113" s="420" t="s">
        <v>271</v>
      </c>
      <c r="N1113" s="420" t="s">
        <v>271</v>
      </c>
      <c r="O1113" s="420" t="s">
        <v>271</v>
      </c>
      <c r="P1113" s="60" t="s">
        <v>271</v>
      </c>
      <c r="Q1113" s="60" t="s">
        <v>271</v>
      </c>
      <c r="R1113" s="60" t="s">
        <v>271</v>
      </c>
      <c r="S1113" s="60" t="s">
        <v>271</v>
      </c>
      <c r="T1113" s="60" t="s">
        <v>271</v>
      </c>
      <c r="U1113" s="60" t="s">
        <v>271</v>
      </c>
      <c r="V1113" s="51" t="s">
        <v>4840</v>
      </c>
      <c r="W1113" s="291"/>
      <c r="X1113" s="291"/>
      <c r="Y1113" s="291"/>
      <c r="Z1113" s="291"/>
      <c r="AA1113" s="291"/>
      <c r="AB1113" s="291"/>
      <c r="AC1113" s="291"/>
      <c r="AD1113" s="291"/>
      <c r="AE1113" s="292"/>
      <c r="AF1113" s="56"/>
      <c r="AG1113" s="292"/>
      <c r="AH1113" s="56"/>
      <c r="AI1113" s="56"/>
      <c r="AJ1113" s="56"/>
      <c r="AK1113" s="57">
        <v>1059.4000000000001</v>
      </c>
      <c r="AL1113" s="57">
        <v>1059.4000000000001</v>
      </c>
      <c r="AM1113" s="147">
        <f t="shared" si="49"/>
        <v>2118.8000000000002</v>
      </c>
      <c r="AN1113" s="52"/>
      <c r="AO1113" s="52"/>
      <c r="AP1113" s="51"/>
    </row>
    <row r="1114" spans="1:42" s="18" customFormat="1" x14ac:dyDescent="0.3">
      <c r="A1114" s="233" t="s">
        <v>1451</v>
      </c>
      <c r="B1114" s="18" t="s">
        <v>4838</v>
      </c>
      <c r="C1114" s="233" t="s">
        <v>4841</v>
      </c>
      <c r="D1114" s="18" t="s">
        <v>2439</v>
      </c>
      <c r="E1114" s="233" t="s">
        <v>4842</v>
      </c>
      <c r="F1114" s="18" t="s">
        <v>4843</v>
      </c>
      <c r="G1114" s="228" t="s">
        <v>4844</v>
      </c>
      <c r="H1114" s="18" t="s">
        <v>4845</v>
      </c>
      <c r="I1114" s="228" t="s">
        <v>4846</v>
      </c>
      <c r="J1114" s="18" t="s">
        <v>4847</v>
      </c>
      <c r="K1114" s="228" t="s">
        <v>4848</v>
      </c>
      <c r="L1114" s="18" t="s">
        <v>4849</v>
      </c>
      <c r="M1114" s="18" t="s">
        <v>4850</v>
      </c>
      <c r="N1114" s="18">
        <v>0</v>
      </c>
      <c r="O1114" s="18">
        <v>1</v>
      </c>
      <c r="P1114" s="16">
        <v>1</v>
      </c>
      <c r="Q1114" s="16">
        <v>0</v>
      </c>
      <c r="R1114" s="16">
        <v>0</v>
      </c>
      <c r="S1114" s="16">
        <v>0</v>
      </c>
      <c r="T1114" s="18" t="s">
        <v>831</v>
      </c>
      <c r="U1114" s="283" t="s">
        <v>834</v>
      </c>
      <c r="V1114" s="18" t="s">
        <v>4851</v>
      </c>
      <c r="AC1114" s="316">
        <v>0</v>
      </c>
      <c r="AD1114" s="316">
        <v>0</v>
      </c>
      <c r="AE1114" s="302">
        <f>SUM(W1114:AD1114)/8</f>
        <v>0</v>
      </c>
      <c r="AF1114" s="176"/>
      <c r="AG1114" s="17">
        <v>0</v>
      </c>
      <c r="AH1114" s="176">
        <v>0.45</v>
      </c>
      <c r="AI1114" s="176">
        <v>0.25</v>
      </c>
      <c r="AJ1114" s="234" t="s">
        <v>2526</v>
      </c>
      <c r="AK1114" s="235" t="s">
        <v>2526</v>
      </c>
      <c r="AL1114" s="235" t="s">
        <v>2526</v>
      </c>
      <c r="AM1114" s="147">
        <f t="shared" si="49"/>
        <v>0</v>
      </c>
      <c r="AN1114" s="236" t="s">
        <v>831</v>
      </c>
      <c r="AO1114" s="236" t="s">
        <v>834</v>
      </c>
      <c r="AP1114" s="228" t="s">
        <v>4852</v>
      </c>
    </row>
    <row r="1115" spans="1:42" s="18" customFormat="1" x14ac:dyDescent="0.3">
      <c r="A1115" s="228" t="s">
        <v>1451</v>
      </c>
      <c r="B1115" s="18" t="s">
        <v>4838</v>
      </c>
      <c r="C1115" s="228" t="s">
        <v>4841</v>
      </c>
      <c r="D1115" s="18" t="s">
        <v>2439</v>
      </c>
      <c r="E1115" s="228" t="s">
        <v>4842</v>
      </c>
      <c r="F1115" s="18" t="s">
        <v>4843</v>
      </c>
      <c r="G1115" s="228" t="s">
        <v>4844</v>
      </c>
      <c r="H1115" s="18" t="s">
        <v>4845</v>
      </c>
      <c r="I1115" s="228" t="s">
        <v>4846</v>
      </c>
      <c r="J1115" s="18" t="s">
        <v>4847</v>
      </c>
      <c r="K1115" s="228" t="s">
        <v>4848</v>
      </c>
      <c r="L1115" s="18" t="s">
        <v>4849</v>
      </c>
      <c r="M1115" s="18" t="s">
        <v>4853</v>
      </c>
      <c r="N1115" s="18">
        <v>0</v>
      </c>
      <c r="O1115" s="18">
        <v>0</v>
      </c>
      <c r="P1115" s="16">
        <v>0</v>
      </c>
      <c r="Q1115" s="16">
        <v>500</v>
      </c>
      <c r="R1115" s="16">
        <v>500</v>
      </c>
      <c r="S1115" s="16">
        <v>500</v>
      </c>
      <c r="T1115" s="18" t="s">
        <v>1191</v>
      </c>
      <c r="U1115" s="283" t="e">
        <v>#N/A</v>
      </c>
      <c r="V1115" s="18" t="s">
        <v>4854</v>
      </c>
      <c r="W1115" s="18">
        <v>0</v>
      </c>
      <c r="X1115" s="18">
        <v>0</v>
      </c>
      <c r="Y1115" s="18">
        <v>0</v>
      </c>
      <c r="Z1115" s="18">
        <v>1</v>
      </c>
      <c r="AA1115" s="18">
        <v>0</v>
      </c>
      <c r="AB1115" s="18">
        <v>0</v>
      </c>
      <c r="AC1115" s="316">
        <v>1</v>
      </c>
      <c r="AD1115" s="316">
        <v>0</v>
      </c>
      <c r="AE1115" s="302">
        <f>SUM(W1115:AD1115)/8</f>
        <v>0.25</v>
      </c>
      <c r="AF1115" s="176">
        <v>0</v>
      </c>
      <c r="AG1115" s="17">
        <v>0</v>
      </c>
      <c r="AH1115" s="176" t="s">
        <v>2526</v>
      </c>
      <c r="AI1115" s="176">
        <v>0.2</v>
      </c>
      <c r="AJ1115" s="176" t="s">
        <v>2526</v>
      </c>
      <c r="AK1115" s="177" t="s">
        <v>2526</v>
      </c>
      <c r="AL1115" s="177" t="s">
        <v>2526</v>
      </c>
      <c r="AM1115" s="147">
        <f t="shared" si="49"/>
        <v>0</v>
      </c>
      <c r="AN1115" s="18" t="s">
        <v>921</v>
      </c>
      <c r="AO1115" s="18" t="s">
        <v>880</v>
      </c>
      <c r="AP1115" s="228" t="s">
        <v>4855</v>
      </c>
    </row>
    <row r="1116" spans="1:42" s="18" customFormat="1" x14ac:dyDescent="0.3">
      <c r="A1116" s="228" t="s">
        <v>1451</v>
      </c>
      <c r="B1116" s="18" t="s">
        <v>4838</v>
      </c>
      <c r="C1116" s="228" t="s">
        <v>4841</v>
      </c>
      <c r="D1116" s="18" t="s">
        <v>2439</v>
      </c>
      <c r="E1116" s="228" t="s">
        <v>4842</v>
      </c>
      <c r="F1116" s="18" t="s">
        <v>4843</v>
      </c>
      <c r="G1116" s="228" t="s">
        <v>4844</v>
      </c>
      <c r="H1116" s="18" t="s">
        <v>4845</v>
      </c>
      <c r="I1116" s="228" t="s">
        <v>4846</v>
      </c>
      <c r="J1116" s="18" t="s">
        <v>4847</v>
      </c>
      <c r="K1116" s="228" t="s">
        <v>4848</v>
      </c>
      <c r="L1116" s="18" t="s">
        <v>4849</v>
      </c>
      <c r="M1116" s="18" t="s">
        <v>4856</v>
      </c>
      <c r="N1116" s="18">
        <v>0</v>
      </c>
      <c r="O1116" s="18">
        <v>10</v>
      </c>
      <c r="P1116" s="16">
        <v>10</v>
      </c>
      <c r="Q1116" s="16">
        <v>5</v>
      </c>
      <c r="R1116" s="16">
        <v>5</v>
      </c>
      <c r="S1116" s="16">
        <v>3</v>
      </c>
      <c r="T1116" s="18" t="s">
        <v>1191</v>
      </c>
      <c r="U1116" s="283" t="e">
        <v>#N/A</v>
      </c>
      <c r="V1116" s="18" t="s">
        <v>4857</v>
      </c>
      <c r="W1116" s="18">
        <v>1</v>
      </c>
      <c r="X1116" s="18">
        <v>1</v>
      </c>
      <c r="Y1116" s="18">
        <v>1</v>
      </c>
      <c r="Z1116" s="18">
        <v>1</v>
      </c>
      <c r="AA1116" s="18">
        <v>1</v>
      </c>
      <c r="AB1116" s="18">
        <v>1</v>
      </c>
      <c r="AC1116" s="316">
        <v>1</v>
      </c>
      <c r="AD1116" s="316">
        <v>0</v>
      </c>
      <c r="AE1116" s="302">
        <f>SUM(W1116:AD1116)/8</f>
        <v>0.875</v>
      </c>
      <c r="AF1116" s="176">
        <v>1</v>
      </c>
      <c r="AG1116" s="17">
        <v>1</v>
      </c>
      <c r="AH1116" s="176" t="s">
        <v>2526</v>
      </c>
      <c r="AI1116" s="176" t="s">
        <v>2526</v>
      </c>
      <c r="AJ1116" s="176">
        <v>0</v>
      </c>
      <c r="AK1116" s="237">
        <v>20</v>
      </c>
      <c r="AL1116" s="237">
        <v>30</v>
      </c>
      <c r="AM1116" s="147">
        <f t="shared" si="49"/>
        <v>50</v>
      </c>
      <c r="AN1116" s="18" t="s">
        <v>921</v>
      </c>
      <c r="AO1116" s="18" t="s">
        <v>880</v>
      </c>
      <c r="AP1116" s="18" t="s">
        <v>119</v>
      </c>
    </row>
    <row r="1117" spans="1:42" s="18" customFormat="1" x14ac:dyDescent="0.3">
      <c r="A1117" s="228" t="s">
        <v>1451</v>
      </c>
      <c r="B1117" s="18" t="s">
        <v>4838</v>
      </c>
      <c r="C1117" s="228" t="s">
        <v>4841</v>
      </c>
      <c r="D1117" s="18" t="s">
        <v>2439</v>
      </c>
      <c r="E1117" s="228" t="s">
        <v>4842</v>
      </c>
      <c r="F1117" s="18" t="s">
        <v>4843</v>
      </c>
      <c r="G1117" s="228" t="s">
        <v>4844</v>
      </c>
      <c r="H1117" s="18" t="s">
        <v>4845</v>
      </c>
      <c r="I1117" s="228" t="s">
        <v>4846</v>
      </c>
      <c r="J1117" s="18" t="s">
        <v>4847</v>
      </c>
      <c r="K1117" s="228" t="s">
        <v>4848</v>
      </c>
      <c r="L1117" s="18" t="s">
        <v>4849</v>
      </c>
      <c r="M1117" s="18" t="s">
        <v>4858</v>
      </c>
      <c r="N1117" s="18">
        <v>0</v>
      </c>
      <c r="O1117" s="18">
        <v>100</v>
      </c>
      <c r="P1117" s="16">
        <v>100</v>
      </c>
      <c r="Q1117" s="16">
        <v>100</v>
      </c>
      <c r="R1117" s="16">
        <v>100</v>
      </c>
      <c r="S1117" s="16">
        <v>100</v>
      </c>
      <c r="T1117" s="18" t="s">
        <v>4855</v>
      </c>
      <c r="U1117" s="283" t="e">
        <v>#N/A</v>
      </c>
      <c r="V1117" s="18" t="s">
        <v>4859</v>
      </c>
      <c r="W1117" s="18">
        <v>1</v>
      </c>
      <c r="X1117" s="18">
        <v>1</v>
      </c>
      <c r="Y1117" s="18">
        <v>0</v>
      </c>
      <c r="Z1117" s="18">
        <v>1</v>
      </c>
      <c r="AA1117" s="18">
        <v>1</v>
      </c>
      <c r="AB1117" s="18">
        <v>1</v>
      </c>
      <c r="AC1117" s="316">
        <v>1</v>
      </c>
      <c r="AD1117" s="316">
        <v>1</v>
      </c>
      <c r="AE1117" s="302">
        <f>SUM(W1117:AD1117)/8</f>
        <v>0.875</v>
      </c>
      <c r="AF1117" s="176">
        <v>0</v>
      </c>
      <c r="AG1117" s="17">
        <v>0</v>
      </c>
      <c r="AH1117" s="176" t="s">
        <v>2526</v>
      </c>
      <c r="AI1117" s="176" t="s">
        <v>2526</v>
      </c>
      <c r="AJ1117" s="176" t="s">
        <v>2526</v>
      </c>
      <c r="AK1117" s="238" t="s">
        <v>2526</v>
      </c>
      <c r="AL1117" s="238" t="s">
        <v>2526</v>
      </c>
      <c r="AM1117" s="147">
        <f t="shared" si="49"/>
        <v>0</v>
      </c>
      <c r="AN1117" s="157" t="s">
        <v>4860</v>
      </c>
      <c r="AO1117" s="157" t="e">
        <v>#N/A</v>
      </c>
      <c r="AP1117" s="18" t="s">
        <v>119</v>
      </c>
    </row>
    <row r="1118" spans="1:42" s="18" customFormat="1" x14ac:dyDescent="0.3">
      <c r="A1118" s="228" t="s">
        <v>1451</v>
      </c>
      <c r="B1118" s="18" t="s">
        <v>4838</v>
      </c>
      <c r="C1118" s="228" t="s">
        <v>4841</v>
      </c>
      <c r="D1118" s="18" t="s">
        <v>2439</v>
      </c>
      <c r="E1118" s="228" t="s">
        <v>4842</v>
      </c>
      <c r="F1118" s="18" t="s">
        <v>4843</v>
      </c>
      <c r="G1118" s="228" t="s">
        <v>4844</v>
      </c>
      <c r="H1118" s="18" t="s">
        <v>4845</v>
      </c>
      <c r="I1118" s="228" t="s">
        <v>4861</v>
      </c>
      <c r="J1118" s="18" t="s">
        <v>4862</v>
      </c>
      <c r="K1118" s="228" t="s">
        <v>4863</v>
      </c>
      <c r="L1118" s="18" t="s">
        <v>4864</v>
      </c>
      <c r="M1118" s="18" t="s">
        <v>4865</v>
      </c>
      <c r="P1118" s="16">
        <v>2130</v>
      </c>
      <c r="Q1118" s="16">
        <v>2663</v>
      </c>
      <c r="R1118" s="16">
        <v>3328</v>
      </c>
      <c r="S1118" s="16">
        <v>4160</v>
      </c>
      <c r="T1118" s="18" t="s">
        <v>4866</v>
      </c>
      <c r="U1118" s="283" t="s">
        <v>4867</v>
      </c>
      <c r="V1118" s="18" t="s">
        <v>4868</v>
      </c>
      <c r="W1118" s="18">
        <v>1</v>
      </c>
      <c r="X1118" s="18">
        <v>0</v>
      </c>
      <c r="Z1118" s="18">
        <v>1</v>
      </c>
      <c r="AA1118" s="18">
        <v>1</v>
      </c>
      <c r="AB1118" s="18">
        <v>1</v>
      </c>
      <c r="AC1118" s="316">
        <v>1</v>
      </c>
      <c r="AD1118" s="316">
        <v>1</v>
      </c>
      <c r="AE1118" s="302">
        <v>0.75</v>
      </c>
      <c r="AF1118" s="176">
        <v>0</v>
      </c>
      <c r="AG1118" s="17">
        <v>0</v>
      </c>
      <c r="AH1118" s="176" t="s">
        <v>2526</v>
      </c>
      <c r="AI1118" s="176" t="s">
        <v>2526</v>
      </c>
      <c r="AJ1118" s="176" t="s">
        <v>2526</v>
      </c>
      <c r="AK1118" s="237">
        <v>3</v>
      </c>
      <c r="AL1118" s="237">
        <v>3.5</v>
      </c>
      <c r="AM1118" s="147">
        <f t="shared" si="49"/>
        <v>6.5</v>
      </c>
      <c r="AN1118" s="239" t="s">
        <v>4866</v>
      </c>
      <c r="AO1118" s="239" t="s">
        <v>880</v>
      </c>
      <c r="AP1118" s="17" t="s">
        <v>4869</v>
      </c>
    </row>
    <row r="1119" spans="1:42" s="18" customFormat="1" x14ac:dyDescent="0.3">
      <c r="A1119" s="228" t="s">
        <v>1451</v>
      </c>
      <c r="B1119" s="18" t="s">
        <v>4838</v>
      </c>
      <c r="C1119" s="228" t="s">
        <v>4841</v>
      </c>
      <c r="D1119" s="18" t="s">
        <v>2439</v>
      </c>
      <c r="E1119" s="228" t="s">
        <v>4842</v>
      </c>
      <c r="F1119" s="18" t="s">
        <v>4843</v>
      </c>
      <c r="G1119" s="228" t="s">
        <v>4844</v>
      </c>
      <c r="H1119" s="18" t="s">
        <v>4845</v>
      </c>
      <c r="I1119" s="228" t="s">
        <v>4861</v>
      </c>
      <c r="J1119" s="18" t="s">
        <v>4862</v>
      </c>
      <c r="K1119" s="228" t="s">
        <v>4863</v>
      </c>
      <c r="L1119" s="18" t="s">
        <v>4864</v>
      </c>
      <c r="M1119" s="18" t="s">
        <v>4870</v>
      </c>
      <c r="P1119" s="16">
        <v>3000</v>
      </c>
      <c r="Q1119" s="16">
        <v>3750</v>
      </c>
      <c r="R1119" s="16">
        <v>4687</v>
      </c>
      <c r="S1119" s="16">
        <v>5859</v>
      </c>
      <c r="T1119" s="18" t="s">
        <v>4866</v>
      </c>
      <c r="U1119" s="283" t="s">
        <v>4867</v>
      </c>
      <c r="V1119" s="18" t="s">
        <v>4871</v>
      </c>
      <c r="W1119" s="18">
        <v>1</v>
      </c>
      <c r="X1119" s="18">
        <v>1</v>
      </c>
      <c r="Y1119" s="18">
        <v>1</v>
      </c>
      <c r="Z1119" s="18">
        <v>1</v>
      </c>
      <c r="AA1119" s="18">
        <v>1</v>
      </c>
      <c r="AB1119" s="18">
        <v>1</v>
      </c>
      <c r="AC1119" s="316">
        <v>1</v>
      </c>
      <c r="AD1119" s="316">
        <v>0</v>
      </c>
      <c r="AE1119" s="302">
        <v>0.875</v>
      </c>
      <c r="AF1119" s="176">
        <v>0</v>
      </c>
      <c r="AG1119" s="17">
        <v>0</v>
      </c>
      <c r="AH1119" s="176" t="s">
        <v>2526</v>
      </c>
      <c r="AI1119" s="176" t="s">
        <v>2526</v>
      </c>
      <c r="AJ1119" s="176" t="s">
        <v>2526</v>
      </c>
      <c r="AK1119" s="177">
        <v>1.4</v>
      </c>
      <c r="AL1119" s="238">
        <v>1.6</v>
      </c>
      <c r="AM1119" s="147">
        <f t="shared" si="49"/>
        <v>3</v>
      </c>
      <c r="AN1119" s="239" t="s">
        <v>4866</v>
      </c>
      <c r="AO1119" s="239" t="s">
        <v>880</v>
      </c>
      <c r="AP1119" s="17" t="s">
        <v>4869</v>
      </c>
    </row>
    <row r="1120" spans="1:42" s="18" customFormat="1" x14ac:dyDescent="0.3">
      <c r="A1120" s="228" t="s">
        <v>1451</v>
      </c>
      <c r="B1120" s="18" t="s">
        <v>4838</v>
      </c>
      <c r="C1120" s="228" t="s">
        <v>4841</v>
      </c>
      <c r="D1120" s="18" t="s">
        <v>2439</v>
      </c>
      <c r="E1120" s="228" t="s">
        <v>4842</v>
      </c>
      <c r="F1120" s="18" t="s">
        <v>4843</v>
      </c>
      <c r="G1120" s="228" t="s">
        <v>4844</v>
      </c>
      <c r="H1120" s="18" t="s">
        <v>4845</v>
      </c>
      <c r="I1120" s="228" t="s">
        <v>4861</v>
      </c>
      <c r="J1120" s="18" t="s">
        <v>4862</v>
      </c>
      <c r="K1120" s="228" t="s">
        <v>4863</v>
      </c>
      <c r="L1120" s="18" t="s">
        <v>4864</v>
      </c>
      <c r="M1120" s="18" t="s">
        <v>4872</v>
      </c>
      <c r="P1120" s="16" t="s">
        <v>4873</v>
      </c>
      <c r="Q1120" s="16" t="s">
        <v>4874</v>
      </c>
      <c r="R1120" s="16" t="s">
        <v>4875</v>
      </c>
      <c r="S1120" s="16" t="s">
        <v>4876</v>
      </c>
      <c r="T1120" s="18" t="s">
        <v>4866</v>
      </c>
      <c r="U1120" s="283" t="s">
        <v>4867</v>
      </c>
      <c r="V1120" s="18" t="s">
        <v>4877</v>
      </c>
      <c r="W1120" s="18">
        <v>1</v>
      </c>
      <c r="X1120" s="18">
        <v>0</v>
      </c>
      <c r="Y1120" s="18">
        <v>0</v>
      </c>
      <c r="Z1120" s="18">
        <v>1</v>
      </c>
      <c r="AA1120" s="18">
        <v>1</v>
      </c>
      <c r="AB1120" s="18">
        <v>1</v>
      </c>
      <c r="AC1120" s="316">
        <v>1</v>
      </c>
      <c r="AD1120" s="316">
        <v>1</v>
      </c>
      <c r="AE1120" s="302">
        <v>0.75</v>
      </c>
      <c r="AF1120" s="176">
        <v>0</v>
      </c>
      <c r="AG1120" s="17">
        <v>0</v>
      </c>
      <c r="AH1120" s="176" t="s">
        <v>2526</v>
      </c>
      <c r="AI1120" s="176" t="s">
        <v>2526</v>
      </c>
      <c r="AJ1120" s="176" t="s">
        <v>2526</v>
      </c>
      <c r="AK1120" s="177">
        <v>1</v>
      </c>
      <c r="AL1120" s="238">
        <v>1</v>
      </c>
      <c r="AM1120" s="147">
        <f t="shared" si="49"/>
        <v>2</v>
      </c>
      <c r="AN1120" s="239" t="s">
        <v>4866</v>
      </c>
      <c r="AO1120" s="239" t="s">
        <v>880</v>
      </c>
      <c r="AP1120" s="17" t="s">
        <v>4869</v>
      </c>
    </row>
    <row r="1121" spans="1:43" s="18" customFormat="1" x14ac:dyDescent="0.3">
      <c r="A1121" s="228" t="s">
        <v>1451</v>
      </c>
      <c r="B1121" s="18" t="s">
        <v>4838</v>
      </c>
      <c r="C1121" s="228" t="s">
        <v>4841</v>
      </c>
      <c r="D1121" s="18" t="s">
        <v>2439</v>
      </c>
      <c r="E1121" s="228" t="s">
        <v>4842</v>
      </c>
      <c r="F1121" s="18" t="s">
        <v>4843</v>
      </c>
      <c r="G1121" s="228" t="s">
        <v>4844</v>
      </c>
      <c r="H1121" s="18" t="s">
        <v>4845</v>
      </c>
      <c r="I1121" s="228" t="s">
        <v>4846</v>
      </c>
      <c r="J1121" s="18" t="s">
        <v>4847</v>
      </c>
      <c r="K1121" s="228" t="s">
        <v>4848</v>
      </c>
      <c r="L1121" s="18" t="s">
        <v>4849</v>
      </c>
      <c r="P1121" s="16"/>
      <c r="Q1121" s="16"/>
      <c r="R1121" s="16"/>
      <c r="S1121" s="16"/>
      <c r="U1121" s="283" t="e">
        <v>#N/A</v>
      </c>
      <c r="V1121" s="18" t="s">
        <v>4878</v>
      </c>
      <c r="W1121" s="18">
        <v>1</v>
      </c>
      <c r="X1121" s="18">
        <v>1</v>
      </c>
      <c r="Y1121" s="18">
        <v>1</v>
      </c>
      <c r="Z1121" s="18">
        <v>1</v>
      </c>
      <c r="AA1121" s="18">
        <v>1</v>
      </c>
      <c r="AB1121" s="18">
        <v>1</v>
      </c>
      <c r="AC1121" s="316">
        <v>0</v>
      </c>
      <c r="AD1121" s="316">
        <v>1</v>
      </c>
      <c r="AE1121" s="302">
        <f t="shared" ref="AE1121:AE1184" si="50">SUM(W1121:AD1121)/8</f>
        <v>0.875</v>
      </c>
      <c r="AF1121" s="176">
        <v>0</v>
      </c>
      <c r="AG1121" s="17">
        <v>0</v>
      </c>
      <c r="AH1121" s="176" t="s">
        <v>2526</v>
      </c>
      <c r="AI1121" s="176" t="s">
        <v>2526</v>
      </c>
      <c r="AJ1121" s="176" t="s">
        <v>2526</v>
      </c>
      <c r="AK1121" s="177" t="s">
        <v>2526</v>
      </c>
      <c r="AL1121" s="177" t="s">
        <v>2526</v>
      </c>
      <c r="AM1121" s="147">
        <f t="shared" si="49"/>
        <v>0</v>
      </c>
      <c r="AN1121" s="18" t="s">
        <v>4860</v>
      </c>
      <c r="AO1121" s="18" t="e">
        <v>#N/A</v>
      </c>
      <c r="AP1121" s="18" t="s">
        <v>119</v>
      </c>
    </row>
    <row r="1122" spans="1:43" s="18" customFormat="1" x14ac:dyDescent="0.3">
      <c r="A1122" s="228" t="s">
        <v>1451</v>
      </c>
      <c r="B1122" s="18" t="s">
        <v>4838</v>
      </c>
      <c r="C1122" s="228" t="s">
        <v>4841</v>
      </c>
      <c r="D1122" s="18" t="s">
        <v>2439</v>
      </c>
      <c r="E1122" s="228" t="s">
        <v>4842</v>
      </c>
      <c r="F1122" s="18" t="s">
        <v>4843</v>
      </c>
      <c r="G1122" s="228" t="s">
        <v>4844</v>
      </c>
      <c r="H1122" s="18" t="s">
        <v>4845</v>
      </c>
      <c r="I1122" s="228" t="s">
        <v>4861</v>
      </c>
      <c r="J1122" s="18" t="s">
        <v>4862</v>
      </c>
      <c r="K1122" s="228" t="s">
        <v>4863</v>
      </c>
      <c r="L1122" s="18" t="s">
        <v>4864</v>
      </c>
      <c r="M1122" s="18" t="s">
        <v>4879</v>
      </c>
      <c r="N1122" s="18">
        <v>0</v>
      </c>
      <c r="O1122" s="18">
        <v>0</v>
      </c>
      <c r="P1122" s="16">
        <v>41000</v>
      </c>
      <c r="Q1122" s="16">
        <v>41000</v>
      </c>
      <c r="R1122" s="16">
        <v>41000</v>
      </c>
      <c r="S1122" s="16">
        <v>41000</v>
      </c>
      <c r="T1122" s="18" t="s">
        <v>1191</v>
      </c>
      <c r="U1122" s="283" t="e">
        <v>#N/A</v>
      </c>
      <c r="V1122" s="18" t="s">
        <v>4880</v>
      </c>
      <c r="W1122" s="18">
        <v>1</v>
      </c>
      <c r="X1122" s="18">
        <v>1</v>
      </c>
      <c r="Y1122" s="18">
        <v>1</v>
      </c>
      <c r="Z1122" s="18">
        <v>1</v>
      </c>
      <c r="AA1122" s="18">
        <v>1</v>
      </c>
      <c r="AB1122" s="18">
        <v>1</v>
      </c>
      <c r="AC1122" s="316">
        <v>1</v>
      </c>
      <c r="AD1122" s="316">
        <v>1</v>
      </c>
      <c r="AE1122" s="302">
        <f t="shared" si="50"/>
        <v>1</v>
      </c>
      <c r="AF1122" s="176">
        <v>0</v>
      </c>
      <c r="AG1122" s="17">
        <v>0</v>
      </c>
      <c r="AH1122" s="176" t="s">
        <v>2526</v>
      </c>
      <c r="AI1122" s="239">
        <v>0</v>
      </c>
      <c r="AJ1122" s="239" t="s">
        <v>2526</v>
      </c>
      <c r="AK1122" s="238" t="s">
        <v>2526</v>
      </c>
      <c r="AL1122" s="238" t="s">
        <v>2526</v>
      </c>
      <c r="AM1122" s="147">
        <f t="shared" si="49"/>
        <v>0</v>
      </c>
      <c r="AN1122" s="157" t="s">
        <v>921</v>
      </c>
      <c r="AO1122" s="157" t="s">
        <v>880</v>
      </c>
      <c r="AP1122" s="18" t="s">
        <v>119</v>
      </c>
    </row>
    <row r="1123" spans="1:43" s="18" customFormat="1" x14ac:dyDescent="0.3">
      <c r="A1123" s="228" t="s">
        <v>1451</v>
      </c>
      <c r="B1123" s="18" t="s">
        <v>4838</v>
      </c>
      <c r="C1123" s="228" t="s">
        <v>4841</v>
      </c>
      <c r="D1123" s="18" t="s">
        <v>2439</v>
      </c>
      <c r="E1123" s="228" t="s">
        <v>4842</v>
      </c>
      <c r="F1123" s="18" t="s">
        <v>4843</v>
      </c>
      <c r="G1123" s="228" t="s">
        <v>4844</v>
      </c>
      <c r="H1123" s="18" t="s">
        <v>4845</v>
      </c>
      <c r="I1123" s="228" t="s">
        <v>4861</v>
      </c>
      <c r="J1123" s="18" t="s">
        <v>4862</v>
      </c>
      <c r="K1123" s="228" t="s">
        <v>4863</v>
      </c>
      <c r="L1123" s="18" t="s">
        <v>4864</v>
      </c>
      <c r="M1123" s="18" t="s">
        <v>4881</v>
      </c>
      <c r="N1123" s="18">
        <v>2500</v>
      </c>
      <c r="O1123" s="18">
        <v>11000</v>
      </c>
      <c r="P1123" s="16">
        <v>11000</v>
      </c>
      <c r="Q1123" s="16">
        <v>11000</v>
      </c>
      <c r="R1123" s="16">
        <v>11000</v>
      </c>
      <c r="S1123" s="16">
        <v>11000</v>
      </c>
      <c r="T1123" s="18" t="s">
        <v>4869</v>
      </c>
      <c r="U1123" s="283" t="e">
        <v>#N/A</v>
      </c>
      <c r="V1123" s="18" t="s">
        <v>4882</v>
      </c>
      <c r="W1123" s="18">
        <v>0</v>
      </c>
      <c r="X1123" s="18">
        <v>0</v>
      </c>
      <c r="Y1123" s="18">
        <v>0</v>
      </c>
      <c r="Z1123" s="18">
        <v>0</v>
      </c>
      <c r="AA1123" s="18">
        <v>0</v>
      </c>
      <c r="AB1123" s="18">
        <v>0</v>
      </c>
      <c r="AC1123" s="316">
        <v>1</v>
      </c>
      <c r="AD1123" s="316">
        <v>0</v>
      </c>
      <c r="AE1123" s="302">
        <f t="shared" si="50"/>
        <v>0.125</v>
      </c>
      <c r="AF1123" s="176">
        <v>0</v>
      </c>
      <c r="AG1123" s="17">
        <v>0</v>
      </c>
      <c r="AH1123" s="176" t="s">
        <v>2526</v>
      </c>
      <c r="AI1123" s="176">
        <v>0.2</v>
      </c>
      <c r="AJ1123" s="176" t="s">
        <v>2526</v>
      </c>
      <c r="AK1123" s="177" t="s">
        <v>2526</v>
      </c>
      <c r="AL1123" s="177" t="s">
        <v>2526</v>
      </c>
      <c r="AM1123" s="147">
        <f t="shared" si="49"/>
        <v>0</v>
      </c>
      <c r="AN1123" s="18" t="s">
        <v>921</v>
      </c>
      <c r="AO1123" s="18" t="s">
        <v>880</v>
      </c>
      <c r="AP1123" s="228" t="s">
        <v>4869</v>
      </c>
    </row>
    <row r="1124" spans="1:43" s="18" customFormat="1" x14ac:dyDescent="0.3">
      <c r="A1124" s="228" t="s">
        <v>1451</v>
      </c>
      <c r="B1124" s="18" t="s">
        <v>4838</v>
      </c>
      <c r="C1124" s="228" t="s">
        <v>4841</v>
      </c>
      <c r="D1124" s="18" t="s">
        <v>2439</v>
      </c>
      <c r="E1124" s="228" t="s">
        <v>4842</v>
      </c>
      <c r="F1124" s="18" t="s">
        <v>4843</v>
      </c>
      <c r="G1124" s="228" t="s">
        <v>4844</v>
      </c>
      <c r="H1124" s="18" t="s">
        <v>4845</v>
      </c>
      <c r="I1124" s="228" t="s">
        <v>4861</v>
      </c>
      <c r="J1124" s="18" t="s">
        <v>4862</v>
      </c>
      <c r="K1124" s="228" t="s">
        <v>4863</v>
      </c>
      <c r="L1124" s="18" t="s">
        <v>4864</v>
      </c>
      <c r="M1124" s="18" t="s">
        <v>4883</v>
      </c>
      <c r="O1124" s="18">
        <v>0</v>
      </c>
      <c r="P1124" s="16">
        <v>0.5</v>
      </c>
      <c r="Q1124" s="16">
        <v>0.75</v>
      </c>
      <c r="R1124" s="16">
        <v>0.85</v>
      </c>
      <c r="S1124" s="16">
        <v>0.85</v>
      </c>
      <c r="T1124" s="18" t="s">
        <v>1191</v>
      </c>
      <c r="U1124" s="283" t="e">
        <v>#N/A</v>
      </c>
      <c r="V1124" s="18" t="s">
        <v>4884</v>
      </c>
      <c r="W1124" s="18">
        <v>1</v>
      </c>
      <c r="X1124" s="18">
        <v>1</v>
      </c>
      <c r="Y1124" s="18">
        <v>1</v>
      </c>
      <c r="Z1124" s="18">
        <v>1</v>
      </c>
      <c r="AA1124" s="18">
        <v>1</v>
      </c>
      <c r="AB1124" s="18">
        <v>1</v>
      </c>
      <c r="AC1124" s="316">
        <v>1</v>
      </c>
      <c r="AD1124" s="316">
        <v>1</v>
      </c>
      <c r="AE1124" s="302">
        <f t="shared" si="50"/>
        <v>1</v>
      </c>
      <c r="AF1124" s="176">
        <v>0</v>
      </c>
      <c r="AG1124" s="17">
        <v>0</v>
      </c>
      <c r="AH1124" s="176">
        <v>0.5</v>
      </c>
      <c r="AI1124" s="239">
        <v>0.5</v>
      </c>
      <c r="AJ1124" s="239">
        <v>0.5</v>
      </c>
      <c r="AK1124" s="238">
        <v>0.5</v>
      </c>
      <c r="AL1124" s="238">
        <v>0.5</v>
      </c>
      <c r="AM1124" s="147">
        <f t="shared" si="49"/>
        <v>1</v>
      </c>
      <c r="AN1124" s="157" t="s">
        <v>921</v>
      </c>
      <c r="AO1124" s="157" t="s">
        <v>880</v>
      </c>
      <c r="AP1124" s="157" t="s">
        <v>4885</v>
      </c>
      <c r="AQ1124" s="157"/>
    </row>
    <row r="1125" spans="1:43" s="18" customFormat="1" x14ac:dyDescent="0.3">
      <c r="A1125" s="228" t="s">
        <v>1451</v>
      </c>
      <c r="B1125" s="18" t="s">
        <v>4838</v>
      </c>
      <c r="C1125" s="228" t="s">
        <v>4841</v>
      </c>
      <c r="D1125" s="18" t="s">
        <v>2439</v>
      </c>
      <c r="E1125" s="228" t="s">
        <v>4842</v>
      </c>
      <c r="F1125" s="18" t="s">
        <v>4843</v>
      </c>
      <c r="G1125" s="228" t="s">
        <v>4844</v>
      </c>
      <c r="H1125" s="18" t="s">
        <v>4845</v>
      </c>
      <c r="I1125" s="228" t="s">
        <v>4861</v>
      </c>
      <c r="J1125" s="18" t="s">
        <v>4862</v>
      </c>
      <c r="K1125" s="228" t="s">
        <v>4863</v>
      </c>
      <c r="L1125" s="18" t="s">
        <v>4864</v>
      </c>
      <c r="P1125" s="16"/>
      <c r="Q1125" s="16"/>
      <c r="R1125" s="16"/>
      <c r="S1125" s="16"/>
      <c r="U1125" s="283" t="e">
        <v>#N/A</v>
      </c>
      <c r="V1125" s="18" t="s">
        <v>4886</v>
      </c>
      <c r="W1125" s="18">
        <v>1</v>
      </c>
      <c r="X1125" s="18">
        <v>0</v>
      </c>
      <c r="Y1125" s="18">
        <v>0</v>
      </c>
      <c r="Z1125" s="18">
        <v>1</v>
      </c>
      <c r="AA1125" s="18">
        <v>0</v>
      </c>
      <c r="AB1125" s="18">
        <v>0</v>
      </c>
      <c r="AC1125" s="316">
        <v>0</v>
      </c>
      <c r="AD1125" s="316">
        <v>0</v>
      </c>
      <c r="AE1125" s="302">
        <f t="shared" si="50"/>
        <v>0.25</v>
      </c>
      <c r="AF1125" s="176">
        <v>0</v>
      </c>
      <c r="AG1125" s="17">
        <v>0</v>
      </c>
      <c r="AH1125" s="176">
        <v>0.2</v>
      </c>
      <c r="AI1125" s="239">
        <v>0.3</v>
      </c>
      <c r="AJ1125" s="239">
        <v>0.4</v>
      </c>
      <c r="AK1125" s="238"/>
      <c r="AL1125" s="238"/>
      <c r="AM1125" s="147">
        <f t="shared" si="49"/>
        <v>0</v>
      </c>
      <c r="AN1125" s="157" t="s">
        <v>921</v>
      </c>
      <c r="AO1125" s="157" t="s">
        <v>880</v>
      </c>
      <c r="AP1125" s="18" t="s">
        <v>4855</v>
      </c>
    </row>
    <row r="1126" spans="1:43" s="18" customFormat="1" x14ac:dyDescent="0.3">
      <c r="A1126" s="228" t="s">
        <v>1451</v>
      </c>
      <c r="B1126" s="18" t="s">
        <v>4838</v>
      </c>
      <c r="C1126" s="228" t="s">
        <v>4841</v>
      </c>
      <c r="D1126" s="18" t="s">
        <v>2439</v>
      </c>
      <c r="E1126" s="228" t="s">
        <v>4842</v>
      </c>
      <c r="F1126" s="18" t="s">
        <v>4843</v>
      </c>
      <c r="G1126" s="228" t="s">
        <v>4844</v>
      </c>
      <c r="H1126" s="18" t="s">
        <v>4845</v>
      </c>
      <c r="I1126" s="228" t="s">
        <v>4861</v>
      </c>
      <c r="J1126" s="18" t="s">
        <v>4862</v>
      </c>
      <c r="K1126" s="228" t="s">
        <v>4863</v>
      </c>
      <c r="L1126" s="18" t="s">
        <v>4864</v>
      </c>
      <c r="P1126" s="16"/>
      <c r="Q1126" s="16"/>
      <c r="R1126" s="16"/>
      <c r="S1126" s="16"/>
      <c r="U1126" s="283" t="e">
        <v>#N/A</v>
      </c>
      <c r="V1126" s="18" t="s">
        <v>4887</v>
      </c>
      <c r="W1126" s="18">
        <v>1</v>
      </c>
      <c r="X1126" s="18">
        <v>1</v>
      </c>
      <c r="Y1126" s="18">
        <v>1</v>
      </c>
      <c r="Z1126" s="18">
        <v>1</v>
      </c>
      <c r="AA1126" s="18">
        <v>1</v>
      </c>
      <c r="AB1126" s="18">
        <v>1</v>
      </c>
      <c r="AC1126" s="316">
        <v>1</v>
      </c>
      <c r="AD1126" s="316">
        <v>1</v>
      </c>
      <c r="AE1126" s="302">
        <f t="shared" si="50"/>
        <v>1</v>
      </c>
      <c r="AF1126" s="176">
        <v>1</v>
      </c>
      <c r="AG1126" s="17">
        <v>1</v>
      </c>
      <c r="AH1126" s="176">
        <v>209.2</v>
      </c>
      <c r="AI1126" s="239">
        <v>56.8</v>
      </c>
      <c r="AJ1126" s="239">
        <v>56.8</v>
      </c>
      <c r="AK1126" s="238">
        <v>56.5</v>
      </c>
      <c r="AL1126" s="238">
        <v>56.5</v>
      </c>
      <c r="AM1126" s="147">
        <f t="shared" si="49"/>
        <v>113</v>
      </c>
      <c r="AN1126" s="157" t="s">
        <v>4888</v>
      </c>
      <c r="AO1126" s="157" t="s">
        <v>880</v>
      </c>
      <c r="AP1126" s="18" t="s">
        <v>119</v>
      </c>
    </row>
    <row r="1127" spans="1:43" s="18" customFormat="1" x14ac:dyDescent="0.3">
      <c r="A1127" s="228" t="s">
        <v>1451</v>
      </c>
      <c r="B1127" s="18" t="s">
        <v>4838</v>
      </c>
      <c r="C1127" s="228" t="s">
        <v>4841</v>
      </c>
      <c r="D1127" s="18" t="s">
        <v>2439</v>
      </c>
      <c r="E1127" s="228" t="s">
        <v>4842</v>
      </c>
      <c r="F1127" s="18" t="s">
        <v>4843</v>
      </c>
      <c r="G1127" s="228" t="s">
        <v>4844</v>
      </c>
      <c r="H1127" s="18" t="s">
        <v>4845</v>
      </c>
      <c r="I1127" s="228" t="s">
        <v>4861</v>
      </c>
      <c r="J1127" s="18" t="s">
        <v>4862</v>
      </c>
      <c r="K1127" s="228" t="s">
        <v>4863</v>
      </c>
      <c r="L1127" s="18" t="s">
        <v>4864</v>
      </c>
      <c r="P1127" s="16"/>
      <c r="Q1127" s="16"/>
      <c r="R1127" s="16"/>
      <c r="S1127" s="16"/>
      <c r="U1127" s="283" t="e">
        <v>#N/A</v>
      </c>
      <c r="V1127" s="18" t="s">
        <v>4889</v>
      </c>
      <c r="W1127" s="18">
        <v>1</v>
      </c>
      <c r="X1127" s="18">
        <v>1</v>
      </c>
      <c r="Y1127" s="18">
        <v>1</v>
      </c>
      <c r="Z1127" s="18">
        <v>1</v>
      </c>
      <c r="AA1127" s="18">
        <v>1</v>
      </c>
      <c r="AB1127" s="18">
        <v>1</v>
      </c>
      <c r="AC1127" s="316">
        <v>1</v>
      </c>
      <c r="AD1127" s="316">
        <v>1</v>
      </c>
      <c r="AE1127" s="302">
        <f t="shared" si="50"/>
        <v>1</v>
      </c>
      <c r="AF1127" s="176">
        <v>0</v>
      </c>
      <c r="AG1127" s="17">
        <v>0</v>
      </c>
      <c r="AH1127" s="176">
        <v>122.63706668482629</v>
      </c>
      <c r="AI1127" s="239">
        <v>24.86696434942321</v>
      </c>
      <c r="AJ1127" s="239">
        <v>128.32083713185085</v>
      </c>
      <c r="AK1127" s="237">
        <v>86</v>
      </c>
      <c r="AL1127" s="237">
        <v>195.21</v>
      </c>
      <c r="AM1127" s="147">
        <f t="shared" si="49"/>
        <v>281.21000000000004</v>
      </c>
      <c r="AN1127" s="157" t="s">
        <v>921</v>
      </c>
      <c r="AO1127" s="157" t="s">
        <v>880</v>
      </c>
      <c r="AP1127" s="18" t="s">
        <v>4890</v>
      </c>
    </row>
    <row r="1128" spans="1:43" s="18" customFormat="1" x14ac:dyDescent="0.3">
      <c r="A1128" s="228" t="s">
        <v>1451</v>
      </c>
      <c r="B1128" s="18" t="s">
        <v>4838</v>
      </c>
      <c r="C1128" s="228" t="s">
        <v>4841</v>
      </c>
      <c r="D1128" s="18" t="s">
        <v>2439</v>
      </c>
      <c r="E1128" s="228" t="s">
        <v>4842</v>
      </c>
      <c r="F1128" s="18" t="s">
        <v>4843</v>
      </c>
      <c r="G1128" s="228" t="s">
        <v>4844</v>
      </c>
      <c r="H1128" s="18" t="s">
        <v>4845</v>
      </c>
      <c r="I1128" s="228" t="s">
        <v>4891</v>
      </c>
      <c r="J1128" s="18" t="s">
        <v>4892</v>
      </c>
      <c r="K1128" s="228" t="s">
        <v>4893</v>
      </c>
      <c r="L1128" s="18" t="s">
        <v>4894</v>
      </c>
      <c r="M1128" s="18" t="s">
        <v>4895</v>
      </c>
      <c r="N1128" s="18" t="s">
        <v>4896</v>
      </c>
      <c r="O1128" s="18">
        <v>3145</v>
      </c>
      <c r="P1128" s="16">
        <v>3648</v>
      </c>
      <c r="Q1128" s="16">
        <v>4232</v>
      </c>
      <c r="R1128" s="16">
        <v>4909</v>
      </c>
      <c r="S1128" s="16">
        <v>5694</v>
      </c>
      <c r="T1128" s="18" t="s">
        <v>1581</v>
      </c>
      <c r="U1128" s="283" t="s">
        <v>1583</v>
      </c>
      <c r="V1128" s="18" t="s">
        <v>4897</v>
      </c>
      <c r="W1128" s="18">
        <v>1</v>
      </c>
      <c r="X1128" s="18">
        <v>1</v>
      </c>
      <c r="Y1128" s="18">
        <v>1</v>
      </c>
      <c r="Z1128" s="18">
        <v>1</v>
      </c>
      <c r="AA1128" s="18">
        <v>1</v>
      </c>
      <c r="AB1128" s="18">
        <v>1</v>
      </c>
      <c r="AC1128" s="316">
        <v>1</v>
      </c>
      <c r="AD1128" s="316">
        <v>1</v>
      </c>
      <c r="AE1128" s="302">
        <f t="shared" si="50"/>
        <v>1</v>
      </c>
      <c r="AF1128" s="176">
        <v>0</v>
      </c>
      <c r="AG1128" s="17">
        <v>0</v>
      </c>
      <c r="AH1128" s="176">
        <v>0.18</v>
      </c>
      <c r="AI1128" s="176">
        <v>0.36</v>
      </c>
      <c r="AJ1128" s="176">
        <v>0.38</v>
      </c>
      <c r="AK1128" s="177">
        <v>0.19</v>
      </c>
      <c r="AL1128" s="177">
        <v>0.08</v>
      </c>
      <c r="AM1128" s="147">
        <f t="shared" si="49"/>
        <v>0.27</v>
      </c>
      <c r="AN1128" s="18" t="s">
        <v>1581</v>
      </c>
      <c r="AO1128" s="18" t="s">
        <v>1583</v>
      </c>
      <c r="AP1128" s="18" t="s">
        <v>4898</v>
      </c>
    </row>
    <row r="1129" spans="1:43" s="18" customFormat="1" x14ac:dyDescent="0.3">
      <c r="A1129" s="228" t="s">
        <v>1451</v>
      </c>
      <c r="B1129" s="18" t="s">
        <v>4838</v>
      </c>
      <c r="C1129" s="228" t="s">
        <v>4841</v>
      </c>
      <c r="D1129" s="18" t="s">
        <v>2439</v>
      </c>
      <c r="E1129" s="228" t="s">
        <v>4842</v>
      </c>
      <c r="F1129" s="18" t="s">
        <v>4843</v>
      </c>
      <c r="G1129" s="228" t="s">
        <v>4844</v>
      </c>
      <c r="H1129" s="18" t="s">
        <v>4845</v>
      </c>
      <c r="I1129" s="228" t="s">
        <v>4891</v>
      </c>
      <c r="J1129" s="18" t="s">
        <v>4892</v>
      </c>
      <c r="K1129" s="228" t="s">
        <v>4893</v>
      </c>
      <c r="L1129" s="18" t="s">
        <v>4894</v>
      </c>
      <c r="M1129" s="18" t="s">
        <v>4899</v>
      </c>
      <c r="N1129" s="18">
        <v>0</v>
      </c>
      <c r="O1129" s="18">
        <v>200</v>
      </c>
      <c r="P1129" s="16">
        <v>300</v>
      </c>
      <c r="Q1129" s="16">
        <v>400</v>
      </c>
      <c r="R1129" s="16">
        <v>500</v>
      </c>
      <c r="S1129" s="16">
        <v>600</v>
      </c>
      <c r="T1129" s="18" t="s">
        <v>1581</v>
      </c>
      <c r="U1129" s="283" t="s">
        <v>1583</v>
      </c>
      <c r="V1129" s="18" t="s">
        <v>4900</v>
      </c>
      <c r="W1129" s="18">
        <v>1</v>
      </c>
      <c r="X1129" s="18">
        <v>0</v>
      </c>
      <c r="Y1129" s="18">
        <v>0</v>
      </c>
      <c r="Z1129" s="18">
        <v>1</v>
      </c>
      <c r="AA1129" s="18">
        <v>1</v>
      </c>
      <c r="AB1129" s="18">
        <v>1</v>
      </c>
      <c r="AC1129" s="316">
        <v>1</v>
      </c>
      <c r="AD1129" s="316">
        <v>1</v>
      </c>
      <c r="AE1129" s="302">
        <f t="shared" si="50"/>
        <v>0.75</v>
      </c>
      <c r="AF1129" s="176">
        <v>0</v>
      </c>
      <c r="AG1129" s="17">
        <v>0</v>
      </c>
      <c r="AH1129" s="176" t="s">
        <v>2526</v>
      </c>
      <c r="AI1129" s="239">
        <v>0.57999999999999996</v>
      </c>
      <c r="AJ1129" s="239">
        <v>0.03</v>
      </c>
      <c r="AK1129" s="238">
        <v>0.03</v>
      </c>
      <c r="AL1129" s="238">
        <v>0.03</v>
      </c>
      <c r="AM1129" s="147">
        <f t="shared" si="49"/>
        <v>0.06</v>
      </c>
      <c r="AN1129" s="157" t="s">
        <v>1581</v>
      </c>
      <c r="AO1129" s="157" t="s">
        <v>1583</v>
      </c>
      <c r="AP1129" s="157" t="s">
        <v>4898</v>
      </c>
      <c r="AQ1129" s="157"/>
    </row>
    <row r="1130" spans="1:43" s="18" customFormat="1" x14ac:dyDescent="0.3">
      <c r="A1130" s="228" t="s">
        <v>1451</v>
      </c>
      <c r="B1130" s="18" t="s">
        <v>4838</v>
      </c>
      <c r="C1130" s="228" t="s">
        <v>4841</v>
      </c>
      <c r="D1130" s="18" t="s">
        <v>2439</v>
      </c>
      <c r="E1130" s="228" t="s">
        <v>4842</v>
      </c>
      <c r="F1130" s="18" t="s">
        <v>4843</v>
      </c>
      <c r="G1130" s="228" t="s">
        <v>4844</v>
      </c>
      <c r="H1130" s="18" t="s">
        <v>4845</v>
      </c>
      <c r="I1130" s="228" t="s">
        <v>4891</v>
      </c>
      <c r="J1130" s="18" t="s">
        <v>4892</v>
      </c>
      <c r="K1130" s="228" t="s">
        <v>4893</v>
      </c>
      <c r="L1130" s="18" t="s">
        <v>4894</v>
      </c>
      <c r="M1130" s="18" t="s">
        <v>4901</v>
      </c>
      <c r="N1130" s="18">
        <v>0</v>
      </c>
      <c r="O1130" s="18">
        <v>200</v>
      </c>
      <c r="P1130" s="16">
        <v>300</v>
      </c>
      <c r="Q1130" s="16">
        <v>400</v>
      </c>
      <c r="R1130" s="16">
        <v>500</v>
      </c>
      <c r="S1130" s="16">
        <v>600</v>
      </c>
      <c r="T1130" s="18" t="s">
        <v>1581</v>
      </c>
      <c r="U1130" s="283" t="s">
        <v>1583</v>
      </c>
      <c r="V1130" s="18" t="s">
        <v>4902</v>
      </c>
      <c r="W1130" s="18">
        <v>1</v>
      </c>
      <c r="X1130" s="18">
        <v>0</v>
      </c>
      <c r="Y1130" s="18">
        <v>0</v>
      </c>
      <c r="Z1130" s="18">
        <v>1</v>
      </c>
      <c r="AA1130" s="18">
        <v>0</v>
      </c>
      <c r="AB1130" s="18">
        <v>0</v>
      </c>
      <c r="AC1130" s="316">
        <v>1</v>
      </c>
      <c r="AD1130" s="316">
        <v>0</v>
      </c>
      <c r="AE1130" s="302">
        <f t="shared" si="50"/>
        <v>0.375</v>
      </c>
      <c r="AF1130" s="176"/>
      <c r="AG1130" s="17">
        <v>0</v>
      </c>
      <c r="AH1130" s="176" t="s">
        <v>2526</v>
      </c>
      <c r="AI1130" s="239">
        <v>0.36</v>
      </c>
      <c r="AJ1130" s="239" t="s">
        <v>2526</v>
      </c>
      <c r="AK1130" s="238" t="s">
        <v>2526</v>
      </c>
      <c r="AL1130" s="238" t="s">
        <v>2526</v>
      </c>
      <c r="AM1130" s="147">
        <f t="shared" si="49"/>
        <v>0</v>
      </c>
      <c r="AN1130" s="157" t="s">
        <v>1581</v>
      </c>
      <c r="AO1130" s="157" t="s">
        <v>1583</v>
      </c>
      <c r="AP1130" s="240" t="s">
        <v>4903</v>
      </c>
      <c r="AQ1130" s="157"/>
    </row>
    <row r="1131" spans="1:43" s="18" customFormat="1" x14ac:dyDescent="0.3">
      <c r="A1131" s="228" t="s">
        <v>1451</v>
      </c>
      <c r="B1131" s="18" t="s">
        <v>4838</v>
      </c>
      <c r="C1131" s="228" t="s">
        <v>4841</v>
      </c>
      <c r="D1131" s="18" t="s">
        <v>2439</v>
      </c>
      <c r="E1131" s="228" t="s">
        <v>4842</v>
      </c>
      <c r="F1131" s="18" t="s">
        <v>4843</v>
      </c>
      <c r="G1131" s="228" t="s">
        <v>4844</v>
      </c>
      <c r="H1131" s="18" t="s">
        <v>4845</v>
      </c>
      <c r="I1131" s="228" t="s">
        <v>4891</v>
      </c>
      <c r="J1131" s="18" t="s">
        <v>4892</v>
      </c>
      <c r="K1131" s="228" t="s">
        <v>4893</v>
      </c>
      <c r="L1131" s="18" t="s">
        <v>4894</v>
      </c>
      <c r="M1131" s="18" t="s">
        <v>4895</v>
      </c>
      <c r="N1131" s="18">
        <v>0</v>
      </c>
      <c r="O1131" s="18">
        <v>3145</v>
      </c>
      <c r="P1131" s="16">
        <v>3648</v>
      </c>
      <c r="Q1131" s="16">
        <v>4232</v>
      </c>
      <c r="R1131" s="16">
        <v>4909</v>
      </c>
      <c r="S1131" s="16">
        <v>5694</v>
      </c>
      <c r="T1131" s="18" t="s">
        <v>1581</v>
      </c>
      <c r="U1131" s="283" t="s">
        <v>1583</v>
      </c>
      <c r="V1131" s="18" t="s">
        <v>4904</v>
      </c>
      <c r="W1131" s="18">
        <v>1</v>
      </c>
      <c r="X1131" s="18">
        <v>1</v>
      </c>
      <c r="Y1131" s="18">
        <v>1</v>
      </c>
      <c r="Z1131" s="18">
        <v>1</v>
      </c>
      <c r="AA1131" s="18">
        <v>1</v>
      </c>
      <c r="AB1131" s="18">
        <v>1</v>
      </c>
      <c r="AC1131" s="316">
        <v>0</v>
      </c>
      <c r="AD1131" s="316">
        <v>1</v>
      </c>
      <c r="AE1131" s="302">
        <f t="shared" si="50"/>
        <v>0.875</v>
      </c>
      <c r="AF1131" s="176">
        <v>0</v>
      </c>
      <c r="AG1131" s="17">
        <v>0</v>
      </c>
      <c r="AH1131" s="176">
        <v>0.46</v>
      </c>
      <c r="AI1131" s="239">
        <v>0.46</v>
      </c>
      <c r="AJ1131" s="239">
        <v>0.46</v>
      </c>
      <c r="AK1131" s="238">
        <v>0.46</v>
      </c>
      <c r="AL1131" s="238">
        <v>0.46</v>
      </c>
      <c r="AM1131" s="147">
        <f t="shared" si="49"/>
        <v>0.92</v>
      </c>
      <c r="AN1131" s="157" t="s">
        <v>1581</v>
      </c>
      <c r="AO1131" s="157" t="s">
        <v>1583</v>
      </c>
      <c r="AP1131" s="157" t="s">
        <v>4905</v>
      </c>
      <c r="AQ1131" s="157"/>
    </row>
    <row r="1132" spans="1:43" s="18" customFormat="1" x14ac:dyDescent="0.3">
      <c r="A1132" s="228" t="s">
        <v>1451</v>
      </c>
      <c r="B1132" s="18" t="s">
        <v>4838</v>
      </c>
      <c r="C1132" s="228" t="s">
        <v>4841</v>
      </c>
      <c r="D1132" s="18" t="s">
        <v>2439</v>
      </c>
      <c r="E1132" s="228" t="s">
        <v>4842</v>
      </c>
      <c r="F1132" s="18" t="s">
        <v>4843</v>
      </c>
      <c r="G1132" s="228" t="s">
        <v>4844</v>
      </c>
      <c r="H1132" s="18" t="s">
        <v>4845</v>
      </c>
      <c r="I1132" s="228" t="s">
        <v>4891</v>
      </c>
      <c r="J1132" s="18" t="s">
        <v>4892</v>
      </c>
      <c r="K1132" s="228" t="s">
        <v>4893</v>
      </c>
      <c r="L1132" s="18" t="s">
        <v>4894</v>
      </c>
      <c r="M1132" s="18" t="s">
        <v>4906</v>
      </c>
      <c r="N1132" s="18">
        <v>0</v>
      </c>
      <c r="O1132" s="18">
        <v>0</v>
      </c>
      <c r="P1132" s="16">
        <v>60</v>
      </c>
      <c r="Q1132" s="16">
        <v>70</v>
      </c>
      <c r="R1132" s="16">
        <v>80</v>
      </c>
      <c r="S1132" s="16">
        <v>90</v>
      </c>
      <c r="T1132" s="18" t="s">
        <v>1446</v>
      </c>
      <c r="U1132" s="283" t="s">
        <v>3715</v>
      </c>
      <c r="V1132" s="18" t="s">
        <v>4907</v>
      </c>
      <c r="W1132" s="18">
        <v>1</v>
      </c>
      <c r="X1132" s="18">
        <v>1</v>
      </c>
      <c r="Y1132" s="18">
        <v>1</v>
      </c>
      <c r="Z1132" s="18">
        <v>1</v>
      </c>
      <c r="AA1132" s="18">
        <v>1</v>
      </c>
      <c r="AB1132" s="18">
        <v>1</v>
      </c>
      <c r="AC1132" s="316">
        <v>1</v>
      </c>
      <c r="AD1132" s="316">
        <v>0</v>
      </c>
      <c r="AE1132" s="302">
        <f t="shared" si="50"/>
        <v>0.875</v>
      </c>
      <c r="AF1132" s="176">
        <v>0</v>
      </c>
      <c r="AG1132" s="17">
        <v>0</v>
      </c>
      <c r="AH1132" s="176" t="s">
        <v>2526</v>
      </c>
      <c r="AI1132" s="239">
        <v>0.26</v>
      </c>
      <c r="AJ1132" s="239">
        <v>0.26</v>
      </c>
      <c r="AK1132" s="238">
        <v>0.14000000000000001</v>
      </c>
      <c r="AL1132" s="238">
        <v>0.14000000000000001</v>
      </c>
      <c r="AM1132" s="147">
        <f t="shared" si="49"/>
        <v>0.28000000000000003</v>
      </c>
      <c r="AN1132" s="18" t="s">
        <v>1581</v>
      </c>
      <c r="AO1132" s="18" t="s">
        <v>1583</v>
      </c>
      <c r="AP1132" s="157" t="s">
        <v>119</v>
      </c>
      <c r="AQ1132" s="157"/>
    </row>
    <row r="1133" spans="1:43" s="18" customFormat="1" x14ac:dyDescent="0.3">
      <c r="A1133" s="228" t="s">
        <v>1451</v>
      </c>
      <c r="B1133" s="18" t="s">
        <v>4838</v>
      </c>
      <c r="C1133" s="228" t="s">
        <v>4841</v>
      </c>
      <c r="D1133" s="18" t="s">
        <v>2439</v>
      </c>
      <c r="E1133" s="228" t="s">
        <v>4842</v>
      </c>
      <c r="F1133" s="18" t="s">
        <v>4843</v>
      </c>
      <c r="G1133" s="228" t="s">
        <v>4844</v>
      </c>
      <c r="H1133" s="18" t="s">
        <v>4845</v>
      </c>
      <c r="I1133" s="228" t="s">
        <v>4891</v>
      </c>
      <c r="J1133" s="18" t="s">
        <v>4892</v>
      </c>
      <c r="K1133" s="228" t="s">
        <v>4893</v>
      </c>
      <c r="L1133" s="18" t="s">
        <v>4894</v>
      </c>
      <c r="P1133" s="16"/>
      <c r="Q1133" s="16"/>
      <c r="R1133" s="16"/>
      <c r="S1133" s="16"/>
      <c r="U1133" s="283" t="e">
        <v>#N/A</v>
      </c>
      <c r="V1133" s="18" t="s">
        <v>4908</v>
      </c>
      <c r="W1133" s="18">
        <v>0</v>
      </c>
      <c r="X1133" s="18">
        <v>0</v>
      </c>
      <c r="Y1133" s="18">
        <v>0</v>
      </c>
      <c r="Z1133" s="18">
        <v>1</v>
      </c>
      <c r="AA1133" s="18">
        <v>1</v>
      </c>
      <c r="AB1133" s="18">
        <v>0</v>
      </c>
      <c r="AC1133" s="316">
        <v>0</v>
      </c>
      <c r="AD1133" s="316">
        <v>0</v>
      </c>
      <c r="AE1133" s="302">
        <f t="shared" si="50"/>
        <v>0.25</v>
      </c>
      <c r="AF1133" s="176">
        <v>0</v>
      </c>
      <c r="AG1133" s="17">
        <v>0</v>
      </c>
      <c r="AH1133" s="176">
        <v>0.04</v>
      </c>
      <c r="AI1133" s="239">
        <v>0.17</v>
      </c>
      <c r="AJ1133" s="239">
        <v>0.05</v>
      </c>
      <c r="AK1133" s="241">
        <v>0</v>
      </c>
      <c r="AL1133" s="241">
        <v>0</v>
      </c>
      <c r="AM1133" s="147">
        <f t="shared" si="49"/>
        <v>0</v>
      </c>
      <c r="AN1133" s="18" t="s">
        <v>1581</v>
      </c>
      <c r="AO1133" s="18" t="s">
        <v>1583</v>
      </c>
      <c r="AP1133" s="157" t="s">
        <v>119</v>
      </c>
      <c r="AQ1133" s="157"/>
    </row>
    <row r="1134" spans="1:43" s="18" customFormat="1" x14ac:dyDescent="0.3">
      <c r="A1134" s="228" t="s">
        <v>1451</v>
      </c>
      <c r="B1134" s="18" t="s">
        <v>4838</v>
      </c>
      <c r="C1134" s="228" t="s">
        <v>4841</v>
      </c>
      <c r="D1134" s="18" t="s">
        <v>2439</v>
      </c>
      <c r="E1134" s="228" t="s">
        <v>4842</v>
      </c>
      <c r="F1134" s="18" t="s">
        <v>4843</v>
      </c>
      <c r="G1134" s="228" t="s">
        <v>4844</v>
      </c>
      <c r="H1134" s="18" t="s">
        <v>4845</v>
      </c>
      <c r="I1134" s="228" t="s">
        <v>4891</v>
      </c>
      <c r="J1134" s="18" t="s">
        <v>4892</v>
      </c>
      <c r="K1134" s="228" t="s">
        <v>4893</v>
      </c>
      <c r="L1134" s="18" t="s">
        <v>4894</v>
      </c>
      <c r="P1134" s="16"/>
      <c r="Q1134" s="16"/>
      <c r="R1134" s="16"/>
      <c r="S1134" s="16"/>
      <c r="U1134" s="283" t="e">
        <v>#N/A</v>
      </c>
      <c r="V1134" s="18" t="s">
        <v>4909</v>
      </c>
      <c r="W1134" s="18">
        <v>1</v>
      </c>
      <c r="X1134" s="18">
        <v>1</v>
      </c>
      <c r="Y1134" s="18">
        <v>0</v>
      </c>
      <c r="Z1134" s="18">
        <v>0</v>
      </c>
      <c r="AA1134" s="18">
        <v>0</v>
      </c>
      <c r="AB1134" s="18">
        <v>0</v>
      </c>
      <c r="AC1134" s="316">
        <v>0</v>
      </c>
      <c r="AD1134" s="316">
        <v>0</v>
      </c>
      <c r="AE1134" s="302">
        <f t="shared" si="50"/>
        <v>0.25</v>
      </c>
      <c r="AF1134" s="239">
        <v>0</v>
      </c>
      <c r="AG1134" s="17">
        <v>0</v>
      </c>
      <c r="AH1134" s="239" t="s">
        <v>2526</v>
      </c>
      <c r="AI1134" s="239" t="s">
        <v>2526</v>
      </c>
      <c r="AJ1134" s="239" t="s">
        <v>2526</v>
      </c>
      <c r="AK1134" s="238" t="s">
        <v>2526</v>
      </c>
      <c r="AL1134" s="238" t="s">
        <v>2526</v>
      </c>
      <c r="AM1134" s="147">
        <f t="shared" si="49"/>
        <v>0</v>
      </c>
      <c r="AN1134" s="18" t="s">
        <v>1446</v>
      </c>
      <c r="AO1134" s="18" t="s">
        <v>3715</v>
      </c>
      <c r="AP1134" s="240" t="s">
        <v>1581</v>
      </c>
      <c r="AQ1134" s="157"/>
    </row>
    <row r="1135" spans="1:43" s="18" customFormat="1" x14ac:dyDescent="0.3">
      <c r="A1135" s="228" t="s">
        <v>1451</v>
      </c>
      <c r="B1135" s="18" t="s">
        <v>4838</v>
      </c>
      <c r="C1135" s="228" t="s">
        <v>4841</v>
      </c>
      <c r="D1135" s="18" t="s">
        <v>2439</v>
      </c>
      <c r="E1135" s="228" t="s">
        <v>4842</v>
      </c>
      <c r="F1135" s="18" t="s">
        <v>4843</v>
      </c>
      <c r="G1135" s="228" t="s">
        <v>4844</v>
      </c>
      <c r="H1135" s="18" t="s">
        <v>4845</v>
      </c>
      <c r="I1135" s="228" t="s">
        <v>4891</v>
      </c>
      <c r="J1135" s="18" t="s">
        <v>4892</v>
      </c>
      <c r="K1135" s="228" t="s">
        <v>4893</v>
      </c>
      <c r="L1135" s="18" t="s">
        <v>4894</v>
      </c>
      <c r="P1135" s="16"/>
      <c r="Q1135" s="16"/>
      <c r="R1135" s="16"/>
      <c r="S1135" s="16"/>
      <c r="U1135" s="283" t="e">
        <v>#N/A</v>
      </c>
      <c r="V1135" s="18" t="s">
        <v>4910</v>
      </c>
      <c r="W1135" s="18">
        <v>0</v>
      </c>
      <c r="X1135" s="18">
        <v>0</v>
      </c>
      <c r="Y1135" s="18">
        <v>0</v>
      </c>
      <c r="Z1135" s="18">
        <v>0</v>
      </c>
      <c r="AA1135" s="18">
        <v>0</v>
      </c>
      <c r="AB1135" s="18">
        <v>0</v>
      </c>
      <c r="AC1135" s="316">
        <v>0</v>
      </c>
      <c r="AD1135" s="316">
        <v>0</v>
      </c>
      <c r="AE1135" s="302">
        <f t="shared" si="50"/>
        <v>0</v>
      </c>
      <c r="AF1135" s="239">
        <v>0</v>
      </c>
      <c r="AG1135" s="17">
        <v>0</v>
      </c>
      <c r="AH1135" s="239" t="s">
        <v>2526</v>
      </c>
      <c r="AI1135" s="239" t="s">
        <v>2526</v>
      </c>
      <c r="AJ1135" s="239" t="s">
        <v>2526</v>
      </c>
      <c r="AK1135" s="238" t="s">
        <v>2526</v>
      </c>
      <c r="AL1135" s="238" t="s">
        <v>2526</v>
      </c>
      <c r="AM1135" s="147">
        <f t="shared" si="49"/>
        <v>0</v>
      </c>
      <c r="AN1135" s="18" t="s">
        <v>921</v>
      </c>
      <c r="AO1135" s="18" t="s">
        <v>880</v>
      </c>
      <c r="AP1135" s="240" t="s">
        <v>1581</v>
      </c>
      <c r="AQ1135" s="157"/>
    </row>
    <row r="1136" spans="1:43" s="18" customFormat="1" x14ac:dyDescent="0.3">
      <c r="A1136" s="228" t="s">
        <v>1451</v>
      </c>
      <c r="B1136" s="18" t="s">
        <v>4838</v>
      </c>
      <c r="C1136" s="228" t="s">
        <v>4841</v>
      </c>
      <c r="D1136" s="18" t="s">
        <v>2439</v>
      </c>
      <c r="E1136" s="228" t="s">
        <v>4842</v>
      </c>
      <c r="F1136" s="18" t="s">
        <v>4843</v>
      </c>
      <c r="G1136" s="228" t="s">
        <v>4844</v>
      </c>
      <c r="H1136" s="18" t="s">
        <v>4845</v>
      </c>
      <c r="I1136" s="228" t="s">
        <v>4891</v>
      </c>
      <c r="J1136" s="18" t="s">
        <v>4892</v>
      </c>
      <c r="K1136" s="228" t="s">
        <v>4893</v>
      </c>
      <c r="L1136" s="18" t="s">
        <v>4894</v>
      </c>
      <c r="P1136" s="16"/>
      <c r="Q1136" s="16"/>
      <c r="R1136" s="16"/>
      <c r="S1136" s="16"/>
      <c r="U1136" s="283" t="e">
        <v>#N/A</v>
      </c>
      <c r="V1136" s="18" t="s">
        <v>4911</v>
      </c>
      <c r="W1136" s="18">
        <v>1</v>
      </c>
      <c r="X1136" s="18">
        <v>0</v>
      </c>
      <c r="Y1136" s="18">
        <v>0</v>
      </c>
      <c r="Z1136" s="18">
        <v>1</v>
      </c>
      <c r="AA1136" s="18">
        <v>1</v>
      </c>
      <c r="AB1136" s="18">
        <v>1</v>
      </c>
      <c r="AC1136" s="316">
        <v>1</v>
      </c>
      <c r="AD1136" s="316">
        <v>1</v>
      </c>
      <c r="AE1136" s="302">
        <f t="shared" si="50"/>
        <v>0.75</v>
      </c>
      <c r="AF1136" s="239">
        <v>0</v>
      </c>
      <c r="AG1136" s="17">
        <v>0</v>
      </c>
      <c r="AH1136" s="239">
        <v>0.3</v>
      </c>
      <c r="AI1136" s="239">
        <v>0.3</v>
      </c>
      <c r="AJ1136" s="239">
        <v>0.3</v>
      </c>
      <c r="AK1136" s="238">
        <v>0.3</v>
      </c>
      <c r="AL1136" s="238">
        <v>0.3</v>
      </c>
      <c r="AM1136" s="147">
        <f t="shared" si="49"/>
        <v>0.6</v>
      </c>
      <c r="AN1136" s="18" t="s">
        <v>1581</v>
      </c>
      <c r="AO1136" s="18" t="s">
        <v>1583</v>
      </c>
      <c r="AP1136" s="157" t="s">
        <v>4912</v>
      </c>
      <c r="AQ1136" s="157"/>
    </row>
    <row r="1137" spans="1:43" s="18" customFormat="1" x14ac:dyDescent="0.3">
      <c r="A1137" s="228" t="s">
        <v>1451</v>
      </c>
      <c r="B1137" s="18" t="s">
        <v>4838</v>
      </c>
      <c r="C1137" s="228" t="s">
        <v>4841</v>
      </c>
      <c r="D1137" s="18" t="s">
        <v>2439</v>
      </c>
      <c r="E1137" s="228" t="s">
        <v>4842</v>
      </c>
      <c r="F1137" s="18" t="s">
        <v>4843</v>
      </c>
      <c r="G1137" s="228" t="s">
        <v>4844</v>
      </c>
      <c r="H1137" s="18" t="s">
        <v>4845</v>
      </c>
      <c r="I1137" s="228" t="s">
        <v>4891</v>
      </c>
      <c r="J1137" s="18" t="s">
        <v>4892</v>
      </c>
      <c r="K1137" s="228" t="s">
        <v>4893</v>
      </c>
      <c r="L1137" s="18" t="s">
        <v>4894</v>
      </c>
      <c r="P1137" s="16"/>
      <c r="Q1137" s="16"/>
      <c r="R1137" s="16"/>
      <c r="S1137" s="16"/>
      <c r="U1137" s="283" t="e">
        <v>#N/A</v>
      </c>
      <c r="V1137" s="18" t="s">
        <v>4913</v>
      </c>
      <c r="W1137" s="18">
        <v>0</v>
      </c>
      <c r="X1137" s="18">
        <v>0</v>
      </c>
      <c r="Y1137" s="18">
        <v>0</v>
      </c>
      <c r="Z1137" s="18">
        <v>0</v>
      </c>
      <c r="AA1137" s="18">
        <v>0</v>
      </c>
      <c r="AB1137" s="18">
        <v>0</v>
      </c>
      <c r="AC1137" s="316">
        <v>0</v>
      </c>
      <c r="AD1137" s="316">
        <v>0</v>
      </c>
      <c r="AE1137" s="302">
        <f t="shared" si="50"/>
        <v>0</v>
      </c>
      <c r="AF1137" s="239"/>
      <c r="AG1137" s="17">
        <v>0</v>
      </c>
      <c r="AH1137" s="239" t="s">
        <v>2526</v>
      </c>
      <c r="AI1137" s="239">
        <v>0.5</v>
      </c>
      <c r="AJ1137" s="239">
        <v>0.5</v>
      </c>
      <c r="AK1137" s="241">
        <v>0</v>
      </c>
      <c r="AL1137" s="241">
        <v>0</v>
      </c>
      <c r="AM1137" s="147">
        <f t="shared" si="49"/>
        <v>0</v>
      </c>
      <c r="AN1137" s="18" t="s">
        <v>1446</v>
      </c>
      <c r="AO1137" s="18" t="s">
        <v>3715</v>
      </c>
      <c r="AP1137" s="157" t="s">
        <v>119</v>
      </c>
      <c r="AQ1137" s="157"/>
    </row>
    <row r="1138" spans="1:43" s="18" customFormat="1" x14ac:dyDescent="0.3">
      <c r="A1138" s="228" t="s">
        <v>1451</v>
      </c>
      <c r="B1138" s="18" t="s">
        <v>4838</v>
      </c>
      <c r="C1138" s="228" t="s">
        <v>4841</v>
      </c>
      <c r="D1138" s="18" t="s">
        <v>2439</v>
      </c>
      <c r="E1138" s="228" t="s">
        <v>4842</v>
      </c>
      <c r="F1138" s="18" t="s">
        <v>4843</v>
      </c>
      <c r="G1138" s="228" t="s">
        <v>4844</v>
      </c>
      <c r="H1138" s="18" t="s">
        <v>4845</v>
      </c>
      <c r="I1138" s="228" t="s">
        <v>4914</v>
      </c>
      <c r="J1138" s="18" t="s">
        <v>4915</v>
      </c>
      <c r="K1138" s="228" t="s">
        <v>4916</v>
      </c>
      <c r="L1138" s="18" t="s">
        <v>4917</v>
      </c>
      <c r="M1138" s="18" t="s">
        <v>4918</v>
      </c>
      <c r="N1138" s="18">
        <v>0</v>
      </c>
      <c r="O1138" s="18">
        <v>200</v>
      </c>
      <c r="P1138" s="16">
        <v>200</v>
      </c>
      <c r="Q1138" s="16">
        <v>400</v>
      </c>
      <c r="R1138" s="16">
        <v>450</v>
      </c>
      <c r="S1138" s="16">
        <v>600</v>
      </c>
      <c r="T1138" s="18" t="s">
        <v>1191</v>
      </c>
      <c r="U1138" s="283" t="e">
        <v>#N/A</v>
      </c>
      <c r="V1138" s="18" t="s">
        <v>4919</v>
      </c>
      <c r="W1138" s="18">
        <v>1</v>
      </c>
      <c r="X1138" s="18">
        <v>1</v>
      </c>
      <c r="Y1138" s="18">
        <v>1</v>
      </c>
      <c r="Z1138" s="18">
        <v>1</v>
      </c>
      <c r="AA1138" s="18">
        <v>1</v>
      </c>
      <c r="AB1138" s="18">
        <v>1</v>
      </c>
      <c r="AC1138" s="316">
        <v>1</v>
      </c>
      <c r="AD1138" s="316">
        <v>1</v>
      </c>
      <c r="AE1138" s="302">
        <f t="shared" si="50"/>
        <v>1</v>
      </c>
      <c r="AF1138" s="239">
        <v>1</v>
      </c>
      <c r="AG1138" s="17">
        <v>0</v>
      </c>
      <c r="AH1138" s="239" t="s">
        <v>2526</v>
      </c>
      <c r="AI1138" s="239">
        <v>4</v>
      </c>
      <c r="AJ1138" s="239">
        <v>4</v>
      </c>
      <c r="AK1138" s="238">
        <v>1</v>
      </c>
      <c r="AL1138" s="238">
        <v>7</v>
      </c>
      <c r="AM1138" s="147">
        <f t="shared" si="49"/>
        <v>8</v>
      </c>
      <c r="AN1138" s="18" t="s">
        <v>921</v>
      </c>
      <c r="AO1138" s="18" t="s">
        <v>880</v>
      </c>
      <c r="AP1138" s="157" t="s">
        <v>509</v>
      </c>
      <c r="AQ1138" s="157"/>
    </row>
    <row r="1139" spans="1:43" s="18" customFormat="1" x14ac:dyDescent="0.3">
      <c r="A1139" s="228" t="s">
        <v>1451</v>
      </c>
      <c r="B1139" s="18" t="s">
        <v>4838</v>
      </c>
      <c r="C1139" s="228" t="s">
        <v>4841</v>
      </c>
      <c r="D1139" s="18" t="s">
        <v>2439</v>
      </c>
      <c r="E1139" s="228" t="s">
        <v>4842</v>
      </c>
      <c r="F1139" s="18" t="s">
        <v>4843</v>
      </c>
      <c r="G1139" s="228" t="s">
        <v>4844</v>
      </c>
      <c r="H1139" s="18" t="s">
        <v>4845</v>
      </c>
      <c r="I1139" s="228" t="s">
        <v>4914</v>
      </c>
      <c r="J1139" s="18" t="s">
        <v>4915</v>
      </c>
      <c r="K1139" s="228" t="s">
        <v>4920</v>
      </c>
      <c r="L1139" s="18" t="s">
        <v>4921</v>
      </c>
      <c r="M1139" s="18" t="s">
        <v>4922</v>
      </c>
      <c r="N1139" s="18">
        <v>0</v>
      </c>
      <c r="O1139" s="18" t="s">
        <v>4923</v>
      </c>
      <c r="P1139" s="16" t="s">
        <v>4924</v>
      </c>
      <c r="Q1139" s="16" t="s">
        <v>4925</v>
      </c>
      <c r="R1139" s="16">
        <v>0</v>
      </c>
      <c r="S1139" s="16" t="s">
        <v>4926</v>
      </c>
      <c r="T1139" s="18" t="s">
        <v>1191</v>
      </c>
      <c r="U1139" s="283" t="e">
        <v>#N/A</v>
      </c>
      <c r="V1139" s="18" t="s">
        <v>4927</v>
      </c>
      <c r="W1139" s="18">
        <v>1</v>
      </c>
      <c r="X1139" s="18">
        <v>1</v>
      </c>
      <c r="Y1139" s="18">
        <v>1</v>
      </c>
      <c r="Z1139" s="18">
        <v>1</v>
      </c>
      <c r="AA1139" s="18">
        <v>1</v>
      </c>
      <c r="AB1139" s="18">
        <v>1</v>
      </c>
      <c r="AC1139" s="316">
        <v>1</v>
      </c>
      <c r="AD1139" s="316">
        <v>0</v>
      </c>
      <c r="AE1139" s="302">
        <f t="shared" si="50"/>
        <v>0.875</v>
      </c>
      <c r="AF1139" s="239">
        <v>0</v>
      </c>
      <c r="AG1139" s="17">
        <v>0</v>
      </c>
      <c r="AH1139" s="239">
        <v>0.5</v>
      </c>
      <c r="AI1139" s="239">
        <v>0.5</v>
      </c>
      <c r="AJ1139" s="239">
        <v>0.5</v>
      </c>
      <c r="AK1139" s="238"/>
      <c r="AL1139" s="238"/>
      <c r="AM1139" s="147">
        <f t="shared" si="49"/>
        <v>0</v>
      </c>
      <c r="AN1139" s="18" t="s">
        <v>921</v>
      </c>
      <c r="AO1139" s="18" t="s">
        <v>880</v>
      </c>
      <c r="AP1139" s="157" t="s">
        <v>4928</v>
      </c>
      <c r="AQ1139" s="157"/>
    </row>
    <row r="1140" spans="1:43" s="18" customFormat="1" x14ac:dyDescent="0.3">
      <c r="A1140" s="228" t="s">
        <v>1451</v>
      </c>
      <c r="B1140" s="18" t="s">
        <v>4838</v>
      </c>
      <c r="C1140" s="228" t="s">
        <v>4841</v>
      </c>
      <c r="D1140" s="18" t="s">
        <v>2439</v>
      </c>
      <c r="E1140" s="228" t="s">
        <v>4842</v>
      </c>
      <c r="F1140" s="18" t="s">
        <v>4843</v>
      </c>
      <c r="G1140" s="228" t="s">
        <v>4844</v>
      </c>
      <c r="H1140" s="18" t="s">
        <v>4845</v>
      </c>
      <c r="I1140" s="228" t="s">
        <v>4914</v>
      </c>
      <c r="J1140" s="18" t="s">
        <v>4915</v>
      </c>
      <c r="K1140" s="228" t="s">
        <v>4929</v>
      </c>
      <c r="L1140" s="18" t="s">
        <v>4930</v>
      </c>
      <c r="M1140" s="18" t="s">
        <v>4931</v>
      </c>
      <c r="N1140" s="18">
        <v>4</v>
      </c>
      <c r="O1140" s="18">
        <v>3.5</v>
      </c>
      <c r="P1140" s="16">
        <v>3</v>
      </c>
      <c r="Q1140" s="16">
        <v>2.5</v>
      </c>
      <c r="R1140" s="16">
        <v>2</v>
      </c>
      <c r="S1140" s="16">
        <v>2</v>
      </c>
      <c r="T1140" s="18" t="s">
        <v>4932</v>
      </c>
      <c r="U1140" s="283" t="s">
        <v>3877</v>
      </c>
      <c r="V1140" s="18" t="s">
        <v>4933</v>
      </c>
      <c r="W1140" s="18">
        <v>1</v>
      </c>
      <c r="X1140" s="18">
        <v>1</v>
      </c>
      <c r="Y1140" s="18">
        <v>1</v>
      </c>
      <c r="Z1140" s="18">
        <v>1</v>
      </c>
      <c r="AA1140" s="18">
        <v>0</v>
      </c>
      <c r="AB1140" s="18">
        <v>1</v>
      </c>
      <c r="AC1140" s="316">
        <v>0</v>
      </c>
      <c r="AD1140" s="316">
        <v>1</v>
      </c>
      <c r="AE1140" s="302">
        <f t="shared" si="50"/>
        <v>0.75</v>
      </c>
      <c r="AF1140" s="239"/>
      <c r="AG1140" s="17">
        <v>0</v>
      </c>
      <c r="AH1140" s="239">
        <v>0</v>
      </c>
      <c r="AI1140" s="239">
        <v>0</v>
      </c>
      <c r="AJ1140" s="239">
        <v>0</v>
      </c>
      <c r="AK1140" s="238">
        <v>0</v>
      </c>
      <c r="AL1140" s="238">
        <v>0</v>
      </c>
      <c r="AM1140" s="147">
        <f t="shared" si="49"/>
        <v>0</v>
      </c>
      <c r="AN1140" s="18" t="s">
        <v>3875</v>
      </c>
      <c r="AO1140" s="18" t="s">
        <v>3877</v>
      </c>
      <c r="AP1140" s="157" t="s">
        <v>119</v>
      </c>
      <c r="AQ1140" s="157"/>
    </row>
    <row r="1141" spans="1:43" s="18" customFormat="1" x14ac:dyDescent="0.3">
      <c r="A1141" s="228" t="s">
        <v>1451</v>
      </c>
      <c r="B1141" s="18" t="s">
        <v>4838</v>
      </c>
      <c r="C1141" s="228" t="s">
        <v>4841</v>
      </c>
      <c r="D1141" s="18" t="s">
        <v>2439</v>
      </c>
      <c r="E1141" s="228" t="s">
        <v>4842</v>
      </c>
      <c r="F1141" s="18" t="s">
        <v>4843</v>
      </c>
      <c r="G1141" s="228" t="s">
        <v>4844</v>
      </c>
      <c r="H1141" s="18" t="s">
        <v>4845</v>
      </c>
      <c r="I1141" s="228" t="s">
        <v>4914</v>
      </c>
      <c r="J1141" s="18" t="s">
        <v>4915</v>
      </c>
      <c r="K1141" s="228" t="s">
        <v>4934</v>
      </c>
      <c r="L1141" s="18" t="s">
        <v>4935</v>
      </c>
      <c r="M1141" s="18" t="s">
        <v>4936</v>
      </c>
      <c r="N1141" s="18" t="s">
        <v>4937</v>
      </c>
      <c r="O1141" s="18" t="s">
        <v>4937</v>
      </c>
      <c r="P1141" s="16" t="s">
        <v>4938</v>
      </c>
      <c r="Q1141" s="16" t="s">
        <v>4939</v>
      </c>
      <c r="R1141" s="16" t="s">
        <v>4939</v>
      </c>
      <c r="S1141" s="16" t="s">
        <v>4939</v>
      </c>
      <c r="T1141" s="18" t="s">
        <v>1191</v>
      </c>
      <c r="U1141" s="283" t="e">
        <v>#N/A</v>
      </c>
      <c r="V1141" s="18" t="s">
        <v>4940</v>
      </c>
      <c r="W1141" s="18">
        <v>1</v>
      </c>
      <c r="X1141" s="18">
        <v>1</v>
      </c>
      <c r="Y1141" s="18">
        <v>1</v>
      </c>
      <c r="Z1141" s="18">
        <v>0</v>
      </c>
      <c r="AA1141" s="18">
        <v>1</v>
      </c>
      <c r="AB1141" s="18">
        <v>1</v>
      </c>
      <c r="AC1141" s="316">
        <v>0</v>
      </c>
      <c r="AD1141" s="316">
        <v>1</v>
      </c>
      <c r="AE1141" s="302">
        <f t="shared" si="50"/>
        <v>0.75</v>
      </c>
      <c r="AF1141" s="176">
        <v>0</v>
      </c>
      <c r="AG1141" s="17">
        <v>0</v>
      </c>
      <c r="AH1141" s="176" t="s">
        <v>2526</v>
      </c>
      <c r="AI1141" s="176">
        <v>50</v>
      </c>
      <c r="AJ1141" s="239">
        <v>50</v>
      </c>
      <c r="AK1141" s="238">
        <v>0.5</v>
      </c>
      <c r="AL1141" s="238">
        <v>0.5</v>
      </c>
      <c r="AM1141" s="147">
        <f t="shared" si="49"/>
        <v>1</v>
      </c>
      <c r="AN1141" s="18" t="s">
        <v>921</v>
      </c>
      <c r="AO1141" s="18" t="s">
        <v>880</v>
      </c>
      <c r="AP1141" s="157" t="s">
        <v>4855</v>
      </c>
      <c r="AQ1141" s="157"/>
    </row>
    <row r="1142" spans="1:43" s="18" customFormat="1" x14ac:dyDescent="0.3">
      <c r="A1142" s="228" t="s">
        <v>1451</v>
      </c>
      <c r="B1142" s="18" t="s">
        <v>4838</v>
      </c>
      <c r="C1142" s="228" t="s">
        <v>4841</v>
      </c>
      <c r="D1142" s="18" t="s">
        <v>2439</v>
      </c>
      <c r="E1142" s="228" t="s">
        <v>4842</v>
      </c>
      <c r="F1142" s="18" t="s">
        <v>4843</v>
      </c>
      <c r="G1142" s="228" t="s">
        <v>4844</v>
      </c>
      <c r="H1142" s="18" t="s">
        <v>4845</v>
      </c>
      <c r="I1142" s="228" t="s">
        <v>4914</v>
      </c>
      <c r="J1142" s="18" t="s">
        <v>4915</v>
      </c>
      <c r="K1142" s="228" t="s">
        <v>4941</v>
      </c>
      <c r="L1142" s="18" t="s">
        <v>4942</v>
      </c>
      <c r="M1142" s="18" t="s">
        <v>4943</v>
      </c>
      <c r="N1142" s="18">
        <v>0</v>
      </c>
      <c r="O1142" s="18">
        <v>1000</v>
      </c>
      <c r="P1142" s="16">
        <v>1000</v>
      </c>
      <c r="Q1142" s="16">
        <v>1000</v>
      </c>
      <c r="R1142" s="16">
        <v>1000</v>
      </c>
      <c r="S1142" s="16">
        <v>1000</v>
      </c>
      <c r="T1142" s="18" t="s">
        <v>1283</v>
      </c>
      <c r="U1142" s="283" t="s">
        <v>880</v>
      </c>
      <c r="V1142" s="18" t="s">
        <v>4944</v>
      </c>
      <c r="W1142" s="18">
        <v>1</v>
      </c>
      <c r="X1142" s="18">
        <v>1</v>
      </c>
      <c r="Y1142" s="18">
        <v>0</v>
      </c>
      <c r="Z1142" s="18">
        <v>1</v>
      </c>
      <c r="AA1142" s="18">
        <v>1</v>
      </c>
      <c r="AB1142" s="18">
        <v>1</v>
      </c>
      <c r="AC1142" s="316">
        <v>1</v>
      </c>
      <c r="AD1142" s="316">
        <v>1</v>
      </c>
      <c r="AE1142" s="302">
        <f t="shared" si="50"/>
        <v>0.875</v>
      </c>
      <c r="AF1142" s="176">
        <v>0</v>
      </c>
      <c r="AG1142" s="17">
        <v>0</v>
      </c>
      <c r="AH1142" s="176">
        <v>0.12</v>
      </c>
      <c r="AI1142" s="176">
        <v>0.2</v>
      </c>
      <c r="AJ1142" s="176">
        <v>0.25</v>
      </c>
      <c r="AK1142" s="177">
        <v>0.4</v>
      </c>
      <c r="AL1142" s="177">
        <v>0.5</v>
      </c>
      <c r="AM1142" s="147">
        <f t="shared" si="49"/>
        <v>0.9</v>
      </c>
      <c r="AN1142" s="18" t="s">
        <v>1285</v>
      </c>
      <c r="AO1142" s="18" t="s">
        <v>880</v>
      </c>
      <c r="AP1142" s="18" t="s">
        <v>921</v>
      </c>
    </row>
    <row r="1143" spans="1:43" s="18" customFormat="1" x14ac:dyDescent="0.3">
      <c r="A1143" s="228" t="s">
        <v>1451</v>
      </c>
      <c r="B1143" s="18" t="s">
        <v>4838</v>
      </c>
      <c r="C1143" s="228" t="s">
        <v>4841</v>
      </c>
      <c r="D1143" s="18" t="s">
        <v>2439</v>
      </c>
      <c r="E1143" s="228" t="s">
        <v>4842</v>
      </c>
      <c r="F1143" s="18" t="s">
        <v>4843</v>
      </c>
      <c r="G1143" s="228" t="s">
        <v>4844</v>
      </c>
      <c r="H1143" s="18" t="s">
        <v>4845</v>
      </c>
      <c r="I1143" s="228" t="s">
        <v>4914</v>
      </c>
      <c r="J1143" s="18" t="s">
        <v>4915</v>
      </c>
      <c r="K1143" s="228" t="s">
        <v>4945</v>
      </c>
      <c r="L1143" s="18" t="s">
        <v>4946</v>
      </c>
      <c r="M1143" s="18" t="s">
        <v>4943</v>
      </c>
      <c r="N1143" s="18">
        <v>0</v>
      </c>
      <c r="O1143" s="18">
        <v>5</v>
      </c>
      <c r="P1143" s="16">
        <v>8</v>
      </c>
      <c r="Q1143" s="16">
        <v>12</v>
      </c>
      <c r="R1143" s="16">
        <v>20</v>
      </c>
      <c r="S1143" s="16">
        <v>25</v>
      </c>
      <c r="T1143" s="283" t="s">
        <v>265</v>
      </c>
      <c r="U1143" s="283" t="s">
        <v>350</v>
      </c>
      <c r="V1143" s="18" t="s">
        <v>4947</v>
      </c>
      <c r="W1143" s="18">
        <v>1</v>
      </c>
      <c r="X1143" s="18">
        <v>1</v>
      </c>
      <c r="Y1143" s="18">
        <v>1</v>
      </c>
      <c r="Z1143" s="18">
        <v>1</v>
      </c>
      <c r="AA1143" s="18">
        <v>1</v>
      </c>
      <c r="AB1143" s="18">
        <v>1</v>
      </c>
      <c r="AC1143" s="316">
        <v>1</v>
      </c>
      <c r="AD1143" s="316">
        <v>0</v>
      </c>
      <c r="AE1143" s="302">
        <f t="shared" si="50"/>
        <v>0.875</v>
      </c>
      <c r="AF1143" s="176">
        <v>0</v>
      </c>
      <c r="AG1143" s="17">
        <v>0</v>
      </c>
      <c r="AH1143" s="176">
        <v>1</v>
      </c>
      <c r="AI1143" s="176">
        <v>1</v>
      </c>
      <c r="AJ1143" s="176">
        <v>1</v>
      </c>
      <c r="AK1143" s="177">
        <v>1</v>
      </c>
      <c r="AL1143" s="177">
        <v>1</v>
      </c>
      <c r="AM1143" s="147">
        <f t="shared" si="49"/>
        <v>2</v>
      </c>
      <c r="AN1143" s="18" t="s">
        <v>265</v>
      </c>
      <c r="AO1143" s="18" t="s">
        <v>350</v>
      </c>
      <c r="AP1143" s="18" t="s">
        <v>4948</v>
      </c>
    </row>
    <row r="1144" spans="1:43" s="18" customFormat="1" x14ac:dyDescent="0.3">
      <c r="A1144" s="228" t="s">
        <v>1451</v>
      </c>
      <c r="B1144" s="18" t="s">
        <v>4838</v>
      </c>
      <c r="C1144" s="228" t="s">
        <v>4841</v>
      </c>
      <c r="D1144" s="18" t="s">
        <v>2439</v>
      </c>
      <c r="E1144" s="228" t="s">
        <v>4842</v>
      </c>
      <c r="F1144" s="18" t="s">
        <v>4843</v>
      </c>
      <c r="G1144" s="228" t="s">
        <v>4844</v>
      </c>
      <c r="H1144" s="18" t="s">
        <v>4845</v>
      </c>
      <c r="I1144" s="228" t="s">
        <v>4914</v>
      </c>
      <c r="J1144" s="18" t="s">
        <v>4915</v>
      </c>
      <c r="K1144" s="228" t="s">
        <v>4945</v>
      </c>
      <c r="L1144" s="18" t="s">
        <v>4946</v>
      </c>
      <c r="P1144" s="16"/>
      <c r="Q1144" s="16"/>
      <c r="R1144" s="16"/>
      <c r="S1144" s="16"/>
      <c r="U1144" s="283" t="e">
        <v>#N/A</v>
      </c>
      <c r="V1144" s="18" t="s">
        <v>4949</v>
      </c>
      <c r="W1144" s="18">
        <v>1</v>
      </c>
      <c r="X1144" s="18">
        <v>0</v>
      </c>
      <c r="Y1144" s="18">
        <v>1</v>
      </c>
      <c r="Z1144" s="18">
        <v>1</v>
      </c>
      <c r="AA1144" s="18">
        <v>1</v>
      </c>
      <c r="AB1144" s="18">
        <v>0</v>
      </c>
      <c r="AC1144" s="316">
        <v>1</v>
      </c>
      <c r="AD1144" s="316">
        <v>0</v>
      </c>
      <c r="AE1144" s="302">
        <f t="shared" si="50"/>
        <v>0.625</v>
      </c>
      <c r="AF1144" s="176">
        <v>0</v>
      </c>
      <c r="AG1144" s="17">
        <v>0</v>
      </c>
      <c r="AH1144" s="176">
        <v>0</v>
      </c>
      <c r="AI1144" s="176">
        <v>0</v>
      </c>
      <c r="AJ1144" s="176">
        <v>0</v>
      </c>
      <c r="AK1144" s="177">
        <v>0</v>
      </c>
      <c r="AL1144" s="177">
        <v>0</v>
      </c>
      <c r="AM1144" s="147">
        <f t="shared" si="49"/>
        <v>0</v>
      </c>
      <c r="AN1144" s="18" t="s">
        <v>4855</v>
      </c>
      <c r="AO1144" s="18" t="e">
        <v>#N/A</v>
      </c>
      <c r="AP1144" s="18" t="s">
        <v>119</v>
      </c>
    </row>
    <row r="1145" spans="1:43" s="243" customFormat="1" x14ac:dyDescent="0.3">
      <c r="A1145" s="228" t="s">
        <v>1451</v>
      </c>
      <c r="B1145" s="18" t="s">
        <v>4838</v>
      </c>
      <c r="C1145" s="228" t="s">
        <v>4841</v>
      </c>
      <c r="D1145" s="14" t="s">
        <v>2439</v>
      </c>
      <c r="E1145" s="242" t="s">
        <v>4842</v>
      </c>
      <c r="F1145" s="14" t="s">
        <v>4843</v>
      </c>
      <c r="G1145" s="242" t="s">
        <v>4844</v>
      </c>
      <c r="H1145" s="14" t="s">
        <v>4845</v>
      </c>
      <c r="I1145" s="242" t="s">
        <v>4914</v>
      </c>
      <c r="J1145" s="14" t="s">
        <v>4915</v>
      </c>
      <c r="K1145" s="228" t="s">
        <v>4950</v>
      </c>
      <c r="L1145" s="18" t="s">
        <v>4951</v>
      </c>
      <c r="M1145" s="18" t="s">
        <v>4952</v>
      </c>
      <c r="N1145" s="18">
        <v>0</v>
      </c>
      <c r="O1145" s="18">
        <v>8</v>
      </c>
      <c r="P1145" s="16">
        <v>10</v>
      </c>
      <c r="Q1145" s="16">
        <v>12</v>
      </c>
      <c r="R1145" s="16">
        <v>14</v>
      </c>
      <c r="S1145" s="16">
        <v>16</v>
      </c>
      <c r="T1145" s="18" t="s">
        <v>3705</v>
      </c>
      <c r="U1145" s="283" t="s">
        <v>880</v>
      </c>
      <c r="AC1145" s="316">
        <v>0</v>
      </c>
      <c r="AD1145" s="316">
        <v>0</v>
      </c>
      <c r="AE1145" s="302">
        <f t="shared" si="50"/>
        <v>0</v>
      </c>
      <c r="AF1145" s="244"/>
      <c r="AG1145" s="17">
        <v>0</v>
      </c>
      <c r="AH1145" s="244"/>
      <c r="AI1145" s="244"/>
      <c r="AJ1145" s="244"/>
      <c r="AK1145" s="245"/>
      <c r="AL1145" s="245"/>
      <c r="AM1145" s="147">
        <f t="shared" si="49"/>
        <v>0</v>
      </c>
    </row>
    <row r="1146" spans="1:43" s="18" customFormat="1" x14ac:dyDescent="0.3">
      <c r="A1146" s="228" t="s">
        <v>1451</v>
      </c>
      <c r="B1146" s="18" t="s">
        <v>4838</v>
      </c>
      <c r="C1146" s="228" t="s">
        <v>4841</v>
      </c>
      <c r="D1146" s="18" t="s">
        <v>2439</v>
      </c>
      <c r="E1146" s="228" t="s">
        <v>4842</v>
      </c>
      <c r="F1146" s="18" t="s">
        <v>4843</v>
      </c>
      <c r="G1146" s="228" t="s">
        <v>4953</v>
      </c>
      <c r="H1146" s="18" t="s">
        <v>4954</v>
      </c>
      <c r="I1146" s="228" t="s">
        <v>4955</v>
      </c>
      <c r="J1146" s="18" t="s">
        <v>4956</v>
      </c>
      <c r="K1146" s="228" t="s">
        <v>4957</v>
      </c>
      <c r="L1146" s="18" t="s">
        <v>4958</v>
      </c>
      <c r="M1146" s="18" t="s">
        <v>4959</v>
      </c>
      <c r="N1146" s="18">
        <v>67</v>
      </c>
      <c r="O1146" s="18">
        <v>103</v>
      </c>
      <c r="P1146" s="16">
        <v>550</v>
      </c>
      <c r="Q1146" s="16">
        <v>500</v>
      </c>
      <c r="R1146" s="16">
        <v>400</v>
      </c>
      <c r="S1146" s="16">
        <v>100</v>
      </c>
      <c r="T1146" s="18" t="s">
        <v>509</v>
      </c>
      <c r="U1146" s="283" t="s">
        <v>880</v>
      </c>
      <c r="V1146" s="18" t="s">
        <v>4960</v>
      </c>
      <c r="W1146" s="18">
        <v>1</v>
      </c>
      <c r="X1146" s="18">
        <v>1</v>
      </c>
      <c r="Y1146" s="18">
        <v>1</v>
      </c>
      <c r="Z1146" s="18">
        <v>1</v>
      </c>
      <c r="AA1146" s="18">
        <v>1</v>
      </c>
      <c r="AB1146" s="18">
        <v>1</v>
      </c>
      <c r="AC1146" s="316">
        <v>1</v>
      </c>
      <c r="AD1146" s="316">
        <v>0</v>
      </c>
      <c r="AE1146" s="302">
        <f t="shared" si="50"/>
        <v>0.875</v>
      </c>
      <c r="AF1146" s="176">
        <v>1</v>
      </c>
      <c r="AG1146" s="17">
        <v>0</v>
      </c>
      <c r="AH1146" s="176">
        <v>0.2</v>
      </c>
      <c r="AI1146" s="176">
        <v>0.2</v>
      </c>
      <c r="AJ1146" s="176">
        <v>0.2</v>
      </c>
      <c r="AK1146" s="177">
        <v>0.2</v>
      </c>
      <c r="AL1146" s="177" t="s">
        <v>2526</v>
      </c>
      <c r="AM1146" s="147">
        <f t="shared" si="49"/>
        <v>0.2</v>
      </c>
      <c r="AN1146" s="18" t="s">
        <v>1392</v>
      </c>
      <c r="AO1146" s="18" t="s">
        <v>880</v>
      </c>
      <c r="AP1146" s="18" t="s">
        <v>4961</v>
      </c>
    </row>
    <row r="1147" spans="1:43" s="18" customFormat="1" x14ac:dyDescent="0.3">
      <c r="A1147" s="228" t="s">
        <v>1451</v>
      </c>
      <c r="B1147" s="18" t="s">
        <v>4838</v>
      </c>
      <c r="C1147" s="228" t="s">
        <v>4841</v>
      </c>
      <c r="D1147" s="18" t="s">
        <v>2439</v>
      </c>
      <c r="E1147" s="228" t="s">
        <v>4842</v>
      </c>
      <c r="F1147" s="18" t="s">
        <v>4843</v>
      </c>
      <c r="G1147" s="228" t="s">
        <v>4953</v>
      </c>
      <c r="H1147" s="18" t="s">
        <v>4954</v>
      </c>
      <c r="I1147" s="228" t="s">
        <v>4955</v>
      </c>
      <c r="J1147" s="18" t="s">
        <v>4956</v>
      </c>
      <c r="K1147" s="228" t="s">
        <v>4957</v>
      </c>
      <c r="L1147" s="18" t="s">
        <v>4958</v>
      </c>
      <c r="M1147" s="18" t="s">
        <v>4962</v>
      </c>
      <c r="N1147" s="18">
        <v>0</v>
      </c>
      <c r="O1147" s="18">
        <v>0</v>
      </c>
      <c r="P1147" s="16">
        <v>1</v>
      </c>
      <c r="Q1147" s="16">
        <v>0</v>
      </c>
      <c r="R1147" s="16">
        <v>0</v>
      </c>
      <c r="S1147" s="16">
        <v>0</v>
      </c>
      <c r="T1147" s="18" t="s">
        <v>1191</v>
      </c>
      <c r="U1147" s="283" t="e">
        <v>#N/A</v>
      </c>
      <c r="V1147" s="18" t="s">
        <v>4963</v>
      </c>
      <c r="W1147" s="18">
        <v>1</v>
      </c>
      <c r="X1147" s="18">
        <v>1</v>
      </c>
      <c r="Y1147" s="18">
        <v>1</v>
      </c>
      <c r="Z1147" s="18">
        <v>1</v>
      </c>
      <c r="AA1147" s="18">
        <v>1</v>
      </c>
      <c r="AB1147" s="18">
        <v>1</v>
      </c>
      <c r="AC1147" s="316">
        <v>1</v>
      </c>
      <c r="AD1147" s="316">
        <v>1</v>
      </c>
      <c r="AE1147" s="302">
        <f t="shared" si="50"/>
        <v>1</v>
      </c>
      <c r="AF1147" s="176">
        <v>1</v>
      </c>
      <c r="AG1147" s="17">
        <v>0</v>
      </c>
      <c r="AH1147" s="176" t="s">
        <v>2526</v>
      </c>
      <c r="AI1147" s="176" t="s">
        <v>2526</v>
      </c>
      <c r="AJ1147" s="176" t="s">
        <v>2526</v>
      </c>
      <c r="AK1147" s="177" t="s">
        <v>2526</v>
      </c>
      <c r="AL1147" s="177" t="s">
        <v>2526</v>
      </c>
      <c r="AM1147" s="147">
        <f t="shared" si="49"/>
        <v>0</v>
      </c>
      <c r="AN1147" s="18" t="s">
        <v>921</v>
      </c>
      <c r="AO1147" s="18" t="s">
        <v>880</v>
      </c>
      <c r="AP1147" s="228" t="s">
        <v>119</v>
      </c>
    </row>
    <row r="1148" spans="1:43" s="18" customFormat="1" x14ac:dyDescent="0.3">
      <c r="A1148" s="228" t="s">
        <v>1451</v>
      </c>
      <c r="B1148" s="18" t="s">
        <v>4838</v>
      </c>
      <c r="C1148" s="228" t="s">
        <v>4841</v>
      </c>
      <c r="D1148" s="18" t="s">
        <v>2439</v>
      </c>
      <c r="E1148" s="228" t="s">
        <v>4842</v>
      </c>
      <c r="F1148" s="18" t="s">
        <v>4843</v>
      </c>
      <c r="G1148" s="228" t="s">
        <v>4953</v>
      </c>
      <c r="H1148" s="18" t="s">
        <v>4954</v>
      </c>
      <c r="I1148" s="228" t="s">
        <v>4955</v>
      </c>
      <c r="J1148" s="18" t="s">
        <v>4956</v>
      </c>
      <c r="K1148" s="228" t="s">
        <v>4957</v>
      </c>
      <c r="L1148" s="18" t="s">
        <v>4958</v>
      </c>
      <c r="P1148" s="16"/>
      <c r="Q1148" s="16"/>
      <c r="R1148" s="16"/>
      <c r="S1148" s="16"/>
      <c r="U1148" s="283" t="e">
        <v>#N/A</v>
      </c>
      <c r="V1148" s="18" t="s">
        <v>4964</v>
      </c>
      <c r="W1148" s="18">
        <v>1</v>
      </c>
      <c r="X1148" s="18">
        <v>1</v>
      </c>
      <c r="Y1148" s="18">
        <v>1</v>
      </c>
      <c r="Z1148" s="18">
        <v>1</v>
      </c>
      <c r="AA1148" s="18">
        <v>1</v>
      </c>
      <c r="AB1148" s="18">
        <v>1</v>
      </c>
      <c r="AC1148" s="316">
        <v>1</v>
      </c>
      <c r="AD1148" s="316">
        <v>1</v>
      </c>
      <c r="AE1148" s="302">
        <f t="shared" si="50"/>
        <v>1</v>
      </c>
      <c r="AF1148" s="176">
        <v>1</v>
      </c>
      <c r="AG1148" s="17">
        <v>0</v>
      </c>
      <c r="AH1148" s="176">
        <v>51.5</v>
      </c>
      <c r="AI1148" s="176">
        <v>51.5</v>
      </c>
      <c r="AJ1148" s="176">
        <v>75</v>
      </c>
      <c r="AK1148" s="237">
        <v>50</v>
      </c>
      <c r="AL1148" s="237">
        <v>50</v>
      </c>
      <c r="AM1148" s="147">
        <f t="shared" si="49"/>
        <v>100</v>
      </c>
      <c r="AN1148" s="18" t="s">
        <v>921</v>
      </c>
      <c r="AO1148" s="18" t="s">
        <v>880</v>
      </c>
      <c r="AP1148" s="18" t="s">
        <v>119</v>
      </c>
    </row>
    <row r="1149" spans="1:43" s="18" customFormat="1" x14ac:dyDescent="0.3">
      <c r="A1149" s="228" t="s">
        <v>1451</v>
      </c>
      <c r="B1149" s="18" t="s">
        <v>4838</v>
      </c>
      <c r="C1149" s="228" t="s">
        <v>4841</v>
      </c>
      <c r="D1149" s="18" t="s">
        <v>2439</v>
      </c>
      <c r="E1149" s="228" t="s">
        <v>4842</v>
      </c>
      <c r="F1149" s="18" t="s">
        <v>4843</v>
      </c>
      <c r="G1149" s="228" t="s">
        <v>4953</v>
      </c>
      <c r="H1149" s="18" t="s">
        <v>4954</v>
      </c>
      <c r="I1149" s="228" t="s">
        <v>4965</v>
      </c>
      <c r="J1149" s="18" t="s">
        <v>4966</v>
      </c>
      <c r="K1149" s="228" t="s">
        <v>4967</v>
      </c>
      <c r="L1149" s="18" t="s">
        <v>4968</v>
      </c>
      <c r="M1149" s="18" t="s">
        <v>4969</v>
      </c>
      <c r="N1149" s="18">
        <v>0</v>
      </c>
      <c r="O1149" s="18">
        <v>0</v>
      </c>
      <c r="P1149" s="16">
        <v>0</v>
      </c>
      <c r="Q1149" s="16">
        <v>1</v>
      </c>
      <c r="R1149" s="16">
        <v>0</v>
      </c>
      <c r="S1149" s="16">
        <v>0</v>
      </c>
      <c r="T1149" s="18" t="s">
        <v>1191</v>
      </c>
      <c r="U1149" s="283" t="e">
        <v>#N/A</v>
      </c>
      <c r="V1149" s="18" t="s">
        <v>4970</v>
      </c>
      <c r="W1149" s="18">
        <v>1</v>
      </c>
      <c r="X1149" s="18">
        <v>1</v>
      </c>
      <c r="Y1149" s="18">
        <v>1</v>
      </c>
      <c r="Z1149" s="18">
        <v>1</v>
      </c>
      <c r="AA1149" s="18">
        <v>1</v>
      </c>
      <c r="AB1149" s="18">
        <v>1</v>
      </c>
      <c r="AC1149" s="316">
        <v>0</v>
      </c>
      <c r="AD1149" s="316">
        <v>0</v>
      </c>
      <c r="AE1149" s="302">
        <f t="shared" si="50"/>
        <v>0.75</v>
      </c>
      <c r="AF1149" s="176">
        <v>1</v>
      </c>
      <c r="AG1149" s="17">
        <v>0</v>
      </c>
      <c r="AH1149" s="176" t="s">
        <v>2526</v>
      </c>
      <c r="AI1149" s="176">
        <v>0.25</v>
      </c>
      <c r="AJ1149" s="176">
        <v>0.25</v>
      </c>
      <c r="AK1149" s="177" t="s">
        <v>2526</v>
      </c>
      <c r="AL1149" s="177" t="s">
        <v>2526</v>
      </c>
      <c r="AM1149" s="147">
        <f t="shared" si="49"/>
        <v>0</v>
      </c>
      <c r="AN1149" s="18" t="s">
        <v>921</v>
      </c>
      <c r="AO1149" s="18" t="s">
        <v>880</v>
      </c>
      <c r="AP1149" s="18" t="s">
        <v>4971</v>
      </c>
    </row>
    <row r="1150" spans="1:43" s="18" customFormat="1" x14ac:dyDescent="0.3">
      <c r="A1150" s="228" t="s">
        <v>1451</v>
      </c>
      <c r="B1150" s="18" t="s">
        <v>4838</v>
      </c>
      <c r="C1150" s="228" t="s">
        <v>4841</v>
      </c>
      <c r="D1150" s="18" t="s">
        <v>2439</v>
      </c>
      <c r="E1150" s="228" t="s">
        <v>4842</v>
      </c>
      <c r="F1150" s="18" t="s">
        <v>4843</v>
      </c>
      <c r="G1150" s="228" t="s">
        <v>4953</v>
      </c>
      <c r="H1150" s="18" t="s">
        <v>4954</v>
      </c>
      <c r="I1150" s="228" t="s">
        <v>4972</v>
      </c>
      <c r="J1150" s="18" t="s">
        <v>4973</v>
      </c>
      <c r="K1150" s="228" t="s">
        <v>4974</v>
      </c>
      <c r="L1150" s="18" t="s">
        <v>4975</v>
      </c>
      <c r="M1150" s="18" t="s">
        <v>4976</v>
      </c>
      <c r="N1150" s="162" t="s">
        <v>271</v>
      </c>
      <c r="O1150" s="162"/>
      <c r="P1150" s="224"/>
      <c r="Q1150" s="224"/>
      <c r="R1150" s="224"/>
      <c r="S1150" s="224"/>
      <c r="T1150" s="18" t="s">
        <v>3705</v>
      </c>
      <c r="U1150" s="283" t="s">
        <v>880</v>
      </c>
      <c r="V1150" s="18" t="s">
        <v>4977</v>
      </c>
      <c r="AC1150" s="316">
        <v>0</v>
      </c>
      <c r="AD1150" s="316">
        <v>0</v>
      </c>
      <c r="AE1150" s="302">
        <f t="shared" si="50"/>
        <v>0</v>
      </c>
      <c r="AF1150" s="176"/>
      <c r="AG1150" s="17">
        <v>0</v>
      </c>
      <c r="AH1150" s="176"/>
      <c r="AI1150" s="176"/>
      <c r="AJ1150" s="176"/>
      <c r="AK1150" s="177"/>
      <c r="AL1150" s="177"/>
      <c r="AM1150" s="147">
        <f t="shared" si="49"/>
        <v>0</v>
      </c>
      <c r="AN1150" s="18" t="s">
        <v>921</v>
      </c>
      <c r="AO1150" s="18" t="s">
        <v>880</v>
      </c>
      <c r="AP1150" s="157" t="s">
        <v>921</v>
      </c>
    </row>
    <row r="1151" spans="1:43" s="18" customFormat="1" x14ac:dyDescent="0.3">
      <c r="A1151" s="228" t="s">
        <v>1451</v>
      </c>
      <c r="B1151" s="18" t="s">
        <v>4838</v>
      </c>
      <c r="C1151" s="228" t="s">
        <v>4841</v>
      </c>
      <c r="D1151" s="18" t="s">
        <v>2439</v>
      </c>
      <c r="E1151" s="228" t="s">
        <v>4842</v>
      </c>
      <c r="F1151" s="18" t="s">
        <v>4843</v>
      </c>
      <c r="G1151" s="228" t="s">
        <v>4953</v>
      </c>
      <c r="H1151" s="18" t="s">
        <v>4954</v>
      </c>
      <c r="I1151" s="228" t="s">
        <v>4978</v>
      </c>
      <c r="J1151" s="18" t="s">
        <v>4979</v>
      </c>
      <c r="K1151" s="228" t="s">
        <v>4980</v>
      </c>
      <c r="L1151" s="18" t="s">
        <v>4981</v>
      </c>
      <c r="M1151" s="18" t="s">
        <v>4982</v>
      </c>
      <c r="N1151" s="18">
        <v>0</v>
      </c>
      <c r="O1151" s="18">
        <v>0</v>
      </c>
      <c r="P1151" s="16">
        <v>1</v>
      </c>
      <c r="Q1151" s="16">
        <v>0</v>
      </c>
      <c r="R1151" s="16">
        <v>0</v>
      </c>
      <c r="S1151" s="16">
        <v>0</v>
      </c>
      <c r="T1151" s="18" t="s">
        <v>1191</v>
      </c>
      <c r="U1151" s="283" t="e">
        <v>#N/A</v>
      </c>
      <c r="V1151" s="18" t="s">
        <v>4983</v>
      </c>
      <c r="W1151" s="18">
        <v>0</v>
      </c>
      <c r="X1151" s="18">
        <v>0</v>
      </c>
      <c r="Y1151" s="18">
        <v>0</v>
      </c>
      <c r="Z1151" s="18">
        <v>1</v>
      </c>
      <c r="AA1151" s="18">
        <v>0</v>
      </c>
      <c r="AB1151" s="18">
        <v>1</v>
      </c>
      <c r="AC1151" s="316">
        <v>1</v>
      </c>
      <c r="AD1151" s="316">
        <v>0</v>
      </c>
      <c r="AE1151" s="302">
        <f t="shared" si="50"/>
        <v>0.375</v>
      </c>
      <c r="AF1151" s="176"/>
      <c r="AG1151" s="17">
        <v>0</v>
      </c>
      <c r="AH1151" s="176" t="s">
        <v>2526</v>
      </c>
      <c r="AI1151" s="176" t="s">
        <v>2526</v>
      </c>
      <c r="AJ1151" s="176">
        <v>1</v>
      </c>
      <c r="AK1151" s="177" t="s">
        <v>2526</v>
      </c>
      <c r="AL1151" s="177" t="s">
        <v>2526</v>
      </c>
      <c r="AM1151" s="147">
        <f t="shared" si="49"/>
        <v>0</v>
      </c>
      <c r="AN1151" s="18" t="s">
        <v>921</v>
      </c>
      <c r="AO1151" s="18" t="s">
        <v>880</v>
      </c>
      <c r="AP1151" s="18" t="s">
        <v>4984</v>
      </c>
    </row>
    <row r="1152" spans="1:43" s="18" customFormat="1" x14ac:dyDescent="0.3">
      <c r="A1152" s="228" t="s">
        <v>1451</v>
      </c>
      <c r="B1152" s="18" t="s">
        <v>4838</v>
      </c>
      <c r="C1152" s="228" t="s">
        <v>4841</v>
      </c>
      <c r="D1152" s="18" t="s">
        <v>2439</v>
      </c>
      <c r="E1152" s="228" t="s">
        <v>4842</v>
      </c>
      <c r="F1152" s="18" t="s">
        <v>4843</v>
      </c>
      <c r="G1152" s="228" t="s">
        <v>4953</v>
      </c>
      <c r="H1152" s="18" t="s">
        <v>4954</v>
      </c>
      <c r="I1152" s="228" t="s">
        <v>4978</v>
      </c>
      <c r="J1152" s="18" t="s">
        <v>4979</v>
      </c>
      <c r="K1152" s="228" t="s">
        <v>4985</v>
      </c>
      <c r="L1152" s="18" t="s">
        <v>4986</v>
      </c>
      <c r="M1152" s="18" t="s">
        <v>4987</v>
      </c>
      <c r="N1152" s="18">
        <v>0</v>
      </c>
      <c r="O1152" s="18">
        <v>1</v>
      </c>
      <c r="P1152" s="16">
        <v>1</v>
      </c>
      <c r="Q1152" s="16">
        <v>1</v>
      </c>
      <c r="R1152" s="16">
        <v>1</v>
      </c>
      <c r="S1152" s="16">
        <v>1</v>
      </c>
      <c r="T1152" s="18" t="s">
        <v>1283</v>
      </c>
      <c r="U1152" s="283" t="s">
        <v>880</v>
      </c>
      <c r="V1152" s="18" t="s">
        <v>4988</v>
      </c>
      <c r="W1152" s="18">
        <v>1</v>
      </c>
      <c r="X1152" s="18">
        <v>1</v>
      </c>
      <c r="Y1152" s="18">
        <v>0</v>
      </c>
      <c r="Z1152" s="18">
        <v>1</v>
      </c>
      <c r="AA1152" s="18">
        <v>1</v>
      </c>
      <c r="AB1152" s="18">
        <v>1</v>
      </c>
      <c r="AC1152" s="316">
        <v>0</v>
      </c>
      <c r="AD1152" s="316">
        <v>1</v>
      </c>
      <c r="AE1152" s="302">
        <f t="shared" si="50"/>
        <v>0.75</v>
      </c>
      <c r="AF1152" s="176">
        <v>0</v>
      </c>
      <c r="AG1152" s="17">
        <v>0</v>
      </c>
      <c r="AH1152" s="176">
        <v>0.72</v>
      </c>
      <c r="AI1152" s="176">
        <v>0.79</v>
      </c>
      <c r="AJ1152" s="176">
        <v>0.79</v>
      </c>
      <c r="AK1152" s="237">
        <v>0.85</v>
      </c>
      <c r="AL1152" s="177">
        <v>0.87</v>
      </c>
      <c r="AM1152" s="147">
        <f t="shared" si="49"/>
        <v>1.72</v>
      </c>
      <c r="AN1152" s="18" t="s">
        <v>1285</v>
      </c>
      <c r="AO1152" s="18" t="s">
        <v>880</v>
      </c>
      <c r="AP1152" s="18" t="s">
        <v>921</v>
      </c>
    </row>
    <row r="1153" spans="1:43" s="18" customFormat="1" x14ac:dyDescent="0.3">
      <c r="A1153" s="228" t="s">
        <v>1451</v>
      </c>
      <c r="B1153" s="18" t="s">
        <v>4838</v>
      </c>
      <c r="C1153" s="228" t="s">
        <v>4841</v>
      </c>
      <c r="D1153" s="18" t="s">
        <v>2439</v>
      </c>
      <c r="E1153" s="228" t="s">
        <v>4842</v>
      </c>
      <c r="F1153" s="18" t="s">
        <v>4843</v>
      </c>
      <c r="G1153" s="228" t="s">
        <v>4953</v>
      </c>
      <c r="H1153" s="18" t="s">
        <v>4954</v>
      </c>
      <c r="I1153" s="228" t="s">
        <v>4978</v>
      </c>
      <c r="J1153" s="18" t="s">
        <v>4979</v>
      </c>
      <c r="K1153" s="228" t="s">
        <v>4985</v>
      </c>
      <c r="L1153" s="18" t="s">
        <v>4986</v>
      </c>
      <c r="M1153" s="18" t="s">
        <v>4989</v>
      </c>
      <c r="N1153" s="18">
        <v>0</v>
      </c>
      <c r="O1153" s="18">
        <v>5</v>
      </c>
      <c r="P1153" s="16">
        <v>10</v>
      </c>
      <c r="Q1153" s="16">
        <v>12</v>
      </c>
      <c r="R1153" s="16">
        <v>15</v>
      </c>
      <c r="S1153" s="16">
        <v>25</v>
      </c>
      <c r="T1153" s="18" t="s">
        <v>1283</v>
      </c>
      <c r="U1153" s="283" t="s">
        <v>880</v>
      </c>
      <c r="V1153" s="18" t="s">
        <v>4990</v>
      </c>
      <c r="W1153" s="18">
        <v>0</v>
      </c>
      <c r="X1153" s="18">
        <v>0</v>
      </c>
      <c r="Y1153" s="18">
        <v>0</v>
      </c>
      <c r="Z1153" s="18">
        <v>0</v>
      </c>
      <c r="AA1153" s="18">
        <v>0</v>
      </c>
      <c r="AB1153" s="18">
        <v>0</v>
      </c>
      <c r="AC1153" s="316">
        <v>0</v>
      </c>
      <c r="AD1153" s="316">
        <v>0</v>
      </c>
      <c r="AE1153" s="302">
        <f t="shared" si="50"/>
        <v>0</v>
      </c>
      <c r="AF1153" s="176"/>
      <c r="AG1153" s="17">
        <v>0</v>
      </c>
      <c r="AH1153" s="176">
        <v>0.2</v>
      </c>
      <c r="AI1153" s="176">
        <v>0.2</v>
      </c>
      <c r="AJ1153" s="176">
        <v>0.3</v>
      </c>
      <c r="AK1153" s="246">
        <v>0</v>
      </c>
      <c r="AL1153" s="246">
        <v>0</v>
      </c>
      <c r="AM1153" s="147">
        <f t="shared" si="49"/>
        <v>0</v>
      </c>
      <c r="AN1153" s="18" t="s">
        <v>1285</v>
      </c>
      <c r="AO1153" s="18" t="s">
        <v>880</v>
      </c>
      <c r="AP1153" s="18" t="s">
        <v>921</v>
      </c>
    </row>
    <row r="1154" spans="1:43" s="18" customFormat="1" x14ac:dyDescent="0.3">
      <c r="A1154" s="228" t="s">
        <v>1451</v>
      </c>
      <c r="B1154" s="18" t="s">
        <v>4838</v>
      </c>
      <c r="C1154" s="228" t="s">
        <v>4841</v>
      </c>
      <c r="D1154" s="18" t="s">
        <v>2439</v>
      </c>
      <c r="E1154" s="228" t="s">
        <v>4842</v>
      </c>
      <c r="F1154" s="18" t="s">
        <v>4843</v>
      </c>
      <c r="G1154" s="228" t="s">
        <v>4953</v>
      </c>
      <c r="H1154" s="18" t="s">
        <v>4954</v>
      </c>
      <c r="I1154" s="228" t="s">
        <v>4978</v>
      </c>
      <c r="J1154" s="18" t="s">
        <v>4979</v>
      </c>
      <c r="K1154" s="228" t="s">
        <v>4991</v>
      </c>
      <c r="L1154" s="18" t="s">
        <v>4992</v>
      </c>
      <c r="M1154" s="18" t="s">
        <v>4993</v>
      </c>
      <c r="N1154" s="18">
        <v>0.01</v>
      </c>
      <c r="O1154" s="18">
        <v>0.01</v>
      </c>
      <c r="P1154" s="16">
        <v>0.2</v>
      </c>
      <c r="Q1154" s="16">
        <v>0.2</v>
      </c>
      <c r="R1154" s="16">
        <v>0.2</v>
      </c>
      <c r="S1154" s="16">
        <v>0.2</v>
      </c>
      <c r="T1154" s="18" t="s">
        <v>1283</v>
      </c>
      <c r="U1154" s="283" t="s">
        <v>880</v>
      </c>
      <c r="V1154" s="18" t="s">
        <v>4994</v>
      </c>
      <c r="W1154" s="18">
        <v>1</v>
      </c>
      <c r="X1154" s="18">
        <v>0</v>
      </c>
      <c r="Y1154" s="18">
        <v>1</v>
      </c>
      <c r="Z1154" s="18">
        <v>1</v>
      </c>
      <c r="AA1154" s="18">
        <v>1</v>
      </c>
      <c r="AB1154" s="18">
        <v>1</v>
      </c>
      <c r="AC1154" s="316">
        <v>1</v>
      </c>
      <c r="AD1154" s="316">
        <v>0</v>
      </c>
      <c r="AE1154" s="302">
        <f t="shared" si="50"/>
        <v>0.75</v>
      </c>
      <c r="AF1154" s="176"/>
      <c r="AG1154" s="17">
        <v>0</v>
      </c>
      <c r="AH1154" s="176">
        <v>0.12</v>
      </c>
      <c r="AI1154" s="176">
        <v>0.2</v>
      </c>
      <c r="AJ1154" s="239">
        <v>0.25</v>
      </c>
      <c r="AK1154" s="238">
        <v>0.4</v>
      </c>
      <c r="AL1154" s="177">
        <v>0.5</v>
      </c>
      <c r="AM1154" s="147">
        <f t="shared" si="49"/>
        <v>0.9</v>
      </c>
      <c r="AN1154" s="18" t="s">
        <v>1285</v>
      </c>
      <c r="AO1154" s="18" t="s">
        <v>880</v>
      </c>
      <c r="AP1154" s="157" t="s">
        <v>921</v>
      </c>
      <c r="AQ1154" s="157"/>
    </row>
    <row r="1155" spans="1:43" s="18" customFormat="1" x14ac:dyDescent="0.3">
      <c r="A1155" s="228" t="s">
        <v>1451</v>
      </c>
      <c r="B1155" s="18" t="s">
        <v>4838</v>
      </c>
      <c r="C1155" s="228" t="s">
        <v>4841</v>
      </c>
      <c r="D1155" s="18" t="s">
        <v>2439</v>
      </c>
      <c r="E1155" s="228" t="s">
        <v>4842</v>
      </c>
      <c r="F1155" s="18" t="s">
        <v>4843</v>
      </c>
      <c r="G1155" s="228" t="s">
        <v>4953</v>
      </c>
      <c r="H1155" s="18" t="s">
        <v>4954</v>
      </c>
      <c r="I1155" s="228" t="s">
        <v>4978</v>
      </c>
      <c r="J1155" s="18" t="s">
        <v>4979</v>
      </c>
      <c r="K1155" s="228" t="s">
        <v>4991</v>
      </c>
      <c r="L1155" s="18" t="s">
        <v>4992</v>
      </c>
      <c r="M1155" s="18" t="s">
        <v>4995</v>
      </c>
      <c r="N1155" s="18">
        <v>0.26</v>
      </c>
      <c r="O1155" s="18">
        <v>0.25</v>
      </c>
      <c r="P1155" s="16">
        <v>0.3</v>
      </c>
      <c r="Q1155" s="16">
        <v>0.4</v>
      </c>
      <c r="R1155" s="16">
        <v>0.5</v>
      </c>
      <c r="S1155" s="16">
        <v>0.5</v>
      </c>
      <c r="T1155" s="18" t="s">
        <v>1283</v>
      </c>
      <c r="U1155" s="283" t="s">
        <v>880</v>
      </c>
      <c r="V1155" s="18" t="s">
        <v>4996</v>
      </c>
      <c r="W1155" s="18">
        <v>1</v>
      </c>
      <c r="X1155" s="18">
        <v>1</v>
      </c>
      <c r="Y1155" s="18">
        <v>0</v>
      </c>
      <c r="Z1155" s="18">
        <v>1</v>
      </c>
      <c r="AA1155" s="18">
        <v>1</v>
      </c>
      <c r="AB1155" s="18">
        <v>1</v>
      </c>
      <c r="AC1155" s="316">
        <v>1</v>
      </c>
      <c r="AD1155" s="316">
        <v>0</v>
      </c>
      <c r="AE1155" s="302">
        <f t="shared" si="50"/>
        <v>0.75</v>
      </c>
      <c r="AF1155" s="176"/>
      <c r="AG1155" s="17">
        <v>0</v>
      </c>
      <c r="AH1155" s="176">
        <v>0.3</v>
      </c>
      <c r="AI1155" s="176">
        <v>0.4</v>
      </c>
      <c r="AJ1155" s="239">
        <v>0.4</v>
      </c>
      <c r="AK1155" s="238">
        <v>0.5</v>
      </c>
      <c r="AL1155" s="177">
        <v>0.8</v>
      </c>
      <c r="AM1155" s="147">
        <f t="shared" si="49"/>
        <v>1.3</v>
      </c>
      <c r="AN1155" s="18" t="s">
        <v>1285</v>
      </c>
      <c r="AO1155" s="18" t="s">
        <v>880</v>
      </c>
      <c r="AP1155" s="157" t="s">
        <v>921</v>
      </c>
      <c r="AQ1155" s="157"/>
    </row>
    <row r="1156" spans="1:43" s="18" customFormat="1" x14ac:dyDescent="0.3">
      <c r="A1156" s="228" t="s">
        <v>1451</v>
      </c>
      <c r="B1156" s="18" t="s">
        <v>4838</v>
      </c>
      <c r="C1156" s="228" t="s">
        <v>4841</v>
      </c>
      <c r="D1156" s="18" t="s">
        <v>2439</v>
      </c>
      <c r="E1156" s="228" t="s">
        <v>4842</v>
      </c>
      <c r="F1156" s="18" t="s">
        <v>4843</v>
      </c>
      <c r="G1156" s="228" t="s">
        <v>4953</v>
      </c>
      <c r="H1156" s="18" t="s">
        <v>4954</v>
      </c>
      <c r="I1156" s="228" t="s">
        <v>4978</v>
      </c>
      <c r="J1156" s="18" t="s">
        <v>4979</v>
      </c>
      <c r="K1156" s="228" t="s">
        <v>4991</v>
      </c>
      <c r="L1156" s="18" t="s">
        <v>4992</v>
      </c>
      <c r="M1156" s="18" t="s">
        <v>4997</v>
      </c>
      <c r="N1156" s="18">
        <v>0.14000000000000001</v>
      </c>
      <c r="O1156" s="18">
        <v>0.15</v>
      </c>
      <c r="P1156" s="16">
        <v>0.16</v>
      </c>
      <c r="Q1156" s="16">
        <v>0.18</v>
      </c>
      <c r="R1156" s="16">
        <v>0.19</v>
      </c>
      <c r="S1156" s="16">
        <v>0.2</v>
      </c>
      <c r="T1156" s="18" t="s">
        <v>4998</v>
      </c>
      <c r="U1156" s="283" t="e">
        <v>#N/A</v>
      </c>
      <c r="V1156" s="18" t="s">
        <v>4999</v>
      </c>
      <c r="W1156" s="18">
        <v>1</v>
      </c>
      <c r="X1156" s="18">
        <v>0</v>
      </c>
      <c r="Y1156" s="18">
        <v>0</v>
      </c>
      <c r="Z1156" s="18">
        <v>1</v>
      </c>
      <c r="AA1156" s="18">
        <v>1</v>
      </c>
      <c r="AB1156" s="18">
        <v>1</v>
      </c>
      <c r="AC1156" s="316">
        <v>1</v>
      </c>
      <c r="AD1156" s="316">
        <v>1</v>
      </c>
      <c r="AE1156" s="302">
        <f t="shared" si="50"/>
        <v>0.75</v>
      </c>
      <c r="AF1156" s="176">
        <v>0</v>
      </c>
      <c r="AG1156" s="17">
        <v>0</v>
      </c>
      <c r="AH1156" s="176">
        <v>0</v>
      </c>
      <c r="AI1156" s="239">
        <v>0.1</v>
      </c>
      <c r="AJ1156" s="239" t="s">
        <v>2526</v>
      </c>
      <c r="AK1156" s="177" t="s">
        <v>2526</v>
      </c>
      <c r="AL1156" s="177" t="s">
        <v>2526</v>
      </c>
      <c r="AM1156" s="147">
        <f t="shared" si="49"/>
        <v>0</v>
      </c>
      <c r="AN1156" s="18" t="s">
        <v>5000</v>
      </c>
      <c r="AO1156" s="18" t="s">
        <v>880</v>
      </c>
      <c r="AP1156" s="157" t="s">
        <v>921</v>
      </c>
      <c r="AQ1156" s="157"/>
    </row>
    <row r="1157" spans="1:43" s="18" customFormat="1" x14ac:dyDescent="0.3">
      <c r="A1157" s="228" t="s">
        <v>1451</v>
      </c>
      <c r="B1157" s="18" t="s">
        <v>4838</v>
      </c>
      <c r="C1157" s="228" t="s">
        <v>4841</v>
      </c>
      <c r="D1157" s="18" t="s">
        <v>2439</v>
      </c>
      <c r="E1157" s="228" t="s">
        <v>4842</v>
      </c>
      <c r="F1157" s="18" t="s">
        <v>4843</v>
      </c>
      <c r="G1157" s="228" t="s">
        <v>4953</v>
      </c>
      <c r="H1157" s="18" t="s">
        <v>4954</v>
      </c>
      <c r="I1157" s="228" t="s">
        <v>4978</v>
      </c>
      <c r="J1157" s="18" t="s">
        <v>4979</v>
      </c>
      <c r="K1157" s="228" t="s">
        <v>4991</v>
      </c>
      <c r="L1157" s="18" t="s">
        <v>4992</v>
      </c>
      <c r="M1157" s="18" t="s">
        <v>5001</v>
      </c>
      <c r="N1157" s="18">
        <v>1.66E-2</v>
      </c>
      <c r="O1157" s="18">
        <v>1.46E-2</v>
      </c>
      <c r="P1157" s="16">
        <v>1.26E-2</v>
      </c>
      <c r="Q1157" s="16">
        <v>1.06E-2</v>
      </c>
      <c r="R1157" s="16">
        <v>8.6E-3</v>
      </c>
      <c r="S1157" s="16">
        <v>6.6E-3</v>
      </c>
      <c r="T1157" s="18" t="s">
        <v>4998</v>
      </c>
      <c r="U1157" s="283" t="e">
        <v>#N/A</v>
      </c>
      <c r="V1157" s="18" t="s">
        <v>5002</v>
      </c>
      <c r="W1157" s="18">
        <v>1</v>
      </c>
      <c r="X1157" s="18">
        <v>0</v>
      </c>
      <c r="Y1157" s="18">
        <v>0</v>
      </c>
      <c r="Z1157" s="18">
        <v>1</v>
      </c>
      <c r="AA1157" s="18">
        <v>1</v>
      </c>
      <c r="AB1157" s="18">
        <v>1</v>
      </c>
      <c r="AC1157" s="316">
        <v>1</v>
      </c>
      <c r="AD1157" s="316">
        <v>1</v>
      </c>
      <c r="AE1157" s="302">
        <f t="shared" si="50"/>
        <v>0.75</v>
      </c>
      <c r="AF1157" s="176">
        <v>0</v>
      </c>
      <c r="AG1157" s="17">
        <v>0</v>
      </c>
      <c r="AH1157" s="176" t="s">
        <v>2526</v>
      </c>
      <c r="AI1157" s="176" t="s">
        <v>2526</v>
      </c>
      <c r="AJ1157" s="176" t="s">
        <v>2526</v>
      </c>
      <c r="AK1157" s="177" t="s">
        <v>2526</v>
      </c>
      <c r="AL1157" s="177" t="s">
        <v>2526</v>
      </c>
      <c r="AM1157" s="147">
        <f t="shared" si="49"/>
        <v>0</v>
      </c>
      <c r="AN1157" s="18" t="s">
        <v>5000</v>
      </c>
      <c r="AO1157" s="18" t="s">
        <v>880</v>
      </c>
      <c r="AP1157" s="18" t="s">
        <v>921</v>
      </c>
    </row>
    <row r="1158" spans="1:43" s="18" customFormat="1" x14ac:dyDescent="0.3">
      <c r="A1158" s="228" t="s">
        <v>1451</v>
      </c>
      <c r="B1158" s="18" t="s">
        <v>4838</v>
      </c>
      <c r="C1158" s="228" t="s">
        <v>4841</v>
      </c>
      <c r="D1158" s="18" t="s">
        <v>2439</v>
      </c>
      <c r="E1158" s="228" t="s">
        <v>4842</v>
      </c>
      <c r="F1158" s="18" t="s">
        <v>4843</v>
      </c>
      <c r="G1158" s="228" t="s">
        <v>4953</v>
      </c>
      <c r="H1158" s="18" t="s">
        <v>4954</v>
      </c>
      <c r="I1158" s="228" t="s">
        <v>4978</v>
      </c>
      <c r="J1158" s="18" t="s">
        <v>4979</v>
      </c>
      <c r="K1158" s="228" t="s">
        <v>5003</v>
      </c>
      <c r="L1158" s="18" t="s">
        <v>5004</v>
      </c>
      <c r="M1158" s="18" t="s">
        <v>5001</v>
      </c>
      <c r="N1158" s="18">
        <v>0</v>
      </c>
      <c r="O1158" s="18">
        <v>0</v>
      </c>
      <c r="P1158" s="16">
        <v>0</v>
      </c>
      <c r="Q1158" s="16">
        <v>0</v>
      </c>
      <c r="R1158" s="16">
        <v>0</v>
      </c>
      <c r="S1158" s="16">
        <v>0</v>
      </c>
      <c r="T1158" s="18" t="s">
        <v>4998</v>
      </c>
      <c r="U1158" s="283" t="e">
        <v>#N/A</v>
      </c>
      <c r="V1158" s="18" t="s">
        <v>5005</v>
      </c>
      <c r="W1158" s="18">
        <v>1</v>
      </c>
      <c r="X1158" s="18">
        <v>0</v>
      </c>
      <c r="Y1158" s="18">
        <v>0</v>
      </c>
      <c r="Z1158" s="18">
        <v>1</v>
      </c>
      <c r="AA1158" s="18">
        <v>1</v>
      </c>
      <c r="AB1158" s="18">
        <v>1</v>
      </c>
      <c r="AC1158" s="316">
        <v>1</v>
      </c>
      <c r="AD1158" s="316">
        <v>1</v>
      </c>
      <c r="AE1158" s="302">
        <f t="shared" si="50"/>
        <v>0.75</v>
      </c>
      <c r="AF1158" s="176"/>
      <c r="AG1158" s="17">
        <v>0</v>
      </c>
      <c r="AH1158" s="176" t="s">
        <v>2526</v>
      </c>
      <c r="AI1158" s="239" t="s">
        <v>2526</v>
      </c>
      <c r="AJ1158" s="239" t="s">
        <v>2526</v>
      </c>
      <c r="AK1158" s="238" t="s">
        <v>2526</v>
      </c>
      <c r="AL1158" s="238" t="s">
        <v>2526</v>
      </c>
      <c r="AM1158" s="147">
        <f t="shared" si="49"/>
        <v>0</v>
      </c>
      <c r="AN1158" s="18" t="s">
        <v>5000</v>
      </c>
      <c r="AO1158" s="18" t="s">
        <v>880</v>
      </c>
      <c r="AP1158" s="157" t="s">
        <v>921</v>
      </c>
      <c r="AQ1158" s="157"/>
    </row>
    <row r="1159" spans="1:43" s="18" customFormat="1" x14ac:dyDescent="0.3">
      <c r="A1159" s="228" t="s">
        <v>1451</v>
      </c>
      <c r="B1159" s="18" t="s">
        <v>4838</v>
      </c>
      <c r="C1159" s="228" t="s">
        <v>4841</v>
      </c>
      <c r="D1159" s="18" t="s">
        <v>2439</v>
      </c>
      <c r="E1159" s="228" t="s">
        <v>4842</v>
      </c>
      <c r="F1159" s="18" t="s">
        <v>4843</v>
      </c>
      <c r="G1159" s="228" t="s">
        <v>4953</v>
      </c>
      <c r="H1159" s="18" t="s">
        <v>4954</v>
      </c>
      <c r="I1159" s="228" t="s">
        <v>4978</v>
      </c>
      <c r="J1159" s="18" t="s">
        <v>4979</v>
      </c>
      <c r="K1159" s="228" t="s">
        <v>5003</v>
      </c>
      <c r="L1159" s="18" t="s">
        <v>5004</v>
      </c>
      <c r="P1159" s="16"/>
      <c r="Q1159" s="16"/>
      <c r="R1159" s="16"/>
      <c r="S1159" s="16"/>
      <c r="U1159" s="283" t="e">
        <v>#N/A</v>
      </c>
      <c r="V1159" s="18" t="s">
        <v>5006</v>
      </c>
      <c r="W1159" s="18">
        <v>1</v>
      </c>
      <c r="X1159" s="18">
        <v>0</v>
      </c>
      <c r="Y1159" s="18">
        <v>0</v>
      </c>
      <c r="Z1159" s="18">
        <v>1</v>
      </c>
      <c r="AA1159" s="18">
        <v>1</v>
      </c>
      <c r="AB1159" s="18">
        <v>1</v>
      </c>
      <c r="AC1159" s="316">
        <v>1</v>
      </c>
      <c r="AD1159" s="316">
        <v>1</v>
      </c>
      <c r="AE1159" s="302">
        <f t="shared" si="50"/>
        <v>0.75</v>
      </c>
      <c r="AF1159" s="176"/>
      <c r="AG1159" s="17">
        <v>0</v>
      </c>
      <c r="AH1159" s="176" t="s">
        <v>2526</v>
      </c>
      <c r="AI1159" s="176" t="s">
        <v>2526</v>
      </c>
      <c r="AJ1159" s="176" t="s">
        <v>2526</v>
      </c>
      <c r="AK1159" s="177" t="s">
        <v>2526</v>
      </c>
      <c r="AL1159" s="177" t="s">
        <v>2526</v>
      </c>
      <c r="AM1159" s="147">
        <f t="shared" si="49"/>
        <v>0</v>
      </c>
      <c r="AN1159" s="18" t="s">
        <v>5000</v>
      </c>
      <c r="AO1159" s="18" t="s">
        <v>880</v>
      </c>
      <c r="AP1159" s="18" t="s">
        <v>921</v>
      </c>
    </row>
    <row r="1160" spans="1:43" s="18" customFormat="1" x14ac:dyDescent="0.3">
      <c r="A1160" s="228" t="s">
        <v>1451</v>
      </c>
      <c r="B1160" s="18" t="s">
        <v>4838</v>
      </c>
      <c r="C1160" s="228" t="s">
        <v>4841</v>
      </c>
      <c r="D1160" s="18" t="s">
        <v>2439</v>
      </c>
      <c r="E1160" s="228" t="s">
        <v>4842</v>
      </c>
      <c r="F1160" s="18" t="s">
        <v>4843</v>
      </c>
      <c r="G1160" s="228" t="s">
        <v>4953</v>
      </c>
      <c r="H1160" s="18" t="s">
        <v>4954</v>
      </c>
      <c r="I1160" s="228" t="s">
        <v>4978</v>
      </c>
      <c r="J1160" s="18" t="s">
        <v>4979</v>
      </c>
      <c r="K1160" s="228" t="s">
        <v>5003</v>
      </c>
      <c r="L1160" s="18" t="s">
        <v>5004</v>
      </c>
      <c r="P1160" s="16"/>
      <c r="Q1160" s="16"/>
      <c r="R1160" s="16"/>
      <c r="S1160" s="16"/>
      <c r="U1160" s="283" t="e">
        <v>#N/A</v>
      </c>
      <c r="V1160" s="18" t="s">
        <v>5007</v>
      </c>
      <c r="W1160" s="18">
        <v>0</v>
      </c>
      <c r="X1160" s="18">
        <v>0</v>
      </c>
      <c r="Y1160" s="18">
        <v>0</v>
      </c>
      <c r="Z1160" s="18">
        <v>0</v>
      </c>
      <c r="AA1160" s="18">
        <v>0</v>
      </c>
      <c r="AB1160" s="18">
        <v>0</v>
      </c>
      <c r="AC1160" s="316">
        <v>0</v>
      </c>
      <c r="AD1160" s="316">
        <v>0</v>
      </c>
      <c r="AE1160" s="302">
        <f t="shared" si="50"/>
        <v>0</v>
      </c>
      <c r="AF1160" s="176"/>
      <c r="AG1160" s="17">
        <v>0</v>
      </c>
      <c r="AH1160" s="176" t="s">
        <v>2526</v>
      </c>
      <c r="AI1160" s="239" t="s">
        <v>2526</v>
      </c>
      <c r="AJ1160" s="239" t="s">
        <v>2526</v>
      </c>
      <c r="AK1160" s="238" t="s">
        <v>2526</v>
      </c>
      <c r="AL1160" s="238" t="s">
        <v>2526</v>
      </c>
      <c r="AM1160" s="147">
        <f t="shared" si="49"/>
        <v>0</v>
      </c>
      <c r="AN1160" s="18" t="s">
        <v>5000</v>
      </c>
      <c r="AO1160" s="18" t="s">
        <v>880</v>
      </c>
      <c r="AP1160" s="157" t="s">
        <v>921</v>
      </c>
      <c r="AQ1160" s="157"/>
    </row>
    <row r="1161" spans="1:43" s="18" customFormat="1" x14ac:dyDescent="0.3">
      <c r="A1161" s="228" t="s">
        <v>1451</v>
      </c>
      <c r="B1161" s="18" t="s">
        <v>4838</v>
      </c>
      <c r="C1161" s="228" t="s">
        <v>4841</v>
      </c>
      <c r="D1161" s="18" t="s">
        <v>2439</v>
      </c>
      <c r="E1161" s="228" t="s">
        <v>4842</v>
      </c>
      <c r="F1161" s="18" t="s">
        <v>4843</v>
      </c>
      <c r="G1161" s="228" t="s">
        <v>5008</v>
      </c>
      <c r="H1161" s="18" t="s">
        <v>5009</v>
      </c>
      <c r="I1161" s="228" t="s">
        <v>5010</v>
      </c>
      <c r="J1161" s="18" t="s">
        <v>5011</v>
      </c>
      <c r="K1161" s="228" t="s">
        <v>5012</v>
      </c>
      <c r="L1161" s="18" t="s">
        <v>5013</v>
      </c>
      <c r="M1161" s="18" t="s">
        <v>5014</v>
      </c>
      <c r="N1161" s="18">
        <v>0</v>
      </c>
      <c r="O1161" s="18">
        <v>200</v>
      </c>
      <c r="P1161" s="16">
        <v>200</v>
      </c>
      <c r="Q1161" s="16">
        <v>200</v>
      </c>
      <c r="R1161" s="16">
        <v>200</v>
      </c>
      <c r="S1161" s="16">
        <v>200</v>
      </c>
      <c r="T1161" s="18" t="s">
        <v>4855</v>
      </c>
      <c r="U1161" s="283" t="e">
        <v>#N/A</v>
      </c>
      <c r="V1161" s="18" t="s">
        <v>5015</v>
      </c>
      <c r="W1161" s="18">
        <v>1</v>
      </c>
      <c r="X1161" s="18">
        <v>1</v>
      </c>
      <c r="Y1161" s="18">
        <v>0</v>
      </c>
      <c r="Z1161" s="18">
        <v>1</v>
      </c>
      <c r="AA1161" s="18">
        <v>1</v>
      </c>
      <c r="AB1161" s="18">
        <v>0</v>
      </c>
      <c r="AC1161" s="316">
        <v>1</v>
      </c>
      <c r="AD1161" s="316">
        <v>1</v>
      </c>
      <c r="AE1161" s="302">
        <f t="shared" si="50"/>
        <v>0.75</v>
      </c>
      <c r="AF1161" s="176"/>
      <c r="AG1161" s="17">
        <v>0</v>
      </c>
      <c r="AH1161" s="176" t="s">
        <v>2526</v>
      </c>
      <c r="AI1161" s="239" t="s">
        <v>2526</v>
      </c>
      <c r="AJ1161" s="239" t="s">
        <v>2526</v>
      </c>
      <c r="AK1161" s="238" t="s">
        <v>2526</v>
      </c>
      <c r="AL1161" s="238" t="s">
        <v>2526</v>
      </c>
      <c r="AM1161" s="147">
        <f t="shared" si="49"/>
        <v>0</v>
      </c>
      <c r="AN1161" s="157" t="s">
        <v>4860</v>
      </c>
      <c r="AO1161" s="157" t="e">
        <v>#N/A</v>
      </c>
      <c r="AP1161" s="157" t="s">
        <v>119</v>
      </c>
      <c r="AQ1161" s="157"/>
    </row>
    <row r="1162" spans="1:43" s="18" customFormat="1" x14ac:dyDescent="0.3">
      <c r="A1162" s="228" t="s">
        <v>1451</v>
      </c>
      <c r="B1162" s="18" t="s">
        <v>4838</v>
      </c>
      <c r="C1162" s="228" t="s">
        <v>4841</v>
      </c>
      <c r="D1162" s="18" t="s">
        <v>2439</v>
      </c>
      <c r="E1162" s="228" t="s">
        <v>4842</v>
      </c>
      <c r="F1162" s="18" t="s">
        <v>4843</v>
      </c>
      <c r="G1162" s="228" t="s">
        <v>5008</v>
      </c>
      <c r="H1162" s="18" t="s">
        <v>5009</v>
      </c>
      <c r="I1162" s="228" t="s">
        <v>5010</v>
      </c>
      <c r="J1162" s="18" t="s">
        <v>5011</v>
      </c>
      <c r="K1162" s="228" t="s">
        <v>5012</v>
      </c>
      <c r="L1162" s="18" t="s">
        <v>5013</v>
      </c>
      <c r="M1162" s="18" t="s">
        <v>5016</v>
      </c>
      <c r="N1162" s="18">
        <v>0</v>
      </c>
      <c r="O1162" s="18">
        <v>200</v>
      </c>
      <c r="P1162" s="16">
        <v>200</v>
      </c>
      <c r="Q1162" s="16">
        <v>200</v>
      </c>
      <c r="R1162" s="16">
        <v>200</v>
      </c>
      <c r="S1162" s="16">
        <v>200</v>
      </c>
      <c r="T1162" s="18" t="s">
        <v>5017</v>
      </c>
      <c r="U1162" s="283" t="e">
        <v>#N/A</v>
      </c>
      <c r="V1162" s="18" t="s">
        <v>5018</v>
      </c>
      <c r="W1162" s="18">
        <v>1</v>
      </c>
      <c r="X1162" s="18">
        <v>0</v>
      </c>
      <c r="Y1162" s="18">
        <v>0</v>
      </c>
      <c r="Z1162" s="18">
        <v>1</v>
      </c>
      <c r="AA1162" s="18">
        <v>1</v>
      </c>
      <c r="AB1162" s="18">
        <v>1</v>
      </c>
      <c r="AC1162" s="316">
        <v>0</v>
      </c>
      <c r="AD1162" s="316">
        <v>1</v>
      </c>
      <c r="AE1162" s="302">
        <f t="shared" si="50"/>
        <v>0.625</v>
      </c>
      <c r="AF1162" s="176"/>
      <c r="AG1162" s="17">
        <v>0</v>
      </c>
      <c r="AH1162" s="176" t="s">
        <v>2526</v>
      </c>
      <c r="AI1162" s="239" t="s">
        <v>2526</v>
      </c>
      <c r="AJ1162" s="239" t="s">
        <v>2526</v>
      </c>
      <c r="AK1162" s="238" t="s">
        <v>2526</v>
      </c>
      <c r="AL1162" s="238" t="s">
        <v>2526</v>
      </c>
      <c r="AM1162" s="147">
        <f t="shared" si="49"/>
        <v>0</v>
      </c>
      <c r="AN1162" s="157" t="s">
        <v>5019</v>
      </c>
      <c r="AO1162" s="157" t="s">
        <v>880</v>
      </c>
      <c r="AP1162" s="240" t="s">
        <v>5020</v>
      </c>
      <c r="AQ1162" s="157"/>
    </row>
    <row r="1163" spans="1:43" s="18" customFormat="1" x14ac:dyDescent="0.3">
      <c r="A1163" s="228" t="s">
        <v>1451</v>
      </c>
      <c r="B1163" s="18" t="s">
        <v>4838</v>
      </c>
      <c r="C1163" s="228" t="s">
        <v>4841</v>
      </c>
      <c r="D1163" s="18" t="s">
        <v>2439</v>
      </c>
      <c r="E1163" s="228" t="s">
        <v>4842</v>
      </c>
      <c r="F1163" s="18" t="s">
        <v>4843</v>
      </c>
      <c r="G1163" s="228" t="s">
        <v>5008</v>
      </c>
      <c r="H1163" s="18" t="s">
        <v>5009</v>
      </c>
      <c r="I1163" s="228" t="s">
        <v>5010</v>
      </c>
      <c r="J1163" s="18" t="s">
        <v>5011</v>
      </c>
      <c r="K1163" s="228" t="s">
        <v>5012</v>
      </c>
      <c r="L1163" s="18" t="s">
        <v>5013</v>
      </c>
      <c r="M1163" s="18" t="s">
        <v>5021</v>
      </c>
      <c r="N1163" s="18" t="s">
        <v>5022</v>
      </c>
      <c r="O1163" s="18">
        <v>224</v>
      </c>
      <c r="P1163" s="16">
        <v>269</v>
      </c>
      <c r="Q1163" s="16">
        <v>323</v>
      </c>
      <c r="R1163" s="16">
        <v>1.4</v>
      </c>
      <c r="S1163" s="16">
        <v>1.68</v>
      </c>
      <c r="T1163" s="18" t="s">
        <v>5017</v>
      </c>
      <c r="U1163" s="283" t="e">
        <v>#N/A</v>
      </c>
      <c r="V1163" s="18" t="s">
        <v>5023</v>
      </c>
      <c r="W1163" s="18">
        <v>1</v>
      </c>
      <c r="X1163" s="18">
        <v>1</v>
      </c>
      <c r="Y1163" s="18">
        <v>1</v>
      </c>
      <c r="Z1163" s="18">
        <v>1</v>
      </c>
      <c r="AA1163" s="18">
        <v>1</v>
      </c>
      <c r="AB1163" s="18">
        <v>1</v>
      </c>
      <c r="AC1163" s="316">
        <v>1</v>
      </c>
      <c r="AD1163" s="316">
        <v>1</v>
      </c>
      <c r="AE1163" s="302">
        <f t="shared" si="50"/>
        <v>1</v>
      </c>
      <c r="AF1163" s="176">
        <v>0</v>
      </c>
      <c r="AG1163" s="17">
        <v>0</v>
      </c>
      <c r="AH1163" s="176">
        <v>0.5</v>
      </c>
      <c r="AI1163" s="176">
        <v>0.5</v>
      </c>
      <c r="AJ1163" s="176">
        <v>0.5</v>
      </c>
      <c r="AK1163" s="177">
        <v>0.5</v>
      </c>
      <c r="AL1163" s="177">
        <v>0.5</v>
      </c>
      <c r="AM1163" s="147">
        <f t="shared" si="49"/>
        <v>1</v>
      </c>
      <c r="AN1163" s="18" t="s">
        <v>5019</v>
      </c>
      <c r="AO1163" s="18" t="s">
        <v>880</v>
      </c>
      <c r="AP1163" s="228" t="s">
        <v>5020</v>
      </c>
    </row>
    <row r="1164" spans="1:43" s="18" customFormat="1" x14ac:dyDescent="0.3">
      <c r="A1164" s="228" t="s">
        <v>1451</v>
      </c>
      <c r="B1164" s="18" t="s">
        <v>4838</v>
      </c>
      <c r="C1164" s="228" t="s">
        <v>4841</v>
      </c>
      <c r="D1164" s="18" t="s">
        <v>2439</v>
      </c>
      <c r="E1164" s="228" t="s">
        <v>4842</v>
      </c>
      <c r="F1164" s="18" t="s">
        <v>4843</v>
      </c>
      <c r="G1164" s="228" t="s">
        <v>5008</v>
      </c>
      <c r="H1164" s="18" t="s">
        <v>5009</v>
      </c>
      <c r="I1164" s="228" t="s">
        <v>5010</v>
      </c>
      <c r="J1164" s="18" t="s">
        <v>5011</v>
      </c>
      <c r="K1164" s="228" t="s">
        <v>5012</v>
      </c>
      <c r="L1164" s="18" t="s">
        <v>5013</v>
      </c>
      <c r="M1164" s="18" t="s">
        <v>5024</v>
      </c>
      <c r="N1164" s="18" t="s">
        <v>271</v>
      </c>
      <c r="O1164" s="18" t="s">
        <v>271</v>
      </c>
      <c r="P1164" s="16">
        <v>1</v>
      </c>
      <c r="Q1164" s="16">
        <v>1</v>
      </c>
      <c r="R1164" s="16">
        <v>1</v>
      </c>
      <c r="S1164" s="16">
        <v>0</v>
      </c>
      <c r="T1164" s="18" t="s">
        <v>5025</v>
      </c>
      <c r="U1164" s="283" t="e">
        <v>#N/A</v>
      </c>
      <c r="V1164" s="18" t="s">
        <v>5026</v>
      </c>
      <c r="AC1164" s="316">
        <v>0</v>
      </c>
      <c r="AD1164" s="316">
        <v>0</v>
      </c>
      <c r="AE1164" s="302">
        <f t="shared" si="50"/>
        <v>0</v>
      </c>
      <c r="AF1164" s="176">
        <v>0</v>
      </c>
      <c r="AG1164" s="17">
        <v>0</v>
      </c>
      <c r="AH1164" s="176" t="s">
        <v>2526</v>
      </c>
      <c r="AI1164" s="176" t="s">
        <v>2526</v>
      </c>
      <c r="AJ1164" s="176" t="s">
        <v>2526</v>
      </c>
      <c r="AK1164" s="177" t="s">
        <v>2526</v>
      </c>
      <c r="AL1164" s="177" t="s">
        <v>2526</v>
      </c>
      <c r="AM1164" s="147">
        <f t="shared" si="49"/>
        <v>0</v>
      </c>
      <c r="AN1164" s="18" t="s">
        <v>5019</v>
      </c>
      <c r="AO1164" s="18" t="s">
        <v>880</v>
      </c>
      <c r="AP1164" s="228" t="s">
        <v>921</v>
      </c>
    </row>
    <row r="1165" spans="1:43" s="18" customFormat="1" x14ac:dyDescent="0.3">
      <c r="A1165" s="228" t="s">
        <v>1451</v>
      </c>
      <c r="B1165" s="18" t="s">
        <v>4838</v>
      </c>
      <c r="C1165" s="228" t="s">
        <v>4841</v>
      </c>
      <c r="D1165" s="18" t="s">
        <v>2439</v>
      </c>
      <c r="E1165" s="228" t="s">
        <v>4842</v>
      </c>
      <c r="F1165" s="18" t="s">
        <v>4843</v>
      </c>
      <c r="G1165" s="228" t="s">
        <v>5008</v>
      </c>
      <c r="H1165" s="18" t="s">
        <v>5009</v>
      </c>
      <c r="I1165" s="228" t="s">
        <v>5010</v>
      </c>
      <c r="J1165" s="18" t="s">
        <v>5011</v>
      </c>
      <c r="K1165" s="228" t="s">
        <v>5012</v>
      </c>
      <c r="L1165" s="18" t="s">
        <v>5013</v>
      </c>
      <c r="M1165" s="18" t="s">
        <v>5027</v>
      </c>
      <c r="N1165" s="18" t="s">
        <v>271</v>
      </c>
      <c r="O1165" s="18">
        <v>5</v>
      </c>
      <c r="P1165" s="16">
        <v>5</v>
      </c>
      <c r="Q1165" s="16">
        <v>5</v>
      </c>
      <c r="R1165" s="16">
        <v>5</v>
      </c>
      <c r="S1165" s="16">
        <v>5</v>
      </c>
      <c r="T1165" s="18" t="s">
        <v>5017</v>
      </c>
      <c r="U1165" s="283" t="e">
        <v>#N/A</v>
      </c>
      <c r="AC1165" s="316">
        <v>0</v>
      </c>
      <c r="AD1165" s="316">
        <v>0</v>
      </c>
      <c r="AE1165" s="302">
        <f t="shared" si="50"/>
        <v>0</v>
      </c>
      <c r="AF1165" s="17"/>
      <c r="AG1165" s="17">
        <v>0</v>
      </c>
      <c r="AH1165" s="17"/>
      <c r="AI1165" s="17"/>
      <c r="AJ1165" s="17"/>
      <c r="AK1165" s="154"/>
      <c r="AL1165" s="154"/>
      <c r="AM1165" s="147">
        <f t="shared" si="49"/>
        <v>0</v>
      </c>
      <c r="AP1165" s="228"/>
    </row>
    <row r="1166" spans="1:43" s="18" customFormat="1" x14ac:dyDescent="0.3">
      <c r="A1166" s="228" t="s">
        <v>1451</v>
      </c>
      <c r="B1166" s="18" t="s">
        <v>4838</v>
      </c>
      <c r="C1166" s="228" t="s">
        <v>4841</v>
      </c>
      <c r="D1166" s="18" t="s">
        <v>2439</v>
      </c>
      <c r="E1166" s="228" t="s">
        <v>4842</v>
      </c>
      <c r="F1166" s="18" t="s">
        <v>4843</v>
      </c>
      <c r="G1166" s="228" t="s">
        <v>5008</v>
      </c>
      <c r="H1166" s="18" t="s">
        <v>5009</v>
      </c>
      <c r="I1166" s="228" t="s">
        <v>5010</v>
      </c>
      <c r="J1166" s="18" t="s">
        <v>5011</v>
      </c>
      <c r="K1166" s="228" t="s">
        <v>5012</v>
      </c>
      <c r="L1166" s="18" t="s">
        <v>5013</v>
      </c>
      <c r="M1166" s="18" t="s">
        <v>5028</v>
      </c>
      <c r="N1166" s="18">
        <v>6</v>
      </c>
      <c r="O1166" s="18">
        <v>12</v>
      </c>
      <c r="P1166" s="16">
        <v>14</v>
      </c>
      <c r="Q1166" s="16">
        <v>16</v>
      </c>
      <c r="R1166" s="16">
        <v>18</v>
      </c>
      <c r="S1166" s="16">
        <v>20</v>
      </c>
      <c r="T1166" s="18" t="s">
        <v>5017</v>
      </c>
      <c r="U1166" s="283" t="e">
        <v>#N/A</v>
      </c>
      <c r="AC1166" s="316">
        <v>0</v>
      </c>
      <c r="AD1166" s="316">
        <v>0</v>
      </c>
      <c r="AE1166" s="302">
        <f t="shared" si="50"/>
        <v>0</v>
      </c>
      <c r="AF1166" s="17"/>
      <c r="AG1166" s="17">
        <v>0</v>
      </c>
      <c r="AH1166" s="17"/>
      <c r="AI1166" s="17"/>
      <c r="AJ1166" s="17"/>
      <c r="AK1166" s="154"/>
      <c r="AL1166" s="154"/>
      <c r="AM1166" s="147">
        <f t="shared" si="49"/>
        <v>0</v>
      </c>
      <c r="AP1166" s="228"/>
    </row>
    <row r="1167" spans="1:43" s="18" customFormat="1" x14ac:dyDescent="0.3">
      <c r="A1167" s="228" t="s">
        <v>1451</v>
      </c>
      <c r="B1167" s="18" t="s">
        <v>4838</v>
      </c>
      <c r="C1167" s="228" t="s">
        <v>4841</v>
      </c>
      <c r="D1167" s="18" t="s">
        <v>2439</v>
      </c>
      <c r="E1167" s="228" t="s">
        <v>4842</v>
      </c>
      <c r="F1167" s="18" t="s">
        <v>4843</v>
      </c>
      <c r="G1167" s="228" t="s">
        <v>5008</v>
      </c>
      <c r="H1167" s="18" t="s">
        <v>5009</v>
      </c>
      <c r="I1167" s="228" t="s">
        <v>5010</v>
      </c>
      <c r="J1167" s="18" t="s">
        <v>5011</v>
      </c>
      <c r="K1167" s="228" t="s">
        <v>5029</v>
      </c>
      <c r="L1167" s="18" t="s">
        <v>5030</v>
      </c>
      <c r="M1167" s="18" t="s">
        <v>5031</v>
      </c>
      <c r="N1167" s="18">
        <v>0</v>
      </c>
      <c r="O1167" s="18">
        <v>1</v>
      </c>
      <c r="P1167" s="16">
        <v>2</v>
      </c>
      <c r="Q1167" s="16">
        <v>5</v>
      </c>
      <c r="R1167" s="16">
        <v>5</v>
      </c>
      <c r="S1167" s="16">
        <v>9</v>
      </c>
      <c r="T1167" s="18" t="s">
        <v>5032</v>
      </c>
      <c r="U1167" s="283" t="e">
        <v>#N/A</v>
      </c>
      <c r="V1167" s="18" t="s">
        <v>5033</v>
      </c>
      <c r="W1167" s="18">
        <v>1</v>
      </c>
      <c r="X1167" s="18">
        <v>1</v>
      </c>
      <c r="Y1167" s="18">
        <v>1</v>
      </c>
      <c r="Z1167" s="18">
        <v>1</v>
      </c>
      <c r="AA1167" s="18">
        <v>1</v>
      </c>
      <c r="AB1167" s="18">
        <v>1</v>
      </c>
      <c r="AC1167" s="316">
        <v>0</v>
      </c>
      <c r="AD1167" s="316">
        <v>1</v>
      </c>
      <c r="AE1167" s="302">
        <f t="shared" si="50"/>
        <v>0.875</v>
      </c>
      <c r="AF1167" s="176">
        <v>0</v>
      </c>
      <c r="AG1167" s="17">
        <v>0</v>
      </c>
      <c r="AH1167" s="176" t="s">
        <v>2526</v>
      </c>
      <c r="AI1167" s="176" t="s">
        <v>2526</v>
      </c>
      <c r="AJ1167" s="176" t="s">
        <v>2526</v>
      </c>
      <c r="AK1167" s="177" t="s">
        <v>2526</v>
      </c>
      <c r="AL1167" s="177" t="s">
        <v>2526</v>
      </c>
      <c r="AM1167" s="147">
        <f t="shared" si="49"/>
        <v>0</v>
      </c>
      <c r="AN1167" s="18" t="s">
        <v>5019</v>
      </c>
      <c r="AO1167" s="18" t="s">
        <v>880</v>
      </c>
      <c r="AP1167" s="228" t="s">
        <v>921</v>
      </c>
    </row>
    <row r="1168" spans="1:43" s="18" customFormat="1" x14ac:dyDescent="0.3">
      <c r="A1168" s="228" t="s">
        <v>1451</v>
      </c>
      <c r="B1168" s="18" t="s">
        <v>4838</v>
      </c>
      <c r="C1168" s="228" t="s">
        <v>4841</v>
      </c>
      <c r="D1168" s="18" t="s">
        <v>2439</v>
      </c>
      <c r="E1168" s="228" t="s">
        <v>4842</v>
      </c>
      <c r="F1168" s="18" t="s">
        <v>4843</v>
      </c>
      <c r="G1168" s="228" t="s">
        <v>5008</v>
      </c>
      <c r="H1168" s="18" t="s">
        <v>5009</v>
      </c>
      <c r="I1168" s="228" t="s">
        <v>5010</v>
      </c>
      <c r="J1168" s="18" t="s">
        <v>5011</v>
      </c>
      <c r="K1168" s="228" t="s">
        <v>5029</v>
      </c>
      <c r="L1168" s="18" t="s">
        <v>5030</v>
      </c>
      <c r="M1168" s="18" t="s">
        <v>5034</v>
      </c>
      <c r="N1168" s="18">
        <v>0</v>
      </c>
      <c r="O1168" s="18">
        <v>0</v>
      </c>
      <c r="P1168" s="16">
        <v>0</v>
      </c>
      <c r="Q1168" s="16">
        <v>1</v>
      </c>
      <c r="R1168" s="16">
        <v>1</v>
      </c>
      <c r="S1168" s="16">
        <v>0</v>
      </c>
      <c r="T1168" s="18" t="s">
        <v>5035</v>
      </c>
      <c r="U1168" s="283" t="e">
        <v>#N/A</v>
      </c>
      <c r="V1168" s="18" t="s">
        <v>5036</v>
      </c>
      <c r="W1168" s="18">
        <v>1</v>
      </c>
      <c r="X1168" s="18">
        <v>1</v>
      </c>
      <c r="Y1168" s="18">
        <v>1</v>
      </c>
      <c r="Z1168" s="18">
        <v>1</v>
      </c>
      <c r="AA1168" s="18">
        <v>1</v>
      </c>
      <c r="AB1168" s="18">
        <v>1</v>
      </c>
      <c r="AC1168" s="316">
        <v>0</v>
      </c>
      <c r="AD1168" s="316">
        <v>1</v>
      </c>
      <c r="AE1168" s="302">
        <f t="shared" si="50"/>
        <v>0.875</v>
      </c>
      <c r="AF1168" s="176">
        <v>0</v>
      </c>
      <c r="AG1168" s="17">
        <v>0</v>
      </c>
      <c r="AH1168" s="176">
        <v>4.5</v>
      </c>
      <c r="AI1168" s="176">
        <v>4.5</v>
      </c>
      <c r="AJ1168" s="176">
        <v>4.5</v>
      </c>
      <c r="AK1168" s="237">
        <v>3.5</v>
      </c>
      <c r="AL1168" s="177" t="s">
        <v>2526</v>
      </c>
      <c r="AM1168" s="147">
        <f t="shared" si="49"/>
        <v>3.5</v>
      </c>
      <c r="AN1168" s="18" t="s">
        <v>5019</v>
      </c>
      <c r="AO1168" s="18" t="s">
        <v>880</v>
      </c>
      <c r="AP1168" s="228" t="s">
        <v>5037</v>
      </c>
    </row>
    <row r="1169" spans="1:43" s="18" customFormat="1" x14ac:dyDescent="0.3">
      <c r="A1169" s="228" t="s">
        <v>1451</v>
      </c>
      <c r="B1169" s="18" t="s">
        <v>4838</v>
      </c>
      <c r="C1169" s="228" t="s">
        <v>4841</v>
      </c>
      <c r="D1169" s="18" t="s">
        <v>2439</v>
      </c>
      <c r="E1169" s="228" t="s">
        <v>4842</v>
      </c>
      <c r="F1169" s="18" t="s">
        <v>4843</v>
      </c>
      <c r="G1169" s="228" t="s">
        <v>5008</v>
      </c>
      <c r="H1169" s="18" t="s">
        <v>5009</v>
      </c>
      <c r="I1169" s="228" t="s">
        <v>5010</v>
      </c>
      <c r="J1169" s="18" t="s">
        <v>5011</v>
      </c>
      <c r="K1169" s="228" t="s">
        <v>5029</v>
      </c>
      <c r="L1169" s="18" t="s">
        <v>5030</v>
      </c>
      <c r="P1169" s="16"/>
      <c r="Q1169" s="16"/>
      <c r="R1169" s="16"/>
      <c r="S1169" s="16"/>
      <c r="U1169" s="283" t="e">
        <v>#N/A</v>
      </c>
      <c r="V1169" s="18" t="s">
        <v>5038</v>
      </c>
      <c r="W1169" s="18">
        <v>0</v>
      </c>
      <c r="X1169" s="18">
        <v>0</v>
      </c>
      <c r="Y1169" s="18">
        <v>0</v>
      </c>
      <c r="Z1169" s="18">
        <v>0</v>
      </c>
      <c r="AA1169" s="18">
        <v>0</v>
      </c>
      <c r="AB1169" s="18">
        <v>0</v>
      </c>
      <c r="AC1169" s="316">
        <v>0</v>
      </c>
      <c r="AD1169" s="316">
        <v>0</v>
      </c>
      <c r="AE1169" s="302">
        <f t="shared" si="50"/>
        <v>0</v>
      </c>
      <c r="AF1169" s="176"/>
      <c r="AG1169" s="17">
        <v>0</v>
      </c>
      <c r="AH1169" s="176" t="s">
        <v>2526</v>
      </c>
      <c r="AI1169" s="176" t="s">
        <v>2526</v>
      </c>
      <c r="AJ1169" s="176" t="s">
        <v>2526</v>
      </c>
      <c r="AK1169" s="177" t="s">
        <v>2526</v>
      </c>
      <c r="AL1169" s="177" t="s">
        <v>2526</v>
      </c>
      <c r="AM1169" s="147">
        <f t="shared" si="49"/>
        <v>0</v>
      </c>
      <c r="AN1169" s="18" t="s">
        <v>4860</v>
      </c>
      <c r="AO1169" s="18" t="e">
        <v>#N/A</v>
      </c>
      <c r="AP1169" s="228" t="s">
        <v>5039</v>
      </c>
    </row>
    <row r="1170" spans="1:43" s="18" customFormat="1" x14ac:dyDescent="0.3">
      <c r="A1170" s="228" t="s">
        <v>1451</v>
      </c>
      <c r="B1170" s="18" t="s">
        <v>4838</v>
      </c>
      <c r="C1170" s="228" t="s">
        <v>4841</v>
      </c>
      <c r="D1170" s="18" t="s">
        <v>2439</v>
      </c>
      <c r="E1170" s="228" t="s">
        <v>4842</v>
      </c>
      <c r="F1170" s="18" t="s">
        <v>4843</v>
      </c>
      <c r="G1170" s="228" t="s">
        <v>5008</v>
      </c>
      <c r="H1170" s="18" t="s">
        <v>5009</v>
      </c>
      <c r="I1170" s="228" t="s">
        <v>5040</v>
      </c>
      <c r="J1170" s="18" t="s">
        <v>5041</v>
      </c>
      <c r="K1170" s="228" t="s">
        <v>5042</v>
      </c>
      <c r="L1170" s="18" t="s">
        <v>5043</v>
      </c>
      <c r="M1170" s="18" t="s">
        <v>5044</v>
      </c>
      <c r="N1170" s="18">
        <v>0</v>
      </c>
      <c r="O1170" s="18">
        <v>0</v>
      </c>
      <c r="P1170" s="16">
        <v>2</v>
      </c>
      <c r="Q1170" s="16">
        <v>2</v>
      </c>
      <c r="R1170" s="16">
        <v>2</v>
      </c>
      <c r="S1170" s="16">
        <v>2</v>
      </c>
      <c r="T1170" s="18" t="s">
        <v>5017</v>
      </c>
      <c r="U1170" s="283" t="e">
        <v>#N/A</v>
      </c>
      <c r="V1170" s="18" t="s">
        <v>5045</v>
      </c>
      <c r="W1170" s="18">
        <v>1</v>
      </c>
      <c r="X1170" s="18">
        <v>1</v>
      </c>
      <c r="Y1170" s="18">
        <v>1</v>
      </c>
      <c r="Z1170" s="18">
        <v>1</v>
      </c>
      <c r="AA1170" s="18">
        <v>1</v>
      </c>
      <c r="AB1170" s="18">
        <v>1</v>
      </c>
      <c r="AC1170" s="316">
        <v>0</v>
      </c>
      <c r="AD1170" s="316">
        <v>1</v>
      </c>
      <c r="AE1170" s="302">
        <f t="shared" si="50"/>
        <v>0.875</v>
      </c>
      <c r="AF1170" s="176"/>
      <c r="AG1170" s="17">
        <v>0</v>
      </c>
      <c r="AH1170" s="176">
        <v>0.5</v>
      </c>
      <c r="AI1170" s="176">
        <v>0.5</v>
      </c>
      <c r="AJ1170" s="239">
        <v>0.5</v>
      </c>
      <c r="AK1170" s="177">
        <v>0.5</v>
      </c>
      <c r="AL1170" s="238" t="s">
        <v>2526</v>
      </c>
      <c r="AM1170" s="147">
        <f t="shared" si="49"/>
        <v>0.5</v>
      </c>
      <c r="AN1170" s="157" t="s">
        <v>5019</v>
      </c>
      <c r="AO1170" s="157" t="s">
        <v>880</v>
      </c>
      <c r="AP1170" s="240" t="s">
        <v>5046</v>
      </c>
      <c r="AQ1170" s="157"/>
    </row>
    <row r="1171" spans="1:43" s="18" customFormat="1" x14ac:dyDescent="0.3">
      <c r="A1171" s="228" t="s">
        <v>1451</v>
      </c>
      <c r="B1171" s="18" t="s">
        <v>4838</v>
      </c>
      <c r="C1171" s="228" t="s">
        <v>4841</v>
      </c>
      <c r="D1171" s="18" t="s">
        <v>2439</v>
      </c>
      <c r="E1171" s="228" t="s">
        <v>4842</v>
      </c>
      <c r="F1171" s="18" t="s">
        <v>4843</v>
      </c>
      <c r="G1171" s="228" t="s">
        <v>5008</v>
      </c>
      <c r="H1171" s="18" t="s">
        <v>5009</v>
      </c>
      <c r="I1171" s="228" t="s">
        <v>5040</v>
      </c>
      <c r="J1171" s="18" t="s">
        <v>5041</v>
      </c>
      <c r="K1171" s="228" t="s">
        <v>5042</v>
      </c>
      <c r="L1171" s="18" t="s">
        <v>5043</v>
      </c>
      <c r="M1171" s="18" t="s">
        <v>5047</v>
      </c>
      <c r="N1171" s="18">
        <v>100</v>
      </c>
      <c r="O1171" s="18">
        <v>2500</v>
      </c>
      <c r="P1171" s="16">
        <v>2500</v>
      </c>
      <c r="Q1171" s="16">
        <v>0</v>
      </c>
      <c r="R1171" s="16">
        <v>0</v>
      </c>
      <c r="S1171" s="16">
        <v>0</v>
      </c>
      <c r="T1171" s="18" t="s">
        <v>798</v>
      </c>
      <c r="U1171" s="283" t="s">
        <v>350</v>
      </c>
      <c r="V1171" s="18" t="s">
        <v>5048</v>
      </c>
      <c r="W1171" s="18">
        <v>1</v>
      </c>
      <c r="X1171" s="18">
        <v>0</v>
      </c>
      <c r="Y1171" s="18">
        <v>1</v>
      </c>
      <c r="Z1171" s="18">
        <v>1</v>
      </c>
      <c r="AA1171" s="18">
        <v>1</v>
      </c>
      <c r="AB1171" s="18">
        <v>1</v>
      </c>
      <c r="AC1171" s="316">
        <v>1</v>
      </c>
      <c r="AD1171" s="316">
        <v>1</v>
      </c>
      <c r="AE1171" s="302">
        <f t="shared" si="50"/>
        <v>0.875</v>
      </c>
      <c r="AF1171" s="176"/>
      <c r="AG1171" s="17">
        <v>0</v>
      </c>
      <c r="AH1171" s="176" t="s">
        <v>2526</v>
      </c>
      <c r="AI1171" s="176">
        <v>0.25</v>
      </c>
      <c r="AJ1171" s="239">
        <v>0.25</v>
      </c>
      <c r="AK1171" s="177">
        <v>0.25</v>
      </c>
      <c r="AL1171" s="238">
        <v>0.25</v>
      </c>
      <c r="AM1171" s="147">
        <f t="shared" si="49"/>
        <v>0.5</v>
      </c>
      <c r="AN1171" s="157" t="s">
        <v>619</v>
      </c>
      <c r="AO1171" s="157" t="s">
        <v>350</v>
      </c>
      <c r="AP1171" s="240" t="s">
        <v>5049</v>
      </c>
      <c r="AQ1171" s="157"/>
    </row>
    <row r="1172" spans="1:43" s="18" customFormat="1" x14ac:dyDescent="0.3">
      <c r="A1172" s="228" t="s">
        <v>1451</v>
      </c>
      <c r="B1172" s="18" t="s">
        <v>4838</v>
      </c>
      <c r="C1172" s="228" t="s">
        <v>4841</v>
      </c>
      <c r="D1172" s="18" t="s">
        <v>2439</v>
      </c>
      <c r="E1172" s="228" t="s">
        <v>4842</v>
      </c>
      <c r="F1172" s="18" t="s">
        <v>4843</v>
      </c>
      <c r="G1172" s="228" t="s">
        <v>5008</v>
      </c>
      <c r="H1172" s="18" t="s">
        <v>5009</v>
      </c>
      <c r="I1172" s="228" t="s">
        <v>5040</v>
      </c>
      <c r="J1172" s="18" t="s">
        <v>5041</v>
      </c>
      <c r="K1172" s="228" t="s">
        <v>5042</v>
      </c>
      <c r="L1172" s="18" t="s">
        <v>5043</v>
      </c>
      <c r="P1172" s="16"/>
      <c r="Q1172" s="16"/>
      <c r="R1172" s="16"/>
      <c r="S1172" s="16"/>
      <c r="U1172" s="283" t="e">
        <v>#N/A</v>
      </c>
      <c r="V1172" s="18" t="s">
        <v>5050</v>
      </c>
      <c r="W1172" s="18">
        <v>0</v>
      </c>
      <c r="X1172" s="18">
        <v>0</v>
      </c>
      <c r="Y1172" s="18">
        <v>0</v>
      </c>
      <c r="Z1172" s="18">
        <v>0</v>
      </c>
      <c r="AA1172" s="18">
        <v>0</v>
      </c>
      <c r="AB1172" s="18">
        <v>0</v>
      </c>
      <c r="AC1172" s="316">
        <v>0</v>
      </c>
      <c r="AD1172" s="316">
        <v>0</v>
      </c>
      <c r="AE1172" s="302">
        <f t="shared" si="50"/>
        <v>0</v>
      </c>
      <c r="AF1172" s="176"/>
      <c r="AG1172" s="17">
        <v>0</v>
      </c>
      <c r="AH1172" s="176" t="s">
        <v>2526</v>
      </c>
      <c r="AI1172" s="176" t="s">
        <v>2526</v>
      </c>
      <c r="AJ1172" s="239" t="s">
        <v>2526</v>
      </c>
      <c r="AK1172" s="238" t="s">
        <v>2526</v>
      </c>
      <c r="AL1172" s="238" t="s">
        <v>2526</v>
      </c>
      <c r="AM1172" s="147">
        <f t="shared" si="49"/>
        <v>0</v>
      </c>
      <c r="AN1172" s="157" t="s">
        <v>869</v>
      </c>
      <c r="AO1172" s="157" t="s">
        <v>871</v>
      </c>
      <c r="AP1172" s="240" t="s">
        <v>119</v>
      </c>
      <c r="AQ1172" s="157"/>
    </row>
    <row r="1173" spans="1:43" s="18" customFormat="1" x14ac:dyDescent="0.3">
      <c r="A1173" s="228" t="s">
        <v>1451</v>
      </c>
      <c r="B1173" s="18" t="s">
        <v>4838</v>
      </c>
      <c r="C1173" s="228" t="s">
        <v>4841</v>
      </c>
      <c r="D1173" s="18" t="s">
        <v>2439</v>
      </c>
      <c r="E1173" s="228" t="s">
        <v>4842</v>
      </c>
      <c r="F1173" s="18" t="s">
        <v>4843</v>
      </c>
      <c r="G1173" s="228" t="s">
        <v>5008</v>
      </c>
      <c r="H1173" s="18" t="s">
        <v>5009</v>
      </c>
      <c r="I1173" s="228" t="s">
        <v>5040</v>
      </c>
      <c r="J1173" s="18" t="s">
        <v>5041</v>
      </c>
      <c r="K1173" s="228" t="s">
        <v>5051</v>
      </c>
      <c r="L1173" s="18" t="s">
        <v>5052</v>
      </c>
      <c r="M1173" s="18" t="s">
        <v>5053</v>
      </c>
      <c r="N1173" s="18">
        <v>0</v>
      </c>
      <c r="O1173" s="18">
        <v>5</v>
      </c>
      <c r="P1173" s="16">
        <v>5</v>
      </c>
      <c r="Q1173" s="16">
        <v>5</v>
      </c>
      <c r="R1173" s="16">
        <v>5</v>
      </c>
      <c r="S1173" s="16">
        <v>5</v>
      </c>
      <c r="T1173" s="18" t="s">
        <v>1191</v>
      </c>
      <c r="U1173" s="283" t="e">
        <v>#N/A</v>
      </c>
      <c r="V1173" s="18" t="s">
        <v>5054</v>
      </c>
      <c r="W1173" s="18">
        <v>1</v>
      </c>
      <c r="X1173" s="18">
        <v>0</v>
      </c>
      <c r="Y1173" s="18">
        <v>1</v>
      </c>
      <c r="Z1173" s="18">
        <v>1</v>
      </c>
      <c r="AA1173" s="18">
        <v>0</v>
      </c>
      <c r="AB1173" s="18">
        <v>0</v>
      </c>
      <c r="AC1173" s="316">
        <v>1</v>
      </c>
      <c r="AD1173" s="316">
        <v>1</v>
      </c>
      <c r="AE1173" s="302">
        <f t="shared" si="50"/>
        <v>0.625</v>
      </c>
      <c r="AF1173" s="176"/>
      <c r="AG1173" s="17">
        <v>0</v>
      </c>
      <c r="AH1173" s="176">
        <v>0.2</v>
      </c>
      <c r="AI1173" s="176">
        <v>0.1</v>
      </c>
      <c r="AJ1173" s="234" t="s">
        <v>2526</v>
      </c>
      <c r="AK1173" s="235" t="s">
        <v>2526</v>
      </c>
      <c r="AL1173" s="235" t="s">
        <v>2526</v>
      </c>
      <c r="AM1173" s="147">
        <f t="shared" si="49"/>
        <v>0</v>
      </c>
      <c r="AN1173" s="236" t="s">
        <v>921</v>
      </c>
      <c r="AO1173" s="236" t="s">
        <v>880</v>
      </c>
      <c r="AP1173" s="228" t="s">
        <v>5055</v>
      </c>
    </row>
    <row r="1174" spans="1:43" s="18" customFormat="1" x14ac:dyDescent="0.3">
      <c r="A1174" s="228" t="s">
        <v>1451</v>
      </c>
      <c r="B1174" s="18" t="s">
        <v>4838</v>
      </c>
      <c r="C1174" s="228" t="s">
        <v>4841</v>
      </c>
      <c r="D1174" s="18" t="s">
        <v>2439</v>
      </c>
      <c r="E1174" s="228" t="s">
        <v>4842</v>
      </c>
      <c r="F1174" s="18" t="s">
        <v>4843</v>
      </c>
      <c r="G1174" s="228" t="s">
        <v>5008</v>
      </c>
      <c r="H1174" s="18" t="s">
        <v>5009</v>
      </c>
      <c r="I1174" s="228" t="s">
        <v>5040</v>
      </c>
      <c r="J1174" s="18" t="s">
        <v>5041</v>
      </c>
      <c r="K1174" s="228" t="s">
        <v>5051</v>
      </c>
      <c r="L1174" s="18" t="s">
        <v>5052</v>
      </c>
      <c r="P1174" s="16"/>
      <c r="Q1174" s="16"/>
      <c r="R1174" s="16"/>
      <c r="S1174" s="16"/>
      <c r="U1174" s="283" t="e">
        <v>#N/A</v>
      </c>
      <c r="V1174" s="18" t="s">
        <v>5056</v>
      </c>
      <c r="W1174" s="18">
        <v>1</v>
      </c>
      <c r="X1174" s="18">
        <v>0</v>
      </c>
      <c r="Y1174" s="18">
        <v>1</v>
      </c>
      <c r="Z1174" s="18">
        <v>1</v>
      </c>
      <c r="AA1174" s="18">
        <v>1</v>
      </c>
      <c r="AB1174" s="18">
        <v>0</v>
      </c>
      <c r="AC1174" s="316">
        <v>1</v>
      </c>
      <c r="AD1174" s="316">
        <v>1</v>
      </c>
      <c r="AE1174" s="302">
        <f t="shared" si="50"/>
        <v>0.75</v>
      </c>
      <c r="AF1174" s="176"/>
      <c r="AG1174" s="17">
        <v>0</v>
      </c>
      <c r="AH1174" s="176" t="s">
        <v>2526</v>
      </c>
      <c r="AI1174" s="239">
        <v>0</v>
      </c>
      <c r="AJ1174" s="239">
        <v>0.15</v>
      </c>
      <c r="AK1174" s="238">
        <v>0.15</v>
      </c>
      <c r="AL1174" s="238">
        <v>0.15</v>
      </c>
      <c r="AM1174" s="147">
        <f t="shared" ref="AM1174:AM1237" si="51">SUM(AK1174:AL1174)</f>
        <v>0.3</v>
      </c>
      <c r="AN1174" s="157" t="s">
        <v>869</v>
      </c>
      <c r="AO1174" s="157" t="s">
        <v>871</v>
      </c>
      <c r="AP1174" s="240" t="s">
        <v>4408</v>
      </c>
      <c r="AQ1174" s="157"/>
    </row>
    <row r="1175" spans="1:43" s="18" customFormat="1" x14ac:dyDescent="0.3">
      <c r="A1175" s="228" t="s">
        <v>1451</v>
      </c>
      <c r="B1175" s="18" t="s">
        <v>4838</v>
      </c>
      <c r="C1175" s="228" t="s">
        <v>4841</v>
      </c>
      <c r="D1175" s="18" t="s">
        <v>2439</v>
      </c>
      <c r="E1175" s="228" t="s">
        <v>4842</v>
      </c>
      <c r="F1175" s="18" t="s">
        <v>4843</v>
      </c>
      <c r="G1175" s="228" t="s">
        <v>5008</v>
      </c>
      <c r="H1175" s="18" t="s">
        <v>5009</v>
      </c>
      <c r="I1175" s="228" t="s">
        <v>5057</v>
      </c>
      <c r="J1175" s="18" t="s">
        <v>5058</v>
      </c>
      <c r="K1175" s="228" t="s">
        <v>5059</v>
      </c>
      <c r="L1175" s="18" t="s">
        <v>5060</v>
      </c>
      <c r="M1175" s="18" t="s">
        <v>5061</v>
      </c>
      <c r="N1175" s="18">
        <v>0</v>
      </c>
      <c r="O1175" s="18" t="s">
        <v>3763</v>
      </c>
      <c r="P1175" s="16" t="s">
        <v>3565</v>
      </c>
      <c r="Q1175" s="16" t="s">
        <v>3565</v>
      </c>
      <c r="R1175" s="16" t="s">
        <v>3565</v>
      </c>
      <c r="S1175" s="16" t="s">
        <v>3532</v>
      </c>
      <c r="T1175" s="18" t="s">
        <v>3705</v>
      </c>
      <c r="U1175" s="283" t="s">
        <v>880</v>
      </c>
      <c r="V1175" s="18" t="s">
        <v>5062</v>
      </c>
      <c r="W1175" s="18">
        <v>1</v>
      </c>
      <c r="X1175" s="18">
        <v>1</v>
      </c>
      <c r="Y1175" s="18">
        <v>1</v>
      </c>
      <c r="Z1175" s="18">
        <v>1</v>
      </c>
      <c r="AA1175" s="18">
        <v>1</v>
      </c>
      <c r="AB1175" s="18">
        <v>1</v>
      </c>
      <c r="AC1175" s="316">
        <v>1</v>
      </c>
      <c r="AD1175" s="316">
        <v>1</v>
      </c>
      <c r="AE1175" s="302">
        <f t="shared" si="50"/>
        <v>1</v>
      </c>
      <c r="AF1175" s="176">
        <v>0</v>
      </c>
      <c r="AG1175" s="17">
        <v>0</v>
      </c>
      <c r="AH1175" s="176">
        <v>0.05</v>
      </c>
      <c r="AI1175" s="239">
        <v>0.05</v>
      </c>
      <c r="AJ1175" s="239">
        <v>0.05</v>
      </c>
      <c r="AK1175" s="238">
        <v>7.0000000000000007E-2</v>
      </c>
      <c r="AL1175" s="238">
        <v>7.0000000000000007E-2</v>
      </c>
      <c r="AM1175" s="147">
        <f t="shared" si="51"/>
        <v>0.14000000000000001</v>
      </c>
      <c r="AN1175" s="157" t="s">
        <v>921</v>
      </c>
      <c r="AO1175" s="157" t="s">
        <v>880</v>
      </c>
      <c r="AP1175" s="240" t="s">
        <v>119</v>
      </c>
      <c r="AQ1175" s="157"/>
    </row>
    <row r="1176" spans="1:43" s="18" customFormat="1" x14ac:dyDescent="0.3">
      <c r="A1176" s="228" t="s">
        <v>1451</v>
      </c>
      <c r="B1176" s="18" t="s">
        <v>4838</v>
      </c>
      <c r="C1176" s="228" t="s">
        <v>4841</v>
      </c>
      <c r="D1176" s="18" t="s">
        <v>2439</v>
      </c>
      <c r="E1176" s="228" t="s">
        <v>4842</v>
      </c>
      <c r="F1176" s="18" t="s">
        <v>4843</v>
      </c>
      <c r="G1176" s="228" t="s">
        <v>5008</v>
      </c>
      <c r="H1176" s="18" t="s">
        <v>5009</v>
      </c>
      <c r="I1176" s="228" t="s">
        <v>5057</v>
      </c>
      <c r="J1176" s="18" t="s">
        <v>5058</v>
      </c>
      <c r="K1176" s="228" t="s">
        <v>5059</v>
      </c>
      <c r="L1176" s="18" t="s">
        <v>5060</v>
      </c>
      <c r="P1176" s="16"/>
      <c r="Q1176" s="16"/>
      <c r="R1176" s="16"/>
      <c r="S1176" s="16"/>
      <c r="U1176" s="283" t="e">
        <v>#N/A</v>
      </c>
      <c r="V1176" s="18" t="s">
        <v>5063</v>
      </c>
      <c r="W1176" s="18">
        <v>1</v>
      </c>
      <c r="X1176" s="18">
        <v>1</v>
      </c>
      <c r="Y1176" s="18">
        <v>1</v>
      </c>
      <c r="Z1176" s="18">
        <v>1</v>
      </c>
      <c r="AA1176" s="18">
        <v>1</v>
      </c>
      <c r="AB1176" s="18">
        <v>1</v>
      </c>
      <c r="AC1176" s="316">
        <v>0</v>
      </c>
      <c r="AD1176" s="316">
        <v>1</v>
      </c>
      <c r="AE1176" s="302">
        <f t="shared" si="50"/>
        <v>0.875</v>
      </c>
      <c r="AF1176" s="176"/>
      <c r="AG1176" s="17">
        <v>0</v>
      </c>
      <c r="AH1176" s="176" t="s">
        <v>2526</v>
      </c>
      <c r="AI1176" s="239">
        <v>0.1</v>
      </c>
      <c r="AJ1176" s="239">
        <v>0.1</v>
      </c>
      <c r="AK1176" s="238">
        <v>0.1</v>
      </c>
      <c r="AL1176" s="238">
        <v>0.1</v>
      </c>
      <c r="AM1176" s="147">
        <f t="shared" si="51"/>
        <v>0.2</v>
      </c>
      <c r="AN1176" s="157" t="s">
        <v>921</v>
      </c>
      <c r="AO1176" s="157" t="s">
        <v>880</v>
      </c>
      <c r="AP1176" s="240" t="s">
        <v>1898</v>
      </c>
      <c r="AQ1176" s="157"/>
    </row>
    <row r="1177" spans="1:43" s="18" customFormat="1" x14ac:dyDescent="0.3">
      <c r="A1177" s="228" t="s">
        <v>1451</v>
      </c>
      <c r="B1177" s="18" t="s">
        <v>4838</v>
      </c>
      <c r="C1177" s="228" t="s">
        <v>4841</v>
      </c>
      <c r="D1177" s="18" t="s">
        <v>2439</v>
      </c>
      <c r="E1177" s="228" t="s">
        <v>4842</v>
      </c>
      <c r="F1177" s="18" t="s">
        <v>4843</v>
      </c>
      <c r="G1177" s="228" t="s">
        <v>5008</v>
      </c>
      <c r="H1177" s="18" t="s">
        <v>5009</v>
      </c>
      <c r="I1177" s="228" t="s">
        <v>5057</v>
      </c>
      <c r="J1177" s="18" t="s">
        <v>5058</v>
      </c>
      <c r="K1177" s="228" t="s">
        <v>5059</v>
      </c>
      <c r="L1177" s="18" t="s">
        <v>5060</v>
      </c>
      <c r="P1177" s="16"/>
      <c r="Q1177" s="16"/>
      <c r="R1177" s="16"/>
      <c r="S1177" s="16"/>
      <c r="U1177" s="283" t="e">
        <v>#N/A</v>
      </c>
      <c r="V1177" s="18" t="s">
        <v>5064</v>
      </c>
      <c r="W1177" s="18">
        <v>1</v>
      </c>
      <c r="X1177" s="18">
        <v>0</v>
      </c>
      <c r="Y1177" s="18">
        <v>0</v>
      </c>
      <c r="Z1177" s="18">
        <v>1</v>
      </c>
      <c r="AA1177" s="18">
        <v>1</v>
      </c>
      <c r="AB1177" s="18">
        <v>1</v>
      </c>
      <c r="AC1177" s="316">
        <v>0</v>
      </c>
      <c r="AD1177" s="316">
        <v>1</v>
      </c>
      <c r="AE1177" s="302">
        <f t="shared" si="50"/>
        <v>0.625</v>
      </c>
      <c r="AF1177" s="176"/>
      <c r="AG1177" s="17">
        <v>0</v>
      </c>
      <c r="AH1177" s="176" t="s">
        <v>2526</v>
      </c>
      <c r="AI1177" s="239" t="s">
        <v>2526</v>
      </c>
      <c r="AJ1177" s="239" t="s">
        <v>2526</v>
      </c>
      <c r="AK1177" s="238" t="s">
        <v>2526</v>
      </c>
      <c r="AL1177" s="238" t="s">
        <v>2526</v>
      </c>
      <c r="AM1177" s="147">
        <f t="shared" si="51"/>
        <v>0</v>
      </c>
      <c r="AN1177" s="157" t="s">
        <v>921</v>
      </c>
      <c r="AO1177" s="157" t="s">
        <v>880</v>
      </c>
      <c r="AP1177" s="240" t="s">
        <v>119</v>
      </c>
      <c r="AQ1177" s="157"/>
    </row>
    <row r="1178" spans="1:43" s="18" customFormat="1" x14ac:dyDescent="0.3">
      <c r="A1178" s="228" t="s">
        <v>1451</v>
      </c>
      <c r="B1178" s="18" t="s">
        <v>4838</v>
      </c>
      <c r="C1178" s="228" t="s">
        <v>4841</v>
      </c>
      <c r="D1178" s="18" t="s">
        <v>2439</v>
      </c>
      <c r="E1178" s="228" t="s">
        <v>4842</v>
      </c>
      <c r="F1178" s="18" t="s">
        <v>4843</v>
      </c>
      <c r="G1178" s="228" t="s">
        <v>5008</v>
      </c>
      <c r="H1178" s="18" t="s">
        <v>5009</v>
      </c>
      <c r="I1178" s="228" t="s">
        <v>5057</v>
      </c>
      <c r="J1178" s="18" t="s">
        <v>5058</v>
      </c>
      <c r="K1178" s="228" t="s">
        <v>5059</v>
      </c>
      <c r="L1178" s="18" t="s">
        <v>5060</v>
      </c>
      <c r="P1178" s="16"/>
      <c r="Q1178" s="16"/>
      <c r="R1178" s="16"/>
      <c r="S1178" s="16"/>
      <c r="U1178" s="283" t="e">
        <v>#N/A</v>
      </c>
      <c r="V1178" s="18" t="s">
        <v>5065</v>
      </c>
      <c r="W1178" s="18">
        <v>0</v>
      </c>
      <c r="X1178" s="18">
        <v>0</v>
      </c>
      <c r="Y1178" s="18">
        <v>0</v>
      </c>
      <c r="Z1178" s="18">
        <v>0</v>
      </c>
      <c r="AA1178" s="18">
        <v>0</v>
      </c>
      <c r="AB1178" s="18">
        <v>1</v>
      </c>
      <c r="AC1178" s="316">
        <v>0</v>
      </c>
      <c r="AD1178" s="316">
        <v>1</v>
      </c>
      <c r="AE1178" s="302">
        <f t="shared" si="50"/>
        <v>0.25</v>
      </c>
      <c r="AF1178" s="176"/>
      <c r="AG1178" s="17">
        <v>0</v>
      </c>
      <c r="AH1178" s="176" t="s">
        <v>2526</v>
      </c>
      <c r="AI1178" s="239" t="s">
        <v>2526</v>
      </c>
      <c r="AJ1178" s="239" t="s">
        <v>2526</v>
      </c>
      <c r="AK1178" s="238" t="s">
        <v>2526</v>
      </c>
      <c r="AL1178" s="238" t="s">
        <v>2526</v>
      </c>
      <c r="AM1178" s="147">
        <f t="shared" si="51"/>
        <v>0</v>
      </c>
      <c r="AN1178" s="157" t="s">
        <v>921</v>
      </c>
      <c r="AO1178" s="157" t="s">
        <v>880</v>
      </c>
      <c r="AP1178" s="240" t="s">
        <v>119</v>
      </c>
      <c r="AQ1178" s="157"/>
    </row>
    <row r="1179" spans="1:43" s="18" customFormat="1" x14ac:dyDescent="0.3">
      <c r="A1179" s="228" t="s">
        <v>1451</v>
      </c>
      <c r="B1179" s="18" t="s">
        <v>4838</v>
      </c>
      <c r="C1179" s="228" t="s">
        <v>4841</v>
      </c>
      <c r="D1179" s="18" t="s">
        <v>2439</v>
      </c>
      <c r="E1179" s="228" t="s">
        <v>4842</v>
      </c>
      <c r="F1179" s="18" t="s">
        <v>4843</v>
      </c>
      <c r="G1179" s="228" t="s">
        <v>5008</v>
      </c>
      <c r="H1179" s="18" t="s">
        <v>5009</v>
      </c>
      <c r="I1179" s="228" t="s">
        <v>5057</v>
      </c>
      <c r="J1179" s="18" t="s">
        <v>5058</v>
      </c>
      <c r="K1179" s="228" t="s">
        <v>5059</v>
      </c>
      <c r="L1179" s="18" t="s">
        <v>5060</v>
      </c>
      <c r="P1179" s="16"/>
      <c r="Q1179" s="16"/>
      <c r="R1179" s="16"/>
      <c r="S1179" s="16"/>
      <c r="U1179" s="283" t="e">
        <v>#N/A</v>
      </c>
      <c r="V1179" s="18" t="s">
        <v>5066</v>
      </c>
      <c r="W1179" s="18">
        <v>0</v>
      </c>
      <c r="X1179" s="18">
        <v>0</v>
      </c>
      <c r="Y1179" s="18">
        <v>0</v>
      </c>
      <c r="Z1179" s="18">
        <v>0</v>
      </c>
      <c r="AA1179" s="18">
        <v>0</v>
      </c>
      <c r="AB1179" s="18">
        <v>0</v>
      </c>
      <c r="AC1179" s="316">
        <v>0</v>
      </c>
      <c r="AD1179" s="316">
        <v>0</v>
      </c>
      <c r="AE1179" s="302">
        <f t="shared" si="50"/>
        <v>0</v>
      </c>
      <c r="AF1179" s="176"/>
      <c r="AG1179" s="17">
        <v>0</v>
      </c>
      <c r="AH1179" s="176" t="s">
        <v>2526</v>
      </c>
      <c r="AI1179" s="239" t="s">
        <v>2526</v>
      </c>
      <c r="AJ1179" s="239" t="s">
        <v>2526</v>
      </c>
      <c r="AK1179" s="238" t="s">
        <v>2526</v>
      </c>
      <c r="AL1179" s="238" t="s">
        <v>2526</v>
      </c>
      <c r="AM1179" s="147">
        <f t="shared" si="51"/>
        <v>0</v>
      </c>
      <c r="AN1179" s="157" t="s">
        <v>921</v>
      </c>
      <c r="AO1179" s="157" t="s">
        <v>880</v>
      </c>
      <c r="AP1179" s="240" t="s">
        <v>119</v>
      </c>
      <c r="AQ1179" s="157"/>
    </row>
    <row r="1180" spans="1:43" s="18" customFormat="1" x14ac:dyDescent="0.3">
      <c r="A1180" s="228" t="s">
        <v>1451</v>
      </c>
      <c r="B1180" s="18" t="s">
        <v>4838</v>
      </c>
      <c r="C1180" s="228" t="s">
        <v>4841</v>
      </c>
      <c r="D1180" s="18" t="s">
        <v>2439</v>
      </c>
      <c r="E1180" s="228" t="s">
        <v>4842</v>
      </c>
      <c r="F1180" s="18" t="s">
        <v>4843</v>
      </c>
      <c r="G1180" s="228" t="s">
        <v>5008</v>
      </c>
      <c r="H1180" s="18" t="s">
        <v>5009</v>
      </c>
      <c r="I1180" s="228" t="s">
        <v>5057</v>
      </c>
      <c r="J1180" s="18" t="s">
        <v>5058</v>
      </c>
      <c r="K1180" s="228" t="s">
        <v>5059</v>
      </c>
      <c r="L1180" s="18" t="s">
        <v>5060</v>
      </c>
      <c r="P1180" s="16"/>
      <c r="Q1180" s="16"/>
      <c r="R1180" s="16"/>
      <c r="S1180" s="16"/>
      <c r="U1180" s="283" t="e">
        <v>#N/A</v>
      </c>
      <c r="V1180" s="18" t="s">
        <v>5067</v>
      </c>
      <c r="W1180" s="18">
        <v>0</v>
      </c>
      <c r="X1180" s="18">
        <v>0</v>
      </c>
      <c r="Y1180" s="18">
        <v>0</v>
      </c>
      <c r="Z1180" s="18">
        <v>0</v>
      </c>
      <c r="AA1180" s="18">
        <v>0</v>
      </c>
      <c r="AB1180" s="18">
        <v>0</v>
      </c>
      <c r="AC1180" s="316">
        <v>0</v>
      </c>
      <c r="AD1180" s="316">
        <v>0</v>
      </c>
      <c r="AE1180" s="302">
        <f t="shared" si="50"/>
        <v>0</v>
      </c>
      <c r="AF1180" s="176"/>
      <c r="AG1180" s="17">
        <v>0</v>
      </c>
      <c r="AH1180" s="176" t="s">
        <v>2526</v>
      </c>
      <c r="AI1180" s="239" t="s">
        <v>2526</v>
      </c>
      <c r="AJ1180" s="239" t="s">
        <v>2526</v>
      </c>
      <c r="AK1180" s="238" t="s">
        <v>2526</v>
      </c>
      <c r="AL1180" s="238" t="s">
        <v>2526</v>
      </c>
      <c r="AM1180" s="147">
        <f t="shared" si="51"/>
        <v>0</v>
      </c>
      <c r="AN1180" s="157" t="s">
        <v>921</v>
      </c>
      <c r="AO1180" s="157" t="s">
        <v>880</v>
      </c>
      <c r="AP1180" s="240" t="s">
        <v>119</v>
      </c>
      <c r="AQ1180" s="157"/>
    </row>
    <row r="1181" spans="1:43" s="18" customFormat="1" x14ac:dyDescent="0.3">
      <c r="A1181" s="228" t="s">
        <v>1451</v>
      </c>
      <c r="B1181" s="18" t="s">
        <v>4838</v>
      </c>
      <c r="C1181" s="228" t="s">
        <v>4841</v>
      </c>
      <c r="D1181" s="18" t="s">
        <v>2439</v>
      </c>
      <c r="E1181" s="228" t="s">
        <v>4842</v>
      </c>
      <c r="F1181" s="18" t="s">
        <v>4843</v>
      </c>
      <c r="G1181" s="228" t="s">
        <v>5068</v>
      </c>
      <c r="H1181" s="18" t="s">
        <v>5069</v>
      </c>
      <c r="K1181" s="228" t="s">
        <v>5070</v>
      </c>
      <c r="L1181" s="18" t="s">
        <v>5071</v>
      </c>
      <c r="M1181" s="18" t="s">
        <v>5072</v>
      </c>
      <c r="N1181" s="18">
        <v>0</v>
      </c>
      <c r="O1181" s="18">
        <v>20</v>
      </c>
      <c r="P1181" s="16">
        <v>32</v>
      </c>
      <c r="Q1181" s="16">
        <v>51</v>
      </c>
      <c r="R1181" s="16">
        <v>92</v>
      </c>
      <c r="S1181" s="16"/>
      <c r="T1181" s="18" t="s">
        <v>1175</v>
      </c>
      <c r="U1181" s="283" t="s">
        <v>118</v>
      </c>
      <c r="V1181" s="18" t="s">
        <v>5073</v>
      </c>
      <c r="W1181" s="18">
        <v>1</v>
      </c>
      <c r="X1181" s="18">
        <v>1</v>
      </c>
      <c r="Y1181" s="18">
        <v>1</v>
      </c>
      <c r="Z1181" s="18">
        <v>1</v>
      </c>
      <c r="AA1181" s="18">
        <v>1</v>
      </c>
      <c r="AB1181" s="18">
        <v>1</v>
      </c>
      <c r="AC1181" s="316">
        <v>1</v>
      </c>
      <c r="AD1181" s="316">
        <v>1</v>
      </c>
      <c r="AE1181" s="302">
        <f t="shared" si="50"/>
        <v>1</v>
      </c>
      <c r="AF1181" s="176"/>
      <c r="AG1181" s="17">
        <v>0</v>
      </c>
      <c r="AH1181" s="176">
        <v>1.0900000000000001</v>
      </c>
      <c r="AI1181" s="239">
        <v>1.0900000000000001</v>
      </c>
      <c r="AJ1181" s="239">
        <v>1.23</v>
      </c>
      <c r="AK1181" s="238">
        <v>1</v>
      </c>
      <c r="AL1181" s="238">
        <v>1.36</v>
      </c>
      <c r="AM1181" s="147">
        <f t="shared" si="51"/>
        <v>2.3600000000000003</v>
      </c>
      <c r="AN1181" s="157" t="s">
        <v>265</v>
      </c>
      <c r="AO1181" s="157" t="s">
        <v>350</v>
      </c>
      <c r="AP1181" s="240" t="s">
        <v>5074</v>
      </c>
      <c r="AQ1181" s="157"/>
    </row>
    <row r="1182" spans="1:43" s="18" customFormat="1" x14ac:dyDescent="0.3">
      <c r="A1182" s="228" t="s">
        <v>1451</v>
      </c>
      <c r="B1182" s="18" t="s">
        <v>4838</v>
      </c>
      <c r="C1182" s="228" t="s">
        <v>4841</v>
      </c>
      <c r="D1182" s="18" t="s">
        <v>2439</v>
      </c>
      <c r="E1182" s="228" t="s">
        <v>4842</v>
      </c>
      <c r="F1182" s="18" t="s">
        <v>4843</v>
      </c>
      <c r="G1182" s="228" t="s">
        <v>5068</v>
      </c>
      <c r="H1182" s="18" t="s">
        <v>5069</v>
      </c>
      <c r="K1182" s="228" t="s">
        <v>5070</v>
      </c>
      <c r="L1182" s="18" t="s">
        <v>5071</v>
      </c>
      <c r="M1182" s="18" t="s">
        <v>5075</v>
      </c>
      <c r="N1182" s="18">
        <v>0</v>
      </c>
      <c r="O1182" s="18">
        <v>10000</v>
      </c>
      <c r="P1182" s="16">
        <v>17000</v>
      </c>
      <c r="Q1182" s="16">
        <v>28900</v>
      </c>
      <c r="R1182" s="16">
        <v>49130</v>
      </c>
      <c r="S1182" s="16"/>
      <c r="T1182" s="283" t="s">
        <v>265</v>
      </c>
      <c r="U1182" s="283" t="s">
        <v>350</v>
      </c>
      <c r="V1182" s="18" t="s">
        <v>5076</v>
      </c>
      <c r="W1182" s="18">
        <v>0</v>
      </c>
      <c r="X1182" s="18">
        <v>1</v>
      </c>
      <c r="Y1182" s="18">
        <v>1</v>
      </c>
      <c r="Z1182" s="18">
        <v>1</v>
      </c>
      <c r="AA1182" s="18">
        <v>1</v>
      </c>
      <c r="AB1182" s="18">
        <v>1</v>
      </c>
      <c r="AC1182" s="316">
        <v>1</v>
      </c>
      <c r="AD1182" s="316">
        <v>1</v>
      </c>
      <c r="AE1182" s="302">
        <f t="shared" si="50"/>
        <v>0.875</v>
      </c>
      <c r="AF1182" s="176"/>
      <c r="AG1182" s="17">
        <v>0</v>
      </c>
      <c r="AH1182" s="176">
        <v>2</v>
      </c>
      <c r="AI1182" s="239">
        <v>3</v>
      </c>
      <c r="AJ1182" s="239">
        <v>4</v>
      </c>
      <c r="AK1182" s="237">
        <v>2</v>
      </c>
      <c r="AL1182" s="237">
        <v>4</v>
      </c>
      <c r="AM1182" s="147">
        <f t="shared" si="51"/>
        <v>6</v>
      </c>
      <c r="AN1182" s="157" t="s">
        <v>265</v>
      </c>
      <c r="AO1182" s="157" t="s">
        <v>350</v>
      </c>
      <c r="AP1182" s="240" t="s">
        <v>1175</v>
      </c>
      <c r="AQ1182" s="157"/>
    </row>
    <row r="1183" spans="1:43" s="18" customFormat="1" x14ac:dyDescent="0.3">
      <c r="A1183" s="228" t="s">
        <v>1451</v>
      </c>
      <c r="B1183" s="18" t="s">
        <v>4838</v>
      </c>
      <c r="C1183" s="228" t="s">
        <v>4841</v>
      </c>
      <c r="D1183" s="18" t="s">
        <v>2439</v>
      </c>
      <c r="E1183" s="228" t="s">
        <v>4842</v>
      </c>
      <c r="F1183" s="18" t="s">
        <v>4843</v>
      </c>
      <c r="G1183" s="228" t="s">
        <v>5068</v>
      </c>
      <c r="H1183" s="18" t="s">
        <v>5069</v>
      </c>
      <c r="K1183" s="228" t="s">
        <v>5070</v>
      </c>
      <c r="L1183" s="18" t="s">
        <v>5071</v>
      </c>
      <c r="M1183" s="18" t="s">
        <v>5077</v>
      </c>
      <c r="N1183" s="18">
        <v>0</v>
      </c>
      <c r="O1183" s="18">
        <v>2</v>
      </c>
      <c r="P1183" s="16">
        <v>2</v>
      </c>
      <c r="Q1183" s="16">
        <v>3</v>
      </c>
      <c r="R1183" s="16">
        <v>4</v>
      </c>
      <c r="S1183" s="16">
        <v>5</v>
      </c>
      <c r="T1183" s="18" t="s">
        <v>1175</v>
      </c>
      <c r="U1183" s="283" t="s">
        <v>118</v>
      </c>
      <c r="V1183" s="18" t="s">
        <v>5078</v>
      </c>
      <c r="W1183" s="18">
        <v>1</v>
      </c>
      <c r="X1183" s="18">
        <v>0</v>
      </c>
      <c r="Y1183" s="18">
        <v>1</v>
      </c>
      <c r="Z1183" s="18">
        <v>1</v>
      </c>
      <c r="AA1183" s="18">
        <v>1</v>
      </c>
      <c r="AB1183" s="18">
        <v>1</v>
      </c>
      <c r="AC1183" s="316">
        <v>1</v>
      </c>
      <c r="AD1183" s="316">
        <v>1</v>
      </c>
      <c r="AE1183" s="302">
        <f t="shared" si="50"/>
        <v>0.875</v>
      </c>
      <c r="AF1183" s="176"/>
      <c r="AG1183" s="17">
        <v>0</v>
      </c>
      <c r="AH1183" s="176">
        <v>1.5</v>
      </c>
      <c r="AI1183" s="176">
        <v>2.5</v>
      </c>
      <c r="AJ1183" s="176">
        <v>3</v>
      </c>
      <c r="AK1183" s="237">
        <v>0.5</v>
      </c>
      <c r="AL1183" s="177">
        <v>2.5</v>
      </c>
      <c r="AM1183" s="147">
        <f t="shared" si="51"/>
        <v>3</v>
      </c>
      <c r="AN1183" s="18" t="s">
        <v>1177</v>
      </c>
      <c r="AO1183" s="18" t="s">
        <v>350</v>
      </c>
      <c r="AP1183" s="240" t="s">
        <v>5079</v>
      </c>
      <c r="AQ1183" s="157"/>
    </row>
    <row r="1184" spans="1:43" s="18" customFormat="1" x14ac:dyDescent="0.3">
      <c r="A1184" s="228" t="s">
        <v>1451</v>
      </c>
      <c r="B1184" s="18" t="s">
        <v>4838</v>
      </c>
      <c r="C1184" s="228" t="s">
        <v>4841</v>
      </c>
      <c r="D1184" s="18" t="s">
        <v>2439</v>
      </c>
      <c r="E1184" s="228" t="s">
        <v>4842</v>
      </c>
      <c r="F1184" s="18" t="s">
        <v>4843</v>
      </c>
      <c r="G1184" s="228" t="s">
        <v>5068</v>
      </c>
      <c r="H1184" s="18" t="s">
        <v>5069</v>
      </c>
      <c r="K1184" s="228" t="s">
        <v>5070</v>
      </c>
      <c r="L1184" s="18" t="s">
        <v>5071</v>
      </c>
      <c r="M1184" s="18" t="s">
        <v>5080</v>
      </c>
      <c r="N1184" s="18">
        <v>0</v>
      </c>
      <c r="O1184" s="18">
        <v>5</v>
      </c>
      <c r="P1184" s="16">
        <v>5</v>
      </c>
      <c r="Q1184" s="16">
        <v>10</v>
      </c>
      <c r="R1184" s="16">
        <v>15</v>
      </c>
      <c r="S1184" s="16">
        <v>20</v>
      </c>
      <c r="T1184" s="18" t="s">
        <v>1446</v>
      </c>
      <c r="U1184" s="283" t="s">
        <v>3715</v>
      </c>
      <c r="V1184" s="18" t="s">
        <v>5081</v>
      </c>
      <c r="W1184" s="18">
        <v>1</v>
      </c>
      <c r="X1184" s="18">
        <v>0</v>
      </c>
      <c r="Y1184" s="18">
        <v>0</v>
      </c>
      <c r="Z1184" s="18">
        <v>1</v>
      </c>
      <c r="AA1184" s="18">
        <v>1</v>
      </c>
      <c r="AB1184" s="18">
        <v>0</v>
      </c>
      <c r="AC1184" s="316">
        <v>0</v>
      </c>
      <c r="AD1184" s="316">
        <v>1</v>
      </c>
      <c r="AE1184" s="302">
        <f t="shared" si="50"/>
        <v>0.5</v>
      </c>
      <c r="AF1184" s="176"/>
      <c r="AG1184" s="17">
        <v>0</v>
      </c>
      <c r="AH1184" s="176" t="s">
        <v>2526</v>
      </c>
      <c r="AI1184" s="176" t="s">
        <v>2526</v>
      </c>
      <c r="AJ1184" s="176" t="s">
        <v>2526</v>
      </c>
      <c r="AK1184" s="177" t="s">
        <v>2526</v>
      </c>
      <c r="AL1184" s="177" t="s">
        <v>2526</v>
      </c>
      <c r="AM1184" s="147">
        <f t="shared" si="51"/>
        <v>0</v>
      </c>
      <c r="AN1184" s="18" t="s">
        <v>1446</v>
      </c>
      <c r="AO1184" s="18" t="s">
        <v>3715</v>
      </c>
      <c r="AP1184" s="240" t="s">
        <v>119</v>
      </c>
      <c r="AQ1184" s="157"/>
    </row>
    <row r="1185" spans="1:43" s="18" customFormat="1" x14ac:dyDescent="0.3">
      <c r="A1185" s="228" t="s">
        <v>1451</v>
      </c>
      <c r="B1185" s="18" t="s">
        <v>4838</v>
      </c>
      <c r="C1185" s="228" t="s">
        <v>4841</v>
      </c>
      <c r="D1185" s="18" t="s">
        <v>2439</v>
      </c>
      <c r="E1185" s="228" t="s">
        <v>4842</v>
      </c>
      <c r="F1185" s="18" t="s">
        <v>4843</v>
      </c>
      <c r="G1185" s="228" t="s">
        <v>5068</v>
      </c>
      <c r="H1185" s="18" t="s">
        <v>5069</v>
      </c>
      <c r="K1185" s="228" t="s">
        <v>5070</v>
      </c>
      <c r="L1185" s="18" t="s">
        <v>5071</v>
      </c>
      <c r="M1185" s="18" t="s">
        <v>5082</v>
      </c>
      <c r="N1185" s="18">
        <v>10</v>
      </c>
      <c r="O1185" s="18">
        <v>10</v>
      </c>
      <c r="P1185" s="16">
        <v>40</v>
      </c>
      <c r="Q1185" s="16">
        <v>60</v>
      </c>
      <c r="R1185" s="16">
        <v>80</v>
      </c>
      <c r="S1185" s="16">
        <v>100</v>
      </c>
      <c r="T1185" s="18" t="s">
        <v>1446</v>
      </c>
      <c r="U1185" s="283" t="s">
        <v>3715</v>
      </c>
      <c r="V1185" s="18" t="s">
        <v>5083</v>
      </c>
      <c r="W1185" s="18">
        <v>0</v>
      </c>
      <c r="X1185" s="18">
        <v>0</v>
      </c>
      <c r="Y1185" s="18">
        <v>0</v>
      </c>
      <c r="Z1185" s="18">
        <v>0</v>
      </c>
      <c r="AA1185" s="18">
        <v>0</v>
      </c>
      <c r="AB1185" s="18">
        <v>0</v>
      </c>
      <c r="AC1185" s="316">
        <v>0</v>
      </c>
      <c r="AD1185" s="316">
        <v>0</v>
      </c>
      <c r="AE1185" s="302">
        <f t="shared" ref="AE1185:AE1248" si="52">SUM(W1185:AD1185)/8</f>
        <v>0</v>
      </c>
      <c r="AF1185" s="176"/>
      <c r="AG1185" s="17">
        <v>0</v>
      </c>
      <c r="AH1185" s="176" t="s">
        <v>2526</v>
      </c>
      <c r="AI1185" s="176" t="s">
        <v>2526</v>
      </c>
      <c r="AJ1185" s="176" t="s">
        <v>2526</v>
      </c>
      <c r="AK1185" s="177" t="s">
        <v>2526</v>
      </c>
      <c r="AL1185" s="177" t="s">
        <v>2526</v>
      </c>
      <c r="AM1185" s="147">
        <f t="shared" si="51"/>
        <v>0</v>
      </c>
      <c r="AN1185" s="18" t="s">
        <v>1446</v>
      </c>
      <c r="AO1185" s="18" t="s">
        <v>3715</v>
      </c>
      <c r="AP1185" s="240" t="s">
        <v>119</v>
      </c>
      <c r="AQ1185" s="157"/>
    </row>
    <row r="1186" spans="1:43" s="18" customFormat="1" x14ac:dyDescent="0.3">
      <c r="A1186" s="228" t="s">
        <v>1451</v>
      </c>
      <c r="B1186" s="18" t="s">
        <v>4838</v>
      </c>
      <c r="C1186" s="228" t="s">
        <v>4841</v>
      </c>
      <c r="D1186" s="18" t="s">
        <v>2439</v>
      </c>
      <c r="E1186" s="228" t="s">
        <v>4842</v>
      </c>
      <c r="F1186" s="18" t="s">
        <v>4843</v>
      </c>
      <c r="G1186" s="228" t="s">
        <v>5068</v>
      </c>
      <c r="H1186" s="18" t="s">
        <v>5069</v>
      </c>
      <c r="K1186" s="228" t="s">
        <v>5070</v>
      </c>
      <c r="L1186" s="18" t="s">
        <v>5071</v>
      </c>
      <c r="P1186" s="16"/>
      <c r="Q1186" s="16"/>
      <c r="R1186" s="16"/>
      <c r="S1186" s="16"/>
      <c r="U1186" s="283" t="e">
        <v>#N/A</v>
      </c>
      <c r="V1186" s="18" t="s">
        <v>5084</v>
      </c>
      <c r="W1186" s="18">
        <v>1</v>
      </c>
      <c r="X1186" s="18">
        <v>1</v>
      </c>
      <c r="Y1186" s="18">
        <v>0</v>
      </c>
      <c r="Z1186" s="18">
        <v>1</v>
      </c>
      <c r="AA1186" s="18">
        <v>1</v>
      </c>
      <c r="AB1186" s="18">
        <v>1</v>
      </c>
      <c r="AC1186" s="316">
        <v>1</v>
      </c>
      <c r="AD1186" s="316">
        <v>1</v>
      </c>
      <c r="AE1186" s="302">
        <f t="shared" si="52"/>
        <v>0.875</v>
      </c>
      <c r="AF1186" s="176"/>
      <c r="AG1186" s="17">
        <v>0</v>
      </c>
      <c r="AH1186" s="176" t="s">
        <v>2526</v>
      </c>
      <c r="AI1186" s="176" t="s">
        <v>2526</v>
      </c>
      <c r="AJ1186" s="176" t="s">
        <v>2526</v>
      </c>
      <c r="AK1186" s="177" t="s">
        <v>2526</v>
      </c>
      <c r="AL1186" s="177" t="s">
        <v>2526</v>
      </c>
      <c r="AM1186" s="147">
        <f t="shared" si="51"/>
        <v>0</v>
      </c>
      <c r="AN1186" s="18" t="s">
        <v>1446</v>
      </c>
      <c r="AO1186" s="18" t="s">
        <v>3715</v>
      </c>
      <c r="AP1186" s="240" t="s">
        <v>119</v>
      </c>
      <c r="AQ1186" s="157"/>
    </row>
    <row r="1187" spans="1:43" s="18" customFormat="1" x14ac:dyDescent="0.3">
      <c r="A1187" s="228" t="s">
        <v>1451</v>
      </c>
      <c r="B1187" s="18" t="s">
        <v>4838</v>
      </c>
      <c r="C1187" s="228" t="s">
        <v>4841</v>
      </c>
      <c r="D1187" s="18" t="s">
        <v>2439</v>
      </c>
      <c r="E1187" s="228" t="s">
        <v>4842</v>
      </c>
      <c r="F1187" s="18" t="s">
        <v>4843</v>
      </c>
      <c r="G1187" s="228" t="s">
        <v>5068</v>
      </c>
      <c r="H1187" s="18" t="s">
        <v>5069</v>
      </c>
      <c r="K1187" s="228" t="s">
        <v>5070</v>
      </c>
      <c r="L1187" s="18" t="s">
        <v>5071</v>
      </c>
      <c r="P1187" s="16"/>
      <c r="Q1187" s="16"/>
      <c r="R1187" s="16"/>
      <c r="S1187" s="16"/>
      <c r="U1187" s="283" t="e">
        <v>#N/A</v>
      </c>
      <c r="V1187" s="18" t="s">
        <v>5085</v>
      </c>
      <c r="W1187" s="18">
        <v>1</v>
      </c>
      <c r="X1187" s="18">
        <v>0</v>
      </c>
      <c r="Y1187" s="18">
        <v>1</v>
      </c>
      <c r="Z1187" s="18">
        <v>1</v>
      </c>
      <c r="AA1187" s="18">
        <v>1</v>
      </c>
      <c r="AB1187" s="18">
        <v>0</v>
      </c>
      <c r="AC1187" s="316">
        <v>1</v>
      </c>
      <c r="AD1187" s="316">
        <v>1</v>
      </c>
      <c r="AE1187" s="302">
        <f t="shared" si="52"/>
        <v>0.75</v>
      </c>
      <c r="AF1187" s="176"/>
      <c r="AG1187" s="17">
        <v>0</v>
      </c>
      <c r="AH1187" s="176" t="s">
        <v>2526</v>
      </c>
      <c r="AI1187" s="176">
        <v>1</v>
      </c>
      <c r="AJ1187" s="176">
        <v>1</v>
      </c>
      <c r="AK1187" s="177">
        <v>1</v>
      </c>
      <c r="AL1187" s="177">
        <v>1</v>
      </c>
      <c r="AM1187" s="147">
        <f t="shared" si="51"/>
        <v>2</v>
      </c>
      <c r="AN1187" s="18" t="s">
        <v>1446</v>
      </c>
      <c r="AO1187" s="18" t="s">
        <v>3715</v>
      </c>
      <c r="AP1187" s="240" t="s">
        <v>5086</v>
      </c>
      <c r="AQ1187" s="157"/>
    </row>
    <row r="1188" spans="1:43" s="18" customFormat="1" x14ac:dyDescent="0.3">
      <c r="A1188" s="228" t="s">
        <v>1451</v>
      </c>
      <c r="B1188" s="18" t="s">
        <v>4838</v>
      </c>
      <c r="C1188" s="228" t="s">
        <v>4841</v>
      </c>
      <c r="D1188" s="18" t="s">
        <v>2439</v>
      </c>
      <c r="E1188" s="228" t="s">
        <v>4842</v>
      </c>
      <c r="F1188" s="18" t="s">
        <v>4843</v>
      </c>
      <c r="G1188" s="228" t="s">
        <v>5068</v>
      </c>
      <c r="H1188" s="18" t="s">
        <v>5069</v>
      </c>
      <c r="K1188" s="228" t="s">
        <v>5087</v>
      </c>
      <c r="L1188" s="18" t="s">
        <v>5088</v>
      </c>
      <c r="M1188" s="18" t="s">
        <v>5089</v>
      </c>
      <c r="N1188" s="18">
        <v>10500</v>
      </c>
      <c r="O1188" s="18">
        <v>25</v>
      </c>
      <c r="P1188" s="16">
        <v>25</v>
      </c>
      <c r="Q1188" s="16">
        <v>25</v>
      </c>
      <c r="R1188" s="16">
        <v>25</v>
      </c>
      <c r="S1188" s="16">
        <v>25</v>
      </c>
      <c r="T1188" s="18" t="s">
        <v>5090</v>
      </c>
      <c r="U1188" s="283" t="e">
        <v>#N/A</v>
      </c>
      <c r="V1188" s="18" t="s">
        <v>5091</v>
      </c>
      <c r="W1188" s="18">
        <v>0</v>
      </c>
      <c r="X1188" s="18">
        <v>0</v>
      </c>
      <c r="Y1188" s="18">
        <v>0</v>
      </c>
      <c r="Z1188" s="18">
        <v>0</v>
      </c>
      <c r="AA1188" s="18">
        <v>0</v>
      </c>
      <c r="AB1188" s="18">
        <v>0</v>
      </c>
      <c r="AC1188" s="316">
        <v>0</v>
      </c>
      <c r="AD1188" s="316">
        <v>0</v>
      </c>
      <c r="AE1188" s="302">
        <f t="shared" si="52"/>
        <v>0</v>
      </c>
      <c r="AF1188" s="176"/>
      <c r="AG1188" s="17">
        <v>0</v>
      </c>
      <c r="AH1188" s="176">
        <v>0.81</v>
      </c>
      <c r="AI1188" s="176">
        <v>0.81</v>
      </c>
      <c r="AJ1188" s="176">
        <v>0.91</v>
      </c>
      <c r="AK1188" s="246">
        <v>0</v>
      </c>
      <c r="AL1188" s="246">
        <v>0</v>
      </c>
      <c r="AM1188" s="147">
        <f t="shared" si="51"/>
        <v>0</v>
      </c>
      <c r="AN1188" s="18" t="s">
        <v>2074</v>
      </c>
      <c r="AO1188" s="18" t="s">
        <v>2075</v>
      </c>
      <c r="AP1188" s="240" t="s">
        <v>239</v>
      </c>
      <c r="AQ1188" s="157"/>
    </row>
    <row r="1189" spans="1:43" s="18" customFormat="1" x14ac:dyDescent="0.3">
      <c r="A1189" s="228" t="s">
        <v>1451</v>
      </c>
      <c r="B1189" s="18" t="s">
        <v>4838</v>
      </c>
      <c r="C1189" s="228" t="s">
        <v>4841</v>
      </c>
      <c r="D1189" s="18" t="s">
        <v>2439</v>
      </c>
      <c r="E1189" s="228" t="s">
        <v>4842</v>
      </c>
      <c r="F1189" s="18" t="s">
        <v>4843</v>
      </c>
      <c r="G1189" s="228" t="s">
        <v>5068</v>
      </c>
      <c r="H1189" s="18" t="s">
        <v>5069</v>
      </c>
      <c r="K1189" s="228" t="s">
        <v>5087</v>
      </c>
      <c r="L1189" s="18" t="s">
        <v>5088</v>
      </c>
      <c r="P1189" s="16"/>
      <c r="Q1189" s="16"/>
      <c r="R1189" s="16"/>
      <c r="S1189" s="16"/>
      <c r="U1189" s="283" t="e">
        <v>#N/A</v>
      </c>
      <c r="V1189" s="18" t="s">
        <v>5092</v>
      </c>
      <c r="W1189" s="18">
        <v>1</v>
      </c>
      <c r="X1189" s="18">
        <v>1</v>
      </c>
      <c r="Y1189" s="18">
        <v>1</v>
      </c>
      <c r="Z1189" s="18">
        <v>1</v>
      </c>
      <c r="AA1189" s="18">
        <v>1</v>
      </c>
      <c r="AB1189" s="18">
        <v>1</v>
      </c>
      <c r="AC1189" s="316">
        <v>1</v>
      </c>
      <c r="AD1189" s="316">
        <v>1</v>
      </c>
      <c r="AE1189" s="302">
        <f t="shared" si="52"/>
        <v>1</v>
      </c>
      <c r="AF1189" s="176"/>
      <c r="AG1189" s="17">
        <v>0</v>
      </c>
      <c r="AH1189" s="176">
        <v>0.1</v>
      </c>
      <c r="AI1189" s="239">
        <v>0.1</v>
      </c>
      <c r="AJ1189" s="239">
        <v>0.1</v>
      </c>
      <c r="AK1189" s="238">
        <v>0.1</v>
      </c>
      <c r="AL1189" s="238">
        <v>0.1</v>
      </c>
      <c r="AM1189" s="147">
        <f t="shared" si="51"/>
        <v>0.2</v>
      </c>
      <c r="AN1189" s="157" t="s">
        <v>869</v>
      </c>
      <c r="AO1189" s="157" t="s">
        <v>871</v>
      </c>
      <c r="AP1189" s="240" t="s">
        <v>5093</v>
      </c>
      <c r="AQ1189" s="157"/>
    </row>
    <row r="1190" spans="1:43" s="18" customFormat="1" x14ac:dyDescent="0.3">
      <c r="A1190" s="228" t="s">
        <v>1451</v>
      </c>
      <c r="B1190" s="18" t="s">
        <v>4838</v>
      </c>
      <c r="C1190" s="228" t="s">
        <v>4841</v>
      </c>
      <c r="D1190" s="18" t="s">
        <v>2439</v>
      </c>
      <c r="E1190" s="228" t="s">
        <v>4842</v>
      </c>
      <c r="F1190" s="18" t="s">
        <v>4843</v>
      </c>
      <c r="G1190" s="228" t="s">
        <v>5068</v>
      </c>
      <c r="H1190" s="18" t="s">
        <v>5069</v>
      </c>
      <c r="K1190" s="228" t="s">
        <v>5087</v>
      </c>
      <c r="L1190" s="18" t="s">
        <v>5088</v>
      </c>
      <c r="P1190" s="16"/>
      <c r="Q1190" s="16"/>
      <c r="R1190" s="16"/>
      <c r="S1190" s="16"/>
      <c r="U1190" s="283" t="e">
        <v>#N/A</v>
      </c>
      <c r="V1190" s="18" t="s">
        <v>5094</v>
      </c>
      <c r="W1190" s="18">
        <v>0</v>
      </c>
      <c r="X1190" s="18">
        <v>0</v>
      </c>
      <c r="Y1190" s="18">
        <v>0</v>
      </c>
      <c r="Z1190" s="18">
        <v>0</v>
      </c>
      <c r="AA1190" s="18">
        <v>0</v>
      </c>
      <c r="AB1190" s="18">
        <v>0</v>
      </c>
      <c r="AC1190" s="316">
        <v>0</v>
      </c>
      <c r="AD1190" s="316">
        <v>0</v>
      </c>
      <c r="AE1190" s="302">
        <f t="shared" si="52"/>
        <v>0</v>
      </c>
      <c r="AF1190" s="176"/>
      <c r="AG1190" s="17">
        <v>0</v>
      </c>
      <c r="AH1190" s="176" t="s">
        <v>2526</v>
      </c>
      <c r="AI1190" s="239">
        <v>4.74</v>
      </c>
      <c r="AJ1190" s="239">
        <v>4.74</v>
      </c>
      <c r="AK1190" s="241">
        <v>0</v>
      </c>
      <c r="AL1190" s="241">
        <v>0</v>
      </c>
      <c r="AM1190" s="147">
        <f t="shared" si="51"/>
        <v>0</v>
      </c>
      <c r="AN1190" s="157" t="s">
        <v>1446</v>
      </c>
      <c r="AO1190" s="157" t="s">
        <v>3715</v>
      </c>
      <c r="AP1190" s="240" t="s">
        <v>5095</v>
      </c>
      <c r="AQ1190" s="157"/>
    </row>
    <row r="1191" spans="1:43" s="18" customFormat="1" x14ac:dyDescent="0.3">
      <c r="A1191" s="228" t="s">
        <v>1451</v>
      </c>
      <c r="B1191" s="18" t="s">
        <v>4838</v>
      </c>
      <c r="C1191" s="228" t="s">
        <v>4841</v>
      </c>
      <c r="D1191" s="18" t="s">
        <v>2439</v>
      </c>
      <c r="E1191" s="228" t="s">
        <v>4842</v>
      </c>
      <c r="F1191" s="18" t="s">
        <v>4843</v>
      </c>
      <c r="G1191" s="228" t="s">
        <v>5068</v>
      </c>
      <c r="H1191" s="18" t="s">
        <v>5069</v>
      </c>
      <c r="K1191" s="228" t="s">
        <v>5087</v>
      </c>
      <c r="L1191" s="18" t="s">
        <v>5088</v>
      </c>
      <c r="P1191" s="16"/>
      <c r="Q1191" s="16"/>
      <c r="R1191" s="16"/>
      <c r="S1191" s="16"/>
      <c r="U1191" s="283" t="e">
        <v>#N/A</v>
      </c>
      <c r="V1191" s="18" t="s">
        <v>5096</v>
      </c>
      <c r="W1191" s="18">
        <v>0</v>
      </c>
      <c r="X1191" s="18">
        <v>0</v>
      </c>
      <c r="Y1191" s="18">
        <v>0</v>
      </c>
      <c r="Z1191" s="18">
        <v>0</v>
      </c>
      <c r="AA1191" s="18">
        <v>0</v>
      </c>
      <c r="AB1191" s="18">
        <v>0</v>
      </c>
      <c r="AC1191" s="316">
        <v>0</v>
      </c>
      <c r="AD1191" s="316">
        <v>0</v>
      </c>
      <c r="AE1191" s="302">
        <f t="shared" si="52"/>
        <v>0</v>
      </c>
      <c r="AF1191" s="176"/>
      <c r="AG1191" s="17">
        <v>0</v>
      </c>
      <c r="AH1191" s="176">
        <v>0</v>
      </c>
      <c r="AI1191" s="176">
        <v>1.18</v>
      </c>
      <c r="AJ1191" s="234">
        <v>1.18</v>
      </c>
      <c r="AK1191" s="247">
        <v>0</v>
      </c>
      <c r="AL1191" s="247">
        <v>0</v>
      </c>
      <c r="AM1191" s="147">
        <f t="shared" si="51"/>
        <v>0</v>
      </c>
      <c r="AN1191" s="236" t="s">
        <v>1446</v>
      </c>
      <c r="AO1191" s="236" t="s">
        <v>3715</v>
      </c>
      <c r="AP1191" s="228" t="s">
        <v>5097</v>
      </c>
    </row>
    <row r="1192" spans="1:43" s="18" customFormat="1" x14ac:dyDescent="0.3">
      <c r="A1192" s="228" t="s">
        <v>1451</v>
      </c>
      <c r="B1192" s="18" t="s">
        <v>4838</v>
      </c>
      <c r="C1192" s="228" t="s">
        <v>4841</v>
      </c>
      <c r="D1192" s="18" t="s">
        <v>2439</v>
      </c>
      <c r="E1192" s="228" t="s">
        <v>4842</v>
      </c>
      <c r="F1192" s="18" t="s">
        <v>4843</v>
      </c>
      <c r="G1192" s="228" t="s">
        <v>5068</v>
      </c>
      <c r="H1192" s="18" t="s">
        <v>5069</v>
      </c>
      <c r="K1192" s="228" t="s">
        <v>5098</v>
      </c>
      <c r="L1192" s="18" t="s">
        <v>5099</v>
      </c>
      <c r="M1192" s="18" t="s">
        <v>5100</v>
      </c>
      <c r="N1192" s="18">
        <v>0</v>
      </c>
      <c r="O1192" s="18">
        <v>2</v>
      </c>
      <c r="P1192" s="16">
        <v>2</v>
      </c>
      <c r="Q1192" s="16">
        <v>1</v>
      </c>
      <c r="R1192" s="16">
        <v>1</v>
      </c>
      <c r="S1192" s="16">
        <v>1</v>
      </c>
      <c r="T1192" s="18" t="s">
        <v>869</v>
      </c>
      <c r="U1192" s="283" t="s">
        <v>871</v>
      </c>
      <c r="V1192" s="18" t="s">
        <v>5101</v>
      </c>
      <c r="W1192" s="18">
        <v>1</v>
      </c>
      <c r="X1192" s="18">
        <v>1</v>
      </c>
      <c r="Y1192" s="18">
        <v>0</v>
      </c>
      <c r="Z1192" s="18">
        <v>1</v>
      </c>
      <c r="AA1192" s="18">
        <v>1</v>
      </c>
      <c r="AB1192" s="18">
        <v>1</v>
      </c>
      <c r="AC1192" s="316">
        <v>1</v>
      </c>
      <c r="AD1192" s="316">
        <v>1</v>
      </c>
      <c r="AE1192" s="302">
        <f t="shared" si="52"/>
        <v>0.875</v>
      </c>
      <c r="AF1192" s="176"/>
      <c r="AG1192" s="17">
        <v>0</v>
      </c>
      <c r="AH1192" s="176">
        <v>0.4</v>
      </c>
      <c r="AI1192" s="239">
        <v>0.4</v>
      </c>
      <c r="AJ1192" s="176">
        <v>0.4</v>
      </c>
      <c r="AK1192" s="177">
        <v>0.4</v>
      </c>
      <c r="AL1192" s="177">
        <v>0.4</v>
      </c>
      <c r="AM1192" s="147">
        <f t="shared" si="51"/>
        <v>0.8</v>
      </c>
      <c r="AN1192" s="18" t="s">
        <v>869</v>
      </c>
      <c r="AO1192" s="18" t="s">
        <v>871</v>
      </c>
      <c r="AP1192" s="240" t="s">
        <v>5102</v>
      </c>
      <c r="AQ1192" s="157"/>
    </row>
    <row r="1193" spans="1:43" s="18" customFormat="1" x14ac:dyDescent="0.3">
      <c r="A1193" s="228" t="s">
        <v>1451</v>
      </c>
      <c r="B1193" s="18" t="s">
        <v>4838</v>
      </c>
      <c r="C1193" s="228" t="s">
        <v>4841</v>
      </c>
      <c r="D1193" s="18" t="s">
        <v>2439</v>
      </c>
      <c r="E1193" s="228" t="s">
        <v>4842</v>
      </c>
      <c r="F1193" s="18" t="s">
        <v>4843</v>
      </c>
      <c r="G1193" s="228" t="s">
        <v>5068</v>
      </c>
      <c r="H1193" s="18" t="s">
        <v>5069</v>
      </c>
      <c r="K1193" s="228" t="s">
        <v>5098</v>
      </c>
      <c r="L1193" s="18" t="s">
        <v>5099</v>
      </c>
      <c r="P1193" s="16"/>
      <c r="Q1193" s="16"/>
      <c r="R1193" s="16"/>
      <c r="S1193" s="16"/>
      <c r="U1193" s="283" t="e">
        <v>#N/A</v>
      </c>
      <c r="V1193" s="18" t="s">
        <v>5103</v>
      </c>
      <c r="W1193" s="18">
        <v>1</v>
      </c>
      <c r="X1193" s="18">
        <v>1</v>
      </c>
      <c r="Y1193" s="18">
        <v>1</v>
      </c>
      <c r="Z1193" s="18">
        <v>1</v>
      </c>
      <c r="AA1193" s="18">
        <v>1</v>
      </c>
      <c r="AB1193" s="18">
        <v>1</v>
      </c>
      <c r="AC1193" s="18">
        <v>1</v>
      </c>
      <c r="AD1193" s="18">
        <v>1</v>
      </c>
      <c r="AE1193" s="302">
        <f t="shared" si="52"/>
        <v>1</v>
      </c>
      <c r="AF1193" s="239"/>
      <c r="AG1193" s="17">
        <v>0</v>
      </c>
      <c r="AH1193" s="239">
        <v>2.2999999999999998</v>
      </c>
      <c r="AI1193" s="239">
        <v>2.2999999999999998</v>
      </c>
      <c r="AJ1193" s="239">
        <v>2.2999999999999998</v>
      </c>
      <c r="AK1193" s="238">
        <v>1</v>
      </c>
      <c r="AL1193" s="238">
        <v>1</v>
      </c>
      <c r="AM1193" s="147">
        <f t="shared" si="51"/>
        <v>2</v>
      </c>
      <c r="AN1193" s="157" t="s">
        <v>869</v>
      </c>
      <c r="AO1193" s="157" t="s">
        <v>871</v>
      </c>
      <c r="AP1193" s="240" t="s">
        <v>5104</v>
      </c>
      <c r="AQ1193" s="157"/>
    </row>
    <row r="1194" spans="1:43" s="18" customFormat="1" x14ac:dyDescent="0.3">
      <c r="A1194" s="228" t="s">
        <v>1451</v>
      </c>
      <c r="B1194" s="18" t="s">
        <v>4838</v>
      </c>
      <c r="C1194" s="228" t="s">
        <v>4841</v>
      </c>
      <c r="D1194" s="18" t="s">
        <v>2439</v>
      </c>
      <c r="E1194" s="228" t="s">
        <v>4842</v>
      </c>
      <c r="F1194" s="18" t="s">
        <v>4843</v>
      </c>
      <c r="G1194" s="228" t="s">
        <v>5068</v>
      </c>
      <c r="H1194" s="18" t="s">
        <v>5069</v>
      </c>
      <c r="K1194" s="228" t="s">
        <v>5098</v>
      </c>
      <c r="L1194" s="18" t="s">
        <v>5099</v>
      </c>
      <c r="P1194" s="16"/>
      <c r="Q1194" s="16"/>
      <c r="R1194" s="16"/>
      <c r="S1194" s="16"/>
      <c r="U1194" s="283" t="e">
        <v>#N/A</v>
      </c>
      <c r="V1194" s="18" t="s">
        <v>5105</v>
      </c>
      <c r="W1194" s="18">
        <v>1</v>
      </c>
      <c r="X1194" s="18">
        <v>0</v>
      </c>
      <c r="Y1194" s="18">
        <v>0</v>
      </c>
      <c r="Z1194" s="18">
        <v>1</v>
      </c>
      <c r="AA1194" s="18">
        <v>1</v>
      </c>
      <c r="AB1194" s="18">
        <v>1</v>
      </c>
      <c r="AC1194" s="316">
        <v>1</v>
      </c>
      <c r="AD1194" s="316">
        <v>1</v>
      </c>
      <c r="AE1194" s="302">
        <f t="shared" si="52"/>
        <v>0.75</v>
      </c>
      <c r="AF1194" s="239"/>
      <c r="AG1194" s="17">
        <v>0</v>
      </c>
      <c r="AH1194" s="239">
        <v>0.5</v>
      </c>
      <c r="AI1194" s="239">
        <v>0.5</v>
      </c>
      <c r="AJ1194" s="239">
        <v>0.5</v>
      </c>
      <c r="AK1194" s="238">
        <v>0.5</v>
      </c>
      <c r="AL1194" s="238">
        <v>0.5</v>
      </c>
      <c r="AM1194" s="147">
        <f t="shared" si="51"/>
        <v>1</v>
      </c>
      <c r="AN1194" s="157" t="s">
        <v>869</v>
      </c>
      <c r="AO1194" s="157" t="s">
        <v>871</v>
      </c>
      <c r="AP1194" s="240" t="s">
        <v>5106</v>
      </c>
      <c r="AQ1194" s="157"/>
    </row>
    <row r="1195" spans="1:43" s="18" customFormat="1" x14ac:dyDescent="0.3">
      <c r="A1195" s="228" t="s">
        <v>1451</v>
      </c>
      <c r="B1195" s="18" t="s">
        <v>4838</v>
      </c>
      <c r="C1195" s="228" t="s">
        <v>4841</v>
      </c>
      <c r="D1195" s="18" t="s">
        <v>2439</v>
      </c>
      <c r="E1195" s="228" t="s">
        <v>4842</v>
      </c>
      <c r="F1195" s="18" t="s">
        <v>4843</v>
      </c>
      <c r="G1195" s="228" t="s">
        <v>5068</v>
      </c>
      <c r="H1195" s="18" t="s">
        <v>5069</v>
      </c>
      <c r="K1195" s="228" t="s">
        <v>5098</v>
      </c>
      <c r="L1195" s="18" t="s">
        <v>5099</v>
      </c>
      <c r="P1195" s="16"/>
      <c r="Q1195" s="16"/>
      <c r="R1195" s="16"/>
      <c r="S1195" s="16"/>
      <c r="U1195" s="283" t="e">
        <v>#N/A</v>
      </c>
      <c r="V1195" s="18" t="s">
        <v>5107</v>
      </c>
      <c r="W1195" s="18">
        <v>1</v>
      </c>
      <c r="X1195" s="18">
        <v>1</v>
      </c>
      <c r="Y1195" s="18">
        <v>1</v>
      </c>
      <c r="Z1195" s="18">
        <v>1</v>
      </c>
      <c r="AA1195" s="18">
        <v>1</v>
      </c>
      <c r="AB1195" s="18">
        <v>1</v>
      </c>
      <c r="AC1195" s="316">
        <v>1</v>
      </c>
      <c r="AD1195" s="316">
        <v>1</v>
      </c>
      <c r="AE1195" s="302">
        <f t="shared" si="52"/>
        <v>1</v>
      </c>
      <c r="AF1195" s="176"/>
      <c r="AG1195" s="17">
        <v>0</v>
      </c>
      <c r="AH1195" s="176">
        <v>3</v>
      </c>
      <c r="AI1195" s="239">
        <v>2</v>
      </c>
      <c r="AJ1195" s="239">
        <v>1</v>
      </c>
      <c r="AK1195" s="238">
        <v>1</v>
      </c>
      <c r="AL1195" s="238">
        <v>1</v>
      </c>
      <c r="AM1195" s="147">
        <f t="shared" si="51"/>
        <v>2</v>
      </c>
      <c r="AN1195" s="157" t="s">
        <v>869</v>
      </c>
      <c r="AO1195" s="157" t="s">
        <v>871</v>
      </c>
      <c r="AP1195" s="240" t="s">
        <v>5108</v>
      </c>
      <c r="AQ1195" s="157"/>
    </row>
    <row r="1196" spans="1:43" s="18" customFormat="1" x14ac:dyDescent="0.3">
      <c r="A1196" s="228" t="s">
        <v>1451</v>
      </c>
      <c r="B1196" s="18" t="s">
        <v>4838</v>
      </c>
      <c r="C1196" s="228" t="s">
        <v>4841</v>
      </c>
      <c r="D1196" s="18" t="s">
        <v>2439</v>
      </c>
      <c r="E1196" s="228" t="s">
        <v>4842</v>
      </c>
      <c r="F1196" s="18" t="s">
        <v>4843</v>
      </c>
      <c r="G1196" s="228" t="s">
        <v>5068</v>
      </c>
      <c r="H1196" s="18" t="s">
        <v>5069</v>
      </c>
      <c r="K1196" s="228" t="s">
        <v>5109</v>
      </c>
      <c r="L1196" s="18" t="s">
        <v>5110</v>
      </c>
      <c r="M1196" s="18" t="s">
        <v>5111</v>
      </c>
      <c r="N1196" s="18" t="s">
        <v>3763</v>
      </c>
      <c r="O1196" s="18" t="s">
        <v>3763</v>
      </c>
      <c r="P1196" s="16" t="s">
        <v>3763</v>
      </c>
      <c r="Q1196" s="16" t="s">
        <v>3548</v>
      </c>
      <c r="R1196" s="16" t="s">
        <v>3709</v>
      </c>
      <c r="S1196" s="16" t="s">
        <v>5112</v>
      </c>
      <c r="T1196" s="18" t="s">
        <v>869</v>
      </c>
      <c r="U1196" s="283" t="s">
        <v>871</v>
      </c>
      <c r="V1196" s="18" t="s">
        <v>5113</v>
      </c>
      <c r="W1196" s="18">
        <v>0</v>
      </c>
      <c r="X1196" s="18">
        <v>0</v>
      </c>
      <c r="Y1196" s="18">
        <v>0</v>
      </c>
      <c r="Z1196" s="18">
        <v>0</v>
      </c>
      <c r="AA1196" s="18">
        <v>0</v>
      </c>
      <c r="AB1196" s="18">
        <v>0</v>
      </c>
      <c r="AC1196" s="316">
        <v>0</v>
      </c>
      <c r="AD1196" s="316">
        <v>0</v>
      </c>
      <c r="AE1196" s="302">
        <f t="shared" si="52"/>
        <v>0</v>
      </c>
      <c r="AF1196" s="239"/>
      <c r="AG1196" s="17">
        <v>0</v>
      </c>
      <c r="AH1196" s="239">
        <v>0</v>
      </c>
      <c r="AI1196" s="239">
        <v>0</v>
      </c>
      <c r="AJ1196" s="239">
        <v>0</v>
      </c>
      <c r="AK1196" s="238">
        <v>0</v>
      </c>
      <c r="AL1196" s="238">
        <v>0</v>
      </c>
      <c r="AM1196" s="147">
        <f t="shared" si="51"/>
        <v>0</v>
      </c>
      <c r="AN1196" s="157" t="s">
        <v>1035</v>
      </c>
      <c r="AO1196" s="157" t="s">
        <v>1037</v>
      </c>
      <c r="AP1196" s="240" t="s">
        <v>119</v>
      </c>
      <c r="AQ1196" s="157"/>
    </row>
    <row r="1197" spans="1:43" s="18" customFormat="1" x14ac:dyDescent="0.3">
      <c r="A1197" s="228" t="s">
        <v>1451</v>
      </c>
      <c r="B1197" s="18" t="s">
        <v>4838</v>
      </c>
      <c r="C1197" s="228" t="s">
        <v>5114</v>
      </c>
      <c r="D1197" s="18" t="s">
        <v>5115</v>
      </c>
      <c r="E1197" s="228" t="s">
        <v>5116</v>
      </c>
      <c r="F1197" s="18" t="s">
        <v>5117</v>
      </c>
      <c r="G1197" s="228" t="s">
        <v>5118</v>
      </c>
      <c r="H1197" s="18" t="s">
        <v>5119</v>
      </c>
      <c r="I1197" s="228" t="s">
        <v>5120</v>
      </c>
      <c r="J1197" s="18" t="s">
        <v>5121</v>
      </c>
      <c r="K1197" s="228" t="s">
        <v>5122</v>
      </c>
      <c r="L1197" s="18" t="s">
        <v>5123</v>
      </c>
      <c r="M1197" s="18" t="s">
        <v>5124</v>
      </c>
      <c r="N1197" s="18">
        <v>1</v>
      </c>
      <c r="O1197" s="18">
        <v>2</v>
      </c>
      <c r="P1197" s="16">
        <v>2</v>
      </c>
      <c r="Q1197" s="16">
        <v>1</v>
      </c>
      <c r="R1197" s="16">
        <v>1</v>
      </c>
      <c r="S1197" s="16">
        <v>1</v>
      </c>
      <c r="T1197" s="18" t="s">
        <v>869</v>
      </c>
      <c r="U1197" s="283" t="s">
        <v>871</v>
      </c>
      <c r="V1197" s="18" t="s">
        <v>5125</v>
      </c>
      <c r="W1197" s="18">
        <v>1</v>
      </c>
      <c r="X1197" s="18">
        <v>1</v>
      </c>
      <c r="Y1197" s="18">
        <v>1</v>
      </c>
      <c r="Z1197" s="18">
        <v>1</v>
      </c>
      <c r="AA1197" s="18">
        <v>1</v>
      </c>
      <c r="AB1197" s="18">
        <v>1</v>
      </c>
      <c r="AC1197" s="316">
        <v>1</v>
      </c>
      <c r="AD1197" s="316">
        <v>0</v>
      </c>
      <c r="AE1197" s="302">
        <f t="shared" si="52"/>
        <v>0.875</v>
      </c>
      <c r="AF1197" s="239"/>
      <c r="AG1197" s="17">
        <v>0</v>
      </c>
      <c r="AH1197" s="239">
        <v>0.2</v>
      </c>
      <c r="AI1197" s="239">
        <v>0.2</v>
      </c>
      <c r="AJ1197" s="239">
        <v>0.2</v>
      </c>
      <c r="AK1197" s="177">
        <v>0.2</v>
      </c>
      <c r="AL1197" s="238">
        <v>0.2</v>
      </c>
      <c r="AM1197" s="147">
        <f t="shared" si="51"/>
        <v>0.4</v>
      </c>
      <c r="AN1197" s="157" t="s">
        <v>265</v>
      </c>
      <c r="AO1197" s="157" t="s">
        <v>350</v>
      </c>
      <c r="AP1197" s="240" t="s">
        <v>5126</v>
      </c>
      <c r="AQ1197" s="157"/>
    </row>
    <row r="1198" spans="1:43" s="18" customFormat="1" x14ac:dyDescent="0.3">
      <c r="A1198" s="228" t="s">
        <v>1451</v>
      </c>
      <c r="B1198" s="18" t="s">
        <v>4838</v>
      </c>
      <c r="C1198" s="228" t="s">
        <v>5114</v>
      </c>
      <c r="D1198" s="18" t="s">
        <v>5115</v>
      </c>
      <c r="E1198" s="228" t="s">
        <v>5116</v>
      </c>
      <c r="F1198" s="18" t="s">
        <v>5117</v>
      </c>
      <c r="G1198" s="228" t="s">
        <v>5118</v>
      </c>
      <c r="H1198" s="18" t="s">
        <v>5119</v>
      </c>
      <c r="I1198" s="228" t="s">
        <v>5120</v>
      </c>
      <c r="J1198" s="18" t="s">
        <v>5121</v>
      </c>
      <c r="K1198" s="228" t="s">
        <v>5122</v>
      </c>
      <c r="L1198" s="18" t="s">
        <v>5123</v>
      </c>
      <c r="M1198" s="18" t="s">
        <v>5127</v>
      </c>
      <c r="N1198" s="18">
        <v>0</v>
      </c>
      <c r="O1198" s="18">
        <v>3</v>
      </c>
      <c r="P1198" s="16">
        <v>2</v>
      </c>
      <c r="Q1198" s="16">
        <v>2</v>
      </c>
      <c r="R1198" s="16">
        <v>2</v>
      </c>
      <c r="S1198" s="16">
        <v>2</v>
      </c>
      <c r="T1198" s="283" t="s">
        <v>265</v>
      </c>
      <c r="U1198" s="283" t="s">
        <v>350</v>
      </c>
      <c r="V1198" s="18" t="s">
        <v>5128</v>
      </c>
      <c r="W1198" s="18">
        <v>1</v>
      </c>
      <c r="X1198" s="18">
        <v>0</v>
      </c>
      <c r="Y1198" s="18">
        <v>0</v>
      </c>
      <c r="Z1198" s="18">
        <v>1</v>
      </c>
      <c r="AA1198" s="18">
        <v>1</v>
      </c>
      <c r="AB1198" s="18">
        <v>0</v>
      </c>
      <c r="AC1198" s="316">
        <v>1</v>
      </c>
      <c r="AD1198" s="316">
        <v>1</v>
      </c>
      <c r="AE1198" s="302">
        <f t="shared" si="52"/>
        <v>0.625</v>
      </c>
      <c r="AF1198" s="239">
        <v>0</v>
      </c>
      <c r="AG1198" s="17">
        <v>0</v>
      </c>
      <c r="AH1198" s="239">
        <v>1.5</v>
      </c>
      <c r="AI1198" s="239">
        <v>0.2</v>
      </c>
      <c r="AJ1198" s="239">
        <v>0.2</v>
      </c>
      <c r="AK1198" s="246">
        <v>0</v>
      </c>
      <c r="AL1198" s="246">
        <v>0</v>
      </c>
      <c r="AM1198" s="147">
        <f t="shared" si="51"/>
        <v>0</v>
      </c>
      <c r="AN1198" s="157" t="s">
        <v>869</v>
      </c>
      <c r="AO1198" s="157" t="s">
        <v>871</v>
      </c>
      <c r="AP1198" s="240" t="s">
        <v>5129</v>
      </c>
      <c r="AQ1198" s="157"/>
    </row>
    <row r="1199" spans="1:43" s="18" customFormat="1" x14ac:dyDescent="0.3">
      <c r="A1199" s="228" t="s">
        <v>1451</v>
      </c>
      <c r="B1199" s="18" t="s">
        <v>4838</v>
      </c>
      <c r="C1199" s="228" t="s">
        <v>5114</v>
      </c>
      <c r="D1199" s="18" t="s">
        <v>5115</v>
      </c>
      <c r="E1199" s="228" t="s">
        <v>5116</v>
      </c>
      <c r="F1199" s="18" t="s">
        <v>5117</v>
      </c>
      <c r="G1199" s="228" t="s">
        <v>5118</v>
      </c>
      <c r="H1199" s="18" t="s">
        <v>5119</v>
      </c>
      <c r="I1199" s="228" t="s">
        <v>5120</v>
      </c>
      <c r="J1199" s="18" t="s">
        <v>5121</v>
      </c>
      <c r="K1199" s="228" t="s">
        <v>5122</v>
      </c>
      <c r="L1199" s="18" t="s">
        <v>5123</v>
      </c>
      <c r="M1199" s="18" t="s">
        <v>5130</v>
      </c>
      <c r="N1199" s="18">
        <v>0</v>
      </c>
      <c r="O1199" s="18">
        <v>500</v>
      </c>
      <c r="P1199" s="16">
        <v>1000</v>
      </c>
      <c r="Q1199" s="16">
        <v>1500</v>
      </c>
      <c r="R1199" s="16">
        <v>2000</v>
      </c>
      <c r="S1199" s="16">
        <v>2500</v>
      </c>
      <c r="T1199" s="18" t="s">
        <v>869</v>
      </c>
      <c r="U1199" s="283" t="s">
        <v>871</v>
      </c>
      <c r="V1199" s="18" t="s">
        <v>5131</v>
      </c>
      <c r="W1199" s="18">
        <v>1</v>
      </c>
      <c r="X1199" s="18">
        <v>1</v>
      </c>
      <c r="Y1199" s="18">
        <v>1</v>
      </c>
      <c r="Z1199" s="18">
        <v>1</v>
      </c>
      <c r="AA1199" s="18">
        <v>1</v>
      </c>
      <c r="AB1199" s="18">
        <v>1</v>
      </c>
      <c r="AC1199" s="316">
        <v>1</v>
      </c>
      <c r="AD1199" s="316">
        <v>1</v>
      </c>
      <c r="AE1199" s="302">
        <f t="shared" si="52"/>
        <v>1</v>
      </c>
      <c r="AF1199" s="239"/>
      <c r="AG1199" s="17">
        <v>0</v>
      </c>
      <c r="AH1199" s="239">
        <v>2.4</v>
      </c>
      <c r="AI1199" s="239">
        <v>2.4</v>
      </c>
      <c r="AJ1199" s="239">
        <v>2.4</v>
      </c>
      <c r="AK1199" s="238">
        <v>2.4</v>
      </c>
      <c r="AL1199" s="238">
        <v>2.4</v>
      </c>
      <c r="AM1199" s="147">
        <f t="shared" si="51"/>
        <v>4.8</v>
      </c>
      <c r="AN1199" s="157" t="s">
        <v>869</v>
      </c>
      <c r="AO1199" s="157" t="s">
        <v>871</v>
      </c>
      <c r="AP1199" s="240" t="s">
        <v>820</v>
      </c>
      <c r="AQ1199" s="157"/>
    </row>
    <row r="1200" spans="1:43" s="18" customFormat="1" x14ac:dyDescent="0.3">
      <c r="A1200" s="228" t="s">
        <v>1451</v>
      </c>
      <c r="B1200" s="18" t="s">
        <v>4838</v>
      </c>
      <c r="C1200" s="228" t="s">
        <v>5114</v>
      </c>
      <c r="D1200" s="18" t="s">
        <v>5115</v>
      </c>
      <c r="E1200" s="228" t="s">
        <v>5116</v>
      </c>
      <c r="F1200" s="18" t="s">
        <v>5117</v>
      </c>
      <c r="G1200" s="228" t="s">
        <v>5118</v>
      </c>
      <c r="H1200" s="18" t="s">
        <v>5119</v>
      </c>
      <c r="I1200" s="228" t="s">
        <v>5120</v>
      </c>
      <c r="J1200" s="18" t="s">
        <v>5121</v>
      </c>
      <c r="K1200" s="228" t="s">
        <v>5122</v>
      </c>
      <c r="L1200" s="18" t="s">
        <v>5123</v>
      </c>
      <c r="M1200" s="18" t="s">
        <v>5132</v>
      </c>
      <c r="O1200" s="18">
        <v>100</v>
      </c>
      <c r="P1200" s="16">
        <v>200</v>
      </c>
      <c r="Q1200" s="16">
        <v>250</v>
      </c>
      <c r="R1200" s="16">
        <v>400</v>
      </c>
      <c r="S1200" s="16">
        <v>500</v>
      </c>
      <c r="T1200" s="283" t="s">
        <v>265</v>
      </c>
      <c r="U1200" s="283" t="s">
        <v>350</v>
      </c>
      <c r="V1200" s="18" t="s">
        <v>5133</v>
      </c>
      <c r="W1200" s="18">
        <v>0</v>
      </c>
      <c r="X1200" s="18">
        <v>0</v>
      </c>
      <c r="Y1200" s="18">
        <v>0</v>
      </c>
      <c r="Z1200" s="18">
        <v>0</v>
      </c>
      <c r="AA1200" s="18">
        <v>0</v>
      </c>
      <c r="AB1200" s="18">
        <v>0</v>
      </c>
      <c r="AC1200" s="316">
        <v>0</v>
      </c>
      <c r="AD1200" s="316">
        <v>0</v>
      </c>
      <c r="AE1200" s="302">
        <f t="shared" si="52"/>
        <v>0</v>
      </c>
      <c r="AF1200" s="239"/>
      <c r="AG1200" s="17">
        <v>0</v>
      </c>
      <c r="AH1200" s="239" t="s">
        <v>2526</v>
      </c>
      <c r="AI1200" s="239" t="s">
        <v>2526</v>
      </c>
      <c r="AJ1200" s="239" t="s">
        <v>2526</v>
      </c>
      <c r="AK1200" s="238" t="s">
        <v>2526</v>
      </c>
      <c r="AL1200" s="238" t="s">
        <v>2526</v>
      </c>
      <c r="AM1200" s="147">
        <f t="shared" si="51"/>
        <v>0</v>
      </c>
      <c r="AN1200" s="157" t="s">
        <v>921</v>
      </c>
      <c r="AO1200" s="157" t="s">
        <v>880</v>
      </c>
      <c r="AP1200" s="240" t="s">
        <v>119</v>
      </c>
      <c r="AQ1200" s="157"/>
    </row>
    <row r="1201" spans="1:43" s="18" customFormat="1" x14ac:dyDescent="0.3">
      <c r="A1201" s="228" t="s">
        <v>1451</v>
      </c>
      <c r="B1201" s="18" t="s">
        <v>4838</v>
      </c>
      <c r="C1201" s="228" t="s">
        <v>5114</v>
      </c>
      <c r="D1201" s="18" t="s">
        <v>5115</v>
      </c>
      <c r="E1201" s="228" t="s">
        <v>5116</v>
      </c>
      <c r="F1201" s="18" t="s">
        <v>5117</v>
      </c>
      <c r="G1201" s="228" t="s">
        <v>5118</v>
      </c>
      <c r="H1201" s="18" t="s">
        <v>5119</v>
      </c>
      <c r="I1201" s="228" t="s">
        <v>5120</v>
      </c>
      <c r="J1201" s="18" t="s">
        <v>5121</v>
      </c>
      <c r="K1201" s="228" t="s">
        <v>5122</v>
      </c>
      <c r="L1201" s="18" t="s">
        <v>5123</v>
      </c>
      <c r="M1201" s="18" t="s">
        <v>5134</v>
      </c>
      <c r="N1201" s="18">
        <v>549</v>
      </c>
      <c r="O1201" s="18">
        <v>1000</v>
      </c>
      <c r="P1201" s="16">
        <v>1500</v>
      </c>
      <c r="Q1201" s="16">
        <v>2000</v>
      </c>
      <c r="R1201" s="16">
        <v>2500</v>
      </c>
      <c r="S1201" s="16">
        <v>3000</v>
      </c>
      <c r="T1201" s="18" t="s">
        <v>5135</v>
      </c>
      <c r="U1201" s="283" t="e">
        <v>#N/A</v>
      </c>
      <c r="V1201" s="18" t="s">
        <v>5136</v>
      </c>
      <c r="W1201" s="18">
        <v>1</v>
      </c>
      <c r="X1201" s="18">
        <v>1</v>
      </c>
      <c r="Y1201" s="18">
        <v>0</v>
      </c>
      <c r="Z1201" s="18">
        <v>1</v>
      </c>
      <c r="AA1201" s="18">
        <v>1</v>
      </c>
      <c r="AB1201" s="18">
        <v>1</v>
      </c>
      <c r="AC1201" s="316">
        <v>1</v>
      </c>
      <c r="AD1201" s="316">
        <v>1</v>
      </c>
      <c r="AE1201" s="302">
        <f t="shared" si="52"/>
        <v>0.875</v>
      </c>
      <c r="AF1201" s="239"/>
      <c r="AG1201" s="17">
        <v>0</v>
      </c>
      <c r="AH1201" s="239" t="s">
        <v>2526</v>
      </c>
      <c r="AI1201" s="239" t="s">
        <v>2526</v>
      </c>
      <c r="AJ1201" s="239" t="s">
        <v>2526</v>
      </c>
      <c r="AK1201" s="238" t="s">
        <v>2526</v>
      </c>
      <c r="AL1201" s="238" t="s">
        <v>2526</v>
      </c>
      <c r="AM1201" s="147">
        <f t="shared" si="51"/>
        <v>0</v>
      </c>
      <c r="AN1201" s="157" t="s">
        <v>1581</v>
      </c>
      <c r="AO1201" s="157" t="s">
        <v>1583</v>
      </c>
      <c r="AP1201" s="240" t="s">
        <v>119</v>
      </c>
      <c r="AQ1201" s="157"/>
    </row>
    <row r="1202" spans="1:43" s="18" customFormat="1" x14ac:dyDescent="0.3">
      <c r="A1202" s="228" t="s">
        <v>1451</v>
      </c>
      <c r="B1202" s="18" t="s">
        <v>4838</v>
      </c>
      <c r="C1202" s="228" t="s">
        <v>5114</v>
      </c>
      <c r="D1202" s="18" t="s">
        <v>5115</v>
      </c>
      <c r="E1202" s="228" t="s">
        <v>5116</v>
      </c>
      <c r="F1202" s="18" t="s">
        <v>5117</v>
      </c>
      <c r="G1202" s="228" t="s">
        <v>5118</v>
      </c>
      <c r="H1202" s="18" t="s">
        <v>5119</v>
      </c>
      <c r="I1202" s="228" t="s">
        <v>5120</v>
      </c>
      <c r="J1202" s="18" t="s">
        <v>5121</v>
      </c>
      <c r="K1202" s="228" t="s">
        <v>5122</v>
      </c>
      <c r="L1202" s="18" t="s">
        <v>5123</v>
      </c>
      <c r="P1202" s="16"/>
      <c r="Q1202" s="16"/>
      <c r="R1202" s="16"/>
      <c r="S1202" s="16"/>
      <c r="U1202" s="283" t="e">
        <v>#N/A</v>
      </c>
      <c r="V1202" s="18" t="s">
        <v>5137</v>
      </c>
      <c r="W1202" s="18">
        <v>1</v>
      </c>
      <c r="X1202" s="18">
        <v>1</v>
      </c>
      <c r="Y1202" s="18">
        <v>1</v>
      </c>
      <c r="Z1202" s="18">
        <v>1</v>
      </c>
      <c r="AA1202" s="18">
        <v>1</v>
      </c>
      <c r="AB1202" s="18">
        <v>1</v>
      </c>
      <c r="AC1202" s="316">
        <v>1</v>
      </c>
      <c r="AD1202" s="316">
        <v>1</v>
      </c>
      <c r="AE1202" s="302">
        <f t="shared" si="52"/>
        <v>1</v>
      </c>
      <c r="AF1202" s="239"/>
      <c r="AG1202" s="17">
        <v>0</v>
      </c>
      <c r="AH1202" s="239" t="s">
        <v>2526</v>
      </c>
      <c r="AI1202" s="239">
        <v>0</v>
      </c>
      <c r="AJ1202" s="239">
        <v>0</v>
      </c>
      <c r="AK1202" s="238">
        <v>0</v>
      </c>
      <c r="AL1202" s="238">
        <v>0</v>
      </c>
      <c r="AM1202" s="147">
        <f t="shared" si="51"/>
        <v>0</v>
      </c>
      <c r="AN1202" s="157" t="s">
        <v>265</v>
      </c>
      <c r="AO1202" s="157" t="s">
        <v>350</v>
      </c>
      <c r="AP1202" s="240" t="s">
        <v>119</v>
      </c>
      <c r="AQ1202" s="157"/>
    </row>
    <row r="1203" spans="1:43" s="18" customFormat="1" x14ac:dyDescent="0.3">
      <c r="A1203" s="228" t="s">
        <v>1451</v>
      </c>
      <c r="B1203" s="18" t="s">
        <v>4838</v>
      </c>
      <c r="C1203" s="228" t="s">
        <v>5114</v>
      </c>
      <c r="D1203" s="18" t="s">
        <v>5115</v>
      </c>
      <c r="E1203" s="228" t="s">
        <v>5116</v>
      </c>
      <c r="F1203" s="18" t="s">
        <v>5117</v>
      </c>
      <c r="G1203" s="228" t="s">
        <v>5118</v>
      </c>
      <c r="H1203" s="18" t="s">
        <v>5119</v>
      </c>
      <c r="I1203" s="228" t="s">
        <v>5120</v>
      </c>
      <c r="J1203" s="18" t="s">
        <v>5121</v>
      </c>
      <c r="K1203" s="228" t="s">
        <v>5122</v>
      </c>
      <c r="L1203" s="18" t="s">
        <v>5123</v>
      </c>
      <c r="P1203" s="16"/>
      <c r="Q1203" s="16"/>
      <c r="R1203" s="16"/>
      <c r="S1203" s="16"/>
      <c r="U1203" s="283" t="e">
        <v>#N/A</v>
      </c>
      <c r="V1203" s="18" t="s">
        <v>5138</v>
      </c>
      <c r="W1203" s="18">
        <v>1</v>
      </c>
      <c r="X1203" s="18">
        <v>1</v>
      </c>
      <c r="Y1203" s="18">
        <v>1</v>
      </c>
      <c r="Z1203" s="18">
        <v>1</v>
      </c>
      <c r="AA1203" s="18">
        <v>0</v>
      </c>
      <c r="AB1203" s="18">
        <v>1</v>
      </c>
      <c r="AC1203" s="316">
        <v>1</v>
      </c>
      <c r="AD1203" s="316">
        <v>0</v>
      </c>
      <c r="AE1203" s="302">
        <f t="shared" si="52"/>
        <v>0.75</v>
      </c>
      <c r="AF1203" s="239"/>
      <c r="AG1203" s="17">
        <v>0</v>
      </c>
      <c r="AH1203" s="239">
        <v>20</v>
      </c>
      <c r="AI1203" s="239">
        <v>20</v>
      </c>
      <c r="AJ1203" s="176">
        <v>20</v>
      </c>
      <c r="AK1203" s="237">
        <v>10</v>
      </c>
      <c r="AL1203" s="237">
        <v>10</v>
      </c>
      <c r="AM1203" s="147">
        <f t="shared" si="51"/>
        <v>20</v>
      </c>
      <c r="AN1203" s="18" t="s">
        <v>771</v>
      </c>
      <c r="AO1203" s="18" t="s">
        <v>773</v>
      </c>
      <c r="AP1203" s="157" t="s">
        <v>5139</v>
      </c>
      <c r="AQ1203" s="157"/>
    </row>
    <row r="1204" spans="1:43" s="18" customFormat="1" x14ac:dyDescent="0.3">
      <c r="A1204" s="228" t="s">
        <v>1451</v>
      </c>
      <c r="B1204" s="18" t="s">
        <v>4838</v>
      </c>
      <c r="C1204" s="228" t="s">
        <v>5114</v>
      </c>
      <c r="D1204" s="18" t="s">
        <v>5115</v>
      </c>
      <c r="E1204" s="228" t="s">
        <v>5116</v>
      </c>
      <c r="F1204" s="18" t="s">
        <v>5117</v>
      </c>
      <c r="G1204" s="228" t="s">
        <v>5118</v>
      </c>
      <c r="H1204" s="18" t="s">
        <v>5119</v>
      </c>
      <c r="I1204" s="228" t="s">
        <v>5120</v>
      </c>
      <c r="J1204" s="18" t="s">
        <v>5121</v>
      </c>
      <c r="K1204" s="228" t="s">
        <v>5122</v>
      </c>
      <c r="L1204" s="18" t="s">
        <v>5123</v>
      </c>
      <c r="P1204" s="16"/>
      <c r="Q1204" s="16"/>
      <c r="R1204" s="16"/>
      <c r="S1204" s="16"/>
      <c r="U1204" s="283" t="e">
        <v>#N/A</v>
      </c>
      <c r="V1204" s="18" t="s">
        <v>5140</v>
      </c>
      <c r="W1204" s="18">
        <v>1</v>
      </c>
      <c r="X1204" s="18">
        <v>1</v>
      </c>
      <c r="Y1204" s="18">
        <v>1</v>
      </c>
      <c r="Z1204" s="18">
        <v>1</v>
      </c>
      <c r="AA1204" s="18">
        <v>0</v>
      </c>
      <c r="AB1204" s="18">
        <v>1</v>
      </c>
      <c r="AC1204" s="316">
        <v>1</v>
      </c>
      <c r="AD1204" s="316">
        <v>0</v>
      </c>
      <c r="AE1204" s="302">
        <f t="shared" si="52"/>
        <v>0.75</v>
      </c>
      <c r="AF1204" s="239"/>
      <c r="AG1204" s="17">
        <v>0</v>
      </c>
      <c r="AH1204" s="239" t="s">
        <v>2526</v>
      </c>
      <c r="AI1204" s="239">
        <v>0</v>
      </c>
      <c r="AJ1204" s="176" t="s">
        <v>2526</v>
      </c>
      <c r="AK1204" s="177" t="s">
        <v>2526</v>
      </c>
      <c r="AL1204" s="177" t="s">
        <v>2526</v>
      </c>
      <c r="AM1204" s="147">
        <f t="shared" si="51"/>
        <v>0</v>
      </c>
      <c r="AN1204" s="18" t="s">
        <v>921</v>
      </c>
      <c r="AO1204" s="18" t="s">
        <v>880</v>
      </c>
      <c r="AP1204" s="240" t="s">
        <v>119</v>
      </c>
      <c r="AQ1204" s="157"/>
    </row>
    <row r="1205" spans="1:43" s="18" customFormat="1" x14ac:dyDescent="0.3">
      <c r="A1205" s="228" t="s">
        <v>1451</v>
      </c>
      <c r="B1205" s="18" t="s">
        <v>4838</v>
      </c>
      <c r="C1205" s="228" t="s">
        <v>5114</v>
      </c>
      <c r="D1205" s="18" t="s">
        <v>5115</v>
      </c>
      <c r="E1205" s="228" t="s">
        <v>5116</v>
      </c>
      <c r="F1205" s="18" t="s">
        <v>5117</v>
      </c>
      <c r="G1205" s="228" t="s">
        <v>5118</v>
      </c>
      <c r="H1205" s="18" t="s">
        <v>5119</v>
      </c>
      <c r="I1205" s="228" t="s">
        <v>5120</v>
      </c>
      <c r="J1205" s="18" t="s">
        <v>5121</v>
      </c>
      <c r="K1205" s="228" t="s">
        <v>5122</v>
      </c>
      <c r="L1205" s="18" t="s">
        <v>5123</v>
      </c>
      <c r="P1205" s="16"/>
      <c r="Q1205" s="16"/>
      <c r="R1205" s="16"/>
      <c r="S1205" s="16"/>
      <c r="U1205" s="283" t="e">
        <v>#N/A</v>
      </c>
      <c r="V1205" s="18" t="s">
        <v>5141</v>
      </c>
      <c r="W1205" s="18">
        <v>1</v>
      </c>
      <c r="X1205" s="18">
        <v>1</v>
      </c>
      <c r="Y1205" s="18">
        <v>1</v>
      </c>
      <c r="Z1205" s="18">
        <v>1</v>
      </c>
      <c r="AA1205" s="18">
        <v>1</v>
      </c>
      <c r="AB1205" s="18">
        <v>1</v>
      </c>
      <c r="AC1205" s="316">
        <v>1</v>
      </c>
      <c r="AD1205" s="316">
        <v>1</v>
      </c>
      <c r="AE1205" s="302">
        <f t="shared" si="52"/>
        <v>1</v>
      </c>
      <c r="AF1205" s="239"/>
      <c r="AG1205" s="17">
        <v>0</v>
      </c>
      <c r="AH1205" s="239">
        <v>0.2</v>
      </c>
      <c r="AI1205" s="239">
        <v>2</v>
      </c>
      <c r="AJ1205" s="32">
        <v>2</v>
      </c>
      <c r="AK1205" s="248">
        <v>0</v>
      </c>
      <c r="AL1205" s="248">
        <v>0</v>
      </c>
      <c r="AM1205" s="147">
        <f t="shared" si="51"/>
        <v>0</v>
      </c>
      <c r="AN1205" s="10" t="s">
        <v>771</v>
      </c>
      <c r="AO1205" s="10" t="s">
        <v>773</v>
      </c>
      <c r="AP1205" s="249" t="s">
        <v>1687</v>
      </c>
      <c r="AQ1205" s="157"/>
    </row>
    <row r="1206" spans="1:43" s="18" customFormat="1" x14ac:dyDescent="0.3">
      <c r="A1206" s="228" t="s">
        <v>1451</v>
      </c>
      <c r="B1206" s="18" t="s">
        <v>4838</v>
      </c>
      <c r="C1206" s="228" t="s">
        <v>5114</v>
      </c>
      <c r="D1206" s="18" t="s">
        <v>5115</v>
      </c>
      <c r="E1206" s="228" t="s">
        <v>5116</v>
      </c>
      <c r="F1206" s="18" t="s">
        <v>5117</v>
      </c>
      <c r="G1206" s="228" t="s">
        <v>5118</v>
      </c>
      <c r="H1206" s="18" t="s">
        <v>5119</v>
      </c>
      <c r="I1206" s="228" t="s">
        <v>5120</v>
      </c>
      <c r="J1206" s="18" t="s">
        <v>5121</v>
      </c>
      <c r="K1206" s="228" t="s">
        <v>5122</v>
      </c>
      <c r="L1206" s="18" t="s">
        <v>5123</v>
      </c>
      <c r="P1206" s="16"/>
      <c r="Q1206" s="16"/>
      <c r="R1206" s="16"/>
      <c r="S1206" s="16"/>
      <c r="U1206" s="283" t="e">
        <v>#N/A</v>
      </c>
      <c r="V1206" s="18" t="s">
        <v>5142</v>
      </c>
      <c r="W1206" s="18">
        <v>1</v>
      </c>
      <c r="X1206" s="18">
        <v>1</v>
      </c>
      <c r="Y1206" s="18">
        <v>1</v>
      </c>
      <c r="Z1206" s="18">
        <v>1</v>
      </c>
      <c r="AA1206" s="18">
        <v>1</v>
      </c>
      <c r="AB1206" s="18">
        <v>1</v>
      </c>
      <c r="AC1206" s="316">
        <v>0</v>
      </c>
      <c r="AD1206" s="316">
        <v>1</v>
      </c>
      <c r="AE1206" s="302">
        <f t="shared" si="52"/>
        <v>0.875</v>
      </c>
      <c r="AF1206" s="239">
        <v>0</v>
      </c>
      <c r="AG1206" s="17">
        <v>0</v>
      </c>
      <c r="AH1206" s="239">
        <v>0.06</v>
      </c>
      <c r="AI1206" s="239">
        <v>0.27</v>
      </c>
      <c r="AJ1206" s="32">
        <v>0.17</v>
      </c>
      <c r="AK1206" s="214">
        <v>0.17</v>
      </c>
      <c r="AL1206" s="214">
        <v>0.17</v>
      </c>
      <c r="AM1206" s="147">
        <f t="shared" si="51"/>
        <v>0.34</v>
      </c>
      <c r="AN1206" s="10" t="s">
        <v>1581</v>
      </c>
      <c r="AO1206" s="10" t="s">
        <v>1583</v>
      </c>
      <c r="AP1206" s="249" t="s">
        <v>5143</v>
      </c>
      <c r="AQ1206" s="157"/>
    </row>
    <row r="1207" spans="1:43" s="18" customFormat="1" x14ac:dyDescent="0.3">
      <c r="A1207" s="228" t="s">
        <v>1451</v>
      </c>
      <c r="B1207" s="18" t="s">
        <v>4838</v>
      </c>
      <c r="C1207" s="228" t="s">
        <v>5114</v>
      </c>
      <c r="D1207" s="18" t="s">
        <v>5115</v>
      </c>
      <c r="E1207" s="228" t="s">
        <v>5116</v>
      </c>
      <c r="F1207" s="18" t="s">
        <v>5117</v>
      </c>
      <c r="G1207" s="228" t="s">
        <v>5118</v>
      </c>
      <c r="H1207" s="18" t="s">
        <v>5119</v>
      </c>
      <c r="I1207" s="228" t="s">
        <v>5120</v>
      </c>
      <c r="J1207" s="18" t="s">
        <v>5121</v>
      </c>
      <c r="K1207" s="228" t="s">
        <v>5122</v>
      </c>
      <c r="L1207" s="18" t="s">
        <v>5123</v>
      </c>
      <c r="P1207" s="16"/>
      <c r="Q1207" s="16"/>
      <c r="R1207" s="16"/>
      <c r="S1207" s="16"/>
      <c r="U1207" s="283" t="e">
        <v>#N/A</v>
      </c>
      <c r="V1207" s="18" t="s">
        <v>5144</v>
      </c>
      <c r="W1207" s="18">
        <v>1</v>
      </c>
      <c r="X1207" s="18">
        <v>1</v>
      </c>
      <c r="Y1207" s="18">
        <v>0</v>
      </c>
      <c r="Z1207" s="18">
        <v>1</v>
      </c>
      <c r="AA1207" s="18">
        <v>0</v>
      </c>
      <c r="AB1207" s="18">
        <v>0</v>
      </c>
      <c r="AC1207" s="316">
        <v>0</v>
      </c>
      <c r="AD1207" s="316">
        <v>0</v>
      </c>
      <c r="AE1207" s="302">
        <f t="shared" si="52"/>
        <v>0.375</v>
      </c>
      <c r="AF1207" s="239"/>
      <c r="AG1207" s="17">
        <v>0</v>
      </c>
      <c r="AH1207" s="239" t="s">
        <v>2526</v>
      </c>
      <c r="AI1207" s="239" t="s">
        <v>2526</v>
      </c>
      <c r="AJ1207" s="176" t="s">
        <v>2526</v>
      </c>
      <c r="AK1207" s="177" t="s">
        <v>2526</v>
      </c>
      <c r="AL1207" s="177" t="s">
        <v>2526</v>
      </c>
      <c r="AM1207" s="147">
        <f t="shared" si="51"/>
        <v>0</v>
      </c>
      <c r="AN1207" s="18" t="s">
        <v>921</v>
      </c>
      <c r="AO1207" s="18" t="s">
        <v>880</v>
      </c>
      <c r="AP1207" s="240" t="s">
        <v>119</v>
      </c>
      <c r="AQ1207" s="157"/>
    </row>
    <row r="1208" spans="1:43" s="18" customFormat="1" x14ac:dyDescent="0.3">
      <c r="A1208" s="228" t="s">
        <v>1451</v>
      </c>
      <c r="B1208" s="18" t="s">
        <v>4838</v>
      </c>
      <c r="C1208" s="228" t="s">
        <v>5114</v>
      </c>
      <c r="D1208" s="18" t="s">
        <v>5115</v>
      </c>
      <c r="E1208" s="228" t="s">
        <v>5116</v>
      </c>
      <c r="F1208" s="18" t="s">
        <v>5117</v>
      </c>
      <c r="G1208" s="228" t="s">
        <v>5118</v>
      </c>
      <c r="H1208" s="18" t="s">
        <v>5119</v>
      </c>
      <c r="I1208" s="228" t="s">
        <v>5120</v>
      </c>
      <c r="J1208" s="18" t="s">
        <v>5121</v>
      </c>
      <c r="K1208" s="228" t="s">
        <v>5122</v>
      </c>
      <c r="L1208" s="18" t="s">
        <v>5123</v>
      </c>
      <c r="P1208" s="16"/>
      <c r="Q1208" s="16"/>
      <c r="R1208" s="16"/>
      <c r="S1208" s="16"/>
      <c r="U1208" s="283" t="e">
        <v>#N/A</v>
      </c>
      <c r="V1208" s="18" t="s">
        <v>5145</v>
      </c>
      <c r="W1208" s="18">
        <v>1</v>
      </c>
      <c r="X1208" s="18">
        <v>1</v>
      </c>
      <c r="Y1208" s="18">
        <v>1</v>
      </c>
      <c r="Z1208" s="18">
        <v>1</v>
      </c>
      <c r="AA1208" s="18">
        <v>1</v>
      </c>
      <c r="AB1208" s="18">
        <v>1</v>
      </c>
      <c r="AC1208" s="316">
        <v>1</v>
      </c>
      <c r="AD1208" s="316">
        <v>1</v>
      </c>
      <c r="AE1208" s="302">
        <f t="shared" si="52"/>
        <v>1</v>
      </c>
      <c r="AF1208" s="239"/>
      <c r="AG1208" s="17">
        <v>0</v>
      </c>
      <c r="AH1208" s="239">
        <v>0.5</v>
      </c>
      <c r="AI1208" s="239">
        <v>0.5</v>
      </c>
      <c r="AJ1208" s="176">
        <v>0.5</v>
      </c>
      <c r="AK1208" s="177">
        <v>0.5</v>
      </c>
      <c r="AL1208" s="177">
        <v>0.5</v>
      </c>
      <c r="AM1208" s="147">
        <f t="shared" si="51"/>
        <v>1</v>
      </c>
      <c r="AN1208" s="18" t="s">
        <v>5146</v>
      </c>
      <c r="AO1208" s="18" t="s">
        <v>880</v>
      </c>
      <c r="AP1208" s="240" t="s">
        <v>5147</v>
      </c>
      <c r="AQ1208" s="157"/>
    </row>
    <row r="1209" spans="1:43" s="18" customFormat="1" x14ac:dyDescent="0.3">
      <c r="A1209" s="228" t="s">
        <v>1451</v>
      </c>
      <c r="B1209" s="18" t="s">
        <v>4838</v>
      </c>
      <c r="C1209" s="228" t="s">
        <v>5114</v>
      </c>
      <c r="D1209" s="18" t="s">
        <v>5115</v>
      </c>
      <c r="E1209" s="228" t="s">
        <v>5116</v>
      </c>
      <c r="F1209" s="18" t="s">
        <v>5117</v>
      </c>
      <c r="G1209" s="228" t="s">
        <v>5118</v>
      </c>
      <c r="H1209" s="18" t="s">
        <v>5119</v>
      </c>
      <c r="I1209" s="228" t="s">
        <v>5120</v>
      </c>
      <c r="J1209" s="18" t="s">
        <v>5121</v>
      </c>
      <c r="K1209" s="228" t="s">
        <v>5122</v>
      </c>
      <c r="L1209" s="18" t="s">
        <v>5123</v>
      </c>
      <c r="P1209" s="16"/>
      <c r="Q1209" s="16"/>
      <c r="R1209" s="16"/>
      <c r="S1209" s="16"/>
      <c r="U1209" s="283" t="e">
        <v>#N/A</v>
      </c>
      <c r="V1209" s="18" t="s">
        <v>5148</v>
      </c>
      <c r="W1209" s="18">
        <v>1</v>
      </c>
      <c r="X1209" s="18">
        <v>1</v>
      </c>
      <c r="Y1209" s="18">
        <v>1</v>
      </c>
      <c r="Z1209" s="18">
        <v>1</v>
      </c>
      <c r="AA1209" s="18">
        <v>1</v>
      </c>
      <c r="AB1209" s="18">
        <v>1</v>
      </c>
      <c r="AC1209" s="316">
        <v>1</v>
      </c>
      <c r="AD1209" s="316">
        <v>1</v>
      </c>
      <c r="AE1209" s="302">
        <f t="shared" si="52"/>
        <v>1</v>
      </c>
      <c r="AF1209" s="239">
        <v>0</v>
      </c>
      <c r="AG1209" s="17">
        <v>0</v>
      </c>
      <c r="AH1209" s="239" t="s">
        <v>2526</v>
      </c>
      <c r="AI1209" s="239">
        <v>0.5</v>
      </c>
      <c r="AJ1209" s="176">
        <v>0.5</v>
      </c>
      <c r="AK1209" s="177">
        <v>0.5</v>
      </c>
      <c r="AL1209" s="177">
        <v>0.5</v>
      </c>
      <c r="AM1209" s="147">
        <f t="shared" si="51"/>
        <v>1</v>
      </c>
      <c r="AN1209" s="18" t="s">
        <v>869</v>
      </c>
      <c r="AO1209" s="18" t="s">
        <v>871</v>
      </c>
      <c r="AP1209" s="240" t="s">
        <v>5097</v>
      </c>
      <c r="AQ1209" s="157"/>
    </row>
    <row r="1210" spans="1:43" s="18" customFormat="1" x14ac:dyDescent="0.3">
      <c r="A1210" s="228" t="s">
        <v>1451</v>
      </c>
      <c r="B1210" s="18" t="s">
        <v>4838</v>
      </c>
      <c r="C1210" s="228" t="s">
        <v>5114</v>
      </c>
      <c r="D1210" s="18" t="s">
        <v>5115</v>
      </c>
      <c r="E1210" s="228" t="s">
        <v>5116</v>
      </c>
      <c r="F1210" s="18" t="s">
        <v>5117</v>
      </c>
      <c r="G1210" s="228" t="s">
        <v>5118</v>
      </c>
      <c r="H1210" s="18" t="s">
        <v>5119</v>
      </c>
      <c r="I1210" s="228" t="s">
        <v>5120</v>
      </c>
      <c r="J1210" s="18" t="s">
        <v>5121</v>
      </c>
      <c r="K1210" s="228" t="s">
        <v>5122</v>
      </c>
      <c r="L1210" s="18" t="s">
        <v>5123</v>
      </c>
      <c r="P1210" s="16"/>
      <c r="Q1210" s="16"/>
      <c r="R1210" s="16"/>
      <c r="S1210" s="16"/>
      <c r="U1210" s="283" t="e">
        <v>#N/A</v>
      </c>
      <c r="V1210" s="18" t="s">
        <v>5149</v>
      </c>
      <c r="W1210" s="18">
        <v>1</v>
      </c>
      <c r="X1210" s="18">
        <v>1</v>
      </c>
      <c r="Y1210" s="18">
        <v>1</v>
      </c>
      <c r="Z1210" s="18">
        <v>1</v>
      </c>
      <c r="AA1210" s="18">
        <v>1</v>
      </c>
      <c r="AB1210" s="18">
        <v>1</v>
      </c>
      <c r="AC1210" s="316">
        <v>1</v>
      </c>
      <c r="AD1210" s="316">
        <v>1</v>
      </c>
      <c r="AE1210" s="302">
        <f t="shared" si="52"/>
        <v>1</v>
      </c>
      <c r="AF1210" s="239"/>
      <c r="AG1210" s="17">
        <v>0</v>
      </c>
      <c r="AH1210" s="239" t="s">
        <v>2526</v>
      </c>
      <c r="AI1210" s="239">
        <v>0.5</v>
      </c>
      <c r="AJ1210" s="176">
        <v>1</v>
      </c>
      <c r="AK1210" s="177">
        <v>1</v>
      </c>
      <c r="AL1210" s="177">
        <v>1</v>
      </c>
      <c r="AM1210" s="147">
        <f t="shared" si="51"/>
        <v>2</v>
      </c>
      <c r="AN1210" s="18" t="s">
        <v>869</v>
      </c>
      <c r="AO1210" s="18" t="s">
        <v>871</v>
      </c>
      <c r="AP1210" s="240" t="s">
        <v>5097</v>
      </c>
      <c r="AQ1210" s="157"/>
    </row>
    <row r="1211" spans="1:43" s="18" customFormat="1" x14ac:dyDescent="0.3">
      <c r="A1211" s="228" t="s">
        <v>1451</v>
      </c>
      <c r="B1211" s="18" t="s">
        <v>4838</v>
      </c>
      <c r="C1211" s="228" t="s">
        <v>5114</v>
      </c>
      <c r="D1211" s="18" t="s">
        <v>5150</v>
      </c>
      <c r="E1211" s="228" t="s">
        <v>5116</v>
      </c>
      <c r="F1211" s="18" t="s">
        <v>5117</v>
      </c>
      <c r="G1211" s="228" t="s">
        <v>5118</v>
      </c>
      <c r="H1211" s="18" t="s">
        <v>5119</v>
      </c>
      <c r="I1211" s="228" t="s">
        <v>5120</v>
      </c>
      <c r="J1211" s="18" t="s">
        <v>5121</v>
      </c>
      <c r="K1211" s="228" t="s">
        <v>5151</v>
      </c>
      <c r="L1211" s="18" t="s">
        <v>5152</v>
      </c>
      <c r="M1211" s="18" t="s">
        <v>5153</v>
      </c>
      <c r="O1211" s="18">
        <v>6</v>
      </c>
      <c r="P1211" s="16">
        <v>6</v>
      </c>
      <c r="Q1211" s="16">
        <v>8</v>
      </c>
      <c r="R1211" s="16">
        <v>10</v>
      </c>
      <c r="S1211" s="16">
        <v>12</v>
      </c>
      <c r="T1211" s="18" t="s">
        <v>1132</v>
      </c>
      <c r="U1211" s="283" t="s">
        <v>3739</v>
      </c>
      <c r="V1211" s="18" t="s">
        <v>5154</v>
      </c>
      <c r="W1211" s="18">
        <v>1</v>
      </c>
      <c r="X1211" s="18">
        <v>1</v>
      </c>
      <c r="Y1211" s="18">
        <v>1</v>
      </c>
      <c r="Z1211" s="18">
        <v>1</v>
      </c>
      <c r="AA1211" s="18">
        <v>1</v>
      </c>
      <c r="AB1211" s="18">
        <v>1</v>
      </c>
      <c r="AC1211" s="316">
        <v>1</v>
      </c>
      <c r="AD1211" s="316">
        <v>1</v>
      </c>
      <c r="AE1211" s="302">
        <f t="shared" si="52"/>
        <v>1</v>
      </c>
      <c r="AF1211" s="239">
        <v>0</v>
      </c>
      <c r="AG1211" s="17">
        <v>0</v>
      </c>
      <c r="AH1211" s="239">
        <v>2.5</v>
      </c>
      <c r="AI1211" s="239">
        <v>3</v>
      </c>
      <c r="AJ1211" s="176">
        <v>3.5</v>
      </c>
      <c r="AK1211" s="237">
        <v>3</v>
      </c>
      <c r="AL1211" s="237">
        <v>3</v>
      </c>
      <c r="AM1211" s="147">
        <f t="shared" si="51"/>
        <v>6</v>
      </c>
      <c r="AN1211" s="18" t="s">
        <v>1132</v>
      </c>
      <c r="AO1211" s="18" t="s">
        <v>1134</v>
      </c>
      <c r="AP1211" s="240"/>
      <c r="AQ1211" s="157"/>
    </row>
    <row r="1212" spans="1:43" s="18" customFormat="1" x14ac:dyDescent="0.3">
      <c r="A1212" s="228" t="s">
        <v>1451</v>
      </c>
      <c r="B1212" s="18" t="s">
        <v>4838</v>
      </c>
      <c r="C1212" s="228" t="s">
        <v>5114</v>
      </c>
      <c r="D1212" s="18" t="s">
        <v>5115</v>
      </c>
      <c r="E1212" s="228" t="s">
        <v>5116</v>
      </c>
      <c r="F1212" s="18" t="s">
        <v>5117</v>
      </c>
      <c r="G1212" s="228" t="s">
        <v>5118</v>
      </c>
      <c r="H1212" s="18" t="s">
        <v>5119</v>
      </c>
      <c r="I1212" s="228" t="s">
        <v>5155</v>
      </c>
      <c r="J1212" s="18" t="s">
        <v>5156</v>
      </c>
      <c r="K1212" s="228" t="s">
        <v>5157</v>
      </c>
      <c r="L1212" s="18" t="s">
        <v>5158</v>
      </c>
      <c r="M1212" s="18" t="s">
        <v>5159</v>
      </c>
      <c r="N1212" s="18">
        <v>0</v>
      </c>
      <c r="O1212" s="18">
        <v>0</v>
      </c>
      <c r="P1212" s="16">
        <v>1</v>
      </c>
      <c r="Q1212" s="16">
        <v>0</v>
      </c>
      <c r="R1212" s="16">
        <v>0</v>
      </c>
      <c r="S1212" s="16">
        <v>0</v>
      </c>
      <c r="T1212" s="283" t="s">
        <v>265</v>
      </c>
      <c r="U1212" s="283" t="s">
        <v>350</v>
      </c>
      <c r="V1212" s="18" t="s">
        <v>5160</v>
      </c>
      <c r="W1212" s="18">
        <v>1</v>
      </c>
      <c r="X1212" s="18">
        <v>1</v>
      </c>
      <c r="Y1212" s="18">
        <v>1</v>
      </c>
      <c r="Z1212" s="18">
        <v>1</v>
      </c>
      <c r="AA1212" s="18">
        <v>0</v>
      </c>
      <c r="AB1212" s="18">
        <v>1</v>
      </c>
      <c r="AC1212" s="316">
        <v>1</v>
      </c>
      <c r="AD1212" s="316">
        <v>0</v>
      </c>
      <c r="AE1212" s="302">
        <f t="shared" si="52"/>
        <v>0.75</v>
      </c>
      <c r="AF1212" s="176"/>
      <c r="AG1212" s="17">
        <v>0</v>
      </c>
      <c r="AH1212" s="176">
        <v>0</v>
      </c>
      <c r="AI1212" s="176">
        <v>0</v>
      </c>
      <c r="AJ1212" s="176">
        <v>0</v>
      </c>
      <c r="AK1212" s="177">
        <v>0</v>
      </c>
      <c r="AL1212" s="177">
        <v>0</v>
      </c>
      <c r="AM1212" s="147">
        <f t="shared" si="51"/>
        <v>0</v>
      </c>
      <c r="AN1212" s="18" t="s">
        <v>265</v>
      </c>
      <c r="AO1212" s="18" t="s">
        <v>350</v>
      </c>
      <c r="AP1212" s="228" t="s">
        <v>119</v>
      </c>
    </row>
    <row r="1213" spans="1:43" s="18" customFormat="1" x14ac:dyDescent="0.3">
      <c r="A1213" s="228" t="s">
        <v>1451</v>
      </c>
      <c r="B1213" s="18" t="s">
        <v>4838</v>
      </c>
      <c r="C1213" s="228" t="s">
        <v>5114</v>
      </c>
      <c r="D1213" s="18" t="s">
        <v>5115</v>
      </c>
      <c r="E1213" s="228" t="s">
        <v>5116</v>
      </c>
      <c r="F1213" s="18" t="s">
        <v>5117</v>
      </c>
      <c r="G1213" s="228" t="s">
        <v>5118</v>
      </c>
      <c r="H1213" s="18" t="s">
        <v>5119</v>
      </c>
      <c r="I1213" s="228" t="s">
        <v>5155</v>
      </c>
      <c r="J1213" s="18" t="s">
        <v>5156</v>
      </c>
      <c r="K1213" s="228" t="s">
        <v>5157</v>
      </c>
      <c r="L1213" s="18" t="s">
        <v>5158</v>
      </c>
      <c r="M1213" s="18" t="s">
        <v>5161</v>
      </c>
      <c r="N1213" s="18">
        <v>0</v>
      </c>
      <c r="O1213" s="18">
        <v>0</v>
      </c>
      <c r="P1213" s="16">
        <v>1</v>
      </c>
      <c r="Q1213" s="16">
        <v>0</v>
      </c>
      <c r="R1213" s="16">
        <v>0</v>
      </c>
      <c r="S1213" s="16">
        <v>0</v>
      </c>
      <c r="T1213" s="18" t="s">
        <v>869</v>
      </c>
      <c r="U1213" s="283" t="s">
        <v>871</v>
      </c>
      <c r="V1213" s="18" t="s">
        <v>5162</v>
      </c>
      <c r="W1213" s="18">
        <v>1</v>
      </c>
      <c r="X1213" s="18">
        <v>1</v>
      </c>
      <c r="Y1213" s="18">
        <v>1</v>
      </c>
      <c r="Z1213" s="18">
        <v>1</v>
      </c>
      <c r="AA1213" s="18">
        <v>1</v>
      </c>
      <c r="AB1213" s="18">
        <v>1</v>
      </c>
      <c r="AC1213" s="316">
        <v>1</v>
      </c>
      <c r="AD1213" s="316">
        <v>1</v>
      </c>
      <c r="AE1213" s="302">
        <f t="shared" si="52"/>
        <v>1</v>
      </c>
      <c r="AF1213" s="176"/>
      <c r="AG1213" s="17">
        <v>0</v>
      </c>
      <c r="AH1213" s="176">
        <v>0</v>
      </c>
      <c r="AI1213" s="176">
        <v>0</v>
      </c>
      <c r="AJ1213" s="176">
        <v>0</v>
      </c>
      <c r="AK1213" s="177">
        <v>0</v>
      </c>
      <c r="AL1213" s="177">
        <v>0</v>
      </c>
      <c r="AM1213" s="147">
        <f t="shared" si="51"/>
        <v>0</v>
      </c>
      <c r="AN1213" s="18" t="s">
        <v>5146</v>
      </c>
      <c r="AO1213" s="18" t="s">
        <v>880</v>
      </c>
      <c r="AP1213" s="18" t="s">
        <v>869</v>
      </c>
    </row>
    <row r="1214" spans="1:43" s="18" customFormat="1" x14ac:dyDescent="0.3">
      <c r="A1214" s="228" t="s">
        <v>1451</v>
      </c>
      <c r="B1214" s="18" t="s">
        <v>4838</v>
      </c>
      <c r="C1214" s="228" t="s">
        <v>5114</v>
      </c>
      <c r="D1214" s="18" t="s">
        <v>5115</v>
      </c>
      <c r="E1214" s="228" t="s">
        <v>5116</v>
      </c>
      <c r="F1214" s="18" t="s">
        <v>5117</v>
      </c>
      <c r="G1214" s="228" t="s">
        <v>5118</v>
      </c>
      <c r="H1214" s="18" t="s">
        <v>5119</v>
      </c>
      <c r="I1214" s="228" t="s">
        <v>5163</v>
      </c>
      <c r="J1214" s="18" t="s">
        <v>5164</v>
      </c>
      <c r="K1214" s="228" t="s">
        <v>5165</v>
      </c>
      <c r="L1214" s="18" t="s">
        <v>5166</v>
      </c>
      <c r="M1214" s="18" t="s">
        <v>5167</v>
      </c>
      <c r="O1214" s="18" t="s">
        <v>5168</v>
      </c>
      <c r="P1214" s="16">
        <v>20</v>
      </c>
      <c r="Q1214" s="16" t="s">
        <v>5168</v>
      </c>
      <c r="R1214" s="16" t="s">
        <v>5168</v>
      </c>
      <c r="S1214" s="16" t="s">
        <v>5168</v>
      </c>
      <c r="T1214" s="283" t="s">
        <v>265</v>
      </c>
      <c r="U1214" s="283" t="s">
        <v>350</v>
      </c>
      <c r="V1214" s="18" t="s">
        <v>5169</v>
      </c>
      <c r="W1214" s="18">
        <v>1</v>
      </c>
      <c r="X1214" s="18">
        <v>1</v>
      </c>
      <c r="Y1214" s="18">
        <v>0</v>
      </c>
      <c r="Z1214" s="18">
        <v>1</v>
      </c>
      <c r="AA1214" s="18">
        <v>1</v>
      </c>
      <c r="AB1214" s="18">
        <v>1</v>
      </c>
      <c r="AC1214" s="316">
        <v>0</v>
      </c>
      <c r="AD1214" s="316">
        <v>1</v>
      </c>
      <c r="AE1214" s="302">
        <f t="shared" si="52"/>
        <v>0.75</v>
      </c>
      <c r="AF1214" s="176"/>
      <c r="AG1214" s="17">
        <v>0</v>
      </c>
      <c r="AH1214" s="176">
        <v>0.95</v>
      </c>
      <c r="AI1214" s="239">
        <v>0.95</v>
      </c>
      <c r="AJ1214" s="239">
        <v>0.95</v>
      </c>
      <c r="AK1214" s="177">
        <v>0</v>
      </c>
      <c r="AL1214" s="238">
        <v>0</v>
      </c>
      <c r="AM1214" s="147">
        <f t="shared" si="51"/>
        <v>0</v>
      </c>
      <c r="AN1214" s="157" t="s">
        <v>265</v>
      </c>
      <c r="AO1214" s="157" t="s">
        <v>350</v>
      </c>
      <c r="AP1214" s="240" t="s">
        <v>5170</v>
      </c>
      <c r="AQ1214" s="157"/>
    </row>
    <row r="1215" spans="1:43" s="18" customFormat="1" x14ac:dyDescent="0.3">
      <c r="A1215" s="228" t="s">
        <v>1451</v>
      </c>
      <c r="B1215" s="18" t="s">
        <v>4838</v>
      </c>
      <c r="C1215" s="228" t="s">
        <v>5114</v>
      </c>
      <c r="D1215" s="18" t="s">
        <v>5115</v>
      </c>
      <c r="E1215" s="228" t="s">
        <v>5116</v>
      </c>
      <c r="F1215" s="18" t="s">
        <v>5117</v>
      </c>
      <c r="G1215" s="228" t="s">
        <v>5118</v>
      </c>
      <c r="H1215" s="18" t="s">
        <v>5119</v>
      </c>
      <c r="I1215" s="228" t="s">
        <v>5163</v>
      </c>
      <c r="J1215" s="18" t="s">
        <v>5164</v>
      </c>
      <c r="K1215" s="228" t="s">
        <v>5165</v>
      </c>
      <c r="L1215" s="18" t="s">
        <v>5166</v>
      </c>
      <c r="M1215" s="18" t="s">
        <v>5171</v>
      </c>
      <c r="N1215" s="18">
        <v>30</v>
      </c>
      <c r="O1215" s="18">
        <v>200</v>
      </c>
      <c r="P1215" s="16">
        <v>400</v>
      </c>
      <c r="Q1215" s="16">
        <v>600</v>
      </c>
      <c r="R1215" s="16">
        <v>800</v>
      </c>
      <c r="S1215" s="16">
        <v>1000</v>
      </c>
      <c r="T1215" s="283" t="s">
        <v>265</v>
      </c>
      <c r="U1215" s="283" t="s">
        <v>350</v>
      </c>
      <c r="V1215" s="18" t="s">
        <v>5172</v>
      </c>
      <c r="W1215" s="18">
        <v>1</v>
      </c>
      <c r="X1215" s="18">
        <v>1</v>
      </c>
      <c r="Y1215" s="18">
        <v>1</v>
      </c>
      <c r="Z1215" s="18">
        <v>1</v>
      </c>
      <c r="AA1215" s="18">
        <v>1</v>
      </c>
      <c r="AB1215" s="18">
        <v>1</v>
      </c>
      <c r="AC1215" s="316">
        <v>1</v>
      </c>
      <c r="AD1215" s="316">
        <v>0</v>
      </c>
      <c r="AE1215" s="302">
        <f t="shared" si="52"/>
        <v>0.875</v>
      </c>
      <c r="AF1215" s="176"/>
      <c r="AG1215" s="17">
        <v>0</v>
      </c>
      <c r="AH1215" s="176" t="s">
        <v>2526</v>
      </c>
      <c r="AI1215" s="239">
        <v>4</v>
      </c>
      <c r="AJ1215" s="239">
        <v>4</v>
      </c>
      <c r="AK1215" s="237">
        <v>2</v>
      </c>
      <c r="AL1215" s="237">
        <v>2</v>
      </c>
      <c r="AM1215" s="147">
        <f t="shared" si="51"/>
        <v>4</v>
      </c>
      <c r="AN1215" s="157" t="s">
        <v>1446</v>
      </c>
      <c r="AO1215" s="157" t="s">
        <v>3715</v>
      </c>
      <c r="AP1215" s="157" t="s">
        <v>3534</v>
      </c>
      <c r="AQ1215" s="157"/>
    </row>
    <row r="1216" spans="1:43" s="18" customFormat="1" x14ac:dyDescent="0.3">
      <c r="A1216" s="228" t="s">
        <v>1451</v>
      </c>
      <c r="B1216" s="18" t="s">
        <v>4838</v>
      </c>
      <c r="C1216" s="228" t="s">
        <v>5114</v>
      </c>
      <c r="D1216" s="18" t="s">
        <v>5115</v>
      </c>
      <c r="E1216" s="228" t="s">
        <v>5116</v>
      </c>
      <c r="F1216" s="18" t="s">
        <v>5117</v>
      </c>
      <c r="G1216" s="228" t="s">
        <v>5118</v>
      </c>
      <c r="H1216" s="18" t="s">
        <v>5119</v>
      </c>
      <c r="I1216" s="228" t="s">
        <v>5163</v>
      </c>
      <c r="J1216" s="18" t="s">
        <v>5164</v>
      </c>
      <c r="K1216" s="228" t="s">
        <v>5165</v>
      </c>
      <c r="L1216" s="18" t="s">
        <v>5166</v>
      </c>
      <c r="M1216" s="18" t="s">
        <v>5173</v>
      </c>
      <c r="N1216" s="18">
        <v>10</v>
      </c>
      <c r="O1216" s="18">
        <v>0.1</v>
      </c>
      <c r="P1216" s="16">
        <v>0.15</v>
      </c>
      <c r="Q1216" s="16">
        <v>0.2</v>
      </c>
      <c r="R1216" s="16">
        <v>0.22</v>
      </c>
      <c r="S1216" s="16">
        <v>0.28000000000000003</v>
      </c>
      <c r="T1216" s="18" t="s">
        <v>1446</v>
      </c>
      <c r="U1216" s="283" t="s">
        <v>3715</v>
      </c>
      <c r="V1216" s="18" t="s">
        <v>5174</v>
      </c>
      <c r="W1216" s="18">
        <v>1</v>
      </c>
      <c r="X1216" s="18">
        <v>1</v>
      </c>
      <c r="Y1216" s="18">
        <v>0</v>
      </c>
      <c r="Z1216" s="18">
        <v>1</v>
      </c>
      <c r="AA1216" s="18">
        <v>0</v>
      </c>
      <c r="AB1216" s="18">
        <v>1</v>
      </c>
      <c r="AC1216" s="316">
        <v>1</v>
      </c>
      <c r="AD1216" s="316">
        <v>1</v>
      </c>
      <c r="AE1216" s="302">
        <f t="shared" si="52"/>
        <v>0.75</v>
      </c>
      <c r="AF1216" s="176"/>
      <c r="AG1216" s="17">
        <v>0</v>
      </c>
      <c r="AH1216" s="176" t="s">
        <v>2526</v>
      </c>
      <c r="AI1216" s="239" t="s">
        <v>2526</v>
      </c>
      <c r="AJ1216" s="239" t="s">
        <v>2526</v>
      </c>
      <c r="AK1216" s="238" t="s">
        <v>2526</v>
      </c>
      <c r="AL1216" s="238" t="s">
        <v>2526</v>
      </c>
      <c r="AM1216" s="147">
        <f t="shared" si="51"/>
        <v>0</v>
      </c>
      <c r="AN1216" s="157" t="s">
        <v>5175</v>
      </c>
      <c r="AO1216" s="157" t="s">
        <v>880</v>
      </c>
      <c r="AP1216" s="240" t="s">
        <v>119</v>
      </c>
      <c r="AQ1216" s="157"/>
    </row>
    <row r="1217" spans="1:43" s="18" customFormat="1" x14ac:dyDescent="0.3">
      <c r="A1217" s="228" t="s">
        <v>1451</v>
      </c>
      <c r="B1217" s="18" t="s">
        <v>4838</v>
      </c>
      <c r="C1217" s="228" t="s">
        <v>5114</v>
      </c>
      <c r="D1217" s="18" t="s">
        <v>5115</v>
      </c>
      <c r="E1217" s="228" t="s">
        <v>5116</v>
      </c>
      <c r="F1217" s="18" t="s">
        <v>5117</v>
      </c>
      <c r="G1217" s="228" t="s">
        <v>5118</v>
      </c>
      <c r="H1217" s="18" t="s">
        <v>5119</v>
      </c>
      <c r="I1217" s="228" t="s">
        <v>5163</v>
      </c>
      <c r="J1217" s="18" t="s">
        <v>5164</v>
      </c>
      <c r="K1217" s="228" t="s">
        <v>5165</v>
      </c>
      <c r="L1217" s="18" t="s">
        <v>5166</v>
      </c>
      <c r="M1217" s="18" t="s">
        <v>5176</v>
      </c>
      <c r="N1217" s="18">
        <v>5</v>
      </c>
      <c r="O1217" s="18">
        <v>10</v>
      </c>
      <c r="P1217" s="16">
        <v>10</v>
      </c>
      <c r="Q1217" s="16">
        <v>10</v>
      </c>
      <c r="R1217" s="16">
        <v>10</v>
      </c>
      <c r="S1217" s="16">
        <v>10</v>
      </c>
      <c r="T1217" s="18" t="s">
        <v>1446</v>
      </c>
      <c r="U1217" s="283" t="s">
        <v>3715</v>
      </c>
      <c r="V1217" s="18" t="s">
        <v>5177</v>
      </c>
      <c r="W1217" s="18">
        <v>1</v>
      </c>
      <c r="X1217" s="18">
        <v>1</v>
      </c>
      <c r="Y1217" s="18">
        <v>0</v>
      </c>
      <c r="Z1217" s="18">
        <v>1</v>
      </c>
      <c r="AA1217" s="18">
        <v>1</v>
      </c>
      <c r="AB1217" s="18">
        <v>1</v>
      </c>
      <c r="AC1217" s="316">
        <v>1</v>
      </c>
      <c r="AD1217" s="316">
        <v>1</v>
      </c>
      <c r="AE1217" s="302">
        <f t="shared" si="52"/>
        <v>0.875</v>
      </c>
      <c r="AF1217" s="176"/>
      <c r="AG1217" s="17">
        <v>0</v>
      </c>
      <c r="AH1217" s="176" t="s">
        <v>2526</v>
      </c>
      <c r="AI1217" s="239">
        <v>0.3</v>
      </c>
      <c r="AJ1217" s="239">
        <v>0.3</v>
      </c>
      <c r="AK1217" s="238">
        <v>0.3</v>
      </c>
      <c r="AL1217" s="238">
        <v>0.3</v>
      </c>
      <c r="AM1217" s="147">
        <f t="shared" si="51"/>
        <v>0.6</v>
      </c>
      <c r="AN1217" s="157" t="s">
        <v>265</v>
      </c>
      <c r="AO1217" s="157" t="s">
        <v>350</v>
      </c>
      <c r="AP1217" s="157" t="s">
        <v>5178</v>
      </c>
      <c r="AQ1217" s="157"/>
    </row>
    <row r="1218" spans="1:43" s="18" customFormat="1" x14ac:dyDescent="0.3">
      <c r="A1218" s="228" t="s">
        <v>1451</v>
      </c>
      <c r="B1218" s="18" t="s">
        <v>4838</v>
      </c>
      <c r="C1218" s="228" t="s">
        <v>5114</v>
      </c>
      <c r="D1218" s="18" t="s">
        <v>5115</v>
      </c>
      <c r="E1218" s="228" t="s">
        <v>5116</v>
      </c>
      <c r="F1218" s="18" t="s">
        <v>5117</v>
      </c>
      <c r="G1218" s="228" t="s">
        <v>5118</v>
      </c>
      <c r="H1218" s="18" t="s">
        <v>5119</v>
      </c>
      <c r="I1218" s="228" t="s">
        <v>5163</v>
      </c>
      <c r="J1218" s="18" t="s">
        <v>5164</v>
      </c>
      <c r="K1218" s="228" t="s">
        <v>5165</v>
      </c>
      <c r="L1218" s="18" t="s">
        <v>5166</v>
      </c>
      <c r="P1218" s="16"/>
      <c r="Q1218" s="16"/>
      <c r="R1218" s="16"/>
      <c r="S1218" s="16"/>
      <c r="U1218" s="283" t="e">
        <v>#N/A</v>
      </c>
      <c r="V1218" s="18" t="s">
        <v>5179</v>
      </c>
      <c r="W1218" s="18">
        <v>1</v>
      </c>
      <c r="X1218" s="18">
        <v>1</v>
      </c>
      <c r="Y1218" s="18">
        <v>1</v>
      </c>
      <c r="Z1218" s="18">
        <v>1</v>
      </c>
      <c r="AA1218" s="18">
        <v>1</v>
      </c>
      <c r="AB1218" s="18">
        <v>1</v>
      </c>
      <c r="AC1218" s="316">
        <v>1</v>
      </c>
      <c r="AD1218" s="316">
        <v>1</v>
      </c>
      <c r="AE1218" s="302">
        <f t="shared" si="52"/>
        <v>1</v>
      </c>
      <c r="AF1218" s="176"/>
      <c r="AG1218" s="17">
        <v>0</v>
      </c>
      <c r="AH1218" s="176" t="s">
        <v>2526</v>
      </c>
      <c r="AI1218" s="239">
        <v>0.5</v>
      </c>
      <c r="AJ1218" s="239">
        <v>0.5</v>
      </c>
      <c r="AK1218" s="238">
        <v>0.5</v>
      </c>
      <c r="AL1218" s="238">
        <v>0.5</v>
      </c>
      <c r="AM1218" s="147">
        <f t="shared" si="51"/>
        <v>1</v>
      </c>
      <c r="AN1218" s="157" t="s">
        <v>265</v>
      </c>
      <c r="AO1218" s="157" t="s">
        <v>350</v>
      </c>
      <c r="AP1218" s="240" t="s">
        <v>5180</v>
      </c>
      <c r="AQ1218" s="157"/>
    </row>
    <row r="1219" spans="1:43" s="18" customFormat="1" x14ac:dyDescent="0.3">
      <c r="A1219" s="228" t="s">
        <v>1451</v>
      </c>
      <c r="B1219" s="18" t="s">
        <v>4838</v>
      </c>
      <c r="C1219" s="228" t="s">
        <v>5114</v>
      </c>
      <c r="D1219" s="18" t="s">
        <v>5115</v>
      </c>
      <c r="E1219" s="228" t="s">
        <v>5116</v>
      </c>
      <c r="F1219" s="18" t="s">
        <v>5117</v>
      </c>
      <c r="G1219" s="228" t="s">
        <v>5118</v>
      </c>
      <c r="H1219" s="18" t="s">
        <v>5119</v>
      </c>
      <c r="I1219" s="228" t="s">
        <v>5163</v>
      </c>
      <c r="J1219" s="18" t="s">
        <v>5164</v>
      </c>
      <c r="K1219" s="228" t="s">
        <v>5165</v>
      </c>
      <c r="L1219" s="18" t="s">
        <v>5166</v>
      </c>
      <c r="P1219" s="16"/>
      <c r="Q1219" s="16"/>
      <c r="R1219" s="16"/>
      <c r="S1219" s="16"/>
      <c r="U1219" s="283" t="e">
        <v>#N/A</v>
      </c>
      <c r="V1219" s="18" t="s">
        <v>5181</v>
      </c>
      <c r="W1219" s="18">
        <v>1</v>
      </c>
      <c r="X1219" s="18">
        <v>1</v>
      </c>
      <c r="Y1219" s="18">
        <v>1</v>
      </c>
      <c r="Z1219" s="18">
        <v>1</v>
      </c>
      <c r="AA1219" s="18">
        <v>1</v>
      </c>
      <c r="AB1219" s="18">
        <v>1</v>
      </c>
      <c r="AC1219" s="316">
        <v>1</v>
      </c>
      <c r="AD1219" s="316">
        <v>1</v>
      </c>
      <c r="AE1219" s="302">
        <f t="shared" si="52"/>
        <v>1</v>
      </c>
      <c r="AF1219" s="176"/>
      <c r="AG1219" s="17">
        <v>0</v>
      </c>
      <c r="AH1219" s="176" t="s">
        <v>2526</v>
      </c>
      <c r="AI1219" s="239">
        <v>0</v>
      </c>
      <c r="AJ1219" s="239">
        <v>0</v>
      </c>
      <c r="AK1219" s="238">
        <v>0</v>
      </c>
      <c r="AL1219" s="238">
        <v>0</v>
      </c>
      <c r="AM1219" s="147">
        <f t="shared" si="51"/>
        <v>0</v>
      </c>
      <c r="AN1219" s="157" t="s">
        <v>265</v>
      </c>
      <c r="AO1219" s="157" t="s">
        <v>350</v>
      </c>
      <c r="AP1219" s="157" t="s">
        <v>119</v>
      </c>
      <c r="AQ1219" s="157"/>
    </row>
    <row r="1220" spans="1:43" s="18" customFormat="1" x14ac:dyDescent="0.3">
      <c r="A1220" s="228" t="s">
        <v>1451</v>
      </c>
      <c r="B1220" s="18" t="s">
        <v>4838</v>
      </c>
      <c r="C1220" s="228" t="s">
        <v>5114</v>
      </c>
      <c r="D1220" s="18" t="s">
        <v>5115</v>
      </c>
      <c r="E1220" s="228" t="s">
        <v>5116</v>
      </c>
      <c r="F1220" s="18" t="s">
        <v>5117</v>
      </c>
      <c r="G1220" s="228" t="s">
        <v>5118</v>
      </c>
      <c r="H1220" s="18" t="s">
        <v>5119</v>
      </c>
      <c r="I1220" s="228" t="s">
        <v>5163</v>
      </c>
      <c r="J1220" s="18" t="s">
        <v>5164</v>
      </c>
      <c r="K1220" s="228" t="s">
        <v>5165</v>
      </c>
      <c r="L1220" s="18" t="s">
        <v>5166</v>
      </c>
      <c r="P1220" s="16"/>
      <c r="Q1220" s="16"/>
      <c r="R1220" s="16"/>
      <c r="S1220" s="16"/>
      <c r="U1220" s="283" t="e">
        <v>#N/A</v>
      </c>
      <c r="V1220" s="18" t="s">
        <v>5182</v>
      </c>
      <c r="W1220" s="18">
        <v>1</v>
      </c>
      <c r="X1220" s="18">
        <v>1</v>
      </c>
      <c r="Y1220" s="18">
        <v>0</v>
      </c>
      <c r="Z1220" s="18">
        <v>1</v>
      </c>
      <c r="AA1220" s="18">
        <v>1</v>
      </c>
      <c r="AB1220" s="18">
        <v>1</v>
      </c>
      <c r="AC1220" s="316">
        <v>1</v>
      </c>
      <c r="AD1220" s="316">
        <v>1</v>
      </c>
      <c r="AE1220" s="302">
        <f t="shared" si="52"/>
        <v>0.875</v>
      </c>
      <c r="AF1220" s="176"/>
      <c r="AG1220" s="17">
        <v>0</v>
      </c>
      <c r="AH1220" s="176" t="s">
        <v>2526</v>
      </c>
      <c r="AI1220" s="239" t="s">
        <v>2526</v>
      </c>
      <c r="AJ1220" s="239" t="s">
        <v>2526</v>
      </c>
      <c r="AK1220" s="238" t="s">
        <v>2526</v>
      </c>
      <c r="AL1220" s="238" t="s">
        <v>2526</v>
      </c>
      <c r="AM1220" s="147">
        <f t="shared" si="51"/>
        <v>0</v>
      </c>
      <c r="AN1220" s="157" t="s">
        <v>265</v>
      </c>
      <c r="AO1220" s="157" t="s">
        <v>350</v>
      </c>
      <c r="AP1220" s="157" t="s">
        <v>119</v>
      </c>
      <c r="AQ1220" s="157"/>
    </row>
    <row r="1221" spans="1:43" s="18" customFormat="1" x14ac:dyDescent="0.3">
      <c r="A1221" s="228" t="s">
        <v>1451</v>
      </c>
      <c r="B1221" s="18" t="s">
        <v>4838</v>
      </c>
      <c r="C1221" s="228" t="s">
        <v>5114</v>
      </c>
      <c r="D1221" s="18" t="s">
        <v>5115</v>
      </c>
      <c r="E1221" s="228" t="s">
        <v>5116</v>
      </c>
      <c r="F1221" s="18" t="s">
        <v>5117</v>
      </c>
      <c r="G1221" s="228" t="s">
        <v>5118</v>
      </c>
      <c r="H1221" s="18" t="s">
        <v>5119</v>
      </c>
      <c r="I1221" s="228" t="s">
        <v>5163</v>
      </c>
      <c r="J1221" s="18" t="s">
        <v>5164</v>
      </c>
      <c r="K1221" s="228" t="s">
        <v>5165</v>
      </c>
      <c r="L1221" s="18" t="s">
        <v>5166</v>
      </c>
      <c r="P1221" s="16"/>
      <c r="Q1221" s="16"/>
      <c r="R1221" s="16"/>
      <c r="S1221" s="16"/>
      <c r="U1221" s="283" t="e">
        <v>#N/A</v>
      </c>
      <c r="V1221" s="18" t="s">
        <v>5183</v>
      </c>
      <c r="W1221" s="18">
        <v>1</v>
      </c>
      <c r="X1221" s="18">
        <v>1</v>
      </c>
      <c r="Y1221" s="18">
        <v>0</v>
      </c>
      <c r="Z1221" s="18">
        <v>1</v>
      </c>
      <c r="AA1221" s="18">
        <v>1</v>
      </c>
      <c r="AB1221" s="18">
        <v>1</v>
      </c>
      <c r="AC1221" s="316">
        <v>0</v>
      </c>
      <c r="AD1221" s="316">
        <v>1</v>
      </c>
      <c r="AE1221" s="302">
        <f t="shared" si="52"/>
        <v>0.75</v>
      </c>
      <c r="AF1221" s="176"/>
      <c r="AG1221" s="17">
        <v>0</v>
      </c>
      <c r="AH1221" s="176" t="s">
        <v>2526</v>
      </c>
      <c r="AI1221" s="239">
        <v>0.5</v>
      </c>
      <c r="AJ1221" s="239">
        <v>0.5</v>
      </c>
      <c r="AK1221" s="238">
        <v>0.5</v>
      </c>
      <c r="AL1221" s="238">
        <v>0.5</v>
      </c>
      <c r="AM1221" s="147">
        <f t="shared" si="51"/>
        <v>1</v>
      </c>
      <c r="AN1221" s="157" t="s">
        <v>1446</v>
      </c>
      <c r="AO1221" s="157" t="s">
        <v>3715</v>
      </c>
      <c r="AP1221" s="157" t="s">
        <v>1083</v>
      </c>
      <c r="AQ1221" s="157"/>
    </row>
    <row r="1222" spans="1:43" s="18" customFormat="1" x14ac:dyDescent="0.3">
      <c r="A1222" s="228" t="s">
        <v>1451</v>
      </c>
      <c r="B1222" s="18" t="s">
        <v>4838</v>
      </c>
      <c r="C1222" s="228" t="s">
        <v>5114</v>
      </c>
      <c r="D1222" s="18" t="s">
        <v>5115</v>
      </c>
      <c r="E1222" s="228" t="s">
        <v>5116</v>
      </c>
      <c r="F1222" s="18" t="s">
        <v>5117</v>
      </c>
      <c r="G1222" s="228" t="s">
        <v>5118</v>
      </c>
      <c r="H1222" s="18" t="s">
        <v>5119</v>
      </c>
      <c r="I1222" s="228" t="s">
        <v>5163</v>
      </c>
      <c r="J1222" s="18" t="s">
        <v>5164</v>
      </c>
      <c r="K1222" s="228" t="s">
        <v>5165</v>
      </c>
      <c r="L1222" s="18" t="s">
        <v>5166</v>
      </c>
      <c r="P1222" s="16"/>
      <c r="Q1222" s="16"/>
      <c r="R1222" s="16"/>
      <c r="S1222" s="16"/>
      <c r="U1222" s="283" t="e">
        <v>#N/A</v>
      </c>
      <c r="V1222" s="18" t="s">
        <v>5184</v>
      </c>
      <c r="W1222" s="18">
        <v>1</v>
      </c>
      <c r="X1222" s="18">
        <v>1</v>
      </c>
      <c r="Y1222" s="18">
        <v>0</v>
      </c>
      <c r="Z1222" s="18">
        <v>1</v>
      </c>
      <c r="AA1222" s="18">
        <v>1</v>
      </c>
      <c r="AB1222" s="18">
        <v>1</v>
      </c>
      <c r="AC1222" s="316">
        <v>1</v>
      </c>
      <c r="AD1222" s="316">
        <v>1</v>
      </c>
      <c r="AE1222" s="302">
        <f t="shared" si="52"/>
        <v>0.875</v>
      </c>
      <c r="AF1222" s="176"/>
      <c r="AG1222" s="17">
        <v>0</v>
      </c>
      <c r="AH1222" s="176">
        <v>0</v>
      </c>
      <c r="AI1222" s="239">
        <v>2.2000000000000002</v>
      </c>
      <c r="AJ1222" s="239">
        <v>2.2000000000000002</v>
      </c>
      <c r="AK1222" s="237">
        <v>1.8</v>
      </c>
      <c r="AL1222" s="238">
        <v>2.2000000000000002</v>
      </c>
      <c r="AM1222" s="147">
        <f t="shared" si="51"/>
        <v>4</v>
      </c>
      <c r="AN1222" s="157" t="s">
        <v>1446</v>
      </c>
      <c r="AO1222" s="157" t="s">
        <v>3715</v>
      </c>
      <c r="AP1222" s="157" t="s">
        <v>5185</v>
      </c>
      <c r="AQ1222" s="157"/>
    </row>
    <row r="1223" spans="1:43" s="18" customFormat="1" x14ac:dyDescent="0.3">
      <c r="A1223" s="228" t="s">
        <v>1451</v>
      </c>
      <c r="B1223" s="18" t="s">
        <v>4838</v>
      </c>
      <c r="C1223" s="228" t="s">
        <v>5114</v>
      </c>
      <c r="D1223" s="18" t="s">
        <v>5115</v>
      </c>
      <c r="E1223" s="228" t="s">
        <v>5116</v>
      </c>
      <c r="F1223" s="18" t="s">
        <v>5117</v>
      </c>
      <c r="G1223" s="228" t="s">
        <v>5118</v>
      </c>
      <c r="H1223" s="18" t="s">
        <v>5119</v>
      </c>
      <c r="I1223" s="228" t="s">
        <v>5186</v>
      </c>
      <c r="J1223" s="18" t="s">
        <v>5187</v>
      </c>
      <c r="K1223" s="228" t="s">
        <v>5188</v>
      </c>
      <c r="L1223" s="18" t="s">
        <v>5189</v>
      </c>
      <c r="M1223" s="18" t="s">
        <v>5190</v>
      </c>
      <c r="N1223" s="18">
        <v>0</v>
      </c>
      <c r="O1223" s="18">
        <v>50</v>
      </c>
      <c r="P1223" s="16">
        <v>60</v>
      </c>
      <c r="Q1223" s="16">
        <v>70</v>
      </c>
      <c r="R1223" s="16">
        <v>80</v>
      </c>
      <c r="S1223" s="16">
        <v>80</v>
      </c>
      <c r="T1223" s="283" t="s">
        <v>265</v>
      </c>
      <c r="U1223" s="283" t="s">
        <v>350</v>
      </c>
      <c r="V1223" s="18" t="s">
        <v>5191</v>
      </c>
      <c r="W1223" s="18">
        <v>0</v>
      </c>
      <c r="X1223" s="18">
        <v>0</v>
      </c>
      <c r="Y1223" s="18">
        <v>0</v>
      </c>
      <c r="Z1223" s="18">
        <v>0</v>
      </c>
      <c r="AA1223" s="18">
        <v>0</v>
      </c>
      <c r="AB1223" s="18">
        <v>0</v>
      </c>
      <c r="AC1223" s="316">
        <v>0</v>
      </c>
      <c r="AD1223" s="316">
        <v>0</v>
      </c>
      <c r="AE1223" s="302">
        <f t="shared" si="52"/>
        <v>0</v>
      </c>
      <c r="AF1223" s="176">
        <v>0</v>
      </c>
      <c r="AG1223" s="17">
        <v>0</v>
      </c>
      <c r="AH1223" s="176">
        <v>0</v>
      </c>
      <c r="AI1223" s="239">
        <v>0</v>
      </c>
      <c r="AJ1223" s="239">
        <v>0</v>
      </c>
      <c r="AK1223" s="238">
        <v>0</v>
      </c>
      <c r="AL1223" s="238">
        <v>0</v>
      </c>
      <c r="AM1223" s="147">
        <f t="shared" si="51"/>
        <v>0</v>
      </c>
      <c r="AN1223" s="157" t="s">
        <v>265</v>
      </c>
      <c r="AO1223" s="157" t="s">
        <v>350</v>
      </c>
      <c r="AP1223" s="157" t="s">
        <v>119</v>
      </c>
      <c r="AQ1223" s="157"/>
    </row>
    <row r="1224" spans="1:43" s="18" customFormat="1" x14ac:dyDescent="0.3">
      <c r="A1224" s="228" t="s">
        <v>1451</v>
      </c>
      <c r="B1224" s="18" t="s">
        <v>4838</v>
      </c>
      <c r="C1224" s="228" t="s">
        <v>5114</v>
      </c>
      <c r="D1224" s="18" t="s">
        <v>5115</v>
      </c>
      <c r="E1224" s="228" t="s">
        <v>5116</v>
      </c>
      <c r="F1224" s="18" t="s">
        <v>5117</v>
      </c>
      <c r="G1224" s="228" t="s">
        <v>5118</v>
      </c>
      <c r="H1224" s="18" t="s">
        <v>5119</v>
      </c>
      <c r="I1224" s="228" t="s">
        <v>5186</v>
      </c>
      <c r="J1224" s="18" t="s">
        <v>5187</v>
      </c>
      <c r="K1224" s="228" t="s">
        <v>5188</v>
      </c>
      <c r="L1224" s="18" t="s">
        <v>5189</v>
      </c>
      <c r="M1224" s="18" t="s">
        <v>5192</v>
      </c>
      <c r="N1224" s="18">
        <v>50</v>
      </c>
      <c r="O1224" s="18">
        <v>100</v>
      </c>
      <c r="P1224" s="16">
        <v>125</v>
      </c>
      <c r="Q1224" s="16">
        <v>150</v>
      </c>
      <c r="R1224" s="16">
        <v>175</v>
      </c>
      <c r="S1224" s="16">
        <v>200</v>
      </c>
      <c r="T1224" s="18" t="s">
        <v>869</v>
      </c>
      <c r="U1224" s="283" t="s">
        <v>871</v>
      </c>
      <c r="V1224" s="18" t="s">
        <v>5193</v>
      </c>
      <c r="W1224" s="18">
        <v>1</v>
      </c>
      <c r="X1224" s="18">
        <v>1</v>
      </c>
      <c r="Y1224" s="18">
        <v>0</v>
      </c>
      <c r="Z1224" s="18">
        <v>1</v>
      </c>
      <c r="AA1224" s="18">
        <v>1</v>
      </c>
      <c r="AB1224" s="18">
        <v>1</v>
      </c>
      <c r="AC1224" s="316">
        <v>0</v>
      </c>
      <c r="AD1224" s="316">
        <v>1</v>
      </c>
      <c r="AE1224" s="302">
        <f t="shared" si="52"/>
        <v>0.75</v>
      </c>
      <c r="AF1224" s="176">
        <v>0</v>
      </c>
      <c r="AG1224" s="17">
        <v>0</v>
      </c>
      <c r="AH1224" s="176" t="s">
        <v>2526</v>
      </c>
      <c r="AI1224" s="176">
        <v>5</v>
      </c>
      <c r="AJ1224" s="234">
        <v>5</v>
      </c>
      <c r="AK1224" s="250">
        <v>2.5</v>
      </c>
      <c r="AL1224" s="235">
        <v>5</v>
      </c>
      <c r="AM1224" s="147">
        <f t="shared" si="51"/>
        <v>7.5</v>
      </c>
      <c r="AN1224" s="236" t="s">
        <v>265</v>
      </c>
      <c r="AO1224" s="236" t="s">
        <v>350</v>
      </c>
      <c r="AP1224" s="18" t="s">
        <v>5194</v>
      </c>
    </row>
    <row r="1225" spans="1:43" s="18" customFormat="1" x14ac:dyDescent="0.3">
      <c r="A1225" s="228" t="s">
        <v>1451</v>
      </c>
      <c r="B1225" s="18" t="s">
        <v>4838</v>
      </c>
      <c r="C1225" s="228" t="s">
        <v>5114</v>
      </c>
      <c r="D1225" s="18" t="s">
        <v>5115</v>
      </c>
      <c r="E1225" s="228" t="s">
        <v>5116</v>
      </c>
      <c r="F1225" s="18" t="s">
        <v>5117</v>
      </c>
      <c r="G1225" s="228" t="s">
        <v>5118</v>
      </c>
      <c r="H1225" s="18" t="s">
        <v>5119</v>
      </c>
      <c r="I1225" s="228" t="s">
        <v>5186</v>
      </c>
      <c r="J1225" s="18" t="s">
        <v>5187</v>
      </c>
      <c r="K1225" s="228" t="s">
        <v>5188</v>
      </c>
      <c r="L1225" s="18" t="s">
        <v>5189</v>
      </c>
      <c r="M1225" s="18" t="s">
        <v>5195</v>
      </c>
      <c r="N1225" s="18">
        <v>0</v>
      </c>
      <c r="O1225" s="18">
        <v>15</v>
      </c>
      <c r="P1225" s="16">
        <v>24</v>
      </c>
      <c r="Q1225" s="16">
        <v>27</v>
      </c>
      <c r="R1225" s="16">
        <v>30</v>
      </c>
      <c r="S1225" s="16">
        <v>33</v>
      </c>
      <c r="T1225" s="18" t="s">
        <v>877</v>
      </c>
      <c r="U1225" s="283" t="s">
        <v>880</v>
      </c>
      <c r="V1225" s="18" t="s">
        <v>5196</v>
      </c>
      <c r="W1225" s="18">
        <v>1</v>
      </c>
      <c r="X1225" s="18">
        <v>1</v>
      </c>
      <c r="Y1225" s="18">
        <v>1</v>
      </c>
      <c r="Z1225" s="18">
        <v>1</v>
      </c>
      <c r="AA1225" s="18">
        <v>1</v>
      </c>
      <c r="AB1225" s="18">
        <v>1</v>
      </c>
      <c r="AC1225" s="316">
        <v>1</v>
      </c>
      <c r="AD1225" s="316">
        <v>1</v>
      </c>
      <c r="AE1225" s="302">
        <f t="shared" si="52"/>
        <v>1</v>
      </c>
      <c r="AF1225" s="176">
        <v>0</v>
      </c>
      <c r="AG1225" s="17">
        <v>0</v>
      </c>
      <c r="AH1225" s="176">
        <v>2</v>
      </c>
      <c r="AI1225" s="239">
        <v>3</v>
      </c>
      <c r="AJ1225" s="239">
        <v>3</v>
      </c>
      <c r="AK1225" s="238">
        <v>3</v>
      </c>
      <c r="AL1225" s="238">
        <v>3</v>
      </c>
      <c r="AM1225" s="147">
        <f t="shared" si="51"/>
        <v>6</v>
      </c>
      <c r="AN1225" s="157" t="s">
        <v>265</v>
      </c>
      <c r="AO1225" s="157" t="s">
        <v>350</v>
      </c>
      <c r="AP1225" s="157" t="s">
        <v>5197</v>
      </c>
      <c r="AQ1225" s="157"/>
    </row>
    <row r="1226" spans="1:43" s="18" customFormat="1" x14ac:dyDescent="0.3">
      <c r="A1226" s="228" t="s">
        <v>1451</v>
      </c>
      <c r="B1226" s="18" t="s">
        <v>4838</v>
      </c>
      <c r="C1226" s="228" t="s">
        <v>5114</v>
      </c>
      <c r="D1226" s="18" t="s">
        <v>5115</v>
      </c>
      <c r="E1226" s="228" t="s">
        <v>5116</v>
      </c>
      <c r="F1226" s="18" t="s">
        <v>5117</v>
      </c>
      <c r="G1226" s="228" t="s">
        <v>5118</v>
      </c>
      <c r="H1226" s="18" t="s">
        <v>5119</v>
      </c>
      <c r="I1226" s="228" t="s">
        <v>5186</v>
      </c>
      <c r="J1226" s="18" t="s">
        <v>5187</v>
      </c>
      <c r="K1226" s="228" t="s">
        <v>5188</v>
      </c>
      <c r="L1226" s="18" t="s">
        <v>5189</v>
      </c>
      <c r="M1226" s="18" t="s">
        <v>5198</v>
      </c>
      <c r="N1226" s="18">
        <v>0</v>
      </c>
      <c r="O1226" s="18">
        <v>50</v>
      </c>
      <c r="P1226" s="16">
        <v>50</v>
      </c>
      <c r="Q1226" s="16">
        <v>50</v>
      </c>
      <c r="R1226" s="16">
        <v>50</v>
      </c>
      <c r="S1226" s="16">
        <v>50</v>
      </c>
      <c r="T1226" s="18" t="s">
        <v>1446</v>
      </c>
      <c r="U1226" s="283" t="s">
        <v>3715</v>
      </c>
      <c r="V1226" s="18" t="s">
        <v>5199</v>
      </c>
      <c r="W1226" s="18">
        <v>0</v>
      </c>
      <c r="X1226" s="18">
        <v>0</v>
      </c>
      <c r="Y1226" s="18">
        <v>0</v>
      </c>
      <c r="Z1226" s="18">
        <v>0</v>
      </c>
      <c r="AA1226" s="18">
        <v>0</v>
      </c>
      <c r="AB1226" s="18">
        <v>0</v>
      </c>
      <c r="AC1226" s="316">
        <v>0</v>
      </c>
      <c r="AD1226" s="316">
        <v>0</v>
      </c>
      <c r="AE1226" s="302">
        <f t="shared" si="52"/>
        <v>0</v>
      </c>
      <c r="AF1226" s="176"/>
      <c r="AG1226" s="17">
        <v>0</v>
      </c>
      <c r="AH1226" s="176" t="s">
        <v>2526</v>
      </c>
      <c r="AI1226" s="176" t="s">
        <v>2526</v>
      </c>
      <c r="AJ1226" s="176" t="s">
        <v>2526</v>
      </c>
      <c r="AK1226" s="177" t="s">
        <v>2526</v>
      </c>
      <c r="AL1226" s="177" t="s">
        <v>2526</v>
      </c>
      <c r="AM1226" s="147">
        <f t="shared" si="51"/>
        <v>0</v>
      </c>
      <c r="AN1226" s="18" t="s">
        <v>265</v>
      </c>
      <c r="AO1226" s="18" t="s">
        <v>350</v>
      </c>
      <c r="AP1226" s="228" t="s">
        <v>119</v>
      </c>
    </row>
    <row r="1227" spans="1:43" s="18" customFormat="1" x14ac:dyDescent="0.3">
      <c r="A1227" s="228" t="s">
        <v>1451</v>
      </c>
      <c r="B1227" s="18" t="s">
        <v>4838</v>
      </c>
      <c r="C1227" s="228" t="s">
        <v>5114</v>
      </c>
      <c r="D1227" s="18" t="s">
        <v>5115</v>
      </c>
      <c r="E1227" s="228" t="s">
        <v>5116</v>
      </c>
      <c r="F1227" s="18" t="s">
        <v>5117</v>
      </c>
      <c r="G1227" s="228" t="s">
        <v>5118</v>
      </c>
      <c r="H1227" s="18" t="s">
        <v>5119</v>
      </c>
      <c r="I1227" s="228" t="s">
        <v>5186</v>
      </c>
      <c r="J1227" s="18" t="s">
        <v>5187</v>
      </c>
      <c r="K1227" s="228" t="s">
        <v>5188</v>
      </c>
      <c r="L1227" s="18" t="s">
        <v>5189</v>
      </c>
      <c r="P1227" s="16"/>
      <c r="Q1227" s="16"/>
      <c r="R1227" s="16"/>
      <c r="S1227" s="16"/>
      <c r="U1227" s="283" t="e">
        <v>#N/A</v>
      </c>
      <c r="V1227" s="18" t="s">
        <v>5200</v>
      </c>
      <c r="W1227" s="18">
        <v>0</v>
      </c>
      <c r="X1227" s="18">
        <v>0</v>
      </c>
      <c r="Y1227" s="18">
        <v>0</v>
      </c>
      <c r="Z1227" s="18">
        <v>0</v>
      </c>
      <c r="AA1227" s="18">
        <v>0</v>
      </c>
      <c r="AB1227" s="18">
        <v>0</v>
      </c>
      <c r="AC1227" s="316">
        <v>0</v>
      </c>
      <c r="AD1227" s="316">
        <v>0</v>
      </c>
      <c r="AE1227" s="302">
        <f t="shared" si="52"/>
        <v>0</v>
      </c>
      <c r="AF1227" s="176">
        <v>0</v>
      </c>
      <c r="AG1227" s="17">
        <v>0</v>
      </c>
      <c r="AH1227" s="176" t="s">
        <v>2526</v>
      </c>
      <c r="AI1227" s="239">
        <v>0.3</v>
      </c>
      <c r="AJ1227" s="239">
        <v>0.3</v>
      </c>
      <c r="AK1227" s="241">
        <v>0</v>
      </c>
      <c r="AL1227" s="241">
        <v>0</v>
      </c>
      <c r="AM1227" s="147">
        <f t="shared" si="51"/>
        <v>0</v>
      </c>
      <c r="AN1227" s="157" t="s">
        <v>265</v>
      </c>
      <c r="AO1227" s="157" t="s">
        <v>350</v>
      </c>
      <c r="AP1227" s="157" t="s">
        <v>5201</v>
      </c>
      <c r="AQ1227" s="157"/>
    </row>
    <row r="1228" spans="1:43" s="18" customFormat="1" x14ac:dyDescent="0.3">
      <c r="A1228" s="228" t="s">
        <v>1451</v>
      </c>
      <c r="B1228" s="18" t="s">
        <v>4838</v>
      </c>
      <c r="C1228" s="228" t="s">
        <v>5114</v>
      </c>
      <c r="D1228" s="18" t="s">
        <v>5115</v>
      </c>
      <c r="E1228" s="228" t="s">
        <v>5116</v>
      </c>
      <c r="F1228" s="18" t="s">
        <v>5117</v>
      </c>
      <c r="G1228" s="228" t="s">
        <v>5118</v>
      </c>
      <c r="H1228" s="18" t="s">
        <v>5119</v>
      </c>
      <c r="I1228" s="228" t="s">
        <v>5186</v>
      </c>
      <c r="J1228" s="18" t="s">
        <v>5187</v>
      </c>
      <c r="K1228" s="228" t="s">
        <v>5188</v>
      </c>
      <c r="L1228" s="18" t="s">
        <v>5189</v>
      </c>
      <c r="P1228" s="16"/>
      <c r="Q1228" s="16"/>
      <c r="R1228" s="16"/>
      <c r="S1228" s="16"/>
      <c r="U1228" s="283" t="e">
        <v>#N/A</v>
      </c>
      <c r="V1228" s="18" t="s">
        <v>5202</v>
      </c>
      <c r="W1228" s="18">
        <v>1</v>
      </c>
      <c r="X1228" s="18">
        <v>1</v>
      </c>
      <c r="Y1228" s="18">
        <v>1</v>
      </c>
      <c r="Z1228" s="18">
        <v>1</v>
      </c>
      <c r="AA1228" s="18">
        <v>1</v>
      </c>
      <c r="AB1228" s="18">
        <v>1</v>
      </c>
      <c r="AC1228" s="316">
        <v>1</v>
      </c>
      <c r="AD1228" s="316">
        <v>1</v>
      </c>
      <c r="AE1228" s="302">
        <f t="shared" si="52"/>
        <v>1</v>
      </c>
      <c r="AF1228" s="176">
        <v>0</v>
      </c>
      <c r="AG1228" s="17">
        <v>0</v>
      </c>
      <c r="AH1228" s="176" t="s">
        <v>2526</v>
      </c>
      <c r="AI1228" s="239">
        <v>0.3</v>
      </c>
      <c r="AJ1228" s="239">
        <v>0.2</v>
      </c>
      <c r="AK1228" s="238">
        <v>0.2</v>
      </c>
      <c r="AL1228" s="238">
        <v>0.2</v>
      </c>
      <c r="AM1228" s="147">
        <f t="shared" si="51"/>
        <v>0.4</v>
      </c>
      <c r="AN1228" s="157" t="s">
        <v>265</v>
      </c>
      <c r="AO1228" s="157" t="s">
        <v>350</v>
      </c>
      <c r="AP1228" s="157" t="s">
        <v>5203</v>
      </c>
      <c r="AQ1228" s="157"/>
    </row>
    <row r="1229" spans="1:43" s="18" customFormat="1" x14ac:dyDescent="0.3">
      <c r="A1229" s="228" t="s">
        <v>1451</v>
      </c>
      <c r="B1229" s="18" t="s">
        <v>4838</v>
      </c>
      <c r="C1229" s="228" t="s">
        <v>5114</v>
      </c>
      <c r="D1229" s="18" t="s">
        <v>5115</v>
      </c>
      <c r="E1229" s="228" t="s">
        <v>5116</v>
      </c>
      <c r="F1229" s="18" t="s">
        <v>5117</v>
      </c>
      <c r="G1229" s="228" t="s">
        <v>5118</v>
      </c>
      <c r="H1229" s="18" t="s">
        <v>5119</v>
      </c>
      <c r="I1229" s="228" t="s">
        <v>5186</v>
      </c>
      <c r="J1229" s="18" t="s">
        <v>5187</v>
      </c>
      <c r="K1229" s="228" t="s">
        <v>5188</v>
      </c>
      <c r="L1229" s="18" t="s">
        <v>5189</v>
      </c>
      <c r="P1229" s="16"/>
      <c r="Q1229" s="16"/>
      <c r="R1229" s="16"/>
      <c r="S1229" s="16"/>
      <c r="U1229" s="283" t="e">
        <v>#N/A</v>
      </c>
      <c r="V1229" s="18" t="s">
        <v>5204</v>
      </c>
      <c r="W1229" s="18">
        <v>1</v>
      </c>
      <c r="X1229" s="18">
        <v>1</v>
      </c>
      <c r="Y1229" s="18">
        <v>1</v>
      </c>
      <c r="Z1229" s="18">
        <v>1</v>
      </c>
      <c r="AA1229" s="18">
        <v>1</v>
      </c>
      <c r="AB1229" s="18">
        <v>1</v>
      </c>
      <c r="AC1229" s="316">
        <v>1</v>
      </c>
      <c r="AD1229" s="316">
        <v>1</v>
      </c>
      <c r="AE1229" s="302">
        <f t="shared" si="52"/>
        <v>1</v>
      </c>
      <c r="AF1229" s="176">
        <v>0</v>
      </c>
      <c r="AG1229" s="17">
        <v>0</v>
      </c>
      <c r="AH1229" s="176" t="s">
        <v>2526</v>
      </c>
      <c r="AI1229" s="239">
        <v>0.42</v>
      </c>
      <c r="AJ1229" s="239">
        <v>0.44</v>
      </c>
      <c r="AK1229" s="238">
        <v>0.48</v>
      </c>
      <c r="AL1229" s="238">
        <v>0.48</v>
      </c>
      <c r="AM1229" s="147">
        <f t="shared" si="51"/>
        <v>0.96</v>
      </c>
      <c r="AN1229" s="157" t="s">
        <v>879</v>
      </c>
      <c r="AO1229" s="157" t="s">
        <v>880</v>
      </c>
      <c r="AP1229" s="157" t="s">
        <v>5205</v>
      </c>
      <c r="AQ1229" s="157"/>
    </row>
    <row r="1230" spans="1:43" s="18" customFormat="1" x14ac:dyDescent="0.3">
      <c r="A1230" s="228" t="s">
        <v>1451</v>
      </c>
      <c r="B1230" s="18" t="s">
        <v>4838</v>
      </c>
      <c r="C1230" s="228" t="s">
        <v>5114</v>
      </c>
      <c r="D1230" s="18" t="s">
        <v>5115</v>
      </c>
      <c r="E1230" s="228" t="s">
        <v>5116</v>
      </c>
      <c r="F1230" s="18" t="s">
        <v>5117</v>
      </c>
      <c r="G1230" s="228" t="s">
        <v>5118</v>
      </c>
      <c r="H1230" s="18" t="s">
        <v>5119</v>
      </c>
      <c r="I1230" s="228" t="s">
        <v>5186</v>
      </c>
      <c r="J1230" s="18" t="s">
        <v>5187</v>
      </c>
      <c r="K1230" s="228" t="s">
        <v>5188</v>
      </c>
      <c r="L1230" s="18" t="s">
        <v>5189</v>
      </c>
      <c r="P1230" s="16"/>
      <c r="Q1230" s="16"/>
      <c r="R1230" s="16"/>
      <c r="S1230" s="16"/>
      <c r="U1230" s="283" t="e">
        <v>#N/A</v>
      </c>
      <c r="V1230" s="18" t="s">
        <v>5206</v>
      </c>
      <c r="W1230" s="18">
        <v>0</v>
      </c>
      <c r="X1230" s="18">
        <v>0</v>
      </c>
      <c r="Y1230" s="18">
        <v>0</v>
      </c>
      <c r="Z1230" s="18">
        <v>0</v>
      </c>
      <c r="AA1230" s="18">
        <v>0</v>
      </c>
      <c r="AB1230" s="18">
        <v>0</v>
      </c>
      <c r="AC1230" s="316">
        <v>0</v>
      </c>
      <c r="AD1230" s="316">
        <v>0</v>
      </c>
      <c r="AE1230" s="302">
        <f t="shared" si="52"/>
        <v>0</v>
      </c>
      <c r="AF1230" s="176">
        <v>0</v>
      </c>
      <c r="AG1230" s="17">
        <v>0</v>
      </c>
      <c r="AH1230" s="176" t="s">
        <v>2526</v>
      </c>
      <c r="AI1230" s="239">
        <v>7.0000000000000007E-2</v>
      </c>
      <c r="AJ1230" s="239">
        <v>0.08</v>
      </c>
      <c r="AK1230" s="246">
        <v>0</v>
      </c>
      <c r="AL1230" s="246">
        <v>0</v>
      </c>
      <c r="AM1230" s="147">
        <f t="shared" si="51"/>
        <v>0</v>
      </c>
      <c r="AN1230" s="157" t="s">
        <v>879</v>
      </c>
      <c r="AO1230" s="157" t="s">
        <v>880</v>
      </c>
      <c r="AP1230" s="157" t="s">
        <v>5207</v>
      </c>
      <c r="AQ1230" s="157"/>
    </row>
    <row r="1231" spans="1:43" s="18" customFormat="1" x14ac:dyDescent="0.3">
      <c r="A1231" s="228" t="s">
        <v>1451</v>
      </c>
      <c r="B1231" s="18" t="s">
        <v>4838</v>
      </c>
      <c r="C1231" s="228" t="s">
        <v>5114</v>
      </c>
      <c r="D1231" s="18" t="s">
        <v>5115</v>
      </c>
      <c r="E1231" s="228" t="s">
        <v>5116</v>
      </c>
      <c r="F1231" s="18" t="s">
        <v>5117</v>
      </c>
      <c r="G1231" s="228" t="s">
        <v>5118</v>
      </c>
      <c r="H1231" s="18" t="s">
        <v>5119</v>
      </c>
      <c r="I1231" s="228" t="s">
        <v>5186</v>
      </c>
      <c r="J1231" s="18" t="s">
        <v>5187</v>
      </c>
      <c r="K1231" s="228" t="s">
        <v>5188</v>
      </c>
      <c r="L1231" s="18" t="s">
        <v>5189</v>
      </c>
      <c r="P1231" s="16"/>
      <c r="Q1231" s="16"/>
      <c r="R1231" s="16"/>
      <c r="S1231" s="16"/>
      <c r="U1231" s="283" t="e">
        <v>#N/A</v>
      </c>
      <c r="V1231" s="18" t="s">
        <v>5208</v>
      </c>
      <c r="X1231" s="18">
        <v>0</v>
      </c>
      <c r="Y1231" s="18">
        <v>0</v>
      </c>
      <c r="Z1231" s="18">
        <v>0</v>
      </c>
      <c r="AA1231" s="18">
        <v>0</v>
      </c>
      <c r="AB1231" s="18">
        <v>0</v>
      </c>
      <c r="AC1231" s="316">
        <v>0</v>
      </c>
      <c r="AD1231" s="316">
        <v>1</v>
      </c>
      <c r="AE1231" s="302">
        <f t="shared" si="52"/>
        <v>0.125</v>
      </c>
      <c r="AF1231" s="176">
        <v>0</v>
      </c>
      <c r="AG1231" s="17">
        <v>0</v>
      </c>
      <c r="AH1231" s="176" t="s">
        <v>2526</v>
      </c>
      <c r="AI1231" s="239">
        <v>0.36</v>
      </c>
      <c r="AJ1231" s="239">
        <v>0.36</v>
      </c>
      <c r="AK1231" s="246">
        <v>0</v>
      </c>
      <c r="AL1231" s="246">
        <v>0</v>
      </c>
      <c r="AM1231" s="147">
        <f t="shared" si="51"/>
        <v>0</v>
      </c>
      <c r="AN1231" s="157" t="s">
        <v>1446</v>
      </c>
      <c r="AO1231" s="157" t="s">
        <v>3715</v>
      </c>
      <c r="AP1231" s="157" t="s">
        <v>5209</v>
      </c>
      <c r="AQ1231" s="157"/>
    </row>
    <row r="1232" spans="1:43" s="18" customFormat="1" x14ac:dyDescent="0.3">
      <c r="A1232" s="228" t="s">
        <v>1451</v>
      </c>
      <c r="B1232" s="18" t="s">
        <v>4838</v>
      </c>
      <c r="C1232" s="228" t="s">
        <v>5114</v>
      </c>
      <c r="D1232" s="18" t="s">
        <v>5115</v>
      </c>
      <c r="E1232" s="228" t="s">
        <v>5116</v>
      </c>
      <c r="F1232" s="18" t="s">
        <v>5117</v>
      </c>
      <c r="G1232" s="228" t="s">
        <v>5118</v>
      </c>
      <c r="H1232" s="18" t="s">
        <v>5119</v>
      </c>
      <c r="I1232" s="228" t="s">
        <v>5210</v>
      </c>
      <c r="J1232" s="18" t="s">
        <v>5211</v>
      </c>
      <c r="K1232" s="228" t="s">
        <v>5212</v>
      </c>
      <c r="L1232" s="18" t="s">
        <v>5213</v>
      </c>
      <c r="M1232" s="18" t="s">
        <v>5214</v>
      </c>
      <c r="N1232" s="18">
        <v>0</v>
      </c>
      <c r="O1232" s="18" t="s">
        <v>3560</v>
      </c>
      <c r="P1232" s="16" t="s">
        <v>5168</v>
      </c>
      <c r="Q1232" s="16" t="s">
        <v>5168</v>
      </c>
      <c r="R1232" s="16" t="s">
        <v>3932</v>
      </c>
      <c r="S1232" s="16" t="s">
        <v>3932</v>
      </c>
      <c r="T1232" s="283" t="s">
        <v>265</v>
      </c>
      <c r="U1232" s="283" t="s">
        <v>350</v>
      </c>
      <c r="V1232" s="18" t="s">
        <v>5215</v>
      </c>
      <c r="X1232" s="18">
        <v>1</v>
      </c>
      <c r="Y1232" s="18">
        <v>1</v>
      </c>
      <c r="Z1232" s="18">
        <v>0</v>
      </c>
      <c r="AA1232" s="18">
        <v>1</v>
      </c>
      <c r="AB1232" s="18">
        <v>1</v>
      </c>
      <c r="AC1232" s="316">
        <v>1</v>
      </c>
      <c r="AD1232" s="316">
        <v>1</v>
      </c>
      <c r="AE1232" s="302">
        <f t="shared" si="52"/>
        <v>0.75</v>
      </c>
      <c r="AF1232" s="176">
        <v>0</v>
      </c>
      <c r="AG1232" s="17">
        <v>0</v>
      </c>
      <c r="AH1232" s="176">
        <v>0.2</v>
      </c>
      <c r="AI1232" s="239">
        <v>0.2</v>
      </c>
      <c r="AJ1232" s="239">
        <v>0.2</v>
      </c>
      <c r="AK1232" s="238">
        <v>0.2</v>
      </c>
      <c r="AL1232" s="177">
        <v>0.2</v>
      </c>
      <c r="AM1232" s="147">
        <f t="shared" si="51"/>
        <v>0.4</v>
      </c>
      <c r="AN1232" s="18" t="s">
        <v>265</v>
      </c>
      <c r="AO1232" s="157" t="s">
        <v>350</v>
      </c>
      <c r="AP1232" s="157" t="s">
        <v>5216</v>
      </c>
      <c r="AQ1232" s="157"/>
    </row>
    <row r="1233" spans="1:43" s="18" customFormat="1" x14ac:dyDescent="0.3">
      <c r="A1233" s="228" t="s">
        <v>1451</v>
      </c>
      <c r="B1233" s="18" t="s">
        <v>4838</v>
      </c>
      <c r="C1233" s="228" t="s">
        <v>5114</v>
      </c>
      <c r="D1233" s="18" t="s">
        <v>5115</v>
      </c>
      <c r="E1233" s="228" t="s">
        <v>5116</v>
      </c>
      <c r="F1233" s="18" t="s">
        <v>5117</v>
      </c>
      <c r="G1233" s="228" t="s">
        <v>5118</v>
      </c>
      <c r="H1233" s="18" t="s">
        <v>5119</v>
      </c>
      <c r="I1233" s="228" t="s">
        <v>5210</v>
      </c>
      <c r="J1233" s="18" t="s">
        <v>5211</v>
      </c>
      <c r="K1233" s="228" t="s">
        <v>5212</v>
      </c>
      <c r="L1233" s="18" t="s">
        <v>5213</v>
      </c>
      <c r="M1233" s="18" t="s">
        <v>5217</v>
      </c>
      <c r="N1233" s="18">
        <v>4</v>
      </c>
      <c r="O1233" s="18">
        <v>2</v>
      </c>
      <c r="P1233" s="16">
        <v>3</v>
      </c>
      <c r="Q1233" s="16">
        <v>3</v>
      </c>
      <c r="R1233" s="16">
        <v>4</v>
      </c>
      <c r="S1233" s="16">
        <v>7</v>
      </c>
      <c r="T1233" s="18" t="s">
        <v>869</v>
      </c>
      <c r="U1233" s="283" t="s">
        <v>871</v>
      </c>
      <c r="V1233" s="18" t="s">
        <v>5218</v>
      </c>
      <c r="X1233" s="18">
        <v>0</v>
      </c>
      <c r="Y1233" s="18">
        <v>0</v>
      </c>
      <c r="Z1233" s="18">
        <v>0</v>
      </c>
      <c r="AA1233" s="18">
        <v>1</v>
      </c>
      <c r="AB1233" s="18">
        <v>0</v>
      </c>
      <c r="AC1233" s="316">
        <v>0</v>
      </c>
      <c r="AD1233" s="316">
        <v>1</v>
      </c>
      <c r="AE1233" s="302">
        <f t="shared" si="52"/>
        <v>0.25</v>
      </c>
      <c r="AF1233" s="176">
        <v>0</v>
      </c>
      <c r="AG1233" s="17">
        <v>0</v>
      </c>
      <c r="AH1233" s="176" t="s">
        <v>2526</v>
      </c>
      <c r="AI1233" s="239" t="s">
        <v>2526</v>
      </c>
      <c r="AJ1233" s="239" t="s">
        <v>2526</v>
      </c>
      <c r="AK1233" s="177" t="s">
        <v>2526</v>
      </c>
      <c r="AL1233" s="177" t="s">
        <v>2526</v>
      </c>
      <c r="AM1233" s="147">
        <f t="shared" si="51"/>
        <v>0</v>
      </c>
      <c r="AN1233" s="18" t="s">
        <v>1446</v>
      </c>
      <c r="AO1233" s="18" t="s">
        <v>3715</v>
      </c>
      <c r="AP1233" s="240" t="s">
        <v>119</v>
      </c>
      <c r="AQ1233" s="157"/>
    </row>
    <row r="1234" spans="1:43" s="18" customFormat="1" x14ac:dyDescent="0.3">
      <c r="A1234" s="228" t="s">
        <v>1451</v>
      </c>
      <c r="B1234" s="18" t="s">
        <v>4838</v>
      </c>
      <c r="C1234" s="228" t="s">
        <v>5114</v>
      </c>
      <c r="D1234" s="18" t="s">
        <v>5115</v>
      </c>
      <c r="E1234" s="228" t="s">
        <v>5116</v>
      </c>
      <c r="F1234" s="18" t="s">
        <v>5117</v>
      </c>
      <c r="G1234" s="228" t="s">
        <v>5118</v>
      </c>
      <c r="H1234" s="18" t="s">
        <v>5119</v>
      </c>
      <c r="I1234" s="228" t="s">
        <v>5210</v>
      </c>
      <c r="J1234" s="18" t="s">
        <v>5211</v>
      </c>
      <c r="K1234" s="228" t="s">
        <v>5212</v>
      </c>
      <c r="L1234" s="18" t="s">
        <v>5213</v>
      </c>
      <c r="M1234" s="18" t="s">
        <v>5219</v>
      </c>
      <c r="N1234" s="18">
        <v>0</v>
      </c>
      <c r="O1234" s="18">
        <v>20000</v>
      </c>
      <c r="P1234" s="16">
        <v>30000</v>
      </c>
      <c r="Q1234" s="16">
        <v>40000</v>
      </c>
      <c r="R1234" s="16">
        <v>50000</v>
      </c>
      <c r="S1234" s="16">
        <v>50000</v>
      </c>
      <c r="T1234" s="18" t="s">
        <v>1446</v>
      </c>
      <c r="U1234" s="283" t="s">
        <v>3715</v>
      </c>
      <c r="V1234" s="18" t="s">
        <v>5220</v>
      </c>
      <c r="W1234" s="18">
        <v>0</v>
      </c>
      <c r="X1234" s="18">
        <v>0</v>
      </c>
      <c r="Y1234" s="18">
        <v>0</v>
      </c>
      <c r="Z1234" s="18">
        <v>0</v>
      </c>
      <c r="AA1234" s="18">
        <v>0</v>
      </c>
      <c r="AB1234" s="18">
        <v>0</v>
      </c>
      <c r="AC1234" s="316">
        <v>0</v>
      </c>
      <c r="AD1234" s="316">
        <v>0</v>
      </c>
      <c r="AE1234" s="302">
        <f t="shared" si="52"/>
        <v>0</v>
      </c>
      <c r="AF1234" s="176">
        <v>0</v>
      </c>
      <c r="AG1234" s="17">
        <v>0</v>
      </c>
      <c r="AH1234" s="176">
        <v>0</v>
      </c>
      <c r="AI1234" s="239">
        <v>0</v>
      </c>
      <c r="AJ1234" s="239">
        <v>0</v>
      </c>
      <c r="AK1234" s="177">
        <v>0</v>
      </c>
      <c r="AL1234" s="177">
        <v>0</v>
      </c>
      <c r="AM1234" s="147">
        <f t="shared" si="51"/>
        <v>0</v>
      </c>
      <c r="AN1234" s="18" t="s">
        <v>869</v>
      </c>
      <c r="AO1234" s="18" t="s">
        <v>871</v>
      </c>
      <c r="AP1234" s="240" t="s">
        <v>119</v>
      </c>
      <c r="AQ1234" s="157"/>
    </row>
    <row r="1235" spans="1:43" s="18" customFormat="1" x14ac:dyDescent="0.3">
      <c r="A1235" s="228" t="s">
        <v>1451</v>
      </c>
      <c r="B1235" s="18" t="s">
        <v>4838</v>
      </c>
      <c r="C1235" s="228" t="s">
        <v>5114</v>
      </c>
      <c r="D1235" s="18" t="s">
        <v>5115</v>
      </c>
      <c r="E1235" s="228" t="s">
        <v>5116</v>
      </c>
      <c r="F1235" s="18" t="s">
        <v>5117</v>
      </c>
      <c r="G1235" s="228" t="s">
        <v>5118</v>
      </c>
      <c r="H1235" s="18" t="s">
        <v>5119</v>
      </c>
      <c r="I1235" s="228" t="s">
        <v>5210</v>
      </c>
      <c r="J1235" s="18" t="s">
        <v>5211</v>
      </c>
      <c r="K1235" s="228" t="s">
        <v>5212</v>
      </c>
      <c r="L1235" s="18" t="s">
        <v>5213</v>
      </c>
      <c r="M1235" s="18" t="s">
        <v>5221</v>
      </c>
      <c r="N1235" s="18">
        <v>2</v>
      </c>
      <c r="O1235" s="18">
        <v>0</v>
      </c>
      <c r="P1235" s="16">
        <v>3</v>
      </c>
      <c r="Q1235" s="16">
        <v>3</v>
      </c>
      <c r="R1235" s="16">
        <v>1</v>
      </c>
      <c r="S1235" s="16">
        <v>1</v>
      </c>
      <c r="T1235" s="18" t="s">
        <v>869</v>
      </c>
      <c r="U1235" s="283" t="s">
        <v>871</v>
      </c>
      <c r="V1235" s="18" t="s">
        <v>5222</v>
      </c>
      <c r="W1235" s="18">
        <v>0</v>
      </c>
      <c r="X1235" s="18">
        <v>0</v>
      </c>
      <c r="Y1235" s="18">
        <v>0</v>
      </c>
      <c r="Z1235" s="18">
        <v>0</v>
      </c>
      <c r="AA1235" s="18">
        <v>0</v>
      </c>
      <c r="AB1235" s="18">
        <v>0</v>
      </c>
      <c r="AC1235" s="316">
        <v>0</v>
      </c>
      <c r="AD1235" s="316">
        <v>0</v>
      </c>
      <c r="AE1235" s="302">
        <f t="shared" si="52"/>
        <v>0</v>
      </c>
      <c r="AF1235" s="176">
        <v>0</v>
      </c>
      <c r="AG1235" s="17">
        <v>0</v>
      </c>
      <c r="AH1235" s="176" t="s">
        <v>2526</v>
      </c>
      <c r="AI1235" s="239" t="s">
        <v>2526</v>
      </c>
      <c r="AJ1235" s="239" t="s">
        <v>2526</v>
      </c>
      <c r="AK1235" s="177" t="s">
        <v>2526</v>
      </c>
      <c r="AL1235" s="177" t="s">
        <v>2526</v>
      </c>
      <c r="AM1235" s="147">
        <f t="shared" si="51"/>
        <v>0</v>
      </c>
      <c r="AN1235" s="18" t="s">
        <v>869</v>
      </c>
      <c r="AO1235" s="18" t="s">
        <v>871</v>
      </c>
      <c r="AP1235" s="240" t="s">
        <v>119</v>
      </c>
      <c r="AQ1235" s="157"/>
    </row>
    <row r="1236" spans="1:43" s="18" customFormat="1" x14ac:dyDescent="0.3">
      <c r="A1236" s="228" t="s">
        <v>1451</v>
      </c>
      <c r="B1236" s="18" t="s">
        <v>4838</v>
      </c>
      <c r="C1236" s="228" t="s">
        <v>5114</v>
      </c>
      <c r="D1236" s="18" t="s">
        <v>5115</v>
      </c>
      <c r="E1236" s="228" t="s">
        <v>5116</v>
      </c>
      <c r="F1236" s="18" t="s">
        <v>5117</v>
      </c>
      <c r="G1236" s="228" t="s">
        <v>5118</v>
      </c>
      <c r="H1236" s="18" t="s">
        <v>5119</v>
      </c>
      <c r="I1236" s="228" t="s">
        <v>5210</v>
      </c>
      <c r="J1236" s="18" t="s">
        <v>5211</v>
      </c>
      <c r="K1236" s="228" t="s">
        <v>5212</v>
      </c>
      <c r="L1236" s="18" t="s">
        <v>5213</v>
      </c>
      <c r="M1236" s="18" t="s">
        <v>5223</v>
      </c>
      <c r="N1236" s="18">
        <v>0</v>
      </c>
      <c r="O1236" s="18">
        <v>5</v>
      </c>
      <c r="P1236" s="16">
        <v>5</v>
      </c>
      <c r="Q1236" s="16">
        <v>5</v>
      </c>
      <c r="R1236" s="16">
        <v>5</v>
      </c>
      <c r="S1236" s="16">
        <v>5</v>
      </c>
      <c r="T1236" s="18" t="s">
        <v>869</v>
      </c>
      <c r="U1236" s="283" t="s">
        <v>871</v>
      </c>
      <c r="V1236" s="18" t="s">
        <v>5224</v>
      </c>
      <c r="W1236" s="18">
        <v>0</v>
      </c>
      <c r="X1236" s="18">
        <v>0</v>
      </c>
      <c r="Y1236" s="18">
        <v>0</v>
      </c>
      <c r="Z1236" s="18">
        <v>0</v>
      </c>
      <c r="AA1236" s="18">
        <v>0</v>
      </c>
      <c r="AB1236" s="18">
        <v>0</v>
      </c>
      <c r="AC1236" s="316">
        <v>0</v>
      </c>
      <c r="AD1236" s="316">
        <v>0</v>
      </c>
      <c r="AE1236" s="302">
        <f t="shared" si="52"/>
        <v>0</v>
      </c>
      <c r="AF1236" s="176">
        <v>0</v>
      </c>
      <c r="AG1236" s="17">
        <v>0</v>
      </c>
      <c r="AH1236" s="176">
        <v>0.1</v>
      </c>
      <c r="AI1236" s="239">
        <v>0.1</v>
      </c>
      <c r="AJ1236" s="239">
        <v>0.1</v>
      </c>
      <c r="AK1236" s="177" t="s">
        <v>2526</v>
      </c>
      <c r="AL1236" s="177" t="s">
        <v>2526</v>
      </c>
      <c r="AM1236" s="147">
        <f t="shared" si="51"/>
        <v>0</v>
      </c>
      <c r="AN1236" s="18" t="s">
        <v>869</v>
      </c>
      <c r="AO1236" s="18" t="s">
        <v>871</v>
      </c>
      <c r="AP1236" s="240" t="s">
        <v>5225</v>
      </c>
      <c r="AQ1236" s="157"/>
    </row>
    <row r="1237" spans="1:43" s="18" customFormat="1" x14ac:dyDescent="0.3">
      <c r="A1237" s="228" t="s">
        <v>1451</v>
      </c>
      <c r="B1237" s="18" t="s">
        <v>4838</v>
      </c>
      <c r="C1237" s="228" t="s">
        <v>5114</v>
      </c>
      <c r="D1237" s="18" t="s">
        <v>5115</v>
      </c>
      <c r="E1237" s="228" t="s">
        <v>5116</v>
      </c>
      <c r="F1237" s="18" t="s">
        <v>5117</v>
      </c>
      <c r="G1237" s="228" t="s">
        <v>5118</v>
      </c>
      <c r="H1237" s="18" t="s">
        <v>5119</v>
      </c>
      <c r="I1237" s="228" t="s">
        <v>5210</v>
      </c>
      <c r="J1237" s="18" t="s">
        <v>5211</v>
      </c>
      <c r="K1237" s="228" t="s">
        <v>5212</v>
      </c>
      <c r="L1237" s="18" t="s">
        <v>5213</v>
      </c>
      <c r="M1237" s="18" t="s">
        <v>5226</v>
      </c>
      <c r="N1237" s="18">
        <v>0</v>
      </c>
      <c r="O1237" s="18">
        <v>1</v>
      </c>
      <c r="P1237" s="16">
        <v>1</v>
      </c>
      <c r="Q1237" s="16">
        <v>1</v>
      </c>
      <c r="R1237" s="16">
        <v>1</v>
      </c>
      <c r="S1237" s="16">
        <v>1</v>
      </c>
      <c r="T1237" s="18" t="s">
        <v>877</v>
      </c>
      <c r="U1237" s="283" t="s">
        <v>880</v>
      </c>
      <c r="V1237" s="18" t="s">
        <v>5227</v>
      </c>
      <c r="W1237" s="18">
        <v>0</v>
      </c>
      <c r="X1237" s="18">
        <v>0</v>
      </c>
      <c r="Y1237" s="18">
        <v>0</v>
      </c>
      <c r="Z1237" s="18">
        <v>0</v>
      </c>
      <c r="AA1237" s="18">
        <v>0</v>
      </c>
      <c r="AB1237" s="18">
        <v>0</v>
      </c>
      <c r="AC1237" s="316">
        <v>0</v>
      </c>
      <c r="AD1237" s="316">
        <v>0</v>
      </c>
      <c r="AE1237" s="302">
        <f t="shared" si="52"/>
        <v>0</v>
      </c>
      <c r="AF1237" s="176">
        <v>0</v>
      </c>
      <c r="AG1237" s="17">
        <v>0</v>
      </c>
      <c r="AH1237" s="176" t="s">
        <v>2526</v>
      </c>
      <c r="AI1237" s="239">
        <v>0.2</v>
      </c>
      <c r="AJ1237" s="239">
        <v>0.1</v>
      </c>
      <c r="AK1237" s="177" t="s">
        <v>2526</v>
      </c>
      <c r="AL1237" s="177" t="s">
        <v>2526</v>
      </c>
      <c r="AM1237" s="147">
        <f t="shared" si="51"/>
        <v>0</v>
      </c>
      <c r="AN1237" s="18" t="s">
        <v>879</v>
      </c>
      <c r="AO1237" s="18" t="s">
        <v>880</v>
      </c>
      <c r="AP1237" s="240" t="s">
        <v>5228</v>
      </c>
      <c r="AQ1237" s="157"/>
    </row>
    <row r="1238" spans="1:43" s="18" customFormat="1" x14ac:dyDescent="0.3">
      <c r="A1238" s="228" t="s">
        <v>1451</v>
      </c>
      <c r="B1238" s="18" t="s">
        <v>4838</v>
      </c>
      <c r="C1238" s="228" t="s">
        <v>5114</v>
      </c>
      <c r="D1238" s="18" t="s">
        <v>5115</v>
      </c>
      <c r="E1238" s="228" t="s">
        <v>5116</v>
      </c>
      <c r="F1238" s="18" t="s">
        <v>5117</v>
      </c>
      <c r="G1238" s="228" t="s">
        <v>5118</v>
      </c>
      <c r="H1238" s="18" t="s">
        <v>5119</v>
      </c>
      <c r="I1238" s="228" t="s">
        <v>5210</v>
      </c>
      <c r="J1238" s="18" t="s">
        <v>5211</v>
      </c>
      <c r="K1238" s="228" t="s">
        <v>5212</v>
      </c>
      <c r="L1238" s="18" t="s">
        <v>5213</v>
      </c>
      <c r="M1238" s="18" t="s">
        <v>5229</v>
      </c>
      <c r="N1238" s="18">
        <v>10</v>
      </c>
      <c r="O1238" s="18">
        <v>15</v>
      </c>
      <c r="P1238" s="16">
        <v>20</v>
      </c>
      <c r="Q1238" s="16">
        <v>25</v>
      </c>
      <c r="R1238" s="16">
        <v>30</v>
      </c>
      <c r="S1238" s="16">
        <v>35</v>
      </c>
      <c r="T1238" s="18" t="s">
        <v>1581</v>
      </c>
      <c r="U1238" s="283" t="s">
        <v>1583</v>
      </c>
      <c r="V1238" s="18" t="s">
        <v>5230</v>
      </c>
      <c r="W1238" s="18">
        <v>1</v>
      </c>
      <c r="X1238" s="18">
        <v>1</v>
      </c>
      <c r="Y1238" s="18">
        <v>1</v>
      </c>
      <c r="Z1238" s="18">
        <v>1</v>
      </c>
      <c r="AA1238" s="18">
        <v>1</v>
      </c>
      <c r="AB1238" s="18">
        <v>1</v>
      </c>
      <c r="AC1238" s="316">
        <v>1</v>
      </c>
      <c r="AD1238" s="316">
        <v>1</v>
      </c>
      <c r="AE1238" s="302">
        <f t="shared" si="52"/>
        <v>1</v>
      </c>
      <c r="AF1238" s="176">
        <v>0</v>
      </c>
      <c r="AG1238" s="17">
        <v>0</v>
      </c>
      <c r="AH1238" s="176">
        <v>1.53</v>
      </c>
      <c r="AI1238" s="239">
        <v>1.53</v>
      </c>
      <c r="AJ1238" s="239">
        <v>1</v>
      </c>
      <c r="AK1238" s="238">
        <v>1</v>
      </c>
      <c r="AL1238" s="238">
        <v>1</v>
      </c>
      <c r="AM1238" s="147">
        <f t="shared" ref="AM1238:AM1301" si="53">SUM(AK1238:AL1238)</f>
        <v>2</v>
      </c>
      <c r="AN1238" s="18" t="s">
        <v>1581</v>
      </c>
      <c r="AO1238" s="157" t="s">
        <v>1583</v>
      </c>
      <c r="AP1238" s="240" t="s">
        <v>5209</v>
      </c>
      <c r="AQ1238" s="157"/>
    </row>
    <row r="1239" spans="1:43" s="18" customFormat="1" x14ac:dyDescent="0.3">
      <c r="A1239" s="228" t="s">
        <v>1451</v>
      </c>
      <c r="B1239" s="18" t="s">
        <v>4838</v>
      </c>
      <c r="C1239" s="228" t="s">
        <v>5114</v>
      </c>
      <c r="D1239" s="18" t="s">
        <v>5115</v>
      </c>
      <c r="E1239" s="228" t="s">
        <v>5116</v>
      </c>
      <c r="F1239" s="18" t="s">
        <v>5117</v>
      </c>
      <c r="G1239" s="228" t="s">
        <v>5118</v>
      </c>
      <c r="H1239" s="18" t="s">
        <v>5119</v>
      </c>
      <c r="I1239" s="228" t="s">
        <v>5210</v>
      </c>
      <c r="J1239" s="18" t="s">
        <v>5211</v>
      </c>
      <c r="K1239" s="228" t="s">
        <v>5231</v>
      </c>
      <c r="L1239" s="18" t="s">
        <v>5232</v>
      </c>
      <c r="M1239" s="18" t="s">
        <v>5233</v>
      </c>
      <c r="N1239" s="18">
        <v>0</v>
      </c>
      <c r="O1239" s="18">
        <v>0</v>
      </c>
      <c r="P1239" s="16">
        <v>0</v>
      </c>
      <c r="Q1239" s="16">
        <v>1</v>
      </c>
      <c r="R1239" s="16">
        <v>0</v>
      </c>
      <c r="S1239" s="16">
        <v>0</v>
      </c>
      <c r="T1239" s="18" t="s">
        <v>1446</v>
      </c>
      <c r="U1239" s="283" t="s">
        <v>3715</v>
      </c>
      <c r="V1239" s="18" t="s">
        <v>5234</v>
      </c>
      <c r="W1239" s="18">
        <v>0</v>
      </c>
      <c r="X1239" s="18">
        <v>0</v>
      </c>
      <c r="Y1239" s="18">
        <v>0</v>
      </c>
      <c r="Z1239" s="18">
        <v>0</v>
      </c>
      <c r="AA1239" s="18">
        <v>0</v>
      </c>
      <c r="AB1239" s="18">
        <v>0</v>
      </c>
      <c r="AC1239" s="316">
        <v>0</v>
      </c>
      <c r="AD1239" s="316">
        <v>0</v>
      </c>
      <c r="AE1239" s="302">
        <f t="shared" si="52"/>
        <v>0</v>
      </c>
      <c r="AF1239" s="176">
        <v>0</v>
      </c>
      <c r="AG1239" s="17">
        <v>0</v>
      </c>
      <c r="AH1239" s="176" t="s">
        <v>2526</v>
      </c>
      <c r="AI1239" s="239" t="s">
        <v>2526</v>
      </c>
      <c r="AJ1239" s="239" t="s">
        <v>2526</v>
      </c>
      <c r="AK1239" s="238" t="s">
        <v>2526</v>
      </c>
      <c r="AL1239" s="238" t="s">
        <v>2526</v>
      </c>
      <c r="AM1239" s="147">
        <f t="shared" si="53"/>
        <v>0</v>
      </c>
      <c r="AN1239" s="18" t="s">
        <v>1446</v>
      </c>
      <c r="AO1239" s="157" t="s">
        <v>3715</v>
      </c>
      <c r="AP1239" s="240" t="s">
        <v>119</v>
      </c>
      <c r="AQ1239" s="157"/>
    </row>
    <row r="1240" spans="1:43" s="18" customFormat="1" x14ac:dyDescent="0.3">
      <c r="A1240" s="228" t="s">
        <v>1451</v>
      </c>
      <c r="B1240" s="18" t="s">
        <v>4838</v>
      </c>
      <c r="C1240" s="228" t="s">
        <v>5114</v>
      </c>
      <c r="D1240" s="18" t="s">
        <v>5115</v>
      </c>
      <c r="E1240" s="228" t="s">
        <v>5116</v>
      </c>
      <c r="F1240" s="18" t="s">
        <v>5117</v>
      </c>
      <c r="G1240" s="228" t="s">
        <v>5118</v>
      </c>
      <c r="H1240" s="18" t="s">
        <v>5119</v>
      </c>
      <c r="I1240" s="228" t="s">
        <v>5210</v>
      </c>
      <c r="J1240" s="18" t="s">
        <v>5211</v>
      </c>
      <c r="K1240" s="228" t="s">
        <v>5231</v>
      </c>
      <c r="L1240" s="18" t="s">
        <v>5232</v>
      </c>
      <c r="M1240" s="18" t="s">
        <v>5235</v>
      </c>
      <c r="O1240" s="18">
        <v>1000</v>
      </c>
      <c r="P1240" s="16">
        <v>1200</v>
      </c>
      <c r="Q1240" s="16">
        <v>1500</v>
      </c>
      <c r="R1240" s="16">
        <v>2500</v>
      </c>
      <c r="S1240" s="16">
        <v>3200</v>
      </c>
      <c r="T1240" s="18" t="s">
        <v>1581</v>
      </c>
      <c r="U1240" s="283" t="s">
        <v>1583</v>
      </c>
      <c r="V1240" s="18" t="s">
        <v>5236</v>
      </c>
      <c r="X1240" s="18">
        <v>0</v>
      </c>
      <c r="Y1240" s="18">
        <v>0</v>
      </c>
      <c r="Z1240" s="18">
        <v>0</v>
      </c>
      <c r="AA1240" s="18">
        <v>0</v>
      </c>
      <c r="AB1240" s="18">
        <v>0</v>
      </c>
      <c r="AC1240" s="316">
        <v>0</v>
      </c>
      <c r="AD1240" s="316">
        <v>0</v>
      </c>
      <c r="AE1240" s="302">
        <f t="shared" si="52"/>
        <v>0</v>
      </c>
      <c r="AF1240" s="176">
        <v>0</v>
      </c>
      <c r="AG1240" s="17">
        <v>0</v>
      </c>
      <c r="AH1240" s="176">
        <v>0.3</v>
      </c>
      <c r="AI1240" s="239">
        <v>0.5</v>
      </c>
      <c r="AJ1240" s="239">
        <v>0.5</v>
      </c>
      <c r="AK1240" s="246">
        <v>0</v>
      </c>
      <c r="AL1240" s="246">
        <v>0</v>
      </c>
      <c r="AM1240" s="147">
        <f t="shared" si="53"/>
        <v>0</v>
      </c>
      <c r="AN1240" s="18" t="s">
        <v>1581</v>
      </c>
      <c r="AO1240" s="18" t="s">
        <v>1583</v>
      </c>
      <c r="AP1240" s="240" t="s">
        <v>5237</v>
      </c>
      <c r="AQ1240" s="157"/>
    </row>
    <row r="1241" spans="1:43" s="18" customFormat="1" x14ac:dyDescent="0.3">
      <c r="A1241" s="228" t="s">
        <v>1451</v>
      </c>
      <c r="B1241" s="18" t="s">
        <v>4838</v>
      </c>
      <c r="C1241" s="228" t="s">
        <v>5114</v>
      </c>
      <c r="D1241" s="18" t="s">
        <v>5115</v>
      </c>
      <c r="E1241" s="228" t="s">
        <v>5116</v>
      </c>
      <c r="F1241" s="18" t="s">
        <v>5117</v>
      </c>
      <c r="G1241" s="228" t="s">
        <v>5118</v>
      </c>
      <c r="H1241" s="18" t="s">
        <v>5119</v>
      </c>
      <c r="I1241" s="228" t="s">
        <v>5210</v>
      </c>
      <c r="J1241" s="18" t="s">
        <v>5211</v>
      </c>
      <c r="K1241" s="228" t="s">
        <v>5238</v>
      </c>
      <c r="L1241" s="18" t="s">
        <v>5239</v>
      </c>
      <c r="M1241" s="18" t="s">
        <v>5240</v>
      </c>
      <c r="N1241" s="18">
        <v>0</v>
      </c>
      <c r="O1241" s="18">
        <v>5</v>
      </c>
      <c r="P1241" s="16">
        <v>10</v>
      </c>
      <c r="Q1241" s="16">
        <v>15</v>
      </c>
      <c r="R1241" s="16">
        <v>17</v>
      </c>
      <c r="S1241" s="16">
        <v>18</v>
      </c>
      <c r="T1241" s="283" t="s">
        <v>265</v>
      </c>
      <c r="U1241" s="283" t="s">
        <v>350</v>
      </c>
      <c r="V1241" s="18" t="s">
        <v>5241</v>
      </c>
      <c r="W1241" s="18">
        <v>0</v>
      </c>
      <c r="X1241" s="18">
        <v>0</v>
      </c>
      <c r="Y1241" s="18">
        <v>0</v>
      </c>
      <c r="Z1241" s="18">
        <v>0</v>
      </c>
      <c r="AA1241" s="18">
        <v>0</v>
      </c>
      <c r="AB1241" s="18">
        <v>0</v>
      </c>
      <c r="AC1241" s="316">
        <v>0</v>
      </c>
      <c r="AD1241" s="316">
        <v>0</v>
      </c>
      <c r="AE1241" s="302">
        <f t="shared" si="52"/>
        <v>0</v>
      </c>
      <c r="AF1241" s="176">
        <v>0</v>
      </c>
      <c r="AG1241" s="17">
        <v>0</v>
      </c>
      <c r="AH1241" s="176">
        <v>0.1</v>
      </c>
      <c r="AI1241" s="239">
        <v>0.1</v>
      </c>
      <c r="AJ1241" s="239">
        <v>0.1</v>
      </c>
      <c r="AK1241" s="246">
        <v>0</v>
      </c>
      <c r="AL1241" s="246">
        <v>0</v>
      </c>
      <c r="AM1241" s="147">
        <f t="shared" si="53"/>
        <v>0</v>
      </c>
      <c r="AN1241" s="18" t="s">
        <v>1581</v>
      </c>
      <c r="AO1241" s="18" t="s">
        <v>1583</v>
      </c>
      <c r="AP1241" s="240" t="s">
        <v>1446</v>
      </c>
      <c r="AQ1241" s="157"/>
    </row>
    <row r="1242" spans="1:43" s="18" customFormat="1" x14ac:dyDescent="0.3">
      <c r="A1242" s="228" t="s">
        <v>1451</v>
      </c>
      <c r="B1242" s="18" t="s">
        <v>4838</v>
      </c>
      <c r="C1242" s="228" t="s">
        <v>5114</v>
      </c>
      <c r="D1242" s="18" t="s">
        <v>5115</v>
      </c>
      <c r="E1242" s="228" t="s">
        <v>5116</v>
      </c>
      <c r="F1242" s="18" t="s">
        <v>5117</v>
      </c>
      <c r="G1242" s="228" t="s">
        <v>5118</v>
      </c>
      <c r="H1242" s="18" t="s">
        <v>5119</v>
      </c>
      <c r="I1242" s="228" t="s">
        <v>5210</v>
      </c>
      <c r="J1242" s="18" t="s">
        <v>5211</v>
      </c>
      <c r="K1242" s="228" t="s">
        <v>5238</v>
      </c>
      <c r="L1242" s="18" t="s">
        <v>5239</v>
      </c>
      <c r="M1242" s="18" t="s">
        <v>5242</v>
      </c>
      <c r="N1242" s="18">
        <v>0</v>
      </c>
      <c r="O1242" s="18">
        <v>0</v>
      </c>
      <c r="P1242" s="16">
        <v>1</v>
      </c>
      <c r="Q1242" s="16">
        <v>0</v>
      </c>
      <c r="R1242" s="16">
        <v>0</v>
      </c>
      <c r="S1242" s="16">
        <v>0</v>
      </c>
      <c r="T1242" s="18" t="s">
        <v>1446</v>
      </c>
      <c r="U1242" s="283" t="s">
        <v>3715</v>
      </c>
      <c r="V1242" s="18" t="s">
        <v>5243</v>
      </c>
      <c r="W1242" s="18">
        <v>1</v>
      </c>
      <c r="X1242" s="18">
        <v>0</v>
      </c>
      <c r="Y1242" s="18">
        <v>0</v>
      </c>
      <c r="Z1242" s="18">
        <v>0</v>
      </c>
      <c r="AA1242" s="18">
        <v>0</v>
      </c>
      <c r="AB1242" s="18">
        <v>0</v>
      </c>
      <c r="AC1242" s="316">
        <v>0</v>
      </c>
      <c r="AD1242" s="316">
        <v>1</v>
      </c>
      <c r="AE1242" s="302">
        <f t="shared" si="52"/>
        <v>0.25</v>
      </c>
      <c r="AF1242" s="176">
        <v>0</v>
      </c>
      <c r="AG1242" s="17">
        <v>0</v>
      </c>
      <c r="AH1242" s="176" t="s">
        <v>2526</v>
      </c>
      <c r="AI1242" s="239" t="s">
        <v>2526</v>
      </c>
      <c r="AJ1242" s="239" t="s">
        <v>2526</v>
      </c>
      <c r="AK1242" s="177" t="s">
        <v>2526</v>
      </c>
      <c r="AL1242" s="177" t="s">
        <v>2526</v>
      </c>
      <c r="AM1242" s="147">
        <f t="shared" si="53"/>
        <v>0</v>
      </c>
      <c r="AN1242" s="18" t="s">
        <v>1446</v>
      </c>
      <c r="AO1242" s="18" t="s">
        <v>3715</v>
      </c>
      <c r="AP1242" s="240" t="s">
        <v>119</v>
      </c>
      <c r="AQ1242" s="157"/>
    </row>
    <row r="1243" spans="1:43" s="18" customFormat="1" x14ac:dyDescent="0.3">
      <c r="A1243" s="228" t="s">
        <v>1451</v>
      </c>
      <c r="B1243" s="18" t="s">
        <v>4838</v>
      </c>
      <c r="C1243" s="228" t="s">
        <v>5114</v>
      </c>
      <c r="D1243" s="18" t="s">
        <v>5115</v>
      </c>
      <c r="E1243" s="228" t="s">
        <v>5116</v>
      </c>
      <c r="F1243" s="18" t="s">
        <v>5117</v>
      </c>
      <c r="G1243" s="228" t="s">
        <v>5118</v>
      </c>
      <c r="H1243" s="18" t="s">
        <v>5119</v>
      </c>
      <c r="I1243" s="228" t="s">
        <v>5210</v>
      </c>
      <c r="J1243" s="18" t="s">
        <v>5211</v>
      </c>
      <c r="K1243" s="228" t="s">
        <v>5238</v>
      </c>
      <c r="L1243" s="18" t="s">
        <v>5239</v>
      </c>
      <c r="M1243" s="18" t="s">
        <v>5244</v>
      </c>
      <c r="N1243" s="18">
        <v>0</v>
      </c>
      <c r="O1243" s="18" t="s">
        <v>5245</v>
      </c>
      <c r="P1243" s="16" t="s">
        <v>5245</v>
      </c>
      <c r="Q1243" s="16" t="s">
        <v>5245</v>
      </c>
      <c r="R1243" s="16" t="s">
        <v>5245</v>
      </c>
      <c r="S1243" s="16" t="s">
        <v>5245</v>
      </c>
      <c r="T1243" s="18" t="s">
        <v>1446</v>
      </c>
      <c r="U1243" s="283" t="s">
        <v>3715</v>
      </c>
      <c r="AC1243" s="316">
        <v>0</v>
      </c>
      <c r="AD1243" s="316">
        <v>0</v>
      </c>
      <c r="AE1243" s="302">
        <f t="shared" si="52"/>
        <v>0</v>
      </c>
      <c r="AF1243" s="17"/>
      <c r="AG1243" s="17">
        <v>0</v>
      </c>
      <c r="AH1243" s="17"/>
      <c r="AI1243" s="251"/>
      <c r="AJ1243" s="251"/>
      <c r="AK1243" s="154"/>
      <c r="AL1243" s="154"/>
      <c r="AM1243" s="147">
        <f t="shared" si="53"/>
        <v>0</v>
      </c>
      <c r="AP1243" s="240"/>
      <c r="AQ1243" s="157"/>
    </row>
    <row r="1244" spans="1:43" s="18" customFormat="1" x14ac:dyDescent="0.3">
      <c r="A1244" s="228" t="s">
        <v>1451</v>
      </c>
      <c r="B1244" s="18" t="s">
        <v>4838</v>
      </c>
      <c r="C1244" s="228" t="s">
        <v>5114</v>
      </c>
      <c r="D1244" s="18" t="s">
        <v>5115</v>
      </c>
      <c r="E1244" s="228" t="s">
        <v>5116</v>
      </c>
      <c r="F1244" s="18" t="s">
        <v>5117</v>
      </c>
      <c r="G1244" s="228" t="s">
        <v>5118</v>
      </c>
      <c r="H1244" s="18" t="s">
        <v>5119</v>
      </c>
      <c r="I1244" s="228" t="s">
        <v>5246</v>
      </c>
      <c r="J1244" s="18" t="s">
        <v>5247</v>
      </c>
      <c r="K1244" s="228" t="s">
        <v>5248</v>
      </c>
      <c r="L1244" s="18" t="s">
        <v>5249</v>
      </c>
      <c r="M1244" s="18" t="s">
        <v>5250</v>
      </c>
      <c r="N1244" s="18">
        <v>240</v>
      </c>
      <c r="O1244" s="18">
        <v>240</v>
      </c>
      <c r="P1244" s="16">
        <v>500</v>
      </c>
      <c r="Q1244" s="16">
        <v>750</v>
      </c>
      <c r="R1244" s="16">
        <v>1000</v>
      </c>
      <c r="S1244" s="16">
        <v>1200</v>
      </c>
      <c r="T1244" s="18" t="s">
        <v>1536</v>
      </c>
      <c r="U1244" s="283" t="e">
        <v>#N/A</v>
      </c>
      <c r="V1244" s="18" t="s">
        <v>5251</v>
      </c>
      <c r="W1244" s="18">
        <v>0</v>
      </c>
      <c r="X1244" s="18">
        <v>0</v>
      </c>
      <c r="Y1244" s="18">
        <v>0</v>
      </c>
      <c r="Z1244" s="18">
        <v>0</v>
      </c>
      <c r="AA1244" s="18">
        <v>0</v>
      </c>
      <c r="AB1244" s="18">
        <v>0</v>
      </c>
      <c r="AC1244" s="316">
        <v>0</v>
      </c>
      <c r="AD1244" s="316">
        <v>0</v>
      </c>
      <c r="AE1244" s="302">
        <f t="shared" si="52"/>
        <v>0</v>
      </c>
      <c r="AF1244" s="176"/>
      <c r="AG1244" s="17">
        <v>0</v>
      </c>
      <c r="AH1244" s="176" t="s">
        <v>2526</v>
      </c>
      <c r="AI1244" s="239">
        <v>0</v>
      </c>
      <c r="AJ1244" s="239">
        <v>0</v>
      </c>
      <c r="AK1244" s="238">
        <v>0</v>
      </c>
      <c r="AL1244" s="238">
        <v>0</v>
      </c>
      <c r="AM1244" s="147">
        <f t="shared" si="53"/>
        <v>0</v>
      </c>
      <c r="AN1244" s="157" t="s">
        <v>771</v>
      </c>
      <c r="AO1244" s="157" t="s">
        <v>773</v>
      </c>
      <c r="AP1244" s="240" t="s">
        <v>119</v>
      </c>
      <c r="AQ1244" s="157"/>
    </row>
    <row r="1245" spans="1:43" s="18" customFormat="1" x14ac:dyDescent="0.3">
      <c r="A1245" s="228" t="s">
        <v>1451</v>
      </c>
      <c r="B1245" s="18" t="s">
        <v>4838</v>
      </c>
      <c r="C1245" s="228" t="s">
        <v>5114</v>
      </c>
      <c r="D1245" s="18" t="s">
        <v>5115</v>
      </c>
      <c r="E1245" s="228" t="s">
        <v>5116</v>
      </c>
      <c r="F1245" s="18" t="s">
        <v>5117</v>
      </c>
      <c r="G1245" s="228" t="s">
        <v>5118</v>
      </c>
      <c r="H1245" s="18" t="s">
        <v>5119</v>
      </c>
      <c r="I1245" s="228" t="s">
        <v>5246</v>
      </c>
      <c r="J1245" s="18" t="s">
        <v>5247</v>
      </c>
      <c r="K1245" s="228" t="s">
        <v>5248</v>
      </c>
      <c r="L1245" s="18" t="s">
        <v>5249</v>
      </c>
      <c r="M1245" s="18" t="s">
        <v>5252</v>
      </c>
      <c r="N1245" s="18">
        <v>10</v>
      </c>
      <c r="O1245" s="18">
        <v>15</v>
      </c>
      <c r="P1245" s="16">
        <v>20</v>
      </c>
      <c r="Q1245" s="16">
        <v>20</v>
      </c>
      <c r="R1245" s="16">
        <v>25</v>
      </c>
      <c r="S1245" s="16">
        <v>25</v>
      </c>
      <c r="T1245" s="18" t="s">
        <v>869</v>
      </c>
      <c r="U1245" s="283" t="s">
        <v>871</v>
      </c>
      <c r="V1245" s="18" t="s">
        <v>5253</v>
      </c>
      <c r="W1245" s="18">
        <v>1</v>
      </c>
      <c r="X1245" s="18">
        <v>1</v>
      </c>
      <c r="Y1245" s="18">
        <v>1</v>
      </c>
      <c r="Z1245" s="18">
        <v>1</v>
      </c>
      <c r="AA1245" s="18">
        <v>1</v>
      </c>
      <c r="AB1245" s="18">
        <v>1</v>
      </c>
      <c r="AC1245" s="316">
        <v>1</v>
      </c>
      <c r="AD1245" s="316">
        <v>1</v>
      </c>
      <c r="AE1245" s="302">
        <f t="shared" si="52"/>
        <v>1</v>
      </c>
      <c r="AF1245" s="176">
        <v>0</v>
      </c>
      <c r="AG1245" s="17">
        <v>0</v>
      </c>
      <c r="AH1245" s="176">
        <v>0.1</v>
      </c>
      <c r="AI1245" s="239">
        <v>0.1</v>
      </c>
      <c r="AJ1245" s="239">
        <v>0.1</v>
      </c>
      <c r="AK1245" s="238">
        <v>0.1</v>
      </c>
      <c r="AL1245" s="238">
        <v>0.1</v>
      </c>
      <c r="AM1245" s="147">
        <f t="shared" si="53"/>
        <v>0.2</v>
      </c>
      <c r="AN1245" s="157" t="s">
        <v>869</v>
      </c>
      <c r="AO1245" s="157" t="s">
        <v>871</v>
      </c>
      <c r="AP1245" s="240" t="s">
        <v>5254</v>
      </c>
      <c r="AQ1245" s="157"/>
    </row>
    <row r="1246" spans="1:43" s="18" customFormat="1" x14ac:dyDescent="0.3">
      <c r="A1246" s="228" t="s">
        <v>1451</v>
      </c>
      <c r="B1246" s="18" t="s">
        <v>4838</v>
      </c>
      <c r="C1246" s="228" t="s">
        <v>5114</v>
      </c>
      <c r="D1246" s="18" t="s">
        <v>5115</v>
      </c>
      <c r="E1246" s="228" t="s">
        <v>5116</v>
      </c>
      <c r="F1246" s="18" t="s">
        <v>5117</v>
      </c>
      <c r="G1246" s="228" t="s">
        <v>5118</v>
      </c>
      <c r="H1246" s="18" t="s">
        <v>5119</v>
      </c>
      <c r="I1246" s="228" t="s">
        <v>5255</v>
      </c>
      <c r="J1246" s="18" t="s">
        <v>5256</v>
      </c>
      <c r="K1246" s="228" t="s">
        <v>5257</v>
      </c>
      <c r="L1246" s="18" t="s">
        <v>5258</v>
      </c>
      <c r="M1246" s="18" t="s">
        <v>5259</v>
      </c>
      <c r="N1246" s="18">
        <v>0</v>
      </c>
      <c r="O1246" s="18">
        <v>50</v>
      </c>
      <c r="P1246" s="16">
        <v>76</v>
      </c>
      <c r="Q1246" s="16">
        <v>100</v>
      </c>
      <c r="R1246" s="16">
        <v>100</v>
      </c>
      <c r="S1246" s="16">
        <v>100</v>
      </c>
      <c r="T1246" s="283" t="s">
        <v>265</v>
      </c>
      <c r="U1246" s="283" t="s">
        <v>350</v>
      </c>
      <c r="V1246" s="18" t="s">
        <v>5260</v>
      </c>
      <c r="W1246" s="18">
        <v>1</v>
      </c>
      <c r="X1246" s="18">
        <v>1</v>
      </c>
      <c r="Y1246" s="18">
        <v>1</v>
      </c>
      <c r="Z1246" s="18">
        <v>1</v>
      </c>
      <c r="AA1246" s="18">
        <v>1</v>
      </c>
      <c r="AB1246" s="18">
        <v>1</v>
      </c>
      <c r="AC1246" s="316">
        <v>1</v>
      </c>
      <c r="AD1246" s="316">
        <v>1</v>
      </c>
      <c r="AE1246" s="302">
        <f t="shared" si="52"/>
        <v>1</v>
      </c>
      <c r="AF1246" s="176">
        <v>0</v>
      </c>
      <c r="AG1246" s="17">
        <v>0</v>
      </c>
      <c r="AH1246" s="176">
        <v>2</v>
      </c>
      <c r="AI1246" s="239">
        <v>2</v>
      </c>
      <c r="AJ1246" s="239">
        <v>2</v>
      </c>
      <c r="AK1246" s="237">
        <v>0.5</v>
      </c>
      <c r="AL1246" s="238">
        <v>2</v>
      </c>
      <c r="AM1246" s="147">
        <f t="shared" si="53"/>
        <v>2.5</v>
      </c>
      <c r="AN1246" s="157" t="s">
        <v>265</v>
      </c>
      <c r="AO1246" s="157" t="s">
        <v>350</v>
      </c>
      <c r="AP1246" s="240" t="s">
        <v>5261</v>
      </c>
      <c r="AQ1246" s="157"/>
    </row>
    <row r="1247" spans="1:43" s="18" customFormat="1" x14ac:dyDescent="0.3">
      <c r="A1247" s="228" t="s">
        <v>1451</v>
      </c>
      <c r="B1247" s="18" t="s">
        <v>4838</v>
      </c>
      <c r="C1247" s="228" t="s">
        <v>5114</v>
      </c>
      <c r="D1247" s="18" t="s">
        <v>5115</v>
      </c>
      <c r="E1247" s="228" t="s">
        <v>5116</v>
      </c>
      <c r="F1247" s="18" t="s">
        <v>5117</v>
      </c>
      <c r="G1247" s="228" t="s">
        <v>5118</v>
      </c>
      <c r="H1247" s="18" t="s">
        <v>5119</v>
      </c>
      <c r="I1247" s="228" t="s">
        <v>5255</v>
      </c>
      <c r="J1247" s="18" t="s">
        <v>5256</v>
      </c>
      <c r="K1247" s="228" t="s">
        <v>5257</v>
      </c>
      <c r="L1247" s="18" t="s">
        <v>5258</v>
      </c>
      <c r="M1247" s="18" t="s">
        <v>5262</v>
      </c>
      <c r="N1247" s="18">
        <v>0</v>
      </c>
      <c r="O1247" s="18">
        <v>100</v>
      </c>
      <c r="P1247" s="16">
        <v>150</v>
      </c>
      <c r="Q1247" s="16">
        <v>180</v>
      </c>
      <c r="R1247" s="16">
        <v>180</v>
      </c>
      <c r="S1247" s="16">
        <v>180</v>
      </c>
      <c r="T1247" s="283" t="s">
        <v>265</v>
      </c>
      <c r="U1247" s="283" t="s">
        <v>350</v>
      </c>
      <c r="V1247" s="18" t="s">
        <v>5263</v>
      </c>
      <c r="W1247" s="18">
        <v>0</v>
      </c>
      <c r="X1247" s="18">
        <v>0</v>
      </c>
      <c r="Y1247" s="18">
        <v>0</v>
      </c>
      <c r="Z1247" s="18">
        <v>0</v>
      </c>
      <c r="AA1247" s="18">
        <v>0</v>
      </c>
      <c r="AB1247" s="18">
        <v>0</v>
      </c>
      <c r="AC1247" s="316">
        <v>0</v>
      </c>
      <c r="AD1247" s="316">
        <v>0</v>
      </c>
      <c r="AE1247" s="302">
        <f t="shared" si="52"/>
        <v>0</v>
      </c>
      <c r="AF1247" s="176">
        <v>0</v>
      </c>
      <c r="AG1247" s="17">
        <v>0</v>
      </c>
      <c r="AH1247" s="176" t="s">
        <v>2526</v>
      </c>
      <c r="AI1247" s="239">
        <v>0.5</v>
      </c>
      <c r="AJ1247" s="239">
        <v>0.5</v>
      </c>
      <c r="AK1247" s="246">
        <v>0</v>
      </c>
      <c r="AL1247" s="246">
        <v>0</v>
      </c>
      <c r="AM1247" s="147">
        <f t="shared" si="53"/>
        <v>0</v>
      </c>
      <c r="AN1247" s="157" t="s">
        <v>265</v>
      </c>
      <c r="AO1247" s="157" t="s">
        <v>350</v>
      </c>
      <c r="AP1247" s="240" t="s">
        <v>5135</v>
      </c>
      <c r="AQ1247" s="157"/>
    </row>
    <row r="1248" spans="1:43" s="18" customFormat="1" x14ac:dyDescent="0.3">
      <c r="A1248" s="228" t="s">
        <v>1451</v>
      </c>
      <c r="B1248" s="18" t="s">
        <v>4838</v>
      </c>
      <c r="C1248" s="228" t="s">
        <v>5114</v>
      </c>
      <c r="D1248" s="18" t="s">
        <v>5115</v>
      </c>
      <c r="E1248" s="228" t="s">
        <v>5116</v>
      </c>
      <c r="F1248" s="18" t="s">
        <v>5117</v>
      </c>
      <c r="G1248" s="228" t="s">
        <v>5118</v>
      </c>
      <c r="H1248" s="18" t="s">
        <v>5119</v>
      </c>
      <c r="I1248" s="228" t="s">
        <v>5255</v>
      </c>
      <c r="J1248" s="18" t="s">
        <v>5256</v>
      </c>
      <c r="K1248" s="228" t="s">
        <v>5257</v>
      </c>
      <c r="L1248" s="18" t="s">
        <v>5258</v>
      </c>
      <c r="P1248" s="16"/>
      <c r="Q1248" s="16"/>
      <c r="R1248" s="16"/>
      <c r="S1248" s="16"/>
      <c r="U1248" s="283" t="e">
        <v>#N/A</v>
      </c>
      <c r="V1248" s="18" t="s">
        <v>5264</v>
      </c>
      <c r="W1248" s="18">
        <v>0</v>
      </c>
      <c r="X1248" s="18">
        <v>0</v>
      </c>
      <c r="Y1248" s="18">
        <v>0</v>
      </c>
      <c r="Z1248" s="18">
        <v>0</v>
      </c>
      <c r="AA1248" s="18">
        <v>0</v>
      </c>
      <c r="AB1248" s="18">
        <v>0</v>
      </c>
      <c r="AC1248" s="316">
        <v>0</v>
      </c>
      <c r="AD1248" s="316">
        <v>0</v>
      </c>
      <c r="AE1248" s="302">
        <f t="shared" si="52"/>
        <v>0</v>
      </c>
      <c r="AF1248" s="176">
        <v>0</v>
      </c>
      <c r="AG1248" s="17">
        <v>0</v>
      </c>
      <c r="AH1248" s="176" t="s">
        <v>2526</v>
      </c>
      <c r="AI1248" s="176">
        <v>0</v>
      </c>
      <c r="AJ1248" s="234">
        <v>0</v>
      </c>
      <c r="AK1248" s="177">
        <v>0</v>
      </c>
      <c r="AL1248" s="177">
        <v>0</v>
      </c>
      <c r="AM1248" s="147">
        <f t="shared" si="53"/>
        <v>0</v>
      </c>
      <c r="AN1248" s="18" t="s">
        <v>265</v>
      </c>
      <c r="AO1248" s="18" t="s">
        <v>350</v>
      </c>
      <c r="AP1248" s="228" t="s">
        <v>119</v>
      </c>
    </row>
    <row r="1249" spans="1:43" s="18" customFormat="1" x14ac:dyDescent="0.3">
      <c r="A1249" s="228" t="s">
        <v>1451</v>
      </c>
      <c r="B1249" s="18" t="s">
        <v>4838</v>
      </c>
      <c r="C1249" s="228" t="s">
        <v>5114</v>
      </c>
      <c r="D1249" s="18" t="s">
        <v>5115</v>
      </c>
      <c r="E1249" s="228" t="s">
        <v>5116</v>
      </c>
      <c r="F1249" s="18" t="s">
        <v>5117</v>
      </c>
      <c r="G1249" s="228" t="s">
        <v>5118</v>
      </c>
      <c r="H1249" s="18" t="s">
        <v>5119</v>
      </c>
      <c r="I1249" s="228" t="s">
        <v>5255</v>
      </c>
      <c r="J1249" s="18" t="s">
        <v>5256</v>
      </c>
      <c r="K1249" s="228" t="s">
        <v>5257</v>
      </c>
      <c r="L1249" s="18" t="s">
        <v>5258</v>
      </c>
      <c r="P1249" s="16"/>
      <c r="Q1249" s="16"/>
      <c r="R1249" s="16"/>
      <c r="S1249" s="16"/>
      <c r="U1249" s="283" t="e">
        <v>#N/A</v>
      </c>
      <c r="V1249" s="18" t="s">
        <v>5265</v>
      </c>
      <c r="W1249" s="18">
        <v>0</v>
      </c>
      <c r="X1249" s="18">
        <v>0</v>
      </c>
      <c r="Y1249" s="18">
        <v>0</v>
      </c>
      <c r="Z1249" s="18">
        <v>0</v>
      </c>
      <c r="AA1249" s="18">
        <v>0</v>
      </c>
      <c r="AB1249" s="18">
        <v>0</v>
      </c>
      <c r="AC1249" s="316">
        <v>0</v>
      </c>
      <c r="AD1249" s="316">
        <v>0</v>
      </c>
      <c r="AE1249" s="302">
        <f t="shared" ref="AE1249:AE1312" si="54">SUM(W1249:AD1249)/8</f>
        <v>0</v>
      </c>
      <c r="AF1249" s="176">
        <v>0</v>
      </c>
      <c r="AG1249" s="17">
        <v>0</v>
      </c>
      <c r="AH1249" s="176" t="s">
        <v>2526</v>
      </c>
      <c r="AI1249" s="176">
        <v>0.3</v>
      </c>
      <c r="AJ1249" s="234">
        <v>0.3</v>
      </c>
      <c r="AK1249" s="246">
        <v>0</v>
      </c>
      <c r="AL1249" s="246">
        <v>0</v>
      </c>
      <c r="AM1249" s="147">
        <f t="shared" si="53"/>
        <v>0</v>
      </c>
      <c r="AN1249" s="18" t="s">
        <v>265</v>
      </c>
      <c r="AO1249" s="18" t="s">
        <v>350</v>
      </c>
      <c r="AP1249" s="228" t="s">
        <v>5266</v>
      </c>
    </row>
    <row r="1250" spans="1:43" s="18" customFormat="1" x14ac:dyDescent="0.3">
      <c r="A1250" s="228" t="s">
        <v>1451</v>
      </c>
      <c r="B1250" s="18" t="s">
        <v>4838</v>
      </c>
      <c r="C1250" s="228" t="s">
        <v>5114</v>
      </c>
      <c r="D1250" s="18" t="s">
        <v>5115</v>
      </c>
      <c r="E1250" s="228" t="s">
        <v>5116</v>
      </c>
      <c r="F1250" s="18" t="s">
        <v>5117</v>
      </c>
      <c r="G1250" s="228" t="s">
        <v>5118</v>
      </c>
      <c r="H1250" s="18" t="s">
        <v>5119</v>
      </c>
      <c r="I1250" s="228" t="s">
        <v>5255</v>
      </c>
      <c r="J1250" s="18" t="s">
        <v>5256</v>
      </c>
      <c r="K1250" s="228" t="s">
        <v>5257</v>
      </c>
      <c r="L1250" s="18" t="s">
        <v>5258</v>
      </c>
      <c r="P1250" s="16"/>
      <c r="Q1250" s="16"/>
      <c r="R1250" s="16"/>
      <c r="S1250" s="16"/>
      <c r="U1250" s="283" t="e">
        <v>#N/A</v>
      </c>
      <c r="V1250" s="18" t="s">
        <v>5267</v>
      </c>
      <c r="W1250" s="18">
        <v>1</v>
      </c>
      <c r="X1250" s="18">
        <v>1</v>
      </c>
      <c r="Y1250" s="18">
        <v>1</v>
      </c>
      <c r="Z1250" s="18">
        <v>1</v>
      </c>
      <c r="AA1250" s="18">
        <v>0</v>
      </c>
      <c r="AB1250" s="18">
        <v>1</v>
      </c>
      <c r="AC1250" s="316">
        <v>1</v>
      </c>
      <c r="AD1250" s="316">
        <v>1</v>
      </c>
      <c r="AE1250" s="302">
        <f t="shared" si="54"/>
        <v>0.875</v>
      </c>
      <c r="AF1250" s="176">
        <v>0</v>
      </c>
      <c r="AG1250" s="17">
        <v>0</v>
      </c>
      <c r="AH1250" s="176" t="s">
        <v>2526</v>
      </c>
      <c r="AI1250" s="176">
        <v>0</v>
      </c>
      <c r="AJ1250" s="234">
        <v>0</v>
      </c>
      <c r="AK1250" s="246">
        <v>0</v>
      </c>
      <c r="AL1250" s="246">
        <v>0</v>
      </c>
      <c r="AM1250" s="147">
        <f t="shared" si="53"/>
        <v>0</v>
      </c>
      <c r="AN1250" s="236" t="s">
        <v>265</v>
      </c>
      <c r="AO1250" s="236" t="s">
        <v>350</v>
      </c>
      <c r="AP1250" s="228" t="s">
        <v>119</v>
      </c>
    </row>
    <row r="1251" spans="1:43" s="18" customFormat="1" x14ac:dyDescent="0.3">
      <c r="A1251" s="228" t="s">
        <v>1451</v>
      </c>
      <c r="B1251" s="18" t="s">
        <v>4838</v>
      </c>
      <c r="C1251" s="228" t="s">
        <v>5114</v>
      </c>
      <c r="D1251" s="18" t="s">
        <v>5115</v>
      </c>
      <c r="E1251" s="228" t="s">
        <v>5116</v>
      </c>
      <c r="F1251" s="18" t="s">
        <v>5117</v>
      </c>
      <c r="G1251" s="228" t="s">
        <v>5118</v>
      </c>
      <c r="H1251" s="18" t="s">
        <v>5119</v>
      </c>
      <c r="I1251" s="228" t="s">
        <v>5255</v>
      </c>
      <c r="J1251" s="18" t="s">
        <v>5256</v>
      </c>
      <c r="K1251" s="228" t="s">
        <v>5268</v>
      </c>
      <c r="L1251" s="18" t="s">
        <v>5269</v>
      </c>
      <c r="M1251" s="18" t="s">
        <v>5270</v>
      </c>
      <c r="N1251" s="18">
        <v>24</v>
      </c>
      <c r="O1251" s="18">
        <v>538</v>
      </c>
      <c r="P1251" s="16">
        <v>642</v>
      </c>
      <c r="Q1251" s="16">
        <v>746</v>
      </c>
      <c r="R1251" s="16">
        <v>846</v>
      </c>
      <c r="S1251" s="16">
        <v>946</v>
      </c>
      <c r="T1251" s="18" t="s">
        <v>1581</v>
      </c>
      <c r="U1251" s="283" t="s">
        <v>1583</v>
      </c>
      <c r="V1251" s="18" t="s">
        <v>5271</v>
      </c>
      <c r="W1251" s="18">
        <v>0</v>
      </c>
      <c r="X1251" s="18">
        <v>0</v>
      </c>
      <c r="Y1251" s="18">
        <v>0</v>
      </c>
      <c r="Z1251" s="18">
        <v>1</v>
      </c>
      <c r="AA1251" s="18">
        <v>1</v>
      </c>
      <c r="AB1251" s="18">
        <v>0</v>
      </c>
      <c r="AC1251" s="316">
        <v>0</v>
      </c>
      <c r="AD1251" s="316">
        <v>1</v>
      </c>
      <c r="AE1251" s="302">
        <f t="shared" si="54"/>
        <v>0.375</v>
      </c>
      <c r="AF1251" s="239">
        <v>0</v>
      </c>
      <c r="AG1251" s="17">
        <v>0</v>
      </c>
      <c r="AH1251" s="239">
        <v>0.2</v>
      </c>
      <c r="AI1251" s="239">
        <v>0.2</v>
      </c>
      <c r="AJ1251" s="239">
        <v>0.2</v>
      </c>
      <c r="AK1251" s="246">
        <v>0</v>
      </c>
      <c r="AL1251" s="246">
        <v>0</v>
      </c>
      <c r="AM1251" s="147">
        <f t="shared" si="53"/>
        <v>0</v>
      </c>
      <c r="AN1251" s="157" t="s">
        <v>1581</v>
      </c>
      <c r="AO1251" s="157" t="s">
        <v>1583</v>
      </c>
      <c r="AP1251" s="240" t="s">
        <v>5209</v>
      </c>
      <c r="AQ1251" s="157"/>
    </row>
    <row r="1252" spans="1:43" s="18" customFormat="1" x14ac:dyDescent="0.3">
      <c r="A1252" s="228" t="s">
        <v>1451</v>
      </c>
      <c r="B1252" s="18" t="s">
        <v>4838</v>
      </c>
      <c r="C1252" s="228" t="s">
        <v>5114</v>
      </c>
      <c r="D1252" s="18" t="s">
        <v>5115</v>
      </c>
      <c r="E1252" s="228" t="s">
        <v>5116</v>
      </c>
      <c r="F1252" s="18" t="s">
        <v>5117</v>
      </c>
      <c r="G1252" s="228" t="s">
        <v>5118</v>
      </c>
      <c r="H1252" s="18" t="s">
        <v>5119</v>
      </c>
      <c r="I1252" s="228" t="s">
        <v>5255</v>
      </c>
      <c r="J1252" s="18" t="s">
        <v>5256</v>
      </c>
      <c r="K1252" s="228" t="s">
        <v>5268</v>
      </c>
      <c r="L1252" s="18" t="s">
        <v>5269</v>
      </c>
      <c r="M1252" s="18" t="s">
        <v>5272</v>
      </c>
      <c r="N1252" s="18">
        <v>49</v>
      </c>
      <c r="O1252" s="18">
        <v>75</v>
      </c>
      <c r="P1252" s="16">
        <v>80</v>
      </c>
      <c r="Q1252" s="16">
        <v>90</v>
      </c>
      <c r="R1252" s="16">
        <v>100</v>
      </c>
      <c r="S1252" s="16">
        <v>100</v>
      </c>
      <c r="T1252" s="18" t="s">
        <v>1581</v>
      </c>
      <c r="U1252" s="283" t="s">
        <v>1583</v>
      </c>
      <c r="V1252" s="18" t="s">
        <v>5273</v>
      </c>
      <c r="W1252" s="18">
        <v>0</v>
      </c>
      <c r="X1252" s="18">
        <v>0</v>
      </c>
      <c r="Y1252" s="18">
        <v>0</v>
      </c>
      <c r="Z1252" s="18">
        <v>0</v>
      </c>
      <c r="AA1252" s="18">
        <v>0</v>
      </c>
      <c r="AB1252" s="18">
        <v>0</v>
      </c>
      <c r="AC1252" s="316">
        <v>0</v>
      </c>
      <c r="AD1252" s="316">
        <v>0</v>
      </c>
      <c r="AE1252" s="302">
        <f t="shared" si="54"/>
        <v>0</v>
      </c>
      <c r="AF1252" s="239">
        <v>0</v>
      </c>
      <c r="AG1252" s="17">
        <v>0</v>
      </c>
      <c r="AH1252" s="239">
        <v>0.2</v>
      </c>
      <c r="AI1252" s="239">
        <v>0.2</v>
      </c>
      <c r="AJ1252" s="239">
        <v>0.2</v>
      </c>
      <c r="AK1252" s="246">
        <v>0</v>
      </c>
      <c r="AL1252" s="246">
        <v>0</v>
      </c>
      <c r="AM1252" s="147">
        <f t="shared" si="53"/>
        <v>0</v>
      </c>
      <c r="AN1252" s="157" t="s">
        <v>1581</v>
      </c>
      <c r="AO1252" s="157" t="s">
        <v>1583</v>
      </c>
      <c r="AP1252" s="240" t="s">
        <v>2074</v>
      </c>
      <c r="AQ1252" s="157"/>
    </row>
    <row r="1253" spans="1:43" s="18" customFormat="1" x14ac:dyDescent="0.3">
      <c r="A1253" s="228" t="s">
        <v>1451</v>
      </c>
      <c r="B1253" s="18" t="s">
        <v>4838</v>
      </c>
      <c r="C1253" s="228" t="s">
        <v>5114</v>
      </c>
      <c r="D1253" s="18" t="s">
        <v>5115</v>
      </c>
      <c r="E1253" s="228" t="s">
        <v>5116</v>
      </c>
      <c r="F1253" s="18" t="s">
        <v>5117</v>
      </c>
      <c r="G1253" s="228" t="s">
        <v>5118</v>
      </c>
      <c r="H1253" s="18" t="s">
        <v>5119</v>
      </c>
      <c r="I1253" s="228" t="s">
        <v>5255</v>
      </c>
      <c r="J1253" s="18" t="s">
        <v>5256</v>
      </c>
      <c r="K1253" s="228" t="s">
        <v>5268</v>
      </c>
      <c r="L1253" s="18" t="s">
        <v>5269</v>
      </c>
      <c r="P1253" s="16"/>
      <c r="Q1253" s="16"/>
      <c r="R1253" s="16"/>
      <c r="S1253" s="16"/>
      <c r="U1253" s="283" t="e">
        <v>#N/A</v>
      </c>
      <c r="V1253" s="18" t="s">
        <v>5274</v>
      </c>
      <c r="W1253" s="18">
        <v>0</v>
      </c>
      <c r="X1253" s="18">
        <v>0</v>
      </c>
      <c r="Y1253" s="18">
        <v>0</v>
      </c>
      <c r="Z1253" s="18">
        <v>0</v>
      </c>
      <c r="AA1253" s="18">
        <v>0</v>
      </c>
      <c r="AB1253" s="18">
        <v>0</v>
      </c>
      <c r="AC1253" s="316">
        <v>0</v>
      </c>
      <c r="AD1253" s="316">
        <v>0</v>
      </c>
      <c r="AE1253" s="302">
        <f t="shared" si="54"/>
        <v>0</v>
      </c>
      <c r="AF1253" s="239">
        <v>0</v>
      </c>
      <c r="AG1253" s="17">
        <v>0</v>
      </c>
      <c r="AH1253" s="239">
        <v>7.0000000000000007E-2</v>
      </c>
      <c r="AI1253" s="239">
        <v>7.0000000000000007E-2</v>
      </c>
      <c r="AJ1253" s="239">
        <v>7.0000000000000007E-2</v>
      </c>
      <c r="AK1253" s="246">
        <v>0</v>
      </c>
      <c r="AL1253" s="246">
        <v>0</v>
      </c>
      <c r="AM1253" s="147">
        <f t="shared" si="53"/>
        <v>0</v>
      </c>
      <c r="AN1253" s="157" t="s">
        <v>1581</v>
      </c>
      <c r="AO1253" s="157" t="s">
        <v>1583</v>
      </c>
      <c r="AP1253" s="240" t="s">
        <v>119</v>
      </c>
      <c r="AQ1253" s="157"/>
    </row>
    <row r="1254" spans="1:43" s="18" customFormat="1" x14ac:dyDescent="0.3">
      <c r="A1254" s="228" t="s">
        <v>1451</v>
      </c>
      <c r="B1254" s="18" t="s">
        <v>4838</v>
      </c>
      <c r="C1254" s="228" t="s">
        <v>5114</v>
      </c>
      <c r="D1254" s="18" t="s">
        <v>5115</v>
      </c>
      <c r="E1254" s="228" t="s">
        <v>5116</v>
      </c>
      <c r="F1254" s="18" t="s">
        <v>5117</v>
      </c>
      <c r="G1254" s="228" t="s">
        <v>5118</v>
      </c>
      <c r="H1254" s="18" t="s">
        <v>5119</v>
      </c>
      <c r="I1254" s="228" t="s">
        <v>5255</v>
      </c>
      <c r="J1254" s="18" t="s">
        <v>5256</v>
      </c>
      <c r="K1254" s="228" t="s">
        <v>5268</v>
      </c>
      <c r="L1254" s="18" t="s">
        <v>5269</v>
      </c>
      <c r="P1254" s="16"/>
      <c r="Q1254" s="16"/>
      <c r="R1254" s="16"/>
      <c r="S1254" s="16"/>
      <c r="U1254" s="283" t="e">
        <v>#N/A</v>
      </c>
      <c r="V1254" s="18" t="s">
        <v>5275</v>
      </c>
      <c r="W1254" s="18">
        <v>0</v>
      </c>
      <c r="X1254" s="18">
        <v>0</v>
      </c>
      <c r="Y1254" s="18">
        <v>0</v>
      </c>
      <c r="Z1254" s="18">
        <v>0</v>
      </c>
      <c r="AA1254" s="18">
        <v>0</v>
      </c>
      <c r="AB1254" s="18">
        <v>0</v>
      </c>
      <c r="AC1254" s="316">
        <v>0</v>
      </c>
      <c r="AD1254" s="316">
        <v>0</v>
      </c>
      <c r="AE1254" s="302">
        <f t="shared" si="54"/>
        <v>0</v>
      </c>
      <c r="AF1254" s="239">
        <v>0</v>
      </c>
      <c r="AG1254" s="17">
        <v>0</v>
      </c>
      <c r="AH1254" s="239" t="s">
        <v>2526</v>
      </c>
      <c r="AI1254" s="239">
        <v>7.0000000000000007E-2</v>
      </c>
      <c r="AJ1254" s="239" t="s">
        <v>2526</v>
      </c>
      <c r="AK1254" s="246">
        <v>0</v>
      </c>
      <c r="AL1254" s="246">
        <v>0</v>
      </c>
      <c r="AM1254" s="147">
        <f t="shared" si="53"/>
        <v>0</v>
      </c>
      <c r="AN1254" s="157" t="s">
        <v>1581</v>
      </c>
      <c r="AO1254" s="157" t="s">
        <v>1583</v>
      </c>
      <c r="AP1254" s="240" t="s">
        <v>5276</v>
      </c>
      <c r="AQ1254" s="157"/>
    </row>
    <row r="1255" spans="1:43" s="18" customFormat="1" x14ac:dyDescent="0.3">
      <c r="A1255" s="228" t="s">
        <v>1451</v>
      </c>
      <c r="B1255" s="18" t="s">
        <v>4838</v>
      </c>
      <c r="C1255" s="228" t="s">
        <v>5114</v>
      </c>
      <c r="D1255" s="18" t="s">
        <v>5115</v>
      </c>
      <c r="E1255" s="228" t="s">
        <v>5116</v>
      </c>
      <c r="F1255" s="18" t="s">
        <v>5117</v>
      </c>
      <c r="G1255" s="228" t="s">
        <v>5277</v>
      </c>
      <c r="H1255" s="18" t="s">
        <v>5278</v>
      </c>
      <c r="I1255" s="228" t="s">
        <v>5279</v>
      </c>
      <c r="J1255" s="18" t="s">
        <v>5280</v>
      </c>
      <c r="K1255" s="228" t="s">
        <v>5281</v>
      </c>
      <c r="L1255" s="18" t="s">
        <v>5282</v>
      </c>
      <c r="M1255" s="18" t="s">
        <v>5283</v>
      </c>
      <c r="N1255" s="18">
        <v>0</v>
      </c>
      <c r="O1255" s="18">
        <v>3</v>
      </c>
      <c r="P1255" s="16">
        <v>4</v>
      </c>
      <c r="Q1255" s="16">
        <v>5</v>
      </c>
      <c r="R1255" s="16">
        <v>5</v>
      </c>
      <c r="S1255" s="16">
        <v>5</v>
      </c>
      <c r="T1255" s="18" t="s">
        <v>1191</v>
      </c>
      <c r="U1255" s="283" t="e">
        <v>#N/A</v>
      </c>
      <c r="V1255" s="18" t="s">
        <v>5284</v>
      </c>
      <c r="W1255" s="18">
        <v>1</v>
      </c>
      <c r="X1255" s="18">
        <v>1</v>
      </c>
      <c r="Y1255" s="18">
        <v>1</v>
      </c>
      <c r="Z1255" s="18">
        <v>1</v>
      </c>
      <c r="AA1255" s="18">
        <v>1</v>
      </c>
      <c r="AB1255" s="18">
        <v>1</v>
      </c>
      <c r="AC1255" s="316">
        <v>1</v>
      </c>
      <c r="AD1255" s="316">
        <v>1</v>
      </c>
      <c r="AE1255" s="302">
        <f t="shared" si="54"/>
        <v>1</v>
      </c>
      <c r="AF1255" s="239">
        <v>0</v>
      </c>
      <c r="AG1255" s="17">
        <v>0</v>
      </c>
      <c r="AH1255" s="239">
        <v>2</v>
      </c>
      <c r="AI1255" s="239">
        <v>2.1</v>
      </c>
      <c r="AJ1255" s="239">
        <v>2.21</v>
      </c>
      <c r="AK1255" s="238">
        <v>2.3199999999999998</v>
      </c>
      <c r="AL1255" s="238">
        <v>2.4300000000000002</v>
      </c>
      <c r="AM1255" s="147">
        <f t="shared" si="53"/>
        <v>4.75</v>
      </c>
      <c r="AN1255" s="157" t="s">
        <v>3201</v>
      </c>
      <c r="AO1255" s="157" t="s">
        <v>5285</v>
      </c>
      <c r="AP1255" s="240" t="s">
        <v>101</v>
      </c>
      <c r="AQ1255" s="157"/>
    </row>
    <row r="1256" spans="1:43" s="18" customFormat="1" x14ac:dyDescent="0.3">
      <c r="A1256" s="228" t="s">
        <v>1451</v>
      </c>
      <c r="B1256" s="18" t="s">
        <v>4838</v>
      </c>
      <c r="C1256" s="228" t="s">
        <v>5114</v>
      </c>
      <c r="D1256" s="18" t="s">
        <v>5115</v>
      </c>
      <c r="E1256" s="228" t="s">
        <v>5116</v>
      </c>
      <c r="F1256" s="18" t="s">
        <v>5117</v>
      </c>
      <c r="G1256" s="228" t="s">
        <v>5277</v>
      </c>
      <c r="H1256" s="18" t="s">
        <v>5278</v>
      </c>
      <c r="I1256" s="228" t="s">
        <v>5279</v>
      </c>
      <c r="J1256" s="18" t="s">
        <v>5280</v>
      </c>
      <c r="K1256" s="228" t="s">
        <v>5281</v>
      </c>
      <c r="L1256" s="18" t="s">
        <v>5282</v>
      </c>
      <c r="M1256" s="18" t="s">
        <v>5286</v>
      </c>
      <c r="O1256" s="18" t="s">
        <v>5287</v>
      </c>
      <c r="P1256" s="16" t="s">
        <v>5288</v>
      </c>
      <c r="Q1256" s="16" t="s">
        <v>5289</v>
      </c>
      <c r="R1256" s="16" t="s">
        <v>5290</v>
      </c>
      <c r="S1256" s="16" t="s">
        <v>3696</v>
      </c>
      <c r="T1256" s="18" t="s">
        <v>321</v>
      </c>
      <c r="U1256" s="283" t="s">
        <v>1066</v>
      </c>
      <c r="V1256" s="18" t="s">
        <v>5291</v>
      </c>
      <c r="W1256" s="18">
        <v>0</v>
      </c>
      <c r="X1256" s="18">
        <v>0</v>
      </c>
      <c r="Y1256" s="18">
        <v>0</v>
      </c>
      <c r="Z1256" s="18">
        <v>0</v>
      </c>
      <c r="AA1256" s="18">
        <v>0</v>
      </c>
      <c r="AB1256" s="18">
        <v>0</v>
      </c>
      <c r="AC1256" s="316">
        <v>0</v>
      </c>
      <c r="AD1256" s="316">
        <v>0</v>
      </c>
      <c r="AE1256" s="302">
        <f t="shared" si="54"/>
        <v>0</v>
      </c>
      <c r="AF1256" s="239">
        <v>0</v>
      </c>
      <c r="AG1256" s="17">
        <v>0</v>
      </c>
      <c r="AH1256" s="239" t="s">
        <v>2526</v>
      </c>
      <c r="AI1256" s="239" t="s">
        <v>2526</v>
      </c>
      <c r="AJ1256" s="239" t="s">
        <v>2526</v>
      </c>
      <c r="AK1256" s="238" t="s">
        <v>2526</v>
      </c>
      <c r="AL1256" s="238" t="s">
        <v>2526</v>
      </c>
      <c r="AM1256" s="147">
        <f t="shared" si="53"/>
        <v>0</v>
      </c>
      <c r="AN1256" s="157" t="s">
        <v>921</v>
      </c>
      <c r="AO1256" s="157" t="s">
        <v>880</v>
      </c>
      <c r="AP1256" s="240" t="s">
        <v>119</v>
      </c>
      <c r="AQ1256" s="157"/>
    </row>
    <row r="1257" spans="1:43" s="18" customFormat="1" x14ac:dyDescent="0.3">
      <c r="A1257" s="228" t="s">
        <v>1451</v>
      </c>
      <c r="B1257" s="18" t="s">
        <v>4838</v>
      </c>
      <c r="C1257" s="228" t="s">
        <v>5114</v>
      </c>
      <c r="D1257" s="18" t="s">
        <v>5115</v>
      </c>
      <c r="E1257" s="228" t="s">
        <v>5116</v>
      </c>
      <c r="F1257" s="18" t="s">
        <v>5117</v>
      </c>
      <c r="G1257" s="228" t="s">
        <v>5277</v>
      </c>
      <c r="H1257" s="18" t="s">
        <v>5278</v>
      </c>
      <c r="I1257" s="228" t="s">
        <v>5279</v>
      </c>
      <c r="J1257" s="18" t="s">
        <v>5280</v>
      </c>
      <c r="K1257" s="228" t="s">
        <v>5281</v>
      </c>
      <c r="L1257" s="18" t="s">
        <v>5282</v>
      </c>
      <c r="M1257" s="18" t="s">
        <v>5292</v>
      </c>
      <c r="N1257" s="18">
        <v>1</v>
      </c>
      <c r="O1257" s="18">
        <v>1</v>
      </c>
      <c r="P1257" s="16">
        <v>1</v>
      </c>
      <c r="Q1257" s="16" t="s">
        <v>3763</v>
      </c>
      <c r="R1257" s="16">
        <v>0</v>
      </c>
      <c r="S1257" s="16" t="s">
        <v>3763</v>
      </c>
      <c r="T1257" s="18" t="s">
        <v>3240</v>
      </c>
      <c r="U1257" s="283" t="e">
        <v>#N/A</v>
      </c>
      <c r="V1257" s="18" t="s">
        <v>5293</v>
      </c>
      <c r="W1257" s="18">
        <v>1</v>
      </c>
      <c r="X1257" s="18">
        <v>0</v>
      </c>
      <c r="Y1257" s="18">
        <v>1</v>
      </c>
      <c r="Z1257" s="18">
        <v>1</v>
      </c>
      <c r="AA1257" s="18">
        <v>0</v>
      </c>
      <c r="AB1257" s="18">
        <v>1</v>
      </c>
      <c r="AC1257" s="316">
        <v>1</v>
      </c>
      <c r="AD1257" s="316">
        <v>1</v>
      </c>
      <c r="AE1257" s="302">
        <f t="shared" si="54"/>
        <v>0.75</v>
      </c>
      <c r="AF1257" s="176">
        <v>0</v>
      </c>
      <c r="AG1257" s="17">
        <v>0</v>
      </c>
      <c r="AH1257" s="176" t="s">
        <v>2526</v>
      </c>
      <c r="AI1257" s="176" t="s">
        <v>2526</v>
      </c>
      <c r="AJ1257" s="234" t="s">
        <v>2526</v>
      </c>
      <c r="AK1257" s="235" t="s">
        <v>2526</v>
      </c>
      <c r="AL1257" s="235" t="s">
        <v>2526</v>
      </c>
      <c r="AM1257" s="147">
        <f t="shared" si="53"/>
        <v>0</v>
      </c>
      <c r="AN1257" s="236" t="s">
        <v>921</v>
      </c>
      <c r="AO1257" s="236" t="s">
        <v>880</v>
      </c>
      <c r="AP1257" s="228" t="s">
        <v>119</v>
      </c>
    </row>
    <row r="1258" spans="1:43" s="18" customFormat="1" x14ac:dyDescent="0.3">
      <c r="A1258" s="228" t="s">
        <v>1451</v>
      </c>
      <c r="B1258" s="18" t="s">
        <v>4838</v>
      </c>
      <c r="C1258" s="228" t="s">
        <v>5114</v>
      </c>
      <c r="D1258" s="18" t="s">
        <v>5115</v>
      </c>
      <c r="E1258" s="228" t="s">
        <v>5116</v>
      </c>
      <c r="F1258" s="18" t="s">
        <v>5117</v>
      </c>
      <c r="G1258" s="228" t="s">
        <v>5277</v>
      </c>
      <c r="H1258" s="18" t="s">
        <v>5278</v>
      </c>
      <c r="I1258" s="228" t="s">
        <v>5279</v>
      </c>
      <c r="J1258" s="18" t="s">
        <v>5280</v>
      </c>
      <c r="K1258" s="228" t="s">
        <v>5281</v>
      </c>
      <c r="L1258" s="18" t="s">
        <v>5282</v>
      </c>
      <c r="M1258" s="18" t="s">
        <v>5294</v>
      </c>
      <c r="N1258" s="18">
        <v>2</v>
      </c>
      <c r="O1258" s="18" t="s">
        <v>3548</v>
      </c>
      <c r="P1258" s="16" t="s">
        <v>5295</v>
      </c>
      <c r="Q1258" s="16" t="s">
        <v>3560</v>
      </c>
      <c r="R1258" s="16" t="s">
        <v>3767</v>
      </c>
      <c r="S1258" s="16" t="s">
        <v>5296</v>
      </c>
      <c r="T1258" s="18" t="s">
        <v>3201</v>
      </c>
      <c r="U1258" s="283" t="s">
        <v>5285</v>
      </c>
      <c r="V1258" s="18" t="s">
        <v>5297</v>
      </c>
      <c r="W1258" s="18">
        <v>1</v>
      </c>
      <c r="X1258" s="18">
        <v>1</v>
      </c>
      <c r="Y1258" s="18">
        <v>1</v>
      </c>
      <c r="Z1258" s="18">
        <v>1</v>
      </c>
      <c r="AA1258" s="18">
        <v>1</v>
      </c>
      <c r="AB1258" s="18">
        <v>1</v>
      </c>
      <c r="AC1258" s="316">
        <v>1</v>
      </c>
      <c r="AD1258" s="316">
        <v>1</v>
      </c>
      <c r="AE1258" s="302">
        <f t="shared" si="54"/>
        <v>1</v>
      </c>
      <c r="AF1258" s="176">
        <v>0</v>
      </c>
      <c r="AG1258" s="17">
        <v>0</v>
      </c>
      <c r="AH1258" s="176">
        <v>0.5</v>
      </c>
      <c r="AI1258" s="239">
        <v>0.6</v>
      </c>
      <c r="AJ1258" s="239">
        <v>0.7</v>
      </c>
      <c r="AK1258" s="177">
        <v>0.8</v>
      </c>
      <c r="AL1258" s="238">
        <v>0.9</v>
      </c>
      <c r="AM1258" s="147">
        <f t="shared" si="53"/>
        <v>1.7000000000000002</v>
      </c>
      <c r="AN1258" s="157" t="s">
        <v>321</v>
      </c>
      <c r="AO1258" s="157" t="s">
        <v>1066</v>
      </c>
      <c r="AP1258" s="240" t="s">
        <v>5298</v>
      </c>
      <c r="AQ1258" s="157"/>
    </row>
    <row r="1259" spans="1:43" s="18" customFormat="1" x14ac:dyDescent="0.3">
      <c r="A1259" s="228" t="s">
        <v>1451</v>
      </c>
      <c r="B1259" s="18" t="s">
        <v>4838</v>
      </c>
      <c r="C1259" s="228" t="s">
        <v>5114</v>
      </c>
      <c r="D1259" s="18" t="s">
        <v>5115</v>
      </c>
      <c r="E1259" s="228" t="s">
        <v>5116</v>
      </c>
      <c r="F1259" s="18" t="s">
        <v>5117</v>
      </c>
      <c r="G1259" s="228" t="s">
        <v>5277</v>
      </c>
      <c r="H1259" s="18" t="s">
        <v>5278</v>
      </c>
      <c r="I1259" s="228" t="s">
        <v>5279</v>
      </c>
      <c r="J1259" s="18" t="s">
        <v>5280</v>
      </c>
      <c r="K1259" s="228" t="s">
        <v>5281</v>
      </c>
      <c r="L1259" s="18" t="s">
        <v>5282</v>
      </c>
      <c r="P1259" s="16"/>
      <c r="Q1259" s="16"/>
      <c r="R1259" s="16"/>
      <c r="S1259" s="16"/>
      <c r="U1259" s="283" t="e">
        <v>#N/A</v>
      </c>
      <c r="V1259" s="18" t="s">
        <v>5299</v>
      </c>
      <c r="W1259" s="18">
        <v>1</v>
      </c>
      <c r="X1259" s="18">
        <v>1</v>
      </c>
      <c r="Y1259" s="18">
        <v>1</v>
      </c>
      <c r="Z1259" s="18">
        <v>1</v>
      </c>
      <c r="AA1259" s="18">
        <v>1</v>
      </c>
      <c r="AB1259" s="18">
        <v>1</v>
      </c>
      <c r="AC1259" s="316">
        <v>1</v>
      </c>
      <c r="AD1259" s="316">
        <v>1</v>
      </c>
      <c r="AE1259" s="302">
        <f t="shared" si="54"/>
        <v>1</v>
      </c>
      <c r="AF1259" s="176">
        <v>0</v>
      </c>
      <c r="AG1259" s="17">
        <v>0</v>
      </c>
      <c r="AH1259" s="176">
        <v>4</v>
      </c>
      <c r="AI1259" s="239">
        <v>4</v>
      </c>
      <c r="AJ1259" s="239">
        <v>4</v>
      </c>
      <c r="AK1259" s="237">
        <v>2.8</v>
      </c>
      <c r="AL1259" s="238">
        <v>4</v>
      </c>
      <c r="AM1259" s="147">
        <f t="shared" si="53"/>
        <v>6.8</v>
      </c>
      <c r="AN1259" s="157" t="s">
        <v>3201</v>
      </c>
      <c r="AO1259" s="157" t="s">
        <v>5285</v>
      </c>
      <c r="AP1259" s="240" t="s">
        <v>5300</v>
      </c>
      <c r="AQ1259" s="157"/>
    </row>
    <row r="1260" spans="1:43" s="18" customFormat="1" x14ac:dyDescent="0.3">
      <c r="A1260" s="228" t="s">
        <v>1451</v>
      </c>
      <c r="B1260" s="18" t="s">
        <v>4838</v>
      </c>
      <c r="C1260" s="228" t="s">
        <v>5114</v>
      </c>
      <c r="D1260" s="18" t="s">
        <v>5115</v>
      </c>
      <c r="E1260" s="228" t="s">
        <v>5116</v>
      </c>
      <c r="F1260" s="18" t="s">
        <v>5117</v>
      </c>
      <c r="G1260" s="228" t="s">
        <v>5277</v>
      </c>
      <c r="H1260" s="18" t="s">
        <v>5278</v>
      </c>
      <c r="I1260" s="228" t="s">
        <v>5279</v>
      </c>
      <c r="J1260" s="18" t="s">
        <v>5280</v>
      </c>
      <c r="K1260" s="228" t="s">
        <v>5281</v>
      </c>
      <c r="L1260" s="18" t="s">
        <v>5282</v>
      </c>
      <c r="P1260" s="16"/>
      <c r="Q1260" s="16"/>
      <c r="R1260" s="16"/>
      <c r="S1260" s="16"/>
      <c r="U1260" s="283" t="e">
        <v>#N/A</v>
      </c>
      <c r="V1260" s="18" t="s">
        <v>5301</v>
      </c>
      <c r="W1260" s="18">
        <v>1</v>
      </c>
      <c r="X1260" s="18">
        <v>1</v>
      </c>
      <c r="Y1260" s="18">
        <v>1</v>
      </c>
      <c r="Z1260" s="18">
        <v>1</v>
      </c>
      <c r="AA1260" s="18">
        <v>1</v>
      </c>
      <c r="AB1260" s="18">
        <v>1</v>
      </c>
      <c r="AC1260" s="316">
        <v>1</v>
      </c>
      <c r="AD1260" s="316">
        <v>1</v>
      </c>
      <c r="AE1260" s="302">
        <f t="shared" si="54"/>
        <v>1</v>
      </c>
      <c r="AF1260" s="176">
        <v>0</v>
      </c>
      <c r="AG1260" s="17">
        <v>0</v>
      </c>
      <c r="AH1260" s="176">
        <v>2</v>
      </c>
      <c r="AI1260" s="239">
        <v>2</v>
      </c>
      <c r="AJ1260" s="239">
        <v>2</v>
      </c>
      <c r="AK1260" s="177">
        <v>2</v>
      </c>
      <c r="AL1260" s="238">
        <v>2</v>
      </c>
      <c r="AM1260" s="147">
        <f t="shared" si="53"/>
        <v>4</v>
      </c>
      <c r="AN1260" s="157" t="s">
        <v>3201</v>
      </c>
      <c r="AO1260" s="157" t="s">
        <v>5285</v>
      </c>
      <c r="AP1260" s="240" t="s">
        <v>5302</v>
      </c>
      <c r="AQ1260" s="157"/>
    </row>
    <row r="1261" spans="1:43" s="18" customFormat="1" x14ac:dyDescent="0.3">
      <c r="A1261" s="228" t="s">
        <v>1451</v>
      </c>
      <c r="B1261" s="18" t="s">
        <v>4838</v>
      </c>
      <c r="C1261" s="228" t="s">
        <v>5114</v>
      </c>
      <c r="D1261" s="18" t="s">
        <v>5115</v>
      </c>
      <c r="E1261" s="228" t="s">
        <v>5116</v>
      </c>
      <c r="F1261" s="18" t="s">
        <v>5117</v>
      </c>
      <c r="G1261" s="228" t="s">
        <v>5277</v>
      </c>
      <c r="H1261" s="18" t="s">
        <v>5278</v>
      </c>
      <c r="I1261" s="228" t="s">
        <v>5279</v>
      </c>
      <c r="J1261" s="18" t="s">
        <v>5280</v>
      </c>
      <c r="K1261" s="228" t="s">
        <v>5281</v>
      </c>
      <c r="L1261" s="18" t="s">
        <v>5282</v>
      </c>
      <c r="P1261" s="16"/>
      <c r="Q1261" s="16"/>
      <c r="R1261" s="16"/>
      <c r="S1261" s="16"/>
      <c r="U1261" s="283" t="e">
        <v>#N/A</v>
      </c>
      <c r="V1261" s="18" t="s">
        <v>5303</v>
      </c>
      <c r="W1261" s="18">
        <v>1</v>
      </c>
      <c r="X1261" s="18">
        <v>1</v>
      </c>
      <c r="Y1261" s="18">
        <v>1</v>
      </c>
      <c r="Z1261" s="18">
        <v>0</v>
      </c>
      <c r="AA1261" s="18">
        <v>1</v>
      </c>
      <c r="AB1261" s="18">
        <v>1</v>
      </c>
      <c r="AC1261" s="316">
        <v>1</v>
      </c>
      <c r="AD1261" s="316">
        <v>1</v>
      </c>
      <c r="AE1261" s="302">
        <f t="shared" si="54"/>
        <v>0.875</v>
      </c>
      <c r="AF1261" s="176">
        <v>0</v>
      </c>
      <c r="AG1261" s="17">
        <v>0</v>
      </c>
      <c r="AH1261" s="176">
        <v>1</v>
      </c>
      <c r="AI1261" s="239">
        <v>0.5</v>
      </c>
      <c r="AJ1261" s="239">
        <v>0.5</v>
      </c>
      <c r="AK1261" s="177">
        <v>0.5</v>
      </c>
      <c r="AL1261" s="238">
        <v>0.5</v>
      </c>
      <c r="AM1261" s="147">
        <f t="shared" si="53"/>
        <v>1</v>
      </c>
      <c r="AN1261" s="157" t="s">
        <v>3201</v>
      </c>
      <c r="AO1261" s="157" t="s">
        <v>5285</v>
      </c>
      <c r="AP1261" s="240" t="s">
        <v>5304</v>
      </c>
      <c r="AQ1261" s="157"/>
    </row>
    <row r="1262" spans="1:43" s="18" customFormat="1" x14ac:dyDescent="0.3">
      <c r="A1262" s="228" t="s">
        <v>1451</v>
      </c>
      <c r="B1262" s="18" t="s">
        <v>4838</v>
      </c>
      <c r="C1262" s="228" t="s">
        <v>5114</v>
      </c>
      <c r="D1262" s="18" t="s">
        <v>5115</v>
      </c>
      <c r="E1262" s="228" t="s">
        <v>5116</v>
      </c>
      <c r="F1262" s="18" t="s">
        <v>5117</v>
      </c>
      <c r="G1262" s="228" t="s">
        <v>5277</v>
      </c>
      <c r="H1262" s="18" t="s">
        <v>5278</v>
      </c>
      <c r="I1262" s="228" t="s">
        <v>5279</v>
      </c>
      <c r="J1262" s="18" t="s">
        <v>5280</v>
      </c>
      <c r="K1262" s="228" t="s">
        <v>5281</v>
      </c>
      <c r="L1262" s="18" t="s">
        <v>5282</v>
      </c>
      <c r="P1262" s="16"/>
      <c r="Q1262" s="16"/>
      <c r="R1262" s="16"/>
      <c r="S1262" s="16"/>
      <c r="U1262" s="283" t="e">
        <v>#N/A</v>
      </c>
      <c r="V1262" s="18" t="s">
        <v>5305</v>
      </c>
      <c r="W1262" s="18">
        <v>1</v>
      </c>
      <c r="X1262" s="18">
        <v>1</v>
      </c>
      <c r="Y1262" s="18">
        <v>1</v>
      </c>
      <c r="Z1262" s="18">
        <v>1</v>
      </c>
      <c r="AA1262" s="18">
        <v>1</v>
      </c>
      <c r="AB1262" s="18">
        <v>1</v>
      </c>
      <c r="AC1262" s="18">
        <v>0</v>
      </c>
      <c r="AD1262" s="18">
        <v>1</v>
      </c>
      <c r="AE1262" s="302">
        <f t="shared" si="54"/>
        <v>0.875</v>
      </c>
      <c r="AF1262" s="176">
        <v>0</v>
      </c>
      <c r="AG1262" s="17">
        <v>0</v>
      </c>
      <c r="AH1262" s="176">
        <v>2.5</v>
      </c>
      <c r="AI1262" s="239">
        <v>2.5</v>
      </c>
      <c r="AJ1262" s="239">
        <v>2.5</v>
      </c>
      <c r="AK1262" s="177">
        <v>2.5</v>
      </c>
      <c r="AL1262" s="238">
        <v>2.5</v>
      </c>
      <c r="AM1262" s="147">
        <f t="shared" si="53"/>
        <v>5</v>
      </c>
      <c r="AN1262" s="157" t="s">
        <v>3201</v>
      </c>
      <c r="AO1262" s="157" t="s">
        <v>5285</v>
      </c>
      <c r="AP1262" s="240" t="s">
        <v>5306</v>
      </c>
      <c r="AQ1262" s="157"/>
    </row>
    <row r="1263" spans="1:43" s="18" customFormat="1" x14ac:dyDescent="0.3">
      <c r="A1263" s="228" t="s">
        <v>1451</v>
      </c>
      <c r="B1263" s="18" t="s">
        <v>4838</v>
      </c>
      <c r="C1263" s="228" t="s">
        <v>5114</v>
      </c>
      <c r="D1263" s="18" t="s">
        <v>5115</v>
      </c>
      <c r="E1263" s="228" t="s">
        <v>5116</v>
      </c>
      <c r="F1263" s="18" t="s">
        <v>5117</v>
      </c>
      <c r="G1263" s="228" t="s">
        <v>5277</v>
      </c>
      <c r="H1263" s="18" t="s">
        <v>5278</v>
      </c>
      <c r="I1263" s="228" t="s">
        <v>5279</v>
      </c>
      <c r="J1263" s="18" t="s">
        <v>5280</v>
      </c>
      <c r="K1263" s="228" t="s">
        <v>5281</v>
      </c>
      <c r="L1263" s="18" t="s">
        <v>5282</v>
      </c>
      <c r="P1263" s="16"/>
      <c r="Q1263" s="16"/>
      <c r="R1263" s="16"/>
      <c r="S1263" s="16"/>
      <c r="U1263" s="283" t="e">
        <v>#N/A</v>
      </c>
      <c r="V1263" s="18" t="s">
        <v>5307</v>
      </c>
      <c r="W1263" s="18">
        <v>1</v>
      </c>
      <c r="X1263" s="18">
        <v>1</v>
      </c>
      <c r="Y1263" s="18">
        <v>1</v>
      </c>
      <c r="Z1263" s="18">
        <v>0</v>
      </c>
      <c r="AA1263" s="18">
        <v>1</v>
      </c>
      <c r="AB1263" s="18">
        <v>1</v>
      </c>
      <c r="AC1263" s="316">
        <v>0</v>
      </c>
      <c r="AD1263" s="316">
        <v>1</v>
      </c>
      <c r="AE1263" s="302">
        <f t="shared" si="54"/>
        <v>0.75</v>
      </c>
      <c r="AF1263" s="176">
        <v>0</v>
      </c>
      <c r="AG1263" s="17">
        <v>0</v>
      </c>
      <c r="AH1263" s="176">
        <v>15</v>
      </c>
      <c r="AI1263" s="239">
        <v>15</v>
      </c>
      <c r="AJ1263" s="239">
        <v>15</v>
      </c>
      <c r="AK1263" s="237">
        <v>11</v>
      </c>
      <c r="AL1263" s="238">
        <v>15</v>
      </c>
      <c r="AM1263" s="147">
        <f t="shared" si="53"/>
        <v>26</v>
      </c>
      <c r="AN1263" s="157" t="s">
        <v>3201</v>
      </c>
      <c r="AO1263" s="157" t="s">
        <v>5285</v>
      </c>
      <c r="AP1263" s="240" t="s">
        <v>5308</v>
      </c>
      <c r="AQ1263" s="157"/>
    </row>
    <row r="1264" spans="1:43" s="18" customFormat="1" x14ac:dyDescent="0.3">
      <c r="A1264" s="228" t="s">
        <v>1451</v>
      </c>
      <c r="B1264" s="18" t="s">
        <v>4838</v>
      </c>
      <c r="C1264" s="228" t="s">
        <v>5114</v>
      </c>
      <c r="D1264" s="18" t="s">
        <v>5115</v>
      </c>
      <c r="E1264" s="228" t="s">
        <v>5116</v>
      </c>
      <c r="F1264" s="18" t="s">
        <v>5117</v>
      </c>
      <c r="G1264" s="228" t="s">
        <v>5277</v>
      </c>
      <c r="H1264" s="18" t="s">
        <v>5278</v>
      </c>
      <c r="I1264" s="228" t="s">
        <v>5279</v>
      </c>
      <c r="J1264" s="18" t="s">
        <v>5280</v>
      </c>
      <c r="K1264" s="228" t="s">
        <v>5281</v>
      </c>
      <c r="L1264" s="18" t="s">
        <v>5282</v>
      </c>
      <c r="P1264" s="16"/>
      <c r="Q1264" s="16"/>
      <c r="R1264" s="16"/>
      <c r="S1264" s="16"/>
      <c r="U1264" s="283" t="e">
        <v>#N/A</v>
      </c>
      <c r="V1264" s="18" t="s">
        <v>5309</v>
      </c>
      <c r="W1264" s="18">
        <v>0</v>
      </c>
      <c r="X1264" s="18">
        <v>0</v>
      </c>
      <c r="Y1264" s="18">
        <v>0</v>
      </c>
      <c r="Z1264" s="18">
        <v>0</v>
      </c>
      <c r="AA1264" s="18">
        <v>0</v>
      </c>
      <c r="AB1264" s="18">
        <v>0</v>
      </c>
      <c r="AC1264" s="316">
        <v>0</v>
      </c>
      <c r="AD1264" s="316">
        <v>0</v>
      </c>
      <c r="AE1264" s="302">
        <f t="shared" si="54"/>
        <v>0</v>
      </c>
      <c r="AF1264" s="176">
        <v>0</v>
      </c>
      <c r="AG1264" s="17">
        <v>0</v>
      </c>
      <c r="AH1264" s="176" t="s">
        <v>2526</v>
      </c>
      <c r="AI1264" s="239" t="s">
        <v>2526</v>
      </c>
      <c r="AJ1264" s="239" t="s">
        <v>2526</v>
      </c>
      <c r="AK1264" s="177" t="s">
        <v>2526</v>
      </c>
      <c r="AL1264" s="238" t="s">
        <v>2526</v>
      </c>
      <c r="AM1264" s="147">
        <f t="shared" si="53"/>
        <v>0</v>
      </c>
      <c r="AN1264" s="157" t="s">
        <v>101</v>
      </c>
      <c r="AO1264" s="157" t="s">
        <v>103</v>
      </c>
      <c r="AP1264" s="240" t="s">
        <v>119</v>
      </c>
      <c r="AQ1264" s="157"/>
    </row>
    <row r="1265" spans="1:43" s="18" customFormat="1" x14ac:dyDescent="0.3">
      <c r="A1265" s="228" t="s">
        <v>1451</v>
      </c>
      <c r="B1265" s="18" t="s">
        <v>4838</v>
      </c>
      <c r="C1265" s="228" t="s">
        <v>5114</v>
      </c>
      <c r="D1265" s="18" t="s">
        <v>5115</v>
      </c>
      <c r="E1265" s="228" t="s">
        <v>5116</v>
      </c>
      <c r="F1265" s="18" t="s">
        <v>5117</v>
      </c>
      <c r="G1265" s="228" t="s">
        <v>5277</v>
      </c>
      <c r="H1265" s="18" t="s">
        <v>5278</v>
      </c>
      <c r="I1265" s="228" t="s">
        <v>5279</v>
      </c>
      <c r="J1265" s="18" t="s">
        <v>5280</v>
      </c>
      <c r="K1265" s="228" t="s">
        <v>5281</v>
      </c>
      <c r="L1265" s="18" t="s">
        <v>5282</v>
      </c>
      <c r="P1265" s="16"/>
      <c r="Q1265" s="16"/>
      <c r="R1265" s="16"/>
      <c r="S1265" s="16"/>
      <c r="U1265" s="283" t="e">
        <v>#N/A</v>
      </c>
      <c r="V1265" s="18" t="s">
        <v>5310</v>
      </c>
      <c r="W1265" s="18">
        <v>0</v>
      </c>
      <c r="X1265" s="18">
        <v>0</v>
      </c>
      <c r="Y1265" s="18">
        <v>0</v>
      </c>
      <c r="Z1265" s="18">
        <v>0</v>
      </c>
      <c r="AA1265" s="18">
        <v>0</v>
      </c>
      <c r="AB1265" s="18">
        <v>0</v>
      </c>
      <c r="AC1265" s="316">
        <v>0</v>
      </c>
      <c r="AD1265" s="316">
        <v>0</v>
      </c>
      <c r="AE1265" s="302">
        <f t="shared" si="54"/>
        <v>0</v>
      </c>
      <c r="AF1265" s="176">
        <v>0</v>
      </c>
      <c r="AG1265" s="17">
        <v>0</v>
      </c>
      <c r="AH1265" s="176" t="s">
        <v>2526</v>
      </c>
      <c r="AI1265" s="239" t="s">
        <v>2526</v>
      </c>
      <c r="AJ1265" s="239" t="s">
        <v>2526</v>
      </c>
      <c r="AK1265" s="177" t="s">
        <v>2526</v>
      </c>
      <c r="AL1265" s="238" t="s">
        <v>2526</v>
      </c>
      <c r="AM1265" s="147">
        <f t="shared" si="53"/>
        <v>0</v>
      </c>
      <c r="AN1265" s="157" t="s">
        <v>101</v>
      </c>
      <c r="AO1265" s="157" t="s">
        <v>103</v>
      </c>
      <c r="AP1265" s="240" t="s">
        <v>119</v>
      </c>
      <c r="AQ1265" s="157"/>
    </row>
    <row r="1266" spans="1:43" s="18" customFormat="1" x14ac:dyDescent="0.3">
      <c r="A1266" s="228" t="s">
        <v>1451</v>
      </c>
      <c r="B1266" s="18" t="s">
        <v>4838</v>
      </c>
      <c r="C1266" s="228" t="s">
        <v>5114</v>
      </c>
      <c r="D1266" s="18" t="s">
        <v>5115</v>
      </c>
      <c r="E1266" s="228" t="s">
        <v>5116</v>
      </c>
      <c r="F1266" s="18" t="s">
        <v>5117</v>
      </c>
      <c r="G1266" s="228" t="s">
        <v>5277</v>
      </c>
      <c r="H1266" s="18" t="s">
        <v>5278</v>
      </c>
      <c r="I1266" s="228" t="s">
        <v>5279</v>
      </c>
      <c r="J1266" s="18" t="s">
        <v>5280</v>
      </c>
      <c r="K1266" s="228" t="s">
        <v>5281</v>
      </c>
      <c r="L1266" s="18" t="s">
        <v>5282</v>
      </c>
      <c r="P1266" s="16"/>
      <c r="Q1266" s="16"/>
      <c r="R1266" s="16"/>
      <c r="S1266" s="16"/>
      <c r="U1266" s="283" t="e">
        <v>#N/A</v>
      </c>
      <c r="V1266" s="18" t="s">
        <v>5311</v>
      </c>
      <c r="W1266" s="18">
        <v>0</v>
      </c>
      <c r="X1266" s="18">
        <v>0</v>
      </c>
      <c r="Y1266" s="18">
        <v>0</v>
      </c>
      <c r="Z1266" s="18">
        <v>0</v>
      </c>
      <c r="AA1266" s="18">
        <v>0</v>
      </c>
      <c r="AB1266" s="18">
        <v>0</v>
      </c>
      <c r="AC1266" s="316">
        <v>0</v>
      </c>
      <c r="AD1266" s="316">
        <v>0</v>
      </c>
      <c r="AE1266" s="302">
        <f t="shared" si="54"/>
        <v>0</v>
      </c>
      <c r="AF1266" s="176">
        <v>0</v>
      </c>
      <c r="AG1266" s="17">
        <v>0</v>
      </c>
      <c r="AH1266" s="176" t="s">
        <v>2526</v>
      </c>
      <c r="AI1266" s="239" t="s">
        <v>2526</v>
      </c>
      <c r="AJ1266" s="239" t="s">
        <v>2526</v>
      </c>
      <c r="AK1266" s="246" t="s">
        <v>2526</v>
      </c>
      <c r="AL1266" s="246" t="s">
        <v>2526</v>
      </c>
      <c r="AM1266" s="147">
        <f t="shared" si="53"/>
        <v>0</v>
      </c>
      <c r="AN1266" s="157" t="s">
        <v>101</v>
      </c>
      <c r="AO1266" s="157" t="s">
        <v>103</v>
      </c>
      <c r="AP1266" s="240" t="s">
        <v>119</v>
      </c>
      <c r="AQ1266" s="157"/>
    </row>
    <row r="1267" spans="1:43" s="18" customFormat="1" x14ac:dyDescent="0.3">
      <c r="A1267" s="228" t="s">
        <v>1451</v>
      </c>
      <c r="B1267" s="18" t="s">
        <v>4838</v>
      </c>
      <c r="C1267" s="228" t="s">
        <v>5114</v>
      </c>
      <c r="D1267" s="18" t="s">
        <v>5115</v>
      </c>
      <c r="E1267" s="228" t="s">
        <v>5116</v>
      </c>
      <c r="F1267" s="18" t="s">
        <v>5117</v>
      </c>
      <c r="G1267" s="228" t="s">
        <v>5277</v>
      </c>
      <c r="H1267" s="18" t="s">
        <v>5278</v>
      </c>
      <c r="I1267" s="228" t="s">
        <v>5279</v>
      </c>
      <c r="J1267" s="18" t="s">
        <v>5280</v>
      </c>
      <c r="K1267" s="228" t="s">
        <v>5281</v>
      </c>
      <c r="L1267" s="18" t="s">
        <v>5282</v>
      </c>
      <c r="P1267" s="16"/>
      <c r="Q1267" s="16"/>
      <c r="R1267" s="16"/>
      <c r="S1267" s="16"/>
      <c r="U1267" s="283" t="e">
        <v>#N/A</v>
      </c>
      <c r="V1267" s="18" t="s">
        <v>5312</v>
      </c>
      <c r="W1267" s="18">
        <v>0</v>
      </c>
      <c r="X1267" s="18">
        <v>0</v>
      </c>
      <c r="Y1267" s="18">
        <v>0</v>
      </c>
      <c r="Z1267" s="18">
        <v>0</v>
      </c>
      <c r="AA1267" s="18">
        <v>0</v>
      </c>
      <c r="AB1267" s="18">
        <v>0</v>
      </c>
      <c r="AC1267" s="18">
        <v>0</v>
      </c>
      <c r="AD1267" s="316">
        <v>0</v>
      </c>
      <c r="AE1267" s="302">
        <f t="shared" si="54"/>
        <v>0</v>
      </c>
      <c r="AF1267" s="176">
        <v>0</v>
      </c>
      <c r="AG1267" s="17">
        <v>0</v>
      </c>
      <c r="AH1267" s="176" t="s">
        <v>2526</v>
      </c>
      <c r="AI1267" s="176">
        <v>1</v>
      </c>
      <c r="AJ1267" s="234">
        <v>1</v>
      </c>
      <c r="AK1267" s="246" t="s">
        <v>2526</v>
      </c>
      <c r="AL1267" s="246" t="s">
        <v>2526</v>
      </c>
      <c r="AM1267" s="147">
        <f t="shared" si="53"/>
        <v>0</v>
      </c>
      <c r="AN1267" s="236" t="s">
        <v>4385</v>
      </c>
      <c r="AO1267" s="236" t="s">
        <v>103</v>
      </c>
      <c r="AP1267" s="228" t="s">
        <v>5313</v>
      </c>
    </row>
    <row r="1268" spans="1:43" s="18" customFormat="1" x14ac:dyDescent="0.3">
      <c r="A1268" s="228" t="s">
        <v>1451</v>
      </c>
      <c r="B1268" s="18" t="s">
        <v>4838</v>
      </c>
      <c r="C1268" s="228" t="s">
        <v>5114</v>
      </c>
      <c r="D1268" s="18" t="s">
        <v>5115</v>
      </c>
      <c r="E1268" s="228" t="s">
        <v>5116</v>
      </c>
      <c r="F1268" s="18" t="s">
        <v>5117</v>
      </c>
      <c r="G1268" s="228" t="s">
        <v>5277</v>
      </c>
      <c r="H1268" s="18" t="s">
        <v>5278</v>
      </c>
      <c r="I1268" s="228" t="s">
        <v>5279</v>
      </c>
      <c r="J1268" s="18" t="s">
        <v>5280</v>
      </c>
      <c r="K1268" s="228" t="s">
        <v>5281</v>
      </c>
      <c r="L1268" s="18" t="s">
        <v>5282</v>
      </c>
      <c r="P1268" s="16"/>
      <c r="Q1268" s="16"/>
      <c r="R1268" s="16"/>
      <c r="S1268" s="16"/>
      <c r="U1268" s="283" t="e">
        <v>#N/A</v>
      </c>
      <c r="V1268" s="18" t="s">
        <v>5314</v>
      </c>
      <c r="W1268" s="18">
        <v>1</v>
      </c>
      <c r="X1268" s="18">
        <v>0</v>
      </c>
      <c r="Y1268" s="18">
        <v>0</v>
      </c>
      <c r="Z1268" s="18">
        <v>1</v>
      </c>
      <c r="AA1268" s="18">
        <v>1</v>
      </c>
      <c r="AB1268" s="18">
        <v>0</v>
      </c>
      <c r="AC1268" s="316">
        <v>0</v>
      </c>
      <c r="AD1268" s="316">
        <v>1</v>
      </c>
      <c r="AE1268" s="302">
        <f t="shared" si="54"/>
        <v>0.5</v>
      </c>
      <c r="AF1268" s="176">
        <v>0</v>
      </c>
      <c r="AG1268" s="17">
        <v>0</v>
      </c>
      <c r="AH1268" s="176" t="s">
        <v>2526</v>
      </c>
      <c r="AI1268" s="239">
        <v>1</v>
      </c>
      <c r="AJ1268" s="239">
        <v>1</v>
      </c>
      <c r="AK1268" s="246" t="s">
        <v>2526</v>
      </c>
      <c r="AL1268" s="246" t="s">
        <v>2526</v>
      </c>
      <c r="AM1268" s="147">
        <f t="shared" si="53"/>
        <v>0</v>
      </c>
      <c r="AN1268" s="157" t="s">
        <v>4385</v>
      </c>
      <c r="AO1268" s="157" t="s">
        <v>103</v>
      </c>
      <c r="AP1268" s="240" t="s">
        <v>101</v>
      </c>
      <c r="AQ1268" s="157"/>
    </row>
    <row r="1269" spans="1:43" s="18" customFormat="1" x14ac:dyDescent="0.3">
      <c r="A1269" s="228" t="s">
        <v>1451</v>
      </c>
      <c r="B1269" s="18" t="s">
        <v>4838</v>
      </c>
      <c r="C1269" s="228" t="s">
        <v>5114</v>
      </c>
      <c r="D1269" s="18" t="s">
        <v>5115</v>
      </c>
      <c r="E1269" s="228" t="s">
        <v>5116</v>
      </c>
      <c r="F1269" s="18" t="s">
        <v>5117</v>
      </c>
      <c r="G1269" s="228" t="s">
        <v>5277</v>
      </c>
      <c r="H1269" s="18" t="s">
        <v>5278</v>
      </c>
      <c r="I1269" s="228" t="s">
        <v>5279</v>
      </c>
      <c r="J1269" s="18" t="s">
        <v>5280</v>
      </c>
      <c r="K1269" s="228" t="s">
        <v>5281</v>
      </c>
      <c r="L1269" s="18" t="s">
        <v>5282</v>
      </c>
      <c r="P1269" s="16"/>
      <c r="Q1269" s="16"/>
      <c r="R1269" s="16"/>
      <c r="S1269" s="16"/>
      <c r="U1269" s="283" t="e">
        <v>#N/A</v>
      </c>
      <c r="V1269" s="18" t="s">
        <v>5315</v>
      </c>
      <c r="W1269" s="18">
        <v>0</v>
      </c>
      <c r="X1269" s="18">
        <v>0</v>
      </c>
      <c r="Y1269" s="18">
        <v>0</v>
      </c>
      <c r="Z1269" s="18">
        <v>0</v>
      </c>
      <c r="AA1269" s="18">
        <v>0</v>
      </c>
      <c r="AB1269" s="18">
        <v>0</v>
      </c>
      <c r="AC1269" s="316">
        <v>0</v>
      </c>
      <c r="AD1269" s="316">
        <v>0</v>
      </c>
      <c r="AE1269" s="302">
        <f t="shared" si="54"/>
        <v>0</v>
      </c>
      <c r="AF1269" s="176">
        <v>0</v>
      </c>
      <c r="AG1269" s="17">
        <v>0</v>
      </c>
      <c r="AH1269" s="176" t="s">
        <v>2526</v>
      </c>
      <c r="AI1269" s="239">
        <v>2.8</v>
      </c>
      <c r="AJ1269" s="239">
        <v>2</v>
      </c>
      <c r="AK1269" s="246" t="s">
        <v>2526</v>
      </c>
      <c r="AL1269" s="246" t="s">
        <v>2526</v>
      </c>
      <c r="AM1269" s="147">
        <f t="shared" si="53"/>
        <v>0</v>
      </c>
      <c r="AN1269" s="157" t="s">
        <v>4385</v>
      </c>
      <c r="AO1269" s="157" t="s">
        <v>103</v>
      </c>
      <c r="AP1269" s="240" t="s">
        <v>5316</v>
      </c>
      <c r="AQ1269" s="157"/>
    </row>
    <row r="1270" spans="1:43" s="18" customFormat="1" x14ac:dyDescent="0.3">
      <c r="A1270" s="228" t="s">
        <v>1451</v>
      </c>
      <c r="B1270" s="18" t="s">
        <v>4838</v>
      </c>
      <c r="C1270" s="228" t="s">
        <v>5114</v>
      </c>
      <c r="D1270" s="18" t="s">
        <v>5115</v>
      </c>
      <c r="E1270" s="228" t="s">
        <v>5116</v>
      </c>
      <c r="F1270" s="18" t="s">
        <v>5117</v>
      </c>
      <c r="G1270" s="228" t="s">
        <v>5277</v>
      </c>
      <c r="H1270" s="18" t="s">
        <v>5278</v>
      </c>
      <c r="I1270" s="228" t="s">
        <v>5279</v>
      </c>
      <c r="J1270" s="18" t="s">
        <v>5280</v>
      </c>
      <c r="K1270" s="228" t="s">
        <v>5281</v>
      </c>
      <c r="L1270" s="18" t="s">
        <v>5282</v>
      </c>
      <c r="P1270" s="16"/>
      <c r="Q1270" s="16"/>
      <c r="R1270" s="16"/>
      <c r="S1270" s="16"/>
      <c r="U1270" s="283" t="e">
        <v>#N/A</v>
      </c>
      <c r="V1270" s="18" t="s">
        <v>5317</v>
      </c>
      <c r="W1270" s="18">
        <v>0</v>
      </c>
      <c r="X1270" s="18">
        <v>0</v>
      </c>
      <c r="Y1270" s="18">
        <v>0</v>
      </c>
      <c r="Z1270" s="18">
        <v>0</v>
      </c>
      <c r="AA1270" s="18">
        <v>0</v>
      </c>
      <c r="AB1270" s="18">
        <v>0</v>
      </c>
      <c r="AC1270" s="18">
        <v>0</v>
      </c>
      <c r="AD1270" s="18">
        <v>0</v>
      </c>
      <c r="AE1270" s="302">
        <f t="shared" si="54"/>
        <v>0</v>
      </c>
      <c r="AF1270" s="239">
        <v>0</v>
      </c>
      <c r="AG1270" s="17">
        <v>0</v>
      </c>
      <c r="AH1270" s="239" t="s">
        <v>2526</v>
      </c>
      <c r="AI1270" s="239" t="s">
        <v>2526</v>
      </c>
      <c r="AJ1270" s="239" t="s">
        <v>2526</v>
      </c>
      <c r="AK1270" s="177" t="s">
        <v>2526</v>
      </c>
      <c r="AL1270" s="238" t="s">
        <v>2526</v>
      </c>
      <c r="AM1270" s="147">
        <f t="shared" si="53"/>
        <v>0</v>
      </c>
      <c r="AN1270" s="157" t="s">
        <v>3201</v>
      </c>
      <c r="AO1270" s="157" t="s">
        <v>5285</v>
      </c>
      <c r="AP1270" s="240" t="s">
        <v>119</v>
      </c>
      <c r="AQ1270" s="157"/>
    </row>
    <row r="1271" spans="1:43" s="18" customFormat="1" x14ac:dyDescent="0.3">
      <c r="A1271" s="228" t="s">
        <v>1451</v>
      </c>
      <c r="B1271" s="18" t="s">
        <v>4838</v>
      </c>
      <c r="C1271" s="228" t="s">
        <v>5114</v>
      </c>
      <c r="D1271" s="18" t="s">
        <v>5115</v>
      </c>
      <c r="E1271" s="228" t="s">
        <v>5116</v>
      </c>
      <c r="F1271" s="18" t="s">
        <v>5117</v>
      </c>
      <c r="G1271" s="228" t="s">
        <v>5277</v>
      </c>
      <c r="H1271" s="18" t="s">
        <v>5278</v>
      </c>
      <c r="I1271" s="228" t="s">
        <v>5318</v>
      </c>
      <c r="J1271" s="18" t="s">
        <v>5319</v>
      </c>
      <c r="K1271" s="228" t="s">
        <v>5320</v>
      </c>
      <c r="L1271" s="18" t="s">
        <v>5321</v>
      </c>
      <c r="M1271" s="18" t="s">
        <v>5322</v>
      </c>
      <c r="N1271" s="18">
        <v>0</v>
      </c>
      <c r="O1271" s="18">
        <v>1</v>
      </c>
      <c r="P1271" s="16">
        <v>1</v>
      </c>
      <c r="Q1271" s="16">
        <v>1</v>
      </c>
      <c r="R1271" s="16">
        <v>1</v>
      </c>
      <c r="S1271" s="16">
        <v>1</v>
      </c>
      <c r="T1271" s="18" t="s">
        <v>5323</v>
      </c>
      <c r="U1271" s="283" t="e">
        <v>#N/A</v>
      </c>
      <c r="V1271" s="18" t="s">
        <v>5324</v>
      </c>
      <c r="W1271" s="18">
        <v>1</v>
      </c>
      <c r="X1271" s="18">
        <v>1</v>
      </c>
      <c r="Y1271" s="18">
        <v>1</v>
      </c>
      <c r="Z1271" s="18">
        <v>1</v>
      </c>
      <c r="AA1271" s="18">
        <v>1</v>
      </c>
      <c r="AB1271" s="18">
        <v>1</v>
      </c>
      <c r="AC1271" s="18">
        <v>1</v>
      </c>
      <c r="AD1271" s="316">
        <v>1</v>
      </c>
      <c r="AE1271" s="302">
        <f t="shared" si="54"/>
        <v>1</v>
      </c>
      <c r="AF1271" s="176">
        <v>0</v>
      </c>
      <c r="AG1271" s="17">
        <v>0</v>
      </c>
      <c r="AH1271" s="176">
        <v>1.5</v>
      </c>
      <c r="AI1271" s="176">
        <v>0.5</v>
      </c>
      <c r="AJ1271" s="234">
        <v>0.5</v>
      </c>
      <c r="AK1271" s="235">
        <v>0.5</v>
      </c>
      <c r="AL1271" s="235">
        <v>0.5</v>
      </c>
      <c r="AM1271" s="147">
        <f t="shared" si="53"/>
        <v>1</v>
      </c>
      <c r="AN1271" s="236" t="s">
        <v>265</v>
      </c>
      <c r="AO1271" s="236" t="s">
        <v>350</v>
      </c>
      <c r="AP1271" s="228" t="s">
        <v>5325</v>
      </c>
    </row>
    <row r="1272" spans="1:43" s="18" customFormat="1" x14ac:dyDescent="0.3">
      <c r="A1272" s="228" t="s">
        <v>1451</v>
      </c>
      <c r="B1272" s="18" t="s">
        <v>4838</v>
      </c>
      <c r="C1272" s="228" t="s">
        <v>5114</v>
      </c>
      <c r="D1272" s="18" t="s">
        <v>5115</v>
      </c>
      <c r="E1272" s="228" t="s">
        <v>5116</v>
      </c>
      <c r="F1272" s="18" t="s">
        <v>5117</v>
      </c>
      <c r="G1272" s="228" t="s">
        <v>5277</v>
      </c>
      <c r="H1272" s="18" t="s">
        <v>5278</v>
      </c>
      <c r="I1272" s="228" t="s">
        <v>5318</v>
      </c>
      <c r="J1272" s="18" t="s">
        <v>5319</v>
      </c>
      <c r="K1272" s="228" t="s">
        <v>5320</v>
      </c>
      <c r="L1272" s="18" t="s">
        <v>5321</v>
      </c>
      <c r="P1272" s="16"/>
      <c r="Q1272" s="16"/>
      <c r="R1272" s="16"/>
      <c r="S1272" s="16"/>
      <c r="U1272" s="283" t="e">
        <v>#N/A</v>
      </c>
      <c r="V1272" s="18" t="s">
        <v>5326</v>
      </c>
      <c r="W1272" s="18">
        <v>0</v>
      </c>
      <c r="X1272" s="18">
        <v>0</v>
      </c>
      <c r="Y1272" s="18">
        <v>0</v>
      </c>
      <c r="Z1272" s="18">
        <v>0</v>
      </c>
      <c r="AA1272" s="18">
        <v>0</v>
      </c>
      <c r="AB1272" s="18">
        <v>0</v>
      </c>
      <c r="AC1272" s="18">
        <v>0</v>
      </c>
      <c r="AD1272" s="18">
        <v>0</v>
      </c>
      <c r="AE1272" s="302">
        <f t="shared" si="54"/>
        <v>0</v>
      </c>
      <c r="AF1272" s="239">
        <v>0</v>
      </c>
      <c r="AG1272" s="17">
        <v>0</v>
      </c>
      <c r="AH1272" s="239" t="s">
        <v>2526</v>
      </c>
      <c r="AI1272" s="239" t="s">
        <v>2526</v>
      </c>
      <c r="AJ1272" s="239" t="s">
        <v>2526</v>
      </c>
      <c r="AK1272" s="238" t="s">
        <v>2526</v>
      </c>
      <c r="AL1272" s="238" t="s">
        <v>2526</v>
      </c>
      <c r="AM1272" s="147">
        <f t="shared" si="53"/>
        <v>0</v>
      </c>
      <c r="AN1272" s="157" t="s">
        <v>265</v>
      </c>
      <c r="AO1272" s="157" t="s">
        <v>350</v>
      </c>
      <c r="AP1272" s="240" t="s">
        <v>3201</v>
      </c>
      <c r="AQ1272" s="157"/>
    </row>
    <row r="1273" spans="1:43" s="18" customFormat="1" x14ac:dyDescent="0.3">
      <c r="A1273" s="228" t="s">
        <v>1451</v>
      </c>
      <c r="B1273" s="18" t="s">
        <v>4838</v>
      </c>
      <c r="C1273" s="228" t="s">
        <v>5114</v>
      </c>
      <c r="D1273" s="18" t="s">
        <v>5115</v>
      </c>
      <c r="E1273" s="228" t="s">
        <v>5116</v>
      </c>
      <c r="F1273" s="18" t="s">
        <v>5117</v>
      </c>
      <c r="G1273" s="228" t="s">
        <v>5277</v>
      </c>
      <c r="H1273" s="18" t="s">
        <v>5278</v>
      </c>
      <c r="I1273" s="228" t="s">
        <v>5318</v>
      </c>
      <c r="J1273" s="18" t="s">
        <v>5319</v>
      </c>
      <c r="K1273" s="228" t="s">
        <v>5320</v>
      </c>
      <c r="L1273" s="18" t="s">
        <v>5321</v>
      </c>
      <c r="P1273" s="16"/>
      <c r="Q1273" s="16"/>
      <c r="R1273" s="16"/>
      <c r="S1273" s="16"/>
      <c r="U1273" s="283" t="e">
        <v>#N/A</v>
      </c>
      <c r="V1273" s="18" t="s">
        <v>5327</v>
      </c>
      <c r="W1273" s="18">
        <v>0</v>
      </c>
      <c r="X1273" s="18">
        <v>0</v>
      </c>
      <c r="Y1273" s="18">
        <v>0</v>
      </c>
      <c r="Z1273" s="18">
        <v>0</v>
      </c>
      <c r="AA1273" s="18">
        <v>1</v>
      </c>
      <c r="AB1273" s="18">
        <v>0</v>
      </c>
      <c r="AC1273" s="316">
        <v>0</v>
      </c>
      <c r="AD1273" s="316">
        <v>1</v>
      </c>
      <c r="AE1273" s="302">
        <f t="shared" si="54"/>
        <v>0.25</v>
      </c>
      <c r="AF1273" s="239">
        <v>0</v>
      </c>
      <c r="AG1273" s="17">
        <v>0</v>
      </c>
      <c r="AH1273" s="239">
        <v>0.3</v>
      </c>
      <c r="AI1273" s="239">
        <v>0.3</v>
      </c>
      <c r="AJ1273" s="239">
        <v>0.3</v>
      </c>
      <c r="AK1273" s="238" t="s">
        <v>2526</v>
      </c>
      <c r="AL1273" s="238" t="s">
        <v>2526</v>
      </c>
      <c r="AM1273" s="147">
        <f t="shared" si="53"/>
        <v>0</v>
      </c>
      <c r="AN1273" s="157" t="s">
        <v>869</v>
      </c>
      <c r="AO1273" s="157" t="s">
        <v>871</v>
      </c>
      <c r="AP1273" s="240" t="s">
        <v>265</v>
      </c>
      <c r="AQ1273" s="157"/>
    </row>
    <row r="1274" spans="1:43" s="18" customFormat="1" x14ac:dyDescent="0.3">
      <c r="A1274" s="228" t="s">
        <v>1451</v>
      </c>
      <c r="B1274" s="18" t="s">
        <v>4838</v>
      </c>
      <c r="C1274" s="228" t="s">
        <v>5114</v>
      </c>
      <c r="D1274" s="18" t="s">
        <v>5115</v>
      </c>
      <c r="E1274" s="228" t="s">
        <v>5116</v>
      </c>
      <c r="F1274" s="18" t="s">
        <v>5117</v>
      </c>
      <c r="G1274" s="228" t="s">
        <v>5277</v>
      </c>
      <c r="H1274" s="18" t="s">
        <v>5278</v>
      </c>
      <c r="I1274" s="228" t="s">
        <v>5328</v>
      </c>
      <c r="J1274" s="18" t="s">
        <v>5329</v>
      </c>
      <c r="K1274" s="228" t="s">
        <v>5330</v>
      </c>
      <c r="L1274" s="18" t="s">
        <v>5331</v>
      </c>
      <c r="M1274" s="18" t="s">
        <v>5332</v>
      </c>
      <c r="N1274" s="18">
        <v>2</v>
      </c>
      <c r="O1274" s="18" t="s">
        <v>3763</v>
      </c>
      <c r="P1274" s="16" t="s">
        <v>3763</v>
      </c>
      <c r="Q1274" s="16" t="s">
        <v>3763</v>
      </c>
      <c r="R1274" s="16" t="s">
        <v>3763</v>
      </c>
      <c r="S1274" s="16" t="s">
        <v>3763</v>
      </c>
      <c r="T1274" s="283" t="s">
        <v>265</v>
      </c>
      <c r="U1274" s="283" t="s">
        <v>350</v>
      </c>
      <c r="V1274" s="18" t="s">
        <v>5333</v>
      </c>
      <c r="W1274" s="18">
        <v>1</v>
      </c>
      <c r="X1274" s="18">
        <v>1</v>
      </c>
      <c r="Y1274" s="18">
        <v>1</v>
      </c>
      <c r="Z1274" s="18">
        <v>1</v>
      </c>
      <c r="AA1274" s="18">
        <v>1</v>
      </c>
      <c r="AB1274" s="18">
        <v>0</v>
      </c>
      <c r="AC1274" s="316">
        <v>0</v>
      </c>
      <c r="AD1274" s="316">
        <v>1</v>
      </c>
      <c r="AE1274" s="302">
        <f t="shared" si="54"/>
        <v>0.75</v>
      </c>
      <c r="AF1274" s="239">
        <v>1</v>
      </c>
      <c r="AG1274" s="17">
        <v>0</v>
      </c>
      <c r="AH1274" s="239">
        <v>4</v>
      </c>
      <c r="AI1274" s="239">
        <v>4.2</v>
      </c>
      <c r="AJ1274" s="239">
        <v>4.41</v>
      </c>
      <c r="AK1274" s="237">
        <v>3.63</v>
      </c>
      <c r="AL1274" s="238">
        <v>4.8600000000000003</v>
      </c>
      <c r="AM1274" s="147">
        <f t="shared" si="53"/>
        <v>8.49</v>
      </c>
      <c r="AN1274" s="157" t="s">
        <v>101</v>
      </c>
      <c r="AO1274" s="157" t="s">
        <v>103</v>
      </c>
      <c r="AP1274" s="240" t="s">
        <v>5334</v>
      </c>
      <c r="AQ1274" s="157"/>
    </row>
    <row r="1275" spans="1:43" s="18" customFormat="1" x14ac:dyDescent="0.3">
      <c r="A1275" s="228" t="s">
        <v>1451</v>
      </c>
      <c r="B1275" s="18" t="s">
        <v>4838</v>
      </c>
      <c r="C1275" s="228" t="s">
        <v>5114</v>
      </c>
      <c r="D1275" s="18" t="s">
        <v>5115</v>
      </c>
      <c r="E1275" s="228" t="s">
        <v>5116</v>
      </c>
      <c r="F1275" s="18" t="s">
        <v>5117</v>
      </c>
      <c r="G1275" s="228" t="s">
        <v>5277</v>
      </c>
      <c r="H1275" s="18" t="s">
        <v>5278</v>
      </c>
      <c r="I1275" s="228" t="s">
        <v>5335</v>
      </c>
      <c r="J1275" s="18" t="s">
        <v>5336</v>
      </c>
      <c r="K1275" s="228" t="s">
        <v>5337</v>
      </c>
      <c r="L1275" s="18" t="s">
        <v>5338</v>
      </c>
      <c r="M1275" s="18" t="s">
        <v>5339</v>
      </c>
      <c r="N1275" s="18">
        <v>1</v>
      </c>
      <c r="O1275" s="18">
        <v>1</v>
      </c>
      <c r="P1275" s="16">
        <v>1</v>
      </c>
      <c r="Q1275" s="16">
        <v>3</v>
      </c>
      <c r="R1275" s="16">
        <v>2</v>
      </c>
      <c r="S1275" s="16">
        <v>2</v>
      </c>
      <c r="T1275" s="18" t="s">
        <v>1581</v>
      </c>
      <c r="U1275" s="283" t="s">
        <v>1583</v>
      </c>
      <c r="V1275" s="18" t="s">
        <v>5340</v>
      </c>
      <c r="W1275" s="18">
        <v>1</v>
      </c>
      <c r="X1275" s="18">
        <v>1</v>
      </c>
      <c r="Y1275" s="18">
        <v>0</v>
      </c>
      <c r="Z1275" s="18">
        <v>1</v>
      </c>
      <c r="AA1275" s="18">
        <v>1</v>
      </c>
      <c r="AB1275" s="18">
        <v>0</v>
      </c>
      <c r="AC1275" s="316">
        <v>1</v>
      </c>
      <c r="AD1275" s="316">
        <v>1</v>
      </c>
      <c r="AE1275" s="302">
        <f t="shared" si="54"/>
        <v>0.75</v>
      </c>
      <c r="AF1275" s="176">
        <v>0</v>
      </c>
      <c r="AG1275" s="17">
        <v>0</v>
      </c>
      <c r="AH1275" s="176">
        <v>3</v>
      </c>
      <c r="AI1275" s="239">
        <v>3</v>
      </c>
      <c r="AJ1275" s="239">
        <v>3</v>
      </c>
      <c r="AK1275" s="238">
        <v>3</v>
      </c>
      <c r="AL1275" s="238">
        <v>3</v>
      </c>
      <c r="AM1275" s="147">
        <f t="shared" si="53"/>
        <v>6</v>
      </c>
      <c r="AN1275" s="157" t="s">
        <v>869</v>
      </c>
      <c r="AO1275" s="157" t="s">
        <v>871</v>
      </c>
      <c r="AP1275" s="240" t="s">
        <v>5341</v>
      </c>
      <c r="AQ1275" s="157"/>
    </row>
    <row r="1276" spans="1:43" s="18" customFormat="1" x14ac:dyDescent="0.3">
      <c r="A1276" s="228" t="s">
        <v>1451</v>
      </c>
      <c r="B1276" s="18" t="s">
        <v>4838</v>
      </c>
      <c r="C1276" s="228" t="s">
        <v>5114</v>
      </c>
      <c r="D1276" s="18" t="s">
        <v>5115</v>
      </c>
      <c r="E1276" s="228" t="s">
        <v>5116</v>
      </c>
      <c r="F1276" s="18" t="s">
        <v>5117</v>
      </c>
      <c r="G1276" s="228" t="s">
        <v>5277</v>
      </c>
      <c r="H1276" s="18" t="s">
        <v>5278</v>
      </c>
      <c r="I1276" s="228" t="s">
        <v>5335</v>
      </c>
      <c r="J1276" s="18" t="s">
        <v>5336</v>
      </c>
      <c r="K1276" s="228" t="s">
        <v>5337</v>
      </c>
      <c r="L1276" s="18" t="s">
        <v>5338</v>
      </c>
      <c r="M1276" s="18" t="s">
        <v>5342</v>
      </c>
      <c r="N1276" s="18">
        <v>2</v>
      </c>
      <c r="O1276" s="18">
        <v>1</v>
      </c>
      <c r="P1276" s="16">
        <v>1</v>
      </c>
      <c r="Q1276" s="16">
        <v>2</v>
      </c>
      <c r="R1276" s="16">
        <v>2</v>
      </c>
      <c r="S1276" s="16">
        <v>2</v>
      </c>
      <c r="T1276" s="18" t="s">
        <v>869</v>
      </c>
      <c r="U1276" s="283" t="s">
        <v>871</v>
      </c>
      <c r="V1276" s="18" t="s">
        <v>5343</v>
      </c>
      <c r="W1276" s="18">
        <v>1</v>
      </c>
      <c r="X1276" s="18">
        <v>1</v>
      </c>
      <c r="Y1276" s="18">
        <v>0</v>
      </c>
      <c r="Z1276" s="18">
        <v>1</v>
      </c>
      <c r="AA1276" s="18">
        <v>0</v>
      </c>
      <c r="AB1276" s="18">
        <v>0</v>
      </c>
      <c r="AC1276" s="316">
        <v>0</v>
      </c>
      <c r="AD1276" s="316">
        <v>1</v>
      </c>
      <c r="AE1276" s="302">
        <f t="shared" si="54"/>
        <v>0.5</v>
      </c>
      <c r="AF1276" s="176">
        <v>0</v>
      </c>
      <c r="AG1276" s="17">
        <v>0</v>
      </c>
      <c r="AH1276" s="176" t="s">
        <v>2526</v>
      </c>
      <c r="AI1276" s="176" t="s">
        <v>2526</v>
      </c>
      <c r="AJ1276" s="234" t="s">
        <v>2526</v>
      </c>
      <c r="AK1276" s="235" t="s">
        <v>2526</v>
      </c>
      <c r="AL1276" s="235" t="s">
        <v>2526</v>
      </c>
      <c r="AM1276" s="147">
        <f t="shared" si="53"/>
        <v>0</v>
      </c>
      <c r="AN1276" s="236" t="s">
        <v>1581</v>
      </c>
      <c r="AO1276" s="236" t="s">
        <v>1583</v>
      </c>
      <c r="AP1276" s="228" t="s">
        <v>119</v>
      </c>
    </row>
    <row r="1277" spans="1:43" s="18" customFormat="1" x14ac:dyDescent="0.3">
      <c r="A1277" s="228" t="s">
        <v>1451</v>
      </c>
      <c r="B1277" s="18" t="s">
        <v>4838</v>
      </c>
      <c r="C1277" s="228" t="s">
        <v>5114</v>
      </c>
      <c r="D1277" s="18" t="s">
        <v>5115</v>
      </c>
      <c r="E1277" s="228" t="s">
        <v>5116</v>
      </c>
      <c r="F1277" s="18" t="s">
        <v>5117</v>
      </c>
      <c r="G1277" s="228" t="s">
        <v>5277</v>
      </c>
      <c r="H1277" s="18" t="s">
        <v>5278</v>
      </c>
      <c r="I1277" s="228" t="s">
        <v>5335</v>
      </c>
      <c r="J1277" s="18" t="s">
        <v>5336</v>
      </c>
      <c r="K1277" s="228" t="s">
        <v>5337</v>
      </c>
      <c r="L1277" s="18" t="s">
        <v>5338</v>
      </c>
      <c r="P1277" s="16"/>
      <c r="Q1277" s="16"/>
      <c r="R1277" s="16"/>
      <c r="S1277" s="16"/>
      <c r="U1277" s="283" t="e">
        <v>#N/A</v>
      </c>
      <c r="V1277" s="18" t="s">
        <v>5344</v>
      </c>
      <c r="W1277" s="18">
        <v>1</v>
      </c>
      <c r="X1277" s="18">
        <v>1</v>
      </c>
      <c r="Y1277" s="18">
        <v>1</v>
      </c>
      <c r="Z1277" s="18">
        <v>1</v>
      </c>
      <c r="AA1277" s="18">
        <v>1</v>
      </c>
      <c r="AB1277" s="18">
        <v>0</v>
      </c>
      <c r="AC1277" s="18">
        <v>0</v>
      </c>
      <c r="AD1277" s="18">
        <v>1</v>
      </c>
      <c r="AE1277" s="302">
        <f t="shared" si="54"/>
        <v>0.75</v>
      </c>
      <c r="AF1277" s="176"/>
      <c r="AG1277" s="17">
        <v>0</v>
      </c>
      <c r="AH1277" s="176" t="s">
        <v>2526</v>
      </c>
      <c r="AI1277" s="239">
        <v>13.18</v>
      </c>
      <c r="AJ1277" s="239">
        <v>13.18</v>
      </c>
      <c r="AK1277" s="237">
        <v>5.18</v>
      </c>
      <c r="AL1277" s="238">
        <v>13.18</v>
      </c>
      <c r="AM1277" s="147">
        <f t="shared" si="53"/>
        <v>18.36</v>
      </c>
      <c r="AN1277" s="157" t="s">
        <v>1446</v>
      </c>
      <c r="AO1277" s="157" t="s">
        <v>3715</v>
      </c>
      <c r="AP1277" s="240" t="s">
        <v>5345</v>
      </c>
      <c r="AQ1277" s="157"/>
    </row>
    <row r="1278" spans="1:43" s="18" customFormat="1" x14ac:dyDescent="0.3">
      <c r="A1278" s="228" t="s">
        <v>1451</v>
      </c>
      <c r="B1278" s="18" t="s">
        <v>4838</v>
      </c>
      <c r="C1278" s="228" t="s">
        <v>5114</v>
      </c>
      <c r="D1278" s="18" t="s">
        <v>5115</v>
      </c>
      <c r="E1278" s="228" t="s">
        <v>5116</v>
      </c>
      <c r="F1278" s="18" t="s">
        <v>5117</v>
      </c>
      <c r="G1278" s="228" t="s">
        <v>5277</v>
      </c>
      <c r="H1278" s="18" t="s">
        <v>5278</v>
      </c>
      <c r="I1278" s="228" t="s">
        <v>5335</v>
      </c>
      <c r="J1278" s="18" t="s">
        <v>5336</v>
      </c>
      <c r="K1278" s="228" t="s">
        <v>5337</v>
      </c>
      <c r="L1278" s="18" t="s">
        <v>5338</v>
      </c>
      <c r="P1278" s="16"/>
      <c r="Q1278" s="16"/>
      <c r="R1278" s="16"/>
      <c r="S1278" s="16"/>
      <c r="U1278" s="283" t="e">
        <v>#N/A</v>
      </c>
      <c r="V1278" s="18" t="s">
        <v>5343</v>
      </c>
      <c r="W1278" s="18">
        <v>1</v>
      </c>
      <c r="X1278" s="18">
        <v>1</v>
      </c>
      <c r="Y1278" s="18">
        <v>0</v>
      </c>
      <c r="Z1278" s="18">
        <v>1</v>
      </c>
      <c r="AA1278" s="18">
        <v>1</v>
      </c>
      <c r="AB1278" s="18">
        <v>1</v>
      </c>
      <c r="AC1278" s="316">
        <v>0</v>
      </c>
      <c r="AD1278" s="316">
        <v>1</v>
      </c>
      <c r="AE1278" s="302">
        <f t="shared" si="54"/>
        <v>0.75</v>
      </c>
      <c r="AF1278" s="176">
        <v>0</v>
      </c>
      <c r="AG1278" s="17">
        <v>0</v>
      </c>
      <c r="AH1278" s="176">
        <v>0.7</v>
      </c>
      <c r="AI1278" s="239">
        <v>0.7</v>
      </c>
      <c r="AJ1278" s="239">
        <v>0.7</v>
      </c>
      <c r="AK1278" s="177">
        <v>0.7</v>
      </c>
      <c r="AL1278" s="238">
        <v>0.7</v>
      </c>
      <c r="AM1278" s="147">
        <f t="shared" si="53"/>
        <v>1.4</v>
      </c>
      <c r="AN1278" s="157" t="s">
        <v>1581</v>
      </c>
      <c r="AO1278" s="157" t="s">
        <v>1583</v>
      </c>
      <c r="AP1278" s="240" t="s">
        <v>5346</v>
      </c>
      <c r="AQ1278" s="157"/>
    </row>
    <row r="1279" spans="1:43" s="18" customFormat="1" x14ac:dyDescent="0.3">
      <c r="A1279" s="228" t="s">
        <v>1451</v>
      </c>
      <c r="B1279" s="18" t="s">
        <v>4838</v>
      </c>
      <c r="C1279" s="228" t="s">
        <v>5114</v>
      </c>
      <c r="D1279" s="18" t="s">
        <v>5150</v>
      </c>
      <c r="E1279" s="228" t="s">
        <v>5116</v>
      </c>
      <c r="F1279" s="18" t="s">
        <v>5117</v>
      </c>
      <c r="G1279" s="228" t="s">
        <v>5277</v>
      </c>
      <c r="H1279" s="18" t="s">
        <v>5278</v>
      </c>
      <c r="I1279" s="228" t="s">
        <v>5335</v>
      </c>
      <c r="J1279" s="18" t="s">
        <v>5336</v>
      </c>
      <c r="K1279" s="228" t="s">
        <v>5347</v>
      </c>
      <c r="L1279" s="18" t="s">
        <v>5348</v>
      </c>
      <c r="M1279" s="18" t="s">
        <v>5349</v>
      </c>
      <c r="N1279" s="18">
        <v>13</v>
      </c>
      <c r="O1279" s="18">
        <v>14</v>
      </c>
      <c r="P1279" s="16">
        <v>14</v>
      </c>
      <c r="Q1279" s="16">
        <v>16</v>
      </c>
      <c r="R1279" s="16">
        <v>20</v>
      </c>
      <c r="S1279" s="16">
        <v>22</v>
      </c>
      <c r="T1279" s="18" t="s">
        <v>1132</v>
      </c>
      <c r="U1279" s="283" t="s">
        <v>3739</v>
      </c>
      <c r="V1279" s="18" t="s">
        <v>5350</v>
      </c>
      <c r="W1279" s="18">
        <v>1</v>
      </c>
      <c r="X1279" s="18">
        <v>1</v>
      </c>
      <c r="Y1279" s="18">
        <v>1</v>
      </c>
      <c r="Z1279" s="18">
        <v>1</v>
      </c>
      <c r="AA1279" s="18">
        <v>1</v>
      </c>
      <c r="AB1279" s="18">
        <v>0</v>
      </c>
      <c r="AC1279" s="316">
        <v>0</v>
      </c>
      <c r="AD1279" s="316">
        <v>1</v>
      </c>
      <c r="AE1279" s="302">
        <f t="shared" si="54"/>
        <v>0.75</v>
      </c>
      <c r="AF1279" s="176">
        <v>0</v>
      </c>
      <c r="AG1279" s="17">
        <v>0</v>
      </c>
      <c r="AH1279" s="176">
        <v>0.8</v>
      </c>
      <c r="AI1279" s="239">
        <v>1.2</v>
      </c>
      <c r="AJ1279" s="239">
        <v>1.2</v>
      </c>
      <c r="AK1279" s="177">
        <v>2</v>
      </c>
      <c r="AL1279" s="238">
        <v>2</v>
      </c>
      <c r="AM1279" s="147">
        <f t="shared" si="53"/>
        <v>4</v>
      </c>
      <c r="AN1279" s="157" t="s">
        <v>1132</v>
      </c>
      <c r="AO1279" s="157" t="s">
        <v>1134</v>
      </c>
      <c r="AP1279" s="240"/>
      <c r="AQ1279" s="157"/>
    </row>
    <row r="1280" spans="1:43" s="18" customFormat="1" x14ac:dyDescent="0.3">
      <c r="A1280" s="228" t="s">
        <v>1451</v>
      </c>
      <c r="B1280" s="18" t="s">
        <v>4838</v>
      </c>
      <c r="C1280" s="228" t="s">
        <v>4841</v>
      </c>
      <c r="D1280" s="18" t="s">
        <v>2439</v>
      </c>
      <c r="E1280" s="228" t="s">
        <v>5351</v>
      </c>
      <c r="F1280" s="18" t="s">
        <v>5352</v>
      </c>
      <c r="G1280" s="228" t="s">
        <v>5353</v>
      </c>
      <c r="H1280" s="18" t="s">
        <v>5354</v>
      </c>
      <c r="K1280" s="228" t="s">
        <v>5355</v>
      </c>
      <c r="L1280" s="18" t="s">
        <v>5356</v>
      </c>
      <c r="M1280" s="18" t="s">
        <v>5357</v>
      </c>
      <c r="N1280" s="18">
        <v>0.57999999999999996</v>
      </c>
      <c r="O1280" s="18">
        <v>0.6</v>
      </c>
      <c r="P1280" s="16">
        <v>0.65</v>
      </c>
      <c r="Q1280" s="16">
        <v>0.7</v>
      </c>
      <c r="R1280" s="16">
        <v>0.75</v>
      </c>
      <c r="S1280" s="16">
        <v>0.8</v>
      </c>
      <c r="T1280" s="18" t="s">
        <v>1452</v>
      </c>
      <c r="U1280" s="283" t="s">
        <v>5363</v>
      </c>
      <c r="V1280" s="18" t="s">
        <v>5358</v>
      </c>
      <c r="W1280" s="18">
        <v>1</v>
      </c>
      <c r="X1280" s="18">
        <v>1</v>
      </c>
      <c r="Y1280" s="18">
        <v>1</v>
      </c>
      <c r="Z1280" s="18">
        <v>1</v>
      </c>
      <c r="AA1280" s="18">
        <v>1</v>
      </c>
      <c r="AB1280" s="18">
        <v>1</v>
      </c>
      <c r="AC1280" s="316">
        <v>1</v>
      </c>
      <c r="AD1280" s="316">
        <v>1</v>
      </c>
      <c r="AE1280" s="302">
        <f t="shared" si="54"/>
        <v>1</v>
      </c>
      <c r="AF1280" s="176">
        <v>1</v>
      </c>
      <c r="AG1280" s="17">
        <v>0</v>
      </c>
      <c r="AH1280" s="176">
        <v>2</v>
      </c>
      <c r="AI1280" s="239">
        <v>2</v>
      </c>
      <c r="AJ1280" s="239">
        <v>1</v>
      </c>
      <c r="AK1280" s="238">
        <v>1</v>
      </c>
      <c r="AL1280" s="238" t="s">
        <v>2526</v>
      </c>
      <c r="AM1280" s="147">
        <f t="shared" si="53"/>
        <v>1</v>
      </c>
      <c r="AN1280" s="157" t="s">
        <v>921</v>
      </c>
      <c r="AO1280" s="157" t="s">
        <v>880</v>
      </c>
      <c r="AP1280" s="240" t="s">
        <v>5359</v>
      </c>
      <c r="AQ1280" s="157"/>
    </row>
    <row r="1281" spans="1:43" s="18" customFormat="1" x14ac:dyDescent="0.3">
      <c r="A1281" s="228" t="s">
        <v>1451</v>
      </c>
      <c r="B1281" s="18" t="s">
        <v>4838</v>
      </c>
      <c r="C1281" s="228" t="s">
        <v>4841</v>
      </c>
      <c r="D1281" s="18" t="s">
        <v>2439</v>
      </c>
      <c r="E1281" s="228" t="s">
        <v>5351</v>
      </c>
      <c r="F1281" s="18" t="s">
        <v>5352</v>
      </c>
      <c r="G1281" s="228" t="s">
        <v>5353</v>
      </c>
      <c r="H1281" s="18" t="s">
        <v>5354</v>
      </c>
      <c r="K1281" s="228" t="s">
        <v>5355</v>
      </c>
      <c r="L1281" s="18" t="s">
        <v>5356</v>
      </c>
      <c r="M1281" s="18" t="s">
        <v>5360</v>
      </c>
      <c r="N1281" s="18">
        <v>0</v>
      </c>
      <c r="O1281" s="18">
        <v>0</v>
      </c>
      <c r="P1281" s="16">
        <v>10</v>
      </c>
      <c r="Q1281" s="16">
        <v>10</v>
      </c>
      <c r="R1281" s="16">
        <v>10</v>
      </c>
      <c r="S1281" s="16">
        <v>10</v>
      </c>
      <c r="T1281" s="18" t="s">
        <v>321</v>
      </c>
      <c r="U1281" s="283" t="s">
        <v>1066</v>
      </c>
      <c r="V1281" s="18" t="s">
        <v>5361</v>
      </c>
      <c r="W1281" s="18">
        <v>0</v>
      </c>
      <c r="X1281" s="18">
        <v>0</v>
      </c>
      <c r="Y1281" s="18">
        <v>0</v>
      </c>
      <c r="Z1281" s="18">
        <v>0</v>
      </c>
      <c r="AA1281" s="18">
        <v>0</v>
      </c>
      <c r="AB1281" s="18">
        <v>0</v>
      </c>
      <c r="AC1281" s="316">
        <v>0</v>
      </c>
      <c r="AD1281" s="316">
        <v>0</v>
      </c>
      <c r="AE1281" s="302">
        <f t="shared" si="54"/>
        <v>0</v>
      </c>
      <c r="AF1281" s="176"/>
      <c r="AG1281" s="17">
        <v>0</v>
      </c>
      <c r="AH1281" s="176" t="s">
        <v>2526</v>
      </c>
      <c r="AI1281" s="239">
        <v>0</v>
      </c>
      <c r="AJ1281" s="239">
        <v>0</v>
      </c>
      <c r="AK1281" s="238">
        <v>0</v>
      </c>
      <c r="AL1281" s="238" t="s">
        <v>2526</v>
      </c>
      <c r="AM1281" s="147">
        <f t="shared" si="53"/>
        <v>0</v>
      </c>
      <c r="AN1281" s="157" t="s">
        <v>921</v>
      </c>
      <c r="AO1281" s="157" t="s">
        <v>880</v>
      </c>
      <c r="AP1281" s="240" t="s">
        <v>119</v>
      </c>
      <c r="AQ1281" s="157"/>
    </row>
    <row r="1282" spans="1:43" s="18" customFormat="1" x14ac:dyDescent="0.3">
      <c r="A1282" s="228" t="s">
        <v>1451</v>
      </c>
      <c r="B1282" s="18" t="s">
        <v>4838</v>
      </c>
      <c r="C1282" s="228" t="s">
        <v>4841</v>
      </c>
      <c r="D1282" s="18" t="s">
        <v>2439</v>
      </c>
      <c r="E1282" s="228" t="s">
        <v>5351</v>
      </c>
      <c r="F1282" s="18" t="s">
        <v>5352</v>
      </c>
      <c r="G1282" s="228" t="s">
        <v>5353</v>
      </c>
      <c r="H1282" s="18" t="s">
        <v>5354</v>
      </c>
      <c r="K1282" s="228" t="s">
        <v>5355</v>
      </c>
      <c r="L1282" s="18" t="s">
        <v>5356</v>
      </c>
      <c r="P1282" s="16"/>
      <c r="Q1282" s="16"/>
      <c r="R1282" s="16"/>
      <c r="S1282" s="16"/>
      <c r="U1282" s="283" t="e">
        <v>#N/A</v>
      </c>
      <c r="V1282" s="18" t="s">
        <v>5362</v>
      </c>
      <c r="W1282" s="18">
        <v>1</v>
      </c>
      <c r="X1282" s="18">
        <v>1</v>
      </c>
      <c r="Y1282" s="18">
        <v>1</v>
      </c>
      <c r="Z1282" s="18">
        <v>1</v>
      </c>
      <c r="AA1282" s="18">
        <v>1</v>
      </c>
      <c r="AB1282" s="18">
        <v>1</v>
      </c>
      <c r="AC1282" s="316">
        <v>1</v>
      </c>
      <c r="AD1282" s="316">
        <v>1</v>
      </c>
      <c r="AE1282" s="302">
        <f t="shared" si="54"/>
        <v>1</v>
      </c>
      <c r="AF1282" s="176">
        <v>0</v>
      </c>
      <c r="AG1282" s="17">
        <v>0</v>
      </c>
      <c r="AH1282" s="176">
        <v>0.5</v>
      </c>
      <c r="AI1282" s="239">
        <v>0.5</v>
      </c>
      <c r="AJ1282" s="239">
        <v>0.5</v>
      </c>
      <c r="AK1282" s="238">
        <v>0.5</v>
      </c>
      <c r="AL1282" s="238">
        <v>0.5</v>
      </c>
      <c r="AM1282" s="147">
        <f t="shared" si="53"/>
        <v>1</v>
      </c>
      <c r="AN1282" s="157" t="s">
        <v>1452</v>
      </c>
      <c r="AO1282" s="157" t="s">
        <v>5363</v>
      </c>
      <c r="AP1282" s="240" t="s">
        <v>5364</v>
      </c>
      <c r="AQ1282" s="157"/>
    </row>
    <row r="1283" spans="1:43" s="18" customFormat="1" x14ac:dyDescent="0.3">
      <c r="A1283" s="228" t="s">
        <v>1451</v>
      </c>
      <c r="B1283" s="18" t="s">
        <v>4838</v>
      </c>
      <c r="C1283" s="228" t="s">
        <v>4841</v>
      </c>
      <c r="D1283" s="18" t="s">
        <v>2439</v>
      </c>
      <c r="E1283" s="228" t="s">
        <v>5351</v>
      </c>
      <c r="F1283" s="18" t="s">
        <v>5352</v>
      </c>
      <c r="G1283" s="228" t="s">
        <v>5353</v>
      </c>
      <c r="H1283" s="18" t="s">
        <v>5354</v>
      </c>
      <c r="K1283" s="228" t="s">
        <v>5355</v>
      </c>
      <c r="L1283" s="18" t="s">
        <v>5356</v>
      </c>
      <c r="P1283" s="16"/>
      <c r="Q1283" s="16"/>
      <c r="R1283" s="16"/>
      <c r="S1283" s="16"/>
      <c r="U1283" s="283" t="e">
        <v>#N/A</v>
      </c>
      <c r="V1283" s="18" t="s">
        <v>5365</v>
      </c>
      <c r="W1283" s="18">
        <v>0</v>
      </c>
      <c r="X1283" s="18">
        <v>0</v>
      </c>
      <c r="Y1283" s="18">
        <v>0</v>
      </c>
      <c r="Z1283" s="18">
        <v>0</v>
      </c>
      <c r="AA1283" s="18">
        <v>0</v>
      </c>
      <c r="AB1283" s="18">
        <v>0</v>
      </c>
      <c r="AC1283" s="18">
        <v>0</v>
      </c>
      <c r="AD1283" s="18">
        <v>0</v>
      </c>
      <c r="AE1283" s="302">
        <f t="shared" si="54"/>
        <v>0</v>
      </c>
      <c r="AF1283" s="176">
        <v>0</v>
      </c>
      <c r="AG1283" s="17">
        <v>0</v>
      </c>
      <c r="AH1283" s="176" t="s">
        <v>2526</v>
      </c>
      <c r="AI1283" s="239" t="s">
        <v>2526</v>
      </c>
      <c r="AJ1283" s="239" t="s">
        <v>2526</v>
      </c>
      <c r="AK1283" s="238" t="s">
        <v>2526</v>
      </c>
      <c r="AL1283" s="238" t="s">
        <v>2526</v>
      </c>
      <c r="AM1283" s="147">
        <f t="shared" si="53"/>
        <v>0</v>
      </c>
      <c r="AN1283" s="157" t="s">
        <v>265</v>
      </c>
      <c r="AO1283" s="157" t="s">
        <v>350</v>
      </c>
      <c r="AP1283" s="240" t="s">
        <v>119</v>
      </c>
      <c r="AQ1283" s="157"/>
    </row>
    <row r="1284" spans="1:43" s="18" customFormat="1" x14ac:dyDescent="0.3">
      <c r="A1284" s="228" t="s">
        <v>1451</v>
      </c>
      <c r="B1284" s="18" t="s">
        <v>4838</v>
      </c>
      <c r="C1284" s="228" t="s">
        <v>4841</v>
      </c>
      <c r="D1284" s="18" t="s">
        <v>2439</v>
      </c>
      <c r="E1284" s="228" t="s">
        <v>5351</v>
      </c>
      <c r="F1284" s="18" t="s">
        <v>5352</v>
      </c>
      <c r="G1284" s="228" t="s">
        <v>5353</v>
      </c>
      <c r="H1284" s="18" t="s">
        <v>5354</v>
      </c>
      <c r="K1284" s="228" t="s">
        <v>5355</v>
      </c>
      <c r="L1284" s="18" t="s">
        <v>5356</v>
      </c>
      <c r="P1284" s="16"/>
      <c r="Q1284" s="16"/>
      <c r="R1284" s="16"/>
      <c r="S1284" s="16"/>
      <c r="U1284" s="283" t="e">
        <v>#N/A</v>
      </c>
      <c r="V1284" s="18" t="s">
        <v>5366</v>
      </c>
      <c r="W1284" s="18">
        <v>0</v>
      </c>
      <c r="X1284" s="18">
        <v>0</v>
      </c>
      <c r="Y1284" s="18">
        <v>0</v>
      </c>
      <c r="Z1284" s="18">
        <v>0</v>
      </c>
      <c r="AA1284" s="18">
        <v>0</v>
      </c>
      <c r="AB1284" s="18">
        <v>0</v>
      </c>
      <c r="AC1284" s="18">
        <v>0</v>
      </c>
      <c r="AD1284" s="18">
        <v>0</v>
      </c>
      <c r="AE1284" s="302">
        <f t="shared" si="54"/>
        <v>0</v>
      </c>
      <c r="AF1284" s="176">
        <v>0</v>
      </c>
      <c r="AG1284" s="17">
        <v>0</v>
      </c>
      <c r="AH1284" s="176">
        <v>0.2</v>
      </c>
      <c r="AI1284" s="239">
        <v>0.2</v>
      </c>
      <c r="AJ1284" s="239">
        <v>0.2</v>
      </c>
      <c r="AK1284" s="238">
        <v>0</v>
      </c>
      <c r="AL1284" s="238">
        <v>0</v>
      </c>
      <c r="AM1284" s="147">
        <f t="shared" si="53"/>
        <v>0</v>
      </c>
      <c r="AN1284" s="157" t="s">
        <v>321</v>
      </c>
      <c r="AO1284" s="157" t="s">
        <v>1066</v>
      </c>
      <c r="AP1284" s="240" t="s">
        <v>1452</v>
      </c>
      <c r="AQ1284" s="157"/>
    </row>
    <row r="1285" spans="1:43" s="18" customFormat="1" x14ac:dyDescent="0.3">
      <c r="A1285" s="228" t="s">
        <v>1451</v>
      </c>
      <c r="B1285" s="18" t="s">
        <v>4838</v>
      </c>
      <c r="C1285" s="228" t="s">
        <v>4841</v>
      </c>
      <c r="D1285" s="18" t="s">
        <v>2439</v>
      </c>
      <c r="E1285" s="228" t="s">
        <v>5351</v>
      </c>
      <c r="F1285" s="18" t="s">
        <v>5352</v>
      </c>
      <c r="G1285" s="228" t="s">
        <v>5353</v>
      </c>
      <c r="H1285" s="18" t="s">
        <v>5354</v>
      </c>
      <c r="K1285" s="228" t="s">
        <v>5355</v>
      </c>
      <c r="L1285" s="18" t="s">
        <v>5356</v>
      </c>
      <c r="P1285" s="16"/>
      <c r="Q1285" s="16"/>
      <c r="R1285" s="16"/>
      <c r="S1285" s="16"/>
      <c r="U1285" s="283" t="e">
        <v>#N/A</v>
      </c>
      <c r="V1285" s="18" t="s">
        <v>5367</v>
      </c>
      <c r="W1285" s="18">
        <v>0</v>
      </c>
      <c r="X1285" s="18">
        <v>0</v>
      </c>
      <c r="Y1285" s="18">
        <v>0</v>
      </c>
      <c r="Z1285" s="18">
        <v>0</v>
      </c>
      <c r="AA1285" s="18">
        <v>0</v>
      </c>
      <c r="AB1285" s="18">
        <v>0</v>
      </c>
      <c r="AC1285" s="18">
        <v>0</v>
      </c>
      <c r="AD1285" s="18">
        <v>0</v>
      </c>
      <c r="AE1285" s="302">
        <f t="shared" si="54"/>
        <v>0</v>
      </c>
      <c r="AF1285" s="176">
        <v>0</v>
      </c>
      <c r="AG1285" s="17">
        <v>0</v>
      </c>
      <c r="AH1285" s="176">
        <v>0</v>
      </c>
      <c r="AI1285" s="239">
        <v>0</v>
      </c>
      <c r="AJ1285" s="239">
        <v>0</v>
      </c>
      <c r="AK1285" s="238">
        <v>0</v>
      </c>
      <c r="AL1285" s="238">
        <v>0</v>
      </c>
      <c r="AM1285" s="147">
        <f t="shared" si="53"/>
        <v>0</v>
      </c>
      <c r="AN1285" s="157" t="s">
        <v>321</v>
      </c>
      <c r="AO1285" s="157" t="s">
        <v>1066</v>
      </c>
      <c r="AP1285" s="240" t="s">
        <v>119</v>
      </c>
      <c r="AQ1285" s="157"/>
    </row>
    <row r="1286" spans="1:43" s="18" customFormat="1" x14ac:dyDescent="0.3">
      <c r="A1286" s="228" t="s">
        <v>1451</v>
      </c>
      <c r="B1286" s="18" t="s">
        <v>4838</v>
      </c>
      <c r="C1286" s="228" t="s">
        <v>4841</v>
      </c>
      <c r="D1286" s="18" t="s">
        <v>2439</v>
      </c>
      <c r="E1286" s="228" t="s">
        <v>5351</v>
      </c>
      <c r="F1286" s="18" t="s">
        <v>5352</v>
      </c>
      <c r="G1286" s="228" t="s">
        <v>5353</v>
      </c>
      <c r="H1286" s="18" t="s">
        <v>5354</v>
      </c>
      <c r="K1286" s="228" t="s">
        <v>5355</v>
      </c>
      <c r="L1286" s="18" t="s">
        <v>5356</v>
      </c>
      <c r="P1286" s="16"/>
      <c r="Q1286" s="16"/>
      <c r="R1286" s="16"/>
      <c r="S1286" s="16"/>
      <c r="U1286" s="283" t="e">
        <v>#N/A</v>
      </c>
      <c r="V1286" s="18" t="s">
        <v>5368</v>
      </c>
      <c r="W1286" s="18">
        <v>1</v>
      </c>
      <c r="X1286" s="18">
        <v>1</v>
      </c>
      <c r="Y1286" s="18">
        <v>1</v>
      </c>
      <c r="Z1286" s="18">
        <v>1</v>
      </c>
      <c r="AA1286" s="18">
        <v>1</v>
      </c>
      <c r="AB1286" s="18">
        <v>1</v>
      </c>
      <c r="AC1286" s="316">
        <v>1</v>
      </c>
      <c r="AD1286" s="316">
        <v>1</v>
      </c>
      <c r="AE1286" s="302">
        <f t="shared" si="54"/>
        <v>1</v>
      </c>
      <c r="AF1286" s="176">
        <v>0</v>
      </c>
      <c r="AG1286" s="17">
        <v>0</v>
      </c>
      <c r="AH1286" s="176">
        <v>1.5</v>
      </c>
      <c r="AI1286" s="239">
        <v>1.5</v>
      </c>
      <c r="AJ1286" s="239">
        <v>1.5</v>
      </c>
      <c r="AK1286" s="238">
        <v>1.5</v>
      </c>
      <c r="AL1286" s="238">
        <v>1.5</v>
      </c>
      <c r="AM1286" s="147">
        <f t="shared" si="53"/>
        <v>3</v>
      </c>
      <c r="AN1286" s="157" t="s">
        <v>321</v>
      </c>
      <c r="AO1286" s="157" t="s">
        <v>1066</v>
      </c>
      <c r="AP1286" s="240" t="s">
        <v>5369</v>
      </c>
      <c r="AQ1286" s="157"/>
    </row>
    <row r="1287" spans="1:43" s="18" customFormat="1" x14ac:dyDescent="0.3">
      <c r="A1287" s="228" t="s">
        <v>1451</v>
      </c>
      <c r="B1287" s="18" t="s">
        <v>4838</v>
      </c>
      <c r="C1287" s="228" t="s">
        <v>4841</v>
      </c>
      <c r="D1287" s="18" t="s">
        <v>2439</v>
      </c>
      <c r="E1287" s="228" t="s">
        <v>5351</v>
      </c>
      <c r="F1287" s="18" t="s">
        <v>5352</v>
      </c>
      <c r="G1287" s="228" t="s">
        <v>5353</v>
      </c>
      <c r="H1287" s="18" t="s">
        <v>5354</v>
      </c>
      <c r="K1287" s="228" t="s">
        <v>5355</v>
      </c>
      <c r="L1287" s="18" t="s">
        <v>5356</v>
      </c>
      <c r="P1287" s="16"/>
      <c r="Q1287" s="16"/>
      <c r="R1287" s="16"/>
      <c r="S1287" s="16"/>
      <c r="U1287" s="283" t="e">
        <v>#N/A</v>
      </c>
      <c r="V1287" s="18" t="s">
        <v>5370</v>
      </c>
      <c r="W1287" s="18">
        <v>1</v>
      </c>
      <c r="X1287" s="18">
        <v>1</v>
      </c>
      <c r="Y1287" s="18">
        <v>1</v>
      </c>
      <c r="Z1287" s="18">
        <v>1</v>
      </c>
      <c r="AA1287" s="18">
        <v>1</v>
      </c>
      <c r="AB1287" s="18">
        <v>1</v>
      </c>
      <c r="AC1287" s="18">
        <v>1</v>
      </c>
      <c r="AD1287" s="18">
        <v>1</v>
      </c>
      <c r="AE1287" s="302">
        <f t="shared" si="54"/>
        <v>1</v>
      </c>
      <c r="AF1287" s="176">
        <v>0</v>
      </c>
      <c r="AG1287" s="17">
        <v>0</v>
      </c>
      <c r="AH1287" s="176" t="s">
        <v>2526</v>
      </c>
      <c r="AI1287" s="239">
        <v>0.08</v>
      </c>
      <c r="AJ1287" s="239">
        <v>0.08</v>
      </c>
      <c r="AK1287" s="238">
        <v>0.08</v>
      </c>
      <c r="AL1287" s="238">
        <v>0.08</v>
      </c>
      <c r="AM1287" s="147">
        <f t="shared" si="53"/>
        <v>0.16</v>
      </c>
      <c r="AN1287" s="157" t="s">
        <v>879</v>
      </c>
      <c r="AO1287" s="157" t="s">
        <v>880</v>
      </c>
      <c r="AP1287" s="240" t="s">
        <v>5371</v>
      </c>
      <c r="AQ1287" s="157"/>
    </row>
    <row r="1288" spans="1:43" s="18" customFormat="1" x14ac:dyDescent="0.3">
      <c r="A1288" s="228" t="s">
        <v>1451</v>
      </c>
      <c r="B1288" s="18" t="s">
        <v>4838</v>
      </c>
      <c r="C1288" s="228" t="s">
        <v>4841</v>
      </c>
      <c r="D1288" s="18" t="s">
        <v>2439</v>
      </c>
      <c r="E1288" s="228" t="s">
        <v>5351</v>
      </c>
      <c r="F1288" s="18" t="s">
        <v>5352</v>
      </c>
      <c r="G1288" s="228" t="s">
        <v>5353</v>
      </c>
      <c r="H1288" s="18" t="s">
        <v>5354</v>
      </c>
      <c r="K1288" s="228" t="s">
        <v>5355</v>
      </c>
      <c r="L1288" s="18" t="s">
        <v>5356</v>
      </c>
      <c r="P1288" s="16"/>
      <c r="Q1288" s="16"/>
      <c r="R1288" s="16"/>
      <c r="S1288" s="16"/>
      <c r="U1288" s="283" t="e">
        <v>#N/A</v>
      </c>
      <c r="V1288" s="18" t="s">
        <v>5372</v>
      </c>
      <c r="W1288" s="18">
        <v>1</v>
      </c>
      <c r="X1288" s="18">
        <v>1</v>
      </c>
      <c r="Y1288" s="18">
        <v>1</v>
      </c>
      <c r="Z1288" s="18">
        <v>1</v>
      </c>
      <c r="AA1288" s="18">
        <v>1</v>
      </c>
      <c r="AB1288" s="18">
        <v>1</v>
      </c>
      <c r="AC1288" s="316">
        <v>1</v>
      </c>
      <c r="AD1288" s="316">
        <v>1</v>
      </c>
      <c r="AE1288" s="302">
        <f t="shared" si="54"/>
        <v>1</v>
      </c>
      <c r="AF1288" s="176">
        <v>1</v>
      </c>
      <c r="AG1288" s="17">
        <v>0</v>
      </c>
      <c r="AH1288" s="176">
        <v>0.46</v>
      </c>
      <c r="AI1288" s="239">
        <v>0.51</v>
      </c>
      <c r="AJ1288" s="239">
        <v>0.56000000000000005</v>
      </c>
      <c r="AK1288" s="238">
        <v>0.61</v>
      </c>
      <c r="AL1288" s="238">
        <v>0.67</v>
      </c>
      <c r="AM1288" s="147">
        <f t="shared" si="53"/>
        <v>1.28</v>
      </c>
      <c r="AN1288" s="157" t="s">
        <v>1452</v>
      </c>
      <c r="AO1288" s="157" t="s">
        <v>5363</v>
      </c>
      <c r="AP1288" s="240" t="s">
        <v>5373</v>
      </c>
      <c r="AQ1288" s="157"/>
    </row>
    <row r="1289" spans="1:43" s="18" customFormat="1" x14ac:dyDescent="0.3">
      <c r="A1289" s="228" t="s">
        <v>1451</v>
      </c>
      <c r="B1289" s="18" t="s">
        <v>4838</v>
      </c>
      <c r="C1289" s="228" t="s">
        <v>4841</v>
      </c>
      <c r="D1289" s="18" t="s">
        <v>2439</v>
      </c>
      <c r="E1289" s="228" t="s">
        <v>5351</v>
      </c>
      <c r="F1289" s="18" t="s">
        <v>5352</v>
      </c>
      <c r="G1289" s="228" t="s">
        <v>5353</v>
      </c>
      <c r="H1289" s="18" t="s">
        <v>5354</v>
      </c>
      <c r="K1289" s="228" t="s">
        <v>5355</v>
      </c>
      <c r="L1289" s="18" t="s">
        <v>5356</v>
      </c>
      <c r="P1289" s="16"/>
      <c r="Q1289" s="16"/>
      <c r="R1289" s="16"/>
      <c r="S1289" s="16"/>
      <c r="U1289" s="283" t="e">
        <v>#N/A</v>
      </c>
      <c r="V1289" s="18" t="s">
        <v>5374</v>
      </c>
      <c r="W1289" s="18">
        <v>1</v>
      </c>
      <c r="X1289" s="18">
        <v>1</v>
      </c>
      <c r="Y1289" s="18">
        <v>1</v>
      </c>
      <c r="Z1289" s="18">
        <v>0</v>
      </c>
      <c r="AA1289" s="18">
        <v>1</v>
      </c>
      <c r="AB1289" s="18">
        <v>1</v>
      </c>
      <c r="AC1289" s="316">
        <v>0</v>
      </c>
      <c r="AD1289" s="316">
        <v>1</v>
      </c>
      <c r="AE1289" s="302">
        <f t="shared" si="54"/>
        <v>0.75</v>
      </c>
      <c r="AF1289" s="176">
        <v>0</v>
      </c>
      <c r="AG1289" s="17">
        <v>0</v>
      </c>
      <c r="AH1289" s="176">
        <v>0.5</v>
      </c>
      <c r="AI1289" s="239">
        <v>0.5</v>
      </c>
      <c r="AJ1289" s="239">
        <v>0.5</v>
      </c>
      <c r="AK1289" s="238">
        <v>0.5</v>
      </c>
      <c r="AL1289" s="238">
        <v>0.5</v>
      </c>
      <c r="AM1289" s="147">
        <f t="shared" si="53"/>
        <v>1</v>
      </c>
      <c r="AN1289" s="157" t="s">
        <v>771</v>
      </c>
      <c r="AO1289" s="157" t="s">
        <v>773</v>
      </c>
      <c r="AP1289" s="240" t="s">
        <v>5375</v>
      </c>
      <c r="AQ1289" s="157"/>
    </row>
    <row r="1290" spans="1:43" s="18" customFormat="1" x14ac:dyDescent="0.3">
      <c r="A1290" s="228" t="s">
        <v>1451</v>
      </c>
      <c r="B1290" s="18" t="s">
        <v>4838</v>
      </c>
      <c r="C1290" s="228" t="s">
        <v>4841</v>
      </c>
      <c r="D1290" s="18" t="s">
        <v>2439</v>
      </c>
      <c r="E1290" s="228" t="s">
        <v>5351</v>
      </c>
      <c r="F1290" s="18" t="s">
        <v>5352</v>
      </c>
      <c r="G1290" s="228" t="s">
        <v>5353</v>
      </c>
      <c r="H1290" s="18" t="s">
        <v>5354</v>
      </c>
      <c r="K1290" s="228" t="s">
        <v>5355</v>
      </c>
      <c r="L1290" s="18" t="s">
        <v>5356</v>
      </c>
      <c r="P1290" s="16"/>
      <c r="Q1290" s="16"/>
      <c r="R1290" s="16"/>
      <c r="S1290" s="16"/>
      <c r="U1290" s="283" t="e">
        <v>#N/A</v>
      </c>
      <c r="V1290" s="18" t="s">
        <v>5376</v>
      </c>
      <c r="W1290" s="18">
        <v>1</v>
      </c>
      <c r="X1290" s="18">
        <v>1</v>
      </c>
      <c r="Y1290" s="18">
        <v>0</v>
      </c>
      <c r="Z1290" s="18">
        <v>0</v>
      </c>
      <c r="AA1290" s="18">
        <v>0</v>
      </c>
      <c r="AB1290" s="18">
        <v>1</v>
      </c>
      <c r="AC1290" s="316">
        <v>0</v>
      </c>
      <c r="AD1290" s="316">
        <v>1</v>
      </c>
      <c r="AE1290" s="302">
        <f t="shared" si="54"/>
        <v>0.5</v>
      </c>
      <c r="AF1290" s="176">
        <v>0</v>
      </c>
      <c r="AG1290" s="17">
        <v>0</v>
      </c>
      <c r="AH1290" s="176">
        <v>0</v>
      </c>
      <c r="AI1290" s="239">
        <v>0</v>
      </c>
      <c r="AJ1290" s="239">
        <v>0</v>
      </c>
      <c r="AK1290" s="238">
        <v>0</v>
      </c>
      <c r="AL1290" s="238">
        <v>0</v>
      </c>
      <c r="AM1290" s="147">
        <f t="shared" si="53"/>
        <v>0</v>
      </c>
      <c r="AN1290" s="157" t="s">
        <v>1452</v>
      </c>
      <c r="AO1290" s="157" t="s">
        <v>5363</v>
      </c>
      <c r="AP1290" s="240" t="s">
        <v>119</v>
      </c>
      <c r="AQ1290" s="157"/>
    </row>
    <row r="1291" spans="1:43" s="18" customFormat="1" x14ac:dyDescent="0.3">
      <c r="A1291" s="228" t="s">
        <v>1451</v>
      </c>
      <c r="B1291" s="18" t="s">
        <v>4838</v>
      </c>
      <c r="C1291" s="228" t="s">
        <v>4841</v>
      </c>
      <c r="D1291" s="18" t="s">
        <v>2439</v>
      </c>
      <c r="E1291" s="228" t="s">
        <v>5351</v>
      </c>
      <c r="F1291" s="18" t="s">
        <v>5352</v>
      </c>
      <c r="G1291" s="228" t="s">
        <v>5353</v>
      </c>
      <c r="H1291" s="18" t="s">
        <v>5354</v>
      </c>
      <c r="K1291" s="228" t="s">
        <v>5355</v>
      </c>
      <c r="L1291" s="18" t="s">
        <v>5356</v>
      </c>
      <c r="P1291" s="16"/>
      <c r="Q1291" s="16"/>
      <c r="R1291" s="16"/>
      <c r="S1291" s="16"/>
      <c r="U1291" s="283" t="e">
        <v>#N/A</v>
      </c>
      <c r="V1291" s="18" t="s">
        <v>5377</v>
      </c>
      <c r="W1291" s="18">
        <v>0</v>
      </c>
      <c r="X1291" s="18">
        <v>0</v>
      </c>
      <c r="Y1291" s="18">
        <v>0</v>
      </c>
      <c r="Z1291" s="18">
        <v>0</v>
      </c>
      <c r="AA1291" s="18">
        <v>0</v>
      </c>
      <c r="AB1291" s="18">
        <v>0</v>
      </c>
      <c r="AC1291" s="18">
        <v>0</v>
      </c>
      <c r="AD1291" s="18">
        <v>0</v>
      </c>
      <c r="AE1291" s="302">
        <f t="shared" si="54"/>
        <v>0</v>
      </c>
      <c r="AF1291" s="176">
        <v>0</v>
      </c>
      <c r="AG1291" s="17">
        <v>0</v>
      </c>
      <c r="AH1291" s="176" t="s">
        <v>2526</v>
      </c>
      <c r="AI1291" s="239">
        <v>0.4</v>
      </c>
      <c r="AJ1291" s="239">
        <v>0</v>
      </c>
      <c r="AK1291" s="238" t="s">
        <v>2526</v>
      </c>
      <c r="AL1291" s="238" t="s">
        <v>2526</v>
      </c>
      <c r="AM1291" s="147">
        <f t="shared" si="53"/>
        <v>0</v>
      </c>
      <c r="AN1291" s="157" t="s">
        <v>771</v>
      </c>
      <c r="AO1291" s="157" t="s">
        <v>773</v>
      </c>
      <c r="AP1291" s="240" t="s">
        <v>5276</v>
      </c>
      <c r="AQ1291" s="157"/>
    </row>
    <row r="1292" spans="1:43" s="18" customFormat="1" x14ac:dyDescent="0.3">
      <c r="A1292" s="228" t="s">
        <v>1451</v>
      </c>
      <c r="B1292" s="18" t="s">
        <v>4838</v>
      </c>
      <c r="C1292" s="228" t="s">
        <v>4841</v>
      </c>
      <c r="D1292" s="18" t="s">
        <v>2439</v>
      </c>
      <c r="E1292" s="228" t="s">
        <v>5351</v>
      </c>
      <c r="F1292" s="18" t="s">
        <v>5352</v>
      </c>
      <c r="G1292" s="228" t="s">
        <v>5353</v>
      </c>
      <c r="H1292" s="18" t="s">
        <v>5354</v>
      </c>
      <c r="K1292" s="228" t="s">
        <v>5355</v>
      </c>
      <c r="L1292" s="18" t="s">
        <v>5356</v>
      </c>
      <c r="P1292" s="16"/>
      <c r="Q1292" s="16"/>
      <c r="R1292" s="16"/>
      <c r="S1292" s="16"/>
      <c r="U1292" s="283" t="e">
        <v>#N/A</v>
      </c>
      <c r="V1292" s="18" t="s">
        <v>5378</v>
      </c>
      <c r="W1292" s="18">
        <v>1</v>
      </c>
      <c r="X1292" s="18">
        <v>1</v>
      </c>
      <c r="Y1292" s="18">
        <v>0</v>
      </c>
      <c r="Z1292" s="18">
        <v>0</v>
      </c>
      <c r="AA1292" s="18">
        <v>0</v>
      </c>
      <c r="AB1292" s="18">
        <v>1</v>
      </c>
      <c r="AC1292" s="316">
        <v>1</v>
      </c>
      <c r="AD1292" s="316">
        <v>1</v>
      </c>
      <c r="AE1292" s="302">
        <f t="shared" si="54"/>
        <v>0.625</v>
      </c>
      <c r="AF1292" s="176">
        <v>0</v>
      </c>
      <c r="AG1292" s="17">
        <v>0</v>
      </c>
      <c r="AH1292" s="176" t="s">
        <v>2526</v>
      </c>
      <c r="AI1292" s="239" t="s">
        <v>2526</v>
      </c>
      <c r="AJ1292" s="239" t="s">
        <v>2526</v>
      </c>
      <c r="AK1292" s="238" t="s">
        <v>2526</v>
      </c>
      <c r="AL1292" s="238" t="s">
        <v>2526</v>
      </c>
      <c r="AM1292" s="147">
        <f t="shared" si="53"/>
        <v>0</v>
      </c>
      <c r="AN1292" s="157" t="s">
        <v>869</v>
      </c>
      <c r="AO1292" s="157" t="s">
        <v>871</v>
      </c>
      <c r="AP1292" s="240" t="s">
        <v>119</v>
      </c>
      <c r="AQ1292" s="157"/>
    </row>
    <row r="1293" spans="1:43" s="18" customFormat="1" x14ac:dyDescent="0.3">
      <c r="A1293" s="228" t="s">
        <v>1451</v>
      </c>
      <c r="B1293" s="18" t="s">
        <v>4838</v>
      </c>
      <c r="C1293" s="228" t="s">
        <v>4841</v>
      </c>
      <c r="D1293" s="18" t="s">
        <v>2439</v>
      </c>
      <c r="E1293" s="228" t="s">
        <v>5351</v>
      </c>
      <c r="F1293" s="18" t="s">
        <v>5352</v>
      </c>
      <c r="G1293" s="228" t="s">
        <v>5353</v>
      </c>
      <c r="H1293" s="18" t="s">
        <v>5354</v>
      </c>
      <c r="K1293" s="228" t="s">
        <v>5355</v>
      </c>
      <c r="L1293" s="18" t="s">
        <v>5356</v>
      </c>
      <c r="P1293" s="16"/>
      <c r="Q1293" s="16"/>
      <c r="R1293" s="16"/>
      <c r="S1293" s="16"/>
      <c r="U1293" s="283" t="e">
        <v>#N/A</v>
      </c>
      <c r="V1293" s="18" t="s">
        <v>5379</v>
      </c>
      <c r="W1293" s="18">
        <v>1</v>
      </c>
      <c r="X1293" s="18">
        <v>1</v>
      </c>
      <c r="Y1293" s="18">
        <v>1</v>
      </c>
      <c r="Z1293" s="18">
        <v>1</v>
      </c>
      <c r="AA1293" s="18">
        <v>1</v>
      </c>
      <c r="AB1293" s="18">
        <v>1</v>
      </c>
      <c r="AC1293" s="316">
        <v>1</v>
      </c>
      <c r="AD1293" s="316">
        <v>1</v>
      </c>
      <c r="AE1293" s="302">
        <f t="shared" si="54"/>
        <v>1</v>
      </c>
      <c r="AF1293" s="176">
        <v>0</v>
      </c>
      <c r="AG1293" s="17">
        <v>0</v>
      </c>
      <c r="AH1293" s="176" t="s">
        <v>2526</v>
      </c>
      <c r="AI1293" s="176">
        <v>0.1</v>
      </c>
      <c r="AJ1293" s="234">
        <v>0.1</v>
      </c>
      <c r="AK1293" s="235">
        <v>0.1</v>
      </c>
      <c r="AL1293" s="235">
        <v>0.1</v>
      </c>
      <c r="AM1293" s="147">
        <f t="shared" si="53"/>
        <v>0.2</v>
      </c>
      <c r="AN1293" s="236" t="s">
        <v>879</v>
      </c>
      <c r="AO1293" s="236" t="s">
        <v>880</v>
      </c>
      <c r="AP1293" s="228" t="s">
        <v>5380</v>
      </c>
    </row>
    <row r="1294" spans="1:43" s="18" customFormat="1" x14ac:dyDescent="0.3">
      <c r="A1294" s="228" t="s">
        <v>1451</v>
      </c>
      <c r="B1294" s="18" t="s">
        <v>4838</v>
      </c>
      <c r="C1294" s="228" t="s">
        <v>4841</v>
      </c>
      <c r="D1294" s="18" t="s">
        <v>2439</v>
      </c>
      <c r="E1294" s="228" t="s">
        <v>5351</v>
      </c>
      <c r="F1294" s="18" t="s">
        <v>5352</v>
      </c>
      <c r="G1294" s="228" t="s">
        <v>5353</v>
      </c>
      <c r="H1294" s="18" t="s">
        <v>5354</v>
      </c>
      <c r="K1294" s="228" t="s">
        <v>5355</v>
      </c>
      <c r="L1294" s="18" t="s">
        <v>5356</v>
      </c>
      <c r="P1294" s="16"/>
      <c r="Q1294" s="16"/>
      <c r="R1294" s="16"/>
      <c r="S1294" s="16"/>
      <c r="U1294" s="283" t="e">
        <v>#N/A</v>
      </c>
      <c r="V1294" s="18" t="s">
        <v>5381</v>
      </c>
      <c r="W1294" s="18">
        <v>0</v>
      </c>
      <c r="X1294" s="18">
        <v>0</v>
      </c>
      <c r="Y1294" s="18">
        <v>0</v>
      </c>
      <c r="Z1294" s="18">
        <v>1</v>
      </c>
      <c r="AA1294" s="18">
        <v>1</v>
      </c>
      <c r="AB1294" s="18">
        <v>0</v>
      </c>
      <c r="AC1294" s="316">
        <v>0</v>
      </c>
      <c r="AD1294" s="316">
        <v>1</v>
      </c>
      <c r="AE1294" s="302">
        <f t="shared" si="54"/>
        <v>0.375</v>
      </c>
      <c r="AF1294" s="176">
        <v>0</v>
      </c>
      <c r="AG1294" s="17">
        <v>0</v>
      </c>
      <c r="AH1294" s="176" t="s">
        <v>2526</v>
      </c>
      <c r="AI1294" s="239" t="s">
        <v>2526</v>
      </c>
      <c r="AJ1294" s="239" t="s">
        <v>2526</v>
      </c>
      <c r="AK1294" s="238" t="s">
        <v>2526</v>
      </c>
      <c r="AL1294" s="238" t="s">
        <v>2526</v>
      </c>
      <c r="AM1294" s="147">
        <f t="shared" si="53"/>
        <v>0</v>
      </c>
      <c r="AN1294" s="157" t="s">
        <v>921</v>
      </c>
      <c r="AO1294" s="157" t="s">
        <v>880</v>
      </c>
      <c r="AP1294" s="240" t="s">
        <v>119</v>
      </c>
      <c r="AQ1294" s="157"/>
    </row>
    <row r="1295" spans="1:43" s="18" customFormat="1" x14ac:dyDescent="0.3">
      <c r="A1295" s="228" t="s">
        <v>1451</v>
      </c>
      <c r="B1295" s="18" t="s">
        <v>4838</v>
      </c>
      <c r="C1295" s="228" t="s">
        <v>4841</v>
      </c>
      <c r="D1295" s="18" t="s">
        <v>2439</v>
      </c>
      <c r="E1295" s="228" t="s">
        <v>5351</v>
      </c>
      <c r="F1295" s="18" t="s">
        <v>5352</v>
      </c>
      <c r="G1295" s="228" t="s">
        <v>5382</v>
      </c>
      <c r="H1295" s="18" t="s">
        <v>5383</v>
      </c>
      <c r="K1295" s="228" t="s">
        <v>5384</v>
      </c>
      <c r="L1295" s="18" t="s">
        <v>5385</v>
      </c>
      <c r="M1295" s="18" t="s">
        <v>5386</v>
      </c>
      <c r="N1295" s="18" t="s">
        <v>5245</v>
      </c>
      <c r="O1295" s="18" t="s">
        <v>5245</v>
      </c>
      <c r="P1295" s="16" t="s">
        <v>5245</v>
      </c>
      <c r="Q1295" s="16" t="s">
        <v>5245</v>
      </c>
      <c r="R1295" s="16" t="s">
        <v>5245</v>
      </c>
      <c r="S1295" s="16" t="s">
        <v>5245</v>
      </c>
      <c r="T1295" s="18" t="s">
        <v>1191</v>
      </c>
      <c r="U1295" s="283" t="e">
        <v>#N/A</v>
      </c>
      <c r="V1295" s="18" t="s">
        <v>5387</v>
      </c>
      <c r="W1295" s="18">
        <v>0</v>
      </c>
      <c r="X1295" s="18">
        <v>0</v>
      </c>
      <c r="Y1295" s="18">
        <v>0</v>
      </c>
      <c r="Z1295" s="18">
        <v>0</v>
      </c>
      <c r="AA1295" s="18">
        <v>0</v>
      </c>
      <c r="AB1295" s="18">
        <v>0</v>
      </c>
      <c r="AC1295" s="18">
        <v>0</v>
      </c>
      <c r="AD1295" s="18">
        <v>0</v>
      </c>
      <c r="AE1295" s="302">
        <f t="shared" si="54"/>
        <v>0</v>
      </c>
      <c r="AF1295" s="176">
        <v>0</v>
      </c>
      <c r="AG1295" s="17">
        <v>0</v>
      </c>
      <c r="AH1295" s="176">
        <v>0</v>
      </c>
      <c r="AI1295" s="239">
        <v>0</v>
      </c>
      <c r="AJ1295" s="239">
        <v>0</v>
      </c>
      <c r="AK1295" s="238">
        <v>0</v>
      </c>
      <c r="AL1295" s="238">
        <v>0</v>
      </c>
      <c r="AM1295" s="147">
        <f t="shared" si="53"/>
        <v>0</v>
      </c>
      <c r="AN1295" s="157" t="s">
        <v>265</v>
      </c>
      <c r="AO1295" s="157" t="s">
        <v>350</v>
      </c>
      <c r="AP1295" s="240" t="s">
        <v>119</v>
      </c>
      <c r="AQ1295" s="157"/>
    </row>
    <row r="1296" spans="1:43" s="18" customFormat="1" x14ac:dyDescent="0.3">
      <c r="A1296" s="228" t="s">
        <v>1451</v>
      </c>
      <c r="B1296" s="18" t="s">
        <v>4838</v>
      </c>
      <c r="C1296" s="228" t="s">
        <v>4841</v>
      </c>
      <c r="D1296" s="18" t="s">
        <v>2439</v>
      </c>
      <c r="E1296" s="228" t="s">
        <v>5351</v>
      </c>
      <c r="F1296" s="18" t="s">
        <v>5352</v>
      </c>
      <c r="G1296" s="228" t="s">
        <v>5382</v>
      </c>
      <c r="H1296" s="18" t="s">
        <v>5383</v>
      </c>
      <c r="K1296" s="228" t="s">
        <v>5384</v>
      </c>
      <c r="L1296" s="18" t="s">
        <v>5385</v>
      </c>
      <c r="M1296" s="18" t="s">
        <v>5388</v>
      </c>
      <c r="N1296" s="18">
        <v>0</v>
      </c>
      <c r="O1296" s="18">
        <v>0</v>
      </c>
      <c r="P1296" s="16">
        <v>0</v>
      </c>
      <c r="Q1296" s="16" t="s">
        <v>5389</v>
      </c>
      <c r="R1296" s="16">
        <v>0</v>
      </c>
      <c r="S1296" s="16">
        <v>0</v>
      </c>
      <c r="T1296" s="18" t="s">
        <v>798</v>
      </c>
      <c r="U1296" s="283" t="s">
        <v>350</v>
      </c>
      <c r="V1296" s="18" t="s">
        <v>5390</v>
      </c>
      <c r="W1296" s="18">
        <v>1</v>
      </c>
      <c r="X1296" s="18">
        <v>1</v>
      </c>
      <c r="Y1296" s="18">
        <v>1</v>
      </c>
      <c r="Z1296" s="18">
        <v>1</v>
      </c>
      <c r="AA1296" s="18">
        <v>1</v>
      </c>
      <c r="AB1296" s="18">
        <v>1</v>
      </c>
      <c r="AC1296" s="316">
        <v>1</v>
      </c>
      <c r="AD1296" s="316">
        <v>1</v>
      </c>
      <c r="AE1296" s="302">
        <f t="shared" si="54"/>
        <v>1</v>
      </c>
      <c r="AF1296" s="176">
        <v>0</v>
      </c>
      <c r="AG1296" s="17">
        <v>0</v>
      </c>
      <c r="AH1296" s="176">
        <v>1</v>
      </c>
      <c r="AI1296" s="239">
        <v>1</v>
      </c>
      <c r="AJ1296" s="239">
        <v>1</v>
      </c>
      <c r="AK1296" s="238">
        <v>1</v>
      </c>
      <c r="AL1296" s="238">
        <v>1</v>
      </c>
      <c r="AM1296" s="147">
        <f t="shared" si="53"/>
        <v>2</v>
      </c>
      <c r="AN1296" s="157" t="s">
        <v>321</v>
      </c>
      <c r="AO1296" s="157" t="s">
        <v>1066</v>
      </c>
      <c r="AP1296" s="240" t="s">
        <v>5391</v>
      </c>
      <c r="AQ1296" s="157"/>
    </row>
    <row r="1297" spans="1:43" s="18" customFormat="1" x14ac:dyDescent="0.3">
      <c r="A1297" s="228" t="s">
        <v>1451</v>
      </c>
      <c r="B1297" s="18" t="s">
        <v>4838</v>
      </c>
      <c r="C1297" s="228" t="s">
        <v>4841</v>
      </c>
      <c r="D1297" s="18" t="s">
        <v>2439</v>
      </c>
      <c r="E1297" s="228" t="s">
        <v>5351</v>
      </c>
      <c r="F1297" s="18" t="s">
        <v>5352</v>
      </c>
      <c r="G1297" s="228" t="s">
        <v>5382</v>
      </c>
      <c r="H1297" s="18" t="s">
        <v>5383</v>
      </c>
      <c r="K1297" s="228" t="s">
        <v>5384</v>
      </c>
      <c r="L1297" s="18" t="s">
        <v>5385</v>
      </c>
      <c r="M1297" s="18" t="s">
        <v>5392</v>
      </c>
      <c r="N1297" s="18" t="s">
        <v>5245</v>
      </c>
      <c r="O1297" s="18">
        <v>100</v>
      </c>
      <c r="P1297" s="16">
        <v>100</v>
      </c>
      <c r="Q1297" s="16">
        <v>200</v>
      </c>
      <c r="R1297" s="16">
        <v>200</v>
      </c>
      <c r="S1297" s="16">
        <v>200</v>
      </c>
      <c r="T1297" s="283" t="s">
        <v>265</v>
      </c>
      <c r="U1297" s="283" t="s">
        <v>350</v>
      </c>
      <c r="V1297" s="18" t="s">
        <v>5393</v>
      </c>
      <c r="W1297" s="18">
        <v>1</v>
      </c>
      <c r="X1297" s="18">
        <v>1</v>
      </c>
      <c r="Y1297" s="18">
        <v>1</v>
      </c>
      <c r="Z1297" s="18">
        <v>0</v>
      </c>
      <c r="AA1297" s="18">
        <v>1</v>
      </c>
      <c r="AB1297" s="18">
        <v>1</v>
      </c>
      <c r="AC1297" s="18">
        <v>1</v>
      </c>
      <c r="AD1297" s="18">
        <v>1</v>
      </c>
      <c r="AE1297" s="302">
        <f t="shared" si="54"/>
        <v>0.875</v>
      </c>
      <c r="AF1297" s="176">
        <v>0</v>
      </c>
      <c r="AG1297" s="17">
        <v>0</v>
      </c>
      <c r="AH1297" s="176">
        <v>0.2</v>
      </c>
      <c r="AI1297" s="239">
        <v>0.3</v>
      </c>
      <c r="AJ1297" s="239">
        <v>0.3</v>
      </c>
      <c r="AK1297" s="238">
        <v>0.1</v>
      </c>
      <c r="AL1297" s="238" t="s">
        <v>2526</v>
      </c>
      <c r="AM1297" s="147">
        <f t="shared" si="53"/>
        <v>0.1</v>
      </c>
      <c r="AN1297" s="157" t="s">
        <v>921</v>
      </c>
      <c r="AO1297" s="157" t="s">
        <v>880</v>
      </c>
      <c r="AP1297" s="240" t="s">
        <v>5394</v>
      </c>
      <c r="AQ1297" s="157"/>
    </row>
    <row r="1298" spans="1:43" s="18" customFormat="1" x14ac:dyDescent="0.3">
      <c r="A1298" s="228" t="s">
        <v>1451</v>
      </c>
      <c r="B1298" s="18" t="s">
        <v>4838</v>
      </c>
      <c r="C1298" s="228" t="s">
        <v>4841</v>
      </c>
      <c r="D1298" s="18" t="s">
        <v>2439</v>
      </c>
      <c r="E1298" s="228" t="s">
        <v>5351</v>
      </c>
      <c r="F1298" s="18" t="s">
        <v>5352</v>
      </c>
      <c r="G1298" s="228" t="s">
        <v>5382</v>
      </c>
      <c r="H1298" s="18" t="s">
        <v>5383</v>
      </c>
      <c r="K1298" s="228" t="s">
        <v>5384</v>
      </c>
      <c r="L1298" s="18" t="s">
        <v>5385</v>
      </c>
      <c r="P1298" s="16"/>
      <c r="Q1298" s="16"/>
      <c r="R1298" s="16"/>
      <c r="S1298" s="16"/>
      <c r="U1298" s="283" t="e">
        <v>#N/A</v>
      </c>
      <c r="V1298" s="18" t="s">
        <v>5395</v>
      </c>
      <c r="W1298" s="18">
        <v>1</v>
      </c>
      <c r="X1298" s="18">
        <v>1</v>
      </c>
      <c r="Y1298" s="18">
        <v>1</v>
      </c>
      <c r="Z1298" s="18">
        <v>1</v>
      </c>
      <c r="AA1298" s="18">
        <v>0</v>
      </c>
      <c r="AB1298" s="18">
        <v>0</v>
      </c>
      <c r="AC1298" s="18">
        <v>1</v>
      </c>
      <c r="AD1298" s="18">
        <v>1</v>
      </c>
      <c r="AE1298" s="302">
        <f t="shared" si="54"/>
        <v>0.75</v>
      </c>
      <c r="AF1298" s="176">
        <v>0</v>
      </c>
      <c r="AG1298" s="17">
        <v>0</v>
      </c>
      <c r="AH1298" s="176" t="s">
        <v>2526</v>
      </c>
      <c r="AI1298" s="239" t="s">
        <v>2526</v>
      </c>
      <c r="AJ1298" s="239" t="s">
        <v>2526</v>
      </c>
      <c r="AK1298" s="238" t="s">
        <v>2526</v>
      </c>
      <c r="AL1298" s="238" t="s">
        <v>2526</v>
      </c>
      <c r="AM1298" s="147">
        <f t="shared" si="53"/>
        <v>0</v>
      </c>
      <c r="AN1298" s="157" t="s">
        <v>921</v>
      </c>
      <c r="AO1298" s="157" t="s">
        <v>880</v>
      </c>
      <c r="AP1298" s="240" t="s">
        <v>119</v>
      </c>
      <c r="AQ1298" s="157"/>
    </row>
    <row r="1299" spans="1:43" s="18" customFormat="1" x14ac:dyDescent="0.3">
      <c r="A1299" s="228" t="s">
        <v>1451</v>
      </c>
      <c r="B1299" s="18" t="s">
        <v>4838</v>
      </c>
      <c r="C1299" s="228" t="s">
        <v>4841</v>
      </c>
      <c r="D1299" s="18" t="s">
        <v>2439</v>
      </c>
      <c r="E1299" s="228" t="s">
        <v>5351</v>
      </c>
      <c r="F1299" s="18" t="s">
        <v>5352</v>
      </c>
      <c r="G1299" s="228" t="s">
        <v>5382</v>
      </c>
      <c r="H1299" s="18" t="s">
        <v>5383</v>
      </c>
      <c r="K1299" s="228" t="s">
        <v>5384</v>
      </c>
      <c r="L1299" s="18" t="s">
        <v>5385</v>
      </c>
      <c r="P1299" s="16"/>
      <c r="Q1299" s="16"/>
      <c r="R1299" s="16"/>
      <c r="S1299" s="16"/>
      <c r="U1299" s="283" t="e">
        <v>#N/A</v>
      </c>
      <c r="V1299" s="18" t="s">
        <v>5396</v>
      </c>
      <c r="W1299" s="18">
        <v>0</v>
      </c>
      <c r="X1299" s="18">
        <v>0</v>
      </c>
      <c r="Y1299" s="18">
        <v>0</v>
      </c>
      <c r="Z1299" s="18">
        <v>0</v>
      </c>
      <c r="AA1299" s="18">
        <v>0</v>
      </c>
      <c r="AB1299" s="18">
        <v>0</v>
      </c>
      <c r="AC1299" s="18">
        <v>0</v>
      </c>
      <c r="AD1299" s="18">
        <v>0</v>
      </c>
      <c r="AE1299" s="302">
        <f t="shared" si="54"/>
        <v>0</v>
      </c>
      <c r="AF1299" s="176">
        <v>0</v>
      </c>
      <c r="AG1299" s="17">
        <v>0</v>
      </c>
      <c r="AH1299" s="176" t="s">
        <v>2526</v>
      </c>
      <c r="AI1299" s="239" t="s">
        <v>2526</v>
      </c>
      <c r="AJ1299" s="239" t="s">
        <v>2526</v>
      </c>
      <c r="AK1299" s="177" t="s">
        <v>2526</v>
      </c>
      <c r="AL1299" s="238" t="s">
        <v>2526</v>
      </c>
      <c r="AM1299" s="147">
        <f t="shared" si="53"/>
        <v>0</v>
      </c>
      <c r="AN1299" s="157" t="s">
        <v>921</v>
      </c>
      <c r="AO1299" s="157" t="s">
        <v>880</v>
      </c>
      <c r="AP1299" s="240" t="s">
        <v>119</v>
      </c>
      <c r="AQ1299" s="157"/>
    </row>
    <row r="1300" spans="1:43" s="18" customFormat="1" x14ac:dyDescent="0.3">
      <c r="A1300" s="228" t="s">
        <v>1451</v>
      </c>
      <c r="B1300" s="18" t="s">
        <v>4838</v>
      </c>
      <c r="C1300" s="228" t="s">
        <v>4841</v>
      </c>
      <c r="D1300" s="18" t="s">
        <v>2439</v>
      </c>
      <c r="E1300" s="228" t="s">
        <v>5351</v>
      </c>
      <c r="F1300" s="18" t="s">
        <v>5352</v>
      </c>
      <c r="G1300" s="228" t="s">
        <v>5382</v>
      </c>
      <c r="H1300" s="18" t="s">
        <v>5383</v>
      </c>
      <c r="K1300" s="228" t="s">
        <v>5384</v>
      </c>
      <c r="L1300" s="18" t="s">
        <v>5385</v>
      </c>
      <c r="P1300" s="16"/>
      <c r="Q1300" s="16"/>
      <c r="R1300" s="16"/>
      <c r="S1300" s="16"/>
      <c r="U1300" s="283" t="e">
        <v>#N/A</v>
      </c>
      <c r="V1300" s="18" t="s">
        <v>5397</v>
      </c>
      <c r="W1300" s="18">
        <v>1</v>
      </c>
      <c r="X1300" s="18">
        <v>0</v>
      </c>
      <c r="Y1300" s="18">
        <v>0</v>
      </c>
      <c r="Z1300" s="18">
        <v>1</v>
      </c>
      <c r="AA1300" s="18">
        <v>0</v>
      </c>
      <c r="AB1300" s="18">
        <v>1</v>
      </c>
      <c r="AC1300" s="18">
        <v>0</v>
      </c>
      <c r="AD1300" s="18">
        <v>1</v>
      </c>
      <c r="AE1300" s="302">
        <f t="shared" si="54"/>
        <v>0.5</v>
      </c>
      <c r="AF1300" s="176">
        <v>0</v>
      </c>
      <c r="AG1300" s="17">
        <v>0</v>
      </c>
      <c r="AH1300" s="176" t="s">
        <v>2526</v>
      </c>
      <c r="AI1300" s="239" t="s">
        <v>2526</v>
      </c>
      <c r="AJ1300" s="239" t="s">
        <v>2526</v>
      </c>
      <c r="AK1300" s="177" t="s">
        <v>2526</v>
      </c>
      <c r="AL1300" s="238" t="s">
        <v>2526</v>
      </c>
      <c r="AM1300" s="147">
        <f t="shared" si="53"/>
        <v>0</v>
      </c>
      <c r="AN1300" s="157" t="s">
        <v>921</v>
      </c>
      <c r="AO1300" s="157" t="s">
        <v>880</v>
      </c>
      <c r="AP1300" s="240" t="s">
        <v>119</v>
      </c>
      <c r="AQ1300" s="157"/>
    </row>
    <row r="1301" spans="1:43" s="18" customFormat="1" x14ac:dyDescent="0.3">
      <c r="A1301" s="228" t="s">
        <v>1451</v>
      </c>
      <c r="B1301" s="18" t="s">
        <v>4838</v>
      </c>
      <c r="C1301" s="228" t="s">
        <v>4841</v>
      </c>
      <c r="D1301" s="18" t="s">
        <v>2439</v>
      </c>
      <c r="E1301" s="228" t="s">
        <v>5351</v>
      </c>
      <c r="F1301" s="18" t="s">
        <v>5352</v>
      </c>
      <c r="G1301" s="228" t="s">
        <v>5382</v>
      </c>
      <c r="H1301" s="18" t="s">
        <v>5383</v>
      </c>
      <c r="K1301" s="228" t="s">
        <v>5384</v>
      </c>
      <c r="L1301" s="18" t="s">
        <v>5385</v>
      </c>
      <c r="P1301" s="16"/>
      <c r="Q1301" s="16"/>
      <c r="R1301" s="16"/>
      <c r="S1301" s="16"/>
      <c r="U1301" s="283" t="e">
        <v>#N/A</v>
      </c>
      <c r="V1301" s="18" t="s">
        <v>5398</v>
      </c>
      <c r="W1301" s="18">
        <v>1</v>
      </c>
      <c r="X1301" s="18">
        <v>0</v>
      </c>
      <c r="Y1301" s="18">
        <v>1</v>
      </c>
      <c r="Z1301" s="18">
        <v>1</v>
      </c>
      <c r="AA1301" s="18">
        <v>1</v>
      </c>
      <c r="AB1301" s="18">
        <v>1</v>
      </c>
      <c r="AC1301" s="316">
        <v>0</v>
      </c>
      <c r="AD1301" s="316">
        <v>1</v>
      </c>
      <c r="AE1301" s="302">
        <f t="shared" si="54"/>
        <v>0.75</v>
      </c>
      <c r="AF1301" s="176">
        <v>0</v>
      </c>
      <c r="AG1301" s="17">
        <v>0</v>
      </c>
      <c r="AH1301" s="176">
        <v>0.5</v>
      </c>
      <c r="AI1301" s="239">
        <v>0.5</v>
      </c>
      <c r="AJ1301" s="239">
        <v>0.5</v>
      </c>
      <c r="AK1301" s="238">
        <v>0.5</v>
      </c>
      <c r="AL1301" s="238">
        <v>0.5</v>
      </c>
      <c r="AM1301" s="147">
        <f t="shared" si="53"/>
        <v>1</v>
      </c>
      <c r="AN1301" s="157" t="s">
        <v>921</v>
      </c>
      <c r="AO1301" s="157" t="s">
        <v>880</v>
      </c>
      <c r="AP1301" s="240" t="s">
        <v>5399</v>
      </c>
      <c r="AQ1301" s="157"/>
    </row>
    <row r="1302" spans="1:43" s="18" customFormat="1" x14ac:dyDescent="0.3">
      <c r="A1302" s="228" t="s">
        <v>1451</v>
      </c>
      <c r="B1302" s="18" t="s">
        <v>4838</v>
      </c>
      <c r="C1302" s="228" t="s">
        <v>4841</v>
      </c>
      <c r="D1302" s="18" t="s">
        <v>2439</v>
      </c>
      <c r="E1302" s="228" t="s">
        <v>5351</v>
      </c>
      <c r="F1302" s="18" t="s">
        <v>5352</v>
      </c>
      <c r="G1302" s="228" t="s">
        <v>5382</v>
      </c>
      <c r="H1302" s="18" t="s">
        <v>5383</v>
      </c>
      <c r="K1302" s="228" t="s">
        <v>5384</v>
      </c>
      <c r="L1302" s="18" t="s">
        <v>5385</v>
      </c>
      <c r="P1302" s="16"/>
      <c r="Q1302" s="16"/>
      <c r="R1302" s="16"/>
      <c r="S1302" s="16"/>
      <c r="U1302" s="283" t="e">
        <v>#N/A</v>
      </c>
      <c r="V1302" s="18" t="s">
        <v>5400</v>
      </c>
      <c r="W1302" s="18">
        <v>1</v>
      </c>
      <c r="X1302" s="18">
        <v>0</v>
      </c>
      <c r="Y1302" s="18">
        <v>0</v>
      </c>
      <c r="Z1302" s="18">
        <v>1</v>
      </c>
      <c r="AA1302" s="18">
        <v>1</v>
      </c>
      <c r="AB1302" s="18">
        <v>1</v>
      </c>
      <c r="AC1302" s="316">
        <v>0</v>
      </c>
      <c r="AD1302" s="316">
        <v>1</v>
      </c>
      <c r="AE1302" s="302">
        <f t="shared" si="54"/>
        <v>0.625</v>
      </c>
      <c r="AF1302" s="176">
        <v>0</v>
      </c>
      <c r="AG1302" s="17">
        <v>0</v>
      </c>
      <c r="AH1302" s="176" t="s">
        <v>2526</v>
      </c>
      <c r="AI1302" s="239" t="s">
        <v>2526</v>
      </c>
      <c r="AJ1302" s="239" t="s">
        <v>2526</v>
      </c>
      <c r="AK1302" s="238" t="s">
        <v>2526</v>
      </c>
      <c r="AL1302" s="238" t="s">
        <v>2526</v>
      </c>
      <c r="AM1302" s="147">
        <f t="shared" ref="AM1302:AM1365" si="55">SUM(AK1302:AL1302)</f>
        <v>0</v>
      </c>
      <c r="AN1302" s="157" t="s">
        <v>1452</v>
      </c>
      <c r="AO1302" s="157" t="s">
        <v>5363</v>
      </c>
      <c r="AP1302" s="240" t="s">
        <v>119</v>
      </c>
      <c r="AQ1302" s="157"/>
    </row>
    <row r="1303" spans="1:43" s="18" customFormat="1" x14ac:dyDescent="0.3">
      <c r="A1303" s="228" t="s">
        <v>1451</v>
      </c>
      <c r="B1303" s="18" t="s">
        <v>4838</v>
      </c>
      <c r="C1303" s="228" t="s">
        <v>4841</v>
      </c>
      <c r="D1303" s="18" t="s">
        <v>2439</v>
      </c>
      <c r="E1303" s="228" t="s">
        <v>5351</v>
      </c>
      <c r="F1303" s="18" t="s">
        <v>5352</v>
      </c>
      <c r="G1303" s="228" t="s">
        <v>5382</v>
      </c>
      <c r="H1303" s="18" t="s">
        <v>5383</v>
      </c>
      <c r="K1303" s="228" t="s">
        <v>5384</v>
      </c>
      <c r="L1303" s="18" t="s">
        <v>5385</v>
      </c>
      <c r="P1303" s="16"/>
      <c r="Q1303" s="16"/>
      <c r="R1303" s="16"/>
      <c r="S1303" s="16"/>
      <c r="U1303" s="283" t="e">
        <v>#N/A</v>
      </c>
      <c r="V1303" s="18" t="s">
        <v>5401</v>
      </c>
      <c r="W1303" s="18">
        <v>0</v>
      </c>
      <c r="X1303" s="18">
        <v>0</v>
      </c>
      <c r="Y1303" s="18">
        <v>0</v>
      </c>
      <c r="Z1303" s="18">
        <v>0</v>
      </c>
      <c r="AA1303" s="18">
        <v>0</v>
      </c>
      <c r="AB1303" s="18">
        <v>0</v>
      </c>
      <c r="AC1303" s="18">
        <v>0</v>
      </c>
      <c r="AD1303" s="18">
        <v>0</v>
      </c>
      <c r="AE1303" s="302">
        <f t="shared" si="54"/>
        <v>0</v>
      </c>
      <c r="AF1303" s="176">
        <v>0</v>
      </c>
      <c r="AG1303" s="17">
        <v>0</v>
      </c>
      <c r="AH1303" s="176" t="s">
        <v>2526</v>
      </c>
      <c r="AI1303" s="239" t="s">
        <v>2526</v>
      </c>
      <c r="AJ1303" s="239" t="s">
        <v>2526</v>
      </c>
      <c r="AK1303" s="238" t="s">
        <v>2526</v>
      </c>
      <c r="AL1303" s="238" t="s">
        <v>2526</v>
      </c>
      <c r="AM1303" s="147">
        <f t="shared" si="55"/>
        <v>0</v>
      </c>
      <c r="AN1303" s="157" t="s">
        <v>921</v>
      </c>
      <c r="AO1303" s="157" t="s">
        <v>880</v>
      </c>
      <c r="AP1303" s="240" t="s">
        <v>119</v>
      </c>
      <c r="AQ1303" s="157"/>
    </row>
    <row r="1304" spans="1:43" s="18" customFormat="1" x14ac:dyDescent="0.3">
      <c r="A1304" s="228" t="s">
        <v>1451</v>
      </c>
      <c r="B1304" s="18" t="s">
        <v>4838</v>
      </c>
      <c r="C1304" s="228" t="s">
        <v>4841</v>
      </c>
      <c r="D1304" s="18" t="s">
        <v>2439</v>
      </c>
      <c r="E1304" s="228" t="s">
        <v>5351</v>
      </c>
      <c r="F1304" s="18" t="s">
        <v>5352</v>
      </c>
      <c r="G1304" s="228" t="s">
        <v>5402</v>
      </c>
      <c r="H1304" s="18" t="s">
        <v>5403</v>
      </c>
      <c r="K1304" s="233" t="s">
        <v>5404</v>
      </c>
      <c r="L1304" s="225" t="s">
        <v>5405</v>
      </c>
      <c r="M1304" s="162" t="s">
        <v>5406</v>
      </c>
      <c r="N1304" s="162">
        <v>0</v>
      </c>
      <c r="O1304" s="162">
        <v>1</v>
      </c>
      <c r="P1304" s="224" t="s">
        <v>271</v>
      </c>
      <c r="Q1304" s="224" t="s">
        <v>271</v>
      </c>
      <c r="R1304" s="224" t="s">
        <v>271</v>
      </c>
      <c r="S1304" s="224" t="s">
        <v>271</v>
      </c>
      <c r="T1304" s="223" t="s">
        <v>798</v>
      </c>
      <c r="U1304" s="283" t="s">
        <v>350</v>
      </c>
      <c r="V1304" s="18" t="s">
        <v>5407</v>
      </c>
      <c r="W1304" s="18">
        <v>0</v>
      </c>
      <c r="X1304" s="18">
        <v>0</v>
      </c>
      <c r="Y1304" s="18">
        <v>0</v>
      </c>
      <c r="Z1304" s="18">
        <v>0</v>
      </c>
      <c r="AA1304" s="18">
        <v>0</v>
      </c>
      <c r="AB1304" s="18">
        <v>0</v>
      </c>
      <c r="AC1304" s="18">
        <v>0</v>
      </c>
      <c r="AD1304" s="18">
        <v>0</v>
      </c>
      <c r="AE1304" s="302">
        <f t="shared" si="54"/>
        <v>0</v>
      </c>
      <c r="AF1304" s="176">
        <v>1</v>
      </c>
      <c r="AG1304" s="17">
        <v>0</v>
      </c>
      <c r="AH1304" s="176">
        <v>0</v>
      </c>
      <c r="AI1304" s="239">
        <v>0</v>
      </c>
      <c r="AJ1304" s="239">
        <v>10</v>
      </c>
      <c r="AK1304" s="238" t="s">
        <v>2526</v>
      </c>
      <c r="AL1304" s="238" t="s">
        <v>2526</v>
      </c>
      <c r="AM1304" s="147">
        <f t="shared" si="55"/>
        <v>0</v>
      </c>
      <c r="AN1304" s="157" t="s">
        <v>619</v>
      </c>
      <c r="AO1304" s="157" t="s">
        <v>350</v>
      </c>
      <c r="AP1304" s="240" t="s">
        <v>3574</v>
      </c>
      <c r="AQ1304" s="157"/>
    </row>
    <row r="1305" spans="1:43" s="18" customFormat="1" x14ac:dyDescent="0.3">
      <c r="A1305" s="228" t="s">
        <v>1451</v>
      </c>
      <c r="B1305" s="18" t="s">
        <v>4838</v>
      </c>
      <c r="C1305" s="228" t="s">
        <v>4841</v>
      </c>
      <c r="D1305" s="18" t="s">
        <v>2439</v>
      </c>
      <c r="E1305" s="228" t="s">
        <v>5351</v>
      </c>
      <c r="F1305" s="18" t="s">
        <v>5352</v>
      </c>
      <c r="G1305" s="228" t="s">
        <v>5408</v>
      </c>
      <c r="H1305" s="18" t="s">
        <v>5409</v>
      </c>
      <c r="K1305" s="228" t="s">
        <v>5410</v>
      </c>
      <c r="L1305" s="18" t="s">
        <v>5411</v>
      </c>
      <c r="M1305" s="18" t="s">
        <v>5412</v>
      </c>
      <c r="N1305" s="18">
        <v>0</v>
      </c>
      <c r="O1305" s="18">
        <v>0</v>
      </c>
      <c r="P1305" s="16">
        <v>0</v>
      </c>
      <c r="Q1305" s="16">
        <v>1</v>
      </c>
      <c r="R1305" s="16">
        <v>0</v>
      </c>
      <c r="S1305" s="16">
        <v>0</v>
      </c>
      <c r="T1305" s="18" t="s">
        <v>1191</v>
      </c>
      <c r="U1305" s="283" t="e">
        <v>#N/A</v>
      </c>
      <c r="V1305" s="18" t="s">
        <v>5413</v>
      </c>
      <c r="W1305" s="18">
        <v>0</v>
      </c>
      <c r="X1305" s="18">
        <v>0</v>
      </c>
      <c r="Y1305" s="18">
        <v>0</v>
      </c>
      <c r="Z1305" s="18">
        <v>1</v>
      </c>
      <c r="AA1305" s="18">
        <v>0</v>
      </c>
      <c r="AB1305" s="18">
        <v>0</v>
      </c>
      <c r="AC1305" s="18">
        <v>0</v>
      </c>
      <c r="AD1305" s="18">
        <v>0</v>
      </c>
      <c r="AE1305" s="302">
        <f t="shared" si="54"/>
        <v>0.125</v>
      </c>
      <c r="AF1305" s="176">
        <v>0</v>
      </c>
      <c r="AG1305" s="17">
        <v>0</v>
      </c>
      <c r="AH1305" s="176" t="s">
        <v>2526</v>
      </c>
      <c r="AI1305" s="239" t="s">
        <v>2526</v>
      </c>
      <c r="AJ1305" s="239" t="s">
        <v>2526</v>
      </c>
      <c r="AK1305" s="238" t="s">
        <v>2526</v>
      </c>
      <c r="AL1305" s="238" t="s">
        <v>2526</v>
      </c>
      <c r="AM1305" s="147">
        <f t="shared" si="55"/>
        <v>0</v>
      </c>
      <c r="AN1305" s="157" t="s">
        <v>921</v>
      </c>
      <c r="AO1305" s="157" t="s">
        <v>880</v>
      </c>
      <c r="AP1305" s="240" t="s">
        <v>119</v>
      </c>
      <c r="AQ1305" s="157"/>
    </row>
    <row r="1306" spans="1:43" s="18" customFormat="1" x14ac:dyDescent="0.3">
      <c r="A1306" s="228" t="s">
        <v>1451</v>
      </c>
      <c r="B1306" s="18" t="s">
        <v>4838</v>
      </c>
      <c r="C1306" s="228" t="s">
        <v>4841</v>
      </c>
      <c r="D1306" s="18" t="s">
        <v>2439</v>
      </c>
      <c r="E1306" s="228" t="s">
        <v>5351</v>
      </c>
      <c r="F1306" s="18" t="s">
        <v>5352</v>
      </c>
      <c r="G1306" s="228" t="s">
        <v>5408</v>
      </c>
      <c r="H1306" s="18" t="s">
        <v>5409</v>
      </c>
      <c r="K1306" s="228" t="s">
        <v>5410</v>
      </c>
      <c r="L1306" s="18" t="s">
        <v>5411</v>
      </c>
      <c r="P1306" s="16"/>
      <c r="Q1306" s="16"/>
      <c r="R1306" s="16"/>
      <c r="S1306" s="16"/>
      <c r="U1306" s="283" t="e">
        <v>#N/A</v>
      </c>
      <c r="V1306" s="18" t="s">
        <v>5414</v>
      </c>
      <c r="W1306" s="18">
        <v>0</v>
      </c>
      <c r="X1306" s="18">
        <v>0</v>
      </c>
      <c r="Y1306" s="18">
        <v>0</v>
      </c>
      <c r="Z1306" s="18">
        <v>0</v>
      </c>
      <c r="AA1306" s="18">
        <v>0</v>
      </c>
      <c r="AB1306" s="18">
        <v>0</v>
      </c>
      <c r="AC1306" s="18">
        <v>0</v>
      </c>
      <c r="AD1306" s="18">
        <v>0</v>
      </c>
      <c r="AE1306" s="302">
        <f t="shared" si="54"/>
        <v>0</v>
      </c>
      <c r="AF1306" s="176">
        <v>0</v>
      </c>
      <c r="AG1306" s="17">
        <v>0</v>
      </c>
      <c r="AH1306" s="176" t="s">
        <v>2526</v>
      </c>
      <c r="AI1306" s="239" t="s">
        <v>2526</v>
      </c>
      <c r="AJ1306" s="239" t="s">
        <v>2526</v>
      </c>
      <c r="AK1306" s="177" t="s">
        <v>2526</v>
      </c>
      <c r="AL1306" s="238" t="s">
        <v>2526</v>
      </c>
      <c r="AM1306" s="147">
        <f t="shared" si="55"/>
        <v>0</v>
      </c>
      <c r="AN1306" s="157" t="s">
        <v>265</v>
      </c>
      <c r="AO1306" s="157" t="s">
        <v>350</v>
      </c>
      <c r="AP1306" s="240" t="s">
        <v>119</v>
      </c>
      <c r="AQ1306" s="157"/>
    </row>
    <row r="1307" spans="1:43" s="18" customFormat="1" x14ac:dyDescent="0.3">
      <c r="A1307" s="228" t="s">
        <v>1451</v>
      </c>
      <c r="B1307" s="18" t="s">
        <v>4838</v>
      </c>
      <c r="C1307" s="228" t="s">
        <v>4841</v>
      </c>
      <c r="D1307" s="18" t="s">
        <v>2439</v>
      </c>
      <c r="E1307" s="228" t="s">
        <v>5351</v>
      </c>
      <c r="F1307" s="18" t="s">
        <v>5352</v>
      </c>
      <c r="G1307" s="228" t="s">
        <v>5408</v>
      </c>
      <c r="H1307" s="18" t="s">
        <v>5409</v>
      </c>
      <c r="K1307" s="228" t="s">
        <v>5410</v>
      </c>
      <c r="L1307" s="18" t="s">
        <v>5411</v>
      </c>
      <c r="P1307" s="16"/>
      <c r="Q1307" s="16"/>
      <c r="R1307" s="16"/>
      <c r="S1307" s="16"/>
      <c r="U1307" s="283" t="e">
        <v>#N/A</v>
      </c>
      <c r="V1307" s="18" t="s">
        <v>5415</v>
      </c>
      <c r="W1307" s="18">
        <v>0</v>
      </c>
      <c r="X1307" s="18">
        <v>0</v>
      </c>
      <c r="Y1307" s="18">
        <v>0</v>
      </c>
      <c r="Z1307" s="18">
        <v>0</v>
      </c>
      <c r="AA1307" s="18">
        <v>0</v>
      </c>
      <c r="AB1307" s="18">
        <v>0</v>
      </c>
      <c r="AC1307" s="18">
        <v>0</v>
      </c>
      <c r="AD1307" s="18">
        <v>0</v>
      </c>
      <c r="AE1307" s="302">
        <f t="shared" si="54"/>
        <v>0</v>
      </c>
      <c r="AF1307" s="176">
        <v>0</v>
      </c>
      <c r="AG1307" s="17">
        <v>0</v>
      </c>
      <c r="AH1307" s="176" t="s">
        <v>2526</v>
      </c>
      <c r="AI1307" s="239" t="s">
        <v>2526</v>
      </c>
      <c r="AJ1307" s="239" t="s">
        <v>2526</v>
      </c>
      <c r="AK1307" s="177" t="s">
        <v>2526</v>
      </c>
      <c r="AL1307" s="238" t="s">
        <v>2526</v>
      </c>
      <c r="AM1307" s="147">
        <f t="shared" si="55"/>
        <v>0</v>
      </c>
      <c r="AN1307" s="157" t="s">
        <v>265</v>
      </c>
      <c r="AO1307" s="157" t="s">
        <v>350</v>
      </c>
      <c r="AP1307" s="240" t="s">
        <v>119</v>
      </c>
      <c r="AQ1307" s="157"/>
    </row>
    <row r="1308" spans="1:43" s="18" customFormat="1" x14ac:dyDescent="0.3">
      <c r="A1308" s="228" t="s">
        <v>1451</v>
      </c>
      <c r="B1308" s="18" t="s">
        <v>4838</v>
      </c>
      <c r="C1308" s="228" t="s">
        <v>4841</v>
      </c>
      <c r="D1308" s="18" t="s">
        <v>2439</v>
      </c>
      <c r="E1308" s="228" t="s">
        <v>5416</v>
      </c>
      <c r="F1308" s="18" t="s">
        <v>5417</v>
      </c>
      <c r="G1308" s="228" t="s">
        <v>5418</v>
      </c>
      <c r="H1308" s="18" t="s">
        <v>5419</v>
      </c>
      <c r="K1308" s="228" t="s">
        <v>5420</v>
      </c>
      <c r="L1308" s="18" t="s">
        <v>5421</v>
      </c>
      <c r="M1308" s="18" t="s">
        <v>5422</v>
      </c>
      <c r="N1308" s="18">
        <v>0</v>
      </c>
      <c r="O1308" s="18">
        <v>10</v>
      </c>
      <c r="P1308" s="16">
        <v>10</v>
      </c>
      <c r="Q1308" s="16">
        <v>20</v>
      </c>
      <c r="R1308" s="16">
        <v>20</v>
      </c>
      <c r="S1308" s="16">
        <v>10</v>
      </c>
      <c r="T1308" s="18" t="s">
        <v>5423</v>
      </c>
      <c r="U1308" s="283" t="s">
        <v>1650</v>
      </c>
      <c r="V1308" s="18" t="s">
        <v>5424</v>
      </c>
      <c r="W1308" s="18">
        <v>1</v>
      </c>
      <c r="X1308" s="18">
        <v>0</v>
      </c>
      <c r="Y1308" s="18">
        <v>0</v>
      </c>
      <c r="Z1308" s="18">
        <v>1</v>
      </c>
      <c r="AA1308" s="18">
        <v>1</v>
      </c>
      <c r="AB1308" s="18">
        <v>1</v>
      </c>
      <c r="AC1308" s="316">
        <v>1</v>
      </c>
      <c r="AD1308" s="316">
        <v>1</v>
      </c>
      <c r="AE1308" s="302">
        <f t="shared" si="54"/>
        <v>0.75</v>
      </c>
      <c r="AF1308" s="176">
        <v>0</v>
      </c>
      <c r="AG1308" s="17">
        <v>0</v>
      </c>
      <c r="AH1308" s="176">
        <v>2</v>
      </c>
      <c r="AI1308" s="176">
        <v>2.5</v>
      </c>
      <c r="AJ1308" s="234">
        <v>2.5</v>
      </c>
      <c r="AK1308" s="235">
        <v>1.5</v>
      </c>
      <c r="AL1308" s="235">
        <v>1.5</v>
      </c>
      <c r="AM1308" s="147">
        <f t="shared" si="55"/>
        <v>3</v>
      </c>
      <c r="AN1308" s="236" t="s">
        <v>831</v>
      </c>
      <c r="AO1308" s="236" t="s">
        <v>834</v>
      </c>
      <c r="AP1308" s="228" t="s">
        <v>5425</v>
      </c>
    </row>
    <row r="1309" spans="1:43" s="18" customFormat="1" x14ac:dyDescent="0.3">
      <c r="A1309" s="228" t="s">
        <v>1451</v>
      </c>
      <c r="B1309" s="18" t="s">
        <v>4838</v>
      </c>
      <c r="C1309" s="228" t="s">
        <v>4841</v>
      </c>
      <c r="D1309" s="18" t="s">
        <v>2439</v>
      </c>
      <c r="E1309" s="228" t="s">
        <v>5416</v>
      </c>
      <c r="F1309" s="18" t="s">
        <v>5417</v>
      </c>
      <c r="G1309" s="228" t="s">
        <v>5418</v>
      </c>
      <c r="H1309" s="18" t="s">
        <v>5419</v>
      </c>
      <c r="K1309" s="228" t="s">
        <v>5420</v>
      </c>
      <c r="L1309" s="18" t="s">
        <v>5421</v>
      </c>
      <c r="M1309" s="18" t="s">
        <v>5426</v>
      </c>
      <c r="N1309" s="18">
        <v>5</v>
      </c>
      <c r="O1309" s="18">
        <v>4</v>
      </c>
      <c r="P1309" s="16" t="s">
        <v>5427</v>
      </c>
      <c r="Q1309" s="16" t="s">
        <v>3548</v>
      </c>
      <c r="R1309" s="16" t="s">
        <v>5427</v>
      </c>
      <c r="S1309" s="16" t="s">
        <v>3548</v>
      </c>
      <c r="T1309" s="18" t="s">
        <v>831</v>
      </c>
      <c r="U1309" s="283" t="s">
        <v>834</v>
      </c>
      <c r="V1309" s="18" t="s">
        <v>5428</v>
      </c>
      <c r="W1309" s="18">
        <v>1</v>
      </c>
      <c r="X1309" s="18">
        <v>1</v>
      </c>
      <c r="Y1309" s="18">
        <v>1</v>
      </c>
      <c r="Z1309" s="18">
        <v>1</v>
      </c>
      <c r="AB1309" s="18">
        <v>1</v>
      </c>
      <c r="AC1309" s="316">
        <v>1</v>
      </c>
      <c r="AD1309" s="316">
        <v>1</v>
      </c>
      <c r="AE1309" s="302">
        <f t="shared" si="54"/>
        <v>0.875</v>
      </c>
      <c r="AF1309" s="176">
        <v>0</v>
      </c>
      <c r="AG1309" s="17">
        <v>0</v>
      </c>
      <c r="AH1309" s="176" t="s">
        <v>2526</v>
      </c>
      <c r="AI1309" s="239" t="s">
        <v>2526</v>
      </c>
      <c r="AJ1309" s="239" t="s">
        <v>2526</v>
      </c>
      <c r="AK1309" s="238" t="s">
        <v>2526</v>
      </c>
      <c r="AL1309" s="238" t="s">
        <v>2526</v>
      </c>
      <c r="AM1309" s="147">
        <f t="shared" si="55"/>
        <v>0</v>
      </c>
      <c r="AN1309" s="157" t="s">
        <v>921</v>
      </c>
      <c r="AO1309" s="157" t="s">
        <v>880</v>
      </c>
      <c r="AP1309" s="240" t="s">
        <v>119</v>
      </c>
      <c r="AQ1309" s="157"/>
    </row>
    <row r="1310" spans="1:43" s="18" customFormat="1" x14ac:dyDescent="0.3">
      <c r="A1310" s="228" t="s">
        <v>1451</v>
      </c>
      <c r="B1310" s="18" t="s">
        <v>4838</v>
      </c>
      <c r="C1310" s="228" t="s">
        <v>4841</v>
      </c>
      <c r="D1310" s="18" t="s">
        <v>2439</v>
      </c>
      <c r="E1310" s="228" t="s">
        <v>5416</v>
      </c>
      <c r="F1310" s="18" t="s">
        <v>5417</v>
      </c>
      <c r="G1310" s="228" t="s">
        <v>5418</v>
      </c>
      <c r="H1310" s="18" t="s">
        <v>5419</v>
      </c>
      <c r="K1310" s="228" t="s">
        <v>5420</v>
      </c>
      <c r="L1310" s="18" t="s">
        <v>5421</v>
      </c>
      <c r="M1310" s="18" t="s">
        <v>5429</v>
      </c>
      <c r="N1310" s="18" t="s">
        <v>3532</v>
      </c>
      <c r="O1310" s="18" t="s">
        <v>3565</v>
      </c>
      <c r="P1310" s="16" t="s">
        <v>3516</v>
      </c>
      <c r="Q1310" s="16" t="s">
        <v>3516</v>
      </c>
      <c r="R1310" s="16" t="s">
        <v>3516</v>
      </c>
      <c r="S1310" s="16" t="s">
        <v>3516</v>
      </c>
      <c r="T1310" s="18" t="s">
        <v>5423</v>
      </c>
      <c r="U1310" s="283" t="s">
        <v>1650</v>
      </c>
      <c r="V1310" s="18" t="s">
        <v>5430</v>
      </c>
      <c r="W1310" s="18">
        <v>0</v>
      </c>
      <c r="X1310" s="18">
        <v>0</v>
      </c>
      <c r="Y1310" s="18">
        <v>0</v>
      </c>
      <c r="Z1310" s="18">
        <v>0</v>
      </c>
      <c r="AA1310" s="18">
        <v>0</v>
      </c>
      <c r="AB1310" s="18">
        <v>0</v>
      </c>
      <c r="AC1310" s="18">
        <v>0</v>
      </c>
      <c r="AD1310" s="18">
        <v>0</v>
      </c>
      <c r="AE1310" s="302">
        <f t="shared" si="54"/>
        <v>0</v>
      </c>
      <c r="AF1310" s="176">
        <v>0</v>
      </c>
      <c r="AG1310" s="17">
        <v>0</v>
      </c>
      <c r="AH1310" s="176">
        <v>0</v>
      </c>
      <c r="AI1310" s="239">
        <v>0</v>
      </c>
      <c r="AJ1310" s="239">
        <v>0</v>
      </c>
      <c r="AK1310" s="177">
        <v>0</v>
      </c>
      <c r="AL1310" s="238">
        <v>0</v>
      </c>
      <c r="AM1310" s="147">
        <f t="shared" si="55"/>
        <v>0</v>
      </c>
      <c r="AN1310" s="157" t="s">
        <v>921</v>
      </c>
      <c r="AO1310" s="157" t="s">
        <v>880</v>
      </c>
      <c r="AP1310" s="240" t="s">
        <v>119</v>
      </c>
      <c r="AQ1310" s="157"/>
    </row>
    <row r="1311" spans="1:43" s="18" customFormat="1" x14ac:dyDescent="0.3">
      <c r="A1311" s="228" t="s">
        <v>1451</v>
      </c>
      <c r="B1311" s="18" t="s">
        <v>4838</v>
      </c>
      <c r="C1311" s="228" t="s">
        <v>4841</v>
      </c>
      <c r="D1311" s="18" t="s">
        <v>2439</v>
      </c>
      <c r="E1311" s="228" t="s">
        <v>5416</v>
      </c>
      <c r="F1311" s="18" t="s">
        <v>5417</v>
      </c>
      <c r="G1311" s="228" t="s">
        <v>5418</v>
      </c>
      <c r="H1311" s="18" t="s">
        <v>5419</v>
      </c>
      <c r="K1311" s="228" t="s">
        <v>5420</v>
      </c>
      <c r="L1311" s="18" t="s">
        <v>5421</v>
      </c>
      <c r="M1311" s="18" t="s">
        <v>5431</v>
      </c>
      <c r="N1311" s="18">
        <v>0</v>
      </c>
      <c r="O1311" s="18" t="s">
        <v>3926</v>
      </c>
      <c r="P1311" s="16" t="s">
        <v>3926</v>
      </c>
      <c r="Q1311" s="16" t="s">
        <v>3532</v>
      </c>
      <c r="R1311" s="16" t="s">
        <v>3926</v>
      </c>
      <c r="S1311" s="16" t="s">
        <v>3554</v>
      </c>
      <c r="T1311" s="18" t="s">
        <v>877</v>
      </c>
      <c r="U1311" s="283" t="s">
        <v>880</v>
      </c>
      <c r="V1311" s="18" t="s">
        <v>5432</v>
      </c>
      <c r="W1311" s="18">
        <v>0</v>
      </c>
      <c r="X1311" s="18">
        <v>0</v>
      </c>
      <c r="Y1311" s="18">
        <v>0</v>
      </c>
      <c r="Z1311" s="18">
        <v>0</v>
      </c>
      <c r="AA1311" s="18">
        <v>0</v>
      </c>
      <c r="AB1311" s="18">
        <v>0</v>
      </c>
      <c r="AC1311" s="18">
        <v>0</v>
      </c>
      <c r="AD1311" s="18">
        <v>0</v>
      </c>
      <c r="AE1311" s="302">
        <f t="shared" si="54"/>
        <v>0</v>
      </c>
      <c r="AF1311" s="176">
        <v>0</v>
      </c>
      <c r="AG1311" s="17">
        <v>0</v>
      </c>
      <c r="AH1311" s="176" t="s">
        <v>2526</v>
      </c>
      <c r="AI1311" s="239" t="s">
        <v>2526</v>
      </c>
      <c r="AJ1311" s="239" t="s">
        <v>2526</v>
      </c>
      <c r="AK1311" s="177" t="s">
        <v>2526</v>
      </c>
      <c r="AL1311" s="238" t="s">
        <v>2526</v>
      </c>
      <c r="AM1311" s="147">
        <f t="shared" si="55"/>
        <v>0</v>
      </c>
      <c r="AN1311" s="157" t="s">
        <v>921</v>
      </c>
      <c r="AO1311" s="157" t="s">
        <v>880</v>
      </c>
      <c r="AP1311" s="240" t="s">
        <v>119</v>
      </c>
      <c r="AQ1311" s="157"/>
    </row>
    <row r="1312" spans="1:43" s="18" customFormat="1" x14ac:dyDescent="0.3">
      <c r="A1312" s="228" t="s">
        <v>1451</v>
      </c>
      <c r="B1312" s="18" t="s">
        <v>4838</v>
      </c>
      <c r="C1312" s="228" t="s">
        <v>4841</v>
      </c>
      <c r="D1312" s="18" t="s">
        <v>2439</v>
      </c>
      <c r="E1312" s="228" t="s">
        <v>5416</v>
      </c>
      <c r="F1312" s="18" t="s">
        <v>5417</v>
      </c>
      <c r="G1312" s="228" t="s">
        <v>5418</v>
      </c>
      <c r="H1312" s="18" t="s">
        <v>5419</v>
      </c>
      <c r="K1312" s="228" t="s">
        <v>5420</v>
      </c>
      <c r="L1312" s="18" t="s">
        <v>5421</v>
      </c>
      <c r="M1312" s="18" t="s">
        <v>5433</v>
      </c>
      <c r="N1312" s="18">
        <v>0</v>
      </c>
      <c r="O1312" s="18">
        <v>1203.4000000000001</v>
      </c>
      <c r="P1312" s="16">
        <v>1270.0999999999999</v>
      </c>
      <c r="Q1312" s="16">
        <v>1340.6</v>
      </c>
      <c r="R1312" s="16">
        <v>1414.8</v>
      </c>
      <c r="S1312" s="16">
        <v>1491.9</v>
      </c>
      <c r="T1312" s="18" t="s">
        <v>877</v>
      </c>
      <c r="U1312" s="283" t="s">
        <v>880</v>
      </c>
      <c r="V1312" s="18" t="s">
        <v>5434</v>
      </c>
      <c r="W1312" s="18">
        <v>1</v>
      </c>
      <c r="X1312" s="18">
        <v>1</v>
      </c>
      <c r="Y1312" s="18">
        <v>1</v>
      </c>
      <c r="Z1312" s="18">
        <v>1</v>
      </c>
      <c r="AA1312" s="18">
        <v>0</v>
      </c>
      <c r="AB1312" s="18">
        <v>1</v>
      </c>
      <c r="AC1312" s="18">
        <v>1</v>
      </c>
      <c r="AD1312" s="18">
        <v>1</v>
      </c>
      <c r="AE1312" s="302">
        <f t="shared" si="54"/>
        <v>0.875</v>
      </c>
      <c r="AF1312" s="176">
        <v>0</v>
      </c>
      <c r="AG1312" s="17">
        <v>0</v>
      </c>
      <c r="AH1312" s="176" t="s">
        <v>2526</v>
      </c>
      <c r="AI1312" s="239" t="s">
        <v>2526</v>
      </c>
      <c r="AJ1312" s="239" t="s">
        <v>2526</v>
      </c>
      <c r="AK1312" s="177" t="s">
        <v>2526</v>
      </c>
      <c r="AL1312" s="238" t="s">
        <v>2526</v>
      </c>
      <c r="AM1312" s="147">
        <f t="shared" si="55"/>
        <v>0</v>
      </c>
      <c r="AN1312" s="157" t="s">
        <v>921</v>
      </c>
      <c r="AO1312" s="157" t="s">
        <v>880</v>
      </c>
      <c r="AP1312" s="240" t="s">
        <v>119</v>
      </c>
      <c r="AQ1312" s="157"/>
    </row>
    <row r="1313" spans="1:43" s="18" customFormat="1" x14ac:dyDescent="0.3">
      <c r="A1313" s="228" t="s">
        <v>1451</v>
      </c>
      <c r="B1313" s="18" t="s">
        <v>4838</v>
      </c>
      <c r="C1313" s="228" t="s">
        <v>4841</v>
      </c>
      <c r="D1313" s="18" t="s">
        <v>2439</v>
      </c>
      <c r="E1313" s="228" t="s">
        <v>5416</v>
      </c>
      <c r="F1313" s="18" t="s">
        <v>5417</v>
      </c>
      <c r="G1313" s="228" t="s">
        <v>5418</v>
      </c>
      <c r="H1313" s="18" t="s">
        <v>5419</v>
      </c>
      <c r="K1313" s="228" t="s">
        <v>5420</v>
      </c>
      <c r="L1313" s="18" t="s">
        <v>5421</v>
      </c>
      <c r="M1313" s="18" t="s">
        <v>5435</v>
      </c>
      <c r="N1313" s="18">
        <v>815</v>
      </c>
      <c r="O1313" s="18">
        <v>900</v>
      </c>
      <c r="P1313" s="16">
        <v>800</v>
      </c>
      <c r="Q1313" s="16">
        <v>900</v>
      </c>
      <c r="R1313" s="16">
        <v>1000</v>
      </c>
      <c r="S1313" s="16">
        <v>1050</v>
      </c>
      <c r="T1313" s="18" t="s">
        <v>5423</v>
      </c>
      <c r="U1313" s="283" t="s">
        <v>1650</v>
      </c>
      <c r="V1313" s="18" t="s">
        <v>5436</v>
      </c>
      <c r="W1313" s="18">
        <v>1</v>
      </c>
      <c r="X1313" s="18">
        <v>1</v>
      </c>
      <c r="Y1313" s="18">
        <v>1</v>
      </c>
      <c r="Z1313" s="18">
        <v>1</v>
      </c>
      <c r="AA1313" s="18">
        <v>0</v>
      </c>
      <c r="AB1313" s="18">
        <v>1</v>
      </c>
      <c r="AC1313" s="316">
        <v>0</v>
      </c>
      <c r="AD1313" s="316">
        <v>1</v>
      </c>
      <c r="AE1313" s="302">
        <f t="shared" ref="AE1313:AE1376" si="56">SUM(W1313:AD1313)/8</f>
        <v>0.75</v>
      </c>
      <c r="AF1313" s="176">
        <v>1</v>
      </c>
      <c r="AG1313" s="17">
        <v>0</v>
      </c>
      <c r="AH1313" s="176" t="s">
        <v>2526</v>
      </c>
      <c r="AI1313" s="176" t="s">
        <v>2526</v>
      </c>
      <c r="AJ1313" s="234" t="s">
        <v>2526</v>
      </c>
      <c r="AK1313" s="235" t="s">
        <v>2526</v>
      </c>
      <c r="AL1313" s="235" t="s">
        <v>2526</v>
      </c>
      <c r="AM1313" s="147">
        <f t="shared" si="55"/>
        <v>0</v>
      </c>
      <c r="AN1313" s="236" t="s">
        <v>619</v>
      </c>
      <c r="AO1313" s="236" t="s">
        <v>350</v>
      </c>
      <c r="AP1313" s="228" t="s">
        <v>119</v>
      </c>
    </row>
    <row r="1314" spans="1:43" s="18" customFormat="1" x14ac:dyDescent="0.3">
      <c r="A1314" s="228" t="s">
        <v>1451</v>
      </c>
      <c r="B1314" s="18" t="s">
        <v>4838</v>
      </c>
      <c r="C1314" s="228" t="s">
        <v>4841</v>
      </c>
      <c r="D1314" s="18" t="s">
        <v>2439</v>
      </c>
      <c r="E1314" s="228" t="s">
        <v>5416</v>
      </c>
      <c r="F1314" s="18" t="s">
        <v>5417</v>
      </c>
      <c r="G1314" s="228" t="s">
        <v>5418</v>
      </c>
      <c r="H1314" s="18" t="s">
        <v>5419</v>
      </c>
      <c r="K1314" s="228" t="s">
        <v>5420</v>
      </c>
      <c r="L1314" s="18" t="s">
        <v>5421</v>
      </c>
      <c r="P1314" s="16"/>
      <c r="Q1314" s="16"/>
      <c r="R1314" s="16"/>
      <c r="S1314" s="16"/>
      <c r="U1314" s="283" t="e">
        <v>#N/A</v>
      </c>
      <c r="V1314" s="18" t="s">
        <v>5437</v>
      </c>
      <c r="W1314" s="18">
        <v>0</v>
      </c>
      <c r="X1314" s="18">
        <v>0</v>
      </c>
      <c r="Y1314" s="18">
        <v>0</v>
      </c>
      <c r="Z1314" s="18">
        <v>0</v>
      </c>
      <c r="AA1314" s="18">
        <v>0</v>
      </c>
      <c r="AB1314" s="18">
        <v>0</v>
      </c>
      <c r="AC1314" s="18">
        <v>0</v>
      </c>
      <c r="AD1314" s="18">
        <v>0</v>
      </c>
      <c r="AE1314" s="302">
        <f t="shared" si="56"/>
        <v>0</v>
      </c>
      <c r="AF1314" s="176">
        <v>0</v>
      </c>
      <c r="AG1314" s="17">
        <v>0</v>
      </c>
      <c r="AH1314" s="176" t="s">
        <v>2526</v>
      </c>
      <c r="AI1314" s="176">
        <v>0</v>
      </c>
      <c r="AJ1314" s="234">
        <v>0</v>
      </c>
      <c r="AK1314" s="235">
        <v>0</v>
      </c>
      <c r="AL1314" s="235">
        <v>0</v>
      </c>
      <c r="AM1314" s="147">
        <f t="shared" si="55"/>
        <v>0</v>
      </c>
      <c r="AN1314" s="236" t="s">
        <v>921</v>
      </c>
      <c r="AO1314" s="236" t="s">
        <v>880</v>
      </c>
      <c r="AP1314" s="228" t="s">
        <v>119</v>
      </c>
    </row>
    <row r="1315" spans="1:43" s="18" customFormat="1" x14ac:dyDescent="0.3">
      <c r="A1315" s="228" t="s">
        <v>1451</v>
      </c>
      <c r="B1315" s="18" t="s">
        <v>4838</v>
      </c>
      <c r="C1315" s="228" t="s">
        <v>4841</v>
      </c>
      <c r="D1315" s="18" t="s">
        <v>2439</v>
      </c>
      <c r="E1315" s="228" t="s">
        <v>5416</v>
      </c>
      <c r="F1315" s="18" t="s">
        <v>5417</v>
      </c>
      <c r="G1315" s="228" t="s">
        <v>5418</v>
      </c>
      <c r="H1315" s="18" t="s">
        <v>5419</v>
      </c>
      <c r="K1315" s="228" t="s">
        <v>5420</v>
      </c>
      <c r="L1315" s="18" t="s">
        <v>5421</v>
      </c>
      <c r="P1315" s="16"/>
      <c r="Q1315" s="16"/>
      <c r="R1315" s="16"/>
      <c r="S1315" s="16"/>
      <c r="U1315" s="283" t="e">
        <v>#N/A</v>
      </c>
      <c r="V1315" s="18" t="s">
        <v>5438</v>
      </c>
      <c r="W1315" s="18">
        <v>0</v>
      </c>
      <c r="X1315" s="18">
        <v>0</v>
      </c>
      <c r="Y1315" s="18">
        <v>0</v>
      </c>
      <c r="Z1315" s="18">
        <v>0</v>
      </c>
      <c r="AA1315" s="18">
        <v>0</v>
      </c>
      <c r="AB1315" s="18">
        <v>0</v>
      </c>
      <c r="AC1315" s="18">
        <v>0</v>
      </c>
      <c r="AD1315" s="18">
        <v>0</v>
      </c>
      <c r="AE1315" s="302">
        <f t="shared" si="56"/>
        <v>0</v>
      </c>
      <c r="AF1315" s="176">
        <v>0</v>
      </c>
      <c r="AG1315" s="17">
        <v>0</v>
      </c>
      <c r="AH1315" s="176" t="s">
        <v>2526</v>
      </c>
      <c r="AI1315" s="176" t="s">
        <v>2526</v>
      </c>
      <c r="AJ1315" s="234" t="s">
        <v>2526</v>
      </c>
      <c r="AK1315" s="235" t="s">
        <v>2526</v>
      </c>
      <c r="AL1315" s="235" t="s">
        <v>2526</v>
      </c>
      <c r="AM1315" s="147">
        <f t="shared" si="55"/>
        <v>0</v>
      </c>
      <c r="AN1315" s="236" t="s">
        <v>921</v>
      </c>
      <c r="AO1315" s="236" t="s">
        <v>880</v>
      </c>
      <c r="AP1315" s="228" t="s">
        <v>119</v>
      </c>
    </row>
    <row r="1316" spans="1:43" s="18" customFormat="1" x14ac:dyDescent="0.3">
      <c r="A1316" s="228" t="s">
        <v>1451</v>
      </c>
      <c r="B1316" s="18" t="s">
        <v>4838</v>
      </c>
      <c r="C1316" s="228" t="s">
        <v>4841</v>
      </c>
      <c r="D1316" s="18" t="s">
        <v>2439</v>
      </c>
      <c r="E1316" s="228" t="s">
        <v>5416</v>
      </c>
      <c r="F1316" s="18" t="s">
        <v>5417</v>
      </c>
      <c r="G1316" s="228" t="s">
        <v>5418</v>
      </c>
      <c r="H1316" s="18" t="s">
        <v>5419</v>
      </c>
      <c r="K1316" s="228" t="s">
        <v>5420</v>
      </c>
      <c r="L1316" s="18" t="s">
        <v>5421</v>
      </c>
      <c r="P1316" s="16"/>
      <c r="Q1316" s="16"/>
      <c r="R1316" s="16"/>
      <c r="S1316" s="16"/>
      <c r="U1316" s="283" t="e">
        <v>#N/A</v>
      </c>
      <c r="V1316" s="18" t="s">
        <v>5439</v>
      </c>
      <c r="W1316" s="18">
        <v>1</v>
      </c>
      <c r="X1316" s="18">
        <v>1</v>
      </c>
      <c r="Y1316" s="18">
        <v>1</v>
      </c>
      <c r="Z1316" s="18">
        <v>1</v>
      </c>
      <c r="AA1316" s="18">
        <v>1</v>
      </c>
      <c r="AB1316" s="18">
        <v>1</v>
      </c>
      <c r="AC1316" s="18">
        <v>1</v>
      </c>
      <c r="AD1316" s="18">
        <v>1</v>
      </c>
      <c r="AE1316" s="302">
        <f t="shared" si="56"/>
        <v>1</v>
      </c>
      <c r="AF1316" s="176">
        <v>0</v>
      </c>
      <c r="AG1316" s="17">
        <v>0</v>
      </c>
      <c r="AH1316" s="176" t="s">
        <v>2526</v>
      </c>
      <c r="AI1316" s="239">
        <v>0.99</v>
      </c>
      <c r="AJ1316" s="239">
        <v>0.99</v>
      </c>
      <c r="AK1316" s="238">
        <v>0.99</v>
      </c>
      <c r="AL1316" s="238">
        <v>0.99</v>
      </c>
      <c r="AM1316" s="147">
        <f t="shared" si="55"/>
        <v>1.98</v>
      </c>
      <c r="AN1316" s="157" t="s">
        <v>921</v>
      </c>
      <c r="AO1316" s="157" t="s">
        <v>880</v>
      </c>
      <c r="AP1316" s="240" t="s">
        <v>5440</v>
      </c>
      <c r="AQ1316" s="157"/>
    </row>
    <row r="1317" spans="1:43" s="18" customFormat="1" x14ac:dyDescent="0.3">
      <c r="A1317" s="228" t="s">
        <v>1451</v>
      </c>
      <c r="B1317" s="18" t="s">
        <v>4838</v>
      </c>
      <c r="C1317" s="228" t="s">
        <v>4841</v>
      </c>
      <c r="D1317" s="18" t="s">
        <v>2439</v>
      </c>
      <c r="E1317" s="228" t="s">
        <v>5416</v>
      </c>
      <c r="F1317" s="18" t="s">
        <v>5417</v>
      </c>
      <c r="G1317" s="228" t="s">
        <v>5418</v>
      </c>
      <c r="H1317" s="18" t="s">
        <v>5419</v>
      </c>
      <c r="K1317" s="228" t="s">
        <v>5420</v>
      </c>
      <c r="L1317" s="18" t="s">
        <v>5421</v>
      </c>
      <c r="P1317" s="16"/>
      <c r="Q1317" s="16"/>
      <c r="R1317" s="16"/>
      <c r="S1317" s="16"/>
      <c r="U1317" s="283" t="e">
        <v>#N/A</v>
      </c>
      <c r="V1317" s="18" t="s">
        <v>5441</v>
      </c>
      <c r="W1317" s="18">
        <v>1</v>
      </c>
      <c r="X1317" s="18">
        <v>1</v>
      </c>
      <c r="Y1317" s="18">
        <v>1</v>
      </c>
      <c r="Z1317" s="18">
        <v>1</v>
      </c>
      <c r="AA1317" s="18">
        <v>1</v>
      </c>
      <c r="AB1317" s="18">
        <v>1</v>
      </c>
      <c r="AC1317" s="18">
        <v>1</v>
      </c>
      <c r="AD1317" s="18">
        <v>1</v>
      </c>
      <c r="AE1317" s="302">
        <f t="shared" si="56"/>
        <v>1</v>
      </c>
      <c r="AF1317" s="176">
        <v>0</v>
      </c>
      <c r="AG1317" s="17"/>
      <c r="AH1317" s="176" t="s">
        <v>2526</v>
      </c>
      <c r="AI1317" s="239">
        <v>0.2</v>
      </c>
      <c r="AJ1317" s="239">
        <v>0.2</v>
      </c>
      <c r="AK1317" s="238">
        <v>0.2</v>
      </c>
      <c r="AL1317" s="238">
        <v>0.2</v>
      </c>
      <c r="AM1317" s="147">
        <f t="shared" si="55"/>
        <v>0.4</v>
      </c>
      <c r="AN1317" s="157" t="s">
        <v>1233</v>
      </c>
      <c r="AO1317" s="157" t="s">
        <v>1650</v>
      </c>
      <c r="AP1317" s="240" t="s">
        <v>119</v>
      </c>
      <c r="AQ1317" s="157"/>
    </row>
    <row r="1318" spans="1:43" s="18" customFormat="1" x14ac:dyDescent="0.3">
      <c r="A1318" s="228" t="s">
        <v>1451</v>
      </c>
      <c r="B1318" s="18" t="s">
        <v>4838</v>
      </c>
      <c r="C1318" s="228" t="s">
        <v>4841</v>
      </c>
      <c r="D1318" s="18" t="s">
        <v>2439</v>
      </c>
      <c r="E1318" s="228" t="s">
        <v>5416</v>
      </c>
      <c r="F1318" s="18" t="s">
        <v>5417</v>
      </c>
      <c r="G1318" s="228" t="s">
        <v>5418</v>
      </c>
      <c r="H1318" s="18" t="s">
        <v>5419</v>
      </c>
      <c r="K1318" s="228" t="s">
        <v>5420</v>
      </c>
      <c r="L1318" s="18" t="s">
        <v>5421</v>
      </c>
      <c r="P1318" s="16"/>
      <c r="Q1318" s="16"/>
      <c r="R1318" s="16"/>
      <c r="S1318" s="16"/>
      <c r="U1318" s="283" t="e">
        <v>#N/A</v>
      </c>
      <c r="V1318" s="18" t="s">
        <v>5442</v>
      </c>
      <c r="W1318" s="18">
        <v>0</v>
      </c>
      <c r="X1318" s="18">
        <v>0</v>
      </c>
      <c r="Y1318" s="18">
        <v>0</v>
      </c>
      <c r="Z1318" s="18">
        <v>0</v>
      </c>
      <c r="AA1318" s="18">
        <v>0</v>
      </c>
      <c r="AB1318" s="18">
        <v>0</v>
      </c>
      <c r="AC1318" s="18">
        <v>0</v>
      </c>
      <c r="AD1318" s="18">
        <v>0</v>
      </c>
      <c r="AE1318" s="302">
        <f t="shared" si="56"/>
        <v>0</v>
      </c>
      <c r="AF1318" s="176">
        <v>0</v>
      </c>
      <c r="AG1318" s="17">
        <v>0</v>
      </c>
      <c r="AH1318" s="176" t="s">
        <v>2526</v>
      </c>
      <c r="AI1318" s="239" t="s">
        <v>2526</v>
      </c>
      <c r="AJ1318" s="239" t="s">
        <v>2526</v>
      </c>
      <c r="AK1318" s="238" t="s">
        <v>2526</v>
      </c>
      <c r="AL1318" s="238" t="s">
        <v>2526</v>
      </c>
      <c r="AM1318" s="147">
        <f t="shared" si="55"/>
        <v>0</v>
      </c>
      <c r="AN1318" s="157" t="s">
        <v>1233</v>
      </c>
      <c r="AO1318" s="157" t="s">
        <v>1650</v>
      </c>
      <c r="AP1318" s="240" t="s">
        <v>119</v>
      </c>
      <c r="AQ1318" s="157"/>
    </row>
    <row r="1319" spans="1:43" s="18" customFormat="1" x14ac:dyDescent="0.3">
      <c r="A1319" s="228" t="s">
        <v>1451</v>
      </c>
      <c r="B1319" s="18" t="s">
        <v>4838</v>
      </c>
      <c r="C1319" s="228" t="s">
        <v>4841</v>
      </c>
      <c r="D1319" s="18" t="s">
        <v>2439</v>
      </c>
      <c r="E1319" s="228" t="s">
        <v>5416</v>
      </c>
      <c r="F1319" s="18" t="s">
        <v>5417</v>
      </c>
      <c r="G1319" s="228" t="s">
        <v>5418</v>
      </c>
      <c r="H1319" s="18" t="s">
        <v>5419</v>
      </c>
      <c r="K1319" s="228" t="s">
        <v>5420</v>
      </c>
      <c r="L1319" s="18" t="s">
        <v>5421</v>
      </c>
      <c r="P1319" s="16"/>
      <c r="Q1319" s="16"/>
      <c r="R1319" s="16"/>
      <c r="S1319" s="16"/>
      <c r="U1319" s="283" t="e">
        <v>#N/A</v>
      </c>
      <c r="V1319" s="18" t="s">
        <v>5443</v>
      </c>
      <c r="W1319" s="18">
        <v>1</v>
      </c>
      <c r="X1319" s="18">
        <v>1</v>
      </c>
      <c r="Y1319" s="18">
        <v>1</v>
      </c>
      <c r="Z1319" s="18">
        <v>1</v>
      </c>
      <c r="AA1319" s="18">
        <v>1</v>
      </c>
      <c r="AB1319" s="18">
        <v>1</v>
      </c>
      <c r="AC1319" s="18">
        <v>1</v>
      </c>
      <c r="AD1319" s="18">
        <v>1</v>
      </c>
      <c r="AE1319" s="302">
        <f t="shared" si="56"/>
        <v>1</v>
      </c>
      <c r="AF1319" s="176">
        <v>0</v>
      </c>
      <c r="AG1319" s="17">
        <v>0</v>
      </c>
      <c r="AH1319" s="176" t="s">
        <v>2526</v>
      </c>
      <c r="AI1319" s="239">
        <v>25</v>
      </c>
      <c r="AJ1319" s="239">
        <v>25</v>
      </c>
      <c r="AK1319" s="237">
        <v>15</v>
      </c>
      <c r="AL1319" s="238">
        <v>25</v>
      </c>
      <c r="AM1319" s="147">
        <f t="shared" si="55"/>
        <v>40</v>
      </c>
      <c r="AN1319" s="157" t="s">
        <v>879</v>
      </c>
      <c r="AO1319" s="157" t="s">
        <v>880</v>
      </c>
      <c r="AP1319" s="157" t="s">
        <v>63</v>
      </c>
      <c r="AQ1319" s="157"/>
    </row>
    <row r="1320" spans="1:43" s="18" customFormat="1" x14ac:dyDescent="0.3">
      <c r="A1320" s="228" t="s">
        <v>1451</v>
      </c>
      <c r="B1320" s="18" t="s">
        <v>4838</v>
      </c>
      <c r="C1320" s="228" t="s">
        <v>4841</v>
      </c>
      <c r="D1320" s="18" t="s">
        <v>2439</v>
      </c>
      <c r="E1320" s="228" t="s">
        <v>5416</v>
      </c>
      <c r="F1320" s="18" t="s">
        <v>5417</v>
      </c>
      <c r="G1320" s="228" t="s">
        <v>5418</v>
      </c>
      <c r="H1320" s="18" t="s">
        <v>5419</v>
      </c>
      <c r="K1320" s="228" t="s">
        <v>5420</v>
      </c>
      <c r="L1320" s="18" t="s">
        <v>5421</v>
      </c>
      <c r="P1320" s="16"/>
      <c r="Q1320" s="16"/>
      <c r="R1320" s="16"/>
      <c r="S1320" s="16"/>
      <c r="U1320" s="283" t="e">
        <v>#N/A</v>
      </c>
      <c r="V1320" s="18" t="s">
        <v>5444</v>
      </c>
      <c r="W1320" s="18">
        <v>1</v>
      </c>
      <c r="X1320" s="18">
        <v>1</v>
      </c>
      <c r="Y1320" s="18">
        <v>1</v>
      </c>
      <c r="Z1320" s="18">
        <v>1</v>
      </c>
      <c r="AA1320" s="18">
        <v>1</v>
      </c>
      <c r="AB1320" s="18">
        <v>1</v>
      </c>
      <c r="AC1320" s="18">
        <v>1</v>
      </c>
      <c r="AD1320" s="18">
        <v>1</v>
      </c>
      <c r="AE1320" s="302">
        <f t="shared" si="56"/>
        <v>1</v>
      </c>
      <c r="AF1320" s="176">
        <v>0</v>
      </c>
      <c r="AG1320" s="17">
        <v>0</v>
      </c>
      <c r="AH1320" s="176" t="s">
        <v>2526</v>
      </c>
      <c r="AI1320" s="239" t="s">
        <v>2526</v>
      </c>
      <c r="AJ1320" s="239">
        <v>0</v>
      </c>
      <c r="AK1320" s="238">
        <v>0</v>
      </c>
      <c r="AL1320" s="238">
        <v>0</v>
      </c>
      <c r="AM1320" s="147">
        <f t="shared" si="55"/>
        <v>0</v>
      </c>
      <c r="AN1320" s="157" t="s">
        <v>879</v>
      </c>
      <c r="AO1320" s="157" t="s">
        <v>880</v>
      </c>
      <c r="AP1320" s="240" t="s">
        <v>119</v>
      </c>
      <c r="AQ1320" s="157"/>
    </row>
    <row r="1321" spans="1:43" s="18" customFormat="1" x14ac:dyDescent="0.3">
      <c r="A1321" s="228" t="s">
        <v>1451</v>
      </c>
      <c r="B1321" s="18" t="s">
        <v>4838</v>
      </c>
      <c r="C1321" s="228" t="s">
        <v>4841</v>
      </c>
      <c r="D1321" s="18" t="s">
        <v>2439</v>
      </c>
      <c r="E1321" s="228" t="s">
        <v>5416</v>
      </c>
      <c r="F1321" s="18" t="s">
        <v>5417</v>
      </c>
      <c r="G1321" s="228" t="s">
        <v>5418</v>
      </c>
      <c r="H1321" s="18" t="s">
        <v>5419</v>
      </c>
      <c r="K1321" s="228" t="s">
        <v>5420</v>
      </c>
      <c r="L1321" s="18" t="s">
        <v>5421</v>
      </c>
      <c r="P1321" s="16"/>
      <c r="Q1321" s="16"/>
      <c r="R1321" s="16"/>
      <c r="S1321" s="16"/>
      <c r="U1321" s="283" t="e">
        <v>#N/A</v>
      </c>
      <c r="V1321" s="18" t="s">
        <v>5445</v>
      </c>
      <c r="W1321" s="18">
        <v>0</v>
      </c>
      <c r="X1321" s="18">
        <v>0</v>
      </c>
      <c r="Y1321" s="18">
        <v>0</v>
      </c>
      <c r="Z1321" s="18">
        <v>0</v>
      </c>
      <c r="AA1321" s="18">
        <v>0</v>
      </c>
      <c r="AB1321" s="18">
        <v>0</v>
      </c>
      <c r="AC1321" s="18">
        <v>0</v>
      </c>
      <c r="AD1321" s="18">
        <v>0</v>
      </c>
      <c r="AE1321" s="302">
        <f t="shared" si="56"/>
        <v>0</v>
      </c>
      <c r="AF1321" s="176">
        <v>0</v>
      </c>
      <c r="AG1321" s="17">
        <v>0</v>
      </c>
      <c r="AH1321" s="176" t="s">
        <v>2526</v>
      </c>
      <c r="AI1321" s="239" t="s">
        <v>2526</v>
      </c>
      <c r="AJ1321" s="239" t="s">
        <v>2526</v>
      </c>
      <c r="AK1321" s="238" t="s">
        <v>2526</v>
      </c>
      <c r="AL1321" s="238" t="s">
        <v>2526</v>
      </c>
      <c r="AM1321" s="147">
        <f t="shared" si="55"/>
        <v>0</v>
      </c>
      <c r="AN1321" s="157" t="s">
        <v>921</v>
      </c>
      <c r="AO1321" s="157" t="s">
        <v>880</v>
      </c>
      <c r="AP1321" s="240" t="s">
        <v>119</v>
      </c>
      <c r="AQ1321" s="157"/>
    </row>
    <row r="1322" spans="1:43" s="18" customFormat="1" x14ac:dyDescent="0.3">
      <c r="A1322" s="228" t="s">
        <v>1451</v>
      </c>
      <c r="B1322" s="18" t="s">
        <v>4838</v>
      </c>
      <c r="C1322" s="228" t="s">
        <v>4841</v>
      </c>
      <c r="D1322" s="18" t="s">
        <v>2439</v>
      </c>
      <c r="E1322" s="228" t="s">
        <v>5416</v>
      </c>
      <c r="F1322" s="18" t="s">
        <v>5417</v>
      </c>
      <c r="G1322" s="228" t="s">
        <v>5418</v>
      </c>
      <c r="H1322" s="18" t="s">
        <v>5419</v>
      </c>
      <c r="K1322" s="228" t="s">
        <v>5420</v>
      </c>
      <c r="L1322" s="18" t="s">
        <v>5421</v>
      </c>
      <c r="P1322" s="16"/>
      <c r="Q1322" s="16"/>
      <c r="R1322" s="16"/>
      <c r="S1322" s="16"/>
      <c r="U1322" s="283" t="e">
        <v>#N/A</v>
      </c>
      <c r="V1322" s="18" t="s">
        <v>5446</v>
      </c>
      <c r="W1322" s="18">
        <v>0</v>
      </c>
      <c r="X1322" s="18">
        <v>0</v>
      </c>
      <c r="Y1322" s="18">
        <v>0</v>
      </c>
      <c r="Z1322" s="18">
        <v>0</v>
      </c>
      <c r="AA1322" s="18">
        <v>0</v>
      </c>
      <c r="AB1322" s="18">
        <v>0</v>
      </c>
      <c r="AC1322" s="18">
        <v>0</v>
      </c>
      <c r="AD1322" s="18">
        <v>0</v>
      </c>
      <c r="AE1322" s="302">
        <f t="shared" si="56"/>
        <v>0</v>
      </c>
      <c r="AF1322" s="176">
        <v>0</v>
      </c>
      <c r="AG1322" s="17">
        <v>0</v>
      </c>
      <c r="AH1322" s="176" t="s">
        <v>2526</v>
      </c>
      <c r="AI1322" s="239" t="s">
        <v>2526</v>
      </c>
      <c r="AJ1322" s="239" t="s">
        <v>2526</v>
      </c>
      <c r="AK1322" s="238" t="s">
        <v>2526</v>
      </c>
      <c r="AL1322" s="238" t="s">
        <v>2526</v>
      </c>
      <c r="AM1322" s="147">
        <f t="shared" si="55"/>
        <v>0</v>
      </c>
      <c r="AN1322" s="157" t="s">
        <v>1233</v>
      </c>
      <c r="AO1322" s="157" t="s">
        <v>1650</v>
      </c>
      <c r="AP1322" s="240" t="s">
        <v>119</v>
      </c>
      <c r="AQ1322" s="157"/>
    </row>
    <row r="1323" spans="1:43" s="18" customFormat="1" x14ac:dyDescent="0.3">
      <c r="A1323" s="228" t="s">
        <v>1451</v>
      </c>
      <c r="B1323" s="18" t="s">
        <v>4838</v>
      </c>
      <c r="C1323" s="228" t="s">
        <v>4841</v>
      </c>
      <c r="D1323" s="18" t="s">
        <v>2439</v>
      </c>
      <c r="E1323" s="228" t="s">
        <v>5416</v>
      </c>
      <c r="F1323" s="18" t="s">
        <v>5417</v>
      </c>
      <c r="G1323" s="228" t="s">
        <v>5418</v>
      </c>
      <c r="H1323" s="18" t="s">
        <v>5419</v>
      </c>
      <c r="K1323" s="228" t="s">
        <v>5420</v>
      </c>
      <c r="L1323" s="18" t="s">
        <v>5421</v>
      </c>
      <c r="P1323" s="16"/>
      <c r="Q1323" s="16"/>
      <c r="R1323" s="16"/>
      <c r="S1323" s="16"/>
      <c r="U1323" s="283" t="e">
        <v>#N/A</v>
      </c>
      <c r="V1323" s="18" t="s">
        <v>5447</v>
      </c>
      <c r="W1323" s="18">
        <v>0</v>
      </c>
      <c r="X1323" s="18">
        <v>0</v>
      </c>
      <c r="Y1323" s="18">
        <v>0</v>
      </c>
      <c r="Z1323" s="18">
        <v>0</v>
      </c>
      <c r="AA1323" s="18">
        <v>0</v>
      </c>
      <c r="AB1323" s="18">
        <v>0</v>
      </c>
      <c r="AC1323" s="18">
        <v>0</v>
      </c>
      <c r="AD1323" s="18">
        <v>0</v>
      </c>
      <c r="AE1323" s="302">
        <f t="shared" si="56"/>
        <v>0</v>
      </c>
      <c r="AF1323" s="176">
        <v>0</v>
      </c>
      <c r="AG1323" s="17">
        <v>0</v>
      </c>
      <c r="AH1323" s="176" t="s">
        <v>2526</v>
      </c>
      <c r="AI1323" s="239">
        <v>0.1</v>
      </c>
      <c r="AJ1323" s="239">
        <v>0.1</v>
      </c>
      <c r="AK1323" s="238" t="s">
        <v>2526</v>
      </c>
      <c r="AL1323" s="238" t="s">
        <v>2526</v>
      </c>
      <c r="AM1323" s="147">
        <f t="shared" si="55"/>
        <v>0</v>
      </c>
      <c r="AN1323" s="157" t="s">
        <v>869</v>
      </c>
      <c r="AO1323" s="157" t="s">
        <v>871</v>
      </c>
      <c r="AP1323" s="240" t="s">
        <v>5448</v>
      </c>
      <c r="AQ1323" s="157"/>
    </row>
    <row r="1324" spans="1:43" s="18" customFormat="1" x14ac:dyDescent="0.3">
      <c r="A1324" s="228" t="s">
        <v>1451</v>
      </c>
      <c r="B1324" s="18" t="s">
        <v>4838</v>
      </c>
      <c r="C1324" s="228" t="s">
        <v>4841</v>
      </c>
      <c r="D1324" s="18" t="s">
        <v>2439</v>
      </c>
      <c r="E1324" s="228" t="s">
        <v>5416</v>
      </c>
      <c r="F1324" s="18" t="s">
        <v>5417</v>
      </c>
      <c r="G1324" s="228" t="s">
        <v>5418</v>
      </c>
      <c r="H1324" s="18" t="s">
        <v>5419</v>
      </c>
      <c r="K1324" s="228" t="s">
        <v>5449</v>
      </c>
      <c r="L1324" s="18" t="s">
        <v>5450</v>
      </c>
      <c r="M1324" s="18" t="s">
        <v>5451</v>
      </c>
      <c r="N1324" s="18">
        <v>0</v>
      </c>
      <c r="O1324" s="18">
        <v>0</v>
      </c>
      <c r="P1324" s="16">
        <v>0</v>
      </c>
      <c r="Q1324" s="16">
        <v>50</v>
      </c>
      <c r="R1324" s="16">
        <v>50</v>
      </c>
      <c r="S1324" s="16">
        <v>50</v>
      </c>
      <c r="T1324" s="18" t="s">
        <v>798</v>
      </c>
      <c r="U1324" s="283" t="s">
        <v>350</v>
      </c>
      <c r="V1324" s="18" t="s">
        <v>5452</v>
      </c>
      <c r="W1324" s="18">
        <v>1</v>
      </c>
      <c r="X1324" s="18">
        <v>1</v>
      </c>
      <c r="Y1324" s="18">
        <v>1</v>
      </c>
      <c r="Z1324" s="18">
        <v>0</v>
      </c>
      <c r="AA1324" s="18">
        <v>1</v>
      </c>
      <c r="AB1324" s="18">
        <v>1</v>
      </c>
      <c r="AC1324" s="18">
        <v>1</v>
      </c>
      <c r="AD1324" s="18">
        <v>1</v>
      </c>
      <c r="AE1324" s="302">
        <f t="shared" si="56"/>
        <v>0.875</v>
      </c>
      <c r="AF1324" s="176"/>
      <c r="AG1324" s="17">
        <v>0</v>
      </c>
      <c r="AH1324" s="176" t="s">
        <v>2526</v>
      </c>
      <c r="AI1324" s="239" t="s">
        <v>2526</v>
      </c>
      <c r="AJ1324" s="239" t="s">
        <v>2526</v>
      </c>
      <c r="AK1324" s="238" t="s">
        <v>2526</v>
      </c>
      <c r="AL1324" s="238" t="s">
        <v>2526</v>
      </c>
      <c r="AM1324" s="147">
        <f t="shared" si="55"/>
        <v>0</v>
      </c>
      <c r="AN1324" s="157" t="s">
        <v>921</v>
      </c>
      <c r="AO1324" s="157" t="s">
        <v>880</v>
      </c>
      <c r="AP1324" s="240" t="s">
        <v>119</v>
      </c>
      <c r="AQ1324" s="157"/>
    </row>
    <row r="1325" spans="1:43" s="18" customFormat="1" x14ac:dyDescent="0.3">
      <c r="A1325" s="228" t="s">
        <v>1451</v>
      </c>
      <c r="B1325" s="18" t="s">
        <v>4838</v>
      </c>
      <c r="C1325" s="228" t="s">
        <v>4841</v>
      </c>
      <c r="D1325" s="18" t="s">
        <v>2439</v>
      </c>
      <c r="E1325" s="228" t="s">
        <v>5416</v>
      </c>
      <c r="F1325" s="18" t="s">
        <v>5417</v>
      </c>
      <c r="G1325" s="228" t="s">
        <v>5418</v>
      </c>
      <c r="H1325" s="18" t="s">
        <v>5419</v>
      </c>
      <c r="K1325" s="228" t="s">
        <v>5449</v>
      </c>
      <c r="L1325" s="18" t="s">
        <v>5450</v>
      </c>
      <c r="P1325" s="16"/>
      <c r="Q1325" s="16"/>
      <c r="R1325" s="16"/>
      <c r="S1325" s="16"/>
      <c r="U1325" s="283" t="e">
        <v>#N/A</v>
      </c>
      <c r="V1325" s="18" t="s">
        <v>5453</v>
      </c>
      <c r="W1325" s="18">
        <v>0</v>
      </c>
      <c r="X1325" s="18">
        <v>0</v>
      </c>
      <c r="Y1325" s="18">
        <v>0</v>
      </c>
      <c r="Z1325" s="18">
        <v>0</v>
      </c>
      <c r="AA1325" s="18">
        <v>0</v>
      </c>
      <c r="AB1325" s="18">
        <v>0</v>
      </c>
      <c r="AC1325" s="18">
        <v>0</v>
      </c>
      <c r="AD1325" s="18">
        <v>0</v>
      </c>
      <c r="AE1325" s="302">
        <f t="shared" si="56"/>
        <v>0</v>
      </c>
      <c r="AF1325" s="176">
        <v>0</v>
      </c>
      <c r="AG1325" s="17">
        <v>0</v>
      </c>
      <c r="AH1325" s="176" t="s">
        <v>2526</v>
      </c>
      <c r="AI1325" s="239" t="s">
        <v>2526</v>
      </c>
      <c r="AJ1325" s="239">
        <v>0</v>
      </c>
      <c r="AK1325" s="238">
        <v>0</v>
      </c>
      <c r="AL1325" s="238">
        <v>0</v>
      </c>
      <c r="AM1325" s="147">
        <f t="shared" si="55"/>
        <v>0</v>
      </c>
      <c r="AN1325" s="157" t="s">
        <v>619</v>
      </c>
      <c r="AO1325" s="157" t="s">
        <v>350</v>
      </c>
      <c r="AP1325" s="240" t="s">
        <v>119</v>
      </c>
      <c r="AQ1325" s="157"/>
    </row>
    <row r="1326" spans="1:43" s="18" customFormat="1" x14ac:dyDescent="0.3">
      <c r="A1326" s="228" t="s">
        <v>1451</v>
      </c>
      <c r="B1326" s="18" t="s">
        <v>4838</v>
      </c>
      <c r="C1326" s="228" t="s">
        <v>4841</v>
      </c>
      <c r="D1326" s="18" t="s">
        <v>2439</v>
      </c>
      <c r="E1326" s="228" t="s">
        <v>5416</v>
      </c>
      <c r="F1326" s="18" t="s">
        <v>5417</v>
      </c>
      <c r="G1326" s="228" t="s">
        <v>5418</v>
      </c>
      <c r="H1326" s="18" t="s">
        <v>5419</v>
      </c>
      <c r="K1326" s="228" t="s">
        <v>5449</v>
      </c>
      <c r="L1326" s="18" t="s">
        <v>5450</v>
      </c>
      <c r="P1326" s="16"/>
      <c r="Q1326" s="16"/>
      <c r="R1326" s="16"/>
      <c r="S1326" s="16"/>
      <c r="U1326" s="283" t="e">
        <v>#N/A</v>
      </c>
      <c r="V1326" s="18" t="s">
        <v>5454</v>
      </c>
      <c r="W1326" s="18">
        <v>1</v>
      </c>
      <c r="X1326" s="18">
        <v>1</v>
      </c>
      <c r="Y1326" s="18">
        <v>1</v>
      </c>
      <c r="Z1326" s="18">
        <v>1</v>
      </c>
      <c r="AA1326" s="18">
        <v>1</v>
      </c>
      <c r="AB1326" s="18">
        <v>1</v>
      </c>
      <c r="AC1326" s="18">
        <v>1</v>
      </c>
      <c r="AD1326" s="18">
        <v>1</v>
      </c>
      <c r="AE1326" s="302">
        <f t="shared" si="56"/>
        <v>1</v>
      </c>
      <c r="AF1326" s="176">
        <v>1</v>
      </c>
      <c r="AG1326" s="17">
        <v>0</v>
      </c>
      <c r="AH1326" s="176" t="s">
        <v>2526</v>
      </c>
      <c r="AI1326" s="239" t="s">
        <v>2526</v>
      </c>
      <c r="AJ1326" s="239" t="s">
        <v>2526</v>
      </c>
      <c r="AK1326" s="237">
        <v>10</v>
      </c>
      <c r="AL1326" s="238">
        <v>50</v>
      </c>
      <c r="AM1326" s="147">
        <f t="shared" si="55"/>
        <v>60</v>
      </c>
      <c r="AN1326" s="157" t="s">
        <v>619</v>
      </c>
      <c r="AO1326" s="157" t="s">
        <v>350</v>
      </c>
      <c r="AP1326" s="240" t="s">
        <v>119</v>
      </c>
      <c r="AQ1326" s="157"/>
    </row>
    <row r="1327" spans="1:43" s="18" customFormat="1" x14ac:dyDescent="0.3">
      <c r="A1327" s="228" t="s">
        <v>1451</v>
      </c>
      <c r="B1327" s="18" t="s">
        <v>4838</v>
      </c>
      <c r="C1327" s="228" t="s">
        <v>4841</v>
      </c>
      <c r="D1327" s="18" t="s">
        <v>2439</v>
      </c>
      <c r="E1327" s="228" t="s">
        <v>5416</v>
      </c>
      <c r="F1327" s="18" t="s">
        <v>5417</v>
      </c>
      <c r="G1327" s="228" t="s">
        <v>5418</v>
      </c>
      <c r="H1327" s="18" t="s">
        <v>5419</v>
      </c>
      <c r="K1327" s="228" t="s">
        <v>5449</v>
      </c>
      <c r="L1327" s="18" t="s">
        <v>5450</v>
      </c>
      <c r="P1327" s="16"/>
      <c r="Q1327" s="16"/>
      <c r="R1327" s="16"/>
      <c r="S1327" s="16"/>
      <c r="U1327" s="283" t="e">
        <v>#N/A</v>
      </c>
      <c r="V1327" s="18" t="s">
        <v>5455</v>
      </c>
      <c r="W1327" s="18">
        <v>1</v>
      </c>
      <c r="X1327" s="18">
        <v>1</v>
      </c>
      <c r="Y1327" s="18">
        <v>1</v>
      </c>
      <c r="Z1327" s="18">
        <v>1</v>
      </c>
      <c r="AA1327" s="18">
        <v>1</v>
      </c>
      <c r="AB1327" s="18">
        <v>1</v>
      </c>
      <c r="AC1327" s="18">
        <v>1</v>
      </c>
      <c r="AD1327" s="18">
        <v>1</v>
      </c>
      <c r="AE1327" s="302">
        <f t="shared" si="56"/>
        <v>1</v>
      </c>
      <c r="AF1327" s="176">
        <v>0</v>
      </c>
      <c r="AG1327" s="17">
        <v>0</v>
      </c>
      <c r="AH1327" s="176" t="s">
        <v>2526</v>
      </c>
      <c r="AI1327" s="239" t="s">
        <v>2526</v>
      </c>
      <c r="AJ1327" s="239" t="s">
        <v>2526</v>
      </c>
      <c r="AK1327" s="238" t="s">
        <v>2526</v>
      </c>
      <c r="AL1327" s="238" t="s">
        <v>2526</v>
      </c>
      <c r="AM1327" s="147">
        <f t="shared" si="55"/>
        <v>0</v>
      </c>
      <c r="AN1327" s="157" t="s">
        <v>619</v>
      </c>
      <c r="AO1327" s="157" t="s">
        <v>350</v>
      </c>
      <c r="AP1327" s="240" t="s">
        <v>119</v>
      </c>
      <c r="AQ1327" s="157"/>
    </row>
    <row r="1328" spans="1:43" s="18" customFormat="1" x14ac:dyDescent="0.3">
      <c r="A1328" s="228" t="s">
        <v>1451</v>
      </c>
      <c r="B1328" s="18" t="s">
        <v>4838</v>
      </c>
      <c r="C1328" s="228" t="s">
        <v>4841</v>
      </c>
      <c r="D1328" s="18" t="s">
        <v>2439</v>
      </c>
      <c r="E1328" s="228" t="s">
        <v>5416</v>
      </c>
      <c r="F1328" s="18" t="s">
        <v>5417</v>
      </c>
      <c r="G1328" s="228" t="s">
        <v>5418</v>
      </c>
      <c r="H1328" s="18" t="s">
        <v>5419</v>
      </c>
      <c r="J1328" s="18" t="s">
        <v>5456</v>
      </c>
      <c r="K1328" s="233" t="s">
        <v>5457</v>
      </c>
      <c r="L1328" s="18" t="s">
        <v>5458</v>
      </c>
      <c r="M1328" s="18" t="s">
        <v>5153</v>
      </c>
      <c r="P1328" s="16"/>
      <c r="Q1328" s="16"/>
      <c r="R1328" s="16"/>
      <c r="S1328" s="16"/>
      <c r="T1328" s="18" t="s">
        <v>1132</v>
      </c>
      <c r="U1328" s="283" t="s">
        <v>3739</v>
      </c>
      <c r="V1328" s="18" t="s">
        <v>5459</v>
      </c>
      <c r="W1328" s="18">
        <v>1</v>
      </c>
      <c r="X1328" s="18">
        <v>1</v>
      </c>
      <c r="Y1328" s="18">
        <v>1</v>
      </c>
      <c r="Z1328" s="18">
        <v>1</v>
      </c>
      <c r="AA1328" s="18">
        <v>1</v>
      </c>
      <c r="AB1328" s="18">
        <v>0</v>
      </c>
      <c r="AC1328" s="18">
        <v>0</v>
      </c>
      <c r="AD1328" s="18">
        <v>1</v>
      </c>
      <c r="AE1328" s="302">
        <f t="shared" si="56"/>
        <v>0.75</v>
      </c>
      <c r="AF1328" s="176">
        <v>0</v>
      </c>
      <c r="AG1328" s="17">
        <v>0</v>
      </c>
      <c r="AH1328" s="176">
        <v>2</v>
      </c>
      <c r="AI1328" s="239">
        <v>3</v>
      </c>
      <c r="AJ1328" s="239">
        <v>3.5</v>
      </c>
      <c r="AK1328" s="237">
        <v>2.5</v>
      </c>
      <c r="AL1328" s="238">
        <v>5</v>
      </c>
      <c r="AM1328" s="147">
        <f t="shared" si="55"/>
        <v>7.5</v>
      </c>
      <c r="AN1328" s="157" t="s">
        <v>1132</v>
      </c>
      <c r="AO1328" s="157" t="s">
        <v>1134</v>
      </c>
      <c r="AP1328" s="240"/>
      <c r="AQ1328" s="157"/>
    </row>
    <row r="1329" spans="1:43" s="18" customFormat="1" x14ac:dyDescent="0.3">
      <c r="A1329" s="228" t="s">
        <v>1451</v>
      </c>
      <c r="B1329" s="18" t="s">
        <v>4838</v>
      </c>
      <c r="C1329" s="228" t="s">
        <v>4841</v>
      </c>
      <c r="D1329" s="18" t="s">
        <v>2439</v>
      </c>
      <c r="E1329" s="228" t="s">
        <v>5416</v>
      </c>
      <c r="F1329" s="18" t="s">
        <v>5417</v>
      </c>
      <c r="G1329" s="228" t="s">
        <v>5460</v>
      </c>
      <c r="H1329" s="18" t="s">
        <v>5461</v>
      </c>
      <c r="K1329" s="228" t="s">
        <v>5462</v>
      </c>
      <c r="L1329" s="18" t="s">
        <v>5463</v>
      </c>
      <c r="M1329" s="18" t="s">
        <v>5464</v>
      </c>
      <c r="N1329" s="18">
        <v>0</v>
      </c>
      <c r="O1329" s="18">
        <v>5</v>
      </c>
      <c r="P1329" s="16">
        <v>6</v>
      </c>
      <c r="Q1329" s="16">
        <v>8</v>
      </c>
      <c r="R1329" s="16">
        <v>12</v>
      </c>
      <c r="S1329" s="16">
        <v>12</v>
      </c>
      <c r="T1329" s="18" t="s">
        <v>3201</v>
      </c>
      <c r="U1329" s="283" t="s">
        <v>5285</v>
      </c>
      <c r="V1329" s="18" t="s">
        <v>5465</v>
      </c>
      <c r="W1329" s="18">
        <v>1</v>
      </c>
      <c r="X1329" s="18">
        <v>1</v>
      </c>
      <c r="Y1329" s="18">
        <v>1</v>
      </c>
      <c r="Z1329" s="18">
        <v>0</v>
      </c>
      <c r="AA1329" s="18">
        <v>0</v>
      </c>
      <c r="AB1329" s="18">
        <v>1</v>
      </c>
      <c r="AC1329" s="316">
        <v>0</v>
      </c>
      <c r="AD1329" s="316">
        <v>1</v>
      </c>
      <c r="AE1329" s="302">
        <f t="shared" si="56"/>
        <v>0.625</v>
      </c>
      <c r="AF1329" s="176">
        <v>0</v>
      </c>
      <c r="AG1329" s="17">
        <v>0</v>
      </c>
      <c r="AH1329" s="176" t="s">
        <v>2526</v>
      </c>
      <c r="AI1329" s="239" t="s">
        <v>2526</v>
      </c>
      <c r="AJ1329" s="239" t="s">
        <v>2526</v>
      </c>
      <c r="AK1329" s="238" t="s">
        <v>2526</v>
      </c>
      <c r="AL1329" s="238" t="s">
        <v>2526</v>
      </c>
      <c r="AM1329" s="147">
        <f t="shared" si="55"/>
        <v>0</v>
      </c>
      <c r="AN1329" s="157" t="s">
        <v>5466</v>
      </c>
      <c r="AO1329" s="157" t="s">
        <v>871</v>
      </c>
      <c r="AP1329" s="240" t="s">
        <v>119</v>
      </c>
      <c r="AQ1329" s="157"/>
    </row>
    <row r="1330" spans="1:43" s="18" customFormat="1" x14ac:dyDescent="0.3">
      <c r="A1330" s="228" t="s">
        <v>1451</v>
      </c>
      <c r="B1330" s="18" t="s">
        <v>4838</v>
      </c>
      <c r="C1330" s="228" t="s">
        <v>4841</v>
      </c>
      <c r="D1330" s="18" t="s">
        <v>2439</v>
      </c>
      <c r="E1330" s="228" t="s">
        <v>5416</v>
      </c>
      <c r="F1330" s="18" t="s">
        <v>5417</v>
      </c>
      <c r="G1330" s="228" t="s">
        <v>5460</v>
      </c>
      <c r="H1330" s="18" t="s">
        <v>5461</v>
      </c>
      <c r="K1330" s="228" t="s">
        <v>5462</v>
      </c>
      <c r="L1330" s="18" t="s">
        <v>5463</v>
      </c>
      <c r="M1330" s="18" t="s">
        <v>5467</v>
      </c>
      <c r="N1330" s="18">
        <v>1</v>
      </c>
      <c r="O1330" s="18">
        <v>5</v>
      </c>
      <c r="P1330" s="16">
        <v>10</v>
      </c>
      <c r="Q1330" s="16">
        <v>10</v>
      </c>
      <c r="R1330" s="16">
        <v>10</v>
      </c>
      <c r="S1330" s="16">
        <v>10</v>
      </c>
      <c r="T1330" s="18" t="s">
        <v>2361</v>
      </c>
      <c r="U1330" s="283" t="s">
        <v>103</v>
      </c>
      <c r="V1330" s="18" t="s">
        <v>5468</v>
      </c>
      <c r="W1330" s="18">
        <v>0</v>
      </c>
      <c r="X1330" s="18">
        <v>0</v>
      </c>
      <c r="Y1330" s="18">
        <v>0</v>
      </c>
      <c r="Z1330" s="18">
        <v>0</v>
      </c>
      <c r="AA1330" s="18">
        <v>0</v>
      </c>
      <c r="AB1330" s="18">
        <v>0</v>
      </c>
      <c r="AC1330" s="18">
        <v>0</v>
      </c>
      <c r="AD1330" s="18">
        <v>0</v>
      </c>
      <c r="AE1330" s="302">
        <f t="shared" si="56"/>
        <v>0</v>
      </c>
      <c r="AF1330" s="176">
        <v>0</v>
      </c>
      <c r="AG1330" s="176">
        <v>0</v>
      </c>
      <c r="AH1330" s="176" t="s">
        <v>2526</v>
      </c>
      <c r="AI1330" s="239" t="s">
        <v>2526</v>
      </c>
      <c r="AJ1330" s="239" t="s">
        <v>2526</v>
      </c>
      <c r="AK1330" s="238" t="s">
        <v>2526</v>
      </c>
      <c r="AL1330" s="238" t="s">
        <v>2526</v>
      </c>
      <c r="AM1330" s="147">
        <f t="shared" si="55"/>
        <v>0</v>
      </c>
      <c r="AN1330" s="157" t="s">
        <v>101</v>
      </c>
      <c r="AO1330" s="157" t="s">
        <v>103</v>
      </c>
      <c r="AP1330" s="240" t="s">
        <v>119</v>
      </c>
      <c r="AQ1330" s="157"/>
    </row>
    <row r="1331" spans="1:43" s="18" customFormat="1" x14ac:dyDescent="0.3">
      <c r="A1331" s="228" t="s">
        <v>1451</v>
      </c>
      <c r="B1331" s="18" t="s">
        <v>4838</v>
      </c>
      <c r="C1331" s="228" t="s">
        <v>4841</v>
      </c>
      <c r="D1331" s="18" t="s">
        <v>2439</v>
      </c>
      <c r="E1331" s="228" t="s">
        <v>5416</v>
      </c>
      <c r="F1331" s="18" t="s">
        <v>5417</v>
      </c>
      <c r="G1331" s="228" t="s">
        <v>5460</v>
      </c>
      <c r="H1331" s="18" t="s">
        <v>5461</v>
      </c>
      <c r="K1331" s="228" t="s">
        <v>5462</v>
      </c>
      <c r="L1331" s="18" t="s">
        <v>5463</v>
      </c>
      <c r="M1331" s="18" t="s">
        <v>5469</v>
      </c>
      <c r="N1331" s="18">
        <v>0</v>
      </c>
      <c r="O1331" s="18">
        <v>1</v>
      </c>
      <c r="P1331" s="16">
        <v>10</v>
      </c>
      <c r="Q1331" s="16">
        <v>15</v>
      </c>
      <c r="R1331" s="16">
        <v>2020</v>
      </c>
      <c r="S1331" s="16">
        <v>20</v>
      </c>
      <c r="T1331" s="18" t="s">
        <v>5470</v>
      </c>
      <c r="U1331" s="283" t="e">
        <v>#N/A</v>
      </c>
      <c r="V1331" s="18" t="s">
        <v>5471</v>
      </c>
      <c r="W1331" s="18">
        <v>0</v>
      </c>
      <c r="X1331" s="18">
        <v>0</v>
      </c>
      <c r="Y1331" s="18">
        <v>0</v>
      </c>
      <c r="Z1331" s="18">
        <v>0</v>
      </c>
      <c r="AA1331" s="18">
        <v>0</v>
      </c>
      <c r="AB1331" s="18">
        <v>0</v>
      </c>
      <c r="AC1331" s="18">
        <v>0</v>
      </c>
      <c r="AD1331" s="18">
        <v>0</v>
      </c>
      <c r="AE1331" s="302">
        <f t="shared" si="56"/>
        <v>0</v>
      </c>
      <c r="AF1331" s="176">
        <v>0</v>
      </c>
      <c r="AG1331" s="176">
        <v>0</v>
      </c>
      <c r="AH1331" s="176" t="s">
        <v>2526</v>
      </c>
      <c r="AI1331" s="239" t="s">
        <v>2526</v>
      </c>
      <c r="AJ1331" s="239" t="s">
        <v>2526</v>
      </c>
      <c r="AK1331" s="238" t="s">
        <v>2526</v>
      </c>
      <c r="AL1331" s="238" t="s">
        <v>2526</v>
      </c>
      <c r="AM1331" s="147">
        <f t="shared" si="55"/>
        <v>0</v>
      </c>
      <c r="AN1331" s="157" t="s">
        <v>101</v>
      </c>
      <c r="AO1331" s="157" t="s">
        <v>103</v>
      </c>
      <c r="AP1331" s="240" t="s">
        <v>119</v>
      </c>
      <c r="AQ1331" s="157"/>
    </row>
    <row r="1332" spans="1:43" s="18" customFormat="1" x14ac:dyDescent="0.3">
      <c r="A1332" s="228" t="s">
        <v>1451</v>
      </c>
      <c r="B1332" s="18" t="s">
        <v>4838</v>
      </c>
      <c r="C1332" s="228" t="s">
        <v>4841</v>
      </c>
      <c r="D1332" s="18" t="s">
        <v>2439</v>
      </c>
      <c r="E1332" s="228" t="s">
        <v>5416</v>
      </c>
      <c r="F1332" s="18" t="s">
        <v>5417</v>
      </c>
      <c r="G1332" s="228" t="s">
        <v>5460</v>
      </c>
      <c r="H1332" s="18" t="s">
        <v>5461</v>
      </c>
      <c r="K1332" s="228" t="s">
        <v>5462</v>
      </c>
      <c r="L1332" s="18" t="s">
        <v>5463</v>
      </c>
      <c r="P1332" s="16"/>
      <c r="Q1332" s="16"/>
      <c r="R1332" s="16"/>
      <c r="S1332" s="16"/>
      <c r="U1332" s="283" t="e">
        <v>#N/A</v>
      </c>
      <c r="V1332" s="18" t="s">
        <v>5472</v>
      </c>
      <c r="W1332" s="18">
        <v>0</v>
      </c>
      <c r="X1332" s="18">
        <v>0</v>
      </c>
      <c r="Y1332" s="18">
        <v>0</v>
      </c>
      <c r="Z1332" s="18">
        <v>0</v>
      </c>
      <c r="AA1332" s="18">
        <v>0</v>
      </c>
      <c r="AB1332" s="18">
        <v>0</v>
      </c>
      <c r="AC1332" s="18">
        <v>0</v>
      </c>
      <c r="AD1332" s="18">
        <v>0</v>
      </c>
      <c r="AE1332" s="302">
        <f t="shared" si="56"/>
        <v>0</v>
      </c>
      <c r="AF1332" s="176">
        <v>0</v>
      </c>
      <c r="AG1332" s="176">
        <v>0</v>
      </c>
      <c r="AH1332" s="176" t="s">
        <v>2526</v>
      </c>
      <c r="AI1332" s="239" t="s">
        <v>2526</v>
      </c>
      <c r="AJ1332" s="239" t="s">
        <v>2526</v>
      </c>
      <c r="AK1332" s="238" t="s">
        <v>2526</v>
      </c>
      <c r="AL1332" s="238" t="s">
        <v>2526</v>
      </c>
      <c r="AM1332" s="147">
        <f t="shared" si="55"/>
        <v>0</v>
      </c>
      <c r="AN1332" s="157" t="s">
        <v>101</v>
      </c>
      <c r="AO1332" s="157" t="s">
        <v>103</v>
      </c>
      <c r="AP1332" s="240" t="s">
        <v>119</v>
      </c>
      <c r="AQ1332" s="157"/>
    </row>
    <row r="1333" spans="1:43" s="18" customFormat="1" x14ac:dyDescent="0.3">
      <c r="A1333" s="228" t="s">
        <v>1451</v>
      </c>
      <c r="B1333" s="18" t="s">
        <v>4838</v>
      </c>
      <c r="C1333" s="228" t="s">
        <v>4841</v>
      </c>
      <c r="D1333" s="18" t="s">
        <v>2439</v>
      </c>
      <c r="E1333" s="228" t="s">
        <v>5416</v>
      </c>
      <c r="F1333" s="18" t="s">
        <v>5417</v>
      </c>
      <c r="G1333" s="228" t="s">
        <v>5460</v>
      </c>
      <c r="H1333" s="18" t="s">
        <v>5461</v>
      </c>
      <c r="K1333" s="228" t="s">
        <v>5462</v>
      </c>
      <c r="L1333" s="18" t="s">
        <v>5463</v>
      </c>
      <c r="P1333" s="16"/>
      <c r="Q1333" s="16"/>
      <c r="R1333" s="16"/>
      <c r="S1333" s="16"/>
      <c r="U1333" s="283" t="e">
        <v>#N/A</v>
      </c>
      <c r="V1333" s="18" t="s">
        <v>5473</v>
      </c>
      <c r="W1333" s="18">
        <v>0</v>
      </c>
      <c r="X1333" s="18">
        <v>0</v>
      </c>
      <c r="Y1333" s="18">
        <v>0</v>
      </c>
      <c r="Z1333" s="18">
        <v>0</v>
      </c>
      <c r="AA1333" s="18">
        <v>0</v>
      </c>
      <c r="AB1333" s="18">
        <v>0</v>
      </c>
      <c r="AC1333" s="18">
        <v>0</v>
      </c>
      <c r="AD1333" s="18">
        <v>0</v>
      </c>
      <c r="AE1333" s="302">
        <f t="shared" si="56"/>
        <v>0</v>
      </c>
      <c r="AF1333" s="176">
        <v>0</v>
      </c>
      <c r="AG1333" s="176">
        <v>0</v>
      </c>
      <c r="AH1333" s="176" t="s">
        <v>2526</v>
      </c>
      <c r="AI1333" s="239" t="s">
        <v>2526</v>
      </c>
      <c r="AJ1333" s="239" t="s">
        <v>2526</v>
      </c>
      <c r="AK1333" s="238" t="s">
        <v>2526</v>
      </c>
      <c r="AL1333" s="238" t="s">
        <v>2526</v>
      </c>
      <c r="AM1333" s="147">
        <f t="shared" si="55"/>
        <v>0</v>
      </c>
      <c r="AN1333" s="157" t="s">
        <v>101</v>
      </c>
      <c r="AO1333" s="157" t="s">
        <v>103</v>
      </c>
      <c r="AP1333" s="240" t="s">
        <v>119</v>
      </c>
      <c r="AQ1333" s="157"/>
    </row>
    <row r="1334" spans="1:43" s="18" customFormat="1" x14ac:dyDescent="0.3">
      <c r="A1334" s="228" t="s">
        <v>1451</v>
      </c>
      <c r="B1334" s="18" t="s">
        <v>4838</v>
      </c>
      <c r="C1334" s="228" t="s">
        <v>4841</v>
      </c>
      <c r="D1334" s="18" t="s">
        <v>2439</v>
      </c>
      <c r="E1334" s="228" t="s">
        <v>5416</v>
      </c>
      <c r="F1334" s="18" t="s">
        <v>5417</v>
      </c>
      <c r="G1334" s="228" t="s">
        <v>5460</v>
      </c>
      <c r="H1334" s="18" t="s">
        <v>5461</v>
      </c>
      <c r="K1334" s="228" t="s">
        <v>5462</v>
      </c>
      <c r="L1334" s="18" t="s">
        <v>5463</v>
      </c>
      <c r="P1334" s="16"/>
      <c r="Q1334" s="16"/>
      <c r="R1334" s="16"/>
      <c r="S1334" s="16"/>
      <c r="U1334" s="283" t="e">
        <v>#N/A</v>
      </c>
      <c r="V1334" s="18" t="s">
        <v>5474</v>
      </c>
      <c r="W1334" s="18">
        <v>0</v>
      </c>
      <c r="X1334" s="18">
        <v>0</v>
      </c>
      <c r="Y1334" s="18">
        <v>0</v>
      </c>
      <c r="Z1334" s="18">
        <v>0</v>
      </c>
      <c r="AA1334" s="18">
        <v>0</v>
      </c>
      <c r="AB1334" s="18">
        <v>0</v>
      </c>
      <c r="AC1334" s="18">
        <v>0</v>
      </c>
      <c r="AD1334" s="18">
        <v>0</v>
      </c>
      <c r="AE1334" s="302">
        <f t="shared" si="56"/>
        <v>0</v>
      </c>
      <c r="AF1334" s="176">
        <v>0</v>
      </c>
      <c r="AG1334" s="176">
        <v>0</v>
      </c>
      <c r="AH1334" s="176" t="s">
        <v>2526</v>
      </c>
      <c r="AI1334" s="239" t="s">
        <v>2526</v>
      </c>
      <c r="AJ1334" s="239" t="s">
        <v>2526</v>
      </c>
      <c r="AK1334" s="177" t="s">
        <v>2526</v>
      </c>
      <c r="AL1334" s="177" t="s">
        <v>2526</v>
      </c>
      <c r="AM1334" s="147">
        <f t="shared" si="55"/>
        <v>0</v>
      </c>
      <c r="AN1334" s="18" t="s">
        <v>101</v>
      </c>
      <c r="AO1334" s="18" t="s">
        <v>103</v>
      </c>
      <c r="AP1334" s="240" t="s">
        <v>119</v>
      </c>
      <c r="AQ1334" s="157"/>
    </row>
    <row r="1335" spans="1:43" s="18" customFormat="1" x14ac:dyDescent="0.3">
      <c r="A1335" s="228" t="s">
        <v>1451</v>
      </c>
      <c r="B1335" s="18" t="s">
        <v>4838</v>
      </c>
      <c r="C1335" s="228" t="s">
        <v>4841</v>
      </c>
      <c r="D1335" s="18" t="s">
        <v>2439</v>
      </c>
      <c r="E1335" s="228" t="s">
        <v>5416</v>
      </c>
      <c r="F1335" s="18" t="s">
        <v>5417</v>
      </c>
      <c r="G1335" s="228" t="s">
        <v>5460</v>
      </c>
      <c r="H1335" s="18" t="s">
        <v>5461</v>
      </c>
      <c r="K1335" s="228" t="s">
        <v>5462</v>
      </c>
      <c r="L1335" s="18" t="s">
        <v>5463</v>
      </c>
      <c r="P1335" s="16"/>
      <c r="Q1335" s="16"/>
      <c r="R1335" s="16"/>
      <c r="S1335" s="16"/>
      <c r="U1335" s="283" t="e">
        <v>#N/A</v>
      </c>
      <c r="V1335" s="18" t="s">
        <v>5475</v>
      </c>
      <c r="W1335" s="18">
        <v>0</v>
      </c>
      <c r="X1335" s="18">
        <v>0</v>
      </c>
      <c r="Y1335" s="18">
        <v>0</v>
      </c>
      <c r="Z1335" s="18">
        <v>0</v>
      </c>
      <c r="AA1335" s="18">
        <v>0</v>
      </c>
      <c r="AB1335" s="18">
        <v>0</v>
      </c>
      <c r="AC1335" s="18">
        <v>0</v>
      </c>
      <c r="AD1335" s="18">
        <v>0</v>
      </c>
      <c r="AE1335" s="302">
        <f t="shared" si="56"/>
        <v>0</v>
      </c>
      <c r="AF1335" s="176">
        <v>0</v>
      </c>
      <c r="AG1335" s="176">
        <v>0</v>
      </c>
      <c r="AH1335" s="176" t="s">
        <v>2526</v>
      </c>
      <c r="AI1335" s="239" t="s">
        <v>2526</v>
      </c>
      <c r="AJ1335" s="239" t="s">
        <v>2526</v>
      </c>
      <c r="AK1335" s="177" t="s">
        <v>2526</v>
      </c>
      <c r="AL1335" s="177" t="s">
        <v>2526</v>
      </c>
      <c r="AM1335" s="147">
        <f t="shared" si="55"/>
        <v>0</v>
      </c>
      <c r="AN1335" s="18" t="s">
        <v>101</v>
      </c>
      <c r="AO1335" s="18" t="s">
        <v>103</v>
      </c>
      <c r="AP1335" s="240" t="s">
        <v>119</v>
      </c>
      <c r="AQ1335" s="157"/>
    </row>
    <row r="1336" spans="1:43" s="18" customFormat="1" x14ac:dyDescent="0.3">
      <c r="A1336" s="228" t="s">
        <v>1451</v>
      </c>
      <c r="B1336" s="18" t="s">
        <v>4838</v>
      </c>
      <c r="C1336" s="228" t="s">
        <v>4841</v>
      </c>
      <c r="D1336" s="18" t="s">
        <v>2439</v>
      </c>
      <c r="E1336" s="228" t="s">
        <v>5416</v>
      </c>
      <c r="F1336" s="18" t="s">
        <v>5417</v>
      </c>
      <c r="G1336" s="228" t="s">
        <v>5460</v>
      </c>
      <c r="H1336" s="18" t="s">
        <v>5461</v>
      </c>
      <c r="K1336" s="228" t="s">
        <v>5462</v>
      </c>
      <c r="L1336" s="18" t="s">
        <v>5463</v>
      </c>
      <c r="P1336" s="16"/>
      <c r="Q1336" s="16"/>
      <c r="R1336" s="16"/>
      <c r="S1336" s="16"/>
      <c r="U1336" s="283" t="e">
        <v>#N/A</v>
      </c>
      <c r="V1336" s="18" t="s">
        <v>5476</v>
      </c>
      <c r="W1336" s="18">
        <v>0</v>
      </c>
      <c r="X1336" s="18">
        <v>0</v>
      </c>
      <c r="Y1336" s="18">
        <v>0</v>
      </c>
      <c r="Z1336" s="18">
        <v>0</v>
      </c>
      <c r="AA1336" s="18">
        <v>0</v>
      </c>
      <c r="AB1336" s="18">
        <v>0</v>
      </c>
      <c r="AC1336" s="18">
        <v>0</v>
      </c>
      <c r="AD1336" s="18">
        <v>0</v>
      </c>
      <c r="AE1336" s="302">
        <f t="shared" si="56"/>
        <v>0</v>
      </c>
      <c r="AF1336" s="176">
        <v>0</v>
      </c>
      <c r="AG1336" s="176">
        <v>0</v>
      </c>
      <c r="AH1336" s="176" t="s">
        <v>2526</v>
      </c>
      <c r="AI1336" s="239" t="s">
        <v>2526</v>
      </c>
      <c r="AJ1336" s="239" t="s">
        <v>2526</v>
      </c>
      <c r="AK1336" s="177" t="s">
        <v>2526</v>
      </c>
      <c r="AL1336" s="177" t="s">
        <v>2526</v>
      </c>
      <c r="AM1336" s="147">
        <f t="shared" si="55"/>
        <v>0</v>
      </c>
      <c r="AN1336" s="18" t="s">
        <v>101</v>
      </c>
      <c r="AO1336" s="18" t="s">
        <v>103</v>
      </c>
      <c r="AP1336" s="240" t="s">
        <v>119</v>
      </c>
      <c r="AQ1336" s="157"/>
    </row>
    <row r="1337" spans="1:43" s="18" customFormat="1" x14ac:dyDescent="0.3">
      <c r="A1337" s="228" t="s">
        <v>1451</v>
      </c>
      <c r="B1337" s="18" t="s">
        <v>4838</v>
      </c>
      <c r="C1337" s="228" t="s">
        <v>4841</v>
      </c>
      <c r="D1337" s="18" t="s">
        <v>2439</v>
      </c>
      <c r="E1337" s="228" t="s">
        <v>5416</v>
      </c>
      <c r="F1337" s="18" t="s">
        <v>5417</v>
      </c>
      <c r="G1337" s="228" t="s">
        <v>5460</v>
      </c>
      <c r="H1337" s="18" t="s">
        <v>5461</v>
      </c>
      <c r="K1337" s="228" t="s">
        <v>5462</v>
      </c>
      <c r="L1337" s="18" t="s">
        <v>5463</v>
      </c>
      <c r="P1337" s="16"/>
      <c r="Q1337" s="16"/>
      <c r="R1337" s="16"/>
      <c r="S1337" s="16"/>
      <c r="U1337" s="283" t="e">
        <v>#N/A</v>
      </c>
      <c r="V1337" s="18" t="s">
        <v>5477</v>
      </c>
      <c r="W1337" s="18">
        <v>1</v>
      </c>
      <c r="X1337" s="18">
        <v>1</v>
      </c>
      <c r="Y1337" s="18">
        <v>0</v>
      </c>
      <c r="Z1337" s="18">
        <v>1</v>
      </c>
      <c r="AA1337" s="18">
        <v>0</v>
      </c>
      <c r="AB1337" s="18">
        <v>0</v>
      </c>
      <c r="AC1337" s="316">
        <v>0</v>
      </c>
      <c r="AD1337" s="316">
        <v>1</v>
      </c>
      <c r="AE1337" s="302">
        <f t="shared" si="56"/>
        <v>0.5</v>
      </c>
      <c r="AF1337" s="176">
        <v>0</v>
      </c>
      <c r="AG1337" s="17">
        <v>0</v>
      </c>
      <c r="AH1337" s="176" t="s">
        <v>2526</v>
      </c>
      <c r="AI1337" s="239" t="s">
        <v>2526</v>
      </c>
      <c r="AJ1337" s="239" t="s">
        <v>2526</v>
      </c>
      <c r="AK1337" s="177" t="s">
        <v>2526</v>
      </c>
      <c r="AL1337" s="177" t="s">
        <v>2526</v>
      </c>
      <c r="AM1337" s="147">
        <f t="shared" si="55"/>
        <v>0</v>
      </c>
      <c r="AN1337" s="18" t="s">
        <v>5478</v>
      </c>
      <c r="AO1337" s="18" t="s">
        <v>880</v>
      </c>
      <c r="AP1337" s="240" t="s">
        <v>119</v>
      </c>
      <c r="AQ1337" s="157"/>
    </row>
    <row r="1338" spans="1:43" s="18" customFormat="1" x14ac:dyDescent="0.3">
      <c r="A1338" s="228" t="s">
        <v>1451</v>
      </c>
      <c r="B1338" s="18" t="s">
        <v>4838</v>
      </c>
      <c r="C1338" s="228" t="s">
        <v>4841</v>
      </c>
      <c r="D1338" s="18" t="s">
        <v>2439</v>
      </c>
      <c r="E1338" s="228" t="s">
        <v>5416</v>
      </c>
      <c r="F1338" s="18" t="s">
        <v>5417</v>
      </c>
      <c r="G1338" s="228" t="s">
        <v>5460</v>
      </c>
      <c r="H1338" s="18" t="s">
        <v>5461</v>
      </c>
      <c r="K1338" s="228" t="s">
        <v>5462</v>
      </c>
      <c r="L1338" s="18" t="s">
        <v>5463</v>
      </c>
      <c r="P1338" s="16"/>
      <c r="Q1338" s="16"/>
      <c r="R1338" s="16"/>
      <c r="S1338" s="16"/>
      <c r="U1338" s="283" t="e">
        <v>#N/A</v>
      </c>
      <c r="V1338" s="18" t="s">
        <v>5479</v>
      </c>
      <c r="W1338" s="18">
        <v>1</v>
      </c>
      <c r="X1338" s="18">
        <v>0</v>
      </c>
      <c r="Y1338" s="18">
        <v>0</v>
      </c>
      <c r="Z1338" s="18">
        <v>0</v>
      </c>
      <c r="AA1338" s="18">
        <v>0</v>
      </c>
      <c r="AB1338" s="18">
        <v>0</v>
      </c>
      <c r="AC1338" s="316">
        <v>0</v>
      </c>
      <c r="AD1338" s="316">
        <v>1</v>
      </c>
      <c r="AE1338" s="302">
        <f t="shared" si="56"/>
        <v>0.25</v>
      </c>
      <c r="AF1338" s="176">
        <v>0</v>
      </c>
      <c r="AG1338" s="17">
        <v>0</v>
      </c>
      <c r="AH1338" s="176" t="s">
        <v>2526</v>
      </c>
      <c r="AI1338" s="239" t="s">
        <v>2526</v>
      </c>
      <c r="AJ1338" s="239" t="s">
        <v>2526</v>
      </c>
      <c r="AK1338" s="177" t="s">
        <v>2526</v>
      </c>
      <c r="AL1338" s="177" t="s">
        <v>2526</v>
      </c>
      <c r="AM1338" s="147">
        <f t="shared" si="55"/>
        <v>0</v>
      </c>
      <c r="AN1338" s="18" t="s">
        <v>5478</v>
      </c>
      <c r="AO1338" s="18" t="s">
        <v>880</v>
      </c>
      <c r="AP1338" s="240" t="s">
        <v>119</v>
      </c>
      <c r="AQ1338" s="157"/>
    </row>
    <row r="1339" spans="1:43" s="18" customFormat="1" x14ac:dyDescent="0.3">
      <c r="A1339" s="228" t="s">
        <v>1451</v>
      </c>
      <c r="B1339" s="18" t="s">
        <v>4838</v>
      </c>
      <c r="C1339" s="228" t="s">
        <v>4841</v>
      </c>
      <c r="D1339" s="18" t="s">
        <v>2439</v>
      </c>
      <c r="E1339" s="228" t="s">
        <v>5416</v>
      </c>
      <c r="F1339" s="18" t="s">
        <v>5417</v>
      </c>
      <c r="G1339" s="228" t="s">
        <v>5460</v>
      </c>
      <c r="H1339" s="18" t="s">
        <v>5461</v>
      </c>
      <c r="K1339" s="228" t="s">
        <v>5462</v>
      </c>
      <c r="L1339" s="18" t="s">
        <v>5463</v>
      </c>
      <c r="P1339" s="16"/>
      <c r="Q1339" s="16"/>
      <c r="R1339" s="16"/>
      <c r="S1339" s="16"/>
      <c r="U1339" s="283" t="e">
        <v>#N/A</v>
      </c>
      <c r="V1339" s="18" t="s">
        <v>5480</v>
      </c>
      <c r="W1339" s="18">
        <v>1</v>
      </c>
      <c r="X1339" s="18">
        <v>0</v>
      </c>
      <c r="Y1339" s="18">
        <v>0</v>
      </c>
      <c r="Z1339" s="18">
        <v>0</v>
      </c>
      <c r="AA1339" s="18">
        <v>0</v>
      </c>
      <c r="AB1339" s="18">
        <v>0</v>
      </c>
      <c r="AC1339" s="316">
        <v>0</v>
      </c>
      <c r="AD1339" s="316">
        <v>0</v>
      </c>
      <c r="AE1339" s="302">
        <f t="shared" si="56"/>
        <v>0.125</v>
      </c>
      <c r="AF1339" s="176">
        <v>0</v>
      </c>
      <c r="AG1339" s="17">
        <v>0</v>
      </c>
      <c r="AH1339" s="176" t="s">
        <v>2526</v>
      </c>
      <c r="AI1339" s="239" t="s">
        <v>2526</v>
      </c>
      <c r="AJ1339" s="239" t="s">
        <v>2526</v>
      </c>
      <c r="AK1339" s="177" t="s">
        <v>2526</v>
      </c>
      <c r="AL1339" s="177" t="s">
        <v>2526</v>
      </c>
      <c r="AM1339" s="147">
        <f t="shared" si="55"/>
        <v>0</v>
      </c>
      <c r="AN1339" s="18" t="s">
        <v>5478</v>
      </c>
      <c r="AO1339" s="18" t="s">
        <v>880</v>
      </c>
      <c r="AP1339" s="240" t="s">
        <v>119</v>
      </c>
      <c r="AQ1339" s="157"/>
    </row>
    <row r="1340" spans="1:43" s="18" customFormat="1" x14ac:dyDescent="0.3">
      <c r="A1340" s="228" t="s">
        <v>1451</v>
      </c>
      <c r="B1340" s="18" t="s">
        <v>4838</v>
      </c>
      <c r="C1340" s="228" t="s">
        <v>4841</v>
      </c>
      <c r="D1340" s="18" t="s">
        <v>2439</v>
      </c>
      <c r="E1340" s="228" t="s">
        <v>5416</v>
      </c>
      <c r="F1340" s="18" t="s">
        <v>5417</v>
      </c>
      <c r="G1340" s="228" t="s">
        <v>5460</v>
      </c>
      <c r="H1340" s="18" t="s">
        <v>5461</v>
      </c>
      <c r="K1340" s="228" t="s">
        <v>5462</v>
      </c>
      <c r="L1340" s="18" t="s">
        <v>5463</v>
      </c>
      <c r="P1340" s="16"/>
      <c r="Q1340" s="16"/>
      <c r="R1340" s="16"/>
      <c r="S1340" s="16"/>
      <c r="U1340" s="283" t="e">
        <v>#N/A</v>
      </c>
      <c r="V1340" s="18" t="s">
        <v>5481</v>
      </c>
      <c r="W1340" s="18">
        <v>1</v>
      </c>
      <c r="X1340" s="18">
        <v>0</v>
      </c>
      <c r="Y1340" s="18">
        <v>0</v>
      </c>
      <c r="Z1340" s="18">
        <v>0</v>
      </c>
      <c r="AA1340" s="18">
        <v>0</v>
      </c>
      <c r="AB1340" s="18">
        <v>0</v>
      </c>
      <c r="AC1340" s="316">
        <v>0</v>
      </c>
      <c r="AD1340" s="316">
        <v>0</v>
      </c>
      <c r="AE1340" s="302">
        <f t="shared" si="56"/>
        <v>0.125</v>
      </c>
      <c r="AF1340" s="176">
        <v>0</v>
      </c>
      <c r="AG1340" s="17">
        <v>0</v>
      </c>
      <c r="AH1340" s="176" t="s">
        <v>2526</v>
      </c>
      <c r="AI1340" s="239" t="s">
        <v>2526</v>
      </c>
      <c r="AJ1340" s="239" t="s">
        <v>2526</v>
      </c>
      <c r="AK1340" s="177" t="s">
        <v>2526</v>
      </c>
      <c r="AL1340" s="177" t="s">
        <v>2526</v>
      </c>
      <c r="AM1340" s="147">
        <f t="shared" si="55"/>
        <v>0</v>
      </c>
      <c r="AN1340" s="18" t="s">
        <v>5478</v>
      </c>
      <c r="AO1340" s="18" t="s">
        <v>880</v>
      </c>
      <c r="AP1340" s="240" t="s">
        <v>119</v>
      </c>
      <c r="AQ1340" s="157"/>
    </row>
    <row r="1341" spans="1:43" s="18" customFormat="1" x14ac:dyDescent="0.3">
      <c r="A1341" s="228" t="s">
        <v>1451</v>
      </c>
      <c r="B1341" s="18" t="s">
        <v>4838</v>
      </c>
      <c r="C1341" s="228" t="s">
        <v>4841</v>
      </c>
      <c r="D1341" s="18" t="s">
        <v>2439</v>
      </c>
      <c r="E1341" s="228" t="s">
        <v>5416</v>
      </c>
      <c r="F1341" s="18" t="s">
        <v>5417</v>
      </c>
      <c r="G1341" s="228" t="s">
        <v>5460</v>
      </c>
      <c r="H1341" s="18" t="s">
        <v>5461</v>
      </c>
      <c r="K1341" s="228" t="s">
        <v>5462</v>
      </c>
      <c r="L1341" s="18" t="s">
        <v>5463</v>
      </c>
      <c r="P1341" s="16"/>
      <c r="Q1341" s="16"/>
      <c r="R1341" s="16"/>
      <c r="S1341" s="16"/>
      <c r="U1341" s="283" t="e">
        <v>#N/A</v>
      </c>
      <c r="V1341" s="18" t="s">
        <v>5482</v>
      </c>
      <c r="W1341" s="18">
        <v>1</v>
      </c>
      <c r="X1341" s="18">
        <v>1</v>
      </c>
      <c r="Y1341" s="18">
        <v>1</v>
      </c>
      <c r="Z1341" s="18">
        <v>1</v>
      </c>
      <c r="AA1341" s="18">
        <v>1</v>
      </c>
      <c r="AB1341" s="18">
        <v>1</v>
      </c>
      <c r="AC1341" s="18">
        <v>1</v>
      </c>
      <c r="AD1341" s="18">
        <v>1</v>
      </c>
      <c r="AE1341" s="302">
        <f t="shared" si="56"/>
        <v>1</v>
      </c>
      <c r="AF1341" s="176">
        <v>0</v>
      </c>
      <c r="AG1341" s="17">
        <v>0</v>
      </c>
      <c r="AH1341" s="176">
        <v>2</v>
      </c>
      <c r="AI1341" s="176">
        <v>2</v>
      </c>
      <c r="AJ1341" s="234">
        <v>2</v>
      </c>
      <c r="AK1341" s="235">
        <v>2</v>
      </c>
      <c r="AL1341" s="235">
        <v>2</v>
      </c>
      <c r="AM1341" s="147">
        <f t="shared" si="55"/>
        <v>4</v>
      </c>
      <c r="AN1341" s="236" t="s">
        <v>3201</v>
      </c>
      <c r="AO1341" s="236" t="s">
        <v>5285</v>
      </c>
      <c r="AP1341" s="228" t="s">
        <v>101</v>
      </c>
    </row>
    <row r="1342" spans="1:43" s="18" customFormat="1" x14ac:dyDescent="0.3">
      <c r="A1342" s="228" t="s">
        <v>1451</v>
      </c>
      <c r="B1342" s="18" t="s">
        <v>4838</v>
      </c>
      <c r="C1342" s="228" t="s">
        <v>4841</v>
      </c>
      <c r="D1342" s="18" t="s">
        <v>2439</v>
      </c>
      <c r="E1342" s="228" t="s">
        <v>5416</v>
      </c>
      <c r="F1342" s="18" t="s">
        <v>5417</v>
      </c>
      <c r="G1342" s="228" t="s">
        <v>5460</v>
      </c>
      <c r="H1342" s="18" t="s">
        <v>5461</v>
      </c>
      <c r="K1342" s="228" t="s">
        <v>5462</v>
      </c>
      <c r="L1342" s="18" t="s">
        <v>5463</v>
      </c>
      <c r="P1342" s="16"/>
      <c r="Q1342" s="16"/>
      <c r="R1342" s="16"/>
      <c r="S1342" s="16"/>
      <c r="U1342" s="283" t="e">
        <v>#N/A</v>
      </c>
      <c r="V1342" s="18" t="s">
        <v>5483</v>
      </c>
      <c r="W1342" s="18">
        <v>1</v>
      </c>
      <c r="X1342" s="18">
        <v>1</v>
      </c>
      <c r="Y1342" s="18">
        <v>1</v>
      </c>
      <c r="Z1342" s="18">
        <v>1</v>
      </c>
      <c r="AA1342" s="18">
        <v>1</v>
      </c>
      <c r="AB1342" s="18">
        <v>1</v>
      </c>
      <c r="AC1342" s="18">
        <v>1</v>
      </c>
      <c r="AD1342" s="18">
        <v>1</v>
      </c>
      <c r="AE1342" s="302">
        <f t="shared" si="56"/>
        <v>1</v>
      </c>
      <c r="AF1342" s="176">
        <v>0</v>
      </c>
      <c r="AG1342" s="17">
        <v>0</v>
      </c>
      <c r="AH1342" s="176">
        <v>0.5</v>
      </c>
      <c r="AI1342" s="176">
        <v>0.5</v>
      </c>
      <c r="AJ1342" s="234">
        <v>0.5</v>
      </c>
      <c r="AK1342" s="235">
        <v>0.6</v>
      </c>
      <c r="AL1342" s="235">
        <v>0.6</v>
      </c>
      <c r="AM1342" s="147">
        <f t="shared" si="55"/>
        <v>1.2</v>
      </c>
      <c r="AN1342" s="236" t="s">
        <v>3201</v>
      </c>
      <c r="AO1342" s="236" t="s">
        <v>5285</v>
      </c>
      <c r="AP1342" s="228" t="s">
        <v>5484</v>
      </c>
    </row>
    <row r="1343" spans="1:43" s="18" customFormat="1" x14ac:dyDescent="0.3">
      <c r="A1343" s="228" t="s">
        <v>1451</v>
      </c>
      <c r="B1343" s="18" t="s">
        <v>4838</v>
      </c>
      <c r="C1343" s="228" t="s">
        <v>4841</v>
      </c>
      <c r="D1343" s="18" t="s">
        <v>2439</v>
      </c>
      <c r="E1343" s="228" t="s">
        <v>5416</v>
      </c>
      <c r="F1343" s="18" t="s">
        <v>5417</v>
      </c>
      <c r="G1343" s="233" t="s">
        <v>5485</v>
      </c>
      <c r="H1343" s="18" t="s">
        <v>5486</v>
      </c>
      <c r="K1343" s="233" t="s">
        <v>5487</v>
      </c>
      <c r="L1343" s="18" t="s">
        <v>5488</v>
      </c>
      <c r="M1343" s="18" t="s">
        <v>5489</v>
      </c>
      <c r="N1343" s="18">
        <v>0</v>
      </c>
      <c r="O1343" s="18">
        <v>1</v>
      </c>
      <c r="P1343" s="16">
        <v>1</v>
      </c>
      <c r="Q1343" s="16">
        <v>1</v>
      </c>
      <c r="R1343" s="16">
        <v>1</v>
      </c>
      <c r="S1343" s="16">
        <v>1</v>
      </c>
      <c r="T1343" s="18" t="s">
        <v>1898</v>
      </c>
      <c r="U1343" s="283" t="e">
        <v>#N/A</v>
      </c>
      <c r="V1343" s="157"/>
      <c r="W1343" s="157"/>
      <c r="X1343" s="157"/>
      <c r="Y1343" s="157"/>
      <c r="Z1343" s="157"/>
      <c r="AA1343" s="157"/>
      <c r="AB1343" s="157"/>
      <c r="AC1343" s="316">
        <v>0</v>
      </c>
      <c r="AD1343" s="316">
        <v>0</v>
      </c>
      <c r="AE1343" s="302">
        <f t="shared" si="56"/>
        <v>0</v>
      </c>
      <c r="AF1343" s="17"/>
      <c r="AG1343" s="17">
        <v>0</v>
      </c>
      <c r="AH1343" s="17"/>
      <c r="AI1343" s="251"/>
      <c r="AJ1343" s="251"/>
      <c r="AK1343" s="154"/>
      <c r="AL1343" s="154"/>
      <c r="AM1343" s="147">
        <f t="shared" si="55"/>
        <v>0</v>
      </c>
      <c r="AP1343" s="157"/>
      <c r="AQ1343" s="157"/>
    </row>
    <row r="1344" spans="1:43" s="18" customFormat="1" x14ac:dyDescent="0.3">
      <c r="A1344" s="228" t="s">
        <v>1451</v>
      </c>
      <c r="B1344" s="18" t="s">
        <v>4838</v>
      </c>
      <c r="C1344" s="228" t="s">
        <v>4841</v>
      </c>
      <c r="D1344" s="18" t="s">
        <v>2439</v>
      </c>
      <c r="E1344" s="228" t="s">
        <v>5490</v>
      </c>
      <c r="F1344" s="18" t="s">
        <v>5491</v>
      </c>
      <c r="G1344" s="228" t="s">
        <v>5492</v>
      </c>
      <c r="H1344" s="18" t="s">
        <v>5493</v>
      </c>
      <c r="K1344" s="228" t="s">
        <v>5494</v>
      </c>
      <c r="L1344" s="18" t="s">
        <v>5495</v>
      </c>
      <c r="M1344" s="18" t="s">
        <v>5496</v>
      </c>
      <c r="N1344" s="18">
        <v>0</v>
      </c>
      <c r="O1344" s="18">
        <v>2</v>
      </c>
      <c r="P1344" s="16">
        <v>2</v>
      </c>
      <c r="Q1344" s="16">
        <v>2</v>
      </c>
      <c r="R1344" s="16">
        <v>2</v>
      </c>
      <c r="S1344" s="16">
        <v>2</v>
      </c>
      <c r="T1344" s="283" t="s">
        <v>265</v>
      </c>
      <c r="U1344" s="283" t="s">
        <v>350</v>
      </c>
      <c r="V1344" s="18" t="s">
        <v>5497</v>
      </c>
      <c r="W1344" s="18">
        <v>0</v>
      </c>
      <c r="X1344" s="18">
        <v>0</v>
      </c>
      <c r="Y1344" s="18">
        <v>0</v>
      </c>
      <c r="Z1344" s="18">
        <v>0</v>
      </c>
      <c r="AA1344" s="18">
        <v>0</v>
      </c>
      <c r="AB1344" s="18">
        <v>0</v>
      </c>
      <c r="AC1344" s="18">
        <v>0</v>
      </c>
      <c r="AD1344" s="18">
        <v>0</v>
      </c>
      <c r="AE1344" s="302">
        <f t="shared" si="56"/>
        <v>0</v>
      </c>
      <c r="AF1344" s="176">
        <v>0</v>
      </c>
      <c r="AG1344" s="17">
        <v>0</v>
      </c>
      <c r="AH1344" s="176">
        <v>0.5</v>
      </c>
      <c r="AI1344" s="176">
        <v>0.5</v>
      </c>
      <c r="AJ1344" s="234" t="s">
        <v>2526</v>
      </c>
      <c r="AK1344" s="235" t="s">
        <v>2526</v>
      </c>
      <c r="AL1344" s="235" t="s">
        <v>2526</v>
      </c>
      <c r="AM1344" s="147">
        <f t="shared" si="55"/>
        <v>0</v>
      </c>
      <c r="AN1344" s="236" t="s">
        <v>265</v>
      </c>
      <c r="AO1344" s="236" t="s">
        <v>350</v>
      </c>
      <c r="AP1344" s="228" t="s">
        <v>5498</v>
      </c>
    </row>
    <row r="1345" spans="1:43" s="18" customFormat="1" x14ac:dyDescent="0.3">
      <c r="A1345" s="228" t="s">
        <v>1451</v>
      </c>
      <c r="B1345" s="18" t="s">
        <v>4838</v>
      </c>
      <c r="C1345" s="228" t="s">
        <v>4841</v>
      </c>
      <c r="D1345" s="18" t="s">
        <v>2439</v>
      </c>
      <c r="E1345" s="228" t="s">
        <v>5490</v>
      </c>
      <c r="F1345" s="18" t="s">
        <v>5491</v>
      </c>
      <c r="G1345" s="228" t="s">
        <v>5492</v>
      </c>
      <c r="H1345" s="18" t="s">
        <v>5493</v>
      </c>
      <c r="K1345" s="228" t="s">
        <v>5494</v>
      </c>
      <c r="L1345" s="18" t="s">
        <v>5495</v>
      </c>
      <c r="M1345" s="18" t="s">
        <v>5499</v>
      </c>
      <c r="N1345" s="18">
        <v>500</v>
      </c>
      <c r="O1345" s="18">
        <v>1000</v>
      </c>
      <c r="P1345" s="16">
        <v>2000</v>
      </c>
      <c r="Q1345" s="16">
        <v>2500</v>
      </c>
      <c r="R1345" s="16">
        <v>3000</v>
      </c>
      <c r="S1345" s="16">
        <v>3000</v>
      </c>
      <c r="T1345" s="18" t="s">
        <v>321</v>
      </c>
      <c r="U1345" s="283" t="s">
        <v>1066</v>
      </c>
      <c r="V1345" s="18" t="s">
        <v>5500</v>
      </c>
      <c r="W1345" s="18">
        <v>1</v>
      </c>
      <c r="X1345" s="18">
        <v>1</v>
      </c>
      <c r="Y1345" s="18">
        <v>1</v>
      </c>
      <c r="Z1345" s="18">
        <v>1</v>
      </c>
      <c r="AA1345" s="18">
        <v>1</v>
      </c>
      <c r="AB1345" s="18">
        <v>1</v>
      </c>
      <c r="AC1345" s="316">
        <v>1</v>
      </c>
      <c r="AD1345" s="316">
        <v>1</v>
      </c>
      <c r="AE1345" s="302">
        <f t="shared" si="56"/>
        <v>1</v>
      </c>
      <c r="AF1345" s="176">
        <v>0</v>
      </c>
      <c r="AG1345" s="17">
        <v>0</v>
      </c>
      <c r="AH1345" s="176">
        <v>1</v>
      </c>
      <c r="AI1345" s="176">
        <v>1</v>
      </c>
      <c r="AJ1345" s="234">
        <v>1</v>
      </c>
      <c r="AK1345" s="235">
        <v>1</v>
      </c>
      <c r="AL1345" s="235">
        <v>1</v>
      </c>
      <c r="AM1345" s="147">
        <f t="shared" si="55"/>
        <v>2</v>
      </c>
      <c r="AN1345" s="236" t="s">
        <v>321</v>
      </c>
      <c r="AO1345" s="236" t="s">
        <v>1066</v>
      </c>
      <c r="AP1345" s="228" t="s">
        <v>5341</v>
      </c>
    </row>
    <row r="1346" spans="1:43" s="18" customFormat="1" x14ac:dyDescent="0.3">
      <c r="A1346" s="228" t="s">
        <v>1451</v>
      </c>
      <c r="B1346" s="18" t="s">
        <v>4838</v>
      </c>
      <c r="C1346" s="228" t="s">
        <v>4841</v>
      </c>
      <c r="D1346" s="18" t="s">
        <v>2439</v>
      </c>
      <c r="E1346" s="228" t="s">
        <v>5490</v>
      </c>
      <c r="F1346" s="18" t="s">
        <v>5491</v>
      </c>
      <c r="G1346" s="228" t="s">
        <v>5492</v>
      </c>
      <c r="H1346" s="18" t="s">
        <v>5493</v>
      </c>
      <c r="K1346" s="228" t="s">
        <v>5494</v>
      </c>
      <c r="L1346" s="18" t="s">
        <v>5495</v>
      </c>
      <c r="M1346" s="18" t="s">
        <v>5501</v>
      </c>
      <c r="N1346" s="18">
        <v>2</v>
      </c>
      <c r="O1346" s="18">
        <v>10</v>
      </c>
      <c r="P1346" s="16">
        <v>15</v>
      </c>
      <c r="Q1346" s="16">
        <v>15</v>
      </c>
      <c r="R1346" s="16">
        <v>15</v>
      </c>
      <c r="S1346" s="16">
        <v>15</v>
      </c>
      <c r="T1346" s="18" t="s">
        <v>321</v>
      </c>
      <c r="U1346" s="283" t="s">
        <v>1066</v>
      </c>
      <c r="V1346" s="18" t="s">
        <v>5502</v>
      </c>
      <c r="W1346" s="18">
        <v>1</v>
      </c>
      <c r="X1346" s="18">
        <v>1</v>
      </c>
      <c r="Y1346" s="18">
        <v>1</v>
      </c>
      <c r="Z1346" s="18">
        <v>1</v>
      </c>
      <c r="AA1346" s="18">
        <v>1</v>
      </c>
      <c r="AB1346" s="18">
        <v>1</v>
      </c>
      <c r="AC1346" s="316">
        <v>1</v>
      </c>
      <c r="AD1346" s="316">
        <v>1</v>
      </c>
      <c r="AE1346" s="302">
        <f t="shared" si="56"/>
        <v>1</v>
      </c>
      <c r="AF1346" s="176">
        <v>0</v>
      </c>
      <c r="AG1346" s="17">
        <v>0</v>
      </c>
      <c r="AH1346" s="176">
        <v>1.2</v>
      </c>
      <c r="AI1346" s="176">
        <v>1.2</v>
      </c>
      <c r="AJ1346" s="234">
        <v>1.2</v>
      </c>
      <c r="AK1346" s="235">
        <v>1.2</v>
      </c>
      <c r="AL1346" s="235">
        <v>1.2</v>
      </c>
      <c r="AM1346" s="147">
        <f t="shared" si="55"/>
        <v>2.4</v>
      </c>
      <c r="AN1346" s="236" t="s">
        <v>321</v>
      </c>
      <c r="AO1346" s="236" t="s">
        <v>1066</v>
      </c>
      <c r="AP1346" s="228" t="s">
        <v>1446</v>
      </c>
    </row>
    <row r="1347" spans="1:43" s="18" customFormat="1" x14ac:dyDescent="0.3">
      <c r="A1347" s="228" t="s">
        <v>1451</v>
      </c>
      <c r="B1347" s="18" t="s">
        <v>4838</v>
      </c>
      <c r="C1347" s="228" t="s">
        <v>4841</v>
      </c>
      <c r="D1347" s="18" t="s">
        <v>2439</v>
      </c>
      <c r="E1347" s="228" t="s">
        <v>5490</v>
      </c>
      <c r="F1347" s="18" t="s">
        <v>5491</v>
      </c>
      <c r="G1347" s="228" t="s">
        <v>5492</v>
      </c>
      <c r="H1347" s="18" t="s">
        <v>5493</v>
      </c>
      <c r="K1347" s="228" t="s">
        <v>5494</v>
      </c>
      <c r="L1347" s="18" t="s">
        <v>5495</v>
      </c>
      <c r="P1347" s="16"/>
      <c r="Q1347" s="16"/>
      <c r="R1347" s="16"/>
      <c r="S1347" s="16"/>
      <c r="U1347" s="283" t="e">
        <v>#N/A</v>
      </c>
      <c r="V1347" s="18" t="s">
        <v>5503</v>
      </c>
      <c r="W1347" s="18">
        <v>1</v>
      </c>
      <c r="X1347" s="18">
        <v>1</v>
      </c>
      <c r="Y1347" s="18">
        <v>1</v>
      </c>
      <c r="Z1347" s="18">
        <v>1</v>
      </c>
      <c r="AA1347" s="18">
        <v>1</v>
      </c>
      <c r="AB1347" s="18">
        <v>1</v>
      </c>
      <c r="AC1347" s="18">
        <v>1</v>
      </c>
      <c r="AD1347" s="18">
        <v>1</v>
      </c>
      <c r="AE1347" s="302">
        <f t="shared" si="56"/>
        <v>1</v>
      </c>
      <c r="AF1347" s="176">
        <v>0</v>
      </c>
      <c r="AG1347" s="17">
        <v>0</v>
      </c>
      <c r="AH1347" s="176">
        <v>0.3</v>
      </c>
      <c r="AI1347" s="176">
        <v>0.3</v>
      </c>
      <c r="AJ1347" s="234">
        <v>0.3</v>
      </c>
      <c r="AK1347" s="235">
        <v>0.3</v>
      </c>
      <c r="AL1347" s="235">
        <v>0.3</v>
      </c>
      <c r="AM1347" s="147">
        <f t="shared" si="55"/>
        <v>0.6</v>
      </c>
      <c r="AN1347" s="236" t="s">
        <v>321</v>
      </c>
      <c r="AO1347" s="236" t="s">
        <v>1066</v>
      </c>
      <c r="AP1347" s="228" t="s">
        <v>119</v>
      </c>
    </row>
    <row r="1348" spans="1:43" s="18" customFormat="1" x14ac:dyDescent="0.3">
      <c r="A1348" s="228" t="s">
        <v>1451</v>
      </c>
      <c r="B1348" s="18" t="s">
        <v>4838</v>
      </c>
      <c r="C1348" s="228" t="s">
        <v>4841</v>
      </c>
      <c r="D1348" s="18" t="s">
        <v>2439</v>
      </c>
      <c r="E1348" s="228" t="s">
        <v>5490</v>
      </c>
      <c r="F1348" s="18" t="s">
        <v>5491</v>
      </c>
      <c r="G1348" s="228" t="s">
        <v>5492</v>
      </c>
      <c r="H1348" s="18" t="s">
        <v>5493</v>
      </c>
      <c r="K1348" s="228" t="s">
        <v>5494</v>
      </c>
      <c r="L1348" s="18" t="s">
        <v>5495</v>
      </c>
      <c r="P1348" s="16"/>
      <c r="Q1348" s="16"/>
      <c r="R1348" s="16"/>
      <c r="S1348" s="16"/>
      <c r="U1348" s="283" t="e">
        <v>#N/A</v>
      </c>
      <c r="V1348" s="18" t="s">
        <v>5504</v>
      </c>
      <c r="W1348" s="18">
        <v>1</v>
      </c>
      <c r="X1348" s="18">
        <v>0</v>
      </c>
      <c r="Y1348" s="18">
        <v>0</v>
      </c>
      <c r="Z1348" s="18">
        <v>1</v>
      </c>
      <c r="AA1348" s="18">
        <v>1</v>
      </c>
      <c r="AB1348" s="18">
        <v>1</v>
      </c>
      <c r="AC1348" s="316">
        <v>1</v>
      </c>
      <c r="AD1348" s="316">
        <v>1</v>
      </c>
      <c r="AE1348" s="302">
        <f t="shared" si="56"/>
        <v>0.75</v>
      </c>
      <c r="AF1348" s="176">
        <v>0</v>
      </c>
      <c r="AG1348" s="17">
        <v>0</v>
      </c>
      <c r="AH1348" s="176">
        <v>0.1</v>
      </c>
      <c r="AI1348" s="176">
        <v>0.11</v>
      </c>
      <c r="AJ1348" s="234">
        <v>0.12</v>
      </c>
      <c r="AK1348" s="235">
        <v>0.13</v>
      </c>
      <c r="AL1348" s="235">
        <v>0.14000000000000001</v>
      </c>
      <c r="AM1348" s="147">
        <f t="shared" si="55"/>
        <v>0.27</v>
      </c>
      <c r="AN1348" s="236" t="s">
        <v>321</v>
      </c>
      <c r="AO1348" s="236" t="s">
        <v>1066</v>
      </c>
      <c r="AP1348" s="228" t="s">
        <v>119</v>
      </c>
    </row>
    <row r="1349" spans="1:43" s="18" customFormat="1" x14ac:dyDescent="0.3">
      <c r="A1349" s="228" t="s">
        <v>1451</v>
      </c>
      <c r="B1349" s="18" t="s">
        <v>4838</v>
      </c>
      <c r="C1349" s="228" t="s">
        <v>4841</v>
      </c>
      <c r="D1349" s="18" t="s">
        <v>2439</v>
      </c>
      <c r="E1349" s="228" t="s">
        <v>5490</v>
      </c>
      <c r="F1349" s="18" t="s">
        <v>5491</v>
      </c>
      <c r="G1349" s="228" t="s">
        <v>5505</v>
      </c>
      <c r="H1349" s="18" t="s">
        <v>5506</v>
      </c>
      <c r="K1349" s="228" t="s">
        <v>5507</v>
      </c>
      <c r="L1349" s="18" t="s">
        <v>5508</v>
      </c>
      <c r="M1349" s="18" t="s">
        <v>5509</v>
      </c>
      <c r="N1349" s="18">
        <v>0</v>
      </c>
      <c r="O1349" s="18">
        <v>0</v>
      </c>
      <c r="P1349" s="16">
        <v>4</v>
      </c>
      <c r="Q1349" s="16">
        <v>3</v>
      </c>
      <c r="R1349" s="16">
        <v>3</v>
      </c>
      <c r="S1349" s="16">
        <v>0</v>
      </c>
      <c r="T1349" s="283" t="s">
        <v>265</v>
      </c>
      <c r="U1349" s="283" t="s">
        <v>350</v>
      </c>
      <c r="V1349" s="18" t="s">
        <v>5510</v>
      </c>
      <c r="W1349" s="18">
        <v>1</v>
      </c>
      <c r="X1349" s="18">
        <v>1</v>
      </c>
      <c r="Y1349" s="18">
        <v>1</v>
      </c>
      <c r="Z1349" s="18">
        <v>1</v>
      </c>
      <c r="AA1349" s="18">
        <v>1</v>
      </c>
      <c r="AB1349" s="18">
        <v>1</v>
      </c>
      <c r="AC1349" s="18">
        <v>1</v>
      </c>
      <c r="AD1349" s="18">
        <v>1</v>
      </c>
      <c r="AE1349" s="302">
        <f t="shared" si="56"/>
        <v>1</v>
      </c>
      <c r="AF1349" s="176">
        <v>0</v>
      </c>
      <c r="AG1349" s="17">
        <v>0</v>
      </c>
      <c r="AH1349" s="176">
        <v>0.4</v>
      </c>
      <c r="AI1349" s="176">
        <v>0.2</v>
      </c>
      <c r="AJ1349" s="234">
        <v>0.2</v>
      </c>
      <c r="AK1349" s="235">
        <v>0.2</v>
      </c>
      <c r="AL1349" s="235" t="s">
        <v>2526</v>
      </c>
      <c r="AM1349" s="147">
        <f t="shared" si="55"/>
        <v>0.2</v>
      </c>
      <c r="AN1349" s="236" t="s">
        <v>265</v>
      </c>
      <c r="AO1349" s="236" t="s">
        <v>350</v>
      </c>
      <c r="AP1349" s="228" t="s">
        <v>5511</v>
      </c>
    </row>
    <row r="1350" spans="1:43" s="18" customFormat="1" x14ac:dyDescent="0.3">
      <c r="A1350" s="228" t="s">
        <v>1451</v>
      </c>
      <c r="B1350" s="18" t="s">
        <v>4838</v>
      </c>
      <c r="C1350" s="228" t="s">
        <v>4841</v>
      </c>
      <c r="D1350" s="18" t="s">
        <v>2439</v>
      </c>
      <c r="E1350" s="228" t="s">
        <v>5490</v>
      </c>
      <c r="F1350" s="18" t="s">
        <v>5491</v>
      </c>
      <c r="G1350" s="228" t="s">
        <v>5505</v>
      </c>
      <c r="H1350" s="18" t="s">
        <v>5506</v>
      </c>
      <c r="K1350" s="228" t="s">
        <v>5507</v>
      </c>
      <c r="L1350" s="18" t="s">
        <v>5508</v>
      </c>
      <c r="M1350" s="18" t="s">
        <v>5512</v>
      </c>
      <c r="N1350" s="18">
        <v>0</v>
      </c>
      <c r="O1350" s="18">
        <v>5</v>
      </c>
      <c r="P1350" s="16">
        <v>5</v>
      </c>
      <c r="Q1350" s="16">
        <v>4</v>
      </c>
      <c r="R1350" s="16">
        <v>4</v>
      </c>
      <c r="S1350" s="16">
        <v>3</v>
      </c>
      <c r="T1350" s="283" t="s">
        <v>265</v>
      </c>
      <c r="U1350" s="283" t="s">
        <v>350</v>
      </c>
      <c r="V1350" s="18" t="s">
        <v>5513</v>
      </c>
      <c r="W1350" s="18">
        <v>0</v>
      </c>
      <c r="X1350" s="18">
        <v>0</v>
      </c>
      <c r="Y1350" s="18">
        <v>0</v>
      </c>
      <c r="Z1350" s="18">
        <v>0</v>
      </c>
      <c r="AA1350" s="18">
        <v>0</v>
      </c>
      <c r="AB1350" s="18">
        <v>0</v>
      </c>
      <c r="AC1350" s="18">
        <v>0</v>
      </c>
      <c r="AD1350" s="18">
        <v>0</v>
      </c>
      <c r="AE1350" s="302">
        <f t="shared" si="56"/>
        <v>0</v>
      </c>
      <c r="AF1350" s="176">
        <v>0</v>
      </c>
      <c r="AG1350" s="17">
        <v>0</v>
      </c>
      <c r="AH1350" s="176" t="s">
        <v>2526</v>
      </c>
      <c r="AI1350" s="176" t="s">
        <v>2526</v>
      </c>
      <c r="AJ1350" s="234" t="s">
        <v>2526</v>
      </c>
      <c r="AK1350" s="235" t="s">
        <v>2526</v>
      </c>
      <c r="AL1350" s="235" t="s">
        <v>2526</v>
      </c>
      <c r="AM1350" s="147">
        <f t="shared" si="55"/>
        <v>0</v>
      </c>
      <c r="AN1350" s="236" t="s">
        <v>265</v>
      </c>
      <c r="AO1350" s="236" t="s">
        <v>350</v>
      </c>
      <c r="AP1350" s="228" t="s">
        <v>119</v>
      </c>
    </row>
    <row r="1351" spans="1:43" s="18" customFormat="1" x14ac:dyDescent="0.3">
      <c r="A1351" s="228" t="s">
        <v>1451</v>
      </c>
      <c r="B1351" s="18" t="s">
        <v>4838</v>
      </c>
      <c r="C1351" s="228" t="s">
        <v>4841</v>
      </c>
      <c r="D1351" s="18" t="s">
        <v>2439</v>
      </c>
      <c r="E1351" s="228" t="s">
        <v>5490</v>
      </c>
      <c r="F1351" s="18" t="s">
        <v>5491</v>
      </c>
      <c r="G1351" s="228" t="s">
        <v>5505</v>
      </c>
      <c r="H1351" s="18" t="s">
        <v>5506</v>
      </c>
      <c r="K1351" s="228" t="s">
        <v>5507</v>
      </c>
      <c r="L1351" s="18" t="s">
        <v>5508</v>
      </c>
      <c r="M1351" s="18" t="s">
        <v>5514</v>
      </c>
      <c r="N1351" s="18">
        <v>252</v>
      </c>
      <c r="O1351" s="18">
        <v>700</v>
      </c>
      <c r="P1351" s="16">
        <v>770</v>
      </c>
      <c r="Q1351" s="16">
        <v>847</v>
      </c>
      <c r="R1351" s="16">
        <v>931</v>
      </c>
      <c r="S1351" s="16">
        <v>1024</v>
      </c>
      <c r="T1351" s="18" t="s">
        <v>321</v>
      </c>
      <c r="U1351" s="283" t="s">
        <v>1066</v>
      </c>
      <c r="V1351" s="18" t="s">
        <v>5515</v>
      </c>
      <c r="W1351" s="18">
        <v>1</v>
      </c>
      <c r="X1351" s="18">
        <v>1</v>
      </c>
      <c r="Y1351" s="18">
        <v>1</v>
      </c>
      <c r="Z1351" s="18">
        <v>1</v>
      </c>
      <c r="AA1351" s="18">
        <v>1</v>
      </c>
      <c r="AB1351" s="18">
        <v>1</v>
      </c>
      <c r="AC1351" s="316">
        <v>1</v>
      </c>
      <c r="AD1351" s="316">
        <v>1</v>
      </c>
      <c r="AE1351" s="302">
        <f t="shared" si="56"/>
        <v>1</v>
      </c>
      <c r="AF1351" s="176">
        <v>0</v>
      </c>
      <c r="AG1351" s="17">
        <v>0</v>
      </c>
      <c r="AH1351" s="176" t="s">
        <v>2526</v>
      </c>
      <c r="AI1351" s="176" t="s">
        <v>2526</v>
      </c>
      <c r="AJ1351" s="234" t="s">
        <v>2526</v>
      </c>
      <c r="AK1351" s="235" t="s">
        <v>2526</v>
      </c>
      <c r="AL1351" s="235" t="s">
        <v>2526</v>
      </c>
      <c r="AM1351" s="147">
        <f t="shared" si="55"/>
        <v>0</v>
      </c>
      <c r="AN1351" s="236" t="s">
        <v>1132</v>
      </c>
      <c r="AO1351" s="236" t="s">
        <v>3739</v>
      </c>
      <c r="AP1351" s="228" t="s">
        <v>119</v>
      </c>
    </row>
    <row r="1352" spans="1:43" s="18" customFormat="1" x14ac:dyDescent="0.3">
      <c r="A1352" s="228" t="s">
        <v>1451</v>
      </c>
      <c r="B1352" s="18" t="s">
        <v>4838</v>
      </c>
      <c r="C1352" s="228" t="s">
        <v>4841</v>
      </c>
      <c r="D1352" s="18" t="s">
        <v>2439</v>
      </c>
      <c r="E1352" s="228" t="s">
        <v>5490</v>
      </c>
      <c r="F1352" s="18" t="s">
        <v>5491</v>
      </c>
      <c r="G1352" s="228" t="s">
        <v>5505</v>
      </c>
      <c r="H1352" s="18" t="s">
        <v>5506</v>
      </c>
      <c r="K1352" s="228" t="s">
        <v>5507</v>
      </c>
      <c r="L1352" s="18" t="s">
        <v>5508</v>
      </c>
      <c r="M1352" s="18" t="s">
        <v>5516</v>
      </c>
      <c r="N1352" s="18" t="s">
        <v>5517</v>
      </c>
      <c r="O1352" s="18" t="s">
        <v>5518</v>
      </c>
      <c r="P1352" s="16" t="s">
        <v>5519</v>
      </c>
      <c r="Q1352" s="16" t="s">
        <v>5520</v>
      </c>
      <c r="R1352" s="16" t="s">
        <v>5521</v>
      </c>
      <c r="S1352" s="16" t="s">
        <v>5522</v>
      </c>
      <c r="T1352" s="18" t="s">
        <v>1446</v>
      </c>
      <c r="U1352" s="283" t="s">
        <v>3715</v>
      </c>
      <c r="V1352" s="18" t="s">
        <v>5523</v>
      </c>
      <c r="W1352" s="18">
        <v>1</v>
      </c>
      <c r="X1352" s="18">
        <v>1</v>
      </c>
      <c r="Y1352" s="18">
        <v>1</v>
      </c>
      <c r="Z1352" s="18">
        <v>1</v>
      </c>
      <c r="AA1352" s="18">
        <v>1</v>
      </c>
      <c r="AB1352" s="18">
        <v>1</v>
      </c>
      <c r="AC1352" s="316">
        <v>0</v>
      </c>
      <c r="AD1352" s="316">
        <v>1</v>
      </c>
      <c r="AE1352" s="302">
        <f t="shared" si="56"/>
        <v>0.875</v>
      </c>
      <c r="AF1352" s="176">
        <v>0</v>
      </c>
      <c r="AG1352" s="17">
        <v>0</v>
      </c>
      <c r="AH1352" s="176">
        <v>3.2</v>
      </c>
      <c r="AI1352" s="176">
        <v>3.2</v>
      </c>
      <c r="AJ1352" s="239">
        <v>3.2</v>
      </c>
      <c r="AK1352" s="238">
        <v>3.2</v>
      </c>
      <c r="AL1352" s="238">
        <v>3.2</v>
      </c>
      <c r="AM1352" s="147">
        <f t="shared" si="55"/>
        <v>6.4</v>
      </c>
      <c r="AN1352" s="18" t="s">
        <v>321</v>
      </c>
      <c r="AO1352" s="18" t="s">
        <v>1066</v>
      </c>
      <c r="AP1352" s="228" t="s">
        <v>1446</v>
      </c>
    </row>
    <row r="1353" spans="1:43" s="18" customFormat="1" x14ac:dyDescent="0.3">
      <c r="A1353" s="228" t="s">
        <v>1451</v>
      </c>
      <c r="B1353" s="18" t="s">
        <v>4838</v>
      </c>
      <c r="C1353" s="228" t="s">
        <v>4841</v>
      </c>
      <c r="D1353" s="18" t="s">
        <v>2439</v>
      </c>
      <c r="E1353" s="228" t="s">
        <v>5490</v>
      </c>
      <c r="F1353" s="18" t="s">
        <v>5491</v>
      </c>
      <c r="G1353" s="228" t="s">
        <v>5505</v>
      </c>
      <c r="H1353" s="18" t="s">
        <v>5506</v>
      </c>
      <c r="K1353" s="228" t="s">
        <v>5507</v>
      </c>
      <c r="L1353" s="18" t="s">
        <v>5508</v>
      </c>
      <c r="M1353" s="18" t="s">
        <v>5524</v>
      </c>
      <c r="N1353" s="18">
        <v>254</v>
      </c>
      <c r="O1353" s="18">
        <v>600</v>
      </c>
      <c r="P1353" s="16">
        <v>700</v>
      </c>
      <c r="Q1353" s="16">
        <v>770</v>
      </c>
      <c r="R1353" s="16">
        <v>900</v>
      </c>
      <c r="S1353" s="16">
        <v>1030</v>
      </c>
      <c r="T1353" s="18" t="s">
        <v>321</v>
      </c>
      <c r="U1353" s="283" t="s">
        <v>1066</v>
      </c>
      <c r="V1353" s="18" t="s">
        <v>5525</v>
      </c>
      <c r="W1353" s="18">
        <v>1</v>
      </c>
      <c r="X1353" s="18">
        <v>1</v>
      </c>
      <c r="Y1353" s="18">
        <v>1</v>
      </c>
      <c r="Z1353" s="18">
        <v>1</v>
      </c>
      <c r="AA1353" s="18">
        <v>1</v>
      </c>
      <c r="AB1353" s="18">
        <v>1</v>
      </c>
      <c r="AC1353" s="316">
        <v>1</v>
      </c>
      <c r="AD1353" s="316">
        <v>1</v>
      </c>
      <c r="AE1353" s="302">
        <f t="shared" si="56"/>
        <v>1</v>
      </c>
      <c r="AF1353" s="176">
        <v>0</v>
      </c>
      <c r="AG1353" s="17">
        <v>0</v>
      </c>
      <c r="AH1353" s="176">
        <v>1.5</v>
      </c>
      <c r="AI1353" s="176">
        <v>1.65</v>
      </c>
      <c r="AJ1353" s="239">
        <v>1.82</v>
      </c>
      <c r="AK1353" s="238">
        <v>2</v>
      </c>
      <c r="AL1353" s="238">
        <v>2.2000000000000002</v>
      </c>
      <c r="AM1353" s="147">
        <f t="shared" si="55"/>
        <v>4.2</v>
      </c>
      <c r="AN1353" s="18" t="s">
        <v>321</v>
      </c>
      <c r="AO1353" s="18" t="s">
        <v>1066</v>
      </c>
      <c r="AP1353" s="228" t="s">
        <v>1581</v>
      </c>
    </row>
    <row r="1354" spans="1:43" s="18" customFormat="1" x14ac:dyDescent="0.3">
      <c r="A1354" s="228" t="s">
        <v>1451</v>
      </c>
      <c r="B1354" s="18" t="s">
        <v>4838</v>
      </c>
      <c r="C1354" s="228" t="s">
        <v>4841</v>
      </c>
      <c r="D1354" s="18" t="s">
        <v>2439</v>
      </c>
      <c r="E1354" s="228" t="s">
        <v>5490</v>
      </c>
      <c r="F1354" s="18" t="s">
        <v>5491</v>
      </c>
      <c r="G1354" s="228" t="s">
        <v>5505</v>
      </c>
      <c r="H1354" s="18" t="s">
        <v>5506</v>
      </c>
      <c r="K1354" s="228" t="s">
        <v>5507</v>
      </c>
      <c r="L1354" s="18" t="s">
        <v>5508</v>
      </c>
      <c r="M1354" s="18" t="s">
        <v>5526</v>
      </c>
      <c r="N1354" s="18">
        <v>252</v>
      </c>
      <c r="O1354" s="18">
        <v>800</v>
      </c>
      <c r="P1354" s="16">
        <v>900</v>
      </c>
      <c r="Q1354" s="16">
        <v>1000</v>
      </c>
      <c r="R1354" s="16">
        <v>1100</v>
      </c>
      <c r="S1354" s="16">
        <v>1200</v>
      </c>
      <c r="T1354" s="18" t="s">
        <v>321</v>
      </c>
      <c r="U1354" s="283" t="s">
        <v>1066</v>
      </c>
      <c r="V1354" s="18" t="s">
        <v>5527</v>
      </c>
      <c r="W1354" s="18">
        <v>1</v>
      </c>
      <c r="X1354" s="18">
        <v>1</v>
      </c>
      <c r="Y1354" s="18">
        <v>1</v>
      </c>
      <c r="Z1354" s="18">
        <v>1</v>
      </c>
      <c r="AA1354" s="18">
        <v>1</v>
      </c>
      <c r="AB1354" s="18">
        <v>1</v>
      </c>
      <c r="AC1354" s="316">
        <v>1</v>
      </c>
      <c r="AD1354" s="316">
        <v>1</v>
      </c>
      <c r="AE1354" s="302">
        <f t="shared" si="56"/>
        <v>1</v>
      </c>
      <c r="AF1354" s="176">
        <v>0</v>
      </c>
      <c r="AG1354" s="17">
        <v>0</v>
      </c>
      <c r="AH1354" s="176" t="s">
        <v>2526</v>
      </c>
      <c r="AI1354" s="176" t="s">
        <v>2526</v>
      </c>
      <c r="AJ1354" s="239" t="s">
        <v>2526</v>
      </c>
      <c r="AK1354" s="238" t="s">
        <v>2526</v>
      </c>
      <c r="AL1354" s="238" t="s">
        <v>2526</v>
      </c>
      <c r="AM1354" s="147">
        <f t="shared" si="55"/>
        <v>0</v>
      </c>
      <c r="AN1354" s="157" t="s">
        <v>321</v>
      </c>
      <c r="AO1354" s="157" t="s">
        <v>1066</v>
      </c>
      <c r="AP1354" s="240" t="s">
        <v>119</v>
      </c>
      <c r="AQ1354" s="157"/>
    </row>
    <row r="1355" spans="1:43" s="18" customFormat="1" x14ac:dyDescent="0.3">
      <c r="A1355" s="228" t="s">
        <v>1451</v>
      </c>
      <c r="B1355" s="18" t="s">
        <v>4838</v>
      </c>
      <c r="C1355" s="228" t="s">
        <v>4841</v>
      </c>
      <c r="D1355" s="18" t="s">
        <v>2439</v>
      </c>
      <c r="E1355" s="228" t="s">
        <v>5490</v>
      </c>
      <c r="F1355" s="18" t="s">
        <v>5491</v>
      </c>
      <c r="G1355" s="228" t="s">
        <v>5505</v>
      </c>
      <c r="H1355" s="18" t="s">
        <v>5506</v>
      </c>
      <c r="K1355" s="228" t="s">
        <v>5507</v>
      </c>
      <c r="L1355" s="18" t="s">
        <v>5508</v>
      </c>
      <c r="M1355" s="18" t="s">
        <v>5528</v>
      </c>
      <c r="N1355" s="18">
        <v>0</v>
      </c>
      <c r="O1355" s="18">
        <v>0</v>
      </c>
      <c r="P1355" s="16">
        <v>1</v>
      </c>
      <c r="Q1355" s="16">
        <v>1</v>
      </c>
      <c r="R1355" s="16">
        <v>1</v>
      </c>
      <c r="S1355" s="16">
        <v>1</v>
      </c>
      <c r="T1355" s="283" t="s">
        <v>265</v>
      </c>
      <c r="U1355" s="283" t="s">
        <v>350</v>
      </c>
      <c r="V1355" s="18" t="s">
        <v>5529</v>
      </c>
      <c r="W1355" s="18">
        <v>0</v>
      </c>
      <c r="X1355" s="18">
        <v>0</v>
      </c>
      <c r="Y1355" s="18">
        <v>0</v>
      </c>
      <c r="Z1355" s="18">
        <v>0</v>
      </c>
      <c r="AA1355" s="18">
        <v>0</v>
      </c>
      <c r="AB1355" s="18">
        <v>0</v>
      </c>
      <c r="AC1355" s="18">
        <v>0</v>
      </c>
      <c r="AD1355" s="18">
        <v>0</v>
      </c>
      <c r="AE1355" s="302">
        <f t="shared" si="56"/>
        <v>0</v>
      </c>
      <c r="AF1355" s="176">
        <v>0</v>
      </c>
      <c r="AG1355" s="17">
        <v>0</v>
      </c>
      <c r="AH1355" s="176" t="s">
        <v>2526</v>
      </c>
      <c r="AI1355" s="176" t="s">
        <v>2526</v>
      </c>
      <c r="AJ1355" s="239" t="s">
        <v>2526</v>
      </c>
      <c r="AK1355" s="238" t="s">
        <v>2526</v>
      </c>
      <c r="AL1355" s="238" t="s">
        <v>2526</v>
      </c>
      <c r="AM1355" s="147">
        <f t="shared" si="55"/>
        <v>0</v>
      </c>
      <c r="AN1355" s="18" t="s">
        <v>5466</v>
      </c>
      <c r="AO1355" s="18" t="s">
        <v>871</v>
      </c>
      <c r="AP1355" s="228" t="s">
        <v>119</v>
      </c>
    </row>
    <row r="1356" spans="1:43" s="18" customFormat="1" x14ac:dyDescent="0.3">
      <c r="A1356" s="228" t="s">
        <v>1451</v>
      </c>
      <c r="B1356" s="18" t="s">
        <v>4838</v>
      </c>
      <c r="C1356" s="228" t="s">
        <v>4841</v>
      </c>
      <c r="D1356" s="18" t="s">
        <v>2439</v>
      </c>
      <c r="E1356" s="228" t="s">
        <v>5490</v>
      </c>
      <c r="F1356" s="18" t="s">
        <v>5491</v>
      </c>
      <c r="G1356" s="228" t="s">
        <v>5505</v>
      </c>
      <c r="H1356" s="18" t="s">
        <v>5506</v>
      </c>
      <c r="K1356" s="228" t="s">
        <v>5507</v>
      </c>
      <c r="L1356" s="18" t="s">
        <v>5508</v>
      </c>
      <c r="M1356" s="18" t="s">
        <v>5530</v>
      </c>
      <c r="N1356" s="18">
        <v>0</v>
      </c>
      <c r="O1356" s="18">
        <v>2</v>
      </c>
      <c r="P1356" s="16">
        <v>3</v>
      </c>
      <c r="Q1356" s="16">
        <v>3</v>
      </c>
      <c r="R1356" s="16">
        <v>4</v>
      </c>
      <c r="S1356" s="16">
        <v>4</v>
      </c>
      <c r="T1356" s="283" t="s">
        <v>265</v>
      </c>
      <c r="U1356" s="283" t="s">
        <v>350</v>
      </c>
      <c r="V1356" s="18" t="s">
        <v>5531</v>
      </c>
      <c r="W1356" s="18">
        <v>0</v>
      </c>
      <c r="X1356" s="18">
        <v>0</v>
      </c>
      <c r="Y1356" s="18">
        <v>0</v>
      </c>
      <c r="Z1356" s="18">
        <v>0</v>
      </c>
      <c r="AA1356" s="18">
        <v>0</v>
      </c>
      <c r="AB1356" s="18">
        <v>0</v>
      </c>
      <c r="AC1356" s="18">
        <v>0</v>
      </c>
      <c r="AD1356" s="18">
        <v>1</v>
      </c>
      <c r="AE1356" s="302">
        <f t="shared" si="56"/>
        <v>0.125</v>
      </c>
      <c r="AF1356" s="176">
        <v>0</v>
      </c>
      <c r="AG1356" s="17">
        <v>0</v>
      </c>
      <c r="AH1356" s="176" t="s">
        <v>2526</v>
      </c>
      <c r="AI1356" s="239" t="s">
        <v>2526</v>
      </c>
      <c r="AJ1356" s="239" t="s">
        <v>2526</v>
      </c>
      <c r="AK1356" s="238" t="s">
        <v>2526</v>
      </c>
      <c r="AL1356" s="177" t="s">
        <v>2526</v>
      </c>
      <c r="AM1356" s="147">
        <f t="shared" si="55"/>
        <v>0</v>
      </c>
      <c r="AN1356" s="18" t="s">
        <v>1446</v>
      </c>
      <c r="AO1356" s="18" t="s">
        <v>3715</v>
      </c>
      <c r="AP1356" s="228" t="s">
        <v>119</v>
      </c>
    </row>
    <row r="1357" spans="1:43" s="18" customFormat="1" x14ac:dyDescent="0.3">
      <c r="A1357" s="228" t="s">
        <v>1451</v>
      </c>
      <c r="B1357" s="18" t="s">
        <v>4838</v>
      </c>
      <c r="C1357" s="228" t="s">
        <v>4841</v>
      </c>
      <c r="D1357" s="18" t="s">
        <v>2439</v>
      </c>
      <c r="E1357" s="228" t="s">
        <v>5490</v>
      </c>
      <c r="F1357" s="18" t="s">
        <v>5491</v>
      </c>
      <c r="G1357" s="228" t="s">
        <v>5505</v>
      </c>
      <c r="H1357" s="18" t="s">
        <v>5506</v>
      </c>
      <c r="K1357" s="228" t="s">
        <v>5507</v>
      </c>
      <c r="L1357" s="18" t="s">
        <v>5508</v>
      </c>
      <c r="M1357" s="18" t="s">
        <v>5532</v>
      </c>
      <c r="N1357" s="18" t="s">
        <v>3926</v>
      </c>
      <c r="O1357" s="18" t="s">
        <v>3532</v>
      </c>
      <c r="P1357" s="16" t="s">
        <v>3545</v>
      </c>
      <c r="Q1357" s="16" t="s">
        <v>3516</v>
      </c>
      <c r="R1357" s="16" t="s">
        <v>3763</v>
      </c>
      <c r="S1357" s="16" t="s">
        <v>5427</v>
      </c>
      <c r="T1357" s="18" t="s">
        <v>321</v>
      </c>
      <c r="U1357" s="283" t="s">
        <v>1066</v>
      </c>
      <c r="V1357" s="18" t="s">
        <v>5533</v>
      </c>
      <c r="W1357" s="18">
        <v>1</v>
      </c>
      <c r="X1357" s="18">
        <v>1</v>
      </c>
      <c r="Y1357" s="18">
        <v>1</v>
      </c>
      <c r="Z1357" s="18">
        <v>1</v>
      </c>
      <c r="AA1357" s="18">
        <v>1</v>
      </c>
      <c r="AB1357" s="18">
        <v>1</v>
      </c>
      <c r="AC1357" s="316">
        <v>1</v>
      </c>
      <c r="AD1357" s="316">
        <v>1</v>
      </c>
      <c r="AE1357" s="302">
        <f t="shared" si="56"/>
        <v>1</v>
      </c>
      <c r="AF1357" s="176">
        <v>0</v>
      </c>
      <c r="AG1357" s="17">
        <v>0</v>
      </c>
      <c r="AH1357" s="176" t="s">
        <v>2526</v>
      </c>
      <c r="AI1357" s="176" t="s">
        <v>2526</v>
      </c>
      <c r="AJ1357" s="234" t="s">
        <v>2526</v>
      </c>
      <c r="AK1357" s="235" t="s">
        <v>2526</v>
      </c>
      <c r="AL1357" s="235" t="s">
        <v>2526</v>
      </c>
      <c r="AM1357" s="147">
        <f t="shared" si="55"/>
        <v>0</v>
      </c>
      <c r="AN1357" s="236" t="s">
        <v>1446</v>
      </c>
      <c r="AO1357" s="236" t="s">
        <v>3715</v>
      </c>
      <c r="AP1357" s="228" t="s">
        <v>119</v>
      </c>
    </row>
    <row r="1358" spans="1:43" s="18" customFormat="1" x14ac:dyDescent="0.3">
      <c r="A1358" s="228" t="s">
        <v>1451</v>
      </c>
      <c r="B1358" s="18" t="s">
        <v>4838</v>
      </c>
      <c r="C1358" s="228" t="s">
        <v>4841</v>
      </c>
      <c r="D1358" s="18" t="s">
        <v>2439</v>
      </c>
      <c r="E1358" s="228" t="s">
        <v>5490</v>
      </c>
      <c r="F1358" s="18" t="s">
        <v>5491</v>
      </c>
      <c r="G1358" s="228" t="s">
        <v>5505</v>
      </c>
      <c r="H1358" s="18" t="s">
        <v>5506</v>
      </c>
      <c r="K1358" s="228" t="s">
        <v>5507</v>
      </c>
      <c r="L1358" s="18" t="s">
        <v>5508</v>
      </c>
      <c r="P1358" s="16"/>
      <c r="Q1358" s="16"/>
      <c r="R1358" s="16"/>
      <c r="S1358" s="16"/>
      <c r="U1358" s="283" t="e">
        <v>#N/A</v>
      </c>
      <c r="V1358" s="18" t="s">
        <v>5534</v>
      </c>
      <c r="W1358" s="18">
        <v>0</v>
      </c>
      <c r="X1358" s="18">
        <v>0</v>
      </c>
      <c r="Y1358" s="18">
        <v>0</v>
      </c>
      <c r="Z1358" s="18">
        <v>0</v>
      </c>
      <c r="AA1358" s="18">
        <v>0</v>
      </c>
      <c r="AB1358" s="18">
        <v>0</v>
      </c>
      <c r="AC1358" s="18">
        <v>0</v>
      </c>
      <c r="AD1358" s="18">
        <v>1</v>
      </c>
      <c r="AE1358" s="302">
        <f t="shared" si="56"/>
        <v>0.125</v>
      </c>
      <c r="AF1358" s="176">
        <v>0</v>
      </c>
      <c r="AG1358" s="17">
        <v>0</v>
      </c>
      <c r="AH1358" s="176" t="s">
        <v>2526</v>
      </c>
      <c r="AI1358" s="239" t="s">
        <v>2526</v>
      </c>
      <c r="AJ1358" s="239" t="s">
        <v>2526</v>
      </c>
      <c r="AK1358" s="238" t="s">
        <v>2526</v>
      </c>
      <c r="AL1358" s="238" t="s">
        <v>2526</v>
      </c>
      <c r="AM1358" s="147">
        <f t="shared" si="55"/>
        <v>0</v>
      </c>
      <c r="AN1358" s="157" t="s">
        <v>1446</v>
      </c>
      <c r="AO1358" s="157" t="s">
        <v>3715</v>
      </c>
      <c r="AP1358" s="240" t="s">
        <v>119</v>
      </c>
      <c r="AQ1358" s="157"/>
    </row>
    <row r="1359" spans="1:43" s="18" customFormat="1" x14ac:dyDescent="0.3">
      <c r="A1359" s="228" t="s">
        <v>1451</v>
      </c>
      <c r="B1359" s="18" t="s">
        <v>4838</v>
      </c>
      <c r="C1359" s="228" t="s">
        <v>4841</v>
      </c>
      <c r="D1359" s="18" t="s">
        <v>2439</v>
      </c>
      <c r="E1359" s="228" t="s">
        <v>5490</v>
      </c>
      <c r="F1359" s="18" t="s">
        <v>5491</v>
      </c>
      <c r="G1359" s="228" t="s">
        <v>5505</v>
      </c>
      <c r="H1359" s="18" t="s">
        <v>5506</v>
      </c>
      <c r="K1359" s="228" t="s">
        <v>5507</v>
      </c>
      <c r="L1359" s="18" t="s">
        <v>5508</v>
      </c>
      <c r="P1359" s="16"/>
      <c r="Q1359" s="16"/>
      <c r="R1359" s="16"/>
      <c r="S1359" s="16"/>
      <c r="U1359" s="283" t="e">
        <v>#N/A</v>
      </c>
      <c r="V1359" s="18" t="s">
        <v>5535</v>
      </c>
      <c r="W1359" s="18">
        <v>1</v>
      </c>
      <c r="X1359" s="18">
        <v>1</v>
      </c>
      <c r="Y1359" s="18">
        <v>1</v>
      </c>
      <c r="Z1359" s="18">
        <v>1</v>
      </c>
      <c r="AA1359" s="18">
        <v>1</v>
      </c>
      <c r="AB1359" s="18">
        <v>1</v>
      </c>
      <c r="AC1359" s="18">
        <v>1</v>
      </c>
      <c r="AD1359" s="18">
        <v>1</v>
      </c>
      <c r="AE1359" s="302">
        <f t="shared" si="56"/>
        <v>1</v>
      </c>
      <c r="AF1359" s="176">
        <v>0</v>
      </c>
      <c r="AG1359" s="17">
        <v>0</v>
      </c>
      <c r="AH1359" s="176">
        <v>1.85</v>
      </c>
      <c r="AI1359" s="239">
        <v>2.5</v>
      </c>
      <c r="AJ1359" s="239">
        <v>2.5</v>
      </c>
      <c r="AK1359" s="238">
        <v>2.5</v>
      </c>
      <c r="AL1359" s="238">
        <v>2.5</v>
      </c>
      <c r="AM1359" s="147">
        <f t="shared" si="55"/>
        <v>5</v>
      </c>
      <c r="AN1359" s="157" t="s">
        <v>321</v>
      </c>
      <c r="AO1359" s="157" t="s">
        <v>1066</v>
      </c>
      <c r="AP1359" s="240" t="s">
        <v>5536</v>
      </c>
      <c r="AQ1359" s="157"/>
    </row>
    <row r="1360" spans="1:43" s="18" customFormat="1" x14ac:dyDescent="0.3">
      <c r="A1360" s="228" t="s">
        <v>1451</v>
      </c>
      <c r="B1360" s="18" t="s">
        <v>4838</v>
      </c>
      <c r="C1360" s="228" t="s">
        <v>4841</v>
      </c>
      <c r="D1360" s="18" t="s">
        <v>2439</v>
      </c>
      <c r="E1360" s="228" t="s">
        <v>5490</v>
      </c>
      <c r="F1360" s="18" t="s">
        <v>5491</v>
      </c>
      <c r="G1360" s="228" t="s">
        <v>5505</v>
      </c>
      <c r="H1360" s="18" t="s">
        <v>5506</v>
      </c>
      <c r="K1360" s="228" t="s">
        <v>5507</v>
      </c>
      <c r="L1360" s="18" t="s">
        <v>5508</v>
      </c>
      <c r="P1360" s="16"/>
      <c r="Q1360" s="16"/>
      <c r="R1360" s="16"/>
      <c r="S1360" s="16"/>
      <c r="U1360" s="283" t="e">
        <v>#N/A</v>
      </c>
      <c r="V1360" s="18" t="s">
        <v>5537</v>
      </c>
      <c r="W1360" s="18">
        <v>1</v>
      </c>
      <c r="X1360" s="18">
        <v>1</v>
      </c>
      <c r="Y1360" s="18">
        <v>1</v>
      </c>
      <c r="Z1360" s="18">
        <v>1</v>
      </c>
      <c r="AA1360" s="18">
        <v>0</v>
      </c>
      <c r="AB1360" s="18">
        <v>1</v>
      </c>
      <c r="AC1360" s="18">
        <v>1</v>
      </c>
      <c r="AD1360" s="18">
        <v>1</v>
      </c>
      <c r="AE1360" s="302">
        <f t="shared" si="56"/>
        <v>0.875</v>
      </c>
      <c r="AF1360" s="176">
        <v>0</v>
      </c>
      <c r="AG1360" s="17">
        <v>0</v>
      </c>
      <c r="AH1360" s="176">
        <v>0.9</v>
      </c>
      <c r="AI1360" s="176">
        <v>1.5</v>
      </c>
      <c r="AJ1360" s="234">
        <v>0.9</v>
      </c>
      <c r="AK1360" s="235">
        <v>0</v>
      </c>
      <c r="AL1360" s="235">
        <v>0</v>
      </c>
      <c r="AM1360" s="147">
        <f t="shared" si="55"/>
        <v>0</v>
      </c>
      <c r="AN1360" s="236" t="s">
        <v>321</v>
      </c>
      <c r="AO1360" s="236" t="s">
        <v>1066</v>
      </c>
      <c r="AP1360" s="228" t="s">
        <v>119</v>
      </c>
    </row>
    <row r="1361" spans="1:43" s="18" customFormat="1" x14ac:dyDescent="0.3">
      <c r="A1361" s="228" t="s">
        <v>1451</v>
      </c>
      <c r="B1361" s="18" t="s">
        <v>4838</v>
      </c>
      <c r="C1361" s="228" t="s">
        <v>4841</v>
      </c>
      <c r="D1361" s="18" t="s">
        <v>2439</v>
      </c>
      <c r="E1361" s="228" t="s">
        <v>5490</v>
      </c>
      <c r="F1361" s="18" t="s">
        <v>5491</v>
      </c>
      <c r="G1361" s="228" t="s">
        <v>5505</v>
      </c>
      <c r="H1361" s="18" t="s">
        <v>5506</v>
      </c>
      <c r="K1361" s="228" t="s">
        <v>5507</v>
      </c>
      <c r="L1361" s="18" t="s">
        <v>5508</v>
      </c>
      <c r="P1361" s="16"/>
      <c r="Q1361" s="16"/>
      <c r="R1361" s="16"/>
      <c r="S1361" s="16"/>
      <c r="U1361" s="283" t="e">
        <v>#N/A</v>
      </c>
      <c r="V1361" s="18" t="s">
        <v>5538</v>
      </c>
      <c r="W1361" s="18">
        <v>0</v>
      </c>
      <c r="X1361" s="18">
        <v>0</v>
      </c>
      <c r="Y1361" s="18">
        <v>0</v>
      </c>
      <c r="Z1361" s="18">
        <v>0</v>
      </c>
      <c r="AA1361" s="18">
        <v>0</v>
      </c>
      <c r="AB1361" s="18">
        <v>0</v>
      </c>
      <c r="AC1361" s="18">
        <v>0</v>
      </c>
      <c r="AD1361" s="18">
        <v>0</v>
      </c>
      <c r="AE1361" s="302">
        <f t="shared" si="56"/>
        <v>0</v>
      </c>
      <c r="AF1361" s="176">
        <v>0</v>
      </c>
      <c r="AG1361" s="17">
        <v>0</v>
      </c>
      <c r="AH1361" s="176" t="s">
        <v>2526</v>
      </c>
      <c r="AI1361" s="176" t="s">
        <v>2526</v>
      </c>
      <c r="AJ1361" s="234" t="s">
        <v>2526</v>
      </c>
      <c r="AK1361" s="235" t="s">
        <v>2526</v>
      </c>
      <c r="AL1361" s="235" t="s">
        <v>2526</v>
      </c>
      <c r="AM1361" s="147">
        <f t="shared" si="55"/>
        <v>0</v>
      </c>
      <c r="AN1361" s="236" t="s">
        <v>1446</v>
      </c>
      <c r="AO1361" s="236" t="s">
        <v>3715</v>
      </c>
      <c r="AP1361" s="228" t="s">
        <v>119</v>
      </c>
    </row>
    <row r="1362" spans="1:43" s="18" customFormat="1" x14ac:dyDescent="0.3">
      <c r="A1362" s="228" t="s">
        <v>1451</v>
      </c>
      <c r="B1362" s="18" t="s">
        <v>4838</v>
      </c>
      <c r="C1362" s="228" t="s">
        <v>4841</v>
      </c>
      <c r="D1362" s="18" t="s">
        <v>2439</v>
      </c>
      <c r="E1362" s="228" t="s">
        <v>5490</v>
      </c>
      <c r="F1362" s="18" t="s">
        <v>5491</v>
      </c>
      <c r="G1362" s="228" t="s">
        <v>5505</v>
      </c>
      <c r="H1362" s="18" t="s">
        <v>5506</v>
      </c>
      <c r="K1362" s="228" t="s">
        <v>5507</v>
      </c>
      <c r="L1362" s="18" t="s">
        <v>5508</v>
      </c>
      <c r="P1362" s="16"/>
      <c r="Q1362" s="16"/>
      <c r="R1362" s="16"/>
      <c r="S1362" s="16"/>
      <c r="U1362" s="283" t="e">
        <v>#N/A</v>
      </c>
      <c r="V1362" s="18" t="s">
        <v>5539</v>
      </c>
      <c r="W1362" s="18">
        <v>0</v>
      </c>
      <c r="X1362" s="18">
        <v>0</v>
      </c>
      <c r="Y1362" s="18">
        <v>0</v>
      </c>
      <c r="Z1362" s="18">
        <v>0</v>
      </c>
      <c r="AA1362" s="18">
        <v>0</v>
      </c>
      <c r="AB1362" s="18">
        <v>0</v>
      </c>
      <c r="AC1362" s="18">
        <v>0</v>
      </c>
      <c r="AD1362" s="18">
        <v>0</v>
      </c>
      <c r="AE1362" s="302">
        <f t="shared" si="56"/>
        <v>0</v>
      </c>
      <c r="AF1362" s="176"/>
      <c r="AG1362" s="17">
        <v>0</v>
      </c>
      <c r="AH1362" s="176" t="s">
        <v>2526</v>
      </c>
      <c r="AI1362" s="176" t="s">
        <v>2526</v>
      </c>
      <c r="AJ1362" s="234" t="s">
        <v>2526</v>
      </c>
      <c r="AK1362" s="235" t="s">
        <v>2526</v>
      </c>
      <c r="AL1362" s="235" t="s">
        <v>2526</v>
      </c>
      <c r="AM1362" s="147">
        <f t="shared" si="55"/>
        <v>0</v>
      </c>
      <c r="AN1362" s="236" t="s">
        <v>1446</v>
      </c>
      <c r="AO1362" s="236" t="s">
        <v>3715</v>
      </c>
      <c r="AP1362" s="228" t="s">
        <v>119</v>
      </c>
    </row>
    <row r="1363" spans="1:43" s="18" customFormat="1" x14ac:dyDescent="0.3">
      <c r="A1363" s="228" t="s">
        <v>1451</v>
      </c>
      <c r="B1363" s="18" t="s">
        <v>4838</v>
      </c>
      <c r="C1363" s="228" t="s">
        <v>4841</v>
      </c>
      <c r="D1363" s="18" t="s">
        <v>2439</v>
      </c>
      <c r="E1363" s="228" t="s">
        <v>5490</v>
      </c>
      <c r="F1363" s="18" t="s">
        <v>5491</v>
      </c>
      <c r="G1363" s="228" t="s">
        <v>5505</v>
      </c>
      <c r="H1363" s="18" t="s">
        <v>5506</v>
      </c>
      <c r="K1363" s="228" t="s">
        <v>5507</v>
      </c>
      <c r="L1363" s="18" t="s">
        <v>5508</v>
      </c>
      <c r="P1363" s="16"/>
      <c r="Q1363" s="16"/>
      <c r="R1363" s="16"/>
      <c r="S1363" s="16"/>
      <c r="U1363" s="283" t="e">
        <v>#N/A</v>
      </c>
      <c r="V1363" s="18" t="s">
        <v>5540</v>
      </c>
      <c r="W1363" s="18">
        <v>0</v>
      </c>
      <c r="X1363" s="18">
        <v>0</v>
      </c>
      <c r="Y1363" s="18">
        <v>0</v>
      </c>
      <c r="Z1363" s="18">
        <v>0</v>
      </c>
      <c r="AA1363" s="18">
        <v>0</v>
      </c>
      <c r="AB1363" s="18">
        <v>0</v>
      </c>
      <c r="AC1363" s="18">
        <v>0</v>
      </c>
      <c r="AD1363" s="18">
        <v>0</v>
      </c>
      <c r="AE1363" s="302">
        <f t="shared" si="56"/>
        <v>0</v>
      </c>
      <c r="AF1363" s="239"/>
      <c r="AG1363" s="17">
        <v>0</v>
      </c>
      <c r="AH1363" s="239" t="s">
        <v>2526</v>
      </c>
      <c r="AI1363" s="239" t="s">
        <v>2526</v>
      </c>
      <c r="AJ1363" s="239" t="s">
        <v>2526</v>
      </c>
      <c r="AK1363" s="177" t="s">
        <v>2526</v>
      </c>
      <c r="AL1363" s="177" t="s">
        <v>2526</v>
      </c>
      <c r="AM1363" s="147">
        <f t="shared" si="55"/>
        <v>0</v>
      </c>
      <c r="AN1363" s="18" t="s">
        <v>1446</v>
      </c>
      <c r="AO1363" s="18" t="s">
        <v>3715</v>
      </c>
      <c r="AP1363" s="240" t="s">
        <v>119</v>
      </c>
      <c r="AQ1363" s="157"/>
    </row>
    <row r="1364" spans="1:43" s="18" customFormat="1" x14ac:dyDescent="0.3">
      <c r="A1364" s="228" t="s">
        <v>1451</v>
      </c>
      <c r="B1364" s="18" t="s">
        <v>4838</v>
      </c>
      <c r="C1364" s="228" t="s">
        <v>4841</v>
      </c>
      <c r="D1364" s="18" t="s">
        <v>2439</v>
      </c>
      <c r="E1364" s="228" t="s">
        <v>5490</v>
      </c>
      <c r="F1364" s="18" t="s">
        <v>5491</v>
      </c>
      <c r="G1364" s="228" t="s">
        <v>5505</v>
      </c>
      <c r="H1364" s="18" t="s">
        <v>5506</v>
      </c>
      <c r="K1364" s="228" t="s">
        <v>5507</v>
      </c>
      <c r="L1364" s="18" t="s">
        <v>5508</v>
      </c>
      <c r="P1364" s="16"/>
      <c r="Q1364" s="16"/>
      <c r="R1364" s="16"/>
      <c r="S1364" s="16"/>
      <c r="U1364" s="283" t="e">
        <v>#N/A</v>
      </c>
      <c r="V1364" s="18" t="s">
        <v>5541</v>
      </c>
      <c r="W1364" s="18">
        <v>1</v>
      </c>
      <c r="X1364" s="18">
        <v>1</v>
      </c>
      <c r="Y1364" s="18">
        <v>1</v>
      </c>
      <c r="Z1364" s="18">
        <v>1</v>
      </c>
      <c r="AA1364" s="18">
        <v>1</v>
      </c>
      <c r="AB1364" s="18">
        <v>1</v>
      </c>
      <c r="AC1364" s="18">
        <v>1</v>
      </c>
      <c r="AD1364" s="18">
        <v>1</v>
      </c>
      <c r="AE1364" s="302">
        <f t="shared" si="56"/>
        <v>1</v>
      </c>
      <c r="AF1364" s="176">
        <v>0</v>
      </c>
      <c r="AG1364" s="17">
        <v>0</v>
      </c>
      <c r="AH1364" s="176">
        <v>0.13</v>
      </c>
      <c r="AI1364" s="176" t="s">
        <v>2526</v>
      </c>
      <c r="AJ1364" s="234" t="s">
        <v>2526</v>
      </c>
      <c r="AK1364" s="235" t="s">
        <v>2526</v>
      </c>
      <c r="AL1364" s="235">
        <v>0.2</v>
      </c>
      <c r="AM1364" s="147">
        <f t="shared" si="55"/>
        <v>0.2</v>
      </c>
      <c r="AN1364" s="236" t="s">
        <v>265</v>
      </c>
      <c r="AO1364" s="236" t="s">
        <v>350</v>
      </c>
      <c r="AP1364" s="228" t="s">
        <v>5542</v>
      </c>
    </row>
    <row r="1365" spans="1:43" s="18" customFormat="1" x14ac:dyDescent="0.3">
      <c r="A1365" s="228" t="s">
        <v>1451</v>
      </c>
      <c r="B1365" s="18" t="s">
        <v>4838</v>
      </c>
      <c r="C1365" s="228" t="s">
        <v>4841</v>
      </c>
      <c r="D1365" s="18" t="s">
        <v>2439</v>
      </c>
      <c r="E1365" s="228" t="s">
        <v>5490</v>
      </c>
      <c r="F1365" s="18" t="s">
        <v>5491</v>
      </c>
      <c r="G1365" s="228" t="s">
        <v>5505</v>
      </c>
      <c r="H1365" s="18" t="s">
        <v>5506</v>
      </c>
      <c r="K1365" s="228" t="s">
        <v>5507</v>
      </c>
      <c r="L1365" s="18" t="s">
        <v>5508</v>
      </c>
      <c r="P1365" s="16"/>
      <c r="Q1365" s="16"/>
      <c r="R1365" s="16"/>
      <c r="S1365" s="16"/>
      <c r="U1365" s="283" t="e">
        <v>#N/A</v>
      </c>
      <c r="V1365" s="18" t="s">
        <v>5543</v>
      </c>
      <c r="W1365" s="18">
        <v>1</v>
      </c>
      <c r="X1365" s="18">
        <v>1</v>
      </c>
      <c r="Y1365" s="18">
        <v>1</v>
      </c>
      <c r="Z1365" s="18">
        <v>1</v>
      </c>
      <c r="AA1365" s="18">
        <v>1</v>
      </c>
      <c r="AB1365" s="18">
        <v>1</v>
      </c>
      <c r="AC1365" s="18">
        <v>1</v>
      </c>
      <c r="AD1365" s="18">
        <v>1</v>
      </c>
      <c r="AE1365" s="302">
        <f t="shared" si="56"/>
        <v>1</v>
      </c>
      <c r="AF1365" s="176">
        <v>0</v>
      </c>
      <c r="AG1365" s="17">
        <v>0</v>
      </c>
      <c r="AH1365" s="176">
        <v>0.04</v>
      </c>
      <c r="AI1365" s="176">
        <v>0.04</v>
      </c>
      <c r="AJ1365" s="234">
        <v>0.04</v>
      </c>
      <c r="AK1365" s="235">
        <v>0.04</v>
      </c>
      <c r="AL1365" s="235">
        <v>0.04</v>
      </c>
      <c r="AM1365" s="147">
        <f t="shared" si="55"/>
        <v>0.08</v>
      </c>
      <c r="AN1365" s="236" t="s">
        <v>265</v>
      </c>
      <c r="AO1365" s="236" t="s">
        <v>350</v>
      </c>
      <c r="AP1365" s="18" t="s">
        <v>5209</v>
      </c>
    </row>
    <row r="1366" spans="1:43" s="18" customFormat="1" x14ac:dyDescent="0.3">
      <c r="A1366" s="228" t="s">
        <v>1451</v>
      </c>
      <c r="B1366" s="18" t="s">
        <v>4838</v>
      </c>
      <c r="C1366" s="228" t="s">
        <v>4841</v>
      </c>
      <c r="D1366" s="18" t="s">
        <v>2439</v>
      </c>
      <c r="E1366" s="228" t="s">
        <v>5490</v>
      </c>
      <c r="F1366" s="18" t="s">
        <v>5491</v>
      </c>
      <c r="G1366" s="233" t="s">
        <v>5505</v>
      </c>
      <c r="H1366" s="18" t="s">
        <v>5506</v>
      </c>
      <c r="J1366" s="157"/>
      <c r="K1366" s="233" t="s">
        <v>5544</v>
      </c>
      <c r="L1366" s="18" t="s">
        <v>5545</v>
      </c>
      <c r="M1366" s="18" t="s">
        <v>5546</v>
      </c>
      <c r="N1366" s="18" t="s">
        <v>3926</v>
      </c>
      <c r="O1366" s="18" t="s">
        <v>3532</v>
      </c>
      <c r="P1366" s="16" t="s">
        <v>3565</v>
      </c>
      <c r="Q1366" s="16" t="s">
        <v>3516</v>
      </c>
      <c r="R1366" s="16">
        <v>4</v>
      </c>
      <c r="S1366" s="16">
        <v>5</v>
      </c>
      <c r="T1366" s="18" t="s">
        <v>321</v>
      </c>
      <c r="U1366" s="283" t="s">
        <v>1066</v>
      </c>
      <c r="V1366" s="157"/>
      <c r="W1366" s="157"/>
      <c r="X1366" s="157"/>
      <c r="Y1366" s="157"/>
      <c r="Z1366" s="157"/>
      <c r="AA1366" s="157"/>
      <c r="AB1366" s="157"/>
      <c r="AC1366" s="316">
        <v>0</v>
      </c>
      <c r="AD1366" s="316">
        <v>0</v>
      </c>
      <c r="AE1366" s="302">
        <f t="shared" si="56"/>
        <v>0</v>
      </c>
      <c r="AF1366" s="17"/>
      <c r="AG1366" s="17">
        <v>0</v>
      </c>
      <c r="AH1366" s="17"/>
      <c r="AI1366" s="251"/>
      <c r="AJ1366" s="251"/>
      <c r="AK1366" s="252"/>
      <c r="AL1366" s="154"/>
      <c r="AM1366" s="147">
        <f t="shared" ref="AM1366:AM1410" si="57">SUM(AK1366:AL1366)</f>
        <v>0</v>
      </c>
      <c r="AP1366" s="157"/>
      <c r="AQ1366" s="157"/>
    </row>
    <row r="1367" spans="1:43" s="18" customFormat="1" x14ac:dyDescent="0.3">
      <c r="A1367" s="228" t="s">
        <v>1451</v>
      </c>
      <c r="B1367" s="18" t="s">
        <v>4838</v>
      </c>
      <c r="C1367" s="228" t="s">
        <v>4841</v>
      </c>
      <c r="D1367" s="18" t="s">
        <v>2439</v>
      </c>
      <c r="E1367" s="228" t="s">
        <v>5490</v>
      </c>
      <c r="F1367" s="18" t="s">
        <v>5491</v>
      </c>
      <c r="G1367" s="228" t="s">
        <v>5505</v>
      </c>
      <c r="H1367" s="18" t="s">
        <v>5506</v>
      </c>
      <c r="J1367" s="157"/>
      <c r="K1367" s="233" t="s">
        <v>5544</v>
      </c>
      <c r="L1367" s="18" t="s">
        <v>5545</v>
      </c>
      <c r="M1367" s="18" t="s">
        <v>5547</v>
      </c>
      <c r="N1367" s="18">
        <v>2</v>
      </c>
      <c r="O1367" s="18">
        <v>2</v>
      </c>
      <c r="P1367" s="16">
        <v>3</v>
      </c>
      <c r="Q1367" s="16">
        <v>3</v>
      </c>
      <c r="R1367" s="16">
        <v>4</v>
      </c>
      <c r="S1367" s="16">
        <v>4</v>
      </c>
      <c r="T1367" s="18" t="s">
        <v>321</v>
      </c>
      <c r="U1367" s="283" t="s">
        <v>1066</v>
      </c>
      <c r="V1367" s="157"/>
      <c r="W1367" s="157"/>
      <c r="X1367" s="157"/>
      <c r="Y1367" s="157"/>
      <c r="Z1367" s="157"/>
      <c r="AA1367" s="157"/>
      <c r="AB1367" s="157"/>
      <c r="AC1367" s="316">
        <v>0</v>
      </c>
      <c r="AD1367" s="316">
        <v>0</v>
      </c>
      <c r="AE1367" s="302">
        <f t="shared" si="56"/>
        <v>0</v>
      </c>
      <c r="AF1367" s="17"/>
      <c r="AG1367" s="17">
        <v>0</v>
      </c>
      <c r="AH1367" s="17"/>
      <c r="AI1367" s="251"/>
      <c r="AJ1367" s="251"/>
      <c r="AK1367" s="252"/>
      <c r="AL1367" s="154"/>
      <c r="AM1367" s="147">
        <f t="shared" si="57"/>
        <v>0</v>
      </c>
      <c r="AP1367" s="157"/>
      <c r="AQ1367" s="157"/>
    </row>
    <row r="1368" spans="1:43" s="18" customFormat="1" x14ac:dyDescent="0.3">
      <c r="A1368" s="228" t="s">
        <v>1451</v>
      </c>
      <c r="B1368" s="18" t="s">
        <v>4838</v>
      </c>
      <c r="C1368" s="228" t="s">
        <v>4841</v>
      </c>
      <c r="D1368" s="18" t="s">
        <v>2439</v>
      </c>
      <c r="E1368" s="228" t="s">
        <v>5490</v>
      </c>
      <c r="F1368" s="18" t="s">
        <v>5491</v>
      </c>
      <c r="G1368" s="228" t="s">
        <v>5505</v>
      </c>
      <c r="H1368" s="18" t="s">
        <v>5506</v>
      </c>
      <c r="J1368" s="157"/>
      <c r="K1368" s="233" t="s">
        <v>5544</v>
      </c>
      <c r="L1368" s="18" t="s">
        <v>5545</v>
      </c>
      <c r="M1368" s="18" t="s">
        <v>5548</v>
      </c>
      <c r="N1368" s="18">
        <v>51</v>
      </c>
      <c r="O1368" s="18">
        <v>45</v>
      </c>
      <c r="P1368" s="16">
        <v>40</v>
      </c>
      <c r="Q1368" s="16">
        <v>35</v>
      </c>
      <c r="R1368" s="16">
        <v>30</v>
      </c>
      <c r="S1368" s="16">
        <v>25</v>
      </c>
      <c r="T1368" s="18" t="s">
        <v>321</v>
      </c>
      <c r="U1368" s="283" t="s">
        <v>1066</v>
      </c>
      <c r="V1368" s="157"/>
      <c r="W1368" s="157"/>
      <c r="X1368" s="157"/>
      <c r="Y1368" s="157"/>
      <c r="Z1368" s="157"/>
      <c r="AA1368" s="157"/>
      <c r="AB1368" s="157"/>
      <c r="AC1368" s="316">
        <v>0</v>
      </c>
      <c r="AD1368" s="316">
        <v>0</v>
      </c>
      <c r="AE1368" s="302">
        <f t="shared" si="56"/>
        <v>0</v>
      </c>
      <c r="AF1368" s="17"/>
      <c r="AG1368" s="17">
        <v>0</v>
      </c>
      <c r="AH1368" s="17"/>
      <c r="AI1368" s="251"/>
      <c r="AJ1368" s="251"/>
      <c r="AK1368" s="252"/>
      <c r="AL1368" s="154"/>
      <c r="AM1368" s="147">
        <f t="shared" si="57"/>
        <v>0</v>
      </c>
      <c r="AP1368" s="157"/>
      <c r="AQ1368" s="157"/>
    </row>
    <row r="1369" spans="1:43" s="18" customFormat="1" x14ac:dyDescent="0.3">
      <c r="A1369" s="228" t="s">
        <v>1451</v>
      </c>
      <c r="B1369" s="18" t="s">
        <v>4838</v>
      </c>
      <c r="C1369" s="228" t="s">
        <v>4841</v>
      </c>
      <c r="D1369" s="18" t="s">
        <v>2439</v>
      </c>
      <c r="E1369" s="228" t="s">
        <v>5490</v>
      </c>
      <c r="F1369" s="18" t="s">
        <v>5491</v>
      </c>
      <c r="G1369" s="228" t="s">
        <v>5505</v>
      </c>
      <c r="H1369" s="18" t="s">
        <v>5506</v>
      </c>
      <c r="J1369" s="157"/>
      <c r="K1369" s="233" t="s">
        <v>5544</v>
      </c>
      <c r="L1369" s="18" t="s">
        <v>5545</v>
      </c>
      <c r="M1369" s="18" t="s">
        <v>5549</v>
      </c>
      <c r="N1369" s="18">
        <v>0</v>
      </c>
      <c r="O1369" s="18">
        <v>1</v>
      </c>
      <c r="P1369" s="16">
        <v>2</v>
      </c>
      <c r="Q1369" s="16">
        <v>3</v>
      </c>
      <c r="R1369" s="16">
        <v>4</v>
      </c>
      <c r="S1369" s="16">
        <v>5</v>
      </c>
      <c r="T1369" s="18" t="s">
        <v>321</v>
      </c>
      <c r="U1369" s="283" t="s">
        <v>1066</v>
      </c>
      <c r="V1369" s="157"/>
      <c r="W1369" s="157"/>
      <c r="X1369" s="157"/>
      <c r="Y1369" s="157"/>
      <c r="Z1369" s="157"/>
      <c r="AA1369" s="157"/>
      <c r="AB1369" s="157"/>
      <c r="AC1369" s="316">
        <v>0</v>
      </c>
      <c r="AD1369" s="316">
        <v>0</v>
      </c>
      <c r="AE1369" s="302">
        <f t="shared" si="56"/>
        <v>0</v>
      </c>
      <c r="AF1369" s="17"/>
      <c r="AG1369" s="17">
        <v>0</v>
      </c>
      <c r="AH1369" s="17"/>
      <c r="AI1369" s="17"/>
      <c r="AJ1369" s="253"/>
      <c r="AK1369" s="254"/>
      <c r="AL1369" s="254"/>
      <c r="AM1369" s="147">
        <f t="shared" si="57"/>
        <v>0</v>
      </c>
      <c r="AN1369" s="236"/>
      <c r="AO1369" s="236"/>
    </row>
    <row r="1370" spans="1:43" s="18" customFormat="1" x14ac:dyDescent="0.3">
      <c r="A1370" s="228" t="s">
        <v>1451</v>
      </c>
      <c r="B1370" s="18" t="s">
        <v>4838</v>
      </c>
      <c r="C1370" s="228" t="s">
        <v>4841</v>
      </c>
      <c r="D1370" s="18" t="s">
        <v>2439</v>
      </c>
      <c r="E1370" s="228" t="s">
        <v>5490</v>
      </c>
      <c r="F1370" s="18" t="s">
        <v>5491</v>
      </c>
      <c r="G1370" s="228" t="s">
        <v>5550</v>
      </c>
      <c r="H1370" s="18" t="s">
        <v>5551</v>
      </c>
      <c r="K1370" s="228" t="s">
        <v>5552</v>
      </c>
      <c r="L1370" s="18" t="s">
        <v>5553</v>
      </c>
      <c r="M1370" s="18" t="s">
        <v>5554</v>
      </c>
      <c r="N1370" s="18">
        <v>3</v>
      </c>
      <c r="O1370" s="18">
        <v>3</v>
      </c>
      <c r="P1370" s="16">
        <v>3</v>
      </c>
      <c r="Q1370" s="16">
        <v>3</v>
      </c>
      <c r="R1370" s="16">
        <v>3</v>
      </c>
      <c r="S1370" s="16">
        <v>3</v>
      </c>
      <c r="T1370" s="18" t="s">
        <v>5555</v>
      </c>
      <c r="U1370" s="283" t="e">
        <v>#N/A</v>
      </c>
      <c r="V1370" s="18" t="s">
        <v>5556</v>
      </c>
      <c r="W1370" s="18">
        <v>1</v>
      </c>
      <c r="X1370" s="18">
        <v>1</v>
      </c>
      <c r="Y1370" s="18">
        <v>1</v>
      </c>
      <c r="Z1370" s="18">
        <v>1</v>
      </c>
      <c r="AA1370" s="18">
        <v>1</v>
      </c>
      <c r="AB1370" s="18">
        <v>1</v>
      </c>
      <c r="AC1370" s="18">
        <v>1</v>
      </c>
      <c r="AD1370" s="18">
        <v>1</v>
      </c>
      <c r="AE1370" s="302">
        <f t="shared" si="56"/>
        <v>1</v>
      </c>
      <c r="AF1370" s="176">
        <v>0</v>
      </c>
      <c r="AG1370" s="17">
        <v>0</v>
      </c>
      <c r="AH1370" s="176" t="s">
        <v>2526</v>
      </c>
      <c r="AI1370" s="176">
        <v>0.2</v>
      </c>
      <c r="AJ1370" s="234">
        <v>0.2</v>
      </c>
      <c r="AK1370" s="235" t="s">
        <v>2526</v>
      </c>
      <c r="AL1370" s="235" t="s">
        <v>2526</v>
      </c>
      <c r="AM1370" s="147">
        <f t="shared" si="57"/>
        <v>0</v>
      </c>
      <c r="AN1370" s="236" t="s">
        <v>265</v>
      </c>
      <c r="AO1370" s="236" t="s">
        <v>350</v>
      </c>
      <c r="AP1370" s="18" t="s">
        <v>5276</v>
      </c>
    </row>
    <row r="1371" spans="1:43" s="18" customFormat="1" x14ac:dyDescent="0.3">
      <c r="A1371" s="228" t="s">
        <v>1451</v>
      </c>
      <c r="B1371" s="18" t="s">
        <v>4838</v>
      </c>
      <c r="C1371" s="228" t="s">
        <v>4841</v>
      </c>
      <c r="D1371" s="18" t="s">
        <v>2439</v>
      </c>
      <c r="E1371" s="228" t="s">
        <v>5490</v>
      </c>
      <c r="F1371" s="18" t="s">
        <v>5491</v>
      </c>
      <c r="G1371" s="228" t="s">
        <v>5550</v>
      </c>
      <c r="H1371" s="18" t="s">
        <v>5551</v>
      </c>
      <c r="K1371" s="228" t="s">
        <v>5552</v>
      </c>
      <c r="L1371" s="18" t="s">
        <v>5553</v>
      </c>
      <c r="M1371" s="18" t="s">
        <v>5557</v>
      </c>
      <c r="N1371" s="18">
        <v>0</v>
      </c>
      <c r="O1371" s="18">
        <v>0</v>
      </c>
      <c r="P1371" s="16">
        <v>1</v>
      </c>
      <c r="Q1371" s="16">
        <v>0</v>
      </c>
      <c r="R1371" s="16">
        <v>0</v>
      </c>
      <c r="S1371" s="16">
        <v>0</v>
      </c>
      <c r="T1371" s="18" t="s">
        <v>1581</v>
      </c>
      <c r="U1371" s="283" t="s">
        <v>1583</v>
      </c>
      <c r="V1371" s="18" t="s">
        <v>5558</v>
      </c>
      <c r="W1371" s="18">
        <v>0</v>
      </c>
      <c r="X1371" s="18">
        <v>0</v>
      </c>
      <c r="Y1371" s="18">
        <v>0</v>
      </c>
      <c r="Z1371" s="18">
        <v>0</v>
      </c>
      <c r="AA1371" s="18">
        <v>0</v>
      </c>
      <c r="AB1371" s="18">
        <v>0</v>
      </c>
      <c r="AC1371" s="18">
        <v>0</v>
      </c>
      <c r="AD1371" s="18">
        <v>1</v>
      </c>
      <c r="AE1371" s="302">
        <f t="shared" si="56"/>
        <v>0.125</v>
      </c>
      <c r="AF1371" s="176">
        <v>0</v>
      </c>
      <c r="AG1371" s="17">
        <v>0</v>
      </c>
      <c r="AH1371" s="176" t="s">
        <v>2526</v>
      </c>
      <c r="AI1371" s="176" t="s">
        <v>2526</v>
      </c>
      <c r="AJ1371" s="234" t="s">
        <v>2526</v>
      </c>
      <c r="AK1371" s="235" t="s">
        <v>2526</v>
      </c>
      <c r="AL1371" s="235" t="s">
        <v>2526</v>
      </c>
      <c r="AM1371" s="147">
        <f t="shared" si="57"/>
        <v>0</v>
      </c>
      <c r="AN1371" s="236" t="s">
        <v>1446</v>
      </c>
      <c r="AO1371" s="236" t="s">
        <v>3715</v>
      </c>
      <c r="AP1371" s="228" t="s">
        <v>119</v>
      </c>
    </row>
    <row r="1372" spans="1:43" s="18" customFormat="1" x14ac:dyDescent="0.3">
      <c r="A1372" s="228" t="s">
        <v>1451</v>
      </c>
      <c r="B1372" s="18" t="s">
        <v>4838</v>
      </c>
      <c r="C1372" s="228" t="s">
        <v>4841</v>
      </c>
      <c r="D1372" s="18" t="s">
        <v>2439</v>
      </c>
      <c r="E1372" s="228" t="s">
        <v>5490</v>
      </c>
      <c r="F1372" s="18" t="s">
        <v>5491</v>
      </c>
      <c r="G1372" s="228" t="s">
        <v>5550</v>
      </c>
      <c r="H1372" s="18" t="s">
        <v>5551</v>
      </c>
      <c r="K1372" s="228" t="s">
        <v>5552</v>
      </c>
      <c r="L1372" s="18" t="s">
        <v>5553</v>
      </c>
      <c r="M1372" s="18" t="s">
        <v>5559</v>
      </c>
      <c r="N1372" s="18">
        <v>0</v>
      </c>
      <c r="O1372" s="18">
        <v>4</v>
      </c>
      <c r="P1372" s="16">
        <v>4</v>
      </c>
      <c r="Q1372" s="16">
        <v>4</v>
      </c>
      <c r="R1372" s="16">
        <v>4</v>
      </c>
      <c r="S1372" s="16">
        <v>4</v>
      </c>
      <c r="T1372" s="18" t="s">
        <v>1446</v>
      </c>
      <c r="U1372" s="283" t="s">
        <v>3715</v>
      </c>
      <c r="V1372" s="18" t="s">
        <v>5560</v>
      </c>
      <c r="W1372" s="18">
        <v>1</v>
      </c>
      <c r="X1372" s="18">
        <v>0</v>
      </c>
      <c r="Y1372" s="18">
        <v>1</v>
      </c>
      <c r="Z1372" s="18">
        <v>1</v>
      </c>
      <c r="AA1372" s="18">
        <v>1</v>
      </c>
      <c r="AB1372" s="18">
        <v>0</v>
      </c>
      <c r="AC1372" s="316">
        <v>1</v>
      </c>
      <c r="AD1372" s="316">
        <v>1</v>
      </c>
      <c r="AE1372" s="302">
        <f t="shared" si="56"/>
        <v>0.75</v>
      </c>
      <c r="AF1372" s="239">
        <v>0</v>
      </c>
      <c r="AG1372" s="17">
        <v>0</v>
      </c>
      <c r="AH1372" s="239">
        <v>0.3</v>
      </c>
      <c r="AI1372" s="239">
        <v>0.2</v>
      </c>
      <c r="AJ1372" s="239">
        <v>0.2</v>
      </c>
      <c r="AK1372" s="177">
        <v>0.2</v>
      </c>
      <c r="AL1372" s="177">
        <v>0.2</v>
      </c>
      <c r="AM1372" s="147">
        <f t="shared" si="57"/>
        <v>0.4</v>
      </c>
      <c r="AN1372" s="18" t="s">
        <v>1581</v>
      </c>
      <c r="AO1372" s="18" t="s">
        <v>1583</v>
      </c>
      <c r="AP1372" s="240" t="s">
        <v>5276</v>
      </c>
      <c r="AQ1372" s="157"/>
    </row>
    <row r="1373" spans="1:43" s="18" customFormat="1" x14ac:dyDescent="0.3">
      <c r="A1373" s="228" t="s">
        <v>1451</v>
      </c>
      <c r="B1373" s="18" t="s">
        <v>4838</v>
      </c>
      <c r="C1373" s="228" t="s">
        <v>4841</v>
      </c>
      <c r="D1373" s="18" t="s">
        <v>2439</v>
      </c>
      <c r="E1373" s="228" t="s">
        <v>5490</v>
      </c>
      <c r="F1373" s="18" t="s">
        <v>5491</v>
      </c>
      <c r="G1373" s="228" t="s">
        <v>5550</v>
      </c>
      <c r="H1373" s="18" t="s">
        <v>5551</v>
      </c>
      <c r="K1373" s="228" t="s">
        <v>5552</v>
      </c>
      <c r="L1373" s="18" t="s">
        <v>5553</v>
      </c>
      <c r="M1373" s="18" t="s">
        <v>5561</v>
      </c>
      <c r="N1373" s="18">
        <v>7</v>
      </c>
      <c r="O1373" s="18">
        <v>2</v>
      </c>
      <c r="P1373" s="16">
        <v>3</v>
      </c>
      <c r="Q1373" s="16">
        <v>4</v>
      </c>
      <c r="R1373" s="16">
        <v>4</v>
      </c>
      <c r="S1373" s="16">
        <v>1</v>
      </c>
      <c r="T1373" s="18" t="s">
        <v>1581</v>
      </c>
      <c r="U1373" s="283" t="s">
        <v>1583</v>
      </c>
      <c r="V1373" s="18" t="s">
        <v>5562</v>
      </c>
      <c r="W1373" s="18">
        <v>1</v>
      </c>
      <c r="X1373" s="18">
        <v>1</v>
      </c>
      <c r="Y1373" s="18">
        <v>1</v>
      </c>
      <c r="Z1373" s="18">
        <v>1</v>
      </c>
      <c r="AA1373" s="18">
        <v>1</v>
      </c>
      <c r="AB1373" s="18">
        <v>1</v>
      </c>
      <c r="AC1373" s="18">
        <v>1</v>
      </c>
      <c r="AD1373" s="18">
        <v>1</v>
      </c>
      <c r="AE1373" s="302">
        <f t="shared" si="56"/>
        <v>1</v>
      </c>
      <c r="AF1373" s="239">
        <v>0</v>
      </c>
      <c r="AG1373" s="17">
        <v>0</v>
      </c>
      <c r="AH1373" s="239" t="s">
        <v>2526</v>
      </c>
      <c r="AI1373" s="176">
        <v>0.16</v>
      </c>
      <c r="AJ1373" s="234" t="s">
        <v>2526</v>
      </c>
      <c r="AK1373" s="235" t="s">
        <v>2526</v>
      </c>
      <c r="AL1373" s="235" t="s">
        <v>2526</v>
      </c>
      <c r="AM1373" s="147">
        <f t="shared" si="57"/>
        <v>0</v>
      </c>
      <c r="AN1373" s="236" t="s">
        <v>1581</v>
      </c>
      <c r="AO1373" s="236" t="s">
        <v>1583</v>
      </c>
      <c r="AP1373" s="228" t="s">
        <v>5563</v>
      </c>
    </row>
    <row r="1374" spans="1:43" s="18" customFormat="1" x14ac:dyDescent="0.3">
      <c r="A1374" s="228" t="s">
        <v>1451</v>
      </c>
      <c r="B1374" s="18" t="s">
        <v>4838</v>
      </c>
      <c r="C1374" s="228" t="s">
        <v>4841</v>
      </c>
      <c r="D1374" s="18" t="s">
        <v>2439</v>
      </c>
      <c r="E1374" s="228" t="s">
        <v>5490</v>
      </c>
      <c r="F1374" s="18" t="s">
        <v>5491</v>
      </c>
      <c r="G1374" s="228" t="s">
        <v>5550</v>
      </c>
      <c r="H1374" s="18" t="s">
        <v>5551</v>
      </c>
      <c r="K1374" s="228" t="s">
        <v>5552</v>
      </c>
      <c r="L1374" s="18" t="s">
        <v>5553</v>
      </c>
      <c r="M1374" s="18" t="s">
        <v>5564</v>
      </c>
      <c r="N1374" s="18">
        <v>0</v>
      </c>
      <c r="O1374" s="18">
        <v>0</v>
      </c>
      <c r="P1374" s="16" t="s">
        <v>5565</v>
      </c>
      <c r="Q1374" s="16">
        <v>0</v>
      </c>
      <c r="R1374" s="16">
        <v>0</v>
      </c>
      <c r="S1374" s="16">
        <v>0</v>
      </c>
      <c r="T1374" s="18" t="s">
        <v>1191</v>
      </c>
      <c r="U1374" s="283" t="e">
        <v>#N/A</v>
      </c>
      <c r="V1374" s="18" t="s">
        <v>5566</v>
      </c>
      <c r="W1374" s="18">
        <v>0</v>
      </c>
      <c r="X1374" s="18">
        <v>0</v>
      </c>
      <c r="Y1374" s="18">
        <v>0</v>
      </c>
      <c r="Z1374" s="18">
        <v>0</v>
      </c>
      <c r="AA1374" s="18">
        <v>0</v>
      </c>
      <c r="AB1374" s="18">
        <v>0</v>
      </c>
      <c r="AC1374" s="18">
        <v>0</v>
      </c>
      <c r="AD1374" s="18">
        <v>0</v>
      </c>
      <c r="AE1374" s="302">
        <f t="shared" si="56"/>
        <v>0</v>
      </c>
      <c r="AF1374" s="239">
        <v>0</v>
      </c>
      <c r="AG1374" s="17">
        <v>0</v>
      </c>
      <c r="AH1374" s="239">
        <v>0</v>
      </c>
      <c r="AI1374" s="239">
        <v>0</v>
      </c>
      <c r="AJ1374" s="239">
        <v>0</v>
      </c>
      <c r="AK1374" s="177">
        <v>0</v>
      </c>
      <c r="AL1374" s="177">
        <v>0</v>
      </c>
      <c r="AM1374" s="147">
        <f t="shared" si="57"/>
        <v>0</v>
      </c>
      <c r="AN1374" s="18" t="s">
        <v>921</v>
      </c>
      <c r="AO1374" s="18" t="s">
        <v>880</v>
      </c>
      <c r="AP1374" s="240" t="s">
        <v>119</v>
      </c>
      <c r="AQ1374" s="157"/>
    </row>
    <row r="1375" spans="1:43" s="18" customFormat="1" x14ac:dyDescent="0.3">
      <c r="A1375" s="228" t="s">
        <v>1451</v>
      </c>
      <c r="B1375" s="18" t="s">
        <v>4838</v>
      </c>
      <c r="C1375" s="228" t="s">
        <v>4841</v>
      </c>
      <c r="D1375" s="18" t="s">
        <v>2439</v>
      </c>
      <c r="E1375" s="228" t="s">
        <v>5490</v>
      </c>
      <c r="F1375" s="18" t="s">
        <v>5491</v>
      </c>
      <c r="G1375" s="228" t="s">
        <v>5550</v>
      </c>
      <c r="H1375" s="18" t="s">
        <v>5551</v>
      </c>
      <c r="K1375" s="228" t="s">
        <v>5552</v>
      </c>
      <c r="L1375" s="18" t="s">
        <v>5553</v>
      </c>
      <c r="P1375" s="16"/>
      <c r="Q1375" s="16"/>
      <c r="R1375" s="16"/>
      <c r="S1375" s="16"/>
      <c r="U1375" s="283" t="e">
        <v>#N/A</v>
      </c>
      <c r="V1375" s="18" t="s">
        <v>5567</v>
      </c>
      <c r="W1375" s="18">
        <v>0</v>
      </c>
      <c r="X1375" s="18">
        <v>0</v>
      </c>
      <c r="Y1375" s="18">
        <v>0</v>
      </c>
      <c r="Z1375" s="18">
        <v>0</v>
      </c>
      <c r="AA1375" s="18">
        <v>0</v>
      </c>
      <c r="AB1375" s="18">
        <v>0</v>
      </c>
      <c r="AC1375" s="18">
        <v>0</v>
      </c>
      <c r="AD1375" s="18">
        <v>0</v>
      </c>
      <c r="AE1375" s="302">
        <f t="shared" si="56"/>
        <v>0</v>
      </c>
      <c r="AF1375" s="176">
        <v>0</v>
      </c>
      <c r="AG1375" s="17">
        <v>0</v>
      </c>
      <c r="AH1375" s="176" t="s">
        <v>2526</v>
      </c>
      <c r="AI1375" s="176" t="s">
        <v>2526</v>
      </c>
      <c r="AJ1375" s="234" t="s">
        <v>2526</v>
      </c>
      <c r="AK1375" s="235" t="s">
        <v>2526</v>
      </c>
      <c r="AL1375" s="235" t="s">
        <v>2526</v>
      </c>
      <c r="AM1375" s="147">
        <f t="shared" si="57"/>
        <v>0</v>
      </c>
      <c r="AN1375" s="236" t="s">
        <v>921</v>
      </c>
      <c r="AO1375" s="236" t="s">
        <v>880</v>
      </c>
      <c r="AP1375" s="228" t="s">
        <v>119</v>
      </c>
    </row>
    <row r="1376" spans="1:43" s="18" customFormat="1" x14ac:dyDescent="0.3">
      <c r="A1376" s="228" t="s">
        <v>1451</v>
      </c>
      <c r="B1376" s="18" t="s">
        <v>4838</v>
      </c>
      <c r="C1376" s="228" t="s">
        <v>4841</v>
      </c>
      <c r="D1376" s="18" t="s">
        <v>2439</v>
      </c>
      <c r="E1376" s="228" t="s">
        <v>5490</v>
      </c>
      <c r="F1376" s="18" t="s">
        <v>5491</v>
      </c>
      <c r="G1376" s="228" t="s">
        <v>5550</v>
      </c>
      <c r="H1376" s="18" t="s">
        <v>5551</v>
      </c>
      <c r="K1376" s="228" t="s">
        <v>5568</v>
      </c>
      <c r="L1376" s="18" t="s">
        <v>5569</v>
      </c>
      <c r="M1376" s="18" t="s">
        <v>5570</v>
      </c>
      <c r="N1376" s="18">
        <v>10</v>
      </c>
      <c r="O1376" s="18">
        <v>50</v>
      </c>
      <c r="P1376" s="16">
        <v>50</v>
      </c>
      <c r="Q1376" s="16">
        <v>100</v>
      </c>
      <c r="R1376" s="16">
        <v>120</v>
      </c>
      <c r="S1376" s="16">
        <v>150</v>
      </c>
      <c r="T1376" s="18" t="s">
        <v>4932</v>
      </c>
      <c r="U1376" s="283" t="s">
        <v>3877</v>
      </c>
      <c r="V1376" s="18" t="s">
        <v>5571</v>
      </c>
      <c r="W1376" s="18">
        <v>1</v>
      </c>
      <c r="X1376" s="18">
        <v>0</v>
      </c>
      <c r="Y1376" s="18">
        <v>1</v>
      </c>
      <c r="Z1376" s="18">
        <v>1</v>
      </c>
      <c r="AA1376" s="18">
        <v>1</v>
      </c>
      <c r="AB1376" s="18">
        <v>1</v>
      </c>
      <c r="AC1376" s="316">
        <v>1</v>
      </c>
      <c r="AD1376" s="316">
        <v>1</v>
      </c>
      <c r="AE1376" s="302">
        <f t="shared" si="56"/>
        <v>0.875</v>
      </c>
      <c r="AF1376" s="176">
        <v>0</v>
      </c>
      <c r="AG1376" s="17">
        <v>0</v>
      </c>
      <c r="AH1376" s="176">
        <v>52.5</v>
      </c>
      <c r="AI1376" s="239">
        <v>47</v>
      </c>
      <c r="AJ1376" s="239">
        <v>46.5</v>
      </c>
      <c r="AK1376" s="250" t="s">
        <v>2526</v>
      </c>
      <c r="AL1376" s="177">
        <v>0</v>
      </c>
      <c r="AM1376" s="147">
        <f t="shared" si="57"/>
        <v>0</v>
      </c>
      <c r="AN1376" s="18" t="s">
        <v>3875</v>
      </c>
      <c r="AO1376" s="18" t="s">
        <v>3877</v>
      </c>
      <c r="AP1376" s="240" t="s">
        <v>921</v>
      </c>
      <c r="AQ1376" s="157"/>
    </row>
    <row r="1377" spans="1:43" s="18" customFormat="1" x14ac:dyDescent="0.3">
      <c r="A1377" s="228" t="s">
        <v>1451</v>
      </c>
      <c r="B1377" s="18" t="s">
        <v>4838</v>
      </c>
      <c r="C1377" s="228" t="s">
        <v>4841</v>
      </c>
      <c r="D1377" s="18" t="s">
        <v>2439</v>
      </c>
      <c r="E1377" s="228" t="s">
        <v>5490</v>
      </c>
      <c r="F1377" s="18" t="s">
        <v>5491</v>
      </c>
      <c r="G1377" s="228" t="s">
        <v>5550</v>
      </c>
      <c r="H1377" s="18" t="s">
        <v>5551</v>
      </c>
      <c r="K1377" s="228" t="s">
        <v>5568</v>
      </c>
      <c r="L1377" s="18" t="s">
        <v>5569</v>
      </c>
      <c r="P1377" s="16"/>
      <c r="Q1377" s="16"/>
      <c r="R1377" s="16"/>
      <c r="S1377" s="16"/>
      <c r="U1377" s="283" t="e">
        <v>#N/A</v>
      </c>
      <c r="V1377" s="18" t="s">
        <v>5572</v>
      </c>
      <c r="W1377" s="18">
        <v>0</v>
      </c>
      <c r="X1377" s="18">
        <v>0</v>
      </c>
      <c r="Y1377" s="18">
        <v>0</v>
      </c>
      <c r="Z1377" s="18">
        <v>0</v>
      </c>
      <c r="AA1377" s="18">
        <v>0</v>
      </c>
      <c r="AB1377" s="18">
        <v>0</v>
      </c>
      <c r="AC1377" s="18">
        <v>0</v>
      </c>
      <c r="AD1377" s="18">
        <v>0</v>
      </c>
      <c r="AE1377" s="302">
        <f t="shared" ref="AE1377:AE1410" si="58">SUM(W1377:AD1377)/8</f>
        <v>0</v>
      </c>
      <c r="AF1377" s="176">
        <v>0</v>
      </c>
      <c r="AG1377" s="17">
        <v>0</v>
      </c>
      <c r="AH1377" s="176" t="s">
        <v>2526</v>
      </c>
      <c r="AI1377" s="239" t="s">
        <v>2526</v>
      </c>
      <c r="AJ1377" s="239" t="s">
        <v>2526</v>
      </c>
      <c r="AK1377" s="177" t="s">
        <v>2526</v>
      </c>
      <c r="AL1377" s="177" t="s">
        <v>2526</v>
      </c>
      <c r="AM1377" s="147">
        <f t="shared" si="57"/>
        <v>0</v>
      </c>
      <c r="AN1377" s="18" t="s">
        <v>921</v>
      </c>
      <c r="AO1377" s="18" t="s">
        <v>880</v>
      </c>
      <c r="AP1377" s="240" t="s">
        <v>119</v>
      </c>
      <c r="AQ1377" s="157"/>
    </row>
    <row r="1378" spans="1:43" s="18" customFormat="1" x14ac:dyDescent="0.3">
      <c r="A1378" s="228" t="s">
        <v>1451</v>
      </c>
      <c r="B1378" s="18" t="s">
        <v>4838</v>
      </c>
      <c r="C1378" s="228" t="s">
        <v>4841</v>
      </c>
      <c r="D1378" s="18" t="s">
        <v>2439</v>
      </c>
      <c r="E1378" s="228" t="s">
        <v>5490</v>
      </c>
      <c r="F1378" s="18" t="s">
        <v>5491</v>
      </c>
      <c r="G1378" s="228" t="s">
        <v>5550</v>
      </c>
      <c r="H1378" s="18" t="s">
        <v>5551</v>
      </c>
      <c r="K1378" s="228" t="s">
        <v>5573</v>
      </c>
      <c r="L1378" s="18" t="s">
        <v>5574</v>
      </c>
      <c r="M1378" s="18" t="s">
        <v>5575</v>
      </c>
      <c r="N1378" s="18">
        <v>0</v>
      </c>
      <c r="O1378" s="18">
        <v>0.05</v>
      </c>
      <c r="P1378" s="16">
        <v>0.05</v>
      </c>
      <c r="Q1378" s="16">
        <v>0.1</v>
      </c>
      <c r="R1378" s="16">
        <v>0.15</v>
      </c>
      <c r="S1378" s="16">
        <v>0.2</v>
      </c>
      <c r="T1378" s="18" t="s">
        <v>5576</v>
      </c>
      <c r="U1378" s="283" t="e">
        <v>#N/A</v>
      </c>
      <c r="V1378" s="18" t="s">
        <v>5577</v>
      </c>
      <c r="W1378" s="18">
        <v>1</v>
      </c>
      <c r="X1378" s="18">
        <v>1</v>
      </c>
      <c r="Y1378" s="18">
        <v>1</v>
      </c>
      <c r="Z1378" s="18">
        <v>1</v>
      </c>
      <c r="AA1378" s="18">
        <v>1</v>
      </c>
      <c r="AB1378" s="18">
        <v>1</v>
      </c>
      <c r="AC1378" s="18">
        <v>1</v>
      </c>
      <c r="AD1378" s="18">
        <v>1</v>
      </c>
      <c r="AE1378" s="302">
        <f t="shared" si="58"/>
        <v>1</v>
      </c>
      <c r="AF1378" s="239">
        <v>0</v>
      </c>
      <c r="AG1378" s="17">
        <v>0</v>
      </c>
      <c r="AH1378" s="239">
        <v>0.2</v>
      </c>
      <c r="AI1378" s="239">
        <v>0.2</v>
      </c>
      <c r="AJ1378" s="239">
        <v>0.2</v>
      </c>
      <c r="AK1378" s="238">
        <v>0.2</v>
      </c>
      <c r="AL1378" s="177">
        <v>0.2</v>
      </c>
      <c r="AM1378" s="147">
        <f t="shared" si="57"/>
        <v>0.4</v>
      </c>
      <c r="AN1378" s="18" t="s">
        <v>5578</v>
      </c>
      <c r="AO1378" s="18" t="s">
        <v>880</v>
      </c>
      <c r="AP1378" s="240" t="s">
        <v>5579</v>
      </c>
      <c r="AQ1378" s="157"/>
    </row>
    <row r="1379" spans="1:43" s="18" customFormat="1" x14ac:dyDescent="0.3">
      <c r="A1379" s="228" t="s">
        <v>1451</v>
      </c>
      <c r="B1379" s="18" t="s">
        <v>4838</v>
      </c>
      <c r="C1379" s="228" t="s">
        <v>4841</v>
      </c>
      <c r="D1379" s="18" t="s">
        <v>2439</v>
      </c>
      <c r="E1379" s="228" t="s">
        <v>5490</v>
      </c>
      <c r="F1379" s="18" t="s">
        <v>5491</v>
      </c>
      <c r="G1379" s="228" t="s">
        <v>5550</v>
      </c>
      <c r="H1379" s="18" t="s">
        <v>5551</v>
      </c>
      <c r="K1379" s="228" t="s">
        <v>5573</v>
      </c>
      <c r="L1379" s="18" t="s">
        <v>5574</v>
      </c>
      <c r="M1379" s="18" t="s">
        <v>5580</v>
      </c>
      <c r="N1379" s="18">
        <v>6</v>
      </c>
      <c r="O1379" s="18">
        <v>3</v>
      </c>
      <c r="P1379" s="16">
        <v>3</v>
      </c>
      <c r="Q1379" s="16">
        <v>1</v>
      </c>
      <c r="R1379" s="16">
        <v>1</v>
      </c>
      <c r="S1379" s="16">
        <v>1</v>
      </c>
      <c r="T1379" s="18" t="s">
        <v>5576</v>
      </c>
      <c r="U1379" s="283" t="e">
        <v>#N/A</v>
      </c>
      <c r="AC1379" s="316">
        <v>0</v>
      </c>
      <c r="AD1379" s="316">
        <v>0</v>
      </c>
      <c r="AE1379" s="302">
        <f t="shared" si="58"/>
        <v>0</v>
      </c>
      <c r="AF1379" s="251"/>
      <c r="AG1379" s="17">
        <v>0</v>
      </c>
      <c r="AH1379" s="251"/>
      <c r="AI1379" s="251"/>
      <c r="AJ1379" s="251"/>
      <c r="AK1379" s="252"/>
      <c r="AL1379" s="154"/>
      <c r="AM1379" s="147">
        <f t="shared" si="57"/>
        <v>0</v>
      </c>
      <c r="AP1379" s="240"/>
      <c r="AQ1379" s="157"/>
    </row>
    <row r="1380" spans="1:43" s="18" customFormat="1" x14ac:dyDescent="0.3">
      <c r="A1380" s="228" t="s">
        <v>1451</v>
      </c>
      <c r="B1380" s="18" t="s">
        <v>4838</v>
      </c>
      <c r="C1380" s="228" t="s">
        <v>4841</v>
      </c>
      <c r="D1380" s="18" t="s">
        <v>2439</v>
      </c>
      <c r="E1380" s="228" t="s">
        <v>5490</v>
      </c>
      <c r="F1380" s="18" t="s">
        <v>5491</v>
      </c>
      <c r="G1380" s="228" t="s">
        <v>5550</v>
      </c>
      <c r="H1380" s="18" t="s">
        <v>5551</v>
      </c>
      <c r="K1380" s="228" t="s">
        <v>5581</v>
      </c>
      <c r="L1380" s="18" t="s">
        <v>5582</v>
      </c>
      <c r="M1380" s="18" t="s">
        <v>5583</v>
      </c>
      <c r="P1380" s="16"/>
      <c r="Q1380" s="16"/>
      <c r="R1380" s="16"/>
      <c r="S1380" s="16"/>
      <c r="U1380" s="283" t="e">
        <v>#N/A</v>
      </c>
      <c r="V1380" s="18" t="s">
        <v>5584</v>
      </c>
      <c r="W1380" s="18">
        <v>0</v>
      </c>
      <c r="X1380" s="18">
        <v>0</v>
      </c>
      <c r="Y1380" s="18">
        <v>0</v>
      </c>
      <c r="Z1380" s="18">
        <v>0</v>
      </c>
      <c r="AA1380" s="18">
        <v>0</v>
      </c>
      <c r="AB1380" s="18">
        <v>0</v>
      </c>
      <c r="AC1380" s="18">
        <v>0</v>
      </c>
      <c r="AD1380" s="18">
        <v>0</v>
      </c>
      <c r="AE1380" s="302">
        <f t="shared" si="58"/>
        <v>0</v>
      </c>
      <c r="AF1380" s="176">
        <v>0</v>
      </c>
      <c r="AG1380" s="17">
        <v>0</v>
      </c>
      <c r="AH1380" s="176" t="s">
        <v>2526</v>
      </c>
      <c r="AI1380" s="176" t="s">
        <v>2526</v>
      </c>
      <c r="AJ1380" s="234" t="s">
        <v>2526</v>
      </c>
      <c r="AK1380" s="235" t="s">
        <v>2526</v>
      </c>
      <c r="AL1380" s="235" t="s">
        <v>2526</v>
      </c>
      <c r="AM1380" s="147">
        <f t="shared" si="57"/>
        <v>0</v>
      </c>
      <c r="AN1380" s="236" t="s">
        <v>921</v>
      </c>
      <c r="AO1380" s="236" t="s">
        <v>880</v>
      </c>
      <c r="AP1380" s="228" t="s">
        <v>119</v>
      </c>
    </row>
    <row r="1381" spans="1:43" s="18" customFormat="1" x14ac:dyDescent="0.3">
      <c r="A1381" s="228" t="s">
        <v>1451</v>
      </c>
      <c r="B1381" s="18" t="s">
        <v>4838</v>
      </c>
      <c r="C1381" s="228" t="s">
        <v>4841</v>
      </c>
      <c r="D1381" s="18" t="s">
        <v>2439</v>
      </c>
      <c r="E1381" s="228" t="s">
        <v>5490</v>
      </c>
      <c r="F1381" s="18" t="s">
        <v>5491</v>
      </c>
      <c r="G1381" s="228" t="s">
        <v>5550</v>
      </c>
      <c r="H1381" s="18" t="s">
        <v>5551</v>
      </c>
      <c r="K1381" s="233" t="s">
        <v>5585</v>
      </c>
      <c r="L1381" s="18" t="s">
        <v>5586</v>
      </c>
      <c r="M1381" s="18" t="s">
        <v>5587</v>
      </c>
      <c r="P1381" s="16"/>
      <c r="Q1381" s="16"/>
      <c r="R1381" s="16"/>
      <c r="S1381" s="16"/>
      <c r="T1381" s="18" t="s">
        <v>1132</v>
      </c>
      <c r="U1381" s="283" t="s">
        <v>3739</v>
      </c>
      <c r="V1381" s="18" t="s">
        <v>5588</v>
      </c>
      <c r="W1381" s="18">
        <v>1</v>
      </c>
      <c r="X1381" s="18">
        <v>0</v>
      </c>
      <c r="Y1381" s="18">
        <v>1</v>
      </c>
      <c r="Z1381" s="18">
        <v>1</v>
      </c>
      <c r="AA1381" s="18">
        <v>1</v>
      </c>
      <c r="AB1381" s="18">
        <v>1</v>
      </c>
      <c r="AC1381" s="316">
        <v>0</v>
      </c>
      <c r="AD1381" s="316">
        <v>1</v>
      </c>
      <c r="AE1381" s="302">
        <f t="shared" si="58"/>
        <v>0.75</v>
      </c>
      <c r="AF1381" s="176">
        <v>0</v>
      </c>
      <c r="AG1381" s="17">
        <v>0</v>
      </c>
      <c r="AH1381" s="176">
        <v>0.9</v>
      </c>
      <c r="AI1381" s="176">
        <v>0.98750000000000004</v>
      </c>
      <c r="AJ1381" s="255">
        <v>1.05</v>
      </c>
      <c r="AK1381" s="256">
        <v>1.25</v>
      </c>
      <c r="AL1381" s="256">
        <v>1.3</v>
      </c>
      <c r="AM1381" s="147">
        <f t="shared" si="57"/>
        <v>2.5499999999999998</v>
      </c>
      <c r="AN1381" s="236" t="s">
        <v>1132</v>
      </c>
      <c r="AO1381" s="236" t="s">
        <v>1134</v>
      </c>
      <c r="AP1381" s="228"/>
    </row>
    <row r="1382" spans="1:43" s="18" customFormat="1" x14ac:dyDescent="0.3">
      <c r="A1382" s="228" t="s">
        <v>1451</v>
      </c>
      <c r="B1382" s="18" t="s">
        <v>4838</v>
      </c>
      <c r="C1382" s="228" t="s">
        <v>4841</v>
      </c>
      <c r="D1382" s="18" t="s">
        <v>2439</v>
      </c>
      <c r="E1382" s="228" t="s">
        <v>5490</v>
      </c>
      <c r="F1382" s="18" t="s">
        <v>5491</v>
      </c>
      <c r="G1382" s="228" t="s">
        <v>5589</v>
      </c>
      <c r="H1382" s="18" t="s">
        <v>5590</v>
      </c>
      <c r="K1382" s="228" t="s">
        <v>5591</v>
      </c>
      <c r="L1382" s="18" t="s">
        <v>5592</v>
      </c>
      <c r="M1382" s="18" t="s">
        <v>5593</v>
      </c>
      <c r="N1382" s="18">
        <v>0</v>
      </c>
      <c r="O1382" s="18" t="s">
        <v>3926</v>
      </c>
      <c r="P1382" s="16" t="s">
        <v>3532</v>
      </c>
      <c r="Q1382" s="16" t="s">
        <v>3532</v>
      </c>
      <c r="R1382" s="16" t="s">
        <v>3532</v>
      </c>
      <c r="S1382" s="16" t="s">
        <v>3532</v>
      </c>
      <c r="T1382" s="18" t="s">
        <v>869</v>
      </c>
      <c r="U1382" s="283" t="s">
        <v>871</v>
      </c>
      <c r="V1382" s="18" t="s">
        <v>5594</v>
      </c>
      <c r="W1382" s="18">
        <v>0</v>
      </c>
      <c r="X1382" s="18">
        <v>0</v>
      </c>
      <c r="Y1382" s="18">
        <v>0</v>
      </c>
      <c r="Z1382" s="18">
        <v>0</v>
      </c>
      <c r="AA1382" s="18">
        <v>0</v>
      </c>
      <c r="AB1382" s="18">
        <v>0</v>
      </c>
      <c r="AC1382" s="18">
        <v>0</v>
      </c>
      <c r="AD1382" s="18">
        <v>0</v>
      </c>
      <c r="AE1382" s="302">
        <f t="shared" si="58"/>
        <v>0</v>
      </c>
      <c r="AF1382" s="239">
        <v>0</v>
      </c>
      <c r="AG1382" s="17">
        <v>0</v>
      </c>
      <c r="AH1382" s="239">
        <v>0</v>
      </c>
      <c r="AI1382" s="239">
        <v>0</v>
      </c>
      <c r="AJ1382" s="239">
        <v>0</v>
      </c>
      <c r="AK1382" s="238">
        <v>0</v>
      </c>
      <c r="AL1382" s="177">
        <v>0</v>
      </c>
      <c r="AM1382" s="147">
        <f t="shared" si="57"/>
        <v>0</v>
      </c>
      <c r="AN1382" s="18" t="s">
        <v>869</v>
      </c>
      <c r="AO1382" s="18" t="s">
        <v>871</v>
      </c>
      <c r="AP1382" s="240" t="s">
        <v>119</v>
      </c>
      <c r="AQ1382" s="157"/>
    </row>
    <row r="1383" spans="1:43" s="18" customFormat="1" x14ac:dyDescent="0.3">
      <c r="A1383" s="228" t="s">
        <v>1451</v>
      </c>
      <c r="B1383" s="18" t="s">
        <v>4838</v>
      </c>
      <c r="C1383" s="228" t="s">
        <v>4841</v>
      </c>
      <c r="D1383" s="18" t="s">
        <v>2439</v>
      </c>
      <c r="E1383" s="228" t="s">
        <v>5490</v>
      </c>
      <c r="F1383" s="18" t="s">
        <v>5491</v>
      </c>
      <c r="G1383" s="228" t="s">
        <v>5589</v>
      </c>
      <c r="H1383" s="18" t="s">
        <v>5590</v>
      </c>
      <c r="K1383" s="228" t="s">
        <v>5591</v>
      </c>
      <c r="L1383" s="18" t="s">
        <v>5592</v>
      </c>
      <c r="M1383" s="18" t="s">
        <v>5595</v>
      </c>
      <c r="N1383" s="18" t="s">
        <v>3926</v>
      </c>
      <c r="O1383" s="18" t="s">
        <v>3532</v>
      </c>
      <c r="P1383" s="16" t="s">
        <v>3532</v>
      </c>
      <c r="Q1383" s="16" t="s">
        <v>3532</v>
      </c>
      <c r="R1383" s="16" t="s">
        <v>3532</v>
      </c>
      <c r="S1383" s="16" t="s">
        <v>3532</v>
      </c>
      <c r="T1383" s="18" t="s">
        <v>869</v>
      </c>
      <c r="U1383" s="283" t="s">
        <v>871</v>
      </c>
      <c r="V1383" s="18" t="s">
        <v>5596</v>
      </c>
      <c r="W1383" s="18">
        <v>0</v>
      </c>
      <c r="X1383" s="18">
        <v>0</v>
      </c>
      <c r="Y1383" s="18">
        <v>0</v>
      </c>
      <c r="Z1383" s="18">
        <v>0</v>
      </c>
      <c r="AA1383" s="18">
        <v>0</v>
      </c>
      <c r="AB1383" s="18">
        <v>0</v>
      </c>
      <c r="AC1383" s="18">
        <v>0</v>
      </c>
      <c r="AD1383" s="18">
        <v>0</v>
      </c>
      <c r="AE1383" s="302">
        <f t="shared" si="58"/>
        <v>0</v>
      </c>
      <c r="AF1383" s="176">
        <v>0</v>
      </c>
      <c r="AG1383" s="17">
        <v>0</v>
      </c>
      <c r="AH1383" s="176" t="s">
        <v>2526</v>
      </c>
      <c r="AI1383" s="176" t="s">
        <v>2526</v>
      </c>
      <c r="AJ1383" s="176" t="s">
        <v>2526</v>
      </c>
      <c r="AK1383" s="177" t="s">
        <v>2526</v>
      </c>
      <c r="AL1383" s="177" t="s">
        <v>2526</v>
      </c>
      <c r="AM1383" s="147">
        <f t="shared" si="57"/>
        <v>0</v>
      </c>
      <c r="AN1383" s="18" t="s">
        <v>869</v>
      </c>
      <c r="AO1383" s="18" t="s">
        <v>871</v>
      </c>
      <c r="AP1383" s="228" t="s">
        <v>119</v>
      </c>
    </row>
    <row r="1384" spans="1:43" s="18" customFormat="1" x14ac:dyDescent="0.3">
      <c r="A1384" s="228" t="s">
        <v>1451</v>
      </c>
      <c r="B1384" s="18" t="s">
        <v>4838</v>
      </c>
      <c r="C1384" s="228" t="s">
        <v>4841</v>
      </c>
      <c r="D1384" s="18" t="s">
        <v>2439</v>
      </c>
      <c r="E1384" s="228" t="s">
        <v>5490</v>
      </c>
      <c r="F1384" s="18" t="s">
        <v>5491</v>
      </c>
      <c r="G1384" s="228" t="s">
        <v>5589</v>
      </c>
      <c r="H1384" s="18" t="s">
        <v>5590</v>
      </c>
      <c r="K1384" s="228" t="s">
        <v>5591</v>
      </c>
      <c r="L1384" s="18" t="s">
        <v>5592</v>
      </c>
      <c r="P1384" s="16"/>
      <c r="Q1384" s="16"/>
      <c r="R1384" s="16"/>
      <c r="S1384" s="16"/>
      <c r="U1384" s="283" t="e">
        <v>#N/A</v>
      </c>
      <c r="V1384" s="18" t="s">
        <v>5597</v>
      </c>
      <c r="W1384" s="18">
        <v>0</v>
      </c>
      <c r="X1384" s="18">
        <v>0</v>
      </c>
      <c r="Y1384" s="18">
        <v>0</v>
      </c>
      <c r="Z1384" s="18">
        <v>0</v>
      </c>
      <c r="AA1384" s="18">
        <v>0</v>
      </c>
      <c r="AB1384" s="18">
        <v>0</v>
      </c>
      <c r="AC1384" s="18">
        <v>0</v>
      </c>
      <c r="AD1384" s="18">
        <v>0</v>
      </c>
      <c r="AE1384" s="302">
        <f t="shared" si="58"/>
        <v>0</v>
      </c>
      <c r="AF1384" s="239">
        <v>0</v>
      </c>
      <c r="AG1384" s="17">
        <v>0</v>
      </c>
      <c r="AH1384" s="239" t="s">
        <v>2526</v>
      </c>
      <c r="AI1384" s="239" t="s">
        <v>2526</v>
      </c>
      <c r="AJ1384" s="239" t="s">
        <v>2526</v>
      </c>
      <c r="AK1384" s="177" t="s">
        <v>2526</v>
      </c>
      <c r="AL1384" s="177" t="s">
        <v>2526</v>
      </c>
      <c r="AM1384" s="147">
        <f t="shared" si="57"/>
        <v>0</v>
      </c>
      <c r="AN1384" s="18" t="s">
        <v>1446</v>
      </c>
      <c r="AO1384" s="18" t="s">
        <v>3715</v>
      </c>
      <c r="AP1384" s="240" t="s">
        <v>119</v>
      </c>
      <c r="AQ1384" s="157"/>
    </row>
    <row r="1385" spans="1:43" s="18" customFormat="1" x14ac:dyDescent="0.3">
      <c r="A1385" s="228" t="s">
        <v>1451</v>
      </c>
      <c r="B1385" s="18" t="s">
        <v>4838</v>
      </c>
      <c r="C1385" s="228" t="s">
        <v>4841</v>
      </c>
      <c r="D1385" s="18" t="s">
        <v>2439</v>
      </c>
      <c r="E1385" s="228" t="s">
        <v>5490</v>
      </c>
      <c r="F1385" s="18" t="s">
        <v>5491</v>
      </c>
      <c r="G1385" s="228" t="s">
        <v>5589</v>
      </c>
      <c r="H1385" s="18" t="s">
        <v>5590</v>
      </c>
      <c r="K1385" s="228" t="s">
        <v>5591</v>
      </c>
      <c r="L1385" s="18" t="s">
        <v>5592</v>
      </c>
      <c r="P1385" s="16"/>
      <c r="Q1385" s="16"/>
      <c r="R1385" s="16"/>
      <c r="S1385" s="16"/>
      <c r="U1385" s="283" t="e">
        <v>#N/A</v>
      </c>
      <c r="V1385" s="18" t="s">
        <v>5598</v>
      </c>
      <c r="W1385" s="18">
        <v>0</v>
      </c>
      <c r="X1385" s="18">
        <v>0</v>
      </c>
      <c r="Y1385" s="18">
        <v>0</v>
      </c>
      <c r="Z1385" s="18">
        <v>0</v>
      </c>
      <c r="AA1385" s="18">
        <v>0</v>
      </c>
      <c r="AB1385" s="18">
        <v>0</v>
      </c>
      <c r="AC1385" s="18">
        <v>0</v>
      </c>
      <c r="AD1385" s="18">
        <v>0</v>
      </c>
      <c r="AE1385" s="302">
        <f t="shared" si="58"/>
        <v>0</v>
      </c>
      <c r="AF1385" s="176">
        <v>0</v>
      </c>
      <c r="AG1385" s="17">
        <v>0</v>
      </c>
      <c r="AH1385" s="176" t="s">
        <v>2526</v>
      </c>
      <c r="AI1385" s="176" t="s">
        <v>2526</v>
      </c>
      <c r="AJ1385" s="176" t="s">
        <v>2526</v>
      </c>
      <c r="AK1385" s="177" t="s">
        <v>2526</v>
      </c>
      <c r="AL1385" s="177" t="s">
        <v>2526</v>
      </c>
      <c r="AM1385" s="147">
        <f t="shared" si="57"/>
        <v>0</v>
      </c>
      <c r="AN1385" s="18" t="s">
        <v>921</v>
      </c>
      <c r="AO1385" s="18" t="s">
        <v>880</v>
      </c>
      <c r="AP1385" s="228" t="s">
        <v>119</v>
      </c>
    </row>
    <row r="1386" spans="1:43" s="18" customFormat="1" x14ac:dyDescent="0.3">
      <c r="A1386" s="228" t="s">
        <v>1451</v>
      </c>
      <c r="B1386" s="18" t="s">
        <v>4838</v>
      </c>
      <c r="C1386" s="228" t="s">
        <v>4841</v>
      </c>
      <c r="D1386" s="18" t="s">
        <v>2439</v>
      </c>
      <c r="E1386" s="228" t="s">
        <v>5490</v>
      </c>
      <c r="F1386" s="18" t="s">
        <v>5491</v>
      </c>
      <c r="G1386" s="228" t="s">
        <v>5599</v>
      </c>
      <c r="H1386" s="18" t="s">
        <v>5600</v>
      </c>
      <c r="K1386" s="228" t="s">
        <v>5601</v>
      </c>
      <c r="L1386" s="18" t="s">
        <v>5602</v>
      </c>
      <c r="M1386" s="18" t="s">
        <v>5603</v>
      </c>
      <c r="N1386" s="18">
        <v>0</v>
      </c>
      <c r="O1386" s="18">
        <v>20000</v>
      </c>
      <c r="P1386" s="16">
        <v>25000</v>
      </c>
      <c r="Q1386" s="16">
        <v>33000</v>
      </c>
      <c r="R1386" s="16">
        <v>40000</v>
      </c>
      <c r="S1386" s="16">
        <v>40000</v>
      </c>
      <c r="T1386" s="18" t="s">
        <v>1191</v>
      </c>
      <c r="U1386" s="283" t="e">
        <v>#N/A</v>
      </c>
      <c r="V1386" s="18" t="s">
        <v>5604</v>
      </c>
      <c r="W1386" s="18">
        <v>0</v>
      </c>
      <c r="X1386" s="18">
        <v>0</v>
      </c>
      <c r="Y1386" s="18">
        <v>0</v>
      </c>
      <c r="Z1386" s="18">
        <v>0</v>
      </c>
      <c r="AA1386" s="18">
        <v>0</v>
      </c>
      <c r="AB1386" s="18">
        <v>0</v>
      </c>
      <c r="AC1386" s="18">
        <v>0</v>
      </c>
      <c r="AD1386" s="18">
        <v>0</v>
      </c>
      <c r="AE1386" s="302">
        <f t="shared" si="58"/>
        <v>0</v>
      </c>
      <c r="AF1386" s="176">
        <v>0</v>
      </c>
      <c r="AG1386" s="17">
        <v>0</v>
      </c>
      <c r="AH1386" s="176" t="s">
        <v>2526</v>
      </c>
      <c r="AI1386" s="176" t="s">
        <v>2526</v>
      </c>
      <c r="AJ1386" s="234" t="s">
        <v>2526</v>
      </c>
      <c r="AK1386" s="235" t="s">
        <v>2526</v>
      </c>
      <c r="AL1386" s="235" t="s">
        <v>2526</v>
      </c>
      <c r="AM1386" s="147">
        <f t="shared" si="57"/>
        <v>0</v>
      </c>
      <c r="AN1386" s="236" t="s">
        <v>869</v>
      </c>
      <c r="AO1386" s="236" t="s">
        <v>871</v>
      </c>
      <c r="AP1386" s="228" t="s">
        <v>119</v>
      </c>
    </row>
    <row r="1387" spans="1:43" s="18" customFormat="1" x14ac:dyDescent="0.3">
      <c r="A1387" s="228" t="s">
        <v>1451</v>
      </c>
      <c r="B1387" s="18" t="s">
        <v>4838</v>
      </c>
      <c r="C1387" s="228" t="s">
        <v>4841</v>
      </c>
      <c r="D1387" s="18" t="s">
        <v>2439</v>
      </c>
      <c r="E1387" s="228" t="s">
        <v>5490</v>
      </c>
      <c r="F1387" s="18" t="s">
        <v>5491</v>
      </c>
      <c r="G1387" s="228" t="s">
        <v>5599</v>
      </c>
      <c r="H1387" s="18" t="s">
        <v>5600</v>
      </c>
      <c r="K1387" s="228" t="s">
        <v>5601</v>
      </c>
      <c r="L1387" s="18" t="s">
        <v>5602</v>
      </c>
      <c r="M1387" s="18" t="s">
        <v>5605</v>
      </c>
      <c r="N1387" s="18">
        <v>0</v>
      </c>
      <c r="O1387" s="18">
        <v>500</v>
      </c>
      <c r="P1387" s="16">
        <v>1200</v>
      </c>
      <c r="Q1387" s="16">
        <v>1200</v>
      </c>
      <c r="R1387" s="16">
        <v>1200</v>
      </c>
      <c r="S1387" s="16">
        <v>2000</v>
      </c>
      <c r="T1387" s="18" t="s">
        <v>1191</v>
      </c>
      <c r="U1387" s="283" t="e">
        <v>#N/A</v>
      </c>
      <c r="V1387" s="18" t="s">
        <v>5606</v>
      </c>
      <c r="W1387" s="18">
        <v>0</v>
      </c>
      <c r="X1387" s="18">
        <v>0</v>
      </c>
      <c r="Y1387" s="18">
        <v>0</v>
      </c>
      <c r="Z1387" s="18">
        <v>0</v>
      </c>
      <c r="AA1387" s="18">
        <v>0</v>
      </c>
      <c r="AB1387" s="18">
        <v>0</v>
      </c>
      <c r="AC1387" s="18">
        <v>0</v>
      </c>
      <c r="AD1387" s="18">
        <v>0</v>
      </c>
      <c r="AE1387" s="302">
        <f t="shared" si="58"/>
        <v>0</v>
      </c>
      <c r="AF1387" s="176">
        <v>0</v>
      </c>
      <c r="AG1387" s="17">
        <v>0</v>
      </c>
      <c r="AH1387" s="176" t="s">
        <v>2526</v>
      </c>
      <c r="AI1387" s="239" t="s">
        <v>2526</v>
      </c>
      <c r="AJ1387" s="239" t="s">
        <v>2526</v>
      </c>
      <c r="AK1387" s="238" t="s">
        <v>2526</v>
      </c>
      <c r="AL1387" s="177" t="s">
        <v>2526</v>
      </c>
      <c r="AM1387" s="147">
        <f t="shared" si="57"/>
        <v>0</v>
      </c>
      <c r="AN1387" s="18" t="s">
        <v>407</v>
      </c>
      <c r="AO1387" s="18" t="s">
        <v>409</v>
      </c>
      <c r="AP1387" s="240" t="s">
        <v>119</v>
      </c>
      <c r="AQ1387" s="157"/>
    </row>
    <row r="1388" spans="1:43" s="18" customFormat="1" x14ac:dyDescent="0.3">
      <c r="A1388" s="228" t="s">
        <v>1451</v>
      </c>
      <c r="B1388" s="18" t="s">
        <v>4838</v>
      </c>
      <c r="C1388" s="228" t="s">
        <v>4841</v>
      </c>
      <c r="D1388" s="18" t="s">
        <v>2439</v>
      </c>
      <c r="E1388" s="228" t="s">
        <v>5490</v>
      </c>
      <c r="F1388" s="18" t="s">
        <v>5491</v>
      </c>
      <c r="G1388" s="228" t="s">
        <v>5599</v>
      </c>
      <c r="H1388" s="18" t="s">
        <v>5600</v>
      </c>
      <c r="K1388" s="228" t="s">
        <v>5601</v>
      </c>
      <c r="L1388" s="18" t="s">
        <v>5602</v>
      </c>
      <c r="P1388" s="16"/>
      <c r="Q1388" s="16"/>
      <c r="R1388" s="16"/>
      <c r="S1388" s="16"/>
      <c r="U1388" s="283" t="e">
        <v>#N/A</v>
      </c>
      <c r="V1388" s="18" t="s">
        <v>5607</v>
      </c>
      <c r="W1388" s="18">
        <v>0</v>
      </c>
      <c r="X1388" s="18">
        <v>0</v>
      </c>
      <c r="Y1388" s="18">
        <v>0</v>
      </c>
      <c r="Z1388" s="18">
        <v>1</v>
      </c>
      <c r="AA1388" s="18">
        <v>0</v>
      </c>
      <c r="AB1388" s="18">
        <v>0</v>
      </c>
      <c r="AC1388" s="18">
        <v>1</v>
      </c>
      <c r="AD1388" s="18">
        <v>1</v>
      </c>
      <c r="AE1388" s="302">
        <f t="shared" si="58"/>
        <v>0.375</v>
      </c>
      <c r="AF1388" s="176">
        <v>0</v>
      </c>
      <c r="AG1388" s="17">
        <v>0</v>
      </c>
      <c r="AH1388" s="176" t="s">
        <v>2526</v>
      </c>
      <c r="AI1388" s="239" t="s">
        <v>2526</v>
      </c>
      <c r="AJ1388" s="239" t="s">
        <v>2526</v>
      </c>
      <c r="AK1388" s="238" t="s">
        <v>2526</v>
      </c>
      <c r="AL1388" s="177" t="s">
        <v>2526</v>
      </c>
      <c r="AM1388" s="147">
        <f t="shared" si="57"/>
        <v>0</v>
      </c>
      <c r="AN1388" s="18" t="s">
        <v>921</v>
      </c>
      <c r="AO1388" s="18" t="s">
        <v>880</v>
      </c>
      <c r="AP1388" s="240" t="s">
        <v>119</v>
      </c>
      <c r="AQ1388" s="157"/>
    </row>
    <row r="1389" spans="1:43" s="18" customFormat="1" x14ac:dyDescent="0.3">
      <c r="A1389" s="228" t="s">
        <v>1451</v>
      </c>
      <c r="B1389" s="18" t="s">
        <v>4838</v>
      </c>
      <c r="C1389" s="228" t="s">
        <v>4841</v>
      </c>
      <c r="D1389" s="18" t="s">
        <v>2439</v>
      </c>
      <c r="E1389" s="228" t="s">
        <v>5490</v>
      </c>
      <c r="F1389" s="18" t="s">
        <v>5491</v>
      </c>
      <c r="G1389" s="228" t="s">
        <v>5599</v>
      </c>
      <c r="H1389" s="18" t="s">
        <v>5600</v>
      </c>
      <c r="K1389" s="228" t="s">
        <v>5601</v>
      </c>
      <c r="L1389" s="18" t="s">
        <v>5602</v>
      </c>
      <c r="P1389" s="16"/>
      <c r="Q1389" s="16"/>
      <c r="R1389" s="16"/>
      <c r="S1389" s="16"/>
      <c r="U1389" s="283" t="e">
        <v>#N/A</v>
      </c>
      <c r="V1389" s="18" t="s">
        <v>5608</v>
      </c>
      <c r="W1389" s="18">
        <v>0</v>
      </c>
      <c r="X1389" s="18">
        <v>0</v>
      </c>
      <c r="Y1389" s="18">
        <v>0</v>
      </c>
      <c r="Z1389" s="18">
        <v>0</v>
      </c>
      <c r="AA1389" s="18">
        <v>0</v>
      </c>
      <c r="AB1389" s="18">
        <v>0</v>
      </c>
      <c r="AC1389" s="18">
        <v>0</v>
      </c>
      <c r="AD1389" s="18">
        <v>0</v>
      </c>
      <c r="AE1389" s="302">
        <f t="shared" si="58"/>
        <v>0</v>
      </c>
      <c r="AF1389" s="176">
        <v>0</v>
      </c>
      <c r="AG1389" s="17">
        <v>0</v>
      </c>
      <c r="AH1389" s="176" t="s">
        <v>2526</v>
      </c>
      <c r="AI1389" s="176" t="s">
        <v>2526</v>
      </c>
      <c r="AJ1389" s="234" t="s">
        <v>2526</v>
      </c>
      <c r="AK1389" s="235" t="s">
        <v>2526</v>
      </c>
      <c r="AL1389" s="235" t="s">
        <v>2526</v>
      </c>
      <c r="AM1389" s="147">
        <f t="shared" si="57"/>
        <v>0</v>
      </c>
      <c r="AN1389" s="236" t="s">
        <v>921</v>
      </c>
      <c r="AO1389" s="236" t="s">
        <v>880</v>
      </c>
      <c r="AP1389" s="228" t="s">
        <v>119</v>
      </c>
    </row>
    <row r="1390" spans="1:43" s="18" customFormat="1" x14ac:dyDescent="0.3">
      <c r="A1390" s="228" t="s">
        <v>1451</v>
      </c>
      <c r="B1390" s="18" t="s">
        <v>4838</v>
      </c>
      <c r="C1390" s="228" t="s">
        <v>4841</v>
      </c>
      <c r="D1390" s="18" t="s">
        <v>2439</v>
      </c>
      <c r="E1390" s="228" t="s">
        <v>5490</v>
      </c>
      <c r="F1390" s="18" t="s">
        <v>5491</v>
      </c>
      <c r="G1390" s="228" t="s">
        <v>5599</v>
      </c>
      <c r="H1390" s="18" t="s">
        <v>5600</v>
      </c>
      <c r="K1390" s="228" t="s">
        <v>5601</v>
      </c>
      <c r="L1390" s="18" t="s">
        <v>5602</v>
      </c>
      <c r="P1390" s="16"/>
      <c r="Q1390" s="16"/>
      <c r="R1390" s="16"/>
      <c r="S1390" s="16"/>
      <c r="U1390" s="283" t="e">
        <v>#N/A</v>
      </c>
      <c r="V1390" s="18" t="s">
        <v>5609</v>
      </c>
      <c r="W1390" s="18">
        <v>0</v>
      </c>
      <c r="X1390" s="18">
        <v>0</v>
      </c>
      <c r="Y1390" s="18">
        <v>0</v>
      </c>
      <c r="Z1390" s="18">
        <v>0</v>
      </c>
      <c r="AA1390" s="18">
        <v>0</v>
      </c>
      <c r="AB1390" s="18">
        <v>0</v>
      </c>
      <c r="AC1390" s="18">
        <v>0</v>
      </c>
      <c r="AD1390" s="18">
        <v>0</v>
      </c>
      <c r="AE1390" s="302">
        <f t="shared" si="58"/>
        <v>0</v>
      </c>
      <c r="AF1390" s="176">
        <v>0</v>
      </c>
      <c r="AG1390" s="17">
        <v>0</v>
      </c>
      <c r="AH1390" s="176" t="s">
        <v>2526</v>
      </c>
      <c r="AI1390" s="176" t="s">
        <v>2526</v>
      </c>
      <c r="AJ1390" s="234" t="s">
        <v>2526</v>
      </c>
      <c r="AK1390" s="235" t="s">
        <v>2526</v>
      </c>
      <c r="AL1390" s="235" t="s">
        <v>2526</v>
      </c>
      <c r="AM1390" s="147">
        <f t="shared" si="57"/>
        <v>0</v>
      </c>
      <c r="AN1390" s="236" t="s">
        <v>921</v>
      </c>
      <c r="AO1390" s="236" t="s">
        <v>880</v>
      </c>
      <c r="AP1390" s="228" t="s">
        <v>119</v>
      </c>
    </row>
    <row r="1391" spans="1:43" s="18" customFormat="1" x14ac:dyDescent="0.3">
      <c r="A1391" s="228" t="s">
        <v>1451</v>
      </c>
      <c r="B1391" s="18" t="s">
        <v>4838</v>
      </c>
      <c r="C1391" s="228" t="s">
        <v>4841</v>
      </c>
      <c r="D1391" s="18" t="s">
        <v>2439</v>
      </c>
      <c r="E1391" s="228" t="s">
        <v>5490</v>
      </c>
      <c r="F1391" s="18" t="s">
        <v>5491</v>
      </c>
      <c r="G1391" s="228" t="s">
        <v>5599</v>
      </c>
      <c r="H1391" s="18" t="s">
        <v>5600</v>
      </c>
      <c r="K1391" s="228" t="s">
        <v>5601</v>
      </c>
      <c r="L1391" s="18" t="s">
        <v>5602</v>
      </c>
      <c r="P1391" s="16"/>
      <c r="Q1391" s="16"/>
      <c r="R1391" s="16"/>
      <c r="S1391" s="16"/>
      <c r="U1391" s="283" t="e">
        <v>#N/A</v>
      </c>
      <c r="V1391" s="18" t="s">
        <v>5610</v>
      </c>
      <c r="W1391" s="18">
        <v>0</v>
      </c>
      <c r="X1391" s="18">
        <v>0</v>
      </c>
      <c r="Y1391" s="18">
        <v>0</v>
      </c>
      <c r="Z1391" s="18">
        <v>0</v>
      </c>
      <c r="AA1391" s="18">
        <v>0</v>
      </c>
      <c r="AB1391" s="18">
        <v>0</v>
      </c>
      <c r="AC1391" s="18">
        <v>0</v>
      </c>
      <c r="AD1391" s="18">
        <v>0</v>
      </c>
      <c r="AE1391" s="302">
        <f t="shared" si="58"/>
        <v>0</v>
      </c>
      <c r="AF1391" s="176">
        <v>0</v>
      </c>
      <c r="AG1391" s="17">
        <v>0</v>
      </c>
      <c r="AH1391" s="239" t="s">
        <v>2526</v>
      </c>
      <c r="AI1391" s="239" t="s">
        <v>2526</v>
      </c>
      <c r="AJ1391" s="239" t="s">
        <v>2526</v>
      </c>
      <c r="AK1391" s="177" t="s">
        <v>2526</v>
      </c>
      <c r="AL1391" s="177" t="s">
        <v>2526</v>
      </c>
      <c r="AM1391" s="147">
        <f t="shared" si="57"/>
        <v>0</v>
      </c>
      <c r="AN1391" s="18" t="s">
        <v>407</v>
      </c>
      <c r="AO1391" s="18" t="s">
        <v>409</v>
      </c>
      <c r="AP1391" s="240" t="s">
        <v>119</v>
      </c>
      <c r="AQ1391" s="157"/>
    </row>
    <row r="1392" spans="1:43" s="18" customFormat="1" x14ac:dyDescent="0.3">
      <c r="A1392" s="228" t="s">
        <v>1451</v>
      </c>
      <c r="B1392" s="18" t="s">
        <v>4838</v>
      </c>
      <c r="C1392" s="228" t="s">
        <v>4841</v>
      </c>
      <c r="D1392" s="18" t="s">
        <v>2439</v>
      </c>
      <c r="E1392" s="228" t="s">
        <v>5490</v>
      </c>
      <c r="F1392" s="18" t="s">
        <v>5491</v>
      </c>
      <c r="G1392" s="228" t="s">
        <v>5599</v>
      </c>
      <c r="H1392" s="18" t="s">
        <v>5600</v>
      </c>
      <c r="K1392" s="228" t="s">
        <v>5601</v>
      </c>
      <c r="L1392" s="18" t="s">
        <v>5602</v>
      </c>
      <c r="P1392" s="16"/>
      <c r="Q1392" s="16"/>
      <c r="R1392" s="16"/>
      <c r="S1392" s="16"/>
      <c r="U1392" s="283" t="e">
        <v>#N/A</v>
      </c>
      <c r="V1392" s="18" t="s">
        <v>5611</v>
      </c>
      <c r="W1392" s="18">
        <v>0</v>
      </c>
      <c r="X1392" s="18">
        <v>0</v>
      </c>
      <c r="Y1392" s="18">
        <v>0</v>
      </c>
      <c r="Z1392" s="18">
        <v>0</v>
      </c>
      <c r="AA1392" s="18">
        <v>0</v>
      </c>
      <c r="AB1392" s="18">
        <v>0</v>
      </c>
      <c r="AC1392" s="18">
        <v>0</v>
      </c>
      <c r="AD1392" s="18">
        <v>0</v>
      </c>
      <c r="AE1392" s="302">
        <f t="shared" si="58"/>
        <v>0</v>
      </c>
      <c r="AF1392" s="176">
        <v>0</v>
      </c>
      <c r="AG1392" s="17">
        <v>0</v>
      </c>
      <c r="AH1392" s="239" t="s">
        <v>2526</v>
      </c>
      <c r="AI1392" s="239" t="s">
        <v>2526</v>
      </c>
      <c r="AJ1392" s="239" t="s">
        <v>2526</v>
      </c>
      <c r="AK1392" s="177" t="s">
        <v>2526</v>
      </c>
      <c r="AL1392" s="177" t="s">
        <v>2526</v>
      </c>
      <c r="AM1392" s="147">
        <f t="shared" si="57"/>
        <v>0</v>
      </c>
      <c r="AN1392" s="18" t="s">
        <v>921</v>
      </c>
      <c r="AO1392" s="18" t="s">
        <v>880</v>
      </c>
      <c r="AP1392" s="240" t="s">
        <v>119</v>
      </c>
      <c r="AQ1392" s="157"/>
    </row>
    <row r="1393" spans="1:43" s="18" customFormat="1" x14ac:dyDescent="0.3">
      <c r="A1393" s="228" t="s">
        <v>1451</v>
      </c>
      <c r="B1393" s="18" t="s">
        <v>4838</v>
      </c>
      <c r="C1393" s="228" t="s">
        <v>4841</v>
      </c>
      <c r="D1393" s="18" t="s">
        <v>2439</v>
      </c>
      <c r="E1393" s="228" t="s">
        <v>5490</v>
      </c>
      <c r="F1393" s="18" t="s">
        <v>5491</v>
      </c>
      <c r="G1393" s="228" t="s">
        <v>5599</v>
      </c>
      <c r="H1393" s="18" t="s">
        <v>5600</v>
      </c>
      <c r="K1393" s="228" t="s">
        <v>5601</v>
      </c>
      <c r="L1393" s="18" t="s">
        <v>5602</v>
      </c>
      <c r="P1393" s="16"/>
      <c r="Q1393" s="16"/>
      <c r="R1393" s="16"/>
      <c r="S1393" s="16"/>
      <c r="U1393" s="283" t="e">
        <v>#N/A</v>
      </c>
      <c r="V1393" s="18" t="s">
        <v>5612</v>
      </c>
      <c r="W1393" s="18">
        <v>0</v>
      </c>
      <c r="X1393" s="18">
        <v>0</v>
      </c>
      <c r="Y1393" s="18">
        <v>0</v>
      </c>
      <c r="Z1393" s="18">
        <v>0</v>
      </c>
      <c r="AA1393" s="18">
        <v>0</v>
      </c>
      <c r="AB1393" s="18">
        <v>0</v>
      </c>
      <c r="AC1393" s="18">
        <v>0</v>
      </c>
      <c r="AD1393" s="18">
        <v>0</v>
      </c>
      <c r="AE1393" s="302">
        <f t="shared" si="58"/>
        <v>0</v>
      </c>
      <c r="AF1393" s="239">
        <v>0</v>
      </c>
      <c r="AG1393" s="17">
        <v>0</v>
      </c>
      <c r="AH1393" s="239" t="s">
        <v>2526</v>
      </c>
      <c r="AI1393" s="239" t="s">
        <v>2526</v>
      </c>
      <c r="AJ1393" s="239" t="s">
        <v>2526</v>
      </c>
      <c r="AK1393" s="177" t="s">
        <v>2526</v>
      </c>
      <c r="AL1393" s="177" t="s">
        <v>2526</v>
      </c>
      <c r="AM1393" s="147">
        <f t="shared" si="57"/>
        <v>0</v>
      </c>
      <c r="AN1393" s="18" t="s">
        <v>921</v>
      </c>
      <c r="AO1393" s="18" t="s">
        <v>880</v>
      </c>
      <c r="AP1393" s="240" t="s">
        <v>119</v>
      </c>
      <c r="AQ1393" s="157"/>
    </row>
    <row r="1394" spans="1:43" s="18" customFormat="1" x14ac:dyDescent="0.3">
      <c r="A1394" s="228" t="s">
        <v>1451</v>
      </c>
      <c r="B1394" s="18" t="s">
        <v>4838</v>
      </c>
      <c r="C1394" s="228" t="s">
        <v>4841</v>
      </c>
      <c r="D1394" s="18" t="s">
        <v>2439</v>
      </c>
      <c r="E1394" s="228" t="s">
        <v>5490</v>
      </c>
      <c r="F1394" s="18" t="s">
        <v>5491</v>
      </c>
      <c r="G1394" s="228" t="s">
        <v>5599</v>
      </c>
      <c r="H1394" s="18" t="s">
        <v>5600</v>
      </c>
      <c r="K1394" s="228" t="s">
        <v>5601</v>
      </c>
      <c r="L1394" s="18" t="s">
        <v>5602</v>
      </c>
      <c r="P1394" s="16"/>
      <c r="Q1394" s="16"/>
      <c r="R1394" s="16"/>
      <c r="S1394" s="16"/>
      <c r="U1394" s="283" t="e">
        <v>#N/A</v>
      </c>
      <c r="V1394" s="18" t="s">
        <v>5613</v>
      </c>
      <c r="W1394" s="18">
        <v>0</v>
      </c>
      <c r="X1394" s="18">
        <v>0</v>
      </c>
      <c r="Y1394" s="18">
        <v>0</v>
      </c>
      <c r="Z1394" s="18">
        <v>0</v>
      </c>
      <c r="AA1394" s="18">
        <v>0</v>
      </c>
      <c r="AB1394" s="18">
        <v>0</v>
      </c>
      <c r="AC1394" s="18">
        <v>0</v>
      </c>
      <c r="AD1394" s="18">
        <v>0</v>
      </c>
      <c r="AE1394" s="302">
        <f t="shared" si="58"/>
        <v>0</v>
      </c>
      <c r="AF1394" s="239">
        <v>0</v>
      </c>
      <c r="AG1394" s="17">
        <v>0</v>
      </c>
      <c r="AH1394" s="239" t="s">
        <v>2526</v>
      </c>
      <c r="AI1394" s="239" t="s">
        <v>2526</v>
      </c>
      <c r="AJ1394" s="239" t="s">
        <v>2526</v>
      </c>
      <c r="AK1394" s="177" t="s">
        <v>2526</v>
      </c>
      <c r="AL1394" s="177" t="s">
        <v>2526</v>
      </c>
      <c r="AM1394" s="147">
        <f t="shared" si="57"/>
        <v>0</v>
      </c>
      <c r="AN1394" s="18" t="s">
        <v>921</v>
      </c>
      <c r="AO1394" s="18" t="s">
        <v>880</v>
      </c>
      <c r="AP1394" s="240" t="s">
        <v>119</v>
      </c>
      <c r="AQ1394" s="157"/>
    </row>
    <row r="1395" spans="1:43" s="18" customFormat="1" x14ac:dyDescent="0.3">
      <c r="A1395" s="228" t="s">
        <v>1451</v>
      </c>
      <c r="B1395" s="18" t="s">
        <v>4838</v>
      </c>
      <c r="C1395" s="228" t="s">
        <v>4841</v>
      </c>
      <c r="D1395" s="18" t="s">
        <v>2439</v>
      </c>
      <c r="E1395" s="228" t="s">
        <v>5490</v>
      </c>
      <c r="F1395" s="18" t="s">
        <v>5491</v>
      </c>
      <c r="G1395" s="228" t="s">
        <v>5599</v>
      </c>
      <c r="H1395" s="18" t="s">
        <v>5600</v>
      </c>
      <c r="K1395" s="228" t="s">
        <v>5601</v>
      </c>
      <c r="L1395" s="18" t="s">
        <v>5602</v>
      </c>
      <c r="P1395" s="16"/>
      <c r="Q1395" s="16"/>
      <c r="R1395" s="16"/>
      <c r="S1395" s="16"/>
      <c r="U1395" s="283" t="e">
        <v>#N/A</v>
      </c>
      <c r="V1395" s="18" t="s">
        <v>5614</v>
      </c>
      <c r="W1395" s="18">
        <v>0</v>
      </c>
      <c r="X1395" s="18">
        <v>0</v>
      </c>
      <c r="Y1395" s="18">
        <v>0</v>
      </c>
      <c r="Z1395" s="18">
        <v>0</v>
      </c>
      <c r="AA1395" s="18">
        <v>0</v>
      </c>
      <c r="AB1395" s="18">
        <v>0</v>
      </c>
      <c r="AC1395" s="18">
        <v>0</v>
      </c>
      <c r="AD1395" s="18">
        <v>0</v>
      </c>
      <c r="AE1395" s="302">
        <f t="shared" si="58"/>
        <v>0</v>
      </c>
      <c r="AF1395" s="239">
        <v>0</v>
      </c>
      <c r="AG1395" s="17">
        <v>0</v>
      </c>
      <c r="AH1395" s="176" t="s">
        <v>2526</v>
      </c>
      <c r="AI1395" s="239" t="s">
        <v>2526</v>
      </c>
      <c r="AJ1395" s="239" t="s">
        <v>2526</v>
      </c>
      <c r="AK1395" s="238" t="s">
        <v>2526</v>
      </c>
      <c r="AL1395" s="177" t="s">
        <v>2526</v>
      </c>
      <c r="AM1395" s="147">
        <f t="shared" si="57"/>
        <v>0</v>
      </c>
      <c r="AN1395" s="18" t="s">
        <v>921</v>
      </c>
      <c r="AO1395" s="18" t="s">
        <v>880</v>
      </c>
      <c r="AP1395" s="240" t="s">
        <v>119</v>
      </c>
      <c r="AQ1395" s="157"/>
    </row>
    <row r="1396" spans="1:43" s="18" customFormat="1" x14ac:dyDescent="0.3">
      <c r="A1396" s="228" t="s">
        <v>1451</v>
      </c>
      <c r="B1396" s="18" t="s">
        <v>4838</v>
      </c>
      <c r="C1396" s="228" t="s">
        <v>4841</v>
      </c>
      <c r="D1396" s="18" t="s">
        <v>2439</v>
      </c>
      <c r="E1396" s="228" t="s">
        <v>5490</v>
      </c>
      <c r="F1396" s="18" t="s">
        <v>5491</v>
      </c>
      <c r="G1396" s="228" t="s">
        <v>5599</v>
      </c>
      <c r="H1396" s="18" t="s">
        <v>5600</v>
      </c>
      <c r="K1396" s="228" t="s">
        <v>5601</v>
      </c>
      <c r="L1396" s="18" t="s">
        <v>5602</v>
      </c>
      <c r="P1396" s="16"/>
      <c r="Q1396" s="16"/>
      <c r="R1396" s="16"/>
      <c r="S1396" s="16"/>
      <c r="U1396" s="283" t="e">
        <v>#N/A</v>
      </c>
      <c r="V1396" s="18" t="s">
        <v>5615</v>
      </c>
      <c r="W1396" s="18">
        <v>0</v>
      </c>
      <c r="X1396" s="18">
        <v>0</v>
      </c>
      <c r="Y1396" s="18">
        <v>0</v>
      </c>
      <c r="Z1396" s="18">
        <v>0</v>
      </c>
      <c r="AA1396" s="18">
        <v>0</v>
      </c>
      <c r="AB1396" s="18">
        <v>0</v>
      </c>
      <c r="AC1396" s="18">
        <v>0</v>
      </c>
      <c r="AD1396" s="18">
        <v>0</v>
      </c>
      <c r="AE1396" s="302">
        <f t="shared" si="58"/>
        <v>0</v>
      </c>
      <c r="AF1396" s="239">
        <v>0</v>
      </c>
      <c r="AG1396" s="17">
        <v>0</v>
      </c>
      <c r="AH1396" s="239" t="s">
        <v>2526</v>
      </c>
      <c r="AI1396" s="239" t="s">
        <v>2526</v>
      </c>
      <c r="AJ1396" s="239" t="s">
        <v>2526</v>
      </c>
      <c r="AK1396" s="238" t="s">
        <v>2526</v>
      </c>
      <c r="AL1396" s="238" t="s">
        <v>2526</v>
      </c>
      <c r="AM1396" s="147">
        <f t="shared" si="57"/>
        <v>0</v>
      </c>
      <c r="AN1396" s="157" t="s">
        <v>921</v>
      </c>
      <c r="AO1396" s="157" t="s">
        <v>880</v>
      </c>
      <c r="AP1396" s="240" t="s">
        <v>119</v>
      </c>
      <c r="AQ1396" s="157"/>
    </row>
    <row r="1397" spans="1:43" s="18" customFormat="1" x14ac:dyDescent="0.3">
      <c r="A1397" s="228" t="s">
        <v>1451</v>
      </c>
      <c r="B1397" s="18" t="s">
        <v>4838</v>
      </c>
      <c r="C1397" s="228" t="s">
        <v>4841</v>
      </c>
      <c r="D1397" s="18" t="s">
        <v>2439</v>
      </c>
      <c r="E1397" s="228" t="s">
        <v>5490</v>
      </c>
      <c r="F1397" s="18" t="s">
        <v>5491</v>
      </c>
      <c r="G1397" s="228" t="s">
        <v>5616</v>
      </c>
      <c r="H1397" s="18" t="s">
        <v>5617</v>
      </c>
      <c r="K1397" s="228" t="s">
        <v>5618</v>
      </c>
      <c r="L1397" s="18" t="s">
        <v>5619</v>
      </c>
      <c r="M1397" s="18" t="s">
        <v>5620</v>
      </c>
      <c r="N1397" s="18" t="s">
        <v>3926</v>
      </c>
      <c r="O1397" s="18" t="s">
        <v>3532</v>
      </c>
      <c r="P1397" s="16" t="s">
        <v>3532</v>
      </c>
      <c r="Q1397" s="16" t="s">
        <v>3532</v>
      </c>
      <c r="R1397" s="16" t="s">
        <v>3532</v>
      </c>
      <c r="S1397" s="16" t="s">
        <v>3532</v>
      </c>
      <c r="T1397" s="18" t="s">
        <v>869</v>
      </c>
      <c r="U1397" s="283" t="s">
        <v>871</v>
      </c>
      <c r="V1397" s="18" t="s">
        <v>5621</v>
      </c>
      <c r="W1397" s="18">
        <v>1</v>
      </c>
      <c r="X1397" s="18">
        <v>1</v>
      </c>
      <c r="Y1397" s="18">
        <v>1</v>
      </c>
      <c r="Z1397" s="18">
        <v>1</v>
      </c>
      <c r="AA1397" s="18">
        <v>1</v>
      </c>
      <c r="AB1397" s="18">
        <v>1</v>
      </c>
      <c r="AC1397" s="18">
        <v>1</v>
      </c>
      <c r="AD1397" s="18">
        <v>1</v>
      </c>
      <c r="AE1397" s="302">
        <f t="shared" si="58"/>
        <v>1</v>
      </c>
      <c r="AF1397" s="239">
        <v>1</v>
      </c>
      <c r="AG1397" s="17">
        <v>0</v>
      </c>
      <c r="AH1397" s="239">
        <v>0</v>
      </c>
      <c r="AI1397" s="239">
        <v>0</v>
      </c>
      <c r="AJ1397" s="239">
        <v>0</v>
      </c>
      <c r="AK1397" s="238">
        <v>0</v>
      </c>
      <c r="AL1397" s="238">
        <v>0</v>
      </c>
      <c r="AM1397" s="147">
        <f t="shared" si="57"/>
        <v>0</v>
      </c>
      <c r="AN1397" s="157" t="s">
        <v>869</v>
      </c>
      <c r="AO1397" s="157" t="s">
        <v>871</v>
      </c>
      <c r="AP1397" s="240" t="s">
        <v>119</v>
      </c>
      <c r="AQ1397" s="157"/>
    </row>
    <row r="1398" spans="1:43" s="18" customFormat="1" x14ac:dyDescent="0.3">
      <c r="A1398" s="228" t="s">
        <v>1451</v>
      </c>
      <c r="B1398" s="18" t="s">
        <v>4838</v>
      </c>
      <c r="C1398" s="228" t="s">
        <v>4841</v>
      </c>
      <c r="D1398" s="18" t="s">
        <v>2439</v>
      </c>
      <c r="E1398" s="228" t="s">
        <v>5490</v>
      </c>
      <c r="F1398" s="18" t="s">
        <v>5491</v>
      </c>
      <c r="G1398" s="228" t="s">
        <v>5616</v>
      </c>
      <c r="H1398" s="18" t="s">
        <v>5617</v>
      </c>
      <c r="K1398" s="228" t="s">
        <v>5618</v>
      </c>
      <c r="L1398" s="18" t="s">
        <v>5619</v>
      </c>
      <c r="M1398" s="18" t="s">
        <v>5622</v>
      </c>
      <c r="N1398" s="18" t="s">
        <v>3926</v>
      </c>
      <c r="O1398" s="18" t="s">
        <v>3554</v>
      </c>
      <c r="P1398" s="16" t="s">
        <v>3554</v>
      </c>
      <c r="Q1398" s="16" t="s">
        <v>3554</v>
      </c>
      <c r="R1398" s="16" t="s">
        <v>3554</v>
      </c>
      <c r="S1398" s="16" t="s">
        <v>3554</v>
      </c>
      <c r="T1398" s="18" t="s">
        <v>869</v>
      </c>
      <c r="U1398" s="283" t="s">
        <v>871</v>
      </c>
      <c r="V1398" s="18" t="s">
        <v>5623</v>
      </c>
      <c r="W1398" s="18">
        <v>1</v>
      </c>
      <c r="X1398" s="18">
        <v>1</v>
      </c>
      <c r="Y1398" s="18">
        <v>1</v>
      </c>
      <c r="Z1398" s="18">
        <v>1</v>
      </c>
      <c r="AA1398" s="18">
        <v>1</v>
      </c>
      <c r="AB1398" s="18">
        <v>1</v>
      </c>
      <c r="AC1398" s="18">
        <v>1</v>
      </c>
      <c r="AD1398" s="18">
        <v>1</v>
      </c>
      <c r="AE1398" s="302">
        <f t="shared" si="58"/>
        <v>1</v>
      </c>
      <c r="AF1398" s="239">
        <v>0</v>
      </c>
      <c r="AG1398" s="17">
        <v>0</v>
      </c>
      <c r="AH1398" s="239">
        <v>0.1</v>
      </c>
      <c r="AI1398" s="239">
        <v>0.1</v>
      </c>
      <c r="AJ1398" s="239">
        <v>0.1</v>
      </c>
      <c r="AK1398" s="177">
        <v>0.1</v>
      </c>
      <c r="AL1398" s="177">
        <v>0.1</v>
      </c>
      <c r="AM1398" s="147">
        <f t="shared" si="57"/>
        <v>0.2</v>
      </c>
      <c r="AN1398" s="18" t="s">
        <v>869</v>
      </c>
      <c r="AO1398" s="18" t="s">
        <v>871</v>
      </c>
      <c r="AP1398" s="240" t="s">
        <v>5624</v>
      </c>
      <c r="AQ1398" s="157"/>
    </row>
    <row r="1399" spans="1:43" s="18" customFormat="1" x14ac:dyDescent="0.3">
      <c r="A1399" s="228" t="s">
        <v>1451</v>
      </c>
      <c r="B1399" s="18" t="s">
        <v>4838</v>
      </c>
      <c r="C1399" s="228" t="s">
        <v>4841</v>
      </c>
      <c r="D1399" s="18" t="s">
        <v>2439</v>
      </c>
      <c r="E1399" s="228" t="s">
        <v>5490</v>
      </c>
      <c r="F1399" s="18" t="s">
        <v>5491</v>
      </c>
      <c r="G1399" s="228" t="s">
        <v>5616</v>
      </c>
      <c r="H1399" s="18" t="s">
        <v>5617</v>
      </c>
      <c r="K1399" s="228" t="s">
        <v>5618</v>
      </c>
      <c r="L1399" s="18" t="s">
        <v>5619</v>
      </c>
      <c r="M1399" s="18" t="s">
        <v>5625</v>
      </c>
      <c r="N1399" s="18">
        <v>0</v>
      </c>
      <c r="O1399" s="18">
        <v>1</v>
      </c>
      <c r="P1399" s="16">
        <v>1</v>
      </c>
      <c r="Q1399" s="16">
        <v>1</v>
      </c>
      <c r="R1399" s="16">
        <v>2</v>
      </c>
      <c r="S1399" s="16">
        <v>2</v>
      </c>
      <c r="T1399" s="18" t="s">
        <v>869</v>
      </c>
      <c r="U1399" s="283" t="s">
        <v>871</v>
      </c>
      <c r="V1399" s="18" t="s">
        <v>5626</v>
      </c>
      <c r="W1399" s="18">
        <v>0</v>
      </c>
      <c r="X1399" s="18">
        <v>0</v>
      </c>
      <c r="Y1399" s="18">
        <v>0</v>
      </c>
      <c r="Z1399" s="18">
        <v>0</v>
      </c>
      <c r="AA1399" s="18">
        <v>0</v>
      </c>
      <c r="AB1399" s="18">
        <v>0</v>
      </c>
      <c r="AC1399" s="18">
        <v>0</v>
      </c>
      <c r="AD1399" s="18">
        <v>0</v>
      </c>
      <c r="AE1399" s="302">
        <f t="shared" si="58"/>
        <v>0</v>
      </c>
      <c r="AF1399" s="239">
        <v>0</v>
      </c>
      <c r="AG1399" s="17">
        <v>0</v>
      </c>
      <c r="AH1399" s="239" t="s">
        <v>2526</v>
      </c>
      <c r="AI1399" s="239" t="s">
        <v>2526</v>
      </c>
      <c r="AJ1399" s="239" t="s">
        <v>2526</v>
      </c>
      <c r="AK1399" s="177" t="s">
        <v>2526</v>
      </c>
      <c r="AL1399" s="177" t="s">
        <v>2526</v>
      </c>
      <c r="AM1399" s="147">
        <f t="shared" si="57"/>
        <v>0</v>
      </c>
      <c r="AN1399" s="18" t="s">
        <v>5466</v>
      </c>
      <c r="AO1399" s="18" t="s">
        <v>871</v>
      </c>
      <c r="AP1399" s="240" t="s">
        <v>119</v>
      </c>
      <c r="AQ1399" s="157"/>
    </row>
    <row r="1400" spans="1:43" s="18" customFormat="1" x14ac:dyDescent="0.3">
      <c r="A1400" s="228" t="s">
        <v>1451</v>
      </c>
      <c r="B1400" s="18" t="s">
        <v>4838</v>
      </c>
      <c r="C1400" s="228" t="s">
        <v>4841</v>
      </c>
      <c r="D1400" s="18" t="s">
        <v>2439</v>
      </c>
      <c r="E1400" s="228" t="s">
        <v>5490</v>
      </c>
      <c r="F1400" s="18" t="s">
        <v>5491</v>
      </c>
      <c r="G1400" s="228" t="s">
        <v>5627</v>
      </c>
      <c r="H1400" s="18" t="s">
        <v>5628</v>
      </c>
      <c r="K1400" s="228" t="s">
        <v>5629</v>
      </c>
      <c r="L1400" s="18" t="s">
        <v>5630</v>
      </c>
      <c r="M1400" s="18" t="s">
        <v>5631</v>
      </c>
      <c r="N1400" s="18">
        <v>0</v>
      </c>
      <c r="O1400" s="18">
        <v>10</v>
      </c>
      <c r="P1400" s="16">
        <v>10</v>
      </c>
      <c r="Q1400" s="16">
        <v>10</v>
      </c>
      <c r="R1400" s="16">
        <v>10</v>
      </c>
      <c r="S1400" s="16">
        <v>10</v>
      </c>
      <c r="T1400" s="18" t="s">
        <v>877</v>
      </c>
      <c r="U1400" s="283" t="s">
        <v>880</v>
      </c>
      <c r="V1400" s="18" t="s">
        <v>5632</v>
      </c>
      <c r="W1400" s="18">
        <v>1</v>
      </c>
      <c r="X1400" s="18">
        <v>0</v>
      </c>
      <c r="Y1400" s="18">
        <v>1</v>
      </c>
      <c r="Z1400" s="18">
        <v>1</v>
      </c>
      <c r="AA1400" s="18">
        <v>0</v>
      </c>
      <c r="AB1400" s="18">
        <v>1</v>
      </c>
      <c r="AC1400" s="316">
        <v>1</v>
      </c>
      <c r="AD1400" s="316">
        <v>1</v>
      </c>
      <c r="AE1400" s="302">
        <f t="shared" si="58"/>
        <v>0.75</v>
      </c>
      <c r="AF1400" s="239">
        <v>0</v>
      </c>
      <c r="AG1400" s="17">
        <v>0</v>
      </c>
      <c r="AH1400" s="239" t="s">
        <v>2526</v>
      </c>
      <c r="AI1400" s="239">
        <v>0.03</v>
      </c>
      <c r="AJ1400" s="239">
        <v>0.03</v>
      </c>
      <c r="AK1400" s="177">
        <v>0</v>
      </c>
      <c r="AL1400" s="177">
        <v>0</v>
      </c>
      <c r="AM1400" s="147">
        <f t="shared" si="57"/>
        <v>0</v>
      </c>
      <c r="AN1400" s="18" t="s">
        <v>1446</v>
      </c>
      <c r="AO1400" s="18" t="s">
        <v>3715</v>
      </c>
      <c r="AP1400" s="240" t="s">
        <v>877</v>
      </c>
      <c r="AQ1400" s="157"/>
    </row>
    <row r="1401" spans="1:43" s="18" customFormat="1" x14ac:dyDescent="0.3">
      <c r="A1401" s="228" t="s">
        <v>1451</v>
      </c>
      <c r="B1401" s="18" t="s">
        <v>4838</v>
      </c>
      <c r="C1401" s="228" t="s">
        <v>4841</v>
      </c>
      <c r="D1401" s="18" t="s">
        <v>2439</v>
      </c>
      <c r="E1401" s="228" t="s">
        <v>5490</v>
      </c>
      <c r="F1401" s="18" t="s">
        <v>5491</v>
      </c>
      <c r="G1401" s="228" t="s">
        <v>5627</v>
      </c>
      <c r="H1401" s="18" t="s">
        <v>5628</v>
      </c>
      <c r="K1401" s="228" t="s">
        <v>5629</v>
      </c>
      <c r="L1401" s="18" t="s">
        <v>5630</v>
      </c>
      <c r="M1401" s="18" t="s">
        <v>5633</v>
      </c>
      <c r="N1401" s="18">
        <v>0</v>
      </c>
      <c r="O1401" s="18" t="s">
        <v>5168</v>
      </c>
      <c r="P1401" s="16" t="s">
        <v>5634</v>
      </c>
      <c r="Q1401" s="16" t="s">
        <v>5635</v>
      </c>
      <c r="R1401" s="16" t="s">
        <v>5635</v>
      </c>
      <c r="S1401" s="16" t="s">
        <v>5636</v>
      </c>
      <c r="T1401" s="18" t="s">
        <v>877</v>
      </c>
      <c r="U1401" s="283" t="s">
        <v>880</v>
      </c>
      <c r="V1401" s="18" t="s">
        <v>5637</v>
      </c>
      <c r="W1401" s="18">
        <v>1</v>
      </c>
      <c r="X1401" s="18">
        <v>1</v>
      </c>
      <c r="Y1401" s="18">
        <v>1</v>
      </c>
      <c r="Z1401" s="18">
        <v>0</v>
      </c>
      <c r="AA1401" s="18">
        <v>0</v>
      </c>
      <c r="AB1401" s="18">
        <v>0</v>
      </c>
      <c r="AC1401" s="316">
        <v>1</v>
      </c>
      <c r="AD1401" s="316">
        <v>1</v>
      </c>
      <c r="AE1401" s="302">
        <f t="shared" si="58"/>
        <v>0.625</v>
      </c>
      <c r="AF1401" s="239">
        <v>0</v>
      </c>
      <c r="AG1401" s="17">
        <v>0</v>
      </c>
      <c r="AH1401" s="239" t="s">
        <v>2526</v>
      </c>
      <c r="AI1401" s="239" t="s">
        <v>2526</v>
      </c>
      <c r="AJ1401" s="239" t="s">
        <v>2526</v>
      </c>
      <c r="AK1401" s="177" t="s">
        <v>2526</v>
      </c>
      <c r="AL1401" s="177" t="s">
        <v>2526</v>
      </c>
      <c r="AM1401" s="147">
        <f t="shared" si="57"/>
        <v>0</v>
      </c>
      <c r="AN1401" s="18" t="s">
        <v>921</v>
      </c>
      <c r="AO1401" s="18" t="s">
        <v>880</v>
      </c>
      <c r="AP1401" s="240" t="s">
        <v>119</v>
      </c>
      <c r="AQ1401" s="157"/>
    </row>
    <row r="1402" spans="1:43" s="18" customFormat="1" x14ac:dyDescent="0.3">
      <c r="A1402" s="228" t="s">
        <v>1451</v>
      </c>
      <c r="B1402" s="18" t="s">
        <v>4838</v>
      </c>
      <c r="C1402" s="228" t="s">
        <v>4841</v>
      </c>
      <c r="D1402" s="18" t="s">
        <v>2439</v>
      </c>
      <c r="E1402" s="228" t="s">
        <v>5490</v>
      </c>
      <c r="F1402" s="18" t="s">
        <v>5491</v>
      </c>
      <c r="G1402" s="228" t="s">
        <v>5627</v>
      </c>
      <c r="H1402" s="18" t="s">
        <v>5628</v>
      </c>
      <c r="K1402" s="228" t="s">
        <v>5629</v>
      </c>
      <c r="L1402" s="18" t="s">
        <v>5630</v>
      </c>
      <c r="M1402" s="18" t="s">
        <v>5638</v>
      </c>
      <c r="N1402" s="18">
        <v>0</v>
      </c>
      <c r="O1402" s="18">
        <v>2</v>
      </c>
      <c r="P1402" s="16">
        <v>3</v>
      </c>
      <c r="Q1402" s="16">
        <v>3</v>
      </c>
      <c r="R1402" s="16">
        <v>3</v>
      </c>
      <c r="S1402" s="16">
        <v>3</v>
      </c>
      <c r="T1402" s="18" t="s">
        <v>877</v>
      </c>
      <c r="U1402" s="283" t="s">
        <v>880</v>
      </c>
      <c r="V1402" s="18" t="s">
        <v>5639</v>
      </c>
      <c r="W1402" s="18">
        <v>1</v>
      </c>
      <c r="X1402" s="18">
        <v>1</v>
      </c>
      <c r="Y1402" s="18">
        <v>1</v>
      </c>
      <c r="Z1402" s="18">
        <v>1</v>
      </c>
      <c r="AA1402" s="18">
        <v>1</v>
      </c>
      <c r="AB1402" s="18">
        <v>1</v>
      </c>
      <c r="AC1402" s="18">
        <v>1</v>
      </c>
      <c r="AD1402" s="18">
        <v>1</v>
      </c>
      <c r="AE1402" s="302">
        <f t="shared" si="58"/>
        <v>1</v>
      </c>
      <c r="AF1402" s="239">
        <v>0</v>
      </c>
      <c r="AG1402" s="17">
        <v>0</v>
      </c>
      <c r="AH1402" s="239" t="s">
        <v>2526</v>
      </c>
      <c r="AI1402" s="239">
        <v>0.14000000000000001</v>
      </c>
      <c r="AJ1402" s="239">
        <v>0.15</v>
      </c>
      <c r="AK1402" s="177">
        <v>0.17</v>
      </c>
      <c r="AL1402" s="177">
        <v>0.19</v>
      </c>
      <c r="AM1402" s="147">
        <f t="shared" si="57"/>
        <v>0.36</v>
      </c>
      <c r="AN1402" s="18" t="s">
        <v>879</v>
      </c>
      <c r="AO1402" s="18" t="s">
        <v>880</v>
      </c>
      <c r="AP1402" s="240" t="s">
        <v>5640</v>
      </c>
      <c r="AQ1402" s="157"/>
    </row>
    <row r="1403" spans="1:43" s="18" customFormat="1" x14ac:dyDescent="0.3">
      <c r="A1403" s="228" t="s">
        <v>1451</v>
      </c>
      <c r="B1403" s="18" t="s">
        <v>4838</v>
      </c>
      <c r="C1403" s="228" t="s">
        <v>4841</v>
      </c>
      <c r="D1403" s="18" t="s">
        <v>2439</v>
      </c>
      <c r="E1403" s="228" t="s">
        <v>5490</v>
      </c>
      <c r="F1403" s="18" t="s">
        <v>5491</v>
      </c>
      <c r="G1403" s="228" t="s">
        <v>5627</v>
      </c>
      <c r="H1403" s="18" t="s">
        <v>5628</v>
      </c>
      <c r="K1403" s="228" t="s">
        <v>5629</v>
      </c>
      <c r="L1403" s="18" t="s">
        <v>5630</v>
      </c>
      <c r="M1403" s="18" t="s">
        <v>5641</v>
      </c>
      <c r="N1403" s="18" t="s">
        <v>5642</v>
      </c>
      <c r="O1403" s="18" t="s">
        <v>5643</v>
      </c>
      <c r="P1403" s="16" t="s">
        <v>5644</v>
      </c>
      <c r="Q1403" s="16" t="s">
        <v>5645</v>
      </c>
      <c r="R1403" s="16" t="s">
        <v>5646</v>
      </c>
      <c r="S1403" s="16" t="s">
        <v>5647</v>
      </c>
      <c r="T1403" s="18" t="s">
        <v>877</v>
      </c>
      <c r="U1403" s="283" t="s">
        <v>880</v>
      </c>
      <c r="V1403" s="18" t="s">
        <v>5648</v>
      </c>
      <c r="W1403" s="18">
        <v>1</v>
      </c>
      <c r="X1403" s="18">
        <v>1</v>
      </c>
      <c r="Y1403" s="18">
        <v>1</v>
      </c>
      <c r="Z1403" s="18">
        <v>1</v>
      </c>
      <c r="AA1403" s="18">
        <v>1</v>
      </c>
      <c r="AB1403" s="18">
        <v>1</v>
      </c>
      <c r="AC1403" s="18">
        <v>1</v>
      </c>
      <c r="AD1403" s="18">
        <v>1</v>
      </c>
      <c r="AE1403" s="302">
        <f t="shared" si="58"/>
        <v>1</v>
      </c>
      <c r="AF1403" s="239">
        <v>0</v>
      </c>
      <c r="AG1403" s="17">
        <v>0</v>
      </c>
      <c r="AH1403" s="239">
        <v>5.5</v>
      </c>
      <c r="AI1403" s="239">
        <v>30.7</v>
      </c>
      <c r="AJ1403" s="239">
        <v>0.1</v>
      </c>
      <c r="AK1403" s="238">
        <v>0.1</v>
      </c>
      <c r="AL1403" s="177">
        <v>0.1</v>
      </c>
      <c r="AM1403" s="147">
        <f t="shared" si="57"/>
        <v>0.2</v>
      </c>
      <c r="AN1403" s="18" t="s">
        <v>879</v>
      </c>
      <c r="AO1403" s="18" t="s">
        <v>880</v>
      </c>
      <c r="AP1403" s="240" t="s">
        <v>63</v>
      </c>
      <c r="AQ1403" s="157"/>
    </row>
    <row r="1404" spans="1:43" s="18" customFormat="1" x14ac:dyDescent="0.3">
      <c r="A1404" s="228" t="s">
        <v>1451</v>
      </c>
      <c r="B1404" s="18" t="s">
        <v>4838</v>
      </c>
      <c r="C1404" s="228" t="s">
        <v>4841</v>
      </c>
      <c r="D1404" s="18" t="s">
        <v>2439</v>
      </c>
      <c r="E1404" s="228" t="s">
        <v>5490</v>
      </c>
      <c r="F1404" s="18" t="s">
        <v>5491</v>
      </c>
      <c r="G1404" s="228" t="s">
        <v>5627</v>
      </c>
      <c r="H1404" s="18" t="s">
        <v>5628</v>
      </c>
      <c r="K1404" s="228" t="s">
        <v>5629</v>
      </c>
      <c r="L1404" s="18" t="s">
        <v>5630</v>
      </c>
      <c r="M1404" s="18" t="s">
        <v>5649</v>
      </c>
      <c r="N1404" s="18">
        <v>0</v>
      </c>
      <c r="O1404" s="18">
        <v>10</v>
      </c>
      <c r="P1404" s="16">
        <v>10</v>
      </c>
      <c r="Q1404" s="16">
        <v>10</v>
      </c>
      <c r="R1404" s="16">
        <v>10</v>
      </c>
      <c r="S1404" s="16">
        <v>10</v>
      </c>
      <c r="T1404" s="18" t="s">
        <v>1216</v>
      </c>
      <c r="U1404" s="283" t="s">
        <v>1218</v>
      </c>
      <c r="V1404" s="18" t="s">
        <v>5650</v>
      </c>
      <c r="W1404" s="18">
        <v>1</v>
      </c>
      <c r="X1404" s="18">
        <v>1</v>
      </c>
      <c r="Y1404" s="18">
        <v>1</v>
      </c>
      <c r="Z1404" s="18">
        <v>1</v>
      </c>
      <c r="AA1404" s="18">
        <v>1</v>
      </c>
      <c r="AB1404" s="18">
        <v>1</v>
      </c>
      <c r="AC1404" s="18">
        <v>1</v>
      </c>
      <c r="AD1404" s="18">
        <v>1</v>
      </c>
      <c r="AE1404" s="302">
        <f t="shared" si="58"/>
        <v>1</v>
      </c>
      <c r="AF1404" s="239">
        <v>0</v>
      </c>
      <c r="AG1404" s="17">
        <v>0</v>
      </c>
      <c r="AH1404" s="239" t="s">
        <v>2526</v>
      </c>
      <c r="AI1404" s="239">
        <v>0.2</v>
      </c>
      <c r="AJ1404" s="239">
        <v>0.2</v>
      </c>
      <c r="AK1404" s="241">
        <v>0</v>
      </c>
      <c r="AL1404" s="241">
        <v>0</v>
      </c>
      <c r="AM1404" s="147">
        <f t="shared" si="57"/>
        <v>0</v>
      </c>
      <c r="AN1404" s="18" t="s">
        <v>879</v>
      </c>
      <c r="AO1404" s="18" t="s">
        <v>880</v>
      </c>
      <c r="AP1404" s="240" t="s">
        <v>5651</v>
      </c>
      <c r="AQ1404" s="157"/>
    </row>
    <row r="1405" spans="1:43" s="18" customFormat="1" x14ac:dyDescent="0.3">
      <c r="A1405" s="228" t="s">
        <v>1451</v>
      </c>
      <c r="B1405" s="18" t="s">
        <v>4838</v>
      </c>
      <c r="C1405" s="228" t="s">
        <v>4841</v>
      </c>
      <c r="D1405" s="18" t="s">
        <v>2439</v>
      </c>
      <c r="E1405" s="228" t="s">
        <v>5490</v>
      </c>
      <c r="F1405" s="18" t="s">
        <v>5491</v>
      </c>
      <c r="G1405" s="228" t="s">
        <v>5627</v>
      </c>
      <c r="H1405" s="18" t="s">
        <v>5628</v>
      </c>
      <c r="K1405" s="228" t="s">
        <v>5629</v>
      </c>
      <c r="L1405" s="18" t="s">
        <v>5630</v>
      </c>
      <c r="M1405" s="18" t="s">
        <v>5652</v>
      </c>
      <c r="N1405" s="18">
        <v>0</v>
      </c>
      <c r="O1405" s="18">
        <v>10</v>
      </c>
      <c r="P1405" s="16">
        <v>10</v>
      </c>
      <c r="Q1405" s="16">
        <v>10</v>
      </c>
      <c r="R1405" s="16">
        <v>10</v>
      </c>
      <c r="S1405" s="16">
        <v>10</v>
      </c>
      <c r="T1405" s="18" t="s">
        <v>1216</v>
      </c>
      <c r="U1405" s="283" t="s">
        <v>1218</v>
      </c>
      <c r="V1405" s="18" t="s">
        <v>5653</v>
      </c>
      <c r="W1405" s="18">
        <v>1</v>
      </c>
      <c r="X1405" s="18">
        <v>1</v>
      </c>
      <c r="Y1405" s="18">
        <v>1</v>
      </c>
      <c r="Z1405" s="18">
        <v>1</v>
      </c>
      <c r="AA1405" s="18">
        <v>1</v>
      </c>
      <c r="AB1405" s="18">
        <v>1</v>
      </c>
      <c r="AC1405" s="316">
        <v>1</v>
      </c>
      <c r="AD1405" s="316">
        <v>1</v>
      </c>
      <c r="AE1405" s="302">
        <f t="shared" si="58"/>
        <v>1</v>
      </c>
      <c r="AF1405" s="239">
        <v>0</v>
      </c>
      <c r="AG1405" s="17">
        <v>0</v>
      </c>
      <c r="AH1405" s="239" t="s">
        <v>2526</v>
      </c>
      <c r="AI1405" s="239">
        <v>0.08</v>
      </c>
      <c r="AJ1405" s="239">
        <v>0.08</v>
      </c>
      <c r="AK1405" s="238">
        <v>0.08</v>
      </c>
      <c r="AL1405" s="177">
        <v>0.08</v>
      </c>
      <c r="AM1405" s="147">
        <f t="shared" si="57"/>
        <v>0.16</v>
      </c>
      <c r="AN1405" s="18" t="s">
        <v>879</v>
      </c>
      <c r="AO1405" s="18" t="s">
        <v>880</v>
      </c>
      <c r="AP1405" s="240" t="s">
        <v>5536</v>
      </c>
      <c r="AQ1405" s="157"/>
    </row>
    <row r="1406" spans="1:43" s="18" customFormat="1" x14ac:dyDescent="0.3">
      <c r="A1406" s="228" t="s">
        <v>1451</v>
      </c>
      <c r="B1406" s="18" t="s">
        <v>4838</v>
      </c>
      <c r="C1406" s="228" t="s">
        <v>4841</v>
      </c>
      <c r="D1406" s="18" t="s">
        <v>2439</v>
      </c>
      <c r="E1406" s="228" t="s">
        <v>5490</v>
      </c>
      <c r="F1406" s="18" t="s">
        <v>5491</v>
      </c>
      <c r="G1406" s="228" t="s">
        <v>5627</v>
      </c>
      <c r="H1406" s="18" t="s">
        <v>5628</v>
      </c>
      <c r="K1406" s="228" t="s">
        <v>5629</v>
      </c>
      <c r="L1406" s="18" t="s">
        <v>5630</v>
      </c>
      <c r="P1406" s="16"/>
      <c r="Q1406" s="16"/>
      <c r="R1406" s="16"/>
      <c r="S1406" s="16"/>
      <c r="U1406" s="283" t="e">
        <v>#N/A</v>
      </c>
      <c r="V1406" s="18" t="s">
        <v>5654</v>
      </c>
      <c r="W1406" s="18">
        <v>1</v>
      </c>
      <c r="X1406" s="18">
        <v>1</v>
      </c>
      <c r="Y1406" s="18">
        <v>1</v>
      </c>
      <c r="Z1406" s="18">
        <v>1</v>
      </c>
      <c r="AA1406" s="18">
        <v>1</v>
      </c>
      <c r="AB1406" s="18">
        <v>1</v>
      </c>
      <c r="AC1406" s="316">
        <v>1</v>
      </c>
      <c r="AD1406" s="316">
        <v>1</v>
      </c>
      <c r="AE1406" s="302">
        <f t="shared" si="58"/>
        <v>1</v>
      </c>
      <c r="AF1406" s="176">
        <v>0</v>
      </c>
      <c r="AG1406" s="17">
        <v>0</v>
      </c>
      <c r="AH1406" s="176" t="s">
        <v>2526</v>
      </c>
      <c r="AI1406" s="176">
        <v>20</v>
      </c>
      <c r="AJ1406" s="239">
        <v>20</v>
      </c>
      <c r="AK1406" s="237">
        <v>12</v>
      </c>
      <c r="AL1406" s="177">
        <v>20</v>
      </c>
      <c r="AM1406" s="147">
        <f t="shared" si="57"/>
        <v>32</v>
      </c>
      <c r="AN1406" s="18" t="s">
        <v>879</v>
      </c>
      <c r="AO1406" s="18" t="s">
        <v>880</v>
      </c>
      <c r="AP1406" s="240" t="s">
        <v>5655</v>
      </c>
      <c r="AQ1406" s="157"/>
    </row>
    <row r="1407" spans="1:43" s="18" customFormat="1" x14ac:dyDescent="0.3">
      <c r="A1407" s="228" t="s">
        <v>1451</v>
      </c>
      <c r="B1407" s="18" t="s">
        <v>4838</v>
      </c>
      <c r="C1407" s="228" t="s">
        <v>4841</v>
      </c>
      <c r="D1407" s="18" t="s">
        <v>2439</v>
      </c>
      <c r="E1407" s="228" t="s">
        <v>5490</v>
      </c>
      <c r="F1407" s="18" t="s">
        <v>5491</v>
      </c>
      <c r="G1407" s="228" t="s">
        <v>5627</v>
      </c>
      <c r="H1407" s="18" t="s">
        <v>5628</v>
      </c>
      <c r="K1407" s="228" t="s">
        <v>5629</v>
      </c>
      <c r="L1407" s="18" t="s">
        <v>5630</v>
      </c>
      <c r="P1407" s="16"/>
      <c r="Q1407" s="16"/>
      <c r="R1407" s="16"/>
      <c r="S1407" s="16"/>
      <c r="U1407" s="283" t="e">
        <v>#N/A</v>
      </c>
      <c r="V1407" s="18" t="s">
        <v>5656</v>
      </c>
      <c r="W1407" s="18">
        <v>1</v>
      </c>
      <c r="X1407" s="18">
        <v>1</v>
      </c>
      <c r="Y1407" s="18">
        <v>1</v>
      </c>
      <c r="Z1407" s="18">
        <v>1</v>
      </c>
      <c r="AA1407" s="18">
        <v>1</v>
      </c>
      <c r="AB1407" s="18">
        <v>1</v>
      </c>
      <c r="AC1407" s="18">
        <v>1</v>
      </c>
      <c r="AD1407" s="18">
        <v>1</v>
      </c>
      <c r="AE1407" s="302">
        <f t="shared" si="58"/>
        <v>1</v>
      </c>
      <c r="AF1407" s="176">
        <v>0</v>
      </c>
      <c r="AG1407" s="17">
        <v>0</v>
      </c>
      <c r="AH1407" s="176">
        <v>0</v>
      </c>
      <c r="AI1407" s="176">
        <v>0.35</v>
      </c>
      <c r="AJ1407" s="234">
        <v>0.35</v>
      </c>
      <c r="AK1407" s="235">
        <v>0.35</v>
      </c>
      <c r="AL1407" s="235">
        <v>0</v>
      </c>
      <c r="AM1407" s="147">
        <f t="shared" si="57"/>
        <v>0.35</v>
      </c>
      <c r="AN1407" s="236" t="s">
        <v>1216</v>
      </c>
      <c r="AO1407" s="236" t="s">
        <v>1218</v>
      </c>
      <c r="AP1407" s="228" t="s">
        <v>5657</v>
      </c>
    </row>
    <row r="1408" spans="1:43" s="18" customFormat="1" x14ac:dyDescent="0.3">
      <c r="A1408" s="228" t="s">
        <v>1451</v>
      </c>
      <c r="B1408" s="18" t="s">
        <v>4838</v>
      </c>
      <c r="C1408" s="228" t="s">
        <v>4841</v>
      </c>
      <c r="D1408" s="18" t="s">
        <v>2439</v>
      </c>
      <c r="E1408" s="228" t="s">
        <v>5490</v>
      </c>
      <c r="F1408" s="18" t="s">
        <v>5491</v>
      </c>
      <c r="G1408" s="228" t="s">
        <v>5627</v>
      </c>
      <c r="H1408" s="157" t="s">
        <v>5628</v>
      </c>
      <c r="K1408" s="240" t="s">
        <v>5629</v>
      </c>
      <c r="L1408" s="157" t="s">
        <v>5630</v>
      </c>
      <c r="P1408" s="16"/>
      <c r="Q1408" s="16"/>
      <c r="R1408" s="16"/>
      <c r="S1408" s="16"/>
      <c r="U1408" s="283" t="e">
        <v>#N/A</v>
      </c>
      <c r="V1408" s="157" t="s">
        <v>5658</v>
      </c>
      <c r="W1408" s="157">
        <v>1</v>
      </c>
      <c r="X1408" s="157">
        <v>1</v>
      </c>
      <c r="Y1408" s="157">
        <v>1</v>
      </c>
      <c r="Z1408" s="157">
        <v>1</v>
      </c>
      <c r="AA1408" s="157">
        <v>1</v>
      </c>
      <c r="AB1408" s="157">
        <v>1</v>
      </c>
      <c r="AC1408" s="157">
        <v>1</v>
      </c>
      <c r="AD1408" s="157">
        <v>1</v>
      </c>
      <c r="AE1408" s="302">
        <f t="shared" si="58"/>
        <v>1</v>
      </c>
      <c r="AF1408" s="176">
        <v>0</v>
      </c>
      <c r="AG1408" s="17">
        <v>0</v>
      </c>
      <c r="AH1408" s="176">
        <v>0</v>
      </c>
      <c r="AI1408" s="239">
        <v>0.5</v>
      </c>
      <c r="AJ1408" s="239">
        <v>0.5</v>
      </c>
      <c r="AK1408" s="238">
        <v>0.5</v>
      </c>
      <c r="AL1408" s="177">
        <v>0.5</v>
      </c>
      <c r="AM1408" s="147">
        <f t="shared" si="57"/>
        <v>1</v>
      </c>
      <c r="AN1408" s="18" t="s">
        <v>1216</v>
      </c>
      <c r="AO1408" s="18" t="s">
        <v>1218</v>
      </c>
      <c r="AP1408" s="240" t="s">
        <v>5659</v>
      </c>
      <c r="AQ1408" s="157"/>
    </row>
    <row r="1409" spans="1:43" s="18" customFormat="1" x14ac:dyDescent="0.3">
      <c r="A1409" s="228" t="s">
        <v>1451</v>
      </c>
      <c r="B1409" s="18" t="s">
        <v>4838</v>
      </c>
      <c r="C1409" s="228" t="s">
        <v>4841</v>
      </c>
      <c r="D1409" s="18" t="s">
        <v>2439</v>
      </c>
      <c r="E1409" s="228" t="s">
        <v>5490</v>
      </c>
      <c r="F1409" s="18" t="s">
        <v>5491</v>
      </c>
      <c r="G1409" s="228" t="s">
        <v>5627</v>
      </c>
      <c r="H1409" s="157" t="s">
        <v>5628</v>
      </c>
      <c r="K1409" s="240" t="s">
        <v>5629</v>
      </c>
      <c r="L1409" s="157" t="s">
        <v>5630</v>
      </c>
      <c r="P1409" s="16"/>
      <c r="Q1409" s="16"/>
      <c r="R1409" s="16"/>
      <c r="S1409" s="16"/>
      <c r="U1409" s="283" t="e">
        <v>#N/A</v>
      </c>
      <c r="V1409" s="157" t="s">
        <v>5660</v>
      </c>
      <c r="W1409" s="157">
        <v>1</v>
      </c>
      <c r="X1409" s="157">
        <v>1</v>
      </c>
      <c r="Y1409" s="157">
        <v>1</v>
      </c>
      <c r="Z1409" s="157">
        <v>1</v>
      </c>
      <c r="AA1409" s="157">
        <v>1</v>
      </c>
      <c r="AB1409" s="157">
        <v>1</v>
      </c>
      <c r="AC1409" s="157">
        <v>1</v>
      </c>
      <c r="AD1409" s="157">
        <v>1</v>
      </c>
      <c r="AE1409" s="302">
        <f t="shared" si="58"/>
        <v>1</v>
      </c>
      <c r="AF1409" s="176">
        <v>0</v>
      </c>
      <c r="AG1409" s="17">
        <v>0</v>
      </c>
      <c r="AH1409" s="239">
        <v>0</v>
      </c>
      <c r="AI1409" s="239">
        <v>0.8</v>
      </c>
      <c r="AJ1409" s="239">
        <v>0.8</v>
      </c>
      <c r="AK1409" s="238">
        <v>0.8</v>
      </c>
      <c r="AL1409" s="238">
        <v>0.8</v>
      </c>
      <c r="AM1409" s="147">
        <f t="shared" si="57"/>
        <v>1.6</v>
      </c>
      <c r="AN1409" s="157" t="s">
        <v>1216</v>
      </c>
      <c r="AO1409" s="157" t="s">
        <v>1218</v>
      </c>
      <c r="AP1409" s="240" t="s">
        <v>5661</v>
      </c>
      <c r="AQ1409" s="157"/>
    </row>
    <row r="1410" spans="1:43" s="18" customFormat="1" x14ac:dyDescent="0.3">
      <c r="A1410" s="228" t="s">
        <v>1451</v>
      </c>
      <c r="B1410" s="18" t="s">
        <v>4838</v>
      </c>
      <c r="C1410" s="228" t="s">
        <v>4841</v>
      </c>
      <c r="D1410" s="18" t="s">
        <v>2439</v>
      </c>
      <c r="E1410" s="228" t="s">
        <v>5490</v>
      </c>
      <c r="F1410" s="18" t="s">
        <v>5491</v>
      </c>
      <c r="G1410" s="228" t="s">
        <v>5627</v>
      </c>
      <c r="H1410" s="157" t="s">
        <v>5628</v>
      </c>
      <c r="K1410" s="240" t="s">
        <v>5629</v>
      </c>
      <c r="L1410" s="157" t="s">
        <v>5630</v>
      </c>
      <c r="P1410" s="16"/>
      <c r="Q1410" s="16"/>
      <c r="R1410" s="16"/>
      <c r="S1410" s="16"/>
      <c r="U1410" s="283" t="e">
        <v>#N/A</v>
      </c>
      <c r="V1410" s="157" t="s">
        <v>5662</v>
      </c>
      <c r="W1410" s="157">
        <v>1</v>
      </c>
      <c r="X1410" s="157">
        <v>1</v>
      </c>
      <c r="Y1410" s="157">
        <v>1</v>
      </c>
      <c r="Z1410" s="157">
        <v>1</v>
      </c>
      <c r="AA1410" s="157">
        <v>1</v>
      </c>
      <c r="AB1410" s="157">
        <v>1</v>
      </c>
      <c r="AC1410" s="157">
        <v>1</v>
      </c>
      <c r="AD1410" s="157">
        <v>1</v>
      </c>
      <c r="AE1410" s="302">
        <f t="shared" si="58"/>
        <v>1</v>
      </c>
      <c r="AF1410" s="176">
        <v>0</v>
      </c>
      <c r="AG1410" s="17">
        <v>0</v>
      </c>
      <c r="AH1410" s="239">
        <v>0</v>
      </c>
      <c r="AI1410" s="239">
        <v>0.25</v>
      </c>
      <c r="AJ1410" s="239">
        <v>0.25</v>
      </c>
      <c r="AK1410" s="238">
        <v>0.25</v>
      </c>
      <c r="AL1410" s="238">
        <v>0.25</v>
      </c>
      <c r="AM1410" s="147">
        <f t="shared" si="57"/>
        <v>0.5</v>
      </c>
      <c r="AN1410" s="157" t="s">
        <v>1216</v>
      </c>
      <c r="AO1410" s="157" t="s">
        <v>1218</v>
      </c>
      <c r="AP1410" s="240" t="s">
        <v>5663</v>
      </c>
      <c r="AQ1410" s="157"/>
    </row>
    <row r="1411" spans="1:43" customFormat="1" x14ac:dyDescent="0.3">
      <c r="A1411" s="386" t="s">
        <v>1451</v>
      </c>
      <c r="B1411" t="s">
        <v>4838</v>
      </c>
      <c r="C1411" s="200" t="s">
        <v>12999</v>
      </c>
      <c r="D1411" t="s">
        <v>6838</v>
      </c>
      <c r="E1411" s="200" t="s">
        <v>13000</v>
      </c>
      <c r="F1411" t="s">
        <v>12811</v>
      </c>
      <c r="G1411" s="200" t="s">
        <v>13001</v>
      </c>
      <c r="H1411" t="s">
        <v>12812</v>
      </c>
      <c r="K1411" s="200" t="s">
        <v>13002</v>
      </c>
      <c r="L1411" t="s">
        <v>12754</v>
      </c>
      <c r="M1411" s="1"/>
      <c r="N1411" s="423"/>
      <c r="O1411" s="1"/>
      <c r="P1411" s="3"/>
      <c r="Q1411" s="3"/>
      <c r="R1411" s="3"/>
      <c r="S1411" s="3"/>
      <c r="V1411" t="s">
        <v>12755</v>
      </c>
      <c r="AF1411" s="64"/>
      <c r="AH1411" s="4"/>
      <c r="AI1411" s="4"/>
      <c r="AJ1411" s="4"/>
      <c r="AK1411" s="398"/>
      <c r="AL1411" s="398"/>
      <c r="AM1411" s="4"/>
    </row>
    <row r="1412" spans="1:43" customFormat="1" x14ac:dyDescent="0.3">
      <c r="A1412" s="386" t="s">
        <v>1451</v>
      </c>
      <c r="B1412" t="s">
        <v>4838</v>
      </c>
      <c r="C1412" s="200" t="s">
        <v>12999</v>
      </c>
      <c r="D1412" t="s">
        <v>6838</v>
      </c>
      <c r="E1412" s="200" t="s">
        <v>13000</v>
      </c>
      <c r="F1412" t="s">
        <v>12811</v>
      </c>
      <c r="G1412" s="200" t="s">
        <v>13001</v>
      </c>
      <c r="H1412" t="s">
        <v>12812</v>
      </c>
      <c r="K1412" s="200" t="s">
        <v>13003</v>
      </c>
      <c r="L1412" t="s">
        <v>12808</v>
      </c>
      <c r="M1412" s="1"/>
      <c r="N1412" s="423"/>
      <c r="O1412" s="1"/>
      <c r="P1412" s="3"/>
      <c r="Q1412" s="3"/>
      <c r="R1412" s="3"/>
      <c r="S1412" s="3"/>
      <c r="V1412" t="s">
        <v>12809</v>
      </c>
      <c r="AF1412" s="64"/>
      <c r="AH1412" s="4"/>
      <c r="AI1412" s="4"/>
      <c r="AJ1412" s="4"/>
      <c r="AK1412" s="398"/>
      <c r="AL1412" s="398"/>
      <c r="AM1412" s="4"/>
    </row>
    <row r="1413" spans="1:43" customFormat="1" x14ac:dyDescent="0.3">
      <c r="A1413" s="386" t="s">
        <v>1451</v>
      </c>
      <c r="B1413" t="s">
        <v>4838</v>
      </c>
      <c r="C1413" s="200" t="s">
        <v>12999</v>
      </c>
      <c r="D1413" t="s">
        <v>6838</v>
      </c>
      <c r="E1413" s="200" t="s">
        <v>13000</v>
      </c>
      <c r="F1413" t="s">
        <v>12811</v>
      </c>
      <c r="G1413" s="200" t="s">
        <v>13001</v>
      </c>
      <c r="H1413" t="s">
        <v>12812</v>
      </c>
      <c r="K1413" s="200" t="s">
        <v>13004</v>
      </c>
      <c r="L1413" t="s">
        <v>12756</v>
      </c>
      <c r="M1413" s="1" t="s">
        <v>5766</v>
      </c>
      <c r="N1413" s="423"/>
      <c r="O1413" s="1"/>
      <c r="P1413" s="3"/>
      <c r="Q1413" s="3"/>
      <c r="R1413" s="3"/>
      <c r="S1413" s="3"/>
      <c r="V1413" t="s">
        <v>12792</v>
      </c>
      <c r="AF1413" s="64"/>
      <c r="AH1413" s="4"/>
      <c r="AI1413" s="4"/>
      <c r="AJ1413" s="4"/>
      <c r="AK1413" s="46"/>
      <c r="AL1413" s="46"/>
      <c r="AM1413" s="4"/>
    </row>
    <row r="1414" spans="1:43" customFormat="1" x14ac:dyDescent="0.3">
      <c r="A1414" s="386" t="s">
        <v>1451</v>
      </c>
      <c r="B1414" t="s">
        <v>4838</v>
      </c>
      <c r="C1414" s="200" t="s">
        <v>12999</v>
      </c>
      <c r="D1414" t="s">
        <v>6838</v>
      </c>
      <c r="E1414" s="200" t="s">
        <v>13000</v>
      </c>
      <c r="F1414" t="s">
        <v>12811</v>
      </c>
      <c r="G1414" s="200" t="s">
        <v>13001</v>
      </c>
      <c r="H1414" t="s">
        <v>12812</v>
      </c>
      <c r="K1414" s="200" t="s">
        <v>13005</v>
      </c>
      <c r="L1414" t="s">
        <v>12757</v>
      </c>
      <c r="M1414" s="1" t="s">
        <v>12758</v>
      </c>
      <c r="N1414" s="423"/>
      <c r="O1414" s="1"/>
      <c r="P1414" s="3"/>
      <c r="Q1414" s="3"/>
      <c r="R1414" s="3"/>
      <c r="S1414" s="3"/>
      <c r="V1414" t="s">
        <v>12793</v>
      </c>
      <c r="AF1414" s="64"/>
      <c r="AH1414" s="4"/>
      <c r="AI1414" s="4"/>
      <c r="AJ1414" s="4"/>
      <c r="AK1414" s="46"/>
      <c r="AL1414" s="46"/>
      <c r="AM1414" s="4"/>
    </row>
    <row r="1415" spans="1:43" customFormat="1" x14ac:dyDescent="0.3">
      <c r="A1415" s="386" t="s">
        <v>1451</v>
      </c>
      <c r="B1415" t="s">
        <v>4838</v>
      </c>
      <c r="C1415" s="200" t="s">
        <v>12999</v>
      </c>
      <c r="D1415" t="s">
        <v>6838</v>
      </c>
      <c r="E1415" s="200" t="s">
        <v>13000</v>
      </c>
      <c r="F1415" t="s">
        <v>12811</v>
      </c>
      <c r="G1415" s="200" t="s">
        <v>13001</v>
      </c>
      <c r="H1415" t="s">
        <v>12812</v>
      </c>
      <c r="K1415" s="200" t="s">
        <v>13006</v>
      </c>
      <c r="L1415" t="s">
        <v>12759</v>
      </c>
      <c r="M1415" s="1" t="s">
        <v>12760</v>
      </c>
      <c r="N1415" s="423"/>
      <c r="O1415" s="1"/>
      <c r="P1415" s="3"/>
      <c r="Q1415" s="3"/>
      <c r="R1415" s="3"/>
      <c r="S1415" s="3"/>
      <c r="V1415" t="s">
        <v>12794</v>
      </c>
      <c r="AF1415" s="64"/>
      <c r="AH1415" s="4"/>
      <c r="AI1415" s="4"/>
      <c r="AJ1415" s="4"/>
      <c r="AK1415" s="46"/>
      <c r="AL1415" s="46"/>
      <c r="AM1415" s="4"/>
    </row>
    <row r="1416" spans="1:43" customFormat="1" x14ac:dyDescent="0.3">
      <c r="A1416" s="386" t="s">
        <v>1451</v>
      </c>
      <c r="B1416" t="s">
        <v>4838</v>
      </c>
      <c r="C1416" s="200" t="s">
        <v>12999</v>
      </c>
      <c r="D1416" t="s">
        <v>6838</v>
      </c>
      <c r="E1416" s="200" t="s">
        <v>13000</v>
      </c>
      <c r="F1416" t="s">
        <v>12811</v>
      </c>
      <c r="G1416" s="200" t="s">
        <v>13001</v>
      </c>
      <c r="H1416" t="s">
        <v>12812</v>
      </c>
      <c r="K1416" s="200" t="s">
        <v>13007</v>
      </c>
      <c r="L1416" t="s">
        <v>12761</v>
      </c>
      <c r="M1416" s="1" t="s">
        <v>12762</v>
      </c>
      <c r="N1416" s="423"/>
      <c r="O1416" s="1"/>
      <c r="P1416" s="3"/>
      <c r="Q1416" s="3"/>
      <c r="R1416" s="3"/>
      <c r="S1416" s="3"/>
      <c r="V1416" t="s">
        <v>5782</v>
      </c>
      <c r="AF1416" s="64"/>
      <c r="AH1416" s="4"/>
      <c r="AI1416" s="4"/>
      <c r="AJ1416" s="4"/>
      <c r="AK1416" s="46"/>
      <c r="AL1416" s="46"/>
      <c r="AM1416" s="4"/>
    </row>
    <row r="1417" spans="1:43" customFormat="1" x14ac:dyDescent="0.3">
      <c r="A1417" s="386" t="s">
        <v>1451</v>
      </c>
      <c r="B1417" t="s">
        <v>4838</v>
      </c>
      <c r="C1417" s="200" t="s">
        <v>12999</v>
      </c>
      <c r="D1417" t="s">
        <v>6838</v>
      </c>
      <c r="E1417" s="200" t="s">
        <v>13000</v>
      </c>
      <c r="F1417" t="s">
        <v>12811</v>
      </c>
      <c r="G1417" s="200" t="s">
        <v>13001</v>
      </c>
      <c r="H1417" t="s">
        <v>12812</v>
      </c>
      <c r="K1417" s="200" t="s">
        <v>13008</v>
      </c>
      <c r="L1417" t="s">
        <v>12763</v>
      </c>
      <c r="M1417" s="1" t="s">
        <v>12764</v>
      </c>
      <c r="N1417" s="423"/>
      <c r="O1417" s="1"/>
      <c r="P1417" s="3"/>
      <c r="Q1417" s="3"/>
      <c r="R1417" s="3"/>
      <c r="S1417" s="3"/>
      <c r="V1417" t="s">
        <v>5783</v>
      </c>
      <c r="AF1417" s="64"/>
      <c r="AH1417" s="4"/>
      <c r="AI1417" s="4"/>
      <c r="AJ1417" s="4"/>
      <c r="AK1417" s="46"/>
      <c r="AL1417" s="46"/>
      <c r="AM1417" s="4"/>
    </row>
    <row r="1418" spans="1:43" customFormat="1" x14ac:dyDescent="0.3">
      <c r="A1418" s="386" t="s">
        <v>1451</v>
      </c>
      <c r="B1418" t="s">
        <v>4838</v>
      </c>
      <c r="C1418" s="200" t="s">
        <v>12999</v>
      </c>
      <c r="D1418" t="s">
        <v>6838</v>
      </c>
      <c r="E1418" s="200" t="s">
        <v>13000</v>
      </c>
      <c r="F1418" t="s">
        <v>12811</v>
      </c>
      <c r="G1418" s="200" t="s">
        <v>13001</v>
      </c>
      <c r="H1418" t="s">
        <v>12812</v>
      </c>
      <c r="K1418" s="200" t="s">
        <v>13009</v>
      </c>
      <c r="L1418" t="s">
        <v>12765</v>
      </c>
      <c r="M1418" s="1" t="s">
        <v>12766</v>
      </c>
      <c r="N1418" s="423"/>
      <c r="O1418" s="1"/>
      <c r="P1418" s="3"/>
      <c r="Q1418" s="3"/>
      <c r="R1418" s="3"/>
      <c r="S1418" s="3"/>
      <c r="V1418" t="s">
        <v>12795</v>
      </c>
      <c r="AF1418" s="64"/>
      <c r="AH1418" s="4"/>
      <c r="AI1418" s="4"/>
      <c r="AJ1418" s="4"/>
      <c r="AK1418" s="46"/>
      <c r="AL1418" s="46"/>
      <c r="AM1418" s="4"/>
    </row>
    <row r="1419" spans="1:43" customFormat="1" x14ac:dyDescent="0.3">
      <c r="A1419" s="386" t="s">
        <v>1451</v>
      </c>
      <c r="B1419" t="s">
        <v>4838</v>
      </c>
      <c r="C1419" s="200" t="s">
        <v>12999</v>
      </c>
      <c r="D1419" t="s">
        <v>6838</v>
      </c>
      <c r="E1419" s="200" t="s">
        <v>13000</v>
      </c>
      <c r="F1419" t="s">
        <v>12811</v>
      </c>
      <c r="G1419" s="200" t="s">
        <v>13001</v>
      </c>
      <c r="H1419" t="s">
        <v>12812</v>
      </c>
      <c r="K1419" s="200" t="s">
        <v>13010</v>
      </c>
      <c r="L1419" t="s">
        <v>12767</v>
      </c>
      <c r="M1419" s="1" t="s">
        <v>12768</v>
      </c>
      <c r="N1419" s="423"/>
      <c r="O1419" s="1"/>
      <c r="P1419" s="3"/>
      <c r="Q1419" s="3"/>
      <c r="R1419" s="3"/>
      <c r="S1419" s="3"/>
      <c r="V1419" t="s">
        <v>12796</v>
      </c>
      <c r="AF1419" s="64"/>
      <c r="AH1419" s="4"/>
      <c r="AI1419" s="4"/>
      <c r="AJ1419" s="4"/>
      <c r="AK1419" s="46"/>
      <c r="AL1419" s="46"/>
      <c r="AM1419" s="4"/>
    </row>
    <row r="1420" spans="1:43" customFormat="1" x14ac:dyDescent="0.3">
      <c r="A1420" s="386" t="s">
        <v>1451</v>
      </c>
      <c r="B1420" t="s">
        <v>4838</v>
      </c>
      <c r="C1420" s="200" t="s">
        <v>12999</v>
      </c>
      <c r="D1420" t="s">
        <v>6838</v>
      </c>
      <c r="E1420" s="200" t="s">
        <v>13000</v>
      </c>
      <c r="F1420" t="s">
        <v>12811</v>
      </c>
      <c r="G1420" s="200" t="s">
        <v>13001</v>
      </c>
      <c r="H1420" t="s">
        <v>12812</v>
      </c>
      <c r="K1420" s="200" t="s">
        <v>13011</v>
      </c>
      <c r="L1420" t="s">
        <v>12769</v>
      </c>
      <c r="M1420" s="1" t="s">
        <v>12770</v>
      </c>
      <c r="N1420" s="423"/>
      <c r="O1420" s="1"/>
      <c r="P1420" s="3"/>
      <c r="Q1420" s="3"/>
      <c r="R1420" s="3"/>
      <c r="S1420" s="3"/>
      <c r="V1420" t="s">
        <v>5786</v>
      </c>
      <c r="AF1420" s="64"/>
      <c r="AH1420" s="4"/>
      <c r="AI1420" s="4"/>
      <c r="AJ1420" s="4"/>
      <c r="AK1420" s="46"/>
      <c r="AL1420" s="46"/>
      <c r="AM1420" s="4"/>
    </row>
    <row r="1421" spans="1:43" customFormat="1" x14ac:dyDescent="0.3">
      <c r="A1421" s="386" t="s">
        <v>1451</v>
      </c>
      <c r="B1421" t="s">
        <v>4838</v>
      </c>
      <c r="C1421" s="200" t="s">
        <v>12999</v>
      </c>
      <c r="D1421" t="s">
        <v>6838</v>
      </c>
      <c r="E1421" s="200" t="s">
        <v>13000</v>
      </c>
      <c r="F1421" t="s">
        <v>12811</v>
      </c>
      <c r="G1421" s="200" t="s">
        <v>13001</v>
      </c>
      <c r="H1421" t="s">
        <v>12812</v>
      </c>
      <c r="K1421" s="200" t="s">
        <v>13012</v>
      </c>
      <c r="L1421" t="s">
        <v>12771</v>
      </c>
      <c r="M1421" s="1" t="s">
        <v>12772</v>
      </c>
      <c r="N1421" s="423"/>
      <c r="O1421" s="1"/>
      <c r="P1421" s="3"/>
      <c r="Q1421" s="3"/>
      <c r="R1421" s="3"/>
      <c r="S1421" s="3"/>
      <c r="V1421" t="s">
        <v>12800</v>
      </c>
      <c r="AF1421" s="64"/>
      <c r="AH1421" s="4"/>
      <c r="AI1421" s="4"/>
      <c r="AJ1421" s="4"/>
      <c r="AK1421" s="46"/>
      <c r="AL1421" s="46"/>
      <c r="AM1421" s="4"/>
    </row>
    <row r="1422" spans="1:43" customFormat="1" x14ac:dyDescent="0.3">
      <c r="A1422" s="386" t="s">
        <v>1451</v>
      </c>
      <c r="B1422" t="s">
        <v>4838</v>
      </c>
      <c r="C1422" s="200" t="s">
        <v>12999</v>
      </c>
      <c r="D1422" t="s">
        <v>6838</v>
      </c>
      <c r="E1422" s="200" t="s">
        <v>13000</v>
      </c>
      <c r="F1422" t="s">
        <v>12811</v>
      </c>
      <c r="G1422" s="200" t="s">
        <v>13001</v>
      </c>
      <c r="H1422" t="s">
        <v>12812</v>
      </c>
      <c r="K1422" s="200" t="s">
        <v>13013</v>
      </c>
      <c r="L1422" t="s">
        <v>12773</v>
      </c>
      <c r="M1422" s="1" t="s">
        <v>12774</v>
      </c>
      <c r="N1422" s="423"/>
      <c r="O1422" s="1"/>
      <c r="P1422" s="3"/>
      <c r="Q1422" s="3"/>
      <c r="R1422" s="3"/>
      <c r="S1422" s="3"/>
      <c r="V1422" t="s">
        <v>12797</v>
      </c>
      <c r="AF1422" s="64"/>
      <c r="AH1422" s="4"/>
      <c r="AI1422" s="4"/>
      <c r="AJ1422" s="4"/>
      <c r="AK1422" s="46"/>
      <c r="AL1422" s="46"/>
      <c r="AM1422" s="4"/>
    </row>
    <row r="1423" spans="1:43" customFormat="1" x14ac:dyDescent="0.3">
      <c r="A1423" s="386" t="s">
        <v>1451</v>
      </c>
      <c r="B1423" t="s">
        <v>4838</v>
      </c>
      <c r="C1423" s="200" t="s">
        <v>12999</v>
      </c>
      <c r="D1423" t="s">
        <v>6838</v>
      </c>
      <c r="E1423" s="200" t="s">
        <v>13000</v>
      </c>
      <c r="F1423" t="s">
        <v>12811</v>
      </c>
      <c r="G1423" s="200" t="s">
        <v>13001</v>
      </c>
      <c r="H1423" t="s">
        <v>12812</v>
      </c>
      <c r="K1423" s="200" t="s">
        <v>13014</v>
      </c>
      <c r="L1423" t="s">
        <v>12775</v>
      </c>
      <c r="M1423" s="1" t="s">
        <v>12776</v>
      </c>
      <c r="N1423" s="423"/>
      <c r="O1423" s="1"/>
      <c r="P1423" s="3"/>
      <c r="Q1423" s="3"/>
      <c r="R1423" s="3"/>
      <c r="S1423" s="3"/>
      <c r="V1423" t="s">
        <v>12798</v>
      </c>
      <c r="AF1423" s="64"/>
      <c r="AH1423" s="4"/>
      <c r="AI1423" s="4"/>
      <c r="AJ1423" s="4"/>
      <c r="AK1423" s="46"/>
      <c r="AL1423" s="46"/>
      <c r="AM1423" s="4"/>
    </row>
    <row r="1424" spans="1:43" customFormat="1" x14ac:dyDescent="0.3">
      <c r="A1424" s="386" t="s">
        <v>1451</v>
      </c>
      <c r="B1424" t="s">
        <v>4838</v>
      </c>
      <c r="C1424" s="200" t="s">
        <v>12999</v>
      </c>
      <c r="D1424" t="s">
        <v>6838</v>
      </c>
      <c r="E1424" s="200" t="s">
        <v>13000</v>
      </c>
      <c r="F1424" t="s">
        <v>12811</v>
      </c>
      <c r="G1424" s="200" t="s">
        <v>13001</v>
      </c>
      <c r="H1424" t="s">
        <v>12812</v>
      </c>
      <c r="K1424" s="200" t="s">
        <v>13015</v>
      </c>
      <c r="L1424" t="s">
        <v>12777</v>
      </c>
      <c r="M1424" s="1" t="s">
        <v>12778</v>
      </c>
      <c r="N1424" s="423"/>
      <c r="O1424" s="1"/>
      <c r="P1424" s="3"/>
      <c r="Q1424" s="3"/>
      <c r="R1424" s="3"/>
      <c r="S1424" s="3"/>
      <c r="V1424" t="s">
        <v>5789</v>
      </c>
      <c r="AF1424" s="64"/>
      <c r="AH1424" s="4"/>
      <c r="AI1424" s="4"/>
      <c r="AJ1424" s="4"/>
      <c r="AK1424" s="46"/>
      <c r="AL1424" s="46"/>
      <c r="AM1424" s="4"/>
    </row>
    <row r="1425" spans="1:42" customFormat="1" x14ac:dyDescent="0.3">
      <c r="A1425" s="386" t="s">
        <v>1451</v>
      </c>
      <c r="B1425" t="s">
        <v>4838</v>
      </c>
      <c r="C1425" s="200" t="s">
        <v>12999</v>
      </c>
      <c r="D1425" t="s">
        <v>6838</v>
      </c>
      <c r="E1425" s="200" t="s">
        <v>13000</v>
      </c>
      <c r="F1425" t="s">
        <v>12811</v>
      </c>
      <c r="G1425" s="200" t="s">
        <v>13001</v>
      </c>
      <c r="H1425" t="s">
        <v>12812</v>
      </c>
      <c r="K1425" s="200" t="s">
        <v>13016</v>
      </c>
      <c r="L1425" t="s">
        <v>12779</v>
      </c>
      <c r="M1425" s="1" t="s">
        <v>12780</v>
      </c>
      <c r="N1425" s="423"/>
      <c r="O1425" s="1"/>
      <c r="P1425" s="3"/>
      <c r="Q1425" s="3"/>
      <c r="R1425" s="3"/>
      <c r="S1425" s="3"/>
      <c r="V1425" t="s">
        <v>12799</v>
      </c>
      <c r="AF1425" s="64"/>
      <c r="AH1425" s="4"/>
      <c r="AI1425" s="4"/>
      <c r="AJ1425" s="4"/>
      <c r="AK1425" s="46"/>
      <c r="AL1425" s="46"/>
      <c r="AM1425" s="4"/>
    </row>
    <row r="1426" spans="1:42" customFormat="1" x14ac:dyDescent="0.3">
      <c r="A1426" s="386" t="s">
        <v>1451</v>
      </c>
      <c r="B1426" t="s">
        <v>4838</v>
      </c>
      <c r="C1426" s="200" t="s">
        <v>12999</v>
      </c>
      <c r="D1426" t="s">
        <v>6838</v>
      </c>
      <c r="E1426" s="200" t="s">
        <v>13000</v>
      </c>
      <c r="F1426" t="s">
        <v>12811</v>
      </c>
      <c r="G1426" s="200" t="s">
        <v>13001</v>
      </c>
      <c r="H1426" t="s">
        <v>12812</v>
      </c>
      <c r="K1426" s="200" t="s">
        <v>13017</v>
      </c>
      <c r="L1426" t="s">
        <v>12806</v>
      </c>
      <c r="M1426" s="1" t="s">
        <v>12781</v>
      </c>
      <c r="N1426" s="423"/>
      <c r="O1426" s="1"/>
      <c r="P1426" s="3"/>
      <c r="Q1426" s="3"/>
      <c r="R1426" s="3"/>
      <c r="S1426" s="3"/>
      <c r="V1426" t="s">
        <v>12805</v>
      </c>
      <c r="AF1426" s="64"/>
      <c r="AH1426" s="4"/>
      <c r="AI1426" s="4"/>
      <c r="AJ1426" s="4"/>
      <c r="AK1426" s="46"/>
      <c r="AL1426" s="46"/>
      <c r="AM1426" s="4"/>
    </row>
    <row r="1427" spans="1:42" customFormat="1" x14ac:dyDescent="0.3">
      <c r="A1427" s="386" t="s">
        <v>1451</v>
      </c>
      <c r="B1427" t="s">
        <v>4838</v>
      </c>
      <c r="C1427" s="200" t="s">
        <v>12999</v>
      </c>
      <c r="D1427" t="s">
        <v>6838</v>
      </c>
      <c r="E1427" s="200" t="s">
        <v>13000</v>
      </c>
      <c r="F1427" t="s">
        <v>12811</v>
      </c>
      <c r="G1427" s="200" t="s">
        <v>13001</v>
      </c>
      <c r="H1427" t="s">
        <v>12812</v>
      </c>
      <c r="K1427" s="200" t="s">
        <v>13018</v>
      </c>
      <c r="L1427" t="s">
        <v>12782</v>
      </c>
      <c r="M1427" s="1"/>
      <c r="N1427" s="423"/>
      <c r="O1427" s="1"/>
      <c r="P1427" s="3"/>
      <c r="Q1427" s="3"/>
      <c r="R1427" s="3"/>
      <c r="S1427" s="3"/>
      <c r="V1427" t="s">
        <v>12782</v>
      </c>
      <c r="AF1427" s="64"/>
      <c r="AH1427" s="4"/>
      <c r="AI1427" s="4"/>
      <c r="AJ1427" s="4"/>
      <c r="AK1427" s="46"/>
      <c r="AL1427" s="46"/>
      <c r="AM1427" s="4"/>
    </row>
    <row r="1428" spans="1:42" customFormat="1" x14ac:dyDescent="0.3">
      <c r="A1428" s="386" t="s">
        <v>1451</v>
      </c>
      <c r="B1428" t="s">
        <v>4838</v>
      </c>
      <c r="C1428" s="200" t="s">
        <v>12999</v>
      </c>
      <c r="D1428" t="s">
        <v>6838</v>
      </c>
      <c r="E1428" s="200" t="s">
        <v>13000</v>
      </c>
      <c r="F1428" t="s">
        <v>12811</v>
      </c>
      <c r="G1428" s="200" t="s">
        <v>13001</v>
      </c>
      <c r="H1428" t="s">
        <v>12812</v>
      </c>
      <c r="K1428" s="200" t="s">
        <v>13002</v>
      </c>
      <c r="L1428" t="s">
        <v>12783</v>
      </c>
      <c r="M1428" s="1" t="s">
        <v>12784</v>
      </c>
      <c r="N1428" s="423"/>
      <c r="O1428" s="1"/>
      <c r="P1428" s="3"/>
      <c r="Q1428" s="3"/>
      <c r="R1428" s="3"/>
      <c r="S1428" s="3"/>
      <c r="V1428" t="s">
        <v>12783</v>
      </c>
      <c r="AF1428" s="64"/>
      <c r="AH1428" s="4"/>
      <c r="AI1428" s="4"/>
      <c r="AJ1428" s="4"/>
      <c r="AK1428" s="46"/>
      <c r="AL1428" s="46"/>
      <c r="AM1428" s="4"/>
    </row>
    <row r="1429" spans="1:42" customFormat="1" x14ac:dyDescent="0.3">
      <c r="A1429" s="386" t="s">
        <v>1451</v>
      </c>
      <c r="B1429" t="s">
        <v>4838</v>
      </c>
      <c r="C1429" s="200" t="s">
        <v>12999</v>
      </c>
      <c r="D1429" t="s">
        <v>6838</v>
      </c>
      <c r="E1429" s="200" t="s">
        <v>13000</v>
      </c>
      <c r="F1429" t="s">
        <v>12811</v>
      </c>
      <c r="G1429" s="200" t="s">
        <v>13001</v>
      </c>
      <c r="H1429" t="s">
        <v>12812</v>
      </c>
      <c r="K1429" s="200" t="s">
        <v>13002</v>
      </c>
      <c r="L1429" t="s">
        <v>12785</v>
      </c>
      <c r="M1429" s="1" t="s">
        <v>12786</v>
      </c>
      <c r="N1429" s="423"/>
      <c r="O1429" s="1"/>
      <c r="P1429" s="3"/>
      <c r="Q1429" s="3"/>
      <c r="R1429" s="3"/>
      <c r="S1429" s="3"/>
      <c r="V1429" t="s">
        <v>12801</v>
      </c>
      <c r="AF1429" s="64"/>
      <c r="AH1429" s="4"/>
      <c r="AI1429" s="4"/>
      <c r="AJ1429" s="4"/>
      <c r="AK1429" s="46"/>
      <c r="AL1429" s="46"/>
      <c r="AM1429" s="4"/>
    </row>
    <row r="1430" spans="1:42" customFormat="1" x14ac:dyDescent="0.3">
      <c r="A1430" s="386" t="s">
        <v>1451</v>
      </c>
      <c r="B1430" t="s">
        <v>4838</v>
      </c>
      <c r="C1430" s="200" t="s">
        <v>12999</v>
      </c>
      <c r="D1430" t="s">
        <v>6838</v>
      </c>
      <c r="E1430" s="200" t="s">
        <v>13000</v>
      </c>
      <c r="F1430" t="s">
        <v>12811</v>
      </c>
      <c r="G1430" s="200" t="s">
        <v>13001</v>
      </c>
      <c r="H1430" t="s">
        <v>12812</v>
      </c>
      <c r="K1430" s="200" t="s">
        <v>13019</v>
      </c>
      <c r="L1430" t="s">
        <v>12787</v>
      </c>
      <c r="M1430" s="1" t="s">
        <v>12788</v>
      </c>
      <c r="N1430" s="423"/>
      <c r="O1430" s="1"/>
      <c r="P1430" s="3"/>
      <c r="Q1430" s="3"/>
      <c r="R1430" s="3"/>
      <c r="S1430" s="3"/>
      <c r="V1430" t="s">
        <v>12802</v>
      </c>
      <c r="AF1430" s="64"/>
      <c r="AH1430" s="4"/>
      <c r="AI1430" s="4"/>
      <c r="AJ1430" s="4"/>
      <c r="AK1430" s="46"/>
      <c r="AL1430" s="46"/>
      <c r="AM1430" s="4"/>
    </row>
    <row r="1431" spans="1:42" customFormat="1" x14ac:dyDescent="0.3">
      <c r="A1431" s="386" t="s">
        <v>1451</v>
      </c>
      <c r="B1431" t="s">
        <v>4838</v>
      </c>
      <c r="C1431" s="200" t="s">
        <v>12999</v>
      </c>
      <c r="D1431" t="s">
        <v>6838</v>
      </c>
      <c r="E1431" s="200" t="s">
        <v>13000</v>
      </c>
      <c r="F1431" t="s">
        <v>12811</v>
      </c>
      <c r="G1431" s="200" t="s">
        <v>13001</v>
      </c>
      <c r="H1431" t="s">
        <v>12812</v>
      </c>
      <c r="K1431" s="200" t="s">
        <v>13020</v>
      </c>
      <c r="L1431" t="s">
        <v>12789</v>
      </c>
      <c r="M1431" s="1" t="s">
        <v>12790</v>
      </c>
      <c r="N1431" s="423"/>
      <c r="O1431" s="1"/>
      <c r="P1431" s="3"/>
      <c r="Q1431" s="3"/>
      <c r="R1431" s="3"/>
      <c r="S1431" s="3"/>
      <c r="V1431" t="s">
        <v>12803</v>
      </c>
      <c r="AF1431" s="64"/>
      <c r="AH1431" s="4"/>
      <c r="AI1431" s="4"/>
      <c r="AJ1431" s="4"/>
      <c r="AK1431" s="46"/>
      <c r="AL1431" s="46"/>
      <c r="AM1431" s="4"/>
    </row>
    <row r="1432" spans="1:42" customFormat="1" x14ac:dyDescent="0.3">
      <c r="A1432" s="386" t="s">
        <v>1451</v>
      </c>
      <c r="B1432" t="s">
        <v>4838</v>
      </c>
      <c r="C1432" s="200" t="s">
        <v>12999</v>
      </c>
      <c r="D1432" t="s">
        <v>6838</v>
      </c>
      <c r="E1432" s="200" t="s">
        <v>13000</v>
      </c>
      <c r="F1432" t="s">
        <v>12811</v>
      </c>
      <c r="G1432" s="200" t="s">
        <v>13001</v>
      </c>
      <c r="H1432" t="s">
        <v>12812</v>
      </c>
      <c r="K1432" s="200" t="s">
        <v>13021</v>
      </c>
      <c r="L1432" t="s">
        <v>12791</v>
      </c>
      <c r="M1432" s="1" t="s">
        <v>12807</v>
      </c>
      <c r="N1432" s="423"/>
      <c r="O1432" s="1"/>
      <c r="P1432" s="3"/>
      <c r="Q1432" s="3"/>
      <c r="R1432" s="3"/>
      <c r="S1432" s="3"/>
      <c r="V1432" t="s">
        <v>12804</v>
      </c>
      <c r="AF1432" s="64"/>
      <c r="AH1432" s="4"/>
      <c r="AI1432" s="4"/>
      <c r="AJ1432" s="4"/>
      <c r="AK1432" s="46"/>
      <c r="AL1432" s="46"/>
      <c r="AM1432" s="4"/>
    </row>
    <row r="1433" spans="1:42" s="53" customFormat="1" x14ac:dyDescent="0.3">
      <c r="A1433" s="50" t="s">
        <v>8317</v>
      </c>
      <c r="B1433" s="51" t="s">
        <v>8318</v>
      </c>
      <c r="C1433" s="50" t="s">
        <v>8329</v>
      </c>
      <c r="D1433" s="51" t="s">
        <v>1491</v>
      </c>
      <c r="E1433" s="50" t="s">
        <v>8329</v>
      </c>
      <c r="F1433" s="51" t="s">
        <v>1493</v>
      </c>
      <c r="G1433" s="50" t="s">
        <v>8329</v>
      </c>
      <c r="H1433" s="51" t="s">
        <v>1491</v>
      </c>
      <c r="I1433" s="51"/>
      <c r="J1433" s="51"/>
      <c r="K1433" s="50" t="s">
        <v>8329</v>
      </c>
      <c r="L1433" s="51" t="s">
        <v>1491</v>
      </c>
      <c r="M1433" s="420" t="s">
        <v>271</v>
      </c>
      <c r="N1433" s="420" t="s">
        <v>271</v>
      </c>
      <c r="O1433" s="420" t="s">
        <v>271</v>
      </c>
      <c r="P1433" s="60" t="s">
        <v>271</v>
      </c>
      <c r="Q1433" s="60" t="s">
        <v>271</v>
      </c>
      <c r="R1433" s="60" t="s">
        <v>271</v>
      </c>
      <c r="S1433" s="60" t="s">
        <v>271</v>
      </c>
      <c r="T1433" s="60" t="s">
        <v>271</v>
      </c>
      <c r="U1433" s="60" t="s">
        <v>271</v>
      </c>
      <c r="V1433" s="51" t="s">
        <v>1489</v>
      </c>
      <c r="W1433" s="54"/>
      <c r="X1433" s="54"/>
      <c r="Y1433" s="54"/>
      <c r="Z1433" s="54"/>
      <c r="AA1433" s="54"/>
      <c r="AB1433" s="54"/>
      <c r="AC1433" s="54"/>
      <c r="AD1433" s="54"/>
      <c r="AE1433" s="55"/>
      <c r="AF1433" s="56"/>
      <c r="AG1433" s="55"/>
      <c r="AH1433" s="56"/>
      <c r="AI1433" s="56"/>
      <c r="AJ1433" s="56"/>
      <c r="AK1433" s="57">
        <v>25.2</v>
      </c>
      <c r="AL1433" s="57">
        <v>25.2</v>
      </c>
      <c r="AM1433" s="147">
        <f t="shared" ref="AM1433:AM1496" si="59">SUM(AK1433:AL1433)</f>
        <v>50.4</v>
      </c>
      <c r="AN1433" s="52"/>
      <c r="AO1433" s="52"/>
      <c r="AP1433" s="51"/>
    </row>
    <row r="1434" spans="1:42" s="53" customFormat="1" x14ac:dyDescent="0.3">
      <c r="A1434" s="50" t="s">
        <v>8317</v>
      </c>
      <c r="B1434" s="51" t="s">
        <v>8318</v>
      </c>
      <c r="C1434" s="50" t="s">
        <v>8329</v>
      </c>
      <c r="D1434" s="51" t="s">
        <v>1491</v>
      </c>
      <c r="E1434" s="50" t="s">
        <v>8329</v>
      </c>
      <c r="F1434" s="51" t="s">
        <v>1493</v>
      </c>
      <c r="G1434" s="50" t="s">
        <v>8329</v>
      </c>
      <c r="H1434" s="51" t="s">
        <v>1491</v>
      </c>
      <c r="I1434" s="51"/>
      <c r="J1434" s="51"/>
      <c r="K1434" s="50" t="s">
        <v>8329</v>
      </c>
      <c r="L1434" s="51" t="s">
        <v>1491</v>
      </c>
      <c r="M1434" s="420" t="s">
        <v>271</v>
      </c>
      <c r="N1434" s="420" t="s">
        <v>271</v>
      </c>
      <c r="O1434" s="420" t="s">
        <v>271</v>
      </c>
      <c r="P1434" s="60" t="s">
        <v>271</v>
      </c>
      <c r="Q1434" s="60" t="s">
        <v>271</v>
      </c>
      <c r="R1434" s="60" t="s">
        <v>271</v>
      </c>
      <c r="S1434" s="60" t="s">
        <v>271</v>
      </c>
      <c r="T1434" s="60" t="s">
        <v>271</v>
      </c>
      <c r="U1434" s="60" t="s">
        <v>271</v>
      </c>
      <c r="V1434" s="51" t="s">
        <v>1490</v>
      </c>
      <c r="W1434" s="54"/>
      <c r="X1434" s="54"/>
      <c r="Y1434" s="54"/>
      <c r="Z1434" s="54"/>
      <c r="AA1434" s="54"/>
      <c r="AB1434" s="54"/>
      <c r="AC1434" s="54"/>
      <c r="AD1434" s="54"/>
      <c r="AE1434" s="55"/>
      <c r="AF1434" s="56"/>
      <c r="AG1434" s="55"/>
      <c r="AH1434" s="56"/>
      <c r="AI1434" s="56"/>
      <c r="AJ1434" s="56"/>
      <c r="AK1434" s="57">
        <v>10.08</v>
      </c>
      <c r="AL1434" s="57">
        <v>10.08</v>
      </c>
      <c r="AM1434" s="147">
        <f t="shared" si="59"/>
        <v>20.16</v>
      </c>
      <c r="AN1434" s="52"/>
      <c r="AO1434" s="52"/>
      <c r="AP1434" s="51"/>
    </row>
    <row r="1435" spans="1:42" s="53" customFormat="1" x14ac:dyDescent="0.3">
      <c r="A1435" s="50" t="s">
        <v>8317</v>
      </c>
      <c r="B1435" s="51" t="s">
        <v>8318</v>
      </c>
      <c r="C1435" s="50" t="s">
        <v>8329</v>
      </c>
      <c r="D1435" s="51" t="s">
        <v>1491</v>
      </c>
      <c r="E1435" s="50" t="s">
        <v>8329</v>
      </c>
      <c r="F1435" s="51" t="s">
        <v>1493</v>
      </c>
      <c r="G1435" s="50" t="s">
        <v>8329</v>
      </c>
      <c r="H1435" s="51" t="s">
        <v>1491</v>
      </c>
      <c r="I1435" s="51"/>
      <c r="J1435" s="51"/>
      <c r="K1435" s="50" t="s">
        <v>8329</v>
      </c>
      <c r="L1435" s="51" t="s">
        <v>1491</v>
      </c>
      <c r="M1435" s="420" t="s">
        <v>271</v>
      </c>
      <c r="N1435" s="420" t="s">
        <v>271</v>
      </c>
      <c r="O1435" s="420" t="s">
        <v>271</v>
      </c>
      <c r="P1435" s="60" t="s">
        <v>271</v>
      </c>
      <c r="Q1435" s="60" t="s">
        <v>271</v>
      </c>
      <c r="R1435" s="60" t="s">
        <v>271</v>
      </c>
      <c r="S1435" s="60" t="s">
        <v>271</v>
      </c>
      <c r="T1435" s="60" t="s">
        <v>271</v>
      </c>
      <c r="U1435" s="60" t="s">
        <v>271</v>
      </c>
      <c r="V1435" s="51" t="s">
        <v>1495</v>
      </c>
      <c r="W1435" s="54"/>
      <c r="X1435" s="54"/>
      <c r="Y1435" s="54"/>
      <c r="Z1435" s="54"/>
      <c r="AA1435" s="54"/>
      <c r="AB1435" s="54"/>
      <c r="AC1435" s="54"/>
      <c r="AD1435" s="54"/>
      <c r="AE1435" s="55"/>
      <c r="AF1435" s="56"/>
      <c r="AG1435" s="55"/>
      <c r="AH1435" s="56"/>
      <c r="AI1435" s="56"/>
      <c r="AJ1435" s="56"/>
      <c r="AK1435" s="57">
        <v>923.81817717901504</v>
      </c>
      <c r="AL1435" s="57">
        <v>960.57601544399995</v>
      </c>
      <c r="AM1435" s="147">
        <f t="shared" si="59"/>
        <v>1884.394192623015</v>
      </c>
      <c r="AN1435" s="52"/>
      <c r="AO1435" s="52"/>
      <c r="AP1435" s="51"/>
    </row>
    <row r="1436" spans="1:42" s="10" customFormat="1" x14ac:dyDescent="0.3">
      <c r="A1436" s="367" t="s">
        <v>8317</v>
      </c>
      <c r="B1436" s="10" t="s">
        <v>8318</v>
      </c>
      <c r="C1436" s="368" t="s">
        <v>8330</v>
      </c>
      <c r="D1436" s="10" t="s">
        <v>8331</v>
      </c>
      <c r="E1436" s="10" t="s">
        <v>8332</v>
      </c>
      <c r="F1436" s="10" t="s">
        <v>8333</v>
      </c>
      <c r="G1436" s="10" t="s">
        <v>8334</v>
      </c>
      <c r="H1436" s="10" t="s">
        <v>8335</v>
      </c>
      <c r="K1436" s="10" t="s">
        <v>8336</v>
      </c>
      <c r="L1436" s="10" t="s">
        <v>8337</v>
      </c>
      <c r="M1436" s="18" t="s">
        <v>8338</v>
      </c>
      <c r="N1436" s="18">
        <v>0</v>
      </c>
      <c r="O1436" s="18">
        <v>260</v>
      </c>
      <c r="P1436" s="16">
        <v>47.5</v>
      </c>
      <c r="Q1436" s="16">
        <v>160.5</v>
      </c>
      <c r="R1436" s="16">
        <v>253.4</v>
      </c>
      <c r="S1436" s="16">
        <v>558.20000000000005</v>
      </c>
      <c r="T1436" s="10" t="s">
        <v>8339</v>
      </c>
      <c r="U1436" t="e">
        <f>VLOOKUP(T1436,[8]Votes!$A$1:$E$234,3,FALSE)</f>
        <v>#N/A</v>
      </c>
      <c r="V1436" s="10" t="s">
        <v>8340</v>
      </c>
      <c r="W1436" s="369">
        <v>1</v>
      </c>
      <c r="X1436" s="369">
        <v>1</v>
      </c>
      <c r="Y1436" s="369">
        <v>1</v>
      </c>
      <c r="Z1436" s="369">
        <v>0</v>
      </c>
      <c r="AA1436" s="369">
        <v>1</v>
      </c>
      <c r="AB1436" s="369">
        <v>1</v>
      </c>
      <c r="AC1436" s="369">
        <v>1</v>
      </c>
      <c r="AD1436" s="369">
        <v>1</v>
      </c>
      <c r="AE1436" s="49">
        <f t="shared" ref="AE1436:AE1499" si="60">SUM(W1436:AD1436)/8</f>
        <v>0.875</v>
      </c>
      <c r="AF1436" s="44">
        <v>1</v>
      </c>
      <c r="AG1436" s="17">
        <v>0</v>
      </c>
      <c r="AH1436" s="44">
        <v>113.130087921835</v>
      </c>
      <c r="AI1436" s="44">
        <v>141.08283442952143</v>
      </c>
      <c r="AJ1436" s="44">
        <v>116.607077648643</v>
      </c>
      <c r="AK1436" s="151">
        <v>13.63</v>
      </c>
      <c r="AL1436" s="151">
        <v>13.63</v>
      </c>
      <c r="AM1436" s="147">
        <f t="shared" si="59"/>
        <v>27.26</v>
      </c>
      <c r="AN1436" s="44" t="s">
        <v>8341</v>
      </c>
      <c r="AO1436" s="18" t="s">
        <v>1037</v>
      </c>
      <c r="AP1436" t="s">
        <v>119</v>
      </c>
    </row>
    <row r="1437" spans="1:42" s="10" customFormat="1" x14ac:dyDescent="0.3">
      <c r="A1437" s="367" t="s">
        <v>8317</v>
      </c>
      <c r="B1437" s="10" t="s">
        <v>8318</v>
      </c>
      <c r="C1437" s="368" t="s">
        <v>8330</v>
      </c>
      <c r="D1437" s="10" t="s">
        <v>8331</v>
      </c>
      <c r="E1437" s="10" t="s">
        <v>8332</v>
      </c>
      <c r="F1437" s="10" t="s">
        <v>8333</v>
      </c>
      <c r="G1437" s="10" t="s">
        <v>8334</v>
      </c>
      <c r="H1437" s="10" t="s">
        <v>8335</v>
      </c>
      <c r="K1437" s="10" t="s">
        <v>8336</v>
      </c>
      <c r="L1437" s="10" t="s">
        <v>8337</v>
      </c>
      <c r="M1437" s="18" t="s">
        <v>8342</v>
      </c>
      <c r="N1437" s="18">
        <v>0</v>
      </c>
      <c r="O1437" s="18">
        <v>0</v>
      </c>
      <c r="P1437" s="16">
        <v>0</v>
      </c>
      <c r="Q1437" s="16">
        <v>0</v>
      </c>
      <c r="R1437" s="16">
        <v>1429</v>
      </c>
      <c r="S1437" s="16">
        <v>1949</v>
      </c>
      <c r="T1437" s="10" t="s">
        <v>8339</v>
      </c>
      <c r="U1437" t="e">
        <f>VLOOKUP(T1437,[8]Votes!$A$1:$E$234,3,FALSE)</f>
        <v>#N/A</v>
      </c>
      <c r="V1437" t="s">
        <v>8343</v>
      </c>
      <c r="W1437" s="369">
        <v>1</v>
      </c>
      <c r="X1437" s="369">
        <v>1</v>
      </c>
      <c r="Y1437" s="369">
        <v>1</v>
      </c>
      <c r="Z1437" s="369">
        <v>0</v>
      </c>
      <c r="AA1437" s="369">
        <v>1</v>
      </c>
      <c r="AB1437" s="369">
        <v>1</v>
      </c>
      <c r="AC1437" s="369">
        <v>1</v>
      </c>
      <c r="AD1437" s="369">
        <v>1</v>
      </c>
      <c r="AE1437" s="49">
        <f t="shared" si="60"/>
        <v>0.875</v>
      </c>
      <c r="AF1437" s="17">
        <v>1</v>
      </c>
      <c r="AG1437" s="17">
        <v>0</v>
      </c>
      <c r="AH1437" s="17">
        <v>0</v>
      </c>
      <c r="AI1437" s="17">
        <v>0</v>
      </c>
      <c r="AJ1437" s="17">
        <v>0</v>
      </c>
      <c r="AK1437" s="154">
        <v>5</v>
      </c>
      <c r="AL1437" s="154">
        <v>5</v>
      </c>
      <c r="AM1437" s="147">
        <f t="shared" si="59"/>
        <v>10</v>
      </c>
      <c r="AN1437" s="44" t="s">
        <v>8341</v>
      </c>
      <c r="AO1437" s="18" t="s">
        <v>1037</v>
      </c>
      <c r="AP1437" t="s">
        <v>119</v>
      </c>
    </row>
    <row r="1438" spans="1:42" s="10" customFormat="1" x14ac:dyDescent="0.3">
      <c r="A1438" s="367" t="s">
        <v>8317</v>
      </c>
      <c r="B1438" s="10" t="s">
        <v>8318</v>
      </c>
      <c r="C1438" s="368" t="s">
        <v>8330</v>
      </c>
      <c r="D1438" s="10" t="s">
        <v>8331</v>
      </c>
      <c r="E1438" s="10" t="s">
        <v>8332</v>
      </c>
      <c r="F1438" s="10" t="s">
        <v>8333</v>
      </c>
      <c r="G1438" s="10" t="s">
        <v>8334</v>
      </c>
      <c r="H1438" s="10" t="s">
        <v>8335</v>
      </c>
      <c r="K1438" s="10" t="s">
        <v>8336</v>
      </c>
      <c r="L1438" s="10" t="s">
        <v>8337</v>
      </c>
      <c r="M1438" s="18"/>
      <c r="N1438" s="18"/>
      <c r="O1438" s="18"/>
      <c r="P1438" s="16"/>
      <c r="Q1438" s="16"/>
      <c r="R1438" s="16"/>
      <c r="S1438" s="16"/>
      <c r="U1438" t="e">
        <f>VLOOKUP(T1438,[8]Votes!$A$1:$E$234,3,FALSE)</f>
        <v>#N/A</v>
      </c>
      <c r="V1438" t="s">
        <v>8344</v>
      </c>
      <c r="W1438" s="369">
        <v>1</v>
      </c>
      <c r="X1438" s="369">
        <v>1</v>
      </c>
      <c r="Y1438" s="369">
        <v>1</v>
      </c>
      <c r="Z1438" s="369">
        <v>1</v>
      </c>
      <c r="AA1438" s="369">
        <v>1</v>
      </c>
      <c r="AB1438" s="369">
        <v>1</v>
      </c>
      <c r="AC1438" s="369">
        <v>1</v>
      </c>
      <c r="AD1438" s="369">
        <v>1</v>
      </c>
      <c r="AE1438" s="49">
        <f t="shared" si="60"/>
        <v>1</v>
      </c>
      <c r="AF1438" s="17">
        <v>1</v>
      </c>
      <c r="AG1438" s="17">
        <v>0</v>
      </c>
      <c r="AH1438" s="17">
        <v>0</v>
      </c>
      <c r="AI1438" s="17">
        <v>0</v>
      </c>
      <c r="AJ1438" s="17">
        <v>0</v>
      </c>
      <c r="AK1438" s="154">
        <v>1</v>
      </c>
      <c r="AL1438" s="154">
        <v>1</v>
      </c>
      <c r="AM1438" s="147">
        <f t="shared" si="59"/>
        <v>2</v>
      </c>
      <c r="AN1438" s="44" t="s">
        <v>8341</v>
      </c>
      <c r="AO1438" s="18" t="s">
        <v>1037</v>
      </c>
      <c r="AP1438" t="s">
        <v>119</v>
      </c>
    </row>
    <row r="1439" spans="1:42" s="10" customFormat="1" x14ac:dyDescent="0.3">
      <c r="A1439" s="367" t="s">
        <v>8317</v>
      </c>
      <c r="B1439" s="10" t="s">
        <v>8318</v>
      </c>
      <c r="C1439" s="368" t="s">
        <v>8330</v>
      </c>
      <c r="D1439" s="10" t="s">
        <v>8331</v>
      </c>
      <c r="E1439" s="10" t="s">
        <v>8332</v>
      </c>
      <c r="F1439" s="10" t="s">
        <v>8333</v>
      </c>
      <c r="G1439" s="10" t="s">
        <v>8334</v>
      </c>
      <c r="H1439" s="10" t="s">
        <v>8335</v>
      </c>
      <c r="K1439" s="10" t="s">
        <v>8336</v>
      </c>
      <c r="L1439" s="10" t="s">
        <v>8337</v>
      </c>
      <c r="M1439" s="18"/>
      <c r="N1439" s="18"/>
      <c r="O1439" s="18"/>
      <c r="P1439" s="16"/>
      <c r="Q1439" s="16"/>
      <c r="R1439" s="16"/>
      <c r="S1439" s="16"/>
      <c r="U1439" t="e">
        <f>VLOOKUP(T1439,[8]Votes!$A$1:$E$234,3,FALSE)</f>
        <v>#N/A</v>
      </c>
      <c r="V1439" t="s">
        <v>8345</v>
      </c>
      <c r="W1439" s="369">
        <v>1</v>
      </c>
      <c r="X1439" s="369">
        <v>1</v>
      </c>
      <c r="Y1439" s="369">
        <v>0</v>
      </c>
      <c r="Z1439" s="369">
        <v>0</v>
      </c>
      <c r="AA1439" s="369">
        <v>1</v>
      </c>
      <c r="AB1439" s="369">
        <v>1</v>
      </c>
      <c r="AC1439" s="369">
        <v>0</v>
      </c>
      <c r="AD1439" s="369">
        <v>1</v>
      </c>
      <c r="AE1439" s="49">
        <f t="shared" si="60"/>
        <v>0.625</v>
      </c>
      <c r="AF1439" s="17">
        <v>1</v>
      </c>
      <c r="AG1439" s="17">
        <v>0</v>
      </c>
      <c r="AH1439" s="17">
        <v>0</v>
      </c>
      <c r="AI1439" s="17">
        <v>0</v>
      </c>
      <c r="AJ1439" s="17">
        <v>0</v>
      </c>
      <c r="AK1439" s="154">
        <v>2</v>
      </c>
      <c r="AL1439" s="154">
        <v>2</v>
      </c>
      <c r="AM1439" s="147">
        <f t="shared" si="59"/>
        <v>4</v>
      </c>
      <c r="AN1439" s="44" t="s">
        <v>8341</v>
      </c>
      <c r="AO1439" s="18" t="s">
        <v>1037</v>
      </c>
      <c r="AP1439" t="s">
        <v>119</v>
      </c>
    </row>
    <row r="1440" spans="1:42" s="10" customFormat="1" x14ac:dyDescent="0.3">
      <c r="A1440" s="367" t="s">
        <v>8317</v>
      </c>
      <c r="B1440" s="10" t="s">
        <v>8318</v>
      </c>
      <c r="C1440" s="368" t="s">
        <v>8330</v>
      </c>
      <c r="D1440" s="10" t="s">
        <v>8331</v>
      </c>
      <c r="E1440" s="10" t="s">
        <v>8332</v>
      </c>
      <c r="F1440" s="10" t="s">
        <v>8333</v>
      </c>
      <c r="G1440" s="10" t="s">
        <v>8334</v>
      </c>
      <c r="H1440" s="10" t="s">
        <v>8335</v>
      </c>
      <c r="K1440" s="10" t="s">
        <v>8336</v>
      </c>
      <c r="L1440" s="10" t="s">
        <v>8337</v>
      </c>
      <c r="M1440" s="18"/>
      <c r="N1440" s="18"/>
      <c r="O1440" s="18"/>
      <c r="P1440" s="16"/>
      <c r="Q1440" s="16"/>
      <c r="R1440" s="16"/>
      <c r="S1440" s="16"/>
      <c r="U1440" t="e">
        <f>VLOOKUP(T1440,[8]Votes!$A$1:$E$234,3,FALSE)</f>
        <v>#N/A</v>
      </c>
      <c r="V1440" t="s">
        <v>8346</v>
      </c>
      <c r="W1440" s="369">
        <v>1</v>
      </c>
      <c r="X1440" s="369">
        <v>1</v>
      </c>
      <c r="Y1440" s="369">
        <v>0</v>
      </c>
      <c r="Z1440" s="369">
        <v>0</v>
      </c>
      <c r="AA1440" s="369">
        <v>1</v>
      </c>
      <c r="AB1440" s="369">
        <v>1</v>
      </c>
      <c r="AC1440" s="369">
        <v>0</v>
      </c>
      <c r="AD1440" s="369">
        <v>1</v>
      </c>
      <c r="AE1440" s="49">
        <f t="shared" si="60"/>
        <v>0.625</v>
      </c>
      <c r="AF1440" s="17"/>
      <c r="AG1440" s="17">
        <v>0</v>
      </c>
      <c r="AH1440" s="17">
        <v>0</v>
      </c>
      <c r="AI1440" s="17">
        <v>0</v>
      </c>
      <c r="AJ1440" s="17">
        <v>0</v>
      </c>
      <c r="AK1440" s="154"/>
      <c r="AL1440" s="154"/>
      <c r="AM1440" s="147">
        <f t="shared" si="59"/>
        <v>0</v>
      </c>
      <c r="AN1440" s="44" t="s">
        <v>771</v>
      </c>
      <c r="AO1440" s="18" t="s">
        <v>773</v>
      </c>
      <c r="AP1440" t="s">
        <v>8347</v>
      </c>
    </row>
    <row r="1441" spans="1:42" s="10" customFormat="1" x14ac:dyDescent="0.3">
      <c r="A1441" s="367" t="s">
        <v>8317</v>
      </c>
      <c r="B1441" s="10" t="s">
        <v>8318</v>
      </c>
      <c r="C1441" s="368" t="s">
        <v>8330</v>
      </c>
      <c r="D1441" s="10" t="s">
        <v>8331</v>
      </c>
      <c r="E1441" s="10" t="s">
        <v>8332</v>
      </c>
      <c r="F1441" s="10" t="s">
        <v>8333</v>
      </c>
      <c r="G1441" s="10" t="s">
        <v>8334</v>
      </c>
      <c r="H1441" s="10" t="s">
        <v>8335</v>
      </c>
      <c r="K1441" s="10" t="s">
        <v>8336</v>
      </c>
      <c r="L1441" s="10" t="s">
        <v>8337</v>
      </c>
      <c r="M1441" s="18"/>
      <c r="N1441" s="18"/>
      <c r="O1441" s="18"/>
      <c r="P1441" s="16"/>
      <c r="Q1441" s="16"/>
      <c r="R1441" s="16"/>
      <c r="S1441" s="16"/>
      <c r="U1441" t="e">
        <f>VLOOKUP(T1441,[8]Votes!$A$1:$E$234,3,FALSE)</f>
        <v>#N/A</v>
      </c>
      <c r="V1441" s="159" t="s">
        <v>8348</v>
      </c>
      <c r="W1441" s="369">
        <v>1</v>
      </c>
      <c r="X1441" s="369">
        <v>1</v>
      </c>
      <c r="Y1441" s="369">
        <v>0</v>
      </c>
      <c r="Z1441" s="369">
        <v>1</v>
      </c>
      <c r="AA1441" s="369">
        <v>1</v>
      </c>
      <c r="AB1441" s="369">
        <v>1</v>
      </c>
      <c r="AC1441" s="369">
        <v>0</v>
      </c>
      <c r="AD1441" s="369">
        <v>1</v>
      </c>
      <c r="AE1441" s="49">
        <f t="shared" si="60"/>
        <v>0.75</v>
      </c>
      <c r="AF1441" s="17"/>
      <c r="AG1441" s="17">
        <v>0</v>
      </c>
      <c r="AH1441" s="17">
        <v>0</v>
      </c>
      <c r="AI1441" s="17">
        <v>0</v>
      </c>
      <c r="AJ1441" s="17">
        <v>0</v>
      </c>
      <c r="AK1441" s="153">
        <v>0.5</v>
      </c>
      <c r="AL1441" s="154">
        <v>0.5</v>
      </c>
      <c r="AM1441" s="147">
        <f t="shared" si="59"/>
        <v>1</v>
      </c>
      <c r="AN1441" s="276" t="s">
        <v>8341</v>
      </c>
      <c r="AO1441" s="14" t="s">
        <v>1037</v>
      </c>
      <c r="AP1441" t="s">
        <v>570</v>
      </c>
    </row>
    <row r="1442" spans="1:42" s="10" customFormat="1" x14ac:dyDescent="0.3">
      <c r="A1442" s="367" t="s">
        <v>8317</v>
      </c>
      <c r="B1442" s="10" t="s">
        <v>8318</v>
      </c>
      <c r="C1442" s="368" t="s">
        <v>8330</v>
      </c>
      <c r="D1442" s="10" t="s">
        <v>8331</v>
      </c>
      <c r="E1442" s="10" t="s">
        <v>8332</v>
      </c>
      <c r="F1442" s="10" t="s">
        <v>8333</v>
      </c>
      <c r="G1442" s="10" t="s">
        <v>8334</v>
      </c>
      <c r="H1442" s="10" t="s">
        <v>8335</v>
      </c>
      <c r="K1442" s="10" t="s">
        <v>8336</v>
      </c>
      <c r="L1442" s="10" t="s">
        <v>8337</v>
      </c>
      <c r="M1442" s="18"/>
      <c r="N1442" s="18"/>
      <c r="O1442" s="18"/>
      <c r="P1442" s="16"/>
      <c r="Q1442" s="16"/>
      <c r="R1442" s="16"/>
      <c r="S1442" s="16"/>
      <c r="U1442" t="e">
        <f>VLOOKUP(T1442,[8]Votes!$A$1:$E$234,3,FALSE)</f>
        <v>#N/A</v>
      </c>
      <c r="V1442" t="s">
        <v>8343</v>
      </c>
      <c r="W1442" s="369">
        <v>1</v>
      </c>
      <c r="X1442" s="369">
        <v>1</v>
      </c>
      <c r="Y1442" s="369">
        <v>0</v>
      </c>
      <c r="Z1442" s="369">
        <v>0</v>
      </c>
      <c r="AA1442" s="369">
        <v>1</v>
      </c>
      <c r="AB1442" s="369">
        <v>1</v>
      </c>
      <c r="AC1442" s="369">
        <v>0</v>
      </c>
      <c r="AD1442" s="369">
        <v>1</v>
      </c>
      <c r="AE1442" s="49">
        <f t="shared" si="60"/>
        <v>0.625</v>
      </c>
      <c r="AF1442" s="17"/>
      <c r="AG1442" s="17">
        <v>0</v>
      </c>
      <c r="AH1442" s="17">
        <v>0</v>
      </c>
      <c r="AI1442" s="17">
        <v>0</v>
      </c>
      <c r="AJ1442" s="17">
        <v>0</v>
      </c>
      <c r="AK1442" s="154"/>
      <c r="AL1442" s="154"/>
      <c r="AM1442" s="147">
        <f t="shared" si="59"/>
        <v>0</v>
      </c>
      <c r="AN1442" s="44" t="s">
        <v>8341</v>
      </c>
      <c r="AO1442" s="18" t="s">
        <v>1037</v>
      </c>
      <c r="AP1442" t="s">
        <v>119</v>
      </c>
    </row>
    <row r="1443" spans="1:42" s="10" customFormat="1" x14ac:dyDescent="0.3">
      <c r="A1443" s="367" t="s">
        <v>8317</v>
      </c>
      <c r="B1443" s="10" t="s">
        <v>8318</v>
      </c>
      <c r="C1443" s="368" t="s">
        <v>8330</v>
      </c>
      <c r="D1443" s="10" t="s">
        <v>8331</v>
      </c>
      <c r="E1443" s="10" t="s">
        <v>8332</v>
      </c>
      <c r="F1443" s="10" t="s">
        <v>8333</v>
      </c>
      <c r="G1443" s="10" t="s">
        <v>8334</v>
      </c>
      <c r="H1443" s="10" t="s">
        <v>8335</v>
      </c>
      <c r="K1443" s="10" t="s">
        <v>8336</v>
      </c>
      <c r="L1443" s="10" t="s">
        <v>8337</v>
      </c>
      <c r="M1443" s="18" t="s">
        <v>8349</v>
      </c>
      <c r="N1443" s="18"/>
      <c r="O1443" s="18"/>
      <c r="P1443" s="16">
        <v>2</v>
      </c>
      <c r="Q1443" s="16">
        <v>2</v>
      </c>
      <c r="R1443" s="16">
        <v>2</v>
      </c>
      <c r="S1443" s="16">
        <v>2</v>
      </c>
      <c r="T1443" s="10" t="s">
        <v>8339</v>
      </c>
      <c r="U1443" t="e">
        <f>VLOOKUP(T1443,[8]Votes!$A$1:$E$234,3,FALSE)</f>
        <v>#N/A</v>
      </c>
      <c r="V1443" t="s">
        <v>8350</v>
      </c>
      <c r="W1443" s="369">
        <v>1</v>
      </c>
      <c r="X1443" s="369">
        <v>1</v>
      </c>
      <c r="Y1443" s="369">
        <v>1</v>
      </c>
      <c r="Z1443" s="369">
        <v>0</v>
      </c>
      <c r="AA1443" s="369">
        <v>1</v>
      </c>
      <c r="AB1443" s="369">
        <v>1</v>
      </c>
      <c r="AC1443" s="369">
        <v>1</v>
      </c>
      <c r="AD1443" s="369">
        <v>1</v>
      </c>
      <c r="AE1443" s="49">
        <f t="shared" si="60"/>
        <v>0.875</v>
      </c>
      <c r="AF1443" s="44">
        <v>1</v>
      </c>
      <c r="AG1443" s="17">
        <v>0</v>
      </c>
      <c r="AH1443" s="44">
        <v>0</v>
      </c>
      <c r="AI1443" s="44">
        <v>0.9</v>
      </c>
      <c r="AJ1443" s="44">
        <v>0.9</v>
      </c>
      <c r="AK1443" s="151">
        <v>0.9</v>
      </c>
      <c r="AL1443" s="151">
        <v>0.9</v>
      </c>
      <c r="AM1443" s="147">
        <f t="shared" si="59"/>
        <v>1.8</v>
      </c>
      <c r="AN1443" s="44" t="s">
        <v>8341</v>
      </c>
      <c r="AO1443" s="18" t="s">
        <v>1037</v>
      </c>
      <c r="AP1443" t="s">
        <v>3605</v>
      </c>
    </row>
    <row r="1444" spans="1:42" s="10" customFormat="1" x14ac:dyDescent="0.3">
      <c r="A1444" s="367" t="s">
        <v>8317</v>
      </c>
      <c r="B1444" s="10" t="s">
        <v>8318</v>
      </c>
      <c r="C1444" s="368" t="s">
        <v>8330</v>
      </c>
      <c r="D1444" s="10" t="s">
        <v>8331</v>
      </c>
      <c r="E1444" s="10" t="s">
        <v>8332</v>
      </c>
      <c r="F1444" s="10" t="s">
        <v>8333</v>
      </c>
      <c r="G1444" s="10" t="s">
        <v>8334</v>
      </c>
      <c r="H1444" s="10" t="s">
        <v>8335</v>
      </c>
      <c r="K1444" s="10" t="s">
        <v>8336</v>
      </c>
      <c r="L1444" s="10" t="s">
        <v>8337</v>
      </c>
      <c r="M1444" s="18" t="s">
        <v>8351</v>
      </c>
      <c r="N1444" s="18"/>
      <c r="O1444" s="18"/>
      <c r="P1444" s="16">
        <v>6</v>
      </c>
      <c r="Q1444" s="16">
        <v>6</v>
      </c>
      <c r="R1444" s="16">
        <v>6</v>
      </c>
      <c r="S1444" s="16">
        <v>6</v>
      </c>
      <c r="T1444" s="10" t="s">
        <v>8339</v>
      </c>
      <c r="U1444" t="e">
        <f>VLOOKUP(T1444,[8]Votes!$A$1:$E$234,3,FALSE)</f>
        <v>#N/A</v>
      </c>
      <c r="V1444" t="s">
        <v>8346</v>
      </c>
      <c r="W1444" s="369">
        <v>1</v>
      </c>
      <c r="X1444" s="369">
        <v>1</v>
      </c>
      <c r="Y1444" s="369">
        <v>1</v>
      </c>
      <c r="Z1444" s="369">
        <v>0</v>
      </c>
      <c r="AA1444" s="369">
        <v>1</v>
      </c>
      <c r="AB1444" s="369">
        <v>1</v>
      </c>
      <c r="AC1444" s="369">
        <v>1</v>
      </c>
      <c r="AD1444" s="369">
        <v>1</v>
      </c>
      <c r="AE1444" s="49">
        <f t="shared" si="60"/>
        <v>0.875</v>
      </c>
      <c r="AF1444" s="44"/>
      <c r="AG1444" s="17">
        <v>0</v>
      </c>
      <c r="AH1444" s="44">
        <v>0</v>
      </c>
      <c r="AI1444" s="44">
        <v>0</v>
      </c>
      <c r="AJ1444" s="44">
        <v>0</v>
      </c>
      <c r="AK1444" s="151"/>
      <c r="AL1444" s="151"/>
      <c r="AM1444" s="147">
        <f t="shared" si="59"/>
        <v>0</v>
      </c>
      <c r="AN1444" s="44" t="s">
        <v>771</v>
      </c>
      <c r="AO1444" s="18" t="s">
        <v>773</v>
      </c>
      <c r="AP1444" t="s">
        <v>8352</v>
      </c>
    </row>
    <row r="1445" spans="1:42" s="10" customFormat="1" x14ac:dyDescent="0.3">
      <c r="A1445" s="367" t="s">
        <v>8317</v>
      </c>
      <c r="B1445" s="10" t="s">
        <v>8318</v>
      </c>
      <c r="C1445" s="368" t="s">
        <v>8330</v>
      </c>
      <c r="D1445" s="10" t="s">
        <v>8331</v>
      </c>
      <c r="E1445" s="10" t="s">
        <v>8332</v>
      </c>
      <c r="F1445" s="10" t="s">
        <v>8333</v>
      </c>
      <c r="G1445" s="10" t="s">
        <v>8334</v>
      </c>
      <c r="H1445" s="10" t="s">
        <v>8335</v>
      </c>
      <c r="K1445" s="10" t="s">
        <v>8336</v>
      </c>
      <c r="L1445" s="10" t="s">
        <v>8337</v>
      </c>
      <c r="M1445" s="18" t="s">
        <v>8353</v>
      </c>
      <c r="N1445" s="18"/>
      <c r="O1445" s="18">
        <v>1500</v>
      </c>
      <c r="P1445" s="16">
        <v>1200</v>
      </c>
      <c r="Q1445" s="16">
        <v>1200</v>
      </c>
      <c r="R1445" s="16">
        <v>1200</v>
      </c>
      <c r="S1445" s="16">
        <v>1200</v>
      </c>
      <c r="T1445" s="10" t="s">
        <v>8339</v>
      </c>
      <c r="U1445" t="e">
        <f>VLOOKUP(T1445,[8]Votes!$A$1:$E$234,3,FALSE)</f>
        <v>#N/A</v>
      </c>
      <c r="V1445" t="s">
        <v>8353</v>
      </c>
      <c r="W1445" s="369">
        <v>1</v>
      </c>
      <c r="X1445" s="369">
        <v>0</v>
      </c>
      <c r="Y1445" s="369">
        <v>0</v>
      </c>
      <c r="Z1445" s="369">
        <v>0</v>
      </c>
      <c r="AA1445" s="369">
        <v>1</v>
      </c>
      <c r="AB1445" s="369">
        <v>1</v>
      </c>
      <c r="AC1445" s="369">
        <v>0</v>
      </c>
      <c r="AD1445" s="369">
        <v>1</v>
      </c>
      <c r="AE1445" s="49">
        <f t="shared" si="60"/>
        <v>0.5</v>
      </c>
      <c r="AF1445" s="44"/>
      <c r="AG1445" s="17">
        <v>0</v>
      </c>
      <c r="AH1445" s="44">
        <v>0</v>
      </c>
      <c r="AI1445" s="44">
        <v>0</v>
      </c>
      <c r="AJ1445" s="44">
        <v>0</v>
      </c>
      <c r="AK1445" s="151">
        <v>0</v>
      </c>
      <c r="AL1445" s="151">
        <v>0</v>
      </c>
      <c r="AM1445" s="147">
        <f t="shared" si="59"/>
        <v>0</v>
      </c>
      <c r="AN1445" s="44" t="s">
        <v>8341</v>
      </c>
      <c r="AO1445" s="18" t="s">
        <v>1037</v>
      </c>
      <c r="AP1445" t="s">
        <v>8354</v>
      </c>
    </row>
    <row r="1446" spans="1:42" s="10" customFormat="1" x14ac:dyDescent="0.3">
      <c r="A1446" s="367" t="s">
        <v>8317</v>
      </c>
      <c r="B1446" s="10" t="s">
        <v>8318</v>
      </c>
      <c r="C1446" s="368" t="s">
        <v>8330</v>
      </c>
      <c r="D1446" s="10" t="s">
        <v>8331</v>
      </c>
      <c r="E1446" s="10" t="s">
        <v>8332</v>
      </c>
      <c r="F1446" s="10" t="s">
        <v>8333</v>
      </c>
      <c r="G1446" s="10" t="s">
        <v>8334</v>
      </c>
      <c r="H1446" s="10" t="s">
        <v>8335</v>
      </c>
      <c r="K1446" s="10" t="s">
        <v>8336</v>
      </c>
      <c r="L1446" s="10" t="s">
        <v>8337</v>
      </c>
      <c r="M1446" s="18" t="s">
        <v>8355</v>
      </c>
      <c r="N1446" s="18"/>
      <c r="O1446" s="18">
        <v>20</v>
      </c>
      <c r="P1446" s="16">
        <v>30</v>
      </c>
      <c r="Q1446" s="16">
        <v>30</v>
      </c>
      <c r="R1446" s="16">
        <v>30</v>
      </c>
      <c r="S1446" s="16">
        <v>30</v>
      </c>
      <c r="T1446" s="10" t="s">
        <v>8339</v>
      </c>
      <c r="U1446" t="e">
        <f>VLOOKUP(T1446,[8]Votes!$A$1:$E$234,3,FALSE)</f>
        <v>#N/A</v>
      </c>
      <c r="V1446" t="s">
        <v>8356</v>
      </c>
      <c r="W1446" s="369">
        <v>1</v>
      </c>
      <c r="X1446" s="369">
        <v>1</v>
      </c>
      <c r="Y1446" s="369">
        <v>1</v>
      </c>
      <c r="Z1446" s="369">
        <v>0</v>
      </c>
      <c r="AA1446" s="369">
        <v>1</v>
      </c>
      <c r="AB1446" s="369">
        <v>1</v>
      </c>
      <c r="AC1446" s="369">
        <v>1</v>
      </c>
      <c r="AD1446" s="369">
        <v>1</v>
      </c>
      <c r="AE1446" s="49">
        <f t="shared" si="60"/>
        <v>0.875</v>
      </c>
      <c r="AF1446" s="44">
        <v>1</v>
      </c>
      <c r="AG1446" s="17">
        <v>0</v>
      </c>
      <c r="AH1446" s="44">
        <v>12</v>
      </c>
      <c r="AI1446" s="44">
        <v>6</v>
      </c>
      <c r="AJ1446" s="44">
        <v>6</v>
      </c>
      <c r="AK1446" s="153">
        <v>0.5</v>
      </c>
      <c r="AL1446" s="154">
        <v>0.5</v>
      </c>
      <c r="AM1446" s="147">
        <f t="shared" si="59"/>
        <v>1</v>
      </c>
      <c r="AN1446" s="44" t="s">
        <v>3605</v>
      </c>
      <c r="AO1446" s="18" t="s">
        <v>4178</v>
      </c>
      <c r="AP1446" t="s">
        <v>8339</v>
      </c>
    </row>
    <row r="1447" spans="1:42" s="10" customFormat="1" x14ac:dyDescent="0.3">
      <c r="A1447" s="367" t="s">
        <v>8317</v>
      </c>
      <c r="B1447" s="10" t="s">
        <v>8318</v>
      </c>
      <c r="C1447" s="368" t="s">
        <v>8330</v>
      </c>
      <c r="D1447" s="10" t="s">
        <v>8331</v>
      </c>
      <c r="E1447" s="10" t="s">
        <v>8332</v>
      </c>
      <c r="F1447" s="10" t="s">
        <v>8333</v>
      </c>
      <c r="G1447" s="10" t="s">
        <v>8357</v>
      </c>
      <c r="H1447" s="10" t="s">
        <v>8358</v>
      </c>
      <c r="K1447" s="10" t="s">
        <v>8359</v>
      </c>
      <c r="L1447" s="10" t="s">
        <v>8360</v>
      </c>
      <c r="M1447" s="18" t="s">
        <v>8361</v>
      </c>
      <c r="N1447" s="18">
        <v>2354</v>
      </c>
      <c r="O1447" s="18">
        <v>4446</v>
      </c>
      <c r="P1447" s="16">
        <v>4794</v>
      </c>
      <c r="Q1447" s="16">
        <v>5848</v>
      </c>
      <c r="R1447" s="16">
        <v>6107</v>
      </c>
      <c r="S1447" s="16">
        <v>8265</v>
      </c>
      <c r="T1447" s="10" t="s">
        <v>8339</v>
      </c>
      <c r="U1447" t="e">
        <f>VLOOKUP(T1447,[8]Votes!$A$1:$E$234,3,FALSE)</f>
        <v>#N/A</v>
      </c>
      <c r="V1447" t="s">
        <v>8362</v>
      </c>
      <c r="W1447" s="369">
        <v>1</v>
      </c>
      <c r="X1447" s="369">
        <v>1</v>
      </c>
      <c r="Y1447" s="369">
        <v>1</v>
      </c>
      <c r="Z1447" s="369">
        <v>0</v>
      </c>
      <c r="AA1447" s="369">
        <v>1</v>
      </c>
      <c r="AB1447" s="369">
        <v>1</v>
      </c>
      <c r="AC1447" s="369">
        <v>1</v>
      </c>
      <c r="AD1447" s="369">
        <v>1</v>
      </c>
      <c r="AE1447" s="49">
        <f t="shared" si="60"/>
        <v>0.875</v>
      </c>
      <c r="AF1447" s="44"/>
      <c r="AG1447" s="17">
        <v>1</v>
      </c>
      <c r="AH1447" s="44">
        <v>219.54082196395299</v>
      </c>
      <c r="AI1447" s="44">
        <v>28</v>
      </c>
      <c r="AJ1447" s="44">
        <v>170.45917803604661</v>
      </c>
      <c r="AK1447" s="151"/>
      <c r="AL1447" s="151"/>
      <c r="AM1447" s="147">
        <f t="shared" si="59"/>
        <v>0</v>
      </c>
      <c r="AN1447" s="44" t="s">
        <v>8341</v>
      </c>
      <c r="AO1447" s="18" t="s">
        <v>1037</v>
      </c>
      <c r="AP1447" t="s">
        <v>119</v>
      </c>
    </row>
    <row r="1448" spans="1:42" s="10" customFormat="1" x14ac:dyDescent="0.3">
      <c r="A1448" s="367" t="s">
        <v>8317</v>
      </c>
      <c r="B1448" s="10" t="s">
        <v>8318</v>
      </c>
      <c r="C1448" s="368" t="s">
        <v>8330</v>
      </c>
      <c r="D1448" s="10" t="s">
        <v>8331</v>
      </c>
      <c r="E1448" s="10" t="s">
        <v>8332</v>
      </c>
      <c r="F1448" s="10" t="s">
        <v>8333</v>
      </c>
      <c r="G1448" s="10" t="s">
        <v>8357</v>
      </c>
      <c r="H1448" s="10" t="s">
        <v>8358</v>
      </c>
      <c r="K1448" s="10" t="s">
        <v>8359</v>
      </c>
      <c r="L1448" s="10" t="s">
        <v>8360</v>
      </c>
      <c r="M1448" s="18"/>
      <c r="N1448" s="18"/>
      <c r="O1448" s="18"/>
      <c r="P1448" s="16"/>
      <c r="Q1448" s="16"/>
      <c r="R1448" s="16"/>
      <c r="S1448" s="16"/>
      <c r="U1448" t="e">
        <f>VLOOKUP(T1448,[8]Votes!$A$1:$E$234,3,FALSE)</f>
        <v>#N/A</v>
      </c>
      <c r="V1448" t="s">
        <v>8363</v>
      </c>
      <c r="W1448" s="369">
        <v>1</v>
      </c>
      <c r="X1448" s="369">
        <v>0</v>
      </c>
      <c r="Y1448" s="369">
        <v>1</v>
      </c>
      <c r="Z1448" s="369">
        <v>0</v>
      </c>
      <c r="AA1448" s="369">
        <v>1</v>
      </c>
      <c r="AB1448" s="369">
        <v>1</v>
      </c>
      <c r="AC1448" s="369">
        <v>1</v>
      </c>
      <c r="AD1448" s="369">
        <v>1</v>
      </c>
      <c r="AE1448" s="49">
        <f t="shared" si="60"/>
        <v>0.75</v>
      </c>
      <c r="AF1448" s="44"/>
      <c r="AG1448" s="17">
        <v>1</v>
      </c>
      <c r="AH1448" s="44">
        <v>0</v>
      </c>
      <c r="AI1448" s="44">
        <v>0</v>
      </c>
      <c r="AJ1448" s="44">
        <v>0</v>
      </c>
      <c r="AK1448" s="151"/>
      <c r="AL1448" s="151"/>
      <c r="AM1448" s="147">
        <f t="shared" si="59"/>
        <v>0</v>
      </c>
      <c r="AN1448" s="44" t="s">
        <v>8341</v>
      </c>
      <c r="AO1448" s="18" t="s">
        <v>1037</v>
      </c>
      <c r="AP1448" t="s">
        <v>119</v>
      </c>
    </row>
    <row r="1449" spans="1:42" s="10" customFormat="1" x14ac:dyDescent="0.3">
      <c r="A1449" s="367" t="s">
        <v>8317</v>
      </c>
      <c r="B1449" s="10" t="s">
        <v>8318</v>
      </c>
      <c r="C1449" s="368" t="s">
        <v>8330</v>
      </c>
      <c r="D1449" s="10" t="s">
        <v>8331</v>
      </c>
      <c r="E1449" s="10" t="s">
        <v>8332</v>
      </c>
      <c r="F1449" s="10" t="s">
        <v>8333</v>
      </c>
      <c r="G1449" s="10" t="s">
        <v>8357</v>
      </c>
      <c r="H1449" s="10" t="s">
        <v>8358</v>
      </c>
      <c r="K1449" s="10" t="s">
        <v>8359</v>
      </c>
      <c r="L1449" s="10" t="s">
        <v>8360</v>
      </c>
      <c r="M1449" s="18"/>
      <c r="N1449" s="18"/>
      <c r="O1449" s="18"/>
      <c r="P1449" s="16"/>
      <c r="Q1449" s="16"/>
      <c r="R1449" s="16"/>
      <c r="S1449" s="16"/>
      <c r="U1449" t="e">
        <f>VLOOKUP(T1449,[8]Votes!$A$1:$E$234,3,FALSE)</f>
        <v>#N/A</v>
      </c>
      <c r="V1449" t="s">
        <v>8364</v>
      </c>
      <c r="W1449" s="369">
        <v>1</v>
      </c>
      <c r="X1449" s="369">
        <v>0</v>
      </c>
      <c r="Y1449" s="369">
        <v>1</v>
      </c>
      <c r="Z1449" s="369">
        <v>0</v>
      </c>
      <c r="AA1449" s="369">
        <v>1</v>
      </c>
      <c r="AB1449" s="369">
        <v>1</v>
      </c>
      <c r="AC1449" s="369">
        <v>1</v>
      </c>
      <c r="AD1449" s="369">
        <v>1</v>
      </c>
      <c r="AE1449" s="49">
        <f t="shared" si="60"/>
        <v>0.75</v>
      </c>
      <c r="AF1449" s="44"/>
      <c r="AG1449" s="17">
        <v>1</v>
      </c>
      <c r="AH1449" s="44">
        <v>0</v>
      </c>
      <c r="AI1449" s="44">
        <v>0</v>
      </c>
      <c r="AJ1449" s="44">
        <v>0</v>
      </c>
      <c r="AK1449" s="151"/>
      <c r="AL1449" s="151"/>
      <c r="AM1449" s="147">
        <f t="shared" si="59"/>
        <v>0</v>
      </c>
      <c r="AN1449" s="44" t="s">
        <v>8341</v>
      </c>
      <c r="AO1449" s="18" t="s">
        <v>1037</v>
      </c>
      <c r="AP1449" t="s">
        <v>119</v>
      </c>
    </row>
    <row r="1450" spans="1:42" s="10" customFormat="1" x14ac:dyDescent="0.3">
      <c r="A1450" s="367" t="s">
        <v>8317</v>
      </c>
      <c r="B1450" s="10" t="s">
        <v>8318</v>
      </c>
      <c r="C1450" s="368" t="s">
        <v>8330</v>
      </c>
      <c r="D1450" s="10" t="s">
        <v>8331</v>
      </c>
      <c r="E1450" s="10" t="s">
        <v>8332</v>
      </c>
      <c r="F1450" s="10" t="s">
        <v>8333</v>
      </c>
      <c r="G1450" s="10" t="s">
        <v>8357</v>
      </c>
      <c r="H1450" s="10" t="s">
        <v>8358</v>
      </c>
      <c r="K1450" s="10" t="s">
        <v>8359</v>
      </c>
      <c r="L1450" s="10" t="s">
        <v>8360</v>
      </c>
      <c r="M1450" s="18"/>
      <c r="N1450" s="18"/>
      <c r="O1450" s="18"/>
      <c r="P1450" s="16"/>
      <c r="Q1450" s="16"/>
      <c r="R1450" s="16"/>
      <c r="S1450" s="16"/>
      <c r="U1450" t="e">
        <f>VLOOKUP(T1450,[8]Votes!$A$1:$E$234,3,FALSE)</f>
        <v>#N/A</v>
      </c>
      <c r="V1450" t="s">
        <v>8365</v>
      </c>
      <c r="W1450" s="369">
        <v>1</v>
      </c>
      <c r="X1450" s="369">
        <v>0</v>
      </c>
      <c r="Y1450" s="369">
        <v>0</v>
      </c>
      <c r="Z1450" s="369">
        <v>1</v>
      </c>
      <c r="AA1450" s="369">
        <v>1</v>
      </c>
      <c r="AB1450" s="369">
        <v>0</v>
      </c>
      <c r="AC1450" s="369">
        <v>0</v>
      </c>
      <c r="AD1450" s="369">
        <v>1</v>
      </c>
      <c r="AE1450" s="49">
        <f t="shared" si="60"/>
        <v>0.5</v>
      </c>
      <c r="AF1450" s="44"/>
      <c r="AG1450" s="17">
        <v>1</v>
      </c>
      <c r="AH1450" s="44">
        <v>0</v>
      </c>
      <c r="AI1450" s="44">
        <v>0</v>
      </c>
      <c r="AJ1450" s="44">
        <v>0</v>
      </c>
      <c r="AK1450" s="151"/>
      <c r="AL1450" s="151"/>
      <c r="AM1450" s="147">
        <f t="shared" si="59"/>
        <v>0</v>
      </c>
      <c r="AN1450" s="44" t="s">
        <v>8341</v>
      </c>
      <c r="AO1450" s="18" t="s">
        <v>1037</v>
      </c>
      <c r="AP1450" t="s">
        <v>119</v>
      </c>
    </row>
    <row r="1451" spans="1:42" s="10" customFormat="1" x14ac:dyDescent="0.3">
      <c r="A1451" s="367" t="s">
        <v>8317</v>
      </c>
      <c r="B1451" s="10" t="s">
        <v>8318</v>
      </c>
      <c r="C1451" s="368" t="s">
        <v>8330</v>
      </c>
      <c r="D1451" s="10" t="s">
        <v>8331</v>
      </c>
      <c r="E1451" s="10" t="s">
        <v>8332</v>
      </c>
      <c r="F1451" s="10" t="s">
        <v>8333</v>
      </c>
      <c r="G1451" s="10" t="s">
        <v>8357</v>
      </c>
      <c r="H1451" s="10" t="s">
        <v>8358</v>
      </c>
      <c r="K1451" s="10" t="s">
        <v>8359</v>
      </c>
      <c r="L1451" s="10" t="s">
        <v>8360</v>
      </c>
      <c r="M1451" s="18"/>
      <c r="N1451" s="18"/>
      <c r="O1451" s="18"/>
      <c r="P1451" s="16"/>
      <c r="Q1451" s="16"/>
      <c r="R1451" s="16"/>
      <c r="S1451" s="16"/>
      <c r="U1451" t="e">
        <f>VLOOKUP(T1451,[8]Votes!$A$1:$E$234,3,FALSE)</f>
        <v>#N/A</v>
      </c>
      <c r="V1451" t="s">
        <v>8366</v>
      </c>
      <c r="W1451" s="369">
        <v>1</v>
      </c>
      <c r="X1451" s="369">
        <v>1</v>
      </c>
      <c r="Y1451" s="369">
        <v>1</v>
      </c>
      <c r="Z1451" s="369">
        <v>0</v>
      </c>
      <c r="AA1451" s="369">
        <v>1</v>
      </c>
      <c r="AB1451" s="369">
        <v>1</v>
      </c>
      <c r="AC1451" s="369">
        <v>1</v>
      </c>
      <c r="AD1451" s="369">
        <v>1</v>
      </c>
      <c r="AE1451" s="49">
        <f t="shared" si="60"/>
        <v>0.875</v>
      </c>
      <c r="AF1451" s="44"/>
      <c r="AG1451" s="17">
        <v>1</v>
      </c>
      <c r="AH1451" s="44">
        <v>0</v>
      </c>
      <c r="AI1451" s="44">
        <v>0</v>
      </c>
      <c r="AJ1451" s="44">
        <v>0</v>
      </c>
      <c r="AK1451" s="151"/>
      <c r="AL1451" s="151"/>
      <c r="AM1451" s="147">
        <f t="shared" si="59"/>
        <v>0</v>
      </c>
      <c r="AN1451" s="44" t="s">
        <v>8341</v>
      </c>
      <c r="AO1451" s="18" t="s">
        <v>1037</v>
      </c>
      <c r="AP1451" t="s">
        <v>119</v>
      </c>
    </row>
    <row r="1452" spans="1:42" s="10" customFormat="1" x14ac:dyDescent="0.3">
      <c r="A1452" s="367" t="s">
        <v>8317</v>
      </c>
      <c r="B1452" s="10" t="s">
        <v>8318</v>
      </c>
      <c r="C1452" s="368" t="s">
        <v>8330</v>
      </c>
      <c r="D1452" s="10" t="s">
        <v>8331</v>
      </c>
      <c r="E1452" s="10" t="s">
        <v>8332</v>
      </c>
      <c r="F1452" s="10" t="s">
        <v>8333</v>
      </c>
      <c r="G1452" s="10" t="s">
        <v>8357</v>
      </c>
      <c r="H1452" s="10" t="s">
        <v>8358</v>
      </c>
      <c r="K1452" s="10" t="s">
        <v>8359</v>
      </c>
      <c r="L1452" s="10" t="s">
        <v>8360</v>
      </c>
      <c r="M1452" s="18"/>
      <c r="N1452" s="18"/>
      <c r="O1452" s="18"/>
      <c r="P1452" s="16"/>
      <c r="Q1452" s="16"/>
      <c r="R1452" s="16"/>
      <c r="S1452" s="16"/>
      <c r="U1452" t="e">
        <f>VLOOKUP(T1452,[8]Votes!$A$1:$E$234,3,FALSE)</f>
        <v>#N/A</v>
      </c>
      <c r="V1452" t="s">
        <v>8367</v>
      </c>
      <c r="W1452" s="369">
        <v>1</v>
      </c>
      <c r="X1452" s="369">
        <v>0</v>
      </c>
      <c r="Y1452" s="369">
        <v>0</v>
      </c>
      <c r="Z1452" s="369">
        <v>1</v>
      </c>
      <c r="AA1452" s="369">
        <v>1</v>
      </c>
      <c r="AB1452" s="369">
        <v>1</v>
      </c>
      <c r="AC1452" s="369">
        <v>0</v>
      </c>
      <c r="AD1452" s="369">
        <v>1</v>
      </c>
      <c r="AE1452" s="49">
        <f t="shared" si="60"/>
        <v>0.625</v>
      </c>
      <c r="AF1452" s="44"/>
      <c r="AG1452" s="17">
        <v>1</v>
      </c>
      <c r="AH1452" s="44">
        <v>0</v>
      </c>
      <c r="AI1452" s="44">
        <v>0</v>
      </c>
      <c r="AJ1452" s="44">
        <v>0</v>
      </c>
      <c r="AK1452" s="151"/>
      <c r="AL1452" s="151"/>
      <c r="AM1452" s="147">
        <f t="shared" si="59"/>
        <v>0</v>
      </c>
      <c r="AN1452" s="44" t="s">
        <v>8341</v>
      </c>
      <c r="AO1452" s="18" t="s">
        <v>1037</v>
      </c>
      <c r="AP1452" t="s">
        <v>119</v>
      </c>
    </row>
    <row r="1453" spans="1:42" s="10" customFormat="1" x14ac:dyDescent="0.3">
      <c r="A1453" s="367" t="s">
        <v>8317</v>
      </c>
      <c r="B1453" s="10" t="s">
        <v>8318</v>
      </c>
      <c r="C1453" s="368" t="s">
        <v>8330</v>
      </c>
      <c r="D1453" s="10" t="s">
        <v>8331</v>
      </c>
      <c r="E1453" s="10" t="s">
        <v>8332</v>
      </c>
      <c r="F1453" s="10" t="s">
        <v>8333</v>
      </c>
      <c r="G1453" s="10" t="s">
        <v>8357</v>
      </c>
      <c r="H1453" s="10" t="s">
        <v>8358</v>
      </c>
      <c r="K1453" s="10" t="s">
        <v>8359</v>
      </c>
      <c r="L1453" s="10" t="s">
        <v>8360</v>
      </c>
      <c r="M1453" s="18"/>
      <c r="N1453" s="18"/>
      <c r="O1453" s="18"/>
      <c r="P1453" s="16"/>
      <c r="Q1453" s="16"/>
      <c r="R1453" s="16"/>
      <c r="S1453" s="16"/>
      <c r="U1453" t="e">
        <f>VLOOKUP(T1453,[8]Votes!$A$1:$E$234,3,FALSE)</f>
        <v>#N/A</v>
      </c>
      <c r="V1453" t="s">
        <v>8368</v>
      </c>
      <c r="W1453" s="369">
        <v>1</v>
      </c>
      <c r="X1453" s="369">
        <v>0</v>
      </c>
      <c r="Y1453" s="369">
        <v>0</v>
      </c>
      <c r="Z1453" s="369">
        <v>1</v>
      </c>
      <c r="AA1453" s="369">
        <v>1</v>
      </c>
      <c r="AB1453" s="369">
        <v>1</v>
      </c>
      <c r="AC1453" s="369">
        <v>0</v>
      </c>
      <c r="AD1453" s="369">
        <v>1</v>
      </c>
      <c r="AE1453" s="49">
        <f t="shared" si="60"/>
        <v>0.625</v>
      </c>
      <c r="AF1453" s="44">
        <v>1</v>
      </c>
      <c r="AG1453" s="17">
        <v>0</v>
      </c>
      <c r="AH1453" s="44">
        <v>0</v>
      </c>
      <c r="AI1453" s="44">
        <v>0</v>
      </c>
      <c r="AJ1453" s="44">
        <v>0</v>
      </c>
      <c r="AK1453" s="151">
        <v>2</v>
      </c>
      <c r="AL1453" s="151">
        <v>2</v>
      </c>
      <c r="AM1453" s="147">
        <f t="shared" si="59"/>
        <v>4</v>
      </c>
      <c r="AN1453" s="44" t="s">
        <v>8341</v>
      </c>
      <c r="AO1453" s="18" t="s">
        <v>1037</v>
      </c>
      <c r="AP1453" t="s">
        <v>119</v>
      </c>
    </row>
    <row r="1454" spans="1:42" s="10" customFormat="1" x14ac:dyDescent="0.3">
      <c r="A1454" s="367" t="s">
        <v>8317</v>
      </c>
      <c r="B1454" s="10" t="s">
        <v>8318</v>
      </c>
      <c r="C1454" s="368" t="s">
        <v>8330</v>
      </c>
      <c r="D1454" s="10" t="s">
        <v>8331</v>
      </c>
      <c r="E1454" s="10" t="s">
        <v>8332</v>
      </c>
      <c r="F1454" s="10" t="s">
        <v>8333</v>
      </c>
      <c r="G1454" s="10" t="s">
        <v>8357</v>
      </c>
      <c r="H1454" s="10" t="s">
        <v>8358</v>
      </c>
      <c r="K1454" s="10" t="s">
        <v>8359</v>
      </c>
      <c r="L1454" s="10" t="s">
        <v>8360</v>
      </c>
      <c r="M1454" s="18"/>
      <c r="N1454" s="18"/>
      <c r="O1454" s="18"/>
      <c r="P1454" s="16"/>
      <c r="Q1454" s="16"/>
      <c r="R1454" s="16"/>
      <c r="S1454" s="16"/>
      <c r="U1454" t="e">
        <f>VLOOKUP(T1454,[8]Votes!$A$1:$E$234,3,FALSE)</f>
        <v>#N/A</v>
      </c>
      <c r="V1454" t="s">
        <v>8369</v>
      </c>
      <c r="W1454" s="369">
        <v>1</v>
      </c>
      <c r="X1454" s="369">
        <v>1</v>
      </c>
      <c r="Y1454" s="369">
        <v>0</v>
      </c>
      <c r="Z1454" s="369">
        <v>1</v>
      </c>
      <c r="AA1454" s="369">
        <v>1</v>
      </c>
      <c r="AB1454" s="369">
        <v>1</v>
      </c>
      <c r="AC1454" s="369">
        <v>0</v>
      </c>
      <c r="AD1454" s="369">
        <v>1</v>
      </c>
      <c r="AE1454" s="49">
        <f t="shared" si="60"/>
        <v>0.75</v>
      </c>
      <c r="AF1454" s="44">
        <v>1</v>
      </c>
      <c r="AG1454" s="17">
        <v>0</v>
      </c>
      <c r="AH1454" s="44">
        <v>0</v>
      </c>
      <c r="AI1454" s="44">
        <v>0</v>
      </c>
      <c r="AJ1454" s="44">
        <v>0</v>
      </c>
      <c r="AK1454" s="151">
        <v>2</v>
      </c>
      <c r="AL1454" s="151">
        <v>2</v>
      </c>
      <c r="AM1454" s="147">
        <f t="shared" si="59"/>
        <v>4</v>
      </c>
      <c r="AN1454" s="44" t="s">
        <v>8341</v>
      </c>
      <c r="AO1454" s="18" t="s">
        <v>1037</v>
      </c>
      <c r="AP1454" t="s">
        <v>119</v>
      </c>
    </row>
    <row r="1455" spans="1:42" s="10" customFormat="1" x14ac:dyDescent="0.3">
      <c r="A1455" s="367" t="s">
        <v>8317</v>
      </c>
      <c r="B1455" s="10" t="s">
        <v>8318</v>
      </c>
      <c r="C1455" s="368" t="s">
        <v>8330</v>
      </c>
      <c r="D1455" s="10" t="s">
        <v>8331</v>
      </c>
      <c r="E1455" s="10" t="s">
        <v>8332</v>
      </c>
      <c r="F1455" s="10" t="s">
        <v>8333</v>
      </c>
      <c r="G1455" s="10" t="s">
        <v>8357</v>
      </c>
      <c r="H1455" s="10" t="s">
        <v>8358</v>
      </c>
      <c r="K1455" s="10" t="s">
        <v>8359</v>
      </c>
      <c r="L1455" s="10" t="s">
        <v>8360</v>
      </c>
      <c r="M1455" s="18"/>
      <c r="N1455" s="18"/>
      <c r="O1455" s="18"/>
      <c r="P1455" s="16"/>
      <c r="Q1455" s="16"/>
      <c r="R1455" s="16"/>
      <c r="S1455" s="16"/>
      <c r="U1455" t="e">
        <f>VLOOKUP(T1455,[8]Votes!$A$1:$E$234,3,FALSE)</f>
        <v>#N/A</v>
      </c>
      <c r="V1455" t="s">
        <v>8370</v>
      </c>
      <c r="W1455" s="369">
        <v>1</v>
      </c>
      <c r="X1455" s="369">
        <v>1</v>
      </c>
      <c r="Y1455" s="369">
        <v>0</v>
      </c>
      <c r="Z1455" s="369">
        <v>1</v>
      </c>
      <c r="AA1455" s="369">
        <v>1</v>
      </c>
      <c r="AB1455" s="369">
        <v>1</v>
      </c>
      <c r="AC1455" s="369">
        <v>0</v>
      </c>
      <c r="AD1455" s="369">
        <v>1</v>
      </c>
      <c r="AE1455" s="49">
        <f t="shared" si="60"/>
        <v>0.75</v>
      </c>
      <c r="AF1455" s="44"/>
      <c r="AG1455" s="17">
        <v>1</v>
      </c>
      <c r="AH1455" s="44">
        <v>0</v>
      </c>
      <c r="AI1455" s="44">
        <v>0</v>
      </c>
      <c r="AJ1455" s="44">
        <v>0</v>
      </c>
      <c r="AK1455" s="151"/>
      <c r="AL1455" s="151"/>
      <c r="AM1455" s="147">
        <f t="shared" si="59"/>
        <v>0</v>
      </c>
      <c r="AN1455" s="44" t="s">
        <v>8341</v>
      </c>
      <c r="AO1455" s="18" t="s">
        <v>1037</v>
      </c>
      <c r="AP1455" t="s">
        <v>119</v>
      </c>
    </row>
    <row r="1456" spans="1:42" s="10" customFormat="1" x14ac:dyDescent="0.3">
      <c r="A1456" s="367" t="s">
        <v>8317</v>
      </c>
      <c r="B1456" s="10" t="s">
        <v>8318</v>
      </c>
      <c r="C1456" s="368" t="s">
        <v>8330</v>
      </c>
      <c r="D1456" s="10" t="s">
        <v>8331</v>
      </c>
      <c r="E1456" s="10" t="s">
        <v>8332</v>
      </c>
      <c r="F1456" s="10" t="s">
        <v>8333</v>
      </c>
      <c r="G1456" s="10" t="s">
        <v>8357</v>
      </c>
      <c r="H1456" s="10" t="s">
        <v>8358</v>
      </c>
      <c r="K1456" s="10" t="s">
        <v>8359</v>
      </c>
      <c r="L1456" s="10" t="s">
        <v>8360</v>
      </c>
      <c r="M1456" s="18"/>
      <c r="N1456" s="18"/>
      <c r="O1456" s="18"/>
      <c r="P1456" s="16"/>
      <c r="Q1456" s="16"/>
      <c r="R1456" s="16"/>
      <c r="S1456" s="16"/>
      <c r="U1456" t="e">
        <f>VLOOKUP(T1456,[8]Votes!$A$1:$E$234,3,FALSE)</f>
        <v>#N/A</v>
      </c>
      <c r="V1456" t="s">
        <v>8371</v>
      </c>
      <c r="W1456" s="369">
        <v>1</v>
      </c>
      <c r="X1456" s="369">
        <v>0</v>
      </c>
      <c r="Y1456" s="369">
        <v>0</v>
      </c>
      <c r="Z1456" s="369">
        <v>1</v>
      </c>
      <c r="AA1456" s="369">
        <v>1</v>
      </c>
      <c r="AB1456" s="369">
        <v>0</v>
      </c>
      <c r="AC1456" s="369">
        <v>0</v>
      </c>
      <c r="AD1456" s="369">
        <v>1</v>
      </c>
      <c r="AE1456" s="49">
        <f t="shared" si="60"/>
        <v>0.5</v>
      </c>
      <c r="AF1456" s="44"/>
      <c r="AG1456" s="17">
        <v>1</v>
      </c>
      <c r="AH1456" s="44">
        <v>0</v>
      </c>
      <c r="AI1456" s="44">
        <v>0</v>
      </c>
      <c r="AJ1456" s="44">
        <v>0</v>
      </c>
      <c r="AK1456" s="151"/>
      <c r="AL1456" s="151"/>
      <c r="AM1456" s="147">
        <f t="shared" si="59"/>
        <v>0</v>
      </c>
      <c r="AN1456" s="44" t="s">
        <v>8341</v>
      </c>
      <c r="AO1456" s="18" t="s">
        <v>1037</v>
      </c>
      <c r="AP1456" t="s">
        <v>119</v>
      </c>
    </row>
    <row r="1457" spans="1:42" s="10" customFormat="1" x14ac:dyDescent="0.3">
      <c r="A1457" s="367" t="s">
        <v>8317</v>
      </c>
      <c r="B1457" s="10" t="s">
        <v>8318</v>
      </c>
      <c r="C1457" s="368" t="s">
        <v>8330</v>
      </c>
      <c r="D1457" s="10" t="s">
        <v>8331</v>
      </c>
      <c r="E1457" s="10" t="s">
        <v>8332</v>
      </c>
      <c r="F1457" s="10" t="s">
        <v>8333</v>
      </c>
      <c r="G1457" s="10" t="s">
        <v>8357</v>
      </c>
      <c r="H1457" s="10" t="s">
        <v>8358</v>
      </c>
      <c r="K1457" s="10" t="s">
        <v>8359</v>
      </c>
      <c r="L1457" s="10" t="s">
        <v>8360</v>
      </c>
      <c r="M1457" s="18"/>
      <c r="N1457" s="18"/>
      <c r="O1457" s="18"/>
      <c r="P1457" s="16"/>
      <c r="Q1457" s="16"/>
      <c r="R1457" s="16"/>
      <c r="S1457" s="16"/>
      <c r="U1457" t="e">
        <f>VLOOKUP(T1457,[8]Votes!$A$1:$E$234,3,FALSE)</f>
        <v>#N/A</v>
      </c>
      <c r="V1457" t="s">
        <v>8372</v>
      </c>
      <c r="W1457" s="369">
        <v>1</v>
      </c>
      <c r="X1457" s="369">
        <v>1</v>
      </c>
      <c r="Y1457" s="369">
        <v>1</v>
      </c>
      <c r="Z1457" s="369">
        <v>0</v>
      </c>
      <c r="AA1457" s="369">
        <v>1</v>
      </c>
      <c r="AB1457" s="369">
        <v>1</v>
      </c>
      <c r="AC1457" s="369">
        <v>1</v>
      </c>
      <c r="AD1457" s="369">
        <v>1</v>
      </c>
      <c r="AE1457" s="49">
        <f t="shared" si="60"/>
        <v>0.875</v>
      </c>
      <c r="AF1457" s="44"/>
      <c r="AG1457" s="17">
        <v>1</v>
      </c>
      <c r="AH1457" s="44">
        <v>0</v>
      </c>
      <c r="AI1457" s="44">
        <v>0</v>
      </c>
      <c r="AJ1457" s="44">
        <v>0</v>
      </c>
      <c r="AK1457" s="151"/>
      <c r="AL1457" s="151"/>
      <c r="AM1457" s="147">
        <f t="shared" si="59"/>
        <v>0</v>
      </c>
      <c r="AN1457" s="44" t="s">
        <v>8341</v>
      </c>
      <c r="AO1457" s="18" t="s">
        <v>1037</v>
      </c>
      <c r="AP1457" t="s">
        <v>119</v>
      </c>
    </row>
    <row r="1458" spans="1:42" s="10" customFormat="1" x14ac:dyDescent="0.3">
      <c r="A1458" s="367" t="s">
        <v>8317</v>
      </c>
      <c r="B1458" s="10" t="s">
        <v>8318</v>
      </c>
      <c r="C1458" s="368" t="s">
        <v>8330</v>
      </c>
      <c r="D1458" s="10" t="s">
        <v>8331</v>
      </c>
      <c r="E1458" s="10" t="s">
        <v>8332</v>
      </c>
      <c r="F1458" s="10" t="s">
        <v>8333</v>
      </c>
      <c r="G1458" s="10" t="s">
        <v>8357</v>
      </c>
      <c r="H1458" s="10" t="s">
        <v>8358</v>
      </c>
      <c r="K1458" s="10" t="s">
        <v>8359</v>
      </c>
      <c r="L1458" s="10" t="s">
        <v>8360</v>
      </c>
      <c r="M1458" s="18"/>
      <c r="N1458" s="18"/>
      <c r="O1458" s="18"/>
      <c r="P1458" s="16"/>
      <c r="Q1458" s="16"/>
      <c r="R1458" s="16"/>
      <c r="S1458" s="16"/>
      <c r="U1458" t="e">
        <f>VLOOKUP(T1458,[8]Votes!$A$1:$E$234,3,FALSE)</f>
        <v>#N/A</v>
      </c>
      <c r="V1458" t="s">
        <v>8373</v>
      </c>
      <c r="W1458" s="369">
        <v>1</v>
      </c>
      <c r="X1458" s="369">
        <v>1</v>
      </c>
      <c r="Y1458" s="369">
        <v>1</v>
      </c>
      <c r="Z1458" s="369">
        <v>0</v>
      </c>
      <c r="AA1458" s="369">
        <v>1</v>
      </c>
      <c r="AB1458" s="369">
        <v>1</v>
      </c>
      <c r="AC1458" s="369">
        <v>1</v>
      </c>
      <c r="AD1458" s="369">
        <v>1</v>
      </c>
      <c r="AE1458" s="49">
        <f t="shared" si="60"/>
        <v>0.875</v>
      </c>
      <c r="AF1458" s="44"/>
      <c r="AG1458" s="17">
        <v>1</v>
      </c>
      <c r="AH1458" s="44">
        <v>0</v>
      </c>
      <c r="AI1458" s="44">
        <v>0</v>
      </c>
      <c r="AJ1458" s="44">
        <v>0</v>
      </c>
      <c r="AK1458" s="151"/>
      <c r="AL1458" s="151"/>
      <c r="AM1458" s="147">
        <f t="shared" si="59"/>
        <v>0</v>
      </c>
      <c r="AN1458" s="44" t="s">
        <v>8341</v>
      </c>
      <c r="AO1458" s="18" t="s">
        <v>1037</v>
      </c>
      <c r="AP1458" t="s">
        <v>119</v>
      </c>
    </row>
    <row r="1459" spans="1:42" s="10" customFormat="1" x14ac:dyDescent="0.3">
      <c r="A1459" s="367" t="s">
        <v>8317</v>
      </c>
      <c r="B1459" s="10" t="s">
        <v>8318</v>
      </c>
      <c r="C1459" s="368" t="s">
        <v>8330</v>
      </c>
      <c r="D1459" s="10" t="s">
        <v>8331</v>
      </c>
      <c r="E1459" s="10" t="s">
        <v>8332</v>
      </c>
      <c r="F1459" s="10" t="s">
        <v>8333</v>
      </c>
      <c r="G1459" s="10" t="s">
        <v>8357</v>
      </c>
      <c r="H1459" s="10" t="s">
        <v>8358</v>
      </c>
      <c r="K1459" s="10" t="s">
        <v>8359</v>
      </c>
      <c r="L1459" s="10" t="s">
        <v>8360</v>
      </c>
      <c r="M1459" s="18"/>
      <c r="N1459" s="18"/>
      <c r="O1459" s="18"/>
      <c r="P1459" s="16"/>
      <c r="Q1459" s="16"/>
      <c r="R1459" s="16"/>
      <c r="S1459" s="16"/>
      <c r="U1459" t="e">
        <f>VLOOKUP(T1459,[8]Votes!$A$1:$E$234,3,FALSE)</f>
        <v>#N/A</v>
      </c>
      <c r="V1459" t="s">
        <v>8374</v>
      </c>
      <c r="W1459" s="369">
        <v>1</v>
      </c>
      <c r="X1459" s="369">
        <v>1</v>
      </c>
      <c r="Y1459" s="369">
        <v>1</v>
      </c>
      <c r="Z1459" s="369">
        <v>0</v>
      </c>
      <c r="AA1459" s="369">
        <v>1</v>
      </c>
      <c r="AB1459" s="369">
        <v>1</v>
      </c>
      <c r="AC1459" s="369">
        <v>1</v>
      </c>
      <c r="AD1459" s="369">
        <v>1</v>
      </c>
      <c r="AE1459" s="49">
        <f t="shared" si="60"/>
        <v>0.875</v>
      </c>
      <c r="AF1459" s="44"/>
      <c r="AG1459" s="17">
        <v>1</v>
      </c>
      <c r="AH1459" s="44">
        <v>0</v>
      </c>
      <c r="AI1459" s="44">
        <v>0</v>
      </c>
      <c r="AJ1459" s="44">
        <v>0</v>
      </c>
      <c r="AK1459" s="151"/>
      <c r="AL1459" s="151"/>
      <c r="AM1459" s="147">
        <f t="shared" si="59"/>
        <v>0</v>
      </c>
      <c r="AN1459" s="44" t="s">
        <v>8341</v>
      </c>
      <c r="AO1459" s="18" t="s">
        <v>1037</v>
      </c>
      <c r="AP1459" t="s">
        <v>119</v>
      </c>
    </row>
    <row r="1460" spans="1:42" s="10" customFormat="1" x14ac:dyDescent="0.3">
      <c r="A1460" s="367" t="s">
        <v>8317</v>
      </c>
      <c r="B1460" s="10" t="s">
        <v>8318</v>
      </c>
      <c r="C1460" s="368" t="s">
        <v>8330</v>
      </c>
      <c r="D1460" s="10" t="s">
        <v>8331</v>
      </c>
      <c r="E1460" s="10" t="s">
        <v>8332</v>
      </c>
      <c r="F1460" s="10" t="s">
        <v>8333</v>
      </c>
      <c r="G1460" s="10" t="s">
        <v>8357</v>
      </c>
      <c r="H1460" s="10" t="s">
        <v>8358</v>
      </c>
      <c r="K1460" s="10" t="s">
        <v>8359</v>
      </c>
      <c r="L1460" s="10" t="s">
        <v>8360</v>
      </c>
      <c r="M1460" s="18"/>
      <c r="N1460" s="18"/>
      <c r="O1460" s="18"/>
      <c r="P1460" s="16"/>
      <c r="Q1460" s="16"/>
      <c r="R1460" s="16"/>
      <c r="S1460" s="16"/>
      <c r="U1460" t="e">
        <f>VLOOKUP(T1460,[8]Votes!$A$1:$E$234,3,FALSE)</f>
        <v>#N/A</v>
      </c>
      <c r="V1460" t="s">
        <v>8375</v>
      </c>
      <c r="W1460" s="369">
        <v>1</v>
      </c>
      <c r="X1460" s="369">
        <v>1</v>
      </c>
      <c r="Y1460" s="369">
        <v>1</v>
      </c>
      <c r="Z1460" s="369">
        <v>1</v>
      </c>
      <c r="AA1460" s="369">
        <v>1</v>
      </c>
      <c r="AB1460" s="369">
        <v>1</v>
      </c>
      <c r="AC1460" s="369">
        <v>1</v>
      </c>
      <c r="AD1460" s="369">
        <v>1</v>
      </c>
      <c r="AE1460" s="49">
        <f t="shared" si="60"/>
        <v>1</v>
      </c>
      <c r="AF1460" s="44"/>
      <c r="AG1460" s="17">
        <v>1</v>
      </c>
      <c r="AH1460" s="44">
        <v>0</v>
      </c>
      <c r="AI1460" s="44">
        <v>0</v>
      </c>
      <c r="AJ1460" s="44">
        <v>0</v>
      </c>
      <c r="AK1460" s="151"/>
      <c r="AL1460" s="151"/>
      <c r="AM1460" s="147">
        <f t="shared" si="59"/>
        <v>0</v>
      </c>
      <c r="AN1460" s="44" t="s">
        <v>8341</v>
      </c>
      <c r="AO1460" s="18" t="s">
        <v>1037</v>
      </c>
      <c r="AP1460" t="s">
        <v>119</v>
      </c>
    </row>
    <row r="1461" spans="1:42" s="10" customFormat="1" x14ac:dyDescent="0.3">
      <c r="A1461" s="367" t="s">
        <v>8317</v>
      </c>
      <c r="B1461" s="10" t="s">
        <v>8318</v>
      </c>
      <c r="C1461" s="368" t="s">
        <v>8330</v>
      </c>
      <c r="D1461" s="10" t="s">
        <v>8331</v>
      </c>
      <c r="E1461" s="10" t="s">
        <v>8332</v>
      </c>
      <c r="F1461" s="10" t="s">
        <v>8333</v>
      </c>
      <c r="G1461" s="10" t="s">
        <v>8357</v>
      </c>
      <c r="H1461" s="10" t="s">
        <v>8358</v>
      </c>
      <c r="K1461" s="10" t="s">
        <v>8359</v>
      </c>
      <c r="L1461" s="10" t="s">
        <v>8360</v>
      </c>
      <c r="M1461" s="18"/>
      <c r="N1461" s="18"/>
      <c r="O1461" s="18"/>
      <c r="P1461" s="16"/>
      <c r="Q1461" s="16"/>
      <c r="R1461" s="16"/>
      <c r="S1461" s="16"/>
      <c r="U1461" t="e">
        <f>VLOOKUP(T1461,[8]Votes!$A$1:$E$234,3,FALSE)</f>
        <v>#N/A</v>
      </c>
      <c r="V1461" t="s">
        <v>8376</v>
      </c>
      <c r="W1461" s="369">
        <v>1</v>
      </c>
      <c r="X1461" s="369">
        <v>1</v>
      </c>
      <c r="Y1461" s="369">
        <v>1</v>
      </c>
      <c r="Z1461" s="369">
        <v>1</v>
      </c>
      <c r="AA1461" s="369">
        <v>1</v>
      </c>
      <c r="AB1461" s="369">
        <v>1</v>
      </c>
      <c r="AC1461" s="369">
        <v>0</v>
      </c>
      <c r="AD1461" s="369">
        <v>1</v>
      </c>
      <c r="AE1461" s="49">
        <f t="shared" si="60"/>
        <v>0.875</v>
      </c>
      <c r="AF1461" s="44"/>
      <c r="AG1461" s="17">
        <v>1</v>
      </c>
      <c r="AH1461" s="44">
        <v>0</v>
      </c>
      <c r="AI1461" s="44">
        <v>0</v>
      </c>
      <c r="AJ1461" s="44">
        <v>0</v>
      </c>
      <c r="AK1461" s="151"/>
      <c r="AL1461" s="151"/>
      <c r="AM1461" s="147">
        <f t="shared" si="59"/>
        <v>0</v>
      </c>
      <c r="AN1461" s="44" t="s">
        <v>8341</v>
      </c>
      <c r="AO1461" s="18" t="s">
        <v>1037</v>
      </c>
      <c r="AP1461" t="s">
        <v>119</v>
      </c>
    </row>
    <row r="1462" spans="1:42" s="10" customFormat="1" x14ac:dyDescent="0.3">
      <c r="A1462" s="367" t="s">
        <v>8317</v>
      </c>
      <c r="B1462" s="10" t="s">
        <v>8318</v>
      </c>
      <c r="C1462" s="368" t="s">
        <v>8330</v>
      </c>
      <c r="D1462" s="10" t="s">
        <v>8331</v>
      </c>
      <c r="E1462" s="10" t="s">
        <v>8332</v>
      </c>
      <c r="F1462" s="10" t="s">
        <v>8333</v>
      </c>
      <c r="G1462" s="10" t="s">
        <v>8357</v>
      </c>
      <c r="H1462" s="10" t="s">
        <v>8358</v>
      </c>
      <c r="K1462" s="10" t="s">
        <v>8359</v>
      </c>
      <c r="L1462" s="10" t="s">
        <v>8360</v>
      </c>
      <c r="M1462" s="18"/>
      <c r="N1462" s="18"/>
      <c r="O1462" s="18"/>
      <c r="P1462" s="16"/>
      <c r="Q1462" s="16"/>
      <c r="R1462" s="16"/>
      <c r="S1462" s="16"/>
      <c r="U1462" t="e">
        <f>VLOOKUP(T1462,[8]Votes!$A$1:$E$234,3,FALSE)</f>
        <v>#N/A</v>
      </c>
      <c r="V1462" t="s">
        <v>8377</v>
      </c>
      <c r="W1462" s="369">
        <v>1</v>
      </c>
      <c r="X1462" s="369">
        <v>0</v>
      </c>
      <c r="Y1462" s="369">
        <v>0</v>
      </c>
      <c r="Z1462" s="369">
        <v>1</v>
      </c>
      <c r="AA1462" s="369">
        <v>1</v>
      </c>
      <c r="AB1462" s="369">
        <v>1</v>
      </c>
      <c r="AC1462" s="369">
        <v>0</v>
      </c>
      <c r="AD1462" s="369">
        <v>1</v>
      </c>
      <c r="AE1462" s="49">
        <f t="shared" si="60"/>
        <v>0.625</v>
      </c>
      <c r="AF1462" s="44">
        <v>1</v>
      </c>
      <c r="AG1462" s="17">
        <v>0</v>
      </c>
      <c r="AH1462" s="44">
        <v>0</v>
      </c>
      <c r="AI1462" s="44">
        <v>0</v>
      </c>
      <c r="AJ1462" s="44">
        <v>0</v>
      </c>
      <c r="AK1462" s="151">
        <v>2</v>
      </c>
      <c r="AL1462" s="151">
        <v>2</v>
      </c>
      <c r="AM1462" s="147">
        <f t="shared" si="59"/>
        <v>4</v>
      </c>
      <c r="AN1462" s="44" t="s">
        <v>8341</v>
      </c>
      <c r="AO1462" s="18" t="s">
        <v>1037</v>
      </c>
      <c r="AP1462" t="s">
        <v>119</v>
      </c>
    </row>
    <row r="1463" spans="1:42" s="10" customFormat="1" x14ac:dyDescent="0.3">
      <c r="A1463" s="367" t="s">
        <v>8317</v>
      </c>
      <c r="B1463" s="10" t="s">
        <v>8318</v>
      </c>
      <c r="C1463" s="368" t="s">
        <v>8330</v>
      </c>
      <c r="D1463" s="10" t="s">
        <v>8331</v>
      </c>
      <c r="E1463" s="10" t="s">
        <v>8332</v>
      </c>
      <c r="F1463" s="10" t="s">
        <v>8333</v>
      </c>
      <c r="G1463" s="10" t="s">
        <v>8357</v>
      </c>
      <c r="H1463" s="10" t="s">
        <v>8358</v>
      </c>
      <c r="K1463" s="10" t="s">
        <v>8359</v>
      </c>
      <c r="L1463" s="10" t="s">
        <v>8360</v>
      </c>
      <c r="M1463" s="18"/>
      <c r="N1463" s="18"/>
      <c r="O1463" s="18"/>
      <c r="P1463" s="16"/>
      <c r="Q1463" s="16"/>
      <c r="R1463" s="16"/>
      <c r="S1463" s="16"/>
      <c r="U1463" t="e">
        <f>VLOOKUP(T1463,[8]Votes!$A$1:$E$234,3,FALSE)</f>
        <v>#N/A</v>
      </c>
      <c r="V1463" t="s">
        <v>8378</v>
      </c>
      <c r="W1463" s="369">
        <v>1</v>
      </c>
      <c r="X1463" s="369">
        <v>0</v>
      </c>
      <c r="Y1463" s="369">
        <v>0</v>
      </c>
      <c r="Z1463" s="369">
        <v>1</v>
      </c>
      <c r="AA1463" s="369">
        <v>1</v>
      </c>
      <c r="AB1463" s="369">
        <v>1</v>
      </c>
      <c r="AC1463" s="369">
        <v>0</v>
      </c>
      <c r="AD1463" s="369">
        <v>1</v>
      </c>
      <c r="AE1463" s="49">
        <f t="shared" si="60"/>
        <v>0.625</v>
      </c>
      <c r="AF1463" s="44">
        <v>1</v>
      </c>
      <c r="AG1463" s="17">
        <v>0</v>
      </c>
      <c r="AH1463" s="44">
        <v>0</v>
      </c>
      <c r="AI1463" s="44">
        <v>0</v>
      </c>
      <c r="AJ1463" s="44">
        <v>0</v>
      </c>
      <c r="AK1463" s="151">
        <v>2</v>
      </c>
      <c r="AL1463" s="151">
        <v>2</v>
      </c>
      <c r="AM1463" s="147">
        <f t="shared" si="59"/>
        <v>4</v>
      </c>
      <c r="AN1463" s="44" t="s">
        <v>8341</v>
      </c>
      <c r="AO1463" s="18" t="s">
        <v>1037</v>
      </c>
      <c r="AP1463" t="s">
        <v>119</v>
      </c>
    </row>
    <row r="1464" spans="1:42" s="10" customFormat="1" x14ac:dyDescent="0.3">
      <c r="A1464" s="367" t="s">
        <v>8317</v>
      </c>
      <c r="B1464" s="10" t="s">
        <v>8318</v>
      </c>
      <c r="C1464" s="368" t="s">
        <v>8330</v>
      </c>
      <c r="D1464" s="10" t="s">
        <v>8331</v>
      </c>
      <c r="E1464" s="10" t="s">
        <v>8332</v>
      </c>
      <c r="F1464" s="10" t="s">
        <v>8333</v>
      </c>
      <c r="G1464" s="10" t="s">
        <v>8357</v>
      </c>
      <c r="H1464" s="10" t="s">
        <v>8358</v>
      </c>
      <c r="K1464" s="10" t="s">
        <v>8359</v>
      </c>
      <c r="L1464" s="10" t="s">
        <v>8360</v>
      </c>
      <c r="M1464" s="18"/>
      <c r="N1464" s="18"/>
      <c r="O1464" s="18"/>
      <c r="P1464" s="16"/>
      <c r="Q1464" s="16"/>
      <c r="R1464" s="16"/>
      <c r="S1464" s="16"/>
      <c r="U1464" t="e">
        <f>VLOOKUP(T1464,[8]Votes!$A$1:$E$234,3,FALSE)</f>
        <v>#N/A</v>
      </c>
      <c r="V1464" t="s">
        <v>8379</v>
      </c>
      <c r="W1464" s="369">
        <v>1</v>
      </c>
      <c r="X1464" s="369">
        <v>0</v>
      </c>
      <c r="Y1464" s="369">
        <v>0</v>
      </c>
      <c r="Z1464" s="369">
        <v>1</v>
      </c>
      <c r="AA1464" s="369">
        <v>1</v>
      </c>
      <c r="AB1464" s="369">
        <v>0</v>
      </c>
      <c r="AC1464" s="369">
        <v>0</v>
      </c>
      <c r="AD1464" s="369">
        <v>1</v>
      </c>
      <c r="AE1464" s="49">
        <f t="shared" si="60"/>
        <v>0.5</v>
      </c>
      <c r="AF1464" s="44">
        <v>1</v>
      </c>
      <c r="AG1464" s="17">
        <v>0</v>
      </c>
      <c r="AH1464" s="44">
        <v>0</v>
      </c>
      <c r="AI1464" s="44">
        <v>0</v>
      </c>
      <c r="AJ1464" s="44">
        <v>0</v>
      </c>
      <c r="AK1464" s="151">
        <v>4</v>
      </c>
      <c r="AL1464" s="151">
        <v>3</v>
      </c>
      <c r="AM1464" s="147">
        <f t="shared" si="59"/>
        <v>7</v>
      </c>
      <c r="AN1464" s="44" t="s">
        <v>8341</v>
      </c>
      <c r="AO1464" s="18" t="s">
        <v>1037</v>
      </c>
      <c r="AP1464" t="s">
        <v>119</v>
      </c>
    </row>
    <row r="1465" spans="1:42" s="10" customFormat="1" x14ac:dyDescent="0.3">
      <c r="A1465" s="367" t="s">
        <v>8317</v>
      </c>
      <c r="B1465" s="10" t="s">
        <v>8318</v>
      </c>
      <c r="C1465" s="368" t="s">
        <v>8330</v>
      </c>
      <c r="D1465" s="10" t="s">
        <v>8331</v>
      </c>
      <c r="E1465" s="10" t="s">
        <v>8332</v>
      </c>
      <c r="F1465" s="10" t="s">
        <v>8333</v>
      </c>
      <c r="G1465" s="10" t="s">
        <v>8357</v>
      </c>
      <c r="H1465" s="10" t="s">
        <v>8358</v>
      </c>
      <c r="K1465" s="10" t="s">
        <v>8359</v>
      </c>
      <c r="L1465" s="10" t="s">
        <v>8360</v>
      </c>
      <c r="M1465" s="18"/>
      <c r="N1465" s="18"/>
      <c r="O1465" s="18"/>
      <c r="P1465" s="16"/>
      <c r="Q1465" s="16"/>
      <c r="R1465" s="16"/>
      <c r="S1465" s="16"/>
      <c r="U1465" t="e">
        <f>VLOOKUP(T1465,[8]Votes!$A$1:$E$234,3,FALSE)</f>
        <v>#N/A</v>
      </c>
      <c r="V1465" t="s">
        <v>8380</v>
      </c>
      <c r="W1465" s="369">
        <v>1</v>
      </c>
      <c r="X1465" s="369">
        <v>1</v>
      </c>
      <c r="Y1465" s="369">
        <v>1</v>
      </c>
      <c r="Z1465" s="369">
        <v>0</v>
      </c>
      <c r="AA1465" s="369">
        <v>1</v>
      </c>
      <c r="AB1465" s="369">
        <v>0</v>
      </c>
      <c r="AC1465" s="369">
        <v>1</v>
      </c>
      <c r="AD1465" s="369">
        <v>1</v>
      </c>
      <c r="AE1465" s="49">
        <f t="shared" si="60"/>
        <v>0.75</v>
      </c>
      <c r="AF1465" s="44">
        <v>1</v>
      </c>
      <c r="AG1465" s="17">
        <v>0</v>
      </c>
      <c r="AH1465" s="44">
        <v>0</v>
      </c>
      <c r="AI1465" s="44">
        <v>0</v>
      </c>
      <c r="AJ1465" s="44">
        <v>0</v>
      </c>
      <c r="AK1465" s="151">
        <v>4</v>
      </c>
      <c r="AL1465" s="151">
        <v>2</v>
      </c>
      <c r="AM1465" s="147">
        <f t="shared" si="59"/>
        <v>6</v>
      </c>
      <c r="AN1465" s="44" t="s">
        <v>8341</v>
      </c>
      <c r="AO1465" s="18" t="s">
        <v>1037</v>
      </c>
      <c r="AP1465" t="s">
        <v>119</v>
      </c>
    </row>
    <row r="1466" spans="1:42" s="10" customFormat="1" x14ac:dyDescent="0.3">
      <c r="A1466" s="367" t="s">
        <v>8317</v>
      </c>
      <c r="B1466" s="10" t="s">
        <v>8318</v>
      </c>
      <c r="C1466" s="368" t="s">
        <v>8330</v>
      </c>
      <c r="D1466" s="10" t="s">
        <v>8331</v>
      </c>
      <c r="E1466" s="10" t="s">
        <v>8332</v>
      </c>
      <c r="F1466" s="10" t="s">
        <v>8333</v>
      </c>
      <c r="G1466" s="10" t="s">
        <v>8357</v>
      </c>
      <c r="H1466" s="10" t="s">
        <v>8358</v>
      </c>
      <c r="K1466" s="10" t="s">
        <v>8359</v>
      </c>
      <c r="L1466" s="10" t="s">
        <v>8360</v>
      </c>
      <c r="M1466" s="18"/>
      <c r="N1466" s="18"/>
      <c r="O1466" s="18"/>
      <c r="P1466" s="16"/>
      <c r="Q1466" s="16"/>
      <c r="R1466" s="16"/>
      <c r="S1466" s="16"/>
      <c r="U1466" t="e">
        <f>VLOOKUP(T1466,[8]Votes!$A$1:$E$234,3,FALSE)</f>
        <v>#N/A</v>
      </c>
      <c r="V1466" t="s">
        <v>8381</v>
      </c>
      <c r="W1466" s="369">
        <v>1</v>
      </c>
      <c r="X1466" s="369">
        <v>1</v>
      </c>
      <c r="Y1466" s="369">
        <v>1</v>
      </c>
      <c r="Z1466" s="369">
        <v>0</v>
      </c>
      <c r="AA1466" s="369">
        <v>1</v>
      </c>
      <c r="AB1466" s="369">
        <v>1</v>
      </c>
      <c r="AC1466" s="369">
        <v>1</v>
      </c>
      <c r="AD1466" s="369">
        <v>1</v>
      </c>
      <c r="AE1466" s="49">
        <f t="shared" si="60"/>
        <v>0.875</v>
      </c>
      <c r="AF1466" s="44">
        <v>1</v>
      </c>
      <c r="AG1466" s="17">
        <v>0</v>
      </c>
      <c r="AH1466" s="44">
        <v>0</v>
      </c>
      <c r="AI1466" s="44">
        <v>0</v>
      </c>
      <c r="AJ1466" s="44">
        <v>0</v>
      </c>
      <c r="AK1466" s="151">
        <v>1</v>
      </c>
      <c r="AL1466" s="151">
        <v>2</v>
      </c>
      <c r="AM1466" s="147">
        <f t="shared" si="59"/>
        <v>3</v>
      </c>
      <c r="AN1466" s="44" t="s">
        <v>8341</v>
      </c>
      <c r="AO1466" s="18" t="s">
        <v>1037</v>
      </c>
      <c r="AP1466" t="s">
        <v>119</v>
      </c>
    </row>
    <row r="1467" spans="1:42" s="10" customFormat="1" x14ac:dyDescent="0.3">
      <c r="A1467" s="367" t="s">
        <v>8317</v>
      </c>
      <c r="B1467" s="10" t="s">
        <v>8318</v>
      </c>
      <c r="C1467" s="368" t="s">
        <v>8330</v>
      </c>
      <c r="D1467" s="10" t="s">
        <v>8331</v>
      </c>
      <c r="E1467" s="10" t="s">
        <v>8332</v>
      </c>
      <c r="F1467" s="10" t="s">
        <v>8333</v>
      </c>
      <c r="G1467" s="10" t="s">
        <v>8357</v>
      </c>
      <c r="H1467" s="10" t="s">
        <v>8358</v>
      </c>
      <c r="K1467" s="10" t="s">
        <v>8359</v>
      </c>
      <c r="L1467" s="10" t="s">
        <v>8360</v>
      </c>
      <c r="M1467" s="18"/>
      <c r="N1467" s="18"/>
      <c r="O1467" s="18"/>
      <c r="P1467" s="16"/>
      <c r="Q1467" s="16"/>
      <c r="R1467" s="16"/>
      <c r="S1467" s="16"/>
      <c r="U1467" t="e">
        <f>VLOOKUP(T1467,[8]Votes!$A$1:$E$234,3,FALSE)</f>
        <v>#N/A</v>
      </c>
      <c r="V1467" t="s">
        <v>8382</v>
      </c>
      <c r="W1467" s="369">
        <v>1</v>
      </c>
      <c r="X1467" s="369">
        <v>1</v>
      </c>
      <c r="Y1467" s="369">
        <v>1</v>
      </c>
      <c r="Z1467" s="369">
        <v>0</v>
      </c>
      <c r="AA1467" s="369">
        <v>1</v>
      </c>
      <c r="AB1467" s="369">
        <v>1</v>
      </c>
      <c r="AC1467" s="369">
        <v>1</v>
      </c>
      <c r="AD1467" s="369">
        <v>1</v>
      </c>
      <c r="AE1467" s="49">
        <f t="shared" si="60"/>
        <v>0.875</v>
      </c>
      <c r="AF1467" s="44">
        <v>1</v>
      </c>
      <c r="AG1467" s="17">
        <v>1</v>
      </c>
      <c r="AH1467" s="44">
        <v>0</v>
      </c>
      <c r="AI1467" s="44">
        <v>0</v>
      </c>
      <c r="AJ1467" s="44">
        <v>0</v>
      </c>
      <c r="AK1467" s="151">
        <v>0</v>
      </c>
      <c r="AL1467" s="151"/>
      <c r="AM1467" s="147">
        <f t="shared" si="59"/>
        <v>0</v>
      </c>
      <c r="AN1467" s="44" t="s">
        <v>8341</v>
      </c>
      <c r="AO1467" s="18" t="s">
        <v>1037</v>
      </c>
      <c r="AP1467" t="s">
        <v>119</v>
      </c>
    </row>
    <row r="1468" spans="1:42" s="10" customFormat="1" x14ac:dyDescent="0.3">
      <c r="A1468" s="367" t="s">
        <v>8317</v>
      </c>
      <c r="B1468" s="10" t="s">
        <v>8318</v>
      </c>
      <c r="C1468" s="368" t="s">
        <v>8330</v>
      </c>
      <c r="D1468" s="10" t="s">
        <v>8331</v>
      </c>
      <c r="E1468" s="10" t="s">
        <v>8332</v>
      </c>
      <c r="F1468" s="10" t="s">
        <v>8333</v>
      </c>
      <c r="G1468" s="10" t="s">
        <v>8357</v>
      </c>
      <c r="H1468" s="10" t="s">
        <v>8358</v>
      </c>
      <c r="K1468" s="10" t="s">
        <v>8359</v>
      </c>
      <c r="L1468" s="10" t="s">
        <v>8360</v>
      </c>
      <c r="M1468" s="18"/>
      <c r="N1468" s="18"/>
      <c r="O1468" s="18"/>
      <c r="P1468" s="16"/>
      <c r="Q1468" s="16"/>
      <c r="R1468" s="16"/>
      <c r="S1468" s="16"/>
      <c r="U1468" t="e">
        <f>VLOOKUP(T1468,[8]Votes!$A$1:$E$234,3,FALSE)</f>
        <v>#N/A</v>
      </c>
      <c r="V1468" t="s">
        <v>8383</v>
      </c>
      <c r="W1468" s="369">
        <v>1</v>
      </c>
      <c r="X1468" s="369">
        <v>0</v>
      </c>
      <c r="Y1468" s="369">
        <v>1</v>
      </c>
      <c r="Z1468" s="369">
        <v>0</v>
      </c>
      <c r="AA1468" s="369">
        <v>1</v>
      </c>
      <c r="AB1468" s="369">
        <v>1</v>
      </c>
      <c r="AC1468" s="369">
        <v>0</v>
      </c>
      <c r="AD1468" s="369">
        <v>1</v>
      </c>
      <c r="AE1468" s="49">
        <f t="shared" si="60"/>
        <v>0.625</v>
      </c>
      <c r="AF1468" s="44">
        <v>1</v>
      </c>
      <c r="AG1468" s="17">
        <v>0</v>
      </c>
      <c r="AH1468" s="44">
        <v>0</v>
      </c>
      <c r="AI1468" s="44">
        <v>0</v>
      </c>
      <c r="AJ1468" s="44">
        <v>0</v>
      </c>
      <c r="AK1468" s="151">
        <v>2</v>
      </c>
      <c r="AL1468" s="151">
        <v>2</v>
      </c>
      <c r="AM1468" s="147">
        <f t="shared" si="59"/>
        <v>4</v>
      </c>
      <c r="AN1468" s="44" t="s">
        <v>8341</v>
      </c>
      <c r="AO1468" s="18" t="s">
        <v>1037</v>
      </c>
      <c r="AP1468" t="s">
        <v>119</v>
      </c>
    </row>
    <row r="1469" spans="1:42" s="10" customFormat="1" x14ac:dyDescent="0.3">
      <c r="A1469" s="367" t="s">
        <v>8317</v>
      </c>
      <c r="B1469" s="10" t="s">
        <v>8318</v>
      </c>
      <c r="C1469" s="368" t="s">
        <v>8330</v>
      </c>
      <c r="D1469" s="10" t="s">
        <v>8331</v>
      </c>
      <c r="E1469" s="10" t="s">
        <v>8332</v>
      </c>
      <c r="F1469" s="10" t="s">
        <v>8333</v>
      </c>
      <c r="G1469" s="10" t="s">
        <v>8357</v>
      </c>
      <c r="H1469" s="10" t="s">
        <v>8358</v>
      </c>
      <c r="K1469" s="10" t="s">
        <v>8359</v>
      </c>
      <c r="L1469" s="10" t="s">
        <v>8360</v>
      </c>
      <c r="M1469" s="18"/>
      <c r="N1469" s="18"/>
      <c r="O1469" s="18"/>
      <c r="P1469" s="16"/>
      <c r="Q1469" s="16"/>
      <c r="R1469" s="16"/>
      <c r="S1469" s="16"/>
      <c r="U1469" t="e">
        <f>VLOOKUP(T1469,[8]Votes!$A$1:$E$234,3,FALSE)</f>
        <v>#N/A</v>
      </c>
      <c r="V1469" t="s">
        <v>8384</v>
      </c>
      <c r="W1469" s="369">
        <v>1</v>
      </c>
      <c r="X1469" s="369">
        <v>0</v>
      </c>
      <c r="Y1469" s="369">
        <v>0</v>
      </c>
      <c r="Z1469" s="369">
        <v>1</v>
      </c>
      <c r="AA1469" s="369">
        <v>1</v>
      </c>
      <c r="AB1469" s="369">
        <v>0</v>
      </c>
      <c r="AC1469" s="369">
        <v>0</v>
      </c>
      <c r="AD1469" s="369">
        <v>1</v>
      </c>
      <c r="AE1469" s="49">
        <f t="shared" si="60"/>
        <v>0.5</v>
      </c>
      <c r="AF1469" s="44">
        <v>1</v>
      </c>
      <c r="AG1469" s="17">
        <v>0</v>
      </c>
      <c r="AH1469" s="44">
        <v>0</v>
      </c>
      <c r="AI1469" s="44">
        <v>0</v>
      </c>
      <c r="AJ1469" s="44">
        <v>0</v>
      </c>
      <c r="AK1469" s="151">
        <v>5</v>
      </c>
      <c r="AL1469" s="151">
        <v>5</v>
      </c>
      <c r="AM1469" s="147">
        <f t="shared" si="59"/>
        <v>10</v>
      </c>
      <c r="AN1469" s="44" t="s">
        <v>8341</v>
      </c>
      <c r="AO1469" s="18" t="s">
        <v>1037</v>
      </c>
      <c r="AP1469" t="s">
        <v>119</v>
      </c>
    </row>
    <row r="1470" spans="1:42" s="10" customFormat="1" x14ac:dyDescent="0.3">
      <c r="A1470" s="367" t="s">
        <v>8317</v>
      </c>
      <c r="B1470" s="10" t="s">
        <v>8318</v>
      </c>
      <c r="C1470" s="368" t="s">
        <v>8330</v>
      </c>
      <c r="D1470" s="10" t="s">
        <v>8331</v>
      </c>
      <c r="E1470" s="10" t="s">
        <v>8332</v>
      </c>
      <c r="F1470" s="10" t="s">
        <v>8333</v>
      </c>
      <c r="G1470" s="10" t="s">
        <v>8357</v>
      </c>
      <c r="H1470" s="10" t="s">
        <v>8358</v>
      </c>
      <c r="K1470" s="10" t="s">
        <v>8359</v>
      </c>
      <c r="L1470" s="10" t="s">
        <v>8360</v>
      </c>
      <c r="M1470" s="18"/>
      <c r="N1470" s="18"/>
      <c r="O1470" s="18"/>
      <c r="P1470" s="16"/>
      <c r="Q1470" s="16"/>
      <c r="R1470" s="16"/>
      <c r="S1470" s="16"/>
      <c r="U1470" t="e">
        <f>VLOOKUP(T1470,[8]Votes!$A$1:$E$234,3,FALSE)</f>
        <v>#N/A</v>
      </c>
      <c r="V1470" t="s">
        <v>8385</v>
      </c>
      <c r="W1470" s="369">
        <v>1</v>
      </c>
      <c r="X1470" s="369">
        <v>1</v>
      </c>
      <c r="Y1470" s="369">
        <v>0</v>
      </c>
      <c r="Z1470" s="369">
        <v>1</v>
      </c>
      <c r="AA1470" s="369">
        <v>1</v>
      </c>
      <c r="AB1470" s="369">
        <v>1</v>
      </c>
      <c r="AC1470" s="369">
        <v>1</v>
      </c>
      <c r="AD1470" s="369">
        <v>1</v>
      </c>
      <c r="AE1470" s="49">
        <f t="shared" si="60"/>
        <v>0.875</v>
      </c>
      <c r="AF1470" s="44">
        <v>1</v>
      </c>
      <c r="AG1470" s="17">
        <v>0</v>
      </c>
      <c r="AH1470" s="44">
        <v>0</v>
      </c>
      <c r="AI1470" s="44">
        <v>0</v>
      </c>
      <c r="AJ1470" s="44">
        <v>0</v>
      </c>
      <c r="AK1470" s="151">
        <v>2</v>
      </c>
      <c r="AL1470" s="151">
        <v>2</v>
      </c>
      <c r="AM1470" s="147">
        <f t="shared" si="59"/>
        <v>4</v>
      </c>
      <c r="AN1470" s="44" t="s">
        <v>8341</v>
      </c>
      <c r="AO1470" s="18" t="s">
        <v>1037</v>
      </c>
      <c r="AP1470" t="s">
        <v>119</v>
      </c>
    </row>
    <row r="1471" spans="1:42" s="10" customFormat="1" x14ac:dyDescent="0.3">
      <c r="A1471" s="367" t="s">
        <v>8317</v>
      </c>
      <c r="B1471" s="10" t="s">
        <v>8318</v>
      </c>
      <c r="C1471" s="368" t="s">
        <v>8330</v>
      </c>
      <c r="D1471" s="10" t="s">
        <v>8331</v>
      </c>
      <c r="E1471" s="10" t="s">
        <v>8332</v>
      </c>
      <c r="F1471" s="10" t="s">
        <v>8333</v>
      </c>
      <c r="G1471" s="10" t="s">
        <v>8357</v>
      </c>
      <c r="H1471" s="10" t="s">
        <v>8358</v>
      </c>
      <c r="K1471" s="10" t="s">
        <v>8359</v>
      </c>
      <c r="L1471" s="10" t="s">
        <v>8360</v>
      </c>
      <c r="M1471" s="18"/>
      <c r="N1471" s="18"/>
      <c r="O1471" s="18"/>
      <c r="P1471" s="16"/>
      <c r="Q1471" s="16"/>
      <c r="R1471" s="16"/>
      <c r="S1471" s="16"/>
      <c r="U1471" t="e">
        <f>VLOOKUP(T1471,[8]Votes!$A$1:$E$234,3,FALSE)</f>
        <v>#N/A</v>
      </c>
      <c r="V1471" t="s">
        <v>8386</v>
      </c>
      <c r="W1471" s="369">
        <v>1</v>
      </c>
      <c r="X1471" s="369">
        <v>1</v>
      </c>
      <c r="Y1471" s="369">
        <v>0</v>
      </c>
      <c r="Z1471" s="369">
        <v>1</v>
      </c>
      <c r="AA1471" s="369">
        <v>1</v>
      </c>
      <c r="AB1471" s="369">
        <v>1</v>
      </c>
      <c r="AC1471" s="369">
        <v>1</v>
      </c>
      <c r="AD1471" s="369">
        <v>1</v>
      </c>
      <c r="AE1471" s="49">
        <f t="shared" si="60"/>
        <v>0.875</v>
      </c>
      <c r="AF1471" s="44">
        <v>1</v>
      </c>
      <c r="AG1471" s="17">
        <v>0</v>
      </c>
      <c r="AH1471" s="44">
        <v>0</v>
      </c>
      <c r="AI1471" s="44">
        <v>0</v>
      </c>
      <c r="AJ1471" s="44">
        <v>0</v>
      </c>
      <c r="AK1471" s="151">
        <v>2</v>
      </c>
      <c r="AL1471" s="151">
        <v>2</v>
      </c>
      <c r="AM1471" s="147">
        <f t="shared" si="59"/>
        <v>4</v>
      </c>
      <c r="AN1471" s="44" t="s">
        <v>8341</v>
      </c>
      <c r="AO1471" s="18" t="s">
        <v>1037</v>
      </c>
      <c r="AP1471" t="s">
        <v>119</v>
      </c>
    </row>
    <row r="1472" spans="1:42" s="10" customFormat="1" x14ac:dyDescent="0.3">
      <c r="A1472" s="367" t="s">
        <v>8317</v>
      </c>
      <c r="B1472" s="10" t="s">
        <v>8318</v>
      </c>
      <c r="C1472" s="368" t="s">
        <v>8330</v>
      </c>
      <c r="D1472" s="10" t="s">
        <v>8331</v>
      </c>
      <c r="E1472" s="10" t="s">
        <v>8332</v>
      </c>
      <c r="F1472" s="10" t="s">
        <v>8333</v>
      </c>
      <c r="G1472" s="10" t="s">
        <v>8357</v>
      </c>
      <c r="H1472" s="10" t="s">
        <v>8358</v>
      </c>
      <c r="K1472" s="10" t="s">
        <v>8359</v>
      </c>
      <c r="L1472" s="10" t="s">
        <v>8360</v>
      </c>
      <c r="M1472" s="18"/>
      <c r="N1472" s="18"/>
      <c r="O1472" s="18"/>
      <c r="P1472" s="16"/>
      <c r="Q1472" s="16"/>
      <c r="R1472" s="16"/>
      <c r="S1472" s="16"/>
      <c r="U1472" t="e">
        <f>VLOOKUP(T1472,[8]Votes!$A$1:$E$234,3,FALSE)</f>
        <v>#N/A</v>
      </c>
      <c r="V1472" t="s">
        <v>8387</v>
      </c>
      <c r="W1472" s="369">
        <v>1</v>
      </c>
      <c r="X1472" s="369">
        <v>1</v>
      </c>
      <c r="Y1472" s="369">
        <v>0</v>
      </c>
      <c r="Z1472" s="369">
        <v>1</v>
      </c>
      <c r="AA1472" s="369">
        <v>1</v>
      </c>
      <c r="AB1472" s="369">
        <v>1</v>
      </c>
      <c r="AC1472" s="369">
        <v>1</v>
      </c>
      <c r="AD1472" s="369">
        <v>1</v>
      </c>
      <c r="AE1472" s="49">
        <f t="shared" si="60"/>
        <v>0.875</v>
      </c>
      <c r="AF1472" s="44">
        <v>1</v>
      </c>
      <c r="AG1472" s="17">
        <v>0</v>
      </c>
      <c r="AH1472" s="44">
        <v>0</v>
      </c>
      <c r="AI1472" s="44">
        <v>0</v>
      </c>
      <c r="AJ1472" s="44">
        <v>0</v>
      </c>
      <c r="AK1472" s="151">
        <v>0.5</v>
      </c>
      <c r="AL1472" s="151">
        <v>0.5</v>
      </c>
      <c r="AM1472" s="147">
        <f t="shared" si="59"/>
        <v>1</v>
      </c>
      <c r="AN1472" s="44" t="s">
        <v>8341</v>
      </c>
      <c r="AO1472" s="18" t="s">
        <v>1037</v>
      </c>
      <c r="AP1472" t="s">
        <v>119</v>
      </c>
    </row>
    <row r="1473" spans="1:44" s="10" customFormat="1" x14ac:dyDescent="0.3">
      <c r="A1473" s="367" t="s">
        <v>8317</v>
      </c>
      <c r="B1473" s="10" t="s">
        <v>8318</v>
      </c>
      <c r="C1473" s="368" t="s">
        <v>8330</v>
      </c>
      <c r="D1473" s="10" t="s">
        <v>8331</v>
      </c>
      <c r="E1473" s="10" t="s">
        <v>8332</v>
      </c>
      <c r="F1473" s="10" t="s">
        <v>8333</v>
      </c>
      <c r="G1473" s="10" t="s">
        <v>8357</v>
      </c>
      <c r="H1473" s="10" t="s">
        <v>8358</v>
      </c>
      <c r="K1473" s="10" t="s">
        <v>8359</v>
      </c>
      <c r="L1473" s="10" t="s">
        <v>8360</v>
      </c>
      <c r="M1473" s="18"/>
      <c r="N1473" s="18"/>
      <c r="O1473" s="18"/>
      <c r="P1473" s="16"/>
      <c r="Q1473" s="16"/>
      <c r="R1473" s="16"/>
      <c r="S1473" s="16"/>
      <c r="U1473" t="e">
        <f>VLOOKUP(T1473,[8]Votes!$A$1:$E$234,3,FALSE)</f>
        <v>#N/A</v>
      </c>
      <c r="V1473" t="s">
        <v>8388</v>
      </c>
      <c r="W1473" s="369">
        <v>1</v>
      </c>
      <c r="X1473" s="369">
        <v>1</v>
      </c>
      <c r="Y1473" s="369">
        <v>0</v>
      </c>
      <c r="Z1473" s="369">
        <v>1</v>
      </c>
      <c r="AA1473" s="369">
        <v>1</v>
      </c>
      <c r="AB1473" s="369">
        <v>1</v>
      </c>
      <c r="AC1473" s="369">
        <v>0</v>
      </c>
      <c r="AD1473" s="369">
        <v>1</v>
      </c>
      <c r="AE1473" s="49">
        <f t="shared" si="60"/>
        <v>0.75</v>
      </c>
      <c r="AF1473" s="44">
        <v>1</v>
      </c>
      <c r="AG1473" s="17">
        <v>0</v>
      </c>
      <c r="AH1473" s="44">
        <v>0</v>
      </c>
      <c r="AI1473" s="44">
        <v>0</v>
      </c>
      <c r="AJ1473" s="44">
        <v>0</v>
      </c>
      <c r="AK1473" s="151">
        <v>0.5</v>
      </c>
      <c r="AL1473" s="151">
        <v>0.5</v>
      </c>
      <c r="AM1473" s="147">
        <f t="shared" si="59"/>
        <v>1</v>
      </c>
      <c r="AN1473" s="44" t="s">
        <v>8341</v>
      </c>
      <c r="AO1473" s="18" t="s">
        <v>1037</v>
      </c>
      <c r="AP1473" t="s">
        <v>119</v>
      </c>
    </row>
    <row r="1474" spans="1:44" s="10" customFormat="1" x14ac:dyDescent="0.3">
      <c r="A1474" s="367" t="s">
        <v>8317</v>
      </c>
      <c r="B1474" s="10" t="s">
        <v>8318</v>
      </c>
      <c r="C1474" s="368" t="s">
        <v>8330</v>
      </c>
      <c r="D1474" s="10" t="s">
        <v>8331</v>
      </c>
      <c r="E1474" s="10" t="s">
        <v>8332</v>
      </c>
      <c r="F1474" s="10" t="s">
        <v>8333</v>
      </c>
      <c r="G1474" s="10" t="s">
        <v>8357</v>
      </c>
      <c r="H1474" s="10" t="s">
        <v>8358</v>
      </c>
      <c r="K1474" s="10" t="s">
        <v>8359</v>
      </c>
      <c r="L1474" s="10" t="s">
        <v>8360</v>
      </c>
      <c r="M1474" s="18"/>
      <c r="N1474" s="18"/>
      <c r="O1474" s="18"/>
      <c r="P1474" s="16"/>
      <c r="Q1474" s="16"/>
      <c r="R1474" s="16"/>
      <c r="S1474" s="16"/>
      <c r="U1474" t="e">
        <f>VLOOKUP(T1474,[8]Votes!$A$1:$E$234,3,FALSE)</f>
        <v>#N/A</v>
      </c>
      <c r="V1474" t="s">
        <v>8389</v>
      </c>
      <c r="W1474" s="369">
        <v>1</v>
      </c>
      <c r="X1474" s="369">
        <v>1</v>
      </c>
      <c r="Y1474" s="369">
        <v>0</v>
      </c>
      <c r="Z1474" s="369">
        <v>1</v>
      </c>
      <c r="AA1474" s="369">
        <v>1</v>
      </c>
      <c r="AB1474" s="369">
        <v>1</v>
      </c>
      <c r="AC1474" s="369">
        <v>0</v>
      </c>
      <c r="AD1474" s="369">
        <v>1</v>
      </c>
      <c r="AE1474" s="49">
        <f t="shared" si="60"/>
        <v>0.75</v>
      </c>
      <c r="AF1474" s="44"/>
      <c r="AG1474" s="17">
        <v>0</v>
      </c>
      <c r="AH1474" s="44">
        <v>8</v>
      </c>
      <c r="AI1474" s="44">
        <v>4</v>
      </c>
      <c r="AJ1474" s="44">
        <v>4</v>
      </c>
      <c r="AK1474" s="151"/>
      <c r="AL1474" s="151"/>
      <c r="AM1474" s="147">
        <f t="shared" si="59"/>
        <v>0</v>
      </c>
      <c r="AN1474" s="44" t="s">
        <v>8341</v>
      </c>
      <c r="AO1474" s="18" t="s">
        <v>1037</v>
      </c>
      <c r="AP1474" t="s">
        <v>119</v>
      </c>
    </row>
    <row r="1475" spans="1:44" s="10" customFormat="1" x14ac:dyDescent="0.3">
      <c r="A1475" s="367" t="s">
        <v>8317</v>
      </c>
      <c r="B1475" s="10" t="s">
        <v>8318</v>
      </c>
      <c r="C1475" s="368" t="s">
        <v>8330</v>
      </c>
      <c r="D1475" s="10" t="s">
        <v>8331</v>
      </c>
      <c r="E1475" s="10" t="s">
        <v>8332</v>
      </c>
      <c r="F1475" s="10" t="s">
        <v>8333</v>
      </c>
      <c r="G1475" s="10" t="s">
        <v>8357</v>
      </c>
      <c r="H1475" s="10" t="s">
        <v>8358</v>
      </c>
      <c r="I1475" s="9"/>
      <c r="J1475" s="370"/>
      <c r="K1475" s="10" t="s">
        <v>8359</v>
      </c>
      <c r="L1475" s="10" t="s">
        <v>8360</v>
      </c>
      <c r="M1475" s="18"/>
      <c r="N1475" s="18"/>
      <c r="O1475" s="18"/>
      <c r="P1475" s="16"/>
      <c r="Q1475" s="16"/>
      <c r="R1475" s="16"/>
      <c r="S1475" s="16"/>
      <c r="U1475" t="e">
        <f>VLOOKUP(T1475,[8]Votes!$A$1:$E$234,3,FALSE)</f>
        <v>#N/A</v>
      </c>
      <c r="V1475" t="s">
        <v>8390</v>
      </c>
      <c r="W1475" s="369">
        <v>1</v>
      </c>
      <c r="X1475" s="369">
        <v>1</v>
      </c>
      <c r="Y1475" s="369">
        <v>0</v>
      </c>
      <c r="Z1475" s="369">
        <v>1</v>
      </c>
      <c r="AA1475" s="369">
        <v>1</v>
      </c>
      <c r="AB1475" s="369">
        <v>1</v>
      </c>
      <c r="AC1475" s="369">
        <v>0</v>
      </c>
      <c r="AD1475" s="369">
        <v>1</v>
      </c>
      <c r="AE1475" s="49">
        <f t="shared" si="60"/>
        <v>0.75</v>
      </c>
      <c r="AF1475" s="17">
        <v>1</v>
      </c>
      <c r="AG1475" s="17">
        <v>0</v>
      </c>
      <c r="AH1475" s="17">
        <v>0</v>
      </c>
      <c r="AI1475" s="17">
        <v>0</v>
      </c>
      <c r="AJ1475" s="17">
        <v>0</v>
      </c>
      <c r="AK1475" s="153">
        <v>1</v>
      </c>
      <c r="AL1475" s="151">
        <v>5</v>
      </c>
      <c r="AM1475" s="147">
        <f t="shared" si="59"/>
        <v>6</v>
      </c>
      <c r="AN1475" s="44" t="s">
        <v>8341</v>
      </c>
      <c r="AO1475" s="18" t="s">
        <v>1037</v>
      </c>
      <c r="AP1475" t="s">
        <v>119</v>
      </c>
    </row>
    <row r="1476" spans="1:44" s="10" customFormat="1" x14ac:dyDescent="0.3">
      <c r="A1476" s="367" t="s">
        <v>8317</v>
      </c>
      <c r="B1476" s="10" t="s">
        <v>8318</v>
      </c>
      <c r="C1476" s="368" t="s">
        <v>8330</v>
      </c>
      <c r="D1476" s="10" t="s">
        <v>8331</v>
      </c>
      <c r="E1476" s="10" t="s">
        <v>8332</v>
      </c>
      <c r="F1476" s="10" t="s">
        <v>8333</v>
      </c>
      <c r="G1476" s="10" t="s">
        <v>8357</v>
      </c>
      <c r="H1476" s="10" t="s">
        <v>8358</v>
      </c>
      <c r="I1476" s="9"/>
      <c r="J1476" s="370"/>
      <c r="K1476" s="10" t="s">
        <v>8359</v>
      </c>
      <c r="L1476" s="10" t="s">
        <v>8360</v>
      </c>
      <c r="M1476" s="18" t="s">
        <v>8391</v>
      </c>
      <c r="N1476" s="18"/>
      <c r="O1476" s="18">
        <v>100</v>
      </c>
      <c r="P1476" s="16">
        <v>100</v>
      </c>
      <c r="Q1476" s="16">
        <v>100</v>
      </c>
      <c r="R1476" s="16">
        <v>100</v>
      </c>
      <c r="S1476" s="16">
        <v>100</v>
      </c>
      <c r="T1476" s="10" t="s">
        <v>8339</v>
      </c>
      <c r="U1476" t="e">
        <f>VLOOKUP(T1476,[8]Votes!$A$1:$E$234,3,FALSE)</f>
        <v>#N/A</v>
      </c>
      <c r="V1476" t="s">
        <v>8392</v>
      </c>
      <c r="W1476" s="369">
        <v>1</v>
      </c>
      <c r="X1476" s="369">
        <v>1</v>
      </c>
      <c r="Y1476" s="369">
        <v>0</v>
      </c>
      <c r="Z1476" s="369">
        <v>1</v>
      </c>
      <c r="AA1476" s="369">
        <v>1</v>
      </c>
      <c r="AB1476" s="369">
        <v>1</v>
      </c>
      <c r="AC1476" s="369">
        <v>0</v>
      </c>
      <c r="AD1476" s="369">
        <v>1</v>
      </c>
      <c r="AE1476" s="49">
        <f t="shared" si="60"/>
        <v>0.75</v>
      </c>
      <c r="AF1476" s="44"/>
      <c r="AG1476" s="17">
        <v>0</v>
      </c>
      <c r="AH1476" s="44">
        <v>1</v>
      </c>
      <c r="AI1476" s="44">
        <v>1</v>
      </c>
      <c r="AJ1476" s="44">
        <v>1</v>
      </c>
      <c r="AK1476" s="151">
        <v>1</v>
      </c>
      <c r="AL1476" s="151">
        <v>1</v>
      </c>
      <c r="AM1476" s="147">
        <f t="shared" si="59"/>
        <v>2</v>
      </c>
      <c r="AN1476" s="174" t="s">
        <v>921</v>
      </c>
      <c r="AO1476" s="18" t="s">
        <v>880</v>
      </c>
      <c r="AP1476" t="s">
        <v>119</v>
      </c>
    </row>
    <row r="1477" spans="1:44" s="10" customFormat="1" x14ac:dyDescent="0.3">
      <c r="A1477" s="367" t="s">
        <v>8317</v>
      </c>
      <c r="B1477" s="10" t="s">
        <v>8318</v>
      </c>
      <c r="C1477" s="368" t="s">
        <v>8330</v>
      </c>
      <c r="D1477" s="10" t="s">
        <v>8331</v>
      </c>
      <c r="E1477" s="10" t="s">
        <v>8332</v>
      </c>
      <c r="F1477" s="10" t="s">
        <v>8333</v>
      </c>
      <c r="G1477" s="10" t="s">
        <v>8357</v>
      </c>
      <c r="H1477" s="10" t="s">
        <v>8358</v>
      </c>
      <c r="I1477" s="9"/>
      <c r="J1477" s="370"/>
      <c r="K1477" s="10" t="s">
        <v>8359</v>
      </c>
      <c r="L1477" s="10" t="s">
        <v>8360</v>
      </c>
      <c r="M1477" s="18" t="s">
        <v>8342</v>
      </c>
      <c r="N1477" s="18">
        <v>0</v>
      </c>
      <c r="O1477" s="18">
        <v>1410</v>
      </c>
      <c r="P1477" s="16">
        <v>340</v>
      </c>
      <c r="Q1477" s="16">
        <v>320</v>
      </c>
      <c r="R1477" s="16">
        <v>980</v>
      </c>
      <c r="S1477" s="16">
        <v>4120</v>
      </c>
      <c r="T1477" s="10" t="s">
        <v>8339</v>
      </c>
      <c r="U1477" t="e">
        <f>VLOOKUP(T1477,[8]Votes!$A$1:$E$234,3,FALSE)</f>
        <v>#N/A</v>
      </c>
      <c r="V1477" t="s">
        <v>8392</v>
      </c>
      <c r="W1477" s="369">
        <v>1</v>
      </c>
      <c r="X1477" s="369">
        <v>1</v>
      </c>
      <c r="Y1477" s="369">
        <v>0</v>
      </c>
      <c r="Z1477" s="369">
        <v>0</v>
      </c>
      <c r="AA1477" s="369">
        <v>1</v>
      </c>
      <c r="AB1477" s="369">
        <v>1</v>
      </c>
      <c r="AC1477" s="369">
        <v>1</v>
      </c>
      <c r="AD1477" s="369">
        <v>1</v>
      </c>
      <c r="AE1477" s="49">
        <f t="shared" si="60"/>
        <v>0.75</v>
      </c>
      <c r="AF1477" s="44"/>
      <c r="AG1477" s="17">
        <v>0</v>
      </c>
      <c r="AH1477" s="44"/>
      <c r="AI1477" s="44"/>
      <c r="AJ1477" s="44"/>
      <c r="AK1477" s="153"/>
      <c r="AL1477" s="154"/>
      <c r="AM1477" s="147">
        <f t="shared" si="59"/>
        <v>0</v>
      </c>
      <c r="AN1477" s="44"/>
      <c r="AO1477" s="18"/>
      <c r="AP1477"/>
    </row>
    <row r="1478" spans="1:44" s="10" customFormat="1" x14ac:dyDescent="0.3">
      <c r="A1478" s="367" t="s">
        <v>8317</v>
      </c>
      <c r="B1478" s="10" t="s">
        <v>8318</v>
      </c>
      <c r="C1478" s="368" t="s">
        <v>8330</v>
      </c>
      <c r="D1478" s="10" t="s">
        <v>8331</v>
      </c>
      <c r="E1478" s="10" t="s">
        <v>8332</v>
      </c>
      <c r="F1478" s="10" t="s">
        <v>8333</v>
      </c>
      <c r="G1478" s="10" t="s">
        <v>8357</v>
      </c>
      <c r="H1478" s="10" t="s">
        <v>8358</v>
      </c>
      <c r="I1478" s="9"/>
      <c r="J1478" s="370"/>
      <c r="K1478" s="10" t="s">
        <v>8359</v>
      </c>
      <c r="L1478" s="10" t="s">
        <v>8360</v>
      </c>
      <c r="M1478" s="18"/>
      <c r="N1478" s="18"/>
      <c r="O1478" s="18"/>
      <c r="P1478" s="16"/>
      <c r="Q1478" s="16"/>
      <c r="R1478" s="16"/>
      <c r="S1478" s="16"/>
      <c r="U1478" t="e">
        <f>VLOOKUP(T1478,[8]Votes!$A$1:$E$234,3,FALSE)</f>
        <v>#N/A</v>
      </c>
      <c r="V1478" t="s">
        <v>8393</v>
      </c>
      <c r="W1478" s="369">
        <v>0</v>
      </c>
      <c r="X1478" s="369">
        <v>0</v>
      </c>
      <c r="Y1478" s="369">
        <v>0</v>
      </c>
      <c r="Z1478" s="369">
        <v>1</v>
      </c>
      <c r="AA1478" s="369">
        <v>1</v>
      </c>
      <c r="AB1478" s="369">
        <v>1</v>
      </c>
      <c r="AC1478" s="369">
        <v>0</v>
      </c>
      <c r="AD1478" s="369">
        <v>1</v>
      </c>
      <c r="AE1478" s="49">
        <f t="shared" si="60"/>
        <v>0.5</v>
      </c>
      <c r="AF1478" s="44">
        <v>1</v>
      </c>
      <c r="AG1478" s="17">
        <v>0</v>
      </c>
      <c r="AH1478" s="44">
        <v>0</v>
      </c>
      <c r="AI1478" s="17">
        <v>0</v>
      </c>
      <c r="AJ1478" s="44">
        <v>2</v>
      </c>
      <c r="AK1478" s="151">
        <v>1.2</v>
      </c>
      <c r="AL1478" s="154">
        <v>0</v>
      </c>
      <c r="AM1478" s="147">
        <f t="shared" si="59"/>
        <v>1.2</v>
      </c>
      <c r="AN1478" s="44" t="s">
        <v>1035</v>
      </c>
      <c r="AO1478" s="18" t="s">
        <v>1037</v>
      </c>
      <c r="AP1478" t="s">
        <v>8394</v>
      </c>
      <c r="AQ1478"/>
    </row>
    <row r="1479" spans="1:44" s="10" customFormat="1" x14ac:dyDescent="0.3">
      <c r="A1479" s="367" t="s">
        <v>8317</v>
      </c>
      <c r="B1479" s="10" t="s">
        <v>8318</v>
      </c>
      <c r="C1479" s="368" t="s">
        <v>8330</v>
      </c>
      <c r="D1479" s="10" t="s">
        <v>8331</v>
      </c>
      <c r="E1479" s="10" t="s">
        <v>8332</v>
      </c>
      <c r="F1479" s="10" t="s">
        <v>8333</v>
      </c>
      <c r="G1479" s="10" t="s">
        <v>8357</v>
      </c>
      <c r="H1479" s="10" t="s">
        <v>8358</v>
      </c>
      <c r="I1479" s="9"/>
      <c r="J1479" s="370"/>
      <c r="K1479" s="10" t="s">
        <v>8359</v>
      </c>
      <c r="L1479" s="10" t="s">
        <v>8360</v>
      </c>
      <c r="M1479" s="18" t="s">
        <v>8342</v>
      </c>
      <c r="N1479" s="18"/>
      <c r="O1479" s="18"/>
      <c r="P1479" s="16"/>
      <c r="Q1479" s="16"/>
      <c r="R1479" s="16"/>
      <c r="S1479" s="16"/>
      <c r="U1479" t="e">
        <f>VLOOKUP(T1479,[8]Votes!$A$1:$E$234,3,FALSE)</f>
        <v>#N/A</v>
      </c>
      <c r="V1479" t="s">
        <v>8395</v>
      </c>
      <c r="W1479" s="369">
        <v>1</v>
      </c>
      <c r="X1479" s="369">
        <v>0</v>
      </c>
      <c r="Y1479" s="369">
        <v>0</v>
      </c>
      <c r="Z1479" s="369">
        <v>0</v>
      </c>
      <c r="AA1479" s="369">
        <v>1</v>
      </c>
      <c r="AB1479" s="369">
        <v>1</v>
      </c>
      <c r="AC1479" s="369">
        <v>0</v>
      </c>
      <c r="AD1479" s="369">
        <v>1</v>
      </c>
      <c r="AE1479" s="49">
        <f t="shared" si="60"/>
        <v>0.5</v>
      </c>
      <c r="AF1479" s="44"/>
      <c r="AG1479" s="17">
        <v>0</v>
      </c>
      <c r="AH1479" s="44">
        <v>4.2</v>
      </c>
      <c r="AI1479" s="17">
        <v>5</v>
      </c>
      <c r="AJ1479" s="44">
        <v>5.8</v>
      </c>
      <c r="AK1479" s="151">
        <v>1</v>
      </c>
      <c r="AL1479" s="154">
        <v>0.5</v>
      </c>
      <c r="AM1479" s="147">
        <f t="shared" si="59"/>
        <v>1.5</v>
      </c>
      <c r="AN1479" s="44" t="s">
        <v>570</v>
      </c>
      <c r="AO1479" s="18" t="s">
        <v>2875</v>
      </c>
      <c r="AP1479" t="s">
        <v>1035</v>
      </c>
      <c r="AQ1479"/>
    </row>
    <row r="1480" spans="1:44" s="10" customFormat="1" x14ac:dyDescent="0.3">
      <c r="A1480" s="367" t="s">
        <v>8317</v>
      </c>
      <c r="B1480" s="10" t="s">
        <v>8318</v>
      </c>
      <c r="C1480" s="368" t="s">
        <v>8330</v>
      </c>
      <c r="D1480" s="10" t="s">
        <v>8331</v>
      </c>
      <c r="E1480" s="10" t="s">
        <v>8332</v>
      </c>
      <c r="F1480" s="10" t="s">
        <v>8333</v>
      </c>
      <c r="G1480" s="10" t="s">
        <v>8357</v>
      </c>
      <c r="H1480" s="10" t="s">
        <v>8358</v>
      </c>
      <c r="I1480" s="9"/>
      <c r="J1480" s="370"/>
      <c r="K1480" s="10" t="s">
        <v>8359</v>
      </c>
      <c r="L1480" s="10" t="s">
        <v>8360</v>
      </c>
      <c r="M1480" s="18" t="s">
        <v>8342</v>
      </c>
      <c r="N1480" s="18"/>
      <c r="O1480" s="18"/>
      <c r="P1480" s="16"/>
      <c r="Q1480" s="16"/>
      <c r="R1480" s="16"/>
      <c r="S1480" s="16"/>
      <c r="U1480" t="e">
        <f>VLOOKUP(T1480,[8]Votes!$A$1:$E$234,3,FALSE)</f>
        <v>#N/A</v>
      </c>
      <c r="V1480" t="s">
        <v>8396</v>
      </c>
      <c r="W1480" s="369">
        <v>0</v>
      </c>
      <c r="X1480" s="369">
        <v>0</v>
      </c>
      <c r="Y1480" s="369">
        <v>0</v>
      </c>
      <c r="Z1480" s="369">
        <v>0</v>
      </c>
      <c r="AA1480" s="369">
        <v>1</v>
      </c>
      <c r="AB1480" s="369">
        <v>1</v>
      </c>
      <c r="AC1480" s="369">
        <v>0</v>
      </c>
      <c r="AD1480" s="369">
        <v>1</v>
      </c>
      <c r="AE1480" s="49">
        <f t="shared" si="60"/>
        <v>0.375</v>
      </c>
      <c r="AF1480" s="17"/>
      <c r="AG1480" s="17">
        <v>0</v>
      </c>
      <c r="AH1480" s="17">
        <v>0</v>
      </c>
      <c r="AI1480" s="17">
        <v>0</v>
      </c>
      <c r="AJ1480" s="17">
        <v>0</v>
      </c>
      <c r="AK1480" s="153"/>
      <c r="AL1480" s="154"/>
      <c r="AM1480" s="147">
        <f t="shared" si="59"/>
        <v>0</v>
      </c>
      <c r="AN1480" s="44" t="s">
        <v>1035</v>
      </c>
      <c r="AO1480" s="18" t="s">
        <v>1037</v>
      </c>
      <c r="AP1480" t="s">
        <v>119</v>
      </c>
    </row>
    <row r="1481" spans="1:44" s="10" customFormat="1" x14ac:dyDescent="0.3">
      <c r="A1481" s="367" t="s">
        <v>8317</v>
      </c>
      <c r="B1481" s="10" t="s">
        <v>8318</v>
      </c>
      <c r="C1481" s="368" t="s">
        <v>8330</v>
      </c>
      <c r="D1481" s="10" t="s">
        <v>8331</v>
      </c>
      <c r="E1481" s="10" t="s">
        <v>8332</v>
      </c>
      <c r="F1481" s="10" t="s">
        <v>8333</v>
      </c>
      <c r="G1481" s="10" t="s">
        <v>8397</v>
      </c>
      <c r="H1481" s="10" t="s">
        <v>8398</v>
      </c>
      <c r="I1481" s="9"/>
      <c r="J1481" s="370"/>
      <c r="K1481" s="10" t="s">
        <v>8399</v>
      </c>
      <c r="L1481" s="10" t="s">
        <v>8400</v>
      </c>
      <c r="M1481" s="18" t="s">
        <v>8401</v>
      </c>
      <c r="N1481" s="18">
        <v>82</v>
      </c>
      <c r="O1481" s="18">
        <v>0</v>
      </c>
      <c r="P1481" s="16">
        <v>0</v>
      </c>
      <c r="Q1481" s="16">
        <v>0</v>
      </c>
      <c r="R1481" s="16">
        <v>0</v>
      </c>
      <c r="S1481" s="16">
        <v>288.5</v>
      </c>
      <c r="T1481" s="10" t="s">
        <v>8339</v>
      </c>
      <c r="U1481" t="e">
        <f>VLOOKUP(T1481,[8]Votes!$A$1:$E$234,3,FALSE)</f>
        <v>#N/A</v>
      </c>
      <c r="V1481" t="s">
        <v>8402</v>
      </c>
      <c r="W1481" s="369">
        <v>0</v>
      </c>
      <c r="X1481" s="369">
        <v>1</v>
      </c>
      <c r="Y1481" s="369">
        <v>0</v>
      </c>
      <c r="Z1481" s="369">
        <v>1</v>
      </c>
      <c r="AA1481" s="369">
        <v>1</v>
      </c>
      <c r="AB1481" s="369">
        <v>1</v>
      </c>
      <c r="AC1481" s="369">
        <v>0</v>
      </c>
      <c r="AD1481" s="369">
        <v>1</v>
      </c>
      <c r="AE1481" s="49">
        <f t="shared" si="60"/>
        <v>0.625</v>
      </c>
      <c r="AF1481" s="44">
        <v>1</v>
      </c>
      <c r="AG1481" s="17">
        <v>0</v>
      </c>
      <c r="AH1481" s="44">
        <v>8.1283613223479279</v>
      </c>
      <c r="AI1481" s="44">
        <v>5</v>
      </c>
      <c r="AJ1481" s="44">
        <v>54.225333333333332</v>
      </c>
      <c r="AK1481" s="151">
        <v>15</v>
      </c>
      <c r="AL1481" s="151">
        <v>30</v>
      </c>
      <c r="AM1481" s="147">
        <f t="shared" si="59"/>
        <v>45</v>
      </c>
      <c r="AN1481" s="44" t="s">
        <v>8341</v>
      </c>
      <c r="AO1481" s="18" t="s">
        <v>1037</v>
      </c>
      <c r="AP1481" s="44" t="s">
        <v>119</v>
      </c>
    </row>
    <row r="1482" spans="1:44" s="10" customFormat="1" x14ac:dyDescent="0.3">
      <c r="A1482" s="367" t="s">
        <v>8317</v>
      </c>
      <c r="B1482" s="10" t="s">
        <v>8318</v>
      </c>
      <c r="C1482" s="368" t="s">
        <v>8330</v>
      </c>
      <c r="D1482" s="10" t="s">
        <v>8331</v>
      </c>
      <c r="E1482" s="10" t="s">
        <v>8332</v>
      </c>
      <c r="F1482" s="10" t="s">
        <v>8333</v>
      </c>
      <c r="G1482" s="10" t="s">
        <v>8397</v>
      </c>
      <c r="H1482" s="10" t="s">
        <v>8398</v>
      </c>
      <c r="I1482" s="9"/>
      <c r="J1482" s="370"/>
      <c r="K1482" s="10" t="s">
        <v>8399</v>
      </c>
      <c r="L1482" s="10" t="s">
        <v>8400</v>
      </c>
      <c r="M1482" s="18" t="s">
        <v>8403</v>
      </c>
      <c r="N1482" s="18"/>
      <c r="O1482" s="18"/>
      <c r="P1482" s="16"/>
      <c r="Q1482" s="16"/>
      <c r="R1482" s="16"/>
      <c r="S1482" s="16">
        <v>288.5</v>
      </c>
      <c r="T1482" s="10" t="s">
        <v>8339</v>
      </c>
      <c r="U1482" t="e">
        <f>VLOOKUP(T1482,[8]Votes!$A$1:$E$234,3,FALSE)</f>
        <v>#N/A</v>
      </c>
      <c r="V1482" t="s">
        <v>8404</v>
      </c>
      <c r="W1482" s="369">
        <v>1</v>
      </c>
      <c r="X1482" s="369">
        <v>1</v>
      </c>
      <c r="Y1482" s="369">
        <v>1</v>
      </c>
      <c r="Z1482" s="369">
        <v>0</v>
      </c>
      <c r="AA1482" s="369">
        <v>1</v>
      </c>
      <c r="AB1482" s="369">
        <v>1</v>
      </c>
      <c r="AC1482" s="369">
        <v>1</v>
      </c>
      <c r="AD1482" s="369">
        <v>1</v>
      </c>
      <c r="AE1482" s="49">
        <f t="shared" si="60"/>
        <v>0.875</v>
      </c>
      <c r="AF1482" s="17">
        <v>1</v>
      </c>
      <c r="AG1482" s="17">
        <v>0</v>
      </c>
      <c r="AH1482" s="17">
        <v>0</v>
      </c>
      <c r="AI1482" s="17">
        <v>0</v>
      </c>
      <c r="AJ1482" s="17">
        <v>0</v>
      </c>
      <c r="AK1482" s="153">
        <v>1</v>
      </c>
      <c r="AL1482" s="154">
        <v>2</v>
      </c>
      <c r="AM1482" s="147">
        <f t="shared" si="59"/>
        <v>3</v>
      </c>
      <c r="AN1482" s="44" t="s">
        <v>8341</v>
      </c>
      <c r="AO1482" s="18" t="s">
        <v>1037</v>
      </c>
      <c r="AP1482" t="s">
        <v>119</v>
      </c>
    </row>
    <row r="1483" spans="1:44" s="10" customFormat="1" x14ac:dyDescent="0.3">
      <c r="A1483" s="367" t="s">
        <v>8317</v>
      </c>
      <c r="B1483" s="10" t="s">
        <v>8318</v>
      </c>
      <c r="C1483" s="368" t="s">
        <v>8330</v>
      </c>
      <c r="D1483" s="10" t="s">
        <v>8331</v>
      </c>
      <c r="E1483" s="10" t="s">
        <v>8332</v>
      </c>
      <c r="F1483" s="10" t="s">
        <v>8333</v>
      </c>
      <c r="G1483" s="10" t="s">
        <v>8397</v>
      </c>
      <c r="H1483" s="10" t="s">
        <v>8398</v>
      </c>
      <c r="I1483" s="9"/>
      <c r="J1483" s="370"/>
      <c r="K1483" s="10" t="s">
        <v>8399</v>
      </c>
      <c r="L1483" s="10" t="s">
        <v>8400</v>
      </c>
      <c r="M1483" s="18"/>
      <c r="N1483" s="18"/>
      <c r="O1483" s="18"/>
      <c r="P1483" s="16"/>
      <c r="Q1483" s="16"/>
      <c r="R1483" s="16"/>
      <c r="S1483" s="16"/>
      <c r="U1483" t="e">
        <f>VLOOKUP(T1483,[8]Votes!$A$1:$E$234,3,FALSE)</f>
        <v>#N/A</v>
      </c>
      <c r="V1483" t="s">
        <v>8405</v>
      </c>
      <c r="W1483" s="369">
        <v>1</v>
      </c>
      <c r="X1483" s="369">
        <v>1</v>
      </c>
      <c r="Y1483" s="369">
        <v>1</v>
      </c>
      <c r="Z1483" s="369">
        <v>0</v>
      </c>
      <c r="AA1483" s="369">
        <v>1</v>
      </c>
      <c r="AB1483" s="369">
        <v>1</v>
      </c>
      <c r="AC1483" s="369">
        <v>1</v>
      </c>
      <c r="AD1483" s="369">
        <v>1</v>
      </c>
      <c r="AE1483" s="49">
        <f t="shared" si="60"/>
        <v>0.875</v>
      </c>
      <c r="AF1483" s="17">
        <v>1</v>
      </c>
      <c r="AG1483" s="17">
        <v>0</v>
      </c>
      <c r="AH1483" s="17">
        <v>0</v>
      </c>
      <c r="AI1483" s="17">
        <v>0</v>
      </c>
      <c r="AJ1483" s="17">
        <v>0</v>
      </c>
      <c r="AK1483" s="153">
        <v>1</v>
      </c>
      <c r="AL1483" s="154">
        <v>2</v>
      </c>
      <c r="AM1483" s="147">
        <f t="shared" si="59"/>
        <v>3</v>
      </c>
      <c r="AN1483" s="44" t="s">
        <v>8341</v>
      </c>
      <c r="AO1483" s="18" t="s">
        <v>1037</v>
      </c>
      <c r="AP1483" t="s">
        <v>119</v>
      </c>
    </row>
    <row r="1484" spans="1:44" s="10" customFormat="1" x14ac:dyDescent="0.3">
      <c r="A1484" s="367" t="s">
        <v>8317</v>
      </c>
      <c r="B1484" s="10" t="s">
        <v>8318</v>
      </c>
      <c r="C1484" s="368" t="s">
        <v>8330</v>
      </c>
      <c r="D1484" s="10" t="s">
        <v>8331</v>
      </c>
      <c r="E1484" s="10" t="s">
        <v>8332</v>
      </c>
      <c r="F1484" s="10" t="s">
        <v>8333</v>
      </c>
      <c r="G1484" s="10" t="s">
        <v>8397</v>
      </c>
      <c r="H1484" s="10" t="s">
        <v>8398</v>
      </c>
      <c r="I1484" s="9"/>
      <c r="J1484" s="370"/>
      <c r="K1484" s="10" t="s">
        <v>8399</v>
      </c>
      <c r="L1484" s="10" t="s">
        <v>8400</v>
      </c>
      <c r="M1484" s="18" t="s">
        <v>8406</v>
      </c>
      <c r="N1484" s="18">
        <v>0</v>
      </c>
      <c r="O1484" s="18">
        <v>0</v>
      </c>
      <c r="P1484" s="16">
        <v>120</v>
      </c>
      <c r="Q1484" s="16">
        <v>140</v>
      </c>
      <c r="R1484" s="16">
        <v>200</v>
      </c>
      <c r="S1484" s="16">
        <v>150</v>
      </c>
      <c r="T1484" s="10" t="s">
        <v>8339</v>
      </c>
      <c r="U1484" t="e">
        <f>VLOOKUP(T1484,[8]Votes!$A$1:$E$234,3,FALSE)</f>
        <v>#N/A</v>
      </c>
      <c r="V1484" t="s">
        <v>8407</v>
      </c>
      <c r="W1484" s="369">
        <v>1</v>
      </c>
      <c r="X1484" s="369">
        <v>1</v>
      </c>
      <c r="Y1484" s="369">
        <v>1</v>
      </c>
      <c r="Z1484" s="369">
        <v>0</v>
      </c>
      <c r="AA1484" s="369">
        <v>1</v>
      </c>
      <c r="AB1484" s="369">
        <v>1</v>
      </c>
      <c r="AC1484" s="369">
        <v>1</v>
      </c>
      <c r="AD1484" s="369">
        <v>1</v>
      </c>
      <c r="AE1484" s="49">
        <f t="shared" si="60"/>
        <v>0.875</v>
      </c>
      <c r="AF1484" s="44"/>
      <c r="AG1484" s="17">
        <v>0</v>
      </c>
      <c r="AH1484" s="44">
        <v>30</v>
      </c>
      <c r="AI1484" s="44">
        <v>20</v>
      </c>
      <c r="AJ1484" s="44">
        <v>20</v>
      </c>
      <c r="AK1484" s="151">
        <v>5</v>
      </c>
      <c r="AL1484" s="151">
        <v>10</v>
      </c>
      <c r="AM1484" s="147">
        <f t="shared" si="59"/>
        <v>15</v>
      </c>
      <c r="AN1484" s="44" t="s">
        <v>8341</v>
      </c>
      <c r="AO1484" s="18" t="s">
        <v>1037</v>
      </c>
      <c r="AP1484" t="s">
        <v>7071</v>
      </c>
    </row>
    <row r="1485" spans="1:44" s="10" customFormat="1" x14ac:dyDescent="0.3">
      <c r="A1485" s="367" t="s">
        <v>8317</v>
      </c>
      <c r="B1485" s="10" t="s">
        <v>8318</v>
      </c>
      <c r="C1485" s="368" t="s">
        <v>8330</v>
      </c>
      <c r="D1485" s="10" t="s">
        <v>8331</v>
      </c>
      <c r="E1485" s="10" t="s">
        <v>8332</v>
      </c>
      <c r="F1485" s="10" t="s">
        <v>8333</v>
      </c>
      <c r="G1485" s="10" t="s">
        <v>8397</v>
      </c>
      <c r="H1485" s="10" t="s">
        <v>8398</v>
      </c>
      <c r="I1485" s="9"/>
      <c r="J1485" s="370"/>
      <c r="K1485" s="10" t="s">
        <v>8399</v>
      </c>
      <c r="L1485" s="10" t="s">
        <v>8400</v>
      </c>
      <c r="M1485" s="18"/>
      <c r="N1485" s="18"/>
      <c r="O1485" s="18"/>
      <c r="P1485" s="16"/>
      <c r="Q1485" s="16"/>
      <c r="R1485" s="16"/>
      <c r="S1485" s="16"/>
      <c r="U1485" t="e">
        <f>VLOOKUP(T1485,[8]Votes!$A$1:$E$234,3,FALSE)</f>
        <v>#N/A</v>
      </c>
      <c r="V1485" t="s">
        <v>8408</v>
      </c>
      <c r="W1485" s="369">
        <v>1</v>
      </c>
      <c r="X1485" s="369">
        <v>1</v>
      </c>
      <c r="Y1485" s="369">
        <v>1</v>
      </c>
      <c r="Z1485" s="369">
        <v>0</v>
      </c>
      <c r="AA1485" s="369">
        <v>1</v>
      </c>
      <c r="AB1485" s="369">
        <v>1</v>
      </c>
      <c r="AC1485" s="369">
        <v>1</v>
      </c>
      <c r="AD1485" s="369">
        <v>1</v>
      </c>
      <c r="AE1485" s="49">
        <f t="shared" si="60"/>
        <v>0.875</v>
      </c>
      <c r="AF1485" s="44"/>
      <c r="AG1485" s="17">
        <v>0</v>
      </c>
      <c r="AH1485" s="44">
        <v>5</v>
      </c>
      <c r="AI1485" s="44">
        <v>0.4</v>
      </c>
      <c r="AJ1485" s="44">
        <v>5</v>
      </c>
      <c r="AK1485" s="151">
        <v>2</v>
      </c>
      <c r="AL1485" s="151">
        <v>2</v>
      </c>
      <c r="AM1485" s="147">
        <f t="shared" si="59"/>
        <v>4</v>
      </c>
      <c r="AN1485" s="44" t="s">
        <v>8409</v>
      </c>
      <c r="AO1485" s="18" t="s">
        <v>1037</v>
      </c>
      <c r="AP1485" t="s">
        <v>8410</v>
      </c>
      <c r="AQ1485"/>
      <c r="AR1485"/>
    </row>
    <row r="1486" spans="1:44" s="10" customFormat="1" x14ac:dyDescent="0.3">
      <c r="A1486" s="367" t="s">
        <v>8317</v>
      </c>
      <c r="B1486" s="10" t="s">
        <v>8318</v>
      </c>
      <c r="C1486" s="368" t="s">
        <v>8330</v>
      </c>
      <c r="D1486" s="10" t="s">
        <v>8331</v>
      </c>
      <c r="E1486" s="10" t="s">
        <v>8332</v>
      </c>
      <c r="F1486" s="10" t="s">
        <v>8333</v>
      </c>
      <c r="G1486" s="10" t="s">
        <v>8397</v>
      </c>
      <c r="H1486" s="10" t="s">
        <v>8398</v>
      </c>
      <c r="I1486" s="9"/>
      <c r="J1486" s="370"/>
      <c r="K1486" s="10" t="s">
        <v>8399</v>
      </c>
      <c r="L1486" s="10" t="s">
        <v>8400</v>
      </c>
      <c r="M1486" s="18"/>
      <c r="N1486" s="18"/>
      <c r="O1486" s="18"/>
      <c r="P1486" s="16"/>
      <c r="Q1486" s="16"/>
      <c r="R1486" s="16"/>
      <c r="S1486" s="16"/>
      <c r="U1486" t="e">
        <f>VLOOKUP(T1486,[8]Votes!$A$1:$E$234,3,FALSE)</f>
        <v>#N/A</v>
      </c>
      <c r="V1486" t="s">
        <v>8411</v>
      </c>
      <c r="W1486" s="369">
        <v>1</v>
      </c>
      <c r="X1486" s="369">
        <v>1</v>
      </c>
      <c r="Y1486" s="369">
        <v>1</v>
      </c>
      <c r="Z1486" s="369">
        <v>0</v>
      </c>
      <c r="AA1486" s="369">
        <v>1</v>
      </c>
      <c r="AB1486" s="369">
        <v>1</v>
      </c>
      <c r="AC1486" s="369">
        <v>1</v>
      </c>
      <c r="AD1486" s="369">
        <v>1</v>
      </c>
      <c r="AE1486" s="49">
        <f t="shared" si="60"/>
        <v>0.875</v>
      </c>
      <c r="AF1486" s="44"/>
      <c r="AG1486" s="17">
        <v>0</v>
      </c>
      <c r="AH1486" s="44">
        <v>0.5</v>
      </c>
      <c r="AI1486" s="44">
        <v>0.5</v>
      </c>
      <c r="AJ1486" s="44">
        <v>0.5</v>
      </c>
      <c r="AK1486" s="151">
        <v>0.5</v>
      </c>
      <c r="AL1486" s="151">
        <v>0.5</v>
      </c>
      <c r="AM1486" s="147">
        <f t="shared" si="59"/>
        <v>1</v>
      </c>
      <c r="AN1486" s="44" t="s">
        <v>8409</v>
      </c>
      <c r="AO1486" s="18" t="s">
        <v>1037</v>
      </c>
      <c r="AP1486" t="s">
        <v>8412</v>
      </c>
      <c r="AQ1486"/>
      <c r="AR1486"/>
    </row>
    <row r="1487" spans="1:44" s="10" customFormat="1" x14ac:dyDescent="0.3">
      <c r="A1487" s="367" t="s">
        <v>8317</v>
      </c>
      <c r="B1487" s="10" t="s">
        <v>8318</v>
      </c>
      <c r="C1487" s="368" t="s">
        <v>8330</v>
      </c>
      <c r="D1487" s="10" t="s">
        <v>8331</v>
      </c>
      <c r="E1487" s="10" t="s">
        <v>8332</v>
      </c>
      <c r="F1487" s="10" t="s">
        <v>8333</v>
      </c>
      <c r="G1487" s="10" t="s">
        <v>8397</v>
      </c>
      <c r="H1487" s="10" t="s">
        <v>8398</v>
      </c>
      <c r="I1487" s="9"/>
      <c r="J1487" s="370"/>
      <c r="K1487" s="10" t="s">
        <v>8399</v>
      </c>
      <c r="L1487" s="10" t="s">
        <v>8400</v>
      </c>
      <c r="M1487" s="18"/>
      <c r="N1487" s="18"/>
      <c r="O1487" s="18"/>
      <c r="P1487" s="16"/>
      <c r="Q1487" s="16"/>
      <c r="R1487" s="16"/>
      <c r="S1487" s="16"/>
      <c r="U1487" t="e">
        <f>VLOOKUP(T1487,[8]Votes!$A$1:$E$234,3,FALSE)</f>
        <v>#N/A</v>
      </c>
      <c r="V1487" t="s">
        <v>8413</v>
      </c>
      <c r="W1487" s="369">
        <v>1</v>
      </c>
      <c r="X1487" s="369">
        <v>1</v>
      </c>
      <c r="Y1487" s="369">
        <v>1</v>
      </c>
      <c r="Z1487" s="369">
        <v>0</v>
      </c>
      <c r="AA1487" s="369">
        <v>1</v>
      </c>
      <c r="AB1487" s="369">
        <v>1</v>
      </c>
      <c r="AC1487" s="369">
        <v>1</v>
      </c>
      <c r="AD1487" s="369">
        <v>1</v>
      </c>
      <c r="AE1487" s="49">
        <f t="shared" si="60"/>
        <v>0.875</v>
      </c>
      <c r="AF1487" s="44"/>
      <c r="AG1487" s="17">
        <v>0</v>
      </c>
      <c r="AH1487" s="44">
        <v>0</v>
      </c>
      <c r="AI1487" s="44">
        <v>2</v>
      </c>
      <c r="AJ1487" s="44">
        <v>2</v>
      </c>
      <c r="AK1487" s="153">
        <v>0</v>
      </c>
      <c r="AL1487" s="154">
        <v>0</v>
      </c>
      <c r="AM1487" s="147">
        <f t="shared" si="59"/>
        <v>0</v>
      </c>
      <c r="AN1487" s="44" t="s">
        <v>8409</v>
      </c>
      <c r="AO1487" s="18" t="s">
        <v>1037</v>
      </c>
      <c r="AP1487" t="s">
        <v>8339</v>
      </c>
      <c r="AQ1487"/>
      <c r="AR1487"/>
    </row>
    <row r="1488" spans="1:44" s="10" customFormat="1" x14ac:dyDescent="0.3">
      <c r="A1488" s="367" t="s">
        <v>8317</v>
      </c>
      <c r="B1488" s="10" t="s">
        <v>8318</v>
      </c>
      <c r="C1488" s="368" t="s">
        <v>8330</v>
      </c>
      <c r="D1488" s="10" t="s">
        <v>8331</v>
      </c>
      <c r="E1488" s="10" t="s">
        <v>8332</v>
      </c>
      <c r="F1488" s="10" t="s">
        <v>8333</v>
      </c>
      <c r="G1488" s="10" t="s">
        <v>8397</v>
      </c>
      <c r="H1488" s="10" t="s">
        <v>8398</v>
      </c>
      <c r="I1488" s="9"/>
      <c r="J1488" s="370"/>
      <c r="K1488" s="10" t="s">
        <v>8399</v>
      </c>
      <c r="L1488" s="10" t="s">
        <v>8400</v>
      </c>
      <c r="M1488" s="18"/>
      <c r="N1488" s="18"/>
      <c r="O1488" s="18"/>
      <c r="P1488" s="16"/>
      <c r="Q1488" s="16"/>
      <c r="R1488" s="16"/>
      <c r="S1488" s="16"/>
      <c r="U1488" t="e">
        <f>VLOOKUP(T1488,[8]Votes!$A$1:$E$234,3,FALSE)</f>
        <v>#N/A</v>
      </c>
      <c r="V1488" t="s">
        <v>8414</v>
      </c>
      <c r="W1488" s="369">
        <v>1</v>
      </c>
      <c r="X1488" s="369">
        <v>1</v>
      </c>
      <c r="Y1488" s="369">
        <v>1</v>
      </c>
      <c r="Z1488" s="369">
        <v>0</v>
      </c>
      <c r="AA1488" s="369">
        <v>1</v>
      </c>
      <c r="AB1488" s="369">
        <v>1</v>
      </c>
      <c r="AC1488" s="369">
        <v>1</v>
      </c>
      <c r="AD1488" s="369">
        <v>1</v>
      </c>
      <c r="AE1488" s="49">
        <f t="shared" si="60"/>
        <v>0.875</v>
      </c>
      <c r="AF1488" s="44"/>
      <c r="AG1488" s="17">
        <v>0</v>
      </c>
      <c r="AH1488" s="44">
        <v>0.5</v>
      </c>
      <c r="AI1488" s="44">
        <v>0.5</v>
      </c>
      <c r="AJ1488" s="44">
        <v>0.5</v>
      </c>
      <c r="AK1488" s="151"/>
      <c r="AL1488" s="151"/>
      <c r="AM1488" s="147">
        <f t="shared" si="59"/>
        <v>0</v>
      </c>
      <c r="AN1488" s="44" t="s">
        <v>8341</v>
      </c>
      <c r="AO1488" s="18" t="s">
        <v>1037</v>
      </c>
      <c r="AP1488" t="s">
        <v>119</v>
      </c>
      <c r="AQ1488"/>
      <c r="AR1488"/>
    </row>
    <row r="1489" spans="1:42" s="10" customFormat="1" x14ac:dyDescent="0.3">
      <c r="A1489" s="367" t="s">
        <v>8317</v>
      </c>
      <c r="B1489" s="10" t="s">
        <v>8318</v>
      </c>
      <c r="C1489" s="368" t="s">
        <v>8330</v>
      </c>
      <c r="D1489" s="10" t="s">
        <v>8331</v>
      </c>
      <c r="E1489" s="10" t="s">
        <v>8332</v>
      </c>
      <c r="F1489" s="10" t="s">
        <v>8333</v>
      </c>
      <c r="G1489" s="10" t="s">
        <v>8415</v>
      </c>
      <c r="H1489" s="10" t="s">
        <v>8416</v>
      </c>
      <c r="I1489" s="9"/>
      <c r="J1489" s="370"/>
      <c r="K1489" s="10" t="s">
        <v>8417</v>
      </c>
      <c r="L1489" s="10" t="s">
        <v>8418</v>
      </c>
      <c r="M1489" s="18" t="s">
        <v>8419</v>
      </c>
      <c r="N1489" s="18">
        <v>11438</v>
      </c>
      <c r="O1489" s="18">
        <v>2500</v>
      </c>
      <c r="P1489" s="16">
        <v>1000</v>
      </c>
      <c r="Q1489" s="16">
        <v>1000</v>
      </c>
      <c r="R1489" s="16">
        <v>2000</v>
      </c>
      <c r="S1489" s="16">
        <v>2000</v>
      </c>
      <c r="T1489" s="10" t="s">
        <v>8420</v>
      </c>
      <c r="U1489" t="str">
        <f>VLOOKUP(T1489,[8]Votes!$A$1:$E$234,3,FALSE)</f>
        <v>123 Rural Electrification Agency (REA)</v>
      </c>
      <c r="V1489" t="s">
        <v>8421</v>
      </c>
      <c r="W1489" s="369">
        <v>1</v>
      </c>
      <c r="X1489" s="369">
        <v>1</v>
      </c>
      <c r="Y1489" s="369">
        <v>1</v>
      </c>
      <c r="Z1489" s="369">
        <v>0</v>
      </c>
      <c r="AA1489" s="369">
        <v>1</v>
      </c>
      <c r="AB1489" s="369">
        <v>1</v>
      </c>
      <c r="AC1489" s="369">
        <v>1</v>
      </c>
      <c r="AD1489" s="369">
        <v>1</v>
      </c>
      <c r="AE1489" s="49">
        <f t="shared" si="60"/>
        <v>0.875</v>
      </c>
      <c r="AF1489" s="44"/>
      <c r="AG1489" s="17"/>
      <c r="AH1489" s="44">
        <v>5</v>
      </c>
      <c r="AI1489" s="44">
        <v>5</v>
      </c>
      <c r="AJ1489" s="44">
        <v>50</v>
      </c>
      <c r="AK1489" s="151">
        <v>16.25</v>
      </c>
      <c r="AL1489" s="151">
        <v>10.199999999999999</v>
      </c>
      <c r="AM1489" s="147">
        <f t="shared" si="59"/>
        <v>26.45</v>
      </c>
      <c r="AN1489" s="44" t="s">
        <v>8422</v>
      </c>
      <c r="AO1489" s="18" t="s">
        <v>1037</v>
      </c>
      <c r="AP1489" t="s">
        <v>8420</v>
      </c>
    </row>
    <row r="1490" spans="1:42" s="10" customFormat="1" x14ac:dyDescent="0.3">
      <c r="A1490" s="367" t="s">
        <v>8317</v>
      </c>
      <c r="B1490" s="10" t="s">
        <v>8318</v>
      </c>
      <c r="C1490" s="368" t="s">
        <v>8330</v>
      </c>
      <c r="D1490" s="10" t="s">
        <v>8331</v>
      </c>
      <c r="E1490" s="10" t="s">
        <v>8332</v>
      </c>
      <c r="F1490" s="10" t="s">
        <v>8333</v>
      </c>
      <c r="G1490" s="10" t="s">
        <v>8415</v>
      </c>
      <c r="H1490" s="10" t="s">
        <v>8416</v>
      </c>
      <c r="I1490" s="9"/>
      <c r="J1490" s="370"/>
      <c r="K1490" s="10" t="s">
        <v>8417</v>
      </c>
      <c r="L1490" s="10" t="s">
        <v>8418</v>
      </c>
      <c r="M1490" s="18" t="s">
        <v>8423</v>
      </c>
      <c r="N1490" s="18">
        <v>7917</v>
      </c>
      <c r="O1490" s="18">
        <v>2000</v>
      </c>
      <c r="P1490" s="16">
        <v>1000</v>
      </c>
      <c r="Q1490" s="16">
        <v>1000</v>
      </c>
      <c r="R1490" s="16">
        <v>1500</v>
      </c>
      <c r="S1490" s="16">
        <v>1500</v>
      </c>
      <c r="T1490" s="10" t="s">
        <v>8420</v>
      </c>
      <c r="U1490" t="str">
        <f>VLOOKUP(T1490,[8]Votes!$A$1:$E$234,3,FALSE)</f>
        <v>123 Rural Electrification Agency (REA)</v>
      </c>
      <c r="V1490" t="s">
        <v>8424</v>
      </c>
      <c r="W1490" s="369">
        <v>1</v>
      </c>
      <c r="X1490" s="369">
        <v>1</v>
      </c>
      <c r="Y1490" s="369">
        <v>1</v>
      </c>
      <c r="Z1490" s="369">
        <v>0</v>
      </c>
      <c r="AA1490" s="369">
        <v>1</v>
      </c>
      <c r="AB1490" s="369">
        <v>1</v>
      </c>
      <c r="AC1490" s="369">
        <v>1</v>
      </c>
      <c r="AD1490" s="369">
        <v>1</v>
      </c>
      <c r="AE1490" s="49">
        <f t="shared" si="60"/>
        <v>0.875</v>
      </c>
      <c r="AF1490" s="17"/>
      <c r="AG1490" s="17"/>
      <c r="AH1490" s="17">
        <v>0</v>
      </c>
      <c r="AI1490" s="17">
        <v>0</v>
      </c>
      <c r="AJ1490" s="17">
        <v>0</v>
      </c>
      <c r="AK1490" s="153"/>
      <c r="AL1490" s="154"/>
      <c r="AM1490" s="147">
        <f t="shared" si="59"/>
        <v>0</v>
      </c>
      <c r="AN1490" s="44" t="s">
        <v>8420</v>
      </c>
      <c r="AO1490" s="18" t="s">
        <v>8425</v>
      </c>
      <c r="AP1490" t="s">
        <v>8426</v>
      </c>
    </row>
    <row r="1491" spans="1:42" s="10" customFormat="1" x14ac:dyDescent="0.3">
      <c r="A1491" s="367" t="s">
        <v>8317</v>
      </c>
      <c r="B1491" s="10" t="s">
        <v>8318</v>
      </c>
      <c r="C1491" s="368" t="s">
        <v>8330</v>
      </c>
      <c r="D1491" s="10" t="s">
        <v>8331</v>
      </c>
      <c r="E1491" s="10" t="s">
        <v>8332</v>
      </c>
      <c r="F1491" s="10" t="s">
        <v>8333</v>
      </c>
      <c r="G1491" s="10" t="s">
        <v>8415</v>
      </c>
      <c r="H1491" s="10" t="s">
        <v>8416</v>
      </c>
      <c r="I1491" s="9"/>
      <c r="J1491" s="370"/>
      <c r="K1491" s="10" t="s">
        <v>8417</v>
      </c>
      <c r="L1491" s="10" t="s">
        <v>8418</v>
      </c>
      <c r="M1491" s="18"/>
      <c r="N1491" s="18"/>
      <c r="O1491" s="18"/>
      <c r="P1491" s="16"/>
      <c r="Q1491" s="16"/>
      <c r="R1491" s="16"/>
      <c r="S1491" s="16"/>
      <c r="U1491" t="e">
        <f>VLOOKUP(T1491,[8]Votes!$A$1:$E$234,3,FALSE)</f>
        <v>#N/A</v>
      </c>
      <c r="V1491" t="s">
        <v>8427</v>
      </c>
      <c r="W1491" s="369">
        <v>1</v>
      </c>
      <c r="X1491" s="369">
        <v>1</v>
      </c>
      <c r="Y1491" s="369">
        <v>1</v>
      </c>
      <c r="Z1491" s="369">
        <v>0</v>
      </c>
      <c r="AA1491" s="369">
        <v>1</v>
      </c>
      <c r="AB1491" s="369">
        <v>1</v>
      </c>
      <c r="AC1491" s="369">
        <v>1</v>
      </c>
      <c r="AD1491" s="369">
        <v>1</v>
      </c>
      <c r="AE1491" s="49">
        <f t="shared" si="60"/>
        <v>0.875</v>
      </c>
      <c r="AF1491" s="17"/>
      <c r="AG1491" s="17">
        <v>0</v>
      </c>
      <c r="AH1491" s="17">
        <v>0</v>
      </c>
      <c r="AI1491" s="17">
        <v>0</v>
      </c>
      <c r="AJ1491" s="17">
        <v>0</v>
      </c>
      <c r="AK1491" s="153">
        <v>50</v>
      </c>
      <c r="AL1491" s="154">
        <v>50</v>
      </c>
      <c r="AM1491" s="147">
        <f t="shared" si="59"/>
        <v>100</v>
      </c>
      <c r="AN1491" s="44" t="s">
        <v>8422</v>
      </c>
      <c r="AO1491" s="18" t="s">
        <v>1037</v>
      </c>
      <c r="AP1491" t="s">
        <v>8420</v>
      </c>
    </row>
    <row r="1492" spans="1:42" s="10" customFormat="1" x14ac:dyDescent="0.3">
      <c r="A1492" s="367" t="s">
        <v>8317</v>
      </c>
      <c r="B1492" s="10" t="s">
        <v>8318</v>
      </c>
      <c r="C1492" s="368" t="s">
        <v>8330</v>
      </c>
      <c r="D1492" s="10" t="s">
        <v>8331</v>
      </c>
      <c r="E1492" s="10" t="s">
        <v>8332</v>
      </c>
      <c r="F1492" s="10" t="s">
        <v>8333</v>
      </c>
      <c r="G1492" s="10" t="s">
        <v>8415</v>
      </c>
      <c r="H1492" s="10" t="s">
        <v>8416</v>
      </c>
      <c r="I1492" s="9"/>
      <c r="J1492" s="370"/>
      <c r="K1492" s="10" t="s">
        <v>8417</v>
      </c>
      <c r="L1492" s="10" t="s">
        <v>8418</v>
      </c>
      <c r="M1492" s="18"/>
      <c r="N1492" s="18"/>
      <c r="O1492" s="18"/>
      <c r="P1492" s="16"/>
      <c r="Q1492" s="16"/>
      <c r="R1492" s="16"/>
      <c r="S1492" s="16"/>
      <c r="U1492" t="e">
        <f>VLOOKUP(T1492,[8]Votes!$A$1:$E$234,3,FALSE)</f>
        <v>#N/A</v>
      </c>
      <c r="V1492" t="s">
        <v>8428</v>
      </c>
      <c r="W1492" s="369">
        <v>1</v>
      </c>
      <c r="X1492" s="369">
        <v>1</v>
      </c>
      <c r="Y1492" s="369">
        <v>0</v>
      </c>
      <c r="Z1492" s="369">
        <v>0</v>
      </c>
      <c r="AA1492" s="369">
        <v>1</v>
      </c>
      <c r="AB1492" s="369">
        <v>1</v>
      </c>
      <c r="AC1492" s="369">
        <v>1</v>
      </c>
      <c r="AD1492" s="369">
        <v>1</v>
      </c>
      <c r="AE1492" s="49">
        <f t="shared" si="60"/>
        <v>0.75</v>
      </c>
      <c r="AF1492" s="17"/>
      <c r="AG1492" s="17">
        <v>0</v>
      </c>
      <c r="AH1492" s="17">
        <v>0</v>
      </c>
      <c r="AI1492" s="17">
        <v>0</v>
      </c>
      <c r="AJ1492" s="17">
        <v>0</v>
      </c>
      <c r="AK1492" s="153">
        <v>0</v>
      </c>
      <c r="AL1492" s="154">
        <v>0</v>
      </c>
      <c r="AM1492" s="147">
        <f t="shared" si="59"/>
        <v>0</v>
      </c>
      <c r="AN1492" s="44" t="s">
        <v>570</v>
      </c>
      <c r="AO1492" s="18" t="s">
        <v>2875</v>
      </c>
      <c r="AP1492" t="s">
        <v>8429</v>
      </c>
    </row>
    <row r="1493" spans="1:42" s="10" customFormat="1" x14ac:dyDescent="0.3">
      <c r="A1493" s="367" t="s">
        <v>8317</v>
      </c>
      <c r="B1493" s="10" t="s">
        <v>8318</v>
      </c>
      <c r="C1493" s="368" t="s">
        <v>8330</v>
      </c>
      <c r="D1493" s="10" t="s">
        <v>8331</v>
      </c>
      <c r="E1493" s="10" t="s">
        <v>8332</v>
      </c>
      <c r="F1493" s="10" t="s">
        <v>8333</v>
      </c>
      <c r="G1493" s="10" t="s">
        <v>8415</v>
      </c>
      <c r="H1493" s="10" t="s">
        <v>8416</v>
      </c>
      <c r="I1493" s="9"/>
      <c r="J1493" s="370"/>
      <c r="K1493" s="10" t="s">
        <v>8417</v>
      </c>
      <c r="L1493" s="10" t="s">
        <v>8418</v>
      </c>
      <c r="M1493" s="18"/>
      <c r="N1493" s="18"/>
      <c r="O1493" s="18"/>
      <c r="P1493" s="16"/>
      <c r="Q1493" s="16"/>
      <c r="R1493" s="16"/>
      <c r="S1493" s="16"/>
      <c r="U1493" t="e">
        <f>VLOOKUP(T1493,[8]Votes!$A$1:$E$234,3,FALSE)</f>
        <v>#N/A</v>
      </c>
      <c r="V1493" t="s">
        <v>8430</v>
      </c>
      <c r="W1493" s="369">
        <v>1</v>
      </c>
      <c r="X1493" s="369">
        <v>1</v>
      </c>
      <c r="Y1493" s="369">
        <v>1</v>
      </c>
      <c r="Z1493" s="369">
        <v>0</v>
      </c>
      <c r="AA1493" s="369">
        <v>1</v>
      </c>
      <c r="AB1493" s="369">
        <v>1</v>
      </c>
      <c r="AC1493" s="369">
        <v>1</v>
      </c>
      <c r="AD1493" s="369">
        <v>1</v>
      </c>
      <c r="AE1493" s="49">
        <f t="shared" si="60"/>
        <v>0.875</v>
      </c>
      <c r="AF1493" s="17"/>
      <c r="AG1493" s="17">
        <v>0</v>
      </c>
      <c r="AH1493" s="17">
        <v>0</v>
      </c>
      <c r="AI1493" s="17">
        <v>0</v>
      </c>
      <c r="AJ1493" s="17">
        <v>0</v>
      </c>
      <c r="AK1493" s="153"/>
      <c r="AL1493" s="154"/>
      <c r="AM1493" s="147">
        <f t="shared" si="59"/>
        <v>0</v>
      </c>
      <c r="AN1493" s="44" t="s">
        <v>8422</v>
      </c>
      <c r="AO1493" s="18" t="s">
        <v>1037</v>
      </c>
      <c r="AP1493" t="s">
        <v>8431</v>
      </c>
    </row>
    <row r="1494" spans="1:42" s="10" customFormat="1" x14ac:dyDescent="0.3">
      <c r="A1494" s="367" t="s">
        <v>8317</v>
      </c>
      <c r="B1494" s="10" t="s">
        <v>8318</v>
      </c>
      <c r="C1494" s="368" t="s">
        <v>8330</v>
      </c>
      <c r="D1494" s="10" t="s">
        <v>8331</v>
      </c>
      <c r="E1494" s="10" t="s">
        <v>8332</v>
      </c>
      <c r="F1494" s="10" t="s">
        <v>8333</v>
      </c>
      <c r="G1494" s="10" t="s">
        <v>8415</v>
      </c>
      <c r="H1494" s="10" t="s">
        <v>8416</v>
      </c>
      <c r="I1494" s="9"/>
      <c r="J1494" s="370"/>
      <c r="K1494" s="10" t="s">
        <v>8417</v>
      </c>
      <c r="L1494" s="10" t="s">
        <v>8418</v>
      </c>
      <c r="M1494" s="18"/>
      <c r="N1494" s="18"/>
      <c r="O1494" s="18"/>
      <c r="P1494" s="16"/>
      <c r="Q1494" s="16"/>
      <c r="R1494" s="16"/>
      <c r="S1494" s="16"/>
      <c r="U1494" t="e">
        <f>VLOOKUP(T1494,[8]Votes!$A$1:$E$234,3,FALSE)</f>
        <v>#N/A</v>
      </c>
      <c r="V1494" t="s">
        <v>8432</v>
      </c>
      <c r="W1494" s="369">
        <v>1</v>
      </c>
      <c r="X1494" s="369">
        <v>1</v>
      </c>
      <c r="Y1494" s="369">
        <v>1</v>
      </c>
      <c r="Z1494" s="369">
        <v>0</v>
      </c>
      <c r="AA1494" s="369">
        <v>1</v>
      </c>
      <c r="AB1494" s="369">
        <v>1</v>
      </c>
      <c r="AC1494" s="369">
        <v>1</v>
      </c>
      <c r="AD1494" s="369">
        <v>1</v>
      </c>
      <c r="AE1494" s="49">
        <f t="shared" si="60"/>
        <v>0.875</v>
      </c>
      <c r="AF1494" s="44"/>
      <c r="AG1494" s="17">
        <v>0</v>
      </c>
      <c r="AH1494" s="44">
        <v>60</v>
      </c>
      <c r="AI1494" s="44">
        <v>20</v>
      </c>
      <c r="AJ1494" s="44">
        <v>20</v>
      </c>
      <c r="AK1494" s="153">
        <v>5</v>
      </c>
      <c r="AL1494" s="154">
        <v>5</v>
      </c>
      <c r="AM1494" s="147">
        <f t="shared" si="59"/>
        <v>10</v>
      </c>
      <c r="AN1494" s="44" t="s">
        <v>8422</v>
      </c>
      <c r="AO1494" s="18" t="s">
        <v>1037</v>
      </c>
      <c r="AP1494" s="210" t="s">
        <v>8431</v>
      </c>
    </row>
    <row r="1495" spans="1:42" s="10" customFormat="1" x14ac:dyDescent="0.3">
      <c r="A1495" s="367" t="s">
        <v>8317</v>
      </c>
      <c r="B1495" s="10" t="s">
        <v>8318</v>
      </c>
      <c r="C1495" s="368" t="s">
        <v>8330</v>
      </c>
      <c r="D1495" s="10" t="s">
        <v>8331</v>
      </c>
      <c r="E1495" s="10" t="s">
        <v>8332</v>
      </c>
      <c r="F1495" s="10" t="s">
        <v>8333</v>
      </c>
      <c r="G1495" s="10" t="s">
        <v>8415</v>
      </c>
      <c r="H1495" s="10" t="s">
        <v>8416</v>
      </c>
      <c r="I1495" s="9"/>
      <c r="J1495" s="370"/>
      <c r="K1495" s="10" t="s">
        <v>8417</v>
      </c>
      <c r="L1495" s="10" t="s">
        <v>8418</v>
      </c>
      <c r="M1495" s="18"/>
      <c r="N1495" s="18"/>
      <c r="O1495" s="18"/>
      <c r="P1495" s="16"/>
      <c r="Q1495" s="16"/>
      <c r="R1495" s="16"/>
      <c r="S1495" s="16"/>
      <c r="U1495" t="e">
        <f>VLOOKUP(T1495,[8]Votes!$A$1:$E$234,3,FALSE)</f>
        <v>#N/A</v>
      </c>
      <c r="V1495" t="s">
        <v>8433</v>
      </c>
      <c r="W1495" s="369">
        <v>1</v>
      </c>
      <c r="X1495" s="369">
        <v>1</v>
      </c>
      <c r="Y1495" s="369">
        <v>1</v>
      </c>
      <c r="Z1495" s="369">
        <v>1</v>
      </c>
      <c r="AA1495" s="369">
        <v>1</v>
      </c>
      <c r="AB1495" s="369">
        <v>1</v>
      </c>
      <c r="AC1495" s="369">
        <v>0</v>
      </c>
      <c r="AD1495" s="369">
        <v>0</v>
      </c>
      <c r="AE1495" s="49">
        <f t="shared" si="60"/>
        <v>0.75</v>
      </c>
      <c r="AF1495" s="44"/>
      <c r="AG1495" s="17">
        <v>0</v>
      </c>
      <c r="AH1495" s="44">
        <v>40</v>
      </c>
      <c r="AI1495" s="44">
        <v>30</v>
      </c>
      <c r="AJ1495" s="44">
        <v>30</v>
      </c>
      <c r="AK1495" s="151">
        <v>15</v>
      </c>
      <c r="AL1495" s="151">
        <v>15</v>
      </c>
      <c r="AM1495" s="147">
        <f t="shared" si="59"/>
        <v>30</v>
      </c>
      <c r="AN1495" s="44" t="s">
        <v>8420</v>
      </c>
      <c r="AO1495" s="18" t="s">
        <v>8425</v>
      </c>
      <c r="AP1495" t="s">
        <v>8434</v>
      </c>
    </row>
    <row r="1496" spans="1:42" s="10" customFormat="1" x14ac:dyDescent="0.3">
      <c r="A1496" s="367" t="s">
        <v>8317</v>
      </c>
      <c r="B1496" s="10" t="s">
        <v>8318</v>
      </c>
      <c r="C1496" s="368" t="s">
        <v>8330</v>
      </c>
      <c r="D1496" s="10" t="s">
        <v>8331</v>
      </c>
      <c r="E1496" s="10" t="s">
        <v>8332</v>
      </c>
      <c r="F1496" s="10" t="s">
        <v>8333</v>
      </c>
      <c r="G1496" s="10" t="s">
        <v>8415</v>
      </c>
      <c r="H1496" s="10" t="s">
        <v>8416</v>
      </c>
      <c r="I1496" s="9"/>
      <c r="J1496" s="370"/>
      <c r="K1496" s="10" t="s">
        <v>8417</v>
      </c>
      <c r="L1496" s="10" t="s">
        <v>8418</v>
      </c>
      <c r="M1496" s="18"/>
      <c r="N1496" s="18"/>
      <c r="O1496" s="18"/>
      <c r="P1496" s="16"/>
      <c r="Q1496" s="16"/>
      <c r="R1496" s="16"/>
      <c r="S1496" s="16"/>
      <c r="U1496" t="e">
        <f>VLOOKUP(T1496,[8]Votes!$A$1:$E$234,3,FALSE)</f>
        <v>#N/A</v>
      </c>
      <c r="V1496" t="s">
        <v>8435</v>
      </c>
      <c r="W1496" s="369">
        <v>1</v>
      </c>
      <c r="X1496" s="369">
        <v>1</v>
      </c>
      <c r="Y1496" s="369">
        <v>1</v>
      </c>
      <c r="Z1496" s="369">
        <v>0</v>
      </c>
      <c r="AA1496" s="369">
        <v>1</v>
      </c>
      <c r="AB1496" s="369">
        <v>1</v>
      </c>
      <c r="AC1496" s="369">
        <v>1</v>
      </c>
      <c r="AD1496" s="369">
        <v>1</v>
      </c>
      <c r="AE1496" s="49">
        <f t="shared" si="60"/>
        <v>0.875</v>
      </c>
      <c r="AF1496" s="44"/>
      <c r="AG1496" s="17">
        <v>0</v>
      </c>
      <c r="AH1496" s="44">
        <v>30</v>
      </c>
      <c r="AI1496" s="44">
        <v>10</v>
      </c>
      <c r="AJ1496" s="44">
        <v>10</v>
      </c>
      <c r="AK1496" s="153">
        <v>5</v>
      </c>
      <c r="AL1496" s="154">
        <v>5</v>
      </c>
      <c r="AM1496" s="147">
        <f t="shared" si="59"/>
        <v>10</v>
      </c>
      <c r="AN1496" s="44" t="s">
        <v>8422</v>
      </c>
      <c r="AO1496" s="18" t="s">
        <v>1037</v>
      </c>
      <c r="AP1496" t="s">
        <v>8436</v>
      </c>
    </row>
    <row r="1497" spans="1:42" s="10" customFormat="1" x14ac:dyDescent="0.3">
      <c r="A1497" s="367" t="s">
        <v>8317</v>
      </c>
      <c r="B1497" s="10" t="s">
        <v>8318</v>
      </c>
      <c r="C1497" s="368" t="s">
        <v>8330</v>
      </c>
      <c r="D1497" s="10" t="s">
        <v>8331</v>
      </c>
      <c r="E1497" s="10" t="s">
        <v>8332</v>
      </c>
      <c r="F1497" s="10" t="s">
        <v>8333</v>
      </c>
      <c r="G1497" s="10" t="s">
        <v>8415</v>
      </c>
      <c r="H1497" s="10" t="s">
        <v>8416</v>
      </c>
      <c r="I1497" s="9"/>
      <c r="J1497" s="370"/>
      <c r="K1497" s="10" t="s">
        <v>8417</v>
      </c>
      <c r="L1497" s="10" t="s">
        <v>8418</v>
      </c>
      <c r="M1497" s="18"/>
      <c r="N1497" s="18"/>
      <c r="O1497" s="18"/>
      <c r="P1497" s="16"/>
      <c r="Q1497" s="16"/>
      <c r="R1497" s="16"/>
      <c r="S1497" s="16"/>
      <c r="U1497" t="e">
        <f>VLOOKUP(T1497,[8]Votes!$A$1:$E$234,3,FALSE)</f>
        <v>#N/A</v>
      </c>
      <c r="V1497" t="s">
        <v>8437</v>
      </c>
      <c r="W1497" s="369">
        <v>1</v>
      </c>
      <c r="X1497" s="369">
        <v>1</v>
      </c>
      <c r="Y1497" s="369">
        <v>1</v>
      </c>
      <c r="Z1497" s="369">
        <v>0</v>
      </c>
      <c r="AA1497" s="369">
        <v>1</v>
      </c>
      <c r="AB1497" s="369">
        <v>1</v>
      </c>
      <c r="AC1497" s="369">
        <v>1</v>
      </c>
      <c r="AD1497" s="369">
        <v>1</v>
      </c>
      <c r="AE1497" s="49">
        <f t="shared" si="60"/>
        <v>0.875</v>
      </c>
      <c r="AF1497" s="44"/>
      <c r="AG1497" s="17">
        <v>0</v>
      </c>
      <c r="AH1497" s="44">
        <v>10</v>
      </c>
      <c r="AI1497" s="44">
        <v>10</v>
      </c>
      <c r="AJ1497" s="44">
        <v>8</v>
      </c>
      <c r="AK1497" s="151">
        <v>8</v>
      </c>
      <c r="AL1497" s="151">
        <v>6</v>
      </c>
      <c r="AM1497" s="147">
        <f t="shared" ref="AM1497:AM1560" si="61">SUM(AK1497:AL1497)</f>
        <v>14</v>
      </c>
      <c r="AN1497" s="44" t="s">
        <v>8422</v>
      </c>
      <c r="AO1497" s="18" t="s">
        <v>1037</v>
      </c>
      <c r="AP1497" t="s">
        <v>8438</v>
      </c>
    </row>
    <row r="1498" spans="1:42" s="10" customFormat="1" x14ac:dyDescent="0.3">
      <c r="A1498" s="367" t="s">
        <v>8317</v>
      </c>
      <c r="B1498" s="10" t="s">
        <v>8318</v>
      </c>
      <c r="C1498" s="368" t="s">
        <v>8330</v>
      </c>
      <c r="D1498" s="10" t="s">
        <v>8331</v>
      </c>
      <c r="E1498" s="10" t="s">
        <v>8332</v>
      </c>
      <c r="F1498" s="10" t="s">
        <v>8333</v>
      </c>
      <c r="G1498" s="10" t="s">
        <v>8415</v>
      </c>
      <c r="H1498" s="10" t="s">
        <v>8416</v>
      </c>
      <c r="I1498" s="9"/>
      <c r="J1498" s="370"/>
      <c r="K1498" s="10" t="s">
        <v>8417</v>
      </c>
      <c r="L1498" s="10" t="s">
        <v>8418</v>
      </c>
      <c r="M1498" s="18"/>
      <c r="N1498" s="18"/>
      <c r="O1498" s="18"/>
      <c r="P1498" s="16"/>
      <c r="Q1498" s="16"/>
      <c r="R1498" s="16"/>
      <c r="S1498" s="16"/>
      <c r="U1498" t="e">
        <f>VLOOKUP(T1498,[8]Votes!$A$1:$E$234,3,FALSE)</f>
        <v>#N/A</v>
      </c>
      <c r="V1498" t="s">
        <v>8439</v>
      </c>
      <c r="W1498" s="369">
        <v>1</v>
      </c>
      <c r="X1498" s="369">
        <v>1</v>
      </c>
      <c r="Y1498" s="369">
        <v>1</v>
      </c>
      <c r="Z1498" s="369">
        <v>1</v>
      </c>
      <c r="AA1498" s="369">
        <v>1</v>
      </c>
      <c r="AB1498" s="369">
        <v>1</v>
      </c>
      <c r="AC1498" s="369">
        <v>0</v>
      </c>
      <c r="AD1498" s="369">
        <v>1</v>
      </c>
      <c r="AE1498" s="49">
        <f t="shared" si="60"/>
        <v>0.875</v>
      </c>
      <c r="AF1498" s="44"/>
      <c r="AG1498" s="17">
        <v>0</v>
      </c>
      <c r="AH1498" s="44">
        <v>25</v>
      </c>
      <c r="AI1498" s="44">
        <v>15</v>
      </c>
      <c r="AJ1498" s="44">
        <v>15</v>
      </c>
      <c r="AK1498" s="151">
        <v>10</v>
      </c>
      <c r="AL1498" s="151">
        <v>10</v>
      </c>
      <c r="AM1498" s="147">
        <f t="shared" si="61"/>
        <v>20</v>
      </c>
      <c r="AN1498" s="44" t="s">
        <v>8422</v>
      </c>
      <c r="AO1498" s="18" t="s">
        <v>1037</v>
      </c>
      <c r="AP1498" t="s">
        <v>8440</v>
      </c>
    </row>
    <row r="1499" spans="1:42" s="10" customFormat="1" x14ac:dyDescent="0.3">
      <c r="A1499" s="367" t="s">
        <v>8317</v>
      </c>
      <c r="B1499" s="10" t="s">
        <v>8318</v>
      </c>
      <c r="C1499" s="368" t="s">
        <v>8330</v>
      </c>
      <c r="D1499" s="10" t="s">
        <v>8331</v>
      </c>
      <c r="E1499" s="10" t="s">
        <v>8332</v>
      </c>
      <c r="F1499" s="10" t="s">
        <v>8333</v>
      </c>
      <c r="G1499" s="10" t="s">
        <v>8415</v>
      </c>
      <c r="H1499" s="10" t="s">
        <v>8416</v>
      </c>
      <c r="I1499" s="9"/>
      <c r="J1499" s="370"/>
      <c r="K1499" s="10" t="s">
        <v>8417</v>
      </c>
      <c r="L1499" s="10" t="s">
        <v>8418</v>
      </c>
      <c r="M1499" s="18"/>
      <c r="N1499" s="18"/>
      <c r="O1499" s="18"/>
      <c r="P1499" s="16"/>
      <c r="Q1499" s="16"/>
      <c r="R1499" s="16"/>
      <c r="S1499" s="16"/>
      <c r="U1499" t="e">
        <f>VLOOKUP(T1499,[8]Votes!$A$1:$E$234,3,FALSE)</f>
        <v>#N/A</v>
      </c>
      <c r="V1499" t="s">
        <v>8441</v>
      </c>
      <c r="W1499" s="369">
        <v>1</v>
      </c>
      <c r="X1499" s="369">
        <v>1</v>
      </c>
      <c r="Y1499" s="369">
        <v>1</v>
      </c>
      <c r="Z1499" s="369">
        <v>1</v>
      </c>
      <c r="AA1499" s="369">
        <v>1</v>
      </c>
      <c r="AB1499" s="369">
        <v>1</v>
      </c>
      <c r="AC1499" s="369">
        <v>0</v>
      </c>
      <c r="AD1499" s="369">
        <v>1</v>
      </c>
      <c r="AE1499" s="49">
        <f t="shared" si="60"/>
        <v>0.875</v>
      </c>
      <c r="AF1499" s="44"/>
      <c r="AG1499" s="17">
        <v>0</v>
      </c>
      <c r="AH1499" s="44">
        <v>25</v>
      </c>
      <c r="AI1499" s="44">
        <v>15</v>
      </c>
      <c r="AJ1499" s="44">
        <v>15</v>
      </c>
      <c r="AK1499" s="151">
        <v>10</v>
      </c>
      <c r="AL1499" s="151">
        <v>10</v>
      </c>
      <c r="AM1499" s="147">
        <f t="shared" si="61"/>
        <v>20</v>
      </c>
      <c r="AN1499" s="44" t="s">
        <v>8422</v>
      </c>
      <c r="AO1499" s="18" t="s">
        <v>1037</v>
      </c>
      <c r="AP1499" t="s">
        <v>8442</v>
      </c>
    </row>
    <row r="1500" spans="1:42" s="10" customFormat="1" x14ac:dyDescent="0.3">
      <c r="A1500" s="367" t="s">
        <v>8317</v>
      </c>
      <c r="B1500" s="10" t="s">
        <v>8318</v>
      </c>
      <c r="C1500" s="368" t="s">
        <v>8330</v>
      </c>
      <c r="D1500" s="10" t="s">
        <v>8331</v>
      </c>
      <c r="E1500" s="10" t="s">
        <v>8332</v>
      </c>
      <c r="F1500" s="10" t="s">
        <v>8333</v>
      </c>
      <c r="G1500" s="10" t="s">
        <v>8415</v>
      </c>
      <c r="H1500" s="10" t="s">
        <v>8416</v>
      </c>
      <c r="I1500" s="9"/>
      <c r="J1500" s="370"/>
      <c r="K1500" s="10" t="s">
        <v>8417</v>
      </c>
      <c r="L1500" s="10" t="s">
        <v>8418</v>
      </c>
      <c r="M1500" s="18"/>
      <c r="N1500" s="18"/>
      <c r="O1500" s="18"/>
      <c r="P1500" s="16"/>
      <c r="Q1500" s="16"/>
      <c r="R1500" s="16"/>
      <c r="S1500" s="16"/>
      <c r="U1500" t="e">
        <f>VLOOKUP(T1500,[8]Votes!$A$1:$E$234,3,FALSE)</f>
        <v>#N/A</v>
      </c>
      <c r="V1500" t="s">
        <v>8443</v>
      </c>
      <c r="W1500" s="369">
        <v>1</v>
      </c>
      <c r="X1500" s="369">
        <v>1</v>
      </c>
      <c r="Y1500" s="369">
        <v>1</v>
      </c>
      <c r="Z1500" s="369">
        <v>1</v>
      </c>
      <c r="AA1500" s="369">
        <v>1</v>
      </c>
      <c r="AB1500" s="369">
        <v>1</v>
      </c>
      <c r="AC1500" s="369">
        <v>0</v>
      </c>
      <c r="AD1500" s="369">
        <v>1</v>
      </c>
      <c r="AE1500" s="49">
        <f t="shared" ref="AE1500:AE1563" si="62">SUM(W1500:AD1500)/8</f>
        <v>0.875</v>
      </c>
      <c r="AF1500" s="44"/>
      <c r="AG1500" s="17">
        <v>0</v>
      </c>
      <c r="AH1500" s="44">
        <v>10</v>
      </c>
      <c r="AI1500" s="44">
        <v>10</v>
      </c>
      <c r="AJ1500" s="44">
        <v>5</v>
      </c>
      <c r="AK1500" s="151">
        <v>5</v>
      </c>
      <c r="AL1500" s="151">
        <v>5</v>
      </c>
      <c r="AM1500" s="147">
        <f t="shared" si="61"/>
        <v>10</v>
      </c>
      <c r="AN1500" s="44" t="s">
        <v>8422</v>
      </c>
      <c r="AO1500" s="18" t="s">
        <v>1037</v>
      </c>
      <c r="AP1500" t="s">
        <v>8442</v>
      </c>
    </row>
    <row r="1501" spans="1:42" s="10" customFormat="1" x14ac:dyDescent="0.3">
      <c r="A1501" s="367" t="s">
        <v>8317</v>
      </c>
      <c r="B1501" s="10" t="s">
        <v>8318</v>
      </c>
      <c r="C1501" s="368" t="s">
        <v>8330</v>
      </c>
      <c r="D1501" s="10" t="s">
        <v>8331</v>
      </c>
      <c r="E1501" s="10" t="s">
        <v>8332</v>
      </c>
      <c r="F1501" s="10" t="s">
        <v>8333</v>
      </c>
      <c r="G1501" s="10" t="s">
        <v>8415</v>
      </c>
      <c r="H1501" s="10" t="s">
        <v>8416</v>
      </c>
      <c r="I1501" s="9"/>
      <c r="J1501" s="370"/>
      <c r="K1501" s="10" t="s">
        <v>8417</v>
      </c>
      <c r="L1501" s="10" t="s">
        <v>8418</v>
      </c>
      <c r="M1501" s="18"/>
      <c r="N1501" s="18"/>
      <c r="O1501" s="18"/>
      <c r="P1501" s="16"/>
      <c r="Q1501" s="16"/>
      <c r="R1501" s="16"/>
      <c r="S1501" s="16"/>
      <c r="U1501" t="e">
        <f>VLOOKUP(T1501,[8]Votes!$A$1:$E$234,3,FALSE)</f>
        <v>#N/A</v>
      </c>
      <c r="V1501" t="s">
        <v>8444</v>
      </c>
      <c r="W1501" s="369">
        <v>1</v>
      </c>
      <c r="X1501" s="369">
        <v>1</v>
      </c>
      <c r="Y1501" s="369">
        <v>0</v>
      </c>
      <c r="Z1501" s="369">
        <v>0</v>
      </c>
      <c r="AA1501" s="369">
        <v>1</v>
      </c>
      <c r="AB1501" s="369">
        <v>1</v>
      </c>
      <c r="AC1501" s="369">
        <v>0</v>
      </c>
      <c r="AD1501" s="369">
        <v>1</v>
      </c>
      <c r="AE1501" s="49">
        <f t="shared" si="62"/>
        <v>0.625</v>
      </c>
      <c r="AF1501" s="44"/>
      <c r="AG1501" s="17">
        <v>0</v>
      </c>
      <c r="AH1501" s="44">
        <v>20</v>
      </c>
      <c r="AI1501" s="44">
        <v>10</v>
      </c>
      <c r="AJ1501" s="44">
        <v>10</v>
      </c>
      <c r="AK1501" s="151">
        <v>10</v>
      </c>
      <c r="AL1501" s="151">
        <v>10</v>
      </c>
      <c r="AM1501" s="147">
        <f t="shared" si="61"/>
        <v>20</v>
      </c>
      <c r="AN1501" s="44" t="s">
        <v>8422</v>
      </c>
      <c r="AO1501" s="18" t="s">
        <v>1037</v>
      </c>
      <c r="AP1501" t="s">
        <v>8445</v>
      </c>
    </row>
    <row r="1502" spans="1:42" s="10" customFormat="1" x14ac:dyDescent="0.3">
      <c r="A1502" s="367" t="s">
        <v>8317</v>
      </c>
      <c r="B1502" s="10" t="s">
        <v>8318</v>
      </c>
      <c r="C1502" s="368" t="s">
        <v>8330</v>
      </c>
      <c r="D1502" s="10" t="s">
        <v>8331</v>
      </c>
      <c r="E1502" s="10" t="s">
        <v>8332</v>
      </c>
      <c r="F1502" s="10" t="s">
        <v>8333</v>
      </c>
      <c r="G1502" s="10" t="s">
        <v>8415</v>
      </c>
      <c r="H1502" s="10" t="s">
        <v>8416</v>
      </c>
      <c r="I1502" s="9"/>
      <c r="J1502" s="370"/>
      <c r="K1502" s="10" t="s">
        <v>8417</v>
      </c>
      <c r="L1502" s="10" t="s">
        <v>8418</v>
      </c>
      <c r="M1502" s="18"/>
      <c r="N1502" s="18"/>
      <c r="O1502" s="18"/>
      <c r="P1502" s="16"/>
      <c r="Q1502" s="16"/>
      <c r="R1502" s="16"/>
      <c r="S1502" s="16"/>
      <c r="U1502" t="e">
        <f>VLOOKUP(T1502,[8]Votes!$A$1:$E$234,3,FALSE)</f>
        <v>#N/A</v>
      </c>
      <c r="V1502" t="s">
        <v>8446</v>
      </c>
      <c r="W1502" s="369">
        <v>1</v>
      </c>
      <c r="X1502" s="369">
        <v>1</v>
      </c>
      <c r="Y1502" s="369">
        <v>0</v>
      </c>
      <c r="Z1502" s="369">
        <v>1</v>
      </c>
      <c r="AA1502" s="369">
        <v>1</v>
      </c>
      <c r="AB1502" s="369">
        <v>1</v>
      </c>
      <c r="AC1502" s="369">
        <v>0</v>
      </c>
      <c r="AD1502" s="369">
        <v>1</v>
      </c>
      <c r="AE1502" s="49">
        <f t="shared" si="62"/>
        <v>0.75</v>
      </c>
      <c r="AF1502" s="44"/>
      <c r="AG1502" s="17">
        <v>0</v>
      </c>
      <c r="AH1502" s="44">
        <v>30</v>
      </c>
      <c r="AI1502" s="44">
        <v>10</v>
      </c>
      <c r="AJ1502" s="44">
        <v>20</v>
      </c>
      <c r="AK1502" s="151"/>
      <c r="AL1502" s="151"/>
      <c r="AM1502" s="147">
        <f t="shared" si="61"/>
        <v>0</v>
      </c>
      <c r="AN1502" s="44" t="s">
        <v>8422</v>
      </c>
      <c r="AO1502" s="18" t="s">
        <v>1037</v>
      </c>
      <c r="AP1502" t="s">
        <v>1035</v>
      </c>
    </row>
    <row r="1503" spans="1:42" s="10" customFormat="1" x14ac:dyDescent="0.3">
      <c r="A1503" s="367" t="s">
        <v>8317</v>
      </c>
      <c r="B1503" s="10" t="s">
        <v>8318</v>
      </c>
      <c r="C1503" s="368" t="s">
        <v>8330</v>
      </c>
      <c r="D1503" s="10" t="s">
        <v>8331</v>
      </c>
      <c r="E1503" s="10" t="s">
        <v>8332</v>
      </c>
      <c r="F1503" s="10" t="s">
        <v>8333</v>
      </c>
      <c r="G1503" s="10" t="s">
        <v>8415</v>
      </c>
      <c r="H1503" s="10" t="s">
        <v>8416</v>
      </c>
      <c r="I1503" s="9"/>
      <c r="J1503" s="370"/>
      <c r="K1503" s="10" t="s">
        <v>8417</v>
      </c>
      <c r="L1503" s="10" t="s">
        <v>8418</v>
      </c>
      <c r="M1503" s="18"/>
      <c r="N1503" s="18"/>
      <c r="O1503" s="18"/>
      <c r="P1503" s="16"/>
      <c r="Q1503" s="16"/>
      <c r="R1503" s="16"/>
      <c r="S1503" s="16"/>
      <c r="U1503" t="e">
        <f>VLOOKUP(T1503,[8]Votes!$A$1:$E$234,3,FALSE)</f>
        <v>#N/A</v>
      </c>
      <c r="V1503" t="s">
        <v>8447</v>
      </c>
      <c r="W1503" s="369">
        <v>1</v>
      </c>
      <c r="X1503" s="369">
        <v>1</v>
      </c>
      <c r="Y1503" s="369">
        <v>1</v>
      </c>
      <c r="Z1503" s="369">
        <v>1</v>
      </c>
      <c r="AA1503" s="369">
        <v>1</v>
      </c>
      <c r="AB1503" s="369">
        <v>1</v>
      </c>
      <c r="AC1503" s="369">
        <v>1</v>
      </c>
      <c r="AD1503" s="369">
        <v>1</v>
      </c>
      <c r="AE1503" s="49">
        <f t="shared" si="62"/>
        <v>1</v>
      </c>
      <c r="AF1503" s="44"/>
      <c r="AG1503" s="17">
        <v>0</v>
      </c>
      <c r="AH1503" s="44">
        <v>12</v>
      </c>
      <c r="AI1503" s="44">
        <v>10</v>
      </c>
      <c r="AJ1503" s="44">
        <v>8</v>
      </c>
      <c r="AK1503" s="151"/>
      <c r="AL1503" s="151"/>
      <c r="AM1503" s="147">
        <f t="shared" si="61"/>
        <v>0</v>
      </c>
      <c r="AN1503" s="44" t="s">
        <v>8422</v>
      </c>
      <c r="AO1503" s="18" t="s">
        <v>1037</v>
      </c>
      <c r="AP1503" t="s">
        <v>1035</v>
      </c>
    </row>
    <row r="1504" spans="1:42" s="10" customFormat="1" x14ac:dyDescent="0.3">
      <c r="A1504" s="367" t="s">
        <v>8317</v>
      </c>
      <c r="B1504" s="10" t="s">
        <v>8318</v>
      </c>
      <c r="C1504" s="368" t="s">
        <v>8330</v>
      </c>
      <c r="D1504" s="10" t="s">
        <v>8331</v>
      </c>
      <c r="E1504" s="10" t="s">
        <v>8332</v>
      </c>
      <c r="F1504" s="10" t="s">
        <v>8333</v>
      </c>
      <c r="G1504" s="10" t="s">
        <v>8415</v>
      </c>
      <c r="H1504" s="10" t="s">
        <v>8416</v>
      </c>
      <c r="I1504" s="9"/>
      <c r="J1504" s="370"/>
      <c r="K1504" s="10" t="s">
        <v>8417</v>
      </c>
      <c r="L1504" s="10" t="s">
        <v>8418</v>
      </c>
      <c r="M1504" s="18"/>
      <c r="N1504" s="18"/>
      <c r="O1504" s="18"/>
      <c r="P1504" s="16"/>
      <c r="Q1504" s="16"/>
      <c r="R1504" s="16"/>
      <c r="S1504" s="16"/>
      <c r="U1504" t="e">
        <f>VLOOKUP(T1504,[8]Votes!$A$1:$E$234,3,FALSE)</f>
        <v>#N/A</v>
      </c>
      <c r="V1504" t="s">
        <v>8448</v>
      </c>
      <c r="W1504" s="369">
        <v>1</v>
      </c>
      <c r="X1504" s="369">
        <v>1</v>
      </c>
      <c r="Y1504" s="369">
        <v>1</v>
      </c>
      <c r="Z1504" s="369">
        <v>0</v>
      </c>
      <c r="AA1504" s="369">
        <v>1</v>
      </c>
      <c r="AB1504" s="369">
        <v>1</v>
      </c>
      <c r="AC1504" s="369">
        <v>1</v>
      </c>
      <c r="AD1504" s="369">
        <v>1</v>
      </c>
      <c r="AE1504" s="49">
        <f t="shared" si="62"/>
        <v>0.875</v>
      </c>
      <c r="AF1504" s="44"/>
      <c r="AG1504" s="17">
        <v>0</v>
      </c>
      <c r="AH1504" s="44">
        <v>5</v>
      </c>
      <c r="AI1504" s="44">
        <v>10</v>
      </c>
      <c r="AJ1504" s="44">
        <v>20</v>
      </c>
      <c r="AK1504" s="151"/>
      <c r="AL1504" s="151"/>
      <c r="AM1504" s="147">
        <f t="shared" si="61"/>
        <v>0</v>
      </c>
      <c r="AN1504" s="44" t="s">
        <v>8422</v>
      </c>
      <c r="AO1504" s="18" t="s">
        <v>1037</v>
      </c>
      <c r="AP1504" t="s">
        <v>1035</v>
      </c>
    </row>
    <row r="1505" spans="1:43" s="10" customFormat="1" x14ac:dyDescent="0.3">
      <c r="A1505" s="367" t="s">
        <v>8317</v>
      </c>
      <c r="B1505" s="10" t="s">
        <v>8318</v>
      </c>
      <c r="C1505" s="368" t="s">
        <v>8330</v>
      </c>
      <c r="D1505" s="10" t="s">
        <v>8331</v>
      </c>
      <c r="E1505" s="10" t="s">
        <v>8332</v>
      </c>
      <c r="F1505" s="10" t="s">
        <v>8333</v>
      </c>
      <c r="G1505" s="10" t="s">
        <v>8415</v>
      </c>
      <c r="H1505" s="10" t="s">
        <v>8416</v>
      </c>
      <c r="I1505" s="9"/>
      <c r="J1505" s="370"/>
      <c r="K1505" s="10" t="s">
        <v>8417</v>
      </c>
      <c r="L1505" s="10" t="s">
        <v>8418</v>
      </c>
      <c r="M1505" s="18"/>
      <c r="N1505" s="18"/>
      <c r="O1505" s="18"/>
      <c r="P1505" s="16"/>
      <c r="Q1505" s="16"/>
      <c r="R1505" s="16"/>
      <c r="S1505" s="16"/>
      <c r="U1505" t="e">
        <f>VLOOKUP(T1505,[8]Votes!$A$1:$E$234,3,FALSE)</f>
        <v>#N/A</v>
      </c>
      <c r="V1505" t="s">
        <v>8449</v>
      </c>
      <c r="W1505" s="369">
        <v>1</v>
      </c>
      <c r="X1505" s="369">
        <v>1</v>
      </c>
      <c r="Y1505" s="369">
        <v>1</v>
      </c>
      <c r="Z1505" s="369">
        <v>0</v>
      </c>
      <c r="AA1505" s="369">
        <v>1</v>
      </c>
      <c r="AB1505" s="369">
        <v>1</v>
      </c>
      <c r="AC1505" s="369">
        <v>1</v>
      </c>
      <c r="AD1505" s="369">
        <v>1</v>
      </c>
      <c r="AE1505" s="49">
        <f t="shared" si="62"/>
        <v>0.875</v>
      </c>
      <c r="AF1505" s="44"/>
      <c r="AG1505" s="17">
        <v>0</v>
      </c>
      <c r="AH1505" s="44">
        <v>5</v>
      </c>
      <c r="AI1505" s="44">
        <v>5</v>
      </c>
      <c r="AJ1505" s="17">
        <v>0</v>
      </c>
      <c r="AK1505" s="151">
        <v>5</v>
      </c>
      <c r="AL1505" s="151">
        <v>0</v>
      </c>
      <c r="AM1505" s="147">
        <f t="shared" si="61"/>
        <v>5</v>
      </c>
      <c r="AN1505" s="44" t="s">
        <v>8422</v>
      </c>
      <c r="AO1505" s="18" t="s">
        <v>1037</v>
      </c>
      <c r="AP1505" t="s">
        <v>8450</v>
      </c>
    </row>
    <row r="1506" spans="1:43" s="10" customFormat="1" x14ac:dyDescent="0.3">
      <c r="A1506" s="367" t="s">
        <v>8317</v>
      </c>
      <c r="B1506" s="10" t="s">
        <v>8318</v>
      </c>
      <c r="C1506" s="368" t="s">
        <v>8330</v>
      </c>
      <c r="D1506" s="10" t="s">
        <v>8331</v>
      </c>
      <c r="E1506" s="10" t="s">
        <v>8332</v>
      </c>
      <c r="F1506" s="10" t="s">
        <v>8333</v>
      </c>
      <c r="G1506" s="10" t="s">
        <v>8415</v>
      </c>
      <c r="H1506" s="10" t="s">
        <v>8416</v>
      </c>
      <c r="I1506" s="9"/>
      <c r="J1506" s="370"/>
      <c r="K1506" s="10" t="s">
        <v>8417</v>
      </c>
      <c r="L1506" s="10" t="s">
        <v>8418</v>
      </c>
      <c r="M1506" s="18"/>
      <c r="N1506" s="18"/>
      <c r="O1506" s="18"/>
      <c r="P1506" s="16"/>
      <c r="Q1506" s="16"/>
      <c r="R1506" s="16"/>
      <c r="S1506" s="16"/>
      <c r="U1506" t="e">
        <f>VLOOKUP(T1506,[8]Votes!$A$1:$E$234,3,FALSE)</f>
        <v>#N/A</v>
      </c>
      <c r="V1506" t="s">
        <v>8451</v>
      </c>
      <c r="W1506" s="369">
        <v>1</v>
      </c>
      <c r="X1506" s="369">
        <v>1</v>
      </c>
      <c r="Y1506" s="369">
        <v>1</v>
      </c>
      <c r="Z1506" s="369">
        <v>0</v>
      </c>
      <c r="AA1506" s="369">
        <v>1</v>
      </c>
      <c r="AB1506" s="369">
        <v>1</v>
      </c>
      <c r="AC1506" s="369">
        <v>1</v>
      </c>
      <c r="AD1506" s="369">
        <v>1</v>
      </c>
      <c r="AE1506" s="49">
        <f t="shared" si="62"/>
        <v>0.875</v>
      </c>
      <c r="AF1506" s="44"/>
      <c r="AG1506" s="17">
        <v>0</v>
      </c>
      <c r="AH1506" s="44">
        <v>0</v>
      </c>
      <c r="AI1506" s="44">
        <v>15</v>
      </c>
      <c r="AJ1506" s="44">
        <v>10</v>
      </c>
      <c r="AK1506" s="151">
        <v>5</v>
      </c>
      <c r="AL1506" s="151">
        <v>5</v>
      </c>
      <c r="AM1506" s="147">
        <f t="shared" si="61"/>
        <v>10</v>
      </c>
      <c r="AN1506" s="44" t="s">
        <v>8422</v>
      </c>
      <c r="AO1506" s="18" t="s">
        <v>1037</v>
      </c>
      <c r="AP1506" t="s">
        <v>8452</v>
      </c>
    </row>
    <row r="1507" spans="1:43" s="10" customFormat="1" x14ac:dyDescent="0.3">
      <c r="A1507" s="367" t="s">
        <v>8317</v>
      </c>
      <c r="B1507" s="10" t="s">
        <v>8318</v>
      </c>
      <c r="C1507" s="368" t="s">
        <v>8330</v>
      </c>
      <c r="D1507" s="10" t="s">
        <v>8331</v>
      </c>
      <c r="E1507" s="10" t="s">
        <v>8332</v>
      </c>
      <c r="F1507" s="10" t="s">
        <v>8333</v>
      </c>
      <c r="G1507" s="10" t="s">
        <v>8415</v>
      </c>
      <c r="H1507" s="10" t="s">
        <v>8416</v>
      </c>
      <c r="I1507" s="9"/>
      <c r="J1507" s="370"/>
      <c r="K1507" s="10" t="s">
        <v>8417</v>
      </c>
      <c r="L1507" s="10" t="s">
        <v>8418</v>
      </c>
      <c r="M1507" s="18"/>
      <c r="N1507" s="18"/>
      <c r="O1507" s="18"/>
      <c r="P1507" s="16"/>
      <c r="Q1507" s="16"/>
      <c r="R1507" s="16"/>
      <c r="S1507" s="16"/>
      <c r="U1507" t="e">
        <f>VLOOKUP(T1507,[8]Votes!$A$1:$E$234,3,FALSE)</f>
        <v>#N/A</v>
      </c>
      <c r="V1507" t="s">
        <v>8453</v>
      </c>
      <c r="W1507" s="369">
        <v>1</v>
      </c>
      <c r="X1507" s="369">
        <v>1</v>
      </c>
      <c r="Y1507" s="369">
        <v>0</v>
      </c>
      <c r="Z1507" s="369">
        <v>0</v>
      </c>
      <c r="AA1507" s="369">
        <v>1</v>
      </c>
      <c r="AB1507" s="369">
        <v>1</v>
      </c>
      <c r="AC1507" s="369">
        <v>0</v>
      </c>
      <c r="AD1507" s="369">
        <v>1</v>
      </c>
      <c r="AE1507" s="49">
        <f t="shared" si="62"/>
        <v>0.625</v>
      </c>
      <c r="AF1507" s="17"/>
      <c r="AG1507" s="17">
        <v>0</v>
      </c>
      <c r="AH1507" s="17">
        <v>0</v>
      </c>
      <c r="AI1507" s="17">
        <v>0</v>
      </c>
      <c r="AJ1507" s="17">
        <v>0</v>
      </c>
      <c r="AK1507" s="153">
        <v>5</v>
      </c>
      <c r="AL1507" s="154">
        <v>5</v>
      </c>
      <c r="AM1507" s="147">
        <f t="shared" si="61"/>
        <v>10</v>
      </c>
      <c r="AN1507" s="44" t="s">
        <v>8422</v>
      </c>
      <c r="AO1507" s="18" t="s">
        <v>1037</v>
      </c>
      <c r="AP1507" t="s">
        <v>119</v>
      </c>
    </row>
    <row r="1508" spans="1:43" s="10" customFormat="1" x14ac:dyDescent="0.3">
      <c r="A1508" s="367" t="s">
        <v>8317</v>
      </c>
      <c r="B1508" s="10" t="s">
        <v>8318</v>
      </c>
      <c r="C1508" s="368" t="s">
        <v>8330</v>
      </c>
      <c r="D1508" s="10" t="s">
        <v>8331</v>
      </c>
      <c r="E1508" s="10" t="s">
        <v>8332</v>
      </c>
      <c r="F1508" s="10" t="s">
        <v>8333</v>
      </c>
      <c r="G1508" s="10" t="s">
        <v>8415</v>
      </c>
      <c r="H1508" s="10" t="s">
        <v>8416</v>
      </c>
      <c r="I1508" s="9"/>
      <c r="J1508" s="370"/>
      <c r="K1508" s="10" t="s">
        <v>8417</v>
      </c>
      <c r="L1508" s="10" t="s">
        <v>8418</v>
      </c>
      <c r="M1508" s="18" t="s">
        <v>8454</v>
      </c>
      <c r="N1508" s="18">
        <v>2549.92</v>
      </c>
      <c r="O1508" s="18">
        <v>2896.66</v>
      </c>
      <c r="P1508" s="16">
        <v>2534</v>
      </c>
      <c r="Q1508" s="16">
        <v>1200</v>
      </c>
      <c r="R1508" s="16" t="s">
        <v>271</v>
      </c>
      <c r="S1508" s="16" t="s">
        <v>271</v>
      </c>
      <c r="T1508" s="10" t="s">
        <v>8420</v>
      </c>
      <c r="U1508" t="str">
        <f>VLOOKUP(T1508,[8]Votes!$A$1:$E$234,3,FALSE)</f>
        <v>123 Rural Electrification Agency (REA)</v>
      </c>
      <c r="V1508" t="s">
        <v>8455</v>
      </c>
      <c r="W1508" s="369">
        <v>1</v>
      </c>
      <c r="X1508" s="369">
        <v>1</v>
      </c>
      <c r="Y1508" s="369">
        <v>1</v>
      </c>
      <c r="Z1508" s="369">
        <v>0</v>
      </c>
      <c r="AA1508" s="369">
        <v>1</v>
      </c>
      <c r="AB1508" s="369">
        <v>1</v>
      </c>
      <c r="AC1508" s="369">
        <v>1</v>
      </c>
      <c r="AD1508" s="369">
        <v>1</v>
      </c>
      <c r="AE1508" s="49">
        <f t="shared" si="62"/>
        <v>0.875</v>
      </c>
      <c r="AF1508" s="44"/>
      <c r="AG1508" s="17">
        <v>1</v>
      </c>
      <c r="AH1508" s="44">
        <v>75</v>
      </c>
      <c r="AI1508" s="44">
        <v>30</v>
      </c>
      <c r="AJ1508" s="44">
        <v>30</v>
      </c>
      <c r="AK1508" s="153"/>
      <c r="AL1508" s="154"/>
      <c r="AM1508" s="147">
        <f t="shared" si="61"/>
        <v>0</v>
      </c>
      <c r="AN1508" s="44" t="s">
        <v>8420</v>
      </c>
      <c r="AO1508" s="18" t="s">
        <v>8425</v>
      </c>
      <c r="AP1508" t="s">
        <v>8445</v>
      </c>
    </row>
    <row r="1509" spans="1:43" s="10" customFormat="1" x14ac:dyDescent="0.3">
      <c r="A1509" s="367" t="s">
        <v>8317</v>
      </c>
      <c r="B1509" s="10" t="s">
        <v>8318</v>
      </c>
      <c r="C1509" s="368" t="s">
        <v>8330</v>
      </c>
      <c r="D1509" s="10" t="s">
        <v>8331</v>
      </c>
      <c r="E1509" s="10" t="s">
        <v>8332</v>
      </c>
      <c r="F1509" s="10" t="s">
        <v>8333</v>
      </c>
      <c r="G1509" s="10" t="s">
        <v>8415</v>
      </c>
      <c r="H1509" s="10" t="s">
        <v>8416</v>
      </c>
      <c r="I1509" s="9"/>
      <c r="J1509" s="370"/>
      <c r="K1509" s="10" t="s">
        <v>8417</v>
      </c>
      <c r="L1509" s="10" t="s">
        <v>8418</v>
      </c>
      <c r="M1509" s="18" t="s">
        <v>8456</v>
      </c>
      <c r="N1509" s="18">
        <v>2596.4699999999998</v>
      </c>
      <c r="O1509" s="18">
        <v>4219.21</v>
      </c>
      <c r="P1509" s="16">
        <v>3514</v>
      </c>
      <c r="Q1509" s="16">
        <v>1500</v>
      </c>
      <c r="R1509" s="16" t="s">
        <v>271</v>
      </c>
      <c r="S1509" s="16" t="s">
        <v>271</v>
      </c>
      <c r="T1509" s="10" t="s">
        <v>8420</v>
      </c>
      <c r="U1509" t="str">
        <f>VLOOKUP(T1509,[8]Votes!$A$1:$E$234,3,FALSE)</f>
        <v>123 Rural Electrification Agency (REA)</v>
      </c>
      <c r="V1509" t="s">
        <v>8455</v>
      </c>
      <c r="W1509" s="369">
        <v>1</v>
      </c>
      <c r="X1509" s="369">
        <v>0</v>
      </c>
      <c r="Y1509" s="369">
        <v>0</v>
      </c>
      <c r="Z1509" s="369">
        <v>1</v>
      </c>
      <c r="AA1509" s="369">
        <v>1</v>
      </c>
      <c r="AB1509" s="369">
        <v>1</v>
      </c>
      <c r="AC1509" s="369">
        <v>0</v>
      </c>
      <c r="AD1509" s="369">
        <v>1</v>
      </c>
      <c r="AE1509" s="49">
        <f t="shared" si="62"/>
        <v>0.625</v>
      </c>
      <c r="AF1509" s="44"/>
      <c r="AG1509" s="17">
        <v>1</v>
      </c>
      <c r="AH1509" s="44">
        <v>60</v>
      </c>
      <c r="AI1509" s="44">
        <v>20</v>
      </c>
      <c r="AJ1509" s="44">
        <v>20</v>
      </c>
      <c r="AK1509" s="153"/>
      <c r="AL1509" s="154"/>
      <c r="AM1509" s="147">
        <f t="shared" si="61"/>
        <v>0</v>
      </c>
      <c r="AN1509" s="44" t="s">
        <v>8420</v>
      </c>
      <c r="AO1509" s="18" t="s">
        <v>8425</v>
      </c>
      <c r="AP1509" t="s">
        <v>8445</v>
      </c>
    </row>
    <row r="1510" spans="1:43" s="10" customFormat="1" x14ac:dyDescent="0.3">
      <c r="A1510" s="367" t="s">
        <v>8317</v>
      </c>
      <c r="B1510" s="10" t="s">
        <v>8318</v>
      </c>
      <c r="C1510" s="368" t="s">
        <v>8330</v>
      </c>
      <c r="D1510" s="10" t="s">
        <v>8331</v>
      </c>
      <c r="E1510" s="10" t="s">
        <v>8332</v>
      </c>
      <c r="F1510" s="10" t="s">
        <v>8333</v>
      </c>
      <c r="G1510" s="10" t="s">
        <v>8415</v>
      </c>
      <c r="H1510" s="10" t="s">
        <v>8416</v>
      </c>
      <c r="I1510" s="9"/>
      <c r="J1510" s="370"/>
      <c r="K1510" s="10" t="s">
        <v>8417</v>
      </c>
      <c r="L1510" s="10" t="s">
        <v>8418</v>
      </c>
      <c r="M1510" s="18" t="s">
        <v>8457</v>
      </c>
      <c r="N1510" s="18">
        <v>82</v>
      </c>
      <c r="O1510" s="18">
        <v>182</v>
      </c>
      <c r="P1510" s="16">
        <v>145</v>
      </c>
      <c r="Q1510" s="16">
        <v>152</v>
      </c>
      <c r="R1510" s="16"/>
      <c r="S1510" s="16"/>
      <c r="T1510" s="10" t="s">
        <v>8420</v>
      </c>
      <c r="U1510" t="str">
        <f>VLOOKUP(T1510,[8]Votes!$A$1:$E$234,3,FALSE)</f>
        <v>123 Rural Electrification Agency (REA)</v>
      </c>
      <c r="V1510" t="s">
        <v>8458</v>
      </c>
      <c r="W1510" s="369">
        <v>1</v>
      </c>
      <c r="X1510" s="369">
        <v>0</v>
      </c>
      <c r="Y1510" s="369">
        <v>0</v>
      </c>
      <c r="Z1510" s="369">
        <v>1</v>
      </c>
      <c r="AA1510" s="369">
        <v>1</v>
      </c>
      <c r="AB1510" s="369">
        <v>1</v>
      </c>
      <c r="AC1510" s="369">
        <v>0</v>
      </c>
      <c r="AD1510" s="369">
        <v>1</v>
      </c>
      <c r="AE1510" s="49">
        <f t="shared" si="62"/>
        <v>0.625</v>
      </c>
      <c r="AF1510" s="44"/>
      <c r="AG1510" s="17">
        <v>1</v>
      </c>
      <c r="AH1510" s="44">
        <v>5</v>
      </c>
      <c r="AI1510" s="44">
        <v>5</v>
      </c>
      <c r="AJ1510" s="44">
        <v>5</v>
      </c>
      <c r="AK1510" s="153"/>
      <c r="AL1510" s="154"/>
      <c r="AM1510" s="147">
        <f t="shared" si="61"/>
        <v>0</v>
      </c>
      <c r="AN1510" s="44" t="s">
        <v>8420</v>
      </c>
      <c r="AO1510" s="18" t="s">
        <v>8425</v>
      </c>
      <c r="AP1510" t="s">
        <v>8445</v>
      </c>
    </row>
    <row r="1511" spans="1:43" s="10" customFormat="1" x14ac:dyDescent="0.3">
      <c r="A1511" s="367" t="s">
        <v>8317</v>
      </c>
      <c r="B1511" s="10" t="s">
        <v>8318</v>
      </c>
      <c r="C1511" s="368" t="s">
        <v>8330</v>
      </c>
      <c r="D1511" s="10" t="s">
        <v>8331</v>
      </c>
      <c r="E1511" s="10" t="s">
        <v>8332</v>
      </c>
      <c r="F1511" s="10" t="s">
        <v>8333</v>
      </c>
      <c r="G1511" s="10" t="s">
        <v>8415</v>
      </c>
      <c r="H1511" s="10" t="s">
        <v>8416</v>
      </c>
      <c r="I1511" s="9"/>
      <c r="J1511" s="370"/>
      <c r="K1511" s="10" t="s">
        <v>8417</v>
      </c>
      <c r="L1511" s="10" t="s">
        <v>8418</v>
      </c>
      <c r="M1511" s="18" t="s">
        <v>8454</v>
      </c>
      <c r="N1511" s="18">
        <v>14677</v>
      </c>
      <c r="O1511" s="18">
        <v>800</v>
      </c>
      <c r="P1511" s="16">
        <v>2000</v>
      </c>
      <c r="Q1511" s="16">
        <v>2000</v>
      </c>
      <c r="R1511" s="16">
        <v>2000</v>
      </c>
      <c r="S1511" s="16">
        <v>2000</v>
      </c>
      <c r="T1511" s="10" t="s">
        <v>8420</v>
      </c>
      <c r="U1511" t="str">
        <f>VLOOKUP(T1511,[8]Votes!$A$1:$E$234,3,FALSE)</f>
        <v>123 Rural Electrification Agency (REA)</v>
      </c>
      <c r="V1511" t="s">
        <v>8459</v>
      </c>
      <c r="W1511" s="369">
        <v>1</v>
      </c>
      <c r="X1511" s="369">
        <v>1</v>
      </c>
      <c r="Y1511" s="369">
        <v>0</v>
      </c>
      <c r="Z1511" s="369">
        <v>0</v>
      </c>
      <c r="AA1511" s="369">
        <v>1</v>
      </c>
      <c r="AB1511" s="369">
        <v>1</v>
      </c>
      <c r="AC1511" s="369">
        <v>1</v>
      </c>
      <c r="AD1511" s="369">
        <v>1</v>
      </c>
      <c r="AE1511" s="49">
        <f t="shared" si="62"/>
        <v>0.75</v>
      </c>
      <c r="AF1511" s="17"/>
      <c r="AG1511" s="17">
        <v>1</v>
      </c>
      <c r="AH1511" s="17">
        <v>0</v>
      </c>
      <c r="AI1511" s="17">
        <v>0</v>
      </c>
      <c r="AJ1511" s="17">
        <v>0</v>
      </c>
      <c r="AK1511" s="153"/>
      <c r="AL1511" s="154"/>
      <c r="AM1511" s="147">
        <f t="shared" si="61"/>
        <v>0</v>
      </c>
      <c r="AN1511" s="44" t="s">
        <v>8420</v>
      </c>
      <c r="AO1511" s="18" t="s">
        <v>8425</v>
      </c>
      <c r="AP1511" t="s">
        <v>8445</v>
      </c>
    </row>
    <row r="1512" spans="1:43" s="10" customFormat="1" x14ac:dyDescent="0.3">
      <c r="A1512" s="367" t="s">
        <v>8317</v>
      </c>
      <c r="B1512" s="10" t="s">
        <v>8318</v>
      </c>
      <c r="C1512" s="368" t="s">
        <v>8330</v>
      </c>
      <c r="D1512" s="10" t="s">
        <v>8331</v>
      </c>
      <c r="E1512" s="10" t="s">
        <v>8332</v>
      </c>
      <c r="F1512" s="10" t="s">
        <v>8333</v>
      </c>
      <c r="G1512" s="10" t="s">
        <v>8415</v>
      </c>
      <c r="H1512" s="10" t="s">
        <v>8416</v>
      </c>
      <c r="I1512" s="9"/>
      <c r="J1512" s="370"/>
      <c r="K1512" s="10" t="s">
        <v>8417</v>
      </c>
      <c r="L1512" s="10" t="s">
        <v>8418</v>
      </c>
      <c r="M1512" s="18" t="s">
        <v>8456</v>
      </c>
      <c r="N1512" s="18">
        <v>11609</v>
      </c>
      <c r="O1512" s="18">
        <v>1000</v>
      </c>
      <c r="P1512" s="16">
        <v>2500</v>
      </c>
      <c r="Q1512" s="16">
        <v>2500</v>
      </c>
      <c r="R1512" s="16">
        <v>2500</v>
      </c>
      <c r="S1512" s="16">
        <v>2500</v>
      </c>
      <c r="T1512" s="10" t="s">
        <v>8420</v>
      </c>
      <c r="U1512" t="str">
        <f>VLOOKUP(T1512,[8]Votes!$A$1:$E$234,3,FALSE)</f>
        <v>123 Rural Electrification Agency (REA)</v>
      </c>
      <c r="V1512" t="s">
        <v>8459</v>
      </c>
      <c r="W1512" s="369">
        <v>1</v>
      </c>
      <c r="X1512" s="369">
        <v>0</v>
      </c>
      <c r="Y1512" s="369">
        <v>0</v>
      </c>
      <c r="Z1512" s="369">
        <v>1</v>
      </c>
      <c r="AA1512" s="369">
        <v>1</v>
      </c>
      <c r="AB1512" s="369">
        <v>1</v>
      </c>
      <c r="AC1512" s="369">
        <v>0</v>
      </c>
      <c r="AD1512" s="369">
        <v>1</v>
      </c>
      <c r="AE1512" s="49">
        <f t="shared" si="62"/>
        <v>0.625</v>
      </c>
      <c r="AF1512" s="17"/>
      <c r="AG1512" s="17">
        <v>1</v>
      </c>
      <c r="AH1512" s="17">
        <v>0</v>
      </c>
      <c r="AI1512" s="17">
        <v>0</v>
      </c>
      <c r="AJ1512" s="17">
        <v>0</v>
      </c>
      <c r="AK1512" s="153"/>
      <c r="AL1512" s="154"/>
      <c r="AM1512" s="147">
        <f t="shared" si="61"/>
        <v>0</v>
      </c>
      <c r="AN1512" s="44" t="s">
        <v>8420</v>
      </c>
      <c r="AO1512" s="18" t="s">
        <v>8425</v>
      </c>
      <c r="AP1512" t="s">
        <v>8445</v>
      </c>
    </row>
    <row r="1513" spans="1:43" s="10" customFormat="1" x14ac:dyDescent="0.3">
      <c r="A1513" s="367" t="s">
        <v>8317</v>
      </c>
      <c r="B1513" s="10" t="s">
        <v>8318</v>
      </c>
      <c r="C1513" s="368" t="s">
        <v>8330</v>
      </c>
      <c r="D1513" s="10" t="s">
        <v>8331</v>
      </c>
      <c r="E1513" s="10" t="s">
        <v>8332</v>
      </c>
      <c r="F1513" s="10" t="s">
        <v>8333</v>
      </c>
      <c r="G1513" s="10" t="s">
        <v>8415</v>
      </c>
      <c r="H1513" s="10" t="s">
        <v>8416</v>
      </c>
      <c r="I1513" s="9"/>
      <c r="J1513" s="370"/>
      <c r="K1513" s="10" t="s">
        <v>8417</v>
      </c>
      <c r="L1513" s="10" t="s">
        <v>8418</v>
      </c>
      <c r="M1513" s="18" t="s">
        <v>8457</v>
      </c>
      <c r="N1513" s="18" t="s">
        <v>8460</v>
      </c>
      <c r="O1513" s="18">
        <v>388317</v>
      </c>
      <c r="P1513" s="16">
        <v>200000</v>
      </c>
      <c r="Q1513" s="16">
        <v>457017</v>
      </c>
      <c r="R1513" s="16">
        <v>365613</v>
      </c>
      <c r="S1513" s="16">
        <v>292490</v>
      </c>
      <c r="T1513" s="10" t="s">
        <v>8420</v>
      </c>
      <c r="U1513" t="str">
        <f>VLOOKUP(T1513,[8]Votes!$A$1:$E$234,3,FALSE)</f>
        <v>123 Rural Electrification Agency (REA)</v>
      </c>
      <c r="V1513" t="s">
        <v>8461</v>
      </c>
      <c r="W1513" s="369">
        <v>1</v>
      </c>
      <c r="X1513" s="369">
        <v>1</v>
      </c>
      <c r="Y1513" s="369">
        <v>1</v>
      </c>
      <c r="Z1513" s="369">
        <v>0</v>
      </c>
      <c r="AA1513" s="369">
        <v>1</v>
      </c>
      <c r="AB1513" s="369">
        <v>1</v>
      </c>
      <c r="AC1513" s="369">
        <v>1</v>
      </c>
      <c r="AD1513" s="369">
        <v>1</v>
      </c>
      <c r="AE1513" s="49">
        <f t="shared" si="62"/>
        <v>0.875</v>
      </c>
      <c r="AF1513" s="44"/>
      <c r="AG1513" s="17">
        <v>1</v>
      </c>
      <c r="AH1513" s="44">
        <v>75</v>
      </c>
      <c r="AI1513" s="44">
        <v>65</v>
      </c>
      <c r="AJ1513" s="44">
        <v>75</v>
      </c>
      <c r="AK1513" s="151">
        <v>60</v>
      </c>
      <c r="AL1513" s="151">
        <v>50</v>
      </c>
      <c r="AM1513" s="147">
        <f t="shared" si="61"/>
        <v>110</v>
      </c>
      <c r="AN1513" s="44" t="s">
        <v>8420</v>
      </c>
      <c r="AO1513" s="18" t="s">
        <v>8425</v>
      </c>
      <c r="AP1513" t="s">
        <v>8462</v>
      </c>
    </row>
    <row r="1514" spans="1:43" s="10" customFormat="1" x14ac:dyDescent="0.3">
      <c r="A1514" s="367" t="s">
        <v>8317</v>
      </c>
      <c r="B1514" s="10" t="s">
        <v>8318</v>
      </c>
      <c r="C1514" s="368" t="s">
        <v>8330</v>
      </c>
      <c r="D1514" s="10" t="s">
        <v>8331</v>
      </c>
      <c r="E1514" s="10" t="s">
        <v>8332</v>
      </c>
      <c r="F1514" s="10" t="s">
        <v>8333</v>
      </c>
      <c r="G1514" s="10" t="s">
        <v>8415</v>
      </c>
      <c r="H1514" s="10" t="s">
        <v>8416</v>
      </c>
      <c r="I1514" s="9"/>
      <c r="J1514" s="370"/>
      <c r="K1514" s="10" t="s">
        <v>8417</v>
      </c>
      <c r="L1514" s="10" t="s">
        <v>8418</v>
      </c>
      <c r="M1514" s="18" t="s">
        <v>8454</v>
      </c>
      <c r="N1514" s="18">
        <v>189</v>
      </c>
      <c r="O1514" s="18">
        <v>50</v>
      </c>
      <c r="P1514" s="16">
        <v>39</v>
      </c>
      <c r="Q1514" s="16">
        <v>100</v>
      </c>
      <c r="R1514" s="16" t="s">
        <v>271</v>
      </c>
      <c r="S1514" s="16" t="s">
        <v>271</v>
      </c>
      <c r="T1514" s="10" t="s">
        <v>8420</v>
      </c>
      <c r="U1514" t="str">
        <f>VLOOKUP(T1514,[8]Votes!$A$1:$E$234,3,FALSE)</f>
        <v>123 Rural Electrification Agency (REA)</v>
      </c>
      <c r="V1514" t="s">
        <v>8463</v>
      </c>
      <c r="W1514" s="369">
        <v>1</v>
      </c>
      <c r="X1514" s="369">
        <v>1</v>
      </c>
      <c r="Y1514" s="369">
        <v>1</v>
      </c>
      <c r="Z1514" s="369">
        <v>1</v>
      </c>
      <c r="AA1514" s="369">
        <v>1</v>
      </c>
      <c r="AB1514" s="369">
        <v>1</v>
      </c>
      <c r="AC1514" s="369">
        <v>0</v>
      </c>
      <c r="AD1514" s="369">
        <v>1</v>
      </c>
      <c r="AE1514" s="49">
        <f t="shared" si="62"/>
        <v>0.875</v>
      </c>
      <c r="AF1514" s="44"/>
      <c r="AG1514" s="17">
        <v>1</v>
      </c>
      <c r="AH1514" s="44">
        <v>20</v>
      </c>
      <c r="AI1514" s="44">
        <v>8</v>
      </c>
      <c r="AJ1514" s="44">
        <v>30</v>
      </c>
      <c r="AK1514" s="153"/>
      <c r="AL1514" s="154"/>
      <c r="AM1514" s="147">
        <f t="shared" si="61"/>
        <v>0</v>
      </c>
      <c r="AN1514" s="44" t="s">
        <v>8420</v>
      </c>
      <c r="AO1514" s="18" t="s">
        <v>8425</v>
      </c>
      <c r="AP1514" t="s">
        <v>8462</v>
      </c>
    </row>
    <row r="1515" spans="1:43" s="10" customFormat="1" x14ac:dyDescent="0.3">
      <c r="A1515" s="367" t="s">
        <v>8317</v>
      </c>
      <c r="B1515" s="10" t="s">
        <v>8318</v>
      </c>
      <c r="C1515" s="368" t="s">
        <v>8330</v>
      </c>
      <c r="D1515" s="10" t="s">
        <v>8331</v>
      </c>
      <c r="E1515" s="10" t="s">
        <v>8332</v>
      </c>
      <c r="F1515" s="10" t="s">
        <v>8333</v>
      </c>
      <c r="G1515" s="10" t="s">
        <v>8415</v>
      </c>
      <c r="H1515" s="10" t="s">
        <v>8416</v>
      </c>
      <c r="I1515" s="9"/>
      <c r="J1515" s="370"/>
      <c r="K1515" s="10" t="s">
        <v>8417</v>
      </c>
      <c r="L1515" s="10" t="s">
        <v>8418</v>
      </c>
      <c r="M1515" s="18" t="s">
        <v>8454</v>
      </c>
      <c r="N1515" s="18">
        <v>330</v>
      </c>
      <c r="O1515" s="18">
        <v>67</v>
      </c>
      <c r="P1515" s="16">
        <v>38</v>
      </c>
      <c r="Q1515" s="16">
        <v>100</v>
      </c>
      <c r="R1515" s="16">
        <v>35</v>
      </c>
      <c r="S1515" s="16" t="s">
        <v>271</v>
      </c>
      <c r="T1515" s="10" t="s">
        <v>8420</v>
      </c>
      <c r="U1515" t="str">
        <f>VLOOKUP(T1515,[8]Votes!$A$1:$E$234,3,FALSE)</f>
        <v>123 Rural Electrification Agency (REA)</v>
      </c>
      <c r="V1515" t="s">
        <v>8464</v>
      </c>
      <c r="W1515" s="369">
        <v>1</v>
      </c>
      <c r="X1515" s="369">
        <v>0</v>
      </c>
      <c r="Y1515" s="369">
        <v>0</v>
      </c>
      <c r="Z1515" s="369">
        <v>1</v>
      </c>
      <c r="AA1515" s="369">
        <v>1</v>
      </c>
      <c r="AB1515" s="369">
        <v>1</v>
      </c>
      <c r="AC1515" s="369">
        <v>0</v>
      </c>
      <c r="AD1515" s="369">
        <v>1</v>
      </c>
      <c r="AE1515" s="49">
        <f t="shared" si="62"/>
        <v>0.625</v>
      </c>
      <c r="AF1515" s="44"/>
      <c r="AG1515" s="17">
        <v>1</v>
      </c>
      <c r="AH1515" s="44">
        <v>10</v>
      </c>
      <c r="AI1515" s="17">
        <v>0</v>
      </c>
      <c r="AJ1515" s="17">
        <v>0</v>
      </c>
      <c r="AK1515" s="153"/>
      <c r="AL1515" s="154"/>
      <c r="AM1515" s="147">
        <f t="shared" si="61"/>
        <v>0</v>
      </c>
      <c r="AN1515" s="44" t="s">
        <v>8420</v>
      </c>
      <c r="AO1515" s="18" t="s">
        <v>8425</v>
      </c>
      <c r="AP1515" t="s">
        <v>8462</v>
      </c>
    </row>
    <row r="1516" spans="1:43" s="10" customFormat="1" x14ac:dyDescent="0.3">
      <c r="A1516" s="367" t="s">
        <v>8317</v>
      </c>
      <c r="B1516" s="10" t="s">
        <v>8318</v>
      </c>
      <c r="C1516" s="368" t="s">
        <v>8330</v>
      </c>
      <c r="D1516" s="10" t="s">
        <v>8331</v>
      </c>
      <c r="E1516" s="10" t="s">
        <v>8332</v>
      </c>
      <c r="F1516" s="10" t="s">
        <v>8333</v>
      </c>
      <c r="G1516" s="10" t="s">
        <v>8415</v>
      </c>
      <c r="H1516" s="10" t="s">
        <v>8416</v>
      </c>
      <c r="I1516" s="9"/>
      <c r="J1516" s="370"/>
      <c r="K1516" s="10" t="s">
        <v>8417</v>
      </c>
      <c r="L1516" s="10" t="s">
        <v>8418</v>
      </c>
      <c r="M1516" s="18" t="s">
        <v>8457</v>
      </c>
      <c r="N1516" s="18" t="s">
        <v>119</v>
      </c>
      <c r="O1516" s="18">
        <v>1</v>
      </c>
      <c r="P1516" s="16">
        <v>2</v>
      </c>
      <c r="Q1516" s="16">
        <v>2</v>
      </c>
      <c r="R1516" s="16">
        <v>2</v>
      </c>
      <c r="S1516" s="16">
        <v>2</v>
      </c>
      <c r="T1516" t="s">
        <v>8465</v>
      </c>
      <c r="U1516" t="e">
        <f>VLOOKUP(T1516,[8]Votes!$A$1:$E$234,3,FALSE)</f>
        <v>#N/A</v>
      </c>
      <c r="V1516" t="s">
        <v>8466</v>
      </c>
      <c r="W1516" s="369">
        <v>1</v>
      </c>
      <c r="X1516" s="369">
        <v>0</v>
      </c>
      <c r="Y1516" s="369">
        <v>0</v>
      </c>
      <c r="Z1516" s="369">
        <v>1</v>
      </c>
      <c r="AA1516" s="369">
        <v>1</v>
      </c>
      <c r="AB1516" s="369">
        <v>1</v>
      </c>
      <c r="AC1516" s="369">
        <v>0</v>
      </c>
      <c r="AD1516" s="369">
        <v>1</v>
      </c>
      <c r="AE1516" s="49">
        <f t="shared" si="62"/>
        <v>0.625</v>
      </c>
      <c r="AF1516" s="44"/>
      <c r="AG1516" s="17"/>
      <c r="AH1516" s="44">
        <v>5</v>
      </c>
      <c r="AI1516" s="44">
        <v>5</v>
      </c>
      <c r="AJ1516" s="44">
        <v>5</v>
      </c>
      <c r="AK1516" s="151">
        <v>5</v>
      </c>
      <c r="AL1516" s="151">
        <v>5</v>
      </c>
      <c r="AM1516" s="147">
        <f t="shared" si="61"/>
        <v>10</v>
      </c>
      <c r="AN1516" s="44" t="s">
        <v>8422</v>
      </c>
      <c r="AO1516" s="18" t="s">
        <v>1037</v>
      </c>
      <c r="AP1516" t="s">
        <v>8467</v>
      </c>
    </row>
    <row r="1517" spans="1:43" s="10" customFormat="1" x14ac:dyDescent="0.3">
      <c r="A1517" s="367" t="s">
        <v>8317</v>
      </c>
      <c r="B1517" s="10" t="s">
        <v>8318</v>
      </c>
      <c r="C1517" s="368" t="s">
        <v>8330</v>
      </c>
      <c r="D1517" s="10" t="s">
        <v>8331</v>
      </c>
      <c r="E1517" s="10" t="s">
        <v>8332</v>
      </c>
      <c r="F1517" s="10" t="s">
        <v>8333</v>
      </c>
      <c r="G1517" s="10" t="s">
        <v>8415</v>
      </c>
      <c r="H1517" s="10" t="s">
        <v>8416</v>
      </c>
      <c r="I1517" s="9"/>
      <c r="J1517" s="370"/>
      <c r="K1517" s="10" t="s">
        <v>8417</v>
      </c>
      <c r="L1517" s="10" t="s">
        <v>8418</v>
      </c>
      <c r="M1517" s="18" t="s">
        <v>8403</v>
      </c>
      <c r="N1517" s="18">
        <v>0</v>
      </c>
      <c r="O1517" s="18">
        <v>4000</v>
      </c>
      <c r="P1517" s="16">
        <v>2000</v>
      </c>
      <c r="Q1517" s="16">
        <v>2000</v>
      </c>
      <c r="R1517" s="16">
        <v>3500</v>
      </c>
      <c r="S1517" s="16">
        <v>3500</v>
      </c>
      <c r="T1517" s="10" t="s">
        <v>8420</v>
      </c>
      <c r="U1517" t="str">
        <f>VLOOKUP(T1517,[8]Votes!$A$1:$E$234,3,FALSE)</f>
        <v>123 Rural Electrification Agency (REA)</v>
      </c>
      <c r="V1517" t="s">
        <v>8395</v>
      </c>
      <c r="W1517" s="369">
        <v>1</v>
      </c>
      <c r="X1517" s="369">
        <v>0</v>
      </c>
      <c r="Y1517" s="369">
        <v>0</v>
      </c>
      <c r="Z1517" s="369">
        <v>1</v>
      </c>
      <c r="AA1517" s="369">
        <v>1</v>
      </c>
      <c r="AB1517" s="369">
        <v>1</v>
      </c>
      <c r="AC1517" s="369">
        <v>0</v>
      </c>
      <c r="AD1517" s="369">
        <v>1</v>
      </c>
      <c r="AE1517" s="49">
        <f t="shared" si="62"/>
        <v>0.625</v>
      </c>
      <c r="AF1517" s="44"/>
      <c r="AG1517" s="17"/>
      <c r="AH1517" s="44">
        <v>4.0599999999999996</v>
      </c>
      <c r="AI1517" s="44">
        <v>2.4500000000000002</v>
      </c>
      <c r="AJ1517" s="44">
        <v>2.4500000000000002</v>
      </c>
      <c r="AK1517" s="151"/>
      <c r="AL1517" s="151"/>
      <c r="AM1517" s="147">
        <f t="shared" si="61"/>
        <v>0</v>
      </c>
      <c r="AN1517" s="44" t="s">
        <v>570</v>
      </c>
      <c r="AO1517" s="18" t="s">
        <v>2875</v>
      </c>
      <c r="AP1517" t="s">
        <v>8468</v>
      </c>
      <c r="AQ1517"/>
    </row>
    <row r="1518" spans="1:43" s="10" customFormat="1" x14ac:dyDescent="0.3">
      <c r="A1518" s="367" t="s">
        <v>8317</v>
      </c>
      <c r="B1518" s="10" t="s">
        <v>8318</v>
      </c>
      <c r="C1518" s="368" t="s">
        <v>8330</v>
      </c>
      <c r="D1518" s="10" t="s">
        <v>8331</v>
      </c>
      <c r="E1518" s="10" t="s">
        <v>8332</v>
      </c>
      <c r="F1518" s="10" t="s">
        <v>8333</v>
      </c>
      <c r="G1518" s="10" t="s">
        <v>8469</v>
      </c>
      <c r="H1518" s="10" t="s">
        <v>8470</v>
      </c>
      <c r="I1518" s="9"/>
      <c r="J1518" s="370"/>
      <c r="K1518" s="10" t="s">
        <v>8471</v>
      </c>
      <c r="L1518" s="10" t="s">
        <v>8472</v>
      </c>
      <c r="M1518" s="18" t="s">
        <v>8473</v>
      </c>
      <c r="N1518" s="18">
        <v>46</v>
      </c>
      <c r="O1518" s="18">
        <v>46</v>
      </c>
      <c r="P1518" s="16">
        <v>30</v>
      </c>
      <c r="Q1518" s="16">
        <v>30</v>
      </c>
      <c r="R1518" s="16">
        <v>30</v>
      </c>
      <c r="S1518" s="16">
        <v>30</v>
      </c>
      <c r="T1518" s="10" t="s">
        <v>8474</v>
      </c>
      <c r="U1518" t="e">
        <f>VLOOKUP(T1518,[8]Votes!$A$1:$E$234,3,FALSE)</f>
        <v>#N/A</v>
      </c>
      <c r="V1518" t="s">
        <v>8475</v>
      </c>
      <c r="W1518" s="369">
        <v>1</v>
      </c>
      <c r="X1518" s="369">
        <v>0</v>
      </c>
      <c r="Y1518" s="369">
        <v>0</v>
      </c>
      <c r="Z1518" s="369">
        <v>1</v>
      </c>
      <c r="AA1518" s="369">
        <v>1</v>
      </c>
      <c r="AB1518" s="369">
        <v>1</v>
      </c>
      <c r="AC1518" s="369">
        <v>0</v>
      </c>
      <c r="AD1518" s="369">
        <v>1</v>
      </c>
      <c r="AE1518" s="49">
        <f t="shared" si="62"/>
        <v>0.625</v>
      </c>
      <c r="AF1518" s="44"/>
      <c r="AG1518" s="17"/>
      <c r="AH1518" s="44">
        <v>20</v>
      </c>
      <c r="AI1518" s="44">
        <v>20</v>
      </c>
      <c r="AJ1518" s="44">
        <v>15</v>
      </c>
      <c r="AK1518" s="151">
        <v>15</v>
      </c>
      <c r="AL1518" s="151">
        <v>15</v>
      </c>
      <c r="AM1518" s="147">
        <f t="shared" si="61"/>
        <v>30</v>
      </c>
      <c r="AN1518" s="44" t="s">
        <v>8476</v>
      </c>
      <c r="AO1518" s="18" t="s">
        <v>1037</v>
      </c>
      <c r="AP1518" t="s">
        <v>8468</v>
      </c>
      <c r="AQ1518"/>
    </row>
    <row r="1519" spans="1:43" s="10" customFormat="1" x14ac:dyDescent="0.3">
      <c r="A1519" s="367" t="s">
        <v>8317</v>
      </c>
      <c r="B1519" s="10" t="s">
        <v>8318</v>
      </c>
      <c r="C1519" s="368" t="s">
        <v>8330</v>
      </c>
      <c r="D1519" s="10" t="s">
        <v>8331</v>
      </c>
      <c r="E1519" s="10" t="s">
        <v>8332</v>
      </c>
      <c r="F1519" s="10" t="s">
        <v>8333</v>
      </c>
      <c r="G1519" s="10" t="s">
        <v>8469</v>
      </c>
      <c r="H1519" s="10" t="s">
        <v>8470</v>
      </c>
      <c r="I1519" s="9"/>
      <c r="J1519" s="370"/>
      <c r="K1519" s="10" t="s">
        <v>8477</v>
      </c>
      <c r="L1519" s="10" t="s">
        <v>8478</v>
      </c>
      <c r="M1519" s="18" t="s">
        <v>8479</v>
      </c>
      <c r="N1519" s="18"/>
      <c r="O1519" s="18">
        <v>2000</v>
      </c>
      <c r="P1519" s="16">
        <v>2000</v>
      </c>
      <c r="Q1519" s="16">
        <v>2000</v>
      </c>
      <c r="R1519" s="16">
        <v>2000</v>
      </c>
      <c r="S1519" s="16">
        <v>2000</v>
      </c>
      <c r="T1519" s="10" t="s">
        <v>8420</v>
      </c>
      <c r="U1519" t="str">
        <f>VLOOKUP(T1519,[8]Votes!$A$1:$E$234,3,FALSE)</f>
        <v>123 Rural Electrification Agency (REA)</v>
      </c>
      <c r="V1519" t="s">
        <v>8480</v>
      </c>
      <c r="W1519" s="369">
        <v>1</v>
      </c>
      <c r="X1519" s="369">
        <v>0</v>
      </c>
      <c r="Y1519" s="369">
        <v>1</v>
      </c>
      <c r="Z1519" s="369">
        <v>0</v>
      </c>
      <c r="AA1519" s="369">
        <v>1</v>
      </c>
      <c r="AB1519" s="369">
        <v>1</v>
      </c>
      <c r="AC1519" s="369">
        <v>1</v>
      </c>
      <c r="AD1519" s="369">
        <v>0</v>
      </c>
      <c r="AE1519" s="49">
        <f t="shared" si="62"/>
        <v>0.625</v>
      </c>
      <c r="AF1519" s="17"/>
      <c r="AG1519" s="17"/>
      <c r="AH1519" s="17">
        <v>0</v>
      </c>
      <c r="AI1519" s="17">
        <v>0</v>
      </c>
      <c r="AJ1519" s="17">
        <v>0</v>
      </c>
      <c r="AK1519" s="153">
        <v>10</v>
      </c>
      <c r="AL1519" s="154">
        <v>5</v>
      </c>
      <c r="AM1519" s="147">
        <f t="shared" si="61"/>
        <v>15</v>
      </c>
      <c r="AN1519" s="44" t="s">
        <v>570</v>
      </c>
      <c r="AO1519" s="18" t="s">
        <v>2875</v>
      </c>
      <c r="AP1519" t="s">
        <v>8481</v>
      </c>
      <c r="AQ1519"/>
    </row>
    <row r="1520" spans="1:43" s="10" customFormat="1" x14ac:dyDescent="0.3">
      <c r="A1520" s="367" t="s">
        <v>8317</v>
      </c>
      <c r="B1520" s="10" t="s">
        <v>8318</v>
      </c>
      <c r="C1520" s="368" t="s">
        <v>8330</v>
      </c>
      <c r="D1520" s="10" t="s">
        <v>8331</v>
      </c>
      <c r="E1520" s="10" t="s">
        <v>8332</v>
      </c>
      <c r="F1520" s="10" t="s">
        <v>8333</v>
      </c>
      <c r="G1520" s="10" t="s">
        <v>8469</v>
      </c>
      <c r="H1520" s="10" t="s">
        <v>8470</v>
      </c>
      <c r="I1520" s="9"/>
      <c r="J1520" s="370"/>
      <c r="K1520" s="10" t="s">
        <v>8477</v>
      </c>
      <c r="L1520" s="10" t="s">
        <v>8478</v>
      </c>
      <c r="M1520" s="18" t="s">
        <v>8482</v>
      </c>
      <c r="N1520" s="18"/>
      <c r="O1520" s="18">
        <v>3000</v>
      </c>
      <c r="P1520" s="16">
        <v>3000</v>
      </c>
      <c r="Q1520" s="16">
        <v>3000</v>
      </c>
      <c r="R1520" s="16">
        <v>3000</v>
      </c>
      <c r="S1520" s="16">
        <v>3000</v>
      </c>
      <c r="T1520" s="10" t="s">
        <v>8420</v>
      </c>
      <c r="U1520" t="str">
        <f>VLOOKUP(T1520,[8]Votes!$A$1:$E$234,3,FALSE)</f>
        <v>123 Rural Electrification Agency (REA)</v>
      </c>
      <c r="V1520" t="s">
        <v>8483</v>
      </c>
      <c r="W1520" s="369">
        <v>1</v>
      </c>
      <c r="X1520" s="369">
        <v>1</v>
      </c>
      <c r="Y1520" s="369">
        <v>0</v>
      </c>
      <c r="Z1520" s="369">
        <v>1</v>
      </c>
      <c r="AA1520" s="369">
        <v>1</v>
      </c>
      <c r="AB1520" s="369">
        <v>1</v>
      </c>
      <c r="AC1520" s="369">
        <v>0</v>
      </c>
      <c r="AD1520" s="369">
        <v>1</v>
      </c>
      <c r="AE1520" s="49">
        <f t="shared" si="62"/>
        <v>0.75</v>
      </c>
      <c r="AF1520" s="44"/>
      <c r="AG1520" s="17"/>
      <c r="AH1520" s="44">
        <v>10</v>
      </c>
      <c r="AI1520" s="44">
        <v>10</v>
      </c>
      <c r="AJ1520" s="44">
        <v>10</v>
      </c>
      <c r="AK1520" s="151">
        <v>5</v>
      </c>
      <c r="AL1520" s="151">
        <v>5</v>
      </c>
      <c r="AM1520" s="147">
        <f t="shared" si="61"/>
        <v>10</v>
      </c>
      <c r="AN1520" s="44" t="s">
        <v>8476</v>
      </c>
      <c r="AO1520" s="18" t="s">
        <v>1037</v>
      </c>
      <c r="AP1520" t="s">
        <v>8465</v>
      </c>
      <c r="AQ1520"/>
    </row>
    <row r="1521" spans="1:44" s="10" customFormat="1" x14ac:dyDescent="0.3">
      <c r="A1521" s="367" t="s">
        <v>8317</v>
      </c>
      <c r="B1521" s="10" t="s">
        <v>8318</v>
      </c>
      <c r="C1521" s="368" t="s">
        <v>8330</v>
      </c>
      <c r="D1521" s="10" t="s">
        <v>8331</v>
      </c>
      <c r="E1521" s="10" t="s">
        <v>8332</v>
      </c>
      <c r="F1521" s="10" t="s">
        <v>8333</v>
      </c>
      <c r="G1521" s="10" t="s">
        <v>8484</v>
      </c>
      <c r="H1521" s="10" t="s">
        <v>8485</v>
      </c>
      <c r="I1521" s="9"/>
      <c r="J1521" s="370"/>
      <c r="K1521" s="10" t="s">
        <v>8486</v>
      </c>
      <c r="L1521" s="10" t="s">
        <v>8487</v>
      </c>
      <c r="M1521" s="18" t="s">
        <v>8488</v>
      </c>
      <c r="N1521" s="18">
        <v>200000</v>
      </c>
      <c r="O1521" s="18">
        <v>300000</v>
      </c>
      <c r="P1521" s="16">
        <v>300000</v>
      </c>
      <c r="Q1521" s="16">
        <v>300000</v>
      </c>
      <c r="R1521" s="16">
        <v>300000</v>
      </c>
      <c r="S1521" s="16">
        <v>300000</v>
      </c>
      <c r="T1521" t="s">
        <v>8489</v>
      </c>
      <c r="U1521" t="e">
        <f>VLOOKUP(T1521,[8]Votes!$A$1:$E$234,3,FALSE)</f>
        <v>#N/A</v>
      </c>
      <c r="V1521" t="s">
        <v>8490</v>
      </c>
      <c r="W1521" s="369">
        <v>1</v>
      </c>
      <c r="X1521" s="369">
        <v>0</v>
      </c>
      <c r="Y1521" s="369">
        <v>0</v>
      </c>
      <c r="Z1521" s="369">
        <v>1</v>
      </c>
      <c r="AA1521" s="369">
        <v>1</v>
      </c>
      <c r="AB1521" s="369">
        <v>0</v>
      </c>
      <c r="AC1521" s="369">
        <v>0</v>
      </c>
      <c r="AD1521" s="369">
        <v>1</v>
      </c>
      <c r="AE1521" s="49">
        <f t="shared" si="62"/>
        <v>0.5</v>
      </c>
      <c r="AF1521" s="44"/>
      <c r="AG1521" s="17">
        <v>0</v>
      </c>
      <c r="AH1521" s="44">
        <v>0</v>
      </c>
      <c r="AI1521" s="44">
        <v>0</v>
      </c>
      <c r="AJ1521" s="44">
        <v>0</v>
      </c>
      <c r="AK1521" s="151">
        <v>0</v>
      </c>
      <c r="AL1521" s="151">
        <v>0</v>
      </c>
      <c r="AM1521" s="147">
        <f t="shared" si="61"/>
        <v>0</v>
      </c>
      <c r="AN1521" s="44" t="s">
        <v>8422</v>
      </c>
      <c r="AO1521" s="18" t="s">
        <v>1037</v>
      </c>
      <c r="AP1521" t="s">
        <v>1035</v>
      </c>
      <c r="AQ1521"/>
    </row>
    <row r="1522" spans="1:44" s="10" customFormat="1" x14ac:dyDescent="0.3">
      <c r="A1522" s="367" t="s">
        <v>8317</v>
      </c>
      <c r="B1522" s="10" t="s">
        <v>8318</v>
      </c>
      <c r="C1522" s="368" t="s">
        <v>8330</v>
      </c>
      <c r="D1522" s="10" t="s">
        <v>8331</v>
      </c>
      <c r="E1522" s="10" t="s">
        <v>8332</v>
      </c>
      <c r="F1522" s="10" t="s">
        <v>8333</v>
      </c>
      <c r="G1522" s="10" t="s">
        <v>8484</v>
      </c>
      <c r="H1522" s="10" t="s">
        <v>8485</v>
      </c>
      <c r="I1522" s="9"/>
      <c r="J1522" s="370"/>
      <c r="K1522" s="10" t="s">
        <v>8486</v>
      </c>
      <c r="L1522" s="10" t="s">
        <v>8487</v>
      </c>
      <c r="M1522" s="18"/>
      <c r="N1522" s="18"/>
      <c r="O1522" s="18"/>
      <c r="P1522" s="16"/>
      <c r="Q1522" s="16"/>
      <c r="R1522" s="16"/>
      <c r="S1522" s="16"/>
      <c r="U1522" t="e">
        <f>VLOOKUP(T1522,[8]Votes!$A$1:$E$234,3,FALSE)</f>
        <v>#N/A</v>
      </c>
      <c r="V1522" t="s">
        <v>8491</v>
      </c>
      <c r="W1522" s="369">
        <v>1</v>
      </c>
      <c r="X1522" s="369">
        <v>0</v>
      </c>
      <c r="Y1522" s="369">
        <v>0</v>
      </c>
      <c r="Z1522" s="369">
        <v>1</v>
      </c>
      <c r="AA1522" s="369">
        <v>1</v>
      </c>
      <c r="AB1522" s="369">
        <v>0</v>
      </c>
      <c r="AC1522" s="369">
        <v>0</v>
      </c>
      <c r="AD1522" s="369">
        <v>1</v>
      </c>
      <c r="AE1522" s="49">
        <f t="shared" si="62"/>
        <v>0.5</v>
      </c>
      <c r="AF1522" s="17"/>
      <c r="AG1522" s="17">
        <v>0</v>
      </c>
      <c r="AH1522" s="17">
        <v>0</v>
      </c>
      <c r="AI1522" s="44">
        <v>0.5</v>
      </c>
      <c r="AJ1522" s="44">
        <v>0.5</v>
      </c>
      <c r="AK1522" s="151">
        <v>0.5</v>
      </c>
      <c r="AL1522" s="151">
        <v>0.5</v>
      </c>
      <c r="AM1522" s="147">
        <f t="shared" si="61"/>
        <v>1</v>
      </c>
      <c r="AN1522" s="44" t="s">
        <v>8409</v>
      </c>
      <c r="AO1522" s="18" t="s">
        <v>1037</v>
      </c>
      <c r="AP1522" t="s">
        <v>8492</v>
      </c>
      <c r="AQ1522"/>
    </row>
    <row r="1523" spans="1:44" s="10" customFormat="1" x14ac:dyDescent="0.3">
      <c r="A1523" s="367" t="s">
        <v>8317</v>
      </c>
      <c r="B1523" s="10" t="s">
        <v>8318</v>
      </c>
      <c r="C1523" s="368" t="s">
        <v>8330</v>
      </c>
      <c r="D1523" s="10" t="s">
        <v>8331</v>
      </c>
      <c r="E1523" s="10" t="s">
        <v>8332</v>
      </c>
      <c r="F1523" s="10" t="s">
        <v>8333</v>
      </c>
      <c r="G1523" s="10" t="s">
        <v>8484</v>
      </c>
      <c r="H1523" s="10" t="s">
        <v>8485</v>
      </c>
      <c r="I1523" s="9"/>
      <c r="J1523" s="370"/>
      <c r="K1523" s="10" t="s">
        <v>8486</v>
      </c>
      <c r="L1523" s="10" t="s">
        <v>8487</v>
      </c>
      <c r="M1523" s="18"/>
      <c r="N1523" s="18"/>
      <c r="O1523" s="18"/>
      <c r="P1523" s="16"/>
      <c r="Q1523" s="16"/>
      <c r="R1523" s="16"/>
      <c r="S1523" s="16"/>
      <c r="U1523" t="e">
        <f>VLOOKUP(T1523,[8]Votes!$A$1:$E$234,3,FALSE)</f>
        <v>#N/A</v>
      </c>
      <c r="V1523" t="s">
        <v>8493</v>
      </c>
      <c r="W1523" s="369">
        <v>1</v>
      </c>
      <c r="X1523" s="369">
        <v>0</v>
      </c>
      <c r="Y1523" s="369">
        <v>0</v>
      </c>
      <c r="Z1523" s="369">
        <v>1</v>
      </c>
      <c r="AA1523" s="369">
        <v>1</v>
      </c>
      <c r="AB1523" s="369">
        <v>0</v>
      </c>
      <c r="AC1523" s="369">
        <v>0</v>
      </c>
      <c r="AD1523" s="369">
        <v>1</v>
      </c>
      <c r="AE1523" s="49">
        <f t="shared" si="62"/>
        <v>0.5</v>
      </c>
      <c r="AF1523" s="17"/>
      <c r="AG1523" s="17">
        <v>0</v>
      </c>
      <c r="AH1523" s="17">
        <v>0</v>
      </c>
      <c r="AI1523" s="44">
        <v>1</v>
      </c>
      <c r="AJ1523" s="44">
        <v>1</v>
      </c>
      <c r="AK1523" s="151">
        <v>2</v>
      </c>
      <c r="AL1523" s="151">
        <v>2</v>
      </c>
      <c r="AM1523" s="147">
        <f t="shared" si="61"/>
        <v>4</v>
      </c>
      <c r="AN1523" s="44" t="s">
        <v>1035</v>
      </c>
      <c r="AO1523" s="18" t="s">
        <v>1037</v>
      </c>
      <c r="AP1523" t="s">
        <v>8494</v>
      </c>
      <c r="AQ1523"/>
    </row>
    <row r="1524" spans="1:44" s="10" customFormat="1" x14ac:dyDescent="0.3">
      <c r="A1524" s="367" t="s">
        <v>8317</v>
      </c>
      <c r="B1524" s="10" t="s">
        <v>8318</v>
      </c>
      <c r="C1524" s="368" t="s">
        <v>8330</v>
      </c>
      <c r="D1524" s="10" t="s">
        <v>8331</v>
      </c>
      <c r="E1524" s="10" t="s">
        <v>8332</v>
      </c>
      <c r="F1524" s="10" t="s">
        <v>8333</v>
      </c>
      <c r="G1524" s="10" t="s">
        <v>8484</v>
      </c>
      <c r="H1524" s="10" t="s">
        <v>8485</v>
      </c>
      <c r="I1524" s="9"/>
      <c r="J1524" s="370"/>
      <c r="K1524" s="10" t="s">
        <v>8486</v>
      </c>
      <c r="L1524" s="10" t="s">
        <v>8487</v>
      </c>
      <c r="M1524" s="18"/>
      <c r="N1524" s="18"/>
      <c r="O1524" s="18"/>
      <c r="P1524" s="16"/>
      <c r="Q1524" s="16"/>
      <c r="R1524" s="16"/>
      <c r="S1524" s="16"/>
      <c r="U1524" t="e">
        <f>VLOOKUP(T1524,[8]Votes!$A$1:$E$234,3,FALSE)</f>
        <v>#N/A</v>
      </c>
      <c r="V1524" t="s">
        <v>8495</v>
      </c>
      <c r="W1524" s="369">
        <v>1</v>
      </c>
      <c r="X1524" s="369">
        <v>0</v>
      </c>
      <c r="Y1524" s="369">
        <v>0</v>
      </c>
      <c r="Z1524" s="369">
        <v>1</v>
      </c>
      <c r="AA1524" s="369">
        <v>1</v>
      </c>
      <c r="AB1524" s="369">
        <v>1</v>
      </c>
      <c r="AC1524" s="369">
        <v>0</v>
      </c>
      <c r="AD1524" s="369">
        <v>1</v>
      </c>
      <c r="AE1524" s="49">
        <f t="shared" si="62"/>
        <v>0.625</v>
      </c>
      <c r="AF1524" s="17"/>
      <c r="AG1524" s="17">
        <v>0</v>
      </c>
      <c r="AH1524" s="17">
        <v>0</v>
      </c>
      <c r="AI1524" s="44">
        <v>1</v>
      </c>
      <c r="AJ1524" s="44">
        <v>1</v>
      </c>
      <c r="AK1524" s="151">
        <v>1</v>
      </c>
      <c r="AL1524" s="151">
        <v>1</v>
      </c>
      <c r="AM1524" s="147">
        <f t="shared" si="61"/>
        <v>2</v>
      </c>
      <c r="AN1524" s="44" t="s">
        <v>1035</v>
      </c>
      <c r="AO1524" s="18" t="s">
        <v>1037</v>
      </c>
      <c r="AP1524" t="s">
        <v>8496</v>
      </c>
      <c r="AQ1524"/>
    </row>
    <row r="1525" spans="1:44" s="10" customFormat="1" x14ac:dyDescent="0.3">
      <c r="A1525" s="367" t="s">
        <v>8317</v>
      </c>
      <c r="B1525" s="10" t="s">
        <v>8318</v>
      </c>
      <c r="C1525" s="368" t="s">
        <v>8330</v>
      </c>
      <c r="D1525" s="10" t="s">
        <v>8331</v>
      </c>
      <c r="E1525" s="10" t="s">
        <v>8332</v>
      </c>
      <c r="F1525" s="10" t="s">
        <v>8333</v>
      </c>
      <c r="G1525" s="10" t="s">
        <v>8484</v>
      </c>
      <c r="H1525" s="10" t="s">
        <v>8485</v>
      </c>
      <c r="I1525" s="9"/>
      <c r="J1525" s="370"/>
      <c r="K1525" s="10" t="s">
        <v>8486</v>
      </c>
      <c r="L1525" s="10" t="s">
        <v>8487</v>
      </c>
      <c r="M1525" s="18"/>
      <c r="N1525" s="18"/>
      <c r="O1525" s="18"/>
      <c r="P1525" s="16"/>
      <c r="Q1525" s="16"/>
      <c r="R1525" s="16"/>
      <c r="S1525" s="16"/>
      <c r="U1525" t="e">
        <f>VLOOKUP(T1525,[8]Votes!$A$1:$E$234,3,FALSE)</f>
        <v>#N/A</v>
      </c>
      <c r="V1525" t="s">
        <v>8497</v>
      </c>
      <c r="W1525" s="369">
        <v>1</v>
      </c>
      <c r="X1525" s="369">
        <v>1</v>
      </c>
      <c r="Y1525" s="369">
        <v>0</v>
      </c>
      <c r="Z1525" s="369">
        <v>1</v>
      </c>
      <c r="AA1525" s="369">
        <v>1</v>
      </c>
      <c r="AB1525" s="369">
        <v>1</v>
      </c>
      <c r="AC1525" s="369">
        <v>1</v>
      </c>
      <c r="AD1525" s="369">
        <v>1</v>
      </c>
      <c r="AE1525" s="49">
        <f t="shared" si="62"/>
        <v>0.875</v>
      </c>
      <c r="AF1525" s="17">
        <v>1</v>
      </c>
      <c r="AG1525" s="17">
        <v>0</v>
      </c>
      <c r="AH1525" s="17">
        <v>0</v>
      </c>
      <c r="AI1525" s="44">
        <v>3</v>
      </c>
      <c r="AJ1525" s="44">
        <v>3</v>
      </c>
      <c r="AK1525" s="151">
        <v>3</v>
      </c>
      <c r="AL1525" s="151">
        <v>3</v>
      </c>
      <c r="AM1525" s="147">
        <f t="shared" si="61"/>
        <v>6</v>
      </c>
      <c r="AN1525" s="44" t="s">
        <v>8422</v>
      </c>
      <c r="AO1525" s="18" t="s">
        <v>1037</v>
      </c>
      <c r="AP1525" t="s">
        <v>1035</v>
      </c>
      <c r="AQ1525"/>
    </row>
    <row r="1526" spans="1:44" s="10" customFormat="1" x14ac:dyDescent="0.3">
      <c r="A1526" s="367" t="s">
        <v>8317</v>
      </c>
      <c r="B1526" s="10" t="s">
        <v>8318</v>
      </c>
      <c r="C1526" s="368" t="s">
        <v>8330</v>
      </c>
      <c r="D1526" s="10" t="s">
        <v>8331</v>
      </c>
      <c r="E1526" s="10" t="s">
        <v>8332</v>
      </c>
      <c r="F1526" s="10" t="s">
        <v>8333</v>
      </c>
      <c r="G1526" s="10" t="s">
        <v>8484</v>
      </c>
      <c r="H1526" s="10" t="s">
        <v>8485</v>
      </c>
      <c r="I1526" s="9"/>
      <c r="J1526" s="370"/>
      <c r="K1526" s="10" t="s">
        <v>8486</v>
      </c>
      <c r="L1526" s="10" t="s">
        <v>8487</v>
      </c>
      <c r="M1526" s="18"/>
      <c r="N1526" s="18"/>
      <c r="O1526" s="18"/>
      <c r="P1526" s="16"/>
      <c r="Q1526" s="16"/>
      <c r="R1526" s="16"/>
      <c r="S1526" s="16"/>
      <c r="U1526" t="e">
        <f>VLOOKUP(T1526,[8]Votes!$A$1:$E$234,3,FALSE)</f>
        <v>#N/A</v>
      </c>
      <c r="V1526" t="s">
        <v>8498</v>
      </c>
      <c r="W1526" s="369">
        <v>1</v>
      </c>
      <c r="X1526" s="369">
        <v>0</v>
      </c>
      <c r="Y1526" s="369">
        <v>0</v>
      </c>
      <c r="Z1526" s="369">
        <v>1</v>
      </c>
      <c r="AA1526" s="369">
        <v>1</v>
      </c>
      <c r="AB1526" s="369">
        <v>1</v>
      </c>
      <c r="AC1526" s="369">
        <v>0</v>
      </c>
      <c r="AD1526" s="369">
        <v>1</v>
      </c>
      <c r="AE1526" s="49">
        <f t="shared" si="62"/>
        <v>0.625</v>
      </c>
      <c r="AF1526" s="17"/>
      <c r="AG1526" s="17">
        <v>0</v>
      </c>
      <c r="AH1526" s="17">
        <v>0</v>
      </c>
      <c r="AI1526" s="44">
        <v>5</v>
      </c>
      <c r="AJ1526" s="44">
        <v>5</v>
      </c>
      <c r="AK1526" s="151">
        <v>5</v>
      </c>
      <c r="AL1526" s="151">
        <v>5</v>
      </c>
      <c r="AM1526" s="147">
        <f t="shared" si="61"/>
        <v>10</v>
      </c>
      <c r="AN1526" s="44" t="s">
        <v>8422</v>
      </c>
      <c r="AO1526" s="18" t="s">
        <v>1037</v>
      </c>
      <c r="AP1526" t="s">
        <v>8499</v>
      </c>
      <c r="AQ1526"/>
    </row>
    <row r="1527" spans="1:44" s="10" customFormat="1" x14ac:dyDescent="0.3">
      <c r="A1527" s="367" t="s">
        <v>8317</v>
      </c>
      <c r="B1527" s="10" t="s">
        <v>8318</v>
      </c>
      <c r="C1527" s="368" t="s">
        <v>8330</v>
      </c>
      <c r="D1527" s="10" t="s">
        <v>8331</v>
      </c>
      <c r="E1527" s="10" t="s">
        <v>8332</v>
      </c>
      <c r="F1527" s="10" t="s">
        <v>8333</v>
      </c>
      <c r="G1527" s="10" t="s">
        <v>8484</v>
      </c>
      <c r="H1527" s="10" t="s">
        <v>8485</v>
      </c>
      <c r="I1527" s="9"/>
      <c r="J1527" s="370"/>
      <c r="K1527" s="10" t="s">
        <v>8486</v>
      </c>
      <c r="L1527" s="10" t="s">
        <v>8487</v>
      </c>
      <c r="M1527" s="18"/>
      <c r="N1527" s="18"/>
      <c r="O1527" s="18"/>
      <c r="P1527" s="16"/>
      <c r="Q1527" s="16"/>
      <c r="R1527" s="16"/>
      <c r="S1527" s="16"/>
      <c r="U1527" t="e">
        <f>VLOOKUP(T1527,[8]Votes!$A$1:$E$234,3,FALSE)</f>
        <v>#N/A</v>
      </c>
      <c r="V1527" t="s">
        <v>8500</v>
      </c>
      <c r="W1527" s="369">
        <v>1</v>
      </c>
      <c r="X1527" s="369">
        <v>0</v>
      </c>
      <c r="Y1527" s="369">
        <v>0</v>
      </c>
      <c r="Z1527" s="369">
        <v>1</v>
      </c>
      <c r="AA1527" s="369">
        <v>1</v>
      </c>
      <c r="AB1527" s="369">
        <v>1</v>
      </c>
      <c r="AC1527" s="369">
        <v>0</v>
      </c>
      <c r="AD1527" s="369">
        <v>1</v>
      </c>
      <c r="AE1527" s="49">
        <f t="shared" si="62"/>
        <v>0.625</v>
      </c>
      <c r="AF1527" s="17"/>
      <c r="AG1527" s="17">
        <v>1</v>
      </c>
      <c r="AH1527" s="17">
        <v>0</v>
      </c>
      <c r="AI1527" s="44">
        <v>4</v>
      </c>
      <c r="AJ1527" s="17">
        <v>0</v>
      </c>
      <c r="AK1527" s="153">
        <v>0</v>
      </c>
      <c r="AL1527" s="154">
        <v>0</v>
      </c>
      <c r="AM1527" s="147">
        <f t="shared" si="61"/>
        <v>0</v>
      </c>
      <c r="AN1527" s="44" t="s">
        <v>8501</v>
      </c>
      <c r="AO1527" s="18" t="s">
        <v>1037</v>
      </c>
      <c r="AP1527" t="s">
        <v>8502</v>
      </c>
      <c r="AQ1527"/>
    </row>
    <row r="1528" spans="1:44" s="10" customFormat="1" x14ac:dyDescent="0.3">
      <c r="A1528" s="367" t="s">
        <v>8317</v>
      </c>
      <c r="B1528" s="10" t="s">
        <v>8318</v>
      </c>
      <c r="C1528" s="368" t="s">
        <v>8330</v>
      </c>
      <c r="D1528" s="10" t="s">
        <v>8331</v>
      </c>
      <c r="E1528" s="10" t="s">
        <v>8332</v>
      </c>
      <c r="F1528" s="10" t="s">
        <v>8333</v>
      </c>
      <c r="G1528" s="10" t="s">
        <v>8484</v>
      </c>
      <c r="H1528" s="10" t="s">
        <v>8485</v>
      </c>
      <c r="I1528" s="9"/>
      <c r="J1528" s="370"/>
      <c r="K1528" s="10" t="s">
        <v>8486</v>
      </c>
      <c r="L1528" s="10" t="s">
        <v>8487</v>
      </c>
      <c r="M1528" s="18" t="s">
        <v>8503</v>
      </c>
      <c r="N1528" s="18">
        <v>40</v>
      </c>
      <c r="O1528" s="18">
        <v>50</v>
      </c>
      <c r="P1528" s="16">
        <v>55</v>
      </c>
      <c r="Q1528" s="16">
        <v>60</v>
      </c>
      <c r="R1528" s="16">
        <v>65</v>
      </c>
      <c r="S1528" s="16">
        <v>70</v>
      </c>
      <c r="T1528" s="10" t="s">
        <v>8420</v>
      </c>
      <c r="U1528" t="str">
        <f>VLOOKUP(T1528,[8]Votes!$A$1:$E$234,3,FALSE)</f>
        <v>123 Rural Electrification Agency (REA)</v>
      </c>
      <c r="V1528" t="s">
        <v>8504</v>
      </c>
      <c r="W1528" s="369">
        <v>1</v>
      </c>
      <c r="X1528" s="369">
        <v>1</v>
      </c>
      <c r="Y1528" s="369">
        <v>0</v>
      </c>
      <c r="Z1528" s="369">
        <v>1</v>
      </c>
      <c r="AA1528" s="369">
        <v>1</v>
      </c>
      <c r="AB1528" s="369">
        <v>1</v>
      </c>
      <c r="AC1528" s="369">
        <v>0</v>
      </c>
      <c r="AD1528" s="369">
        <v>1</v>
      </c>
      <c r="AE1528" s="49">
        <f t="shared" si="62"/>
        <v>0.75</v>
      </c>
      <c r="AF1528" s="44"/>
      <c r="AG1528" s="17">
        <v>1</v>
      </c>
      <c r="AH1528" s="44">
        <v>10</v>
      </c>
      <c r="AI1528" s="44">
        <v>0</v>
      </c>
      <c r="AJ1528" s="44">
        <v>0</v>
      </c>
      <c r="AK1528" s="151"/>
      <c r="AL1528" s="151"/>
      <c r="AM1528" s="147">
        <f t="shared" si="61"/>
        <v>0</v>
      </c>
      <c r="AN1528" s="44" t="s">
        <v>8420</v>
      </c>
      <c r="AO1528" s="18" t="s">
        <v>8425</v>
      </c>
      <c r="AP1528" t="s">
        <v>8434</v>
      </c>
      <c r="AQ1528"/>
      <c r="AR1528"/>
    </row>
    <row r="1529" spans="1:44" s="10" customFormat="1" x14ac:dyDescent="0.3">
      <c r="A1529" s="367" t="s">
        <v>8317</v>
      </c>
      <c r="B1529" s="10" t="s">
        <v>8318</v>
      </c>
      <c r="C1529" s="368" t="s">
        <v>8330</v>
      </c>
      <c r="D1529" s="10" t="s">
        <v>8331</v>
      </c>
      <c r="E1529" s="10" t="s">
        <v>8332</v>
      </c>
      <c r="F1529" s="10" t="s">
        <v>8333</v>
      </c>
      <c r="G1529" s="10" t="s">
        <v>8484</v>
      </c>
      <c r="H1529" s="10" t="s">
        <v>8485</v>
      </c>
      <c r="I1529" s="9"/>
      <c r="J1529" s="370"/>
      <c r="K1529" s="10" t="s">
        <v>8486</v>
      </c>
      <c r="L1529" s="10" t="s">
        <v>8487</v>
      </c>
      <c r="M1529" s="18"/>
      <c r="N1529" s="18"/>
      <c r="O1529" s="18"/>
      <c r="P1529" s="16"/>
      <c r="Q1529" s="16"/>
      <c r="R1529" s="16"/>
      <c r="S1529" s="16"/>
      <c r="U1529" t="e">
        <f>VLOOKUP(T1529,[8]Votes!$A$1:$E$234,3,FALSE)</f>
        <v>#N/A</v>
      </c>
      <c r="V1529" t="s">
        <v>8424</v>
      </c>
      <c r="W1529" s="369">
        <v>1</v>
      </c>
      <c r="X1529" s="369">
        <v>1</v>
      </c>
      <c r="Y1529" s="369">
        <v>0</v>
      </c>
      <c r="Z1529" s="369">
        <v>1</v>
      </c>
      <c r="AA1529" s="369">
        <v>1</v>
      </c>
      <c r="AB1529" s="369">
        <v>1</v>
      </c>
      <c r="AC1529" s="369">
        <v>0</v>
      </c>
      <c r="AD1529" s="369">
        <v>1</v>
      </c>
      <c r="AE1529" s="49">
        <f t="shared" si="62"/>
        <v>0.75</v>
      </c>
      <c r="AF1529" s="44"/>
      <c r="AG1529" s="17">
        <v>0</v>
      </c>
      <c r="AH1529" s="44">
        <v>70</v>
      </c>
      <c r="AI1529" s="44">
        <v>30</v>
      </c>
      <c r="AJ1529" s="44">
        <v>30</v>
      </c>
      <c r="AK1529" s="151"/>
      <c r="AL1529" s="151"/>
      <c r="AM1529" s="147">
        <f t="shared" si="61"/>
        <v>0</v>
      </c>
      <c r="AN1529" s="44" t="s">
        <v>8422</v>
      </c>
      <c r="AO1529" s="18" t="s">
        <v>1037</v>
      </c>
      <c r="AP1529" t="s">
        <v>8505</v>
      </c>
      <c r="AQ1529"/>
      <c r="AR1529"/>
    </row>
    <row r="1530" spans="1:44" s="10" customFormat="1" x14ac:dyDescent="0.3">
      <c r="A1530" s="367" t="s">
        <v>8317</v>
      </c>
      <c r="B1530" s="10" t="s">
        <v>8318</v>
      </c>
      <c r="C1530" s="368" t="s">
        <v>8330</v>
      </c>
      <c r="D1530" s="10" t="s">
        <v>8331</v>
      </c>
      <c r="E1530" s="10" t="s">
        <v>8332</v>
      </c>
      <c r="F1530" s="10" t="s">
        <v>8333</v>
      </c>
      <c r="G1530" s="10" t="s">
        <v>8484</v>
      </c>
      <c r="H1530" s="10" t="s">
        <v>8485</v>
      </c>
      <c r="I1530" s="9"/>
      <c r="J1530" s="370"/>
      <c r="K1530" s="10" t="s">
        <v>8486</v>
      </c>
      <c r="L1530" s="10" t="s">
        <v>8487</v>
      </c>
      <c r="M1530" s="18"/>
      <c r="N1530" s="18"/>
      <c r="O1530" s="18"/>
      <c r="P1530" s="16"/>
      <c r="Q1530" s="16"/>
      <c r="R1530" s="16"/>
      <c r="S1530" s="16"/>
      <c r="U1530" t="e">
        <f>VLOOKUP(T1530,[8]Votes!$A$1:$E$234,3,FALSE)</f>
        <v>#N/A</v>
      </c>
      <c r="V1530" t="s">
        <v>8506</v>
      </c>
      <c r="W1530" s="369">
        <v>1</v>
      </c>
      <c r="X1530" s="369">
        <v>1</v>
      </c>
      <c r="Y1530" s="369">
        <v>0</v>
      </c>
      <c r="Z1530" s="369">
        <v>1</v>
      </c>
      <c r="AA1530" s="369">
        <v>1</v>
      </c>
      <c r="AB1530" s="369">
        <v>1</v>
      </c>
      <c r="AC1530" s="369">
        <v>0</v>
      </c>
      <c r="AD1530" s="369">
        <v>1</v>
      </c>
      <c r="AE1530" s="49">
        <f t="shared" si="62"/>
        <v>0.75</v>
      </c>
      <c r="AF1530" s="44"/>
      <c r="AG1530" s="17">
        <v>1</v>
      </c>
      <c r="AH1530" s="44">
        <v>20</v>
      </c>
      <c r="AI1530" s="44">
        <v>20</v>
      </c>
      <c r="AJ1530" s="44">
        <v>20</v>
      </c>
      <c r="AK1530" s="151"/>
      <c r="AL1530" s="151"/>
      <c r="AM1530" s="147">
        <f t="shared" si="61"/>
        <v>0</v>
      </c>
      <c r="AN1530" s="44" t="s">
        <v>8420</v>
      </c>
      <c r="AO1530" s="18" t="s">
        <v>8425</v>
      </c>
      <c r="AP1530" t="s">
        <v>8434</v>
      </c>
      <c r="AQ1530"/>
      <c r="AR1530"/>
    </row>
    <row r="1531" spans="1:44" s="10" customFormat="1" x14ac:dyDescent="0.3">
      <c r="A1531" s="367" t="s">
        <v>8317</v>
      </c>
      <c r="B1531" s="10" t="s">
        <v>8318</v>
      </c>
      <c r="C1531" s="368" t="s">
        <v>8330</v>
      </c>
      <c r="D1531" s="10" t="s">
        <v>8331</v>
      </c>
      <c r="E1531" s="10" t="s">
        <v>8332</v>
      </c>
      <c r="F1531" s="10" t="s">
        <v>8333</v>
      </c>
      <c r="G1531" s="10" t="s">
        <v>8484</v>
      </c>
      <c r="H1531" s="10" t="s">
        <v>8485</v>
      </c>
      <c r="I1531" s="9"/>
      <c r="J1531" s="370"/>
      <c r="K1531" s="10" t="s">
        <v>8486</v>
      </c>
      <c r="L1531" s="10" t="s">
        <v>8487</v>
      </c>
      <c r="M1531" s="18"/>
      <c r="N1531" s="18"/>
      <c r="O1531" s="18"/>
      <c r="P1531" s="16"/>
      <c r="Q1531" s="16"/>
      <c r="R1531" s="16"/>
      <c r="S1531" s="16"/>
      <c r="U1531" t="e">
        <f>VLOOKUP(T1531,[8]Votes!$A$1:$E$234,3,FALSE)</f>
        <v>#N/A</v>
      </c>
      <c r="V1531" t="s">
        <v>8507</v>
      </c>
      <c r="W1531" s="369">
        <v>1</v>
      </c>
      <c r="X1531" s="369">
        <v>1</v>
      </c>
      <c r="Y1531" s="369">
        <v>0</v>
      </c>
      <c r="Z1531" s="369">
        <v>1</v>
      </c>
      <c r="AA1531" s="369">
        <v>1</v>
      </c>
      <c r="AB1531" s="369">
        <v>1</v>
      </c>
      <c r="AC1531" s="369">
        <v>0</v>
      </c>
      <c r="AD1531" s="369">
        <v>1</v>
      </c>
      <c r="AE1531" s="49">
        <f t="shared" si="62"/>
        <v>0.75</v>
      </c>
      <c r="AF1531" s="44"/>
      <c r="AG1531" s="17">
        <v>0</v>
      </c>
      <c r="AH1531" s="44">
        <v>0</v>
      </c>
      <c r="AI1531" s="44">
        <v>0</v>
      </c>
      <c r="AJ1531" s="44">
        <v>0</v>
      </c>
      <c r="AK1531" s="151">
        <v>0</v>
      </c>
      <c r="AL1531" s="151">
        <v>0</v>
      </c>
      <c r="AM1531" s="147">
        <f t="shared" si="61"/>
        <v>0</v>
      </c>
      <c r="AN1531" s="44" t="s">
        <v>8341</v>
      </c>
      <c r="AO1531" s="18" t="s">
        <v>1037</v>
      </c>
      <c r="AP1531" t="s">
        <v>8508</v>
      </c>
      <c r="AQ1531"/>
      <c r="AR1531"/>
    </row>
    <row r="1532" spans="1:44" s="10" customFormat="1" x14ac:dyDescent="0.3">
      <c r="A1532" s="367" t="s">
        <v>8317</v>
      </c>
      <c r="B1532" s="10" t="s">
        <v>8318</v>
      </c>
      <c r="C1532" s="368" t="s">
        <v>8330</v>
      </c>
      <c r="D1532" s="10" t="s">
        <v>8331</v>
      </c>
      <c r="E1532" s="10" t="s">
        <v>8332</v>
      </c>
      <c r="F1532" s="10" t="s">
        <v>8333</v>
      </c>
      <c r="G1532" s="10" t="s">
        <v>8484</v>
      </c>
      <c r="H1532" s="10" t="s">
        <v>8485</v>
      </c>
      <c r="I1532" s="9"/>
      <c r="J1532" s="370"/>
      <c r="K1532" s="10" t="s">
        <v>8486</v>
      </c>
      <c r="L1532" s="10" t="s">
        <v>8487</v>
      </c>
      <c r="M1532" s="18"/>
      <c r="N1532" s="18"/>
      <c r="O1532" s="18"/>
      <c r="P1532" s="16"/>
      <c r="Q1532" s="16"/>
      <c r="R1532" s="16"/>
      <c r="S1532" s="16"/>
      <c r="U1532" t="e">
        <f>VLOOKUP(T1532,[8]Votes!$A$1:$E$234,3,FALSE)</f>
        <v>#N/A</v>
      </c>
      <c r="V1532" t="s">
        <v>8507</v>
      </c>
      <c r="W1532" s="369">
        <v>1</v>
      </c>
      <c r="X1532" s="369">
        <v>1</v>
      </c>
      <c r="Y1532" s="369">
        <v>0</v>
      </c>
      <c r="Z1532" s="369">
        <v>1</v>
      </c>
      <c r="AA1532" s="369">
        <v>1</v>
      </c>
      <c r="AB1532" s="369">
        <v>1</v>
      </c>
      <c r="AC1532" s="369">
        <v>0</v>
      </c>
      <c r="AD1532" s="369">
        <v>1</v>
      </c>
      <c r="AE1532" s="49">
        <f t="shared" si="62"/>
        <v>0.75</v>
      </c>
      <c r="AF1532" s="44"/>
      <c r="AG1532" s="17">
        <v>0</v>
      </c>
      <c r="AH1532" s="44">
        <v>0</v>
      </c>
      <c r="AI1532" s="44">
        <v>0</v>
      </c>
      <c r="AJ1532" s="44">
        <v>0</v>
      </c>
      <c r="AK1532" s="151"/>
      <c r="AL1532" s="151"/>
      <c r="AM1532" s="147">
        <f t="shared" si="61"/>
        <v>0</v>
      </c>
      <c r="AN1532" s="44" t="s">
        <v>8422</v>
      </c>
      <c r="AO1532" s="18" t="s">
        <v>1037</v>
      </c>
      <c r="AP1532" t="s">
        <v>8509</v>
      </c>
      <c r="AQ1532"/>
      <c r="AR1532"/>
    </row>
    <row r="1533" spans="1:44" s="10" customFormat="1" x14ac:dyDescent="0.3">
      <c r="A1533" s="367" t="s">
        <v>8317</v>
      </c>
      <c r="B1533" s="10" t="s">
        <v>8318</v>
      </c>
      <c r="C1533" s="368" t="s">
        <v>8330</v>
      </c>
      <c r="D1533" s="10" t="s">
        <v>8331</v>
      </c>
      <c r="E1533" s="10" t="s">
        <v>8332</v>
      </c>
      <c r="F1533" s="10" t="s">
        <v>8333</v>
      </c>
      <c r="G1533" s="10" t="s">
        <v>8484</v>
      </c>
      <c r="H1533" s="10" t="s">
        <v>8485</v>
      </c>
      <c r="I1533" s="9"/>
      <c r="J1533" s="370"/>
      <c r="K1533" s="10" t="s">
        <v>8486</v>
      </c>
      <c r="L1533" s="10" t="s">
        <v>8487</v>
      </c>
      <c r="M1533" s="18"/>
      <c r="N1533" s="18"/>
      <c r="O1533" s="18"/>
      <c r="P1533" s="16"/>
      <c r="Q1533" s="16"/>
      <c r="R1533" s="16"/>
      <c r="S1533" s="16"/>
      <c r="U1533" t="e">
        <f>VLOOKUP(T1533,[8]Votes!$A$1:$E$234,3,FALSE)</f>
        <v>#N/A</v>
      </c>
      <c r="V1533" t="s">
        <v>8510</v>
      </c>
      <c r="W1533" s="369">
        <v>0</v>
      </c>
      <c r="X1533" s="369">
        <v>0</v>
      </c>
      <c r="Y1533" s="369">
        <v>0</v>
      </c>
      <c r="Z1533" s="369">
        <v>1</v>
      </c>
      <c r="AA1533" s="369">
        <v>1</v>
      </c>
      <c r="AB1533" s="369">
        <v>0</v>
      </c>
      <c r="AC1533" s="369">
        <v>0</v>
      </c>
      <c r="AD1533" s="369">
        <v>0</v>
      </c>
      <c r="AE1533" s="49">
        <f t="shared" si="62"/>
        <v>0.25</v>
      </c>
      <c r="AF1533" s="44"/>
      <c r="AG1533" s="17">
        <v>0</v>
      </c>
      <c r="AH1533" s="44">
        <v>5</v>
      </c>
      <c r="AI1533" s="44">
        <v>10</v>
      </c>
      <c r="AJ1533" s="44">
        <v>10</v>
      </c>
      <c r="AK1533" s="151">
        <v>0</v>
      </c>
      <c r="AL1533" s="151">
        <v>0</v>
      </c>
      <c r="AM1533" s="147">
        <f t="shared" si="61"/>
        <v>0</v>
      </c>
      <c r="AN1533" s="44" t="s">
        <v>8409</v>
      </c>
      <c r="AO1533" s="18" t="s">
        <v>1037</v>
      </c>
      <c r="AP1533" t="s">
        <v>1035</v>
      </c>
      <c r="AQ1533"/>
      <c r="AR1533"/>
    </row>
    <row r="1534" spans="1:44" s="10" customFormat="1" x14ac:dyDescent="0.3">
      <c r="A1534" s="367" t="s">
        <v>8317</v>
      </c>
      <c r="B1534" s="10" t="s">
        <v>8318</v>
      </c>
      <c r="C1534" s="368" t="s">
        <v>8330</v>
      </c>
      <c r="D1534" s="10" t="s">
        <v>8331</v>
      </c>
      <c r="E1534" s="10" t="s">
        <v>8332</v>
      </c>
      <c r="F1534" s="10" t="s">
        <v>8333</v>
      </c>
      <c r="G1534" s="10" t="s">
        <v>8484</v>
      </c>
      <c r="H1534" s="10" t="s">
        <v>8485</v>
      </c>
      <c r="I1534" s="9"/>
      <c r="J1534" s="370"/>
      <c r="K1534" s="10" t="s">
        <v>8486</v>
      </c>
      <c r="L1534" s="10" t="s">
        <v>8487</v>
      </c>
      <c r="M1534" s="18"/>
      <c r="N1534" s="18"/>
      <c r="O1534" s="18"/>
      <c r="P1534" s="16"/>
      <c r="Q1534" s="16"/>
      <c r="R1534" s="16"/>
      <c r="S1534" s="16"/>
      <c r="U1534" t="e">
        <f>VLOOKUP(T1534,[8]Votes!$A$1:$E$234,3,FALSE)</f>
        <v>#N/A</v>
      </c>
      <c r="V1534" t="s">
        <v>8511</v>
      </c>
      <c r="W1534" s="369">
        <v>1</v>
      </c>
      <c r="X1534" s="369">
        <v>1</v>
      </c>
      <c r="Y1534" s="369">
        <v>1</v>
      </c>
      <c r="Z1534" s="369">
        <v>1</v>
      </c>
      <c r="AA1534" s="369">
        <v>1</v>
      </c>
      <c r="AB1534" s="369">
        <v>1</v>
      </c>
      <c r="AC1534" s="369">
        <v>0</v>
      </c>
      <c r="AD1534" s="369">
        <v>1</v>
      </c>
      <c r="AE1534" s="49">
        <f t="shared" si="62"/>
        <v>0.875</v>
      </c>
      <c r="AF1534" s="17"/>
      <c r="AG1534" s="17">
        <v>0</v>
      </c>
      <c r="AH1534" s="17">
        <v>0</v>
      </c>
      <c r="AI1534" s="44">
        <v>1.2</v>
      </c>
      <c r="AJ1534" s="44">
        <v>0.5</v>
      </c>
      <c r="AK1534" s="151">
        <v>1</v>
      </c>
      <c r="AL1534" s="151">
        <v>1.5</v>
      </c>
      <c r="AM1534" s="147">
        <f t="shared" si="61"/>
        <v>2.5</v>
      </c>
      <c r="AN1534" s="44" t="s">
        <v>321</v>
      </c>
      <c r="AO1534" s="18" t="s">
        <v>1066</v>
      </c>
      <c r="AP1534" t="s">
        <v>8512</v>
      </c>
      <c r="AQ1534"/>
      <c r="AR1534"/>
    </row>
    <row r="1535" spans="1:44" s="10" customFormat="1" x14ac:dyDescent="0.3">
      <c r="A1535" s="367" t="s">
        <v>8317</v>
      </c>
      <c r="B1535" s="10" t="s">
        <v>8318</v>
      </c>
      <c r="C1535" s="368" t="s">
        <v>8330</v>
      </c>
      <c r="D1535" s="10" t="s">
        <v>8331</v>
      </c>
      <c r="E1535" s="10" t="s">
        <v>8332</v>
      </c>
      <c r="F1535" s="10" t="s">
        <v>8333</v>
      </c>
      <c r="G1535" s="10" t="s">
        <v>8513</v>
      </c>
      <c r="H1535" s="10" t="s">
        <v>8514</v>
      </c>
      <c r="I1535" s="9"/>
      <c r="J1535" s="370"/>
      <c r="K1535" s="10" t="s">
        <v>8515</v>
      </c>
      <c r="L1535" s="10" t="s">
        <v>8516</v>
      </c>
      <c r="M1535" s="18" t="s">
        <v>8517</v>
      </c>
      <c r="N1535" s="18"/>
      <c r="O1535" s="18">
        <v>0</v>
      </c>
      <c r="P1535" s="16">
        <v>0</v>
      </c>
      <c r="Q1535" s="16">
        <v>1</v>
      </c>
      <c r="R1535" s="16">
        <v>0</v>
      </c>
      <c r="S1535" s="16">
        <v>0</v>
      </c>
      <c r="T1535" s="10" t="s">
        <v>6371</v>
      </c>
      <c r="U1535" t="e">
        <f>VLOOKUP(T1535,[8]Votes!$A$1:$E$234,3,FALSE)</f>
        <v>#N/A</v>
      </c>
      <c r="W1535" s="369">
        <v>0</v>
      </c>
      <c r="X1535" s="369">
        <v>0</v>
      </c>
      <c r="Y1535" s="369">
        <v>0</v>
      </c>
      <c r="Z1535" s="369">
        <v>1</v>
      </c>
      <c r="AA1535" s="369">
        <v>1</v>
      </c>
      <c r="AB1535" s="369">
        <v>0</v>
      </c>
      <c r="AC1535" s="369">
        <v>0</v>
      </c>
      <c r="AD1535" s="369">
        <v>0</v>
      </c>
      <c r="AE1535" s="49">
        <f t="shared" si="62"/>
        <v>0.25</v>
      </c>
      <c r="AF1535" s="17"/>
      <c r="AG1535" s="17">
        <v>0</v>
      </c>
      <c r="AH1535" s="17"/>
      <c r="AI1535" s="17"/>
      <c r="AJ1535" s="17"/>
      <c r="AK1535" s="154"/>
      <c r="AL1535" s="154"/>
      <c r="AM1535" s="147">
        <f t="shared" si="61"/>
        <v>0</v>
      </c>
      <c r="AR1535"/>
    </row>
    <row r="1536" spans="1:44" s="10" customFormat="1" x14ac:dyDescent="0.3">
      <c r="A1536" s="367" t="s">
        <v>8317</v>
      </c>
      <c r="B1536" s="10" t="s">
        <v>8318</v>
      </c>
      <c r="C1536" s="368" t="s">
        <v>8330</v>
      </c>
      <c r="D1536" s="10" t="s">
        <v>8331</v>
      </c>
      <c r="E1536" s="10" t="s">
        <v>8332</v>
      </c>
      <c r="F1536" s="10" t="s">
        <v>8333</v>
      </c>
      <c r="G1536" s="10" t="s">
        <v>8513</v>
      </c>
      <c r="H1536" s="10" t="s">
        <v>8514</v>
      </c>
      <c r="I1536" s="9"/>
      <c r="J1536" s="370"/>
      <c r="K1536" s="10" t="s">
        <v>8515</v>
      </c>
      <c r="L1536" s="10" t="s">
        <v>8518</v>
      </c>
      <c r="M1536" s="18" t="s">
        <v>8519</v>
      </c>
      <c r="N1536" s="18">
        <v>0</v>
      </c>
      <c r="O1536" s="18">
        <v>1</v>
      </c>
      <c r="P1536" s="16">
        <v>1</v>
      </c>
      <c r="Q1536" s="16">
        <v>1</v>
      </c>
      <c r="R1536" s="16">
        <v>0</v>
      </c>
      <c r="S1536" s="16">
        <v>0</v>
      </c>
      <c r="T1536" s="10" t="s">
        <v>8339</v>
      </c>
      <c r="U1536" t="e">
        <f>VLOOKUP(T1536,[8]Votes!$A$1:$E$234,3,FALSE)</f>
        <v>#N/A</v>
      </c>
      <c r="V1536" t="s">
        <v>8520</v>
      </c>
      <c r="W1536" s="369">
        <v>1</v>
      </c>
      <c r="X1536" s="369">
        <v>1</v>
      </c>
      <c r="Y1536" s="369">
        <v>1</v>
      </c>
      <c r="Z1536" s="369">
        <v>1</v>
      </c>
      <c r="AA1536" s="369">
        <v>1</v>
      </c>
      <c r="AB1536" s="369">
        <v>1</v>
      </c>
      <c r="AC1536" s="369">
        <v>0</v>
      </c>
      <c r="AD1536" s="369">
        <v>1</v>
      </c>
      <c r="AE1536" s="49">
        <f t="shared" si="62"/>
        <v>0.875</v>
      </c>
      <c r="AF1536" s="44"/>
      <c r="AG1536" s="17">
        <v>0</v>
      </c>
      <c r="AH1536" s="44">
        <v>5</v>
      </c>
      <c r="AI1536" s="44">
        <v>5</v>
      </c>
      <c r="AJ1536" s="17">
        <v>0</v>
      </c>
      <c r="AK1536" s="153">
        <v>0</v>
      </c>
      <c r="AL1536" s="154">
        <v>0</v>
      </c>
      <c r="AM1536" s="147">
        <f t="shared" si="61"/>
        <v>0</v>
      </c>
      <c r="AN1536" s="44" t="s">
        <v>8341</v>
      </c>
      <c r="AO1536" s="18" t="s">
        <v>1037</v>
      </c>
      <c r="AP1536" t="s">
        <v>8521</v>
      </c>
      <c r="AQ1536"/>
      <c r="AR1536"/>
    </row>
    <row r="1537" spans="1:44" s="10" customFormat="1" x14ac:dyDescent="0.3">
      <c r="A1537" s="367" t="s">
        <v>8317</v>
      </c>
      <c r="B1537" s="10" t="s">
        <v>8318</v>
      </c>
      <c r="C1537" s="368" t="s">
        <v>8330</v>
      </c>
      <c r="D1537" s="10" t="s">
        <v>8331</v>
      </c>
      <c r="E1537" s="10" t="s">
        <v>8332</v>
      </c>
      <c r="F1537" s="10" t="s">
        <v>8333</v>
      </c>
      <c r="G1537" s="10" t="s">
        <v>8522</v>
      </c>
      <c r="H1537" s="10" t="s">
        <v>8523</v>
      </c>
      <c r="I1537" s="9"/>
      <c r="J1537" s="370"/>
      <c r="K1537" s="10" t="s">
        <v>8524</v>
      </c>
      <c r="L1537" s="10" t="s">
        <v>8525</v>
      </c>
      <c r="M1537" s="18" t="s">
        <v>8526</v>
      </c>
      <c r="N1537" s="18" t="s">
        <v>271</v>
      </c>
      <c r="O1537" s="18" t="s">
        <v>271</v>
      </c>
      <c r="P1537" s="16">
        <v>1</v>
      </c>
      <c r="Q1537" s="16" t="s">
        <v>271</v>
      </c>
      <c r="R1537" s="16" t="s">
        <v>271</v>
      </c>
      <c r="S1537" s="16" t="s">
        <v>271</v>
      </c>
      <c r="T1537" s="10" t="s">
        <v>1035</v>
      </c>
      <c r="U1537" t="str">
        <f>VLOOKUP(T1537,[8]Votes!$A$1:$E$234,3,FALSE)</f>
        <v>017 Ministry of Energy and Mineral Development</v>
      </c>
      <c r="V1537"/>
      <c r="W1537" s="369">
        <v>1</v>
      </c>
      <c r="X1537" s="369">
        <v>0</v>
      </c>
      <c r="Y1537" s="369">
        <v>0</v>
      </c>
      <c r="Z1537" s="369">
        <v>0</v>
      </c>
      <c r="AA1537" s="369">
        <v>1</v>
      </c>
      <c r="AB1537" s="369">
        <v>1</v>
      </c>
      <c r="AC1537" s="369">
        <v>0</v>
      </c>
      <c r="AD1537" s="369">
        <v>1</v>
      </c>
      <c r="AE1537" s="49">
        <f t="shared" si="62"/>
        <v>0.5</v>
      </c>
      <c r="AF1537" s="4"/>
      <c r="AG1537" s="17">
        <v>0</v>
      </c>
      <c r="AH1537" s="4"/>
      <c r="AI1537" s="4"/>
      <c r="AJ1537" s="17"/>
      <c r="AK1537" s="153"/>
      <c r="AL1537" s="154"/>
      <c r="AM1537" s="147">
        <f t="shared" si="61"/>
        <v>0</v>
      </c>
      <c r="AN1537" s="44"/>
      <c r="AO1537" s="18"/>
      <c r="AP1537"/>
      <c r="AQ1537"/>
      <c r="AR1537"/>
    </row>
    <row r="1538" spans="1:44" s="10" customFormat="1" ht="14.55" customHeight="1" x14ac:dyDescent="0.3">
      <c r="A1538" s="367" t="s">
        <v>8317</v>
      </c>
      <c r="B1538" s="10" t="s">
        <v>8318</v>
      </c>
      <c r="C1538" s="368" t="s">
        <v>8330</v>
      </c>
      <c r="D1538" s="10" t="s">
        <v>8331</v>
      </c>
      <c r="E1538" s="10" t="s">
        <v>8332</v>
      </c>
      <c r="F1538" s="10" t="s">
        <v>8333</v>
      </c>
      <c r="G1538" s="10" t="s">
        <v>8522</v>
      </c>
      <c r="H1538" s="10" t="s">
        <v>8523</v>
      </c>
      <c r="I1538" s="9"/>
      <c r="J1538" s="370"/>
      <c r="K1538" s="10" t="s">
        <v>8524</v>
      </c>
      <c r="L1538" s="10" t="s">
        <v>8525</v>
      </c>
      <c r="M1538" s="18" t="s">
        <v>8527</v>
      </c>
      <c r="N1538" s="18">
        <v>0</v>
      </c>
      <c r="O1538" s="18"/>
      <c r="P1538" s="16">
        <v>2</v>
      </c>
      <c r="Q1538" s="16">
        <v>3</v>
      </c>
      <c r="R1538" s="16">
        <v>3</v>
      </c>
      <c r="S1538" s="16">
        <v>3</v>
      </c>
      <c r="T1538" s="10" t="s">
        <v>321</v>
      </c>
      <c r="U1538" t="str">
        <f>VLOOKUP(T1538,[8]Votes!$A$1:$E$234,3,FALSE)</f>
        <v>154 Uganda National Bureau of Standards</v>
      </c>
      <c r="V1538" t="s">
        <v>8528</v>
      </c>
      <c r="W1538" s="369">
        <v>1</v>
      </c>
      <c r="X1538" s="369">
        <v>0</v>
      </c>
      <c r="Y1538" s="369">
        <v>0</v>
      </c>
      <c r="Z1538" s="369">
        <v>1</v>
      </c>
      <c r="AA1538" s="369">
        <v>1</v>
      </c>
      <c r="AB1538" s="369">
        <v>1</v>
      </c>
      <c r="AC1538" s="369">
        <v>0</v>
      </c>
      <c r="AD1538" s="369">
        <v>1</v>
      </c>
      <c r="AE1538" s="49">
        <f t="shared" si="62"/>
        <v>0.625</v>
      </c>
      <c r="AF1538" s="17"/>
      <c r="AG1538" s="17">
        <v>0</v>
      </c>
      <c r="AH1538" s="17">
        <v>0</v>
      </c>
      <c r="AI1538" s="17">
        <v>0</v>
      </c>
      <c r="AJ1538" s="17">
        <v>0</v>
      </c>
      <c r="AK1538" s="153">
        <v>1</v>
      </c>
      <c r="AL1538" s="154">
        <v>2</v>
      </c>
      <c r="AM1538" s="147">
        <f t="shared" si="61"/>
        <v>3</v>
      </c>
      <c r="AN1538" s="44" t="s">
        <v>8422</v>
      </c>
      <c r="AO1538" s="18" t="s">
        <v>1037</v>
      </c>
      <c r="AP1538" t="s">
        <v>8529</v>
      </c>
      <c r="AQ1538"/>
      <c r="AR1538"/>
    </row>
    <row r="1539" spans="1:44" s="10" customFormat="1" x14ac:dyDescent="0.3">
      <c r="A1539" s="367" t="s">
        <v>8317</v>
      </c>
      <c r="B1539" s="10" t="s">
        <v>8318</v>
      </c>
      <c r="C1539" s="368" t="s">
        <v>8330</v>
      </c>
      <c r="D1539" s="10" t="s">
        <v>8331</v>
      </c>
      <c r="E1539" s="10" t="s">
        <v>8332</v>
      </c>
      <c r="F1539" s="10" t="s">
        <v>8333</v>
      </c>
      <c r="G1539" s="10" t="s">
        <v>8522</v>
      </c>
      <c r="H1539" s="10" t="s">
        <v>8523</v>
      </c>
      <c r="I1539" s="9"/>
      <c r="J1539" s="370"/>
      <c r="K1539" s="10" t="s">
        <v>8524</v>
      </c>
      <c r="L1539" s="10" t="s">
        <v>8525</v>
      </c>
      <c r="M1539" s="18"/>
      <c r="N1539" s="18"/>
      <c r="O1539" s="18"/>
      <c r="P1539" s="16"/>
      <c r="Q1539" s="16"/>
      <c r="R1539" s="16"/>
      <c r="S1539" s="16"/>
      <c r="U1539" t="e">
        <f>VLOOKUP(T1539,[8]Votes!$A$1:$E$234,3,FALSE)</f>
        <v>#N/A</v>
      </c>
      <c r="V1539" t="s">
        <v>8530</v>
      </c>
      <c r="W1539" s="369">
        <v>1</v>
      </c>
      <c r="X1539" s="369">
        <v>1</v>
      </c>
      <c r="Y1539" s="369">
        <v>1</v>
      </c>
      <c r="Z1539" s="369">
        <v>0</v>
      </c>
      <c r="AA1539" s="369">
        <v>1</v>
      </c>
      <c r="AB1539" s="369">
        <v>1</v>
      </c>
      <c r="AC1539" s="369">
        <v>1</v>
      </c>
      <c r="AD1539" s="369">
        <v>1</v>
      </c>
      <c r="AE1539" s="49">
        <f t="shared" si="62"/>
        <v>0.875</v>
      </c>
      <c r="AF1539" s="44"/>
      <c r="AG1539" s="17">
        <v>0</v>
      </c>
      <c r="AH1539" s="44">
        <v>2</v>
      </c>
      <c r="AI1539" s="44">
        <v>2</v>
      </c>
      <c r="AJ1539" s="44">
        <v>2</v>
      </c>
      <c r="AK1539" s="151">
        <v>2</v>
      </c>
      <c r="AL1539" s="151">
        <v>2</v>
      </c>
      <c r="AM1539" s="147">
        <f t="shared" si="61"/>
        <v>4</v>
      </c>
      <c r="AN1539" s="44" t="s">
        <v>321</v>
      </c>
      <c r="AO1539" s="18" t="s">
        <v>1066</v>
      </c>
      <c r="AP1539" t="s">
        <v>4439</v>
      </c>
      <c r="AQ1539"/>
      <c r="AR1539"/>
    </row>
    <row r="1540" spans="1:44" s="10" customFormat="1" x14ac:dyDescent="0.3">
      <c r="A1540" s="367" t="s">
        <v>8317</v>
      </c>
      <c r="B1540" s="10" t="s">
        <v>8318</v>
      </c>
      <c r="C1540" s="368" t="s">
        <v>8330</v>
      </c>
      <c r="D1540" s="10" t="s">
        <v>8331</v>
      </c>
      <c r="E1540" s="10" t="s">
        <v>8332</v>
      </c>
      <c r="F1540" s="10" t="s">
        <v>8333</v>
      </c>
      <c r="G1540" s="10" t="s">
        <v>8522</v>
      </c>
      <c r="H1540" s="10" t="s">
        <v>8523</v>
      </c>
      <c r="I1540" s="9"/>
      <c r="J1540" s="370"/>
      <c r="K1540" s="10" t="s">
        <v>8524</v>
      </c>
      <c r="L1540" s="10" t="s">
        <v>8525</v>
      </c>
      <c r="M1540" s="18" t="s">
        <v>8531</v>
      </c>
      <c r="N1540" s="18">
        <v>70</v>
      </c>
      <c r="O1540" s="18">
        <v>70</v>
      </c>
      <c r="P1540" s="16">
        <v>75</v>
      </c>
      <c r="Q1540" s="16">
        <v>85</v>
      </c>
      <c r="R1540" s="16">
        <v>95</v>
      </c>
      <c r="S1540" s="16">
        <v>100</v>
      </c>
      <c r="T1540" s="10" t="s">
        <v>8436</v>
      </c>
      <c r="U1540" t="e">
        <f>VLOOKUP(T1540,[8]Votes!$A$1:$E$234,3,FALSE)</f>
        <v>#N/A</v>
      </c>
      <c r="V1540" t="s">
        <v>8532</v>
      </c>
      <c r="W1540" s="369">
        <v>1</v>
      </c>
      <c r="X1540" s="369">
        <v>1</v>
      </c>
      <c r="Y1540" s="369">
        <v>1</v>
      </c>
      <c r="Z1540" s="369">
        <v>0</v>
      </c>
      <c r="AA1540" s="369">
        <v>1</v>
      </c>
      <c r="AB1540" s="369">
        <v>1</v>
      </c>
      <c r="AC1540" s="369">
        <v>1</v>
      </c>
      <c r="AD1540" s="369">
        <v>1</v>
      </c>
      <c r="AE1540" s="49">
        <f t="shared" si="62"/>
        <v>0.875</v>
      </c>
      <c r="AF1540" s="44"/>
      <c r="AG1540" s="17">
        <v>0</v>
      </c>
      <c r="AH1540" s="44">
        <v>2.13</v>
      </c>
      <c r="AI1540" s="44">
        <v>1.53</v>
      </c>
      <c r="AJ1540" s="44">
        <v>0.95</v>
      </c>
      <c r="AK1540" s="151">
        <v>0.95</v>
      </c>
      <c r="AL1540" s="151">
        <v>0.36</v>
      </c>
      <c r="AM1540" s="147">
        <f t="shared" si="61"/>
        <v>1.31</v>
      </c>
      <c r="AN1540" s="44" t="s">
        <v>321</v>
      </c>
      <c r="AO1540" s="18" t="s">
        <v>1066</v>
      </c>
      <c r="AP1540" t="s">
        <v>4439</v>
      </c>
      <c r="AQ1540"/>
      <c r="AR1540"/>
    </row>
    <row r="1541" spans="1:44" s="10" customFormat="1" x14ac:dyDescent="0.3">
      <c r="A1541" s="367" t="s">
        <v>8317</v>
      </c>
      <c r="B1541" s="10" t="s">
        <v>8318</v>
      </c>
      <c r="C1541" s="368" t="s">
        <v>8330</v>
      </c>
      <c r="D1541" s="10" t="s">
        <v>8331</v>
      </c>
      <c r="E1541" s="10" t="s">
        <v>8332</v>
      </c>
      <c r="F1541" s="10" t="s">
        <v>8333</v>
      </c>
      <c r="G1541" s="10" t="s">
        <v>8522</v>
      </c>
      <c r="H1541" s="10" t="s">
        <v>8523</v>
      </c>
      <c r="I1541" s="9"/>
      <c r="J1541" s="370"/>
      <c r="K1541" s="10" t="s">
        <v>8524</v>
      </c>
      <c r="L1541" s="10" t="s">
        <v>8525</v>
      </c>
      <c r="M1541" s="18"/>
      <c r="N1541" s="18"/>
      <c r="O1541" s="18"/>
      <c r="P1541" s="16"/>
      <c r="Q1541" s="16"/>
      <c r="R1541" s="16"/>
      <c r="S1541" s="16"/>
      <c r="U1541" t="e">
        <f>VLOOKUP(T1541,[8]Votes!$A$1:$E$234,3,FALSE)</f>
        <v>#N/A</v>
      </c>
      <c r="V1541" t="s">
        <v>8533</v>
      </c>
      <c r="W1541" s="369">
        <v>1</v>
      </c>
      <c r="X1541" s="369">
        <v>1</v>
      </c>
      <c r="Y1541" s="369">
        <v>0</v>
      </c>
      <c r="Z1541" s="369">
        <v>1</v>
      </c>
      <c r="AA1541" s="369">
        <v>1</v>
      </c>
      <c r="AB1541" s="369">
        <v>1</v>
      </c>
      <c r="AC1541" s="369">
        <v>0</v>
      </c>
      <c r="AD1541" s="369">
        <v>1</v>
      </c>
      <c r="AE1541" s="49">
        <f t="shared" si="62"/>
        <v>0.75</v>
      </c>
      <c r="AF1541" s="17"/>
      <c r="AG1541" s="17">
        <v>0</v>
      </c>
      <c r="AH1541" s="17">
        <v>0</v>
      </c>
      <c r="AI1541" s="44">
        <v>0.3</v>
      </c>
      <c r="AJ1541" s="44">
        <v>0.6</v>
      </c>
      <c r="AK1541" s="151">
        <v>0.6</v>
      </c>
      <c r="AL1541" s="151">
        <v>0.6</v>
      </c>
      <c r="AM1541" s="147">
        <f t="shared" si="61"/>
        <v>1.2</v>
      </c>
      <c r="AN1541" s="44" t="s">
        <v>321</v>
      </c>
      <c r="AO1541" s="18" t="s">
        <v>1066</v>
      </c>
      <c r="AP1541" t="s">
        <v>4411</v>
      </c>
      <c r="AQ1541"/>
      <c r="AR1541"/>
    </row>
    <row r="1542" spans="1:44" s="10" customFormat="1" x14ac:dyDescent="0.3">
      <c r="A1542" s="367" t="s">
        <v>8317</v>
      </c>
      <c r="B1542" s="10" t="s">
        <v>8318</v>
      </c>
      <c r="C1542" s="368" t="s">
        <v>8330</v>
      </c>
      <c r="D1542" s="10" t="s">
        <v>8331</v>
      </c>
      <c r="E1542" s="10" t="s">
        <v>8332</v>
      </c>
      <c r="F1542" s="10" t="s">
        <v>8333</v>
      </c>
      <c r="G1542" s="10" t="s">
        <v>8522</v>
      </c>
      <c r="H1542" s="10" t="s">
        <v>8523</v>
      </c>
      <c r="I1542" s="9"/>
      <c r="J1542" s="370"/>
      <c r="K1542" s="10" t="s">
        <v>8524</v>
      </c>
      <c r="L1542" s="10" t="s">
        <v>8525</v>
      </c>
      <c r="M1542" s="18"/>
      <c r="N1542" s="18"/>
      <c r="O1542" s="18"/>
      <c r="P1542" s="16"/>
      <c r="Q1542" s="16"/>
      <c r="R1542" s="16"/>
      <c r="S1542" s="16"/>
      <c r="U1542" t="e">
        <f>VLOOKUP(T1542,[8]Votes!$A$1:$E$234,3,FALSE)</f>
        <v>#N/A</v>
      </c>
      <c r="V1542" t="s">
        <v>8534</v>
      </c>
      <c r="W1542" s="369">
        <v>1</v>
      </c>
      <c r="X1542" s="369">
        <v>1</v>
      </c>
      <c r="Y1542" s="369">
        <v>1</v>
      </c>
      <c r="Z1542" s="369">
        <v>0</v>
      </c>
      <c r="AA1542" s="369">
        <v>1</v>
      </c>
      <c r="AB1542" s="369">
        <v>1</v>
      </c>
      <c r="AC1542" s="369">
        <v>1</v>
      </c>
      <c r="AD1542" s="369">
        <v>1</v>
      </c>
      <c r="AE1542" s="49">
        <f t="shared" si="62"/>
        <v>0.875</v>
      </c>
      <c r="AF1542" s="17"/>
      <c r="AG1542" s="17">
        <v>0</v>
      </c>
      <c r="AH1542" s="17">
        <v>0</v>
      </c>
      <c r="AI1542" s="44">
        <v>0.4</v>
      </c>
      <c r="AJ1542" s="44">
        <v>0.6</v>
      </c>
      <c r="AK1542" s="151">
        <v>0.6</v>
      </c>
      <c r="AL1542" s="151">
        <v>0.6</v>
      </c>
      <c r="AM1542" s="147">
        <f t="shared" si="61"/>
        <v>1.2</v>
      </c>
      <c r="AN1542" s="44" t="s">
        <v>321</v>
      </c>
      <c r="AO1542" s="18" t="s">
        <v>1066</v>
      </c>
      <c r="AP1542" t="s">
        <v>1035</v>
      </c>
      <c r="AQ1542"/>
      <c r="AR1542"/>
    </row>
    <row r="1543" spans="1:44" s="10" customFormat="1" x14ac:dyDescent="0.3">
      <c r="A1543" s="367" t="s">
        <v>8317</v>
      </c>
      <c r="B1543" s="10" t="s">
        <v>8318</v>
      </c>
      <c r="C1543" s="368" t="s">
        <v>8330</v>
      </c>
      <c r="D1543" s="10" t="s">
        <v>8331</v>
      </c>
      <c r="E1543" s="10" t="s">
        <v>8332</v>
      </c>
      <c r="F1543" s="10" t="s">
        <v>8333</v>
      </c>
      <c r="G1543" s="10" t="s">
        <v>8522</v>
      </c>
      <c r="H1543" s="10" t="s">
        <v>8523</v>
      </c>
      <c r="I1543" s="9"/>
      <c r="J1543" s="370"/>
      <c r="K1543" s="10" t="s">
        <v>8524</v>
      </c>
      <c r="L1543" s="10" t="s">
        <v>8525</v>
      </c>
      <c r="M1543" s="18"/>
      <c r="N1543" s="18"/>
      <c r="O1543" s="18"/>
      <c r="P1543" s="16"/>
      <c r="Q1543" s="16"/>
      <c r="R1543" s="16"/>
      <c r="S1543" s="16"/>
      <c r="U1543" t="e">
        <f>VLOOKUP(T1543,[8]Votes!$A$1:$E$234,3,FALSE)</f>
        <v>#N/A</v>
      </c>
      <c r="V1543" t="s">
        <v>8535</v>
      </c>
      <c r="W1543" s="369">
        <v>1</v>
      </c>
      <c r="X1543" s="369">
        <v>1</v>
      </c>
      <c r="Y1543" s="369">
        <v>1</v>
      </c>
      <c r="Z1543" s="369">
        <v>1</v>
      </c>
      <c r="AA1543" s="369">
        <v>1</v>
      </c>
      <c r="AB1543" s="369">
        <v>1</v>
      </c>
      <c r="AC1543" s="369">
        <v>1</v>
      </c>
      <c r="AD1543" s="369">
        <v>1</v>
      </c>
      <c r="AE1543" s="49">
        <f t="shared" si="62"/>
        <v>1</v>
      </c>
      <c r="AF1543" s="17"/>
      <c r="AG1543" s="17">
        <v>0</v>
      </c>
      <c r="AH1543" s="17">
        <v>0</v>
      </c>
      <c r="AI1543" s="44">
        <v>1.2</v>
      </c>
      <c r="AJ1543" s="44">
        <v>1.4</v>
      </c>
      <c r="AK1543" s="151">
        <v>1.4</v>
      </c>
      <c r="AL1543" s="151">
        <v>1.4</v>
      </c>
      <c r="AM1543" s="147">
        <f t="shared" si="61"/>
        <v>2.8</v>
      </c>
      <c r="AN1543" s="44" t="s">
        <v>1035</v>
      </c>
      <c r="AO1543" s="18" t="s">
        <v>1037</v>
      </c>
      <c r="AP1543" t="s">
        <v>3605</v>
      </c>
      <c r="AQ1543"/>
      <c r="AR1543"/>
    </row>
    <row r="1544" spans="1:44" s="10" customFormat="1" x14ac:dyDescent="0.3">
      <c r="A1544" s="367" t="s">
        <v>8317</v>
      </c>
      <c r="B1544" s="10" t="s">
        <v>8318</v>
      </c>
      <c r="C1544" s="368" t="s">
        <v>8330</v>
      </c>
      <c r="D1544" s="10" t="s">
        <v>8331</v>
      </c>
      <c r="E1544" s="10" t="s">
        <v>8332</v>
      </c>
      <c r="F1544" s="10" t="s">
        <v>8333</v>
      </c>
      <c r="G1544" s="10" t="s">
        <v>8522</v>
      </c>
      <c r="H1544" s="10" t="s">
        <v>8523</v>
      </c>
      <c r="I1544" s="9"/>
      <c r="J1544" s="370"/>
      <c r="K1544" s="10" t="s">
        <v>8524</v>
      </c>
      <c r="L1544" s="10" t="s">
        <v>8525</v>
      </c>
      <c r="M1544" s="18" t="s">
        <v>8536</v>
      </c>
      <c r="N1544" s="18">
        <v>2</v>
      </c>
      <c r="O1544" s="18"/>
      <c r="P1544" s="16">
        <v>4</v>
      </c>
      <c r="Q1544" s="16">
        <v>6</v>
      </c>
      <c r="R1544" s="16">
        <v>6</v>
      </c>
      <c r="S1544" s="16">
        <v>6</v>
      </c>
      <c r="T1544" s="10" t="s">
        <v>321</v>
      </c>
      <c r="U1544" t="str">
        <f>VLOOKUP(T1544,[8]Votes!$A$1:$E$234,3,FALSE)</f>
        <v>154 Uganda National Bureau of Standards</v>
      </c>
      <c r="V1544" t="s">
        <v>8537</v>
      </c>
      <c r="W1544" s="369">
        <v>1</v>
      </c>
      <c r="X1544" s="369">
        <v>1</v>
      </c>
      <c r="Y1544" s="369">
        <v>1</v>
      </c>
      <c r="Z1544" s="369">
        <v>0</v>
      </c>
      <c r="AA1544" s="369">
        <v>1</v>
      </c>
      <c r="AB1544" s="369">
        <v>1</v>
      </c>
      <c r="AC1544" s="369">
        <v>1</v>
      </c>
      <c r="AD1544" s="369">
        <v>1</v>
      </c>
      <c r="AE1544" s="49">
        <f t="shared" si="62"/>
        <v>0.875</v>
      </c>
      <c r="AF1544" s="17"/>
      <c r="AG1544" s="17">
        <v>0</v>
      </c>
      <c r="AH1544" s="17">
        <v>0</v>
      </c>
      <c r="AI1544" s="44">
        <v>0</v>
      </c>
      <c r="AJ1544" s="17">
        <v>0</v>
      </c>
      <c r="AK1544" s="153"/>
      <c r="AL1544" s="154"/>
      <c r="AM1544" s="147">
        <f t="shared" si="61"/>
        <v>0</v>
      </c>
      <c r="AN1544" s="44" t="s">
        <v>8409</v>
      </c>
      <c r="AO1544" s="18" t="s">
        <v>1037</v>
      </c>
      <c r="AP1544" t="s">
        <v>3605</v>
      </c>
      <c r="AQ1544"/>
      <c r="AR1544"/>
    </row>
    <row r="1545" spans="1:44" s="10" customFormat="1" x14ac:dyDescent="0.3">
      <c r="A1545" s="367" t="s">
        <v>8317</v>
      </c>
      <c r="B1545" s="10" t="s">
        <v>8318</v>
      </c>
      <c r="C1545" s="368" t="s">
        <v>8330</v>
      </c>
      <c r="D1545" s="10" t="s">
        <v>8331</v>
      </c>
      <c r="E1545" s="10" t="s">
        <v>8332</v>
      </c>
      <c r="F1545" s="10" t="s">
        <v>8333</v>
      </c>
      <c r="G1545" s="10" t="s">
        <v>8522</v>
      </c>
      <c r="H1545" s="10" t="s">
        <v>8523</v>
      </c>
      <c r="I1545" s="9"/>
      <c r="J1545" s="370"/>
      <c r="K1545" s="10" t="s">
        <v>8524</v>
      </c>
      <c r="L1545" s="10" t="s">
        <v>8525</v>
      </c>
      <c r="M1545" s="18" t="s">
        <v>8538</v>
      </c>
      <c r="N1545" s="18"/>
      <c r="O1545" s="18"/>
      <c r="P1545" s="16">
        <v>5</v>
      </c>
      <c r="Q1545" s="16">
        <v>3</v>
      </c>
      <c r="R1545" s="16">
        <v>1</v>
      </c>
      <c r="S1545" s="16">
        <v>2</v>
      </c>
      <c r="T1545" s="10" t="s">
        <v>321</v>
      </c>
      <c r="U1545" t="str">
        <f>VLOOKUP(T1545,[8]Votes!$A$1:$E$234,3,FALSE)</f>
        <v>154 Uganda National Bureau of Standards</v>
      </c>
      <c r="V1545" t="s">
        <v>8539</v>
      </c>
      <c r="W1545" s="369">
        <v>1</v>
      </c>
      <c r="X1545" s="369">
        <v>1</v>
      </c>
      <c r="Y1545" s="369">
        <v>1</v>
      </c>
      <c r="Z1545" s="369">
        <v>0</v>
      </c>
      <c r="AA1545" s="369">
        <v>1</v>
      </c>
      <c r="AB1545" s="369">
        <v>1</v>
      </c>
      <c r="AC1545" s="369">
        <v>1</v>
      </c>
      <c r="AD1545" s="369">
        <v>1</v>
      </c>
      <c r="AE1545" s="49">
        <f t="shared" si="62"/>
        <v>0.875</v>
      </c>
      <c r="AF1545" s="17"/>
      <c r="AG1545" s="17">
        <v>0</v>
      </c>
      <c r="AH1545" s="17">
        <v>0</v>
      </c>
      <c r="AI1545" s="44">
        <v>6</v>
      </c>
      <c r="AJ1545" s="44">
        <v>6</v>
      </c>
      <c r="AK1545" s="151"/>
      <c r="AL1545" s="151"/>
      <c r="AM1545" s="147">
        <f t="shared" si="61"/>
        <v>0</v>
      </c>
      <c r="AN1545" s="44" t="s">
        <v>1035</v>
      </c>
      <c r="AO1545" s="18" t="s">
        <v>1037</v>
      </c>
      <c r="AP1545" t="s">
        <v>8540</v>
      </c>
      <c r="AQ1545"/>
      <c r="AR1545"/>
    </row>
    <row r="1546" spans="1:44" s="10" customFormat="1" x14ac:dyDescent="0.3">
      <c r="A1546" s="367" t="s">
        <v>8317</v>
      </c>
      <c r="B1546" s="10" t="s">
        <v>8318</v>
      </c>
      <c r="C1546" s="368" t="s">
        <v>8330</v>
      </c>
      <c r="D1546" s="10" t="s">
        <v>8331</v>
      </c>
      <c r="E1546" s="10" t="s">
        <v>8332</v>
      </c>
      <c r="F1546" s="10" t="s">
        <v>8333</v>
      </c>
      <c r="G1546" s="10" t="s">
        <v>8522</v>
      </c>
      <c r="H1546" s="10" t="s">
        <v>8523</v>
      </c>
      <c r="I1546" s="9"/>
      <c r="J1546" s="370"/>
      <c r="K1546" s="10" t="s">
        <v>8524</v>
      </c>
      <c r="L1546" s="10" t="s">
        <v>8525</v>
      </c>
      <c r="M1546" s="18" t="s">
        <v>8541</v>
      </c>
      <c r="N1546" s="18"/>
      <c r="O1546" s="18"/>
      <c r="P1546" s="16">
        <v>5</v>
      </c>
      <c r="Q1546" s="16">
        <v>1</v>
      </c>
      <c r="R1546" s="16">
        <v>1</v>
      </c>
      <c r="S1546" s="16"/>
      <c r="T1546" s="10" t="s">
        <v>321</v>
      </c>
      <c r="U1546" t="str">
        <f>VLOOKUP(T1546,[8]Votes!$A$1:$E$234,3,FALSE)</f>
        <v>154 Uganda National Bureau of Standards</v>
      </c>
      <c r="V1546" t="s">
        <v>8542</v>
      </c>
      <c r="W1546" s="369">
        <v>1</v>
      </c>
      <c r="X1546" s="369">
        <v>0</v>
      </c>
      <c r="Y1546" s="369">
        <v>1</v>
      </c>
      <c r="Z1546" s="369">
        <v>1</v>
      </c>
      <c r="AA1546" s="369">
        <v>1</v>
      </c>
      <c r="AB1546" s="369">
        <v>0</v>
      </c>
      <c r="AC1546" s="369">
        <v>0</v>
      </c>
      <c r="AD1546" s="369">
        <v>1</v>
      </c>
      <c r="AE1546" s="49">
        <f t="shared" si="62"/>
        <v>0.625</v>
      </c>
      <c r="AF1546" s="17"/>
      <c r="AG1546" s="17">
        <v>0</v>
      </c>
      <c r="AH1546" s="17">
        <v>0</v>
      </c>
      <c r="AI1546" s="44">
        <v>3</v>
      </c>
      <c r="AJ1546" s="44">
        <v>1</v>
      </c>
      <c r="AK1546" s="153"/>
      <c r="AL1546" s="154"/>
      <c r="AM1546" s="147">
        <f t="shared" si="61"/>
        <v>0</v>
      </c>
      <c r="AN1546" s="44" t="s">
        <v>1035</v>
      </c>
      <c r="AO1546" s="18" t="s">
        <v>1037</v>
      </c>
      <c r="AP1546" t="s">
        <v>8543</v>
      </c>
      <c r="AQ1546"/>
      <c r="AR1546"/>
    </row>
    <row r="1547" spans="1:44" s="10" customFormat="1" x14ac:dyDescent="0.3">
      <c r="A1547" s="367" t="s">
        <v>8317</v>
      </c>
      <c r="B1547" s="10" t="s">
        <v>8318</v>
      </c>
      <c r="C1547" s="368" t="s">
        <v>8330</v>
      </c>
      <c r="D1547" s="10" t="s">
        <v>8331</v>
      </c>
      <c r="E1547" s="10" t="s">
        <v>8332</v>
      </c>
      <c r="F1547" s="10" t="s">
        <v>8333</v>
      </c>
      <c r="G1547" s="10" t="s">
        <v>8522</v>
      </c>
      <c r="H1547" s="10" t="s">
        <v>8523</v>
      </c>
      <c r="I1547" s="9"/>
      <c r="J1547" s="370"/>
      <c r="K1547" s="10" t="s">
        <v>8524</v>
      </c>
      <c r="L1547" s="10" t="s">
        <v>8525</v>
      </c>
      <c r="M1547" s="18" t="s">
        <v>8544</v>
      </c>
      <c r="N1547" s="18"/>
      <c r="O1547" s="18">
        <v>3</v>
      </c>
      <c r="P1547" s="16">
        <v>3</v>
      </c>
      <c r="Q1547" s="16">
        <v>3</v>
      </c>
      <c r="R1547" s="16">
        <v>3</v>
      </c>
      <c r="S1547" s="16">
        <v>3</v>
      </c>
      <c r="T1547" s="10" t="s">
        <v>321</v>
      </c>
      <c r="U1547" t="str">
        <f>VLOOKUP(T1547,[8]Votes!$A$1:$E$234,3,FALSE)</f>
        <v>154 Uganda National Bureau of Standards</v>
      </c>
      <c r="V1547" t="s">
        <v>8545</v>
      </c>
      <c r="W1547" s="369">
        <v>1</v>
      </c>
      <c r="X1547" s="369">
        <v>1</v>
      </c>
      <c r="Y1547" s="369">
        <v>1</v>
      </c>
      <c r="Z1547" s="369">
        <v>1</v>
      </c>
      <c r="AA1547" s="369">
        <v>1</v>
      </c>
      <c r="AB1547" s="369">
        <v>1</v>
      </c>
      <c r="AC1547" s="369">
        <v>1</v>
      </c>
      <c r="AD1547" s="369">
        <v>1</v>
      </c>
      <c r="AE1547" s="49">
        <f t="shared" si="62"/>
        <v>1</v>
      </c>
      <c r="AF1547" s="44"/>
      <c r="AG1547" s="17">
        <v>0</v>
      </c>
      <c r="AH1547" s="44">
        <v>2.8</v>
      </c>
      <c r="AI1547" s="44">
        <v>2.14</v>
      </c>
      <c r="AJ1547" s="44">
        <v>1.6</v>
      </c>
      <c r="AK1547" s="151"/>
      <c r="AL1547" s="151"/>
      <c r="AM1547" s="147">
        <f t="shared" si="61"/>
        <v>0</v>
      </c>
      <c r="AN1547" s="44" t="s">
        <v>1035</v>
      </c>
      <c r="AO1547" s="18" t="s">
        <v>1037</v>
      </c>
      <c r="AP1547" t="s">
        <v>8546</v>
      </c>
      <c r="AQ1547"/>
      <c r="AR1547"/>
    </row>
    <row r="1548" spans="1:44" s="10" customFormat="1" x14ac:dyDescent="0.3">
      <c r="A1548" s="367" t="s">
        <v>8317</v>
      </c>
      <c r="B1548" s="10" t="s">
        <v>8318</v>
      </c>
      <c r="C1548" s="368" t="s">
        <v>8330</v>
      </c>
      <c r="D1548" s="10" t="s">
        <v>8331</v>
      </c>
      <c r="E1548" s="10" t="s">
        <v>8332</v>
      </c>
      <c r="F1548" s="10" t="s">
        <v>8333</v>
      </c>
      <c r="G1548" s="10" t="s">
        <v>8547</v>
      </c>
      <c r="H1548" s="10" t="s">
        <v>8548</v>
      </c>
      <c r="I1548" s="9"/>
      <c r="J1548" s="370"/>
      <c r="K1548" s="10" t="s">
        <v>8549</v>
      </c>
      <c r="L1548" s="10" t="s">
        <v>8550</v>
      </c>
      <c r="M1548" s="18" t="s">
        <v>8551</v>
      </c>
      <c r="N1548" s="18">
        <v>2</v>
      </c>
      <c r="O1548" s="18">
        <v>2</v>
      </c>
      <c r="P1548" s="16">
        <v>2</v>
      </c>
      <c r="Q1548" s="16">
        <v>0</v>
      </c>
      <c r="R1548" s="16">
        <v>0</v>
      </c>
      <c r="S1548" s="16">
        <v>0</v>
      </c>
      <c r="T1548" s="10" t="s">
        <v>1035</v>
      </c>
      <c r="U1548" t="str">
        <f>VLOOKUP(T1548,[8]Votes!$A$1:$E$234,3,FALSE)</f>
        <v>017 Ministry of Energy and Mineral Development</v>
      </c>
      <c r="V1548" t="s">
        <v>8552</v>
      </c>
      <c r="W1548" s="369">
        <v>1</v>
      </c>
      <c r="X1548" s="369">
        <v>1</v>
      </c>
      <c r="Y1548" s="369">
        <v>1</v>
      </c>
      <c r="Z1548" s="369">
        <v>0</v>
      </c>
      <c r="AA1548" s="369">
        <v>1</v>
      </c>
      <c r="AB1548" s="369">
        <v>1</v>
      </c>
      <c r="AC1548" s="369">
        <v>1</v>
      </c>
      <c r="AD1548" s="369">
        <v>1</v>
      </c>
      <c r="AE1548" s="49">
        <f t="shared" si="62"/>
        <v>0.875</v>
      </c>
      <c r="AF1548" s="17"/>
      <c r="AG1548" s="17">
        <v>0</v>
      </c>
      <c r="AH1548" s="17">
        <v>0</v>
      </c>
      <c r="AI1548" s="44">
        <v>0.2</v>
      </c>
      <c r="AJ1548" s="17">
        <v>0</v>
      </c>
      <c r="AK1548" s="153"/>
      <c r="AL1548" s="154"/>
      <c r="AM1548" s="147">
        <f t="shared" si="61"/>
        <v>0</v>
      </c>
      <c r="AN1548" s="44" t="s">
        <v>1035</v>
      </c>
      <c r="AO1548" s="18" t="s">
        <v>1037</v>
      </c>
      <c r="AP1548" t="s">
        <v>8436</v>
      </c>
    </row>
    <row r="1549" spans="1:44" s="10" customFormat="1" x14ac:dyDescent="0.3">
      <c r="A1549" s="367" t="s">
        <v>8317</v>
      </c>
      <c r="B1549" s="10" t="s">
        <v>8318</v>
      </c>
      <c r="C1549" s="368" t="s">
        <v>8330</v>
      </c>
      <c r="D1549" s="10" t="s">
        <v>8331</v>
      </c>
      <c r="E1549" s="10" t="s">
        <v>8332</v>
      </c>
      <c r="F1549" s="10" t="s">
        <v>8333</v>
      </c>
      <c r="G1549" s="10" t="s">
        <v>8547</v>
      </c>
      <c r="H1549" s="10" t="s">
        <v>8548</v>
      </c>
      <c r="I1549" s="9"/>
      <c r="J1549" s="370"/>
      <c r="K1549" s="10" t="s">
        <v>8549</v>
      </c>
      <c r="L1549" s="10" t="s">
        <v>8550</v>
      </c>
      <c r="M1549" s="18"/>
      <c r="N1549" s="18"/>
      <c r="O1549" s="18"/>
      <c r="P1549" s="16"/>
      <c r="Q1549" s="16"/>
      <c r="R1549" s="16"/>
      <c r="S1549" s="16"/>
      <c r="U1549" t="e">
        <f>VLOOKUP(T1549,[8]Votes!$A$1:$E$234,3,FALSE)</f>
        <v>#N/A</v>
      </c>
      <c r="V1549" t="s">
        <v>8553</v>
      </c>
      <c r="W1549" s="369">
        <v>1</v>
      </c>
      <c r="X1549" s="369">
        <v>1</v>
      </c>
      <c r="Y1549" s="369">
        <v>1</v>
      </c>
      <c r="Z1549" s="369">
        <v>1</v>
      </c>
      <c r="AA1549" s="369">
        <v>0</v>
      </c>
      <c r="AB1549" s="369">
        <v>1</v>
      </c>
      <c r="AC1549" s="369">
        <v>0</v>
      </c>
      <c r="AD1549" s="369">
        <v>1</v>
      </c>
      <c r="AE1549" s="49">
        <f t="shared" si="62"/>
        <v>0.75</v>
      </c>
      <c r="AF1549" s="17"/>
      <c r="AG1549" s="17">
        <v>0</v>
      </c>
      <c r="AH1549" s="17">
        <v>0</v>
      </c>
      <c r="AI1549" s="44">
        <v>1.181</v>
      </c>
      <c r="AJ1549" s="44">
        <v>1.181</v>
      </c>
      <c r="AK1549" s="151">
        <v>1.181</v>
      </c>
      <c r="AL1549" s="151">
        <v>1.181</v>
      </c>
      <c r="AM1549" s="147">
        <f t="shared" si="61"/>
        <v>2.3620000000000001</v>
      </c>
      <c r="AN1549" s="44" t="s">
        <v>1446</v>
      </c>
      <c r="AO1549" s="18" t="s">
        <v>3715</v>
      </c>
      <c r="AP1549" t="s">
        <v>8445</v>
      </c>
    </row>
    <row r="1550" spans="1:44" s="10" customFormat="1" x14ac:dyDescent="0.3">
      <c r="A1550" s="367" t="s">
        <v>8317</v>
      </c>
      <c r="B1550" s="10" t="s">
        <v>8318</v>
      </c>
      <c r="C1550" s="368" t="s">
        <v>8330</v>
      </c>
      <c r="D1550" s="10" t="s">
        <v>8331</v>
      </c>
      <c r="E1550" s="10" t="s">
        <v>8332</v>
      </c>
      <c r="F1550" s="10" t="s">
        <v>8333</v>
      </c>
      <c r="G1550" s="10" t="s">
        <v>8547</v>
      </c>
      <c r="H1550" s="10" t="s">
        <v>8548</v>
      </c>
      <c r="I1550" s="9"/>
      <c r="J1550" s="370"/>
      <c r="K1550" s="10" t="s">
        <v>8549</v>
      </c>
      <c r="L1550" s="10" t="s">
        <v>8550</v>
      </c>
      <c r="M1550" s="18"/>
      <c r="N1550" s="18"/>
      <c r="O1550" s="18"/>
      <c r="P1550" s="16"/>
      <c r="Q1550" s="16"/>
      <c r="R1550" s="16"/>
      <c r="S1550" s="16"/>
      <c r="U1550" t="e">
        <f>VLOOKUP(T1550,[8]Votes!$A$1:$E$234,3,FALSE)</f>
        <v>#N/A</v>
      </c>
      <c r="V1550" t="s">
        <v>8554</v>
      </c>
      <c r="W1550" s="369">
        <v>1</v>
      </c>
      <c r="X1550" s="369">
        <v>0</v>
      </c>
      <c r="Y1550" s="369">
        <v>1</v>
      </c>
      <c r="Z1550" s="369">
        <v>0</v>
      </c>
      <c r="AA1550" s="369">
        <v>0</v>
      </c>
      <c r="AB1550" s="369">
        <v>1</v>
      </c>
      <c r="AC1550" s="369">
        <v>0</v>
      </c>
      <c r="AD1550" s="369">
        <v>0</v>
      </c>
      <c r="AE1550" s="49">
        <f t="shared" si="62"/>
        <v>0.375</v>
      </c>
      <c r="AF1550" s="44"/>
      <c r="AG1550" s="17">
        <v>0</v>
      </c>
      <c r="AH1550" s="44">
        <v>0.2</v>
      </c>
      <c r="AI1550" s="44">
        <v>0.31</v>
      </c>
      <c r="AJ1550" s="44">
        <v>0.56000000000000005</v>
      </c>
      <c r="AK1550" s="151"/>
      <c r="AL1550" s="151"/>
      <c r="AM1550" s="147">
        <f t="shared" si="61"/>
        <v>0</v>
      </c>
      <c r="AN1550" s="44" t="s">
        <v>8555</v>
      </c>
      <c r="AO1550" s="18" t="s">
        <v>1037</v>
      </c>
      <c r="AP1550" t="s">
        <v>8556</v>
      </c>
      <c r="AQ1550"/>
    </row>
    <row r="1551" spans="1:44" s="10" customFormat="1" x14ac:dyDescent="0.3">
      <c r="A1551" s="367" t="s">
        <v>8317</v>
      </c>
      <c r="B1551" s="10" t="s">
        <v>8318</v>
      </c>
      <c r="C1551" s="368" t="s">
        <v>8330</v>
      </c>
      <c r="D1551" s="10" t="s">
        <v>8331</v>
      </c>
      <c r="E1551" s="10" t="s">
        <v>8332</v>
      </c>
      <c r="F1551" s="10" t="s">
        <v>8333</v>
      </c>
      <c r="G1551" s="10" t="s">
        <v>8547</v>
      </c>
      <c r="H1551" s="10" t="s">
        <v>8548</v>
      </c>
      <c r="I1551" s="9"/>
      <c r="J1551" s="370"/>
      <c r="K1551" s="10" t="s">
        <v>8549</v>
      </c>
      <c r="L1551" s="10" t="s">
        <v>8557</v>
      </c>
      <c r="M1551" s="18" t="s">
        <v>8558</v>
      </c>
      <c r="N1551" s="18"/>
      <c r="O1551" s="18"/>
      <c r="P1551" s="16"/>
      <c r="Q1551" s="16">
        <v>1</v>
      </c>
      <c r="R1551" s="16"/>
      <c r="S1551" s="16"/>
      <c r="T1551" t="s">
        <v>8559</v>
      </c>
      <c r="U1551" t="e">
        <f>VLOOKUP(T1551,[8]Votes!$A$1:$E$234,3,FALSE)</f>
        <v>#N/A</v>
      </c>
      <c r="V1551" t="s">
        <v>8560</v>
      </c>
      <c r="W1551" s="369">
        <v>0</v>
      </c>
      <c r="X1551" s="369">
        <v>0</v>
      </c>
      <c r="Y1551" s="369">
        <v>0</v>
      </c>
      <c r="Z1551" s="369">
        <v>1</v>
      </c>
      <c r="AA1551" s="369">
        <v>1</v>
      </c>
      <c r="AB1551" s="369">
        <v>0</v>
      </c>
      <c r="AC1551" s="369">
        <v>0</v>
      </c>
      <c r="AD1551" s="369">
        <v>1</v>
      </c>
      <c r="AE1551" s="49">
        <f t="shared" si="62"/>
        <v>0.375</v>
      </c>
      <c r="AF1551" s="17"/>
      <c r="AG1551" s="17">
        <v>0</v>
      </c>
      <c r="AH1551" s="17">
        <v>0</v>
      </c>
      <c r="AI1551" s="17">
        <v>0</v>
      </c>
      <c r="AJ1551" s="17">
        <v>0</v>
      </c>
      <c r="AK1551" s="153">
        <v>0</v>
      </c>
      <c r="AL1551" s="154">
        <v>0</v>
      </c>
      <c r="AM1551" s="147">
        <f t="shared" si="61"/>
        <v>0</v>
      </c>
      <c r="AN1551" s="44" t="s">
        <v>8555</v>
      </c>
      <c r="AO1551" s="18" t="s">
        <v>1037</v>
      </c>
      <c r="AP1551" t="s">
        <v>1035</v>
      </c>
      <c r="AQ1551"/>
    </row>
    <row r="1552" spans="1:44" s="10" customFormat="1" x14ac:dyDescent="0.3">
      <c r="A1552" s="367" t="s">
        <v>8317</v>
      </c>
      <c r="B1552" s="10" t="s">
        <v>8318</v>
      </c>
      <c r="C1552" s="368" t="s">
        <v>8330</v>
      </c>
      <c r="D1552" s="10" t="s">
        <v>8331</v>
      </c>
      <c r="E1552" s="10" t="s">
        <v>8332</v>
      </c>
      <c r="F1552" s="10" t="s">
        <v>8333</v>
      </c>
      <c r="G1552" s="10" t="s">
        <v>8547</v>
      </c>
      <c r="H1552" s="10" t="s">
        <v>8548</v>
      </c>
      <c r="I1552" s="9"/>
      <c r="J1552" s="370"/>
      <c r="K1552" s="10" t="s">
        <v>8549</v>
      </c>
      <c r="L1552" s="10" t="s">
        <v>8557</v>
      </c>
      <c r="M1552" s="18"/>
      <c r="N1552" s="18"/>
      <c r="O1552" s="18"/>
      <c r="P1552" s="16"/>
      <c r="Q1552" s="16"/>
      <c r="R1552" s="16"/>
      <c r="S1552" s="16"/>
      <c r="U1552" t="e">
        <f>VLOOKUP(T1552,[8]Votes!$A$1:$E$234,3,FALSE)</f>
        <v>#N/A</v>
      </c>
      <c r="V1552" t="s">
        <v>8561</v>
      </c>
      <c r="W1552" s="369">
        <v>1</v>
      </c>
      <c r="X1552" s="369">
        <v>1</v>
      </c>
      <c r="Y1552" s="369">
        <v>0</v>
      </c>
      <c r="Z1552" s="369">
        <v>0</v>
      </c>
      <c r="AA1552" s="369">
        <v>1</v>
      </c>
      <c r="AB1552" s="369">
        <v>1</v>
      </c>
      <c r="AC1552" s="369">
        <v>0</v>
      </c>
      <c r="AD1552" s="369">
        <v>1</v>
      </c>
      <c r="AE1552" s="49">
        <f t="shared" si="62"/>
        <v>0.625</v>
      </c>
      <c r="AF1552" s="17"/>
      <c r="AG1552" s="17">
        <v>0</v>
      </c>
      <c r="AH1552" s="17">
        <v>0</v>
      </c>
      <c r="AI1552" s="17">
        <v>0</v>
      </c>
      <c r="AJ1552" s="17">
        <v>0</v>
      </c>
      <c r="AK1552" s="153">
        <v>1</v>
      </c>
      <c r="AL1552" s="154">
        <v>1</v>
      </c>
      <c r="AM1552" s="147">
        <f t="shared" si="61"/>
        <v>2</v>
      </c>
      <c r="AN1552" s="44" t="s">
        <v>8555</v>
      </c>
      <c r="AO1552" s="18" t="s">
        <v>1037</v>
      </c>
      <c r="AP1552" t="s">
        <v>8445</v>
      </c>
      <c r="AQ1552"/>
    </row>
    <row r="1553" spans="1:43" s="10" customFormat="1" x14ac:dyDescent="0.3">
      <c r="A1553" s="367" t="s">
        <v>8317</v>
      </c>
      <c r="B1553" s="10" t="s">
        <v>8318</v>
      </c>
      <c r="C1553" s="368" t="s">
        <v>8330</v>
      </c>
      <c r="D1553" s="10" t="s">
        <v>8331</v>
      </c>
      <c r="E1553" s="10" t="s">
        <v>8332</v>
      </c>
      <c r="F1553" s="10" t="s">
        <v>8333</v>
      </c>
      <c r="G1553" s="10" t="s">
        <v>8547</v>
      </c>
      <c r="H1553" s="10" t="s">
        <v>8548</v>
      </c>
      <c r="I1553" s="9"/>
      <c r="J1553" s="370"/>
      <c r="K1553" s="10" t="s">
        <v>8549</v>
      </c>
      <c r="L1553" s="10" t="s">
        <v>8557</v>
      </c>
      <c r="M1553" s="18"/>
      <c r="N1553" s="18"/>
      <c r="O1553" s="18"/>
      <c r="P1553" s="16"/>
      <c r="Q1553" s="16"/>
      <c r="R1553" s="16"/>
      <c r="S1553" s="16"/>
      <c r="U1553" t="e">
        <f>VLOOKUP(T1553,[8]Votes!$A$1:$E$234,3,FALSE)</f>
        <v>#N/A</v>
      </c>
      <c r="V1553" t="s">
        <v>8562</v>
      </c>
      <c r="W1553" s="369">
        <v>1</v>
      </c>
      <c r="X1553" s="369">
        <v>1</v>
      </c>
      <c r="Y1553" s="369">
        <v>1</v>
      </c>
      <c r="Z1553" s="369">
        <v>1</v>
      </c>
      <c r="AA1553" s="369">
        <v>0</v>
      </c>
      <c r="AB1553" s="369">
        <v>1</v>
      </c>
      <c r="AC1553" s="369">
        <v>0</v>
      </c>
      <c r="AD1553" s="369">
        <v>1</v>
      </c>
      <c r="AE1553" s="49">
        <f t="shared" si="62"/>
        <v>0.75</v>
      </c>
      <c r="AF1553" s="17"/>
      <c r="AG1553" s="17">
        <v>0</v>
      </c>
      <c r="AH1553" s="17">
        <v>0</v>
      </c>
      <c r="AI1553" s="17">
        <v>0</v>
      </c>
      <c r="AJ1553" s="17">
        <v>0</v>
      </c>
      <c r="AK1553" s="153">
        <v>1</v>
      </c>
      <c r="AL1553" s="154">
        <v>1</v>
      </c>
      <c r="AM1553" s="147">
        <f t="shared" si="61"/>
        <v>2</v>
      </c>
      <c r="AN1553" s="44" t="s">
        <v>8555</v>
      </c>
      <c r="AO1553" s="18" t="s">
        <v>1037</v>
      </c>
      <c r="AP1553" t="s">
        <v>8563</v>
      </c>
      <c r="AQ1553"/>
    </row>
    <row r="1554" spans="1:43" s="10" customFormat="1" x14ac:dyDescent="0.3">
      <c r="A1554" s="367" t="s">
        <v>8317</v>
      </c>
      <c r="B1554" s="10" t="s">
        <v>8318</v>
      </c>
      <c r="C1554" s="368" t="s">
        <v>8330</v>
      </c>
      <c r="D1554" s="10" t="s">
        <v>8331</v>
      </c>
      <c r="E1554" s="10" t="s">
        <v>8332</v>
      </c>
      <c r="F1554" s="10" t="s">
        <v>8333</v>
      </c>
      <c r="G1554" s="10" t="s">
        <v>8547</v>
      </c>
      <c r="H1554" s="10" t="s">
        <v>8548</v>
      </c>
      <c r="I1554" s="9"/>
      <c r="J1554" s="370"/>
      <c r="K1554" s="10" t="s">
        <v>8549</v>
      </c>
      <c r="L1554" s="10" t="s">
        <v>8557</v>
      </c>
      <c r="M1554" s="18"/>
      <c r="N1554" s="18"/>
      <c r="O1554" s="18"/>
      <c r="P1554" s="16"/>
      <c r="Q1554" s="16"/>
      <c r="R1554" s="16"/>
      <c r="S1554" s="16"/>
      <c r="U1554" t="e">
        <f>VLOOKUP(T1554,[8]Votes!$A$1:$E$234,3,FALSE)</f>
        <v>#N/A</v>
      </c>
      <c r="V1554" t="s">
        <v>8564</v>
      </c>
      <c r="W1554" s="369">
        <v>1</v>
      </c>
      <c r="X1554" s="369">
        <v>0</v>
      </c>
      <c r="Y1554" s="369">
        <v>1</v>
      </c>
      <c r="Z1554" s="369">
        <v>0</v>
      </c>
      <c r="AA1554" s="369">
        <v>1</v>
      </c>
      <c r="AB1554" s="369">
        <v>0</v>
      </c>
      <c r="AC1554" s="369">
        <v>0</v>
      </c>
      <c r="AD1554" s="369">
        <v>1</v>
      </c>
      <c r="AE1554" s="49">
        <f t="shared" si="62"/>
        <v>0.5</v>
      </c>
      <c r="AF1554" s="44"/>
      <c r="AG1554" s="17">
        <v>0</v>
      </c>
      <c r="AH1554" s="44">
        <v>0</v>
      </c>
      <c r="AI1554" s="44">
        <v>3</v>
      </c>
      <c r="AJ1554" s="44">
        <v>3</v>
      </c>
      <c r="AK1554" s="151">
        <v>3</v>
      </c>
      <c r="AL1554" s="151">
        <v>3</v>
      </c>
      <c r="AM1554" s="147">
        <f t="shared" si="61"/>
        <v>6</v>
      </c>
      <c r="AN1554" s="44" t="s">
        <v>8555</v>
      </c>
      <c r="AO1554" s="18" t="s">
        <v>1037</v>
      </c>
      <c r="AP1554" t="s">
        <v>8445</v>
      </c>
      <c r="AQ1554"/>
    </row>
    <row r="1555" spans="1:43" s="10" customFormat="1" x14ac:dyDescent="0.3">
      <c r="A1555" s="367" t="s">
        <v>8317</v>
      </c>
      <c r="B1555" s="10" t="s">
        <v>8318</v>
      </c>
      <c r="C1555" s="368" t="s">
        <v>8330</v>
      </c>
      <c r="D1555" s="10" t="s">
        <v>8331</v>
      </c>
      <c r="E1555" s="10" t="s">
        <v>8332</v>
      </c>
      <c r="F1555" s="10" t="s">
        <v>8333</v>
      </c>
      <c r="G1555" s="10" t="s">
        <v>8547</v>
      </c>
      <c r="H1555" s="10" t="s">
        <v>8548</v>
      </c>
      <c r="I1555" s="9"/>
      <c r="J1555" s="370"/>
      <c r="K1555" s="10" t="s">
        <v>8549</v>
      </c>
      <c r="L1555" s="10" t="s">
        <v>8557</v>
      </c>
      <c r="M1555" s="18"/>
      <c r="N1555" s="18"/>
      <c r="O1555" s="18"/>
      <c r="P1555" s="16"/>
      <c r="Q1555" s="16"/>
      <c r="R1555" s="16"/>
      <c r="S1555" s="16"/>
      <c r="U1555" t="e">
        <f>VLOOKUP(T1555,[8]Votes!$A$1:$E$234,3,FALSE)</f>
        <v>#N/A</v>
      </c>
      <c r="V1555" t="s">
        <v>8565</v>
      </c>
      <c r="W1555" s="369">
        <v>1</v>
      </c>
      <c r="X1555" s="369">
        <v>1</v>
      </c>
      <c r="Y1555" s="369">
        <v>1</v>
      </c>
      <c r="Z1555" s="369">
        <v>1</v>
      </c>
      <c r="AA1555" s="369">
        <v>1</v>
      </c>
      <c r="AB1555" s="369">
        <v>1</v>
      </c>
      <c r="AC1555" s="369">
        <v>1</v>
      </c>
      <c r="AD1555" s="369">
        <v>1</v>
      </c>
      <c r="AE1555" s="49">
        <f t="shared" si="62"/>
        <v>1</v>
      </c>
      <c r="AF1555" s="17"/>
      <c r="AG1555" s="17">
        <v>0</v>
      </c>
      <c r="AH1555" s="17">
        <v>0</v>
      </c>
      <c r="AI1555" s="17">
        <v>0</v>
      </c>
      <c r="AJ1555" s="17">
        <v>0</v>
      </c>
      <c r="AK1555" s="153">
        <v>0.5</v>
      </c>
      <c r="AL1555" s="154">
        <v>0.5</v>
      </c>
      <c r="AM1555" s="147">
        <f t="shared" si="61"/>
        <v>1</v>
      </c>
      <c r="AN1555" s="44" t="s">
        <v>8555</v>
      </c>
      <c r="AO1555" s="18" t="s">
        <v>1037</v>
      </c>
      <c r="AP1555" t="s">
        <v>8566</v>
      </c>
      <c r="AQ1555"/>
    </row>
    <row r="1556" spans="1:43" s="10" customFormat="1" x14ac:dyDescent="0.3">
      <c r="A1556" s="367" t="s">
        <v>8317</v>
      </c>
      <c r="B1556" s="10" t="s">
        <v>8318</v>
      </c>
      <c r="C1556" s="368" t="s">
        <v>8330</v>
      </c>
      <c r="D1556" s="10" t="s">
        <v>8331</v>
      </c>
      <c r="E1556" s="10" t="s">
        <v>8332</v>
      </c>
      <c r="F1556" s="10" t="s">
        <v>8333</v>
      </c>
      <c r="G1556" s="10" t="s">
        <v>8547</v>
      </c>
      <c r="H1556" s="10" t="s">
        <v>8548</v>
      </c>
      <c r="I1556" s="9"/>
      <c r="J1556" s="370"/>
      <c r="K1556" s="10" t="s">
        <v>8549</v>
      </c>
      <c r="L1556" s="10" t="s">
        <v>8557</v>
      </c>
      <c r="M1556" s="18"/>
      <c r="N1556" s="18"/>
      <c r="O1556" s="18"/>
      <c r="P1556" s="16"/>
      <c r="Q1556" s="16"/>
      <c r="R1556" s="16"/>
      <c r="S1556" s="16"/>
      <c r="U1556" t="e">
        <f>VLOOKUP(T1556,[8]Votes!$A$1:$E$234,3,FALSE)</f>
        <v>#N/A</v>
      </c>
      <c r="V1556" t="s">
        <v>8567</v>
      </c>
      <c r="W1556" s="369">
        <v>1</v>
      </c>
      <c r="X1556" s="369">
        <v>1</v>
      </c>
      <c r="Y1556" s="369">
        <v>1</v>
      </c>
      <c r="Z1556" s="369">
        <v>1</v>
      </c>
      <c r="AA1556" s="369">
        <v>0</v>
      </c>
      <c r="AB1556" s="369">
        <v>1</v>
      </c>
      <c r="AC1556" s="369">
        <v>0</v>
      </c>
      <c r="AD1556" s="369">
        <v>1</v>
      </c>
      <c r="AE1556" s="49">
        <f t="shared" si="62"/>
        <v>0.75</v>
      </c>
      <c r="AF1556" s="17"/>
      <c r="AG1556" s="17">
        <v>0</v>
      </c>
      <c r="AH1556" s="17">
        <v>0</v>
      </c>
      <c r="AI1556" s="17">
        <v>0</v>
      </c>
      <c r="AJ1556" s="17">
        <v>0</v>
      </c>
      <c r="AK1556" s="153">
        <v>0.5</v>
      </c>
      <c r="AL1556" s="154">
        <v>0.5</v>
      </c>
      <c r="AM1556" s="147">
        <f t="shared" si="61"/>
        <v>1</v>
      </c>
      <c r="AN1556" s="44" t="s">
        <v>8555</v>
      </c>
      <c r="AO1556" s="18" t="s">
        <v>1037</v>
      </c>
      <c r="AP1556" t="s">
        <v>8568</v>
      </c>
      <c r="AQ1556"/>
    </row>
    <row r="1557" spans="1:43" s="10" customFormat="1" x14ac:dyDescent="0.3">
      <c r="A1557" s="367" t="s">
        <v>8317</v>
      </c>
      <c r="B1557" s="10" t="s">
        <v>8318</v>
      </c>
      <c r="C1557" s="368" t="s">
        <v>8330</v>
      </c>
      <c r="D1557" s="10" t="s">
        <v>8331</v>
      </c>
      <c r="E1557" s="10" t="s">
        <v>8332</v>
      </c>
      <c r="F1557" s="10" t="s">
        <v>8333</v>
      </c>
      <c r="G1557" s="10" t="s">
        <v>8547</v>
      </c>
      <c r="H1557" s="10" t="s">
        <v>8548</v>
      </c>
      <c r="I1557" s="9"/>
      <c r="J1557" s="370"/>
      <c r="K1557" s="10" t="s">
        <v>8549</v>
      </c>
      <c r="L1557" s="10" t="s">
        <v>8569</v>
      </c>
      <c r="M1557" s="18" t="s">
        <v>8570</v>
      </c>
      <c r="N1557" s="18"/>
      <c r="O1557" s="18"/>
      <c r="P1557" s="16">
        <v>1</v>
      </c>
      <c r="Q1557" s="16">
        <v>1</v>
      </c>
      <c r="R1557" s="16">
        <v>1</v>
      </c>
      <c r="S1557" s="16"/>
      <c r="U1557" t="e">
        <f>VLOOKUP(T1557,[8]Votes!$A$1:$E$234,3,FALSE)</f>
        <v>#N/A</v>
      </c>
      <c r="V1557" t="s">
        <v>8571</v>
      </c>
      <c r="W1557" s="369">
        <v>1</v>
      </c>
      <c r="X1557" s="369">
        <v>0</v>
      </c>
      <c r="Y1557" s="369">
        <v>0</v>
      </c>
      <c r="Z1557" s="369">
        <v>1</v>
      </c>
      <c r="AA1557" s="369">
        <v>1</v>
      </c>
      <c r="AB1557" s="369">
        <v>0</v>
      </c>
      <c r="AC1557" s="369">
        <v>0</v>
      </c>
      <c r="AD1557" s="369">
        <v>1</v>
      </c>
      <c r="AE1557" s="49">
        <f t="shared" si="62"/>
        <v>0.5</v>
      </c>
      <c r="AF1557" s="17"/>
      <c r="AG1557" s="17">
        <v>0</v>
      </c>
      <c r="AH1557" s="17">
        <v>0</v>
      </c>
      <c r="AI1557" s="17">
        <v>0</v>
      </c>
      <c r="AJ1557" s="17">
        <v>0</v>
      </c>
      <c r="AK1557" s="153"/>
      <c r="AL1557" s="154"/>
      <c r="AM1557" s="147">
        <f t="shared" si="61"/>
        <v>0</v>
      </c>
      <c r="AN1557" s="44" t="s">
        <v>1035</v>
      </c>
      <c r="AO1557" s="18" t="s">
        <v>1037</v>
      </c>
      <c r="AP1557" t="s">
        <v>8572</v>
      </c>
      <c r="AQ1557"/>
    </row>
    <row r="1558" spans="1:43" s="10" customFormat="1" x14ac:dyDescent="0.3">
      <c r="A1558" s="367" t="s">
        <v>8317</v>
      </c>
      <c r="B1558" s="10" t="s">
        <v>8318</v>
      </c>
      <c r="C1558" s="368" t="s">
        <v>8330</v>
      </c>
      <c r="D1558" s="10" t="s">
        <v>8331</v>
      </c>
      <c r="E1558" s="10" t="s">
        <v>8332</v>
      </c>
      <c r="F1558" s="10" t="s">
        <v>8333</v>
      </c>
      <c r="G1558" s="10" t="s">
        <v>8547</v>
      </c>
      <c r="H1558" s="10" t="s">
        <v>8548</v>
      </c>
      <c r="I1558" s="9"/>
      <c r="J1558" s="370"/>
      <c r="K1558" s="10" t="s">
        <v>8549</v>
      </c>
      <c r="L1558" s="10" t="s">
        <v>8569</v>
      </c>
      <c r="M1558" s="18"/>
      <c r="N1558" s="18"/>
      <c r="O1558" s="18"/>
      <c r="P1558" s="16"/>
      <c r="Q1558" s="16"/>
      <c r="R1558" s="16"/>
      <c r="S1558" s="16"/>
      <c r="U1558" t="e">
        <f>VLOOKUP(T1558,[8]Votes!$A$1:$E$234,3,FALSE)</f>
        <v>#N/A</v>
      </c>
      <c r="V1558" t="s">
        <v>8573</v>
      </c>
      <c r="W1558" s="369">
        <v>1</v>
      </c>
      <c r="X1558" s="369">
        <v>0</v>
      </c>
      <c r="Y1558" s="369">
        <v>0</v>
      </c>
      <c r="Z1558" s="369">
        <v>1</v>
      </c>
      <c r="AA1558" s="369">
        <v>1</v>
      </c>
      <c r="AB1558" s="369">
        <v>1</v>
      </c>
      <c r="AC1558" s="369">
        <v>0</v>
      </c>
      <c r="AD1558" s="369">
        <v>1</v>
      </c>
      <c r="AE1558" s="49">
        <f t="shared" si="62"/>
        <v>0.625</v>
      </c>
      <c r="AF1558" s="17"/>
      <c r="AG1558" s="17">
        <v>0</v>
      </c>
      <c r="AH1558" s="17">
        <v>0</v>
      </c>
      <c r="AI1558" s="17">
        <v>0</v>
      </c>
      <c r="AJ1558" s="17">
        <v>0</v>
      </c>
      <c r="AK1558" s="153"/>
      <c r="AL1558" s="154"/>
      <c r="AM1558" s="147">
        <f t="shared" si="61"/>
        <v>0</v>
      </c>
      <c r="AN1558" s="44" t="s">
        <v>1035</v>
      </c>
      <c r="AO1558" s="18" t="s">
        <v>1037</v>
      </c>
      <c r="AP1558" t="s">
        <v>8572</v>
      </c>
      <c r="AQ1558"/>
    </row>
    <row r="1559" spans="1:43" s="10" customFormat="1" x14ac:dyDescent="0.3">
      <c r="A1559" s="367" t="s">
        <v>8317</v>
      </c>
      <c r="B1559" s="10" t="s">
        <v>8318</v>
      </c>
      <c r="C1559" s="368" t="s">
        <v>8330</v>
      </c>
      <c r="D1559" s="10" t="s">
        <v>8331</v>
      </c>
      <c r="E1559" s="10" t="s">
        <v>8332</v>
      </c>
      <c r="F1559" s="10" t="s">
        <v>8333</v>
      </c>
      <c r="G1559" s="10" t="s">
        <v>8547</v>
      </c>
      <c r="H1559" s="10" t="s">
        <v>8548</v>
      </c>
      <c r="I1559" s="9"/>
      <c r="J1559" s="370"/>
      <c r="K1559" s="10" t="s">
        <v>8549</v>
      </c>
      <c r="L1559" s="10" t="s">
        <v>8569</v>
      </c>
      <c r="M1559" s="18"/>
      <c r="N1559" s="18"/>
      <c r="O1559" s="18"/>
      <c r="P1559" s="16"/>
      <c r="Q1559" s="16"/>
      <c r="R1559" s="16"/>
      <c r="S1559" s="16"/>
      <c r="U1559" t="e">
        <f>VLOOKUP(T1559,[8]Votes!$A$1:$E$234,3,FALSE)</f>
        <v>#N/A</v>
      </c>
      <c r="V1559" t="s">
        <v>8574</v>
      </c>
      <c r="W1559" s="369">
        <v>1</v>
      </c>
      <c r="X1559" s="369">
        <v>1</v>
      </c>
      <c r="Y1559" s="369">
        <v>1</v>
      </c>
      <c r="Z1559" s="369">
        <v>1</v>
      </c>
      <c r="AA1559" s="369">
        <v>1</v>
      </c>
      <c r="AB1559" s="369">
        <v>1</v>
      </c>
      <c r="AC1559" s="369">
        <v>1</v>
      </c>
      <c r="AD1559" s="369">
        <v>1</v>
      </c>
      <c r="AE1559" s="49">
        <f t="shared" si="62"/>
        <v>1</v>
      </c>
      <c r="AF1559" s="17"/>
      <c r="AG1559" s="17">
        <v>0</v>
      </c>
      <c r="AH1559" s="17">
        <v>0</v>
      </c>
      <c r="AI1559" s="17">
        <v>0</v>
      </c>
      <c r="AJ1559" s="17">
        <v>0</v>
      </c>
      <c r="AK1559" s="153"/>
      <c r="AL1559" s="154"/>
      <c r="AM1559" s="147">
        <f t="shared" si="61"/>
        <v>0</v>
      </c>
      <c r="AN1559" s="44" t="s">
        <v>1035</v>
      </c>
      <c r="AO1559" s="18" t="s">
        <v>1037</v>
      </c>
      <c r="AP1559" t="s">
        <v>8572</v>
      </c>
      <c r="AQ1559"/>
    </row>
    <row r="1560" spans="1:43" s="10" customFormat="1" x14ac:dyDescent="0.3">
      <c r="A1560" s="367" t="s">
        <v>8317</v>
      </c>
      <c r="B1560" s="10" t="s">
        <v>8318</v>
      </c>
      <c r="C1560" s="368" t="s">
        <v>8330</v>
      </c>
      <c r="D1560" s="10" t="s">
        <v>8331</v>
      </c>
      <c r="E1560" s="10" t="s">
        <v>8332</v>
      </c>
      <c r="F1560" s="10" t="s">
        <v>8333</v>
      </c>
      <c r="G1560" s="10" t="s">
        <v>8547</v>
      </c>
      <c r="H1560" s="10" t="s">
        <v>8548</v>
      </c>
      <c r="I1560" s="9"/>
      <c r="J1560" s="370"/>
      <c r="K1560" s="10" t="s">
        <v>8549</v>
      </c>
      <c r="L1560" s="10" t="s">
        <v>8569</v>
      </c>
      <c r="M1560" s="18"/>
      <c r="N1560" s="18"/>
      <c r="O1560" s="18"/>
      <c r="P1560" s="16"/>
      <c r="Q1560" s="16"/>
      <c r="R1560" s="16"/>
      <c r="S1560" s="16"/>
      <c r="U1560" t="e">
        <f>VLOOKUP(T1560,[8]Votes!$A$1:$E$234,3,FALSE)</f>
        <v>#N/A</v>
      </c>
      <c r="V1560" t="s">
        <v>8575</v>
      </c>
      <c r="W1560" s="369">
        <v>1</v>
      </c>
      <c r="X1560" s="369">
        <v>1</v>
      </c>
      <c r="Y1560" s="369">
        <v>1</v>
      </c>
      <c r="Z1560" s="369">
        <v>0</v>
      </c>
      <c r="AA1560" s="369">
        <v>1</v>
      </c>
      <c r="AB1560" s="369">
        <v>1</v>
      </c>
      <c r="AC1560" s="369">
        <v>1</v>
      </c>
      <c r="AD1560" s="369">
        <v>1</v>
      </c>
      <c r="AE1560" s="49">
        <f t="shared" si="62"/>
        <v>0.875</v>
      </c>
      <c r="AF1560" s="17"/>
      <c r="AG1560" s="17">
        <v>0</v>
      </c>
      <c r="AH1560" s="17">
        <v>0</v>
      </c>
      <c r="AI1560" s="17">
        <v>0</v>
      </c>
      <c r="AJ1560" s="17">
        <v>0</v>
      </c>
      <c r="AK1560" s="151">
        <v>1.5</v>
      </c>
      <c r="AL1560" s="154">
        <v>1.5</v>
      </c>
      <c r="AM1560" s="147">
        <f t="shared" si="61"/>
        <v>3</v>
      </c>
      <c r="AN1560" s="44" t="s">
        <v>1035</v>
      </c>
      <c r="AO1560" s="18" t="s">
        <v>1037</v>
      </c>
      <c r="AP1560" t="s">
        <v>8436</v>
      </c>
      <c r="AQ1560"/>
    </row>
    <row r="1561" spans="1:43" s="10" customFormat="1" x14ac:dyDescent="0.3">
      <c r="A1561" s="367" t="s">
        <v>8317</v>
      </c>
      <c r="B1561" s="10" t="s">
        <v>8318</v>
      </c>
      <c r="C1561" s="368" t="s">
        <v>8330</v>
      </c>
      <c r="D1561" s="10" t="s">
        <v>8331</v>
      </c>
      <c r="E1561" s="10" t="s">
        <v>8332</v>
      </c>
      <c r="F1561" s="10" t="s">
        <v>8333</v>
      </c>
      <c r="G1561" s="10" t="s">
        <v>8547</v>
      </c>
      <c r="H1561" s="10" t="s">
        <v>8548</v>
      </c>
      <c r="I1561" s="9"/>
      <c r="J1561" s="370"/>
      <c r="K1561" s="10" t="s">
        <v>8576</v>
      </c>
      <c r="L1561" s="10" t="s">
        <v>8577</v>
      </c>
      <c r="M1561" s="18" t="s">
        <v>8578</v>
      </c>
      <c r="N1561" s="18">
        <v>0</v>
      </c>
      <c r="O1561" s="18">
        <v>0</v>
      </c>
      <c r="P1561" s="16">
        <v>0</v>
      </c>
      <c r="Q1561" s="16">
        <v>0</v>
      </c>
      <c r="R1561" s="16">
        <v>1</v>
      </c>
      <c r="S1561" s="16">
        <v>0</v>
      </c>
      <c r="T1561" s="10" t="s">
        <v>8436</v>
      </c>
      <c r="U1561" t="e">
        <f>VLOOKUP(T1561,[8]Votes!$A$1:$E$234,3,FALSE)</f>
        <v>#N/A</v>
      </c>
      <c r="V1561" t="s">
        <v>8579</v>
      </c>
      <c r="W1561" s="369">
        <v>1</v>
      </c>
      <c r="X1561" s="369">
        <v>0</v>
      </c>
      <c r="Y1561" s="369">
        <v>0</v>
      </c>
      <c r="Z1561" s="369">
        <v>1</v>
      </c>
      <c r="AA1561" s="369">
        <v>1</v>
      </c>
      <c r="AB1561" s="369">
        <v>1</v>
      </c>
      <c r="AC1561" s="369">
        <v>0</v>
      </c>
      <c r="AD1561" s="369">
        <v>1</v>
      </c>
      <c r="AE1561" s="49">
        <f t="shared" si="62"/>
        <v>0.625</v>
      </c>
      <c r="AF1561" s="17"/>
      <c r="AG1561" s="17">
        <v>0</v>
      </c>
      <c r="AH1561" s="17">
        <v>0</v>
      </c>
      <c r="AI1561" s="44">
        <v>0.2</v>
      </c>
      <c r="AJ1561" s="44">
        <v>0.2</v>
      </c>
      <c r="AK1561" s="153"/>
      <c r="AL1561" s="154"/>
      <c r="AM1561" s="147">
        <f t="shared" ref="AM1561:AM1624" si="63">SUM(AK1561:AL1561)</f>
        <v>0</v>
      </c>
      <c r="AN1561" s="44" t="s">
        <v>1035</v>
      </c>
      <c r="AO1561" s="18" t="s">
        <v>1037</v>
      </c>
      <c r="AP1561" t="s">
        <v>8436</v>
      </c>
      <c r="AQ1561"/>
    </row>
    <row r="1562" spans="1:43" s="10" customFormat="1" x14ac:dyDescent="0.3">
      <c r="A1562" s="367" t="s">
        <v>8317</v>
      </c>
      <c r="B1562" s="10" t="s">
        <v>8318</v>
      </c>
      <c r="C1562" s="368" t="s">
        <v>8580</v>
      </c>
      <c r="D1562" s="10" t="s">
        <v>8581</v>
      </c>
      <c r="E1562" s="10" t="s">
        <v>8582</v>
      </c>
      <c r="F1562" s="10" t="s">
        <v>8583</v>
      </c>
      <c r="G1562" s="10" t="s">
        <v>8584</v>
      </c>
      <c r="H1562" s="10" t="s">
        <v>8585</v>
      </c>
      <c r="I1562" s="9"/>
      <c r="J1562" s="370"/>
      <c r="K1562" s="10" t="s">
        <v>8586</v>
      </c>
      <c r="L1562" s="10" t="s">
        <v>8587</v>
      </c>
      <c r="M1562" s="18" t="s">
        <v>8588</v>
      </c>
      <c r="N1562" s="18">
        <v>210.12</v>
      </c>
      <c r="O1562" s="18">
        <v>308.3</v>
      </c>
      <c r="P1562" s="16">
        <v>50.5</v>
      </c>
      <c r="Q1562" s="16">
        <v>50.5</v>
      </c>
      <c r="R1562" s="16">
        <v>50.5</v>
      </c>
      <c r="S1562" s="16">
        <v>50.5</v>
      </c>
      <c r="T1562" s="10" t="s">
        <v>8589</v>
      </c>
      <c r="U1562" t="e">
        <f>VLOOKUP(T1562,[8]Votes!$A$1:$E$234,3,FALSE)</f>
        <v>#N/A</v>
      </c>
      <c r="V1562" t="s">
        <v>8590</v>
      </c>
      <c r="W1562" s="369">
        <v>1</v>
      </c>
      <c r="X1562" s="369">
        <v>0</v>
      </c>
      <c r="Y1562" s="369">
        <v>0</v>
      </c>
      <c r="Z1562" s="369">
        <v>1</v>
      </c>
      <c r="AA1562" s="369">
        <v>1</v>
      </c>
      <c r="AB1562" s="369">
        <v>1</v>
      </c>
      <c r="AC1562" s="369">
        <v>0</v>
      </c>
      <c r="AD1562" s="369">
        <v>1</v>
      </c>
      <c r="AE1562" s="49">
        <f t="shared" si="62"/>
        <v>0.625</v>
      </c>
      <c r="AF1562" s="44"/>
      <c r="AG1562" s="17">
        <v>1</v>
      </c>
      <c r="AH1562" s="44">
        <v>0</v>
      </c>
      <c r="AI1562" s="44">
        <v>0</v>
      </c>
      <c r="AJ1562" s="44">
        <v>0</v>
      </c>
      <c r="AK1562" s="151"/>
      <c r="AL1562" s="151"/>
      <c r="AM1562" s="147">
        <f t="shared" si="63"/>
        <v>0</v>
      </c>
      <c r="AN1562" s="44" t="s">
        <v>8476</v>
      </c>
      <c r="AO1562" s="18" t="s">
        <v>1037</v>
      </c>
      <c r="AP1562" t="s">
        <v>1035</v>
      </c>
      <c r="AQ1562"/>
    </row>
    <row r="1563" spans="1:43" s="10" customFormat="1" x14ac:dyDescent="0.3">
      <c r="A1563" s="367" t="s">
        <v>8317</v>
      </c>
      <c r="B1563" s="10" t="s">
        <v>8318</v>
      </c>
      <c r="C1563" s="368" t="s">
        <v>8580</v>
      </c>
      <c r="D1563" s="10" t="s">
        <v>8581</v>
      </c>
      <c r="E1563" s="10" t="s">
        <v>8582</v>
      </c>
      <c r="F1563" s="10" t="s">
        <v>8583</v>
      </c>
      <c r="G1563" s="10" t="s">
        <v>8584</v>
      </c>
      <c r="H1563" s="10" t="s">
        <v>8585</v>
      </c>
      <c r="I1563" s="9"/>
      <c r="J1563" s="370"/>
      <c r="K1563" s="10" t="s">
        <v>8586</v>
      </c>
      <c r="L1563" s="10" t="s">
        <v>8587</v>
      </c>
      <c r="M1563" s="18" t="s">
        <v>8591</v>
      </c>
      <c r="N1563" s="18">
        <v>0</v>
      </c>
      <c r="O1563" s="18">
        <v>0</v>
      </c>
      <c r="P1563" s="16">
        <v>0</v>
      </c>
      <c r="Q1563" s="16">
        <v>0</v>
      </c>
      <c r="R1563" s="16">
        <v>0</v>
      </c>
      <c r="S1563" s="16">
        <v>48</v>
      </c>
      <c r="T1563" s="10" t="s">
        <v>8589</v>
      </c>
      <c r="U1563" t="e">
        <f>VLOOKUP(T1563,[8]Votes!$A$1:$E$234,3,FALSE)</f>
        <v>#N/A</v>
      </c>
      <c r="V1563" t="s">
        <v>8592</v>
      </c>
      <c r="W1563" s="369">
        <v>1</v>
      </c>
      <c r="X1563" s="369">
        <v>0</v>
      </c>
      <c r="Y1563" s="369">
        <v>0</v>
      </c>
      <c r="Z1563" s="369">
        <v>1</v>
      </c>
      <c r="AA1563" s="369">
        <v>1</v>
      </c>
      <c r="AB1563" s="369">
        <v>0</v>
      </c>
      <c r="AC1563" s="369">
        <v>1</v>
      </c>
      <c r="AD1563" s="369">
        <v>1</v>
      </c>
      <c r="AE1563" s="49">
        <f t="shared" si="62"/>
        <v>0.625</v>
      </c>
      <c r="AF1563" s="17"/>
      <c r="AG1563" s="17">
        <v>0</v>
      </c>
      <c r="AH1563" s="17">
        <v>0</v>
      </c>
      <c r="AI1563" s="44">
        <v>1</v>
      </c>
      <c r="AJ1563" s="17">
        <v>0</v>
      </c>
      <c r="AK1563" s="153"/>
      <c r="AL1563" s="154"/>
      <c r="AM1563" s="147">
        <f t="shared" si="63"/>
        <v>0</v>
      </c>
      <c r="AN1563" s="44" t="s">
        <v>8476</v>
      </c>
      <c r="AO1563" s="18" t="s">
        <v>1037</v>
      </c>
      <c r="AP1563" t="s">
        <v>1035</v>
      </c>
      <c r="AQ1563"/>
    </row>
    <row r="1564" spans="1:43" s="10" customFormat="1" x14ac:dyDescent="0.3">
      <c r="A1564" s="367" t="s">
        <v>8317</v>
      </c>
      <c r="B1564" s="10" t="s">
        <v>8318</v>
      </c>
      <c r="C1564" s="368" t="s">
        <v>8580</v>
      </c>
      <c r="D1564" s="10" t="s">
        <v>8581</v>
      </c>
      <c r="E1564" s="10" t="s">
        <v>8582</v>
      </c>
      <c r="F1564" s="10" t="s">
        <v>8583</v>
      </c>
      <c r="G1564" s="10" t="s">
        <v>8584</v>
      </c>
      <c r="H1564" s="10" t="s">
        <v>8585</v>
      </c>
      <c r="I1564" s="9"/>
      <c r="J1564" s="370"/>
      <c r="K1564" s="10" t="s">
        <v>8586</v>
      </c>
      <c r="L1564" s="10" t="s">
        <v>8587</v>
      </c>
      <c r="M1564" s="18" t="s">
        <v>8593</v>
      </c>
      <c r="N1564" s="18">
        <v>0</v>
      </c>
      <c r="O1564" s="18">
        <v>0</v>
      </c>
      <c r="P1564" s="16" t="s">
        <v>8594</v>
      </c>
      <c r="Q1564" s="16">
        <v>0</v>
      </c>
      <c r="R1564" s="16">
        <v>0</v>
      </c>
      <c r="S1564" s="16">
        <v>0</v>
      </c>
      <c r="T1564" s="10" t="s">
        <v>8589</v>
      </c>
      <c r="U1564" t="e">
        <f>VLOOKUP(T1564,[8]Votes!$A$1:$E$234,3,FALSE)</f>
        <v>#N/A</v>
      </c>
      <c r="V1564" t="s">
        <v>8595</v>
      </c>
      <c r="W1564" s="369">
        <v>1</v>
      </c>
      <c r="X1564" s="369">
        <v>0</v>
      </c>
      <c r="Y1564" s="369">
        <v>0</v>
      </c>
      <c r="Z1564" s="369">
        <v>1</v>
      </c>
      <c r="AA1564" s="369">
        <v>1</v>
      </c>
      <c r="AB1564" s="369">
        <v>1</v>
      </c>
      <c r="AC1564" s="369">
        <v>0</v>
      </c>
      <c r="AD1564" s="369">
        <v>1</v>
      </c>
      <c r="AE1564" s="49">
        <f t="shared" ref="AE1564:AE1627" si="64">SUM(W1564:AD1564)/8</f>
        <v>0.625</v>
      </c>
      <c r="AF1564" s="17"/>
      <c r="AG1564" s="17">
        <v>0</v>
      </c>
      <c r="AH1564" s="17">
        <v>0</v>
      </c>
      <c r="AI1564" s="44">
        <v>1</v>
      </c>
      <c r="AJ1564" s="17">
        <v>0</v>
      </c>
      <c r="AK1564" s="153"/>
      <c r="AL1564" s="154"/>
      <c r="AM1564" s="147">
        <f t="shared" si="63"/>
        <v>0</v>
      </c>
      <c r="AN1564" s="44" t="s">
        <v>8476</v>
      </c>
      <c r="AO1564" s="18" t="s">
        <v>1037</v>
      </c>
      <c r="AP1564" t="s">
        <v>8596</v>
      </c>
      <c r="AQ1564"/>
    </row>
    <row r="1565" spans="1:43" s="10" customFormat="1" x14ac:dyDescent="0.3">
      <c r="A1565" s="367" t="s">
        <v>8317</v>
      </c>
      <c r="B1565" s="10" t="s">
        <v>8318</v>
      </c>
      <c r="C1565" s="368" t="s">
        <v>8580</v>
      </c>
      <c r="D1565" s="10" t="s">
        <v>8581</v>
      </c>
      <c r="E1565" s="10" t="s">
        <v>8582</v>
      </c>
      <c r="F1565" s="10" t="s">
        <v>8583</v>
      </c>
      <c r="G1565" s="10" t="s">
        <v>8584</v>
      </c>
      <c r="H1565" s="10" t="s">
        <v>8585</v>
      </c>
      <c r="I1565" s="9"/>
      <c r="J1565" s="370"/>
      <c r="K1565" s="10" t="s">
        <v>8586</v>
      </c>
      <c r="L1565" s="10" t="s">
        <v>8587</v>
      </c>
      <c r="M1565" s="18"/>
      <c r="N1565" s="18"/>
      <c r="O1565" s="18"/>
      <c r="P1565" s="16"/>
      <c r="Q1565" s="16"/>
      <c r="R1565" s="16"/>
      <c r="S1565" s="16"/>
      <c r="U1565" t="e">
        <f>VLOOKUP(T1565,[8]Votes!$A$1:$E$234,3,FALSE)</f>
        <v>#N/A</v>
      </c>
      <c r="V1565" t="s">
        <v>8597</v>
      </c>
      <c r="W1565" s="369">
        <v>1</v>
      </c>
      <c r="X1565" s="369">
        <v>1</v>
      </c>
      <c r="Y1565" s="369">
        <v>1</v>
      </c>
      <c r="Z1565" s="369">
        <v>0</v>
      </c>
      <c r="AA1565" s="369">
        <v>1</v>
      </c>
      <c r="AB1565" s="369">
        <v>1</v>
      </c>
      <c r="AC1565" s="369">
        <v>1</v>
      </c>
      <c r="AD1565" s="369">
        <v>1</v>
      </c>
      <c r="AE1565" s="49">
        <f t="shared" si="64"/>
        <v>0.875</v>
      </c>
      <c r="AF1565" s="17"/>
      <c r="AG1565" s="17">
        <v>0</v>
      </c>
      <c r="AH1565" s="17">
        <v>0</v>
      </c>
      <c r="AI1565" s="44">
        <v>1</v>
      </c>
      <c r="AJ1565" s="17">
        <v>0</v>
      </c>
      <c r="AK1565" s="153">
        <v>1</v>
      </c>
      <c r="AL1565" s="154">
        <v>0.5</v>
      </c>
      <c r="AM1565" s="147">
        <f t="shared" si="63"/>
        <v>1.5</v>
      </c>
      <c r="AN1565" s="44" t="s">
        <v>8409</v>
      </c>
      <c r="AO1565" s="18" t="s">
        <v>1037</v>
      </c>
      <c r="AP1565" t="s">
        <v>8598</v>
      </c>
      <c r="AQ1565"/>
    </row>
    <row r="1566" spans="1:43" s="10" customFormat="1" x14ac:dyDescent="0.3">
      <c r="A1566" s="367" t="s">
        <v>8317</v>
      </c>
      <c r="B1566" s="10" t="s">
        <v>8318</v>
      </c>
      <c r="C1566" s="368" t="s">
        <v>8580</v>
      </c>
      <c r="D1566" s="10" t="s">
        <v>8581</v>
      </c>
      <c r="E1566" s="10" t="s">
        <v>8582</v>
      </c>
      <c r="F1566" s="10" t="s">
        <v>8583</v>
      </c>
      <c r="G1566" s="10" t="s">
        <v>8584</v>
      </c>
      <c r="H1566" s="10" t="s">
        <v>8585</v>
      </c>
      <c r="I1566" s="9"/>
      <c r="J1566" s="370"/>
      <c r="K1566" s="10" t="s">
        <v>8586</v>
      </c>
      <c r="L1566" s="10" t="s">
        <v>8587</v>
      </c>
      <c r="M1566" s="18"/>
      <c r="N1566" s="18"/>
      <c r="O1566" s="18"/>
      <c r="P1566" s="16"/>
      <c r="Q1566" s="16"/>
      <c r="R1566" s="16"/>
      <c r="S1566" s="16"/>
      <c r="U1566" t="e">
        <f>VLOOKUP(T1566,[8]Votes!$A$1:$E$234,3,FALSE)</f>
        <v>#N/A</v>
      </c>
      <c r="V1566" t="s">
        <v>8599</v>
      </c>
      <c r="W1566" s="369">
        <v>1</v>
      </c>
      <c r="X1566" s="369">
        <v>1</v>
      </c>
      <c r="Y1566" s="369">
        <v>1</v>
      </c>
      <c r="Z1566" s="369">
        <v>0</v>
      </c>
      <c r="AA1566" s="369">
        <v>1</v>
      </c>
      <c r="AB1566" s="369">
        <v>1</v>
      </c>
      <c r="AC1566" s="369">
        <v>1</v>
      </c>
      <c r="AD1566" s="369">
        <v>1</v>
      </c>
      <c r="AE1566" s="49">
        <f t="shared" si="64"/>
        <v>0.875</v>
      </c>
      <c r="AF1566" s="17"/>
      <c r="AG1566" s="17">
        <v>1</v>
      </c>
      <c r="AH1566" s="17">
        <v>0</v>
      </c>
      <c r="AI1566" s="44">
        <v>0</v>
      </c>
      <c r="AJ1566" s="44">
        <v>0</v>
      </c>
      <c r="AK1566" s="153"/>
      <c r="AL1566" s="154"/>
      <c r="AM1566" s="147">
        <f t="shared" si="63"/>
        <v>0</v>
      </c>
      <c r="AN1566" s="44" t="s">
        <v>570</v>
      </c>
      <c r="AO1566" s="18" t="s">
        <v>2875</v>
      </c>
      <c r="AP1566" t="s">
        <v>8521</v>
      </c>
      <c r="AQ1566"/>
    </row>
    <row r="1567" spans="1:43" s="10" customFormat="1" x14ac:dyDescent="0.3">
      <c r="A1567" s="367" t="s">
        <v>8317</v>
      </c>
      <c r="B1567" s="10" t="s">
        <v>8318</v>
      </c>
      <c r="C1567" s="368" t="s">
        <v>8580</v>
      </c>
      <c r="D1567" s="10" t="s">
        <v>8581</v>
      </c>
      <c r="E1567" s="10" t="s">
        <v>8582</v>
      </c>
      <c r="F1567" s="10" t="s">
        <v>8583</v>
      </c>
      <c r="G1567" s="10" t="s">
        <v>8584</v>
      </c>
      <c r="H1567" s="10" t="s">
        <v>8585</v>
      </c>
      <c r="I1567" s="9"/>
      <c r="J1567" s="370"/>
      <c r="K1567" s="10" t="s">
        <v>8586</v>
      </c>
      <c r="L1567" s="10" t="s">
        <v>8587</v>
      </c>
      <c r="M1567" s="18" t="s">
        <v>8600</v>
      </c>
      <c r="N1567" s="18">
        <v>0</v>
      </c>
      <c r="O1567" s="18">
        <v>0</v>
      </c>
      <c r="P1567" s="16">
        <v>0</v>
      </c>
      <c r="Q1567" s="16" t="s">
        <v>8601</v>
      </c>
      <c r="R1567" s="16">
        <v>0</v>
      </c>
      <c r="S1567" s="16">
        <v>0</v>
      </c>
      <c r="T1567" s="10" t="s">
        <v>8589</v>
      </c>
      <c r="U1567" t="e">
        <f>VLOOKUP(T1567,[8]Votes!$A$1:$E$234,3,FALSE)</f>
        <v>#N/A</v>
      </c>
      <c r="V1567" t="s">
        <v>8602</v>
      </c>
      <c r="W1567" s="369">
        <v>1</v>
      </c>
      <c r="X1567" s="369">
        <v>0</v>
      </c>
      <c r="Y1567" s="369">
        <v>0</v>
      </c>
      <c r="Z1567" s="369">
        <v>1</v>
      </c>
      <c r="AA1567" s="369">
        <v>1</v>
      </c>
      <c r="AB1567" s="369">
        <v>1</v>
      </c>
      <c r="AC1567" s="369">
        <v>0</v>
      </c>
      <c r="AD1567" s="369">
        <v>1</v>
      </c>
      <c r="AE1567" s="49">
        <f t="shared" si="64"/>
        <v>0.625</v>
      </c>
      <c r="AF1567" s="17"/>
      <c r="AG1567" s="17">
        <v>0</v>
      </c>
      <c r="AH1567" s="17">
        <v>0</v>
      </c>
      <c r="AI1567" s="44">
        <v>1</v>
      </c>
      <c r="AJ1567" s="44">
        <v>1</v>
      </c>
      <c r="AK1567" s="151">
        <v>1</v>
      </c>
      <c r="AL1567" s="151">
        <v>1</v>
      </c>
      <c r="AM1567" s="147">
        <f t="shared" si="63"/>
        <v>2</v>
      </c>
      <c r="AN1567" s="44" t="s">
        <v>8476</v>
      </c>
      <c r="AO1567" s="18" t="s">
        <v>1037</v>
      </c>
      <c r="AP1567" t="s">
        <v>8603</v>
      </c>
      <c r="AQ1567"/>
    </row>
    <row r="1568" spans="1:43" s="10" customFormat="1" x14ac:dyDescent="0.3">
      <c r="A1568" s="367" t="s">
        <v>8317</v>
      </c>
      <c r="B1568" s="10" t="s">
        <v>8318</v>
      </c>
      <c r="C1568" s="368" t="s">
        <v>8580</v>
      </c>
      <c r="D1568" s="10" t="s">
        <v>8581</v>
      </c>
      <c r="E1568" s="10" t="s">
        <v>8582</v>
      </c>
      <c r="F1568" s="10" t="s">
        <v>8583</v>
      </c>
      <c r="G1568" s="10" t="s">
        <v>8584</v>
      </c>
      <c r="H1568" s="10" t="s">
        <v>8585</v>
      </c>
      <c r="I1568" s="9"/>
      <c r="J1568" s="370"/>
      <c r="K1568" s="10" t="s">
        <v>8586</v>
      </c>
      <c r="L1568" s="10" t="s">
        <v>8604</v>
      </c>
      <c r="M1568" s="18" t="s">
        <v>8605</v>
      </c>
      <c r="N1568" s="18">
        <v>0</v>
      </c>
      <c r="O1568" s="18">
        <v>0</v>
      </c>
      <c r="P1568" s="16">
        <v>0</v>
      </c>
      <c r="Q1568" s="16">
        <v>5</v>
      </c>
      <c r="R1568" s="16"/>
      <c r="S1568" s="16"/>
      <c r="T1568" s="10" t="s">
        <v>1035</v>
      </c>
      <c r="U1568" t="str">
        <f>VLOOKUP(T1568,[8]Votes!$A$1:$E$234,3,FALSE)</f>
        <v>017 Ministry of Energy and Mineral Development</v>
      </c>
      <c r="V1568" t="s">
        <v>8606</v>
      </c>
      <c r="W1568" s="369">
        <v>1</v>
      </c>
      <c r="X1568" s="369">
        <v>1</v>
      </c>
      <c r="Y1568" s="369">
        <v>0</v>
      </c>
      <c r="Z1568" s="369">
        <v>1</v>
      </c>
      <c r="AA1568" s="369">
        <v>1</v>
      </c>
      <c r="AB1568" s="369">
        <v>1</v>
      </c>
      <c r="AC1568" s="369">
        <v>0</v>
      </c>
      <c r="AD1568" s="369">
        <v>1</v>
      </c>
      <c r="AE1568" s="49">
        <f t="shared" si="64"/>
        <v>0.75</v>
      </c>
      <c r="AF1568" s="17"/>
      <c r="AG1568" s="17">
        <v>1</v>
      </c>
      <c r="AH1568" s="17">
        <v>0</v>
      </c>
      <c r="AI1568" s="44">
        <v>4</v>
      </c>
      <c r="AJ1568" s="17">
        <v>0</v>
      </c>
      <c r="AK1568" s="153"/>
      <c r="AL1568" s="154"/>
      <c r="AM1568" s="147">
        <f t="shared" si="63"/>
        <v>0</v>
      </c>
      <c r="AN1568" s="44" t="s">
        <v>8341</v>
      </c>
      <c r="AO1568" s="18" t="s">
        <v>1037</v>
      </c>
      <c r="AP1568" t="s">
        <v>1035</v>
      </c>
      <c r="AQ1568"/>
    </row>
    <row r="1569" spans="1:44" s="10" customFormat="1" x14ac:dyDescent="0.3">
      <c r="A1569" s="367" t="s">
        <v>8317</v>
      </c>
      <c r="B1569" s="10" t="s">
        <v>8318</v>
      </c>
      <c r="C1569" s="368" t="s">
        <v>8580</v>
      </c>
      <c r="D1569" s="10" t="s">
        <v>8581</v>
      </c>
      <c r="E1569" s="10" t="s">
        <v>8582</v>
      </c>
      <c r="F1569" s="10" t="s">
        <v>8583</v>
      </c>
      <c r="G1569" s="10" t="s">
        <v>8584</v>
      </c>
      <c r="H1569" s="10" t="s">
        <v>8585</v>
      </c>
      <c r="I1569" s="9"/>
      <c r="J1569" s="370"/>
      <c r="K1569" s="10" t="s">
        <v>8586</v>
      </c>
      <c r="L1569" s="10" t="s">
        <v>8607</v>
      </c>
      <c r="M1569" s="18" t="s">
        <v>8605</v>
      </c>
      <c r="N1569" s="18">
        <v>0</v>
      </c>
      <c r="O1569" s="18">
        <v>0</v>
      </c>
      <c r="P1569" s="16">
        <v>0</v>
      </c>
      <c r="Q1569" s="16">
        <v>0</v>
      </c>
      <c r="R1569" s="16">
        <v>0</v>
      </c>
      <c r="S1569" s="16">
        <v>79</v>
      </c>
      <c r="T1569" s="10" t="s">
        <v>1035</v>
      </c>
      <c r="U1569" t="str">
        <f>VLOOKUP(T1569,[8]Votes!$A$1:$E$234,3,FALSE)</f>
        <v>017 Ministry of Energy and Mineral Development</v>
      </c>
      <c r="V1569" t="s">
        <v>8608</v>
      </c>
      <c r="W1569" s="369">
        <v>1</v>
      </c>
      <c r="X1569" s="369">
        <v>0</v>
      </c>
      <c r="Y1569" s="369">
        <v>0</v>
      </c>
      <c r="Z1569" s="369">
        <v>1</v>
      </c>
      <c r="AA1569" s="369">
        <v>1</v>
      </c>
      <c r="AB1569" s="369">
        <v>1</v>
      </c>
      <c r="AC1569" s="369">
        <v>0</v>
      </c>
      <c r="AD1569" s="369">
        <v>1</v>
      </c>
      <c r="AE1569" s="49">
        <f t="shared" si="64"/>
        <v>0.625</v>
      </c>
      <c r="AF1569" s="44">
        <v>1</v>
      </c>
      <c r="AG1569" s="17">
        <v>0</v>
      </c>
      <c r="AH1569" s="44">
        <v>61.88</v>
      </c>
      <c r="AI1569" s="44">
        <v>32.56</v>
      </c>
      <c r="AJ1569" s="44">
        <v>32.56</v>
      </c>
      <c r="AK1569" s="151">
        <v>19</v>
      </c>
      <c r="AL1569" s="151">
        <v>16.8</v>
      </c>
      <c r="AM1569" s="147">
        <f t="shared" si="63"/>
        <v>35.799999999999997</v>
      </c>
      <c r="AN1569" s="44" t="s">
        <v>8341</v>
      </c>
      <c r="AO1569" s="18" t="s">
        <v>1037</v>
      </c>
      <c r="AP1569" t="s">
        <v>1035</v>
      </c>
      <c r="AQ1569"/>
    </row>
    <row r="1570" spans="1:44" s="10" customFormat="1" x14ac:dyDescent="0.3">
      <c r="A1570" s="367" t="s">
        <v>8317</v>
      </c>
      <c r="B1570" s="10" t="s">
        <v>8318</v>
      </c>
      <c r="C1570" s="368" t="s">
        <v>8580</v>
      </c>
      <c r="D1570" s="10" t="s">
        <v>8581</v>
      </c>
      <c r="E1570" s="10" t="s">
        <v>8582</v>
      </c>
      <c r="F1570" s="10" t="s">
        <v>8583</v>
      </c>
      <c r="G1570" s="10" t="s">
        <v>8584</v>
      </c>
      <c r="H1570" s="10" t="s">
        <v>8585</v>
      </c>
      <c r="I1570" s="9"/>
      <c r="J1570" s="370"/>
      <c r="K1570" s="10" t="s">
        <v>8586</v>
      </c>
      <c r="L1570" s="10" t="s">
        <v>8607</v>
      </c>
      <c r="M1570" s="18" t="s">
        <v>8403</v>
      </c>
      <c r="N1570" s="18"/>
      <c r="O1570" s="18"/>
      <c r="P1570" s="16"/>
      <c r="Q1570" s="16">
        <v>5</v>
      </c>
      <c r="R1570" s="16"/>
      <c r="S1570" s="16">
        <v>79</v>
      </c>
      <c r="T1570" s="10" t="s">
        <v>1035</v>
      </c>
      <c r="U1570" t="str">
        <f>VLOOKUP(T1570,[8]Votes!$A$1:$E$234,3,FALSE)</f>
        <v>017 Ministry of Energy and Mineral Development</v>
      </c>
      <c r="V1570" t="s">
        <v>8395</v>
      </c>
      <c r="W1570" s="369">
        <v>0</v>
      </c>
      <c r="X1570" s="369">
        <v>0</v>
      </c>
      <c r="Y1570" s="369">
        <v>0</v>
      </c>
      <c r="Z1570" s="369">
        <v>1</v>
      </c>
      <c r="AA1570" s="369">
        <v>1</v>
      </c>
      <c r="AB1570" s="369">
        <v>1</v>
      </c>
      <c r="AC1570" s="369">
        <v>0</v>
      </c>
      <c r="AD1570" s="369">
        <v>1</v>
      </c>
      <c r="AE1570" s="49">
        <f t="shared" si="64"/>
        <v>0.5</v>
      </c>
      <c r="AF1570" s="44"/>
      <c r="AG1570" s="17">
        <v>0</v>
      </c>
      <c r="AH1570" s="44">
        <v>5</v>
      </c>
      <c r="AI1570" s="44">
        <v>1</v>
      </c>
      <c r="AJ1570" s="44">
        <v>15</v>
      </c>
      <c r="AK1570" s="151">
        <v>0.5</v>
      </c>
      <c r="AL1570" s="151">
        <v>1</v>
      </c>
      <c r="AM1570" s="147">
        <f t="shared" si="63"/>
        <v>1.5</v>
      </c>
      <c r="AN1570" s="44" t="s">
        <v>570</v>
      </c>
      <c r="AO1570" s="18" t="s">
        <v>2875</v>
      </c>
      <c r="AP1570" t="s">
        <v>8609</v>
      </c>
      <c r="AQ1570"/>
      <c r="AR1570"/>
    </row>
    <row r="1571" spans="1:44" s="10" customFormat="1" x14ac:dyDescent="0.3">
      <c r="A1571" s="367" t="s">
        <v>8317</v>
      </c>
      <c r="B1571" s="10" t="s">
        <v>8318</v>
      </c>
      <c r="C1571" s="368" t="s">
        <v>8580</v>
      </c>
      <c r="D1571" s="10" t="s">
        <v>8581</v>
      </c>
      <c r="E1571" s="10" t="s">
        <v>8582</v>
      </c>
      <c r="F1571" s="10" t="s">
        <v>8583</v>
      </c>
      <c r="G1571" s="10" t="s">
        <v>8610</v>
      </c>
      <c r="H1571" s="10" t="s">
        <v>8611</v>
      </c>
      <c r="I1571" s="9"/>
      <c r="J1571" s="370"/>
      <c r="K1571" s="10" t="s">
        <v>8612</v>
      </c>
      <c r="L1571" s="10" t="s">
        <v>8613</v>
      </c>
      <c r="M1571" s="18" t="s">
        <v>8614</v>
      </c>
      <c r="N1571" s="18">
        <v>630</v>
      </c>
      <c r="O1571" s="18"/>
      <c r="P1571" s="16">
        <v>600</v>
      </c>
      <c r="Q1571" s="16"/>
      <c r="R1571" s="16">
        <v>72</v>
      </c>
      <c r="S1571" s="16">
        <v>100</v>
      </c>
      <c r="T1571" s="10" t="s">
        <v>1035</v>
      </c>
      <c r="U1571" t="str">
        <f>VLOOKUP(T1571,[8]Votes!$A$1:$E$234,3,FALSE)</f>
        <v>017 Ministry of Energy and Mineral Development</v>
      </c>
      <c r="V1571" t="s">
        <v>8615</v>
      </c>
      <c r="W1571" s="369">
        <v>1</v>
      </c>
      <c r="X1571" s="369">
        <v>0</v>
      </c>
      <c r="Y1571" s="369">
        <v>0</v>
      </c>
      <c r="Z1571" s="369">
        <v>1</v>
      </c>
      <c r="AA1571" s="369">
        <v>1</v>
      </c>
      <c r="AB1571" s="369">
        <v>1</v>
      </c>
      <c r="AC1571" s="369">
        <v>0</v>
      </c>
      <c r="AD1571" s="369">
        <v>1</v>
      </c>
      <c r="AE1571" s="49">
        <f t="shared" si="64"/>
        <v>0.625</v>
      </c>
      <c r="AF1571" s="44"/>
      <c r="AG1571" s="17">
        <v>1</v>
      </c>
      <c r="AH1571" s="44">
        <v>6</v>
      </c>
      <c r="AI1571" s="44">
        <v>20</v>
      </c>
      <c r="AJ1571" s="44">
        <v>3</v>
      </c>
      <c r="AK1571" s="151">
        <v>0</v>
      </c>
      <c r="AL1571" s="151">
        <v>0</v>
      </c>
      <c r="AM1571" s="147">
        <f t="shared" si="63"/>
        <v>0</v>
      </c>
      <c r="AN1571" s="44" t="s">
        <v>8476</v>
      </c>
      <c r="AO1571" s="18" t="s">
        <v>1037</v>
      </c>
      <c r="AP1571" t="s">
        <v>8426</v>
      </c>
      <c r="AQ1571"/>
    </row>
    <row r="1572" spans="1:44" s="10" customFormat="1" x14ac:dyDescent="0.3">
      <c r="A1572" s="367" t="s">
        <v>8317</v>
      </c>
      <c r="B1572" s="10" t="s">
        <v>8318</v>
      </c>
      <c r="C1572" s="368" t="s">
        <v>8580</v>
      </c>
      <c r="D1572" s="10" t="s">
        <v>8581</v>
      </c>
      <c r="E1572" s="10" t="s">
        <v>8582</v>
      </c>
      <c r="F1572" s="10" t="s">
        <v>8583</v>
      </c>
      <c r="G1572" s="10" t="s">
        <v>8610</v>
      </c>
      <c r="H1572" s="10" t="s">
        <v>8611</v>
      </c>
      <c r="I1572" s="9"/>
      <c r="J1572" s="370"/>
      <c r="K1572" s="10" t="s">
        <v>8612</v>
      </c>
      <c r="L1572" s="10" t="s">
        <v>8613</v>
      </c>
      <c r="M1572" s="18" t="s">
        <v>8616</v>
      </c>
      <c r="N1572" s="18">
        <v>0</v>
      </c>
      <c r="O1572" s="18">
        <v>0</v>
      </c>
      <c r="P1572" s="16">
        <v>1</v>
      </c>
      <c r="Q1572" s="16">
        <v>2</v>
      </c>
      <c r="R1572" s="16">
        <v>3</v>
      </c>
      <c r="S1572" s="16">
        <v>3</v>
      </c>
      <c r="T1572" s="10" t="s">
        <v>1035</v>
      </c>
      <c r="U1572" t="str">
        <f>VLOOKUP(T1572,[8]Votes!$A$1:$E$234,3,FALSE)</f>
        <v>017 Ministry of Energy and Mineral Development</v>
      </c>
      <c r="V1572" t="s">
        <v>8617</v>
      </c>
      <c r="W1572" s="369">
        <v>1</v>
      </c>
      <c r="X1572" s="369">
        <v>0</v>
      </c>
      <c r="Y1572" s="369">
        <v>0</v>
      </c>
      <c r="Z1572" s="369">
        <v>1</v>
      </c>
      <c r="AA1572" s="369">
        <v>1</v>
      </c>
      <c r="AB1572" s="369">
        <v>1</v>
      </c>
      <c r="AC1572" s="369">
        <v>0</v>
      </c>
      <c r="AD1572" s="369">
        <v>1</v>
      </c>
      <c r="AE1572" s="49">
        <f t="shared" si="64"/>
        <v>0.625</v>
      </c>
      <c r="AF1572" s="44"/>
      <c r="AG1572" s="17">
        <v>1</v>
      </c>
      <c r="AH1572" s="44">
        <v>72</v>
      </c>
      <c r="AI1572" s="44">
        <v>25</v>
      </c>
      <c r="AJ1572" s="17">
        <v>0</v>
      </c>
      <c r="AK1572" s="153"/>
      <c r="AL1572" s="154"/>
      <c r="AM1572" s="147">
        <f t="shared" si="63"/>
        <v>0</v>
      </c>
      <c r="AN1572" s="44" t="s">
        <v>8476</v>
      </c>
      <c r="AO1572" s="18" t="s">
        <v>1037</v>
      </c>
      <c r="AP1572" t="s">
        <v>1035</v>
      </c>
      <c r="AQ1572"/>
    </row>
    <row r="1573" spans="1:44" s="10" customFormat="1" x14ac:dyDescent="0.3">
      <c r="A1573" s="367" t="s">
        <v>8317</v>
      </c>
      <c r="B1573" s="10" t="s">
        <v>8318</v>
      </c>
      <c r="C1573" s="368" t="s">
        <v>8580</v>
      </c>
      <c r="D1573" s="10" t="s">
        <v>8581</v>
      </c>
      <c r="E1573" s="10" t="s">
        <v>8582</v>
      </c>
      <c r="F1573" s="10" t="s">
        <v>8583</v>
      </c>
      <c r="G1573" s="10" t="s">
        <v>8610</v>
      </c>
      <c r="H1573" s="10" t="s">
        <v>8611</v>
      </c>
      <c r="I1573" s="9"/>
      <c r="J1573" s="370"/>
      <c r="K1573" s="10" t="s">
        <v>8612</v>
      </c>
      <c r="L1573" s="10" t="s">
        <v>8613</v>
      </c>
      <c r="M1573" s="18"/>
      <c r="N1573" s="18"/>
      <c r="O1573" s="18"/>
      <c r="P1573" s="16"/>
      <c r="Q1573" s="16"/>
      <c r="R1573" s="16"/>
      <c r="S1573" s="16"/>
      <c r="U1573" t="e">
        <f>VLOOKUP(T1573,[8]Votes!$A$1:$E$234,3,FALSE)</f>
        <v>#N/A</v>
      </c>
      <c r="V1573" t="s">
        <v>8618</v>
      </c>
      <c r="W1573" s="369">
        <v>0</v>
      </c>
      <c r="X1573" s="369">
        <v>0</v>
      </c>
      <c r="Y1573" s="369">
        <v>1</v>
      </c>
      <c r="Z1573" s="369">
        <v>0</v>
      </c>
      <c r="AA1573" s="369">
        <v>1</v>
      </c>
      <c r="AB1573" s="369">
        <v>0</v>
      </c>
      <c r="AC1573" s="369">
        <v>0</v>
      </c>
      <c r="AD1573" s="369">
        <v>1</v>
      </c>
      <c r="AE1573" s="49">
        <f t="shared" si="64"/>
        <v>0.375</v>
      </c>
      <c r="AF1573" s="17"/>
      <c r="AG1573" s="17">
        <v>0</v>
      </c>
      <c r="AH1573" s="17">
        <v>0</v>
      </c>
      <c r="AI1573" s="44">
        <v>1</v>
      </c>
      <c r="AJ1573" s="17">
        <v>0</v>
      </c>
      <c r="AK1573" s="151">
        <v>0</v>
      </c>
      <c r="AL1573" s="151">
        <v>0</v>
      </c>
      <c r="AM1573" s="147">
        <f t="shared" si="63"/>
        <v>0</v>
      </c>
      <c r="AN1573" s="44" t="s">
        <v>8476</v>
      </c>
      <c r="AO1573" s="18" t="s">
        <v>1037</v>
      </c>
      <c r="AP1573" t="s">
        <v>1035</v>
      </c>
      <c r="AQ1573"/>
    </row>
    <row r="1574" spans="1:44" s="10" customFormat="1" x14ac:dyDescent="0.3">
      <c r="A1574" s="367" t="s">
        <v>8317</v>
      </c>
      <c r="B1574" s="10" t="s">
        <v>8318</v>
      </c>
      <c r="C1574" s="368" t="s">
        <v>8580</v>
      </c>
      <c r="D1574" s="10" t="s">
        <v>8581</v>
      </c>
      <c r="E1574" s="10" t="s">
        <v>8582</v>
      </c>
      <c r="F1574" s="10" t="s">
        <v>8583</v>
      </c>
      <c r="G1574" s="10" t="s">
        <v>8610</v>
      </c>
      <c r="H1574" s="10" t="s">
        <v>8611</v>
      </c>
      <c r="I1574" s="9"/>
      <c r="J1574" s="370"/>
      <c r="K1574" s="10" t="s">
        <v>8612</v>
      </c>
      <c r="L1574" s="10" t="s">
        <v>8613</v>
      </c>
      <c r="M1574" s="18"/>
      <c r="N1574" s="18"/>
      <c r="O1574" s="18"/>
      <c r="P1574" s="16"/>
      <c r="Q1574" s="16"/>
      <c r="R1574" s="16"/>
      <c r="S1574" s="16"/>
      <c r="U1574" t="e">
        <f>VLOOKUP(T1574,[8]Votes!$A$1:$E$234,3,FALSE)</f>
        <v>#N/A</v>
      </c>
      <c r="V1574" t="s">
        <v>8619</v>
      </c>
      <c r="W1574" s="369">
        <v>1</v>
      </c>
      <c r="X1574" s="369">
        <v>1</v>
      </c>
      <c r="Y1574" s="369">
        <v>0</v>
      </c>
      <c r="Z1574" s="369">
        <v>1</v>
      </c>
      <c r="AA1574" s="369">
        <v>1</v>
      </c>
      <c r="AB1574" s="369">
        <v>1</v>
      </c>
      <c r="AC1574" s="369">
        <v>0</v>
      </c>
      <c r="AD1574" s="369">
        <v>1</v>
      </c>
      <c r="AE1574" s="49">
        <f t="shared" si="64"/>
        <v>0.75</v>
      </c>
      <c r="AF1574" s="17"/>
      <c r="AG1574" s="17">
        <v>0</v>
      </c>
      <c r="AH1574" s="17">
        <v>0</v>
      </c>
      <c r="AI1574" s="44">
        <v>0</v>
      </c>
      <c r="AJ1574" s="17">
        <v>0</v>
      </c>
      <c r="AK1574" s="151"/>
      <c r="AL1574" s="151"/>
      <c r="AM1574" s="147">
        <f t="shared" si="63"/>
        <v>0</v>
      </c>
      <c r="AN1574" s="44" t="s">
        <v>8476</v>
      </c>
      <c r="AO1574" s="18" t="s">
        <v>1037</v>
      </c>
      <c r="AP1574" t="s">
        <v>1035</v>
      </c>
      <c r="AQ1574"/>
    </row>
    <row r="1575" spans="1:44" s="10" customFormat="1" x14ac:dyDescent="0.3">
      <c r="A1575" s="367" t="s">
        <v>8317</v>
      </c>
      <c r="B1575" s="10" t="s">
        <v>8318</v>
      </c>
      <c r="C1575" s="368" t="s">
        <v>8580</v>
      </c>
      <c r="D1575" s="10" t="s">
        <v>8581</v>
      </c>
      <c r="E1575" s="10" t="s">
        <v>8582</v>
      </c>
      <c r="F1575" s="10" t="s">
        <v>8583</v>
      </c>
      <c r="G1575" s="10" t="s">
        <v>8610</v>
      </c>
      <c r="H1575" s="10" t="s">
        <v>8611</v>
      </c>
      <c r="I1575" s="9"/>
      <c r="J1575" s="370"/>
      <c r="K1575" s="10" t="s">
        <v>8612</v>
      </c>
      <c r="L1575" s="10" t="s">
        <v>8613</v>
      </c>
      <c r="M1575" s="18"/>
      <c r="N1575" s="18"/>
      <c r="O1575" s="18"/>
      <c r="P1575" s="16"/>
      <c r="Q1575" s="16"/>
      <c r="R1575" s="16"/>
      <c r="S1575" s="16"/>
      <c r="U1575" t="e">
        <f>VLOOKUP(T1575,[8]Votes!$A$1:$E$234,3,FALSE)</f>
        <v>#N/A</v>
      </c>
      <c r="V1575" t="s">
        <v>8620</v>
      </c>
      <c r="W1575" s="369">
        <v>1</v>
      </c>
      <c r="X1575" s="369">
        <v>0</v>
      </c>
      <c r="Y1575" s="369">
        <v>0</v>
      </c>
      <c r="Z1575" s="369">
        <v>1</v>
      </c>
      <c r="AA1575" s="369">
        <v>1</v>
      </c>
      <c r="AB1575" s="369">
        <v>1</v>
      </c>
      <c r="AC1575" s="369">
        <v>0</v>
      </c>
      <c r="AD1575" s="369">
        <v>1</v>
      </c>
      <c r="AE1575" s="49">
        <f t="shared" si="64"/>
        <v>0.625</v>
      </c>
      <c r="AF1575" s="17"/>
      <c r="AG1575" s="17">
        <v>0</v>
      </c>
      <c r="AH1575" s="17">
        <v>0</v>
      </c>
      <c r="AI1575" s="44">
        <v>1</v>
      </c>
      <c r="AJ1575" s="17">
        <v>0</v>
      </c>
      <c r="AK1575" s="151"/>
      <c r="AL1575" s="151"/>
      <c r="AM1575" s="147">
        <f t="shared" si="63"/>
        <v>0</v>
      </c>
      <c r="AN1575" s="44" t="s">
        <v>8476</v>
      </c>
      <c r="AO1575" s="18" t="s">
        <v>1037</v>
      </c>
      <c r="AP1575" t="s">
        <v>1035</v>
      </c>
      <c r="AQ1575"/>
    </row>
    <row r="1576" spans="1:44" s="10" customFormat="1" x14ac:dyDescent="0.3">
      <c r="A1576" s="367" t="s">
        <v>8317</v>
      </c>
      <c r="B1576" s="10" t="s">
        <v>8318</v>
      </c>
      <c r="C1576" s="368" t="s">
        <v>8580</v>
      </c>
      <c r="D1576" s="10" t="s">
        <v>8581</v>
      </c>
      <c r="E1576" s="10" t="s">
        <v>8582</v>
      </c>
      <c r="F1576" s="10" t="s">
        <v>8583</v>
      </c>
      <c r="G1576" s="10" t="s">
        <v>8610</v>
      </c>
      <c r="H1576" s="10" t="s">
        <v>8611</v>
      </c>
      <c r="I1576" s="9"/>
      <c r="J1576" s="370"/>
      <c r="K1576" s="10" t="s">
        <v>8612</v>
      </c>
      <c r="L1576" s="10" t="s">
        <v>8613</v>
      </c>
      <c r="M1576" s="18"/>
      <c r="N1576" s="18"/>
      <c r="O1576" s="18"/>
      <c r="P1576" s="16"/>
      <c r="Q1576" s="16"/>
      <c r="R1576" s="16"/>
      <c r="S1576" s="16"/>
      <c r="U1576" t="e">
        <f>VLOOKUP(T1576,[8]Votes!$A$1:$E$234,3,FALSE)</f>
        <v>#N/A</v>
      </c>
      <c r="V1576" t="s">
        <v>8621</v>
      </c>
      <c r="W1576" s="369">
        <v>1</v>
      </c>
      <c r="X1576" s="369">
        <v>1</v>
      </c>
      <c r="Y1576" s="369">
        <v>0</v>
      </c>
      <c r="Z1576" s="369">
        <v>0</v>
      </c>
      <c r="AA1576" s="369">
        <v>1</v>
      </c>
      <c r="AB1576" s="369">
        <v>1</v>
      </c>
      <c r="AC1576" s="369">
        <v>0</v>
      </c>
      <c r="AD1576" s="369">
        <v>1</v>
      </c>
      <c r="AE1576" s="49">
        <f t="shared" si="64"/>
        <v>0.625</v>
      </c>
      <c r="AF1576" s="17"/>
      <c r="AG1576" s="17">
        <v>0</v>
      </c>
      <c r="AH1576" s="17">
        <v>0</v>
      </c>
      <c r="AI1576" s="44">
        <v>10</v>
      </c>
      <c r="AJ1576" s="17">
        <v>0</v>
      </c>
      <c r="AK1576" s="151">
        <v>1</v>
      </c>
      <c r="AL1576" s="151">
        <v>1</v>
      </c>
      <c r="AM1576" s="147">
        <f t="shared" si="63"/>
        <v>2</v>
      </c>
      <c r="AN1576" s="44" t="s">
        <v>8476</v>
      </c>
      <c r="AO1576" s="18" t="s">
        <v>1037</v>
      </c>
      <c r="AP1576" t="s">
        <v>1035</v>
      </c>
      <c r="AQ1576"/>
    </row>
    <row r="1577" spans="1:44" s="10" customFormat="1" x14ac:dyDescent="0.3">
      <c r="A1577" s="367" t="s">
        <v>8317</v>
      </c>
      <c r="B1577" s="10" t="s">
        <v>8318</v>
      </c>
      <c r="C1577" s="368" t="s">
        <v>8580</v>
      </c>
      <c r="D1577" s="10" t="s">
        <v>8581</v>
      </c>
      <c r="E1577" s="10" t="s">
        <v>8582</v>
      </c>
      <c r="F1577" s="10" t="s">
        <v>8583</v>
      </c>
      <c r="G1577" s="10" t="s">
        <v>8610</v>
      </c>
      <c r="H1577" s="10" t="s">
        <v>8611</v>
      </c>
      <c r="I1577" s="9"/>
      <c r="J1577" s="370"/>
      <c r="K1577" s="10" t="s">
        <v>8612</v>
      </c>
      <c r="L1577" s="10" t="s">
        <v>8613</v>
      </c>
      <c r="M1577" s="18"/>
      <c r="N1577" s="18"/>
      <c r="O1577" s="18"/>
      <c r="P1577" s="16"/>
      <c r="Q1577" s="16"/>
      <c r="R1577" s="16"/>
      <c r="S1577" s="16"/>
      <c r="U1577" t="e">
        <f>VLOOKUP(T1577,[8]Votes!$A$1:$E$234,3,FALSE)</f>
        <v>#N/A</v>
      </c>
      <c r="V1577" t="s">
        <v>8622</v>
      </c>
      <c r="W1577" s="369">
        <v>1</v>
      </c>
      <c r="X1577" s="369">
        <v>0</v>
      </c>
      <c r="Y1577" s="369">
        <v>0</v>
      </c>
      <c r="Z1577" s="369">
        <v>1</v>
      </c>
      <c r="AA1577" s="369">
        <v>1</v>
      </c>
      <c r="AB1577" s="369">
        <v>1</v>
      </c>
      <c r="AC1577" s="369">
        <v>0</v>
      </c>
      <c r="AD1577" s="369">
        <v>1</v>
      </c>
      <c r="AE1577" s="49">
        <f t="shared" si="64"/>
        <v>0.625</v>
      </c>
      <c r="AF1577" s="17"/>
      <c r="AG1577" s="17">
        <v>0</v>
      </c>
      <c r="AH1577" s="17">
        <v>0</v>
      </c>
      <c r="AI1577" s="17">
        <v>0</v>
      </c>
      <c r="AJ1577" s="17">
        <v>0</v>
      </c>
      <c r="AK1577" s="153">
        <v>0</v>
      </c>
      <c r="AL1577" s="154">
        <v>0</v>
      </c>
      <c r="AM1577" s="147">
        <f t="shared" si="63"/>
        <v>0</v>
      </c>
      <c r="AN1577" s="44" t="s">
        <v>8476</v>
      </c>
      <c r="AO1577" s="18" t="s">
        <v>1037</v>
      </c>
      <c r="AP1577" t="s">
        <v>1035</v>
      </c>
      <c r="AQ1577"/>
    </row>
    <row r="1578" spans="1:44" s="10" customFormat="1" x14ac:dyDescent="0.3">
      <c r="A1578" s="367" t="s">
        <v>8317</v>
      </c>
      <c r="B1578" s="10" t="s">
        <v>8318</v>
      </c>
      <c r="C1578" s="368" t="s">
        <v>8580</v>
      </c>
      <c r="D1578" s="10" t="s">
        <v>8581</v>
      </c>
      <c r="E1578" s="10" t="s">
        <v>8582</v>
      </c>
      <c r="F1578" s="10" t="s">
        <v>8583</v>
      </c>
      <c r="G1578" s="10" t="s">
        <v>8610</v>
      </c>
      <c r="H1578" s="10" t="s">
        <v>8611</v>
      </c>
      <c r="I1578" s="9"/>
      <c r="J1578" s="370"/>
      <c r="K1578" s="10" t="s">
        <v>8612</v>
      </c>
      <c r="L1578" s="10" t="s">
        <v>8613</v>
      </c>
      <c r="M1578" s="18"/>
      <c r="N1578" s="18"/>
      <c r="O1578" s="18"/>
      <c r="P1578" s="16"/>
      <c r="Q1578" s="16"/>
      <c r="R1578" s="16"/>
      <c r="S1578" s="16"/>
      <c r="U1578" t="e">
        <f>VLOOKUP(T1578,[8]Votes!$A$1:$E$234,3,FALSE)</f>
        <v>#N/A</v>
      </c>
      <c r="V1578" t="s">
        <v>8623</v>
      </c>
      <c r="W1578" s="369">
        <v>1</v>
      </c>
      <c r="X1578" s="369">
        <v>1</v>
      </c>
      <c r="Y1578" s="369">
        <v>1</v>
      </c>
      <c r="Z1578" s="369">
        <v>1</v>
      </c>
      <c r="AA1578" s="369">
        <v>1</v>
      </c>
      <c r="AB1578" s="369">
        <v>1</v>
      </c>
      <c r="AC1578" s="369">
        <v>1</v>
      </c>
      <c r="AD1578" s="369">
        <v>1</v>
      </c>
      <c r="AE1578" s="49">
        <f t="shared" si="64"/>
        <v>1</v>
      </c>
      <c r="AF1578" s="17"/>
      <c r="AG1578" s="17">
        <v>0</v>
      </c>
      <c r="AH1578" s="17">
        <v>0</v>
      </c>
      <c r="AI1578" s="44">
        <v>0</v>
      </c>
      <c r="AJ1578" s="17">
        <v>0</v>
      </c>
      <c r="AK1578" s="151"/>
      <c r="AL1578" s="151"/>
      <c r="AM1578" s="147">
        <f t="shared" si="63"/>
        <v>0</v>
      </c>
      <c r="AN1578" s="44" t="s">
        <v>8476</v>
      </c>
      <c r="AO1578" s="18" t="s">
        <v>1037</v>
      </c>
      <c r="AP1578" t="s">
        <v>8624</v>
      </c>
      <c r="AQ1578"/>
    </row>
    <row r="1579" spans="1:44" s="10" customFormat="1" x14ac:dyDescent="0.3">
      <c r="A1579" s="367" t="s">
        <v>8317</v>
      </c>
      <c r="B1579" s="10" t="s">
        <v>8318</v>
      </c>
      <c r="C1579" s="368" t="s">
        <v>8580</v>
      </c>
      <c r="D1579" s="10" t="s">
        <v>8581</v>
      </c>
      <c r="E1579" s="10" t="s">
        <v>8582</v>
      </c>
      <c r="F1579" s="10" t="s">
        <v>8583</v>
      </c>
      <c r="G1579" s="10" t="s">
        <v>8610</v>
      </c>
      <c r="H1579" s="10" t="s">
        <v>8611</v>
      </c>
      <c r="I1579" s="9"/>
      <c r="J1579" s="370"/>
      <c r="K1579" s="10" t="s">
        <v>8612</v>
      </c>
      <c r="L1579" s="10" t="s">
        <v>8613</v>
      </c>
      <c r="M1579" s="18"/>
      <c r="N1579" s="18"/>
      <c r="O1579" s="18"/>
      <c r="P1579" s="16"/>
      <c r="Q1579" s="16"/>
      <c r="R1579" s="16"/>
      <c r="S1579" s="16"/>
      <c r="U1579" t="e">
        <f>VLOOKUP(T1579,[8]Votes!$A$1:$E$234,3,FALSE)</f>
        <v>#N/A</v>
      </c>
      <c r="V1579" t="s">
        <v>8625</v>
      </c>
      <c r="W1579" s="369">
        <v>1</v>
      </c>
      <c r="X1579" s="369">
        <v>0</v>
      </c>
      <c r="Y1579" s="369">
        <v>0</v>
      </c>
      <c r="Z1579" s="369">
        <v>1</v>
      </c>
      <c r="AA1579" s="369">
        <v>1</v>
      </c>
      <c r="AB1579" s="369">
        <v>0</v>
      </c>
      <c r="AC1579" s="369">
        <v>0</v>
      </c>
      <c r="AD1579" s="369">
        <v>1</v>
      </c>
      <c r="AE1579" s="49">
        <f t="shared" si="64"/>
        <v>0.5</v>
      </c>
      <c r="AF1579" s="17"/>
      <c r="AG1579" s="17">
        <v>1</v>
      </c>
      <c r="AH1579" s="17">
        <v>0</v>
      </c>
      <c r="AI1579" s="44">
        <v>18</v>
      </c>
      <c r="AJ1579" s="17">
        <v>0</v>
      </c>
      <c r="AK1579" s="153">
        <v>0</v>
      </c>
      <c r="AL1579" s="154">
        <v>0</v>
      </c>
      <c r="AM1579" s="147">
        <f t="shared" si="63"/>
        <v>0</v>
      </c>
      <c r="AN1579" s="44" t="s">
        <v>8476</v>
      </c>
      <c r="AO1579" s="18" t="s">
        <v>1037</v>
      </c>
      <c r="AP1579" t="s">
        <v>570</v>
      </c>
      <c r="AQ1579"/>
    </row>
    <row r="1580" spans="1:44" s="10" customFormat="1" x14ac:dyDescent="0.3">
      <c r="A1580" s="367" t="s">
        <v>8317</v>
      </c>
      <c r="B1580" s="10" t="s">
        <v>8318</v>
      </c>
      <c r="C1580" s="368" t="s">
        <v>8580</v>
      </c>
      <c r="D1580" s="10" t="s">
        <v>8581</v>
      </c>
      <c r="E1580" s="10" t="s">
        <v>8582</v>
      </c>
      <c r="F1580" s="10" t="s">
        <v>8583</v>
      </c>
      <c r="G1580" s="10" t="s">
        <v>8610</v>
      </c>
      <c r="H1580" s="10" t="s">
        <v>8611</v>
      </c>
      <c r="I1580" s="9"/>
      <c r="J1580" s="370"/>
      <c r="K1580" s="10" t="s">
        <v>8612</v>
      </c>
      <c r="L1580" s="10" t="s">
        <v>8613</v>
      </c>
      <c r="M1580" s="18"/>
      <c r="N1580" s="18"/>
      <c r="O1580" s="18"/>
      <c r="P1580" s="16"/>
      <c r="Q1580" s="16"/>
      <c r="R1580" s="16"/>
      <c r="S1580" s="16"/>
      <c r="U1580" t="e">
        <f>VLOOKUP(T1580,[8]Votes!$A$1:$E$234,3,FALSE)</f>
        <v>#N/A</v>
      </c>
      <c r="V1580" t="s">
        <v>8626</v>
      </c>
      <c r="W1580" s="369">
        <v>1</v>
      </c>
      <c r="X1580" s="369">
        <v>0</v>
      </c>
      <c r="Y1580" s="369">
        <v>0</v>
      </c>
      <c r="Z1580" s="369">
        <v>1</v>
      </c>
      <c r="AA1580" s="369">
        <v>1</v>
      </c>
      <c r="AB1580" s="369">
        <v>1</v>
      </c>
      <c r="AC1580" s="369">
        <v>0</v>
      </c>
      <c r="AD1580" s="369">
        <v>1</v>
      </c>
      <c r="AE1580" s="49">
        <f t="shared" si="64"/>
        <v>0.625</v>
      </c>
      <c r="AF1580" s="17"/>
      <c r="AG1580" s="17">
        <v>0</v>
      </c>
      <c r="AH1580" s="17">
        <v>0</v>
      </c>
      <c r="AI1580" s="44">
        <v>2</v>
      </c>
      <c r="AJ1580" s="17">
        <v>0</v>
      </c>
      <c r="AK1580" s="151">
        <v>2</v>
      </c>
      <c r="AL1580" s="151">
        <v>2</v>
      </c>
      <c r="AM1580" s="147">
        <f t="shared" si="63"/>
        <v>4</v>
      </c>
      <c r="AN1580" s="44" t="s">
        <v>8476</v>
      </c>
      <c r="AO1580" s="18" t="s">
        <v>1037</v>
      </c>
      <c r="AP1580" t="s">
        <v>3605</v>
      </c>
      <c r="AQ1580"/>
    </row>
    <row r="1581" spans="1:44" s="10" customFormat="1" x14ac:dyDescent="0.3">
      <c r="A1581" s="367" t="s">
        <v>8317</v>
      </c>
      <c r="B1581" s="10" t="s">
        <v>8318</v>
      </c>
      <c r="C1581" s="368" t="s">
        <v>8580</v>
      </c>
      <c r="D1581" s="10" t="s">
        <v>8581</v>
      </c>
      <c r="E1581" s="10" t="s">
        <v>8582</v>
      </c>
      <c r="F1581" s="10" t="s">
        <v>8583</v>
      </c>
      <c r="G1581" s="10" t="s">
        <v>8610</v>
      </c>
      <c r="H1581" s="10" t="s">
        <v>8611</v>
      </c>
      <c r="I1581" s="9"/>
      <c r="J1581" s="370"/>
      <c r="K1581" s="10" t="s">
        <v>8612</v>
      </c>
      <c r="L1581" s="10" t="s">
        <v>8613</v>
      </c>
      <c r="M1581" s="18"/>
      <c r="N1581" s="18"/>
      <c r="O1581" s="18"/>
      <c r="P1581" s="16"/>
      <c r="Q1581" s="16"/>
      <c r="R1581" s="16"/>
      <c r="S1581" s="16"/>
      <c r="U1581" t="e">
        <f>VLOOKUP(T1581,[8]Votes!$A$1:$E$234,3,FALSE)</f>
        <v>#N/A</v>
      </c>
      <c r="V1581" t="s">
        <v>8627</v>
      </c>
      <c r="W1581" s="369">
        <v>1</v>
      </c>
      <c r="X1581" s="369">
        <v>0</v>
      </c>
      <c r="Y1581" s="369">
        <v>0</v>
      </c>
      <c r="Z1581" s="369">
        <v>1</v>
      </c>
      <c r="AA1581" s="369">
        <v>1</v>
      </c>
      <c r="AB1581" s="369">
        <v>1</v>
      </c>
      <c r="AC1581" s="369">
        <v>0</v>
      </c>
      <c r="AD1581" s="369">
        <v>1</v>
      </c>
      <c r="AE1581" s="49">
        <f t="shared" si="64"/>
        <v>0.625</v>
      </c>
      <c r="AF1581" s="17"/>
      <c r="AG1581" s="17">
        <v>0</v>
      </c>
      <c r="AH1581" s="17">
        <v>0</v>
      </c>
      <c r="AI1581" s="17">
        <v>0</v>
      </c>
      <c r="AJ1581" s="17">
        <v>0</v>
      </c>
      <c r="AK1581" s="153"/>
      <c r="AL1581" s="154"/>
      <c r="AM1581" s="147">
        <f t="shared" si="63"/>
        <v>0</v>
      </c>
      <c r="AN1581" s="44" t="s">
        <v>8476</v>
      </c>
      <c r="AO1581" s="18" t="s">
        <v>1037</v>
      </c>
      <c r="AP1581" t="s">
        <v>8628</v>
      </c>
      <c r="AQ1581"/>
    </row>
    <row r="1582" spans="1:44" s="10" customFormat="1" x14ac:dyDescent="0.3">
      <c r="A1582" s="367" t="s">
        <v>8317</v>
      </c>
      <c r="B1582" s="10" t="s">
        <v>8318</v>
      </c>
      <c r="C1582" s="368" t="s">
        <v>8580</v>
      </c>
      <c r="D1582" s="10" t="s">
        <v>8581</v>
      </c>
      <c r="E1582" s="10" t="s">
        <v>8582</v>
      </c>
      <c r="F1582" s="10" t="s">
        <v>8583</v>
      </c>
      <c r="G1582" s="10" t="s">
        <v>8610</v>
      </c>
      <c r="H1582" s="10" t="s">
        <v>8611</v>
      </c>
      <c r="I1582" s="9"/>
      <c r="J1582" s="370"/>
      <c r="K1582" s="10" t="s">
        <v>8612</v>
      </c>
      <c r="L1582" s="10" t="s">
        <v>8613</v>
      </c>
      <c r="M1582" s="18" t="s">
        <v>8629</v>
      </c>
      <c r="N1582" s="18">
        <v>1</v>
      </c>
      <c r="O1582" s="18">
        <v>1</v>
      </c>
      <c r="P1582" s="16">
        <v>1</v>
      </c>
      <c r="Q1582" s="16">
        <v>1</v>
      </c>
      <c r="R1582" s="16">
        <v>0</v>
      </c>
      <c r="S1582" s="16">
        <v>0</v>
      </c>
      <c r="T1582" s="10" t="s">
        <v>1035</v>
      </c>
      <c r="U1582" t="str">
        <f>VLOOKUP(T1582,[8]Votes!$A$1:$E$234,3,FALSE)</f>
        <v>017 Ministry of Energy and Mineral Development</v>
      </c>
      <c r="V1582" t="s">
        <v>8630</v>
      </c>
      <c r="W1582" s="369">
        <v>1</v>
      </c>
      <c r="X1582" s="369">
        <v>1</v>
      </c>
      <c r="Y1582" s="369">
        <v>0</v>
      </c>
      <c r="Z1582" s="369">
        <v>1</v>
      </c>
      <c r="AA1582" s="369">
        <v>1</v>
      </c>
      <c r="AB1582" s="369">
        <v>0</v>
      </c>
      <c r="AC1582" s="369">
        <v>0</v>
      </c>
      <c r="AD1582" s="369">
        <v>1</v>
      </c>
      <c r="AE1582" s="49">
        <f t="shared" si="64"/>
        <v>0.625</v>
      </c>
      <c r="AF1582" s="17"/>
      <c r="AG1582" s="17">
        <v>0</v>
      </c>
      <c r="AH1582" s="17">
        <v>0</v>
      </c>
      <c r="AI1582" s="44">
        <v>1</v>
      </c>
      <c r="AJ1582" s="17">
        <v>0</v>
      </c>
      <c r="AK1582" s="153">
        <v>0</v>
      </c>
      <c r="AL1582" s="154">
        <v>0</v>
      </c>
      <c r="AM1582" s="147">
        <f t="shared" si="63"/>
        <v>0</v>
      </c>
      <c r="AN1582" s="44" t="s">
        <v>8476</v>
      </c>
      <c r="AO1582" s="18" t="s">
        <v>1037</v>
      </c>
      <c r="AP1582" t="s">
        <v>4393</v>
      </c>
      <c r="AQ1582"/>
    </row>
    <row r="1583" spans="1:44" s="10" customFormat="1" x14ac:dyDescent="0.3">
      <c r="A1583" s="367" t="s">
        <v>8317</v>
      </c>
      <c r="B1583" s="10" t="s">
        <v>8318</v>
      </c>
      <c r="C1583" s="368" t="s">
        <v>8580</v>
      </c>
      <c r="D1583" s="10" t="s">
        <v>8581</v>
      </c>
      <c r="E1583" s="10" t="s">
        <v>8582</v>
      </c>
      <c r="F1583" s="10" t="s">
        <v>8583</v>
      </c>
      <c r="G1583" s="10" t="s">
        <v>8610</v>
      </c>
      <c r="H1583" s="10" t="s">
        <v>8611</v>
      </c>
      <c r="I1583" s="9"/>
      <c r="J1583" s="370"/>
      <c r="K1583" s="10" t="s">
        <v>8612</v>
      </c>
      <c r="L1583" s="10" t="s">
        <v>8613</v>
      </c>
      <c r="M1583" s="18" t="s">
        <v>8631</v>
      </c>
      <c r="N1583" s="18">
        <v>0</v>
      </c>
      <c r="O1583" s="18">
        <v>4</v>
      </c>
      <c r="P1583" s="16">
        <v>0</v>
      </c>
      <c r="Q1583" s="16">
        <v>0</v>
      </c>
      <c r="R1583" s="16">
        <v>0</v>
      </c>
      <c r="S1583" s="16"/>
      <c r="T1583" s="10" t="s">
        <v>1035</v>
      </c>
      <c r="U1583" t="str">
        <f>VLOOKUP(T1583,[8]Votes!$A$1:$E$234,3,FALSE)</f>
        <v>017 Ministry of Energy and Mineral Development</v>
      </c>
      <c r="V1583" t="s">
        <v>8632</v>
      </c>
      <c r="W1583" s="369">
        <v>1</v>
      </c>
      <c r="X1583" s="369">
        <v>1</v>
      </c>
      <c r="Y1583" s="369">
        <v>1</v>
      </c>
      <c r="Z1583" s="369">
        <v>1</v>
      </c>
      <c r="AA1583" s="369">
        <v>1</v>
      </c>
      <c r="AB1583" s="369">
        <v>1</v>
      </c>
      <c r="AC1583" s="369">
        <v>1</v>
      </c>
      <c r="AD1583" s="369">
        <v>1</v>
      </c>
      <c r="AE1583" s="49">
        <f t="shared" si="64"/>
        <v>1</v>
      </c>
      <c r="AF1583" s="44"/>
      <c r="AG1583" s="17">
        <v>0</v>
      </c>
      <c r="AH1583" s="44">
        <v>0.8</v>
      </c>
      <c r="AI1583" s="44">
        <v>1.2</v>
      </c>
      <c r="AJ1583" s="17">
        <v>0</v>
      </c>
      <c r="AK1583" s="151">
        <v>2</v>
      </c>
      <c r="AL1583" s="154">
        <v>0</v>
      </c>
      <c r="AM1583" s="147">
        <f t="shared" si="63"/>
        <v>2</v>
      </c>
      <c r="AN1583" s="44" t="s">
        <v>1035</v>
      </c>
      <c r="AO1583" s="18" t="s">
        <v>1037</v>
      </c>
      <c r="AP1583" t="s">
        <v>8589</v>
      </c>
      <c r="AQ1583"/>
    </row>
    <row r="1584" spans="1:44" s="10" customFormat="1" x14ac:dyDescent="0.3">
      <c r="A1584" s="367" t="s">
        <v>8317</v>
      </c>
      <c r="B1584" s="10" t="s">
        <v>8318</v>
      </c>
      <c r="C1584" s="368" t="s">
        <v>8580</v>
      </c>
      <c r="D1584" s="10" t="s">
        <v>8581</v>
      </c>
      <c r="E1584" s="10" t="s">
        <v>8582</v>
      </c>
      <c r="F1584" s="10" t="s">
        <v>8583</v>
      </c>
      <c r="G1584" s="10" t="s">
        <v>8610</v>
      </c>
      <c r="H1584" s="10" t="s">
        <v>8611</v>
      </c>
      <c r="I1584" s="9"/>
      <c r="J1584" s="370"/>
      <c r="K1584" s="10" t="s">
        <v>8612</v>
      </c>
      <c r="L1584" s="10" t="s">
        <v>8613</v>
      </c>
      <c r="M1584" s="18" t="s">
        <v>8633</v>
      </c>
      <c r="N1584" s="18">
        <v>0</v>
      </c>
      <c r="O1584" s="18">
        <v>0</v>
      </c>
      <c r="P1584" s="16">
        <v>0</v>
      </c>
      <c r="Q1584" s="16">
        <v>0</v>
      </c>
      <c r="R1584" s="16">
        <v>4</v>
      </c>
      <c r="S1584" s="16"/>
      <c r="T1584" s="10" t="s">
        <v>1035</v>
      </c>
      <c r="U1584" t="str">
        <f>VLOOKUP(T1584,[8]Votes!$A$1:$E$234,3,FALSE)</f>
        <v>017 Ministry of Energy and Mineral Development</v>
      </c>
      <c r="V1584" t="s">
        <v>8634</v>
      </c>
      <c r="W1584" s="369">
        <v>1</v>
      </c>
      <c r="X1584" s="369">
        <v>0</v>
      </c>
      <c r="Y1584" s="369">
        <v>0</v>
      </c>
      <c r="Z1584" s="369">
        <v>1</v>
      </c>
      <c r="AA1584" s="369">
        <v>1</v>
      </c>
      <c r="AB1584" s="369">
        <v>1</v>
      </c>
      <c r="AC1584" s="369">
        <v>0</v>
      </c>
      <c r="AD1584" s="369">
        <v>1</v>
      </c>
      <c r="AE1584" s="49">
        <f t="shared" si="64"/>
        <v>0.625</v>
      </c>
      <c r="AF1584" s="17">
        <v>1</v>
      </c>
      <c r="AG1584" s="17">
        <v>0</v>
      </c>
      <c r="AH1584" s="17">
        <v>0</v>
      </c>
      <c r="AI1584" s="17">
        <v>0</v>
      </c>
      <c r="AJ1584" s="17">
        <v>0</v>
      </c>
      <c r="AK1584" s="153">
        <v>2</v>
      </c>
      <c r="AL1584" s="154">
        <v>2</v>
      </c>
      <c r="AM1584" s="147">
        <f t="shared" si="63"/>
        <v>4</v>
      </c>
      <c r="AN1584" s="44" t="s">
        <v>1035</v>
      </c>
      <c r="AO1584" s="18" t="s">
        <v>1037</v>
      </c>
      <c r="AP1584" t="s">
        <v>8589</v>
      </c>
      <c r="AQ1584"/>
    </row>
    <row r="1585" spans="1:43" s="10" customFormat="1" x14ac:dyDescent="0.3">
      <c r="A1585" s="367" t="s">
        <v>8317</v>
      </c>
      <c r="B1585" s="10" t="s">
        <v>8318</v>
      </c>
      <c r="C1585" s="368" t="s">
        <v>8580</v>
      </c>
      <c r="D1585" s="10" t="s">
        <v>8581</v>
      </c>
      <c r="E1585" s="10" t="s">
        <v>8582</v>
      </c>
      <c r="F1585" s="10" t="s">
        <v>8583</v>
      </c>
      <c r="G1585" s="10" t="s">
        <v>8610</v>
      </c>
      <c r="H1585" s="10" t="s">
        <v>8611</v>
      </c>
      <c r="I1585" s="9"/>
      <c r="J1585" s="370"/>
      <c r="K1585" s="10" t="s">
        <v>8612</v>
      </c>
      <c r="L1585" s="10" t="s">
        <v>8635</v>
      </c>
      <c r="M1585" s="18" t="s">
        <v>8636</v>
      </c>
      <c r="N1585" s="18">
        <v>0</v>
      </c>
      <c r="O1585" s="18">
        <v>0</v>
      </c>
      <c r="P1585" s="16">
        <v>1</v>
      </c>
      <c r="Q1585" s="16">
        <v>2</v>
      </c>
      <c r="R1585" s="16">
        <v>3</v>
      </c>
      <c r="S1585" s="16">
        <v>3</v>
      </c>
      <c r="T1585" s="10" t="s">
        <v>8637</v>
      </c>
      <c r="U1585" t="e">
        <f>VLOOKUP(T1585,[8]Votes!$A$1:$E$234,3,FALSE)</f>
        <v>#N/A</v>
      </c>
      <c r="V1585" t="s">
        <v>8638</v>
      </c>
      <c r="W1585" s="369">
        <v>1</v>
      </c>
      <c r="X1585" s="369">
        <v>0</v>
      </c>
      <c r="Y1585" s="369">
        <v>1</v>
      </c>
      <c r="Z1585" s="369">
        <v>1</v>
      </c>
      <c r="AA1585" s="369">
        <v>1</v>
      </c>
      <c r="AB1585" s="369">
        <v>1</v>
      </c>
      <c r="AC1585" s="369">
        <v>1</v>
      </c>
      <c r="AD1585" s="369">
        <v>1</v>
      </c>
      <c r="AE1585" s="49">
        <f t="shared" si="64"/>
        <v>0.875</v>
      </c>
      <c r="AF1585" s="44">
        <v>1</v>
      </c>
      <c r="AG1585" s="17">
        <v>0</v>
      </c>
      <c r="AH1585" s="44">
        <v>2</v>
      </c>
      <c r="AI1585" s="44">
        <v>2</v>
      </c>
      <c r="AJ1585" s="44">
        <v>2</v>
      </c>
      <c r="AK1585" s="151">
        <v>1</v>
      </c>
      <c r="AL1585" s="151">
        <v>1</v>
      </c>
      <c r="AM1585" s="147">
        <f t="shared" si="63"/>
        <v>2</v>
      </c>
      <c r="AN1585" s="44" t="s">
        <v>1035</v>
      </c>
      <c r="AO1585" s="18" t="s">
        <v>1037</v>
      </c>
      <c r="AP1585" t="s">
        <v>3605</v>
      </c>
      <c r="AQ1585"/>
    </row>
    <row r="1586" spans="1:43" s="10" customFormat="1" x14ac:dyDescent="0.3">
      <c r="A1586" s="367" t="s">
        <v>8317</v>
      </c>
      <c r="B1586" s="10" t="s">
        <v>8318</v>
      </c>
      <c r="C1586" s="368" t="s">
        <v>8580</v>
      </c>
      <c r="D1586" s="10" t="s">
        <v>8581</v>
      </c>
      <c r="E1586" s="10" t="s">
        <v>8582</v>
      </c>
      <c r="F1586" s="10" t="s">
        <v>8583</v>
      </c>
      <c r="G1586" s="10" t="s">
        <v>8610</v>
      </c>
      <c r="H1586" s="10" t="s">
        <v>8611</v>
      </c>
      <c r="I1586" s="9"/>
      <c r="J1586" s="370"/>
      <c r="K1586" s="10" t="s">
        <v>8639</v>
      </c>
      <c r="L1586" s="10" t="s">
        <v>8635</v>
      </c>
      <c r="M1586" s="18" t="s">
        <v>8640</v>
      </c>
      <c r="N1586" s="18">
        <v>0</v>
      </c>
      <c r="O1586" s="18">
        <v>0</v>
      </c>
      <c r="P1586" s="16">
        <v>2</v>
      </c>
      <c r="Q1586" s="16">
        <v>2</v>
      </c>
      <c r="R1586" s="16">
        <v>2</v>
      </c>
      <c r="S1586" s="16">
        <v>2</v>
      </c>
      <c r="T1586" t="s">
        <v>8637</v>
      </c>
      <c r="U1586" t="e">
        <f>VLOOKUP(T1586,[8]Votes!$A$1:$E$234,3,FALSE)</f>
        <v>#N/A</v>
      </c>
      <c r="V1586" t="s">
        <v>8641</v>
      </c>
      <c r="W1586" s="369">
        <v>1</v>
      </c>
      <c r="X1586" s="369">
        <v>1</v>
      </c>
      <c r="Y1586" s="369">
        <v>1</v>
      </c>
      <c r="Z1586" s="369">
        <v>0</v>
      </c>
      <c r="AA1586" s="369">
        <v>1</v>
      </c>
      <c r="AB1586" s="369">
        <v>0</v>
      </c>
      <c r="AC1586" s="369">
        <v>1</v>
      </c>
      <c r="AD1586" s="369">
        <v>1</v>
      </c>
      <c r="AE1586" s="49">
        <f t="shared" si="64"/>
        <v>0.75</v>
      </c>
      <c r="AF1586" s="17">
        <v>1</v>
      </c>
      <c r="AG1586" s="17">
        <v>0</v>
      </c>
      <c r="AH1586" s="17">
        <v>0</v>
      </c>
      <c r="AI1586" s="44">
        <v>0.5</v>
      </c>
      <c r="AJ1586" s="44">
        <v>0.5</v>
      </c>
      <c r="AK1586" s="151">
        <v>1</v>
      </c>
      <c r="AL1586" s="151">
        <v>1</v>
      </c>
      <c r="AM1586" s="147">
        <f t="shared" si="63"/>
        <v>2</v>
      </c>
      <c r="AN1586" s="44" t="s">
        <v>1035</v>
      </c>
      <c r="AO1586" s="18" t="s">
        <v>1037</v>
      </c>
      <c r="AP1586" t="s">
        <v>3605</v>
      </c>
      <c r="AQ1586"/>
    </row>
    <row r="1587" spans="1:43" s="10" customFormat="1" x14ac:dyDescent="0.3">
      <c r="A1587" s="367" t="s">
        <v>8317</v>
      </c>
      <c r="B1587" s="10" t="s">
        <v>8318</v>
      </c>
      <c r="C1587" s="368" t="s">
        <v>8580</v>
      </c>
      <c r="D1587" s="10" t="s">
        <v>8581</v>
      </c>
      <c r="E1587" s="10" t="s">
        <v>8582</v>
      </c>
      <c r="F1587" s="10" t="s">
        <v>8583</v>
      </c>
      <c r="G1587" s="10" t="s">
        <v>8610</v>
      </c>
      <c r="H1587" s="10" t="s">
        <v>8611</v>
      </c>
      <c r="I1587" s="9"/>
      <c r="J1587" s="370"/>
      <c r="K1587" s="10" t="s">
        <v>8639</v>
      </c>
      <c r="L1587" s="10" t="s">
        <v>8635</v>
      </c>
      <c r="M1587" s="18"/>
      <c r="N1587" s="18"/>
      <c r="O1587" s="18"/>
      <c r="P1587" s="16"/>
      <c r="Q1587" s="16"/>
      <c r="R1587" s="16"/>
      <c r="S1587" s="16"/>
      <c r="U1587" t="e">
        <f>VLOOKUP(T1587,[8]Votes!$A$1:$E$234,3,FALSE)</f>
        <v>#N/A</v>
      </c>
      <c r="V1587" t="s">
        <v>8642</v>
      </c>
      <c r="W1587" s="369">
        <v>0</v>
      </c>
      <c r="X1587" s="369">
        <v>0</v>
      </c>
      <c r="Y1587" s="369">
        <v>1</v>
      </c>
      <c r="Z1587" s="369">
        <v>1</v>
      </c>
      <c r="AA1587" s="369">
        <v>1</v>
      </c>
      <c r="AB1587" s="369">
        <v>0</v>
      </c>
      <c r="AC1587" s="369">
        <v>0</v>
      </c>
      <c r="AD1587" s="369">
        <v>1</v>
      </c>
      <c r="AE1587" s="49">
        <f t="shared" si="64"/>
        <v>0.5</v>
      </c>
      <c r="AF1587" s="17"/>
      <c r="AG1587" s="17">
        <v>0</v>
      </c>
      <c r="AH1587" s="17">
        <v>0</v>
      </c>
      <c r="AI1587" s="44">
        <v>0.1</v>
      </c>
      <c r="AJ1587" s="44">
        <v>0.2</v>
      </c>
      <c r="AK1587" s="151">
        <v>0.2</v>
      </c>
      <c r="AL1587" s="151">
        <v>0.2</v>
      </c>
      <c r="AM1587" s="147">
        <f t="shared" si="63"/>
        <v>0.4</v>
      </c>
      <c r="AN1587" s="44" t="s">
        <v>1035</v>
      </c>
      <c r="AO1587" s="18" t="s">
        <v>1037</v>
      </c>
      <c r="AP1587" t="s">
        <v>771</v>
      </c>
      <c r="AQ1587"/>
    </row>
    <row r="1588" spans="1:43" s="10" customFormat="1" x14ac:dyDescent="0.3">
      <c r="A1588" s="367" t="s">
        <v>8317</v>
      </c>
      <c r="B1588" s="10" t="s">
        <v>8318</v>
      </c>
      <c r="C1588" s="368" t="s">
        <v>8580</v>
      </c>
      <c r="D1588" s="10" t="s">
        <v>8581</v>
      </c>
      <c r="E1588" s="10" t="s">
        <v>8582</v>
      </c>
      <c r="F1588" s="10" t="s">
        <v>8583</v>
      </c>
      <c r="G1588" s="10" t="s">
        <v>8610</v>
      </c>
      <c r="H1588" s="10" t="s">
        <v>8611</v>
      </c>
      <c r="I1588" s="9"/>
      <c r="J1588" s="370"/>
      <c r="K1588" s="10" t="s">
        <v>8639</v>
      </c>
      <c r="L1588" s="10" t="s">
        <v>8635</v>
      </c>
      <c r="M1588" s="18" t="s">
        <v>8640</v>
      </c>
      <c r="N1588" s="18">
        <v>0</v>
      </c>
      <c r="O1588" s="18">
        <v>0</v>
      </c>
      <c r="P1588" s="16">
        <v>2</v>
      </c>
      <c r="Q1588" s="16">
        <v>2</v>
      </c>
      <c r="R1588" s="16">
        <v>2</v>
      </c>
      <c r="S1588" s="16">
        <v>2</v>
      </c>
      <c r="T1588" t="s">
        <v>8637</v>
      </c>
      <c r="U1588" t="e">
        <f>VLOOKUP(T1588,[8]Votes!$A$1:$E$234,3,FALSE)</f>
        <v>#N/A</v>
      </c>
      <c r="V1588" t="s">
        <v>8643</v>
      </c>
      <c r="W1588" s="369">
        <v>1</v>
      </c>
      <c r="X1588" s="369">
        <v>0</v>
      </c>
      <c r="Y1588" s="369">
        <v>0</v>
      </c>
      <c r="Z1588" s="369">
        <v>1</v>
      </c>
      <c r="AA1588" s="369">
        <v>1</v>
      </c>
      <c r="AB1588" s="369">
        <v>0</v>
      </c>
      <c r="AC1588" s="369">
        <v>1</v>
      </c>
      <c r="AD1588" s="369">
        <v>1</v>
      </c>
      <c r="AE1588" s="49">
        <f t="shared" si="64"/>
        <v>0.625</v>
      </c>
      <c r="AF1588" s="32">
        <v>1</v>
      </c>
      <c r="AG1588" s="17">
        <v>0</v>
      </c>
      <c r="AH1588" s="32"/>
      <c r="AI1588" s="32"/>
      <c r="AJ1588" s="32"/>
      <c r="AK1588" s="214">
        <v>1</v>
      </c>
      <c r="AL1588" s="214">
        <v>1</v>
      </c>
      <c r="AM1588" s="147">
        <f t="shared" si="63"/>
        <v>2</v>
      </c>
      <c r="AN1588" s="44" t="s">
        <v>1035</v>
      </c>
      <c r="AO1588" s="18" t="s">
        <v>1037</v>
      </c>
      <c r="AP1588" t="s">
        <v>771</v>
      </c>
    </row>
    <row r="1589" spans="1:43" s="10" customFormat="1" x14ac:dyDescent="0.3">
      <c r="A1589" s="367" t="s">
        <v>8317</v>
      </c>
      <c r="B1589" s="10" t="s">
        <v>8318</v>
      </c>
      <c r="C1589" s="368" t="s">
        <v>8580</v>
      </c>
      <c r="D1589" s="10" t="s">
        <v>8581</v>
      </c>
      <c r="E1589" s="10" t="s">
        <v>8582</v>
      </c>
      <c r="F1589" s="10" t="s">
        <v>8583</v>
      </c>
      <c r="G1589" s="10" t="s">
        <v>8610</v>
      </c>
      <c r="H1589" s="10" t="s">
        <v>8611</v>
      </c>
      <c r="I1589" s="9"/>
      <c r="J1589" s="370"/>
      <c r="K1589" s="10" t="s">
        <v>8644</v>
      </c>
      <c r="L1589" s="10" t="s">
        <v>8645</v>
      </c>
      <c r="M1589" s="18" t="s">
        <v>8646</v>
      </c>
      <c r="N1589" s="18">
        <v>0</v>
      </c>
      <c r="O1589" s="18">
        <v>0</v>
      </c>
      <c r="P1589" s="16">
        <v>0</v>
      </c>
      <c r="Q1589" s="16">
        <v>72</v>
      </c>
      <c r="R1589" s="16">
        <v>0</v>
      </c>
      <c r="S1589" s="16"/>
      <c r="T1589" s="10" t="s">
        <v>1035</v>
      </c>
      <c r="U1589" t="str">
        <f>VLOOKUP(T1589,[8]Votes!$A$1:$E$234,3,FALSE)</f>
        <v>017 Ministry of Energy and Mineral Development</v>
      </c>
      <c r="V1589" t="s">
        <v>8647</v>
      </c>
      <c r="W1589" s="369">
        <v>1</v>
      </c>
      <c r="X1589" s="369">
        <v>1</v>
      </c>
      <c r="Y1589" s="369">
        <v>1</v>
      </c>
      <c r="Z1589" s="369">
        <v>0</v>
      </c>
      <c r="AA1589" s="369">
        <v>1</v>
      </c>
      <c r="AB1589" s="369">
        <v>1</v>
      </c>
      <c r="AC1589" s="369">
        <v>1</v>
      </c>
      <c r="AD1589" s="369">
        <v>1</v>
      </c>
      <c r="AE1589" s="49">
        <f t="shared" si="64"/>
        <v>0.875</v>
      </c>
      <c r="AF1589" s="44"/>
      <c r="AG1589" s="17">
        <v>1</v>
      </c>
      <c r="AH1589" s="44">
        <v>8.26</v>
      </c>
      <c r="AI1589" s="44">
        <v>50.21</v>
      </c>
      <c r="AJ1589" s="44">
        <v>67.209999999999994</v>
      </c>
      <c r="AK1589" s="151"/>
      <c r="AL1589" s="151"/>
      <c r="AM1589" s="147">
        <f t="shared" si="63"/>
        <v>0</v>
      </c>
      <c r="AN1589" s="44" t="s">
        <v>8341</v>
      </c>
      <c r="AO1589" s="18" t="s">
        <v>1037</v>
      </c>
      <c r="AP1589" t="s">
        <v>1035</v>
      </c>
    </row>
    <row r="1590" spans="1:43" s="10" customFormat="1" x14ac:dyDescent="0.3">
      <c r="A1590" s="367" t="s">
        <v>8317</v>
      </c>
      <c r="B1590" s="10" t="s">
        <v>8318</v>
      </c>
      <c r="C1590" s="368" t="s">
        <v>8580</v>
      </c>
      <c r="D1590" s="10" t="s">
        <v>8581</v>
      </c>
      <c r="E1590" s="10" t="s">
        <v>8582</v>
      </c>
      <c r="F1590" s="10" t="s">
        <v>8583</v>
      </c>
      <c r="G1590" s="10" t="s">
        <v>8610</v>
      </c>
      <c r="H1590" s="10" t="s">
        <v>8611</v>
      </c>
      <c r="I1590" s="9"/>
      <c r="J1590" s="370"/>
      <c r="K1590" s="10" t="s">
        <v>8644</v>
      </c>
      <c r="L1590" s="10" t="s">
        <v>8645</v>
      </c>
      <c r="M1590" s="18" t="s">
        <v>8403</v>
      </c>
      <c r="N1590" s="18"/>
      <c r="O1590" s="18"/>
      <c r="P1590" s="16">
        <v>72</v>
      </c>
      <c r="Q1590" s="16"/>
      <c r="R1590" s="16"/>
      <c r="S1590" s="16">
        <v>10</v>
      </c>
      <c r="T1590" s="10" t="s">
        <v>1035</v>
      </c>
      <c r="U1590" t="str">
        <f>VLOOKUP(T1590,[8]Votes!$A$1:$E$234,3,FALSE)</f>
        <v>017 Ministry of Energy and Mineral Development</v>
      </c>
      <c r="V1590" t="s">
        <v>8395</v>
      </c>
      <c r="W1590" s="369">
        <v>1</v>
      </c>
      <c r="X1590" s="369">
        <v>1</v>
      </c>
      <c r="Y1590" s="369">
        <v>1</v>
      </c>
      <c r="Z1590" s="369">
        <v>1</v>
      </c>
      <c r="AA1590" s="369">
        <v>1</v>
      </c>
      <c r="AB1590" s="369">
        <v>1</v>
      </c>
      <c r="AC1590" s="369">
        <v>1</v>
      </c>
      <c r="AD1590" s="369">
        <v>1</v>
      </c>
      <c r="AE1590" s="49">
        <f t="shared" si="64"/>
        <v>1</v>
      </c>
      <c r="AF1590" s="17"/>
      <c r="AG1590" s="17">
        <v>1</v>
      </c>
      <c r="AH1590" s="17">
        <v>0</v>
      </c>
      <c r="AI1590" s="44">
        <v>0.5</v>
      </c>
      <c r="AJ1590" s="17">
        <v>0</v>
      </c>
      <c r="AK1590" s="153"/>
      <c r="AL1590" s="151"/>
      <c r="AM1590" s="147">
        <f t="shared" si="63"/>
        <v>0</v>
      </c>
      <c r="AN1590" t="s">
        <v>570</v>
      </c>
      <c r="AO1590" s="18" t="s">
        <v>2875</v>
      </c>
      <c r="AP1590" t="s">
        <v>8352</v>
      </c>
    </row>
    <row r="1591" spans="1:43" s="10" customFormat="1" x14ac:dyDescent="0.3">
      <c r="A1591" s="367" t="s">
        <v>8317</v>
      </c>
      <c r="B1591" s="10" t="s">
        <v>8318</v>
      </c>
      <c r="C1591" s="368" t="s">
        <v>8580</v>
      </c>
      <c r="D1591" s="10" t="s">
        <v>8581</v>
      </c>
      <c r="E1591" s="10" t="s">
        <v>8582</v>
      </c>
      <c r="F1591" s="10" t="s">
        <v>8583</v>
      </c>
      <c r="G1591" s="10" t="s">
        <v>8610</v>
      </c>
      <c r="H1591" s="10" t="s">
        <v>8611</v>
      </c>
      <c r="I1591" s="9"/>
      <c r="J1591" s="370"/>
      <c r="K1591" s="10" t="s">
        <v>8648</v>
      </c>
      <c r="L1591" s="10" t="s">
        <v>8649</v>
      </c>
      <c r="M1591" s="18" t="s">
        <v>8650</v>
      </c>
      <c r="N1591" s="18"/>
      <c r="O1591" s="18">
        <v>1</v>
      </c>
      <c r="P1591" s="16">
        <v>1</v>
      </c>
      <c r="Q1591" s="16"/>
      <c r="R1591" s="16"/>
      <c r="S1591" s="16"/>
      <c r="T1591" s="10" t="s">
        <v>1035</v>
      </c>
      <c r="U1591" t="str">
        <f>VLOOKUP(T1591,[8]Votes!$A$1:$E$234,3,FALSE)</f>
        <v>017 Ministry of Energy and Mineral Development</v>
      </c>
      <c r="V1591" t="s">
        <v>8651</v>
      </c>
      <c r="W1591" s="369">
        <v>1</v>
      </c>
      <c r="X1591" s="369">
        <v>1</v>
      </c>
      <c r="Y1591" s="369">
        <v>1</v>
      </c>
      <c r="Z1591" s="369">
        <v>1</v>
      </c>
      <c r="AA1591" s="369">
        <v>1</v>
      </c>
      <c r="AB1591" s="369">
        <v>0</v>
      </c>
      <c r="AC1591" s="369">
        <v>1</v>
      </c>
      <c r="AD1591" s="369">
        <v>1</v>
      </c>
      <c r="AE1591" s="49">
        <f t="shared" si="64"/>
        <v>0.875</v>
      </c>
      <c r="AF1591" s="17"/>
      <c r="AG1591" s="17">
        <v>0</v>
      </c>
      <c r="AH1591" s="17">
        <v>0</v>
      </c>
      <c r="AI1591" s="17">
        <v>0</v>
      </c>
      <c r="AJ1591" s="17">
        <v>0</v>
      </c>
      <c r="AK1591" s="153"/>
      <c r="AL1591" s="154"/>
      <c r="AM1591" s="147">
        <f t="shared" si="63"/>
        <v>0</v>
      </c>
      <c r="AN1591" s="44" t="s">
        <v>1035</v>
      </c>
      <c r="AO1591" s="18" t="s">
        <v>1037</v>
      </c>
      <c r="AP1591" t="s">
        <v>8589</v>
      </c>
    </row>
    <row r="1592" spans="1:43" s="10" customFormat="1" x14ac:dyDescent="0.3">
      <c r="A1592" s="367" t="s">
        <v>8317</v>
      </c>
      <c r="B1592" s="10" t="s">
        <v>8318</v>
      </c>
      <c r="C1592" s="368" t="s">
        <v>8580</v>
      </c>
      <c r="D1592" s="10" t="s">
        <v>8581</v>
      </c>
      <c r="E1592" s="10" t="s">
        <v>8582</v>
      </c>
      <c r="F1592" s="10" t="s">
        <v>8583</v>
      </c>
      <c r="G1592" s="10" t="s">
        <v>8610</v>
      </c>
      <c r="H1592" s="10" t="s">
        <v>8611</v>
      </c>
      <c r="I1592" s="9"/>
      <c r="J1592" s="370"/>
      <c r="K1592" s="10" t="s">
        <v>8648</v>
      </c>
      <c r="L1592" s="10" t="s">
        <v>8649</v>
      </c>
      <c r="M1592" s="18" t="s">
        <v>8652</v>
      </c>
      <c r="N1592" s="18"/>
      <c r="O1592" s="18"/>
      <c r="P1592" s="16">
        <v>1</v>
      </c>
      <c r="Q1592" s="16"/>
      <c r="R1592" s="16"/>
      <c r="S1592" s="16"/>
      <c r="T1592" s="10" t="s">
        <v>1035</v>
      </c>
      <c r="U1592" t="str">
        <f>VLOOKUP(T1592,[8]Votes!$A$1:$E$234,3,FALSE)</f>
        <v>017 Ministry of Energy and Mineral Development</v>
      </c>
      <c r="V1592" t="s">
        <v>8653</v>
      </c>
      <c r="W1592" s="369">
        <v>1</v>
      </c>
      <c r="X1592" s="369">
        <v>0</v>
      </c>
      <c r="Y1592" s="369">
        <v>1</v>
      </c>
      <c r="Z1592" s="369">
        <v>1</v>
      </c>
      <c r="AA1592" s="369">
        <v>1</v>
      </c>
      <c r="AB1592" s="369">
        <v>0</v>
      </c>
      <c r="AC1592" s="369">
        <v>1</v>
      </c>
      <c r="AD1592" s="369">
        <v>1</v>
      </c>
      <c r="AE1592" s="49">
        <f t="shared" si="64"/>
        <v>0.75</v>
      </c>
      <c r="AF1592" s="17"/>
      <c r="AG1592" s="17">
        <v>0</v>
      </c>
      <c r="AH1592" s="17">
        <v>0</v>
      </c>
      <c r="AI1592" s="44">
        <v>0</v>
      </c>
      <c r="AJ1592" s="17">
        <v>0</v>
      </c>
      <c r="AK1592" s="153"/>
      <c r="AL1592" s="154"/>
      <c r="AM1592" s="147">
        <f t="shared" si="63"/>
        <v>0</v>
      </c>
      <c r="AN1592" s="44" t="s">
        <v>8476</v>
      </c>
      <c r="AO1592" s="18" t="s">
        <v>1037</v>
      </c>
      <c r="AP1592" t="s">
        <v>8445</v>
      </c>
    </row>
    <row r="1593" spans="1:43" s="10" customFormat="1" x14ac:dyDescent="0.3">
      <c r="A1593" s="367" t="s">
        <v>8317</v>
      </c>
      <c r="B1593" s="10" t="s">
        <v>8318</v>
      </c>
      <c r="C1593" s="368" t="s">
        <v>8580</v>
      </c>
      <c r="D1593" s="10" t="s">
        <v>8581</v>
      </c>
      <c r="E1593" s="10" t="s">
        <v>8582</v>
      </c>
      <c r="F1593" s="10" t="s">
        <v>8583</v>
      </c>
      <c r="G1593" s="10" t="s">
        <v>8610</v>
      </c>
      <c r="H1593" s="10" t="s">
        <v>8611</v>
      </c>
      <c r="I1593" s="9"/>
      <c r="J1593" s="370"/>
      <c r="K1593" s="10" t="s">
        <v>8648</v>
      </c>
      <c r="L1593" s="10" t="s">
        <v>8649</v>
      </c>
      <c r="M1593" s="18"/>
      <c r="N1593" s="18"/>
      <c r="O1593" s="18"/>
      <c r="P1593" s="16"/>
      <c r="Q1593" s="16"/>
      <c r="R1593" s="16"/>
      <c r="S1593" s="16"/>
      <c r="U1593" t="e">
        <f>VLOOKUP(T1593,[8]Votes!$A$1:$E$234,3,FALSE)</f>
        <v>#N/A</v>
      </c>
      <c r="V1593" t="s">
        <v>8654</v>
      </c>
      <c r="W1593" s="369">
        <v>1</v>
      </c>
      <c r="X1593" s="369">
        <v>0</v>
      </c>
      <c r="Y1593" s="369">
        <v>0</v>
      </c>
      <c r="Z1593" s="369">
        <v>1</v>
      </c>
      <c r="AA1593" s="369">
        <v>1</v>
      </c>
      <c r="AB1593" s="369">
        <v>0</v>
      </c>
      <c r="AC1593" s="369">
        <v>1</v>
      </c>
      <c r="AD1593" s="369">
        <v>1</v>
      </c>
      <c r="AE1593" s="49">
        <f t="shared" si="64"/>
        <v>0.625</v>
      </c>
      <c r="AF1593" s="17"/>
      <c r="AG1593" s="17">
        <v>0</v>
      </c>
      <c r="AH1593" s="17">
        <v>0</v>
      </c>
      <c r="AI1593" s="44">
        <v>0.4</v>
      </c>
      <c r="AJ1593" s="44">
        <v>0.4</v>
      </c>
      <c r="AK1593" s="151"/>
      <c r="AL1593" s="151"/>
      <c r="AM1593" s="147">
        <f t="shared" si="63"/>
        <v>0</v>
      </c>
      <c r="AN1593" s="44" t="s">
        <v>8476</v>
      </c>
      <c r="AO1593" s="18" t="s">
        <v>1037</v>
      </c>
      <c r="AP1593" t="s">
        <v>8445</v>
      </c>
    </row>
    <row r="1594" spans="1:43" s="10" customFormat="1" x14ac:dyDescent="0.3">
      <c r="A1594" s="367" t="s">
        <v>8317</v>
      </c>
      <c r="B1594" s="10" t="s">
        <v>8318</v>
      </c>
      <c r="C1594" s="368" t="s">
        <v>8580</v>
      </c>
      <c r="D1594" s="10" t="s">
        <v>8581</v>
      </c>
      <c r="E1594" s="10" t="s">
        <v>8582</v>
      </c>
      <c r="F1594" s="10" t="s">
        <v>8583</v>
      </c>
      <c r="G1594" s="10" t="s">
        <v>8655</v>
      </c>
      <c r="H1594" s="10" t="s">
        <v>8656</v>
      </c>
      <c r="I1594" s="9"/>
      <c r="J1594" s="370"/>
      <c r="K1594" s="10" t="s">
        <v>8657</v>
      </c>
      <c r="L1594" s="10" t="s">
        <v>8658</v>
      </c>
      <c r="M1594" s="18" t="s">
        <v>8659</v>
      </c>
      <c r="N1594" s="18">
        <v>0</v>
      </c>
      <c r="O1594" s="18">
        <v>0</v>
      </c>
      <c r="P1594" s="16">
        <v>1</v>
      </c>
      <c r="Q1594" s="16">
        <v>1</v>
      </c>
      <c r="R1594" s="16">
        <v>2</v>
      </c>
      <c r="S1594" s="16">
        <v>1</v>
      </c>
      <c r="T1594" s="10" t="s">
        <v>8660</v>
      </c>
      <c r="U1594" t="e">
        <f>VLOOKUP(T1594,[8]Votes!$A$1:$E$234,3,FALSE)</f>
        <v>#N/A</v>
      </c>
      <c r="V1594" t="s">
        <v>8661</v>
      </c>
      <c r="W1594" s="369">
        <v>1</v>
      </c>
      <c r="X1594" s="369">
        <v>1</v>
      </c>
      <c r="Y1594" s="369">
        <v>1</v>
      </c>
      <c r="Z1594" s="369">
        <v>1</v>
      </c>
      <c r="AA1594" s="369">
        <v>1</v>
      </c>
      <c r="AB1594" s="369">
        <v>0</v>
      </c>
      <c r="AC1594" s="369">
        <v>1</v>
      </c>
      <c r="AD1594" s="369">
        <v>1</v>
      </c>
      <c r="AE1594" s="49">
        <f t="shared" si="64"/>
        <v>0.875</v>
      </c>
      <c r="AF1594" s="44"/>
      <c r="AG1594" s="17">
        <v>0</v>
      </c>
      <c r="AH1594" s="44">
        <v>3.5</v>
      </c>
      <c r="AI1594" s="44">
        <v>3.5</v>
      </c>
      <c r="AJ1594" s="44">
        <v>3.5</v>
      </c>
      <c r="AK1594" s="151"/>
      <c r="AL1594" s="151"/>
      <c r="AM1594" s="147">
        <f t="shared" si="63"/>
        <v>0</v>
      </c>
      <c r="AN1594" s="44" t="s">
        <v>8555</v>
      </c>
      <c r="AO1594" s="18" t="s">
        <v>1037</v>
      </c>
      <c r="AP1594" t="s">
        <v>3605</v>
      </c>
    </row>
    <row r="1595" spans="1:43" s="10" customFormat="1" x14ac:dyDescent="0.3">
      <c r="A1595" s="367" t="s">
        <v>8317</v>
      </c>
      <c r="B1595" s="10" t="s">
        <v>8318</v>
      </c>
      <c r="C1595" s="368" t="s">
        <v>8580</v>
      </c>
      <c r="D1595" s="10" t="s">
        <v>8581</v>
      </c>
      <c r="E1595" s="10" t="s">
        <v>8582</v>
      </c>
      <c r="F1595" s="10" t="s">
        <v>8583</v>
      </c>
      <c r="G1595" s="10" t="s">
        <v>8655</v>
      </c>
      <c r="H1595" s="10" t="s">
        <v>8656</v>
      </c>
      <c r="I1595" s="9"/>
      <c r="J1595" s="370"/>
      <c r="K1595" s="10" t="s">
        <v>8657</v>
      </c>
      <c r="L1595" s="10" t="s">
        <v>8658</v>
      </c>
      <c r="M1595" s="18"/>
      <c r="N1595" s="18"/>
      <c r="O1595" s="18"/>
      <c r="P1595" s="16"/>
      <c r="Q1595" s="16"/>
      <c r="R1595" s="16"/>
      <c r="S1595" s="16"/>
      <c r="U1595" t="e">
        <f>VLOOKUP(T1595,[8]Votes!$A$1:$E$234,3,FALSE)</f>
        <v>#N/A</v>
      </c>
      <c r="V1595" t="s">
        <v>8662</v>
      </c>
      <c r="W1595" s="369">
        <v>1</v>
      </c>
      <c r="X1595" s="369">
        <v>1</v>
      </c>
      <c r="Y1595" s="369">
        <v>1</v>
      </c>
      <c r="Z1595" s="369">
        <v>1</v>
      </c>
      <c r="AA1595" s="369">
        <v>1</v>
      </c>
      <c r="AB1595" s="369">
        <v>0</v>
      </c>
      <c r="AC1595" s="369">
        <v>1</v>
      </c>
      <c r="AD1595" s="369">
        <v>1</v>
      </c>
      <c r="AE1595" s="49">
        <f t="shared" si="64"/>
        <v>0.875</v>
      </c>
      <c r="AF1595" s="17"/>
      <c r="AG1595" s="17">
        <v>0</v>
      </c>
      <c r="AH1595" s="17">
        <v>0</v>
      </c>
      <c r="AI1595" s="17">
        <v>0</v>
      </c>
      <c r="AJ1595" s="17">
        <v>0</v>
      </c>
      <c r="AK1595" s="153">
        <v>0</v>
      </c>
      <c r="AL1595" s="154">
        <v>0</v>
      </c>
      <c r="AM1595" s="147">
        <f t="shared" si="63"/>
        <v>0</v>
      </c>
      <c r="AN1595" s="44" t="s">
        <v>8555</v>
      </c>
      <c r="AO1595" s="18" t="s">
        <v>1037</v>
      </c>
      <c r="AP1595" t="s">
        <v>3605</v>
      </c>
    </row>
    <row r="1596" spans="1:43" s="10" customFormat="1" x14ac:dyDescent="0.3">
      <c r="A1596" s="367" t="s">
        <v>8317</v>
      </c>
      <c r="B1596" s="10" t="s">
        <v>8318</v>
      </c>
      <c r="C1596" s="368" t="s">
        <v>8580</v>
      </c>
      <c r="D1596" s="10" t="s">
        <v>8581</v>
      </c>
      <c r="E1596" s="10" t="s">
        <v>8582</v>
      </c>
      <c r="F1596" s="10" t="s">
        <v>8583</v>
      </c>
      <c r="G1596" s="10" t="s">
        <v>8655</v>
      </c>
      <c r="H1596" s="10" t="s">
        <v>8656</v>
      </c>
      <c r="I1596" s="9"/>
      <c r="J1596" s="370"/>
      <c r="K1596" s="10" t="s">
        <v>8657</v>
      </c>
      <c r="L1596" s="10" t="s">
        <v>8658</v>
      </c>
      <c r="M1596" s="18"/>
      <c r="N1596" s="18"/>
      <c r="O1596" s="18"/>
      <c r="P1596" s="16"/>
      <c r="Q1596" s="16"/>
      <c r="R1596" s="16"/>
      <c r="S1596" s="16"/>
      <c r="U1596" t="e">
        <f>VLOOKUP(T1596,[8]Votes!$A$1:$E$234,3,FALSE)</f>
        <v>#N/A</v>
      </c>
      <c r="V1596" t="s">
        <v>8663</v>
      </c>
      <c r="W1596" s="369">
        <v>1</v>
      </c>
      <c r="X1596" s="369">
        <v>1</v>
      </c>
      <c r="Y1596" s="369">
        <v>1</v>
      </c>
      <c r="Z1596" s="369">
        <v>1</v>
      </c>
      <c r="AA1596" s="369">
        <v>1</v>
      </c>
      <c r="AB1596" s="369">
        <v>1</v>
      </c>
      <c r="AC1596" s="369">
        <v>1</v>
      </c>
      <c r="AD1596" s="369">
        <v>1</v>
      </c>
      <c r="AE1596" s="49">
        <f t="shared" si="64"/>
        <v>1</v>
      </c>
      <c r="AF1596" s="17">
        <v>1</v>
      </c>
      <c r="AG1596" s="17">
        <v>0</v>
      </c>
      <c r="AH1596" s="17">
        <v>0</v>
      </c>
      <c r="AI1596" s="17">
        <v>0</v>
      </c>
      <c r="AJ1596" s="17">
        <v>0</v>
      </c>
      <c r="AK1596" s="153">
        <v>2</v>
      </c>
      <c r="AL1596" s="154">
        <v>2</v>
      </c>
      <c r="AM1596" s="147">
        <f t="shared" si="63"/>
        <v>4</v>
      </c>
      <c r="AN1596" s="44" t="s">
        <v>3605</v>
      </c>
      <c r="AO1596" s="18" t="s">
        <v>4178</v>
      </c>
      <c r="AP1596" t="s">
        <v>1035</v>
      </c>
    </row>
    <row r="1597" spans="1:43" s="10" customFormat="1" x14ac:dyDescent="0.3">
      <c r="A1597" s="367" t="s">
        <v>8317</v>
      </c>
      <c r="B1597" s="10" t="s">
        <v>8318</v>
      </c>
      <c r="C1597" s="368" t="s">
        <v>8580</v>
      </c>
      <c r="D1597" s="10" t="s">
        <v>8581</v>
      </c>
      <c r="E1597" s="10" t="s">
        <v>8582</v>
      </c>
      <c r="F1597" s="10" t="s">
        <v>8583</v>
      </c>
      <c r="G1597" s="10" t="s">
        <v>8655</v>
      </c>
      <c r="H1597" s="10" t="s">
        <v>8656</v>
      </c>
      <c r="I1597" s="9"/>
      <c r="J1597" s="370"/>
      <c r="K1597" s="10" t="s">
        <v>8657</v>
      </c>
      <c r="L1597" s="10" t="s">
        <v>8658</v>
      </c>
      <c r="M1597" s="18"/>
      <c r="N1597" s="18"/>
      <c r="O1597" s="18"/>
      <c r="P1597" s="16"/>
      <c r="Q1597" s="16"/>
      <c r="R1597" s="16"/>
      <c r="S1597" s="16"/>
      <c r="U1597" t="e">
        <f>VLOOKUP(T1597,[8]Votes!$A$1:$E$234,3,FALSE)</f>
        <v>#N/A</v>
      </c>
      <c r="V1597" t="s">
        <v>8664</v>
      </c>
      <c r="W1597" s="369">
        <v>1</v>
      </c>
      <c r="X1597" s="369">
        <v>1</v>
      </c>
      <c r="Y1597" s="369">
        <v>1</v>
      </c>
      <c r="Z1597" s="369">
        <v>1</v>
      </c>
      <c r="AA1597" s="369">
        <v>1</v>
      </c>
      <c r="AB1597" s="369">
        <v>1</v>
      </c>
      <c r="AC1597" s="369">
        <v>1</v>
      </c>
      <c r="AD1597" s="369">
        <v>1</v>
      </c>
      <c r="AE1597" s="49">
        <f t="shared" si="64"/>
        <v>1</v>
      </c>
      <c r="AF1597" s="17"/>
      <c r="AG1597" s="17">
        <v>0</v>
      </c>
      <c r="AH1597" s="17">
        <v>0</v>
      </c>
      <c r="AI1597" s="17">
        <v>0</v>
      </c>
      <c r="AJ1597" s="17">
        <v>0</v>
      </c>
      <c r="AK1597" s="153"/>
      <c r="AL1597" s="154"/>
      <c r="AM1597" s="147">
        <f t="shared" si="63"/>
        <v>0</v>
      </c>
      <c r="AN1597" s="44" t="s">
        <v>570</v>
      </c>
      <c r="AO1597" s="18" t="s">
        <v>2875</v>
      </c>
      <c r="AP1597" t="s">
        <v>8665</v>
      </c>
    </row>
    <row r="1598" spans="1:43" s="10" customFormat="1" x14ac:dyDescent="0.3">
      <c r="A1598" s="367" t="s">
        <v>8317</v>
      </c>
      <c r="B1598" s="10" t="s">
        <v>8318</v>
      </c>
      <c r="C1598" s="368" t="s">
        <v>8580</v>
      </c>
      <c r="D1598" s="10" t="s">
        <v>8581</v>
      </c>
      <c r="E1598" s="10" t="s">
        <v>8582</v>
      </c>
      <c r="F1598" s="10" t="s">
        <v>8583</v>
      </c>
      <c r="G1598" s="10" t="s">
        <v>8655</v>
      </c>
      <c r="H1598" s="10" t="s">
        <v>8656</v>
      </c>
      <c r="I1598" s="9"/>
      <c r="J1598" s="370"/>
      <c r="K1598" s="10" t="s">
        <v>8657</v>
      </c>
      <c r="L1598" s="10" t="s">
        <v>8658</v>
      </c>
      <c r="M1598" s="18"/>
      <c r="N1598" s="18"/>
      <c r="O1598" s="18"/>
      <c r="P1598" s="16"/>
      <c r="Q1598" s="16"/>
      <c r="R1598" s="16"/>
      <c r="S1598" s="16"/>
      <c r="U1598" t="e">
        <f>VLOOKUP(T1598,[8]Votes!$A$1:$E$234,3,FALSE)</f>
        <v>#N/A</v>
      </c>
      <c r="V1598" t="s">
        <v>8666</v>
      </c>
      <c r="W1598" s="369">
        <v>1</v>
      </c>
      <c r="X1598" s="369">
        <v>1</v>
      </c>
      <c r="Y1598" s="369">
        <v>0</v>
      </c>
      <c r="Z1598" s="369">
        <v>1</v>
      </c>
      <c r="AA1598" s="369">
        <v>1</v>
      </c>
      <c r="AB1598" s="369">
        <v>1</v>
      </c>
      <c r="AC1598" s="369">
        <v>0</v>
      </c>
      <c r="AD1598" s="369">
        <v>1</v>
      </c>
      <c r="AE1598" s="49">
        <f t="shared" si="64"/>
        <v>0.75</v>
      </c>
      <c r="AF1598" s="17"/>
      <c r="AG1598" s="17">
        <v>0</v>
      </c>
      <c r="AH1598" s="17">
        <v>0</v>
      </c>
      <c r="AI1598" s="17">
        <v>0</v>
      </c>
      <c r="AJ1598" s="17">
        <v>0</v>
      </c>
      <c r="AK1598" s="153">
        <v>0.5</v>
      </c>
      <c r="AL1598" s="154">
        <v>0.01</v>
      </c>
      <c r="AM1598" s="147">
        <f t="shared" si="63"/>
        <v>0.51</v>
      </c>
      <c r="AN1598" s="44" t="s">
        <v>8555</v>
      </c>
      <c r="AO1598" s="18" t="s">
        <v>1037</v>
      </c>
      <c r="AP1598" t="s">
        <v>1035</v>
      </c>
    </row>
    <row r="1599" spans="1:43" s="10" customFormat="1" x14ac:dyDescent="0.3">
      <c r="A1599" s="367" t="s">
        <v>8317</v>
      </c>
      <c r="B1599" s="10" t="s">
        <v>8318</v>
      </c>
      <c r="C1599" s="368" t="s">
        <v>8580</v>
      </c>
      <c r="D1599" s="10" t="s">
        <v>8581</v>
      </c>
      <c r="E1599" s="10" t="s">
        <v>8582</v>
      </c>
      <c r="F1599" s="10" t="s">
        <v>8583</v>
      </c>
      <c r="G1599" s="10" t="s">
        <v>8655</v>
      </c>
      <c r="H1599" s="10" t="s">
        <v>8656</v>
      </c>
      <c r="I1599" s="9"/>
      <c r="J1599" s="370"/>
      <c r="K1599" s="10" t="s">
        <v>8657</v>
      </c>
      <c r="L1599" s="10" t="s">
        <v>8658</v>
      </c>
      <c r="M1599" s="18"/>
      <c r="N1599" s="18"/>
      <c r="O1599" s="18"/>
      <c r="P1599" s="16"/>
      <c r="Q1599" s="16"/>
      <c r="R1599" s="16"/>
      <c r="S1599" s="16"/>
      <c r="U1599" t="e">
        <f>VLOOKUP(T1599,[8]Votes!$A$1:$E$234,3,FALSE)</f>
        <v>#N/A</v>
      </c>
      <c r="V1599" t="s">
        <v>8667</v>
      </c>
      <c r="W1599" s="369">
        <v>1</v>
      </c>
      <c r="X1599" s="369">
        <v>1</v>
      </c>
      <c r="Y1599" s="369">
        <v>1</v>
      </c>
      <c r="Z1599" s="369">
        <v>1</v>
      </c>
      <c r="AA1599" s="369">
        <v>1</v>
      </c>
      <c r="AB1599" s="369">
        <v>1</v>
      </c>
      <c r="AC1599" s="369">
        <v>1</v>
      </c>
      <c r="AD1599" s="369">
        <v>1</v>
      </c>
      <c r="AE1599" s="49">
        <f t="shared" si="64"/>
        <v>1</v>
      </c>
      <c r="AF1599" s="17"/>
      <c r="AG1599" s="17">
        <v>0</v>
      </c>
      <c r="AH1599" s="17">
        <v>0</v>
      </c>
      <c r="AI1599" s="17">
        <v>0</v>
      </c>
      <c r="AJ1599" s="17">
        <v>0</v>
      </c>
      <c r="AK1599" s="153">
        <v>0</v>
      </c>
      <c r="AL1599" s="154">
        <v>0</v>
      </c>
      <c r="AM1599" s="147">
        <f t="shared" si="63"/>
        <v>0</v>
      </c>
      <c r="AN1599" s="44" t="s">
        <v>8555</v>
      </c>
      <c r="AO1599" s="18" t="s">
        <v>1037</v>
      </c>
      <c r="AP1599" t="s">
        <v>8668</v>
      </c>
    </row>
    <row r="1600" spans="1:43" s="10" customFormat="1" x14ac:dyDescent="0.3">
      <c r="A1600" s="367" t="s">
        <v>8317</v>
      </c>
      <c r="B1600" s="10" t="s">
        <v>8318</v>
      </c>
      <c r="C1600" s="368" t="s">
        <v>8580</v>
      </c>
      <c r="D1600" s="10" t="s">
        <v>8581</v>
      </c>
      <c r="E1600" s="10" t="s">
        <v>8582</v>
      </c>
      <c r="F1600" s="10" t="s">
        <v>8583</v>
      </c>
      <c r="G1600" s="10" t="s">
        <v>8655</v>
      </c>
      <c r="H1600" s="10" t="s">
        <v>8656</v>
      </c>
      <c r="I1600" s="9"/>
      <c r="J1600" s="370"/>
      <c r="K1600" s="10" t="s">
        <v>8657</v>
      </c>
      <c r="L1600" s="10" t="s">
        <v>8658</v>
      </c>
      <c r="M1600" s="18"/>
      <c r="N1600" s="18"/>
      <c r="O1600" s="18"/>
      <c r="P1600" s="16"/>
      <c r="Q1600" s="16"/>
      <c r="R1600" s="16"/>
      <c r="S1600" s="16"/>
      <c r="U1600" t="e">
        <f>VLOOKUP(T1600,[8]Votes!$A$1:$E$234,3,FALSE)</f>
        <v>#N/A</v>
      </c>
      <c r="V1600" t="s">
        <v>8669</v>
      </c>
      <c r="W1600" s="369">
        <v>1</v>
      </c>
      <c r="X1600" s="369">
        <v>1</v>
      </c>
      <c r="Y1600" s="369">
        <v>1</v>
      </c>
      <c r="Z1600" s="369">
        <v>1</v>
      </c>
      <c r="AA1600" s="369">
        <v>1</v>
      </c>
      <c r="AB1600" s="369">
        <v>0</v>
      </c>
      <c r="AC1600" s="369">
        <v>0</v>
      </c>
      <c r="AD1600" s="369">
        <v>1</v>
      </c>
      <c r="AE1600" s="49">
        <f t="shared" si="64"/>
        <v>0.75</v>
      </c>
      <c r="AF1600" s="17"/>
      <c r="AG1600" s="17">
        <v>0</v>
      </c>
      <c r="AH1600" s="17">
        <v>0</v>
      </c>
      <c r="AI1600" s="17">
        <v>0</v>
      </c>
      <c r="AJ1600" s="17">
        <v>0</v>
      </c>
      <c r="AK1600" s="153"/>
      <c r="AL1600" s="154"/>
      <c r="AM1600" s="147">
        <f t="shared" si="63"/>
        <v>0</v>
      </c>
      <c r="AN1600" s="44" t="s">
        <v>8555</v>
      </c>
      <c r="AO1600" s="18" t="s">
        <v>1037</v>
      </c>
      <c r="AP1600" t="s">
        <v>1035</v>
      </c>
    </row>
    <row r="1601" spans="1:44" s="10" customFormat="1" x14ac:dyDescent="0.3">
      <c r="A1601" s="367" t="s">
        <v>8317</v>
      </c>
      <c r="B1601" s="10" t="s">
        <v>8318</v>
      </c>
      <c r="C1601" s="368" t="s">
        <v>8580</v>
      </c>
      <c r="D1601" s="10" t="s">
        <v>8581</v>
      </c>
      <c r="E1601" s="10" t="s">
        <v>8582</v>
      </c>
      <c r="F1601" s="10" t="s">
        <v>8583</v>
      </c>
      <c r="G1601" s="10" t="s">
        <v>8655</v>
      </c>
      <c r="H1601" s="10" t="s">
        <v>8656</v>
      </c>
      <c r="I1601" s="9"/>
      <c r="J1601" s="370"/>
      <c r="K1601" s="10" t="s">
        <v>8657</v>
      </c>
      <c r="L1601" s="10" t="s">
        <v>8658</v>
      </c>
      <c r="M1601" s="18"/>
      <c r="N1601" s="18"/>
      <c r="O1601" s="18"/>
      <c r="P1601" s="16"/>
      <c r="Q1601" s="16"/>
      <c r="R1601" s="16"/>
      <c r="S1601" s="16"/>
      <c r="U1601" t="e">
        <f>VLOOKUP(T1601,[8]Votes!$A$1:$E$234,3,FALSE)</f>
        <v>#N/A</v>
      </c>
      <c r="V1601" t="s">
        <v>8670</v>
      </c>
      <c r="W1601" s="369">
        <v>1</v>
      </c>
      <c r="X1601" s="369">
        <v>1</v>
      </c>
      <c r="Y1601" s="369">
        <v>0</v>
      </c>
      <c r="Z1601" s="369">
        <v>1</v>
      </c>
      <c r="AA1601" s="369">
        <v>1</v>
      </c>
      <c r="AB1601" s="369">
        <v>1</v>
      </c>
      <c r="AC1601" s="369">
        <v>1</v>
      </c>
      <c r="AD1601" s="369">
        <v>1</v>
      </c>
      <c r="AE1601" s="49">
        <f t="shared" si="64"/>
        <v>0.875</v>
      </c>
      <c r="AF1601" s="17"/>
      <c r="AG1601" s="17">
        <v>0</v>
      </c>
      <c r="AH1601" s="17">
        <v>0</v>
      </c>
      <c r="AI1601" s="17">
        <v>0</v>
      </c>
      <c r="AJ1601" s="17">
        <v>0</v>
      </c>
      <c r="AK1601" s="153">
        <v>0</v>
      </c>
      <c r="AL1601" s="154">
        <v>0</v>
      </c>
      <c r="AM1601" s="147">
        <f t="shared" si="63"/>
        <v>0</v>
      </c>
      <c r="AN1601" s="44" t="s">
        <v>8555</v>
      </c>
      <c r="AO1601" s="18" t="s">
        <v>1037</v>
      </c>
      <c r="AP1601" t="s">
        <v>8671</v>
      </c>
    </row>
    <row r="1602" spans="1:44" s="10" customFormat="1" x14ac:dyDescent="0.3">
      <c r="A1602" s="367" t="s">
        <v>8317</v>
      </c>
      <c r="B1602" s="10" t="s">
        <v>8318</v>
      </c>
      <c r="C1602" s="368" t="s">
        <v>8580</v>
      </c>
      <c r="D1602" s="10" t="s">
        <v>8581</v>
      </c>
      <c r="E1602" s="10" t="s">
        <v>8582</v>
      </c>
      <c r="F1602" s="10" t="s">
        <v>8583</v>
      </c>
      <c r="G1602" s="10" t="s">
        <v>8655</v>
      </c>
      <c r="H1602" s="10" t="s">
        <v>8656</v>
      </c>
      <c r="I1602" s="9"/>
      <c r="J1602" s="370"/>
      <c r="K1602" s="10" t="s">
        <v>8657</v>
      </c>
      <c r="L1602" s="10" t="s">
        <v>8658</v>
      </c>
      <c r="M1602" s="18"/>
      <c r="N1602" s="18"/>
      <c r="O1602" s="18"/>
      <c r="P1602" s="16"/>
      <c r="Q1602" s="16"/>
      <c r="R1602" s="16"/>
      <c r="S1602" s="16"/>
      <c r="U1602" t="e">
        <f>VLOOKUP(T1602,[8]Votes!$A$1:$E$234,3,FALSE)</f>
        <v>#N/A</v>
      </c>
      <c r="V1602" t="s">
        <v>8672</v>
      </c>
      <c r="W1602" s="369">
        <v>1</v>
      </c>
      <c r="X1602" s="369">
        <v>1</v>
      </c>
      <c r="Y1602" s="369">
        <v>0</v>
      </c>
      <c r="Z1602" s="369">
        <v>1</v>
      </c>
      <c r="AA1602" s="369">
        <v>1</v>
      </c>
      <c r="AB1602" s="369">
        <v>1</v>
      </c>
      <c r="AC1602" s="369">
        <v>1</v>
      </c>
      <c r="AD1602" s="369">
        <v>1</v>
      </c>
      <c r="AE1602" s="49">
        <f t="shared" si="64"/>
        <v>0.875</v>
      </c>
      <c r="AF1602" s="17"/>
      <c r="AG1602" s="17">
        <v>0</v>
      </c>
      <c r="AH1602" s="17">
        <v>0</v>
      </c>
      <c r="AI1602" s="17">
        <v>0</v>
      </c>
      <c r="AJ1602" s="17">
        <v>0</v>
      </c>
      <c r="AK1602" s="153">
        <v>1</v>
      </c>
      <c r="AL1602" s="154">
        <v>1</v>
      </c>
      <c r="AM1602" s="147">
        <f t="shared" si="63"/>
        <v>2</v>
      </c>
      <c r="AN1602" s="44" t="s">
        <v>8555</v>
      </c>
      <c r="AO1602" s="18" t="s">
        <v>1037</v>
      </c>
      <c r="AP1602" t="s">
        <v>8673</v>
      </c>
    </row>
    <row r="1603" spans="1:44" s="10" customFormat="1" x14ac:dyDescent="0.3">
      <c r="A1603" s="367" t="s">
        <v>8317</v>
      </c>
      <c r="B1603" s="10" t="s">
        <v>8318</v>
      </c>
      <c r="C1603" s="368" t="s">
        <v>8580</v>
      </c>
      <c r="D1603" s="10" t="s">
        <v>8581</v>
      </c>
      <c r="E1603" s="10" t="s">
        <v>8582</v>
      </c>
      <c r="F1603" s="10" t="s">
        <v>8583</v>
      </c>
      <c r="G1603" s="10" t="s">
        <v>8655</v>
      </c>
      <c r="H1603" s="10" t="s">
        <v>8656</v>
      </c>
      <c r="I1603" s="9"/>
      <c r="J1603" s="370"/>
      <c r="K1603" s="10" t="s">
        <v>8657</v>
      </c>
      <c r="L1603" s="10" t="s">
        <v>8658</v>
      </c>
      <c r="M1603" s="18"/>
      <c r="N1603" s="18"/>
      <c r="O1603" s="18"/>
      <c r="P1603" s="16"/>
      <c r="Q1603" s="16"/>
      <c r="R1603" s="16"/>
      <c r="S1603" s="16"/>
      <c r="U1603" t="e">
        <f>VLOOKUP(T1603,[8]Votes!$A$1:$E$234,3,FALSE)</f>
        <v>#N/A</v>
      </c>
      <c r="V1603" t="s">
        <v>8674</v>
      </c>
      <c r="W1603" s="369">
        <v>1</v>
      </c>
      <c r="X1603" s="369">
        <v>0</v>
      </c>
      <c r="Y1603" s="369">
        <v>1</v>
      </c>
      <c r="Z1603" s="369">
        <v>1</v>
      </c>
      <c r="AA1603" s="369">
        <v>1</v>
      </c>
      <c r="AB1603" s="369">
        <v>1</v>
      </c>
      <c r="AC1603" s="369">
        <v>0</v>
      </c>
      <c r="AD1603" s="369">
        <v>1</v>
      </c>
      <c r="AE1603" s="49">
        <f t="shared" si="64"/>
        <v>0.75</v>
      </c>
      <c r="AF1603" s="17"/>
      <c r="AG1603" s="17">
        <v>0</v>
      </c>
      <c r="AH1603" s="17">
        <v>0</v>
      </c>
      <c r="AI1603" s="17">
        <v>0</v>
      </c>
      <c r="AJ1603" s="17">
        <v>0</v>
      </c>
      <c r="AK1603" s="153"/>
      <c r="AL1603" s="154"/>
      <c r="AM1603" s="147">
        <f t="shared" si="63"/>
        <v>0</v>
      </c>
      <c r="AN1603" s="44" t="s">
        <v>8555</v>
      </c>
      <c r="AO1603" s="18" t="s">
        <v>1037</v>
      </c>
      <c r="AP1603" t="s">
        <v>1035</v>
      </c>
    </row>
    <row r="1604" spans="1:44" s="10" customFormat="1" x14ac:dyDescent="0.3">
      <c r="A1604" s="367" t="s">
        <v>8317</v>
      </c>
      <c r="B1604" s="10" t="s">
        <v>8318</v>
      </c>
      <c r="C1604" s="368" t="s">
        <v>8580</v>
      </c>
      <c r="D1604" s="10" t="s">
        <v>8581</v>
      </c>
      <c r="E1604" s="10" t="s">
        <v>8582</v>
      </c>
      <c r="F1604" s="10" t="s">
        <v>8583</v>
      </c>
      <c r="G1604" s="10" t="s">
        <v>8655</v>
      </c>
      <c r="H1604" s="10" t="s">
        <v>8656</v>
      </c>
      <c r="I1604" s="9"/>
      <c r="J1604" s="370"/>
      <c r="K1604" s="10" t="s">
        <v>8657</v>
      </c>
      <c r="L1604" s="10" t="s">
        <v>8658</v>
      </c>
      <c r="M1604" s="18"/>
      <c r="N1604" s="18"/>
      <c r="O1604" s="18"/>
      <c r="P1604" s="16"/>
      <c r="Q1604" s="16"/>
      <c r="R1604" s="16"/>
      <c r="S1604" s="16"/>
      <c r="U1604" t="e">
        <f>VLOOKUP(T1604,[8]Votes!$A$1:$E$234,3,FALSE)</f>
        <v>#N/A</v>
      </c>
      <c r="V1604" t="s">
        <v>8675</v>
      </c>
      <c r="W1604" s="369">
        <v>1</v>
      </c>
      <c r="X1604" s="369">
        <v>0</v>
      </c>
      <c r="Y1604" s="369">
        <v>1</v>
      </c>
      <c r="Z1604" s="369">
        <v>1</v>
      </c>
      <c r="AA1604" s="369">
        <v>1</v>
      </c>
      <c r="AB1604" s="369">
        <v>1</v>
      </c>
      <c r="AC1604" s="369">
        <v>0</v>
      </c>
      <c r="AD1604" s="369">
        <v>1</v>
      </c>
      <c r="AE1604" s="49">
        <f t="shared" si="64"/>
        <v>0.75</v>
      </c>
      <c r="AF1604" s="17"/>
      <c r="AG1604" s="17">
        <v>0</v>
      </c>
      <c r="AH1604" s="17">
        <v>0</v>
      </c>
      <c r="AI1604" s="17">
        <v>0</v>
      </c>
      <c r="AJ1604" s="17">
        <v>0</v>
      </c>
      <c r="AK1604" s="153">
        <v>1</v>
      </c>
      <c r="AL1604" s="154">
        <v>1</v>
      </c>
      <c r="AM1604" s="147">
        <f t="shared" si="63"/>
        <v>2</v>
      </c>
      <c r="AN1604" s="44" t="s">
        <v>2172</v>
      </c>
      <c r="AO1604" s="18" t="s">
        <v>2236</v>
      </c>
      <c r="AP1604" t="s">
        <v>8665</v>
      </c>
    </row>
    <row r="1605" spans="1:44" s="10" customFormat="1" x14ac:dyDescent="0.3">
      <c r="A1605" s="367" t="s">
        <v>8317</v>
      </c>
      <c r="B1605" s="10" t="s">
        <v>8318</v>
      </c>
      <c r="C1605" s="368" t="s">
        <v>8580</v>
      </c>
      <c r="D1605" s="10" t="s">
        <v>8581</v>
      </c>
      <c r="E1605" s="10" t="s">
        <v>8582</v>
      </c>
      <c r="F1605" s="10" t="s">
        <v>8583</v>
      </c>
      <c r="G1605" s="10" t="s">
        <v>8655</v>
      </c>
      <c r="H1605" s="10" t="s">
        <v>8656</v>
      </c>
      <c r="I1605" s="9"/>
      <c r="J1605" s="370"/>
      <c r="K1605" s="10" t="s">
        <v>8657</v>
      </c>
      <c r="L1605" s="10" t="s">
        <v>8658</v>
      </c>
      <c r="M1605" s="18"/>
      <c r="N1605" s="18"/>
      <c r="O1605" s="18"/>
      <c r="P1605" s="16"/>
      <c r="Q1605" s="16"/>
      <c r="R1605" s="16"/>
      <c r="S1605" s="16"/>
      <c r="U1605" t="e">
        <f>VLOOKUP(T1605,[8]Votes!$A$1:$E$234,3,FALSE)</f>
        <v>#N/A</v>
      </c>
      <c r="V1605" t="s">
        <v>8676</v>
      </c>
      <c r="W1605" s="369">
        <v>1</v>
      </c>
      <c r="X1605" s="369">
        <v>0</v>
      </c>
      <c r="Y1605" s="369">
        <v>1</v>
      </c>
      <c r="Z1605" s="369">
        <v>1</v>
      </c>
      <c r="AA1605" s="369">
        <v>1</v>
      </c>
      <c r="AB1605" s="369">
        <v>0</v>
      </c>
      <c r="AC1605" s="369">
        <v>1</v>
      </c>
      <c r="AD1605" s="369">
        <v>1</v>
      </c>
      <c r="AE1605" s="49">
        <f t="shared" si="64"/>
        <v>0.75</v>
      </c>
      <c r="AF1605" s="17"/>
      <c r="AG1605" s="17">
        <v>0</v>
      </c>
      <c r="AH1605" s="17">
        <v>0</v>
      </c>
      <c r="AI1605" s="17">
        <v>0</v>
      </c>
      <c r="AJ1605" s="17">
        <v>0</v>
      </c>
      <c r="AK1605" s="153">
        <v>0</v>
      </c>
      <c r="AL1605" s="154">
        <v>0</v>
      </c>
      <c r="AM1605" s="147">
        <f t="shared" si="63"/>
        <v>0</v>
      </c>
      <c r="AN1605" s="44" t="s">
        <v>8555</v>
      </c>
      <c r="AO1605" s="18" t="s">
        <v>1037</v>
      </c>
      <c r="AP1605" t="s">
        <v>8677</v>
      </c>
    </row>
    <row r="1606" spans="1:44" s="10" customFormat="1" x14ac:dyDescent="0.3">
      <c r="A1606" s="367" t="s">
        <v>8317</v>
      </c>
      <c r="B1606" s="10" t="s">
        <v>8318</v>
      </c>
      <c r="C1606" s="368" t="s">
        <v>8580</v>
      </c>
      <c r="D1606" s="10" t="s">
        <v>8581</v>
      </c>
      <c r="E1606" s="10" t="s">
        <v>8582</v>
      </c>
      <c r="F1606" s="10" t="s">
        <v>8583</v>
      </c>
      <c r="G1606" s="10" t="s">
        <v>8655</v>
      </c>
      <c r="H1606" s="10" t="s">
        <v>8656</v>
      </c>
      <c r="I1606" s="9"/>
      <c r="J1606" s="370"/>
      <c r="K1606" s="10" t="s">
        <v>8657</v>
      </c>
      <c r="L1606" s="10" t="s">
        <v>8658</v>
      </c>
      <c r="M1606" s="18"/>
      <c r="N1606" s="18"/>
      <c r="O1606" s="18"/>
      <c r="P1606" s="16"/>
      <c r="Q1606" s="16"/>
      <c r="R1606" s="16"/>
      <c r="S1606" s="16"/>
      <c r="U1606" t="e">
        <f>VLOOKUP(T1606,[8]Votes!$A$1:$E$234,3,FALSE)</f>
        <v>#N/A</v>
      </c>
      <c r="V1606" t="s">
        <v>8678</v>
      </c>
      <c r="W1606" s="369">
        <v>1</v>
      </c>
      <c r="X1606" s="369">
        <v>1</v>
      </c>
      <c r="Y1606" s="369">
        <v>1</v>
      </c>
      <c r="Z1606" s="369">
        <v>1</v>
      </c>
      <c r="AA1606" s="369">
        <v>1</v>
      </c>
      <c r="AB1606" s="369">
        <v>1</v>
      </c>
      <c r="AC1606" s="369">
        <v>1</v>
      </c>
      <c r="AD1606" s="369">
        <v>1</v>
      </c>
      <c r="AE1606" s="49">
        <f t="shared" si="64"/>
        <v>1</v>
      </c>
      <c r="AF1606" s="17"/>
      <c r="AG1606" s="17">
        <v>0</v>
      </c>
      <c r="AH1606" s="17">
        <v>0</v>
      </c>
      <c r="AI1606" s="17">
        <v>0</v>
      </c>
      <c r="AJ1606" s="17">
        <v>0</v>
      </c>
      <c r="AK1606" s="153">
        <v>1</v>
      </c>
      <c r="AL1606" s="154">
        <v>1</v>
      </c>
      <c r="AM1606" s="147">
        <f t="shared" si="63"/>
        <v>2</v>
      </c>
      <c r="AN1606" s="44" t="s">
        <v>8555</v>
      </c>
      <c r="AO1606" s="18" t="s">
        <v>1037</v>
      </c>
      <c r="AP1606" t="s">
        <v>8679</v>
      </c>
    </row>
    <row r="1607" spans="1:44" s="10" customFormat="1" x14ac:dyDescent="0.3">
      <c r="A1607" s="367" t="s">
        <v>8317</v>
      </c>
      <c r="B1607" s="10" t="s">
        <v>8318</v>
      </c>
      <c r="C1607" s="368" t="s">
        <v>8680</v>
      </c>
      <c r="D1607" s="10" t="s">
        <v>8681</v>
      </c>
      <c r="E1607" s="10" t="s">
        <v>8682</v>
      </c>
      <c r="F1607" s="10" t="s">
        <v>8683</v>
      </c>
      <c r="G1607" s="10" t="s">
        <v>8684</v>
      </c>
      <c r="H1607" s="10" t="s">
        <v>8685</v>
      </c>
      <c r="I1607" s="9"/>
      <c r="J1607" s="370"/>
      <c r="K1607" s="10" t="s">
        <v>8686</v>
      </c>
      <c r="L1607" s="10" t="s">
        <v>8687</v>
      </c>
      <c r="M1607" s="1" t="s">
        <v>8688</v>
      </c>
      <c r="N1607" s="18">
        <v>12</v>
      </c>
      <c r="O1607" s="18">
        <v>12</v>
      </c>
      <c r="P1607" s="16">
        <v>22</v>
      </c>
      <c r="Q1607" s="16">
        <v>32</v>
      </c>
      <c r="R1607" s="16">
        <v>42</v>
      </c>
      <c r="S1607" s="16">
        <v>52</v>
      </c>
      <c r="T1607" t="s">
        <v>8689</v>
      </c>
      <c r="U1607" t="e">
        <f>VLOOKUP(T1607,[8]Votes!$A$1:$E$234,3,FALSE)</f>
        <v>#N/A</v>
      </c>
      <c r="V1607" t="s">
        <v>8690</v>
      </c>
      <c r="W1607" s="369">
        <v>1</v>
      </c>
      <c r="X1607" s="369">
        <v>0</v>
      </c>
      <c r="Y1607" s="369">
        <v>1</v>
      </c>
      <c r="Z1607" s="369">
        <v>1</v>
      </c>
      <c r="AA1607" s="369">
        <v>1</v>
      </c>
      <c r="AB1607" s="369">
        <v>0</v>
      </c>
      <c r="AC1607" s="369">
        <v>0</v>
      </c>
      <c r="AD1607" s="369">
        <v>1</v>
      </c>
      <c r="AE1607" s="49">
        <f t="shared" si="64"/>
        <v>0.625</v>
      </c>
      <c r="AF1607" s="44"/>
      <c r="AG1607" s="17">
        <v>0</v>
      </c>
      <c r="AH1607" s="44">
        <v>5</v>
      </c>
      <c r="AI1607" s="44">
        <v>5</v>
      </c>
      <c r="AJ1607" s="44">
        <v>10</v>
      </c>
      <c r="AK1607" s="151">
        <v>5</v>
      </c>
      <c r="AL1607" s="151">
        <v>5</v>
      </c>
      <c r="AM1607" s="147">
        <f t="shared" si="63"/>
        <v>10</v>
      </c>
      <c r="AN1607" t="s">
        <v>8476</v>
      </c>
      <c r="AO1607" s="18" t="s">
        <v>1037</v>
      </c>
      <c r="AP1607" t="s">
        <v>119</v>
      </c>
      <c r="AQ1607"/>
      <c r="AR1607"/>
    </row>
    <row r="1608" spans="1:44" s="10" customFormat="1" x14ac:dyDescent="0.3">
      <c r="A1608" s="367" t="s">
        <v>8317</v>
      </c>
      <c r="B1608" s="10" t="s">
        <v>8318</v>
      </c>
      <c r="C1608" s="368" t="s">
        <v>8680</v>
      </c>
      <c r="D1608" s="10" t="s">
        <v>8681</v>
      </c>
      <c r="E1608" s="10" t="s">
        <v>8682</v>
      </c>
      <c r="F1608" s="10" t="s">
        <v>8683</v>
      </c>
      <c r="G1608" s="10" t="s">
        <v>8684</v>
      </c>
      <c r="H1608" s="10" t="s">
        <v>8685</v>
      </c>
      <c r="I1608" s="9"/>
      <c r="J1608" s="370"/>
      <c r="K1608" s="10" t="s">
        <v>8686</v>
      </c>
      <c r="L1608" s="10" t="s">
        <v>8687</v>
      </c>
      <c r="M1608" s="18"/>
      <c r="N1608" s="18"/>
      <c r="O1608" s="18"/>
      <c r="P1608" s="16"/>
      <c r="Q1608" s="16"/>
      <c r="R1608" s="16"/>
      <c r="S1608" s="16"/>
      <c r="U1608" t="e">
        <f>VLOOKUP(T1608,[8]Votes!$A$1:$E$234,3,FALSE)</f>
        <v>#N/A</v>
      </c>
      <c r="V1608" t="s">
        <v>8691</v>
      </c>
      <c r="W1608" s="369">
        <v>1</v>
      </c>
      <c r="X1608" s="369">
        <v>1</v>
      </c>
      <c r="Y1608" s="369">
        <v>1</v>
      </c>
      <c r="Z1608" s="369">
        <v>1</v>
      </c>
      <c r="AA1608" s="369">
        <v>1</v>
      </c>
      <c r="AB1608" s="369">
        <v>1</v>
      </c>
      <c r="AC1608" s="369">
        <v>1</v>
      </c>
      <c r="AD1608" s="369">
        <v>1</v>
      </c>
      <c r="AE1608" s="49">
        <f t="shared" si="64"/>
        <v>1</v>
      </c>
      <c r="AF1608" s="17">
        <v>1</v>
      </c>
      <c r="AG1608" s="17">
        <v>0</v>
      </c>
      <c r="AH1608" s="17">
        <v>0</v>
      </c>
      <c r="AI1608" s="17">
        <v>0</v>
      </c>
      <c r="AJ1608" s="17">
        <v>0</v>
      </c>
      <c r="AK1608" s="153">
        <v>1</v>
      </c>
      <c r="AL1608" s="154">
        <v>1</v>
      </c>
      <c r="AM1608" s="147">
        <f t="shared" si="63"/>
        <v>2</v>
      </c>
      <c r="AN1608" s="44" t="s">
        <v>3605</v>
      </c>
      <c r="AO1608" s="18" t="s">
        <v>4178</v>
      </c>
      <c r="AP1608" t="s">
        <v>8445</v>
      </c>
      <c r="AQ1608"/>
      <c r="AR1608"/>
    </row>
    <row r="1609" spans="1:44" s="10" customFormat="1" x14ac:dyDescent="0.3">
      <c r="A1609" s="367" t="s">
        <v>8317</v>
      </c>
      <c r="B1609" s="10" t="s">
        <v>8318</v>
      </c>
      <c r="C1609" s="368" t="s">
        <v>8680</v>
      </c>
      <c r="D1609" s="10" t="s">
        <v>8681</v>
      </c>
      <c r="E1609" s="10" t="s">
        <v>8682</v>
      </c>
      <c r="F1609" s="10" t="s">
        <v>8683</v>
      </c>
      <c r="G1609" s="10" t="s">
        <v>8684</v>
      </c>
      <c r="H1609" s="10" t="s">
        <v>8685</v>
      </c>
      <c r="I1609" s="9"/>
      <c r="J1609" s="370"/>
      <c r="K1609" s="10" t="s">
        <v>8686</v>
      </c>
      <c r="L1609" s="10" t="s">
        <v>8687</v>
      </c>
      <c r="M1609" s="18"/>
      <c r="N1609" s="18"/>
      <c r="O1609" s="18"/>
      <c r="P1609" s="16"/>
      <c r="Q1609" s="16"/>
      <c r="R1609" s="16"/>
      <c r="S1609" s="16"/>
      <c r="U1609" t="e">
        <f>VLOOKUP(T1609,[8]Votes!$A$1:$E$234,3,FALSE)</f>
        <v>#N/A</v>
      </c>
      <c r="V1609" t="s">
        <v>8692</v>
      </c>
      <c r="W1609" s="369">
        <v>1</v>
      </c>
      <c r="X1609" s="369">
        <v>1</v>
      </c>
      <c r="Y1609" s="369">
        <v>1</v>
      </c>
      <c r="Z1609" s="369">
        <v>1</v>
      </c>
      <c r="AA1609" s="369">
        <v>1</v>
      </c>
      <c r="AB1609" s="369">
        <v>1</v>
      </c>
      <c r="AC1609" s="369">
        <v>1</v>
      </c>
      <c r="AD1609" s="369">
        <v>1</v>
      </c>
      <c r="AE1609" s="49">
        <f t="shared" si="64"/>
        <v>1</v>
      </c>
      <c r="AF1609" s="17"/>
      <c r="AG1609" s="17">
        <v>0</v>
      </c>
      <c r="AH1609" s="17">
        <v>0</v>
      </c>
      <c r="AI1609" s="17">
        <v>0</v>
      </c>
      <c r="AJ1609" s="17">
        <v>0</v>
      </c>
      <c r="AK1609" s="153">
        <v>1</v>
      </c>
      <c r="AL1609" s="154">
        <v>1</v>
      </c>
      <c r="AM1609" s="147">
        <f t="shared" si="63"/>
        <v>2</v>
      </c>
      <c r="AN1609" s="44" t="s">
        <v>1035</v>
      </c>
      <c r="AO1609" s="18" t="s">
        <v>1037</v>
      </c>
      <c r="AP1609" t="s">
        <v>8436</v>
      </c>
      <c r="AQ1609"/>
      <c r="AR1609"/>
    </row>
    <row r="1610" spans="1:44" s="10" customFormat="1" x14ac:dyDescent="0.3">
      <c r="A1610" s="367" t="s">
        <v>8317</v>
      </c>
      <c r="B1610" s="10" t="s">
        <v>8318</v>
      </c>
      <c r="C1610" s="368" t="s">
        <v>8680</v>
      </c>
      <c r="D1610" s="10" t="s">
        <v>8681</v>
      </c>
      <c r="E1610" s="10" t="s">
        <v>8682</v>
      </c>
      <c r="F1610" s="10" t="s">
        <v>8683</v>
      </c>
      <c r="G1610" s="10" t="s">
        <v>8684</v>
      </c>
      <c r="H1610" s="10" t="s">
        <v>8685</v>
      </c>
      <c r="I1610" s="9"/>
      <c r="J1610" s="370"/>
      <c r="K1610" s="10" t="s">
        <v>8686</v>
      </c>
      <c r="L1610" s="10" t="s">
        <v>8687</v>
      </c>
      <c r="M1610" s="18"/>
      <c r="N1610" s="18"/>
      <c r="O1610" s="18"/>
      <c r="P1610" s="16"/>
      <c r="Q1610" s="16"/>
      <c r="R1610" s="16"/>
      <c r="S1610" s="16"/>
      <c r="U1610" t="e">
        <f>VLOOKUP(T1610,[8]Votes!$A$1:$E$234,3,FALSE)</f>
        <v>#N/A</v>
      </c>
      <c r="V1610" t="s">
        <v>8693</v>
      </c>
      <c r="W1610" s="369">
        <v>1</v>
      </c>
      <c r="X1610" s="369">
        <v>1</v>
      </c>
      <c r="Y1610" s="369">
        <v>1</v>
      </c>
      <c r="Z1610" s="369">
        <v>1</v>
      </c>
      <c r="AA1610" s="369">
        <v>1</v>
      </c>
      <c r="AB1610" s="369">
        <v>1</v>
      </c>
      <c r="AC1610" s="369">
        <v>0</v>
      </c>
      <c r="AD1610" s="369">
        <v>1</v>
      </c>
      <c r="AE1610" s="49">
        <f t="shared" si="64"/>
        <v>0.875</v>
      </c>
      <c r="AF1610" s="17"/>
      <c r="AG1610" s="17">
        <v>0</v>
      </c>
      <c r="AH1610" s="17">
        <v>0</v>
      </c>
      <c r="AI1610" s="17">
        <v>0</v>
      </c>
      <c r="AJ1610" s="17">
        <v>0</v>
      </c>
      <c r="AK1610" s="153">
        <v>0</v>
      </c>
      <c r="AL1610" s="154">
        <v>0</v>
      </c>
      <c r="AM1610" s="147">
        <f t="shared" si="63"/>
        <v>0</v>
      </c>
      <c r="AN1610" s="44" t="s">
        <v>921</v>
      </c>
      <c r="AO1610" s="18" t="s">
        <v>880</v>
      </c>
      <c r="AP1610" t="s">
        <v>8694</v>
      </c>
      <c r="AQ1610"/>
      <c r="AR1610"/>
    </row>
    <row r="1611" spans="1:44" s="10" customFormat="1" x14ac:dyDescent="0.3">
      <c r="A1611" s="367" t="s">
        <v>8317</v>
      </c>
      <c r="B1611" s="10" t="s">
        <v>8318</v>
      </c>
      <c r="C1611" s="368" t="s">
        <v>8680</v>
      </c>
      <c r="D1611" s="10" t="s">
        <v>8681</v>
      </c>
      <c r="E1611" s="10" t="s">
        <v>8682</v>
      </c>
      <c r="F1611" s="10" t="s">
        <v>8683</v>
      </c>
      <c r="G1611" s="10" t="s">
        <v>8684</v>
      </c>
      <c r="H1611" s="10" t="s">
        <v>8685</v>
      </c>
      <c r="I1611" s="9"/>
      <c r="J1611" s="370"/>
      <c r="K1611" s="10" t="s">
        <v>8686</v>
      </c>
      <c r="L1611" s="10" t="s">
        <v>8687</v>
      </c>
      <c r="M1611" s="18"/>
      <c r="N1611" s="18"/>
      <c r="O1611" s="18"/>
      <c r="P1611" s="16"/>
      <c r="Q1611" s="16"/>
      <c r="R1611" s="16"/>
      <c r="S1611" s="16"/>
      <c r="U1611" t="e">
        <f>VLOOKUP(T1611,[8]Votes!$A$1:$E$234,3,FALSE)</f>
        <v>#N/A</v>
      </c>
      <c r="V1611" t="s">
        <v>8480</v>
      </c>
      <c r="W1611" s="369">
        <v>1</v>
      </c>
      <c r="X1611" s="369">
        <v>1</v>
      </c>
      <c r="Y1611" s="369">
        <v>1</v>
      </c>
      <c r="Z1611" s="369">
        <v>1</v>
      </c>
      <c r="AA1611" s="369">
        <v>1</v>
      </c>
      <c r="AB1611" s="369">
        <v>1</v>
      </c>
      <c r="AC1611" s="369">
        <v>1</v>
      </c>
      <c r="AD1611" s="369">
        <v>1</v>
      </c>
      <c r="AE1611" s="49">
        <f t="shared" si="64"/>
        <v>1</v>
      </c>
      <c r="AF1611" s="17"/>
      <c r="AG1611" s="17">
        <v>0</v>
      </c>
      <c r="AH1611" s="17">
        <v>0</v>
      </c>
      <c r="AI1611" s="17">
        <v>0</v>
      </c>
      <c r="AJ1611" s="17">
        <v>0</v>
      </c>
      <c r="AK1611" s="153"/>
      <c r="AL1611" s="154"/>
      <c r="AM1611" s="147">
        <f t="shared" si="63"/>
        <v>0</v>
      </c>
      <c r="AN1611" s="44" t="s">
        <v>570</v>
      </c>
      <c r="AO1611" s="18" t="s">
        <v>2875</v>
      </c>
      <c r="AP1611" t="s">
        <v>8609</v>
      </c>
      <c r="AQ1611"/>
      <c r="AR1611"/>
    </row>
    <row r="1612" spans="1:44" s="10" customFormat="1" x14ac:dyDescent="0.3">
      <c r="A1612" s="367" t="s">
        <v>8317</v>
      </c>
      <c r="B1612" s="10" t="s">
        <v>8318</v>
      </c>
      <c r="C1612" s="368" t="s">
        <v>8680</v>
      </c>
      <c r="D1612" s="10" t="s">
        <v>8681</v>
      </c>
      <c r="E1612" s="10" t="s">
        <v>8682</v>
      </c>
      <c r="F1612" s="10" t="s">
        <v>8683</v>
      </c>
      <c r="G1612" s="10" t="s">
        <v>8695</v>
      </c>
      <c r="H1612" s="10" t="s">
        <v>8696</v>
      </c>
      <c r="I1612" s="9"/>
      <c r="J1612" s="370"/>
      <c r="K1612" s="10" t="s">
        <v>8697</v>
      </c>
      <c r="L1612" s="10" t="s">
        <v>8698</v>
      </c>
      <c r="M1612" s="18" t="s">
        <v>8699</v>
      </c>
      <c r="N1612" s="18"/>
      <c r="O1612" s="18"/>
      <c r="P1612" s="16">
        <v>100</v>
      </c>
      <c r="Q1612" s="16">
        <v>150</v>
      </c>
      <c r="R1612" s="16">
        <v>500</v>
      </c>
      <c r="S1612" s="16">
        <v>250</v>
      </c>
      <c r="T1612" s="10" t="s">
        <v>1035</v>
      </c>
      <c r="U1612" t="str">
        <f>VLOOKUP(T1612,[8]Votes!$A$1:$E$234,3,FALSE)</f>
        <v>017 Ministry of Energy and Mineral Development</v>
      </c>
      <c r="V1612" t="s">
        <v>8700</v>
      </c>
      <c r="W1612" s="369">
        <v>1</v>
      </c>
      <c r="X1612" s="369">
        <v>0</v>
      </c>
      <c r="Y1612" s="369">
        <v>0</v>
      </c>
      <c r="Z1612" s="369">
        <v>1</v>
      </c>
      <c r="AA1612" s="369">
        <v>1</v>
      </c>
      <c r="AB1612" s="369">
        <v>1</v>
      </c>
      <c r="AC1612" s="369">
        <v>0</v>
      </c>
      <c r="AD1612" s="369">
        <v>1</v>
      </c>
      <c r="AE1612" s="49">
        <f t="shared" si="64"/>
        <v>0.625</v>
      </c>
      <c r="AF1612" s="44"/>
      <c r="AG1612" s="17">
        <v>0</v>
      </c>
      <c r="AH1612" s="44">
        <v>0</v>
      </c>
      <c r="AI1612" s="17">
        <v>0</v>
      </c>
      <c r="AJ1612" s="44">
        <v>1.5</v>
      </c>
      <c r="AK1612" s="151">
        <v>5</v>
      </c>
      <c r="AL1612" s="151">
        <v>2.5</v>
      </c>
      <c r="AM1612" s="147">
        <f t="shared" si="63"/>
        <v>7.5</v>
      </c>
      <c r="AN1612" t="s">
        <v>1035</v>
      </c>
      <c r="AO1612" s="18" t="s">
        <v>1037</v>
      </c>
      <c r="AP1612" t="s">
        <v>119</v>
      </c>
    </row>
    <row r="1613" spans="1:44" s="10" customFormat="1" ht="14.55" customHeight="1" x14ac:dyDescent="0.3">
      <c r="A1613" s="367" t="s">
        <v>8317</v>
      </c>
      <c r="B1613" s="10" t="s">
        <v>8318</v>
      </c>
      <c r="C1613" s="368" t="s">
        <v>8680</v>
      </c>
      <c r="D1613" s="10" t="s">
        <v>8681</v>
      </c>
      <c r="E1613" s="10" t="s">
        <v>8682</v>
      </c>
      <c r="F1613" s="10" t="s">
        <v>8683</v>
      </c>
      <c r="G1613" s="10" t="s">
        <v>8695</v>
      </c>
      <c r="H1613" s="10" t="s">
        <v>8696</v>
      </c>
      <c r="I1613" s="9"/>
      <c r="J1613" s="370"/>
      <c r="K1613" s="10" t="s">
        <v>8697</v>
      </c>
      <c r="L1613" s="10" t="s">
        <v>8698</v>
      </c>
      <c r="M1613" s="18" t="s">
        <v>8701</v>
      </c>
      <c r="N1613" s="18"/>
      <c r="O1613" s="18">
        <v>3000</v>
      </c>
      <c r="P1613" s="16">
        <v>5500</v>
      </c>
      <c r="Q1613" s="16">
        <v>8000</v>
      </c>
      <c r="R1613" s="16">
        <v>10500</v>
      </c>
      <c r="S1613" s="16">
        <v>13000</v>
      </c>
      <c r="T1613" s="10" t="s">
        <v>8702</v>
      </c>
      <c r="U1613" t="e">
        <f>VLOOKUP(T1613,[8]Votes!$A$1:$E$234,3,FALSE)</f>
        <v>#N/A</v>
      </c>
      <c r="V1613" t="s">
        <v>8703</v>
      </c>
      <c r="W1613" s="369">
        <v>1</v>
      </c>
      <c r="X1613" s="369">
        <v>1</v>
      </c>
      <c r="Y1613" s="369">
        <v>1</v>
      </c>
      <c r="Z1613" s="369">
        <v>1</v>
      </c>
      <c r="AA1613" s="369">
        <v>1</v>
      </c>
      <c r="AB1613" s="369">
        <v>1</v>
      </c>
      <c r="AC1613" s="369">
        <v>1</v>
      </c>
      <c r="AD1613" s="369">
        <v>1</v>
      </c>
      <c r="AE1613" s="49">
        <f t="shared" si="64"/>
        <v>1</v>
      </c>
      <c r="AF1613" s="17"/>
      <c r="AG1613" s="17">
        <v>1</v>
      </c>
      <c r="AH1613" s="17">
        <v>0</v>
      </c>
      <c r="AI1613" s="17">
        <v>0</v>
      </c>
      <c r="AJ1613" s="44">
        <v>2</v>
      </c>
      <c r="AK1613" s="151"/>
      <c r="AL1613" s="151"/>
      <c r="AM1613" s="147">
        <f t="shared" si="63"/>
        <v>0</v>
      </c>
      <c r="AN1613" s="44" t="s">
        <v>8501</v>
      </c>
      <c r="AO1613" s="18" t="s">
        <v>1037</v>
      </c>
      <c r="AP1613" t="s">
        <v>8704</v>
      </c>
      <c r="AQ1613"/>
    </row>
    <row r="1614" spans="1:44" s="10" customFormat="1" x14ac:dyDescent="0.3">
      <c r="A1614" s="367" t="s">
        <v>8317</v>
      </c>
      <c r="B1614" s="10" t="s">
        <v>8318</v>
      </c>
      <c r="C1614" s="368" t="s">
        <v>8680</v>
      </c>
      <c r="D1614" s="10" t="s">
        <v>8681</v>
      </c>
      <c r="E1614" s="10" t="s">
        <v>8682</v>
      </c>
      <c r="F1614" s="10" t="s">
        <v>8683</v>
      </c>
      <c r="G1614" s="10" t="s">
        <v>8695</v>
      </c>
      <c r="H1614" s="10" t="s">
        <v>8696</v>
      </c>
      <c r="I1614" s="9"/>
      <c r="J1614" s="370"/>
      <c r="K1614" s="10" t="s">
        <v>8697</v>
      </c>
      <c r="L1614" s="10" t="s">
        <v>8698</v>
      </c>
      <c r="M1614" s="18" t="s">
        <v>8705</v>
      </c>
      <c r="N1614" s="18">
        <v>2000</v>
      </c>
      <c r="O1614" s="18">
        <v>3000</v>
      </c>
      <c r="P1614" s="16">
        <v>5000</v>
      </c>
      <c r="Q1614" s="16">
        <v>7000</v>
      </c>
      <c r="R1614" s="16">
        <v>9000</v>
      </c>
      <c r="S1614" s="16">
        <v>11000</v>
      </c>
      <c r="T1614" s="10" t="s">
        <v>8702</v>
      </c>
      <c r="U1614" t="e">
        <f>VLOOKUP(T1614,[8]Votes!$A$1:$E$234,3,FALSE)</f>
        <v>#N/A</v>
      </c>
      <c r="V1614" t="s">
        <v>8706</v>
      </c>
      <c r="W1614" s="369">
        <v>1</v>
      </c>
      <c r="X1614" s="369">
        <v>1</v>
      </c>
      <c r="Y1614" s="369">
        <v>1</v>
      </c>
      <c r="Z1614" s="369">
        <v>1</v>
      </c>
      <c r="AA1614" s="369">
        <v>1</v>
      </c>
      <c r="AB1614" s="369">
        <v>1</v>
      </c>
      <c r="AC1614" s="369">
        <v>1</v>
      </c>
      <c r="AD1614" s="369">
        <v>1</v>
      </c>
      <c r="AE1614" s="49">
        <f t="shared" si="64"/>
        <v>1</v>
      </c>
      <c r="AF1614" s="44"/>
      <c r="AG1614" s="17">
        <v>1</v>
      </c>
      <c r="AH1614" s="44">
        <v>10</v>
      </c>
      <c r="AI1614" s="44">
        <v>3</v>
      </c>
      <c r="AJ1614" s="44">
        <v>4</v>
      </c>
      <c r="AK1614" s="151"/>
      <c r="AL1614" s="151"/>
      <c r="AM1614" s="147">
        <f t="shared" si="63"/>
        <v>0</v>
      </c>
      <c r="AN1614" s="44" t="s">
        <v>8501</v>
      </c>
      <c r="AO1614" s="18" t="s">
        <v>1037</v>
      </c>
      <c r="AP1614" t="s">
        <v>8707</v>
      </c>
      <c r="AQ1614"/>
    </row>
    <row r="1615" spans="1:44" s="10" customFormat="1" x14ac:dyDescent="0.3">
      <c r="A1615" s="367" t="s">
        <v>8317</v>
      </c>
      <c r="B1615" s="10" t="s">
        <v>8318</v>
      </c>
      <c r="C1615" s="368" t="s">
        <v>8680</v>
      </c>
      <c r="D1615" s="10" t="s">
        <v>8681</v>
      </c>
      <c r="E1615" s="10" t="s">
        <v>8682</v>
      </c>
      <c r="F1615" s="10" t="s">
        <v>8683</v>
      </c>
      <c r="G1615" s="10" t="s">
        <v>8695</v>
      </c>
      <c r="H1615" s="10" t="s">
        <v>8696</v>
      </c>
      <c r="I1615" s="9"/>
      <c r="J1615" s="370"/>
      <c r="K1615" s="10" t="s">
        <v>8697</v>
      </c>
      <c r="L1615" s="10" t="s">
        <v>8698</v>
      </c>
      <c r="M1615" s="18" t="s">
        <v>8708</v>
      </c>
      <c r="N1615" s="18">
        <v>10</v>
      </c>
      <c r="O1615" s="18">
        <v>4</v>
      </c>
      <c r="P1615" s="16">
        <v>40</v>
      </c>
      <c r="Q1615" s="16">
        <v>30</v>
      </c>
      <c r="R1615" s="16">
        <v>40</v>
      </c>
      <c r="S1615" s="16">
        <v>40</v>
      </c>
      <c r="T1615" s="10" t="s">
        <v>8709</v>
      </c>
      <c r="U1615" t="e">
        <f>VLOOKUP(T1615,[8]Votes!$A$1:$E$234,3,FALSE)</f>
        <v>#N/A</v>
      </c>
      <c r="V1615" t="s">
        <v>8710</v>
      </c>
      <c r="W1615" s="369">
        <v>1</v>
      </c>
      <c r="X1615" s="369">
        <v>1</v>
      </c>
      <c r="Y1615" s="369">
        <v>1</v>
      </c>
      <c r="Z1615" s="369">
        <v>1</v>
      </c>
      <c r="AA1615" s="369">
        <v>1</v>
      </c>
      <c r="AB1615" s="369">
        <v>1</v>
      </c>
      <c r="AC1615" s="369">
        <v>1</v>
      </c>
      <c r="AD1615" s="369">
        <v>1</v>
      </c>
      <c r="AE1615" s="49">
        <f t="shared" si="64"/>
        <v>1</v>
      </c>
      <c r="AF1615" s="44"/>
      <c r="AG1615" s="17">
        <v>0</v>
      </c>
      <c r="AH1615" s="44">
        <v>0.16</v>
      </c>
      <c r="AI1615" s="44">
        <v>0.6</v>
      </c>
      <c r="AJ1615" s="44">
        <v>0.45</v>
      </c>
      <c r="AK1615" s="151">
        <v>2</v>
      </c>
      <c r="AL1615" s="151">
        <v>2</v>
      </c>
      <c r="AM1615" s="147">
        <f t="shared" si="63"/>
        <v>4</v>
      </c>
      <c r="AN1615" s="44" t="s">
        <v>1035</v>
      </c>
      <c r="AO1615" s="18" t="s">
        <v>1037</v>
      </c>
      <c r="AP1615" t="s">
        <v>119</v>
      </c>
    </row>
    <row r="1616" spans="1:44" s="10" customFormat="1" x14ac:dyDescent="0.3">
      <c r="A1616" s="367" t="s">
        <v>8317</v>
      </c>
      <c r="B1616" s="10" t="s">
        <v>8318</v>
      </c>
      <c r="C1616" s="368" t="s">
        <v>8680</v>
      </c>
      <c r="D1616" s="10" t="s">
        <v>8681</v>
      </c>
      <c r="E1616" s="10" t="s">
        <v>8682</v>
      </c>
      <c r="F1616" s="10" t="s">
        <v>8683</v>
      </c>
      <c r="G1616" s="10" t="s">
        <v>8695</v>
      </c>
      <c r="H1616" s="10" t="s">
        <v>8696</v>
      </c>
      <c r="I1616" s="9"/>
      <c r="J1616" s="370"/>
      <c r="K1616" s="10" t="s">
        <v>8697</v>
      </c>
      <c r="L1616" s="10" t="s">
        <v>8698</v>
      </c>
      <c r="M1616" s="18" t="s">
        <v>8711</v>
      </c>
      <c r="N1616" s="18">
        <v>0</v>
      </c>
      <c r="O1616" s="18">
        <v>10</v>
      </c>
      <c r="P1616" s="16">
        <v>200</v>
      </c>
      <c r="Q1616" s="16">
        <v>200</v>
      </c>
      <c r="R1616" s="16">
        <v>300</v>
      </c>
      <c r="S1616" s="16">
        <v>200</v>
      </c>
      <c r="T1616" s="10" t="s">
        <v>8709</v>
      </c>
      <c r="U1616" t="e">
        <f>VLOOKUP(T1616,[8]Votes!$A$1:$E$234,3,FALSE)</f>
        <v>#N/A</v>
      </c>
      <c r="V1616" t="s">
        <v>8712</v>
      </c>
      <c r="W1616" s="369">
        <v>1</v>
      </c>
      <c r="X1616" s="369">
        <v>1</v>
      </c>
      <c r="Y1616" s="369">
        <v>1</v>
      </c>
      <c r="Z1616" s="369">
        <v>1</v>
      </c>
      <c r="AA1616" s="369">
        <v>1</v>
      </c>
      <c r="AB1616" s="369">
        <v>1</v>
      </c>
      <c r="AC1616" s="369">
        <v>1</v>
      </c>
      <c r="AD1616" s="369">
        <v>1</v>
      </c>
      <c r="AE1616" s="49">
        <f t="shared" si="64"/>
        <v>1</v>
      </c>
      <c r="AF1616" s="17"/>
      <c r="AG1616" s="17">
        <v>0</v>
      </c>
      <c r="AH1616" s="17">
        <v>0</v>
      </c>
      <c r="AI1616" s="44">
        <v>0.2</v>
      </c>
      <c r="AJ1616" s="44">
        <v>0.2</v>
      </c>
      <c r="AK1616" s="151">
        <v>0.3</v>
      </c>
      <c r="AL1616" s="151">
        <v>0.2</v>
      </c>
      <c r="AM1616" s="147">
        <f t="shared" si="63"/>
        <v>0.5</v>
      </c>
      <c r="AN1616" s="44" t="s">
        <v>1035</v>
      </c>
      <c r="AO1616" s="18" t="s">
        <v>1037</v>
      </c>
      <c r="AP1616" t="s">
        <v>119</v>
      </c>
      <c r="AQ1616"/>
    </row>
    <row r="1617" spans="1:43" s="10" customFormat="1" x14ac:dyDescent="0.3">
      <c r="A1617" s="367" t="s">
        <v>8317</v>
      </c>
      <c r="B1617" s="10" t="s">
        <v>8318</v>
      </c>
      <c r="C1617" s="368" t="s">
        <v>8680</v>
      </c>
      <c r="D1617" s="10" t="s">
        <v>8681</v>
      </c>
      <c r="E1617" s="10" t="s">
        <v>8682</v>
      </c>
      <c r="F1617" s="10" t="s">
        <v>8683</v>
      </c>
      <c r="G1617" s="10" t="s">
        <v>8695</v>
      </c>
      <c r="H1617" s="10" t="s">
        <v>8696</v>
      </c>
      <c r="I1617" s="9"/>
      <c r="J1617" s="370"/>
      <c r="K1617" s="10" t="s">
        <v>8697</v>
      </c>
      <c r="L1617" s="10" t="s">
        <v>8698</v>
      </c>
      <c r="M1617" s="18" t="s">
        <v>8713</v>
      </c>
      <c r="N1617" s="18">
        <v>0</v>
      </c>
      <c r="O1617" s="18">
        <v>100</v>
      </c>
      <c r="P1617" s="16">
        <v>1000</v>
      </c>
      <c r="Q1617" s="16">
        <v>2000</v>
      </c>
      <c r="R1617" s="16">
        <v>3000</v>
      </c>
      <c r="S1617" s="16">
        <v>3000</v>
      </c>
      <c r="T1617" s="10" t="s">
        <v>8714</v>
      </c>
      <c r="U1617" t="e">
        <f>VLOOKUP(T1617,[8]Votes!$A$1:$E$234,3,FALSE)</f>
        <v>#N/A</v>
      </c>
      <c r="V1617" t="s">
        <v>8715</v>
      </c>
      <c r="W1617" s="369">
        <v>1</v>
      </c>
      <c r="X1617" s="369">
        <v>1</v>
      </c>
      <c r="Y1617" s="369">
        <v>1</v>
      </c>
      <c r="Z1617" s="369">
        <v>0</v>
      </c>
      <c r="AA1617" s="369">
        <v>1</v>
      </c>
      <c r="AB1617" s="369">
        <v>1</v>
      </c>
      <c r="AC1617" s="369">
        <v>1</v>
      </c>
      <c r="AD1617" s="369">
        <v>1</v>
      </c>
      <c r="AE1617" s="49">
        <f t="shared" si="64"/>
        <v>0.875</v>
      </c>
      <c r="AF1617" s="17"/>
      <c r="AG1617" s="17">
        <v>0</v>
      </c>
      <c r="AH1617" s="17">
        <v>0</v>
      </c>
      <c r="AI1617" s="44">
        <v>0.7</v>
      </c>
      <c r="AJ1617" s="44">
        <v>1.4</v>
      </c>
      <c r="AK1617" s="151">
        <v>2.1</v>
      </c>
      <c r="AL1617" s="151">
        <v>2.1</v>
      </c>
      <c r="AM1617" s="147">
        <f t="shared" si="63"/>
        <v>4.2</v>
      </c>
      <c r="AN1617" s="44" t="s">
        <v>1035</v>
      </c>
      <c r="AO1617" s="18" t="s">
        <v>1037</v>
      </c>
      <c r="AP1617" t="s">
        <v>8716</v>
      </c>
      <c r="AQ1617"/>
    </row>
    <row r="1618" spans="1:43" s="10" customFormat="1" x14ac:dyDescent="0.3">
      <c r="A1618" s="367" t="s">
        <v>8317</v>
      </c>
      <c r="B1618" s="10" t="s">
        <v>8318</v>
      </c>
      <c r="C1618" s="368" t="s">
        <v>8680</v>
      </c>
      <c r="D1618" s="10" t="s">
        <v>8681</v>
      </c>
      <c r="E1618" s="10" t="s">
        <v>8682</v>
      </c>
      <c r="F1618" s="10" t="s">
        <v>8683</v>
      </c>
      <c r="G1618" s="10" t="s">
        <v>8695</v>
      </c>
      <c r="H1618" s="10" t="s">
        <v>8696</v>
      </c>
      <c r="I1618" s="9"/>
      <c r="J1618" s="370"/>
      <c r="K1618" s="10" t="s">
        <v>8697</v>
      </c>
      <c r="L1618" s="10" t="s">
        <v>8698</v>
      </c>
      <c r="M1618" s="18" t="s">
        <v>8717</v>
      </c>
      <c r="N1618" s="18">
        <v>0</v>
      </c>
      <c r="O1618" s="18">
        <v>26</v>
      </c>
      <c r="P1618" s="16">
        <v>30</v>
      </c>
      <c r="Q1618" s="16">
        <v>50</v>
      </c>
      <c r="R1618" s="16">
        <v>50</v>
      </c>
      <c r="S1618" s="16">
        <v>60</v>
      </c>
      <c r="T1618" s="10" t="s">
        <v>8718</v>
      </c>
      <c r="U1618" t="e">
        <f>VLOOKUP(T1618,[8]Votes!$A$1:$E$234,3,FALSE)</f>
        <v>#N/A</v>
      </c>
      <c r="V1618" t="s">
        <v>8719</v>
      </c>
      <c r="W1618" s="369">
        <v>1</v>
      </c>
      <c r="X1618" s="369">
        <v>1</v>
      </c>
      <c r="Y1618" s="369">
        <v>1</v>
      </c>
      <c r="Z1618" s="369">
        <v>1</v>
      </c>
      <c r="AA1618" s="369">
        <v>1</v>
      </c>
      <c r="AB1618" s="369">
        <v>1</v>
      </c>
      <c r="AC1618" s="369">
        <v>0</v>
      </c>
      <c r="AD1618" s="369">
        <v>1</v>
      </c>
      <c r="AE1618" s="49">
        <f t="shared" si="64"/>
        <v>0.875</v>
      </c>
      <c r="AF1618" s="17">
        <v>1</v>
      </c>
      <c r="AG1618" s="17">
        <v>0</v>
      </c>
      <c r="AH1618" s="17">
        <v>0</v>
      </c>
      <c r="AI1618" s="44">
        <v>0.9</v>
      </c>
      <c r="AJ1618" s="44">
        <v>1.5</v>
      </c>
      <c r="AK1618" s="151">
        <v>10</v>
      </c>
      <c r="AL1618" s="151">
        <v>10</v>
      </c>
      <c r="AM1618" s="147">
        <f t="shared" si="63"/>
        <v>20</v>
      </c>
      <c r="AN1618" t="s">
        <v>1035</v>
      </c>
      <c r="AO1618" s="18" t="s">
        <v>1037</v>
      </c>
      <c r="AP1618" t="s">
        <v>119</v>
      </c>
      <c r="AQ1618"/>
    </row>
    <row r="1619" spans="1:43" s="10" customFormat="1" x14ac:dyDescent="0.3">
      <c r="A1619" s="367" t="s">
        <v>8317</v>
      </c>
      <c r="B1619" s="10" t="s">
        <v>8318</v>
      </c>
      <c r="C1619" s="368" t="s">
        <v>8680</v>
      </c>
      <c r="D1619" s="10" t="s">
        <v>8681</v>
      </c>
      <c r="E1619" s="10" t="s">
        <v>8682</v>
      </c>
      <c r="F1619" s="10" t="s">
        <v>8683</v>
      </c>
      <c r="G1619" s="10" t="s">
        <v>8695</v>
      </c>
      <c r="H1619" s="10" t="s">
        <v>8696</v>
      </c>
      <c r="I1619" s="9"/>
      <c r="J1619" s="370"/>
      <c r="K1619" s="10" t="s">
        <v>8697</v>
      </c>
      <c r="L1619" s="10" t="s">
        <v>8698</v>
      </c>
      <c r="M1619" s="18" t="s">
        <v>8720</v>
      </c>
      <c r="N1619" s="18">
        <v>5</v>
      </c>
      <c r="O1619" s="18">
        <v>0</v>
      </c>
      <c r="P1619" s="16">
        <v>4</v>
      </c>
      <c r="Q1619" s="16">
        <v>4</v>
      </c>
      <c r="R1619" s="16">
        <v>2</v>
      </c>
      <c r="S1619" s="16"/>
      <c r="T1619" s="10" t="s">
        <v>8721</v>
      </c>
      <c r="U1619" t="e">
        <f>VLOOKUP(T1619,[8]Votes!$A$1:$E$234,3,FALSE)</f>
        <v>#N/A</v>
      </c>
      <c r="V1619" t="s">
        <v>8722</v>
      </c>
      <c r="W1619" s="369">
        <v>1</v>
      </c>
      <c r="X1619" s="369">
        <v>0</v>
      </c>
      <c r="Y1619" s="369">
        <v>0</v>
      </c>
      <c r="Z1619" s="369">
        <v>1</v>
      </c>
      <c r="AA1619" s="369">
        <v>1</v>
      </c>
      <c r="AB1619" s="369">
        <v>1</v>
      </c>
      <c r="AC1619" s="369">
        <v>0</v>
      </c>
      <c r="AD1619" s="369">
        <v>1</v>
      </c>
      <c r="AE1619" s="49">
        <f t="shared" si="64"/>
        <v>0.625</v>
      </c>
      <c r="AF1619" s="17"/>
      <c r="AG1619" s="17">
        <v>0</v>
      </c>
      <c r="AH1619" s="17">
        <v>0</v>
      </c>
      <c r="AI1619" s="44">
        <v>0.8</v>
      </c>
      <c r="AJ1619" s="44">
        <v>0.8</v>
      </c>
      <c r="AK1619" s="151">
        <v>3</v>
      </c>
      <c r="AL1619" s="154">
        <v>3</v>
      </c>
      <c r="AM1619" s="147">
        <f t="shared" si="63"/>
        <v>6</v>
      </c>
      <c r="AN1619" t="s">
        <v>1035</v>
      </c>
      <c r="AO1619" s="18" t="s">
        <v>1037</v>
      </c>
      <c r="AP1619" t="s">
        <v>119</v>
      </c>
      <c r="AQ1619"/>
    </row>
    <row r="1620" spans="1:43" s="10" customFormat="1" x14ac:dyDescent="0.3">
      <c r="A1620" s="367" t="s">
        <v>8317</v>
      </c>
      <c r="B1620" s="10" t="s">
        <v>8318</v>
      </c>
      <c r="C1620" s="368" t="s">
        <v>8680</v>
      </c>
      <c r="D1620" s="10" t="s">
        <v>8681</v>
      </c>
      <c r="E1620" s="10" t="s">
        <v>8682</v>
      </c>
      <c r="F1620" s="10" t="s">
        <v>8683</v>
      </c>
      <c r="G1620" s="10" t="s">
        <v>8695</v>
      </c>
      <c r="H1620" s="10" t="s">
        <v>8696</v>
      </c>
      <c r="I1620" s="9"/>
      <c r="J1620" s="370"/>
      <c r="K1620" s="10" t="s">
        <v>8697</v>
      </c>
      <c r="L1620" s="10" t="s">
        <v>8698</v>
      </c>
      <c r="M1620" s="18" t="s">
        <v>8720</v>
      </c>
      <c r="N1620" s="18">
        <v>5</v>
      </c>
      <c r="O1620" s="18">
        <v>0</v>
      </c>
      <c r="P1620" s="16">
        <v>4</v>
      </c>
      <c r="Q1620" s="16">
        <v>4</v>
      </c>
      <c r="R1620" s="16">
        <v>2</v>
      </c>
      <c r="S1620" s="16"/>
      <c r="T1620" s="10" t="s">
        <v>8721</v>
      </c>
      <c r="U1620" t="e">
        <f>VLOOKUP(T1620,[8]Votes!$A$1:$E$234,3,FALSE)</f>
        <v>#N/A</v>
      </c>
      <c r="V1620" t="s">
        <v>8723</v>
      </c>
      <c r="W1620" s="369">
        <v>1</v>
      </c>
      <c r="X1620" s="369">
        <v>1</v>
      </c>
      <c r="Y1620" s="369">
        <v>1</v>
      </c>
      <c r="Z1620" s="369">
        <v>1</v>
      </c>
      <c r="AA1620" s="369">
        <v>1</v>
      </c>
      <c r="AB1620" s="369">
        <v>1</v>
      </c>
      <c r="AC1620" s="369">
        <v>1</v>
      </c>
      <c r="AD1620" s="369">
        <v>1</v>
      </c>
      <c r="AE1620" s="49">
        <f t="shared" si="64"/>
        <v>1</v>
      </c>
      <c r="AF1620" s="17"/>
      <c r="AG1620" s="17">
        <v>1</v>
      </c>
      <c r="AH1620" s="17">
        <v>0</v>
      </c>
      <c r="AI1620" s="44">
        <v>3</v>
      </c>
      <c r="AJ1620" s="44">
        <v>4</v>
      </c>
      <c r="AK1620" s="151"/>
      <c r="AL1620" s="151"/>
      <c r="AM1620" s="147">
        <f t="shared" si="63"/>
        <v>0</v>
      </c>
      <c r="AN1620" s="44" t="s">
        <v>8501</v>
      </c>
      <c r="AO1620" s="18" t="s">
        <v>1037</v>
      </c>
      <c r="AP1620" t="s">
        <v>8724</v>
      </c>
      <c r="AQ1620"/>
    </row>
    <row r="1621" spans="1:43" s="10" customFormat="1" x14ac:dyDescent="0.3">
      <c r="A1621" s="367" t="s">
        <v>8317</v>
      </c>
      <c r="B1621" s="10" t="s">
        <v>8318</v>
      </c>
      <c r="C1621" s="368" t="s">
        <v>8680</v>
      </c>
      <c r="D1621" s="10" t="s">
        <v>8681</v>
      </c>
      <c r="E1621" s="10" t="s">
        <v>8682</v>
      </c>
      <c r="F1621" s="10" t="s">
        <v>8683</v>
      </c>
      <c r="G1621" s="10" t="s">
        <v>8695</v>
      </c>
      <c r="H1621" s="10" t="s">
        <v>8696</v>
      </c>
      <c r="I1621" s="9"/>
      <c r="J1621" s="370"/>
      <c r="K1621" s="10" t="s">
        <v>8697</v>
      </c>
      <c r="L1621" s="10" t="s">
        <v>8698</v>
      </c>
      <c r="M1621" s="18"/>
      <c r="N1621" s="18"/>
      <c r="O1621" s="18"/>
      <c r="P1621" s="16"/>
      <c r="Q1621" s="16"/>
      <c r="R1621" s="16"/>
      <c r="S1621" s="16"/>
      <c r="U1621" t="e">
        <f>VLOOKUP(T1621,[8]Votes!$A$1:$E$234,3,FALSE)</f>
        <v>#N/A</v>
      </c>
      <c r="V1621" t="s">
        <v>8725</v>
      </c>
      <c r="W1621" s="369">
        <v>1</v>
      </c>
      <c r="X1621" s="369">
        <v>1</v>
      </c>
      <c r="Y1621" s="369">
        <v>1</v>
      </c>
      <c r="Z1621" s="369">
        <v>1</v>
      </c>
      <c r="AA1621" s="369">
        <v>1</v>
      </c>
      <c r="AB1621" s="369">
        <v>1</v>
      </c>
      <c r="AC1621" s="369">
        <v>0</v>
      </c>
      <c r="AD1621" s="369">
        <v>1</v>
      </c>
      <c r="AE1621" s="49">
        <f t="shared" si="64"/>
        <v>0.875</v>
      </c>
      <c r="AF1621" s="17"/>
      <c r="AG1621" s="17">
        <v>0</v>
      </c>
      <c r="AH1621" s="17">
        <v>0</v>
      </c>
      <c r="AI1621" s="44">
        <v>0.5</v>
      </c>
      <c r="AJ1621" s="44">
        <v>0.5</v>
      </c>
      <c r="AK1621" s="151">
        <v>3</v>
      </c>
      <c r="AL1621" s="151">
        <v>1</v>
      </c>
      <c r="AM1621" s="147">
        <f t="shared" si="63"/>
        <v>4</v>
      </c>
      <c r="AN1621" s="44" t="s">
        <v>1035</v>
      </c>
      <c r="AO1621" s="18" t="s">
        <v>1037</v>
      </c>
      <c r="AP1621" t="s">
        <v>8726</v>
      </c>
      <c r="AQ1621"/>
    </row>
    <row r="1622" spans="1:43" s="10" customFormat="1" x14ac:dyDescent="0.3">
      <c r="A1622" s="367" t="s">
        <v>8317</v>
      </c>
      <c r="B1622" s="10" t="s">
        <v>8318</v>
      </c>
      <c r="C1622" s="368" t="s">
        <v>8680</v>
      </c>
      <c r="D1622" s="10" t="s">
        <v>8681</v>
      </c>
      <c r="E1622" s="10" t="s">
        <v>8682</v>
      </c>
      <c r="F1622" s="10" t="s">
        <v>8683</v>
      </c>
      <c r="G1622" s="10" t="s">
        <v>8727</v>
      </c>
      <c r="H1622" s="10" t="s">
        <v>8728</v>
      </c>
      <c r="I1622" s="9"/>
      <c r="J1622" s="370"/>
      <c r="K1622" s="10" t="s">
        <v>8729</v>
      </c>
      <c r="L1622" s="10" t="s">
        <v>8730</v>
      </c>
      <c r="M1622" s="18" t="s">
        <v>8731</v>
      </c>
      <c r="N1622" s="18">
        <v>0</v>
      </c>
      <c r="O1622" s="18">
        <v>0</v>
      </c>
      <c r="P1622" s="16">
        <v>0</v>
      </c>
      <c r="Q1622" s="16">
        <v>1</v>
      </c>
      <c r="R1622" s="16">
        <v>1</v>
      </c>
      <c r="S1622" s="16">
        <v>1</v>
      </c>
      <c r="T1622" s="10" t="s">
        <v>8732</v>
      </c>
      <c r="U1622" t="e">
        <f>VLOOKUP(T1622,[8]Votes!$A$1:$E$234,3,FALSE)</f>
        <v>#N/A</v>
      </c>
      <c r="V1622" t="s">
        <v>8733</v>
      </c>
      <c r="W1622" s="369">
        <v>1</v>
      </c>
      <c r="X1622" s="369">
        <v>1</v>
      </c>
      <c r="Y1622" s="369">
        <v>1</v>
      </c>
      <c r="Z1622" s="369">
        <v>1</v>
      </c>
      <c r="AA1622" s="369">
        <v>1</v>
      </c>
      <c r="AB1622" s="369">
        <v>1</v>
      </c>
      <c r="AC1622" s="369">
        <v>1</v>
      </c>
      <c r="AD1622" s="369">
        <v>1</v>
      </c>
      <c r="AE1622" s="49">
        <f t="shared" si="64"/>
        <v>1</v>
      </c>
      <c r="AF1622" s="17"/>
      <c r="AG1622" s="17">
        <v>0</v>
      </c>
      <c r="AH1622" s="17">
        <v>0</v>
      </c>
      <c r="AI1622" s="44">
        <v>0.1</v>
      </c>
      <c r="AJ1622" s="44">
        <v>0.2</v>
      </c>
      <c r="AK1622" s="151">
        <v>0.2</v>
      </c>
      <c r="AL1622" s="151">
        <v>0.2</v>
      </c>
      <c r="AM1622" s="147">
        <f t="shared" si="63"/>
        <v>0.4</v>
      </c>
      <c r="AN1622" s="44" t="s">
        <v>1035</v>
      </c>
      <c r="AO1622" s="18" t="s">
        <v>1037</v>
      </c>
      <c r="AP1622" t="s">
        <v>119</v>
      </c>
    </row>
    <row r="1623" spans="1:43" s="10" customFormat="1" x14ac:dyDescent="0.3">
      <c r="A1623" s="367" t="s">
        <v>8317</v>
      </c>
      <c r="B1623" s="10" t="s">
        <v>8318</v>
      </c>
      <c r="C1623" s="368" t="s">
        <v>8680</v>
      </c>
      <c r="D1623" s="10" t="s">
        <v>8681</v>
      </c>
      <c r="E1623" s="10" t="s">
        <v>8682</v>
      </c>
      <c r="F1623" s="10" t="s">
        <v>8683</v>
      </c>
      <c r="G1623" s="10" t="s">
        <v>8727</v>
      </c>
      <c r="H1623" s="10" t="s">
        <v>8728</v>
      </c>
      <c r="I1623" s="9"/>
      <c r="J1623" s="370"/>
      <c r="K1623" s="10" t="s">
        <v>8729</v>
      </c>
      <c r="L1623" s="10" t="s">
        <v>8730</v>
      </c>
      <c r="M1623" s="18"/>
      <c r="N1623" s="18"/>
      <c r="O1623" s="18"/>
      <c r="P1623" s="16"/>
      <c r="Q1623" s="16"/>
      <c r="R1623" s="16"/>
      <c r="S1623" s="16"/>
      <c r="U1623" t="e">
        <f>VLOOKUP(T1623,[8]Votes!$A$1:$E$234,3,FALSE)</f>
        <v>#N/A</v>
      </c>
      <c r="V1623" t="s">
        <v>8734</v>
      </c>
      <c r="W1623" s="369">
        <v>1</v>
      </c>
      <c r="X1623" s="369">
        <v>1</v>
      </c>
      <c r="Y1623" s="369">
        <v>1</v>
      </c>
      <c r="Z1623" s="369">
        <v>1</v>
      </c>
      <c r="AA1623" s="369">
        <v>1</v>
      </c>
      <c r="AB1623" s="369">
        <v>1</v>
      </c>
      <c r="AC1623" s="369">
        <v>1</v>
      </c>
      <c r="AD1623" s="369">
        <v>1</v>
      </c>
      <c r="AE1623" s="49">
        <f t="shared" si="64"/>
        <v>1</v>
      </c>
      <c r="AF1623" s="17"/>
      <c r="AG1623" s="17">
        <v>0</v>
      </c>
      <c r="AH1623" s="17">
        <v>0</v>
      </c>
      <c r="AI1623" s="44">
        <v>0.3</v>
      </c>
      <c r="AJ1623" s="44">
        <v>0.5</v>
      </c>
      <c r="AK1623" s="151">
        <v>2</v>
      </c>
      <c r="AL1623" s="151">
        <v>2</v>
      </c>
      <c r="AM1623" s="147">
        <f t="shared" si="63"/>
        <v>4</v>
      </c>
      <c r="AN1623" t="s">
        <v>265</v>
      </c>
      <c r="AO1623" s="18" t="s">
        <v>350</v>
      </c>
      <c r="AP1623" t="s">
        <v>4748</v>
      </c>
    </row>
    <row r="1624" spans="1:43" s="10" customFormat="1" x14ac:dyDescent="0.3">
      <c r="A1624" s="367" t="s">
        <v>8317</v>
      </c>
      <c r="B1624" s="10" t="s">
        <v>8318</v>
      </c>
      <c r="C1624" s="368" t="s">
        <v>8680</v>
      </c>
      <c r="D1624" s="10" t="s">
        <v>8681</v>
      </c>
      <c r="E1624" s="10" t="s">
        <v>8682</v>
      </c>
      <c r="F1624" s="10" t="s">
        <v>8683</v>
      </c>
      <c r="G1624" s="10" t="s">
        <v>8735</v>
      </c>
      <c r="H1624" s="10" t="s">
        <v>8736</v>
      </c>
      <c r="I1624" s="9"/>
      <c r="J1624" s="370"/>
      <c r="K1624" s="10" t="s">
        <v>8737</v>
      </c>
      <c r="L1624" s="10" t="s">
        <v>8738</v>
      </c>
      <c r="M1624" s="18" t="s">
        <v>8739</v>
      </c>
      <c r="N1624" s="18">
        <v>0</v>
      </c>
      <c r="O1624" s="18">
        <v>0</v>
      </c>
      <c r="P1624" s="16">
        <v>5</v>
      </c>
      <c r="Q1624" s="16">
        <v>10</v>
      </c>
      <c r="R1624" s="16">
        <v>15</v>
      </c>
      <c r="S1624" s="16">
        <v>20</v>
      </c>
      <c r="T1624" s="10" t="s">
        <v>8740</v>
      </c>
      <c r="U1624" t="e">
        <f>VLOOKUP(T1624,[8]Votes!$A$1:$E$234,3,FALSE)</f>
        <v>#N/A</v>
      </c>
      <c r="V1624" t="s">
        <v>8741</v>
      </c>
      <c r="W1624" s="369">
        <v>1</v>
      </c>
      <c r="X1624" s="369">
        <v>0</v>
      </c>
      <c r="Y1624" s="369">
        <v>1</v>
      </c>
      <c r="Z1624" s="369">
        <v>1</v>
      </c>
      <c r="AA1624" s="369">
        <v>1</v>
      </c>
      <c r="AB1624" s="369">
        <v>1</v>
      </c>
      <c r="AC1624" s="369">
        <v>1</v>
      </c>
      <c r="AD1624" s="369">
        <v>1</v>
      </c>
      <c r="AE1624" s="49">
        <f t="shared" si="64"/>
        <v>0.875</v>
      </c>
      <c r="AF1624" s="17"/>
      <c r="AG1624" s="17">
        <v>0</v>
      </c>
      <c r="AH1624" s="17">
        <v>0</v>
      </c>
      <c r="AI1624" s="17">
        <v>0</v>
      </c>
      <c r="AJ1624" s="17">
        <v>0</v>
      </c>
      <c r="AK1624" s="153">
        <v>0.5</v>
      </c>
      <c r="AL1624" s="154">
        <v>0</v>
      </c>
      <c r="AM1624" s="147">
        <f t="shared" si="63"/>
        <v>0.5</v>
      </c>
      <c r="AN1624" s="44" t="s">
        <v>1035</v>
      </c>
      <c r="AO1624" s="18" t="s">
        <v>1037</v>
      </c>
      <c r="AP1624" t="s">
        <v>8465</v>
      </c>
    </row>
    <row r="1625" spans="1:43" s="10" customFormat="1" x14ac:dyDescent="0.3">
      <c r="A1625" s="367" t="s">
        <v>8317</v>
      </c>
      <c r="B1625" s="10" t="s">
        <v>8318</v>
      </c>
      <c r="C1625" s="368" t="s">
        <v>8680</v>
      </c>
      <c r="D1625" s="10" t="s">
        <v>8681</v>
      </c>
      <c r="E1625" s="10" t="s">
        <v>8682</v>
      </c>
      <c r="F1625" s="10" t="s">
        <v>8683</v>
      </c>
      <c r="G1625" s="10" t="s">
        <v>8735</v>
      </c>
      <c r="H1625" s="10" t="s">
        <v>8736</v>
      </c>
      <c r="I1625" s="9"/>
      <c r="J1625" s="370"/>
      <c r="K1625" s="10" t="s">
        <v>8737</v>
      </c>
      <c r="L1625" s="10" t="s">
        <v>8738</v>
      </c>
      <c r="M1625" s="18" t="s">
        <v>8742</v>
      </c>
      <c r="N1625" s="18">
        <v>0</v>
      </c>
      <c r="O1625" s="18">
        <v>0</v>
      </c>
      <c r="P1625" s="16">
        <v>2</v>
      </c>
      <c r="Q1625" s="16">
        <v>2</v>
      </c>
      <c r="R1625" s="16">
        <v>0</v>
      </c>
      <c r="S1625" s="16">
        <v>0</v>
      </c>
      <c r="T1625" s="10" t="s">
        <v>8743</v>
      </c>
      <c r="U1625" t="e">
        <f>VLOOKUP(T1625,[8]Votes!$A$1:$E$234,3,FALSE)</f>
        <v>#N/A</v>
      </c>
      <c r="V1625" t="s">
        <v>8744</v>
      </c>
      <c r="W1625" s="369">
        <v>1</v>
      </c>
      <c r="X1625" s="369">
        <v>0</v>
      </c>
      <c r="Y1625" s="369">
        <v>1</v>
      </c>
      <c r="Z1625" s="369">
        <v>1</v>
      </c>
      <c r="AA1625" s="369">
        <v>1</v>
      </c>
      <c r="AB1625" s="369">
        <v>1</v>
      </c>
      <c r="AC1625" s="369">
        <v>0</v>
      </c>
      <c r="AD1625" s="369">
        <v>1</v>
      </c>
      <c r="AE1625" s="49">
        <f t="shared" si="64"/>
        <v>0.75</v>
      </c>
      <c r="AF1625" s="17"/>
      <c r="AG1625" s="17">
        <v>0</v>
      </c>
      <c r="AH1625" s="17">
        <v>0</v>
      </c>
      <c r="AI1625" s="44">
        <v>2</v>
      </c>
      <c r="AJ1625" s="44">
        <v>2</v>
      </c>
      <c r="AK1625" s="151">
        <v>3</v>
      </c>
      <c r="AL1625" s="151">
        <v>1</v>
      </c>
      <c r="AM1625" s="147">
        <f t="shared" ref="AM1625:AM1662" si="65">SUM(AK1625:AL1625)</f>
        <v>4</v>
      </c>
      <c r="AN1625" s="44" t="s">
        <v>1035</v>
      </c>
      <c r="AO1625" s="18" t="s">
        <v>1037</v>
      </c>
      <c r="AP1625" t="s">
        <v>8465</v>
      </c>
    </row>
    <row r="1626" spans="1:43" s="10" customFormat="1" x14ac:dyDescent="0.3">
      <c r="A1626" s="367" t="s">
        <v>8317</v>
      </c>
      <c r="B1626" s="10" t="s">
        <v>8318</v>
      </c>
      <c r="C1626" s="368" t="s">
        <v>8680</v>
      </c>
      <c r="D1626" s="10" t="s">
        <v>8681</v>
      </c>
      <c r="E1626" s="10" t="s">
        <v>8682</v>
      </c>
      <c r="F1626" s="10" t="s">
        <v>8683</v>
      </c>
      <c r="G1626" s="10" t="s">
        <v>8735</v>
      </c>
      <c r="H1626" s="10" t="s">
        <v>8736</v>
      </c>
      <c r="I1626" s="9"/>
      <c r="J1626" s="370"/>
      <c r="K1626" s="10" t="s">
        <v>8737</v>
      </c>
      <c r="L1626" s="10" t="s">
        <v>8738</v>
      </c>
      <c r="M1626" s="18"/>
      <c r="N1626" s="18"/>
      <c r="O1626" s="18"/>
      <c r="P1626" s="16"/>
      <c r="Q1626" s="16"/>
      <c r="R1626" s="16"/>
      <c r="S1626" s="16"/>
      <c r="U1626" t="e">
        <f>VLOOKUP(T1626,[8]Votes!$A$1:$E$234,3,FALSE)</f>
        <v>#N/A</v>
      </c>
      <c r="V1626" t="s">
        <v>8745</v>
      </c>
      <c r="W1626" s="369">
        <v>1</v>
      </c>
      <c r="X1626" s="369">
        <v>0</v>
      </c>
      <c r="Y1626" s="369">
        <v>1</v>
      </c>
      <c r="Z1626" s="369">
        <v>0</v>
      </c>
      <c r="AA1626" s="369">
        <v>1</v>
      </c>
      <c r="AB1626" s="369">
        <v>1</v>
      </c>
      <c r="AC1626" s="369">
        <v>0</v>
      </c>
      <c r="AD1626" s="369">
        <v>1</v>
      </c>
      <c r="AE1626" s="49">
        <f t="shared" si="64"/>
        <v>0.625</v>
      </c>
      <c r="AF1626" s="17"/>
      <c r="AG1626" s="17">
        <v>0</v>
      </c>
      <c r="AH1626" s="17">
        <v>0</v>
      </c>
      <c r="AI1626" s="44">
        <v>1</v>
      </c>
      <c r="AJ1626" s="44">
        <v>1</v>
      </c>
      <c r="AK1626" s="151">
        <v>1</v>
      </c>
      <c r="AL1626" s="151">
        <v>2</v>
      </c>
      <c r="AM1626" s="147">
        <f t="shared" si="65"/>
        <v>3</v>
      </c>
      <c r="AN1626" s="44" t="s">
        <v>1035</v>
      </c>
      <c r="AO1626" s="18" t="s">
        <v>1037</v>
      </c>
      <c r="AP1626" t="s">
        <v>8465</v>
      </c>
    </row>
    <row r="1627" spans="1:43" s="10" customFormat="1" x14ac:dyDescent="0.3">
      <c r="A1627" s="367" t="s">
        <v>8317</v>
      </c>
      <c r="B1627" s="10" t="s">
        <v>8318</v>
      </c>
      <c r="C1627" s="368" t="s">
        <v>8680</v>
      </c>
      <c r="D1627" s="10" t="s">
        <v>8681</v>
      </c>
      <c r="E1627" s="10" t="s">
        <v>8682</v>
      </c>
      <c r="F1627" s="10" t="s">
        <v>8683</v>
      </c>
      <c r="G1627" s="10" t="s">
        <v>8746</v>
      </c>
      <c r="H1627" s="10" t="s">
        <v>8747</v>
      </c>
      <c r="I1627" s="9"/>
      <c r="J1627" s="370"/>
      <c r="K1627" s="10" t="s">
        <v>8748</v>
      </c>
      <c r="L1627" s="10" t="s">
        <v>8749</v>
      </c>
      <c r="M1627" s="18" t="s">
        <v>8750</v>
      </c>
      <c r="N1627" s="18">
        <v>500</v>
      </c>
      <c r="O1627" s="18">
        <v>0</v>
      </c>
      <c r="P1627" s="16">
        <v>200</v>
      </c>
      <c r="Q1627" s="16">
        <v>200</v>
      </c>
      <c r="R1627" s="16">
        <v>200</v>
      </c>
      <c r="S1627" s="16">
        <v>300</v>
      </c>
      <c r="T1627" s="10" t="s">
        <v>1035</v>
      </c>
      <c r="U1627" t="str">
        <f>VLOOKUP(T1627,[8]Votes!$A$1:$E$234,3,FALSE)</f>
        <v>017 Ministry of Energy and Mineral Development</v>
      </c>
      <c r="V1627" t="s">
        <v>8751</v>
      </c>
      <c r="W1627" s="369">
        <v>1</v>
      </c>
      <c r="X1627" s="369">
        <v>1</v>
      </c>
      <c r="Y1627" s="369">
        <v>0</v>
      </c>
      <c r="Z1627" s="369">
        <v>1</v>
      </c>
      <c r="AA1627" s="369">
        <v>1</v>
      </c>
      <c r="AB1627" s="369">
        <v>1</v>
      </c>
      <c r="AC1627" s="369">
        <v>0</v>
      </c>
      <c r="AD1627" s="369">
        <v>1</v>
      </c>
      <c r="AE1627" s="49">
        <f t="shared" si="64"/>
        <v>0.75</v>
      </c>
      <c r="AF1627" s="44"/>
      <c r="AG1627" s="17">
        <v>0</v>
      </c>
      <c r="AH1627" s="44">
        <v>0</v>
      </c>
      <c r="AI1627" s="44">
        <v>0.4</v>
      </c>
      <c r="AJ1627" s="44">
        <v>0.4</v>
      </c>
      <c r="AK1627" s="151">
        <v>0.4</v>
      </c>
      <c r="AL1627" s="151">
        <v>0.4</v>
      </c>
      <c r="AM1627" s="147">
        <f t="shared" si="65"/>
        <v>0.8</v>
      </c>
      <c r="AN1627" t="s">
        <v>1035</v>
      </c>
      <c r="AO1627" s="18" t="s">
        <v>1037</v>
      </c>
      <c r="AP1627" t="s">
        <v>1126</v>
      </c>
      <c r="AQ1627"/>
    </row>
    <row r="1628" spans="1:43" s="10" customFormat="1" x14ac:dyDescent="0.3">
      <c r="A1628" s="367" t="s">
        <v>8317</v>
      </c>
      <c r="B1628" s="10" t="s">
        <v>8318</v>
      </c>
      <c r="C1628" s="368" t="s">
        <v>8680</v>
      </c>
      <c r="D1628" s="10" t="s">
        <v>8681</v>
      </c>
      <c r="E1628" s="10" t="s">
        <v>8682</v>
      </c>
      <c r="F1628" s="10" t="s">
        <v>8683</v>
      </c>
      <c r="G1628" s="10" t="s">
        <v>8746</v>
      </c>
      <c r="H1628" s="10" t="s">
        <v>8747</v>
      </c>
      <c r="I1628" s="9"/>
      <c r="J1628" s="370"/>
      <c r="K1628" s="10" t="s">
        <v>8748</v>
      </c>
      <c r="L1628" s="10" t="s">
        <v>8749</v>
      </c>
      <c r="M1628" s="18" t="s">
        <v>8752</v>
      </c>
      <c r="N1628" s="18">
        <v>1</v>
      </c>
      <c r="O1628" s="18"/>
      <c r="P1628" s="16">
        <v>0</v>
      </c>
      <c r="Q1628" s="16">
        <v>1</v>
      </c>
      <c r="R1628" s="16">
        <v>1</v>
      </c>
      <c r="S1628" s="16">
        <v>0</v>
      </c>
      <c r="T1628" s="10" t="s">
        <v>1035</v>
      </c>
      <c r="U1628" t="str">
        <f>VLOOKUP(T1628,[8]Votes!$A$1:$E$234,3,FALSE)</f>
        <v>017 Ministry of Energy and Mineral Development</v>
      </c>
      <c r="V1628" t="s">
        <v>8753</v>
      </c>
      <c r="W1628" s="369">
        <v>1</v>
      </c>
      <c r="X1628" s="369">
        <v>1</v>
      </c>
      <c r="Y1628" s="369">
        <v>0</v>
      </c>
      <c r="Z1628" s="369">
        <v>0</v>
      </c>
      <c r="AA1628" s="369">
        <v>1</v>
      </c>
      <c r="AB1628" s="369">
        <v>1</v>
      </c>
      <c r="AC1628" s="369">
        <v>0</v>
      </c>
      <c r="AD1628" s="369">
        <v>1</v>
      </c>
      <c r="AE1628" s="49">
        <f t="shared" ref="AE1628:AE1662" si="66">SUM(W1628:AD1628)/8</f>
        <v>0.625</v>
      </c>
      <c r="AF1628" s="44"/>
      <c r="AG1628" s="17">
        <v>0</v>
      </c>
      <c r="AH1628" s="44">
        <v>0</v>
      </c>
      <c r="AI1628" s="44">
        <v>0.2</v>
      </c>
      <c r="AJ1628" s="44">
        <v>0.4</v>
      </c>
      <c r="AK1628" s="151">
        <v>2</v>
      </c>
      <c r="AL1628" s="151">
        <v>2</v>
      </c>
      <c r="AM1628" s="147">
        <f t="shared" si="65"/>
        <v>4</v>
      </c>
      <c r="AN1628" s="44" t="s">
        <v>1035</v>
      </c>
      <c r="AO1628" s="18" t="s">
        <v>1037</v>
      </c>
      <c r="AP1628" t="s">
        <v>119</v>
      </c>
      <c r="AQ1628"/>
    </row>
    <row r="1629" spans="1:43" s="10" customFormat="1" x14ac:dyDescent="0.3">
      <c r="A1629" s="367" t="s">
        <v>8317</v>
      </c>
      <c r="B1629" s="10" t="s">
        <v>8318</v>
      </c>
      <c r="C1629" s="368" t="s">
        <v>8680</v>
      </c>
      <c r="D1629" s="10" t="s">
        <v>8681</v>
      </c>
      <c r="E1629" s="10" t="s">
        <v>8682</v>
      </c>
      <c r="F1629" s="10" t="s">
        <v>8683</v>
      </c>
      <c r="G1629" s="10" t="s">
        <v>8746</v>
      </c>
      <c r="H1629" s="10" t="s">
        <v>8747</v>
      </c>
      <c r="I1629" s="9"/>
      <c r="J1629" s="370"/>
      <c r="K1629" s="10" t="s">
        <v>8748</v>
      </c>
      <c r="L1629" s="10" t="s">
        <v>8749</v>
      </c>
      <c r="M1629" s="18" t="s">
        <v>8754</v>
      </c>
      <c r="N1629" s="18"/>
      <c r="O1629" s="18">
        <v>0</v>
      </c>
      <c r="P1629" s="16">
        <v>100</v>
      </c>
      <c r="Q1629" s="16">
        <v>100</v>
      </c>
      <c r="R1629" s="16">
        <v>100</v>
      </c>
      <c r="S1629" s="16">
        <v>100</v>
      </c>
      <c r="T1629" s="10" t="s">
        <v>8445</v>
      </c>
      <c r="U1629" t="e">
        <f>VLOOKUP(T1629,[8]Votes!$A$1:$E$234,3,FALSE)</f>
        <v>#N/A</v>
      </c>
      <c r="V1629" t="s">
        <v>8755</v>
      </c>
      <c r="W1629" s="369">
        <v>1</v>
      </c>
      <c r="X1629" s="369">
        <v>1</v>
      </c>
      <c r="Y1629" s="369">
        <v>0</v>
      </c>
      <c r="Z1629" s="369">
        <v>1</v>
      </c>
      <c r="AA1629" s="369">
        <v>1</v>
      </c>
      <c r="AB1629" s="369">
        <v>1</v>
      </c>
      <c r="AC1629" s="369">
        <v>1</v>
      </c>
      <c r="AD1629" s="369">
        <v>1</v>
      </c>
      <c r="AE1629" s="49">
        <f t="shared" si="66"/>
        <v>0.875</v>
      </c>
      <c r="AF1629" s="44"/>
      <c r="AG1629" s="17">
        <v>0</v>
      </c>
      <c r="AH1629" s="44">
        <v>0.1</v>
      </c>
      <c r="AI1629" s="44">
        <v>0.3</v>
      </c>
      <c r="AJ1629" s="44">
        <v>0.3</v>
      </c>
      <c r="AK1629" s="151">
        <v>0.3</v>
      </c>
      <c r="AL1629" s="151">
        <v>0.3</v>
      </c>
      <c r="AM1629" s="147">
        <f t="shared" si="65"/>
        <v>0.6</v>
      </c>
      <c r="AN1629" s="44" t="s">
        <v>1035</v>
      </c>
      <c r="AO1629" s="18" t="s">
        <v>1037</v>
      </c>
      <c r="AP1629" t="s">
        <v>8756</v>
      </c>
      <c r="AQ1629"/>
    </row>
    <row r="1630" spans="1:43" s="10" customFormat="1" x14ac:dyDescent="0.3">
      <c r="A1630" s="367" t="s">
        <v>8317</v>
      </c>
      <c r="B1630" s="10" t="s">
        <v>8318</v>
      </c>
      <c r="C1630" s="368" t="s">
        <v>8680</v>
      </c>
      <c r="D1630" s="10" t="s">
        <v>8681</v>
      </c>
      <c r="E1630" s="10" t="s">
        <v>8682</v>
      </c>
      <c r="F1630" s="10" t="s">
        <v>8683</v>
      </c>
      <c r="G1630" s="10" t="s">
        <v>8746</v>
      </c>
      <c r="H1630" s="10" t="s">
        <v>8747</v>
      </c>
      <c r="I1630" s="9"/>
      <c r="J1630" s="370"/>
      <c r="K1630" s="10" t="s">
        <v>8748</v>
      </c>
      <c r="L1630" s="10" t="s">
        <v>8749</v>
      </c>
      <c r="M1630" s="18" t="s">
        <v>8757</v>
      </c>
      <c r="N1630" s="18" t="s">
        <v>8758</v>
      </c>
      <c r="O1630" s="18">
        <v>15</v>
      </c>
      <c r="P1630" s="16">
        <v>15</v>
      </c>
      <c r="Q1630" s="16">
        <v>15</v>
      </c>
      <c r="R1630" s="16">
        <v>20</v>
      </c>
      <c r="S1630" s="16">
        <v>20</v>
      </c>
      <c r="T1630" s="10" t="s">
        <v>8702</v>
      </c>
      <c r="U1630" t="e">
        <f>VLOOKUP(T1630,[8]Votes!$A$1:$E$234,3,FALSE)</f>
        <v>#N/A</v>
      </c>
      <c r="V1630" t="s">
        <v>8759</v>
      </c>
      <c r="W1630" s="369">
        <v>1</v>
      </c>
      <c r="X1630" s="369">
        <v>1</v>
      </c>
      <c r="Y1630" s="369">
        <v>0</v>
      </c>
      <c r="Z1630" s="369">
        <v>1</v>
      </c>
      <c r="AA1630" s="369">
        <v>1</v>
      </c>
      <c r="AB1630" s="369">
        <v>1</v>
      </c>
      <c r="AC1630" s="369">
        <v>0</v>
      </c>
      <c r="AD1630" s="369">
        <v>1</v>
      </c>
      <c r="AE1630" s="49">
        <f t="shared" si="66"/>
        <v>0.75</v>
      </c>
      <c r="AF1630" s="44"/>
      <c r="AG1630" s="17">
        <v>1</v>
      </c>
      <c r="AH1630" s="44">
        <v>0.5</v>
      </c>
      <c r="AI1630" s="44">
        <v>0.5</v>
      </c>
      <c r="AJ1630" s="44">
        <v>0.5</v>
      </c>
      <c r="AK1630" s="151"/>
      <c r="AL1630" s="151"/>
      <c r="AM1630" s="147">
        <f t="shared" si="65"/>
        <v>0</v>
      </c>
      <c r="AN1630" s="44" t="s">
        <v>8501</v>
      </c>
      <c r="AO1630" s="18" t="s">
        <v>1037</v>
      </c>
      <c r="AP1630" t="s">
        <v>8760</v>
      </c>
      <c r="AQ1630"/>
    </row>
    <row r="1631" spans="1:43" s="10" customFormat="1" x14ac:dyDescent="0.3">
      <c r="A1631" s="367" t="s">
        <v>8317</v>
      </c>
      <c r="B1631" s="10" t="s">
        <v>8318</v>
      </c>
      <c r="C1631" s="368" t="s">
        <v>8680</v>
      </c>
      <c r="D1631" s="10" t="s">
        <v>8681</v>
      </c>
      <c r="E1631" s="10" t="s">
        <v>8682</v>
      </c>
      <c r="F1631" s="10" t="s">
        <v>8683</v>
      </c>
      <c r="G1631" s="10" t="s">
        <v>8746</v>
      </c>
      <c r="H1631" s="10" t="s">
        <v>8747</v>
      </c>
      <c r="I1631" s="9"/>
      <c r="J1631" s="370"/>
      <c r="K1631" s="10" t="s">
        <v>8748</v>
      </c>
      <c r="L1631" s="10" t="s">
        <v>8749</v>
      </c>
      <c r="M1631" s="18" t="s">
        <v>8761</v>
      </c>
      <c r="N1631" s="18"/>
      <c r="O1631" s="18">
        <v>2</v>
      </c>
      <c r="P1631" s="16">
        <v>2</v>
      </c>
      <c r="Q1631" s="16">
        <v>2</v>
      </c>
      <c r="R1631" s="16">
        <v>2</v>
      </c>
      <c r="S1631" s="16">
        <v>2</v>
      </c>
      <c r="T1631" s="10" t="s">
        <v>321</v>
      </c>
      <c r="U1631" t="str">
        <f>VLOOKUP(T1631,[8]Votes!$A$1:$E$234,3,FALSE)</f>
        <v>154 Uganda National Bureau of Standards</v>
      </c>
      <c r="V1631" t="s">
        <v>8762</v>
      </c>
      <c r="W1631" s="369">
        <v>1</v>
      </c>
      <c r="X1631" s="369">
        <v>1</v>
      </c>
      <c r="Y1631" s="369">
        <v>0</v>
      </c>
      <c r="Z1631" s="369">
        <v>1</v>
      </c>
      <c r="AA1631" s="369">
        <v>1</v>
      </c>
      <c r="AB1631" s="369">
        <v>1</v>
      </c>
      <c r="AC1631" s="369">
        <v>0</v>
      </c>
      <c r="AD1631" s="369">
        <v>1</v>
      </c>
      <c r="AE1631" s="49">
        <f t="shared" si="66"/>
        <v>0.75</v>
      </c>
      <c r="AF1631" s="44"/>
      <c r="AG1631" s="17">
        <v>0</v>
      </c>
      <c r="AH1631" s="44">
        <v>1</v>
      </c>
      <c r="AI1631" s="44">
        <v>1</v>
      </c>
      <c r="AJ1631" s="44">
        <v>1</v>
      </c>
      <c r="AK1631" s="151">
        <v>1</v>
      </c>
      <c r="AL1631" s="151">
        <v>1</v>
      </c>
      <c r="AM1631" s="147">
        <f t="shared" si="65"/>
        <v>2</v>
      </c>
      <c r="AN1631" s="44" t="s">
        <v>321</v>
      </c>
      <c r="AO1631" s="18" t="s">
        <v>1066</v>
      </c>
      <c r="AP1631" t="s">
        <v>1035</v>
      </c>
      <c r="AQ1631"/>
    </row>
    <row r="1632" spans="1:43" s="10" customFormat="1" x14ac:dyDescent="0.3">
      <c r="A1632" s="367" t="s">
        <v>8317</v>
      </c>
      <c r="B1632" s="10" t="s">
        <v>8318</v>
      </c>
      <c r="C1632" s="368" t="s">
        <v>8763</v>
      </c>
      <c r="D1632" s="10" t="s">
        <v>8764</v>
      </c>
      <c r="E1632" s="10" t="s">
        <v>8765</v>
      </c>
      <c r="F1632" s="10" t="s">
        <v>8766</v>
      </c>
      <c r="G1632" s="10" t="s">
        <v>8767</v>
      </c>
      <c r="H1632" s="10" t="s">
        <v>8768</v>
      </c>
      <c r="I1632" s="9"/>
      <c r="J1632" s="370"/>
      <c r="K1632" s="10" t="s">
        <v>8769</v>
      </c>
      <c r="L1632" s="10" t="s">
        <v>8770</v>
      </c>
      <c r="M1632" s="18" t="s">
        <v>8771</v>
      </c>
      <c r="N1632" s="18"/>
      <c r="O1632" s="18">
        <v>7</v>
      </c>
      <c r="P1632" s="16">
        <v>12</v>
      </c>
      <c r="Q1632" s="16">
        <v>20</v>
      </c>
      <c r="R1632" s="16">
        <v>20</v>
      </c>
      <c r="S1632" s="16">
        <v>20</v>
      </c>
      <c r="T1632" s="10" t="s">
        <v>8772</v>
      </c>
      <c r="U1632" t="e">
        <f>VLOOKUP(T1632,[8]Votes!$A$1:$E$234,3,FALSE)</f>
        <v>#N/A</v>
      </c>
      <c r="V1632" t="s">
        <v>8773</v>
      </c>
      <c r="W1632" s="369">
        <v>1</v>
      </c>
      <c r="X1632" s="369">
        <v>1</v>
      </c>
      <c r="Y1632" s="369">
        <v>0</v>
      </c>
      <c r="Z1632" s="369">
        <v>0</v>
      </c>
      <c r="AA1632" s="369">
        <v>1</v>
      </c>
      <c r="AB1632" s="369">
        <v>1</v>
      </c>
      <c r="AC1632" s="369">
        <v>0</v>
      </c>
      <c r="AD1632" s="369">
        <v>1</v>
      </c>
      <c r="AE1632" s="49">
        <f t="shared" si="66"/>
        <v>0.625</v>
      </c>
      <c r="AF1632" s="44"/>
      <c r="AG1632" s="17">
        <v>1</v>
      </c>
      <c r="AH1632" s="44">
        <v>3.5000000000000003E-2</v>
      </c>
      <c r="AI1632" s="44">
        <v>0.06</v>
      </c>
      <c r="AJ1632" s="44">
        <v>0.06</v>
      </c>
      <c r="AK1632" s="151"/>
      <c r="AL1632" s="151"/>
      <c r="AM1632" s="147">
        <f t="shared" si="65"/>
        <v>0</v>
      </c>
      <c r="AN1632" s="44" t="s">
        <v>1035</v>
      </c>
      <c r="AO1632" s="18" t="s">
        <v>1037</v>
      </c>
      <c r="AP1632" t="s">
        <v>119</v>
      </c>
    </row>
    <row r="1633" spans="1:42" s="10" customFormat="1" x14ac:dyDescent="0.3">
      <c r="A1633" s="367" t="s">
        <v>8317</v>
      </c>
      <c r="B1633" s="10" t="s">
        <v>8318</v>
      </c>
      <c r="C1633" s="368" t="s">
        <v>8763</v>
      </c>
      <c r="D1633" s="10" t="s">
        <v>8764</v>
      </c>
      <c r="E1633" s="10" t="s">
        <v>8765</v>
      </c>
      <c r="F1633" s="10" t="s">
        <v>8766</v>
      </c>
      <c r="G1633" s="10" t="s">
        <v>8767</v>
      </c>
      <c r="H1633" s="10" t="s">
        <v>8768</v>
      </c>
      <c r="I1633" s="9"/>
      <c r="J1633" s="370"/>
      <c r="K1633" s="10" t="s">
        <v>8769</v>
      </c>
      <c r="L1633" s="10" t="s">
        <v>8770</v>
      </c>
      <c r="M1633" s="18" t="s">
        <v>8774</v>
      </c>
      <c r="N1633" s="18">
        <v>1</v>
      </c>
      <c r="O1633" s="18">
        <v>0</v>
      </c>
      <c r="P1633" s="16">
        <v>2</v>
      </c>
      <c r="Q1633" s="16">
        <v>1</v>
      </c>
      <c r="R1633" s="16">
        <v>1</v>
      </c>
      <c r="S1633" s="16" t="s">
        <v>271</v>
      </c>
      <c r="T1633" s="10" t="s">
        <v>8775</v>
      </c>
      <c r="U1633" t="e">
        <f>VLOOKUP(T1633,[8]Votes!$A$1:$E$234,3,FALSE)</f>
        <v>#N/A</v>
      </c>
      <c r="V1633" t="s">
        <v>8776</v>
      </c>
      <c r="W1633" s="369">
        <v>1</v>
      </c>
      <c r="X1633" s="369">
        <v>1</v>
      </c>
      <c r="Y1633" s="369">
        <v>0</v>
      </c>
      <c r="Z1633" s="369">
        <v>1</v>
      </c>
      <c r="AA1633" s="369">
        <v>1</v>
      </c>
      <c r="AB1633" s="369">
        <v>1</v>
      </c>
      <c r="AC1633" s="369">
        <v>0</v>
      </c>
      <c r="AD1633" s="369">
        <v>1</v>
      </c>
      <c r="AE1633" s="49">
        <f t="shared" si="66"/>
        <v>0.75</v>
      </c>
      <c r="AF1633" s="17"/>
      <c r="AG1633" s="17">
        <v>1</v>
      </c>
      <c r="AH1633" s="17">
        <v>0</v>
      </c>
      <c r="AI1633" s="17">
        <v>0</v>
      </c>
      <c r="AJ1633" s="17">
        <v>0</v>
      </c>
      <c r="AK1633" s="153"/>
      <c r="AL1633" s="154"/>
      <c r="AM1633" s="147">
        <f t="shared" si="65"/>
        <v>0</v>
      </c>
      <c r="AN1633" s="44" t="s">
        <v>921</v>
      </c>
      <c r="AO1633" s="18" t="s">
        <v>880</v>
      </c>
      <c r="AP1633" t="s">
        <v>8777</v>
      </c>
    </row>
    <row r="1634" spans="1:42" s="10" customFormat="1" x14ac:dyDescent="0.3">
      <c r="A1634" s="367" t="s">
        <v>8317</v>
      </c>
      <c r="B1634" s="10" t="s">
        <v>8318</v>
      </c>
      <c r="C1634" s="368" t="s">
        <v>8763</v>
      </c>
      <c r="D1634" s="10" t="s">
        <v>8764</v>
      </c>
      <c r="E1634" s="10" t="s">
        <v>8765</v>
      </c>
      <c r="F1634" s="10" t="s">
        <v>8766</v>
      </c>
      <c r="G1634" s="10" t="s">
        <v>8767</v>
      </c>
      <c r="H1634" s="10" t="s">
        <v>8768</v>
      </c>
      <c r="I1634" s="9"/>
      <c r="J1634" s="370"/>
      <c r="K1634" s="10" t="s">
        <v>8769</v>
      </c>
      <c r="L1634" s="10" t="s">
        <v>8770</v>
      </c>
      <c r="M1634" s="18"/>
      <c r="N1634" s="18"/>
      <c r="O1634" s="18"/>
      <c r="P1634" s="16"/>
      <c r="Q1634" s="16"/>
      <c r="R1634" s="16"/>
      <c r="S1634" s="16"/>
      <c r="U1634" t="e">
        <f>VLOOKUP(T1634,[8]Votes!$A$1:$E$234,3,FALSE)</f>
        <v>#N/A</v>
      </c>
      <c r="V1634" t="s">
        <v>8778</v>
      </c>
      <c r="W1634" s="369">
        <v>1</v>
      </c>
      <c r="X1634" s="369">
        <v>1</v>
      </c>
      <c r="Y1634" s="369">
        <v>1</v>
      </c>
      <c r="Z1634" s="369">
        <v>1</v>
      </c>
      <c r="AA1634" s="369">
        <v>1</v>
      </c>
      <c r="AB1634" s="369">
        <v>1</v>
      </c>
      <c r="AC1634" s="369">
        <v>0</v>
      </c>
      <c r="AD1634" s="369">
        <v>1</v>
      </c>
      <c r="AE1634" s="49">
        <f t="shared" si="66"/>
        <v>0.875</v>
      </c>
      <c r="AF1634" s="44"/>
      <c r="AG1634" s="17">
        <v>1</v>
      </c>
      <c r="AH1634" s="44" t="s">
        <v>271</v>
      </c>
      <c r="AI1634" s="44">
        <v>0.124</v>
      </c>
      <c r="AJ1634" s="44">
        <v>0.124</v>
      </c>
      <c r="AK1634" s="151"/>
      <c r="AL1634" s="151"/>
      <c r="AM1634" s="147">
        <f t="shared" si="65"/>
        <v>0</v>
      </c>
      <c r="AN1634" t="s">
        <v>1035</v>
      </c>
      <c r="AO1634" s="18" t="s">
        <v>1037</v>
      </c>
      <c r="AP1634" t="s">
        <v>119</v>
      </c>
    </row>
    <row r="1635" spans="1:42" s="10" customFormat="1" x14ac:dyDescent="0.3">
      <c r="A1635" s="367" t="s">
        <v>8317</v>
      </c>
      <c r="B1635" s="10" t="s">
        <v>8318</v>
      </c>
      <c r="C1635" s="368" t="s">
        <v>8763</v>
      </c>
      <c r="D1635" s="10" t="s">
        <v>8764</v>
      </c>
      <c r="E1635" s="10" t="s">
        <v>8765</v>
      </c>
      <c r="F1635" s="10" t="s">
        <v>8766</v>
      </c>
      <c r="G1635" s="10" t="s">
        <v>8767</v>
      </c>
      <c r="H1635" s="10" t="s">
        <v>8768</v>
      </c>
      <c r="I1635" s="9"/>
      <c r="J1635" s="370"/>
      <c r="K1635" s="10" t="s">
        <v>8769</v>
      </c>
      <c r="L1635" s="10" t="s">
        <v>8770</v>
      </c>
      <c r="M1635" s="18"/>
      <c r="N1635" s="18"/>
      <c r="O1635" s="18"/>
      <c r="P1635" s="16"/>
      <c r="Q1635" s="16"/>
      <c r="R1635" s="16"/>
      <c r="S1635" s="16"/>
      <c r="U1635" t="e">
        <f>VLOOKUP(T1635,[8]Votes!$A$1:$E$234,3,FALSE)</f>
        <v>#N/A</v>
      </c>
      <c r="V1635" t="s">
        <v>8779</v>
      </c>
      <c r="W1635" s="369">
        <v>1</v>
      </c>
      <c r="X1635" s="369">
        <v>0</v>
      </c>
      <c r="Y1635" s="369">
        <v>1</v>
      </c>
      <c r="Z1635" s="369">
        <v>1</v>
      </c>
      <c r="AA1635" s="369">
        <v>1</v>
      </c>
      <c r="AB1635" s="369">
        <v>1</v>
      </c>
      <c r="AC1635" s="369">
        <v>0</v>
      </c>
      <c r="AD1635" s="369">
        <v>1</v>
      </c>
      <c r="AE1635" s="49">
        <f t="shared" si="66"/>
        <v>0.75</v>
      </c>
      <c r="AF1635" s="44"/>
      <c r="AG1635" s="17">
        <v>0</v>
      </c>
      <c r="AH1635" s="44">
        <v>0.1</v>
      </c>
      <c r="AI1635" s="44">
        <v>0.3</v>
      </c>
      <c r="AJ1635" s="44">
        <v>0.6</v>
      </c>
      <c r="AK1635" s="151">
        <v>0.6</v>
      </c>
      <c r="AL1635" s="151">
        <v>0.4</v>
      </c>
      <c r="AM1635" s="147">
        <f t="shared" si="65"/>
        <v>1</v>
      </c>
      <c r="AN1635" t="s">
        <v>1035</v>
      </c>
      <c r="AO1635" s="18" t="s">
        <v>1037</v>
      </c>
      <c r="AP1635" t="s">
        <v>119</v>
      </c>
    </row>
    <row r="1636" spans="1:42" s="10" customFormat="1" x14ac:dyDescent="0.3">
      <c r="A1636" s="367" t="s">
        <v>8317</v>
      </c>
      <c r="B1636" s="10" t="s">
        <v>8318</v>
      </c>
      <c r="C1636" s="368" t="s">
        <v>8763</v>
      </c>
      <c r="D1636" s="10" t="s">
        <v>8764</v>
      </c>
      <c r="E1636" s="10" t="s">
        <v>8765</v>
      </c>
      <c r="F1636" s="10" t="s">
        <v>8766</v>
      </c>
      <c r="G1636" s="10" t="s">
        <v>8767</v>
      </c>
      <c r="H1636" s="10" t="s">
        <v>8768</v>
      </c>
      <c r="I1636" s="9"/>
      <c r="J1636" s="370"/>
      <c r="K1636" s="10" t="s">
        <v>8769</v>
      </c>
      <c r="L1636" s="10" t="s">
        <v>8770</v>
      </c>
      <c r="M1636" s="18"/>
      <c r="N1636" s="18"/>
      <c r="O1636" s="18"/>
      <c r="P1636" s="16"/>
      <c r="Q1636" s="16"/>
      <c r="R1636" s="16"/>
      <c r="S1636" s="16"/>
      <c r="U1636" t="e">
        <f>VLOOKUP(T1636,[8]Votes!$A$1:$E$234,3,FALSE)</f>
        <v>#N/A</v>
      </c>
      <c r="V1636" t="s">
        <v>8780</v>
      </c>
      <c r="W1636" s="369">
        <v>1</v>
      </c>
      <c r="X1636" s="369">
        <v>0</v>
      </c>
      <c r="Y1636" s="369">
        <v>1</v>
      </c>
      <c r="Z1636" s="369">
        <v>1</v>
      </c>
      <c r="AA1636" s="369">
        <v>1</v>
      </c>
      <c r="AB1636" s="369">
        <v>1</v>
      </c>
      <c r="AC1636" s="369">
        <v>0</v>
      </c>
      <c r="AD1636" s="369">
        <v>1</v>
      </c>
      <c r="AE1636" s="49">
        <f t="shared" si="66"/>
        <v>0.75</v>
      </c>
      <c r="AF1636" s="44"/>
      <c r="AG1636" s="17">
        <v>0</v>
      </c>
      <c r="AH1636" s="44">
        <v>2.1999999999999999E-2</v>
      </c>
      <c r="AI1636" s="44">
        <v>2.1999999999999999E-2</v>
      </c>
      <c r="AJ1636" s="44">
        <v>2.1999999999999999E-2</v>
      </c>
      <c r="AK1636" s="151">
        <v>2.1999999999999999E-2</v>
      </c>
      <c r="AL1636" s="151" t="s">
        <v>271</v>
      </c>
      <c r="AM1636" s="147">
        <f t="shared" si="65"/>
        <v>2.1999999999999999E-2</v>
      </c>
      <c r="AN1636" t="s">
        <v>723</v>
      </c>
      <c r="AO1636" s="18" t="s">
        <v>729</v>
      </c>
      <c r="AP1636" t="s">
        <v>8775</v>
      </c>
    </row>
    <row r="1637" spans="1:42" s="10" customFormat="1" x14ac:dyDescent="0.3">
      <c r="A1637" s="367" t="s">
        <v>8317</v>
      </c>
      <c r="B1637" s="10" t="s">
        <v>8318</v>
      </c>
      <c r="C1637" s="368" t="s">
        <v>8763</v>
      </c>
      <c r="D1637" s="10" t="s">
        <v>8764</v>
      </c>
      <c r="E1637" s="10" t="s">
        <v>8765</v>
      </c>
      <c r="F1637" s="10" t="s">
        <v>8766</v>
      </c>
      <c r="G1637" s="10" t="s">
        <v>8767</v>
      </c>
      <c r="H1637" s="10" t="s">
        <v>8768</v>
      </c>
      <c r="I1637" s="9"/>
      <c r="J1637" s="370"/>
      <c r="K1637" s="10" t="s">
        <v>8769</v>
      </c>
      <c r="L1637" s="10" t="s">
        <v>8770</v>
      </c>
      <c r="M1637" s="18"/>
      <c r="N1637" s="18"/>
      <c r="O1637" s="18"/>
      <c r="P1637" s="16"/>
      <c r="Q1637" s="16"/>
      <c r="R1637" s="16"/>
      <c r="S1637" s="16"/>
      <c r="U1637" t="e">
        <f>VLOOKUP(T1637,[8]Votes!$A$1:$E$234,3,FALSE)</f>
        <v>#N/A</v>
      </c>
      <c r="V1637" t="s">
        <v>8781</v>
      </c>
      <c r="W1637" s="369">
        <v>1</v>
      </c>
      <c r="X1637" s="369">
        <v>0</v>
      </c>
      <c r="Y1637" s="369">
        <v>0</v>
      </c>
      <c r="Z1637" s="369">
        <v>1</v>
      </c>
      <c r="AA1637" s="369">
        <v>1</v>
      </c>
      <c r="AB1637" s="369">
        <v>1</v>
      </c>
      <c r="AC1637" s="369">
        <v>0</v>
      </c>
      <c r="AD1637" s="369">
        <v>1</v>
      </c>
      <c r="AE1637" s="49">
        <f t="shared" si="66"/>
        <v>0.625</v>
      </c>
      <c r="AF1637" s="17"/>
      <c r="AG1637" s="17">
        <v>0</v>
      </c>
      <c r="AH1637" s="17">
        <v>0</v>
      </c>
      <c r="AI1637" s="44">
        <v>0.25</v>
      </c>
      <c r="AJ1637" s="44">
        <v>0.25</v>
      </c>
      <c r="AK1637" s="151">
        <v>0.25</v>
      </c>
      <c r="AL1637" s="151">
        <v>0.25</v>
      </c>
      <c r="AM1637" s="147">
        <f t="shared" si="65"/>
        <v>0.5</v>
      </c>
      <c r="AN1637" t="s">
        <v>1035</v>
      </c>
      <c r="AO1637" s="18" t="s">
        <v>1037</v>
      </c>
      <c r="AP1637" t="s">
        <v>119</v>
      </c>
    </row>
    <row r="1638" spans="1:42" s="10" customFormat="1" x14ac:dyDescent="0.3">
      <c r="A1638" s="367" t="s">
        <v>8317</v>
      </c>
      <c r="B1638" s="10" t="s">
        <v>8318</v>
      </c>
      <c r="C1638" s="368" t="s">
        <v>8763</v>
      </c>
      <c r="D1638" s="10" t="s">
        <v>8764</v>
      </c>
      <c r="E1638" s="10" t="s">
        <v>8765</v>
      </c>
      <c r="F1638" s="10" t="s">
        <v>8766</v>
      </c>
      <c r="G1638" s="10" t="s">
        <v>8767</v>
      </c>
      <c r="H1638" s="10" t="s">
        <v>8768</v>
      </c>
      <c r="I1638" s="9"/>
      <c r="J1638" s="370"/>
      <c r="K1638" s="10" t="s">
        <v>8782</v>
      </c>
      <c r="L1638" s="10" t="s">
        <v>8783</v>
      </c>
      <c r="M1638" s="18" t="s">
        <v>8784</v>
      </c>
      <c r="N1638" s="18">
        <v>2</v>
      </c>
      <c r="O1638" s="18">
        <v>3</v>
      </c>
      <c r="P1638" s="16">
        <v>4.5</v>
      </c>
      <c r="Q1638" s="16">
        <v>6.8</v>
      </c>
      <c r="R1638" s="16">
        <v>10.1</v>
      </c>
      <c r="S1638" s="16">
        <v>15.2</v>
      </c>
      <c r="T1638" s="10" t="s">
        <v>1035</v>
      </c>
      <c r="U1638" t="str">
        <f>VLOOKUP(T1638,[8]Votes!$A$1:$E$234,3,FALSE)</f>
        <v>017 Ministry of Energy and Mineral Development</v>
      </c>
      <c r="V1638" t="s">
        <v>8785</v>
      </c>
      <c r="W1638" s="369">
        <v>1</v>
      </c>
      <c r="X1638" s="369">
        <v>1</v>
      </c>
      <c r="Y1638" s="369">
        <v>0</v>
      </c>
      <c r="Z1638" s="369">
        <v>1</v>
      </c>
      <c r="AA1638" s="369">
        <v>1</v>
      </c>
      <c r="AB1638" s="369">
        <v>1</v>
      </c>
      <c r="AC1638" s="369">
        <v>0</v>
      </c>
      <c r="AD1638" s="369">
        <v>1</v>
      </c>
      <c r="AE1638" s="49">
        <f t="shared" si="66"/>
        <v>0.75</v>
      </c>
      <c r="AF1638" s="44"/>
      <c r="AG1638" s="17">
        <v>0</v>
      </c>
      <c r="AH1638" s="44">
        <v>1</v>
      </c>
      <c r="AI1638" s="44">
        <v>1</v>
      </c>
      <c r="AJ1638" s="44">
        <v>1</v>
      </c>
      <c r="AK1638" s="151">
        <v>2</v>
      </c>
      <c r="AL1638" s="151">
        <v>2</v>
      </c>
      <c r="AM1638" s="147">
        <f t="shared" si="65"/>
        <v>4</v>
      </c>
      <c r="AN1638" t="s">
        <v>1035</v>
      </c>
      <c r="AO1638" s="18" t="s">
        <v>1037</v>
      </c>
      <c r="AP1638" t="s">
        <v>119</v>
      </c>
    </row>
    <row r="1639" spans="1:42" s="10" customFormat="1" x14ac:dyDescent="0.3">
      <c r="A1639" s="367" t="s">
        <v>8317</v>
      </c>
      <c r="B1639" s="10" t="s">
        <v>8318</v>
      </c>
      <c r="C1639" s="368" t="s">
        <v>8763</v>
      </c>
      <c r="D1639" s="10" t="s">
        <v>8764</v>
      </c>
      <c r="E1639" s="10" t="s">
        <v>8765</v>
      </c>
      <c r="F1639" s="10" t="s">
        <v>8766</v>
      </c>
      <c r="G1639" s="10" t="s">
        <v>8767</v>
      </c>
      <c r="H1639" s="10" t="s">
        <v>8768</v>
      </c>
      <c r="I1639" s="9"/>
      <c r="J1639" s="370"/>
      <c r="K1639" s="10" t="s">
        <v>8782</v>
      </c>
      <c r="L1639" s="10" t="s">
        <v>8783</v>
      </c>
      <c r="M1639" s="18"/>
      <c r="N1639" s="18"/>
      <c r="O1639" s="18"/>
      <c r="P1639" s="16"/>
      <c r="Q1639" s="16"/>
      <c r="R1639" s="16"/>
      <c r="S1639" s="16"/>
      <c r="U1639" t="e">
        <f>VLOOKUP(T1639,[8]Votes!$A$1:$E$234,3,FALSE)</f>
        <v>#N/A</v>
      </c>
      <c r="V1639" t="s">
        <v>8786</v>
      </c>
      <c r="W1639" s="369">
        <v>1</v>
      </c>
      <c r="X1639" s="369">
        <v>1</v>
      </c>
      <c r="Y1639" s="369">
        <v>1</v>
      </c>
      <c r="Z1639" s="369">
        <v>1</v>
      </c>
      <c r="AA1639" s="369">
        <v>1</v>
      </c>
      <c r="AB1639" s="369">
        <v>1</v>
      </c>
      <c r="AC1639" s="369">
        <v>1</v>
      </c>
      <c r="AD1639" s="369">
        <v>1</v>
      </c>
      <c r="AE1639" s="49">
        <f t="shared" si="66"/>
        <v>1</v>
      </c>
      <c r="AF1639" s="44"/>
      <c r="AG1639" s="17">
        <v>0</v>
      </c>
      <c r="AH1639" s="44">
        <v>0</v>
      </c>
      <c r="AI1639" s="44">
        <v>0.5</v>
      </c>
      <c r="AJ1639" s="44">
        <v>0.75</v>
      </c>
      <c r="AK1639" s="151">
        <v>0.52500000000000002</v>
      </c>
      <c r="AL1639" s="151">
        <v>0.97499999999999998</v>
      </c>
      <c r="AM1639" s="147">
        <f t="shared" si="65"/>
        <v>1.5</v>
      </c>
      <c r="AN1639" t="s">
        <v>1035</v>
      </c>
      <c r="AO1639" s="18" t="s">
        <v>1037</v>
      </c>
      <c r="AP1639" t="s">
        <v>8787</v>
      </c>
    </row>
    <row r="1640" spans="1:42" s="10" customFormat="1" x14ac:dyDescent="0.3">
      <c r="A1640" s="367" t="s">
        <v>8317</v>
      </c>
      <c r="B1640" s="10" t="s">
        <v>8318</v>
      </c>
      <c r="C1640" s="368" t="s">
        <v>8763</v>
      </c>
      <c r="D1640" s="10" t="s">
        <v>8764</v>
      </c>
      <c r="E1640" s="10" t="s">
        <v>8765</v>
      </c>
      <c r="F1640" s="10" t="s">
        <v>8766</v>
      </c>
      <c r="G1640" s="10" t="s">
        <v>8767</v>
      </c>
      <c r="H1640" s="10" t="s">
        <v>8768</v>
      </c>
      <c r="I1640" s="9"/>
      <c r="J1640" s="370"/>
      <c r="K1640" s="10" t="s">
        <v>8782</v>
      </c>
      <c r="L1640" s="10" t="s">
        <v>8783</v>
      </c>
      <c r="M1640" s="18"/>
      <c r="N1640" s="18"/>
      <c r="O1640" s="18"/>
      <c r="P1640" s="16"/>
      <c r="Q1640" s="16"/>
      <c r="R1640" s="16"/>
      <c r="S1640" s="16"/>
      <c r="U1640" t="e">
        <f>VLOOKUP(T1640,[8]Votes!$A$1:$E$234,3,FALSE)</f>
        <v>#N/A</v>
      </c>
      <c r="V1640" t="s">
        <v>8788</v>
      </c>
      <c r="W1640" s="369">
        <v>1</v>
      </c>
      <c r="X1640" s="369">
        <v>1</v>
      </c>
      <c r="Y1640" s="369">
        <v>1</v>
      </c>
      <c r="Z1640" s="369">
        <v>1</v>
      </c>
      <c r="AA1640" s="369">
        <v>1</v>
      </c>
      <c r="AB1640" s="369">
        <v>1</v>
      </c>
      <c r="AC1640" s="369">
        <v>1</v>
      </c>
      <c r="AD1640" s="369">
        <v>1</v>
      </c>
      <c r="AE1640" s="49">
        <f t="shared" si="66"/>
        <v>1</v>
      </c>
      <c r="AF1640" s="17"/>
      <c r="AG1640" s="17">
        <v>0</v>
      </c>
      <c r="AH1640" s="17">
        <v>0</v>
      </c>
      <c r="AI1640" s="44">
        <v>2</v>
      </c>
      <c r="AJ1640" s="44">
        <v>2</v>
      </c>
      <c r="AK1640" s="151">
        <v>6</v>
      </c>
      <c r="AL1640" s="151">
        <v>2</v>
      </c>
      <c r="AM1640" s="147">
        <f t="shared" si="65"/>
        <v>8</v>
      </c>
      <c r="AN1640" s="44" t="s">
        <v>1035</v>
      </c>
      <c r="AO1640" s="18" t="s">
        <v>1037</v>
      </c>
      <c r="AP1640" t="s">
        <v>119</v>
      </c>
    </row>
    <row r="1641" spans="1:42" s="10" customFormat="1" x14ac:dyDescent="0.3">
      <c r="A1641" s="367" t="s">
        <v>8317</v>
      </c>
      <c r="B1641" s="10" t="s">
        <v>8318</v>
      </c>
      <c r="C1641" s="368" t="s">
        <v>8763</v>
      </c>
      <c r="D1641" s="10" t="s">
        <v>8764</v>
      </c>
      <c r="E1641" s="10" t="s">
        <v>8765</v>
      </c>
      <c r="F1641" s="10" t="s">
        <v>8766</v>
      </c>
      <c r="G1641" s="10" t="s">
        <v>8767</v>
      </c>
      <c r="H1641" s="10" t="s">
        <v>8768</v>
      </c>
      <c r="I1641" s="9"/>
      <c r="J1641" s="370"/>
      <c r="K1641" s="10" t="s">
        <v>8782</v>
      </c>
      <c r="L1641" s="10" t="s">
        <v>8783</v>
      </c>
      <c r="M1641" s="18"/>
      <c r="N1641" s="18"/>
      <c r="O1641" s="18"/>
      <c r="P1641" s="16"/>
      <c r="Q1641" s="16"/>
      <c r="R1641" s="16"/>
      <c r="S1641" s="16"/>
      <c r="U1641" t="e">
        <f>VLOOKUP(T1641,[8]Votes!$A$1:$E$234,3,FALSE)</f>
        <v>#N/A</v>
      </c>
      <c r="V1641" t="s">
        <v>8789</v>
      </c>
      <c r="W1641" s="369">
        <v>1</v>
      </c>
      <c r="X1641" s="369">
        <v>0</v>
      </c>
      <c r="Y1641" s="369">
        <v>1</v>
      </c>
      <c r="Z1641" s="369">
        <v>1</v>
      </c>
      <c r="AA1641" s="369">
        <v>1</v>
      </c>
      <c r="AB1641" s="369">
        <v>1</v>
      </c>
      <c r="AC1641" s="369">
        <v>0</v>
      </c>
      <c r="AD1641" s="369">
        <v>1</v>
      </c>
      <c r="AE1641" s="49">
        <f t="shared" si="66"/>
        <v>0.75</v>
      </c>
      <c r="AF1641" s="44"/>
      <c r="AG1641" s="17">
        <v>1</v>
      </c>
      <c r="AH1641" s="44">
        <v>6.6000000000000003E-2</v>
      </c>
      <c r="AI1641" s="44">
        <v>0.5</v>
      </c>
      <c r="AJ1641" s="44">
        <v>2.2999999999999998</v>
      </c>
      <c r="AK1641" s="151"/>
      <c r="AL1641" s="151"/>
      <c r="AM1641" s="147">
        <f t="shared" si="65"/>
        <v>0</v>
      </c>
      <c r="AN1641" t="s">
        <v>723</v>
      </c>
      <c r="AO1641" s="18" t="s">
        <v>729</v>
      </c>
      <c r="AP1641" t="s">
        <v>119</v>
      </c>
    </row>
    <row r="1642" spans="1:42" s="10" customFormat="1" x14ac:dyDescent="0.3">
      <c r="A1642" s="367" t="s">
        <v>8317</v>
      </c>
      <c r="B1642" s="10" t="s">
        <v>8318</v>
      </c>
      <c r="C1642" s="368" t="s">
        <v>8763</v>
      </c>
      <c r="D1642" s="10" t="s">
        <v>8764</v>
      </c>
      <c r="E1642" s="10" t="s">
        <v>8765</v>
      </c>
      <c r="F1642" s="10" t="s">
        <v>8766</v>
      </c>
      <c r="G1642" s="10" t="s">
        <v>8767</v>
      </c>
      <c r="H1642" s="10" t="s">
        <v>8768</v>
      </c>
      <c r="I1642" s="9"/>
      <c r="J1642" s="370"/>
      <c r="K1642" s="10" t="s">
        <v>8782</v>
      </c>
      <c r="L1642" s="10" t="s">
        <v>8783</v>
      </c>
      <c r="M1642" s="18"/>
      <c r="N1642" s="18"/>
      <c r="O1642" s="18"/>
      <c r="P1642" s="16"/>
      <c r="Q1642" s="16"/>
      <c r="R1642" s="16"/>
      <c r="S1642" s="16"/>
      <c r="U1642" t="e">
        <f>VLOOKUP(T1642,[8]Votes!$A$1:$E$234,3,FALSE)</f>
        <v>#N/A</v>
      </c>
      <c r="V1642" t="s">
        <v>8790</v>
      </c>
      <c r="W1642" s="369">
        <v>1</v>
      </c>
      <c r="X1642" s="369">
        <v>1</v>
      </c>
      <c r="Y1642" s="369">
        <v>1</v>
      </c>
      <c r="Z1642" s="369">
        <v>1</v>
      </c>
      <c r="AA1642" s="369">
        <v>1</v>
      </c>
      <c r="AB1642" s="369">
        <v>1</v>
      </c>
      <c r="AC1642" s="369">
        <v>0</v>
      </c>
      <c r="AD1642" s="369">
        <v>1</v>
      </c>
      <c r="AE1642" s="49">
        <f t="shared" si="66"/>
        <v>0.875</v>
      </c>
      <c r="AF1642" s="17"/>
      <c r="AG1642" s="17">
        <v>0</v>
      </c>
      <c r="AH1642" s="17">
        <v>0</v>
      </c>
      <c r="AI1642" s="17">
        <v>0</v>
      </c>
      <c r="AJ1642" s="17">
        <v>0</v>
      </c>
      <c r="AK1642" s="153">
        <v>2</v>
      </c>
      <c r="AL1642" s="154">
        <v>2</v>
      </c>
      <c r="AM1642" s="147">
        <f t="shared" si="65"/>
        <v>4</v>
      </c>
      <c r="AN1642" s="44" t="s">
        <v>1035</v>
      </c>
      <c r="AO1642" s="18" t="s">
        <v>1037</v>
      </c>
      <c r="AP1642" t="s">
        <v>119</v>
      </c>
    </row>
    <row r="1643" spans="1:42" s="10" customFormat="1" x14ac:dyDescent="0.3">
      <c r="A1643" s="367" t="s">
        <v>8317</v>
      </c>
      <c r="B1643" s="10" t="s">
        <v>8318</v>
      </c>
      <c r="C1643" s="368" t="s">
        <v>8763</v>
      </c>
      <c r="D1643" s="10" t="s">
        <v>8764</v>
      </c>
      <c r="E1643" s="10" t="s">
        <v>8765</v>
      </c>
      <c r="F1643" s="10" t="s">
        <v>8766</v>
      </c>
      <c r="G1643" s="10" t="s">
        <v>8767</v>
      </c>
      <c r="H1643" s="10" t="s">
        <v>8768</v>
      </c>
      <c r="I1643" s="9"/>
      <c r="J1643" s="370"/>
      <c r="K1643" s="10" t="s">
        <v>8782</v>
      </c>
      <c r="L1643" s="10" t="s">
        <v>8783</v>
      </c>
      <c r="M1643" s="18"/>
      <c r="N1643" s="18"/>
      <c r="O1643" s="18"/>
      <c r="P1643" s="16"/>
      <c r="Q1643" s="16"/>
      <c r="R1643" s="16"/>
      <c r="S1643" s="16"/>
      <c r="U1643" t="e">
        <f>VLOOKUP(T1643,[8]Votes!$A$1:$E$234,3,FALSE)</f>
        <v>#N/A</v>
      </c>
      <c r="V1643" t="s">
        <v>8791</v>
      </c>
      <c r="W1643" s="369">
        <v>1</v>
      </c>
      <c r="X1643" s="369">
        <v>0</v>
      </c>
      <c r="Y1643" s="369">
        <v>0</v>
      </c>
      <c r="Z1643" s="369">
        <v>1</v>
      </c>
      <c r="AA1643" s="369">
        <v>1</v>
      </c>
      <c r="AB1643" s="369">
        <v>1</v>
      </c>
      <c r="AC1643" s="369">
        <v>0</v>
      </c>
      <c r="AD1643" s="369">
        <v>1</v>
      </c>
      <c r="AE1643" s="49">
        <f t="shared" si="66"/>
        <v>0.625</v>
      </c>
      <c r="AF1643" s="44"/>
      <c r="AG1643" s="17">
        <v>0</v>
      </c>
      <c r="AH1643" s="44">
        <v>0.1</v>
      </c>
      <c r="AI1643" s="44">
        <v>0.1</v>
      </c>
      <c r="AJ1643" s="44">
        <v>0.1</v>
      </c>
      <c r="AK1643" s="151">
        <v>0.1</v>
      </c>
      <c r="AL1643" s="151">
        <v>0.1</v>
      </c>
      <c r="AM1643" s="147">
        <f t="shared" si="65"/>
        <v>0.2</v>
      </c>
      <c r="AN1643" s="18" t="s">
        <v>101</v>
      </c>
      <c r="AO1643" s="18" t="s">
        <v>103</v>
      </c>
      <c r="AP1643" t="s">
        <v>8792</v>
      </c>
    </row>
    <row r="1644" spans="1:42" s="10" customFormat="1" x14ac:dyDescent="0.3">
      <c r="A1644" s="367" t="s">
        <v>8317</v>
      </c>
      <c r="B1644" s="10" t="s">
        <v>8318</v>
      </c>
      <c r="C1644" s="368" t="s">
        <v>8763</v>
      </c>
      <c r="D1644" s="10" t="s">
        <v>8764</v>
      </c>
      <c r="E1644" s="10" t="s">
        <v>8765</v>
      </c>
      <c r="F1644" s="10" t="s">
        <v>8766</v>
      </c>
      <c r="G1644" s="10" t="s">
        <v>8767</v>
      </c>
      <c r="H1644" s="10" t="s">
        <v>8768</v>
      </c>
      <c r="I1644" s="9"/>
      <c r="J1644" s="370"/>
      <c r="K1644" s="10" t="s">
        <v>8782</v>
      </c>
      <c r="L1644" s="10" t="s">
        <v>8783</v>
      </c>
      <c r="M1644" s="18"/>
      <c r="N1644" s="18"/>
      <c r="O1644" s="18"/>
      <c r="P1644" s="16"/>
      <c r="Q1644" s="16"/>
      <c r="R1644" s="16"/>
      <c r="S1644" s="16"/>
      <c r="U1644" t="e">
        <f>VLOOKUP(T1644,[8]Votes!$A$1:$E$234,3,FALSE)</f>
        <v>#N/A</v>
      </c>
      <c r="V1644" t="s">
        <v>8793</v>
      </c>
      <c r="W1644" s="369">
        <v>1</v>
      </c>
      <c r="X1644" s="369">
        <v>1</v>
      </c>
      <c r="Y1644" s="369">
        <v>1</v>
      </c>
      <c r="Z1644" s="369">
        <v>1</v>
      </c>
      <c r="AA1644" s="369">
        <v>1</v>
      </c>
      <c r="AB1644" s="369">
        <v>1</v>
      </c>
      <c r="AC1644" s="369">
        <v>1</v>
      </c>
      <c r="AD1644" s="369">
        <v>1</v>
      </c>
      <c r="AE1644" s="49">
        <f t="shared" si="66"/>
        <v>1</v>
      </c>
      <c r="AF1644" s="44"/>
      <c r="AG1644" s="17">
        <v>0</v>
      </c>
      <c r="AH1644" s="44">
        <v>2</v>
      </c>
      <c r="AI1644" s="44">
        <v>2</v>
      </c>
      <c r="AJ1644" s="44">
        <v>2</v>
      </c>
      <c r="AK1644" s="151">
        <v>1</v>
      </c>
      <c r="AL1644" s="151">
        <v>1</v>
      </c>
      <c r="AM1644" s="147">
        <f t="shared" si="65"/>
        <v>2</v>
      </c>
      <c r="AN1644" s="44" t="s">
        <v>1035</v>
      </c>
      <c r="AO1644" s="18" t="s">
        <v>1037</v>
      </c>
      <c r="AP1644" t="s">
        <v>119</v>
      </c>
    </row>
    <row r="1645" spans="1:42" s="10" customFormat="1" x14ac:dyDescent="0.3">
      <c r="A1645" s="367" t="s">
        <v>8317</v>
      </c>
      <c r="B1645" s="10" t="s">
        <v>8318</v>
      </c>
      <c r="C1645" s="368" t="s">
        <v>8763</v>
      </c>
      <c r="D1645" s="10" t="s">
        <v>8764</v>
      </c>
      <c r="E1645" s="10" t="s">
        <v>8765</v>
      </c>
      <c r="F1645" s="10" t="s">
        <v>8766</v>
      </c>
      <c r="G1645" s="10" t="s">
        <v>8767</v>
      </c>
      <c r="H1645" s="10" t="s">
        <v>8768</v>
      </c>
      <c r="I1645" s="9"/>
      <c r="J1645" s="370"/>
      <c r="K1645" s="10" t="s">
        <v>8782</v>
      </c>
      <c r="L1645" s="10" t="s">
        <v>8783</v>
      </c>
      <c r="M1645" s="18"/>
      <c r="N1645" s="18"/>
      <c r="O1645" s="18"/>
      <c r="P1645" s="16"/>
      <c r="Q1645" s="16"/>
      <c r="R1645" s="16"/>
      <c r="S1645" s="16"/>
      <c r="U1645" t="e">
        <f>VLOOKUP(T1645,[8]Votes!$A$1:$E$234,3,FALSE)</f>
        <v>#N/A</v>
      </c>
      <c r="V1645" t="s">
        <v>8794</v>
      </c>
      <c r="W1645" s="369">
        <v>1</v>
      </c>
      <c r="X1645" s="369">
        <v>0</v>
      </c>
      <c r="Y1645" s="369">
        <v>0</v>
      </c>
      <c r="Z1645" s="369">
        <v>1</v>
      </c>
      <c r="AA1645" s="369">
        <v>1</v>
      </c>
      <c r="AB1645" s="369">
        <v>1</v>
      </c>
      <c r="AC1645" s="369">
        <v>0</v>
      </c>
      <c r="AD1645" s="369">
        <v>1</v>
      </c>
      <c r="AE1645" s="49">
        <f t="shared" si="66"/>
        <v>0.625</v>
      </c>
      <c r="AF1645" s="44"/>
      <c r="AG1645" s="17">
        <v>1</v>
      </c>
      <c r="AH1645" s="44">
        <v>0.16</v>
      </c>
      <c r="AI1645" s="44">
        <v>1</v>
      </c>
      <c r="AJ1645" s="44">
        <v>1.6</v>
      </c>
      <c r="AK1645" s="151"/>
      <c r="AL1645" s="151"/>
      <c r="AM1645" s="147">
        <f t="shared" si="65"/>
        <v>0</v>
      </c>
      <c r="AN1645" s="44" t="s">
        <v>1035</v>
      </c>
      <c r="AO1645" s="18" t="s">
        <v>1037</v>
      </c>
      <c r="AP1645" t="s">
        <v>8795</v>
      </c>
    </row>
    <row r="1646" spans="1:42" s="10" customFormat="1" x14ac:dyDescent="0.3">
      <c r="A1646" s="367" t="s">
        <v>8317</v>
      </c>
      <c r="B1646" s="10" t="s">
        <v>8318</v>
      </c>
      <c r="C1646" s="368" t="s">
        <v>8763</v>
      </c>
      <c r="D1646" s="10" t="s">
        <v>8764</v>
      </c>
      <c r="E1646" s="10" t="s">
        <v>8765</v>
      </c>
      <c r="F1646" s="10" t="s">
        <v>8766</v>
      </c>
      <c r="G1646" s="10" t="s">
        <v>8767</v>
      </c>
      <c r="H1646" s="10" t="s">
        <v>8768</v>
      </c>
      <c r="I1646" s="9"/>
      <c r="J1646" s="370"/>
      <c r="K1646" s="10" t="s">
        <v>8782</v>
      </c>
      <c r="L1646" s="10" t="s">
        <v>8783</v>
      </c>
      <c r="M1646" s="18"/>
      <c r="N1646" s="18"/>
      <c r="O1646" s="18"/>
      <c r="P1646" s="16"/>
      <c r="Q1646" s="16"/>
      <c r="R1646" s="16"/>
      <c r="S1646" s="16"/>
      <c r="U1646" t="e">
        <f>VLOOKUP(T1646,[8]Votes!$A$1:$E$234,3,FALSE)</f>
        <v>#N/A</v>
      </c>
      <c r="V1646" t="s">
        <v>8796</v>
      </c>
      <c r="W1646" s="369">
        <v>1</v>
      </c>
      <c r="X1646" s="369">
        <v>1</v>
      </c>
      <c r="Y1646" s="369">
        <v>1</v>
      </c>
      <c r="Z1646" s="369">
        <v>1</v>
      </c>
      <c r="AA1646" s="369">
        <v>1</v>
      </c>
      <c r="AB1646" s="369">
        <v>1</v>
      </c>
      <c r="AC1646" s="369">
        <v>1</v>
      </c>
      <c r="AD1646" s="369">
        <v>1</v>
      </c>
      <c r="AE1646" s="49">
        <f t="shared" si="66"/>
        <v>1</v>
      </c>
      <c r="AF1646" s="44"/>
      <c r="AG1646" s="17">
        <v>0</v>
      </c>
      <c r="AH1646" s="44">
        <v>0.1</v>
      </c>
      <c r="AI1646" s="44">
        <v>1</v>
      </c>
      <c r="AJ1646" s="44">
        <v>10</v>
      </c>
      <c r="AK1646" s="151">
        <v>1</v>
      </c>
      <c r="AL1646" s="151">
        <v>1</v>
      </c>
      <c r="AM1646" s="147">
        <f t="shared" si="65"/>
        <v>2</v>
      </c>
      <c r="AN1646" s="44" t="s">
        <v>1035</v>
      </c>
      <c r="AO1646" s="18" t="s">
        <v>1037</v>
      </c>
      <c r="AP1646" t="s">
        <v>8797</v>
      </c>
    </row>
    <row r="1647" spans="1:42" s="10" customFormat="1" x14ac:dyDescent="0.3">
      <c r="A1647" s="367" t="s">
        <v>8317</v>
      </c>
      <c r="B1647" s="10" t="s">
        <v>8318</v>
      </c>
      <c r="C1647" s="368" t="s">
        <v>8763</v>
      </c>
      <c r="D1647" s="10" t="s">
        <v>8764</v>
      </c>
      <c r="E1647" s="10" t="s">
        <v>8765</v>
      </c>
      <c r="F1647" s="10" t="s">
        <v>8766</v>
      </c>
      <c r="G1647" s="10" t="s">
        <v>8767</v>
      </c>
      <c r="H1647" s="10" t="s">
        <v>8768</v>
      </c>
      <c r="I1647" s="9"/>
      <c r="J1647" s="370"/>
      <c r="K1647" s="10" t="s">
        <v>8782</v>
      </c>
      <c r="L1647" s="10" t="s">
        <v>8783</v>
      </c>
      <c r="M1647" s="18"/>
      <c r="N1647" s="18"/>
      <c r="O1647" s="18"/>
      <c r="P1647" s="16"/>
      <c r="Q1647" s="16"/>
      <c r="R1647" s="16"/>
      <c r="S1647" s="16"/>
      <c r="U1647" t="e">
        <f>VLOOKUP(T1647,[8]Votes!$A$1:$E$234,3,FALSE)</f>
        <v>#N/A</v>
      </c>
      <c r="V1647" t="s">
        <v>8798</v>
      </c>
      <c r="W1647" s="369">
        <v>1</v>
      </c>
      <c r="X1647" s="369">
        <v>1</v>
      </c>
      <c r="Y1647" s="369">
        <v>1</v>
      </c>
      <c r="Z1647" s="369">
        <v>1</v>
      </c>
      <c r="AA1647" s="369">
        <v>1</v>
      </c>
      <c r="AB1647" s="369">
        <v>1</v>
      </c>
      <c r="AC1647" s="369">
        <v>1</v>
      </c>
      <c r="AD1647" s="369">
        <v>1</v>
      </c>
      <c r="AE1647" s="49">
        <f t="shared" si="66"/>
        <v>1</v>
      </c>
      <c r="AF1647" s="44"/>
      <c r="AG1647" s="17">
        <v>0</v>
      </c>
      <c r="AH1647" s="44">
        <v>0.05</v>
      </c>
      <c r="AI1647" s="44">
        <v>0.5</v>
      </c>
      <c r="AJ1647" s="44">
        <v>1</v>
      </c>
      <c r="AK1647" s="151">
        <v>1.5</v>
      </c>
      <c r="AL1647" s="151">
        <v>2</v>
      </c>
      <c r="AM1647" s="147">
        <f t="shared" si="65"/>
        <v>3.5</v>
      </c>
      <c r="AN1647" s="44" t="s">
        <v>1035</v>
      </c>
      <c r="AO1647" s="18" t="s">
        <v>1037</v>
      </c>
      <c r="AP1647" t="s">
        <v>8799</v>
      </c>
    </row>
    <row r="1648" spans="1:42" s="10" customFormat="1" x14ac:dyDescent="0.3">
      <c r="A1648" s="367" t="s">
        <v>8317</v>
      </c>
      <c r="B1648" s="10" t="s">
        <v>8318</v>
      </c>
      <c r="C1648" s="368" t="s">
        <v>8763</v>
      </c>
      <c r="D1648" s="10" t="s">
        <v>8764</v>
      </c>
      <c r="E1648" s="10" t="s">
        <v>8765</v>
      </c>
      <c r="F1648" s="10" t="s">
        <v>8766</v>
      </c>
      <c r="G1648" s="10" t="s">
        <v>8800</v>
      </c>
      <c r="H1648" s="10" t="s">
        <v>8801</v>
      </c>
      <c r="I1648" s="9"/>
      <c r="J1648" s="370"/>
      <c r="K1648" s="10" t="s">
        <v>8802</v>
      </c>
      <c r="L1648" s="10" t="s">
        <v>8803</v>
      </c>
      <c r="M1648" s="18" t="s">
        <v>8804</v>
      </c>
      <c r="N1648" s="18">
        <v>0.01</v>
      </c>
      <c r="O1648" s="18">
        <v>0.03</v>
      </c>
      <c r="P1648" s="16">
        <v>7.0000000000000007E-2</v>
      </c>
      <c r="Q1648" s="16">
        <v>0.1</v>
      </c>
      <c r="R1648" s="16">
        <v>0.15</v>
      </c>
      <c r="S1648" s="16">
        <v>0.2</v>
      </c>
      <c r="T1648" s="10" t="s">
        <v>1035</v>
      </c>
      <c r="U1648" t="str">
        <f>VLOOKUP(T1648,[8]Votes!$A$1:$E$234,3,FALSE)</f>
        <v>017 Ministry of Energy and Mineral Development</v>
      </c>
      <c r="V1648" t="s">
        <v>8805</v>
      </c>
      <c r="W1648" s="369">
        <v>1</v>
      </c>
      <c r="X1648" s="369">
        <v>0</v>
      </c>
      <c r="Y1648" s="369">
        <v>1</v>
      </c>
      <c r="Z1648" s="369">
        <v>1</v>
      </c>
      <c r="AA1648" s="369">
        <v>1</v>
      </c>
      <c r="AB1648" s="369">
        <v>1</v>
      </c>
      <c r="AC1648" s="369">
        <v>0</v>
      </c>
      <c r="AD1648" s="369">
        <v>1</v>
      </c>
      <c r="AE1648" s="49">
        <f t="shared" si="66"/>
        <v>0.75</v>
      </c>
      <c r="AF1648" s="44"/>
      <c r="AG1648" s="17">
        <v>1</v>
      </c>
      <c r="AH1648" s="44">
        <v>1</v>
      </c>
      <c r="AI1648" s="44">
        <v>1</v>
      </c>
      <c r="AJ1648" s="44">
        <v>1</v>
      </c>
      <c r="AK1648" s="151"/>
      <c r="AL1648" s="151"/>
      <c r="AM1648" s="147">
        <f t="shared" si="65"/>
        <v>0</v>
      </c>
      <c r="AN1648" s="44" t="s">
        <v>1035</v>
      </c>
      <c r="AO1648" s="18" t="s">
        <v>1037</v>
      </c>
      <c r="AP1648" t="s">
        <v>119</v>
      </c>
    </row>
    <row r="1649" spans="1:42" s="10" customFormat="1" x14ac:dyDescent="0.3">
      <c r="A1649" s="367" t="s">
        <v>8317</v>
      </c>
      <c r="B1649" s="10" t="s">
        <v>8318</v>
      </c>
      <c r="C1649" s="368" t="s">
        <v>8763</v>
      </c>
      <c r="D1649" s="10" t="s">
        <v>8764</v>
      </c>
      <c r="E1649" s="10" t="s">
        <v>8765</v>
      </c>
      <c r="F1649" s="10" t="s">
        <v>8766</v>
      </c>
      <c r="G1649" s="10" t="s">
        <v>8800</v>
      </c>
      <c r="H1649" s="10" t="s">
        <v>8801</v>
      </c>
      <c r="I1649" s="9"/>
      <c r="J1649" s="370"/>
      <c r="K1649" s="10" t="s">
        <v>8802</v>
      </c>
      <c r="L1649" s="10" t="s">
        <v>8803</v>
      </c>
      <c r="M1649" s="18"/>
      <c r="N1649" s="18"/>
      <c r="O1649" s="18"/>
      <c r="P1649" s="16"/>
      <c r="Q1649" s="16"/>
      <c r="R1649" s="16"/>
      <c r="S1649" s="16"/>
      <c r="U1649" t="e">
        <f>VLOOKUP(T1649,[8]Votes!$A$1:$E$234,3,FALSE)</f>
        <v>#N/A</v>
      </c>
      <c r="V1649" t="s">
        <v>8806</v>
      </c>
      <c r="W1649" s="369">
        <v>1</v>
      </c>
      <c r="X1649" s="369">
        <v>0</v>
      </c>
      <c r="Y1649" s="369">
        <v>1</v>
      </c>
      <c r="Z1649" s="369">
        <v>1</v>
      </c>
      <c r="AA1649" s="369">
        <v>1</v>
      </c>
      <c r="AB1649" s="369">
        <v>0</v>
      </c>
      <c r="AC1649" s="369">
        <v>0</v>
      </c>
      <c r="AD1649" s="369">
        <v>1</v>
      </c>
      <c r="AE1649" s="49">
        <f t="shared" si="66"/>
        <v>0.625</v>
      </c>
      <c r="AF1649" s="44"/>
      <c r="AG1649" s="17">
        <v>1</v>
      </c>
      <c r="AH1649" s="44">
        <v>0</v>
      </c>
      <c r="AI1649" s="44">
        <v>0</v>
      </c>
      <c r="AJ1649" s="44">
        <v>0</v>
      </c>
      <c r="AK1649" s="151"/>
      <c r="AL1649" s="151"/>
      <c r="AM1649" s="147">
        <f t="shared" si="65"/>
        <v>0</v>
      </c>
      <c r="AN1649" s="44" t="s">
        <v>1035</v>
      </c>
      <c r="AO1649" s="18" t="s">
        <v>1037</v>
      </c>
      <c r="AP1649" t="s">
        <v>119</v>
      </c>
    </row>
    <row r="1650" spans="1:42" s="10" customFormat="1" x14ac:dyDescent="0.3">
      <c r="A1650" s="367" t="s">
        <v>8317</v>
      </c>
      <c r="B1650" s="10" t="s">
        <v>8318</v>
      </c>
      <c r="C1650" s="368" t="s">
        <v>8763</v>
      </c>
      <c r="D1650" s="10" t="s">
        <v>8764</v>
      </c>
      <c r="E1650" s="10" t="s">
        <v>8765</v>
      </c>
      <c r="F1650" s="10" t="s">
        <v>8766</v>
      </c>
      <c r="G1650" s="10" t="s">
        <v>8800</v>
      </c>
      <c r="H1650" s="10" t="s">
        <v>8801</v>
      </c>
      <c r="I1650" s="9"/>
      <c r="J1650" s="370"/>
      <c r="K1650" s="10" t="s">
        <v>8802</v>
      </c>
      <c r="L1650" s="10" t="s">
        <v>8803</v>
      </c>
      <c r="M1650" s="18" t="s">
        <v>8807</v>
      </c>
      <c r="N1650" s="18">
        <v>0</v>
      </c>
      <c r="O1650" s="18">
        <v>200</v>
      </c>
      <c r="P1650" s="16">
        <v>200</v>
      </c>
      <c r="Q1650" s="16">
        <v>200</v>
      </c>
      <c r="R1650" s="16">
        <v>200</v>
      </c>
      <c r="S1650" s="16">
        <v>200</v>
      </c>
      <c r="T1650" s="10" t="s">
        <v>1035</v>
      </c>
      <c r="U1650" t="str">
        <f>VLOOKUP(T1650,[8]Votes!$A$1:$E$234,3,FALSE)</f>
        <v>017 Ministry of Energy and Mineral Development</v>
      </c>
      <c r="V1650" t="s">
        <v>8808</v>
      </c>
      <c r="W1650" s="369">
        <v>1</v>
      </c>
      <c r="X1650" s="369">
        <v>0</v>
      </c>
      <c r="Y1650" s="369">
        <v>0</v>
      </c>
      <c r="Z1650" s="369">
        <v>0</v>
      </c>
      <c r="AA1650" s="369">
        <v>1</v>
      </c>
      <c r="AB1650" s="369">
        <v>1</v>
      </c>
      <c r="AC1650" s="369">
        <v>0</v>
      </c>
      <c r="AD1650" s="369">
        <v>1</v>
      </c>
      <c r="AE1650" s="49">
        <f t="shared" si="66"/>
        <v>0.5</v>
      </c>
      <c r="AF1650" s="44"/>
      <c r="AG1650" s="17">
        <v>1</v>
      </c>
      <c r="AH1650" s="44">
        <v>0</v>
      </c>
      <c r="AI1650" s="44">
        <v>0</v>
      </c>
      <c r="AJ1650" s="44">
        <v>0</v>
      </c>
      <c r="AK1650" s="151"/>
      <c r="AL1650" s="151"/>
      <c r="AM1650" s="147">
        <f t="shared" si="65"/>
        <v>0</v>
      </c>
      <c r="AN1650" s="44" t="s">
        <v>1035</v>
      </c>
      <c r="AO1650" s="18" t="s">
        <v>1037</v>
      </c>
      <c r="AP1650" t="s">
        <v>119</v>
      </c>
    </row>
    <row r="1651" spans="1:42" s="10" customFormat="1" x14ac:dyDescent="0.3">
      <c r="A1651" s="367" t="s">
        <v>8317</v>
      </c>
      <c r="B1651" s="10" t="s">
        <v>8318</v>
      </c>
      <c r="C1651" s="368" t="s">
        <v>8763</v>
      </c>
      <c r="D1651" s="10" t="s">
        <v>8764</v>
      </c>
      <c r="E1651" s="10" t="s">
        <v>8765</v>
      </c>
      <c r="F1651" s="10" t="s">
        <v>8766</v>
      </c>
      <c r="G1651" s="10" t="s">
        <v>8800</v>
      </c>
      <c r="H1651" s="10" t="s">
        <v>8801</v>
      </c>
      <c r="I1651" s="9"/>
      <c r="J1651" s="370"/>
      <c r="K1651" s="10" t="s">
        <v>8802</v>
      </c>
      <c r="L1651" s="10" t="s">
        <v>8803</v>
      </c>
      <c r="M1651" s="18" t="s">
        <v>8809</v>
      </c>
      <c r="N1651" s="18"/>
      <c r="O1651" s="18">
        <v>4</v>
      </c>
      <c r="P1651" s="16">
        <v>4</v>
      </c>
      <c r="Q1651" s="16">
        <v>4</v>
      </c>
      <c r="R1651" s="16">
        <v>4</v>
      </c>
      <c r="S1651" s="16">
        <v>4</v>
      </c>
      <c r="T1651" s="10" t="s">
        <v>1233</v>
      </c>
      <c r="U1651" t="str">
        <f>VLOOKUP(T1651,[8]Votes!$A$1:$E$234,3,FALSE)</f>
        <v>006 Ministry of Foreign Affairs</v>
      </c>
      <c r="V1651" t="s">
        <v>8810</v>
      </c>
      <c r="W1651" s="369">
        <v>1</v>
      </c>
      <c r="X1651" s="369">
        <v>1</v>
      </c>
      <c r="Y1651" s="369">
        <v>0</v>
      </c>
      <c r="Z1651" s="369">
        <v>1</v>
      </c>
      <c r="AA1651" s="369">
        <v>1</v>
      </c>
      <c r="AB1651" s="369">
        <v>1</v>
      </c>
      <c r="AC1651" s="369">
        <v>0</v>
      </c>
      <c r="AD1651" s="369">
        <v>1</v>
      </c>
      <c r="AE1651" s="49">
        <f t="shared" si="66"/>
        <v>0.75</v>
      </c>
      <c r="AF1651" s="44"/>
      <c r="AG1651" s="17">
        <v>0</v>
      </c>
      <c r="AH1651" s="44">
        <v>1</v>
      </c>
      <c r="AI1651" s="44">
        <v>1.03</v>
      </c>
      <c r="AJ1651" s="44">
        <v>1.04</v>
      </c>
      <c r="AK1651" s="151">
        <v>1.05</v>
      </c>
      <c r="AL1651" s="151">
        <v>1.06</v>
      </c>
      <c r="AM1651" s="147">
        <f t="shared" si="65"/>
        <v>2.1100000000000003</v>
      </c>
      <c r="AN1651" t="s">
        <v>1233</v>
      </c>
      <c r="AO1651" s="18" t="s">
        <v>1650</v>
      </c>
      <c r="AP1651" t="s">
        <v>8811</v>
      </c>
    </row>
    <row r="1652" spans="1:42" s="10" customFormat="1" x14ac:dyDescent="0.3">
      <c r="A1652" s="367" t="s">
        <v>8317</v>
      </c>
      <c r="B1652" s="10" t="s">
        <v>8318</v>
      </c>
      <c r="C1652" s="368" t="s">
        <v>8763</v>
      </c>
      <c r="D1652" s="10" t="s">
        <v>8764</v>
      </c>
      <c r="E1652" s="10" t="s">
        <v>8765</v>
      </c>
      <c r="F1652" s="10" t="s">
        <v>8766</v>
      </c>
      <c r="G1652" s="10" t="s">
        <v>8800</v>
      </c>
      <c r="H1652" s="10" t="s">
        <v>8801</v>
      </c>
      <c r="I1652" s="9"/>
      <c r="J1652" s="370"/>
      <c r="K1652" s="10" t="s">
        <v>8802</v>
      </c>
      <c r="L1652" s="10" t="s">
        <v>8803</v>
      </c>
      <c r="M1652" s="18" t="s">
        <v>8812</v>
      </c>
      <c r="N1652" s="18">
        <v>0</v>
      </c>
      <c r="O1652" s="18" t="s">
        <v>271</v>
      </c>
      <c r="P1652" s="16" t="s">
        <v>271</v>
      </c>
      <c r="Q1652" s="16">
        <v>1</v>
      </c>
      <c r="R1652" s="16">
        <v>1</v>
      </c>
      <c r="S1652" s="16">
        <v>1</v>
      </c>
      <c r="T1652" s="10" t="s">
        <v>1035</v>
      </c>
      <c r="U1652" t="str">
        <f>VLOOKUP(T1652,[8]Votes!$A$1:$E$234,3,FALSE)</f>
        <v>017 Ministry of Energy and Mineral Development</v>
      </c>
      <c r="V1652" t="s">
        <v>8813</v>
      </c>
      <c r="W1652" s="369">
        <v>1</v>
      </c>
      <c r="X1652" s="369">
        <v>1</v>
      </c>
      <c r="Y1652" s="369">
        <v>1</v>
      </c>
      <c r="Z1652" s="369">
        <v>0</v>
      </c>
      <c r="AA1652" s="369">
        <v>1</v>
      </c>
      <c r="AB1652" s="369">
        <v>1</v>
      </c>
      <c r="AC1652" s="369">
        <v>0</v>
      </c>
      <c r="AD1652" s="369">
        <v>1</v>
      </c>
      <c r="AE1652" s="49">
        <f t="shared" si="66"/>
        <v>0.75</v>
      </c>
      <c r="AF1652" s="44"/>
      <c r="AG1652" s="17">
        <v>1</v>
      </c>
      <c r="AH1652" s="44">
        <v>15</v>
      </c>
      <c r="AI1652" s="44">
        <v>3</v>
      </c>
      <c r="AJ1652" s="44">
        <v>3</v>
      </c>
      <c r="AK1652" s="151"/>
      <c r="AL1652" s="151"/>
      <c r="AM1652" s="147">
        <f t="shared" si="65"/>
        <v>0</v>
      </c>
      <c r="AN1652" s="44" t="s">
        <v>1035</v>
      </c>
      <c r="AO1652" s="18" t="s">
        <v>1037</v>
      </c>
      <c r="AP1652" t="s">
        <v>119</v>
      </c>
    </row>
    <row r="1653" spans="1:42" s="10" customFormat="1" x14ac:dyDescent="0.3">
      <c r="A1653" s="367" t="s">
        <v>8317</v>
      </c>
      <c r="B1653" s="10" t="s">
        <v>8318</v>
      </c>
      <c r="C1653" s="368" t="s">
        <v>8763</v>
      </c>
      <c r="D1653" s="10" t="s">
        <v>8764</v>
      </c>
      <c r="E1653" s="10" t="s">
        <v>8765</v>
      </c>
      <c r="F1653" s="10" t="s">
        <v>8766</v>
      </c>
      <c r="G1653" s="10" t="s">
        <v>8800</v>
      </c>
      <c r="H1653" s="10" t="s">
        <v>8801</v>
      </c>
      <c r="I1653" s="9"/>
      <c r="J1653" s="370"/>
      <c r="K1653" s="10" t="s">
        <v>8802</v>
      </c>
      <c r="L1653" s="10" t="s">
        <v>8803</v>
      </c>
      <c r="M1653" s="18" t="s">
        <v>8814</v>
      </c>
      <c r="N1653" s="18">
        <v>0</v>
      </c>
      <c r="O1653" s="18" t="s">
        <v>271</v>
      </c>
      <c r="P1653" s="16">
        <v>15</v>
      </c>
      <c r="Q1653" s="16">
        <v>30</v>
      </c>
      <c r="R1653" s="16">
        <v>15</v>
      </c>
      <c r="S1653" s="16">
        <v>10</v>
      </c>
      <c r="T1653" s="10" t="s">
        <v>1035</v>
      </c>
      <c r="U1653" t="str">
        <f>VLOOKUP(T1653,[8]Votes!$A$1:$E$234,3,FALSE)</f>
        <v>017 Ministry of Energy and Mineral Development</v>
      </c>
      <c r="V1653" t="s">
        <v>8815</v>
      </c>
      <c r="W1653" s="369">
        <v>1</v>
      </c>
      <c r="X1653" s="369">
        <v>0</v>
      </c>
      <c r="Y1653" s="369"/>
      <c r="Z1653" s="369">
        <v>1</v>
      </c>
      <c r="AA1653" s="369">
        <v>1</v>
      </c>
      <c r="AB1653" s="369">
        <v>1</v>
      </c>
      <c r="AC1653" s="369">
        <v>0</v>
      </c>
      <c r="AD1653" s="369">
        <v>1</v>
      </c>
      <c r="AE1653" s="49">
        <f t="shared" si="66"/>
        <v>0.625</v>
      </c>
      <c r="AF1653" s="44"/>
      <c r="AG1653" s="17">
        <v>1</v>
      </c>
      <c r="AH1653" s="44">
        <v>0</v>
      </c>
      <c r="AI1653" s="44">
        <v>0</v>
      </c>
      <c r="AJ1653" s="44">
        <v>0</v>
      </c>
      <c r="AK1653" s="151"/>
      <c r="AL1653" s="151"/>
      <c r="AM1653" s="147">
        <f t="shared" si="65"/>
        <v>0</v>
      </c>
      <c r="AN1653" s="44" t="s">
        <v>1035</v>
      </c>
      <c r="AO1653" s="18" t="s">
        <v>1037</v>
      </c>
      <c r="AP1653" t="s">
        <v>921</v>
      </c>
    </row>
    <row r="1654" spans="1:42" s="10" customFormat="1" x14ac:dyDescent="0.3">
      <c r="A1654" s="367" t="s">
        <v>8317</v>
      </c>
      <c r="B1654" s="10" t="s">
        <v>8318</v>
      </c>
      <c r="C1654" s="368" t="s">
        <v>8763</v>
      </c>
      <c r="D1654" s="10" t="s">
        <v>8764</v>
      </c>
      <c r="E1654" s="10" t="s">
        <v>8765</v>
      </c>
      <c r="F1654" s="10" t="s">
        <v>8766</v>
      </c>
      <c r="G1654" s="10" t="s">
        <v>8800</v>
      </c>
      <c r="H1654" s="10" t="s">
        <v>8801</v>
      </c>
      <c r="I1654" s="9"/>
      <c r="J1654" s="370"/>
      <c r="K1654" s="10" t="s">
        <v>8802</v>
      </c>
      <c r="L1654" s="10" t="s">
        <v>8803</v>
      </c>
      <c r="M1654" s="18"/>
      <c r="N1654" s="18"/>
      <c r="O1654" s="18"/>
      <c r="P1654" s="16"/>
      <c r="Q1654" s="16"/>
      <c r="R1654" s="16"/>
      <c r="S1654" s="16"/>
      <c r="U1654" t="e">
        <f>VLOOKUP(T1654,[8]Votes!$A$1:$E$234,3,FALSE)</f>
        <v>#N/A</v>
      </c>
      <c r="V1654" t="s">
        <v>8816</v>
      </c>
      <c r="W1654" s="369">
        <v>1</v>
      </c>
      <c r="X1654" s="369">
        <v>0</v>
      </c>
      <c r="Y1654" s="369">
        <v>0</v>
      </c>
      <c r="Z1654" s="369">
        <v>1</v>
      </c>
      <c r="AA1654" s="369">
        <v>1</v>
      </c>
      <c r="AB1654" s="369">
        <v>1</v>
      </c>
      <c r="AC1654" s="369">
        <v>0</v>
      </c>
      <c r="AD1654" s="369">
        <v>1</v>
      </c>
      <c r="AE1654" s="49">
        <f t="shared" si="66"/>
        <v>0.625</v>
      </c>
      <c r="AF1654" s="44"/>
      <c r="AG1654" s="17">
        <v>1</v>
      </c>
      <c r="AH1654" s="44">
        <v>0</v>
      </c>
      <c r="AI1654" s="44">
        <v>1</v>
      </c>
      <c r="AJ1654" s="44">
        <v>1</v>
      </c>
      <c r="AK1654" s="151"/>
      <c r="AL1654" s="151"/>
      <c r="AM1654" s="147">
        <f t="shared" si="65"/>
        <v>0</v>
      </c>
      <c r="AN1654" s="44" t="s">
        <v>4512</v>
      </c>
      <c r="AO1654" s="18" t="s">
        <v>4514</v>
      </c>
      <c r="AP1654" t="s">
        <v>1035</v>
      </c>
    </row>
    <row r="1655" spans="1:42" s="10" customFormat="1" x14ac:dyDescent="0.3">
      <c r="A1655" s="367" t="s">
        <v>8317</v>
      </c>
      <c r="B1655" s="10" t="s">
        <v>8318</v>
      </c>
      <c r="C1655" s="368" t="s">
        <v>8763</v>
      </c>
      <c r="D1655" s="10" t="s">
        <v>8764</v>
      </c>
      <c r="E1655" s="10" t="s">
        <v>8765</v>
      </c>
      <c r="F1655" s="10" t="s">
        <v>8766</v>
      </c>
      <c r="G1655" s="10" t="s">
        <v>8800</v>
      </c>
      <c r="H1655" s="10" t="s">
        <v>8801</v>
      </c>
      <c r="I1655" s="9"/>
      <c r="J1655" s="370"/>
      <c r="K1655" s="10" t="s">
        <v>8802</v>
      </c>
      <c r="L1655" s="10" t="s">
        <v>8803</v>
      </c>
      <c r="M1655" s="18" t="s">
        <v>8809</v>
      </c>
      <c r="N1655" s="18"/>
      <c r="O1655" s="18">
        <v>4</v>
      </c>
      <c r="P1655" s="16">
        <v>4</v>
      </c>
      <c r="Q1655" s="16">
        <v>4</v>
      </c>
      <c r="R1655" s="16">
        <v>4</v>
      </c>
      <c r="S1655" s="16">
        <v>4</v>
      </c>
      <c r="T1655" s="10" t="s">
        <v>1233</v>
      </c>
      <c r="U1655" t="str">
        <f>VLOOKUP(T1655,[8]Votes!$A$1:$E$234,3,FALSE)</f>
        <v>006 Ministry of Foreign Affairs</v>
      </c>
      <c r="V1655" t="s">
        <v>8810</v>
      </c>
      <c r="W1655" s="369">
        <v>1</v>
      </c>
      <c r="X1655" s="369">
        <v>1</v>
      </c>
      <c r="Y1655" s="369">
        <v>0</v>
      </c>
      <c r="Z1655" s="369">
        <v>1</v>
      </c>
      <c r="AA1655" s="369">
        <v>1</v>
      </c>
      <c r="AB1655" s="369">
        <v>1</v>
      </c>
      <c r="AC1655" s="369">
        <v>0</v>
      </c>
      <c r="AD1655" s="369">
        <v>1</v>
      </c>
      <c r="AE1655" s="49">
        <f t="shared" si="66"/>
        <v>0.75</v>
      </c>
      <c r="AF1655" s="44"/>
      <c r="AG1655" s="17">
        <v>0</v>
      </c>
      <c r="AH1655" s="44">
        <v>1</v>
      </c>
      <c r="AI1655" s="44">
        <v>1</v>
      </c>
      <c r="AJ1655" s="44">
        <v>1</v>
      </c>
      <c r="AK1655" s="151">
        <v>1</v>
      </c>
      <c r="AL1655" s="151">
        <v>1</v>
      </c>
      <c r="AM1655" s="147">
        <f t="shared" si="65"/>
        <v>2</v>
      </c>
      <c r="AN1655" s="44" t="s">
        <v>1233</v>
      </c>
      <c r="AO1655" s="18" t="s">
        <v>1650</v>
      </c>
      <c r="AP1655" t="s">
        <v>4376</v>
      </c>
    </row>
    <row r="1656" spans="1:42" s="10" customFormat="1" x14ac:dyDescent="0.3">
      <c r="A1656" s="367" t="s">
        <v>8317</v>
      </c>
      <c r="B1656" s="10" t="s">
        <v>8318</v>
      </c>
      <c r="C1656" s="368" t="s">
        <v>8763</v>
      </c>
      <c r="D1656" s="10" t="s">
        <v>8764</v>
      </c>
      <c r="E1656" s="10" t="s">
        <v>8765</v>
      </c>
      <c r="F1656" s="10" t="s">
        <v>8766</v>
      </c>
      <c r="G1656" s="10" t="s">
        <v>8817</v>
      </c>
      <c r="H1656" s="10" t="s">
        <v>8818</v>
      </c>
      <c r="I1656" s="9"/>
      <c r="J1656" s="370"/>
      <c r="K1656" s="10" t="s">
        <v>8819</v>
      </c>
      <c r="L1656" s="10" t="s">
        <v>8820</v>
      </c>
      <c r="M1656" s="18" t="s">
        <v>8821</v>
      </c>
      <c r="N1656" s="18">
        <v>19.600000000000001</v>
      </c>
      <c r="O1656" s="18">
        <v>16.010000000000002</v>
      </c>
      <c r="P1656" s="16">
        <v>15.26</v>
      </c>
      <c r="Q1656" s="16">
        <v>14.26</v>
      </c>
      <c r="R1656" s="16">
        <v>13.97</v>
      </c>
      <c r="S1656" s="16">
        <v>12.6</v>
      </c>
      <c r="T1656" s="10" t="s">
        <v>8822</v>
      </c>
      <c r="U1656" t="e">
        <f>VLOOKUP(T1656,[8]Votes!$A$1:$E$234,3,FALSE)</f>
        <v>#N/A</v>
      </c>
      <c r="V1656" t="s">
        <v>8823</v>
      </c>
      <c r="W1656" s="369">
        <v>1</v>
      </c>
      <c r="X1656" s="369">
        <v>1</v>
      </c>
      <c r="Y1656" s="369">
        <v>0</v>
      </c>
      <c r="Z1656" s="369">
        <v>0</v>
      </c>
      <c r="AA1656" s="369">
        <v>1</v>
      </c>
      <c r="AB1656" s="369">
        <v>1</v>
      </c>
      <c r="AC1656" s="369">
        <v>0</v>
      </c>
      <c r="AD1656" s="369">
        <v>1</v>
      </c>
      <c r="AE1656" s="49">
        <f t="shared" si="66"/>
        <v>0.625</v>
      </c>
      <c r="AF1656" s="44"/>
      <c r="AG1656" s="17">
        <v>0</v>
      </c>
      <c r="AH1656" s="44">
        <v>0</v>
      </c>
      <c r="AI1656" s="44">
        <v>0</v>
      </c>
      <c r="AJ1656" s="44">
        <v>0</v>
      </c>
      <c r="AK1656" s="151">
        <v>0</v>
      </c>
      <c r="AL1656" s="151">
        <v>0</v>
      </c>
      <c r="AM1656" s="147">
        <f t="shared" si="65"/>
        <v>0</v>
      </c>
      <c r="AN1656" s="44" t="s">
        <v>8341</v>
      </c>
      <c r="AO1656" s="18" t="s">
        <v>1037</v>
      </c>
      <c r="AP1656" t="s">
        <v>8462</v>
      </c>
    </row>
    <row r="1657" spans="1:42" s="10" customFormat="1" x14ac:dyDescent="0.3">
      <c r="A1657" s="367" t="s">
        <v>8317</v>
      </c>
      <c r="B1657" s="10" t="s">
        <v>8318</v>
      </c>
      <c r="C1657" s="368" t="s">
        <v>8763</v>
      </c>
      <c r="D1657" s="10" t="s">
        <v>8764</v>
      </c>
      <c r="E1657" s="10" t="s">
        <v>8765</v>
      </c>
      <c r="F1657" s="10" t="s">
        <v>8766</v>
      </c>
      <c r="G1657" s="10" t="s">
        <v>8817</v>
      </c>
      <c r="H1657" s="10" t="s">
        <v>8818</v>
      </c>
      <c r="I1657" s="9"/>
      <c r="J1657" s="370"/>
      <c r="K1657" s="10" t="s">
        <v>8819</v>
      </c>
      <c r="L1657" s="10" t="s">
        <v>8820</v>
      </c>
      <c r="M1657" s="18"/>
      <c r="N1657" s="18"/>
      <c r="O1657" s="18"/>
      <c r="P1657" s="16"/>
      <c r="Q1657" s="16"/>
      <c r="R1657" s="16"/>
      <c r="S1657" s="16"/>
      <c r="U1657" t="e">
        <f>VLOOKUP(T1657,[8]Votes!$A$1:$E$234,3,FALSE)</f>
        <v>#N/A</v>
      </c>
      <c r="V1657" t="s">
        <v>8824</v>
      </c>
      <c r="W1657" s="369">
        <v>1</v>
      </c>
      <c r="X1657" s="369">
        <v>1</v>
      </c>
      <c r="Y1657" s="369">
        <v>0</v>
      </c>
      <c r="Z1657" s="369">
        <v>1</v>
      </c>
      <c r="AA1657" s="369">
        <v>1</v>
      </c>
      <c r="AB1657" s="369">
        <v>1</v>
      </c>
      <c r="AC1657" s="369">
        <v>0</v>
      </c>
      <c r="AD1657" s="369">
        <v>1</v>
      </c>
      <c r="AE1657" s="49">
        <f t="shared" si="66"/>
        <v>0.75</v>
      </c>
      <c r="AF1657" s="17"/>
      <c r="AG1657" s="17">
        <v>0</v>
      </c>
      <c r="AH1657" s="17">
        <v>0</v>
      </c>
      <c r="AI1657" s="17">
        <v>0</v>
      </c>
      <c r="AJ1657" s="17">
        <v>0</v>
      </c>
      <c r="AK1657" s="153">
        <v>1</v>
      </c>
      <c r="AL1657" s="154">
        <v>0</v>
      </c>
      <c r="AM1657" s="147">
        <f t="shared" si="65"/>
        <v>1</v>
      </c>
      <c r="AN1657" s="44" t="s">
        <v>1035</v>
      </c>
      <c r="AO1657" s="18" t="s">
        <v>1037</v>
      </c>
      <c r="AP1657" t="s">
        <v>8825</v>
      </c>
    </row>
    <row r="1658" spans="1:42" s="10" customFormat="1" x14ac:dyDescent="0.3">
      <c r="A1658" s="367" t="s">
        <v>8317</v>
      </c>
      <c r="B1658" s="10" t="s">
        <v>8318</v>
      </c>
      <c r="C1658" s="368" t="s">
        <v>8763</v>
      </c>
      <c r="D1658" s="10" t="s">
        <v>8764</v>
      </c>
      <c r="E1658" s="10" t="s">
        <v>8765</v>
      </c>
      <c r="F1658" s="10" t="s">
        <v>8766</v>
      </c>
      <c r="G1658" s="10" t="s">
        <v>8817</v>
      </c>
      <c r="H1658" s="10" t="s">
        <v>8818</v>
      </c>
      <c r="I1658" s="9"/>
      <c r="J1658" s="370"/>
      <c r="K1658" s="10" t="s">
        <v>8826</v>
      </c>
      <c r="L1658" s="10" t="s">
        <v>8827</v>
      </c>
      <c r="M1658" s="18" t="s">
        <v>8828</v>
      </c>
      <c r="N1658" s="18">
        <v>6.4</v>
      </c>
      <c r="O1658" s="18">
        <v>7.7</v>
      </c>
      <c r="P1658" s="16">
        <v>9.1999999999999993</v>
      </c>
      <c r="Q1658" s="16">
        <v>11.1</v>
      </c>
      <c r="R1658" s="16">
        <v>13.3</v>
      </c>
      <c r="S1658" s="16">
        <v>15.9</v>
      </c>
      <c r="T1658" s="10" t="s">
        <v>8822</v>
      </c>
      <c r="U1658" t="e">
        <f>VLOOKUP(T1658,[8]Votes!$A$1:$E$234,3,FALSE)</f>
        <v>#N/A</v>
      </c>
      <c r="V1658" t="s">
        <v>8493</v>
      </c>
      <c r="W1658" s="369">
        <v>1</v>
      </c>
      <c r="X1658" s="369">
        <v>1</v>
      </c>
      <c r="Y1658" s="369">
        <v>1</v>
      </c>
      <c r="Z1658" s="369">
        <v>1</v>
      </c>
      <c r="AA1658" s="369">
        <v>1</v>
      </c>
      <c r="AB1658" s="369">
        <v>1</v>
      </c>
      <c r="AC1658" s="369">
        <v>0</v>
      </c>
      <c r="AD1658" s="369">
        <v>1</v>
      </c>
      <c r="AE1658" s="49">
        <f t="shared" si="66"/>
        <v>0.875</v>
      </c>
      <c r="AF1658" s="44"/>
      <c r="AG1658" s="17">
        <v>0</v>
      </c>
      <c r="AH1658" s="44">
        <v>2</v>
      </c>
      <c r="AI1658" s="44">
        <v>2</v>
      </c>
      <c r="AJ1658" s="44">
        <v>2</v>
      </c>
      <c r="AK1658" s="151">
        <v>0</v>
      </c>
      <c r="AL1658" s="151">
        <v>0</v>
      </c>
      <c r="AM1658" s="147">
        <f t="shared" si="65"/>
        <v>0</v>
      </c>
      <c r="AN1658" s="44" t="s">
        <v>1035</v>
      </c>
      <c r="AO1658" s="18" t="s">
        <v>1037</v>
      </c>
      <c r="AP1658" t="s">
        <v>8494</v>
      </c>
    </row>
    <row r="1659" spans="1:42" s="10" customFormat="1" x14ac:dyDescent="0.3">
      <c r="A1659" s="367" t="s">
        <v>8317</v>
      </c>
      <c r="B1659" s="10" t="s">
        <v>8318</v>
      </c>
      <c r="C1659" s="368" t="s">
        <v>8763</v>
      </c>
      <c r="D1659" s="10" t="s">
        <v>8764</v>
      </c>
      <c r="E1659" s="10" t="s">
        <v>8765</v>
      </c>
      <c r="F1659" s="10" t="s">
        <v>8766</v>
      </c>
      <c r="G1659" s="10" t="s">
        <v>8817</v>
      </c>
      <c r="H1659" s="10" t="s">
        <v>8818</v>
      </c>
      <c r="I1659" s="9"/>
      <c r="J1659" s="370"/>
      <c r="K1659" s="10" t="s">
        <v>8826</v>
      </c>
      <c r="L1659" s="10" t="s">
        <v>8827</v>
      </c>
      <c r="M1659" s="18" t="s">
        <v>8829</v>
      </c>
      <c r="N1659" s="18">
        <v>0</v>
      </c>
      <c r="O1659" s="18">
        <v>5</v>
      </c>
      <c r="P1659" s="16">
        <v>10</v>
      </c>
      <c r="Q1659" s="16">
        <v>10</v>
      </c>
      <c r="R1659" s="16">
        <v>10</v>
      </c>
      <c r="S1659" s="16">
        <v>10</v>
      </c>
      <c r="T1659" s="10" t="s">
        <v>1035</v>
      </c>
      <c r="U1659" t="str">
        <f>VLOOKUP(T1659,[8]Votes!$A$1:$E$234,3,FALSE)</f>
        <v>017 Ministry of Energy and Mineral Development</v>
      </c>
      <c r="V1659" t="s">
        <v>8830</v>
      </c>
      <c r="W1659" s="369">
        <v>1</v>
      </c>
      <c r="X1659" s="369">
        <v>0</v>
      </c>
      <c r="Y1659" s="369">
        <v>1</v>
      </c>
      <c r="Z1659" s="369">
        <v>1</v>
      </c>
      <c r="AA1659" s="369">
        <v>1</v>
      </c>
      <c r="AB1659" s="369">
        <v>1</v>
      </c>
      <c r="AC1659" s="369">
        <v>0</v>
      </c>
      <c r="AD1659" s="369">
        <v>1</v>
      </c>
      <c r="AE1659" s="49">
        <f t="shared" si="66"/>
        <v>0.75</v>
      </c>
      <c r="AF1659" s="17"/>
      <c r="AG1659" s="17">
        <v>0</v>
      </c>
      <c r="AH1659" s="17">
        <v>0</v>
      </c>
      <c r="AI1659" s="17">
        <v>0</v>
      </c>
      <c r="AJ1659" s="17">
        <v>0</v>
      </c>
      <c r="AK1659" s="153">
        <v>0</v>
      </c>
      <c r="AL1659" s="154">
        <v>0</v>
      </c>
      <c r="AM1659" s="147">
        <f t="shared" si="65"/>
        <v>0</v>
      </c>
      <c r="AN1659" s="44" t="s">
        <v>1035</v>
      </c>
      <c r="AO1659" s="18" t="s">
        <v>1037</v>
      </c>
      <c r="AP1659" t="s">
        <v>8825</v>
      </c>
    </row>
    <row r="1660" spans="1:42" s="10" customFormat="1" x14ac:dyDescent="0.3">
      <c r="A1660" s="367" t="s">
        <v>8317</v>
      </c>
      <c r="B1660" s="10" t="s">
        <v>8318</v>
      </c>
      <c r="C1660" s="368" t="s">
        <v>8763</v>
      </c>
      <c r="D1660" s="10" t="s">
        <v>8764</v>
      </c>
      <c r="E1660" s="10" t="s">
        <v>8765</v>
      </c>
      <c r="F1660" s="10" t="s">
        <v>8766</v>
      </c>
      <c r="G1660" s="10" t="s">
        <v>8817</v>
      </c>
      <c r="H1660" s="10" t="s">
        <v>8818</v>
      </c>
      <c r="I1660" s="9"/>
      <c r="J1660" s="370"/>
      <c r="K1660" s="10" t="s">
        <v>8826</v>
      </c>
      <c r="L1660" s="10" t="s">
        <v>8827</v>
      </c>
      <c r="M1660" s="18"/>
      <c r="N1660" s="18"/>
      <c r="O1660" s="18"/>
      <c r="P1660" s="16"/>
      <c r="Q1660" s="16"/>
      <c r="R1660" s="16"/>
      <c r="S1660" s="16"/>
      <c r="U1660" t="e">
        <f>VLOOKUP(T1660,[8]Votes!$A$1:$E$234,3,FALSE)</f>
        <v>#N/A</v>
      </c>
      <c r="V1660" t="s">
        <v>8831</v>
      </c>
      <c r="W1660" s="369">
        <v>1</v>
      </c>
      <c r="X1660" s="369">
        <v>0</v>
      </c>
      <c r="Y1660" s="369">
        <v>1</v>
      </c>
      <c r="Z1660" s="369">
        <v>1</v>
      </c>
      <c r="AA1660" s="369">
        <v>1</v>
      </c>
      <c r="AB1660" s="369">
        <v>1</v>
      </c>
      <c r="AC1660" s="369">
        <v>0</v>
      </c>
      <c r="AD1660" s="369">
        <v>1</v>
      </c>
      <c r="AE1660" s="49">
        <f t="shared" si="66"/>
        <v>0.75</v>
      </c>
      <c r="AF1660" s="17"/>
      <c r="AG1660" s="17">
        <v>0</v>
      </c>
      <c r="AH1660" s="17">
        <v>0</v>
      </c>
      <c r="AI1660" s="17">
        <v>0</v>
      </c>
      <c r="AJ1660" s="17">
        <v>0</v>
      </c>
      <c r="AK1660" s="153">
        <v>1.5</v>
      </c>
      <c r="AL1660" s="154">
        <v>0</v>
      </c>
      <c r="AM1660" s="147">
        <f t="shared" si="65"/>
        <v>1.5</v>
      </c>
      <c r="AN1660" s="44" t="s">
        <v>321</v>
      </c>
      <c r="AO1660" s="18" t="s">
        <v>1066</v>
      </c>
      <c r="AP1660" t="s">
        <v>4439</v>
      </c>
    </row>
    <row r="1661" spans="1:42" s="10" customFormat="1" x14ac:dyDescent="0.3">
      <c r="A1661" s="367" t="s">
        <v>8317</v>
      </c>
      <c r="B1661" s="10" t="s">
        <v>8318</v>
      </c>
      <c r="C1661" s="368" t="s">
        <v>8763</v>
      </c>
      <c r="D1661" s="10" t="s">
        <v>8764</v>
      </c>
      <c r="E1661" s="10" t="s">
        <v>8765</v>
      </c>
      <c r="F1661" s="10" t="s">
        <v>8766</v>
      </c>
      <c r="G1661" s="10" t="s">
        <v>8832</v>
      </c>
      <c r="H1661" s="10" t="s">
        <v>8833</v>
      </c>
      <c r="I1661" s="9"/>
      <c r="J1661" s="370"/>
      <c r="K1661" s="10" t="s">
        <v>8834</v>
      </c>
      <c r="L1661" s="10" t="s">
        <v>8835</v>
      </c>
      <c r="M1661" s="18" t="s">
        <v>8836</v>
      </c>
      <c r="N1661" s="18">
        <v>5</v>
      </c>
      <c r="O1661" s="18">
        <v>7</v>
      </c>
      <c r="P1661" s="16">
        <v>9</v>
      </c>
      <c r="Q1661" s="16">
        <v>11</v>
      </c>
      <c r="R1661" s="16">
        <v>13</v>
      </c>
      <c r="S1661" s="16">
        <v>15</v>
      </c>
      <c r="T1661" s="10" t="s">
        <v>8837</v>
      </c>
      <c r="U1661" t="e">
        <f>VLOOKUP(T1661,[8]Votes!$A$1:$E$234,3,FALSE)</f>
        <v>#N/A</v>
      </c>
      <c r="V1661" t="s">
        <v>8838</v>
      </c>
      <c r="W1661" s="369">
        <v>1</v>
      </c>
      <c r="X1661" s="369">
        <v>0</v>
      </c>
      <c r="Y1661" s="369">
        <v>0</v>
      </c>
      <c r="Z1661" s="369">
        <v>1</v>
      </c>
      <c r="AA1661" s="369">
        <v>1</v>
      </c>
      <c r="AB1661" s="369">
        <v>1</v>
      </c>
      <c r="AC1661" s="369">
        <v>0</v>
      </c>
      <c r="AD1661" s="369">
        <v>1</v>
      </c>
      <c r="AE1661" s="49">
        <f t="shared" si="66"/>
        <v>0.625</v>
      </c>
      <c r="AF1661" s="44"/>
      <c r="AG1661" s="17">
        <v>0</v>
      </c>
      <c r="AH1661" s="44">
        <v>0</v>
      </c>
      <c r="AI1661" s="44">
        <v>0</v>
      </c>
      <c r="AJ1661" s="44">
        <v>0</v>
      </c>
      <c r="AK1661" s="151">
        <v>0</v>
      </c>
      <c r="AL1661" s="151">
        <v>0</v>
      </c>
      <c r="AM1661" s="147">
        <f t="shared" si="65"/>
        <v>0</v>
      </c>
      <c r="AN1661" s="44" t="s">
        <v>1035</v>
      </c>
      <c r="AO1661" s="18" t="s">
        <v>1037</v>
      </c>
      <c r="AP1661" t="s">
        <v>1126</v>
      </c>
    </row>
    <row r="1662" spans="1:42" s="10" customFormat="1" x14ac:dyDescent="0.3">
      <c r="A1662" s="367" t="s">
        <v>8317</v>
      </c>
      <c r="B1662" s="10" t="s">
        <v>8318</v>
      </c>
      <c r="C1662" s="368" t="s">
        <v>8763</v>
      </c>
      <c r="D1662" s="10" t="s">
        <v>8764</v>
      </c>
      <c r="E1662" s="10" t="s">
        <v>8765</v>
      </c>
      <c r="F1662" s="10" t="s">
        <v>8766</v>
      </c>
      <c r="G1662" s="10" t="s">
        <v>8832</v>
      </c>
      <c r="H1662" s="10" t="s">
        <v>8833</v>
      </c>
      <c r="I1662" s="9"/>
      <c r="J1662" s="370"/>
      <c r="K1662" s="10" t="s">
        <v>8834</v>
      </c>
      <c r="L1662" s="10" t="s">
        <v>8835</v>
      </c>
      <c r="M1662" s="18"/>
      <c r="N1662" s="18"/>
      <c r="O1662" s="18"/>
      <c r="P1662" s="16"/>
      <c r="Q1662" s="16"/>
      <c r="R1662" s="16"/>
      <c r="S1662" s="16"/>
      <c r="U1662" t="e">
        <f>VLOOKUP(T1662,[8]Votes!$A$1:$E$234,3,FALSE)</f>
        <v>#N/A</v>
      </c>
      <c r="V1662" t="s">
        <v>8839</v>
      </c>
      <c r="W1662" s="369">
        <v>1</v>
      </c>
      <c r="X1662" s="369">
        <v>1</v>
      </c>
      <c r="Y1662" s="369">
        <v>0</v>
      </c>
      <c r="Z1662" s="369">
        <v>1</v>
      </c>
      <c r="AA1662" s="369">
        <v>1</v>
      </c>
      <c r="AB1662" s="369">
        <v>1</v>
      </c>
      <c r="AC1662" s="369">
        <v>0</v>
      </c>
      <c r="AD1662" s="369">
        <v>1</v>
      </c>
      <c r="AE1662" s="49">
        <f t="shared" si="66"/>
        <v>0.75</v>
      </c>
      <c r="AF1662" s="44"/>
      <c r="AG1662" s="17">
        <v>0</v>
      </c>
      <c r="AH1662" s="44">
        <v>10</v>
      </c>
      <c r="AI1662" s="44">
        <v>5</v>
      </c>
      <c r="AJ1662" s="44">
        <v>5</v>
      </c>
      <c r="AK1662" s="151">
        <v>3</v>
      </c>
      <c r="AL1662" s="151">
        <v>3</v>
      </c>
      <c r="AM1662" s="147">
        <f t="shared" si="65"/>
        <v>6</v>
      </c>
      <c r="AN1662" s="44" t="s">
        <v>321</v>
      </c>
      <c r="AO1662" s="18" t="s">
        <v>1066</v>
      </c>
      <c r="AP1662" t="s">
        <v>4411</v>
      </c>
    </row>
    <row r="1663" spans="1:42" customFormat="1" x14ac:dyDescent="0.3">
      <c r="A1663" s="386" t="s">
        <v>8317</v>
      </c>
      <c r="B1663" t="s">
        <v>8318</v>
      </c>
      <c r="C1663" s="200" t="s">
        <v>13022</v>
      </c>
      <c r="D1663" t="s">
        <v>6838</v>
      </c>
      <c r="E1663" s="200" t="s">
        <v>13023</v>
      </c>
      <c r="F1663" t="s">
        <v>12811</v>
      </c>
      <c r="G1663" s="200" t="s">
        <v>13024</v>
      </c>
      <c r="H1663" t="s">
        <v>12812</v>
      </c>
      <c r="K1663" s="200" t="s">
        <v>13025</v>
      </c>
      <c r="L1663" t="s">
        <v>12754</v>
      </c>
      <c r="M1663" s="1"/>
      <c r="N1663" s="423"/>
      <c r="O1663" s="1"/>
      <c r="P1663" s="3"/>
      <c r="Q1663" s="3"/>
      <c r="R1663" s="3"/>
      <c r="S1663" s="3"/>
      <c r="V1663" t="s">
        <v>12755</v>
      </c>
      <c r="AF1663" s="64"/>
      <c r="AH1663" s="4"/>
      <c r="AI1663" s="4"/>
      <c r="AJ1663" s="4"/>
      <c r="AK1663" s="398"/>
      <c r="AL1663" s="398"/>
      <c r="AM1663" s="4"/>
    </row>
    <row r="1664" spans="1:42" customFormat="1" x14ac:dyDescent="0.3">
      <c r="A1664" s="386" t="s">
        <v>8317</v>
      </c>
      <c r="B1664" t="s">
        <v>8318</v>
      </c>
      <c r="C1664" s="200" t="s">
        <v>13022</v>
      </c>
      <c r="D1664" t="s">
        <v>6838</v>
      </c>
      <c r="E1664" s="200" t="s">
        <v>13023</v>
      </c>
      <c r="F1664" t="s">
        <v>12811</v>
      </c>
      <c r="G1664" s="200" t="s">
        <v>13024</v>
      </c>
      <c r="H1664" t="s">
        <v>12812</v>
      </c>
      <c r="K1664" s="200" t="s">
        <v>13026</v>
      </c>
      <c r="L1664" t="s">
        <v>12808</v>
      </c>
      <c r="M1664" s="1"/>
      <c r="N1664" s="423"/>
      <c r="O1664" s="1"/>
      <c r="P1664" s="3"/>
      <c r="Q1664" s="3"/>
      <c r="R1664" s="3"/>
      <c r="S1664" s="3"/>
      <c r="V1664" t="s">
        <v>12809</v>
      </c>
      <c r="AF1664" s="64"/>
      <c r="AH1664" s="4"/>
      <c r="AI1664" s="4"/>
      <c r="AJ1664" s="4"/>
      <c r="AK1664" s="398"/>
      <c r="AL1664" s="398"/>
      <c r="AM1664" s="4"/>
    </row>
    <row r="1665" spans="1:39" customFormat="1" x14ac:dyDescent="0.3">
      <c r="A1665" s="386" t="s">
        <v>8317</v>
      </c>
      <c r="B1665" t="s">
        <v>8318</v>
      </c>
      <c r="C1665" s="200" t="s">
        <v>13022</v>
      </c>
      <c r="D1665" t="s">
        <v>6838</v>
      </c>
      <c r="E1665" s="200" t="s">
        <v>13023</v>
      </c>
      <c r="F1665" t="s">
        <v>12811</v>
      </c>
      <c r="G1665" s="200" t="s">
        <v>13024</v>
      </c>
      <c r="H1665" t="s">
        <v>12812</v>
      </c>
      <c r="K1665" s="200" t="s">
        <v>13027</v>
      </c>
      <c r="L1665" t="s">
        <v>12756</v>
      </c>
      <c r="M1665" s="1" t="s">
        <v>5766</v>
      </c>
      <c r="N1665" s="423"/>
      <c r="O1665" s="1"/>
      <c r="P1665" s="3"/>
      <c r="Q1665" s="3"/>
      <c r="R1665" s="3"/>
      <c r="S1665" s="3"/>
      <c r="V1665" t="s">
        <v>12792</v>
      </c>
      <c r="AF1665" s="64"/>
      <c r="AH1665" s="4"/>
      <c r="AI1665" s="4"/>
      <c r="AJ1665" s="4"/>
      <c r="AK1665" s="46"/>
      <c r="AL1665" s="46"/>
      <c r="AM1665" s="4"/>
    </row>
    <row r="1666" spans="1:39" customFormat="1" x14ac:dyDescent="0.3">
      <c r="A1666" s="386" t="s">
        <v>8317</v>
      </c>
      <c r="B1666" t="s">
        <v>8318</v>
      </c>
      <c r="C1666" s="200" t="s">
        <v>13022</v>
      </c>
      <c r="D1666" t="s">
        <v>6838</v>
      </c>
      <c r="E1666" s="200" t="s">
        <v>13023</v>
      </c>
      <c r="F1666" t="s">
        <v>12811</v>
      </c>
      <c r="G1666" s="200" t="s">
        <v>13024</v>
      </c>
      <c r="H1666" t="s">
        <v>12812</v>
      </c>
      <c r="K1666" s="200" t="s">
        <v>13028</v>
      </c>
      <c r="L1666" t="s">
        <v>12757</v>
      </c>
      <c r="M1666" s="1" t="s">
        <v>12758</v>
      </c>
      <c r="N1666" s="423"/>
      <c r="O1666" s="1"/>
      <c r="P1666" s="3"/>
      <c r="Q1666" s="3"/>
      <c r="R1666" s="3"/>
      <c r="S1666" s="3"/>
      <c r="V1666" t="s">
        <v>12793</v>
      </c>
      <c r="AF1666" s="64"/>
      <c r="AH1666" s="4"/>
      <c r="AI1666" s="4"/>
      <c r="AJ1666" s="4"/>
      <c r="AK1666" s="46"/>
      <c r="AL1666" s="46"/>
      <c r="AM1666" s="4"/>
    </row>
    <row r="1667" spans="1:39" customFormat="1" x14ac:dyDescent="0.3">
      <c r="A1667" s="386" t="s">
        <v>8317</v>
      </c>
      <c r="B1667" t="s">
        <v>8318</v>
      </c>
      <c r="C1667" s="200" t="s">
        <v>13022</v>
      </c>
      <c r="D1667" t="s">
        <v>6838</v>
      </c>
      <c r="E1667" s="200" t="s">
        <v>13023</v>
      </c>
      <c r="F1667" t="s">
        <v>12811</v>
      </c>
      <c r="G1667" s="200" t="s">
        <v>13024</v>
      </c>
      <c r="H1667" t="s">
        <v>12812</v>
      </c>
      <c r="K1667" s="200" t="s">
        <v>13029</v>
      </c>
      <c r="L1667" t="s">
        <v>12759</v>
      </c>
      <c r="M1667" s="1" t="s">
        <v>12760</v>
      </c>
      <c r="N1667" s="423"/>
      <c r="O1667" s="1"/>
      <c r="P1667" s="3"/>
      <c r="Q1667" s="3"/>
      <c r="R1667" s="3"/>
      <c r="S1667" s="3"/>
      <c r="V1667" t="s">
        <v>12794</v>
      </c>
      <c r="AF1667" s="64"/>
      <c r="AH1667" s="4"/>
      <c r="AI1667" s="4"/>
      <c r="AJ1667" s="4"/>
      <c r="AK1667" s="46"/>
      <c r="AL1667" s="46"/>
      <c r="AM1667" s="4"/>
    </row>
    <row r="1668" spans="1:39" customFormat="1" x14ac:dyDescent="0.3">
      <c r="A1668" s="386" t="s">
        <v>8317</v>
      </c>
      <c r="B1668" t="s">
        <v>8318</v>
      </c>
      <c r="C1668" s="200" t="s">
        <v>13022</v>
      </c>
      <c r="D1668" t="s">
        <v>6838</v>
      </c>
      <c r="E1668" s="200" t="s">
        <v>13023</v>
      </c>
      <c r="F1668" t="s">
        <v>12811</v>
      </c>
      <c r="G1668" s="200" t="s">
        <v>13024</v>
      </c>
      <c r="H1668" t="s">
        <v>12812</v>
      </c>
      <c r="K1668" s="200" t="s">
        <v>13030</v>
      </c>
      <c r="L1668" t="s">
        <v>12761</v>
      </c>
      <c r="M1668" s="1" t="s">
        <v>12762</v>
      </c>
      <c r="N1668" s="423"/>
      <c r="O1668" s="1"/>
      <c r="P1668" s="3"/>
      <c r="Q1668" s="3"/>
      <c r="R1668" s="3"/>
      <c r="S1668" s="3"/>
      <c r="V1668" t="s">
        <v>5782</v>
      </c>
      <c r="AF1668" s="64"/>
      <c r="AH1668" s="4"/>
      <c r="AI1668" s="4"/>
      <c r="AJ1668" s="4"/>
      <c r="AK1668" s="46"/>
      <c r="AL1668" s="46"/>
      <c r="AM1668" s="4"/>
    </row>
    <row r="1669" spans="1:39" customFormat="1" x14ac:dyDescent="0.3">
      <c r="A1669" s="386" t="s">
        <v>8317</v>
      </c>
      <c r="B1669" t="s">
        <v>8318</v>
      </c>
      <c r="C1669" s="200" t="s">
        <v>13022</v>
      </c>
      <c r="D1669" t="s">
        <v>6838</v>
      </c>
      <c r="E1669" s="200" t="s">
        <v>13023</v>
      </c>
      <c r="F1669" t="s">
        <v>12811</v>
      </c>
      <c r="G1669" s="200" t="s">
        <v>13024</v>
      </c>
      <c r="H1669" t="s">
        <v>12812</v>
      </c>
      <c r="K1669" s="200" t="s">
        <v>13031</v>
      </c>
      <c r="L1669" t="s">
        <v>12763</v>
      </c>
      <c r="M1669" s="1" t="s">
        <v>12764</v>
      </c>
      <c r="N1669" s="423"/>
      <c r="O1669" s="1"/>
      <c r="P1669" s="3"/>
      <c r="Q1669" s="3"/>
      <c r="R1669" s="3"/>
      <c r="S1669" s="3"/>
      <c r="V1669" t="s">
        <v>5783</v>
      </c>
      <c r="AF1669" s="64"/>
      <c r="AH1669" s="4"/>
      <c r="AI1669" s="4"/>
      <c r="AJ1669" s="4"/>
      <c r="AK1669" s="46"/>
      <c r="AL1669" s="46"/>
      <c r="AM1669" s="4"/>
    </row>
    <row r="1670" spans="1:39" customFormat="1" x14ac:dyDescent="0.3">
      <c r="A1670" s="386" t="s">
        <v>8317</v>
      </c>
      <c r="B1670" t="s">
        <v>8318</v>
      </c>
      <c r="C1670" s="200" t="s">
        <v>13022</v>
      </c>
      <c r="D1670" t="s">
        <v>6838</v>
      </c>
      <c r="E1670" s="200" t="s">
        <v>13023</v>
      </c>
      <c r="F1670" t="s">
        <v>12811</v>
      </c>
      <c r="G1670" s="200" t="s">
        <v>13024</v>
      </c>
      <c r="H1670" t="s">
        <v>12812</v>
      </c>
      <c r="K1670" s="200" t="s">
        <v>13032</v>
      </c>
      <c r="L1670" t="s">
        <v>12765</v>
      </c>
      <c r="M1670" s="1" t="s">
        <v>12766</v>
      </c>
      <c r="N1670" s="423"/>
      <c r="O1670" s="1"/>
      <c r="P1670" s="3"/>
      <c r="Q1670" s="3"/>
      <c r="R1670" s="3"/>
      <c r="S1670" s="3"/>
      <c r="V1670" t="s">
        <v>12795</v>
      </c>
      <c r="AF1670" s="64"/>
      <c r="AH1670" s="4"/>
      <c r="AI1670" s="4"/>
      <c r="AJ1670" s="4"/>
      <c r="AK1670" s="46"/>
      <c r="AL1670" s="46"/>
      <c r="AM1670" s="4"/>
    </row>
    <row r="1671" spans="1:39" customFormat="1" x14ac:dyDescent="0.3">
      <c r="A1671" s="386" t="s">
        <v>8317</v>
      </c>
      <c r="B1671" t="s">
        <v>8318</v>
      </c>
      <c r="C1671" s="200" t="s">
        <v>13022</v>
      </c>
      <c r="D1671" t="s">
        <v>6838</v>
      </c>
      <c r="E1671" s="200" t="s">
        <v>13023</v>
      </c>
      <c r="F1671" t="s">
        <v>12811</v>
      </c>
      <c r="G1671" s="200" t="s">
        <v>13024</v>
      </c>
      <c r="H1671" t="s">
        <v>12812</v>
      </c>
      <c r="K1671" s="200" t="s">
        <v>13033</v>
      </c>
      <c r="L1671" t="s">
        <v>12767</v>
      </c>
      <c r="M1671" s="1" t="s">
        <v>12768</v>
      </c>
      <c r="N1671" s="423"/>
      <c r="O1671" s="1"/>
      <c r="P1671" s="3"/>
      <c r="Q1671" s="3"/>
      <c r="R1671" s="3"/>
      <c r="S1671" s="3"/>
      <c r="V1671" t="s">
        <v>12796</v>
      </c>
      <c r="AF1671" s="64"/>
      <c r="AH1671" s="4"/>
      <c r="AI1671" s="4"/>
      <c r="AJ1671" s="4"/>
      <c r="AK1671" s="46"/>
      <c r="AL1671" s="46"/>
      <c r="AM1671" s="4"/>
    </row>
    <row r="1672" spans="1:39" customFormat="1" x14ac:dyDescent="0.3">
      <c r="A1672" s="386" t="s">
        <v>8317</v>
      </c>
      <c r="B1672" t="s">
        <v>8318</v>
      </c>
      <c r="C1672" s="200" t="s">
        <v>13022</v>
      </c>
      <c r="D1672" t="s">
        <v>6838</v>
      </c>
      <c r="E1672" s="200" t="s">
        <v>13023</v>
      </c>
      <c r="F1672" t="s">
        <v>12811</v>
      </c>
      <c r="G1672" s="200" t="s">
        <v>13024</v>
      </c>
      <c r="H1672" t="s">
        <v>12812</v>
      </c>
      <c r="K1672" s="200" t="s">
        <v>13034</v>
      </c>
      <c r="L1672" t="s">
        <v>12769</v>
      </c>
      <c r="M1672" s="1" t="s">
        <v>12770</v>
      </c>
      <c r="N1672" s="423"/>
      <c r="O1672" s="1"/>
      <c r="P1672" s="3"/>
      <c r="Q1672" s="3"/>
      <c r="R1672" s="3"/>
      <c r="S1672" s="3"/>
      <c r="V1672" t="s">
        <v>5786</v>
      </c>
      <c r="AF1672" s="64"/>
      <c r="AH1672" s="4"/>
      <c r="AI1672" s="4"/>
      <c r="AJ1672" s="4"/>
      <c r="AK1672" s="46"/>
      <c r="AL1672" s="46"/>
      <c r="AM1672" s="4"/>
    </row>
    <row r="1673" spans="1:39" customFormat="1" x14ac:dyDescent="0.3">
      <c r="A1673" s="386" t="s">
        <v>8317</v>
      </c>
      <c r="B1673" t="s">
        <v>8318</v>
      </c>
      <c r="C1673" s="200" t="s">
        <v>13022</v>
      </c>
      <c r="D1673" t="s">
        <v>6838</v>
      </c>
      <c r="E1673" s="200" t="s">
        <v>13023</v>
      </c>
      <c r="F1673" t="s">
        <v>12811</v>
      </c>
      <c r="G1673" s="200" t="s">
        <v>13024</v>
      </c>
      <c r="H1673" t="s">
        <v>12812</v>
      </c>
      <c r="K1673" s="200" t="s">
        <v>13035</v>
      </c>
      <c r="L1673" t="s">
        <v>12771</v>
      </c>
      <c r="M1673" s="1" t="s">
        <v>12772</v>
      </c>
      <c r="N1673" s="423"/>
      <c r="O1673" s="1"/>
      <c r="P1673" s="3"/>
      <c r="Q1673" s="3"/>
      <c r="R1673" s="3"/>
      <c r="S1673" s="3"/>
      <c r="V1673" t="s">
        <v>12800</v>
      </c>
      <c r="AF1673" s="64"/>
      <c r="AH1673" s="4"/>
      <c r="AI1673" s="4"/>
      <c r="AJ1673" s="4"/>
      <c r="AK1673" s="46"/>
      <c r="AL1673" s="46"/>
      <c r="AM1673" s="4"/>
    </row>
    <row r="1674" spans="1:39" customFormat="1" x14ac:dyDescent="0.3">
      <c r="A1674" s="386" t="s">
        <v>8317</v>
      </c>
      <c r="B1674" t="s">
        <v>8318</v>
      </c>
      <c r="C1674" s="200" t="s">
        <v>13022</v>
      </c>
      <c r="D1674" t="s">
        <v>6838</v>
      </c>
      <c r="E1674" s="200" t="s">
        <v>13023</v>
      </c>
      <c r="F1674" t="s">
        <v>12811</v>
      </c>
      <c r="G1674" s="200" t="s">
        <v>13024</v>
      </c>
      <c r="H1674" t="s">
        <v>12812</v>
      </c>
      <c r="K1674" s="200" t="s">
        <v>13036</v>
      </c>
      <c r="L1674" t="s">
        <v>12773</v>
      </c>
      <c r="M1674" s="1" t="s">
        <v>12774</v>
      </c>
      <c r="N1674" s="423"/>
      <c r="O1674" s="1"/>
      <c r="P1674" s="3"/>
      <c r="Q1674" s="3"/>
      <c r="R1674" s="3"/>
      <c r="S1674" s="3"/>
      <c r="V1674" t="s">
        <v>12797</v>
      </c>
      <c r="AF1674" s="64"/>
      <c r="AH1674" s="4"/>
      <c r="AI1674" s="4"/>
      <c r="AJ1674" s="4"/>
      <c r="AK1674" s="46"/>
      <c r="AL1674" s="46"/>
      <c r="AM1674" s="4"/>
    </row>
    <row r="1675" spans="1:39" customFormat="1" x14ac:dyDescent="0.3">
      <c r="A1675" s="386" t="s">
        <v>8317</v>
      </c>
      <c r="B1675" t="s">
        <v>8318</v>
      </c>
      <c r="C1675" s="200" t="s">
        <v>13022</v>
      </c>
      <c r="D1675" t="s">
        <v>6838</v>
      </c>
      <c r="E1675" s="200" t="s">
        <v>13023</v>
      </c>
      <c r="F1675" t="s">
        <v>12811</v>
      </c>
      <c r="G1675" s="200" t="s">
        <v>13024</v>
      </c>
      <c r="H1675" t="s">
        <v>12812</v>
      </c>
      <c r="K1675" s="200" t="s">
        <v>13037</v>
      </c>
      <c r="L1675" t="s">
        <v>12775</v>
      </c>
      <c r="M1675" s="1" t="s">
        <v>12776</v>
      </c>
      <c r="N1675" s="423"/>
      <c r="O1675" s="1"/>
      <c r="P1675" s="3"/>
      <c r="Q1675" s="3"/>
      <c r="R1675" s="3"/>
      <c r="S1675" s="3"/>
      <c r="V1675" t="s">
        <v>12798</v>
      </c>
      <c r="AF1675" s="64"/>
      <c r="AH1675" s="4"/>
      <c r="AI1675" s="4"/>
      <c r="AJ1675" s="4"/>
      <c r="AK1675" s="46"/>
      <c r="AL1675" s="46"/>
      <c r="AM1675" s="4"/>
    </row>
    <row r="1676" spans="1:39" customFormat="1" x14ac:dyDescent="0.3">
      <c r="A1676" s="386" t="s">
        <v>8317</v>
      </c>
      <c r="B1676" t="s">
        <v>8318</v>
      </c>
      <c r="C1676" s="200" t="s">
        <v>13022</v>
      </c>
      <c r="D1676" t="s">
        <v>6838</v>
      </c>
      <c r="E1676" s="200" t="s">
        <v>13023</v>
      </c>
      <c r="F1676" t="s">
        <v>12811</v>
      </c>
      <c r="G1676" s="200" t="s">
        <v>13024</v>
      </c>
      <c r="H1676" t="s">
        <v>12812</v>
      </c>
      <c r="K1676" s="200" t="s">
        <v>13038</v>
      </c>
      <c r="L1676" t="s">
        <v>12777</v>
      </c>
      <c r="M1676" s="1" t="s">
        <v>12778</v>
      </c>
      <c r="N1676" s="423"/>
      <c r="O1676" s="1"/>
      <c r="P1676" s="3"/>
      <c r="Q1676" s="3"/>
      <c r="R1676" s="3"/>
      <c r="S1676" s="3"/>
      <c r="V1676" t="s">
        <v>5789</v>
      </c>
      <c r="AF1676" s="64"/>
      <c r="AH1676" s="4"/>
      <c r="AI1676" s="4"/>
      <c r="AJ1676" s="4"/>
      <c r="AK1676" s="46"/>
      <c r="AL1676" s="46"/>
      <c r="AM1676" s="4"/>
    </row>
    <row r="1677" spans="1:39" customFormat="1" x14ac:dyDescent="0.3">
      <c r="A1677" s="386" t="s">
        <v>8317</v>
      </c>
      <c r="B1677" t="s">
        <v>8318</v>
      </c>
      <c r="C1677" s="200" t="s">
        <v>13022</v>
      </c>
      <c r="D1677" t="s">
        <v>6838</v>
      </c>
      <c r="E1677" s="200" t="s">
        <v>13023</v>
      </c>
      <c r="F1677" t="s">
        <v>12811</v>
      </c>
      <c r="G1677" s="200" t="s">
        <v>13024</v>
      </c>
      <c r="H1677" t="s">
        <v>12812</v>
      </c>
      <c r="K1677" s="200" t="s">
        <v>13039</v>
      </c>
      <c r="L1677" t="s">
        <v>12779</v>
      </c>
      <c r="M1677" s="1" t="s">
        <v>12780</v>
      </c>
      <c r="N1677" s="423"/>
      <c r="O1677" s="1"/>
      <c r="P1677" s="3"/>
      <c r="Q1677" s="3"/>
      <c r="R1677" s="3"/>
      <c r="S1677" s="3"/>
      <c r="V1677" t="s">
        <v>12799</v>
      </c>
      <c r="AF1677" s="64"/>
      <c r="AH1677" s="4"/>
      <c r="AI1677" s="4"/>
      <c r="AJ1677" s="4"/>
      <c r="AK1677" s="46"/>
      <c r="AL1677" s="46"/>
      <c r="AM1677" s="4"/>
    </row>
    <row r="1678" spans="1:39" customFormat="1" x14ac:dyDescent="0.3">
      <c r="A1678" s="386" t="s">
        <v>8317</v>
      </c>
      <c r="B1678" t="s">
        <v>8318</v>
      </c>
      <c r="C1678" s="200" t="s">
        <v>13022</v>
      </c>
      <c r="D1678" t="s">
        <v>6838</v>
      </c>
      <c r="E1678" s="200" t="s">
        <v>13023</v>
      </c>
      <c r="F1678" t="s">
        <v>12811</v>
      </c>
      <c r="G1678" s="200" t="s">
        <v>13024</v>
      </c>
      <c r="H1678" t="s">
        <v>12812</v>
      </c>
      <c r="K1678" s="200" t="s">
        <v>13040</v>
      </c>
      <c r="L1678" t="s">
        <v>12806</v>
      </c>
      <c r="M1678" s="1" t="s">
        <v>12781</v>
      </c>
      <c r="N1678" s="423"/>
      <c r="O1678" s="1"/>
      <c r="P1678" s="3"/>
      <c r="Q1678" s="3"/>
      <c r="R1678" s="3"/>
      <c r="S1678" s="3"/>
      <c r="V1678" t="s">
        <v>12805</v>
      </c>
      <c r="AF1678" s="64"/>
      <c r="AH1678" s="4"/>
      <c r="AI1678" s="4"/>
      <c r="AJ1678" s="4"/>
      <c r="AK1678" s="46"/>
      <c r="AL1678" s="46"/>
      <c r="AM1678" s="4"/>
    </row>
    <row r="1679" spans="1:39" customFormat="1" x14ac:dyDescent="0.3">
      <c r="A1679" s="386" t="s">
        <v>8317</v>
      </c>
      <c r="B1679" t="s">
        <v>8318</v>
      </c>
      <c r="C1679" s="200" t="s">
        <v>13022</v>
      </c>
      <c r="D1679" t="s">
        <v>6838</v>
      </c>
      <c r="E1679" s="200" t="s">
        <v>13023</v>
      </c>
      <c r="F1679" t="s">
        <v>12811</v>
      </c>
      <c r="G1679" s="200" t="s">
        <v>13024</v>
      </c>
      <c r="H1679" t="s">
        <v>12812</v>
      </c>
      <c r="K1679" s="200" t="s">
        <v>13041</v>
      </c>
      <c r="L1679" t="s">
        <v>12782</v>
      </c>
      <c r="M1679" s="1"/>
      <c r="N1679" s="423"/>
      <c r="O1679" s="1"/>
      <c r="P1679" s="3"/>
      <c r="Q1679" s="3"/>
      <c r="R1679" s="3"/>
      <c r="S1679" s="3"/>
      <c r="V1679" t="s">
        <v>12782</v>
      </c>
      <c r="AF1679" s="64"/>
      <c r="AH1679" s="4"/>
      <c r="AI1679" s="4"/>
      <c r="AJ1679" s="4"/>
      <c r="AK1679" s="46"/>
      <c r="AL1679" s="46"/>
      <c r="AM1679" s="4"/>
    </row>
    <row r="1680" spans="1:39" customFormat="1" x14ac:dyDescent="0.3">
      <c r="A1680" s="386" t="s">
        <v>8317</v>
      </c>
      <c r="B1680" t="s">
        <v>8318</v>
      </c>
      <c r="C1680" s="200" t="s">
        <v>13022</v>
      </c>
      <c r="D1680" t="s">
        <v>6838</v>
      </c>
      <c r="E1680" s="200" t="s">
        <v>13023</v>
      </c>
      <c r="F1680" t="s">
        <v>12811</v>
      </c>
      <c r="G1680" s="200" t="s">
        <v>13024</v>
      </c>
      <c r="H1680" t="s">
        <v>12812</v>
      </c>
      <c r="K1680" s="200" t="s">
        <v>13025</v>
      </c>
      <c r="L1680" t="s">
        <v>12783</v>
      </c>
      <c r="M1680" s="1" t="s">
        <v>12784</v>
      </c>
      <c r="N1680" s="423"/>
      <c r="O1680" s="1"/>
      <c r="P1680" s="3"/>
      <c r="Q1680" s="3"/>
      <c r="R1680" s="3"/>
      <c r="S1680" s="3"/>
      <c r="V1680" t="s">
        <v>12783</v>
      </c>
      <c r="AF1680" s="64"/>
      <c r="AH1680" s="4"/>
      <c r="AI1680" s="4"/>
      <c r="AJ1680" s="4"/>
      <c r="AK1680" s="46"/>
      <c r="AL1680" s="46"/>
      <c r="AM1680" s="4"/>
    </row>
    <row r="1681" spans="1:42" customFormat="1" x14ac:dyDescent="0.3">
      <c r="A1681" s="386" t="s">
        <v>8317</v>
      </c>
      <c r="B1681" t="s">
        <v>8318</v>
      </c>
      <c r="C1681" s="200" t="s">
        <v>13022</v>
      </c>
      <c r="D1681" t="s">
        <v>6838</v>
      </c>
      <c r="E1681" s="200" t="s">
        <v>13023</v>
      </c>
      <c r="F1681" t="s">
        <v>12811</v>
      </c>
      <c r="G1681" s="200" t="s">
        <v>13024</v>
      </c>
      <c r="H1681" t="s">
        <v>12812</v>
      </c>
      <c r="K1681" s="200" t="s">
        <v>13025</v>
      </c>
      <c r="L1681" t="s">
        <v>12785</v>
      </c>
      <c r="M1681" s="1" t="s">
        <v>12786</v>
      </c>
      <c r="N1681" s="423"/>
      <c r="O1681" s="1"/>
      <c r="P1681" s="3"/>
      <c r="Q1681" s="3"/>
      <c r="R1681" s="3"/>
      <c r="S1681" s="3"/>
      <c r="V1681" t="s">
        <v>12801</v>
      </c>
      <c r="AF1681" s="64"/>
      <c r="AH1681" s="4"/>
      <c r="AI1681" s="4"/>
      <c r="AJ1681" s="4"/>
      <c r="AK1681" s="46"/>
      <c r="AL1681" s="46"/>
      <c r="AM1681" s="4"/>
    </row>
    <row r="1682" spans="1:42" customFormat="1" x14ac:dyDescent="0.3">
      <c r="A1682" s="386" t="s">
        <v>8317</v>
      </c>
      <c r="B1682" t="s">
        <v>8318</v>
      </c>
      <c r="C1682" s="200" t="s">
        <v>13022</v>
      </c>
      <c r="D1682" t="s">
        <v>6838</v>
      </c>
      <c r="E1682" s="200" t="s">
        <v>13023</v>
      </c>
      <c r="F1682" t="s">
        <v>12811</v>
      </c>
      <c r="G1682" s="200" t="s">
        <v>13024</v>
      </c>
      <c r="H1682" t="s">
        <v>12812</v>
      </c>
      <c r="K1682" s="200" t="s">
        <v>13042</v>
      </c>
      <c r="L1682" t="s">
        <v>12787</v>
      </c>
      <c r="M1682" s="1" t="s">
        <v>12788</v>
      </c>
      <c r="N1682" s="423"/>
      <c r="O1682" s="1"/>
      <c r="P1682" s="3"/>
      <c r="Q1682" s="3"/>
      <c r="R1682" s="3"/>
      <c r="S1682" s="3"/>
      <c r="V1682" t="s">
        <v>12802</v>
      </c>
      <c r="AF1682" s="64"/>
      <c r="AH1682" s="4"/>
      <c r="AI1682" s="4"/>
      <c r="AJ1682" s="4"/>
      <c r="AK1682" s="46"/>
      <c r="AL1682" s="46"/>
      <c r="AM1682" s="4"/>
    </row>
    <row r="1683" spans="1:42" customFormat="1" x14ac:dyDescent="0.3">
      <c r="A1683" s="386" t="s">
        <v>8317</v>
      </c>
      <c r="B1683" t="s">
        <v>8318</v>
      </c>
      <c r="C1683" s="200" t="s">
        <v>13022</v>
      </c>
      <c r="D1683" t="s">
        <v>6838</v>
      </c>
      <c r="E1683" s="200" t="s">
        <v>13023</v>
      </c>
      <c r="F1683" t="s">
        <v>12811</v>
      </c>
      <c r="G1683" s="200" t="s">
        <v>13024</v>
      </c>
      <c r="H1683" t="s">
        <v>12812</v>
      </c>
      <c r="K1683" s="200" t="s">
        <v>13043</v>
      </c>
      <c r="L1683" t="s">
        <v>12789</v>
      </c>
      <c r="M1683" s="1" t="s">
        <v>12790</v>
      </c>
      <c r="N1683" s="423"/>
      <c r="O1683" s="1"/>
      <c r="P1683" s="3"/>
      <c r="Q1683" s="3"/>
      <c r="R1683" s="3"/>
      <c r="S1683" s="3"/>
      <c r="V1683" t="s">
        <v>12803</v>
      </c>
      <c r="AF1683" s="64"/>
      <c r="AH1683" s="4"/>
      <c r="AI1683" s="4"/>
      <c r="AJ1683" s="4"/>
      <c r="AK1683" s="46"/>
      <c r="AL1683" s="46"/>
      <c r="AM1683" s="4"/>
    </row>
    <row r="1684" spans="1:42" customFormat="1" x14ac:dyDescent="0.3">
      <c r="A1684" s="386" t="s">
        <v>8317</v>
      </c>
      <c r="B1684" t="s">
        <v>8318</v>
      </c>
      <c r="C1684" s="200" t="s">
        <v>13022</v>
      </c>
      <c r="D1684" t="s">
        <v>6838</v>
      </c>
      <c r="E1684" s="200" t="s">
        <v>13023</v>
      </c>
      <c r="F1684" t="s">
        <v>12811</v>
      </c>
      <c r="G1684" s="200" t="s">
        <v>13024</v>
      </c>
      <c r="H1684" t="s">
        <v>12812</v>
      </c>
      <c r="K1684" s="200" t="s">
        <v>13044</v>
      </c>
      <c r="L1684" t="s">
        <v>12791</v>
      </c>
      <c r="M1684" s="1" t="s">
        <v>12807</v>
      </c>
      <c r="N1684" s="423"/>
      <c r="O1684" s="1"/>
      <c r="P1684" s="3"/>
      <c r="Q1684" s="3"/>
      <c r="R1684" s="3"/>
      <c r="S1684" s="3"/>
      <c r="V1684" t="s">
        <v>12804</v>
      </c>
      <c r="AF1684" s="64"/>
      <c r="AH1684" s="4"/>
      <c r="AI1684" s="4"/>
      <c r="AJ1684" s="4"/>
      <c r="AK1684" s="46"/>
      <c r="AL1684" s="46"/>
      <c r="AM1684" s="4"/>
    </row>
    <row r="1685" spans="1:42" s="293" customFormat="1" x14ac:dyDescent="0.3">
      <c r="A1685" s="50" t="s">
        <v>1453</v>
      </c>
      <c r="B1685" s="51" t="s">
        <v>2496</v>
      </c>
      <c r="C1685" s="50" t="s">
        <v>2497</v>
      </c>
      <c r="D1685" s="51" t="s">
        <v>1491</v>
      </c>
      <c r="E1685" s="50" t="s">
        <v>2497</v>
      </c>
      <c r="F1685" s="51" t="s">
        <v>1493</v>
      </c>
      <c r="G1685" s="50" t="s">
        <v>2497</v>
      </c>
      <c r="H1685" s="51" t="s">
        <v>1491</v>
      </c>
      <c r="I1685" s="51"/>
      <c r="J1685" s="51"/>
      <c r="K1685" s="50" t="s">
        <v>2497</v>
      </c>
      <c r="L1685" s="51" t="s">
        <v>1491</v>
      </c>
      <c r="M1685" s="420" t="s">
        <v>271</v>
      </c>
      <c r="N1685" s="420" t="s">
        <v>271</v>
      </c>
      <c r="O1685" s="420" t="s">
        <v>271</v>
      </c>
      <c r="P1685" s="60" t="s">
        <v>271</v>
      </c>
      <c r="Q1685" s="60" t="s">
        <v>271</v>
      </c>
      <c r="R1685" s="60" t="s">
        <v>271</v>
      </c>
      <c r="S1685" s="60" t="s">
        <v>271</v>
      </c>
      <c r="T1685" s="60" t="s">
        <v>271</v>
      </c>
      <c r="U1685" s="60" t="s">
        <v>271</v>
      </c>
      <c r="V1685" s="51" t="s">
        <v>1489</v>
      </c>
      <c r="W1685" s="291"/>
      <c r="X1685" s="291"/>
      <c r="Y1685" s="291"/>
      <c r="Z1685" s="291"/>
      <c r="AA1685" s="291"/>
      <c r="AB1685" s="291"/>
      <c r="AC1685" s="291"/>
      <c r="AD1685" s="291"/>
      <c r="AE1685" s="292"/>
      <c r="AF1685" s="56"/>
      <c r="AG1685" s="292"/>
      <c r="AH1685" s="56"/>
      <c r="AI1685" s="56"/>
      <c r="AJ1685" s="56"/>
      <c r="AK1685" s="57">
        <v>87.5</v>
      </c>
      <c r="AL1685" s="57">
        <v>87.5</v>
      </c>
      <c r="AM1685" s="147">
        <f t="shared" ref="AM1685:AM1748" si="67">SUM(AK1685:AL1685)</f>
        <v>175</v>
      </c>
      <c r="AN1685" s="52"/>
      <c r="AO1685" s="52"/>
      <c r="AP1685" s="51"/>
    </row>
    <row r="1686" spans="1:42" s="293" customFormat="1" x14ac:dyDescent="0.3">
      <c r="A1686" s="50" t="s">
        <v>1453</v>
      </c>
      <c r="B1686" s="51" t="s">
        <v>2496</v>
      </c>
      <c r="C1686" s="50" t="s">
        <v>2497</v>
      </c>
      <c r="D1686" s="51" t="s">
        <v>1491</v>
      </c>
      <c r="E1686" s="50" t="s">
        <v>2497</v>
      </c>
      <c r="F1686" s="51" t="s">
        <v>1493</v>
      </c>
      <c r="G1686" s="50" t="s">
        <v>2497</v>
      </c>
      <c r="H1686" s="51" t="s">
        <v>1491</v>
      </c>
      <c r="I1686" s="51"/>
      <c r="J1686" s="51"/>
      <c r="K1686" s="50" t="s">
        <v>2497</v>
      </c>
      <c r="L1686" s="51" t="s">
        <v>1491</v>
      </c>
      <c r="M1686" s="420" t="s">
        <v>271</v>
      </c>
      <c r="N1686" s="420" t="s">
        <v>271</v>
      </c>
      <c r="O1686" s="420" t="s">
        <v>271</v>
      </c>
      <c r="P1686" s="60" t="s">
        <v>271</v>
      </c>
      <c r="Q1686" s="60" t="s">
        <v>271</v>
      </c>
      <c r="R1686" s="60" t="s">
        <v>271</v>
      </c>
      <c r="S1686" s="60" t="s">
        <v>271</v>
      </c>
      <c r="T1686" s="60" t="s">
        <v>271</v>
      </c>
      <c r="U1686" s="60" t="s">
        <v>271</v>
      </c>
      <c r="V1686" s="51" t="s">
        <v>1490</v>
      </c>
      <c r="W1686" s="291"/>
      <c r="X1686" s="291"/>
      <c r="Y1686" s="291"/>
      <c r="Z1686" s="291"/>
      <c r="AA1686" s="291"/>
      <c r="AB1686" s="291"/>
      <c r="AC1686" s="291"/>
      <c r="AD1686" s="291"/>
      <c r="AE1686" s="292"/>
      <c r="AF1686" s="56"/>
      <c r="AG1686" s="292"/>
      <c r="AH1686" s="56"/>
      <c r="AI1686" s="56"/>
      <c r="AJ1686" s="56"/>
      <c r="AK1686" s="57">
        <v>35</v>
      </c>
      <c r="AL1686" s="57">
        <v>35</v>
      </c>
      <c r="AM1686" s="147">
        <f t="shared" si="67"/>
        <v>70</v>
      </c>
      <c r="AN1686" s="52"/>
      <c r="AO1686" s="52"/>
      <c r="AP1686" s="51"/>
    </row>
    <row r="1687" spans="1:42" s="293" customFormat="1" x14ac:dyDescent="0.3">
      <c r="A1687" s="50" t="s">
        <v>1453</v>
      </c>
      <c r="B1687" s="51" t="s">
        <v>2496</v>
      </c>
      <c r="C1687" s="50" t="s">
        <v>2497</v>
      </c>
      <c r="D1687" s="51" t="s">
        <v>1491</v>
      </c>
      <c r="E1687" s="50" t="s">
        <v>2497</v>
      </c>
      <c r="F1687" s="51" t="s">
        <v>1493</v>
      </c>
      <c r="G1687" s="50" t="s">
        <v>2497</v>
      </c>
      <c r="H1687" s="51" t="s">
        <v>1491</v>
      </c>
      <c r="I1687" s="51"/>
      <c r="J1687" s="51"/>
      <c r="K1687" s="50" t="s">
        <v>2497</v>
      </c>
      <c r="L1687" s="51" t="s">
        <v>1491</v>
      </c>
      <c r="M1687" s="420" t="s">
        <v>271</v>
      </c>
      <c r="N1687" s="420" t="s">
        <v>271</v>
      </c>
      <c r="O1687" s="420" t="s">
        <v>271</v>
      </c>
      <c r="P1687" s="60" t="s">
        <v>271</v>
      </c>
      <c r="Q1687" s="60" t="s">
        <v>271</v>
      </c>
      <c r="R1687" s="60" t="s">
        <v>271</v>
      </c>
      <c r="S1687" s="60" t="s">
        <v>271</v>
      </c>
      <c r="T1687" s="60" t="s">
        <v>271</v>
      </c>
      <c r="U1687" s="60" t="s">
        <v>271</v>
      </c>
      <c r="V1687" s="51" t="s">
        <v>1495</v>
      </c>
      <c r="W1687" s="291"/>
      <c r="X1687" s="291"/>
      <c r="Y1687" s="291"/>
      <c r="Z1687" s="291"/>
      <c r="AA1687" s="291"/>
      <c r="AB1687" s="291"/>
      <c r="AC1687" s="291"/>
      <c r="AD1687" s="291"/>
      <c r="AE1687" s="292"/>
      <c r="AF1687" s="56"/>
      <c r="AG1687" s="292"/>
      <c r="AH1687" s="56"/>
      <c r="AI1687" s="56"/>
      <c r="AJ1687" s="56"/>
      <c r="AK1687" s="57">
        <v>1731.4212424660777</v>
      </c>
      <c r="AL1687" s="57">
        <v>886.50256768000008</v>
      </c>
      <c r="AM1687" s="147">
        <f t="shared" si="67"/>
        <v>2617.9238101460778</v>
      </c>
      <c r="AN1687" s="52"/>
      <c r="AO1687" s="52"/>
      <c r="AP1687" s="51"/>
    </row>
    <row r="1688" spans="1:42" s="184" customFormat="1" x14ac:dyDescent="0.3">
      <c r="A1688" s="183" t="s">
        <v>1453</v>
      </c>
      <c r="B1688" s="184" t="s">
        <v>2496</v>
      </c>
      <c r="C1688" s="183" t="s">
        <v>2498</v>
      </c>
      <c r="D1688" s="184" t="s">
        <v>2499</v>
      </c>
      <c r="E1688" s="183" t="s">
        <v>2500</v>
      </c>
      <c r="F1688" s="184" t="s">
        <v>2501</v>
      </c>
      <c r="G1688" s="183" t="s">
        <v>2502</v>
      </c>
      <c r="H1688" s="184" t="s">
        <v>2503</v>
      </c>
      <c r="K1688" s="183" t="s">
        <v>2504</v>
      </c>
      <c r="L1688" s="184" t="s">
        <v>2505</v>
      </c>
      <c r="M1688" s="168" t="s">
        <v>2506</v>
      </c>
      <c r="N1688" s="446">
        <v>1</v>
      </c>
      <c r="O1688" s="446" t="s">
        <v>271</v>
      </c>
      <c r="P1688" s="185" t="s">
        <v>271</v>
      </c>
      <c r="Q1688" s="185" t="s">
        <v>271</v>
      </c>
      <c r="R1688" s="185">
        <v>1</v>
      </c>
      <c r="S1688" s="185">
        <v>1</v>
      </c>
      <c r="T1688" s="184" t="s">
        <v>2507</v>
      </c>
      <c r="U1688" s="283" t="e">
        <v>#N/A</v>
      </c>
      <c r="V1688" s="184" t="s">
        <v>2508</v>
      </c>
      <c r="W1688" s="184">
        <v>1</v>
      </c>
      <c r="X1688" s="184">
        <v>0</v>
      </c>
      <c r="Y1688" s="184">
        <v>1</v>
      </c>
      <c r="Z1688" s="184">
        <v>0</v>
      </c>
      <c r="AA1688" s="184">
        <v>0</v>
      </c>
      <c r="AB1688" s="184">
        <v>1</v>
      </c>
      <c r="AC1688" s="316">
        <v>1</v>
      </c>
      <c r="AD1688" s="316">
        <v>1</v>
      </c>
      <c r="AE1688" s="302">
        <f t="shared" ref="AE1688:AE1751" si="68">SUM(W1688:AD1688)/8</f>
        <v>0.625</v>
      </c>
      <c r="AF1688" s="186">
        <v>1</v>
      </c>
      <c r="AG1688" s="17">
        <v>1</v>
      </c>
      <c r="AH1688" s="186" t="s">
        <v>271</v>
      </c>
      <c r="AI1688" s="186" t="s">
        <v>271</v>
      </c>
      <c r="AJ1688" s="186" t="s">
        <v>271</v>
      </c>
      <c r="AK1688" s="187">
        <v>0</v>
      </c>
      <c r="AL1688" s="187">
        <v>150</v>
      </c>
      <c r="AM1688" s="147">
        <f t="shared" si="67"/>
        <v>150</v>
      </c>
      <c r="AN1688" s="184" t="s">
        <v>2509</v>
      </c>
      <c r="AO1688" s="168" t="s">
        <v>2510</v>
      </c>
      <c r="AP1688" s="184" t="s">
        <v>63</v>
      </c>
    </row>
    <row r="1689" spans="1:42" s="184" customFormat="1" x14ac:dyDescent="0.3">
      <c r="A1689" s="183" t="s">
        <v>1453</v>
      </c>
      <c r="B1689" s="184" t="s">
        <v>2496</v>
      </c>
      <c r="C1689" s="183" t="s">
        <v>2498</v>
      </c>
      <c r="D1689" s="184" t="s">
        <v>2499</v>
      </c>
      <c r="E1689" s="183" t="s">
        <v>2500</v>
      </c>
      <c r="F1689" s="184" t="s">
        <v>2501</v>
      </c>
      <c r="G1689" s="183" t="s">
        <v>2502</v>
      </c>
      <c r="H1689" s="184" t="s">
        <v>2503</v>
      </c>
      <c r="J1689" s="188"/>
      <c r="K1689" s="183" t="s">
        <v>2504</v>
      </c>
      <c r="L1689" s="184" t="s">
        <v>2505</v>
      </c>
      <c r="M1689" s="168" t="s">
        <v>2511</v>
      </c>
      <c r="N1689" s="168">
        <v>0</v>
      </c>
      <c r="O1689" s="168" t="s">
        <v>271</v>
      </c>
      <c r="P1689" s="189" t="s">
        <v>271</v>
      </c>
      <c r="Q1689" s="189">
        <v>1</v>
      </c>
      <c r="R1689" s="189">
        <v>1</v>
      </c>
      <c r="S1689" s="189">
        <v>1</v>
      </c>
      <c r="T1689" s="184" t="s">
        <v>2512</v>
      </c>
      <c r="U1689" s="283" t="e">
        <v>#N/A</v>
      </c>
      <c r="V1689" s="184" t="s">
        <v>2513</v>
      </c>
      <c r="W1689" s="184">
        <v>1</v>
      </c>
      <c r="X1689" s="184">
        <v>1</v>
      </c>
      <c r="Y1689" s="184">
        <v>1</v>
      </c>
      <c r="Z1689" s="184">
        <v>1</v>
      </c>
      <c r="AA1689" s="184">
        <v>1</v>
      </c>
      <c r="AB1689" s="184">
        <v>1</v>
      </c>
      <c r="AC1689" s="316">
        <v>1</v>
      </c>
      <c r="AD1689" s="316">
        <v>1</v>
      </c>
      <c r="AE1689" s="302">
        <f t="shared" si="68"/>
        <v>1</v>
      </c>
      <c r="AF1689" s="186">
        <v>0</v>
      </c>
      <c r="AG1689" s="17">
        <v>0</v>
      </c>
      <c r="AH1689" s="186" t="s">
        <v>271</v>
      </c>
      <c r="AI1689" s="186" t="s">
        <v>271</v>
      </c>
      <c r="AJ1689" s="186">
        <v>0</v>
      </c>
      <c r="AK1689" s="187">
        <v>60</v>
      </c>
      <c r="AL1689" s="187">
        <v>90</v>
      </c>
      <c r="AM1689" s="147">
        <f t="shared" si="67"/>
        <v>150</v>
      </c>
      <c r="AN1689" s="184" t="s">
        <v>2514</v>
      </c>
      <c r="AO1689" s="168" t="s">
        <v>2515</v>
      </c>
      <c r="AP1689" s="184" t="s">
        <v>2516</v>
      </c>
    </row>
    <row r="1690" spans="1:42" s="184" customFormat="1" x14ac:dyDescent="0.3">
      <c r="A1690" s="183" t="s">
        <v>1453</v>
      </c>
      <c r="B1690" s="184" t="s">
        <v>2496</v>
      </c>
      <c r="C1690" s="183" t="s">
        <v>2498</v>
      </c>
      <c r="D1690" s="184" t="s">
        <v>2499</v>
      </c>
      <c r="E1690" s="183" t="s">
        <v>2500</v>
      </c>
      <c r="F1690" s="184" t="s">
        <v>2501</v>
      </c>
      <c r="G1690" s="183" t="s">
        <v>2502</v>
      </c>
      <c r="H1690" s="184" t="s">
        <v>2503</v>
      </c>
      <c r="J1690" s="188"/>
      <c r="K1690" s="183" t="s">
        <v>2504</v>
      </c>
      <c r="L1690" s="184" t="s">
        <v>2505</v>
      </c>
      <c r="M1690" s="168" t="s">
        <v>2517</v>
      </c>
      <c r="N1690" s="168">
        <v>67.5</v>
      </c>
      <c r="O1690" s="168">
        <v>74</v>
      </c>
      <c r="P1690" s="189">
        <v>80.5</v>
      </c>
      <c r="Q1690" s="189">
        <v>87</v>
      </c>
      <c r="R1690" s="189">
        <v>93.5</v>
      </c>
      <c r="S1690" s="189">
        <v>100</v>
      </c>
      <c r="T1690" s="184" t="s">
        <v>2518</v>
      </c>
      <c r="U1690" s="283" t="e">
        <v>#N/A</v>
      </c>
      <c r="V1690" s="184" t="s">
        <v>2519</v>
      </c>
      <c r="W1690" s="184">
        <v>1</v>
      </c>
      <c r="X1690" s="184">
        <v>1</v>
      </c>
      <c r="Y1690" s="184">
        <v>1</v>
      </c>
      <c r="Z1690" s="184">
        <v>1</v>
      </c>
      <c r="AA1690" s="184">
        <v>1</v>
      </c>
      <c r="AB1690" s="184">
        <v>0</v>
      </c>
      <c r="AC1690" s="316">
        <v>0</v>
      </c>
      <c r="AD1690" s="316">
        <v>1</v>
      </c>
      <c r="AE1690" s="302">
        <f t="shared" si="68"/>
        <v>0.75</v>
      </c>
      <c r="AF1690" s="186">
        <v>0</v>
      </c>
      <c r="AG1690" s="17">
        <v>1</v>
      </c>
      <c r="AH1690" s="186">
        <v>149.6</v>
      </c>
      <c r="AI1690" s="186">
        <v>150</v>
      </c>
      <c r="AJ1690" s="186">
        <v>150</v>
      </c>
      <c r="AK1690" s="187">
        <v>0</v>
      </c>
      <c r="AL1690" s="187">
        <v>0</v>
      </c>
      <c r="AM1690" s="147">
        <f t="shared" si="67"/>
        <v>0</v>
      </c>
      <c r="AN1690" s="184" t="s">
        <v>2520</v>
      </c>
      <c r="AO1690" s="168" t="s">
        <v>2510</v>
      </c>
      <c r="AP1690" s="184" t="s">
        <v>63</v>
      </c>
    </row>
    <row r="1691" spans="1:42" s="184" customFormat="1" x14ac:dyDescent="0.3">
      <c r="A1691" s="183" t="s">
        <v>1453</v>
      </c>
      <c r="B1691" s="184" t="s">
        <v>2496</v>
      </c>
      <c r="C1691" s="183" t="s">
        <v>2498</v>
      </c>
      <c r="D1691" s="184" t="s">
        <v>2499</v>
      </c>
      <c r="E1691" s="183" t="s">
        <v>2500</v>
      </c>
      <c r="F1691" s="184" t="s">
        <v>2501</v>
      </c>
      <c r="G1691" s="183" t="s">
        <v>2502</v>
      </c>
      <c r="H1691" s="184" t="s">
        <v>2503</v>
      </c>
      <c r="J1691" s="188"/>
      <c r="K1691" s="183" t="s">
        <v>2504</v>
      </c>
      <c r="L1691" s="184" t="s">
        <v>2505</v>
      </c>
      <c r="M1691" s="168" t="s">
        <v>2521</v>
      </c>
      <c r="N1691" s="168" t="s">
        <v>271</v>
      </c>
      <c r="O1691" s="168" t="s">
        <v>271</v>
      </c>
      <c r="P1691" s="189">
        <v>14</v>
      </c>
      <c r="Q1691" s="189">
        <v>14</v>
      </c>
      <c r="R1691" s="189">
        <v>14</v>
      </c>
      <c r="S1691" s="189">
        <v>14</v>
      </c>
      <c r="T1691" s="184" t="s">
        <v>1035</v>
      </c>
      <c r="U1691" s="283" t="s">
        <v>1037</v>
      </c>
      <c r="V1691" s="184" t="s">
        <v>2522</v>
      </c>
      <c r="W1691" s="184">
        <v>1</v>
      </c>
      <c r="X1691" s="184">
        <v>1</v>
      </c>
      <c r="Y1691" s="184">
        <v>1</v>
      </c>
      <c r="Z1691" s="184">
        <v>1</v>
      </c>
      <c r="AA1691" s="184">
        <v>0</v>
      </c>
      <c r="AB1691" s="184">
        <v>1</v>
      </c>
      <c r="AC1691" s="316">
        <v>0</v>
      </c>
      <c r="AD1691" s="316">
        <v>1</v>
      </c>
      <c r="AE1691" s="302">
        <f t="shared" si="68"/>
        <v>0.75</v>
      </c>
      <c r="AF1691" s="186">
        <v>0</v>
      </c>
      <c r="AG1691" s="17">
        <v>0</v>
      </c>
      <c r="AH1691" s="186" t="s">
        <v>271</v>
      </c>
      <c r="AI1691" s="186">
        <v>8.26</v>
      </c>
      <c r="AJ1691" s="186">
        <v>8.26</v>
      </c>
      <c r="AK1691" s="187">
        <v>0</v>
      </c>
      <c r="AL1691" s="187">
        <v>8.26</v>
      </c>
      <c r="AM1691" s="147">
        <f t="shared" si="67"/>
        <v>8.26</v>
      </c>
      <c r="AN1691" s="184" t="s">
        <v>1035</v>
      </c>
      <c r="AO1691" s="168" t="s">
        <v>1037</v>
      </c>
      <c r="AP1691" s="184" t="s">
        <v>119</v>
      </c>
    </row>
    <row r="1692" spans="1:42" s="184" customFormat="1" x14ac:dyDescent="0.3">
      <c r="A1692" s="183" t="s">
        <v>1453</v>
      </c>
      <c r="B1692" s="184" t="s">
        <v>2496</v>
      </c>
      <c r="C1692" s="183" t="s">
        <v>2498</v>
      </c>
      <c r="D1692" s="184" t="s">
        <v>2499</v>
      </c>
      <c r="E1692" s="183" t="s">
        <v>2500</v>
      </c>
      <c r="F1692" s="184" t="s">
        <v>2501</v>
      </c>
      <c r="G1692" s="183" t="s">
        <v>2502</v>
      </c>
      <c r="H1692" s="184" t="s">
        <v>2503</v>
      </c>
      <c r="J1692" s="188"/>
      <c r="K1692" s="183" t="s">
        <v>2504</v>
      </c>
      <c r="L1692" s="184" t="s">
        <v>2505</v>
      </c>
      <c r="M1692" s="168" t="s">
        <v>2523</v>
      </c>
      <c r="N1692" s="168" t="s">
        <v>271</v>
      </c>
      <c r="O1692" s="168" t="s">
        <v>271</v>
      </c>
      <c r="P1692" s="189"/>
      <c r="Q1692" s="189">
        <v>1</v>
      </c>
      <c r="R1692" s="189">
        <v>2</v>
      </c>
      <c r="S1692" s="189">
        <v>2</v>
      </c>
      <c r="T1692" s="184" t="s">
        <v>2524</v>
      </c>
      <c r="U1692" s="283" t="e">
        <v>#N/A</v>
      </c>
      <c r="V1692" s="184" t="s">
        <v>2525</v>
      </c>
      <c r="W1692" s="184">
        <v>1</v>
      </c>
      <c r="X1692" s="184">
        <v>1</v>
      </c>
      <c r="Y1692" s="184">
        <v>1</v>
      </c>
      <c r="Z1692" s="184">
        <v>1</v>
      </c>
      <c r="AA1692" s="184">
        <v>1</v>
      </c>
      <c r="AB1692" s="184">
        <v>1</v>
      </c>
      <c r="AC1692" s="316">
        <v>1</v>
      </c>
      <c r="AD1692" s="316">
        <v>1</v>
      </c>
      <c r="AE1692" s="302">
        <f t="shared" si="68"/>
        <v>1</v>
      </c>
      <c r="AF1692" s="186">
        <v>0</v>
      </c>
      <c r="AG1692" s="17">
        <v>0</v>
      </c>
      <c r="AH1692" s="186" t="s">
        <v>2526</v>
      </c>
      <c r="AI1692" s="186" t="s">
        <v>2526</v>
      </c>
      <c r="AJ1692" s="186">
        <v>10</v>
      </c>
      <c r="AK1692" s="187">
        <v>15</v>
      </c>
      <c r="AL1692" s="187">
        <v>40</v>
      </c>
      <c r="AM1692" s="147">
        <f t="shared" si="67"/>
        <v>55</v>
      </c>
      <c r="AN1692" s="184" t="s">
        <v>63</v>
      </c>
      <c r="AO1692" s="168" t="s">
        <v>2510</v>
      </c>
      <c r="AP1692" s="184" t="s">
        <v>119</v>
      </c>
    </row>
    <row r="1693" spans="1:42" s="184" customFormat="1" x14ac:dyDescent="0.3">
      <c r="A1693" s="183" t="s">
        <v>1453</v>
      </c>
      <c r="B1693" s="184" t="s">
        <v>2496</v>
      </c>
      <c r="C1693" s="183" t="s">
        <v>2498</v>
      </c>
      <c r="D1693" s="184" t="s">
        <v>2499</v>
      </c>
      <c r="E1693" s="183" t="s">
        <v>2500</v>
      </c>
      <c r="F1693" s="184" t="s">
        <v>2501</v>
      </c>
      <c r="G1693" s="183" t="s">
        <v>2502</v>
      </c>
      <c r="H1693" s="184" t="s">
        <v>2503</v>
      </c>
      <c r="J1693" s="188"/>
      <c r="K1693" s="183" t="s">
        <v>2504</v>
      </c>
      <c r="L1693" s="184" t="s">
        <v>2505</v>
      </c>
      <c r="M1693" s="168" t="s">
        <v>2527</v>
      </c>
      <c r="N1693" s="168">
        <v>900</v>
      </c>
      <c r="O1693" s="168">
        <v>4</v>
      </c>
      <c r="P1693" s="189">
        <v>7</v>
      </c>
      <c r="Q1693" s="189">
        <v>2</v>
      </c>
      <c r="R1693" s="189">
        <v>2</v>
      </c>
      <c r="S1693" s="189">
        <v>5</v>
      </c>
      <c r="T1693" s="184" t="s">
        <v>2528</v>
      </c>
      <c r="U1693" s="283" t="s">
        <v>2530</v>
      </c>
      <c r="V1693" s="184" t="s">
        <v>2529</v>
      </c>
      <c r="W1693" s="184">
        <v>1</v>
      </c>
      <c r="X1693" s="184">
        <v>1</v>
      </c>
      <c r="Y1693" s="184">
        <v>1</v>
      </c>
      <c r="Z1693" s="184">
        <v>1</v>
      </c>
      <c r="AA1693" s="184">
        <v>1</v>
      </c>
      <c r="AB1693" s="184">
        <v>1</v>
      </c>
      <c r="AC1693" s="316">
        <v>1</v>
      </c>
      <c r="AD1693" s="316">
        <v>1</v>
      </c>
      <c r="AE1693" s="302">
        <f t="shared" si="68"/>
        <v>1</v>
      </c>
      <c r="AF1693" s="186"/>
      <c r="AG1693" s="17">
        <v>0</v>
      </c>
      <c r="AH1693" s="186">
        <v>6.45</v>
      </c>
      <c r="AI1693" s="186">
        <v>20</v>
      </c>
      <c r="AJ1693" s="186">
        <v>7</v>
      </c>
      <c r="AK1693" s="187">
        <v>25</v>
      </c>
      <c r="AL1693" s="187">
        <v>17</v>
      </c>
      <c r="AM1693" s="147">
        <f t="shared" si="67"/>
        <v>42</v>
      </c>
      <c r="AN1693" s="184" t="s">
        <v>2528</v>
      </c>
      <c r="AO1693" s="168" t="s">
        <v>2530</v>
      </c>
      <c r="AP1693" s="184" t="s">
        <v>119</v>
      </c>
    </row>
    <row r="1694" spans="1:42" s="184" customFormat="1" x14ac:dyDescent="0.3">
      <c r="A1694" s="183" t="s">
        <v>1453</v>
      </c>
      <c r="B1694" s="184" t="s">
        <v>2496</v>
      </c>
      <c r="C1694" s="183" t="s">
        <v>2498</v>
      </c>
      <c r="D1694" s="184" t="s">
        <v>2499</v>
      </c>
      <c r="E1694" s="183" t="s">
        <v>2500</v>
      </c>
      <c r="F1694" s="184" t="s">
        <v>2501</v>
      </c>
      <c r="G1694" s="183" t="s">
        <v>2502</v>
      </c>
      <c r="H1694" s="184" t="s">
        <v>2503</v>
      </c>
      <c r="J1694" s="188"/>
      <c r="K1694" s="183" t="s">
        <v>2504</v>
      </c>
      <c r="L1694" s="184" t="s">
        <v>2505</v>
      </c>
      <c r="M1694" s="168" t="s">
        <v>2531</v>
      </c>
      <c r="N1694" s="168"/>
      <c r="O1694" s="168" t="s">
        <v>271</v>
      </c>
      <c r="P1694" s="189">
        <v>3</v>
      </c>
      <c r="Q1694" s="189">
        <v>3</v>
      </c>
      <c r="R1694" s="189">
        <v>3</v>
      </c>
      <c r="S1694" s="189">
        <v>3</v>
      </c>
      <c r="T1694" s="184" t="s">
        <v>2528</v>
      </c>
      <c r="U1694" s="283" t="s">
        <v>2530</v>
      </c>
      <c r="V1694" s="184" t="s">
        <v>2532</v>
      </c>
      <c r="W1694" s="184">
        <v>1</v>
      </c>
      <c r="X1694" s="184">
        <v>1</v>
      </c>
      <c r="Y1694" s="184">
        <v>1</v>
      </c>
      <c r="Z1694" s="184">
        <v>1</v>
      </c>
      <c r="AA1694" s="184">
        <v>1</v>
      </c>
      <c r="AB1694" s="184">
        <v>1</v>
      </c>
      <c r="AC1694" s="316">
        <v>1</v>
      </c>
      <c r="AD1694" s="316">
        <v>1</v>
      </c>
      <c r="AE1694" s="302">
        <f t="shared" si="68"/>
        <v>1</v>
      </c>
      <c r="AF1694" s="186"/>
      <c r="AG1694" s="17">
        <v>0</v>
      </c>
      <c r="AH1694" s="186" t="s">
        <v>2526</v>
      </c>
      <c r="AI1694" s="186">
        <v>5.7</v>
      </c>
      <c r="AJ1694" s="186">
        <v>17.399999999999999</v>
      </c>
      <c r="AK1694" s="187">
        <v>23.4</v>
      </c>
      <c r="AL1694" s="187">
        <v>12</v>
      </c>
      <c r="AM1694" s="147">
        <f t="shared" si="67"/>
        <v>35.4</v>
      </c>
      <c r="AN1694" s="184" t="s">
        <v>2528</v>
      </c>
      <c r="AO1694" s="168" t="s">
        <v>2530</v>
      </c>
      <c r="AP1694" s="184" t="s">
        <v>119</v>
      </c>
    </row>
    <row r="1695" spans="1:42" s="184" customFormat="1" x14ac:dyDescent="0.3">
      <c r="A1695" s="183" t="s">
        <v>1453</v>
      </c>
      <c r="B1695" s="184" t="s">
        <v>2496</v>
      </c>
      <c r="C1695" s="183" t="s">
        <v>2498</v>
      </c>
      <c r="D1695" s="184" t="s">
        <v>2499</v>
      </c>
      <c r="E1695" s="183" t="s">
        <v>2500</v>
      </c>
      <c r="F1695" s="184" t="s">
        <v>2501</v>
      </c>
      <c r="G1695" s="183" t="s">
        <v>2502</v>
      </c>
      <c r="H1695" s="184" t="s">
        <v>2503</v>
      </c>
      <c r="J1695" s="188"/>
      <c r="K1695" s="183" t="s">
        <v>2504</v>
      </c>
      <c r="L1695" s="184" t="s">
        <v>2505</v>
      </c>
      <c r="M1695" s="168" t="s">
        <v>2533</v>
      </c>
      <c r="N1695" s="168"/>
      <c r="O1695" s="168"/>
      <c r="P1695" s="189">
        <v>1</v>
      </c>
      <c r="Q1695" s="189">
        <v>3</v>
      </c>
      <c r="R1695" s="189">
        <v>3</v>
      </c>
      <c r="S1695" s="189">
        <v>1</v>
      </c>
      <c r="T1695" s="184" t="s">
        <v>63</v>
      </c>
      <c r="U1695" s="283" t="s">
        <v>2510</v>
      </c>
      <c r="V1695" s="184" t="s">
        <v>2534</v>
      </c>
      <c r="W1695" s="184">
        <v>1</v>
      </c>
      <c r="X1695" s="184">
        <v>0</v>
      </c>
      <c r="Y1695" s="184">
        <v>0</v>
      </c>
      <c r="Z1695" s="184">
        <v>1</v>
      </c>
      <c r="AA1695" s="184">
        <v>1</v>
      </c>
      <c r="AB1695" s="184">
        <v>1</v>
      </c>
      <c r="AC1695" s="316">
        <v>0</v>
      </c>
      <c r="AD1695" s="316">
        <v>0</v>
      </c>
      <c r="AE1695" s="302">
        <f t="shared" si="68"/>
        <v>0.5</v>
      </c>
      <c r="AF1695" s="186"/>
      <c r="AG1695" s="17">
        <v>0</v>
      </c>
      <c r="AH1695" s="186" t="s">
        <v>2526</v>
      </c>
      <c r="AI1695" s="186">
        <v>0</v>
      </c>
      <c r="AJ1695" s="186">
        <v>20</v>
      </c>
      <c r="AK1695" s="187">
        <v>0</v>
      </c>
      <c r="AL1695" s="187">
        <v>0</v>
      </c>
      <c r="AM1695" s="147">
        <f t="shared" si="67"/>
        <v>0</v>
      </c>
      <c r="AN1695" s="184" t="s">
        <v>2535</v>
      </c>
      <c r="AO1695" s="168" t="s">
        <v>2510</v>
      </c>
      <c r="AP1695" s="184" t="s">
        <v>2536</v>
      </c>
    </row>
    <row r="1696" spans="1:42" s="184" customFormat="1" x14ac:dyDescent="0.3">
      <c r="A1696" s="183" t="s">
        <v>1453</v>
      </c>
      <c r="B1696" s="184" t="s">
        <v>2496</v>
      </c>
      <c r="C1696" s="183" t="s">
        <v>2498</v>
      </c>
      <c r="D1696" s="184" t="s">
        <v>2499</v>
      </c>
      <c r="E1696" s="183" t="s">
        <v>2500</v>
      </c>
      <c r="F1696" s="184" t="s">
        <v>2501</v>
      </c>
      <c r="G1696" s="183" t="s">
        <v>2502</v>
      </c>
      <c r="H1696" s="184" t="s">
        <v>2503</v>
      </c>
      <c r="J1696" s="188"/>
      <c r="K1696" s="183" t="s">
        <v>2504</v>
      </c>
      <c r="L1696" s="184" t="s">
        <v>2505</v>
      </c>
      <c r="M1696" s="168" t="s">
        <v>2537</v>
      </c>
      <c r="N1696" s="168" t="s">
        <v>271</v>
      </c>
      <c r="O1696" s="168">
        <v>1</v>
      </c>
      <c r="P1696" s="189" t="s">
        <v>271</v>
      </c>
      <c r="Q1696" s="189" t="s">
        <v>271</v>
      </c>
      <c r="R1696" s="189" t="s">
        <v>271</v>
      </c>
      <c r="S1696" s="189">
        <v>1</v>
      </c>
      <c r="T1696" s="184" t="s">
        <v>63</v>
      </c>
      <c r="U1696" s="283" t="s">
        <v>2510</v>
      </c>
      <c r="V1696" s="184" t="s">
        <v>2538</v>
      </c>
      <c r="W1696" s="184">
        <v>1</v>
      </c>
      <c r="X1696" s="184">
        <v>1</v>
      </c>
      <c r="Y1696" s="184">
        <v>1</v>
      </c>
      <c r="Z1696" s="184">
        <v>1</v>
      </c>
      <c r="AA1696" s="184">
        <v>1</v>
      </c>
      <c r="AB1696" s="184">
        <v>1</v>
      </c>
      <c r="AC1696" s="316">
        <v>1</v>
      </c>
      <c r="AD1696" s="316">
        <v>1</v>
      </c>
      <c r="AE1696" s="302">
        <f t="shared" si="68"/>
        <v>1</v>
      </c>
      <c r="AF1696" s="186"/>
      <c r="AG1696" s="17">
        <v>0</v>
      </c>
      <c r="AH1696" s="186">
        <v>44.4</v>
      </c>
      <c r="AI1696" s="186">
        <v>0</v>
      </c>
      <c r="AJ1696" s="186">
        <v>0</v>
      </c>
      <c r="AK1696" s="187">
        <v>0</v>
      </c>
      <c r="AL1696" s="187">
        <v>0</v>
      </c>
      <c r="AM1696" s="147">
        <f t="shared" si="67"/>
        <v>0</v>
      </c>
      <c r="AN1696" s="184" t="s">
        <v>63</v>
      </c>
      <c r="AO1696" s="168" t="s">
        <v>2510</v>
      </c>
      <c r="AP1696" s="184" t="s">
        <v>2507</v>
      </c>
    </row>
    <row r="1697" spans="1:42" s="184" customFormat="1" x14ac:dyDescent="0.3">
      <c r="A1697" s="183" t="s">
        <v>1453</v>
      </c>
      <c r="B1697" s="184" t="s">
        <v>2496</v>
      </c>
      <c r="C1697" s="183" t="s">
        <v>2498</v>
      </c>
      <c r="D1697" s="184" t="s">
        <v>2499</v>
      </c>
      <c r="E1697" s="183" t="s">
        <v>2500</v>
      </c>
      <c r="F1697" s="184" t="s">
        <v>2501</v>
      </c>
      <c r="G1697" s="183" t="s">
        <v>2502</v>
      </c>
      <c r="H1697" s="184" t="s">
        <v>2503</v>
      </c>
      <c r="J1697" s="188"/>
      <c r="K1697" s="183" t="s">
        <v>2539</v>
      </c>
      <c r="L1697" s="184" t="s">
        <v>2540</v>
      </c>
      <c r="M1697" s="168" t="s">
        <v>2541</v>
      </c>
      <c r="N1697" s="168" t="s">
        <v>271</v>
      </c>
      <c r="O1697" s="168" t="s">
        <v>271</v>
      </c>
      <c r="P1697" s="189">
        <v>30</v>
      </c>
      <c r="Q1697" s="189">
        <v>30</v>
      </c>
      <c r="R1697" s="189" t="s">
        <v>271</v>
      </c>
      <c r="S1697" s="189" t="s">
        <v>271</v>
      </c>
      <c r="T1697" s="184" t="s">
        <v>63</v>
      </c>
      <c r="U1697" s="283" t="s">
        <v>2510</v>
      </c>
      <c r="V1697" s="184" t="s">
        <v>2542</v>
      </c>
      <c r="W1697" s="184">
        <v>1</v>
      </c>
      <c r="X1697" s="184">
        <v>1</v>
      </c>
      <c r="Y1697" s="184">
        <v>1</v>
      </c>
      <c r="Z1697" s="184">
        <v>1</v>
      </c>
      <c r="AA1697" s="184">
        <v>1</v>
      </c>
      <c r="AB1697" s="184">
        <v>1</v>
      </c>
      <c r="AC1697" s="316">
        <v>1</v>
      </c>
      <c r="AD1697" s="316">
        <v>1</v>
      </c>
      <c r="AE1697" s="302">
        <f t="shared" si="68"/>
        <v>1</v>
      </c>
      <c r="AF1697" s="186"/>
      <c r="AG1697" s="17">
        <v>0</v>
      </c>
      <c r="AH1697" s="186" t="s">
        <v>271</v>
      </c>
      <c r="AI1697" s="186">
        <v>0</v>
      </c>
      <c r="AJ1697" s="186">
        <v>3.2</v>
      </c>
      <c r="AK1697" s="187">
        <v>14.1</v>
      </c>
      <c r="AL1697" s="187" t="s">
        <v>271</v>
      </c>
      <c r="AM1697" s="147">
        <f t="shared" si="67"/>
        <v>14.1</v>
      </c>
      <c r="AN1697" s="184" t="s">
        <v>63</v>
      </c>
      <c r="AO1697" s="168" t="s">
        <v>2530</v>
      </c>
      <c r="AP1697" s="184" t="s">
        <v>2514</v>
      </c>
    </row>
    <row r="1698" spans="1:42" s="184" customFormat="1" x14ac:dyDescent="0.3">
      <c r="A1698" s="183" t="s">
        <v>1453</v>
      </c>
      <c r="B1698" s="184" t="s">
        <v>2496</v>
      </c>
      <c r="C1698" s="183" t="s">
        <v>2498</v>
      </c>
      <c r="D1698" s="184" t="s">
        <v>2499</v>
      </c>
      <c r="E1698" s="183" t="s">
        <v>2500</v>
      </c>
      <c r="F1698" s="184" t="s">
        <v>2501</v>
      </c>
      <c r="G1698" s="183" t="s">
        <v>2502</v>
      </c>
      <c r="H1698" s="184" t="s">
        <v>2503</v>
      </c>
      <c r="J1698" s="188"/>
      <c r="K1698" s="183" t="s">
        <v>2539</v>
      </c>
      <c r="L1698" s="184" t="s">
        <v>2540</v>
      </c>
      <c r="M1698" s="168" t="s">
        <v>2541</v>
      </c>
      <c r="N1698" s="168" t="s">
        <v>271</v>
      </c>
      <c r="O1698" s="168" t="s">
        <v>271</v>
      </c>
      <c r="P1698" s="189">
        <v>14</v>
      </c>
      <c r="Q1698" s="189">
        <v>18</v>
      </c>
      <c r="R1698" s="189" t="s">
        <v>271</v>
      </c>
      <c r="S1698" s="189" t="s">
        <v>271</v>
      </c>
      <c r="T1698" s="184" t="s">
        <v>2528</v>
      </c>
      <c r="U1698" s="283" t="s">
        <v>2530</v>
      </c>
      <c r="V1698" s="184" t="s">
        <v>2543</v>
      </c>
      <c r="W1698" s="184">
        <v>1</v>
      </c>
      <c r="X1698" s="184">
        <v>1</v>
      </c>
      <c r="Y1698" s="184">
        <v>1</v>
      </c>
      <c r="Z1698" s="184">
        <v>1</v>
      </c>
      <c r="AA1698" s="184">
        <v>1</v>
      </c>
      <c r="AB1698" s="184">
        <v>1</v>
      </c>
      <c r="AC1698" s="316">
        <v>1</v>
      </c>
      <c r="AD1698" s="316">
        <v>1</v>
      </c>
      <c r="AE1698" s="302">
        <f t="shared" si="68"/>
        <v>1</v>
      </c>
      <c r="AF1698" s="186"/>
      <c r="AG1698" s="17">
        <v>0</v>
      </c>
      <c r="AH1698" s="186">
        <v>60</v>
      </c>
      <c r="AI1698" s="186">
        <v>60</v>
      </c>
      <c r="AJ1698" s="186">
        <v>60</v>
      </c>
      <c r="AK1698" s="187">
        <v>60</v>
      </c>
      <c r="AL1698" s="187">
        <v>60</v>
      </c>
      <c r="AM1698" s="147">
        <f t="shared" si="67"/>
        <v>120</v>
      </c>
      <c r="AN1698" s="184" t="s">
        <v>2528</v>
      </c>
      <c r="AO1698" s="168" t="s">
        <v>2530</v>
      </c>
      <c r="AP1698" s="184" t="s">
        <v>2514</v>
      </c>
    </row>
    <row r="1699" spans="1:42" s="184" customFormat="1" x14ac:dyDescent="0.3">
      <c r="A1699" s="183" t="s">
        <v>1453</v>
      </c>
      <c r="B1699" s="184" t="s">
        <v>2496</v>
      </c>
      <c r="C1699" s="183" t="s">
        <v>2498</v>
      </c>
      <c r="D1699" s="184" t="s">
        <v>2499</v>
      </c>
      <c r="E1699" s="183" t="s">
        <v>2500</v>
      </c>
      <c r="F1699" s="184" t="s">
        <v>2501</v>
      </c>
      <c r="G1699" s="183" t="s">
        <v>2502</v>
      </c>
      <c r="H1699" s="184" t="s">
        <v>2503</v>
      </c>
      <c r="J1699" s="188"/>
      <c r="K1699" s="183" t="s">
        <v>2544</v>
      </c>
      <c r="L1699" s="184" t="s">
        <v>2545</v>
      </c>
      <c r="M1699" s="168" t="s">
        <v>2546</v>
      </c>
      <c r="N1699" s="168" t="s">
        <v>271</v>
      </c>
      <c r="O1699" s="168" t="s">
        <v>271</v>
      </c>
      <c r="P1699" s="189">
        <v>10</v>
      </c>
      <c r="Q1699" s="189">
        <v>10</v>
      </c>
      <c r="R1699" s="189">
        <v>10</v>
      </c>
      <c r="S1699" s="189">
        <v>18</v>
      </c>
      <c r="T1699" s="184" t="s">
        <v>2547</v>
      </c>
      <c r="U1699" s="283" t="e">
        <v>#N/A</v>
      </c>
      <c r="V1699" s="184" t="s">
        <v>2548</v>
      </c>
      <c r="W1699" s="184">
        <v>1</v>
      </c>
      <c r="X1699" s="184">
        <v>1</v>
      </c>
      <c r="Y1699" s="184">
        <v>1</v>
      </c>
      <c r="Z1699" s="184">
        <v>1</v>
      </c>
      <c r="AA1699" s="184">
        <v>1</v>
      </c>
      <c r="AB1699" s="184">
        <v>1</v>
      </c>
      <c r="AC1699" s="316">
        <v>1</v>
      </c>
      <c r="AD1699" s="316">
        <v>1</v>
      </c>
      <c r="AE1699" s="302">
        <f t="shared" si="68"/>
        <v>1</v>
      </c>
      <c r="AF1699" s="186"/>
      <c r="AG1699" s="17">
        <v>0</v>
      </c>
      <c r="AH1699" s="186" t="s">
        <v>2526</v>
      </c>
      <c r="AI1699" s="186">
        <v>0.5</v>
      </c>
      <c r="AJ1699" s="186">
        <v>0.5</v>
      </c>
      <c r="AK1699" s="187">
        <v>0.5</v>
      </c>
      <c r="AL1699" s="187">
        <v>0.5</v>
      </c>
      <c r="AM1699" s="147">
        <f t="shared" si="67"/>
        <v>1</v>
      </c>
      <c r="AN1699" s="184" t="s">
        <v>2528</v>
      </c>
      <c r="AO1699" s="168" t="s">
        <v>2530</v>
      </c>
      <c r="AP1699" s="184" t="s">
        <v>2549</v>
      </c>
    </row>
    <row r="1700" spans="1:42" s="184" customFormat="1" x14ac:dyDescent="0.3">
      <c r="A1700" s="183" t="s">
        <v>1453</v>
      </c>
      <c r="B1700" s="184" t="s">
        <v>2496</v>
      </c>
      <c r="C1700" s="183" t="s">
        <v>2498</v>
      </c>
      <c r="D1700" s="184" t="s">
        <v>2499</v>
      </c>
      <c r="E1700" s="183" t="s">
        <v>2500</v>
      </c>
      <c r="F1700" s="184" t="s">
        <v>2501</v>
      </c>
      <c r="G1700" s="183" t="s">
        <v>2502</v>
      </c>
      <c r="H1700" s="184" t="s">
        <v>2503</v>
      </c>
      <c r="J1700" s="188"/>
      <c r="K1700" s="183" t="s">
        <v>2544</v>
      </c>
      <c r="L1700" s="184" t="s">
        <v>2545</v>
      </c>
      <c r="M1700" s="168" t="s">
        <v>2550</v>
      </c>
      <c r="N1700" s="168" t="s">
        <v>271</v>
      </c>
      <c r="O1700" s="168" t="s">
        <v>271</v>
      </c>
      <c r="P1700" s="189"/>
      <c r="Q1700" s="189" t="s">
        <v>271</v>
      </c>
      <c r="R1700" s="189">
        <v>100</v>
      </c>
      <c r="S1700" s="189" t="s">
        <v>271</v>
      </c>
      <c r="T1700" s="184" t="s">
        <v>2547</v>
      </c>
      <c r="U1700" s="283" t="e">
        <v>#N/A</v>
      </c>
      <c r="V1700" s="184" t="s">
        <v>2551</v>
      </c>
      <c r="W1700" s="184">
        <v>1</v>
      </c>
      <c r="X1700" s="184">
        <v>1</v>
      </c>
      <c r="Y1700" s="184">
        <v>1</v>
      </c>
      <c r="Z1700" s="184">
        <v>1</v>
      </c>
      <c r="AA1700" s="184">
        <v>1</v>
      </c>
      <c r="AB1700" s="184">
        <v>1</v>
      </c>
      <c r="AC1700" s="316">
        <v>1</v>
      </c>
      <c r="AD1700" s="316">
        <v>1</v>
      </c>
      <c r="AE1700" s="302">
        <f t="shared" si="68"/>
        <v>1</v>
      </c>
      <c r="AF1700" s="186"/>
      <c r="AG1700" s="17">
        <v>0</v>
      </c>
      <c r="AH1700" s="186" t="s">
        <v>2526</v>
      </c>
      <c r="AI1700" s="186">
        <v>5</v>
      </c>
      <c r="AJ1700" s="186" t="s">
        <v>2526</v>
      </c>
      <c r="AK1700" s="187">
        <v>5</v>
      </c>
      <c r="AL1700" s="187" t="s">
        <v>2526</v>
      </c>
      <c r="AM1700" s="147">
        <f t="shared" si="67"/>
        <v>5</v>
      </c>
      <c r="AN1700" s="184" t="s">
        <v>2528</v>
      </c>
      <c r="AO1700" s="168" t="s">
        <v>2530</v>
      </c>
      <c r="AP1700" s="184" t="s">
        <v>2549</v>
      </c>
    </row>
    <row r="1701" spans="1:42" s="184" customFormat="1" x14ac:dyDescent="0.3">
      <c r="A1701" s="183" t="s">
        <v>1453</v>
      </c>
      <c r="B1701" s="184" t="s">
        <v>2496</v>
      </c>
      <c r="C1701" s="183" t="s">
        <v>2498</v>
      </c>
      <c r="D1701" s="184" t="s">
        <v>2499</v>
      </c>
      <c r="E1701" s="183" t="s">
        <v>2500</v>
      </c>
      <c r="F1701" s="184" t="s">
        <v>2501</v>
      </c>
      <c r="G1701" s="183" t="s">
        <v>2502</v>
      </c>
      <c r="H1701" s="184" t="s">
        <v>2503</v>
      </c>
      <c r="J1701" s="188"/>
      <c r="K1701" s="183" t="s">
        <v>2552</v>
      </c>
      <c r="L1701" s="184" t="s">
        <v>2553</v>
      </c>
      <c r="M1701" s="168" t="s">
        <v>2554</v>
      </c>
      <c r="N1701" s="168" t="s">
        <v>271</v>
      </c>
      <c r="O1701" s="168">
        <v>0</v>
      </c>
      <c r="P1701" s="189">
        <v>50</v>
      </c>
      <c r="Q1701" s="189">
        <v>80</v>
      </c>
      <c r="R1701" s="189">
        <v>120</v>
      </c>
      <c r="S1701" s="189">
        <v>167</v>
      </c>
      <c r="T1701" s="184" t="s">
        <v>2547</v>
      </c>
      <c r="U1701" s="283" t="e">
        <v>#N/A</v>
      </c>
      <c r="V1701" s="184" t="s">
        <v>2555</v>
      </c>
      <c r="W1701" s="184">
        <v>1</v>
      </c>
      <c r="X1701" s="184">
        <v>1</v>
      </c>
      <c r="Y1701" s="184">
        <v>1</v>
      </c>
      <c r="Z1701" s="184">
        <v>1</v>
      </c>
      <c r="AA1701" s="184">
        <v>1</v>
      </c>
      <c r="AB1701" s="184">
        <v>1</v>
      </c>
      <c r="AC1701" s="316">
        <v>1</v>
      </c>
      <c r="AD1701" s="316">
        <v>1</v>
      </c>
      <c r="AE1701" s="302">
        <f t="shared" si="68"/>
        <v>1</v>
      </c>
      <c r="AF1701" s="186"/>
      <c r="AG1701" s="17">
        <v>0</v>
      </c>
      <c r="AH1701" s="186">
        <v>150</v>
      </c>
      <c r="AI1701" s="186">
        <v>150.0182944196421</v>
      </c>
      <c r="AJ1701" s="186">
        <v>128.8817055803579</v>
      </c>
      <c r="AK1701" s="187">
        <v>110</v>
      </c>
      <c r="AL1701" s="187">
        <v>133</v>
      </c>
      <c r="AM1701" s="147">
        <f t="shared" si="67"/>
        <v>243</v>
      </c>
      <c r="AN1701" s="184" t="s">
        <v>2528</v>
      </c>
      <c r="AO1701" s="168" t="s">
        <v>2530</v>
      </c>
      <c r="AP1701" s="184" t="s">
        <v>2514</v>
      </c>
    </row>
    <row r="1702" spans="1:42" s="184" customFormat="1" x14ac:dyDescent="0.3">
      <c r="A1702" s="183" t="s">
        <v>1453</v>
      </c>
      <c r="B1702" s="184" t="s">
        <v>2496</v>
      </c>
      <c r="C1702" s="183" t="s">
        <v>2498</v>
      </c>
      <c r="D1702" s="184" t="s">
        <v>2499</v>
      </c>
      <c r="E1702" s="183" t="s">
        <v>2500</v>
      </c>
      <c r="F1702" s="184" t="s">
        <v>2501</v>
      </c>
      <c r="G1702" s="183" t="s">
        <v>2502</v>
      </c>
      <c r="H1702" s="184" t="s">
        <v>2503</v>
      </c>
      <c r="J1702" s="188"/>
      <c r="K1702" s="183" t="s">
        <v>2556</v>
      </c>
      <c r="L1702" s="184" t="s">
        <v>2557</v>
      </c>
      <c r="M1702" s="168" t="s">
        <v>2558</v>
      </c>
      <c r="N1702" s="168"/>
      <c r="O1702" s="168"/>
      <c r="P1702" s="189">
        <v>15</v>
      </c>
      <c r="Q1702" s="189"/>
      <c r="R1702" s="189"/>
      <c r="S1702" s="189"/>
      <c r="T1702" s="184" t="s">
        <v>63</v>
      </c>
      <c r="U1702" s="283" t="s">
        <v>2510</v>
      </c>
      <c r="V1702" s="184" t="s">
        <v>2559</v>
      </c>
      <c r="AC1702" s="316">
        <v>0</v>
      </c>
      <c r="AD1702" s="316">
        <v>0</v>
      </c>
      <c r="AE1702" s="302">
        <f t="shared" si="68"/>
        <v>0</v>
      </c>
      <c r="AF1702" s="186"/>
      <c r="AG1702" s="17">
        <v>0</v>
      </c>
      <c r="AH1702" s="186" t="s">
        <v>2526</v>
      </c>
      <c r="AI1702" s="186">
        <v>54.9</v>
      </c>
      <c r="AJ1702" s="186" t="s">
        <v>2526</v>
      </c>
      <c r="AK1702" s="187" t="s">
        <v>2526</v>
      </c>
      <c r="AL1702" s="187" t="s">
        <v>2526</v>
      </c>
      <c r="AM1702" s="147">
        <f t="shared" si="67"/>
        <v>0</v>
      </c>
      <c r="AN1702" s="184" t="s">
        <v>2514</v>
      </c>
      <c r="AO1702" s="168" t="s">
        <v>2515</v>
      </c>
      <c r="AP1702" s="186" t="s">
        <v>119</v>
      </c>
    </row>
    <row r="1703" spans="1:42" s="184" customFormat="1" x14ac:dyDescent="0.3">
      <c r="A1703" s="183" t="s">
        <v>1453</v>
      </c>
      <c r="B1703" s="184" t="s">
        <v>2496</v>
      </c>
      <c r="C1703" s="183" t="s">
        <v>2498</v>
      </c>
      <c r="D1703" s="184" t="s">
        <v>2499</v>
      </c>
      <c r="E1703" s="183" t="s">
        <v>2500</v>
      </c>
      <c r="F1703" s="184" t="s">
        <v>2501</v>
      </c>
      <c r="G1703" s="183" t="s">
        <v>2502</v>
      </c>
      <c r="H1703" s="184" t="s">
        <v>2503</v>
      </c>
      <c r="J1703" s="188"/>
      <c r="K1703" s="183" t="s">
        <v>2560</v>
      </c>
      <c r="L1703" s="184" t="s">
        <v>2561</v>
      </c>
      <c r="M1703" s="168" t="s">
        <v>2562</v>
      </c>
      <c r="N1703" s="168" t="s">
        <v>271</v>
      </c>
      <c r="O1703" s="168" t="s">
        <v>271</v>
      </c>
      <c r="P1703" s="189" t="s">
        <v>271</v>
      </c>
      <c r="Q1703" s="189" t="s">
        <v>271</v>
      </c>
      <c r="R1703" s="189">
        <v>50</v>
      </c>
      <c r="S1703" s="189">
        <v>50</v>
      </c>
      <c r="T1703" s="184" t="s">
        <v>2528</v>
      </c>
      <c r="U1703" s="283" t="s">
        <v>2530</v>
      </c>
      <c r="V1703" s="184" t="s">
        <v>2563</v>
      </c>
      <c r="W1703" s="184">
        <v>1</v>
      </c>
      <c r="X1703" s="184">
        <v>1</v>
      </c>
      <c r="Y1703" s="184">
        <v>1</v>
      </c>
      <c r="Z1703" s="184">
        <v>0</v>
      </c>
      <c r="AA1703" s="184">
        <v>0</v>
      </c>
      <c r="AB1703" s="184">
        <v>1</v>
      </c>
      <c r="AC1703" s="316">
        <v>1</v>
      </c>
      <c r="AD1703" s="316">
        <v>1</v>
      </c>
      <c r="AE1703" s="302">
        <f t="shared" si="68"/>
        <v>0.75</v>
      </c>
      <c r="AF1703" s="186"/>
      <c r="AG1703" s="17">
        <v>0</v>
      </c>
      <c r="AH1703" s="186" t="s">
        <v>2526</v>
      </c>
      <c r="AI1703" s="186" t="s">
        <v>2526</v>
      </c>
      <c r="AJ1703" s="186">
        <v>200</v>
      </c>
      <c r="AK1703" s="187">
        <v>150</v>
      </c>
      <c r="AL1703" s="187">
        <v>104</v>
      </c>
      <c r="AM1703" s="147">
        <f t="shared" si="67"/>
        <v>254</v>
      </c>
      <c r="AN1703" s="184" t="s">
        <v>2528</v>
      </c>
      <c r="AO1703" s="168" t="s">
        <v>2530</v>
      </c>
      <c r="AP1703" s="184" t="s">
        <v>2514</v>
      </c>
    </row>
    <row r="1704" spans="1:42" s="184" customFormat="1" x14ac:dyDescent="0.3">
      <c r="A1704" s="183" t="s">
        <v>1453</v>
      </c>
      <c r="B1704" s="184" t="s">
        <v>2496</v>
      </c>
      <c r="C1704" s="183" t="s">
        <v>2498</v>
      </c>
      <c r="D1704" s="184" t="s">
        <v>2499</v>
      </c>
      <c r="E1704" s="183" t="s">
        <v>2500</v>
      </c>
      <c r="F1704" s="184" t="s">
        <v>2501</v>
      </c>
      <c r="G1704" s="183" t="s">
        <v>2502</v>
      </c>
      <c r="H1704" s="184" t="s">
        <v>2503</v>
      </c>
      <c r="J1704" s="188"/>
      <c r="K1704" s="183" t="s">
        <v>2564</v>
      </c>
      <c r="L1704" s="184" t="s">
        <v>2565</v>
      </c>
      <c r="M1704" s="168" t="s">
        <v>2566</v>
      </c>
      <c r="N1704" s="168" t="s">
        <v>271</v>
      </c>
      <c r="O1704" s="168" t="s">
        <v>271</v>
      </c>
      <c r="P1704" s="189">
        <v>20</v>
      </c>
      <c r="Q1704" s="189">
        <v>30</v>
      </c>
      <c r="R1704" s="189">
        <v>25</v>
      </c>
      <c r="S1704" s="189">
        <v>25</v>
      </c>
      <c r="T1704" s="184" t="s">
        <v>2512</v>
      </c>
      <c r="U1704" s="283" t="e">
        <v>#N/A</v>
      </c>
      <c r="V1704" s="184" t="s">
        <v>2567</v>
      </c>
      <c r="W1704" s="184">
        <v>0</v>
      </c>
      <c r="X1704" s="184">
        <v>1</v>
      </c>
      <c r="Y1704" s="184">
        <v>0</v>
      </c>
      <c r="Z1704" s="184">
        <v>1</v>
      </c>
      <c r="AA1704" s="184">
        <v>1</v>
      </c>
      <c r="AB1704" s="184">
        <v>1</v>
      </c>
      <c r="AC1704" s="316">
        <v>0</v>
      </c>
      <c r="AD1704" s="316">
        <v>1</v>
      </c>
      <c r="AE1704" s="302">
        <f t="shared" si="68"/>
        <v>0.625</v>
      </c>
      <c r="AF1704" s="186"/>
      <c r="AG1704" s="17">
        <v>0</v>
      </c>
      <c r="AH1704" s="186" t="s">
        <v>2526</v>
      </c>
      <c r="AI1704" s="186">
        <v>1.48</v>
      </c>
      <c r="AJ1704" s="186">
        <v>1.48</v>
      </c>
      <c r="AK1704" s="187"/>
      <c r="AL1704" s="187">
        <v>2.96</v>
      </c>
      <c r="AM1704" s="147">
        <f t="shared" si="67"/>
        <v>2.96</v>
      </c>
      <c r="AN1704" s="184" t="s">
        <v>2514</v>
      </c>
      <c r="AO1704" s="168" t="s">
        <v>2515</v>
      </c>
      <c r="AP1704" s="184" t="s">
        <v>119</v>
      </c>
    </row>
    <row r="1705" spans="1:42" s="184" customFormat="1" x14ac:dyDescent="0.3">
      <c r="A1705" s="183" t="s">
        <v>1453</v>
      </c>
      <c r="B1705" s="184" t="s">
        <v>2496</v>
      </c>
      <c r="C1705" s="183" t="s">
        <v>2498</v>
      </c>
      <c r="D1705" s="184" t="s">
        <v>2499</v>
      </c>
      <c r="E1705" s="183" t="s">
        <v>2500</v>
      </c>
      <c r="F1705" s="184" t="s">
        <v>2501</v>
      </c>
      <c r="G1705" s="183" t="s">
        <v>2502</v>
      </c>
      <c r="H1705" s="184" t="s">
        <v>2503</v>
      </c>
      <c r="J1705" s="188"/>
      <c r="K1705" s="183" t="s">
        <v>2568</v>
      </c>
      <c r="L1705" s="184" t="s">
        <v>2569</v>
      </c>
      <c r="M1705" s="168" t="s">
        <v>2570</v>
      </c>
      <c r="N1705" s="168"/>
      <c r="O1705" s="168">
        <v>3.94</v>
      </c>
      <c r="P1705" s="189">
        <v>4</v>
      </c>
      <c r="Q1705" s="189">
        <v>4</v>
      </c>
      <c r="R1705" s="189">
        <v>4</v>
      </c>
      <c r="S1705" s="189">
        <v>4</v>
      </c>
      <c r="T1705" s="184" t="s">
        <v>2571</v>
      </c>
      <c r="U1705" s="283" t="s">
        <v>2573</v>
      </c>
      <c r="V1705" s="184" t="s">
        <v>2572</v>
      </c>
      <c r="W1705" s="184">
        <v>1</v>
      </c>
      <c r="X1705" s="184">
        <v>1</v>
      </c>
      <c r="Y1705" s="184">
        <v>1</v>
      </c>
      <c r="Z1705" s="184">
        <v>1</v>
      </c>
      <c r="AA1705" s="184">
        <v>1</v>
      </c>
      <c r="AB1705" s="184">
        <v>1</v>
      </c>
      <c r="AC1705" s="316">
        <v>1</v>
      </c>
      <c r="AD1705" s="316">
        <v>0</v>
      </c>
      <c r="AE1705" s="302">
        <f t="shared" si="68"/>
        <v>0.875</v>
      </c>
      <c r="AF1705" s="186"/>
      <c r="AG1705" s="17">
        <v>0</v>
      </c>
      <c r="AH1705" s="186">
        <v>24</v>
      </c>
      <c r="AI1705" s="186">
        <v>30</v>
      </c>
      <c r="AJ1705" s="186">
        <v>30</v>
      </c>
      <c r="AK1705" s="187">
        <v>24</v>
      </c>
      <c r="AL1705" s="187">
        <v>20</v>
      </c>
      <c r="AM1705" s="147">
        <f t="shared" si="67"/>
        <v>44</v>
      </c>
      <c r="AN1705" s="184" t="s">
        <v>2571</v>
      </c>
      <c r="AO1705" s="168" t="s">
        <v>2573</v>
      </c>
      <c r="AP1705" s="184" t="s">
        <v>2514</v>
      </c>
    </row>
    <row r="1706" spans="1:42" s="184" customFormat="1" x14ac:dyDescent="0.3">
      <c r="A1706" s="183" t="s">
        <v>1453</v>
      </c>
      <c r="B1706" s="184" t="s">
        <v>2496</v>
      </c>
      <c r="C1706" s="183" t="s">
        <v>2498</v>
      </c>
      <c r="D1706" s="184" t="s">
        <v>2499</v>
      </c>
      <c r="E1706" s="183" t="s">
        <v>2500</v>
      </c>
      <c r="F1706" s="184" t="s">
        <v>2501</v>
      </c>
      <c r="G1706" s="183" t="s">
        <v>2502</v>
      </c>
      <c r="H1706" s="184" t="s">
        <v>2503</v>
      </c>
      <c r="J1706" s="188"/>
      <c r="K1706" s="183" t="s">
        <v>2568</v>
      </c>
      <c r="L1706" s="184" t="s">
        <v>2569</v>
      </c>
      <c r="M1706" s="168" t="s">
        <v>2574</v>
      </c>
      <c r="N1706" s="168"/>
      <c r="O1706" s="168"/>
      <c r="P1706" s="189">
        <v>1</v>
      </c>
      <c r="Q1706" s="189">
        <v>1</v>
      </c>
      <c r="R1706" s="189">
        <v>2</v>
      </c>
      <c r="S1706" s="189" t="s">
        <v>271</v>
      </c>
      <c r="T1706" s="184" t="s">
        <v>2528</v>
      </c>
      <c r="U1706" s="283" t="s">
        <v>2530</v>
      </c>
      <c r="V1706" s="184" t="s">
        <v>2575</v>
      </c>
      <c r="W1706" s="184">
        <v>1</v>
      </c>
      <c r="X1706" s="184">
        <v>1</v>
      </c>
      <c r="Y1706" s="184">
        <v>1</v>
      </c>
      <c r="Z1706" s="184">
        <v>1</v>
      </c>
      <c r="AA1706" s="184">
        <v>1</v>
      </c>
      <c r="AB1706" s="184">
        <v>1</v>
      </c>
      <c r="AC1706" s="316">
        <v>1</v>
      </c>
      <c r="AD1706" s="316">
        <v>1</v>
      </c>
      <c r="AE1706" s="302">
        <f t="shared" si="68"/>
        <v>1</v>
      </c>
      <c r="AF1706" s="186"/>
      <c r="AG1706" s="17">
        <v>0</v>
      </c>
      <c r="AH1706" s="186" t="s">
        <v>2526</v>
      </c>
      <c r="AI1706" s="186">
        <v>25</v>
      </c>
      <c r="AJ1706" s="186">
        <v>22.5</v>
      </c>
      <c r="AK1706" s="187">
        <v>50</v>
      </c>
      <c r="AL1706" s="187">
        <v>0</v>
      </c>
      <c r="AM1706" s="147">
        <f t="shared" si="67"/>
        <v>50</v>
      </c>
      <c r="AN1706" s="184" t="s">
        <v>2528</v>
      </c>
      <c r="AO1706" s="168" t="s">
        <v>2530</v>
      </c>
      <c r="AP1706" s="184" t="s">
        <v>2514</v>
      </c>
    </row>
    <row r="1707" spans="1:42" s="184" customFormat="1" x14ac:dyDescent="0.3">
      <c r="A1707" s="183" t="s">
        <v>1453</v>
      </c>
      <c r="B1707" s="184" t="s">
        <v>2496</v>
      </c>
      <c r="C1707" s="183" t="s">
        <v>2498</v>
      </c>
      <c r="D1707" s="184" t="s">
        <v>2499</v>
      </c>
      <c r="E1707" s="183" t="s">
        <v>2500</v>
      </c>
      <c r="F1707" s="184" t="s">
        <v>2501</v>
      </c>
      <c r="G1707" s="183" t="s">
        <v>2576</v>
      </c>
      <c r="H1707" s="184" t="s">
        <v>2577</v>
      </c>
      <c r="J1707" s="188"/>
      <c r="K1707" s="183" t="s">
        <v>2578</v>
      </c>
      <c r="L1707" s="184" t="s">
        <v>2579</v>
      </c>
      <c r="M1707" s="168" t="s">
        <v>2580</v>
      </c>
      <c r="N1707" s="168">
        <v>4971</v>
      </c>
      <c r="O1707" s="168">
        <v>5717</v>
      </c>
      <c r="P1707" s="189">
        <v>6163</v>
      </c>
      <c r="Q1707" s="189">
        <v>6609</v>
      </c>
      <c r="R1707" s="189">
        <v>7055</v>
      </c>
      <c r="S1707" s="189">
        <v>7500</v>
      </c>
      <c r="T1707" s="184" t="s">
        <v>2528</v>
      </c>
      <c r="U1707" s="283" t="s">
        <v>2530</v>
      </c>
      <c r="V1707" s="184" t="s">
        <v>2581</v>
      </c>
      <c r="W1707" s="184">
        <v>1</v>
      </c>
      <c r="X1707" s="184">
        <v>1</v>
      </c>
      <c r="Y1707" s="184">
        <v>1</v>
      </c>
      <c r="Z1707" s="184">
        <v>1</v>
      </c>
      <c r="AA1707" s="184">
        <v>1</v>
      </c>
      <c r="AB1707" s="184">
        <v>1</v>
      </c>
      <c r="AC1707" s="316">
        <v>1</v>
      </c>
      <c r="AD1707" s="316">
        <v>1</v>
      </c>
      <c r="AE1707" s="302">
        <f t="shared" si="68"/>
        <v>1</v>
      </c>
      <c r="AF1707" s="186"/>
      <c r="AG1707" s="17">
        <v>0</v>
      </c>
      <c r="AH1707" s="186">
        <v>915.00000000000091</v>
      </c>
      <c r="AI1707" s="186">
        <v>812.125</v>
      </c>
      <c r="AJ1707" s="186">
        <v>811.52499999999964</v>
      </c>
      <c r="AK1707" s="187">
        <v>615.09</v>
      </c>
      <c r="AL1707" s="187">
        <v>863.72</v>
      </c>
      <c r="AM1707" s="147">
        <f t="shared" si="67"/>
        <v>1478.81</v>
      </c>
      <c r="AN1707" s="184" t="s">
        <v>2528</v>
      </c>
      <c r="AO1707" s="168" t="s">
        <v>2530</v>
      </c>
      <c r="AP1707" s="184" t="s">
        <v>119</v>
      </c>
    </row>
    <row r="1708" spans="1:42" s="184" customFormat="1" x14ac:dyDescent="0.3">
      <c r="A1708" s="183" t="s">
        <v>1453</v>
      </c>
      <c r="B1708" s="184" t="s">
        <v>2496</v>
      </c>
      <c r="C1708" s="183" t="s">
        <v>2498</v>
      </c>
      <c r="D1708" s="184" t="s">
        <v>2499</v>
      </c>
      <c r="E1708" s="183" t="s">
        <v>2500</v>
      </c>
      <c r="F1708" s="184" t="s">
        <v>2501</v>
      </c>
      <c r="G1708" s="183" t="s">
        <v>2576</v>
      </c>
      <c r="H1708" s="184" t="s">
        <v>2577</v>
      </c>
      <c r="J1708" s="188"/>
      <c r="K1708" s="183" t="s">
        <v>2578</v>
      </c>
      <c r="L1708" s="184" t="s">
        <v>2579</v>
      </c>
      <c r="M1708" s="168" t="s">
        <v>2582</v>
      </c>
      <c r="N1708" s="168" t="s">
        <v>271</v>
      </c>
      <c r="O1708" s="168">
        <v>72</v>
      </c>
      <c r="P1708" s="189">
        <v>23</v>
      </c>
      <c r="Q1708" s="189">
        <v>5</v>
      </c>
      <c r="R1708" s="189" t="s">
        <v>271</v>
      </c>
      <c r="S1708" s="189" t="s">
        <v>271</v>
      </c>
      <c r="T1708" s="184" t="s">
        <v>63</v>
      </c>
      <c r="U1708" s="283" t="s">
        <v>2510</v>
      </c>
      <c r="V1708" s="184" t="s">
        <v>2583</v>
      </c>
      <c r="W1708" s="184">
        <v>1</v>
      </c>
      <c r="X1708" s="184">
        <v>1</v>
      </c>
      <c r="Y1708" s="184">
        <v>1</v>
      </c>
      <c r="Z1708" s="184">
        <v>1</v>
      </c>
      <c r="AA1708" s="184">
        <v>1</v>
      </c>
      <c r="AB1708" s="184">
        <v>1</v>
      </c>
      <c r="AC1708" s="316">
        <v>1</v>
      </c>
      <c r="AD1708" s="316">
        <v>1</v>
      </c>
      <c r="AE1708" s="302">
        <f t="shared" si="68"/>
        <v>1</v>
      </c>
      <c r="AF1708" s="186"/>
      <c r="AG1708" s="17">
        <v>0</v>
      </c>
      <c r="AH1708" s="186">
        <v>295.8</v>
      </c>
      <c r="AI1708" s="186">
        <v>10</v>
      </c>
      <c r="AJ1708" s="186">
        <v>5</v>
      </c>
      <c r="AK1708" s="187" t="s">
        <v>2526</v>
      </c>
      <c r="AL1708" s="187" t="s">
        <v>2526</v>
      </c>
      <c r="AM1708" s="147">
        <f t="shared" si="67"/>
        <v>0</v>
      </c>
      <c r="AN1708" s="184" t="s">
        <v>63</v>
      </c>
      <c r="AO1708" s="168" t="s">
        <v>2510</v>
      </c>
      <c r="AP1708" s="184" t="s">
        <v>2584</v>
      </c>
    </row>
    <row r="1709" spans="1:42" s="184" customFormat="1" x14ac:dyDescent="0.3">
      <c r="A1709" s="183" t="s">
        <v>1453</v>
      </c>
      <c r="B1709" s="184" t="s">
        <v>2496</v>
      </c>
      <c r="C1709" s="183" t="s">
        <v>2498</v>
      </c>
      <c r="D1709" s="184" t="s">
        <v>2499</v>
      </c>
      <c r="E1709" s="183" t="s">
        <v>2500</v>
      </c>
      <c r="F1709" s="184" t="s">
        <v>2501</v>
      </c>
      <c r="G1709" s="183" t="s">
        <v>2576</v>
      </c>
      <c r="H1709" s="184" t="s">
        <v>2577</v>
      </c>
      <c r="J1709" s="188"/>
      <c r="K1709" s="183" t="s">
        <v>2578</v>
      </c>
      <c r="L1709" s="184" t="s">
        <v>2579</v>
      </c>
      <c r="M1709" s="168" t="s">
        <v>2585</v>
      </c>
      <c r="N1709" s="168"/>
      <c r="O1709" s="168"/>
      <c r="P1709" s="189">
        <v>40</v>
      </c>
      <c r="Q1709" s="189">
        <v>55</v>
      </c>
      <c r="R1709" s="189">
        <v>75</v>
      </c>
      <c r="S1709" s="189">
        <v>100</v>
      </c>
      <c r="T1709" s="184" t="s">
        <v>2518</v>
      </c>
      <c r="U1709" s="283" t="e">
        <v>#N/A</v>
      </c>
      <c r="V1709" s="184" t="s">
        <v>2586</v>
      </c>
      <c r="W1709" s="184">
        <v>1</v>
      </c>
      <c r="X1709" s="184">
        <v>1</v>
      </c>
      <c r="Y1709" s="184">
        <v>1</v>
      </c>
      <c r="Z1709" s="184">
        <v>1</v>
      </c>
      <c r="AA1709" s="184">
        <v>1</v>
      </c>
      <c r="AB1709" s="184">
        <v>1</v>
      </c>
      <c r="AC1709" s="316">
        <v>1</v>
      </c>
      <c r="AD1709" s="316">
        <v>1</v>
      </c>
      <c r="AE1709" s="302">
        <f t="shared" si="68"/>
        <v>1</v>
      </c>
      <c r="AF1709" s="186"/>
      <c r="AG1709" s="17">
        <v>0</v>
      </c>
      <c r="AH1709" s="186">
        <v>1</v>
      </c>
      <c r="AI1709" s="186">
        <v>41</v>
      </c>
      <c r="AJ1709" s="186">
        <v>15</v>
      </c>
      <c r="AK1709" s="187">
        <v>15</v>
      </c>
      <c r="AL1709" s="187">
        <v>15</v>
      </c>
      <c r="AM1709" s="147">
        <f t="shared" si="67"/>
        <v>30</v>
      </c>
      <c r="AN1709" s="184" t="s">
        <v>2520</v>
      </c>
      <c r="AO1709" s="168" t="s">
        <v>2510</v>
      </c>
      <c r="AP1709" s="184" t="s">
        <v>63</v>
      </c>
    </row>
    <row r="1710" spans="1:42" s="184" customFormat="1" x14ac:dyDescent="0.3">
      <c r="A1710" s="183" t="s">
        <v>1453</v>
      </c>
      <c r="B1710" s="184" t="s">
        <v>2496</v>
      </c>
      <c r="C1710" s="183" t="s">
        <v>2498</v>
      </c>
      <c r="D1710" s="184" t="s">
        <v>2499</v>
      </c>
      <c r="E1710" s="183" t="s">
        <v>2500</v>
      </c>
      <c r="F1710" s="184" t="s">
        <v>2501</v>
      </c>
      <c r="G1710" s="183" t="s">
        <v>2576</v>
      </c>
      <c r="H1710" s="184" t="s">
        <v>2577</v>
      </c>
      <c r="J1710" s="188"/>
      <c r="K1710" s="183" t="s">
        <v>2578</v>
      </c>
      <c r="L1710" s="184" t="s">
        <v>2579</v>
      </c>
      <c r="M1710" s="168" t="s">
        <v>2587</v>
      </c>
      <c r="N1710" s="168">
        <v>13</v>
      </c>
      <c r="O1710" s="168">
        <v>1</v>
      </c>
      <c r="P1710" s="189">
        <v>2</v>
      </c>
      <c r="Q1710" s="189">
        <v>1</v>
      </c>
      <c r="R1710" s="189">
        <v>1</v>
      </c>
      <c r="S1710" s="189">
        <v>1</v>
      </c>
      <c r="T1710" s="184" t="s">
        <v>2588</v>
      </c>
      <c r="U1710" s="283" t="e">
        <v>#N/A</v>
      </c>
      <c r="AC1710" s="316">
        <v>0</v>
      </c>
      <c r="AD1710" s="316">
        <v>0</v>
      </c>
      <c r="AE1710" s="302">
        <f t="shared" si="68"/>
        <v>0</v>
      </c>
      <c r="AF1710" s="190"/>
      <c r="AG1710" s="17">
        <v>0</v>
      </c>
      <c r="AH1710" s="190" t="s">
        <v>271</v>
      </c>
      <c r="AI1710" s="190" t="s">
        <v>271</v>
      </c>
      <c r="AJ1710" s="190" t="s">
        <v>271</v>
      </c>
      <c r="AK1710" s="191" t="s">
        <v>271</v>
      </c>
      <c r="AL1710" s="191" t="s">
        <v>271</v>
      </c>
      <c r="AM1710" s="147">
        <f t="shared" si="67"/>
        <v>0</v>
      </c>
      <c r="AN1710" s="184" t="s">
        <v>2520</v>
      </c>
      <c r="AO1710" s="168" t="s">
        <v>2510</v>
      </c>
      <c r="AP1710" s="184" t="s">
        <v>2518</v>
      </c>
    </row>
    <row r="1711" spans="1:42" s="184" customFormat="1" x14ac:dyDescent="0.3">
      <c r="A1711" s="183" t="s">
        <v>1453</v>
      </c>
      <c r="B1711" s="184" t="s">
        <v>2496</v>
      </c>
      <c r="C1711" s="183" t="s">
        <v>2498</v>
      </c>
      <c r="D1711" s="184" t="s">
        <v>2499</v>
      </c>
      <c r="E1711" s="183" t="s">
        <v>2500</v>
      </c>
      <c r="F1711" s="184" t="s">
        <v>2501</v>
      </c>
      <c r="G1711" s="183" t="s">
        <v>2576</v>
      </c>
      <c r="H1711" s="184" t="s">
        <v>2577</v>
      </c>
      <c r="J1711" s="188"/>
      <c r="K1711" s="183" t="s">
        <v>2578</v>
      </c>
      <c r="L1711" s="184" t="s">
        <v>2579</v>
      </c>
      <c r="M1711" s="168" t="s">
        <v>2589</v>
      </c>
      <c r="N1711" s="168"/>
      <c r="O1711" s="168" t="s">
        <v>271</v>
      </c>
      <c r="P1711" s="189">
        <v>35</v>
      </c>
      <c r="Q1711" s="189">
        <v>68</v>
      </c>
      <c r="R1711" s="189">
        <v>90</v>
      </c>
      <c r="S1711" s="189">
        <v>100</v>
      </c>
      <c r="T1711" s="184" t="s">
        <v>2518</v>
      </c>
      <c r="U1711" s="283" t="e">
        <v>#N/A</v>
      </c>
      <c r="V1711" s="184" t="s">
        <v>2590</v>
      </c>
      <c r="W1711" s="184">
        <v>1</v>
      </c>
      <c r="X1711" s="184">
        <v>1</v>
      </c>
      <c r="Y1711" s="184">
        <v>1</v>
      </c>
      <c r="Z1711" s="184">
        <v>1</v>
      </c>
      <c r="AA1711" s="184">
        <v>1</v>
      </c>
      <c r="AB1711" s="184">
        <v>1</v>
      </c>
      <c r="AC1711" s="316">
        <v>0</v>
      </c>
      <c r="AD1711" s="316">
        <v>1</v>
      </c>
      <c r="AE1711" s="302">
        <f t="shared" si="68"/>
        <v>0.875</v>
      </c>
      <c r="AF1711" s="186"/>
      <c r="AG1711" s="17">
        <v>0</v>
      </c>
      <c r="AH1711" s="186" t="s">
        <v>271</v>
      </c>
      <c r="AI1711" s="186">
        <v>74.3</v>
      </c>
      <c r="AJ1711" s="186">
        <v>68.900000000000006</v>
      </c>
      <c r="AK1711" s="187">
        <v>50</v>
      </c>
      <c r="AL1711" s="187">
        <v>18.899999999999999</v>
      </c>
      <c r="AM1711" s="147">
        <f t="shared" si="67"/>
        <v>68.900000000000006</v>
      </c>
      <c r="AN1711" s="184" t="s">
        <v>2520</v>
      </c>
      <c r="AO1711" s="168" t="s">
        <v>2510</v>
      </c>
      <c r="AP1711" s="184" t="s">
        <v>63</v>
      </c>
    </row>
    <row r="1712" spans="1:42" s="184" customFormat="1" x14ac:dyDescent="0.3">
      <c r="A1712" s="183" t="s">
        <v>1453</v>
      </c>
      <c r="B1712" s="184" t="s">
        <v>2496</v>
      </c>
      <c r="C1712" s="183" t="s">
        <v>2498</v>
      </c>
      <c r="D1712" s="184" t="s">
        <v>2499</v>
      </c>
      <c r="E1712" s="183" t="s">
        <v>2500</v>
      </c>
      <c r="F1712" s="184" t="s">
        <v>2501</v>
      </c>
      <c r="G1712" s="183" t="s">
        <v>2576</v>
      </c>
      <c r="H1712" s="184" t="s">
        <v>2577</v>
      </c>
      <c r="I1712" s="188"/>
      <c r="J1712" s="188"/>
      <c r="K1712" s="183" t="s">
        <v>2578</v>
      </c>
      <c r="L1712" s="184" t="s">
        <v>2579</v>
      </c>
      <c r="M1712" s="168" t="s">
        <v>2591</v>
      </c>
      <c r="N1712" s="168"/>
      <c r="O1712" s="168">
        <v>0</v>
      </c>
      <c r="P1712" s="189">
        <v>35</v>
      </c>
      <c r="Q1712" s="189">
        <v>68</v>
      </c>
      <c r="R1712" s="189">
        <v>100</v>
      </c>
      <c r="S1712" s="189" t="s">
        <v>271</v>
      </c>
      <c r="T1712" s="184" t="s">
        <v>2518</v>
      </c>
      <c r="U1712" s="283" t="e">
        <v>#N/A</v>
      </c>
      <c r="V1712" s="184" t="s">
        <v>2592</v>
      </c>
      <c r="W1712" s="184">
        <v>1</v>
      </c>
      <c r="X1712" s="184">
        <v>1</v>
      </c>
      <c r="Y1712" s="184">
        <v>1</v>
      </c>
      <c r="Z1712" s="184">
        <v>1</v>
      </c>
      <c r="AA1712" s="184">
        <v>1</v>
      </c>
      <c r="AB1712" s="184">
        <v>1</v>
      </c>
      <c r="AC1712" s="316">
        <v>0</v>
      </c>
      <c r="AD1712" s="316">
        <v>1</v>
      </c>
      <c r="AE1712" s="302">
        <f t="shared" si="68"/>
        <v>0.875</v>
      </c>
      <c r="AF1712" s="186"/>
      <c r="AG1712" s="17">
        <v>0</v>
      </c>
      <c r="AH1712" s="186" t="s">
        <v>271</v>
      </c>
      <c r="AI1712" s="186">
        <v>0</v>
      </c>
      <c r="AJ1712" s="186">
        <v>69.099999999999994</v>
      </c>
      <c r="AK1712" s="187">
        <v>54.1</v>
      </c>
      <c r="AL1712" s="187">
        <v>64.099999999999994</v>
      </c>
      <c r="AM1712" s="147">
        <f t="shared" si="67"/>
        <v>118.19999999999999</v>
      </c>
      <c r="AN1712" s="184" t="s">
        <v>2520</v>
      </c>
      <c r="AO1712" s="168" t="s">
        <v>2510</v>
      </c>
      <c r="AP1712" s="184" t="s">
        <v>63</v>
      </c>
    </row>
    <row r="1713" spans="1:42" s="184" customFormat="1" x14ac:dyDescent="0.3">
      <c r="A1713" s="183" t="s">
        <v>1453</v>
      </c>
      <c r="B1713" s="184" t="s">
        <v>2496</v>
      </c>
      <c r="C1713" s="183" t="s">
        <v>2498</v>
      </c>
      <c r="D1713" s="184" t="s">
        <v>2499</v>
      </c>
      <c r="E1713" s="183" t="s">
        <v>2500</v>
      </c>
      <c r="F1713" s="184" t="s">
        <v>2501</v>
      </c>
      <c r="G1713" s="183" t="s">
        <v>2576</v>
      </c>
      <c r="H1713" s="184" t="s">
        <v>2577</v>
      </c>
      <c r="J1713" s="188"/>
      <c r="K1713" s="183" t="s">
        <v>2578</v>
      </c>
      <c r="L1713" s="184" t="s">
        <v>2579</v>
      </c>
      <c r="M1713" s="168" t="s">
        <v>2593</v>
      </c>
      <c r="N1713" s="168"/>
      <c r="O1713" s="168" t="s">
        <v>271</v>
      </c>
      <c r="P1713" s="189" t="s">
        <v>271</v>
      </c>
      <c r="Q1713" s="189">
        <v>35</v>
      </c>
      <c r="R1713" s="189">
        <v>67</v>
      </c>
      <c r="S1713" s="189"/>
      <c r="T1713" s="184" t="s">
        <v>2518</v>
      </c>
      <c r="U1713" s="283" t="e">
        <v>#N/A</v>
      </c>
      <c r="V1713" s="184" t="s">
        <v>2594</v>
      </c>
      <c r="W1713" s="184">
        <v>1</v>
      </c>
      <c r="X1713" s="184">
        <v>1</v>
      </c>
      <c r="Y1713" s="184">
        <v>1</v>
      </c>
      <c r="Z1713" s="184">
        <v>1</v>
      </c>
      <c r="AA1713" s="184">
        <v>1</v>
      </c>
      <c r="AB1713" s="184">
        <v>1</v>
      </c>
      <c r="AC1713" s="316">
        <v>0</v>
      </c>
      <c r="AD1713" s="316">
        <v>1</v>
      </c>
      <c r="AE1713" s="302">
        <f t="shared" si="68"/>
        <v>0.875</v>
      </c>
      <c r="AF1713" s="186"/>
      <c r="AG1713" s="17">
        <v>0</v>
      </c>
      <c r="AH1713" s="186" t="s">
        <v>271</v>
      </c>
      <c r="AI1713" s="186" t="s">
        <v>271</v>
      </c>
      <c r="AJ1713" s="186">
        <v>73</v>
      </c>
      <c r="AK1713" s="187">
        <v>57.8</v>
      </c>
      <c r="AL1713" s="187">
        <v>67.8</v>
      </c>
      <c r="AM1713" s="147">
        <f t="shared" si="67"/>
        <v>125.6</v>
      </c>
      <c r="AN1713" s="184" t="s">
        <v>2520</v>
      </c>
      <c r="AO1713" s="168" t="s">
        <v>2510</v>
      </c>
      <c r="AP1713" s="184" t="s">
        <v>63</v>
      </c>
    </row>
    <row r="1714" spans="1:42" s="184" customFormat="1" x14ac:dyDescent="0.3">
      <c r="A1714" s="183" t="s">
        <v>1453</v>
      </c>
      <c r="B1714" s="184" t="s">
        <v>2496</v>
      </c>
      <c r="C1714" s="183" t="s">
        <v>2498</v>
      </c>
      <c r="D1714" s="184" t="s">
        <v>2499</v>
      </c>
      <c r="E1714" s="183" t="s">
        <v>2500</v>
      </c>
      <c r="F1714" s="184" t="s">
        <v>2501</v>
      </c>
      <c r="G1714" s="183" t="s">
        <v>2576</v>
      </c>
      <c r="H1714" s="184" t="s">
        <v>2577</v>
      </c>
      <c r="J1714" s="188"/>
      <c r="K1714" s="183" t="s">
        <v>2578</v>
      </c>
      <c r="L1714" s="184" t="s">
        <v>2579</v>
      </c>
      <c r="M1714" s="168" t="s">
        <v>2595</v>
      </c>
      <c r="N1714" s="168"/>
      <c r="O1714" s="168" t="s">
        <v>271</v>
      </c>
      <c r="P1714" s="189" t="s">
        <v>271</v>
      </c>
      <c r="Q1714" s="189" t="s">
        <v>271</v>
      </c>
      <c r="R1714" s="189">
        <v>2</v>
      </c>
      <c r="S1714" s="189">
        <v>10</v>
      </c>
      <c r="T1714" s="184" t="s">
        <v>2518</v>
      </c>
      <c r="U1714" s="283" t="e">
        <v>#N/A</v>
      </c>
      <c r="V1714" s="184" t="s">
        <v>2596</v>
      </c>
      <c r="W1714" s="184">
        <v>1</v>
      </c>
      <c r="X1714" s="184">
        <v>1</v>
      </c>
      <c r="Y1714" s="184">
        <v>1</v>
      </c>
      <c r="Z1714" s="184">
        <v>1</v>
      </c>
      <c r="AA1714" s="184">
        <v>1</v>
      </c>
      <c r="AB1714" s="184">
        <v>1</v>
      </c>
      <c r="AC1714" s="316">
        <v>0</v>
      </c>
      <c r="AD1714" s="316">
        <v>1</v>
      </c>
      <c r="AE1714" s="302">
        <f t="shared" si="68"/>
        <v>0.875</v>
      </c>
      <c r="AF1714" s="186"/>
      <c r="AG1714" s="17">
        <v>0</v>
      </c>
      <c r="AH1714" s="186" t="s">
        <v>271</v>
      </c>
      <c r="AI1714" s="186" t="s">
        <v>271</v>
      </c>
      <c r="AJ1714" s="186" t="s">
        <v>271</v>
      </c>
      <c r="AK1714" s="187">
        <v>3.7</v>
      </c>
      <c r="AL1714" s="187">
        <v>41.7</v>
      </c>
      <c r="AM1714" s="147">
        <f t="shared" si="67"/>
        <v>45.400000000000006</v>
      </c>
      <c r="AN1714" s="184" t="s">
        <v>2520</v>
      </c>
      <c r="AO1714" s="168" t="s">
        <v>2510</v>
      </c>
      <c r="AP1714" s="184" t="s">
        <v>63</v>
      </c>
    </row>
    <row r="1715" spans="1:42" s="184" customFormat="1" x14ac:dyDescent="0.3">
      <c r="A1715" s="183" t="s">
        <v>1453</v>
      </c>
      <c r="B1715" s="184" t="s">
        <v>2496</v>
      </c>
      <c r="C1715" s="183" t="s">
        <v>2498</v>
      </c>
      <c r="D1715" s="184" t="s">
        <v>2499</v>
      </c>
      <c r="E1715" s="183" t="s">
        <v>2500</v>
      </c>
      <c r="F1715" s="184" t="s">
        <v>2501</v>
      </c>
      <c r="G1715" s="183" t="s">
        <v>2576</v>
      </c>
      <c r="H1715" s="184" t="s">
        <v>2577</v>
      </c>
      <c r="J1715" s="188"/>
      <c r="K1715" s="183" t="s">
        <v>2578</v>
      </c>
      <c r="L1715" s="184" t="s">
        <v>2579</v>
      </c>
      <c r="M1715" s="168" t="s">
        <v>2597</v>
      </c>
      <c r="N1715" s="168"/>
      <c r="O1715" s="168" t="s">
        <v>271</v>
      </c>
      <c r="P1715" s="189" t="s">
        <v>271</v>
      </c>
      <c r="Q1715" s="189" t="s">
        <v>271</v>
      </c>
      <c r="R1715" s="189">
        <v>2</v>
      </c>
      <c r="S1715" s="189">
        <v>10</v>
      </c>
      <c r="T1715" s="184" t="s">
        <v>2518</v>
      </c>
      <c r="U1715" s="283" t="e">
        <v>#N/A</v>
      </c>
      <c r="V1715" s="184" t="s">
        <v>2598</v>
      </c>
      <c r="W1715" s="184">
        <v>1</v>
      </c>
      <c r="X1715" s="184">
        <v>1</v>
      </c>
      <c r="Y1715" s="184">
        <v>1</v>
      </c>
      <c r="Z1715" s="184">
        <v>1</v>
      </c>
      <c r="AA1715" s="184">
        <v>1</v>
      </c>
      <c r="AB1715" s="184">
        <v>1</v>
      </c>
      <c r="AC1715" s="316">
        <v>0</v>
      </c>
      <c r="AD1715" s="316">
        <v>1</v>
      </c>
      <c r="AE1715" s="302">
        <f t="shared" si="68"/>
        <v>0.875</v>
      </c>
      <c r="AF1715" s="186"/>
      <c r="AG1715" s="17">
        <v>0</v>
      </c>
      <c r="AH1715" s="186" t="s">
        <v>271</v>
      </c>
      <c r="AI1715" s="186" t="s">
        <v>271</v>
      </c>
      <c r="AJ1715" s="186" t="s">
        <v>271</v>
      </c>
      <c r="AK1715" s="187">
        <v>3.8</v>
      </c>
      <c r="AL1715" s="187">
        <v>41.7</v>
      </c>
      <c r="AM1715" s="147">
        <f t="shared" si="67"/>
        <v>45.5</v>
      </c>
      <c r="AN1715" s="184" t="s">
        <v>2520</v>
      </c>
      <c r="AO1715" s="168" t="s">
        <v>2510</v>
      </c>
      <c r="AP1715" s="184" t="s">
        <v>63</v>
      </c>
    </row>
    <row r="1716" spans="1:42" s="184" customFormat="1" x14ac:dyDescent="0.3">
      <c r="A1716" s="183" t="s">
        <v>1453</v>
      </c>
      <c r="B1716" s="184" t="s">
        <v>2496</v>
      </c>
      <c r="C1716" s="183" t="s">
        <v>2498</v>
      </c>
      <c r="D1716" s="184" t="s">
        <v>2499</v>
      </c>
      <c r="E1716" s="183" t="s">
        <v>2500</v>
      </c>
      <c r="F1716" s="184" t="s">
        <v>2501</v>
      </c>
      <c r="G1716" s="183" t="s">
        <v>2576</v>
      </c>
      <c r="H1716" s="184" t="s">
        <v>2577</v>
      </c>
      <c r="J1716" s="188"/>
      <c r="K1716" s="183" t="s">
        <v>2578</v>
      </c>
      <c r="L1716" s="184" t="s">
        <v>2579</v>
      </c>
      <c r="M1716" s="168" t="s">
        <v>2599</v>
      </c>
      <c r="N1716" s="447"/>
      <c r="O1716" s="447" t="s">
        <v>271</v>
      </c>
      <c r="P1716" s="192">
        <v>2</v>
      </c>
      <c r="Q1716" s="192">
        <v>37</v>
      </c>
      <c r="R1716" s="192">
        <v>69</v>
      </c>
      <c r="S1716" s="192">
        <v>100</v>
      </c>
      <c r="T1716" s="184" t="s">
        <v>2518</v>
      </c>
      <c r="U1716" s="283" t="e">
        <v>#N/A</v>
      </c>
      <c r="V1716" s="184" t="s">
        <v>2600</v>
      </c>
      <c r="W1716" s="184">
        <v>1</v>
      </c>
      <c r="X1716" s="184">
        <v>1</v>
      </c>
      <c r="Y1716" s="184">
        <v>1</v>
      </c>
      <c r="Z1716" s="184">
        <v>1</v>
      </c>
      <c r="AA1716" s="184">
        <v>1</v>
      </c>
      <c r="AB1716" s="184">
        <v>1</v>
      </c>
      <c r="AC1716" s="316">
        <v>0</v>
      </c>
      <c r="AD1716" s="316">
        <v>1</v>
      </c>
      <c r="AE1716" s="302">
        <f t="shared" si="68"/>
        <v>0.875</v>
      </c>
      <c r="AF1716" s="186"/>
      <c r="AG1716" s="17">
        <v>0</v>
      </c>
      <c r="AH1716" s="186" t="s">
        <v>271</v>
      </c>
      <c r="AI1716" s="186">
        <v>0</v>
      </c>
      <c r="AJ1716" s="186">
        <v>57.3</v>
      </c>
      <c r="AK1716" s="187">
        <v>41.4</v>
      </c>
      <c r="AL1716" s="187">
        <v>51.4</v>
      </c>
      <c r="AM1716" s="147">
        <f t="shared" si="67"/>
        <v>92.8</v>
      </c>
      <c r="AN1716" s="184" t="s">
        <v>2520</v>
      </c>
      <c r="AO1716" s="168" t="s">
        <v>2510</v>
      </c>
      <c r="AP1716" s="184" t="s">
        <v>63</v>
      </c>
    </row>
    <row r="1717" spans="1:42" s="184" customFormat="1" x14ac:dyDescent="0.3">
      <c r="A1717" s="183" t="s">
        <v>1453</v>
      </c>
      <c r="B1717" s="184" t="s">
        <v>2496</v>
      </c>
      <c r="C1717" s="183" t="s">
        <v>2498</v>
      </c>
      <c r="D1717" s="184" t="s">
        <v>2499</v>
      </c>
      <c r="E1717" s="183" t="s">
        <v>2500</v>
      </c>
      <c r="F1717" s="184" t="s">
        <v>2501</v>
      </c>
      <c r="G1717" s="183" t="s">
        <v>2576</v>
      </c>
      <c r="H1717" s="184" t="s">
        <v>2577</v>
      </c>
      <c r="J1717" s="188"/>
      <c r="K1717" s="183" t="s">
        <v>2578</v>
      </c>
      <c r="L1717" s="184" t="s">
        <v>2579</v>
      </c>
      <c r="M1717" s="168" t="s">
        <v>2601</v>
      </c>
      <c r="N1717" s="447"/>
      <c r="O1717" s="447" t="s">
        <v>271</v>
      </c>
      <c r="P1717" s="192">
        <v>1</v>
      </c>
      <c r="Q1717" s="192" t="s">
        <v>271</v>
      </c>
      <c r="R1717" s="192" t="s">
        <v>271</v>
      </c>
      <c r="S1717" s="192" t="s">
        <v>271</v>
      </c>
      <c r="T1717" s="184" t="s">
        <v>2518</v>
      </c>
      <c r="U1717" s="283" t="e">
        <v>#N/A</v>
      </c>
      <c r="V1717" s="184" t="s">
        <v>2602</v>
      </c>
      <c r="W1717" s="184">
        <v>1</v>
      </c>
      <c r="X1717" s="184">
        <v>1</v>
      </c>
      <c r="Y1717" s="184">
        <v>1</v>
      </c>
      <c r="Z1717" s="184">
        <v>1</v>
      </c>
      <c r="AA1717" s="184">
        <v>1</v>
      </c>
      <c r="AB1717" s="184">
        <v>1</v>
      </c>
      <c r="AC1717" s="316">
        <v>0</v>
      </c>
      <c r="AD1717" s="316">
        <v>0</v>
      </c>
      <c r="AE1717" s="302">
        <f t="shared" si="68"/>
        <v>0.75</v>
      </c>
      <c r="AF1717" s="186"/>
      <c r="AG1717" s="17">
        <v>0</v>
      </c>
      <c r="AH1717" s="186" t="s">
        <v>271</v>
      </c>
      <c r="AI1717" s="186" t="s">
        <v>271</v>
      </c>
      <c r="AJ1717" s="186" t="s">
        <v>271</v>
      </c>
      <c r="AK1717" s="187" t="s">
        <v>271</v>
      </c>
      <c r="AL1717" s="187">
        <v>150</v>
      </c>
      <c r="AM1717" s="147">
        <f t="shared" si="67"/>
        <v>150</v>
      </c>
      <c r="AN1717" s="184" t="s">
        <v>2520</v>
      </c>
      <c r="AO1717" s="168" t="s">
        <v>2510</v>
      </c>
      <c r="AP1717" s="184" t="s">
        <v>2518</v>
      </c>
    </row>
    <row r="1718" spans="1:42" s="184" customFormat="1" x14ac:dyDescent="0.3">
      <c r="A1718" s="183" t="s">
        <v>1453</v>
      </c>
      <c r="B1718" s="184" t="s">
        <v>2496</v>
      </c>
      <c r="C1718" s="183" t="s">
        <v>2498</v>
      </c>
      <c r="D1718" s="184" t="s">
        <v>2499</v>
      </c>
      <c r="E1718" s="183" t="s">
        <v>2500</v>
      </c>
      <c r="F1718" s="184" t="s">
        <v>2501</v>
      </c>
      <c r="G1718" s="183" t="s">
        <v>2576</v>
      </c>
      <c r="H1718" s="184" t="s">
        <v>2577</v>
      </c>
      <c r="J1718" s="188"/>
      <c r="K1718" s="183" t="s">
        <v>2578</v>
      </c>
      <c r="L1718" s="184" t="s">
        <v>2579</v>
      </c>
      <c r="M1718" s="168" t="s">
        <v>2603</v>
      </c>
      <c r="N1718" s="447"/>
      <c r="O1718" s="447">
        <v>1</v>
      </c>
      <c r="P1718" s="192">
        <v>1</v>
      </c>
      <c r="Q1718" s="192">
        <v>1</v>
      </c>
      <c r="R1718" s="192">
        <v>1</v>
      </c>
      <c r="S1718" s="192">
        <v>1</v>
      </c>
      <c r="T1718" s="184" t="s">
        <v>63</v>
      </c>
      <c r="U1718" s="283" t="s">
        <v>2510</v>
      </c>
      <c r="V1718" s="184" t="s">
        <v>2604</v>
      </c>
      <c r="W1718" s="184">
        <v>1</v>
      </c>
      <c r="X1718" s="184">
        <v>1</v>
      </c>
      <c r="Y1718" s="184">
        <v>1</v>
      </c>
      <c r="Z1718" s="184">
        <v>1</v>
      </c>
      <c r="AA1718" s="184">
        <v>1</v>
      </c>
      <c r="AB1718" s="184">
        <v>1</v>
      </c>
      <c r="AC1718" s="316">
        <v>0</v>
      </c>
      <c r="AD1718" s="316">
        <v>1</v>
      </c>
      <c r="AE1718" s="302">
        <f t="shared" si="68"/>
        <v>0.875</v>
      </c>
      <c r="AF1718" s="186"/>
      <c r="AG1718" s="17">
        <v>0</v>
      </c>
      <c r="AH1718" s="186">
        <v>25</v>
      </c>
      <c r="AI1718" s="186">
        <v>25</v>
      </c>
      <c r="AJ1718" s="186">
        <v>25</v>
      </c>
      <c r="AK1718" s="187">
        <v>40</v>
      </c>
      <c r="AL1718" s="187">
        <v>75</v>
      </c>
      <c r="AM1718" s="147">
        <f t="shared" si="67"/>
        <v>115</v>
      </c>
      <c r="AN1718" s="184" t="s">
        <v>63</v>
      </c>
      <c r="AO1718" s="168" t="s">
        <v>2510</v>
      </c>
      <c r="AP1718" s="184" t="s">
        <v>119</v>
      </c>
    </row>
    <row r="1719" spans="1:42" s="184" customFormat="1" x14ac:dyDescent="0.3">
      <c r="A1719" s="183" t="s">
        <v>1453</v>
      </c>
      <c r="B1719" s="184" t="s">
        <v>2496</v>
      </c>
      <c r="C1719" s="183" t="s">
        <v>2498</v>
      </c>
      <c r="D1719" s="184" t="s">
        <v>2499</v>
      </c>
      <c r="E1719" s="183" t="s">
        <v>2500</v>
      </c>
      <c r="F1719" s="184" t="s">
        <v>2501</v>
      </c>
      <c r="G1719" s="183" t="s">
        <v>2576</v>
      </c>
      <c r="H1719" s="184" t="s">
        <v>2577</v>
      </c>
      <c r="J1719" s="188"/>
      <c r="K1719" s="183" t="s">
        <v>2578</v>
      </c>
      <c r="L1719" s="184" t="s">
        <v>2579</v>
      </c>
      <c r="M1719" s="168" t="s">
        <v>2605</v>
      </c>
      <c r="N1719" s="447">
        <v>0</v>
      </c>
      <c r="O1719" s="447" t="s">
        <v>271</v>
      </c>
      <c r="P1719" s="192">
        <v>28</v>
      </c>
      <c r="Q1719" s="192">
        <v>78</v>
      </c>
      <c r="R1719" s="192">
        <v>93</v>
      </c>
      <c r="S1719" s="192">
        <v>93</v>
      </c>
      <c r="T1719" s="184" t="s">
        <v>2507</v>
      </c>
      <c r="U1719" s="283" t="e">
        <v>#N/A</v>
      </c>
      <c r="V1719" s="184" t="s">
        <v>2606</v>
      </c>
      <c r="W1719" s="184">
        <v>1</v>
      </c>
      <c r="X1719" s="184">
        <v>1</v>
      </c>
      <c r="Y1719" s="184">
        <v>1</v>
      </c>
      <c r="Z1719" s="184">
        <v>1</v>
      </c>
      <c r="AA1719" s="184">
        <v>1</v>
      </c>
      <c r="AB1719" s="184">
        <v>1</v>
      </c>
      <c r="AC1719" s="316">
        <v>1</v>
      </c>
      <c r="AD1719" s="316">
        <v>1</v>
      </c>
      <c r="AE1719" s="302">
        <f t="shared" si="68"/>
        <v>1</v>
      </c>
      <c r="AF1719" s="186"/>
      <c r="AG1719" s="17">
        <v>0</v>
      </c>
      <c r="AH1719" s="186">
        <v>200</v>
      </c>
      <c r="AI1719" s="186">
        <v>39</v>
      </c>
      <c r="AJ1719" s="186">
        <v>452</v>
      </c>
      <c r="AK1719" s="187"/>
      <c r="AL1719" s="187"/>
      <c r="AM1719" s="147">
        <f t="shared" si="67"/>
        <v>0</v>
      </c>
      <c r="AN1719" s="184" t="s">
        <v>2509</v>
      </c>
      <c r="AO1719" s="168" t="s">
        <v>2510</v>
      </c>
      <c r="AP1719" s="184" t="s">
        <v>63</v>
      </c>
    </row>
    <row r="1720" spans="1:42" s="184" customFormat="1" x14ac:dyDescent="0.3">
      <c r="A1720" s="183" t="s">
        <v>1453</v>
      </c>
      <c r="B1720" s="184" t="s">
        <v>2496</v>
      </c>
      <c r="C1720" s="183" t="s">
        <v>2498</v>
      </c>
      <c r="D1720" s="184" t="s">
        <v>2499</v>
      </c>
      <c r="E1720" s="183" t="s">
        <v>2500</v>
      </c>
      <c r="F1720" s="184" t="s">
        <v>2501</v>
      </c>
      <c r="G1720" s="183" t="s">
        <v>2576</v>
      </c>
      <c r="H1720" s="184" t="s">
        <v>2577</v>
      </c>
      <c r="J1720" s="188"/>
      <c r="K1720" s="183" t="s">
        <v>2578</v>
      </c>
      <c r="L1720" s="184" t="s">
        <v>2579</v>
      </c>
      <c r="M1720" s="168" t="s">
        <v>2607</v>
      </c>
      <c r="N1720" s="168" t="s">
        <v>271</v>
      </c>
      <c r="O1720" s="168">
        <v>1700</v>
      </c>
      <c r="P1720" s="189">
        <v>3200</v>
      </c>
      <c r="Q1720" s="189" t="s">
        <v>271</v>
      </c>
      <c r="R1720" s="189" t="s">
        <v>271</v>
      </c>
      <c r="S1720" s="189" t="s">
        <v>271</v>
      </c>
      <c r="T1720" s="184" t="s">
        <v>63</v>
      </c>
      <c r="U1720" s="283" t="s">
        <v>2510</v>
      </c>
      <c r="V1720" s="184" t="s">
        <v>2608</v>
      </c>
      <c r="W1720" s="184">
        <v>1</v>
      </c>
      <c r="X1720" s="184">
        <v>1</v>
      </c>
      <c r="Y1720" s="184">
        <v>1</v>
      </c>
      <c r="Z1720" s="184">
        <v>1</v>
      </c>
      <c r="AA1720" s="184">
        <v>1</v>
      </c>
      <c r="AB1720" s="184">
        <v>1</v>
      </c>
      <c r="AC1720" s="316">
        <v>1</v>
      </c>
      <c r="AD1720" s="316">
        <v>1</v>
      </c>
      <c r="AE1720" s="302">
        <f t="shared" si="68"/>
        <v>1</v>
      </c>
      <c r="AF1720" s="186"/>
      <c r="AG1720" s="17">
        <v>0</v>
      </c>
      <c r="AH1720" s="186">
        <v>10</v>
      </c>
      <c r="AI1720" s="186">
        <v>0</v>
      </c>
      <c r="AJ1720" s="186" t="s">
        <v>2526</v>
      </c>
      <c r="AK1720" s="187" t="s">
        <v>2526</v>
      </c>
      <c r="AL1720" s="187" t="s">
        <v>2526</v>
      </c>
      <c r="AM1720" s="147">
        <f t="shared" si="67"/>
        <v>0</v>
      </c>
      <c r="AN1720" s="184" t="s">
        <v>63</v>
      </c>
      <c r="AO1720" s="168" t="s">
        <v>2510</v>
      </c>
      <c r="AP1720" s="184" t="s">
        <v>570</v>
      </c>
    </row>
    <row r="1721" spans="1:42" s="184" customFormat="1" x14ac:dyDescent="0.3">
      <c r="A1721" s="183" t="s">
        <v>1453</v>
      </c>
      <c r="B1721" s="184" t="s">
        <v>2496</v>
      </c>
      <c r="C1721" s="183" t="s">
        <v>2498</v>
      </c>
      <c r="D1721" s="184" t="s">
        <v>2499</v>
      </c>
      <c r="E1721" s="183" t="s">
        <v>2500</v>
      </c>
      <c r="F1721" s="184" t="s">
        <v>2501</v>
      </c>
      <c r="G1721" s="183" t="s">
        <v>2576</v>
      </c>
      <c r="H1721" s="184" t="s">
        <v>2577</v>
      </c>
      <c r="J1721" s="188"/>
      <c r="K1721" s="183" t="s">
        <v>2578</v>
      </c>
      <c r="L1721" s="184" t="s">
        <v>2579</v>
      </c>
      <c r="M1721" s="168" t="s">
        <v>2609</v>
      </c>
      <c r="N1721" s="168" t="s">
        <v>271</v>
      </c>
      <c r="O1721" s="168">
        <v>20</v>
      </c>
      <c r="P1721" s="189">
        <v>100</v>
      </c>
      <c r="Q1721" s="189">
        <v>177.5</v>
      </c>
      <c r="R1721" s="189">
        <v>177.5</v>
      </c>
      <c r="S1721" s="189">
        <v>0</v>
      </c>
      <c r="T1721" s="184" t="s">
        <v>63</v>
      </c>
      <c r="U1721" s="283" t="s">
        <v>2510</v>
      </c>
      <c r="V1721" s="184" t="s">
        <v>2610</v>
      </c>
      <c r="W1721" s="184">
        <v>1</v>
      </c>
      <c r="X1721" s="184">
        <v>1</v>
      </c>
      <c r="Y1721" s="184">
        <v>1</v>
      </c>
      <c r="Z1721" s="184">
        <v>1</v>
      </c>
      <c r="AA1721" s="184">
        <v>1</v>
      </c>
      <c r="AB1721" s="184">
        <v>1</v>
      </c>
      <c r="AC1721" s="316">
        <v>1</v>
      </c>
      <c r="AD1721" s="316">
        <v>1</v>
      </c>
      <c r="AE1721" s="302">
        <f t="shared" si="68"/>
        <v>1</v>
      </c>
      <c r="AF1721" s="186"/>
      <c r="AG1721" s="17">
        <v>0</v>
      </c>
      <c r="AH1721" s="186">
        <v>24</v>
      </c>
      <c r="AI1721" s="186">
        <v>46</v>
      </c>
      <c r="AJ1721" s="186">
        <v>46</v>
      </c>
      <c r="AK1721" s="187"/>
      <c r="AL1721" s="187">
        <v>0</v>
      </c>
      <c r="AM1721" s="147">
        <f t="shared" si="67"/>
        <v>0</v>
      </c>
      <c r="AN1721" s="184" t="s">
        <v>63</v>
      </c>
      <c r="AO1721" s="168" t="s">
        <v>2510</v>
      </c>
      <c r="AP1721" s="184" t="s">
        <v>2507</v>
      </c>
    </row>
    <row r="1722" spans="1:42" s="184" customFormat="1" x14ac:dyDescent="0.3">
      <c r="A1722" s="183" t="s">
        <v>1453</v>
      </c>
      <c r="B1722" s="184" t="s">
        <v>2496</v>
      </c>
      <c r="C1722" s="183" t="s">
        <v>2498</v>
      </c>
      <c r="D1722" s="184" t="s">
        <v>2499</v>
      </c>
      <c r="E1722" s="183" t="s">
        <v>2500</v>
      </c>
      <c r="F1722" s="184" t="s">
        <v>2501</v>
      </c>
      <c r="G1722" s="183" t="s">
        <v>2576</v>
      </c>
      <c r="H1722" s="184" t="s">
        <v>2577</v>
      </c>
      <c r="J1722" s="188"/>
      <c r="K1722" s="183" t="s">
        <v>2578</v>
      </c>
      <c r="L1722" s="184" t="s">
        <v>2579</v>
      </c>
      <c r="M1722" s="168" t="s">
        <v>2611</v>
      </c>
      <c r="N1722" s="168" t="s">
        <v>271</v>
      </c>
      <c r="O1722" s="168">
        <v>0</v>
      </c>
      <c r="P1722" s="189">
        <v>0</v>
      </c>
      <c r="Q1722" s="189">
        <v>60</v>
      </c>
      <c r="R1722" s="189">
        <v>60</v>
      </c>
      <c r="S1722" s="189">
        <v>40</v>
      </c>
      <c r="T1722" s="184" t="s">
        <v>63</v>
      </c>
      <c r="U1722" s="283" t="s">
        <v>2510</v>
      </c>
      <c r="V1722" s="184" t="s">
        <v>2612</v>
      </c>
      <c r="W1722" s="184">
        <v>1</v>
      </c>
      <c r="X1722" s="184">
        <v>1</v>
      </c>
      <c r="Y1722" s="184">
        <v>1</v>
      </c>
      <c r="Z1722" s="184">
        <v>0</v>
      </c>
      <c r="AA1722" s="184">
        <v>0</v>
      </c>
      <c r="AB1722" s="184">
        <v>1</v>
      </c>
      <c r="AC1722" s="316">
        <v>1</v>
      </c>
      <c r="AD1722" s="316">
        <v>1</v>
      </c>
      <c r="AE1722" s="302">
        <f t="shared" si="68"/>
        <v>0.75</v>
      </c>
      <c r="AF1722" s="186"/>
      <c r="AG1722" s="17">
        <v>0</v>
      </c>
      <c r="AH1722" s="186">
        <v>0</v>
      </c>
      <c r="AI1722" s="186">
        <v>0</v>
      </c>
      <c r="AJ1722" s="186">
        <v>35</v>
      </c>
      <c r="AK1722" s="187">
        <v>10</v>
      </c>
      <c r="AL1722" s="187">
        <v>35</v>
      </c>
      <c r="AM1722" s="147">
        <f t="shared" si="67"/>
        <v>45</v>
      </c>
      <c r="AN1722" s="184" t="s">
        <v>63</v>
      </c>
      <c r="AO1722" s="168" t="s">
        <v>2510</v>
      </c>
      <c r="AP1722" s="184" t="s">
        <v>2507</v>
      </c>
    </row>
    <row r="1723" spans="1:42" s="184" customFormat="1" x14ac:dyDescent="0.3">
      <c r="A1723" s="183" t="s">
        <v>1453</v>
      </c>
      <c r="B1723" s="184" t="s">
        <v>2496</v>
      </c>
      <c r="C1723" s="183" t="s">
        <v>2498</v>
      </c>
      <c r="D1723" s="184" t="s">
        <v>2499</v>
      </c>
      <c r="E1723" s="183" t="s">
        <v>2500</v>
      </c>
      <c r="F1723" s="184" t="s">
        <v>2501</v>
      </c>
      <c r="G1723" s="183" t="s">
        <v>2576</v>
      </c>
      <c r="H1723" s="184" t="s">
        <v>2577</v>
      </c>
      <c r="J1723" s="188"/>
      <c r="K1723" s="183" t="s">
        <v>2578</v>
      </c>
      <c r="L1723" s="184" t="s">
        <v>2579</v>
      </c>
      <c r="M1723" s="168" t="s">
        <v>2613</v>
      </c>
      <c r="N1723" s="168" t="s">
        <v>271</v>
      </c>
      <c r="O1723" s="168">
        <v>20</v>
      </c>
      <c r="P1723" s="189">
        <v>100</v>
      </c>
      <c r="Q1723" s="189">
        <v>177.5</v>
      </c>
      <c r="R1723" s="189">
        <v>177.5</v>
      </c>
      <c r="S1723" s="189" t="s">
        <v>271</v>
      </c>
      <c r="T1723" s="184" t="s">
        <v>63</v>
      </c>
      <c r="U1723" s="283" t="s">
        <v>2510</v>
      </c>
      <c r="V1723" s="184" t="s">
        <v>2614</v>
      </c>
      <c r="W1723" s="184">
        <v>1</v>
      </c>
      <c r="X1723" s="184">
        <v>1</v>
      </c>
      <c r="Y1723" s="184">
        <v>1</v>
      </c>
      <c r="Z1723" s="184">
        <v>1</v>
      </c>
      <c r="AA1723" s="184">
        <v>1</v>
      </c>
      <c r="AB1723" s="184">
        <v>1</v>
      </c>
      <c r="AC1723" s="316">
        <v>1</v>
      </c>
      <c r="AD1723" s="316">
        <v>1</v>
      </c>
      <c r="AE1723" s="302">
        <f t="shared" si="68"/>
        <v>1</v>
      </c>
      <c r="AF1723" s="186"/>
      <c r="AG1723" s="17">
        <v>0</v>
      </c>
      <c r="AH1723" s="186">
        <v>0</v>
      </c>
      <c r="AI1723" s="186">
        <v>1</v>
      </c>
      <c r="AJ1723" s="186">
        <v>2</v>
      </c>
      <c r="AK1723" s="187"/>
      <c r="AL1723" s="187" t="s">
        <v>271</v>
      </c>
      <c r="AM1723" s="147">
        <f t="shared" si="67"/>
        <v>0</v>
      </c>
      <c r="AN1723" s="184" t="s">
        <v>63</v>
      </c>
      <c r="AO1723" s="168" t="s">
        <v>2510</v>
      </c>
      <c r="AP1723" s="184" t="s">
        <v>2507</v>
      </c>
    </row>
    <row r="1724" spans="1:42" s="184" customFormat="1" x14ac:dyDescent="0.3">
      <c r="A1724" s="183" t="s">
        <v>1453</v>
      </c>
      <c r="B1724" s="184" t="s">
        <v>2496</v>
      </c>
      <c r="C1724" s="183" t="s">
        <v>2498</v>
      </c>
      <c r="D1724" s="184" t="s">
        <v>2499</v>
      </c>
      <c r="E1724" s="183" t="s">
        <v>2500</v>
      </c>
      <c r="F1724" s="184" t="s">
        <v>2501</v>
      </c>
      <c r="G1724" s="183" t="s">
        <v>2576</v>
      </c>
      <c r="H1724" s="184" t="s">
        <v>2577</v>
      </c>
      <c r="J1724" s="188"/>
      <c r="K1724" s="183" t="s">
        <v>2578</v>
      </c>
      <c r="L1724" s="184" t="s">
        <v>2579</v>
      </c>
      <c r="M1724" s="168" t="s">
        <v>2615</v>
      </c>
      <c r="N1724" s="168" t="s">
        <v>271</v>
      </c>
      <c r="O1724" s="168">
        <v>0</v>
      </c>
      <c r="P1724" s="189">
        <v>0</v>
      </c>
      <c r="Q1724" s="189">
        <v>110</v>
      </c>
      <c r="R1724" s="189">
        <v>110</v>
      </c>
      <c r="S1724" s="189">
        <v>110</v>
      </c>
      <c r="T1724" s="184" t="s">
        <v>2507</v>
      </c>
      <c r="U1724" s="283" t="e">
        <v>#N/A</v>
      </c>
      <c r="V1724" s="184" t="s">
        <v>2616</v>
      </c>
      <c r="W1724" s="184">
        <v>1</v>
      </c>
      <c r="X1724" s="184">
        <v>1</v>
      </c>
      <c r="Y1724" s="184">
        <v>1</v>
      </c>
      <c r="Z1724" s="184">
        <v>0</v>
      </c>
      <c r="AA1724" s="184">
        <v>0</v>
      </c>
      <c r="AB1724" s="184">
        <v>1</v>
      </c>
      <c r="AC1724" s="316">
        <v>1</v>
      </c>
      <c r="AD1724" s="316">
        <v>1</v>
      </c>
      <c r="AE1724" s="302">
        <f t="shared" si="68"/>
        <v>0.75</v>
      </c>
      <c r="AF1724" s="186"/>
      <c r="AG1724" s="17">
        <v>0</v>
      </c>
      <c r="AH1724" s="186">
        <v>0</v>
      </c>
      <c r="AI1724" s="186">
        <v>0</v>
      </c>
      <c r="AJ1724" s="186">
        <v>0</v>
      </c>
      <c r="AK1724" s="187">
        <v>0</v>
      </c>
      <c r="AL1724" s="187">
        <v>0</v>
      </c>
      <c r="AM1724" s="147">
        <f t="shared" si="67"/>
        <v>0</v>
      </c>
      <c r="AN1724" s="184" t="s">
        <v>2509</v>
      </c>
      <c r="AO1724" s="168" t="s">
        <v>2510</v>
      </c>
      <c r="AP1724" s="184" t="s">
        <v>63</v>
      </c>
    </row>
    <row r="1725" spans="1:42" s="184" customFormat="1" x14ac:dyDescent="0.3">
      <c r="A1725" s="183" t="s">
        <v>1453</v>
      </c>
      <c r="B1725" s="184" t="s">
        <v>2496</v>
      </c>
      <c r="C1725" s="183" t="s">
        <v>2498</v>
      </c>
      <c r="D1725" s="184" t="s">
        <v>2499</v>
      </c>
      <c r="E1725" s="183" t="s">
        <v>2500</v>
      </c>
      <c r="F1725" s="184" t="s">
        <v>2501</v>
      </c>
      <c r="G1725" s="183" t="s">
        <v>2576</v>
      </c>
      <c r="H1725" s="184" t="s">
        <v>2577</v>
      </c>
      <c r="J1725" s="188"/>
      <c r="K1725" s="183" t="s">
        <v>2578</v>
      </c>
      <c r="L1725" s="184" t="s">
        <v>2579</v>
      </c>
      <c r="M1725" s="168" t="s">
        <v>2617</v>
      </c>
      <c r="N1725" s="168" t="s">
        <v>271</v>
      </c>
      <c r="O1725" s="168">
        <v>1100</v>
      </c>
      <c r="P1725" s="189" t="s">
        <v>271</v>
      </c>
      <c r="Q1725" s="189" t="s">
        <v>271</v>
      </c>
      <c r="R1725" s="189" t="s">
        <v>271</v>
      </c>
      <c r="S1725" s="189" t="s">
        <v>271</v>
      </c>
      <c r="T1725" s="184" t="s">
        <v>63</v>
      </c>
      <c r="U1725" s="283" t="s">
        <v>2510</v>
      </c>
      <c r="V1725" s="184" t="s">
        <v>2618</v>
      </c>
      <c r="W1725" s="184">
        <v>0</v>
      </c>
      <c r="X1725" s="184">
        <v>0</v>
      </c>
      <c r="Y1725" s="184">
        <v>0</v>
      </c>
      <c r="Z1725" s="184">
        <v>0</v>
      </c>
      <c r="AA1725" s="184">
        <v>0</v>
      </c>
      <c r="AB1725" s="184">
        <v>0</v>
      </c>
      <c r="AC1725" s="316">
        <v>0</v>
      </c>
      <c r="AD1725" s="316">
        <v>0</v>
      </c>
      <c r="AE1725" s="302">
        <f t="shared" si="68"/>
        <v>0</v>
      </c>
      <c r="AF1725" s="186"/>
      <c r="AG1725" s="17">
        <v>0</v>
      </c>
      <c r="AH1725" s="186">
        <v>29.2</v>
      </c>
      <c r="AI1725" s="186" t="s">
        <v>2526</v>
      </c>
      <c r="AJ1725" s="186" t="s">
        <v>2526</v>
      </c>
      <c r="AK1725" s="187" t="s">
        <v>2526</v>
      </c>
      <c r="AL1725" s="187" t="s">
        <v>2526</v>
      </c>
      <c r="AM1725" s="147">
        <f t="shared" si="67"/>
        <v>0</v>
      </c>
      <c r="AN1725" s="184" t="s">
        <v>63</v>
      </c>
      <c r="AO1725" s="168" t="s">
        <v>2510</v>
      </c>
      <c r="AP1725" s="184" t="s">
        <v>570</v>
      </c>
    </row>
    <row r="1726" spans="1:42" s="184" customFormat="1" x14ac:dyDescent="0.3">
      <c r="A1726" s="183" t="s">
        <v>1453</v>
      </c>
      <c r="B1726" s="184" t="s">
        <v>2496</v>
      </c>
      <c r="C1726" s="183" t="s">
        <v>2498</v>
      </c>
      <c r="D1726" s="184" t="s">
        <v>2499</v>
      </c>
      <c r="E1726" s="183" t="s">
        <v>2500</v>
      </c>
      <c r="F1726" s="184" t="s">
        <v>2501</v>
      </c>
      <c r="G1726" s="183" t="s">
        <v>2576</v>
      </c>
      <c r="H1726" s="184" t="s">
        <v>2577</v>
      </c>
      <c r="J1726" s="188"/>
      <c r="K1726" s="183" t="s">
        <v>2578</v>
      </c>
      <c r="L1726" s="184" t="s">
        <v>2579</v>
      </c>
      <c r="M1726" s="168" t="s">
        <v>2619</v>
      </c>
      <c r="N1726" s="168" t="s">
        <v>271</v>
      </c>
      <c r="O1726" s="168">
        <v>0.05</v>
      </c>
      <c r="P1726" s="189">
        <v>0.75</v>
      </c>
      <c r="Q1726" s="189">
        <v>0.2</v>
      </c>
      <c r="R1726" s="189" t="s">
        <v>271</v>
      </c>
      <c r="S1726" s="189" t="s">
        <v>271</v>
      </c>
      <c r="T1726" s="184" t="s">
        <v>63</v>
      </c>
      <c r="U1726" s="283" t="s">
        <v>2510</v>
      </c>
      <c r="V1726" s="184" t="s">
        <v>2620</v>
      </c>
      <c r="W1726" s="184">
        <v>1</v>
      </c>
      <c r="X1726" s="184">
        <v>1</v>
      </c>
      <c r="Y1726" s="184">
        <v>1</v>
      </c>
      <c r="Z1726" s="184">
        <v>0</v>
      </c>
      <c r="AA1726" s="184">
        <v>1</v>
      </c>
      <c r="AB1726" s="184">
        <v>1</v>
      </c>
      <c r="AC1726" s="316">
        <v>1</v>
      </c>
      <c r="AD1726" s="316">
        <v>1</v>
      </c>
      <c r="AE1726" s="302">
        <f t="shared" si="68"/>
        <v>0.875</v>
      </c>
      <c r="AF1726" s="186"/>
      <c r="AG1726" s="17">
        <v>0</v>
      </c>
      <c r="AH1726" s="186">
        <v>0</v>
      </c>
      <c r="AI1726" s="186">
        <v>0</v>
      </c>
      <c r="AJ1726" s="186">
        <v>0</v>
      </c>
      <c r="AK1726" s="187">
        <v>0</v>
      </c>
      <c r="AL1726" s="187">
        <v>0</v>
      </c>
      <c r="AM1726" s="147">
        <f t="shared" si="67"/>
        <v>0</v>
      </c>
      <c r="AN1726" s="184" t="s">
        <v>63</v>
      </c>
      <c r="AO1726" s="168" t="s">
        <v>2510</v>
      </c>
      <c r="AP1726" s="184" t="s">
        <v>119</v>
      </c>
    </row>
    <row r="1727" spans="1:42" s="184" customFormat="1" x14ac:dyDescent="0.3">
      <c r="A1727" s="183" t="s">
        <v>1453</v>
      </c>
      <c r="B1727" s="184" t="s">
        <v>2496</v>
      </c>
      <c r="C1727" s="183" t="s">
        <v>2498</v>
      </c>
      <c r="D1727" s="184" t="s">
        <v>2499</v>
      </c>
      <c r="E1727" s="183" t="s">
        <v>2500</v>
      </c>
      <c r="F1727" s="184" t="s">
        <v>2501</v>
      </c>
      <c r="G1727" s="183" t="s">
        <v>2576</v>
      </c>
      <c r="H1727" s="184" t="s">
        <v>2577</v>
      </c>
      <c r="J1727" s="188"/>
      <c r="K1727" s="183" t="s">
        <v>2578</v>
      </c>
      <c r="L1727" s="184" t="s">
        <v>2579</v>
      </c>
      <c r="M1727" s="168" t="s">
        <v>2621</v>
      </c>
      <c r="N1727" s="168" t="s">
        <v>271</v>
      </c>
      <c r="O1727" s="168"/>
      <c r="P1727" s="189"/>
      <c r="Q1727" s="189">
        <v>0.05</v>
      </c>
      <c r="R1727" s="189">
        <v>0.75</v>
      </c>
      <c r="S1727" s="189">
        <v>0.2</v>
      </c>
      <c r="T1727" s="184" t="s">
        <v>63</v>
      </c>
      <c r="U1727" s="283" t="s">
        <v>2510</v>
      </c>
      <c r="V1727" s="184" t="s">
        <v>2622</v>
      </c>
      <c r="W1727" s="184">
        <v>1</v>
      </c>
      <c r="X1727" s="184">
        <v>1</v>
      </c>
      <c r="Y1727" s="184">
        <v>1</v>
      </c>
      <c r="Z1727" s="184">
        <v>0</v>
      </c>
      <c r="AA1727" s="184">
        <v>0</v>
      </c>
      <c r="AB1727" s="184">
        <v>0</v>
      </c>
      <c r="AC1727" s="316">
        <v>1</v>
      </c>
      <c r="AD1727" s="316">
        <v>1</v>
      </c>
      <c r="AE1727" s="302">
        <f t="shared" si="68"/>
        <v>0.625</v>
      </c>
      <c r="AF1727" s="190"/>
      <c r="AG1727" s="17">
        <v>0</v>
      </c>
      <c r="AH1727" s="190">
        <v>0</v>
      </c>
      <c r="AI1727" s="190">
        <v>0</v>
      </c>
      <c r="AJ1727" s="186">
        <v>15</v>
      </c>
      <c r="AK1727" s="187"/>
      <c r="AL1727" s="187"/>
      <c r="AM1727" s="147">
        <f t="shared" si="67"/>
        <v>0</v>
      </c>
      <c r="AN1727" s="184" t="s">
        <v>63</v>
      </c>
      <c r="AO1727" s="168" t="s">
        <v>2510</v>
      </c>
      <c r="AP1727" s="184" t="s">
        <v>119</v>
      </c>
    </row>
    <row r="1728" spans="1:42" s="184" customFormat="1" x14ac:dyDescent="0.3">
      <c r="A1728" s="183" t="s">
        <v>1453</v>
      </c>
      <c r="B1728" s="184" t="s">
        <v>2496</v>
      </c>
      <c r="C1728" s="183" t="s">
        <v>2498</v>
      </c>
      <c r="D1728" s="184" t="s">
        <v>2499</v>
      </c>
      <c r="E1728" s="183" t="s">
        <v>2500</v>
      </c>
      <c r="F1728" s="184" t="s">
        <v>2501</v>
      </c>
      <c r="G1728" s="183" t="s">
        <v>2576</v>
      </c>
      <c r="H1728" s="184" t="s">
        <v>2577</v>
      </c>
      <c r="J1728" s="188"/>
      <c r="K1728" s="183" t="s">
        <v>2578</v>
      </c>
      <c r="L1728" s="184" t="s">
        <v>2579</v>
      </c>
      <c r="M1728" s="168" t="s">
        <v>2623</v>
      </c>
      <c r="N1728" s="168"/>
      <c r="O1728" s="168" t="s">
        <v>271</v>
      </c>
      <c r="P1728" s="189" t="s">
        <v>271</v>
      </c>
      <c r="Q1728" s="189" t="s">
        <v>271</v>
      </c>
      <c r="R1728" s="189">
        <v>1</v>
      </c>
      <c r="S1728" s="189" t="s">
        <v>271</v>
      </c>
      <c r="T1728" s="184" t="s">
        <v>63</v>
      </c>
      <c r="U1728" s="283" t="s">
        <v>2510</v>
      </c>
      <c r="V1728" s="184" t="s">
        <v>2624</v>
      </c>
      <c r="W1728" s="184">
        <v>1</v>
      </c>
      <c r="X1728" s="184">
        <v>1</v>
      </c>
      <c r="Y1728" s="184">
        <v>1</v>
      </c>
      <c r="Z1728" s="184">
        <v>0</v>
      </c>
      <c r="AA1728" s="184">
        <v>0</v>
      </c>
      <c r="AB1728" s="184">
        <v>1</v>
      </c>
      <c r="AC1728" s="316">
        <v>1</v>
      </c>
      <c r="AD1728" s="316">
        <v>1</v>
      </c>
      <c r="AE1728" s="302">
        <f t="shared" si="68"/>
        <v>0.75</v>
      </c>
      <c r="AF1728" s="186"/>
      <c r="AG1728" s="17">
        <v>0</v>
      </c>
      <c r="AH1728" s="186">
        <v>0</v>
      </c>
      <c r="AI1728" s="186">
        <v>0</v>
      </c>
      <c r="AJ1728" s="186">
        <v>0</v>
      </c>
      <c r="AK1728" s="187">
        <v>0</v>
      </c>
      <c r="AL1728" s="187">
        <v>0</v>
      </c>
      <c r="AM1728" s="147">
        <f t="shared" si="67"/>
        <v>0</v>
      </c>
      <c r="AN1728" s="184" t="s">
        <v>63</v>
      </c>
      <c r="AO1728" s="168" t="s">
        <v>2510</v>
      </c>
      <c r="AP1728" s="184" t="s">
        <v>119</v>
      </c>
    </row>
    <row r="1729" spans="1:42" s="184" customFormat="1" x14ac:dyDescent="0.3">
      <c r="A1729" s="183" t="s">
        <v>1453</v>
      </c>
      <c r="B1729" s="184" t="s">
        <v>2496</v>
      </c>
      <c r="C1729" s="183" t="s">
        <v>2498</v>
      </c>
      <c r="D1729" s="184" t="s">
        <v>2499</v>
      </c>
      <c r="E1729" s="183" t="s">
        <v>2500</v>
      </c>
      <c r="F1729" s="184" t="s">
        <v>2501</v>
      </c>
      <c r="G1729" s="183" t="s">
        <v>2625</v>
      </c>
      <c r="H1729" s="184" t="s">
        <v>2626</v>
      </c>
      <c r="J1729" s="188"/>
      <c r="K1729" s="183" t="s">
        <v>2627</v>
      </c>
      <c r="L1729" s="184" t="s">
        <v>2628</v>
      </c>
      <c r="M1729" s="168" t="s">
        <v>2629</v>
      </c>
      <c r="N1729" s="168">
        <v>100</v>
      </c>
      <c r="O1729" s="447">
        <v>0</v>
      </c>
      <c r="P1729" s="192">
        <v>0</v>
      </c>
      <c r="Q1729" s="192">
        <v>17</v>
      </c>
      <c r="R1729" s="192">
        <v>0</v>
      </c>
      <c r="S1729" s="192">
        <v>18</v>
      </c>
      <c r="T1729" s="184" t="s">
        <v>2528</v>
      </c>
      <c r="U1729" s="283" t="s">
        <v>2530</v>
      </c>
      <c r="V1729" s="184" t="s">
        <v>2630</v>
      </c>
      <c r="W1729" s="184">
        <v>1</v>
      </c>
      <c r="X1729" s="184">
        <v>1</v>
      </c>
      <c r="Y1729" s="184">
        <v>1</v>
      </c>
      <c r="Z1729" s="184">
        <v>1</v>
      </c>
      <c r="AA1729" s="184">
        <v>1</v>
      </c>
      <c r="AB1729" s="184">
        <v>1</v>
      </c>
      <c r="AC1729" s="316">
        <v>0</v>
      </c>
      <c r="AD1729" s="316">
        <v>1</v>
      </c>
      <c r="AE1729" s="302">
        <f t="shared" si="68"/>
        <v>0.875</v>
      </c>
      <c r="AF1729" s="186"/>
      <c r="AG1729" s="17">
        <v>0</v>
      </c>
      <c r="AH1729" s="186" t="s">
        <v>2631</v>
      </c>
      <c r="AI1729" s="186">
        <v>62.412999999999997</v>
      </c>
      <c r="AJ1729" s="186">
        <v>176.8</v>
      </c>
      <c r="AK1729" s="187">
        <v>87</v>
      </c>
      <c r="AL1729" s="187">
        <v>100</v>
      </c>
      <c r="AM1729" s="147">
        <f t="shared" si="67"/>
        <v>187</v>
      </c>
      <c r="AN1729" s="184" t="s">
        <v>2528</v>
      </c>
      <c r="AO1729" s="168" t="s">
        <v>2530</v>
      </c>
      <c r="AP1729" s="184" t="s">
        <v>2632</v>
      </c>
    </row>
    <row r="1730" spans="1:42" s="184" customFormat="1" x14ac:dyDescent="0.3">
      <c r="A1730" s="183" t="s">
        <v>1453</v>
      </c>
      <c r="B1730" s="184" t="s">
        <v>2496</v>
      </c>
      <c r="C1730" s="183" t="s">
        <v>2498</v>
      </c>
      <c r="D1730" s="184" t="s">
        <v>2499</v>
      </c>
      <c r="E1730" s="183" t="s">
        <v>2500</v>
      </c>
      <c r="F1730" s="184" t="s">
        <v>2501</v>
      </c>
      <c r="G1730" s="183" t="s">
        <v>2625</v>
      </c>
      <c r="H1730" s="184" t="s">
        <v>2626</v>
      </c>
      <c r="J1730" s="188"/>
      <c r="K1730" s="183" t="s">
        <v>2627</v>
      </c>
      <c r="L1730" s="184" t="s">
        <v>2628</v>
      </c>
      <c r="M1730" s="168" t="s">
        <v>2633</v>
      </c>
      <c r="N1730" s="168">
        <v>0</v>
      </c>
      <c r="O1730" s="447">
        <v>0</v>
      </c>
      <c r="P1730" s="192">
        <v>2</v>
      </c>
      <c r="Q1730" s="192">
        <v>6</v>
      </c>
      <c r="R1730" s="192">
        <v>0</v>
      </c>
      <c r="S1730" s="192">
        <v>11</v>
      </c>
      <c r="T1730" s="184" t="s">
        <v>2528</v>
      </c>
      <c r="U1730" s="283" t="s">
        <v>2530</v>
      </c>
      <c r="V1730" s="184" t="s">
        <v>2634</v>
      </c>
      <c r="W1730" s="184">
        <v>1</v>
      </c>
      <c r="X1730" s="184">
        <v>1</v>
      </c>
      <c r="Y1730" s="184">
        <v>1</v>
      </c>
      <c r="Z1730" s="184">
        <v>1</v>
      </c>
      <c r="AA1730" s="184">
        <v>1</v>
      </c>
      <c r="AB1730" s="184">
        <v>1</v>
      </c>
      <c r="AC1730" s="316">
        <v>1</v>
      </c>
      <c r="AD1730" s="316">
        <v>1</v>
      </c>
      <c r="AE1730" s="302">
        <f t="shared" si="68"/>
        <v>1</v>
      </c>
      <c r="AF1730" s="186"/>
      <c r="AG1730" s="17">
        <v>0</v>
      </c>
      <c r="AH1730" s="186" t="s">
        <v>271</v>
      </c>
      <c r="AI1730" s="186" t="s">
        <v>271</v>
      </c>
      <c r="AJ1730" s="186" t="s">
        <v>271</v>
      </c>
      <c r="AK1730" s="187">
        <v>67.5</v>
      </c>
      <c r="AL1730" s="187">
        <v>90</v>
      </c>
      <c r="AM1730" s="147">
        <f t="shared" si="67"/>
        <v>157.5</v>
      </c>
      <c r="AN1730" s="184" t="s">
        <v>2528</v>
      </c>
      <c r="AO1730" s="168" t="s">
        <v>2530</v>
      </c>
    </row>
    <row r="1731" spans="1:42" s="184" customFormat="1" x14ac:dyDescent="0.3">
      <c r="A1731" s="183" t="s">
        <v>1453</v>
      </c>
      <c r="B1731" s="184" t="s">
        <v>2496</v>
      </c>
      <c r="C1731" s="183" t="s">
        <v>2498</v>
      </c>
      <c r="D1731" s="184" t="s">
        <v>2499</v>
      </c>
      <c r="E1731" s="183" t="s">
        <v>2500</v>
      </c>
      <c r="F1731" s="184" t="s">
        <v>2501</v>
      </c>
      <c r="G1731" s="183" t="s">
        <v>2625</v>
      </c>
      <c r="H1731" s="184" t="s">
        <v>2626</v>
      </c>
      <c r="J1731" s="188"/>
      <c r="K1731" s="183" t="s">
        <v>2627</v>
      </c>
      <c r="L1731" s="184" t="s">
        <v>2628</v>
      </c>
      <c r="M1731" s="168" t="s">
        <v>2635</v>
      </c>
      <c r="N1731" s="168">
        <v>500</v>
      </c>
      <c r="O1731" s="447">
        <v>1500</v>
      </c>
      <c r="P1731" s="192">
        <v>1500</v>
      </c>
      <c r="Q1731" s="192">
        <v>1500</v>
      </c>
      <c r="R1731" s="192">
        <v>1500</v>
      </c>
      <c r="S1731" s="192">
        <v>1500</v>
      </c>
      <c r="T1731" s="184" t="s">
        <v>2636</v>
      </c>
      <c r="U1731" s="283" t="e">
        <v>#N/A</v>
      </c>
      <c r="V1731" s="184" t="s">
        <v>2637</v>
      </c>
      <c r="W1731" s="184">
        <v>1</v>
      </c>
      <c r="X1731" s="184">
        <v>1</v>
      </c>
      <c r="Y1731" s="184">
        <v>1</v>
      </c>
      <c r="Z1731" s="184">
        <v>1</v>
      </c>
      <c r="AA1731" s="184">
        <v>1</v>
      </c>
      <c r="AB1731" s="184">
        <v>1</v>
      </c>
      <c r="AC1731" s="316">
        <v>1</v>
      </c>
      <c r="AD1731" s="316">
        <v>1</v>
      </c>
      <c r="AE1731" s="302">
        <f t="shared" si="68"/>
        <v>1</v>
      </c>
      <c r="AF1731" s="186"/>
      <c r="AG1731" s="17">
        <v>0</v>
      </c>
      <c r="AH1731" s="186" t="s">
        <v>271</v>
      </c>
      <c r="AI1731" s="186" t="s">
        <v>271</v>
      </c>
      <c r="AJ1731" s="186" t="s">
        <v>271</v>
      </c>
      <c r="AK1731" s="187" t="s">
        <v>271</v>
      </c>
      <c r="AL1731" s="187" t="s">
        <v>271</v>
      </c>
      <c r="AM1731" s="147">
        <f t="shared" si="67"/>
        <v>0</v>
      </c>
      <c r="AN1731" s="184" t="s">
        <v>2636</v>
      </c>
      <c r="AO1731" s="168" t="s">
        <v>2510</v>
      </c>
    </row>
    <row r="1732" spans="1:42" s="184" customFormat="1" x14ac:dyDescent="0.3">
      <c r="A1732" s="183" t="s">
        <v>1453</v>
      </c>
      <c r="B1732" s="184" t="s">
        <v>2496</v>
      </c>
      <c r="C1732" s="183" t="s">
        <v>2498</v>
      </c>
      <c r="D1732" s="184" t="s">
        <v>2499</v>
      </c>
      <c r="E1732" s="183" t="s">
        <v>2500</v>
      </c>
      <c r="F1732" s="184" t="s">
        <v>2501</v>
      </c>
      <c r="G1732" s="183" t="s">
        <v>2625</v>
      </c>
      <c r="H1732" s="184" t="s">
        <v>2626</v>
      </c>
      <c r="J1732" s="188"/>
      <c r="K1732" s="183" t="s">
        <v>2627</v>
      </c>
      <c r="L1732" s="184" t="s">
        <v>2628</v>
      </c>
      <c r="M1732" s="168" t="s">
        <v>2638</v>
      </c>
      <c r="N1732" s="168">
        <v>2</v>
      </c>
      <c r="O1732" s="168">
        <v>2</v>
      </c>
      <c r="P1732" s="189">
        <v>0</v>
      </c>
      <c r="Q1732" s="189">
        <v>1</v>
      </c>
      <c r="R1732" s="189">
        <v>0</v>
      </c>
      <c r="S1732" s="189">
        <v>2</v>
      </c>
      <c r="T1732" s="184" t="s">
        <v>2639</v>
      </c>
      <c r="U1732" s="283" t="e">
        <v>#N/A</v>
      </c>
      <c r="V1732" s="184" t="s">
        <v>2640</v>
      </c>
      <c r="W1732" s="184">
        <v>1</v>
      </c>
      <c r="X1732" s="184">
        <v>1</v>
      </c>
      <c r="Y1732" s="184">
        <v>1</v>
      </c>
      <c r="Z1732" s="184">
        <v>1</v>
      </c>
      <c r="AA1732" s="184">
        <v>1</v>
      </c>
      <c r="AB1732" s="184">
        <v>1</v>
      </c>
      <c r="AC1732" s="316">
        <v>0</v>
      </c>
      <c r="AD1732" s="316">
        <v>1</v>
      </c>
      <c r="AE1732" s="302">
        <f t="shared" si="68"/>
        <v>0.875</v>
      </c>
      <c r="AF1732" s="186"/>
      <c r="AG1732" s="17">
        <v>0</v>
      </c>
      <c r="AH1732" s="186">
        <v>539.70000000000005</v>
      </c>
      <c r="AI1732" s="186" t="s">
        <v>271</v>
      </c>
      <c r="AJ1732" s="186">
        <v>556.88596483881634</v>
      </c>
      <c r="AK1732" s="191">
        <v>0</v>
      </c>
      <c r="AL1732" s="187">
        <v>522.51403516118376</v>
      </c>
      <c r="AM1732" s="147">
        <f t="shared" si="67"/>
        <v>522.51403516118376</v>
      </c>
      <c r="AN1732" s="184" t="s">
        <v>2641</v>
      </c>
      <c r="AO1732" s="168" t="s">
        <v>2510</v>
      </c>
      <c r="AP1732" s="184" t="s">
        <v>119</v>
      </c>
    </row>
    <row r="1733" spans="1:42" s="184" customFormat="1" x14ac:dyDescent="0.3">
      <c r="A1733" s="183" t="s">
        <v>1453</v>
      </c>
      <c r="B1733" s="184" t="s">
        <v>2496</v>
      </c>
      <c r="C1733" s="183" t="s">
        <v>2498</v>
      </c>
      <c r="D1733" s="184" t="s">
        <v>2499</v>
      </c>
      <c r="E1733" s="183" t="s">
        <v>2500</v>
      </c>
      <c r="F1733" s="184" t="s">
        <v>2501</v>
      </c>
      <c r="G1733" s="183" t="s">
        <v>2625</v>
      </c>
      <c r="H1733" s="184" t="s">
        <v>2626</v>
      </c>
      <c r="J1733" s="188"/>
      <c r="K1733" s="183" t="s">
        <v>2627</v>
      </c>
      <c r="L1733" s="184" t="s">
        <v>2628</v>
      </c>
      <c r="M1733" s="168" t="s">
        <v>2642</v>
      </c>
      <c r="N1733" s="168" t="s">
        <v>271</v>
      </c>
      <c r="O1733" s="168" t="s">
        <v>271</v>
      </c>
      <c r="P1733" s="189" t="s">
        <v>271</v>
      </c>
      <c r="Q1733" s="189">
        <v>1</v>
      </c>
      <c r="R1733" s="189" t="s">
        <v>271</v>
      </c>
      <c r="S1733" s="189" t="s">
        <v>271</v>
      </c>
      <c r="T1733" s="184" t="s">
        <v>2643</v>
      </c>
      <c r="U1733" s="283" t="e">
        <v>#N/A</v>
      </c>
      <c r="V1733" s="184" t="s">
        <v>2640</v>
      </c>
      <c r="W1733" s="184">
        <v>1</v>
      </c>
      <c r="X1733" s="184">
        <v>1</v>
      </c>
      <c r="Y1733" s="184">
        <v>1</v>
      </c>
      <c r="Z1733" s="184">
        <v>1</v>
      </c>
      <c r="AA1733" s="184">
        <v>1</v>
      </c>
      <c r="AB1733" s="184">
        <v>1</v>
      </c>
      <c r="AC1733" s="316">
        <v>0</v>
      </c>
      <c r="AD1733" s="316">
        <v>1</v>
      </c>
      <c r="AE1733" s="302">
        <f t="shared" si="68"/>
        <v>0.875</v>
      </c>
      <c r="AF1733" s="186"/>
      <c r="AG1733" s="17">
        <v>0</v>
      </c>
      <c r="AH1733" s="186" t="s">
        <v>271</v>
      </c>
      <c r="AI1733" s="186" t="s">
        <v>271</v>
      </c>
      <c r="AJ1733" s="186">
        <v>9</v>
      </c>
      <c r="AK1733" s="187">
        <v>18</v>
      </c>
      <c r="AL1733" s="187">
        <v>9</v>
      </c>
      <c r="AM1733" s="147">
        <f t="shared" si="67"/>
        <v>27</v>
      </c>
      <c r="AN1733" s="184" t="s">
        <v>2644</v>
      </c>
      <c r="AO1733" s="168" t="s">
        <v>2510</v>
      </c>
      <c r="AP1733" s="184" t="s">
        <v>119</v>
      </c>
    </row>
    <row r="1734" spans="1:42" s="184" customFormat="1" x14ac:dyDescent="0.3">
      <c r="A1734" s="183" t="s">
        <v>1453</v>
      </c>
      <c r="B1734" s="184" t="s">
        <v>2496</v>
      </c>
      <c r="C1734" s="183" t="s">
        <v>2498</v>
      </c>
      <c r="D1734" s="184" t="s">
        <v>2499</v>
      </c>
      <c r="E1734" s="183" t="s">
        <v>2500</v>
      </c>
      <c r="F1734" s="184" t="s">
        <v>2501</v>
      </c>
      <c r="G1734" s="183" t="s">
        <v>2625</v>
      </c>
      <c r="H1734" s="184" t="s">
        <v>2626</v>
      </c>
      <c r="J1734" s="188"/>
      <c r="K1734" s="183" t="s">
        <v>2627</v>
      </c>
      <c r="L1734" s="184" t="s">
        <v>2628</v>
      </c>
      <c r="M1734" s="168" t="s">
        <v>2645</v>
      </c>
      <c r="N1734" s="168">
        <v>0</v>
      </c>
      <c r="O1734" s="168" t="s">
        <v>271</v>
      </c>
      <c r="P1734" s="189">
        <v>50</v>
      </c>
      <c r="Q1734" s="189">
        <v>75</v>
      </c>
      <c r="R1734" s="189">
        <v>100</v>
      </c>
      <c r="S1734" s="189">
        <v>150</v>
      </c>
      <c r="T1734" s="184" t="s">
        <v>2507</v>
      </c>
      <c r="U1734" s="283" t="e">
        <v>#N/A</v>
      </c>
      <c r="V1734" s="184" t="s">
        <v>2646</v>
      </c>
      <c r="W1734" s="184">
        <v>1</v>
      </c>
      <c r="X1734" s="184">
        <v>1</v>
      </c>
      <c r="Y1734" s="184">
        <v>1</v>
      </c>
      <c r="Z1734" s="184">
        <v>1</v>
      </c>
      <c r="AA1734" s="184">
        <v>1</v>
      </c>
      <c r="AB1734" s="184">
        <v>1</v>
      </c>
      <c r="AC1734" s="316">
        <v>1</v>
      </c>
      <c r="AD1734" s="316">
        <v>1</v>
      </c>
      <c r="AE1734" s="302">
        <f t="shared" si="68"/>
        <v>1</v>
      </c>
      <c r="AF1734" s="186"/>
      <c r="AG1734" s="17">
        <v>0</v>
      </c>
      <c r="AH1734" s="186" t="s">
        <v>2631</v>
      </c>
      <c r="AI1734" s="186">
        <v>0.5</v>
      </c>
      <c r="AJ1734" s="186">
        <v>0.75</v>
      </c>
      <c r="AK1734" s="187"/>
      <c r="AL1734" s="187"/>
      <c r="AM1734" s="147">
        <f t="shared" si="67"/>
        <v>0</v>
      </c>
      <c r="AN1734" s="184" t="s">
        <v>2509</v>
      </c>
      <c r="AO1734" s="168" t="s">
        <v>2510</v>
      </c>
      <c r="AP1734" s="184" t="s">
        <v>63</v>
      </c>
    </row>
    <row r="1735" spans="1:42" s="184" customFormat="1" x14ac:dyDescent="0.3">
      <c r="A1735" s="183" t="s">
        <v>1453</v>
      </c>
      <c r="B1735" s="184" t="s">
        <v>2496</v>
      </c>
      <c r="C1735" s="183" t="s">
        <v>2498</v>
      </c>
      <c r="D1735" s="184" t="s">
        <v>2499</v>
      </c>
      <c r="E1735" s="183" t="s">
        <v>2500</v>
      </c>
      <c r="F1735" s="184" t="s">
        <v>2501</v>
      </c>
      <c r="G1735" s="183" t="s">
        <v>2625</v>
      </c>
      <c r="H1735" s="184" t="s">
        <v>2626</v>
      </c>
      <c r="J1735" s="188"/>
      <c r="K1735" s="183" t="s">
        <v>2627</v>
      </c>
      <c r="L1735" s="184" t="s">
        <v>2628</v>
      </c>
      <c r="M1735" s="168" t="s">
        <v>2647</v>
      </c>
      <c r="N1735" s="168" t="s">
        <v>2648</v>
      </c>
      <c r="O1735" s="168">
        <v>0</v>
      </c>
      <c r="P1735" s="189">
        <v>4</v>
      </c>
      <c r="Q1735" s="189">
        <v>4</v>
      </c>
      <c r="R1735" s="189">
        <v>5</v>
      </c>
      <c r="S1735" s="189">
        <v>5</v>
      </c>
      <c r="T1735" s="184" t="s">
        <v>2507</v>
      </c>
      <c r="U1735" s="283" t="e">
        <v>#N/A</v>
      </c>
      <c r="V1735" s="184" t="s">
        <v>2649</v>
      </c>
      <c r="W1735" s="184">
        <v>1</v>
      </c>
      <c r="X1735" s="184">
        <v>1</v>
      </c>
      <c r="Y1735" s="184">
        <v>1</v>
      </c>
      <c r="Z1735" s="184">
        <v>1</v>
      </c>
      <c r="AA1735" s="184">
        <v>1</v>
      </c>
      <c r="AB1735" s="184">
        <v>1</v>
      </c>
      <c r="AC1735" s="316">
        <v>1</v>
      </c>
      <c r="AD1735" s="316">
        <v>1</v>
      </c>
      <c r="AE1735" s="302">
        <f t="shared" si="68"/>
        <v>1</v>
      </c>
      <c r="AF1735" s="186"/>
      <c r="AG1735" s="17">
        <v>0</v>
      </c>
      <c r="AH1735" s="186" t="s">
        <v>2631</v>
      </c>
      <c r="AI1735" s="186">
        <v>0</v>
      </c>
      <c r="AJ1735" s="186">
        <v>0</v>
      </c>
      <c r="AK1735" s="187">
        <v>0</v>
      </c>
      <c r="AL1735" s="187">
        <v>0</v>
      </c>
      <c r="AM1735" s="147">
        <f t="shared" si="67"/>
        <v>0</v>
      </c>
      <c r="AN1735" s="184" t="s">
        <v>2509</v>
      </c>
      <c r="AO1735" s="168" t="s">
        <v>2510</v>
      </c>
      <c r="AP1735" s="184" t="s">
        <v>63</v>
      </c>
    </row>
    <row r="1736" spans="1:42" s="184" customFormat="1" x14ac:dyDescent="0.3">
      <c r="A1736" s="183" t="s">
        <v>1453</v>
      </c>
      <c r="B1736" s="184" t="s">
        <v>2496</v>
      </c>
      <c r="C1736" s="183" t="s">
        <v>2498</v>
      </c>
      <c r="D1736" s="184" t="s">
        <v>2499</v>
      </c>
      <c r="E1736" s="183" t="s">
        <v>2500</v>
      </c>
      <c r="F1736" s="184" t="s">
        <v>2501</v>
      </c>
      <c r="G1736" s="183" t="s">
        <v>2625</v>
      </c>
      <c r="H1736" s="184" t="s">
        <v>2626</v>
      </c>
      <c r="J1736" s="188"/>
      <c r="K1736" s="183" t="s">
        <v>2627</v>
      </c>
      <c r="L1736" s="184" t="s">
        <v>2628</v>
      </c>
      <c r="M1736" s="168" t="s">
        <v>2650</v>
      </c>
      <c r="N1736" s="168">
        <v>0</v>
      </c>
      <c r="O1736" s="168">
        <v>0</v>
      </c>
      <c r="P1736" s="192">
        <v>1</v>
      </c>
      <c r="Q1736" s="192">
        <v>1</v>
      </c>
      <c r="R1736" s="192">
        <v>1</v>
      </c>
      <c r="S1736" s="192">
        <v>1</v>
      </c>
      <c r="T1736" s="184" t="s">
        <v>2507</v>
      </c>
      <c r="U1736" s="283" t="e">
        <v>#N/A</v>
      </c>
      <c r="V1736" s="184" t="s">
        <v>2651</v>
      </c>
      <c r="W1736" s="184">
        <v>1</v>
      </c>
      <c r="X1736" s="184">
        <v>1</v>
      </c>
      <c r="Y1736" s="184">
        <v>1</v>
      </c>
      <c r="Z1736" s="184">
        <v>1</v>
      </c>
      <c r="AA1736" s="184">
        <v>1</v>
      </c>
      <c r="AB1736" s="184">
        <v>1</v>
      </c>
      <c r="AC1736" s="316">
        <v>1</v>
      </c>
      <c r="AD1736" s="316">
        <v>1</v>
      </c>
      <c r="AE1736" s="302">
        <f t="shared" si="68"/>
        <v>1</v>
      </c>
      <c r="AF1736" s="186"/>
      <c r="AG1736" s="17">
        <v>0</v>
      </c>
      <c r="AH1736" s="186" t="s">
        <v>2631</v>
      </c>
      <c r="AI1736" s="186">
        <v>10</v>
      </c>
      <c r="AJ1736" s="186">
        <v>10</v>
      </c>
      <c r="AK1736" s="187"/>
      <c r="AL1736" s="187"/>
      <c r="AM1736" s="147">
        <f t="shared" si="67"/>
        <v>0</v>
      </c>
      <c r="AN1736" s="184" t="s">
        <v>2509</v>
      </c>
      <c r="AO1736" s="168" t="s">
        <v>2510</v>
      </c>
      <c r="AP1736" s="184" t="s">
        <v>63</v>
      </c>
    </row>
    <row r="1737" spans="1:42" s="184" customFormat="1" x14ac:dyDescent="0.3">
      <c r="A1737" s="183" t="s">
        <v>1453</v>
      </c>
      <c r="B1737" s="184" t="s">
        <v>2496</v>
      </c>
      <c r="C1737" s="183" t="s">
        <v>2498</v>
      </c>
      <c r="D1737" s="184" t="s">
        <v>2499</v>
      </c>
      <c r="E1737" s="183" t="s">
        <v>2500</v>
      </c>
      <c r="F1737" s="184" t="s">
        <v>2501</v>
      </c>
      <c r="G1737" s="183" t="s">
        <v>2625</v>
      </c>
      <c r="H1737" s="184" t="s">
        <v>2626</v>
      </c>
      <c r="J1737" s="188"/>
      <c r="K1737" s="183" t="s">
        <v>2627</v>
      </c>
      <c r="L1737" s="184" t="s">
        <v>2628</v>
      </c>
      <c r="M1737" s="168" t="s">
        <v>2652</v>
      </c>
      <c r="N1737" s="168" t="s">
        <v>271</v>
      </c>
      <c r="O1737" s="168">
        <v>2</v>
      </c>
      <c r="P1737" s="189">
        <v>2</v>
      </c>
      <c r="Q1737" s="189">
        <v>2</v>
      </c>
      <c r="R1737" s="189">
        <v>2</v>
      </c>
      <c r="S1737" s="189">
        <v>2</v>
      </c>
      <c r="T1737" s="184" t="s">
        <v>2507</v>
      </c>
      <c r="U1737" s="283" t="e">
        <v>#N/A</v>
      </c>
      <c r="V1737" s="184" t="s">
        <v>2653</v>
      </c>
      <c r="W1737" s="184">
        <v>1</v>
      </c>
      <c r="X1737" s="184">
        <v>1</v>
      </c>
      <c r="Y1737" s="184">
        <v>1</v>
      </c>
      <c r="Z1737" s="184">
        <v>1</v>
      </c>
      <c r="AA1737" s="184">
        <v>1</v>
      </c>
      <c r="AB1737" s="184">
        <v>1</v>
      </c>
      <c r="AC1737" s="316">
        <v>1</v>
      </c>
      <c r="AD1737" s="316">
        <v>1</v>
      </c>
      <c r="AE1737" s="302">
        <f t="shared" si="68"/>
        <v>1</v>
      </c>
      <c r="AF1737" s="186"/>
      <c r="AG1737" s="17">
        <v>0</v>
      </c>
      <c r="AH1737" s="186">
        <v>0</v>
      </c>
      <c r="AI1737" s="186">
        <v>2</v>
      </c>
      <c r="AJ1737" s="186">
        <v>3</v>
      </c>
      <c r="AK1737" s="187">
        <v>0</v>
      </c>
      <c r="AL1737" s="187">
        <v>0</v>
      </c>
      <c r="AM1737" s="147">
        <f t="shared" si="67"/>
        <v>0</v>
      </c>
      <c r="AN1737" s="184" t="s">
        <v>2509</v>
      </c>
      <c r="AO1737" s="168" t="s">
        <v>2510</v>
      </c>
      <c r="AP1737" s="184" t="s">
        <v>63</v>
      </c>
    </row>
    <row r="1738" spans="1:42" s="184" customFormat="1" x14ac:dyDescent="0.3">
      <c r="A1738" s="183" t="s">
        <v>1453</v>
      </c>
      <c r="B1738" s="184" t="s">
        <v>2496</v>
      </c>
      <c r="C1738" s="183" t="s">
        <v>2498</v>
      </c>
      <c r="D1738" s="184" t="s">
        <v>2499</v>
      </c>
      <c r="E1738" s="183" t="s">
        <v>2500</v>
      </c>
      <c r="F1738" s="184" t="s">
        <v>2501</v>
      </c>
      <c r="G1738" s="183" t="s">
        <v>2625</v>
      </c>
      <c r="H1738" s="184" t="s">
        <v>2626</v>
      </c>
      <c r="J1738" s="188"/>
      <c r="K1738" s="183" t="s">
        <v>2627</v>
      </c>
      <c r="L1738" s="184" t="s">
        <v>2628</v>
      </c>
      <c r="M1738" s="168" t="s">
        <v>2654</v>
      </c>
      <c r="N1738" s="168" t="s">
        <v>271</v>
      </c>
      <c r="O1738" s="168">
        <v>2</v>
      </c>
      <c r="P1738" s="189">
        <v>2</v>
      </c>
      <c r="Q1738" s="189">
        <v>2</v>
      </c>
      <c r="R1738" s="189">
        <v>2</v>
      </c>
      <c r="S1738" s="189">
        <v>2</v>
      </c>
      <c r="T1738" s="184" t="s">
        <v>2507</v>
      </c>
      <c r="U1738" s="283" t="e">
        <v>#N/A</v>
      </c>
      <c r="V1738" s="184" t="s">
        <v>2655</v>
      </c>
      <c r="W1738" s="184">
        <v>1</v>
      </c>
      <c r="X1738" s="184">
        <v>1</v>
      </c>
      <c r="Y1738" s="184">
        <v>1</v>
      </c>
      <c r="Z1738" s="184">
        <v>1</v>
      </c>
      <c r="AA1738" s="184">
        <v>1</v>
      </c>
      <c r="AB1738" s="184">
        <v>1</v>
      </c>
      <c r="AC1738" s="316">
        <v>1</v>
      </c>
      <c r="AD1738" s="316">
        <v>1</v>
      </c>
      <c r="AE1738" s="302">
        <f t="shared" si="68"/>
        <v>1</v>
      </c>
      <c r="AF1738" s="186"/>
      <c r="AG1738" s="17">
        <v>0</v>
      </c>
      <c r="AH1738" s="186">
        <v>0</v>
      </c>
      <c r="AI1738" s="186">
        <v>18</v>
      </c>
      <c r="AJ1738" s="186">
        <v>27</v>
      </c>
      <c r="AK1738" s="187">
        <v>0</v>
      </c>
      <c r="AL1738" s="187">
        <v>0</v>
      </c>
      <c r="AM1738" s="147">
        <f t="shared" si="67"/>
        <v>0</v>
      </c>
      <c r="AN1738" s="184" t="s">
        <v>2509</v>
      </c>
      <c r="AO1738" s="168" t="s">
        <v>2510</v>
      </c>
      <c r="AP1738" s="184" t="s">
        <v>63</v>
      </c>
    </row>
    <row r="1739" spans="1:42" s="184" customFormat="1" x14ac:dyDescent="0.3">
      <c r="A1739" s="183" t="s">
        <v>1453</v>
      </c>
      <c r="B1739" s="184" t="s">
        <v>2496</v>
      </c>
      <c r="C1739" s="183" t="s">
        <v>2498</v>
      </c>
      <c r="D1739" s="184" t="s">
        <v>2499</v>
      </c>
      <c r="E1739" s="183" t="s">
        <v>2500</v>
      </c>
      <c r="F1739" s="184" t="s">
        <v>2501</v>
      </c>
      <c r="G1739" s="183" t="s">
        <v>2625</v>
      </c>
      <c r="H1739" s="184" t="s">
        <v>2626</v>
      </c>
      <c r="J1739" s="188"/>
      <c r="K1739" s="183" t="s">
        <v>2627</v>
      </c>
      <c r="L1739" s="184" t="s">
        <v>2628</v>
      </c>
      <c r="M1739" s="168" t="s">
        <v>2656</v>
      </c>
      <c r="N1739" s="168">
        <v>5</v>
      </c>
      <c r="O1739" s="168">
        <v>2</v>
      </c>
      <c r="P1739" s="189">
        <v>2</v>
      </c>
      <c r="Q1739" s="189">
        <v>2</v>
      </c>
      <c r="R1739" s="189">
        <v>2</v>
      </c>
      <c r="S1739" s="189">
        <v>2</v>
      </c>
      <c r="T1739" s="184" t="s">
        <v>2507</v>
      </c>
      <c r="U1739" s="283" t="e">
        <v>#N/A</v>
      </c>
      <c r="V1739" s="184" t="s">
        <v>2657</v>
      </c>
      <c r="W1739" s="184">
        <v>1</v>
      </c>
      <c r="X1739" s="184">
        <v>1</v>
      </c>
      <c r="Y1739" s="184">
        <v>1</v>
      </c>
      <c r="Z1739" s="184">
        <v>1</v>
      </c>
      <c r="AA1739" s="184">
        <v>1</v>
      </c>
      <c r="AB1739" s="184">
        <v>1</v>
      </c>
      <c r="AC1739" s="316">
        <v>1</v>
      </c>
      <c r="AD1739" s="316">
        <v>1</v>
      </c>
      <c r="AE1739" s="302">
        <f t="shared" si="68"/>
        <v>1</v>
      </c>
      <c r="AF1739" s="186"/>
      <c r="AG1739" s="17">
        <v>0</v>
      </c>
      <c r="AH1739" s="186">
        <v>0</v>
      </c>
      <c r="AI1739" s="186">
        <v>10</v>
      </c>
      <c r="AJ1739" s="186">
        <v>20</v>
      </c>
      <c r="AK1739" s="187">
        <v>0</v>
      </c>
      <c r="AL1739" s="187">
        <v>0</v>
      </c>
      <c r="AM1739" s="147">
        <f t="shared" si="67"/>
        <v>0</v>
      </c>
      <c r="AN1739" s="184" t="s">
        <v>2509</v>
      </c>
      <c r="AO1739" s="168" t="s">
        <v>2510</v>
      </c>
      <c r="AP1739" s="184" t="s">
        <v>63</v>
      </c>
    </row>
    <row r="1740" spans="1:42" s="184" customFormat="1" x14ac:dyDescent="0.3">
      <c r="A1740" s="183" t="s">
        <v>1453</v>
      </c>
      <c r="B1740" s="184" t="s">
        <v>2496</v>
      </c>
      <c r="C1740" s="183" t="s">
        <v>2498</v>
      </c>
      <c r="D1740" s="184" t="s">
        <v>2499</v>
      </c>
      <c r="E1740" s="183" t="s">
        <v>2500</v>
      </c>
      <c r="F1740" s="184" t="s">
        <v>2501</v>
      </c>
      <c r="G1740" s="183" t="s">
        <v>2625</v>
      </c>
      <c r="H1740" s="184" t="s">
        <v>2626</v>
      </c>
      <c r="J1740" s="188"/>
      <c r="K1740" s="183" t="s">
        <v>2627</v>
      </c>
      <c r="L1740" s="184" t="s">
        <v>2628</v>
      </c>
      <c r="M1740" s="168" t="s">
        <v>2658</v>
      </c>
      <c r="N1740" s="168">
        <v>0</v>
      </c>
      <c r="O1740" s="447">
        <v>0</v>
      </c>
      <c r="P1740" s="192">
        <v>1</v>
      </c>
      <c r="Q1740" s="192">
        <v>0</v>
      </c>
      <c r="R1740" s="192">
        <v>1</v>
      </c>
      <c r="S1740" s="192">
        <v>0</v>
      </c>
      <c r="T1740" s="184" t="s">
        <v>2507</v>
      </c>
      <c r="U1740" s="283" t="e">
        <v>#N/A</v>
      </c>
      <c r="V1740" s="184" t="s">
        <v>2659</v>
      </c>
      <c r="W1740" s="184">
        <v>1</v>
      </c>
      <c r="X1740" s="184">
        <v>1</v>
      </c>
      <c r="Y1740" s="184">
        <v>1</v>
      </c>
      <c r="Z1740" s="184">
        <v>1</v>
      </c>
      <c r="AA1740" s="184">
        <v>1</v>
      </c>
      <c r="AB1740" s="184">
        <v>1</v>
      </c>
      <c r="AC1740" s="316">
        <v>1</v>
      </c>
      <c r="AD1740" s="316">
        <v>1</v>
      </c>
      <c r="AE1740" s="302">
        <f t="shared" si="68"/>
        <v>1</v>
      </c>
      <c r="AF1740" s="186"/>
      <c r="AG1740" s="17">
        <v>0</v>
      </c>
      <c r="AH1740" s="186">
        <v>0</v>
      </c>
      <c r="AI1740" s="186">
        <v>10</v>
      </c>
      <c r="AJ1740" s="186">
        <v>0</v>
      </c>
      <c r="AK1740" s="187">
        <v>0</v>
      </c>
      <c r="AL1740" s="187">
        <v>0</v>
      </c>
      <c r="AM1740" s="147">
        <f t="shared" si="67"/>
        <v>0</v>
      </c>
      <c r="AN1740" s="184" t="s">
        <v>2509</v>
      </c>
      <c r="AO1740" s="168" t="s">
        <v>2510</v>
      </c>
      <c r="AP1740" s="184" t="s">
        <v>63</v>
      </c>
    </row>
    <row r="1741" spans="1:42" s="184" customFormat="1" x14ac:dyDescent="0.3">
      <c r="A1741" s="183" t="s">
        <v>1453</v>
      </c>
      <c r="B1741" s="184" t="s">
        <v>2496</v>
      </c>
      <c r="C1741" s="183" t="s">
        <v>2498</v>
      </c>
      <c r="D1741" s="184" t="s">
        <v>2499</v>
      </c>
      <c r="E1741" s="183" t="s">
        <v>2500</v>
      </c>
      <c r="F1741" s="184" t="s">
        <v>2501</v>
      </c>
      <c r="G1741" s="183" t="s">
        <v>2625</v>
      </c>
      <c r="H1741" s="184" t="s">
        <v>2626</v>
      </c>
      <c r="J1741" s="188"/>
      <c r="K1741" s="183" t="s">
        <v>2627</v>
      </c>
      <c r="L1741" s="184" t="s">
        <v>2628</v>
      </c>
      <c r="M1741" s="168" t="s">
        <v>2660</v>
      </c>
      <c r="N1741" s="168">
        <v>3</v>
      </c>
      <c r="O1741" s="168">
        <v>3</v>
      </c>
      <c r="P1741" s="189">
        <v>3</v>
      </c>
      <c r="Q1741" s="189">
        <v>3</v>
      </c>
      <c r="R1741" s="189">
        <v>2</v>
      </c>
      <c r="S1741" s="189">
        <v>1</v>
      </c>
      <c r="T1741" s="184" t="s">
        <v>2661</v>
      </c>
      <c r="U1741" s="283" t="e">
        <v>#N/A</v>
      </c>
      <c r="V1741" s="184" t="s">
        <v>2662</v>
      </c>
      <c r="W1741" s="184">
        <v>1</v>
      </c>
      <c r="X1741" s="184">
        <v>1</v>
      </c>
      <c r="Y1741" s="184">
        <v>1</v>
      </c>
      <c r="Z1741" s="184">
        <v>1</v>
      </c>
      <c r="AA1741" s="184">
        <v>1</v>
      </c>
      <c r="AB1741" s="184">
        <v>1</v>
      </c>
      <c r="AC1741" s="316">
        <v>1</v>
      </c>
      <c r="AD1741" s="316">
        <v>1</v>
      </c>
      <c r="AE1741" s="302">
        <f t="shared" si="68"/>
        <v>1</v>
      </c>
      <c r="AF1741" s="186"/>
      <c r="AG1741" s="17">
        <v>0</v>
      </c>
      <c r="AH1741" s="186">
        <v>0</v>
      </c>
      <c r="AI1741" s="186">
        <v>5.3</v>
      </c>
      <c r="AJ1741" s="186">
        <v>12</v>
      </c>
      <c r="AK1741" s="187">
        <v>9.1999999999999993</v>
      </c>
      <c r="AL1741" s="187">
        <v>6</v>
      </c>
      <c r="AM1741" s="147">
        <f t="shared" si="67"/>
        <v>15.2</v>
      </c>
      <c r="AN1741" s="184" t="s">
        <v>63</v>
      </c>
      <c r="AO1741" s="168" t="s">
        <v>2510</v>
      </c>
      <c r="AP1741" s="184" t="s">
        <v>119</v>
      </c>
    </row>
    <row r="1742" spans="1:42" s="184" customFormat="1" x14ac:dyDescent="0.3">
      <c r="A1742" s="183" t="s">
        <v>1453</v>
      </c>
      <c r="B1742" s="184" t="s">
        <v>2496</v>
      </c>
      <c r="C1742" s="183" t="s">
        <v>2498</v>
      </c>
      <c r="D1742" s="184" t="s">
        <v>2499</v>
      </c>
      <c r="E1742" s="183" t="s">
        <v>2500</v>
      </c>
      <c r="F1742" s="184" t="s">
        <v>2501</v>
      </c>
      <c r="G1742" s="183" t="s">
        <v>2625</v>
      </c>
      <c r="H1742" s="184" t="s">
        <v>2626</v>
      </c>
      <c r="J1742" s="188"/>
      <c r="K1742" s="183" t="s">
        <v>2627</v>
      </c>
      <c r="L1742" s="184" t="s">
        <v>2628</v>
      </c>
      <c r="M1742" s="168" t="s">
        <v>2663</v>
      </c>
      <c r="N1742" s="168" t="s">
        <v>271</v>
      </c>
      <c r="O1742" s="168">
        <v>0</v>
      </c>
      <c r="P1742" s="189">
        <v>0</v>
      </c>
      <c r="Q1742" s="189">
        <v>1</v>
      </c>
      <c r="R1742" s="189">
        <v>1</v>
      </c>
      <c r="S1742" s="189">
        <v>1</v>
      </c>
      <c r="T1742" s="184" t="s">
        <v>63</v>
      </c>
      <c r="U1742" s="283" t="s">
        <v>2510</v>
      </c>
      <c r="V1742" s="184" t="s">
        <v>2664</v>
      </c>
      <c r="W1742" s="184">
        <v>1</v>
      </c>
      <c r="X1742" s="184">
        <v>1</v>
      </c>
      <c r="Y1742" s="184">
        <v>1</v>
      </c>
      <c r="Z1742" s="184">
        <v>1</v>
      </c>
      <c r="AA1742" s="184">
        <v>1</v>
      </c>
      <c r="AB1742" s="184">
        <v>1</v>
      </c>
      <c r="AC1742" s="316">
        <v>1</v>
      </c>
      <c r="AD1742" s="316">
        <v>1</v>
      </c>
      <c r="AE1742" s="302">
        <f t="shared" si="68"/>
        <v>1</v>
      </c>
      <c r="AF1742" s="186"/>
      <c r="AG1742" s="17">
        <v>0</v>
      </c>
      <c r="AH1742" s="186">
        <v>0</v>
      </c>
      <c r="AI1742" s="186">
        <v>0</v>
      </c>
      <c r="AJ1742" s="186">
        <v>0</v>
      </c>
      <c r="AK1742" s="187">
        <v>2</v>
      </c>
      <c r="AL1742" s="187">
        <v>2</v>
      </c>
      <c r="AM1742" s="147">
        <f t="shared" si="67"/>
        <v>4</v>
      </c>
      <c r="AN1742" s="184" t="s">
        <v>63</v>
      </c>
      <c r="AO1742" s="168" t="s">
        <v>2510</v>
      </c>
      <c r="AP1742" s="184" t="s">
        <v>119</v>
      </c>
    </row>
    <row r="1743" spans="1:42" s="184" customFormat="1" x14ac:dyDescent="0.3">
      <c r="A1743" s="183" t="s">
        <v>1453</v>
      </c>
      <c r="B1743" s="184" t="s">
        <v>2496</v>
      </c>
      <c r="C1743" s="183" t="s">
        <v>2498</v>
      </c>
      <c r="D1743" s="184" t="s">
        <v>2499</v>
      </c>
      <c r="E1743" s="183" t="s">
        <v>2500</v>
      </c>
      <c r="F1743" s="184" t="s">
        <v>2501</v>
      </c>
      <c r="G1743" s="183" t="s">
        <v>2625</v>
      </c>
      <c r="H1743" s="184" t="s">
        <v>2626</v>
      </c>
      <c r="J1743" s="188"/>
      <c r="K1743" s="183" t="s">
        <v>2627</v>
      </c>
      <c r="L1743" s="184" t="s">
        <v>2628</v>
      </c>
      <c r="M1743" s="168" t="s">
        <v>2665</v>
      </c>
      <c r="N1743" s="168"/>
      <c r="O1743" s="168">
        <v>80</v>
      </c>
      <c r="P1743" s="189">
        <v>80</v>
      </c>
      <c r="Q1743" s="189">
        <v>70</v>
      </c>
      <c r="R1743" s="189">
        <v>70</v>
      </c>
      <c r="S1743" s="189">
        <v>70</v>
      </c>
      <c r="T1743" s="184" t="s">
        <v>63</v>
      </c>
      <c r="U1743" s="283" t="s">
        <v>2510</v>
      </c>
      <c r="V1743" s="184" t="s">
        <v>2666</v>
      </c>
      <c r="W1743" s="184">
        <v>1</v>
      </c>
      <c r="X1743" s="184">
        <v>1</v>
      </c>
      <c r="Y1743" s="184">
        <v>1</v>
      </c>
      <c r="Z1743" s="184">
        <v>1</v>
      </c>
      <c r="AA1743" s="184">
        <v>1</v>
      </c>
      <c r="AB1743" s="184">
        <v>1</v>
      </c>
      <c r="AC1743" s="316">
        <v>1</v>
      </c>
      <c r="AD1743" s="316">
        <v>1</v>
      </c>
      <c r="AE1743" s="302">
        <f t="shared" si="68"/>
        <v>1</v>
      </c>
      <c r="AF1743" s="186"/>
      <c r="AG1743" s="17">
        <v>0</v>
      </c>
      <c r="AH1743" s="186">
        <v>10</v>
      </c>
      <c r="AI1743" s="186">
        <v>15</v>
      </c>
      <c r="AJ1743" s="186">
        <v>20</v>
      </c>
      <c r="AK1743" s="187">
        <v>25</v>
      </c>
      <c r="AL1743" s="187">
        <v>30</v>
      </c>
      <c r="AM1743" s="147">
        <f t="shared" si="67"/>
        <v>55</v>
      </c>
      <c r="AN1743" s="184" t="s">
        <v>63</v>
      </c>
      <c r="AO1743" s="168" t="s">
        <v>2510</v>
      </c>
      <c r="AP1743" s="184" t="s">
        <v>119</v>
      </c>
    </row>
    <row r="1744" spans="1:42" s="184" customFormat="1" x14ac:dyDescent="0.3">
      <c r="A1744" s="183" t="s">
        <v>1453</v>
      </c>
      <c r="B1744" s="184" t="s">
        <v>2496</v>
      </c>
      <c r="C1744" s="183" t="s">
        <v>2498</v>
      </c>
      <c r="D1744" s="184" t="s">
        <v>2499</v>
      </c>
      <c r="E1744" s="183" t="s">
        <v>2500</v>
      </c>
      <c r="F1744" s="184" t="s">
        <v>2501</v>
      </c>
      <c r="G1744" s="183" t="s">
        <v>2625</v>
      </c>
      <c r="H1744" s="184" t="s">
        <v>2626</v>
      </c>
      <c r="I1744" s="193"/>
      <c r="J1744" s="193"/>
      <c r="K1744" s="183" t="s">
        <v>2627</v>
      </c>
      <c r="L1744" s="184" t="s">
        <v>2628</v>
      </c>
      <c r="M1744" s="168" t="s">
        <v>2667</v>
      </c>
      <c r="N1744" s="168">
        <v>12</v>
      </c>
      <c r="O1744" s="168" t="s">
        <v>2631</v>
      </c>
      <c r="P1744" s="189">
        <v>13</v>
      </c>
      <c r="Q1744" s="189">
        <v>5</v>
      </c>
      <c r="R1744" s="189" t="s">
        <v>2631</v>
      </c>
      <c r="S1744" s="189" t="s">
        <v>2631</v>
      </c>
      <c r="T1744" s="184" t="s">
        <v>63</v>
      </c>
      <c r="U1744" s="283" t="s">
        <v>2510</v>
      </c>
      <c r="V1744" s="184" t="s">
        <v>2668</v>
      </c>
      <c r="W1744" s="184">
        <v>1</v>
      </c>
      <c r="X1744" s="184">
        <v>1</v>
      </c>
      <c r="Y1744" s="184">
        <v>1</v>
      </c>
      <c r="Z1744" s="184">
        <v>1</v>
      </c>
      <c r="AA1744" s="184">
        <v>1</v>
      </c>
      <c r="AB1744" s="184">
        <v>1</v>
      </c>
      <c r="AC1744" s="316">
        <v>1</v>
      </c>
      <c r="AD1744" s="316">
        <v>1</v>
      </c>
      <c r="AE1744" s="302">
        <f t="shared" si="68"/>
        <v>1</v>
      </c>
      <c r="AF1744" s="186"/>
      <c r="AG1744" s="17">
        <v>0</v>
      </c>
      <c r="AH1744" s="186" t="s">
        <v>2631</v>
      </c>
      <c r="AI1744" s="186">
        <v>0</v>
      </c>
      <c r="AJ1744" s="186">
        <v>0</v>
      </c>
      <c r="AK1744" s="187">
        <v>0</v>
      </c>
      <c r="AL1744" s="187">
        <v>46</v>
      </c>
      <c r="AM1744" s="147">
        <f t="shared" si="67"/>
        <v>46</v>
      </c>
      <c r="AN1744" s="184" t="s">
        <v>63</v>
      </c>
      <c r="AO1744" s="168" t="s">
        <v>2510</v>
      </c>
      <c r="AP1744" s="184" t="s">
        <v>119</v>
      </c>
    </row>
    <row r="1745" spans="1:42" s="184" customFormat="1" x14ac:dyDescent="0.3">
      <c r="A1745" s="183" t="s">
        <v>1453</v>
      </c>
      <c r="B1745" s="184" t="s">
        <v>2496</v>
      </c>
      <c r="C1745" s="183" t="s">
        <v>2498</v>
      </c>
      <c r="D1745" s="184" t="s">
        <v>2499</v>
      </c>
      <c r="E1745" s="183" t="s">
        <v>2500</v>
      </c>
      <c r="F1745" s="184" t="s">
        <v>2501</v>
      </c>
      <c r="G1745" s="183" t="s">
        <v>2625</v>
      </c>
      <c r="H1745" s="184" t="s">
        <v>2626</v>
      </c>
      <c r="K1745" s="183" t="s">
        <v>2627</v>
      </c>
      <c r="L1745" s="184" t="s">
        <v>2628</v>
      </c>
      <c r="M1745" s="168" t="s">
        <v>2669</v>
      </c>
      <c r="N1745" s="446">
        <v>0</v>
      </c>
      <c r="O1745" s="446">
        <v>0</v>
      </c>
      <c r="P1745" s="185">
        <v>0</v>
      </c>
      <c r="Q1745" s="185">
        <v>0</v>
      </c>
      <c r="R1745" s="185">
        <v>0</v>
      </c>
      <c r="S1745" s="185">
        <v>1</v>
      </c>
      <c r="T1745" s="184" t="s">
        <v>2661</v>
      </c>
      <c r="U1745" s="283" t="e">
        <v>#N/A</v>
      </c>
      <c r="V1745" s="184" t="s">
        <v>2670</v>
      </c>
      <c r="W1745" s="184">
        <v>1</v>
      </c>
      <c r="X1745" s="184">
        <v>1</v>
      </c>
      <c r="Y1745" s="184">
        <v>1</v>
      </c>
      <c r="Z1745" s="184">
        <v>1</v>
      </c>
      <c r="AA1745" s="184">
        <v>1</v>
      </c>
      <c r="AB1745" s="184">
        <v>1</v>
      </c>
      <c r="AC1745" s="316">
        <v>1</v>
      </c>
      <c r="AD1745" s="316">
        <v>1</v>
      </c>
      <c r="AE1745" s="302">
        <f t="shared" si="68"/>
        <v>1</v>
      </c>
      <c r="AF1745" s="186"/>
      <c r="AG1745" s="17">
        <v>0</v>
      </c>
      <c r="AH1745" s="186">
        <v>0</v>
      </c>
      <c r="AI1745" s="186">
        <v>0</v>
      </c>
      <c r="AJ1745" s="186">
        <v>0</v>
      </c>
      <c r="AK1745" s="187">
        <v>5</v>
      </c>
      <c r="AL1745" s="187">
        <v>10</v>
      </c>
      <c r="AM1745" s="147">
        <f t="shared" si="67"/>
        <v>15</v>
      </c>
      <c r="AN1745" s="184" t="s">
        <v>63</v>
      </c>
      <c r="AO1745" s="168" t="s">
        <v>2510</v>
      </c>
      <c r="AP1745" s="184" t="s">
        <v>119</v>
      </c>
    </row>
    <row r="1746" spans="1:42" s="184" customFormat="1" x14ac:dyDescent="0.3">
      <c r="A1746" s="183" t="s">
        <v>1453</v>
      </c>
      <c r="B1746" s="184" t="s">
        <v>2496</v>
      </c>
      <c r="C1746" s="183" t="s">
        <v>2498</v>
      </c>
      <c r="D1746" s="184" t="s">
        <v>2499</v>
      </c>
      <c r="E1746" s="183" t="s">
        <v>2500</v>
      </c>
      <c r="F1746" s="184" t="s">
        <v>2501</v>
      </c>
      <c r="G1746" s="183" t="s">
        <v>2625</v>
      </c>
      <c r="H1746" s="184" t="s">
        <v>2626</v>
      </c>
      <c r="J1746" s="188"/>
      <c r="K1746" s="183" t="s">
        <v>2627</v>
      </c>
      <c r="L1746" s="184" t="s">
        <v>2628</v>
      </c>
      <c r="M1746" s="168" t="s">
        <v>2671</v>
      </c>
      <c r="N1746" s="168" t="s">
        <v>2631</v>
      </c>
      <c r="O1746" s="168" t="s">
        <v>2631</v>
      </c>
      <c r="P1746" s="189">
        <v>60</v>
      </c>
      <c r="Q1746" s="189">
        <v>40</v>
      </c>
      <c r="R1746" s="189" t="s">
        <v>2631</v>
      </c>
      <c r="S1746" s="189"/>
      <c r="T1746" s="184" t="s">
        <v>63</v>
      </c>
      <c r="U1746" s="283" t="s">
        <v>2510</v>
      </c>
      <c r="V1746" s="184" t="s">
        <v>2672</v>
      </c>
      <c r="W1746" s="184">
        <v>1</v>
      </c>
      <c r="X1746" s="184">
        <v>1</v>
      </c>
      <c r="Y1746" s="184">
        <v>1</v>
      </c>
      <c r="Z1746" s="184">
        <v>0</v>
      </c>
      <c r="AA1746" s="184">
        <v>0</v>
      </c>
      <c r="AB1746" s="184">
        <v>1</v>
      </c>
      <c r="AC1746" s="316">
        <v>1</v>
      </c>
      <c r="AD1746" s="316">
        <v>1</v>
      </c>
      <c r="AE1746" s="302">
        <f t="shared" si="68"/>
        <v>0.75</v>
      </c>
      <c r="AF1746" s="186"/>
      <c r="AG1746" s="17">
        <v>0</v>
      </c>
      <c r="AH1746" s="186">
        <v>0</v>
      </c>
      <c r="AI1746" s="186">
        <v>0</v>
      </c>
      <c r="AJ1746" s="186">
        <v>0</v>
      </c>
      <c r="AK1746" s="187">
        <v>2</v>
      </c>
      <c r="AL1746" s="187">
        <v>3</v>
      </c>
      <c r="AM1746" s="147">
        <f t="shared" si="67"/>
        <v>5</v>
      </c>
      <c r="AN1746" s="184" t="s">
        <v>63</v>
      </c>
      <c r="AO1746" s="168" t="s">
        <v>2510</v>
      </c>
      <c r="AP1746" s="184" t="s">
        <v>119</v>
      </c>
    </row>
    <row r="1747" spans="1:42" s="184" customFormat="1" x14ac:dyDescent="0.3">
      <c r="A1747" s="183" t="s">
        <v>1453</v>
      </c>
      <c r="B1747" s="184" t="s">
        <v>2496</v>
      </c>
      <c r="C1747" s="183" t="s">
        <v>2498</v>
      </c>
      <c r="D1747" s="184" t="s">
        <v>2499</v>
      </c>
      <c r="E1747" s="183" t="s">
        <v>2500</v>
      </c>
      <c r="F1747" s="184" t="s">
        <v>2501</v>
      </c>
      <c r="G1747" s="183" t="s">
        <v>2625</v>
      </c>
      <c r="H1747" s="184" t="s">
        <v>2626</v>
      </c>
      <c r="J1747" s="188"/>
      <c r="K1747" s="183" t="s">
        <v>2627</v>
      </c>
      <c r="L1747" s="184" t="s">
        <v>2628</v>
      </c>
      <c r="M1747" s="168" t="s">
        <v>2673</v>
      </c>
      <c r="N1747" s="168" t="s">
        <v>271</v>
      </c>
      <c r="O1747" s="168" t="s">
        <v>271</v>
      </c>
      <c r="P1747" s="189" t="s">
        <v>271</v>
      </c>
      <c r="Q1747" s="189">
        <v>204</v>
      </c>
      <c r="R1747" s="189">
        <v>204</v>
      </c>
      <c r="S1747" s="189">
        <v>237</v>
      </c>
      <c r="T1747" s="184" t="s">
        <v>63</v>
      </c>
      <c r="U1747" s="283" t="s">
        <v>2510</v>
      </c>
      <c r="V1747" s="184" t="s">
        <v>2674</v>
      </c>
      <c r="W1747" s="184">
        <v>1</v>
      </c>
      <c r="X1747" s="184">
        <v>1</v>
      </c>
      <c r="Y1747" s="184">
        <v>1</v>
      </c>
      <c r="Z1747" s="184">
        <v>1</v>
      </c>
      <c r="AA1747" s="184">
        <v>1</v>
      </c>
      <c r="AB1747" s="184">
        <v>1</v>
      </c>
      <c r="AC1747" s="316">
        <v>1</v>
      </c>
      <c r="AD1747" s="316">
        <v>1</v>
      </c>
      <c r="AE1747" s="302">
        <f t="shared" si="68"/>
        <v>1</v>
      </c>
      <c r="AF1747" s="186"/>
      <c r="AG1747" s="17">
        <v>0</v>
      </c>
      <c r="AH1747" s="186">
        <v>0</v>
      </c>
      <c r="AI1747" s="186">
        <v>0</v>
      </c>
      <c r="AJ1747" s="186">
        <v>5</v>
      </c>
      <c r="AK1747" s="187">
        <v>6</v>
      </c>
      <c r="AL1747" s="187">
        <v>7</v>
      </c>
      <c r="AM1747" s="147">
        <f t="shared" si="67"/>
        <v>13</v>
      </c>
      <c r="AN1747" s="184" t="s">
        <v>63</v>
      </c>
      <c r="AO1747" s="168" t="s">
        <v>2510</v>
      </c>
      <c r="AP1747" s="184" t="s">
        <v>119</v>
      </c>
    </row>
    <row r="1748" spans="1:42" s="184" customFormat="1" x14ac:dyDescent="0.3">
      <c r="A1748" s="183" t="s">
        <v>1453</v>
      </c>
      <c r="B1748" s="184" t="s">
        <v>2496</v>
      </c>
      <c r="C1748" s="183" t="s">
        <v>2498</v>
      </c>
      <c r="D1748" s="184" t="s">
        <v>2499</v>
      </c>
      <c r="E1748" s="183" t="s">
        <v>2500</v>
      </c>
      <c r="F1748" s="184" t="s">
        <v>2501</v>
      </c>
      <c r="G1748" s="183" t="s">
        <v>2625</v>
      </c>
      <c r="H1748" s="184" t="s">
        <v>2626</v>
      </c>
      <c r="J1748" s="188"/>
      <c r="K1748" s="183" t="s">
        <v>2627</v>
      </c>
      <c r="L1748" s="184" t="s">
        <v>2628</v>
      </c>
      <c r="M1748" s="168" t="s">
        <v>2675</v>
      </c>
      <c r="N1748" s="168" t="s">
        <v>271</v>
      </c>
      <c r="O1748" s="168">
        <v>70</v>
      </c>
      <c r="P1748" s="189">
        <v>70</v>
      </c>
      <c r="Q1748" s="189">
        <v>70</v>
      </c>
      <c r="R1748" s="189">
        <v>70</v>
      </c>
      <c r="S1748" s="189">
        <v>70</v>
      </c>
      <c r="T1748" s="184" t="s">
        <v>63</v>
      </c>
      <c r="U1748" s="283" t="s">
        <v>2510</v>
      </c>
      <c r="V1748" s="184" t="s">
        <v>2676</v>
      </c>
      <c r="W1748" s="184">
        <v>0</v>
      </c>
      <c r="X1748" s="184">
        <v>0</v>
      </c>
      <c r="Y1748" s="184">
        <v>0</v>
      </c>
      <c r="Z1748" s="184">
        <v>1</v>
      </c>
      <c r="AA1748" s="184">
        <v>1</v>
      </c>
      <c r="AB1748" s="184">
        <v>0</v>
      </c>
      <c r="AC1748" s="316">
        <v>0</v>
      </c>
      <c r="AD1748" s="316">
        <v>1</v>
      </c>
      <c r="AE1748" s="302">
        <f t="shared" si="68"/>
        <v>0.375</v>
      </c>
      <c r="AF1748" s="186"/>
      <c r="AG1748" s="17">
        <v>0</v>
      </c>
      <c r="AH1748" s="186">
        <v>1</v>
      </c>
      <c r="AI1748" s="186">
        <v>1.2</v>
      </c>
      <c r="AJ1748" s="186">
        <v>1.2</v>
      </c>
      <c r="AK1748" s="187">
        <v>1.3</v>
      </c>
      <c r="AL1748" s="187">
        <v>1.3</v>
      </c>
      <c r="AM1748" s="147">
        <f t="shared" si="67"/>
        <v>2.6</v>
      </c>
      <c r="AN1748" s="184" t="s">
        <v>63</v>
      </c>
      <c r="AO1748" s="168" t="s">
        <v>2510</v>
      </c>
      <c r="AP1748" s="184" t="s">
        <v>119</v>
      </c>
    </row>
    <row r="1749" spans="1:42" s="184" customFormat="1" x14ac:dyDescent="0.3">
      <c r="A1749" s="183" t="s">
        <v>1453</v>
      </c>
      <c r="B1749" s="184" t="s">
        <v>2496</v>
      </c>
      <c r="C1749" s="183" t="s">
        <v>2498</v>
      </c>
      <c r="D1749" s="184" t="s">
        <v>2499</v>
      </c>
      <c r="E1749" s="183" t="s">
        <v>2500</v>
      </c>
      <c r="F1749" s="184" t="s">
        <v>2501</v>
      </c>
      <c r="G1749" s="183" t="s">
        <v>2625</v>
      </c>
      <c r="H1749" s="184" t="s">
        <v>2626</v>
      </c>
      <c r="J1749" s="188"/>
      <c r="K1749" s="183" t="s">
        <v>2627</v>
      </c>
      <c r="L1749" s="184" t="s">
        <v>2628</v>
      </c>
      <c r="M1749" s="168" t="s">
        <v>2677</v>
      </c>
      <c r="N1749" s="168" t="s">
        <v>271</v>
      </c>
      <c r="O1749" s="168">
        <v>70</v>
      </c>
      <c r="P1749" s="189">
        <v>70</v>
      </c>
      <c r="Q1749" s="189">
        <v>70</v>
      </c>
      <c r="R1749" s="189">
        <v>70</v>
      </c>
      <c r="S1749" s="189">
        <v>70</v>
      </c>
      <c r="T1749" s="184" t="s">
        <v>63</v>
      </c>
      <c r="U1749" s="283" t="s">
        <v>2510</v>
      </c>
      <c r="V1749" s="184" t="s">
        <v>2678</v>
      </c>
      <c r="W1749" s="184">
        <v>0</v>
      </c>
      <c r="X1749" s="184">
        <v>0</v>
      </c>
      <c r="Y1749" s="184">
        <v>0</v>
      </c>
      <c r="Z1749" s="184">
        <v>1</v>
      </c>
      <c r="AA1749" s="184">
        <v>1</v>
      </c>
      <c r="AB1749" s="184">
        <v>0</v>
      </c>
      <c r="AC1749" s="316">
        <v>0</v>
      </c>
      <c r="AD1749" s="316">
        <v>1</v>
      </c>
      <c r="AE1749" s="302">
        <f t="shared" si="68"/>
        <v>0.375</v>
      </c>
      <c r="AF1749" s="186"/>
      <c r="AG1749" s="17">
        <v>0</v>
      </c>
      <c r="AH1749" s="186">
        <v>0</v>
      </c>
      <c r="AI1749" s="186">
        <v>0</v>
      </c>
      <c r="AJ1749" s="186">
        <v>0.2</v>
      </c>
      <c r="AK1749" s="187">
        <v>0.2</v>
      </c>
      <c r="AL1749" s="187">
        <v>0.2</v>
      </c>
      <c r="AM1749" s="147">
        <f t="shared" ref="AM1749:AM1812" si="69">SUM(AK1749:AL1749)</f>
        <v>0.4</v>
      </c>
      <c r="AN1749" s="184" t="s">
        <v>63</v>
      </c>
      <c r="AO1749" s="168" t="s">
        <v>2510</v>
      </c>
      <c r="AP1749" s="184" t="s">
        <v>119</v>
      </c>
    </row>
    <row r="1750" spans="1:42" s="184" customFormat="1" x14ac:dyDescent="0.3">
      <c r="A1750" s="183" t="s">
        <v>1453</v>
      </c>
      <c r="B1750" s="184" t="s">
        <v>2496</v>
      </c>
      <c r="C1750" s="183" t="s">
        <v>2498</v>
      </c>
      <c r="D1750" s="184" t="s">
        <v>2499</v>
      </c>
      <c r="E1750" s="183" t="s">
        <v>2500</v>
      </c>
      <c r="F1750" s="184" t="s">
        <v>2501</v>
      </c>
      <c r="G1750" s="183" t="s">
        <v>2625</v>
      </c>
      <c r="H1750" s="184" t="s">
        <v>2626</v>
      </c>
      <c r="J1750" s="188"/>
      <c r="K1750" s="183" t="s">
        <v>2627</v>
      </c>
      <c r="L1750" s="184" t="s">
        <v>2628</v>
      </c>
      <c r="M1750" s="168" t="s">
        <v>2679</v>
      </c>
      <c r="N1750" s="168" t="s">
        <v>271</v>
      </c>
      <c r="O1750" s="168" t="s">
        <v>271</v>
      </c>
      <c r="P1750" s="189">
        <v>2</v>
      </c>
      <c r="Q1750" s="189">
        <v>2</v>
      </c>
      <c r="R1750" s="189">
        <v>2</v>
      </c>
      <c r="S1750" s="189">
        <v>2</v>
      </c>
      <c r="T1750" s="184" t="s">
        <v>63</v>
      </c>
      <c r="U1750" s="283" t="s">
        <v>2510</v>
      </c>
      <c r="V1750" s="184" t="s">
        <v>2680</v>
      </c>
      <c r="W1750" s="184">
        <v>1</v>
      </c>
      <c r="X1750" s="184">
        <v>1</v>
      </c>
      <c r="Y1750" s="184">
        <v>1</v>
      </c>
      <c r="Z1750" s="184">
        <v>1</v>
      </c>
      <c r="AA1750" s="184">
        <v>1</v>
      </c>
      <c r="AB1750" s="184">
        <v>1</v>
      </c>
      <c r="AC1750" s="316">
        <v>1</v>
      </c>
      <c r="AD1750" s="316">
        <v>1</v>
      </c>
      <c r="AE1750" s="302">
        <f t="shared" si="68"/>
        <v>1</v>
      </c>
      <c r="AF1750" s="186"/>
      <c r="AG1750" s="17">
        <v>0</v>
      </c>
      <c r="AH1750" s="186">
        <v>0</v>
      </c>
      <c r="AI1750" s="186">
        <v>5</v>
      </c>
      <c r="AJ1750" s="186">
        <v>5</v>
      </c>
      <c r="AK1750" s="187">
        <v>4</v>
      </c>
      <c r="AL1750" s="187">
        <v>4</v>
      </c>
      <c r="AM1750" s="147">
        <f t="shared" si="69"/>
        <v>8</v>
      </c>
      <c r="AN1750" s="184" t="s">
        <v>63</v>
      </c>
      <c r="AO1750" s="168" t="s">
        <v>2510</v>
      </c>
      <c r="AP1750" s="184" t="s">
        <v>119</v>
      </c>
    </row>
    <row r="1751" spans="1:42" s="184" customFormat="1" x14ac:dyDescent="0.3">
      <c r="A1751" s="183" t="s">
        <v>1453</v>
      </c>
      <c r="B1751" s="184" t="s">
        <v>2496</v>
      </c>
      <c r="C1751" s="183" t="s">
        <v>2498</v>
      </c>
      <c r="D1751" s="184" t="s">
        <v>2499</v>
      </c>
      <c r="E1751" s="183" t="s">
        <v>2500</v>
      </c>
      <c r="F1751" s="184" t="s">
        <v>2501</v>
      </c>
      <c r="G1751" s="183" t="s">
        <v>2625</v>
      </c>
      <c r="H1751" s="184" t="s">
        <v>2626</v>
      </c>
      <c r="J1751" s="188"/>
      <c r="K1751" s="183" t="s">
        <v>2627</v>
      </c>
      <c r="L1751" s="184" t="s">
        <v>2628</v>
      </c>
      <c r="M1751" s="168" t="s">
        <v>2681</v>
      </c>
      <c r="N1751" s="168" t="s">
        <v>271</v>
      </c>
      <c r="O1751" s="168" t="s">
        <v>271</v>
      </c>
      <c r="P1751" s="189">
        <v>50</v>
      </c>
      <c r="Q1751" s="189">
        <v>50</v>
      </c>
      <c r="R1751" s="189" t="s">
        <v>271</v>
      </c>
      <c r="S1751" s="189" t="s">
        <v>271</v>
      </c>
      <c r="T1751" s="184" t="s">
        <v>63</v>
      </c>
      <c r="U1751" s="283" t="s">
        <v>2510</v>
      </c>
      <c r="V1751" s="184" t="s">
        <v>2682</v>
      </c>
      <c r="W1751" s="184">
        <v>0</v>
      </c>
      <c r="X1751" s="184">
        <v>0</v>
      </c>
      <c r="Y1751" s="184">
        <v>0</v>
      </c>
      <c r="Z1751" s="184">
        <v>0</v>
      </c>
      <c r="AA1751" s="184">
        <v>0</v>
      </c>
      <c r="AB1751" s="184">
        <v>0</v>
      </c>
      <c r="AC1751" s="316">
        <v>1</v>
      </c>
      <c r="AD1751" s="316">
        <v>1</v>
      </c>
      <c r="AE1751" s="302">
        <f t="shared" si="68"/>
        <v>0.25</v>
      </c>
      <c r="AF1751" s="186"/>
      <c r="AG1751" s="17">
        <v>0</v>
      </c>
      <c r="AH1751" s="186">
        <v>2</v>
      </c>
      <c r="AI1751" s="186">
        <v>7</v>
      </c>
      <c r="AJ1751" s="186">
        <v>15</v>
      </c>
      <c r="AK1751" s="187"/>
      <c r="AL1751" s="187">
        <v>2</v>
      </c>
      <c r="AM1751" s="147">
        <f t="shared" si="69"/>
        <v>2</v>
      </c>
      <c r="AN1751" s="184" t="s">
        <v>63</v>
      </c>
      <c r="AO1751" s="168" t="s">
        <v>2510</v>
      </c>
      <c r="AP1751" s="184" t="s">
        <v>119</v>
      </c>
    </row>
    <row r="1752" spans="1:42" s="184" customFormat="1" x14ac:dyDescent="0.3">
      <c r="A1752" s="183" t="s">
        <v>1453</v>
      </c>
      <c r="B1752" s="184" t="s">
        <v>2496</v>
      </c>
      <c r="C1752" s="183" t="s">
        <v>2498</v>
      </c>
      <c r="D1752" s="184" t="s">
        <v>2499</v>
      </c>
      <c r="E1752" s="183" t="s">
        <v>2500</v>
      </c>
      <c r="F1752" s="184" t="s">
        <v>2501</v>
      </c>
      <c r="G1752" s="183" t="s">
        <v>2625</v>
      </c>
      <c r="H1752" s="184" t="s">
        <v>2626</v>
      </c>
      <c r="J1752" s="188"/>
      <c r="K1752" s="183" t="s">
        <v>2627</v>
      </c>
      <c r="L1752" s="184" t="s">
        <v>2628</v>
      </c>
      <c r="M1752" s="168" t="s">
        <v>2683</v>
      </c>
      <c r="N1752" s="168">
        <v>10</v>
      </c>
      <c r="O1752" s="168" t="s">
        <v>271</v>
      </c>
      <c r="P1752" s="189" t="s">
        <v>271</v>
      </c>
      <c r="Q1752" s="189">
        <v>2</v>
      </c>
      <c r="R1752" s="189">
        <v>2</v>
      </c>
      <c r="S1752" s="189" t="s">
        <v>271</v>
      </c>
      <c r="T1752" s="184" t="s">
        <v>2528</v>
      </c>
      <c r="U1752" s="283" t="s">
        <v>2530</v>
      </c>
      <c r="V1752" s="184" t="s">
        <v>2684</v>
      </c>
      <c r="W1752" s="184">
        <v>1</v>
      </c>
      <c r="X1752" s="184">
        <v>1</v>
      </c>
      <c r="Y1752" s="184">
        <v>1</v>
      </c>
      <c r="Z1752" s="184">
        <v>1</v>
      </c>
      <c r="AA1752" s="184">
        <v>1</v>
      </c>
      <c r="AB1752" s="184">
        <v>1</v>
      </c>
      <c r="AC1752" s="316">
        <v>1</v>
      </c>
      <c r="AD1752" s="316">
        <v>1</v>
      </c>
      <c r="AE1752" s="302">
        <f t="shared" ref="AE1752:AE1815" si="70">SUM(W1752:AD1752)/8</f>
        <v>1</v>
      </c>
      <c r="AF1752" s="186"/>
      <c r="AG1752" s="17">
        <v>0</v>
      </c>
      <c r="AH1752" s="186">
        <v>0</v>
      </c>
      <c r="AI1752" s="186">
        <v>15</v>
      </c>
      <c r="AJ1752" s="186">
        <v>12</v>
      </c>
      <c r="AK1752" s="187">
        <v>0</v>
      </c>
      <c r="AL1752" s="187">
        <v>9</v>
      </c>
      <c r="AM1752" s="147">
        <f t="shared" si="69"/>
        <v>9</v>
      </c>
      <c r="AN1752" s="184" t="s">
        <v>2528</v>
      </c>
      <c r="AO1752" s="168" t="s">
        <v>2530</v>
      </c>
      <c r="AP1752" s="184" t="s">
        <v>119</v>
      </c>
    </row>
    <row r="1753" spans="1:42" s="184" customFormat="1" x14ac:dyDescent="0.3">
      <c r="A1753" s="183" t="s">
        <v>1453</v>
      </c>
      <c r="B1753" s="184" t="s">
        <v>2496</v>
      </c>
      <c r="C1753" s="183" t="s">
        <v>2498</v>
      </c>
      <c r="D1753" s="184" t="s">
        <v>2499</v>
      </c>
      <c r="E1753" s="183" t="s">
        <v>2500</v>
      </c>
      <c r="F1753" s="184" t="s">
        <v>2501</v>
      </c>
      <c r="G1753" s="183" t="s">
        <v>2625</v>
      </c>
      <c r="H1753" s="184" t="s">
        <v>2626</v>
      </c>
      <c r="J1753" s="188"/>
      <c r="K1753" s="183" t="s">
        <v>2627</v>
      </c>
      <c r="L1753" s="184" t="s">
        <v>2628</v>
      </c>
      <c r="M1753" s="168" t="s">
        <v>2685</v>
      </c>
      <c r="N1753" s="168" t="s">
        <v>271</v>
      </c>
      <c r="O1753" s="168">
        <v>1</v>
      </c>
      <c r="P1753" s="189">
        <v>2</v>
      </c>
      <c r="Q1753" s="189">
        <v>2</v>
      </c>
      <c r="R1753" s="189">
        <v>1</v>
      </c>
      <c r="S1753" s="189">
        <v>2</v>
      </c>
      <c r="T1753" s="184" t="s">
        <v>2528</v>
      </c>
      <c r="U1753" s="283" t="s">
        <v>2530</v>
      </c>
      <c r="V1753" s="184" t="s">
        <v>2686</v>
      </c>
      <c r="W1753" s="184">
        <v>1</v>
      </c>
      <c r="X1753" s="184">
        <v>1</v>
      </c>
      <c r="Y1753" s="184">
        <v>1</v>
      </c>
      <c r="Z1753" s="184">
        <v>1</v>
      </c>
      <c r="AA1753" s="184">
        <v>1</v>
      </c>
      <c r="AB1753" s="184">
        <v>1</v>
      </c>
      <c r="AC1753" s="316">
        <v>1</v>
      </c>
      <c r="AD1753" s="316">
        <v>1</v>
      </c>
      <c r="AE1753" s="302">
        <f t="shared" si="70"/>
        <v>1</v>
      </c>
      <c r="AF1753" s="186"/>
      <c r="AG1753" s="17">
        <v>0</v>
      </c>
      <c r="AH1753" s="186">
        <v>20</v>
      </c>
      <c r="AI1753" s="186">
        <v>31</v>
      </c>
      <c r="AJ1753" s="186">
        <v>38</v>
      </c>
      <c r="AK1753" s="187">
        <v>19</v>
      </c>
      <c r="AL1753" s="187">
        <v>28</v>
      </c>
      <c r="AM1753" s="147">
        <f t="shared" si="69"/>
        <v>47</v>
      </c>
      <c r="AN1753" s="184" t="s">
        <v>2528</v>
      </c>
      <c r="AO1753" s="168" t="s">
        <v>2530</v>
      </c>
      <c r="AP1753" s="184" t="s">
        <v>119</v>
      </c>
    </row>
    <row r="1754" spans="1:42" s="184" customFormat="1" x14ac:dyDescent="0.3">
      <c r="A1754" s="183" t="s">
        <v>1453</v>
      </c>
      <c r="B1754" s="184" t="s">
        <v>2496</v>
      </c>
      <c r="C1754" s="183" t="s">
        <v>2498</v>
      </c>
      <c r="D1754" s="184" t="s">
        <v>2499</v>
      </c>
      <c r="E1754" s="183" t="s">
        <v>2500</v>
      </c>
      <c r="F1754" s="184" t="s">
        <v>2501</v>
      </c>
      <c r="G1754" s="183" t="s">
        <v>2625</v>
      </c>
      <c r="H1754" s="184" t="s">
        <v>2626</v>
      </c>
      <c r="J1754" s="188"/>
      <c r="K1754" s="183" t="s">
        <v>2627</v>
      </c>
      <c r="L1754" s="184" t="s">
        <v>2628</v>
      </c>
      <c r="M1754" s="168" t="s">
        <v>2687</v>
      </c>
      <c r="N1754" s="168">
        <v>2</v>
      </c>
      <c r="O1754" s="168">
        <v>0</v>
      </c>
      <c r="P1754" s="189">
        <v>1</v>
      </c>
      <c r="Q1754" s="189">
        <v>0</v>
      </c>
      <c r="R1754" s="189">
        <v>1</v>
      </c>
      <c r="S1754" s="189">
        <v>0</v>
      </c>
      <c r="T1754" s="184" t="s">
        <v>2507</v>
      </c>
      <c r="U1754" s="283" t="e">
        <v>#N/A</v>
      </c>
      <c r="V1754" s="184" t="s">
        <v>2688</v>
      </c>
      <c r="W1754" s="184">
        <v>1</v>
      </c>
      <c r="X1754" s="184">
        <v>1</v>
      </c>
      <c r="Y1754" s="184">
        <v>1</v>
      </c>
      <c r="Z1754" s="184">
        <v>1</v>
      </c>
      <c r="AA1754" s="184">
        <v>0</v>
      </c>
      <c r="AB1754" s="184">
        <v>1</v>
      </c>
      <c r="AC1754" s="316">
        <v>0</v>
      </c>
      <c r="AD1754" s="316">
        <v>1</v>
      </c>
      <c r="AE1754" s="302">
        <f t="shared" si="70"/>
        <v>0.75</v>
      </c>
      <c r="AF1754" s="186"/>
      <c r="AG1754" s="17">
        <v>0</v>
      </c>
      <c r="AH1754" s="186">
        <v>0</v>
      </c>
      <c r="AI1754" s="186">
        <v>0</v>
      </c>
      <c r="AJ1754" s="186">
        <f>-AK1755</f>
        <v>0</v>
      </c>
      <c r="AK1754" s="187">
        <v>0</v>
      </c>
      <c r="AL1754" s="187">
        <v>15</v>
      </c>
      <c r="AM1754" s="147">
        <f t="shared" si="69"/>
        <v>15</v>
      </c>
      <c r="AN1754" s="184" t="s">
        <v>2509</v>
      </c>
      <c r="AO1754" s="168" t="s">
        <v>2510</v>
      </c>
      <c r="AP1754" s="184" t="s">
        <v>63</v>
      </c>
    </row>
    <row r="1755" spans="1:42" s="184" customFormat="1" x14ac:dyDescent="0.3">
      <c r="A1755" s="183" t="s">
        <v>1453</v>
      </c>
      <c r="B1755" s="184" t="s">
        <v>2496</v>
      </c>
      <c r="C1755" s="183" t="s">
        <v>2498</v>
      </c>
      <c r="D1755" s="184" t="s">
        <v>2499</v>
      </c>
      <c r="E1755" s="183" t="s">
        <v>2500</v>
      </c>
      <c r="F1755" s="184" t="s">
        <v>2501</v>
      </c>
      <c r="G1755" s="183" t="s">
        <v>2625</v>
      </c>
      <c r="H1755" s="184" t="s">
        <v>2626</v>
      </c>
      <c r="J1755" s="188"/>
      <c r="K1755" s="183" t="s">
        <v>2627</v>
      </c>
      <c r="L1755" s="184" t="s">
        <v>2628</v>
      </c>
      <c r="M1755" s="168" t="s">
        <v>2689</v>
      </c>
      <c r="N1755" s="168"/>
      <c r="O1755" s="168" t="s">
        <v>271</v>
      </c>
      <c r="P1755" s="189" t="s">
        <v>271</v>
      </c>
      <c r="Q1755" s="189">
        <v>49</v>
      </c>
      <c r="R1755" s="189">
        <v>80</v>
      </c>
      <c r="S1755" s="189">
        <v>100</v>
      </c>
      <c r="T1755" s="184" t="s">
        <v>2643</v>
      </c>
      <c r="U1755" s="283" t="e">
        <v>#N/A</v>
      </c>
      <c r="V1755" s="184" t="s">
        <v>2690</v>
      </c>
      <c r="W1755" s="184">
        <v>1</v>
      </c>
      <c r="X1755" s="184">
        <v>1</v>
      </c>
      <c r="Y1755" s="184">
        <v>1</v>
      </c>
      <c r="Z1755" s="184">
        <v>1</v>
      </c>
      <c r="AA1755" s="184">
        <v>1</v>
      </c>
      <c r="AB1755" s="184">
        <v>1</v>
      </c>
      <c r="AC1755" s="316">
        <v>0</v>
      </c>
      <c r="AD1755" s="316">
        <v>1</v>
      </c>
      <c r="AE1755" s="302">
        <f t="shared" si="70"/>
        <v>0.875</v>
      </c>
      <c r="AF1755" s="186"/>
      <c r="AG1755" s="17">
        <v>0</v>
      </c>
      <c r="AH1755" s="186">
        <v>0</v>
      </c>
      <c r="AI1755" s="186">
        <v>0</v>
      </c>
      <c r="AJ1755" s="186">
        <v>14</v>
      </c>
      <c r="AK1755" s="187">
        <v>0</v>
      </c>
      <c r="AL1755" s="187">
        <v>0</v>
      </c>
      <c r="AM1755" s="147">
        <f t="shared" si="69"/>
        <v>0</v>
      </c>
      <c r="AN1755" s="184" t="s">
        <v>2644</v>
      </c>
      <c r="AO1755" s="168" t="s">
        <v>2510</v>
      </c>
      <c r="AP1755" s="184" t="s">
        <v>63</v>
      </c>
    </row>
    <row r="1756" spans="1:42" s="184" customFormat="1" x14ac:dyDescent="0.3">
      <c r="A1756" s="183" t="s">
        <v>1453</v>
      </c>
      <c r="B1756" s="184" t="s">
        <v>2496</v>
      </c>
      <c r="C1756" s="183" t="s">
        <v>2498</v>
      </c>
      <c r="D1756" s="184" t="s">
        <v>2499</v>
      </c>
      <c r="E1756" s="183" t="s">
        <v>2500</v>
      </c>
      <c r="F1756" s="184" t="s">
        <v>2501</v>
      </c>
      <c r="G1756" s="183" t="s">
        <v>2625</v>
      </c>
      <c r="H1756" s="184" t="s">
        <v>2626</v>
      </c>
      <c r="J1756" s="188"/>
      <c r="K1756" s="183" t="s">
        <v>2627</v>
      </c>
      <c r="L1756" s="184" t="s">
        <v>2628</v>
      </c>
      <c r="M1756" s="168" t="s">
        <v>2691</v>
      </c>
      <c r="N1756" s="168" t="s">
        <v>271</v>
      </c>
      <c r="O1756" s="168">
        <v>0.1</v>
      </c>
      <c r="P1756" s="194">
        <v>0.6</v>
      </c>
      <c r="Q1756" s="194">
        <v>0.3</v>
      </c>
      <c r="R1756" s="192" t="s">
        <v>271</v>
      </c>
      <c r="S1756" s="192" t="s">
        <v>271</v>
      </c>
      <c r="T1756" s="184" t="s">
        <v>63</v>
      </c>
      <c r="U1756" s="283" t="s">
        <v>2510</v>
      </c>
      <c r="V1756" s="184" t="s">
        <v>2692</v>
      </c>
      <c r="W1756" s="184">
        <v>1</v>
      </c>
      <c r="X1756" s="184">
        <v>1</v>
      </c>
      <c r="Y1756" s="184">
        <v>1</v>
      </c>
      <c r="Z1756" s="184">
        <v>1</v>
      </c>
      <c r="AA1756" s="184">
        <v>1</v>
      </c>
      <c r="AB1756" s="184">
        <v>1</v>
      </c>
      <c r="AC1756" s="316">
        <v>1</v>
      </c>
      <c r="AD1756" s="316">
        <v>1</v>
      </c>
      <c r="AE1756" s="302">
        <f t="shared" si="70"/>
        <v>1</v>
      </c>
      <c r="AF1756" s="186"/>
      <c r="AG1756" s="17">
        <v>0</v>
      </c>
      <c r="AH1756" s="186">
        <v>0</v>
      </c>
      <c r="AI1756" s="186">
        <v>0</v>
      </c>
      <c r="AJ1756" s="186">
        <v>0</v>
      </c>
      <c r="AK1756" s="187">
        <v>30</v>
      </c>
      <c r="AL1756" s="187">
        <v>15</v>
      </c>
      <c r="AM1756" s="147">
        <f t="shared" si="69"/>
        <v>45</v>
      </c>
      <c r="AN1756" s="184" t="s">
        <v>63</v>
      </c>
      <c r="AO1756" s="168" t="s">
        <v>2510</v>
      </c>
      <c r="AP1756" s="184" t="s">
        <v>119</v>
      </c>
    </row>
    <row r="1757" spans="1:42" s="184" customFormat="1" x14ac:dyDescent="0.3">
      <c r="A1757" s="183" t="s">
        <v>1453</v>
      </c>
      <c r="B1757" s="184" t="s">
        <v>2496</v>
      </c>
      <c r="C1757" s="183" t="s">
        <v>2498</v>
      </c>
      <c r="D1757" s="184" t="s">
        <v>2499</v>
      </c>
      <c r="E1757" s="183" t="s">
        <v>2500</v>
      </c>
      <c r="F1757" s="184" t="s">
        <v>2501</v>
      </c>
      <c r="G1757" s="183" t="s">
        <v>2625</v>
      </c>
      <c r="H1757" s="184" t="s">
        <v>2626</v>
      </c>
      <c r="J1757" s="188"/>
      <c r="K1757" s="183" t="s">
        <v>2627</v>
      </c>
      <c r="L1757" s="184" t="s">
        <v>2628</v>
      </c>
      <c r="M1757" s="168" t="s">
        <v>2693</v>
      </c>
      <c r="N1757" s="168"/>
      <c r="O1757" s="168" t="s">
        <v>271</v>
      </c>
      <c r="P1757" s="192">
        <v>9</v>
      </c>
      <c r="Q1757" s="192" t="s">
        <v>271</v>
      </c>
      <c r="R1757" s="192" t="s">
        <v>271</v>
      </c>
      <c r="S1757" s="192" t="s">
        <v>271</v>
      </c>
      <c r="T1757" s="184" t="s">
        <v>63</v>
      </c>
      <c r="U1757" s="283" t="s">
        <v>2510</v>
      </c>
      <c r="V1757" s="184" t="s">
        <v>2694</v>
      </c>
      <c r="W1757" s="184">
        <v>1</v>
      </c>
      <c r="X1757" s="184">
        <v>1</v>
      </c>
      <c r="Y1757" s="184">
        <v>1</v>
      </c>
      <c r="Z1757" s="184">
        <v>1</v>
      </c>
      <c r="AA1757" s="184">
        <v>1</v>
      </c>
      <c r="AB1757" s="184">
        <v>1</v>
      </c>
      <c r="AC1757" s="316">
        <v>1</v>
      </c>
      <c r="AD1757" s="316">
        <v>1</v>
      </c>
      <c r="AE1757" s="302">
        <f t="shared" si="70"/>
        <v>1</v>
      </c>
      <c r="AF1757" s="186"/>
      <c r="AG1757" s="17">
        <v>0</v>
      </c>
      <c r="AH1757" s="186">
        <v>0</v>
      </c>
      <c r="AI1757" s="186">
        <v>0</v>
      </c>
      <c r="AJ1757" s="186">
        <v>0</v>
      </c>
      <c r="AK1757" s="187">
        <v>9.5</v>
      </c>
      <c r="AL1757" s="187">
        <v>2</v>
      </c>
      <c r="AM1757" s="147">
        <f t="shared" si="69"/>
        <v>11.5</v>
      </c>
      <c r="AN1757" s="184" t="s">
        <v>63</v>
      </c>
      <c r="AO1757" s="168" t="s">
        <v>2510</v>
      </c>
      <c r="AP1757" s="184" t="s">
        <v>119</v>
      </c>
    </row>
    <row r="1758" spans="1:42" s="184" customFormat="1" x14ac:dyDescent="0.3">
      <c r="A1758" s="183" t="s">
        <v>1453</v>
      </c>
      <c r="B1758" s="184" t="s">
        <v>2496</v>
      </c>
      <c r="C1758" s="183" t="s">
        <v>2498</v>
      </c>
      <c r="D1758" s="184" t="s">
        <v>2499</v>
      </c>
      <c r="E1758" s="183" t="s">
        <v>2500</v>
      </c>
      <c r="F1758" s="184" t="s">
        <v>2501</v>
      </c>
      <c r="G1758" s="183" t="s">
        <v>2625</v>
      </c>
      <c r="H1758" s="184" t="s">
        <v>2626</v>
      </c>
      <c r="J1758" s="188"/>
      <c r="K1758" s="183" t="s">
        <v>2627</v>
      </c>
      <c r="L1758" s="184" t="s">
        <v>2628</v>
      </c>
      <c r="M1758" s="168" t="s">
        <v>2695</v>
      </c>
      <c r="N1758" s="168"/>
      <c r="O1758" s="168" t="s">
        <v>2696</v>
      </c>
      <c r="P1758" s="189" t="s">
        <v>2697</v>
      </c>
      <c r="Q1758" s="192" t="s">
        <v>2698</v>
      </c>
      <c r="R1758" s="192" t="s">
        <v>2699</v>
      </c>
      <c r="S1758" s="192" t="s">
        <v>2700</v>
      </c>
      <c r="T1758" s="184" t="s">
        <v>63</v>
      </c>
      <c r="U1758" s="283" t="s">
        <v>2510</v>
      </c>
      <c r="V1758" s="184" t="s">
        <v>2701</v>
      </c>
      <c r="W1758" s="184">
        <v>1</v>
      </c>
      <c r="X1758" s="184">
        <v>1</v>
      </c>
      <c r="Y1758" s="184">
        <v>1</v>
      </c>
      <c r="Z1758" s="184">
        <v>1</v>
      </c>
      <c r="AA1758" s="184">
        <v>1</v>
      </c>
      <c r="AB1758" s="184">
        <v>1</v>
      </c>
      <c r="AC1758" s="316">
        <v>1</v>
      </c>
      <c r="AD1758" s="316">
        <v>1</v>
      </c>
      <c r="AE1758" s="302">
        <f t="shared" si="70"/>
        <v>1</v>
      </c>
      <c r="AF1758" s="186"/>
      <c r="AG1758" s="17">
        <v>0</v>
      </c>
      <c r="AH1758" s="186">
        <v>0</v>
      </c>
      <c r="AI1758" s="186">
        <v>0.5</v>
      </c>
      <c r="AJ1758" s="186">
        <v>150</v>
      </c>
      <c r="AK1758" s="187">
        <v>50</v>
      </c>
      <c r="AL1758" s="187">
        <v>120</v>
      </c>
      <c r="AM1758" s="147">
        <f t="shared" si="69"/>
        <v>170</v>
      </c>
      <c r="AN1758" s="184" t="s">
        <v>63</v>
      </c>
      <c r="AO1758" s="168" t="s">
        <v>2510</v>
      </c>
      <c r="AP1758" s="184" t="s">
        <v>119</v>
      </c>
    </row>
    <row r="1759" spans="1:42" s="184" customFormat="1" x14ac:dyDescent="0.3">
      <c r="A1759" s="183" t="s">
        <v>1453</v>
      </c>
      <c r="B1759" s="184" t="s">
        <v>2496</v>
      </c>
      <c r="C1759" s="183" t="s">
        <v>2498</v>
      </c>
      <c r="D1759" s="184" t="s">
        <v>2499</v>
      </c>
      <c r="E1759" s="183" t="s">
        <v>2500</v>
      </c>
      <c r="F1759" s="184" t="s">
        <v>2501</v>
      </c>
      <c r="G1759" s="183" t="s">
        <v>2625</v>
      </c>
      <c r="H1759" s="184" t="s">
        <v>2626</v>
      </c>
      <c r="J1759" s="188"/>
      <c r="K1759" s="183" t="s">
        <v>2627</v>
      </c>
      <c r="L1759" s="184" t="s">
        <v>2628</v>
      </c>
      <c r="M1759" s="168" t="s">
        <v>2702</v>
      </c>
      <c r="N1759" s="168"/>
      <c r="O1759" s="168">
        <v>4</v>
      </c>
      <c r="P1759" s="189">
        <v>5</v>
      </c>
      <c r="Q1759" s="192">
        <v>5</v>
      </c>
      <c r="R1759" s="192">
        <v>5</v>
      </c>
      <c r="S1759" s="192">
        <v>10</v>
      </c>
      <c r="T1759" s="184" t="s">
        <v>63</v>
      </c>
      <c r="U1759" s="283" t="s">
        <v>2510</v>
      </c>
      <c r="V1759" s="184" t="s">
        <v>2703</v>
      </c>
      <c r="W1759" s="184">
        <v>1</v>
      </c>
      <c r="X1759" s="184">
        <v>1</v>
      </c>
      <c r="Y1759" s="184">
        <v>1</v>
      </c>
      <c r="Z1759" s="184">
        <v>1</v>
      </c>
      <c r="AA1759" s="184">
        <v>1</v>
      </c>
      <c r="AB1759" s="184">
        <v>1</v>
      </c>
      <c r="AC1759" s="316">
        <v>1</v>
      </c>
      <c r="AD1759" s="316">
        <v>1</v>
      </c>
      <c r="AE1759" s="302">
        <f t="shared" si="70"/>
        <v>1</v>
      </c>
      <c r="AF1759" s="186"/>
      <c r="AG1759" s="17">
        <v>0</v>
      </c>
      <c r="AH1759" s="186">
        <v>0</v>
      </c>
      <c r="AI1759" s="186">
        <v>0</v>
      </c>
      <c r="AJ1759" s="186">
        <v>0</v>
      </c>
      <c r="AK1759" s="187">
        <v>2</v>
      </c>
      <c r="AL1759" s="187">
        <v>4</v>
      </c>
      <c r="AM1759" s="147">
        <f t="shared" si="69"/>
        <v>6</v>
      </c>
      <c r="AN1759" s="184" t="s">
        <v>63</v>
      </c>
      <c r="AO1759" s="168" t="s">
        <v>2510</v>
      </c>
      <c r="AP1759" s="184" t="s">
        <v>119</v>
      </c>
    </row>
    <row r="1760" spans="1:42" s="184" customFormat="1" x14ac:dyDescent="0.3">
      <c r="A1760" s="183" t="s">
        <v>1453</v>
      </c>
      <c r="B1760" s="184" t="s">
        <v>2496</v>
      </c>
      <c r="C1760" s="183" t="s">
        <v>2498</v>
      </c>
      <c r="D1760" s="184" t="s">
        <v>2499</v>
      </c>
      <c r="E1760" s="183" t="s">
        <v>2500</v>
      </c>
      <c r="F1760" s="184" t="s">
        <v>2501</v>
      </c>
      <c r="G1760" s="183" t="s">
        <v>2625</v>
      </c>
      <c r="H1760" s="184" t="s">
        <v>2626</v>
      </c>
      <c r="J1760" s="188"/>
      <c r="K1760" s="183" t="s">
        <v>2627</v>
      </c>
      <c r="L1760" s="184" t="s">
        <v>2628</v>
      </c>
      <c r="M1760" s="168" t="s">
        <v>2704</v>
      </c>
      <c r="N1760" s="168"/>
      <c r="O1760" s="168">
        <v>2</v>
      </c>
      <c r="P1760" s="189">
        <v>7</v>
      </c>
      <c r="Q1760" s="189">
        <v>4</v>
      </c>
      <c r="R1760" s="189">
        <v>4</v>
      </c>
      <c r="S1760" s="189">
        <v>1</v>
      </c>
      <c r="T1760" s="184" t="s">
        <v>63</v>
      </c>
      <c r="U1760" s="283" t="s">
        <v>2510</v>
      </c>
      <c r="V1760" s="184" t="s">
        <v>2705</v>
      </c>
      <c r="W1760" s="184">
        <v>1</v>
      </c>
      <c r="X1760" s="184">
        <v>1</v>
      </c>
      <c r="Y1760" s="184">
        <v>1</v>
      </c>
      <c r="Z1760" s="184">
        <v>1</v>
      </c>
      <c r="AA1760" s="184">
        <v>1</v>
      </c>
      <c r="AB1760" s="184">
        <v>1</v>
      </c>
      <c r="AC1760" s="316">
        <v>1</v>
      </c>
      <c r="AD1760" s="316">
        <v>1</v>
      </c>
      <c r="AE1760" s="302">
        <f t="shared" si="70"/>
        <v>1</v>
      </c>
      <c r="AF1760" s="186"/>
      <c r="AG1760" s="17">
        <v>0</v>
      </c>
      <c r="AH1760" s="186">
        <v>0</v>
      </c>
      <c r="AI1760" s="186">
        <v>5.25</v>
      </c>
      <c r="AJ1760" s="186">
        <v>4</v>
      </c>
      <c r="AK1760" s="187">
        <v>3</v>
      </c>
      <c r="AL1760" s="187">
        <v>1</v>
      </c>
      <c r="AM1760" s="147">
        <f t="shared" si="69"/>
        <v>4</v>
      </c>
      <c r="AN1760" s="184" t="s">
        <v>63</v>
      </c>
      <c r="AO1760" s="168" t="s">
        <v>2510</v>
      </c>
      <c r="AP1760" s="184" t="s">
        <v>119</v>
      </c>
    </row>
    <row r="1761" spans="1:42" s="184" customFormat="1" x14ac:dyDescent="0.3">
      <c r="A1761" s="183" t="s">
        <v>1453</v>
      </c>
      <c r="B1761" s="184" t="s">
        <v>2496</v>
      </c>
      <c r="C1761" s="183" t="s">
        <v>2498</v>
      </c>
      <c r="D1761" s="184" t="s">
        <v>2499</v>
      </c>
      <c r="E1761" s="183" t="s">
        <v>2500</v>
      </c>
      <c r="F1761" s="184" t="s">
        <v>2501</v>
      </c>
      <c r="G1761" s="183" t="s">
        <v>2625</v>
      </c>
      <c r="H1761" s="184" t="s">
        <v>2626</v>
      </c>
      <c r="J1761" s="188"/>
      <c r="K1761" s="183" t="s">
        <v>2627</v>
      </c>
      <c r="L1761" s="184" t="s">
        <v>2628</v>
      </c>
      <c r="M1761" s="168" t="s">
        <v>2706</v>
      </c>
      <c r="N1761" s="168"/>
      <c r="O1761" s="168" t="s">
        <v>271</v>
      </c>
      <c r="P1761" s="189">
        <v>0.05</v>
      </c>
      <c r="Q1761" s="189">
        <v>0.15</v>
      </c>
      <c r="R1761" s="189">
        <v>0.6</v>
      </c>
      <c r="S1761" s="189">
        <v>1</v>
      </c>
      <c r="T1761" s="184" t="s">
        <v>63</v>
      </c>
      <c r="U1761" s="283" t="s">
        <v>2510</v>
      </c>
      <c r="V1761" s="184" t="s">
        <v>2707</v>
      </c>
      <c r="W1761" s="184">
        <v>1</v>
      </c>
      <c r="X1761" s="184">
        <v>1</v>
      </c>
      <c r="Y1761" s="184">
        <v>0</v>
      </c>
      <c r="Z1761" s="184">
        <v>0</v>
      </c>
      <c r="AA1761" s="184">
        <v>1</v>
      </c>
      <c r="AB1761" s="184">
        <v>1</v>
      </c>
      <c r="AC1761" s="316">
        <v>1</v>
      </c>
      <c r="AD1761" s="316">
        <v>1</v>
      </c>
      <c r="AE1761" s="302">
        <f t="shared" si="70"/>
        <v>0.75</v>
      </c>
      <c r="AF1761" s="186"/>
      <c r="AG1761" s="17">
        <v>0</v>
      </c>
      <c r="AH1761" s="186">
        <v>0</v>
      </c>
      <c r="AI1761" s="186">
        <v>0.2</v>
      </c>
      <c r="AJ1761" s="186">
        <v>1</v>
      </c>
      <c r="AK1761" s="187">
        <v>1</v>
      </c>
      <c r="AL1761" s="187">
        <v>2</v>
      </c>
      <c r="AM1761" s="147">
        <f t="shared" si="69"/>
        <v>3</v>
      </c>
      <c r="AN1761" s="184" t="s">
        <v>63</v>
      </c>
      <c r="AO1761" s="168" t="s">
        <v>2510</v>
      </c>
      <c r="AP1761" s="184" t="s">
        <v>119</v>
      </c>
    </row>
    <row r="1762" spans="1:42" s="184" customFormat="1" x14ac:dyDescent="0.3">
      <c r="A1762" s="183" t="s">
        <v>1453</v>
      </c>
      <c r="B1762" s="184" t="s">
        <v>2496</v>
      </c>
      <c r="C1762" s="183" t="s">
        <v>2498</v>
      </c>
      <c r="D1762" s="184" t="s">
        <v>2499</v>
      </c>
      <c r="E1762" s="183" t="s">
        <v>2500</v>
      </c>
      <c r="F1762" s="184" t="s">
        <v>2501</v>
      </c>
      <c r="G1762" s="183" t="s">
        <v>2625</v>
      </c>
      <c r="H1762" s="184" t="s">
        <v>2626</v>
      </c>
      <c r="J1762" s="188"/>
      <c r="K1762" s="183" t="s">
        <v>2627</v>
      </c>
      <c r="L1762" s="184" t="s">
        <v>2628</v>
      </c>
      <c r="M1762" s="168" t="s">
        <v>2708</v>
      </c>
      <c r="N1762" s="168"/>
      <c r="O1762" s="447" t="s">
        <v>271</v>
      </c>
      <c r="P1762" s="194">
        <v>0.3</v>
      </c>
      <c r="Q1762" s="192">
        <v>0.7</v>
      </c>
      <c r="R1762" s="192" t="s">
        <v>271</v>
      </c>
      <c r="S1762" s="192" t="s">
        <v>271</v>
      </c>
      <c r="T1762" s="184" t="s">
        <v>63</v>
      </c>
      <c r="U1762" s="283" t="s">
        <v>2510</v>
      </c>
      <c r="V1762" s="184" t="s">
        <v>2709</v>
      </c>
      <c r="W1762" s="184">
        <v>1</v>
      </c>
      <c r="X1762" s="184">
        <v>1</v>
      </c>
      <c r="Y1762" s="184">
        <v>1</v>
      </c>
      <c r="Z1762" s="184">
        <v>0</v>
      </c>
      <c r="AA1762" s="184">
        <v>1</v>
      </c>
      <c r="AB1762" s="184">
        <v>1</v>
      </c>
      <c r="AC1762" s="316">
        <v>0</v>
      </c>
      <c r="AD1762" s="316">
        <v>1</v>
      </c>
      <c r="AE1762" s="302">
        <f t="shared" si="70"/>
        <v>0.75</v>
      </c>
      <c r="AF1762" s="186"/>
      <c r="AG1762" s="17">
        <v>0</v>
      </c>
      <c r="AH1762" s="186">
        <v>0</v>
      </c>
      <c r="AI1762" s="186">
        <v>0</v>
      </c>
      <c r="AJ1762" s="186">
        <v>0</v>
      </c>
      <c r="AK1762" s="187">
        <v>1</v>
      </c>
      <c r="AL1762" s="187">
        <v>1.5</v>
      </c>
      <c r="AM1762" s="147">
        <f t="shared" si="69"/>
        <v>2.5</v>
      </c>
      <c r="AN1762" s="184" t="s">
        <v>63</v>
      </c>
      <c r="AO1762" s="168" t="s">
        <v>2510</v>
      </c>
      <c r="AP1762" s="184" t="s">
        <v>119</v>
      </c>
    </row>
    <row r="1763" spans="1:42" s="184" customFormat="1" x14ac:dyDescent="0.3">
      <c r="A1763" s="183" t="s">
        <v>1453</v>
      </c>
      <c r="B1763" s="184" t="s">
        <v>2496</v>
      </c>
      <c r="C1763" s="183" t="s">
        <v>2498</v>
      </c>
      <c r="D1763" s="184" t="s">
        <v>2499</v>
      </c>
      <c r="E1763" s="183" t="s">
        <v>2500</v>
      </c>
      <c r="F1763" s="184" t="s">
        <v>2501</v>
      </c>
      <c r="G1763" s="183" t="s">
        <v>2710</v>
      </c>
      <c r="H1763" s="184" t="s">
        <v>2711</v>
      </c>
      <c r="J1763" s="188"/>
      <c r="K1763" s="183" t="s">
        <v>2712</v>
      </c>
      <c r="L1763" s="184" t="s">
        <v>2713</v>
      </c>
      <c r="M1763" s="168" t="s">
        <v>2714</v>
      </c>
      <c r="N1763" s="168" t="s">
        <v>271</v>
      </c>
      <c r="O1763" s="168" t="s">
        <v>2631</v>
      </c>
      <c r="P1763" s="189" t="s">
        <v>2715</v>
      </c>
      <c r="Q1763" s="189" t="s">
        <v>271</v>
      </c>
      <c r="R1763" s="189">
        <v>40</v>
      </c>
      <c r="S1763" s="189">
        <v>60</v>
      </c>
      <c r="T1763" s="184" t="s">
        <v>63</v>
      </c>
      <c r="U1763" s="283" t="s">
        <v>2510</v>
      </c>
      <c r="V1763" s="184" t="s">
        <v>2716</v>
      </c>
      <c r="W1763" s="184">
        <v>1</v>
      </c>
      <c r="X1763" s="184">
        <v>0</v>
      </c>
      <c r="Y1763" s="184">
        <v>1</v>
      </c>
      <c r="Z1763" s="184">
        <v>1</v>
      </c>
      <c r="AA1763" s="184">
        <v>0</v>
      </c>
      <c r="AB1763" s="184">
        <v>0</v>
      </c>
      <c r="AC1763" s="316">
        <v>0</v>
      </c>
      <c r="AD1763" s="316">
        <v>1</v>
      </c>
      <c r="AE1763" s="302">
        <f t="shared" si="70"/>
        <v>0.5</v>
      </c>
      <c r="AF1763" s="186"/>
      <c r="AG1763" s="17">
        <v>0</v>
      </c>
      <c r="AH1763" s="186">
        <v>0</v>
      </c>
      <c r="AI1763" s="186">
        <v>0</v>
      </c>
      <c r="AJ1763" s="186">
        <v>0</v>
      </c>
      <c r="AK1763" s="187">
        <v>0</v>
      </c>
      <c r="AL1763" s="187">
        <v>0</v>
      </c>
      <c r="AM1763" s="147">
        <f t="shared" si="69"/>
        <v>0</v>
      </c>
      <c r="AN1763" s="184" t="s">
        <v>63</v>
      </c>
      <c r="AO1763" s="168" t="s">
        <v>2510</v>
      </c>
      <c r="AP1763" s="184" t="s">
        <v>2717</v>
      </c>
    </row>
    <row r="1764" spans="1:42" s="184" customFormat="1" x14ac:dyDescent="0.3">
      <c r="A1764" s="183" t="s">
        <v>1453</v>
      </c>
      <c r="B1764" s="184" t="s">
        <v>2496</v>
      </c>
      <c r="C1764" s="183" t="s">
        <v>2498</v>
      </c>
      <c r="D1764" s="184" t="s">
        <v>2499</v>
      </c>
      <c r="E1764" s="183" t="s">
        <v>2500</v>
      </c>
      <c r="F1764" s="184" t="s">
        <v>2501</v>
      </c>
      <c r="G1764" s="183" t="s">
        <v>2710</v>
      </c>
      <c r="H1764" s="184" t="s">
        <v>2711</v>
      </c>
      <c r="J1764" s="188"/>
      <c r="K1764" s="183" t="s">
        <v>2712</v>
      </c>
      <c r="L1764" s="184" t="s">
        <v>2713</v>
      </c>
      <c r="M1764" s="168" t="s">
        <v>2718</v>
      </c>
      <c r="N1764" s="168" t="s">
        <v>271</v>
      </c>
      <c r="O1764" s="168" t="s">
        <v>2719</v>
      </c>
      <c r="P1764" s="189" t="s">
        <v>2719</v>
      </c>
      <c r="Q1764" s="189" t="s">
        <v>2720</v>
      </c>
      <c r="R1764" s="189" t="s">
        <v>2720</v>
      </c>
      <c r="S1764" s="189" t="s">
        <v>2721</v>
      </c>
      <c r="T1764" s="184" t="s">
        <v>63</v>
      </c>
      <c r="U1764" s="283" t="s">
        <v>2510</v>
      </c>
      <c r="V1764" s="184" t="s">
        <v>2722</v>
      </c>
      <c r="W1764" s="184">
        <v>1</v>
      </c>
      <c r="X1764" s="184">
        <v>1</v>
      </c>
      <c r="Y1764" s="184">
        <v>1</v>
      </c>
      <c r="Z1764" s="184">
        <v>0</v>
      </c>
      <c r="AA1764" s="184">
        <v>0</v>
      </c>
      <c r="AB1764" s="184">
        <v>1</v>
      </c>
      <c r="AC1764" s="316">
        <v>0</v>
      </c>
      <c r="AD1764" s="316">
        <v>1</v>
      </c>
      <c r="AE1764" s="302">
        <f t="shared" si="70"/>
        <v>0.625</v>
      </c>
      <c r="AF1764" s="186"/>
      <c r="AG1764" s="17">
        <v>0</v>
      </c>
      <c r="AH1764" s="186">
        <v>0</v>
      </c>
      <c r="AI1764" s="186">
        <v>0</v>
      </c>
      <c r="AJ1764" s="186">
        <v>0</v>
      </c>
      <c r="AK1764" s="187">
        <v>0</v>
      </c>
      <c r="AL1764" s="187">
        <v>26.768000000000001</v>
      </c>
      <c r="AM1764" s="147">
        <f t="shared" si="69"/>
        <v>26.768000000000001</v>
      </c>
      <c r="AN1764" s="184" t="s">
        <v>63</v>
      </c>
      <c r="AO1764" s="168" t="s">
        <v>2510</v>
      </c>
      <c r="AP1764" s="184" t="s">
        <v>2723</v>
      </c>
    </row>
    <row r="1765" spans="1:42" s="184" customFormat="1" x14ac:dyDescent="0.3">
      <c r="A1765" s="183" t="s">
        <v>1453</v>
      </c>
      <c r="B1765" s="184" t="s">
        <v>2496</v>
      </c>
      <c r="C1765" s="183" t="s">
        <v>2498</v>
      </c>
      <c r="D1765" s="184" t="s">
        <v>2499</v>
      </c>
      <c r="E1765" s="183" t="s">
        <v>2500</v>
      </c>
      <c r="F1765" s="184" t="s">
        <v>2501</v>
      </c>
      <c r="G1765" s="183" t="s">
        <v>2710</v>
      </c>
      <c r="H1765" s="184" t="s">
        <v>2711</v>
      </c>
      <c r="K1765" s="183" t="s">
        <v>2712</v>
      </c>
      <c r="L1765" s="184" t="s">
        <v>2713</v>
      </c>
      <c r="M1765" s="168" t="s">
        <v>2724</v>
      </c>
      <c r="N1765" s="446" t="s">
        <v>271</v>
      </c>
      <c r="O1765" s="446">
        <v>10</v>
      </c>
      <c r="P1765" s="185">
        <v>30</v>
      </c>
      <c r="Q1765" s="185">
        <v>60</v>
      </c>
      <c r="R1765" s="185"/>
      <c r="S1765" s="185"/>
      <c r="T1765" s="184" t="s">
        <v>2571</v>
      </c>
      <c r="U1765" s="283" t="s">
        <v>2573</v>
      </c>
      <c r="V1765" s="184" t="s">
        <v>2725</v>
      </c>
      <c r="W1765" s="184">
        <v>1</v>
      </c>
      <c r="X1765" s="184">
        <v>0</v>
      </c>
      <c r="Y1765" s="184">
        <v>0</v>
      </c>
      <c r="Z1765" s="184">
        <v>0</v>
      </c>
      <c r="AA1765" s="184">
        <v>0</v>
      </c>
      <c r="AB1765" s="184">
        <v>1</v>
      </c>
      <c r="AC1765" s="316">
        <v>1</v>
      </c>
      <c r="AD1765" s="316">
        <v>1</v>
      </c>
      <c r="AE1765" s="302">
        <f t="shared" si="70"/>
        <v>0.5</v>
      </c>
      <c r="AF1765" s="186"/>
      <c r="AG1765" s="17">
        <v>0</v>
      </c>
      <c r="AH1765" s="186">
        <v>0</v>
      </c>
      <c r="AI1765" s="186">
        <v>0</v>
      </c>
      <c r="AJ1765" s="186">
        <v>0</v>
      </c>
      <c r="AK1765" s="187">
        <v>0</v>
      </c>
      <c r="AL1765" s="187">
        <v>0</v>
      </c>
      <c r="AM1765" s="147">
        <f t="shared" si="69"/>
        <v>0</v>
      </c>
      <c r="AN1765" s="184" t="s">
        <v>2571</v>
      </c>
      <c r="AO1765" s="168" t="s">
        <v>2573</v>
      </c>
      <c r="AP1765" s="184" t="s">
        <v>2514</v>
      </c>
    </row>
    <row r="1766" spans="1:42" s="184" customFormat="1" x14ac:dyDescent="0.3">
      <c r="A1766" s="183" t="s">
        <v>1453</v>
      </c>
      <c r="B1766" s="184" t="s">
        <v>2496</v>
      </c>
      <c r="C1766" s="183" t="s">
        <v>2498</v>
      </c>
      <c r="D1766" s="184" t="s">
        <v>2499</v>
      </c>
      <c r="E1766" s="183" t="s">
        <v>2500</v>
      </c>
      <c r="F1766" s="184" t="s">
        <v>2501</v>
      </c>
      <c r="G1766" s="183" t="s">
        <v>2710</v>
      </c>
      <c r="H1766" s="184" t="s">
        <v>2711</v>
      </c>
      <c r="K1766" s="183" t="s">
        <v>2712</v>
      </c>
      <c r="L1766" s="184" t="s">
        <v>2713</v>
      </c>
      <c r="M1766" s="168" t="s">
        <v>2726</v>
      </c>
      <c r="N1766" s="168" t="s">
        <v>2727</v>
      </c>
      <c r="O1766" s="168">
        <v>600000</v>
      </c>
      <c r="P1766" s="189">
        <v>672000</v>
      </c>
      <c r="Q1766" s="189">
        <v>864000</v>
      </c>
      <c r="R1766" s="189">
        <v>1056000</v>
      </c>
      <c r="S1766" s="189">
        <v>1248000</v>
      </c>
      <c r="T1766" s="184" t="s">
        <v>2507</v>
      </c>
      <c r="U1766" s="283" t="e">
        <v>#N/A</v>
      </c>
      <c r="AC1766" s="316">
        <v>0</v>
      </c>
      <c r="AD1766" s="316">
        <v>0</v>
      </c>
      <c r="AE1766" s="302">
        <f t="shared" si="70"/>
        <v>0</v>
      </c>
      <c r="AF1766" s="190"/>
      <c r="AG1766" s="17">
        <v>0</v>
      </c>
      <c r="AH1766" s="190">
        <v>0</v>
      </c>
      <c r="AI1766" s="190">
        <v>0</v>
      </c>
      <c r="AJ1766" s="190">
        <v>0</v>
      </c>
      <c r="AK1766" s="191">
        <v>0</v>
      </c>
      <c r="AL1766" s="191">
        <v>0</v>
      </c>
      <c r="AM1766" s="147">
        <f t="shared" si="69"/>
        <v>0</v>
      </c>
      <c r="AN1766" s="184" t="s">
        <v>2509</v>
      </c>
      <c r="AO1766" s="168" t="s">
        <v>2510</v>
      </c>
      <c r="AP1766" s="184" t="s">
        <v>2507</v>
      </c>
    </row>
    <row r="1767" spans="1:42" s="184" customFormat="1" x14ac:dyDescent="0.3">
      <c r="A1767" s="183" t="s">
        <v>1453</v>
      </c>
      <c r="B1767" s="184" t="s">
        <v>2496</v>
      </c>
      <c r="C1767" s="183" t="s">
        <v>2498</v>
      </c>
      <c r="D1767" s="184" t="s">
        <v>2499</v>
      </c>
      <c r="E1767" s="183" t="s">
        <v>2500</v>
      </c>
      <c r="F1767" s="184" t="s">
        <v>2501</v>
      </c>
      <c r="G1767" s="183" t="s">
        <v>2710</v>
      </c>
      <c r="H1767" s="184" t="s">
        <v>2711</v>
      </c>
      <c r="K1767" s="183" t="s">
        <v>2712</v>
      </c>
      <c r="L1767" s="184" t="s">
        <v>2713</v>
      </c>
      <c r="M1767" s="168" t="s">
        <v>2728</v>
      </c>
      <c r="N1767" s="168"/>
      <c r="O1767" s="168">
        <v>2000</v>
      </c>
      <c r="P1767" s="189">
        <v>2500</v>
      </c>
      <c r="Q1767" s="189">
        <v>3000</v>
      </c>
      <c r="R1767" s="189">
        <v>3500</v>
      </c>
      <c r="S1767" s="189">
        <v>4000</v>
      </c>
      <c r="T1767" s="184" t="s">
        <v>2636</v>
      </c>
      <c r="U1767" s="283" t="e">
        <v>#N/A</v>
      </c>
      <c r="AC1767" s="316">
        <v>0</v>
      </c>
      <c r="AD1767" s="316">
        <v>0</v>
      </c>
      <c r="AE1767" s="302">
        <f t="shared" si="70"/>
        <v>0</v>
      </c>
      <c r="AF1767" s="190"/>
      <c r="AG1767" s="17">
        <v>0</v>
      </c>
      <c r="AH1767" s="190">
        <v>0</v>
      </c>
      <c r="AI1767" s="190">
        <v>0</v>
      </c>
      <c r="AJ1767" s="190">
        <v>0</v>
      </c>
      <c r="AK1767" s="191">
        <v>0</v>
      </c>
      <c r="AL1767" s="191">
        <v>0</v>
      </c>
      <c r="AM1767" s="147">
        <f t="shared" si="69"/>
        <v>0</v>
      </c>
      <c r="AN1767" s="184" t="s">
        <v>2729</v>
      </c>
      <c r="AO1767" s="168" t="s">
        <v>2510</v>
      </c>
      <c r="AP1767" s="184" t="s">
        <v>2730</v>
      </c>
    </row>
    <row r="1768" spans="1:42" s="184" customFormat="1" x14ac:dyDescent="0.3">
      <c r="A1768" s="183" t="s">
        <v>1453</v>
      </c>
      <c r="B1768" s="184" t="s">
        <v>2496</v>
      </c>
      <c r="C1768" s="183" t="s">
        <v>2498</v>
      </c>
      <c r="D1768" s="184" t="s">
        <v>2499</v>
      </c>
      <c r="E1768" s="183" t="s">
        <v>2500</v>
      </c>
      <c r="F1768" s="184" t="s">
        <v>2501</v>
      </c>
      <c r="G1768" s="183" t="s">
        <v>2731</v>
      </c>
      <c r="H1768" s="184" t="s">
        <v>2732</v>
      </c>
      <c r="J1768" s="188"/>
      <c r="K1768" s="183" t="s">
        <v>2733</v>
      </c>
      <c r="L1768" s="184" t="s">
        <v>2734</v>
      </c>
      <c r="M1768" s="168" t="s">
        <v>2735</v>
      </c>
      <c r="N1768" s="168" t="s">
        <v>271</v>
      </c>
      <c r="O1768" s="168">
        <v>2</v>
      </c>
      <c r="P1768" s="189">
        <v>3</v>
      </c>
      <c r="Q1768" s="189">
        <v>3</v>
      </c>
      <c r="R1768" s="189">
        <v>3</v>
      </c>
      <c r="S1768" s="189">
        <v>3</v>
      </c>
      <c r="T1768" s="184" t="s">
        <v>2571</v>
      </c>
      <c r="U1768" s="283" t="s">
        <v>2573</v>
      </c>
      <c r="V1768" s="184" t="s">
        <v>2736</v>
      </c>
      <c r="W1768" s="184">
        <v>1</v>
      </c>
      <c r="X1768" s="184">
        <v>0</v>
      </c>
      <c r="Y1768" s="184">
        <v>0</v>
      </c>
      <c r="Z1768" s="184">
        <v>1</v>
      </c>
      <c r="AA1768" s="184">
        <v>1</v>
      </c>
      <c r="AB1768" s="184">
        <v>1</v>
      </c>
      <c r="AC1768" s="316">
        <v>1</v>
      </c>
      <c r="AD1768" s="316">
        <v>1</v>
      </c>
      <c r="AE1768" s="302">
        <f t="shared" si="70"/>
        <v>0.75</v>
      </c>
      <c r="AF1768" s="186"/>
      <c r="AG1768" s="17">
        <v>0</v>
      </c>
      <c r="AH1768" s="186">
        <v>6</v>
      </c>
      <c r="AI1768" s="186">
        <v>9</v>
      </c>
      <c r="AJ1768" s="186">
        <v>9</v>
      </c>
      <c r="AK1768" s="187">
        <v>5</v>
      </c>
      <c r="AL1768" s="187">
        <v>9</v>
      </c>
      <c r="AM1768" s="147">
        <f t="shared" si="69"/>
        <v>14</v>
      </c>
      <c r="AN1768" s="184" t="s">
        <v>2571</v>
      </c>
      <c r="AO1768" s="168" t="s">
        <v>2573</v>
      </c>
      <c r="AP1768" s="184" t="s">
        <v>2514</v>
      </c>
    </row>
    <row r="1769" spans="1:42" s="184" customFormat="1" x14ac:dyDescent="0.3">
      <c r="A1769" s="183" t="s">
        <v>1453</v>
      </c>
      <c r="B1769" s="184" t="s">
        <v>2496</v>
      </c>
      <c r="C1769" s="183" t="s">
        <v>2498</v>
      </c>
      <c r="D1769" s="184" t="s">
        <v>2499</v>
      </c>
      <c r="E1769" s="183" t="s">
        <v>2500</v>
      </c>
      <c r="F1769" s="184" t="s">
        <v>2501</v>
      </c>
      <c r="G1769" s="183" t="s">
        <v>2731</v>
      </c>
      <c r="H1769" s="184" t="s">
        <v>2732</v>
      </c>
      <c r="J1769" s="188"/>
      <c r="K1769" s="183" t="s">
        <v>2733</v>
      </c>
      <c r="L1769" s="184" t="s">
        <v>2734</v>
      </c>
      <c r="M1769" s="168" t="s">
        <v>2737</v>
      </c>
      <c r="N1769" s="168">
        <v>50</v>
      </c>
      <c r="O1769" s="168">
        <v>10</v>
      </c>
      <c r="P1769" s="189">
        <v>10</v>
      </c>
      <c r="Q1769" s="189">
        <v>10</v>
      </c>
      <c r="R1769" s="189">
        <v>10</v>
      </c>
      <c r="S1769" s="189">
        <v>10</v>
      </c>
      <c r="T1769" s="184" t="s">
        <v>2738</v>
      </c>
      <c r="U1769" s="283" t="e">
        <v>#N/A</v>
      </c>
      <c r="V1769" s="184" t="s">
        <v>2739</v>
      </c>
      <c r="W1769" s="184">
        <v>1</v>
      </c>
      <c r="X1769" s="184">
        <v>0</v>
      </c>
      <c r="Y1769" s="184">
        <v>0</v>
      </c>
      <c r="Z1769" s="184">
        <v>1</v>
      </c>
      <c r="AA1769" s="184">
        <v>1</v>
      </c>
      <c r="AB1769" s="184">
        <v>1</v>
      </c>
      <c r="AC1769" s="316">
        <v>1</v>
      </c>
      <c r="AD1769" s="316">
        <v>1</v>
      </c>
      <c r="AE1769" s="302">
        <f t="shared" si="70"/>
        <v>0.75</v>
      </c>
      <c r="AF1769" s="186"/>
      <c r="AG1769" s="17">
        <v>0</v>
      </c>
      <c r="AH1769" s="186" t="s">
        <v>271</v>
      </c>
      <c r="AI1769" s="186" t="s">
        <v>271</v>
      </c>
      <c r="AJ1769" s="186" t="s">
        <v>271</v>
      </c>
      <c r="AK1769" s="187" t="s">
        <v>271</v>
      </c>
      <c r="AL1769" s="187" t="s">
        <v>271</v>
      </c>
      <c r="AM1769" s="147">
        <f t="shared" si="69"/>
        <v>0</v>
      </c>
      <c r="AN1769" s="184" t="s">
        <v>2528</v>
      </c>
      <c r="AO1769" s="168" t="s">
        <v>2530</v>
      </c>
      <c r="AP1769" s="184" t="s">
        <v>119</v>
      </c>
    </row>
    <row r="1770" spans="1:42" s="184" customFormat="1" x14ac:dyDescent="0.3">
      <c r="A1770" s="183" t="s">
        <v>1453</v>
      </c>
      <c r="B1770" s="184" t="s">
        <v>2496</v>
      </c>
      <c r="C1770" s="183" t="s">
        <v>2498</v>
      </c>
      <c r="D1770" s="184" t="s">
        <v>2499</v>
      </c>
      <c r="E1770" s="183" t="s">
        <v>2500</v>
      </c>
      <c r="F1770" s="184" t="s">
        <v>2501</v>
      </c>
      <c r="G1770" s="183" t="s">
        <v>2731</v>
      </c>
      <c r="H1770" s="184" t="s">
        <v>2732</v>
      </c>
      <c r="J1770" s="188"/>
      <c r="K1770" s="183" t="s">
        <v>2733</v>
      </c>
      <c r="L1770" s="184" t="s">
        <v>2734</v>
      </c>
      <c r="M1770" s="168" t="s">
        <v>2740</v>
      </c>
      <c r="N1770" s="168"/>
      <c r="O1770" s="168">
        <v>50</v>
      </c>
      <c r="P1770" s="189">
        <v>50</v>
      </c>
      <c r="Q1770" s="189">
        <v>50</v>
      </c>
      <c r="R1770" s="189">
        <v>50</v>
      </c>
      <c r="S1770" s="189">
        <v>50</v>
      </c>
      <c r="T1770" s="184" t="s">
        <v>2741</v>
      </c>
      <c r="U1770" s="283" t="e">
        <v>#N/A</v>
      </c>
      <c r="V1770" s="184" t="s">
        <v>2742</v>
      </c>
      <c r="W1770" s="184">
        <v>1</v>
      </c>
      <c r="X1770" s="184">
        <v>0</v>
      </c>
      <c r="Y1770" s="184">
        <v>0</v>
      </c>
      <c r="Z1770" s="184">
        <v>1</v>
      </c>
      <c r="AA1770" s="184">
        <v>1</v>
      </c>
      <c r="AB1770" s="184">
        <v>1</v>
      </c>
      <c r="AC1770" s="316">
        <v>1</v>
      </c>
      <c r="AD1770" s="316">
        <v>1</v>
      </c>
      <c r="AE1770" s="302">
        <f t="shared" si="70"/>
        <v>0.75</v>
      </c>
      <c r="AF1770" s="186"/>
      <c r="AG1770" s="17">
        <v>0</v>
      </c>
      <c r="AH1770" s="186" t="s">
        <v>271</v>
      </c>
      <c r="AI1770" s="186" t="s">
        <v>271</v>
      </c>
      <c r="AJ1770" s="186" t="s">
        <v>271</v>
      </c>
      <c r="AK1770" s="187" t="s">
        <v>271</v>
      </c>
      <c r="AL1770" s="187" t="s">
        <v>271</v>
      </c>
      <c r="AM1770" s="147">
        <f t="shared" si="69"/>
        <v>0</v>
      </c>
      <c r="AN1770" s="184" t="s">
        <v>2741</v>
      </c>
      <c r="AO1770" s="168" t="s">
        <v>2743</v>
      </c>
      <c r="AP1770" s="184" t="s">
        <v>255</v>
      </c>
    </row>
    <row r="1771" spans="1:42" s="184" customFormat="1" x14ac:dyDescent="0.3">
      <c r="A1771" s="183" t="s">
        <v>1453</v>
      </c>
      <c r="B1771" s="184" t="s">
        <v>2496</v>
      </c>
      <c r="C1771" s="183" t="s">
        <v>2498</v>
      </c>
      <c r="D1771" s="184" t="s">
        <v>2499</v>
      </c>
      <c r="E1771" s="183" t="s">
        <v>2500</v>
      </c>
      <c r="F1771" s="184" t="s">
        <v>2501</v>
      </c>
      <c r="G1771" s="183" t="s">
        <v>2744</v>
      </c>
      <c r="H1771" s="184" t="s">
        <v>2745</v>
      </c>
      <c r="J1771" s="188"/>
      <c r="K1771" s="195" t="s">
        <v>2746</v>
      </c>
      <c r="L1771" s="184" t="s">
        <v>2747</v>
      </c>
      <c r="M1771" s="168" t="s">
        <v>2748</v>
      </c>
      <c r="N1771" s="168">
        <v>0</v>
      </c>
      <c r="O1771" s="168">
        <v>0</v>
      </c>
      <c r="P1771" s="189">
        <v>1</v>
      </c>
      <c r="Q1771" s="189">
        <v>0</v>
      </c>
      <c r="R1771" s="189">
        <v>0</v>
      </c>
      <c r="S1771" s="189">
        <v>0</v>
      </c>
      <c r="T1771" s="184" t="s">
        <v>63</v>
      </c>
      <c r="U1771" s="283" t="s">
        <v>2510</v>
      </c>
      <c r="V1771" s="184" t="s">
        <v>2749</v>
      </c>
      <c r="W1771" s="184">
        <v>0</v>
      </c>
      <c r="X1771" s="184">
        <v>0</v>
      </c>
      <c r="Y1771" s="184">
        <v>0</v>
      </c>
      <c r="Z1771" s="184">
        <v>0</v>
      </c>
      <c r="AA1771" s="184">
        <v>0</v>
      </c>
      <c r="AB1771" s="184">
        <v>0</v>
      </c>
      <c r="AC1771" s="316">
        <v>0</v>
      </c>
      <c r="AD1771" s="316">
        <v>0</v>
      </c>
      <c r="AE1771" s="302">
        <f t="shared" si="70"/>
        <v>0</v>
      </c>
      <c r="AF1771" s="186"/>
      <c r="AG1771" s="17">
        <v>0</v>
      </c>
      <c r="AH1771" s="186">
        <v>0</v>
      </c>
      <c r="AI1771" s="186">
        <v>0</v>
      </c>
      <c r="AJ1771" s="186">
        <v>0</v>
      </c>
      <c r="AK1771" s="187">
        <v>0</v>
      </c>
      <c r="AL1771" s="187">
        <v>0</v>
      </c>
      <c r="AM1771" s="147">
        <f t="shared" si="69"/>
        <v>0</v>
      </c>
      <c r="AN1771" s="184" t="s">
        <v>63</v>
      </c>
      <c r="AO1771" s="168" t="s">
        <v>2510</v>
      </c>
      <c r="AP1771" s="184" t="s">
        <v>119</v>
      </c>
    </row>
    <row r="1772" spans="1:42" s="184" customFormat="1" x14ac:dyDescent="0.3">
      <c r="A1772" s="183" t="s">
        <v>1453</v>
      </c>
      <c r="B1772" s="184" t="s">
        <v>2496</v>
      </c>
      <c r="C1772" s="183" t="s">
        <v>2750</v>
      </c>
      <c r="D1772" s="184" t="s">
        <v>2751</v>
      </c>
      <c r="E1772" s="183" t="s">
        <v>2752</v>
      </c>
      <c r="F1772" s="184" t="s">
        <v>2753</v>
      </c>
      <c r="G1772" s="183" t="s">
        <v>2754</v>
      </c>
      <c r="H1772" s="184" t="s">
        <v>2755</v>
      </c>
      <c r="J1772" s="188"/>
      <c r="K1772" s="183" t="s">
        <v>2756</v>
      </c>
      <c r="L1772" s="184" t="s">
        <v>2757</v>
      </c>
      <c r="M1772" s="168" t="s">
        <v>2758</v>
      </c>
      <c r="N1772" s="168">
        <v>11</v>
      </c>
      <c r="O1772" s="168">
        <v>60</v>
      </c>
      <c r="P1772" s="189">
        <v>60</v>
      </c>
      <c r="Q1772" s="189">
        <v>200</v>
      </c>
      <c r="R1772" s="189">
        <v>200</v>
      </c>
      <c r="S1772" s="189">
        <v>200</v>
      </c>
      <c r="T1772" s="184" t="s">
        <v>2528</v>
      </c>
      <c r="U1772" s="283" t="s">
        <v>2530</v>
      </c>
      <c r="V1772" s="184" t="s">
        <v>2759</v>
      </c>
      <c r="W1772" s="184">
        <v>1</v>
      </c>
      <c r="X1772" s="184">
        <v>1</v>
      </c>
      <c r="Y1772" s="184">
        <v>0</v>
      </c>
      <c r="Z1772" s="184">
        <v>1</v>
      </c>
      <c r="AA1772" s="184">
        <v>1</v>
      </c>
      <c r="AB1772" s="184">
        <v>1</v>
      </c>
      <c r="AC1772" s="316">
        <v>0</v>
      </c>
      <c r="AD1772" s="316">
        <v>1</v>
      </c>
      <c r="AE1772" s="302">
        <f t="shared" si="70"/>
        <v>0.75</v>
      </c>
      <c r="AF1772" s="186"/>
      <c r="AG1772" s="17">
        <v>0</v>
      </c>
      <c r="AH1772" s="186">
        <v>44</v>
      </c>
      <c r="AI1772" s="186">
        <v>44</v>
      </c>
      <c r="AJ1772" s="186">
        <v>100</v>
      </c>
      <c r="AK1772" s="187">
        <v>100</v>
      </c>
      <c r="AL1772" s="187">
        <v>100</v>
      </c>
      <c r="AM1772" s="147">
        <f t="shared" si="69"/>
        <v>200</v>
      </c>
      <c r="AN1772" s="184" t="s">
        <v>2528</v>
      </c>
      <c r="AO1772" s="168" t="s">
        <v>2530</v>
      </c>
      <c r="AP1772" s="184" t="s">
        <v>119</v>
      </c>
    </row>
    <row r="1773" spans="1:42" s="184" customFormat="1" x14ac:dyDescent="0.3">
      <c r="A1773" s="183" t="s">
        <v>1453</v>
      </c>
      <c r="B1773" s="184" t="s">
        <v>2496</v>
      </c>
      <c r="C1773" s="183" t="s">
        <v>2750</v>
      </c>
      <c r="D1773" s="184" t="s">
        <v>2751</v>
      </c>
      <c r="E1773" s="183" t="s">
        <v>2752</v>
      </c>
      <c r="F1773" s="184" t="s">
        <v>2753</v>
      </c>
      <c r="G1773" s="183" t="s">
        <v>2754</v>
      </c>
      <c r="H1773" s="184" t="s">
        <v>2755</v>
      </c>
      <c r="J1773" s="188"/>
      <c r="K1773" s="183" t="s">
        <v>2756</v>
      </c>
      <c r="L1773" s="184" t="s">
        <v>2757</v>
      </c>
      <c r="M1773" s="168" t="s">
        <v>2760</v>
      </c>
      <c r="N1773" s="168">
        <v>588</v>
      </c>
      <c r="O1773" s="168">
        <v>650</v>
      </c>
      <c r="P1773" s="189">
        <v>650</v>
      </c>
      <c r="Q1773" s="189">
        <v>300</v>
      </c>
      <c r="R1773" s="189">
        <v>300</v>
      </c>
      <c r="S1773" s="189">
        <v>300</v>
      </c>
      <c r="T1773" s="184" t="s">
        <v>2738</v>
      </c>
      <c r="U1773" s="283" t="e">
        <v>#N/A</v>
      </c>
      <c r="V1773" s="184" t="s">
        <v>2761</v>
      </c>
      <c r="W1773" s="184">
        <v>1</v>
      </c>
      <c r="X1773" s="184">
        <v>1</v>
      </c>
      <c r="Y1773" s="184">
        <v>0</v>
      </c>
      <c r="Z1773" s="184">
        <v>1</v>
      </c>
      <c r="AA1773" s="184">
        <v>1</v>
      </c>
      <c r="AB1773" s="184">
        <v>1</v>
      </c>
      <c r="AC1773" s="316">
        <v>1</v>
      </c>
      <c r="AD1773" s="316">
        <v>1</v>
      </c>
      <c r="AE1773" s="302">
        <f t="shared" si="70"/>
        <v>0.875</v>
      </c>
      <c r="AF1773" s="186"/>
      <c r="AG1773" s="17">
        <v>0</v>
      </c>
      <c r="AH1773" s="186">
        <v>48.75</v>
      </c>
      <c r="AI1773" s="186">
        <v>48.75</v>
      </c>
      <c r="AJ1773" s="186">
        <v>22.5</v>
      </c>
      <c r="AK1773" s="187">
        <v>22.5</v>
      </c>
      <c r="AL1773" s="187">
        <v>22.5</v>
      </c>
      <c r="AM1773" s="147">
        <f t="shared" si="69"/>
        <v>45</v>
      </c>
      <c r="AN1773" s="184" t="s">
        <v>2528</v>
      </c>
      <c r="AO1773" s="168" t="s">
        <v>2530</v>
      </c>
      <c r="AP1773" s="184" t="s">
        <v>119</v>
      </c>
    </row>
    <row r="1774" spans="1:42" s="184" customFormat="1" x14ac:dyDescent="0.3">
      <c r="A1774" s="183" t="s">
        <v>1453</v>
      </c>
      <c r="B1774" s="184" t="s">
        <v>2496</v>
      </c>
      <c r="C1774" s="183" t="s">
        <v>2750</v>
      </c>
      <c r="D1774" s="184" t="s">
        <v>2751</v>
      </c>
      <c r="E1774" s="183" t="s">
        <v>2752</v>
      </c>
      <c r="F1774" s="184" t="s">
        <v>2753</v>
      </c>
      <c r="G1774" s="183" t="s">
        <v>2754</v>
      </c>
      <c r="H1774" s="184" t="s">
        <v>2755</v>
      </c>
      <c r="J1774" s="188"/>
      <c r="K1774" s="183" t="s">
        <v>2756</v>
      </c>
      <c r="L1774" s="184" t="s">
        <v>2757</v>
      </c>
      <c r="M1774" s="168" t="s">
        <v>2762</v>
      </c>
      <c r="N1774" s="168">
        <v>16783</v>
      </c>
      <c r="O1774" s="168">
        <v>19750</v>
      </c>
      <c r="P1774" s="189">
        <v>19750</v>
      </c>
      <c r="Q1774" s="189">
        <v>19750</v>
      </c>
      <c r="R1774" s="189">
        <v>19750</v>
      </c>
      <c r="S1774" s="189">
        <v>19750</v>
      </c>
      <c r="T1774" s="184" t="s">
        <v>2738</v>
      </c>
      <c r="U1774" s="283" t="e">
        <v>#N/A</v>
      </c>
      <c r="V1774" s="184" t="s">
        <v>2763</v>
      </c>
      <c r="W1774" s="184">
        <v>1</v>
      </c>
      <c r="X1774" s="184">
        <v>1</v>
      </c>
      <c r="Y1774" s="184">
        <v>1</v>
      </c>
      <c r="Z1774" s="184">
        <v>1</v>
      </c>
      <c r="AA1774" s="184">
        <v>1</v>
      </c>
      <c r="AB1774" s="184">
        <v>1</v>
      </c>
      <c r="AC1774" s="316">
        <v>1</v>
      </c>
      <c r="AD1774" s="316">
        <v>1</v>
      </c>
      <c r="AE1774" s="302">
        <f t="shared" si="70"/>
        <v>1</v>
      </c>
      <c r="AF1774" s="186"/>
      <c r="AG1774" s="17">
        <v>0</v>
      </c>
      <c r="AH1774" s="186">
        <v>28.44</v>
      </c>
      <c r="AI1774" s="186">
        <v>28.44</v>
      </c>
      <c r="AJ1774" s="186">
        <v>28.44</v>
      </c>
      <c r="AK1774" s="187">
        <v>28.44</v>
      </c>
      <c r="AL1774" s="187">
        <v>28.44</v>
      </c>
      <c r="AM1774" s="147">
        <f t="shared" si="69"/>
        <v>56.88</v>
      </c>
      <c r="AN1774" s="184" t="s">
        <v>2528</v>
      </c>
      <c r="AO1774" s="168" t="s">
        <v>2530</v>
      </c>
      <c r="AP1774" s="184" t="s">
        <v>119</v>
      </c>
    </row>
    <row r="1775" spans="1:42" s="184" customFormat="1" x14ac:dyDescent="0.3">
      <c r="A1775" s="183" t="s">
        <v>1453</v>
      </c>
      <c r="B1775" s="184" t="s">
        <v>2496</v>
      </c>
      <c r="C1775" s="183" t="s">
        <v>2750</v>
      </c>
      <c r="D1775" s="184" t="s">
        <v>2751</v>
      </c>
      <c r="E1775" s="183" t="s">
        <v>2752</v>
      </c>
      <c r="F1775" s="184" t="s">
        <v>2753</v>
      </c>
      <c r="G1775" s="183" t="s">
        <v>2754</v>
      </c>
      <c r="H1775" s="184" t="s">
        <v>2755</v>
      </c>
      <c r="J1775" s="188"/>
      <c r="K1775" s="183" t="s">
        <v>2756</v>
      </c>
      <c r="L1775" s="184" t="s">
        <v>2757</v>
      </c>
      <c r="M1775" s="168" t="s">
        <v>2764</v>
      </c>
      <c r="N1775" s="168"/>
      <c r="O1775" s="168">
        <v>117</v>
      </c>
      <c r="P1775" s="189">
        <v>650</v>
      </c>
      <c r="Q1775" s="189">
        <v>1000</v>
      </c>
      <c r="R1775" s="189">
        <v>1000</v>
      </c>
      <c r="S1775" s="189">
        <v>1000</v>
      </c>
      <c r="T1775" s="184" t="s">
        <v>2528</v>
      </c>
      <c r="U1775" s="283" t="s">
        <v>2530</v>
      </c>
      <c r="V1775" s="184" t="s">
        <v>2765</v>
      </c>
      <c r="W1775" s="184">
        <v>1</v>
      </c>
      <c r="X1775" s="184">
        <v>1</v>
      </c>
      <c r="Y1775" s="184">
        <v>1</v>
      </c>
      <c r="Z1775" s="184">
        <v>1</v>
      </c>
      <c r="AA1775" s="184">
        <v>1</v>
      </c>
      <c r="AB1775" s="184">
        <v>1</v>
      </c>
      <c r="AC1775" s="316">
        <v>1</v>
      </c>
      <c r="AD1775" s="316">
        <v>1</v>
      </c>
      <c r="AE1775" s="302">
        <f t="shared" si="70"/>
        <v>1</v>
      </c>
      <c r="AF1775" s="186"/>
      <c r="AG1775" s="17">
        <v>0</v>
      </c>
      <c r="AH1775" s="186">
        <v>8.7799999999999994</v>
      </c>
      <c r="AI1775" s="186">
        <v>48.75</v>
      </c>
      <c r="AJ1775" s="186">
        <v>75</v>
      </c>
      <c r="AK1775" s="187">
        <v>75</v>
      </c>
      <c r="AL1775" s="187">
        <v>75</v>
      </c>
      <c r="AM1775" s="147">
        <f t="shared" si="69"/>
        <v>150</v>
      </c>
      <c r="AN1775" s="184" t="s">
        <v>2528</v>
      </c>
      <c r="AO1775" s="168" t="s">
        <v>2530</v>
      </c>
      <c r="AP1775" s="184" t="s">
        <v>119</v>
      </c>
    </row>
    <row r="1776" spans="1:42" s="184" customFormat="1" x14ac:dyDescent="0.3">
      <c r="A1776" s="183" t="s">
        <v>1453</v>
      </c>
      <c r="B1776" s="184" t="s">
        <v>2496</v>
      </c>
      <c r="C1776" s="183" t="s">
        <v>2750</v>
      </c>
      <c r="D1776" s="184" t="s">
        <v>2751</v>
      </c>
      <c r="E1776" s="183" t="s">
        <v>2752</v>
      </c>
      <c r="F1776" s="184" t="s">
        <v>2753</v>
      </c>
      <c r="G1776" s="183" t="s">
        <v>2754</v>
      </c>
      <c r="H1776" s="184" t="s">
        <v>2755</v>
      </c>
      <c r="J1776" s="188"/>
      <c r="K1776" s="183" t="s">
        <v>2756</v>
      </c>
      <c r="L1776" s="184" t="s">
        <v>2757</v>
      </c>
      <c r="M1776" s="168" t="s">
        <v>2766</v>
      </c>
      <c r="N1776" s="168"/>
      <c r="O1776" s="168">
        <v>10000</v>
      </c>
      <c r="P1776" s="189">
        <v>10000</v>
      </c>
      <c r="Q1776" s="189">
        <v>10000</v>
      </c>
      <c r="R1776" s="189">
        <v>10000</v>
      </c>
      <c r="S1776" s="189">
        <v>10000</v>
      </c>
      <c r="T1776" s="184" t="s">
        <v>2738</v>
      </c>
      <c r="U1776" s="283" t="e">
        <v>#N/A</v>
      </c>
      <c r="V1776" s="184" t="s">
        <v>2767</v>
      </c>
      <c r="W1776" s="184">
        <v>1</v>
      </c>
      <c r="X1776" s="184">
        <v>1</v>
      </c>
      <c r="Y1776" s="184">
        <v>1</v>
      </c>
      <c r="Z1776" s="184">
        <v>1</v>
      </c>
      <c r="AA1776" s="184">
        <v>1</v>
      </c>
      <c r="AB1776" s="184">
        <v>1</v>
      </c>
      <c r="AC1776" s="316">
        <v>1</v>
      </c>
      <c r="AD1776" s="316">
        <v>1</v>
      </c>
      <c r="AE1776" s="302">
        <f t="shared" si="70"/>
        <v>1</v>
      </c>
      <c r="AF1776" s="186"/>
      <c r="AG1776" s="17">
        <v>0</v>
      </c>
      <c r="AH1776" s="186">
        <v>150</v>
      </c>
      <c r="AI1776" s="186">
        <v>150.5</v>
      </c>
      <c r="AJ1776" s="186">
        <v>150.5</v>
      </c>
      <c r="AK1776" s="187">
        <v>151</v>
      </c>
      <c r="AL1776" s="187">
        <v>151</v>
      </c>
      <c r="AM1776" s="147">
        <f t="shared" si="69"/>
        <v>302</v>
      </c>
      <c r="AN1776" s="184" t="s">
        <v>2528</v>
      </c>
      <c r="AO1776" s="168" t="s">
        <v>2530</v>
      </c>
      <c r="AP1776" s="184" t="s">
        <v>119</v>
      </c>
    </row>
    <row r="1777" spans="1:42" s="184" customFormat="1" x14ac:dyDescent="0.3">
      <c r="A1777" s="183" t="s">
        <v>1453</v>
      </c>
      <c r="B1777" s="184" t="s">
        <v>2496</v>
      </c>
      <c r="C1777" s="183" t="s">
        <v>2750</v>
      </c>
      <c r="D1777" s="184" t="s">
        <v>2751</v>
      </c>
      <c r="E1777" s="183" t="s">
        <v>2752</v>
      </c>
      <c r="F1777" s="184" t="s">
        <v>2753</v>
      </c>
      <c r="G1777" s="183" t="s">
        <v>2754</v>
      </c>
      <c r="H1777" s="184" t="s">
        <v>2755</v>
      </c>
      <c r="J1777" s="188"/>
      <c r="K1777" s="183" t="s">
        <v>2756</v>
      </c>
      <c r="L1777" s="184" t="s">
        <v>2757</v>
      </c>
      <c r="M1777" s="168" t="s">
        <v>2768</v>
      </c>
      <c r="N1777" s="168">
        <v>5389</v>
      </c>
      <c r="O1777" s="168">
        <v>3929</v>
      </c>
      <c r="P1777" s="189">
        <v>4950</v>
      </c>
      <c r="Q1777" s="189">
        <v>4442</v>
      </c>
      <c r="R1777" s="189">
        <v>6290</v>
      </c>
      <c r="S1777" s="189">
        <v>7630</v>
      </c>
      <c r="T1777" s="184" t="s">
        <v>2769</v>
      </c>
      <c r="U1777" s="283" t="e">
        <v>#N/A</v>
      </c>
      <c r="V1777" s="184" t="s">
        <v>2770</v>
      </c>
      <c r="W1777" s="184">
        <v>1</v>
      </c>
      <c r="X1777" s="184">
        <v>1</v>
      </c>
      <c r="Y1777" s="184">
        <v>1</v>
      </c>
      <c r="Z1777" s="184">
        <v>1</v>
      </c>
      <c r="AA1777" s="184">
        <v>1</v>
      </c>
      <c r="AB1777" s="184">
        <v>1</v>
      </c>
      <c r="AC1777" s="316">
        <v>1</v>
      </c>
      <c r="AD1777" s="316">
        <v>1</v>
      </c>
      <c r="AE1777" s="302">
        <f t="shared" si="70"/>
        <v>1</v>
      </c>
      <c r="AF1777" s="186"/>
      <c r="AG1777" s="17">
        <v>0</v>
      </c>
      <c r="AH1777" s="186">
        <v>116.3</v>
      </c>
      <c r="AI1777" s="186">
        <v>116.3</v>
      </c>
      <c r="AJ1777" s="186">
        <v>116.3</v>
      </c>
      <c r="AK1777" s="187">
        <v>170.82</v>
      </c>
      <c r="AL1777" s="187">
        <v>245.84</v>
      </c>
      <c r="AM1777" s="147">
        <f t="shared" si="69"/>
        <v>416.65999999999997</v>
      </c>
      <c r="AN1777" s="168" t="s">
        <v>255</v>
      </c>
      <c r="AO1777" s="168" t="s">
        <v>1045</v>
      </c>
      <c r="AP1777" s="184" t="s">
        <v>119</v>
      </c>
    </row>
    <row r="1778" spans="1:42" s="184" customFormat="1" x14ac:dyDescent="0.3">
      <c r="A1778" s="183" t="s">
        <v>1453</v>
      </c>
      <c r="B1778" s="184" t="s">
        <v>2496</v>
      </c>
      <c r="C1778" s="183" t="s">
        <v>2750</v>
      </c>
      <c r="D1778" s="184" t="s">
        <v>2751</v>
      </c>
      <c r="E1778" s="183" t="s">
        <v>2752</v>
      </c>
      <c r="F1778" s="184" t="s">
        <v>2753</v>
      </c>
      <c r="G1778" s="183" t="s">
        <v>2754</v>
      </c>
      <c r="H1778" s="184" t="s">
        <v>2755</v>
      </c>
      <c r="J1778" s="188"/>
      <c r="K1778" s="183" t="s">
        <v>2756</v>
      </c>
      <c r="L1778" s="184" t="s">
        <v>2757</v>
      </c>
      <c r="M1778" s="168" t="s">
        <v>2771</v>
      </c>
      <c r="N1778" s="168">
        <v>27682</v>
      </c>
      <c r="O1778" s="447">
        <v>52134</v>
      </c>
      <c r="P1778" s="192">
        <v>52634</v>
      </c>
      <c r="Q1778" s="192">
        <v>52634</v>
      </c>
      <c r="R1778" s="192">
        <v>52634</v>
      </c>
      <c r="S1778" s="192">
        <v>52634</v>
      </c>
      <c r="T1778" s="184" t="s">
        <v>2769</v>
      </c>
      <c r="U1778" s="283" t="e">
        <v>#N/A</v>
      </c>
      <c r="V1778" s="184" t="s">
        <v>2772</v>
      </c>
      <c r="W1778" s="184">
        <v>1</v>
      </c>
      <c r="X1778" s="184">
        <v>1</v>
      </c>
      <c r="Y1778" s="184">
        <v>1</v>
      </c>
      <c r="Z1778" s="184">
        <v>1</v>
      </c>
      <c r="AA1778" s="184">
        <v>1</v>
      </c>
      <c r="AB1778" s="184">
        <v>1</v>
      </c>
      <c r="AC1778" s="316">
        <v>1</v>
      </c>
      <c r="AD1778" s="316">
        <v>1</v>
      </c>
      <c r="AE1778" s="302">
        <f t="shared" si="70"/>
        <v>1</v>
      </c>
      <c r="AF1778" s="186"/>
      <c r="AG1778" s="17">
        <v>0</v>
      </c>
      <c r="AH1778" s="186">
        <v>80.290000000000006</v>
      </c>
      <c r="AI1778" s="186">
        <v>81.06</v>
      </c>
      <c r="AJ1778" s="186">
        <v>81.06</v>
      </c>
      <c r="AK1778" s="187">
        <v>81.83</v>
      </c>
      <c r="AL1778" s="187">
        <v>84.44</v>
      </c>
      <c r="AM1778" s="147">
        <f t="shared" si="69"/>
        <v>166.26999999999998</v>
      </c>
      <c r="AN1778" s="168" t="s">
        <v>255</v>
      </c>
      <c r="AO1778" s="168" t="s">
        <v>1045</v>
      </c>
      <c r="AP1778" s="184" t="s">
        <v>119</v>
      </c>
    </row>
    <row r="1779" spans="1:42" s="184" customFormat="1" x14ac:dyDescent="0.3">
      <c r="A1779" s="183" t="s">
        <v>1453</v>
      </c>
      <c r="B1779" s="184" t="s">
        <v>2496</v>
      </c>
      <c r="C1779" s="183" t="s">
        <v>2750</v>
      </c>
      <c r="D1779" s="184" t="s">
        <v>2751</v>
      </c>
      <c r="E1779" s="183" t="s">
        <v>2752</v>
      </c>
      <c r="F1779" s="184" t="s">
        <v>2753</v>
      </c>
      <c r="G1779" s="183" t="s">
        <v>2754</v>
      </c>
      <c r="H1779" s="184" t="s">
        <v>2755</v>
      </c>
      <c r="J1779" s="188"/>
      <c r="K1779" s="183" t="s">
        <v>2756</v>
      </c>
      <c r="L1779" s="184" t="s">
        <v>2757</v>
      </c>
      <c r="M1779" s="168" t="s">
        <v>2773</v>
      </c>
      <c r="N1779" s="168">
        <v>15224</v>
      </c>
      <c r="O1779" s="168">
        <v>31390</v>
      </c>
      <c r="P1779" s="189">
        <v>33390</v>
      </c>
      <c r="Q1779" s="189">
        <v>33700</v>
      </c>
      <c r="R1779" s="189">
        <v>33700</v>
      </c>
      <c r="S1779" s="189">
        <v>33700</v>
      </c>
      <c r="T1779" s="184" t="s">
        <v>2774</v>
      </c>
      <c r="U1779" s="283" t="e">
        <v>#N/A</v>
      </c>
      <c r="V1779" s="184" t="s">
        <v>2775</v>
      </c>
      <c r="W1779" s="184">
        <v>1</v>
      </c>
      <c r="X1779" s="184">
        <v>1</v>
      </c>
      <c r="Y1779" s="184">
        <v>1</v>
      </c>
      <c r="Z1779" s="184">
        <v>1</v>
      </c>
      <c r="AA1779" s="184">
        <v>1</v>
      </c>
      <c r="AB1779" s="184">
        <v>1</v>
      </c>
      <c r="AC1779" s="316">
        <v>1</v>
      </c>
      <c r="AD1779" s="316">
        <v>1</v>
      </c>
      <c r="AE1779" s="302">
        <f t="shared" si="70"/>
        <v>1</v>
      </c>
      <c r="AF1779" s="186"/>
      <c r="AG1779" s="17">
        <v>0</v>
      </c>
      <c r="AH1779" s="186">
        <v>321.3</v>
      </c>
      <c r="AI1779" s="186">
        <v>221.3</v>
      </c>
      <c r="AJ1779" s="186">
        <v>221.3</v>
      </c>
      <c r="AK1779" s="187">
        <v>221.3</v>
      </c>
      <c r="AL1779" s="187">
        <v>237</v>
      </c>
      <c r="AM1779" s="147">
        <f t="shared" si="69"/>
        <v>458.3</v>
      </c>
      <c r="AN1779" s="168" t="s">
        <v>255</v>
      </c>
      <c r="AO1779" s="168" t="s">
        <v>1045</v>
      </c>
      <c r="AP1779" s="184" t="s">
        <v>119</v>
      </c>
    </row>
    <row r="1780" spans="1:42" s="184" customFormat="1" x14ac:dyDescent="0.3">
      <c r="A1780" s="183" t="s">
        <v>1453</v>
      </c>
      <c r="B1780" s="184" t="s">
        <v>2496</v>
      </c>
      <c r="C1780" s="183" t="s">
        <v>2750</v>
      </c>
      <c r="D1780" s="184" t="s">
        <v>2751</v>
      </c>
      <c r="E1780" s="183" t="s">
        <v>2752</v>
      </c>
      <c r="F1780" s="184" t="s">
        <v>2753</v>
      </c>
      <c r="G1780" s="183" t="s">
        <v>2754</v>
      </c>
      <c r="H1780" s="184" t="s">
        <v>2755</v>
      </c>
      <c r="J1780" s="188"/>
      <c r="K1780" s="183" t="s">
        <v>2756</v>
      </c>
      <c r="L1780" s="184" t="s">
        <v>2757</v>
      </c>
      <c r="M1780" s="168" t="s">
        <v>2776</v>
      </c>
      <c r="N1780" s="168" t="s">
        <v>271</v>
      </c>
      <c r="O1780" s="168">
        <v>500</v>
      </c>
      <c r="P1780" s="189">
        <v>500</v>
      </c>
      <c r="Q1780" s="189">
        <v>500</v>
      </c>
      <c r="R1780" s="189">
        <v>500</v>
      </c>
      <c r="S1780" s="189">
        <v>500</v>
      </c>
      <c r="T1780" s="184" t="s">
        <v>63</v>
      </c>
      <c r="U1780" s="283" t="s">
        <v>2510</v>
      </c>
      <c r="V1780" s="184" t="s">
        <v>2777</v>
      </c>
      <c r="W1780" s="184">
        <v>1</v>
      </c>
      <c r="X1780" s="184">
        <v>1</v>
      </c>
      <c r="Y1780" s="184">
        <v>1</v>
      </c>
      <c r="Z1780" s="184">
        <v>1</v>
      </c>
      <c r="AA1780" s="184">
        <v>1</v>
      </c>
      <c r="AB1780" s="184">
        <v>1</v>
      </c>
      <c r="AC1780" s="316">
        <v>1</v>
      </c>
      <c r="AD1780" s="316">
        <v>1</v>
      </c>
      <c r="AE1780" s="302">
        <f t="shared" si="70"/>
        <v>1</v>
      </c>
      <c r="AF1780" s="186"/>
      <c r="AG1780" s="17">
        <v>0</v>
      </c>
      <c r="AH1780" s="186">
        <v>15.5</v>
      </c>
      <c r="AI1780" s="186">
        <v>15.5</v>
      </c>
      <c r="AJ1780" s="186">
        <v>15.5</v>
      </c>
      <c r="AK1780" s="187">
        <v>15.5</v>
      </c>
      <c r="AL1780" s="187">
        <v>15.5</v>
      </c>
      <c r="AM1780" s="147">
        <f t="shared" si="69"/>
        <v>31</v>
      </c>
      <c r="AN1780" s="184" t="s">
        <v>63</v>
      </c>
      <c r="AO1780" s="168" t="s">
        <v>2510</v>
      </c>
      <c r="AP1780" s="184" t="s">
        <v>255</v>
      </c>
    </row>
    <row r="1781" spans="1:42" s="184" customFormat="1" x14ac:dyDescent="0.3">
      <c r="A1781" s="183" t="s">
        <v>1453</v>
      </c>
      <c r="B1781" s="184" t="s">
        <v>2496</v>
      </c>
      <c r="C1781" s="183" t="s">
        <v>2750</v>
      </c>
      <c r="D1781" s="184" t="s">
        <v>2751</v>
      </c>
      <c r="E1781" s="183" t="s">
        <v>2752</v>
      </c>
      <c r="F1781" s="184" t="s">
        <v>2753</v>
      </c>
      <c r="G1781" s="183" t="s">
        <v>2754</v>
      </c>
      <c r="H1781" s="184" t="s">
        <v>2755</v>
      </c>
      <c r="J1781" s="188"/>
      <c r="K1781" s="183" t="s">
        <v>2756</v>
      </c>
      <c r="L1781" s="184" t="s">
        <v>2757</v>
      </c>
      <c r="M1781" s="168" t="s">
        <v>2778</v>
      </c>
      <c r="N1781" s="168" t="s">
        <v>271</v>
      </c>
      <c r="O1781" s="168">
        <v>0</v>
      </c>
      <c r="P1781" s="189">
        <v>10</v>
      </c>
      <c r="Q1781" s="189">
        <v>10</v>
      </c>
      <c r="R1781" s="189">
        <v>10</v>
      </c>
      <c r="S1781" s="189">
        <v>10</v>
      </c>
      <c r="T1781" s="184" t="s">
        <v>63</v>
      </c>
      <c r="U1781" s="283" t="s">
        <v>2510</v>
      </c>
      <c r="V1781" s="184" t="s">
        <v>2779</v>
      </c>
      <c r="W1781" s="184">
        <v>1</v>
      </c>
      <c r="X1781" s="184">
        <v>1</v>
      </c>
      <c r="Y1781" s="184">
        <v>1</v>
      </c>
      <c r="Z1781" s="184">
        <v>1</v>
      </c>
      <c r="AA1781" s="184">
        <v>1</v>
      </c>
      <c r="AB1781" s="184">
        <v>1</v>
      </c>
      <c r="AC1781" s="316">
        <v>1</v>
      </c>
      <c r="AD1781" s="316">
        <v>1</v>
      </c>
      <c r="AE1781" s="302">
        <f t="shared" si="70"/>
        <v>1</v>
      </c>
      <c r="AF1781" s="186"/>
      <c r="AG1781" s="17">
        <v>0</v>
      </c>
      <c r="AH1781" s="186">
        <v>0</v>
      </c>
      <c r="AI1781" s="186">
        <v>4</v>
      </c>
      <c r="AJ1781" s="186">
        <v>4</v>
      </c>
      <c r="AK1781" s="187">
        <v>4</v>
      </c>
      <c r="AL1781" s="187">
        <v>4</v>
      </c>
      <c r="AM1781" s="147">
        <f t="shared" si="69"/>
        <v>8</v>
      </c>
      <c r="AN1781" s="184" t="s">
        <v>63</v>
      </c>
      <c r="AO1781" s="168" t="s">
        <v>2510</v>
      </c>
      <c r="AP1781" s="184" t="s">
        <v>255</v>
      </c>
    </row>
    <row r="1782" spans="1:42" s="184" customFormat="1" x14ac:dyDescent="0.3">
      <c r="A1782" s="183" t="s">
        <v>1453</v>
      </c>
      <c r="B1782" s="184" t="s">
        <v>2496</v>
      </c>
      <c r="C1782" s="183" t="s">
        <v>2750</v>
      </c>
      <c r="D1782" s="184" t="s">
        <v>2751</v>
      </c>
      <c r="E1782" s="183" t="s">
        <v>2752</v>
      </c>
      <c r="F1782" s="184" t="s">
        <v>2753</v>
      </c>
      <c r="G1782" s="183" t="s">
        <v>2754</v>
      </c>
      <c r="H1782" s="184" t="s">
        <v>2755</v>
      </c>
      <c r="J1782" s="188"/>
      <c r="K1782" s="183" t="s">
        <v>2756</v>
      </c>
      <c r="L1782" s="184" t="s">
        <v>2757</v>
      </c>
      <c r="M1782" s="168" t="s">
        <v>2780</v>
      </c>
      <c r="N1782" s="168" t="s">
        <v>271</v>
      </c>
      <c r="O1782" s="168">
        <v>10</v>
      </c>
      <c r="P1782" s="189">
        <v>10</v>
      </c>
      <c r="Q1782" s="189">
        <v>65</v>
      </c>
      <c r="R1782" s="189">
        <v>65</v>
      </c>
      <c r="S1782" s="189">
        <v>65</v>
      </c>
      <c r="T1782" s="184" t="s">
        <v>63</v>
      </c>
      <c r="U1782" s="283" t="s">
        <v>2510</v>
      </c>
      <c r="V1782" s="184" t="s">
        <v>2781</v>
      </c>
      <c r="W1782" s="184">
        <v>1</v>
      </c>
      <c r="X1782" s="184">
        <v>1</v>
      </c>
      <c r="Y1782" s="184">
        <v>1</v>
      </c>
      <c r="Z1782" s="184">
        <v>1</v>
      </c>
      <c r="AA1782" s="184">
        <v>1</v>
      </c>
      <c r="AB1782" s="184">
        <v>1</v>
      </c>
      <c r="AC1782" s="316">
        <v>1</v>
      </c>
      <c r="AD1782" s="316">
        <v>1</v>
      </c>
      <c r="AE1782" s="302">
        <f t="shared" si="70"/>
        <v>1</v>
      </c>
      <c r="AF1782" s="186"/>
      <c r="AG1782" s="17">
        <v>0</v>
      </c>
      <c r="AH1782" s="186">
        <v>14</v>
      </c>
      <c r="AI1782" s="186">
        <v>14</v>
      </c>
      <c r="AJ1782" s="186">
        <v>50</v>
      </c>
      <c r="AK1782" s="187">
        <v>50</v>
      </c>
      <c r="AL1782" s="187">
        <v>50</v>
      </c>
      <c r="AM1782" s="147">
        <f t="shared" si="69"/>
        <v>100</v>
      </c>
      <c r="AN1782" s="184" t="s">
        <v>63</v>
      </c>
      <c r="AO1782" s="168" t="s">
        <v>2510</v>
      </c>
      <c r="AP1782" s="184" t="s">
        <v>2514</v>
      </c>
    </row>
    <row r="1783" spans="1:42" s="184" customFormat="1" x14ac:dyDescent="0.3">
      <c r="A1783" s="183" t="s">
        <v>1453</v>
      </c>
      <c r="B1783" s="184" t="s">
        <v>2496</v>
      </c>
      <c r="C1783" s="183" t="s">
        <v>2750</v>
      </c>
      <c r="D1783" s="184" t="s">
        <v>2751</v>
      </c>
      <c r="E1783" s="183" t="s">
        <v>2752</v>
      </c>
      <c r="F1783" s="184" t="s">
        <v>2753</v>
      </c>
      <c r="G1783" s="183" t="s">
        <v>2754</v>
      </c>
      <c r="H1783" s="184" t="s">
        <v>2755</v>
      </c>
      <c r="J1783" s="188"/>
      <c r="K1783" s="183" t="s">
        <v>2756</v>
      </c>
      <c r="L1783" s="184" t="s">
        <v>2757</v>
      </c>
      <c r="M1783" s="168" t="s">
        <v>2782</v>
      </c>
      <c r="N1783" s="168" t="s">
        <v>271</v>
      </c>
      <c r="O1783" s="168">
        <v>800</v>
      </c>
      <c r="P1783" s="189">
        <v>800</v>
      </c>
      <c r="Q1783" s="189">
        <v>800</v>
      </c>
      <c r="R1783" s="189">
        <v>800</v>
      </c>
      <c r="S1783" s="189">
        <v>800</v>
      </c>
      <c r="T1783" s="184" t="s">
        <v>63</v>
      </c>
      <c r="U1783" s="283" t="s">
        <v>2510</v>
      </c>
      <c r="V1783" s="184" t="s">
        <v>2783</v>
      </c>
      <c r="W1783" s="184">
        <v>1</v>
      </c>
      <c r="X1783" s="184">
        <v>1</v>
      </c>
      <c r="Y1783" s="184">
        <v>1</v>
      </c>
      <c r="Z1783" s="184">
        <v>1</v>
      </c>
      <c r="AA1783" s="184">
        <v>1</v>
      </c>
      <c r="AB1783" s="184">
        <v>1</v>
      </c>
      <c r="AC1783" s="316">
        <v>1</v>
      </c>
      <c r="AD1783" s="316">
        <v>1</v>
      </c>
      <c r="AE1783" s="302">
        <f t="shared" si="70"/>
        <v>1</v>
      </c>
      <c r="AF1783" s="186"/>
      <c r="AG1783" s="17">
        <v>0</v>
      </c>
      <c r="AH1783" s="186">
        <v>53.6</v>
      </c>
      <c r="AI1783" s="186">
        <v>53.06</v>
      </c>
      <c r="AJ1783" s="186">
        <v>63.06</v>
      </c>
      <c r="AK1783" s="187">
        <v>43.06</v>
      </c>
      <c r="AL1783" s="187">
        <v>63.06</v>
      </c>
      <c r="AM1783" s="147">
        <f t="shared" si="69"/>
        <v>106.12</v>
      </c>
      <c r="AN1783" s="184" t="s">
        <v>63</v>
      </c>
      <c r="AO1783" s="168" t="s">
        <v>2510</v>
      </c>
      <c r="AP1783" s="184" t="s">
        <v>2784</v>
      </c>
    </row>
    <row r="1784" spans="1:42" s="184" customFormat="1" x14ac:dyDescent="0.3">
      <c r="A1784" s="183" t="s">
        <v>1453</v>
      </c>
      <c r="B1784" s="184" t="s">
        <v>2496</v>
      </c>
      <c r="C1784" s="183" t="s">
        <v>2750</v>
      </c>
      <c r="D1784" s="184" t="s">
        <v>2751</v>
      </c>
      <c r="E1784" s="183" t="s">
        <v>2752</v>
      </c>
      <c r="F1784" s="184" t="s">
        <v>2753</v>
      </c>
      <c r="G1784" s="183" t="s">
        <v>2754</v>
      </c>
      <c r="H1784" s="184" t="s">
        <v>2755</v>
      </c>
      <c r="J1784" s="188"/>
      <c r="K1784" s="183" t="s">
        <v>2756</v>
      </c>
      <c r="L1784" s="184" t="s">
        <v>2757</v>
      </c>
      <c r="M1784" s="168" t="s">
        <v>2785</v>
      </c>
      <c r="N1784" s="168">
        <v>950</v>
      </c>
      <c r="O1784" s="168">
        <v>8</v>
      </c>
      <c r="P1784" s="189">
        <v>8</v>
      </c>
      <c r="Q1784" s="189">
        <v>8</v>
      </c>
      <c r="R1784" s="189">
        <v>8</v>
      </c>
      <c r="S1784" s="189">
        <v>8</v>
      </c>
      <c r="T1784" s="184" t="s">
        <v>63</v>
      </c>
      <c r="U1784" s="283" t="s">
        <v>2510</v>
      </c>
      <c r="V1784" s="184" t="s">
        <v>2786</v>
      </c>
      <c r="W1784" s="184">
        <v>1</v>
      </c>
      <c r="X1784" s="184">
        <v>1</v>
      </c>
      <c r="Y1784" s="184">
        <v>1</v>
      </c>
      <c r="Z1784" s="184">
        <v>1</v>
      </c>
      <c r="AA1784" s="184">
        <v>1</v>
      </c>
      <c r="AB1784" s="184">
        <v>1</v>
      </c>
      <c r="AC1784" s="316">
        <v>1</v>
      </c>
      <c r="AD1784" s="316">
        <v>1</v>
      </c>
      <c r="AE1784" s="302">
        <f t="shared" si="70"/>
        <v>1</v>
      </c>
      <c r="AF1784" s="186"/>
      <c r="AG1784" s="17">
        <v>0</v>
      </c>
      <c r="AH1784" s="186">
        <v>48</v>
      </c>
      <c r="AI1784" s="186">
        <v>48</v>
      </c>
      <c r="AJ1784" s="186">
        <v>56</v>
      </c>
      <c r="AK1784" s="187">
        <v>50</v>
      </c>
      <c r="AL1784" s="187">
        <v>65</v>
      </c>
      <c r="AM1784" s="147">
        <f t="shared" si="69"/>
        <v>115</v>
      </c>
      <c r="AN1784" s="184" t="s">
        <v>63</v>
      </c>
      <c r="AO1784" s="168" t="s">
        <v>2510</v>
      </c>
      <c r="AP1784" s="184" t="s">
        <v>255</v>
      </c>
    </row>
    <row r="1785" spans="1:42" s="184" customFormat="1" x14ac:dyDescent="0.3">
      <c r="A1785" s="183" t="s">
        <v>1453</v>
      </c>
      <c r="B1785" s="184" t="s">
        <v>2496</v>
      </c>
      <c r="C1785" s="183" t="s">
        <v>2750</v>
      </c>
      <c r="D1785" s="184" t="s">
        <v>2751</v>
      </c>
      <c r="E1785" s="183" t="s">
        <v>2752</v>
      </c>
      <c r="F1785" s="184" t="s">
        <v>2753</v>
      </c>
      <c r="G1785" s="183" t="s">
        <v>2754</v>
      </c>
      <c r="H1785" s="184" t="s">
        <v>2755</v>
      </c>
      <c r="J1785" s="188"/>
      <c r="K1785" s="183" t="s">
        <v>2756</v>
      </c>
      <c r="L1785" s="184" t="s">
        <v>2757</v>
      </c>
      <c r="M1785" s="168" t="s">
        <v>2787</v>
      </c>
      <c r="N1785" s="168" t="s">
        <v>271</v>
      </c>
      <c r="O1785" s="168">
        <v>4</v>
      </c>
      <c r="P1785" s="189">
        <v>6</v>
      </c>
      <c r="Q1785" s="189">
        <v>8</v>
      </c>
      <c r="R1785" s="189">
        <v>8</v>
      </c>
      <c r="S1785" s="189">
        <v>8</v>
      </c>
      <c r="T1785" s="184" t="s">
        <v>63</v>
      </c>
      <c r="U1785" s="283" t="s">
        <v>2510</v>
      </c>
      <c r="V1785" s="184" t="s">
        <v>2788</v>
      </c>
      <c r="W1785" s="184">
        <v>1</v>
      </c>
      <c r="X1785" s="184">
        <v>1</v>
      </c>
      <c r="Y1785" s="184">
        <v>1</v>
      </c>
      <c r="Z1785" s="184">
        <v>1</v>
      </c>
      <c r="AA1785" s="184">
        <v>1</v>
      </c>
      <c r="AB1785" s="184">
        <v>1</v>
      </c>
      <c r="AC1785" s="316">
        <v>1</v>
      </c>
      <c r="AD1785" s="316">
        <v>1</v>
      </c>
      <c r="AE1785" s="302">
        <f t="shared" si="70"/>
        <v>1</v>
      </c>
      <c r="AF1785" s="186"/>
      <c r="AG1785" s="17">
        <v>0</v>
      </c>
      <c r="AH1785" s="186">
        <v>2</v>
      </c>
      <c r="AI1785" s="186">
        <v>3</v>
      </c>
      <c r="AJ1785" s="186">
        <v>4</v>
      </c>
      <c r="AK1785" s="187">
        <v>4</v>
      </c>
      <c r="AL1785" s="187">
        <v>4</v>
      </c>
      <c r="AM1785" s="147">
        <f t="shared" si="69"/>
        <v>8</v>
      </c>
      <c r="AN1785" s="184" t="s">
        <v>63</v>
      </c>
      <c r="AO1785" s="168" t="s">
        <v>2510</v>
      </c>
      <c r="AP1785" s="184" t="s">
        <v>119</v>
      </c>
    </row>
    <row r="1786" spans="1:42" s="184" customFormat="1" x14ac:dyDescent="0.3">
      <c r="A1786" s="183" t="s">
        <v>1453</v>
      </c>
      <c r="B1786" s="184" t="s">
        <v>2496</v>
      </c>
      <c r="C1786" s="183" t="s">
        <v>2750</v>
      </c>
      <c r="D1786" s="184" t="s">
        <v>2751</v>
      </c>
      <c r="E1786" s="183" t="s">
        <v>2752</v>
      </c>
      <c r="F1786" s="184" t="s">
        <v>2753</v>
      </c>
      <c r="G1786" s="183" t="s">
        <v>2754</v>
      </c>
      <c r="H1786" s="184" t="s">
        <v>2755</v>
      </c>
      <c r="J1786" s="188"/>
      <c r="K1786" s="183" t="s">
        <v>2756</v>
      </c>
      <c r="L1786" s="184" t="s">
        <v>2757</v>
      </c>
      <c r="M1786" s="168" t="s">
        <v>2789</v>
      </c>
      <c r="N1786" s="168" t="s">
        <v>271</v>
      </c>
      <c r="O1786" s="168">
        <v>10</v>
      </c>
      <c r="P1786" s="189">
        <v>10</v>
      </c>
      <c r="Q1786" s="189">
        <v>13</v>
      </c>
      <c r="R1786" s="189">
        <v>3</v>
      </c>
      <c r="S1786" s="189">
        <v>3</v>
      </c>
      <c r="T1786" s="184" t="s">
        <v>2528</v>
      </c>
      <c r="U1786" s="283" t="s">
        <v>2530</v>
      </c>
      <c r="V1786" s="184" t="s">
        <v>2790</v>
      </c>
      <c r="W1786" s="184">
        <v>1</v>
      </c>
      <c r="X1786" s="184">
        <v>1</v>
      </c>
      <c r="Y1786" s="184">
        <v>0</v>
      </c>
      <c r="Z1786" s="184">
        <v>1</v>
      </c>
      <c r="AA1786" s="184">
        <v>1</v>
      </c>
      <c r="AB1786" s="184">
        <v>1</v>
      </c>
      <c r="AC1786" s="316">
        <v>0</v>
      </c>
      <c r="AD1786" s="316">
        <v>1</v>
      </c>
      <c r="AE1786" s="302">
        <f t="shared" si="70"/>
        <v>0.75</v>
      </c>
      <c r="AF1786" s="186"/>
      <c r="AG1786" s="17">
        <v>0</v>
      </c>
      <c r="AH1786" s="186">
        <v>157</v>
      </c>
      <c r="AI1786" s="186">
        <v>149.80000000000001</v>
      </c>
      <c r="AJ1786" s="186">
        <v>150</v>
      </c>
      <c r="AK1786" s="187">
        <v>150</v>
      </c>
      <c r="AL1786" s="187">
        <v>50</v>
      </c>
      <c r="AM1786" s="147">
        <f t="shared" si="69"/>
        <v>200</v>
      </c>
      <c r="AN1786" s="184" t="s">
        <v>2528</v>
      </c>
      <c r="AO1786" s="168" t="s">
        <v>2530</v>
      </c>
      <c r="AP1786" s="184" t="s">
        <v>119</v>
      </c>
    </row>
    <row r="1787" spans="1:42" s="184" customFormat="1" x14ac:dyDescent="0.3">
      <c r="A1787" s="183" t="s">
        <v>1453</v>
      </c>
      <c r="B1787" s="184" t="s">
        <v>2496</v>
      </c>
      <c r="C1787" s="183" t="s">
        <v>2750</v>
      </c>
      <c r="D1787" s="184" t="s">
        <v>2751</v>
      </c>
      <c r="E1787" s="183" t="s">
        <v>2752</v>
      </c>
      <c r="F1787" s="184" t="s">
        <v>2753</v>
      </c>
      <c r="G1787" s="183" t="s">
        <v>2754</v>
      </c>
      <c r="H1787" s="184" t="s">
        <v>2755</v>
      </c>
      <c r="J1787" s="188"/>
      <c r="K1787" s="183" t="s">
        <v>2756</v>
      </c>
      <c r="L1787" s="184" t="s">
        <v>2757</v>
      </c>
      <c r="M1787" s="168" t="s">
        <v>2791</v>
      </c>
      <c r="N1787" s="168"/>
      <c r="O1787" s="168"/>
      <c r="P1787" s="189">
        <v>2</v>
      </c>
      <c r="Q1787" s="189" t="s">
        <v>271</v>
      </c>
      <c r="R1787" s="189">
        <v>0</v>
      </c>
      <c r="S1787" s="189" t="s">
        <v>271</v>
      </c>
      <c r="T1787" s="184" t="s">
        <v>63</v>
      </c>
      <c r="U1787" s="283" t="s">
        <v>2510</v>
      </c>
      <c r="V1787" s="184" t="s">
        <v>2792</v>
      </c>
      <c r="W1787" s="184">
        <v>1</v>
      </c>
      <c r="X1787" s="184">
        <v>1</v>
      </c>
      <c r="Y1787" s="184">
        <v>1</v>
      </c>
      <c r="Z1787" s="184">
        <v>1</v>
      </c>
      <c r="AA1787" s="184">
        <v>0</v>
      </c>
      <c r="AB1787" s="184">
        <v>1</v>
      </c>
      <c r="AC1787" s="316">
        <v>0</v>
      </c>
      <c r="AD1787" s="316">
        <v>1</v>
      </c>
      <c r="AE1787" s="302">
        <f t="shared" si="70"/>
        <v>0.75</v>
      </c>
      <c r="AF1787" s="186"/>
      <c r="AG1787" s="17">
        <v>0</v>
      </c>
      <c r="AH1787" s="186" t="s">
        <v>2526</v>
      </c>
      <c r="AI1787" s="186">
        <v>5</v>
      </c>
      <c r="AJ1787" s="186">
        <v>60</v>
      </c>
      <c r="AK1787" s="187">
        <v>40</v>
      </c>
      <c r="AL1787" s="187">
        <v>40</v>
      </c>
      <c r="AM1787" s="147">
        <f t="shared" si="69"/>
        <v>80</v>
      </c>
      <c r="AN1787" s="184" t="s">
        <v>63</v>
      </c>
      <c r="AO1787" s="168" t="s">
        <v>2510</v>
      </c>
      <c r="AP1787" s="184" t="s">
        <v>119</v>
      </c>
    </row>
    <row r="1788" spans="1:42" s="184" customFormat="1" x14ac:dyDescent="0.3">
      <c r="A1788" s="183" t="s">
        <v>1453</v>
      </c>
      <c r="B1788" s="184" t="s">
        <v>2496</v>
      </c>
      <c r="C1788" s="183" t="s">
        <v>2750</v>
      </c>
      <c r="D1788" s="184" t="s">
        <v>2751</v>
      </c>
      <c r="E1788" s="183" t="s">
        <v>2752</v>
      </c>
      <c r="F1788" s="184" t="s">
        <v>2753</v>
      </c>
      <c r="G1788" s="183" t="s">
        <v>2754</v>
      </c>
      <c r="H1788" s="184" t="s">
        <v>2755</v>
      </c>
      <c r="J1788" s="188"/>
      <c r="K1788" s="183" t="s">
        <v>2756</v>
      </c>
      <c r="L1788" s="184" t="s">
        <v>2757</v>
      </c>
      <c r="M1788" s="168" t="s">
        <v>2793</v>
      </c>
      <c r="N1788" s="168"/>
      <c r="O1788" s="168"/>
      <c r="P1788" s="189">
        <v>265</v>
      </c>
      <c r="Q1788" s="189">
        <v>265</v>
      </c>
      <c r="R1788" s="189">
        <v>265</v>
      </c>
      <c r="S1788" s="189">
        <v>1100</v>
      </c>
      <c r="T1788" s="184" t="s">
        <v>2507</v>
      </c>
      <c r="U1788" s="283" t="e">
        <v>#N/A</v>
      </c>
      <c r="V1788" s="184" t="s">
        <v>2794</v>
      </c>
      <c r="W1788" s="184">
        <v>1</v>
      </c>
      <c r="X1788" s="184">
        <v>1</v>
      </c>
      <c r="Y1788" s="184">
        <v>1</v>
      </c>
      <c r="Z1788" s="184">
        <v>1</v>
      </c>
      <c r="AA1788" s="184">
        <v>1</v>
      </c>
      <c r="AB1788" s="184">
        <v>1</v>
      </c>
      <c r="AC1788" s="316">
        <v>0</v>
      </c>
      <c r="AD1788" s="316">
        <v>1</v>
      </c>
      <c r="AE1788" s="302">
        <f t="shared" si="70"/>
        <v>0.875</v>
      </c>
      <c r="AF1788" s="186"/>
      <c r="AG1788" s="17">
        <v>0</v>
      </c>
      <c r="AH1788" s="186">
        <v>30</v>
      </c>
      <c r="AI1788" s="186">
        <v>15</v>
      </c>
      <c r="AJ1788" s="186">
        <v>20</v>
      </c>
      <c r="AK1788" s="187">
        <v>30</v>
      </c>
      <c r="AL1788" s="187">
        <v>65</v>
      </c>
      <c r="AM1788" s="147">
        <f t="shared" si="69"/>
        <v>95</v>
      </c>
      <c r="AN1788" s="184" t="s">
        <v>2509</v>
      </c>
      <c r="AO1788" s="168" t="s">
        <v>2510</v>
      </c>
      <c r="AP1788" s="184" t="s">
        <v>63</v>
      </c>
    </row>
    <row r="1789" spans="1:42" s="184" customFormat="1" x14ac:dyDescent="0.3">
      <c r="A1789" s="183" t="s">
        <v>1453</v>
      </c>
      <c r="B1789" s="184" t="s">
        <v>2496</v>
      </c>
      <c r="C1789" s="183" t="s">
        <v>2750</v>
      </c>
      <c r="D1789" s="184" t="s">
        <v>2751</v>
      </c>
      <c r="E1789" s="183" t="s">
        <v>2752</v>
      </c>
      <c r="F1789" s="184" t="s">
        <v>2753</v>
      </c>
      <c r="G1789" s="183" t="s">
        <v>2754</v>
      </c>
      <c r="H1789" s="184" t="s">
        <v>2755</v>
      </c>
      <c r="J1789" s="188"/>
      <c r="K1789" s="183" t="s">
        <v>2756</v>
      </c>
      <c r="L1789" s="184" t="s">
        <v>2757</v>
      </c>
      <c r="M1789" s="168" t="s">
        <v>2795</v>
      </c>
      <c r="N1789" s="168"/>
      <c r="O1789" s="168"/>
      <c r="P1789" s="189">
        <v>6</v>
      </c>
      <c r="Q1789" s="189">
        <v>6</v>
      </c>
      <c r="R1789" s="189">
        <v>6</v>
      </c>
      <c r="S1789" s="189">
        <v>6</v>
      </c>
      <c r="T1789" s="184" t="s">
        <v>2571</v>
      </c>
      <c r="U1789" s="283" t="s">
        <v>2573</v>
      </c>
      <c r="V1789" s="184" t="s">
        <v>2796</v>
      </c>
      <c r="W1789" s="184">
        <v>1</v>
      </c>
      <c r="X1789" s="184">
        <v>1</v>
      </c>
      <c r="Y1789" s="184">
        <v>1</v>
      </c>
      <c r="Z1789" s="184">
        <v>1</v>
      </c>
      <c r="AA1789" s="184">
        <v>1</v>
      </c>
      <c r="AB1789" s="184">
        <v>1</v>
      </c>
      <c r="AC1789" s="316">
        <v>1</v>
      </c>
      <c r="AD1789" s="316">
        <v>1</v>
      </c>
      <c r="AE1789" s="302">
        <f t="shared" si="70"/>
        <v>1</v>
      </c>
      <c r="AF1789" s="186"/>
      <c r="AG1789" s="17">
        <v>0</v>
      </c>
      <c r="AH1789" s="186">
        <v>0</v>
      </c>
      <c r="AI1789" s="186">
        <v>35</v>
      </c>
      <c r="AJ1789" s="186">
        <v>0</v>
      </c>
      <c r="AK1789" s="187">
        <v>0</v>
      </c>
      <c r="AL1789" s="187">
        <v>0</v>
      </c>
      <c r="AM1789" s="147">
        <f t="shared" si="69"/>
        <v>0</v>
      </c>
      <c r="AN1789" s="184" t="s">
        <v>2571</v>
      </c>
      <c r="AO1789" s="168" t="s">
        <v>2573</v>
      </c>
      <c r="AP1789" s="184" t="s">
        <v>2632</v>
      </c>
    </row>
    <row r="1790" spans="1:42" s="184" customFormat="1" x14ac:dyDescent="0.3">
      <c r="A1790" s="183" t="s">
        <v>1453</v>
      </c>
      <c r="B1790" s="184" t="s">
        <v>2496</v>
      </c>
      <c r="C1790" s="183" t="s">
        <v>2750</v>
      </c>
      <c r="D1790" s="184" t="s">
        <v>2751</v>
      </c>
      <c r="E1790" s="183" t="s">
        <v>2752</v>
      </c>
      <c r="F1790" s="184" t="s">
        <v>2753</v>
      </c>
      <c r="G1790" s="183" t="s">
        <v>2754</v>
      </c>
      <c r="H1790" s="184" t="s">
        <v>2755</v>
      </c>
      <c r="J1790" s="188"/>
      <c r="K1790" s="183" t="s">
        <v>2756</v>
      </c>
      <c r="L1790" s="184" t="s">
        <v>2757</v>
      </c>
      <c r="M1790" s="168" t="s">
        <v>2797</v>
      </c>
      <c r="N1790" s="168">
        <v>0</v>
      </c>
      <c r="O1790" s="168">
        <v>125</v>
      </c>
      <c r="P1790" s="189">
        <v>147</v>
      </c>
      <c r="Q1790" s="189">
        <v>200</v>
      </c>
      <c r="R1790" s="189">
        <v>75</v>
      </c>
      <c r="S1790" s="189">
        <v>78</v>
      </c>
      <c r="T1790" s="184" t="s">
        <v>2507</v>
      </c>
      <c r="U1790" s="283" t="e">
        <v>#N/A</v>
      </c>
      <c r="AC1790" s="316">
        <v>0</v>
      </c>
      <c r="AD1790" s="316">
        <v>0</v>
      </c>
      <c r="AE1790" s="302">
        <f t="shared" si="70"/>
        <v>0</v>
      </c>
      <c r="AF1790" s="190"/>
      <c r="AG1790" s="17">
        <v>0</v>
      </c>
      <c r="AH1790" s="190">
        <v>0</v>
      </c>
      <c r="AI1790" s="190" t="s">
        <v>271</v>
      </c>
      <c r="AJ1790" s="190">
        <v>0</v>
      </c>
      <c r="AK1790" s="191">
        <v>0</v>
      </c>
      <c r="AL1790" s="191">
        <v>0</v>
      </c>
      <c r="AM1790" s="147">
        <f t="shared" si="69"/>
        <v>0</v>
      </c>
      <c r="AN1790" s="184" t="s">
        <v>2509</v>
      </c>
      <c r="AO1790" s="168" t="s">
        <v>2510</v>
      </c>
      <c r="AP1790" s="184" t="s">
        <v>2507</v>
      </c>
    </row>
    <row r="1791" spans="1:42" s="184" customFormat="1" x14ac:dyDescent="0.3">
      <c r="A1791" s="183" t="s">
        <v>1453</v>
      </c>
      <c r="B1791" s="184" t="s">
        <v>2496</v>
      </c>
      <c r="C1791" s="183" t="s">
        <v>2750</v>
      </c>
      <c r="D1791" s="184" t="s">
        <v>2751</v>
      </c>
      <c r="E1791" s="183" t="s">
        <v>2752</v>
      </c>
      <c r="F1791" s="184" t="s">
        <v>2753</v>
      </c>
      <c r="G1791" s="183" t="s">
        <v>2798</v>
      </c>
      <c r="H1791" s="184" t="s">
        <v>2799</v>
      </c>
      <c r="J1791" s="188"/>
      <c r="K1791" s="183" t="s">
        <v>2800</v>
      </c>
      <c r="L1791" s="184" t="s">
        <v>2801</v>
      </c>
      <c r="M1791" s="168" t="s">
        <v>2802</v>
      </c>
      <c r="N1791" s="168"/>
      <c r="O1791" s="168" t="s">
        <v>271</v>
      </c>
      <c r="P1791" s="189" t="s">
        <v>271</v>
      </c>
      <c r="Q1791" s="189">
        <v>50</v>
      </c>
      <c r="R1791" s="189">
        <v>50</v>
      </c>
      <c r="S1791" s="189" t="s">
        <v>271</v>
      </c>
      <c r="T1791" s="184" t="s">
        <v>63</v>
      </c>
      <c r="U1791" s="283" t="s">
        <v>2510</v>
      </c>
      <c r="V1791" s="184" t="s">
        <v>2803</v>
      </c>
      <c r="W1791" s="184">
        <v>1</v>
      </c>
      <c r="X1791" s="184">
        <v>1</v>
      </c>
      <c r="Y1791" s="184">
        <v>0</v>
      </c>
      <c r="Z1791" s="184">
        <v>1</v>
      </c>
      <c r="AA1791" s="184">
        <v>1</v>
      </c>
      <c r="AB1791" s="184">
        <v>1</v>
      </c>
      <c r="AC1791" s="316">
        <v>0</v>
      </c>
      <c r="AD1791" s="316">
        <v>1</v>
      </c>
      <c r="AE1791" s="302">
        <f t="shared" si="70"/>
        <v>0.75</v>
      </c>
      <c r="AF1791" s="186"/>
      <c r="AG1791" s="17">
        <v>0</v>
      </c>
      <c r="AH1791" s="186" t="s">
        <v>2526</v>
      </c>
      <c r="AI1791" s="186" t="s">
        <v>2526</v>
      </c>
      <c r="AJ1791" s="186">
        <v>1.5</v>
      </c>
      <c r="AK1791" s="187">
        <v>1.5</v>
      </c>
      <c r="AL1791" s="187" t="s">
        <v>2631</v>
      </c>
      <c r="AM1791" s="147">
        <f t="shared" si="69"/>
        <v>1.5</v>
      </c>
      <c r="AN1791" s="184" t="s">
        <v>63</v>
      </c>
      <c r="AO1791" s="168" t="s">
        <v>2510</v>
      </c>
      <c r="AP1791" s="184" t="s">
        <v>119</v>
      </c>
    </row>
    <row r="1792" spans="1:42" s="184" customFormat="1" x14ac:dyDescent="0.3">
      <c r="A1792" s="183" t="s">
        <v>1453</v>
      </c>
      <c r="B1792" s="184" t="s">
        <v>2496</v>
      </c>
      <c r="C1792" s="183" t="s">
        <v>2750</v>
      </c>
      <c r="D1792" s="184" t="s">
        <v>2751</v>
      </c>
      <c r="E1792" s="183" t="s">
        <v>2752</v>
      </c>
      <c r="F1792" s="184" t="s">
        <v>2753</v>
      </c>
      <c r="G1792" s="183" t="s">
        <v>2804</v>
      </c>
      <c r="H1792" s="184" t="s">
        <v>2805</v>
      </c>
      <c r="J1792" s="188"/>
      <c r="K1792" s="183" t="s">
        <v>2806</v>
      </c>
      <c r="L1792" s="184" t="s">
        <v>2807</v>
      </c>
      <c r="M1792" s="168" t="s">
        <v>2808</v>
      </c>
      <c r="N1792" s="168">
        <v>96.2</v>
      </c>
      <c r="O1792" s="168">
        <v>97.5</v>
      </c>
      <c r="P1792" s="189">
        <v>98.25</v>
      </c>
      <c r="Q1792" s="189">
        <v>98</v>
      </c>
      <c r="R1792" s="189">
        <v>99</v>
      </c>
      <c r="S1792" s="189">
        <v>99</v>
      </c>
      <c r="T1792" s="184" t="s">
        <v>2738</v>
      </c>
      <c r="U1792" s="283" t="e">
        <v>#N/A</v>
      </c>
      <c r="V1792" s="184" t="s">
        <v>2809</v>
      </c>
      <c r="W1792" s="184">
        <v>1</v>
      </c>
      <c r="X1792" s="184">
        <v>0</v>
      </c>
      <c r="Y1792" s="184">
        <v>0</v>
      </c>
      <c r="Z1792" s="184">
        <v>1</v>
      </c>
      <c r="AA1792" s="184">
        <v>1</v>
      </c>
      <c r="AB1792" s="184">
        <v>0</v>
      </c>
      <c r="AC1792" s="316">
        <v>0</v>
      </c>
      <c r="AD1792" s="316">
        <v>1</v>
      </c>
      <c r="AE1792" s="302">
        <f t="shared" si="70"/>
        <v>0.5</v>
      </c>
      <c r="AF1792" s="186"/>
      <c r="AG1792" s="17">
        <v>0</v>
      </c>
      <c r="AH1792" s="186">
        <v>0</v>
      </c>
      <c r="AI1792" s="186">
        <v>0</v>
      </c>
      <c r="AJ1792" s="186">
        <v>0</v>
      </c>
      <c r="AK1792" s="187">
        <v>0</v>
      </c>
      <c r="AL1792" s="187">
        <v>0</v>
      </c>
      <c r="AM1792" s="147">
        <f t="shared" si="69"/>
        <v>0</v>
      </c>
      <c r="AN1792" s="184" t="s">
        <v>2528</v>
      </c>
      <c r="AO1792" s="168" t="s">
        <v>2530</v>
      </c>
      <c r="AP1792" s="184" t="s">
        <v>119</v>
      </c>
    </row>
    <row r="1793" spans="1:42" s="184" customFormat="1" x14ac:dyDescent="0.3">
      <c r="A1793" s="183" t="s">
        <v>1453</v>
      </c>
      <c r="B1793" s="184" t="s">
        <v>2496</v>
      </c>
      <c r="C1793" s="183" t="s">
        <v>2750</v>
      </c>
      <c r="D1793" s="184" t="s">
        <v>2751</v>
      </c>
      <c r="E1793" s="183" t="s">
        <v>2752</v>
      </c>
      <c r="F1793" s="184" t="s">
        <v>2753</v>
      </c>
      <c r="G1793" s="183" t="s">
        <v>2810</v>
      </c>
      <c r="H1793" s="184" t="s">
        <v>2811</v>
      </c>
      <c r="J1793" s="188"/>
      <c r="K1793" s="183" t="s">
        <v>2812</v>
      </c>
      <c r="L1793" s="184" t="s">
        <v>2813</v>
      </c>
      <c r="M1793" s="168" t="s">
        <v>2814</v>
      </c>
      <c r="N1793" s="168" t="s">
        <v>271</v>
      </c>
      <c r="O1793" s="168">
        <v>20</v>
      </c>
      <c r="P1793" s="189">
        <v>20</v>
      </c>
      <c r="Q1793" s="189">
        <v>20</v>
      </c>
      <c r="R1793" s="189">
        <v>20</v>
      </c>
      <c r="S1793" s="189">
        <v>20</v>
      </c>
      <c r="T1793" s="184" t="s">
        <v>2815</v>
      </c>
      <c r="U1793" s="283" t="s">
        <v>2817</v>
      </c>
      <c r="V1793" s="184" t="s">
        <v>2816</v>
      </c>
      <c r="W1793" s="184">
        <v>1</v>
      </c>
      <c r="X1793" s="184">
        <v>1</v>
      </c>
      <c r="Y1793" s="184">
        <v>1</v>
      </c>
      <c r="Z1793" s="184">
        <v>1</v>
      </c>
      <c r="AA1793" s="184">
        <v>1</v>
      </c>
      <c r="AB1793" s="184">
        <v>1</v>
      </c>
      <c r="AC1793" s="316">
        <v>1</v>
      </c>
      <c r="AD1793" s="316">
        <v>1</v>
      </c>
      <c r="AE1793" s="302">
        <f t="shared" si="70"/>
        <v>1</v>
      </c>
      <c r="AF1793" s="186"/>
      <c r="AG1793" s="17">
        <v>0</v>
      </c>
      <c r="AH1793" s="186">
        <v>1.6</v>
      </c>
      <c r="AI1793" s="186">
        <v>1.68</v>
      </c>
      <c r="AJ1793" s="186">
        <v>1.78</v>
      </c>
      <c r="AK1793" s="187">
        <v>1.85</v>
      </c>
      <c r="AL1793" s="187">
        <v>1.94</v>
      </c>
      <c r="AM1793" s="147">
        <f t="shared" si="69"/>
        <v>3.79</v>
      </c>
      <c r="AN1793" s="184" t="s">
        <v>2815</v>
      </c>
      <c r="AO1793" s="168" t="s">
        <v>2817</v>
      </c>
      <c r="AP1793" s="184" t="s">
        <v>255</v>
      </c>
    </row>
    <row r="1794" spans="1:42" s="184" customFormat="1" x14ac:dyDescent="0.3">
      <c r="A1794" s="183" t="s">
        <v>1453</v>
      </c>
      <c r="B1794" s="184" t="s">
        <v>2496</v>
      </c>
      <c r="C1794" s="183" t="s">
        <v>2750</v>
      </c>
      <c r="D1794" s="184" t="s">
        <v>2751</v>
      </c>
      <c r="E1794" s="183" t="s">
        <v>2752</v>
      </c>
      <c r="F1794" s="184" t="s">
        <v>2753</v>
      </c>
      <c r="G1794" s="183" t="s">
        <v>2810</v>
      </c>
      <c r="H1794" s="184" t="s">
        <v>2811</v>
      </c>
      <c r="J1794" s="188"/>
      <c r="K1794" s="183" t="s">
        <v>2812</v>
      </c>
      <c r="L1794" s="184" t="s">
        <v>2813</v>
      </c>
      <c r="M1794" s="168" t="s">
        <v>2818</v>
      </c>
      <c r="N1794" s="168" t="s">
        <v>271</v>
      </c>
      <c r="O1794" s="168" t="s">
        <v>271</v>
      </c>
      <c r="P1794" s="189">
        <v>200</v>
      </c>
      <c r="Q1794" s="189">
        <v>200</v>
      </c>
      <c r="R1794" s="189">
        <v>200</v>
      </c>
      <c r="S1794" s="189">
        <v>200</v>
      </c>
      <c r="T1794" s="184" t="s">
        <v>2815</v>
      </c>
      <c r="U1794" s="283" t="s">
        <v>2817</v>
      </c>
      <c r="V1794" s="184" t="s">
        <v>2819</v>
      </c>
      <c r="W1794" s="184">
        <v>1</v>
      </c>
      <c r="X1794" s="184">
        <v>1</v>
      </c>
      <c r="Y1794" s="184">
        <v>1</v>
      </c>
      <c r="Z1794" s="184">
        <v>1</v>
      </c>
      <c r="AA1794" s="184">
        <v>1</v>
      </c>
      <c r="AB1794" s="184">
        <v>1</v>
      </c>
      <c r="AC1794" s="316">
        <v>1</v>
      </c>
      <c r="AD1794" s="316">
        <v>1</v>
      </c>
      <c r="AE1794" s="302">
        <f t="shared" si="70"/>
        <v>1</v>
      </c>
      <c r="AF1794" s="186"/>
      <c r="AG1794" s="17">
        <v>0</v>
      </c>
      <c r="AH1794" s="186" t="s">
        <v>2526</v>
      </c>
      <c r="AI1794" s="186">
        <v>6</v>
      </c>
      <c r="AJ1794" s="186">
        <v>6.3</v>
      </c>
      <c r="AK1794" s="187">
        <v>6.62</v>
      </c>
      <c r="AL1794" s="187">
        <v>6.95</v>
      </c>
      <c r="AM1794" s="147">
        <f t="shared" si="69"/>
        <v>13.57</v>
      </c>
      <c r="AN1794" s="184" t="s">
        <v>2815</v>
      </c>
      <c r="AO1794" s="168" t="s">
        <v>2817</v>
      </c>
      <c r="AP1794" s="184" t="s">
        <v>255</v>
      </c>
    </row>
    <row r="1795" spans="1:42" s="184" customFormat="1" x14ac:dyDescent="0.3">
      <c r="A1795" s="183" t="s">
        <v>1453</v>
      </c>
      <c r="B1795" s="184" t="s">
        <v>2496</v>
      </c>
      <c r="C1795" s="183" t="s">
        <v>2750</v>
      </c>
      <c r="D1795" s="184" t="s">
        <v>2751</v>
      </c>
      <c r="E1795" s="183" t="s">
        <v>2752</v>
      </c>
      <c r="F1795" s="184" t="s">
        <v>2753</v>
      </c>
      <c r="G1795" s="183" t="s">
        <v>2810</v>
      </c>
      <c r="H1795" s="184" t="s">
        <v>2811</v>
      </c>
      <c r="J1795" s="188"/>
      <c r="K1795" s="183" t="s">
        <v>2812</v>
      </c>
      <c r="L1795" s="184" t="s">
        <v>2813</v>
      </c>
      <c r="M1795" s="168" t="s">
        <v>2820</v>
      </c>
      <c r="N1795" s="168" t="s">
        <v>271</v>
      </c>
      <c r="O1795" s="168" t="s">
        <v>271</v>
      </c>
      <c r="P1795" s="189">
        <v>10</v>
      </c>
      <c r="Q1795" s="189">
        <v>10</v>
      </c>
      <c r="R1795" s="189">
        <v>10</v>
      </c>
      <c r="S1795" s="189">
        <v>10</v>
      </c>
      <c r="T1795" s="184" t="s">
        <v>2815</v>
      </c>
      <c r="U1795" s="283" t="s">
        <v>2817</v>
      </c>
      <c r="V1795" s="184" t="s">
        <v>2821</v>
      </c>
      <c r="W1795" s="184">
        <v>1</v>
      </c>
      <c r="X1795" s="184">
        <v>1</v>
      </c>
      <c r="Y1795" s="184">
        <v>1</v>
      </c>
      <c r="Z1795" s="184">
        <v>1</v>
      </c>
      <c r="AA1795" s="184">
        <v>1</v>
      </c>
      <c r="AB1795" s="184">
        <v>1</v>
      </c>
      <c r="AC1795" s="316">
        <v>1</v>
      </c>
      <c r="AD1795" s="316">
        <v>1</v>
      </c>
      <c r="AE1795" s="302">
        <f t="shared" si="70"/>
        <v>1</v>
      </c>
      <c r="AF1795" s="186"/>
      <c r="AG1795" s="17">
        <v>0</v>
      </c>
      <c r="AH1795" s="186" t="s">
        <v>2526</v>
      </c>
      <c r="AI1795" s="186">
        <v>10</v>
      </c>
      <c r="AJ1795" s="186">
        <v>10.5</v>
      </c>
      <c r="AK1795" s="187">
        <v>11.02</v>
      </c>
      <c r="AL1795" s="187">
        <v>11.58</v>
      </c>
      <c r="AM1795" s="147">
        <f t="shared" si="69"/>
        <v>22.6</v>
      </c>
      <c r="AN1795" s="184" t="s">
        <v>2815</v>
      </c>
      <c r="AO1795" s="168" t="s">
        <v>2817</v>
      </c>
      <c r="AP1795" s="184" t="s">
        <v>255</v>
      </c>
    </row>
    <row r="1796" spans="1:42" s="184" customFormat="1" x14ac:dyDescent="0.3">
      <c r="A1796" s="183" t="s">
        <v>1453</v>
      </c>
      <c r="B1796" s="184" t="s">
        <v>2496</v>
      </c>
      <c r="C1796" s="183" t="s">
        <v>2750</v>
      </c>
      <c r="D1796" s="184" t="s">
        <v>2751</v>
      </c>
      <c r="E1796" s="183" t="s">
        <v>2752</v>
      </c>
      <c r="F1796" s="184" t="s">
        <v>2753</v>
      </c>
      <c r="G1796" s="195" t="s">
        <v>2822</v>
      </c>
      <c r="H1796" s="184" t="s">
        <v>2823</v>
      </c>
      <c r="J1796" s="188"/>
      <c r="K1796" s="195" t="s">
        <v>2824</v>
      </c>
      <c r="L1796" s="184" t="s">
        <v>2825</v>
      </c>
      <c r="M1796" s="168" t="s">
        <v>2826</v>
      </c>
      <c r="N1796" s="168">
        <v>0</v>
      </c>
      <c r="O1796" s="168">
        <v>0</v>
      </c>
      <c r="P1796" s="189">
        <v>1</v>
      </c>
      <c r="Q1796" s="189">
        <v>0</v>
      </c>
      <c r="R1796" s="189">
        <v>0</v>
      </c>
      <c r="S1796" s="189">
        <v>0</v>
      </c>
      <c r="T1796" s="184" t="s">
        <v>2661</v>
      </c>
      <c r="U1796" s="283" t="e">
        <v>#N/A</v>
      </c>
      <c r="V1796" s="184" t="s">
        <v>2827</v>
      </c>
      <c r="W1796" s="184">
        <v>1</v>
      </c>
      <c r="X1796" s="184">
        <v>0</v>
      </c>
      <c r="Y1796" s="184">
        <v>0</v>
      </c>
      <c r="Z1796" s="184">
        <v>1</v>
      </c>
      <c r="AA1796" s="184">
        <v>1</v>
      </c>
      <c r="AB1796" s="184">
        <v>0</v>
      </c>
      <c r="AC1796" s="316">
        <v>0</v>
      </c>
      <c r="AD1796" s="316">
        <v>1</v>
      </c>
      <c r="AE1796" s="302">
        <f t="shared" si="70"/>
        <v>0.5</v>
      </c>
      <c r="AF1796" s="186"/>
      <c r="AG1796" s="17">
        <v>0</v>
      </c>
      <c r="AH1796" s="186">
        <v>0</v>
      </c>
      <c r="AI1796" s="186">
        <v>0</v>
      </c>
      <c r="AJ1796" s="186">
        <v>0</v>
      </c>
      <c r="AK1796" s="187">
        <v>0</v>
      </c>
      <c r="AL1796" s="187">
        <v>0</v>
      </c>
      <c r="AM1796" s="147">
        <f t="shared" si="69"/>
        <v>0</v>
      </c>
      <c r="AN1796" s="184" t="s">
        <v>63</v>
      </c>
      <c r="AO1796" s="168" t="s">
        <v>2510</v>
      </c>
      <c r="AP1796" s="184" t="s">
        <v>119</v>
      </c>
    </row>
    <row r="1797" spans="1:42" s="184" customFormat="1" x14ac:dyDescent="0.3">
      <c r="A1797" s="183" t="s">
        <v>1453</v>
      </c>
      <c r="B1797" s="184" t="s">
        <v>2496</v>
      </c>
      <c r="C1797" s="183" t="s">
        <v>2750</v>
      </c>
      <c r="D1797" s="184" t="s">
        <v>2751</v>
      </c>
      <c r="E1797" s="183" t="s">
        <v>2752</v>
      </c>
      <c r="F1797" s="184" t="s">
        <v>2753</v>
      </c>
      <c r="G1797" s="195" t="s">
        <v>2822</v>
      </c>
      <c r="H1797" s="184" t="s">
        <v>2823</v>
      </c>
      <c r="J1797" s="188"/>
      <c r="K1797" s="195" t="s">
        <v>2824</v>
      </c>
      <c r="L1797" s="184" t="s">
        <v>2825</v>
      </c>
      <c r="M1797" s="168" t="s">
        <v>2828</v>
      </c>
      <c r="N1797" s="168">
        <v>0</v>
      </c>
      <c r="O1797" s="168">
        <v>0</v>
      </c>
      <c r="P1797" s="189">
        <v>0</v>
      </c>
      <c r="Q1797" s="189">
        <v>2</v>
      </c>
      <c r="R1797" s="189">
        <v>3</v>
      </c>
      <c r="S1797" s="189">
        <v>3</v>
      </c>
      <c r="T1797" s="184" t="s">
        <v>2661</v>
      </c>
      <c r="U1797" s="283" t="e">
        <v>#N/A</v>
      </c>
      <c r="V1797" s="184" t="s">
        <v>2829</v>
      </c>
      <c r="W1797" s="184">
        <v>1</v>
      </c>
      <c r="X1797" s="184">
        <v>1</v>
      </c>
      <c r="Y1797" s="184">
        <v>0</v>
      </c>
      <c r="Z1797" s="184">
        <v>0</v>
      </c>
      <c r="AA1797" s="184">
        <v>0</v>
      </c>
      <c r="AB1797" s="184">
        <v>1</v>
      </c>
      <c r="AC1797" s="316">
        <v>1</v>
      </c>
      <c r="AD1797" s="316">
        <v>1</v>
      </c>
      <c r="AE1797" s="302">
        <f t="shared" si="70"/>
        <v>0.625</v>
      </c>
      <c r="AF1797" s="186"/>
      <c r="AG1797" s="17">
        <v>0</v>
      </c>
      <c r="AH1797" s="186">
        <v>0</v>
      </c>
      <c r="AI1797" s="186">
        <v>0</v>
      </c>
      <c r="AJ1797" s="186">
        <v>0</v>
      </c>
      <c r="AK1797" s="187">
        <v>0</v>
      </c>
      <c r="AL1797" s="187">
        <v>200</v>
      </c>
      <c r="AM1797" s="147">
        <f t="shared" si="69"/>
        <v>200</v>
      </c>
      <c r="AN1797" s="184" t="s">
        <v>63</v>
      </c>
      <c r="AO1797" s="168" t="s">
        <v>2510</v>
      </c>
      <c r="AP1797" s="184" t="s">
        <v>119</v>
      </c>
    </row>
    <row r="1798" spans="1:42" s="184" customFormat="1" x14ac:dyDescent="0.3">
      <c r="A1798" s="183" t="s">
        <v>1453</v>
      </c>
      <c r="B1798" s="184" t="s">
        <v>2496</v>
      </c>
      <c r="C1798" s="183" t="s">
        <v>2750</v>
      </c>
      <c r="D1798" s="184" t="s">
        <v>2751</v>
      </c>
      <c r="E1798" s="183" t="s">
        <v>2752</v>
      </c>
      <c r="F1798" s="184" t="s">
        <v>2753</v>
      </c>
      <c r="G1798" s="183" t="s">
        <v>2830</v>
      </c>
      <c r="H1798" s="184" t="s">
        <v>2831</v>
      </c>
      <c r="I1798" s="183" t="s">
        <v>2832</v>
      </c>
      <c r="J1798" s="184" t="s">
        <v>2833</v>
      </c>
      <c r="K1798" s="195" t="s">
        <v>2834</v>
      </c>
      <c r="L1798" s="184" t="s">
        <v>2835</v>
      </c>
      <c r="M1798" s="168" t="s">
        <v>2835</v>
      </c>
      <c r="N1798" s="168">
        <v>0</v>
      </c>
      <c r="O1798" s="447">
        <v>0</v>
      </c>
      <c r="P1798" s="192">
        <v>0</v>
      </c>
      <c r="Q1798" s="192">
        <v>1</v>
      </c>
      <c r="R1798" s="192">
        <v>0</v>
      </c>
      <c r="S1798" s="192">
        <v>0</v>
      </c>
      <c r="T1798" s="184" t="s">
        <v>63</v>
      </c>
      <c r="U1798" s="283" t="s">
        <v>2510</v>
      </c>
      <c r="V1798" s="184" t="s">
        <v>2836</v>
      </c>
      <c r="W1798" s="184">
        <v>1</v>
      </c>
      <c r="X1798" s="184">
        <v>0</v>
      </c>
      <c r="Y1798" s="184">
        <v>0</v>
      </c>
      <c r="Z1798" s="184">
        <v>1</v>
      </c>
      <c r="AA1798" s="184">
        <v>1</v>
      </c>
      <c r="AB1798" s="184">
        <v>1</v>
      </c>
      <c r="AC1798" s="316">
        <v>0</v>
      </c>
      <c r="AD1798" s="316">
        <v>1</v>
      </c>
      <c r="AE1798" s="302">
        <f t="shared" si="70"/>
        <v>0.625</v>
      </c>
      <c r="AF1798" s="186"/>
      <c r="AG1798" s="17">
        <v>0</v>
      </c>
      <c r="AH1798" s="186">
        <v>0</v>
      </c>
      <c r="AI1798" s="186">
        <v>0</v>
      </c>
      <c r="AJ1798" s="186">
        <v>0</v>
      </c>
      <c r="AK1798" s="187">
        <v>0</v>
      </c>
      <c r="AL1798" s="187">
        <v>4</v>
      </c>
      <c r="AM1798" s="147">
        <f t="shared" si="69"/>
        <v>4</v>
      </c>
      <c r="AN1798" s="184" t="s">
        <v>63</v>
      </c>
      <c r="AO1798" s="168" t="s">
        <v>2510</v>
      </c>
      <c r="AP1798" s="184" t="s">
        <v>119</v>
      </c>
    </row>
    <row r="1799" spans="1:42" s="184" customFormat="1" x14ac:dyDescent="0.3">
      <c r="A1799" s="183" t="s">
        <v>1453</v>
      </c>
      <c r="B1799" s="184" t="s">
        <v>2496</v>
      </c>
      <c r="C1799" s="183" t="s">
        <v>2750</v>
      </c>
      <c r="D1799" s="184" t="s">
        <v>2751</v>
      </c>
      <c r="E1799" s="183" t="s">
        <v>2752</v>
      </c>
      <c r="F1799" s="184" t="s">
        <v>2753</v>
      </c>
      <c r="G1799" s="183" t="s">
        <v>2830</v>
      </c>
      <c r="H1799" s="184" t="s">
        <v>2831</v>
      </c>
      <c r="I1799" s="183" t="s">
        <v>2832</v>
      </c>
      <c r="J1799" s="184" t="s">
        <v>2833</v>
      </c>
      <c r="K1799" s="195" t="s">
        <v>2834</v>
      </c>
      <c r="L1799" s="184" t="s">
        <v>2835</v>
      </c>
      <c r="M1799" s="168" t="s">
        <v>2837</v>
      </c>
      <c r="N1799" s="168" t="s">
        <v>271</v>
      </c>
      <c r="O1799" s="168">
        <v>0.1</v>
      </c>
      <c r="P1799" s="189">
        <v>0.4</v>
      </c>
      <c r="Q1799" s="189">
        <v>0.3</v>
      </c>
      <c r="R1799" s="189">
        <v>0.2</v>
      </c>
      <c r="S1799" s="189" t="s">
        <v>2631</v>
      </c>
      <c r="T1799" s="184" t="s">
        <v>63</v>
      </c>
      <c r="U1799" s="283" t="s">
        <v>2510</v>
      </c>
      <c r="V1799" s="184" t="s">
        <v>2838</v>
      </c>
      <c r="W1799" s="184">
        <v>1</v>
      </c>
      <c r="X1799" s="184">
        <v>1</v>
      </c>
      <c r="Y1799" s="184">
        <v>1</v>
      </c>
      <c r="Z1799" s="184">
        <v>1</v>
      </c>
      <c r="AA1799" s="184">
        <v>1</v>
      </c>
      <c r="AB1799" s="184">
        <v>1</v>
      </c>
      <c r="AC1799" s="316">
        <v>0</v>
      </c>
      <c r="AD1799" s="316">
        <v>1</v>
      </c>
      <c r="AE1799" s="302">
        <f t="shared" si="70"/>
        <v>0.875</v>
      </c>
      <c r="AF1799" s="186"/>
      <c r="AG1799" s="17">
        <v>0</v>
      </c>
      <c r="AH1799" s="186">
        <v>0</v>
      </c>
      <c r="AI1799" s="186">
        <v>0</v>
      </c>
      <c r="AJ1799" s="186">
        <v>0</v>
      </c>
      <c r="AK1799" s="187">
        <v>0</v>
      </c>
      <c r="AL1799" s="187">
        <v>0</v>
      </c>
      <c r="AM1799" s="147">
        <f t="shared" si="69"/>
        <v>0</v>
      </c>
      <c r="AN1799" s="184" t="s">
        <v>63</v>
      </c>
      <c r="AO1799" s="168" t="s">
        <v>2510</v>
      </c>
      <c r="AP1799" s="184" t="s">
        <v>119</v>
      </c>
    </row>
    <row r="1800" spans="1:42" s="184" customFormat="1" x14ac:dyDescent="0.3">
      <c r="A1800" s="183" t="s">
        <v>1453</v>
      </c>
      <c r="B1800" s="184" t="s">
        <v>2496</v>
      </c>
      <c r="C1800" s="183" t="s">
        <v>2750</v>
      </c>
      <c r="D1800" s="184" t="s">
        <v>2751</v>
      </c>
      <c r="E1800" s="183" t="s">
        <v>2752</v>
      </c>
      <c r="F1800" s="184" t="s">
        <v>2753</v>
      </c>
      <c r="G1800" s="183" t="s">
        <v>2830</v>
      </c>
      <c r="H1800" s="184" t="s">
        <v>2831</v>
      </c>
      <c r="I1800" s="183" t="s">
        <v>2832</v>
      </c>
      <c r="J1800" s="184" t="s">
        <v>2833</v>
      </c>
      <c r="K1800" s="195" t="s">
        <v>2834</v>
      </c>
      <c r="L1800" s="184" t="s">
        <v>2835</v>
      </c>
      <c r="M1800" s="168" t="s">
        <v>2839</v>
      </c>
      <c r="N1800" s="168">
        <v>0</v>
      </c>
      <c r="O1800" s="168">
        <v>2</v>
      </c>
      <c r="P1800" s="189">
        <v>2</v>
      </c>
      <c r="Q1800" s="189">
        <v>2</v>
      </c>
      <c r="R1800" s="189">
        <v>2</v>
      </c>
      <c r="S1800" s="189" t="s">
        <v>2840</v>
      </c>
      <c r="T1800" s="184" t="s">
        <v>63</v>
      </c>
      <c r="U1800" s="283" t="s">
        <v>2510</v>
      </c>
      <c r="AC1800" s="316">
        <v>0</v>
      </c>
      <c r="AD1800" s="316">
        <v>0</v>
      </c>
      <c r="AE1800" s="302">
        <f t="shared" si="70"/>
        <v>0</v>
      </c>
      <c r="AF1800" s="190"/>
      <c r="AG1800" s="17">
        <v>0</v>
      </c>
      <c r="AH1800" s="190">
        <v>0</v>
      </c>
      <c r="AI1800" s="190">
        <v>0</v>
      </c>
      <c r="AJ1800" s="190">
        <v>0</v>
      </c>
      <c r="AK1800" s="191" t="s">
        <v>271</v>
      </c>
      <c r="AL1800" s="191" t="s">
        <v>271</v>
      </c>
      <c r="AM1800" s="147">
        <f t="shared" si="69"/>
        <v>0</v>
      </c>
      <c r="AN1800" s="184" t="s">
        <v>63</v>
      </c>
      <c r="AO1800" s="168" t="s">
        <v>2510</v>
      </c>
      <c r="AP1800" s="184" t="s">
        <v>119</v>
      </c>
    </row>
    <row r="1801" spans="1:42" s="184" customFormat="1" x14ac:dyDescent="0.3">
      <c r="A1801" s="183" t="s">
        <v>1453</v>
      </c>
      <c r="B1801" s="184" t="s">
        <v>2496</v>
      </c>
      <c r="C1801" s="183" t="s">
        <v>2750</v>
      </c>
      <c r="D1801" s="184" t="s">
        <v>2751</v>
      </c>
      <c r="E1801" s="183" t="s">
        <v>2752</v>
      </c>
      <c r="F1801" s="184" t="s">
        <v>2753</v>
      </c>
      <c r="G1801" s="183" t="s">
        <v>2830</v>
      </c>
      <c r="H1801" s="184" t="s">
        <v>2831</v>
      </c>
      <c r="I1801" s="183" t="s">
        <v>2841</v>
      </c>
      <c r="J1801" s="184" t="s">
        <v>2842</v>
      </c>
      <c r="K1801" s="195" t="s">
        <v>2843</v>
      </c>
      <c r="L1801" s="184" t="s">
        <v>2844</v>
      </c>
      <c r="M1801" s="168" t="s">
        <v>2845</v>
      </c>
      <c r="N1801" s="168">
        <v>0</v>
      </c>
      <c r="O1801" s="168">
        <v>0.3</v>
      </c>
      <c r="P1801" s="189">
        <v>0.35</v>
      </c>
      <c r="Q1801" s="189">
        <v>0.35</v>
      </c>
      <c r="R1801" s="189" t="s">
        <v>271</v>
      </c>
      <c r="S1801" s="189" t="s">
        <v>271</v>
      </c>
      <c r="T1801" s="184" t="s">
        <v>63</v>
      </c>
      <c r="U1801" s="283" t="s">
        <v>2510</v>
      </c>
      <c r="V1801" s="184" t="s">
        <v>2846</v>
      </c>
      <c r="W1801" s="184">
        <v>1</v>
      </c>
      <c r="X1801" s="184">
        <v>1</v>
      </c>
      <c r="Y1801" s="184">
        <v>1</v>
      </c>
      <c r="Z1801" s="184">
        <v>1</v>
      </c>
      <c r="AA1801" s="184">
        <v>0</v>
      </c>
      <c r="AB1801" s="184">
        <v>1</v>
      </c>
      <c r="AC1801" s="316">
        <v>0</v>
      </c>
      <c r="AD1801" s="316">
        <v>1</v>
      </c>
      <c r="AE1801" s="302">
        <f t="shared" si="70"/>
        <v>0.75</v>
      </c>
      <c r="AF1801" s="186"/>
      <c r="AG1801" s="17">
        <v>0</v>
      </c>
      <c r="AH1801" s="186">
        <v>0</v>
      </c>
      <c r="AI1801" s="186">
        <v>0</v>
      </c>
      <c r="AJ1801" s="186">
        <v>0</v>
      </c>
      <c r="AK1801" s="187">
        <v>1</v>
      </c>
      <c r="AL1801" s="187">
        <v>3</v>
      </c>
      <c r="AM1801" s="147">
        <f t="shared" si="69"/>
        <v>4</v>
      </c>
      <c r="AN1801" s="184" t="s">
        <v>63</v>
      </c>
      <c r="AO1801" s="168" t="s">
        <v>2510</v>
      </c>
      <c r="AP1801" s="184" t="s">
        <v>119</v>
      </c>
    </row>
    <row r="1802" spans="1:42" s="184" customFormat="1" x14ac:dyDescent="0.3">
      <c r="A1802" s="183" t="s">
        <v>1453</v>
      </c>
      <c r="B1802" s="184" t="s">
        <v>2496</v>
      </c>
      <c r="C1802" s="183" t="s">
        <v>2750</v>
      </c>
      <c r="D1802" s="184" t="s">
        <v>2751</v>
      </c>
      <c r="E1802" s="183" t="s">
        <v>2752</v>
      </c>
      <c r="F1802" s="184" t="s">
        <v>2753</v>
      </c>
      <c r="G1802" s="183" t="s">
        <v>2830</v>
      </c>
      <c r="H1802" s="184" t="s">
        <v>2831</v>
      </c>
      <c r="I1802" s="183" t="s">
        <v>2841</v>
      </c>
      <c r="J1802" s="184" t="s">
        <v>2842</v>
      </c>
      <c r="K1802" s="195" t="s">
        <v>2843</v>
      </c>
      <c r="L1802" s="184" t="s">
        <v>2844</v>
      </c>
      <c r="M1802" s="168" t="s">
        <v>2847</v>
      </c>
      <c r="N1802" s="168"/>
      <c r="O1802" s="168" t="s">
        <v>271</v>
      </c>
      <c r="P1802" s="189" t="s">
        <v>271</v>
      </c>
      <c r="Q1802" s="189">
        <v>0.25</v>
      </c>
      <c r="R1802" s="189" t="s">
        <v>2848</v>
      </c>
      <c r="S1802" s="189">
        <v>0.35</v>
      </c>
      <c r="T1802" s="184" t="s">
        <v>63</v>
      </c>
      <c r="U1802" s="283" t="s">
        <v>2510</v>
      </c>
      <c r="V1802" s="184" t="s">
        <v>2849</v>
      </c>
      <c r="W1802" s="184">
        <v>1</v>
      </c>
      <c r="X1802" s="184">
        <v>1</v>
      </c>
      <c r="Y1802" s="184">
        <v>1</v>
      </c>
      <c r="Z1802" s="184">
        <v>1</v>
      </c>
      <c r="AA1802" s="184">
        <v>0</v>
      </c>
      <c r="AB1802" s="184">
        <v>1</v>
      </c>
      <c r="AC1802" s="316">
        <v>0</v>
      </c>
      <c r="AD1802" s="316">
        <v>1</v>
      </c>
      <c r="AE1802" s="302">
        <f t="shared" si="70"/>
        <v>0.75</v>
      </c>
      <c r="AF1802" s="186"/>
      <c r="AG1802" s="17">
        <v>0</v>
      </c>
      <c r="AH1802" s="186">
        <v>0</v>
      </c>
      <c r="AI1802" s="186">
        <v>0</v>
      </c>
      <c r="AJ1802" s="186">
        <v>0</v>
      </c>
      <c r="AK1802" s="187">
        <v>2.5</v>
      </c>
      <c r="AL1802" s="187">
        <v>3</v>
      </c>
      <c r="AM1802" s="147">
        <f t="shared" si="69"/>
        <v>5.5</v>
      </c>
      <c r="AN1802" s="184" t="s">
        <v>63</v>
      </c>
      <c r="AO1802" s="168" t="s">
        <v>2510</v>
      </c>
      <c r="AP1802" s="184" t="s">
        <v>119</v>
      </c>
    </row>
    <row r="1803" spans="1:42" s="184" customFormat="1" x14ac:dyDescent="0.3">
      <c r="A1803" s="183" t="s">
        <v>1453</v>
      </c>
      <c r="B1803" s="184" t="s">
        <v>2496</v>
      </c>
      <c r="C1803" s="183" t="s">
        <v>2750</v>
      </c>
      <c r="D1803" s="184" t="s">
        <v>2751</v>
      </c>
      <c r="E1803" s="183" t="s">
        <v>2752</v>
      </c>
      <c r="F1803" s="184" t="s">
        <v>2753</v>
      </c>
      <c r="G1803" s="183" t="s">
        <v>2830</v>
      </c>
      <c r="H1803" s="184" t="s">
        <v>2831</v>
      </c>
      <c r="I1803" s="183" t="s">
        <v>2850</v>
      </c>
      <c r="J1803" s="184" t="s">
        <v>2851</v>
      </c>
      <c r="K1803" s="195" t="s">
        <v>2852</v>
      </c>
      <c r="L1803" s="184" t="s">
        <v>2844</v>
      </c>
      <c r="M1803" s="168" t="s">
        <v>2853</v>
      </c>
      <c r="N1803" s="168" t="s">
        <v>271</v>
      </c>
      <c r="O1803" s="168" t="s">
        <v>271</v>
      </c>
      <c r="P1803" s="189">
        <v>10</v>
      </c>
      <c r="Q1803" s="189">
        <v>30</v>
      </c>
      <c r="R1803" s="189">
        <v>60</v>
      </c>
      <c r="S1803" s="189"/>
      <c r="T1803" s="184" t="s">
        <v>63</v>
      </c>
      <c r="U1803" s="283" t="s">
        <v>2510</v>
      </c>
      <c r="V1803" s="184" t="s">
        <v>2854</v>
      </c>
      <c r="W1803" s="184">
        <v>1</v>
      </c>
      <c r="X1803" s="184">
        <v>1</v>
      </c>
      <c r="Y1803" s="184">
        <v>0</v>
      </c>
      <c r="Z1803" s="184">
        <v>1</v>
      </c>
      <c r="AA1803" s="184">
        <v>1</v>
      </c>
      <c r="AB1803" s="184">
        <v>1</v>
      </c>
      <c r="AC1803" s="316">
        <v>0</v>
      </c>
      <c r="AD1803" s="316">
        <v>1</v>
      </c>
      <c r="AE1803" s="302">
        <f t="shared" si="70"/>
        <v>0.75</v>
      </c>
      <c r="AF1803" s="186"/>
      <c r="AG1803" s="17">
        <v>0</v>
      </c>
      <c r="AH1803" s="186">
        <v>0</v>
      </c>
      <c r="AI1803" s="186">
        <v>0</v>
      </c>
      <c r="AJ1803" s="186">
        <v>0</v>
      </c>
      <c r="AK1803" s="187">
        <v>1</v>
      </c>
      <c r="AL1803" s="187">
        <v>1</v>
      </c>
      <c r="AM1803" s="147">
        <f t="shared" si="69"/>
        <v>2</v>
      </c>
      <c r="AN1803" s="184" t="s">
        <v>63</v>
      </c>
      <c r="AO1803" s="168" t="s">
        <v>2510</v>
      </c>
      <c r="AP1803" s="184" t="s">
        <v>119</v>
      </c>
    </row>
    <row r="1804" spans="1:42" s="184" customFormat="1" x14ac:dyDescent="0.3">
      <c r="A1804" s="183" t="s">
        <v>1453</v>
      </c>
      <c r="B1804" s="184" t="s">
        <v>2496</v>
      </c>
      <c r="C1804" s="183" t="s">
        <v>2750</v>
      </c>
      <c r="D1804" s="184" t="s">
        <v>2751</v>
      </c>
      <c r="E1804" s="183" t="s">
        <v>2752</v>
      </c>
      <c r="F1804" s="184" t="s">
        <v>2753</v>
      </c>
      <c r="G1804" s="183" t="s">
        <v>2830</v>
      </c>
      <c r="H1804" s="184" t="s">
        <v>2831</v>
      </c>
      <c r="I1804" s="183" t="s">
        <v>2850</v>
      </c>
      <c r="J1804" s="184" t="s">
        <v>2851</v>
      </c>
      <c r="K1804" s="195" t="s">
        <v>2852</v>
      </c>
      <c r="L1804" s="184" t="s">
        <v>2844</v>
      </c>
      <c r="M1804" s="168" t="s">
        <v>2855</v>
      </c>
      <c r="N1804" s="168">
        <v>0</v>
      </c>
      <c r="O1804" s="168">
        <v>0</v>
      </c>
      <c r="P1804" s="189">
        <v>1</v>
      </c>
      <c r="Q1804" s="189" t="s">
        <v>271</v>
      </c>
      <c r="R1804" s="189" t="s">
        <v>271</v>
      </c>
      <c r="S1804" s="189" t="s">
        <v>271</v>
      </c>
      <c r="T1804" s="184" t="s">
        <v>2856</v>
      </c>
      <c r="U1804" s="283" t="e">
        <v>#N/A</v>
      </c>
      <c r="V1804" s="184" t="s">
        <v>2857</v>
      </c>
      <c r="W1804" s="184">
        <v>1</v>
      </c>
      <c r="X1804" s="184">
        <v>1</v>
      </c>
      <c r="Y1804" s="184">
        <v>1</v>
      </c>
      <c r="Z1804" s="184">
        <v>1</v>
      </c>
      <c r="AA1804" s="184">
        <v>0</v>
      </c>
      <c r="AB1804" s="184">
        <v>1</v>
      </c>
      <c r="AC1804" s="316">
        <v>0</v>
      </c>
      <c r="AD1804" s="316">
        <v>1</v>
      </c>
      <c r="AE1804" s="302">
        <f t="shared" si="70"/>
        <v>0.75</v>
      </c>
      <c r="AF1804" s="186"/>
      <c r="AG1804" s="17">
        <v>0</v>
      </c>
      <c r="AH1804" s="186" t="s">
        <v>271</v>
      </c>
      <c r="AI1804" s="186" t="s">
        <v>271</v>
      </c>
      <c r="AJ1804" s="186" t="s">
        <v>271</v>
      </c>
      <c r="AK1804" s="187">
        <v>2</v>
      </c>
      <c r="AL1804" s="187">
        <v>3</v>
      </c>
      <c r="AM1804" s="147">
        <f t="shared" si="69"/>
        <v>5</v>
      </c>
      <c r="AN1804" s="184" t="s">
        <v>2509</v>
      </c>
      <c r="AO1804" s="168" t="s">
        <v>2510</v>
      </c>
      <c r="AP1804" s="184" t="s">
        <v>2507</v>
      </c>
    </row>
    <row r="1805" spans="1:42" s="184" customFormat="1" x14ac:dyDescent="0.3">
      <c r="A1805" s="183" t="s">
        <v>1453</v>
      </c>
      <c r="B1805" s="184" t="s">
        <v>2496</v>
      </c>
      <c r="C1805" s="183" t="s">
        <v>2858</v>
      </c>
      <c r="D1805" s="184" t="s">
        <v>2859</v>
      </c>
      <c r="E1805" s="183" t="s">
        <v>2860</v>
      </c>
      <c r="F1805" s="184" t="s">
        <v>2861</v>
      </c>
      <c r="G1805" s="183" t="s">
        <v>2862</v>
      </c>
      <c r="H1805" s="184" t="s">
        <v>2863</v>
      </c>
      <c r="K1805" s="183" t="s">
        <v>2864</v>
      </c>
      <c r="L1805" s="184" t="s">
        <v>2865</v>
      </c>
      <c r="M1805" s="168" t="s">
        <v>2866</v>
      </c>
      <c r="N1805" s="446"/>
      <c r="O1805" s="168">
        <v>586</v>
      </c>
      <c r="P1805" s="189">
        <v>590</v>
      </c>
      <c r="Q1805" s="189">
        <v>600</v>
      </c>
      <c r="R1805" s="189">
        <v>570</v>
      </c>
      <c r="S1805" s="189">
        <v>420</v>
      </c>
      <c r="T1805" s="184" t="s">
        <v>2528</v>
      </c>
      <c r="U1805" s="283" t="s">
        <v>2530</v>
      </c>
      <c r="V1805" s="184" t="s">
        <v>2867</v>
      </c>
      <c r="W1805" s="184">
        <v>1</v>
      </c>
      <c r="X1805" s="184">
        <v>1</v>
      </c>
      <c r="Y1805" s="184">
        <v>1</v>
      </c>
      <c r="Z1805" s="184">
        <v>1</v>
      </c>
      <c r="AA1805" s="184">
        <v>1</v>
      </c>
      <c r="AB1805" s="184">
        <v>0</v>
      </c>
      <c r="AC1805" s="316">
        <v>0</v>
      </c>
      <c r="AD1805" s="316">
        <v>1</v>
      </c>
      <c r="AE1805" s="302">
        <f t="shared" si="70"/>
        <v>0.75</v>
      </c>
      <c r="AF1805" s="190"/>
      <c r="AG1805" s="17">
        <v>0</v>
      </c>
      <c r="AH1805" s="190">
        <v>0</v>
      </c>
      <c r="AI1805" s="190">
        <v>0</v>
      </c>
      <c r="AJ1805" s="190">
        <v>0</v>
      </c>
      <c r="AK1805" s="191">
        <v>0</v>
      </c>
      <c r="AL1805" s="191">
        <v>0</v>
      </c>
      <c r="AM1805" s="147">
        <f t="shared" si="69"/>
        <v>0</v>
      </c>
      <c r="AN1805" s="184" t="s">
        <v>2528</v>
      </c>
      <c r="AO1805" s="168" t="s">
        <v>2530</v>
      </c>
      <c r="AP1805" s="184" t="s">
        <v>119</v>
      </c>
    </row>
    <row r="1806" spans="1:42" s="184" customFormat="1" x14ac:dyDescent="0.3">
      <c r="A1806" s="183" t="s">
        <v>1453</v>
      </c>
      <c r="B1806" s="184" t="s">
        <v>2496</v>
      </c>
      <c r="C1806" s="183" t="s">
        <v>2858</v>
      </c>
      <c r="D1806" s="184" t="s">
        <v>2859</v>
      </c>
      <c r="E1806" s="183" t="s">
        <v>2860</v>
      </c>
      <c r="F1806" s="184" t="s">
        <v>2861</v>
      </c>
      <c r="G1806" s="183" t="s">
        <v>2862</v>
      </c>
      <c r="H1806" s="184" t="s">
        <v>2863</v>
      </c>
      <c r="J1806" s="188"/>
      <c r="K1806" s="183" t="s">
        <v>2864</v>
      </c>
      <c r="L1806" s="184" t="s">
        <v>2865</v>
      </c>
      <c r="M1806" s="168" t="s">
        <v>2868</v>
      </c>
      <c r="N1806" s="168"/>
      <c r="O1806" s="168">
        <v>25.209</v>
      </c>
      <c r="P1806" s="189">
        <v>1856.18</v>
      </c>
      <c r="Q1806" s="189" t="s">
        <v>271</v>
      </c>
      <c r="R1806" s="189" t="s">
        <v>271</v>
      </c>
      <c r="S1806" s="189" t="s">
        <v>271</v>
      </c>
      <c r="T1806" s="184" t="s">
        <v>2535</v>
      </c>
      <c r="U1806" s="283" t="s">
        <v>2510</v>
      </c>
      <c r="V1806" s="184" t="s">
        <v>2869</v>
      </c>
      <c r="W1806" s="184">
        <v>1</v>
      </c>
      <c r="X1806" s="184">
        <v>1</v>
      </c>
      <c r="Y1806" s="184">
        <v>1</v>
      </c>
      <c r="Z1806" s="184">
        <v>1</v>
      </c>
      <c r="AA1806" s="184">
        <v>1</v>
      </c>
      <c r="AB1806" s="184">
        <v>1</v>
      </c>
      <c r="AC1806" s="316">
        <v>1</v>
      </c>
      <c r="AD1806" s="316">
        <v>1</v>
      </c>
      <c r="AE1806" s="302">
        <f t="shared" si="70"/>
        <v>1</v>
      </c>
      <c r="AF1806" s="186">
        <v>1</v>
      </c>
      <c r="AG1806" s="17"/>
      <c r="AH1806" s="186">
        <v>0</v>
      </c>
      <c r="AI1806" s="186">
        <v>0</v>
      </c>
      <c r="AJ1806" s="186">
        <v>0</v>
      </c>
      <c r="AK1806" s="187">
        <v>0</v>
      </c>
      <c r="AL1806" s="187">
        <v>0</v>
      </c>
      <c r="AM1806" s="147">
        <f t="shared" si="69"/>
        <v>0</v>
      </c>
      <c r="AN1806" s="184" t="s">
        <v>63</v>
      </c>
      <c r="AO1806" s="168" t="s">
        <v>2510</v>
      </c>
      <c r="AP1806" s="184" t="s">
        <v>2507</v>
      </c>
    </row>
    <row r="1807" spans="1:42" s="184" customFormat="1" x14ac:dyDescent="0.3">
      <c r="A1807" s="183" t="s">
        <v>1453</v>
      </c>
      <c r="B1807" s="184" t="s">
        <v>2496</v>
      </c>
      <c r="C1807" s="183" t="s">
        <v>2858</v>
      </c>
      <c r="D1807" s="184" t="s">
        <v>2859</v>
      </c>
      <c r="E1807" s="183" t="s">
        <v>2860</v>
      </c>
      <c r="F1807" s="184" t="s">
        <v>2861</v>
      </c>
      <c r="G1807" s="183" t="s">
        <v>2862</v>
      </c>
      <c r="H1807" s="184" t="s">
        <v>2863</v>
      </c>
      <c r="J1807" s="188"/>
      <c r="K1807" s="183" t="s">
        <v>2864</v>
      </c>
      <c r="L1807" s="184" t="s">
        <v>2865</v>
      </c>
      <c r="M1807" s="168" t="s">
        <v>2870</v>
      </c>
      <c r="N1807" s="168"/>
      <c r="O1807" s="168" t="s">
        <v>271</v>
      </c>
      <c r="P1807" s="189" t="s">
        <v>271</v>
      </c>
      <c r="Q1807" s="189">
        <v>150</v>
      </c>
      <c r="R1807" s="189" t="s">
        <v>271</v>
      </c>
      <c r="S1807" s="189" t="s">
        <v>271</v>
      </c>
      <c r="T1807" s="184" t="s">
        <v>2535</v>
      </c>
      <c r="U1807" s="283" t="s">
        <v>2510</v>
      </c>
      <c r="V1807" s="184" t="s">
        <v>2871</v>
      </c>
      <c r="W1807" s="184">
        <v>1</v>
      </c>
      <c r="X1807" s="184">
        <v>1</v>
      </c>
      <c r="Y1807" s="184">
        <v>1</v>
      </c>
      <c r="Z1807" s="184">
        <v>1</v>
      </c>
      <c r="AA1807" s="184">
        <v>1</v>
      </c>
      <c r="AB1807" s="184">
        <v>1</v>
      </c>
      <c r="AC1807" s="316">
        <v>1</v>
      </c>
      <c r="AD1807" s="316">
        <v>1</v>
      </c>
      <c r="AE1807" s="302">
        <f t="shared" si="70"/>
        <v>1</v>
      </c>
      <c r="AF1807" s="186"/>
      <c r="AG1807" s="17">
        <v>0</v>
      </c>
      <c r="AH1807" s="186">
        <v>0</v>
      </c>
      <c r="AI1807" s="186">
        <v>0</v>
      </c>
      <c r="AJ1807" s="186">
        <v>0</v>
      </c>
      <c r="AK1807" s="187">
        <v>0</v>
      </c>
      <c r="AL1807" s="187">
        <v>0</v>
      </c>
      <c r="AM1807" s="147">
        <f t="shared" si="69"/>
        <v>0</v>
      </c>
      <c r="AN1807" s="184" t="s">
        <v>63</v>
      </c>
      <c r="AO1807" s="168" t="s">
        <v>2510</v>
      </c>
      <c r="AP1807" s="184" t="s">
        <v>2872</v>
      </c>
    </row>
    <row r="1808" spans="1:42" s="184" customFormat="1" x14ac:dyDescent="0.3">
      <c r="A1808" s="183" t="s">
        <v>1453</v>
      </c>
      <c r="B1808" s="184" t="s">
        <v>2496</v>
      </c>
      <c r="C1808" s="183" t="s">
        <v>2858</v>
      </c>
      <c r="D1808" s="184" t="s">
        <v>2859</v>
      </c>
      <c r="E1808" s="183" t="s">
        <v>2860</v>
      </c>
      <c r="F1808" s="184" t="s">
        <v>2861</v>
      </c>
      <c r="G1808" s="183" t="s">
        <v>2862</v>
      </c>
      <c r="H1808" s="184" t="s">
        <v>2863</v>
      </c>
      <c r="J1808" s="188"/>
      <c r="K1808" s="183" t="s">
        <v>2864</v>
      </c>
      <c r="L1808" s="184" t="s">
        <v>2865</v>
      </c>
      <c r="M1808" s="168" t="s">
        <v>2873</v>
      </c>
      <c r="N1808" s="168"/>
      <c r="O1808" s="168"/>
      <c r="P1808" s="189">
        <v>3500</v>
      </c>
      <c r="Q1808" s="189">
        <v>1950</v>
      </c>
      <c r="R1808" s="189">
        <v>1700</v>
      </c>
      <c r="S1808" s="189">
        <v>1300</v>
      </c>
      <c r="T1808" s="184" t="s">
        <v>570</v>
      </c>
      <c r="U1808" s="283" t="s">
        <v>2875</v>
      </c>
      <c r="V1808" s="184" t="s">
        <v>2874</v>
      </c>
      <c r="W1808" s="184">
        <v>1</v>
      </c>
      <c r="X1808" s="184">
        <v>1</v>
      </c>
      <c r="Y1808" s="184">
        <v>1</v>
      </c>
      <c r="Z1808" s="184">
        <v>1</v>
      </c>
      <c r="AA1808" s="184">
        <v>1</v>
      </c>
      <c r="AB1808" s="184">
        <v>1</v>
      </c>
      <c r="AC1808" s="316">
        <v>1</v>
      </c>
      <c r="AD1808" s="316">
        <v>1</v>
      </c>
      <c r="AE1808" s="302">
        <f t="shared" si="70"/>
        <v>1</v>
      </c>
      <c r="AF1808" s="190"/>
      <c r="AG1808" s="17">
        <v>0</v>
      </c>
      <c r="AH1808" s="190">
        <v>0</v>
      </c>
      <c r="AI1808" s="186">
        <v>2</v>
      </c>
      <c r="AJ1808" s="186">
        <v>2.6</v>
      </c>
      <c r="AK1808" s="187">
        <v>2.4</v>
      </c>
      <c r="AL1808" s="187">
        <v>2</v>
      </c>
      <c r="AM1808" s="147">
        <f t="shared" si="69"/>
        <v>4.4000000000000004</v>
      </c>
      <c r="AN1808" s="184" t="s">
        <v>570</v>
      </c>
      <c r="AO1808" s="168" t="s">
        <v>2875</v>
      </c>
      <c r="AP1808" s="184" t="s">
        <v>2514</v>
      </c>
    </row>
    <row r="1809" spans="1:42" s="184" customFormat="1" x14ac:dyDescent="0.3">
      <c r="A1809" s="183" t="s">
        <v>1453</v>
      </c>
      <c r="B1809" s="184" t="s">
        <v>2496</v>
      </c>
      <c r="C1809" s="183" t="s">
        <v>2858</v>
      </c>
      <c r="D1809" s="184" t="s">
        <v>2859</v>
      </c>
      <c r="E1809" s="183" t="s">
        <v>2860</v>
      </c>
      <c r="F1809" s="184" t="s">
        <v>2861</v>
      </c>
      <c r="G1809" s="183" t="s">
        <v>2876</v>
      </c>
      <c r="H1809" s="184" t="s">
        <v>2877</v>
      </c>
      <c r="J1809" s="188"/>
      <c r="K1809" s="183" t="s">
        <v>2878</v>
      </c>
      <c r="L1809" s="184" t="s">
        <v>2879</v>
      </c>
      <c r="M1809" s="168" t="s">
        <v>2880</v>
      </c>
      <c r="N1809" s="168"/>
      <c r="O1809" s="168" t="s">
        <v>271</v>
      </c>
      <c r="P1809" s="189">
        <v>3</v>
      </c>
      <c r="Q1809" s="189">
        <v>3</v>
      </c>
      <c r="R1809" s="189">
        <v>3</v>
      </c>
      <c r="S1809" s="189">
        <v>3</v>
      </c>
      <c r="T1809" s="184" t="s">
        <v>2881</v>
      </c>
      <c r="U1809" s="283" t="e">
        <v>#N/A</v>
      </c>
      <c r="V1809" s="184" t="s">
        <v>2882</v>
      </c>
      <c r="W1809" s="184">
        <v>1</v>
      </c>
      <c r="X1809" s="184">
        <v>0</v>
      </c>
      <c r="Y1809" s="184">
        <v>0</v>
      </c>
      <c r="Z1809" s="184">
        <v>1</v>
      </c>
      <c r="AA1809" s="184">
        <v>1</v>
      </c>
      <c r="AB1809" s="184">
        <v>1</v>
      </c>
      <c r="AC1809" s="316">
        <v>0</v>
      </c>
      <c r="AD1809" s="316">
        <v>1</v>
      </c>
      <c r="AE1809" s="302">
        <f t="shared" si="70"/>
        <v>0.625</v>
      </c>
      <c r="AF1809" s="186"/>
      <c r="AG1809" s="17">
        <v>0</v>
      </c>
      <c r="AH1809" s="186" t="s">
        <v>2526</v>
      </c>
      <c r="AI1809" s="186">
        <v>0.05</v>
      </c>
      <c r="AJ1809" s="186">
        <v>0.05</v>
      </c>
      <c r="AK1809" s="187">
        <v>0</v>
      </c>
      <c r="AL1809" s="187">
        <v>0.13</v>
      </c>
      <c r="AM1809" s="147">
        <f t="shared" si="69"/>
        <v>0.13</v>
      </c>
      <c r="AN1809" s="184" t="s">
        <v>63</v>
      </c>
      <c r="AO1809" s="168" t="s">
        <v>2510</v>
      </c>
      <c r="AP1809" s="184" t="s">
        <v>119</v>
      </c>
    </row>
    <row r="1810" spans="1:42" s="184" customFormat="1" x14ac:dyDescent="0.3">
      <c r="A1810" s="183" t="s">
        <v>1453</v>
      </c>
      <c r="B1810" s="184" t="s">
        <v>2496</v>
      </c>
      <c r="C1810" s="183" t="s">
        <v>2858</v>
      </c>
      <c r="D1810" s="184" t="s">
        <v>2859</v>
      </c>
      <c r="E1810" s="183" t="s">
        <v>2860</v>
      </c>
      <c r="F1810" s="184" t="s">
        <v>2861</v>
      </c>
      <c r="G1810" s="183" t="s">
        <v>2876</v>
      </c>
      <c r="H1810" s="184" t="s">
        <v>2877</v>
      </c>
      <c r="J1810" s="188"/>
      <c r="K1810" s="183" t="s">
        <v>2878</v>
      </c>
      <c r="L1810" s="184" t="s">
        <v>2879</v>
      </c>
      <c r="M1810" s="168" t="s">
        <v>2883</v>
      </c>
      <c r="N1810" s="168"/>
      <c r="O1810" s="168" t="s">
        <v>271</v>
      </c>
      <c r="P1810" s="189" t="s">
        <v>271</v>
      </c>
      <c r="Q1810" s="189">
        <v>5</v>
      </c>
      <c r="R1810" s="189">
        <v>5</v>
      </c>
      <c r="S1810" s="189">
        <v>5</v>
      </c>
      <c r="T1810" s="184" t="s">
        <v>2738</v>
      </c>
      <c r="U1810" s="283" t="e">
        <v>#N/A</v>
      </c>
      <c r="V1810" s="184" t="s">
        <v>2882</v>
      </c>
      <c r="W1810" s="184">
        <v>1</v>
      </c>
      <c r="X1810" s="184">
        <v>0</v>
      </c>
      <c r="Y1810" s="184">
        <v>0</v>
      </c>
      <c r="Z1810" s="184">
        <v>1</v>
      </c>
      <c r="AA1810" s="184">
        <v>1</v>
      </c>
      <c r="AB1810" s="184">
        <v>1</v>
      </c>
      <c r="AC1810" s="316">
        <v>0</v>
      </c>
      <c r="AD1810" s="316">
        <v>1</v>
      </c>
      <c r="AE1810" s="302">
        <f t="shared" si="70"/>
        <v>0.625</v>
      </c>
      <c r="AF1810" s="186"/>
      <c r="AG1810" s="17">
        <v>0</v>
      </c>
      <c r="AH1810" s="186" t="s">
        <v>271</v>
      </c>
      <c r="AI1810" s="190">
        <v>0</v>
      </c>
      <c r="AJ1810" s="186">
        <v>0.1</v>
      </c>
      <c r="AK1810" s="187">
        <v>0</v>
      </c>
      <c r="AL1810" s="187">
        <v>0.22</v>
      </c>
      <c r="AM1810" s="147">
        <f t="shared" si="69"/>
        <v>0.22</v>
      </c>
      <c r="AN1810" s="184" t="s">
        <v>2528</v>
      </c>
      <c r="AO1810" s="168" t="s">
        <v>2530</v>
      </c>
      <c r="AP1810" s="184" t="s">
        <v>119</v>
      </c>
    </row>
    <row r="1811" spans="1:42" s="184" customFormat="1" x14ac:dyDescent="0.3">
      <c r="A1811" s="183" t="s">
        <v>1453</v>
      </c>
      <c r="B1811" s="184" t="s">
        <v>2496</v>
      </c>
      <c r="C1811" s="183" t="s">
        <v>2858</v>
      </c>
      <c r="D1811" s="184" t="s">
        <v>2859</v>
      </c>
      <c r="E1811" s="183" t="s">
        <v>2860</v>
      </c>
      <c r="F1811" s="184" t="s">
        <v>2861</v>
      </c>
      <c r="G1811" s="183" t="s">
        <v>2876</v>
      </c>
      <c r="H1811" s="184" t="s">
        <v>2877</v>
      </c>
      <c r="J1811" s="188"/>
      <c r="K1811" s="183" t="s">
        <v>2878</v>
      </c>
      <c r="L1811" s="184" t="s">
        <v>2879</v>
      </c>
      <c r="M1811" s="168" t="s">
        <v>2884</v>
      </c>
      <c r="N1811" s="168"/>
      <c r="O1811" s="168" t="s">
        <v>271</v>
      </c>
      <c r="P1811" s="189">
        <v>1</v>
      </c>
      <c r="Q1811" s="189">
        <v>1</v>
      </c>
      <c r="R1811" s="189">
        <v>1</v>
      </c>
      <c r="S1811" s="189">
        <v>1</v>
      </c>
      <c r="T1811" s="184" t="s">
        <v>2885</v>
      </c>
      <c r="U1811" s="283" t="e">
        <v>#N/A</v>
      </c>
      <c r="V1811" s="184" t="s">
        <v>2882</v>
      </c>
      <c r="W1811" s="184">
        <v>1</v>
      </c>
      <c r="X1811" s="184">
        <v>0</v>
      </c>
      <c r="Y1811" s="184">
        <v>0</v>
      </c>
      <c r="Z1811" s="184">
        <v>1</v>
      </c>
      <c r="AA1811" s="184">
        <v>1</v>
      </c>
      <c r="AB1811" s="184">
        <v>1</v>
      </c>
      <c r="AC1811" s="316">
        <v>0</v>
      </c>
      <c r="AD1811" s="316">
        <v>1</v>
      </c>
      <c r="AE1811" s="302">
        <f t="shared" si="70"/>
        <v>0.625</v>
      </c>
      <c r="AF1811" s="186"/>
      <c r="AG1811" s="17">
        <v>0</v>
      </c>
      <c r="AH1811" s="186" t="s">
        <v>271</v>
      </c>
      <c r="AI1811" s="186">
        <v>0.05</v>
      </c>
      <c r="AJ1811" s="186">
        <v>0.05</v>
      </c>
      <c r="AK1811" s="187">
        <v>0</v>
      </c>
      <c r="AL1811" s="187">
        <v>0.1</v>
      </c>
      <c r="AM1811" s="147">
        <f t="shared" si="69"/>
        <v>0.1</v>
      </c>
      <c r="AN1811" s="184" t="s">
        <v>2509</v>
      </c>
      <c r="AO1811" s="168" t="s">
        <v>2510</v>
      </c>
      <c r="AP1811" s="184" t="s">
        <v>119</v>
      </c>
    </row>
    <row r="1812" spans="1:42" s="184" customFormat="1" x14ac:dyDescent="0.3">
      <c r="A1812" s="183" t="s">
        <v>1453</v>
      </c>
      <c r="B1812" s="184" t="s">
        <v>2496</v>
      </c>
      <c r="C1812" s="183" t="s">
        <v>2858</v>
      </c>
      <c r="D1812" s="184" t="s">
        <v>2859</v>
      </c>
      <c r="E1812" s="183" t="s">
        <v>2860</v>
      </c>
      <c r="F1812" s="184" t="s">
        <v>2861</v>
      </c>
      <c r="G1812" s="183" t="s">
        <v>2876</v>
      </c>
      <c r="H1812" s="184" t="s">
        <v>2877</v>
      </c>
      <c r="J1812" s="188"/>
      <c r="K1812" s="183" t="s">
        <v>2878</v>
      </c>
      <c r="L1812" s="184" t="s">
        <v>2879</v>
      </c>
      <c r="M1812" s="168" t="s">
        <v>2886</v>
      </c>
      <c r="N1812" s="168"/>
      <c r="O1812" s="168" t="s">
        <v>271</v>
      </c>
      <c r="P1812" s="189">
        <v>2</v>
      </c>
      <c r="Q1812" s="189">
        <v>2</v>
      </c>
      <c r="R1812" s="189">
        <v>2</v>
      </c>
      <c r="S1812" s="189">
        <v>2</v>
      </c>
      <c r="T1812" s="184" t="s">
        <v>2518</v>
      </c>
      <c r="U1812" s="283" t="e">
        <v>#N/A</v>
      </c>
      <c r="V1812" s="184" t="s">
        <v>2882</v>
      </c>
      <c r="W1812" s="184">
        <v>1</v>
      </c>
      <c r="X1812" s="184">
        <v>0</v>
      </c>
      <c r="Y1812" s="184">
        <v>0</v>
      </c>
      <c r="Z1812" s="184">
        <v>1</v>
      </c>
      <c r="AA1812" s="184">
        <v>1</v>
      </c>
      <c r="AB1812" s="184">
        <v>1</v>
      </c>
      <c r="AC1812" s="316">
        <v>0</v>
      </c>
      <c r="AD1812" s="316">
        <v>1</v>
      </c>
      <c r="AE1812" s="302">
        <f t="shared" si="70"/>
        <v>0.625</v>
      </c>
      <c r="AF1812" s="186"/>
      <c r="AG1812" s="17">
        <v>0</v>
      </c>
      <c r="AH1812" s="186" t="s">
        <v>271</v>
      </c>
      <c r="AI1812" s="186">
        <v>0.05</v>
      </c>
      <c r="AJ1812" s="186">
        <v>0.05</v>
      </c>
      <c r="AK1812" s="187">
        <v>0</v>
      </c>
      <c r="AL1812" s="187">
        <v>0.2</v>
      </c>
      <c r="AM1812" s="147">
        <f t="shared" si="69"/>
        <v>0.2</v>
      </c>
      <c r="AN1812" s="184" t="s">
        <v>2520</v>
      </c>
      <c r="AO1812" s="168" t="s">
        <v>2510</v>
      </c>
      <c r="AP1812" s="184" t="s">
        <v>119</v>
      </c>
    </row>
    <row r="1813" spans="1:42" s="184" customFormat="1" x14ac:dyDescent="0.3">
      <c r="A1813" s="183" t="s">
        <v>1453</v>
      </c>
      <c r="B1813" s="184" t="s">
        <v>2496</v>
      </c>
      <c r="C1813" s="183" t="s">
        <v>2858</v>
      </c>
      <c r="D1813" s="184" t="s">
        <v>2859</v>
      </c>
      <c r="E1813" s="183" t="s">
        <v>2860</v>
      </c>
      <c r="F1813" s="184" t="s">
        <v>2861</v>
      </c>
      <c r="G1813" s="183" t="s">
        <v>2876</v>
      </c>
      <c r="H1813" s="184" t="s">
        <v>2877</v>
      </c>
      <c r="J1813" s="188"/>
      <c r="K1813" s="183" t="s">
        <v>2878</v>
      </c>
      <c r="L1813" s="184" t="s">
        <v>2879</v>
      </c>
      <c r="M1813" s="168" t="s">
        <v>2887</v>
      </c>
      <c r="N1813" s="168"/>
      <c r="O1813" s="168" t="s">
        <v>271</v>
      </c>
      <c r="P1813" s="189">
        <v>1</v>
      </c>
      <c r="Q1813" s="189">
        <v>1</v>
      </c>
      <c r="R1813" s="189" t="s">
        <v>271</v>
      </c>
      <c r="S1813" s="189">
        <v>1</v>
      </c>
      <c r="T1813" s="184" t="s">
        <v>2815</v>
      </c>
      <c r="U1813" s="283" t="s">
        <v>2817</v>
      </c>
      <c r="V1813" s="184" t="s">
        <v>2882</v>
      </c>
      <c r="W1813" s="184">
        <v>1</v>
      </c>
      <c r="X1813" s="184">
        <v>0</v>
      </c>
      <c r="Y1813" s="184">
        <v>0</v>
      </c>
      <c r="Z1813" s="184">
        <v>1</v>
      </c>
      <c r="AA1813" s="184">
        <v>1</v>
      </c>
      <c r="AB1813" s="184">
        <v>1</v>
      </c>
      <c r="AC1813" s="316">
        <v>0</v>
      </c>
      <c r="AD1813" s="316">
        <v>1</v>
      </c>
      <c r="AE1813" s="302">
        <f t="shared" si="70"/>
        <v>0.625</v>
      </c>
      <c r="AF1813" s="186"/>
      <c r="AG1813" s="17">
        <v>0</v>
      </c>
      <c r="AH1813" s="186" t="s">
        <v>271</v>
      </c>
      <c r="AI1813" s="186">
        <v>0.05</v>
      </c>
      <c r="AJ1813" s="186">
        <v>0.05</v>
      </c>
      <c r="AK1813" s="187">
        <v>0</v>
      </c>
      <c r="AL1813" s="187">
        <v>0.1</v>
      </c>
      <c r="AM1813" s="147">
        <f t="shared" ref="AM1813:AM1876" si="71">SUM(AK1813:AL1813)</f>
        <v>0.1</v>
      </c>
      <c r="AN1813" s="184" t="s">
        <v>2815</v>
      </c>
      <c r="AO1813" s="168" t="s">
        <v>2817</v>
      </c>
      <c r="AP1813" s="184" t="s">
        <v>119</v>
      </c>
    </row>
    <row r="1814" spans="1:42" s="184" customFormat="1" x14ac:dyDescent="0.3">
      <c r="A1814" s="183" t="s">
        <v>1453</v>
      </c>
      <c r="B1814" s="184" t="s">
        <v>2496</v>
      </c>
      <c r="C1814" s="183" t="s">
        <v>2858</v>
      </c>
      <c r="D1814" s="184" t="s">
        <v>2859</v>
      </c>
      <c r="E1814" s="183" t="s">
        <v>2860</v>
      </c>
      <c r="F1814" s="184" t="s">
        <v>2861</v>
      </c>
      <c r="G1814" s="183" t="s">
        <v>2876</v>
      </c>
      <c r="H1814" s="184" t="s">
        <v>2877</v>
      </c>
      <c r="J1814" s="188"/>
      <c r="K1814" s="183" t="s">
        <v>2878</v>
      </c>
      <c r="L1814" s="184" t="s">
        <v>2879</v>
      </c>
      <c r="M1814" s="168" t="s">
        <v>2888</v>
      </c>
      <c r="N1814" s="168"/>
      <c r="O1814" s="168" t="s">
        <v>271</v>
      </c>
      <c r="P1814" s="189">
        <v>1</v>
      </c>
      <c r="Q1814" s="189" t="s">
        <v>271</v>
      </c>
      <c r="R1814" s="189" t="s">
        <v>271</v>
      </c>
      <c r="S1814" s="189">
        <v>1</v>
      </c>
      <c r="T1814" s="184" t="s">
        <v>2889</v>
      </c>
      <c r="U1814" s="283" t="e">
        <v>#N/A</v>
      </c>
      <c r="V1814" s="184" t="s">
        <v>2882</v>
      </c>
      <c r="W1814" s="184">
        <v>1</v>
      </c>
      <c r="X1814" s="184">
        <v>0</v>
      </c>
      <c r="Y1814" s="184">
        <v>0</v>
      </c>
      <c r="Z1814" s="184">
        <v>1</v>
      </c>
      <c r="AA1814" s="184">
        <v>1</v>
      </c>
      <c r="AB1814" s="184">
        <v>1</v>
      </c>
      <c r="AC1814" s="316">
        <v>0</v>
      </c>
      <c r="AD1814" s="316">
        <v>1</v>
      </c>
      <c r="AE1814" s="302">
        <f t="shared" si="70"/>
        <v>0.625</v>
      </c>
      <c r="AF1814" s="186"/>
      <c r="AG1814" s="17">
        <v>0</v>
      </c>
      <c r="AH1814" s="186" t="s">
        <v>271</v>
      </c>
      <c r="AI1814" s="186">
        <v>0.05</v>
      </c>
      <c r="AJ1814" s="186" t="s">
        <v>271</v>
      </c>
      <c r="AK1814" s="187" t="s">
        <v>271</v>
      </c>
      <c r="AL1814" s="187">
        <v>0.05</v>
      </c>
      <c r="AM1814" s="147">
        <f t="shared" si="71"/>
        <v>0.05</v>
      </c>
      <c r="AN1814" s="184" t="s">
        <v>2641</v>
      </c>
      <c r="AO1814" s="168" t="s">
        <v>2510</v>
      </c>
      <c r="AP1814" s="184" t="s">
        <v>119</v>
      </c>
    </row>
    <row r="1815" spans="1:42" s="184" customFormat="1" x14ac:dyDescent="0.3">
      <c r="A1815" s="183" t="s">
        <v>1453</v>
      </c>
      <c r="B1815" s="184" t="s">
        <v>2496</v>
      </c>
      <c r="C1815" s="183" t="s">
        <v>2858</v>
      </c>
      <c r="D1815" s="184" t="s">
        <v>2859</v>
      </c>
      <c r="E1815" s="183" t="s">
        <v>2860</v>
      </c>
      <c r="F1815" s="184" t="s">
        <v>2861</v>
      </c>
      <c r="G1815" s="183" t="s">
        <v>2890</v>
      </c>
      <c r="H1815" s="184" t="s">
        <v>2891</v>
      </c>
      <c r="J1815" s="188"/>
      <c r="K1815" s="183" t="s">
        <v>2892</v>
      </c>
      <c r="L1815" s="184" t="s">
        <v>2893</v>
      </c>
      <c r="M1815" s="168" t="s">
        <v>2894</v>
      </c>
      <c r="N1815" s="168">
        <v>0</v>
      </c>
      <c r="O1815" s="168">
        <v>0</v>
      </c>
      <c r="P1815" s="189">
        <v>1</v>
      </c>
      <c r="Q1815" s="189">
        <v>0</v>
      </c>
      <c r="R1815" s="189">
        <v>0</v>
      </c>
      <c r="S1815" s="189">
        <v>0</v>
      </c>
      <c r="T1815" s="184" t="s">
        <v>2661</v>
      </c>
      <c r="U1815" s="283" t="e">
        <v>#N/A</v>
      </c>
      <c r="V1815" s="184" t="s">
        <v>2895</v>
      </c>
      <c r="W1815" s="184">
        <v>1</v>
      </c>
      <c r="X1815" s="184">
        <v>0</v>
      </c>
      <c r="Y1815" s="184">
        <v>0</v>
      </c>
      <c r="Z1815" s="184">
        <v>1</v>
      </c>
      <c r="AA1815" s="184">
        <v>1</v>
      </c>
      <c r="AB1815" s="184">
        <v>1</v>
      </c>
      <c r="AC1815" s="316">
        <v>0</v>
      </c>
      <c r="AD1815" s="316">
        <v>1</v>
      </c>
      <c r="AE1815" s="302">
        <f t="shared" si="70"/>
        <v>0.625</v>
      </c>
      <c r="AF1815" s="186"/>
      <c r="AG1815" s="17">
        <v>0</v>
      </c>
      <c r="AH1815" s="186">
        <v>0</v>
      </c>
      <c r="AI1815" s="186">
        <v>0</v>
      </c>
      <c r="AJ1815" s="186">
        <v>0</v>
      </c>
      <c r="AK1815" s="187">
        <v>0</v>
      </c>
      <c r="AL1815" s="187">
        <v>0</v>
      </c>
      <c r="AM1815" s="147">
        <f t="shared" si="71"/>
        <v>0</v>
      </c>
      <c r="AN1815" s="184" t="s">
        <v>63</v>
      </c>
      <c r="AO1815" s="168" t="s">
        <v>2510</v>
      </c>
      <c r="AP1815" s="184" t="s">
        <v>2896</v>
      </c>
    </row>
    <row r="1816" spans="1:42" s="184" customFormat="1" x14ac:dyDescent="0.3">
      <c r="A1816" s="183" t="s">
        <v>1453</v>
      </c>
      <c r="B1816" s="184" t="s">
        <v>2496</v>
      </c>
      <c r="C1816" s="183" t="s">
        <v>2858</v>
      </c>
      <c r="D1816" s="184" t="s">
        <v>2859</v>
      </c>
      <c r="E1816" s="183" t="s">
        <v>2860</v>
      </c>
      <c r="F1816" s="184" t="s">
        <v>2861</v>
      </c>
      <c r="G1816" s="183" t="s">
        <v>2890</v>
      </c>
      <c r="H1816" s="184" t="s">
        <v>2891</v>
      </c>
      <c r="J1816" s="188"/>
      <c r="K1816" s="183" t="s">
        <v>2892</v>
      </c>
      <c r="L1816" s="184" t="s">
        <v>2893</v>
      </c>
      <c r="M1816" s="168" t="s">
        <v>2897</v>
      </c>
      <c r="N1816" s="168"/>
      <c r="O1816" s="168" t="s">
        <v>271</v>
      </c>
      <c r="P1816" s="189">
        <v>1</v>
      </c>
      <c r="Q1816" s="189">
        <v>3</v>
      </c>
      <c r="R1816" s="189">
        <v>1</v>
      </c>
      <c r="S1816" s="189">
        <v>1</v>
      </c>
      <c r="T1816" s="184" t="s">
        <v>2661</v>
      </c>
      <c r="U1816" s="283" t="e">
        <v>#N/A</v>
      </c>
      <c r="V1816" s="184" t="s">
        <v>2898</v>
      </c>
      <c r="W1816" s="184">
        <v>1</v>
      </c>
      <c r="X1816" s="184">
        <v>0</v>
      </c>
      <c r="Y1816" s="184">
        <v>0</v>
      </c>
      <c r="Z1816" s="184">
        <v>1</v>
      </c>
      <c r="AA1816" s="184">
        <v>1</v>
      </c>
      <c r="AB1816" s="184">
        <v>1</v>
      </c>
      <c r="AC1816" s="316">
        <v>0</v>
      </c>
      <c r="AD1816" s="316">
        <v>1</v>
      </c>
      <c r="AE1816" s="302">
        <f t="shared" ref="AE1816:AE1879" si="72">SUM(W1816:AD1816)/8</f>
        <v>0.625</v>
      </c>
      <c r="AF1816" s="186"/>
      <c r="AG1816" s="17">
        <v>0</v>
      </c>
      <c r="AH1816" s="186">
        <v>0</v>
      </c>
      <c r="AI1816" s="186">
        <v>0.3</v>
      </c>
      <c r="AJ1816" s="186">
        <v>0.7</v>
      </c>
      <c r="AK1816" s="187">
        <v>0.4</v>
      </c>
      <c r="AL1816" s="187">
        <v>0.4</v>
      </c>
      <c r="AM1816" s="147">
        <f t="shared" si="71"/>
        <v>0.8</v>
      </c>
      <c r="AN1816" s="184" t="s">
        <v>63</v>
      </c>
      <c r="AO1816" s="168" t="s">
        <v>2510</v>
      </c>
      <c r="AP1816" s="184" t="s">
        <v>119</v>
      </c>
    </row>
    <row r="1817" spans="1:42" s="184" customFormat="1" x14ac:dyDescent="0.3">
      <c r="A1817" s="183" t="s">
        <v>1453</v>
      </c>
      <c r="B1817" s="184" t="s">
        <v>2496</v>
      </c>
      <c r="C1817" s="183" t="s">
        <v>2858</v>
      </c>
      <c r="D1817" s="184" t="s">
        <v>2859</v>
      </c>
      <c r="E1817" s="183" t="s">
        <v>2860</v>
      </c>
      <c r="F1817" s="184" t="s">
        <v>2861</v>
      </c>
      <c r="G1817" s="183" t="s">
        <v>2890</v>
      </c>
      <c r="H1817" s="184" t="s">
        <v>2891</v>
      </c>
      <c r="J1817" s="188"/>
      <c r="K1817" s="183" t="s">
        <v>2892</v>
      </c>
      <c r="L1817" s="184" t="s">
        <v>2893</v>
      </c>
      <c r="M1817" s="168" t="s">
        <v>2899</v>
      </c>
      <c r="N1817" s="168"/>
      <c r="O1817" s="168" t="s">
        <v>271</v>
      </c>
      <c r="P1817" s="189" t="s">
        <v>271</v>
      </c>
      <c r="Q1817" s="189" t="s">
        <v>271</v>
      </c>
      <c r="R1817" s="189" t="s">
        <v>271</v>
      </c>
      <c r="S1817" s="189">
        <v>1</v>
      </c>
      <c r="T1817" s="184" t="s">
        <v>2507</v>
      </c>
      <c r="U1817" s="283" t="e">
        <v>#N/A</v>
      </c>
      <c r="V1817" s="184" t="s">
        <v>2898</v>
      </c>
      <c r="W1817" s="184">
        <v>1</v>
      </c>
      <c r="X1817" s="184">
        <v>0</v>
      </c>
      <c r="Y1817" s="184">
        <v>0</v>
      </c>
      <c r="Z1817" s="184">
        <v>1</v>
      </c>
      <c r="AA1817" s="184">
        <v>1</v>
      </c>
      <c r="AB1817" s="184">
        <v>1</v>
      </c>
      <c r="AC1817" s="316">
        <v>0</v>
      </c>
      <c r="AD1817" s="316">
        <v>1</v>
      </c>
      <c r="AE1817" s="302">
        <f t="shared" si="72"/>
        <v>0.625</v>
      </c>
      <c r="AF1817" s="190"/>
      <c r="AG1817" s="17">
        <v>0</v>
      </c>
      <c r="AH1817" s="190">
        <v>0</v>
      </c>
      <c r="AI1817" s="190">
        <v>0</v>
      </c>
      <c r="AJ1817" s="190">
        <v>0</v>
      </c>
      <c r="AK1817" s="187">
        <v>0.5</v>
      </c>
      <c r="AL1817" s="191">
        <v>0</v>
      </c>
      <c r="AM1817" s="147">
        <f t="shared" si="71"/>
        <v>0.5</v>
      </c>
      <c r="AN1817" s="184" t="s">
        <v>2509</v>
      </c>
      <c r="AO1817" s="168" t="s">
        <v>2510</v>
      </c>
      <c r="AP1817" s="184" t="s">
        <v>119</v>
      </c>
    </row>
    <row r="1818" spans="1:42" s="184" customFormat="1" x14ac:dyDescent="0.3">
      <c r="A1818" s="183" t="s">
        <v>1453</v>
      </c>
      <c r="B1818" s="184" t="s">
        <v>2496</v>
      </c>
      <c r="C1818" s="183" t="s">
        <v>2858</v>
      </c>
      <c r="D1818" s="184" t="s">
        <v>2859</v>
      </c>
      <c r="E1818" s="183" t="s">
        <v>2860</v>
      </c>
      <c r="F1818" s="184" t="s">
        <v>2861</v>
      </c>
      <c r="G1818" s="183" t="s">
        <v>2890</v>
      </c>
      <c r="H1818" s="184" t="s">
        <v>2891</v>
      </c>
      <c r="J1818" s="188"/>
      <c r="K1818" s="183" t="s">
        <v>2892</v>
      </c>
      <c r="L1818" s="184" t="s">
        <v>2893</v>
      </c>
      <c r="M1818" s="168" t="s">
        <v>2900</v>
      </c>
      <c r="N1818" s="168"/>
      <c r="O1818" s="168"/>
      <c r="P1818" s="189"/>
      <c r="Q1818" s="189"/>
      <c r="R1818" s="189"/>
      <c r="S1818" s="189">
        <v>1</v>
      </c>
      <c r="T1818" s="184" t="s">
        <v>2518</v>
      </c>
      <c r="U1818" s="283" t="e">
        <v>#N/A</v>
      </c>
      <c r="V1818" s="184" t="s">
        <v>2898</v>
      </c>
      <c r="W1818" s="184">
        <v>1</v>
      </c>
      <c r="X1818" s="184">
        <v>0</v>
      </c>
      <c r="Y1818" s="184">
        <v>0</v>
      </c>
      <c r="Z1818" s="184">
        <v>1</v>
      </c>
      <c r="AA1818" s="184">
        <v>1</v>
      </c>
      <c r="AB1818" s="184">
        <v>1</v>
      </c>
      <c r="AC1818" s="316">
        <v>0</v>
      </c>
      <c r="AD1818" s="316">
        <v>1</v>
      </c>
      <c r="AE1818" s="302">
        <f t="shared" si="72"/>
        <v>0.625</v>
      </c>
      <c r="AF1818" s="190"/>
      <c r="AG1818" s="17">
        <v>0</v>
      </c>
      <c r="AH1818" s="190">
        <v>0</v>
      </c>
      <c r="AI1818" s="190">
        <v>0</v>
      </c>
      <c r="AJ1818" s="190">
        <v>0</v>
      </c>
      <c r="AK1818" s="187">
        <v>0.4</v>
      </c>
      <c r="AL1818" s="191">
        <v>0</v>
      </c>
      <c r="AM1818" s="147">
        <f t="shared" si="71"/>
        <v>0.4</v>
      </c>
      <c r="AN1818" s="184" t="s">
        <v>2520</v>
      </c>
      <c r="AO1818" s="168" t="s">
        <v>2510</v>
      </c>
      <c r="AP1818" s="184" t="s">
        <v>119</v>
      </c>
    </row>
    <row r="1819" spans="1:42" s="184" customFormat="1" x14ac:dyDescent="0.3">
      <c r="A1819" s="183" t="s">
        <v>1453</v>
      </c>
      <c r="B1819" s="184" t="s">
        <v>2496</v>
      </c>
      <c r="C1819" s="183" t="s">
        <v>2858</v>
      </c>
      <c r="D1819" s="184" t="s">
        <v>2859</v>
      </c>
      <c r="E1819" s="183" t="s">
        <v>2860</v>
      </c>
      <c r="F1819" s="184" t="s">
        <v>2861</v>
      </c>
      <c r="G1819" s="183" t="s">
        <v>2890</v>
      </c>
      <c r="H1819" s="184" t="s">
        <v>2891</v>
      </c>
      <c r="J1819" s="188"/>
      <c r="K1819" s="195" t="s">
        <v>2892</v>
      </c>
      <c r="L1819" s="184" t="s">
        <v>2893</v>
      </c>
      <c r="M1819" s="168" t="s">
        <v>2901</v>
      </c>
      <c r="N1819" s="168">
        <v>1</v>
      </c>
      <c r="O1819" s="168">
        <v>3</v>
      </c>
      <c r="P1819" s="189">
        <v>4</v>
      </c>
      <c r="Q1819" s="189">
        <v>4</v>
      </c>
      <c r="R1819" s="189">
        <v>5</v>
      </c>
      <c r="S1819" s="189">
        <v>7</v>
      </c>
      <c r="T1819" s="184" t="s">
        <v>63</v>
      </c>
      <c r="U1819" s="283" t="s">
        <v>2510</v>
      </c>
      <c r="AC1819" s="316">
        <v>0</v>
      </c>
      <c r="AD1819" s="316">
        <v>0</v>
      </c>
      <c r="AE1819" s="302">
        <f t="shared" si="72"/>
        <v>0</v>
      </c>
      <c r="AF1819" s="190"/>
      <c r="AG1819" s="17">
        <v>0</v>
      </c>
      <c r="AH1819" s="190"/>
      <c r="AI1819" s="190"/>
      <c r="AJ1819" s="190"/>
      <c r="AK1819" s="191"/>
      <c r="AL1819" s="191"/>
      <c r="AM1819" s="147">
        <f t="shared" si="71"/>
        <v>0</v>
      </c>
      <c r="AO1819" s="168"/>
    </row>
    <row r="1820" spans="1:42" s="184" customFormat="1" x14ac:dyDescent="0.3">
      <c r="A1820" s="183" t="s">
        <v>1453</v>
      </c>
      <c r="B1820" s="184" t="s">
        <v>2496</v>
      </c>
      <c r="C1820" s="183" t="s">
        <v>2858</v>
      </c>
      <c r="D1820" s="184" t="s">
        <v>2859</v>
      </c>
      <c r="E1820" s="183" t="s">
        <v>2860</v>
      </c>
      <c r="F1820" s="184" t="s">
        <v>2861</v>
      </c>
      <c r="G1820" s="183" t="s">
        <v>2890</v>
      </c>
      <c r="H1820" s="184" t="s">
        <v>2891</v>
      </c>
      <c r="J1820" s="188"/>
      <c r="K1820" s="183" t="s">
        <v>2892</v>
      </c>
      <c r="L1820" s="184" t="s">
        <v>2893</v>
      </c>
      <c r="M1820" s="168" t="s">
        <v>2902</v>
      </c>
      <c r="N1820" s="168"/>
      <c r="O1820" s="168" t="s">
        <v>271</v>
      </c>
      <c r="P1820" s="189">
        <v>4</v>
      </c>
      <c r="Q1820" s="189">
        <v>5</v>
      </c>
      <c r="R1820" s="189">
        <v>5</v>
      </c>
      <c r="S1820" s="189">
        <v>5</v>
      </c>
      <c r="T1820" s="184" t="s">
        <v>2528</v>
      </c>
      <c r="U1820" s="283" t="s">
        <v>2530</v>
      </c>
      <c r="V1820" s="184" t="s">
        <v>2903</v>
      </c>
      <c r="W1820" s="184">
        <v>1</v>
      </c>
      <c r="X1820" s="184">
        <v>0</v>
      </c>
      <c r="Y1820" s="184">
        <v>0</v>
      </c>
      <c r="Z1820" s="184">
        <v>1</v>
      </c>
      <c r="AA1820" s="184">
        <v>1</v>
      </c>
      <c r="AB1820" s="184">
        <v>1</v>
      </c>
      <c r="AC1820" s="316">
        <v>0</v>
      </c>
      <c r="AD1820" s="316">
        <v>1</v>
      </c>
      <c r="AE1820" s="302">
        <f t="shared" si="72"/>
        <v>0.625</v>
      </c>
      <c r="AF1820" s="186"/>
      <c r="AG1820" s="17">
        <v>0</v>
      </c>
      <c r="AH1820" s="186">
        <v>0</v>
      </c>
      <c r="AI1820" s="186">
        <v>1.5</v>
      </c>
      <c r="AJ1820" s="186">
        <v>6</v>
      </c>
      <c r="AK1820" s="187">
        <v>0</v>
      </c>
      <c r="AL1820" s="187">
        <v>0</v>
      </c>
      <c r="AM1820" s="147">
        <f t="shared" si="71"/>
        <v>0</v>
      </c>
      <c r="AN1820" s="184" t="s">
        <v>2528</v>
      </c>
      <c r="AO1820" s="168" t="s">
        <v>2530</v>
      </c>
      <c r="AP1820" s="184" t="s">
        <v>119</v>
      </c>
    </row>
    <row r="1821" spans="1:42" s="184" customFormat="1" x14ac:dyDescent="0.3">
      <c r="A1821" s="183" t="s">
        <v>1453</v>
      </c>
      <c r="B1821" s="184" t="s">
        <v>2496</v>
      </c>
      <c r="C1821" s="183" t="s">
        <v>2858</v>
      </c>
      <c r="D1821" s="184" t="s">
        <v>2859</v>
      </c>
      <c r="E1821" s="183" t="s">
        <v>2860</v>
      </c>
      <c r="F1821" s="184" t="s">
        <v>2861</v>
      </c>
      <c r="G1821" s="183" t="s">
        <v>2890</v>
      </c>
      <c r="H1821" s="184" t="s">
        <v>2891</v>
      </c>
      <c r="J1821" s="188"/>
      <c r="K1821" s="183" t="s">
        <v>2892</v>
      </c>
      <c r="L1821" s="184" t="s">
        <v>2893</v>
      </c>
      <c r="M1821" s="168" t="s">
        <v>2904</v>
      </c>
      <c r="N1821" s="168"/>
      <c r="O1821" s="168"/>
      <c r="P1821" s="189">
        <v>4</v>
      </c>
      <c r="Q1821" s="189">
        <v>4</v>
      </c>
      <c r="R1821" s="189">
        <v>4</v>
      </c>
      <c r="S1821" s="189">
        <v>4</v>
      </c>
      <c r="T1821" s="184" t="s">
        <v>63</v>
      </c>
      <c r="U1821" s="283" t="s">
        <v>2510</v>
      </c>
      <c r="V1821" s="184" t="s">
        <v>2905</v>
      </c>
      <c r="W1821" s="184">
        <v>1</v>
      </c>
      <c r="X1821" s="184">
        <v>0</v>
      </c>
      <c r="Y1821" s="184">
        <v>0</v>
      </c>
      <c r="Z1821" s="184">
        <v>1</v>
      </c>
      <c r="AA1821" s="184">
        <v>1</v>
      </c>
      <c r="AB1821" s="184">
        <v>1</v>
      </c>
      <c r="AC1821" s="316">
        <v>0</v>
      </c>
      <c r="AD1821" s="316">
        <v>1</v>
      </c>
      <c r="AE1821" s="302">
        <f t="shared" si="72"/>
        <v>0.625</v>
      </c>
      <c r="AF1821" s="186"/>
      <c r="AG1821" s="17">
        <v>0</v>
      </c>
      <c r="AH1821" s="186">
        <v>0</v>
      </c>
      <c r="AI1821" s="186">
        <v>0</v>
      </c>
      <c r="AJ1821" s="186">
        <v>15</v>
      </c>
      <c r="AK1821" s="187"/>
      <c r="AL1821" s="187">
        <v>4</v>
      </c>
      <c r="AM1821" s="147">
        <f t="shared" si="71"/>
        <v>4</v>
      </c>
      <c r="AN1821" s="184" t="s">
        <v>63</v>
      </c>
      <c r="AO1821" s="168" t="s">
        <v>2510</v>
      </c>
      <c r="AP1821" s="184" t="s">
        <v>119</v>
      </c>
    </row>
    <row r="1822" spans="1:42" s="184" customFormat="1" x14ac:dyDescent="0.3">
      <c r="A1822" s="183" t="s">
        <v>1453</v>
      </c>
      <c r="B1822" s="184" t="s">
        <v>2496</v>
      </c>
      <c r="C1822" s="183" t="s">
        <v>2858</v>
      </c>
      <c r="D1822" s="184" t="s">
        <v>2859</v>
      </c>
      <c r="E1822" s="183" t="s">
        <v>2860</v>
      </c>
      <c r="F1822" s="184" t="s">
        <v>2861</v>
      </c>
      <c r="G1822" s="183" t="s">
        <v>2890</v>
      </c>
      <c r="H1822" s="184" t="s">
        <v>2891</v>
      </c>
      <c r="J1822" s="188"/>
      <c r="K1822" s="183" t="s">
        <v>2892</v>
      </c>
      <c r="L1822" s="184" t="s">
        <v>2893</v>
      </c>
      <c r="M1822" s="168" t="s">
        <v>2906</v>
      </c>
      <c r="N1822" s="168"/>
      <c r="O1822" s="168">
        <v>10</v>
      </c>
      <c r="P1822" s="189">
        <v>10</v>
      </c>
      <c r="Q1822" s="189">
        <v>10</v>
      </c>
      <c r="R1822" s="189">
        <v>10</v>
      </c>
      <c r="S1822" s="189">
        <v>1</v>
      </c>
      <c r="T1822" s="184" t="s">
        <v>63</v>
      </c>
      <c r="U1822" s="283" t="s">
        <v>2510</v>
      </c>
      <c r="V1822" s="184" t="s">
        <v>2907</v>
      </c>
      <c r="W1822" s="184">
        <v>1</v>
      </c>
      <c r="X1822" s="184">
        <v>0</v>
      </c>
      <c r="Y1822" s="184">
        <v>0</v>
      </c>
      <c r="Z1822" s="184">
        <v>1</v>
      </c>
      <c r="AA1822" s="184">
        <v>1</v>
      </c>
      <c r="AB1822" s="184">
        <v>1</v>
      </c>
      <c r="AC1822" s="316">
        <v>0</v>
      </c>
      <c r="AD1822" s="316">
        <v>1</v>
      </c>
      <c r="AE1822" s="302">
        <f t="shared" si="72"/>
        <v>0.625</v>
      </c>
      <c r="AF1822" s="186"/>
      <c r="AG1822" s="17">
        <v>0</v>
      </c>
      <c r="AH1822" s="186">
        <v>0.75</v>
      </c>
      <c r="AI1822" s="186">
        <v>0.75</v>
      </c>
      <c r="AJ1822" s="186">
        <v>0.75</v>
      </c>
      <c r="AK1822" s="187">
        <v>0.75</v>
      </c>
      <c r="AL1822" s="187">
        <v>0.75</v>
      </c>
      <c r="AM1822" s="147">
        <f t="shared" si="71"/>
        <v>1.5</v>
      </c>
      <c r="AN1822" s="184" t="s">
        <v>63</v>
      </c>
      <c r="AO1822" s="168" t="s">
        <v>2510</v>
      </c>
      <c r="AP1822" s="184" t="s">
        <v>119</v>
      </c>
    </row>
    <row r="1823" spans="1:42" s="184" customFormat="1" x14ac:dyDescent="0.3">
      <c r="A1823" s="183" t="s">
        <v>1453</v>
      </c>
      <c r="B1823" s="184" t="s">
        <v>2496</v>
      </c>
      <c r="C1823" s="183" t="s">
        <v>2858</v>
      </c>
      <c r="D1823" s="184" t="s">
        <v>2859</v>
      </c>
      <c r="E1823" s="183" t="s">
        <v>2860</v>
      </c>
      <c r="F1823" s="184" t="s">
        <v>2861</v>
      </c>
      <c r="G1823" s="183" t="s">
        <v>2890</v>
      </c>
      <c r="H1823" s="184" t="s">
        <v>2891</v>
      </c>
      <c r="J1823" s="188"/>
      <c r="K1823" s="183" t="s">
        <v>2892</v>
      </c>
      <c r="L1823" s="184" t="s">
        <v>2893</v>
      </c>
      <c r="M1823" s="168" t="s">
        <v>2908</v>
      </c>
      <c r="N1823" s="168"/>
      <c r="O1823" s="168" t="s">
        <v>271</v>
      </c>
      <c r="P1823" s="189">
        <v>1</v>
      </c>
      <c r="Q1823" s="189" t="s">
        <v>271</v>
      </c>
      <c r="R1823" s="189" t="s">
        <v>271</v>
      </c>
      <c r="S1823" s="189" t="s">
        <v>271</v>
      </c>
      <c r="T1823" s="184" t="s">
        <v>63</v>
      </c>
      <c r="U1823" s="283" t="s">
        <v>2510</v>
      </c>
      <c r="V1823" s="184" t="s">
        <v>2909</v>
      </c>
      <c r="W1823" s="184">
        <v>1</v>
      </c>
      <c r="X1823" s="184">
        <v>0</v>
      </c>
      <c r="Y1823" s="184">
        <v>0</v>
      </c>
      <c r="Z1823" s="184">
        <v>1</v>
      </c>
      <c r="AA1823" s="184">
        <v>1</v>
      </c>
      <c r="AB1823" s="184">
        <v>1</v>
      </c>
      <c r="AC1823" s="316">
        <v>0</v>
      </c>
      <c r="AD1823" s="316">
        <v>1</v>
      </c>
      <c r="AE1823" s="302">
        <f t="shared" si="72"/>
        <v>0.625</v>
      </c>
      <c r="AF1823" s="186"/>
      <c r="AG1823" s="17">
        <v>0</v>
      </c>
      <c r="AH1823" s="186">
        <v>0</v>
      </c>
      <c r="AI1823" s="186">
        <v>0</v>
      </c>
      <c r="AJ1823" s="186">
        <v>0</v>
      </c>
      <c r="AK1823" s="187">
        <v>0</v>
      </c>
      <c r="AL1823" s="187">
        <v>0.1</v>
      </c>
      <c r="AM1823" s="147">
        <f t="shared" si="71"/>
        <v>0.1</v>
      </c>
      <c r="AN1823" s="184" t="s">
        <v>63</v>
      </c>
      <c r="AO1823" s="168" t="s">
        <v>2510</v>
      </c>
      <c r="AP1823" s="184" t="s">
        <v>119</v>
      </c>
    </row>
    <row r="1824" spans="1:42" s="184" customFormat="1" x14ac:dyDescent="0.3">
      <c r="A1824" s="183" t="s">
        <v>1453</v>
      </c>
      <c r="B1824" s="184" t="s">
        <v>2496</v>
      </c>
      <c r="C1824" s="183" t="s">
        <v>2858</v>
      </c>
      <c r="D1824" s="184" t="s">
        <v>2859</v>
      </c>
      <c r="E1824" s="183" t="s">
        <v>2860</v>
      </c>
      <c r="F1824" s="184" t="s">
        <v>2861</v>
      </c>
      <c r="G1824" s="183" t="s">
        <v>2890</v>
      </c>
      <c r="H1824" s="184" t="s">
        <v>2891</v>
      </c>
      <c r="J1824" s="188"/>
      <c r="K1824" s="183" t="s">
        <v>2892</v>
      </c>
      <c r="L1824" s="184" t="s">
        <v>2893</v>
      </c>
      <c r="M1824" s="168" t="s">
        <v>2910</v>
      </c>
      <c r="N1824" s="168"/>
      <c r="O1824" s="168" t="s">
        <v>271</v>
      </c>
      <c r="P1824" s="189" t="s">
        <v>271</v>
      </c>
      <c r="Q1824" s="189" t="s">
        <v>271</v>
      </c>
      <c r="R1824" s="189">
        <v>1</v>
      </c>
      <c r="S1824" s="189">
        <v>1</v>
      </c>
      <c r="T1824" s="184" t="s">
        <v>63</v>
      </c>
      <c r="U1824" s="283" t="s">
        <v>2510</v>
      </c>
      <c r="V1824" s="184" t="s">
        <v>2911</v>
      </c>
      <c r="W1824" s="184">
        <v>1</v>
      </c>
      <c r="X1824" s="184">
        <v>0</v>
      </c>
      <c r="Y1824" s="184">
        <v>0</v>
      </c>
      <c r="Z1824" s="184">
        <v>1</v>
      </c>
      <c r="AA1824" s="184">
        <v>1</v>
      </c>
      <c r="AB1824" s="184">
        <v>1</v>
      </c>
      <c r="AC1824" s="316">
        <v>0</v>
      </c>
      <c r="AD1824" s="316">
        <v>1</v>
      </c>
      <c r="AE1824" s="302">
        <f t="shared" si="72"/>
        <v>0.625</v>
      </c>
      <c r="AF1824" s="186"/>
      <c r="AG1824" s="17">
        <v>0</v>
      </c>
      <c r="AH1824" s="186">
        <v>0</v>
      </c>
      <c r="AI1824" s="186">
        <v>0</v>
      </c>
      <c r="AJ1824" s="186">
        <v>0</v>
      </c>
      <c r="AK1824" s="187">
        <v>0</v>
      </c>
      <c r="AL1824" s="187">
        <v>5</v>
      </c>
      <c r="AM1824" s="147">
        <f t="shared" si="71"/>
        <v>5</v>
      </c>
      <c r="AN1824" s="184" t="s">
        <v>63</v>
      </c>
      <c r="AO1824" s="168" t="s">
        <v>2510</v>
      </c>
      <c r="AP1824" s="184" t="s">
        <v>119</v>
      </c>
    </row>
    <row r="1825" spans="1:42" s="184" customFormat="1" x14ac:dyDescent="0.3">
      <c r="A1825" s="183" t="s">
        <v>1453</v>
      </c>
      <c r="B1825" s="184" t="s">
        <v>2496</v>
      </c>
      <c r="C1825" s="183" t="s">
        <v>2858</v>
      </c>
      <c r="D1825" s="184" t="s">
        <v>2859</v>
      </c>
      <c r="E1825" s="183" t="s">
        <v>2860</v>
      </c>
      <c r="F1825" s="184" t="s">
        <v>2861</v>
      </c>
      <c r="G1825" s="183" t="s">
        <v>2890</v>
      </c>
      <c r="H1825" s="184" t="s">
        <v>2891</v>
      </c>
      <c r="J1825" s="188"/>
      <c r="K1825" s="183" t="s">
        <v>2892</v>
      </c>
      <c r="L1825" s="184" t="s">
        <v>2893</v>
      </c>
      <c r="M1825" s="168" t="s">
        <v>2912</v>
      </c>
      <c r="N1825" s="168"/>
      <c r="O1825" s="168">
        <v>1</v>
      </c>
      <c r="P1825" s="189">
        <v>2</v>
      </c>
      <c r="Q1825" s="189">
        <v>3</v>
      </c>
      <c r="R1825" s="189">
        <v>2</v>
      </c>
      <c r="S1825" s="189">
        <v>2</v>
      </c>
      <c r="T1825" s="184" t="s">
        <v>63</v>
      </c>
      <c r="U1825" s="283" t="s">
        <v>2510</v>
      </c>
      <c r="V1825" s="184" t="s">
        <v>2913</v>
      </c>
      <c r="W1825" s="184">
        <v>1</v>
      </c>
      <c r="X1825" s="184">
        <v>0</v>
      </c>
      <c r="Y1825" s="184">
        <v>0</v>
      </c>
      <c r="Z1825" s="184">
        <v>1</v>
      </c>
      <c r="AA1825" s="184">
        <v>1</v>
      </c>
      <c r="AB1825" s="184">
        <v>1</v>
      </c>
      <c r="AC1825" s="316">
        <v>0</v>
      </c>
      <c r="AD1825" s="316">
        <v>1</v>
      </c>
      <c r="AE1825" s="302">
        <f t="shared" si="72"/>
        <v>0.625</v>
      </c>
      <c r="AF1825" s="186"/>
      <c r="AG1825" s="17">
        <v>0</v>
      </c>
      <c r="AH1825" s="186">
        <v>0</v>
      </c>
      <c r="AI1825" s="186">
        <v>0</v>
      </c>
      <c r="AJ1825" s="186">
        <v>0.1</v>
      </c>
      <c r="AK1825" s="187"/>
      <c r="AL1825" s="187">
        <v>1.1000000000000001</v>
      </c>
      <c r="AM1825" s="147">
        <f t="shared" si="71"/>
        <v>1.1000000000000001</v>
      </c>
      <c r="AN1825" s="184" t="s">
        <v>63</v>
      </c>
      <c r="AO1825" s="168" t="s">
        <v>2510</v>
      </c>
      <c r="AP1825" s="184" t="s">
        <v>119</v>
      </c>
    </row>
    <row r="1826" spans="1:42" s="184" customFormat="1" x14ac:dyDescent="0.3">
      <c r="A1826" s="183" t="s">
        <v>1453</v>
      </c>
      <c r="B1826" s="184" t="s">
        <v>2496</v>
      </c>
      <c r="C1826" s="183" t="s">
        <v>2858</v>
      </c>
      <c r="D1826" s="184" t="s">
        <v>2859</v>
      </c>
      <c r="E1826" s="183" t="s">
        <v>2860</v>
      </c>
      <c r="F1826" s="184" t="s">
        <v>2861</v>
      </c>
      <c r="G1826" s="183" t="s">
        <v>2890</v>
      </c>
      <c r="H1826" s="184" t="s">
        <v>2891</v>
      </c>
      <c r="J1826" s="188"/>
      <c r="K1826" s="183" t="s">
        <v>2892</v>
      </c>
      <c r="L1826" s="184" t="s">
        <v>2893</v>
      </c>
      <c r="M1826" s="168" t="s">
        <v>2914</v>
      </c>
      <c r="N1826" s="168"/>
      <c r="O1826" s="168" t="s">
        <v>271</v>
      </c>
      <c r="P1826" s="189">
        <v>1</v>
      </c>
      <c r="Q1826" s="189" t="s">
        <v>271</v>
      </c>
      <c r="R1826" s="189" t="s">
        <v>271</v>
      </c>
      <c r="S1826" s="189" t="s">
        <v>271</v>
      </c>
      <c r="T1826" s="184" t="s">
        <v>63</v>
      </c>
      <c r="U1826" s="283" t="s">
        <v>2510</v>
      </c>
      <c r="V1826" s="184" t="s">
        <v>2915</v>
      </c>
      <c r="W1826" s="184">
        <v>1</v>
      </c>
      <c r="X1826" s="184">
        <v>0</v>
      </c>
      <c r="Y1826" s="184">
        <v>0</v>
      </c>
      <c r="Z1826" s="184">
        <v>1</v>
      </c>
      <c r="AA1826" s="184">
        <v>1</v>
      </c>
      <c r="AB1826" s="184">
        <v>1</v>
      </c>
      <c r="AC1826" s="316">
        <v>0</v>
      </c>
      <c r="AD1826" s="316">
        <v>1</v>
      </c>
      <c r="AE1826" s="302">
        <f t="shared" si="72"/>
        <v>0.625</v>
      </c>
      <c r="AF1826" s="186"/>
      <c r="AG1826" s="17">
        <v>0</v>
      </c>
      <c r="AH1826" s="186">
        <v>0</v>
      </c>
      <c r="AI1826" s="186">
        <v>0</v>
      </c>
      <c r="AJ1826" s="186">
        <v>0</v>
      </c>
      <c r="AK1826" s="187">
        <v>0</v>
      </c>
      <c r="AL1826" s="187">
        <v>0</v>
      </c>
      <c r="AM1826" s="147">
        <f t="shared" si="71"/>
        <v>0</v>
      </c>
      <c r="AN1826" s="184" t="s">
        <v>63</v>
      </c>
      <c r="AO1826" s="168" t="s">
        <v>2510</v>
      </c>
      <c r="AP1826" s="184" t="s">
        <v>2872</v>
      </c>
    </row>
    <row r="1827" spans="1:42" s="184" customFormat="1" x14ac:dyDescent="0.3">
      <c r="A1827" s="183" t="s">
        <v>1453</v>
      </c>
      <c r="B1827" s="184" t="s">
        <v>2496</v>
      </c>
      <c r="C1827" s="195" t="s">
        <v>2858</v>
      </c>
      <c r="D1827" s="184" t="s">
        <v>2859</v>
      </c>
      <c r="E1827" s="195" t="s">
        <v>2860</v>
      </c>
      <c r="F1827" s="184" t="s">
        <v>2861</v>
      </c>
      <c r="G1827" s="183" t="s">
        <v>2890</v>
      </c>
      <c r="H1827" s="184" t="s">
        <v>2891</v>
      </c>
      <c r="J1827" s="188"/>
      <c r="K1827" s="195" t="s">
        <v>2892</v>
      </c>
      <c r="L1827" s="184" t="s">
        <v>2893</v>
      </c>
      <c r="M1827" s="168" t="s">
        <v>2916</v>
      </c>
      <c r="N1827" s="168"/>
      <c r="O1827" s="168" t="s">
        <v>271</v>
      </c>
      <c r="P1827" s="189" t="s">
        <v>271</v>
      </c>
      <c r="Q1827" s="189">
        <v>4</v>
      </c>
      <c r="R1827" s="189">
        <v>4</v>
      </c>
      <c r="S1827" s="189">
        <v>4</v>
      </c>
      <c r="T1827" s="184" t="s">
        <v>63</v>
      </c>
      <c r="U1827" s="283" t="s">
        <v>2510</v>
      </c>
      <c r="V1827" s="184" t="s">
        <v>2917</v>
      </c>
      <c r="W1827" s="184">
        <v>1</v>
      </c>
      <c r="X1827" s="184">
        <v>0</v>
      </c>
      <c r="Y1827" s="184">
        <v>0</v>
      </c>
      <c r="Z1827" s="184">
        <v>1</v>
      </c>
      <c r="AA1827" s="184">
        <v>1</v>
      </c>
      <c r="AB1827" s="184">
        <v>1</v>
      </c>
      <c r="AC1827" s="316">
        <v>0</v>
      </c>
      <c r="AD1827" s="316">
        <v>1</v>
      </c>
      <c r="AE1827" s="302">
        <f t="shared" si="72"/>
        <v>0.625</v>
      </c>
      <c r="AF1827" s="186"/>
      <c r="AG1827" s="17">
        <v>0</v>
      </c>
      <c r="AH1827" s="186">
        <v>0</v>
      </c>
      <c r="AI1827" s="186">
        <v>0</v>
      </c>
      <c r="AJ1827" s="186">
        <v>0</v>
      </c>
      <c r="AK1827" s="187">
        <v>0</v>
      </c>
      <c r="AL1827" s="187">
        <v>0</v>
      </c>
      <c r="AM1827" s="147">
        <f t="shared" si="71"/>
        <v>0</v>
      </c>
      <c r="AN1827" s="184" t="s">
        <v>63</v>
      </c>
      <c r="AO1827" s="168" t="s">
        <v>2510</v>
      </c>
      <c r="AP1827" s="184" t="s">
        <v>119</v>
      </c>
    </row>
    <row r="1828" spans="1:42" s="184" customFormat="1" x14ac:dyDescent="0.3">
      <c r="A1828" s="183" t="s">
        <v>1453</v>
      </c>
      <c r="B1828" s="184" t="s">
        <v>2496</v>
      </c>
      <c r="C1828" s="183" t="s">
        <v>2858</v>
      </c>
      <c r="D1828" s="184" t="s">
        <v>2859</v>
      </c>
      <c r="E1828" s="183" t="s">
        <v>2860</v>
      </c>
      <c r="F1828" s="184" t="s">
        <v>2861</v>
      </c>
      <c r="G1828" s="183" t="s">
        <v>2918</v>
      </c>
      <c r="H1828" s="184" t="s">
        <v>2919</v>
      </c>
      <c r="J1828" s="188"/>
      <c r="K1828" s="183" t="s">
        <v>2920</v>
      </c>
      <c r="L1828" s="184" t="s">
        <v>2921</v>
      </c>
      <c r="M1828" s="168" t="s">
        <v>2922</v>
      </c>
      <c r="N1828" s="446">
        <v>0</v>
      </c>
      <c r="O1828" s="168" t="s">
        <v>271</v>
      </c>
      <c r="P1828" s="189">
        <v>1</v>
      </c>
      <c r="Q1828" s="189">
        <v>2</v>
      </c>
      <c r="R1828" s="189">
        <v>0</v>
      </c>
      <c r="S1828" s="189">
        <v>3</v>
      </c>
      <c r="T1828" s="184" t="s">
        <v>2528</v>
      </c>
      <c r="U1828" s="283" t="s">
        <v>2530</v>
      </c>
      <c r="V1828" s="184" t="s">
        <v>2923</v>
      </c>
      <c r="W1828" s="184">
        <v>1</v>
      </c>
      <c r="X1828" s="184">
        <v>1</v>
      </c>
      <c r="Y1828" s="184">
        <v>1</v>
      </c>
      <c r="Z1828" s="184">
        <v>1</v>
      </c>
      <c r="AA1828" s="184">
        <v>1</v>
      </c>
      <c r="AB1828" s="184">
        <v>1</v>
      </c>
      <c r="AC1828" s="316">
        <v>1</v>
      </c>
      <c r="AD1828" s="316">
        <v>1</v>
      </c>
      <c r="AE1828" s="302">
        <f t="shared" si="72"/>
        <v>1</v>
      </c>
      <c r="AF1828" s="186"/>
      <c r="AG1828" s="17">
        <v>0</v>
      </c>
      <c r="AH1828" s="186">
        <v>0</v>
      </c>
      <c r="AI1828" s="186">
        <v>0</v>
      </c>
      <c r="AJ1828" s="186">
        <v>16.399999999999999</v>
      </c>
      <c r="AK1828" s="187">
        <v>10</v>
      </c>
      <c r="AL1828" s="187">
        <v>10</v>
      </c>
      <c r="AM1828" s="147">
        <f t="shared" si="71"/>
        <v>20</v>
      </c>
      <c r="AN1828" s="184" t="s">
        <v>2528</v>
      </c>
      <c r="AO1828" s="168" t="s">
        <v>2530</v>
      </c>
      <c r="AP1828" s="184" t="s">
        <v>255</v>
      </c>
    </row>
    <row r="1829" spans="1:42" s="184" customFormat="1" x14ac:dyDescent="0.3">
      <c r="A1829" s="183" t="s">
        <v>1453</v>
      </c>
      <c r="B1829" s="184" t="s">
        <v>2496</v>
      </c>
      <c r="C1829" s="183" t="s">
        <v>2858</v>
      </c>
      <c r="D1829" s="184" t="s">
        <v>2859</v>
      </c>
      <c r="E1829" s="183" t="s">
        <v>2860</v>
      </c>
      <c r="F1829" s="184" t="s">
        <v>2861</v>
      </c>
      <c r="G1829" s="183" t="s">
        <v>2918</v>
      </c>
      <c r="H1829" s="184" t="s">
        <v>2919</v>
      </c>
      <c r="K1829" s="183" t="s">
        <v>2920</v>
      </c>
      <c r="L1829" s="184" t="s">
        <v>2921</v>
      </c>
      <c r="M1829" s="168" t="s">
        <v>2924</v>
      </c>
      <c r="N1829" s="446"/>
      <c r="O1829" s="446" t="s">
        <v>271</v>
      </c>
      <c r="P1829" s="185" t="s">
        <v>271</v>
      </c>
      <c r="Q1829" s="185">
        <v>1</v>
      </c>
      <c r="R1829" s="185">
        <v>1</v>
      </c>
      <c r="S1829" s="185" t="s">
        <v>271</v>
      </c>
      <c r="T1829" s="184" t="s">
        <v>63</v>
      </c>
      <c r="U1829" s="283" t="s">
        <v>2510</v>
      </c>
      <c r="V1829" s="184" t="s">
        <v>2925</v>
      </c>
      <c r="W1829" s="184">
        <v>1</v>
      </c>
      <c r="X1829" s="184">
        <v>0</v>
      </c>
      <c r="Y1829" s="184">
        <v>0</v>
      </c>
      <c r="Z1829" s="184">
        <v>1</v>
      </c>
      <c r="AA1829" s="184">
        <v>1</v>
      </c>
      <c r="AB1829" s="184">
        <v>1</v>
      </c>
      <c r="AC1829" s="316">
        <v>0</v>
      </c>
      <c r="AD1829" s="316">
        <v>1</v>
      </c>
      <c r="AE1829" s="302">
        <f t="shared" si="72"/>
        <v>0.625</v>
      </c>
      <c r="AF1829" s="186"/>
      <c r="AG1829" s="17">
        <v>0</v>
      </c>
      <c r="AH1829" s="186">
        <v>0</v>
      </c>
      <c r="AI1829" s="186">
        <v>0</v>
      </c>
      <c r="AJ1829" s="186">
        <v>0.15</v>
      </c>
      <c r="AK1829" s="187">
        <v>0.2</v>
      </c>
      <c r="AL1829" s="187">
        <v>0</v>
      </c>
      <c r="AM1829" s="147">
        <f t="shared" si="71"/>
        <v>0.2</v>
      </c>
      <c r="AN1829" s="184" t="s">
        <v>63</v>
      </c>
      <c r="AO1829" s="168" t="s">
        <v>2510</v>
      </c>
      <c r="AP1829" s="184" t="s">
        <v>119</v>
      </c>
    </row>
    <row r="1830" spans="1:42" s="184" customFormat="1" x14ac:dyDescent="0.3">
      <c r="A1830" s="183" t="s">
        <v>1453</v>
      </c>
      <c r="B1830" s="184" t="s">
        <v>2496</v>
      </c>
      <c r="C1830" s="183" t="s">
        <v>2498</v>
      </c>
      <c r="D1830" s="184" t="s">
        <v>2499</v>
      </c>
      <c r="E1830" s="183" t="s">
        <v>2926</v>
      </c>
      <c r="F1830" s="184" t="s">
        <v>2927</v>
      </c>
      <c r="G1830" s="183" t="s">
        <v>2928</v>
      </c>
      <c r="H1830" s="184" t="s">
        <v>2929</v>
      </c>
      <c r="J1830" s="188"/>
      <c r="K1830" s="183" t="s">
        <v>2930</v>
      </c>
      <c r="L1830" s="184" t="s">
        <v>2931</v>
      </c>
      <c r="M1830" s="168" t="s">
        <v>2932</v>
      </c>
      <c r="N1830" s="168">
        <v>120</v>
      </c>
      <c r="O1830" s="168">
        <v>50</v>
      </c>
      <c r="P1830" s="189">
        <v>35</v>
      </c>
      <c r="Q1830" s="189">
        <v>50</v>
      </c>
      <c r="R1830" s="189">
        <v>50</v>
      </c>
      <c r="S1830" s="189">
        <v>50</v>
      </c>
      <c r="T1830" s="184" t="s">
        <v>63</v>
      </c>
      <c r="U1830" s="283" t="s">
        <v>2510</v>
      </c>
      <c r="V1830" s="184" t="s">
        <v>2933</v>
      </c>
      <c r="W1830" s="184">
        <v>1</v>
      </c>
      <c r="X1830" s="184">
        <v>1</v>
      </c>
      <c r="Y1830" s="184">
        <v>1</v>
      </c>
      <c r="Z1830" s="184">
        <v>1</v>
      </c>
      <c r="AA1830" s="184">
        <v>1</v>
      </c>
      <c r="AB1830" s="184">
        <v>1</v>
      </c>
      <c r="AC1830" s="316">
        <v>1</v>
      </c>
      <c r="AD1830" s="316">
        <v>1</v>
      </c>
      <c r="AE1830" s="302">
        <f t="shared" si="72"/>
        <v>1</v>
      </c>
      <c r="AF1830" s="186"/>
      <c r="AG1830" s="17">
        <v>0</v>
      </c>
      <c r="AH1830" s="186">
        <v>20</v>
      </c>
      <c r="AI1830" s="186">
        <v>20</v>
      </c>
      <c r="AJ1830" s="186">
        <v>23</v>
      </c>
      <c r="AK1830" s="187">
        <v>30</v>
      </c>
      <c r="AL1830" s="187">
        <v>35</v>
      </c>
      <c r="AM1830" s="147">
        <f t="shared" si="71"/>
        <v>65</v>
      </c>
      <c r="AN1830" s="184" t="s">
        <v>63</v>
      </c>
      <c r="AO1830" s="168" t="s">
        <v>2510</v>
      </c>
      <c r="AP1830" s="184" t="s">
        <v>255</v>
      </c>
    </row>
    <row r="1831" spans="1:42" s="184" customFormat="1" x14ac:dyDescent="0.3">
      <c r="A1831" s="183" t="s">
        <v>1453</v>
      </c>
      <c r="B1831" s="184" t="s">
        <v>2496</v>
      </c>
      <c r="C1831" s="183" t="s">
        <v>2498</v>
      </c>
      <c r="D1831" s="184" t="s">
        <v>2499</v>
      </c>
      <c r="E1831" s="183" t="s">
        <v>2926</v>
      </c>
      <c r="F1831" s="184" t="s">
        <v>2927</v>
      </c>
      <c r="G1831" s="183" t="s">
        <v>2928</v>
      </c>
      <c r="H1831" s="184" t="s">
        <v>2929</v>
      </c>
      <c r="J1831" s="188"/>
      <c r="K1831" s="183" t="s">
        <v>2930</v>
      </c>
      <c r="L1831" s="184" t="s">
        <v>2931</v>
      </c>
      <c r="M1831" s="168" t="s">
        <v>2934</v>
      </c>
      <c r="N1831" s="168" t="s">
        <v>271</v>
      </c>
      <c r="O1831" s="168">
        <v>25</v>
      </c>
      <c r="P1831" s="189">
        <v>25</v>
      </c>
      <c r="Q1831" s="189">
        <v>50</v>
      </c>
      <c r="R1831" s="189">
        <v>100</v>
      </c>
      <c r="S1831" s="189">
        <v>150</v>
      </c>
      <c r="T1831" s="184" t="s">
        <v>63</v>
      </c>
      <c r="U1831" s="283" t="s">
        <v>2510</v>
      </c>
      <c r="V1831" s="184" t="s">
        <v>2935</v>
      </c>
      <c r="W1831" s="184">
        <v>1</v>
      </c>
      <c r="X1831" s="184">
        <v>1</v>
      </c>
      <c r="Y1831" s="184">
        <v>1</v>
      </c>
      <c r="Z1831" s="184">
        <v>1</v>
      </c>
      <c r="AA1831" s="184">
        <v>1</v>
      </c>
      <c r="AB1831" s="184">
        <v>1</v>
      </c>
      <c r="AC1831" s="316">
        <v>1</v>
      </c>
      <c r="AD1831" s="316">
        <v>1</v>
      </c>
      <c r="AE1831" s="302">
        <f t="shared" si="72"/>
        <v>1</v>
      </c>
      <c r="AF1831" s="186"/>
      <c r="AG1831" s="17">
        <v>0</v>
      </c>
      <c r="AH1831" s="186">
        <v>30</v>
      </c>
      <c r="AI1831" s="186">
        <v>40</v>
      </c>
      <c r="AJ1831" s="186">
        <v>40</v>
      </c>
      <c r="AK1831" s="187">
        <v>30</v>
      </c>
      <c r="AL1831" s="187">
        <v>40</v>
      </c>
      <c r="AM1831" s="147">
        <f t="shared" si="71"/>
        <v>70</v>
      </c>
      <c r="AN1831" s="184" t="s">
        <v>63</v>
      </c>
      <c r="AO1831" s="168" t="s">
        <v>2510</v>
      </c>
      <c r="AP1831" s="186" t="s">
        <v>255</v>
      </c>
    </row>
    <row r="1832" spans="1:42" s="184" customFormat="1" x14ac:dyDescent="0.3">
      <c r="A1832" s="183" t="s">
        <v>1453</v>
      </c>
      <c r="B1832" s="184" t="s">
        <v>2496</v>
      </c>
      <c r="C1832" s="183" t="s">
        <v>2498</v>
      </c>
      <c r="D1832" s="184" t="s">
        <v>2499</v>
      </c>
      <c r="E1832" s="183" t="s">
        <v>2926</v>
      </c>
      <c r="F1832" s="184" t="s">
        <v>2927</v>
      </c>
      <c r="G1832" s="183" t="s">
        <v>2928</v>
      </c>
      <c r="H1832" s="184" t="s">
        <v>2929</v>
      </c>
      <c r="J1832" s="188"/>
      <c r="K1832" s="183" t="s">
        <v>2930</v>
      </c>
      <c r="L1832" s="184" t="s">
        <v>2931</v>
      </c>
      <c r="M1832" s="168" t="s">
        <v>2936</v>
      </c>
      <c r="N1832" s="168" t="s">
        <v>271</v>
      </c>
      <c r="O1832" s="168">
        <v>50</v>
      </c>
      <c r="P1832" s="189">
        <v>100</v>
      </c>
      <c r="Q1832" s="189">
        <v>150</v>
      </c>
      <c r="R1832" s="189">
        <v>150</v>
      </c>
      <c r="S1832" s="189">
        <v>150</v>
      </c>
      <c r="T1832" s="184" t="s">
        <v>2528</v>
      </c>
      <c r="U1832" s="283" t="s">
        <v>2530</v>
      </c>
      <c r="V1832" s="184" t="s">
        <v>2937</v>
      </c>
      <c r="W1832" s="184">
        <v>1</v>
      </c>
      <c r="X1832" s="184">
        <v>1</v>
      </c>
      <c r="Y1832" s="184">
        <v>1</v>
      </c>
      <c r="Z1832" s="184">
        <v>1</v>
      </c>
      <c r="AA1832" s="184">
        <v>1</v>
      </c>
      <c r="AB1832" s="184">
        <v>1</v>
      </c>
      <c r="AC1832" s="316">
        <v>1</v>
      </c>
      <c r="AD1832" s="316">
        <v>1</v>
      </c>
      <c r="AE1832" s="302">
        <f t="shared" si="72"/>
        <v>1</v>
      </c>
      <c r="AF1832" s="186"/>
      <c r="AG1832" s="17">
        <v>0</v>
      </c>
      <c r="AH1832" s="186">
        <v>30</v>
      </c>
      <c r="AI1832" s="186">
        <v>60</v>
      </c>
      <c r="AJ1832" s="186">
        <v>60</v>
      </c>
      <c r="AK1832" s="187">
        <v>60</v>
      </c>
      <c r="AL1832" s="187">
        <v>90</v>
      </c>
      <c r="AM1832" s="147">
        <f t="shared" si="71"/>
        <v>150</v>
      </c>
      <c r="AN1832" s="184" t="s">
        <v>2528</v>
      </c>
      <c r="AO1832" s="168" t="s">
        <v>2530</v>
      </c>
      <c r="AP1832" s="186" t="s">
        <v>255</v>
      </c>
    </row>
    <row r="1833" spans="1:42" s="184" customFormat="1" x14ac:dyDescent="0.3">
      <c r="A1833" s="183" t="s">
        <v>1453</v>
      </c>
      <c r="B1833" s="184" t="s">
        <v>2496</v>
      </c>
      <c r="C1833" s="183" t="s">
        <v>2498</v>
      </c>
      <c r="D1833" s="184" t="s">
        <v>2499</v>
      </c>
      <c r="E1833" s="183" t="s">
        <v>2926</v>
      </c>
      <c r="F1833" s="184" t="s">
        <v>2927</v>
      </c>
      <c r="G1833" s="183" t="s">
        <v>2928</v>
      </c>
      <c r="H1833" s="184" t="s">
        <v>2929</v>
      </c>
      <c r="J1833" s="188"/>
      <c r="K1833" s="183" t="s">
        <v>2930</v>
      </c>
      <c r="L1833" s="184" t="s">
        <v>2931</v>
      </c>
      <c r="M1833" s="168" t="s">
        <v>2938</v>
      </c>
      <c r="N1833" s="168"/>
      <c r="O1833" s="168" t="s">
        <v>271</v>
      </c>
      <c r="P1833" s="189">
        <v>1</v>
      </c>
      <c r="Q1833" s="189">
        <v>40</v>
      </c>
      <c r="R1833" s="189">
        <v>40</v>
      </c>
      <c r="S1833" s="189">
        <v>40</v>
      </c>
      <c r="T1833" s="184" t="s">
        <v>63</v>
      </c>
      <c r="U1833" s="283" t="s">
        <v>2510</v>
      </c>
      <c r="V1833" s="184" t="s">
        <v>2939</v>
      </c>
      <c r="W1833" s="184">
        <v>1</v>
      </c>
      <c r="X1833" s="184">
        <v>1</v>
      </c>
      <c r="Y1833" s="184">
        <v>1</v>
      </c>
      <c r="Z1833" s="184">
        <v>1</v>
      </c>
      <c r="AA1833" s="184">
        <v>1</v>
      </c>
      <c r="AB1833" s="184">
        <v>1</v>
      </c>
      <c r="AC1833" s="316">
        <v>1</v>
      </c>
      <c r="AD1833" s="316">
        <v>1</v>
      </c>
      <c r="AE1833" s="302">
        <f t="shared" si="72"/>
        <v>1</v>
      </c>
      <c r="AF1833" s="186"/>
      <c r="AG1833" s="17">
        <v>0</v>
      </c>
      <c r="AH1833" s="186">
        <v>20</v>
      </c>
      <c r="AI1833" s="186">
        <v>0.5</v>
      </c>
      <c r="AJ1833" s="186">
        <v>80</v>
      </c>
      <c r="AK1833" s="187">
        <v>80</v>
      </c>
      <c r="AL1833" s="187">
        <v>300</v>
      </c>
      <c r="AM1833" s="147">
        <f t="shared" si="71"/>
        <v>380</v>
      </c>
      <c r="AN1833" s="184" t="s">
        <v>63</v>
      </c>
      <c r="AO1833" s="168" t="s">
        <v>2510</v>
      </c>
      <c r="AP1833" s="184" t="s">
        <v>119</v>
      </c>
    </row>
    <row r="1834" spans="1:42" s="184" customFormat="1" x14ac:dyDescent="0.3">
      <c r="A1834" s="183" t="s">
        <v>1453</v>
      </c>
      <c r="B1834" s="184" t="s">
        <v>2496</v>
      </c>
      <c r="C1834" s="183" t="s">
        <v>2498</v>
      </c>
      <c r="D1834" s="184" t="s">
        <v>2499</v>
      </c>
      <c r="E1834" s="183" t="s">
        <v>2926</v>
      </c>
      <c r="F1834" s="184" t="s">
        <v>2927</v>
      </c>
      <c r="G1834" s="183" t="s">
        <v>2928</v>
      </c>
      <c r="H1834" s="184" t="s">
        <v>2929</v>
      </c>
      <c r="J1834" s="188"/>
      <c r="K1834" s="183" t="s">
        <v>2930</v>
      </c>
      <c r="L1834" s="184" t="s">
        <v>2931</v>
      </c>
      <c r="M1834" s="168" t="s">
        <v>2940</v>
      </c>
      <c r="N1834" s="168"/>
      <c r="O1834" s="168" t="s">
        <v>2631</v>
      </c>
      <c r="P1834" s="189">
        <v>1</v>
      </c>
      <c r="Q1834" s="189">
        <v>4</v>
      </c>
      <c r="R1834" s="189">
        <v>0</v>
      </c>
      <c r="S1834" s="189">
        <v>2</v>
      </c>
      <c r="T1834" s="184" t="s">
        <v>63</v>
      </c>
      <c r="U1834" s="283" t="s">
        <v>2510</v>
      </c>
      <c r="V1834" s="184" t="s">
        <v>2941</v>
      </c>
      <c r="W1834" s="184">
        <v>1</v>
      </c>
      <c r="X1834" s="184">
        <v>1</v>
      </c>
      <c r="Y1834" s="184">
        <v>0</v>
      </c>
      <c r="Z1834" s="184">
        <v>1</v>
      </c>
      <c r="AA1834" s="184">
        <v>1</v>
      </c>
      <c r="AB1834" s="184">
        <v>1</v>
      </c>
      <c r="AC1834" s="316">
        <v>0</v>
      </c>
      <c r="AD1834" s="316">
        <v>1</v>
      </c>
      <c r="AE1834" s="302">
        <f t="shared" si="72"/>
        <v>0.75</v>
      </c>
      <c r="AF1834" s="186"/>
      <c r="AG1834" s="17">
        <v>0</v>
      </c>
      <c r="AH1834" s="186">
        <v>0</v>
      </c>
      <c r="AI1834" s="186">
        <v>0</v>
      </c>
      <c r="AJ1834" s="186">
        <v>0</v>
      </c>
      <c r="AK1834" s="187">
        <v>3</v>
      </c>
      <c r="AL1834" s="187">
        <v>0</v>
      </c>
      <c r="AM1834" s="147">
        <f t="shared" si="71"/>
        <v>3</v>
      </c>
      <c r="AN1834" s="184" t="s">
        <v>63</v>
      </c>
      <c r="AO1834" s="168" t="s">
        <v>2510</v>
      </c>
      <c r="AP1834" s="184" t="s">
        <v>119</v>
      </c>
    </row>
    <row r="1835" spans="1:42" s="184" customFormat="1" x14ac:dyDescent="0.3">
      <c r="A1835" s="183" t="s">
        <v>1453</v>
      </c>
      <c r="B1835" s="184" t="s">
        <v>2496</v>
      </c>
      <c r="C1835" s="183" t="s">
        <v>2498</v>
      </c>
      <c r="D1835" s="184" t="s">
        <v>2499</v>
      </c>
      <c r="E1835" s="183" t="s">
        <v>2926</v>
      </c>
      <c r="F1835" s="184" t="s">
        <v>2927</v>
      </c>
      <c r="G1835" s="183" t="s">
        <v>2928</v>
      </c>
      <c r="H1835" s="184" t="s">
        <v>2929</v>
      </c>
      <c r="J1835" s="188"/>
      <c r="K1835" s="183" t="s">
        <v>2930</v>
      </c>
      <c r="L1835" s="184" t="s">
        <v>2931</v>
      </c>
      <c r="M1835" s="168" t="s">
        <v>2942</v>
      </c>
      <c r="N1835" s="168">
        <v>7</v>
      </c>
      <c r="O1835" s="168">
        <v>10</v>
      </c>
      <c r="P1835" s="189">
        <v>10</v>
      </c>
      <c r="Q1835" s="189">
        <v>10</v>
      </c>
      <c r="R1835" s="189">
        <v>10</v>
      </c>
      <c r="S1835" s="189">
        <v>10</v>
      </c>
      <c r="T1835" s="184" t="s">
        <v>63</v>
      </c>
      <c r="U1835" s="283" t="s">
        <v>2510</v>
      </c>
      <c r="AC1835" s="316">
        <v>0</v>
      </c>
      <c r="AD1835" s="316">
        <v>0</v>
      </c>
      <c r="AE1835" s="302">
        <f t="shared" si="72"/>
        <v>0</v>
      </c>
      <c r="AF1835" s="190"/>
      <c r="AG1835" s="17">
        <v>0</v>
      </c>
      <c r="AH1835" s="190">
        <v>0</v>
      </c>
      <c r="AI1835" s="190">
        <v>0</v>
      </c>
      <c r="AJ1835" s="190">
        <v>0</v>
      </c>
      <c r="AK1835" s="191">
        <v>0</v>
      </c>
      <c r="AL1835" s="191">
        <v>0</v>
      </c>
      <c r="AM1835" s="147">
        <f t="shared" si="71"/>
        <v>0</v>
      </c>
      <c r="AO1835" s="168"/>
    </row>
    <row r="1836" spans="1:42" s="184" customFormat="1" x14ac:dyDescent="0.3">
      <c r="A1836" s="183" t="s">
        <v>1453</v>
      </c>
      <c r="B1836" s="184" t="s">
        <v>2496</v>
      </c>
      <c r="C1836" s="183" t="s">
        <v>2498</v>
      </c>
      <c r="D1836" s="184" t="s">
        <v>2499</v>
      </c>
      <c r="E1836" s="183" t="s">
        <v>2926</v>
      </c>
      <c r="F1836" s="184" t="s">
        <v>2927</v>
      </c>
      <c r="G1836" s="183" t="s">
        <v>2928</v>
      </c>
      <c r="H1836" s="184" t="s">
        <v>2929</v>
      </c>
      <c r="J1836" s="188"/>
      <c r="K1836" s="183" t="s">
        <v>2930</v>
      </c>
      <c r="L1836" s="184" t="s">
        <v>2931</v>
      </c>
      <c r="M1836" s="168" t="s">
        <v>2943</v>
      </c>
      <c r="N1836" s="168">
        <v>0</v>
      </c>
      <c r="O1836" s="168">
        <v>0</v>
      </c>
      <c r="P1836" s="189">
        <v>0</v>
      </c>
      <c r="Q1836" s="189">
        <v>0</v>
      </c>
      <c r="R1836" s="189">
        <v>100000</v>
      </c>
      <c r="S1836" s="189">
        <v>200000</v>
      </c>
      <c r="T1836" s="184" t="s">
        <v>2944</v>
      </c>
      <c r="U1836" s="283" t="e">
        <v>#N/A</v>
      </c>
      <c r="AC1836" s="316">
        <v>0</v>
      </c>
      <c r="AD1836" s="316">
        <v>0</v>
      </c>
      <c r="AE1836" s="302">
        <f t="shared" si="72"/>
        <v>0</v>
      </c>
      <c r="AF1836" s="190"/>
      <c r="AG1836" s="17">
        <v>0</v>
      </c>
      <c r="AH1836" s="190">
        <v>0</v>
      </c>
      <c r="AI1836" s="190">
        <v>0</v>
      </c>
      <c r="AJ1836" s="190">
        <v>0</v>
      </c>
      <c r="AK1836" s="191">
        <v>0</v>
      </c>
      <c r="AL1836" s="191">
        <v>0</v>
      </c>
      <c r="AM1836" s="147">
        <f t="shared" si="71"/>
        <v>0</v>
      </c>
      <c r="AN1836" s="184" t="s">
        <v>2945</v>
      </c>
      <c r="AO1836" s="168" t="s">
        <v>2510</v>
      </c>
      <c r="AP1836" s="184" t="s">
        <v>2946</v>
      </c>
    </row>
    <row r="1837" spans="1:42" s="184" customFormat="1" x14ac:dyDescent="0.3">
      <c r="A1837" s="183" t="s">
        <v>1453</v>
      </c>
      <c r="B1837" s="184" t="s">
        <v>2496</v>
      </c>
      <c r="C1837" s="183" t="s">
        <v>2498</v>
      </c>
      <c r="D1837" s="184" t="s">
        <v>2499</v>
      </c>
      <c r="E1837" s="183" t="s">
        <v>2926</v>
      </c>
      <c r="F1837" s="184" t="s">
        <v>2927</v>
      </c>
      <c r="G1837" s="183" t="s">
        <v>2947</v>
      </c>
      <c r="H1837" s="184" t="s">
        <v>2948</v>
      </c>
      <c r="I1837" s="183" t="s">
        <v>2949</v>
      </c>
      <c r="J1837" s="184" t="s">
        <v>2950</v>
      </c>
      <c r="K1837" s="183" t="s">
        <v>2951</v>
      </c>
      <c r="L1837" s="184" t="s">
        <v>2952</v>
      </c>
      <c r="M1837" s="168" t="s">
        <v>2953</v>
      </c>
      <c r="N1837" s="168">
        <v>0</v>
      </c>
      <c r="O1837" s="168">
        <v>20</v>
      </c>
      <c r="P1837" s="189">
        <v>20</v>
      </c>
      <c r="Q1837" s="189">
        <v>20</v>
      </c>
      <c r="R1837" s="189">
        <v>20</v>
      </c>
      <c r="S1837" s="189">
        <v>20</v>
      </c>
      <c r="T1837" s="184" t="s">
        <v>2738</v>
      </c>
      <c r="U1837" s="283" t="e">
        <v>#N/A</v>
      </c>
      <c r="V1837" s="184" t="s">
        <v>2954</v>
      </c>
      <c r="W1837" s="184">
        <v>1</v>
      </c>
      <c r="X1837" s="184">
        <v>1</v>
      </c>
      <c r="Y1837" s="184">
        <v>1</v>
      </c>
      <c r="Z1837" s="184">
        <v>1</v>
      </c>
      <c r="AA1837" s="184">
        <v>1</v>
      </c>
      <c r="AB1837" s="184">
        <v>1</v>
      </c>
      <c r="AC1837" s="316">
        <v>1</v>
      </c>
      <c r="AD1837" s="316">
        <v>1</v>
      </c>
      <c r="AE1837" s="302">
        <f t="shared" si="72"/>
        <v>1</v>
      </c>
      <c r="AF1837" s="186"/>
      <c r="AG1837" s="17">
        <v>0</v>
      </c>
      <c r="AH1837" s="186">
        <v>0</v>
      </c>
      <c r="AI1837" s="186">
        <v>0</v>
      </c>
      <c r="AJ1837" s="186">
        <v>0</v>
      </c>
      <c r="AK1837" s="187">
        <v>0</v>
      </c>
      <c r="AL1837" s="187">
        <v>0</v>
      </c>
      <c r="AM1837" s="147">
        <f t="shared" si="71"/>
        <v>0</v>
      </c>
      <c r="AN1837" s="184" t="s">
        <v>2528</v>
      </c>
      <c r="AO1837" s="168" t="s">
        <v>2530</v>
      </c>
      <c r="AP1837" s="184" t="s">
        <v>119</v>
      </c>
    </row>
    <row r="1838" spans="1:42" s="184" customFormat="1" x14ac:dyDescent="0.3">
      <c r="A1838" s="183" t="s">
        <v>1453</v>
      </c>
      <c r="B1838" s="184" t="s">
        <v>2496</v>
      </c>
      <c r="C1838" s="183" t="s">
        <v>2498</v>
      </c>
      <c r="D1838" s="184" t="s">
        <v>2499</v>
      </c>
      <c r="E1838" s="183" t="s">
        <v>2926</v>
      </c>
      <c r="F1838" s="184" t="s">
        <v>2927</v>
      </c>
      <c r="G1838" s="183" t="s">
        <v>2947</v>
      </c>
      <c r="H1838" s="184" t="s">
        <v>2948</v>
      </c>
      <c r="I1838" s="183" t="s">
        <v>2949</v>
      </c>
      <c r="J1838" s="184" t="s">
        <v>2950</v>
      </c>
      <c r="K1838" s="183" t="s">
        <v>2951</v>
      </c>
      <c r="L1838" s="184" t="s">
        <v>2952</v>
      </c>
      <c r="M1838" s="168" t="s">
        <v>2955</v>
      </c>
      <c r="N1838" s="168">
        <v>0</v>
      </c>
      <c r="O1838" s="168">
        <v>20</v>
      </c>
      <c r="P1838" s="189">
        <v>20</v>
      </c>
      <c r="Q1838" s="189">
        <v>20</v>
      </c>
      <c r="R1838" s="189">
        <v>20</v>
      </c>
      <c r="S1838" s="189">
        <v>20</v>
      </c>
      <c r="T1838" s="184" t="s">
        <v>2507</v>
      </c>
      <c r="U1838" s="283" t="e">
        <v>#N/A</v>
      </c>
      <c r="V1838" s="184" t="s">
        <v>2954</v>
      </c>
      <c r="W1838" s="184">
        <v>1</v>
      </c>
      <c r="X1838" s="184">
        <v>1</v>
      </c>
      <c r="Y1838" s="184">
        <v>1</v>
      </c>
      <c r="Z1838" s="184">
        <v>1</v>
      </c>
      <c r="AA1838" s="184">
        <v>1</v>
      </c>
      <c r="AB1838" s="184">
        <v>1</v>
      </c>
      <c r="AC1838" s="316">
        <v>1</v>
      </c>
      <c r="AD1838" s="316">
        <v>1</v>
      </c>
      <c r="AE1838" s="302">
        <f t="shared" si="72"/>
        <v>1</v>
      </c>
      <c r="AF1838" s="186"/>
      <c r="AG1838" s="17">
        <v>0</v>
      </c>
      <c r="AH1838" s="186">
        <v>0</v>
      </c>
      <c r="AI1838" s="186">
        <v>0</v>
      </c>
      <c r="AJ1838" s="186">
        <v>0</v>
      </c>
      <c r="AK1838" s="187">
        <v>0</v>
      </c>
      <c r="AL1838" s="187">
        <v>0</v>
      </c>
      <c r="AM1838" s="147">
        <f t="shared" si="71"/>
        <v>0</v>
      </c>
      <c r="AN1838" s="184" t="s">
        <v>2509</v>
      </c>
      <c r="AO1838" s="168" t="s">
        <v>2510</v>
      </c>
      <c r="AP1838" s="184" t="s">
        <v>2507</v>
      </c>
    </row>
    <row r="1839" spans="1:42" s="184" customFormat="1" x14ac:dyDescent="0.3">
      <c r="A1839" s="183" t="s">
        <v>1453</v>
      </c>
      <c r="B1839" s="184" t="s">
        <v>2496</v>
      </c>
      <c r="C1839" s="183" t="s">
        <v>2498</v>
      </c>
      <c r="D1839" s="184" t="s">
        <v>2499</v>
      </c>
      <c r="E1839" s="183" t="s">
        <v>2926</v>
      </c>
      <c r="F1839" s="184" t="s">
        <v>2927</v>
      </c>
      <c r="G1839" s="183" t="s">
        <v>2947</v>
      </c>
      <c r="H1839" s="184" t="s">
        <v>2948</v>
      </c>
      <c r="I1839" s="183" t="s">
        <v>2949</v>
      </c>
      <c r="J1839" s="184" t="s">
        <v>2950</v>
      </c>
      <c r="K1839" s="183" t="s">
        <v>2951</v>
      </c>
      <c r="L1839" s="184" t="s">
        <v>2952</v>
      </c>
      <c r="M1839" s="168" t="s">
        <v>2955</v>
      </c>
      <c r="N1839" s="168">
        <v>0</v>
      </c>
      <c r="O1839" s="168">
        <v>20</v>
      </c>
      <c r="P1839" s="189">
        <v>20</v>
      </c>
      <c r="Q1839" s="189">
        <v>20</v>
      </c>
      <c r="R1839" s="189">
        <v>20</v>
      </c>
      <c r="S1839" s="189">
        <v>20</v>
      </c>
      <c r="T1839" s="184" t="s">
        <v>2956</v>
      </c>
      <c r="U1839" s="283" t="e">
        <v>#N/A</v>
      </c>
      <c r="V1839" s="184" t="s">
        <v>2954</v>
      </c>
      <c r="W1839" s="184">
        <v>1</v>
      </c>
      <c r="X1839" s="184">
        <v>1</v>
      </c>
      <c r="Y1839" s="184">
        <v>1</v>
      </c>
      <c r="Z1839" s="184">
        <v>1</v>
      </c>
      <c r="AA1839" s="184">
        <v>1</v>
      </c>
      <c r="AB1839" s="184">
        <v>1</v>
      </c>
      <c r="AC1839" s="316">
        <v>1</v>
      </c>
      <c r="AD1839" s="316">
        <v>1</v>
      </c>
      <c r="AE1839" s="302">
        <f t="shared" si="72"/>
        <v>1</v>
      </c>
      <c r="AF1839" s="186"/>
      <c r="AG1839" s="17">
        <v>0</v>
      </c>
      <c r="AH1839" s="186">
        <v>0</v>
      </c>
      <c r="AI1839" s="186">
        <v>0</v>
      </c>
      <c r="AJ1839" s="186">
        <v>0</v>
      </c>
      <c r="AK1839" s="187">
        <v>0</v>
      </c>
      <c r="AL1839" s="187">
        <v>0</v>
      </c>
      <c r="AM1839" s="147">
        <f t="shared" si="71"/>
        <v>0</v>
      </c>
      <c r="AN1839" s="184" t="s">
        <v>2957</v>
      </c>
      <c r="AO1839" s="168" t="s">
        <v>2510</v>
      </c>
      <c r="AP1839" s="184" t="s">
        <v>2958</v>
      </c>
    </row>
    <row r="1840" spans="1:42" s="184" customFormat="1" x14ac:dyDescent="0.3">
      <c r="A1840" s="183" t="s">
        <v>1453</v>
      </c>
      <c r="B1840" s="184" t="s">
        <v>2496</v>
      </c>
      <c r="C1840" s="183" t="s">
        <v>2498</v>
      </c>
      <c r="D1840" s="184" t="s">
        <v>2499</v>
      </c>
      <c r="E1840" s="183" t="s">
        <v>2926</v>
      </c>
      <c r="F1840" s="184" t="s">
        <v>2927</v>
      </c>
      <c r="G1840" s="183" t="s">
        <v>2947</v>
      </c>
      <c r="H1840" s="184" t="s">
        <v>2948</v>
      </c>
      <c r="I1840" s="183" t="s">
        <v>2949</v>
      </c>
      <c r="J1840" s="184" t="s">
        <v>2950</v>
      </c>
      <c r="K1840" s="183" t="s">
        <v>2951</v>
      </c>
      <c r="L1840" s="184" t="s">
        <v>2952</v>
      </c>
      <c r="M1840" s="168" t="s">
        <v>2955</v>
      </c>
      <c r="N1840" s="168">
        <v>0</v>
      </c>
      <c r="O1840" s="168">
        <v>20</v>
      </c>
      <c r="P1840" s="189">
        <v>20</v>
      </c>
      <c r="Q1840" s="189">
        <v>20</v>
      </c>
      <c r="R1840" s="189">
        <v>20</v>
      </c>
      <c r="S1840" s="189">
        <v>20</v>
      </c>
      <c r="T1840" s="184" t="s">
        <v>63</v>
      </c>
      <c r="U1840" s="283" t="s">
        <v>2510</v>
      </c>
      <c r="V1840" s="184" t="s">
        <v>2954</v>
      </c>
      <c r="W1840" s="184">
        <v>1</v>
      </c>
      <c r="X1840" s="184">
        <v>1</v>
      </c>
      <c r="Y1840" s="184">
        <v>1</v>
      </c>
      <c r="Z1840" s="184">
        <v>1</v>
      </c>
      <c r="AA1840" s="184">
        <v>1</v>
      </c>
      <c r="AB1840" s="184">
        <v>1</v>
      </c>
      <c r="AC1840" s="316">
        <v>1</v>
      </c>
      <c r="AD1840" s="316">
        <v>1</v>
      </c>
      <c r="AE1840" s="302">
        <f t="shared" si="72"/>
        <v>1</v>
      </c>
      <c r="AF1840" s="186"/>
      <c r="AG1840" s="17">
        <v>0</v>
      </c>
      <c r="AH1840" s="186">
        <v>0</v>
      </c>
      <c r="AI1840" s="186">
        <v>0</v>
      </c>
      <c r="AJ1840" s="186">
        <v>0</v>
      </c>
      <c r="AK1840" s="187">
        <v>0</v>
      </c>
      <c r="AL1840" s="187">
        <v>0</v>
      </c>
      <c r="AM1840" s="147">
        <f t="shared" si="71"/>
        <v>0</v>
      </c>
      <c r="AN1840" s="184" t="s">
        <v>63</v>
      </c>
      <c r="AO1840" s="168" t="s">
        <v>2510</v>
      </c>
    </row>
    <row r="1841" spans="1:42" s="184" customFormat="1" x14ac:dyDescent="0.3">
      <c r="A1841" s="183" t="s">
        <v>1453</v>
      </c>
      <c r="B1841" s="184" t="s">
        <v>2496</v>
      </c>
      <c r="C1841" s="183" t="s">
        <v>2498</v>
      </c>
      <c r="D1841" s="184" t="s">
        <v>2499</v>
      </c>
      <c r="E1841" s="183" t="s">
        <v>2926</v>
      </c>
      <c r="F1841" s="184" t="s">
        <v>2927</v>
      </c>
      <c r="G1841" s="183" t="s">
        <v>2947</v>
      </c>
      <c r="H1841" s="184" t="s">
        <v>2948</v>
      </c>
      <c r="I1841" s="183" t="s">
        <v>2949</v>
      </c>
      <c r="J1841" s="184" t="s">
        <v>2950</v>
      </c>
      <c r="K1841" s="183" t="s">
        <v>2951</v>
      </c>
      <c r="L1841" s="184" t="s">
        <v>2952</v>
      </c>
      <c r="M1841" s="168" t="s">
        <v>2955</v>
      </c>
      <c r="N1841" s="168">
        <v>0</v>
      </c>
      <c r="O1841" s="168">
        <v>20</v>
      </c>
      <c r="P1841" s="189">
        <v>20</v>
      </c>
      <c r="Q1841" s="189">
        <v>20</v>
      </c>
      <c r="R1841" s="189">
        <v>20</v>
      </c>
      <c r="S1841" s="189">
        <v>20</v>
      </c>
      <c r="T1841" s="184" t="s">
        <v>2518</v>
      </c>
      <c r="U1841" s="283" t="e">
        <v>#N/A</v>
      </c>
      <c r="V1841" s="184" t="s">
        <v>2954</v>
      </c>
      <c r="W1841" s="184">
        <v>1</v>
      </c>
      <c r="X1841" s="184">
        <v>1</v>
      </c>
      <c r="Y1841" s="184">
        <v>1</v>
      </c>
      <c r="Z1841" s="184">
        <v>1</v>
      </c>
      <c r="AA1841" s="184">
        <v>1</v>
      </c>
      <c r="AB1841" s="184">
        <v>1</v>
      </c>
      <c r="AC1841" s="316">
        <v>1</v>
      </c>
      <c r="AD1841" s="316">
        <v>1</v>
      </c>
      <c r="AE1841" s="302">
        <f t="shared" si="72"/>
        <v>1</v>
      </c>
      <c r="AF1841" s="186"/>
      <c r="AG1841" s="17">
        <v>0</v>
      </c>
      <c r="AH1841" s="186">
        <v>0</v>
      </c>
      <c r="AI1841" s="186">
        <v>0</v>
      </c>
      <c r="AJ1841" s="186">
        <v>0</v>
      </c>
      <c r="AK1841" s="187">
        <v>0</v>
      </c>
      <c r="AL1841" s="187">
        <v>0</v>
      </c>
      <c r="AM1841" s="147">
        <f t="shared" si="71"/>
        <v>0</v>
      </c>
      <c r="AN1841" s="184" t="s">
        <v>63</v>
      </c>
      <c r="AO1841" s="168" t="s">
        <v>2510</v>
      </c>
      <c r="AP1841" s="184" t="s">
        <v>2518</v>
      </c>
    </row>
    <row r="1842" spans="1:42" s="184" customFormat="1" x14ac:dyDescent="0.3">
      <c r="A1842" s="183" t="s">
        <v>1453</v>
      </c>
      <c r="B1842" s="184" t="s">
        <v>2496</v>
      </c>
      <c r="C1842" s="183" t="s">
        <v>2498</v>
      </c>
      <c r="D1842" s="184" t="s">
        <v>2499</v>
      </c>
      <c r="E1842" s="183" t="s">
        <v>2926</v>
      </c>
      <c r="F1842" s="184" t="s">
        <v>2927</v>
      </c>
      <c r="G1842" s="195" t="s">
        <v>2947</v>
      </c>
      <c r="H1842" s="184" t="s">
        <v>2948</v>
      </c>
      <c r="I1842" s="196" t="s">
        <v>2949</v>
      </c>
      <c r="J1842" s="184" t="s">
        <v>2950</v>
      </c>
      <c r="K1842" s="183" t="s">
        <v>2951</v>
      </c>
      <c r="L1842" s="184" t="s">
        <v>2952</v>
      </c>
      <c r="M1842" s="168" t="s">
        <v>2959</v>
      </c>
      <c r="N1842" s="168"/>
      <c r="O1842" s="168">
        <v>200</v>
      </c>
      <c r="P1842" s="189">
        <v>250</v>
      </c>
      <c r="Q1842" s="189">
        <v>300</v>
      </c>
      <c r="R1842" s="189">
        <v>350</v>
      </c>
      <c r="S1842" s="189">
        <v>400</v>
      </c>
      <c r="T1842" s="184" t="s">
        <v>2535</v>
      </c>
      <c r="U1842" s="283" t="s">
        <v>2510</v>
      </c>
      <c r="V1842" s="184" t="s">
        <v>2960</v>
      </c>
      <c r="W1842" s="184">
        <v>1</v>
      </c>
      <c r="X1842" s="184">
        <v>1</v>
      </c>
      <c r="Y1842" s="184">
        <v>0</v>
      </c>
      <c r="Z1842" s="184">
        <v>1</v>
      </c>
      <c r="AA1842" s="184">
        <v>1</v>
      </c>
      <c r="AB1842" s="184">
        <v>1</v>
      </c>
      <c r="AC1842" s="316">
        <v>0</v>
      </c>
      <c r="AD1842" s="316">
        <v>1</v>
      </c>
      <c r="AE1842" s="302">
        <f t="shared" si="72"/>
        <v>0.75</v>
      </c>
      <c r="AF1842" s="186"/>
      <c r="AG1842" s="17">
        <v>0</v>
      </c>
      <c r="AH1842" s="186">
        <v>0</v>
      </c>
      <c r="AI1842" s="186">
        <v>2.5000000000000001E-2</v>
      </c>
      <c r="AJ1842" s="186">
        <v>0.03</v>
      </c>
      <c r="AK1842" s="187">
        <v>3.5000000000000003E-2</v>
      </c>
      <c r="AL1842" s="187">
        <v>0.04</v>
      </c>
      <c r="AM1842" s="147">
        <f t="shared" si="71"/>
        <v>7.5000000000000011E-2</v>
      </c>
      <c r="AN1842" s="184" t="s">
        <v>63</v>
      </c>
      <c r="AO1842" s="168" t="s">
        <v>2510</v>
      </c>
      <c r="AP1842" s="184" t="s">
        <v>119</v>
      </c>
    </row>
    <row r="1843" spans="1:42" s="184" customFormat="1" x14ac:dyDescent="0.3">
      <c r="A1843" s="183" t="s">
        <v>1453</v>
      </c>
      <c r="B1843" s="184" t="s">
        <v>2496</v>
      </c>
      <c r="C1843" s="183" t="s">
        <v>2498</v>
      </c>
      <c r="D1843" s="184" t="s">
        <v>2499</v>
      </c>
      <c r="E1843" s="183" t="s">
        <v>2926</v>
      </c>
      <c r="F1843" s="184" t="s">
        <v>2927</v>
      </c>
      <c r="G1843" s="183" t="s">
        <v>2947</v>
      </c>
      <c r="H1843" s="184" t="s">
        <v>2948</v>
      </c>
      <c r="I1843" s="196" t="s">
        <v>2949</v>
      </c>
      <c r="J1843" s="184" t="s">
        <v>2950</v>
      </c>
      <c r="K1843" s="183" t="s">
        <v>2951</v>
      </c>
      <c r="L1843" s="184" t="s">
        <v>2952</v>
      </c>
      <c r="M1843" s="168" t="s">
        <v>2961</v>
      </c>
      <c r="N1843" s="446"/>
      <c r="O1843" s="446" t="s">
        <v>2631</v>
      </c>
      <c r="P1843" s="185" t="s">
        <v>2962</v>
      </c>
      <c r="Q1843" s="185">
        <v>1</v>
      </c>
      <c r="R1843" s="185">
        <v>2</v>
      </c>
      <c r="S1843" s="185">
        <v>1</v>
      </c>
      <c r="T1843" s="184" t="s">
        <v>63</v>
      </c>
      <c r="U1843" s="283" t="s">
        <v>2510</v>
      </c>
      <c r="V1843" s="184" t="s">
        <v>2963</v>
      </c>
      <c r="W1843" s="184">
        <v>1</v>
      </c>
      <c r="X1843" s="184">
        <v>1</v>
      </c>
      <c r="Y1843" s="184">
        <v>0</v>
      </c>
      <c r="Z1843" s="184">
        <v>1</v>
      </c>
      <c r="AA1843" s="184">
        <v>1</v>
      </c>
      <c r="AB1843" s="184">
        <v>1</v>
      </c>
      <c r="AC1843" s="316">
        <v>0</v>
      </c>
      <c r="AD1843" s="316">
        <v>1</v>
      </c>
      <c r="AE1843" s="302">
        <f t="shared" si="72"/>
        <v>0.75</v>
      </c>
      <c r="AF1843" s="186"/>
      <c r="AG1843" s="17">
        <v>0</v>
      </c>
      <c r="AH1843" s="186">
        <v>0</v>
      </c>
      <c r="AI1843" s="186">
        <v>0</v>
      </c>
      <c r="AJ1843" s="186">
        <v>0</v>
      </c>
      <c r="AK1843" s="187">
        <v>0</v>
      </c>
      <c r="AL1843" s="187">
        <v>0</v>
      </c>
      <c r="AM1843" s="147">
        <f t="shared" si="71"/>
        <v>0</v>
      </c>
      <c r="AN1843" s="184" t="s">
        <v>63</v>
      </c>
      <c r="AO1843" s="168" t="s">
        <v>2510</v>
      </c>
      <c r="AP1843" s="184" t="s">
        <v>119</v>
      </c>
    </row>
    <row r="1844" spans="1:42" s="184" customFormat="1" x14ac:dyDescent="0.3">
      <c r="A1844" s="183" t="s">
        <v>1453</v>
      </c>
      <c r="B1844" s="184" t="s">
        <v>2496</v>
      </c>
      <c r="C1844" s="183" t="s">
        <v>2498</v>
      </c>
      <c r="D1844" s="184" t="s">
        <v>2499</v>
      </c>
      <c r="E1844" s="183" t="s">
        <v>2926</v>
      </c>
      <c r="F1844" s="184" t="s">
        <v>2927</v>
      </c>
      <c r="G1844" s="195" t="s">
        <v>2947</v>
      </c>
      <c r="H1844" s="184" t="s">
        <v>2948</v>
      </c>
      <c r="I1844" s="196" t="s">
        <v>2949</v>
      </c>
      <c r="J1844" s="184" t="s">
        <v>2950</v>
      </c>
      <c r="K1844" s="183" t="s">
        <v>2951</v>
      </c>
      <c r="L1844" s="184" t="s">
        <v>2952</v>
      </c>
      <c r="M1844" s="168" t="s">
        <v>2964</v>
      </c>
      <c r="N1844" s="168"/>
      <c r="O1844" s="168">
        <v>1</v>
      </c>
      <c r="P1844" s="189">
        <v>2</v>
      </c>
      <c r="Q1844" s="189">
        <v>2</v>
      </c>
      <c r="R1844" s="189">
        <v>1</v>
      </c>
      <c r="S1844" s="189">
        <v>1</v>
      </c>
      <c r="T1844" s="184" t="s">
        <v>63</v>
      </c>
      <c r="U1844" s="283" t="s">
        <v>2510</v>
      </c>
      <c r="V1844" s="184" t="s">
        <v>2965</v>
      </c>
      <c r="W1844" s="184">
        <v>1</v>
      </c>
      <c r="X1844" s="184">
        <v>1</v>
      </c>
      <c r="Y1844" s="184">
        <v>0</v>
      </c>
      <c r="Z1844" s="184">
        <v>1</v>
      </c>
      <c r="AA1844" s="184">
        <v>1</v>
      </c>
      <c r="AB1844" s="184">
        <v>1</v>
      </c>
      <c r="AC1844" s="316">
        <v>0</v>
      </c>
      <c r="AD1844" s="316">
        <v>1</v>
      </c>
      <c r="AE1844" s="302">
        <f t="shared" si="72"/>
        <v>0.75</v>
      </c>
      <c r="AF1844" s="186"/>
      <c r="AG1844" s="17">
        <v>0</v>
      </c>
      <c r="AH1844" s="186">
        <v>0</v>
      </c>
      <c r="AI1844" s="186">
        <v>8</v>
      </c>
      <c r="AJ1844" s="186">
        <v>0</v>
      </c>
      <c r="AK1844" s="187">
        <v>8</v>
      </c>
      <c r="AL1844" s="187">
        <v>2</v>
      </c>
      <c r="AM1844" s="147">
        <f t="shared" si="71"/>
        <v>10</v>
      </c>
      <c r="AN1844" s="184" t="s">
        <v>63</v>
      </c>
      <c r="AO1844" s="168" t="s">
        <v>2510</v>
      </c>
      <c r="AP1844" s="184" t="s">
        <v>119</v>
      </c>
    </row>
    <row r="1845" spans="1:42" s="184" customFormat="1" x14ac:dyDescent="0.3">
      <c r="A1845" s="183" t="s">
        <v>1453</v>
      </c>
      <c r="B1845" s="184" t="s">
        <v>2496</v>
      </c>
      <c r="C1845" s="183" t="s">
        <v>2498</v>
      </c>
      <c r="D1845" s="184" t="s">
        <v>2499</v>
      </c>
      <c r="E1845" s="183" t="s">
        <v>2926</v>
      </c>
      <c r="F1845" s="184" t="s">
        <v>2927</v>
      </c>
      <c r="G1845" s="183" t="s">
        <v>2947</v>
      </c>
      <c r="H1845" s="184" t="s">
        <v>2948</v>
      </c>
      <c r="I1845" s="196" t="s">
        <v>2949</v>
      </c>
      <c r="J1845" s="184" t="s">
        <v>2950</v>
      </c>
      <c r="K1845" s="183" t="s">
        <v>2951</v>
      </c>
      <c r="L1845" s="184" t="s">
        <v>2952</v>
      </c>
      <c r="M1845" s="168" t="s">
        <v>2966</v>
      </c>
      <c r="N1845" s="168"/>
      <c r="O1845" s="168">
        <v>30</v>
      </c>
      <c r="P1845" s="189">
        <v>30</v>
      </c>
      <c r="Q1845" s="189">
        <v>50</v>
      </c>
      <c r="R1845" s="189">
        <v>50</v>
      </c>
      <c r="S1845" s="189">
        <v>50</v>
      </c>
      <c r="T1845" s="184" t="s">
        <v>2535</v>
      </c>
      <c r="U1845" s="283" t="s">
        <v>2510</v>
      </c>
      <c r="V1845" s="184" t="s">
        <v>2967</v>
      </c>
      <c r="W1845" s="184">
        <v>1</v>
      </c>
      <c r="X1845" s="184">
        <v>0</v>
      </c>
      <c r="Y1845" s="184">
        <v>0</v>
      </c>
      <c r="Z1845" s="184">
        <v>1</v>
      </c>
      <c r="AA1845" s="184">
        <v>1</v>
      </c>
      <c r="AB1845" s="184">
        <v>1</v>
      </c>
      <c r="AC1845" s="316">
        <v>0</v>
      </c>
      <c r="AD1845" s="316">
        <v>1</v>
      </c>
      <c r="AE1845" s="302">
        <f t="shared" si="72"/>
        <v>0.625</v>
      </c>
      <c r="AF1845" s="186"/>
      <c r="AG1845" s="17">
        <v>0</v>
      </c>
      <c r="AH1845" s="186">
        <v>0</v>
      </c>
      <c r="AI1845" s="186">
        <v>0</v>
      </c>
      <c r="AJ1845" s="186">
        <v>0</v>
      </c>
      <c r="AK1845" s="187">
        <v>0</v>
      </c>
      <c r="AL1845" s="187">
        <v>0</v>
      </c>
      <c r="AM1845" s="147">
        <f t="shared" si="71"/>
        <v>0</v>
      </c>
      <c r="AN1845" s="184" t="s">
        <v>63</v>
      </c>
      <c r="AO1845" s="168" t="s">
        <v>2510</v>
      </c>
      <c r="AP1845" s="184" t="s">
        <v>119</v>
      </c>
    </row>
    <row r="1846" spans="1:42" s="184" customFormat="1" x14ac:dyDescent="0.3">
      <c r="A1846" s="183" t="s">
        <v>1453</v>
      </c>
      <c r="B1846" s="184" t="s">
        <v>2496</v>
      </c>
      <c r="C1846" s="183" t="s">
        <v>2498</v>
      </c>
      <c r="D1846" s="184" t="s">
        <v>2499</v>
      </c>
      <c r="E1846" s="183" t="s">
        <v>2926</v>
      </c>
      <c r="F1846" s="184" t="s">
        <v>2927</v>
      </c>
      <c r="G1846" s="195" t="s">
        <v>2947</v>
      </c>
      <c r="H1846" s="184" t="s">
        <v>2948</v>
      </c>
      <c r="I1846" s="196" t="s">
        <v>2949</v>
      </c>
      <c r="J1846" s="184" t="s">
        <v>2950</v>
      </c>
      <c r="K1846" s="183" t="s">
        <v>2951</v>
      </c>
      <c r="L1846" s="184" t="s">
        <v>2952</v>
      </c>
      <c r="M1846" s="168" t="s">
        <v>2968</v>
      </c>
      <c r="N1846" s="168"/>
      <c r="O1846" s="168" t="s">
        <v>271</v>
      </c>
      <c r="P1846" s="189" t="s">
        <v>271</v>
      </c>
      <c r="Q1846" s="189" t="s">
        <v>271</v>
      </c>
      <c r="R1846" s="189">
        <v>1</v>
      </c>
      <c r="S1846" s="189" t="s">
        <v>271</v>
      </c>
      <c r="T1846" s="184" t="s">
        <v>2535</v>
      </c>
      <c r="U1846" s="283" t="s">
        <v>2510</v>
      </c>
      <c r="V1846" s="184" t="s">
        <v>2969</v>
      </c>
      <c r="W1846" s="184">
        <v>1</v>
      </c>
      <c r="X1846" s="184">
        <v>1</v>
      </c>
      <c r="Y1846" s="184">
        <v>0</v>
      </c>
      <c r="Z1846" s="184">
        <v>0</v>
      </c>
      <c r="AA1846" s="184">
        <v>0</v>
      </c>
      <c r="AB1846" s="184">
        <v>1</v>
      </c>
      <c r="AC1846" s="316">
        <v>0</v>
      </c>
      <c r="AD1846" s="316">
        <v>1</v>
      </c>
      <c r="AE1846" s="302">
        <f t="shared" si="72"/>
        <v>0.5</v>
      </c>
      <c r="AF1846" s="186"/>
      <c r="AG1846" s="17">
        <v>0</v>
      </c>
      <c r="AH1846" s="186">
        <v>0</v>
      </c>
      <c r="AI1846" s="186" t="s">
        <v>271</v>
      </c>
      <c r="AJ1846" s="186" t="s">
        <v>271</v>
      </c>
      <c r="AK1846" s="187" t="s">
        <v>271</v>
      </c>
      <c r="AL1846" s="187" t="s">
        <v>271</v>
      </c>
      <c r="AM1846" s="147">
        <f t="shared" si="71"/>
        <v>0</v>
      </c>
      <c r="AN1846" s="184" t="s">
        <v>63</v>
      </c>
      <c r="AO1846" s="168" t="s">
        <v>2510</v>
      </c>
      <c r="AP1846" s="184" t="s">
        <v>119</v>
      </c>
    </row>
    <row r="1847" spans="1:42" s="184" customFormat="1" x14ac:dyDescent="0.3">
      <c r="A1847" s="183" t="s">
        <v>1453</v>
      </c>
      <c r="B1847" s="184" t="s">
        <v>2496</v>
      </c>
      <c r="C1847" s="183" t="s">
        <v>2498</v>
      </c>
      <c r="D1847" s="184" t="s">
        <v>2499</v>
      </c>
      <c r="E1847" s="183" t="s">
        <v>2926</v>
      </c>
      <c r="F1847" s="184" t="s">
        <v>2927</v>
      </c>
      <c r="G1847" s="195" t="s">
        <v>2947</v>
      </c>
      <c r="H1847" s="184" t="s">
        <v>2948</v>
      </c>
      <c r="I1847" s="196" t="s">
        <v>2970</v>
      </c>
      <c r="J1847" s="184" t="s">
        <v>2971</v>
      </c>
      <c r="K1847" s="183" t="s">
        <v>2972</v>
      </c>
      <c r="L1847" s="184" t="s">
        <v>2973</v>
      </c>
      <c r="M1847" s="168" t="s">
        <v>2974</v>
      </c>
      <c r="N1847" s="168"/>
      <c r="O1847" s="168">
        <v>480</v>
      </c>
      <c r="P1847" s="189">
        <v>600</v>
      </c>
      <c r="Q1847" s="189">
        <v>600</v>
      </c>
      <c r="R1847" s="189">
        <v>600</v>
      </c>
      <c r="S1847" s="189">
        <v>600</v>
      </c>
      <c r="T1847" s="184" t="s">
        <v>2535</v>
      </c>
      <c r="U1847" s="283" t="s">
        <v>2510</v>
      </c>
      <c r="V1847" s="184" t="s">
        <v>2975</v>
      </c>
      <c r="W1847" s="184">
        <v>1</v>
      </c>
      <c r="X1847" s="184">
        <v>1</v>
      </c>
      <c r="Y1847" s="184">
        <v>1</v>
      </c>
      <c r="Z1847" s="184">
        <v>1</v>
      </c>
      <c r="AA1847" s="184">
        <v>1</v>
      </c>
      <c r="AB1847" s="184">
        <v>1</v>
      </c>
      <c r="AC1847" s="316">
        <v>1</v>
      </c>
      <c r="AD1847" s="316">
        <v>1</v>
      </c>
      <c r="AE1847" s="302">
        <f t="shared" si="72"/>
        <v>1</v>
      </c>
      <c r="AF1847" s="186"/>
      <c r="AG1847" s="17">
        <v>0</v>
      </c>
      <c r="AH1847" s="186">
        <v>0</v>
      </c>
      <c r="AI1847" s="186">
        <v>3</v>
      </c>
      <c r="AJ1847" s="186">
        <v>0</v>
      </c>
      <c r="AK1847" s="187">
        <v>3</v>
      </c>
      <c r="AL1847" s="187">
        <v>3</v>
      </c>
      <c r="AM1847" s="147">
        <f t="shared" si="71"/>
        <v>6</v>
      </c>
      <c r="AN1847" s="184" t="s">
        <v>63</v>
      </c>
      <c r="AO1847" s="168" t="s">
        <v>2510</v>
      </c>
      <c r="AP1847" s="184" t="s">
        <v>255</v>
      </c>
    </row>
    <row r="1848" spans="1:42" s="184" customFormat="1" x14ac:dyDescent="0.3">
      <c r="A1848" s="183" t="s">
        <v>1453</v>
      </c>
      <c r="B1848" s="184" t="s">
        <v>2496</v>
      </c>
      <c r="C1848" s="183" t="s">
        <v>2498</v>
      </c>
      <c r="D1848" s="184" t="s">
        <v>2499</v>
      </c>
      <c r="E1848" s="183" t="s">
        <v>2926</v>
      </c>
      <c r="F1848" s="184" t="s">
        <v>2927</v>
      </c>
      <c r="G1848" s="195" t="s">
        <v>2947</v>
      </c>
      <c r="H1848" s="184" t="s">
        <v>2948</v>
      </c>
      <c r="I1848" s="196" t="s">
        <v>2970</v>
      </c>
      <c r="J1848" s="184" t="s">
        <v>2971</v>
      </c>
      <c r="K1848" s="183" t="s">
        <v>2972</v>
      </c>
      <c r="L1848" s="184" t="s">
        <v>2976</v>
      </c>
      <c r="M1848" s="168" t="s">
        <v>2977</v>
      </c>
      <c r="N1848" s="168"/>
      <c r="O1848" s="168" t="s">
        <v>271</v>
      </c>
      <c r="P1848" s="189">
        <v>50</v>
      </c>
      <c r="Q1848" s="189">
        <v>50</v>
      </c>
      <c r="R1848" s="189">
        <v>75</v>
      </c>
      <c r="S1848" s="189">
        <v>75</v>
      </c>
      <c r="T1848" s="184" t="s">
        <v>63</v>
      </c>
      <c r="U1848" s="283" t="s">
        <v>2510</v>
      </c>
      <c r="V1848" s="184" t="s">
        <v>2978</v>
      </c>
      <c r="W1848" s="184">
        <v>1</v>
      </c>
      <c r="X1848" s="184">
        <v>1</v>
      </c>
      <c r="Y1848" s="184">
        <v>1</v>
      </c>
      <c r="Z1848" s="184">
        <v>1</v>
      </c>
      <c r="AA1848" s="184">
        <v>1</v>
      </c>
      <c r="AB1848" s="184">
        <v>1</v>
      </c>
      <c r="AC1848" s="316">
        <v>1</v>
      </c>
      <c r="AD1848" s="316">
        <v>1</v>
      </c>
      <c r="AE1848" s="302">
        <f t="shared" si="72"/>
        <v>1</v>
      </c>
      <c r="AF1848" s="186"/>
      <c r="AG1848" s="17">
        <v>0</v>
      </c>
      <c r="AH1848" s="186">
        <v>0</v>
      </c>
      <c r="AI1848" s="186">
        <v>0.2</v>
      </c>
      <c r="AJ1848" s="186">
        <v>0.2</v>
      </c>
      <c r="AK1848" s="187">
        <v>0.25</v>
      </c>
      <c r="AL1848" s="187">
        <v>0.25</v>
      </c>
      <c r="AM1848" s="147">
        <f t="shared" si="71"/>
        <v>0.5</v>
      </c>
      <c r="AN1848" s="184" t="s">
        <v>63</v>
      </c>
      <c r="AO1848" s="168" t="s">
        <v>2510</v>
      </c>
      <c r="AP1848" s="184" t="s">
        <v>119</v>
      </c>
    </row>
    <row r="1849" spans="1:42" s="184" customFormat="1" x14ac:dyDescent="0.3">
      <c r="A1849" s="183" t="s">
        <v>1453</v>
      </c>
      <c r="B1849" s="184" t="s">
        <v>2496</v>
      </c>
      <c r="C1849" s="183" t="s">
        <v>2498</v>
      </c>
      <c r="D1849" s="184" t="s">
        <v>2499</v>
      </c>
      <c r="E1849" s="183" t="s">
        <v>2926</v>
      </c>
      <c r="F1849" s="184" t="s">
        <v>2927</v>
      </c>
      <c r="G1849" s="183" t="s">
        <v>2979</v>
      </c>
      <c r="H1849" s="184" t="s">
        <v>2980</v>
      </c>
      <c r="K1849" s="183" t="s">
        <v>2981</v>
      </c>
      <c r="L1849" s="184" t="s">
        <v>2982</v>
      </c>
      <c r="M1849" s="168" t="s">
        <v>2983</v>
      </c>
      <c r="N1849" s="446"/>
      <c r="O1849" s="446"/>
      <c r="P1849" s="185"/>
      <c r="Q1849" s="197">
        <v>1</v>
      </c>
      <c r="R1849" s="185"/>
      <c r="S1849" s="185" t="s">
        <v>271</v>
      </c>
      <c r="T1849" s="184" t="s">
        <v>63</v>
      </c>
      <c r="U1849" s="283" t="s">
        <v>2510</v>
      </c>
      <c r="V1849" s="184" t="s">
        <v>2984</v>
      </c>
      <c r="W1849" s="184">
        <v>1</v>
      </c>
      <c r="X1849" s="184">
        <v>0</v>
      </c>
      <c r="Y1849" s="184">
        <v>0</v>
      </c>
      <c r="Z1849" s="184">
        <v>1</v>
      </c>
      <c r="AA1849" s="184">
        <v>1</v>
      </c>
      <c r="AB1849" s="184">
        <v>1</v>
      </c>
      <c r="AC1849" s="316">
        <v>0</v>
      </c>
      <c r="AD1849" s="316">
        <v>1</v>
      </c>
      <c r="AE1849" s="302">
        <f t="shared" si="72"/>
        <v>0.625</v>
      </c>
      <c r="AF1849" s="186"/>
      <c r="AG1849" s="17">
        <v>0</v>
      </c>
      <c r="AH1849" s="186">
        <v>0</v>
      </c>
      <c r="AI1849" s="186">
        <v>0</v>
      </c>
      <c r="AJ1849" s="186">
        <v>0</v>
      </c>
      <c r="AK1849" s="187">
        <v>0</v>
      </c>
      <c r="AL1849" s="187">
        <v>10</v>
      </c>
      <c r="AM1849" s="147">
        <f t="shared" si="71"/>
        <v>10</v>
      </c>
      <c r="AN1849" s="184" t="s">
        <v>63</v>
      </c>
      <c r="AO1849" s="168" t="s">
        <v>2510</v>
      </c>
      <c r="AP1849" s="184" t="s">
        <v>119</v>
      </c>
    </row>
    <row r="1850" spans="1:42" s="184" customFormat="1" x14ac:dyDescent="0.3">
      <c r="A1850" s="183" t="s">
        <v>1453</v>
      </c>
      <c r="B1850" s="184" t="s">
        <v>2496</v>
      </c>
      <c r="C1850" s="183" t="s">
        <v>2498</v>
      </c>
      <c r="D1850" s="184" t="s">
        <v>2499</v>
      </c>
      <c r="E1850" s="183" t="s">
        <v>2926</v>
      </c>
      <c r="F1850" s="184" t="s">
        <v>2927</v>
      </c>
      <c r="G1850" s="183" t="s">
        <v>2979</v>
      </c>
      <c r="H1850" s="184" t="s">
        <v>2980</v>
      </c>
      <c r="I1850" s="188"/>
      <c r="J1850" s="188"/>
      <c r="K1850" s="183" t="s">
        <v>2981</v>
      </c>
      <c r="L1850" s="184" t="s">
        <v>2982</v>
      </c>
      <c r="M1850" s="168" t="s">
        <v>2985</v>
      </c>
      <c r="N1850" s="168"/>
      <c r="O1850" s="168"/>
      <c r="P1850" s="189">
        <v>1</v>
      </c>
      <c r="Q1850" s="189">
        <v>1</v>
      </c>
      <c r="R1850" s="189">
        <v>1</v>
      </c>
      <c r="S1850" s="189" t="s">
        <v>271</v>
      </c>
      <c r="T1850" s="184" t="s">
        <v>63</v>
      </c>
      <c r="U1850" s="283" t="s">
        <v>2510</v>
      </c>
      <c r="V1850" s="184" t="s">
        <v>2986</v>
      </c>
      <c r="W1850" s="184">
        <v>1</v>
      </c>
      <c r="X1850" s="184">
        <v>1</v>
      </c>
      <c r="Y1850" s="184">
        <v>0</v>
      </c>
      <c r="Z1850" s="184">
        <v>1</v>
      </c>
      <c r="AA1850" s="184">
        <v>1</v>
      </c>
      <c r="AB1850" s="184">
        <v>1</v>
      </c>
      <c r="AC1850" s="316">
        <v>0</v>
      </c>
      <c r="AD1850" s="316">
        <v>1</v>
      </c>
      <c r="AE1850" s="302">
        <f t="shared" si="72"/>
        <v>0.75</v>
      </c>
      <c r="AF1850" s="186"/>
      <c r="AG1850" s="17">
        <v>0</v>
      </c>
      <c r="AH1850" s="186">
        <v>0</v>
      </c>
      <c r="AI1850" s="186">
        <v>0</v>
      </c>
      <c r="AJ1850" s="186">
        <v>0</v>
      </c>
      <c r="AK1850" s="187">
        <v>4</v>
      </c>
      <c r="AL1850" s="187">
        <v>4</v>
      </c>
      <c r="AM1850" s="147">
        <f t="shared" si="71"/>
        <v>8</v>
      </c>
      <c r="AN1850" s="184" t="s">
        <v>63</v>
      </c>
      <c r="AO1850" s="168" t="s">
        <v>2510</v>
      </c>
      <c r="AP1850" s="184" t="s">
        <v>119</v>
      </c>
    </row>
    <row r="1851" spans="1:42" s="184" customFormat="1" x14ac:dyDescent="0.3">
      <c r="A1851" s="183" t="s">
        <v>1453</v>
      </c>
      <c r="B1851" s="184" t="s">
        <v>2496</v>
      </c>
      <c r="C1851" s="183" t="s">
        <v>2498</v>
      </c>
      <c r="D1851" s="184" t="s">
        <v>2499</v>
      </c>
      <c r="E1851" s="183" t="s">
        <v>2926</v>
      </c>
      <c r="F1851" s="184" t="s">
        <v>2927</v>
      </c>
      <c r="G1851" s="183" t="s">
        <v>2979</v>
      </c>
      <c r="H1851" s="184" t="s">
        <v>2980</v>
      </c>
      <c r="I1851" s="188"/>
      <c r="J1851" s="188"/>
      <c r="K1851" s="183" t="s">
        <v>2981</v>
      </c>
      <c r="L1851" s="184" t="s">
        <v>2982</v>
      </c>
      <c r="M1851" s="168" t="s">
        <v>2987</v>
      </c>
      <c r="N1851" s="168">
        <v>3</v>
      </c>
      <c r="O1851" s="168">
        <v>10</v>
      </c>
      <c r="P1851" s="189">
        <v>13</v>
      </c>
      <c r="Q1851" s="189">
        <v>19</v>
      </c>
      <c r="R1851" s="189">
        <v>21</v>
      </c>
      <c r="S1851" s="189">
        <v>26</v>
      </c>
      <c r="T1851" s="184" t="s">
        <v>2528</v>
      </c>
      <c r="U1851" s="283" t="s">
        <v>2530</v>
      </c>
      <c r="V1851" s="184" t="s">
        <v>2988</v>
      </c>
      <c r="W1851" s="184">
        <v>1</v>
      </c>
      <c r="X1851" s="184">
        <v>1</v>
      </c>
      <c r="Y1851" s="184">
        <v>0</v>
      </c>
      <c r="Z1851" s="184">
        <v>1</v>
      </c>
      <c r="AA1851" s="184">
        <v>1</v>
      </c>
      <c r="AB1851" s="184">
        <v>1</v>
      </c>
      <c r="AC1851" s="316">
        <v>0</v>
      </c>
      <c r="AD1851" s="316">
        <v>1</v>
      </c>
      <c r="AE1851" s="302">
        <f t="shared" si="72"/>
        <v>0.75</v>
      </c>
      <c r="AF1851" s="186"/>
      <c r="AG1851" s="17">
        <v>0</v>
      </c>
      <c r="AH1851" s="186">
        <v>0</v>
      </c>
      <c r="AI1851" s="186">
        <v>0</v>
      </c>
      <c r="AJ1851" s="186">
        <v>6</v>
      </c>
      <c r="AK1851" s="187">
        <v>0</v>
      </c>
      <c r="AL1851" s="187">
        <v>0</v>
      </c>
      <c r="AM1851" s="147">
        <f t="shared" si="71"/>
        <v>0</v>
      </c>
      <c r="AN1851" s="184" t="s">
        <v>2528</v>
      </c>
      <c r="AO1851" s="168" t="s">
        <v>2530</v>
      </c>
      <c r="AP1851" s="184" t="s">
        <v>119</v>
      </c>
    </row>
    <row r="1852" spans="1:42" s="184" customFormat="1" x14ac:dyDescent="0.3">
      <c r="A1852" s="183" t="s">
        <v>1453</v>
      </c>
      <c r="B1852" s="184" t="s">
        <v>2496</v>
      </c>
      <c r="C1852" s="183" t="s">
        <v>2498</v>
      </c>
      <c r="D1852" s="184" t="s">
        <v>2499</v>
      </c>
      <c r="E1852" s="183" t="s">
        <v>2926</v>
      </c>
      <c r="F1852" s="184" t="s">
        <v>2927</v>
      </c>
      <c r="G1852" s="183" t="s">
        <v>2979</v>
      </c>
      <c r="H1852" s="184" t="s">
        <v>2980</v>
      </c>
      <c r="I1852" s="188"/>
      <c r="J1852" s="188"/>
      <c r="K1852" s="183" t="s">
        <v>2981</v>
      </c>
      <c r="L1852" s="184" t="s">
        <v>2982</v>
      </c>
      <c r="M1852" s="168" t="s">
        <v>2989</v>
      </c>
      <c r="N1852" s="168" t="s">
        <v>271</v>
      </c>
      <c r="O1852" s="168" t="s">
        <v>271</v>
      </c>
      <c r="P1852" s="189">
        <v>2</v>
      </c>
      <c r="Q1852" s="189">
        <v>3</v>
      </c>
      <c r="R1852" s="189">
        <v>5</v>
      </c>
      <c r="S1852" s="189">
        <v>5</v>
      </c>
      <c r="T1852" s="184" t="s">
        <v>63</v>
      </c>
      <c r="U1852" s="283" t="s">
        <v>2510</v>
      </c>
      <c r="V1852" s="184" t="s">
        <v>2990</v>
      </c>
      <c r="W1852" s="184">
        <v>1</v>
      </c>
      <c r="X1852" s="184">
        <v>1</v>
      </c>
      <c r="Y1852" s="184">
        <v>0</v>
      </c>
      <c r="Z1852" s="184">
        <v>1</v>
      </c>
      <c r="AA1852" s="184">
        <v>1</v>
      </c>
      <c r="AB1852" s="184">
        <v>1</v>
      </c>
      <c r="AC1852" s="316">
        <v>0</v>
      </c>
      <c r="AD1852" s="316">
        <v>1</v>
      </c>
      <c r="AE1852" s="302">
        <f t="shared" si="72"/>
        <v>0.75</v>
      </c>
      <c r="AF1852" s="186"/>
      <c r="AG1852" s="17">
        <v>0</v>
      </c>
      <c r="AH1852" s="186">
        <v>0</v>
      </c>
      <c r="AI1852" s="186">
        <v>0</v>
      </c>
      <c r="AJ1852" s="186">
        <v>5</v>
      </c>
      <c r="AK1852" s="187">
        <v>0</v>
      </c>
      <c r="AL1852" s="187">
        <v>0</v>
      </c>
      <c r="AM1852" s="147">
        <f t="shared" si="71"/>
        <v>0</v>
      </c>
      <c r="AN1852" s="184" t="s">
        <v>63</v>
      </c>
      <c r="AO1852" s="168" t="s">
        <v>2510</v>
      </c>
      <c r="AP1852" s="184" t="s">
        <v>119</v>
      </c>
    </row>
    <row r="1853" spans="1:42" s="184" customFormat="1" x14ac:dyDescent="0.3">
      <c r="A1853" s="183" t="s">
        <v>1453</v>
      </c>
      <c r="B1853" s="184" t="s">
        <v>2496</v>
      </c>
      <c r="C1853" s="183" t="s">
        <v>2498</v>
      </c>
      <c r="D1853" s="184" t="s">
        <v>2499</v>
      </c>
      <c r="E1853" s="183" t="s">
        <v>2926</v>
      </c>
      <c r="F1853" s="184" t="s">
        <v>2927</v>
      </c>
      <c r="G1853" s="183" t="s">
        <v>2979</v>
      </c>
      <c r="H1853" s="184" t="s">
        <v>2980</v>
      </c>
      <c r="I1853" s="188"/>
      <c r="J1853" s="188"/>
      <c r="K1853" s="183" t="s">
        <v>2981</v>
      </c>
      <c r="L1853" s="184" t="s">
        <v>2982</v>
      </c>
      <c r="M1853" s="168" t="s">
        <v>2991</v>
      </c>
      <c r="N1853" s="168">
        <v>0</v>
      </c>
      <c r="O1853" s="168">
        <v>1</v>
      </c>
      <c r="P1853" s="189">
        <v>0</v>
      </c>
      <c r="Q1853" s="189">
        <v>0</v>
      </c>
      <c r="R1853" s="189">
        <v>1</v>
      </c>
      <c r="S1853" s="189">
        <v>0</v>
      </c>
      <c r="T1853" s="184" t="s">
        <v>2661</v>
      </c>
      <c r="U1853" s="283" t="e">
        <v>#N/A</v>
      </c>
      <c r="V1853" s="184" t="s">
        <v>2992</v>
      </c>
      <c r="W1853" s="184">
        <v>1</v>
      </c>
      <c r="X1853" s="184">
        <v>0</v>
      </c>
      <c r="Y1853" s="184">
        <v>1</v>
      </c>
      <c r="Z1853" s="184">
        <v>1</v>
      </c>
      <c r="AA1853" s="184">
        <v>1</v>
      </c>
      <c r="AB1853" s="184">
        <v>1</v>
      </c>
      <c r="AC1853" s="316">
        <v>1</v>
      </c>
      <c r="AD1853" s="316">
        <v>1</v>
      </c>
      <c r="AE1853" s="302">
        <f t="shared" si="72"/>
        <v>0.875</v>
      </c>
      <c r="AF1853" s="186"/>
      <c r="AG1853" s="17">
        <v>0</v>
      </c>
      <c r="AH1853" s="186">
        <v>0</v>
      </c>
      <c r="AI1853" s="186">
        <v>0</v>
      </c>
      <c r="AJ1853" s="186" t="s">
        <v>271</v>
      </c>
      <c r="AK1853" s="187">
        <v>0</v>
      </c>
      <c r="AL1853" s="187">
        <v>0</v>
      </c>
      <c r="AM1853" s="147">
        <f t="shared" si="71"/>
        <v>0</v>
      </c>
      <c r="AN1853" s="184" t="s">
        <v>63</v>
      </c>
      <c r="AO1853" s="168" t="s">
        <v>2510</v>
      </c>
      <c r="AP1853" s="184" t="s">
        <v>119</v>
      </c>
    </row>
    <row r="1854" spans="1:42" s="184" customFormat="1" x14ac:dyDescent="0.3">
      <c r="A1854" s="183" t="s">
        <v>1453</v>
      </c>
      <c r="B1854" s="184" t="s">
        <v>2496</v>
      </c>
      <c r="C1854" s="183" t="s">
        <v>2498</v>
      </c>
      <c r="D1854" s="184" t="s">
        <v>2499</v>
      </c>
      <c r="E1854" s="183" t="s">
        <v>2926</v>
      </c>
      <c r="F1854" s="184" t="s">
        <v>2927</v>
      </c>
      <c r="G1854" s="183" t="s">
        <v>2979</v>
      </c>
      <c r="H1854" s="184" t="s">
        <v>2980</v>
      </c>
      <c r="K1854" s="183" t="s">
        <v>2993</v>
      </c>
      <c r="L1854" s="184" t="s">
        <v>2994</v>
      </c>
      <c r="M1854" s="168" t="s">
        <v>2995</v>
      </c>
      <c r="N1854" s="446"/>
      <c r="O1854" s="446">
        <v>3</v>
      </c>
      <c r="P1854" s="185">
        <v>1</v>
      </c>
      <c r="Q1854" s="185">
        <v>1</v>
      </c>
      <c r="R1854" s="185">
        <v>1</v>
      </c>
      <c r="S1854" s="185">
        <v>1</v>
      </c>
      <c r="T1854" s="184" t="s">
        <v>63</v>
      </c>
      <c r="U1854" s="283" t="s">
        <v>2510</v>
      </c>
      <c r="V1854" s="184" t="s">
        <v>2996</v>
      </c>
      <c r="W1854" s="184">
        <v>1</v>
      </c>
      <c r="X1854" s="184">
        <v>1</v>
      </c>
      <c r="Y1854" s="184">
        <v>0</v>
      </c>
      <c r="Z1854" s="184">
        <v>1</v>
      </c>
      <c r="AA1854" s="184">
        <v>1</v>
      </c>
      <c r="AB1854" s="184">
        <v>1</v>
      </c>
      <c r="AC1854" s="316">
        <v>0</v>
      </c>
      <c r="AD1854" s="316">
        <v>1</v>
      </c>
      <c r="AE1854" s="302">
        <f t="shared" si="72"/>
        <v>0.75</v>
      </c>
      <c r="AF1854" s="186"/>
      <c r="AG1854" s="17">
        <v>0</v>
      </c>
      <c r="AH1854" s="186">
        <v>0</v>
      </c>
      <c r="AI1854" s="186">
        <v>0</v>
      </c>
      <c r="AJ1854" s="186">
        <v>6</v>
      </c>
      <c r="AK1854" s="187">
        <v>1</v>
      </c>
      <c r="AL1854" s="187">
        <v>1</v>
      </c>
      <c r="AM1854" s="147">
        <f t="shared" si="71"/>
        <v>2</v>
      </c>
      <c r="AN1854" s="184" t="s">
        <v>63</v>
      </c>
      <c r="AO1854" s="168" t="s">
        <v>2510</v>
      </c>
      <c r="AP1854" s="184" t="s">
        <v>119</v>
      </c>
    </row>
    <row r="1855" spans="1:42" s="184" customFormat="1" x14ac:dyDescent="0.3">
      <c r="A1855" s="183" t="s">
        <v>1453</v>
      </c>
      <c r="B1855" s="184" t="s">
        <v>2496</v>
      </c>
      <c r="C1855" s="183" t="s">
        <v>2498</v>
      </c>
      <c r="D1855" s="184" t="s">
        <v>2499</v>
      </c>
      <c r="E1855" s="183" t="s">
        <v>2926</v>
      </c>
      <c r="F1855" s="184" t="s">
        <v>2927</v>
      </c>
      <c r="G1855" s="183" t="s">
        <v>2979</v>
      </c>
      <c r="H1855" s="184" t="s">
        <v>2980</v>
      </c>
      <c r="J1855" s="188"/>
      <c r="K1855" s="183" t="s">
        <v>2993</v>
      </c>
      <c r="L1855" s="184" t="s">
        <v>2994</v>
      </c>
      <c r="M1855" s="168" t="s">
        <v>2997</v>
      </c>
      <c r="N1855" s="168">
        <v>0</v>
      </c>
      <c r="O1855" s="168">
        <v>1</v>
      </c>
      <c r="P1855" s="189">
        <v>0</v>
      </c>
      <c r="Q1855" s="189">
        <v>1</v>
      </c>
      <c r="R1855" s="189">
        <v>0</v>
      </c>
      <c r="S1855" s="189">
        <v>1</v>
      </c>
      <c r="T1855" s="184" t="s">
        <v>2507</v>
      </c>
      <c r="U1855" s="283" t="e">
        <v>#N/A</v>
      </c>
      <c r="V1855" s="184" t="s">
        <v>2998</v>
      </c>
      <c r="W1855" s="184">
        <v>1</v>
      </c>
      <c r="X1855" s="184">
        <v>1</v>
      </c>
      <c r="Y1855" s="184">
        <v>0</v>
      </c>
      <c r="Z1855" s="184">
        <v>1</v>
      </c>
      <c r="AA1855" s="184">
        <v>1</v>
      </c>
      <c r="AB1855" s="184">
        <v>1</v>
      </c>
      <c r="AC1855" s="316">
        <v>0</v>
      </c>
      <c r="AD1855" s="316">
        <v>1</v>
      </c>
      <c r="AE1855" s="302">
        <f t="shared" si="72"/>
        <v>0.75</v>
      </c>
      <c r="AF1855" s="186"/>
      <c r="AG1855" s="17">
        <v>0</v>
      </c>
      <c r="AH1855" s="186">
        <v>0</v>
      </c>
      <c r="AI1855" s="186" t="s">
        <v>271</v>
      </c>
      <c r="AJ1855" s="186">
        <v>0</v>
      </c>
      <c r="AK1855" s="187">
        <v>1</v>
      </c>
      <c r="AL1855" s="187">
        <v>1</v>
      </c>
      <c r="AM1855" s="147">
        <f t="shared" si="71"/>
        <v>2</v>
      </c>
      <c r="AN1855" s="184" t="s">
        <v>63</v>
      </c>
      <c r="AO1855" s="168" t="s">
        <v>2510</v>
      </c>
      <c r="AP1855" s="184" t="s">
        <v>119</v>
      </c>
    </row>
    <row r="1856" spans="1:42" s="184" customFormat="1" x14ac:dyDescent="0.3">
      <c r="A1856" s="183" t="s">
        <v>1453</v>
      </c>
      <c r="B1856" s="184" t="s">
        <v>2496</v>
      </c>
      <c r="C1856" s="183" t="s">
        <v>2498</v>
      </c>
      <c r="D1856" s="184" t="s">
        <v>2499</v>
      </c>
      <c r="E1856" s="183" t="s">
        <v>2926</v>
      </c>
      <c r="F1856" s="184" t="s">
        <v>2927</v>
      </c>
      <c r="G1856" s="183" t="s">
        <v>2979</v>
      </c>
      <c r="H1856" s="184" t="s">
        <v>2980</v>
      </c>
      <c r="J1856" s="188"/>
      <c r="K1856" s="183" t="s">
        <v>2993</v>
      </c>
      <c r="L1856" s="184" t="s">
        <v>2994</v>
      </c>
      <c r="M1856" s="168" t="s">
        <v>2999</v>
      </c>
      <c r="N1856" s="168">
        <v>0</v>
      </c>
      <c r="O1856" s="168">
        <v>1</v>
      </c>
      <c r="P1856" s="189">
        <v>1</v>
      </c>
      <c r="Q1856" s="189">
        <v>1</v>
      </c>
      <c r="R1856" s="189">
        <v>1</v>
      </c>
      <c r="S1856" s="189">
        <v>1</v>
      </c>
      <c r="T1856" s="184" t="s">
        <v>2661</v>
      </c>
      <c r="U1856" s="283" t="e">
        <v>#N/A</v>
      </c>
      <c r="V1856" s="184" t="s">
        <v>3000</v>
      </c>
      <c r="W1856" s="184">
        <v>1</v>
      </c>
      <c r="X1856" s="184">
        <v>1</v>
      </c>
      <c r="Y1856" s="184">
        <v>0</v>
      </c>
      <c r="Z1856" s="184">
        <v>1</v>
      </c>
      <c r="AA1856" s="184">
        <v>1</v>
      </c>
      <c r="AB1856" s="184">
        <v>1</v>
      </c>
      <c r="AC1856" s="316">
        <v>0</v>
      </c>
      <c r="AD1856" s="316">
        <v>1</v>
      </c>
      <c r="AE1856" s="302">
        <f t="shared" si="72"/>
        <v>0.75</v>
      </c>
      <c r="AF1856" s="186"/>
      <c r="AG1856" s="17">
        <v>0</v>
      </c>
      <c r="AH1856" s="186" t="s">
        <v>271</v>
      </c>
      <c r="AI1856" s="186" t="s">
        <v>271</v>
      </c>
      <c r="AJ1856" s="186" t="s">
        <v>271</v>
      </c>
      <c r="AK1856" s="187">
        <v>1</v>
      </c>
      <c r="AL1856" s="187">
        <v>1</v>
      </c>
      <c r="AM1856" s="147">
        <f t="shared" si="71"/>
        <v>2</v>
      </c>
      <c r="AN1856" s="184" t="s">
        <v>63</v>
      </c>
      <c r="AO1856" s="168" t="s">
        <v>2510</v>
      </c>
      <c r="AP1856" s="184" t="s">
        <v>119</v>
      </c>
    </row>
    <row r="1857" spans="1:42" s="184" customFormat="1" x14ac:dyDescent="0.3">
      <c r="A1857" s="183" t="s">
        <v>1453</v>
      </c>
      <c r="B1857" s="184" t="s">
        <v>2496</v>
      </c>
      <c r="C1857" s="183" t="s">
        <v>2498</v>
      </c>
      <c r="D1857" s="184" t="s">
        <v>2499</v>
      </c>
      <c r="E1857" s="183" t="s">
        <v>2926</v>
      </c>
      <c r="F1857" s="184" t="s">
        <v>2927</v>
      </c>
      <c r="G1857" s="183" t="s">
        <v>2979</v>
      </c>
      <c r="H1857" s="184" t="s">
        <v>2980</v>
      </c>
      <c r="J1857" s="188"/>
      <c r="K1857" s="183" t="s">
        <v>2993</v>
      </c>
      <c r="L1857" s="184" t="s">
        <v>2994</v>
      </c>
      <c r="M1857" s="168" t="s">
        <v>3001</v>
      </c>
      <c r="N1857" s="168"/>
      <c r="O1857" s="168" t="s">
        <v>271</v>
      </c>
      <c r="P1857" s="189">
        <v>0.3</v>
      </c>
      <c r="Q1857" s="189">
        <v>0.3</v>
      </c>
      <c r="R1857" s="189">
        <v>0.4</v>
      </c>
      <c r="S1857" s="189" t="s">
        <v>271</v>
      </c>
      <c r="T1857" s="184" t="s">
        <v>63</v>
      </c>
      <c r="U1857" s="283" t="s">
        <v>2510</v>
      </c>
      <c r="V1857" s="184" t="s">
        <v>3002</v>
      </c>
      <c r="W1857" s="184">
        <v>1</v>
      </c>
      <c r="X1857" s="184">
        <v>1</v>
      </c>
      <c r="Y1857" s="184">
        <v>0</v>
      </c>
      <c r="Z1857" s="184">
        <v>1</v>
      </c>
      <c r="AA1857" s="184">
        <v>1</v>
      </c>
      <c r="AB1857" s="184">
        <v>1</v>
      </c>
      <c r="AC1857" s="316">
        <v>0</v>
      </c>
      <c r="AD1857" s="316">
        <v>1</v>
      </c>
      <c r="AE1857" s="302">
        <f t="shared" si="72"/>
        <v>0.75</v>
      </c>
      <c r="AF1857" s="186"/>
      <c r="AG1857" s="17">
        <v>0</v>
      </c>
      <c r="AH1857" s="186">
        <v>0</v>
      </c>
      <c r="AI1857" s="186">
        <v>1</v>
      </c>
      <c r="AJ1857" s="186">
        <v>0</v>
      </c>
      <c r="AK1857" s="187">
        <v>0</v>
      </c>
      <c r="AL1857" s="187">
        <v>0</v>
      </c>
      <c r="AM1857" s="147">
        <f t="shared" si="71"/>
        <v>0</v>
      </c>
      <c r="AN1857" s="184" t="s">
        <v>63</v>
      </c>
      <c r="AO1857" s="168" t="s">
        <v>2510</v>
      </c>
      <c r="AP1857" s="184" t="s">
        <v>119</v>
      </c>
    </row>
    <row r="1858" spans="1:42" s="184" customFormat="1" x14ac:dyDescent="0.3">
      <c r="A1858" s="183" t="s">
        <v>1453</v>
      </c>
      <c r="B1858" s="184" t="s">
        <v>2496</v>
      </c>
      <c r="C1858" s="183" t="s">
        <v>3003</v>
      </c>
      <c r="D1858" s="184" t="s">
        <v>3004</v>
      </c>
      <c r="E1858" s="183" t="s">
        <v>3005</v>
      </c>
      <c r="F1858" s="184" t="s">
        <v>3006</v>
      </c>
      <c r="G1858" s="183" t="s">
        <v>3007</v>
      </c>
      <c r="H1858" s="184" t="s">
        <v>3008</v>
      </c>
      <c r="J1858" s="188"/>
      <c r="K1858" s="183" t="s">
        <v>3009</v>
      </c>
      <c r="L1858" s="184" t="s">
        <v>3010</v>
      </c>
      <c r="M1858" s="168" t="s">
        <v>3011</v>
      </c>
      <c r="N1858" s="168">
        <v>4</v>
      </c>
      <c r="O1858" s="168">
        <v>1</v>
      </c>
      <c r="P1858" s="189">
        <v>2</v>
      </c>
      <c r="Q1858" s="189">
        <v>1</v>
      </c>
      <c r="R1858" s="189">
        <v>1</v>
      </c>
      <c r="S1858" s="189">
        <v>1</v>
      </c>
      <c r="T1858" s="184" t="s">
        <v>63</v>
      </c>
      <c r="U1858" s="283" t="s">
        <v>2510</v>
      </c>
      <c r="V1858" s="184" t="s">
        <v>3012</v>
      </c>
      <c r="W1858" s="184">
        <v>1</v>
      </c>
      <c r="X1858" s="184">
        <v>1</v>
      </c>
      <c r="Y1858" s="184">
        <v>0</v>
      </c>
      <c r="Z1858" s="184">
        <v>1</v>
      </c>
      <c r="AA1858" s="184">
        <v>1</v>
      </c>
      <c r="AB1858" s="184">
        <v>1</v>
      </c>
      <c r="AC1858" s="316">
        <v>0</v>
      </c>
      <c r="AD1858" s="316">
        <v>1</v>
      </c>
      <c r="AE1858" s="302">
        <f t="shared" si="72"/>
        <v>0.75</v>
      </c>
      <c r="AF1858" s="186"/>
      <c r="AG1858" s="17">
        <v>0</v>
      </c>
      <c r="AH1858" s="186">
        <v>0.3</v>
      </c>
      <c r="AI1858" s="186">
        <v>0.15</v>
      </c>
      <c r="AJ1858" s="186">
        <v>0.15</v>
      </c>
      <c r="AK1858" s="187">
        <v>0.16</v>
      </c>
      <c r="AL1858" s="187">
        <v>0.2</v>
      </c>
      <c r="AM1858" s="147">
        <f t="shared" si="71"/>
        <v>0.36</v>
      </c>
      <c r="AN1858" s="184" t="s">
        <v>63</v>
      </c>
      <c r="AO1858" s="168" t="s">
        <v>2510</v>
      </c>
      <c r="AP1858" s="184" t="s">
        <v>119</v>
      </c>
    </row>
    <row r="1859" spans="1:42" s="184" customFormat="1" x14ac:dyDescent="0.3">
      <c r="A1859" s="183" t="s">
        <v>1453</v>
      </c>
      <c r="B1859" s="184" t="s">
        <v>2496</v>
      </c>
      <c r="C1859" s="183" t="s">
        <v>3003</v>
      </c>
      <c r="D1859" s="184" t="s">
        <v>3004</v>
      </c>
      <c r="E1859" s="183" t="s">
        <v>3005</v>
      </c>
      <c r="F1859" s="184" t="s">
        <v>3006</v>
      </c>
      <c r="G1859" s="183" t="s">
        <v>3007</v>
      </c>
      <c r="H1859" s="184" t="s">
        <v>3008</v>
      </c>
      <c r="I1859" s="188"/>
      <c r="J1859" s="188"/>
      <c r="K1859" s="183" t="s">
        <v>3013</v>
      </c>
      <c r="L1859" s="184" t="s">
        <v>3014</v>
      </c>
      <c r="M1859" s="168" t="s">
        <v>3015</v>
      </c>
      <c r="N1859" s="168"/>
      <c r="O1859" s="168">
        <v>3</v>
      </c>
      <c r="P1859" s="189">
        <v>2</v>
      </c>
      <c r="Q1859" s="189">
        <v>2</v>
      </c>
      <c r="R1859" s="189">
        <v>2</v>
      </c>
      <c r="S1859" s="189">
        <v>4</v>
      </c>
      <c r="T1859" s="184" t="s">
        <v>63</v>
      </c>
      <c r="U1859" s="283" t="s">
        <v>2510</v>
      </c>
      <c r="V1859" s="184" t="s">
        <v>3016</v>
      </c>
      <c r="W1859" s="184">
        <v>1</v>
      </c>
      <c r="X1859" s="184">
        <v>1</v>
      </c>
      <c r="Y1859" s="184">
        <v>0</v>
      </c>
      <c r="Z1859" s="184">
        <v>1</v>
      </c>
      <c r="AA1859" s="184">
        <v>1</v>
      </c>
      <c r="AB1859" s="184">
        <v>1</v>
      </c>
      <c r="AC1859" s="316">
        <v>0</v>
      </c>
      <c r="AD1859" s="316">
        <v>1</v>
      </c>
      <c r="AE1859" s="302">
        <f t="shared" si="72"/>
        <v>0.75</v>
      </c>
      <c r="AF1859" s="186"/>
      <c r="AG1859" s="17">
        <v>0</v>
      </c>
      <c r="AH1859" s="186">
        <v>0</v>
      </c>
      <c r="AI1859" s="186">
        <v>0</v>
      </c>
      <c r="AJ1859" s="186">
        <v>0</v>
      </c>
      <c r="AK1859" s="187">
        <v>0</v>
      </c>
      <c r="AL1859" s="187">
        <v>3.5</v>
      </c>
      <c r="AM1859" s="147">
        <f t="shared" si="71"/>
        <v>3.5</v>
      </c>
      <c r="AN1859" s="184" t="s">
        <v>63</v>
      </c>
      <c r="AO1859" s="168" t="s">
        <v>2510</v>
      </c>
      <c r="AP1859" s="184" t="s">
        <v>119</v>
      </c>
    </row>
    <row r="1860" spans="1:42" s="184" customFormat="1" x14ac:dyDescent="0.3">
      <c r="A1860" s="183" t="s">
        <v>1453</v>
      </c>
      <c r="B1860" s="184" t="s">
        <v>2496</v>
      </c>
      <c r="C1860" s="183" t="s">
        <v>3003</v>
      </c>
      <c r="D1860" s="184" t="s">
        <v>3004</v>
      </c>
      <c r="E1860" s="183" t="s">
        <v>3005</v>
      </c>
      <c r="F1860" s="184" t="s">
        <v>3006</v>
      </c>
      <c r="G1860" s="183" t="s">
        <v>3007</v>
      </c>
      <c r="H1860" s="184" t="s">
        <v>3008</v>
      </c>
      <c r="K1860" s="183" t="s">
        <v>3013</v>
      </c>
      <c r="L1860" s="184" t="s">
        <v>3014</v>
      </c>
      <c r="M1860" s="168" t="s">
        <v>3017</v>
      </c>
      <c r="N1860" s="446"/>
      <c r="O1860" s="446">
        <v>2</v>
      </c>
      <c r="P1860" s="185" t="s">
        <v>271</v>
      </c>
      <c r="Q1860" s="185" t="s">
        <v>271</v>
      </c>
      <c r="R1860" s="185" t="s">
        <v>271</v>
      </c>
      <c r="S1860" s="185">
        <v>1</v>
      </c>
      <c r="T1860" s="184" t="s">
        <v>2528</v>
      </c>
      <c r="U1860" s="283" t="s">
        <v>2530</v>
      </c>
      <c r="V1860" s="184" t="s">
        <v>3016</v>
      </c>
      <c r="W1860" s="184">
        <v>1</v>
      </c>
      <c r="X1860" s="184">
        <v>1</v>
      </c>
      <c r="Y1860" s="184">
        <v>0</v>
      </c>
      <c r="Z1860" s="184">
        <v>1</v>
      </c>
      <c r="AA1860" s="184">
        <v>1</v>
      </c>
      <c r="AB1860" s="184">
        <v>1</v>
      </c>
      <c r="AC1860" s="316">
        <v>0</v>
      </c>
      <c r="AD1860" s="316">
        <v>1</v>
      </c>
      <c r="AE1860" s="302">
        <f t="shared" si="72"/>
        <v>0.75</v>
      </c>
      <c r="AF1860" s="186"/>
      <c r="AG1860" s="17">
        <v>0</v>
      </c>
      <c r="AH1860" s="186">
        <v>0.7</v>
      </c>
      <c r="AI1860" s="186" t="s">
        <v>271</v>
      </c>
      <c r="AJ1860" s="186" t="s">
        <v>271</v>
      </c>
      <c r="AK1860" s="187" t="s">
        <v>271</v>
      </c>
      <c r="AL1860" s="187">
        <v>0.3</v>
      </c>
      <c r="AM1860" s="147">
        <f t="shared" si="71"/>
        <v>0.3</v>
      </c>
      <c r="AN1860" s="184" t="s">
        <v>2528</v>
      </c>
      <c r="AO1860" s="168" t="s">
        <v>2530</v>
      </c>
      <c r="AP1860" s="184" t="s">
        <v>119</v>
      </c>
    </row>
    <row r="1861" spans="1:42" s="184" customFormat="1" x14ac:dyDescent="0.3">
      <c r="A1861" s="183" t="s">
        <v>1453</v>
      </c>
      <c r="B1861" s="184" t="s">
        <v>2496</v>
      </c>
      <c r="C1861" s="183" t="s">
        <v>3003</v>
      </c>
      <c r="D1861" s="184" t="s">
        <v>3004</v>
      </c>
      <c r="E1861" s="183" t="s">
        <v>3005</v>
      </c>
      <c r="F1861" s="184" t="s">
        <v>3006</v>
      </c>
      <c r="G1861" s="183" t="s">
        <v>3007</v>
      </c>
      <c r="H1861" s="184" t="s">
        <v>3008</v>
      </c>
      <c r="J1861" s="188"/>
      <c r="K1861" s="183" t="s">
        <v>3013</v>
      </c>
      <c r="L1861" s="184" t="s">
        <v>3014</v>
      </c>
      <c r="M1861" s="168" t="s">
        <v>3018</v>
      </c>
      <c r="N1861" s="168"/>
      <c r="O1861" s="168">
        <v>1</v>
      </c>
      <c r="P1861" s="189" t="s">
        <v>271</v>
      </c>
      <c r="Q1861" s="189" t="s">
        <v>271</v>
      </c>
      <c r="R1861" s="189" t="s">
        <v>271</v>
      </c>
      <c r="S1861" s="189">
        <v>1</v>
      </c>
      <c r="T1861" s="184" t="s">
        <v>2507</v>
      </c>
      <c r="U1861" s="283" t="e">
        <v>#N/A</v>
      </c>
      <c r="V1861" s="184" t="s">
        <v>3016</v>
      </c>
      <c r="W1861" s="184">
        <v>1</v>
      </c>
      <c r="X1861" s="184">
        <v>1</v>
      </c>
      <c r="Y1861" s="184">
        <v>0</v>
      </c>
      <c r="Z1861" s="184">
        <v>1</v>
      </c>
      <c r="AA1861" s="184">
        <v>1</v>
      </c>
      <c r="AB1861" s="184">
        <v>1</v>
      </c>
      <c r="AC1861" s="316">
        <v>0</v>
      </c>
      <c r="AD1861" s="316">
        <v>1</v>
      </c>
      <c r="AE1861" s="302">
        <f t="shared" si="72"/>
        <v>0.75</v>
      </c>
      <c r="AF1861" s="186"/>
      <c r="AG1861" s="17">
        <v>0</v>
      </c>
      <c r="AH1861" s="186">
        <v>0.3</v>
      </c>
      <c r="AI1861" s="186" t="s">
        <v>271</v>
      </c>
      <c r="AJ1861" s="186" t="s">
        <v>271</v>
      </c>
      <c r="AK1861" s="187" t="s">
        <v>271</v>
      </c>
      <c r="AL1861" s="187">
        <v>0.3</v>
      </c>
      <c r="AM1861" s="147">
        <f t="shared" si="71"/>
        <v>0.3</v>
      </c>
      <c r="AN1861" s="184" t="s">
        <v>2509</v>
      </c>
      <c r="AO1861" s="168" t="s">
        <v>2510</v>
      </c>
      <c r="AP1861" s="184" t="s">
        <v>119</v>
      </c>
    </row>
    <row r="1862" spans="1:42" s="184" customFormat="1" x14ac:dyDescent="0.3">
      <c r="A1862" s="183" t="s">
        <v>1453</v>
      </c>
      <c r="B1862" s="184" t="s">
        <v>2496</v>
      </c>
      <c r="C1862" s="183" t="s">
        <v>3003</v>
      </c>
      <c r="D1862" s="184" t="s">
        <v>3004</v>
      </c>
      <c r="E1862" s="183" t="s">
        <v>3005</v>
      </c>
      <c r="F1862" s="184" t="s">
        <v>3006</v>
      </c>
      <c r="G1862" s="183" t="s">
        <v>3007</v>
      </c>
      <c r="H1862" s="184" t="s">
        <v>3008</v>
      </c>
      <c r="J1862" s="188"/>
      <c r="K1862" s="183" t="s">
        <v>3013</v>
      </c>
      <c r="L1862" s="184" t="s">
        <v>3014</v>
      </c>
      <c r="M1862" s="168" t="s">
        <v>3019</v>
      </c>
      <c r="N1862" s="168"/>
      <c r="O1862" s="168">
        <v>1</v>
      </c>
      <c r="P1862" s="189" t="s">
        <v>271</v>
      </c>
      <c r="Q1862" s="189" t="s">
        <v>271</v>
      </c>
      <c r="R1862" s="189" t="s">
        <v>271</v>
      </c>
      <c r="S1862" s="189">
        <v>1</v>
      </c>
      <c r="T1862" s="184" t="s">
        <v>2815</v>
      </c>
      <c r="U1862" s="283" t="s">
        <v>2817</v>
      </c>
      <c r="V1862" s="184" t="s">
        <v>3016</v>
      </c>
      <c r="W1862" s="184">
        <v>1</v>
      </c>
      <c r="X1862" s="184">
        <v>1</v>
      </c>
      <c r="Y1862" s="184">
        <v>0</v>
      </c>
      <c r="Z1862" s="184">
        <v>1</v>
      </c>
      <c r="AA1862" s="184">
        <v>1</v>
      </c>
      <c r="AB1862" s="184">
        <v>1</v>
      </c>
      <c r="AC1862" s="316">
        <v>0</v>
      </c>
      <c r="AD1862" s="316">
        <v>1</v>
      </c>
      <c r="AE1862" s="302">
        <f t="shared" si="72"/>
        <v>0.75</v>
      </c>
      <c r="AF1862" s="186"/>
      <c r="AG1862" s="17">
        <v>0</v>
      </c>
      <c r="AH1862" s="186">
        <v>0.3</v>
      </c>
      <c r="AI1862" s="186" t="s">
        <v>271</v>
      </c>
      <c r="AJ1862" s="186" t="s">
        <v>271</v>
      </c>
      <c r="AK1862" s="187" t="s">
        <v>271</v>
      </c>
      <c r="AL1862" s="187">
        <v>0.3</v>
      </c>
      <c r="AM1862" s="147">
        <f t="shared" si="71"/>
        <v>0.3</v>
      </c>
      <c r="AN1862" s="184" t="s">
        <v>2815</v>
      </c>
      <c r="AO1862" s="168" t="s">
        <v>2817</v>
      </c>
      <c r="AP1862" s="184" t="s">
        <v>119</v>
      </c>
    </row>
    <row r="1863" spans="1:42" s="184" customFormat="1" x14ac:dyDescent="0.3">
      <c r="A1863" s="183" t="s">
        <v>1453</v>
      </c>
      <c r="B1863" s="184" t="s">
        <v>2496</v>
      </c>
      <c r="C1863" s="183" t="s">
        <v>3003</v>
      </c>
      <c r="D1863" s="184" t="s">
        <v>3004</v>
      </c>
      <c r="E1863" s="183" t="s">
        <v>3005</v>
      </c>
      <c r="F1863" s="184" t="s">
        <v>3006</v>
      </c>
      <c r="G1863" s="183" t="s">
        <v>3007</v>
      </c>
      <c r="H1863" s="184" t="s">
        <v>3008</v>
      </c>
      <c r="J1863" s="188"/>
      <c r="K1863" s="183" t="s">
        <v>3013</v>
      </c>
      <c r="L1863" s="184" t="s">
        <v>3014</v>
      </c>
      <c r="M1863" s="168" t="s">
        <v>3020</v>
      </c>
      <c r="N1863" s="168"/>
      <c r="O1863" s="168">
        <v>1</v>
      </c>
      <c r="P1863" s="189" t="s">
        <v>271</v>
      </c>
      <c r="Q1863" s="189" t="s">
        <v>271</v>
      </c>
      <c r="R1863" s="189" t="s">
        <v>271</v>
      </c>
      <c r="S1863" s="189">
        <v>1</v>
      </c>
      <c r="T1863" s="184" t="s">
        <v>2518</v>
      </c>
      <c r="U1863" s="283" t="e">
        <v>#N/A</v>
      </c>
      <c r="V1863" s="184" t="s">
        <v>3016</v>
      </c>
      <c r="W1863" s="184">
        <v>1</v>
      </c>
      <c r="X1863" s="184">
        <v>1</v>
      </c>
      <c r="Y1863" s="184">
        <v>0</v>
      </c>
      <c r="Z1863" s="184">
        <v>1</v>
      </c>
      <c r="AA1863" s="184">
        <v>1</v>
      </c>
      <c r="AB1863" s="184">
        <v>1</v>
      </c>
      <c r="AC1863" s="316">
        <v>0</v>
      </c>
      <c r="AD1863" s="316">
        <v>1</v>
      </c>
      <c r="AE1863" s="302">
        <f t="shared" si="72"/>
        <v>0.75</v>
      </c>
      <c r="AF1863" s="186"/>
      <c r="AG1863" s="17">
        <v>0</v>
      </c>
      <c r="AH1863" s="186">
        <v>0.3</v>
      </c>
      <c r="AI1863" s="186" t="s">
        <v>271</v>
      </c>
      <c r="AJ1863" s="186" t="s">
        <v>271</v>
      </c>
      <c r="AK1863" s="187" t="s">
        <v>271</v>
      </c>
      <c r="AL1863" s="187">
        <v>0.3</v>
      </c>
      <c r="AM1863" s="147">
        <f t="shared" si="71"/>
        <v>0.3</v>
      </c>
      <c r="AN1863" s="184" t="s">
        <v>2520</v>
      </c>
      <c r="AO1863" s="168" t="s">
        <v>2510</v>
      </c>
      <c r="AP1863" s="186" t="s">
        <v>2514</v>
      </c>
    </row>
    <row r="1864" spans="1:42" s="184" customFormat="1" x14ac:dyDescent="0.3">
      <c r="A1864" s="183" t="s">
        <v>1453</v>
      </c>
      <c r="B1864" s="184" t="s">
        <v>2496</v>
      </c>
      <c r="C1864" s="183" t="s">
        <v>3003</v>
      </c>
      <c r="D1864" s="184" t="s">
        <v>3004</v>
      </c>
      <c r="E1864" s="183" t="s">
        <v>3005</v>
      </c>
      <c r="F1864" s="184" t="s">
        <v>3006</v>
      </c>
      <c r="G1864" s="183" t="s">
        <v>3007</v>
      </c>
      <c r="H1864" s="184" t="s">
        <v>3008</v>
      </c>
      <c r="J1864" s="188"/>
      <c r="K1864" s="183" t="s">
        <v>3013</v>
      </c>
      <c r="L1864" s="184" t="s">
        <v>3014</v>
      </c>
      <c r="M1864" s="168" t="s">
        <v>3021</v>
      </c>
      <c r="N1864" s="168"/>
      <c r="O1864" s="168">
        <v>1</v>
      </c>
      <c r="P1864" s="189" t="s">
        <v>271</v>
      </c>
      <c r="Q1864" s="189" t="s">
        <v>271</v>
      </c>
      <c r="R1864" s="189" t="s">
        <v>271</v>
      </c>
      <c r="S1864" s="189">
        <v>1</v>
      </c>
      <c r="T1864" s="184" t="s">
        <v>2571</v>
      </c>
      <c r="U1864" s="283" t="s">
        <v>2573</v>
      </c>
      <c r="V1864" s="184" t="s">
        <v>3016</v>
      </c>
      <c r="W1864" s="184">
        <v>1</v>
      </c>
      <c r="X1864" s="184">
        <v>1</v>
      </c>
      <c r="Y1864" s="184">
        <v>0</v>
      </c>
      <c r="Z1864" s="184">
        <v>1</v>
      </c>
      <c r="AA1864" s="184">
        <v>1</v>
      </c>
      <c r="AB1864" s="184">
        <v>1</v>
      </c>
      <c r="AC1864" s="316">
        <v>0</v>
      </c>
      <c r="AD1864" s="316">
        <v>1</v>
      </c>
      <c r="AE1864" s="302">
        <f t="shared" si="72"/>
        <v>0.75</v>
      </c>
      <c r="AF1864" s="186"/>
      <c r="AG1864" s="17">
        <v>0</v>
      </c>
      <c r="AH1864" s="186">
        <v>0.3</v>
      </c>
      <c r="AI1864" s="186" t="s">
        <v>271</v>
      </c>
      <c r="AJ1864" s="186" t="s">
        <v>271</v>
      </c>
      <c r="AK1864" s="187" t="s">
        <v>271</v>
      </c>
      <c r="AL1864" s="187">
        <v>0.3</v>
      </c>
      <c r="AM1864" s="147">
        <f t="shared" si="71"/>
        <v>0.3</v>
      </c>
      <c r="AN1864" s="184" t="s">
        <v>2571</v>
      </c>
      <c r="AO1864" s="168" t="s">
        <v>2573</v>
      </c>
      <c r="AP1864" s="186" t="s">
        <v>2514</v>
      </c>
    </row>
    <row r="1865" spans="1:42" s="184" customFormat="1" x14ac:dyDescent="0.3">
      <c r="A1865" s="183" t="s">
        <v>1453</v>
      </c>
      <c r="B1865" s="184" t="s">
        <v>2496</v>
      </c>
      <c r="C1865" s="183" t="s">
        <v>3003</v>
      </c>
      <c r="D1865" s="184" t="s">
        <v>3004</v>
      </c>
      <c r="E1865" s="183" t="s">
        <v>3005</v>
      </c>
      <c r="F1865" s="184" t="s">
        <v>3006</v>
      </c>
      <c r="G1865" s="183" t="s">
        <v>3007</v>
      </c>
      <c r="H1865" s="184" t="s">
        <v>3008</v>
      </c>
      <c r="J1865" s="188"/>
      <c r="K1865" s="183" t="s">
        <v>3013</v>
      </c>
      <c r="L1865" s="184" t="s">
        <v>3014</v>
      </c>
      <c r="M1865" s="168" t="s">
        <v>3022</v>
      </c>
      <c r="N1865" s="168"/>
      <c r="O1865" s="168">
        <v>1</v>
      </c>
      <c r="P1865" s="189" t="s">
        <v>271</v>
      </c>
      <c r="Q1865" s="189" t="s">
        <v>271</v>
      </c>
      <c r="R1865" s="189" t="s">
        <v>271</v>
      </c>
      <c r="S1865" s="189">
        <v>1</v>
      </c>
      <c r="T1865" s="184" t="s">
        <v>2889</v>
      </c>
      <c r="U1865" s="283" t="e">
        <v>#N/A</v>
      </c>
      <c r="V1865" s="184" t="s">
        <v>3016</v>
      </c>
      <c r="W1865" s="184">
        <v>1</v>
      </c>
      <c r="X1865" s="184">
        <v>1</v>
      </c>
      <c r="Y1865" s="184">
        <v>0</v>
      </c>
      <c r="Z1865" s="184">
        <v>1</v>
      </c>
      <c r="AA1865" s="184">
        <v>1</v>
      </c>
      <c r="AB1865" s="184">
        <v>1</v>
      </c>
      <c r="AC1865" s="316">
        <v>0</v>
      </c>
      <c r="AD1865" s="316">
        <v>1</v>
      </c>
      <c r="AE1865" s="302">
        <f t="shared" si="72"/>
        <v>0.75</v>
      </c>
      <c r="AF1865" s="186"/>
      <c r="AG1865" s="17">
        <v>0</v>
      </c>
      <c r="AH1865" s="186">
        <v>0.3</v>
      </c>
      <c r="AI1865" s="186" t="s">
        <v>271</v>
      </c>
      <c r="AJ1865" s="186" t="s">
        <v>271</v>
      </c>
      <c r="AK1865" s="187" t="s">
        <v>271</v>
      </c>
      <c r="AL1865" s="187">
        <v>0.3</v>
      </c>
      <c r="AM1865" s="147">
        <f t="shared" si="71"/>
        <v>0.3</v>
      </c>
      <c r="AN1865" s="184" t="s">
        <v>2641</v>
      </c>
      <c r="AO1865" s="168" t="s">
        <v>2510</v>
      </c>
      <c r="AP1865" s="184" t="s">
        <v>119</v>
      </c>
    </row>
    <row r="1866" spans="1:42" s="184" customFormat="1" x14ac:dyDescent="0.3">
      <c r="A1866" s="183" t="s">
        <v>1453</v>
      </c>
      <c r="B1866" s="184" t="s">
        <v>2496</v>
      </c>
      <c r="C1866" s="183" t="s">
        <v>3003</v>
      </c>
      <c r="D1866" s="184" t="s">
        <v>3004</v>
      </c>
      <c r="E1866" s="183" t="s">
        <v>3005</v>
      </c>
      <c r="F1866" s="184" t="s">
        <v>3006</v>
      </c>
      <c r="G1866" s="183" t="s">
        <v>3007</v>
      </c>
      <c r="H1866" s="184" t="s">
        <v>3008</v>
      </c>
      <c r="J1866" s="188"/>
      <c r="K1866" s="183" t="s">
        <v>3023</v>
      </c>
      <c r="L1866" s="184" t="s">
        <v>3024</v>
      </c>
      <c r="M1866" s="168" t="s">
        <v>3025</v>
      </c>
      <c r="N1866" s="168"/>
      <c r="O1866" s="168">
        <v>2</v>
      </c>
      <c r="P1866" s="189">
        <v>5</v>
      </c>
      <c r="Q1866" s="189">
        <v>5</v>
      </c>
      <c r="R1866" s="189">
        <v>1</v>
      </c>
      <c r="S1866" s="189">
        <v>1</v>
      </c>
      <c r="T1866" s="184" t="s">
        <v>63</v>
      </c>
      <c r="U1866" s="283" t="s">
        <v>2510</v>
      </c>
      <c r="V1866" s="184" t="s">
        <v>3026</v>
      </c>
      <c r="W1866" s="184">
        <v>1</v>
      </c>
      <c r="X1866" s="184">
        <v>1</v>
      </c>
      <c r="Y1866" s="184">
        <v>0</v>
      </c>
      <c r="Z1866" s="184">
        <v>1</v>
      </c>
      <c r="AA1866" s="184">
        <v>1</v>
      </c>
      <c r="AB1866" s="184">
        <v>1</v>
      </c>
      <c r="AC1866" s="316">
        <v>0</v>
      </c>
      <c r="AD1866" s="316">
        <v>1</v>
      </c>
      <c r="AE1866" s="302">
        <f t="shared" si="72"/>
        <v>0.75</v>
      </c>
      <c r="AF1866" s="186"/>
      <c r="AG1866" s="17">
        <v>0</v>
      </c>
      <c r="AH1866" s="186">
        <v>0.5</v>
      </c>
      <c r="AI1866" s="186">
        <v>0</v>
      </c>
      <c r="AJ1866" s="186">
        <v>0</v>
      </c>
      <c r="AK1866" s="187">
        <v>0</v>
      </c>
      <c r="AL1866" s="187">
        <v>0.6</v>
      </c>
      <c r="AM1866" s="147">
        <f t="shared" si="71"/>
        <v>0.6</v>
      </c>
      <c r="AN1866" s="184" t="s">
        <v>63</v>
      </c>
      <c r="AO1866" s="168" t="s">
        <v>2510</v>
      </c>
      <c r="AP1866" s="184" t="s">
        <v>119</v>
      </c>
    </row>
    <row r="1867" spans="1:42" s="184" customFormat="1" x14ac:dyDescent="0.3">
      <c r="A1867" s="183" t="s">
        <v>1453</v>
      </c>
      <c r="B1867" s="184" t="s">
        <v>2496</v>
      </c>
      <c r="C1867" s="183" t="s">
        <v>3003</v>
      </c>
      <c r="D1867" s="184" t="s">
        <v>3004</v>
      </c>
      <c r="E1867" s="183" t="s">
        <v>3005</v>
      </c>
      <c r="F1867" s="184" t="s">
        <v>3006</v>
      </c>
      <c r="G1867" s="183" t="s">
        <v>3007</v>
      </c>
      <c r="H1867" s="184" t="s">
        <v>3008</v>
      </c>
      <c r="J1867" s="188"/>
      <c r="K1867" s="183" t="s">
        <v>3027</v>
      </c>
      <c r="L1867" s="184" t="s">
        <v>3028</v>
      </c>
      <c r="M1867" s="168" t="s">
        <v>3029</v>
      </c>
      <c r="N1867" s="168"/>
      <c r="O1867" s="168">
        <v>0</v>
      </c>
      <c r="P1867" s="189">
        <v>2</v>
      </c>
      <c r="Q1867" s="189">
        <v>3</v>
      </c>
      <c r="R1867" s="189">
        <v>2</v>
      </c>
      <c r="S1867" s="189" t="s">
        <v>271</v>
      </c>
      <c r="T1867" s="184" t="s">
        <v>63</v>
      </c>
      <c r="U1867" s="283" t="s">
        <v>2510</v>
      </c>
      <c r="V1867" s="184" t="s">
        <v>3030</v>
      </c>
      <c r="W1867" s="184">
        <v>1</v>
      </c>
      <c r="X1867" s="184">
        <v>1</v>
      </c>
      <c r="Y1867" s="184">
        <v>0</v>
      </c>
      <c r="Z1867" s="184">
        <v>1</v>
      </c>
      <c r="AA1867" s="184">
        <v>1</v>
      </c>
      <c r="AB1867" s="184">
        <v>1</v>
      </c>
      <c r="AC1867" s="316">
        <v>0</v>
      </c>
      <c r="AD1867" s="316">
        <v>1</v>
      </c>
      <c r="AE1867" s="302">
        <f t="shared" si="72"/>
        <v>0.75</v>
      </c>
      <c r="AF1867" s="186"/>
      <c r="AG1867" s="17">
        <v>0</v>
      </c>
      <c r="AH1867" s="186">
        <v>0</v>
      </c>
      <c r="AI1867" s="186">
        <v>0</v>
      </c>
      <c r="AJ1867" s="186">
        <v>6</v>
      </c>
      <c r="AK1867" s="187">
        <v>0</v>
      </c>
      <c r="AL1867" s="187">
        <v>1</v>
      </c>
      <c r="AM1867" s="147">
        <f t="shared" si="71"/>
        <v>1</v>
      </c>
      <c r="AN1867" s="184" t="s">
        <v>63</v>
      </c>
      <c r="AO1867" s="168" t="s">
        <v>2510</v>
      </c>
      <c r="AP1867" s="184" t="s">
        <v>119</v>
      </c>
    </row>
    <row r="1868" spans="1:42" s="184" customFormat="1" x14ac:dyDescent="0.3">
      <c r="A1868" s="183" t="s">
        <v>1453</v>
      </c>
      <c r="B1868" s="184" t="s">
        <v>2496</v>
      </c>
      <c r="C1868" s="183" t="s">
        <v>3003</v>
      </c>
      <c r="D1868" s="184" t="s">
        <v>3004</v>
      </c>
      <c r="E1868" s="183" t="s">
        <v>3005</v>
      </c>
      <c r="F1868" s="184" t="s">
        <v>3006</v>
      </c>
      <c r="G1868" s="183" t="s">
        <v>3031</v>
      </c>
      <c r="H1868" s="184" t="s">
        <v>3032</v>
      </c>
      <c r="J1868" s="188"/>
      <c r="K1868" s="183" t="s">
        <v>3033</v>
      </c>
      <c r="L1868" s="184" t="s">
        <v>3034</v>
      </c>
      <c r="M1868" s="168" t="s">
        <v>3035</v>
      </c>
      <c r="N1868" s="168">
        <v>20000</v>
      </c>
      <c r="O1868" s="168">
        <v>22000</v>
      </c>
      <c r="P1868" s="189">
        <v>25000</v>
      </c>
      <c r="Q1868" s="189">
        <v>28000</v>
      </c>
      <c r="R1868" s="189">
        <v>30000</v>
      </c>
      <c r="S1868" s="189">
        <v>35000</v>
      </c>
      <c r="T1868" s="184" t="s">
        <v>63</v>
      </c>
      <c r="U1868" s="283" t="s">
        <v>2510</v>
      </c>
      <c r="V1868" s="184" t="s">
        <v>3036</v>
      </c>
      <c r="W1868" s="184">
        <v>1</v>
      </c>
      <c r="X1868" s="184">
        <v>1</v>
      </c>
      <c r="Y1868" s="184">
        <v>1</v>
      </c>
      <c r="Z1868" s="184">
        <v>1</v>
      </c>
      <c r="AA1868" s="184">
        <v>1</v>
      </c>
      <c r="AB1868" s="184">
        <v>1</v>
      </c>
      <c r="AC1868" s="316">
        <v>0</v>
      </c>
      <c r="AD1868" s="316">
        <v>1</v>
      </c>
      <c r="AE1868" s="302">
        <f t="shared" si="72"/>
        <v>0.875</v>
      </c>
      <c r="AF1868" s="186"/>
      <c r="AG1868" s="17">
        <v>0</v>
      </c>
      <c r="AH1868" s="186">
        <v>0.1</v>
      </c>
      <c r="AI1868" s="186">
        <v>0.1</v>
      </c>
      <c r="AJ1868" s="186">
        <v>0.15</v>
      </c>
      <c r="AK1868" s="187">
        <v>0.16</v>
      </c>
      <c r="AL1868" s="187">
        <v>0.17</v>
      </c>
      <c r="AM1868" s="147">
        <f t="shared" si="71"/>
        <v>0.33</v>
      </c>
      <c r="AN1868" s="184" t="s">
        <v>63</v>
      </c>
      <c r="AO1868" s="168" t="s">
        <v>2510</v>
      </c>
      <c r="AP1868" s="184" t="s">
        <v>119</v>
      </c>
    </row>
    <row r="1869" spans="1:42" s="184" customFormat="1" x14ac:dyDescent="0.3">
      <c r="A1869" s="183" t="s">
        <v>1453</v>
      </c>
      <c r="B1869" s="184" t="s">
        <v>2496</v>
      </c>
      <c r="C1869" s="183" t="s">
        <v>3003</v>
      </c>
      <c r="D1869" s="184" t="s">
        <v>3004</v>
      </c>
      <c r="E1869" s="183" t="s">
        <v>3005</v>
      </c>
      <c r="F1869" s="184" t="s">
        <v>3006</v>
      </c>
      <c r="G1869" s="183" t="s">
        <v>3031</v>
      </c>
      <c r="H1869" s="184" t="s">
        <v>3032</v>
      </c>
      <c r="J1869" s="188"/>
      <c r="K1869" s="183" t="s">
        <v>3033</v>
      </c>
      <c r="L1869" s="184" t="s">
        <v>3034</v>
      </c>
      <c r="M1869" s="168" t="s">
        <v>3037</v>
      </c>
      <c r="N1869" s="168" t="s">
        <v>271</v>
      </c>
      <c r="O1869" s="168">
        <v>300</v>
      </c>
      <c r="P1869" s="189">
        <v>5000</v>
      </c>
      <c r="Q1869" s="189">
        <v>10000</v>
      </c>
      <c r="R1869" s="189">
        <v>15000</v>
      </c>
      <c r="S1869" s="189">
        <v>20000</v>
      </c>
      <c r="T1869" s="184" t="s">
        <v>63</v>
      </c>
      <c r="U1869" s="283" t="s">
        <v>2510</v>
      </c>
      <c r="V1869" s="184" t="s">
        <v>3038</v>
      </c>
      <c r="W1869" s="184">
        <v>1</v>
      </c>
      <c r="X1869" s="184">
        <v>1</v>
      </c>
      <c r="Y1869" s="184">
        <v>1</v>
      </c>
      <c r="Z1869" s="184">
        <v>1</v>
      </c>
      <c r="AA1869" s="184">
        <v>1</v>
      </c>
      <c r="AB1869" s="184">
        <v>1</v>
      </c>
      <c r="AC1869" s="316">
        <v>0</v>
      </c>
      <c r="AD1869" s="316">
        <v>1</v>
      </c>
      <c r="AE1869" s="302">
        <f t="shared" si="72"/>
        <v>0.875</v>
      </c>
      <c r="AF1869" s="186"/>
      <c r="AG1869" s="17">
        <v>0</v>
      </c>
      <c r="AH1869" s="186">
        <v>0.15</v>
      </c>
      <c r="AI1869" s="186">
        <v>0.16</v>
      </c>
      <c r="AJ1869" s="186">
        <v>0.2</v>
      </c>
      <c r="AK1869" s="187">
        <v>0.5</v>
      </c>
      <c r="AL1869" s="187">
        <v>1.6</v>
      </c>
      <c r="AM1869" s="147">
        <f t="shared" si="71"/>
        <v>2.1</v>
      </c>
      <c r="AN1869" s="184" t="s">
        <v>63</v>
      </c>
      <c r="AO1869" s="168" t="s">
        <v>2510</v>
      </c>
      <c r="AP1869" s="184" t="s">
        <v>119</v>
      </c>
    </row>
    <row r="1870" spans="1:42" s="184" customFormat="1" x14ac:dyDescent="0.3">
      <c r="A1870" s="183" t="s">
        <v>1453</v>
      </c>
      <c r="B1870" s="184" t="s">
        <v>2496</v>
      </c>
      <c r="C1870" s="183" t="s">
        <v>3003</v>
      </c>
      <c r="D1870" s="184" t="s">
        <v>3004</v>
      </c>
      <c r="E1870" s="183" t="s">
        <v>3005</v>
      </c>
      <c r="F1870" s="184" t="s">
        <v>3006</v>
      </c>
      <c r="G1870" s="183" t="s">
        <v>3031</v>
      </c>
      <c r="H1870" s="184" t="s">
        <v>3032</v>
      </c>
      <c r="J1870" s="188"/>
      <c r="K1870" s="183" t="s">
        <v>3033</v>
      </c>
      <c r="L1870" s="184" t="s">
        <v>3034</v>
      </c>
      <c r="M1870" s="168" t="s">
        <v>3039</v>
      </c>
      <c r="N1870" s="168">
        <v>270000</v>
      </c>
      <c r="O1870" s="168">
        <v>300000</v>
      </c>
      <c r="P1870" s="189">
        <v>305000</v>
      </c>
      <c r="Q1870" s="189">
        <v>310000</v>
      </c>
      <c r="R1870" s="189">
        <v>315000</v>
      </c>
      <c r="S1870" s="189">
        <v>320000</v>
      </c>
      <c r="T1870" s="184" t="s">
        <v>63</v>
      </c>
      <c r="U1870" s="283" t="s">
        <v>2510</v>
      </c>
      <c r="V1870" s="184" t="s">
        <v>3040</v>
      </c>
      <c r="W1870" s="184">
        <v>1</v>
      </c>
      <c r="X1870" s="184">
        <v>1</v>
      </c>
      <c r="Y1870" s="184">
        <v>1</v>
      </c>
      <c r="Z1870" s="184">
        <v>1</v>
      </c>
      <c r="AA1870" s="184">
        <v>1</v>
      </c>
      <c r="AB1870" s="184">
        <v>1</v>
      </c>
      <c r="AC1870" s="316">
        <v>0</v>
      </c>
      <c r="AD1870" s="316">
        <v>1</v>
      </c>
      <c r="AE1870" s="302">
        <f t="shared" si="72"/>
        <v>0.875</v>
      </c>
      <c r="AF1870" s="186"/>
      <c r="AG1870" s="17">
        <v>0</v>
      </c>
      <c r="AH1870" s="186">
        <v>0</v>
      </c>
      <c r="AI1870" s="186">
        <v>0</v>
      </c>
      <c r="AJ1870" s="186">
        <v>0</v>
      </c>
      <c r="AK1870" s="187">
        <v>0</v>
      </c>
      <c r="AL1870" s="187">
        <v>0</v>
      </c>
      <c r="AM1870" s="147">
        <f t="shared" si="71"/>
        <v>0</v>
      </c>
      <c r="AN1870" s="184" t="s">
        <v>63</v>
      </c>
      <c r="AO1870" s="168" t="s">
        <v>2510</v>
      </c>
      <c r="AP1870" s="184" t="s">
        <v>119</v>
      </c>
    </row>
    <row r="1871" spans="1:42" s="184" customFormat="1" x14ac:dyDescent="0.3">
      <c r="A1871" s="183" t="s">
        <v>1453</v>
      </c>
      <c r="B1871" s="184" t="s">
        <v>2496</v>
      </c>
      <c r="C1871" s="183" t="s">
        <v>3003</v>
      </c>
      <c r="D1871" s="184" t="s">
        <v>3004</v>
      </c>
      <c r="E1871" s="183" t="s">
        <v>3005</v>
      </c>
      <c r="F1871" s="184" t="s">
        <v>3006</v>
      </c>
      <c r="G1871" s="183" t="s">
        <v>3031</v>
      </c>
      <c r="H1871" s="184" t="s">
        <v>3032</v>
      </c>
      <c r="J1871" s="188"/>
      <c r="K1871" s="183" t="s">
        <v>3033</v>
      </c>
      <c r="L1871" s="184" t="s">
        <v>3034</v>
      </c>
      <c r="M1871" s="168" t="s">
        <v>3041</v>
      </c>
      <c r="N1871" s="168">
        <v>70</v>
      </c>
      <c r="O1871" s="168">
        <v>75</v>
      </c>
      <c r="P1871" s="189">
        <v>75</v>
      </c>
      <c r="Q1871" s="189">
        <v>80</v>
      </c>
      <c r="R1871" s="189">
        <v>80</v>
      </c>
      <c r="S1871" s="189">
        <v>100</v>
      </c>
      <c r="T1871" s="184" t="s">
        <v>63</v>
      </c>
      <c r="U1871" s="283" t="s">
        <v>2510</v>
      </c>
      <c r="V1871" s="184" t="s">
        <v>3042</v>
      </c>
      <c r="W1871" s="184">
        <v>1</v>
      </c>
      <c r="X1871" s="184">
        <v>1</v>
      </c>
      <c r="Y1871" s="184">
        <v>0</v>
      </c>
      <c r="Z1871" s="184">
        <v>1</v>
      </c>
      <c r="AA1871" s="184">
        <v>1</v>
      </c>
      <c r="AB1871" s="184">
        <v>1</v>
      </c>
      <c r="AC1871" s="316">
        <v>0</v>
      </c>
      <c r="AD1871" s="316">
        <v>1</v>
      </c>
      <c r="AE1871" s="302">
        <f t="shared" si="72"/>
        <v>0.75</v>
      </c>
      <c r="AF1871" s="186"/>
      <c r="AG1871" s="17">
        <v>0</v>
      </c>
      <c r="AH1871" s="186">
        <v>0.1</v>
      </c>
      <c r="AI1871" s="186">
        <v>0.1</v>
      </c>
      <c r="AJ1871" s="186">
        <v>0.1</v>
      </c>
      <c r="AK1871" s="187">
        <v>0.1</v>
      </c>
      <c r="AL1871" s="187">
        <v>0.1</v>
      </c>
      <c r="AM1871" s="147">
        <f t="shared" si="71"/>
        <v>0.2</v>
      </c>
      <c r="AN1871" s="184" t="s">
        <v>63</v>
      </c>
      <c r="AO1871" s="168" t="s">
        <v>2510</v>
      </c>
      <c r="AP1871" s="184" t="s">
        <v>119</v>
      </c>
    </row>
    <row r="1872" spans="1:42" s="184" customFormat="1" x14ac:dyDescent="0.3">
      <c r="A1872" s="183" t="s">
        <v>1453</v>
      </c>
      <c r="B1872" s="184" t="s">
        <v>2496</v>
      </c>
      <c r="C1872" s="183" t="s">
        <v>3003</v>
      </c>
      <c r="D1872" s="184" t="s">
        <v>3004</v>
      </c>
      <c r="E1872" s="183" t="s">
        <v>3005</v>
      </c>
      <c r="F1872" s="184" t="s">
        <v>3006</v>
      </c>
      <c r="G1872" s="183" t="s">
        <v>3031</v>
      </c>
      <c r="H1872" s="184" t="s">
        <v>3032</v>
      </c>
      <c r="I1872" s="188"/>
      <c r="J1872" s="188"/>
      <c r="K1872" s="183" t="s">
        <v>3033</v>
      </c>
      <c r="L1872" s="184" t="s">
        <v>3034</v>
      </c>
      <c r="M1872" s="168" t="s">
        <v>3043</v>
      </c>
      <c r="N1872" s="168">
        <v>2</v>
      </c>
      <c r="O1872" s="168">
        <v>4</v>
      </c>
      <c r="P1872" s="189">
        <v>6</v>
      </c>
      <c r="Q1872" s="189">
        <v>8</v>
      </c>
      <c r="R1872" s="189">
        <v>10</v>
      </c>
      <c r="S1872" s="189">
        <v>12</v>
      </c>
      <c r="T1872" s="184" t="s">
        <v>63</v>
      </c>
      <c r="U1872" s="283" t="s">
        <v>2510</v>
      </c>
      <c r="V1872" s="184" t="s">
        <v>3044</v>
      </c>
      <c r="W1872" s="184">
        <v>1</v>
      </c>
      <c r="X1872" s="184">
        <v>1</v>
      </c>
      <c r="Y1872" s="184">
        <v>0</v>
      </c>
      <c r="Z1872" s="184">
        <v>1</v>
      </c>
      <c r="AA1872" s="184">
        <v>1</v>
      </c>
      <c r="AB1872" s="184">
        <v>1</v>
      </c>
      <c r="AC1872" s="316">
        <v>0</v>
      </c>
      <c r="AD1872" s="316">
        <v>1</v>
      </c>
      <c r="AE1872" s="302">
        <f t="shared" si="72"/>
        <v>0.75</v>
      </c>
      <c r="AF1872" s="186"/>
      <c r="AG1872" s="17">
        <v>0</v>
      </c>
      <c r="AH1872" s="186">
        <v>0</v>
      </c>
      <c r="AI1872" s="186">
        <v>0.15</v>
      </c>
      <c r="AJ1872" s="186">
        <v>0.16</v>
      </c>
      <c r="AK1872" s="187">
        <v>0.17</v>
      </c>
      <c r="AL1872" s="187">
        <v>0.18</v>
      </c>
      <c r="AM1872" s="147">
        <f t="shared" si="71"/>
        <v>0.35</v>
      </c>
      <c r="AN1872" s="184" t="s">
        <v>63</v>
      </c>
      <c r="AO1872" s="168" t="s">
        <v>2510</v>
      </c>
      <c r="AP1872" s="184" t="s">
        <v>119</v>
      </c>
    </row>
    <row r="1873" spans="1:42" s="184" customFormat="1" x14ac:dyDescent="0.3">
      <c r="A1873" s="183" t="s">
        <v>1453</v>
      </c>
      <c r="B1873" s="184" t="s">
        <v>2496</v>
      </c>
      <c r="C1873" s="183" t="s">
        <v>3003</v>
      </c>
      <c r="D1873" s="184" t="s">
        <v>3004</v>
      </c>
      <c r="E1873" s="183" t="s">
        <v>3005</v>
      </c>
      <c r="F1873" s="184" t="s">
        <v>3006</v>
      </c>
      <c r="G1873" s="183" t="s">
        <v>3031</v>
      </c>
      <c r="H1873" s="184" t="s">
        <v>3032</v>
      </c>
      <c r="J1873" s="188"/>
      <c r="K1873" s="183" t="s">
        <v>3033</v>
      </c>
      <c r="L1873" s="184" t="s">
        <v>3034</v>
      </c>
      <c r="M1873" s="168" t="s">
        <v>3045</v>
      </c>
      <c r="N1873" s="168">
        <v>0</v>
      </c>
      <c r="O1873" s="168">
        <v>100</v>
      </c>
      <c r="P1873" s="189">
        <v>200</v>
      </c>
      <c r="Q1873" s="189">
        <v>300</v>
      </c>
      <c r="R1873" s="189">
        <v>400</v>
      </c>
      <c r="S1873" s="189">
        <v>500</v>
      </c>
      <c r="T1873" s="184" t="s">
        <v>63</v>
      </c>
      <c r="U1873" s="283" t="s">
        <v>2510</v>
      </c>
      <c r="V1873" s="184" t="s">
        <v>3046</v>
      </c>
      <c r="W1873" s="184">
        <v>1</v>
      </c>
      <c r="X1873" s="184">
        <v>0</v>
      </c>
      <c r="Y1873" s="184">
        <v>0</v>
      </c>
      <c r="Z1873" s="184">
        <v>1</v>
      </c>
      <c r="AA1873" s="184">
        <v>1</v>
      </c>
      <c r="AB1873" s="184">
        <v>1</v>
      </c>
      <c r="AC1873" s="316">
        <v>0</v>
      </c>
      <c r="AD1873" s="316">
        <v>1</v>
      </c>
      <c r="AE1873" s="302">
        <f t="shared" si="72"/>
        <v>0.625</v>
      </c>
      <c r="AF1873" s="186"/>
      <c r="AG1873" s="17">
        <v>0</v>
      </c>
      <c r="AH1873" s="186">
        <v>2.5</v>
      </c>
      <c r="AI1873" s="186">
        <v>2.5</v>
      </c>
      <c r="AJ1873" s="186">
        <v>2.5</v>
      </c>
      <c r="AK1873" s="187">
        <v>2.5</v>
      </c>
      <c r="AL1873" s="187">
        <v>2.5</v>
      </c>
      <c r="AM1873" s="147">
        <f t="shared" si="71"/>
        <v>5</v>
      </c>
      <c r="AN1873" s="184" t="s">
        <v>2528</v>
      </c>
      <c r="AO1873" s="168" t="s">
        <v>2530</v>
      </c>
      <c r="AP1873" s="184" t="s">
        <v>119</v>
      </c>
    </row>
    <row r="1874" spans="1:42" s="184" customFormat="1" x14ac:dyDescent="0.3">
      <c r="A1874" s="183" t="s">
        <v>1453</v>
      </c>
      <c r="B1874" s="184" t="s">
        <v>2496</v>
      </c>
      <c r="C1874" s="183" t="s">
        <v>3003</v>
      </c>
      <c r="D1874" s="184" t="s">
        <v>3004</v>
      </c>
      <c r="E1874" s="183" t="s">
        <v>3005</v>
      </c>
      <c r="F1874" s="184" t="s">
        <v>3006</v>
      </c>
      <c r="G1874" s="183" t="s">
        <v>3031</v>
      </c>
      <c r="H1874" s="184" t="s">
        <v>3032</v>
      </c>
      <c r="J1874" s="188"/>
      <c r="K1874" s="183" t="s">
        <v>3033</v>
      </c>
      <c r="L1874" s="184" t="s">
        <v>3034</v>
      </c>
      <c r="M1874" s="168" t="s">
        <v>3047</v>
      </c>
      <c r="N1874" s="168">
        <v>20000</v>
      </c>
      <c r="O1874" s="168">
        <v>25000</v>
      </c>
      <c r="P1874" s="189">
        <v>28000</v>
      </c>
      <c r="Q1874" s="189">
        <v>31000</v>
      </c>
      <c r="R1874" s="189">
        <v>34000</v>
      </c>
      <c r="S1874" s="189">
        <v>37000</v>
      </c>
      <c r="T1874" s="184" t="s">
        <v>63</v>
      </c>
      <c r="U1874" s="283" t="s">
        <v>2510</v>
      </c>
      <c r="V1874" s="184" t="s">
        <v>3048</v>
      </c>
      <c r="W1874" s="184">
        <v>1</v>
      </c>
      <c r="X1874" s="184">
        <v>1</v>
      </c>
      <c r="Y1874" s="184">
        <v>0</v>
      </c>
      <c r="Z1874" s="184">
        <v>1</v>
      </c>
      <c r="AA1874" s="184">
        <v>1</v>
      </c>
      <c r="AB1874" s="184">
        <v>1</v>
      </c>
      <c r="AC1874" s="316">
        <v>0</v>
      </c>
      <c r="AD1874" s="316">
        <v>1</v>
      </c>
      <c r="AE1874" s="302">
        <f t="shared" si="72"/>
        <v>0.75</v>
      </c>
      <c r="AF1874" s="186"/>
      <c r="AG1874" s="17">
        <v>0</v>
      </c>
      <c r="AH1874" s="186">
        <v>0</v>
      </c>
      <c r="AI1874" s="186">
        <v>0</v>
      </c>
      <c r="AJ1874" s="186">
        <v>0</v>
      </c>
      <c r="AK1874" s="187">
        <v>0</v>
      </c>
      <c r="AL1874" s="187">
        <v>0</v>
      </c>
      <c r="AM1874" s="147">
        <f t="shared" si="71"/>
        <v>0</v>
      </c>
      <c r="AN1874" s="184" t="s">
        <v>63</v>
      </c>
      <c r="AO1874" s="168" t="s">
        <v>2510</v>
      </c>
      <c r="AP1874" s="184" t="s">
        <v>119</v>
      </c>
    </row>
    <row r="1875" spans="1:42" s="184" customFormat="1" x14ac:dyDescent="0.3">
      <c r="A1875" s="183" t="s">
        <v>1453</v>
      </c>
      <c r="B1875" s="184" t="s">
        <v>2496</v>
      </c>
      <c r="C1875" s="183" t="s">
        <v>3003</v>
      </c>
      <c r="D1875" s="184" t="s">
        <v>3004</v>
      </c>
      <c r="E1875" s="183" t="s">
        <v>3005</v>
      </c>
      <c r="F1875" s="184" t="s">
        <v>3006</v>
      </c>
      <c r="G1875" s="183" t="s">
        <v>3031</v>
      </c>
      <c r="H1875" s="184" t="s">
        <v>3032</v>
      </c>
      <c r="J1875" s="188"/>
      <c r="K1875" s="183" t="s">
        <v>3033</v>
      </c>
      <c r="L1875" s="184" t="s">
        <v>3034</v>
      </c>
      <c r="M1875" s="168" t="s">
        <v>3049</v>
      </c>
      <c r="N1875" s="168"/>
      <c r="O1875" s="168">
        <v>0.15</v>
      </c>
      <c r="P1875" s="189">
        <v>0.15</v>
      </c>
      <c r="Q1875" s="189">
        <v>0.3</v>
      </c>
      <c r="R1875" s="192">
        <v>0.2</v>
      </c>
      <c r="S1875" s="189">
        <v>0.2</v>
      </c>
      <c r="T1875" s="184" t="s">
        <v>63</v>
      </c>
      <c r="U1875" s="283" t="s">
        <v>2510</v>
      </c>
      <c r="V1875" s="184" t="s">
        <v>3050</v>
      </c>
      <c r="W1875" s="184">
        <v>1</v>
      </c>
      <c r="X1875" s="184">
        <v>1</v>
      </c>
      <c r="Y1875" s="184">
        <v>0</v>
      </c>
      <c r="Z1875" s="184">
        <v>1</v>
      </c>
      <c r="AA1875" s="184">
        <v>1</v>
      </c>
      <c r="AB1875" s="184">
        <v>1</v>
      </c>
      <c r="AC1875" s="316">
        <v>0</v>
      </c>
      <c r="AD1875" s="316">
        <v>1</v>
      </c>
      <c r="AE1875" s="302">
        <f t="shared" si="72"/>
        <v>0.75</v>
      </c>
      <c r="AF1875" s="186"/>
      <c r="AG1875" s="17">
        <v>0</v>
      </c>
      <c r="AH1875" s="186">
        <v>0</v>
      </c>
      <c r="AI1875" s="186">
        <v>0</v>
      </c>
      <c r="AJ1875" s="186">
        <v>0</v>
      </c>
      <c r="AK1875" s="187">
        <v>20</v>
      </c>
      <c r="AL1875" s="187">
        <v>0</v>
      </c>
      <c r="AM1875" s="147">
        <f t="shared" si="71"/>
        <v>20</v>
      </c>
      <c r="AN1875" s="184" t="s">
        <v>63</v>
      </c>
      <c r="AO1875" s="168" t="s">
        <v>2510</v>
      </c>
      <c r="AP1875" s="184" t="s">
        <v>119</v>
      </c>
    </row>
    <row r="1876" spans="1:42" s="184" customFormat="1" x14ac:dyDescent="0.3">
      <c r="A1876" s="183" t="s">
        <v>1453</v>
      </c>
      <c r="B1876" s="184" t="s">
        <v>2496</v>
      </c>
      <c r="C1876" s="183" t="s">
        <v>3003</v>
      </c>
      <c r="D1876" s="184" t="s">
        <v>3004</v>
      </c>
      <c r="E1876" s="183" t="s">
        <v>3005</v>
      </c>
      <c r="F1876" s="184" t="s">
        <v>3006</v>
      </c>
      <c r="G1876" s="183" t="s">
        <v>3031</v>
      </c>
      <c r="H1876" s="184" t="s">
        <v>3032</v>
      </c>
      <c r="J1876" s="188"/>
      <c r="K1876" s="183" t="s">
        <v>3033</v>
      </c>
      <c r="L1876" s="184" t="s">
        <v>3034</v>
      </c>
      <c r="M1876" s="168" t="s">
        <v>3051</v>
      </c>
      <c r="N1876" s="168"/>
      <c r="O1876" s="168">
        <v>10</v>
      </c>
      <c r="P1876" s="189">
        <v>40</v>
      </c>
      <c r="Q1876" s="189">
        <v>10</v>
      </c>
      <c r="R1876" s="189">
        <v>20</v>
      </c>
      <c r="S1876" s="189">
        <v>20</v>
      </c>
      <c r="T1876" s="184" t="s">
        <v>63</v>
      </c>
      <c r="U1876" s="283" t="s">
        <v>2510</v>
      </c>
      <c r="V1876" s="184" t="s">
        <v>3052</v>
      </c>
      <c r="W1876" s="184">
        <v>1</v>
      </c>
      <c r="X1876" s="184">
        <v>1</v>
      </c>
      <c r="Y1876" s="184">
        <v>0</v>
      </c>
      <c r="Z1876" s="184">
        <v>1</v>
      </c>
      <c r="AA1876" s="184">
        <v>1</v>
      </c>
      <c r="AB1876" s="184">
        <v>1</v>
      </c>
      <c r="AC1876" s="316">
        <v>0</v>
      </c>
      <c r="AD1876" s="316">
        <v>1</v>
      </c>
      <c r="AE1876" s="302">
        <f t="shared" si="72"/>
        <v>0.75</v>
      </c>
      <c r="AF1876" s="186"/>
      <c r="AG1876" s="17">
        <v>0</v>
      </c>
      <c r="AH1876" s="186">
        <v>0</v>
      </c>
      <c r="AI1876" s="186">
        <v>0</v>
      </c>
      <c r="AJ1876" s="186">
        <v>0</v>
      </c>
      <c r="AK1876" s="187">
        <v>0.12</v>
      </c>
      <c r="AL1876" s="187">
        <v>0.14000000000000001</v>
      </c>
      <c r="AM1876" s="147">
        <f t="shared" si="71"/>
        <v>0.26</v>
      </c>
      <c r="AN1876" s="184" t="s">
        <v>63</v>
      </c>
      <c r="AO1876" s="168" t="s">
        <v>2510</v>
      </c>
      <c r="AP1876" s="184" t="s">
        <v>119</v>
      </c>
    </row>
    <row r="1877" spans="1:42" s="184" customFormat="1" x14ac:dyDescent="0.3">
      <c r="A1877" s="183" t="s">
        <v>1453</v>
      </c>
      <c r="B1877" s="184" t="s">
        <v>2496</v>
      </c>
      <c r="C1877" s="183" t="s">
        <v>3003</v>
      </c>
      <c r="D1877" s="184" t="s">
        <v>3004</v>
      </c>
      <c r="E1877" s="183" t="s">
        <v>3005</v>
      </c>
      <c r="F1877" s="184" t="s">
        <v>3006</v>
      </c>
      <c r="G1877" s="183" t="s">
        <v>3031</v>
      </c>
      <c r="H1877" s="184" t="s">
        <v>3032</v>
      </c>
      <c r="K1877" s="183" t="s">
        <v>3033</v>
      </c>
      <c r="L1877" s="184" t="s">
        <v>3034</v>
      </c>
      <c r="M1877" s="168" t="s">
        <v>3053</v>
      </c>
      <c r="N1877" s="446"/>
      <c r="O1877" s="168">
        <v>0.1</v>
      </c>
      <c r="P1877" s="189">
        <v>0.9</v>
      </c>
      <c r="Q1877" s="189" t="s">
        <v>271</v>
      </c>
      <c r="R1877" s="189" t="s">
        <v>271</v>
      </c>
      <c r="S1877" s="189" t="s">
        <v>271</v>
      </c>
      <c r="T1877" s="184" t="s">
        <v>63</v>
      </c>
      <c r="U1877" s="283" t="s">
        <v>2510</v>
      </c>
      <c r="V1877" s="184" t="s">
        <v>3054</v>
      </c>
      <c r="W1877" s="184">
        <v>1</v>
      </c>
      <c r="X1877" s="184">
        <v>1</v>
      </c>
      <c r="Y1877" s="184">
        <v>0</v>
      </c>
      <c r="Z1877" s="184">
        <v>1</v>
      </c>
      <c r="AA1877" s="184">
        <v>1</v>
      </c>
      <c r="AB1877" s="184">
        <v>1</v>
      </c>
      <c r="AC1877" s="316">
        <v>0</v>
      </c>
      <c r="AD1877" s="316">
        <v>1</v>
      </c>
      <c r="AE1877" s="302">
        <f t="shared" si="72"/>
        <v>0.75</v>
      </c>
      <c r="AF1877" s="186"/>
      <c r="AG1877" s="17">
        <v>0</v>
      </c>
      <c r="AH1877" s="186">
        <v>0</v>
      </c>
      <c r="AI1877" s="186">
        <v>0</v>
      </c>
      <c r="AJ1877" s="186">
        <v>0</v>
      </c>
      <c r="AK1877" s="187">
        <v>0</v>
      </c>
      <c r="AL1877" s="187">
        <v>0</v>
      </c>
      <c r="AM1877" s="147">
        <f t="shared" ref="AM1877:AM1923" si="73">SUM(AK1877:AL1877)</f>
        <v>0</v>
      </c>
      <c r="AN1877" s="184" t="s">
        <v>63</v>
      </c>
      <c r="AO1877" s="168" t="s">
        <v>2510</v>
      </c>
      <c r="AP1877" s="184" t="s">
        <v>119</v>
      </c>
    </row>
    <row r="1878" spans="1:42" s="184" customFormat="1" x14ac:dyDescent="0.3">
      <c r="A1878" s="183" t="s">
        <v>1453</v>
      </c>
      <c r="B1878" s="184" t="s">
        <v>2496</v>
      </c>
      <c r="C1878" s="183" t="s">
        <v>3003</v>
      </c>
      <c r="D1878" s="184" t="s">
        <v>3004</v>
      </c>
      <c r="E1878" s="183" t="s">
        <v>3005</v>
      </c>
      <c r="F1878" s="184" t="s">
        <v>3006</v>
      </c>
      <c r="G1878" s="183" t="s">
        <v>3031</v>
      </c>
      <c r="H1878" s="184" t="s">
        <v>3032</v>
      </c>
      <c r="K1878" s="183" t="s">
        <v>3033</v>
      </c>
      <c r="L1878" s="184" t="s">
        <v>3034</v>
      </c>
      <c r="M1878" s="168" t="s">
        <v>3055</v>
      </c>
      <c r="N1878" s="446"/>
      <c r="O1878" s="168" t="s">
        <v>271</v>
      </c>
      <c r="P1878" s="189">
        <v>4</v>
      </c>
      <c r="Q1878" s="189">
        <v>6</v>
      </c>
      <c r="R1878" s="189">
        <v>8</v>
      </c>
      <c r="S1878" s="189">
        <v>8</v>
      </c>
      <c r="T1878" s="184" t="s">
        <v>63</v>
      </c>
      <c r="U1878" s="283" t="s">
        <v>2510</v>
      </c>
      <c r="V1878" s="184" t="s">
        <v>3056</v>
      </c>
      <c r="W1878" s="184">
        <v>1</v>
      </c>
      <c r="X1878" s="184">
        <v>1</v>
      </c>
      <c r="Y1878" s="184">
        <v>0</v>
      </c>
      <c r="Z1878" s="184">
        <v>1</v>
      </c>
      <c r="AA1878" s="184">
        <v>1</v>
      </c>
      <c r="AB1878" s="184">
        <v>1</v>
      </c>
      <c r="AC1878" s="316">
        <v>0</v>
      </c>
      <c r="AD1878" s="316">
        <v>1</v>
      </c>
      <c r="AE1878" s="302">
        <f t="shared" si="72"/>
        <v>0.75</v>
      </c>
      <c r="AF1878" s="186"/>
      <c r="AG1878" s="17">
        <v>0</v>
      </c>
      <c r="AH1878" s="186">
        <v>0</v>
      </c>
      <c r="AI1878" s="186">
        <v>0</v>
      </c>
      <c r="AJ1878" s="186">
        <v>0</v>
      </c>
      <c r="AK1878" s="187">
        <v>0.3</v>
      </c>
      <c r="AL1878" s="187">
        <v>0.3</v>
      </c>
      <c r="AM1878" s="147">
        <f t="shared" si="73"/>
        <v>0.6</v>
      </c>
      <c r="AN1878" s="184" t="s">
        <v>63</v>
      </c>
      <c r="AO1878" s="168" t="s">
        <v>2510</v>
      </c>
      <c r="AP1878" s="184" t="s">
        <v>119</v>
      </c>
    </row>
    <row r="1879" spans="1:42" s="184" customFormat="1" x14ac:dyDescent="0.3">
      <c r="A1879" s="183" t="s">
        <v>1453</v>
      </c>
      <c r="B1879" s="184" t="s">
        <v>2496</v>
      </c>
      <c r="C1879" s="183" t="s">
        <v>3003</v>
      </c>
      <c r="D1879" s="184" t="s">
        <v>3004</v>
      </c>
      <c r="E1879" s="183" t="s">
        <v>3005</v>
      </c>
      <c r="F1879" s="184" t="s">
        <v>3006</v>
      </c>
      <c r="G1879" s="183" t="s">
        <v>3031</v>
      </c>
      <c r="H1879" s="184" t="s">
        <v>3032</v>
      </c>
      <c r="K1879" s="183" t="s">
        <v>3033</v>
      </c>
      <c r="L1879" s="184" t="s">
        <v>3034</v>
      </c>
      <c r="M1879" s="168" t="s">
        <v>3057</v>
      </c>
      <c r="N1879" s="446"/>
      <c r="O1879" s="168" t="s">
        <v>271</v>
      </c>
      <c r="P1879" s="189" t="s">
        <v>271</v>
      </c>
      <c r="Q1879" s="189">
        <v>0.5</v>
      </c>
      <c r="R1879" s="189">
        <v>0.5</v>
      </c>
      <c r="S1879" s="189" t="s">
        <v>271</v>
      </c>
      <c r="T1879" s="184" t="s">
        <v>63</v>
      </c>
      <c r="U1879" s="283" t="s">
        <v>2510</v>
      </c>
      <c r="V1879" s="184" t="s">
        <v>3058</v>
      </c>
      <c r="W1879" s="184">
        <v>1</v>
      </c>
      <c r="X1879" s="184">
        <v>0</v>
      </c>
      <c r="Y1879" s="184">
        <v>0</v>
      </c>
      <c r="Z1879" s="184">
        <v>1</v>
      </c>
      <c r="AA1879" s="184">
        <v>1</v>
      </c>
      <c r="AB1879" s="184">
        <v>1</v>
      </c>
      <c r="AC1879" s="316">
        <v>0</v>
      </c>
      <c r="AD1879" s="316">
        <v>1</v>
      </c>
      <c r="AE1879" s="302">
        <f t="shared" si="72"/>
        <v>0.625</v>
      </c>
      <c r="AF1879" s="186"/>
      <c r="AG1879" s="17">
        <v>0</v>
      </c>
      <c r="AH1879" s="186">
        <v>0</v>
      </c>
      <c r="AI1879" s="186">
        <v>0</v>
      </c>
      <c r="AJ1879" s="186">
        <v>0</v>
      </c>
      <c r="AK1879" s="187">
        <v>0</v>
      </c>
      <c r="AL1879" s="187">
        <v>0</v>
      </c>
      <c r="AM1879" s="147">
        <f t="shared" si="73"/>
        <v>0</v>
      </c>
      <c r="AN1879" s="184" t="s">
        <v>63</v>
      </c>
      <c r="AO1879" s="168" t="s">
        <v>2510</v>
      </c>
      <c r="AP1879" s="184" t="s">
        <v>119</v>
      </c>
    </row>
    <row r="1880" spans="1:42" s="184" customFormat="1" x14ac:dyDescent="0.3">
      <c r="A1880" s="183" t="s">
        <v>1453</v>
      </c>
      <c r="B1880" s="184" t="s">
        <v>2496</v>
      </c>
      <c r="C1880" s="183" t="s">
        <v>3003</v>
      </c>
      <c r="D1880" s="184" t="s">
        <v>3004</v>
      </c>
      <c r="E1880" s="183" t="s">
        <v>3005</v>
      </c>
      <c r="F1880" s="184" t="s">
        <v>3006</v>
      </c>
      <c r="G1880" s="183" t="s">
        <v>3031</v>
      </c>
      <c r="H1880" s="184" t="s">
        <v>3032</v>
      </c>
      <c r="K1880" s="183" t="s">
        <v>3033</v>
      </c>
      <c r="L1880" s="184" t="s">
        <v>3034</v>
      </c>
      <c r="M1880" s="168" t="s">
        <v>3059</v>
      </c>
      <c r="N1880" s="446"/>
      <c r="O1880" s="168" t="s">
        <v>271</v>
      </c>
      <c r="P1880" s="189">
        <v>8</v>
      </c>
      <c r="Q1880" s="189">
        <v>8</v>
      </c>
      <c r="R1880" s="189">
        <v>10</v>
      </c>
      <c r="S1880" s="189">
        <v>10</v>
      </c>
      <c r="T1880" s="184" t="s">
        <v>63</v>
      </c>
      <c r="U1880" s="283" t="s">
        <v>2510</v>
      </c>
      <c r="V1880" s="184" t="s">
        <v>3060</v>
      </c>
      <c r="W1880" s="184">
        <v>1</v>
      </c>
      <c r="X1880" s="184">
        <v>1</v>
      </c>
      <c r="Y1880" s="184">
        <v>0</v>
      </c>
      <c r="Z1880" s="184">
        <v>1</v>
      </c>
      <c r="AA1880" s="184">
        <v>1</v>
      </c>
      <c r="AB1880" s="184">
        <v>1</v>
      </c>
      <c r="AC1880" s="316">
        <v>0</v>
      </c>
      <c r="AD1880" s="316">
        <v>1</v>
      </c>
      <c r="AE1880" s="302">
        <f t="shared" ref="AE1880:AE1923" si="74">SUM(W1880:AD1880)/8</f>
        <v>0.75</v>
      </c>
      <c r="AF1880" s="186"/>
      <c r="AG1880" s="17">
        <v>0</v>
      </c>
      <c r="AH1880" s="186">
        <v>0</v>
      </c>
      <c r="AI1880" s="186">
        <v>0</v>
      </c>
      <c r="AJ1880" s="186">
        <v>0</v>
      </c>
      <c r="AK1880" s="187">
        <v>0.4</v>
      </c>
      <c r="AL1880" s="187">
        <v>0.4</v>
      </c>
      <c r="AM1880" s="147">
        <f t="shared" si="73"/>
        <v>0.8</v>
      </c>
      <c r="AN1880" s="184" t="s">
        <v>63</v>
      </c>
      <c r="AO1880" s="168" t="s">
        <v>2510</v>
      </c>
      <c r="AP1880" s="184" t="s">
        <v>119</v>
      </c>
    </row>
    <row r="1881" spans="1:42" s="184" customFormat="1" x14ac:dyDescent="0.3">
      <c r="A1881" s="183" t="s">
        <v>1453</v>
      </c>
      <c r="B1881" s="184" t="s">
        <v>2496</v>
      </c>
      <c r="C1881" s="183" t="s">
        <v>3003</v>
      </c>
      <c r="D1881" s="184" t="s">
        <v>3004</v>
      </c>
      <c r="E1881" s="183" t="s">
        <v>3005</v>
      </c>
      <c r="F1881" s="184" t="s">
        <v>3006</v>
      </c>
      <c r="G1881" s="183" t="s">
        <v>3031</v>
      </c>
      <c r="H1881" s="184" t="s">
        <v>3032</v>
      </c>
      <c r="J1881" s="188"/>
      <c r="K1881" s="183" t="s">
        <v>3033</v>
      </c>
      <c r="L1881" s="184" t="s">
        <v>3034</v>
      </c>
      <c r="M1881" s="168" t="s">
        <v>3061</v>
      </c>
      <c r="N1881" s="168"/>
      <c r="O1881" s="168">
        <v>0.1</v>
      </c>
      <c r="P1881" s="189">
        <v>0.4</v>
      </c>
      <c r="Q1881" s="189">
        <v>0.6</v>
      </c>
      <c r="R1881" s="189">
        <v>0.8</v>
      </c>
      <c r="S1881" s="189">
        <v>1</v>
      </c>
      <c r="T1881" s="184" t="s">
        <v>63</v>
      </c>
      <c r="U1881" s="283" t="s">
        <v>2510</v>
      </c>
      <c r="V1881" s="184" t="s">
        <v>3062</v>
      </c>
      <c r="W1881" s="184">
        <v>1</v>
      </c>
      <c r="X1881" s="184">
        <v>1</v>
      </c>
      <c r="Y1881" s="184">
        <v>0</v>
      </c>
      <c r="Z1881" s="184">
        <v>1</v>
      </c>
      <c r="AA1881" s="184">
        <v>1</v>
      </c>
      <c r="AB1881" s="184">
        <v>1</v>
      </c>
      <c r="AC1881" s="316">
        <v>0</v>
      </c>
      <c r="AD1881" s="316">
        <v>1</v>
      </c>
      <c r="AE1881" s="302">
        <f t="shared" si="74"/>
        <v>0.75</v>
      </c>
      <c r="AF1881" s="186"/>
      <c r="AG1881" s="17">
        <v>0</v>
      </c>
      <c r="AH1881" s="186">
        <v>0.2</v>
      </c>
      <c r="AI1881" s="186">
        <v>0.2</v>
      </c>
      <c r="AJ1881" s="186">
        <v>0.2</v>
      </c>
      <c r="AK1881" s="187">
        <v>0.3</v>
      </c>
      <c r="AL1881" s="187">
        <v>0.5</v>
      </c>
      <c r="AM1881" s="147">
        <f t="shared" si="73"/>
        <v>0.8</v>
      </c>
      <c r="AN1881" s="184" t="s">
        <v>63</v>
      </c>
      <c r="AO1881" s="168" t="s">
        <v>2510</v>
      </c>
      <c r="AP1881" s="184" t="s">
        <v>119</v>
      </c>
    </row>
    <row r="1882" spans="1:42" s="184" customFormat="1" x14ac:dyDescent="0.3">
      <c r="A1882" s="183" t="s">
        <v>1453</v>
      </c>
      <c r="B1882" s="184" t="s">
        <v>2496</v>
      </c>
      <c r="C1882" s="183" t="s">
        <v>3003</v>
      </c>
      <c r="D1882" s="184" t="s">
        <v>3004</v>
      </c>
      <c r="E1882" s="183" t="s">
        <v>3005</v>
      </c>
      <c r="F1882" s="184" t="s">
        <v>3006</v>
      </c>
      <c r="G1882" s="183" t="s">
        <v>3031</v>
      </c>
      <c r="H1882" s="184" t="s">
        <v>3032</v>
      </c>
      <c r="J1882" s="188"/>
      <c r="K1882" s="183" t="s">
        <v>3033</v>
      </c>
      <c r="L1882" s="184" t="s">
        <v>3034</v>
      </c>
      <c r="M1882" s="168" t="s">
        <v>3063</v>
      </c>
      <c r="N1882" s="168"/>
      <c r="O1882" s="168">
        <v>0.1</v>
      </c>
      <c r="P1882" s="189">
        <v>0.4</v>
      </c>
      <c r="Q1882" s="189">
        <v>0.6</v>
      </c>
      <c r="R1882" s="189">
        <v>0.8</v>
      </c>
      <c r="S1882" s="189">
        <v>1</v>
      </c>
      <c r="T1882" s="184" t="s">
        <v>63</v>
      </c>
      <c r="U1882" s="283" t="s">
        <v>2510</v>
      </c>
      <c r="V1882" s="184" t="s">
        <v>3064</v>
      </c>
      <c r="W1882" s="184">
        <v>1</v>
      </c>
      <c r="X1882" s="184">
        <v>1</v>
      </c>
      <c r="Y1882" s="184">
        <v>0</v>
      </c>
      <c r="Z1882" s="184">
        <v>1</v>
      </c>
      <c r="AA1882" s="184">
        <v>1</v>
      </c>
      <c r="AB1882" s="184">
        <v>1</v>
      </c>
      <c r="AC1882" s="316">
        <v>0</v>
      </c>
      <c r="AD1882" s="316">
        <v>1</v>
      </c>
      <c r="AE1882" s="302">
        <f t="shared" si="74"/>
        <v>0.75</v>
      </c>
      <c r="AF1882" s="186"/>
      <c r="AG1882" s="17">
        <v>0</v>
      </c>
      <c r="AH1882" s="186">
        <v>0.2</v>
      </c>
      <c r="AI1882" s="186">
        <v>2</v>
      </c>
      <c r="AJ1882" s="186">
        <v>1.5</v>
      </c>
      <c r="AK1882" s="187">
        <v>1.5</v>
      </c>
      <c r="AL1882" s="187">
        <v>1.5</v>
      </c>
      <c r="AM1882" s="147">
        <f t="shared" si="73"/>
        <v>3</v>
      </c>
      <c r="AN1882" s="184" t="s">
        <v>63</v>
      </c>
      <c r="AO1882" s="168" t="s">
        <v>2510</v>
      </c>
      <c r="AP1882" s="184" t="s">
        <v>119</v>
      </c>
    </row>
    <row r="1883" spans="1:42" s="184" customFormat="1" x14ac:dyDescent="0.3">
      <c r="A1883" s="183" t="s">
        <v>1453</v>
      </c>
      <c r="B1883" s="184" t="s">
        <v>2496</v>
      </c>
      <c r="C1883" s="183" t="s">
        <v>3003</v>
      </c>
      <c r="D1883" s="184" t="s">
        <v>3004</v>
      </c>
      <c r="E1883" s="183" t="s">
        <v>3005</v>
      </c>
      <c r="F1883" s="184" t="s">
        <v>3006</v>
      </c>
      <c r="G1883" s="183" t="s">
        <v>3031</v>
      </c>
      <c r="H1883" s="184" t="s">
        <v>3032</v>
      </c>
      <c r="J1883" s="188"/>
      <c r="K1883" s="183" t="s">
        <v>3033</v>
      </c>
      <c r="L1883" s="184" t="s">
        <v>3034</v>
      </c>
      <c r="M1883" s="168" t="s">
        <v>3065</v>
      </c>
      <c r="N1883" s="168"/>
      <c r="O1883" s="168">
        <v>5</v>
      </c>
      <c r="P1883" s="189">
        <v>5</v>
      </c>
      <c r="Q1883" s="189">
        <v>5</v>
      </c>
      <c r="R1883" s="189">
        <v>5</v>
      </c>
      <c r="S1883" s="189">
        <v>5</v>
      </c>
      <c r="T1883" s="184" t="s">
        <v>63</v>
      </c>
      <c r="U1883" s="283" t="s">
        <v>2510</v>
      </c>
      <c r="V1883" s="184" t="s">
        <v>3066</v>
      </c>
      <c r="W1883" s="184">
        <v>1</v>
      </c>
      <c r="X1883" s="184">
        <v>1</v>
      </c>
      <c r="Y1883" s="184">
        <v>0</v>
      </c>
      <c r="Z1883" s="184">
        <v>1</v>
      </c>
      <c r="AA1883" s="184">
        <v>1</v>
      </c>
      <c r="AB1883" s="184">
        <v>1</v>
      </c>
      <c r="AC1883" s="316">
        <v>0</v>
      </c>
      <c r="AD1883" s="316">
        <v>1</v>
      </c>
      <c r="AE1883" s="302">
        <f t="shared" si="74"/>
        <v>0.75</v>
      </c>
      <c r="AF1883" s="186"/>
      <c r="AG1883" s="17">
        <v>0</v>
      </c>
      <c r="AH1883" s="186">
        <v>2.5</v>
      </c>
      <c r="AI1883" s="186">
        <v>2.5</v>
      </c>
      <c r="AJ1883" s="186">
        <v>2.5</v>
      </c>
      <c r="AK1883" s="187">
        <v>2.5</v>
      </c>
      <c r="AL1883" s="187">
        <v>2.5</v>
      </c>
      <c r="AM1883" s="147">
        <f t="shared" si="73"/>
        <v>5</v>
      </c>
      <c r="AN1883" s="184" t="s">
        <v>63</v>
      </c>
      <c r="AO1883" s="168" t="s">
        <v>2510</v>
      </c>
      <c r="AP1883" s="184" t="s">
        <v>119</v>
      </c>
    </row>
    <row r="1884" spans="1:42" s="184" customFormat="1" x14ac:dyDescent="0.3">
      <c r="A1884" s="183" t="s">
        <v>1453</v>
      </c>
      <c r="B1884" s="184" t="s">
        <v>2496</v>
      </c>
      <c r="C1884" s="183" t="s">
        <v>3003</v>
      </c>
      <c r="D1884" s="184" t="s">
        <v>3004</v>
      </c>
      <c r="E1884" s="183" t="s">
        <v>3005</v>
      </c>
      <c r="F1884" s="184" t="s">
        <v>3006</v>
      </c>
      <c r="G1884" s="183" t="s">
        <v>3031</v>
      </c>
      <c r="H1884" s="184" t="s">
        <v>3032</v>
      </c>
      <c r="J1884" s="188"/>
      <c r="K1884" s="183" t="s">
        <v>3033</v>
      </c>
      <c r="L1884" s="184" t="s">
        <v>3034</v>
      </c>
      <c r="M1884" s="168" t="s">
        <v>3067</v>
      </c>
      <c r="N1884" s="168"/>
      <c r="O1884" s="168">
        <v>0</v>
      </c>
      <c r="P1884" s="189">
        <v>50</v>
      </c>
      <c r="Q1884" s="189">
        <v>100</v>
      </c>
      <c r="R1884" s="189">
        <v>300</v>
      </c>
      <c r="S1884" s="189">
        <v>500</v>
      </c>
      <c r="T1884" s="184" t="s">
        <v>63</v>
      </c>
      <c r="U1884" s="283" t="s">
        <v>2510</v>
      </c>
      <c r="V1884" s="184" t="s">
        <v>3046</v>
      </c>
      <c r="W1884" s="184">
        <v>1</v>
      </c>
      <c r="X1884" s="184">
        <v>1</v>
      </c>
      <c r="Y1884" s="184">
        <v>0</v>
      </c>
      <c r="Z1884" s="184">
        <v>1</v>
      </c>
      <c r="AA1884" s="184">
        <v>1</v>
      </c>
      <c r="AB1884" s="184">
        <v>1</v>
      </c>
      <c r="AC1884" s="316">
        <v>0</v>
      </c>
      <c r="AD1884" s="316">
        <v>1</v>
      </c>
      <c r="AE1884" s="302">
        <f t="shared" si="74"/>
        <v>0.75</v>
      </c>
      <c r="AF1884" s="186"/>
      <c r="AG1884" s="17">
        <v>0</v>
      </c>
      <c r="AH1884" s="186">
        <v>2.5</v>
      </c>
      <c r="AI1884" s="186">
        <v>2.5</v>
      </c>
      <c r="AJ1884" s="186">
        <v>2.5</v>
      </c>
      <c r="AK1884" s="187">
        <v>2.5</v>
      </c>
      <c r="AL1884" s="187">
        <v>2.5</v>
      </c>
      <c r="AM1884" s="147">
        <f t="shared" si="73"/>
        <v>5</v>
      </c>
      <c r="AN1884" s="184" t="s">
        <v>63</v>
      </c>
      <c r="AO1884" s="168" t="s">
        <v>2510</v>
      </c>
      <c r="AP1884" s="184" t="s">
        <v>119</v>
      </c>
    </row>
    <row r="1885" spans="1:42" s="184" customFormat="1" x14ac:dyDescent="0.3">
      <c r="A1885" s="183" t="s">
        <v>1453</v>
      </c>
      <c r="B1885" s="184" t="s">
        <v>2496</v>
      </c>
      <c r="C1885" s="183" t="s">
        <v>3003</v>
      </c>
      <c r="D1885" s="184" t="s">
        <v>3004</v>
      </c>
      <c r="E1885" s="183" t="s">
        <v>3005</v>
      </c>
      <c r="F1885" s="184" t="s">
        <v>3006</v>
      </c>
      <c r="G1885" s="183" t="s">
        <v>3031</v>
      </c>
      <c r="H1885" s="184" t="s">
        <v>3032</v>
      </c>
      <c r="J1885" s="188"/>
      <c r="K1885" s="183" t="s">
        <v>3033</v>
      </c>
      <c r="L1885" s="184" t="s">
        <v>3034</v>
      </c>
      <c r="M1885" s="168" t="s">
        <v>3068</v>
      </c>
      <c r="N1885" s="168"/>
      <c r="O1885" s="168">
        <v>4</v>
      </c>
      <c r="P1885" s="189">
        <v>6</v>
      </c>
      <c r="Q1885" s="189">
        <v>8</v>
      </c>
      <c r="R1885" s="189">
        <v>10</v>
      </c>
      <c r="S1885" s="189">
        <v>12</v>
      </c>
      <c r="T1885" s="184" t="s">
        <v>63</v>
      </c>
      <c r="U1885" s="283" t="s">
        <v>2510</v>
      </c>
      <c r="V1885" s="184" t="s">
        <v>3069</v>
      </c>
      <c r="W1885" s="184">
        <v>1</v>
      </c>
      <c r="X1885" s="184">
        <v>1</v>
      </c>
      <c r="Y1885" s="184">
        <v>0</v>
      </c>
      <c r="Z1885" s="184">
        <v>1</v>
      </c>
      <c r="AA1885" s="184">
        <v>1</v>
      </c>
      <c r="AB1885" s="184">
        <v>1</v>
      </c>
      <c r="AC1885" s="316">
        <v>0</v>
      </c>
      <c r="AD1885" s="316">
        <v>1</v>
      </c>
      <c r="AE1885" s="302">
        <f t="shared" si="74"/>
        <v>0.75</v>
      </c>
      <c r="AF1885" s="186"/>
      <c r="AG1885" s="17">
        <v>0</v>
      </c>
      <c r="AH1885" s="186">
        <v>0.6</v>
      </c>
      <c r="AI1885" s="186">
        <v>0.23</v>
      </c>
      <c r="AJ1885" s="186">
        <v>0.35</v>
      </c>
      <c r="AK1885" s="187">
        <v>0.45</v>
      </c>
      <c r="AL1885" s="187">
        <v>0.55000000000000004</v>
      </c>
      <c r="AM1885" s="147">
        <f t="shared" si="73"/>
        <v>1</v>
      </c>
      <c r="AN1885" s="184" t="s">
        <v>63</v>
      </c>
      <c r="AO1885" s="168" t="s">
        <v>2510</v>
      </c>
      <c r="AP1885" s="184" t="s">
        <v>119</v>
      </c>
    </row>
    <row r="1886" spans="1:42" s="184" customFormat="1" x14ac:dyDescent="0.3">
      <c r="A1886" s="183" t="s">
        <v>1453</v>
      </c>
      <c r="B1886" s="184" t="s">
        <v>2496</v>
      </c>
      <c r="C1886" s="183" t="s">
        <v>3003</v>
      </c>
      <c r="D1886" s="184" t="s">
        <v>3004</v>
      </c>
      <c r="E1886" s="183" t="s">
        <v>3005</v>
      </c>
      <c r="F1886" s="184" t="s">
        <v>3006</v>
      </c>
      <c r="G1886" s="183" t="s">
        <v>3031</v>
      </c>
      <c r="H1886" s="184" t="s">
        <v>3032</v>
      </c>
      <c r="J1886" s="188"/>
      <c r="K1886" s="183" t="s">
        <v>3033</v>
      </c>
      <c r="L1886" s="184" t="s">
        <v>3034</v>
      </c>
      <c r="M1886" s="168" t="s">
        <v>3070</v>
      </c>
      <c r="N1886" s="168"/>
      <c r="O1886" s="168">
        <v>4</v>
      </c>
      <c r="P1886" s="189">
        <v>6</v>
      </c>
      <c r="Q1886" s="189">
        <v>8</v>
      </c>
      <c r="R1886" s="189">
        <v>10</v>
      </c>
      <c r="S1886" s="189">
        <v>12</v>
      </c>
      <c r="T1886" s="184" t="s">
        <v>63</v>
      </c>
      <c r="U1886" s="283" t="s">
        <v>2510</v>
      </c>
      <c r="V1886" s="184" t="s">
        <v>3046</v>
      </c>
      <c r="W1886" s="184">
        <v>1</v>
      </c>
      <c r="X1886" s="184">
        <v>1</v>
      </c>
      <c r="Y1886" s="184">
        <v>0</v>
      </c>
      <c r="Z1886" s="184">
        <v>1</v>
      </c>
      <c r="AA1886" s="184">
        <v>1</v>
      </c>
      <c r="AB1886" s="184">
        <v>1</v>
      </c>
      <c r="AC1886" s="316">
        <v>0</v>
      </c>
      <c r="AD1886" s="316">
        <v>1</v>
      </c>
      <c r="AE1886" s="302">
        <f t="shared" si="74"/>
        <v>0.75</v>
      </c>
      <c r="AF1886" s="186"/>
      <c r="AG1886" s="17">
        <v>0</v>
      </c>
      <c r="AH1886" s="186">
        <v>0</v>
      </c>
      <c r="AI1886" s="186" t="s">
        <v>271</v>
      </c>
      <c r="AJ1886" s="186" t="s">
        <v>271</v>
      </c>
      <c r="AK1886" s="187">
        <v>2.5</v>
      </c>
      <c r="AL1886" s="187">
        <v>2.5</v>
      </c>
      <c r="AM1886" s="147">
        <f t="shared" si="73"/>
        <v>5</v>
      </c>
      <c r="AN1886" s="184" t="s">
        <v>63</v>
      </c>
      <c r="AO1886" s="168" t="s">
        <v>2510</v>
      </c>
      <c r="AP1886" s="184" t="s">
        <v>119</v>
      </c>
    </row>
    <row r="1887" spans="1:42" s="184" customFormat="1" x14ac:dyDescent="0.3">
      <c r="A1887" s="183" t="s">
        <v>1453</v>
      </c>
      <c r="B1887" s="184" t="s">
        <v>2496</v>
      </c>
      <c r="C1887" s="183" t="s">
        <v>3003</v>
      </c>
      <c r="D1887" s="184" t="s">
        <v>3004</v>
      </c>
      <c r="E1887" s="183" t="s">
        <v>3005</v>
      </c>
      <c r="F1887" s="184" t="s">
        <v>3006</v>
      </c>
      <c r="G1887" s="183" t="s">
        <v>3031</v>
      </c>
      <c r="H1887" s="184" t="s">
        <v>3032</v>
      </c>
      <c r="J1887" s="188"/>
      <c r="K1887" s="183" t="s">
        <v>3033</v>
      </c>
      <c r="L1887" s="184" t="s">
        <v>3034</v>
      </c>
      <c r="M1887" s="168" t="s">
        <v>3071</v>
      </c>
      <c r="N1887" s="168"/>
      <c r="O1887" s="168">
        <v>100</v>
      </c>
      <c r="P1887" s="189">
        <v>100</v>
      </c>
      <c r="Q1887" s="189">
        <v>100</v>
      </c>
      <c r="R1887" s="189">
        <v>100</v>
      </c>
      <c r="S1887" s="189">
        <v>100</v>
      </c>
      <c r="T1887" s="184" t="s">
        <v>63</v>
      </c>
      <c r="U1887" s="283" t="s">
        <v>2510</v>
      </c>
      <c r="V1887" s="184" t="s">
        <v>3072</v>
      </c>
      <c r="W1887" s="184">
        <v>1</v>
      </c>
      <c r="X1887" s="184">
        <v>1</v>
      </c>
      <c r="Y1887" s="184">
        <v>0</v>
      </c>
      <c r="Z1887" s="184">
        <v>1</v>
      </c>
      <c r="AA1887" s="184">
        <v>1</v>
      </c>
      <c r="AB1887" s="184">
        <v>1</v>
      </c>
      <c r="AC1887" s="316">
        <v>0</v>
      </c>
      <c r="AD1887" s="316">
        <v>1</v>
      </c>
      <c r="AE1887" s="302">
        <f t="shared" si="74"/>
        <v>0.75</v>
      </c>
      <c r="AF1887" s="186"/>
      <c r="AG1887" s="17">
        <v>0</v>
      </c>
      <c r="AH1887" s="186">
        <v>0.01</v>
      </c>
      <c r="AI1887" s="186">
        <v>0.05</v>
      </c>
      <c r="AJ1887" s="186">
        <v>0.2</v>
      </c>
      <c r="AK1887" s="187">
        <v>0.3</v>
      </c>
      <c r="AL1887" s="187">
        <v>0.6</v>
      </c>
      <c r="AM1887" s="147">
        <f t="shared" si="73"/>
        <v>0.89999999999999991</v>
      </c>
      <c r="AN1887" s="184" t="s">
        <v>63</v>
      </c>
      <c r="AO1887" s="168" t="s">
        <v>2510</v>
      </c>
      <c r="AP1887" s="184" t="s">
        <v>119</v>
      </c>
    </row>
    <row r="1888" spans="1:42" s="184" customFormat="1" x14ac:dyDescent="0.3">
      <c r="A1888" s="183" t="s">
        <v>1453</v>
      </c>
      <c r="B1888" s="184" t="s">
        <v>2496</v>
      </c>
      <c r="C1888" s="183" t="s">
        <v>3003</v>
      </c>
      <c r="D1888" s="184" t="s">
        <v>3004</v>
      </c>
      <c r="E1888" s="183" t="s">
        <v>3005</v>
      </c>
      <c r="F1888" s="184" t="s">
        <v>3006</v>
      </c>
      <c r="G1888" s="183" t="s">
        <v>3031</v>
      </c>
      <c r="H1888" s="184" t="s">
        <v>3032</v>
      </c>
      <c r="J1888" s="188"/>
      <c r="K1888" s="183" t="s">
        <v>3033</v>
      </c>
      <c r="L1888" s="184" t="s">
        <v>3034</v>
      </c>
      <c r="M1888" s="168" t="s">
        <v>3073</v>
      </c>
      <c r="N1888" s="168"/>
      <c r="O1888" s="168">
        <v>5</v>
      </c>
      <c r="P1888" s="189">
        <v>15</v>
      </c>
      <c r="Q1888" s="189">
        <v>35</v>
      </c>
      <c r="R1888" s="189">
        <v>45</v>
      </c>
      <c r="S1888" s="189">
        <v>70</v>
      </c>
      <c r="T1888" s="184" t="s">
        <v>63</v>
      </c>
      <c r="U1888" s="283" t="s">
        <v>2510</v>
      </c>
      <c r="V1888" s="184" t="s">
        <v>3073</v>
      </c>
      <c r="W1888" s="184">
        <v>1</v>
      </c>
      <c r="X1888" s="184">
        <v>0</v>
      </c>
      <c r="Y1888" s="184">
        <v>0</v>
      </c>
      <c r="Z1888" s="184">
        <v>1</v>
      </c>
      <c r="AA1888" s="184">
        <v>1</v>
      </c>
      <c r="AB1888" s="184">
        <v>1</v>
      </c>
      <c r="AC1888" s="316">
        <v>0</v>
      </c>
      <c r="AD1888" s="316">
        <v>1</v>
      </c>
      <c r="AE1888" s="302">
        <f t="shared" si="74"/>
        <v>0.625</v>
      </c>
      <c r="AF1888" s="186"/>
      <c r="AG1888" s="17">
        <v>0</v>
      </c>
      <c r="AH1888" s="186">
        <v>0</v>
      </c>
      <c r="AI1888" s="186">
        <v>0.875</v>
      </c>
      <c r="AJ1888" s="186">
        <v>0.875</v>
      </c>
      <c r="AK1888" s="187">
        <v>0.875</v>
      </c>
      <c r="AL1888" s="187">
        <v>0.875</v>
      </c>
      <c r="AM1888" s="147">
        <f t="shared" si="73"/>
        <v>1.75</v>
      </c>
      <c r="AN1888" s="184" t="s">
        <v>3074</v>
      </c>
      <c r="AO1888" s="168" t="s">
        <v>2510</v>
      </c>
      <c r="AP1888" s="184" t="s">
        <v>119</v>
      </c>
    </row>
    <row r="1889" spans="1:42" s="184" customFormat="1" x14ac:dyDescent="0.3">
      <c r="A1889" s="183" t="s">
        <v>1453</v>
      </c>
      <c r="B1889" s="184" t="s">
        <v>2496</v>
      </c>
      <c r="C1889" s="183" t="s">
        <v>3003</v>
      </c>
      <c r="D1889" s="184" t="s">
        <v>3004</v>
      </c>
      <c r="E1889" s="183" t="s">
        <v>3005</v>
      </c>
      <c r="F1889" s="184" t="s">
        <v>3006</v>
      </c>
      <c r="G1889" s="183" t="s">
        <v>3031</v>
      </c>
      <c r="H1889" s="184" t="s">
        <v>3032</v>
      </c>
      <c r="J1889" s="188"/>
      <c r="K1889" s="183" t="s">
        <v>3033</v>
      </c>
      <c r="L1889" s="184" t="s">
        <v>3034</v>
      </c>
      <c r="M1889" s="168" t="s">
        <v>3075</v>
      </c>
      <c r="N1889" s="168"/>
      <c r="O1889" s="168">
        <v>5</v>
      </c>
      <c r="P1889" s="189">
        <v>15</v>
      </c>
      <c r="Q1889" s="189">
        <v>35</v>
      </c>
      <c r="R1889" s="189">
        <v>45</v>
      </c>
      <c r="S1889" s="189">
        <v>70</v>
      </c>
      <c r="T1889" s="184" t="s">
        <v>63</v>
      </c>
      <c r="U1889" s="283" t="s">
        <v>2510</v>
      </c>
      <c r="V1889" s="184" t="s">
        <v>3075</v>
      </c>
      <c r="W1889" s="184">
        <v>1</v>
      </c>
      <c r="X1889" s="184">
        <v>0</v>
      </c>
      <c r="Y1889" s="184">
        <v>0</v>
      </c>
      <c r="Z1889" s="184">
        <v>1</v>
      </c>
      <c r="AA1889" s="184">
        <v>1</v>
      </c>
      <c r="AB1889" s="184">
        <v>1</v>
      </c>
      <c r="AC1889" s="316">
        <v>0</v>
      </c>
      <c r="AD1889" s="316">
        <v>1</v>
      </c>
      <c r="AE1889" s="302">
        <f t="shared" si="74"/>
        <v>0.625</v>
      </c>
      <c r="AF1889" s="186"/>
      <c r="AG1889" s="17">
        <v>0</v>
      </c>
      <c r="AH1889" s="186">
        <v>0</v>
      </c>
      <c r="AI1889" s="186">
        <v>0.5</v>
      </c>
      <c r="AJ1889" s="186">
        <v>0.6</v>
      </c>
      <c r="AK1889" s="187"/>
      <c r="AL1889" s="187">
        <v>0.8</v>
      </c>
      <c r="AM1889" s="147">
        <f t="shared" si="73"/>
        <v>0.8</v>
      </c>
      <c r="AN1889" s="184" t="s">
        <v>3074</v>
      </c>
      <c r="AO1889" s="168" t="s">
        <v>2510</v>
      </c>
      <c r="AP1889" s="184" t="s">
        <v>119</v>
      </c>
    </row>
    <row r="1890" spans="1:42" s="184" customFormat="1" x14ac:dyDescent="0.3">
      <c r="A1890" s="183" t="s">
        <v>1453</v>
      </c>
      <c r="B1890" s="184" t="s">
        <v>2496</v>
      </c>
      <c r="C1890" s="183" t="s">
        <v>3003</v>
      </c>
      <c r="D1890" s="184" t="s">
        <v>3004</v>
      </c>
      <c r="E1890" s="183" t="s">
        <v>3005</v>
      </c>
      <c r="F1890" s="184" t="s">
        <v>3006</v>
      </c>
      <c r="G1890" s="183" t="s">
        <v>3031</v>
      </c>
      <c r="H1890" s="184" t="s">
        <v>3032</v>
      </c>
      <c r="J1890" s="188"/>
      <c r="K1890" s="183" t="s">
        <v>3033</v>
      </c>
      <c r="L1890" s="184" t="s">
        <v>3034</v>
      </c>
      <c r="M1890" s="168" t="s">
        <v>3076</v>
      </c>
      <c r="N1890" s="168"/>
      <c r="O1890" s="168">
        <v>5</v>
      </c>
      <c r="P1890" s="189">
        <v>15</v>
      </c>
      <c r="Q1890" s="189">
        <v>35</v>
      </c>
      <c r="R1890" s="189">
        <v>45</v>
      </c>
      <c r="S1890" s="189">
        <v>70</v>
      </c>
      <c r="T1890" s="184" t="s">
        <v>63</v>
      </c>
      <c r="U1890" s="283" t="s">
        <v>2510</v>
      </c>
      <c r="V1890" s="184" t="s">
        <v>3076</v>
      </c>
      <c r="W1890" s="184">
        <v>1</v>
      </c>
      <c r="X1890" s="184">
        <v>1</v>
      </c>
      <c r="Y1890" s="184">
        <v>0</v>
      </c>
      <c r="Z1890" s="184">
        <v>1</v>
      </c>
      <c r="AA1890" s="184">
        <v>1</v>
      </c>
      <c r="AB1890" s="184">
        <v>1</v>
      </c>
      <c r="AC1890" s="316">
        <v>0</v>
      </c>
      <c r="AD1890" s="316">
        <v>1</v>
      </c>
      <c r="AE1890" s="302">
        <f t="shared" si="74"/>
        <v>0.75</v>
      </c>
      <c r="AF1890" s="186"/>
      <c r="AG1890" s="17">
        <v>0</v>
      </c>
      <c r="AH1890" s="186">
        <v>0</v>
      </c>
      <c r="AI1890" s="186">
        <v>1.5</v>
      </c>
      <c r="AJ1890" s="186">
        <v>2</v>
      </c>
      <c r="AK1890" s="187">
        <v>3</v>
      </c>
      <c r="AL1890" s="187">
        <v>3</v>
      </c>
      <c r="AM1890" s="147">
        <f t="shared" si="73"/>
        <v>6</v>
      </c>
      <c r="AN1890" s="184" t="s">
        <v>3074</v>
      </c>
      <c r="AO1890" s="168" t="s">
        <v>2510</v>
      </c>
      <c r="AP1890" s="184" t="s">
        <v>119</v>
      </c>
    </row>
    <row r="1891" spans="1:42" s="184" customFormat="1" x14ac:dyDescent="0.3">
      <c r="A1891" s="183" t="s">
        <v>1453</v>
      </c>
      <c r="B1891" s="184" t="s">
        <v>2496</v>
      </c>
      <c r="C1891" s="183" t="s">
        <v>3003</v>
      </c>
      <c r="D1891" s="184" t="s">
        <v>3004</v>
      </c>
      <c r="E1891" s="183" t="s">
        <v>3005</v>
      </c>
      <c r="F1891" s="184" t="s">
        <v>3006</v>
      </c>
      <c r="G1891" s="183" t="s">
        <v>3077</v>
      </c>
      <c r="H1891" s="184" t="s">
        <v>3078</v>
      </c>
      <c r="J1891" s="188"/>
      <c r="K1891" s="183" t="s">
        <v>3079</v>
      </c>
      <c r="L1891" s="184" t="s">
        <v>3080</v>
      </c>
      <c r="M1891" s="168" t="s">
        <v>3081</v>
      </c>
      <c r="N1891" s="168" t="s">
        <v>119</v>
      </c>
      <c r="O1891" s="168" t="s">
        <v>271</v>
      </c>
      <c r="P1891" s="189" t="s">
        <v>271</v>
      </c>
      <c r="Q1891" s="189">
        <v>1</v>
      </c>
      <c r="R1891" s="189" t="s">
        <v>271</v>
      </c>
      <c r="S1891" s="189">
        <v>1</v>
      </c>
      <c r="T1891" s="184" t="s">
        <v>63</v>
      </c>
      <c r="U1891" s="283" t="s">
        <v>2510</v>
      </c>
      <c r="V1891" s="184" t="s">
        <v>3082</v>
      </c>
      <c r="W1891" s="184">
        <v>1</v>
      </c>
      <c r="X1891" s="184">
        <v>0</v>
      </c>
      <c r="Y1891" s="184">
        <v>0</v>
      </c>
      <c r="Z1891" s="184">
        <v>1</v>
      </c>
      <c r="AA1891" s="184">
        <v>1</v>
      </c>
      <c r="AB1891" s="184">
        <v>0</v>
      </c>
      <c r="AC1891" s="316">
        <v>0</v>
      </c>
      <c r="AD1891" s="316">
        <v>1</v>
      </c>
      <c r="AE1891" s="302">
        <f t="shared" si="74"/>
        <v>0.5</v>
      </c>
      <c r="AF1891" s="186"/>
      <c r="AG1891" s="17">
        <v>0</v>
      </c>
      <c r="AH1891" s="186">
        <v>0</v>
      </c>
      <c r="AI1891" s="186">
        <v>0</v>
      </c>
      <c r="AJ1891" s="186">
        <v>0.1</v>
      </c>
      <c r="AK1891" s="187">
        <v>0</v>
      </c>
      <c r="AL1891" s="187">
        <v>0.2</v>
      </c>
      <c r="AM1891" s="147">
        <f t="shared" si="73"/>
        <v>0.2</v>
      </c>
      <c r="AN1891" s="184" t="s">
        <v>63</v>
      </c>
      <c r="AO1891" s="168" t="s">
        <v>2510</v>
      </c>
      <c r="AP1891" s="184" t="s">
        <v>119</v>
      </c>
    </row>
    <row r="1892" spans="1:42" s="184" customFormat="1" x14ac:dyDescent="0.3">
      <c r="A1892" s="183" t="s">
        <v>1453</v>
      </c>
      <c r="B1892" s="184" t="s">
        <v>2496</v>
      </c>
      <c r="C1892" s="183" t="s">
        <v>3003</v>
      </c>
      <c r="D1892" s="184" t="s">
        <v>3004</v>
      </c>
      <c r="E1892" s="183" t="s">
        <v>3005</v>
      </c>
      <c r="F1892" s="184" t="s">
        <v>3006</v>
      </c>
      <c r="G1892" s="183" t="s">
        <v>3077</v>
      </c>
      <c r="H1892" s="184" t="s">
        <v>3078</v>
      </c>
      <c r="J1892" s="188"/>
      <c r="K1892" s="183" t="s">
        <v>3083</v>
      </c>
      <c r="L1892" s="184" t="s">
        <v>3084</v>
      </c>
      <c r="M1892" s="168" t="s">
        <v>3085</v>
      </c>
      <c r="N1892" s="168"/>
      <c r="O1892" s="168"/>
      <c r="P1892" s="189">
        <v>20</v>
      </c>
      <c r="Q1892" s="189">
        <v>20</v>
      </c>
      <c r="R1892" s="189">
        <v>21</v>
      </c>
      <c r="S1892" s="189">
        <v>25</v>
      </c>
      <c r="T1892" s="184" t="s">
        <v>63</v>
      </c>
      <c r="U1892" s="283" t="s">
        <v>2510</v>
      </c>
      <c r="V1892" s="184" t="s">
        <v>3086</v>
      </c>
      <c r="W1892" s="184">
        <v>1</v>
      </c>
      <c r="X1892" s="184">
        <v>1</v>
      </c>
      <c r="Y1892" s="184">
        <v>0</v>
      </c>
      <c r="Z1892" s="184">
        <v>1</v>
      </c>
      <c r="AA1892" s="184">
        <v>1</v>
      </c>
      <c r="AB1892" s="184">
        <v>1</v>
      </c>
      <c r="AC1892" s="316">
        <v>0</v>
      </c>
      <c r="AD1892" s="316">
        <v>1</v>
      </c>
      <c r="AE1892" s="302">
        <f t="shared" si="74"/>
        <v>0.75</v>
      </c>
      <c r="AF1892" s="186"/>
      <c r="AG1892" s="17">
        <v>0</v>
      </c>
      <c r="AH1892" s="186">
        <v>0.2</v>
      </c>
      <c r="AI1892" s="186">
        <v>0.25</v>
      </c>
      <c r="AJ1892" s="186">
        <v>0.3</v>
      </c>
      <c r="AK1892" s="187">
        <v>0.35</v>
      </c>
      <c r="AL1892" s="187">
        <v>0.4</v>
      </c>
      <c r="AM1892" s="147">
        <f t="shared" si="73"/>
        <v>0.75</v>
      </c>
      <c r="AN1892" s="184" t="s">
        <v>63</v>
      </c>
      <c r="AO1892" s="168" t="s">
        <v>2510</v>
      </c>
      <c r="AP1892" s="184" t="s">
        <v>119</v>
      </c>
    </row>
    <row r="1893" spans="1:42" s="184" customFormat="1" x14ac:dyDescent="0.3">
      <c r="A1893" s="183" t="s">
        <v>1453</v>
      </c>
      <c r="B1893" s="184" t="s">
        <v>2496</v>
      </c>
      <c r="C1893" s="183" t="s">
        <v>3003</v>
      </c>
      <c r="D1893" s="184" t="s">
        <v>3004</v>
      </c>
      <c r="E1893" s="183" t="s">
        <v>3005</v>
      </c>
      <c r="F1893" s="184" t="s">
        <v>3006</v>
      </c>
      <c r="G1893" s="183" t="s">
        <v>3087</v>
      </c>
      <c r="H1893" s="184" t="s">
        <v>3088</v>
      </c>
      <c r="J1893" s="188"/>
      <c r="K1893" s="183" t="s">
        <v>3089</v>
      </c>
      <c r="L1893" s="184" t="s">
        <v>3090</v>
      </c>
      <c r="M1893" s="168" t="s">
        <v>3091</v>
      </c>
      <c r="N1893" s="168">
        <v>2</v>
      </c>
      <c r="O1893" s="168">
        <v>1</v>
      </c>
      <c r="P1893" s="189">
        <v>8</v>
      </c>
      <c r="Q1893" s="189">
        <v>8</v>
      </c>
      <c r="R1893" s="189">
        <v>8</v>
      </c>
      <c r="S1893" s="189">
        <v>8</v>
      </c>
      <c r="T1893" s="184" t="s">
        <v>63</v>
      </c>
      <c r="U1893" s="283" t="s">
        <v>2510</v>
      </c>
      <c r="V1893" s="184" t="s">
        <v>3092</v>
      </c>
      <c r="W1893" s="184">
        <v>1</v>
      </c>
      <c r="X1893" s="184">
        <v>1</v>
      </c>
      <c r="Y1893" s="184">
        <v>0</v>
      </c>
      <c r="Z1893" s="184">
        <v>1</v>
      </c>
      <c r="AA1893" s="184">
        <v>1</v>
      </c>
      <c r="AB1893" s="184">
        <v>1</v>
      </c>
      <c r="AC1893" s="316">
        <v>0</v>
      </c>
      <c r="AD1893" s="316">
        <v>1</v>
      </c>
      <c r="AE1893" s="302">
        <f t="shared" si="74"/>
        <v>0.75</v>
      </c>
      <c r="AF1893" s="186"/>
      <c r="AG1893" s="17">
        <v>0</v>
      </c>
      <c r="AH1893" s="186">
        <v>0.35</v>
      </c>
      <c r="AI1893" s="186">
        <v>0.4</v>
      </c>
      <c r="AJ1893" s="186">
        <v>0.45</v>
      </c>
      <c r="AK1893" s="187">
        <v>0.5</v>
      </c>
      <c r="AL1893" s="187">
        <v>0.55000000000000004</v>
      </c>
      <c r="AM1893" s="147">
        <f t="shared" si="73"/>
        <v>1.05</v>
      </c>
      <c r="AN1893" s="184" t="s">
        <v>63</v>
      </c>
      <c r="AO1893" s="168" t="s">
        <v>2510</v>
      </c>
      <c r="AP1893" s="184" t="s">
        <v>119</v>
      </c>
    </row>
    <row r="1894" spans="1:42" s="184" customFormat="1" x14ac:dyDescent="0.3">
      <c r="A1894" s="183" t="s">
        <v>1453</v>
      </c>
      <c r="B1894" s="184" t="s">
        <v>2496</v>
      </c>
      <c r="C1894" s="183" t="s">
        <v>3003</v>
      </c>
      <c r="D1894" s="184" t="s">
        <v>3004</v>
      </c>
      <c r="E1894" s="183" t="s">
        <v>3005</v>
      </c>
      <c r="F1894" s="184" t="s">
        <v>3006</v>
      </c>
      <c r="G1894" s="183" t="s">
        <v>3087</v>
      </c>
      <c r="H1894" s="184" t="s">
        <v>3088</v>
      </c>
      <c r="J1894" s="188"/>
      <c r="K1894" s="195" t="s">
        <v>3089</v>
      </c>
      <c r="L1894" s="184" t="s">
        <v>3090</v>
      </c>
      <c r="M1894" s="168" t="s">
        <v>3093</v>
      </c>
      <c r="N1894" s="168"/>
      <c r="O1894" s="168" t="s">
        <v>271</v>
      </c>
      <c r="P1894" s="189" t="s">
        <v>271</v>
      </c>
      <c r="Q1894" s="189">
        <v>1</v>
      </c>
      <c r="R1894" s="189">
        <v>1</v>
      </c>
      <c r="S1894" s="189">
        <v>2</v>
      </c>
      <c r="T1894" s="184" t="s">
        <v>63</v>
      </c>
      <c r="U1894" s="283" t="s">
        <v>2510</v>
      </c>
      <c r="V1894" s="184" t="s">
        <v>3094</v>
      </c>
      <c r="W1894" s="184">
        <v>1</v>
      </c>
      <c r="X1894" s="184">
        <v>1</v>
      </c>
      <c r="Y1894" s="184">
        <v>0</v>
      </c>
      <c r="Z1894" s="184">
        <v>1</v>
      </c>
      <c r="AA1894" s="184">
        <v>1</v>
      </c>
      <c r="AB1894" s="184">
        <v>1</v>
      </c>
      <c r="AC1894" s="316">
        <v>0</v>
      </c>
      <c r="AD1894" s="316">
        <v>1</v>
      </c>
      <c r="AE1894" s="302">
        <f t="shared" si="74"/>
        <v>0.75</v>
      </c>
      <c r="AF1894" s="186"/>
      <c r="AG1894" s="17">
        <v>0</v>
      </c>
      <c r="AH1894" s="186">
        <v>0.1</v>
      </c>
      <c r="AI1894" s="186">
        <v>0.2</v>
      </c>
      <c r="AJ1894" s="186">
        <v>0.2</v>
      </c>
      <c r="AK1894" s="187">
        <v>0.25</v>
      </c>
      <c r="AL1894" s="187">
        <v>0.3</v>
      </c>
      <c r="AM1894" s="147">
        <f t="shared" si="73"/>
        <v>0.55000000000000004</v>
      </c>
      <c r="AN1894" s="184" t="s">
        <v>63</v>
      </c>
      <c r="AO1894" s="168" t="s">
        <v>2510</v>
      </c>
      <c r="AP1894" s="184" t="s">
        <v>119</v>
      </c>
    </row>
    <row r="1895" spans="1:42" s="184" customFormat="1" x14ac:dyDescent="0.3">
      <c r="A1895" s="183" t="s">
        <v>1453</v>
      </c>
      <c r="B1895" s="184" t="s">
        <v>2496</v>
      </c>
      <c r="C1895" s="183" t="s">
        <v>3003</v>
      </c>
      <c r="D1895" s="184" t="s">
        <v>3004</v>
      </c>
      <c r="E1895" s="183" t="s">
        <v>3005</v>
      </c>
      <c r="F1895" s="184" t="s">
        <v>3006</v>
      </c>
      <c r="G1895" s="183" t="s">
        <v>3087</v>
      </c>
      <c r="H1895" s="184" t="s">
        <v>3088</v>
      </c>
      <c r="J1895" s="188"/>
      <c r="K1895" s="195" t="s">
        <v>3095</v>
      </c>
      <c r="L1895" s="184" t="s">
        <v>3096</v>
      </c>
      <c r="M1895" s="168" t="s">
        <v>3097</v>
      </c>
      <c r="N1895" s="168"/>
      <c r="O1895" s="168">
        <v>135</v>
      </c>
      <c r="P1895" s="189">
        <v>135</v>
      </c>
      <c r="Q1895" s="189">
        <v>135</v>
      </c>
      <c r="R1895" s="189">
        <v>135</v>
      </c>
      <c r="S1895" s="189">
        <v>135</v>
      </c>
      <c r="T1895" s="184" t="s">
        <v>63</v>
      </c>
      <c r="U1895" s="283" t="s">
        <v>2510</v>
      </c>
      <c r="V1895" s="184" t="s">
        <v>3098</v>
      </c>
      <c r="W1895" s="184">
        <v>1</v>
      </c>
      <c r="X1895" s="184">
        <v>1</v>
      </c>
      <c r="Y1895" s="184">
        <v>0</v>
      </c>
      <c r="Z1895" s="184">
        <v>1</v>
      </c>
      <c r="AA1895" s="184">
        <v>1</v>
      </c>
      <c r="AB1895" s="184">
        <v>1</v>
      </c>
      <c r="AC1895" s="316">
        <v>0</v>
      </c>
      <c r="AD1895" s="316">
        <v>1</v>
      </c>
      <c r="AE1895" s="302">
        <f t="shared" si="74"/>
        <v>0.75</v>
      </c>
      <c r="AF1895" s="186"/>
      <c r="AG1895" s="17">
        <v>0</v>
      </c>
      <c r="AH1895" s="186">
        <v>0.2</v>
      </c>
      <c r="AI1895" s="186">
        <v>0.3</v>
      </c>
      <c r="AJ1895" s="186">
        <v>0.4</v>
      </c>
      <c r="AK1895" s="187">
        <v>0.8</v>
      </c>
      <c r="AL1895" s="187">
        <v>0.9</v>
      </c>
      <c r="AM1895" s="147">
        <f t="shared" si="73"/>
        <v>1.7000000000000002</v>
      </c>
      <c r="AN1895" s="184" t="s">
        <v>63</v>
      </c>
      <c r="AO1895" s="168" t="s">
        <v>2510</v>
      </c>
      <c r="AP1895" s="184" t="s">
        <v>119</v>
      </c>
    </row>
    <row r="1896" spans="1:42" s="184" customFormat="1" x14ac:dyDescent="0.3">
      <c r="A1896" s="183" t="s">
        <v>1453</v>
      </c>
      <c r="B1896" s="184" t="s">
        <v>2496</v>
      </c>
      <c r="C1896" s="183" t="s">
        <v>3003</v>
      </c>
      <c r="D1896" s="184" t="s">
        <v>3004</v>
      </c>
      <c r="E1896" s="183" t="s">
        <v>3005</v>
      </c>
      <c r="F1896" s="184" t="s">
        <v>3006</v>
      </c>
      <c r="G1896" s="183" t="s">
        <v>3087</v>
      </c>
      <c r="H1896" s="184" t="s">
        <v>3088</v>
      </c>
      <c r="J1896" s="188"/>
      <c r="K1896" s="195" t="s">
        <v>3095</v>
      </c>
      <c r="L1896" s="184" t="s">
        <v>3096</v>
      </c>
      <c r="M1896" s="168" t="s">
        <v>3099</v>
      </c>
      <c r="N1896" s="168"/>
      <c r="O1896" s="168">
        <v>8</v>
      </c>
      <c r="P1896" s="189">
        <v>8</v>
      </c>
      <c r="Q1896" s="189">
        <v>8</v>
      </c>
      <c r="R1896" s="189">
        <v>8</v>
      </c>
      <c r="S1896" s="189">
        <v>8</v>
      </c>
      <c r="T1896" s="184" t="s">
        <v>63</v>
      </c>
      <c r="U1896" s="283" t="s">
        <v>2510</v>
      </c>
      <c r="V1896" s="184" t="s">
        <v>3100</v>
      </c>
      <c r="W1896" s="184">
        <v>1</v>
      </c>
      <c r="X1896" s="184">
        <v>1</v>
      </c>
      <c r="Y1896" s="184">
        <v>0</v>
      </c>
      <c r="Z1896" s="184">
        <v>1</v>
      </c>
      <c r="AA1896" s="184">
        <v>1</v>
      </c>
      <c r="AB1896" s="184">
        <v>1</v>
      </c>
      <c r="AC1896" s="316">
        <v>0</v>
      </c>
      <c r="AD1896" s="316">
        <v>1</v>
      </c>
      <c r="AE1896" s="302">
        <f t="shared" si="74"/>
        <v>0.75</v>
      </c>
      <c r="AF1896" s="186"/>
      <c r="AG1896" s="17">
        <v>0</v>
      </c>
      <c r="AH1896" s="186">
        <v>0.2</v>
      </c>
      <c r="AI1896" s="186">
        <v>0.2</v>
      </c>
      <c r="AJ1896" s="186">
        <v>0.3</v>
      </c>
      <c r="AK1896" s="187">
        <v>0.4</v>
      </c>
      <c r="AL1896" s="187">
        <v>0.5</v>
      </c>
      <c r="AM1896" s="147">
        <f t="shared" si="73"/>
        <v>0.9</v>
      </c>
      <c r="AN1896" s="184" t="s">
        <v>63</v>
      </c>
      <c r="AO1896" s="168" t="s">
        <v>2510</v>
      </c>
      <c r="AP1896" s="184" t="s">
        <v>119</v>
      </c>
    </row>
    <row r="1897" spans="1:42" s="184" customFormat="1" x14ac:dyDescent="0.3">
      <c r="A1897" s="183" t="s">
        <v>1453</v>
      </c>
      <c r="B1897" s="184" t="s">
        <v>2496</v>
      </c>
      <c r="C1897" s="183" t="s">
        <v>3003</v>
      </c>
      <c r="D1897" s="184" t="s">
        <v>3004</v>
      </c>
      <c r="E1897" s="183" t="s">
        <v>3005</v>
      </c>
      <c r="F1897" s="184" t="s">
        <v>3006</v>
      </c>
      <c r="G1897" s="183" t="s">
        <v>3087</v>
      </c>
      <c r="H1897" s="184" t="s">
        <v>3088</v>
      </c>
      <c r="J1897" s="188"/>
      <c r="K1897" s="195" t="s">
        <v>3095</v>
      </c>
      <c r="L1897" s="184" t="s">
        <v>3096</v>
      </c>
      <c r="M1897" s="168" t="s">
        <v>3101</v>
      </c>
      <c r="N1897" s="168"/>
      <c r="O1897" s="168">
        <v>500</v>
      </c>
      <c r="P1897" s="189">
        <v>1000</v>
      </c>
      <c r="Q1897" s="189">
        <v>5000</v>
      </c>
      <c r="R1897" s="189">
        <v>10000</v>
      </c>
      <c r="S1897" s="189">
        <v>15000</v>
      </c>
      <c r="T1897" s="184" t="s">
        <v>63</v>
      </c>
      <c r="U1897" s="283" t="s">
        <v>2510</v>
      </c>
      <c r="V1897" s="184" t="s">
        <v>3102</v>
      </c>
      <c r="W1897" s="184">
        <v>1</v>
      </c>
      <c r="X1897" s="184">
        <v>1</v>
      </c>
      <c r="Y1897" s="184">
        <v>0</v>
      </c>
      <c r="Z1897" s="184">
        <v>1</v>
      </c>
      <c r="AA1897" s="184">
        <v>1</v>
      </c>
      <c r="AB1897" s="184">
        <v>1</v>
      </c>
      <c r="AC1897" s="316">
        <v>0</v>
      </c>
      <c r="AD1897" s="316">
        <v>1</v>
      </c>
      <c r="AE1897" s="302">
        <f t="shared" si="74"/>
        <v>0.75</v>
      </c>
      <c r="AF1897" s="186"/>
      <c r="AG1897" s="17">
        <v>0</v>
      </c>
      <c r="AH1897" s="186">
        <v>0.2</v>
      </c>
      <c r="AI1897" s="186">
        <v>0.4</v>
      </c>
      <c r="AJ1897" s="186">
        <v>0.6</v>
      </c>
      <c r="AK1897" s="187">
        <v>0.8</v>
      </c>
      <c r="AL1897" s="187">
        <v>1</v>
      </c>
      <c r="AM1897" s="147">
        <f t="shared" si="73"/>
        <v>1.8</v>
      </c>
      <c r="AN1897" s="184" t="s">
        <v>63</v>
      </c>
      <c r="AO1897" s="168" t="s">
        <v>2510</v>
      </c>
      <c r="AP1897" s="184" t="s">
        <v>119</v>
      </c>
    </row>
    <row r="1898" spans="1:42" s="184" customFormat="1" x14ac:dyDescent="0.3">
      <c r="A1898" s="183" t="s">
        <v>1453</v>
      </c>
      <c r="B1898" s="184" t="s">
        <v>2496</v>
      </c>
      <c r="C1898" s="183" t="s">
        <v>3003</v>
      </c>
      <c r="D1898" s="184" t="s">
        <v>3004</v>
      </c>
      <c r="E1898" s="183" t="s">
        <v>3005</v>
      </c>
      <c r="F1898" s="184" t="s">
        <v>3006</v>
      </c>
      <c r="G1898" s="183" t="s">
        <v>3103</v>
      </c>
      <c r="H1898" s="184" t="s">
        <v>3104</v>
      </c>
      <c r="J1898" s="188"/>
      <c r="K1898" s="183" t="s">
        <v>3105</v>
      </c>
      <c r="L1898" s="184" t="s">
        <v>3106</v>
      </c>
      <c r="M1898" s="168" t="s">
        <v>3107</v>
      </c>
      <c r="N1898" s="168">
        <v>0</v>
      </c>
      <c r="O1898" s="168">
        <v>5</v>
      </c>
      <c r="P1898" s="189">
        <v>10</v>
      </c>
      <c r="Q1898" s="189">
        <v>20</v>
      </c>
      <c r="R1898" s="189">
        <v>30</v>
      </c>
      <c r="S1898" s="189">
        <v>40</v>
      </c>
      <c r="T1898" s="184" t="s">
        <v>63</v>
      </c>
      <c r="U1898" s="283" t="s">
        <v>2510</v>
      </c>
      <c r="V1898" s="184" t="s">
        <v>3108</v>
      </c>
      <c r="W1898" s="184">
        <v>1</v>
      </c>
      <c r="X1898" s="184">
        <v>1</v>
      </c>
      <c r="Y1898" s="184">
        <v>0</v>
      </c>
      <c r="Z1898" s="184">
        <v>1</v>
      </c>
      <c r="AA1898" s="184">
        <v>1</v>
      </c>
      <c r="AB1898" s="184">
        <v>1</v>
      </c>
      <c r="AC1898" s="316">
        <v>0</v>
      </c>
      <c r="AD1898" s="316">
        <v>1</v>
      </c>
      <c r="AE1898" s="302">
        <f t="shared" si="74"/>
        <v>0.75</v>
      </c>
      <c r="AF1898" s="186"/>
      <c r="AG1898" s="17">
        <v>0</v>
      </c>
      <c r="AH1898" s="186">
        <v>0</v>
      </c>
      <c r="AI1898" s="186">
        <v>0.35</v>
      </c>
      <c r="AJ1898" s="186">
        <v>0</v>
      </c>
      <c r="AK1898" s="187">
        <v>0.45</v>
      </c>
      <c r="AL1898" s="187">
        <v>0.1</v>
      </c>
      <c r="AM1898" s="147">
        <f t="shared" si="73"/>
        <v>0.55000000000000004</v>
      </c>
      <c r="AN1898" s="184" t="s">
        <v>63</v>
      </c>
      <c r="AO1898" s="168" t="s">
        <v>2510</v>
      </c>
      <c r="AP1898" s="184" t="s">
        <v>119</v>
      </c>
    </row>
    <row r="1899" spans="1:42" s="184" customFormat="1" x14ac:dyDescent="0.3">
      <c r="A1899" s="183" t="s">
        <v>1453</v>
      </c>
      <c r="B1899" s="184" t="s">
        <v>2496</v>
      </c>
      <c r="C1899" s="183" t="s">
        <v>2498</v>
      </c>
      <c r="D1899" s="184" t="s">
        <v>2499</v>
      </c>
      <c r="E1899" s="183" t="s">
        <v>3109</v>
      </c>
      <c r="F1899" s="184" t="s">
        <v>3110</v>
      </c>
      <c r="G1899" s="183" t="s">
        <v>3111</v>
      </c>
      <c r="H1899" s="184" t="s">
        <v>3112</v>
      </c>
      <c r="J1899" s="188"/>
      <c r="K1899" s="183" t="s">
        <v>3113</v>
      </c>
      <c r="L1899" s="184" t="s">
        <v>3114</v>
      </c>
      <c r="M1899" s="168" t="s">
        <v>3115</v>
      </c>
      <c r="N1899" s="168"/>
      <c r="O1899" s="168" t="s">
        <v>271</v>
      </c>
      <c r="P1899" s="189" t="s">
        <v>271</v>
      </c>
      <c r="Q1899" s="189">
        <v>1</v>
      </c>
      <c r="R1899" s="189">
        <v>0</v>
      </c>
      <c r="S1899" s="189">
        <v>1</v>
      </c>
      <c r="T1899" s="184" t="s">
        <v>63</v>
      </c>
      <c r="U1899" s="283" t="s">
        <v>2510</v>
      </c>
      <c r="V1899" s="184" t="s">
        <v>3116</v>
      </c>
      <c r="W1899" s="184">
        <v>1</v>
      </c>
      <c r="X1899" s="184">
        <v>1</v>
      </c>
      <c r="Y1899" s="184">
        <v>0</v>
      </c>
      <c r="Z1899" s="184">
        <v>1</v>
      </c>
      <c r="AA1899" s="184">
        <v>1</v>
      </c>
      <c r="AB1899" s="184">
        <v>1</v>
      </c>
      <c r="AC1899" s="316">
        <v>0</v>
      </c>
      <c r="AD1899" s="316">
        <v>1</v>
      </c>
      <c r="AE1899" s="302">
        <f t="shared" si="74"/>
        <v>0.75</v>
      </c>
      <c r="AF1899" s="186"/>
      <c r="AG1899" s="17">
        <v>0</v>
      </c>
      <c r="AH1899" s="186">
        <v>0</v>
      </c>
      <c r="AI1899" s="186">
        <v>0</v>
      </c>
      <c r="AJ1899" s="186">
        <v>4</v>
      </c>
      <c r="AK1899" s="187">
        <v>0</v>
      </c>
      <c r="AL1899" s="187">
        <v>15</v>
      </c>
      <c r="AM1899" s="147">
        <f t="shared" si="73"/>
        <v>15</v>
      </c>
      <c r="AN1899" s="184" t="s">
        <v>63</v>
      </c>
      <c r="AO1899" s="168" t="s">
        <v>2510</v>
      </c>
      <c r="AP1899" s="184" t="s">
        <v>119</v>
      </c>
    </row>
    <row r="1900" spans="1:42" s="184" customFormat="1" x14ac:dyDescent="0.3">
      <c r="A1900" s="183" t="s">
        <v>1453</v>
      </c>
      <c r="B1900" s="184" t="s">
        <v>2496</v>
      </c>
      <c r="C1900" s="183" t="s">
        <v>2498</v>
      </c>
      <c r="D1900" s="184" t="s">
        <v>2499</v>
      </c>
      <c r="E1900" s="183" t="s">
        <v>3109</v>
      </c>
      <c r="F1900" s="184" t="s">
        <v>3110</v>
      </c>
      <c r="G1900" s="183" t="s">
        <v>3111</v>
      </c>
      <c r="H1900" s="184" t="s">
        <v>3112</v>
      </c>
      <c r="J1900" s="188"/>
      <c r="K1900" s="183" t="s">
        <v>3113</v>
      </c>
      <c r="L1900" s="184" t="s">
        <v>3114</v>
      </c>
      <c r="M1900" s="168" t="s">
        <v>3117</v>
      </c>
      <c r="N1900" s="168"/>
      <c r="O1900" s="168" t="s">
        <v>271</v>
      </c>
      <c r="P1900" s="189">
        <v>1</v>
      </c>
      <c r="Q1900" s="189">
        <v>1</v>
      </c>
      <c r="R1900" s="189">
        <v>1</v>
      </c>
      <c r="S1900" s="189">
        <v>1</v>
      </c>
      <c r="T1900" s="184" t="s">
        <v>63</v>
      </c>
      <c r="U1900" s="283" t="s">
        <v>2510</v>
      </c>
      <c r="V1900" s="184" t="s">
        <v>3118</v>
      </c>
      <c r="W1900" s="184">
        <v>1</v>
      </c>
      <c r="X1900" s="184">
        <v>1</v>
      </c>
      <c r="Y1900" s="184">
        <v>1</v>
      </c>
      <c r="Z1900" s="184">
        <v>1</v>
      </c>
      <c r="AA1900" s="184">
        <v>1</v>
      </c>
      <c r="AB1900" s="184">
        <v>1</v>
      </c>
      <c r="AC1900" s="316">
        <v>1</v>
      </c>
      <c r="AD1900" s="316">
        <v>1</v>
      </c>
      <c r="AE1900" s="302">
        <f t="shared" si="74"/>
        <v>1</v>
      </c>
      <c r="AF1900" s="186"/>
      <c r="AG1900" s="17">
        <v>0</v>
      </c>
      <c r="AH1900" s="186">
        <v>0</v>
      </c>
      <c r="AI1900" s="186">
        <v>10</v>
      </c>
      <c r="AJ1900" s="186">
        <v>10</v>
      </c>
      <c r="AK1900" s="187">
        <v>10</v>
      </c>
      <c r="AL1900" s="187">
        <v>10</v>
      </c>
      <c r="AM1900" s="147">
        <f t="shared" si="73"/>
        <v>20</v>
      </c>
      <c r="AN1900" s="184" t="s">
        <v>63</v>
      </c>
      <c r="AO1900" s="168" t="s">
        <v>2510</v>
      </c>
      <c r="AP1900" s="184" t="s">
        <v>119</v>
      </c>
    </row>
    <row r="1901" spans="1:42" s="184" customFormat="1" x14ac:dyDescent="0.3">
      <c r="A1901" s="183" t="s">
        <v>1453</v>
      </c>
      <c r="B1901" s="184" t="s">
        <v>2496</v>
      </c>
      <c r="C1901" s="183" t="s">
        <v>2498</v>
      </c>
      <c r="D1901" s="184" t="s">
        <v>2499</v>
      </c>
      <c r="E1901" s="183" t="s">
        <v>3109</v>
      </c>
      <c r="F1901" s="184" t="s">
        <v>3110</v>
      </c>
      <c r="G1901" s="183" t="s">
        <v>3111</v>
      </c>
      <c r="H1901" s="184" t="s">
        <v>3112</v>
      </c>
      <c r="J1901" s="188"/>
      <c r="K1901" s="183" t="s">
        <v>3113</v>
      </c>
      <c r="L1901" s="184" t="s">
        <v>3114</v>
      </c>
      <c r="M1901" s="168" t="s">
        <v>3119</v>
      </c>
      <c r="N1901" s="168"/>
      <c r="O1901" s="168"/>
      <c r="P1901" s="189"/>
      <c r="Q1901" s="189"/>
      <c r="R1901" s="189"/>
      <c r="S1901" s="189"/>
      <c r="T1901" s="184" t="s">
        <v>2528</v>
      </c>
      <c r="U1901" s="283" t="s">
        <v>2530</v>
      </c>
      <c r="V1901" s="184" t="s">
        <v>3120</v>
      </c>
      <c r="W1901" s="184">
        <v>1</v>
      </c>
      <c r="X1901" s="184">
        <v>1</v>
      </c>
      <c r="Y1901" s="184">
        <v>1</v>
      </c>
      <c r="Z1901" s="184">
        <v>1</v>
      </c>
      <c r="AA1901" s="184">
        <v>1</v>
      </c>
      <c r="AB1901" s="184">
        <v>1</v>
      </c>
      <c r="AC1901" s="316">
        <v>1</v>
      </c>
      <c r="AD1901" s="316">
        <v>1</v>
      </c>
      <c r="AE1901" s="302">
        <f t="shared" si="74"/>
        <v>1</v>
      </c>
      <c r="AF1901" s="186"/>
      <c r="AG1901" s="17">
        <v>0</v>
      </c>
      <c r="AH1901" s="186">
        <v>170</v>
      </c>
      <c r="AI1901" s="186">
        <v>200</v>
      </c>
      <c r="AJ1901" s="186">
        <v>0</v>
      </c>
      <c r="AK1901" s="187">
        <v>0</v>
      </c>
      <c r="AL1901" s="187">
        <v>0</v>
      </c>
      <c r="AM1901" s="147">
        <f t="shared" si="73"/>
        <v>0</v>
      </c>
      <c r="AN1901" s="184" t="s">
        <v>2528</v>
      </c>
      <c r="AO1901" s="168" t="s">
        <v>2530</v>
      </c>
      <c r="AP1901" s="184" t="s">
        <v>119</v>
      </c>
    </row>
    <row r="1902" spans="1:42" s="184" customFormat="1" x14ac:dyDescent="0.3">
      <c r="A1902" s="183" t="s">
        <v>1453</v>
      </c>
      <c r="B1902" s="184" t="s">
        <v>2496</v>
      </c>
      <c r="C1902" s="183" t="s">
        <v>2498</v>
      </c>
      <c r="D1902" s="184" t="s">
        <v>2499</v>
      </c>
      <c r="E1902" s="183" t="s">
        <v>3109</v>
      </c>
      <c r="F1902" s="184" t="s">
        <v>3110</v>
      </c>
      <c r="G1902" s="183" t="s">
        <v>3111</v>
      </c>
      <c r="H1902" s="184" t="s">
        <v>3112</v>
      </c>
      <c r="J1902" s="188"/>
      <c r="K1902" s="183" t="s">
        <v>3121</v>
      </c>
      <c r="L1902" s="184" t="s">
        <v>3122</v>
      </c>
      <c r="M1902" s="168" t="s">
        <v>3123</v>
      </c>
      <c r="N1902" s="168"/>
      <c r="O1902" s="168">
        <v>4</v>
      </c>
      <c r="P1902" s="189">
        <v>4</v>
      </c>
      <c r="Q1902" s="189">
        <v>4</v>
      </c>
      <c r="R1902" s="189">
        <v>4</v>
      </c>
      <c r="S1902" s="189">
        <v>4</v>
      </c>
      <c r="T1902" s="184" t="s">
        <v>63</v>
      </c>
      <c r="U1902" s="283" t="s">
        <v>2510</v>
      </c>
      <c r="V1902" s="184" t="s">
        <v>3124</v>
      </c>
      <c r="W1902" s="184">
        <v>1</v>
      </c>
      <c r="X1902" s="184">
        <v>1</v>
      </c>
      <c r="Y1902" s="184">
        <v>0</v>
      </c>
      <c r="Z1902" s="184">
        <v>1</v>
      </c>
      <c r="AA1902" s="184">
        <v>1</v>
      </c>
      <c r="AB1902" s="184">
        <v>1</v>
      </c>
      <c r="AC1902" s="316">
        <v>0</v>
      </c>
      <c r="AD1902" s="316">
        <v>1</v>
      </c>
      <c r="AE1902" s="302">
        <f t="shared" si="74"/>
        <v>0.75</v>
      </c>
      <c r="AF1902" s="186"/>
      <c r="AG1902" s="17">
        <v>0</v>
      </c>
      <c r="AH1902" s="186">
        <v>9.1999999999999993</v>
      </c>
      <c r="AI1902" s="186">
        <v>9.4</v>
      </c>
      <c r="AJ1902" s="186">
        <v>9.5</v>
      </c>
      <c r="AK1902" s="187">
        <v>9.5</v>
      </c>
      <c r="AL1902" s="187">
        <v>9.5</v>
      </c>
      <c r="AM1902" s="147">
        <f t="shared" si="73"/>
        <v>19</v>
      </c>
      <c r="AN1902" s="184" t="s">
        <v>63</v>
      </c>
      <c r="AO1902" s="168" t="s">
        <v>2510</v>
      </c>
      <c r="AP1902" s="184" t="s">
        <v>119</v>
      </c>
    </row>
    <row r="1903" spans="1:42" s="184" customFormat="1" x14ac:dyDescent="0.3">
      <c r="A1903" s="183" t="s">
        <v>1453</v>
      </c>
      <c r="B1903" s="184" t="s">
        <v>2496</v>
      </c>
      <c r="C1903" s="183" t="s">
        <v>2498</v>
      </c>
      <c r="D1903" s="184" t="s">
        <v>2499</v>
      </c>
      <c r="E1903" s="183" t="s">
        <v>3109</v>
      </c>
      <c r="F1903" s="184" t="s">
        <v>3110</v>
      </c>
      <c r="G1903" s="183" t="s">
        <v>3111</v>
      </c>
      <c r="H1903" s="184" t="s">
        <v>3112</v>
      </c>
      <c r="J1903" s="188"/>
      <c r="K1903" s="183" t="s">
        <v>3121</v>
      </c>
      <c r="L1903" s="184" t="s">
        <v>3122</v>
      </c>
      <c r="M1903" s="168" t="s">
        <v>3125</v>
      </c>
      <c r="N1903" s="168"/>
      <c r="O1903" s="168">
        <v>5200</v>
      </c>
      <c r="P1903" s="189">
        <v>5200</v>
      </c>
      <c r="Q1903" s="189">
        <v>5200</v>
      </c>
      <c r="R1903" s="189">
        <v>5200</v>
      </c>
      <c r="S1903" s="189">
        <v>5200</v>
      </c>
      <c r="T1903" s="184" t="s">
        <v>63</v>
      </c>
      <c r="U1903" s="283" t="s">
        <v>2510</v>
      </c>
      <c r="V1903" s="184" t="s">
        <v>3126</v>
      </c>
      <c r="W1903" s="184">
        <v>1</v>
      </c>
      <c r="X1903" s="184">
        <v>1</v>
      </c>
      <c r="Y1903" s="184">
        <v>0</v>
      </c>
      <c r="Z1903" s="184">
        <v>1</v>
      </c>
      <c r="AA1903" s="184">
        <v>1</v>
      </c>
      <c r="AB1903" s="184">
        <v>1</v>
      </c>
      <c r="AC1903" s="316">
        <v>1</v>
      </c>
      <c r="AD1903" s="316">
        <v>1</v>
      </c>
      <c r="AE1903" s="302">
        <f t="shared" si="74"/>
        <v>0.875</v>
      </c>
      <c r="AF1903" s="186"/>
      <c r="AG1903" s="17">
        <v>0</v>
      </c>
      <c r="AH1903" s="186">
        <v>19.55</v>
      </c>
      <c r="AI1903" s="186">
        <v>21.75</v>
      </c>
      <c r="AJ1903" s="186">
        <v>21.75</v>
      </c>
      <c r="AK1903" s="187">
        <v>21.75</v>
      </c>
      <c r="AL1903" s="187">
        <v>21.75</v>
      </c>
      <c r="AM1903" s="147">
        <f t="shared" si="73"/>
        <v>43.5</v>
      </c>
      <c r="AN1903" s="184" t="s">
        <v>63</v>
      </c>
      <c r="AO1903" s="168" t="s">
        <v>2510</v>
      </c>
      <c r="AP1903" s="184" t="s">
        <v>119</v>
      </c>
    </row>
    <row r="1904" spans="1:42" s="184" customFormat="1" x14ac:dyDescent="0.3">
      <c r="A1904" s="183" t="s">
        <v>1453</v>
      </c>
      <c r="B1904" s="184" t="s">
        <v>2496</v>
      </c>
      <c r="C1904" s="183" t="s">
        <v>2498</v>
      </c>
      <c r="D1904" s="184" t="s">
        <v>2499</v>
      </c>
      <c r="E1904" s="183" t="s">
        <v>3109</v>
      </c>
      <c r="F1904" s="184" t="s">
        <v>3110</v>
      </c>
      <c r="G1904" s="183" t="s">
        <v>3111</v>
      </c>
      <c r="H1904" s="184" t="s">
        <v>3112</v>
      </c>
      <c r="J1904" s="188"/>
      <c r="K1904" s="183" t="s">
        <v>3121</v>
      </c>
      <c r="L1904" s="184" t="s">
        <v>3122</v>
      </c>
      <c r="M1904" s="168" t="s">
        <v>3127</v>
      </c>
      <c r="N1904" s="168"/>
      <c r="O1904" s="168">
        <v>95</v>
      </c>
      <c r="P1904" s="189">
        <v>95</v>
      </c>
      <c r="Q1904" s="189">
        <v>95</v>
      </c>
      <c r="R1904" s="189">
        <v>95</v>
      </c>
      <c r="S1904" s="189">
        <v>95</v>
      </c>
      <c r="T1904" s="184" t="s">
        <v>63</v>
      </c>
      <c r="U1904" s="283" t="s">
        <v>2510</v>
      </c>
      <c r="V1904" s="184" t="s">
        <v>3128</v>
      </c>
      <c r="W1904" s="184">
        <v>1</v>
      </c>
      <c r="X1904" s="184">
        <v>1</v>
      </c>
      <c r="Y1904" s="184">
        <v>0</v>
      </c>
      <c r="Z1904" s="184">
        <v>1</v>
      </c>
      <c r="AA1904" s="184">
        <v>1</v>
      </c>
      <c r="AB1904" s="184">
        <v>1</v>
      </c>
      <c r="AC1904" s="316">
        <v>0</v>
      </c>
      <c r="AD1904" s="316">
        <v>1</v>
      </c>
      <c r="AE1904" s="302">
        <f t="shared" si="74"/>
        <v>0.75</v>
      </c>
      <c r="AF1904" s="186"/>
      <c r="AG1904" s="17">
        <v>0</v>
      </c>
      <c r="AH1904" s="186">
        <v>0.2</v>
      </c>
      <c r="AI1904" s="186">
        <v>0.5</v>
      </c>
      <c r="AJ1904" s="186">
        <v>0.5</v>
      </c>
      <c r="AK1904" s="187">
        <v>0.5</v>
      </c>
      <c r="AL1904" s="187">
        <v>0.6</v>
      </c>
      <c r="AM1904" s="147">
        <f t="shared" si="73"/>
        <v>1.1000000000000001</v>
      </c>
      <c r="AN1904" s="184" t="s">
        <v>63</v>
      </c>
      <c r="AO1904" s="168" t="s">
        <v>2510</v>
      </c>
      <c r="AP1904" s="184" t="s">
        <v>119</v>
      </c>
    </row>
    <row r="1905" spans="1:42" s="184" customFormat="1" x14ac:dyDescent="0.3">
      <c r="A1905" s="183" t="s">
        <v>1453</v>
      </c>
      <c r="B1905" s="184" t="s">
        <v>2496</v>
      </c>
      <c r="C1905" s="183" t="s">
        <v>2498</v>
      </c>
      <c r="D1905" s="184" t="s">
        <v>2499</v>
      </c>
      <c r="E1905" s="183" t="s">
        <v>3109</v>
      </c>
      <c r="F1905" s="184" t="s">
        <v>3110</v>
      </c>
      <c r="G1905" s="183" t="s">
        <v>3111</v>
      </c>
      <c r="H1905" s="184" t="s">
        <v>3112</v>
      </c>
      <c r="J1905" s="188"/>
      <c r="K1905" s="183" t="s">
        <v>3121</v>
      </c>
      <c r="L1905" s="184" t="s">
        <v>3122</v>
      </c>
      <c r="M1905" s="168" t="s">
        <v>3129</v>
      </c>
      <c r="N1905" s="168"/>
      <c r="O1905" s="168">
        <v>1</v>
      </c>
      <c r="P1905" s="189">
        <v>1</v>
      </c>
      <c r="Q1905" s="189">
        <v>1</v>
      </c>
      <c r="R1905" s="189">
        <v>1</v>
      </c>
      <c r="S1905" s="189">
        <v>1</v>
      </c>
      <c r="T1905" s="184" t="s">
        <v>63</v>
      </c>
      <c r="U1905" s="283" t="s">
        <v>2510</v>
      </c>
      <c r="V1905" s="184" t="s">
        <v>3130</v>
      </c>
      <c r="W1905" s="184">
        <v>1</v>
      </c>
      <c r="X1905" s="184">
        <v>1</v>
      </c>
      <c r="Y1905" s="184">
        <v>0</v>
      </c>
      <c r="Z1905" s="184">
        <v>1</v>
      </c>
      <c r="AA1905" s="184">
        <v>1</v>
      </c>
      <c r="AB1905" s="184">
        <v>1</v>
      </c>
      <c r="AC1905" s="316">
        <v>0</v>
      </c>
      <c r="AD1905" s="316">
        <v>1</v>
      </c>
      <c r="AE1905" s="302">
        <f t="shared" si="74"/>
        <v>0.75</v>
      </c>
      <c r="AF1905" s="186"/>
      <c r="AG1905" s="17">
        <v>0</v>
      </c>
      <c r="AH1905" s="186">
        <v>0.41</v>
      </c>
      <c r="AI1905" s="186">
        <v>0.42</v>
      </c>
      <c r="AJ1905" s="186">
        <v>0.42</v>
      </c>
      <c r="AK1905" s="187">
        <v>0.42</v>
      </c>
      <c r="AL1905" s="187">
        <v>0.42</v>
      </c>
      <c r="AM1905" s="147">
        <f t="shared" si="73"/>
        <v>0.84</v>
      </c>
      <c r="AN1905" s="184" t="s">
        <v>63</v>
      </c>
      <c r="AO1905" s="168" t="s">
        <v>2510</v>
      </c>
      <c r="AP1905" s="184" t="s">
        <v>119</v>
      </c>
    </row>
    <row r="1906" spans="1:42" s="184" customFormat="1" x14ac:dyDescent="0.3">
      <c r="A1906" s="183" t="s">
        <v>1453</v>
      </c>
      <c r="B1906" s="184" t="s">
        <v>2496</v>
      </c>
      <c r="C1906" s="183" t="s">
        <v>2498</v>
      </c>
      <c r="D1906" s="184" t="s">
        <v>2499</v>
      </c>
      <c r="E1906" s="183" t="s">
        <v>3109</v>
      </c>
      <c r="F1906" s="184" t="s">
        <v>3110</v>
      </c>
      <c r="G1906" s="183" t="s">
        <v>3111</v>
      </c>
      <c r="H1906" s="184" t="s">
        <v>3112</v>
      </c>
      <c r="J1906" s="188"/>
      <c r="K1906" s="183" t="s">
        <v>3121</v>
      </c>
      <c r="L1906" s="184" t="s">
        <v>3122</v>
      </c>
      <c r="M1906" s="168" t="s">
        <v>3131</v>
      </c>
      <c r="N1906" s="168"/>
      <c r="O1906" s="168" t="s">
        <v>271</v>
      </c>
      <c r="P1906" s="189">
        <v>1</v>
      </c>
      <c r="Q1906" s="189" t="s">
        <v>271</v>
      </c>
      <c r="R1906" s="189">
        <v>1</v>
      </c>
      <c r="S1906" s="189">
        <v>1</v>
      </c>
      <c r="T1906" s="184" t="s">
        <v>63</v>
      </c>
      <c r="U1906" s="283" t="s">
        <v>2510</v>
      </c>
      <c r="V1906" s="184" t="s">
        <v>3132</v>
      </c>
      <c r="W1906" s="184">
        <v>1</v>
      </c>
      <c r="X1906" s="184">
        <v>0</v>
      </c>
      <c r="Y1906" s="184">
        <v>0</v>
      </c>
      <c r="Z1906" s="184">
        <v>1</v>
      </c>
      <c r="AA1906" s="184">
        <v>1</v>
      </c>
      <c r="AB1906" s="184">
        <v>1</v>
      </c>
      <c r="AC1906" s="316">
        <v>0</v>
      </c>
      <c r="AD1906" s="316">
        <v>1</v>
      </c>
      <c r="AE1906" s="302">
        <f t="shared" si="74"/>
        <v>0.625</v>
      </c>
      <c r="AF1906" s="186"/>
      <c r="AG1906" s="17">
        <v>0</v>
      </c>
      <c r="AH1906" s="186">
        <v>0</v>
      </c>
      <c r="AI1906" s="186">
        <v>0</v>
      </c>
      <c r="AJ1906" s="186">
        <v>0</v>
      </c>
      <c r="AK1906" s="187">
        <v>0</v>
      </c>
      <c r="AL1906" s="187">
        <v>0</v>
      </c>
      <c r="AM1906" s="147">
        <f t="shared" si="73"/>
        <v>0</v>
      </c>
      <c r="AN1906" s="184" t="s">
        <v>63</v>
      </c>
      <c r="AO1906" s="168" t="s">
        <v>2510</v>
      </c>
      <c r="AP1906" s="184" t="s">
        <v>119</v>
      </c>
    </row>
    <row r="1907" spans="1:42" s="184" customFormat="1" x14ac:dyDescent="0.3">
      <c r="A1907" s="183" t="s">
        <v>1453</v>
      </c>
      <c r="B1907" s="184" t="s">
        <v>2496</v>
      </c>
      <c r="C1907" s="183" t="s">
        <v>2498</v>
      </c>
      <c r="D1907" s="184" t="s">
        <v>2499</v>
      </c>
      <c r="E1907" s="183" t="s">
        <v>3109</v>
      </c>
      <c r="F1907" s="184" t="s">
        <v>3110</v>
      </c>
      <c r="G1907" s="183" t="s">
        <v>3133</v>
      </c>
      <c r="H1907" s="184" t="s">
        <v>3134</v>
      </c>
      <c r="J1907" s="188"/>
      <c r="K1907" s="195" t="s">
        <v>3135</v>
      </c>
      <c r="L1907" s="184" t="s">
        <v>3136</v>
      </c>
      <c r="M1907" s="168" t="s">
        <v>3137</v>
      </c>
      <c r="N1907" s="168"/>
      <c r="O1907" s="168"/>
      <c r="P1907" s="189"/>
      <c r="Q1907" s="189"/>
      <c r="R1907" s="189">
        <v>50</v>
      </c>
      <c r="S1907" s="189">
        <v>50</v>
      </c>
      <c r="T1907" s="184" t="s">
        <v>63</v>
      </c>
      <c r="U1907" s="283" t="s">
        <v>2510</v>
      </c>
      <c r="AC1907" s="316">
        <v>0</v>
      </c>
      <c r="AD1907" s="316">
        <v>0</v>
      </c>
      <c r="AE1907" s="302">
        <f t="shared" si="74"/>
        <v>0</v>
      </c>
      <c r="AF1907" s="190"/>
      <c r="AG1907" s="17">
        <v>0</v>
      </c>
      <c r="AH1907" s="190"/>
      <c r="AI1907" s="190"/>
      <c r="AJ1907" s="190"/>
      <c r="AK1907" s="191"/>
      <c r="AL1907" s="191"/>
      <c r="AM1907" s="147">
        <f t="shared" si="73"/>
        <v>0</v>
      </c>
      <c r="AO1907" s="168"/>
    </row>
    <row r="1908" spans="1:42" s="184" customFormat="1" x14ac:dyDescent="0.3">
      <c r="A1908" s="183" t="s">
        <v>1453</v>
      </c>
      <c r="B1908" s="184" t="s">
        <v>2496</v>
      </c>
      <c r="C1908" s="183" t="s">
        <v>2498</v>
      </c>
      <c r="D1908" s="184" t="s">
        <v>2499</v>
      </c>
      <c r="E1908" s="183" t="s">
        <v>3109</v>
      </c>
      <c r="F1908" s="184" t="s">
        <v>3110</v>
      </c>
      <c r="G1908" s="183" t="s">
        <v>3133</v>
      </c>
      <c r="H1908" s="184" t="s">
        <v>3134</v>
      </c>
      <c r="J1908" s="188"/>
      <c r="K1908" s="195" t="s">
        <v>3135</v>
      </c>
      <c r="L1908" s="184" t="s">
        <v>3136</v>
      </c>
      <c r="M1908" s="168" t="s">
        <v>3138</v>
      </c>
      <c r="N1908" s="168">
        <v>0</v>
      </c>
      <c r="O1908" s="168">
        <v>0</v>
      </c>
      <c r="P1908" s="189">
        <v>0</v>
      </c>
      <c r="Q1908" s="189">
        <v>0</v>
      </c>
      <c r="R1908" s="189">
        <v>0</v>
      </c>
      <c r="S1908" s="189">
        <v>1</v>
      </c>
      <c r="T1908" s="184" t="s">
        <v>63</v>
      </c>
      <c r="U1908" s="283" t="s">
        <v>2510</v>
      </c>
      <c r="AC1908" s="316">
        <v>0</v>
      </c>
      <c r="AD1908" s="316">
        <v>0</v>
      </c>
      <c r="AE1908" s="302">
        <f t="shared" si="74"/>
        <v>0</v>
      </c>
      <c r="AF1908" s="190"/>
      <c r="AG1908" s="17">
        <v>0</v>
      </c>
      <c r="AH1908" s="190"/>
      <c r="AI1908" s="190"/>
      <c r="AJ1908" s="190"/>
      <c r="AK1908" s="191"/>
      <c r="AL1908" s="191"/>
      <c r="AM1908" s="147">
        <f t="shared" si="73"/>
        <v>0</v>
      </c>
      <c r="AO1908" s="168"/>
    </row>
    <row r="1909" spans="1:42" s="184" customFormat="1" x14ac:dyDescent="0.3">
      <c r="A1909" s="183" t="s">
        <v>1453</v>
      </c>
      <c r="B1909" s="184" t="s">
        <v>2496</v>
      </c>
      <c r="C1909" s="183" t="s">
        <v>2498</v>
      </c>
      <c r="D1909" s="184" t="s">
        <v>2499</v>
      </c>
      <c r="E1909" s="183" t="s">
        <v>3109</v>
      </c>
      <c r="F1909" s="184" t="s">
        <v>3110</v>
      </c>
      <c r="G1909" s="183" t="s">
        <v>3139</v>
      </c>
      <c r="H1909" s="184" t="s">
        <v>3140</v>
      </c>
      <c r="J1909" s="188"/>
      <c r="K1909" s="183" t="s">
        <v>3141</v>
      </c>
      <c r="L1909" s="184" t="s">
        <v>3142</v>
      </c>
      <c r="M1909" s="168" t="s">
        <v>3143</v>
      </c>
      <c r="N1909" s="14"/>
      <c r="O1909" s="14" t="s">
        <v>271</v>
      </c>
      <c r="P1909" s="21" t="s">
        <v>271</v>
      </c>
      <c r="Q1909" s="21">
        <v>5</v>
      </c>
      <c r="R1909" s="21" t="s">
        <v>271</v>
      </c>
      <c r="S1909" s="21" t="s">
        <v>271</v>
      </c>
      <c r="T1909" s="12" t="s">
        <v>2507</v>
      </c>
      <c r="U1909" s="283" t="e">
        <v>#N/A</v>
      </c>
      <c r="V1909" s="184" t="s">
        <v>3144</v>
      </c>
      <c r="W1909" s="184">
        <v>1</v>
      </c>
      <c r="X1909" s="184">
        <v>1</v>
      </c>
      <c r="Y1909" s="184">
        <v>1</v>
      </c>
      <c r="Z1909" s="184">
        <v>0</v>
      </c>
      <c r="AA1909" s="184">
        <v>0</v>
      </c>
      <c r="AB1909" s="184">
        <v>1</v>
      </c>
      <c r="AC1909" s="316">
        <v>0</v>
      </c>
      <c r="AD1909" s="316">
        <v>1</v>
      </c>
      <c r="AE1909" s="302">
        <f t="shared" si="74"/>
        <v>0.625</v>
      </c>
      <c r="AF1909" s="186"/>
      <c r="AG1909" s="17">
        <v>0</v>
      </c>
      <c r="AH1909" s="186">
        <v>0</v>
      </c>
      <c r="AI1909" s="186">
        <v>0</v>
      </c>
      <c r="AJ1909" s="186">
        <v>0</v>
      </c>
      <c r="AK1909" s="187">
        <v>0</v>
      </c>
      <c r="AL1909" s="187">
        <v>0</v>
      </c>
      <c r="AM1909" s="147">
        <f t="shared" si="73"/>
        <v>0</v>
      </c>
      <c r="AN1909" s="184" t="s">
        <v>2509</v>
      </c>
      <c r="AO1909" s="168" t="s">
        <v>2510</v>
      </c>
      <c r="AP1909" s="184" t="s">
        <v>119</v>
      </c>
    </row>
    <row r="1910" spans="1:42" s="184" customFormat="1" x14ac:dyDescent="0.3">
      <c r="A1910" s="183" t="s">
        <v>1453</v>
      </c>
      <c r="B1910" s="184" t="s">
        <v>2496</v>
      </c>
      <c r="C1910" s="183" t="s">
        <v>2498</v>
      </c>
      <c r="D1910" s="184" t="s">
        <v>2499</v>
      </c>
      <c r="E1910" s="183" t="s">
        <v>3109</v>
      </c>
      <c r="F1910" s="184" t="s">
        <v>3110</v>
      </c>
      <c r="G1910" s="183" t="s">
        <v>3139</v>
      </c>
      <c r="H1910" s="184" t="s">
        <v>3140</v>
      </c>
      <c r="J1910" s="188"/>
      <c r="K1910" s="183" t="s">
        <v>3141</v>
      </c>
      <c r="L1910" s="184" t="s">
        <v>3142</v>
      </c>
      <c r="M1910" s="168" t="s">
        <v>3145</v>
      </c>
      <c r="N1910" s="14">
        <v>0</v>
      </c>
      <c r="O1910" s="14">
        <v>0</v>
      </c>
      <c r="P1910" s="21">
        <v>0</v>
      </c>
      <c r="Q1910" s="21">
        <v>1</v>
      </c>
      <c r="R1910" s="21">
        <v>2</v>
      </c>
      <c r="S1910" s="21">
        <v>0</v>
      </c>
      <c r="T1910" s="12" t="s">
        <v>2507</v>
      </c>
      <c r="U1910" s="283" t="e">
        <v>#N/A</v>
      </c>
      <c r="AC1910" s="316">
        <v>0</v>
      </c>
      <c r="AD1910" s="316">
        <v>0</v>
      </c>
      <c r="AE1910" s="302">
        <f t="shared" si="74"/>
        <v>0</v>
      </c>
      <c r="AF1910" s="190"/>
      <c r="AG1910" s="17">
        <v>0</v>
      </c>
      <c r="AH1910" s="190"/>
      <c r="AI1910" s="190"/>
      <c r="AJ1910" s="190"/>
      <c r="AK1910" s="191"/>
      <c r="AL1910" s="191"/>
      <c r="AM1910" s="147">
        <f t="shared" si="73"/>
        <v>0</v>
      </c>
      <c r="AO1910" s="168"/>
    </row>
    <row r="1911" spans="1:42" s="184" customFormat="1" x14ac:dyDescent="0.3">
      <c r="A1911" s="183" t="s">
        <v>1453</v>
      </c>
      <c r="B1911" s="184" t="s">
        <v>2496</v>
      </c>
      <c r="C1911" s="183" t="s">
        <v>2498</v>
      </c>
      <c r="D1911" s="184" t="s">
        <v>2499</v>
      </c>
      <c r="E1911" s="183" t="s">
        <v>3109</v>
      </c>
      <c r="F1911" s="184" t="s">
        <v>3110</v>
      </c>
      <c r="G1911" s="183" t="s">
        <v>3139</v>
      </c>
      <c r="H1911" s="184" t="s">
        <v>3140</v>
      </c>
      <c r="J1911" s="188"/>
      <c r="K1911" s="183" t="s">
        <v>3141</v>
      </c>
      <c r="L1911" s="184" t="s">
        <v>3142</v>
      </c>
      <c r="M1911" s="168" t="s">
        <v>3146</v>
      </c>
      <c r="N1911" s="14">
        <v>0</v>
      </c>
      <c r="O1911" s="14">
        <v>0</v>
      </c>
      <c r="P1911" s="21">
        <v>0</v>
      </c>
      <c r="Q1911" s="21">
        <v>2</v>
      </c>
      <c r="R1911" s="21">
        <v>2</v>
      </c>
      <c r="S1911" s="21">
        <v>0</v>
      </c>
      <c r="T1911" s="184" t="s">
        <v>2507</v>
      </c>
      <c r="U1911" s="283" t="e">
        <v>#N/A</v>
      </c>
      <c r="AC1911" s="316">
        <v>0</v>
      </c>
      <c r="AD1911" s="316">
        <v>0</v>
      </c>
      <c r="AE1911" s="302">
        <f t="shared" si="74"/>
        <v>0</v>
      </c>
      <c r="AF1911" s="190"/>
      <c r="AG1911" s="17">
        <v>0</v>
      </c>
      <c r="AH1911" s="190"/>
      <c r="AI1911" s="190"/>
      <c r="AJ1911" s="190"/>
      <c r="AK1911" s="191"/>
      <c r="AL1911" s="191"/>
      <c r="AM1911" s="147">
        <f t="shared" si="73"/>
        <v>0</v>
      </c>
      <c r="AO1911" s="168"/>
    </row>
    <row r="1912" spans="1:42" s="184" customFormat="1" x14ac:dyDescent="0.3">
      <c r="A1912" s="183" t="s">
        <v>1453</v>
      </c>
      <c r="B1912" s="184" t="s">
        <v>2496</v>
      </c>
      <c r="C1912" s="183" t="s">
        <v>2498</v>
      </c>
      <c r="D1912" s="184" t="s">
        <v>2499</v>
      </c>
      <c r="E1912" s="183" t="s">
        <v>3109</v>
      </c>
      <c r="F1912" s="184" t="s">
        <v>3110</v>
      </c>
      <c r="G1912" s="183" t="s">
        <v>3147</v>
      </c>
      <c r="H1912" s="184" t="s">
        <v>3148</v>
      </c>
      <c r="J1912" s="188"/>
      <c r="K1912" s="183" t="s">
        <v>3149</v>
      </c>
      <c r="L1912" s="184" t="s">
        <v>3150</v>
      </c>
      <c r="M1912" s="168" t="s">
        <v>3151</v>
      </c>
      <c r="N1912" s="168">
        <v>114</v>
      </c>
      <c r="O1912" s="447">
        <v>164</v>
      </c>
      <c r="P1912" s="192">
        <v>240</v>
      </c>
      <c r="Q1912" s="192">
        <v>315</v>
      </c>
      <c r="R1912" s="192">
        <v>390</v>
      </c>
      <c r="S1912" s="192">
        <v>464</v>
      </c>
      <c r="T1912" s="184" t="s">
        <v>2528</v>
      </c>
      <c r="U1912" s="283" t="s">
        <v>2530</v>
      </c>
      <c r="V1912" s="184" t="s">
        <v>3152</v>
      </c>
      <c r="W1912" s="184">
        <v>1</v>
      </c>
      <c r="X1912" s="184">
        <v>1</v>
      </c>
      <c r="Y1912" s="184">
        <v>1</v>
      </c>
      <c r="Z1912" s="184">
        <v>1</v>
      </c>
      <c r="AA1912" s="184">
        <v>1</v>
      </c>
      <c r="AB1912" s="184">
        <v>1</v>
      </c>
      <c r="AC1912" s="316">
        <v>1</v>
      </c>
      <c r="AD1912" s="316">
        <v>1</v>
      </c>
      <c r="AE1912" s="302">
        <f t="shared" si="74"/>
        <v>1</v>
      </c>
      <c r="AF1912" s="186"/>
      <c r="AG1912" s="17">
        <v>0</v>
      </c>
      <c r="AH1912" s="186">
        <v>0</v>
      </c>
      <c r="AI1912" s="186">
        <v>200</v>
      </c>
      <c r="AJ1912" s="186">
        <v>0</v>
      </c>
      <c r="AK1912" s="187">
        <v>0</v>
      </c>
      <c r="AL1912" s="187">
        <v>0</v>
      </c>
      <c r="AM1912" s="147">
        <f t="shared" si="73"/>
        <v>0</v>
      </c>
      <c r="AN1912" s="184" t="s">
        <v>2528</v>
      </c>
      <c r="AO1912" s="168" t="s">
        <v>2530</v>
      </c>
      <c r="AP1912" s="184" t="s">
        <v>119</v>
      </c>
    </row>
    <row r="1913" spans="1:42" s="184" customFormat="1" x14ac:dyDescent="0.3">
      <c r="A1913" s="183" t="s">
        <v>1453</v>
      </c>
      <c r="B1913" s="184" t="s">
        <v>2496</v>
      </c>
      <c r="C1913" s="183" t="s">
        <v>2498</v>
      </c>
      <c r="D1913" s="184" t="s">
        <v>2499</v>
      </c>
      <c r="E1913" s="183" t="s">
        <v>3109</v>
      </c>
      <c r="F1913" s="184" t="s">
        <v>3110</v>
      </c>
      <c r="G1913" s="183" t="s">
        <v>3147</v>
      </c>
      <c r="H1913" s="184" t="s">
        <v>3148</v>
      </c>
      <c r="J1913" s="188"/>
      <c r="K1913" s="183" t="s">
        <v>3149</v>
      </c>
      <c r="L1913" s="184" t="s">
        <v>3150</v>
      </c>
      <c r="M1913" s="168" t="s">
        <v>3153</v>
      </c>
      <c r="N1913" s="168"/>
      <c r="O1913" s="447">
        <v>0</v>
      </c>
      <c r="P1913" s="192">
        <v>0</v>
      </c>
      <c r="Q1913" s="192">
        <v>0</v>
      </c>
      <c r="R1913" s="192">
        <v>75</v>
      </c>
      <c r="S1913" s="192">
        <v>75</v>
      </c>
      <c r="T1913" s="184" t="s">
        <v>2507</v>
      </c>
      <c r="U1913" s="283" t="e">
        <v>#N/A</v>
      </c>
      <c r="V1913" s="184" t="s">
        <v>3154</v>
      </c>
      <c r="W1913" s="184">
        <v>1</v>
      </c>
      <c r="X1913" s="184">
        <v>1</v>
      </c>
      <c r="Y1913" s="184">
        <v>0</v>
      </c>
      <c r="Z1913" s="184">
        <v>0</v>
      </c>
      <c r="AA1913" s="184">
        <v>0</v>
      </c>
      <c r="AB1913" s="184">
        <v>1</v>
      </c>
      <c r="AC1913" s="316">
        <v>0</v>
      </c>
      <c r="AD1913" s="316">
        <v>1</v>
      </c>
      <c r="AE1913" s="302">
        <f t="shared" si="74"/>
        <v>0.5</v>
      </c>
      <c r="AF1913" s="186"/>
      <c r="AG1913" s="17">
        <v>0</v>
      </c>
      <c r="AH1913" s="186">
        <v>0</v>
      </c>
      <c r="AI1913" s="186">
        <v>0</v>
      </c>
      <c r="AJ1913" s="186">
        <v>0</v>
      </c>
      <c r="AK1913" s="187">
        <v>0</v>
      </c>
      <c r="AL1913" s="187">
        <v>0</v>
      </c>
      <c r="AM1913" s="147">
        <f t="shared" si="73"/>
        <v>0</v>
      </c>
      <c r="AN1913" s="184" t="s">
        <v>2509</v>
      </c>
      <c r="AO1913" s="168" t="s">
        <v>2510</v>
      </c>
      <c r="AP1913" s="184" t="s">
        <v>119</v>
      </c>
    </row>
    <row r="1914" spans="1:42" s="184" customFormat="1" x14ac:dyDescent="0.3">
      <c r="A1914" s="183" t="s">
        <v>1453</v>
      </c>
      <c r="B1914" s="184" t="s">
        <v>2496</v>
      </c>
      <c r="C1914" s="183" t="s">
        <v>2498</v>
      </c>
      <c r="D1914" s="184" t="s">
        <v>2499</v>
      </c>
      <c r="E1914" s="183" t="s">
        <v>3109</v>
      </c>
      <c r="F1914" s="184" t="s">
        <v>3110</v>
      </c>
      <c r="G1914" s="183" t="s">
        <v>3155</v>
      </c>
      <c r="H1914" s="184" t="s">
        <v>3156</v>
      </c>
      <c r="J1914" s="188"/>
      <c r="K1914" s="183" t="s">
        <v>3157</v>
      </c>
      <c r="L1914" s="184" t="s">
        <v>3158</v>
      </c>
      <c r="M1914" s="168" t="s">
        <v>3159</v>
      </c>
      <c r="N1914" s="168"/>
      <c r="O1914" s="447"/>
      <c r="P1914" s="192" t="s">
        <v>271</v>
      </c>
      <c r="Q1914" s="192">
        <v>91</v>
      </c>
      <c r="R1914" s="192">
        <v>91</v>
      </c>
      <c r="S1914" s="192">
        <v>91</v>
      </c>
      <c r="T1914" s="184" t="s">
        <v>63</v>
      </c>
      <c r="U1914" s="283" t="s">
        <v>2510</v>
      </c>
      <c r="V1914" s="184" t="s">
        <v>3160</v>
      </c>
      <c r="W1914" s="184">
        <v>1</v>
      </c>
      <c r="X1914" s="184">
        <v>1</v>
      </c>
      <c r="Y1914" s="184">
        <v>0</v>
      </c>
      <c r="Z1914" s="184">
        <v>0</v>
      </c>
      <c r="AA1914" s="184">
        <v>1</v>
      </c>
      <c r="AB1914" s="184">
        <v>1</v>
      </c>
      <c r="AC1914" s="316">
        <v>0</v>
      </c>
      <c r="AD1914" s="316">
        <v>1</v>
      </c>
      <c r="AE1914" s="302">
        <f t="shared" si="74"/>
        <v>0.625</v>
      </c>
      <c r="AF1914" s="186"/>
      <c r="AG1914" s="17">
        <v>0</v>
      </c>
      <c r="AH1914" s="186">
        <v>209.6920407059597</v>
      </c>
      <c r="AI1914" s="186">
        <v>267.74999999999864</v>
      </c>
      <c r="AJ1914" s="186">
        <v>0</v>
      </c>
      <c r="AK1914" s="187"/>
      <c r="AL1914" s="187"/>
      <c r="AM1914" s="147">
        <f t="shared" si="73"/>
        <v>0</v>
      </c>
      <c r="AN1914" s="184" t="s">
        <v>63</v>
      </c>
      <c r="AO1914" s="168" t="s">
        <v>2510</v>
      </c>
      <c r="AP1914" s="184" t="s">
        <v>2507</v>
      </c>
    </row>
    <row r="1915" spans="1:42" s="184" customFormat="1" x14ac:dyDescent="0.3">
      <c r="A1915" s="183" t="s">
        <v>1453</v>
      </c>
      <c r="B1915" s="184" t="s">
        <v>2496</v>
      </c>
      <c r="C1915" s="183" t="s">
        <v>2498</v>
      </c>
      <c r="D1915" s="184" t="s">
        <v>2499</v>
      </c>
      <c r="E1915" s="183" t="s">
        <v>3109</v>
      </c>
      <c r="F1915" s="184" t="s">
        <v>3110</v>
      </c>
      <c r="G1915" s="183" t="s">
        <v>3155</v>
      </c>
      <c r="H1915" s="184" t="s">
        <v>3156</v>
      </c>
      <c r="J1915" s="188"/>
      <c r="K1915" s="183" t="s">
        <v>3161</v>
      </c>
      <c r="L1915" s="184" t="s">
        <v>3162</v>
      </c>
      <c r="M1915" s="168"/>
      <c r="N1915" s="168"/>
      <c r="O1915" s="447"/>
      <c r="P1915" s="192"/>
      <c r="Q1915" s="192"/>
      <c r="R1915" s="192"/>
      <c r="S1915" s="192"/>
      <c r="U1915" s="283" t="e">
        <v>#N/A</v>
      </c>
      <c r="V1915" s="184" t="s">
        <v>3163</v>
      </c>
      <c r="W1915" s="184">
        <v>1</v>
      </c>
      <c r="X1915" s="184">
        <v>1</v>
      </c>
      <c r="Y1915" s="184">
        <v>0</v>
      </c>
      <c r="Z1915" s="184">
        <v>0</v>
      </c>
      <c r="AA1915" s="184">
        <v>0</v>
      </c>
      <c r="AB1915" s="184">
        <v>1</v>
      </c>
      <c r="AC1915" s="316">
        <v>0</v>
      </c>
      <c r="AD1915" s="316">
        <v>1</v>
      </c>
      <c r="AE1915" s="302">
        <f t="shared" si="74"/>
        <v>0.5</v>
      </c>
      <c r="AF1915" s="186"/>
      <c r="AG1915" s="17">
        <v>0</v>
      </c>
      <c r="AH1915" s="186">
        <v>0</v>
      </c>
      <c r="AI1915" s="186">
        <v>0</v>
      </c>
      <c r="AJ1915" s="186">
        <v>299.99999999999909</v>
      </c>
      <c r="AK1915" s="187">
        <v>40</v>
      </c>
      <c r="AL1915" s="187">
        <v>192</v>
      </c>
      <c r="AM1915" s="147">
        <f t="shared" si="73"/>
        <v>232</v>
      </c>
      <c r="AN1915" s="184" t="s">
        <v>2528</v>
      </c>
      <c r="AO1915" s="168" t="s">
        <v>2530</v>
      </c>
      <c r="AP1915" s="184" t="s">
        <v>3164</v>
      </c>
    </row>
    <row r="1916" spans="1:42" s="184" customFormat="1" x14ac:dyDescent="0.3">
      <c r="A1916" s="183" t="s">
        <v>1453</v>
      </c>
      <c r="B1916" s="184" t="s">
        <v>2496</v>
      </c>
      <c r="C1916" s="183" t="s">
        <v>2498</v>
      </c>
      <c r="D1916" s="184" t="s">
        <v>2499</v>
      </c>
      <c r="E1916" s="183" t="s">
        <v>3109</v>
      </c>
      <c r="F1916" s="184" t="s">
        <v>3110</v>
      </c>
      <c r="G1916" s="183" t="s">
        <v>3155</v>
      </c>
      <c r="H1916" s="184" t="s">
        <v>3156</v>
      </c>
      <c r="I1916" s="183"/>
      <c r="K1916" s="183" t="s">
        <v>3165</v>
      </c>
      <c r="L1916" s="184" t="s">
        <v>3166</v>
      </c>
      <c r="M1916" s="168" t="s">
        <v>3167</v>
      </c>
      <c r="N1916" s="448"/>
      <c r="O1916" s="168">
        <v>50</v>
      </c>
      <c r="P1916" s="189">
        <v>50</v>
      </c>
      <c r="Q1916" s="189"/>
      <c r="R1916" s="189"/>
      <c r="S1916" s="189"/>
      <c r="T1916" s="199" t="s">
        <v>2507</v>
      </c>
      <c r="U1916" s="283" t="e">
        <v>#N/A</v>
      </c>
      <c r="V1916" s="184" t="s">
        <v>3168</v>
      </c>
      <c r="W1916" s="184">
        <v>1</v>
      </c>
      <c r="X1916" s="184">
        <v>1</v>
      </c>
      <c r="Y1916" s="184">
        <v>1</v>
      </c>
      <c r="Z1916" s="184">
        <v>1</v>
      </c>
      <c r="AA1916" s="184">
        <v>1</v>
      </c>
      <c r="AB1916" s="184">
        <v>1</v>
      </c>
      <c r="AC1916" s="316">
        <v>1</v>
      </c>
      <c r="AD1916" s="316">
        <v>1</v>
      </c>
      <c r="AE1916" s="302">
        <f t="shared" si="74"/>
        <v>1</v>
      </c>
      <c r="AF1916" s="186"/>
      <c r="AG1916" s="17">
        <v>0</v>
      </c>
      <c r="AH1916" s="186">
        <v>15</v>
      </c>
      <c r="AI1916" s="186">
        <v>20</v>
      </c>
      <c r="AJ1916" s="186">
        <v>12</v>
      </c>
      <c r="AK1916" s="191">
        <v>0</v>
      </c>
      <c r="AL1916" s="191">
        <v>0</v>
      </c>
      <c r="AM1916" s="147">
        <f t="shared" si="73"/>
        <v>0</v>
      </c>
      <c r="AN1916" s="184" t="s">
        <v>2509</v>
      </c>
      <c r="AO1916" s="168" t="s">
        <v>2510</v>
      </c>
      <c r="AP1916" s="184" t="s">
        <v>119</v>
      </c>
    </row>
    <row r="1917" spans="1:42" s="184" customFormat="1" x14ac:dyDescent="0.3">
      <c r="A1917" s="183" t="s">
        <v>1453</v>
      </c>
      <c r="B1917" s="184" t="s">
        <v>2496</v>
      </c>
      <c r="C1917" s="183" t="s">
        <v>2498</v>
      </c>
      <c r="D1917" s="184" t="s">
        <v>2499</v>
      </c>
      <c r="E1917" s="183" t="s">
        <v>3109</v>
      </c>
      <c r="F1917" s="184" t="s">
        <v>3110</v>
      </c>
      <c r="G1917" s="183" t="s">
        <v>3155</v>
      </c>
      <c r="H1917" s="184" t="s">
        <v>3156</v>
      </c>
      <c r="I1917" s="183"/>
      <c r="K1917" s="195" t="s">
        <v>3165</v>
      </c>
      <c r="L1917" s="184" t="s">
        <v>3166</v>
      </c>
      <c r="M1917" s="168" t="s">
        <v>3169</v>
      </c>
      <c r="N1917" s="448"/>
      <c r="O1917" s="168">
        <v>90</v>
      </c>
      <c r="P1917" s="189">
        <v>10</v>
      </c>
      <c r="Q1917" s="198" t="s">
        <v>271</v>
      </c>
      <c r="R1917" s="198" t="s">
        <v>271</v>
      </c>
      <c r="S1917" s="198" t="s">
        <v>271</v>
      </c>
      <c r="T1917" s="199" t="s">
        <v>63</v>
      </c>
      <c r="U1917" s="283" t="s">
        <v>2510</v>
      </c>
      <c r="V1917" s="184" t="s">
        <v>3170</v>
      </c>
      <c r="W1917" s="184">
        <v>1</v>
      </c>
      <c r="X1917" s="184">
        <v>1</v>
      </c>
      <c r="Y1917" s="184">
        <v>1</v>
      </c>
      <c r="Z1917" s="184">
        <v>1</v>
      </c>
      <c r="AA1917" s="184">
        <v>1</v>
      </c>
      <c r="AB1917" s="184">
        <v>1</v>
      </c>
      <c r="AC1917" s="316">
        <v>1</v>
      </c>
      <c r="AD1917" s="316">
        <v>1</v>
      </c>
      <c r="AE1917" s="302">
        <f t="shared" si="74"/>
        <v>1</v>
      </c>
      <c r="AF1917" s="186"/>
      <c r="AG1917" s="17">
        <v>0</v>
      </c>
      <c r="AH1917" s="186">
        <v>0</v>
      </c>
      <c r="AI1917" s="186">
        <v>0</v>
      </c>
      <c r="AJ1917" s="186">
        <v>0</v>
      </c>
      <c r="AK1917" s="187">
        <v>0</v>
      </c>
      <c r="AL1917" s="187">
        <v>0</v>
      </c>
      <c r="AM1917" s="147">
        <f t="shared" si="73"/>
        <v>0</v>
      </c>
      <c r="AN1917" s="184" t="s">
        <v>63</v>
      </c>
      <c r="AO1917" s="168" t="s">
        <v>2510</v>
      </c>
      <c r="AP1917" s="184" t="s">
        <v>119</v>
      </c>
    </row>
    <row r="1918" spans="1:42" s="184" customFormat="1" x14ac:dyDescent="0.3">
      <c r="A1918" s="183" t="s">
        <v>1453</v>
      </c>
      <c r="B1918" s="184" t="s">
        <v>2496</v>
      </c>
      <c r="C1918" s="183" t="s">
        <v>2498</v>
      </c>
      <c r="D1918" s="184" t="s">
        <v>2499</v>
      </c>
      <c r="E1918" s="183" t="s">
        <v>3109</v>
      </c>
      <c r="F1918" s="184" t="s">
        <v>3110</v>
      </c>
      <c r="G1918" s="183" t="s">
        <v>3155</v>
      </c>
      <c r="H1918" s="184" t="s">
        <v>3156</v>
      </c>
      <c r="I1918" s="183"/>
      <c r="K1918" s="195" t="s">
        <v>3165</v>
      </c>
      <c r="L1918" s="184" t="s">
        <v>3166</v>
      </c>
      <c r="M1918" s="168" t="s">
        <v>3171</v>
      </c>
      <c r="N1918" s="448"/>
      <c r="O1918" s="168">
        <v>40</v>
      </c>
      <c r="P1918" s="189">
        <v>50</v>
      </c>
      <c r="Q1918" s="189">
        <v>10</v>
      </c>
      <c r="R1918" s="198" t="s">
        <v>271</v>
      </c>
      <c r="S1918" s="198" t="s">
        <v>271</v>
      </c>
      <c r="T1918" s="199" t="s">
        <v>63</v>
      </c>
      <c r="U1918" s="283" t="s">
        <v>2510</v>
      </c>
      <c r="V1918" s="184" t="s">
        <v>3172</v>
      </c>
      <c r="W1918" s="184">
        <v>1</v>
      </c>
      <c r="X1918" s="184">
        <v>1</v>
      </c>
      <c r="Y1918" s="184">
        <v>1</v>
      </c>
      <c r="Z1918" s="184">
        <v>1</v>
      </c>
      <c r="AA1918" s="184">
        <v>1</v>
      </c>
      <c r="AB1918" s="184">
        <v>1</v>
      </c>
      <c r="AC1918" s="316">
        <v>1</v>
      </c>
      <c r="AD1918" s="316">
        <v>1</v>
      </c>
      <c r="AE1918" s="302">
        <f t="shared" si="74"/>
        <v>1</v>
      </c>
      <c r="AF1918" s="186"/>
      <c r="AG1918" s="17">
        <v>0</v>
      </c>
      <c r="AH1918" s="186">
        <v>0</v>
      </c>
      <c r="AI1918" s="186">
        <v>0</v>
      </c>
      <c r="AJ1918" s="186">
        <v>0</v>
      </c>
      <c r="AK1918" s="187">
        <v>0</v>
      </c>
      <c r="AL1918" s="187">
        <v>0</v>
      </c>
      <c r="AM1918" s="147">
        <f t="shared" si="73"/>
        <v>0</v>
      </c>
      <c r="AN1918" s="184" t="s">
        <v>63</v>
      </c>
      <c r="AO1918" s="168" t="s">
        <v>2510</v>
      </c>
      <c r="AP1918" s="184" t="s">
        <v>119</v>
      </c>
    </row>
    <row r="1919" spans="1:42" s="184" customFormat="1" x14ac:dyDescent="0.3">
      <c r="A1919" s="183" t="s">
        <v>1453</v>
      </c>
      <c r="B1919" s="184" t="s">
        <v>2496</v>
      </c>
      <c r="C1919" s="183" t="s">
        <v>2498</v>
      </c>
      <c r="D1919" s="184" t="s">
        <v>2499</v>
      </c>
      <c r="E1919" s="183" t="s">
        <v>3109</v>
      </c>
      <c r="F1919" s="184" t="s">
        <v>3110</v>
      </c>
      <c r="G1919" s="183" t="s">
        <v>3155</v>
      </c>
      <c r="H1919" s="184" t="s">
        <v>3156</v>
      </c>
      <c r="I1919" s="183"/>
      <c r="K1919" s="195" t="s">
        <v>3165</v>
      </c>
      <c r="L1919" s="184" t="s">
        <v>3166</v>
      </c>
      <c r="M1919" s="168" t="s">
        <v>3173</v>
      </c>
      <c r="N1919" s="448"/>
      <c r="O1919" s="168">
        <v>30</v>
      </c>
      <c r="P1919" s="189">
        <v>60</v>
      </c>
      <c r="Q1919" s="189">
        <v>10</v>
      </c>
      <c r="R1919" s="198" t="s">
        <v>271</v>
      </c>
      <c r="S1919" s="198" t="s">
        <v>271</v>
      </c>
      <c r="T1919" s="199" t="s">
        <v>63</v>
      </c>
      <c r="U1919" s="283" t="s">
        <v>2510</v>
      </c>
      <c r="V1919" s="184" t="s">
        <v>3174</v>
      </c>
      <c r="W1919" s="184">
        <v>1</v>
      </c>
      <c r="X1919" s="184">
        <v>1</v>
      </c>
      <c r="Y1919" s="184">
        <v>1</v>
      </c>
      <c r="Z1919" s="184">
        <v>1</v>
      </c>
      <c r="AA1919" s="184">
        <v>1</v>
      </c>
      <c r="AB1919" s="184">
        <v>1</v>
      </c>
      <c r="AC1919" s="316">
        <v>1</v>
      </c>
      <c r="AD1919" s="316">
        <v>1</v>
      </c>
      <c r="AE1919" s="302">
        <f t="shared" si="74"/>
        <v>1</v>
      </c>
      <c r="AF1919" s="186"/>
      <c r="AG1919" s="17">
        <v>0</v>
      </c>
      <c r="AH1919" s="186">
        <v>0</v>
      </c>
      <c r="AI1919" s="186">
        <v>5</v>
      </c>
      <c r="AJ1919" s="186">
        <v>0</v>
      </c>
      <c r="AK1919" s="187">
        <v>5</v>
      </c>
      <c r="AL1919" s="187">
        <v>0</v>
      </c>
      <c r="AM1919" s="147">
        <f t="shared" si="73"/>
        <v>5</v>
      </c>
      <c r="AN1919" s="184" t="s">
        <v>63</v>
      </c>
      <c r="AO1919" s="168" t="s">
        <v>2510</v>
      </c>
      <c r="AP1919" s="184" t="s">
        <v>119</v>
      </c>
    </row>
    <row r="1920" spans="1:42" s="184" customFormat="1" x14ac:dyDescent="0.3">
      <c r="A1920" s="183" t="s">
        <v>1453</v>
      </c>
      <c r="B1920" s="184" t="s">
        <v>2496</v>
      </c>
      <c r="C1920" s="183" t="s">
        <v>2498</v>
      </c>
      <c r="D1920" s="184" t="s">
        <v>2499</v>
      </c>
      <c r="E1920" s="183" t="s">
        <v>3109</v>
      </c>
      <c r="F1920" s="184" t="s">
        <v>3110</v>
      </c>
      <c r="G1920" s="183" t="s">
        <v>3155</v>
      </c>
      <c r="H1920" s="184" t="s">
        <v>3156</v>
      </c>
      <c r="I1920" s="183"/>
      <c r="K1920" s="195" t="s">
        <v>3165</v>
      </c>
      <c r="L1920" s="184" t="s">
        <v>3166</v>
      </c>
      <c r="M1920" s="168" t="s">
        <v>3175</v>
      </c>
      <c r="N1920" s="448"/>
      <c r="O1920" s="168">
        <v>30</v>
      </c>
      <c r="P1920" s="189">
        <v>60</v>
      </c>
      <c r="Q1920" s="189">
        <v>10</v>
      </c>
      <c r="R1920" s="198"/>
      <c r="S1920" s="198" t="s">
        <v>271</v>
      </c>
      <c r="T1920" s="199" t="s">
        <v>63</v>
      </c>
      <c r="U1920" s="283" t="s">
        <v>2510</v>
      </c>
      <c r="V1920" s="184" t="s">
        <v>3176</v>
      </c>
      <c r="W1920" s="184">
        <v>1</v>
      </c>
      <c r="X1920" s="184">
        <v>1</v>
      </c>
      <c r="Y1920" s="184">
        <v>1</v>
      </c>
      <c r="Z1920" s="184">
        <v>1</v>
      </c>
      <c r="AA1920" s="184">
        <v>1</v>
      </c>
      <c r="AB1920" s="184">
        <v>1</v>
      </c>
      <c r="AC1920" s="316">
        <v>1</v>
      </c>
      <c r="AD1920" s="316">
        <v>1</v>
      </c>
      <c r="AE1920" s="302">
        <f t="shared" si="74"/>
        <v>1</v>
      </c>
      <c r="AF1920" s="186"/>
      <c r="AG1920" s="17">
        <v>0</v>
      </c>
      <c r="AH1920" s="186">
        <v>0</v>
      </c>
      <c r="AI1920" s="186">
        <v>5</v>
      </c>
      <c r="AJ1920" s="186">
        <v>0</v>
      </c>
      <c r="AK1920" s="187">
        <v>5</v>
      </c>
      <c r="AL1920" s="187">
        <v>0</v>
      </c>
      <c r="AM1920" s="147">
        <f t="shared" si="73"/>
        <v>5</v>
      </c>
      <c r="AN1920" s="184" t="s">
        <v>63</v>
      </c>
      <c r="AO1920" s="168" t="s">
        <v>2510</v>
      </c>
      <c r="AP1920" s="184" t="s">
        <v>119</v>
      </c>
    </row>
    <row r="1921" spans="1:42" s="184" customFormat="1" x14ac:dyDescent="0.3">
      <c r="A1921" s="183" t="s">
        <v>1453</v>
      </c>
      <c r="B1921" s="184" t="s">
        <v>2496</v>
      </c>
      <c r="C1921" s="183" t="s">
        <v>2498</v>
      </c>
      <c r="D1921" s="184" t="s">
        <v>2499</v>
      </c>
      <c r="E1921" s="183" t="s">
        <v>3109</v>
      </c>
      <c r="F1921" s="184" t="s">
        <v>3110</v>
      </c>
      <c r="G1921" s="183" t="s">
        <v>3155</v>
      </c>
      <c r="H1921" s="184" t="s">
        <v>3156</v>
      </c>
      <c r="I1921" s="183"/>
      <c r="K1921" s="195" t="s">
        <v>3165</v>
      </c>
      <c r="L1921" s="184" t="s">
        <v>3166</v>
      </c>
      <c r="M1921" s="168" t="s">
        <v>3177</v>
      </c>
      <c r="N1921" s="448"/>
      <c r="O1921" s="168">
        <v>25</v>
      </c>
      <c r="P1921" s="189">
        <v>50</v>
      </c>
      <c r="Q1921" s="189">
        <v>25</v>
      </c>
      <c r="R1921" s="198" t="s">
        <v>271</v>
      </c>
      <c r="S1921" s="198" t="s">
        <v>271</v>
      </c>
      <c r="T1921" s="199" t="s">
        <v>63</v>
      </c>
      <c r="U1921" s="283" t="s">
        <v>2510</v>
      </c>
      <c r="V1921" s="184" t="s">
        <v>3178</v>
      </c>
      <c r="W1921" s="184">
        <v>1</v>
      </c>
      <c r="X1921" s="184">
        <v>1</v>
      </c>
      <c r="Y1921" s="184">
        <v>1</v>
      </c>
      <c r="Z1921" s="184">
        <v>1</v>
      </c>
      <c r="AA1921" s="184">
        <v>1</v>
      </c>
      <c r="AB1921" s="184">
        <v>1</v>
      </c>
      <c r="AC1921" s="316">
        <v>1</v>
      </c>
      <c r="AD1921" s="316">
        <v>1</v>
      </c>
      <c r="AE1921" s="302">
        <f t="shared" si="74"/>
        <v>1</v>
      </c>
      <c r="AF1921" s="186"/>
      <c r="AG1921" s="17">
        <v>0</v>
      </c>
      <c r="AH1921" s="186">
        <v>0</v>
      </c>
      <c r="AI1921" s="186">
        <v>5</v>
      </c>
      <c r="AJ1921" s="186">
        <v>0</v>
      </c>
      <c r="AK1921" s="187">
        <v>5</v>
      </c>
      <c r="AL1921" s="187">
        <v>0</v>
      </c>
      <c r="AM1921" s="147">
        <f t="shared" si="73"/>
        <v>5</v>
      </c>
      <c r="AN1921" s="184" t="s">
        <v>63</v>
      </c>
      <c r="AO1921" s="168" t="s">
        <v>2510</v>
      </c>
      <c r="AP1921" s="184" t="s">
        <v>119</v>
      </c>
    </row>
    <row r="1922" spans="1:42" s="184" customFormat="1" x14ac:dyDescent="0.3">
      <c r="A1922" s="183" t="s">
        <v>1453</v>
      </c>
      <c r="B1922" s="184" t="s">
        <v>2496</v>
      </c>
      <c r="C1922" s="183" t="s">
        <v>2498</v>
      </c>
      <c r="D1922" s="184" t="s">
        <v>2499</v>
      </c>
      <c r="E1922" s="183" t="s">
        <v>3109</v>
      </c>
      <c r="F1922" s="184" t="s">
        <v>3110</v>
      </c>
      <c r="G1922" s="183" t="s">
        <v>3155</v>
      </c>
      <c r="H1922" s="184" t="s">
        <v>3156</v>
      </c>
      <c r="I1922" s="183"/>
      <c r="K1922" s="195" t="s">
        <v>3165</v>
      </c>
      <c r="L1922" s="184" t="s">
        <v>3166</v>
      </c>
      <c r="M1922" s="168" t="s">
        <v>3179</v>
      </c>
      <c r="N1922" s="448"/>
      <c r="O1922" s="168">
        <v>50</v>
      </c>
      <c r="P1922" s="189">
        <v>50</v>
      </c>
      <c r="Q1922" s="198" t="s">
        <v>271</v>
      </c>
      <c r="R1922" s="198" t="s">
        <v>271</v>
      </c>
      <c r="S1922" s="198" t="s">
        <v>271</v>
      </c>
      <c r="T1922" s="199" t="s">
        <v>63</v>
      </c>
      <c r="U1922" s="283" t="s">
        <v>2510</v>
      </c>
      <c r="V1922" s="184" t="s">
        <v>3180</v>
      </c>
      <c r="W1922" s="184">
        <v>1</v>
      </c>
      <c r="X1922" s="184">
        <v>1</v>
      </c>
      <c r="Y1922" s="184">
        <v>1</v>
      </c>
      <c r="Z1922" s="184">
        <v>1</v>
      </c>
      <c r="AA1922" s="184">
        <v>1</v>
      </c>
      <c r="AB1922" s="184">
        <v>1</v>
      </c>
      <c r="AC1922" s="316">
        <v>1</v>
      </c>
      <c r="AD1922" s="316">
        <v>1</v>
      </c>
      <c r="AE1922" s="302">
        <f t="shared" si="74"/>
        <v>1</v>
      </c>
      <c r="AF1922" s="186"/>
      <c r="AG1922" s="17">
        <v>0</v>
      </c>
      <c r="AH1922" s="186">
        <v>0</v>
      </c>
      <c r="AI1922" s="186">
        <v>5</v>
      </c>
      <c r="AJ1922" s="186">
        <v>0</v>
      </c>
      <c r="AK1922" s="187">
        <v>5</v>
      </c>
      <c r="AL1922" s="187">
        <v>0</v>
      </c>
      <c r="AM1922" s="147">
        <f t="shared" si="73"/>
        <v>5</v>
      </c>
      <c r="AN1922" s="184" t="s">
        <v>63</v>
      </c>
      <c r="AO1922" s="168" t="s">
        <v>2510</v>
      </c>
      <c r="AP1922" s="184" t="s">
        <v>119</v>
      </c>
    </row>
    <row r="1923" spans="1:42" s="184" customFormat="1" x14ac:dyDescent="0.3">
      <c r="A1923" s="183" t="s">
        <v>1453</v>
      </c>
      <c r="B1923" s="184" t="s">
        <v>2496</v>
      </c>
      <c r="C1923" s="183" t="s">
        <v>2498</v>
      </c>
      <c r="D1923" s="184" t="s">
        <v>2499</v>
      </c>
      <c r="E1923" s="183" t="s">
        <v>3109</v>
      </c>
      <c r="F1923" s="184" t="s">
        <v>3110</v>
      </c>
      <c r="G1923" s="183" t="s">
        <v>3155</v>
      </c>
      <c r="H1923" s="184" t="s">
        <v>3156</v>
      </c>
      <c r="I1923" s="183"/>
      <c r="K1923" s="195" t="s">
        <v>3181</v>
      </c>
      <c r="L1923" s="184" t="s">
        <v>3182</v>
      </c>
      <c r="M1923" s="168" t="s">
        <v>3137</v>
      </c>
      <c r="N1923" s="168"/>
      <c r="O1923" s="168" t="s">
        <v>271</v>
      </c>
      <c r="P1923" s="189" t="s">
        <v>271</v>
      </c>
      <c r="Q1923" s="189" t="s">
        <v>271</v>
      </c>
      <c r="R1923" s="189">
        <v>50</v>
      </c>
      <c r="S1923" s="189">
        <v>50</v>
      </c>
      <c r="T1923" s="184" t="s">
        <v>63</v>
      </c>
      <c r="U1923" s="283" t="s">
        <v>2510</v>
      </c>
      <c r="V1923" s="184" t="s">
        <v>3183</v>
      </c>
      <c r="W1923" s="184">
        <v>1</v>
      </c>
      <c r="X1923" s="184">
        <v>1</v>
      </c>
      <c r="Y1923" s="184">
        <v>1</v>
      </c>
      <c r="Z1923" s="184">
        <v>0</v>
      </c>
      <c r="AA1923" s="184">
        <v>0</v>
      </c>
      <c r="AB1923" s="184">
        <v>1</v>
      </c>
      <c r="AC1923" s="316">
        <v>0</v>
      </c>
      <c r="AD1923" s="316">
        <v>1</v>
      </c>
      <c r="AE1923" s="302">
        <f t="shared" si="74"/>
        <v>0.625</v>
      </c>
      <c r="AF1923" s="186"/>
      <c r="AG1923" s="17">
        <v>0</v>
      </c>
      <c r="AH1923" s="186">
        <v>0</v>
      </c>
      <c r="AI1923" s="186">
        <v>0</v>
      </c>
      <c r="AJ1923" s="186">
        <v>0</v>
      </c>
      <c r="AK1923" s="187">
        <v>0</v>
      </c>
      <c r="AL1923" s="187">
        <v>0</v>
      </c>
      <c r="AM1923" s="147">
        <f t="shared" si="73"/>
        <v>0</v>
      </c>
      <c r="AN1923" s="184" t="s">
        <v>63</v>
      </c>
      <c r="AO1923" s="168" t="s">
        <v>2510</v>
      </c>
      <c r="AP1923" s="184" t="s">
        <v>119</v>
      </c>
    </row>
    <row r="1924" spans="1:42" customFormat="1" x14ac:dyDescent="0.3">
      <c r="A1924" s="386" t="s">
        <v>1453</v>
      </c>
      <c r="B1924" t="s">
        <v>2496</v>
      </c>
      <c r="C1924" s="200" t="s">
        <v>13045</v>
      </c>
      <c r="D1924" t="s">
        <v>6838</v>
      </c>
      <c r="E1924" s="200" t="s">
        <v>13046</v>
      </c>
      <c r="F1924" t="s">
        <v>12811</v>
      </c>
      <c r="G1924" s="200" t="s">
        <v>13047</v>
      </c>
      <c r="H1924" t="s">
        <v>12812</v>
      </c>
      <c r="K1924" s="200" t="s">
        <v>13048</v>
      </c>
      <c r="L1924" t="s">
        <v>12754</v>
      </c>
      <c r="M1924" s="1"/>
      <c r="N1924" s="423"/>
      <c r="O1924" s="1"/>
      <c r="P1924" s="3"/>
      <c r="Q1924" s="3"/>
      <c r="R1924" s="3"/>
      <c r="S1924" s="3"/>
      <c r="V1924" t="s">
        <v>12755</v>
      </c>
      <c r="AF1924" s="64"/>
      <c r="AH1924" s="4"/>
      <c r="AI1924" s="4"/>
      <c r="AJ1924" s="4"/>
      <c r="AK1924" s="398"/>
      <c r="AL1924" s="398"/>
      <c r="AM1924" s="4"/>
    </row>
    <row r="1925" spans="1:42" customFormat="1" x14ac:dyDescent="0.3">
      <c r="A1925" s="386" t="s">
        <v>1453</v>
      </c>
      <c r="B1925" t="s">
        <v>2496</v>
      </c>
      <c r="C1925" s="200" t="s">
        <v>13045</v>
      </c>
      <c r="D1925" t="s">
        <v>6838</v>
      </c>
      <c r="E1925" s="200" t="s">
        <v>13046</v>
      </c>
      <c r="F1925" t="s">
        <v>12811</v>
      </c>
      <c r="G1925" s="200" t="s">
        <v>13047</v>
      </c>
      <c r="H1925" t="s">
        <v>12812</v>
      </c>
      <c r="K1925" s="200" t="s">
        <v>13049</v>
      </c>
      <c r="L1925" t="s">
        <v>12808</v>
      </c>
      <c r="M1925" s="1"/>
      <c r="N1925" s="423"/>
      <c r="O1925" s="1"/>
      <c r="P1925" s="3"/>
      <c r="Q1925" s="3"/>
      <c r="R1925" s="3"/>
      <c r="S1925" s="3"/>
      <c r="V1925" t="s">
        <v>12809</v>
      </c>
      <c r="AF1925" s="64"/>
      <c r="AH1925" s="4"/>
      <c r="AI1925" s="4"/>
      <c r="AJ1925" s="4"/>
      <c r="AK1925" s="398"/>
      <c r="AL1925" s="398"/>
      <c r="AM1925" s="4"/>
    </row>
    <row r="1926" spans="1:42" customFormat="1" x14ac:dyDescent="0.3">
      <c r="A1926" s="386" t="s">
        <v>1453</v>
      </c>
      <c r="B1926" t="s">
        <v>2496</v>
      </c>
      <c r="C1926" s="200" t="s">
        <v>13045</v>
      </c>
      <c r="D1926" t="s">
        <v>6838</v>
      </c>
      <c r="E1926" s="200" t="s">
        <v>13046</v>
      </c>
      <c r="F1926" t="s">
        <v>12811</v>
      </c>
      <c r="G1926" s="200" t="s">
        <v>13047</v>
      </c>
      <c r="H1926" t="s">
        <v>12812</v>
      </c>
      <c r="K1926" s="200" t="s">
        <v>13050</v>
      </c>
      <c r="L1926" t="s">
        <v>12756</v>
      </c>
      <c r="M1926" s="1" t="s">
        <v>5766</v>
      </c>
      <c r="N1926" s="423"/>
      <c r="O1926" s="1"/>
      <c r="P1926" s="3"/>
      <c r="Q1926" s="3"/>
      <c r="R1926" s="3"/>
      <c r="S1926" s="3"/>
      <c r="V1926" t="s">
        <v>12792</v>
      </c>
      <c r="AF1926" s="64"/>
      <c r="AH1926" s="4"/>
      <c r="AI1926" s="4"/>
      <c r="AJ1926" s="4"/>
      <c r="AK1926" s="46"/>
      <c r="AL1926" s="46"/>
      <c r="AM1926" s="4"/>
    </row>
    <row r="1927" spans="1:42" customFormat="1" x14ac:dyDescent="0.3">
      <c r="A1927" s="386" t="s">
        <v>1453</v>
      </c>
      <c r="B1927" t="s">
        <v>2496</v>
      </c>
      <c r="C1927" s="200" t="s">
        <v>13045</v>
      </c>
      <c r="D1927" t="s">
        <v>6838</v>
      </c>
      <c r="E1927" s="200" t="s">
        <v>13046</v>
      </c>
      <c r="F1927" t="s">
        <v>12811</v>
      </c>
      <c r="G1927" s="200" t="s">
        <v>13047</v>
      </c>
      <c r="H1927" t="s">
        <v>12812</v>
      </c>
      <c r="K1927" s="200" t="s">
        <v>13051</v>
      </c>
      <c r="L1927" t="s">
        <v>12757</v>
      </c>
      <c r="M1927" s="1" t="s">
        <v>12758</v>
      </c>
      <c r="N1927" s="423"/>
      <c r="O1927" s="1"/>
      <c r="P1927" s="3"/>
      <c r="Q1927" s="3"/>
      <c r="R1927" s="3"/>
      <c r="S1927" s="3"/>
      <c r="V1927" t="s">
        <v>12793</v>
      </c>
      <c r="AF1927" s="64"/>
      <c r="AH1927" s="4"/>
      <c r="AI1927" s="4"/>
      <c r="AJ1927" s="4"/>
      <c r="AK1927" s="46"/>
      <c r="AL1927" s="46"/>
      <c r="AM1927" s="4"/>
    </row>
    <row r="1928" spans="1:42" customFormat="1" x14ac:dyDescent="0.3">
      <c r="A1928" s="386" t="s">
        <v>1453</v>
      </c>
      <c r="B1928" t="s">
        <v>2496</v>
      </c>
      <c r="C1928" s="200" t="s">
        <v>13045</v>
      </c>
      <c r="D1928" t="s">
        <v>6838</v>
      </c>
      <c r="E1928" s="200" t="s">
        <v>13046</v>
      </c>
      <c r="F1928" t="s">
        <v>12811</v>
      </c>
      <c r="G1928" s="200" t="s">
        <v>13047</v>
      </c>
      <c r="H1928" t="s">
        <v>12812</v>
      </c>
      <c r="K1928" s="200" t="s">
        <v>13052</v>
      </c>
      <c r="L1928" t="s">
        <v>12759</v>
      </c>
      <c r="M1928" s="1" t="s">
        <v>12760</v>
      </c>
      <c r="N1928" s="423"/>
      <c r="O1928" s="1"/>
      <c r="P1928" s="3"/>
      <c r="Q1928" s="3"/>
      <c r="R1928" s="3"/>
      <c r="S1928" s="3"/>
      <c r="V1928" t="s">
        <v>12794</v>
      </c>
      <c r="AF1928" s="64"/>
      <c r="AH1928" s="4"/>
      <c r="AI1928" s="4"/>
      <c r="AJ1928" s="4"/>
      <c r="AK1928" s="46"/>
      <c r="AL1928" s="46"/>
      <c r="AM1928" s="4"/>
    </row>
    <row r="1929" spans="1:42" customFormat="1" x14ac:dyDescent="0.3">
      <c r="A1929" s="386" t="s">
        <v>1453</v>
      </c>
      <c r="B1929" t="s">
        <v>2496</v>
      </c>
      <c r="C1929" s="200" t="s">
        <v>13045</v>
      </c>
      <c r="D1929" t="s">
        <v>6838</v>
      </c>
      <c r="E1929" s="200" t="s">
        <v>13046</v>
      </c>
      <c r="F1929" t="s">
        <v>12811</v>
      </c>
      <c r="G1929" s="200" t="s">
        <v>13047</v>
      </c>
      <c r="H1929" t="s">
        <v>12812</v>
      </c>
      <c r="K1929" s="200" t="s">
        <v>13053</v>
      </c>
      <c r="L1929" t="s">
        <v>12761</v>
      </c>
      <c r="M1929" s="1" t="s">
        <v>12762</v>
      </c>
      <c r="N1929" s="423"/>
      <c r="O1929" s="1"/>
      <c r="P1929" s="3"/>
      <c r="Q1929" s="3"/>
      <c r="R1929" s="3"/>
      <c r="S1929" s="3"/>
      <c r="V1929" t="s">
        <v>5782</v>
      </c>
      <c r="AF1929" s="64"/>
      <c r="AH1929" s="4"/>
      <c r="AI1929" s="4"/>
      <c r="AJ1929" s="4"/>
      <c r="AK1929" s="46"/>
      <c r="AL1929" s="46"/>
      <c r="AM1929" s="4"/>
    </row>
    <row r="1930" spans="1:42" customFormat="1" x14ac:dyDescent="0.3">
      <c r="A1930" s="386" t="s">
        <v>1453</v>
      </c>
      <c r="B1930" t="s">
        <v>2496</v>
      </c>
      <c r="C1930" s="200" t="s">
        <v>13045</v>
      </c>
      <c r="D1930" t="s">
        <v>6838</v>
      </c>
      <c r="E1930" s="200" t="s">
        <v>13046</v>
      </c>
      <c r="F1930" t="s">
        <v>12811</v>
      </c>
      <c r="G1930" s="200" t="s">
        <v>13047</v>
      </c>
      <c r="H1930" t="s">
        <v>12812</v>
      </c>
      <c r="K1930" s="200" t="s">
        <v>13054</v>
      </c>
      <c r="L1930" t="s">
        <v>12763</v>
      </c>
      <c r="M1930" s="1" t="s">
        <v>12764</v>
      </c>
      <c r="N1930" s="423"/>
      <c r="O1930" s="1"/>
      <c r="P1930" s="3"/>
      <c r="Q1930" s="3"/>
      <c r="R1930" s="3"/>
      <c r="S1930" s="3"/>
      <c r="V1930" t="s">
        <v>5783</v>
      </c>
      <c r="AF1930" s="64"/>
      <c r="AH1930" s="4"/>
      <c r="AI1930" s="4"/>
      <c r="AJ1930" s="4"/>
      <c r="AK1930" s="46"/>
      <c r="AL1930" s="46"/>
      <c r="AM1930" s="4"/>
    </row>
    <row r="1931" spans="1:42" customFormat="1" x14ac:dyDescent="0.3">
      <c r="A1931" s="386" t="s">
        <v>1453</v>
      </c>
      <c r="B1931" t="s">
        <v>2496</v>
      </c>
      <c r="C1931" s="200" t="s">
        <v>13045</v>
      </c>
      <c r="D1931" t="s">
        <v>6838</v>
      </c>
      <c r="E1931" s="200" t="s">
        <v>13046</v>
      </c>
      <c r="F1931" t="s">
        <v>12811</v>
      </c>
      <c r="G1931" s="200" t="s">
        <v>13047</v>
      </c>
      <c r="H1931" t="s">
        <v>12812</v>
      </c>
      <c r="K1931" s="200" t="s">
        <v>13055</v>
      </c>
      <c r="L1931" t="s">
        <v>12765</v>
      </c>
      <c r="M1931" s="1" t="s">
        <v>12766</v>
      </c>
      <c r="N1931" s="423"/>
      <c r="O1931" s="1"/>
      <c r="P1931" s="3"/>
      <c r="Q1931" s="3"/>
      <c r="R1931" s="3"/>
      <c r="S1931" s="3"/>
      <c r="V1931" t="s">
        <v>12795</v>
      </c>
      <c r="AF1931" s="64"/>
      <c r="AH1931" s="4"/>
      <c r="AI1931" s="4"/>
      <c r="AJ1931" s="4"/>
      <c r="AK1931" s="46"/>
      <c r="AL1931" s="46"/>
      <c r="AM1931" s="4"/>
    </row>
    <row r="1932" spans="1:42" customFormat="1" x14ac:dyDescent="0.3">
      <c r="A1932" s="386" t="s">
        <v>1453</v>
      </c>
      <c r="B1932" t="s">
        <v>2496</v>
      </c>
      <c r="C1932" s="200" t="s">
        <v>13045</v>
      </c>
      <c r="D1932" t="s">
        <v>6838</v>
      </c>
      <c r="E1932" s="200" t="s">
        <v>13046</v>
      </c>
      <c r="F1932" t="s">
        <v>12811</v>
      </c>
      <c r="G1932" s="200" t="s">
        <v>13047</v>
      </c>
      <c r="H1932" t="s">
        <v>12812</v>
      </c>
      <c r="K1932" s="200" t="s">
        <v>13056</v>
      </c>
      <c r="L1932" t="s">
        <v>12767</v>
      </c>
      <c r="M1932" s="1" t="s">
        <v>12768</v>
      </c>
      <c r="N1932" s="423"/>
      <c r="O1932" s="1"/>
      <c r="P1932" s="3"/>
      <c r="Q1932" s="3"/>
      <c r="R1932" s="3"/>
      <c r="S1932" s="3"/>
      <c r="V1932" t="s">
        <v>12796</v>
      </c>
      <c r="AF1932" s="64"/>
      <c r="AH1932" s="4"/>
      <c r="AI1932" s="4"/>
      <c r="AJ1932" s="4"/>
      <c r="AK1932" s="46"/>
      <c r="AL1932" s="46"/>
      <c r="AM1932" s="4"/>
    </row>
    <row r="1933" spans="1:42" customFormat="1" x14ac:dyDescent="0.3">
      <c r="A1933" s="386" t="s">
        <v>1453</v>
      </c>
      <c r="B1933" t="s">
        <v>2496</v>
      </c>
      <c r="C1933" s="200" t="s">
        <v>13045</v>
      </c>
      <c r="D1933" t="s">
        <v>6838</v>
      </c>
      <c r="E1933" s="200" t="s">
        <v>13046</v>
      </c>
      <c r="F1933" t="s">
        <v>12811</v>
      </c>
      <c r="G1933" s="200" t="s">
        <v>13047</v>
      </c>
      <c r="H1933" t="s">
        <v>12812</v>
      </c>
      <c r="K1933" s="200" t="s">
        <v>13057</v>
      </c>
      <c r="L1933" t="s">
        <v>12769</v>
      </c>
      <c r="M1933" s="1" t="s">
        <v>12770</v>
      </c>
      <c r="N1933" s="423"/>
      <c r="O1933" s="1"/>
      <c r="P1933" s="3"/>
      <c r="Q1933" s="3"/>
      <c r="R1933" s="3"/>
      <c r="S1933" s="3"/>
      <c r="V1933" t="s">
        <v>5786</v>
      </c>
      <c r="AF1933" s="64"/>
      <c r="AH1933" s="4"/>
      <c r="AI1933" s="4"/>
      <c r="AJ1933" s="4"/>
      <c r="AK1933" s="46"/>
      <c r="AL1933" s="46"/>
      <c r="AM1933" s="4"/>
    </row>
    <row r="1934" spans="1:42" customFormat="1" x14ac:dyDescent="0.3">
      <c r="A1934" s="386" t="s">
        <v>1453</v>
      </c>
      <c r="B1934" t="s">
        <v>2496</v>
      </c>
      <c r="C1934" s="200" t="s">
        <v>13045</v>
      </c>
      <c r="D1934" t="s">
        <v>6838</v>
      </c>
      <c r="E1934" s="200" t="s">
        <v>13046</v>
      </c>
      <c r="F1934" t="s">
        <v>12811</v>
      </c>
      <c r="G1934" s="200" t="s">
        <v>13047</v>
      </c>
      <c r="H1934" t="s">
        <v>12812</v>
      </c>
      <c r="K1934" s="200" t="s">
        <v>13058</v>
      </c>
      <c r="L1934" t="s">
        <v>12771</v>
      </c>
      <c r="M1934" s="1" t="s">
        <v>12772</v>
      </c>
      <c r="N1934" s="423"/>
      <c r="O1934" s="1"/>
      <c r="P1934" s="3"/>
      <c r="Q1934" s="3"/>
      <c r="R1934" s="3"/>
      <c r="S1934" s="3"/>
      <c r="V1934" t="s">
        <v>12800</v>
      </c>
      <c r="AF1934" s="64"/>
      <c r="AH1934" s="4"/>
      <c r="AI1934" s="4"/>
      <c r="AJ1934" s="4"/>
      <c r="AK1934" s="46"/>
      <c r="AL1934" s="46"/>
      <c r="AM1934" s="4"/>
    </row>
    <row r="1935" spans="1:42" customFormat="1" x14ac:dyDescent="0.3">
      <c r="A1935" s="386" t="s">
        <v>1453</v>
      </c>
      <c r="B1935" t="s">
        <v>2496</v>
      </c>
      <c r="C1935" s="200" t="s">
        <v>13045</v>
      </c>
      <c r="D1935" t="s">
        <v>6838</v>
      </c>
      <c r="E1935" s="200" t="s">
        <v>13046</v>
      </c>
      <c r="F1935" t="s">
        <v>12811</v>
      </c>
      <c r="G1935" s="200" t="s">
        <v>13047</v>
      </c>
      <c r="H1935" t="s">
        <v>12812</v>
      </c>
      <c r="K1935" s="200" t="s">
        <v>13059</v>
      </c>
      <c r="L1935" t="s">
        <v>12773</v>
      </c>
      <c r="M1935" s="1" t="s">
        <v>12774</v>
      </c>
      <c r="N1935" s="423"/>
      <c r="O1935" s="1"/>
      <c r="P1935" s="3"/>
      <c r="Q1935" s="3"/>
      <c r="R1935" s="3"/>
      <c r="S1935" s="3"/>
      <c r="V1935" t="s">
        <v>12797</v>
      </c>
      <c r="AF1935" s="64"/>
      <c r="AH1935" s="4"/>
      <c r="AI1935" s="4"/>
      <c r="AJ1935" s="4"/>
      <c r="AK1935" s="46"/>
      <c r="AL1935" s="46"/>
      <c r="AM1935" s="4"/>
    </row>
    <row r="1936" spans="1:42" customFormat="1" x14ac:dyDescent="0.3">
      <c r="A1936" s="386" t="s">
        <v>1453</v>
      </c>
      <c r="B1936" t="s">
        <v>2496</v>
      </c>
      <c r="C1936" s="200" t="s">
        <v>13045</v>
      </c>
      <c r="D1936" t="s">
        <v>6838</v>
      </c>
      <c r="E1936" s="200" t="s">
        <v>13046</v>
      </c>
      <c r="F1936" t="s">
        <v>12811</v>
      </c>
      <c r="G1936" s="200" t="s">
        <v>13047</v>
      </c>
      <c r="H1936" t="s">
        <v>12812</v>
      </c>
      <c r="K1936" s="200" t="s">
        <v>13060</v>
      </c>
      <c r="L1936" t="s">
        <v>12775</v>
      </c>
      <c r="M1936" s="1" t="s">
        <v>12776</v>
      </c>
      <c r="N1936" s="423"/>
      <c r="O1936" s="1"/>
      <c r="P1936" s="3"/>
      <c r="Q1936" s="3"/>
      <c r="R1936" s="3"/>
      <c r="S1936" s="3"/>
      <c r="V1936" t="s">
        <v>12798</v>
      </c>
      <c r="AF1936" s="64"/>
      <c r="AH1936" s="4"/>
      <c r="AI1936" s="4"/>
      <c r="AJ1936" s="4"/>
      <c r="AK1936" s="46"/>
      <c r="AL1936" s="46"/>
      <c r="AM1936" s="4"/>
    </row>
    <row r="1937" spans="1:42" customFormat="1" x14ac:dyDescent="0.3">
      <c r="A1937" s="386" t="s">
        <v>1453</v>
      </c>
      <c r="B1937" t="s">
        <v>2496</v>
      </c>
      <c r="C1937" s="200" t="s">
        <v>13045</v>
      </c>
      <c r="D1937" t="s">
        <v>6838</v>
      </c>
      <c r="E1937" s="200" t="s">
        <v>13046</v>
      </c>
      <c r="F1937" t="s">
        <v>12811</v>
      </c>
      <c r="G1937" s="200" t="s">
        <v>13047</v>
      </c>
      <c r="H1937" t="s">
        <v>12812</v>
      </c>
      <c r="K1937" s="200" t="s">
        <v>13061</v>
      </c>
      <c r="L1937" t="s">
        <v>12777</v>
      </c>
      <c r="M1937" s="1" t="s">
        <v>12778</v>
      </c>
      <c r="N1937" s="423"/>
      <c r="O1937" s="1"/>
      <c r="P1937" s="3"/>
      <c r="Q1937" s="3"/>
      <c r="R1937" s="3"/>
      <c r="S1937" s="3"/>
      <c r="V1937" t="s">
        <v>5789</v>
      </c>
      <c r="AF1937" s="64"/>
      <c r="AH1937" s="4"/>
      <c r="AI1937" s="4"/>
      <c r="AJ1937" s="4"/>
      <c r="AK1937" s="46"/>
      <c r="AL1937" s="46"/>
      <c r="AM1937" s="4"/>
    </row>
    <row r="1938" spans="1:42" customFormat="1" x14ac:dyDescent="0.3">
      <c r="A1938" s="386" t="s">
        <v>1453</v>
      </c>
      <c r="B1938" t="s">
        <v>2496</v>
      </c>
      <c r="C1938" s="200" t="s">
        <v>13045</v>
      </c>
      <c r="D1938" t="s">
        <v>6838</v>
      </c>
      <c r="E1938" s="200" t="s">
        <v>13046</v>
      </c>
      <c r="F1938" t="s">
        <v>12811</v>
      </c>
      <c r="G1938" s="200" t="s">
        <v>13047</v>
      </c>
      <c r="H1938" t="s">
        <v>12812</v>
      </c>
      <c r="K1938" s="200" t="s">
        <v>13062</v>
      </c>
      <c r="L1938" t="s">
        <v>12779</v>
      </c>
      <c r="M1938" s="1" t="s">
        <v>12780</v>
      </c>
      <c r="N1938" s="423"/>
      <c r="O1938" s="1"/>
      <c r="P1938" s="3"/>
      <c r="Q1938" s="3"/>
      <c r="R1938" s="3"/>
      <c r="S1938" s="3"/>
      <c r="V1938" t="s">
        <v>12799</v>
      </c>
      <c r="AF1938" s="64"/>
      <c r="AH1938" s="4"/>
      <c r="AI1938" s="4"/>
      <c r="AJ1938" s="4"/>
      <c r="AK1938" s="46"/>
      <c r="AL1938" s="46"/>
      <c r="AM1938" s="4"/>
    </row>
    <row r="1939" spans="1:42" customFormat="1" x14ac:dyDescent="0.3">
      <c r="A1939" s="386" t="s">
        <v>1453</v>
      </c>
      <c r="B1939" t="s">
        <v>2496</v>
      </c>
      <c r="C1939" s="200" t="s">
        <v>13045</v>
      </c>
      <c r="D1939" t="s">
        <v>6838</v>
      </c>
      <c r="E1939" s="200" t="s">
        <v>13046</v>
      </c>
      <c r="F1939" t="s">
        <v>12811</v>
      </c>
      <c r="G1939" s="200" t="s">
        <v>13047</v>
      </c>
      <c r="H1939" t="s">
        <v>12812</v>
      </c>
      <c r="K1939" s="200" t="s">
        <v>13063</v>
      </c>
      <c r="L1939" t="s">
        <v>12806</v>
      </c>
      <c r="M1939" s="1" t="s">
        <v>12781</v>
      </c>
      <c r="N1939" s="423"/>
      <c r="O1939" s="1"/>
      <c r="P1939" s="3"/>
      <c r="Q1939" s="3"/>
      <c r="R1939" s="3"/>
      <c r="S1939" s="3"/>
      <c r="V1939" t="s">
        <v>12805</v>
      </c>
      <c r="AF1939" s="64"/>
      <c r="AH1939" s="4"/>
      <c r="AI1939" s="4"/>
      <c r="AJ1939" s="4"/>
      <c r="AK1939" s="46"/>
      <c r="AL1939" s="46"/>
      <c r="AM1939" s="4"/>
    </row>
    <row r="1940" spans="1:42" customFormat="1" x14ac:dyDescent="0.3">
      <c r="A1940" s="386" t="s">
        <v>1453</v>
      </c>
      <c r="B1940" t="s">
        <v>2496</v>
      </c>
      <c r="C1940" s="200" t="s">
        <v>13045</v>
      </c>
      <c r="D1940" t="s">
        <v>6838</v>
      </c>
      <c r="E1940" s="200" t="s">
        <v>13046</v>
      </c>
      <c r="F1940" t="s">
        <v>12811</v>
      </c>
      <c r="G1940" s="200" t="s">
        <v>13047</v>
      </c>
      <c r="H1940" t="s">
        <v>12812</v>
      </c>
      <c r="K1940" s="200" t="s">
        <v>13064</v>
      </c>
      <c r="L1940" t="s">
        <v>12782</v>
      </c>
      <c r="M1940" s="1"/>
      <c r="N1940" s="423"/>
      <c r="O1940" s="1"/>
      <c r="P1940" s="3"/>
      <c r="Q1940" s="3"/>
      <c r="R1940" s="3"/>
      <c r="S1940" s="3"/>
      <c r="V1940" t="s">
        <v>12782</v>
      </c>
      <c r="AF1940" s="64"/>
      <c r="AH1940" s="4"/>
      <c r="AI1940" s="4"/>
      <c r="AJ1940" s="4"/>
      <c r="AK1940" s="46"/>
      <c r="AL1940" s="46"/>
      <c r="AM1940" s="4"/>
    </row>
    <row r="1941" spans="1:42" customFormat="1" x14ac:dyDescent="0.3">
      <c r="A1941" s="386" t="s">
        <v>1453</v>
      </c>
      <c r="B1941" t="s">
        <v>2496</v>
      </c>
      <c r="C1941" s="200" t="s">
        <v>13045</v>
      </c>
      <c r="D1941" t="s">
        <v>6838</v>
      </c>
      <c r="E1941" s="200" t="s">
        <v>13046</v>
      </c>
      <c r="F1941" t="s">
        <v>12811</v>
      </c>
      <c r="G1941" s="200" t="s">
        <v>13047</v>
      </c>
      <c r="H1941" t="s">
        <v>12812</v>
      </c>
      <c r="K1941" s="200" t="s">
        <v>13048</v>
      </c>
      <c r="L1941" t="s">
        <v>12783</v>
      </c>
      <c r="M1941" s="1" t="s">
        <v>12784</v>
      </c>
      <c r="N1941" s="423"/>
      <c r="O1941" s="1"/>
      <c r="P1941" s="3"/>
      <c r="Q1941" s="3"/>
      <c r="R1941" s="3"/>
      <c r="S1941" s="3"/>
      <c r="V1941" t="s">
        <v>12783</v>
      </c>
      <c r="AF1941" s="64"/>
      <c r="AH1941" s="4"/>
      <c r="AI1941" s="4"/>
      <c r="AJ1941" s="4"/>
      <c r="AK1941" s="46"/>
      <c r="AL1941" s="46"/>
      <c r="AM1941" s="4"/>
    </row>
    <row r="1942" spans="1:42" customFormat="1" x14ac:dyDescent="0.3">
      <c r="A1942" s="386" t="s">
        <v>1453</v>
      </c>
      <c r="B1942" t="s">
        <v>2496</v>
      </c>
      <c r="C1942" s="200" t="s">
        <v>13045</v>
      </c>
      <c r="D1942" t="s">
        <v>6838</v>
      </c>
      <c r="E1942" s="200" t="s">
        <v>13046</v>
      </c>
      <c r="F1942" t="s">
        <v>12811</v>
      </c>
      <c r="G1942" s="200" t="s">
        <v>13047</v>
      </c>
      <c r="H1942" t="s">
        <v>12812</v>
      </c>
      <c r="K1942" s="200" t="s">
        <v>13048</v>
      </c>
      <c r="L1942" t="s">
        <v>12785</v>
      </c>
      <c r="M1942" s="1" t="s">
        <v>12786</v>
      </c>
      <c r="N1942" s="423"/>
      <c r="O1942" s="1"/>
      <c r="P1942" s="3"/>
      <c r="Q1942" s="3"/>
      <c r="R1942" s="3"/>
      <c r="S1942" s="3"/>
      <c r="V1942" t="s">
        <v>12801</v>
      </c>
      <c r="AF1942" s="64"/>
      <c r="AH1942" s="4"/>
      <c r="AI1942" s="4"/>
      <c r="AJ1942" s="4"/>
      <c r="AK1942" s="46"/>
      <c r="AL1942" s="46"/>
      <c r="AM1942" s="4"/>
    </row>
    <row r="1943" spans="1:42" customFormat="1" x14ac:dyDescent="0.3">
      <c r="A1943" s="386" t="s">
        <v>1453</v>
      </c>
      <c r="B1943" t="s">
        <v>2496</v>
      </c>
      <c r="C1943" s="200" t="s">
        <v>13045</v>
      </c>
      <c r="D1943" t="s">
        <v>6838</v>
      </c>
      <c r="E1943" s="200" t="s">
        <v>13046</v>
      </c>
      <c r="F1943" t="s">
        <v>12811</v>
      </c>
      <c r="G1943" s="200" t="s">
        <v>13047</v>
      </c>
      <c r="H1943" t="s">
        <v>12812</v>
      </c>
      <c r="K1943" s="200" t="s">
        <v>13065</v>
      </c>
      <c r="L1943" t="s">
        <v>12787</v>
      </c>
      <c r="M1943" s="1" t="s">
        <v>12788</v>
      </c>
      <c r="N1943" s="423"/>
      <c r="O1943" s="1"/>
      <c r="P1943" s="3"/>
      <c r="Q1943" s="3"/>
      <c r="R1943" s="3"/>
      <c r="S1943" s="3"/>
      <c r="V1943" t="s">
        <v>12802</v>
      </c>
      <c r="AF1943" s="64"/>
      <c r="AH1943" s="4"/>
      <c r="AI1943" s="4"/>
      <c r="AJ1943" s="4"/>
      <c r="AK1943" s="46"/>
      <c r="AL1943" s="46"/>
      <c r="AM1943" s="4"/>
    </row>
    <row r="1944" spans="1:42" customFormat="1" x14ac:dyDescent="0.3">
      <c r="A1944" s="386" t="s">
        <v>1453</v>
      </c>
      <c r="B1944" t="s">
        <v>2496</v>
      </c>
      <c r="C1944" s="200" t="s">
        <v>13045</v>
      </c>
      <c r="D1944" t="s">
        <v>6838</v>
      </c>
      <c r="E1944" s="200" t="s">
        <v>13046</v>
      </c>
      <c r="F1944" t="s">
        <v>12811</v>
      </c>
      <c r="G1944" s="200" t="s">
        <v>13047</v>
      </c>
      <c r="H1944" t="s">
        <v>12812</v>
      </c>
      <c r="K1944" s="200" t="s">
        <v>13066</v>
      </c>
      <c r="L1944" t="s">
        <v>12789</v>
      </c>
      <c r="M1944" s="1" t="s">
        <v>12790</v>
      </c>
      <c r="N1944" s="423"/>
      <c r="O1944" s="1"/>
      <c r="P1944" s="3"/>
      <c r="Q1944" s="3"/>
      <c r="R1944" s="3"/>
      <c r="S1944" s="3"/>
      <c r="V1944" t="s">
        <v>12803</v>
      </c>
      <c r="AF1944" s="64"/>
      <c r="AH1944" s="4"/>
      <c r="AI1944" s="4"/>
      <c r="AJ1944" s="4"/>
      <c r="AK1944" s="46"/>
      <c r="AL1944" s="46"/>
      <c r="AM1944" s="4"/>
    </row>
    <row r="1945" spans="1:42" customFormat="1" x14ac:dyDescent="0.3">
      <c r="A1945" s="386" t="s">
        <v>1453</v>
      </c>
      <c r="B1945" t="s">
        <v>2496</v>
      </c>
      <c r="C1945" s="200" t="s">
        <v>13045</v>
      </c>
      <c r="D1945" t="s">
        <v>6838</v>
      </c>
      <c r="E1945" s="200" t="s">
        <v>13046</v>
      </c>
      <c r="F1945" t="s">
        <v>12811</v>
      </c>
      <c r="G1945" s="200" t="s">
        <v>13047</v>
      </c>
      <c r="H1945" t="s">
        <v>12812</v>
      </c>
      <c r="K1945" s="200" t="s">
        <v>13067</v>
      </c>
      <c r="L1945" t="s">
        <v>12791</v>
      </c>
      <c r="M1945" s="1" t="s">
        <v>12807</v>
      </c>
      <c r="N1945" s="423"/>
      <c r="O1945" s="1"/>
      <c r="P1945" s="3"/>
      <c r="Q1945" s="3"/>
      <c r="R1945" s="3"/>
      <c r="S1945" s="3"/>
      <c r="V1945" t="s">
        <v>12804</v>
      </c>
      <c r="AF1945" s="64"/>
      <c r="AH1945" s="4"/>
      <c r="AI1945" s="4"/>
      <c r="AJ1945" s="4"/>
      <c r="AK1945" s="46"/>
      <c r="AL1945" s="46"/>
      <c r="AM1945" s="4"/>
    </row>
    <row r="1946" spans="1:42" s="293" customFormat="1" x14ac:dyDescent="0.3">
      <c r="A1946" s="50" t="s">
        <v>1454</v>
      </c>
      <c r="B1946" s="51" t="s">
        <v>6438</v>
      </c>
      <c r="C1946" s="50" t="s">
        <v>6439</v>
      </c>
      <c r="D1946" s="51" t="s">
        <v>1491</v>
      </c>
      <c r="E1946" s="50" t="s">
        <v>6439</v>
      </c>
      <c r="F1946" s="51" t="s">
        <v>1493</v>
      </c>
      <c r="G1946" s="50" t="s">
        <v>6439</v>
      </c>
      <c r="H1946" s="51" t="s">
        <v>1491</v>
      </c>
      <c r="I1946" s="51"/>
      <c r="J1946" s="51"/>
      <c r="K1946" s="50" t="s">
        <v>6439</v>
      </c>
      <c r="L1946" s="51" t="s">
        <v>1491</v>
      </c>
      <c r="M1946" s="420" t="s">
        <v>271</v>
      </c>
      <c r="N1946" s="420" t="s">
        <v>271</v>
      </c>
      <c r="O1946" s="420" t="s">
        <v>271</v>
      </c>
      <c r="P1946" s="60" t="s">
        <v>271</v>
      </c>
      <c r="Q1946" s="60" t="s">
        <v>271</v>
      </c>
      <c r="R1946" s="60" t="s">
        <v>271</v>
      </c>
      <c r="S1946" s="60" t="s">
        <v>271</v>
      </c>
      <c r="T1946" s="60" t="s">
        <v>271</v>
      </c>
      <c r="U1946" s="60" t="s">
        <v>271</v>
      </c>
      <c r="V1946" s="51" t="s">
        <v>1489</v>
      </c>
      <c r="W1946" s="291"/>
      <c r="X1946" s="291"/>
      <c r="Y1946" s="291"/>
      <c r="Z1946" s="291"/>
      <c r="AA1946" s="291"/>
      <c r="AB1946" s="291"/>
      <c r="AC1946" s="291"/>
      <c r="AD1946" s="291"/>
      <c r="AE1946" s="292"/>
      <c r="AF1946" s="56"/>
      <c r="AG1946" s="292"/>
      <c r="AH1946" s="56"/>
      <c r="AI1946" s="56"/>
      <c r="AJ1946" s="56"/>
      <c r="AK1946" s="57">
        <v>4.5999999999999996</v>
      </c>
      <c r="AL1946" s="57">
        <v>4.5999999999999996</v>
      </c>
      <c r="AM1946" s="147">
        <f t="shared" ref="AM1946:AM1977" si="75">SUM(AK1946:AL1946)</f>
        <v>9.1999999999999993</v>
      </c>
      <c r="AN1946" s="52"/>
      <c r="AO1946" s="52"/>
      <c r="AP1946" s="51"/>
    </row>
    <row r="1947" spans="1:42" s="293" customFormat="1" x14ac:dyDescent="0.3">
      <c r="A1947" s="50" t="s">
        <v>1454</v>
      </c>
      <c r="B1947" s="51" t="s">
        <v>6438</v>
      </c>
      <c r="C1947" s="50" t="s">
        <v>6439</v>
      </c>
      <c r="D1947" s="51" t="s">
        <v>1491</v>
      </c>
      <c r="E1947" s="50" t="s">
        <v>6439</v>
      </c>
      <c r="F1947" s="51" t="s">
        <v>1493</v>
      </c>
      <c r="G1947" s="50" t="s">
        <v>6439</v>
      </c>
      <c r="H1947" s="51" t="s">
        <v>1491</v>
      </c>
      <c r="I1947" s="51"/>
      <c r="J1947" s="51"/>
      <c r="K1947" s="50" t="s">
        <v>6439</v>
      </c>
      <c r="L1947" s="51" t="s">
        <v>1491</v>
      </c>
      <c r="M1947" s="420" t="s">
        <v>271</v>
      </c>
      <c r="N1947" s="420" t="s">
        <v>271</v>
      </c>
      <c r="O1947" s="420" t="s">
        <v>271</v>
      </c>
      <c r="P1947" s="60" t="s">
        <v>271</v>
      </c>
      <c r="Q1947" s="60" t="s">
        <v>271</v>
      </c>
      <c r="R1947" s="60" t="s">
        <v>271</v>
      </c>
      <c r="S1947" s="60" t="s">
        <v>271</v>
      </c>
      <c r="T1947" s="60" t="s">
        <v>271</v>
      </c>
      <c r="U1947" s="60" t="s">
        <v>271</v>
      </c>
      <c r="V1947" s="51" t="s">
        <v>1490</v>
      </c>
      <c r="W1947" s="291"/>
      <c r="X1947" s="291"/>
      <c r="Y1947" s="291"/>
      <c r="Z1947" s="291"/>
      <c r="AA1947" s="291"/>
      <c r="AB1947" s="291"/>
      <c r="AC1947" s="291"/>
      <c r="AD1947" s="291"/>
      <c r="AE1947" s="292"/>
      <c r="AF1947" s="56"/>
      <c r="AG1947" s="292"/>
      <c r="AH1947" s="56"/>
      <c r="AI1947" s="56"/>
      <c r="AJ1947" s="56"/>
      <c r="AK1947" s="57">
        <v>1.8399999999999999</v>
      </c>
      <c r="AL1947" s="57">
        <v>1.8399999999999999</v>
      </c>
      <c r="AM1947" s="147">
        <f t="shared" si="75"/>
        <v>3.6799999999999997</v>
      </c>
      <c r="AN1947" s="52"/>
      <c r="AO1947" s="52"/>
      <c r="AP1947" s="51"/>
    </row>
    <row r="1948" spans="1:42" s="293" customFormat="1" x14ac:dyDescent="0.3">
      <c r="A1948" s="50" t="s">
        <v>1454</v>
      </c>
      <c r="B1948" s="51" t="s">
        <v>6438</v>
      </c>
      <c r="C1948" s="50" t="s">
        <v>6439</v>
      </c>
      <c r="D1948" s="51" t="s">
        <v>1491</v>
      </c>
      <c r="E1948" s="50" t="s">
        <v>6439</v>
      </c>
      <c r="F1948" s="51" t="s">
        <v>1493</v>
      </c>
      <c r="G1948" s="50" t="s">
        <v>6439</v>
      </c>
      <c r="H1948" s="51" t="s">
        <v>1491</v>
      </c>
      <c r="I1948" s="51"/>
      <c r="J1948" s="51"/>
      <c r="K1948" s="50" t="s">
        <v>6439</v>
      </c>
      <c r="L1948" s="51" t="s">
        <v>1491</v>
      </c>
      <c r="M1948" s="420" t="s">
        <v>271</v>
      </c>
      <c r="N1948" s="420" t="s">
        <v>271</v>
      </c>
      <c r="O1948" s="420" t="s">
        <v>271</v>
      </c>
      <c r="P1948" s="60" t="s">
        <v>271</v>
      </c>
      <c r="Q1948" s="60" t="s">
        <v>271</v>
      </c>
      <c r="R1948" s="60" t="s">
        <v>271</v>
      </c>
      <c r="S1948" s="60" t="s">
        <v>271</v>
      </c>
      <c r="T1948" s="60" t="s">
        <v>271</v>
      </c>
      <c r="U1948" s="60" t="s">
        <v>271</v>
      </c>
      <c r="V1948" s="51" t="s">
        <v>1495</v>
      </c>
      <c r="W1948" s="291"/>
      <c r="X1948" s="291"/>
      <c r="Y1948" s="291"/>
      <c r="Z1948" s="291"/>
      <c r="AA1948" s="291"/>
      <c r="AB1948" s="291"/>
      <c r="AC1948" s="291"/>
      <c r="AD1948" s="291"/>
      <c r="AE1948" s="292"/>
      <c r="AF1948" s="56"/>
      <c r="AG1948" s="292"/>
      <c r="AH1948" s="56"/>
      <c r="AI1948" s="56"/>
      <c r="AJ1948" s="56"/>
      <c r="AK1948" s="57">
        <v>147.68073173499999</v>
      </c>
      <c r="AL1948" s="57">
        <v>53.648878082000003</v>
      </c>
      <c r="AM1948" s="147">
        <f t="shared" si="75"/>
        <v>201.32960981700001</v>
      </c>
      <c r="AN1948" s="52"/>
      <c r="AO1948" s="52"/>
      <c r="AP1948" s="51"/>
    </row>
    <row r="1949" spans="1:42" s="18" customFormat="1" x14ac:dyDescent="0.3">
      <c r="A1949" s="18" t="s">
        <v>1454</v>
      </c>
      <c r="B1949" s="18" t="s">
        <v>6438</v>
      </c>
      <c r="C1949" s="18">
        <v>101</v>
      </c>
      <c r="D1949" s="283" t="s">
        <v>6440</v>
      </c>
      <c r="E1949" s="18" t="s">
        <v>6441</v>
      </c>
      <c r="F1949" s="18" t="s">
        <v>6442</v>
      </c>
      <c r="G1949" s="156" t="s">
        <v>6443</v>
      </c>
      <c r="H1949" s="18" t="s">
        <v>6444</v>
      </c>
      <c r="K1949" s="156" t="s">
        <v>6445</v>
      </c>
      <c r="L1949" s="18" t="s">
        <v>6446</v>
      </c>
      <c r="M1949" s="18" t="s">
        <v>6447</v>
      </c>
      <c r="N1949" s="18">
        <v>0</v>
      </c>
      <c r="O1949" s="18">
        <v>10000</v>
      </c>
      <c r="P1949" s="16">
        <v>20000</v>
      </c>
      <c r="Q1949" s="16">
        <v>30000</v>
      </c>
      <c r="R1949" s="16">
        <v>50000</v>
      </c>
      <c r="S1949" s="16">
        <v>100000</v>
      </c>
      <c r="T1949" s="18" t="s">
        <v>570</v>
      </c>
      <c r="U1949" s="283" t="s">
        <v>2875</v>
      </c>
      <c r="V1949" s="18" t="s">
        <v>6448</v>
      </c>
      <c r="W1949" s="18">
        <v>1</v>
      </c>
      <c r="X1949" s="18">
        <v>0</v>
      </c>
      <c r="Y1949" s="18">
        <v>1</v>
      </c>
      <c r="Z1949" s="18">
        <v>1</v>
      </c>
      <c r="AA1949" s="18">
        <v>1</v>
      </c>
      <c r="AB1949" s="18">
        <v>1</v>
      </c>
      <c r="AC1949" s="316">
        <v>0</v>
      </c>
      <c r="AD1949" s="316">
        <v>1</v>
      </c>
      <c r="AE1949" s="302">
        <f t="shared" ref="AE1949:AE1980" si="76">SUM(W1949:AD1949)/8</f>
        <v>0.75</v>
      </c>
      <c r="AF1949" s="176">
        <v>0</v>
      </c>
      <c r="AG1949" s="17">
        <v>1</v>
      </c>
      <c r="AH1949" s="176">
        <v>0</v>
      </c>
      <c r="AI1949" s="176">
        <v>0</v>
      </c>
      <c r="AJ1949" s="176">
        <v>0</v>
      </c>
      <c r="AK1949" s="177"/>
      <c r="AL1949" s="177">
        <v>0</v>
      </c>
      <c r="AM1949" s="147">
        <f t="shared" si="75"/>
        <v>0</v>
      </c>
      <c r="AN1949" s="18" t="s">
        <v>265</v>
      </c>
      <c r="AO1949" s="18" t="s">
        <v>350</v>
      </c>
      <c r="AP1949" s="18" t="s">
        <v>6449</v>
      </c>
    </row>
    <row r="1950" spans="1:42" s="18" customFormat="1" x14ac:dyDescent="0.3">
      <c r="A1950" s="18" t="s">
        <v>1454</v>
      </c>
      <c r="B1950" s="18" t="s">
        <v>6438</v>
      </c>
      <c r="C1950" s="18">
        <v>101</v>
      </c>
      <c r="D1950" s="283" t="s">
        <v>6440</v>
      </c>
      <c r="E1950" s="18" t="s">
        <v>6441</v>
      </c>
      <c r="F1950" s="18" t="s">
        <v>6442</v>
      </c>
      <c r="G1950" s="156" t="s">
        <v>6443</v>
      </c>
      <c r="H1950" s="18" t="s">
        <v>6444</v>
      </c>
      <c r="K1950" s="156" t="s">
        <v>6445</v>
      </c>
      <c r="L1950" s="18" t="s">
        <v>6446</v>
      </c>
      <c r="M1950" s="18" t="s">
        <v>6447</v>
      </c>
      <c r="P1950" s="16"/>
      <c r="Q1950" s="16"/>
      <c r="R1950" s="16"/>
      <c r="S1950" s="16"/>
      <c r="T1950" s="18" t="s">
        <v>570</v>
      </c>
      <c r="U1950" s="283" t="s">
        <v>2875</v>
      </c>
      <c r="V1950" s="18" t="s">
        <v>6450</v>
      </c>
      <c r="W1950" s="18">
        <v>1</v>
      </c>
      <c r="X1950" s="18">
        <v>0</v>
      </c>
      <c r="Y1950" s="18">
        <v>0</v>
      </c>
      <c r="Z1950" s="18">
        <v>1</v>
      </c>
      <c r="AA1950" s="18">
        <v>0</v>
      </c>
      <c r="AB1950" s="18">
        <v>0</v>
      </c>
      <c r="AC1950" s="316">
        <v>1</v>
      </c>
      <c r="AD1950" s="316">
        <v>1</v>
      </c>
      <c r="AE1950" s="302">
        <f t="shared" si="76"/>
        <v>0.5</v>
      </c>
      <c r="AF1950" s="176"/>
      <c r="AG1950" s="17">
        <v>0</v>
      </c>
      <c r="AH1950" s="176">
        <v>0</v>
      </c>
      <c r="AI1950" s="176">
        <v>0</v>
      </c>
      <c r="AJ1950" s="176">
        <v>0</v>
      </c>
      <c r="AK1950" s="177">
        <v>0</v>
      </c>
      <c r="AL1950" s="177">
        <v>0</v>
      </c>
      <c r="AM1950" s="147">
        <f t="shared" si="75"/>
        <v>0</v>
      </c>
      <c r="AN1950" s="18" t="s">
        <v>265</v>
      </c>
      <c r="AO1950" s="18" t="s">
        <v>350</v>
      </c>
      <c r="AP1950" s="18" t="s">
        <v>877</v>
      </c>
    </row>
    <row r="1951" spans="1:42" s="18" customFormat="1" x14ac:dyDescent="0.3">
      <c r="A1951" s="18" t="s">
        <v>1454</v>
      </c>
      <c r="B1951" s="18" t="s">
        <v>6438</v>
      </c>
      <c r="C1951" s="18">
        <v>101</v>
      </c>
      <c r="D1951" s="283" t="s">
        <v>6440</v>
      </c>
      <c r="E1951" s="18" t="s">
        <v>6441</v>
      </c>
      <c r="F1951" s="18" t="s">
        <v>6442</v>
      </c>
      <c r="G1951" s="156" t="s">
        <v>6443</v>
      </c>
      <c r="H1951" s="18" t="s">
        <v>6444</v>
      </c>
      <c r="K1951" s="156" t="s">
        <v>6445</v>
      </c>
      <c r="L1951" s="18" t="s">
        <v>6446</v>
      </c>
      <c r="M1951" s="18" t="s">
        <v>6447</v>
      </c>
      <c r="P1951" s="16"/>
      <c r="Q1951" s="16"/>
      <c r="R1951" s="16"/>
      <c r="S1951" s="16"/>
      <c r="T1951" s="18" t="s">
        <v>570</v>
      </c>
      <c r="U1951" s="283" t="s">
        <v>2875</v>
      </c>
      <c r="V1951" s="18" t="s">
        <v>6451</v>
      </c>
      <c r="W1951" s="18">
        <v>1</v>
      </c>
      <c r="X1951" s="18">
        <v>0</v>
      </c>
      <c r="Y1951" s="18">
        <v>0</v>
      </c>
      <c r="Z1951" s="18">
        <v>1</v>
      </c>
      <c r="AA1951" s="18">
        <v>0</v>
      </c>
      <c r="AB1951" s="18">
        <v>0</v>
      </c>
      <c r="AC1951" s="316">
        <v>1</v>
      </c>
      <c r="AD1951" s="316">
        <v>1</v>
      </c>
      <c r="AE1951" s="302">
        <f t="shared" si="76"/>
        <v>0.5</v>
      </c>
      <c r="AF1951" s="176"/>
      <c r="AG1951" s="17">
        <v>0</v>
      </c>
      <c r="AH1951" s="176">
        <v>0</v>
      </c>
      <c r="AI1951" s="176">
        <v>0</v>
      </c>
      <c r="AJ1951" s="176">
        <v>0</v>
      </c>
      <c r="AK1951" s="177">
        <v>0</v>
      </c>
      <c r="AL1951" s="177">
        <v>0</v>
      </c>
      <c r="AM1951" s="147">
        <f t="shared" si="75"/>
        <v>0</v>
      </c>
      <c r="AN1951" s="18" t="s">
        <v>879</v>
      </c>
      <c r="AO1951" s="18" t="s">
        <v>880</v>
      </c>
      <c r="AP1951" s="18" t="s">
        <v>6452</v>
      </c>
    </row>
    <row r="1952" spans="1:42" s="18" customFormat="1" x14ac:dyDescent="0.3">
      <c r="A1952" s="18" t="s">
        <v>1454</v>
      </c>
      <c r="B1952" s="18" t="s">
        <v>6438</v>
      </c>
      <c r="C1952" s="18">
        <v>101</v>
      </c>
      <c r="D1952" s="283" t="s">
        <v>6440</v>
      </c>
      <c r="E1952" s="18" t="s">
        <v>6441</v>
      </c>
      <c r="F1952" s="18" t="s">
        <v>6442</v>
      </c>
      <c r="G1952" s="156" t="s">
        <v>6443</v>
      </c>
      <c r="H1952" s="18" t="s">
        <v>6444</v>
      </c>
      <c r="K1952" s="156" t="s">
        <v>6445</v>
      </c>
      <c r="L1952" s="18" t="s">
        <v>6446</v>
      </c>
      <c r="M1952" s="18" t="s">
        <v>6447</v>
      </c>
      <c r="P1952" s="16"/>
      <c r="Q1952" s="16"/>
      <c r="R1952" s="16"/>
      <c r="S1952" s="16"/>
      <c r="T1952" s="18" t="s">
        <v>570</v>
      </c>
      <c r="U1952" s="283" t="s">
        <v>2875</v>
      </c>
      <c r="V1952" s="18" t="s">
        <v>6453</v>
      </c>
      <c r="W1952" s="18">
        <v>1</v>
      </c>
      <c r="X1952" s="18">
        <v>1</v>
      </c>
      <c r="Y1952" s="18">
        <v>0</v>
      </c>
      <c r="Z1952" s="18">
        <v>1</v>
      </c>
      <c r="AA1952" s="18">
        <v>1</v>
      </c>
      <c r="AB1952" s="18">
        <v>1</v>
      </c>
      <c r="AC1952" s="316">
        <v>1</v>
      </c>
      <c r="AD1952" s="316">
        <v>1</v>
      </c>
      <c r="AE1952" s="302">
        <f t="shared" si="76"/>
        <v>0.875</v>
      </c>
      <c r="AF1952" s="176"/>
      <c r="AG1952" s="17">
        <v>0</v>
      </c>
      <c r="AH1952" s="176">
        <v>0</v>
      </c>
      <c r="AI1952" s="176">
        <v>0</v>
      </c>
      <c r="AJ1952" s="176">
        <v>3</v>
      </c>
      <c r="AK1952" s="177">
        <v>3</v>
      </c>
      <c r="AL1952" s="177">
        <v>3</v>
      </c>
      <c r="AM1952" s="147">
        <f t="shared" si="75"/>
        <v>6</v>
      </c>
      <c r="AN1952" s="18" t="s">
        <v>879</v>
      </c>
      <c r="AO1952" s="18" t="s">
        <v>880</v>
      </c>
      <c r="AP1952" s="18" t="s">
        <v>265</v>
      </c>
    </row>
    <row r="1953" spans="1:42" s="18" customFormat="1" x14ac:dyDescent="0.3">
      <c r="A1953" s="18" t="s">
        <v>1454</v>
      </c>
      <c r="B1953" s="18" t="s">
        <v>6438</v>
      </c>
      <c r="C1953" s="18">
        <v>101</v>
      </c>
      <c r="D1953" s="283" t="s">
        <v>6440</v>
      </c>
      <c r="E1953" s="18" t="s">
        <v>6441</v>
      </c>
      <c r="F1953" s="18" t="s">
        <v>6442</v>
      </c>
      <c r="G1953" s="156" t="s">
        <v>6443</v>
      </c>
      <c r="H1953" s="18" t="s">
        <v>6444</v>
      </c>
      <c r="K1953" s="156" t="s">
        <v>6445</v>
      </c>
      <c r="L1953" s="18" t="s">
        <v>6446</v>
      </c>
      <c r="M1953" s="18" t="s">
        <v>6447</v>
      </c>
      <c r="P1953" s="16"/>
      <c r="Q1953" s="16"/>
      <c r="R1953" s="16"/>
      <c r="S1953" s="16"/>
      <c r="T1953" s="18" t="s">
        <v>570</v>
      </c>
      <c r="U1953" s="283" t="s">
        <v>2875</v>
      </c>
      <c r="V1953" s="18" t="s">
        <v>6454</v>
      </c>
      <c r="W1953" s="18">
        <v>1</v>
      </c>
      <c r="X1953" s="18">
        <v>1</v>
      </c>
      <c r="Y1953" s="18">
        <v>1</v>
      </c>
      <c r="Z1953" s="18">
        <v>1</v>
      </c>
      <c r="AA1953" s="18">
        <v>0</v>
      </c>
      <c r="AB1953" s="18">
        <v>1</v>
      </c>
      <c r="AC1953" s="316">
        <v>1</v>
      </c>
      <c r="AD1953" s="316">
        <v>1</v>
      </c>
      <c r="AE1953" s="302">
        <f t="shared" si="76"/>
        <v>0.875</v>
      </c>
      <c r="AF1953" s="176"/>
      <c r="AG1953" s="17">
        <v>0</v>
      </c>
      <c r="AH1953" s="176">
        <v>0</v>
      </c>
      <c r="AI1953" s="176">
        <v>0</v>
      </c>
      <c r="AJ1953" s="176">
        <v>0</v>
      </c>
      <c r="AK1953" s="177">
        <v>0.53</v>
      </c>
      <c r="AL1953" s="177">
        <v>0.2</v>
      </c>
      <c r="AM1953" s="147">
        <f t="shared" si="75"/>
        <v>0.73</v>
      </c>
      <c r="AN1953" s="18" t="s">
        <v>879</v>
      </c>
      <c r="AO1953" s="18" t="s">
        <v>880</v>
      </c>
      <c r="AP1953" s="18" t="s">
        <v>6455</v>
      </c>
    </row>
    <row r="1954" spans="1:42" s="18" customFormat="1" x14ac:dyDescent="0.3">
      <c r="A1954" s="18" t="s">
        <v>1454</v>
      </c>
      <c r="B1954" s="18" t="s">
        <v>6438</v>
      </c>
      <c r="C1954" s="18">
        <v>101</v>
      </c>
      <c r="D1954" s="283" t="s">
        <v>6440</v>
      </c>
      <c r="E1954" s="18" t="s">
        <v>6441</v>
      </c>
      <c r="F1954" s="18" t="s">
        <v>6442</v>
      </c>
      <c r="G1954" s="156" t="s">
        <v>6443</v>
      </c>
      <c r="H1954" s="18" t="s">
        <v>6444</v>
      </c>
      <c r="K1954" s="156" t="s">
        <v>6445</v>
      </c>
      <c r="L1954" s="18" t="s">
        <v>6446</v>
      </c>
      <c r="M1954" s="18" t="s">
        <v>6447</v>
      </c>
      <c r="P1954" s="16"/>
      <c r="Q1954" s="16"/>
      <c r="R1954" s="16"/>
      <c r="S1954" s="16"/>
      <c r="T1954" s="18" t="s">
        <v>570</v>
      </c>
      <c r="U1954" s="283" t="s">
        <v>2875</v>
      </c>
      <c r="V1954" s="18" t="s">
        <v>6456</v>
      </c>
      <c r="W1954" s="18">
        <v>0</v>
      </c>
      <c r="X1954" s="18">
        <v>0</v>
      </c>
      <c r="Y1954" s="18">
        <v>0</v>
      </c>
      <c r="Z1954" s="18">
        <v>1</v>
      </c>
      <c r="AA1954" s="18">
        <v>0</v>
      </c>
      <c r="AB1954" s="18">
        <v>1</v>
      </c>
      <c r="AC1954" s="316">
        <v>0</v>
      </c>
      <c r="AD1954" s="316">
        <v>1</v>
      </c>
      <c r="AE1954" s="302">
        <f t="shared" si="76"/>
        <v>0.375</v>
      </c>
      <c r="AF1954" s="176"/>
      <c r="AG1954" s="17">
        <v>0</v>
      </c>
      <c r="AH1954" s="176">
        <v>0</v>
      </c>
      <c r="AI1954" s="176">
        <v>0</v>
      </c>
      <c r="AJ1954" s="176">
        <v>0</v>
      </c>
      <c r="AK1954" s="177">
        <v>0</v>
      </c>
      <c r="AL1954" s="177">
        <v>0</v>
      </c>
      <c r="AM1954" s="147">
        <f t="shared" si="75"/>
        <v>0</v>
      </c>
      <c r="AN1954" s="18" t="s">
        <v>879</v>
      </c>
      <c r="AO1954" s="18" t="s">
        <v>880</v>
      </c>
      <c r="AP1954" s="18" t="s">
        <v>6455</v>
      </c>
    </row>
    <row r="1955" spans="1:42" s="18" customFormat="1" x14ac:dyDescent="0.3">
      <c r="A1955" s="18" t="s">
        <v>1454</v>
      </c>
      <c r="B1955" s="18" t="s">
        <v>6438</v>
      </c>
      <c r="C1955" s="18">
        <v>101</v>
      </c>
      <c r="D1955" s="283" t="s">
        <v>6440</v>
      </c>
      <c r="E1955" s="18" t="s">
        <v>6441</v>
      </c>
      <c r="F1955" s="18" t="s">
        <v>6442</v>
      </c>
      <c r="G1955" s="156" t="s">
        <v>6443</v>
      </c>
      <c r="H1955" s="18" t="s">
        <v>6444</v>
      </c>
      <c r="K1955" s="156" t="s">
        <v>6445</v>
      </c>
      <c r="L1955" s="18" t="s">
        <v>6446</v>
      </c>
      <c r="M1955" s="18" t="s">
        <v>6447</v>
      </c>
      <c r="P1955" s="16"/>
      <c r="Q1955" s="16"/>
      <c r="R1955" s="16"/>
      <c r="S1955" s="16"/>
      <c r="T1955" s="18" t="s">
        <v>570</v>
      </c>
      <c r="U1955" s="283" t="s">
        <v>2875</v>
      </c>
      <c r="V1955" s="18" t="s">
        <v>6457</v>
      </c>
      <c r="W1955" s="18">
        <v>0</v>
      </c>
      <c r="X1955" s="18">
        <v>0</v>
      </c>
      <c r="Y1955" s="18">
        <v>0</v>
      </c>
      <c r="Z1955" s="18">
        <v>1</v>
      </c>
      <c r="AA1955" s="18">
        <v>0</v>
      </c>
      <c r="AB1955" s="18">
        <v>1</v>
      </c>
      <c r="AC1955" s="316">
        <v>0</v>
      </c>
      <c r="AD1955" s="316">
        <v>1</v>
      </c>
      <c r="AE1955" s="302">
        <f t="shared" si="76"/>
        <v>0.375</v>
      </c>
      <c r="AF1955" s="176"/>
      <c r="AG1955" s="17">
        <v>0</v>
      </c>
      <c r="AH1955" s="176">
        <v>0</v>
      </c>
      <c r="AI1955" s="176">
        <v>0</v>
      </c>
      <c r="AJ1955" s="176">
        <v>0</v>
      </c>
      <c r="AK1955" s="177">
        <v>0</v>
      </c>
      <c r="AL1955" s="177">
        <v>0</v>
      </c>
      <c r="AM1955" s="147">
        <f t="shared" si="75"/>
        <v>0</v>
      </c>
      <c r="AN1955" s="18" t="s">
        <v>879</v>
      </c>
      <c r="AO1955" s="18" t="s">
        <v>880</v>
      </c>
      <c r="AP1955" s="18" t="s">
        <v>265</v>
      </c>
    </row>
    <row r="1956" spans="1:42" s="18" customFormat="1" x14ac:dyDescent="0.3">
      <c r="A1956" s="18" t="s">
        <v>1454</v>
      </c>
      <c r="B1956" s="18" t="s">
        <v>6438</v>
      </c>
      <c r="C1956" s="18">
        <v>101</v>
      </c>
      <c r="D1956" s="283" t="s">
        <v>6440</v>
      </c>
      <c r="E1956" s="18" t="s">
        <v>6441</v>
      </c>
      <c r="F1956" s="18" t="s">
        <v>6442</v>
      </c>
      <c r="G1956" s="156" t="s">
        <v>6443</v>
      </c>
      <c r="H1956" s="18" t="s">
        <v>6444</v>
      </c>
      <c r="K1956" s="156" t="s">
        <v>6445</v>
      </c>
      <c r="L1956" s="18" t="s">
        <v>6446</v>
      </c>
      <c r="M1956" s="18" t="s">
        <v>6447</v>
      </c>
      <c r="P1956" s="16"/>
      <c r="Q1956" s="16"/>
      <c r="R1956" s="16"/>
      <c r="S1956" s="16"/>
      <c r="T1956" s="18" t="s">
        <v>570</v>
      </c>
      <c r="U1956" s="283" t="s">
        <v>2875</v>
      </c>
      <c r="V1956" s="18" t="s">
        <v>6458</v>
      </c>
      <c r="W1956" s="18">
        <v>0</v>
      </c>
      <c r="X1956" s="18">
        <v>0</v>
      </c>
      <c r="Y1956" s="18">
        <v>0</v>
      </c>
      <c r="Z1956" s="18">
        <v>1</v>
      </c>
      <c r="AA1956" s="18">
        <v>0</v>
      </c>
      <c r="AB1956" s="18">
        <v>1</v>
      </c>
      <c r="AC1956" s="316">
        <v>1</v>
      </c>
      <c r="AD1956" s="316">
        <v>1</v>
      </c>
      <c r="AE1956" s="302">
        <f t="shared" si="76"/>
        <v>0.5</v>
      </c>
      <c r="AF1956" s="176"/>
      <c r="AG1956" s="17">
        <v>0</v>
      </c>
      <c r="AH1956" s="176">
        <v>0</v>
      </c>
      <c r="AI1956" s="176">
        <v>0</v>
      </c>
      <c r="AJ1956" s="176">
        <v>0</v>
      </c>
      <c r="AK1956" s="177">
        <v>0</v>
      </c>
      <c r="AL1956" s="177">
        <v>0</v>
      </c>
      <c r="AM1956" s="147">
        <f t="shared" si="75"/>
        <v>0</v>
      </c>
      <c r="AN1956" s="18" t="s">
        <v>407</v>
      </c>
      <c r="AO1956" s="18" t="s">
        <v>409</v>
      </c>
      <c r="AP1956" s="18" t="s">
        <v>6459</v>
      </c>
    </row>
    <row r="1957" spans="1:42" s="18" customFormat="1" x14ac:dyDescent="0.3">
      <c r="A1957" s="18" t="s">
        <v>1454</v>
      </c>
      <c r="B1957" s="18" t="s">
        <v>6438</v>
      </c>
      <c r="C1957" s="18">
        <v>101</v>
      </c>
      <c r="D1957" s="283" t="s">
        <v>6440</v>
      </c>
      <c r="E1957" s="18" t="s">
        <v>6441</v>
      </c>
      <c r="F1957" s="18" t="s">
        <v>6442</v>
      </c>
      <c r="G1957" s="156" t="s">
        <v>6443</v>
      </c>
      <c r="H1957" s="18" t="s">
        <v>6444</v>
      </c>
      <c r="K1957" s="156" t="s">
        <v>6445</v>
      </c>
      <c r="L1957" s="18" t="s">
        <v>6446</v>
      </c>
      <c r="M1957" s="18" t="s">
        <v>6447</v>
      </c>
      <c r="P1957" s="16"/>
      <c r="Q1957" s="16"/>
      <c r="R1957" s="16"/>
      <c r="S1957" s="16"/>
      <c r="T1957" s="18" t="s">
        <v>570</v>
      </c>
      <c r="U1957" s="283" t="s">
        <v>2875</v>
      </c>
      <c r="V1957" s="18" t="s">
        <v>6460</v>
      </c>
      <c r="W1957" s="18">
        <v>0</v>
      </c>
      <c r="X1957" s="18">
        <v>1</v>
      </c>
      <c r="Y1957" s="18">
        <v>0</v>
      </c>
      <c r="Z1957" s="18">
        <v>0</v>
      </c>
      <c r="AA1957" s="18">
        <v>1</v>
      </c>
      <c r="AB1957" s="18">
        <v>1</v>
      </c>
      <c r="AC1957" s="316">
        <v>1</v>
      </c>
      <c r="AD1957" s="316">
        <v>1</v>
      </c>
      <c r="AE1957" s="302">
        <f t="shared" si="76"/>
        <v>0.625</v>
      </c>
      <c r="AF1957" s="176"/>
      <c r="AG1957" s="17">
        <v>0</v>
      </c>
      <c r="AH1957" s="176">
        <v>0</v>
      </c>
      <c r="AI1957" s="176">
        <v>0.08</v>
      </c>
      <c r="AJ1957" s="176">
        <v>0.08</v>
      </c>
      <c r="AK1957" s="177">
        <v>1</v>
      </c>
      <c r="AL1957" s="177">
        <v>1</v>
      </c>
      <c r="AM1957" s="147">
        <f t="shared" si="75"/>
        <v>2</v>
      </c>
      <c r="AN1957" s="18" t="s">
        <v>869</v>
      </c>
      <c r="AO1957" s="18" t="s">
        <v>871</v>
      </c>
      <c r="AP1957" s="18" t="s">
        <v>6459</v>
      </c>
    </row>
    <row r="1958" spans="1:42" s="18" customFormat="1" x14ac:dyDescent="0.3">
      <c r="A1958" s="18" t="s">
        <v>1454</v>
      </c>
      <c r="B1958" s="18" t="s">
        <v>6438</v>
      </c>
      <c r="C1958" s="18">
        <v>101</v>
      </c>
      <c r="D1958" s="283" t="s">
        <v>6440</v>
      </c>
      <c r="E1958" s="18" t="s">
        <v>6441</v>
      </c>
      <c r="F1958" s="18" t="s">
        <v>6442</v>
      </c>
      <c r="G1958" s="156" t="s">
        <v>6443</v>
      </c>
      <c r="H1958" s="18" t="s">
        <v>6444</v>
      </c>
      <c r="K1958" s="156" t="s">
        <v>6445</v>
      </c>
      <c r="L1958" s="18" t="s">
        <v>6446</v>
      </c>
      <c r="M1958" s="18" t="s">
        <v>6447</v>
      </c>
      <c r="P1958" s="16"/>
      <c r="Q1958" s="16"/>
      <c r="R1958" s="16"/>
      <c r="S1958" s="16"/>
      <c r="T1958" s="18" t="s">
        <v>570</v>
      </c>
      <c r="U1958" s="283" t="s">
        <v>2875</v>
      </c>
      <c r="V1958" s="18" t="s">
        <v>6461</v>
      </c>
      <c r="W1958" s="18">
        <v>1</v>
      </c>
      <c r="X1958" s="18">
        <v>1</v>
      </c>
      <c r="Y1958" s="18">
        <v>1</v>
      </c>
      <c r="Z1958" s="18">
        <v>1</v>
      </c>
      <c r="AA1958" s="18">
        <v>1</v>
      </c>
      <c r="AB1958" s="18">
        <v>1</v>
      </c>
      <c r="AC1958" s="316">
        <v>1</v>
      </c>
      <c r="AD1958" s="316">
        <v>1</v>
      </c>
      <c r="AE1958" s="302">
        <f t="shared" si="76"/>
        <v>1</v>
      </c>
      <c r="AF1958" s="176"/>
      <c r="AG1958" s="17">
        <v>0</v>
      </c>
      <c r="AH1958" s="176">
        <v>0</v>
      </c>
      <c r="AI1958" s="176">
        <v>2</v>
      </c>
      <c r="AJ1958" s="176">
        <v>2</v>
      </c>
      <c r="AK1958" s="177">
        <v>2</v>
      </c>
      <c r="AL1958" s="177">
        <v>2</v>
      </c>
      <c r="AM1958" s="147">
        <f t="shared" si="75"/>
        <v>4</v>
      </c>
      <c r="AN1958" s="18" t="s">
        <v>2514</v>
      </c>
      <c r="AO1958" s="18" t="s">
        <v>2515</v>
      </c>
      <c r="AP1958" s="18" t="s">
        <v>6462</v>
      </c>
    </row>
    <row r="1959" spans="1:42" s="18" customFormat="1" x14ac:dyDescent="0.3">
      <c r="A1959" s="18" t="s">
        <v>1454</v>
      </c>
      <c r="B1959" s="18" t="s">
        <v>6438</v>
      </c>
      <c r="C1959" s="18">
        <v>101</v>
      </c>
      <c r="D1959" s="283" t="s">
        <v>6440</v>
      </c>
      <c r="E1959" s="18" t="s">
        <v>6441</v>
      </c>
      <c r="F1959" s="18" t="s">
        <v>6442</v>
      </c>
      <c r="G1959" s="156" t="s">
        <v>6443</v>
      </c>
      <c r="H1959" s="18" t="s">
        <v>6444</v>
      </c>
      <c r="K1959" s="156" t="s">
        <v>6445</v>
      </c>
      <c r="L1959" s="18" t="s">
        <v>6446</v>
      </c>
      <c r="M1959" s="18" t="s">
        <v>6447</v>
      </c>
      <c r="P1959" s="16"/>
      <c r="Q1959" s="16"/>
      <c r="R1959" s="16"/>
      <c r="S1959" s="16"/>
      <c r="T1959" s="18" t="s">
        <v>570</v>
      </c>
      <c r="U1959" s="283" t="s">
        <v>2875</v>
      </c>
      <c r="V1959" s="18" t="s">
        <v>6463</v>
      </c>
      <c r="W1959" s="18">
        <v>0</v>
      </c>
      <c r="X1959" s="18">
        <v>1</v>
      </c>
      <c r="Y1959" s="18">
        <v>1</v>
      </c>
      <c r="Z1959" s="18">
        <v>1</v>
      </c>
      <c r="AA1959" s="18">
        <v>1</v>
      </c>
      <c r="AB1959" s="18">
        <v>1</v>
      </c>
      <c r="AC1959" s="316">
        <v>1</v>
      </c>
      <c r="AD1959" s="316">
        <v>0</v>
      </c>
      <c r="AE1959" s="302">
        <f t="shared" si="76"/>
        <v>0.75</v>
      </c>
      <c r="AF1959" s="176"/>
      <c r="AG1959" s="17">
        <v>0</v>
      </c>
      <c r="AH1959" s="176">
        <v>0</v>
      </c>
      <c r="AI1959" s="176">
        <v>4.5999999999999996</v>
      </c>
      <c r="AJ1959" s="176">
        <v>4.5999999999999996</v>
      </c>
      <c r="AK1959" s="177">
        <v>5</v>
      </c>
      <c r="AL1959" s="177">
        <v>5</v>
      </c>
      <c r="AM1959" s="147">
        <f t="shared" si="75"/>
        <v>10</v>
      </c>
      <c r="AN1959" s="18" t="s">
        <v>2514</v>
      </c>
      <c r="AO1959" s="18" t="s">
        <v>2515</v>
      </c>
      <c r="AP1959" s="18" t="s">
        <v>6462</v>
      </c>
    </row>
    <row r="1960" spans="1:42" s="18" customFormat="1" x14ac:dyDescent="0.3">
      <c r="A1960" s="18" t="s">
        <v>1454</v>
      </c>
      <c r="B1960" s="18" t="s">
        <v>6438</v>
      </c>
      <c r="C1960" s="18">
        <v>101</v>
      </c>
      <c r="D1960" s="283" t="s">
        <v>6440</v>
      </c>
      <c r="E1960" s="18" t="s">
        <v>6441</v>
      </c>
      <c r="F1960" s="18" t="s">
        <v>6442</v>
      </c>
      <c r="G1960" s="156" t="s">
        <v>6443</v>
      </c>
      <c r="H1960" s="18" t="s">
        <v>6444</v>
      </c>
      <c r="K1960" s="156" t="s">
        <v>6445</v>
      </c>
      <c r="L1960" s="18" t="s">
        <v>6446</v>
      </c>
      <c r="M1960" s="18" t="s">
        <v>6447</v>
      </c>
      <c r="P1960" s="16"/>
      <c r="Q1960" s="16"/>
      <c r="R1960" s="16"/>
      <c r="S1960" s="16"/>
      <c r="T1960" s="18" t="s">
        <v>570</v>
      </c>
      <c r="U1960" s="283" t="s">
        <v>2875</v>
      </c>
      <c r="V1960" s="18" t="s">
        <v>6464</v>
      </c>
      <c r="W1960" s="18">
        <v>0</v>
      </c>
      <c r="X1960" s="18">
        <v>0</v>
      </c>
      <c r="Y1960" s="18">
        <v>0</v>
      </c>
      <c r="Z1960" s="18">
        <v>1</v>
      </c>
      <c r="AA1960" s="18">
        <v>1</v>
      </c>
      <c r="AB1960" s="18">
        <v>1</v>
      </c>
      <c r="AC1960" s="316">
        <v>0</v>
      </c>
      <c r="AD1960" s="316">
        <v>0</v>
      </c>
      <c r="AE1960" s="302">
        <f t="shared" si="76"/>
        <v>0.375</v>
      </c>
      <c r="AF1960" s="176"/>
      <c r="AG1960" s="17">
        <v>0</v>
      </c>
      <c r="AH1960" s="176">
        <v>0</v>
      </c>
      <c r="AI1960" s="176">
        <v>0.5</v>
      </c>
      <c r="AJ1960" s="176">
        <v>0.3</v>
      </c>
      <c r="AK1960" s="177"/>
      <c r="AL1960" s="177">
        <v>0</v>
      </c>
      <c r="AM1960" s="147">
        <f t="shared" si="75"/>
        <v>0</v>
      </c>
      <c r="AN1960" s="18" t="s">
        <v>2514</v>
      </c>
      <c r="AO1960" s="18" t="s">
        <v>2515</v>
      </c>
      <c r="AP1960" s="18" t="s">
        <v>6462</v>
      </c>
    </row>
    <row r="1961" spans="1:42" s="18" customFormat="1" x14ac:dyDescent="0.3">
      <c r="A1961" s="18" t="s">
        <v>1454</v>
      </c>
      <c r="B1961" s="18" t="s">
        <v>6438</v>
      </c>
      <c r="C1961" s="18">
        <v>101</v>
      </c>
      <c r="D1961" s="283" t="s">
        <v>6440</v>
      </c>
      <c r="E1961" s="18" t="s">
        <v>6441</v>
      </c>
      <c r="F1961" s="18" t="s">
        <v>6442</v>
      </c>
      <c r="G1961" s="156" t="s">
        <v>6443</v>
      </c>
      <c r="H1961" s="18" t="s">
        <v>6444</v>
      </c>
      <c r="K1961" s="156" t="s">
        <v>6445</v>
      </c>
      <c r="L1961" s="18" t="s">
        <v>6446</v>
      </c>
      <c r="M1961" s="18" t="s">
        <v>6447</v>
      </c>
      <c r="P1961" s="16"/>
      <c r="Q1961" s="16"/>
      <c r="R1961" s="16"/>
      <c r="S1961" s="16"/>
      <c r="T1961" s="18" t="s">
        <v>570</v>
      </c>
      <c r="U1961" s="283" t="s">
        <v>2875</v>
      </c>
      <c r="V1961" s="18" t="s">
        <v>6465</v>
      </c>
      <c r="W1961" s="18">
        <v>1</v>
      </c>
      <c r="X1961" s="18">
        <v>1</v>
      </c>
      <c r="Y1961" s="18">
        <v>1</v>
      </c>
      <c r="Z1961" s="18">
        <v>1</v>
      </c>
      <c r="AA1961" s="18">
        <v>1</v>
      </c>
      <c r="AB1961" s="18">
        <v>1</v>
      </c>
      <c r="AC1961" s="316">
        <v>1</v>
      </c>
      <c r="AD1961" s="316">
        <v>1</v>
      </c>
      <c r="AE1961" s="302">
        <f t="shared" si="76"/>
        <v>1</v>
      </c>
      <c r="AF1961" s="176"/>
      <c r="AG1961" s="17">
        <v>0</v>
      </c>
      <c r="AH1961" s="176">
        <v>0</v>
      </c>
      <c r="AI1961" s="176">
        <v>0</v>
      </c>
      <c r="AJ1961" s="176">
        <v>0</v>
      </c>
      <c r="AK1961" s="177">
        <v>0</v>
      </c>
      <c r="AL1961" s="177">
        <v>0</v>
      </c>
      <c r="AM1961" s="147">
        <f t="shared" si="75"/>
        <v>0</v>
      </c>
      <c r="AN1961" s="18" t="s">
        <v>2514</v>
      </c>
      <c r="AO1961" s="18" t="s">
        <v>2515</v>
      </c>
      <c r="AP1961" s="18" t="s">
        <v>6466</v>
      </c>
    </row>
    <row r="1962" spans="1:42" s="18" customFormat="1" x14ac:dyDescent="0.3">
      <c r="A1962" s="18" t="s">
        <v>1454</v>
      </c>
      <c r="B1962" s="18" t="s">
        <v>6438</v>
      </c>
      <c r="C1962" s="18">
        <v>101</v>
      </c>
      <c r="D1962" s="283" t="s">
        <v>6440</v>
      </c>
      <c r="E1962" s="18" t="s">
        <v>6441</v>
      </c>
      <c r="F1962" s="18" t="s">
        <v>6442</v>
      </c>
      <c r="G1962" s="156" t="s">
        <v>6443</v>
      </c>
      <c r="H1962" s="18" t="s">
        <v>6444</v>
      </c>
      <c r="K1962" s="156" t="s">
        <v>6445</v>
      </c>
      <c r="L1962" s="18" t="s">
        <v>6446</v>
      </c>
      <c r="M1962" s="18" t="s">
        <v>6447</v>
      </c>
      <c r="P1962" s="16"/>
      <c r="Q1962" s="16"/>
      <c r="R1962" s="16"/>
      <c r="S1962" s="16"/>
      <c r="T1962" s="18" t="s">
        <v>570</v>
      </c>
      <c r="U1962" s="283" t="s">
        <v>2875</v>
      </c>
      <c r="V1962" s="18" t="s">
        <v>6467</v>
      </c>
      <c r="W1962" s="18">
        <v>1</v>
      </c>
      <c r="X1962" s="18">
        <v>1</v>
      </c>
      <c r="Y1962" s="18">
        <v>1</v>
      </c>
      <c r="Z1962" s="18">
        <v>1</v>
      </c>
      <c r="AA1962" s="18">
        <v>1</v>
      </c>
      <c r="AB1962" s="18">
        <v>1</v>
      </c>
      <c r="AC1962" s="316">
        <v>1</v>
      </c>
      <c r="AD1962" s="316">
        <v>1</v>
      </c>
      <c r="AE1962" s="302">
        <f t="shared" si="76"/>
        <v>1</v>
      </c>
      <c r="AF1962" s="176"/>
      <c r="AG1962" s="17">
        <v>0</v>
      </c>
      <c r="AH1962" s="176">
        <v>0</v>
      </c>
      <c r="AI1962" s="176">
        <v>0.5</v>
      </c>
      <c r="AJ1962" s="176">
        <v>0.5</v>
      </c>
      <c r="AK1962" s="177">
        <v>1</v>
      </c>
      <c r="AL1962" s="177">
        <v>2</v>
      </c>
      <c r="AM1962" s="147">
        <f t="shared" si="75"/>
        <v>3</v>
      </c>
      <c r="AN1962" s="18" t="s">
        <v>2514</v>
      </c>
      <c r="AO1962" s="18" t="s">
        <v>2515</v>
      </c>
      <c r="AP1962" s="18" t="s">
        <v>6466</v>
      </c>
    </row>
    <row r="1963" spans="1:42" s="18" customFormat="1" x14ac:dyDescent="0.3">
      <c r="A1963" s="18" t="s">
        <v>1454</v>
      </c>
      <c r="B1963" s="18" t="s">
        <v>6438</v>
      </c>
      <c r="C1963" s="18">
        <v>101</v>
      </c>
      <c r="D1963" s="283" t="s">
        <v>6440</v>
      </c>
      <c r="E1963" s="18" t="s">
        <v>6441</v>
      </c>
      <c r="F1963" s="18" t="s">
        <v>6442</v>
      </c>
      <c r="G1963" s="156" t="s">
        <v>6443</v>
      </c>
      <c r="H1963" s="18" t="s">
        <v>6444</v>
      </c>
      <c r="K1963" s="156" t="s">
        <v>6445</v>
      </c>
      <c r="L1963" s="18" t="s">
        <v>6446</v>
      </c>
      <c r="M1963" s="18" t="s">
        <v>6447</v>
      </c>
      <c r="P1963" s="16"/>
      <c r="Q1963" s="16"/>
      <c r="R1963" s="16"/>
      <c r="S1963" s="16"/>
      <c r="T1963" s="18" t="s">
        <v>570</v>
      </c>
      <c r="U1963" s="283" t="s">
        <v>2875</v>
      </c>
      <c r="V1963" s="18" t="s">
        <v>6468</v>
      </c>
      <c r="W1963" s="18">
        <v>0</v>
      </c>
      <c r="X1963" s="18">
        <v>0</v>
      </c>
      <c r="Y1963" s="18">
        <v>0</v>
      </c>
      <c r="Z1963" s="18">
        <v>1</v>
      </c>
      <c r="AA1963" s="18">
        <v>1</v>
      </c>
      <c r="AB1963" s="18">
        <v>0</v>
      </c>
      <c r="AC1963" s="316">
        <v>0</v>
      </c>
      <c r="AD1963" s="316">
        <v>0</v>
      </c>
      <c r="AE1963" s="302">
        <f t="shared" si="76"/>
        <v>0.25</v>
      </c>
      <c r="AF1963" s="176"/>
      <c r="AG1963" s="17">
        <v>0</v>
      </c>
      <c r="AH1963" s="176">
        <v>0</v>
      </c>
      <c r="AI1963" s="176">
        <v>0</v>
      </c>
      <c r="AJ1963" s="176">
        <v>0</v>
      </c>
      <c r="AK1963" s="177">
        <v>0</v>
      </c>
      <c r="AL1963" s="177">
        <v>0</v>
      </c>
      <c r="AM1963" s="147">
        <f t="shared" si="75"/>
        <v>0</v>
      </c>
      <c r="AN1963" s="18" t="s">
        <v>771</v>
      </c>
      <c r="AO1963" s="18" t="s">
        <v>773</v>
      </c>
      <c r="AP1963" s="18" t="s">
        <v>6455</v>
      </c>
    </row>
    <row r="1964" spans="1:42" s="18" customFormat="1" x14ac:dyDescent="0.3">
      <c r="A1964" s="18" t="s">
        <v>1454</v>
      </c>
      <c r="B1964" s="18" t="s">
        <v>6438</v>
      </c>
      <c r="C1964" s="18">
        <v>101</v>
      </c>
      <c r="D1964" s="283" t="s">
        <v>6440</v>
      </c>
      <c r="E1964" s="18" t="s">
        <v>6441</v>
      </c>
      <c r="F1964" s="18" t="s">
        <v>6442</v>
      </c>
      <c r="G1964" s="156" t="s">
        <v>6443</v>
      </c>
      <c r="H1964" s="18" t="s">
        <v>6444</v>
      </c>
      <c r="K1964" s="156" t="s">
        <v>6445</v>
      </c>
      <c r="L1964" s="18" t="s">
        <v>6446</v>
      </c>
      <c r="M1964" s="18" t="s">
        <v>6447</v>
      </c>
      <c r="P1964" s="16"/>
      <c r="Q1964" s="16"/>
      <c r="R1964" s="16"/>
      <c r="S1964" s="16"/>
      <c r="T1964" s="18" t="s">
        <v>570</v>
      </c>
      <c r="U1964" s="283" t="s">
        <v>2875</v>
      </c>
      <c r="V1964" s="18" t="s">
        <v>6469</v>
      </c>
      <c r="W1964" s="18">
        <v>0</v>
      </c>
      <c r="X1964" s="18">
        <v>0</v>
      </c>
      <c r="Y1964" s="18">
        <v>0</v>
      </c>
      <c r="Z1964" s="18">
        <v>1</v>
      </c>
      <c r="AA1964" s="18">
        <v>0</v>
      </c>
      <c r="AB1964" s="18">
        <v>0</v>
      </c>
      <c r="AC1964" s="316">
        <v>1</v>
      </c>
      <c r="AD1964" s="316">
        <v>0</v>
      </c>
      <c r="AE1964" s="302">
        <f t="shared" si="76"/>
        <v>0.25</v>
      </c>
      <c r="AF1964" s="176"/>
      <c r="AG1964" s="17">
        <v>0</v>
      </c>
      <c r="AH1964" s="176">
        <v>0</v>
      </c>
      <c r="AI1964" s="176">
        <v>0</v>
      </c>
      <c r="AJ1964" s="176">
        <v>0</v>
      </c>
      <c r="AK1964" s="177">
        <v>0</v>
      </c>
      <c r="AL1964" s="177">
        <v>0</v>
      </c>
      <c r="AM1964" s="147">
        <f t="shared" si="75"/>
        <v>0</v>
      </c>
      <c r="AN1964" s="18" t="s">
        <v>771</v>
      </c>
      <c r="AO1964" s="18" t="s">
        <v>773</v>
      </c>
      <c r="AP1964" s="18" t="s">
        <v>119</v>
      </c>
    </row>
    <row r="1965" spans="1:42" s="18" customFormat="1" x14ac:dyDescent="0.3">
      <c r="A1965" s="18" t="s">
        <v>1454</v>
      </c>
      <c r="B1965" s="18" t="s">
        <v>6438</v>
      </c>
      <c r="C1965" s="18">
        <v>101</v>
      </c>
      <c r="D1965" s="283" t="s">
        <v>6440</v>
      </c>
      <c r="E1965" s="18" t="s">
        <v>6441</v>
      </c>
      <c r="F1965" s="18" t="s">
        <v>6442</v>
      </c>
      <c r="G1965" s="156" t="s">
        <v>6443</v>
      </c>
      <c r="H1965" s="18" t="s">
        <v>6444</v>
      </c>
      <c r="K1965" s="156" t="s">
        <v>6445</v>
      </c>
      <c r="L1965" s="18" t="s">
        <v>6446</v>
      </c>
      <c r="M1965" s="18" t="s">
        <v>6447</v>
      </c>
      <c r="P1965" s="16"/>
      <c r="Q1965" s="16"/>
      <c r="R1965" s="16"/>
      <c r="S1965" s="16"/>
      <c r="T1965" s="18" t="s">
        <v>570</v>
      </c>
      <c r="U1965" s="283" t="s">
        <v>2875</v>
      </c>
      <c r="V1965" s="18" t="s">
        <v>6470</v>
      </c>
      <c r="W1965" s="18">
        <v>0</v>
      </c>
      <c r="X1965" s="18">
        <v>0</v>
      </c>
      <c r="Y1965" s="18">
        <v>0</v>
      </c>
      <c r="Z1965" s="18">
        <v>1</v>
      </c>
      <c r="AA1965" s="18">
        <v>0</v>
      </c>
      <c r="AB1965" s="18">
        <v>0</v>
      </c>
      <c r="AC1965" s="316">
        <v>1</v>
      </c>
      <c r="AD1965" s="316">
        <v>0</v>
      </c>
      <c r="AE1965" s="302">
        <f t="shared" si="76"/>
        <v>0.25</v>
      </c>
      <c r="AF1965" s="176"/>
      <c r="AG1965" s="17">
        <v>0</v>
      </c>
      <c r="AH1965" s="176">
        <v>0</v>
      </c>
      <c r="AI1965" s="176">
        <v>0</v>
      </c>
      <c r="AJ1965" s="176">
        <v>0</v>
      </c>
      <c r="AK1965" s="177">
        <v>0</v>
      </c>
      <c r="AL1965" s="177">
        <v>0</v>
      </c>
      <c r="AM1965" s="147">
        <f t="shared" si="75"/>
        <v>0</v>
      </c>
      <c r="AN1965" s="18" t="s">
        <v>771</v>
      </c>
      <c r="AO1965" s="18" t="s">
        <v>773</v>
      </c>
      <c r="AP1965" s="18" t="s">
        <v>119</v>
      </c>
    </row>
    <row r="1966" spans="1:42" s="18" customFormat="1" x14ac:dyDescent="0.3">
      <c r="A1966" s="18" t="s">
        <v>1454</v>
      </c>
      <c r="B1966" s="18" t="s">
        <v>6438</v>
      </c>
      <c r="C1966" s="18">
        <v>101</v>
      </c>
      <c r="D1966" s="283" t="s">
        <v>6440</v>
      </c>
      <c r="E1966" s="18" t="s">
        <v>6441</v>
      </c>
      <c r="F1966" s="18" t="s">
        <v>6442</v>
      </c>
      <c r="G1966" s="156" t="s">
        <v>6443</v>
      </c>
      <c r="H1966" s="18" t="s">
        <v>6444</v>
      </c>
      <c r="K1966" s="156" t="s">
        <v>6445</v>
      </c>
      <c r="L1966" s="18" t="s">
        <v>6446</v>
      </c>
      <c r="M1966" s="18" t="s">
        <v>6447</v>
      </c>
      <c r="P1966" s="16"/>
      <c r="Q1966" s="16"/>
      <c r="R1966" s="16"/>
      <c r="S1966" s="16"/>
      <c r="T1966" s="18" t="s">
        <v>570</v>
      </c>
      <c r="U1966" s="283" t="s">
        <v>2875</v>
      </c>
      <c r="V1966" s="18" t="s">
        <v>6471</v>
      </c>
      <c r="W1966" s="18">
        <v>0</v>
      </c>
      <c r="X1966" s="18">
        <v>0</v>
      </c>
      <c r="Y1966" s="18">
        <v>0</v>
      </c>
      <c r="Z1966" s="18">
        <v>1</v>
      </c>
      <c r="AA1966" s="18">
        <v>0</v>
      </c>
      <c r="AB1966" s="18">
        <v>0</v>
      </c>
      <c r="AC1966" s="316">
        <v>1</v>
      </c>
      <c r="AD1966" s="316">
        <v>0</v>
      </c>
      <c r="AE1966" s="302">
        <f t="shared" si="76"/>
        <v>0.25</v>
      </c>
      <c r="AF1966" s="176"/>
      <c r="AG1966" s="17">
        <v>0</v>
      </c>
      <c r="AH1966" s="176">
        <v>0</v>
      </c>
      <c r="AI1966" s="176">
        <v>0</v>
      </c>
      <c r="AJ1966" s="176">
        <v>0</v>
      </c>
      <c r="AK1966" s="177">
        <v>0</v>
      </c>
      <c r="AL1966" s="177">
        <v>0</v>
      </c>
      <c r="AM1966" s="147">
        <f t="shared" si="75"/>
        <v>0</v>
      </c>
      <c r="AN1966" s="18" t="s">
        <v>771</v>
      </c>
      <c r="AO1966" s="18" t="s">
        <v>773</v>
      </c>
      <c r="AP1966" s="18" t="s">
        <v>119</v>
      </c>
    </row>
    <row r="1967" spans="1:42" s="18" customFormat="1" x14ac:dyDescent="0.3">
      <c r="A1967" s="18" t="s">
        <v>1454</v>
      </c>
      <c r="B1967" s="18" t="s">
        <v>6438</v>
      </c>
      <c r="C1967" s="18">
        <v>101</v>
      </c>
      <c r="D1967" s="283" t="s">
        <v>6440</v>
      </c>
      <c r="E1967" s="18" t="s">
        <v>6441</v>
      </c>
      <c r="F1967" s="18" t="s">
        <v>6442</v>
      </c>
      <c r="G1967" s="156" t="s">
        <v>6443</v>
      </c>
      <c r="H1967" s="18" t="s">
        <v>6444</v>
      </c>
      <c r="K1967" s="156" t="s">
        <v>6445</v>
      </c>
      <c r="L1967" s="18" t="s">
        <v>6446</v>
      </c>
      <c r="M1967" s="18" t="s">
        <v>6447</v>
      </c>
      <c r="P1967" s="16"/>
      <c r="Q1967" s="16"/>
      <c r="R1967" s="16"/>
      <c r="S1967" s="16"/>
      <c r="T1967" s="18" t="s">
        <v>570</v>
      </c>
      <c r="U1967" s="283" t="s">
        <v>2875</v>
      </c>
      <c r="V1967" s="18" t="s">
        <v>6472</v>
      </c>
      <c r="W1967" s="18">
        <v>0</v>
      </c>
      <c r="X1967" s="18">
        <v>0</v>
      </c>
      <c r="Y1967" s="18">
        <v>1</v>
      </c>
      <c r="Z1967" s="18">
        <v>1</v>
      </c>
      <c r="AA1967" s="18">
        <v>0</v>
      </c>
      <c r="AB1967" s="18">
        <v>0</v>
      </c>
      <c r="AC1967" s="316">
        <v>0</v>
      </c>
      <c r="AD1967" s="316">
        <v>0</v>
      </c>
      <c r="AE1967" s="302">
        <f t="shared" si="76"/>
        <v>0.25</v>
      </c>
      <c r="AF1967" s="176"/>
      <c r="AG1967" s="17">
        <v>0</v>
      </c>
      <c r="AH1967" s="176">
        <v>0</v>
      </c>
      <c r="AI1967" s="176">
        <v>0</v>
      </c>
      <c r="AJ1967" s="176">
        <v>0</v>
      </c>
      <c r="AK1967" s="177">
        <v>0</v>
      </c>
      <c r="AL1967" s="177">
        <v>0</v>
      </c>
      <c r="AM1967" s="147">
        <f t="shared" si="75"/>
        <v>0</v>
      </c>
      <c r="AN1967" s="18" t="s">
        <v>771</v>
      </c>
      <c r="AO1967" s="18" t="s">
        <v>773</v>
      </c>
      <c r="AP1967" s="18" t="s">
        <v>119</v>
      </c>
    </row>
    <row r="1968" spans="1:42" s="18" customFormat="1" x14ac:dyDescent="0.3">
      <c r="A1968" s="18" t="s">
        <v>1454</v>
      </c>
      <c r="B1968" s="18" t="s">
        <v>6438</v>
      </c>
      <c r="C1968" s="18">
        <v>101</v>
      </c>
      <c r="D1968" s="283" t="s">
        <v>6440</v>
      </c>
      <c r="E1968" s="18" t="s">
        <v>6441</v>
      </c>
      <c r="F1968" s="18" t="s">
        <v>6442</v>
      </c>
      <c r="G1968" s="156" t="s">
        <v>6443</v>
      </c>
      <c r="H1968" s="18" t="s">
        <v>6444</v>
      </c>
      <c r="K1968" s="156" t="s">
        <v>6445</v>
      </c>
      <c r="L1968" s="18" t="s">
        <v>6446</v>
      </c>
      <c r="M1968" s="18" t="s">
        <v>6447</v>
      </c>
      <c r="P1968" s="16"/>
      <c r="Q1968" s="16"/>
      <c r="R1968" s="16"/>
      <c r="S1968" s="16"/>
      <c r="T1968" s="18" t="s">
        <v>570</v>
      </c>
      <c r="U1968" s="283" t="s">
        <v>2875</v>
      </c>
      <c r="V1968" s="18" t="s">
        <v>6473</v>
      </c>
      <c r="W1968" s="18">
        <v>0</v>
      </c>
      <c r="X1968" s="18">
        <v>0</v>
      </c>
      <c r="Y1968" s="18">
        <v>0</v>
      </c>
      <c r="Z1968" s="18">
        <v>1</v>
      </c>
      <c r="AA1968" s="18">
        <v>0</v>
      </c>
      <c r="AB1968" s="18">
        <v>0</v>
      </c>
      <c r="AC1968" s="316">
        <v>1</v>
      </c>
      <c r="AD1968" s="316">
        <v>0</v>
      </c>
      <c r="AE1968" s="302">
        <f t="shared" si="76"/>
        <v>0.25</v>
      </c>
      <c r="AF1968" s="176"/>
      <c r="AG1968" s="17">
        <v>0</v>
      </c>
      <c r="AH1968" s="176">
        <v>0</v>
      </c>
      <c r="AI1968" s="176">
        <v>0</v>
      </c>
      <c r="AJ1968" s="176">
        <v>0</v>
      </c>
      <c r="AK1968" s="177">
        <v>0</v>
      </c>
      <c r="AL1968" s="177">
        <v>0</v>
      </c>
      <c r="AM1968" s="147">
        <f t="shared" si="75"/>
        <v>0</v>
      </c>
      <c r="AN1968" s="18" t="s">
        <v>771</v>
      </c>
      <c r="AO1968" s="18" t="s">
        <v>773</v>
      </c>
      <c r="AP1968" s="18" t="s">
        <v>119</v>
      </c>
    </row>
    <row r="1969" spans="1:42" s="18" customFormat="1" x14ac:dyDescent="0.3">
      <c r="A1969" s="18" t="s">
        <v>1454</v>
      </c>
      <c r="B1969" s="18" t="s">
        <v>6438</v>
      </c>
      <c r="C1969" s="18">
        <v>101</v>
      </c>
      <c r="D1969" s="283" t="s">
        <v>6440</v>
      </c>
      <c r="E1969" s="18" t="s">
        <v>6441</v>
      </c>
      <c r="F1969" s="18" t="s">
        <v>6442</v>
      </c>
      <c r="G1969" s="156" t="s">
        <v>6443</v>
      </c>
      <c r="H1969" s="18" t="s">
        <v>6444</v>
      </c>
      <c r="K1969" s="156" t="s">
        <v>6445</v>
      </c>
      <c r="L1969" s="18" t="s">
        <v>6446</v>
      </c>
      <c r="M1969" s="18" t="s">
        <v>6447</v>
      </c>
      <c r="P1969" s="16"/>
      <c r="Q1969" s="16"/>
      <c r="R1969" s="16"/>
      <c r="S1969" s="16"/>
      <c r="T1969" s="18" t="s">
        <v>570</v>
      </c>
      <c r="U1969" s="283" t="s">
        <v>2875</v>
      </c>
      <c r="V1969" s="18" t="s">
        <v>6474</v>
      </c>
      <c r="W1969" s="18">
        <v>0</v>
      </c>
      <c r="X1969" s="18">
        <v>0</v>
      </c>
      <c r="Y1969" s="18">
        <v>0</v>
      </c>
      <c r="Z1969" s="18">
        <v>1</v>
      </c>
      <c r="AA1969" s="18">
        <v>0</v>
      </c>
      <c r="AB1969" s="18">
        <v>0</v>
      </c>
      <c r="AC1969" s="316">
        <v>0</v>
      </c>
      <c r="AD1969" s="316">
        <v>0</v>
      </c>
      <c r="AE1969" s="302">
        <f t="shared" si="76"/>
        <v>0.125</v>
      </c>
      <c r="AF1969" s="176"/>
      <c r="AG1969" s="17">
        <v>0</v>
      </c>
      <c r="AH1969" s="176">
        <v>0</v>
      </c>
      <c r="AI1969" s="176">
        <v>0</v>
      </c>
      <c r="AJ1969" s="176">
        <v>0</v>
      </c>
      <c r="AK1969" s="177">
        <v>0</v>
      </c>
      <c r="AL1969" s="177">
        <v>0</v>
      </c>
      <c r="AM1969" s="147">
        <f t="shared" si="75"/>
        <v>0</v>
      </c>
      <c r="AN1969" s="18" t="s">
        <v>771</v>
      </c>
      <c r="AO1969" s="18" t="s">
        <v>773</v>
      </c>
      <c r="AP1969" s="18" t="s">
        <v>2514</v>
      </c>
    </row>
    <row r="1970" spans="1:42" s="18" customFormat="1" x14ac:dyDescent="0.3">
      <c r="A1970" s="18" t="s">
        <v>1454</v>
      </c>
      <c r="B1970" s="18" t="s">
        <v>6438</v>
      </c>
      <c r="C1970" s="18">
        <v>101</v>
      </c>
      <c r="D1970" s="283" t="s">
        <v>6440</v>
      </c>
      <c r="E1970" s="18" t="s">
        <v>6441</v>
      </c>
      <c r="F1970" s="18" t="s">
        <v>6442</v>
      </c>
      <c r="G1970" s="156" t="s">
        <v>6443</v>
      </c>
      <c r="H1970" s="18" t="s">
        <v>6444</v>
      </c>
      <c r="K1970" s="156" t="s">
        <v>6445</v>
      </c>
      <c r="L1970" s="18" t="s">
        <v>6446</v>
      </c>
      <c r="M1970" s="18" t="s">
        <v>6447</v>
      </c>
      <c r="P1970" s="16"/>
      <c r="Q1970" s="16"/>
      <c r="R1970" s="16"/>
      <c r="S1970" s="16"/>
      <c r="T1970" s="18" t="s">
        <v>570</v>
      </c>
      <c r="U1970" s="283" t="s">
        <v>2875</v>
      </c>
      <c r="V1970" s="18" t="s">
        <v>6475</v>
      </c>
      <c r="W1970" s="18">
        <v>0</v>
      </c>
      <c r="X1970" s="18">
        <v>0</v>
      </c>
      <c r="Y1970" s="18">
        <v>0</v>
      </c>
      <c r="Z1970" s="18">
        <v>1</v>
      </c>
      <c r="AA1970" s="18">
        <v>0</v>
      </c>
      <c r="AB1970" s="18">
        <v>0</v>
      </c>
      <c r="AC1970" s="316">
        <v>0</v>
      </c>
      <c r="AD1970" s="316">
        <v>0</v>
      </c>
      <c r="AE1970" s="302">
        <f t="shared" si="76"/>
        <v>0.125</v>
      </c>
      <c r="AF1970" s="176"/>
      <c r="AG1970" s="17">
        <v>0</v>
      </c>
      <c r="AH1970" s="176">
        <v>0</v>
      </c>
      <c r="AI1970" s="176">
        <v>0</v>
      </c>
      <c r="AJ1970" s="176">
        <v>0</v>
      </c>
      <c r="AK1970" s="177">
        <v>0</v>
      </c>
      <c r="AL1970" s="177">
        <v>0</v>
      </c>
      <c r="AM1970" s="147">
        <f t="shared" si="75"/>
        <v>0</v>
      </c>
      <c r="AN1970" s="18" t="s">
        <v>771</v>
      </c>
      <c r="AO1970" s="18" t="s">
        <v>773</v>
      </c>
      <c r="AP1970" s="18" t="s">
        <v>119</v>
      </c>
    </row>
    <row r="1971" spans="1:42" s="18" customFormat="1" x14ac:dyDescent="0.3">
      <c r="A1971" s="18" t="s">
        <v>1454</v>
      </c>
      <c r="B1971" s="18" t="s">
        <v>6438</v>
      </c>
      <c r="C1971" s="18">
        <v>101</v>
      </c>
      <c r="D1971" s="283" t="s">
        <v>6440</v>
      </c>
      <c r="E1971" s="18" t="s">
        <v>6441</v>
      </c>
      <c r="F1971" s="18" t="s">
        <v>6442</v>
      </c>
      <c r="G1971" s="156" t="s">
        <v>6443</v>
      </c>
      <c r="H1971" s="18" t="s">
        <v>6444</v>
      </c>
      <c r="K1971" s="156" t="s">
        <v>6445</v>
      </c>
      <c r="L1971" s="18" t="s">
        <v>6446</v>
      </c>
      <c r="M1971" s="18" t="s">
        <v>6447</v>
      </c>
      <c r="P1971" s="16"/>
      <c r="Q1971" s="16"/>
      <c r="R1971" s="16"/>
      <c r="S1971" s="16"/>
      <c r="T1971" s="18" t="s">
        <v>570</v>
      </c>
      <c r="U1971" s="283" t="s">
        <v>2875</v>
      </c>
      <c r="V1971" s="18" t="s">
        <v>6476</v>
      </c>
      <c r="W1971" s="18">
        <v>0</v>
      </c>
      <c r="X1971" s="18">
        <v>0</v>
      </c>
      <c r="Y1971" s="18">
        <v>0</v>
      </c>
      <c r="Z1971" s="18">
        <v>1</v>
      </c>
      <c r="AA1971" s="18">
        <v>0</v>
      </c>
      <c r="AB1971" s="18">
        <v>0</v>
      </c>
      <c r="AC1971" s="316">
        <v>0</v>
      </c>
      <c r="AD1971" s="316">
        <v>0</v>
      </c>
      <c r="AE1971" s="302">
        <f t="shared" si="76"/>
        <v>0.125</v>
      </c>
      <c r="AF1971" s="176"/>
      <c r="AG1971" s="17">
        <v>0</v>
      </c>
      <c r="AH1971" s="176">
        <v>0</v>
      </c>
      <c r="AI1971" s="176">
        <v>0</v>
      </c>
      <c r="AJ1971" s="176">
        <v>0</v>
      </c>
      <c r="AK1971" s="177">
        <v>0</v>
      </c>
      <c r="AL1971" s="177">
        <v>0</v>
      </c>
      <c r="AM1971" s="147">
        <f t="shared" si="75"/>
        <v>0</v>
      </c>
      <c r="AN1971" s="18" t="s">
        <v>771</v>
      </c>
      <c r="AO1971" s="18" t="s">
        <v>773</v>
      </c>
      <c r="AP1971" s="18" t="s">
        <v>2514</v>
      </c>
    </row>
    <row r="1972" spans="1:42" s="18" customFormat="1" x14ac:dyDescent="0.3">
      <c r="A1972" s="18" t="s">
        <v>1454</v>
      </c>
      <c r="B1972" s="18" t="s">
        <v>6438</v>
      </c>
      <c r="C1972" s="18">
        <v>101</v>
      </c>
      <c r="D1972" s="283" t="s">
        <v>6440</v>
      </c>
      <c r="E1972" s="18" t="s">
        <v>6441</v>
      </c>
      <c r="F1972" s="18" t="s">
        <v>6442</v>
      </c>
      <c r="G1972" s="156" t="s">
        <v>6443</v>
      </c>
      <c r="H1972" s="18" t="s">
        <v>6444</v>
      </c>
      <c r="K1972" s="156" t="s">
        <v>6445</v>
      </c>
      <c r="L1972" s="18" t="s">
        <v>6446</v>
      </c>
      <c r="M1972" s="18" t="s">
        <v>6447</v>
      </c>
      <c r="P1972" s="16"/>
      <c r="Q1972" s="16"/>
      <c r="R1972" s="16"/>
      <c r="S1972" s="16"/>
      <c r="T1972" s="18" t="s">
        <v>570</v>
      </c>
      <c r="U1972" s="283" t="s">
        <v>2875</v>
      </c>
      <c r="V1972" s="18" t="s">
        <v>6477</v>
      </c>
      <c r="W1972" s="18">
        <v>0</v>
      </c>
      <c r="X1972" s="18">
        <v>0</v>
      </c>
      <c r="Y1972" s="18">
        <v>0</v>
      </c>
      <c r="Z1972" s="18">
        <v>1</v>
      </c>
      <c r="AA1972" s="18">
        <v>0</v>
      </c>
      <c r="AB1972" s="18">
        <v>0</v>
      </c>
      <c r="AC1972" s="316">
        <v>0</v>
      </c>
      <c r="AD1972" s="316">
        <v>0</v>
      </c>
      <c r="AE1972" s="302">
        <f t="shared" si="76"/>
        <v>0.125</v>
      </c>
      <c r="AF1972" s="176"/>
      <c r="AG1972" s="17">
        <v>0</v>
      </c>
      <c r="AH1972" s="176">
        <v>0</v>
      </c>
      <c r="AI1972" s="176">
        <v>0</v>
      </c>
      <c r="AJ1972" s="176">
        <v>0</v>
      </c>
      <c r="AK1972" s="177">
        <v>0</v>
      </c>
      <c r="AL1972" s="177">
        <v>0</v>
      </c>
      <c r="AM1972" s="147">
        <f t="shared" si="75"/>
        <v>0</v>
      </c>
      <c r="AN1972" s="18" t="s">
        <v>771</v>
      </c>
      <c r="AO1972" s="18" t="s">
        <v>773</v>
      </c>
      <c r="AP1972" s="18" t="s">
        <v>119</v>
      </c>
    </row>
    <row r="1973" spans="1:42" s="18" customFormat="1" x14ac:dyDescent="0.3">
      <c r="A1973" s="18" t="s">
        <v>1454</v>
      </c>
      <c r="B1973" s="18" t="s">
        <v>6438</v>
      </c>
      <c r="C1973" s="18">
        <v>101</v>
      </c>
      <c r="D1973" s="283" t="s">
        <v>6440</v>
      </c>
      <c r="E1973" s="18" t="s">
        <v>6441</v>
      </c>
      <c r="F1973" s="18" t="s">
        <v>6442</v>
      </c>
      <c r="G1973" s="156" t="s">
        <v>6443</v>
      </c>
      <c r="H1973" s="18" t="s">
        <v>6444</v>
      </c>
      <c r="K1973" s="156" t="s">
        <v>6445</v>
      </c>
      <c r="L1973" s="18" t="s">
        <v>6446</v>
      </c>
      <c r="M1973" s="18" t="s">
        <v>6447</v>
      </c>
      <c r="P1973" s="16"/>
      <c r="Q1973" s="16"/>
      <c r="R1973" s="16"/>
      <c r="S1973" s="16"/>
      <c r="T1973" s="18" t="s">
        <v>570</v>
      </c>
      <c r="U1973" s="283" t="s">
        <v>2875</v>
      </c>
      <c r="V1973" s="18" t="s">
        <v>6478</v>
      </c>
      <c r="W1973" s="18">
        <v>0</v>
      </c>
      <c r="X1973" s="18">
        <v>0</v>
      </c>
      <c r="Y1973" s="18">
        <v>0</v>
      </c>
      <c r="Z1973" s="18">
        <v>1</v>
      </c>
      <c r="AA1973" s="18">
        <v>0</v>
      </c>
      <c r="AB1973" s="18">
        <v>0</v>
      </c>
      <c r="AC1973" s="316">
        <v>0</v>
      </c>
      <c r="AD1973" s="316">
        <v>0</v>
      </c>
      <c r="AE1973" s="302">
        <f t="shared" si="76"/>
        <v>0.125</v>
      </c>
      <c r="AF1973" s="176"/>
      <c r="AG1973" s="17">
        <v>0</v>
      </c>
      <c r="AH1973" s="176">
        <v>0</v>
      </c>
      <c r="AI1973" s="176">
        <v>0</v>
      </c>
      <c r="AJ1973" s="176">
        <v>0</v>
      </c>
      <c r="AK1973" s="177">
        <v>0</v>
      </c>
      <c r="AL1973" s="177">
        <v>0</v>
      </c>
      <c r="AM1973" s="147">
        <f t="shared" si="75"/>
        <v>0</v>
      </c>
      <c r="AN1973" s="18" t="s">
        <v>771</v>
      </c>
      <c r="AO1973" s="18" t="s">
        <v>773</v>
      </c>
      <c r="AP1973" s="18" t="s">
        <v>119</v>
      </c>
    </row>
    <row r="1974" spans="1:42" s="18" customFormat="1" x14ac:dyDescent="0.3">
      <c r="A1974" s="18" t="s">
        <v>1454</v>
      </c>
      <c r="B1974" s="18" t="s">
        <v>6438</v>
      </c>
      <c r="C1974" s="18">
        <v>101</v>
      </c>
      <c r="D1974" s="283" t="s">
        <v>6440</v>
      </c>
      <c r="E1974" s="18" t="s">
        <v>6441</v>
      </c>
      <c r="F1974" s="18" t="s">
        <v>6442</v>
      </c>
      <c r="G1974" s="156" t="s">
        <v>6443</v>
      </c>
      <c r="H1974" s="18" t="s">
        <v>6444</v>
      </c>
      <c r="K1974" s="156" t="s">
        <v>6445</v>
      </c>
      <c r="L1974" s="18" t="s">
        <v>6446</v>
      </c>
      <c r="M1974" s="18" t="s">
        <v>6447</v>
      </c>
      <c r="P1974" s="16"/>
      <c r="Q1974" s="16"/>
      <c r="R1974" s="16"/>
      <c r="S1974" s="16"/>
      <c r="T1974" s="18" t="s">
        <v>570</v>
      </c>
      <c r="U1974" s="283" t="s">
        <v>2875</v>
      </c>
      <c r="V1974" s="18" t="s">
        <v>6479</v>
      </c>
      <c r="W1974" s="18">
        <v>0</v>
      </c>
      <c r="X1974" s="18">
        <v>0</v>
      </c>
      <c r="Y1974" s="18">
        <v>0</v>
      </c>
      <c r="Z1974" s="18">
        <v>1</v>
      </c>
      <c r="AA1974" s="18">
        <v>0</v>
      </c>
      <c r="AB1974" s="18">
        <v>0</v>
      </c>
      <c r="AC1974" s="316">
        <v>0</v>
      </c>
      <c r="AD1974" s="316">
        <v>0</v>
      </c>
      <c r="AE1974" s="302">
        <f t="shared" si="76"/>
        <v>0.125</v>
      </c>
      <c r="AF1974" s="176"/>
      <c r="AG1974" s="17">
        <v>0</v>
      </c>
      <c r="AH1974" s="176">
        <v>0</v>
      </c>
      <c r="AI1974" s="176">
        <v>0</v>
      </c>
      <c r="AJ1974" s="176">
        <v>0</v>
      </c>
      <c r="AK1974" s="177">
        <v>0</v>
      </c>
      <c r="AL1974" s="177">
        <v>0</v>
      </c>
      <c r="AM1974" s="147">
        <f t="shared" si="75"/>
        <v>0</v>
      </c>
      <c r="AN1974" s="18" t="s">
        <v>771</v>
      </c>
      <c r="AO1974" s="18" t="s">
        <v>773</v>
      </c>
      <c r="AP1974" s="18" t="s">
        <v>119</v>
      </c>
    </row>
    <row r="1975" spans="1:42" s="18" customFormat="1" x14ac:dyDescent="0.3">
      <c r="A1975" s="18" t="s">
        <v>1454</v>
      </c>
      <c r="B1975" s="18" t="s">
        <v>6438</v>
      </c>
      <c r="C1975" s="18">
        <v>101</v>
      </c>
      <c r="D1975" s="283" t="s">
        <v>6440</v>
      </c>
      <c r="E1975" s="18" t="s">
        <v>6441</v>
      </c>
      <c r="F1975" s="18" t="s">
        <v>6442</v>
      </c>
      <c r="G1975" s="156" t="s">
        <v>6480</v>
      </c>
      <c r="H1975" s="18" t="s">
        <v>6481</v>
      </c>
      <c r="K1975" s="156" t="s">
        <v>6482</v>
      </c>
      <c r="L1975" s="18" t="s">
        <v>6483</v>
      </c>
      <c r="M1975" s="18" t="s">
        <v>6484</v>
      </c>
      <c r="P1975" s="16"/>
      <c r="Q1975" s="16"/>
      <c r="R1975" s="16"/>
      <c r="S1975" s="16"/>
      <c r="T1975" s="18" t="s">
        <v>6485</v>
      </c>
      <c r="U1975" s="283" t="e">
        <v>#N/A</v>
      </c>
      <c r="V1975" s="18" t="s">
        <v>6486</v>
      </c>
      <c r="W1975" s="18">
        <v>1</v>
      </c>
      <c r="X1975" s="18">
        <v>1</v>
      </c>
      <c r="Y1975" s="18">
        <v>1</v>
      </c>
      <c r="Z1975" s="18">
        <v>1</v>
      </c>
      <c r="AA1975" s="18">
        <v>0</v>
      </c>
      <c r="AB1975" s="18">
        <v>1</v>
      </c>
      <c r="AC1975" s="316">
        <v>1</v>
      </c>
      <c r="AD1975" s="316">
        <v>1</v>
      </c>
      <c r="AE1975" s="302">
        <f t="shared" si="76"/>
        <v>0.875</v>
      </c>
      <c r="AF1975" s="176"/>
      <c r="AG1975" s="17">
        <v>0</v>
      </c>
      <c r="AH1975" s="176">
        <v>0</v>
      </c>
      <c r="AI1975" s="176">
        <v>0</v>
      </c>
      <c r="AJ1975" s="176">
        <v>0</v>
      </c>
      <c r="AK1975" s="177"/>
      <c r="AL1975" s="177">
        <v>0.1</v>
      </c>
      <c r="AM1975" s="147">
        <f t="shared" si="75"/>
        <v>0.1</v>
      </c>
      <c r="AN1975" s="18" t="s">
        <v>771</v>
      </c>
      <c r="AO1975" s="18" t="s">
        <v>773</v>
      </c>
      <c r="AP1975" s="18" t="s">
        <v>2514</v>
      </c>
    </row>
    <row r="1976" spans="1:42" s="18" customFormat="1" x14ac:dyDescent="0.3">
      <c r="A1976" s="18" t="s">
        <v>1454</v>
      </c>
      <c r="B1976" s="18" t="s">
        <v>6438</v>
      </c>
      <c r="C1976" s="18">
        <v>101</v>
      </c>
      <c r="D1976" s="283" t="s">
        <v>6440</v>
      </c>
      <c r="E1976" s="18" t="s">
        <v>6441</v>
      </c>
      <c r="F1976" s="18" t="s">
        <v>6442</v>
      </c>
      <c r="G1976" s="156" t="s">
        <v>6480</v>
      </c>
      <c r="H1976" s="18" t="s">
        <v>6481</v>
      </c>
      <c r="K1976" s="156" t="s">
        <v>6482</v>
      </c>
      <c r="L1976" s="18" t="s">
        <v>6483</v>
      </c>
      <c r="M1976" s="18" t="s">
        <v>6484</v>
      </c>
      <c r="P1976" s="16"/>
      <c r="Q1976" s="16"/>
      <c r="R1976" s="16"/>
      <c r="S1976" s="16"/>
      <c r="T1976" s="18" t="s">
        <v>6485</v>
      </c>
      <c r="U1976" s="283" t="e">
        <v>#N/A</v>
      </c>
      <c r="V1976" s="18" t="s">
        <v>6487</v>
      </c>
      <c r="W1976" s="18">
        <v>1</v>
      </c>
      <c r="X1976" s="18">
        <v>0</v>
      </c>
      <c r="Y1976" s="18">
        <v>0</v>
      </c>
      <c r="Z1976" s="18">
        <v>0</v>
      </c>
      <c r="AA1976" s="18">
        <v>0</v>
      </c>
      <c r="AB1976" s="18">
        <v>0</v>
      </c>
      <c r="AC1976" s="316">
        <v>1</v>
      </c>
      <c r="AD1976" s="316">
        <v>0</v>
      </c>
      <c r="AE1976" s="302">
        <f t="shared" si="76"/>
        <v>0.25</v>
      </c>
      <c r="AF1976" s="176"/>
      <c r="AG1976" s="17">
        <v>0</v>
      </c>
      <c r="AH1976" s="176">
        <v>0</v>
      </c>
      <c r="AI1976" s="176">
        <v>0</v>
      </c>
      <c r="AJ1976" s="176">
        <v>0</v>
      </c>
      <c r="AK1976" s="177">
        <v>0</v>
      </c>
      <c r="AL1976" s="177">
        <v>0</v>
      </c>
      <c r="AM1976" s="147">
        <f t="shared" si="75"/>
        <v>0</v>
      </c>
      <c r="AN1976" s="18" t="s">
        <v>869</v>
      </c>
      <c r="AO1976" s="18" t="s">
        <v>871</v>
      </c>
      <c r="AP1976" s="18" t="s">
        <v>6488</v>
      </c>
    </row>
    <row r="1977" spans="1:42" s="18" customFormat="1" x14ac:dyDescent="0.3">
      <c r="A1977" s="18" t="s">
        <v>1454</v>
      </c>
      <c r="B1977" s="18" t="s">
        <v>6438</v>
      </c>
      <c r="C1977" s="18">
        <v>101</v>
      </c>
      <c r="D1977" s="283" t="s">
        <v>6440</v>
      </c>
      <c r="E1977" s="18" t="s">
        <v>6441</v>
      </c>
      <c r="F1977" s="18" t="s">
        <v>6442</v>
      </c>
      <c r="G1977" s="156" t="s">
        <v>6480</v>
      </c>
      <c r="H1977" s="18" t="s">
        <v>6481</v>
      </c>
      <c r="K1977" s="156" t="s">
        <v>6482</v>
      </c>
      <c r="L1977" s="18" t="s">
        <v>6483</v>
      </c>
      <c r="M1977" s="18" t="s">
        <v>6484</v>
      </c>
      <c r="P1977" s="16"/>
      <c r="Q1977" s="16"/>
      <c r="R1977" s="16"/>
      <c r="S1977" s="16"/>
      <c r="T1977" s="18" t="s">
        <v>6485</v>
      </c>
      <c r="U1977" s="283" t="e">
        <v>#N/A</v>
      </c>
      <c r="V1977" s="18" t="s">
        <v>6489</v>
      </c>
      <c r="W1977" s="18">
        <v>0</v>
      </c>
      <c r="X1977" s="18">
        <v>0</v>
      </c>
      <c r="Y1977" s="18">
        <v>1</v>
      </c>
      <c r="Z1977" s="18">
        <v>1</v>
      </c>
      <c r="AA1977" s="18">
        <v>0</v>
      </c>
      <c r="AB1977" s="18">
        <v>1</v>
      </c>
      <c r="AC1977" s="316">
        <v>1</v>
      </c>
      <c r="AD1977" s="316">
        <v>0</v>
      </c>
      <c r="AE1977" s="302">
        <f t="shared" si="76"/>
        <v>0.5</v>
      </c>
      <c r="AF1977" s="176"/>
      <c r="AG1977" s="17">
        <v>0</v>
      </c>
      <c r="AH1977" s="176">
        <v>0</v>
      </c>
      <c r="AI1977" s="176">
        <v>0</v>
      </c>
      <c r="AJ1977" s="176">
        <v>0</v>
      </c>
      <c r="AK1977" s="177">
        <v>0</v>
      </c>
      <c r="AL1977" s="177">
        <v>0</v>
      </c>
      <c r="AM1977" s="147">
        <f t="shared" si="75"/>
        <v>0</v>
      </c>
      <c r="AN1977" s="18" t="s">
        <v>869</v>
      </c>
      <c r="AO1977" s="18" t="s">
        <v>871</v>
      </c>
      <c r="AP1977" s="18" t="s">
        <v>6488</v>
      </c>
    </row>
    <row r="1978" spans="1:42" s="18" customFormat="1" x14ac:dyDescent="0.3">
      <c r="A1978" s="18" t="s">
        <v>1454</v>
      </c>
      <c r="B1978" s="18" t="s">
        <v>6438</v>
      </c>
      <c r="C1978" s="18">
        <v>101</v>
      </c>
      <c r="D1978" s="283" t="s">
        <v>6440</v>
      </c>
      <c r="E1978" s="18" t="s">
        <v>6441</v>
      </c>
      <c r="F1978" s="18" t="s">
        <v>6442</v>
      </c>
      <c r="G1978" s="156" t="s">
        <v>6480</v>
      </c>
      <c r="H1978" s="18" t="s">
        <v>6481</v>
      </c>
      <c r="K1978" s="156" t="s">
        <v>6482</v>
      </c>
      <c r="L1978" s="18" t="s">
        <v>6483</v>
      </c>
      <c r="M1978" s="18" t="s">
        <v>6484</v>
      </c>
      <c r="P1978" s="16"/>
      <c r="Q1978" s="16"/>
      <c r="R1978" s="16"/>
      <c r="S1978" s="16"/>
      <c r="T1978" s="18" t="s">
        <v>6485</v>
      </c>
      <c r="U1978" s="283" t="e">
        <v>#N/A</v>
      </c>
      <c r="V1978" s="18" t="s">
        <v>6490</v>
      </c>
      <c r="W1978" s="18">
        <v>0</v>
      </c>
      <c r="X1978" s="18">
        <v>0</v>
      </c>
      <c r="Y1978" s="18">
        <v>0</v>
      </c>
      <c r="Z1978" s="18">
        <v>1</v>
      </c>
      <c r="AA1978" s="18">
        <v>0</v>
      </c>
      <c r="AB1978" s="18">
        <v>0</v>
      </c>
      <c r="AC1978" s="316">
        <v>1</v>
      </c>
      <c r="AD1978" s="316">
        <v>0</v>
      </c>
      <c r="AE1978" s="302">
        <f t="shared" si="76"/>
        <v>0.25</v>
      </c>
      <c r="AF1978" s="176"/>
      <c r="AG1978" s="17">
        <v>0</v>
      </c>
      <c r="AH1978" s="176">
        <v>0</v>
      </c>
      <c r="AI1978" s="176">
        <v>0</v>
      </c>
      <c r="AJ1978" s="176">
        <v>0</v>
      </c>
      <c r="AK1978" s="177">
        <v>0</v>
      </c>
      <c r="AL1978" s="177">
        <v>0</v>
      </c>
      <c r="AM1978" s="147">
        <f t="shared" ref="AM1978:AM2009" si="77">SUM(AK1978:AL1978)</f>
        <v>0</v>
      </c>
      <c r="AN1978" s="18" t="s">
        <v>771</v>
      </c>
      <c r="AO1978" s="18" t="s">
        <v>773</v>
      </c>
      <c r="AP1978" s="18" t="s">
        <v>6491</v>
      </c>
    </row>
    <row r="1979" spans="1:42" s="18" customFormat="1" x14ac:dyDescent="0.3">
      <c r="A1979" s="18" t="s">
        <v>1454</v>
      </c>
      <c r="B1979" s="18" t="s">
        <v>6438</v>
      </c>
      <c r="C1979" s="18">
        <v>101</v>
      </c>
      <c r="D1979" s="283" t="s">
        <v>6440</v>
      </c>
      <c r="E1979" s="18" t="s">
        <v>6441</v>
      </c>
      <c r="F1979" s="18" t="s">
        <v>6442</v>
      </c>
      <c r="G1979" s="156" t="s">
        <v>6480</v>
      </c>
      <c r="H1979" s="18" t="s">
        <v>6481</v>
      </c>
      <c r="K1979" s="156" t="s">
        <v>6482</v>
      </c>
      <c r="L1979" s="18" t="s">
        <v>6483</v>
      </c>
      <c r="M1979" s="18" t="s">
        <v>6484</v>
      </c>
      <c r="P1979" s="16"/>
      <c r="Q1979" s="16"/>
      <c r="R1979" s="16"/>
      <c r="S1979" s="16"/>
      <c r="T1979" s="18" t="s">
        <v>6485</v>
      </c>
      <c r="U1979" s="283" t="e">
        <v>#N/A</v>
      </c>
      <c r="V1979" s="18" t="s">
        <v>6492</v>
      </c>
      <c r="W1979" s="18">
        <v>0</v>
      </c>
      <c r="X1979" s="18">
        <v>0</v>
      </c>
      <c r="Y1979" s="18">
        <v>0</v>
      </c>
      <c r="Z1979" s="18">
        <v>1</v>
      </c>
      <c r="AA1979" s="18">
        <v>0</v>
      </c>
      <c r="AB1979" s="18">
        <v>0</v>
      </c>
      <c r="AC1979" s="316">
        <v>1</v>
      </c>
      <c r="AD1979" s="316">
        <v>0</v>
      </c>
      <c r="AE1979" s="302">
        <f t="shared" si="76"/>
        <v>0.25</v>
      </c>
      <c r="AF1979" s="176"/>
      <c r="AG1979" s="17">
        <v>0</v>
      </c>
      <c r="AH1979" s="176">
        <v>0</v>
      </c>
      <c r="AI1979" s="176">
        <v>0</v>
      </c>
      <c r="AJ1979" s="176">
        <v>0</v>
      </c>
      <c r="AK1979" s="177">
        <v>0</v>
      </c>
      <c r="AL1979" s="177">
        <v>0</v>
      </c>
      <c r="AM1979" s="147">
        <f t="shared" si="77"/>
        <v>0</v>
      </c>
      <c r="AN1979" s="18" t="s">
        <v>771</v>
      </c>
      <c r="AO1979" s="18" t="s">
        <v>773</v>
      </c>
      <c r="AP1979" s="18" t="s">
        <v>6493</v>
      </c>
    </row>
    <row r="1980" spans="1:42" s="18" customFormat="1" x14ac:dyDescent="0.3">
      <c r="A1980" s="18" t="s">
        <v>1454</v>
      </c>
      <c r="B1980" s="18" t="s">
        <v>6438</v>
      </c>
      <c r="C1980" s="18">
        <v>101</v>
      </c>
      <c r="D1980" s="283" t="s">
        <v>6440</v>
      </c>
      <c r="E1980" s="18" t="s">
        <v>6441</v>
      </c>
      <c r="F1980" s="18" t="s">
        <v>6442</v>
      </c>
      <c r="G1980" s="156" t="s">
        <v>6480</v>
      </c>
      <c r="H1980" s="18" t="s">
        <v>6481</v>
      </c>
      <c r="K1980" s="156" t="s">
        <v>6482</v>
      </c>
      <c r="L1980" s="18" t="s">
        <v>6483</v>
      </c>
      <c r="M1980" s="18" t="s">
        <v>6494</v>
      </c>
      <c r="P1980" s="16"/>
      <c r="Q1980" s="16"/>
      <c r="R1980" s="16"/>
      <c r="S1980" s="16"/>
      <c r="T1980" s="18" t="s">
        <v>6485</v>
      </c>
      <c r="U1980" s="283" t="e">
        <v>#N/A</v>
      </c>
      <c r="V1980" s="18" t="s">
        <v>6495</v>
      </c>
      <c r="W1980" s="18">
        <v>0</v>
      </c>
      <c r="X1980" s="18">
        <v>0</v>
      </c>
      <c r="Y1980" s="18">
        <v>0</v>
      </c>
      <c r="Z1980" s="18">
        <v>1</v>
      </c>
      <c r="AA1980" s="18">
        <v>0</v>
      </c>
      <c r="AB1980" s="18">
        <v>0</v>
      </c>
      <c r="AC1980" s="316">
        <v>1</v>
      </c>
      <c r="AD1980" s="316">
        <v>0</v>
      </c>
      <c r="AE1980" s="302">
        <f t="shared" si="76"/>
        <v>0.25</v>
      </c>
      <c r="AF1980" s="176"/>
      <c r="AG1980" s="17">
        <v>0</v>
      </c>
      <c r="AH1980" s="176">
        <v>0</v>
      </c>
      <c r="AI1980" s="176">
        <v>0</v>
      </c>
      <c r="AJ1980" s="176">
        <v>0</v>
      </c>
      <c r="AK1980" s="177">
        <v>0</v>
      </c>
      <c r="AL1980" s="177">
        <v>0</v>
      </c>
      <c r="AM1980" s="147">
        <f t="shared" si="77"/>
        <v>0</v>
      </c>
      <c r="AN1980" s="18" t="s">
        <v>771</v>
      </c>
      <c r="AO1980" s="18" t="s">
        <v>773</v>
      </c>
      <c r="AP1980" s="18" t="s">
        <v>119</v>
      </c>
    </row>
    <row r="1981" spans="1:42" s="18" customFormat="1" x14ac:dyDescent="0.3">
      <c r="A1981" s="18" t="s">
        <v>1454</v>
      </c>
      <c r="B1981" s="18" t="s">
        <v>6438</v>
      </c>
      <c r="C1981" s="18">
        <v>101</v>
      </c>
      <c r="D1981" s="283" t="s">
        <v>6440</v>
      </c>
      <c r="E1981" s="18" t="s">
        <v>6441</v>
      </c>
      <c r="F1981" s="18" t="s">
        <v>6442</v>
      </c>
      <c r="G1981" s="156" t="s">
        <v>6480</v>
      </c>
      <c r="H1981" s="18" t="s">
        <v>6481</v>
      </c>
      <c r="K1981" s="156" t="s">
        <v>6482</v>
      </c>
      <c r="L1981" s="18" t="s">
        <v>6483</v>
      </c>
      <c r="M1981" s="18" t="s">
        <v>6494</v>
      </c>
      <c r="P1981" s="16"/>
      <c r="Q1981" s="16"/>
      <c r="R1981" s="16"/>
      <c r="S1981" s="16"/>
      <c r="T1981" s="18" t="s">
        <v>6485</v>
      </c>
      <c r="U1981" s="283" t="e">
        <v>#N/A</v>
      </c>
      <c r="V1981" s="18" t="s">
        <v>6496</v>
      </c>
      <c r="W1981" s="18">
        <v>0</v>
      </c>
      <c r="X1981" s="18">
        <v>0</v>
      </c>
      <c r="Y1981" s="18">
        <v>0</v>
      </c>
      <c r="Z1981" s="18">
        <v>1</v>
      </c>
      <c r="AA1981" s="18">
        <v>0</v>
      </c>
      <c r="AB1981" s="18">
        <v>0</v>
      </c>
      <c r="AC1981" s="316">
        <v>1</v>
      </c>
      <c r="AD1981" s="316">
        <v>0</v>
      </c>
      <c r="AE1981" s="302">
        <f t="shared" ref="AE1981:AE2012" si="78">SUM(W1981:AD1981)/8</f>
        <v>0.25</v>
      </c>
      <c r="AF1981" s="176"/>
      <c r="AG1981" s="17">
        <v>0</v>
      </c>
      <c r="AH1981" s="176">
        <v>0</v>
      </c>
      <c r="AI1981" s="176">
        <v>0</v>
      </c>
      <c r="AJ1981" s="176">
        <v>0</v>
      </c>
      <c r="AK1981" s="177">
        <v>0</v>
      </c>
      <c r="AL1981" s="177">
        <v>0</v>
      </c>
      <c r="AM1981" s="147">
        <f t="shared" si="77"/>
        <v>0</v>
      </c>
      <c r="AN1981" s="18" t="s">
        <v>771</v>
      </c>
      <c r="AO1981" s="18" t="s">
        <v>773</v>
      </c>
      <c r="AP1981" s="18" t="s">
        <v>119</v>
      </c>
    </row>
    <row r="1982" spans="1:42" s="18" customFormat="1" x14ac:dyDescent="0.3">
      <c r="A1982" s="18" t="s">
        <v>1454</v>
      </c>
      <c r="B1982" s="18" t="s">
        <v>6438</v>
      </c>
      <c r="C1982" s="18">
        <v>101</v>
      </c>
      <c r="D1982" s="283" t="s">
        <v>6440</v>
      </c>
      <c r="E1982" s="18" t="s">
        <v>6441</v>
      </c>
      <c r="F1982" s="18" t="s">
        <v>6442</v>
      </c>
      <c r="G1982" s="156" t="s">
        <v>6497</v>
      </c>
      <c r="H1982" s="18" t="s">
        <v>6498</v>
      </c>
      <c r="K1982" s="156" t="s">
        <v>6499</v>
      </c>
      <c r="L1982" s="18" t="s">
        <v>6500</v>
      </c>
      <c r="M1982" s="18" t="s">
        <v>6501</v>
      </c>
      <c r="N1982" s="18">
        <v>3</v>
      </c>
      <c r="O1982" s="18">
        <v>3</v>
      </c>
      <c r="P1982" s="16">
        <v>3</v>
      </c>
      <c r="Q1982" s="16">
        <v>3</v>
      </c>
      <c r="R1982" s="16">
        <v>3</v>
      </c>
      <c r="S1982" s="16">
        <v>3</v>
      </c>
      <c r="T1982" s="18" t="s">
        <v>570</v>
      </c>
      <c r="U1982" s="283" t="s">
        <v>2875</v>
      </c>
      <c r="V1982" s="18" t="s">
        <v>6502</v>
      </c>
      <c r="W1982" s="18">
        <v>1</v>
      </c>
      <c r="X1982" s="18">
        <v>1</v>
      </c>
      <c r="Y1982" s="18">
        <v>0</v>
      </c>
      <c r="Z1982" s="18">
        <v>1</v>
      </c>
      <c r="AA1982" s="18">
        <v>1</v>
      </c>
      <c r="AB1982" s="18">
        <v>1</v>
      </c>
      <c r="AC1982" s="316">
        <v>1</v>
      </c>
      <c r="AD1982" s="316">
        <v>1</v>
      </c>
      <c r="AE1982" s="302">
        <f t="shared" si="78"/>
        <v>0.875</v>
      </c>
      <c r="AF1982" s="176"/>
      <c r="AG1982" s="17">
        <v>0</v>
      </c>
      <c r="AH1982" s="176">
        <v>0</v>
      </c>
      <c r="AI1982" s="176">
        <v>0</v>
      </c>
      <c r="AJ1982" s="176">
        <v>0</v>
      </c>
      <c r="AK1982" s="177">
        <v>2</v>
      </c>
      <c r="AL1982" s="177">
        <v>1</v>
      </c>
      <c r="AM1982" s="147">
        <f t="shared" si="77"/>
        <v>3</v>
      </c>
      <c r="AN1982" s="18" t="s">
        <v>570</v>
      </c>
      <c r="AO1982" s="18" t="s">
        <v>2875</v>
      </c>
      <c r="AP1982" s="18" t="s">
        <v>6503</v>
      </c>
    </row>
    <row r="1983" spans="1:42" s="18" customFormat="1" x14ac:dyDescent="0.3">
      <c r="A1983" s="18" t="s">
        <v>1454</v>
      </c>
      <c r="B1983" s="18" t="s">
        <v>6438</v>
      </c>
      <c r="C1983" s="18">
        <v>101</v>
      </c>
      <c r="D1983" s="283" t="s">
        <v>6440</v>
      </c>
      <c r="E1983" s="18" t="s">
        <v>6441</v>
      </c>
      <c r="F1983" s="18" t="s">
        <v>6442</v>
      </c>
      <c r="G1983" s="156" t="s">
        <v>6497</v>
      </c>
      <c r="H1983" s="18" t="s">
        <v>6498</v>
      </c>
      <c r="K1983" s="156" t="s">
        <v>6499</v>
      </c>
      <c r="L1983" s="18" t="s">
        <v>6500</v>
      </c>
      <c r="M1983" s="18" t="s">
        <v>6501</v>
      </c>
      <c r="P1983" s="16"/>
      <c r="Q1983" s="16"/>
      <c r="R1983" s="16"/>
      <c r="S1983" s="16"/>
      <c r="T1983" s="18" t="s">
        <v>570</v>
      </c>
      <c r="U1983" s="283" t="s">
        <v>2875</v>
      </c>
      <c r="V1983" s="18" t="s">
        <v>6504</v>
      </c>
      <c r="W1983" s="18">
        <v>1</v>
      </c>
      <c r="X1983" s="18">
        <v>1</v>
      </c>
      <c r="Y1983" s="18">
        <v>0</v>
      </c>
      <c r="Z1983" s="18">
        <v>1</v>
      </c>
      <c r="AA1983" s="18">
        <v>1</v>
      </c>
      <c r="AB1983" s="18">
        <v>1</v>
      </c>
      <c r="AC1983" s="316">
        <v>1</v>
      </c>
      <c r="AD1983" s="316">
        <v>1</v>
      </c>
      <c r="AE1983" s="302">
        <f t="shared" si="78"/>
        <v>0.875</v>
      </c>
      <c r="AF1983" s="176"/>
      <c r="AG1983" s="17">
        <v>0</v>
      </c>
      <c r="AH1983" s="176">
        <v>0</v>
      </c>
      <c r="AI1983" s="176">
        <v>0</v>
      </c>
      <c r="AJ1983" s="176">
        <v>0</v>
      </c>
      <c r="AK1983" s="177">
        <v>0.2</v>
      </c>
      <c r="AL1983" s="177">
        <v>0.2</v>
      </c>
      <c r="AM1983" s="147">
        <f t="shared" si="77"/>
        <v>0.4</v>
      </c>
      <c r="AN1983" s="18" t="s">
        <v>570</v>
      </c>
      <c r="AO1983" s="18" t="s">
        <v>2875</v>
      </c>
      <c r="AP1983" s="18" t="s">
        <v>6503</v>
      </c>
    </row>
    <row r="1984" spans="1:42" s="18" customFormat="1" x14ac:dyDescent="0.3">
      <c r="A1984" s="18" t="s">
        <v>1454</v>
      </c>
      <c r="B1984" s="18" t="s">
        <v>6438</v>
      </c>
      <c r="C1984" s="18">
        <v>101</v>
      </c>
      <c r="D1984" s="283" t="s">
        <v>6440</v>
      </c>
      <c r="E1984" s="18" t="s">
        <v>6441</v>
      </c>
      <c r="F1984" s="18" t="s">
        <v>6442</v>
      </c>
      <c r="G1984" s="156" t="s">
        <v>6497</v>
      </c>
      <c r="H1984" s="18" t="s">
        <v>6498</v>
      </c>
      <c r="K1984" s="156" t="s">
        <v>6499</v>
      </c>
      <c r="L1984" s="18" t="s">
        <v>6500</v>
      </c>
      <c r="M1984" s="18" t="s">
        <v>6501</v>
      </c>
      <c r="P1984" s="16"/>
      <c r="Q1984" s="16"/>
      <c r="R1984" s="16"/>
      <c r="S1984" s="16"/>
      <c r="T1984" s="18" t="s">
        <v>570</v>
      </c>
      <c r="U1984" s="283" t="s">
        <v>2875</v>
      </c>
      <c r="V1984" s="18" t="s">
        <v>6505</v>
      </c>
      <c r="W1984" s="18">
        <v>1</v>
      </c>
      <c r="X1984" s="18">
        <v>1</v>
      </c>
      <c r="Y1984" s="18">
        <v>0</v>
      </c>
      <c r="Z1984" s="18">
        <v>1</v>
      </c>
      <c r="AA1984" s="18">
        <v>1</v>
      </c>
      <c r="AB1984" s="18">
        <v>1</v>
      </c>
      <c r="AC1984" s="316">
        <v>1</v>
      </c>
      <c r="AD1984" s="316">
        <v>1</v>
      </c>
      <c r="AE1984" s="302">
        <f t="shared" si="78"/>
        <v>0.875</v>
      </c>
      <c r="AF1984" s="176"/>
      <c r="AG1984" s="17">
        <v>0</v>
      </c>
      <c r="AH1984" s="176">
        <v>0</v>
      </c>
      <c r="AI1984" s="176">
        <v>0</v>
      </c>
      <c r="AJ1984" s="176">
        <v>0</v>
      </c>
      <c r="AK1984" s="177">
        <v>1</v>
      </c>
      <c r="AL1984" s="177">
        <v>1</v>
      </c>
      <c r="AM1984" s="147">
        <f t="shared" si="77"/>
        <v>2</v>
      </c>
      <c r="AN1984" s="18" t="s">
        <v>1446</v>
      </c>
      <c r="AO1984" s="18" t="s">
        <v>3715</v>
      </c>
      <c r="AP1984" s="18" t="s">
        <v>6503</v>
      </c>
    </row>
    <row r="1985" spans="1:42" s="18" customFormat="1" x14ac:dyDescent="0.3">
      <c r="A1985" s="18" t="s">
        <v>1454</v>
      </c>
      <c r="B1985" s="18" t="s">
        <v>6438</v>
      </c>
      <c r="C1985" s="18">
        <v>101</v>
      </c>
      <c r="D1985" s="283" t="s">
        <v>6440</v>
      </c>
      <c r="E1985" s="18" t="s">
        <v>6441</v>
      </c>
      <c r="F1985" s="18" t="s">
        <v>6442</v>
      </c>
      <c r="G1985" s="156" t="s">
        <v>6497</v>
      </c>
      <c r="H1985" s="18" t="s">
        <v>6498</v>
      </c>
      <c r="K1985" s="156" t="s">
        <v>6506</v>
      </c>
      <c r="L1985" s="18" t="s">
        <v>6507</v>
      </c>
      <c r="M1985" s="18" t="s">
        <v>6508</v>
      </c>
      <c r="N1985" s="18">
        <v>0</v>
      </c>
      <c r="O1985" s="18">
        <v>15</v>
      </c>
      <c r="P1985" s="16">
        <v>30</v>
      </c>
      <c r="Q1985" s="16">
        <v>60</v>
      </c>
      <c r="R1985" s="16">
        <v>80</v>
      </c>
      <c r="S1985" s="16">
        <v>100</v>
      </c>
      <c r="T1985" s="18" t="s">
        <v>570</v>
      </c>
      <c r="U1985" s="283" t="s">
        <v>2875</v>
      </c>
      <c r="V1985" s="18" t="s">
        <v>6509</v>
      </c>
      <c r="W1985" s="18">
        <v>1</v>
      </c>
      <c r="X1985" s="18">
        <v>0</v>
      </c>
      <c r="Y1985" s="18">
        <v>0</v>
      </c>
      <c r="Z1985" s="18">
        <v>1</v>
      </c>
      <c r="AA1985" s="18">
        <v>1</v>
      </c>
      <c r="AB1985" s="18">
        <v>1</v>
      </c>
      <c r="AC1985" s="316">
        <v>1</v>
      </c>
      <c r="AD1985" s="316">
        <v>1</v>
      </c>
      <c r="AE1985" s="302">
        <f t="shared" si="78"/>
        <v>0.75</v>
      </c>
      <c r="AF1985" s="176"/>
      <c r="AG1985" s="17">
        <v>0</v>
      </c>
      <c r="AH1985" s="176">
        <v>0</v>
      </c>
      <c r="AI1985" s="176">
        <v>0.4</v>
      </c>
      <c r="AJ1985" s="176">
        <v>0.3</v>
      </c>
      <c r="AK1985" s="177">
        <v>0.55000000000000004</v>
      </c>
      <c r="AL1985" s="177">
        <v>0.1</v>
      </c>
      <c r="AM1985" s="147">
        <f t="shared" si="77"/>
        <v>0.65</v>
      </c>
      <c r="AN1985" s="18" t="s">
        <v>570</v>
      </c>
      <c r="AO1985" s="18" t="s">
        <v>2875</v>
      </c>
      <c r="AP1985" s="18" t="s">
        <v>6510</v>
      </c>
    </row>
    <row r="1986" spans="1:42" s="18" customFormat="1" x14ac:dyDescent="0.3">
      <c r="A1986" s="18" t="s">
        <v>1454</v>
      </c>
      <c r="B1986" s="18" t="s">
        <v>6438</v>
      </c>
      <c r="C1986" s="18">
        <v>101</v>
      </c>
      <c r="D1986" s="283" t="s">
        <v>6440</v>
      </c>
      <c r="E1986" s="18" t="s">
        <v>6441</v>
      </c>
      <c r="F1986" s="18" t="s">
        <v>6442</v>
      </c>
      <c r="G1986" s="156" t="s">
        <v>6497</v>
      </c>
      <c r="H1986" s="18" t="s">
        <v>6498</v>
      </c>
      <c r="K1986" s="156" t="s">
        <v>6506</v>
      </c>
      <c r="L1986" s="18" t="s">
        <v>6507</v>
      </c>
      <c r="M1986" s="18" t="s">
        <v>6508</v>
      </c>
      <c r="P1986" s="16"/>
      <c r="Q1986" s="16"/>
      <c r="R1986" s="16"/>
      <c r="S1986" s="16"/>
      <c r="T1986" s="18" t="s">
        <v>570</v>
      </c>
      <c r="U1986" s="283" t="s">
        <v>2875</v>
      </c>
      <c r="V1986" s="18" t="s">
        <v>6511</v>
      </c>
      <c r="W1986" s="18">
        <v>1</v>
      </c>
      <c r="X1986" s="18">
        <v>0</v>
      </c>
      <c r="Y1986" s="18">
        <v>0</v>
      </c>
      <c r="Z1986" s="18">
        <v>1</v>
      </c>
      <c r="AA1986" s="18">
        <v>1</v>
      </c>
      <c r="AB1986" s="18">
        <v>0</v>
      </c>
      <c r="AC1986" s="316">
        <v>1</v>
      </c>
      <c r="AD1986" s="316">
        <v>1</v>
      </c>
      <c r="AE1986" s="302">
        <f t="shared" si="78"/>
        <v>0.625</v>
      </c>
      <c r="AF1986" s="176"/>
      <c r="AG1986" s="17">
        <v>0</v>
      </c>
      <c r="AH1986" s="176">
        <v>1.5</v>
      </c>
      <c r="AI1986" s="176">
        <v>1.5</v>
      </c>
      <c r="AJ1986" s="176">
        <v>1.5</v>
      </c>
      <c r="AK1986" s="177">
        <v>1.5</v>
      </c>
      <c r="AL1986" s="177">
        <v>1.1499999999999999</v>
      </c>
      <c r="AM1986" s="147">
        <f t="shared" si="77"/>
        <v>2.65</v>
      </c>
      <c r="AN1986" s="18" t="s">
        <v>869</v>
      </c>
      <c r="AO1986" s="18" t="s">
        <v>871</v>
      </c>
      <c r="AP1986" s="18" t="s">
        <v>6512</v>
      </c>
    </row>
    <row r="1987" spans="1:42" s="18" customFormat="1" x14ac:dyDescent="0.3">
      <c r="A1987" s="18" t="s">
        <v>1454</v>
      </c>
      <c r="B1987" s="18" t="s">
        <v>6438</v>
      </c>
      <c r="C1987" s="18">
        <v>101</v>
      </c>
      <c r="D1987" s="283" t="s">
        <v>6440</v>
      </c>
      <c r="E1987" s="18" t="s">
        <v>6441</v>
      </c>
      <c r="F1987" s="18" t="s">
        <v>6442</v>
      </c>
      <c r="G1987" s="156" t="s">
        <v>6513</v>
      </c>
      <c r="H1987" s="18" t="s">
        <v>6514</v>
      </c>
      <c r="K1987" s="156" t="s">
        <v>6515</v>
      </c>
      <c r="L1987" s="18" t="s">
        <v>6516</v>
      </c>
      <c r="M1987" s="18" t="s">
        <v>6517</v>
      </c>
      <c r="N1987" s="18">
        <v>0</v>
      </c>
      <c r="O1987" s="18">
        <v>4</v>
      </c>
      <c r="P1987" s="16">
        <v>7</v>
      </c>
      <c r="Q1987" s="16">
        <v>10</v>
      </c>
      <c r="R1987" s="16">
        <v>15</v>
      </c>
      <c r="S1987" s="16">
        <v>0</v>
      </c>
      <c r="T1987" s="18" t="s">
        <v>570</v>
      </c>
      <c r="U1987" s="283" t="s">
        <v>2875</v>
      </c>
      <c r="V1987" s="18" t="s">
        <v>6518</v>
      </c>
      <c r="W1987" s="18">
        <v>1</v>
      </c>
      <c r="X1987" s="18">
        <v>0</v>
      </c>
      <c r="Y1987" s="18">
        <v>0</v>
      </c>
      <c r="Z1987" s="18">
        <v>1</v>
      </c>
      <c r="AA1987" s="18">
        <v>0</v>
      </c>
      <c r="AB1987" s="18">
        <v>0</v>
      </c>
      <c r="AC1987" s="316">
        <v>1</v>
      </c>
      <c r="AD1987" s="316">
        <v>0</v>
      </c>
      <c r="AE1987" s="302">
        <f t="shared" si="78"/>
        <v>0.375</v>
      </c>
      <c r="AF1987" s="176"/>
      <c r="AG1987" s="17">
        <v>0</v>
      </c>
      <c r="AH1987" s="176">
        <v>0</v>
      </c>
      <c r="AI1987" s="176">
        <v>3.7</v>
      </c>
      <c r="AJ1987" s="176">
        <v>0</v>
      </c>
      <c r="AK1987" s="177">
        <v>0</v>
      </c>
      <c r="AL1987" s="177">
        <v>0</v>
      </c>
      <c r="AM1987" s="147">
        <f t="shared" si="77"/>
        <v>0</v>
      </c>
      <c r="AN1987" s="18" t="s">
        <v>63</v>
      </c>
      <c r="AO1987" s="18" t="s">
        <v>2510</v>
      </c>
      <c r="AP1987" s="18" t="s">
        <v>6519</v>
      </c>
    </row>
    <row r="1988" spans="1:42" s="18" customFormat="1" x14ac:dyDescent="0.3">
      <c r="A1988" s="18" t="s">
        <v>1454</v>
      </c>
      <c r="B1988" s="18" t="s">
        <v>6438</v>
      </c>
      <c r="C1988" s="18">
        <v>101</v>
      </c>
      <c r="D1988" s="283" t="s">
        <v>6440</v>
      </c>
      <c r="E1988" s="18" t="s">
        <v>6441</v>
      </c>
      <c r="F1988" s="18" t="s">
        <v>6442</v>
      </c>
      <c r="G1988" s="156" t="s">
        <v>6513</v>
      </c>
      <c r="H1988" s="18" t="s">
        <v>6514</v>
      </c>
      <c r="K1988" s="156" t="s">
        <v>6515</v>
      </c>
      <c r="L1988" s="18" t="s">
        <v>6516</v>
      </c>
      <c r="M1988" s="18" t="s">
        <v>6517</v>
      </c>
      <c r="P1988" s="16"/>
      <c r="Q1988" s="16"/>
      <c r="R1988" s="16"/>
      <c r="S1988" s="16"/>
      <c r="T1988" s="18" t="s">
        <v>570</v>
      </c>
      <c r="U1988" s="283" t="s">
        <v>2875</v>
      </c>
      <c r="V1988" s="18" t="s">
        <v>6520</v>
      </c>
      <c r="W1988" s="18">
        <v>1</v>
      </c>
      <c r="X1988" s="18">
        <v>1</v>
      </c>
      <c r="Y1988" s="18">
        <v>1</v>
      </c>
      <c r="Z1988" s="18">
        <v>1</v>
      </c>
      <c r="AA1988" s="18">
        <v>1</v>
      </c>
      <c r="AB1988" s="18">
        <v>1</v>
      </c>
      <c r="AC1988" s="316">
        <v>1</v>
      </c>
      <c r="AD1988" s="316">
        <v>1</v>
      </c>
      <c r="AE1988" s="302">
        <f t="shared" si="78"/>
        <v>1</v>
      </c>
      <c r="AF1988" s="176"/>
      <c r="AG1988" s="17">
        <v>0</v>
      </c>
      <c r="AH1988" s="176">
        <v>150</v>
      </c>
      <c r="AI1988" s="176">
        <v>150</v>
      </c>
      <c r="AJ1988" s="176">
        <v>158.33333300000001</v>
      </c>
      <c r="AK1988" s="177">
        <v>10</v>
      </c>
      <c r="AL1988" s="177">
        <v>10</v>
      </c>
      <c r="AM1988" s="147">
        <f t="shared" si="77"/>
        <v>20</v>
      </c>
      <c r="AN1988" s="18" t="s">
        <v>570</v>
      </c>
      <c r="AO1988" s="18" t="s">
        <v>2875</v>
      </c>
      <c r="AP1988" s="18" t="s">
        <v>6521</v>
      </c>
    </row>
    <row r="1989" spans="1:42" s="18" customFormat="1" x14ac:dyDescent="0.3">
      <c r="A1989" s="18" t="s">
        <v>1454</v>
      </c>
      <c r="B1989" s="18" t="s">
        <v>6438</v>
      </c>
      <c r="C1989" s="18">
        <v>101</v>
      </c>
      <c r="D1989" s="283" t="s">
        <v>6440</v>
      </c>
      <c r="E1989" s="18" t="s">
        <v>6441</v>
      </c>
      <c r="F1989" s="18" t="s">
        <v>6442</v>
      </c>
      <c r="G1989" s="156" t="s">
        <v>6513</v>
      </c>
      <c r="H1989" s="18" t="s">
        <v>6514</v>
      </c>
      <c r="K1989" s="156" t="s">
        <v>6515</v>
      </c>
      <c r="L1989" s="18" t="s">
        <v>6516</v>
      </c>
      <c r="M1989" s="18" t="s">
        <v>6522</v>
      </c>
      <c r="N1989" s="18" t="s">
        <v>271</v>
      </c>
      <c r="O1989" s="18">
        <v>0</v>
      </c>
      <c r="P1989" s="16">
        <v>0</v>
      </c>
      <c r="Q1989" s="16">
        <v>0</v>
      </c>
      <c r="R1989" s="16">
        <v>0</v>
      </c>
      <c r="S1989" s="16">
        <v>1</v>
      </c>
      <c r="T1989" s="18" t="s">
        <v>63</v>
      </c>
      <c r="U1989" s="283" t="s">
        <v>2510</v>
      </c>
      <c r="V1989" s="18" t="s">
        <v>6523</v>
      </c>
      <c r="W1989" s="18">
        <v>1</v>
      </c>
      <c r="X1989" s="18">
        <v>1</v>
      </c>
      <c r="Y1989" s="18">
        <v>1</v>
      </c>
      <c r="Z1989" s="18">
        <v>0</v>
      </c>
      <c r="AA1989" s="18">
        <v>0</v>
      </c>
      <c r="AB1989" s="18">
        <v>0</v>
      </c>
      <c r="AC1989" s="316">
        <v>1</v>
      </c>
      <c r="AD1989" s="316">
        <v>0</v>
      </c>
      <c r="AE1989" s="302">
        <f t="shared" si="78"/>
        <v>0.5</v>
      </c>
      <c r="AF1989" s="176"/>
      <c r="AG1989" s="17">
        <v>0</v>
      </c>
      <c r="AH1989" s="176">
        <v>0</v>
      </c>
      <c r="AI1989" s="176">
        <v>0</v>
      </c>
      <c r="AJ1989" s="176">
        <v>0</v>
      </c>
      <c r="AK1989" s="177"/>
      <c r="AL1989" s="177">
        <v>0</v>
      </c>
      <c r="AM1989" s="147">
        <f t="shared" si="77"/>
        <v>0</v>
      </c>
      <c r="AN1989" s="18" t="s">
        <v>63</v>
      </c>
      <c r="AO1989" s="18" t="s">
        <v>2510</v>
      </c>
      <c r="AP1989" s="18" t="s">
        <v>6519</v>
      </c>
    </row>
    <row r="1990" spans="1:42" s="18" customFormat="1" x14ac:dyDescent="0.3">
      <c r="A1990" s="18" t="s">
        <v>1454</v>
      </c>
      <c r="B1990" s="18" t="s">
        <v>6438</v>
      </c>
      <c r="C1990" s="18">
        <v>101</v>
      </c>
      <c r="D1990" s="283" t="s">
        <v>6440</v>
      </c>
      <c r="E1990" s="18" t="s">
        <v>6441</v>
      </c>
      <c r="F1990" s="18" t="s">
        <v>6442</v>
      </c>
      <c r="G1990" s="156" t="s">
        <v>6513</v>
      </c>
      <c r="H1990" s="18" t="s">
        <v>6514</v>
      </c>
      <c r="K1990" s="156" t="s">
        <v>6515</v>
      </c>
      <c r="L1990" s="18" t="s">
        <v>6516</v>
      </c>
      <c r="M1990" s="18" t="s">
        <v>6524</v>
      </c>
      <c r="N1990" s="18" t="s">
        <v>271</v>
      </c>
      <c r="O1990" s="18">
        <v>0</v>
      </c>
      <c r="P1990" s="16">
        <v>0</v>
      </c>
      <c r="Q1990" s="16">
        <v>0</v>
      </c>
      <c r="R1990" s="16">
        <v>0</v>
      </c>
      <c r="S1990" s="16">
        <v>1</v>
      </c>
      <c r="T1990" s="18" t="s">
        <v>63</v>
      </c>
      <c r="U1990" s="283" t="s">
        <v>2510</v>
      </c>
      <c r="V1990" s="18" t="s">
        <v>6525</v>
      </c>
      <c r="W1990" s="18">
        <v>1</v>
      </c>
      <c r="X1990" s="18">
        <v>1</v>
      </c>
      <c r="Y1990" s="18">
        <v>1</v>
      </c>
      <c r="Z1990" s="18">
        <v>0</v>
      </c>
      <c r="AA1990" s="18">
        <v>0</v>
      </c>
      <c r="AB1990" s="18">
        <v>0</v>
      </c>
      <c r="AC1990" s="316">
        <v>1</v>
      </c>
      <c r="AD1990" s="316">
        <v>0</v>
      </c>
      <c r="AE1990" s="302">
        <f t="shared" si="78"/>
        <v>0.5</v>
      </c>
      <c r="AF1990" s="176"/>
      <c r="AG1990" s="17">
        <v>0</v>
      </c>
      <c r="AH1990" s="176">
        <v>0</v>
      </c>
      <c r="AI1990" s="176">
        <v>0</v>
      </c>
      <c r="AJ1990" s="176">
        <v>0</v>
      </c>
      <c r="AK1990" s="177">
        <v>0</v>
      </c>
      <c r="AL1990" s="177">
        <v>0</v>
      </c>
      <c r="AM1990" s="147">
        <f t="shared" si="77"/>
        <v>0</v>
      </c>
      <c r="AN1990" s="18" t="s">
        <v>63</v>
      </c>
      <c r="AO1990" s="18" t="s">
        <v>2510</v>
      </c>
      <c r="AP1990" s="18" t="s">
        <v>6519</v>
      </c>
    </row>
    <row r="1991" spans="1:42" s="18" customFormat="1" x14ac:dyDescent="0.3">
      <c r="A1991" s="18" t="s">
        <v>1454</v>
      </c>
      <c r="B1991" s="18" t="s">
        <v>6438</v>
      </c>
      <c r="C1991" s="18">
        <v>101</v>
      </c>
      <c r="D1991" s="283" t="s">
        <v>6440</v>
      </c>
      <c r="E1991" s="18" t="s">
        <v>6441</v>
      </c>
      <c r="F1991" s="18" t="s">
        <v>6442</v>
      </c>
      <c r="G1991" s="156" t="s">
        <v>6513</v>
      </c>
      <c r="H1991" s="18" t="s">
        <v>6514</v>
      </c>
      <c r="K1991" s="156" t="s">
        <v>6515</v>
      </c>
      <c r="L1991" s="18" t="s">
        <v>6516</v>
      </c>
      <c r="M1991" s="18" t="s">
        <v>6524</v>
      </c>
      <c r="P1991" s="16"/>
      <c r="Q1991" s="16"/>
      <c r="R1991" s="16"/>
      <c r="S1991" s="16"/>
      <c r="U1991" s="283" t="e">
        <v>#N/A</v>
      </c>
      <c r="V1991" s="18" t="s">
        <v>6526</v>
      </c>
      <c r="W1991" s="18">
        <v>0</v>
      </c>
      <c r="X1991" s="18">
        <v>0</v>
      </c>
      <c r="Y1991" s="18">
        <v>0</v>
      </c>
      <c r="Z1991" s="18">
        <v>1</v>
      </c>
      <c r="AA1991" s="18">
        <v>0</v>
      </c>
      <c r="AB1991" s="18">
        <v>1</v>
      </c>
      <c r="AC1991" s="316">
        <v>1</v>
      </c>
      <c r="AD1991" s="316">
        <v>0</v>
      </c>
      <c r="AE1991" s="302">
        <f t="shared" si="78"/>
        <v>0.375</v>
      </c>
      <c r="AF1991" s="176"/>
      <c r="AG1991" s="17">
        <v>0</v>
      </c>
      <c r="AH1991" s="176">
        <v>0</v>
      </c>
      <c r="AI1991" s="176">
        <v>0</v>
      </c>
      <c r="AJ1991" s="176">
        <v>0</v>
      </c>
      <c r="AK1991" s="177">
        <v>0</v>
      </c>
      <c r="AL1991" s="177">
        <v>0</v>
      </c>
      <c r="AM1991" s="147">
        <f t="shared" si="77"/>
        <v>0</v>
      </c>
      <c r="AN1991" s="18" t="s">
        <v>63</v>
      </c>
      <c r="AO1991" s="18" t="s">
        <v>2510</v>
      </c>
      <c r="AP1991" s="18" t="s">
        <v>6519</v>
      </c>
    </row>
    <row r="1992" spans="1:42" s="18" customFormat="1" x14ac:dyDescent="0.3">
      <c r="A1992" s="18" t="s">
        <v>1454</v>
      </c>
      <c r="B1992" s="18" t="s">
        <v>6438</v>
      </c>
      <c r="C1992" s="18">
        <v>101</v>
      </c>
      <c r="D1992" s="283" t="s">
        <v>6440</v>
      </c>
      <c r="E1992" s="18" t="s">
        <v>6441</v>
      </c>
      <c r="F1992" s="18" t="s">
        <v>6442</v>
      </c>
      <c r="G1992" s="156" t="s">
        <v>6513</v>
      </c>
      <c r="H1992" s="18" t="s">
        <v>6514</v>
      </c>
      <c r="K1992" s="156" t="s">
        <v>6515</v>
      </c>
      <c r="L1992" s="18" t="s">
        <v>6516</v>
      </c>
      <c r="M1992" s="18" t="s">
        <v>6524</v>
      </c>
      <c r="P1992" s="16"/>
      <c r="Q1992" s="16"/>
      <c r="R1992" s="16"/>
      <c r="S1992" s="16"/>
      <c r="U1992" s="283" t="e">
        <v>#N/A</v>
      </c>
      <c r="V1992" s="18" t="s">
        <v>6527</v>
      </c>
      <c r="W1992" s="18">
        <v>1</v>
      </c>
      <c r="X1992" s="18">
        <v>1</v>
      </c>
      <c r="Y1992" s="18">
        <v>0</v>
      </c>
      <c r="Z1992" s="18">
        <v>0</v>
      </c>
      <c r="AA1992" s="18">
        <v>0</v>
      </c>
      <c r="AB1992" s="18">
        <v>1</v>
      </c>
      <c r="AC1992" s="316">
        <v>1</v>
      </c>
      <c r="AD1992" s="316">
        <v>1</v>
      </c>
      <c r="AE1992" s="302">
        <f t="shared" si="78"/>
        <v>0.625</v>
      </c>
      <c r="AF1992" s="176"/>
      <c r="AG1992" s="17">
        <v>0</v>
      </c>
      <c r="AH1992" s="176">
        <v>0</v>
      </c>
      <c r="AI1992" s="176">
        <v>0</v>
      </c>
      <c r="AJ1992" s="176">
        <v>0</v>
      </c>
      <c r="AK1992" s="177">
        <v>0</v>
      </c>
      <c r="AL1992" s="177">
        <v>0</v>
      </c>
      <c r="AM1992" s="147">
        <f t="shared" si="77"/>
        <v>0</v>
      </c>
      <c r="AN1992" s="18" t="s">
        <v>63</v>
      </c>
      <c r="AO1992" s="18" t="s">
        <v>2510</v>
      </c>
      <c r="AP1992" s="18" t="s">
        <v>6519</v>
      </c>
    </row>
    <row r="1993" spans="1:42" s="18" customFormat="1" x14ac:dyDescent="0.3">
      <c r="A1993" s="18" t="s">
        <v>1454</v>
      </c>
      <c r="B1993" s="18" t="s">
        <v>6438</v>
      </c>
      <c r="C1993" s="18">
        <v>101</v>
      </c>
      <c r="D1993" s="283" t="s">
        <v>6440</v>
      </c>
      <c r="E1993" s="18" t="s">
        <v>6441</v>
      </c>
      <c r="F1993" s="18" t="s">
        <v>6442</v>
      </c>
      <c r="G1993" s="156" t="s">
        <v>6513</v>
      </c>
      <c r="H1993" s="18" t="s">
        <v>6514</v>
      </c>
      <c r="K1993" s="156" t="s">
        <v>6515</v>
      </c>
      <c r="L1993" s="18" t="s">
        <v>6516</v>
      </c>
      <c r="M1993" s="18" t="s">
        <v>6524</v>
      </c>
      <c r="P1993" s="16"/>
      <c r="Q1993" s="16"/>
      <c r="R1993" s="16"/>
      <c r="S1993" s="16"/>
      <c r="U1993" s="283" t="e">
        <v>#N/A</v>
      </c>
      <c r="V1993" s="18" t="s">
        <v>6528</v>
      </c>
      <c r="W1993" s="18">
        <v>0</v>
      </c>
      <c r="X1993" s="18">
        <v>0</v>
      </c>
      <c r="Y1993" s="18">
        <v>0</v>
      </c>
      <c r="Z1993" s="18">
        <v>1</v>
      </c>
      <c r="AA1993" s="18">
        <v>0</v>
      </c>
      <c r="AB1993" s="18">
        <v>0</v>
      </c>
      <c r="AC1993" s="316">
        <v>0</v>
      </c>
      <c r="AD1993" s="316">
        <v>0</v>
      </c>
      <c r="AE1993" s="302">
        <f t="shared" si="78"/>
        <v>0.125</v>
      </c>
      <c r="AF1993" s="176"/>
      <c r="AG1993" s="17">
        <v>0</v>
      </c>
      <c r="AH1993" s="176">
        <v>0</v>
      </c>
      <c r="AI1993" s="176">
        <v>0.3</v>
      </c>
      <c r="AJ1993" s="176">
        <v>0.2</v>
      </c>
      <c r="AK1993" s="177"/>
      <c r="AL1993" s="177"/>
      <c r="AM1993" s="147">
        <f t="shared" si="77"/>
        <v>0</v>
      </c>
      <c r="AN1993" s="18" t="s">
        <v>771</v>
      </c>
      <c r="AO1993" s="18" t="s">
        <v>773</v>
      </c>
      <c r="AP1993" s="18" t="s">
        <v>6455</v>
      </c>
    </row>
    <row r="1994" spans="1:42" s="18" customFormat="1" x14ac:dyDescent="0.3">
      <c r="A1994" s="18" t="s">
        <v>1454</v>
      </c>
      <c r="B1994" s="18" t="s">
        <v>6438</v>
      </c>
      <c r="C1994" s="18">
        <v>101</v>
      </c>
      <c r="D1994" s="283" t="s">
        <v>6440</v>
      </c>
      <c r="E1994" s="18" t="s">
        <v>6441</v>
      </c>
      <c r="F1994" s="18" t="s">
        <v>6442</v>
      </c>
      <c r="G1994" s="156" t="s">
        <v>6529</v>
      </c>
      <c r="H1994" s="18" t="s">
        <v>6530</v>
      </c>
      <c r="K1994" s="156" t="s">
        <v>6531</v>
      </c>
      <c r="L1994" s="18" t="s">
        <v>6532</v>
      </c>
      <c r="M1994" s="18" t="s">
        <v>6533</v>
      </c>
      <c r="N1994" s="18">
        <v>79.099999999999994</v>
      </c>
      <c r="O1994" s="18">
        <v>83</v>
      </c>
      <c r="P1994" s="16">
        <v>88</v>
      </c>
      <c r="Q1994" s="16">
        <v>94</v>
      </c>
      <c r="R1994" s="16">
        <v>98</v>
      </c>
      <c r="S1994" s="16">
        <v>100</v>
      </c>
      <c r="T1994" s="18" t="s">
        <v>570</v>
      </c>
      <c r="U1994" s="283" t="s">
        <v>2875</v>
      </c>
      <c r="V1994" s="18" t="s">
        <v>6534</v>
      </c>
      <c r="W1994" s="18">
        <v>1</v>
      </c>
      <c r="X1994" s="18">
        <v>1</v>
      </c>
      <c r="Y1994" s="18">
        <v>1</v>
      </c>
      <c r="Z1994" s="18">
        <v>0</v>
      </c>
      <c r="AA1994" s="18">
        <v>0</v>
      </c>
      <c r="AB1994" s="18">
        <v>0</v>
      </c>
      <c r="AC1994" s="316">
        <v>1</v>
      </c>
      <c r="AD1994" s="316">
        <v>1</v>
      </c>
      <c r="AE1994" s="302">
        <f t="shared" si="78"/>
        <v>0.625</v>
      </c>
      <c r="AF1994" s="176"/>
      <c r="AG1994" s="17">
        <v>0</v>
      </c>
      <c r="AH1994" s="176">
        <v>0</v>
      </c>
      <c r="AI1994" s="176">
        <v>0</v>
      </c>
      <c r="AJ1994" s="176">
        <v>0</v>
      </c>
      <c r="AK1994" s="177">
        <v>0</v>
      </c>
      <c r="AL1994" s="177">
        <v>0</v>
      </c>
      <c r="AM1994" s="147">
        <f t="shared" si="77"/>
        <v>0</v>
      </c>
      <c r="AN1994" s="18" t="s">
        <v>407</v>
      </c>
      <c r="AO1994" s="18" t="s">
        <v>409</v>
      </c>
      <c r="AP1994" s="18" t="s">
        <v>3829</v>
      </c>
    </row>
    <row r="1995" spans="1:42" s="18" customFormat="1" x14ac:dyDescent="0.3">
      <c r="A1995" s="18" t="s">
        <v>1454</v>
      </c>
      <c r="B1995" s="18" t="s">
        <v>6438</v>
      </c>
      <c r="C1995" s="18">
        <v>101</v>
      </c>
      <c r="D1995" s="283" t="s">
        <v>6440</v>
      </c>
      <c r="E1995" s="18" t="s">
        <v>6441</v>
      </c>
      <c r="F1995" s="18" t="s">
        <v>6442</v>
      </c>
      <c r="G1995" s="156" t="s">
        <v>6529</v>
      </c>
      <c r="H1995" s="18" t="s">
        <v>6530</v>
      </c>
      <c r="K1995" s="156" t="s">
        <v>6535</v>
      </c>
      <c r="L1995" s="18" t="s">
        <v>6536</v>
      </c>
      <c r="M1995" s="18" t="s">
        <v>6537</v>
      </c>
      <c r="N1995" s="18">
        <v>45</v>
      </c>
      <c r="O1995" s="18">
        <v>50</v>
      </c>
      <c r="P1995" s="16">
        <v>56</v>
      </c>
      <c r="Q1995" s="16">
        <v>64</v>
      </c>
      <c r="R1995" s="16">
        <v>70</v>
      </c>
      <c r="S1995" s="16">
        <v>75</v>
      </c>
      <c r="T1995" s="18" t="s">
        <v>570</v>
      </c>
      <c r="U1995" s="283" t="s">
        <v>2875</v>
      </c>
      <c r="V1995" s="18" t="s">
        <v>6538</v>
      </c>
      <c r="W1995" s="18">
        <v>1</v>
      </c>
      <c r="X1995" s="18">
        <v>1</v>
      </c>
      <c r="Y1995" s="18">
        <v>0</v>
      </c>
      <c r="Z1995" s="18">
        <v>0</v>
      </c>
      <c r="AA1995" s="18">
        <v>0</v>
      </c>
      <c r="AB1995" s="18">
        <v>0</v>
      </c>
      <c r="AC1995" s="316">
        <v>1</v>
      </c>
      <c r="AD1995" s="316">
        <v>1</v>
      </c>
      <c r="AE1995" s="302">
        <f t="shared" si="78"/>
        <v>0.5</v>
      </c>
      <c r="AF1995" s="176"/>
      <c r="AG1995" s="17">
        <v>0</v>
      </c>
      <c r="AH1995" s="176">
        <v>0</v>
      </c>
      <c r="AI1995" s="176">
        <v>0</v>
      </c>
      <c r="AJ1995" s="176">
        <v>0</v>
      </c>
      <c r="AK1995" s="177">
        <v>0</v>
      </c>
      <c r="AL1995" s="177">
        <v>0</v>
      </c>
      <c r="AM1995" s="147">
        <f t="shared" si="77"/>
        <v>0</v>
      </c>
      <c r="AN1995" s="18" t="s">
        <v>407</v>
      </c>
      <c r="AO1995" s="18" t="s">
        <v>409</v>
      </c>
      <c r="AP1995" s="18" t="s">
        <v>6519</v>
      </c>
    </row>
    <row r="1996" spans="1:42" s="18" customFormat="1" x14ac:dyDescent="0.3">
      <c r="A1996" s="18" t="s">
        <v>1454</v>
      </c>
      <c r="B1996" s="18" t="s">
        <v>6438</v>
      </c>
      <c r="C1996" s="18">
        <v>101</v>
      </c>
      <c r="D1996" s="283" t="s">
        <v>6440</v>
      </c>
      <c r="E1996" s="18" t="s">
        <v>6441</v>
      </c>
      <c r="F1996" s="18" t="s">
        <v>6442</v>
      </c>
      <c r="G1996" s="156" t="s">
        <v>6529</v>
      </c>
      <c r="H1996" s="18" t="s">
        <v>6530</v>
      </c>
      <c r="K1996" s="156" t="s">
        <v>6535</v>
      </c>
      <c r="L1996" s="18" t="s">
        <v>6536</v>
      </c>
      <c r="M1996" s="18" t="s">
        <v>6537</v>
      </c>
      <c r="P1996" s="16"/>
      <c r="Q1996" s="16"/>
      <c r="R1996" s="16"/>
      <c r="S1996" s="16"/>
      <c r="U1996" s="283" t="e">
        <v>#N/A</v>
      </c>
      <c r="V1996" s="18" t="s">
        <v>6539</v>
      </c>
      <c r="W1996" s="18">
        <v>0</v>
      </c>
      <c r="X1996" s="18">
        <v>0</v>
      </c>
      <c r="Y1996" s="18">
        <v>0</v>
      </c>
      <c r="Z1996" s="18">
        <v>0</v>
      </c>
      <c r="AA1996" s="18">
        <v>0</v>
      </c>
      <c r="AB1996" s="18">
        <v>0</v>
      </c>
      <c r="AC1996" s="316">
        <v>0</v>
      </c>
      <c r="AD1996" s="316">
        <v>0</v>
      </c>
      <c r="AE1996" s="302">
        <f t="shared" si="78"/>
        <v>0</v>
      </c>
      <c r="AF1996" s="176"/>
      <c r="AG1996" s="17">
        <v>0</v>
      </c>
      <c r="AH1996" s="176">
        <v>0</v>
      </c>
      <c r="AI1996" s="176">
        <v>0</v>
      </c>
      <c r="AJ1996" s="176">
        <v>0</v>
      </c>
      <c r="AK1996" s="177">
        <v>0</v>
      </c>
      <c r="AL1996" s="177">
        <v>0</v>
      </c>
      <c r="AM1996" s="147">
        <f t="shared" si="77"/>
        <v>0</v>
      </c>
      <c r="AN1996" s="18" t="s">
        <v>407</v>
      </c>
      <c r="AO1996" s="18" t="s">
        <v>409</v>
      </c>
      <c r="AP1996" s="18" t="s">
        <v>6519</v>
      </c>
    </row>
    <row r="1997" spans="1:42" s="18" customFormat="1" x14ac:dyDescent="0.3">
      <c r="A1997" s="18" t="s">
        <v>1454</v>
      </c>
      <c r="B1997" s="18" t="s">
        <v>6438</v>
      </c>
      <c r="C1997" s="18">
        <v>101</v>
      </c>
      <c r="D1997" s="283" t="s">
        <v>6440</v>
      </c>
      <c r="E1997" s="18" t="s">
        <v>6441</v>
      </c>
      <c r="F1997" s="18" t="s">
        <v>6442</v>
      </c>
      <c r="G1997" s="156" t="s">
        <v>6529</v>
      </c>
      <c r="H1997" s="18" t="s">
        <v>6530</v>
      </c>
      <c r="K1997" s="156" t="s">
        <v>6535</v>
      </c>
      <c r="L1997" s="18" t="s">
        <v>6536</v>
      </c>
      <c r="M1997" s="18" t="s">
        <v>6537</v>
      </c>
      <c r="P1997" s="16"/>
      <c r="Q1997" s="16"/>
      <c r="R1997" s="16"/>
      <c r="S1997" s="16"/>
      <c r="U1997" s="283" t="e">
        <v>#N/A</v>
      </c>
      <c r="V1997" s="18" t="s">
        <v>6540</v>
      </c>
      <c r="W1997" s="18">
        <v>1</v>
      </c>
      <c r="X1997" s="18">
        <v>1</v>
      </c>
      <c r="Y1997" s="18">
        <v>1</v>
      </c>
      <c r="Z1997" s="18">
        <v>1</v>
      </c>
      <c r="AA1997" s="18">
        <v>0</v>
      </c>
      <c r="AB1997" s="18">
        <v>1</v>
      </c>
      <c r="AC1997" s="316">
        <v>1</v>
      </c>
      <c r="AD1997" s="316">
        <v>1</v>
      </c>
      <c r="AE1997" s="302">
        <f t="shared" si="78"/>
        <v>0.875</v>
      </c>
      <c r="AF1997" s="176"/>
      <c r="AG1997" s="17">
        <v>0</v>
      </c>
      <c r="AH1997" s="176">
        <v>0</v>
      </c>
      <c r="AI1997" s="176">
        <v>0</v>
      </c>
      <c r="AJ1997" s="176">
        <v>0</v>
      </c>
      <c r="AK1997" s="177">
        <v>0</v>
      </c>
      <c r="AL1997" s="177">
        <v>0</v>
      </c>
      <c r="AM1997" s="147">
        <f t="shared" si="77"/>
        <v>0</v>
      </c>
      <c r="AN1997" s="18" t="s">
        <v>407</v>
      </c>
      <c r="AO1997" s="18" t="s">
        <v>409</v>
      </c>
      <c r="AP1997" s="18" t="s">
        <v>6519</v>
      </c>
    </row>
    <row r="1998" spans="1:42" s="18" customFormat="1" x14ac:dyDescent="0.3">
      <c r="A1998" s="18" t="s">
        <v>1454</v>
      </c>
      <c r="B1998" s="18" t="s">
        <v>6438</v>
      </c>
      <c r="C1998" s="18">
        <v>101</v>
      </c>
      <c r="D1998" s="283" t="s">
        <v>6440</v>
      </c>
      <c r="E1998" s="18" t="s">
        <v>6441</v>
      </c>
      <c r="F1998" s="18" t="s">
        <v>6442</v>
      </c>
      <c r="G1998" s="156" t="s">
        <v>6529</v>
      </c>
      <c r="H1998" s="18" t="s">
        <v>6530</v>
      </c>
      <c r="K1998" s="156" t="s">
        <v>6535</v>
      </c>
      <c r="L1998" s="18" t="s">
        <v>6536</v>
      </c>
      <c r="M1998" s="18" t="s">
        <v>6537</v>
      </c>
      <c r="P1998" s="16"/>
      <c r="Q1998" s="16"/>
      <c r="R1998" s="16"/>
      <c r="S1998" s="16"/>
      <c r="U1998" s="283" t="e">
        <v>#N/A</v>
      </c>
      <c r="V1998" s="18" t="s">
        <v>6541</v>
      </c>
      <c r="W1998" s="18">
        <v>1</v>
      </c>
      <c r="X1998" s="18">
        <v>0</v>
      </c>
      <c r="Y1998" s="18">
        <v>1</v>
      </c>
      <c r="Z1998" s="18">
        <v>0</v>
      </c>
      <c r="AA1998" s="18">
        <v>0</v>
      </c>
      <c r="AB1998" s="18">
        <v>1</v>
      </c>
      <c r="AC1998" s="316">
        <v>1</v>
      </c>
      <c r="AD1998" s="316">
        <v>1</v>
      </c>
      <c r="AE1998" s="302">
        <f t="shared" si="78"/>
        <v>0.625</v>
      </c>
      <c r="AF1998" s="176"/>
      <c r="AG1998" s="17">
        <v>0</v>
      </c>
      <c r="AH1998" s="176">
        <v>0</v>
      </c>
      <c r="AI1998" s="176">
        <v>0</v>
      </c>
      <c r="AJ1998" s="176">
        <v>0</v>
      </c>
      <c r="AK1998" s="177">
        <v>0</v>
      </c>
      <c r="AL1998" s="177">
        <v>0</v>
      </c>
      <c r="AM1998" s="147">
        <f t="shared" si="77"/>
        <v>0</v>
      </c>
      <c r="AN1998" s="18" t="s">
        <v>407</v>
      </c>
      <c r="AO1998" s="18" t="s">
        <v>409</v>
      </c>
      <c r="AP1998" s="18" t="s">
        <v>6519</v>
      </c>
    </row>
    <row r="1999" spans="1:42" s="18" customFormat="1" x14ac:dyDescent="0.3">
      <c r="A1999" s="18" t="s">
        <v>1454</v>
      </c>
      <c r="B1999" s="18" t="s">
        <v>6438</v>
      </c>
      <c r="C1999" s="18">
        <v>101</v>
      </c>
      <c r="D1999" s="283" t="s">
        <v>6440</v>
      </c>
      <c r="E1999" s="18" t="s">
        <v>6441</v>
      </c>
      <c r="F1999" s="18" t="s">
        <v>6442</v>
      </c>
      <c r="G1999" s="156" t="s">
        <v>6529</v>
      </c>
      <c r="H1999" s="18" t="s">
        <v>6530</v>
      </c>
      <c r="K1999" s="156" t="s">
        <v>6535</v>
      </c>
      <c r="L1999" s="18" t="s">
        <v>6536</v>
      </c>
      <c r="M1999" s="18" t="s">
        <v>6537</v>
      </c>
      <c r="P1999" s="16"/>
      <c r="Q1999" s="16"/>
      <c r="R1999" s="16"/>
      <c r="S1999" s="16"/>
      <c r="U1999" s="283" t="e">
        <v>#N/A</v>
      </c>
      <c r="V1999" s="18" t="s">
        <v>6542</v>
      </c>
      <c r="W1999" s="18">
        <v>0</v>
      </c>
      <c r="X1999" s="18">
        <v>0</v>
      </c>
      <c r="Y1999" s="18">
        <v>0</v>
      </c>
      <c r="Z1999" s="18">
        <v>1</v>
      </c>
      <c r="AA1999" s="18">
        <v>0</v>
      </c>
      <c r="AB1999" s="18">
        <v>1</v>
      </c>
      <c r="AC1999" s="316">
        <v>0</v>
      </c>
      <c r="AD1999" s="316">
        <v>0</v>
      </c>
      <c r="AE1999" s="302">
        <f t="shared" si="78"/>
        <v>0.25</v>
      </c>
      <c r="AF1999" s="176"/>
      <c r="AG1999" s="17">
        <v>0</v>
      </c>
      <c r="AH1999" s="176">
        <v>0</v>
      </c>
      <c r="AI1999" s="176">
        <v>2</v>
      </c>
      <c r="AJ1999" s="176">
        <v>0</v>
      </c>
      <c r="AK1999" s="177">
        <v>0</v>
      </c>
      <c r="AL1999" s="177">
        <v>0</v>
      </c>
      <c r="AM1999" s="147">
        <f t="shared" si="77"/>
        <v>0</v>
      </c>
      <c r="AN1999" s="18" t="s">
        <v>2514</v>
      </c>
      <c r="AO1999" s="18" t="s">
        <v>2515</v>
      </c>
      <c r="AP1999" s="18" t="s">
        <v>6543</v>
      </c>
    </row>
    <row r="2000" spans="1:42" s="18" customFormat="1" x14ac:dyDescent="0.3">
      <c r="A2000" s="18" t="s">
        <v>1454</v>
      </c>
      <c r="B2000" s="18" t="s">
        <v>6438</v>
      </c>
      <c r="C2000" s="18">
        <v>101</v>
      </c>
      <c r="D2000" s="283" t="s">
        <v>6440</v>
      </c>
      <c r="E2000" s="18" t="s">
        <v>6441</v>
      </c>
      <c r="F2000" s="18" t="s">
        <v>6442</v>
      </c>
      <c r="G2000" s="156" t="s">
        <v>6529</v>
      </c>
      <c r="H2000" s="18" t="s">
        <v>6530</v>
      </c>
      <c r="K2000" s="156" t="s">
        <v>6535</v>
      </c>
      <c r="L2000" s="18" t="s">
        <v>6536</v>
      </c>
      <c r="M2000" s="18" t="s">
        <v>6537</v>
      </c>
      <c r="P2000" s="16"/>
      <c r="Q2000" s="16"/>
      <c r="R2000" s="16"/>
      <c r="S2000" s="16"/>
      <c r="U2000" s="283" t="e">
        <v>#N/A</v>
      </c>
      <c r="V2000" s="18" t="s">
        <v>6544</v>
      </c>
      <c r="W2000" s="18">
        <v>1</v>
      </c>
      <c r="X2000" s="18">
        <v>0</v>
      </c>
      <c r="Y2000" s="18">
        <v>1</v>
      </c>
      <c r="Z2000" s="18">
        <v>1</v>
      </c>
      <c r="AA2000" s="18">
        <v>0</v>
      </c>
      <c r="AB2000" s="18">
        <v>1</v>
      </c>
      <c r="AC2000" s="316">
        <v>1</v>
      </c>
      <c r="AD2000" s="316">
        <v>1</v>
      </c>
      <c r="AE2000" s="302">
        <f t="shared" si="78"/>
        <v>0.75</v>
      </c>
      <c r="AF2000" s="176"/>
      <c r="AG2000" s="17">
        <v>0</v>
      </c>
      <c r="AH2000" s="176">
        <v>20</v>
      </c>
      <c r="AI2000" s="176">
        <v>20</v>
      </c>
      <c r="AJ2000" s="176">
        <v>20</v>
      </c>
      <c r="AK2000" s="177">
        <v>5</v>
      </c>
      <c r="AL2000" s="177">
        <v>5</v>
      </c>
      <c r="AM2000" s="147">
        <f t="shared" si="77"/>
        <v>10</v>
      </c>
      <c r="AN2000" s="18" t="s">
        <v>2571</v>
      </c>
      <c r="AO2000" s="18" t="s">
        <v>2573</v>
      </c>
      <c r="AP2000" s="18" t="s">
        <v>6545</v>
      </c>
    </row>
    <row r="2001" spans="1:42" s="18" customFormat="1" x14ac:dyDescent="0.3">
      <c r="A2001" s="18" t="s">
        <v>1454</v>
      </c>
      <c r="B2001" s="18" t="s">
        <v>6438</v>
      </c>
      <c r="C2001" s="18">
        <v>101</v>
      </c>
      <c r="D2001" s="283" t="s">
        <v>6440</v>
      </c>
      <c r="E2001" s="18" t="s">
        <v>6441</v>
      </c>
      <c r="F2001" s="18" t="s">
        <v>6442</v>
      </c>
      <c r="G2001" s="156" t="s">
        <v>6529</v>
      </c>
      <c r="H2001" s="18" t="s">
        <v>6530</v>
      </c>
      <c r="K2001" s="156" t="s">
        <v>6535</v>
      </c>
      <c r="L2001" s="18" t="s">
        <v>6536</v>
      </c>
      <c r="M2001" s="18" t="s">
        <v>6537</v>
      </c>
      <c r="P2001" s="16"/>
      <c r="Q2001" s="16"/>
      <c r="R2001" s="16"/>
      <c r="S2001" s="16"/>
      <c r="U2001" s="283" t="e">
        <v>#N/A</v>
      </c>
      <c r="V2001" s="18" t="s">
        <v>6546</v>
      </c>
      <c r="W2001" s="18">
        <v>0</v>
      </c>
      <c r="X2001" s="18">
        <v>0</v>
      </c>
      <c r="Y2001" s="18">
        <v>0</v>
      </c>
      <c r="Z2001" s="18">
        <v>1</v>
      </c>
      <c r="AA2001" s="18">
        <v>1</v>
      </c>
      <c r="AB2001" s="18">
        <v>1</v>
      </c>
      <c r="AC2001" s="316">
        <v>1</v>
      </c>
      <c r="AD2001" s="316">
        <v>1</v>
      </c>
      <c r="AE2001" s="302">
        <f t="shared" si="78"/>
        <v>0.625</v>
      </c>
      <c r="AF2001" s="176"/>
      <c r="AG2001" s="17">
        <v>0</v>
      </c>
      <c r="AH2001" s="176">
        <v>0</v>
      </c>
      <c r="AI2001" s="176">
        <v>1</v>
      </c>
      <c r="AJ2001" s="176">
        <v>1</v>
      </c>
      <c r="AK2001" s="177">
        <v>1</v>
      </c>
      <c r="AL2001" s="177">
        <v>1</v>
      </c>
      <c r="AM2001" s="147">
        <f t="shared" si="77"/>
        <v>2</v>
      </c>
      <c r="AN2001" s="18" t="s">
        <v>2514</v>
      </c>
      <c r="AO2001" s="18" t="s">
        <v>2515</v>
      </c>
      <c r="AP2001" s="18" t="s">
        <v>6547</v>
      </c>
    </row>
    <row r="2002" spans="1:42" s="18" customFormat="1" x14ac:dyDescent="0.3">
      <c r="A2002" s="18" t="s">
        <v>1454</v>
      </c>
      <c r="B2002" s="18" t="s">
        <v>6438</v>
      </c>
      <c r="C2002" s="18">
        <v>101</v>
      </c>
      <c r="D2002" s="283" t="s">
        <v>6440</v>
      </c>
      <c r="E2002" s="18" t="s">
        <v>6441</v>
      </c>
      <c r="F2002" s="18" t="s">
        <v>6442</v>
      </c>
      <c r="G2002" s="156" t="s">
        <v>6529</v>
      </c>
      <c r="H2002" s="18" t="s">
        <v>6530</v>
      </c>
      <c r="K2002" s="156" t="s">
        <v>6535</v>
      </c>
      <c r="L2002" s="18" t="s">
        <v>6536</v>
      </c>
      <c r="M2002" s="18" t="s">
        <v>6537</v>
      </c>
      <c r="P2002" s="16"/>
      <c r="Q2002" s="16"/>
      <c r="R2002" s="16"/>
      <c r="S2002" s="16"/>
      <c r="U2002" s="283" t="e">
        <v>#N/A</v>
      </c>
      <c r="V2002" s="18" t="s">
        <v>6548</v>
      </c>
      <c r="W2002" s="18">
        <v>1</v>
      </c>
      <c r="X2002" s="18">
        <v>0</v>
      </c>
      <c r="Y2002" s="18">
        <v>1</v>
      </c>
      <c r="Z2002" s="18">
        <v>1</v>
      </c>
      <c r="AA2002" s="18">
        <v>0</v>
      </c>
      <c r="AB2002" s="18">
        <v>1</v>
      </c>
      <c r="AC2002" s="316">
        <v>1</v>
      </c>
      <c r="AD2002" s="316">
        <v>1</v>
      </c>
      <c r="AE2002" s="302">
        <f t="shared" si="78"/>
        <v>0.75</v>
      </c>
      <c r="AF2002" s="176"/>
      <c r="AG2002" s="17">
        <v>0</v>
      </c>
      <c r="AH2002" s="176">
        <v>0</v>
      </c>
      <c r="AI2002" s="176">
        <v>0</v>
      </c>
      <c r="AJ2002" s="176">
        <v>0</v>
      </c>
      <c r="AK2002" s="177">
        <v>1</v>
      </c>
      <c r="AL2002" s="177">
        <v>0.5</v>
      </c>
      <c r="AM2002" s="147">
        <f t="shared" si="77"/>
        <v>1.5</v>
      </c>
      <c r="AN2002" s="18" t="s">
        <v>2514</v>
      </c>
      <c r="AO2002" s="18" t="s">
        <v>2515</v>
      </c>
      <c r="AP2002" s="18" t="s">
        <v>6547</v>
      </c>
    </row>
    <row r="2003" spans="1:42" s="18" customFormat="1" x14ac:dyDescent="0.3">
      <c r="A2003" s="18" t="s">
        <v>1454</v>
      </c>
      <c r="B2003" s="18" t="s">
        <v>6438</v>
      </c>
      <c r="C2003" s="18">
        <v>101</v>
      </c>
      <c r="D2003" s="283" t="s">
        <v>6440</v>
      </c>
      <c r="E2003" s="18" t="s">
        <v>6441</v>
      </c>
      <c r="F2003" s="18" t="s">
        <v>6442</v>
      </c>
      <c r="G2003" s="156" t="s">
        <v>6549</v>
      </c>
      <c r="H2003" s="18" t="s">
        <v>6550</v>
      </c>
      <c r="K2003" s="156" t="s">
        <v>6551</v>
      </c>
      <c r="L2003" s="18" t="s">
        <v>6552</v>
      </c>
      <c r="M2003" s="18" t="s">
        <v>6553</v>
      </c>
      <c r="N2003" s="18">
        <v>14</v>
      </c>
      <c r="O2003" s="18">
        <v>22</v>
      </c>
      <c r="P2003" s="16">
        <v>36</v>
      </c>
      <c r="Q2003" s="16">
        <v>44</v>
      </c>
      <c r="R2003" s="16">
        <v>50</v>
      </c>
      <c r="S2003" s="16">
        <v>60</v>
      </c>
      <c r="T2003" s="18" t="s">
        <v>570</v>
      </c>
      <c r="U2003" s="283" t="s">
        <v>2875</v>
      </c>
      <c r="V2003" s="18" t="s">
        <v>6554</v>
      </c>
      <c r="W2003" s="18">
        <v>1</v>
      </c>
      <c r="X2003" s="18">
        <v>0</v>
      </c>
      <c r="Y2003" s="18">
        <v>0</v>
      </c>
      <c r="Z2003" s="18">
        <v>1</v>
      </c>
      <c r="AA2003" s="18">
        <v>1</v>
      </c>
      <c r="AB2003" s="18">
        <v>1</v>
      </c>
      <c r="AC2003" s="316">
        <v>1</v>
      </c>
      <c r="AD2003" s="316">
        <v>1</v>
      </c>
      <c r="AE2003" s="302">
        <f t="shared" si="78"/>
        <v>0.75</v>
      </c>
      <c r="AF2003" s="176"/>
      <c r="AG2003" s="17">
        <v>0</v>
      </c>
      <c r="AH2003" s="176">
        <v>11</v>
      </c>
      <c r="AI2003" s="176">
        <v>22</v>
      </c>
      <c r="AJ2003" s="176">
        <v>25</v>
      </c>
      <c r="AK2003" s="177">
        <v>26.5</v>
      </c>
      <c r="AL2003" s="177">
        <v>50</v>
      </c>
      <c r="AM2003" s="147">
        <f t="shared" si="77"/>
        <v>76.5</v>
      </c>
      <c r="AN2003" s="18" t="s">
        <v>570</v>
      </c>
      <c r="AO2003" s="18" t="s">
        <v>2875</v>
      </c>
      <c r="AP2003" s="18" t="s">
        <v>6555</v>
      </c>
    </row>
    <row r="2004" spans="1:42" s="18" customFormat="1" x14ac:dyDescent="0.3">
      <c r="A2004" s="18" t="s">
        <v>1454</v>
      </c>
      <c r="B2004" s="18" t="s">
        <v>6438</v>
      </c>
      <c r="C2004" s="18">
        <v>101</v>
      </c>
      <c r="D2004" s="283" t="s">
        <v>6440</v>
      </c>
      <c r="E2004" s="18" t="s">
        <v>6441</v>
      </c>
      <c r="F2004" s="18" t="s">
        <v>6442</v>
      </c>
      <c r="G2004" s="156" t="s">
        <v>6549</v>
      </c>
      <c r="H2004" s="18" t="s">
        <v>6550</v>
      </c>
      <c r="K2004" s="156" t="s">
        <v>6551</v>
      </c>
      <c r="L2004" s="18" t="s">
        <v>6552</v>
      </c>
      <c r="M2004" s="18" t="s">
        <v>6553</v>
      </c>
      <c r="P2004" s="16"/>
      <c r="Q2004" s="16"/>
      <c r="R2004" s="16"/>
      <c r="S2004" s="16"/>
      <c r="T2004" s="18" t="s">
        <v>570</v>
      </c>
      <c r="U2004" s="283" t="s">
        <v>2875</v>
      </c>
      <c r="V2004" s="18" t="s">
        <v>6556</v>
      </c>
      <c r="W2004" s="18">
        <v>1</v>
      </c>
      <c r="X2004" s="18">
        <v>0</v>
      </c>
      <c r="Y2004" s="18">
        <v>0</v>
      </c>
      <c r="Z2004" s="18">
        <v>1</v>
      </c>
      <c r="AA2004" s="18">
        <v>1</v>
      </c>
      <c r="AB2004" s="18">
        <v>1</v>
      </c>
      <c r="AC2004" s="316">
        <v>1</v>
      </c>
      <c r="AD2004" s="316">
        <v>1</v>
      </c>
      <c r="AE2004" s="302">
        <f t="shared" si="78"/>
        <v>0.75</v>
      </c>
      <c r="AF2004" s="176"/>
      <c r="AG2004" s="17">
        <v>0</v>
      </c>
      <c r="AH2004" s="176">
        <v>0</v>
      </c>
      <c r="AI2004" s="176">
        <v>0</v>
      </c>
      <c r="AJ2004" s="176">
        <v>0</v>
      </c>
      <c r="AK2004" s="177">
        <v>1</v>
      </c>
      <c r="AL2004" s="177">
        <v>2</v>
      </c>
      <c r="AM2004" s="147">
        <f t="shared" si="77"/>
        <v>3</v>
      </c>
      <c r="AN2004" s="18" t="s">
        <v>570</v>
      </c>
      <c r="AO2004" s="18" t="s">
        <v>2875</v>
      </c>
      <c r="AP2004" s="18" t="s">
        <v>6555</v>
      </c>
    </row>
    <row r="2005" spans="1:42" s="18" customFormat="1" x14ac:dyDescent="0.3">
      <c r="A2005" s="18" t="s">
        <v>1454</v>
      </c>
      <c r="B2005" s="18" t="s">
        <v>6438</v>
      </c>
      <c r="C2005" s="18">
        <v>101</v>
      </c>
      <c r="D2005" s="283" t="s">
        <v>6440</v>
      </c>
      <c r="E2005" s="18" t="s">
        <v>6557</v>
      </c>
      <c r="F2005" s="18" t="s">
        <v>6558</v>
      </c>
      <c r="G2005" s="156" t="s">
        <v>6559</v>
      </c>
      <c r="H2005" s="18" t="s">
        <v>6560</v>
      </c>
      <c r="K2005" s="156" t="s">
        <v>6561</v>
      </c>
      <c r="L2005" s="18" t="s">
        <v>6562</v>
      </c>
      <c r="M2005" s="18" t="s">
        <v>6563</v>
      </c>
      <c r="N2005" s="18">
        <v>0</v>
      </c>
      <c r="O2005" s="18">
        <v>3</v>
      </c>
      <c r="P2005" s="16">
        <v>5</v>
      </c>
      <c r="Q2005" s="16">
        <v>9</v>
      </c>
      <c r="R2005" s="16">
        <v>13</v>
      </c>
      <c r="S2005" s="16">
        <v>15</v>
      </c>
      <c r="T2005" s="18" t="s">
        <v>570</v>
      </c>
      <c r="U2005" s="283" t="s">
        <v>2875</v>
      </c>
      <c r="V2005" s="18" t="s">
        <v>6564</v>
      </c>
      <c r="W2005" s="18">
        <v>1</v>
      </c>
      <c r="X2005" s="18">
        <v>0</v>
      </c>
      <c r="Y2005" s="18">
        <v>0</v>
      </c>
      <c r="Z2005" s="18">
        <v>1</v>
      </c>
      <c r="AA2005" s="18">
        <v>1</v>
      </c>
      <c r="AB2005" s="18">
        <v>1</v>
      </c>
      <c r="AC2005" s="316">
        <v>1</v>
      </c>
      <c r="AD2005" s="316">
        <v>1</v>
      </c>
      <c r="AE2005" s="302">
        <f t="shared" si="78"/>
        <v>0.75</v>
      </c>
      <c r="AF2005" s="176"/>
      <c r="AG2005" s="17">
        <v>0</v>
      </c>
      <c r="AH2005" s="176">
        <v>0</v>
      </c>
      <c r="AI2005" s="176">
        <v>0</v>
      </c>
      <c r="AJ2005" s="176">
        <v>0.3</v>
      </c>
      <c r="AK2005" s="177">
        <v>0</v>
      </c>
      <c r="AL2005" s="177">
        <v>0</v>
      </c>
      <c r="AM2005" s="147">
        <f t="shared" si="77"/>
        <v>0</v>
      </c>
      <c r="AN2005" s="18" t="s">
        <v>570</v>
      </c>
      <c r="AO2005" s="18" t="s">
        <v>2875</v>
      </c>
      <c r="AP2005" s="18" t="s">
        <v>6565</v>
      </c>
    </row>
    <row r="2006" spans="1:42" s="18" customFormat="1" x14ac:dyDescent="0.3">
      <c r="A2006" s="18" t="s">
        <v>1454</v>
      </c>
      <c r="B2006" s="18" t="s">
        <v>6438</v>
      </c>
      <c r="C2006" s="18">
        <v>101</v>
      </c>
      <c r="D2006" s="283" t="s">
        <v>6440</v>
      </c>
      <c r="E2006" s="18" t="s">
        <v>6557</v>
      </c>
      <c r="F2006" s="18" t="s">
        <v>6558</v>
      </c>
      <c r="G2006" s="156" t="s">
        <v>6559</v>
      </c>
      <c r="H2006" s="18" t="s">
        <v>6560</v>
      </c>
      <c r="K2006" s="156" t="s">
        <v>6561</v>
      </c>
      <c r="L2006" s="18" t="s">
        <v>6566</v>
      </c>
      <c r="M2006" s="18" t="s">
        <v>6567</v>
      </c>
      <c r="N2006" s="18">
        <v>8021</v>
      </c>
      <c r="O2006" s="18">
        <v>8221</v>
      </c>
      <c r="P2006" s="16">
        <v>8421</v>
      </c>
      <c r="Q2006" s="16">
        <v>8621</v>
      </c>
      <c r="R2006" s="16">
        <v>8821</v>
      </c>
      <c r="S2006" s="16">
        <v>9021</v>
      </c>
      <c r="T2006" s="18" t="s">
        <v>570</v>
      </c>
      <c r="U2006" s="283" t="s">
        <v>2875</v>
      </c>
      <c r="V2006" s="18" t="s">
        <v>6568</v>
      </c>
      <c r="W2006" s="18">
        <v>1</v>
      </c>
      <c r="X2006" s="18">
        <v>0</v>
      </c>
      <c r="Y2006" s="18">
        <v>0</v>
      </c>
      <c r="Z2006" s="18">
        <v>1</v>
      </c>
      <c r="AA2006" s="18">
        <v>0</v>
      </c>
      <c r="AB2006" s="18">
        <v>0</v>
      </c>
      <c r="AC2006" s="316">
        <v>1</v>
      </c>
      <c r="AD2006" s="316">
        <v>1</v>
      </c>
      <c r="AE2006" s="302">
        <f t="shared" si="78"/>
        <v>0.5</v>
      </c>
      <c r="AF2006" s="176"/>
      <c r="AG2006" s="17">
        <v>0</v>
      </c>
      <c r="AH2006" s="176">
        <v>0</v>
      </c>
      <c r="AI2006" s="176">
        <v>0</v>
      </c>
      <c r="AJ2006" s="176">
        <v>0</v>
      </c>
      <c r="AK2006" s="177">
        <v>0</v>
      </c>
      <c r="AL2006" s="177">
        <v>0</v>
      </c>
      <c r="AM2006" s="147">
        <f t="shared" si="77"/>
        <v>0</v>
      </c>
      <c r="AN2006" s="18" t="s">
        <v>570</v>
      </c>
      <c r="AO2006" s="18" t="s">
        <v>2875</v>
      </c>
      <c r="AP2006" s="18" t="s">
        <v>6569</v>
      </c>
    </row>
    <row r="2007" spans="1:42" s="18" customFormat="1" x14ac:dyDescent="0.3">
      <c r="A2007" s="18" t="s">
        <v>1454</v>
      </c>
      <c r="B2007" s="18" t="s">
        <v>6438</v>
      </c>
      <c r="C2007" s="18">
        <v>101</v>
      </c>
      <c r="D2007" s="283" t="s">
        <v>6440</v>
      </c>
      <c r="E2007" s="18" t="s">
        <v>6557</v>
      </c>
      <c r="F2007" s="18" t="s">
        <v>6558</v>
      </c>
      <c r="G2007" s="156" t="s">
        <v>6559</v>
      </c>
      <c r="H2007" s="18" t="s">
        <v>6560</v>
      </c>
      <c r="K2007" s="156" t="s">
        <v>6561</v>
      </c>
      <c r="L2007" s="18" t="s">
        <v>6566</v>
      </c>
      <c r="M2007" s="18" t="s">
        <v>6570</v>
      </c>
      <c r="N2007" s="18">
        <v>80</v>
      </c>
      <c r="O2007" s="18">
        <v>73</v>
      </c>
      <c r="P2007" s="16">
        <v>66</v>
      </c>
      <c r="Q2007" s="16">
        <v>59</v>
      </c>
      <c r="R2007" s="16">
        <v>52</v>
      </c>
      <c r="S2007" s="16">
        <v>45</v>
      </c>
      <c r="T2007" s="18" t="s">
        <v>570</v>
      </c>
      <c r="U2007" s="283" t="s">
        <v>2875</v>
      </c>
      <c r="V2007" s="18" t="s">
        <v>6571</v>
      </c>
      <c r="W2007" s="18">
        <v>1</v>
      </c>
      <c r="X2007" s="18">
        <v>0</v>
      </c>
      <c r="Y2007" s="18">
        <v>1</v>
      </c>
      <c r="Z2007" s="18">
        <v>1</v>
      </c>
      <c r="AA2007" s="18">
        <v>1</v>
      </c>
      <c r="AB2007" s="18">
        <v>0</v>
      </c>
      <c r="AC2007" s="316">
        <v>1</v>
      </c>
      <c r="AD2007" s="316">
        <v>1</v>
      </c>
      <c r="AE2007" s="302">
        <f t="shared" si="78"/>
        <v>0.75</v>
      </c>
      <c r="AF2007" s="176"/>
      <c r="AG2007" s="17">
        <v>0</v>
      </c>
      <c r="AH2007" s="176">
        <v>1</v>
      </c>
      <c r="AI2007" s="176">
        <v>1</v>
      </c>
      <c r="AJ2007" s="176">
        <v>1</v>
      </c>
      <c r="AK2007" s="177"/>
      <c r="AL2007" s="177"/>
      <c r="AM2007" s="147">
        <f t="shared" si="77"/>
        <v>0</v>
      </c>
      <c r="AN2007" s="18" t="s">
        <v>570</v>
      </c>
      <c r="AO2007" s="18" t="s">
        <v>2875</v>
      </c>
      <c r="AP2007" s="18" t="s">
        <v>6572</v>
      </c>
    </row>
    <row r="2008" spans="1:42" s="18" customFormat="1" x14ac:dyDescent="0.3">
      <c r="A2008" s="18" t="s">
        <v>1454</v>
      </c>
      <c r="B2008" s="18" t="s">
        <v>6438</v>
      </c>
      <c r="C2008" s="18">
        <v>101</v>
      </c>
      <c r="D2008" s="283" t="s">
        <v>6440</v>
      </c>
      <c r="E2008" s="18" t="s">
        <v>6557</v>
      </c>
      <c r="F2008" s="18" t="s">
        <v>6558</v>
      </c>
      <c r="G2008" s="156" t="s">
        <v>6559</v>
      </c>
      <c r="H2008" s="18" t="s">
        <v>6560</v>
      </c>
      <c r="K2008" s="156" t="s">
        <v>6561</v>
      </c>
      <c r="L2008" s="18" t="s">
        <v>6566</v>
      </c>
      <c r="M2008" s="18" t="s">
        <v>6570</v>
      </c>
      <c r="P2008" s="16"/>
      <c r="Q2008" s="16"/>
      <c r="R2008" s="16"/>
      <c r="S2008" s="16"/>
      <c r="U2008" s="283" t="e">
        <v>#N/A</v>
      </c>
      <c r="V2008" s="18" t="s">
        <v>6573</v>
      </c>
      <c r="W2008" s="18">
        <v>1</v>
      </c>
      <c r="X2008" s="18">
        <v>1</v>
      </c>
      <c r="Y2008" s="18">
        <v>0</v>
      </c>
      <c r="Z2008" s="18">
        <v>1</v>
      </c>
      <c r="AA2008" s="18">
        <v>1</v>
      </c>
      <c r="AB2008" s="18">
        <v>1</v>
      </c>
      <c r="AC2008" s="316">
        <v>0</v>
      </c>
      <c r="AD2008" s="316">
        <v>1</v>
      </c>
      <c r="AE2008" s="302">
        <f t="shared" si="78"/>
        <v>0.75</v>
      </c>
      <c r="AF2008" s="176"/>
      <c r="AG2008" s="17">
        <v>0</v>
      </c>
      <c r="AH2008" s="176">
        <v>0</v>
      </c>
      <c r="AI2008" s="176">
        <v>1</v>
      </c>
      <c r="AJ2008" s="176">
        <v>0</v>
      </c>
      <c r="AK2008" s="177">
        <v>2</v>
      </c>
      <c r="AL2008" s="177">
        <v>2</v>
      </c>
      <c r="AM2008" s="147">
        <f t="shared" si="77"/>
        <v>4</v>
      </c>
      <c r="AN2008" s="18" t="s">
        <v>570</v>
      </c>
      <c r="AO2008" s="18" t="s">
        <v>2875</v>
      </c>
      <c r="AP2008" s="18" t="s">
        <v>6572</v>
      </c>
    </row>
    <row r="2009" spans="1:42" s="18" customFormat="1" x14ac:dyDescent="0.3">
      <c r="A2009" s="18" t="s">
        <v>1454</v>
      </c>
      <c r="B2009" s="18" t="s">
        <v>6438</v>
      </c>
      <c r="C2009" s="18">
        <v>101</v>
      </c>
      <c r="D2009" s="283" t="s">
        <v>6440</v>
      </c>
      <c r="E2009" s="18" t="s">
        <v>6557</v>
      </c>
      <c r="F2009" s="18" t="s">
        <v>6558</v>
      </c>
      <c r="G2009" s="156" t="s">
        <v>6559</v>
      </c>
      <c r="H2009" s="18" t="s">
        <v>6560</v>
      </c>
      <c r="K2009" s="156" t="s">
        <v>6561</v>
      </c>
      <c r="L2009" s="18" t="s">
        <v>6566</v>
      </c>
      <c r="M2009" s="18" t="s">
        <v>6570</v>
      </c>
      <c r="P2009" s="16"/>
      <c r="Q2009" s="16"/>
      <c r="R2009" s="16"/>
      <c r="S2009" s="16"/>
      <c r="U2009" s="283" t="e">
        <v>#N/A</v>
      </c>
      <c r="V2009" s="18" t="s">
        <v>6574</v>
      </c>
      <c r="W2009" s="18">
        <v>0</v>
      </c>
      <c r="X2009" s="18">
        <v>1</v>
      </c>
      <c r="Y2009" s="18">
        <v>0</v>
      </c>
      <c r="Z2009" s="18">
        <v>1</v>
      </c>
      <c r="AA2009" s="18">
        <v>0</v>
      </c>
      <c r="AB2009" s="18">
        <v>0</v>
      </c>
      <c r="AC2009" s="316">
        <v>1</v>
      </c>
      <c r="AD2009" s="316">
        <v>0</v>
      </c>
      <c r="AE2009" s="302">
        <f t="shared" si="78"/>
        <v>0.375</v>
      </c>
      <c r="AF2009" s="176"/>
      <c r="AG2009" s="17">
        <v>0</v>
      </c>
      <c r="AH2009" s="176">
        <v>0</v>
      </c>
      <c r="AI2009" s="176">
        <v>0</v>
      </c>
      <c r="AJ2009" s="176">
        <v>0</v>
      </c>
      <c r="AK2009" s="177">
        <v>0</v>
      </c>
      <c r="AL2009" s="177">
        <v>0</v>
      </c>
      <c r="AM2009" s="147">
        <f t="shared" si="77"/>
        <v>0</v>
      </c>
      <c r="AN2009" s="18" t="s">
        <v>570</v>
      </c>
      <c r="AO2009" s="18" t="s">
        <v>2875</v>
      </c>
      <c r="AP2009" s="18" t="s">
        <v>6575</v>
      </c>
    </row>
    <row r="2010" spans="1:42" s="18" customFormat="1" x14ac:dyDescent="0.3">
      <c r="A2010" s="18" t="s">
        <v>1454</v>
      </c>
      <c r="B2010" s="18" t="s">
        <v>6438</v>
      </c>
      <c r="C2010" s="18">
        <v>101</v>
      </c>
      <c r="D2010" s="283" t="s">
        <v>6440</v>
      </c>
      <c r="E2010" s="18" t="s">
        <v>6557</v>
      </c>
      <c r="F2010" s="18" t="s">
        <v>6558</v>
      </c>
      <c r="G2010" s="156" t="s">
        <v>6559</v>
      </c>
      <c r="H2010" s="18" t="s">
        <v>6560</v>
      </c>
      <c r="K2010" s="156" t="s">
        <v>6561</v>
      </c>
      <c r="L2010" s="18" t="s">
        <v>6566</v>
      </c>
      <c r="M2010" s="18" t="s">
        <v>6570</v>
      </c>
      <c r="P2010" s="16"/>
      <c r="Q2010" s="16"/>
      <c r="R2010" s="16"/>
      <c r="S2010" s="16"/>
      <c r="U2010" s="283" t="e">
        <v>#N/A</v>
      </c>
      <c r="V2010" s="18" t="s">
        <v>6576</v>
      </c>
      <c r="W2010" s="18">
        <v>1</v>
      </c>
      <c r="X2010" s="18">
        <v>1</v>
      </c>
      <c r="Y2010" s="18">
        <v>1</v>
      </c>
      <c r="Z2010" s="18">
        <v>1</v>
      </c>
      <c r="AA2010" s="18">
        <v>1</v>
      </c>
      <c r="AB2010" s="18">
        <v>1</v>
      </c>
      <c r="AC2010" s="316">
        <v>1</v>
      </c>
      <c r="AD2010" s="316">
        <v>1</v>
      </c>
      <c r="AE2010" s="302">
        <f t="shared" si="78"/>
        <v>1</v>
      </c>
      <c r="AF2010" s="176"/>
      <c r="AG2010" s="17">
        <v>0</v>
      </c>
      <c r="AH2010" s="176">
        <v>0</v>
      </c>
      <c r="AI2010" s="176">
        <v>0</v>
      </c>
      <c r="AJ2010" s="176">
        <v>2</v>
      </c>
      <c r="AK2010" s="177">
        <v>5</v>
      </c>
      <c r="AL2010" s="177">
        <v>4</v>
      </c>
      <c r="AM2010" s="147">
        <f t="shared" ref="AM2010:AM2041" si="79">SUM(AK2010:AL2010)</f>
        <v>9</v>
      </c>
      <c r="AN2010" s="18" t="s">
        <v>570</v>
      </c>
      <c r="AO2010" s="18" t="s">
        <v>2875</v>
      </c>
      <c r="AP2010" s="18" t="s">
        <v>6577</v>
      </c>
    </row>
    <row r="2011" spans="1:42" s="18" customFormat="1" x14ac:dyDescent="0.3">
      <c r="A2011" s="18" t="s">
        <v>1454</v>
      </c>
      <c r="B2011" s="18" t="s">
        <v>6438</v>
      </c>
      <c r="C2011" s="18">
        <v>101</v>
      </c>
      <c r="D2011" s="283" t="s">
        <v>6440</v>
      </c>
      <c r="E2011" s="18" t="s">
        <v>6557</v>
      </c>
      <c r="F2011" s="18" t="s">
        <v>6558</v>
      </c>
      <c r="G2011" s="156" t="s">
        <v>6559</v>
      </c>
      <c r="H2011" s="18" t="s">
        <v>6560</v>
      </c>
      <c r="K2011" s="156" t="s">
        <v>6561</v>
      </c>
      <c r="L2011" s="18" t="s">
        <v>6566</v>
      </c>
      <c r="M2011" s="18" t="s">
        <v>6570</v>
      </c>
      <c r="P2011" s="16"/>
      <c r="Q2011" s="16"/>
      <c r="R2011" s="16"/>
      <c r="S2011" s="16"/>
      <c r="U2011" s="283" t="e">
        <v>#N/A</v>
      </c>
      <c r="V2011" s="18" t="s">
        <v>6578</v>
      </c>
      <c r="W2011" s="18">
        <v>1</v>
      </c>
      <c r="X2011" s="18">
        <v>1</v>
      </c>
      <c r="Y2011" s="18">
        <v>1</v>
      </c>
      <c r="Z2011" s="18">
        <v>0</v>
      </c>
      <c r="AA2011" s="18">
        <v>1</v>
      </c>
      <c r="AB2011" s="18">
        <v>1</v>
      </c>
      <c r="AC2011" s="316">
        <v>1</v>
      </c>
      <c r="AD2011" s="316">
        <v>1</v>
      </c>
      <c r="AE2011" s="302">
        <f t="shared" si="78"/>
        <v>0.875</v>
      </c>
      <c r="AF2011" s="176"/>
      <c r="AG2011" s="17">
        <v>0</v>
      </c>
      <c r="AH2011" s="176">
        <v>0</v>
      </c>
      <c r="AI2011" s="176">
        <v>0</v>
      </c>
      <c r="AJ2011" s="176">
        <v>0</v>
      </c>
      <c r="AK2011" s="177">
        <v>30</v>
      </c>
      <c r="AL2011" s="177">
        <v>44</v>
      </c>
      <c r="AM2011" s="147">
        <f t="shared" si="79"/>
        <v>74</v>
      </c>
      <c r="AN2011" s="18" t="s">
        <v>570</v>
      </c>
      <c r="AO2011" s="18" t="s">
        <v>2875</v>
      </c>
      <c r="AP2011" s="18" t="s">
        <v>6575</v>
      </c>
    </row>
    <row r="2012" spans="1:42" s="18" customFormat="1" x14ac:dyDescent="0.3">
      <c r="A2012" s="18" t="s">
        <v>1454</v>
      </c>
      <c r="B2012" s="18" t="s">
        <v>6438</v>
      </c>
      <c r="C2012" s="18">
        <v>101</v>
      </c>
      <c r="D2012" s="283" t="s">
        <v>6440</v>
      </c>
      <c r="E2012" s="18" t="s">
        <v>6557</v>
      </c>
      <c r="F2012" s="18" t="s">
        <v>6558</v>
      </c>
      <c r="G2012" s="156" t="s">
        <v>6559</v>
      </c>
      <c r="H2012" s="18" t="s">
        <v>6560</v>
      </c>
      <c r="K2012" s="156" t="s">
        <v>6561</v>
      </c>
      <c r="L2012" s="18" t="s">
        <v>6566</v>
      </c>
      <c r="M2012" s="18" t="s">
        <v>6570</v>
      </c>
      <c r="P2012" s="16"/>
      <c r="Q2012" s="16"/>
      <c r="R2012" s="16"/>
      <c r="S2012" s="16"/>
      <c r="U2012" s="283" t="e">
        <v>#N/A</v>
      </c>
      <c r="V2012" s="18" t="s">
        <v>6579</v>
      </c>
      <c r="W2012" s="18">
        <v>0</v>
      </c>
      <c r="X2012" s="18">
        <v>1</v>
      </c>
      <c r="Y2012" s="18">
        <v>0</v>
      </c>
      <c r="Z2012" s="18">
        <v>1</v>
      </c>
      <c r="AA2012" s="18">
        <v>0</v>
      </c>
      <c r="AB2012" s="18">
        <v>0</v>
      </c>
      <c r="AC2012" s="316">
        <v>1</v>
      </c>
      <c r="AD2012" s="316">
        <v>1</v>
      </c>
      <c r="AE2012" s="302">
        <f t="shared" si="78"/>
        <v>0.5</v>
      </c>
      <c r="AF2012" s="176"/>
      <c r="AG2012" s="17">
        <v>0</v>
      </c>
      <c r="AH2012" s="176">
        <v>0</v>
      </c>
      <c r="AI2012" s="176">
        <v>5</v>
      </c>
      <c r="AJ2012" s="176">
        <v>0</v>
      </c>
      <c r="AK2012" s="177">
        <v>0</v>
      </c>
      <c r="AL2012" s="177">
        <v>0</v>
      </c>
      <c r="AM2012" s="147">
        <f t="shared" si="79"/>
        <v>0</v>
      </c>
      <c r="AN2012" s="18" t="s">
        <v>2514</v>
      </c>
      <c r="AO2012" s="18" t="s">
        <v>2515</v>
      </c>
      <c r="AP2012" s="18" t="s">
        <v>6580</v>
      </c>
    </row>
    <row r="2013" spans="1:42" s="18" customFormat="1" x14ac:dyDescent="0.3">
      <c r="A2013" s="18" t="s">
        <v>1454</v>
      </c>
      <c r="B2013" s="18" t="s">
        <v>6438</v>
      </c>
      <c r="C2013" s="18">
        <v>101</v>
      </c>
      <c r="D2013" s="283" t="s">
        <v>6440</v>
      </c>
      <c r="E2013" s="18" t="s">
        <v>6557</v>
      </c>
      <c r="F2013" s="18" t="s">
        <v>6558</v>
      </c>
      <c r="G2013" s="156" t="s">
        <v>6581</v>
      </c>
      <c r="H2013" s="18" t="s">
        <v>6582</v>
      </c>
      <c r="K2013" s="156" t="s">
        <v>6583</v>
      </c>
      <c r="L2013" s="18" t="s">
        <v>6584</v>
      </c>
      <c r="M2013" s="18" t="s">
        <v>6585</v>
      </c>
      <c r="N2013" s="18">
        <v>18</v>
      </c>
      <c r="O2013" s="18">
        <v>25</v>
      </c>
      <c r="P2013" s="16">
        <v>31</v>
      </c>
      <c r="Q2013" s="16">
        <v>37</v>
      </c>
      <c r="R2013" s="16">
        <v>43</v>
      </c>
      <c r="S2013" s="16">
        <v>50</v>
      </c>
      <c r="T2013" s="18" t="s">
        <v>570</v>
      </c>
      <c r="U2013" s="283" t="s">
        <v>2875</v>
      </c>
      <c r="V2013" s="18" t="s">
        <v>6586</v>
      </c>
      <c r="W2013" s="18">
        <v>0</v>
      </c>
      <c r="X2013" s="18">
        <v>0</v>
      </c>
      <c r="Y2013" s="18">
        <v>0</v>
      </c>
      <c r="Z2013" s="18">
        <v>0</v>
      </c>
      <c r="AA2013" s="18">
        <v>0</v>
      </c>
      <c r="AB2013" s="18">
        <v>0</v>
      </c>
      <c r="AC2013" s="316">
        <v>0</v>
      </c>
      <c r="AD2013" s="316">
        <v>0</v>
      </c>
      <c r="AE2013" s="302">
        <f t="shared" ref="AE2013:AE2044" si="80">SUM(W2013:AD2013)/8</f>
        <v>0</v>
      </c>
      <c r="AF2013" s="176"/>
      <c r="AG2013" s="17">
        <v>0</v>
      </c>
      <c r="AH2013" s="176">
        <v>0</v>
      </c>
      <c r="AI2013" s="176">
        <v>0.4</v>
      </c>
      <c r="AJ2013" s="176">
        <v>0</v>
      </c>
      <c r="AK2013" s="177"/>
      <c r="AL2013" s="177"/>
      <c r="AM2013" s="147">
        <f t="shared" si="79"/>
        <v>0</v>
      </c>
      <c r="AN2013" s="18" t="s">
        <v>63</v>
      </c>
      <c r="AO2013" s="18" t="s">
        <v>2510</v>
      </c>
      <c r="AP2013" s="18" t="s">
        <v>6587</v>
      </c>
    </row>
    <row r="2014" spans="1:42" s="18" customFormat="1" x14ac:dyDescent="0.3">
      <c r="A2014" s="18" t="s">
        <v>1454</v>
      </c>
      <c r="B2014" s="18" t="s">
        <v>6438</v>
      </c>
      <c r="C2014" s="18">
        <v>101</v>
      </c>
      <c r="D2014" s="283" t="s">
        <v>6440</v>
      </c>
      <c r="E2014" s="18" t="s">
        <v>6557</v>
      </c>
      <c r="F2014" s="18" t="s">
        <v>6558</v>
      </c>
      <c r="G2014" s="156" t="s">
        <v>6581</v>
      </c>
      <c r="H2014" s="18" t="s">
        <v>6582</v>
      </c>
      <c r="K2014" s="156" t="s">
        <v>6583</v>
      </c>
      <c r="L2014" s="18" t="s">
        <v>6584</v>
      </c>
      <c r="M2014" s="18" t="s">
        <v>6585</v>
      </c>
      <c r="P2014" s="16"/>
      <c r="Q2014" s="16"/>
      <c r="R2014" s="16"/>
      <c r="S2014" s="16"/>
      <c r="U2014" s="283" t="e">
        <v>#N/A</v>
      </c>
      <c r="V2014" s="18" t="s">
        <v>6588</v>
      </c>
      <c r="W2014" s="18">
        <v>1</v>
      </c>
      <c r="X2014" s="18">
        <v>1</v>
      </c>
      <c r="Y2014" s="18">
        <v>0</v>
      </c>
      <c r="Z2014" s="18">
        <v>0</v>
      </c>
      <c r="AA2014" s="18">
        <v>1</v>
      </c>
      <c r="AB2014" s="18">
        <v>1</v>
      </c>
      <c r="AC2014" s="316">
        <v>1</v>
      </c>
      <c r="AD2014" s="316">
        <v>1</v>
      </c>
      <c r="AE2014" s="302">
        <f t="shared" si="80"/>
        <v>0.75</v>
      </c>
      <c r="AF2014" s="176"/>
      <c r="AG2014" s="17">
        <v>0</v>
      </c>
      <c r="AH2014" s="176">
        <v>0</v>
      </c>
      <c r="AI2014" s="176">
        <v>0.2</v>
      </c>
      <c r="AJ2014" s="176">
        <v>0.2</v>
      </c>
      <c r="AK2014" s="177">
        <v>1</v>
      </c>
      <c r="AL2014" s="177">
        <v>1</v>
      </c>
      <c r="AM2014" s="147">
        <f t="shared" si="79"/>
        <v>2</v>
      </c>
      <c r="AN2014" s="18" t="s">
        <v>63</v>
      </c>
      <c r="AO2014" s="18" t="s">
        <v>2510</v>
      </c>
      <c r="AP2014" s="18" t="s">
        <v>6589</v>
      </c>
    </row>
    <row r="2015" spans="1:42" s="18" customFormat="1" x14ac:dyDescent="0.3">
      <c r="A2015" s="18" t="s">
        <v>1454</v>
      </c>
      <c r="B2015" s="18" t="s">
        <v>6438</v>
      </c>
      <c r="C2015" s="18">
        <v>101</v>
      </c>
      <c r="D2015" s="283" t="s">
        <v>6440</v>
      </c>
      <c r="E2015" s="18" t="s">
        <v>6557</v>
      </c>
      <c r="F2015" s="18" t="s">
        <v>6558</v>
      </c>
      <c r="G2015" s="156" t="s">
        <v>6581</v>
      </c>
      <c r="H2015" s="18" t="s">
        <v>6582</v>
      </c>
      <c r="K2015" s="156" t="s">
        <v>6583</v>
      </c>
      <c r="L2015" s="18" t="s">
        <v>6584</v>
      </c>
      <c r="M2015" s="18" t="s">
        <v>6585</v>
      </c>
      <c r="P2015" s="16"/>
      <c r="Q2015" s="16"/>
      <c r="R2015" s="16"/>
      <c r="S2015" s="16"/>
      <c r="U2015" s="283" t="e">
        <v>#N/A</v>
      </c>
      <c r="V2015" s="18" t="s">
        <v>6590</v>
      </c>
      <c r="W2015" s="18">
        <v>0</v>
      </c>
      <c r="X2015" s="18">
        <v>0</v>
      </c>
      <c r="Y2015" s="18">
        <v>0</v>
      </c>
      <c r="Z2015" s="18">
        <v>1</v>
      </c>
      <c r="AA2015" s="18">
        <v>1</v>
      </c>
      <c r="AB2015" s="18">
        <v>0</v>
      </c>
      <c r="AC2015" s="316">
        <v>0</v>
      </c>
      <c r="AD2015" s="316">
        <v>1</v>
      </c>
      <c r="AE2015" s="302">
        <f t="shared" si="80"/>
        <v>0.375</v>
      </c>
      <c r="AF2015" s="176"/>
      <c r="AG2015" s="17">
        <v>0</v>
      </c>
      <c r="AH2015" s="176">
        <v>0</v>
      </c>
      <c r="AI2015" s="176">
        <v>0.6</v>
      </c>
      <c r="AJ2015" s="176">
        <v>0.6</v>
      </c>
      <c r="AK2015" s="177"/>
      <c r="AL2015" s="177"/>
      <c r="AM2015" s="147">
        <f t="shared" si="79"/>
        <v>0</v>
      </c>
      <c r="AN2015" s="18" t="s">
        <v>570</v>
      </c>
      <c r="AO2015" s="18" t="s">
        <v>2875</v>
      </c>
      <c r="AP2015" s="18" t="s">
        <v>6591</v>
      </c>
    </row>
    <row r="2016" spans="1:42" s="18" customFormat="1" x14ac:dyDescent="0.3">
      <c r="A2016" s="18" t="s">
        <v>1454</v>
      </c>
      <c r="B2016" s="18" t="s">
        <v>6438</v>
      </c>
      <c r="C2016" s="18">
        <v>101</v>
      </c>
      <c r="D2016" s="283" t="s">
        <v>6440</v>
      </c>
      <c r="E2016" s="18" t="s">
        <v>6557</v>
      </c>
      <c r="F2016" s="18" t="s">
        <v>6558</v>
      </c>
      <c r="G2016" s="156" t="s">
        <v>6581</v>
      </c>
      <c r="H2016" s="18" t="s">
        <v>6582</v>
      </c>
      <c r="K2016" s="156" t="s">
        <v>6583</v>
      </c>
      <c r="L2016" s="18" t="s">
        <v>6584</v>
      </c>
      <c r="M2016" s="18" t="s">
        <v>6585</v>
      </c>
      <c r="P2016" s="16"/>
      <c r="Q2016" s="16"/>
      <c r="R2016" s="16"/>
      <c r="S2016" s="16"/>
      <c r="U2016" s="283" t="e">
        <v>#N/A</v>
      </c>
      <c r="V2016" s="18" t="s">
        <v>6592</v>
      </c>
      <c r="W2016" s="18">
        <v>0</v>
      </c>
      <c r="X2016" s="18">
        <v>0</v>
      </c>
      <c r="Y2016" s="18">
        <v>1</v>
      </c>
      <c r="Z2016" s="18">
        <v>1</v>
      </c>
      <c r="AA2016" s="18">
        <v>0</v>
      </c>
      <c r="AB2016" s="18">
        <v>0</v>
      </c>
      <c r="AC2016" s="316">
        <v>0</v>
      </c>
      <c r="AD2016" s="316">
        <v>1</v>
      </c>
      <c r="AE2016" s="302">
        <f t="shared" si="80"/>
        <v>0.375</v>
      </c>
      <c r="AF2016" s="176"/>
      <c r="AG2016" s="17">
        <v>0</v>
      </c>
      <c r="AH2016" s="176">
        <v>0</v>
      </c>
      <c r="AI2016" s="176">
        <v>0</v>
      </c>
      <c r="AJ2016" s="176">
        <v>0</v>
      </c>
      <c r="AK2016" s="177">
        <v>0</v>
      </c>
      <c r="AL2016" s="177">
        <v>0</v>
      </c>
      <c r="AM2016" s="147">
        <f t="shared" si="79"/>
        <v>0</v>
      </c>
      <c r="AN2016" s="18" t="s">
        <v>570</v>
      </c>
      <c r="AO2016" s="18" t="s">
        <v>2875</v>
      </c>
      <c r="AP2016" s="18" t="s">
        <v>6591</v>
      </c>
    </row>
    <row r="2017" spans="1:42" s="18" customFormat="1" x14ac:dyDescent="0.3">
      <c r="A2017" s="18" t="s">
        <v>1454</v>
      </c>
      <c r="B2017" s="18" t="s">
        <v>6438</v>
      </c>
      <c r="C2017" s="18">
        <v>101</v>
      </c>
      <c r="D2017" s="283" t="s">
        <v>6440</v>
      </c>
      <c r="E2017" s="18" t="s">
        <v>6557</v>
      </c>
      <c r="F2017" s="18" t="s">
        <v>6558</v>
      </c>
      <c r="G2017" s="156" t="s">
        <v>6581</v>
      </c>
      <c r="H2017" s="18" t="s">
        <v>6582</v>
      </c>
      <c r="K2017" s="156" t="s">
        <v>6583</v>
      </c>
      <c r="L2017" s="18" t="s">
        <v>6584</v>
      </c>
      <c r="M2017" s="18" t="s">
        <v>6585</v>
      </c>
      <c r="P2017" s="16"/>
      <c r="Q2017" s="16"/>
      <c r="R2017" s="16"/>
      <c r="S2017" s="16"/>
      <c r="U2017" s="283" t="e">
        <v>#N/A</v>
      </c>
      <c r="V2017" s="18" t="s">
        <v>6593</v>
      </c>
      <c r="W2017" s="18">
        <v>1</v>
      </c>
      <c r="X2017" s="18">
        <v>0</v>
      </c>
      <c r="Y2017" s="18">
        <v>0</v>
      </c>
      <c r="Z2017" s="18">
        <v>0</v>
      </c>
      <c r="AA2017" s="18">
        <v>1</v>
      </c>
      <c r="AB2017" s="18">
        <v>0</v>
      </c>
      <c r="AC2017" s="316">
        <v>1</v>
      </c>
      <c r="AD2017" s="316">
        <v>1</v>
      </c>
      <c r="AE2017" s="302">
        <f t="shared" si="80"/>
        <v>0.5</v>
      </c>
      <c r="AF2017" s="176"/>
      <c r="AG2017" s="17">
        <v>0</v>
      </c>
      <c r="AH2017" s="176">
        <v>0</v>
      </c>
      <c r="AI2017" s="176">
        <v>0</v>
      </c>
      <c r="AJ2017" s="176">
        <v>0</v>
      </c>
      <c r="AK2017" s="177">
        <v>0</v>
      </c>
      <c r="AL2017" s="177">
        <v>0</v>
      </c>
      <c r="AM2017" s="147">
        <f t="shared" si="79"/>
        <v>0</v>
      </c>
      <c r="AN2017" s="18" t="s">
        <v>570</v>
      </c>
      <c r="AO2017" s="18" t="s">
        <v>2875</v>
      </c>
      <c r="AP2017" s="18" t="s">
        <v>6591</v>
      </c>
    </row>
    <row r="2018" spans="1:42" s="18" customFormat="1" x14ac:dyDescent="0.3">
      <c r="A2018" s="18" t="s">
        <v>1454</v>
      </c>
      <c r="B2018" s="18" t="s">
        <v>6438</v>
      </c>
      <c r="C2018" s="18">
        <v>101</v>
      </c>
      <c r="D2018" s="283" t="s">
        <v>6440</v>
      </c>
      <c r="E2018" s="18" t="s">
        <v>6557</v>
      </c>
      <c r="F2018" s="18" t="s">
        <v>6558</v>
      </c>
      <c r="G2018" s="156" t="s">
        <v>6581</v>
      </c>
      <c r="H2018" s="18" t="s">
        <v>6582</v>
      </c>
      <c r="K2018" s="156" t="s">
        <v>6583</v>
      </c>
      <c r="L2018" s="18" t="s">
        <v>6584</v>
      </c>
      <c r="M2018" s="18" t="s">
        <v>6585</v>
      </c>
      <c r="P2018" s="16"/>
      <c r="Q2018" s="16"/>
      <c r="R2018" s="16"/>
      <c r="S2018" s="16"/>
      <c r="U2018" s="283" t="e">
        <v>#N/A</v>
      </c>
      <c r="V2018" s="18" t="s">
        <v>6594</v>
      </c>
      <c r="W2018" s="18">
        <v>1</v>
      </c>
      <c r="X2018" s="18">
        <v>1</v>
      </c>
      <c r="Y2018" s="18">
        <v>0</v>
      </c>
      <c r="Z2018" s="18">
        <v>1</v>
      </c>
      <c r="AA2018" s="18">
        <v>1</v>
      </c>
      <c r="AB2018" s="18">
        <v>1</v>
      </c>
      <c r="AC2018" s="316">
        <v>1</v>
      </c>
      <c r="AD2018" s="316">
        <v>1</v>
      </c>
      <c r="AE2018" s="302">
        <f t="shared" si="80"/>
        <v>0.875</v>
      </c>
      <c r="AF2018" s="176"/>
      <c r="AG2018" s="17">
        <v>0</v>
      </c>
      <c r="AH2018" s="176">
        <v>0</v>
      </c>
      <c r="AI2018" s="176">
        <v>0</v>
      </c>
      <c r="AJ2018" s="176">
        <v>0</v>
      </c>
      <c r="AK2018" s="177">
        <v>1</v>
      </c>
      <c r="AL2018" s="177">
        <v>1</v>
      </c>
      <c r="AM2018" s="147">
        <f t="shared" si="79"/>
        <v>2</v>
      </c>
      <c r="AN2018" s="18" t="s">
        <v>570</v>
      </c>
      <c r="AO2018" s="18" t="s">
        <v>2875</v>
      </c>
      <c r="AP2018" s="18" t="s">
        <v>6591</v>
      </c>
    </row>
    <row r="2019" spans="1:42" s="18" customFormat="1" x14ac:dyDescent="0.3">
      <c r="A2019" s="18" t="s">
        <v>1454</v>
      </c>
      <c r="B2019" s="18" t="s">
        <v>6438</v>
      </c>
      <c r="C2019" s="18">
        <v>101</v>
      </c>
      <c r="D2019" s="283" t="s">
        <v>6440</v>
      </c>
      <c r="E2019" s="18" t="s">
        <v>6557</v>
      </c>
      <c r="F2019" s="18" t="s">
        <v>6558</v>
      </c>
      <c r="G2019" s="156" t="s">
        <v>6581</v>
      </c>
      <c r="H2019" s="18" t="s">
        <v>6582</v>
      </c>
      <c r="K2019" s="156" t="s">
        <v>6583</v>
      </c>
      <c r="L2019" s="18" t="s">
        <v>6584</v>
      </c>
      <c r="M2019" s="18" t="s">
        <v>6585</v>
      </c>
      <c r="P2019" s="16"/>
      <c r="Q2019" s="16"/>
      <c r="R2019" s="16"/>
      <c r="S2019" s="16"/>
      <c r="U2019" s="283" t="e">
        <v>#N/A</v>
      </c>
      <c r="V2019" s="18" t="s">
        <v>6595</v>
      </c>
      <c r="W2019" s="18">
        <v>1</v>
      </c>
      <c r="X2019" s="18">
        <v>1</v>
      </c>
      <c r="Y2019" s="18">
        <v>0</v>
      </c>
      <c r="Z2019" s="18">
        <v>1</v>
      </c>
      <c r="AA2019" s="18">
        <v>0</v>
      </c>
      <c r="AB2019" s="18">
        <v>1</v>
      </c>
      <c r="AC2019" s="316">
        <v>0</v>
      </c>
      <c r="AD2019" s="316">
        <v>1</v>
      </c>
      <c r="AE2019" s="302">
        <f t="shared" si="80"/>
        <v>0.625</v>
      </c>
      <c r="AF2019" s="176"/>
      <c r="AG2019" s="17">
        <v>0</v>
      </c>
      <c r="AH2019" s="176">
        <v>0</v>
      </c>
      <c r="AI2019" s="176">
        <v>0</v>
      </c>
      <c r="AJ2019" s="176">
        <v>0</v>
      </c>
      <c r="AK2019" s="177">
        <v>0</v>
      </c>
      <c r="AL2019" s="177">
        <v>0</v>
      </c>
      <c r="AM2019" s="147">
        <f t="shared" si="79"/>
        <v>0</v>
      </c>
      <c r="AN2019" s="18" t="s">
        <v>570</v>
      </c>
      <c r="AO2019" s="18" t="s">
        <v>2875</v>
      </c>
      <c r="AP2019" s="18" t="s">
        <v>6596</v>
      </c>
    </row>
    <row r="2020" spans="1:42" s="18" customFormat="1" x14ac:dyDescent="0.3">
      <c r="A2020" s="18" t="s">
        <v>1454</v>
      </c>
      <c r="B2020" s="18" t="s">
        <v>6438</v>
      </c>
      <c r="C2020" s="18">
        <v>101</v>
      </c>
      <c r="D2020" s="283" t="s">
        <v>6440</v>
      </c>
      <c r="E2020" s="18" t="s">
        <v>6557</v>
      </c>
      <c r="F2020" s="18" t="s">
        <v>6558</v>
      </c>
      <c r="G2020" s="156" t="s">
        <v>6581</v>
      </c>
      <c r="H2020" s="18" t="s">
        <v>6582</v>
      </c>
      <c r="K2020" s="156" t="s">
        <v>6583</v>
      </c>
      <c r="L2020" s="18" t="s">
        <v>6584</v>
      </c>
      <c r="M2020" s="18" t="s">
        <v>6585</v>
      </c>
      <c r="P2020" s="16"/>
      <c r="Q2020" s="16"/>
      <c r="R2020" s="16"/>
      <c r="S2020" s="16"/>
      <c r="U2020" s="283" t="e">
        <v>#N/A</v>
      </c>
      <c r="V2020" s="18" t="s">
        <v>6597</v>
      </c>
      <c r="W2020" s="18">
        <v>1</v>
      </c>
      <c r="X2020" s="18">
        <v>0</v>
      </c>
      <c r="Y2020" s="18">
        <v>1</v>
      </c>
      <c r="Z2020" s="18">
        <v>1</v>
      </c>
      <c r="AA2020" s="18">
        <v>1</v>
      </c>
      <c r="AB2020" s="18">
        <v>1</v>
      </c>
      <c r="AC2020" s="316">
        <v>0</v>
      </c>
      <c r="AD2020" s="316">
        <v>1</v>
      </c>
      <c r="AE2020" s="302">
        <f t="shared" si="80"/>
        <v>0.75</v>
      </c>
      <c r="AF2020" s="176"/>
      <c r="AG2020" s="17">
        <v>0</v>
      </c>
      <c r="AH2020" s="176">
        <v>0.1</v>
      </c>
      <c r="AI2020" s="176">
        <v>0.1</v>
      </c>
      <c r="AJ2020" s="176">
        <v>0.1</v>
      </c>
      <c r="AK2020" s="177">
        <v>0.1</v>
      </c>
      <c r="AL2020" s="177">
        <v>0.1</v>
      </c>
      <c r="AM2020" s="147">
        <f t="shared" si="79"/>
        <v>0.2</v>
      </c>
      <c r="AN2020" s="18" t="s">
        <v>570</v>
      </c>
      <c r="AO2020" s="18" t="s">
        <v>2875</v>
      </c>
      <c r="AP2020" s="18" t="s">
        <v>6598</v>
      </c>
    </row>
    <row r="2021" spans="1:42" s="18" customFormat="1" x14ac:dyDescent="0.3">
      <c r="A2021" s="18" t="s">
        <v>1454</v>
      </c>
      <c r="B2021" s="18" t="s">
        <v>6438</v>
      </c>
      <c r="C2021" s="18">
        <v>101</v>
      </c>
      <c r="D2021" s="283" t="s">
        <v>6440</v>
      </c>
      <c r="E2021" s="18" t="s">
        <v>6557</v>
      </c>
      <c r="F2021" s="18" t="s">
        <v>6558</v>
      </c>
      <c r="G2021" s="156" t="s">
        <v>6581</v>
      </c>
      <c r="H2021" s="18" t="s">
        <v>6582</v>
      </c>
      <c r="K2021" s="156" t="s">
        <v>6583</v>
      </c>
      <c r="L2021" s="18" t="s">
        <v>6584</v>
      </c>
      <c r="M2021" s="18" t="s">
        <v>6585</v>
      </c>
      <c r="P2021" s="16"/>
      <c r="Q2021" s="16"/>
      <c r="R2021" s="16"/>
      <c r="S2021" s="16"/>
      <c r="U2021" s="283" t="e">
        <v>#N/A</v>
      </c>
      <c r="V2021" s="18" t="s">
        <v>6599</v>
      </c>
      <c r="W2021" s="18">
        <v>0</v>
      </c>
      <c r="X2021" s="18">
        <v>0</v>
      </c>
      <c r="Y2021" s="18">
        <v>0</v>
      </c>
      <c r="Z2021" s="18">
        <v>1</v>
      </c>
      <c r="AA2021" s="18">
        <v>0</v>
      </c>
      <c r="AB2021" s="18">
        <v>0</v>
      </c>
      <c r="AC2021" s="316">
        <v>0</v>
      </c>
      <c r="AD2021" s="316">
        <v>1</v>
      </c>
      <c r="AE2021" s="302">
        <f t="shared" si="80"/>
        <v>0.25</v>
      </c>
      <c r="AF2021" s="176"/>
      <c r="AG2021" s="17">
        <v>0</v>
      </c>
      <c r="AH2021" s="176">
        <v>0</v>
      </c>
      <c r="AI2021" s="176">
        <v>0</v>
      </c>
      <c r="AJ2021" s="176">
        <v>0</v>
      </c>
      <c r="AK2021" s="177"/>
      <c r="AL2021" s="177">
        <v>0</v>
      </c>
      <c r="AM2021" s="147">
        <f t="shared" si="79"/>
        <v>0</v>
      </c>
      <c r="AN2021" s="18" t="s">
        <v>63</v>
      </c>
      <c r="AO2021" s="18" t="s">
        <v>2510</v>
      </c>
      <c r="AP2021" s="18" t="s">
        <v>6600</v>
      </c>
    </row>
    <row r="2022" spans="1:42" s="18" customFormat="1" x14ac:dyDescent="0.3">
      <c r="A2022" s="18" t="s">
        <v>1454</v>
      </c>
      <c r="B2022" s="18" t="s">
        <v>6438</v>
      </c>
      <c r="C2022" s="18">
        <v>101</v>
      </c>
      <c r="D2022" s="283" t="s">
        <v>6440</v>
      </c>
      <c r="E2022" s="18" t="s">
        <v>6557</v>
      </c>
      <c r="F2022" s="18" t="s">
        <v>6558</v>
      </c>
      <c r="G2022" s="156" t="s">
        <v>6581</v>
      </c>
      <c r="H2022" s="18" t="s">
        <v>6582</v>
      </c>
      <c r="K2022" s="156" t="s">
        <v>6583</v>
      </c>
      <c r="L2022" s="18" t="s">
        <v>6584</v>
      </c>
      <c r="M2022" s="18" t="s">
        <v>6585</v>
      </c>
      <c r="P2022" s="16"/>
      <c r="Q2022" s="16"/>
      <c r="R2022" s="16"/>
      <c r="S2022" s="16"/>
      <c r="U2022" s="283" t="e">
        <v>#N/A</v>
      </c>
      <c r="V2022" s="18" t="s">
        <v>6601</v>
      </c>
      <c r="W2022" s="18">
        <v>1</v>
      </c>
      <c r="X2022" s="18">
        <v>0</v>
      </c>
      <c r="Y2022" s="18">
        <v>0</v>
      </c>
      <c r="Z2022" s="18">
        <v>0</v>
      </c>
      <c r="AA2022" s="18">
        <v>0</v>
      </c>
      <c r="AB2022" s="18">
        <v>0</v>
      </c>
      <c r="AC2022" s="316">
        <v>0</v>
      </c>
      <c r="AD2022" s="316">
        <v>1</v>
      </c>
      <c r="AE2022" s="302">
        <f t="shared" si="80"/>
        <v>0.25</v>
      </c>
      <c r="AF2022" s="176"/>
      <c r="AG2022" s="17">
        <v>0</v>
      </c>
      <c r="AH2022" s="176">
        <v>0</v>
      </c>
      <c r="AI2022" s="176">
        <v>0</v>
      </c>
      <c r="AJ2022" s="176">
        <v>0</v>
      </c>
      <c r="AK2022" s="177">
        <v>0</v>
      </c>
      <c r="AL2022" s="177">
        <v>0</v>
      </c>
      <c r="AM2022" s="147">
        <f t="shared" si="79"/>
        <v>0</v>
      </c>
      <c r="AN2022" s="18" t="s">
        <v>63</v>
      </c>
      <c r="AO2022" s="18" t="s">
        <v>2510</v>
      </c>
      <c r="AP2022" s="18" t="s">
        <v>6602</v>
      </c>
    </row>
    <row r="2023" spans="1:42" s="18" customFormat="1" x14ac:dyDescent="0.3">
      <c r="A2023" s="18" t="s">
        <v>1454</v>
      </c>
      <c r="B2023" s="18" t="s">
        <v>6438</v>
      </c>
      <c r="C2023" s="18">
        <v>101</v>
      </c>
      <c r="D2023" s="283" t="s">
        <v>6440</v>
      </c>
      <c r="E2023" s="18" t="s">
        <v>6557</v>
      </c>
      <c r="F2023" s="18" t="s">
        <v>6558</v>
      </c>
      <c r="G2023" s="156" t="s">
        <v>6581</v>
      </c>
      <c r="H2023" s="18" t="s">
        <v>6582</v>
      </c>
      <c r="K2023" s="156" t="s">
        <v>6583</v>
      </c>
      <c r="L2023" s="18" t="s">
        <v>6584</v>
      </c>
      <c r="M2023" s="18" t="s">
        <v>6585</v>
      </c>
      <c r="P2023" s="16"/>
      <c r="Q2023" s="16"/>
      <c r="R2023" s="16"/>
      <c r="S2023" s="16"/>
      <c r="U2023" s="283" t="e">
        <v>#N/A</v>
      </c>
      <c r="V2023" s="18" t="s">
        <v>6603</v>
      </c>
      <c r="W2023" s="18">
        <v>1</v>
      </c>
      <c r="X2023" s="18">
        <v>0</v>
      </c>
      <c r="Y2023" s="18">
        <v>0</v>
      </c>
      <c r="Z2023" s="18">
        <v>1</v>
      </c>
      <c r="AA2023" s="18">
        <v>0</v>
      </c>
      <c r="AB2023" s="18">
        <v>1</v>
      </c>
      <c r="AC2023" s="316">
        <v>0</v>
      </c>
      <c r="AD2023" s="316">
        <v>1</v>
      </c>
      <c r="AE2023" s="302">
        <f t="shared" si="80"/>
        <v>0.5</v>
      </c>
      <c r="AF2023" s="176"/>
      <c r="AG2023" s="17">
        <v>0</v>
      </c>
      <c r="AH2023" s="176">
        <v>0</v>
      </c>
      <c r="AI2023" s="176">
        <v>0</v>
      </c>
      <c r="AJ2023" s="176">
        <v>0</v>
      </c>
      <c r="AK2023" s="177"/>
      <c r="AL2023" s="177"/>
      <c r="AM2023" s="147">
        <f t="shared" si="79"/>
        <v>0</v>
      </c>
      <c r="AN2023" s="18" t="s">
        <v>63</v>
      </c>
      <c r="AO2023" s="18" t="s">
        <v>2510</v>
      </c>
      <c r="AP2023" s="18" t="s">
        <v>6604</v>
      </c>
    </row>
    <row r="2024" spans="1:42" s="18" customFormat="1" x14ac:dyDescent="0.3">
      <c r="A2024" s="18" t="s">
        <v>1454</v>
      </c>
      <c r="B2024" s="18" t="s">
        <v>6438</v>
      </c>
      <c r="C2024" s="18">
        <v>101</v>
      </c>
      <c r="D2024" s="283" t="s">
        <v>6440</v>
      </c>
      <c r="E2024" s="18" t="s">
        <v>6557</v>
      </c>
      <c r="F2024" s="18" t="s">
        <v>6558</v>
      </c>
      <c r="G2024" s="156" t="s">
        <v>6581</v>
      </c>
      <c r="H2024" s="18" t="s">
        <v>6582</v>
      </c>
      <c r="K2024" s="156" t="s">
        <v>6583</v>
      </c>
      <c r="L2024" s="18" t="s">
        <v>6584</v>
      </c>
      <c r="M2024" s="18" t="s">
        <v>6585</v>
      </c>
      <c r="P2024" s="16"/>
      <c r="Q2024" s="16"/>
      <c r="R2024" s="16"/>
      <c r="S2024" s="16"/>
      <c r="U2024" s="283" t="e">
        <v>#N/A</v>
      </c>
      <c r="V2024" s="18" t="s">
        <v>6605</v>
      </c>
      <c r="W2024" s="18">
        <v>1</v>
      </c>
      <c r="X2024" s="18">
        <v>1</v>
      </c>
      <c r="Y2024" s="18">
        <v>0</v>
      </c>
      <c r="Z2024" s="18">
        <v>1</v>
      </c>
      <c r="AA2024" s="18">
        <v>1</v>
      </c>
      <c r="AB2024" s="18">
        <v>0</v>
      </c>
      <c r="AC2024" s="316">
        <v>0</v>
      </c>
      <c r="AD2024" s="316">
        <v>1</v>
      </c>
      <c r="AE2024" s="302">
        <f t="shared" si="80"/>
        <v>0.625</v>
      </c>
      <c r="AF2024" s="176"/>
      <c r="AG2024" s="17">
        <v>0</v>
      </c>
      <c r="AH2024" s="176">
        <v>0</v>
      </c>
      <c r="AI2024" s="176">
        <v>0</v>
      </c>
      <c r="AJ2024" s="176">
        <v>0</v>
      </c>
      <c r="AK2024" s="177">
        <v>0</v>
      </c>
      <c r="AL2024" s="177">
        <v>0</v>
      </c>
      <c r="AM2024" s="147">
        <f t="shared" si="79"/>
        <v>0</v>
      </c>
      <c r="AN2024" s="18" t="s">
        <v>63</v>
      </c>
      <c r="AO2024" s="18" t="s">
        <v>2510</v>
      </c>
      <c r="AP2024" s="18" t="s">
        <v>6606</v>
      </c>
    </row>
    <row r="2025" spans="1:42" s="18" customFormat="1" x14ac:dyDescent="0.3">
      <c r="A2025" s="18" t="s">
        <v>1454</v>
      </c>
      <c r="B2025" s="18" t="s">
        <v>6438</v>
      </c>
      <c r="C2025" s="18">
        <v>101</v>
      </c>
      <c r="D2025" s="283" t="s">
        <v>6440</v>
      </c>
      <c r="E2025" s="18" t="s">
        <v>6557</v>
      </c>
      <c r="F2025" s="18" t="s">
        <v>6558</v>
      </c>
      <c r="G2025" s="156" t="s">
        <v>6581</v>
      </c>
      <c r="H2025" s="18" t="s">
        <v>6582</v>
      </c>
      <c r="K2025" s="156" t="s">
        <v>6583</v>
      </c>
      <c r="L2025" s="18" t="s">
        <v>6584</v>
      </c>
      <c r="M2025" s="18" t="s">
        <v>6585</v>
      </c>
      <c r="P2025" s="16"/>
      <c r="Q2025" s="16"/>
      <c r="R2025" s="16"/>
      <c r="S2025" s="16"/>
      <c r="U2025" s="283" t="e">
        <v>#N/A</v>
      </c>
      <c r="V2025" s="18" t="s">
        <v>6607</v>
      </c>
      <c r="W2025" s="18">
        <v>1</v>
      </c>
      <c r="X2025" s="18">
        <v>1</v>
      </c>
      <c r="Y2025" s="18">
        <v>0</v>
      </c>
      <c r="Z2025" s="18">
        <v>1</v>
      </c>
      <c r="AA2025" s="18">
        <v>1</v>
      </c>
      <c r="AB2025" s="18">
        <v>0</v>
      </c>
      <c r="AC2025" s="316">
        <v>0</v>
      </c>
      <c r="AD2025" s="316">
        <v>1</v>
      </c>
      <c r="AE2025" s="302">
        <f t="shared" si="80"/>
        <v>0.625</v>
      </c>
      <c r="AF2025" s="176"/>
      <c r="AG2025" s="17">
        <v>0</v>
      </c>
      <c r="AH2025" s="176">
        <v>0.8</v>
      </c>
      <c r="AI2025" s="176">
        <v>0.8</v>
      </c>
      <c r="AJ2025" s="176">
        <v>1</v>
      </c>
      <c r="AK2025" s="177">
        <v>0.45</v>
      </c>
      <c r="AL2025" s="177">
        <v>0.45</v>
      </c>
      <c r="AM2025" s="147">
        <f t="shared" si="79"/>
        <v>0.9</v>
      </c>
      <c r="AN2025" s="18" t="s">
        <v>63</v>
      </c>
      <c r="AO2025" s="18" t="s">
        <v>2510</v>
      </c>
      <c r="AP2025" s="18" t="s">
        <v>6608</v>
      </c>
    </row>
    <row r="2026" spans="1:42" s="18" customFormat="1" x14ac:dyDescent="0.3">
      <c r="A2026" s="18" t="s">
        <v>1454</v>
      </c>
      <c r="B2026" s="18" t="s">
        <v>6438</v>
      </c>
      <c r="C2026" s="18">
        <v>101</v>
      </c>
      <c r="D2026" s="283" t="s">
        <v>6440</v>
      </c>
      <c r="E2026" s="18" t="s">
        <v>6557</v>
      </c>
      <c r="F2026" s="18" t="s">
        <v>6558</v>
      </c>
      <c r="G2026" s="156" t="s">
        <v>6581</v>
      </c>
      <c r="H2026" s="18" t="s">
        <v>6582</v>
      </c>
      <c r="K2026" s="156" t="s">
        <v>6583</v>
      </c>
      <c r="L2026" s="18" t="s">
        <v>6584</v>
      </c>
      <c r="M2026" s="18" t="s">
        <v>6585</v>
      </c>
      <c r="P2026" s="16"/>
      <c r="Q2026" s="16"/>
      <c r="R2026" s="16"/>
      <c r="S2026" s="16"/>
      <c r="U2026" s="283" t="e">
        <v>#N/A</v>
      </c>
      <c r="V2026" s="18" t="s">
        <v>6609</v>
      </c>
      <c r="W2026" s="18">
        <v>1</v>
      </c>
      <c r="X2026" s="18">
        <v>0</v>
      </c>
      <c r="Y2026" s="18">
        <v>0</v>
      </c>
      <c r="Z2026" s="18">
        <v>1</v>
      </c>
      <c r="AA2026" s="18">
        <v>0</v>
      </c>
      <c r="AB2026" s="18">
        <v>0</v>
      </c>
      <c r="AC2026" s="316">
        <v>0</v>
      </c>
      <c r="AD2026" s="316">
        <v>1</v>
      </c>
      <c r="AE2026" s="302">
        <f t="shared" si="80"/>
        <v>0.375</v>
      </c>
      <c r="AF2026" s="176"/>
      <c r="AG2026" s="17">
        <v>0</v>
      </c>
      <c r="AH2026" s="176">
        <v>0</v>
      </c>
      <c r="AI2026" s="176">
        <v>0</v>
      </c>
      <c r="AJ2026" s="176">
        <v>0</v>
      </c>
      <c r="AK2026" s="177">
        <v>0</v>
      </c>
      <c r="AL2026" s="177">
        <v>0</v>
      </c>
      <c r="AM2026" s="147">
        <f t="shared" si="79"/>
        <v>0</v>
      </c>
      <c r="AN2026" s="18" t="s">
        <v>63</v>
      </c>
      <c r="AO2026" s="18" t="s">
        <v>2510</v>
      </c>
      <c r="AP2026" s="18" t="s">
        <v>6519</v>
      </c>
    </row>
    <row r="2027" spans="1:42" s="18" customFormat="1" x14ac:dyDescent="0.3">
      <c r="A2027" s="18" t="s">
        <v>1454</v>
      </c>
      <c r="B2027" s="18" t="s">
        <v>6438</v>
      </c>
      <c r="C2027" s="18">
        <v>101</v>
      </c>
      <c r="D2027" s="283" t="s">
        <v>6440</v>
      </c>
      <c r="E2027" s="18" t="s">
        <v>6557</v>
      </c>
      <c r="F2027" s="18" t="s">
        <v>6558</v>
      </c>
      <c r="G2027" s="156" t="s">
        <v>6581</v>
      </c>
      <c r="H2027" s="18" t="s">
        <v>6582</v>
      </c>
      <c r="K2027" s="156" t="s">
        <v>6583</v>
      </c>
      <c r="L2027" s="18" t="s">
        <v>6584</v>
      </c>
      <c r="M2027" s="18" t="s">
        <v>6585</v>
      </c>
      <c r="P2027" s="16"/>
      <c r="Q2027" s="16"/>
      <c r="R2027" s="16"/>
      <c r="S2027" s="16"/>
      <c r="U2027" s="283" t="e">
        <v>#N/A</v>
      </c>
      <c r="V2027" s="18" t="s">
        <v>6610</v>
      </c>
      <c r="W2027" s="18">
        <v>0</v>
      </c>
      <c r="X2027" s="18">
        <v>1</v>
      </c>
      <c r="Y2027" s="18">
        <v>0</v>
      </c>
      <c r="Z2027" s="18">
        <v>0</v>
      </c>
      <c r="AA2027" s="18">
        <v>1</v>
      </c>
      <c r="AB2027" s="18">
        <v>1</v>
      </c>
      <c r="AC2027" s="316">
        <v>1</v>
      </c>
      <c r="AD2027" s="316">
        <v>1</v>
      </c>
      <c r="AE2027" s="302">
        <f t="shared" si="80"/>
        <v>0.625</v>
      </c>
      <c r="AF2027" s="176"/>
      <c r="AG2027" s="17">
        <v>0</v>
      </c>
      <c r="AH2027" s="176">
        <v>0</v>
      </c>
      <c r="AI2027" s="176">
        <v>0.5</v>
      </c>
      <c r="AJ2027" s="176">
        <v>1.5</v>
      </c>
      <c r="AK2027" s="177"/>
      <c r="AL2027" s="177"/>
      <c r="AM2027" s="147">
        <f t="shared" si="79"/>
        <v>0</v>
      </c>
      <c r="AN2027" s="18" t="s">
        <v>63</v>
      </c>
      <c r="AO2027" s="18" t="s">
        <v>2510</v>
      </c>
      <c r="AP2027" s="18" t="s">
        <v>6611</v>
      </c>
    </row>
    <row r="2028" spans="1:42" s="18" customFormat="1" x14ac:dyDescent="0.3">
      <c r="A2028" s="18" t="s">
        <v>1454</v>
      </c>
      <c r="B2028" s="18" t="s">
        <v>6438</v>
      </c>
      <c r="C2028" s="18">
        <v>101</v>
      </c>
      <c r="D2028" s="283" t="s">
        <v>6440</v>
      </c>
      <c r="E2028" s="18" t="s">
        <v>6557</v>
      </c>
      <c r="F2028" s="18" t="s">
        <v>6558</v>
      </c>
      <c r="G2028" s="156" t="s">
        <v>6581</v>
      </c>
      <c r="H2028" s="18" t="s">
        <v>6582</v>
      </c>
      <c r="K2028" s="156" t="s">
        <v>6583</v>
      </c>
      <c r="L2028" s="18" t="s">
        <v>6584</v>
      </c>
      <c r="M2028" s="18" t="s">
        <v>6585</v>
      </c>
      <c r="P2028" s="16"/>
      <c r="Q2028" s="16"/>
      <c r="R2028" s="16"/>
      <c r="S2028" s="16"/>
      <c r="U2028" s="283" t="e">
        <v>#N/A</v>
      </c>
      <c r="V2028" s="18" t="s">
        <v>6612</v>
      </c>
      <c r="W2028" s="18">
        <v>0</v>
      </c>
      <c r="X2028" s="18">
        <v>0</v>
      </c>
      <c r="Y2028" s="18">
        <v>0</v>
      </c>
      <c r="Z2028" s="18">
        <v>1</v>
      </c>
      <c r="AA2028" s="18">
        <v>0</v>
      </c>
      <c r="AB2028" s="18">
        <v>0</v>
      </c>
      <c r="AC2028" s="316">
        <v>0</v>
      </c>
      <c r="AD2028" s="316">
        <v>1</v>
      </c>
      <c r="AE2028" s="302">
        <f t="shared" si="80"/>
        <v>0.25</v>
      </c>
      <c r="AF2028" s="176"/>
      <c r="AG2028" s="17">
        <v>0</v>
      </c>
      <c r="AH2028" s="176">
        <v>0</v>
      </c>
      <c r="AI2028" s="176">
        <v>2</v>
      </c>
      <c r="AJ2028" s="176">
        <v>2</v>
      </c>
      <c r="AK2028" s="177"/>
      <c r="AL2028" s="177"/>
      <c r="AM2028" s="147">
        <f t="shared" si="79"/>
        <v>0</v>
      </c>
      <c r="AN2028" s="18" t="s">
        <v>63</v>
      </c>
      <c r="AO2028" s="18" t="s">
        <v>2510</v>
      </c>
      <c r="AP2028" s="18" t="s">
        <v>119</v>
      </c>
    </row>
    <row r="2029" spans="1:42" s="18" customFormat="1" x14ac:dyDescent="0.3">
      <c r="A2029" s="18" t="s">
        <v>1454</v>
      </c>
      <c r="B2029" s="18" t="s">
        <v>6438</v>
      </c>
      <c r="C2029" s="18">
        <v>101</v>
      </c>
      <c r="D2029" s="283" t="s">
        <v>6440</v>
      </c>
      <c r="E2029" s="18" t="s">
        <v>6557</v>
      </c>
      <c r="F2029" s="18" t="s">
        <v>6558</v>
      </c>
      <c r="G2029" s="156" t="s">
        <v>6581</v>
      </c>
      <c r="H2029" s="18" t="s">
        <v>6582</v>
      </c>
      <c r="K2029" s="156" t="s">
        <v>6583</v>
      </c>
      <c r="L2029" s="18" t="s">
        <v>6584</v>
      </c>
      <c r="M2029" s="18" t="s">
        <v>6585</v>
      </c>
      <c r="P2029" s="16"/>
      <c r="Q2029" s="16"/>
      <c r="R2029" s="16"/>
      <c r="S2029" s="16"/>
      <c r="U2029" s="283" t="e">
        <v>#N/A</v>
      </c>
      <c r="V2029" s="18" t="s">
        <v>6613</v>
      </c>
      <c r="W2029" s="18">
        <v>1</v>
      </c>
      <c r="X2029" s="18">
        <v>1</v>
      </c>
      <c r="Y2029" s="18">
        <v>0</v>
      </c>
      <c r="Z2029" s="18">
        <v>1</v>
      </c>
      <c r="AA2029" s="18">
        <v>1</v>
      </c>
      <c r="AB2029" s="18">
        <v>0</v>
      </c>
      <c r="AC2029" s="316">
        <v>0</v>
      </c>
      <c r="AD2029" s="316">
        <v>1</v>
      </c>
      <c r="AE2029" s="302">
        <f t="shared" si="80"/>
        <v>0.625</v>
      </c>
      <c r="AF2029" s="176"/>
      <c r="AG2029" s="17">
        <v>0</v>
      </c>
      <c r="AH2029" s="176">
        <v>0</v>
      </c>
      <c r="AI2029" s="176">
        <v>0</v>
      </c>
      <c r="AJ2029" s="176">
        <v>0</v>
      </c>
      <c r="AK2029" s="177">
        <v>0.1</v>
      </c>
      <c r="AL2029" s="177">
        <v>0</v>
      </c>
      <c r="AM2029" s="147">
        <f t="shared" si="79"/>
        <v>0.1</v>
      </c>
      <c r="AN2029" s="18" t="s">
        <v>63</v>
      </c>
      <c r="AO2029" s="18" t="s">
        <v>2510</v>
      </c>
      <c r="AP2029" s="18" t="s">
        <v>119</v>
      </c>
    </row>
    <row r="2030" spans="1:42" s="18" customFormat="1" x14ac:dyDescent="0.3">
      <c r="A2030" s="18" t="s">
        <v>1454</v>
      </c>
      <c r="B2030" s="18" t="s">
        <v>6438</v>
      </c>
      <c r="C2030" s="18">
        <v>101</v>
      </c>
      <c r="D2030" s="283" t="s">
        <v>6440</v>
      </c>
      <c r="E2030" s="18" t="s">
        <v>6557</v>
      </c>
      <c r="F2030" s="18" t="s">
        <v>6558</v>
      </c>
      <c r="G2030" s="156" t="s">
        <v>6581</v>
      </c>
      <c r="H2030" s="18" t="s">
        <v>6582</v>
      </c>
      <c r="K2030" s="156" t="s">
        <v>6583</v>
      </c>
      <c r="L2030" s="18" t="s">
        <v>6584</v>
      </c>
      <c r="M2030" s="18" t="s">
        <v>6585</v>
      </c>
      <c r="P2030" s="16"/>
      <c r="Q2030" s="16"/>
      <c r="R2030" s="16"/>
      <c r="S2030" s="16"/>
      <c r="U2030" s="283" t="e">
        <v>#N/A</v>
      </c>
      <c r="V2030" s="18" t="s">
        <v>6614</v>
      </c>
      <c r="W2030" s="18">
        <v>0</v>
      </c>
      <c r="X2030" s="18">
        <v>0</v>
      </c>
      <c r="Y2030" s="18">
        <v>0</v>
      </c>
      <c r="Z2030" s="18">
        <v>2</v>
      </c>
      <c r="AA2030" s="18">
        <v>0</v>
      </c>
      <c r="AB2030" s="18">
        <v>0</v>
      </c>
      <c r="AC2030" s="316">
        <v>1</v>
      </c>
      <c r="AD2030" s="316">
        <v>1</v>
      </c>
      <c r="AE2030" s="302">
        <f t="shared" si="80"/>
        <v>0.5</v>
      </c>
      <c r="AF2030" s="176"/>
      <c r="AG2030" s="17">
        <v>0</v>
      </c>
      <c r="AH2030" s="176">
        <v>0</v>
      </c>
      <c r="AI2030" s="176">
        <v>0</v>
      </c>
      <c r="AJ2030" s="176">
        <v>0</v>
      </c>
      <c r="AK2030" s="177">
        <v>0</v>
      </c>
      <c r="AL2030" s="177">
        <v>0</v>
      </c>
      <c r="AM2030" s="147">
        <f t="shared" si="79"/>
        <v>0</v>
      </c>
      <c r="AN2030" s="18" t="s">
        <v>771</v>
      </c>
      <c r="AO2030" s="18" t="s">
        <v>773</v>
      </c>
      <c r="AP2030" s="18" t="s">
        <v>119</v>
      </c>
    </row>
    <row r="2031" spans="1:42" s="18" customFormat="1" x14ac:dyDescent="0.3">
      <c r="A2031" s="18" t="s">
        <v>1454</v>
      </c>
      <c r="B2031" s="18" t="s">
        <v>6438</v>
      </c>
      <c r="C2031" s="18">
        <v>101</v>
      </c>
      <c r="D2031" s="283" t="s">
        <v>6440</v>
      </c>
      <c r="E2031" s="18" t="s">
        <v>6557</v>
      </c>
      <c r="F2031" s="18" t="s">
        <v>6558</v>
      </c>
      <c r="G2031" s="156" t="s">
        <v>6581</v>
      </c>
      <c r="H2031" s="18" t="s">
        <v>6582</v>
      </c>
      <c r="K2031" s="156" t="s">
        <v>6583</v>
      </c>
      <c r="L2031" s="18" t="s">
        <v>6584</v>
      </c>
      <c r="M2031" s="18" t="s">
        <v>6585</v>
      </c>
      <c r="P2031" s="16"/>
      <c r="Q2031" s="16"/>
      <c r="R2031" s="16"/>
      <c r="S2031" s="16"/>
      <c r="U2031" s="283" t="e">
        <v>#N/A</v>
      </c>
      <c r="V2031" s="18" t="s">
        <v>6615</v>
      </c>
      <c r="W2031" s="18">
        <v>0</v>
      </c>
      <c r="X2031" s="18">
        <v>0</v>
      </c>
      <c r="Y2031" s="18">
        <v>0</v>
      </c>
      <c r="Z2031" s="18">
        <v>1</v>
      </c>
      <c r="AA2031" s="18">
        <v>0</v>
      </c>
      <c r="AB2031" s="18">
        <v>0</v>
      </c>
      <c r="AC2031" s="316">
        <v>0</v>
      </c>
      <c r="AD2031" s="316">
        <v>1</v>
      </c>
      <c r="AE2031" s="302">
        <f t="shared" si="80"/>
        <v>0.25</v>
      </c>
      <c r="AF2031" s="176"/>
      <c r="AG2031" s="17">
        <v>0</v>
      </c>
      <c r="AH2031" s="176">
        <v>0</v>
      </c>
      <c r="AI2031" s="176">
        <v>0</v>
      </c>
      <c r="AJ2031" s="176">
        <v>0</v>
      </c>
      <c r="AK2031" s="177">
        <v>0</v>
      </c>
      <c r="AL2031" s="177">
        <v>0</v>
      </c>
      <c r="AM2031" s="147">
        <f t="shared" si="79"/>
        <v>0</v>
      </c>
      <c r="AN2031" s="18" t="s">
        <v>771</v>
      </c>
      <c r="AO2031" s="18" t="s">
        <v>773</v>
      </c>
      <c r="AP2031" s="18" t="s">
        <v>119</v>
      </c>
    </row>
    <row r="2032" spans="1:42" s="18" customFormat="1" x14ac:dyDescent="0.3">
      <c r="A2032" s="18" t="s">
        <v>1454</v>
      </c>
      <c r="B2032" s="18" t="s">
        <v>6438</v>
      </c>
      <c r="C2032" s="18">
        <v>101</v>
      </c>
      <c r="D2032" s="283" t="s">
        <v>6440</v>
      </c>
      <c r="E2032" s="18" t="s">
        <v>6557</v>
      </c>
      <c r="F2032" s="18" t="s">
        <v>6558</v>
      </c>
      <c r="G2032" s="156" t="s">
        <v>6581</v>
      </c>
      <c r="H2032" s="18" t="s">
        <v>6582</v>
      </c>
      <c r="K2032" s="156" t="s">
        <v>6583</v>
      </c>
      <c r="L2032" s="18" t="s">
        <v>6584</v>
      </c>
      <c r="M2032" s="18" t="s">
        <v>6585</v>
      </c>
      <c r="P2032" s="16"/>
      <c r="Q2032" s="16"/>
      <c r="R2032" s="16"/>
      <c r="S2032" s="16"/>
      <c r="U2032" s="283" t="e">
        <v>#N/A</v>
      </c>
      <c r="V2032" s="18" t="s">
        <v>6616</v>
      </c>
      <c r="W2032" s="18">
        <v>0</v>
      </c>
      <c r="X2032" s="18">
        <v>0</v>
      </c>
      <c r="Y2032" s="18">
        <v>0</v>
      </c>
      <c r="Z2032" s="18">
        <v>1</v>
      </c>
      <c r="AA2032" s="18">
        <v>0</v>
      </c>
      <c r="AB2032" s="18">
        <v>0</v>
      </c>
      <c r="AC2032" s="316">
        <v>0</v>
      </c>
      <c r="AD2032" s="316">
        <v>1</v>
      </c>
      <c r="AE2032" s="302">
        <f t="shared" si="80"/>
        <v>0.25</v>
      </c>
      <c r="AF2032" s="176"/>
      <c r="AG2032" s="17">
        <v>0</v>
      </c>
      <c r="AH2032" s="176">
        <v>0</v>
      </c>
      <c r="AI2032" s="176">
        <v>0</v>
      </c>
      <c r="AJ2032" s="176">
        <v>0</v>
      </c>
      <c r="AK2032" s="177">
        <v>0</v>
      </c>
      <c r="AL2032" s="177">
        <v>0</v>
      </c>
      <c r="AM2032" s="147">
        <f t="shared" si="79"/>
        <v>0</v>
      </c>
      <c r="AN2032" s="18" t="s">
        <v>771</v>
      </c>
      <c r="AO2032" s="18" t="s">
        <v>773</v>
      </c>
      <c r="AP2032" s="18" t="s">
        <v>119</v>
      </c>
    </row>
    <row r="2033" spans="1:42" s="18" customFormat="1" x14ac:dyDescent="0.3">
      <c r="A2033" s="18" t="s">
        <v>1454</v>
      </c>
      <c r="B2033" s="18" t="s">
        <v>6438</v>
      </c>
      <c r="C2033" s="18">
        <v>101</v>
      </c>
      <c r="D2033" s="283" t="s">
        <v>6440</v>
      </c>
      <c r="E2033" s="18" t="s">
        <v>6557</v>
      </c>
      <c r="F2033" s="18" t="s">
        <v>6558</v>
      </c>
      <c r="G2033" s="156" t="s">
        <v>6581</v>
      </c>
      <c r="H2033" s="18" t="s">
        <v>6582</v>
      </c>
      <c r="K2033" s="156" t="s">
        <v>6583</v>
      </c>
      <c r="L2033" s="18" t="s">
        <v>6584</v>
      </c>
      <c r="M2033" s="18" t="s">
        <v>6585</v>
      </c>
      <c r="P2033" s="16"/>
      <c r="Q2033" s="16"/>
      <c r="R2033" s="16"/>
      <c r="S2033" s="16"/>
      <c r="U2033" s="283" t="e">
        <v>#N/A</v>
      </c>
      <c r="V2033" s="18" t="s">
        <v>6617</v>
      </c>
      <c r="W2033" s="18">
        <v>0</v>
      </c>
      <c r="X2033" s="18">
        <v>1</v>
      </c>
      <c r="Y2033" s="18">
        <v>0</v>
      </c>
      <c r="Z2033" s="18">
        <v>1</v>
      </c>
      <c r="AA2033" s="18">
        <v>0</v>
      </c>
      <c r="AB2033" s="18">
        <v>0</v>
      </c>
      <c r="AC2033" s="316">
        <v>0</v>
      </c>
      <c r="AD2033" s="316">
        <v>1</v>
      </c>
      <c r="AE2033" s="302">
        <f t="shared" si="80"/>
        <v>0.375</v>
      </c>
      <c r="AF2033" s="176"/>
      <c r="AG2033" s="17">
        <v>0</v>
      </c>
      <c r="AH2033" s="176">
        <v>0</v>
      </c>
      <c r="AI2033" s="176">
        <v>0</v>
      </c>
      <c r="AJ2033" s="176">
        <v>0</v>
      </c>
      <c r="AK2033" s="177">
        <v>0</v>
      </c>
      <c r="AL2033" s="177">
        <v>0</v>
      </c>
      <c r="AM2033" s="147">
        <f t="shared" si="79"/>
        <v>0</v>
      </c>
      <c r="AN2033" s="18" t="s">
        <v>771</v>
      </c>
      <c r="AO2033" s="18" t="s">
        <v>773</v>
      </c>
      <c r="AP2033" s="18" t="s">
        <v>6618</v>
      </c>
    </row>
    <row r="2034" spans="1:42" s="18" customFormat="1" x14ac:dyDescent="0.3">
      <c r="A2034" s="18" t="s">
        <v>1454</v>
      </c>
      <c r="B2034" s="18" t="s">
        <v>6438</v>
      </c>
      <c r="C2034" s="18">
        <v>101</v>
      </c>
      <c r="D2034" s="283" t="s">
        <v>6440</v>
      </c>
      <c r="E2034" s="18" t="s">
        <v>6557</v>
      </c>
      <c r="F2034" s="18" t="s">
        <v>6558</v>
      </c>
      <c r="G2034" s="156" t="s">
        <v>6619</v>
      </c>
      <c r="H2034" s="157" t="s">
        <v>6620</v>
      </c>
      <c r="K2034" s="156" t="s">
        <v>6621</v>
      </c>
      <c r="L2034" s="18" t="s">
        <v>6622</v>
      </c>
      <c r="M2034" s="18" t="s">
        <v>6623</v>
      </c>
      <c r="N2034" s="18">
        <v>0</v>
      </c>
      <c r="O2034" s="18">
        <v>300</v>
      </c>
      <c r="P2034" s="16">
        <v>300</v>
      </c>
      <c r="Q2034" s="16">
        <v>500</v>
      </c>
      <c r="R2034" s="16">
        <v>300</v>
      </c>
      <c r="S2034" s="16">
        <v>100</v>
      </c>
      <c r="T2034" s="18" t="s">
        <v>570</v>
      </c>
      <c r="U2034" s="283" t="s">
        <v>2875</v>
      </c>
      <c r="V2034" s="18" t="s">
        <v>6624</v>
      </c>
      <c r="W2034" s="18">
        <v>1</v>
      </c>
      <c r="X2034" s="18">
        <v>1</v>
      </c>
      <c r="Y2034" s="18">
        <v>0</v>
      </c>
      <c r="Z2034" s="18">
        <v>1</v>
      </c>
      <c r="AA2034" s="18">
        <v>1</v>
      </c>
      <c r="AB2034" s="18">
        <v>1</v>
      </c>
      <c r="AC2034" s="316">
        <v>0</v>
      </c>
      <c r="AD2034" s="316">
        <v>1</v>
      </c>
      <c r="AE2034" s="302">
        <f t="shared" si="80"/>
        <v>0.75</v>
      </c>
      <c r="AF2034" s="176"/>
      <c r="AG2034" s="17">
        <v>0</v>
      </c>
      <c r="AH2034" s="176">
        <v>0</v>
      </c>
      <c r="AI2034" s="176">
        <v>0.5</v>
      </c>
      <c r="AJ2034" s="176">
        <v>0.1</v>
      </c>
      <c r="AK2034" s="177"/>
      <c r="AL2034" s="177"/>
      <c r="AM2034" s="147">
        <f t="shared" si="79"/>
        <v>0</v>
      </c>
      <c r="AN2034" s="18" t="s">
        <v>921</v>
      </c>
      <c r="AO2034" s="18" t="s">
        <v>880</v>
      </c>
      <c r="AP2034" s="18" t="s">
        <v>831</v>
      </c>
    </row>
    <row r="2035" spans="1:42" s="18" customFormat="1" x14ac:dyDescent="0.3">
      <c r="A2035" s="18" t="s">
        <v>1454</v>
      </c>
      <c r="B2035" s="18" t="s">
        <v>6438</v>
      </c>
      <c r="C2035" s="18">
        <v>101</v>
      </c>
      <c r="D2035" s="283" t="s">
        <v>6440</v>
      </c>
      <c r="E2035" s="18" t="s">
        <v>6557</v>
      </c>
      <c r="F2035" s="18" t="s">
        <v>6558</v>
      </c>
      <c r="G2035" s="156" t="s">
        <v>6619</v>
      </c>
      <c r="H2035" s="157" t="s">
        <v>6620</v>
      </c>
      <c r="K2035" s="156" t="s">
        <v>6625</v>
      </c>
      <c r="L2035" s="18" t="s">
        <v>6626</v>
      </c>
      <c r="M2035" s="18" t="s">
        <v>6627</v>
      </c>
      <c r="N2035" s="18">
        <v>1100</v>
      </c>
      <c r="O2035" s="18">
        <v>2300</v>
      </c>
      <c r="P2035" s="16">
        <v>3500</v>
      </c>
      <c r="Q2035" s="16">
        <v>4700</v>
      </c>
      <c r="R2035" s="16">
        <v>5900</v>
      </c>
      <c r="S2035" s="16">
        <v>7100</v>
      </c>
      <c r="T2035" s="18" t="s">
        <v>570</v>
      </c>
      <c r="U2035" s="283" t="s">
        <v>2875</v>
      </c>
      <c r="V2035" s="18" t="s">
        <v>6628</v>
      </c>
      <c r="W2035" s="18">
        <v>1</v>
      </c>
      <c r="X2035" s="18">
        <v>1</v>
      </c>
      <c r="Y2035" s="18">
        <v>0</v>
      </c>
      <c r="Z2035" s="18">
        <v>1</v>
      </c>
      <c r="AA2035" s="18">
        <v>1</v>
      </c>
      <c r="AB2035" s="18">
        <v>0</v>
      </c>
      <c r="AC2035" s="316">
        <v>1</v>
      </c>
      <c r="AD2035" s="316">
        <v>1</v>
      </c>
      <c r="AE2035" s="302">
        <f t="shared" si="80"/>
        <v>0.75</v>
      </c>
      <c r="AF2035" s="176"/>
      <c r="AG2035" s="17">
        <v>0</v>
      </c>
      <c r="AH2035" s="176">
        <v>0</v>
      </c>
      <c r="AI2035" s="176">
        <v>0.1</v>
      </c>
      <c r="AJ2035" s="176">
        <v>0.1</v>
      </c>
      <c r="AK2035" s="177"/>
      <c r="AL2035" s="177"/>
      <c r="AM2035" s="147">
        <f t="shared" si="79"/>
        <v>0</v>
      </c>
      <c r="AN2035" s="18" t="s">
        <v>921</v>
      </c>
      <c r="AO2035" s="18" t="s">
        <v>880</v>
      </c>
      <c r="AP2035" s="18" t="s">
        <v>119</v>
      </c>
    </row>
    <row r="2036" spans="1:42" s="18" customFormat="1" x14ac:dyDescent="0.3">
      <c r="A2036" s="18" t="s">
        <v>1454</v>
      </c>
      <c r="B2036" s="18" t="s">
        <v>6438</v>
      </c>
      <c r="C2036" s="18">
        <v>101</v>
      </c>
      <c r="D2036" s="283" t="s">
        <v>6440</v>
      </c>
      <c r="E2036" s="18" t="s">
        <v>6557</v>
      </c>
      <c r="F2036" s="18" t="s">
        <v>6558</v>
      </c>
      <c r="G2036" s="156" t="s">
        <v>6619</v>
      </c>
      <c r="H2036" s="157" t="s">
        <v>6620</v>
      </c>
      <c r="K2036" s="156" t="s">
        <v>6625</v>
      </c>
      <c r="L2036" s="18" t="s">
        <v>6626</v>
      </c>
      <c r="M2036" s="18" t="s">
        <v>6627</v>
      </c>
      <c r="P2036" s="16"/>
      <c r="Q2036" s="16"/>
      <c r="R2036" s="16"/>
      <c r="S2036" s="16"/>
      <c r="U2036" s="283" t="e">
        <v>#N/A</v>
      </c>
      <c r="V2036" s="18" t="s">
        <v>6629</v>
      </c>
      <c r="W2036" s="18">
        <v>1</v>
      </c>
      <c r="X2036" s="18">
        <v>1</v>
      </c>
      <c r="Y2036" s="18">
        <v>1</v>
      </c>
      <c r="Z2036" s="18">
        <v>0</v>
      </c>
      <c r="AA2036" s="18">
        <v>1</v>
      </c>
      <c r="AB2036" s="18">
        <v>1</v>
      </c>
      <c r="AC2036" s="316">
        <v>1</v>
      </c>
      <c r="AD2036" s="316">
        <v>1</v>
      </c>
      <c r="AE2036" s="302">
        <f t="shared" si="80"/>
        <v>0.875</v>
      </c>
      <c r="AF2036" s="176"/>
      <c r="AG2036" s="17">
        <v>0</v>
      </c>
      <c r="AH2036" s="176">
        <v>0.1</v>
      </c>
      <c r="AI2036" s="176">
        <v>0.2</v>
      </c>
      <c r="AJ2036" s="176">
        <v>0.2</v>
      </c>
      <c r="AK2036" s="177"/>
      <c r="AL2036" s="177">
        <v>0.1</v>
      </c>
      <c r="AM2036" s="147">
        <f t="shared" si="79"/>
        <v>0.1</v>
      </c>
      <c r="AN2036" s="18" t="s">
        <v>921</v>
      </c>
      <c r="AO2036" s="18" t="s">
        <v>880</v>
      </c>
      <c r="AP2036" s="18" t="s">
        <v>119</v>
      </c>
    </row>
    <row r="2037" spans="1:42" s="18" customFormat="1" x14ac:dyDescent="0.3">
      <c r="A2037" s="18" t="s">
        <v>1454</v>
      </c>
      <c r="B2037" s="18" t="s">
        <v>6438</v>
      </c>
      <c r="C2037" s="18">
        <v>101</v>
      </c>
      <c r="D2037" s="283" t="s">
        <v>6440</v>
      </c>
      <c r="E2037" s="18" t="s">
        <v>6557</v>
      </c>
      <c r="F2037" s="18" t="s">
        <v>6558</v>
      </c>
      <c r="G2037" s="156" t="s">
        <v>6619</v>
      </c>
      <c r="H2037" s="157" t="s">
        <v>6620</v>
      </c>
      <c r="K2037" s="156" t="s">
        <v>6625</v>
      </c>
      <c r="L2037" s="18" t="s">
        <v>6626</v>
      </c>
      <c r="M2037" s="18" t="s">
        <v>6627</v>
      </c>
      <c r="P2037" s="16"/>
      <c r="Q2037" s="16"/>
      <c r="R2037" s="16"/>
      <c r="S2037" s="16"/>
      <c r="U2037" s="283" t="e">
        <v>#N/A</v>
      </c>
      <c r="V2037" s="18" t="s">
        <v>6630</v>
      </c>
      <c r="W2037" s="18">
        <v>1</v>
      </c>
      <c r="X2037" s="18">
        <v>0</v>
      </c>
      <c r="Y2037" s="18">
        <v>0</v>
      </c>
      <c r="Z2037" s="18">
        <v>1</v>
      </c>
      <c r="AA2037" s="18">
        <v>1</v>
      </c>
      <c r="AB2037" s="18">
        <v>1</v>
      </c>
      <c r="AC2037" s="316">
        <v>1</v>
      </c>
      <c r="AD2037" s="316">
        <v>1</v>
      </c>
      <c r="AE2037" s="302">
        <f t="shared" si="80"/>
        <v>0.75</v>
      </c>
      <c r="AF2037" s="176"/>
      <c r="AG2037" s="17">
        <v>0</v>
      </c>
      <c r="AH2037" s="176">
        <v>0</v>
      </c>
      <c r="AI2037" s="176">
        <v>0</v>
      </c>
      <c r="AJ2037" s="176">
        <v>0</v>
      </c>
      <c r="AK2037" s="177">
        <v>3</v>
      </c>
      <c r="AL2037" s="177">
        <v>2</v>
      </c>
      <c r="AM2037" s="147">
        <f t="shared" si="79"/>
        <v>5</v>
      </c>
      <c r="AN2037" s="18" t="s">
        <v>570</v>
      </c>
      <c r="AO2037" s="18" t="s">
        <v>2875</v>
      </c>
      <c r="AP2037" s="18" t="s">
        <v>921</v>
      </c>
    </row>
    <row r="2038" spans="1:42" s="18" customFormat="1" x14ac:dyDescent="0.3">
      <c r="A2038" s="18" t="s">
        <v>1454</v>
      </c>
      <c r="B2038" s="18" t="s">
        <v>6438</v>
      </c>
      <c r="C2038" s="18">
        <v>101</v>
      </c>
      <c r="D2038" s="283" t="s">
        <v>6440</v>
      </c>
      <c r="E2038" s="18" t="s">
        <v>6557</v>
      </c>
      <c r="F2038" s="18" t="s">
        <v>6558</v>
      </c>
      <c r="G2038" s="156" t="s">
        <v>6619</v>
      </c>
      <c r="H2038" s="157" t="s">
        <v>6620</v>
      </c>
      <c r="K2038" s="156" t="s">
        <v>6625</v>
      </c>
      <c r="L2038" s="18" t="s">
        <v>6626</v>
      </c>
      <c r="M2038" s="18" t="s">
        <v>6627</v>
      </c>
      <c r="P2038" s="16"/>
      <c r="Q2038" s="16"/>
      <c r="R2038" s="16"/>
      <c r="S2038" s="16"/>
      <c r="U2038" s="283" t="e">
        <v>#N/A</v>
      </c>
      <c r="V2038" s="18" t="s">
        <v>6631</v>
      </c>
      <c r="W2038" s="18">
        <v>1</v>
      </c>
      <c r="X2038" s="18">
        <v>1</v>
      </c>
      <c r="Y2038" s="18">
        <v>0</v>
      </c>
      <c r="Z2038" s="18">
        <v>0</v>
      </c>
      <c r="AA2038" s="18">
        <v>1</v>
      </c>
      <c r="AB2038" s="18">
        <v>1</v>
      </c>
      <c r="AC2038" s="316">
        <v>0</v>
      </c>
      <c r="AD2038" s="316">
        <v>1</v>
      </c>
      <c r="AE2038" s="302">
        <f t="shared" si="80"/>
        <v>0.625</v>
      </c>
      <c r="AF2038" s="176"/>
      <c r="AG2038" s="17">
        <v>0</v>
      </c>
      <c r="AH2038" s="176">
        <v>152.91920129850541</v>
      </c>
      <c r="AI2038" s="176">
        <v>152.91920129850541</v>
      </c>
      <c r="AJ2038" s="176">
        <v>177.66447529360846</v>
      </c>
      <c r="AK2038" s="177">
        <v>0</v>
      </c>
      <c r="AL2038" s="177">
        <v>0</v>
      </c>
      <c r="AM2038" s="147">
        <f t="shared" si="79"/>
        <v>0</v>
      </c>
      <c r="AN2038" s="18" t="s">
        <v>570</v>
      </c>
      <c r="AO2038" s="18" t="s">
        <v>2875</v>
      </c>
      <c r="AP2038" s="18" t="s">
        <v>921</v>
      </c>
    </row>
    <row r="2039" spans="1:42" s="18" customFormat="1" x14ac:dyDescent="0.3">
      <c r="A2039" s="18" t="s">
        <v>1454</v>
      </c>
      <c r="B2039" s="18" t="s">
        <v>6438</v>
      </c>
      <c r="C2039" s="18">
        <v>101</v>
      </c>
      <c r="D2039" s="283" t="s">
        <v>6440</v>
      </c>
      <c r="E2039" s="18" t="s">
        <v>6557</v>
      </c>
      <c r="F2039" s="18" t="s">
        <v>6558</v>
      </c>
      <c r="G2039" s="156" t="s">
        <v>6619</v>
      </c>
      <c r="H2039" s="157" t="s">
        <v>6620</v>
      </c>
      <c r="K2039" s="156" t="s">
        <v>6625</v>
      </c>
      <c r="L2039" s="18" t="s">
        <v>6626</v>
      </c>
      <c r="M2039" s="18" t="s">
        <v>6627</v>
      </c>
      <c r="P2039" s="16"/>
      <c r="Q2039" s="16"/>
      <c r="R2039" s="16"/>
      <c r="S2039" s="16"/>
      <c r="U2039" s="283" t="e">
        <v>#N/A</v>
      </c>
      <c r="V2039" s="18" t="s">
        <v>6632</v>
      </c>
      <c r="W2039" s="18">
        <v>1</v>
      </c>
      <c r="X2039" s="18">
        <v>1</v>
      </c>
      <c r="Y2039" s="18">
        <v>0</v>
      </c>
      <c r="Z2039" s="18">
        <v>0</v>
      </c>
      <c r="AA2039" s="18">
        <v>1</v>
      </c>
      <c r="AB2039" s="18">
        <v>1</v>
      </c>
      <c r="AC2039" s="316">
        <v>1</v>
      </c>
      <c r="AD2039" s="316">
        <v>1</v>
      </c>
      <c r="AE2039" s="302">
        <f t="shared" si="80"/>
        <v>0.75</v>
      </c>
      <c r="AF2039" s="176"/>
      <c r="AG2039" s="17">
        <v>0</v>
      </c>
      <c r="AH2039" s="176">
        <v>0</v>
      </c>
      <c r="AI2039" s="176">
        <v>1</v>
      </c>
      <c r="AJ2039" s="176">
        <v>0.2</v>
      </c>
      <c r="AK2039" s="177"/>
      <c r="AL2039" s="177"/>
      <c r="AM2039" s="147">
        <f t="shared" si="79"/>
        <v>0</v>
      </c>
      <c r="AN2039" s="18" t="s">
        <v>570</v>
      </c>
      <c r="AO2039" s="18" t="s">
        <v>2875</v>
      </c>
      <c r="AP2039" s="18" t="s">
        <v>921</v>
      </c>
    </row>
    <row r="2040" spans="1:42" s="18" customFormat="1" x14ac:dyDescent="0.3">
      <c r="A2040" s="18" t="s">
        <v>1454</v>
      </c>
      <c r="B2040" s="18" t="s">
        <v>6438</v>
      </c>
      <c r="C2040" s="18">
        <v>101</v>
      </c>
      <c r="D2040" s="283" t="s">
        <v>6440</v>
      </c>
      <c r="E2040" s="18" t="s">
        <v>6557</v>
      </c>
      <c r="F2040" s="18" t="s">
        <v>6558</v>
      </c>
      <c r="G2040" s="156" t="s">
        <v>6619</v>
      </c>
      <c r="H2040" s="157" t="s">
        <v>6620</v>
      </c>
      <c r="K2040" s="156" t="s">
        <v>6625</v>
      </c>
      <c r="L2040" s="18" t="s">
        <v>6626</v>
      </c>
      <c r="M2040" s="18" t="s">
        <v>6627</v>
      </c>
      <c r="P2040" s="16"/>
      <c r="Q2040" s="16"/>
      <c r="R2040" s="16"/>
      <c r="S2040" s="16"/>
      <c r="U2040" s="283" t="e">
        <v>#N/A</v>
      </c>
      <c r="V2040" s="18" t="s">
        <v>6633</v>
      </c>
      <c r="W2040" s="18">
        <v>1</v>
      </c>
      <c r="X2040" s="18">
        <v>1</v>
      </c>
      <c r="Y2040" s="18">
        <v>0</v>
      </c>
      <c r="Z2040" s="18">
        <v>1</v>
      </c>
      <c r="AA2040" s="18">
        <v>1</v>
      </c>
      <c r="AB2040" s="18">
        <v>1</v>
      </c>
      <c r="AC2040" s="316">
        <v>0</v>
      </c>
      <c r="AD2040" s="316">
        <v>1</v>
      </c>
      <c r="AE2040" s="302">
        <f t="shared" si="80"/>
        <v>0.75</v>
      </c>
      <c r="AF2040" s="176"/>
      <c r="AG2040" s="17">
        <v>0</v>
      </c>
      <c r="AH2040" s="176">
        <v>0</v>
      </c>
      <c r="AI2040" s="176">
        <v>0.3</v>
      </c>
      <c r="AJ2040" s="176">
        <v>0</v>
      </c>
      <c r="AK2040" s="177">
        <v>0</v>
      </c>
      <c r="AL2040" s="177"/>
      <c r="AM2040" s="147">
        <f t="shared" si="79"/>
        <v>0</v>
      </c>
      <c r="AN2040" s="18" t="s">
        <v>570</v>
      </c>
      <c r="AO2040" s="18" t="s">
        <v>2875</v>
      </c>
      <c r="AP2040" s="18" t="s">
        <v>6634</v>
      </c>
    </row>
    <row r="2041" spans="1:42" s="18" customFormat="1" x14ac:dyDescent="0.3">
      <c r="A2041" s="18" t="s">
        <v>1454</v>
      </c>
      <c r="B2041" s="18" t="s">
        <v>6438</v>
      </c>
      <c r="C2041" s="18">
        <v>101</v>
      </c>
      <c r="D2041" s="283" t="s">
        <v>6440</v>
      </c>
      <c r="E2041" s="18" t="s">
        <v>6557</v>
      </c>
      <c r="F2041" s="18" t="s">
        <v>6558</v>
      </c>
      <c r="G2041" s="156" t="s">
        <v>6619</v>
      </c>
      <c r="H2041" s="157" t="s">
        <v>6620</v>
      </c>
      <c r="K2041" s="156" t="s">
        <v>6625</v>
      </c>
      <c r="L2041" s="18" t="s">
        <v>6626</v>
      </c>
      <c r="M2041" s="18" t="s">
        <v>6627</v>
      </c>
      <c r="P2041" s="16"/>
      <c r="Q2041" s="16"/>
      <c r="R2041" s="16"/>
      <c r="S2041" s="16"/>
      <c r="U2041" s="283" t="e">
        <v>#N/A</v>
      </c>
      <c r="V2041" s="18" t="s">
        <v>6635</v>
      </c>
      <c r="W2041" s="18">
        <v>1</v>
      </c>
      <c r="X2041" s="18">
        <v>0</v>
      </c>
      <c r="Y2041" s="18">
        <v>0</v>
      </c>
      <c r="Z2041" s="18">
        <v>1</v>
      </c>
      <c r="AA2041" s="18">
        <v>1</v>
      </c>
      <c r="AB2041" s="18">
        <v>1</v>
      </c>
      <c r="AC2041" s="316">
        <v>0</v>
      </c>
      <c r="AD2041" s="316">
        <v>1</v>
      </c>
      <c r="AE2041" s="302">
        <f t="shared" si="80"/>
        <v>0.625</v>
      </c>
      <c r="AF2041" s="176"/>
      <c r="AG2041" s="17">
        <v>0</v>
      </c>
      <c r="AH2041" s="176">
        <v>0</v>
      </c>
      <c r="AI2041" s="176">
        <v>0</v>
      </c>
      <c r="AJ2041" s="176">
        <v>0.2</v>
      </c>
      <c r="AK2041" s="177">
        <v>0</v>
      </c>
      <c r="AL2041" s="177">
        <v>0</v>
      </c>
      <c r="AM2041" s="147">
        <f t="shared" si="79"/>
        <v>0</v>
      </c>
      <c r="AN2041" s="18" t="s">
        <v>570</v>
      </c>
      <c r="AO2041" s="18" t="s">
        <v>2875</v>
      </c>
      <c r="AP2041" s="18" t="s">
        <v>6636</v>
      </c>
    </row>
    <row r="2042" spans="1:42" s="18" customFormat="1" x14ac:dyDescent="0.3">
      <c r="A2042" s="18" t="s">
        <v>1454</v>
      </c>
      <c r="B2042" s="18" t="s">
        <v>6438</v>
      </c>
      <c r="C2042" s="18">
        <v>101</v>
      </c>
      <c r="D2042" s="283" t="s">
        <v>6440</v>
      </c>
      <c r="E2042" s="18" t="s">
        <v>6557</v>
      </c>
      <c r="F2042" s="18" t="s">
        <v>6558</v>
      </c>
      <c r="G2042" s="156" t="s">
        <v>6619</v>
      </c>
      <c r="H2042" s="157" t="s">
        <v>6620</v>
      </c>
      <c r="K2042" s="156" t="s">
        <v>6625</v>
      </c>
      <c r="L2042" s="18" t="s">
        <v>6626</v>
      </c>
      <c r="M2042" s="18" t="s">
        <v>6627</v>
      </c>
      <c r="P2042" s="16"/>
      <c r="Q2042" s="16"/>
      <c r="R2042" s="16"/>
      <c r="S2042" s="16"/>
      <c r="U2042" s="283" t="e">
        <v>#N/A</v>
      </c>
      <c r="V2042" s="18" t="s">
        <v>6637</v>
      </c>
      <c r="W2042" s="18">
        <v>1</v>
      </c>
      <c r="X2042" s="18">
        <v>1</v>
      </c>
      <c r="Y2042" s="18">
        <v>0</v>
      </c>
      <c r="Z2042" s="18">
        <v>1</v>
      </c>
      <c r="AA2042" s="18">
        <v>1</v>
      </c>
      <c r="AB2042" s="18">
        <v>1</v>
      </c>
      <c r="AC2042" s="316">
        <v>0</v>
      </c>
      <c r="AD2042" s="316">
        <v>1</v>
      </c>
      <c r="AE2042" s="302">
        <f t="shared" si="80"/>
        <v>0.75</v>
      </c>
      <c r="AF2042" s="176"/>
      <c r="AG2042" s="17">
        <v>0</v>
      </c>
      <c r="AH2042" s="176">
        <v>90</v>
      </c>
      <c r="AI2042" s="176">
        <v>90</v>
      </c>
      <c r="AJ2042" s="176">
        <v>90</v>
      </c>
      <c r="AK2042" s="177">
        <v>50</v>
      </c>
      <c r="AL2042" s="177">
        <v>50</v>
      </c>
      <c r="AM2042" s="147">
        <f t="shared" ref="AM2042:AM2073" si="81">SUM(AK2042:AL2042)</f>
        <v>100</v>
      </c>
      <c r="AN2042" s="18" t="s">
        <v>921</v>
      </c>
      <c r="AO2042" s="18" t="s">
        <v>880</v>
      </c>
      <c r="AP2042" s="18" t="s">
        <v>119</v>
      </c>
    </row>
    <row r="2043" spans="1:42" s="18" customFormat="1" x14ac:dyDescent="0.3">
      <c r="A2043" s="18" t="s">
        <v>1454</v>
      </c>
      <c r="B2043" s="18" t="s">
        <v>6438</v>
      </c>
      <c r="C2043" s="18">
        <v>101</v>
      </c>
      <c r="D2043" s="283" t="s">
        <v>6440</v>
      </c>
      <c r="E2043" s="18" t="s">
        <v>6557</v>
      </c>
      <c r="F2043" s="18" t="s">
        <v>6558</v>
      </c>
      <c r="G2043" s="156" t="s">
        <v>6638</v>
      </c>
      <c r="H2043" s="18" t="s">
        <v>6639</v>
      </c>
      <c r="K2043" s="156" t="s">
        <v>6640</v>
      </c>
      <c r="L2043" s="18" t="s">
        <v>6641</v>
      </c>
      <c r="M2043" s="18" t="s">
        <v>6642</v>
      </c>
      <c r="N2043" s="18">
        <v>0</v>
      </c>
      <c r="O2043" s="18">
        <v>0</v>
      </c>
      <c r="P2043" s="16">
        <v>2</v>
      </c>
      <c r="Q2043" s="16">
        <v>7</v>
      </c>
      <c r="R2043" s="16">
        <v>15</v>
      </c>
      <c r="S2043" s="16">
        <v>20</v>
      </c>
      <c r="T2043" s="18" t="s">
        <v>570</v>
      </c>
      <c r="U2043" s="283" t="s">
        <v>2875</v>
      </c>
      <c r="V2043" s="18" t="s">
        <v>6643</v>
      </c>
      <c r="W2043" s="18">
        <v>1</v>
      </c>
      <c r="X2043" s="18">
        <v>1</v>
      </c>
      <c r="Y2043" s="18">
        <v>1</v>
      </c>
      <c r="Z2043" s="18">
        <v>1</v>
      </c>
      <c r="AA2043" s="18">
        <v>0</v>
      </c>
      <c r="AB2043" s="18">
        <v>0</v>
      </c>
      <c r="AC2043" s="316">
        <v>0</v>
      </c>
      <c r="AD2043" s="316">
        <v>1</v>
      </c>
      <c r="AE2043" s="302">
        <f t="shared" si="80"/>
        <v>0.625</v>
      </c>
      <c r="AF2043" s="176"/>
      <c r="AG2043" s="17">
        <v>0</v>
      </c>
      <c r="AH2043" s="176">
        <v>0</v>
      </c>
      <c r="AI2043" s="176">
        <v>0</v>
      </c>
      <c r="AJ2043" s="176">
        <v>0</v>
      </c>
      <c r="AK2043" s="177">
        <v>0</v>
      </c>
      <c r="AL2043" s="177">
        <v>0</v>
      </c>
      <c r="AM2043" s="147">
        <f t="shared" si="81"/>
        <v>0</v>
      </c>
      <c r="AN2043" s="18" t="s">
        <v>570</v>
      </c>
      <c r="AO2043" s="18" t="s">
        <v>2875</v>
      </c>
      <c r="AP2043" s="18" t="s">
        <v>6596</v>
      </c>
    </row>
    <row r="2044" spans="1:42" s="18" customFormat="1" x14ac:dyDescent="0.3">
      <c r="A2044" s="18" t="s">
        <v>1454</v>
      </c>
      <c r="B2044" s="18" t="s">
        <v>6438</v>
      </c>
      <c r="C2044" s="18">
        <v>101</v>
      </c>
      <c r="D2044" s="283" t="s">
        <v>6440</v>
      </c>
      <c r="E2044" s="18" t="s">
        <v>6557</v>
      </c>
      <c r="F2044" s="18" t="s">
        <v>6558</v>
      </c>
      <c r="G2044" s="156" t="s">
        <v>6638</v>
      </c>
      <c r="H2044" s="18" t="s">
        <v>6639</v>
      </c>
      <c r="K2044" s="156" t="s">
        <v>6640</v>
      </c>
      <c r="L2044" s="18" t="s">
        <v>6641</v>
      </c>
      <c r="M2044" s="18" t="s">
        <v>6644</v>
      </c>
      <c r="N2044" s="18">
        <v>1100</v>
      </c>
      <c r="O2044" s="18">
        <v>1100</v>
      </c>
      <c r="P2044" s="16">
        <v>2300</v>
      </c>
      <c r="Q2044" s="16">
        <v>3500</v>
      </c>
      <c r="R2044" s="16">
        <v>4700</v>
      </c>
      <c r="S2044" s="16">
        <v>5900</v>
      </c>
      <c r="T2044" s="18" t="s">
        <v>570</v>
      </c>
      <c r="U2044" s="283" t="s">
        <v>2875</v>
      </c>
      <c r="V2044" s="18" t="s">
        <v>6645</v>
      </c>
      <c r="W2044" s="18">
        <v>1</v>
      </c>
      <c r="X2044" s="18">
        <v>1</v>
      </c>
      <c r="Y2044" s="18">
        <v>0</v>
      </c>
      <c r="Z2044" s="18">
        <v>0</v>
      </c>
      <c r="AA2044" s="18">
        <v>1</v>
      </c>
      <c r="AB2044" s="18">
        <v>0</v>
      </c>
      <c r="AC2044" s="316">
        <v>1</v>
      </c>
      <c r="AD2044" s="316">
        <v>1</v>
      </c>
      <c r="AE2044" s="302">
        <f t="shared" si="80"/>
        <v>0.625</v>
      </c>
      <c r="AF2044" s="176"/>
      <c r="AG2044" s="17">
        <v>0</v>
      </c>
      <c r="AH2044" s="176">
        <v>0</v>
      </c>
      <c r="AI2044" s="176">
        <v>0</v>
      </c>
      <c r="AJ2044" s="176">
        <v>0</v>
      </c>
      <c r="AK2044" s="177"/>
      <c r="AL2044" s="177"/>
      <c r="AM2044" s="147">
        <f t="shared" si="81"/>
        <v>0</v>
      </c>
      <c r="AN2044" s="18" t="s">
        <v>570</v>
      </c>
      <c r="AO2044" s="18" t="s">
        <v>2875</v>
      </c>
      <c r="AP2044" s="18" t="s">
        <v>6646</v>
      </c>
    </row>
    <row r="2045" spans="1:42" s="18" customFormat="1" x14ac:dyDescent="0.3">
      <c r="A2045" s="18" t="s">
        <v>1454</v>
      </c>
      <c r="B2045" s="18" t="s">
        <v>6438</v>
      </c>
      <c r="C2045" s="18">
        <v>101</v>
      </c>
      <c r="D2045" s="283" t="s">
        <v>6440</v>
      </c>
      <c r="E2045" s="18" t="s">
        <v>6557</v>
      </c>
      <c r="F2045" s="18" t="s">
        <v>6558</v>
      </c>
      <c r="G2045" s="156" t="s">
        <v>6638</v>
      </c>
      <c r="H2045" s="18" t="s">
        <v>6639</v>
      </c>
      <c r="K2045" s="156" t="s">
        <v>6640</v>
      </c>
      <c r="L2045" s="18" t="s">
        <v>6641</v>
      </c>
      <c r="M2045" s="18" t="s">
        <v>6644</v>
      </c>
      <c r="P2045" s="16"/>
      <c r="Q2045" s="16"/>
      <c r="R2045" s="16"/>
      <c r="S2045" s="16"/>
      <c r="U2045" s="283" t="e">
        <v>#N/A</v>
      </c>
      <c r="V2045" s="18" t="s">
        <v>6647</v>
      </c>
      <c r="W2045" s="18">
        <v>0</v>
      </c>
      <c r="X2045" s="18">
        <v>1</v>
      </c>
      <c r="Y2045" s="18">
        <v>0</v>
      </c>
      <c r="Z2045" s="18">
        <v>1</v>
      </c>
      <c r="AA2045" s="18">
        <v>0</v>
      </c>
      <c r="AB2045" s="18">
        <v>0</v>
      </c>
      <c r="AC2045" s="316">
        <v>1</v>
      </c>
      <c r="AD2045" s="316">
        <v>1</v>
      </c>
      <c r="AE2045" s="302">
        <f t="shared" ref="AE2045:AE2076" si="82">SUM(W2045:AD2045)/8</f>
        <v>0.5</v>
      </c>
      <c r="AF2045" s="176"/>
      <c r="AG2045" s="17">
        <v>0</v>
      </c>
      <c r="AH2045" s="176">
        <v>0</v>
      </c>
      <c r="AI2045" s="176">
        <v>0</v>
      </c>
      <c r="AJ2045" s="176">
        <v>0</v>
      </c>
      <c r="AK2045" s="177">
        <v>0</v>
      </c>
      <c r="AL2045" s="177">
        <v>0</v>
      </c>
      <c r="AM2045" s="147">
        <f t="shared" si="81"/>
        <v>0</v>
      </c>
      <c r="AN2045" s="18" t="s">
        <v>570</v>
      </c>
      <c r="AO2045" s="18" t="s">
        <v>2875</v>
      </c>
      <c r="AP2045" s="18" t="s">
        <v>6648</v>
      </c>
    </row>
    <row r="2046" spans="1:42" s="18" customFormat="1" x14ac:dyDescent="0.3">
      <c r="A2046" s="18" t="s">
        <v>1454</v>
      </c>
      <c r="B2046" s="18" t="s">
        <v>6438</v>
      </c>
      <c r="C2046" s="18">
        <v>101</v>
      </c>
      <c r="D2046" s="283" t="s">
        <v>6440</v>
      </c>
      <c r="E2046" s="18" t="s">
        <v>6557</v>
      </c>
      <c r="F2046" s="18" t="s">
        <v>6558</v>
      </c>
      <c r="G2046" s="156" t="s">
        <v>6638</v>
      </c>
      <c r="H2046" s="18" t="s">
        <v>6639</v>
      </c>
      <c r="K2046" s="156" t="s">
        <v>6640</v>
      </c>
      <c r="L2046" s="18" t="s">
        <v>6641</v>
      </c>
      <c r="M2046" s="18" t="s">
        <v>6644</v>
      </c>
      <c r="P2046" s="16"/>
      <c r="Q2046" s="16"/>
      <c r="R2046" s="16"/>
      <c r="S2046" s="16"/>
      <c r="U2046" s="283" t="e">
        <v>#N/A</v>
      </c>
      <c r="V2046" s="18" t="s">
        <v>6649</v>
      </c>
      <c r="W2046" s="18">
        <v>1</v>
      </c>
      <c r="X2046" s="18">
        <v>0</v>
      </c>
      <c r="Y2046" s="18">
        <v>1</v>
      </c>
      <c r="Z2046" s="18">
        <v>0</v>
      </c>
      <c r="AA2046" s="18">
        <v>1</v>
      </c>
      <c r="AB2046" s="18">
        <v>1</v>
      </c>
      <c r="AC2046" s="316">
        <v>0</v>
      </c>
      <c r="AD2046" s="316">
        <v>1</v>
      </c>
      <c r="AE2046" s="302">
        <f t="shared" si="82"/>
        <v>0.625</v>
      </c>
      <c r="AF2046" s="176"/>
      <c r="AG2046" s="17">
        <v>0</v>
      </c>
      <c r="AH2046" s="176">
        <v>0.1</v>
      </c>
      <c r="AI2046" s="176">
        <v>0.1</v>
      </c>
      <c r="AJ2046" s="176">
        <v>0.1</v>
      </c>
      <c r="AK2046" s="177"/>
      <c r="AL2046" s="177"/>
      <c r="AM2046" s="147">
        <f t="shared" si="81"/>
        <v>0</v>
      </c>
      <c r="AN2046" s="18" t="s">
        <v>570</v>
      </c>
      <c r="AO2046" s="18" t="s">
        <v>2875</v>
      </c>
      <c r="AP2046" s="18" t="s">
        <v>6646</v>
      </c>
    </row>
    <row r="2047" spans="1:42" s="18" customFormat="1" x14ac:dyDescent="0.3">
      <c r="A2047" s="18" t="s">
        <v>1454</v>
      </c>
      <c r="B2047" s="18" t="s">
        <v>6438</v>
      </c>
      <c r="C2047" s="18">
        <v>101</v>
      </c>
      <c r="D2047" s="283" t="s">
        <v>6440</v>
      </c>
      <c r="E2047" s="18" t="s">
        <v>6557</v>
      </c>
      <c r="F2047" s="18" t="s">
        <v>6558</v>
      </c>
      <c r="G2047" s="156" t="s">
        <v>6638</v>
      </c>
      <c r="H2047" s="18" t="s">
        <v>6639</v>
      </c>
      <c r="K2047" s="156" t="s">
        <v>6640</v>
      </c>
      <c r="L2047" s="18" t="s">
        <v>6641</v>
      </c>
      <c r="M2047" s="18" t="s">
        <v>6644</v>
      </c>
      <c r="P2047" s="16"/>
      <c r="Q2047" s="16"/>
      <c r="R2047" s="16"/>
      <c r="S2047" s="16"/>
      <c r="U2047" s="283" t="e">
        <v>#N/A</v>
      </c>
      <c r="V2047" s="18" t="s">
        <v>6650</v>
      </c>
      <c r="W2047" s="18">
        <v>1</v>
      </c>
      <c r="X2047" s="18">
        <v>0</v>
      </c>
      <c r="Y2047" s="18">
        <v>1</v>
      </c>
      <c r="Z2047" s="18">
        <v>0</v>
      </c>
      <c r="AA2047" s="18">
        <v>1</v>
      </c>
      <c r="AB2047" s="18">
        <v>1</v>
      </c>
      <c r="AC2047" s="316">
        <v>1</v>
      </c>
      <c r="AD2047" s="316">
        <v>1</v>
      </c>
      <c r="AE2047" s="302">
        <f t="shared" si="82"/>
        <v>0.75</v>
      </c>
      <c r="AF2047" s="176"/>
      <c r="AG2047" s="17">
        <v>0</v>
      </c>
      <c r="AH2047" s="176">
        <v>0</v>
      </c>
      <c r="AI2047" s="176">
        <v>0</v>
      </c>
      <c r="AJ2047" s="176">
        <v>0</v>
      </c>
      <c r="AK2047" s="177">
        <v>23.45</v>
      </c>
      <c r="AL2047" s="177">
        <v>53.5</v>
      </c>
      <c r="AM2047" s="147">
        <f t="shared" si="81"/>
        <v>76.95</v>
      </c>
      <c r="AN2047" s="18" t="s">
        <v>570</v>
      </c>
      <c r="AO2047" s="18" t="s">
        <v>2875</v>
      </c>
      <c r="AP2047" s="18" t="s">
        <v>6651</v>
      </c>
    </row>
    <row r="2048" spans="1:42" s="18" customFormat="1" x14ac:dyDescent="0.3">
      <c r="A2048" s="18" t="s">
        <v>1454</v>
      </c>
      <c r="B2048" s="18" t="s">
        <v>6438</v>
      </c>
      <c r="C2048" s="18">
        <v>101</v>
      </c>
      <c r="D2048" s="283" t="s">
        <v>6440</v>
      </c>
      <c r="E2048" s="18" t="s">
        <v>6557</v>
      </c>
      <c r="F2048" s="18" t="s">
        <v>6558</v>
      </c>
      <c r="G2048" s="156" t="s">
        <v>6638</v>
      </c>
      <c r="H2048" s="18" t="s">
        <v>6639</v>
      </c>
      <c r="K2048" s="156" t="s">
        <v>6640</v>
      </c>
      <c r="L2048" s="18" t="s">
        <v>6641</v>
      </c>
      <c r="M2048" s="18" t="s">
        <v>6644</v>
      </c>
      <c r="P2048" s="16"/>
      <c r="Q2048" s="16"/>
      <c r="R2048" s="16"/>
      <c r="S2048" s="16"/>
      <c r="U2048" s="283" t="e">
        <v>#N/A</v>
      </c>
      <c r="V2048" s="18" t="s">
        <v>6652</v>
      </c>
      <c r="W2048" s="18">
        <v>1</v>
      </c>
      <c r="X2048" s="18">
        <v>0</v>
      </c>
      <c r="Y2048" s="18">
        <v>1</v>
      </c>
      <c r="Z2048" s="18">
        <v>0</v>
      </c>
      <c r="AA2048" s="18">
        <v>0</v>
      </c>
      <c r="AB2048" s="18">
        <v>0</v>
      </c>
      <c r="AC2048" s="316">
        <v>1</v>
      </c>
      <c r="AD2048" s="316">
        <v>1</v>
      </c>
      <c r="AE2048" s="302">
        <f t="shared" si="82"/>
        <v>0.5</v>
      </c>
      <c r="AF2048" s="176"/>
      <c r="AG2048" s="17">
        <v>0</v>
      </c>
      <c r="AH2048" s="176">
        <v>0.5</v>
      </c>
      <c r="AI2048" s="176">
        <v>0.5</v>
      </c>
      <c r="AJ2048" s="176">
        <v>0.5</v>
      </c>
      <c r="AK2048" s="177"/>
      <c r="AL2048" s="177"/>
      <c r="AM2048" s="147">
        <f t="shared" si="81"/>
        <v>0</v>
      </c>
      <c r="AN2048" s="18" t="s">
        <v>570</v>
      </c>
      <c r="AO2048" s="18" t="s">
        <v>2875</v>
      </c>
      <c r="AP2048" s="18" t="s">
        <v>6651</v>
      </c>
    </row>
    <row r="2049" spans="1:42" s="18" customFormat="1" x14ac:dyDescent="0.3">
      <c r="A2049" s="18" t="s">
        <v>1454</v>
      </c>
      <c r="B2049" s="18" t="s">
        <v>6438</v>
      </c>
      <c r="C2049" s="18">
        <v>101</v>
      </c>
      <c r="D2049" s="283" t="s">
        <v>6440</v>
      </c>
      <c r="E2049" s="18" t="s">
        <v>6557</v>
      </c>
      <c r="F2049" s="18" t="s">
        <v>6558</v>
      </c>
      <c r="G2049" s="156" t="s">
        <v>6653</v>
      </c>
      <c r="H2049" s="18" t="s">
        <v>6654</v>
      </c>
      <c r="K2049" s="156" t="s">
        <v>6655</v>
      </c>
      <c r="L2049" s="18" t="s">
        <v>6656</v>
      </c>
      <c r="M2049" s="18" t="s">
        <v>6657</v>
      </c>
      <c r="N2049" s="18">
        <v>0</v>
      </c>
      <c r="O2049" s="18">
        <v>3</v>
      </c>
      <c r="P2049" s="16">
        <v>8</v>
      </c>
      <c r="Q2049" s="16">
        <v>15</v>
      </c>
      <c r="R2049" s="16">
        <v>21</v>
      </c>
      <c r="S2049" s="16">
        <v>25</v>
      </c>
      <c r="T2049" s="18" t="s">
        <v>570</v>
      </c>
      <c r="U2049" s="283" t="s">
        <v>2875</v>
      </c>
      <c r="V2049" s="18" t="s">
        <v>6658</v>
      </c>
      <c r="W2049" s="18">
        <v>1</v>
      </c>
      <c r="X2049" s="18">
        <v>0</v>
      </c>
      <c r="Y2049" s="18">
        <v>1</v>
      </c>
      <c r="Z2049" s="18">
        <v>0</v>
      </c>
      <c r="AA2049" s="18">
        <v>0</v>
      </c>
      <c r="AB2049" s="18">
        <v>0</v>
      </c>
      <c r="AC2049" s="316">
        <v>0</v>
      </c>
      <c r="AD2049" s="316">
        <v>0</v>
      </c>
      <c r="AE2049" s="302">
        <f t="shared" si="82"/>
        <v>0.25</v>
      </c>
      <c r="AF2049" s="176"/>
      <c r="AG2049" s="17">
        <v>0</v>
      </c>
      <c r="AH2049" s="176">
        <v>0</v>
      </c>
      <c r="AI2049" s="176">
        <v>3</v>
      </c>
      <c r="AJ2049" s="176">
        <v>1</v>
      </c>
      <c r="AK2049" s="177">
        <v>0</v>
      </c>
      <c r="AL2049" s="177">
        <v>0</v>
      </c>
      <c r="AM2049" s="147">
        <f t="shared" si="81"/>
        <v>0</v>
      </c>
      <c r="AN2049" s="18" t="s">
        <v>570</v>
      </c>
      <c r="AO2049" s="18" t="s">
        <v>2875</v>
      </c>
      <c r="AP2049" s="18" t="s">
        <v>6565</v>
      </c>
    </row>
    <row r="2050" spans="1:42" s="18" customFormat="1" x14ac:dyDescent="0.3">
      <c r="A2050" s="18" t="s">
        <v>1454</v>
      </c>
      <c r="B2050" s="18" t="s">
        <v>6438</v>
      </c>
      <c r="C2050" s="18">
        <v>101</v>
      </c>
      <c r="D2050" s="283" t="s">
        <v>6440</v>
      </c>
      <c r="E2050" s="18" t="s">
        <v>6557</v>
      </c>
      <c r="F2050" s="18" t="s">
        <v>6558</v>
      </c>
      <c r="G2050" s="156" t="s">
        <v>6653</v>
      </c>
      <c r="H2050" s="18" t="s">
        <v>6654</v>
      </c>
      <c r="K2050" s="156" t="s">
        <v>6655</v>
      </c>
      <c r="L2050" s="18" t="s">
        <v>6659</v>
      </c>
      <c r="M2050" s="18" t="s">
        <v>6660</v>
      </c>
      <c r="N2050" s="18">
        <v>0</v>
      </c>
      <c r="O2050" s="18">
        <v>0</v>
      </c>
      <c r="P2050" s="16">
        <v>2</v>
      </c>
      <c r="Q2050" s="16">
        <v>5</v>
      </c>
      <c r="R2050" s="16">
        <v>10</v>
      </c>
      <c r="S2050" s="16">
        <v>15</v>
      </c>
      <c r="T2050" s="18" t="s">
        <v>570</v>
      </c>
      <c r="U2050" s="283" t="s">
        <v>2875</v>
      </c>
      <c r="V2050" s="18" t="s">
        <v>6661</v>
      </c>
      <c r="W2050" s="18">
        <v>1</v>
      </c>
      <c r="X2050" s="18">
        <v>1</v>
      </c>
      <c r="Y2050" s="18">
        <v>0</v>
      </c>
      <c r="Z2050" s="18">
        <v>1</v>
      </c>
      <c r="AA2050" s="18">
        <v>1</v>
      </c>
      <c r="AB2050" s="18">
        <v>1</v>
      </c>
      <c r="AC2050" s="316">
        <v>1</v>
      </c>
      <c r="AD2050" s="316">
        <v>1</v>
      </c>
      <c r="AE2050" s="302">
        <f t="shared" si="82"/>
        <v>0.875</v>
      </c>
      <c r="AF2050" s="176"/>
      <c r="AG2050" s="17">
        <v>0</v>
      </c>
      <c r="AH2050" s="176">
        <v>0</v>
      </c>
      <c r="AI2050" s="176">
        <v>0</v>
      </c>
      <c r="AJ2050" s="176">
        <v>3</v>
      </c>
      <c r="AK2050" s="177">
        <v>12</v>
      </c>
      <c r="AL2050" s="177">
        <v>10</v>
      </c>
      <c r="AM2050" s="147">
        <f t="shared" si="81"/>
        <v>22</v>
      </c>
      <c r="AN2050" s="18" t="s">
        <v>570</v>
      </c>
      <c r="AO2050" s="18" t="s">
        <v>2875</v>
      </c>
      <c r="AP2050" s="18" t="s">
        <v>6565</v>
      </c>
    </row>
    <row r="2051" spans="1:42" s="18" customFormat="1" x14ac:dyDescent="0.3">
      <c r="A2051" s="18" t="s">
        <v>1454</v>
      </c>
      <c r="B2051" s="18" t="s">
        <v>6438</v>
      </c>
      <c r="C2051" s="18">
        <v>101</v>
      </c>
      <c r="D2051" s="283" t="s">
        <v>6440</v>
      </c>
      <c r="E2051" s="18" t="s">
        <v>6557</v>
      </c>
      <c r="F2051" s="18" t="s">
        <v>6558</v>
      </c>
      <c r="G2051" s="156" t="s">
        <v>6653</v>
      </c>
      <c r="H2051" s="18" t="s">
        <v>6654</v>
      </c>
      <c r="K2051" s="156" t="s">
        <v>6655</v>
      </c>
      <c r="L2051" s="18" t="s">
        <v>6659</v>
      </c>
      <c r="M2051" s="18" t="s">
        <v>6660</v>
      </c>
      <c r="P2051" s="16"/>
      <c r="Q2051" s="16"/>
      <c r="R2051" s="16"/>
      <c r="S2051" s="16"/>
      <c r="U2051" s="283" t="e">
        <v>#N/A</v>
      </c>
      <c r="V2051" s="18" t="s">
        <v>6662</v>
      </c>
      <c r="W2051" s="18">
        <v>0</v>
      </c>
      <c r="X2051" s="18">
        <v>0</v>
      </c>
      <c r="Y2051" s="18">
        <v>0</v>
      </c>
      <c r="Z2051" s="18">
        <v>1</v>
      </c>
      <c r="AA2051" s="18">
        <v>1</v>
      </c>
      <c r="AB2051" s="18">
        <v>0</v>
      </c>
      <c r="AC2051" s="316">
        <v>1</v>
      </c>
      <c r="AD2051" s="316">
        <v>1</v>
      </c>
      <c r="AE2051" s="302">
        <f t="shared" si="82"/>
        <v>0.5</v>
      </c>
      <c r="AF2051" s="176"/>
      <c r="AG2051" s="17">
        <v>0</v>
      </c>
      <c r="AH2051" s="176">
        <v>0</v>
      </c>
      <c r="AI2051" s="176">
        <v>0.08</v>
      </c>
      <c r="AJ2051" s="176">
        <v>0.15</v>
      </c>
      <c r="AK2051" s="177"/>
      <c r="AL2051" s="177"/>
      <c r="AM2051" s="147">
        <f t="shared" si="81"/>
        <v>0</v>
      </c>
      <c r="AN2051" s="18" t="s">
        <v>570</v>
      </c>
      <c r="AO2051" s="18" t="s">
        <v>2875</v>
      </c>
      <c r="AP2051" s="18" t="s">
        <v>6577</v>
      </c>
    </row>
    <row r="2052" spans="1:42" s="18" customFormat="1" x14ac:dyDescent="0.3">
      <c r="A2052" s="18" t="s">
        <v>1454</v>
      </c>
      <c r="B2052" s="18" t="s">
        <v>6438</v>
      </c>
      <c r="C2052" s="18">
        <v>101</v>
      </c>
      <c r="D2052" s="283" t="s">
        <v>6440</v>
      </c>
      <c r="E2052" s="18" t="s">
        <v>6557</v>
      </c>
      <c r="F2052" s="18" t="s">
        <v>6558</v>
      </c>
      <c r="G2052" s="156" t="s">
        <v>6653</v>
      </c>
      <c r="H2052" s="18" t="s">
        <v>6654</v>
      </c>
      <c r="K2052" s="156" t="s">
        <v>6655</v>
      </c>
      <c r="L2052" s="18" t="s">
        <v>6659</v>
      </c>
      <c r="M2052" s="18" t="s">
        <v>6660</v>
      </c>
      <c r="P2052" s="16"/>
      <c r="Q2052" s="16"/>
      <c r="R2052" s="16"/>
      <c r="S2052" s="16"/>
      <c r="U2052" s="283" t="e">
        <v>#N/A</v>
      </c>
      <c r="V2052" s="18" t="s">
        <v>6663</v>
      </c>
      <c r="W2052" s="18">
        <v>0</v>
      </c>
      <c r="X2052" s="18">
        <v>0</v>
      </c>
      <c r="Y2052" s="18" t="s">
        <v>6664</v>
      </c>
      <c r="Z2052" s="18">
        <v>1</v>
      </c>
      <c r="AA2052" s="18">
        <v>0</v>
      </c>
      <c r="AB2052" s="18">
        <v>0</v>
      </c>
      <c r="AC2052" s="316">
        <v>0</v>
      </c>
      <c r="AD2052" s="316">
        <v>0</v>
      </c>
      <c r="AE2052" s="302">
        <f t="shared" si="82"/>
        <v>0.125</v>
      </c>
      <c r="AF2052" s="176"/>
      <c r="AG2052" s="17">
        <v>0</v>
      </c>
      <c r="AH2052" s="176">
        <v>0</v>
      </c>
      <c r="AI2052" s="176">
        <v>0.08</v>
      </c>
      <c r="AJ2052" s="176">
        <v>0.15</v>
      </c>
      <c r="AK2052" s="177"/>
      <c r="AL2052" s="177"/>
      <c r="AM2052" s="147">
        <f t="shared" si="81"/>
        <v>0</v>
      </c>
      <c r="AN2052" s="18" t="s">
        <v>570</v>
      </c>
      <c r="AO2052" s="18" t="s">
        <v>2875</v>
      </c>
      <c r="AP2052" s="18" t="s">
        <v>6577</v>
      </c>
    </row>
    <row r="2053" spans="1:42" s="18" customFormat="1" x14ac:dyDescent="0.3">
      <c r="A2053" s="18" t="s">
        <v>1454</v>
      </c>
      <c r="B2053" s="18" t="s">
        <v>6438</v>
      </c>
      <c r="C2053" s="18">
        <v>101</v>
      </c>
      <c r="D2053" s="283" t="s">
        <v>6440</v>
      </c>
      <c r="E2053" s="18" t="s">
        <v>6557</v>
      </c>
      <c r="F2053" s="18" t="s">
        <v>6558</v>
      </c>
      <c r="G2053" s="156" t="s">
        <v>6653</v>
      </c>
      <c r="H2053" s="18" t="s">
        <v>6654</v>
      </c>
      <c r="K2053" s="156" t="s">
        <v>6655</v>
      </c>
      <c r="L2053" s="18" t="s">
        <v>6659</v>
      </c>
      <c r="M2053" s="18" t="s">
        <v>6660</v>
      </c>
      <c r="P2053" s="16"/>
      <c r="Q2053" s="16"/>
      <c r="R2053" s="16"/>
      <c r="S2053" s="16"/>
      <c r="U2053" s="283" t="e">
        <v>#N/A</v>
      </c>
      <c r="V2053" s="18" t="s">
        <v>6665</v>
      </c>
      <c r="W2053" s="18">
        <v>1</v>
      </c>
      <c r="X2053" s="18">
        <v>1</v>
      </c>
      <c r="Y2053" s="18">
        <v>1</v>
      </c>
      <c r="Z2053" s="18">
        <v>1</v>
      </c>
      <c r="AA2053" s="18">
        <v>1</v>
      </c>
      <c r="AB2053" s="18">
        <v>1</v>
      </c>
      <c r="AC2053" s="316">
        <v>1</v>
      </c>
      <c r="AD2053" s="316">
        <v>1</v>
      </c>
      <c r="AE2053" s="302">
        <f t="shared" si="82"/>
        <v>1</v>
      </c>
      <c r="AF2053" s="176"/>
      <c r="AG2053" s="17">
        <v>0</v>
      </c>
      <c r="AH2053" s="176">
        <v>0</v>
      </c>
      <c r="AI2053" s="176">
        <v>0.1</v>
      </c>
      <c r="AJ2053" s="176">
        <v>0.15</v>
      </c>
      <c r="AK2053" s="177">
        <v>10</v>
      </c>
      <c r="AL2053" s="177">
        <v>15</v>
      </c>
      <c r="AM2053" s="147">
        <f t="shared" si="81"/>
        <v>25</v>
      </c>
      <c r="AN2053" s="18" t="s">
        <v>570</v>
      </c>
      <c r="AO2053" s="18" t="s">
        <v>2875</v>
      </c>
      <c r="AP2053" s="18" t="s">
        <v>6565</v>
      </c>
    </row>
    <row r="2054" spans="1:42" s="18" customFormat="1" x14ac:dyDescent="0.3">
      <c r="A2054" s="18" t="s">
        <v>1454</v>
      </c>
      <c r="B2054" s="18" t="s">
        <v>6438</v>
      </c>
      <c r="C2054" s="18">
        <v>101</v>
      </c>
      <c r="D2054" s="283" t="s">
        <v>6440</v>
      </c>
      <c r="E2054" s="18" t="s">
        <v>6557</v>
      </c>
      <c r="F2054" s="18" t="s">
        <v>6558</v>
      </c>
      <c r="G2054" s="156" t="s">
        <v>6653</v>
      </c>
      <c r="H2054" s="18" t="s">
        <v>6654</v>
      </c>
      <c r="K2054" s="156" t="s">
        <v>6655</v>
      </c>
      <c r="L2054" s="18" t="s">
        <v>6659</v>
      </c>
      <c r="M2054" s="18" t="s">
        <v>6660</v>
      </c>
      <c r="P2054" s="16"/>
      <c r="Q2054" s="16"/>
      <c r="R2054" s="16"/>
      <c r="S2054" s="16"/>
      <c r="U2054" s="283" t="e">
        <v>#N/A</v>
      </c>
      <c r="V2054" s="18" t="s">
        <v>6666</v>
      </c>
      <c r="W2054" s="18">
        <v>1</v>
      </c>
      <c r="X2054" s="18">
        <v>0</v>
      </c>
      <c r="Y2054" s="18">
        <v>1</v>
      </c>
      <c r="Z2054" s="18">
        <v>0</v>
      </c>
      <c r="AA2054" s="18">
        <v>1</v>
      </c>
      <c r="AB2054" s="18">
        <v>1</v>
      </c>
      <c r="AC2054" s="316">
        <v>0</v>
      </c>
      <c r="AD2054" s="316">
        <v>1</v>
      </c>
      <c r="AE2054" s="302">
        <f t="shared" si="82"/>
        <v>0.625</v>
      </c>
      <c r="AF2054" s="176"/>
      <c r="AG2054" s="17">
        <v>0</v>
      </c>
      <c r="AH2054" s="176">
        <v>60</v>
      </c>
      <c r="AI2054" s="176">
        <v>38.392907402469518</v>
      </c>
      <c r="AJ2054" s="176">
        <v>60.05</v>
      </c>
      <c r="AK2054" s="177"/>
      <c r="AL2054" s="177"/>
      <c r="AM2054" s="147">
        <f t="shared" si="81"/>
        <v>0</v>
      </c>
      <c r="AN2054" s="18" t="s">
        <v>570</v>
      </c>
      <c r="AO2054" s="18" t="s">
        <v>2875</v>
      </c>
      <c r="AP2054" s="18" t="s">
        <v>6577</v>
      </c>
    </row>
    <row r="2055" spans="1:42" s="18" customFormat="1" x14ac:dyDescent="0.3">
      <c r="A2055" s="18" t="s">
        <v>1454</v>
      </c>
      <c r="B2055" s="18" t="s">
        <v>6438</v>
      </c>
      <c r="C2055" s="18">
        <v>101</v>
      </c>
      <c r="D2055" s="283" t="s">
        <v>6440</v>
      </c>
      <c r="E2055" s="18" t="s">
        <v>6557</v>
      </c>
      <c r="F2055" s="18" t="s">
        <v>6558</v>
      </c>
      <c r="G2055" s="156" t="s">
        <v>6653</v>
      </c>
      <c r="H2055" s="18" t="s">
        <v>6654</v>
      </c>
      <c r="K2055" s="156" t="s">
        <v>6655</v>
      </c>
      <c r="L2055" s="18" t="s">
        <v>6659</v>
      </c>
      <c r="M2055" s="18" t="s">
        <v>6660</v>
      </c>
      <c r="P2055" s="16"/>
      <c r="Q2055" s="16"/>
      <c r="R2055" s="16"/>
      <c r="S2055" s="16"/>
      <c r="U2055" s="283" t="e">
        <v>#N/A</v>
      </c>
      <c r="V2055" s="18" t="s">
        <v>6667</v>
      </c>
      <c r="W2055" s="18">
        <v>0</v>
      </c>
      <c r="X2055" s="18">
        <v>0</v>
      </c>
      <c r="Y2055" s="18">
        <v>0</v>
      </c>
      <c r="Z2055" s="18">
        <v>1</v>
      </c>
      <c r="AA2055" s="18">
        <v>0</v>
      </c>
      <c r="AB2055" s="18">
        <v>1</v>
      </c>
      <c r="AC2055" s="316">
        <v>1</v>
      </c>
      <c r="AD2055" s="316">
        <v>1</v>
      </c>
      <c r="AE2055" s="302">
        <f t="shared" si="82"/>
        <v>0.5</v>
      </c>
      <c r="AF2055" s="176"/>
      <c r="AG2055" s="17">
        <v>0</v>
      </c>
      <c r="AH2055" s="176">
        <v>0</v>
      </c>
      <c r="AI2055" s="176">
        <v>0</v>
      </c>
      <c r="AJ2055" s="176">
        <v>0</v>
      </c>
      <c r="AK2055" s="177">
        <v>0</v>
      </c>
      <c r="AL2055" s="177">
        <v>0</v>
      </c>
      <c r="AM2055" s="147">
        <f t="shared" si="81"/>
        <v>0</v>
      </c>
      <c r="AN2055" s="18" t="s">
        <v>1035</v>
      </c>
      <c r="AO2055" s="18" t="s">
        <v>1037</v>
      </c>
      <c r="AP2055" s="18" t="s">
        <v>6668</v>
      </c>
    </row>
    <row r="2056" spans="1:42" s="18" customFormat="1" x14ac:dyDescent="0.3">
      <c r="A2056" s="18" t="s">
        <v>1454</v>
      </c>
      <c r="B2056" s="18" t="s">
        <v>6438</v>
      </c>
      <c r="C2056" s="18">
        <v>101</v>
      </c>
      <c r="D2056" s="283" t="s">
        <v>6440</v>
      </c>
      <c r="E2056" s="18" t="s">
        <v>6557</v>
      </c>
      <c r="F2056" s="18" t="s">
        <v>6558</v>
      </c>
      <c r="G2056" s="156" t="s">
        <v>6669</v>
      </c>
      <c r="H2056" s="18" t="s">
        <v>6670</v>
      </c>
      <c r="K2056" s="156" t="s">
        <v>6671</v>
      </c>
      <c r="L2056" s="18" t="s">
        <v>6672</v>
      </c>
      <c r="M2056" s="18" t="s">
        <v>6673</v>
      </c>
      <c r="N2056" s="18">
        <v>10000</v>
      </c>
      <c r="O2056" s="18">
        <v>16000</v>
      </c>
      <c r="P2056" s="16">
        <v>32000</v>
      </c>
      <c r="Q2056" s="16">
        <v>38000</v>
      </c>
      <c r="R2056" s="16">
        <v>42000</v>
      </c>
      <c r="S2056" s="16">
        <v>48000</v>
      </c>
      <c r="T2056" s="18" t="s">
        <v>570</v>
      </c>
      <c r="U2056" s="283" t="s">
        <v>2875</v>
      </c>
      <c r="V2056" s="18" t="s">
        <v>6674</v>
      </c>
      <c r="W2056" s="18">
        <v>0</v>
      </c>
      <c r="X2056" s="18">
        <v>0</v>
      </c>
      <c r="Y2056" s="18">
        <v>0</v>
      </c>
      <c r="Z2056" s="18">
        <v>1</v>
      </c>
      <c r="AA2056" s="18">
        <v>0</v>
      </c>
      <c r="AB2056" s="18">
        <v>0</v>
      </c>
      <c r="AC2056" s="316">
        <v>0</v>
      </c>
      <c r="AD2056" s="316">
        <v>0</v>
      </c>
      <c r="AE2056" s="302">
        <f t="shared" si="82"/>
        <v>0.125</v>
      </c>
      <c r="AF2056" s="176"/>
      <c r="AG2056" s="17">
        <v>0</v>
      </c>
      <c r="AH2056" s="176">
        <v>0</v>
      </c>
      <c r="AI2056" s="176">
        <v>0.5</v>
      </c>
      <c r="AJ2056" s="176">
        <v>0</v>
      </c>
      <c r="AK2056" s="177">
        <v>0</v>
      </c>
      <c r="AL2056" s="177">
        <v>0</v>
      </c>
      <c r="AM2056" s="147">
        <f t="shared" si="81"/>
        <v>0</v>
      </c>
      <c r="AN2056" s="18" t="s">
        <v>570</v>
      </c>
      <c r="AO2056" s="18" t="s">
        <v>2875</v>
      </c>
      <c r="AP2056" s="18" t="s">
        <v>6675</v>
      </c>
    </row>
    <row r="2057" spans="1:42" s="18" customFormat="1" x14ac:dyDescent="0.3">
      <c r="A2057" s="18" t="s">
        <v>1454</v>
      </c>
      <c r="B2057" s="18" t="s">
        <v>6438</v>
      </c>
      <c r="C2057" s="18">
        <v>101</v>
      </c>
      <c r="D2057" s="283" t="s">
        <v>6440</v>
      </c>
      <c r="E2057" s="18" t="s">
        <v>6557</v>
      </c>
      <c r="F2057" s="18" t="s">
        <v>6558</v>
      </c>
      <c r="G2057" s="156" t="s">
        <v>6669</v>
      </c>
      <c r="H2057" s="18" t="s">
        <v>6670</v>
      </c>
      <c r="K2057" s="156" t="s">
        <v>6671</v>
      </c>
      <c r="L2057" s="18" t="s">
        <v>6672</v>
      </c>
      <c r="M2057" s="18" t="s">
        <v>6673</v>
      </c>
      <c r="P2057" s="16"/>
      <c r="Q2057" s="16"/>
      <c r="R2057" s="16"/>
      <c r="S2057" s="16"/>
      <c r="U2057" s="283" t="e">
        <v>#N/A</v>
      </c>
      <c r="V2057" s="18" t="s">
        <v>6676</v>
      </c>
      <c r="W2057" s="18">
        <v>1</v>
      </c>
      <c r="X2057" s="18">
        <v>1</v>
      </c>
      <c r="Y2057" s="18">
        <v>1</v>
      </c>
      <c r="Z2057" s="18">
        <v>1</v>
      </c>
      <c r="AA2057" s="18">
        <v>1</v>
      </c>
      <c r="AB2057" s="18">
        <v>1</v>
      </c>
      <c r="AC2057" s="316">
        <v>1</v>
      </c>
      <c r="AD2057" s="316">
        <v>1</v>
      </c>
      <c r="AE2057" s="302">
        <f t="shared" si="82"/>
        <v>1</v>
      </c>
      <c r="AF2057" s="176"/>
      <c r="AG2057" s="17">
        <v>0</v>
      </c>
      <c r="AH2057" s="176">
        <v>10</v>
      </c>
      <c r="AI2057" s="176">
        <v>0</v>
      </c>
      <c r="AJ2057" s="176">
        <v>30</v>
      </c>
      <c r="AK2057" s="177">
        <v>5</v>
      </c>
      <c r="AL2057" s="177">
        <v>5</v>
      </c>
      <c r="AM2057" s="147">
        <f t="shared" si="81"/>
        <v>10</v>
      </c>
      <c r="AN2057" s="18" t="s">
        <v>570</v>
      </c>
      <c r="AO2057" s="18" t="s">
        <v>2875</v>
      </c>
      <c r="AP2057" s="18" t="s">
        <v>6675</v>
      </c>
    </row>
    <row r="2058" spans="1:42" s="18" customFormat="1" x14ac:dyDescent="0.3">
      <c r="A2058" s="18" t="s">
        <v>1454</v>
      </c>
      <c r="B2058" s="18" t="s">
        <v>6438</v>
      </c>
      <c r="C2058" s="18">
        <v>101</v>
      </c>
      <c r="D2058" s="283" t="s">
        <v>6440</v>
      </c>
      <c r="E2058" s="18" t="s">
        <v>6557</v>
      </c>
      <c r="F2058" s="18" t="s">
        <v>6558</v>
      </c>
      <c r="G2058" s="156" t="s">
        <v>6677</v>
      </c>
      <c r="H2058" s="18" t="s">
        <v>6678</v>
      </c>
      <c r="K2058" s="156" t="s">
        <v>6679</v>
      </c>
      <c r="L2058" s="18" t="s">
        <v>6680</v>
      </c>
      <c r="M2058" s="18" t="s">
        <v>6681</v>
      </c>
      <c r="N2058" s="18">
        <v>200</v>
      </c>
      <c r="O2058" s="18">
        <v>220</v>
      </c>
      <c r="P2058" s="16">
        <v>240</v>
      </c>
      <c r="Q2058" s="16">
        <v>260</v>
      </c>
      <c r="R2058" s="16">
        <v>280</v>
      </c>
      <c r="S2058" s="16">
        <v>300</v>
      </c>
      <c r="T2058" s="18" t="s">
        <v>570</v>
      </c>
      <c r="U2058" s="283" t="s">
        <v>2875</v>
      </c>
      <c r="V2058" s="18" t="s">
        <v>6682</v>
      </c>
      <c r="W2058" s="18">
        <v>1</v>
      </c>
      <c r="X2058" s="18">
        <v>1</v>
      </c>
      <c r="Y2058" s="18">
        <v>1</v>
      </c>
      <c r="Z2058" s="18">
        <v>1</v>
      </c>
      <c r="AA2058" s="18">
        <v>0</v>
      </c>
      <c r="AB2058" s="18">
        <v>1</v>
      </c>
      <c r="AC2058" s="316">
        <v>1</v>
      </c>
      <c r="AD2058" s="316">
        <v>1</v>
      </c>
      <c r="AE2058" s="302">
        <f t="shared" si="82"/>
        <v>0.875</v>
      </c>
      <c r="AF2058" s="176"/>
      <c r="AG2058" s="17">
        <v>0</v>
      </c>
      <c r="AH2058" s="176">
        <v>0</v>
      </c>
      <c r="AI2058" s="176">
        <v>10</v>
      </c>
      <c r="AJ2058" s="176">
        <v>0</v>
      </c>
      <c r="AK2058" s="177">
        <v>15</v>
      </c>
      <c r="AL2058" s="177">
        <v>20</v>
      </c>
      <c r="AM2058" s="147">
        <f t="shared" si="81"/>
        <v>35</v>
      </c>
      <c r="AN2058" s="18" t="s">
        <v>570</v>
      </c>
      <c r="AO2058" s="18" t="s">
        <v>2875</v>
      </c>
      <c r="AP2058" s="18" t="s">
        <v>6675</v>
      </c>
    </row>
    <row r="2059" spans="1:42" s="18" customFormat="1" x14ac:dyDescent="0.3">
      <c r="A2059" s="18" t="s">
        <v>1454</v>
      </c>
      <c r="B2059" s="18" t="s">
        <v>6438</v>
      </c>
      <c r="C2059" s="18">
        <v>101</v>
      </c>
      <c r="D2059" s="283" t="s">
        <v>6440</v>
      </c>
      <c r="E2059" s="18" t="s">
        <v>6557</v>
      </c>
      <c r="F2059" s="18" t="s">
        <v>6558</v>
      </c>
      <c r="G2059" s="156" t="s">
        <v>6677</v>
      </c>
      <c r="H2059" s="18" t="s">
        <v>6678</v>
      </c>
      <c r="K2059" s="156" t="s">
        <v>6679</v>
      </c>
      <c r="L2059" s="18" t="s">
        <v>6680</v>
      </c>
      <c r="M2059" s="18" t="s">
        <v>6683</v>
      </c>
      <c r="N2059" s="18">
        <v>3</v>
      </c>
      <c r="O2059" s="18">
        <v>5</v>
      </c>
      <c r="P2059" s="16">
        <v>7</v>
      </c>
      <c r="Q2059" s="16">
        <v>9</v>
      </c>
      <c r="R2059" s="16">
        <v>11</v>
      </c>
      <c r="S2059" s="16">
        <v>13</v>
      </c>
      <c r="T2059" s="18" t="s">
        <v>570</v>
      </c>
      <c r="U2059" s="283" t="s">
        <v>2875</v>
      </c>
      <c r="V2059" s="18" t="s">
        <v>6684</v>
      </c>
      <c r="W2059" s="18">
        <v>0</v>
      </c>
      <c r="X2059" s="18">
        <v>0</v>
      </c>
      <c r="Y2059" s="18">
        <v>0</v>
      </c>
      <c r="Z2059" s="18">
        <v>1</v>
      </c>
      <c r="AA2059" s="18">
        <v>1</v>
      </c>
      <c r="AB2059" s="18">
        <v>1</v>
      </c>
      <c r="AC2059" s="316">
        <v>0</v>
      </c>
      <c r="AD2059" s="316">
        <v>0</v>
      </c>
      <c r="AE2059" s="302">
        <f t="shared" si="82"/>
        <v>0.375</v>
      </c>
      <c r="AF2059" s="176"/>
      <c r="AG2059" s="17">
        <v>0</v>
      </c>
      <c r="AH2059" s="176">
        <v>58</v>
      </c>
      <c r="AI2059" s="176">
        <v>27.343945649512499</v>
      </c>
      <c r="AJ2059" s="176">
        <v>41</v>
      </c>
      <c r="AK2059" s="177"/>
      <c r="AL2059" s="177"/>
      <c r="AM2059" s="147">
        <f t="shared" si="81"/>
        <v>0</v>
      </c>
      <c r="AN2059" s="18" t="s">
        <v>570</v>
      </c>
      <c r="AO2059" s="18" t="s">
        <v>2875</v>
      </c>
      <c r="AP2059" s="18" t="s">
        <v>6577</v>
      </c>
    </row>
    <row r="2060" spans="1:42" s="18" customFormat="1" x14ac:dyDescent="0.3">
      <c r="A2060" s="18" t="s">
        <v>1454</v>
      </c>
      <c r="B2060" s="18" t="s">
        <v>6438</v>
      </c>
      <c r="C2060" s="18">
        <v>101</v>
      </c>
      <c r="D2060" s="283" t="s">
        <v>6440</v>
      </c>
      <c r="E2060" s="18" t="s">
        <v>6557</v>
      </c>
      <c r="F2060" s="18" t="s">
        <v>6558</v>
      </c>
      <c r="G2060" s="156" t="s">
        <v>6677</v>
      </c>
      <c r="H2060" s="18" t="s">
        <v>6678</v>
      </c>
      <c r="K2060" s="156" t="s">
        <v>6679</v>
      </c>
      <c r="L2060" s="18" t="s">
        <v>6680</v>
      </c>
      <c r="M2060" s="18" t="s">
        <v>6685</v>
      </c>
      <c r="N2060" s="18" t="s">
        <v>6686</v>
      </c>
      <c r="O2060" s="18">
        <v>208</v>
      </c>
      <c r="P2060" s="16">
        <v>205</v>
      </c>
      <c r="Q2060" s="16">
        <v>202</v>
      </c>
      <c r="R2060" s="16">
        <v>199</v>
      </c>
      <c r="S2060" s="16">
        <v>196</v>
      </c>
      <c r="T2060" s="18" t="s">
        <v>570</v>
      </c>
      <c r="U2060" s="283" t="s">
        <v>2875</v>
      </c>
      <c r="V2060" s="18" t="s">
        <v>6687</v>
      </c>
      <c r="W2060" s="18">
        <v>1</v>
      </c>
      <c r="X2060" s="18">
        <v>1</v>
      </c>
      <c r="Y2060" s="18">
        <v>0</v>
      </c>
      <c r="Z2060" s="18">
        <v>1</v>
      </c>
      <c r="AA2060" s="18">
        <v>0</v>
      </c>
      <c r="AB2060" s="18">
        <v>0</v>
      </c>
      <c r="AC2060" s="316">
        <v>1</v>
      </c>
      <c r="AD2060" s="316">
        <v>1</v>
      </c>
      <c r="AE2060" s="302">
        <f t="shared" si="82"/>
        <v>0.625</v>
      </c>
      <c r="AF2060" s="176"/>
      <c r="AG2060" s="17">
        <v>0</v>
      </c>
      <c r="AH2060" s="176">
        <v>0</v>
      </c>
      <c r="AI2060" s="176">
        <v>5.6</v>
      </c>
      <c r="AJ2060" s="176">
        <v>4.2</v>
      </c>
      <c r="AK2060" s="177">
        <v>0</v>
      </c>
      <c r="AL2060" s="177"/>
      <c r="AM2060" s="147">
        <f t="shared" si="81"/>
        <v>0</v>
      </c>
      <c r="AN2060" s="18" t="s">
        <v>570</v>
      </c>
      <c r="AO2060" s="18" t="s">
        <v>2875</v>
      </c>
      <c r="AP2060" s="18" t="s">
        <v>6577</v>
      </c>
    </row>
    <row r="2061" spans="1:42" s="18" customFormat="1" x14ac:dyDescent="0.3">
      <c r="A2061" s="18" t="s">
        <v>1454</v>
      </c>
      <c r="B2061" s="18" t="s">
        <v>6438</v>
      </c>
      <c r="C2061" s="18">
        <v>101</v>
      </c>
      <c r="D2061" s="283" t="s">
        <v>6440</v>
      </c>
      <c r="E2061" s="18" t="s">
        <v>6557</v>
      </c>
      <c r="F2061" s="18" t="s">
        <v>6558</v>
      </c>
      <c r="G2061" s="156" t="s">
        <v>6677</v>
      </c>
      <c r="H2061" s="18" t="s">
        <v>6678</v>
      </c>
      <c r="K2061" s="156" t="s">
        <v>6679</v>
      </c>
      <c r="L2061" s="18" t="s">
        <v>6680</v>
      </c>
      <c r="M2061" s="18" t="s">
        <v>6685</v>
      </c>
      <c r="P2061" s="16"/>
      <c r="Q2061" s="16"/>
      <c r="R2061" s="16"/>
      <c r="S2061" s="16"/>
      <c r="U2061" s="283" t="e">
        <v>#N/A</v>
      </c>
      <c r="V2061" s="18" t="s">
        <v>6688</v>
      </c>
      <c r="W2061" s="18">
        <v>1</v>
      </c>
      <c r="X2061" s="18">
        <v>0</v>
      </c>
      <c r="Y2061" s="18">
        <v>0</v>
      </c>
      <c r="Z2061" s="18">
        <v>0</v>
      </c>
      <c r="AA2061" s="18">
        <v>0</v>
      </c>
      <c r="AB2061" s="18">
        <v>0</v>
      </c>
      <c r="AC2061" s="316">
        <v>1</v>
      </c>
      <c r="AD2061" s="316">
        <v>0</v>
      </c>
      <c r="AE2061" s="302">
        <f t="shared" si="82"/>
        <v>0.25</v>
      </c>
      <c r="AF2061" s="176"/>
      <c r="AG2061" s="17">
        <v>0</v>
      </c>
      <c r="AH2061" s="176">
        <v>25</v>
      </c>
      <c r="AI2061" s="176">
        <v>0</v>
      </c>
      <c r="AJ2061" s="176">
        <v>25</v>
      </c>
      <c r="AK2061" s="177">
        <v>0</v>
      </c>
      <c r="AL2061" s="177">
        <v>0</v>
      </c>
      <c r="AM2061" s="147">
        <f t="shared" si="81"/>
        <v>0</v>
      </c>
      <c r="AN2061" s="18" t="s">
        <v>63</v>
      </c>
      <c r="AO2061" s="18" t="s">
        <v>2510</v>
      </c>
      <c r="AP2061" s="18" t="s">
        <v>6689</v>
      </c>
    </row>
    <row r="2062" spans="1:42" s="18" customFormat="1" x14ac:dyDescent="0.3">
      <c r="A2062" s="18" t="s">
        <v>1454</v>
      </c>
      <c r="B2062" s="18" t="s">
        <v>6438</v>
      </c>
      <c r="C2062" s="18">
        <v>101</v>
      </c>
      <c r="D2062" s="283" t="s">
        <v>6440</v>
      </c>
      <c r="E2062" s="18" t="s">
        <v>6557</v>
      </c>
      <c r="F2062" s="18" t="s">
        <v>6558</v>
      </c>
      <c r="G2062" s="156" t="s">
        <v>6677</v>
      </c>
      <c r="H2062" s="18" t="s">
        <v>6678</v>
      </c>
      <c r="K2062" s="156" t="s">
        <v>6679</v>
      </c>
      <c r="L2062" s="18" t="s">
        <v>6680</v>
      </c>
      <c r="M2062" s="18" t="s">
        <v>6685</v>
      </c>
      <c r="P2062" s="16"/>
      <c r="Q2062" s="16"/>
      <c r="R2062" s="16"/>
      <c r="S2062" s="16"/>
      <c r="U2062" s="283" t="e">
        <v>#N/A</v>
      </c>
      <c r="V2062" s="18" t="s">
        <v>6690</v>
      </c>
      <c r="W2062" s="18">
        <v>1</v>
      </c>
      <c r="X2062" s="18">
        <v>1</v>
      </c>
      <c r="Y2062" s="18">
        <v>0</v>
      </c>
      <c r="Z2062" s="18">
        <v>1</v>
      </c>
      <c r="AA2062" s="18">
        <v>1</v>
      </c>
      <c r="AB2062" s="18">
        <v>0</v>
      </c>
      <c r="AC2062" s="316">
        <v>0</v>
      </c>
      <c r="AD2062" s="316">
        <v>1</v>
      </c>
      <c r="AE2062" s="302">
        <f t="shared" si="82"/>
        <v>0.625</v>
      </c>
      <c r="AF2062" s="176"/>
      <c r="AG2062" s="17">
        <v>0</v>
      </c>
      <c r="AH2062" s="176">
        <v>0</v>
      </c>
      <c r="AI2062" s="176">
        <v>0</v>
      </c>
      <c r="AJ2062" s="176">
        <v>0</v>
      </c>
      <c r="AK2062" s="177">
        <v>0</v>
      </c>
      <c r="AL2062" s="177">
        <v>0</v>
      </c>
      <c r="AM2062" s="147">
        <f t="shared" si="81"/>
        <v>0</v>
      </c>
      <c r="AN2062" s="18" t="s">
        <v>63</v>
      </c>
      <c r="AO2062" s="18" t="s">
        <v>2510</v>
      </c>
      <c r="AP2062" s="18" t="s">
        <v>3829</v>
      </c>
    </row>
    <row r="2063" spans="1:42" s="18" customFormat="1" x14ac:dyDescent="0.3">
      <c r="A2063" s="18" t="s">
        <v>1454</v>
      </c>
      <c r="B2063" s="18" t="s">
        <v>6438</v>
      </c>
      <c r="C2063" s="18">
        <v>101</v>
      </c>
      <c r="D2063" s="283" t="s">
        <v>6440</v>
      </c>
      <c r="E2063" s="18" t="s">
        <v>6557</v>
      </c>
      <c r="F2063" s="18" t="s">
        <v>6558</v>
      </c>
      <c r="G2063" s="156" t="s">
        <v>6677</v>
      </c>
      <c r="H2063" s="18" t="s">
        <v>6678</v>
      </c>
      <c r="K2063" s="156" t="s">
        <v>6679</v>
      </c>
      <c r="L2063" s="18" t="s">
        <v>6680</v>
      </c>
      <c r="M2063" s="18" t="s">
        <v>6685</v>
      </c>
      <c r="P2063" s="16"/>
      <c r="Q2063" s="16"/>
      <c r="R2063" s="16"/>
      <c r="S2063" s="16"/>
      <c r="U2063" s="283" t="e">
        <v>#N/A</v>
      </c>
      <c r="V2063" s="18" t="s">
        <v>6691</v>
      </c>
      <c r="W2063" s="18">
        <v>0</v>
      </c>
      <c r="X2063" s="18">
        <v>0</v>
      </c>
      <c r="Y2063" s="18">
        <v>0</v>
      </c>
      <c r="Z2063" s="18">
        <v>1</v>
      </c>
      <c r="AA2063" s="18">
        <v>0</v>
      </c>
      <c r="AB2063" s="18">
        <v>0</v>
      </c>
      <c r="AC2063" s="316">
        <v>0</v>
      </c>
      <c r="AD2063" s="316">
        <v>1</v>
      </c>
      <c r="AE2063" s="302">
        <f t="shared" si="82"/>
        <v>0.25</v>
      </c>
      <c r="AF2063" s="176"/>
      <c r="AG2063" s="17">
        <v>0</v>
      </c>
      <c r="AH2063" s="176">
        <v>0</v>
      </c>
      <c r="AI2063" s="176">
        <v>0</v>
      </c>
      <c r="AJ2063" s="176">
        <v>1.5</v>
      </c>
      <c r="AK2063" s="177">
        <v>0</v>
      </c>
      <c r="AL2063" s="177">
        <v>0</v>
      </c>
      <c r="AM2063" s="147">
        <f t="shared" si="81"/>
        <v>0</v>
      </c>
      <c r="AN2063" s="18" t="s">
        <v>63</v>
      </c>
      <c r="AO2063" s="18" t="s">
        <v>2510</v>
      </c>
      <c r="AP2063" s="18" t="s">
        <v>119</v>
      </c>
    </row>
    <row r="2064" spans="1:42" s="18" customFormat="1" x14ac:dyDescent="0.3">
      <c r="A2064" s="18" t="s">
        <v>1454</v>
      </c>
      <c r="B2064" s="18" t="s">
        <v>6438</v>
      </c>
      <c r="C2064" s="18">
        <v>101</v>
      </c>
      <c r="D2064" s="283" t="s">
        <v>6440</v>
      </c>
      <c r="E2064" s="18" t="s">
        <v>6692</v>
      </c>
      <c r="F2064" s="18" t="s">
        <v>6693</v>
      </c>
      <c r="G2064" s="156" t="s">
        <v>6694</v>
      </c>
      <c r="H2064" s="18" t="s">
        <v>6695</v>
      </c>
      <c r="K2064" s="156" t="s">
        <v>6696</v>
      </c>
      <c r="L2064" s="18" t="s">
        <v>6697</v>
      </c>
      <c r="M2064" s="18" t="s">
        <v>6698</v>
      </c>
      <c r="N2064" s="18">
        <v>10.9</v>
      </c>
      <c r="O2064" s="18">
        <v>11.02</v>
      </c>
      <c r="P2064" s="16">
        <v>11.14</v>
      </c>
      <c r="Q2064" s="16">
        <v>11.26</v>
      </c>
      <c r="R2064" s="16">
        <v>11.38</v>
      </c>
      <c r="S2064" s="16">
        <v>11.5</v>
      </c>
      <c r="T2064" s="18" t="s">
        <v>570</v>
      </c>
      <c r="U2064" s="283" t="s">
        <v>2875</v>
      </c>
      <c r="V2064" s="18" t="s">
        <v>6699</v>
      </c>
      <c r="W2064" s="18">
        <v>1</v>
      </c>
      <c r="X2064" s="18">
        <v>0</v>
      </c>
      <c r="Y2064" s="18">
        <v>0</v>
      </c>
      <c r="Z2064" s="18">
        <v>1</v>
      </c>
      <c r="AA2064" s="18">
        <v>1</v>
      </c>
      <c r="AB2064" s="18">
        <v>1</v>
      </c>
      <c r="AC2064" s="316">
        <v>1</v>
      </c>
      <c r="AD2064" s="316">
        <v>0</v>
      </c>
      <c r="AE2064" s="302">
        <f t="shared" si="82"/>
        <v>0.625</v>
      </c>
      <c r="AF2064" s="176"/>
      <c r="AG2064" s="17">
        <v>0</v>
      </c>
      <c r="AH2064" s="176">
        <v>0</v>
      </c>
      <c r="AI2064" s="176">
        <v>1</v>
      </c>
      <c r="AJ2064" s="176">
        <v>1</v>
      </c>
      <c r="AK2064" s="177"/>
      <c r="AL2064" s="177">
        <v>0</v>
      </c>
      <c r="AM2064" s="147">
        <f t="shared" si="81"/>
        <v>0</v>
      </c>
      <c r="AN2064" s="18" t="s">
        <v>570</v>
      </c>
      <c r="AO2064" s="18" t="s">
        <v>2875</v>
      </c>
      <c r="AP2064" s="18" t="s">
        <v>6700</v>
      </c>
    </row>
    <row r="2065" spans="1:42" s="18" customFormat="1" x14ac:dyDescent="0.3">
      <c r="A2065" s="18" t="s">
        <v>1454</v>
      </c>
      <c r="B2065" s="18" t="s">
        <v>6438</v>
      </c>
      <c r="C2065" s="18">
        <v>101</v>
      </c>
      <c r="D2065" s="283" t="s">
        <v>6440</v>
      </c>
      <c r="E2065" s="18" t="s">
        <v>6692</v>
      </c>
      <c r="F2065" s="18" t="s">
        <v>6693</v>
      </c>
      <c r="G2065" s="156" t="s">
        <v>6694</v>
      </c>
      <c r="H2065" s="18" t="s">
        <v>6695</v>
      </c>
      <c r="K2065" s="156" t="s">
        <v>6696</v>
      </c>
      <c r="L2065" s="18" t="s">
        <v>6697</v>
      </c>
      <c r="M2065" s="18" t="s">
        <v>6701</v>
      </c>
      <c r="N2065" s="18">
        <v>9.1</v>
      </c>
      <c r="O2065" s="18">
        <v>10.28</v>
      </c>
      <c r="P2065" s="16">
        <v>11.64</v>
      </c>
      <c r="Q2065" s="16">
        <v>12.64</v>
      </c>
      <c r="R2065" s="16">
        <v>13.82</v>
      </c>
      <c r="S2065" s="16">
        <v>15</v>
      </c>
      <c r="T2065" s="18" t="s">
        <v>570</v>
      </c>
      <c r="U2065" s="283" t="s">
        <v>2875</v>
      </c>
      <c r="V2065" s="18" t="s">
        <v>6702</v>
      </c>
      <c r="W2065" s="18">
        <v>1</v>
      </c>
      <c r="X2065" s="18">
        <v>0</v>
      </c>
      <c r="Y2065" s="18">
        <v>0</v>
      </c>
      <c r="Z2065" s="18">
        <v>0</v>
      </c>
      <c r="AA2065" s="18">
        <v>0</v>
      </c>
      <c r="AB2065" s="18">
        <v>1</v>
      </c>
      <c r="AC2065" s="316">
        <v>0</v>
      </c>
      <c r="AD2065" s="316">
        <v>1</v>
      </c>
      <c r="AE2065" s="302">
        <f t="shared" si="82"/>
        <v>0.375</v>
      </c>
      <c r="AF2065" s="176"/>
      <c r="AG2065" s="17">
        <v>0</v>
      </c>
      <c r="AH2065" s="176">
        <v>0</v>
      </c>
      <c r="AI2065" s="176">
        <v>0.5</v>
      </c>
      <c r="AJ2065" s="176">
        <v>0.6</v>
      </c>
      <c r="AK2065" s="177"/>
      <c r="AL2065" s="177">
        <v>0</v>
      </c>
      <c r="AM2065" s="147">
        <f t="shared" si="81"/>
        <v>0</v>
      </c>
      <c r="AN2065" s="18" t="s">
        <v>570</v>
      </c>
      <c r="AO2065" s="18" t="s">
        <v>2875</v>
      </c>
      <c r="AP2065" s="18" t="s">
        <v>6703</v>
      </c>
    </row>
    <row r="2066" spans="1:42" s="18" customFormat="1" x14ac:dyDescent="0.3">
      <c r="A2066" s="18" t="s">
        <v>1454</v>
      </c>
      <c r="B2066" s="18" t="s">
        <v>6438</v>
      </c>
      <c r="C2066" s="18">
        <v>101</v>
      </c>
      <c r="D2066" s="283" t="s">
        <v>6440</v>
      </c>
      <c r="E2066" s="18" t="s">
        <v>6692</v>
      </c>
      <c r="F2066" s="18" t="s">
        <v>6693</v>
      </c>
      <c r="G2066" s="156" t="s">
        <v>6694</v>
      </c>
      <c r="H2066" s="18" t="s">
        <v>6695</v>
      </c>
      <c r="K2066" s="156" t="s">
        <v>6696</v>
      </c>
      <c r="L2066" s="18" t="s">
        <v>6697</v>
      </c>
      <c r="M2066" s="18" t="s">
        <v>6704</v>
      </c>
      <c r="N2066" s="18">
        <v>1.39</v>
      </c>
      <c r="O2066" s="18">
        <v>1.34</v>
      </c>
      <c r="P2066" s="16">
        <v>1.3</v>
      </c>
      <c r="Q2066" s="16">
        <v>1.21</v>
      </c>
      <c r="R2066" s="16">
        <v>1.08</v>
      </c>
      <c r="S2066" s="16">
        <v>1</v>
      </c>
      <c r="T2066" s="18" t="s">
        <v>570</v>
      </c>
      <c r="U2066" s="283" t="s">
        <v>2875</v>
      </c>
      <c r="V2066" s="18" t="s">
        <v>6705</v>
      </c>
      <c r="W2066" s="18">
        <v>1</v>
      </c>
      <c r="X2066" s="18">
        <v>0</v>
      </c>
      <c r="Y2066" s="18">
        <v>0</v>
      </c>
      <c r="Z2066" s="18">
        <v>1</v>
      </c>
      <c r="AA2066" s="18">
        <v>1</v>
      </c>
      <c r="AB2066" s="18">
        <v>1</v>
      </c>
      <c r="AC2066" s="316">
        <v>0</v>
      </c>
      <c r="AD2066" s="316">
        <v>1</v>
      </c>
      <c r="AE2066" s="302">
        <f t="shared" si="82"/>
        <v>0.625</v>
      </c>
      <c r="AF2066" s="176"/>
      <c r="AG2066" s="17">
        <v>0</v>
      </c>
      <c r="AH2066" s="176">
        <v>0</v>
      </c>
      <c r="AI2066" s="176">
        <v>0.12</v>
      </c>
      <c r="AJ2066" s="176">
        <v>0.12</v>
      </c>
      <c r="AK2066" s="177">
        <v>0.12</v>
      </c>
      <c r="AL2066" s="177">
        <v>0.12</v>
      </c>
      <c r="AM2066" s="147">
        <f t="shared" si="81"/>
        <v>0.24</v>
      </c>
      <c r="AN2066" s="18" t="s">
        <v>407</v>
      </c>
      <c r="AO2066" s="18" t="s">
        <v>409</v>
      </c>
      <c r="AP2066" s="18" t="s">
        <v>119</v>
      </c>
    </row>
    <row r="2067" spans="1:42" s="18" customFormat="1" x14ac:dyDescent="0.3">
      <c r="A2067" s="18" t="s">
        <v>1454</v>
      </c>
      <c r="B2067" s="18" t="s">
        <v>6438</v>
      </c>
      <c r="C2067" s="18">
        <v>101</v>
      </c>
      <c r="D2067" s="283" t="s">
        <v>6440</v>
      </c>
      <c r="E2067" s="18" t="s">
        <v>6692</v>
      </c>
      <c r="F2067" s="18" t="s">
        <v>6693</v>
      </c>
      <c r="G2067" s="156" t="s">
        <v>6694</v>
      </c>
      <c r="H2067" s="18" t="s">
        <v>6695</v>
      </c>
      <c r="K2067" s="156" t="s">
        <v>6696</v>
      </c>
      <c r="L2067" s="18" t="s">
        <v>6697</v>
      </c>
      <c r="M2067" s="18" t="s">
        <v>6704</v>
      </c>
      <c r="P2067" s="16"/>
      <c r="Q2067" s="16"/>
      <c r="R2067" s="16"/>
      <c r="S2067" s="16"/>
      <c r="U2067" s="283" t="e">
        <v>#N/A</v>
      </c>
      <c r="V2067" s="18" t="s">
        <v>6706</v>
      </c>
      <c r="W2067" s="18">
        <v>1</v>
      </c>
      <c r="X2067" s="18">
        <v>1</v>
      </c>
      <c r="Y2067" s="18">
        <v>0</v>
      </c>
      <c r="Z2067" s="18">
        <v>1</v>
      </c>
      <c r="AA2067" s="18">
        <v>1</v>
      </c>
      <c r="AB2067" s="18">
        <v>1</v>
      </c>
      <c r="AC2067" s="316">
        <v>0</v>
      </c>
      <c r="AD2067" s="316">
        <v>0</v>
      </c>
      <c r="AE2067" s="302">
        <f t="shared" si="82"/>
        <v>0.625</v>
      </c>
      <c r="AF2067" s="176"/>
      <c r="AG2067" s="17">
        <v>0</v>
      </c>
      <c r="AH2067" s="176">
        <v>0</v>
      </c>
      <c r="AI2067" s="176">
        <v>0.6</v>
      </c>
      <c r="AJ2067" s="176">
        <v>0.6</v>
      </c>
      <c r="AK2067" s="177">
        <v>0.6</v>
      </c>
      <c r="AL2067" s="177">
        <v>0.6</v>
      </c>
      <c r="AM2067" s="147">
        <f t="shared" si="81"/>
        <v>1.2</v>
      </c>
      <c r="AN2067" s="18" t="s">
        <v>407</v>
      </c>
      <c r="AO2067" s="18" t="s">
        <v>409</v>
      </c>
      <c r="AP2067" s="18" t="s">
        <v>119</v>
      </c>
    </row>
    <row r="2068" spans="1:42" s="18" customFormat="1" x14ac:dyDescent="0.3">
      <c r="A2068" s="18" t="s">
        <v>1454</v>
      </c>
      <c r="B2068" s="18" t="s">
        <v>6438</v>
      </c>
      <c r="C2068" s="18">
        <v>101</v>
      </c>
      <c r="D2068" s="283" t="s">
        <v>6440</v>
      </c>
      <c r="E2068" s="18" t="s">
        <v>6692</v>
      </c>
      <c r="F2068" s="18" t="s">
        <v>6693</v>
      </c>
      <c r="G2068" s="156" t="s">
        <v>6707</v>
      </c>
      <c r="H2068" s="18" t="s">
        <v>6708</v>
      </c>
      <c r="K2068" s="156" t="s">
        <v>6709</v>
      </c>
      <c r="L2068" s="18" t="s">
        <v>6710</v>
      </c>
      <c r="M2068" s="18" t="s">
        <v>6711</v>
      </c>
      <c r="N2068" s="18">
        <v>3</v>
      </c>
      <c r="O2068" s="18">
        <v>5</v>
      </c>
      <c r="P2068" s="16">
        <v>8</v>
      </c>
      <c r="Q2068" s="16">
        <v>10</v>
      </c>
      <c r="R2068" s="16">
        <v>13</v>
      </c>
      <c r="S2068" s="16">
        <v>16</v>
      </c>
      <c r="T2068" s="18" t="s">
        <v>570</v>
      </c>
      <c r="U2068" s="283" t="s">
        <v>2875</v>
      </c>
      <c r="V2068" s="18" t="s">
        <v>6712</v>
      </c>
      <c r="W2068" s="18">
        <v>0</v>
      </c>
      <c r="X2068" s="18">
        <v>0</v>
      </c>
      <c r="Y2068" s="18">
        <v>0</v>
      </c>
      <c r="Z2068" s="18">
        <v>1</v>
      </c>
      <c r="AA2068" s="18">
        <v>1</v>
      </c>
      <c r="AB2068" s="18">
        <v>1</v>
      </c>
      <c r="AC2068" s="316">
        <v>1</v>
      </c>
      <c r="AD2068" s="316">
        <v>1</v>
      </c>
      <c r="AE2068" s="302">
        <f t="shared" si="82"/>
        <v>0.625</v>
      </c>
      <c r="AF2068" s="176"/>
      <c r="AG2068" s="17">
        <v>0</v>
      </c>
      <c r="AH2068" s="176">
        <v>0</v>
      </c>
      <c r="AI2068" s="176">
        <v>0.2</v>
      </c>
      <c r="AJ2068" s="176">
        <v>0.2</v>
      </c>
      <c r="AK2068" s="177">
        <v>0.2</v>
      </c>
      <c r="AL2068" s="177">
        <v>0.2</v>
      </c>
      <c r="AM2068" s="147">
        <f t="shared" si="81"/>
        <v>0.4</v>
      </c>
      <c r="AN2068" s="18" t="s">
        <v>2514</v>
      </c>
      <c r="AO2068" s="18" t="s">
        <v>2515</v>
      </c>
      <c r="AP2068" s="18" t="s">
        <v>119</v>
      </c>
    </row>
    <row r="2069" spans="1:42" s="18" customFormat="1" x14ac:dyDescent="0.3">
      <c r="A2069" s="18" t="s">
        <v>1454</v>
      </c>
      <c r="B2069" s="18" t="s">
        <v>6438</v>
      </c>
      <c r="C2069" s="18">
        <v>101</v>
      </c>
      <c r="D2069" s="283" t="s">
        <v>6440</v>
      </c>
      <c r="E2069" s="18" t="s">
        <v>6692</v>
      </c>
      <c r="F2069" s="18" t="s">
        <v>6693</v>
      </c>
      <c r="G2069" s="156" t="s">
        <v>6707</v>
      </c>
      <c r="H2069" s="18" t="s">
        <v>6708</v>
      </c>
      <c r="K2069" s="156" t="s">
        <v>6709</v>
      </c>
      <c r="L2069" s="18" t="s">
        <v>6710</v>
      </c>
      <c r="M2069" s="18" t="s">
        <v>6711</v>
      </c>
      <c r="P2069" s="16"/>
      <c r="Q2069" s="16"/>
      <c r="R2069" s="16"/>
      <c r="S2069" s="16"/>
      <c r="U2069" s="283" t="e">
        <v>#N/A</v>
      </c>
      <c r="V2069" s="18" t="s">
        <v>6713</v>
      </c>
      <c r="W2069" s="18">
        <v>1</v>
      </c>
      <c r="X2069" s="18">
        <v>1</v>
      </c>
      <c r="Y2069" s="18">
        <v>0</v>
      </c>
      <c r="Z2069" s="18">
        <v>1</v>
      </c>
      <c r="AA2069" s="18">
        <v>0</v>
      </c>
      <c r="AB2069" s="18">
        <v>1</v>
      </c>
      <c r="AC2069" s="316">
        <v>1</v>
      </c>
      <c r="AD2069" s="316">
        <v>1</v>
      </c>
      <c r="AE2069" s="302">
        <f t="shared" si="82"/>
        <v>0.75</v>
      </c>
      <c r="AF2069" s="176"/>
      <c r="AG2069" s="17">
        <v>0</v>
      </c>
      <c r="AH2069" s="176">
        <v>0</v>
      </c>
      <c r="AI2069" s="176">
        <v>0</v>
      </c>
      <c r="AJ2069" s="176">
        <v>0</v>
      </c>
      <c r="AK2069" s="177">
        <v>10</v>
      </c>
      <c r="AL2069" s="177">
        <v>12</v>
      </c>
      <c r="AM2069" s="147">
        <f t="shared" si="81"/>
        <v>22</v>
      </c>
      <c r="AN2069" s="18" t="s">
        <v>570</v>
      </c>
      <c r="AO2069" s="18" t="s">
        <v>2875</v>
      </c>
      <c r="AP2069" s="18" t="s">
        <v>6714</v>
      </c>
    </row>
    <row r="2070" spans="1:42" s="18" customFormat="1" x14ac:dyDescent="0.3">
      <c r="A2070" s="18" t="s">
        <v>1454</v>
      </c>
      <c r="B2070" s="18" t="s">
        <v>6438</v>
      </c>
      <c r="C2070" s="18">
        <v>101</v>
      </c>
      <c r="D2070" s="283" t="s">
        <v>6440</v>
      </c>
      <c r="E2070" s="18" t="s">
        <v>6692</v>
      </c>
      <c r="F2070" s="18" t="s">
        <v>6693</v>
      </c>
      <c r="G2070" s="156" t="s">
        <v>6707</v>
      </c>
      <c r="H2070" s="18" t="s">
        <v>6708</v>
      </c>
      <c r="K2070" s="156" t="s">
        <v>6709</v>
      </c>
      <c r="L2070" s="18" t="s">
        <v>6710</v>
      </c>
      <c r="M2070" s="18" t="s">
        <v>6711</v>
      </c>
      <c r="P2070" s="16"/>
      <c r="Q2070" s="16"/>
      <c r="R2070" s="16"/>
      <c r="S2070" s="16"/>
      <c r="U2070" s="283" t="e">
        <v>#N/A</v>
      </c>
      <c r="V2070" s="18" t="s">
        <v>6715</v>
      </c>
      <c r="W2070" s="18">
        <v>0</v>
      </c>
      <c r="X2070" s="18">
        <v>0</v>
      </c>
      <c r="Y2070" s="18">
        <v>0</v>
      </c>
      <c r="Z2070" s="18">
        <v>1</v>
      </c>
      <c r="AA2070" s="18">
        <v>1</v>
      </c>
      <c r="AB2070" s="18">
        <v>1</v>
      </c>
      <c r="AC2070" s="316">
        <v>0</v>
      </c>
      <c r="AD2070" s="316">
        <v>1</v>
      </c>
      <c r="AE2070" s="302">
        <f t="shared" si="82"/>
        <v>0.5</v>
      </c>
      <c r="AF2070" s="176"/>
      <c r="AG2070" s="17">
        <v>0</v>
      </c>
      <c r="AH2070" s="176">
        <v>0.1</v>
      </c>
      <c r="AI2070" s="176">
        <v>0.5</v>
      </c>
      <c r="AJ2070" s="176">
        <v>0</v>
      </c>
      <c r="AK2070" s="177">
        <v>0</v>
      </c>
      <c r="AL2070" s="177">
        <v>0</v>
      </c>
      <c r="AM2070" s="147">
        <f t="shared" si="81"/>
        <v>0</v>
      </c>
      <c r="AN2070" s="18" t="s">
        <v>570</v>
      </c>
      <c r="AO2070" s="18" t="s">
        <v>2875</v>
      </c>
      <c r="AP2070" s="18" t="s">
        <v>6565</v>
      </c>
    </row>
    <row r="2071" spans="1:42" s="18" customFormat="1" x14ac:dyDescent="0.3">
      <c r="A2071" s="18" t="s">
        <v>1454</v>
      </c>
      <c r="B2071" s="18" t="s">
        <v>6438</v>
      </c>
      <c r="C2071" s="18">
        <v>101</v>
      </c>
      <c r="D2071" s="283" t="s">
        <v>6440</v>
      </c>
      <c r="E2071" s="18" t="s">
        <v>6692</v>
      </c>
      <c r="F2071" s="18" t="s">
        <v>6693</v>
      </c>
      <c r="G2071" s="156" t="s">
        <v>6707</v>
      </c>
      <c r="H2071" s="18" t="s">
        <v>6708</v>
      </c>
      <c r="K2071" s="156" t="s">
        <v>6709</v>
      </c>
      <c r="L2071" s="18" t="s">
        <v>6710</v>
      </c>
      <c r="M2071" s="18" t="s">
        <v>6711</v>
      </c>
      <c r="P2071" s="16"/>
      <c r="Q2071" s="16"/>
      <c r="R2071" s="16"/>
      <c r="S2071" s="16"/>
      <c r="U2071" s="283" t="e">
        <v>#N/A</v>
      </c>
      <c r="V2071" s="18" t="s">
        <v>6716</v>
      </c>
      <c r="W2071" s="18">
        <v>0</v>
      </c>
      <c r="X2071" s="18">
        <v>0</v>
      </c>
      <c r="Y2071" s="18">
        <v>0</v>
      </c>
      <c r="Z2071" s="18">
        <v>1</v>
      </c>
      <c r="AA2071" s="18">
        <v>0</v>
      </c>
      <c r="AB2071" s="18">
        <v>1</v>
      </c>
      <c r="AC2071" s="316">
        <v>1</v>
      </c>
      <c r="AD2071" s="316">
        <v>0</v>
      </c>
      <c r="AE2071" s="302">
        <f t="shared" si="82"/>
        <v>0.375</v>
      </c>
      <c r="AF2071" s="176"/>
      <c r="AG2071" s="17">
        <v>0</v>
      </c>
      <c r="AH2071" s="176">
        <v>0</v>
      </c>
      <c r="AI2071" s="176">
        <v>0</v>
      </c>
      <c r="AJ2071" s="176">
        <v>0</v>
      </c>
      <c r="AK2071" s="177">
        <v>0</v>
      </c>
      <c r="AL2071" s="177">
        <v>0</v>
      </c>
      <c r="AM2071" s="147">
        <f t="shared" si="81"/>
        <v>0</v>
      </c>
      <c r="AN2071" s="18" t="s">
        <v>570</v>
      </c>
      <c r="AO2071" s="18" t="s">
        <v>2875</v>
      </c>
      <c r="AP2071" s="18" t="s">
        <v>6717</v>
      </c>
    </row>
    <row r="2072" spans="1:42" s="18" customFormat="1" x14ac:dyDescent="0.3">
      <c r="A2072" s="18" t="s">
        <v>1454</v>
      </c>
      <c r="B2072" s="18" t="s">
        <v>6438</v>
      </c>
      <c r="C2072" s="18">
        <v>101</v>
      </c>
      <c r="D2072" s="283" t="s">
        <v>6440</v>
      </c>
      <c r="E2072" s="18" t="s">
        <v>6692</v>
      </c>
      <c r="F2072" s="18" t="s">
        <v>6693</v>
      </c>
      <c r="G2072" s="156" t="s">
        <v>6707</v>
      </c>
      <c r="H2072" s="18" t="s">
        <v>6708</v>
      </c>
      <c r="K2072" s="156" t="s">
        <v>6709</v>
      </c>
      <c r="L2072" s="18" t="s">
        <v>6710</v>
      </c>
      <c r="M2072" s="18" t="s">
        <v>6711</v>
      </c>
      <c r="P2072" s="16"/>
      <c r="Q2072" s="16"/>
      <c r="R2072" s="16"/>
      <c r="S2072" s="16"/>
      <c r="U2072" s="283" t="e">
        <v>#N/A</v>
      </c>
      <c r="V2072" s="18" t="s">
        <v>6718</v>
      </c>
      <c r="W2072" s="18">
        <v>1</v>
      </c>
      <c r="X2072" s="18">
        <v>1</v>
      </c>
      <c r="Y2072" s="18">
        <v>1</v>
      </c>
      <c r="Z2072" s="18">
        <v>1</v>
      </c>
      <c r="AA2072" s="18">
        <v>1</v>
      </c>
      <c r="AB2072" s="18">
        <v>1</v>
      </c>
      <c r="AC2072" s="316">
        <v>1</v>
      </c>
      <c r="AD2072" s="316">
        <v>1</v>
      </c>
      <c r="AE2072" s="302">
        <f t="shared" si="82"/>
        <v>1</v>
      </c>
      <c r="AF2072" s="176"/>
      <c r="AG2072" s="17">
        <v>0</v>
      </c>
      <c r="AH2072" s="176">
        <v>0</v>
      </c>
      <c r="AI2072" s="176">
        <v>0.25</v>
      </c>
      <c r="AJ2072" s="176">
        <v>0.25</v>
      </c>
      <c r="AK2072" s="177">
        <v>0.25</v>
      </c>
      <c r="AL2072" s="177">
        <v>0.25</v>
      </c>
      <c r="AM2072" s="147">
        <f t="shared" si="81"/>
        <v>0.5</v>
      </c>
      <c r="AN2072" s="18" t="s">
        <v>407</v>
      </c>
      <c r="AO2072" s="18" t="s">
        <v>409</v>
      </c>
      <c r="AP2072" s="18" t="s">
        <v>119</v>
      </c>
    </row>
    <row r="2073" spans="1:42" s="18" customFormat="1" x14ac:dyDescent="0.3">
      <c r="A2073" s="18" t="s">
        <v>1454</v>
      </c>
      <c r="B2073" s="18" t="s">
        <v>6438</v>
      </c>
      <c r="C2073" s="18">
        <v>101</v>
      </c>
      <c r="D2073" s="283" t="s">
        <v>6440</v>
      </c>
      <c r="E2073" s="18" t="s">
        <v>6692</v>
      </c>
      <c r="F2073" s="18" t="s">
        <v>6693</v>
      </c>
      <c r="G2073" s="156" t="s">
        <v>6707</v>
      </c>
      <c r="H2073" s="18" t="s">
        <v>6708</v>
      </c>
      <c r="K2073" s="156" t="s">
        <v>6709</v>
      </c>
      <c r="L2073" s="18" t="s">
        <v>6710</v>
      </c>
      <c r="M2073" s="18" t="s">
        <v>6711</v>
      </c>
      <c r="P2073" s="16"/>
      <c r="Q2073" s="16"/>
      <c r="R2073" s="16"/>
      <c r="S2073" s="16"/>
      <c r="U2073" s="283" t="e">
        <v>#N/A</v>
      </c>
      <c r="V2073" s="18" t="s">
        <v>6719</v>
      </c>
      <c r="W2073" s="18">
        <v>0</v>
      </c>
      <c r="X2073" s="18">
        <v>0</v>
      </c>
      <c r="Y2073" s="18">
        <v>0</v>
      </c>
      <c r="Z2073" s="18">
        <v>1</v>
      </c>
      <c r="AA2073" s="18">
        <v>0</v>
      </c>
      <c r="AB2073" s="18">
        <v>0</v>
      </c>
      <c r="AC2073" s="316">
        <v>1</v>
      </c>
      <c r="AD2073" s="316">
        <v>1</v>
      </c>
      <c r="AE2073" s="302">
        <f t="shared" si="82"/>
        <v>0.375</v>
      </c>
      <c r="AF2073" s="176"/>
      <c r="AG2073" s="17">
        <v>0</v>
      </c>
      <c r="AH2073" s="176">
        <v>0</v>
      </c>
      <c r="AI2073" s="176">
        <v>0</v>
      </c>
      <c r="AJ2073" s="176">
        <v>0</v>
      </c>
      <c r="AK2073" s="177">
        <v>0</v>
      </c>
      <c r="AL2073" s="177">
        <v>0</v>
      </c>
      <c r="AM2073" s="147">
        <f t="shared" si="81"/>
        <v>0</v>
      </c>
      <c r="AN2073" s="18" t="s">
        <v>2514</v>
      </c>
      <c r="AO2073" s="18" t="s">
        <v>2515</v>
      </c>
      <c r="AP2073" s="18" t="s">
        <v>6543</v>
      </c>
    </row>
    <row r="2074" spans="1:42" s="18" customFormat="1" x14ac:dyDescent="0.3">
      <c r="A2074" s="18" t="s">
        <v>1454</v>
      </c>
      <c r="B2074" s="18" t="s">
        <v>6438</v>
      </c>
      <c r="C2074" s="18">
        <v>101</v>
      </c>
      <c r="D2074" s="283" t="s">
        <v>6440</v>
      </c>
      <c r="E2074" s="18" t="s">
        <v>6692</v>
      </c>
      <c r="F2074" s="18" t="s">
        <v>6693</v>
      </c>
      <c r="G2074" s="156" t="s">
        <v>6707</v>
      </c>
      <c r="H2074" s="18" t="s">
        <v>6708</v>
      </c>
      <c r="K2074" s="156" t="s">
        <v>6709</v>
      </c>
      <c r="L2074" s="18" t="s">
        <v>6710</v>
      </c>
      <c r="M2074" s="18" t="s">
        <v>6711</v>
      </c>
      <c r="P2074" s="16"/>
      <c r="Q2074" s="16"/>
      <c r="R2074" s="16"/>
      <c r="S2074" s="16"/>
      <c r="U2074" s="283" t="e">
        <v>#N/A</v>
      </c>
      <c r="V2074" s="18" t="s">
        <v>6720</v>
      </c>
      <c r="W2074" s="18">
        <v>1</v>
      </c>
      <c r="X2074" s="18">
        <v>1</v>
      </c>
      <c r="Y2074" s="18">
        <v>1</v>
      </c>
      <c r="Z2074" s="18">
        <v>1</v>
      </c>
      <c r="AA2074" s="18">
        <v>1</v>
      </c>
      <c r="AB2074" s="18">
        <v>1</v>
      </c>
      <c r="AC2074" s="316">
        <v>1</v>
      </c>
      <c r="AD2074" s="316">
        <v>1</v>
      </c>
      <c r="AE2074" s="302">
        <f t="shared" si="82"/>
        <v>1</v>
      </c>
      <c r="AF2074" s="176"/>
      <c r="AG2074" s="17">
        <v>0</v>
      </c>
      <c r="AH2074" s="176">
        <v>0</v>
      </c>
      <c r="AI2074" s="176">
        <v>1</v>
      </c>
      <c r="AJ2074" s="176">
        <v>1.2</v>
      </c>
      <c r="AK2074" s="177"/>
      <c r="AL2074" s="177">
        <v>10</v>
      </c>
      <c r="AM2074" s="147">
        <f t="shared" ref="AM2074:AM2105" si="83">SUM(AK2074:AL2074)</f>
        <v>10</v>
      </c>
      <c r="AN2074" s="18" t="s">
        <v>407</v>
      </c>
      <c r="AO2074" s="18" t="s">
        <v>409</v>
      </c>
      <c r="AP2074" s="18" t="s">
        <v>119</v>
      </c>
    </row>
    <row r="2075" spans="1:42" s="18" customFormat="1" x14ac:dyDescent="0.3">
      <c r="A2075" s="18" t="s">
        <v>1454</v>
      </c>
      <c r="B2075" s="18" t="s">
        <v>6438</v>
      </c>
      <c r="C2075" s="18">
        <v>101</v>
      </c>
      <c r="D2075" s="283" t="s">
        <v>6440</v>
      </c>
      <c r="E2075" s="18" t="s">
        <v>6692</v>
      </c>
      <c r="F2075" s="18" t="s">
        <v>6693</v>
      </c>
      <c r="G2075" s="156" t="s">
        <v>6707</v>
      </c>
      <c r="H2075" s="18" t="s">
        <v>6708</v>
      </c>
      <c r="K2075" s="156" t="s">
        <v>6709</v>
      </c>
      <c r="L2075" s="18" t="s">
        <v>6710</v>
      </c>
      <c r="M2075" s="18" t="s">
        <v>6711</v>
      </c>
      <c r="P2075" s="16"/>
      <c r="Q2075" s="16"/>
      <c r="R2075" s="16"/>
      <c r="S2075" s="16"/>
      <c r="U2075" s="283" t="e">
        <v>#N/A</v>
      </c>
      <c r="V2075" s="18" t="s">
        <v>6721</v>
      </c>
      <c r="W2075" s="18">
        <v>0</v>
      </c>
      <c r="X2075" s="18">
        <v>0</v>
      </c>
      <c r="Y2075" s="18">
        <v>1</v>
      </c>
      <c r="Z2075" s="18">
        <v>1</v>
      </c>
      <c r="AA2075" s="18">
        <v>1</v>
      </c>
      <c r="AB2075" s="18">
        <v>1</v>
      </c>
      <c r="AC2075" s="316">
        <v>0</v>
      </c>
      <c r="AD2075" s="316">
        <v>1</v>
      </c>
      <c r="AE2075" s="302">
        <f t="shared" si="82"/>
        <v>0.625</v>
      </c>
      <c r="AF2075" s="176"/>
      <c r="AG2075" s="17">
        <v>0</v>
      </c>
      <c r="AH2075" s="176">
        <v>0</v>
      </c>
      <c r="AI2075" s="176">
        <v>0.6</v>
      </c>
      <c r="AJ2075" s="176">
        <v>0.7</v>
      </c>
      <c r="AK2075" s="177">
        <v>0.8</v>
      </c>
      <c r="AL2075" s="177">
        <v>0.9</v>
      </c>
      <c r="AM2075" s="147">
        <f t="shared" si="83"/>
        <v>1.7000000000000002</v>
      </c>
      <c r="AN2075" s="18" t="s">
        <v>1035</v>
      </c>
      <c r="AO2075" s="18" t="s">
        <v>1037</v>
      </c>
      <c r="AP2075" s="18" t="s">
        <v>6543</v>
      </c>
    </row>
    <row r="2076" spans="1:42" s="18" customFormat="1" x14ac:dyDescent="0.3">
      <c r="A2076" s="18" t="s">
        <v>1454</v>
      </c>
      <c r="B2076" s="18" t="s">
        <v>6438</v>
      </c>
      <c r="C2076" s="18">
        <v>101</v>
      </c>
      <c r="D2076" s="283" t="s">
        <v>6440</v>
      </c>
      <c r="E2076" s="18" t="s">
        <v>6692</v>
      </c>
      <c r="F2076" s="18" t="s">
        <v>6693</v>
      </c>
      <c r="G2076" s="156" t="s">
        <v>6707</v>
      </c>
      <c r="H2076" s="18" t="s">
        <v>6708</v>
      </c>
      <c r="K2076" s="156" t="s">
        <v>6709</v>
      </c>
      <c r="L2076" s="18" t="s">
        <v>6710</v>
      </c>
      <c r="M2076" s="18" t="s">
        <v>6711</v>
      </c>
      <c r="P2076" s="16"/>
      <c r="Q2076" s="16"/>
      <c r="R2076" s="16"/>
      <c r="S2076" s="16"/>
      <c r="U2076" s="283" t="e">
        <v>#N/A</v>
      </c>
      <c r="V2076" s="18" t="s">
        <v>6722</v>
      </c>
      <c r="W2076" s="18">
        <v>0</v>
      </c>
      <c r="X2076" s="18">
        <v>0</v>
      </c>
      <c r="Y2076" s="18">
        <v>0</v>
      </c>
      <c r="Z2076" s="18">
        <v>1</v>
      </c>
      <c r="AA2076" s="18">
        <v>1</v>
      </c>
      <c r="AB2076" s="18">
        <v>1</v>
      </c>
      <c r="AC2076" s="316">
        <v>0</v>
      </c>
      <c r="AD2076" s="316">
        <v>1</v>
      </c>
      <c r="AE2076" s="302">
        <f t="shared" si="82"/>
        <v>0.5</v>
      </c>
      <c r="AF2076" s="176"/>
      <c r="AG2076" s="17">
        <v>0</v>
      </c>
      <c r="AH2076" s="176">
        <v>0</v>
      </c>
      <c r="AI2076" s="176">
        <v>0.3</v>
      </c>
      <c r="AJ2076" s="176">
        <v>0</v>
      </c>
      <c r="AK2076" s="177">
        <v>0</v>
      </c>
      <c r="AL2076" s="177">
        <v>0</v>
      </c>
      <c r="AM2076" s="147">
        <f t="shared" si="83"/>
        <v>0</v>
      </c>
      <c r="AN2076" s="18" t="s">
        <v>63</v>
      </c>
      <c r="AO2076" s="18" t="s">
        <v>2510</v>
      </c>
      <c r="AP2076" s="18" t="s">
        <v>6689</v>
      </c>
    </row>
    <row r="2077" spans="1:42" s="18" customFormat="1" x14ac:dyDescent="0.3">
      <c r="A2077" s="18" t="s">
        <v>1454</v>
      </c>
      <c r="B2077" s="18" t="s">
        <v>6438</v>
      </c>
      <c r="C2077" s="18">
        <v>101</v>
      </c>
      <c r="D2077" s="283" t="s">
        <v>6440</v>
      </c>
      <c r="E2077" s="18" t="s">
        <v>6692</v>
      </c>
      <c r="F2077" s="18" t="s">
        <v>6693</v>
      </c>
      <c r="G2077" s="156" t="s">
        <v>6723</v>
      </c>
      <c r="H2077" s="18" t="s">
        <v>6724</v>
      </c>
      <c r="K2077" s="156" t="s">
        <v>6725</v>
      </c>
      <c r="L2077" s="18" t="s">
        <v>6726</v>
      </c>
      <c r="M2077" s="18" t="s">
        <v>6727</v>
      </c>
      <c r="N2077" s="18" t="s">
        <v>6728</v>
      </c>
      <c r="O2077" s="18">
        <v>63</v>
      </c>
      <c r="P2077" s="16">
        <v>60</v>
      </c>
      <c r="Q2077" s="16">
        <v>57</v>
      </c>
      <c r="R2077" s="16">
        <v>55</v>
      </c>
      <c r="S2077" s="16">
        <v>52</v>
      </c>
      <c r="T2077" s="18" t="s">
        <v>570</v>
      </c>
      <c r="U2077" s="283" t="s">
        <v>2875</v>
      </c>
      <c r="V2077" s="18" t="s">
        <v>6729</v>
      </c>
      <c r="W2077" s="18">
        <v>1</v>
      </c>
      <c r="X2077" s="18">
        <v>0</v>
      </c>
      <c r="Y2077" s="18">
        <v>1</v>
      </c>
      <c r="Z2077" s="18">
        <v>1</v>
      </c>
      <c r="AA2077" s="18">
        <v>0</v>
      </c>
      <c r="AB2077" s="18">
        <v>0</v>
      </c>
      <c r="AC2077" s="316">
        <v>1</v>
      </c>
      <c r="AD2077" s="316">
        <v>1</v>
      </c>
      <c r="AE2077" s="302">
        <f t="shared" ref="AE2077:AE2108" si="84">SUM(W2077:AD2077)/8</f>
        <v>0.625</v>
      </c>
      <c r="AF2077" s="176"/>
      <c r="AG2077" s="17">
        <v>0</v>
      </c>
      <c r="AH2077" s="176">
        <v>0</v>
      </c>
      <c r="AI2077" s="176">
        <v>3.7</v>
      </c>
      <c r="AJ2077" s="176">
        <v>3.44</v>
      </c>
      <c r="AK2077" s="177"/>
      <c r="AL2077" s="177"/>
      <c r="AM2077" s="147">
        <f t="shared" si="83"/>
        <v>0</v>
      </c>
      <c r="AN2077" s="18" t="s">
        <v>63</v>
      </c>
      <c r="AO2077" s="18" t="s">
        <v>2510</v>
      </c>
      <c r="AP2077" s="18" t="s">
        <v>6689</v>
      </c>
    </row>
    <row r="2078" spans="1:42" s="18" customFormat="1" x14ac:dyDescent="0.3">
      <c r="A2078" s="18" t="s">
        <v>1454</v>
      </c>
      <c r="B2078" s="18" t="s">
        <v>6438</v>
      </c>
      <c r="C2078" s="18">
        <v>101</v>
      </c>
      <c r="D2078" s="283" t="s">
        <v>6440</v>
      </c>
      <c r="E2078" s="18" t="s">
        <v>6692</v>
      </c>
      <c r="F2078" s="18" t="s">
        <v>6693</v>
      </c>
      <c r="G2078" s="156" t="s">
        <v>6723</v>
      </c>
      <c r="H2078" s="18" t="s">
        <v>6724</v>
      </c>
      <c r="K2078" s="156" t="s">
        <v>6725</v>
      </c>
      <c r="L2078" s="18" t="s">
        <v>6726</v>
      </c>
      <c r="M2078" s="18" t="s">
        <v>6730</v>
      </c>
      <c r="N2078" s="18">
        <v>30</v>
      </c>
      <c r="O2078" s="18">
        <v>35</v>
      </c>
      <c r="P2078" s="16">
        <v>40</v>
      </c>
      <c r="Q2078" s="16">
        <v>45</v>
      </c>
      <c r="R2078" s="16">
        <v>50</v>
      </c>
      <c r="S2078" s="16">
        <v>55</v>
      </c>
      <c r="T2078" s="18" t="s">
        <v>570</v>
      </c>
      <c r="U2078" s="283" t="s">
        <v>2875</v>
      </c>
      <c r="V2078" s="18" t="s">
        <v>6731</v>
      </c>
      <c r="W2078" s="18">
        <v>1</v>
      </c>
      <c r="X2078" s="18">
        <v>1</v>
      </c>
      <c r="Y2078" s="18">
        <v>0</v>
      </c>
      <c r="Z2078" s="18">
        <v>1</v>
      </c>
      <c r="AA2078" s="18">
        <v>0</v>
      </c>
      <c r="AB2078" s="18">
        <v>1</v>
      </c>
      <c r="AC2078" s="316">
        <v>0</v>
      </c>
      <c r="AD2078" s="316">
        <v>1</v>
      </c>
      <c r="AE2078" s="302">
        <f t="shared" si="84"/>
        <v>0.625</v>
      </c>
      <c r="AF2078" s="176"/>
      <c r="AG2078" s="17">
        <v>0</v>
      </c>
      <c r="AH2078" s="176">
        <v>1</v>
      </c>
      <c r="AI2078" s="176">
        <v>2</v>
      </c>
      <c r="AJ2078" s="176">
        <v>2.7</v>
      </c>
      <c r="AK2078" s="177">
        <v>1</v>
      </c>
      <c r="AL2078" s="177">
        <v>2</v>
      </c>
      <c r="AM2078" s="147">
        <f t="shared" si="83"/>
        <v>3</v>
      </c>
      <c r="AN2078" s="18" t="s">
        <v>570</v>
      </c>
      <c r="AO2078" s="18" t="s">
        <v>2875</v>
      </c>
      <c r="AP2078" s="18" t="s">
        <v>6732</v>
      </c>
    </row>
    <row r="2079" spans="1:42" s="18" customFormat="1" x14ac:dyDescent="0.3">
      <c r="A2079" s="18" t="s">
        <v>1454</v>
      </c>
      <c r="B2079" s="18" t="s">
        <v>6438</v>
      </c>
      <c r="C2079" s="18">
        <v>101</v>
      </c>
      <c r="D2079" s="283" t="s">
        <v>6440</v>
      </c>
      <c r="E2079" s="18" t="s">
        <v>6692</v>
      </c>
      <c r="F2079" s="18" t="s">
        <v>6693</v>
      </c>
      <c r="G2079" s="156" t="s">
        <v>6723</v>
      </c>
      <c r="H2079" s="18" t="s">
        <v>6724</v>
      </c>
      <c r="K2079" s="156" t="s">
        <v>6725</v>
      </c>
      <c r="L2079" s="18" t="s">
        <v>6726</v>
      </c>
      <c r="M2079" s="18" t="s">
        <v>6733</v>
      </c>
      <c r="N2079" s="18">
        <v>18</v>
      </c>
      <c r="O2079" s="18">
        <v>25</v>
      </c>
      <c r="P2079" s="16">
        <v>31</v>
      </c>
      <c r="Q2079" s="16">
        <v>37</v>
      </c>
      <c r="R2079" s="16">
        <v>43</v>
      </c>
      <c r="S2079" s="16">
        <v>50</v>
      </c>
      <c r="T2079" s="18" t="s">
        <v>570</v>
      </c>
      <c r="U2079" s="283" t="s">
        <v>2875</v>
      </c>
      <c r="V2079" s="18" t="s">
        <v>6734</v>
      </c>
      <c r="W2079" s="18">
        <v>0</v>
      </c>
      <c r="X2079" s="18">
        <v>0</v>
      </c>
      <c r="Y2079" s="18">
        <v>0</v>
      </c>
      <c r="Z2079" s="18">
        <v>1</v>
      </c>
      <c r="AA2079" s="18">
        <v>1</v>
      </c>
      <c r="AB2079" s="18">
        <v>1</v>
      </c>
      <c r="AC2079" s="316">
        <v>1</v>
      </c>
      <c r="AD2079" s="316">
        <v>1</v>
      </c>
      <c r="AE2079" s="302">
        <f t="shared" si="84"/>
        <v>0.625</v>
      </c>
      <c r="AF2079" s="176"/>
      <c r="AG2079" s="17">
        <v>0</v>
      </c>
      <c r="AH2079" s="176">
        <v>0</v>
      </c>
      <c r="AI2079" s="176">
        <v>2.2999999999999998</v>
      </c>
      <c r="AJ2079" s="176">
        <v>0.5</v>
      </c>
      <c r="AK2079" s="177"/>
      <c r="AL2079" s="177"/>
      <c r="AM2079" s="147">
        <f t="shared" si="83"/>
        <v>0</v>
      </c>
      <c r="AN2079" s="18" t="s">
        <v>570</v>
      </c>
      <c r="AO2079" s="18" t="s">
        <v>2875</v>
      </c>
      <c r="AP2079" s="18" t="s">
        <v>6735</v>
      </c>
    </row>
    <row r="2080" spans="1:42" s="18" customFormat="1" x14ac:dyDescent="0.3">
      <c r="A2080" s="18" t="s">
        <v>1454</v>
      </c>
      <c r="B2080" s="18" t="s">
        <v>6438</v>
      </c>
      <c r="C2080" s="18">
        <v>101</v>
      </c>
      <c r="D2080" s="283" t="s">
        <v>6440</v>
      </c>
      <c r="E2080" s="18" t="s">
        <v>6692</v>
      </c>
      <c r="F2080" s="18" t="s">
        <v>6693</v>
      </c>
      <c r="G2080" s="156" t="s">
        <v>6723</v>
      </c>
      <c r="H2080" s="18" t="s">
        <v>6724</v>
      </c>
      <c r="K2080" s="156" t="s">
        <v>6725</v>
      </c>
      <c r="L2080" s="18" t="s">
        <v>6726</v>
      </c>
      <c r="M2080" s="18" t="s">
        <v>6733</v>
      </c>
      <c r="P2080" s="16"/>
      <c r="Q2080" s="16"/>
      <c r="R2080" s="16"/>
      <c r="S2080" s="16"/>
      <c r="U2080" s="283" t="e">
        <v>#N/A</v>
      </c>
      <c r="V2080" s="18" t="s">
        <v>6736</v>
      </c>
      <c r="W2080" s="18">
        <v>0</v>
      </c>
      <c r="X2080" s="18">
        <v>0</v>
      </c>
      <c r="Y2080" s="18">
        <v>0</v>
      </c>
      <c r="Z2080" s="18">
        <v>0</v>
      </c>
      <c r="AA2080" s="18">
        <v>1</v>
      </c>
      <c r="AB2080" s="18">
        <v>1</v>
      </c>
      <c r="AC2080" s="316">
        <v>0</v>
      </c>
      <c r="AD2080" s="316">
        <v>1</v>
      </c>
      <c r="AE2080" s="302">
        <f t="shared" si="84"/>
        <v>0.375</v>
      </c>
      <c r="AF2080" s="176"/>
      <c r="AG2080" s="17">
        <v>0</v>
      </c>
      <c r="AH2080" s="176">
        <v>0</v>
      </c>
      <c r="AI2080" s="176">
        <v>1.8</v>
      </c>
      <c r="AJ2080" s="176">
        <v>0.35</v>
      </c>
      <c r="AK2080" s="177"/>
      <c r="AL2080" s="177"/>
      <c r="AM2080" s="147">
        <f t="shared" si="83"/>
        <v>0</v>
      </c>
      <c r="AN2080" s="18" t="s">
        <v>570</v>
      </c>
      <c r="AO2080" s="18" t="s">
        <v>2875</v>
      </c>
      <c r="AP2080" s="18" t="s">
        <v>6735</v>
      </c>
    </row>
    <row r="2081" spans="1:42" s="18" customFormat="1" x14ac:dyDescent="0.3">
      <c r="A2081" s="18" t="s">
        <v>1454</v>
      </c>
      <c r="B2081" s="18" t="s">
        <v>6438</v>
      </c>
      <c r="C2081" s="18">
        <v>101</v>
      </c>
      <c r="D2081" s="283" t="s">
        <v>6440</v>
      </c>
      <c r="E2081" s="18" t="s">
        <v>6692</v>
      </c>
      <c r="F2081" s="18" t="s">
        <v>6693</v>
      </c>
      <c r="G2081" s="156" t="s">
        <v>6723</v>
      </c>
      <c r="H2081" s="18" t="s">
        <v>6724</v>
      </c>
      <c r="K2081" s="156" t="s">
        <v>6725</v>
      </c>
      <c r="L2081" s="18" t="s">
        <v>6726</v>
      </c>
      <c r="M2081" s="18" t="s">
        <v>6733</v>
      </c>
      <c r="P2081" s="16"/>
      <c r="Q2081" s="16"/>
      <c r="R2081" s="16"/>
      <c r="S2081" s="16"/>
      <c r="U2081" s="283" t="e">
        <v>#N/A</v>
      </c>
      <c r="V2081" s="18" t="s">
        <v>6737</v>
      </c>
      <c r="W2081" s="18">
        <v>0</v>
      </c>
      <c r="X2081" s="18">
        <v>0</v>
      </c>
      <c r="Y2081" s="18">
        <v>0</v>
      </c>
      <c r="Z2081" s="18">
        <v>1</v>
      </c>
      <c r="AA2081" s="18">
        <v>1</v>
      </c>
      <c r="AB2081" s="18">
        <v>0</v>
      </c>
      <c r="AC2081" s="316">
        <v>1</v>
      </c>
      <c r="AD2081" s="316">
        <v>1</v>
      </c>
      <c r="AE2081" s="302">
        <f t="shared" si="84"/>
        <v>0.5</v>
      </c>
      <c r="AF2081" s="176"/>
      <c r="AG2081" s="17">
        <v>0</v>
      </c>
      <c r="AH2081" s="176">
        <v>0</v>
      </c>
      <c r="AI2081" s="176">
        <v>0</v>
      </c>
      <c r="AJ2081" s="176">
        <v>0</v>
      </c>
      <c r="AK2081" s="177"/>
      <c r="AL2081" s="177">
        <v>0</v>
      </c>
      <c r="AM2081" s="147">
        <f t="shared" si="83"/>
        <v>0</v>
      </c>
      <c r="AN2081" s="18" t="s">
        <v>63</v>
      </c>
      <c r="AO2081" s="18" t="s">
        <v>2510</v>
      </c>
      <c r="AP2081" s="18" t="s">
        <v>6611</v>
      </c>
    </row>
    <row r="2082" spans="1:42" s="18" customFormat="1" x14ac:dyDescent="0.3">
      <c r="A2082" s="18" t="s">
        <v>1454</v>
      </c>
      <c r="B2082" s="18" t="s">
        <v>6438</v>
      </c>
      <c r="C2082" s="18">
        <v>101</v>
      </c>
      <c r="D2082" s="283" t="s">
        <v>6440</v>
      </c>
      <c r="E2082" s="18" t="s">
        <v>6692</v>
      </c>
      <c r="F2082" s="18" t="s">
        <v>6693</v>
      </c>
      <c r="G2082" s="156" t="s">
        <v>6738</v>
      </c>
      <c r="H2082" s="18" t="s">
        <v>6739</v>
      </c>
      <c r="K2082" s="156" t="s">
        <v>6740</v>
      </c>
      <c r="L2082" s="18" t="s">
        <v>6741</v>
      </c>
      <c r="M2082" s="18" t="s">
        <v>6742</v>
      </c>
      <c r="N2082" s="18">
        <v>14</v>
      </c>
      <c r="O2082" s="18">
        <v>32</v>
      </c>
      <c r="P2082" s="16">
        <v>41</v>
      </c>
      <c r="Q2082" s="16">
        <v>53</v>
      </c>
      <c r="R2082" s="16">
        <v>67</v>
      </c>
      <c r="S2082" s="16">
        <v>82</v>
      </c>
      <c r="T2082" s="18" t="s">
        <v>570</v>
      </c>
      <c r="U2082" s="283" t="s">
        <v>2875</v>
      </c>
      <c r="V2082" s="18" t="s">
        <v>6743</v>
      </c>
      <c r="W2082" s="18">
        <v>0</v>
      </c>
      <c r="X2082" s="18">
        <v>0</v>
      </c>
      <c r="Y2082" s="18">
        <v>0</v>
      </c>
      <c r="Z2082" s="18">
        <v>0</v>
      </c>
      <c r="AA2082" s="18">
        <v>1</v>
      </c>
      <c r="AB2082" s="18">
        <v>1</v>
      </c>
      <c r="AC2082" s="316">
        <v>1</v>
      </c>
      <c r="AD2082" s="316">
        <v>1</v>
      </c>
      <c r="AE2082" s="302">
        <f t="shared" si="84"/>
        <v>0.5</v>
      </c>
      <c r="AF2082" s="176"/>
      <c r="AG2082" s="17">
        <v>0</v>
      </c>
      <c r="AH2082" s="176">
        <v>0</v>
      </c>
      <c r="AI2082" s="176">
        <v>0.4</v>
      </c>
      <c r="AJ2082" s="176">
        <v>0.4</v>
      </c>
      <c r="AK2082" s="177"/>
      <c r="AL2082" s="177"/>
      <c r="AM2082" s="147">
        <f t="shared" si="83"/>
        <v>0</v>
      </c>
      <c r="AN2082" s="18" t="s">
        <v>63</v>
      </c>
      <c r="AO2082" s="18" t="s">
        <v>2510</v>
      </c>
      <c r="AP2082" s="18" t="s">
        <v>6744</v>
      </c>
    </row>
    <row r="2083" spans="1:42" s="18" customFormat="1" x14ac:dyDescent="0.3">
      <c r="A2083" s="18" t="s">
        <v>1454</v>
      </c>
      <c r="B2083" s="18" t="s">
        <v>6438</v>
      </c>
      <c r="C2083" s="18">
        <v>101</v>
      </c>
      <c r="D2083" s="283" t="s">
        <v>6440</v>
      </c>
      <c r="E2083" s="18" t="s">
        <v>6692</v>
      </c>
      <c r="F2083" s="18" t="s">
        <v>6693</v>
      </c>
      <c r="G2083" s="156" t="s">
        <v>6738</v>
      </c>
      <c r="H2083" s="18" t="s">
        <v>6739</v>
      </c>
      <c r="K2083" s="156" t="s">
        <v>6745</v>
      </c>
      <c r="L2083" s="18" t="s">
        <v>6746</v>
      </c>
      <c r="M2083" s="18" t="s">
        <v>6747</v>
      </c>
      <c r="N2083" s="18">
        <v>0</v>
      </c>
      <c r="O2083" s="18">
        <v>10</v>
      </c>
      <c r="P2083" s="16">
        <v>20</v>
      </c>
      <c r="Q2083" s="16">
        <v>30</v>
      </c>
      <c r="R2083" s="16">
        <v>40</v>
      </c>
      <c r="S2083" s="16">
        <v>50</v>
      </c>
      <c r="T2083" s="18" t="s">
        <v>570</v>
      </c>
      <c r="U2083" s="283" t="s">
        <v>2875</v>
      </c>
      <c r="V2083" s="18" t="s">
        <v>6748</v>
      </c>
      <c r="W2083" s="18">
        <v>0</v>
      </c>
      <c r="X2083" s="18">
        <v>0</v>
      </c>
      <c r="Y2083" s="18">
        <v>0</v>
      </c>
      <c r="Z2083" s="18">
        <v>0</v>
      </c>
      <c r="AA2083" s="18">
        <v>1</v>
      </c>
      <c r="AB2083" s="18">
        <v>1</v>
      </c>
      <c r="AC2083" s="316">
        <v>1</v>
      </c>
      <c r="AD2083" s="316">
        <v>1</v>
      </c>
      <c r="AE2083" s="302">
        <f t="shared" si="84"/>
        <v>0.5</v>
      </c>
      <c r="AF2083" s="176"/>
      <c r="AG2083" s="17">
        <v>0</v>
      </c>
      <c r="AH2083" s="176">
        <v>0</v>
      </c>
      <c r="AI2083" s="176">
        <v>0.6</v>
      </c>
      <c r="AJ2083" s="176">
        <v>0.7</v>
      </c>
      <c r="AK2083" s="177"/>
      <c r="AL2083" s="177"/>
      <c r="AM2083" s="147">
        <f t="shared" si="83"/>
        <v>0</v>
      </c>
      <c r="AN2083" s="18" t="s">
        <v>63</v>
      </c>
      <c r="AO2083" s="18" t="s">
        <v>2510</v>
      </c>
      <c r="AP2083" s="18" t="s">
        <v>3829</v>
      </c>
    </row>
    <row r="2084" spans="1:42" s="18" customFormat="1" x14ac:dyDescent="0.3">
      <c r="A2084" s="18" t="s">
        <v>1454</v>
      </c>
      <c r="B2084" s="18" t="s">
        <v>6438</v>
      </c>
      <c r="C2084" s="18">
        <v>101</v>
      </c>
      <c r="D2084" s="283" t="s">
        <v>6440</v>
      </c>
      <c r="E2084" s="18" t="s">
        <v>6692</v>
      </c>
      <c r="F2084" s="18" t="s">
        <v>6693</v>
      </c>
      <c r="G2084" s="156" t="s">
        <v>6738</v>
      </c>
      <c r="H2084" s="18" t="s">
        <v>6739</v>
      </c>
      <c r="K2084" s="156" t="s">
        <v>6745</v>
      </c>
      <c r="L2084" s="18" t="s">
        <v>6746</v>
      </c>
      <c r="M2084" s="18" t="s">
        <v>6747</v>
      </c>
      <c r="P2084" s="16"/>
      <c r="Q2084" s="16"/>
      <c r="R2084" s="16"/>
      <c r="S2084" s="16"/>
      <c r="U2084" s="283" t="e">
        <v>#N/A</v>
      </c>
      <c r="V2084" s="18" t="s">
        <v>6749</v>
      </c>
      <c r="W2084" s="18">
        <v>0</v>
      </c>
      <c r="X2084" s="18">
        <v>0</v>
      </c>
      <c r="Y2084" s="18">
        <v>0</v>
      </c>
      <c r="Z2084" s="18">
        <v>0</v>
      </c>
      <c r="AA2084" s="18">
        <v>0</v>
      </c>
      <c r="AB2084" s="18">
        <v>0</v>
      </c>
      <c r="AC2084" s="316">
        <v>1</v>
      </c>
      <c r="AD2084" s="316">
        <v>1</v>
      </c>
      <c r="AE2084" s="302">
        <f t="shared" si="84"/>
        <v>0.25</v>
      </c>
      <c r="AF2084" s="176"/>
      <c r="AG2084" s="17">
        <v>0</v>
      </c>
      <c r="AH2084" s="176">
        <v>0</v>
      </c>
      <c r="AI2084" s="176">
        <v>0.2</v>
      </c>
      <c r="AJ2084" s="176">
        <v>0.2</v>
      </c>
      <c r="AK2084" s="177"/>
      <c r="AL2084" s="177"/>
      <c r="AM2084" s="147">
        <f t="shared" si="83"/>
        <v>0</v>
      </c>
      <c r="AN2084" s="18" t="s">
        <v>63</v>
      </c>
      <c r="AO2084" s="18" t="s">
        <v>2510</v>
      </c>
      <c r="AP2084" s="18" t="s">
        <v>119</v>
      </c>
    </row>
    <row r="2085" spans="1:42" s="18" customFormat="1" x14ac:dyDescent="0.3">
      <c r="A2085" s="18" t="s">
        <v>1454</v>
      </c>
      <c r="B2085" s="18" t="s">
        <v>6438</v>
      </c>
      <c r="C2085" s="18">
        <v>101</v>
      </c>
      <c r="D2085" s="283" t="s">
        <v>6440</v>
      </c>
      <c r="E2085" s="18" t="s">
        <v>6692</v>
      </c>
      <c r="F2085" s="18" t="s">
        <v>6693</v>
      </c>
      <c r="G2085" s="156" t="s">
        <v>6750</v>
      </c>
      <c r="H2085" s="18" t="s">
        <v>6751</v>
      </c>
      <c r="K2085" s="156" t="s">
        <v>6752</v>
      </c>
      <c r="L2085" s="18" t="s">
        <v>6753</v>
      </c>
      <c r="P2085" s="16"/>
      <c r="Q2085" s="16"/>
      <c r="R2085" s="16"/>
      <c r="S2085" s="16"/>
      <c r="U2085" s="283" t="e">
        <v>#N/A</v>
      </c>
      <c r="V2085" s="18" t="s">
        <v>6754</v>
      </c>
      <c r="W2085" s="18">
        <v>0</v>
      </c>
      <c r="X2085" s="18">
        <v>0</v>
      </c>
      <c r="Y2085" s="18">
        <v>0</v>
      </c>
      <c r="Z2085" s="18">
        <v>1</v>
      </c>
      <c r="AA2085" s="18">
        <v>0</v>
      </c>
      <c r="AB2085" s="18">
        <v>0</v>
      </c>
      <c r="AC2085" s="316">
        <v>0</v>
      </c>
      <c r="AD2085" s="316">
        <v>0</v>
      </c>
      <c r="AE2085" s="302">
        <f t="shared" si="84"/>
        <v>0.125</v>
      </c>
      <c r="AF2085" s="176"/>
      <c r="AG2085" s="17">
        <v>0</v>
      </c>
      <c r="AH2085" s="176">
        <v>0.4</v>
      </c>
      <c r="AI2085" s="176">
        <v>0.6</v>
      </c>
      <c r="AJ2085" s="176">
        <v>0.7</v>
      </c>
      <c r="AK2085" s="177"/>
      <c r="AL2085" s="177"/>
      <c r="AM2085" s="147">
        <f t="shared" si="83"/>
        <v>0</v>
      </c>
      <c r="AN2085" s="18" t="s">
        <v>570</v>
      </c>
      <c r="AO2085" s="18" t="s">
        <v>2875</v>
      </c>
      <c r="AP2085" s="18" t="s">
        <v>119</v>
      </c>
    </row>
    <row r="2086" spans="1:42" s="18" customFormat="1" x14ac:dyDescent="0.3">
      <c r="A2086" s="18" t="s">
        <v>1454</v>
      </c>
      <c r="B2086" s="18" t="s">
        <v>6438</v>
      </c>
      <c r="C2086" s="18">
        <v>101</v>
      </c>
      <c r="D2086" s="283" t="s">
        <v>6440</v>
      </c>
      <c r="E2086" s="18" t="s">
        <v>6692</v>
      </c>
      <c r="F2086" s="18" t="s">
        <v>6693</v>
      </c>
      <c r="G2086" s="156" t="s">
        <v>6750</v>
      </c>
      <c r="H2086" s="18" t="s">
        <v>6751</v>
      </c>
      <c r="K2086" s="156" t="s">
        <v>6752</v>
      </c>
      <c r="L2086" s="18" t="s">
        <v>6753</v>
      </c>
      <c r="P2086" s="16"/>
      <c r="Q2086" s="16"/>
      <c r="R2086" s="16"/>
      <c r="S2086" s="16"/>
      <c r="U2086" s="283" t="e">
        <v>#N/A</v>
      </c>
      <c r="V2086" s="18" t="s">
        <v>6755</v>
      </c>
      <c r="W2086" s="18">
        <v>0</v>
      </c>
      <c r="X2086" s="18">
        <v>0</v>
      </c>
      <c r="Y2086" s="18">
        <v>0</v>
      </c>
      <c r="Z2086" s="18">
        <v>1</v>
      </c>
      <c r="AA2086" s="18">
        <v>0</v>
      </c>
      <c r="AB2086" s="18">
        <v>0</v>
      </c>
      <c r="AC2086" s="316">
        <v>1</v>
      </c>
      <c r="AD2086" s="316">
        <v>1</v>
      </c>
      <c r="AE2086" s="302">
        <f t="shared" si="84"/>
        <v>0.375</v>
      </c>
      <c r="AF2086" s="176"/>
      <c r="AG2086" s="17">
        <v>0</v>
      </c>
      <c r="AH2086" s="176">
        <v>0</v>
      </c>
      <c r="AI2086" s="176">
        <v>0.8</v>
      </c>
      <c r="AJ2086" s="176">
        <v>0.8</v>
      </c>
      <c r="AK2086" s="177"/>
      <c r="AL2086" s="177"/>
      <c r="AM2086" s="147">
        <f t="shared" si="83"/>
        <v>0</v>
      </c>
      <c r="AN2086" s="18" t="s">
        <v>570</v>
      </c>
      <c r="AO2086" s="18" t="s">
        <v>2875</v>
      </c>
      <c r="AP2086" s="18" t="s">
        <v>6703</v>
      </c>
    </row>
    <row r="2087" spans="1:42" s="18" customFormat="1" x14ac:dyDescent="0.3">
      <c r="A2087" s="18" t="s">
        <v>1454</v>
      </c>
      <c r="B2087" s="18" t="s">
        <v>6438</v>
      </c>
      <c r="C2087" s="18">
        <v>101</v>
      </c>
      <c r="D2087" s="283" t="s">
        <v>6440</v>
      </c>
      <c r="E2087" s="18" t="s">
        <v>6692</v>
      </c>
      <c r="F2087" s="18" t="s">
        <v>6693</v>
      </c>
      <c r="G2087" s="156" t="s">
        <v>6750</v>
      </c>
      <c r="H2087" s="18" t="s">
        <v>6751</v>
      </c>
      <c r="K2087" s="156" t="s">
        <v>6752</v>
      </c>
      <c r="L2087" s="18" t="s">
        <v>6753</v>
      </c>
      <c r="P2087" s="16"/>
      <c r="Q2087" s="16"/>
      <c r="R2087" s="16"/>
      <c r="S2087" s="16"/>
      <c r="U2087" s="283" t="e">
        <v>#N/A</v>
      </c>
      <c r="V2087" s="18" t="s">
        <v>6756</v>
      </c>
      <c r="W2087" s="18">
        <v>1</v>
      </c>
      <c r="X2087" s="18">
        <v>1</v>
      </c>
      <c r="Y2087" s="18">
        <v>0</v>
      </c>
      <c r="Z2087" s="18">
        <v>1</v>
      </c>
      <c r="AA2087" s="18">
        <v>1</v>
      </c>
      <c r="AB2087" s="18">
        <v>1</v>
      </c>
      <c r="AC2087" s="316">
        <v>1</v>
      </c>
      <c r="AD2087" s="316">
        <v>1</v>
      </c>
      <c r="AE2087" s="302">
        <f t="shared" si="84"/>
        <v>0.875</v>
      </c>
      <c r="AF2087" s="176"/>
      <c r="AG2087" s="17">
        <v>0</v>
      </c>
      <c r="AH2087" s="176">
        <v>0.4</v>
      </c>
      <c r="AI2087" s="176">
        <v>0.6</v>
      </c>
      <c r="AJ2087" s="176">
        <v>0.7</v>
      </c>
      <c r="AK2087" s="177">
        <v>5</v>
      </c>
      <c r="AL2087" s="177">
        <v>5</v>
      </c>
      <c r="AM2087" s="147">
        <f t="shared" si="83"/>
        <v>10</v>
      </c>
      <c r="AN2087" s="18" t="s">
        <v>570</v>
      </c>
      <c r="AO2087" s="18" t="s">
        <v>2875</v>
      </c>
      <c r="AP2087" s="18" t="s">
        <v>6565</v>
      </c>
    </row>
    <row r="2088" spans="1:42" s="18" customFormat="1" x14ac:dyDescent="0.3">
      <c r="A2088" s="18" t="s">
        <v>1454</v>
      </c>
      <c r="B2088" s="18" t="s">
        <v>6438</v>
      </c>
      <c r="C2088" s="18">
        <v>101</v>
      </c>
      <c r="D2088" s="283" t="s">
        <v>6440</v>
      </c>
      <c r="E2088" s="18" t="s">
        <v>6692</v>
      </c>
      <c r="F2088" s="18" t="s">
        <v>6693</v>
      </c>
      <c r="G2088" s="156" t="s">
        <v>6750</v>
      </c>
      <c r="H2088" s="18" t="s">
        <v>6751</v>
      </c>
      <c r="I2088" s="156" t="s">
        <v>6757</v>
      </c>
      <c r="J2088" s="18" t="s">
        <v>6758</v>
      </c>
      <c r="K2088" s="156" t="s">
        <v>6759</v>
      </c>
      <c r="L2088" s="18" t="s">
        <v>6760</v>
      </c>
      <c r="M2088" s="18" t="s">
        <v>6761</v>
      </c>
      <c r="N2088" s="18">
        <v>14</v>
      </c>
      <c r="O2088" s="18">
        <v>32</v>
      </c>
      <c r="P2088" s="16">
        <v>41</v>
      </c>
      <c r="Q2088" s="16">
        <v>53</v>
      </c>
      <c r="R2088" s="16">
        <v>67</v>
      </c>
      <c r="S2088" s="16">
        <v>82</v>
      </c>
      <c r="T2088" s="18" t="s">
        <v>570</v>
      </c>
      <c r="U2088" s="283" t="s">
        <v>2875</v>
      </c>
      <c r="V2088" s="18" t="s">
        <v>6762</v>
      </c>
      <c r="W2088" s="18">
        <v>1</v>
      </c>
      <c r="X2088" s="18">
        <v>1</v>
      </c>
      <c r="Y2088" s="18">
        <v>0</v>
      </c>
      <c r="Z2088" s="18">
        <v>1</v>
      </c>
      <c r="AA2088" s="18">
        <v>1</v>
      </c>
      <c r="AB2088" s="18">
        <v>1</v>
      </c>
      <c r="AC2088" s="316">
        <v>1</v>
      </c>
      <c r="AD2088" s="316">
        <v>1</v>
      </c>
      <c r="AE2088" s="302">
        <f t="shared" si="84"/>
        <v>0.875</v>
      </c>
      <c r="AF2088" s="176"/>
      <c r="AG2088" s="17">
        <v>0</v>
      </c>
      <c r="AH2088" s="176">
        <v>0</v>
      </c>
      <c r="AI2088" s="176">
        <v>4</v>
      </c>
      <c r="AJ2088" s="176">
        <v>6</v>
      </c>
      <c r="AK2088" s="177">
        <v>1</v>
      </c>
      <c r="AL2088" s="177">
        <v>1</v>
      </c>
      <c r="AM2088" s="147">
        <f t="shared" si="83"/>
        <v>2</v>
      </c>
      <c r="AN2088" s="18" t="s">
        <v>407</v>
      </c>
      <c r="AO2088" s="18" t="s">
        <v>409</v>
      </c>
      <c r="AP2088" s="18" t="s">
        <v>119</v>
      </c>
    </row>
    <row r="2089" spans="1:42" s="18" customFormat="1" x14ac:dyDescent="0.3">
      <c r="A2089" s="18" t="s">
        <v>1454</v>
      </c>
      <c r="B2089" s="18" t="s">
        <v>6438</v>
      </c>
      <c r="C2089" s="18">
        <v>101</v>
      </c>
      <c r="D2089" s="283" t="s">
        <v>6440</v>
      </c>
      <c r="E2089" s="18" t="s">
        <v>6692</v>
      </c>
      <c r="F2089" s="18" t="s">
        <v>6693</v>
      </c>
      <c r="G2089" s="156" t="s">
        <v>6750</v>
      </c>
      <c r="H2089" s="18" t="s">
        <v>6751</v>
      </c>
      <c r="I2089" s="156" t="s">
        <v>6757</v>
      </c>
      <c r="J2089" s="18" t="s">
        <v>6758</v>
      </c>
      <c r="K2089" s="156" t="s">
        <v>6759</v>
      </c>
      <c r="L2089" s="18" t="s">
        <v>6760</v>
      </c>
      <c r="M2089" s="18" t="s">
        <v>6761</v>
      </c>
      <c r="P2089" s="16"/>
      <c r="Q2089" s="16"/>
      <c r="R2089" s="16"/>
      <c r="S2089" s="16"/>
      <c r="U2089" s="283" t="e">
        <v>#N/A</v>
      </c>
      <c r="V2089" s="18" t="s">
        <v>6763</v>
      </c>
      <c r="W2089" s="18">
        <v>1</v>
      </c>
      <c r="X2089" s="18">
        <v>1</v>
      </c>
      <c r="Y2089" s="18">
        <v>0</v>
      </c>
      <c r="Z2089" s="18">
        <v>1</v>
      </c>
      <c r="AA2089" s="18">
        <v>1</v>
      </c>
      <c r="AB2089" s="18">
        <v>1</v>
      </c>
      <c r="AC2089" s="316">
        <v>1</v>
      </c>
      <c r="AD2089" s="316">
        <v>1</v>
      </c>
      <c r="AE2089" s="302">
        <f t="shared" si="84"/>
        <v>0.875</v>
      </c>
      <c r="AF2089" s="176"/>
      <c r="AG2089" s="17">
        <v>0</v>
      </c>
      <c r="AH2089" s="176">
        <v>0</v>
      </c>
      <c r="AI2089" s="176">
        <v>7.0000000000000007E-2</v>
      </c>
      <c r="AJ2089" s="176">
        <v>7.0000000000000007E-2</v>
      </c>
      <c r="AK2089" s="177"/>
      <c r="AL2089" s="177"/>
      <c r="AM2089" s="147">
        <f t="shared" si="83"/>
        <v>0</v>
      </c>
      <c r="AN2089" s="18" t="s">
        <v>407</v>
      </c>
      <c r="AO2089" s="18" t="s">
        <v>409</v>
      </c>
      <c r="AP2089" s="18" t="s">
        <v>119</v>
      </c>
    </row>
    <row r="2090" spans="1:42" s="18" customFormat="1" x14ac:dyDescent="0.3">
      <c r="A2090" s="18" t="s">
        <v>1454</v>
      </c>
      <c r="B2090" s="18" t="s">
        <v>6438</v>
      </c>
      <c r="C2090" s="18">
        <v>101</v>
      </c>
      <c r="D2090" s="283" t="s">
        <v>6440</v>
      </c>
      <c r="E2090" s="18" t="s">
        <v>6692</v>
      </c>
      <c r="F2090" s="18" t="s">
        <v>6693</v>
      </c>
      <c r="G2090" s="156" t="s">
        <v>6750</v>
      </c>
      <c r="H2090" s="18" t="s">
        <v>6751</v>
      </c>
      <c r="I2090" s="156" t="s">
        <v>6757</v>
      </c>
      <c r="J2090" s="18" t="s">
        <v>6758</v>
      </c>
      <c r="K2090" s="156" t="s">
        <v>6759</v>
      </c>
      <c r="L2090" s="18" t="s">
        <v>6760</v>
      </c>
      <c r="M2090" s="18" t="s">
        <v>6761</v>
      </c>
      <c r="P2090" s="16"/>
      <c r="Q2090" s="16"/>
      <c r="R2090" s="16"/>
      <c r="S2090" s="16"/>
      <c r="U2090" s="283" t="e">
        <v>#N/A</v>
      </c>
      <c r="V2090" s="18" t="s">
        <v>6764</v>
      </c>
      <c r="W2090" s="18">
        <v>0</v>
      </c>
      <c r="X2090" s="18">
        <v>0</v>
      </c>
      <c r="Y2090" s="18">
        <v>0</v>
      </c>
      <c r="Z2090" s="18">
        <v>1</v>
      </c>
      <c r="AA2090" s="18">
        <v>1</v>
      </c>
      <c r="AB2090" s="18">
        <v>1</v>
      </c>
      <c r="AC2090" s="316">
        <v>1</v>
      </c>
      <c r="AD2090" s="316">
        <v>0</v>
      </c>
      <c r="AE2090" s="302">
        <f t="shared" si="84"/>
        <v>0.5</v>
      </c>
      <c r="AF2090" s="176"/>
      <c r="AG2090" s="17">
        <v>0</v>
      </c>
      <c r="AH2090" s="176">
        <v>0.6</v>
      </c>
      <c r="AI2090" s="176">
        <v>0.65</v>
      </c>
      <c r="AJ2090" s="176">
        <v>0.65</v>
      </c>
      <c r="AK2090" s="177"/>
      <c r="AL2090" s="177"/>
      <c r="AM2090" s="147">
        <f t="shared" si="83"/>
        <v>0</v>
      </c>
      <c r="AN2090" s="18" t="s">
        <v>407</v>
      </c>
      <c r="AO2090" s="18" t="s">
        <v>409</v>
      </c>
      <c r="AP2090" s="18" t="s">
        <v>119</v>
      </c>
    </row>
    <row r="2091" spans="1:42" s="18" customFormat="1" x14ac:dyDescent="0.3">
      <c r="A2091" s="18" t="s">
        <v>1454</v>
      </c>
      <c r="B2091" s="18" t="s">
        <v>6438</v>
      </c>
      <c r="C2091" s="18">
        <v>101</v>
      </c>
      <c r="D2091" s="283" t="s">
        <v>6440</v>
      </c>
      <c r="E2091" s="18" t="s">
        <v>6692</v>
      </c>
      <c r="F2091" s="18" t="s">
        <v>6693</v>
      </c>
      <c r="G2091" s="156" t="s">
        <v>6750</v>
      </c>
      <c r="H2091" s="18" t="s">
        <v>6751</v>
      </c>
      <c r="I2091" s="156" t="s">
        <v>6757</v>
      </c>
      <c r="J2091" s="18" t="s">
        <v>6758</v>
      </c>
      <c r="K2091" s="156" t="s">
        <v>6759</v>
      </c>
      <c r="L2091" s="18" t="s">
        <v>6760</v>
      </c>
      <c r="M2091" s="18" t="s">
        <v>6761</v>
      </c>
      <c r="P2091" s="16"/>
      <c r="Q2091" s="16"/>
      <c r="R2091" s="16"/>
      <c r="S2091" s="16"/>
      <c r="U2091" s="283" t="e">
        <v>#N/A</v>
      </c>
      <c r="V2091" s="18" t="s">
        <v>6765</v>
      </c>
      <c r="W2091" s="18">
        <v>0</v>
      </c>
      <c r="X2091" s="18">
        <v>0</v>
      </c>
      <c r="Y2091" s="18">
        <v>0</v>
      </c>
      <c r="Z2091" s="18">
        <v>1</v>
      </c>
      <c r="AA2091" s="18">
        <v>1</v>
      </c>
      <c r="AB2091" s="18">
        <v>1</v>
      </c>
      <c r="AC2091" s="316">
        <v>1</v>
      </c>
      <c r="AD2091" s="316">
        <v>0</v>
      </c>
      <c r="AE2091" s="302">
        <f t="shared" si="84"/>
        <v>0.5</v>
      </c>
      <c r="AF2091" s="176"/>
      <c r="AG2091" s="17">
        <v>0</v>
      </c>
      <c r="AH2091" s="176">
        <v>0.4</v>
      </c>
      <c r="AI2091" s="176">
        <v>0.6</v>
      </c>
      <c r="AJ2091" s="176">
        <v>0.7</v>
      </c>
      <c r="AK2091" s="177"/>
      <c r="AL2091" s="177"/>
      <c r="AM2091" s="147">
        <f t="shared" si="83"/>
        <v>0</v>
      </c>
      <c r="AN2091" s="18" t="s">
        <v>407</v>
      </c>
      <c r="AO2091" s="18" t="s">
        <v>409</v>
      </c>
      <c r="AP2091" s="18" t="s">
        <v>3829</v>
      </c>
    </row>
    <row r="2092" spans="1:42" s="18" customFormat="1" x14ac:dyDescent="0.3">
      <c r="A2092" s="18" t="s">
        <v>1454</v>
      </c>
      <c r="B2092" s="18" t="s">
        <v>6438</v>
      </c>
      <c r="C2092" s="18">
        <v>101</v>
      </c>
      <c r="D2092" s="283" t="s">
        <v>6440</v>
      </c>
      <c r="E2092" s="18" t="s">
        <v>6692</v>
      </c>
      <c r="F2092" s="18" t="s">
        <v>6693</v>
      </c>
      <c r="G2092" s="156" t="s">
        <v>6750</v>
      </c>
      <c r="H2092" s="18" t="s">
        <v>6751</v>
      </c>
      <c r="I2092" s="156" t="s">
        <v>6757</v>
      </c>
      <c r="J2092" s="18" t="s">
        <v>6758</v>
      </c>
      <c r="K2092" s="156" t="s">
        <v>6759</v>
      </c>
      <c r="L2092" s="18" t="s">
        <v>6760</v>
      </c>
      <c r="M2092" s="18" t="s">
        <v>6761</v>
      </c>
      <c r="P2092" s="16"/>
      <c r="Q2092" s="16"/>
      <c r="R2092" s="16"/>
      <c r="S2092" s="16"/>
      <c r="U2092" s="283" t="e">
        <v>#N/A</v>
      </c>
      <c r="V2092" s="18" t="s">
        <v>6766</v>
      </c>
      <c r="W2092" s="18">
        <v>1</v>
      </c>
      <c r="X2092" s="18">
        <v>1</v>
      </c>
      <c r="Y2092" s="18">
        <v>0</v>
      </c>
      <c r="Z2092" s="18">
        <v>0</v>
      </c>
      <c r="AA2092" s="18">
        <v>1</v>
      </c>
      <c r="AB2092" s="18">
        <v>1</v>
      </c>
      <c r="AC2092" s="316">
        <v>1</v>
      </c>
      <c r="AD2092" s="316">
        <v>1</v>
      </c>
      <c r="AE2092" s="302">
        <f t="shared" si="84"/>
        <v>0.75</v>
      </c>
      <c r="AF2092" s="176"/>
      <c r="AG2092" s="17">
        <v>0</v>
      </c>
      <c r="AH2092" s="176">
        <v>0</v>
      </c>
      <c r="AI2092" s="176">
        <v>0.6</v>
      </c>
      <c r="AJ2092" s="176">
        <v>4.7</v>
      </c>
      <c r="AK2092" s="177">
        <v>15</v>
      </c>
      <c r="AL2092" s="177">
        <v>20</v>
      </c>
      <c r="AM2092" s="147">
        <f t="shared" si="83"/>
        <v>35</v>
      </c>
      <c r="AN2092" s="18" t="s">
        <v>570</v>
      </c>
      <c r="AO2092" s="18" t="s">
        <v>2875</v>
      </c>
      <c r="AP2092" s="18" t="s">
        <v>3829</v>
      </c>
    </row>
    <row r="2093" spans="1:42" s="18" customFormat="1" x14ac:dyDescent="0.3">
      <c r="A2093" s="18" t="s">
        <v>1454</v>
      </c>
      <c r="B2093" s="18" t="s">
        <v>6438</v>
      </c>
      <c r="C2093" s="18">
        <v>101</v>
      </c>
      <c r="D2093" s="283" t="s">
        <v>6440</v>
      </c>
      <c r="E2093" s="18" t="s">
        <v>6692</v>
      </c>
      <c r="F2093" s="18" t="s">
        <v>6693</v>
      </c>
      <c r="G2093" s="156" t="s">
        <v>6750</v>
      </c>
      <c r="H2093" s="18" t="s">
        <v>6751</v>
      </c>
      <c r="I2093" s="156" t="s">
        <v>6767</v>
      </c>
      <c r="J2093" s="18" t="s">
        <v>6768</v>
      </c>
      <c r="K2093" s="156" t="s">
        <v>6769</v>
      </c>
      <c r="L2093" s="18" t="s">
        <v>6770</v>
      </c>
      <c r="M2093" s="18" t="s">
        <v>6771</v>
      </c>
      <c r="N2093" s="18">
        <v>3</v>
      </c>
      <c r="O2093" s="18">
        <v>2</v>
      </c>
      <c r="P2093" s="16">
        <v>1.6</v>
      </c>
      <c r="Q2093" s="16">
        <v>1.2</v>
      </c>
      <c r="R2093" s="16">
        <v>0.5</v>
      </c>
      <c r="S2093" s="16">
        <v>0.3</v>
      </c>
      <c r="T2093" s="18" t="s">
        <v>570</v>
      </c>
      <c r="U2093" s="283" t="s">
        <v>2875</v>
      </c>
      <c r="V2093" s="18" t="s">
        <v>6772</v>
      </c>
      <c r="W2093" s="18">
        <v>0</v>
      </c>
      <c r="X2093" s="18">
        <v>0</v>
      </c>
      <c r="Y2093" s="18">
        <v>0</v>
      </c>
      <c r="Z2093" s="18">
        <v>0</v>
      </c>
      <c r="AA2093" s="18">
        <v>1</v>
      </c>
      <c r="AB2093" s="18">
        <v>0</v>
      </c>
      <c r="AC2093" s="316">
        <v>0</v>
      </c>
      <c r="AD2093" s="316">
        <v>0</v>
      </c>
      <c r="AE2093" s="302">
        <f t="shared" si="84"/>
        <v>0.125</v>
      </c>
      <c r="AF2093" s="176"/>
      <c r="AG2093" s="17">
        <v>0</v>
      </c>
      <c r="AH2093" s="176">
        <v>2</v>
      </c>
      <c r="AI2093" s="176">
        <v>1.6</v>
      </c>
      <c r="AJ2093" s="176">
        <v>1.2</v>
      </c>
      <c r="AK2093" s="177"/>
      <c r="AL2093" s="177"/>
      <c r="AM2093" s="147">
        <f t="shared" si="83"/>
        <v>0</v>
      </c>
      <c r="AN2093" s="18" t="s">
        <v>3643</v>
      </c>
      <c r="AO2093" s="18" t="s">
        <v>3630</v>
      </c>
      <c r="AP2093" s="18" t="s">
        <v>1167</v>
      </c>
    </row>
    <row r="2094" spans="1:42" s="18" customFormat="1" x14ac:dyDescent="0.3">
      <c r="A2094" s="18" t="s">
        <v>1454</v>
      </c>
      <c r="B2094" s="18" t="s">
        <v>6438</v>
      </c>
      <c r="C2094" s="18">
        <v>101</v>
      </c>
      <c r="D2094" s="283" t="s">
        <v>6440</v>
      </c>
      <c r="E2094" s="18" t="s">
        <v>6692</v>
      </c>
      <c r="F2094" s="18" t="s">
        <v>6693</v>
      </c>
      <c r="G2094" s="156" t="s">
        <v>6750</v>
      </c>
      <c r="H2094" s="18" t="s">
        <v>6751</v>
      </c>
      <c r="I2094" s="156" t="s">
        <v>6767</v>
      </c>
      <c r="J2094" s="18" t="s">
        <v>6768</v>
      </c>
      <c r="K2094" s="156" t="s">
        <v>6769</v>
      </c>
      <c r="L2094" s="18" t="s">
        <v>6770</v>
      </c>
      <c r="P2094" s="16"/>
      <c r="Q2094" s="16"/>
      <c r="R2094" s="16"/>
      <c r="S2094" s="16"/>
      <c r="U2094" s="283" t="e">
        <v>#N/A</v>
      </c>
      <c r="V2094" s="18" t="s">
        <v>6773</v>
      </c>
      <c r="W2094" s="18">
        <v>0</v>
      </c>
      <c r="X2094" s="18">
        <v>0</v>
      </c>
      <c r="Y2094" s="18">
        <v>0</v>
      </c>
      <c r="Z2094" s="18">
        <v>0</v>
      </c>
      <c r="AA2094" s="18">
        <v>0</v>
      </c>
      <c r="AB2094" s="18">
        <v>0</v>
      </c>
      <c r="AC2094" s="316">
        <v>0</v>
      </c>
      <c r="AD2094" s="316">
        <v>0</v>
      </c>
      <c r="AE2094" s="302">
        <f t="shared" si="84"/>
        <v>0</v>
      </c>
      <c r="AF2094" s="176"/>
      <c r="AG2094" s="17">
        <v>0</v>
      </c>
      <c r="AH2094" s="176">
        <v>0.7</v>
      </c>
      <c r="AI2094" s="176">
        <v>0.8</v>
      </c>
      <c r="AJ2094" s="176">
        <v>0.7</v>
      </c>
      <c r="AK2094" s="177"/>
      <c r="AL2094" s="177"/>
      <c r="AM2094" s="147">
        <f t="shared" si="83"/>
        <v>0</v>
      </c>
      <c r="AN2094" s="18" t="s">
        <v>1167</v>
      </c>
      <c r="AO2094" s="18" t="s">
        <v>1170</v>
      </c>
      <c r="AP2094" s="18" t="s">
        <v>119</v>
      </c>
    </row>
    <row r="2095" spans="1:42" s="18" customFormat="1" x14ac:dyDescent="0.3">
      <c r="A2095" s="18" t="s">
        <v>1454</v>
      </c>
      <c r="B2095" s="18" t="s">
        <v>6438</v>
      </c>
      <c r="C2095" s="18">
        <v>101</v>
      </c>
      <c r="D2095" s="283" t="s">
        <v>6440</v>
      </c>
      <c r="E2095" s="18" t="s">
        <v>6692</v>
      </c>
      <c r="F2095" s="18" t="s">
        <v>6693</v>
      </c>
      <c r="G2095" s="156" t="s">
        <v>6750</v>
      </c>
      <c r="H2095" s="18" t="s">
        <v>6751</v>
      </c>
      <c r="I2095" s="156" t="s">
        <v>6767</v>
      </c>
      <c r="J2095" s="18" t="s">
        <v>6768</v>
      </c>
      <c r="K2095" s="156" t="s">
        <v>6769</v>
      </c>
      <c r="L2095" s="18" t="s">
        <v>6770</v>
      </c>
      <c r="P2095" s="16"/>
      <c r="Q2095" s="16"/>
      <c r="R2095" s="16"/>
      <c r="S2095" s="16"/>
      <c r="U2095" s="283" t="e">
        <v>#N/A</v>
      </c>
      <c r="V2095" s="18" t="s">
        <v>6774</v>
      </c>
      <c r="W2095" s="18">
        <v>0</v>
      </c>
      <c r="X2095" s="18">
        <v>0</v>
      </c>
      <c r="Y2095" s="18">
        <v>0</v>
      </c>
      <c r="Z2095" s="18">
        <v>0</v>
      </c>
      <c r="AA2095" s="18">
        <v>0</v>
      </c>
      <c r="AB2095" s="18">
        <v>0</v>
      </c>
      <c r="AC2095" s="316">
        <v>0</v>
      </c>
      <c r="AD2095" s="316">
        <v>0</v>
      </c>
      <c r="AE2095" s="302">
        <f t="shared" si="84"/>
        <v>0</v>
      </c>
      <c r="AF2095" s="176"/>
      <c r="AG2095" s="17">
        <v>0</v>
      </c>
      <c r="AH2095" s="176">
        <v>8</v>
      </c>
      <c r="AI2095" s="176">
        <v>8</v>
      </c>
      <c r="AJ2095" s="176">
        <v>8</v>
      </c>
      <c r="AK2095" s="177"/>
      <c r="AL2095" s="177"/>
      <c r="AM2095" s="147">
        <f t="shared" si="83"/>
        <v>0</v>
      </c>
      <c r="AN2095" s="18" t="s">
        <v>1167</v>
      </c>
      <c r="AO2095" s="18" t="s">
        <v>1170</v>
      </c>
      <c r="AP2095" s="18" t="s">
        <v>119</v>
      </c>
    </row>
    <row r="2096" spans="1:42" s="18" customFormat="1" x14ac:dyDescent="0.3">
      <c r="A2096" s="18" t="s">
        <v>1454</v>
      </c>
      <c r="B2096" s="18" t="s">
        <v>6438</v>
      </c>
      <c r="C2096" s="18">
        <v>101</v>
      </c>
      <c r="D2096" s="283" t="s">
        <v>6440</v>
      </c>
      <c r="E2096" s="18" t="s">
        <v>6692</v>
      </c>
      <c r="F2096" s="18" t="s">
        <v>6693</v>
      </c>
      <c r="G2096" s="156" t="s">
        <v>6750</v>
      </c>
      <c r="H2096" s="18" t="s">
        <v>6751</v>
      </c>
      <c r="I2096" s="156" t="s">
        <v>6767</v>
      </c>
      <c r="J2096" s="18" t="s">
        <v>6768</v>
      </c>
      <c r="K2096" s="156" t="s">
        <v>6769</v>
      </c>
      <c r="L2096" s="18" t="s">
        <v>6770</v>
      </c>
      <c r="P2096" s="16"/>
      <c r="Q2096" s="16"/>
      <c r="R2096" s="16"/>
      <c r="S2096" s="16"/>
      <c r="U2096" s="283" t="e">
        <v>#N/A</v>
      </c>
      <c r="V2096" s="18" t="s">
        <v>6775</v>
      </c>
      <c r="W2096" s="18">
        <v>0</v>
      </c>
      <c r="X2096" s="18">
        <v>0</v>
      </c>
      <c r="Y2096" s="18">
        <v>0</v>
      </c>
      <c r="Z2096" s="18">
        <v>0</v>
      </c>
      <c r="AA2096" s="18">
        <v>0</v>
      </c>
      <c r="AB2096" s="18">
        <v>0</v>
      </c>
      <c r="AC2096" s="316">
        <v>0</v>
      </c>
      <c r="AD2096" s="316">
        <v>0</v>
      </c>
      <c r="AE2096" s="302">
        <f t="shared" si="84"/>
        <v>0</v>
      </c>
      <c r="AF2096" s="176"/>
      <c r="AG2096" s="17">
        <v>0</v>
      </c>
      <c r="AH2096" s="176">
        <v>0.4</v>
      </c>
      <c r="AI2096" s="176">
        <v>0.6</v>
      </c>
      <c r="AJ2096" s="176">
        <v>0.7</v>
      </c>
      <c r="AK2096" s="177"/>
      <c r="AL2096" s="177"/>
      <c r="AM2096" s="147">
        <f t="shared" si="83"/>
        <v>0</v>
      </c>
      <c r="AN2096" s="18" t="s">
        <v>1167</v>
      </c>
      <c r="AO2096" s="18" t="s">
        <v>1170</v>
      </c>
      <c r="AP2096" s="18" t="s">
        <v>3640</v>
      </c>
    </row>
    <row r="2097" spans="1:42" s="18" customFormat="1" x14ac:dyDescent="0.3">
      <c r="A2097" s="18" t="s">
        <v>1454</v>
      </c>
      <c r="B2097" s="18" t="s">
        <v>6438</v>
      </c>
      <c r="C2097" s="18">
        <v>101</v>
      </c>
      <c r="D2097" s="283" t="s">
        <v>6440</v>
      </c>
      <c r="E2097" s="18" t="s">
        <v>6692</v>
      </c>
      <c r="F2097" s="18" t="s">
        <v>6693</v>
      </c>
      <c r="G2097" s="156" t="s">
        <v>6750</v>
      </c>
      <c r="H2097" s="18" t="s">
        <v>6751</v>
      </c>
      <c r="I2097" s="156" t="s">
        <v>6767</v>
      </c>
      <c r="J2097" s="18" t="s">
        <v>6768</v>
      </c>
      <c r="K2097" s="156" t="s">
        <v>6769</v>
      </c>
      <c r="L2097" s="18" t="s">
        <v>6770</v>
      </c>
      <c r="P2097" s="16"/>
      <c r="Q2097" s="16"/>
      <c r="R2097" s="16"/>
      <c r="S2097" s="16"/>
      <c r="U2097" s="283" t="e">
        <v>#N/A</v>
      </c>
      <c r="V2097" s="18" t="s">
        <v>6776</v>
      </c>
      <c r="W2097" s="18">
        <v>0</v>
      </c>
      <c r="X2097" s="18">
        <v>0</v>
      </c>
      <c r="Y2097" s="18">
        <v>0</v>
      </c>
      <c r="Z2097" s="18">
        <v>0</v>
      </c>
      <c r="AA2097" s="18">
        <v>0</v>
      </c>
      <c r="AB2097" s="18">
        <v>0</v>
      </c>
      <c r="AC2097" s="316">
        <v>0</v>
      </c>
      <c r="AD2097" s="316">
        <v>0</v>
      </c>
      <c r="AE2097" s="302">
        <f t="shared" si="84"/>
        <v>0</v>
      </c>
      <c r="AF2097" s="176"/>
      <c r="AG2097" s="17">
        <v>0</v>
      </c>
      <c r="AH2097" s="176">
        <v>0.4</v>
      </c>
      <c r="AI2097" s="176">
        <v>0.6</v>
      </c>
      <c r="AJ2097" s="176">
        <v>0.7</v>
      </c>
      <c r="AK2097" s="177"/>
      <c r="AL2097" s="177"/>
      <c r="AM2097" s="147">
        <f t="shared" si="83"/>
        <v>0</v>
      </c>
      <c r="AN2097" s="18" t="s">
        <v>1167</v>
      </c>
      <c r="AO2097" s="18" t="s">
        <v>1170</v>
      </c>
      <c r="AP2097" s="18" t="s">
        <v>119</v>
      </c>
    </row>
    <row r="2098" spans="1:42" s="18" customFormat="1" x14ac:dyDescent="0.3">
      <c r="A2098" s="18" t="s">
        <v>1454</v>
      </c>
      <c r="B2098" s="18" t="s">
        <v>6438</v>
      </c>
      <c r="C2098" s="18">
        <v>101</v>
      </c>
      <c r="D2098" s="283" t="s">
        <v>6440</v>
      </c>
      <c r="E2098" s="18" t="s">
        <v>6692</v>
      </c>
      <c r="F2098" s="18" t="s">
        <v>6693</v>
      </c>
      <c r="G2098" s="156" t="s">
        <v>6777</v>
      </c>
      <c r="H2098" s="18" t="s">
        <v>6778</v>
      </c>
      <c r="K2098" s="156" t="s">
        <v>6779</v>
      </c>
      <c r="L2098" s="18" t="s">
        <v>6780</v>
      </c>
      <c r="M2098" s="18" t="s">
        <v>6781</v>
      </c>
      <c r="N2098" s="18">
        <v>120</v>
      </c>
      <c r="O2098" s="18">
        <v>300</v>
      </c>
      <c r="P2098" s="16">
        <v>600</v>
      </c>
      <c r="Q2098" s="16">
        <v>913</v>
      </c>
      <c r="R2098" s="16">
        <v>1200</v>
      </c>
      <c r="S2098" s="16">
        <v>2000</v>
      </c>
      <c r="T2098" s="18" t="s">
        <v>570</v>
      </c>
      <c r="U2098" s="283" t="s">
        <v>2875</v>
      </c>
      <c r="V2098" s="18" t="s">
        <v>6782</v>
      </c>
      <c r="W2098" s="18">
        <v>1</v>
      </c>
      <c r="X2098" s="18">
        <v>0</v>
      </c>
      <c r="Y2098" s="18">
        <v>0</v>
      </c>
      <c r="Z2098" s="18">
        <v>1</v>
      </c>
      <c r="AA2098" s="18">
        <v>1</v>
      </c>
      <c r="AB2098" s="18">
        <v>1</v>
      </c>
      <c r="AC2098" s="316">
        <v>1</v>
      </c>
      <c r="AD2098" s="316">
        <v>1</v>
      </c>
      <c r="AE2098" s="302">
        <f t="shared" si="84"/>
        <v>0.75</v>
      </c>
      <c r="AF2098" s="176"/>
      <c r="AG2098" s="17">
        <v>0</v>
      </c>
      <c r="AH2098" s="176">
        <v>0.55000000000000004</v>
      </c>
      <c r="AI2098" s="176">
        <v>0.57999999999999996</v>
      </c>
      <c r="AJ2098" s="176">
        <v>0.61</v>
      </c>
      <c r="AK2098" s="177">
        <v>2</v>
      </c>
      <c r="AL2098" s="177">
        <v>3</v>
      </c>
      <c r="AM2098" s="147">
        <f t="shared" si="83"/>
        <v>5</v>
      </c>
      <c r="AN2098" s="18" t="s">
        <v>570</v>
      </c>
      <c r="AO2098" s="18" t="s">
        <v>2875</v>
      </c>
      <c r="AP2098" s="18" t="s">
        <v>119</v>
      </c>
    </row>
    <row r="2099" spans="1:42" s="18" customFormat="1" x14ac:dyDescent="0.3">
      <c r="A2099" s="18" t="s">
        <v>1454</v>
      </c>
      <c r="B2099" s="18" t="s">
        <v>6438</v>
      </c>
      <c r="C2099" s="18">
        <v>101</v>
      </c>
      <c r="D2099" s="283" t="s">
        <v>6440</v>
      </c>
      <c r="E2099" s="18" t="s">
        <v>6692</v>
      </c>
      <c r="F2099" s="18" t="s">
        <v>6693</v>
      </c>
      <c r="G2099" s="156" t="s">
        <v>6777</v>
      </c>
      <c r="H2099" s="18" t="s">
        <v>6778</v>
      </c>
      <c r="K2099" s="156" t="s">
        <v>6783</v>
      </c>
      <c r="L2099" s="18" t="s">
        <v>6784</v>
      </c>
      <c r="M2099" s="18" t="s">
        <v>6785</v>
      </c>
      <c r="N2099" s="18">
        <v>4</v>
      </c>
      <c r="O2099" s="18">
        <v>13</v>
      </c>
      <c r="P2099" s="16">
        <v>19</v>
      </c>
      <c r="Q2099" s="16">
        <v>29</v>
      </c>
      <c r="R2099" s="16">
        <v>40</v>
      </c>
      <c r="S2099" s="16">
        <v>50</v>
      </c>
      <c r="T2099" s="18" t="s">
        <v>570</v>
      </c>
      <c r="U2099" s="283" t="s">
        <v>2875</v>
      </c>
      <c r="V2099" s="18" t="s">
        <v>6786</v>
      </c>
      <c r="W2099" s="18">
        <v>1</v>
      </c>
      <c r="X2099" s="18">
        <v>0</v>
      </c>
      <c r="Y2099" s="18">
        <v>0</v>
      </c>
      <c r="Z2099" s="18">
        <v>1</v>
      </c>
      <c r="AA2099" s="18">
        <v>1</v>
      </c>
      <c r="AB2099" s="18">
        <v>1</v>
      </c>
      <c r="AC2099" s="316">
        <v>0</v>
      </c>
      <c r="AD2099" s="316">
        <v>0</v>
      </c>
      <c r="AE2099" s="302">
        <f t="shared" si="84"/>
        <v>0.5</v>
      </c>
      <c r="AF2099" s="176"/>
      <c r="AG2099" s="17">
        <v>0</v>
      </c>
      <c r="AH2099" s="176">
        <v>3</v>
      </c>
      <c r="AI2099" s="176">
        <v>3</v>
      </c>
      <c r="AJ2099" s="176">
        <v>3</v>
      </c>
      <c r="AK2099" s="177"/>
      <c r="AL2099" s="177"/>
      <c r="AM2099" s="147">
        <f t="shared" si="83"/>
        <v>0</v>
      </c>
      <c r="AN2099" s="18" t="s">
        <v>570</v>
      </c>
      <c r="AO2099" s="18" t="s">
        <v>2875</v>
      </c>
      <c r="AP2099" s="18" t="s">
        <v>119</v>
      </c>
    </row>
    <row r="2100" spans="1:42" s="18" customFormat="1" x14ac:dyDescent="0.3">
      <c r="A2100" s="18" t="s">
        <v>1454</v>
      </c>
      <c r="B2100" s="18" t="s">
        <v>6438</v>
      </c>
      <c r="C2100" s="18">
        <v>101</v>
      </c>
      <c r="D2100" s="283" t="s">
        <v>6440</v>
      </c>
      <c r="E2100" s="18" t="s">
        <v>6692</v>
      </c>
      <c r="F2100" s="18" t="s">
        <v>6693</v>
      </c>
      <c r="G2100" s="156" t="s">
        <v>6787</v>
      </c>
      <c r="H2100" s="18" t="s">
        <v>6788</v>
      </c>
      <c r="K2100" s="156" t="s">
        <v>6789</v>
      </c>
      <c r="L2100" s="18" t="s">
        <v>6790</v>
      </c>
      <c r="M2100" s="18" t="s">
        <v>6791</v>
      </c>
      <c r="N2100" s="18">
        <v>5</v>
      </c>
      <c r="O2100" s="18">
        <v>10</v>
      </c>
      <c r="P2100" s="16">
        <v>16</v>
      </c>
      <c r="Q2100" s="16">
        <v>20</v>
      </c>
      <c r="R2100" s="16">
        <v>26</v>
      </c>
      <c r="S2100" s="16">
        <v>30</v>
      </c>
      <c r="T2100" s="18" t="s">
        <v>570</v>
      </c>
      <c r="U2100" s="283" t="s">
        <v>2875</v>
      </c>
      <c r="V2100" s="18" t="s">
        <v>6792</v>
      </c>
      <c r="W2100" s="18">
        <v>1</v>
      </c>
      <c r="X2100" s="18">
        <v>0</v>
      </c>
      <c r="Y2100" s="18">
        <v>0</v>
      </c>
      <c r="Z2100" s="18">
        <v>1</v>
      </c>
      <c r="AA2100" s="18">
        <v>1</v>
      </c>
      <c r="AB2100" s="18">
        <v>1</v>
      </c>
      <c r="AC2100" s="316">
        <v>1</v>
      </c>
      <c r="AD2100" s="316">
        <v>1</v>
      </c>
      <c r="AE2100" s="302">
        <f t="shared" si="84"/>
        <v>0.75</v>
      </c>
      <c r="AF2100" s="176"/>
      <c r="AG2100" s="17">
        <v>0</v>
      </c>
      <c r="AH2100" s="176">
        <v>5.4363930095484241</v>
      </c>
      <c r="AI2100" s="176">
        <v>5.8</v>
      </c>
      <c r="AJ2100" s="176">
        <v>6.09</v>
      </c>
      <c r="AK2100" s="177">
        <v>1</v>
      </c>
      <c r="AL2100" s="177">
        <v>1</v>
      </c>
      <c r="AM2100" s="147">
        <f t="shared" si="83"/>
        <v>2</v>
      </c>
      <c r="AN2100" s="18" t="s">
        <v>570</v>
      </c>
      <c r="AO2100" s="18" t="s">
        <v>2875</v>
      </c>
      <c r="AP2100" s="18" t="s">
        <v>119</v>
      </c>
    </row>
    <row r="2101" spans="1:42" s="18" customFormat="1" x14ac:dyDescent="0.3">
      <c r="A2101" s="18" t="s">
        <v>1454</v>
      </c>
      <c r="B2101" s="18" t="s">
        <v>6438</v>
      </c>
      <c r="C2101" s="18">
        <v>102</v>
      </c>
      <c r="D2101" s="18" t="s">
        <v>6793</v>
      </c>
      <c r="E2101" s="18" t="s">
        <v>6794</v>
      </c>
      <c r="F2101" s="18" t="s">
        <v>6795</v>
      </c>
      <c r="G2101" s="156" t="s">
        <v>6796</v>
      </c>
      <c r="H2101" s="18" t="s">
        <v>6797</v>
      </c>
      <c r="K2101" s="156" t="s">
        <v>6798</v>
      </c>
      <c r="L2101" s="18" t="s">
        <v>6799</v>
      </c>
      <c r="M2101" s="18" t="s">
        <v>6800</v>
      </c>
      <c r="N2101" s="18">
        <v>0</v>
      </c>
      <c r="O2101" s="18">
        <v>10</v>
      </c>
      <c r="P2101" s="16">
        <v>50</v>
      </c>
      <c r="Q2101" s="16">
        <v>100</v>
      </c>
      <c r="R2101" s="16">
        <v>100</v>
      </c>
      <c r="S2101" s="16">
        <v>100</v>
      </c>
      <c r="T2101" s="18" t="s">
        <v>570</v>
      </c>
      <c r="U2101" s="283" t="s">
        <v>2875</v>
      </c>
      <c r="V2101" s="18" t="s">
        <v>6801</v>
      </c>
      <c r="W2101" s="18">
        <v>1</v>
      </c>
      <c r="X2101" s="18">
        <v>1</v>
      </c>
      <c r="Y2101" s="18">
        <v>0</v>
      </c>
      <c r="Z2101" s="18">
        <v>1</v>
      </c>
      <c r="AA2101" s="18">
        <v>1</v>
      </c>
      <c r="AB2101" s="18">
        <v>1</v>
      </c>
      <c r="AC2101" s="316">
        <v>1</v>
      </c>
      <c r="AD2101" s="316">
        <v>1</v>
      </c>
      <c r="AE2101" s="302">
        <f t="shared" si="84"/>
        <v>0.875</v>
      </c>
      <c r="AF2101" s="176"/>
      <c r="AG2101" s="17">
        <v>0</v>
      </c>
      <c r="AH2101" s="176">
        <v>0</v>
      </c>
      <c r="AI2101" s="176">
        <v>22</v>
      </c>
      <c r="AJ2101" s="176">
        <v>23</v>
      </c>
      <c r="AK2101" s="177">
        <v>30</v>
      </c>
      <c r="AL2101" s="177">
        <v>45</v>
      </c>
      <c r="AM2101" s="147">
        <f t="shared" si="83"/>
        <v>75</v>
      </c>
      <c r="AN2101" s="18" t="s">
        <v>570</v>
      </c>
      <c r="AO2101" s="18" t="s">
        <v>2875</v>
      </c>
      <c r="AP2101" s="18" t="s">
        <v>2514</v>
      </c>
    </row>
    <row r="2102" spans="1:42" s="18" customFormat="1" x14ac:dyDescent="0.3">
      <c r="A2102" s="18" t="s">
        <v>1454</v>
      </c>
      <c r="B2102" s="18" t="s">
        <v>6438</v>
      </c>
      <c r="C2102" s="18">
        <v>102</v>
      </c>
      <c r="D2102" s="18" t="s">
        <v>6793</v>
      </c>
      <c r="E2102" s="18" t="s">
        <v>6794</v>
      </c>
      <c r="F2102" s="18" t="s">
        <v>6795</v>
      </c>
      <c r="G2102" s="156" t="s">
        <v>6796</v>
      </c>
      <c r="H2102" s="18" t="s">
        <v>6797</v>
      </c>
      <c r="K2102" s="156" t="s">
        <v>6798</v>
      </c>
      <c r="L2102" s="18" t="s">
        <v>6799</v>
      </c>
      <c r="M2102" s="18" t="s">
        <v>6800</v>
      </c>
      <c r="P2102" s="16"/>
      <c r="Q2102" s="16"/>
      <c r="R2102" s="16"/>
      <c r="S2102" s="16"/>
      <c r="U2102" s="283" t="e">
        <v>#N/A</v>
      </c>
      <c r="V2102" s="18" t="s">
        <v>6802</v>
      </c>
      <c r="W2102" s="18">
        <v>1</v>
      </c>
      <c r="X2102" s="18">
        <v>1</v>
      </c>
      <c r="Y2102" s="18">
        <v>1</v>
      </c>
      <c r="Z2102" s="18">
        <v>1</v>
      </c>
      <c r="AA2102" s="18">
        <v>1</v>
      </c>
      <c r="AB2102" s="18">
        <v>1</v>
      </c>
      <c r="AC2102" s="316">
        <v>1</v>
      </c>
      <c r="AD2102" s="316">
        <v>1</v>
      </c>
      <c r="AE2102" s="302">
        <f t="shared" si="84"/>
        <v>1</v>
      </c>
      <c r="AF2102" s="176"/>
      <c r="AG2102" s="17">
        <v>0</v>
      </c>
      <c r="AH2102" s="176">
        <v>78.031999999999996</v>
      </c>
      <c r="AI2102" s="176">
        <v>18.032</v>
      </c>
      <c r="AJ2102" s="176">
        <v>48.031999999999996</v>
      </c>
      <c r="AK2102" s="177">
        <v>30</v>
      </c>
      <c r="AL2102" s="177">
        <v>30</v>
      </c>
      <c r="AM2102" s="147">
        <f t="shared" si="83"/>
        <v>60</v>
      </c>
      <c r="AN2102" s="18" t="s">
        <v>570</v>
      </c>
      <c r="AO2102" s="18" t="s">
        <v>2875</v>
      </c>
      <c r="AP2102" s="18" t="s">
        <v>2514</v>
      </c>
    </row>
    <row r="2103" spans="1:42" s="18" customFormat="1" x14ac:dyDescent="0.3">
      <c r="A2103" s="18" t="s">
        <v>1454</v>
      </c>
      <c r="B2103" s="18" t="s">
        <v>6438</v>
      </c>
      <c r="C2103" s="18">
        <v>102</v>
      </c>
      <c r="D2103" s="18" t="s">
        <v>6793</v>
      </c>
      <c r="E2103" s="18" t="s">
        <v>6794</v>
      </c>
      <c r="F2103" s="18" t="s">
        <v>6795</v>
      </c>
      <c r="G2103" s="156" t="s">
        <v>6796</v>
      </c>
      <c r="H2103" s="18" t="s">
        <v>6797</v>
      </c>
      <c r="K2103" s="156" t="s">
        <v>6803</v>
      </c>
      <c r="L2103" s="18" t="s">
        <v>6804</v>
      </c>
      <c r="M2103" s="18" t="s">
        <v>6805</v>
      </c>
      <c r="N2103" s="18">
        <v>0</v>
      </c>
      <c r="O2103" s="18">
        <v>10</v>
      </c>
      <c r="P2103" s="16">
        <v>50</v>
      </c>
      <c r="Q2103" s="16">
        <v>100</v>
      </c>
      <c r="R2103" s="16">
        <v>100</v>
      </c>
      <c r="S2103" s="16">
        <v>100</v>
      </c>
      <c r="T2103" s="18" t="s">
        <v>570</v>
      </c>
      <c r="U2103" s="283" t="s">
        <v>2875</v>
      </c>
      <c r="V2103" s="18" t="s">
        <v>6806</v>
      </c>
      <c r="W2103" s="18">
        <v>1</v>
      </c>
      <c r="X2103" s="18">
        <v>1</v>
      </c>
      <c r="Y2103" s="18">
        <v>0</v>
      </c>
      <c r="Z2103" s="18">
        <v>1</v>
      </c>
      <c r="AA2103" s="18">
        <v>0</v>
      </c>
      <c r="AB2103" s="18">
        <v>1</v>
      </c>
      <c r="AC2103" s="316">
        <v>1</v>
      </c>
      <c r="AD2103" s="316">
        <v>1</v>
      </c>
      <c r="AE2103" s="302">
        <f t="shared" si="84"/>
        <v>0.75</v>
      </c>
      <c r="AF2103" s="176"/>
      <c r="AG2103" s="17">
        <v>0</v>
      </c>
      <c r="AH2103" s="176">
        <v>0</v>
      </c>
      <c r="AI2103" s="176">
        <v>0</v>
      </c>
      <c r="AJ2103" s="176">
        <v>1</v>
      </c>
      <c r="AK2103" s="177">
        <v>3</v>
      </c>
      <c r="AL2103" s="177">
        <v>2</v>
      </c>
      <c r="AM2103" s="147">
        <f t="shared" si="83"/>
        <v>5</v>
      </c>
      <c r="AN2103" s="18" t="s">
        <v>570</v>
      </c>
      <c r="AO2103" s="18" t="s">
        <v>2875</v>
      </c>
      <c r="AP2103" s="18" t="s">
        <v>6565</v>
      </c>
    </row>
    <row r="2104" spans="1:42" s="18" customFormat="1" x14ac:dyDescent="0.3">
      <c r="A2104" s="18" t="s">
        <v>1454</v>
      </c>
      <c r="B2104" s="18" t="s">
        <v>6438</v>
      </c>
      <c r="C2104" s="18">
        <v>102</v>
      </c>
      <c r="D2104" s="18" t="s">
        <v>6793</v>
      </c>
      <c r="E2104" s="18" t="s">
        <v>6794</v>
      </c>
      <c r="F2104" s="18" t="s">
        <v>6795</v>
      </c>
      <c r="G2104" s="156" t="s">
        <v>6796</v>
      </c>
      <c r="H2104" s="18" t="s">
        <v>6797</v>
      </c>
      <c r="K2104" s="156" t="s">
        <v>6803</v>
      </c>
      <c r="L2104" s="18" t="s">
        <v>6807</v>
      </c>
      <c r="P2104" s="16"/>
      <c r="Q2104" s="16"/>
      <c r="R2104" s="16"/>
      <c r="S2104" s="16"/>
      <c r="U2104" s="283" t="e">
        <v>#N/A</v>
      </c>
      <c r="V2104" s="18" t="s">
        <v>6808</v>
      </c>
      <c r="W2104" s="18">
        <v>1</v>
      </c>
      <c r="X2104" s="18">
        <v>1</v>
      </c>
      <c r="Y2104" s="18">
        <v>0</v>
      </c>
      <c r="Z2104" s="18">
        <v>1</v>
      </c>
      <c r="AA2104" s="18">
        <v>1</v>
      </c>
      <c r="AB2104" s="18">
        <v>1</v>
      </c>
      <c r="AC2104" s="316">
        <v>1</v>
      </c>
      <c r="AD2104" s="316">
        <v>1</v>
      </c>
      <c r="AE2104" s="302">
        <f t="shared" si="84"/>
        <v>0.875</v>
      </c>
      <c r="AF2104" s="176"/>
      <c r="AG2104" s="17">
        <v>0</v>
      </c>
      <c r="AH2104" s="176">
        <v>0.15</v>
      </c>
      <c r="AI2104" s="176">
        <v>0.35</v>
      </c>
      <c r="AJ2104" s="176">
        <v>0.6</v>
      </c>
      <c r="AK2104" s="177">
        <v>1</v>
      </c>
      <c r="AL2104" s="177">
        <v>1</v>
      </c>
      <c r="AM2104" s="147">
        <f t="shared" si="83"/>
        <v>2</v>
      </c>
      <c r="AN2104" s="18" t="s">
        <v>570</v>
      </c>
      <c r="AO2104" s="18" t="s">
        <v>2875</v>
      </c>
      <c r="AP2104" s="18" t="s">
        <v>6565</v>
      </c>
    </row>
    <row r="2105" spans="1:42" s="18" customFormat="1" x14ac:dyDescent="0.3">
      <c r="A2105" s="18" t="s">
        <v>1454</v>
      </c>
      <c r="B2105" s="18" t="s">
        <v>6438</v>
      </c>
      <c r="C2105" s="18">
        <v>102</v>
      </c>
      <c r="D2105" s="18" t="s">
        <v>6793</v>
      </c>
      <c r="E2105" s="18" t="s">
        <v>6794</v>
      </c>
      <c r="F2105" s="18" t="s">
        <v>6795</v>
      </c>
      <c r="G2105" s="156" t="s">
        <v>6796</v>
      </c>
      <c r="H2105" s="18" t="s">
        <v>6797</v>
      </c>
      <c r="K2105" s="156" t="s">
        <v>6809</v>
      </c>
      <c r="L2105" s="18" t="s">
        <v>6810</v>
      </c>
      <c r="M2105" s="18" t="s">
        <v>6811</v>
      </c>
      <c r="N2105" s="18">
        <v>0</v>
      </c>
      <c r="O2105" s="18">
        <v>10</v>
      </c>
      <c r="P2105" s="16">
        <v>50</v>
      </c>
      <c r="Q2105" s="16">
        <v>100</v>
      </c>
      <c r="R2105" s="16">
        <v>100</v>
      </c>
      <c r="S2105" s="16">
        <v>100</v>
      </c>
      <c r="T2105" s="18" t="s">
        <v>570</v>
      </c>
      <c r="U2105" s="283" t="s">
        <v>2875</v>
      </c>
      <c r="V2105" s="18" t="s">
        <v>6812</v>
      </c>
      <c r="W2105" s="18">
        <v>1</v>
      </c>
      <c r="X2105" s="18">
        <v>1</v>
      </c>
      <c r="Y2105" s="18">
        <v>0</v>
      </c>
      <c r="Z2105" s="18">
        <v>1</v>
      </c>
      <c r="AA2105" s="18">
        <v>0</v>
      </c>
      <c r="AB2105" s="18">
        <v>1</v>
      </c>
      <c r="AC2105" s="316">
        <v>0</v>
      </c>
      <c r="AD2105" s="316">
        <v>1</v>
      </c>
      <c r="AE2105" s="302">
        <f t="shared" si="84"/>
        <v>0.625</v>
      </c>
      <c r="AF2105" s="176"/>
      <c r="AG2105" s="17">
        <v>0</v>
      </c>
      <c r="AH2105" s="176">
        <v>0</v>
      </c>
      <c r="AI2105" s="176">
        <v>0.15</v>
      </c>
      <c r="AJ2105" s="176">
        <v>0.15</v>
      </c>
      <c r="AK2105" s="177">
        <v>5</v>
      </c>
      <c r="AL2105" s="177">
        <v>10</v>
      </c>
      <c r="AM2105" s="147">
        <f t="shared" si="83"/>
        <v>15</v>
      </c>
      <c r="AN2105" s="18" t="s">
        <v>570</v>
      </c>
      <c r="AO2105" s="18" t="s">
        <v>2875</v>
      </c>
      <c r="AP2105" s="18" t="s">
        <v>2514</v>
      </c>
    </row>
    <row r="2106" spans="1:42" s="18" customFormat="1" x14ac:dyDescent="0.3">
      <c r="A2106" s="18" t="s">
        <v>1454</v>
      </c>
      <c r="B2106" s="18" t="s">
        <v>6438</v>
      </c>
      <c r="C2106" s="18">
        <v>102</v>
      </c>
      <c r="D2106" s="18" t="s">
        <v>6793</v>
      </c>
      <c r="E2106" s="18" t="s">
        <v>6794</v>
      </c>
      <c r="F2106" s="18" t="s">
        <v>6795</v>
      </c>
      <c r="G2106" s="156" t="s">
        <v>6796</v>
      </c>
      <c r="H2106" s="18" t="s">
        <v>6797</v>
      </c>
      <c r="K2106" s="156" t="s">
        <v>6813</v>
      </c>
      <c r="L2106" s="18" t="s">
        <v>6814</v>
      </c>
      <c r="M2106" s="18" t="s">
        <v>6815</v>
      </c>
      <c r="N2106" s="18">
        <v>0</v>
      </c>
      <c r="O2106" s="18">
        <v>10</v>
      </c>
      <c r="P2106" s="16">
        <v>50</v>
      </c>
      <c r="Q2106" s="16">
        <v>100</v>
      </c>
      <c r="R2106" s="16">
        <v>100</v>
      </c>
      <c r="S2106" s="16">
        <v>100</v>
      </c>
      <c r="T2106" s="18" t="s">
        <v>570</v>
      </c>
      <c r="U2106" s="283" t="s">
        <v>2875</v>
      </c>
      <c r="V2106" s="18" t="s">
        <v>6816</v>
      </c>
      <c r="W2106" s="18">
        <v>0</v>
      </c>
      <c r="X2106" s="18">
        <v>0</v>
      </c>
      <c r="Y2106" s="18">
        <v>0</v>
      </c>
      <c r="Z2106" s="18">
        <v>1</v>
      </c>
      <c r="AA2106" s="18">
        <v>0</v>
      </c>
      <c r="AB2106" s="18">
        <v>0</v>
      </c>
      <c r="AC2106" s="316">
        <v>0</v>
      </c>
      <c r="AD2106" s="316">
        <v>1</v>
      </c>
      <c r="AE2106" s="302">
        <f t="shared" si="84"/>
        <v>0.25</v>
      </c>
      <c r="AF2106" s="176"/>
      <c r="AG2106" s="17">
        <v>0</v>
      </c>
      <c r="AH2106" s="176">
        <v>0</v>
      </c>
      <c r="AI2106" s="176">
        <v>0.3</v>
      </c>
      <c r="AJ2106" s="176">
        <v>0</v>
      </c>
      <c r="AK2106" s="177">
        <v>0</v>
      </c>
      <c r="AL2106" s="177"/>
      <c r="AM2106" s="147">
        <f t="shared" ref="AM2106:AM2137" si="85">SUM(AK2106:AL2106)</f>
        <v>0</v>
      </c>
      <c r="AN2106" s="18" t="s">
        <v>570</v>
      </c>
      <c r="AO2106" s="18" t="s">
        <v>2875</v>
      </c>
      <c r="AP2106" s="18" t="s">
        <v>2514</v>
      </c>
    </row>
    <row r="2107" spans="1:42" s="18" customFormat="1" x14ac:dyDescent="0.3">
      <c r="A2107" s="18" t="s">
        <v>1454</v>
      </c>
      <c r="B2107" s="18" t="s">
        <v>6438</v>
      </c>
      <c r="C2107" s="18">
        <v>102</v>
      </c>
      <c r="D2107" s="18" t="s">
        <v>6793</v>
      </c>
      <c r="E2107" s="18" t="s">
        <v>6794</v>
      </c>
      <c r="F2107" s="18" t="s">
        <v>6795</v>
      </c>
      <c r="G2107" s="156" t="s">
        <v>6796</v>
      </c>
      <c r="H2107" s="18" t="s">
        <v>6797</v>
      </c>
      <c r="K2107" s="156" t="s">
        <v>6813</v>
      </c>
      <c r="L2107" s="18" t="s">
        <v>6814</v>
      </c>
      <c r="M2107" s="18" t="s">
        <v>6815</v>
      </c>
      <c r="P2107" s="16"/>
      <c r="Q2107" s="16"/>
      <c r="R2107" s="16"/>
      <c r="S2107" s="16"/>
      <c r="U2107" s="283" t="e">
        <v>#N/A</v>
      </c>
      <c r="V2107" s="18" t="s">
        <v>6817</v>
      </c>
      <c r="W2107" s="18">
        <v>0</v>
      </c>
      <c r="X2107" s="18">
        <v>0</v>
      </c>
      <c r="Y2107" s="18">
        <v>0</v>
      </c>
      <c r="Z2107" s="18">
        <v>1</v>
      </c>
      <c r="AA2107" s="18">
        <v>1</v>
      </c>
      <c r="AB2107" s="18">
        <v>0</v>
      </c>
      <c r="AC2107" s="316">
        <v>0</v>
      </c>
      <c r="AD2107" s="316">
        <v>0</v>
      </c>
      <c r="AE2107" s="302">
        <f t="shared" si="84"/>
        <v>0.25</v>
      </c>
      <c r="AF2107" s="176"/>
      <c r="AG2107" s="17">
        <v>0</v>
      </c>
      <c r="AH2107" s="176">
        <v>0</v>
      </c>
      <c r="AI2107" s="176">
        <v>0.5</v>
      </c>
      <c r="AJ2107" s="176">
        <v>0.5</v>
      </c>
      <c r="AK2107" s="177"/>
      <c r="AL2107" s="177"/>
      <c r="AM2107" s="147">
        <f t="shared" si="85"/>
        <v>0</v>
      </c>
      <c r="AN2107" s="18" t="s">
        <v>570</v>
      </c>
      <c r="AO2107" s="18" t="s">
        <v>2875</v>
      </c>
      <c r="AP2107" s="18" t="s">
        <v>6565</v>
      </c>
    </row>
    <row r="2108" spans="1:42" s="18" customFormat="1" x14ac:dyDescent="0.3">
      <c r="A2108" s="18" t="s">
        <v>1454</v>
      </c>
      <c r="B2108" s="18" t="s">
        <v>6438</v>
      </c>
      <c r="C2108" s="18">
        <v>102</v>
      </c>
      <c r="D2108" s="18" t="s">
        <v>6793</v>
      </c>
      <c r="E2108" s="18" t="s">
        <v>6794</v>
      </c>
      <c r="F2108" s="18" t="s">
        <v>6795</v>
      </c>
      <c r="G2108" s="156" t="s">
        <v>6796</v>
      </c>
      <c r="H2108" s="18" t="s">
        <v>6797</v>
      </c>
      <c r="K2108" s="156" t="s">
        <v>6813</v>
      </c>
      <c r="L2108" s="18" t="s">
        <v>6814</v>
      </c>
      <c r="M2108" s="18" t="s">
        <v>6815</v>
      </c>
      <c r="P2108" s="16"/>
      <c r="Q2108" s="16"/>
      <c r="R2108" s="16"/>
      <c r="S2108" s="16"/>
      <c r="U2108" s="283" t="e">
        <v>#N/A</v>
      </c>
      <c r="V2108" s="18" t="s">
        <v>6818</v>
      </c>
      <c r="W2108" s="18">
        <v>1</v>
      </c>
      <c r="X2108" s="18">
        <v>1</v>
      </c>
      <c r="Y2108" s="18">
        <v>0</v>
      </c>
      <c r="Z2108" s="18">
        <v>1</v>
      </c>
      <c r="AA2108" s="18">
        <v>0</v>
      </c>
      <c r="AB2108" s="18">
        <v>1</v>
      </c>
      <c r="AC2108" s="316">
        <v>1</v>
      </c>
      <c r="AD2108" s="316">
        <v>1</v>
      </c>
      <c r="AE2108" s="302">
        <f t="shared" si="84"/>
        <v>0.75</v>
      </c>
      <c r="AF2108" s="176"/>
      <c r="AG2108" s="17">
        <v>0</v>
      </c>
      <c r="AH2108" s="176">
        <v>0</v>
      </c>
      <c r="AI2108" s="176">
        <v>0</v>
      </c>
      <c r="AJ2108" s="176">
        <v>0</v>
      </c>
      <c r="AK2108" s="177">
        <v>2</v>
      </c>
      <c r="AL2108" s="177">
        <v>3</v>
      </c>
      <c r="AM2108" s="147">
        <f t="shared" si="85"/>
        <v>5</v>
      </c>
      <c r="AN2108" s="18" t="s">
        <v>570</v>
      </c>
      <c r="AO2108" s="18" t="s">
        <v>2875</v>
      </c>
      <c r="AP2108" s="18" t="s">
        <v>6565</v>
      </c>
    </row>
    <row r="2109" spans="1:42" s="18" customFormat="1" x14ac:dyDescent="0.3">
      <c r="A2109" s="18" t="s">
        <v>1454</v>
      </c>
      <c r="B2109" s="18" t="s">
        <v>6438</v>
      </c>
      <c r="C2109" s="18">
        <v>102</v>
      </c>
      <c r="D2109" s="18" t="s">
        <v>6793</v>
      </c>
      <c r="E2109" s="18" t="s">
        <v>6794</v>
      </c>
      <c r="F2109" s="18" t="s">
        <v>6795</v>
      </c>
      <c r="G2109" s="156" t="s">
        <v>6796</v>
      </c>
      <c r="H2109" s="18" t="s">
        <v>6797</v>
      </c>
      <c r="K2109" s="156" t="s">
        <v>6813</v>
      </c>
      <c r="L2109" s="18" t="s">
        <v>6814</v>
      </c>
      <c r="M2109" s="18" t="s">
        <v>6815</v>
      </c>
      <c r="P2109" s="16"/>
      <c r="Q2109" s="16"/>
      <c r="R2109" s="16"/>
      <c r="S2109" s="16"/>
      <c r="U2109" s="283" t="e">
        <v>#N/A</v>
      </c>
      <c r="V2109" s="18" t="s">
        <v>6819</v>
      </c>
      <c r="W2109" s="18">
        <v>0</v>
      </c>
      <c r="X2109" s="18">
        <v>0</v>
      </c>
      <c r="Y2109" s="18">
        <v>0</v>
      </c>
      <c r="Z2109" s="18">
        <v>1</v>
      </c>
      <c r="AA2109" s="18">
        <v>0</v>
      </c>
      <c r="AB2109" s="18">
        <v>1</v>
      </c>
      <c r="AC2109" s="316">
        <v>1</v>
      </c>
      <c r="AD2109" s="316">
        <v>1</v>
      </c>
      <c r="AE2109" s="302">
        <f t="shared" ref="AE2109:AE2139" si="86">SUM(W2109:AD2109)/8</f>
        <v>0.5</v>
      </c>
      <c r="AF2109" s="176"/>
      <c r="AG2109" s="17">
        <v>0</v>
      </c>
      <c r="AH2109" s="176">
        <v>0.3</v>
      </c>
      <c r="AI2109" s="176">
        <v>0.36</v>
      </c>
      <c r="AJ2109" s="176">
        <v>0.45</v>
      </c>
      <c r="AK2109" s="177"/>
      <c r="AL2109" s="177"/>
      <c r="AM2109" s="147">
        <f t="shared" si="85"/>
        <v>0</v>
      </c>
      <c r="AN2109" s="18" t="s">
        <v>570</v>
      </c>
      <c r="AO2109" s="18" t="s">
        <v>2875</v>
      </c>
      <c r="AP2109" s="18" t="s">
        <v>6565</v>
      </c>
    </row>
    <row r="2110" spans="1:42" s="18" customFormat="1" x14ac:dyDescent="0.3">
      <c r="A2110" s="18" t="s">
        <v>1454</v>
      </c>
      <c r="B2110" s="18" t="s">
        <v>6438</v>
      </c>
      <c r="C2110" s="18">
        <v>102</v>
      </c>
      <c r="D2110" s="18" t="s">
        <v>6793</v>
      </c>
      <c r="E2110" s="18" t="s">
        <v>6794</v>
      </c>
      <c r="F2110" s="18" t="s">
        <v>6795</v>
      </c>
      <c r="G2110" s="156" t="s">
        <v>6796</v>
      </c>
      <c r="H2110" s="18" t="s">
        <v>6797</v>
      </c>
      <c r="K2110" s="156" t="s">
        <v>6813</v>
      </c>
      <c r="L2110" s="18" t="s">
        <v>6814</v>
      </c>
      <c r="M2110" s="18" t="s">
        <v>6815</v>
      </c>
      <c r="P2110" s="16"/>
      <c r="Q2110" s="16"/>
      <c r="R2110" s="16"/>
      <c r="S2110" s="16"/>
      <c r="U2110" s="283" t="e">
        <v>#N/A</v>
      </c>
      <c r="V2110" s="18" t="s">
        <v>6820</v>
      </c>
      <c r="W2110" s="18">
        <v>1</v>
      </c>
      <c r="X2110" s="18">
        <v>1</v>
      </c>
      <c r="Y2110" s="18">
        <v>0</v>
      </c>
      <c r="Z2110" s="18">
        <v>1</v>
      </c>
      <c r="AA2110" s="18">
        <v>1</v>
      </c>
      <c r="AB2110" s="18">
        <v>1</v>
      </c>
      <c r="AC2110" s="316">
        <v>1</v>
      </c>
      <c r="AD2110" s="316">
        <v>0</v>
      </c>
      <c r="AE2110" s="302">
        <f t="shared" si="86"/>
        <v>0.75</v>
      </c>
      <c r="AF2110" s="176"/>
      <c r="AG2110" s="17">
        <v>0</v>
      </c>
      <c r="AH2110" s="176">
        <v>0</v>
      </c>
      <c r="AI2110" s="176">
        <v>0.4</v>
      </c>
      <c r="AJ2110" s="176">
        <v>0.4</v>
      </c>
      <c r="AK2110" s="177">
        <v>1</v>
      </c>
      <c r="AL2110" s="177">
        <v>2</v>
      </c>
      <c r="AM2110" s="147">
        <f t="shared" si="85"/>
        <v>3</v>
      </c>
      <c r="AN2110" s="18" t="s">
        <v>570</v>
      </c>
      <c r="AO2110" s="18" t="s">
        <v>2875</v>
      </c>
      <c r="AP2110" s="18" t="s">
        <v>6565</v>
      </c>
    </row>
    <row r="2111" spans="1:42" s="18" customFormat="1" x14ac:dyDescent="0.3">
      <c r="A2111" s="18" t="s">
        <v>1454</v>
      </c>
      <c r="B2111" s="18" t="s">
        <v>6438</v>
      </c>
      <c r="C2111" s="18">
        <v>102</v>
      </c>
      <c r="D2111" s="18" t="s">
        <v>6793</v>
      </c>
      <c r="E2111" s="18" t="s">
        <v>6794</v>
      </c>
      <c r="F2111" s="18" t="s">
        <v>6795</v>
      </c>
      <c r="G2111" s="156" t="s">
        <v>6796</v>
      </c>
      <c r="H2111" s="18" t="s">
        <v>6797</v>
      </c>
      <c r="K2111" s="156" t="s">
        <v>6813</v>
      </c>
      <c r="L2111" s="18" t="s">
        <v>6814</v>
      </c>
      <c r="M2111" s="18" t="s">
        <v>6815</v>
      </c>
      <c r="P2111" s="16"/>
      <c r="Q2111" s="16"/>
      <c r="R2111" s="16"/>
      <c r="S2111" s="16"/>
      <c r="U2111" s="283" t="e">
        <v>#N/A</v>
      </c>
      <c r="V2111" s="18" t="s">
        <v>6821</v>
      </c>
      <c r="W2111" s="18">
        <v>1</v>
      </c>
      <c r="X2111" s="18">
        <v>0</v>
      </c>
      <c r="Y2111" s="18">
        <v>0</v>
      </c>
      <c r="Z2111" s="18">
        <v>1</v>
      </c>
      <c r="AA2111" s="18">
        <v>1</v>
      </c>
      <c r="AB2111" s="18">
        <v>0</v>
      </c>
      <c r="AC2111" s="316">
        <v>1</v>
      </c>
      <c r="AD2111" s="316">
        <v>1</v>
      </c>
      <c r="AE2111" s="302">
        <f t="shared" si="86"/>
        <v>0.625</v>
      </c>
      <c r="AF2111" s="176"/>
      <c r="AG2111" s="17">
        <v>0</v>
      </c>
      <c r="AH2111" s="176">
        <v>0</v>
      </c>
      <c r="AI2111" s="176">
        <v>2</v>
      </c>
      <c r="AJ2111" s="176">
        <v>5</v>
      </c>
      <c r="AK2111" s="177"/>
      <c r="AL2111" s="177"/>
      <c r="AM2111" s="147">
        <f t="shared" si="85"/>
        <v>0</v>
      </c>
      <c r="AN2111" s="18" t="s">
        <v>570</v>
      </c>
      <c r="AO2111" s="18" t="s">
        <v>2875</v>
      </c>
      <c r="AP2111" s="18" t="s">
        <v>6565</v>
      </c>
    </row>
    <row r="2112" spans="1:42" s="18" customFormat="1" x14ac:dyDescent="0.3">
      <c r="A2112" s="18" t="s">
        <v>1454</v>
      </c>
      <c r="B2112" s="18" t="s">
        <v>6438</v>
      </c>
      <c r="C2112" s="18">
        <v>102</v>
      </c>
      <c r="D2112" s="18" t="s">
        <v>6793</v>
      </c>
      <c r="E2112" s="18" t="s">
        <v>6794</v>
      </c>
      <c r="F2112" s="18" t="s">
        <v>6795</v>
      </c>
      <c r="G2112" s="156" t="s">
        <v>6822</v>
      </c>
      <c r="H2112" s="18" t="s">
        <v>6823</v>
      </c>
      <c r="K2112" s="156" t="s">
        <v>6824</v>
      </c>
      <c r="L2112" s="18" t="s">
        <v>6825</v>
      </c>
      <c r="M2112" s="18" t="s">
        <v>6826</v>
      </c>
      <c r="N2112" s="18">
        <v>0</v>
      </c>
      <c r="O2112" s="18">
        <v>10</v>
      </c>
      <c r="P2112" s="16">
        <v>50</v>
      </c>
      <c r="Q2112" s="16">
        <v>100</v>
      </c>
      <c r="R2112" s="16">
        <v>100</v>
      </c>
      <c r="S2112" s="16">
        <v>100</v>
      </c>
      <c r="T2112" s="18" t="s">
        <v>570</v>
      </c>
      <c r="U2112" s="283" t="s">
        <v>2875</v>
      </c>
      <c r="V2112" s="18" t="s">
        <v>6827</v>
      </c>
      <c r="W2112" s="18">
        <v>1</v>
      </c>
      <c r="X2112" s="18">
        <v>0</v>
      </c>
      <c r="Y2112" s="18">
        <v>0</v>
      </c>
      <c r="Z2112" s="18">
        <v>0</v>
      </c>
      <c r="AA2112" s="18">
        <v>0</v>
      </c>
      <c r="AB2112" s="18">
        <v>0</v>
      </c>
      <c r="AC2112" s="316">
        <v>1</v>
      </c>
      <c r="AD2112" s="316">
        <v>1</v>
      </c>
      <c r="AE2112" s="302">
        <f t="shared" si="86"/>
        <v>0.375</v>
      </c>
      <c r="AF2112" s="176"/>
      <c r="AG2112" s="17">
        <v>0</v>
      </c>
      <c r="AH2112" s="176">
        <v>0</v>
      </c>
      <c r="AI2112" s="176">
        <v>1.2</v>
      </c>
      <c r="AJ2112" s="176">
        <v>1.3</v>
      </c>
      <c r="AK2112" s="177"/>
      <c r="AL2112" s="177"/>
      <c r="AM2112" s="147">
        <f t="shared" si="85"/>
        <v>0</v>
      </c>
      <c r="AN2112" s="18" t="s">
        <v>2514</v>
      </c>
      <c r="AO2112" s="18" t="s">
        <v>2515</v>
      </c>
      <c r="AP2112" s="18" t="s">
        <v>6828</v>
      </c>
    </row>
    <row r="2113" spans="1:42" s="18" customFormat="1" x14ac:dyDescent="0.3">
      <c r="A2113" s="18" t="s">
        <v>1454</v>
      </c>
      <c r="B2113" s="18" t="s">
        <v>6438</v>
      </c>
      <c r="C2113" s="18">
        <v>102</v>
      </c>
      <c r="D2113" s="18" t="s">
        <v>6793</v>
      </c>
      <c r="E2113" s="18" t="s">
        <v>6794</v>
      </c>
      <c r="F2113" s="18" t="s">
        <v>6795</v>
      </c>
      <c r="G2113" s="156" t="s">
        <v>6822</v>
      </c>
      <c r="H2113" s="18" t="s">
        <v>6823</v>
      </c>
      <c r="K2113" s="156" t="s">
        <v>6829</v>
      </c>
      <c r="L2113" s="18" t="s">
        <v>6830</v>
      </c>
      <c r="M2113" s="18" t="s">
        <v>6831</v>
      </c>
      <c r="N2113" s="18">
        <v>0</v>
      </c>
      <c r="O2113" s="18">
        <v>1</v>
      </c>
      <c r="P2113" s="16">
        <v>1</v>
      </c>
      <c r="Q2113" s="16">
        <v>1</v>
      </c>
      <c r="R2113" s="16">
        <v>2</v>
      </c>
      <c r="S2113" s="16">
        <v>5</v>
      </c>
      <c r="T2113" s="18" t="s">
        <v>570</v>
      </c>
      <c r="U2113" s="283" t="s">
        <v>2875</v>
      </c>
      <c r="V2113" s="18" t="s">
        <v>6832</v>
      </c>
      <c r="W2113" s="18">
        <v>1</v>
      </c>
      <c r="X2113" s="18">
        <v>0</v>
      </c>
      <c r="Y2113" s="18">
        <v>0</v>
      </c>
      <c r="Z2113" s="18">
        <v>0</v>
      </c>
      <c r="AA2113" s="18">
        <v>0</v>
      </c>
      <c r="AB2113" s="18">
        <v>1</v>
      </c>
      <c r="AC2113" s="316">
        <v>1</v>
      </c>
      <c r="AD2113" s="316">
        <v>1</v>
      </c>
      <c r="AE2113" s="302">
        <f t="shared" si="86"/>
        <v>0.5</v>
      </c>
      <c r="AF2113" s="176"/>
      <c r="AG2113" s="17">
        <v>0</v>
      </c>
      <c r="AH2113" s="176">
        <v>0</v>
      </c>
      <c r="AI2113" s="176">
        <v>1.2</v>
      </c>
      <c r="AJ2113" s="176">
        <v>1.3</v>
      </c>
      <c r="AK2113" s="177"/>
      <c r="AL2113" s="177"/>
      <c r="AM2113" s="147">
        <f t="shared" si="85"/>
        <v>0</v>
      </c>
      <c r="AN2113" s="18" t="s">
        <v>2514</v>
      </c>
      <c r="AO2113" s="18" t="s">
        <v>2515</v>
      </c>
      <c r="AP2113" s="18" t="s">
        <v>6833</v>
      </c>
    </row>
    <row r="2114" spans="1:42" s="18" customFormat="1" x14ac:dyDescent="0.3">
      <c r="A2114" s="18" t="s">
        <v>1454</v>
      </c>
      <c r="B2114" s="18" t="s">
        <v>6438</v>
      </c>
      <c r="C2114" s="18">
        <v>102</v>
      </c>
      <c r="D2114" s="18" t="s">
        <v>6793</v>
      </c>
      <c r="E2114" s="18" t="s">
        <v>6794</v>
      </c>
      <c r="F2114" s="18" t="s">
        <v>6795</v>
      </c>
      <c r="G2114" s="156" t="s">
        <v>6822</v>
      </c>
      <c r="H2114" s="18" t="s">
        <v>6823</v>
      </c>
      <c r="K2114" s="156" t="s">
        <v>6829</v>
      </c>
      <c r="L2114" s="18" t="s">
        <v>6830</v>
      </c>
      <c r="M2114" s="18" t="s">
        <v>6831</v>
      </c>
      <c r="P2114" s="16"/>
      <c r="Q2114" s="16"/>
      <c r="R2114" s="16"/>
      <c r="S2114" s="16"/>
      <c r="U2114" s="283" t="e">
        <v>#N/A</v>
      </c>
      <c r="V2114" s="18" t="s">
        <v>6834</v>
      </c>
      <c r="W2114" s="18">
        <v>0</v>
      </c>
      <c r="X2114" s="18">
        <v>1</v>
      </c>
      <c r="Y2114" s="18">
        <v>0</v>
      </c>
      <c r="Z2114" s="18">
        <v>0</v>
      </c>
      <c r="AA2114" s="18">
        <v>0</v>
      </c>
      <c r="AB2114" s="18">
        <v>1</v>
      </c>
      <c r="AC2114" s="316">
        <v>1</v>
      </c>
      <c r="AD2114" s="316">
        <v>1</v>
      </c>
      <c r="AE2114" s="302">
        <f t="shared" si="86"/>
        <v>0.5</v>
      </c>
      <c r="AF2114" s="176"/>
      <c r="AG2114" s="17">
        <v>0</v>
      </c>
      <c r="AH2114" s="176">
        <v>0</v>
      </c>
      <c r="AI2114" s="176">
        <v>1.2</v>
      </c>
      <c r="AJ2114" s="176">
        <v>1.3</v>
      </c>
      <c r="AK2114" s="177"/>
      <c r="AL2114" s="177"/>
      <c r="AM2114" s="147">
        <f t="shared" si="85"/>
        <v>0</v>
      </c>
      <c r="AN2114" s="18" t="s">
        <v>2514</v>
      </c>
      <c r="AO2114" s="18" t="s">
        <v>2515</v>
      </c>
      <c r="AP2114" s="18" t="s">
        <v>6835</v>
      </c>
    </row>
    <row r="2115" spans="1:42" s="18" customFormat="1" x14ac:dyDescent="0.3">
      <c r="A2115" s="18" t="s">
        <v>1454</v>
      </c>
      <c r="B2115" s="18" t="s">
        <v>6438</v>
      </c>
      <c r="C2115" s="18">
        <v>102</v>
      </c>
      <c r="D2115" s="18" t="s">
        <v>6793</v>
      </c>
      <c r="E2115" s="18" t="s">
        <v>6794</v>
      </c>
      <c r="F2115" s="18" t="s">
        <v>6795</v>
      </c>
      <c r="G2115" s="156" t="s">
        <v>6822</v>
      </c>
      <c r="H2115" s="18" t="s">
        <v>6823</v>
      </c>
      <c r="K2115" s="156" t="s">
        <v>6829</v>
      </c>
      <c r="L2115" s="18" t="s">
        <v>6830</v>
      </c>
      <c r="M2115" s="18" t="s">
        <v>6831</v>
      </c>
      <c r="P2115" s="16"/>
      <c r="Q2115" s="16"/>
      <c r="R2115" s="16"/>
      <c r="S2115" s="16"/>
      <c r="U2115" s="283" t="e">
        <v>#N/A</v>
      </c>
      <c r="V2115" s="18" t="s">
        <v>6836</v>
      </c>
      <c r="W2115" s="18">
        <v>1</v>
      </c>
      <c r="X2115" s="18">
        <v>0</v>
      </c>
      <c r="Y2115" s="18">
        <v>1</v>
      </c>
      <c r="Z2115" s="18">
        <v>1</v>
      </c>
      <c r="AA2115" s="18">
        <v>1</v>
      </c>
      <c r="AB2115" s="18">
        <v>0</v>
      </c>
      <c r="AC2115" s="316">
        <v>1</v>
      </c>
      <c r="AD2115" s="316">
        <v>0</v>
      </c>
      <c r="AE2115" s="302">
        <f t="shared" si="86"/>
        <v>0.625</v>
      </c>
      <c r="AF2115" s="176"/>
      <c r="AG2115" s="17">
        <v>0</v>
      </c>
      <c r="AH2115" s="176">
        <v>0</v>
      </c>
      <c r="AI2115" s="176">
        <v>2.2000000000000002</v>
      </c>
      <c r="AJ2115" s="176">
        <v>2.2999999999999998</v>
      </c>
      <c r="AK2115" s="177">
        <v>0.7</v>
      </c>
      <c r="AL2115" s="177">
        <v>5</v>
      </c>
      <c r="AM2115" s="147">
        <f t="shared" si="85"/>
        <v>5.7</v>
      </c>
      <c r="AN2115" s="18" t="s">
        <v>2514</v>
      </c>
      <c r="AO2115" s="18" t="s">
        <v>2515</v>
      </c>
      <c r="AP2115" s="18" t="s">
        <v>2514</v>
      </c>
    </row>
    <row r="2116" spans="1:42" s="18" customFormat="1" x14ac:dyDescent="0.3">
      <c r="A2116" s="18" t="s">
        <v>1454</v>
      </c>
      <c r="B2116" s="18" t="s">
        <v>6438</v>
      </c>
      <c r="C2116" s="18">
        <v>102</v>
      </c>
      <c r="D2116" s="18" t="s">
        <v>6793</v>
      </c>
      <c r="E2116" s="18" t="s">
        <v>6794</v>
      </c>
      <c r="F2116" s="18" t="s">
        <v>6795</v>
      </c>
      <c r="G2116" s="156" t="s">
        <v>6822</v>
      </c>
      <c r="H2116" s="18" t="s">
        <v>6823</v>
      </c>
      <c r="K2116" s="156" t="s">
        <v>6829</v>
      </c>
      <c r="L2116" s="18" t="s">
        <v>6830</v>
      </c>
      <c r="M2116" s="18" t="s">
        <v>6831</v>
      </c>
      <c r="P2116" s="16"/>
      <c r="Q2116" s="16"/>
      <c r="R2116" s="16"/>
      <c r="S2116" s="16"/>
      <c r="U2116" s="283" t="e">
        <v>#N/A</v>
      </c>
      <c r="V2116" s="18" t="s">
        <v>6837</v>
      </c>
      <c r="W2116" s="18">
        <v>1</v>
      </c>
      <c r="X2116" s="18">
        <v>1</v>
      </c>
      <c r="Y2116" s="18">
        <v>0</v>
      </c>
      <c r="Z2116" s="18">
        <v>1</v>
      </c>
      <c r="AA2116" s="18">
        <v>1</v>
      </c>
      <c r="AB2116" s="18">
        <v>0</v>
      </c>
      <c r="AC2116" s="316">
        <v>1</v>
      </c>
      <c r="AD2116" s="316">
        <v>1</v>
      </c>
      <c r="AE2116" s="302">
        <f t="shared" si="86"/>
        <v>0.75</v>
      </c>
      <c r="AF2116" s="176"/>
      <c r="AG2116" s="17">
        <v>0</v>
      </c>
      <c r="AH2116" s="176">
        <v>0</v>
      </c>
      <c r="AI2116" s="176">
        <v>25</v>
      </c>
      <c r="AJ2116" s="176">
        <v>25</v>
      </c>
      <c r="AK2116" s="177">
        <v>10</v>
      </c>
      <c r="AL2116" s="177">
        <v>10</v>
      </c>
      <c r="AM2116" s="147">
        <f t="shared" si="85"/>
        <v>20</v>
      </c>
      <c r="AN2116" s="18" t="s">
        <v>570</v>
      </c>
      <c r="AO2116" s="18" t="s">
        <v>2875</v>
      </c>
      <c r="AP2116" s="18" t="s">
        <v>6565</v>
      </c>
    </row>
    <row r="2117" spans="1:42" s="18" customFormat="1" x14ac:dyDescent="0.3">
      <c r="A2117" s="18" t="s">
        <v>1454</v>
      </c>
      <c r="B2117" s="18" t="s">
        <v>6438</v>
      </c>
      <c r="C2117" s="18">
        <v>103</v>
      </c>
      <c r="D2117" s="18" t="s">
        <v>6838</v>
      </c>
      <c r="E2117" s="18">
        <v>1035</v>
      </c>
      <c r="F2117" s="18" t="s">
        <v>6839</v>
      </c>
      <c r="G2117" s="156" t="s">
        <v>6840</v>
      </c>
      <c r="H2117" s="18" t="s">
        <v>6841</v>
      </c>
      <c r="K2117" s="156" t="s">
        <v>6842</v>
      </c>
      <c r="L2117" s="18" t="s">
        <v>6843</v>
      </c>
      <c r="M2117" s="18" t="s">
        <v>6844</v>
      </c>
      <c r="N2117" s="18">
        <v>48</v>
      </c>
      <c r="O2117" s="18">
        <v>58</v>
      </c>
      <c r="P2117" s="16">
        <v>69.2</v>
      </c>
      <c r="Q2117" s="16">
        <v>80</v>
      </c>
      <c r="R2117" s="16">
        <v>89.8</v>
      </c>
      <c r="S2117" s="16">
        <v>100</v>
      </c>
      <c r="T2117" s="18" t="s">
        <v>570</v>
      </c>
      <c r="U2117" s="283" t="s">
        <v>2875</v>
      </c>
      <c r="V2117" s="18" t="s">
        <v>6845</v>
      </c>
      <c r="W2117" s="18">
        <v>1</v>
      </c>
      <c r="X2117" s="18">
        <v>0</v>
      </c>
      <c r="Y2117" s="18">
        <v>0</v>
      </c>
      <c r="Z2117" s="18">
        <v>1</v>
      </c>
      <c r="AA2117" s="18">
        <v>1</v>
      </c>
      <c r="AB2117" s="18">
        <v>1</v>
      </c>
      <c r="AC2117" s="316">
        <v>1</v>
      </c>
      <c r="AD2117" s="316">
        <v>1</v>
      </c>
      <c r="AE2117" s="302">
        <f t="shared" si="86"/>
        <v>0.75</v>
      </c>
      <c r="AF2117" s="176"/>
      <c r="AG2117" s="17">
        <v>0</v>
      </c>
      <c r="AH2117" s="176">
        <v>0.55000000000000004</v>
      </c>
      <c r="AI2117" s="176">
        <v>0.57999999999999996</v>
      </c>
      <c r="AJ2117" s="176">
        <v>0.61</v>
      </c>
      <c r="AK2117" s="177">
        <v>3</v>
      </c>
      <c r="AL2117" s="177">
        <v>5</v>
      </c>
      <c r="AM2117" s="147">
        <f t="shared" si="85"/>
        <v>8</v>
      </c>
      <c r="AN2117" s="18" t="s">
        <v>570</v>
      </c>
      <c r="AO2117" s="18" t="s">
        <v>2875</v>
      </c>
      <c r="AP2117" s="18" t="s">
        <v>6565</v>
      </c>
    </row>
    <row r="2118" spans="1:42" s="18" customFormat="1" x14ac:dyDescent="0.3">
      <c r="A2118" s="18" t="s">
        <v>1454</v>
      </c>
      <c r="B2118" s="18" t="s">
        <v>6438</v>
      </c>
      <c r="C2118" s="18">
        <v>103</v>
      </c>
      <c r="D2118" s="18" t="s">
        <v>6838</v>
      </c>
      <c r="E2118" s="18">
        <v>1035</v>
      </c>
      <c r="F2118" s="18" t="s">
        <v>6839</v>
      </c>
      <c r="G2118" s="156" t="s">
        <v>6840</v>
      </c>
      <c r="H2118" s="18" t="s">
        <v>6841</v>
      </c>
      <c r="K2118" s="156" t="s">
        <v>6842</v>
      </c>
      <c r="L2118" s="18" t="s">
        <v>6843</v>
      </c>
      <c r="M2118" s="18" t="s">
        <v>6846</v>
      </c>
      <c r="N2118" s="18">
        <v>48</v>
      </c>
      <c r="O2118" s="18">
        <v>58</v>
      </c>
      <c r="P2118" s="16">
        <v>69.2</v>
      </c>
      <c r="Q2118" s="16">
        <v>80</v>
      </c>
      <c r="R2118" s="16">
        <v>89.8</v>
      </c>
      <c r="S2118" s="16">
        <v>100</v>
      </c>
      <c r="T2118" s="18" t="s">
        <v>570</v>
      </c>
      <c r="U2118" s="283" t="s">
        <v>2875</v>
      </c>
      <c r="V2118" s="18" t="s">
        <v>6847</v>
      </c>
      <c r="W2118" s="18">
        <v>1</v>
      </c>
      <c r="X2118" s="18">
        <v>1</v>
      </c>
      <c r="Y2118" s="18">
        <v>0</v>
      </c>
      <c r="Z2118" s="18">
        <v>1</v>
      </c>
      <c r="AA2118" s="18">
        <v>0</v>
      </c>
      <c r="AB2118" s="18">
        <v>1</v>
      </c>
      <c r="AC2118" s="316">
        <v>1</v>
      </c>
      <c r="AD2118" s="316">
        <v>1</v>
      </c>
      <c r="AE2118" s="302">
        <f t="shared" si="86"/>
        <v>0.75</v>
      </c>
      <c r="AF2118" s="176"/>
      <c r="AG2118" s="17">
        <v>0</v>
      </c>
      <c r="AH2118" s="176">
        <v>0.5</v>
      </c>
      <c r="AI2118" s="176">
        <v>0</v>
      </c>
      <c r="AJ2118" s="176">
        <v>0</v>
      </c>
      <c r="AK2118" s="177">
        <v>5</v>
      </c>
      <c r="AL2118" s="177">
        <v>5</v>
      </c>
      <c r="AM2118" s="147">
        <f t="shared" si="85"/>
        <v>10</v>
      </c>
      <c r="AN2118" s="18" t="s">
        <v>570</v>
      </c>
      <c r="AO2118" s="18" t="s">
        <v>2875</v>
      </c>
      <c r="AP2118" s="18" t="s">
        <v>6565</v>
      </c>
    </row>
    <row r="2119" spans="1:42" s="18" customFormat="1" x14ac:dyDescent="0.3">
      <c r="A2119" s="18" t="s">
        <v>1454</v>
      </c>
      <c r="B2119" s="18" t="s">
        <v>6438</v>
      </c>
      <c r="C2119" s="18">
        <v>103</v>
      </c>
      <c r="D2119" s="18" t="s">
        <v>6838</v>
      </c>
      <c r="E2119" s="18">
        <v>1035</v>
      </c>
      <c r="F2119" s="18" t="s">
        <v>6839</v>
      </c>
      <c r="G2119" s="156" t="s">
        <v>6840</v>
      </c>
      <c r="H2119" s="18" t="s">
        <v>6841</v>
      </c>
      <c r="K2119" s="156" t="s">
        <v>6842</v>
      </c>
      <c r="L2119" s="18" t="s">
        <v>6843</v>
      </c>
      <c r="M2119" s="18" t="s">
        <v>6848</v>
      </c>
      <c r="N2119" s="18">
        <v>48</v>
      </c>
      <c r="O2119" s="18">
        <v>58</v>
      </c>
      <c r="P2119" s="16">
        <v>69.2</v>
      </c>
      <c r="Q2119" s="16">
        <v>80</v>
      </c>
      <c r="R2119" s="16">
        <v>89.8</v>
      </c>
      <c r="S2119" s="16">
        <v>100</v>
      </c>
      <c r="T2119" s="18" t="s">
        <v>570</v>
      </c>
      <c r="U2119" s="283" t="s">
        <v>2875</v>
      </c>
      <c r="V2119" s="18" t="s">
        <v>6849</v>
      </c>
      <c r="W2119" s="18">
        <v>0</v>
      </c>
      <c r="X2119" s="18">
        <v>0</v>
      </c>
      <c r="Y2119" s="18">
        <v>0</v>
      </c>
      <c r="Z2119" s="18">
        <v>0</v>
      </c>
      <c r="AA2119" s="18">
        <v>0</v>
      </c>
      <c r="AB2119" s="18">
        <v>0</v>
      </c>
      <c r="AC2119" s="316">
        <v>0</v>
      </c>
      <c r="AD2119" s="316">
        <v>0</v>
      </c>
      <c r="AE2119" s="302">
        <f t="shared" si="86"/>
        <v>0</v>
      </c>
      <c r="AF2119" s="176"/>
      <c r="AG2119" s="17">
        <v>0</v>
      </c>
      <c r="AH2119" s="176">
        <v>0</v>
      </c>
      <c r="AI2119" s="176">
        <v>0.2</v>
      </c>
      <c r="AJ2119" s="176">
        <v>0</v>
      </c>
      <c r="AK2119" s="177">
        <v>0</v>
      </c>
      <c r="AL2119" s="177">
        <v>0</v>
      </c>
      <c r="AM2119" s="147">
        <f t="shared" si="85"/>
        <v>0</v>
      </c>
      <c r="AN2119" s="18" t="s">
        <v>570</v>
      </c>
      <c r="AO2119" s="18" t="s">
        <v>2875</v>
      </c>
      <c r="AP2119" s="18" t="s">
        <v>6565</v>
      </c>
    </row>
    <row r="2120" spans="1:42" s="18" customFormat="1" x14ac:dyDescent="0.3">
      <c r="A2120" s="18" t="s">
        <v>1454</v>
      </c>
      <c r="B2120" s="18" t="s">
        <v>6438</v>
      </c>
      <c r="C2120" s="18">
        <v>103</v>
      </c>
      <c r="D2120" s="18" t="s">
        <v>6838</v>
      </c>
      <c r="E2120" s="18">
        <v>1035</v>
      </c>
      <c r="F2120" s="18" t="s">
        <v>6839</v>
      </c>
      <c r="G2120" s="156" t="s">
        <v>6840</v>
      </c>
      <c r="H2120" s="18" t="s">
        <v>6841</v>
      </c>
      <c r="K2120" s="156" t="s">
        <v>6842</v>
      </c>
      <c r="L2120" s="18" t="s">
        <v>6843</v>
      </c>
      <c r="M2120" s="18" t="s">
        <v>6848</v>
      </c>
      <c r="P2120" s="16"/>
      <c r="Q2120" s="16"/>
      <c r="R2120" s="16"/>
      <c r="S2120" s="16"/>
      <c r="U2120" s="283" t="e">
        <v>#N/A</v>
      </c>
      <c r="V2120" s="18" t="s">
        <v>6850</v>
      </c>
      <c r="W2120" s="18">
        <v>1</v>
      </c>
      <c r="X2120" s="18">
        <v>1</v>
      </c>
      <c r="Y2120" s="18">
        <v>0</v>
      </c>
      <c r="Z2120" s="18">
        <v>1</v>
      </c>
      <c r="AA2120" s="18">
        <v>1</v>
      </c>
      <c r="AB2120" s="18">
        <v>1</v>
      </c>
      <c r="AC2120" s="316">
        <v>1</v>
      </c>
      <c r="AD2120" s="316">
        <v>1</v>
      </c>
      <c r="AE2120" s="302">
        <f t="shared" si="86"/>
        <v>0.875</v>
      </c>
      <c r="AF2120" s="176"/>
      <c r="AG2120" s="17">
        <v>0</v>
      </c>
      <c r="AH2120" s="176">
        <v>0</v>
      </c>
      <c r="AI2120" s="176">
        <v>1.2</v>
      </c>
      <c r="AJ2120" s="176">
        <v>1.2</v>
      </c>
      <c r="AK2120" s="177">
        <v>0.2</v>
      </c>
      <c r="AL2120" s="177">
        <v>0.3</v>
      </c>
      <c r="AM2120" s="147">
        <f t="shared" si="85"/>
        <v>0.5</v>
      </c>
      <c r="AN2120" s="18" t="s">
        <v>570</v>
      </c>
      <c r="AO2120" s="18" t="s">
        <v>2875</v>
      </c>
      <c r="AP2120" s="18" t="s">
        <v>6565</v>
      </c>
    </row>
    <row r="2121" spans="1:42" s="18" customFormat="1" x14ac:dyDescent="0.3">
      <c r="A2121" s="18" t="s">
        <v>1454</v>
      </c>
      <c r="B2121" s="18" t="s">
        <v>6438</v>
      </c>
      <c r="C2121" s="18">
        <v>103</v>
      </c>
      <c r="D2121" s="18" t="s">
        <v>6838</v>
      </c>
      <c r="E2121" s="18">
        <v>1035</v>
      </c>
      <c r="F2121" s="18" t="s">
        <v>6839</v>
      </c>
      <c r="G2121" s="156" t="s">
        <v>6840</v>
      </c>
      <c r="H2121" s="18" t="s">
        <v>6841</v>
      </c>
      <c r="K2121" s="156" t="s">
        <v>6842</v>
      </c>
      <c r="L2121" s="18" t="s">
        <v>6843</v>
      </c>
      <c r="M2121" s="18" t="s">
        <v>6848</v>
      </c>
      <c r="P2121" s="16"/>
      <c r="Q2121" s="16"/>
      <c r="R2121" s="16"/>
      <c r="S2121" s="16"/>
      <c r="U2121" s="283" t="e">
        <v>#N/A</v>
      </c>
      <c r="V2121" s="18" t="s">
        <v>6851</v>
      </c>
      <c r="W2121" s="18">
        <v>0</v>
      </c>
      <c r="X2121" s="18">
        <v>0</v>
      </c>
      <c r="Y2121" s="18">
        <v>0</v>
      </c>
      <c r="Z2121" s="18">
        <v>0</v>
      </c>
      <c r="AA2121" s="18">
        <v>0</v>
      </c>
      <c r="AB2121" s="18">
        <v>0</v>
      </c>
      <c r="AC2121" s="316">
        <v>0</v>
      </c>
      <c r="AD2121" s="316">
        <v>0</v>
      </c>
      <c r="AE2121" s="302">
        <f t="shared" si="86"/>
        <v>0</v>
      </c>
      <c r="AF2121" s="176"/>
      <c r="AG2121" s="17">
        <v>0</v>
      </c>
      <c r="AH2121" s="176">
        <v>0</v>
      </c>
      <c r="AI2121" s="176">
        <v>0.6</v>
      </c>
      <c r="AJ2121" s="176">
        <v>0.6</v>
      </c>
      <c r="AK2121" s="177"/>
      <c r="AL2121" s="177">
        <v>0</v>
      </c>
      <c r="AM2121" s="147">
        <f t="shared" si="85"/>
        <v>0</v>
      </c>
      <c r="AN2121" s="18" t="s">
        <v>570</v>
      </c>
      <c r="AO2121" s="18" t="s">
        <v>2875</v>
      </c>
      <c r="AP2121" s="18" t="s">
        <v>6565</v>
      </c>
    </row>
    <row r="2122" spans="1:42" s="18" customFormat="1" x14ac:dyDescent="0.3">
      <c r="A2122" s="18" t="s">
        <v>1454</v>
      </c>
      <c r="B2122" s="18" t="s">
        <v>6438</v>
      </c>
      <c r="C2122" s="18">
        <v>103</v>
      </c>
      <c r="D2122" s="18" t="s">
        <v>6838</v>
      </c>
      <c r="E2122" s="18">
        <v>1035</v>
      </c>
      <c r="F2122" s="18" t="s">
        <v>6839</v>
      </c>
      <c r="G2122" s="156" t="s">
        <v>6840</v>
      </c>
      <c r="H2122" s="18" t="s">
        <v>6841</v>
      </c>
      <c r="K2122" s="156" t="s">
        <v>6842</v>
      </c>
      <c r="L2122" s="18" t="s">
        <v>6843</v>
      </c>
      <c r="M2122" s="18" t="s">
        <v>6848</v>
      </c>
      <c r="P2122" s="16"/>
      <c r="Q2122" s="16"/>
      <c r="R2122" s="16"/>
      <c r="S2122" s="16"/>
      <c r="U2122" s="283" t="e">
        <v>#N/A</v>
      </c>
      <c r="V2122" s="18" t="s">
        <v>6852</v>
      </c>
      <c r="W2122" s="18">
        <v>1</v>
      </c>
      <c r="X2122" s="18">
        <v>1</v>
      </c>
      <c r="Y2122" s="18">
        <v>0</v>
      </c>
      <c r="Z2122" s="18">
        <v>1</v>
      </c>
      <c r="AA2122" s="18">
        <v>0</v>
      </c>
      <c r="AB2122" s="18">
        <v>1</v>
      </c>
      <c r="AC2122" s="316">
        <v>1</v>
      </c>
      <c r="AD2122" s="316">
        <v>1</v>
      </c>
      <c r="AE2122" s="302">
        <f t="shared" si="86"/>
        <v>0.75</v>
      </c>
      <c r="AF2122" s="176"/>
      <c r="AG2122" s="17">
        <v>0</v>
      </c>
      <c r="AH2122" s="176">
        <v>0</v>
      </c>
      <c r="AI2122" s="176">
        <v>2.5</v>
      </c>
      <c r="AJ2122" s="176">
        <v>2.5</v>
      </c>
      <c r="AK2122" s="177">
        <v>1</v>
      </c>
      <c r="AL2122" s="177">
        <v>3</v>
      </c>
      <c r="AM2122" s="147">
        <f t="shared" si="85"/>
        <v>4</v>
      </c>
      <c r="AN2122" s="18" t="s">
        <v>570</v>
      </c>
      <c r="AO2122" s="18" t="s">
        <v>2875</v>
      </c>
      <c r="AP2122" s="18" t="s">
        <v>6565</v>
      </c>
    </row>
    <row r="2123" spans="1:42" s="18" customFormat="1" x14ac:dyDescent="0.3">
      <c r="A2123" s="18" t="s">
        <v>1454</v>
      </c>
      <c r="B2123" s="18" t="s">
        <v>6438</v>
      </c>
      <c r="C2123" s="18">
        <v>103</v>
      </c>
      <c r="D2123" s="18" t="s">
        <v>6838</v>
      </c>
      <c r="E2123" s="18">
        <v>1035</v>
      </c>
      <c r="F2123" s="18" t="s">
        <v>6839</v>
      </c>
      <c r="G2123" s="156" t="s">
        <v>6840</v>
      </c>
      <c r="H2123" s="18" t="s">
        <v>6841</v>
      </c>
      <c r="K2123" s="156" t="s">
        <v>6842</v>
      </c>
      <c r="L2123" s="18" t="s">
        <v>6843</v>
      </c>
      <c r="M2123" s="18" t="s">
        <v>6848</v>
      </c>
      <c r="P2123" s="16"/>
      <c r="Q2123" s="16"/>
      <c r="R2123" s="16"/>
      <c r="S2123" s="16"/>
      <c r="U2123" s="283" t="e">
        <v>#N/A</v>
      </c>
      <c r="V2123" s="18" t="s">
        <v>6853</v>
      </c>
      <c r="W2123" s="18">
        <v>1</v>
      </c>
      <c r="X2123" s="18">
        <v>0</v>
      </c>
      <c r="Y2123" s="18">
        <v>0</v>
      </c>
      <c r="Z2123" s="18">
        <v>1</v>
      </c>
      <c r="AA2123" s="18">
        <v>1</v>
      </c>
      <c r="AB2123" s="18">
        <v>1</v>
      </c>
      <c r="AC2123" s="316">
        <v>1</v>
      </c>
      <c r="AD2123" s="316">
        <v>1</v>
      </c>
      <c r="AE2123" s="302">
        <f t="shared" si="86"/>
        <v>0.75</v>
      </c>
      <c r="AF2123" s="176"/>
      <c r="AG2123" s="17">
        <v>0</v>
      </c>
      <c r="AH2123" s="176">
        <v>0</v>
      </c>
      <c r="AI2123" s="176">
        <v>4</v>
      </c>
      <c r="AJ2123" s="176">
        <v>4</v>
      </c>
      <c r="AK2123" s="177">
        <v>0</v>
      </c>
      <c r="AL2123" s="177">
        <v>0.68</v>
      </c>
      <c r="AM2123" s="147">
        <f t="shared" si="85"/>
        <v>0.68</v>
      </c>
      <c r="AN2123" s="18" t="s">
        <v>570</v>
      </c>
      <c r="AO2123" s="18" t="s">
        <v>2875</v>
      </c>
      <c r="AP2123" s="18" t="s">
        <v>6565</v>
      </c>
    </row>
    <row r="2124" spans="1:42" s="18" customFormat="1" x14ac:dyDescent="0.3">
      <c r="A2124" s="18" t="s">
        <v>1454</v>
      </c>
      <c r="B2124" s="18" t="s">
        <v>6438</v>
      </c>
      <c r="C2124" s="18">
        <v>103</v>
      </c>
      <c r="D2124" s="18" t="s">
        <v>6838</v>
      </c>
      <c r="E2124" s="18">
        <v>1035</v>
      </c>
      <c r="F2124" s="18" t="s">
        <v>6839</v>
      </c>
      <c r="G2124" s="156" t="s">
        <v>6840</v>
      </c>
      <c r="H2124" s="18" t="s">
        <v>6841</v>
      </c>
      <c r="K2124" s="156" t="s">
        <v>6842</v>
      </c>
      <c r="L2124" s="18" t="s">
        <v>6843</v>
      </c>
      <c r="M2124" s="18" t="s">
        <v>6848</v>
      </c>
      <c r="P2124" s="16"/>
      <c r="Q2124" s="16"/>
      <c r="R2124" s="16"/>
      <c r="S2124" s="16"/>
      <c r="U2124" s="283" t="e">
        <v>#N/A</v>
      </c>
      <c r="V2124" s="18" t="s">
        <v>6854</v>
      </c>
      <c r="AC2124" s="316">
        <v>0</v>
      </c>
      <c r="AD2124" s="316">
        <v>0</v>
      </c>
      <c r="AE2124" s="302">
        <f t="shared" si="86"/>
        <v>0</v>
      </c>
      <c r="AF2124" s="176"/>
      <c r="AG2124" s="17">
        <v>0</v>
      </c>
      <c r="AH2124" s="176">
        <v>0</v>
      </c>
      <c r="AI2124" s="176">
        <v>0.3</v>
      </c>
      <c r="AJ2124" s="176">
        <v>0</v>
      </c>
      <c r="AK2124" s="177">
        <v>0</v>
      </c>
      <c r="AL2124" s="177">
        <v>0</v>
      </c>
      <c r="AM2124" s="147">
        <f t="shared" si="85"/>
        <v>0</v>
      </c>
      <c r="AN2124" s="18" t="s">
        <v>2514</v>
      </c>
      <c r="AO2124" s="18" t="s">
        <v>2515</v>
      </c>
      <c r="AP2124" s="18" t="s">
        <v>6855</v>
      </c>
    </row>
    <row r="2125" spans="1:42" s="18" customFormat="1" x14ac:dyDescent="0.3">
      <c r="A2125" s="18" t="s">
        <v>1454</v>
      </c>
      <c r="B2125" s="18" t="s">
        <v>6438</v>
      </c>
      <c r="C2125" s="18">
        <v>103</v>
      </c>
      <c r="D2125" s="18" t="s">
        <v>6838</v>
      </c>
      <c r="E2125" s="18">
        <v>1035</v>
      </c>
      <c r="F2125" s="18" t="s">
        <v>6839</v>
      </c>
      <c r="G2125" s="156" t="s">
        <v>6840</v>
      </c>
      <c r="H2125" s="18" t="s">
        <v>6841</v>
      </c>
      <c r="K2125" s="156" t="s">
        <v>6842</v>
      </c>
      <c r="L2125" s="18" t="s">
        <v>6843</v>
      </c>
      <c r="M2125" s="18" t="s">
        <v>6848</v>
      </c>
      <c r="P2125" s="16"/>
      <c r="Q2125" s="16"/>
      <c r="R2125" s="16"/>
      <c r="S2125" s="16"/>
      <c r="U2125" s="283" t="e">
        <v>#N/A</v>
      </c>
      <c r="V2125" s="18" t="s">
        <v>6856</v>
      </c>
      <c r="W2125" s="18">
        <v>1</v>
      </c>
      <c r="X2125" s="18">
        <v>1</v>
      </c>
      <c r="Y2125" s="18">
        <v>0</v>
      </c>
      <c r="Z2125" s="18">
        <v>1</v>
      </c>
      <c r="AA2125" s="18">
        <v>0</v>
      </c>
      <c r="AB2125" s="18">
        <v>1</v>
      </c>
      <c r="AC2125" s="316">
        <v>1</v>
      </c>
      <c r="AD2125" s="316">
        <v>1</v>
      </c>
      <c r="AE2125" s="302">
        <f t="shared" si="86"/>
        <v>0.75</v>
      </c>
      <c r="AF2125" s="176"/>
      <c r="AG2125" s="17">
        <v>0</v>
      </c>
      <c r="AH2125" s="176">
        <v>2</v>
      </c>
      <c r="AI2125" s="176">
        <v>0</v>
      </c>
      <c r="AJ2125" s="176">
        <v>0</v>
      </c>
      <c r="AK2125" s="177">
        <v>5</v>
      </c>
      <c r="AL2125" s="177">
        <v>4</v>
      </c>
      <c r="AM2125" s="147">
        <f t="shared" si="85"/>
        <v>9</v>
      </c>
      <c r="AN2125" s="18" t="s">
        <v>2514</v>
      </c>
      <c r="AO2125" s="18" t="s">
        <v>2515</v>
      </c>
      <c r="AP2125" s="18" t="s">
        <v>119</v>
      </c>
    </row>
    <row r="2126" spans="1:42" s="18" customFormat="1" x14ac:dyDescent="0.3">
      <c r="A2126" s="18" t="s">
        <v>1454</v>
      </c>
      <c r="B2126" s="18" t="s">
        <v>6438</v>
      </c>
      <c r="C2126" s="18">
        <v>103</v>
      </c>
      <c r="D2126" s="18" t="s">
        <v>6838</v>
      </c>
      <c r="E2126" s="18">
        <v>1035</v>
      </c>
      <c r="F2126" s="18" t="s">
        <v>6839</v>
      </c>
      <c r="G2126" s="156" t="s">
        <v>6840</v>
      </c>
      <c r="H2126" s="18" t="s">
        <v>6841</v>
      </c>
      <c r="K2126" s="156" t="s">
        <v>6842</v>
      </c>
      <c r="L2126" s="18" t="s">
        <v>6843</v>
      </c>
      <c r="M2126" s="18" t="s">
        <v>6848</v>
      </c>
      <c r="P2126" s="16"/>
      <c r="Q2126" s="16"/>
      <c r="R2126" s="16"/>
      <c r="S2126" s="16"/>
      <c r="U2126" s="283" t="e">
        <v>#N/A</v>
      </c>
      <c r="V2126" s="18" t="s">
        <v>6857</v>
      </c>
      <c r="W2126" s="18">
        <v>0</v>
      </c>
      <c r="X2126" s="18">
        <v>0</v>
      </c>
      <c r="Y2126" s="18">
        <v>0</v>
      </c>
      <c r="Z2126" s="18">
        <v>0</v>
      </c>
      <c r="AA2126" s="18">
        <v>0</v>
      </c>
      <c r="AB2126" s="18">
        <v>0</v>
      </c>
      <c r="AC2126" s="316">
        <v>0</v>
      </c>
      <c r="AD2126" s="316">
        <v>0</v>
      </c>
      <c r="AE2126" s="302">
        <f t="shared" si="86"/>
        <v>0</v>
      </c>
      <c r="AF2126" s="176"/>
      <c r="AG2126" s="17">
        <v>0</v>
      </c>
      <c r="AH2126" s="176">
        <v>0</v>
      </c>
      <c r="AI2126" s="176">
        <v>0.5</v>
      </c>
      <c r="AJ2126" s="176">
        <v>0.3</v>
      </c>
      <c r="AK2126" s="177"/>
      <c r="AL2126" s="177">
        <v>0</v>
      </c>
      <c r="AM2126" s="147">
        <f t="shared" si="85"/>
        <v>0</v>
      </c>
      <c r="AN2126" s="18" t="s">
        <v>2514</v>
      </c>
      <c r="AO2126" s="18" t="s">
        <v>2515</v>
      </c>
      <c r="AP2126" s="18" t="s">
        <v>6466</v>
      </c>
    </row>
    <row r="2127" spans="1:42" s="18" customFormat="1" x14ac:dyDescent="0.3">
      <c r="A2127" s="18" t="s">
        <v>1454</v>
      </c>
      <c r="B2127" s="18" t="s">
        <v>6438</v>
      </c>
      <c r="C2127" s="18">
        <v>103</v>
      </c>
      <c r="D2127" s="18" t="s">
        <v>6838</v>
      </c>
      <c r="E2127" s="18">
        <v>1035</v>
      </c>
      <c r="F2127" s="18" t="s">
        <v>6839</v>
      </c>
      <c r="G2127" s="156" t="s">
        <v>6840</v>
      </c>
      <c r="H2127" s="18" t="s">
        <v>6841</v>
      </c>
      <c r="K2127" s="156" t="s">
        <v>6842</v>
      </c>
      <c r="L2127" s="18" t="s">
        <v>6843</v>
      </c>
      <c r="M2127" s="18" t="s">
        <v>6848</v>
      </c>
      <c r="P2127" s="16"/>
      <c r="Q2127" s="16"/>
      <c r="R2127" s="16"/>
      <c r="S2127" s="16"/>
      <c r="U2127" s="283" t="e">
        <v>#N/A</v>
      </c>
      <c r="V2127" s="18" t="s">
        <v>6858</v>
      </c>
      <c r="W2127" s="18">
        <v>1</v>
      </c>
      <c r="X2127" s="18">
        <v>0</v>
      </c>
      <c r="Y2127" s="18">
        <v>0</v>
      </c>
      <c r="Z2127" s="18">
        <v>0</v>
      </c>
      <c r="AA2127" s="18">
        <v>0</v>
      </c>
      <c r="AB2127" s="18">
        <v>0</v>
      </c>
      <c r="AC2127" s="316">
        <v>0</v>
      </c>
      <c r="AD2127" s="316">
        <v>1</v>
      </c>
      <c r="AE2127" s="302">
        <f t="shared" si="86"/>
        <v>0.25</v>
      </c>
      <c r="AF2127" s="176"/>
      <c r="AG2127" s="17">
        <v>0</v>
      </c>
      <c r="AH2127" s="176">
        <v>0</v>
      </c>
      <c r="AI2127" s="176">
        <v>0</v>
      </c>
      <c r="AJ2127" s="176">
        <v>0</v>
      </c>
      <c r="AK2127" s="177"/>
      <c r="AL2127" s="177">
        <v>0</v>
      </c>
      <c r="AM2127" s="147">
        <f t="shared" si="85"/>
        <v>0</v>
      </c>
      <c r="AN2127" s="18" t="s">
        <v>2514</v>
      </c>
      <c r="AO2127" s="18" t="s">
        <v>2515</v>
      </c>
      <c r="AP2127" s="18" t="s">
        <v>6855</v>
      </c>
    </row>
    <row r="2128" spans="1:42" s="18" customFormat="1" x14ac:dyDescent="0.3">
      <c r="A2128" s="18" t="s">
        <v>1454</v>
      </c>
      <c r="B2128" s="18" t="s">
        <v>6438</v>
      </c>
      <c r="C2128" s="18">
        <v>103</v>
      </c>
      <c r="D2128" s="18" t="s">
        <v>6838</v>
      </c>
      <c r="E2128" s="18">
        <v>1035</v>
      </c>
      <c r="F2128" s="18" t="s">
        <v>6839</v>
      </c>
      <c r="G2128" s="156" t="s">
        <v>6840</v>
      </c>
      <c r="H2128" s="18" t="s">
        <v>6841</v>
      </c>
      <c r="K2128" s="156" t="s">
        <v>6842</v>
      </c>
      <c r="L2128" s="18" t="s">
        <v>6843</v>
      </c>
      <c r="M2128" s="18" t="s">
        <v>6848</v>
      </c>
      <c r="P2128" s="16"/>
      <c r="Q2128" s="16"/>
      <c r="R2128" s="16"/>
      <c r="S2128" s="16"/>
      <c r="U2128" s="283" t="e">
        <v>#N/A</v>
      </c>
      <c r="V2128" s="18" t="s">
        <v>6859</v>
      </c>
      <c r="W2128" s="18">
        <v>0</v>
      </c>
      <c r="X2128" s="18">
        <v>0</v>
      </c>
      <c r="Y2128" s="18">
        <v>0</v>
      </c>
      <c r="Z2128" s="18">
        <v>0</v>
      </c>
      <c r="AA2128" s="18">
        <v>0</v>
      </c>
      <c r="AB2128" s="18">
        <v>0</v>
      </c>
      <c r="AC2128" s="316">
        <v>0</v>
      </c>
      <c r="AD2128" s="316">
        <v>1</v>
      </c>
      <c r="AE2128" s="302">
        <f t="shared" si="86"/>
        <v>0.125</v>
      </c>
      <c r="AF2128" s="176"/>
      <c r="AG2128" s="17">
        <v>0</v>
      </c>
      <c r="AH2128" s="176">
        <v>0</v>
      </c>
      <c r="AI2128" s="176">
        <v>0.4</v>
      </c>
      <c r="AJ2128" s="176">
        <v>0</v>
      </c>
      <c r="AK2128" s="177">
        <v>0</v>
      </c>
      <c r="AL2128" s="177">
        <v>0</v>
      </c>
      <c r="AM2128" s="147">
        <f t="shared" si="85"/>
        <v>0</v>
      </c>
      <c r="AN2128" s="18" t="s">
        <v>3643</v>
      </c>
      <c r="AO2128" s="18" t="s">
        <v>3630</v>
      </c>
      <c r="AP2128" s="18" t="s">
        <v>119</v>
      </c>
    </row>
    <row r="2129" spans="1:42" s="18" customFormat="1" x14ac:dyDescent="0.3">
      <c r="A2129" s="18" t="s">
        <v>1454</v>
      </c>
      <c r="B2129" s="18" t="s">
        <v>6438</v>
      </c>
      <c r="C2129" s="18">
        <v>103</v>
      </c>
      <c r="D2129" s="18" t="s">
        <v>6838</v>
      </c>
      <c r="E2129" s="18">
        <v>1035</v>
      </c>
      <c r="F2129" s="18" t="s">
        <v>6839</v>
      </c>
      <c r="G2129" s="156" t="s">
        <v>6840</v>
      </c>
      <c r="H2129" s="18" t="s">
        <v>6841</v>
      </c>
      <c r="K2129" s="156" t="s">
        <v>6842</v>
      </c>
      <c r="L2129" s="18" t="s">
        <v>6843</v>
      </c>
      <c r="M2129" s="18" t="s">
        <v>6848</v>
      </c>
      <c r="P2129" s="16"/>
      <c r="Q2129" s="16"/>
      <c r="R2129" s="16"/>
      <c r="S2129" s="16"/>
      <c r="U2129" s="283" t="e">
        <v>#N/A</v>
      </c>
      <c r="V2129" s="18" t="s">
        <v>6860</v>
      </c>
      <c r="W2129" s="18">
        <v>0</v>
      </c>
      <c r="X2129" s="18">
        <v>0</v>
      </c>
      <c r="Y2129" s="18">
        <v>0</v>
      </c>
      <c r="Z2129" s="18">
        <v>1</v>
      </c>
      <c r="AA2129" s="18">
        <v>0</v>
      </c>
      <c r="AB2129" s="18">
        <v>0</v>
      </c>
      <c r="AC2129" s="316">
        <v>0</v>
      </c>
      <c r="AD2129" s="316">
        <v>1</v>
      </c>
      <c r="AE2129" s="302">
        <f t="shared" si="86"/>
        <v>0.25</v>
      </c>
      <c r="AF2129" s="176"/>
      <c r="AG2129" s="17">
        <v>0</v>
      </c>
      <c r="AH2129" s="176">
        <v>0</v>
      </c>
      <c r="AI2129" s="176">
        <v>5</v>
      </c>
      <c r="AJ2129" s="176">
        <v>5</v>
      </c>
      <c r="AK2129" s="177"/>
      <c r="AL2129" s="177"/>
      <c r="AM2129" s="147">
        <f t="shared" si="85"/>
        <v>0</v>
      </c>
      <c r="AN2129" s="18" t="s">
        <v>3643</v>
      </c>
      <c r="AO2129" s="18" t="s">
        <v>3630</v>
      </c>
      <c r="AP2129" s="18" t="s">
        <v>119</v>
      </c>
    </row>
    <row r="2130" spans="1:42" s="18" customFormat="1" x14ac:dyDescent="0.3">
      <c r="A2130" s="18" t="s">
        <v>1454</v>
      </c>
      <c r="B2130" s="18" t="s">
        <v>6438</v>
      </c>
      <c r="C2130" s="18">
        <v>103</v>
      </c>
      <c r="D2130" s="18" t="s">
        <v>6838</v>
      </c>
      <c r="E2130" s="18">
        <v>1035</v>
      </c>
      <c r="F2130" s="18" t="s">
        <v>6839</v>
      </c>
      <c r="G2130" s="156" t="s">
        <v>6861</v>
      </c>
      <c r="H2130" s="18" t="s">
        <v>6862</v>
      </c>
      <c r="K2130" s="156" t="s">
        <v>6863</v>
      </c>
      <c r="L2130" s="18" t="s">
        <v>6864</v>
      </c>
      <c r="M2130" s="18" t="s">
        <v>6865</v>
      </c>
      <c r="N2130" s="18">
        <v>40</v>
      </c>
      <c r="O2130" s="18">
        <v>56</v>
      </c>
      <c r="P2130" s="16">
        <v>64</v>
      </c>
      <c r="Q2130" s="16">
        <v>75</v>
      </c>
      <c r="R2130" s="16">
        <v>83</v>
      </c>
      <c r="S2130" s="16">
        <v>97</v>
      </c>
      <c r="T2130" s="18" t="s">
        <v>570</v>
      </c>
      <c r="U2130" s="283" t="s">
        <v>2875</v>
      </c>
      <c r="V2130" s="18" t="s">
        <v>6866</v>
      </c>
      <c r="W2130" s="18">
        <v>1</v>
      </c>
      <c r="X2130" s="18">
        <v>0</v>
      </c>
      <c r="Y2130" s="18">
        <v>0</v>
      </c>
      <c r="Z2130" s="18">
        <v>1</v>
      </c>
      <c r="AA2130" s="18">
        <v>1</v>
      </c>
      <c r="AB2130" s="18">
        <v>1</v>
      </c>
      <c r="AC2130" s="316">
        <v>1</v>
      </c>
      <c r="AD2130" s="316">
        <v>1</v>
      </c>
      <c r="AE2130" s="302">
        <f t="shared" si="86"/>
        <v>0.75</v>
      </c>
      <c r="AF2130" s="176"/>
      <c r="AG2130" s="17">
        <v>0</v>
      </c>
      <c r="AH2130" s="176">
        <v>0.2</v>
      </c>
      <c r="AI2130" s="176">
        <v>0.2</v>
      </c>
      <c r="AJ2130" s="176">
        <v>0.2</v>
      </c>
      <c r="AK2130" s="177">
        <v>0.1</v>
      </c>
      <c r="AL2130" s="177">
        <v>2</v>
      </c>
      <c r="AM2130" s="147">
        <f t="shared" si="85"/>
        <v>2.1</v>
      </c>
      <c r="AN2130" s="18" t="s">
        <v>570</v>
      </c>
      <c r="AO2130" s="18" t="s">
        <v>2875</v>
      </c>
      <c r="AP2130" s="18" t="s">
        <v>6565</v>
      </c>
    </row>
    <row r="2131" spans="1:42" s="18" customFormat="1" x14ac:dyDescent="0.3">
      <c r="A2131" s="18" t="s">
        <v>1454</v>
      </c>
      <c r="B2131" s="18" t="s">
        <v>6438</v>
      </c>
      <c r="C2131" s="18">
        <v>103</v>
      </c>
      <c r="D2131" s="18" t="s">
        <v>6838</v>
      </c>
      <c r="E2131" s="18">
        <v>1035</v>
      </c>
      <c r="F2131" s="18" t="s">
        <v>6839</v>
      </c>
      <c r="G2131" s="156" t="s">
        <v>6861</v>
      </c>
      <c r="H2131" s="18" t="s">
        <v>6862</v>
      </c>
      <c r="K2131" s="156" t="s">
        <v>6863</v>
      </c>
      <c r="L2131" s="18" t="s">
        <v>6864</v>
      </c>
      <c r="M2131" s="18" t="s">
        <v>6865</v>
      </c>
      <c r="P2131" s="16"/>
      <c r="Q2131" s="16"/>
      <c r="R2131" s="16"/>
      <c r="S2131" s="16"/>
      <c r="U2131" s="283" t="e">
        <v>#N/A</v>
      </c>
      <c r="V2131" s="18" t="s">
        <v>6867</v>
      </c>
      <c r="W2131" s="18">
        <v>1</v>
      </c>
      <c r="X2131" s="18">
        <v>1</v>
      </c>
      <c r="Y2131" s="18">
        <v>0</v>
      </c>
      <c r="Z2131" s="18">
        <v>1</v>
      </c>
      <c r="AA2131" s="18">
        <v>1</v>
      </c>
      <c r="AB2131" s="18">
        <v>1</v>
      </c>
      <c r="AC2131" s="316">
        <v>1</v>
      </c>
      <c r="AD2131" s="316">
        <v>0</v>
      </c>
      <c r="AE2131" s="302">
        <f t="shared" si="86"/>
        <v>0.75</v>
      </c>
      <c r="AF2131" s="176"/>
      <c r="AG2131" s="17">
        <v>0</v>
      </c>
      <c r="AH2131" s="176">
        <v>0.2</v>
      </c>
      <c r="AI2131" s="176">
        <v>0.3</v>
      </c>
      <c r="AJ2131" s="176">
        <v>0.4</v>
      </c>
      <c r="AK2131" s="177">
        <v>1</v>
      </c>
      <c r="AL2131" s="177">
        <v>2</v>
      </c>
      <c r="AM2131" s="147">
        <f t="shared" si="85"/>
        <v>3</v>
      </c>
      <c r="AN2131" s="18" t="s">
        <v>570</v>
      </c>
      <c r="AO2131" s="18" t="s">
        <v>2875</v>
      </c>
      <c r="AP2131" s="18" t="s">
        <v>6565</v>
      </c>
    </row>
    <row r="2132" spans="1:42" s="18" customFormat="1" x14ac:dyDescent="0.3">
      <c r="A2132" s="18" t="s">
        <v>1454</v>
      </c>
      <c r="B2132" s="18" t="s">
        <v>6438</v>
      </c>
      <c r="C2132" s="18">
        <v>103</v>
      </c>
      <c r="D2132" s="18" t="s">
        <v>6838</v>
      </c>
      <c r="E2132" s="18">
        <v>1035</v>
      </c>
      <c r="F2132" s="18" t="s">
        <v>6839</v>
      </c>
      <c r="G2132" s="156" t="s">
        <v>6861</v>
      </c>
      <c r="H2132" s="18" t="s">
        <v>6862</v>
      </c>
      <c r="K2132" s="156" t="s">
        <v>6863</v>
      </c>
      <c r="L2132" s="18" t="s">
        <v>6864</v>
      </c>
      <c r="M2132" s="18" t="s">
        <v>6865</v>
      </c>
      <c r="P2132" s="16"/>
      <c r="Q2132" s="16"/>
      <c r="R2132" s="16"/>
      <c r="S2132" s="16"/>
      <c r="U2132" s="283" t="e">
        <v>#N/A</v>
      </c>
      <c r="V2132" s="18" t="s">
        <v>6868</v>
      </c>
      <c r="W2132" s="18">
        <v>1</v>
      </c>
      <c r="X2132" s="18">
        <v>0</v>
      </c>
      <c r="Y2132" s="18">
        <v>0</v>
      </c>
      <c r="Z2132" s="18">
        <v>0</v>
      </c>
      <c r="AA2132" s="18">
        <v>1</v>
      </c>
      <c r="AB2132" s="18">
        <v>1</v>
      </c>
      <c r="AC2132" s="316">
        <v>1</v>
      </c>
      <c r="AD2132" s="316">
        <v>1</v>
      </c>
      <c r="AE2132" s="302">
        <f t="shared" si="86"/>
        <v>0.625</v>
      </c>
      <c r="AF2132" s="176"/>
      <c r="AG2132" s="17">
        <v>0</v>
      </c>
      <c r="AH2132" s="176">
        <v>0.4</v>
      </c>
      <c r="AI2132" s="176">
        <v>0.4</v>
      </c>
      <c r="AJ2132" s="176">
        <v>0.4</v>
      </c>
      <c r="AK2132" s="177">
        <v>2</v>
      </c>
      <c r="AL2132" s="177">
        <v>3</v>
      </c>
      <c r="AM2132" s="147">
        <f t="shared" si="85"/>
        <v>5</v>
      </c>
      <c r="AN2132" s="18" t="s">
        <v>570</v>
      </c>
      <c r="AO2132" s="18" t="s">
        <v>2875</v>
      </c>
      <c r="AP2132" s="18" t="s">
        <v>6565</v>
      </c>
    </row>
    <row r="2133" spans="1:42" s="18" customFormat="1" x14ac:dyDescent="0.3">
      <c r="A2133" s="18" t="s">
        <v>1454</v>
      </c>
      <c r="B2133" s="18" t="s">
        <v>6438</v>
      </c>
      <c r="C2133" s="18">
        <v>103</v>
      </c>
      <c r="D2133" s="18" t="s">
        <v>6838</v>
      </c>
      <c r="E2133" s="18">
        <v>1035</v>
      </c>
      <c r="F2133" s="18" t="s">
        <v>6839</v>
      </c>
      <c r="G2133" s="156" t="s">
        <v>6861</v>
      </c>
      <c r="H2133" s="18" t="s">
        <v>6862</v>
      </c>
      <c r="K2133" s="156" t="s">
        <v>6863</v>
      </c>
      <c r="L2133" s="18" t="s">
        <v>6864</v>
      </c>
      <c r="M2133" s="18" t="s">
        <v>6865</v>
      </c>
      <c r="P2133" s="16"/>
      <c r="Q2133" s="16"/>
      <c r="R2133" s="16"/>
      <c r="S2133" s="16"/>
      <c r="U2133" s="283" t="e">
        <v>#N/A</v>
      </c>
      <c r="V2133" s="18" t="s">
        <v>6869</v>
      </c>
      <c r="W2133" s="18">
        <v>1</v>
      </c>
      <c r="X2133" s="18">
        <v>1</v>
      </c>
      <c r="Y2133" s="18">
        <v>0</v>
      </c>
      <c r="Z2133" s="18">
        <v>1</v>
      </c>
      <c r="AA2133" s="18">
        <v>1</v>
      </c>
      <c r="AB2133" s="18">
        <v>1</v>
      </c>
      <c r="AC2133" s="316">
        <v>1</v>
      </c>
      <c r="AD2133" s="316">
        <v>1</v>
      </c>
      <c r="AE2133" s="302">
        <f t="shared" si="86"/>
        <v>0.875</v>
      </c>
      <c r="AF2133" s="176"/>
      <c r="AG2133" s="17">
        <v>0</v>
      </c>
      <c r="AH2133" s="176">
        <v>0.4</v>
      </c>
      <c r="AI2133" s="176">
        <v>0.5</v>
      </c>
      <c r="AJ2133" s="176">
        <v>0.5</v>
      </c>
      <c r="AK2133" s="177">
        <v>3</v>
      </c>
      <c r="AL2133" s="177">
        <v>4</v>
      </c>
      <c r="AM2133" s="147">
        <f t="shared" si="85"/>
        <v>7</v>
      </c>
      <c r="AN2133" s="18" t="s">
        <v>570</v>
      </c>
      <c r="AO2133" s="18" t="s">
        <v>2875</v>
      </c>
      <c r="AP2133" s="18" t="s">
        <v>6565</v>
      </c>
    </row>
    <row r="2134" spans="1:42" s="18" customFormat="1" x14ac:dyDescent="0.3">
      <c r="A2134" s="18" t="s">
        <v>1454</v>
      </c>
      <c r="B2134" s="18" t="s">
        <v>6438</v>
      </c>
      <c r="C2134" s="18">
        <v>103</v>
      </c>
      <c r="D2134" s="18" t="s">
        <v>6838</v>
      </c>
      <c r="E2134" s="18">
        <v>1035</v>
      </c>
      <c r="F2134" s="18" t="s">
        <v>6839</v>
      </c>
      <c r="G2134" s="156" t="s">
        <v>6861</v>
      </c>
      <c r="H2134" s="18" t="s">
        <v>6862</v>
      </c>
      <c r="K2134" s="156" t="s">
        <v>6863</v>
      </c>
      <c r="L2134" s="18" t="s">
        <v>6864</v>
      </c>
      <c r="M2134" s="18" t="s">
        <v>6865</v>
      </c>
      <c r="P2134" s="16"/>
      <c r="Q2134" s="16"/>
      <c r="R2134" s="16"/>
      <c r="S2134" s="16"/>
      <c r="U2134" s="283" t="e">
        <v>#N/A</v>
      </c>
      <c r="V2134" s="18" t="s">
        <v>6870</v>
      </c>
      <c r="W2134" s="18">
        <v>1</v>
      </c>
      <c r="X2134" s="18">
        <v>1</v>
      </c>
      <c r="Y2134" s="18">
        <v>0</v>
      </c>
      <c r="Z2134" s="18">
        <v>1</v>
      </c>
      <c r="AA2134" s="18">
        <v>1</v>
      </c>
      <c r="AB2134" s="18">
        <v>1</v>
      </c>
      <c r="AC2134" s="316">
        <v>1</v>
      </c>
      <c r="AD2134" s="316">
        <v>1</v>
      </c>
      <c r="AE2134" s="302">
        <f t="shared" si="86"/>
        <v>0.875</v>
      </c>
      <c r="AF2134" s="176"/>
      <c r="AG2134" s="17">
        <v>0</v>
      </c>
      <c r="AH2134" s="176">
        <v>0</v>
      </c>
      <c r="AI2134" s="176">
        <v>1.2</v>
      </c>
      <c r="AJ2134" s="176">
        <v>0</v>
      </c>
      <c r="AK2134" s="177">
        <v>3</v>
      </c>
      <c r="AL2134" s="177">
        <v>3</v>
      </c>
      <c r="AM2134" s="147">
        <f t="shared" si="85"/>
        <v>6</v>
      </c>
      <c r="AN2134" s="18" t="s">
        <v>570</v>
      </c>
      <c r="AO2134" s="18" t="s">
        <v>2875</v>
      </c>
      <c r="AP2134" s="18" t="s">
        <v>6565</v>
      </c>
    </row>
    <row r="2135" spans="1:42" s="18" customFormat="1" x14ac:dyDescent="0.3">
      <c r="A2135" s="18" t="s">
        <v>1454</v>
      </c>
      <c r="B2135" s="18" t="s">
        <v>6438</v>
      </c>
      <c r="C2135" s="18">
        <v>103</v>
      </c>
      <c r="D2135" s="18" t="s">
        <v>6838</v>
      </c>
      <c r="E2135" s="18">
        <v>1035</v>
      </c>
      <c r="F2135" s="18" t="s">
        <v>6839</v>
      </c>
      <c r="G2135" s="156" t="s">
        <v>6871</v>
      </c>
      <c r="H2135" s="18" t="s">
        <v>6872</v>
      </c>
      <c r="K2135" s="156" t="s">
        <v>6873</v>
      </c>
      <c r="L2135" s="18" t="s">
        <v>6874</v>
      </c>
      <c r="M2135" s="18" t="s">
        <v>6875</v>
      </c>
      <c r="N2135" s="18">
        <v>14</v>
      </c>
      <c r="O2135" s="18">
        <v>22</v>
      </c>
      <c r="P2135" s="16">
        <v>28</v>
      </c>
      <c r="Q2135" s="16">
        <v>34</v>
      </c>
      <c r="R2135" s="16">
        <v>40</v>
      </c>
      <c r="S2135" s="16">
        <v>46</v>
      </c>
      <c r="T2135" s="18" t="s">
        <v>570</v>
      </c>
      <c r="U2135" s="283" t="s">
        <v>2875</v>
      </c>
      <c r="V2135" s="18" t="s">
        <v>6876</v>
      </c>
      <c r="AC2135" s="316">
        <v>0</v>
      </c>
      <c r="AD2135" s="316">
        <v>0</v>
      </c>
      <c r="AE2135" s="302">
        <f t="shared" si="86"/>
        <v>0</v>
      </c>
      <c r="AF2135" s="176"/>
      <c r="AG2135" s="17">
        <v>0</v>
      </c>
      <c r="AH2135" s="176">
        <v>34</v>
      </c>
      <c r="AI2135" s="176">
        <v>34</v>
      </c>
      <c r="AJ2135" s="176">
        <v>0</v>
      </c>
      <c r="AK2135" s="177">
        <v>0</v>
      </c>
      <c r="AL2135" s="177">
        <v>0</v>
      </c>
      <c r="AM2135" s="147">
        <f t="shared" si="85"/>
        <v>0</v>
      </c>
      <c r="AN2135" s="18" t="s">
        <v>570</v>
      </c>
      <c r="AO2135" s="18" t="s">
        <v>2875</v>
      </c>
      <c r="AP2135" s="18" t="s">
        <v>6565</v>
      </c>
    </row>
    <row r="2136" spans="1:42" s="18" customFormat="1" x14ac:dyDescent="0.3">
      <c r="A2136" s="18" t="s">
        <v>1454</v>
      </c>
      <c r="B2136" s="18" t="s">
        <v>6438</v>
      </c>
      <c r="C2136" s="18">
        <v>103</v>
      </c>
      <c r="D2136" s="18" t="s">
        <v>6838</v>
      </c>
      <c r="E2136" s="18">
        <v>1035</v>
      </c>
      <c r="F2136" s="18" t="s">
        <v>6839</v>
      </c>
      <c r="G2136" s="156" t="s">
        <v>6871</v>
      </c>
      <c r="H2136" s="18" t="s">
        <v>6872</v>
      </c>
      <c r="K2136" s="156" t="s">
        <v>6873</v>
      </c>
      <c r="L2136" s="18" t="s">
        <v>6874</v>
      </c>
      <c r="M2136" s="18" t="s">
        <v>6875</v>
      </c>
      <c r="P2136" s="16"/>
      <c r="Q2136" s="16"/>
      <c r="R2136" s="16"/>
      <c r="S2136" s="16"/>
      <c r="U2136" s="283" t="e">
        <v>#N/A</v>
      </c>
      <c r="V2136" s="18" t="s">
        <v>6877</v>
      </c>
      <c r="W2136" s="18">
        <v>1</v>
      </c>
      <c r="X2136" s="18">
        <v>0</v>
      </c>
      <c r="Y2136" s="18">
        <v>0</v>
      </c>
      <c r="Z2136" s="18">
        <v>1</v>
      </c>
      <c r="AA2136" s="18">
        <v>1</v>
      </c>
      <c r="AB2136" s="18">
        <v>1</v>
      </c>
      <c r="AC2136" s="316">
        <v>1</v>
      </c>
      <c r="AD2136" s="316">
        <v>1</v>
      </c>
      <c r="AE2136" s="302">
        <f t="shared" si="86"/>
        <v>0.75</v>
      </c>
      <c r="AF2136" s="176"/>
      <c r="AG2136" s="17">
        <v>0</v>
      </c>
      <c r="AH2136" s="176">
        <v>0.2</v>
      </c>
      <c r="AI2136" s="176">
        <v>2</v>
      </c>
      <c r="AJ2136" s="176">
        <v>4</v>
      </c>
      <c r="AK2136" s="177">
        <v>0.2</v>
      </c>
      <c r="AL2136" s="177">
        <v>0.5</v>
      </c>
      <c r="AM2136" s="147">
        <f t="shared" si="85"/>
        <v>0.7</v>
      </c>
      <c r="AN2136" s="18" t="s">
        <v>570</v>
      </c>
      <c r="AO2136" s="18" t="s">
        <v>2875</v>
      </c>
      <c r="AP2136" s="18" t="s">
        <v>6565</v>
      </c>
    </row>
    <row r="2137" spans="1:42" s="10" customFormat="1" x14ac:dyDescent="0.3">
      <c r="A2137" s="18" t="s">
        <v>1454</v>
      </c>
      <c r="B2137" s="18" t="s">
        <v>6438</v>
      </c>
      <c r="C2137" s="18">
        <v>103</v>
      </c>
      <c r="D2137" s="18" t="s">
        <v>6838</v>
      </c>
      <c r="E2137" s="18">
        <v>1035</v>
      </c>
      <c r="F2137" s="18" t="s">
        <v>6839</v>
      </c>
      <c r="G2137" s="156" t="s">
        <v>6871</v>
      </c>
      <c r="H2137" s="18" t="s">
        <v>6872</v>
      </c>
      <c r="K2137" s="156" t="s">
        <v>6873</v>
      </c>
      <c r="L2137" s="18" t="s">
        <v>6874</v>
      </c>
      <c r="M2137" s="18" t="s">
        <v>6875</v>
      </c>
      <c r="N2137" s="18"/>
      <c r="O2137" s="18"/>
      <c r="P2137" s="16"/>
      <c r="Q2137" s="16"/>
      <c r="R2137" s="16"/>
      <c r="S2137" s="16"/>
      <c r="U2137" s="283" t="e">
        <v>#N/A</v>
      </c>
      <c r="V2137" s="10" t="s">
        <v>6878</v>
      </c>
      <c r="W2137" s="10">
        <v>1</v>
      </c>
      <c r="X2137" s="10">
        <v>1</v>
      </c>
      <c r="Y2137" s="10">
        <v>0</v>
      </c>
      <c r="Z2137" s="10">
        <v>1</v>
      </c>
      <c r="AA2137" s="10">
        <v>1</v>
      </c>
      <c r="AB2137" s="10">
        <v>1</v>
      </c>
      <c r="AC2137" s="316">
        <v>1</v>
      </c>
      <c r="AD2137" s="316">
        <v>0</v>
      </c>
      <c r="AE2137" s="302">
        <f t="shared" si="86"/>
        <v>0.75</v>
      </c>
      <c r="AF2137" s="32"/>
      <c r="AG2137" s="17">
        <v>0</v>
      </c>
      <c r="AH2137" s="32">
        <v>1</v>
      </c>
      <c r="AI2137" s="32">
        <v>2</v>
      </c>
      <c r="AJ2137" s="32">
        <v>20</v>
      </c>
      <c r="AK2137" s="214">
        <v>1</v>
      </c>
      <c r="AL2137" s="214">
        <v>0.5</v>
      </c>
      <c r="AM2137" s="147">
        <f t="shared" si="85"/>
        <v>1.5</v>
      </c>
      <c r="AN2137" s="10" t="s">
        <v>570</v>
      </c>
      <c r="AO2137" s="10" t="s">
        <v>2875</v>
      </c>
      <c r="AP2137" s="10" t="s">
        <v>6565</v>
      </c>
    </row>
    <row r="2138" spans="1:42" s="10" customFormat="1" x14ac:dyDescent="0.3">
      <c r="A2138" s="18" t="s">
        <v>1454</v>
      </c>
      <c r="B2138" s="18" t="s">
        <v>6438</v>
      </c>
      <c r="C2138" s="18">
        <v>103</v>
      </c>
      <c r="D2138" s="18" t="s">
        <v>6838</v>
      </c>
      <c r="E2138" s="18">
        <v>1035</v>
      </c>
      <c r="F2138" s="18" t="s">
        <v>6839</v>
      </c>
      <c r="G2138" s="156" t="s">
        <v>6871</v>
      </c>
      <c r="H2138" s="18" t="s">
        <v>6872</v>
      </c>
      <c r="K2138" s="156" t="s">
        <v>6873</v>
      </c>
      <c r="L2138" s="18" t="s">
        <v>6874</v>
      </c>
      <c r="M2138" s="18" t="s">
        <v>6875</v>
      </c>
      <c r="N2138" s="18"/>
      <c r="O2138" s="18"/>
      <c r="P2138" s="16"/>
      <c r="Q2138" s="16"/>
      <c r="R2138" s="16"/>
      <c r="S2138" s="16"/>
      <c r="U2138" s="283" t="e">
        <v>#N/A</v>
      </c>
      <c r="V2138" s="10" t="s">
        <v>6879</v>
      </c>
      <c r="W2138" s="10">
        <v>1</v>
      </c>
      <c r="X2138" s="10">
        <v>0</v>
      </c>
      <c r="Y2138" s="10">
        <v>0</v>
      </c>
      <c r="Z2138" s="10">
        <v>1</v>
      </c>
      <c r="AA2138" s="10">
        <v>1</v>
      </c>
      <c r="AB2138" s="10">
        <v>1</v>
      </c>
      <c r="AC2138" s="316">
        <v>0</v>
      </c>
      <c r="AD2138" s="316">
        <v>1</v>
      </c>
      <c r="AE2138" s="302">
        <f t="shared" si="86"/>
        <v>0.625</v>
      </c>
      <c r="AF2138" s="32"/>
      <c r="AG2138" s="17">
        <v>0</v>
      </c>
      <c r="AH2138" s="32">
        <v>1.6</v>
      </c>
      <c r="AI2138" s="32">
        <v>1.9</v>
      </c>
      <c r="AJ2138" s="32">
        <v>2.2000000000000002</v>
      </c>
      <c r="AK2138" s="214">
        <v>0.5</v>
      </c>
      <c r="AL2138" s="214">
        <v>0.5</v>
      </c>
      <c r="AM2138" s="147">
        <f t="shared" ref="AM2138:AM2139" si="87">SUM(AK2138:AL2138)</f>
        <v>1</v>
      </c>
      <c r="AN2138" s="10" t="s">
        <v>570</v>
      </c>
      <c r="AO2138" s="10" t="s">
        <v>2875</v>
      </c>
      <c r="AP2138" s="10" t="s">
        <v>6565</v>
      </c>
    </row>
    <row r="2139" spans="1:42" s="10" customFormat="1" x14ac:dyDescent="0.3">
      <c r="A2139" s="18" t="s">
        <v>1454</v>
      </c>
      <c r="B2139" s="18" t="s">
        <v>6438</v>
      </c>
      <c r="C2139" s="18">
        <v>103</v>
      </c>
      <c r="D2139" s="18" t="s">
        <v>6838</v>
      </c>
      <c r="E2139" s="18">
        <v>1035</v>
      </c>
      <c r="F2139" s="18" t="s">
        <v>6839</v>
      </c>
      <c r="G2139" s="156" t="s">
        <v>6871</v>
      </c>
      <c r="H2139" s="18" t="s">
        <v>6872</v>
      </c>
      <c r="K2139" s="156" t="s">
        <v>6873</v>
      </c>
      <c r="L2139" s="18" t="s">
        <v>6874</v>
      </c>
      <c r="M2139" s="18" t="s">
        <v>6875</v>
      </c>
      <c r="N2139" s="18"/>
      <c r="O2139" s="18"/>
      <c r="P2139" s="16"/>
      <c r="Q2139" s="16"/>
      <c r="R2139" s="16"/>
      <c r="S2139" s="16"/>
      <c r="U2139" s="283" t="e">
        <v>#N/A</v>
      </c>
      <c r="V2139" s="10" t="s">
        <v>6880</v>
      </c>
      <c r="W2139" s="10">
        <v>1</v>
      </c>
      <c r="X2139" s="10">
        <v>0</v>
      </c>
      <c r="Y2139" s="10">
        <v>0</v>
      </c>
      <c r="Z2139" s="10">
        <v>1</v>
      </c>
      <c r="AA2139" s="10">
        <v>1</v>
      </c>
      <c r="AB2139" s="10">
        <v>1</v>
      </c>
      <c r="AC2139" s="316">
        <v>1</v>
      </c>
      <c r="AD2139" s="316">
        <v>1</v>
      </c>
      <c r="AE2139" s="302">
        <f t="shared" si="86"/>
        <v>0.75</v>
      </c>
      <c r="AF2139" s="32"/>
      <c r="AG2139" s="17">
        <v>0</v>
      </c>
      <c r="AH2139" s="32">
        <v>0</v>
      </c>
      <c r="AI2139" s="32">
        <v>0.15</v>
      </c>
      <c r="AJ2139" s="32">
        <v>0.24</v>
      </c>
      <c r="AK2139" s="214">
        <v>3</v>
      </c>
      <c r="AL2139" s="214">
        <v>3</v>
      </c>
      <c r="AM2139" s="147">
        <f t="shared" si="87"/>
        <v>6</v>
      </c>
      <c r="AN2139" s="10" t="s">
        <v>2514</v>
      </c>
      <c r="AO2139" s="10" t="s">
        <v>2515</v>
      </c>
      <c r="AP2139" s="10" t="s">
        <v>280</v>
      </c>
    </row>
    <row r="2140" spans="1:42" customFormat="1" x14ac:dyDescent="0.3">
      <c r="A2140" s="386" t="s">
        <v>1454</v>
      </c>
      <c r="B2140" t="s">
        <v>6438</v>
      </c>
      <c r="C2140" s="200" t="s">
        <v>13068</v>
      </c>
      <c r="D2140" t="s">
        <v>6838</v>
      </c>
      <c r="E2140" s="200" t="s">
        <v>13069</v>
      </c>
      <c r="F2140" t="s">
        <v>12811</v>
      </c>
      <c r="G2140" s="200" t="s">
        <v>13070</v>
      </c>
      <c r="H2140" t="s">
        <v>12812</v>
      </c>
      <c r="K2140" s="200" t="s">
        <v>13071</v>
      </c>
      <c r="L2140" t="s">
        <v>12754</v>
      </c>
      <c r="M2140" s="1"/>
      <c r="N2140" s="423"/>
      <c r="O2140" s="1"/>
      <c r="P2140" s="3"/>
      <c r="Q2140" s="3"/>
      <c r="R2140" s="3"/>
      <c r="S2140" s="3"/>
      <c r="V2140" t="s">
        <v>12755</v>
      </c>
      <c r="AF2140" s="64"/>
      <c r="AH2140" s="4"/>
      <c r="AI2140" s="4"/>
      <c r="AJ2140" s="4"/>
      <c r="AK2140" s="398"/>
      <c r="AL2140" s="398"/>
      <c r="AM2140" s="4"/>
    </row>
    <row r="2141" spans="1:42" customFormat="1" x14ac:dyDescent="0.3">
      <c r="A2141" s="386" t="s">
        <v>1454</v>
      </c>
      <c r="B2141" t="s">
        <v>6438</v>
      </c>
      <c r="C2141" s="200" t="s">
        <v>13068</v>
      </c>
      <c r="D2141" t="s">
        <v>6838</v>
      </c>
      <c r="E2141" s="200" t="s">
        <v>13069</v>
      </c>
      <c r="F2141" t="s">
        <v>12811</v>
      </c>
      <c r="G2141" s="200" t="s">
        <v>13070</v>
      </c>
      <c r="H2141" t="s">
        <v>12812</v>
      </c>
      <c r="K2141" s="200" t="s">
        <v>13072</v>
      </c>
      <c r="L2141" t="s">
        <v>12808</v>
      </c>
      <c r="M2141" s="1"/>
      <c r="N2141" s="423"/>
      <c r="O2141" s="1"/>
      <c r="P2141" s="3"/>
      <c r="Q2141" s="3"/>
      <c r="R2141" s="3"/>
      <c r="S2141" s="3"/>
      <c r="V2141" t="s">
        <v>12809</v>
      </c>
      <c r="AF2141" s="64"/>
      <c r="AH2141" s="4"/>
      <c r="AI2141" s="4"/>
      <c r="AJ2141" s="4"/>
      <c r="AK2141" s="398"/>
      <c r="AL2141" s="398"/>
      <c r="AM2141" s="4"/>
    </row>
    <row r="2142" spans="1:42" customFormat="1" x14ac:dyDescent="0.3">
      <c r="A2142" s="386" t="s">
        <v>1454</v>
      </c>
      <c r="B2142" t="s">
        <v>6438</v>
      </c>
      <c r="C2142" s="200" t="s">
        <v>13068</v>
      </c>
      <c r="D2142" t="s">
        <v>6838</v>
      </c>
      <c r="E2142" s="200" t="s">
        <v>13069</v>
      </c>
      <c r="F2142" t="s">
        <v>12811</v>
      </c>
      <c r="G2142" s="200" t="s">
        <v>13070</v>
      </c>
      <c r="H2142" t="s">
        <v>12812</v>
      </c>
      <c r="K2142" s="200" t="s">
        <v>13073</v>
      </c>
      <c r="L2142" t="s">
        <v>12756</v>
      </c>
      <c r="M2142" s="1" t="s">
        <v>5766</v>
      </c>
      <c r="N2142" s="423"/>
      <c r="O2142" s="1"/>
      <c r="P2142" s="3"/>
      <c r="Q2142" s="3"/>
      <c r="R2142" s="3"/>
      <c r="S2142" s="3"/>
      <c r="V2142" t="s">
        <v>12792</v>
      </c>
      <c r="AF2142" s="64"/>
      <c r="AH2142" s="4"/>
      <c r="AI2142" s="4"/>
      <c r="AJ2142" s="4"/>
      <c r="AK2142" s="46"/>
      <c r="AL2142" s="46"/>
      <c r="AM2142" s="4"/>
    </row>
    <row r="2143" spans="1:42" customFormat="1" x14ac:dyDescent="0.3">
      <c r="A2143" s="386" t="s">
        <v>1454</v>
      </c>
      <c r="B2143" t="s">
        <v>6438</v>
      </c>
      <c r="C2143" s="200" t="s">
        <v>13068</v>
      </c>
      <c r="D2143" t="s">
        <v>6838</v>
      </c>
      <c r="E2143" s="200" t="s">
        <v>13069</v>
      </c>
      <c r="F2143" t="s">
        <v>12811</v>
      </c>
      <c r="G2143" s="200" t="s">
        <v>13070</v>
      </c>
      <c r="H2143" t="s">
        <v>12812</v>
      </c>
      <c r="K2143" s="200" t="s">
        <v>13074</v>
      </c>
      <c r="L2143" t="s">
        <v>12757</v>
      </c>
      <c r="M2143" s="1" t="s">
        <v>12758</v>
      </c>
      <c r="N2143" s="423"/>
      <c r="O2143" s="1"/>
      <c r="P2143" s="3"/>
      <c r="Q2143" s="3"/>
      <c r="R2143" s="3"/>
      <c r="S2143" s="3"/>
      <c r="V2143" t="s">
        <v>12793</v>
      </c>
      <c r="AF2143" s="64"/>
      <c r="AH2143" s="4"/>
      <c r="AI2143" s="4"/>
      <c r="AJ2143" s="4"/>
      <c r="AK2143" s="46"/>
      <c r="AL2143" s="46"/>
      <c r="AM2143" s="4"/>
    </row>
    <row r="2144" spans="1:42" customFormat="1" x14ac:dyDescent="0.3">
      <c r="A2144" s="386" t="s">
        <v>1454</v>
      </c>
      <c r="B2144" t="s">
        <v>6438</v>
      </c>
      <c r="C2144" s="200" t="s">
        <v>13068</v>
      </c>
      <c r="D2144" t="s">
        <v>6838</v>
      </c>
      <c r="E2144" s="200" t="s">
        <v>13069</v>
      </c>
      <c r="F2144" t="s">
        <v>12811</v>
      </c>
      <c r="G2144" s="200" t="s">
        <v>13070</v>
      </c>
      <c r="H2144" t="s">
        <v>12812</v>
      </c>
      <c r="K2144" s="200" t="s">
        <v>13075</v>
      </c>
      <c r="L2144" t="s">
        <v>12759</v>
      </c>
      <c r="M2144" s="1" t="s">
        <v>12760</v>
      </c>
      <c r="N2144" s="423"/>
      <c r="O2144" s="1"/>
      <c r="P2144" s="3"/>
      <c r="Q2144" s="3"/>
      <c r="R2144" s="3"/>
      <c r="S2144" s="3"/>
      <c r="V2144" t="s">
        <v>12794</v>
      </c>
      <c r="AF2144" s="64"/>
      <c r="AH2144" s="4"/>
      <c r="AI2144" s="4"/>
      <c r="AJ2144" s="4"/>
      <c r="AK2144" s="46"/>
      <c r="AL2144" s="46"/>
      <c r="AM2144" s="4"/>
    </row>
    <row r="2145" spans="1:39" customFormat="1" x14ac:dyDescent="0.3">
      <c r="A2145" s="386" t="s">
        <v>1454</v>
      </c>
      <c r="B2145" t="s">
        <v>6438</v>
      </c>
      <c r="C2145" s="200" t="s">
        <v>13068</v>
      </c>
      <c r="D2145" t="s">
        <v>6838</v>
      </c>
      <c r="E2145" s="200" t="s">
        <v>13069</v>
      </c>
      <c r="F2145" t="s">
        <v>12811</v>
      </c>
      <c r="G2145" s="200" t="s">
        <v>13070</v>
      </c>
      <c r="H2145" t="s">
        <v>12812</v>
      </c>
      <c r="K2145" s="200" t="s">
        <v>13076</v>
      </c>
      <c r="L2145" t="s">
        <v>12761</v>
      </c>
      <c r="M2145" s="1" t="s">
        <v>12762</v>
      </c>
      <c r="N2145" s="423"/>
      <c r="O2145" s="1"/>
      <c r="P2145" s="3"/>
      <c r="Q2145" s="3"/>
      <c r="R2145" s="3"/>
      <c r="S2145" s="3"/>
      <c r="V2145" t="s">
        <v>5782</v>
      </c>
      <c r="AF2145" s="64"/>
      <c r="AH2145" s="4"/>
      <c r="AI2145" s="4"/>
      <c r="AJ2145" s="4"/>
      <c r="AK2145" s="46"/>
      <c r="AL2145" s="46"/>
      <c r="AM2145" s="4"/>
    </row>
    <row r="2146" spans="1:39" customFormat="1" x14ac:dyDescent="0.3">
      <c r="A2146" s="386" t="s">
        <v>1454</v>
      </c>
      <c r="B2146" t="s">
        <v>6438</v>
      </c>
      <c r="C2146" s="200" t="s">
        <v>13068</v>
      </c>
      <c r="D2146" t="s">
        <v>6838</v>
      </c>
      <c r="E2146" s="200" t="s">
        <v>13069</v>
      </c>
      <c r="F2146" t="s">
        <v>12811</v>
      </c>
      <c r="G2146" s="200" t="s">
        <v>13070</v>
      </c>
      <c r="H2146" t="s">
        <v>12812</v>
      </c>
      <c r="K2146" s="200" t="s">
        <v>13077</v>
      </c>
      <c r="L2146" t="s">
        <v>12763</v>
      </c>
      <c r="M2146" s="1" t="s">
        <v>12764</v>
      </c>
      <c r="N2146" s="423"/>
      <c r="O2146" s="1"/>
      <c r="P2146" s="3"/>
      <c r="Q2146" s="3"/>
      <c r="R2146" s="3"/>
      <c r="S2146" s="3"/>
      <c r="V2146" t="s">
        <v>5783</v>
      </c>
      <c r="AF2146" s="64"/>
      <c r="AH2146" s="4"/>
      <c r="AI2146" s="4"/>
      <c r="AJ2146" s="4"/>
      <c r="AK2146" s="46"/>
      <c r="AL2146" s="46"/>
      <c r="AM2146" s="4"/>
    </row>
    <row r="2147" spans="1:39" customFormat="1" x14ac:dyDescent="0.3">
      <c r="A2147" s="386" t="s">
        <v>1454</v>
      </c>
      <c r="B2147" t="s">
        <v>6438</v>
      </c>
      <c r="C2147" s="200" t="s">
        <v>13068</v>
      </c>
      <c r="D2147" t="s">
        <v>6838</v>
      </c>
      <c r="E2147" s="200" t="s">
        <v>13069</v>
      </c>
      <c r="F2147" t="s">
        <v>12811</v>
      </c>
      <c r="G2147" s="200" t="s">
        <v>13070</v>
      </c>
      <c r="H2147" t="s">
        <v>12812</v>
      </c>
      <c r="K2147" s="200" t="s">
        <v>13078</v>
      </c>
      <c r="L2147" t="s">
        <v>12765</v>
      </c>
      <c r="M2147" s="1" t="s">
        <v>12766</v>
      </c>
      <c r="N2147" s="423"/>
      <c r="O2147" s="1"/>
      <c r="P2147" s="3"/>
      <c r="Q2147" s="3"/>
      <c r="R2147" s="3"/>
      <c r="S2147" s="3"/>
      <c r="V2147" t="s">
        <v>12795</v>
      </c>
      <c r="AF2147" s="64"/>
      <c r="AH2147" s="4"/>
      <c r="AI2147" s="4"/>
      <c r="AJ2147" s="4"/>
      <c r="AK2147" s="46"/>
      <c r="AL2147" s="46"/>
      <c r="AM2147" s="4"/>
    </row>
    <row r="2148" spans="1:39" customFormat="1" x14ac:dyDescent="0.3">
      <c r="A2148" s="386" t="s">
        <v>1454</v>
      </c>
      <c r="B2148" t="s">
        <v>6438</v>
      </c>
      <c r="C2148" s="200" t="s">
        <v>13068</v>
      </c>
      <c r="D2148" t="s">
        <v>6838</v>
      </c>
      <c r="E2148" s="200" t="s">
        <v>13069</v>
      </c>
      <c r="F2148" t="s">
        <v>12811</v>
      </c>
      <c r="G2148" s="200" t="s">
        <v>13070</v>
      </c>
      <c r="H2148" t="s">
        <v>12812</v>
      </c>
      <c r="K2148" s="200" t="s">
        <v>13079</v>
      </c>
      <c r="L2148" t="s">
        <v>12767</v>
      </c>
      <c r="M2148" s="1" t="s">
        <v>12768</v>
      </c>
      <c r="N2148" s="423"/>
      <c r="O2148" s="1"/>
      <c r="P2148" s="3"/>
      <c r="Q2148" s="3"/>
      <c r="R2148" s="3"/>
      <c r="S2148" s="3"/>
      <c r="V2148" t="s">
        <v>12796</v>
      </c>
      <c r="AF2148" s="64"/>
      <c r="AH2148" s="4"/>
      <c r="AI2148" s="4"/>
      <c r="AJ2148" s="4"/>
      <c r="AK2148" s="46"/>
      <c r="AL2148" s="46"/>
      <c r="AM2148" s="4"/>
    </row>
    <row r="2149" spans="1:39" customFormat="1" x14ac:dyDescent="0.3">
      <c r="A2149" s="386" t="s">
        <v>1454</v>
      </c>
      <c r="B2149" t="s">
        <v>6438</v>
      </c>
      <c r="C2149" s="200" t="s">
        <v>13068</v>
      </c>
      <c r="D2149" t="s">
        <v>6838</v>
      </c>
      <c r="E2149" s="200" t="s">
        <v>13069</v>
      </c>
      <c r="F2149" t="s">
        <v>12811</v>
      </c>
      <c r="G2149" s="200" t="s">
        <v>13070</v>
      </c>
      <c r="H2149" t="s">
        <v>12812</v>
      </c>
      <c r="K2149" s="200" t="s">
        <v>13080</v>
      </c>
      <c r="L2149" t="s">
        <v>12769</v>
      </c>
      <c r="M2149" s="1" t="s">
        <v>12770</v>
      </c>
      <c r="N2149" s="423"/>
      <c r="O2149" s="1"/>
      <c r="P2149" s="3"/>
      <c r="Q2149" s="3"/>
      <c r="R2149" s="3"/>
      <c r="S2149" s="3"/>
      <c r="V2149" t="s">
        <v>5786</v>
      </c>
      <c r="AF2149" s="64"/>
      <c r="AH2149" s="4"/>
      <c r="AI2149" s="4"/>
      <c r="AJ2149" s="4"/>
      <c r="AK2149" s="46"/>
      <c r="AL2149" s="46"/>
      <c r="AM2149" s="4"/>
    </row>
    <row r="2150" spans="1:39" customFormat="1" x14ac:dyDescent="0.3">
      <c r="A2150" s="386" t="s">
        <v>1454</v>
      </c>
      <c r="B2150" t="s">
        <v>6438</v>
      </c>
      <c r="C2150" s="200" t="s">
        <v>13068</v>
      </c>
      <c r="D2150" t="s">
        <v>6838</v>
      </c>
      <c r="E2150" s="200" t="s">
        <v>13069</v>
      </c>
      <c r="F2150" t="s">
        <v>12811</v>
      </c>
      <c r="G2150" s="200" t="s">
        <v>13070</v>
      </c>
      <c r="H2150" t="s">
        <v>12812</v>
      </c>
      <c r="K2150" s="200" t="s">
        <v>13081</v>
      </c>
      <c r="L2150" t="s">
        <v>12771</v>
      </c>
      <c r="M2150" s="1" t="s">
        <v>12772</v>
      </c>
      <c r="N2150" s="423"/>
      <c r="O2150" s="1"/>
      <c r="P2150" s="3"/>
      <c r="Q2150" s="3"/>
      <c r="R2150" s="3"/>
      <c r="S2150" s="3"/>
      <c r="V2150" t="s">
        <v>12800</v>
      </c>
      <c r="AF2150" s="64"/>
      <c r="AH2150" s="4"/>
      <c r="AI2150" s="4"/>
      <c r="AJ2150" s="4"/>
      <c r="AK2150" s="46"/>
      <c r="AL2150" s="46"/>
      <c r="AM2150" s="4"/>
    </row>
    <row r="2151" spans="1:39" customFormat="1" x14ac:dyDescent="0.3">
      <c r="A2151" s="386" t="s">
        <v>1454</v>
      </c>
      <c r="B2151" t="s">
        <v>6438</v>
      </c>
      <c r="C2151" s="200" t="s">
        <v>13068</v>
      </c>
      <c r="D2151" t="s">
        <v>6838</v>
      </c>
      <c r="E2151" s="200" t="s">
        <v>13069</v>
      </c>
      <c r="F2151" t="s">
        <v>12811</v>
      </c>
      <c r="G2151" s="200" t="s">
        <v>13070</v>
      </c>
      <c r="H2151" t="s">
        <v>12812</v>
      </c>
      <c r="K2151" s="200" t="s">
        <v>13082</v>
      </c>
      <c r="L2151" t="s">
        <v>12773</v>
      </c>
      <c r="M2151" s="1" t="s">
        <v>12774</v>
      </c>
      <c r="N2151" s="423"/>
      <c r="O2151" s="1"/>
      <c r="P2151" s="3"/>
      <c r="Q2151" s="3"/>
      <c r="R2151" s="3"/>
      <c r="S2151" s="3"/>
      <c r="V2151" t="s">
        <v>12797</v>
      </c>
      <c r="AF2151" s="64"/>
      <c r="AH2151" s="4"/>
      <c r="AI2151" s="4"/>
      <c r="AJ2151" s="4"/>
      <c r="AK2151" s="46"/>
      <c r="AL2151" s="46"/>
      <c r="AM2151" s="4"/>
    </row>
    <row r="2152" spans="1:39" customFormat="1" x14ac:dyDescent="0.3">
      <c r="A2152" s="386" t="s">
        <v>1454</v>
      </c>
      <c r="B2152" t="s">
        <v>6438</v>
      </c>
      <c r="C2152" s="200" t="s">
        <v>13068</v>
      </c>
      <c r="D2152" t="s">
        <v>6838</v>
      </c>
      <c r="E2152" s="200" t="s">
        <v>13069</v>
      </c>
      <c r="F2152" t="s">
        <v>12811</v>
      </c>
      <c r="G2152" s="200" t="s">
        <v>13070</v>
      </c>
      <c r="H2152" t="s">
        <v>12812</v>
      </c>
      <c r="K2152" s="200" t="s">
        <v>13083</v>
      </c>
      <c r="L2152" t="s">
        <v>12775</v>
      </c>
      <c r="M2152" s="1" t="s">
        <v>12776</v>
      </c>
      <c r="N2152" s="423"/>
      <c r="O2152" s="1"/>
      <c r="P2152" s="3"/>
      <c r="Q2152" s="3"/>
      <c r="R2152" s="3"/>
      <c r="S2152" s="3"/>
      <c r="V2152" t="s">
        <v>12798</v>
      </c>
      <c r="AF2152" s="64"/>
      <c r="AH2152" s="4"/>
      <c r="AI2152" s="4"/>
      <c r="AJ2152" s="4"/>
      <c r="AK2152" s="46"/>
      <c r="AL2152" s="46"/>
      <c r="AM2152" s="4"/>
    </row>
    <row r="2153" spans="1:39" customFormat="1" x14ac:dyDescent="0.3">
      <c r="A2153" s="386" t="s">
        <v>1454</v>
      </c>
      <c r="B2153" t="s">
        <v>6438</v>
      </c>
      <c r="C2153" s="200" t="s">
        <v>13068</v>
      </c>
      <c r="D2153" t="s">
        <v>6838</v>
      </c>
      <c r="E2153" s="200" t="s">
        <v>13069</v>
      </c>
      <c r="F2153" t="s">
        <v>12811</v>
      </c>
      <c r="G2153" s="200" t="s">
        <v>13070</v>
      </c>
      <c r="H2153" t="s">
        <v>12812</v>
      </c>
      <c r="K2153" s="200" t="s">
        <v>13084</v>
      </c>
      <c r="L2153" t="s">
        <v>12777</v>
      </c>
      <c r="M2153" s="1" t="s">
        <v>12778</v>
      </c>
      <c r="N2153" s="423"/>
      <c r="O2153" s="1"/>
      <c r="P2153" s="3"/>
      <c r="Q2153" s="3"/>
      <c r="R2153" s="3"/>
      <c r="S2153" s="3"/>
      <c r="V2153" t="s">
        <v>5789</v>
      </c>
      <c r="AF2153" s="64"/>
      <c r="AH2153" s="4"/>
      <c r="AI2153" s="4"/>
      <c r="AJ2153" s="4"/>
      <c r="AK2153" s="46"/>
      <c r="AL2153" s="46"/>
      <c r="AM2153" s="4"/>
    </row>
    <row r="2154" spans="1:39" customFormat="1" x14ac:dyDescent="0.3">
      <c r="A2154" s="386" t="s">
        <v>1454</v>
      </c>
      <c r="B2154" t="s">
        <v>6438</v>
      </c>
      <c r="C2154" s="200" t="s">
        <v>13068</v>
      </c>
      <c r="D2154" t="s">
        <v>6838</v>
      </c>
      <c r="E2154" s="200" t="s">
        <v>13069</v>
      </c>
      <c r="F2154" t="s">
        <v>12811</v>
      </c>
      <c r="G2154" s="200" t="s">
        <v>13070</v>
      </c>
      <c r="H2154" t="s">
        <v>12812</v>
      </c>
      <c r="K2154" s="200" t="s">
        <v>13085</v>
      </c>
      <c r="L2154" t="s">
        <v>12779</v>
      </c>
      <c r="M2154" s="1" t="s">
        <v>12780</v>
      </c>
      <c r="N2154" s="423"/>
      <c r="O2154" s="1"/>
      <c r="P2154" s="3"/>
      <c r="Q2154" s="3"/>
      <c r="R2154" s="3"/>
      <c r="S2154" s="3"/>
      <c r="V2154" t="s">
        <v>12799</v>
      </c>
      <c r="AF2154" s="64"/>
      <c r="AH2154" s="4"/>
      <c r="AI2154" s="4"/>
      <c r="AJ2154" s="4"/>
      <c r="AK2154" s="46"/>
      <c r="AL2154" s="46"/>
      <c r="AM2154" s="4"/>
    </row>
    <row r="2155" spans="1:39" customFormat="1" x14ac:dyDescent="0.3">
      <c r="A2155" s="386" t="s">
        <v>1454</v>
      </c>
      <c r="B2155" t="s">
        <v>6438</v>
      </c>
      <c r="C2155" s="200" t="s">
        <v>13068</v>
      </c>
      <c r="D2155" t="s">
        <v>6838</v>
      </c>
      <c r="E2155" s="200" t="s">
        <v>13069</v>
      </c>
      <c r="F2155" t="s">
        <v>12811</v>
      </c>
      <c r="G2155" s="200" t="s">
        <v>13070</v>
      </c>
      <c r="H2155" t="s">
        <v>12812</v>
      </c>
      <c r="K2155" s="200" t="s">
        <v>13086</v>
      </c>
      <c r="L2155" t="s">
        <v>12806</v>
      </c>
      <c r="M2155" s="1" t="s">
        <v>12781</v>
      </c>
      <c r="N2155" s="423"/>
      <c r="O2155" s="1"/>
      <c r="P2155" s="3"/>
      <c r="Q2155" s="3"/>
      <c r="R2155" s="3"/>
      <c r="S2155" s="3"/>
      <c r="V2155" t="s">
        <v>12805</v>
      </c>
      <c r="AF2155" s="64"/>
      <c r="AH2155" s="4"/>
      <c r="AI2155" s="4"/>
      <c r="AJ2155" s="4"/>
      <c r="AK2155" s="46"/>
      <c r="AL2155" s="46"/>
      <c r="AM2155" s="4"/>
    </row>
    <row r="2156" spans="1:39" customFormat="1" x14ac:dyDescent="0.3">
      <c r="A2156" s="386" t="s">
        <v>1454</v>
      </c>
      <c r="B2156" t="s">
        <v>6438</v>
      </c>
      <c r="C2156" s="200" t="s">
        <v>13068</v>
      </c>
      <c r="D2156" t="s">
        <v>6838</v>
      </c>
      <c r="E2156" s="200" t="s">
        <v>13069</v>
      </c>
      <c r="F2156" t="s">
        <v>12811</v>
      </c>
      <c r="G2156" s="200" t="s">
        <v>13070</v>
      </c>
      <c r="H2156" t="s">
        <v>12812</v>
      </c>
      <c r="K2156" s="200" t="s">
        <v>13087</v>
      </c>
      <c r="L2156" t="s">
        <v>12782</v>
      </c>
      <c r="M2156" s="1"/>
      <c r="N2156" s="423"/>
      <c r="O2156" s="1"/>
      <c r="P2156" s="3"/>
      <c r="Q2156" s="3"/>
      <c r="R2156" s="3"/>
      <c r="S2156" s="3"/>
      <c r="V2156" t="s">
        <v>12782</v>
      </c>
      <c r="AF2156" s="64"/>
      <c r="AH2156" s="4"/>
      <c r="AI2156" s="4"/>
      <c r="AJ2156" s="4"/>
      <c r="AK2156" s="46"/>
      <c r="AL2156" s="46"/>
      <c r="AM2156" s="4"/>
    </row>
    <row r="2157" spans="1:39" customFormat="1" x14ac:dyDescent="0.3">
      <c r="A2157" s="386" t="s">
        <v>1454</v>
      </c>
      <c r="B2157" t="s">
        <v>6438</v>
      </c>
      <c r="C2157" s="200" t="s">
        <v>13068</v>
      </c>
      <c r="D2157" t="s">
        <v>6838</v>
      </c>
      <c r="E2157" s="200" t="s">
        <v>13069</v>
      </c>
      <c r="F2157" t="s">
        <v>12811</v>
      </c>
      <c r="G2157" s="200" t="s">
        <v>13070</v>
      </c>
      <c r="H2157" t="s">
        <v>12812</v>
      </c>
      <c r="K2157" s="200" t="s">
        <v>13071</v>
      </c>
      <c r="L2157" t="s">
        <v>12783</v>
      </c>
      <c r="M2157" s="1" t="s">
        <v>12784</v>
      </c>
      <c r="N2157" s="423"/>
      <c r="O2157" s="1"/>
      <c r="P2157" s="3"/>
      <c r="Q2157" s="3"/>
      <c r="R2157" s="3"/>
      <c r="S2157" s="3"/>
      <c r="V2157" t="s">
        <v>12783</v>
      </c>
      <c r="AF2157" s="64"/>
      <c r="AH2157" s="4"/>
      <c r="AI2157" s="4"/>
      <c r="AJ2157" s="4"/>
      <c r="AK2157" s="46"/>
      <c r="AL2157" s="46"/>
      <c r="AM2157" s="4"/>
    </row>
    <row r="2158" spans="1:39" customFormat="1" x14ac:dyDescent="0.3">
      <c r="A2158" s="386" t="s">
        <v>1454</v>
      </c>
      <c r="B2158" t="s">
        <v>6438</v>
      </c>
      <c r="C2158" s="200" t="s">
        <v>13068</v>
      </c>
      <c r="D2158" t="s">
        <v>6838</v>
      </c>
      <c r="E2158" s="200" t="s">
        <v>13069</v>
      </c>
      <c r="F2158" t="s">
        <v>12811</v>
      </c>
      <c r="G2158" s="200" t="s">
        <v>13070</v>
      </c>
      <c r="H2158" t="s">
        <v>12812</v>
      </c>
      <c r="K2158" s="200" t="s">
        <v>13071</v>
      </c>
      <c r="L2158" t="s">
        <v>12785</v>
      </c>
      <c r="M2158" s="1" t="s">
        <v>12786</v>
      </c>
      <c r="N2158" s="423"/>
      <c r="O2158" s="1"/>
      <c r="P2158" s="3"/>
      <c r="Q2158" s="3"/>
      <c r="R2158" s="3"/>
      <c r="S2158" s="3"/>
      <c r="V2158" t="s">
        <v>12801</v>
      </c>
      <c r="AF2158" s="64"/>
      <c r="AH2158" s="4"/>
      <c r="AI2158" s="4"/>
      <c r="AJ2158" s="4"/>
      <c r="AK2158" s="46"/>
      <c r="AL2158" s="46"/>
      <c r="AM2158" s="4"/>
    </row>
    <row r="2159" spans="1:39" customFormat="1" x14ac:dyDescent="0.3">
      <c r="A2159" s="386" t="s">
        <v>1454</v>
      </c>
      <c r="B2159" t="s">
        <v>6438</v>
      </c>
      <c r="C2159" s="200" t="s">
        <v>13068</v>
      </c>
      <c r="D2159" t="s">
        <v>6838</v>
      </c>
      <c r="E2159" s="200" t="s">
        <v>13069</v>
      </c>
      <c r="F2159" t="s">
        <v>12811</v>
      </c>
      <c r="G2159" s="200" t="s">
        <v>13070</v>
      </c>
      <c r="H2159" t="s">
        <v>12812</v>
      </c>
      <c r="K2159" s="200" t="s">
        <v>13088</v>
      </c>
      <c r="L2159" t="s">
        <v>12787</v>
      </c>
      <c r="M2159" s="1" t="s">
        <v>12788</v>
      </c>
      <c r="N2159" s="423"/>
      <c r="O2159" s="1"/>
      <c r="P2159" s="3"/>
      <c r="Q2159" s="3"/>
      <c r="R2159" s="3"/>
      <c r="S2159" s="3"/>
      <c r="V2159" t="s">
        <v>12802</v>
      </c>
      <c r="AF2159" s="64"/>
      <c r="AH2159" s="4"/>
      <c r="AI2159" s="4"/>
      <c r="AJ2159" s="4"/>
      <c r="AK2159" s="46"/>
      <c r="AL2159" s="46"/>
      <c r="AM2159" s="4"/>
    </row>
    <row r="2160" spans="1:39" customFormat="1" x14ac:dyDescent="0.3">
      <c r="A2160" s="386" t="s">
        <v>1454</v>
      </c>
      <c r="B2160" t="s">
        <v>6438</v>
      </c>
      <c r="C2160" s="200" t="s">
        <v>13068</v>
      </c>
      <c r="D2160" t="s">
        <v>6838</v>
      </c>
      <c r="E2160" s="200" t="s">
        <v>13069</v>
      </c>
      <c r="F2160" t="s">
        <v>12811</v>
      </c>
      <c r="G2160" s="200" t="s">
        <v>13070</v>
      </c>
      <c r="H2160" t="s">
        <v>12812</v>
      </c>
      <c r="K2160" s="200" t="s">
        <v>13089</v>
      </c>
      <c r="L2160" t="s">
        <v>12789</v>
      </c>
      <c r="M2160" s="1" t="s">
        <v>12790</v>
      </c>
      <c r="N2160" s="423"/>
      <c r="O2160" s="1"/>
      <c r="P2160" s="3"/>
      <c r="Q2160" s="3"/>
      <c r="R2160" s="3"/>
      <c r="S2160" s="3"/>
      <c r="V2160" t="s">
        <v>12803</v>
      </c>
      <c r="AF2160" s="64"/>
      <c r="AH2160" s="4"/>
      <c r="AI2160" s="4"/>
      <c r="AJ2160" s="4"/>
      <c r="AK2160" s="46"/>
      <c r="AL2160" s="46"/>
      <c r="AM2160" s="4"/>
    </row>
    <row r="2161" spans="1:42" customFormat="1" x14ac:dyDescent="0.3">
      <c r="A2161" s="386" t="s">
        <v>1454</v>
      </c>
      <c r="B2161" t="s">
        <v>6438</v>
      </c>
      <c r="C2161" s="200" t="s">
        <v>13068</v>
      </c>
      <c r="D2161" t="s">
        <v>6838</v>
      </c>
      <c r="E2161" s="200" t="s">
        <v>13069</v>
      </c>
      <c r="F2161" t="s">
        <v>12811</v>
      </c>
      <c r="G2161" s="200" t="s">
        <v>13070</v>
      </c>
      <c r="H2161" t="s">
        <v>12812</v>
      </c>
      <c r="K2161" s="200" t="s">
        <v>13090</v>
      </c>
      <c r="L2161" t="s">
        <v>12791</v>
      </c>
      <c r="M2161" s="1" t="s">
        <v>12807</v>
      </c>
      <c r="N2161" s="423"/>
      <c r="O2161" s="1"/>
      <c r="P2161" s="3"/>
      <c r="Q2161" s="3"/>
      <c r="R2161" s="3"/>
      <c r="S2161" s="3"/>
      <c r="V2161" t="s">
        <v>12804</v>
      </c>
      <c r="AF2161" s="64"/>
      <c r="AH2161" s="4"/>
      <c r="AI2161" s="4"/>
      <c r="AJ2161" s="4"/>
      <c r="AK2161" s="46"/>
      <c r="AL2161" s="46"/>
      <c r="AM2161" s="4"/>
    </row>
    <row r="2162" spans="1:42" s="293" customFormat="1" x14ac:dyDescent="0.3">
      <c r="A2162" s="50" t="s">
        <v>1455</v>
      </c>
      <c r="B2162" s="51" t="s">
        <v>2061</v>
      </c>
      <c r="C2162" s="50" t="s">
        <v>2062</v>
      </c>
      <c r="D2162" s="51" t="s">
        <v>1491</v>
      </c>
      <c r="E2162" s="50" t="s">
        <v>2062</v>
      </c>
      <c r="F2162" s="51" t="s">
        <v>1493</v>
      </c>
      <c r="G2162" s="50" t="s">
        <v>2062</v>
      </c>
      <c r="H2162" s="51" t="s">
        <v>1491</v>
      </c>
      <c r="I2162" s="51"/>
      <c r="J2162" s="51"/>
      <c r="K2162" s="50" t="s">
        <v>2062</v>
      </c>
      <c r="L2162" s="51" t="s">
        <v>1491</v>
      </c>
      <c r="M2162" s="420" t="s">
        <v>271</v>
      </c>
      <c r="N2162" s="420" t="s">
        <v>271</v>
      </c>
      <c r="O2162" s="420" t="s">
        <v>271</v>
      </c>
      <c r="P2162" s="60" t="s">
        <v>271</v>
      </c>
      <c r="Q2162" s="60" t="s">
        <v>271</v>
      </c>
      <c r="R2162" s="60" t="s">
        <v>271</v>
      </c>
      <c r="S2162" s="60" t="s">
        <v>271</v>
      </c>
      <c r="T2162" s="60" t="s">
        <v>271</v>
      </c>
      <c r="U2162" s="60" t="s">
        <v>271</v>
      </c>
      <c r="V2162" s="51" t="s">
        <v>1489</v>
      </c>
      <c r="W2162" s="291"/>
      <c r="X2162" s="291"/>
      <c r="Y2162" s="291"/>
      <c r="Z2162" s="291"/>
      <c r="AA2162" s="291"/>
      <c r="AB2162" s="291"/>
      <c r="AC2162" s="291"/>
      <c r="AD2162" s="291"/>
      <c r="AE2162" s="292"/>
      <c r="AF2162" s="56"/>
      <c r="AG2162" s="292"/>
      <c r="AH2162" s="56"/>
      <c r="AI2162" s="56"/>
      <c r="AJ2162" s="56"/>
      <c r="AK2162" s="57">
        <v>13.1</v>
      </c>
      <c r="AL2162" s="57">
        <v>13.1</v>
      </c>
      <c r="AM2162" s="147">
        <f t="shared" ref="AM2162:AM2193" si="88">SUM(AK2162:AL2162)</f>
        <v>26.2</v>
      </c>
      <c r="AN2162" s="52"/>
      <c r="AO2162" s="52"/>
      <c r="AP2162" s="51"/>
    </row>
    <row r="2163" spans="1:42" s="293" customFormat="1" x14ac:dyDescent="0.3">
      <c r="A2163" s="50" t="s">
        <v>1455</v>
      </c>
      <c r="B2163" s="51" t="s">
        <v>2061</v>
      </c>
      <c r="C2163" s="50" t="s">
        <v>2062</v>
      </c>
      <c r="D2163" s="51" t="s">
        <v>1491</v>
      </c>
      <c r="E2163" s="50" t="s">
        <v>2062</v>
      </c>
      <c r="F2163" s="51" t="s">
        <v>1493</v>
      </c>
      <c r="G2163" s="50" t="s">
        <v>2062</v>
      </c>
      <c r="H2163" s="51" t="s">
        <v>1491</v>
      </c>
      <c r="I2163" s="51"/>
      <c r="J2163" s="51"/>
      <c r="K2163" s="50" t="s">
        <v>2062</v>
      </c>
      <c r="L2163" s="51" t="s">
        <v>1491</v>
      </c>
      <c r="M2163" s="420" t="s">
        <v>271</v>
      </c>
      <c r="N2163" s="420" t="s">
        <v>271</v>
      </c>
      <c r="O2163" s="420" t="s">
        <v>271</v>
      </c>
      <c r="P2163" s="60" t="s">
        <v>271</v>
      </c>
      <c r="Q2163" s="60" t="s">
        <v>271</v>
      </c>
      <c r="R2163" s="60" t="s">
        <v>271</v>
      </c>
      <c r="S2163" s="60" t="s">
        <v>271</v>
      </c>
      <c r="T2163" s="60" t="s">
        <v>271</v>
      </c>
      <c r="U2163" s="60" t="s">
        <v>271</v>
      </c>
      <c r="V2163" s="51" t="s">
        <v>1490</v>
      </c>
      <c r="W2163" s="291"/>
      <c r="X2163" s="291"/>
      <c r="Y2163" s="291"/>
      <c r="Z2163" s="291"/>
      <c r="AA2163" s="291"/>
      <c r="AB2163" s="291"/>
      <c r="AC2163" s="291"/>
      <c r="AD2163" s="291"/>
      <c r="AE2163" s="292"/>
      <c r="AF2163" s="56"/>
      <c r="AG2163" s="292"/>
      <c r="AH2163" s="56"/>
      <c r="AI2163" s="56"/>
      <c r="AJ2163" s="56"/>
      <c r="AK2163" s="57">
        <v>5.24</v>
      </c>
      <c r="AL2163" s="57">
        <v>5.24</v>
      </c>
      <c r="AM2163" s="147">
        <f t="shared" si="88"/>
        <v>10.48</v>
      </c>
      <c r="AN2163" s="52"/>
      <c r="AO2163" s="52"/>
      <c r="AP2163" s="51"/>
    </row>
    <row r="2164" spans="1:42" s="293" customFormat="1" x14ac:dyDescent="0.3">
      <c r="A2164" s="50" t="s">
        <v>1455</v>
      </c>
      <c r="B2164" s="51" t="s">
        <v>2061</v>
      </c>
      <c r="C2164" s="50" t="s">
        <v>2062</v>
      </c>
      <c r="D2164" s="51" t="s">
        <v>1491</v>
      </c>
      <c r="E2164" s="50" t="s">
        <v>2062</v>
      </c>
      <c r="F2164" s="51" t="s">
        <v>1493</v>
      </c>
      <c r="G2164" s="50" t="s">
        <v>2062</v>
      </c>
      <c r="H2164" s="51" t="s">
        <v>1491</v>
      </c>
      <c r="I2164" s="51"/>
      <c r="J2164" s="51"/>
      <c r="K2164" s="50" t="s">
        <v>2062</v>
      </c>
      <c r="L2164" s="51" t="s">
        <v>1491</v>
      </c>
      <c r="M2164" s="420" t="s">
        <v>271</v>
      </c>
      <c r="N2164" s="420" t="s">
        <v>271</v>
      </c>
      <c r="O2164" s="420" t="s">
        <v>271</v>
      </c>
      <c r="P2164" s="60" t="s">
        <v>271</v>
      </c>
      <c r="Q2164" s="60" t="s">
        <v>271</v>
      </c>
      <c r="R2164" s="60" t="s">
        <v>271</v>
      </c>
      <c r="S2164" s="60" t="s">
        <v>271</v>
      </c>
      <c r="T2164" s="60" t="s">
        <v>271</v>
      </c>
      <c r="U2164" s="60" t="s">
        <v>271</v>
      </c>
      <c r="V2164" s="51" t="s">
        <v>1495</v>
      </c>
      <c r="W2164" s="291"/>
      <c r="X2164" s="291"/>
      <c r="Y2164" s="291"/>
      <c r="Z2164" s="291"/>
      <c r="AA2164" s="291"/>
      <c r="AB2164" s="291"/>
      <c r="AC2164" s="291"/>
      <c r="AD2164" s="291"/>
      <c r="AE2164" s="292"/>
      <c r="AF2164" s="56"/>
      <c r="AG2164" s="292"/>
      <c r="AH2164" s="56"/>
      <c r="AI2164" s="56"/>
      <c r="AJ2164" s="56"/>
      <c r="AK2164" s="57">
        <v>37.584167590999996</v>
      </c>
      <c r="AL2164" s="57">
        <v>43.969192320999994</v>
      </c>
      <c r="AM2164" s="147">
        <f t="shared" si="88"/>
        <v>81.553359911999991</v>
      </c>
      <c r="AN2164" s="52"/>
      <c r="AO2164" s="52"/>
      <c r="AP2164" s="51"/>
    </row>
    <row r="2165" spans="1:42" s="18" customFormat="1" x14ac:dyDescent="0.3">
      <c r="A2165" s="156" t="s">
        <v>1455</v>
      </c>
      <c r="B2165" s="18" t="s">
        <v>2061</v>
      </c>
      <c r="C2165" s="18">
        <v>111</v>
      </c>
      <c r="D2165" s="18" t="s">
        <v>2063</v>
      </c>
      <c r="E2165" s="18">
        <v>1111</v>
      </c>
      <c r="F2165" s="157" t="s">
        <v>2064</v>
      </c>
      <c r="G2165" s="157">
        <v>111101</v>
      </c>
      <c r="H2165" s="157" t="s">
        <v>2065</v>
      </c>
      <c r="I2165" s="157"/>
      <c r="J2165" s="157"/>
      <c r="K2165" s="157">
        <v>11110101</v>
      </c>
      <c r="L2165" s="18" t="s">
        <v>2066</v>
      </c>
      <c r="M2165" s="18" t="s">
        <v>2067</v>
      </c>
      <c r="N2165" s="430">
        <v>65</v>
      </c>
      <c r="O2165" s="430">
        <v>70</v>
      </c>
      <c r="P2165" s="19">
        <v>75</v>
      </c>
      <c r="Q2165" s="19">
        <v>80</v>
      </c>
      <c r="R2165" s="19">
        <v>85</v>
      </c>
      <c r="S2165" s="19">
        <v>90</v>
      </c>
      <c r="T2165" s="18" t="s">
        <v>2068</v>
      </c>
      <c r="U2165" s="283" t="e">
        <v>#N/A</v>
      </c>
      <c r="V2165" s="283" t="s">
        <v>2069</v>
      </c>
      <c r="W2165" s="283">
        <v>1</v>
      </c>
      <c r="X2165" s="283">
        <v>1</v>
      </c>
      <c r="Y2165" s="283">
        <v>1</v>
      </c>
      <c r="Z2165" s="283">
        <v>1</v>
      </c>
      <c r="AA2165" s="283">
        <v>0</v>
      </c>
      <c r="AB2165" s="283">
        <v>1</v>
      </c>
      <c r="AC2165" s="316">
        <v>1</v>
      </c>
      <c r="AD2165" s="316">
        <v>1</v>
      </c>
      <c r="AE2165" s="302">
        <f t="shared" ref="AE2165:AE2196" si="89">SUM(W2165:AD2165)/8</f>
        <v>0.875</v>
      </c>
      <c r="AF2165" s="310"/>
      <c r="AG2165" s="17">
        <v>0</v>
      </c>
      <c r="AH2165" s="310">
        <v>22.2</v>
      </c>
      <c r="AI2165" s="310">
        <v>24.64</v>
      </c>
      <c r="AJ2165" s="310">
        <v>27.57</v>
      </c>
      <c r="AK2165" s="319">
        <v>25.11</v>
      </c>
      <c r="AL2165" s="319">
        <v>27.62</v>
      </c>
      <c r="AM2165" s="147">
        <f t="shared" si="88"/>
        <v>52.730000000000004</v>
      </c>
      <c r="AN2165" s="283" t="s">
        <v>2068</v>
      </c>
      <c r="AO2165" s="18" t="s">
        <v>241</v>
      </c>
      <c r="AP2165" s="283" t="s">
        <v>2070</v>
      </c>
    </row>
    <row r="2166" spans="1:42" s="18" customFormat="1" x14ac:dyDescent="0.3">
      <c r="A2166" s="156" t="s">
        <v>1455</v>
      </c>
      <c r="B2166" s="18" t="s">
        <v>2061</v>
      </c>
      <c r="C2166" s="18">
        <v>111</v>
      </c>
      <c r="D2166" s="18" t="s">
        <v>2063</v>
      </c>
      <c r="E2166" s="18">
        <v>1111</v>
      </c>
      <c r="F2166" s="157" t="s">
        <v>2064</v>
      </c>
      <c r="G2166" s="157">
        <v>111101</v>
      </c>
      <c r="H2166" s="157" t="s">
        <v>2065</v>
      </c>
      <c r="I2166" s="157"/>
      <c r="J2166" s="157"/>
      <c r="K2166" s="157">
        <v>11110101</v>
      </c>
      <c r="L2166" s="18" t="s">
        <v>2066</v>
      </c>
      <c r="M2166" s="18" t="s">
        <v>2071</v>
      </c>
      <c r="N2166" s="430">
        <v>2424</v>
      </c>
      <c r="O2166" s="430">
        <v>3092</v>
      </c>
      <c r="P2166" s="19">
        <v>3592</v>
      </c>
      <c r="Q2166" s="19">
        <v>4092</v>
      </c>
      <c r="R2166" s="19">
        <v>4592</v>
      </c>
      <c r="S2166" s="19">
        <v>5092</v>
      </c>
      <c r="T2166" s="18" t="s">
        <v>2072</v>
      </c>
      <c r="U2166" s="283" t="e">
        <v>#N/A</v>
      </c>
      <c r="V2166" s="320" t="s">
        <v>2073</v>
      </c>
      <c r="W2166" s="283">
        <v>1</v>
      </c>
      <c r="X2166" s="283">
        <v>1</v>
      </c>
      <c r="Y2166" s="283">
        <v>0</v>
      </c>
      <c r="Z2166" s="283">
        <v>1</v>
      </c>
      <c r="AA2166" s="283">
        <v>1</v>
      </c>
      <c r="AB2166" s="283">
        <v>1</v>
      </c>
      <c r="AC2166" s="316">
        <v>1</v>
      </c>
      <c r="AD2166" s="316">
        <v>1</v>
      </c>
      <c r="AE2166" s="302">
        <f t="shared" si="89"/>
        <v>0.875</v>
      </c>
      <c r="AF2166" s="310"/>
      <c r="AG2166" s="17">
        <v>1</v>
      </c>
      <c r="AH2166" s="310">
        <v>133.24182053261393</v>
      </c>
      <c r="AI2166" s="310">
        <v>103.85238592514543</v>
      </c>
      <c r="AJ2166" s="310">
        <v>167.94014990925245</v>
      </c>
      <c r="AK2166" s="319">
        <v>25.353000000000002</v>
      </c>
      <c r="AL2166" s="319">
        <v>45.892000000000003</v>
      </c>
      <c r="AM2166" s="147">
        <f t="shared" si="88"/>
        <v>71.245000000000005</v>
      </c>
      <c r="AN2166" s="283" t="s">
        <v>2074</v>
      </c>
      <c r="AO2166" s="18" t="s">
        <v>2075</v>
      </c>
      <c r="AP2166" s="283" t="s">
        <v>2076</v>
      </c>
    </row>
    <row r="2167" spans="1:42" s="18" customFormat="1" x14ac:dyDescent="0.3">
      <c r="A2167" s="156" t="s">
        <v>1455</v>
      </c>
      <c r="B2167" s="18" t="s">
        <v>2061</v>
      </c>
      <c r="C2167" s="18">
        <v>111</v>
      </c>
      <c r="D2167" s="18" t="s">
        <v>2063</v>
      </c>
      <c r="E2167" s="18">
        <v>1111</v>
      </c>
      <c r="F2167" s="157" t="s">
        <v>2064</v>
      </c>
      <c r="G2167" s="157">
        <v>111101</v>
      </c>
      <c r="H2167" s="157" t="s">
        <v>2065</v>
      </c>
      <c r="I2167" s="157"/>
      <c r="J2167" s="157"/>
      <c r="K2167" s="157">
        <v>11110102</v>
      </c>
      <c r="L2167" s="18" t="s">
        <v>2077</v>
      </c>
      <c r="M2167" s="18" t="s">
        <v>2078</v>
      </c>
      <c r="N2167" s="430">
        <v>119</v>
      </c>
      <c r="O2167" s="430">
        <v>130</v>
      </c>
      <c r="P2167" s="19">
        <v>140</v>
      </c>
      <c r="Q2167" s="19">
        <v>154</v>
      </c>
      <c r="R2167" s="19">
        <v>170</v>
      </c>
      <c r="S2167" s="19">
        <v>174</v>
      </c>
      <c r="T2167" s="18" t="s">
        <v>2072</v>
      </c>
      <c r="U2167" s="283" t="e">
        <v>#N/A</v>
      </c>
      <c r="V2167" s="14" t="s">
        <v>2073</v>
      </c>
      <c r="W2167" s="16">
        <v>1</v>
      </c>
      <c r="X2167" s="16">
        <v>1</v>
      </c>
      <c r="Y2167" s="16">
        <v>0</v>
      </c>
      <c r="Z2167" s="16">
        <v>1</v>
      </c>
      <c r="AA2167" s="16">
        <v>1</v>
      </c>
      <c r="AB2167" s="16">
        <v>1</v>
      </c>
      <c r="AC2167" s="316">
        <v>1</v>
      </c>
      <c r="AD2167" s="316">
        <v>1</v>
      </c>
      <c r="AE2167" s="302">
        <f t="shared" si="89"/>
        <v>0.875</v>
      </c>
      <c r="AF2167" s="17"/>
      <c r="AG2167" s="17">
        <v>1</v>
      </c>
      <c r="AH2167" s="17">
        <v>0</v>
      </c>
      <c r="AI2167" s="17">
        <v>0</v>
      </c>
      <c r="AJ2167" s="17">
        <v>0</v>
      </c>
      <c r="AK2167" s="319">
        <v>20.309999999999999</v>
      </c>
      <c r="AL2167" s="319">
        <v>20.731000000000002</v>
      </c>
      <c r="AM2167" s="147">
        <f t="shared" si="88"/>
        <v>41.040999999999997</v>
      </c>
      <c r="AN2167" s="283" t="s">
        <v>2074</v>
      </c>
      <c r="AO2167" s="18" t="s">
        <v>2075</v>
      </c>
      <c r="AP2167" s="283" t="s">
        <v>2076</v>
      </c>
    </row>
    <row r="2168" spans="1:42" s="18" customFormat="1" x14ac:dyDescent="0.3">
      <c r="A2168" s="156" t="s">
        <v>1455</v>
      </c>
      <c r="B2168" s="18" t="s">
        <v>2061</v>
      </c>
      <c r="C2168" s="18">
        <v>111</v>
      </c>
      <c r="D2168" s="18" t="s">
        <v>2063</v>
      </c>
      <c r="E2168" s="18">
        <v>1111</v>
      </c>
      <c r="F2168" s="157" t="s">
        <v>2064</v>
      </c>
      <c r="G2168" s="157">
        <v>111101</v>
      </c>
      <c r="H2168" s="157" t="s">
        <v>2065</v>
      </c>
      <c r="I2168" s="157"/>
      <c r="J2168" s="157"/>
      <c r="K2168" s="157">
        <v>11110102</v>
      </c>
      <c r="L2168" s="18" t="s">
        <v>2077</v>
      </c>
      <c r="M2168" s="18" t="s">
        <v>2079</v>
      </c>
      <c r="N2168" s="430">
        <v>40</v>
      </c>
      <c r="O2168" s="430">
        <v>40</v>
      </c>
      <c r="P2168" s="19">
        <v>55</v>
      </c>
      <c r="Q2168" s="19">
        <v>60</v>
      </c>
      <c r="R2168" s="19">
        <v>65</v>
      </c>
      <c r="S2168" s="19">
        <v>70</v>
      </c>
      <c r="T2168" s="18" t="s">
        <v>2072</v>
      </c>
      <c r="U2168" s="283" t="e">
        <v>#N/A</v>
      </c>
      <c r="V2168" s="320" t="s">
        <v>2080</v>
      </c>
      <c r="W2168" s="283">
        <v>1</v>
      </c>
      <c r="X2168" s="283">
        <v>1</v>
      </c>
      <c r="Y2168" s="283">
        <v>0</v>
      </c>
      <c r="Z2168" s="283">
        <v>1</v>
      </c>
      <c r="AA2168" s="283">
        <v>1</v>
      </c>
      <c r="AB2168" s="283">
        <v>1</v>
      </c>
      <c r="AC2168" s="316">
        <v>1</v>
      </c>
      <c r="AD2168" s="316">
        <v>1</v>
      </c>
      <c r="AE2168" s="302">
        <f t="shared" si="89"/>
        <v>0.875</v>
      </c>
      <c r="AF2168" s="17"/>
      <c r="AG2168" s="17">
        <v>1</v>
      </c>
      <c r="AH2168" s="17">
        <v>0</v>
      </c>
      <c r="AI2168" s="17">
        <v>0</v>
      </c>
      <c r="AJ2168" s="17">
        <v>0</v>
      </c>
      <c r="AK2168" s="153">
        <v>0</v>
      </c>
      <c r="AL2168" s="154">
        <v>0</v>
      </c>
      <c r="AM2168" s="147">
        <f t="shared" si="88"/>
        <v>0</v>
      </c>
      <c r="AN2168" s="283" t="s">
        <v>2074</v>
      </c>
      <c r="AO2168" s="18" t="s">
        <v>2075</v>
      </c>
      <c r="AP2168" s="283" t="s">
        <v>2076</v>
      </c>
    </row>
    <row r="2169" spans="1:42" s="18" customFormat="1" x14ac:dyDescent="0.3">
      <c r="A2169" s="156" t="s">
        <v>1455</v>
      </c>
      <c r="B2169" s="18" t="s">
        <v>2061</v>
      </c>
      <c r="C2169" s="18">
        <v>111</v>
      </c>
      <c r="D2169" s="18" t="s">
        <v>2063</v>
      </c>
      <c r="E2169" s="18">
        <v>1111</v>
      </c>
      <c r="F2169" s="157" t="s">
        <v>2064</v>
      </c>
      <c r="G2169" s="157">
        <v>111101</v>
      </c>
      <c r="H2169" s="157" t="s">
        <v>2065</v>
      </c>
      <c r="I2169" s="157"/>
      <c r="J2169" s="157"/>
      <c r="K2169" s="157">
        <v>11110102</v>
      </c>
      <c r="L2169" s="18" t="s">
        <v>2077</v>
      </c>
      <c r="M2169" s="18" t="s">
        <v>2081</v>
      </c>
      <c r="N2169" s="430">
        <v>428</v>
      </c>
      <c r="O2169" s="430">
        <v>562</v>
      </c>
      <c r="P2169" s="19">
        <v>696</v>
      </c>
      <c r="Q2169" s="19">
        <v>830</v>
      </c>
      <c r="R2169" s="19">
        <v>964</v>
      </c>
      <c r="S2169" s="19">
        <v>1100</v>
      </c>
      <c r="T2169" s="18" t="s">
        <v>2072</v>
      </c>
      <c r="U2169" s="283" t="e">
        <v>#N/A</v>
      </c>
      <c r="AC2169" s="316">
        <v>0</v>
      </c>
      <c r="AD2169" s="316">
        <v>0</v>
      </c>
      <c r="AE2169" s="302">
        <f t="shared" si="89"/>
        <v>0</v>
      </c>
      <c r="AF2169" s="17"/>
      <c r="AG2169" s="17">
        <v>0</v>
      </c>
      <c r="AH2169" s="17"/>
      <c r="AI2169" s="17"/>
      <c r="AJ2169" s="17"/>
      <c r="AK2169" s="154"/>
      <c r="AL2169" s="154"/>
      <c r="AM2169" s="147">
        <f t="shared" si="88"/>
        <v>0</v>
      </c>
    </row>
    <row r="2170" spans="1:42" s="18" customFormat="1" x14ac:dyDescent="0.3">
      <c r="A2170" s="156" t="s">
        <v>1455</v>
      </c>
      <c r="B2170" s="18" t="s">
        <v>2061</v>
      </c>
      <c r="C2170" s="18">
        <v>111</v>
      </c>
      <c r="D2170" s="18" t="s">
        <v>2063</v>
      </c>
      <c r="E2170" s="18">
        <v>1111</v>
      </c>
      <c r="F2170" s="157" t="s">
        <v>2064</v>
      </c>
      <c r="G2170" s="157">
        <v>111101</v>
      </c>
      <c r="H2170" s="157" t="s">
        <v>2065</v>
      </c>
      <c r="I2170" s="157"/>
      <c r="J2170" s="157"/>
      <c r="K2170" s="157">
        <v>11110102</v>
      </c>
      <c r="L2170" s="18" t="s">
        <v>2077</v>
      </c>
      <c r="M2170" s="18" t="s">
        <v>2082</v>
      </c>
      <c r="N2170" s="430">
        <v>84</v>
      </c>
      <c r="O2170" s="430">
        <v>100</v>
      </c>
      <c r="P2170" s="19">
        <v>100</v>
      </c>
      <c r="Q2170" s="19">
        <v>100</v>
      </c>
      <c r="R2170" s="19">
        <v>100</v>
      </c>
      <c r="S2170" s="19">
        <v>100</v>
      </c>
      <c r="T2170" s="18" t="s">
        <v>2068</v>
      </c>
      <c r="U2170" s="283" t="e">
        <v>#N/A</v>
      </c>
      <c r="V2170" s="283" t="s">
        <v>2083</v>
      </c>
      <c r="W2170" s="283"/>
      <c r="X2170" s="283"/>
      <c r="Y2170" s="283"/>
      <c r="Z2170" s="283"/>
      <c r="AA2170" s="283"/>
      <c r="AB2170" s="283"/>
      <c r="AC2170" s="316">
        <v>0</v>
      </c>
      <c r="AD2170" s="316">
        <v>0</v>
      </c>
      <c r="AE2170" s="302">
        <f t="shared" si="89"/>
        <v>0</v>
      </c>
      <c r="AF2170" s="310"/>
      <c r="AG2170" s="17">
        <v>0</v>
      </c>
      <c r="AH2170" s="310">
        <v>0</v>
      </c>
      <c r="AI2170" s="310">
        <v>5</v>
      </c>
      <c r="AJ2170" s="310">
        <v>5</v>
      </c>
      <c r="AK2170" s="317">
        <v>8</v>
      </c>
      <c r="AL2170" s="317">
        <v>8</v>
      </c>
      <c r="AM2170" s="147">
        <f t="shared" si="88"/>
        <v>16</v>
      </c>
      <c r="AN2170" s="283" t="s">
        <v>2084</v>
      </c>
      <c r="AO2170" s="18" t="s">
        <v>241</v>
      </c>
      <c r="AP2170" s="283" t="s">
        <v>2085</v>
      </c>
    </row>
    <row r="2171" spans="1:42" s="18" customFormat="1" x14ac:dyDescent="0.3">
      <c r="A2171" s="156" t="s">
        <v>1455</v>
      </c>
      <c r="B2171" s="18" t="s">
        <v>2061</v>
      </c>
      <c r="C2171" s="18">
        <v>111</v>
      </c>
      <c r="D2171" s="18" t="s">
        <v>2063</v>
      </c>
      <c r="E2171" s="18">
        <v>1111</v>
      </c>
      <c r="F2171" s="157" t="s">
        <v>2064</v>
      </c>
      <c r="G2171" s="157">
        <v>111101</v>
      </c>
      <c r="H2171" s="157" t="s">
        <v>2065</v>
      </c>
      <c r="I2171" s="157"/>
      <c r="J2171" s="157"/>
      <c r="K2171" s="157">
        <v>11110102</v>
      </c>
      <c r="L2171" s="18" t="s">
        <v>2077</v>
      </c>
      <c r="M2171" s="18" t="s">
        <v>2086</v>
      </c>
      <c r="N2171" s="443"/>
      <c r="O2171" s="443">
        <v>1</v>
      </c>
      <c r="P2171" s="178">
        <v>1</v>
      </c>
      <c r="Q2171" s="169"/>
      <c r="R2171" s="169"/>
      <c r="S2171" s="169"/>
      <c r="T2171" s="18" t="s">
        <v>2087</v>
      </c>
      <c r="U2171" s="283" t="e">
        <v>#N/A</v>
      </c>
      <c r="V2171" s="283" t="s">
        <v>2088</v>
      </c>
      <c r="W2171" s="283">
        <v>1</v>
      </c>
      <c r="X2171" s="283">
        <v>0</v>
      </c>
      <c r="Y2171" s="283">
        <v>0</v>
      </c>
      <c r="Z2171" s="283">
        <v>1</v>
      </c>
      <c r="AA2171" s="283">
        <v>0</v>
      </c>
      <c r="AB2171" s="283">
        <v>0</v>
      </c>
      <c r="AC2171" s="316">
        <v>1</v>
      </c>
      <c r="AD2171" s="316">
        <v>1</v>
      </c>
      <c r="AE2171" s="302">
        <f t="shared" si="89"/>
        <v>0.5</v>
      </c>
      <c r="AF2171" s="310"/>
      <c r="AG2171" s="17">
        <v>0</v>
      </c>
      <c r="AH2171" s="310">
        <v>0</v>
      </c>
      <c r="AI2171" s="310">
        <v>2.5</v>
      </c>
      <c r="AJ2171" s="310">
        <v>2.5</v>
      </c>
      <c r="AK2171" s="317">
        <v>0</v>
      </c>
      <c r="AL2171" s="317" t="s">
        <v>2089</v>
      </c>
      <c r="AM2171" s="147">
        <f t="shared" si="88"/>
        <v>0</v>
      </c>
      <c r="AN2171" s="10" t="s">
        <v>239</v>
      </c>
      <c r="AO2171" s="18" t="s">
        <v>241</v>
      </c>
      <c r="AP2171" s="283" t="s">
        <v>2090</v>
      </c>
    </row>
    <row r="2172" spans="1:42" s="18" customFormat="1" x14ac:dyDescent="0.3">
      <c r="A2172" s="156" t="s">
        <v>1455</v>
      </c>
      <c r="B2172" s="18" t="s">
        <v>2061</v>
      </c>
      <c r="C2172" s="18">
        <v>111</v>
      </c>
      <c r="D2172" s="18" t="s">
        <v>2063</v>
      </c>
      <c r="E2172" s="18">
        <v>1111</v>
      </c>
      <c r="F2172" s="157" t="s">
        <v>2064</v>
      </c>
      <c r="G2172" s="157">
        <v>111101</v>
      </c>
      <c r="H2172" s="157" t="s">
        <v>2065</v>
      </c>
      <c r="I2172" s="157"/>
      <c r="J2172" s="157"/>
      <c r="K2172" s="157">
        <v>11110103</v>
      </c>
      <c r="L2172" s="18" t="s">
        <v>2091</v>
      </c>
      <c r="M2172" s="18" t="s">
        <v>2092</v>
      </c>
      <c r="N2172" s="430">
        <v>284</v>
      </c>
      <c r="O2172" s="430">
        <v>320</v>
      </c>
      <c r="P2172" s="19">
        <v>370</v>
      </c>
      <c r="Q2172" s="19">
        <v>420</v>
      </c>
      <c r="R2172" s="19">
        <v>480</v>
      </c>
      <c r="S2172" s="19">
        <v>531</v>
      </c>
      <c r="T2172" s="18" t="s">
        <v>2072</v>
      </c>
      <c r="U2172" s="283" t="e">
        <v>#N/A</v>
      </c>
      <c r="V2172" s="320" t="s">
        <v>2093</v>
      </c>
      <c r="W2172" s="283">
        <v>1</v>
      </c>
      <c r="X2172" s="283">
        <v>1</v>
      </c>
      <c r="Y2172" s="283">
        <v>0</v>
      </c>
      <c r="Z2172" s="283">
        <v>1</v>
      </c>
      <c r="AA2172" s="283">
        <v>1</v>
      </c>
      <c r="AB2172" s="283">
        <v>1</v>
      </c>
      <c r="AC2172" s="316">
        <v>1</v>
      </c>
      <c r="AD2172" s="316">
        <v>1</v>
      </c>
      <c r="AE2172" s="302">
        <f t="shared" si="89"/>
        <v>0.875</v>
      </c>
      <c r="AF2172" s="17"/>
      <c r="AG2172" s="17">
        <v>1</v>
      </c>
      <c r="AH2172" s="17">
        <v>0</v>
      </c>
      <c r="AI2172" s="17">
        <v>0</v>
      </c>
      <c r="AJ2172" s="17">
        <v>0</v>
      </c>
      <c r="AK2172" s="153">
        <v>1.53</v>
      </c>
      <c r="AL2172" s="154">
        <v>10.321</v>
      </c>
      <c r="AM2172" s="147">
        <f t="shared" si="88"/>
        <v>11.850999999999999</v>
      </c>
      <c r="AN2172" s="283" t="s">
        <v>2074</v>
      </c>
      <c r="AO2172" s="18" t="s">
        <v>2075</v>
      </c>
      <c r="AP2172" s="283" t="s">
        <v>2076</v>
      </c>
    </row>
    <row r="2173" spans="1:42" s="18" customFormat="1" x14ac:dyDescent="0.3">
      <c r="A2173" s="156" t="s">
        <v>1455</v>
      </c>
      <c r="B2173" s="18" t="s">
        <v>2061</v>
      </c>
      <c r="C2173" s="18">
        <v>111</v>
      </c>
      <c r="D2173" s="18" t="s">
        <v>2063</v>
      </c>
      <c r="E2173" s="18">
        <v>1111</v>
      </c>
      <c r="F2173" s="157" t="s">
        <v>2064</v>
      </c>
      <c r="G2173" s="157">
        <v>111101</v>
      </c>
      <c r="H2173" s="157" t="s">
        <v>2065</v>
      </c>
      <c r="I2173" s="157"/>
      <c r="J2173" s="157"/>
      <c r="K2173" s="157">
        <v>11110104</v>
      </c>
      <c r="L2173" s="18" t="s">
        <v>2094</v>
      </c>
      <c r="M2173" s="18" t="s">
        <v>2095</v>
      </c>
      <c r="N2173" s="430">
        <v>0</v>
      </c>
      <c r="O2173" s="430">
        <v>18</v>
      </c>
      <c r="P2173" s="19">
        <v>23</v>
      </c>
      <c r="Q2173" s="19">
        <v>30</v>
      </c>
      <c r="R2173" s="19">
        <v>35</v>
      </c>
      <c r="S2173" s="19">
        <v>37</v>
      </c>
      <c r="T2173" s="18" t="s">
        <v>2072</v>
      </c>
      <c r="U2173" s="283" t="e">
        <v>#N/A</v>
      </c>
      <c r="V2173" s="283" t="s">
        <v>2096</v>
      </c>
      <c r="W2173" s="283"/>
      <c r="X2173" s="283"/>
      <c r="Y2173" s="283"/>
      <c r="Z2173" s="283"/>
      <c r="AA2173" s="283"/>
      <c r="AB2173" s="283"/>
      <c r="AC2173" s="316">
        <v>0</v>
      </c>
      <c r="AD2173" s="316">
        <v>0</v>
      </c>
      <c r="AE2173" s="302">
        <f t="shared" si="89"/>
        <v>0</v>
      </c>
      <c r="AF2173" s="17"/>
      <c r="AG2173" s="17">
        <v>0</v>
      </c>
      <c r="AH2173" s="17">
        <v>0</v>
      </c>
      <c r="AI2173" s="17">
        <v>0</v>
      </c>
      <c r="AJ2173" s="17">
        <v>0</v>
      </c>
      <c r="AK2173" s="153">
        <v>0</v>
      </c>
      <c r="AL2173" s="154">
        <v>0</v>
      </c>
      <c r="AM2173" s="147">
        <f t="shared" si="88"/>
        <v>0</v>
      </c>
      <c r="AN2173" s="283" t="s">
        <v>2074</v>
      </c>
      <c r="AO2173" s="18" t="s">
        <v>2075</v>
      </c>
      <c r="AP2173" s="283" t="s">
        <v>2076</v>
      </c>
    </row>
    <row r="2174" spans="1:42" s="18" customFormat="1" x14ac:dyDescent="0.3">
      <c r="A2174" s="156" t="s">
        <v>1455</v>
      </c>
      <c r="B2174" s="18" t="s">
        <v>2061</v>
      </c>
      <c r="C2174" s="18">
        <v>111</v>
      </c>
      <c r="D2174" s="18" t="s">
        <v>2063</v>
      </c>
      <c r="E2174" s="18">
        <v>1111</v>
      </c>
      <c r="F2174" s="157" t="s">
        <v>2064</v>
      </c>
      <c r="G2174" s="157">
        <v>111102</v>
      </c>
      <c r="H2174" s="18" t="s">
        <v>2097</v>
      </c>
      <c r="K2174" s="157">
        <v>11110201</v>
      </c>
      <c r="L2174" s="18" t="s">
        <v>2098</v>
      </c>
      <c r="M2174" s="14" t="s">
        <v>2099</v>
      </c>
      <c r="N2174" s="430">
        <v>4</v>
      </c>
      <c r="O2174" s="430">
        <v>4</v>
      </c>
      <c r="P2174" s="19">
        <v>4</v>
      </c>
      <c r="Q2174" s="19">
        <v>1</v>
      </c>
      <c r="R2174" s="19">
        <v>1</v>
      </c>
      <c r="S2174" s="19">
        <v>1</v>
      </c>
      <c r="T2174" s="18" t="s">
        <v>2100</v>
      </c>
      <c r="U2174" s="283" t="e">
        <v>#N/A</v>
      </c>
      <c r="V2174" s="283" t="s">
        <v>2101</v>
      </c>
      <c r="W2174" s="283">
        <v>1</v>
      </c>
      <c r="X2174" s="283">
        <v>0</v>
      </c>
      <c r="Y2174" s="283">
        <v>0</v>
      </c>
      <c r="Z2174" s="283">
        <v>0</v>
      </c>
      <c r="AA2174" s="283">
        <v>0</v>
      </c>
      <c r="AB2174" s="283">
        <v>1</v>
      </c>
      <c r="AC2174" s="316">
        <v>1</v>
      </c>
      <c r="AD2174" s="316">
        <v>1</v>
      </c>
      <c r="AE2174" s="302">
        <f t="shared" si="89"/>
        <v>0.5</v>
      </c>
      <c r="AF2174" s="310"/>
      <c r="AG2174" s="17">
        <v>0</v>
      </c>
      <c r="AH2174" s="310">
        <v>32</v>
      </c>
      <c r="AI2174" s="310">
        <v>39.999999999999545</v>
      </c>
      <c r="AJ2174" s="310">
        <v>40</v>
      </c>
      <c r="AK2174" s="317">
        <v>20</v>
      </c>
      <c r="AL2174" s="317">
        <v>20</v>
      </c>
      <c r="AM2174" s="147">
        <f t="shared" si="88"/>
        <v>40</v>
      </c>
      <c r="AN2174" s="283" t="s">
        <v>2102</v>
      </c>
      <c r="AO2174" s="18" t="s">
        <v>241</v>
      </c>
      <c r="AP2174" s="283" t="s">
        <v>2103</v>
      </c>
    </row>
    <row r="2175" spans="1:42" s="18" customFormat="1" x14ac:dyDescent="0.3">
      <c r="A2175" s="156" t="s">
        <v>1455</v>
      </c>
      <c r="B2175" s="18" t="s">
        <v>2061</v>
      </c>
      <c r="C2175" s="18">
        <v>111</v>
      </c>
      <c r="D2175" s="18" t="s">
        <v>2063</v>
      </c>
      <c r="E2175" s="18">
        <v>1111</v>
      </c>
      <c r="F2175" s="157" t="s">
        <v>2064</v>
      </c>
      <c r="G2175" s="157">
        <v>111102</v>
      </c>
      <c r="H2175" s="18" t="s">
        <v>2097</v>
      </c>
      <c r="K2175" s="157">
        <v>11110201</v>
      </c>
      <c r="L2175" s="18" t="s">
        <v>2098</v>
      </c>
      <c r="M2175" s="14" t="s">
        <v>2104</v>
      </c>
      <c r="N2175" s="430">
        <v>0</v>
      </c>
      <c r="O2175" s="430">
        <v>10</v>
      </c>
      <c r="P2175" s="19">
        <v>10</v>
      </c>
      <c r="Q2175" s="19">
        <v>10</v>
      </c>
      <c r="R2175" s="19">
        <v>5</v>
      </c>
      <c r="S2175" s="19">
        <v>5</v>
      </c>
      <c r="T2175" s="18" t="s">
        <v>2100</v>
      </c>
      <c r="U2175" s="283" t="e">
        <v>#N/A</v>
      </c>
      <c r="V2175" s="283" t="s">
        <v>2105</v>
      </c>
      <c r="W2175" s="283">
        <v>1</v>
      </c>
      <c r="X2175" s="283">
        <v>0</v>
      </c>
      <c r="Y2175" s="283">
        <v>0</v>
      </c>
      <c r="Z2175" s="283">
        <v>0</v>
      </c>
      <c r="AA2175" s="283">
        <v>0</v>
      </c>
      <c r="AB2175" s="283">
        <v>1</v>
      </c>
      <c r="AC2175" s="316">
        <v>1</v>
      </c>
      <c r="AD2175" s="316">
        <v>0</v>
      </c>
      <c r="AE2175" s="302">
        <f t="shared" si="89"/>
        <v>0.375</v>
      </c>
      <c r="AF2175" s="310"/>
      <c r="AG2175" s="17">
        <v>0</v>
      </c>
      <c r="AH2175" s="310">
        <v>4</v>
      </c>
      <c r="AI2175" s="310">
        <v>4</v>
      </c>
      <c r="AJ2175" s="310">
        <v>8</v>
      </c>
      <c r="AK2175" s="317">
        <v>0</v>
      </c>
      <c r="AL2175" s="317">
        <v>0</v>
      </c>
      <c r="AM2175" s="147">
        <f t="shared" si="88"/>
        <v>0</v>
      </c>
      <c r="AN2175" s="283" t="s">
        <v>2102</v>
      </c>
      <c r="AO2175" s="18" t="s">
        <v>241</v>
      </c>
      <c r="AP2175" s="283" t="s">
        <v>2103</v>
      </c>
    </row>
    <row r="2176" spans="1:42" s="18" customFormat="1" x14ac:dyDescent="0.3">
      <c r="A2176" s="156" t="s">
        <v>1455</v>
      </c>
      <c r="B2176" s="18" t="s">
        <v>2061</v>
      </c>
      <c r="C2176" s="18">
        <v>111</v>
      </c>
      <c r="D2176" s="18" t="s">
        <v>2063</v>
      </c>
      <c r="E2176" s="18">
        <v>1111</v>
      </c>
      <c r="F2176" s="157" t="s">
        <v>2064</v>
      </c>
      <c r="G2176" s="157">
        <v>111102</v>
      </c>
      <c r="H2176" s="18" t="s">
        <v>2097</v>
      </c>
      <c r="K2176" s="157">
        <v>11110201</v>
      </c>
      <c r="L2176" s="18" t="s">
        <v>2098</v>
      </c>
      <c r="M2176" s="14" t="s">
        <v>2106</v>
      </c>
      <c r="N2176" s="430">
        <v>0</v>
      </c>
      <c r="O2176" s="430">
        <v>9</v>
      </c>
      <c r="P2176" s="19">
        <v>9</v>
      </c>
      <c r="Q2176" s="19">
        <v>9</v>
      </c>
      <c r="R2176" s="19">
        <v>9</v>
      </c>
      <c r="S2176" s="19">
        <v>9</v>
      </c>
      <c r="T2176" s="18" t="s">
        <v>2100</v>
      </c>
      <c r="U2176" s="283" t="e">
        <v>#N/A</v>
      </c>
      <c r="V2176" s="283" t="s">
        <v>2107</v>
      </c>
      <c r="W2176" s="283">
        <v>1</v>
      </c>
      <c r="X2176" s="283">
        <v>0</v>
      </c>
      <c r="Y2176" s="283">
        <v>0</v>
      </c>
      <c r="Z2176" s="283">
        <v>1</v>
      </c>
      <c r="AA2176" s="283">
        <v>1</v>
      </c>
      <c r="AB2176" s="283">
        <v>1</v>
      </c>
      <c r="AC2176" s="316">
        <v>1</v>
      </c>
      <c r="AD2176" s="316">
        <v>0</v>
      </c>
      <c r="AE2176" s="302">
        <f t="shared" si="89"/>
        <v>0.625</v>
      </c>
      <c r="AF2176" s="310"/>
      <c r="AG2176" s="17">
        <v>0</v>
      </c>
      <c r="AH2176" s="310">
        <v>10.8</v>
      </c>
      <c r="AI2176" s="310">
        <v>10.8</v>
      </c>
      <c r="AJ2176" s="310">
        <v>10.8</v>
      </c>
      <c r="AK2176" s="317">
        <v>10.8</v>
      </c>
      <c r="AL2176" s="317">
        <v>10.8</v>
      </c>
      <c r="AM2176" s="147">
        <f t="shared" si="88"/>
        <v>21.6</v>
      </c>
      <c r="AN2176" s="283" t="s">
        <v>2102</v>
      </c>
      <c r="AO2176" s="18" t="s">
        <v>241</v>
      </c>
      <c r="AP2176" s="283" t="s">
        <v>2103</v>
      </c>
    </row>
    <row r="2177" spans="1:42" s="18" customFormat="1" x14ac:dyDescent="0.3">
      <c r="A2177" s="156" t="s">
        <v>1455</v>
      </c>
      <c r="B2177" s="18" t="s">
        <v>2061</v>
      </c>
      <c r="C2177" s="18">
        <v>111</v>
      </c>
      <c r="D2177" s="18" t="s">
        <v>2063</v>
      </c>
      <c r="E2177" s="18">
        <v>1111</v>
      </c>
      <c r="F2177" s="157" t="s">
        <v>2064</v>
      </c>
      <c r="G2177" s="157">
        <v>111102</v>
      </c>
      <c r="H2177" s="18" t="s">
        <v>2097</v>
      </c>
      <c r="K2177" s="157">
        <v>11110201</v>
      </c>
      <c r="L2177" s="18" t="s">
        <v>2098</v>
      </c>
      <c r="M2177" s="14" t="s">
        <v>2108</v>
      </c>
      <c r="N2177" s="430">
        <v>0</v>
      </c>
      <c r="O2177" s="430">
        <v>4</v>
      </c>
      <c r="P2177" s="19">
        <v>8</v>
      </c>
      <c r="Q2177" s="19">
        <v>12</v>
      </c>
      <c r="R2177" s="19">
        <v>14</v>
      </c>
      <c r="S2177" s="19">
        <v>16</v>
      </c>
      <c r="T2177" s="18" t="s">
        <v>2100</v>
      </c>
      <c r="U2177" s="283" t="e">
        <v>#N/A</v>
      </c>
      <c r="V2177" s="283" t="s">
        <v>2109</v>
      </c>
      <c r="W2177" s="283">
        <v>1</v>
      </c>
      <c r="X2177" s="283">
        <v>0</v>
      </c>
      <c r="Y2177" s="283">
        <v>1</v>
      </c>
      <c r="Z2177" s="283">
        <v>0</v>
      </c>
      <c r="AA2177" s="283">
        <v>0</v>
      </c>
      <c r="AB2177" s="283">
        <v>0</v>
      </c>
      <c r="AC2177" s="316">
        <v>1</v>
      </c>
      <c r="AD2177" s="316">
        <v>1</v>
      </c>
      <c r="AE2177" s="302">
        <f t="shared" si="89"/>
        <v>0.5</v>
      </c>
      <c r="AF2177" s="310"/>
      <c r="AG2177" s="17">
        <v>0</v>
      </c>
      <c r="AH2177" s="310">
        <v>4</v>
      </c>
      <c r="AI2177" s="310">
        <v>4</v>
      </c>
      <c r="AJ2177" s="310">
        <v>4</v>
      </c>
      <c r="AK2177" s="317">
        <v>2</v>
      </c>
      <c r="AL2177" s="317">
        <v>2</v>
      </c>
      <c r="AM2177" s="147">
        <f t="shared" si="88"/>
        <v>4</v>
      </c>
      <c r="AN2177" s="283" t="s">
        <v>2102</v>
      </c>
      <c r="AO2177" s="18" t="s">
        <v>241</v>
      </c>
      <c r="AP2177" s="283" t="s">
        <v>2103</v>
      </c>
    </row>
    <row r="2178" spans="1:42" s="18" customFormat="1" x14ac:dyDescent="0.3">
      <c r="A2178" s="156" t="s">
        <v>1455</v>
      </c>
      <c r="B2178" s="18" t="s">
        <v>2061</v>
      </c>
      <c r="C2178" s="18">
        <v>111</v>
      </c>
      <c r="D2178" s="18" t="s">
        <v>2063</v>
      </c>
      <c r="E2178" s="18">
        <v>1111</v>
      </c>
      <c r="F2178" s="157" t="s">
        <v>2064</v>
      </c>
      <c r="G2178" s="157">
        <v>111102</v>
      </c>
      <c r="H2178" s="18" t="s">
        <v>2097</v>
      </c>
      <c r="K2178" s="157">
        <v>11110202</v>
      </c>
      <c r="L2178" s="18" t="s">
        <v>2110</v>
      </c>
      <c r="M2178" s="14" t="s">
        <v>2111</v>
      </c>
      <c r="N2178" s="430" t="s">
        <v>2112</v>
      </c>
      <c r="O2178" s="430">
        <v>5</v>
      </c>
      <c r="P2178" s="19">
        <v>5</v>
      </c>
      <c r="Q2178" s="19">
        <v>2</v>
      </c>
      <c r="R2178" s="19">
        <v>1</v>
      </c>
      <c r="S2178" s="19">
        <v>1</v>
      </c>
      <c r="T2178" s="18" t="s">
        <v>2100</v>
      </c>
      <c r="U2178" s="283" t="e">
        <v>#N/A</v>
      </c>
      <c r="V2178" s="283" t="s">
        <v>2113</v>
      </c>
      <c r="W2178" s="283">
        <v>1</v>
      </c>
      <c r="X2178" s="283">
        <v>0</v>
      </c>
      <c r="Y2178" s="283">
        <v>0</v>
      </c>
      <c r="Z2178" s="283">
        <v>1</v>
      </c>
      <c r="AA2178" s="283">
        <v>0</v>
      </c>
      <c r="AB2178" s="283">
        <v>1</v>
      </c>
      <c r="AC2178" s="316">
        <v>1</v>
      </c>
      <c r="AD2178" s="316">
        <v>1</v>
      </c>
      <c r="AE2178" s="302">
        <f t="shared" si="89"/>
        <v>0.625</v>
      </c>
      <c r="AF2178" s="310"/>
      <c r="AG2178" s="17">
        <v>0</v>
      </c>
      <c r="AH2178" s="310">
        <v>6</v>
      </c>
      <c r="AI2178" s="310">
        <v>6</v>
      </c>
      <c r="AJ2178" s="310">
        <v>4</v>
      </c>
      <c r="AK2178" s="317">
        <v>2</v>
      </c>
      <c r="AL2178" s="317">
        <v>2</v>
      </c>
      <c r="AM2178" s="147">
        <f t="shared" si="88"/>
        <v>4</v>
      </c>
      <c r="AN2178" s="283" t="s">
        <v>2102</v>
      </c>
      <c r="AO2178" s="18" t="s">
        <v>241</v>
      </c>
      <c r="AP2178" s="283" t="s">
        <v>2103</v>
      </c>
    </row>
    <row r="2179" spans="1:42" s="18" customFormat="1" x14ac:dyDescent="0.3">
      <c r="A2179" s="156" t="s">
        <v>1455</v>
      </c>
      <c r="B2179" s="18" t="s">
        <v>2061</v>
      </c>
      <c r="C2179" s="18">
        <v>111</v>
      </c>
      <c r="D2179" s="18" t="s">
        <v>2063</v>
      </c>
      <c r="E2179" s="18">
        <v>1111</v>
      </c>
      <c r="F2179" s="157" t="s">
        <v>2064</v>
      </c>
      <c r="G2179" s="157">
        <v>111102</v>
      </c>
      <c r="H2179" s="18" t="s">
        <v>2097</v>
      </c>
      <c r="K2179" s="157">
        <v>11110202</v>
      </c>
      <c r="L2179" s="18" t="s">
        <v>2110</v>
      </c>
      <c r="M2179" s="18" t="s">
        <v>2114</v>
      </c>
      <c r="N2179" s="430">
        <v>0</v>
      </c>
      <c r="O2179" s="430">
        <v>10</v>
      </c>
      <c r="P2179" s="19">
        <v>8</v>
      </c>
      <c r="Q2179" s="19">
        <v>2</v>
      </c>
      <c r="R2179" s="19">
        <v>2</v>
      </c>
      <c r="S2179" s="19">
        <v>2</v>
      </c>
      <c r="T2179" s="18" t="s">
        <v>2100</v>
      </c>
      <c r="U2179" s="283" t="e">
        <v>#N/A</v>
      </c>
      <c r="V2179" s="283" t="s">
        <v>2115</v>
      </c>
      <c r="W2179" s="283">
        <v>1</v>
      </c>
      <c r="X2179" s="283">
        <v>0</v>
      </c>
      <c r="Y2179" s="283">
        <v>0</v>
      </c>
      <c r="Z2179" s="283">
        <v>1</v>
      </c>
      <c r="AA2179" s="283">
        <v>0</v>
      </c>
      <c r="AB2179" s="283">
        <v>1</v>
      </c>
      <c r="AC2179" s="316">
        <v>1</v>
      </c>
      <c r="AD2179" s="316">
        <v>1</v>
      </c>
      <c r="AE2179" s="302">
        <f t="shared" si="89"/>
        <v>0.625</v>
      </c>
      <c r="AF2179" s="310"/>
      <c r="AG2179" s="17">
        <v>0</v>
      </c>
      <c r="AH2179" s="310">
        <v>8</v>
      </c>
      <c r="AI2179" s="310">
        <v>6</v>
      </c>
      <c r="AJ2179" s="310">
        <v>3</v>
      </c>
      <c r="AK2179" s="317">
        <v>3</v>
      </c>
      <c r="AL2179" s="317" t="s">
        <v>2089</v>
      </c>
      <c r="AM2179" s="147">
        <f t="shared" si="88"/>
        <v>3</v>
      </c>
      <c r="AN2179" s="283" t="s">
        <v>2102</v>
      </c>
      <c r="AO2179" s="18" t="s">
        <v>241</v>
      </c>
      <c r="AP2179" s="283" t="s">
        <v>2103</v>
      </c>
    </row>
    <row r="2180" spans="1:42" s="18" customFormat="1" x14ac:dyDescent="0.3">
      <c r="A2180" s="156" t="s">
        <v>1455</v>
      </c>
      <c r="B2180" s="18" t="s">
        <v>2061</v>
      </c>
      <c r="C2180" s="18">
        <v>111</v>
      </c>
      <c r="D2180" s="18" t="s">
        <v>2063</v>
      </c>
      <c r="E2180" s="18">
        <v>1111</v>
      </c>
      <c r="F2180" s="157" t="s">
        <v>2064</v>
      </c>
      <c r="G2180" s="157">
        <v>111102</v>
      </c>
      <c r="H2180" s="18" t="s">
        <v>2097</v>
      </c>
      <c r="K2180" s="157">
        <v>11110203</v>
      </c>
      <c r="L2180" s="18" t="s">
        <v>2116</v>
      </c>
      <c r="M2180" s="18" t="s">
        <v>2117</v>
      </c>
      <c r="N2180" s="430">
        <v>0</v>
      </c>
      <c r="O2180" s="430">
        <v>17</v>
      </c>
      <c r="P2180" s="19">
        <v>20</v>
      </c>
      <c r="Q2180" s="19">
        <v>3</v>
      </c>
      <c r="R2180" s="19">
        <v>3</v>
      </c>
      <c r="S2180" s="19">
        <v>5</v>
      </c>
      <c r="T2180" s="18" t="s">
        <v>2100</v>
      </c>
      <c r="U2180" s="283" t="e">
        <v>#N/A</v>
      </c>
      <c r="V2180" s="283" t="s">
        <v>2118</v>
      </c>
      <c r="W2180" s="283">
        <v>1</v>
      </c>
      <c r="X2180" s="283">
        <v>0</v>
      </c>
      <c r="Y2180" s="283">
        <v>0</v>
      </c>
      <c r="Z2180" s="283">
        <v>1</v>
      </c>
      <c r="AA2180" s="283">
        <v>0</v>
      </c>
      <c r="AB2180" s="283">
        <v>1</v>
      </c>
      <c r="AC2180" s="316">
        <v>1</v>
      </c>
      <c r="AD2180" s="316">
        <v>1</v>
      </c>
      <c r="AE2180" s="302">
        <f t="shared" si="89"/>
        <v>0.625</v>
      </c>
      <c r="AF2180" s="310"/>
      <c r="AG2180" s="17">
        <v>0</v>
      </c>
      <c r="AH2180" s="310">
        <v>6</v>
      </c>
      <c r="AI2180" s="310">
        <v>4</v>
      </c>
      <c r="AJ2180" s="310">
        <v>2</v>
      </c>
      <c r="AK2180" s="317">
        <v>2</v>
      </c>
      <c r="AL2180" s="317">
        <v>3</v>
      </c>
      <c r="AM2180" s="147">
        <f t="shared" si="88"/>
        <v>5</v>
      </c>
      <c r="AN2180" s="283" t="s">
        <v>2102</v>
      </c>
      <c r="AO2180" s="18" t="s">
        <v>241</v>
      </c>
      <c r="AP2180" s="283" t="s">
        <v>2103</v>
      </c>
    </row>
    <row r="2181" spans="1:42" s="18" customFormat="1" x14ac:dyDescent="0.3">
      <c r="A2181" s="156" t="s">
        <v>1455</v>
      </c>
      <c r="B2181" s="18" t="s">
        <v>2061</v>
      </c>
      <c r="C2181" s="18">
        <v>111</v>
      </c>
      <c r="D2181" s="18" t="s">
        <v>2063</v>
      </c>
      <c r="E2181" s="18">
        <v>1111</v>
      </c>
      <c r="F2181" s="157" t="s">
        <v>2064</v>
      </c>
      <c r="G2181" s="157">
        <v>111102</v>
      </c>
      <c r="H2181" s="18" t="s">
        <v>2097</v>
      </c>
      <c r="K2181" s="157">
        <v>11110204</v>
      </c>
      <c r="L2181" s="18" t="s">
        <v>2119</v>
      </c>
      <c r="M2181" s="18" t="s">
        <v>2120</v>
      </c>
      <c r="N2181" s="430" t="s">
        <v>271</v>
      </c>
      <c r="O2181" s="430">
        <v>15</v>
      </c>
      <c r="P2181" s="19">
        <v>7</v>
      </c>
      <c r="Q2181" s="19">
        <v>5</v>
      </c>
      <c r="R2181" s="19">
        <v>5</v>
      </c>
      <c r="S2181" s="19">
        <v>5</v>
      </c>
      <c r="T2181" s="18" t="s">
        <v>2100</v>
      </c>
      <c r="U2181" s="283" t="e">
        <v>#N/A</v>
      </c>
      <c r="V2181" s="283" t="s">
        <v>2121</v>
      </c>
      <c r="W2181" s="283">
        <v>1</v>
      </c>
      <c r="X2181" s="283">
        <v>0</v>
      </c>
      <c r="Y2181" s="283">
        <v>0</v>
      </c>
      <c r="Z2181" s="283">
        <v>1</v>
      </c>
      <c r="AA2181" s="283">
        <v>1</v>
      </c>
      <c r="AB2181" s="283">
        <v>1</v>
      </c>
      <c r="AC2181" s="316">
        <v>1</v>
      </c>
      <c r="AD2181" s="316">
        <v>1</v>
      </c>
      <c r="AE2181" s="302">
        <f t="shared" si="89"/>
        <v>0.75</v>
      </c>
      <c r="AF2181" s="310"/>
      <c r="AG2181" s="17">
        <v>0</v>
      </c>
      <c r="AH2181" s="310">
        <v>6</v>
      </c>
      <c r="AI2181" s="310">
        <v>4</v>
      </c>
      <c r="AJ2181" s="310">
        <v>3</v>
      </c>
      <c r="AK2181" s="317">
        <v>3</v>
      </c>
      <c r="AL2181" s="317">
        <v>3</v>
      </c>
      <c r="AM2181" s="147">
        <f t="shared" si="88"/>
        <v>6</v>
      </c>
      <c r="AN2181" s="283" t="s">
        <v>2102</v>
      </c>
      <c r="AO2181" s="18" t="s">
        <v>241</v>
      </c>
      <c r="AP2181" s="283" t="s">
        <v>2103</v>
      </c>
    </row>
    <row r="2182" spans="1:42" s="18" customFormat="1" x14ac:dyDescent="0.3">
      <c r="A2182" s="156" t="s">
        <v>1455</v>
      </c>
      <c r="B2182" s="18" t="s">
        <v>2061</v>
      </c>
      <c r="C2182" s="18">
        <v>111</v>
      </c>
      <c r="D2182" s="18" t="s">
        <v>2063</v>
      </c>
      <c r="E2182" s="18">
        <v>1111</v>
      </c>
      <c r="F2182" s="157" t="s">
        <v>2064</v>
      </c>
      <c r="G2182" s="157">
        <v>111102</v>
      </c>
      <c r="H2182" s="18" t="s">
        <v>2097</v>
      </c>
      <c r="K2182" s="157">
        <v>11110205</v>
      </c>
      <c r="L2182" s="18" t="s">
        <v>2122</v>
      </c>
      <c r="M2182" s="18" t="s">
        <v>2123</v>
      </c>
      <c r="N2182" s="430">
        <v>1</v>
      </c>
      <c r="O2182" s="430">
        <v>4</v>
      </c>
      <c r="P2182" s="19">
        <v>4</v>
      </c>
      <c r="Q2182" s="19">
        <v>3</v>
      </c>
      <c r="R2182" s="19">
        <v>2</v>
      </c>
      <c r="S2182" s="19">
        <v>2</v>
      </c>
      <c r="T2182" s="18" t="s">
        <v>2100</v>
      </c>
      <c r="U2182" s="283" t="e">
        <v>#N/A</v>
      </c>
      <c r="V2182" s="283" t="s">
        <v>2124</v>
      </c>
      <c r="W2182" s="283">
        <v>1</v>
      </c>
      <c r="X2182" s="283">
        <v>0</v>
      </c>
      <c r="Y2182" s="283">
        <v>0</v>
      </c>
      <c r="Z2182" s="283">
        <v>1</v>
      </c>
      <c r="AA2182" s="283">
        <v>0</v>
      </c>
      <c r="AB2182" s="283">
        <v>1</v>
      </c>
      <c r="AC2182" s="316">
        <v>1</v>
      </c>
      <c r="AD2182" s="316">
        <v>1</v>
      </c>
      <c r="AE2182" s="302">
        <f t="shared" si="89"/>
        <v>0.625</v>
      </c>
      <c r="AF2182" s="310"/>
      <c r="AG2182" s="17">
        <v>0</v>
      </c>
      <c r="AH2182" s="310">
        <v>6.71</v>
      </c>
      <c r="AI2182" s="310">
        <v>10</v>
      </c>
      <c r="AJ2182" s="310">
        <v>10</v>
      </c>
      <c r="AK2182" s="317">
        <v>20</v>
      </c>
      <c r="AL2182" s="317">
        <v>20</v>
      </c>
      <c r="AM2182" s="147">
        <f t="shared" si="88"/>
        <v>40</v>
      </c>
      <c r="AN2182" s="283" t="s">
        <v>2102</v>
      </c>
      <c r="AO2182" s="18" t="s">
        <v>241</v>
      </c>
      <c r="AP2182" s="283" t="s">
        <v>2103</v>
      </c>
    </row>
    <row r="2183" spans="1:42" s="18" customFormat="1" x14ac:dyDescent="0.3">
      <c r="A2183" s="156" t="s">
        <v>1455</v>
      </c>
      <c r="B2183" s="18" t="s">
        <v>2061</v>
      </c>
      <c r="C2183" s="18">
        <v>111</v>
      </c>
      <c r="D2183" s="18" t="s">
        <v>2063</v>
      </c>
      <c r="E2183" s="18">
        <v>1111</v>
      </c>
      <c r="F2183" s="157" t="s">
        <v>2064</v>
      </c>
      <c r="G2183" s="157">
        <v>111102</v>
      </c>
      <c r="H2183" s="18" t="s">
        <v>2097</v>
      </c>
      <c r="K2183" s="157">
        <v>11110205</v>
      </c>
      <c r="L2183" s="18" t="s">
        <v>2122</v>
      </c>
      <c r="M2183" s="18" t="s">
        <v>2125</v>
      </c>
      <c r="N2183" s="430">
        <v>0</v>
      </c>
      <c r="O2183" s="430">
        <v>4</v>
      </c>
      <c r="P2183" s="19">
        <v>4</v>
      </c>
      <c r="Q2183" s="19">
        <v>3</v>
      </c>
      <c r="R2183" s="19">
        <v>2</v>
      </c>
      <c r="S2183" s="19">
        <v>2</v>
      </c>
      <c r="T2183" s="18" t="s">
        <v>2100</v>
      </c>
      <c r="U2183" s="283" t="e">
        <v>#N/A</v>
      </c>
      <c r="V2183" s="283" t="s">
        <v>2126</v>
      </c>
      <c r="W2183" s="283">
        <v>1</v>
      </c>
      <c r="X2183" s="283">
        <v>0</v>
      </c>
      <c r="Y2183" s="283">
        <v>0</v>
      </c>
      <c r="Z2183" s="283">
        <v>1</v>
      </c>
      <c r="AA2183" s="283">
        <v>0</v>
      </c>
      <c r="AB2183" s="283">
        <v>1</v>
      </c>
      <c r="AC2183" s="316">
        <v>1</v>
      </c>
      <c r="AD2183" s="316">
        <v>1</v>
      </c>
      <c r="AE2183" s="302">
        <f t="shared" si="89"/>
        <v>0.625</v>
      </c>
      <c r="AF2183" s="17"/>
      <c r="AG2183" s="17">
        <v>0</v>
      </c>
      <c r="AH2183" s="17">
        <v>0</v>
      </c>
      <c r="AI2183" s="17">
        <v>0</v>
      </c>
      <c r="AJ2183" s="17">
        <v>0</v>
      </c>
      <c r="AK2183" s="153">
        <v>0</v>
      </c>
      <c r="AL2183" s="154">
        <v>0</v>
      </c>
      <c r="AM2183" s="147">
        <f t="shared" si="88"/>
        <v>0</v>
      </c>
      <c r="AN2183" s="283" t="s">
        <v>2102</v>
      </c>
      <c r="AO2183" s="18" t="s">
        <v>241</v>
      </c>
      <c r="AP2183" s="283" t="s">
        <v>2103</v>
      </c>
    </row>
    <row r="2184" spans="1:42" s="18" customFormat="1" x14ac:dyDescent="0.3">
      <c r="A2184" s="156" t="s">
        <v>1455</v>
      </c>
      <c r="B2184" s="18" t="s">
        <v>2061</v>
      </c>
      <c r="C2184" s="18">
        <v>111</v>
      </c>
      <c r="D2184" s="18" t="s">
        <v>2063</v>
      </c>
      <c r="E2184" s="18">
        <v>1111</v>
      </c>
      <c r="F2184" s="157" t="s">
        <v>2064</v>
      </c>
      <c r="G2184" s="157">
        <v>111103</v>
      </c>
      <c r="H2184" s="157" t="s">
        <v>2127</v>
      </c>
      <c r="I2184" s="157"/>
      <c r="J2184" s="157"/>
      <c r="K2184" s="157">
        <v>11110301</v>
      </c>
      <c r="L2184" s="157" t="s">
        <v>2128</v>
      </c>
      <c r="M2184" s="157" t="s">
        <v>2129</v>
      </c>
      <c r="N2184" s="430">
        <v>0</v>
      </c>
      <c r="O2184" s="430" t="s">
        <v>271</v>
      </c>
      <c r="P2184" s="19" t="s">
        <v>271</v>
      </c>
      <c r="Q2184" s="19" t="s">
        <v>271</v>
      </c>
      <c r="R2184" s="19">
        <v>1</v>
      </c>
      <c r="S2184" s="19" t="s">
        <v>271</v>
      </c>
      <c r="T2184" s="18" t="s">
        <v>2072</v>
      </c>
      <c r="U2184" s="283" t="e">
        <v>#N/A</v>
      </c>
      <c r="V2184" s="283" t="s">
        <v>2130</v>
      </c>
      <c r="W2184" s="283">
        <v>1</v>
      </c>
      <c r="X2184" s="283">
        <v>0</v>
      </c>
      <c r="Y2184" s="283">
        <v>0</v>
      </c>
      <c r="Z2184" s="283">
        <v>1</v>
      </c>
      <c r="AA2184" s="283">
        <v>0</v>
      </c>
      <c r="AB2184" s="283">
        <v>1</v>
      </c>
      <c r="AC2184" s="316">
        <v>0</v>
      </c>
      <c r="AD2184" s="316">
        <v>1</v>
      </c>
      <c r="AE2184" s="302">
        <f t="shared" si="89"/>
        <v>0.5</v>
      </c>
      <c r="AF2184" s="17"/>
      <c r="AG2184" s="17">
        <v>0</v>
      </c>
      <c r="AH2184" s="17">
        <v>0</v>
      </c>
      <c r="AI2184" s="310">
        <v>22.67</v>
      </c>
      <c r="AJ2184" s="310">
        <v>22.67</v>
      </c>
      <c r="AK2184" s="317">
        <v>24.637</v>
      </c>
      <c r="AL2184" s="317">
        <v>3.52</v>
      </c>
      <c r="AM2184" s="147">
        <f t="shared" si="88"/>
        <v>28.157</v>
      </c>
      <c r="AN2184" s="283" t="s">
        <v>2074</v>
      </c>
      <c r="AO2184" s="18" t="s">
        <v>2075</v>
      </c>
      <c r="AP2184" s="283" t="s">
        <v>2131</v>
      </c>
    </row>
    <row r="2185" spans="1:42" s="18" customFormat="1" x14ac:dyDescent="0.3">
      <c r="A2185" s="156" t="s">
        <v>1455</v>
      </c>
      <c r="B2185" s="18" t="s">
        <v>2061</v>
      </c>
      <c r="C2185" s="18">
        <v>111</v>
      </c>
      <c r="D2185" s="18" t="s">
        <v>2063</v>
      </c>
      <c r="E2185" s="18">
        <v>1111</v>
      </c>
      <c r="F2185" s="157" t="s">
        <v>2064</v>
      </c>
      <c r="G2185" s="157">
        <v>111103</v>
      </c>
      <c r="H2185" s="157" t="s">
        <v>2127</v>
      </c>
      <c r="I2185" s="157"/>
      <c r="J2185" s="157"/>
      <c r="K2185" s="157">
        <v>11110301</v>
      </c>
      <c r="L2185" s="157" t="s">
        <v>2128</v>
      </c>
      <c r="M2185" s="157"/>
      <c r="N2185" s="430"/>
      <c r="O2185" s="430"/>
      <c r="P2185" s="19"/>
      <c r="Q2185" s="19"/>
      <c r="R2185" s="19"/>
      <c r="S2185" s="19"/>
      <c r="U2185" s="283" t="e">
        <v>#N/A</v>
      </c>
      <c r="V2185" s="283" t="s">
        <v>2132</v>
      </c>
      <c r="W2185" s="283">
        <v>1</v>
      </c>
      <c r="X2185" s="283">
        <v>0</v>
      </c>
      <c r="Y2185" s="283">
        <v>0</v>
      </c>
      <c r="Z2185" s="283">
        <v>1</v>
      </c>
      <c r="AA2185" s="283">
        <v>0</v>
      </c>
      <c r="AB2185" s="283">
        <v>1</v>
      </c>
      <c r="AC2185" s="316">
        <v>0</v>
      </c>
      <c r="AD2185" s="316">
        <v>1</v>
      </c>
      <c r="AE2185" s="302">
        <f t="shared" si="89"/>
        <v>0.5</v>
      </c>
      <c r="AF2185" s="17"/>
      <c r="AG2185" s="17">
        <v>0</v>
      </c>
      <c r="AH2185" s="17">
        <v>0</v>
      </c>
      <c r="AI2185" s="17">
        <v>0</v>
      </c>
      <c r="AJ2185" s="17">
        <v>0</v>
      </c>
      <c r="AK2185" s="153">
        <v>0</v>
      </c>
      <c r="AL2185" s="154">
        <v>0</v>
      </c>
      <c r="AM2185" s="147">
        <f t="shared" si="88"/>
        <v>0</v>
      </c>
      <c r="AN2185" s="283" t="s">
        <v>2074</v>
      </c>
      <c r="AO2185" s="18" t="s">
        <v>2075</v>
      </c>
      <c r="AP2185" s="283" t="s">
        <v>2131</v>
      </c>
    </row>
    <row r="2186" spans="1:42" s="18" customFormat="1" x14ac:dyDescent="0.3">
      <c r="A2186" s="156" t="s">
        <v>1455</v>
      </c>
      <c r="B2186" s="18" t="s">
        <v>2061</v>
      </c>
      <c r="C2186" s="18">
        <v>111</v>
      </c>
      <c r="D2186" s="18" t="s">
        <v>2063</v>
      </c>
      <c r="E2186" s="18">
        <v>1111</v>
      </c>
      <c r="F2186" s="157" t="s">
        <v>2064</v>
      </c>
      <c r="G2186" s="157">
        <v>111103</v>
      </c>
      <c r="H2186" s="157" t="s">
        <v>2127</v>
      </c>
      <c r="I2186" s="157"/>
      <c r="J2186" s="157"/>
      <c r="K2186" s="157">
        <v>11110301</v>
      </c>
      <c r="L2186" s="157" t="s">
        <v>2128</v>
      </c>
      <c r="M2186" s="157"/>
      <c r="N2186" s="430"/>
      <c r="O2186" s="430"/>
      <c r="P2186" s="19"/>
      <c r="Q2186" s="19"/>
      <c r="R2186" s="19"/>
      <c r="S2186" s="19"/>
      <c r="U2186" s="283" t="e">
        <v>#N/A</v>
      </c>
      <c r="V2186" s="283" t="s">
        <v>2133</v>
      </c>
      <c r="W2186" s="283">
        <v>1</v>
      </c>
      <c r="X2186" s="283">
        <v>0</v>
      </c>
      <c r="Y2186" s="283">
        <v>0</v>
      </c>
      <c r="Z2186" s="283">
        <v>1</v>
      </c>
      <c r="AA2186" s="283">
        <v>0</v>
      </c>
      <c r="AB2186" s="283">
        <v>1</v>
      </c>
      <c r="AC2186" s="316">
        <v>0</v>
      </c>
      <c r="AD2186" s="316">
        <v>1</v>
      </c>
      <c r="AE2186" s="302">
        <f t="shared" si="89"/>
        <v>0.5</v>
      </c>
      <c r="AF2186" s="17"/>
      <c r="AG2186" s="17">
        <v>0</v>
      </c>
      <c r="AH2186" s="17">
        <v>0</v>
      </c>
      <c r="AI2186" s="17">
        <v>0</v>
      </c>
      <c r="AJ2186" s="17">
        <v>0</v>
      </c>
      <c r="AK2186" s="153">
        <v>5.6710000000000003</v>
      </c>
      <c r="AL2186" s="154">
        <v>3.2349999999999999</v>
      </c>
      <c r="AM2186" s="147">
        <f t="shared" si="88"/>
        <v>8.9060000000000006</v>
      </c>
      <c r="AN2186" s="283" t="s">
        <v>2074</v>
      </c>
      <c r="AO2186" s="18" t="s">
        <v>2075</v>
      </c>
      <c r="AP2186" s="283" t="s">
        <v>2131</v>
      </c>
    </row>
    <row r="2187" spans="1:42" s="18" customFormat="1" x14ac:dyDescent="0.3">
      <c r="A2187" s="156" t="s">
        <v>1455</v>
      </c>
      <c r="B2187" s="18" t="s">
        <v>2061</v>
      </c>
      <c r="C2187" s="18">
        <v>111</v>
      </c>
      <c r="D2187" s="18" t="s">
        <v>2063</v>
      </c>
      <c r="E2187" s="18">
        <v>1111</v>
      </c>
      <c r="F2187" s="157" t="s">
        <v>2064</v>
      </c>
      <c r="G2187" s="157">
        <v>111103</v>
      </c>
      <c r="H2187" s="157" t="s">
        <v>2127</v>
      </c>
      <c r="I2187" s="157"/>
      <c r="J2187" s="157"/>
      <c r="K2187" s="157">
        <v>11110302</v>
      </c>
      <c r="L2187" s="157" t="s">
        <v>2134</v>
      </c>
      <c r="M2187" s="157" t="s">
        <v>2135</v>
      </c>
      <c r="N2187" s="430">
        <v>58</v>
      </c>
      <c r="O2187" s="430">
        <v>100</v>
      </c>
      <c r="P2187" s="19">
        <v>150</v>
      </c>
      <c r="Q2187" s="19">
        <v>200</v>
      </c>
      <c r="R2187" s="19">
        <v>250</v>
      </c>
      <c r="S2187" s="19">
        <v>300</v>
      </c>
      <c r="T2187" s="18" t="s">
        <v>2072</v>
      </c>
      <c r="U2187" s="283" t="e">
        <v>#N/A</v>
      </c>
      <c r="V2187" s="320" t="s">
        <v>2136</v>
      </c>
      <c r="W2187" s="283">
        <v>1</v>
      </c>
      <c r="X2187" s="283">
        <v>0</v>
      </c>
      <c r="Y2187" s="283">
        <v>0</v>
      </c>
      <c r="Z2187" s="283">
        <v>1</v>
      </c>
      <c r="AA2187" s="283">
        <v>1</v>
      </c>
      <c r="AB2187" s="283">
        <v>1</v>
      </c>
      <c r="AC2187" s="316">
        <v>0</v>
      </c>
      <c r="AD2187" s="316">
        <v>1</v>
      </c>
      <c r="AE2187" s="302">
        <f t="shared" si="89"/>
        <v>0.625</v>
      </c>
      <c r="AF2187" s="310"/>
      <c r="AG2187" s="17">
        <v>0</v>
      </c>
      <c r="AH2187" s="310">
        <v>5.0599999999999996</v>
      </c>
      <c r="AI2187" s="310">
        <v>5.0599999999999996</v>
      </c>
      <c r="AJ2187" s="310">
        <v>3.06</v>
      </c>
      <c r="AK2187" s="317">
        <v>20</v>
      </c>
      <c r="AL2187" s="317">
        <v>45.521000000000001</v>
      </c>
      <c r="AM2187" s="147">
        <f t="shared" si="88"/>
        <v>65.521000000000001</v>
      </c>
      <c r="AN2187" s="283" t="s">
        <v>2074</v>
      </c>
      <c r="AO2187" s="18" t="s">
        <v>2075</v>
      </c>
      <c r="AP2187" s="283" t="s">
        <v>2131</v>
      </c>
    </row>
    <row r="2188" spans="1:42" s="18" customFormat="1" x14ac:dyDescent="0.3">
      <c r="A2188" s="156" t="s">
        <v>1455</v>
      </c>
      <c r="B2188" s="18" t="s">
        <v>2061</v>
      </c>
      <c r="C2188" s="18">
        <v>111</v>
      </c>
      <c r="D2188" s="18" t="s">
        <v>2063</v>
      </c>
      <c r="E2188" s="18">
        <v>1111</v>
      </c>
      <c r="F2188" s="157" t="s">
        <v>2064</v>
      </c>
      <c r="G2188" s="157">
        <v>111103</v>
      </c>
      <c r="H2188" s="157" t="s">
        <v>2127</v>
      </c>
      <c r="I2188" s="157"/>
      <c r="J2188" s="157"/>
      <c r="K2188" s="157">
        <v>11110302</v>
      </c>
      <c r="L2188" s="157" t="s">
        <v>2134</v>
      </c>
      <c r="M2188" s="18" t="s">
        <v>2137</v>
      </c>
      <c r="N2188" s="430">
        <v>40</v>
      </c>
      <c r="O2188" s="430">
        <v>90</v>
      </c>
      <c r="P2188" s="19">
        <v>100</v>
      </c>
      <c r="Q2188" s="19">
        <v>200</v>
      </c>
      <c r="R2188" s="19">
        <v>200</v>
      </c>
      <c r="S2188" s="19">
        <v>250</v>
      </c>
      <c r="T2188" s="18" t="s">
        <v>2072</v>
      </c>
      <c r="U2188" s="283" t="e">
        <v>#N/A</v>
      </c>
      <c r="V2188" s="283" t="s">
        <v>2138</v>
      </c>
      <c r="W2188" s="283">
        <v>1</v>
      </c>
      <c r="X2188" s="283">
        <v>0</v>
      </c>
      <c r="Y2188" s="283">
        <v>0</v>
      </c>
      <c r="Z2188" s="283">
        <v>1</v>
      </c>
      <c r="AA2188" s="283">
        <v>1</v>
      </c>
      <c r="AB2188" s="283">
        <v>1</v>
      </c>
      <c r="AC2188" s="316">
        <v>0</v>
      </c>
      <c r="AD2188" s="316">
        <v>1</v>
      </c>
      <c r="AE2188" s="302">
        <f t="shared" si="89"/>
        <v>0.625</v>
      </c>
      <c r="AF2188" s="17">
        <v>0</v>
      </c>
      <c r="AG2188" s="17">
        <v>1</v>
      </c>
      <c r="AH2188" s="17">
        <v>0</v>
      </c>
      <c r="AI2188" s="17">
        <v>0</v>
      </c>
      <c r="AJ2188" s="17">
        <v>0</v>
      </c>
      <c r="AK2188" s="153">
        <v>0</v>
      </c>
      <c r="AL2188" s="154">
        <v>0</v>
      </c>
      <c r="AM2188" s="147">
        <f t="shared" si="88"/>
        <v>0</v>
      </c>
      <c r="AN2188" s="283" t="s">
        <v>2074</v>
      </c>
      <c r="AO2188" s="18" t="s">
        <v>2075</v>
      </c>
      <c r="AP2188" s="283" t="s">
        <v>2131</v>
      </c>
    </row>
    <row r="2189" spans="1:42" s="18" customFormat="1" x14ac:dyDescent="0.3">
      <c r="A2189" s="156" t="s">
        <v>1455</v>
      </c>
      <c r="B2189" s="18" t="s">
        <v>2061</v>
      </c>
      <c r="C2189" s="18">
        <v>111</v>
      </c>
      <c r="D2189" s="18" t="s">
        <v>2063</v>
      </c>
      <c r="E2189" s="18">
        <v>1111</v>
      </c>
      <c r="F2189" s="157" t="s">
        <v>2064</v>
      </c>
      <c r="G2189" s="157">
        <v>111103</v>
      </c>
      <c r="H2189" s="157" t="s">
        <v>2127</v>
      </c>
      <c r="I2189" s="157"/>
      <c r="J2189" s="157"/>
      <c r="K2189" s="157">
        <v>11110302</v>
      </c>
      <c r="L2189" s="157" t="s">
        <v>2134</v>
      </c>
      <c r="N2189" s="430"/>
      <c r="O2189" s="430"/>
      <c r="P2189" s="19"/>
      <c r="Q2189" s="19"/>
      <c r="R2189" s="19"/>
      <c r="S2189" s="19"/>
      <c r="U2189" s="283" t="e">
        <v>#N/A</v>
      </c>
      <c r="V2189" s="283" t="s">
        <v>2139</v>
      </c>
      <c r="W2189" s="283"/>
      <c r="X2189" s="283"/>
      <c r="Y2189" s="283"/>
      <c r="Z2189" s="283"/>
      <c r="AA2189" s="283"/>
      <c r="AB2189" s="283"/>
      <c r="AC2189" s="316">
        <v>0</v>
      </c>
      <c r="AD2189" s="316">
        <v>0</v>
      </c>
      <c r="AE2189" s="302">
        <f t="shared" si="89"/>
        <v>0</v>
      </c>
      <c r="AF2189" s="17"/>
      <c r="AG2189" s="17">
        <v>0</v>
      </c>
      <c r="AH2189" s="17">
        <v>0</v>
      </c>
      <c r="AI2189" s="17">
        <v>0</v>
      </c>
      <c r="AJ2189" s="17">
        <v>0</v>
      </c>
      <c r="AK2189" s="153">
        <v>0</v>
      </c>
      <c r="AL2189" s="154">
        <v>0</v>
      </c>
      <c r="AM2189" s="147">
        <f t="shared" si="88"/>
        <v>0</v>
      </c>
      <c r="AN2189" s="283" t="s">
        <v>2074</v>
      </c>
      <c r="AO2189" s="18" t="s">
        <v>2075</v>
      </c>
      <c r="AP2189" s="283" t="s">
        <v>2131</v>
      </c>
    </row>
    <row r="2190" spans="1:42" s="18" customFormat="1" x14ac:dyDescent="0.3">
      <c r="A2190" s="156" t="s">
        <v>1455</v>
      </c>
      <c r="B2190" s="18" t="s">
        <v>2061</v>
      </c>
      <c r="C2190" s="18">
        <v>111</v>
      </c>
      <c r="D2190" s="18" t="s">
        <v>2063</v>
      </c>
      <c r="E2190" s="18">
        <v>1111</v>
      </c>
      <c r="F2190" s="157" t="s">
        <v>2064</v>
      </c>
      <c r="G2190" s="157">
        <v>111103</v>
      </c>
      <c r="H2190" s="157" t="s">
        <v>2127</v>
      </c>
      <c r="I2190" s="157"/>
      <c r="J2190" s="157"/>
      <c r="K2190" s="157">
        <v>11110302</v>
      </c>
      <c r="L2190" s="157" t="s">
        <v>2134</v>
      </c>
      <c r="N2190" s="430"/>
      <c r="O2190" s="430"/>
      <c r="P2190" s="19"/>
      <c r="Q2190" s="19"/>
      <c r="R2190" s="19"/>
      <c r="S2190" s="19"/>
      <c r="U2190" s="283" t="e">
        <v>#N/A</v>
      </c>
      <c r="V2190" s="283" t="s">
        <v>2140</v>
      </c>
      <c r="W2190" s="283"/>
      <c r="X2190" s="283"/>
      <c r="Y2190" s="283"/>
      <c r="Z2190" s="283"/>
      <c r="AA2190" s="283"/>
      <c r="AB2190" s="283"/>
      <c r="AC2190" s="316">
        <v>0</v>
      </c>
      <c r="AD2190" s="316">
        <v>0</v>
      </c>
      <c r="AE2190" s="302">
        <f t="shared" si="89"/>
        <v>0</v>
      </c>
      <c r="AF2190" s="17"/>
      <c r="AG2190" s="17">
        <v>0</v>
      </c>
      <c r="AH2190" s="17">
        <v>0</v>
      </c>
      <c r="AI2190" s="17">
        <v>0</v>
      </c>
      <c r="AJ2190" s="17">
        <v>0</v>
      </c>
      <c r="AK2190" s="153">
        <v>0</v>
      </c>
      <c r="AL2190" s="154">
        <v>0</v>
      </c>
      <c r="AM2190" s="147">
        <f t="shared" si="88"/>
        <v>0</v>
      </c>
      <c r="AN2190" s="283" t="s">
        <v>2074</v>
      </c>
      <c r="AO2190" s="18" t="s">
        <v>2075</v>
      </c>
      <c r="AP2190" s="283" t="s">
        <v>2131</v>
      </c>
    </row>
    <row r="2191" spans="1:42" s="18" customFormat="1" x14ac:dyDescent="0.3">
      <c r="A2191" s="156" t="s">
        <v>1455</v>
      </c>
      <c r="B2191" s="18" t="s">
        <v>2061</v>
      </c>
      <c r="C2191" s="18">
        <v>112</v>
      </c>
      <c r="D2191" s="18" t="s">
        <v>2141</v>
      </c>
      <c r="E2191" s="18">
        <v>1122</v>
      </c>
      <c r="F2191" s="157" t="s">
        <v>2142</v>
      </c>
      <c r="G2191" s="18">
        <v>112201</v>
      </c>
      <c r="H2191" s="18" t="s">
        <v>2143</v>
      </c>
      <c r="K2191" s="18">
        <v>11220101</v>
      </c>
      <c r="L2191" s="157" t="s">
        <v>2144</v>
      </c>
      <c r="M2191" s="157" t="s">
        <v>2145</v>
      </c>
      <c r="N2191" s="444">
        <v>0</v>
      </c>
      <c r="O2191" s="430">
        <v>1</v>
      </c>
      <c r="P2191" s="19" t="s">
        <v>271</v>
      </c>
      <c r="Q2191" s="19" t="s">
        <v>271</v>
      </c>
      <c r="R2191" s="19" t="s">
        <v>271</v>
      </c>
      <c r="S2191" s="19" t="s">
        <v>271</v>
      </c>
      <c r="T2191" s="18" t="s">
        <v>2072</v>
      </c>
      <c r="U2191" s="283" t="e">
        <v>#N/A</v>
      </c>
      <c r="V2191" s="309" t="s">
        <v>2146</v>
      </c>
      <c r="W2191" s="283"/>
      <c r="X2191" s="283"/>
      <c r="Y2191" s="283"/>
      <c r="Z2191" s="283"/>
      <c r="AA2191" s="283"/>
      <c r="AB2191" s="283"/>
      <c r="AC2191" s="316">
        <v>0</v>
      </c>
      <c r="AD2191" s="316">
        <v>0</v>
      </c>
      <c r="AE2191" s="302">
        <f t="shared" si="89"/>
        <v>0</v>
      </c>
      <c r="AF2191" s="310"/>
      <c r="AG2191" s="17">
        <v>0</v>
      </c>
      <c r="AH2191" s="310">
        <v>0.99399999999999999</v>
      </c>
      <c r="AI2191" s="310">
        <v>0.71</v>
      </c>
      <c r="AJ2191" s="310">
        <v>0</v>
      </c>
      <c r="AK2191" s="317">
        <v>0</v>
      </c>
      <c r="AL2191" s="317">
        <v>0</v>
      </c>
      <c r="AM2191" s="147">
        <f t="shared" si="88"/>
        <v>0</v>
      </c>
      <c r="AN2191" s="283" t="s">
        <v>2074</v>
      </c>
      <c r="AO2191" s="18" t="s">
        <v>2075</v>
      </c>
      <c r="AP2191" s="283" t="s">
        <v>2147</v>
      </c>
    </row>
    <row r="2192" spans="1:42" s="18" customFormat="1" x14ac:dyDescent="0.3">
      <c r="A2192" s="156" t="s">
        <v>1455</v>
      </c>
      <c r="B2192" s="18" t="s">
        <v>2061</v>
      </c>
      <c r="C2192" s="18">
        <v>112</v>
      </c>
      <c r="D2192" s="18" t="s">
        <v>2141</v>
      </c>
      <c r="E2192" s="18">
        <v>1122</v>
      </c>
      <c r="F2192" s="157" t="s">
        <v>2142</v>
      </c>
      <c r="G2192" s="18">
        <v>112201</v>
      </c>
      <c r="H2192" s="18" t="s">
        <v>2143</v>
      </c>
      <c r="K2192" s="18">
        <v>11220101</v>
      </c>
      <c r="L2192" s="157" t="s">
        <v>2144</v>
      </c>
      <c r="M2192" s="157"/>
      <c r="N2192" s="444"/>
      <c r="O2192" s="430"/>
      <c r="P2192" s="19"/>
      <c r="Q2192" s="19"/>
      <c r="R2192" s="19"/>
      <c r="S2192" s="19"/>
      <c r="U2192" s="283" t="e">
        <v>#N/A</v>
      </c>
      <c r="V2192" s="283" t="s">
        <v>2148</v>
      </c>
      <c r="W2192" s="283">
        <v>1</v>
      </c>
      <c r="X2192" s="283">
        <v>0</v>
      </c>
      <c r="Y2192" s="283">
        <v>0</v>
      </c>
      <c r="Z2192" s="283">
        <v>1</v>
      </c>
      <c r="AA2192" s="283">
        <v>1</v>
      </c>
      <c r="AB2192" s="283">
        <v>0</v>
      </c>
      <c r="AC2192" s="316">
        <v>1</v>
      </c>
      <c r="AD2192" s="316">
        <v>1</v>
      </c>
      <c r="AE2192" s="302">
        <f t="shared" si="89"/>
        <v>0.625</v>
      </c>
      <c r="AF2192" s="310"/>
      <c r="AG2192" s="17">
        <v>0</v>
      </c>
      <c r="AH2192" s="310">
        <v>0.9</v>
      </c>
      <c r="AI2192" s="310">
        <v>0.9</v>
      </c>
      <c r="AJ2192" s="310">
        <v>0.7</v>
      </c>
      <c r="AK2192" s="317">
        <v>0.7</v>
      </c>
      <c r="AL2192" s="317">
        <v>0.3</v>
      </c>
      <c r="AM2192" s="147">
        <f t="shared" si="88"/>
        <v>1</v>
      </c>
      <c r="AN2192" s="283" t="s">
        <v>2074</v>
      </c>
      <c r="AO2192" s="18" t="s">
        <v>2075</v>
      </c>
      <c r="AP2192" s="283" t="s">
        <v>2147</v>
      </c>
    </row>
    <row r="2193" spans="1:42" s="18" customFormat="1" x14ac:dyDescent="0.3">
      <c r="A2193" s="156" t="s">
        <v>1455</v>
      </c>
      <c r="B2193" s="18" t="s">
        <v>2061</v>
      </c>
      <c r="C2193" s="18">
        <v>112</v>
      </c>
      <c r="D2193" s="18" t="s">
        <v>2141</v>
      </c>
      <c r="E2193" s="18">
        <v>1122</v>
      </c>
      <c r="F2193" s="157" t="s">
        <v>2142</v>
      </c>
      <c r="G2193" s="18">
        <v>112201</v>
      </c>
      <c r="H2193" s="18" t="s">
        <v>2143</v>
      </c>
      <c r="K2193" s="18">
        <v>11220101</v>
      </c>
      <c r="L2193" s="157" t="s">
        <v>2144</v>
      </c>
      <c r="M2193" s="157"/>
      <c r="N2193" s="444"/>
      <c r="O2193" s="430"/>
      <c r="P2193" s="19"/>
      <c r="Q2193" s="19"/>
      <c r="R2193" s="19"/>
      <c r="S2193" s="19"/>
      <c r="U2193" s="283" t="e">
        <v>#N/A</v>
      </c>
      <c r="V2193" s="283" t="s">
        <v>2149</v>
      </c>
      <c r="W2193" s="283"/>
      <c r="X2193" s="283"/>
      <c r="Y2193" s="283"/>
      <c r="Z2193" s="283"/>
      <c r="AA2193" s="283"/>
      <c r="AB2193" s="283"/>
      <c r="AC2193" s="316">
        <v>0</v>
      </c>
      <c r="AD2193" s="316">
        <v>0</v>
      </c>
      <c r="AE2193" s="302">
        <f t="shared" si="89"/>
        <v>0</v>
      </c>
      <c r="AF2193" s="310"/>
      <c r="AG2193" s="17">
        <v>0</v>
      </c>
      <c r="AH2193" s="310">
        <v>0.1</v>
      </c>
      <c r="AI2193" s="310">
        <v>0.1</v>
      </c>
      <c r="AJ2193" s="310">
        <v>0.1</v>
      </c>
      <c r="AK2193" s="317">
        <v>0.1</v>
      </c>
      <c r="AL2193" s="317">
        <v>0.1</v>
      </c>
      <c r="AM2193" s="147">
        <f t="shared" si="88"/>
        <v>0.2</v>
      </c>
      <c r="AN2193" s="283" t="s">
        <v>2074</v>
      </c>
      <c r="AO2193" s="18" t="s">
        <v>2075</v>
      </c>
      <c r="AP2193" s="283" t="s">
        <v>2147</v>
      </c>
    </row>
    <row r="2194" spans="1:42" s="18" customFormat="1" x14ac:dyDescent="0.3">
      <c r="A2194" s="156" t="s">
        <v>1455</v>
      </c>
      <c r="B2194" s="18" t="s">
        <v>2061</v>
      </c>
      <c r="C2194" s="18">
        <v>112</v>
      </c>
      <c r="D2194" s="18" t="s">
        <v>2141</v>
      </c>
      <c r="E2194" s="18">
        <v>1122</v>
      </c>
      <c r="F2194" s="157" t="s">
        <v>2142</v>
      </c>
      <c r="G2194" s="18">
        <v>112201</v>
      </c>
      <c r="H2194" s="18" t="s">
        <v>2143</v>
      </c>
      <c r="K2194" s="18">
        <v>11220101</v>
      </c>
      <c r="L2194" s="157" t="s">
        <v>2144</v>
      </c>
      <c r="M2194" s="157"/>
      <c r="N2194" s="444"/>
      <c r="O2194" s="430"/>
      <c r="P2194" s="19"/>
      <c r="Q2194" s="19"/>
      <c r="R2194" s="19"/>
      <c r="S2194" s="19"/>
      <c r="U2194" s="283" t="e">
        <v>#N/A</v>
      </c>
      <c r="V2194" s="283" t="s">
        <v>2150</v>
      </c>
      <c r="W2194" s="283"/>
      <c r="X2194" s="283"/>
      <c r="Y2194" s="283"/>
      <c r="Z2194" s="283"/>
      <c r="AA2194" s="283"/>
      <c r="AB2194" s="283"/>
      <c r="AC2194" s="316">
        <v>0</v>
      </c>
      <c r="AD2194" s="316">
        <v>0</v>
      </c>
      <c r="AE2194" s="302">
        <f t="shared" si="89"/>
        <v>0</v>
      </c>
      <c r="AF2194" s="17"/>
      <c r="AG2194" s="17">
        <v>0</v>
      </c>
      <c r="AH2194" s="17">
        <v>0</v>
      </c>
      <c r="AI2194" s="17">
        <v>0</v>
      </c>
      <c r="AJ2194" s="17">
        <v>0</v>
      </c>
      <c r="AK2194" s="153">
        <v>0</v>
      </c>
      <c r="AL2194" s="154">
        <v>0</v>
      </c>
      <c r="AM2194" s="147">
        <f t="shared" ref="AM2194:AM2225" si="90">SUM(AK2194:AL2194)</f>
        <v>0</v>
      </c>
      <c r="AN2194" s="283" t="s">
        <v>723</v>
      </c>
      <c r="AO2194" s="18" t="s">
        <v>729</v>
      </c>
      <c r="AP2194" s="283" t="s">
        <v>2147</v>
      </c>
    </row>
    <row r="2195" spans="1:42" s="18" customFormat="1" x14ac:dyDescent="0.3">
      <c r="A2195" s="156" t="s">
        <v>1455</v>
      </c>
      <c r="B2195" s="18" t="s">
        <v>2061</v>
      </c>
      <c r="C2195" s="18">
        <v>112</v>
      </c>
      <c r="D2195" s="18" t="s">
        <v>2141</v>
      </c>
      <c r="E2195" s="18">
        <v>1122</v>
      </c>
      <c r="F2195" s="157" t="s">
        <v>2142</v>
      </c>
      <c r="G2195" s="18">
        <v>112201</v>
      </c>
      <c r="H2195" s="18" t="s">
        <v>2143</v>
      </c>
      <c r="K2195" s="18">
        <v>11220102</v>
      </c>
      <c r="L2195" s="161" t="s">
        <v>2151</v>
      </c>
      <c r="M2195" s="157" t="s">
        <v>2152</v>
      </c>
      <c r="N2195" s="444">
        <v>0</v>
      </c>
      <c r="O2195" s="430">
        <v>1</v>
      </c>
      <c r="P2195" s="19" t="s">
        <v>271</v>
      </c>
      <c r="Q2195" s="19" t="s">
        <v>271</v>
      </c>
      <c r="R2195" s="19" t="s">
        <v>271</v>
      </c>
      <c r="S2195" s="19" t="s">
        <v>271</v>
      </c>
      <c r="T2195" s="18" t="s">
        <v>2072</v>
      </c>
      <c r="U2195" s="283" t="e">
        <v>#N/A</v>
      </c>
      <c r="V2195" s="309" t="s">
        <v>2153</v>
      </c>
      <c r="W2195" s="283"/>
      <c r="X2195" s="283"/>
      <c r="Y2195" s="283"/>
      <c r="Z2195" s="283"/>
      <c r="AA2195" s="283"/>
      <c r="AB2195" s="283"/>
      <c r="AC2195" s="316">
        <v>0</v>
      </c>
      <c r="AD2195" s="316">
        <v>0</v>
      </c>
      <c r="AE2195" s="302">
        <f t="shared" si="89"/>
        <v>0</v>
      </c>
      <c r="AF2195" s="310"/>
      <c r="AG2195" s="17">
        <v>0</v>
      </c>
      <c r="AH2195" s="310">
        <v>3.9790000000000001</v>
      </c>
      <c r="AI2195" s="310">
        <v>4.9000000000000004</v>
      </c>
      <c r="AJ2195" s="310">
        <v>3.9790000000000001</v>
      </c>
      <c r="AK2195" s="317">
        <v>0</v>
      </c>
      <c r="AL2195" s="317">
        <v>0</v>
      </c>
      <c r="AM2195" s="147">
        <f t="shared" si="90"/>
        <v>0</v>
      </c>
      <c r="AN2195" s="283" t="s">
        <v>2074</v>
      </c>
      <c r="AO2195" s="18" t="s">
        <v>2075</v>
      </c>
      <c r="AP2195" s="283" t="s">
        <v>2154</v>
      </c>
    </row>
    <row r="2196" spans="1:42" s="18" customFormat="1" x14ac:dyDescent="0.3">
      <c r="A2196" s="156" t="s">
        <v>1455</v>
      </c>
      <c r="B2196" s="18" t="s">
        <v>2061</v>
      </c>
      <c r="C2196" s="18">
        <v>112</v>
      </c>
      <c r="D2196" s="18" t="s">
        <v>2141</v>
      </c>
      <c r="E2196" s="18">
        <v>1122</v>
      </c>
      <c r="F2196" s="157" t="s">
        <v>2142</v>
      </c>
      <c r="G2196" s="18">
        <v>112201</v>
      </c>
      <c r="H2196" s="18" t="s">
        <v>2143</v>
      </c>
      <c r="K2196" s="18">
        <v>11220102</v>
      </c>
      <c r="L2196" s="161" t="s">
        <v>2151</v>
      </c>
      <c r="M2196" s="157" t="s">
        <v>2155</v>
      </c>
      <c r="N2196" s="444">
        <v>0</v>
      </c>
      <c r="O2196" s="444">
        <v>2</v>
      </c>
      <c r="P2196" s="19">
        <v>10</v>
      </c>
      <c r="Q2196" s="19">
        <v>30</v>
      </c>
      <c r="R2196" s="19">
        <v>40</v>
      </c>
      <c r="S2196" s="19">
        <v>50</v>
      </c>
      <c r="T2196" s="18" t="s">
        <v>2072</v>
      </c>
      <c r="U2196" s="283" t="e">
        <v>#N/A</v>
      </c>
      <c r="V2196" s="320" t="s">
        <v>2156</v>
      </c>
      <c r="W2196" s="283">
        <v>1</v>
      </c>
      <c r="X2196" s="283">
        <v>0</v>
      </c>
      <c r="Y2196" s="283">
        <v>0</v>
      </c>
      <c r="Z2196" s="283">
        <v>1</v>
      </c>
      <c r="AA2196" s="283">
        <v>1</v>
      </c>
      <c r="AB2196" s="283">
        <v>0</v>
      </c>
      <c r="AC2196" s="316">
        <v>0</v>
      </c>
      <c r="AD2196" s="316">
        <v>0</v>
      </c>
      <c r="AE2196" s="302">
        <f t="shared" si="89"/>
        <v>0.375</v>
      </c>
      <c r="AF2196" s="310"/>
      <c r="AG2196" s="17">
        <v>1</v>
      </c>
      <c r="AH2196" s="310">
        <v>0.26600000000000001</v>
      </c>
      <c r="AI2196" s="310">
        <v>0.26600000000000001</v>
      </c>
      <c r="AJ2196" s="310">
        <v>0.26600000000000001</v>
      </c>
      <c r="AK2196" s="317">
        <v>0.90100000000000002</v>
      </c>
      <c r="AL2196" s="317">
        <v>0.27</v>
      </c>
      <c r="AM2196" s="147">
        <f t="shared" si="90"/>
        <v>1.171</v>
      </c>
      <c r="AN2196" s="283" t="s">
        <v>2074</v>
      </c>
      <c r="AO2196" s="18" t="s">
        <v>2075</v>
      </c>
      <c r="AP2196" s="283" t="s">
        <v>2154</v>
      </c>
    </row>
    <row r="2197" spans="1:42" s="18" customFormat="1" x14ac:dyDescent="0.3">
      <c r="A2197" s="156" t="s">
        <v>1455</v>
      </c>
      <c r="B2197" s="18" t="s">
        <v>2061</v>
      </c>
      <c r="C2197" s="18">
        <v>112</v>
      </c>
      <c r="D2197" s="18" t="s">
        <v>2141</v>
      </c>
      <c r="E2197" s="18">
        <v>1122</v>
      </c>
      <c r="F2197" s="157" t="s">
        <v>2142</v>
      </c>
      <c r="G2197" s="18">
        <v>112201</v>
      </c>
      <c r="H2197" s="18" t="s">
        <v>2143</v>
      </c>
      <c r="K2197" s="18">
        <v>11220103</v>
      </c>
      <c r="L2197" s="157" t="s">
        <v>2157</v>
      </c>
      <c r="M2197" s="157" t="s">
        <v>2158</v>
      </c>
      <c r="N2197" s="444">
        <v>0</v>
      </c>
      <c r="O2197" s="430">
        <v>0</v>
      </c>
      <c r="P2197" s="19">
        <v>4</v>
      </c>
      <c r="Q2197" s="19">
        <v>8</v>
      </c>
      <c r="R2197" s="19">
        <v>8</v>
      </c>
      <c r="S2197" s="19">
        <v>8</v>
      </c>
      <c r="T2197" s="18" t="s">
        <v>2072</v>
      </c>
      <c r="U2197" s="283" t="e">
        <v>#N/A</v>
      </c>
      <c r="V2197" s="320" t="s">
        <v>2159</v>
      </c>
      <c r="W2197" s="283">
        <v>1</v>
      </c>
      <c r="X2197" s="283">
        <v>0</v>
      </c>
      <c r="Y2197" s="283">
        <v>0</v>
      </c>
      <c r="Z2197" s="283">
        <v>1</v>
      </c>
      <c r="AA2197" s="283">
        <v>1</v>
      </c>
      <c r="AB2197" s="283">
        <v>1</v>
      </c>
      <c r="AC2197" s="316">
        <v>0</v>
      </c>
      <c r="AD2197" s="316">
        <v>1</v>
      </c>
      <c r="AE2197" s="302">
        <f t="shared" ref="AE2197:AE2228" si="91">SUM(W2197:AD2197)/8</f>
        <v>0.625</v>
      </c>
      <c r="AF2197" s="310">
        <v>0</v>
      </c>
      <c r="AG2197" s="17">
        <v>0</v>
      </c>
      <c r="AH2197" s="310">
        <v>4.17</v>
      </c>
      <c r="AI2197" s="310">
        <v>4.3499999999999996</v>
      </c>
      <c r="AJ2197" s="310">
        <v>5.1760000000000002</v>
      </c>
      <c r="AK2197" s="317">
        <v>0.30599999999999999</v>
      </c>
      <c r="AL2197" s="154">
        <v>0</v>
      </c>
      <c r="AM2197" s="147">
        <f t="shared" si="90"/>
        <v>0.30599999999999999</v>
      </c>
      <c r="AN2197" s="283" t="s">
        <v>2074</v>
      </c>
      <c r="AO2197" s="18" t="s">
        <v>2075</v>
      </c>
      <c r="AP2197" s="283" t="s">
        <v>2154</v>
      </c>
    </row>
    <row r="2198" spans="1:42" s="18" customFormat="1" x14ac:dyDescent="0.3">
      <c r="A2198" s="156" t="s">
        <v>1455</v>
      </c>
      <c r="B2198" s="18" t="s">
        <v>2061</v>
      </c>
      <c r="C2198" s="18">
        <v>112</v>
      </c>
      <c r="D2198" s="18" t="s">
        <v>2141</v>
      </c>
      <c r="E2198" s="18">
        <v>1122</v>
      </c>
      <c r="F2198" s="157" t="s">
        <v>2142</v>
      </c>
      <c r="G2198" s="18">
        <v>112201</v>
      </c>
      <c r="H2198" s="18" t="s">
        <v>2143</v>
      </c>
      <c r="K2198" s="18">
        <v>11220103</v>
      </c>
      <c r="L2198" s="157" t="s">
        <v>2157</v>
      </c>
      <c r="M2198" s="157"/>
      <c r="N2198" s="444"/>
      <c r="O2198" s="430"/>
      <c r="P2198" s="19"/>
      <c r="Q2198" s="19"/>
      <c r="R2198" s="19"/>
      <c r="S2198" s="19"/>
      <c r="U2198" s="283" t="e">
        <v>#N/A</v>
      </c>
      <c r="V2198" s="283" t="s">
        <v>2160</v>
      </c>
      <c r="W2198" s="283"/>
      <c r="X2198" s="283"/>
      <c r="Y2198" s="283"/>
      <c r="Z2198" s="283"/>
      <c r="AA2198" s="283"/>
      <c r="AB2198" s="283"/>
      <c r="AC2198" s="316">
        <v>0</v>
      </c>
      <c r="AD2198" s="316">
        <v>0</v>
      </c>
      <c r="AE2198" s="302">
        <f t="shared" si="91"/>
        <v>0</v>
      </c>
      <c r="AF2198" s="17"/>
      <c r="AG2198" s="17">
        <v>0</v>
      </c>
      <c r="AH2198" s="17">
        <v>0</v>
      </c>
      <c r="AI2198" s="17">
        <v>0</v>
      </c>
      <c r="AJ2198" s="17">
        <v>0</v>
      </c>
      <c r="AK2198" s="153">
        <v>0</v>
      </c>
      <c r="AL2198" s="154">
        <v>0</v>
      </c>
      <c r="AM2198" s="147">
        <f t="shared" si="90"/>
        <v>0</v>
      </c>
      <c r="AN2198" s="283" t="s">
        <v>2074</v>
      </c>
      <c r="AO2198" s="18" t="s">
        <v>2075</v>
      </c>
      <c r="AP2198" s="283" t="s">
        <v>2154</v>
      </c>
    </row>
    <row r="2199" spans="1:42" s="18" customFormat="1" x14ac:dyDescent="0.3">
      <c r="A2199" s="156" t="s">
        <v>1455</v>
      </c>
      <c r="B2199" s="18" t="s">
        <v>2061</v>
      </c>
      <c r="C2199" s="18">
        <v>112</v>
      </c>
      <c r="D2199" s="18" t="s">
        <v>2141</v>
      </c>
      <c r="E2199" s="18">
        <v>1122</v>
      </c>
      <c r="F2199" s="157" t="s">
        <v>2142</v>
      </c>
      <c r="G2199" s="18">
        <v>112201</v>
      </c>
      <c r="H2199" s="18" t="s">
        <v>2143</v>
      </c>
      <c r="K2199" s="18">
        <v>11220103</v>
      </c>
      <c r="L2199" s="157" t="s">
        <v>2157</v>
      </c>
      <c r="M2199" s="157"/>
      <c r="N2199" s="444"/>
      <c r="O2199" s="430"/>
      <c r="P2199" s="19"/>
      <c r="Q2199" s="19"/>
      <c r="R2199" s="19"/>
      <c r="S2199" s="19"/>
      <c r="U2199" s="283" t="e">
        <v>#N/A</v>
      </c>
      <c r="V2199" s="283" t="s">
        <v>2161</v>
      </c>
      <c r="W2199" s="283"/>
      <c r="X2199" s="283"/>
      <c r="Y2199" s="283"/>
      <c r="Z2199" s="283"/>
      <c r="AA2199" s="283"/>
      <c r="AB2199" s="283"/>
      <c r="AC2199" s="316">
        <v>0</v>
      </c>
      <c r="AD2199" s="316">
        <v>0</v>
      </c>
      <c r="AE2199" s="302">
        <f t="shared" si="91"/>
        <v>0</v>
      </c>
      <c r="AF2199" s="17"/>
      <c r="AG2199" s="17">
        <v>0</v>
      </c>
      <c r="AH2199" s="17">
        <v>0</v>
      </c>
      <c r="AI2199" s="17">
        <v>0</v>
      </c>
      <c r="AJ2199" s="17">
        <v>0</v>
      </c>
      <c r="AK2199" s="153">
        <v>0</v>
      </c>
      <c r="AL2199" s="154">
        <v>0</v>
      </c>
      <c r="AM2199" s="147">
        <f t="shared" si="90"/>
        <v>0</v>
      </c>
      <c r="AN2199" s="283" t="s">
        <v>2074</v>
      </c>
      <c r="AO2199" s="18" t="s">
        <v>2075</v>
      </c>
      <c r="AP2199" s="283" t="s">
        <v>2154</v>
      </c>
    </row>
    <row r="2200" spans="1:42" s="18" customFormat="1" x14ac:dyDescent="0.3">
      <c r="A2200" s="156" t="s">
        <v>1455</v>
      </c>
      <c r="B2200" s="18" t="s">
        <v>2061</v>
      </c>
      <c r="C2200" s="18">
        <v>112</v>
      </c>
      <c r="D2200" s="18" t="s">
        <v>2141</v>
      </c>
      <c r="E2200" s="18">
        <v>1122</v>
      </c>
      <c r="F2200" s="157" t="s">
        <v>2142</v>
      </c>
      <c r="G2200" s="18">
        <v>112201</v>
      </c>
      <c r="H2200" s="18" t="s">
        <v>2143</v>
      </c>
      <c r="K2200" s="18">
        <v>11220104</v>
      </c>
      <c r="L2200" s="157" t="s">
        <v>2162</v>
      </c>
      <c r="M2200" s="157" t="s">
        <v>2163</v>
      </c>
      <c r="N2200" s="444">
        <v>97</v>
      </c>
      <c r="O2200" s="430">
        <v>100</v>
      </c>
      <c r="P2200" s="19">
        <v>105</v>
      </c>
      <c r="Q2200" s="19">
        <v>115</v>
      </c>
      <c r="R2200" s="19">
        <v>120</v>
      </c>
      <c r="S2200" s="19">
        <v>122</v>
      </c>
      <c r="T2200" s="18" t="s">
        <v>2072</v>
      </c>
      <c r="U2200" s="283" t="e">
        <v>#N/A</v>
      </c>
      <c r="V2200" s="320" t="s">
        <v>2164</v>
      </c>
      <c r="W2200" s="283">
        <v>1</v>
      </c>
      <c r="X2200" s="283">
        <v>0</v>
      </c>
      <c r="Y2200" s="283">
        <v>0</v>
      </c>
      <c r="Z2200" s="283">
        <v>1</v>
      </c>
      <c r="AA2200" s="283">
        <v>1</v>
      </c>
      <c r="AB2200" s="283">
        <v>1</v>
      </c>
      <c r="AC2200" s="316">
        <v>1</v>
      </c>
      <c r="AD2200" s="316">
        <v>1</v>
      </c>
      <c r="AE2200" s="302">
        <f t="shared" si="91"/>
        <v>0.75</v>
      </c>
      <c r="AF2200" s="310"/>
      <c r="AG2200" s="17">
        <v>1</v>
      </c>
      <c r="AH2200" s="310">
        <v>0.11</v>
      </c>
      <c r="AI2200" s="310">
        <v>0.06</v>
      </c>
      <c r="AJ2200" s="310">
        <v>0.06</v>
      </c>
      <c r="AK2200" s="317">
        <v>0.06</v>
      </c>
      <c r="AL2200" s="317">
        <v>0.01</v>
      </c>
      <c r="AM2200" s="147">
        <f t="shared" si="90"/>
        <v>6.9999999999999993E-2</v>
      </c>
      <c r="AN2200" s="283" t="s">
        <v>2074</v>
      </c>
      <c r="AO2200" s="18" t="s">
        <v>2075</v>
      </c>
      <c r="AP2200" s="283" t="s">
        <v>2154</v>
      </c>
    </row>
    <row r="2201" spans="1:42" s="18" customFormat="1" x14ac:dyDescent="0.3">
      <c r="A2201" s="156" t="s">
        <v>1455</v>
      </c>
      <c r="B2201" s="18" t="s">
        <v>2061</v>
      </c>
      <c r="C2201" s="18">
        <v>112</v>
      </c>
      <c r="D2201" s="18" t="s">
        <v>2141</v>
      </c>
      <c r="E2201" s="18">
        <v>1122</v>
      </c>
      <c r="F2201" s="157" t="s">
        <v>2142</v>
      </c>
      <c r="G2201" s="18">
        <v>112201</v>
      </c>
      <c r="H2201" s="18" t="s">
        <v>2143</v>
      </c>
      <c r="K2201" s="18">
        <v>11220105</v>
      </c>
      <c r="L2201" s="157" t="s">
        <v>2165</v>
      </c>
      <c r="M2201" s="157" t="s">
        <v>2166</v>
      </c>
      <c r="N2201" s="430">
        <v>0</v>
      </c>
      <c r="O2201" s="430">
        <v>10</v>
      </c>
      <c r="P2201" s="19">
        <v>30</v>
      </c>
      <c r="Q2201" s="19">
        <v>50</v>
      </c>
      <c r="R2201" s="19">
        <v>59</v>
      </c>
      <c r="S2201" s="19">
        <v>69</v>
      </c>
      <c r="T2201" s="18" t="s">
        <v>2072</v>
      </c>
      <c r="U2201" s="283" t="e">
        <v>#N/A</v>
      </c>
      <c r="V2201" s="283" t="s">
        <v>2167</v>
      </c>
      <c r="W2201" s="283">
        <v>1</v>
      </c>
      <c r="X2201" s="283">
        <v>1</v>
      </c>
      <c r="Y2201" s="283">
        <v>0</v>
      </c>
      <c r="Z2201" s="283">
        <v>1</v>
      </c>
      <c r="AA2201" s="283">
        <v>1</v>
      </c>
      <c r="AB2201" s="283">
        <v>0</v>
      </c>
      <c r="AC2201" s="316">
        <v>1</v>
      </c>
      <c r="AD2201" s="316">
        <v>1</v>
      </c>
      <c r="AE2201" s="302">
        <f t="shared" si="91"/>
        <v>0.75</v>
      </c>
      <c r="AF2201" s="310"/>
      <c r="AG2201" s="17">
        <v>1</v>
      </c>
      <c r="AH2201" s="310">
        <v>7.19</v>
      </c>
      <c r="AI2201" s="310">
        <v>8.593</v>
      </c>
      <c r="AJ2201" s="310">
        <v>9.593</v>
      </c>
      <c r="AK2201" s="317">
        <v>10.71</v>
      </c>
      <c r="AL2201" s="317">
        <v>12.593</v>
      </c>
      <c r="AM2201" s="147">
        <f t="shared" si="90"/>
        <v>23.303000000000001</v>
      </c>
      <c r="AN2201" s="283" t="s">
        <v>2074</v>
      </c>
      <c r="AO2201" s="18" t="s">
        <v>2075</v>
      </c>
      <c r="AP2201" s="283" t="s">
        <v>2168</v>
      </c>
    </row>
    <row r="2202" spans="1:42" s="18" customFormat="1" x14ac:dyDescent="0.3">
      <c r="A2202" s="156" t="s">
        <v>1455</v>
      </c>
      <c r="B2202" s="18" t="s">
        <v>2061</v>
      </c>
      <c r="C2202" s="18">
        <v>112</v>
      </c>
      <c r="D2202" s="18" t="s">
        <v>2141</v>
      </c>
      <c r="E2202" s="18">
        <v>1122</v>
      </c>
      <c r="F2202" s="157" t="s">
        <v>2142</v>
      </c>
      <c r="G2202" s="18">
        <v>112201</v>
      </c>
      <c r="H2202" s="18" t="s">
        <v>2143</v>
      </c>
      <c r="K2202" s="18">
        <v>11220105</v>
      </c>
      <c r="L2202" s="157" t="s">
        <v>2165</v>
      </c>
      <c r="M2202" s="157"/>
      <c r="N2202" s="430"/>
      <c r="O2202" s="430"/>
      <c r="P2202" s="19"/>
      <c r="Q2202" s="19"/>
      <c r="R2202" s="19"/>
      <c r="S2202" s="19"/>
      <c r="U2202" s="283" t="e">
        <v>#N/A</v>
      </c>
      <c r="V2202" s="283" t="s">
        <v>2169</v>
      </c>
      <c r="W2202" s="283"/>
      <c r="X2202" s="283"/>
      <c r="Y2202" s="283"/>
      <c r="Z2202" s="283"/>
      <c r="AA2202" s="283"/>
      <c r="AB2202" s="283"/>
      <c r="AC2202" s="316">
        <v>0</v>
      </c>
      <c r="AD2202" s="316">
        <v>0</v>
      </c>
      <c r="AE2202" s="302">
        <f t="shared" si="91"/>
        <v>0</v>
      </c>
      <c r="AF2202" s="17"/>
      <c r="AG2202" s="17">
        <v>0</v>
      </c>
      <c r="AH2202" s="17">
        <v>0</v>
      </c>
      <c r="AI2202" s="17">
        <v>0</v>
      </c>
      <c r="AJ2202" s="17">
        <v>0</v>
      </c>
      <c r="AK2202" s="153">
        <v>0</v>
      </c>
      <c r="AL2202" s="154">
        <v>0</v>
      </c>
      <c r="AM2202" s="147">
        <f t="shared" si="90"/>
        <v>0</v>
      </c>
      <c r="AN2202" s="283" t="s">
        <v>2074</v>
      </c>
      <c r="AO2202" s="18" t="s">
        <v>2075</v>
      </c>
      <c r="AP2202" s="283" t="s">
        <v>2168</v>
      </c>
    </row>
    <row r="2203" spans="1:42" s="18" customFormat="1" x14ac:dyDescent="0.3">
      <c r="A2203" s="156" t="s">
        <v>1455</v>
      </c>
      <c r="B2203" s="18" t="s">
        <v>2061</v>
      </c>
      <c r="C2203" s="18">
        <v>112</v>
      </c>
      <c r="D2203" s="18" t="s">
        <v>2141</v>
      </c>
      <c r="E2203" s="18">
        <v>1122</v>
      </c>
      <c r="F2203" s="157" t="s">
        <v>2142</v>
      </c>
      <c r="G2203" s="18">
        <v>112201</v>
      </c>
      <c r="H2203" s="18" t="s">
        <v>2143</v>
      </c>
      <c r="K2203" s="18">
        <v>11220105</v>
      </c>
      <c r="L2203" s="157" t="s">
        <v>2165</v>
      </c>
      <c r="M2203" s="157"/>
      <c r="N2203" s="430"/>
      <c r="O2203" s="430"/>
      <c r="P2203" s="19"/>
      <c r="Q2203" s="19"/>
      <c r="R2203" s="19"/>
      <c r="S2203" s="19"/>
      <c r="U2203" s="283" t="e">
        <v>#N/A</v>
      </c>
      <c r="V2203" s="283" t="s">
        <v>2170</v>
      </c>
      <c r="W2203" s="283"/>
      <c r="X2203" s="283"/>
      <c r="Y2203" s="283"/>
      <c r="Z2203" s="283"/>
      <c r="AA2203" s="283"/>
      <c r="AB2203" s="283"/>
      <c r="AC2203" s="316">
        <v>0</v>
      </c>
      <c r="AD2203" s="316">
        <v>0</v>
      </c>
      <c r="AE2203" s="302">
        <f t="shared" si="91"/>
        <v>0</v>
      </c>
      <c r="AF2203" s="310"/>
      <c r="AG2203" s="17">
        <v>0</v>
      </c>
      <c r="AH2203" s="310">
        <v>1.8979999999999999</v>
      </c>
      <c r="AI2203" s="310">
        <v>1.8979999999999999</v>
      </c>
      <c r="AJ2203" s="310">
        <v>1.8979999999999999</v>
      </c>
      <c r="AK2203" s="317">
        <v>1.8979999999999999</v>
      </c>
      <c r="AL2203" s="317">
        <v>1.9</v>
      </c>
      <c r="AM2203" s="147">
        <f t="shared" si="90"/>
        <v>3.798</v>
      </c>
      <c r="AN2203" s="283" t="s">
        <v>2074</v>
      </c>
      <c r="AO2203" s="18" t="s">
        <v>2075</v>
      </c>
      <c r="AP2203" s="283" t="s">
        <v>2168</v>
      </c>
    </row>
    <row r="2204" spans="1:42" s="18" customFormat="1" x14ac:dyDescent="0.3">
      <c r="A2204" s="156" t="s">
        <v>1455</v>
      </c>
      <c r="B2204" s="18" t="s">
        <v>2061</v>
      </c>
      <c r="C2204" s="18">
        <v>112</v>
      </c>
      <c r="D2204" s="18" t="s">
        <v>2141</v>
      </c>
      <c r="E2204" s="18">
        <v>1122</v>
      </c>
      <c r="F2204" s="157" t="s">
        <v>2142</v>
      </c>
      <c r="G2204" s="18">
        <v>112201</v>
      </c>
      <c r="H2204" s="18" t="s">
        <v>2143</v>
      </c>
      <c r="K2204" s="18">
        <v>11220105</v>
      </c>
      <c r="L2204" s="157" t="s">
        <v>2165</v>
      </c>
      <c r="M2204" s="157"/>
      <c r="N2204" s="430"/>
      <c r="O2204" s="430"/>
      <c r="P2204" s="19"/>
      <c r="Q2204" s="19"/>
      <c r="R2204" s="19"/>
      <c r="S2204" s="19"/>
      <c r="U2204" s="283" t="e">
        <v>#N/A</v>
      </c>
      <c r="V2204" s="283" t="s">
        <v>2171</v>
      </c>
      <c r="W2204" s="283"/>
      <c r="X2204" s="283"/>
      <c r="Y2204" s="283"/>
      <c r="Z2204" s="283"/>
      <c r="AA2204" s="283"/>
      <c r="AB2204" s="283"/>
      <c r="AC2204" s="316">
        <v>0</v>
      </c>
      <c r="AD2204" s="316">
        <v>0</v>
      </c>
      <c r="AE2204" s="302">
        <f t="shared" si="91"/>
        <v>0</v>
      </c>
      <c r="AF2204" s="17"/>
      <c r="AG2204" s="17">
        <v>0</v>
      </c>
      <c r="AH2204" s="17">
        <v>0</v>
      </c>
      <c r="AI2204" s="17">
        <v>0</v>
      </c>
      <c r="AJ2204" s="17">
        <v>0</v>
      </c>
      <c r="AK2204" s="153">
        <v>0</v>
      </c>
      <c r="AL2204" s="154">
        <v>0</v>
      </c>
      <c r="AM2204" s="147">
        <f t="shared" si="90"/>
        <v>0</v>
      </c>
      <c r="AN2204" s="283" t="s">
        <v>2074</v>
      </c>
      <c r="AO2204" s="18" t="s">
        <v>2075</v>
      </c>
      <c r="AP2204" s="283" t="s">
        <v>2172</v>
      </c>
    </row>
    <row r="2205" spans="1:42" s="18" customFormat="1" x14ac:dyDescent="0.3">
      <c r="A2205" s="156" t="s">
        <v>1455</v>
      </c>
      <c r="B2205" s="18" t="s">
        <v>2061</v>
      </c>
      <c r="C2205" s="18">
        <v>112</v>
      </c>
      <c r="D2205" s="18" t="s">
        <v>2141</v>
      </c>
      <c r="E2205" s="18">
        <v>1122</v>
      </c>
      <c r="F2205" s="157" t="s">
        <v>2142</v>
      </c>
      <c r="G2205" s="18">
        <v>112201</v>
      </c>
      <c r="H2205" s="18" t="s">
        <v>2143</v>
      </c>
      <c r="K2205" s="18">
        <v>11220105</v>
      </c>
      <c r="L2205" s="157" t="s">
        <v>2165</v>
      </c>
      <c r="M2205" s="157"/>
      <c r="N2205" s="430"/>
      <c r="O2205" s="430"/>
      <c r="P2205" s="19"/>
      <c r="Q2205" s="19"/>
      <c r="R2205" s="19"/>
      <c r="S2205" s="19"/>
      <c r="U2205" s="283" t="e">
        <v>#N/A</v>
      </c>
      <c r="V2205" s="321" t="s">
        <v>2173</v>
      </c>
      <c r="W2205" s="283"/>
      <c r="X2205" s="283"/>
      <c r="Y2205" s="283"/>
      <c r="Z2205" s="283"/>
      <c r="AA2205" s="283"/>
      <c r="AB2205" s="283"/>
      <c r="AC2205" s="316">
        <v>0</v>
      </c>
      <c r="AD2205" s="316">
        <v>0</v>
      </c>
      <c r="AE2205" s="302">
        <f t="shared" si="91"/>
        <v>0</v>
      </c>
      <c r="AF2205" s="310"/>
      <c r="AG2205" s="17">
        <v>0</v>
      </c>
      <c r="AH2205" s="310">
        <v>4.4000000000000004</v>
      </c>
      <c r="AI2205" s="310">
        <v>4.5999999999999996</v>
      </c>
      <c r="AJ2205" s="310">
        <v>4.5999999999999996</v>
      </c>
      <c r="AK2205" s="317">
        <v>4.5999999999999996</v>
      </c>
      <c r="AL2205" s="317">
        <v>4.5999999999999996</v>
      </c>
      <c r="AM2205" s="147">
        <f t="shared" si="90"/>
        <v>9.1999999999999993</v>
      </c>
      <c r="AN2205" s="283" t="s">
        <v>2074</v>
      </c>
      <c r="AO2205" s="18" t="s">
        <v>2075</v>
      </c>
      <c r="AP2205" s="283" t="s">
        <v>119</v>
      </c>
    </row>
    <row r="2206" spans="1:42" s="18" customFormat="1" x14ac:dyDescent="0.3">
      <c r="A2206" s="156" t="s">
        <v>1455</v>
      </c>
      <c r="B2206" s="18" t="s">
        <v>2061</v>
      </c>
      <c r="C2206" s="18">
        <v>112</v>
      </c>
      <c r="D2206" s="18" t="s">
        <v>2141</v>
      </c>
      <c r="E2206" s="18">
        <v>1122</v>
      </c>
      <c r="F2206" s="157" t="s">
        <v>2142</v>
      </c>
      <c r="G2206" s="18">
        <v>112201</v>
      </c>
      <c r="H2206" s="18" t="s">
        <v>2143</v>
      </c>
      <c r="K2206" s="18">
        <v>11220106</v>
      </c>
      <c r="L2206" s="157" t="s">
        <v>2174</v>
      </c>
      <c r="M2206" s="157" t="s">
        <v>2175</v>
      </c>
      <c r="N2206" s="430">
        <v>0</v>
      </c>
      <c r="O2206" s="430">
        <v>0</v>
      </c>
      <c r="P2206" s="19">
        <v>1</v>
      </c>
      <c r="Q2206" s="19">
        <v>1</v>
      </c>
      <c r="R2206" s="19">
        <v>1</v>
      </c>
      <c r="S2206" s="19">
        <v>1</v>
      </c>
      <c r="T2206" s="18" t="s">
        <v>2087</v>
      </c>
      <c r="U2206" s="283" t="e">
        <v>#N/A</v>
      </c>
      <c r="V2206" s="283" t="s">
        <v>2176</v>
      </c>
      <c r="W2206" s="283">
        <v>1</v>
      </c>
      <c r="X2206" s="283">
        <v>0</v>
      </c>
      <c r="Y2206" s="283">
        <v>0</v>
      </c>
      <c r="Z2206" s="283">
        <v>1</v>
      </c>
      <c r="AA2206" s="283">
        <v>1</v>
      </c>
      <c r="AB2206" s="283">
        <v>0</v>
      </c>
      <c r="AC2206" s="316">
        <v>1</v>
      </c>
      <c r="AD2206" s="316">
        <v>1</v>
      </c>
      <c r="AE2206" s="302">
        <f t="shared" si="91"/>
        <v>0.625</v>
      </c>
      <c r="AF2206" s="310"/>
      <c r="AG2206" s="17">
        <v>0</v>
      </c>
      <c r="AH2206" s="310">
        <v>0</v>
      </c>
      <c r="AI2206" s="310">
        <v>0.6</v>
      </c>
      <c r="AJ2206" s="310">
        <v>0.6</v>
      </c>
      <c r="AK2206" s="317">
        <v>0</v>
      </c>
      <c r="AL2206" s="317" t="s">
        <v>2089</v>
      </c>
      <c r="AM2206" s="147">
        <f t="shared" si="90"/>
        <v>0</v>
      </c>
      <c r="AN2206" s="283" t="s">
        <v>239</v>
      </c>
      <c r="AO2206" s="18" t="s">
        <v>241</v>
      </c>
      <c r="AP2206" s="283" t="s">
        <v>101</v>
      </c>
    </row>
    <row r="2207" spans="1:42" s="18" customFormat="1" x14ac:dyDescent="0.3">
      <c r="A2207" s="156" t="s">
        <v>1455</v>
      </c>
      <c r="B2207" s="18" t="s">
        <v>2061</v>
      </c>
      <c r="C2207" s="18">
        <v>112</v>
      </c>
      <c r="D2207" s="18" t="s">
        <v>2141</v>
      </c>
      <c r="E2207" s="18">
        <v>1122</v>
      </c>
      <c r="F2207" s="157" t="s">
        <v>2142</v>
      </c>
      <c r="G2207" s="18">
        <v>112201</v>
      </c>
      <c r="H2207" s="18" t="s">
        <v>2143</v>
      </c>
      <c r="K2207" s="18">
        <v>11220107</v>
      </c>
      <c r="L2207" s="157" t="s">
        <v>2177</v>
      </c>
      <c r="M2207" s="157" t="s">
        <v>2178</v>
      </c>
      <c r="N2207" s="430">
        <v>15</v>
      </c>
      <c r="O2207" s="430">
        <v>60</v>
      </c>
      <c r="P2207" s="19">
        <v>70</v>
      </c>
      <c r="Q2207" s="19">
        <v>80</v>
      </c>
      <c r="R2207" s="19">
        <v>90</v>
      </c>
      <c r="S2207" s="19">
        <v>100</v>
      </c>
      <c r="T2207" s="18" t="s">
        <v>2072</v>
      </c>
      <c r="U2207" s="283" t="e">
        <v>#N/A</v>
      </c>
      <c r="V2207" s="283" t="s">
        <v>2179</v>
      </c>
      <c r="W2207" s="283">
        <v>1</v>
      </c>
      <c r="X2207" s="283">
        <v>0</v>
      </c>
      <c r="Y2207" s="283">
        <v>0</v>
      </c>
      <c r="Z2207" s="283">
        <v>1</v>
      </c>
      <c r="AA2207" s="283">
        <v>1</v>
      </c>
      <c r="AB2207" s="283">
        <v>1</v>
      </c>
      <c r="AC2207" s="316">
        <v>0</v>
      </c>
      <c r="AD2207" s="316">
        <v>1</v>
      </c>
      <c r="AE2207" s="302">
        <f t="shared" si="91"/>
        <v>0.625</v>
      </c>
      <c r="AF2207" s="310"/>
      <c r="AG2207" s="17">
        <v>1</v>
      </c>
      <c r="AH2207" s="310">
        <v>4.7839999999999998</v>
      </c>
      <c r="AI2207" s="310">
        <v>4.7839999999999998</v>
      </c>
      <c r="AJ2207" s="310">
        <v>4.7839999999999998</v>
      </c>
      <c r="AK2207" s="317">
        <v>1.2729999999999999</v>
      </c>
      <c r="AL2207" s="317">
        <v>4.78</v>
      </c>
      <c r="AM2207" s="147">
        <f t="shared" si="90"/>
        <v>6.0529999999999999</v>
      </c>
      <c r="AN2207" s="283" t="s">
        <v>2074</v>
      </c>
      <c r="AO2207" s="18" t="s">
        <v>2075</v>
      </c>
      <c r="AP2207" s="283" t="s">
        <v>119</v>
      </c>
    </row>
    <row r="2208" spans="1:42" s="18" customFormat="1" x14ac:dyDescent="0.3">
      <c r="A2208" s="156" t="s">
        <v>1455</v>
      </c>
      <c r="B2208" s="18" t="s">
        <v>2061</v>
      </c>
      <c r="C2208" s="18">
        <v>112</v>
      </c>
      <c r="D2208" s="18" t="s">
        <v>2141</v>
      </c>
      <c r="E2208" s="18">
        <v>1122</v>
      </c>
      <c r="F2208" s="157" t="s">
        <v>2142</v>
      </c>
      <c r="G2208" s="18">
        <v>112201</v>
      </c>
      <c r="H2208" s="18" t="s">
        <v>2143</v>
      </c>
      <c r="K2208" s="18">
        <v>11220108</v>
      </c>
      <c r="L2208" s="161" t="s">
        <v>2180</v>
      </c>
      <c r="M2208" s="157" t="s">
        <v>2181</v>
      </c>
      <c r="N2208" s="430">
        <v>6</v>
      </c>
      <c r="O2208" s="430">
        <v>8</v>
      </c>
      <c r="P2208" s="19">
        <v>15</v>
      </c>
      <c r="Q2208" s="19">
        <v>18</v>
      </c>
      <c r="R2208" s="19">
        <v>20</v>
      </c>
      <c r="S2208" s="19">
        <v>24</v>
      </c>
      <c r="T2208" s="18" t="s">
        <v>2072</v>
      </c>
      <c r="U2208" s="283" t="e">
        <v>#N/A</v>
      </c>
      <c r="V2208" s="322" t="s">
        <v>2182</v>
      </c>
      <c r="W2208" s="283">
        <v>1</v>
      </c>
      <c r="X2208" s="283">
        <v>0</v>
      </c>
      <c r="Y2208" s="283">
        <v>0</v>
      </c>
      <c r="Z2208" s="283">
        <v>1</v>
      </c>
      <c r="AA2208" s="283">
        <v>0</v>
      </c>
      <c r="AB2208" s="283">
        <v>0</v>
      </c>
      <c r="AC2208" s="316">
        <v>0</v>
      </c>
      <c r="AD2208" s="316">
        <v>1</v>
      </c>
      <c r="AE2208" s="302">
        <f t="shared" si="91"/>
        <v>0.375</v>
      </c>
      <c r="AF2208" s="310"/>
      <c r="AG2208" s="17">
        <v>0</v>
      </c>
      <c r="AH2208" s="310">
        <v>2.9990000000000001</v>
      </c>
      <c r="AI2208" s="310">
        <v>2.9990000000000001</v>
      </c>
      <c r="AJ2208" s="310">
        <v>2.9990000000000001</v>
      </c>
      <c r="AK2208" s="317">
        <v>0.02</v>
      </c>
      <c r="AL2208" s="317">
        <v>0.01</v>
      </c>
      <c r="AM2208" s="147">
        <f t="shared" si="90"/>
        <v>0.03</v>
      </c>
      <c r="AN2208" s="283" t="s">
        <v>2074</v>
      </c>
      <c r="AO2208" s="18" t="s">
        <v>2075</v>
      </c>
      <c r="AP2208" s="283" t="s">
        <v>119</v>
      </c>
    </row>
    <row r="2209" spans="1:42" s="18" customFormat="1" x14ac:dyDescent="0.3">
      <c r="A2209" s="156" t="s">
        <v>1455</v>
      </c>
      <c r="B2209" s="18" t="s">
        <v>2061</v>
      </c>
      <c r="C2209" s="18">
        <v>112</v>
      </c>
      <c r="D2209" s="18" t="s">
        <v>2141</v>
      </c>
      <c r="E2209" s="18">
        <v>1122</v>
      </c>
      <c r="F2209" s="157" t="s">
        <v>2142</v>
      </c>
      <c r="G2209" s="18">
        <v>112201</v>
      </c>
      <c r="H2209" s="18" t="s">
        <v>2143</v>
      </c>
      <c r="K2209" s="18">
        <v>11220109</v>
      </c>
      <c r="L2209" s="161" t="s">
        <v>2183</v>
      </c>
      <c r="M2209" s="157" t="s">
        <v>2184</v>
      </c>
      <c r="N2209" s="430">
        <v>1</v>
      </c>
      <c r="O2209" s="430">
        <v>14</v>
      </c>
      <c r="P2209" s="19">
        <v>19</v>
      </c>
      <c r="Q2209" s="19">
        <v>24</v>
      </c>
      <c r="R2209" s="19">
        <v>30</v>
      </c>
      <c r="S2209" s="19">
        <v>34</v>
      </c>
      <c r="T2209" s="18" t="s">
        <v>2072</v>
      </c>
      <c r="U2209" s="283" t="e">
        <v>#N/A</v>
      </c>
      <c r="V2209" s="322" t="s">
        <v>2185</v>
      </c>
      <c r="W2209" s="283">
        <v>1</v>
      </c>
      <c r="X2209" s="283">
        <v>0</v>
      </c>
      <c r="Y2209" s="283">
        <v>0</v>
      </c>
      <c r="Z2209" s="283">
        <v>1</v>
      </c>
      <c r="AA2209" s="283">
        <v>0</v>
      </c>
      <c r="AB2209" s="283">
        <v>0</v>
      </c>
      <c r="AC2209" s="316">
        <v>0</v>
      </c>
      <c r="AD2209" s="316">
        <v>1</v>
      </c>
      <c r="AE2209" s="302">
        <f t="shared" si="91"/>
        <v>0.375</v>
      </c>
      <c r="AF2209" s="310"/>
      <c r="AG2209" s="17">
        <v>1</v>
      </c>
      <c r="AH2209" s="310">
        <v>9.8800000000000008</v>
      </c>
      <c r="AI2209" s="310">
        <v>9.8800000000000008</v>
      </c>
      <c r="AJ2209" s="310">
        <v>9.8800000000000008</v>
      </c>
      <c r="AK2209" s="317">
        <v>0.501</v>
      </c>
      <c r="AL2209" s="317">
        <v>2.1999999999999999E-2</v>
      </c>
      <c r="AM2209" s="147">
        <f t="shared" si="90"/>
        <v>0.52300000000000002</v>
      </c>
      <c r="AN2209" s="283" t="s">
        <v>2074</v>
      </c>
      <c r="AO2209" s="18" t="s">
        <v>2075</v>
      </c>
      <c r="AP2209" s="283" t="s">
        <v>119</v>
      </c>
    </row>
    <row r="2210" spans="1:42" s="18" customFormat="1" x14ac:dyDescent="0.3">
      <c r="A2210" s="156" t="s">
        <v>1455</v>
      </c>
      <c r="B2210" s="18" t="s">
        <v>2061</v>
      </c>
      <c r="C2210" s="18">
        <v>112</v>
      </c>
      <c r="D2210" s="18" t="s">
        <v>2141</v>
      </c>
      <c r="E2210" s="18">
        <v>1122</v>
      </c>
      <c r="F2210" s="157" t="s">
        <v>2142</v>
      </c>
      <c r="G2210" s="18">
        <v>112201</v>
      </c>
      <c r="H2210" s="18" t="s">
        <v>2143</v>
      </c>
      <c r="K2210" s="18">
        <v>11220110</v>
      </c>
      <c r="L2210" s="161" t="s">
        <v>2186</v>
      </c>
      <c r="M2210" s="157" t="s">
        <v>2187</v>
      </c>
      <c r="N2210" s="430">
        <v>0</v>
      </c>
      <c r="O2210" s="430"/>
      <c r="P2210" s="19">
        <v>1</v>
      </c>
      <c r="Q2210" s="19"/>
      <c r="R2210" s="19"/>
      <c r="S2210" s="19"/>
      <c r="T2210" s="18" t="s">
        <v>2087</v>
      </c>
      <c r="U2210" s="283" t="e">
        <v>#N/A</v>
      </c>
      <c r="V2210" s="283" t="s">
        <v>2188</v>
      </c>
      <c r="W2210" s="283">
        <v>1</v>
      </c>
      <c r="X2210" s="283">
        <v>0</v>
      </c>
      <c r="Y2210" s="283">
        <v>0</v>
      </c>
      <c r="Z2210" s="283">
        <v>1</v>
      </c>
      <c r="AA2210" s="283">
        <v>1</v>
      </c>
      <c r="AB2210" s="283">
        <v>0</v>
      </c>
      <c r="AC2210" s="316">
        <v>1</v>
      </c>
      <c r="AD2210" s="316">
        <v>1</v>
      </c>
      <c r="AE2210" s="302">
        <f t="shared" si="91"/>
        <v>0.625</v>
      </c>
      <c r="AF2210" s="310"/>
      <c r="AG2210" s="17">
        <v>0</v>
      </c>
      <c r="AH2210" s="310">
        <v>0.5</v>
      </c>
      <c r="AI2210" s="310">
        <v>0.75</v>
      </c>
      <c r="AJ2210" s="310">
        <v>0.2</v>
      </c>
      <c r="AK2210" s="317">
        <v>0.75</v>
      </c>
      <c r="AL2210" s="317">
        <v>0.3</v>
      </c>
      <c r="AM2210" s="147">
        <f t="shared" si="90"/>
        <v>1.05</v>
      </c>
      <c r="AN2210" s="283" t="s">
        <v>239</v>
      </c>
      <c r="AO2210" s="18" t="s">
        <v>241</v>
      </c>
      <c r="AP2210" s="283" t="s">
        <v>119</v>
      </c>
    </row>
    <row r="2211" spans="1:42" s="18" customFormat="1" x14ac:dyDescent="0.3">
      <c r="A2211" s="156" t="s">
        <v>1455</v>
      </c>
      <c r="B2211" s="18" t="s">
        <v>2061</v>
      </c>
      <c r="C2211" s="18">
        <v>112</v>
      </c>
      <c r="D2211" s="18" t="s">
        <v>2141</v>
      </c>
      <c r="E2211" s="18">
        <v>1122</v>
      </c>
      <c r="F2211" s="157" t="s">
        <v>2142</v>
      </c>
      <c r="G2211" s="18">
        <v>112202</v>
      </c>
      <c r="H2211" s="157" t="s">
        <v>2189</v>
      </c>
      <c r="I2211" s="157"/>
      <c r="J2211" s="157"/>
      <c r="K2211" s="18">
        <v>11220201</v>
      </c>
      <c r="L2211" s="157" t="s">
        <v>2190</v>
      </c>
      <c r="M2211" s="157" t="s">
        <v>2191</v>
      </c>
      <c r="N2211" s="430">
        <v>31</v>
      </c>
      <c r="O2211" s="430">
        <v>46</v>
      </c>
      <c r="P2211" s="19">
        <v>61</v>
      </c>
      <c r="Q2211" s="19">
        <v>76</v>
      </c>
      <c r="R2211" s="19">
        <v>91</v>
      </c>
      <c r="S2211" s="19">
        <v>106</v>
      </c>
      <c r="T2211" s="18" t="s">
        <v>2072</v>
      </c>
      <c r="U2211" s="283" t="e">
        <v>#N/A</v>
      </c>
      <c r="V2211" s="283" t="s">
        <v>2192</v>
      </c>
      <c r="W2211" s="283">
        <v>1</v>
      </c>
      <c r="X2211" s="283">
        <v>0</v>
      </c>
      <c r="Y2211" s="283">
        <v>0</v>
      </c>
      <c r="Z2211" s="283">
        <v>1</v>
      </c>
      <c r="AA2211" s="283">
        <v>1</v>
      </c>
      <c r="AB2211" s="283">
        <v>0</v>
      </c>
      <c r="AC2211" s="316">
        <v>1</v>
      </c>
      <c r="AD2211" s="316">
        <v>1</v>
      </c>
      <c r="AE2211" s="302">
        <f t="shared" si="91"/>
        <v>0.625</v>
      </c>
      <c r="AF2211" s="310"/>
      <c r="AG2211" s="17">
        <v>1</v>
      </c>
      <c r="AH2211" s="310">
        <v>0.5</v>
      </c>
      <c r="AI2211" s="310">
        <v>0.5</v>
      </c>
      <c r="AJ2211" s="310">
        <v>0.5</v>
      </c>
      <c r="AK2211" s="317">
        <v>0.1</v>
      </c>
      <c r="AL2211" s="317">
        <v>1.05</v>
      </c>
      <c r="AM2211" s="147">
        <f t="shared" si="90"/>
        <v>1.1500000000000001</v>
      </c>
      <c r="AN2211" s="283" t="s">
        <v>2074</v>
      </c>
      <c r="AO2211" s="18" t="s">
        <v>2075</v>
      </c>
      <c r="AP2211" s="283" t="s">
        <v>2193</v>
      </c>
    </row>
    <row r="2212" spans="1:42" s="18" customFormat="1" x14ac:dyDescent="0.3">
      <c r="A2212" s="156" t="s">
        <v>1455</v>
      </c>
      <c r="B2212" s="18" t="s">
        <v>2061</v>
      </c>
      <c r="C2212" s="18">
        <v>112</v>
      </c>
      <c r="D2212" s="18" t="s">
        <v>2141</v>
      </c>
      <c r="E2212" s="18">
        <v>1122</v>
      </c>
      <c r="F2212" s="157" t="s">
        <v>2142</v>
      </c>
      <c r="G2212" s="18">
        <v>112202</v>
      </c>
      <c r="H2212" s="157" t="s">
        <v>2189</v>
      </c>
      <c r="I2212" s="157"/>
      <c r="J2212" s="157"/>
      <c r="K2212" s="18">
        <v>11220202</v>
      </c>
      <c r="L2212" s="157" t="s">
        <v>2194</v>
      </c>
      <c r="M2212" s="157" t="s">
        <v>2195</v>
      </c>
      <c r="N2212" s="430">
        <v>0</v>
      </c>
      <c r="O2212" s="430">
        <v>1</v>
      </c>
      <c r="P2212" s="19" t="s">
        <v>271</v>
      </c>
      <c r="Q2212" s="19" t="s">
        <v>271</v>
      </c>
      <c r="R2212" s="19" t="s">
        <v>271</v>
      </c>
      <c r="S2212" s="19" t="s">
        <v>271</v>
      </c>
      <c r="T2212" s="18" t="s">
        <v>2196</v>
      </c>
      <c r="U2212" s="283" t="e">
        <v>#N/A</v>
      </c>
      <c r="V2212" s="309" t="s">
        <v>2197</v>
      </c>
      <c r="W2212" s="283">
        <v>1</v>
      </c>
      <c r="X2212" s="283">
        <v>0</v>
      </c>
      <c r="Y2212" s="283">
        <v>0</v>
      </c>
      <c r="Z2212" s="283">
        <v>1</v>
      </c>
      <c r="AA2212" s="283">
        <v>1</v>
      </c>
      <c r="AB2212" s="283">
        <v>0</v>
      </c>
      <c r="AC2212" s="316">
        <v>0</v>
      </c>
      <c r="AD2212" s="316">
        <v>1</v>
      </c>
      <c r="AE2212" s="302">
        <f t="shared" si="91"/>
        <v>0.5</v>
      </c>
      <c r="AF2212" s="310"/>
      <c r="AG2212" s="17">
        <v>0</v>
      </c>
      <c r="AH2212" s="310">
        <v>0.152</v>
      </c>
      <c r="AI2212" s="310">
        <v>0.152</v>
      </c>
      <c r="AJ2212" s="310">
        <v>0.152</v>
      </c>
      <c r="AK2212" s="317"/>
      <c r="AL2212" s="317"/>
      <c r="AM2212" s="147">
        <f t="shared" si="90"/>
        <v>0</v>
      </c>
      <c r="AN2212" s="10" t="s">
        <v>239</v>
      </c>
      <c r="AO2212" s="18" t="s">
        <v>241</v>
      </c>
      <c r="AP2212" s="283" t="s">
        <v>2193</v>
      </c>
    </row>
    <row r="2213" spans="1:42" s="18" customFormat="1" x14ac:dyDescent="0.3">
      <c r="A2213" s="156" t="s">
        <v>1455</v>
      </c>
      <c r="B2213" s="18" t="s">
        <v>2061</v>
      </c>
      <c r="C2213" s="18">
        <v>112</v>
      </c>
      <c r="D2213" s="18" t="s">
        <v>2141</v>
      </c>
      <c r="E2213" s="18">
        <v>1122</v>
      </c>
      <c r="F2213" s="157" t="s">
        <v>2142</v>
      </c>
      <c r="G2213" s="18">
        <v>112202</v>
      </c>
      <c r="H2213" s="157" t="s">
        <v>2189</v>
      </c>
      <c r="I2213" s="157"/>
      <c r="J2213" s="157"/>
      <c r="K2213" s="18">
        <v>11220202</v>
      </c>
      <c r="L2213" s="157" t="s">
        <v>2194</v>
      </c>
      <c r="M2213" s="157"/>
      <c r="N2213" s="430"/>
      <c r="O2213" s="430"/>
      <c r="P2213" s="19"/>
      <c r="Q2213" s="19"/>
      <c r="R2213" s="19"/>
      <c r="S2213" s="19"/>
      <c r="T2213" s="18" t="s">
        <v>2196</v>
      </c>
      <c r="U2213" s="283" t="e">
        <v>#N/A</v>
      </c>
      <c r="V2213" s="283" t="s">
        <v>2198</v>
      </c>
      <c r="W2213" s="283">
        <v>1</v>
      </c>
      <c r="X2213" s="283">
        <v>0</v>
      </c>
      <c r="Y2213" s="283">
        <v>0</v>
      </c>
      <c r="Z2213" s="283">
        <v>1</v>
      </c>
      <c r="AA2213" s="283">
        <v>1</v>
      </c>
      <c r="AB2213" s="283">
        <v>0</v>
      </c>
      <c r="AC2213" s="316">
        <v>0</v>
      </c>
      <c r="AD2213" s="316">
        <v>1</v>
      </c>
      <c r="AE2213" s="302">
        <f t="shared" si="91"/>
        <v>0.5</v>
      </c>
      <c r="AF2213" s="17"/>
      <c r="AG2213" s="17">
        <v>0</v>
      </c>
      <c r="AH2213" s="17">
        <v>0</v>
      </c>
      <c r="AI2213" s="17">
        <v>0</v>
      </c>
      <c r="AJ2213" s="17">
        <v>0</v>
      </c>
      <c r="AK2213" s="153">
        <v>0</v>
      </c>
      <c r="AL2213" s="154">
        <v>0</v>
      </c>
      <c r="AM2213" s="147">
        <f t="shared" si="90"/>
        <v>0</v>
      </c>
      <c r="AN2213" s="283" t="s">
        <v>239</v>
      </c>
      <c r="AO2213" s="18" t="s">
        <v>241</v>
      </c>
      <c r="AP2213" s="283" t="s">
        <v>2193</v>
      </c>
    </row>
    <row r="2214" spans="1:42" s="18" customFormat="1" x14ac:dyDescent="0.3">
      <c r="A2214" s="156" t="s">
        <v>1455</v>
      </c>
      <c r="B2214" s="18" t="s">
        <v>2061</v>
      </c>
      <c r="C2214" s="18">
        <v>112</v>
      </c>
      <c r="D2214" s="18" t="s">
        <v>2141</v>
      </c>
      <c r="E2214" s="18">
        <v>1122</v>
      </c>
      <c r="F2214" s="157" t="s">
        <v>2142</v>
      </c>
      <c r="G2214" s="18">
        <v>112202</v>
      </c>
      <c r="H2214" s="157" t="s">
        <v>2189</v>
      </c>
      <c r="I2214" s="157"/>
      <c r="J2214" s="157"/>
      <c r="K2214" s="18">
        <v>11220203</v>
      </c>
      <c r="L2214" s="157" t="s">
        <v>2199</v>
      </c>
      <c r="M2214" s="157" t="s">
        <v>2200</v>
      </c>
      <c r="N2214" s="444">
        <v>4</v>
      </c>
      <c r="O2214" s="444" t="s">
        <v>271</v>
      </c>
      <c r="P2214" s="160">
        <v>6</v>
      </c>
      <c r="Q2214" s="160">
        <v>10</v>
      </c>
      <c r="R2214" s="160" t="s">
        <v>271</v>
      </c>
      <c r="S2214" s="160" t="s">
        <v>271</v>
      </c>
      <c r="T2214" s="18" t="s">
        <v>2072</v>
      </c>
      <c r="U2214" s="283" t="e">
        <v>#N/A</v>
      </c>
      <c r="V2214" s="283" t="s">
        <v>2201</v>
      </c>
      <c r="W2214" s="283">
        <v>1</v>
      </c>
      <c r="X2214" s="283">
        <v>0</v>
      </c>
      <c r="Y2214" s="283">
        <v>0</v>
      </c>
      <c r="Z2214" s="283">
        <v>1</v>
      </c>
      <c r="AA2214" s="283">
        <v>1</v>
      </c>
      <c r="AB2214" s="283">
        <v>1</v>
      </c>
      <c r="AC2214" s="316">
        <v>0</v>
      </c>
      <c r="AD2214" s="316">
        <v>1</v>
      </c>
      <c r="AE2214" s="302">
        <f t="shared" si="91"/>
        <v>0.625</v>
      </c>
      <c r="AF2214" s="310"/>
      <c r="AG2214" s="17">
        <v>1</v>
      </c>
      <c r="AH2214" s="310">
        <v>0.98699999999999999</v>
      </c>
      <c r="AI2214" s="310">
        <v>0.98699999999999999</v>
      </c>
      <c r="AJ2214" s="310">
        <v>0.98699999999999999</v>
      </c>
      <c r="AK2214" s="317">
        <v>1.73</v>
      </c>
      <c r="AL2214" s="317">
        <v>1.99</v>
      </c>
      <c r="AM2214" s="147">
        <f t="shared" si="90"/>
        <v>3.7199999999999998</v>
      </c>
      <c r="AN2214" s="283" t="s">
        <v>2074</v>
      </c>
      <c r="AO2214" s="18" t="s">
        <v>2075</v>
      </c>
      <c r="AP2214" s="283" t="s">
        <v>2193</v>
      </c>
    </row>
    <row r="2215" spans="1:42" s="18" customFormat="1" x14ac:dyDescent="0.3">
      <c r="A2215" s="156" t="s">
        <v>1455</v>
      </c>
      <c r="B2215" s="18" t="s">
        <v>2061</v>
      </c>
      <c r="C2215" s="18">
        <v>112</v>
      </c>
      <c r="D2215" s="18" t="s">
        <v>2141</v>
      </c>
      <c r="E2215" s="18">
        <v>1122</v>
      </c>
      <c r="F2215" s="157" t="s">
        <v>2142</v>
      </c>
      <c r="G2215" s="18">
        <v>112202</v>
      </c>
      <c r="H2215" s="157" t="s">
        <v>2189</v>
      </c>
      <c r="I2215" s="157"/>
      <c r="J2215" s="157"/>
      <c r="K2215" s="18">
        <v>11220203</v>
      </c>
      <c r="L2215" s="157" t="s">
        <v>2199</v>
      </c>
      <c r="M2215" s="157" t="s">
        <v>2202</v>
      </c>
      <c r="N2215" s="444"/>
      <c r="O2215" s="444">
        <v>50</v>
      </c>
      <c r="P2215" s="160">
        <v>70</v>
      </c>
      <c r="Q2215" s="160">
        <v>75</v>
      </c>
      <c r="R2215" s="160">
        <v>80</v>
      </c>
      <c r="S2215" s="160">
        <v>90</v>
      </c>
      <c r="T2215" s="18" t="s">
        <v>2068</v>
      </c>
      <c r="U2215" s="283" t="e">
        <v>#N/A</v>
      </c>
      <c r="V2215" s="283" t="s">
        <v>2203</v>
      </c>
      <c r="W2215" s="283">
        <v>1</v>
      </c>
      <c r="X2215" s="283">
        <v>0</v>
      </c>
      <c r="Y2215" s="283">
        <v>0</v>
      </c>
      <c r="Z2215" s="283">
        <v>1</v>
      </c>
      <c r="AA2215" s="283">
        <v>1</v>
      </c>
      <c r="AB2215" s="283">
        <v>1</v>
      </c>
      <c r="AC2215" s="316">
        <v>0</v>
      </c>
      <c r="AD2215" s="316">
        <v>1</v>
      </c>
      <c r="AE2215" s="302">
        <f t="shared" si="91"/>
        <v>0.625</v>
      </c>
      <c r="AF2215" s="310"/>
      <c r="AG2215" s="17">
        <v>0</v>
      </c>
      <c r="AH2215" s="310">
        <v>2.5</v>
      </c>
      <c r="AI2215" s="310">
        <v>3.5</v>
      </c>
      <c r="AJ2215" s="310">
        <v>4.5</v>
      </c>
      <c r="AK2215" s="317">
        <v>3.5</v>
      </c>
      <c r="AL2215" s="317">
        <v>3</v>
      </c>
      <c r="AM2215" s="147">
        <f t="shared" si="90"/>
        <v>6.5</v>
      </c>
      <c r="AN2215" s="283" t="s">
        <v>2084</v>
      </c>
      <c r="AO2215" s="18" t="s">
        <v>241</v>
      </c>
      <c r="AP2215" s="283" t="s">
        <v>2193</v>
      </c>
    </row>
    <row r="2216" spans="1:42" s="10" customFormat="1" x14ac:dyDescent="0.3">
      <c r="A2216" s="156" t="s">
        <v>1455</v>
      </c>
      <c r="B2216" s="18" t="s">
        <v>2061</v>
      </c>
      <c r="C2216" s="18">
        <v>112</v>
      </c>
      <c r="D2216" s="18" t="s">
        <v>2141</v>
      </c>
      <c r="E2216" s="18">
        <v>1122</v>
      </c>
      <c r="F2216" s="157" t="s">
        <v>2142</v>
      </c>
      <c r="G2216" s="18">
        <v>112202</v>
      </c>
      <c r="H2216" s="157" t="s">
        <v>2189</v>
      </c>
      <c r="I2216" s="157"/>
      <c r="J2216" s="157"/>
      <c r="K2216" s="18">
        <v>11220203</v>
      </c>
      <c r="L2216" s="157" t="s">
        <v>2199</v>
      </c>
      <c r="M2216" s="18" t="s">
        <v>2204</v>
      </c>
      <c r="N2216" s="444"/>
      <c r="O2216" s="430">
        <v>15</v>
      </c>
      <c r="P2216" s="19">
        <v>20</v>
      </c>
      <c r="Q2216" s="19">
        <v>25</v>
      </c>
      <c r="R2216" s="19">
        <v>30</v>
      </c>
      <c r="S2216" s="19">
        <v>35</v>
      </c>
      <c r="T2216" s="10" t="s">
        <v>2072</v>
      </c>
      <c r="U2216" s="283" t="e">
        <v>#N/A</v>
      </c>
      <c r="V2216" s="322" t="s">
        <v>2205</v>
      </c>
      <c r="W2216" s="283">
        <v>1</v>
      </c>
      <c r="X2216" s="283">
        <v>0</v>
      </c>
      <c r="Y2216" s="283">
        <v>0</v>
      </c>
      <c r="Z2216" s="283">
        <v>1</v>
      </c>
      <c r="AA2216" s="283">
        <v>0</v>
      </c>
      <c r="AB2216" s="283">
        <v>0</v>
      </c>
      <c r="AC2216" s="316">
        <v>0</v>
      </c>
      <c r="AD2216" s="316">
        <v>1</v>
      </c>
      <c r="AE2216" s="302">
        <f t="shared" si="91"/>
        <v>0.375</v>
      </c>
      <c r="AF2216" s="310"/>
      <c r="AG2216" s="17">
        <v>1</v>
      </c>
      <c r="AH2216" s="310">
        <v>0.06</v>
      </c>
      <c r="AI2216" s="310">
        <v>0.06</v>
      </c>
      <c r="AJ2216" s="310">
        <v>0.06</v>
      </c>
      <c r="AK2216" s="317">
        <v>0.06</v>
      </c>
      <c r="AL2216" s="317">
        <v>0.06</v>
      </c>
      <c r="AM2216" s="147">
        <f t="shared" si="90"/>
        <v>0.12</v>
      </c>
      <c r="AN2216" s="283" t="s">
        <v>2074</v>
      </c>
      <c r="AO2216" s="18" t="s">
        <v>2075</v>
      </c>
      <c r="AP2216" s="283" t="s">
        <v>119</v>
      </c>
    </row>
    <row r="2217" spans="1:42" s="18" customFormat="1" x14ac:dyDescent="0.3">
      <c r="A2217" s="156" t="s">
        <v>1455</v>
      </c>
      <c r="B2217" s="18" t="s">
        <v>2061</v>
      </c>
      <c r="C2217" s="18">
        <v>112</v>
      </c>
      <c r="D2217" s="18" t="s">
        <v>2141</v>
      </c>
      <c r="E2217" s="18">
        <v>1122</v>
      </c>
      <c r="F2217" s="157" t="s">
        <v>2142</v>
      </c>
      <c r="G2217" s="18">
        <v>112202</v>
      </c>
      <c r="H2217" s="157" t="s">
        <v>2189</v>
      </c>
      <c r="I2217" s="157"/>
      <c r="J2217" s="157"/>
      <c r="K2217" s="18">
        <v>11220203</v>
      </c>
      <c r="L2217" s="157" t="s">
        <v>2199</v>
      </c>
      <c r="M2217" s="162" t="s">
        <v>2206</v>
      </c>
      <c r="N2217" s="444"/>
      <c r="O2217" s="445">
        <v>20</v>
      </c>
      <c r="P2217" s="169">
        <v>40</v>
      </c>
      <c r="Q2217" s="169">
        <v>50</v>
      </c>
      <c r="R2217" s="169">
        <v>60</v>
      </c>
      <c r="S2217" s="169">
        <v>70</v>
      </c>
      <c r="T2217" s="10" t="s">
        <v>2072</v>
      </c>
      <c r="U2217" s="283" t="e">
        <v>#N/A</v>
      </c>
      <c r="V2217" s="283" t="s">
        <v>2207</v>
      </c>
      <c r="W2217" s="283">
        <v>1</v>
      </c>
      <c r="X2217" s="283">
        <v>0</v>
      </c>
      <c r="Y2217" s="283">
        <v>0</v>
      </c>
      <c r="Z2217" s="283">
        <v>1</v>
      </c>
      <c r="AA2217" s="283">
        <v>1</v>
      </c>
      <c r="AB2217" s="283">
        <v>0</v>
      </c>
      <c r="AC2217" s="316">
        <v>0</v>
      </c>
      <c r="AD2217" s="316">
        <v>1</v>
      </c>
      <c r="AE2217" s="302">
        <f t="shared" si="91"/>
        <v>0.5</v>
      </c>
      <c r="AF2217" s="310"/>
      <c r="AG2217" s="17">
        <v>1</v>
      </c>
      <c r="AH2217" s="310">
        <v>0.06</v>
      </c>
      <c r="AI2217" s="310">
        <v>0.06</v>
      </c>
      <c r="AJ2217" s="310">
        <v>0.06</v>
      </c>
      <c r="AK2217" s="317">
        <v>0.06</v>
      </c>
      <c r="AL2217" s="317">
        <v>0.06</v>
      </c>
      <c r="AM2217" s="147">
        <f t="shared" si="90"/>
        <v>0.12</v>
      </c>
      <c r="AN2217" s="283" t="s">
        <v>2074</v>
      </c>
      <c r="AO2217" s="18" t="s">
        <v>2075</v>
      </c>
      <c r="AP2217" s="283" t="s">
        <v>119</v>
      </c>
    </row>
    <row r="2218" spans="1:42" s="18" customFormat="1" x14ac:dyDescent="0.3">
      <c r="A2218" s="156" t="s">
        <v>1455</v>
      </c>
      <c r="B2218" s="18" t="s">
        <v>2061</v>
      </c>
      <c r="C2218" s="18">
        <v>112</v>
      </c>
      <c r="D2218" s="18" t="s">
        <v>2141</v>
      </c>
      <c r="E2218" s="18">
        <v>1122</v>
      </c>
      <c r="F2218" s="157" t="s">
        <v>2142</v>
      </c>
      <c r="G2218" s="18">
        <v>112202</v>
      </c>
      <c r="H2218" s="157" t="s">
        <v>2189</v>
      </c>
      <c r="I2218" s="157"/>
      <c r="J2218" s="157"/>
      <c r="K2218" s="18">
        <v>11220203</v>
      </c>
      <c r="L2218" s="157" t="s">
        <v>2199</v>
      </c>
      <c r="M2218" s="162" t="s">
        <v>2208</v>
      </c>
      <c r="N2218" s="444"/>
      <c r="O2218" s="445" t="s">
        <v>271</v>
      </c>
      <c r="P2218" s="169">
        <v>10</v>
      </c>
      <c r="Q2218" s="169">
        <v>15</v>
      </c>
      <c r="R2218" s="169">
        <v>20</v>
      </c>
      <c r="S2218" s="169">
        <v>25</v>
      </c>
      <c r="T2218" s="10" t="s">
        <v>2072</v>
      </c>
      <c r="U2218" s="283" t="e">
        <v>#N/A</v>
      </c>
      <c r="V2218" s="283" t="s">
        <v>2209</v>
      </c>
      <c r="W2218" s="283">
        <v>1</v>
      </c>
      <c r="X2218" s="283">
        <v>0</v>
      </c>
      <c r="Y2218" s="283">
        <v>0</v>
      </c>
      <c r="Z2218" s="283">
        <v>1</v>
      </c>
      <c r="AA2218" s="283">
        <v>1</v>
      </c>
      <c r="AB2218" s="283">
        <v>0</v>
      </c>
      <c r="AC2218" s="316">
        <v>0</v>
      </c>
      <c r="AD2218" s="316">
        <v>1</v>
      </c>
      <c r="AE2218" s="302">
        <f t="shared" si="91"/>
        <v>0.5</v>
      </c>
      <c r="AF2218" s="310"/>
      <c r="AG2218" s="17">
        <v>1</v>
      </c>
      <c r="AH2218" s="310">
        <v>0.06</v>
      </c>
      <c r="AI2218" s="310">
        <v>0.06</v>
      </c>
      <c r="AJ2218" s="310">
        <v>0.06</v>
      </c>
      <c r="AK2218" s="317">
        <v>0.06</v>
      </c>
      <c r="AL2218" s="317">
        <v>0.06</v>
      </c>
      <c r="AM2218" s="147">
        <f t="shared" si="90"/>
        <v>0.12</v>
      </c>
      <c r="AN2218" s="283" t="s">
        <v>2074</v>
      </c>
      <c r="AO2218" s="18" t="s">
        <v>2075</v>
      </c>
      <c r="AP2218" s="283" t="s">
        <v>119</v>
      </c>
    </row>
    <row r="2219" spans="1:42" s="18" customFormat="1" x14ac:dyDescent="0.3">
      <c r="A2219" s="156" t="s">
        <v>1455</v>
      </c>
      <c r="B2219" s="18" t="s">
        <v>2061</v>
      </c>
      <c r="C2219" s="18">
        <v>112</v>
      </c>
      <c r="D2219" s="18" t="s">
        <v>2141</v>
      </c>
      <c r="E2219" s="18">
        <v>1122</v>
      </c>
      <c r="F2219" s="157" t="s">
        <v>2142</v>
      </c>
      <c r="G2219" s="18">
        <v>112202</v>
      </c>
      <c r="H2219" s="157" t="s">
        <v>2189</v>
      </c>
      <c r="I2219" s="157"/>
      <c r="J2219" s="157"/>
      <c r="K2219" s="18">
        <v>11220203</v>
      </c>
      <c r="L2219" s="157" t="s">
        <v>2199</v>
      </c>
      <c r="M2219" s="162" t="s">
        <v>2210</v>
      </c>
      <c r="N2219" s="444"/>
      <c r="O2219" s="443"/>
      <c r="P2219" s="169">
        <v>30</v>
      </c>
      <c r="Q2219" s="169">
        <v>80</v>
      </c>
      <c r="R2219" s="169">
        <v>100</v>
      </c>
      <c r="S2219" s="169">
        <v>110</v>
      </c>
      <c r="T2219" s="10" t="s">
        <v>2072</v>
      </c>
      <c r="U2219" s="283" t="e">
        <v>#N/A</v>
      </c>
      <c r="V2219" s="321" t="s">
        <v>2211</v>
      </c>
      <c r="W2219" s="283">
        <v>1</v>
      </c>
      <c r="X2219" s="283">
        <v>0</v>
      </c>
      <c r="Y2219" s="283">
        <v>0</v>
      </c>
      <c r="Z2219" s="283">
        <v>1</v>
      </c>
      <c r="AA2219" s="283">
        <v>0</v>
      </c>
      <c r="AB2219" s="283">
        <v>0</v>
      </c>
      <c r="AC2219" s="316">
        <v>0</v>
      </c>
      <c r="AD2219" s="316">
        <v>0</v>
      </c>
      <c r="AE2219" s="302">
        <f t="shared" si="91"/>
        <v>0.25</v>
      </c>
      <c r="AF2219" s="310"/>
      <c r="AG2219" s="17">
        <v>0</v>
      </c>
      <c r="AH2219" s="310">
        <v>0.14000000000000001</v>
      </c>
      <c r="AI2219" s="310">
        <v>0.14000000000000001</v>
      </c>
      <c r="AJ2219" s="310">
        <v>0.14000000000000001</v>
      </c>
      <c r="AK2219" s="317">
        <v>0</v>
      </c>
      <c r="AL2219" s="317">
        <v>0</v>
      </c>
      <c r="AM2219" s="147">
        <f t="shared" si="90"/>
        <v>0</v>
      </c>
      <c r="AN2219" s="283" t="s">
        <v>2074</v>
      </c>
      <c r="AO2219" s="18" t="s">
        <v>2075</v>
      </c>
      <c r="AP2219" s="283" t="s">
        <v>119</v>
      </c>
    </row>
    <row r="2220" spans="1:42" s="18" customFormat="1" x14ac:dyDescent="0.3">
      <c r="A2220" s="156" t="s">
        <v>1455</v>
      </c>
      <c r="B2220" s="18" t="s">
        <v>2061</v>
      </c>
      <c r="C2220" s="18">
        <v>112</v>
      </c>
      <c r="D2220" s="18" t="s">
        <v>2141</v>
      </c>
      <c r="E2220" s="18">
        <v>1122</v>
      </c>
      <c r="F2220" s="157" t="s">
        <v>2142</v>
      </c>
      <c r="G2220" s="18">
        <v>112202</v>
      </c>
      <c r="H2220" s="157" t="s">
        <v>2189</v>
      </c>
      <c r="I2220" s="157"/>
      <c r="J2220" s="157"/>
      <c r="K2220" s="18">
        <v>11220203</v>
      </c>
      <c r="L2220" s="157" t="s">
        <v>2199</v>
      </c>
      <c r="M2220" s="162"/>
      <c r="N2220" s="444"/>
      <c r="O2220" s="443"/>
      <c r="P2220" s="169"/>
      <c r="Q2220" s="169"/>
      <c r="R2220" s="169"/>
      <c r="S2220" s="169"/>
      <c r="T2220" s="10" t="s">
        <v>2072</v>
      </c>
      <c r="U2220" s="283" t="e">
        <v>#N/A</v>
      </c>
      <c r="V2220" s="283" t="s">
        <v>2212</v>
      </c>
      <c r="W2220" s="283">
        <v>1</v>
      </c>
      <c r="X2220" s="283">
        <v>0</v>
      </c>
      <c r="Y2220" s="283">
        <v>0</v>
      </c>
      <c r="Z2220" s="283">
        <v>1</v>
      </c>
      <c r="AA2220" s="283">
        <v>1</v>
      </c>
      <c r="AB2220" s="283">
        <v>0</v>
      </c>
      <c r="AC2220" s="316">
        <v>0</v>
      </c>
      <c r="AD2220" s="316">
        <v>1</v>
      </c>
      <c r="AE2220" s="302">
        <f t="shared" si="91"/>
        <v>0.5</v>
      </c>
      <c r="AF2220" s="310"/>
      <c r="AG2220" s="17">
        <v>1</v>
      </c>
      <c r="AH2220" s="310">
        <v>1.518</v>
      </c>
      <c r="AI2220" s="310">
        <v>1.518</v>
      </c>
      <c r="AJ2220" s="310">
        <v>1.518</v>
      </c>
      <c r="AK2220" s="317">
        <v>5.1999999999999998E-2</v>
      </c>
      <c r="AL2220" s="317">
        <v>0.06</v>
      </c>
      <c r="AM2220" s="147">
        <f t="shared" si="90"/>
        <v>0.11199999999999999</v>
      </c>
      <c r="AN2220" s="283" t="s">
        <v>2074</v>
      </c>
      <c r="AO2220" s="18" t="s">
        <v>2075</v>
      </c>
      <c r="AP2220" s="283" t="s">
        <v>2193</v>
      </c>
    </row>
    <row r="2221" spans="1:42" s="18" customFormat="1" x14ac:dyDescent="0.3">
      <c r="A2221" s="156" t="s">
        <v>1455</v>
      </c>
      <c r="B2221" s="18" t="s">
        <v>2061</v>
      </c>
      <c r="C2221" s="18">
        <v>112</v>
      </c>
      <c r="D2221" s="18" t="s">
        <v>2141</v>
      </c>
      <c r="E2221" s="18">
        <v>1122</v>
      </c>
      <c r="F2221" s="157" t="s">
        <v>2142</v>
      </c>
      <c r="G2221" s="18">
        <v>112202</v>
      </c>
      <c r="H2221" s="157" t="s">
        <v>2189</v>
      </c>
      <c r="I2221" s="157"/>
      <c r="J2221" s="157"/>
      <c r="K2221" s="18">
        <v>11220204</v>
      </c>
      <c r="L2221" s="157" t="s">
        <v>2213</v>
      </c>
      <c r="M2221" s="162" t="s">
        <v>2214</v>
      </c>
      <c r="N2221" s="443">
        <v>0</v>
      </c>
      <c r="O2221" s="445">
        <v>10</v>
      </c>
      <c r="P2221" s="169">
        <v>20</v>
      </c>
      <c r="Q2221" s="169">
        <v>30</v>
      </c>
      <c r="R2221" s="169">
        <v>35</v>
      </c>
      <c r="S2221" s="169">
        <v>40</v>
      </c>
      <c r="T2221" s="10" t="s">
        <v>2072</v>
      </c>
      <c r="U2221" s="283" t="e">
        <v>#N/A</v>
      </c>
      <c r="V2221" s="283" t="s">
        <v>2215</v>
      </c>
      <c r="W2221" s="283"/>
      <c r="X2221" s="283"/>
      <c r="Y2221" s="283"/>
      <c r="Z2221" s="283"/>
      <c r="AA2221" s="283"/>
      <c r="AB2221" s="283"/>
      <c r="AC2221" s="316"/>
      <c r="AD2221" s="316"/>
      <c r="AE2221" s="302">
        <f t="shared" si="91"/>
        <v>0</v>
      </c>
      <c r="AF2221" s="310"/>
      <c r="AG2221" s="17">
        <v>0</v>
      </c>
      <c r="AH2221" s="310">
        <v>3.9</v>
      </c>
      <c r="AI2221" s="310">
        <v>3.9</v>
      </c>
      <c r="AJ2221" s="310">
        <v>1.7290000000000001</v>
      </c>
      <c r="AK2221" s="317">
        <v>0.01</v>
      </c>
      <c r="AL2221" s="317">
        <v>0.02</v>
      </c>
      <c r="AM2221" s="147">
        <f t="shared" si="90"/>
        <v>0.03</v>
      </c>
      <c r="AN2221" s="283" t="s">
        <v>2074</v>
      </c>
      <c r="AO2221" s="18" t="s">
        <v>2075</v>
      </c>
      <c r="AP2221" s="283" t="s">
        <v>119</v>
      </c>
    </row>
    <row r="2222" spans="1:42" s="18" customFormat="1" x14ac:dyDescent="0.3">
      <c r="A2222" s="156" t="s">
        <v>1455</v>
      </c>
      <c r="B2222" s="18" t="s">
        <v>2061</v>
      </c>
      <c r="C2222" s="18">
        <v>112</v>
      </c>
      <c r="D2222" s="18" t="s">
        <v>2141</v>
      </c>
      <c r="E2222" s="18">
        <v>1122</v>
      </c>
      <c r="F2222" s="157" t="s">
        <v>2142</v>
      </c>
      <c r="G2222" s="18">
        <v>112202</v>
      </c>
      <c r="H2222" s="157" t="s">
        <v>2189</v>
      </c>
      <c r="I2222" s="157"/>
      <c r="J2222" s="157"/>
      <c r="K2222" s="18">
        <v>11220204</v>
      </c>
      <c r="L2222" s="157" t="s">
        <v>2213</v>
      </c>
      <c r="M2222" s="162"/>
      <c r="N2222" s="444"/>
      <c r="O2222" s="443"/>
      <c r="P2222" s="169"/>
      <c r="Q2222" s="169"/>
      <c r="R2222" s="169"/>
      <c r="S2222" s="169"/>
      <c r="T2222" s="10"/>
      <c r="U2222" s="283" t="e">
        <v>#N/A</v>
      </c>
      <c r="V2222" s="283" t="s">
        <v>2216</v>
      </c>
      <c r="W2222" s="283"/>
      <c r="X2222" s="283"/>
      <c r="Y2222" s="283"/>
      <c r="Z2222" s="283"/>
      <c r="AA2222" s="283"/>
      <c r="AB2222" s="283"/>
      <c r="AC2222" s="316"/>
      <c r="AD2222" s="316"/>
      <c r="AE2222" s="302">
        <f t="shared" si="91"/>
        <v>0</v>
      </c>
      <c r="AF2222" s="17"/>
      <c r="AG2222" s="17">
        <v>0</v>
      </c>
      <c r="AH2222" s="17">
        <v>0</v>
      </c>
      <c r="AI2222" s="17">
        <v>0</v>
      </c>
      <c r="AJ2222" s="17">
        <v>0</v>
      </c>
      <c r="AK2222" s="153">
        <v>0</v>
      </c>
      <c r="AL2222" s="154">
        <v>0</v>
      </c>
      <c r="AM2222" s="147">
        <f t="shared" si="90"/>
        <v>0</v>
      </c>
      <c r="AN2222" s="283" t="s">
        <v>2074</v>
      </c>
      <c r="AO2222" s="18" t="s">
        <v>2075</v>
      </c>
      <c r="AP2222" s="283" t="s">
        <v>119</v>
      </c>
    </row>
    <row r="2223" spans="1:42" s="18" customFormat="1" x14ac:dyDescent="0.3">
      <c r="A2223" s="156" t="s">
        <v>1455</v>
      </c>
      <c r="B2223" s="18" t="s">
        <v>2061</v>
      </c>
      <c r="C2223" s="18">
        <v>112</v>
      </c>
      <c r="D2223" s="18" t="s">
        <v>2141</v>
      </c>
      <c r="E2223" s="18">
        <v>1122</v>
      </c>
      <c r="F2223" s="157" t="s">
        <v>2142</v>
      </c>
      <c r="G2223" s="18">
        <v>112203</v>
      </c>
      <c r="H2223" s="157" t="s">
        <v>2217</v>
      </c>
      <c r="I2223" s="157"/>
      <c r="J2223" s="157"/>
      <c r="K2223" s="18">
        <v>11220301</v>
      </c>
      <c r="L2223" s="157" t="s">
        <v>2218</v>
      </c>
      <c r="M2223" s="157" t="s">
        <v>2219</v>
      </c>
      <c r="N2223" s="444">
        <v>0</v>
      </c>
      <c r="O2223" s="430" t="s">
        <v>271</v>
      </c>
      <c r="P2223" s="19">
        <v>1</v>
      </c>
      <c r="Q2223" s="19" t="s">
        <v>271</v>
      </c>
      <c r="R2223" s="19" t="s">
        <v>271</v>
      </c>
      <c r="S2223" s="19" t="s">
        <v>271</v>
      </c>
      <c r="T2223" s="18" t="s">
        <v>2196</v>
      </c>
      <c r="U2223" s="283" t="e">
        <v>#N/A</v>
      </c>
      <c r="V2223" s="309" t="s">
        <v>2220</v>
      </c>
      <c r="W2223" s="283"/>
      <c r="X2223" s="283"/>
      <c r="Y2223" s="283"/>
      <c r="Z2223" s="283"/>
      <c r="AA2223" s="283"/>
      <c r="AB2223" s="283"/>
      <c r="AC2223" s="316"/>
      <c r="AD2223" s="316"/>
      <c r="AE2223" s="302">
        <f t="shared" si="91"/>
        <v>0</v>
      </c>
      <c r="AF2223" s="310"/>
      <c r="AG2223" s="17">
        <v>0</v>
      </c>
      <c r="AH2223" s="310">
        <v>0.05</v>
      </c>
      <c r="AI2223" s="310">
        <v>0</v>
      </c>
      <c r="AJ2223" s="310">
        <v>0</v>
      </c>
      <c r="AK2223" s="317">
        <v>0</v>
      </c>
      <c r="AL2223" s="317" t="s">
        <v>2089</v>
      </c>
      <c r="AM2223" s="147">
        <f t="shared" si="90"/>
        <v>0</v>
      </c>
      <c r="AN2223" s="283" t="s">
        <v>239</v>
      </c>
      <c r="AO2223" s="18" t="s">
        <v>241</v>
      </c>
      <c r="AP2223" s="283" t="s">
        <v>2221</v>
      </c>
    </row>
    <row r="2224" spans="1:42" s="18" customFormat="1" x14ac:dyDescent="0.3">
      <c r="A2224" s="156" t="s">
        <v>1455</v>
      </c>
      <c r="B2224" s="18" t="s">
        <v>2061</v>
      </c>
      <c r="C2224" s="18">
        <v>112</v>
      </c>
      <c r="D2224" s="18" t="s">
        <v>2141</v>
      </c>
      <c r="E2224" s="18">
        <v>1122</v>
      </c>
      <c r="F2224" s="157" t="s">
        <v>2142</v>
      </c>
      <c r="G2224" s="18">
        <v>112203</v>
      </c>
      <c r="H2224" s="157" t="s">
        <v>2217</v>
      </c>
      <c r="I2224" s="157"/>
      <c r="J2224" s="157"/>
      <c r="K2224" s="18">
        <v>11220301</v>
      </c>
      <c r="L2224" s="157" t="s">
        <v>2218</v>
      </c>
      <c r="M2224" s="157"/>
      <c r="N2224" s="444"/>
      <c r="O2224" s="430"/>
      <c r="P2224" s="19"/>
      <c r="Q2224" s="19"/>
      <c r="R2224" s="19"/>
      <c r="S2224" s="19"/>
      <c r="U2224" s="283" t="e">
        <v>#N/A</v>
      </c>
      <c r="V2224" s="283" t="s">
        <v>2222</v>
      </c>
      <c r="W2224" s="283">
        <v>1</v>
      </c>
      <c r="X2224" s="283">
        <v>0</v>
      </c>
      <c r="Y2224" s="283">
        <v>0</v>
      </c>
      <c r="Z2224" s="283">
        <v>1</v>
      </c>
      <c r="AA2224" s="283">
        <v>1</v>
      </c>
      <c r="AB2224" s="283">
        <v>0</v>
      </c>
      <c r="AC2224" s="316">
        <v>0</v>
      </c>
      <c r="AD2224" s="316">
        <v>0</v>
      </c>
      <c r="AE2224" s="302">
        <f t="shared" si="91"/>
        <v>0.375</v>
      </c>
      <c r="AF2224" s="310"/>
      <c r="AG2224" s="17">
        <v>0</v>
      </c>
      <c r="AH2224" s="310">
        <v>0.03</v>
      </c>
      <c r="AI2224" s="310">
        <v>0.03</v>
      </c>
      <c r="AJ2224" s="310">
        <v>0.03</v>
      </c>
      <c r="AK2224" s="317">
        <v>0.03</v>
      </c>
      <c r="AL2224" s="317">
        <v>0.03</v>
      </c>
      <c r="AM2224" s="147">
        <f t="shared" si="90"/>
        <v>0.06</v>
      </c>
      <c r="AN2224" s="283" t="s">
        <v>239</v>
      </c>
      <c r="AO2224" s="18" t="s">
        <v>241</v>
      </c>
      <c r="AP2224" s="283" t="s">
        <v>2221</v>
      </c>
    </row>
    <row r="2225" spans="1:42" s="18" customFormat="1" x14ac:dyDescent="0.3">
      <c r="A2225" s="156" t="s">
        <v>1455</v>
      </c>
      <c r="B2225" s="18" t="s">
        <v>2061</v>
      </c>
      <c r="C2225" s="18">
        <v>112</v>
      </c>
      <c r="D2225" s="18" t="s">
        <v>2141</v>
      </c>
      <c r="E2225" s="18">
        <v>1122</v>
      </c>
      <c r="F2225" s="157" t="s">
        <v>2142</v>
      </c>
      <c r="G2225" s="18">
        <v>112204</v>
      </c>
      <c r="H2225" s="157" t="s">
        <v>2223</v>
      </c>
      <c r="I2225" s="157"/>
      <c r="J2225" s="157"/>
      <c r="K2225" s="18">
        <v>11220401</v>
      </c>
      <c r="L2225" s="161" t="s">
        <v>2224</v>
      </c>
      <c r="M2225" s="157" t="s">
        <v>2225</v>
      </c>
      <c r="N2225" s="430">
        <v>2</v>
      </c>
      <c r="O2225" s="430">
        <v>6</v>
      </c>
      <c r="P2225" s="19">
        <v>10</v>
      </c>
      <c r="Q2225" s="19">
        <v>14</v>
      </c>
      <c r="R2225" s="19">
        <v>18</v>
      </c>
      <c r="S2225" s="19">
        <v>22</v>
      </c>
      <c r="T2225" s="10" t="s">
        <v>2226</v>
      </c>
      <c r="U2225" s="283" t="e">
        <v>#N/A</v>
      </c>
      <c r="V2225" s="283" t="s">
        <v>2227</v>
      </c>
      <c r="W2225" s="283">
        <v>1</v>
      </c>
      <c r="X2225" s="283">
        <v>0</v>
      </c>
      <c r="Y2225" s="283">
        <v>0</v>
      </c>
      <c r="Z2225" s="283">
        <v>1</v>
      </c>
      <c r="AA2225" s="283">
        <v>1</v>
      </c>
      <c r="AB2225" s="283">
        <v>0</v>
      </c>
      <c r="AC2225" s="316">
        <v>1</v>
      </c>
      <c r="AD2225" s="316">
        <v>1</v>
      </c>
      <c r="AE2225" s="302">
        <f t="shared" si="91"/>
        <v>0.625</v>
      </c>
      <c r="AF2225" s="310"/>
      <c r="AG2225" s="17">
        <v>0</v>
      </c>
      <c r="AH2225" s="310">
        <v>0</v>
      </c>
      <c r="AI2225" s="310">
        <v>0.1</v>
      </c>
      <c r="AJ2225" s="310">
        <v>0.1</v>
      </c>
      <c r="AK2225" s="317">
        <v>0.1</v>
      </c>
      <c r="AL2225" s="317">
        <v>0.1</v>
      </c>
      <c r="AM2225" s="147">
        <f t="shared" si="90"/>
        <v>0.2</v>
      </c>
      <c r="AN2225" s="283" t="s">
        <v>2228</v>
      </c>
      <c r="AO2225" s="18" t="s">
        <v>241</v>
      </c>
      <c r="AP2225" s="283" t="s">
        <v>119</v>
      </c>
    </row>
    <row r="2226" spans="1:42" s="18" customFormat="1" x14ac:dyDescent="0.3">
      <c r="A2226" s="156" t="s">
        <v>1455</v>
      </c>
      <c r="B2226" s="18" t="s">
        <v>2061</v>
      </c>
      <c r="C2226" s="18">
        <v>112</v>
      </c>
      <c r="D2226" s="18" t="s">
        <v>2141</v>
      </c>
      <c r="E2226" s="18">
        <v>1122</v>
      </c>
      <c r="F2226" s="157" t="s">
        <v>2142</v>
      </c>
      <c r="G2226" s="18">
        <v>112204</v>
      </c>
      <c r="H2226" s="157" t="s">
        <v>2223</v>
      </c>
      <c r="I2226" s="157"/>
      <c r="J2226" s="157"/>
      <c r="K2226" s="18">
        <v>11220401</v>
      </c>
      <c r="L2226" s="161" t="s">
        <v>2224</v>
      </c>
      <c r="M2226" s="157" t="s">
        <v>2229</v>
      </c>
      <c r="N2226" s="430">
        <v>2</v>
      </c>
      <c r="O2226" s="430">
        <v>4</v>
      </c>
      <c r="P2226" s="19">
        <v>6</v>
      </c>
      <c r="Q2226" s="19">
        <v>8</v>
      </c>
      <c r="R2226" s="19">
        <v>10</v>
      </c>
      <c r="S2226" s="19">
        <v>12</v>
      </c>
      <c r="T2226" s="18" t="s">
        <v>2226</v>
      </c>
      <c r="U2226" s="283" t="e">
        <v>#N/A</v>
      </c>
      <c r="V2226" s="283" t="s">
        <v>2230</v>
      </c>
      <c r="W2226" s="283">
        <v>1</v>
      </c>
      <c r="X2226" s="283">
        <v>0</v>
      </c>
      <c r="Y2226" s="283">
        <v>0</v>
      </c>
      <c r="Z2226" s="283">
        <v>1</v>
      </c>
      <c r="AA2226" s="283">
        <v>0</v>
      </c>
      <c r="AB2226" s="283">
        <v>1</v>
      </c>
      <c r="AC2226" s="316">
        <v>1</v>
      </c>
      <c r="AD2226" s="316">
        <v>1</v>
      </c>
      <c r="AE2226" s="302">
        <f t="shared" si="91"/>
        <v>0.625</v>
      </c>
      <c r="AF2226" s="310"/>
      <c r="AG2226" s="17">
        <v>0</v>
      </c>
      <c r="AH2226" s="310">
        <v>0</v>
      </c>
      <c r="AI2226" s="310">
        <v>11.2</v>
      </c>
      <c r="AJ2226" s="310">
        <v>2.8</v>
      </c>
      <c r="AK2226" s="317"/>
      <c r="AL2226" s="317"/>
      <c r="AM2226" s="147">
        <f t="shared" ref="AM2226:AM2257" si="92">SUM(AK2226:AL2226)</f>
        <v>0</v>
      </c>
      <c r="AN2226" s="283" t="s">
        <v>2228</v>
      </c>
      <c r="AO2226" s="18" t="s">
        <v>241</v>
      </c>
      <c r="AP2226" s="283" t="s">
        <v>2172</v>
      </c>
    </row>
    <row r="2227" spans="1:42" s="18" customFormat="1" x14ac:dyDescent="0.3">
      <c r="A2227" s="156" t="s">
        <v>1455</v>
      </c>
      <c r="B2227" s="18" t="s">
        <v>2061</v>
      </c>
      <c r="C2227" s="18">
        <v>112</v>
      </c>
      <c r="D2227" s="18" t="s">
        <v>2141</v>
      </c>
      <c r="E2227" s="18">
        <v>1122</v>
      </c>
      <c r="F2227" s="157" t="s">
        <v>2142</v>
      </c>
      <c r="G2227" s="18">
        <v>112204</v>
      </c>
      <c r="H2227" s="157" t="s">
        <v>2223</v>
      </c>
      <c r="I2227" s="157"/>
      <c r="J2227" s="157"/>
      <c r="K2227" s="18">
        <v>11220401</v>
      </c>
      <c r="L2227" s="161" t="s">
        <v>2224</v>
      </c>
      <c r="M2227" s="157" t="s">
        <v>2231</v>
      </c>
      <c r="N2227" s="430">
        <v>0</v>
      </c>
      <c r="O2227" s="430">
        <v>12</v>
      </c>
      <c r="P2227" s="19">
        <v>16</v>
      </c>
      <c r="Q2227" s="19">
        <v>20</v>
      </c>
      <c r="R2227" s="19">
        <v>24</v>
      </c>
      <c r="S2227" s="19">
        <v>28</v>
      </c>
      <c r="T2227" s="18" t="s">
        <v>2226</v>
      </c>
      <c r="U2227" s="283" t="e">
        <v>#N/A</v>
      </c>
      <c r="AC2227" s="316">
        <v>0</v>
      </c>
      <c r="AD2227" s="316">
        <v>0</v>
      </c>
      <c r="AE2227" s="302">
        <f t="shared" si="91"/>
        <v>0</v>
      </c>
      <c r="AF2227" s="17"/>
      <c r="AG2227" s="17">
        <v>0</v>
      </c>
      <c r="AH2227" s="17"/>
      <c r="AI2227" s="17"/>
      <c r="AJ2227" s="17"/>
      <c r="AK2227" s="154"/>
      <c r="AL2227" s="154"/>
      <c r="AM2227" s="147">
        <f t="shared" si="92"/>
        <v>0</v>
      </c>
    </row>
    <row r="2228" spans="1:42" s="18" customFormat="1" x14ac:dyDescent="0.3">
      <c r="A2228" s="156" t="s">
        <v>1455</v>
      </c>
      <c r="B2228" s="18" t="s">
        <v>2061</v>
      </c>
      <c r="C2228" s="18">
        <v>112</v>
      </c>
      <c r="D2228" s="18" t="s">
        <v>2141</v>
      </c>
      <c r="E2228" s="18">
        <v>1122</v>
      </c>
      <c r="F2228" s="157" t="s">
        <v>2142</v>
      </c>
      <c r="G2228" s="18">
        <v>112204</v>
      </c>
      <c r="H2228" s="157" t="s">
        <v>2223</v>
      </c>
      <c r="I2228" s="157"/>
      <c r="J2228" s="157"/>
      <c r="K2228" s="18">
        <v>11220402</v>
      </c>
      <c r="L2228" s="161" t="s">
        <v>2232</v>
      </c>
      <c r="M2228" s="157" t="s">
        <v>2233</v>
      </c>
      <c r="N2228" s="430">
        <v>5</v>
      </c>
      <c r="O2228" s="430">
        <v>30</v>
      </c>
      <c r="P2228" s="19">
        <v>60</v>
      </c>
      <c r="Q2228" s="19">
        <v>100</v>
      </c>
      <c r="R2228" s="19">
        <v>140</v>
      </c>
      <c r="S2228" s="19">
        <v>146</v>
      </c>
      <c r="T2228" s="18" t="s">
        <v>2234</v>
      </c>
      <c r="U2228" s="283" t="s">
        <v>2236</v>
      </c>
      <c r="V2228" s="283" t="s">
        <v>2235</v>
      </c>
      <c r="W2228" s="283">
        <v>1</v>
      </c>
      <c r="X2228" s="283">
        <v>0</v>
      </c>
      <c r="Y2228" s="283">
        <v>0</v>
      </c>
      <c r="Z2228" s="283">
        <v>1</v>
      </c>
      <c r="AA2228" s="283">
        <v>0</v>
      </c>
      <c r="AB2228" s="283">
        <v>1</v>
      </c>
      <c r="AC2228" s="316">
        <v>1</v>
      </c>
      <c r="AD2228" s="316">
        <v>1</v>
      </c>
      <c r="AE2228" s="302">
        <f t="shared" si="91"/>
        <v>0.625</v>
      </c>
      <c r="AF2228" s="310"/>
      <c r="AG2228" s="17">
        <v>0</v>
      </c>
      <c r="AH2228" s="310">
        <v>1.8</v>
      </c>
      <c r="AI2228" s="310">
        <v>2</v>
      </c>
      <c r="AJ2228" s="310">
        <v>2.2000000000000002</v>
      </c>
      <c r="AK2228" s="317">
        <v>2.2000000000000002</v>
      </c>
      <c r="AL2228" s="317">
        <v>2.2000000000000002</v>
      </c>
      <c r="AM2228" s="147">
        <f t="shared" si="92"/>
        <v>4.4000000000000004</v>
      </c>
      <c r="AN2228" s="283" t="s">
        <v>2172</v>
      </c>
      <c r="AO2228" s="18" t="s">
        <v>2236</v>
      </c>
      <c r="AP2228" s="283" t="s">
        <v>2237</v>
      </c>
    </row>
    <row r="2229" spans="1:42" s="18" customFormat="1" x14ac:dyDescent="0.3">
      <c r="A2229" s="156" t="s">
        <v>1455</v>
      </c>
      <c r="B2229" s="18" t="s">
        <v>2061</v>
      </c>
      <c r="C2229" s="18">
        <v>112</v>
      </c>
      <c r="D2229" s="18" t="s">
        <v>2141</v>
      </c>
      <c r="E2229" s="18">
        <v>1122</v>
      </c>
      <c r="F2229" s="157" t="s">
        <v>2142</v>
      </c>
      <c r="G2229" s="18">
        <v>112204</v>
      </c>
      <c r="H2229" s="157" t="s">
        <v>2223</v>
      </c>
      <c r="I2229" s="157"/>
      <c r="J2229" s="157"/>
      <c r="K2229" s="18">
        <v>11220402</v>
      </c>
      <c r="L2229" s="161" t="s">
        <v>2232</v>
      </c>
      <c r="M2229" s="157" t="s">
        <v>2238</v>
      </c>
      <c r="N2229" s="430">
        <v>135</v>
      </c>
      <c r="O2229" s="430">
        <v>140</v>
      </c>
      <c r="P2229" s="19">
        <v>180</v>
      </c>
      <c r="Q2229" s="19">
        <v>220</v>
      </c>
      <c r="R2229" s="19">
        <v>250</v>
      </c>
      <c r="S2229" s="19">
        <v>300</v>
      </c>
      <c r="T2229" s="18" t="s">
        <v>2234</v>
      </c>
      <c r="U2229" s="283" t="s">
        <v>2236</v>
      </c>
      <c r="AC2229" s="316">
        <v>0</v>
      </c>
      <c r="AD2229" s="316">
        <v>0</v>
      </c>
      <c r="AE2229" s="302">
        <f t="shared" ref="AE2229:AE2260" si="93">SUM(W2229:AD2229)/8</f>
        <v>0</v>
      </c>
      <c r="AF2229" s="17"/>
      <c r="AG2229" s="17">
        <v>0</v>
      </c>
      <c r="AH2229" s="17"/>
      <c r="AI2229" s="17"/>
      <c r="AJ2229" s="17"/>
      <c r="AK2229" s="154"/>
      <c r="AL2229" s="154"/>
      <c r="AM2229" s="147">
        <f t="shared" si="92"/>
        <v>0</v>
      </c>
    </row>
    <row r="2230" spans="1:42" s="18" customFormat="1" x14ac:dyDescent="0.3">
      <c r="A2230" s="156" t="s">
        <v>1455</v>
      </c>
      <c r="B2230" s="18" t="s">
        <v>2061</v>
      </c>
      <c r="C2230" s="18">
        <v>112</v>
      </c>
      <c r="D2230" s="18" t="s">
        <v>2141</v>
      </c>
      <c r="E2230" s="18">
        <v>1122</v>
      </c>
      <c r="F2230" s="157" t="s">
        <v>2142</v>
      </c>
      <c r="G2230" s="18">
        <v>112204</v>
      </c>
      <c r="H2230" s="157" t="s">
        <v>2223</v>
      </c>
      <c r="I2230" s="157"/>
      <c r="J2230" s="157"/>
      <c r="K2230" s="18">
        <v>11220403</v>
      </c>
      <c r="L2230" s="10" t="s">
        <v>2239</v>
      </c>
      <c r="M2230" s="18" t="s">
        <v>2240</v>
      </c>
      <c r="N2230" s="430">
        <v>0</v>
      </c>
      <c r="O2230" s="430">
        <v>0</v>
      </c>
      <c r="P2230" s="19">
        <v>0</v>
      </c>
      <c r="Q2230" s="19">
        <v>0</v>
      </c>
      <c r="R2230" s="19">
        <v>0</v>
      </c>
      <c r="S2230" s="19">
        <v>1</v>
      </c>
      <c r="T2230" s="10" t="s">
        <v>2087</v>
      </c>
      <c r="U2230" s="283" t="e">
        <v>#N/A</v>
      </c>
      <c r="V2230" s="323" t="s">
        <v>2241</v>
      </c>
      <c r="W2230" s="283">
        <v>1</v>
      </c>
      <c r="X2230" s="283">
        <v>0</v>
      </c>
      <c r="Y2230" s="283">
        <v>0</v>
      </c>
      <c r="Z2230" s="283">
        <v>1</v>
      </c>
      <c r="AA2230" s="283">
        <v>1</v>
      </c>
      <c r="AB2230" s="283">
        <v>0</v>
      </c>
      <c r="AC2230" s="316">
        <v>0</v>
      </c>
      <c r="AD2230" s="316">
        <v>1</v>
      </c>
      <c r="AE2230" s="302">
        <f t="shared" si="93"/>
        <v>0.5</v>
      </c>
      <c r="AF2230" s="17"/>
      <c r="AG2230" s="17">
        <v>0</v>
      </c>
      <c r="AH2230" s="17">
        <v>0</v>
      </c>
      <c r="AI2230" s="310">
        <v>2.5</v>
      </c>
      <c r="AJ2230" s="310">
        <v>2.5</v>
      </c>
      <c r="AK2230" s="153">
        <v>0.08</v>
      </c>
      <c r="AL2230" s="317" t="s">
        <v>2089</v>
      </c>
      <c r="AM2230" s="147">
        <f t="shared" si="92"/>
        <v>0.08</v>
      </c>
      <c r="AN2230" s="283" t="s">
        <v>239</v>
      </c>
      <c r="AO2230" s="18" t="s">
        <v>241</v>
      </c>
      <c r="AP2230" s="283" t="s">
        <v>119</v>
      </c>
    </row>
    <row r="2231" spans="1:42" s="18" customFormat="1" x14ac:dyDescent="0.3">
      <c r="A2231" s="156" t="s">
        <v>1455</v>
      </c>
      <c r="B2231" s="18" t="s">
        <v>2061</v>
      </c>
      <c r="C2231" s="18">
        <v>112</v>
      </c>
      <c r="D2231" s="18" t="s">
        <v>2141</v>
      </c>
      <c r="E2231" s="18">
        <v>1122</v>
      </c>
      <c r="F2231" s="157" t="s">
        <v>2142</v>
      </c>
      <c r="G2231" s="18">
        <v>112204</v>
      </c>
      <c r="H2231" s="157" t="s">
        <v>2223</v>
      </c>
      <c r="I2231" s="157"/>
      <c r="J2231" s="157"/>
      <c r="K2231" s="18">
        <v>11220403</v>
      </c>
      <c r="L2231" s="10" t="s">
        <v>2239</v>
      </c>
      <c r="N2231" s="430"/>
      <c r="O2231" s="430"/>
      <c r="P2231" s="19"/>
      <c r="Q2231" s="19"/>
      <c r="R2231" s="19"/>
      <c r="S2231" s="19"/>
      <c r="T2231" s="10"/>
      <c r="U2231" s="283" t="e">
        <v>#N/A</v>
      </c>
      <c r="V2231" s="323" t="s">
        <v>2242</v>
      </c>
      <c r="W2231" s="283">
        <v>1</v>
      </c>
      <c r="X2231" s="283">
        <v>0</v>
      </c>
      <c r="Y2231" s="283">
        <v>0</v>
      </c>
      <c r="Z2231" s="283">
        <v>1</v>
      </c>
      <c r="AA2231" s="283">
        <v>1</v>
      </c>
      <c r="AB2231" s="283">
        <v>0</v>
      </c>
      <c r="AC2231" s="316">
        <v>0</v>
      </c>
      <c r="AD2231" s="316">
        <v>1</v>
      </c>
      <c r="AE2231" s="302">
        <f t="shared" si="93"/>
        <v>0.5</v>
      </c>
      <c r="AF2231" s="17"/>
      <c r="AG2231" s="17">
        <v>0</v>
      </c>
      <c r="AH2231" s="17">
        <v>0</v>
      </c>
      <c r="AI2231" s="310">
        <v>1.5</v>
      </c>
      <c r="AJ2231" s="310">
        <v>1.5</v>
      </c>
      <c r="AK2231" s="317">
        <v>2</v>
      </c>
      <c r="AL2231" s="317">
        <v>2</v>
      </c>
      <c r="AM2231" s="147">
        <f t="shared" si="92"/>
        <v>4</v>
      </c>
      <c r="AN2231" s="283" t="s">
        <v>239</v>
      </c>
      <c r="AO2231" s="18" t="s">
        <v>241</v>
      </c>
      <c r="AP2231" s="283" t="s">
        <v>2243</v>
      </c>
    </row>
    <row r="2232" spans="1:42" s="18" customFormat="1" x14ac:dyDescent="0.3">
      <c r="A2232" s="156" t="s">
        <v>1455</v>
      </c>
      <c r="B2232" s="18" t="s">
        <v>2061</v>
      </c>
      <c r="C2232" s="18">
        <v>112</v>
      </c>
      <c r="D2232" s="18" t="s">
        <v>2141</v>
      </c>
      <c r="E2232" s="18">
        <v>1122</v>
      </c>
      <c r="F2232" s="157" t="s">
        <v>2142</v>
      </c>
      <c r="G2232" s="18">
        <v>112204</v>
      </c>
      <c r="H2232" s="157" t="s">
        <v>2223</v>
      </c>
      <c r="I2232" s="157"/>
      <c r="J2232" s="157"/>
      <c r="K2232" s="18">
        <v>11220404</v>
      </c>
      <c r="L2232" s="157" t="s">
        <v>2244</v>
      </c>
      <c r="M2232" s="157" t="s">
        <v>2245</v>
      </c>
      <c r="N2232" s="430">
        <v>0</v>
      </c>
      <c r="O2232" s="430">
        <v>2</v>
      </c>
      <c r="P2232" s="19" t="s">
        <v>271</v>
      </c>
      <c r="Q2232" s="19">
        <v>4</v>
      </c>
      <c r="R2232" s="19" t="s">
        <v>271</v>
      </c>
      <c r="S2232" s="19">
        <v>6</v>
      </c>
      <c r="T2232" s="18" t="s">
        <v>2226</v>
      </c>
      <c r="U2232" s="283" t="e">
        <v>#N/A</v>
      </c>
      <c r="V2232" s="283" t="s">
        <v>2246</v>
      </c>
      <c r="W2232" s="283">
        <v>1</v>
      </c>
      <c r="X2232" s="283">
        <v>0</v>
      </c>
      <c r="Y2232" s="283">
        <v>0</v>
      </c>
      <c r="Z2232" s="283">
        <v>1</v>
      </c>
      <c r="AA2232" s="283">
        <v>0</v>
      </c>
      <c r="AB2232" s="283">
        <v>0</v>
      </c>
      <c r="AC2232" s="316">
        <v>1</v>
      </c>
      <c r="AD2232" s="316">
        <v>1</v>
      </c>
      <c r="AE2232" s="302">
        <f t="shared" si="93"/>
        <v>0.5</v>
      </c>
      <c r="AF2232" s="310"/>
      <c r="AG2232" s="17">
        <v>0</v>
      </c>
      <c r="AH2232" s="310">
        <v>0</v>
      </c>
      <c r="AI2232" s="310">
        <v>0.6</v>
      </c>
      <c r="AJ2232" s="310">
        <v>0</v>
      </c>
      <c r="AK2232" s="317">
        <v>0.6</v>
      </c>
      <c r="AL2232" s="317">
        <v>0.6</v>
      </c>
      <c r="AM2232" s="147">
        <f t="shared" si="92"/>
        <v>1.2</v>
      </c>
      <c r="AN2232" s="283" t="s">
        <v>2228</v>
      </c>
      <c r="AO2232" s="18" t="s">
        <v>241</v>
      </c>
      <c r="AP2232" s="283" t="s">
        <v>119</v>
      </c>
    </row>
    <row r="2233" spans="1:42" s="18" customFormat="1" x14ac:dyDescent="0.3">
      <c r="A2233" s="156" t="s">
        <v>1455</v>
      </c>
      <c r="B2233" s="18" t="s">
        <v>2061</v>
      </c>
      <c r="C2233" s="18">
        <v>112</v>
      </c>
      <c r="D2233" s="18" t="s">
        <v>2141</v>
      </c>
      <c r="E2233" s="18">
        <v>1122</v>
      </c>
      <c r="F2233" s="157" t="s">
        <v>2142</v>
      </c>
      <c r="G2233" s="18">
        <v>112205</v>
      </c>
      <c r="H2233" s="18" t="s">
        <v>2247</v>
      </c>
      <c r="K2233" s="18">
        <v>11220501</v>
      </c>
      <c r="L2233" s="18" t="s">
        <v>2248</v>
      </c>
      <c r="M2233" s="18" t="s">
        <v>2249</v>
      </c>
      <c r="N2233" s="430">
        <v>0</v>
      </c>
      <c r="O2233" s="430">
        <v>0</v>
      </c>
      <c r="P2233" s="19">
        <v>1</v>
      </c>
      <c r="Q2233" s="19">
        <v>1</v>
      </c>
      <c r="R2233" s="19">
        <v>1</v>
      </c>
      <c r="S2233" s="19">
        <v>1</v>
      </c>
      <c r="T2233" s="18" t="s">
        <v>2250</v>
      </c>
      <c r="U2233" s="283" t="e">
        <v>#N/A</v>
      </c>
      <c r="V2233" s="323" t="s">
        <v>2251</v>
      </c>
      <c r="W2233" s="283">
        <v>1</v>
      </c>
      <c r="X2233" s="283">
        <v>0</v>
      </c>
      <c r="Y2233" s="283">
        <v>0</v>
      </c>
      <c r="Z2233" s="283">
        <v>1</v>
      </c>
      <c r="AA2233" s="283">
        <v>0</v>
      </c>
      <c r="AB2233" s="283">
        <v>1</v>
      </c>
      <c r="AC2233" s="316">
        <v>1</v>
      </c>
      <c r="AD2233" s="316">
        <v>1</v>
      </c>
      <c r="AE2233" s="302">
        <f t="shared" si="93"/>
        <v>0.625</v>
      </c>
      <c r="AF2233" s="310"/>
      <c r="AG2233" s="17">
        <v>0</v>
      </c>
      <c r="AH2233" s="310">
        <v>4.8</v>
      </c>
      <c r="AI2233" s="310">
        <v>2.2000000000000002</v>
      </c>
      <c r="AJ2233" s="310">
        <v>2.2000000000000002</v>
      </c>
      <c r="AK2233" s="317">
        <v>2.2000000000000002</v>
      </c>
      <c r="AL2233" s="317">
        <v>1.4</v>
      </c>
      <c r="AM2233" s="147">
        <f t="shared" si="92"/>
        <v>3.6</v>
      </c>
      <c r="AN2233" s="283" t="s">
        <v>1576</v>
      </c>
      <c r="AO2233" s="18" t="s">
        <v>241</v>
      </c>
      <c r="AP2233" s="283" t="s">
        <v>119</v>
      </c>
    </row>
    <row r="2234" spans="1:42" s="18" customFormat="1" x14ac:dyDescent="0.3">
      <c r="A2234" s="156" t="s">
        <v>1455</v>
      </c>
      <c r="B2234" s="18" t="s">
        <v>2061</v>
      </c>
      <c r="C2234" s="18">
        <v>112</v>
      </c>
      <c r="D2234" s="18" t="s">
        <v>2141</v>
      </c>
      <c r="E2234" s="18">
        <v>1122</v>
      </c>
      <c r="F2234" s="157" t="s">
        <v>2142</v>
      </c>
      <c r="G2234" s="18">
        <v>112205</v>
      </c>
      <c r="H2234" s="18" t="s">
        <v>2247</v>
      </c>
      <c r="K2234" s="18">
        <v>11220502</v>
      </c>
      <c r="L2234" s="18" t="s">
        <v>2252</v>
      </c>
      <c r="M2234" s="18" t="s">
        <v>2253</v>
      </c>
      <c r="N2234" s="430">
        <v>0</v>
      </c>
      <c r="O2234" s="430"/>
      <c r="P2234" s="19"/>
      <c r="Q2234" s="19">
        <v>1</v>
      </c>
      <c r="R2234" s="19"/>
      <c r="S2234" s="19"/>
      <c r="T2234" s="18" t="s">
        <v>2250</v>
      </c>
      <c r="U2234" s="283" t="e">
        <v>#N/A</v>
      </c>
      <c r="V2234" s="283" t="s">
        <v>2254</v>
      </c>
      <c r="W2234" s="283">
        <v>1</v>
      </c>
      <c r="X2234" s="283">
        <v>0</v>
      </c>
      <c r="Y2234" s="283">
        <v>0</v>
      </c>
      <c r="Z2234" s="283">
        <v>1</v>
      </c>
      <c r="AA2234" s="283">
        <v>0</v>
      </c>
      <c r="AB2234" s="283">
        <v>1</v>
      </c>
      <c r="AC2234" s="316">
        <v>1</v>
      </c>
      <c r="AD2234" s="316">
        <v>1</v>
      </c>
      <c r="AE2234" s="302">
        <f t="shared" si="93"/>
        <v>0.625</v>
      </c>
      <c r="AF2234" s="310"/>
      <c r="AG2234" s="17">
        <v>0</v>
      </c>
      <c r="AH2234" s="310">
        <v>4</v>
      </c>
      <c r="AI2234" s="310">
        <v>2.2000000000000002</v>
      </c>
      <c r="AJ2234" s="310">
        <v>2.2000000000000002</v>
      </c>
      <c r="AK2234" s="317">
        <v>1.2</v>
      </c>
      <c r="AL2234" s="317">
        <v>1.2</v>
      </c>
      <c r="AM2234" s="147">
        <f t="shared" si="92"/>
        <v>2.4</v>
      </c>
      <c r="AN2234" s="283" t="s">
        <v>1576</v>
      </c>
      <c r="AO2234" s="18" t="s">
        <v>241</v>
      </c>
      <c r="AP2234" s="283" t="s">
        <v>2255</v>
      </c>
    </row>
    <row r="2235" spans="1:42" s="18" customFormat="1" x14ac:dyDescent="0.3">
      <c r="A2235" s="156" t="s">
        <v>1455</v>
      </c>
      <c r="B2235" s="18" t="s">
        <v>2061</v>
      </c>
      <c r="C2235" s="18">
        <v>112</v>
      </c>
      <c r="D2235" s="18" t="s">
        <v>2141</v>
      </c>
      <c r="E2235" s="18">
        <v>1122</v>
      </c>
      <c r="F2235" s="157" t="s">
        <v>2142</v>
      </c>
      <c r="G2235" s="18">
        <v>112205</v>
      </c>
      <c r="H2235" s="18" t="s">
        <v>2247</v>
      </c>
      <c r="K2235" s="18">
        <v>11220503</v>
      </c>
      <c r="L2235" s="10" t="s">
        <v>2256</v>
      </c>
      <c r="M2235" s="18" t="s">
        <v>2257</v>
      </c>
      <c r="N2235" s="430">
        <v>0</v>
      </c>
      <c r="O2235" s="430"/>
      <c r="P2235" s="19"/>
      <c r="Q2235" s="19"/>
      <c r="R2235" s="19">
        <v>1</v>
      </c>
      <c r="S2235" s="19"/>
      <c r="T2235" s="18" t="s">
        <v>2250</v>
      </c>
      <c r="U2235" s="283" t="e">
        <v>#N/A</v>
      </c>
      <c r="V2235" s="323" t="s">
        <v>2258</v>
      </c>
      <c r="W2235" s="283">
        <v>1</v>
      </c>
      <c r="X2235" s="283">
        <v>0</v>
      </c>
      <c r="Y2235" s="283">
        <v>0</v>
      </c>
      <c r="Z2235" s="283">
        <v>1</v>
      </c>
      <c r="AA2235" s="283">
        <v>0</v>
      </c>
      <c r="AB2235" s="283">
        <v>0</v>
      </c>
      <c r="AC2235" s="316">
        <v>1</v>
      </c>
      <c r="AD2235" s="316">
        <v>1</v>
      </c>
      <c r="AE2235" s="302">
        <f t="shared" si="93"/>
        <v>0.5</v>
      </c>
      <c r="AF2235" s="310"/>
      <c r="AG2235" s="17">
        <v>0</v>
      </c>
      <c r="AH2235" s="310">
        <v>3</v>
      </c>
      <c r="AI2235" s="310">
        <v>3</v>
      </c>
      <c r="AJ2235" s="310">
        <v>3</v>
      </c>
      <c r="AK2235" s="317">
        <v>3</v>
      </c>
      <c r="AL2235" s="317">
        <v>3</v>
      </c>
      <c r="AM2235" s="147">
        <f t="shared" si="92"/>
        <v>6</v>
      </c>
      <c r="AN2235" s="283" t="s">
        <v>1576</v>
      </c>
      <c r="AO2235" s="18" t="s">
        <v>241</v>
      </c>
      <c r="AP2235" s="283" t="s">
        <v>119</v>
      </c>
    </row>
    <row r="2236" spans="1:42" s="18" customFormat="1" x14ac:dyDescent="0.3">
      <c r="A2236" s="156" t="s">
        <v>1455</v>
      </c>
      <c r="B2236" s="18" t="s">
        <v>2061</v>
      </c>
      <c r="C2236" s="18">
        <v>112</v>
      </c>
      <c r="D2236" s="18" t="s">
        <v>2141</v>
      </c>
      <c r="E2236" s="18">
        <v>1122</v>
      </c>
      <c r="F2236" s="157" t="s">
        <v>2142</v>
      </c>
      <c r="G2236" s="18">
        <v>112205</v>
      </c>
      <c r="H2236" s="18" t="s">
        <v>2247</v>
      </c>
      <c r="K2236" s="18">
        <v>11220503</v>
      </c>
      <c r="L2236" s="10" t="s">
        <v>2256</v>
      </c>
      <c r="M2236" s="18" t="s">
        <v>2259</v>
      </c>
      <c r="N2236" s="430">
        <v>25</v>
      </c>
      <c r="O2236" s="430">
        <v>45</v>
      </c>
      <c r="P2236" s="19">
        <v>50</v>
      </c>
      <c r="Q2236" s="19">
        <v>55</v>
      </c>
      <c r="R2236" s="19">
        <v>60</v>
      </c>
      <c r="S2236" s="19">
        <v>70</v>
      </c>
      <c r="T2236" s="18" t="s">
        <v>2068</v>
      </c>
      <c r="U2236" s="283" t="e">
        <v>#N/A</v>
      </c>
      <c r="V2236" s="323" t="s">
        <v>2260</v>
      </c>
      <c r="W2236" s="283">
        <v>1</v>
      </c>
      <c r="X2236" s="283">
        <v>0</v>
      </c>
      <c r="Y2236" s="283">
        <v>0</v>
      </c>
      <c r="Z2236" s="283">
        <v>1</v>
      </c>
      <c r="AA2236" s="283">
        <v>0</v>
      </c>
      <c r="AB2236" s="283">
        <v>0</v>
      </c>
      <c r="AC2236" s="316">
        <v>1</v>
      </c>
      <c r="AD2236" s="316">
        <v>1</v>
      </c>
      <c r="AE2236" s="302">
        <f t="shared" si="93"/>
        <v>0.5</v>
      </c>
      <c r="AF2236" s="17"/>
      <c r="AG2236" s="17">
        <v>0</v>
      </c>
      <c r="AH2236" s="17">
        <v>0</v>
      </c>
      <c r="AI2236" s="17">
        <v>0</v>
      </c>
      <c r="AJ2236" s="17">
        <v>0</v>
      </c>
      <c r="AK2236" s="153">
        <v>0</v>
      </c>
      <c r="AL2236" s="154">
        <v>0</v>
      </c>
      <c r="AM2236" s="147">
        <f t="shared" si="92"/>
        <v>0</v>
      </c>
      <c r="AN2236" s="283" t="s">
        <v>1576</v>
      </c>
      <c r="AO2236" s="18" t="s">
        <v>241</v>
      </c>
      <c r="AP2236" s="283" t="s">
        <v>2261</v>
      </c>
    </row>
    <row r="2237" spans="1:42" s="18" customFormat="1" x14ac:dyDescent="0.3">
      <c r="A2237" s="156" t="s">
        <v>1455</v>
      </c>
      <c r="B2237" s="18" t="s">
        <v>2061</v>
      </c>
      <c r="C2237" s="18">
        <v>112</v>
      </c>
      <c r="D2237" s="18" t="s">
        <v>2141</v>
      </c>
      <c r="E2237" s="18">
        <v>1122</v>
      </c>
      <c r="F2237" s="157" t="s">
        <v>2142</v>
      </c>
      <c r="G2237" s="18">
        <v>112205</v>
      </c>
      <c r="H2237" s="18" t="s">
        <v>2247</v>
      </c>
      <c r="K2237" s="18">
        <v>11220503</v>
      </c>
      <c r="L2237" s="10" t="s">
        <v>2256</v>
      </c>
      <c r="N2237" s="430"/>
      <c r="O2237" s="430"/>
      <c r="P2237" s="19"/>
      <c r="Q2237" s="19"/>
      <c r="R2237" s="19"/>
      <c r="S2237" s="19"/>
      <c r="U2237" s="283" t="e">
        <v>#N/A</v>
      </c>
      <c r="V2237" s="323" t="s">
        <v>2262</v>
      </c>
      <c r="W2237" s="283">
        <v>1</v>
      </c>
      <c r="X2237" s="283">
        <v>0</v>
      </c>
      <c r="Y2237" s="283">
        <v>0</v>
      </c>
      <c r="Z2237" s="283">
        <v>1</v>
      </c>
      <c r="AA2237" s="283">
        <v>0</v>
      </c>
      <c r="AB2237" s="283">
        <v>0</v>
      </c>
      <c r="AC2237" s="316">
        <v>1</v>
      </c>
      <c r="AD2237" s="316">
        <v>1</v>
      </c>
      <c r="AE2237" s="302">
        <f t="shared" si="93"/>
        <v>0.5</v>
      </c>
      <c r="AF2237" s="310"/>
      <c r="AG2237" s="17">
        <v>0</v>
      </c>
      <c r="AH2237" s="310">
        <v>2.5</v>
      </c>
      <c r="AI2237" s="310">
        <v>1.5</v>
      </c>
      <c r="AJ2237" s="310">
        <v>3</v>
      </c>
      <c r="AK2237" s="317">
        <v>1.8</v>
      </c>
      <c r="AL2237" s="317">
        <v>1.2</v>
      </c>
      <c r="AM2237" s="147">
        <f t="shared" si="92"/>
        <v>3</v>
      </c>
      <c r="AN2237" s="283" t="s">
        <v>2084</v>
      </c>
      <c r="AO2237" s="18" t="s">
        <v>241</v>
      </c>
      <c r="AP2237" s="283" t="s">
        <v>119</v>
      </c>
    </row>
    <row r="2238" spans="1:42" s="18" customFormat="1" x14ac:dyDescent="0.3">
      <c r="A2238" s="156" t="s">
        <v>1455</v>
      </c>
      <c r="B2238" s="18" t="s">
        <v>2061</v>
      </c>
      <c r="C2238" s="18">
        <v>112</v>
      </c>
      <c r="D2238" s="18" t="s">
        <v>2141</v>
      </c>
      <c r="E2238" s="18">
        <v>1122</v>
      </c>
      <c r="F2238" s="157" t="s">
        <v>2142</v>
      </c>
      <c r="G2238" s="18">
        <v>112205</v>
      </c>
      <c r="H2238" s="18" t="s">
        <v>2247</v>
      </c>
      <c r="K2238" s="18">
        <v>11220503</v>
      </c>
      <c r="L2238" s="10" t="s">
        <v>2256</v>
      </c>
      <c r="N2238" s="430"/>
      <c r="O2238" s="430"/>
      <c r="P2238" s="19"/>
      <c r="Q2238" s="19"/>
      <c r="R2238" s="19"/>
      <c r="S2238" s="19"/>
      <c r="U2238" s="283" t="e">
        <v>#N/A</v>
      </c>
      <c r="V2238" s="323" t="s">
        <v>2263</v>
      </c>
      <c r="W2238" s="283">
        <v>1</v>
      </c>
      <c r="X2238" s="283">
        <v>0</v>
      </c>
      <c r="Y2238" s="283">
        <v>0</v>
      </c>
      <c r="Z2238" s="283">
        <v>1</v>
      </c>
      <c r="AA2238" s="283">
        <v>0</v>
      </c>
      <c r="AB2238" s="283">
        <v>1</v>
      </c>
      <c r="AC2238" s="316">
        <v>1</v>
      </c>
      <c r="AD2238" s="316">
        <v>0</v>
      </c>
      <c r="AE2238" s="302">
        <f t="shared" si="93"/>
        <v>0.5</v>
      </c>
      <c r="AF2238" s="17"/>
      <c r="AG2238" s="17">
        <v>0</v>
      </c>
      <c r="AH2238" s="17">
        <v>0</v>
      </c>
      <c r="AI2238" s="17">
        <v>0</v>
      </c>
      <c r="AJ2238" s="17">
        <v>0</v>
      </c>
      <c r="AK2238" s="153">
        <v>0</v>
      </c>
      <c r="AL2238" s="154">
        <v>0</v>
      </c>
      <c r="AM2238" s="147">
        <f t="shared" si="92"/>
        <v>0</v>
      </c>
      <c r="AN2238" s="283" t="s">
        <v>2084</v>
      </c>
      <c r="AO2238" s="18" t="s">
        <v>241</v>
      </c>
      <c r="AP2238" s="283" t="s">
        <v>119</v>
      </c>
    </row>
    <row r="2239" spans="1:42" s="18" customFormat="1" x14ac:dyDescent="0.3">
      <c r="A2239" s="156" t="s">
        <v>1455</v>
      </c>
      <c r="B2239" s="18" t="s">
        <v>2061</v>
      </c>
      <c r="C2239" s="18">
        <v>112</v>
      </c>
      <c r="D2239" s="18" t="s">
        <v>2141</v>
      </c>
      <c r="E2239" s="18">
        <v>1122</v>
      </c>
      <c r="F2239" s="157" t="s">
        <v>2142</v>
      </c>
      <c r="G2239" s="18">
        <v>112205</v>
      </c>
      <c r="H2239" s="18" t="s">
        <v>2247</v>
      </c>
      <c r="K2239" s="18">
        <v>11220504</v>
      </c>
      <c r="L2239" s="10" t="s">
        <v>2264</v>
      </c>
      <c r="M2239" s="18" t="s">
        <v>2265</v>
      </c>
      <c r="N2239" s="430">
        <v>0</v>
      </c>
      <c r="O2239" s="430"/>
      <c r="P2239" s="19"/>
      <c r="Q2239" s="19"/>
      <c r="R2239" s="19">
        <v>1</v>
      </c>
      <c r="S2239" s="19"/>
      <c r="T2239" s="10" t="s">
        <v>2250</v>
      </c>
      <c r="U2239" s="283" t="e">
        <v>#N/A</v>
      </c>
      <c r="V2239" s="323" t="s">
        <v>2266</v>
      </c>
      <c r="W2239" s="283">
        <v>1</v>
      </c>
      <c r="X2239" s="283">
        <v>0</v>
      </c>
      <c r="Y2239" s="283">
        <v>0</v>
      </c>
      <c r="Z2239" s="283">
        <v>1</v>
      </c>
      <c r="AA2239" s="283">
        <v>0</v>
      </c>
      <c r="AB2239" s="283">
        <v>1</v>
      </c>
      <c r="AC2239" s="316">
        <v>1</v>
      </c>
      <c r="AD2239" s="316">
        <v>0</v>
      </c>
      <c r="AE2239" s="302">
        <f t="shared" si="93"/>
        <v>0.5</v>
      </c>
      <c r="AF2239" s="310"/>
      <c r="AG2239" s="17">
        <v>0</v>
      </c>
      <c r="AH2239" s="310">
        <v>5</v>
      </c>
      <c r="AI2239" s="310">
        <v>4</v>
      </c>
      <c r="AJ2239" s="310">
        <v>3</v>
      </c>
      <c r="AK2239" s="317">
        <v>0</v>
      </c>
      <c r="AL2239" s="317">
        <v>0</v>
      </c>
      <c r="AM2239" s="147">
        <f t="shared" si="92"/>
        <v>0</v>
      </c>
      <c r="AN2239" s="283" t="s">
        <v>1576</v>
      </c>
      <c r="AO2239" s="18" t="s">
        <v>241</v>
      </c>
      <c r="AP2239" s="283" t="s">
        <v>119</v>
      </c>
    </row>
    <row r="2240" spans="1:42" s="18" customFormat="1" x14ac:dyDescent="0.3">
      <c r="A2240" s="156" t="s">
        <v>1455</v>
      </c>
      <c r="B2240" s="18" t="s">
        <v>2061</v>
      </c>
      <c r="C2240" s="18">
        <v>112</v>
      </c>
      <c r="D2240" s="18" t="s">
        <v>2141</v>
      </c>
      <c r="E2240" s="18">
        <v>1122</v>
      </c>
      <c r="F2240" s="157" t="s">
        <v>2142</v>
      </c>
      <c r="G2240" s="18">
        <v>112205</v>
      </c>
      <c r="H2240" s="18" t="s">
        <v>2247</v>
      </c>
      <c r="K2240" s="18">
        <v>11220504</v>
      </c>
      <c r="L2240" s="10" t="s">
        <v>2264</v>
      </c>
      <c r="M2240" s="18" t="s">
        <v>2267</v>
      </c>
      <c r="N2240" s="430"/>
      <c r="O2240" s="430"/>
      <c r="P2240" s="19">
        <v>2</v>
      </c>
      <c r="Q2240" s="19">
        <v>2</v>
      </c>
      <c r="R2240" s="19">
        <v>2</v>
      </c>
      <c r="S2240" s="19">
        <v>2</v>
      </c>
      <c r="T2240" s="18" t="s">
        <v>2250</v>
      </c>
      <c r="U2240" s="283" t="e">
        <v>#N/A</v>
      </c>
      <c r="V2240" s="323" t="s">
        <v>2268</v>
      </c>
      <c r="W2240" s="283">
        <v>1</v>
      </c>
      <c r="X2240" s="283">
        <v>0</v>
      </c>
      <c r="Y2240" s="283">
        <v>0</v>
      </c>
      <c r="Z2240" s="283">
        <v>1</v>
      </c>
      <c r="AA2240" s="283">
        <v>0</v>
      </c>
      <c r="AB2240" s="283">
        <v>1</v>
      </c>
      <c r="AC2240" s="316">
        <v>1</v>
      </c>
      <c r="AD2240" s="316">
        <v>0</v>
      </c>
      <c r="AE2240" s="302">
        <f t="shared" si="93"/>
        <v>0.5</v>
      </c>
      <c r="AF2240" s="310"/>
      <c r="AG2240" s="17">
        <v>0</v>
      </c>
      <c r="AH2240" s="310">
        <v>0.75</v>
      </c>
      <c r="AI2240" s="310">
        <v>1.2</v>
      </c>
      <c r="AJ2240" s="310">
        <v>1.5</v>
      </c>
      <c r="AK2240" s="317">
        <v>0</v>
      </c>
      <c r="AL2240" s="317">
        <v>0</v>
      </c>
      <c r="AM2240" s="147">
        <f t="shared" si="92"/>
        <v>0</v>
      </c>
      <c r="AN2240" s="283" t="s">
        <v>2084</v>
      </c>
      <c r="AO2240" s="18" t="s">
        <v>241</v>
      </c>
      <c r="AP2240" s="283" t="s">
        <v>119</v>
      </c>
    </row>
    <row r="2241" spans="1:42" s="18" customFormat="1" x14ac:dyDescent="0.3">
      <c r="A2241" s="156" t="s">
        <v>1455</v>
      </c>
      <c r="B2241" s="18" t="s">
        <v>2061</v>
      </c>
      <c r="C2241" s="18">
        <v>112</v>
      </c>
      <c r="D2241" s="18" t="s">
        <v>2141</v>
      </c>
      <c r="E2241" s="18">
        <v>1122</v>
      </c>
      <c r="F2241" s="157" t="s">
        <v>2142</v>
      </c>
      <c r="G2241" s="18">
        <v>112205</v>
      </c>
      <c r="H2241" s="18" t="s">
        <v>2247</v>
      </c>
      <c r="K2241" s="18">
        <v>11220504</v>
      </c>
      <c r="L2241" s="10" t="s">
        <v>2264</v>
      </c>
      <c r="M2241" s="18" t="s">
        <v>2269</v>
      </c>
      <c r="N2241" s="430">
        <v>0</v>
      </c>
      <c r="O2241" s="430" t="s">
        <v>271</v>
      </c>
      <c r="P2241" s="19">
        <v>1</v>
      </c>
      <c r="Q2241" s="19" t="s">
        <v>271</v>
      </c>
      <c r="R2241" s="19" t="s">
        <v>271</v>
      </c>
      <c r="S2241" s="19" t="s">
        <v>271</v>
      </c>
      <c r="T2241" s="18" t="s">
        <v>2068</v>
      </c>
      <c r="U2241" s="283" t="e">
        <v>#N/A</v>
      </c>
      <c r="V2241" s="283" t="s">
        <v>2270</v>
      </c>
      <c r="W2241" s="283">
        <v>1</v>
      </c>
      <c r="X2241" s="283">
        <v>0</v>
      </c>
      <c r="Y2241" s="283">
        <v>0</v>
      </c>
      <c r="Z2241" s="283">
        <v>1</v>
      </c>
      <c r="AA2241" s="283">
        <v>1</v>
      </c>
      <c r="AB2241" s="283">
        <v>0</v>
      </c>
      <c r="AC2241" s="316">
        <v>0</v>
      </c>
      <c r="AD2241" s="316">
        <v>1</v>
      </c>
      <c r="AE2241" s="302">
        <f t="shared" si="93"/>
        <v>0.5</v>
      </c>
      <c r="AF2241" s="310"/>
      <c r="AG2241" s="17">
        <v>0</v>
      </c>
      <c r="AH2241" s="310">
        <v>0.75</v>
      </c>
      <c r="AI2241" s="310">
        <v>1</v>
      </c>
      <c r="AJ2241" s="310">
        <v>1.25</v>
      </c>
      <c r="AK2241" s="319">
        <v>1.1000000000000001</v>
      </c>
      <c r="AL2241" s="319">
        <v>1.35</v>
      </c>
      <c r="AM2241" s="147">
        <f t="shared" si="92"/>
        <v>2.4500000000000002</v>
      </c>
      <c r="AN2241" s="283" t="s">
        <v>2084</v>
      </c>
      <c r="AO2241" s="18" t="s">
        <v>241</v>
      </c>
      <c r="AP2241" s="283" t="s">
        <v>119</v>
      </c>
    </row>
    <row r="2242" spans="1:42" s="18" customFormat="1" x14ac:dyDescent="0.3">
      <c r="A2242" s="156" t="s">
        <v>1455</v>
      </c>
      <c r="B2242" s="18" t="s">
        <v>2061</v>
      </c>
      <c r="C2242" s="18">
        <v>112</v>
      </c>
      <c r="D2242" s="18" t="s">
        <v>2141</v>
      </c>
      <c r="E2242" s="18">
        <v>1122</v>
      </c>
      <c r="F2242" s="157" t="s">
        <v>2142</v>
      </c>
      <c r="G2242" s="18">
        <v>112205</v>
      </c>
      <c r="H2242" s="18" t="s">
        <v>2247</v>
      </c>
      <c r="K2242" s="18">
        <v>11220504</v>
      </c>
      <c r="L2242" s="10" t="s">
        <v>2264</v>
      </c>
      <c r="M2242" s="18" t="s">
        <v>2271</v>
      </c>
      <c r="N2242" s="430"/>
      <c r="O2242" s="430">
        <v>5</v>
      </c>
      <c r="P2242" s="19">
        <v>7</v>
      </c>
      <c r="Q2242" s="19">
        <v>10</v>
      </c>
      <c r="R2242" s="19">
        <v>15</v>
      </c>
      <c r="S2242" s="19">
        <v>20</v>
      </c>
      <c r="T2242" s="18" t="s">
        <v>2068</v>
      </c>
      <c r="U2242" s="283" t="e">
        <v>#N/A</v>
      </c>
      <c r="V2242" s="283" t="s">
        <v>2272</v>
      </c>
      <c r="W2242" s="283">
        <v>1</v>
      </c>
      <c r="X2242" s="283">
        <v>0</v>
      </c>
      <c r="Y2242" s="283">
        <v>1</v>
      </c>
      <c r="Z2242" s="283">
        <v>1</v>
      </c>
      <c r="AA2242" s="283">
        <v>0</v>
      </c>
      <c r="AB2242" s="283">
        <v>0</v>
      </c>
      <c r="AC2242" s="316">
        <v>0</v>
      </c>
      <c r="AD2242" s="316">
        <v>1</v>
      </c>
      <c r="AE2242" s="302">
        <f t="shared" si="93"/>
        <v>0.5</v>
      </c>
      <c r="AF2242" s="310"/>
      <c r="AG2242" s="17">
        <v>0</v>
      </c>
      <c r="AH2242" s="310">
        <v>0.75</v>
      </c>
      <c r="AI2242" s="310">
        <v>1</v>
      </c>
      <c r="AJ2242" s="310">
        <v>0.75</v>
      </c>
      <c r="AK2242" s="319">
        <v>0.65</v>
      </c>
      <c r="AL2242" s="319">
        <v>0.7</v>
      </c>
      <c r="AM2242" s="147">
        <f t="shared" si="92"/>
        <v>1.35</v>
      </c>
      <c r="AN2242" s="283" t="s">
        <v>2084</v>
      </c>
      <c r="AO2242" s="18" t="s">
        <v>241</v>
      </c>
      <c r="AP2242" s="283" t="s">
        <v>119</v>
      </c>
    </row>
    <row r="2243" spans="1:42" s="18" customFormat="1" x14ac:dyDescent="0.3">
      <c r="A2243" s="156" t="s">
        <v>1455</v>
      </c>
      <c r="B2243" s="18" t="s">
        <v>2061</v>
      </c>
      <c r="C2243" s="18">
        <v>112</v>
      </c>
      <c r="D2243" s="18" t="s">
        <v>2141</v>
      </c>
      <c r="E2243" s="18">
        <v>1122</v>
      </c>
      <c r="F2243" s="157" t="s">
        <v>2142</v>
      </c>
      <c r="G2243" s="18">
        <v>112205</v>
      </c>
      <c r="H2243" s="18" t="s">
        <v>2247</v>
      </c>
      <c r="K2243" s="18">
        <v>11220504</v>
      </c>
      <c r="L2243" s="10" t="s">
        <v>2264</v>
      </c>
      <c r="M2243" s="18" t="s">
        <v>2273</v>
      </c>
      <c r="N2243" s="430">
        <v>0</v>
      </c>
      <c r="O2243" s="430"/>
      <c r="P2243" s="19">
        <v>1</v>
      </c>
      <c r="Q2243" s="19">
        <v>2</v>
      </c>
      <c r="R2243" s="19">
        <v>2</v>
      </c>
      <c r="S2243" s="19">
        <v>2</v>
      </c>
      <c r="T2243" s="18" t="s">
        <v>2068</v>
      </c>
      <c r="U2243" s="283" t="e">
        <v>#N/A</v>
      </c>
      <c r="V2243" s="283" t="s">
        <v>2274</v>
      </c>
      <c r="W2243" s="283"/>
      <c r="X2243" s="283"/>
      <c r="Y2243" s="283"/>
      <c r="Z2243" s="283"/>
      <c r="AA2243" s="283"/>
      <c r="AB2243" s="283"/>
      <c r="AC2243" s="316">
        <v>0</v>
      </c>
      <c r="AD2243" s="316">
        <v>0</v>
      </c>
      <c r="AE2243" s="302">
        <f t="shared" si="93"/>
        <v>0</v>
      </c>
      <c r="AF2243" s="17"/>
      <c r="AG2243" s="17">
        <v>0</v>
      </c>
      <c r="AH2243" s="17">
        <v>0</v>
      </c>
      <c r="AI2243" s="17">
        <v>0</v>
      </c>
      <c r="AJ2243" s="17">
        <v>0</v>
      </c>
      <c r="AK2243" s="153">
        <v>1.2</v>
      </c>
      <c r="AL2243" s="154">
        <v>1.4</v>
      </c>
      <c r="AM2243" s="147">
        <f t="shared" si="92"/>
        <v>2.5999999999999996</v>
      </c>
      <c r="AN2243" s="283" t="s">
        <v>2084</v>
      </c>
      <c r="AO2243" s="18" t="s">
        <v>241</v>
      </c>
      <c r="AP2243" s="283" t="s">
        <v>119</v>
      </c>
    </row>
    <row r="2244" spans="1:42" s="18" customFormat="1" x14ac:dyDescent="0.3">
      <c r="A2244" s="156" t="s">
        <v>1455</v>
      </c>
      <c r="B2244" s="18" t="s">
        <v>2061</v>
      </c>
      <c r="C2244" s="18">
        <v>112</v>
      </c>
      <c r="D2244" s="18" t="s">
        <v>2141</v>
      </c>
      <c r="E2244" s="18">
        <v>1122</v>
      </c>
      <c r="F2244" s="157" t="s">
        <v>2142</v>
      </c>
      <c r="G2244" s="18">
        <v>112206</v>
      </c>
      <c r="H2244" s="157" t="s">
        <v>2275</v>
      </c>
      <c r="I2244" s="157"/>
      <c r="J2244" s="157"/>
      <c r="K2244" s="18">
        <v>11220601</v>
      </c>
      <c r="L2244" s="157" t="s">
        <v>2276</v>
      </c>
      <c r="M2244" s="157" t="s">
        <v>2277</v>
      </c>
      <c r="N2244" s="430">
        <v>0</v>
      </c>
      <c r="O2244" s="430" t="s">
        <v>271</v>
      </c>
      <c r="P2244" s="19" t="s">
        <v>271</v>
      </c>
      <c r="Q2244" s="19">
        <v>1</v>
      </c>
      <c r="R2244" s="19" t="s">
        <v>271</v>
      </c>
      <c r="S2244" s="19" t="s">
        <v>271</v>
      </c>
      <c r="T2244" s="18" t="s">
        <v>2087</v>
      </c>
      <c r="U2244" s="283" t="e">
        <v>#N/A</v>
      </c>
      <c r="V2244" s="283" t="s">
        <v>2278</v>
      </c>
      <c r="W2244" s="283">
        <v>1</v>
      </c>
      <c r="X2244" s="283">
        <v>0</v>
      </c>
      <c r="Y2244" s="283">
        <v>0</v>
      </c>
      <c r="Z2244" s="283">
        <v>1</v>
      </c>
      <c r="AA2244" s="283">
        <v>0</v>
      </c>
      <c r="AB2244" s="283">
        <v>1</v>
      </c>
      <c r="AC2244" s="316">
        <v>1</v>
      </c>
      <c r="AD2244" s="316">
        <v>1</v>
      </c>
      <c r="AE2244" s="302">
        <f t="shared" si="93"/>
        <v>0.625</v>
      </c>
      <c r="AF2244" s="310"/>
      <c r="AG2244" s="17">
        <v>0</v>
      </c>
      <c r="AH2244" s="310">
        <v>10</v>
      </c>
      <c r="AI2244" s="310">
        <v>13</v>
      </c>
      <c r="AJ2244" s="310">
        <v>17</v>
      </c>
      <c r="AK2244" s="317"/>
      <c r="AL2244" s="317"/>
      <c r="AM2244" s="147">
        <f t="shared" si="92"/>
        <v>0</v>
      </c>
      <c r="AN2244" s="283" t="s">
        <v>239</v>
      </c>
      <c r="AO2244" s="18" t="s">
        <v>241</v>
      </c>
      <c r="AP2244" s="283" t="s">
        <v>2279</v>
      </c>
    </row>
    <row r="2245" spans="1:42" s="18" customFormat="1" x14ac:dyDescent="0.3">
      <c r="A2245" s="156" t="s">
        <v>1455</v>
      </c>
      <c r="B2245" s="18" t="s">
        <v>2061</v>
      </c>
      <c r="C2245" s="18">
        <v>112</v>
      </c>
      <c r="D2245" s="18" t="s">
        <v>2141</v>
      </c>
      <c r="E2245" s="18">
        <v>1122</v>
      </c>
      <c r="F2245" s="157" t="s">
        <v>2142</v>
      </c>
      <c r="G2245" s="18">
        <v>112206</v>
      </c>
      <c r="H2245" s="157" t="s">
        <v>2275</v>
      </c>
      <c r="I2245" s="157"/>
      <c r="J2245" s="157"/>
      <c r="K2245" s="18">
        <v>11220601</v>
      </c>
      <c r="L2245" s="157" t="s">
        <v>2276</v>
      </c>
      <c r="M2245" s="157"/>
      <c r="N2245" s="430"/>
      <c r="O2245" s="430"/>
      <c r="P2245" s="19"/>
      <c r="Q2245" s="19"/>
      <c r="R2245" s="19"/>
      <c r="S2245" s="19"/>
      <c r="U2245" s="283" t="e">
        <v>#N/A</v>
      </c>
      <c r="V2245" s="283" t="s">
        <v>2280</v>
      </c>
      <c r="W2245" s="283"/>
      <c r="X2245" s="283"/>
      <c r="Y2245" s="283"/>
      <c r="Z2245" s="283"/>
      <c r="AA2245" s="283"/>
      <c r="AB2245" s="283"/>
      <c r="AC2245" s="316">
        <v>0</v>
      </c>
      <c r="AD2245" s="316">
        <v>0</v>
      </c>
      <c r="AE2245" s="302">
        <f t="shared" si="93"/>
        <v>0</v>
      </c>
      <c r="AF2245" s="17"/>
      <c r="AG2245" s="17">
        <v>0</v>
      </c>
      <c r="AH2245" s="17">
        <v>0</v>
      </c>
      <c r="AI2245" s="17">
        <v>0</v>
      </c>
      <c r="AJ2245" s="17">
        <v>0</v>
      </c>
      <c r="AK2245" s="153">
        <v>0.5</v>
      </c>
      <c r="AL2245" s="154">
        <v>0.75</v>
      </c>
      <c r="AM2245" s="147">
        <f t="shared" si="92"/>
        <v>1.25</v>
      </c>
      <c r="AN2245" s="283" t="s">
        <v>239</v>
      </c>
      <c r="AO2245" s="18" t="s">
        <v>241</v>
      </c>
      <c r="AP2245" s="283" t="s">
        <v>2279</v>
      </c>
    </row>
    <row r="2246" spans="1:42" s="18" customFormat="1" x14ac:dyDescent="0.3">
      <c r="A2246" s="156" t="s">
        <v>1455</v>
      </c>
      <c r="B2246" s="18" t="s">
        <v>2061</v>
      </c>
      <c r="C2246" s="18">
        <v>112</v>
      </c>
      <c r="D2246" s="18" t="s">
        <v>2141</v>
      </c>
      <c r="E2246" s="18">
        <v>1122</v>
      </c>
      <c r="F2246" s="157" t="s">
        <v>2142</v>
      </c>
      <c r="G2246" s="18">
        <v>112206</v>
      </c>
      <c r="H2246" s="157" t="s">
        <v>2275</v>
      </c>
      <c r="I2246" s="157"/>
      <c r="J2246" s="157"/>
      <c r="K2246" s="18">
        <v>11220602</v>
      </c>
      <c r="L2246" s="157" t="s">
        <v>2281</v>
      </c>
      <c r="M2246" s="157" t="s">
        <v>2282</v>
      </c>
      <c r="N2246" s="430">
        <v>0</v>
      </c>
      <c r="O2246" s="430">
        <v>1</v>
      </c>
      <c r="P2246" s="149">
        <v>27</v>
      </c>
      <c r="Q2246" s="149">
        <v>44</v>
      </c>
      <c r="R2246" s="149">
        <v>27</v>
      </c>
      <c r="S2246" s="149">
        <v>33</v>
      </c>
      <c r="T2246" s="18" t="s">
        <v>2087</v>
      </c>
      <c r="U2246" s="283" t="e">
        <v>#N/A</v>
      </c>
      <c r="V2246" s="283" t="s">
        <v>2283</v>
      </c>
      <c r="W2246" s="283">
        <v>1</v>
      </c>
      <c r="X2246" s="283">
        <v>0</v>
      </c>
      <c r="Y2246" s="283">
        <v>0</v>
      </c>
      <c r="Z2246" s="283">
        <v>1</v>
      </c>
      <c r="AA2246" s="283">
        <v>0</v>
      </c>
      <c r="AB2246" s="283">
        <v>1</v>
      </c>
      <c r="AC2246" s="316">
        <v>1</v>
      </c>
      <c r="AD2246" s="316">
        <v>1</v>
      </c>
      <c r="AE2246" s="302">
        <f t="shared" si="93"/>
        <v>0.625</v>
      </c>
      <c r="AF2246" s="17"/>
      <c r="AG2246" s="17">
        <v>0</v>
      </c>
      <c r="AH2246" s="17">
        <v>0</v>
      </c>
      <c r="AI2246" s="17">
        <v>0</v>
      </c>
      <c r="AJ2246" s="17">
        <v>0</v>
      </c>
      <c r="AK2246" s="317"/>
      <c r="AL2246" s="317"/>
      <c r="AM2246" s="147">
        <f t="shared" si="92"/>
        <v>0</v>
      </c>
      <c r="AN2246" s="283" t="s">
        <v>239</v>
      </c>
      <c r="AO2246" s="18" t="s">
        <v>241</v>
      </c>
      <c r="AP2246" s="283" t="s">
        <v>2279</v>
      </c>
    </row>
    <row r="2247" spans="1:42" s="18" customFormat="1" x14ac:dyDescent="0.3">
      <c r="A2247" s="156" t="s">
        <v>1455</v>
      </c>
      <c r="B2247" s="18" t="s">
        <v>2061</v>
      </c>
      <c r="C2247" s="18">
        <v>113</v>
      </c>
      <c r="D2247" s="18" t="s">
        <v>2284</v>
      </c>
      <c r="E2247" s="18">
        <v>1133</v>
      </c>
      <c r="F2247" s="157" t="s">
        <v>2285</v>
      </c>
      <c r="G2247" s="157">
        <v>113301</v>
      </c>
      <c r="H2247" s="157" t="s">
        <v>2286</v>
      </c>
      <c r="I2247" s="157"/>
      <c r="J2247" s="157"/>
      <c r="K2247" s="157">
        <v>11330101</v>
      </c>
      <c r="L2247" s="157" t="s">
        <v>2287</v>
      </c>
      <c r="M2247" s="18" t="s">
        <v>2288</v>
      </c>
      <c r="N2247" s="444">
        <v>0</v>
      </c>
      <c r="O2247" s="444" t="s">
        <v>271</v>
      </c>
      <c r="P2247" s="160">
        <v>1</v>
      </c>
      <c r="Q2247" s="160" t="s">
        <v>271</v>
      </c>
      <c r="R2247" s="160" t="s">
        <v>271</v>
      </c>
      <c r="S2247" s="160" t="s">
        <v>271</v>
      </c>
      <c r="T2247" s="18" t="s">
        <v>2087</v>
      </c>
      <c r="U2247" s="283" t="e">
        <v>#N/A</v>
      </c>
      <c r="V2247" s="324" t="s">
        <v>2289</v>
      </c>
      <c r="W2247" s="283">
        <v>1</v>
      </c>
      <c r="X2247" s="283">
        <v>0</v>
      </c>
      <c r="Y2247" s="283">
        <v>0</v>
      </c>
      <c r="Z2247" s="283">
        <v>1</v>
      </c>
      <c r="AA2247" s="283">
        <v>0</v>
      </c>
      <c r="AB2247" s="283">
        <v>1</v>
      </c>
      <c r="AC2247" s="316">
        <v>0</v>
      </c>
      <c r="AD2247" s="316">
        <v>1</v>
      </c>
      <c r="AE2247" s="302">
        <f t="shared" si="93"/>
        <v>0.5</v>
      </c>
      <c r="AF2247" s="310"/>
      <c r="AG2247" s="17">
        <v>0</v>
      </c>
      <c r="AH2247" s="310">
        <v>0.15</v>
      </c>
      <c r="AI2247" s="310">
        <v>0</v>
      </c>
      <c r="AJ2247" s="310">
        <v>0</v>
      </c>
      <c r="AK2247" s="319">
        <v>1.5</v>
      </c>
      <c r="AL2247" s="319">
        <v>1.75</v>
      </c>
      <c r="AM2247" s="147">
        <f t="shared" si="92"/>
        <v>3.25</v>
      </c>
      <c r="AN2247" s="283" t="s">
        <v>239</v>
      </c>
      <c r="AO2247" s="18" t="s">
        <v>241</v>
      </c>
      <c r="AP2247" s="283" t="s">
        <v>2290</v>
      </c>
    </row>
    <row r="2248" spans="1:42" s="18" customFormat="1" x14ac:dyDescent="0.3">
      <c r="A2248" s="156" t="s">
        <v>1455</v>
      </c>
      <c r="B2248" s="18" t="s">
        <v>2061</v>
      </c>
      <c r="C2248" s="18">
        <v>113</v>
      </c>
      <c r="D2248" s="18" t="s">
        <v>2284</v>
      </c>
      <c r="E2248" s="18">
        <v>1133</v>
      </c>
      <c r="F2248" s="157" t="s">
        <v>2285</v>
      </c>
      <c r="G2248" s="157">
        <v>113301</v>
      </c>
      <c r="H2248" s="157" t="s">
        <v>2286</v>
      </c>
      <c r="I2248" s="157"/>
      <c r="J2248" s="157"/>
      <c r="K2248" s="157">
        <v>11330102</v>
      </c>
      <c r="L2248" s="157" t="s">
        <v>2291</v>
      </c>
      <c r="M2248" s="18" t="s">
        <v>2292</v>
      </c>
      <c r="N2248" s="444">
        <v>1</v>
      </c>
      <c r="O2248" s="444"/>
      <c r="P2248" s="160">
        <v>3</v>
      </c>
      <c r="Q2248" s="160">
        <v>5</v>
      </c>
      <c r="R2248" s="160">
        <v>7</v>
      </c>
      <c r="S2248" s="160">
        <v>9</v>
      </c>
      <c r="T2248" s="18" t="s">
        <v>2087</v>
      </c>
      <c r="U2248" s="283" t="e">
        <v>#N/A</v>
      </c>
      <c r="V2248" s="283" t="s">
        <v>2293</v>
      </c>
      <c r="W2248" s="283">
        <v>1</v>
      </c>
      <c r="X2248" s="283">
        <v>0</v>
      </c>
      <c r="Y2248" s="283">
        <v>0</v>
      </c>
      <c r="Z2248" s="283">
        <v>1</v>
      </c>
      <c r="AA2248" s="283">
        <v>1</v>
      </c>
      <c r="AB2248" s="283">
        <v>0</v>
      </c>
      <c r="AC2248" s="316">
        <v>0</v>
      </c>
      <c r="AD2248" s="316">
        <v>1</v>
      </c>
      <c r="AE2248" s="302">
        <f t="shared" si="93"/>
        <v>0.5</v>
      </c>
      <c r="AF2248" s="17"/>
      <c r="AG2248" s="17">
        <v>0</v>
      </c>
      <c r="AH2248" s="17">
        <v>0</v>
      </c>
      <c r="AI2248" s="17">
        <v>0</v>
      </c>
      <c r="AJ2248" s="17">
        <v>0</v>
      </c>
      <c r="AK2248" s="153">
        <v>0</v>
      </c>
      <c r="AL2248" s="154">
        <v>0</v>
      </c>
      <c r="AM2248" s="147">
        <f t="shared" si="92"/>
        <v>0</v>
      </c>
      <c r="AN2248" s="283" t="s">
        <v>239</v>
      </c>
      <c r="AO2248" s="18" t="s">
        <v>241</v>
      </c>
      <c r="AP2248" s="283" t="s">
        <v>2294</v>
      </c>
    </row>
    <row r="2249" spans="1:42" s="18" customFormat="1" x14ac:dyDescent="0.3">
      <c r="A2249" s="156" t="s">
        <v>1455</v>
      </c>
      <c r="B2249" s="18" t="s">
        <v>2061</v>
      </c>
      <c r="C2249" s="18">
        <v>113</v>
      </c>
      <c r="D2249" s="18" t="s">
        <v>2284</v>
      </c>
      <c r="E2249" s="18">
        <v>1133</v>
      </c>
      <c r="F2249" s="157" t="s">
        <v>2285</v>
      </c>
      <c r="G2249" s="157">
        <v>113301</v>
      </c>
      <c r="H2249" s="157" t="s">
        <v>2286</v>
      </c>
      <c r="I2249" s="157"/>
      <c r="J2249" s="157"/>
      <c r="K2249" s="157">
        <v>11330103</v>
      </c>
      <c r="L2249" s="157" t="s">
        <v>2295</v>
      </c>
      <c r="M2249" s="157" t="s">
        <v>2296</v>
      </c>
      <c r="N2249" s="430">
        <v>0</v>
      </c>
      <c r="O2249" s="430" t="s">
        <v>271</v>
      </c>
      <c r="P2249" s="19">
        <v>1</v>
      </c>
      <c r="Q2249" s="19" t="s">
        <v>271</v>
      </c>
      <c r="R2249" s="19" t="s">
        <v>271</v>
      </c>
      <c r="S2249" s="19" t="s">
        <v>271</v>
      </c>
      <c r="T2249" s="18" t="s">
        <v>2087</v>
      </c>
      <c r="U2249" s="283" t="e">
        <v>#N/A</v>
      </c>
      <c r="V2249" s="283" t="s">
        <v>2297</v>
      </c>
      <c r="W2249" s="283">
        <v>1</v>
      </c>
      <c r="X2249" s="283">
        <v>0</v>
      </c>
      <c r="Y2249" s="283">
        <v>0</v>
      </c>
      <c r="Z2249" s="283">
        <v>1</v>
      </c>
      <c r="AA2249" s="283">
        <v>0</v>
      </c>
      <c r="AB2249" s="283">
        <v>1</v>
      </c>
      <c r="AC2249" s="316">
        <v>1</v>
      </c>
      <c r="AD2249" s="316">
        <v>1</v>
      </c>
      <c r="AE2249" s="302">
        <f t="shared" si="93"/>
        <v>0.625</v>
      </c>
      <c r="AF2249" s="17"/>
      <c r="AG2249" s="17">
        <v>0</v>
      </c>
      <c r="AH2249" s="17">
        <v>0</v>
      </c>
      <c r="AI2249" s="17">
        <v>0</v>
      </c>
      <c r="AJ2249" s="17">
        <v>0</v>
      </c>
      <c r="AK2249" s="153">
        <v>3.75</v>
      </c>
      <c r="AL2249" s="153">
        <v>4.75</v>
      </c>
      <c r="AM2249" s="147">
        <f t="shared" si="92"/>
        <v>8.5</v>
      </c>
      <c r="AN2249" s="283" t="s">
        <v>239</v>
      </c>
      <c r="AO2249" s="18" t="s">
        <v>241</v>
      </c>
      <c r="AP2249" s="283" t="s">
        <v>2298</v>
      </c>
    </row>
    <row r="2250" spans="1:42" s="18" customFormat="1" x14ac:dyDescent="0.3">
      <c r="A2250" s="156" t="s">
        <v>1455</v>
      </c>
      <c r="B2250" s="18" t="s">
        <v>2061</v>
      </c>
      <c r="C2250" s="18">
        <v>113</v>
      </c>
      <c r="D2250" s="18" t="s">
        <v>2284</v>
      </c>
      <c r="E2250" s="18">
        <v>1133</v>
      </c>
      <c r="F2250" s="157" t="s">
        <v>2285</v>
      </c>
      <c r="G2250" s="157">
        <v>113302</v>
      </c>
      <c r="H2250" s="157" t="s">
        <v>2299</v>
      </c>
      <c r="I2250" s="157"/>
      <c r="J2250" s="157"/>
      <c r="K2250" s="157">
        <v>11330201</v>
      </c>
      <c r="L2250" s="157" t="s">
        <v>2300</v>
      </c>
      <c r="M2250" s="157" t="s">
        <v>2301</v>
      </c>
      <c r="N2250" s="430">
        <v>0</v>
      </c>
      <c r="O2250" s="430" t="s">
        <v>271</v>
      </c>
      <c r="P2250" s="19" t="s">
        <v>271</v>
      </c>
      <c r="Q2250" s="19">
        <v>5</v>
      </c>
      <c r="R2250" s="19">
        <v>10</v>
      </c>
      <c r="S2250" s="19">
        <v>20</v>
      </c>
      <c r="T2250" s="18" t="s">
        <v>2072</v>
      </c>
      <c r="U2250" s="283" t="e">
        <v>#N/A</v>
      </c>
      <c r="V2250" s="107" t="s">
        <v>2302</v>
      </c>
      <c r="W2250" s="16">
        <v>1</v>
      </c>
      <c r="X2250" s="16">
        <v>0</v>
      </c>
      <c r="Y2250" s="16">
        <v>0</v>
      </c>
      <c r="Z2250" s="16">
        <v>1</v>
      </c>
      <c r="AA2250" s="16">
        <v>1</v>
      </c>
      <c r="AB2250" s="16">
        <v>1</v>
      </c>
      <c r="AC2250" s="316">
        <v>1</v>
      </c>
      <c r="AD2250" s="316">
        <v>1</v>
      </c>
      <c r="AE2250" s="302">
        <f t="shared" si="93"/>
        <v>0.75</v>
      </c>
      <c r="AF2250" s="310">
        <v>1</v>
      </c>
      <c r="AG2250" s="17">
        <v>1</v>
      </c>
      <c r="AH2250" s="310">
        <v>60.2</v>
      </c>
      <c r="AI2250" s="310">
        <v>65.13</v>
      </c>
      <c r="AJ2250" s="310">
        <v>65.2</v>
      </c>
      <c r="AK2250" s="317">
        <v>1.75</v>
      </c>
      <c r="AL2250" s="317">
        <v>2</v>
      </c>
      <c r="AM2250" s="147">
        <f t="shared" si="92"/>
        <v>3.75</v>
      </c>
      <c r="AN2250" s="283" t="s">
        <v>2074</v>
      </c>
      <c r="AO2250" s="18" t="s">
        <v>2075</v>
      </c>
      <c r="AP2250" s="283" t="s">
        <v>2303</v>
      </c>
    </row>
    <row r="2251" spans="1:42" s="18" customFormat="1" x14ac:dyDescent="0.3">
      <c r="A2251" s="156" t="s">
        <v>1455</v>
      </c>
      <c r="B2251" s="18" t="s">
        <v>2061</v>
      </c>
      <c r="C2251" s="18">
        <v>113</v>
      </c>
      <c r="D2251" s="18" t="s">
        <v>2284</v>
      </c>
      <c r="E2251" s="18">
        <v>1133</v>
      </c>
      <c r="F2251" s="157" t="s">
        <v>2285</v>
      </c>
      <c r="G2251" s="157">
        <v>113302</v>
      </c>
      <c r="H2251" s="157" t="s">
        <v>2299</v>
      </c>
      <c r="I2251" s="157"/>
      <c r="J2251" s="157"/>
      <c r="K2251" s="157">
        <v>11330202</v>
      </c>
      <c r="L2251" s="157" t="s">
        <v>2304</v>
      </c>
      <c r="M2251" s="157" t="s">
        <v>2305</v>
      </c>
      <c r="N2251" s="430">
        <v>0</v>
      </c>
      <c r="O2251" s="430">
        <v>1</v>
      </c>
      <c r="P2251" s="19">
        <v>1</v>
      </c>
      <c r="Q2251" s="19">
        <v>1</v>
      </c>
      <c r="R2251" s="19">
        <v>1</v>
      </c>
      <c r="S2251" s="19">
        <v>1</v>
      </c>
      <c r="T2251" s="18" t="s">
        <v>2087</v>
      </c>
      <c r="U2251" s="283" t="e">
        <v>#N/A</v>
      </c>
      <c r="V2251" s="107" t="s">
        <v>2306</v>
      </c>
      <c r="W2251" s="18">
        <v>1</v>
      </c>
      <c r="X2251" s="18">
        <v>1</v>
      </c>
      <c r="Y2251" s="18">
        <v>1</v>
      </c>
      <c r="Z2251" s="18">
        <v>1</v>
      </c>
      <c r="AA2251" s="18">
        <v>1</v>
      </c>
      <c r="AB2251" s="18">
        <v>1</v>
      </c>
      <c r="AC2251" s="316">
        <v>0</v>
      </c>
      <c r="AD2251" s="316">
        <v>0</v>
      </c>
      <c r="AE2251" s="302">
        <f t="shared" si="93"/>
        <v>0.75</v>
      </c>
      <c r="AF2251" s="310"/>
      <c r="AG2251" s="17">
        <v>0</v>
      </c>
      <c r="AH2251" s="310">
        <v>0.2</v>
      </c>
      <c r="AI2251" s="310">
        <v>0.2</v>
      </c>
      <c r="AJ2251" s="310">
        <v>0.2</v>
      </c>
      <c r="AK2251" s="317">
        <v>0.45</v>
      </c>
      <c r="AL2251" s="317">
        <v>0.1</v>
      </c>
      <c r="AM2251" s="147">
        <f t="shared" si="92"/>
        <v>0.55000000000000004</v>
      </c>
      <c r="AN2251" s="283" t="s">
        <v>239</v>
      </c>
      <c r="AO2251" s="18" t="s">
        <v>241</v>
      </c>
      <c r="AP2251" s="283" t="s">
        <v>2307</v>
      </c>
    </row>
    <row r="2252" spans="1:42" s="18" customFormat="1" x14ac:dyDescent="0.3">
      <c r="A2252" s="156" t="s">
        <v>1455</v>
      </c>
      <c r="B2252" s="18" t="s">
        <v>2061</v>
      </c>
      <c r="C2252" s="18">
        <v>113</v>
      </c>
      <c r="D2252" s="18" t="s">
        <v>2284</v>
      </c>
      <c r="E2252" s="18">
        <v>1133</v>
      </c>
      <c r="F2252" s="157" t="s">
        <v>2285</v>
      </c>
      <c r="G2252" s="157">
        <v>113302</v>
      </c>
      <c r="H2252" s="157" t="s">
        <v>2299</v>
      </c>
      <c r="I2252" s="157"/>
      <c r="J2252" s="157"/>
      <c r="K2252" s="157">
        <v>11330203</v>
      </c>
      <c r="L2252" s="157" t="s">
        <v>2308</v>
      </c>
      <c r="M2252" s="157" t="s">
        <v>2309</v>
      </c>
      <c r="N2252" s="430">
        <v>6</v>
      </c>
      <c r="O2252" s="430">
        <v>8</v>
      </c>
      <c r="P2252" s="19">
        <v>11</v>
      </c>
      <c r="Q2252" s="19">
        <v>14</v>
      </c>
      <c r="R2252" s="19">
        <v>17</v>
      </c>
      <c r="S2252" s="19">
        <v>20</v>
      </c>
      <c r="T2252" s="18" t="s">
        <v>2087</v>
      </c>
      <c r="U2252" s="283" t="e">
        <v>#N/A</v>
      </c>
      <c r="V2252" s="163" t="s">
        <v>2310</v>
      </c>
      <c r="W2252" s="18">
        <v>1</v>
      </c>
      <c r="X2252" s="18">
        <v>0</v>
      </c>
      <c r="Y2252" s="18">
        <v>0</v>
      </c>
      <c r="Z2252" s="18">
        <v>1</v>
      </c>
      <c r="AA2252" s="18">
        <v>0</v>
      </c>
      <c r="AB2252" s="18">
        <v>0</v>
      </c>
      <c r="AC2252" s="316">
        <v>0</v>
      </c>
      <c r="AD2252" s="316">
        <v>1</v>
      </c>
      <c r="AE2252" s="302">
        <f t="shared" si="93"/>
        <v>0.375</v>
      </c>
      <c r="AF2252" s="17"/>
      <c r="AG2252" s="17">
        <v>0</v>
      </c>
      <c r="AH2252" s="17">
        <v>0</v>
      </c>
      <c r="AI2252" s="17">
        <v>0</v>
      </c>
      <c r="AJ2252" s="17">
        <v>0</v>
      </c>
      <c r="AK2252" s="317"/>
      <c r="AL2252" s="317"/>
      <c r="AM2252" s="147">
        <f t="shared" si="92"/>
        <v>0</v>
      </c>
      <c r="AN2252" s="283" t="s">
        <v>239</v>
      </c>
      <c r="AO2252" s="18" t="s">
        <v>241</v>
      </c>
      <c r="AP2252" s="283" t="s">
        <v>2311</v>
      </c>
    </row>
    <row r="2253" spans="1:42" s="18" customFormat="1" x14ac:dyDescent="0.3">
      <c r="A2253" s="156" t="s">
        <v>1455</v>
      </c>
      <c r="B2253" s="18" t="s">
        <v>2061</v>
      </c>
      <c r="C2253" s="18">
        <v>113</v>
      </c>
      <c r="D2253" s="18" t="s">
        <v>2284</v>
      </c>
      <c r="E2253" s="18">
        <v>1133</v>
      </c>
      <c r="F2253" s="157" t="s">
        <v>2285</v>
      </c>
      <c r="G2253" s="157">
        <v>113302</v>
      </c>
      <c r="H2253" s="157" t="s">
        <v>2299</v>
      </c>
      <c r="I2253" s="157"/>
      <c r="J2253" s="157"/>
      <c r="K2253" s="157">
        <v>11330204</v>
      </c>
      <c r="L2253" s="157" t="s">
        <v>2312</v>
      </c>
      <c r="M2253" s="157" t="s">
        <v>2313</v>
      </c>
      <c r="N2253" s="430">
        <v>3</v>
      </c>
      <c r="O2253" s="430" t="s">
        <v>271</v>
      </c>
      <c r="P2253" s="19">
        <v>4</v>
      </c>
      <c r="Q2253" s="19">
        <v>5</v>
      </c>
      <c r="R2253" s="19">
        <v>6</v>
      </c>
      <c r="S2253" s="19" t="s">
        <v>271</v>
      </c>
      <c r="T2253" s="18" t="s">
        <v>2072</v>
      </c>
      <c r="U2253" s="283" t="e">
        <v>#N/A</v>
      </c>
      <c r="V2253" s="325" t="s">
        <v>2314</v>
      </c>
      <c r="W2253" s="283">
        <v>1</v>
      </c>
      <c r="X2253" s="283">
        <v>0</v>
      </c>
      <c r="Y2253" s="283">
        <v>0</v>
      </c>
      <c r="Z2253" s="283">
        <v>1</v>
      </c>
      <c r="AA2253" s="283">
        <v>1</v>
      </c>
      <c r="AB2253" s="283">
        <v>1</v>
      </c>
      <c r="AC2253" s="316">
        <v>1</v>
      </c>
      <c r="AD2253" s="316">
        <v>1</v>
      </c>
      <c r="AE2253" s="302">
        <f t="shared" si="93"/>
        <v>0.75</v>
      </c>
      <c r="AF2253" s="310">
        <v>1</v>
      </c>
      <c r="AG2253" s="17">
        <v>1</v>
      </c>
      <c r="AH2253" s="310">
        <v>0.1</v>
      </c>
      <c r="AI2253" s="310">
        <v>0.1</v>
      </c>
      <c r="AJ2253" s="310">
        <v>0.1</v>
      </c>
      <c r="AK2253" s="164">
        <v>5.81</v>
      </c>
      <c r="AL2253" s="165">
        <v>6.39</v>
      </c>
      <c r="AM2253" s="147">
        <f t="shared" si="92"/>
        <v>12.2</v>
      </c>
      <c r="AN2253" s="283" t="s">
        <v>2074</v>
      </c>
      <c r="AO2253" s="18" t="s">
        <v>2075</v>
      </c>
      <c r="AP2253" s="283" t="s">
        <v>2315</v>
      </c>
    </row>
    <row r="2254" spans="1:42" s="18" customFormat="1" x14ac:dyDescent="0.3">
      <c r="A2254" s="156" t="s">
        <v>1455</v>
      </c>
      <c r="B2254" s="18" t="s">
        <v>2061</v>
      </c>
      <c r="C2254" s="18">
        <v>113</v>
      </c>
      <c r="D2254" s="18" t="s">
        <v>2284</v>
      </c>
      <c r="E2254" s="18">
        <v>1133</v>
      </c>
      <c r="F2254" s="157" t="s">
        <v>2285</v>
      </c>
      <c r="G2254" s="157">
        <v>113302</v>
      </c>
      <c r="H2254" s="157" t="s">
        <v>2299</v>
      </c>
      <c r="I2254" s="157"/>
      <c r="J2254" s="157"/>
      <c r="K2254" s="157">
        <v>11330205</v>
      </c>
      <c r="L2254" s="157" t="s">
        <v>2316</v>
      </c>
      <c r="M2254" s="157" t="s">
        <v>2317</v>
      </c>
      <c r="N2254" s="430">
        <v>10</v>
      </c>
      <c r="O2254" s="430">
        <v>0</v>
      </c>
      <c r="P2254" s="19">
        <v>3</v>
      </c>
      <c r="Q2254" s="19">
        <v>3</v>
      </c>
      <c r="R2254" s="19">
        <v>2</v>
      </c>
      <c r="S2254" s="19">
        <v>2</v>
      </c>
      <c r="T2254" s="18" t="s">
        <v>2318</v>
      </c>
      <c r="U2254" s="283" t="e">
        <v>#N/A</v>
      </c>
      <c r="V2254" s="326" t="s">
        <v>2319</v>
      </c>
      <c r="W2254" s="283">
        <v>1</v>
      </c>
      <c r="X2254" s="283"/>
      <c r="Y2254" s="283"/>
      <c r="Z2254" s="283">
        <v>1</v>
      </c>
      <c r="AA2254" s="283">
        <v>1</v>
      </c>
      <c r="AB2254" s="283">
        <v>1</v>
      </c>
      <c r="AC2254" s="316">
        <v>1</v>
      </c>
      <c r="AD2254" s="316">
        <v>0</v>
      </c>
      <c r="AE2254" s="302">
        <f t="shared" si="93"/>
        <v>0.625</v>
      </c>
      <c r="AF2254" s="310">
        <v>1</v>
      </c>
      <c r="AG2254" s="17">
        <v>0</v>
      </c>
      <c r="AH2254" s="310">
        <v>0.3</v>
      </c>
      <c r="AI2254" s="310">
        <v>0.3</v>
      </c>
      <c r="AJ2254" s="310">
        <v>0.3</v>
      </c>
      <c r="AK2254" s="317">
        <v>0.3</v>
      </c>
      <c r="AL2254" s="317">
        <v>0.3</v>
      </c>
      <c r="AM2254" s="147">
        <f t="shared" si="92"/>
        <v>0.6</v>
      </c>
      <c r="AN2254" s="283" t="s">
        <v>2074</v>
      </c>
      <c r="AO2254" s="18" t="s">
        <v>2075</v>
      </c>
      <c r="AP2254" s="283" t="s">
        <v>2315</v>
      </c>
    </row>
    <row r="2255" spans="1:42" s="18" customFormat="1" x14ac:dyDescent="0.3">
      <c r="A2255" s="156" t="s">
        <v>1455</v>
      </c>
      <c r="B2255" s="18" t="s">
        <v>2061</v>
      </c>
      <c r="C2255" s="18">
        <v>113</v>
      </c>
      <c r="D2255" s="18" t="s">
        <v>2284</v>
      </c>
      <c r="E2255" s="18">
        <v>1133</v>
      </c>
      <c r="F2255" s="157" t="s">
        <v>2285</v>
      </c>
      <c r="G2255" s="157">
        <v>113302</v>
      </c>
      <c r="H2255" s="157" t="s">
        <v>2299</v>
      </c>
      <c r="I2255" s="157"/>
      <c r="J2255" s="157"/>
      <c r="K2255" s="157">
        <v>11330205</v>
      </c>
      <c r="L2255" s="157" t="s">
        <v>2316</v>
      </c>
      <c r="M2255" s="157"/>
      <c r="N2255" s="430"/>
      <c r="O2255" s="430"/>
      <c r="P2255" s="19"/>
      <c r="Q2255" s="19"/>
      <c r="R2255" s="19"/>
      <c r="S2255" s="19"/>
      <c r="U2255" s="283" t="e">
        <v>#N/A</v>
      </c>
      <c r="V2255" s="283" t="s">
        <v>2320</v>
      </c>
      <c r="W2255" s="283">
        <v>1</v>
      </c>
      <c r="X2255" s="283">
        <v>0</v>
      </c>
      <c r="Y2255" s="283">
        <v>0</v>
      </c>
      <c r="Z2255" s="283">
        <v>1</v>
      </c>
      <c r="AA2255" s="283">
        <v>0</v>
      </c>
      <c r="AB2255" s="283">
        <v>1</v>
      </c>
      <c r="AC2255" s="316">
        <v>1</v>
      </c>
      <c r="AD2255" s="316">
        <v>0</v>
      </c>
      <c r="AE2255" s="302">
        <f t="shared" si="93"/>
        <v>0.5</v>
      </c>
      <c r="AF2255" s="310"/>
      <c r="AG2255" s="17">
        <v>0</v>
      </c>
      <c r="AH2255" s="310">
        <v>0</v>
      </c>
      <c r="AI2255" s="310">
        <v>0</v>
      </c>
      <c r="AJ2255" s="310">
        <v>6.4619999999999997</v>
      </c>
      <c r="AK2255" s="317">
        <v>5.47</v>
      </c>
      <c r="AL2255" s="317">
        <v>5.38</v>
      </c>
      <c r="AM2255" s="147">
        <f t="shared" si="92"/>
        <v>10.85</v>
      </c>
      <c r="AN2255" s="283" t="s">
        <v>2074</v>
      </c>
      <c r="AO2255" s="18" t="s">
        <v>2075</v>
      </c>
      <c r="AP2255" s="283" t="s">
        <v>2315</v>
      </c>
    </row>
    <row r="2256" spans="1:42" s="18" customFormat="1" x14ac:dyDescent="0.3">
      <c r="A2256" s="156" t="s">
        <v>1455</v>
      </c>
      <c r="B2256" s="18" t="s">
        <v>2061</v>
      </c>
      <c r="C2256" s="18">
        <v>113</v>
      </c>
      <c r="D2256" s="18" t="s">
        <v>2284</v>
      </c>
      <c r="E2256" s="18">
        <v>1133</v>
      </c>
      <c r="F2256" s="157" t="s">
        <v>2285</v>
      </c>
      <c r="G2256" s="157">
        <v>113302</v>
      </c>
      <c r="H2256" s="157" t="s">
        <v>2299</v>
      </c>
      <c r="I2256" s="157"/>
      <c r="J2256" s="157"/>
      <c r="K2256" s="157">
        <v>11330205</v>
      </c>
      <c r="L2256" s="157" t="s">
        <v>2316</v>
      </c>
      <c r="M2256" s="157"/>
      <c r="N2256" s="430"/>
      <c r="O2256" s="430"/>
      <c r="P2256" s="19"/>
      <c r="Q2256" s="19"/>
      <c r="R2256" s="19"/>
      <c r="S2256" s="19"/>
      <c r="U2256" s="283" t="e">
        <v>#N/A</v>
      </c>
      <c r="V2256" s="283" t="s">
        <v>2321</v>
      </c>
      <c r="W2256" s="283">
        <v>1</v>
      </c>
      <c r="X2256" s="283">
        <v>0</v>
      </c>
      <c r="Y2256" s="283">
        <v>0</v>
      </c>
      <c r="Z2256" s="283">
        <v>1</v>
      </c>
      <c r="AA2256" s="283">
        <v>1</v>
      </c>
      <c r="AB2256" s="283">
        <v>1</v>
      </c>
      <c r="AC2256" s="316">
        <v>0</v>
      </c>
      <c r="AD2256" s="316">
        <v>0</v>
      </c>
      <c r="AE2256" s="302">
        <f t="shared" si="93"/>
        <v>0.5</v>
      </c>
      <c r="AF2256" s="310"/>
      <c r="AG2256" s="17">
        <v>0</v>
      </c>
      <c r="AH2256" s="310">
        <v>0.1</v>
      </c>
      <c r="AI2256" s="310">
        <v>0.1</v>
      </c>
      <c r="AJ2256" s="310">
        <v>0.1</v>
      </c>
      <c r="AK2256" s="317">
        <v>0.1</v>
      </c>
      <c r="AL2256" s="317">
        <v>0.1</v>
      </c>
      <c r="AM2256" s="147">
        <f t="shared" si="92"/>
        <v>0.2</v>
      </c>
      <c r="AN2256" s="283" t="s">
        <v>2074</v>
      </c>
      <c r="AO2256" s="18" t="s">
        <v>2075</v>
      </c>
      <c r="AP2256" s="283" t="s">
        <v>2315</v>
      </c>
    </row>
    <row r="2257" spans="1:42" s="18" customFormat="1" x14ac:dyDescent="0.3">
      <c r="A2257" s="156" t="s">
        <v>1455</v>
      </c>
      <c r="B2257" s="18" t="s">
        <v>2061</v>
      </c>
      <c r="C2257" s="18">
        <v>113</v>
      </c>
      <c r="D2257" s="18" t="s">
        <v>2284</v>
      </c>
      <c r="E2257" s="18">
        <v>1133</v>
      </c>
      <c r="F2257" s="157" t="s">
        <v>2285</v>
      </c>
      <c r="G2257" s="157">
        <v>113302</v>
      </c>
      <c r="H2257" s="157" t="s">
        <v>2299</v>
      </c>
      <c r="I2257" s="157"/>
      <c r="J2257" s="157"/>
      <c r="K2257" s="157">
        <v>11330205</v>
      </c>
      <c r="L2257" s="157" t="s">
        <v>2316</v>
      </c>
      <c r="M2257" s="157"/>
      <c r="N2257" s="430"/>
      <c r="O2257" s="430"/>
      <c r="P2257" s="19"/>
      <c r="Q2257" s="19"/>
      <c r="R2257" s="19"/>
      <c r="S2257" s="19"/>
      <c r="U2257" s="283" t="e">
        <v>#N/A</v>
      </c>
      <c r="V2257" s="283" t="s">
        <v>2322</v>
      </c>
      <c r="W2257" s="283">
        <v>1</v>
      </c>
      <c r="X2257" s="283">
        <v>0</v>
      </c>
      <c r="Y2257" s="283">
        <v>0</v>
      </c>
      <c r="Z2257" s="283">
        <v>1</v>
      </c>
      <c r="AA2257" s="283">
        <v>1</v>
      </c>
      <c r="AB2257" s="283">
        <v>1</v>
      </c>
      <c r="AC2257" s="316">
        <v>0</v>
      </c>
      <c r="AD2257" s="316">
        <v>0</v>
      </c>
      <c r="AE2257" s="302">
        <f t="shared" si="93"/>
        <v>0.5</v>
      </c>
      <c r="AF2257" s="310"/>
      <c r="AG2257" s="17">
        <v>0</v>
      </c>
      <c r="AH2257" s="310">
        <v>0</v>
      </c>
      <c r="AI2257" s="310">
        <v>0.5</v>
      </c>
      <c r="AJ2257" s="310">
        <v>0.5</v>
      </c>
      <c r="AK2257" s="317">
        <v>0.5</v>
      </c>
      <c r="AL2257" s="317">
        <v>0.5</v>
      </c>
      <c r="AM2257" s="147">
        <f t="shared" si="92"/>
        <v>1</v>
      </c>
      <c r="AN2257" s="283" t="s">
        <v>2323</v>
      </c>
      <c r="AO2257" s="18" t="s">
        <v>241</v>
      </c>
      <c r="AP2257" s="283" t="s">
        <v>119</v>
      </c>
    </row>
    <row r="2258" spans="1:42" s="18" customFormat="1" x14ac:dyDescent="0.3">
      <c r="A2258" s="156" t="s">
        <v>1455</v>
      </c>
      <c r="B2258" s="18" t="s">
        <v>2061</v>
      </c>
      <c r="C2258" s="18">
        <v>113</v>
      </c>
      <c r="D2258" s="18" t="s">
        <v>2284</v>
      </c>
      <c r="E2258" s="18">
        <v>1133</v>
      </c>
      <c r="F2258" s="157" t="s">
        <v>2285</v>
      </c>
      <c r="G2258" s="157">
        <v>113302</v>
      </c>
      <c r="H2258" s="157" t="s">
        <v>2299</v>
      </c>
      <c r="I2258" s="157"/>
      <c r="J2258" s="157"/>
      <c r="K2258" s="157">
        <v>11330206</v>
      </c>
      <c r="L2258" s="157" t="s">
        <v>2324</v>
      </c>
      <c r="M2258" s="157" t="s">
        <v>2325</v>
      </c>
      <c r="N2258" s="430">
        <v>0</v>
      </c>
      <c r="O2258" s="430">
        <v>0</v>
      </c>
      <c r="P2258" s="19">
        <v>2</v>
      </c>
      <c r="Q2258" s="19">
        <v>2</v>
      </c>
      <c r="R2258" s="19">
        <v>2</v>
      </c>
      <c r="S2258" s="19">
        <v>2</v>
      </c>
      <c r="T2258" s="18" t="s">
        <v>2318</v>
      </c>
      <c r="U2258" s="283" t="e">
        <v>#N/A</v>
      </c>
      <c r="V2258" s="18" t="s">
        <v>2326</v>
      </c>
      <c r="AC2258" s="316">
        <v>0</v>
      </c>
      <c r="AD2258" s="316">
        <v>0</v>
      </c>
      <c r="AE2258" s="302">
        <f t="shared" si="93"/>
        <v>0</v>
      </c>
      <c r="AF2258" s="17"/>
      <c r="AG2258" s="17">
        <v>0</v>
      </c>
      <c r="AH2258" s="17">
        <v>0</v>
      </c>
      <c r="AI2258" s="17">
        <v>0</v>
      </c>
      <c r="AJ2258" s="17">
        <v>0</v>
      </c>
      <c r="AK2258" s="153">
        <v>0</v>
      </c>
      <c r="AL2258" s="317" t="s">
        <v>2089</v>
      </c>
      <c r="AM2258" s="147">
        <f t="shared" ref="AM2258:AM2289" si="94">SUM(AK2258:AL2258)</f>
        <v>0</v>
      </c>
      <c r="AN2258" s="283" t="s">
        <v>2323</v>
      </c>
      <c r="AO2258" s="18" t="s">
        <v>241</v>
      </c>
      <c r="AP2258" s="283" t="s">
        <v>119</v>
      </c>
    </row>
    <row r="2259" spans="1:42" s="18" customFormat="1" x14ac:dyDescent="0.3">
      <c r="A2259" s="156" t="s">
        <v>1455</v>
      </c>
      <c r="B2259" s="18" t="s">
        <v>2061</v>
      </c>
      <c r="C2259" s="18">
        <v>113</v>
      </c>
      <c r="D2259" s="18" t="s">
        <v>2284</v>
      </c>
      <c r="E2259" s="18">
        <v>1133</v>
      </c>
      <c r="F2259" s="157" t="s">
        <v>2285</v>
      </c>
      <c r="G2259" s="157">
        <v>113303</v>
      </c>
      <c r="H2259" s="157" t="s">
        <v>2327</v>
      </c>
      <c r="I2259" s="157"/>
      <c r="J2259" s="157"/>
      <c r="K2259" s="157">
        <v>11330301</v>
      </c>
      <c r="L2259" s="161" t="s">
        <v>2328</v>
      </c>
      <c r="M2259" s="157" t="s">
        <v>2329</v>
      </c>
      <c r="N2259" s="430">
        <v>72</v>
      </c>
      <c r="O2259" s="430">
        <v>112</v>
      </c>
      <c r="P2259" s="19">
        <v>152</v>
      </c>
      <c r="Q2259" s="19">
        <v>200</v>
      </c>
      <c r="R2259" s="19">
        <v>242</v>
      </c>
      <c r="S2259" s="19">
        <v>282</v>
      </c>
      <c r="T2259" s="18" t="s">
        <v>2087</v>
      </c>
      <c r="U2259" s="283" t="e">
        <v>#N/A</v>
      </c>
      <c r="V2259" s="326" t="s">
        <v>2330</v>
      </c>
      <c r="W2259" s="283">
        <v>1</v>
      </c>
      <c r="X2259" s="283">
        <v>1</v>
      </c>
      <c r="Y2259" s="283">
        <v>1</v>
      </c>
      <c r="Z2259" s="283">
        <v>1</v>
      </c>
      <c r="AA2259" s="283">
        <v>1</v>
      </c>
      <c r="AB2259" s="283">
        <v>1</v>
      </c>
      <c r="AC2259" s="316">
        <v>0</v>
      </c>
      <c r="AD2259" s="316">
        <v>1</v>
      </c>
      <c r="AE2259" s="302">
        <f t="shared" si="93"/>
        <v>0.875</v>
      </c>
      <c r="AF2259" s="310"/>
      <c r="AG2259" s="17">
        <v>0</v>
      </c>
      <c r="AH2259" s="310">
        <v>20</v>
      </c>
      <c r="AI2259" s="310">
        <v>20</v>
      </c>
      <c r="AJ2259" s="310">
        <v>20</v>
      </c>
      <c r="AK2259" s="317">
        <v>20</v>
      </c>
      <c r="AL2259" s="317">
        <v>20</v>
      </c>
      <c r="AM2259" s="147">
        <f t="shared" si="94"/>
        <v>40</v>
      </c>
      <c r="AN2259" s="283" t="s">
        <v>239</v>
      </c>
      <c r="AO2259" s="18" t="s">
        <v>241</v>
      </c>
      <c r="AP2259" s="283" t="s">
        <v>2331</v>
      </c>
    </row>
    <row r="2260" spans="1:42" s="18" customFormat="1" x14ac:dyDescent="0.3">
      <c r="A2260" s="156" t="s">
        <v>1455</v>
      </c>
      <c r="B2260" s="18" t="s">
        <v>2061</v>
      </c>
      <c r="C2260" s="18">
        <v>113</v>
      </c>
      <c r="D2260" s="18" t="s">
        <v>2284</v>
      </c>
      <c r="E2260" s="18">
        <v>1133</v>
      </c>
      <c r="F2260" s="157" t="s">
        <v>2285</v>
      </c>
      <c r="G2260" s="157">
        <v>113303</v>
      </c>
      <c r="H2260" s="157" t="s">
        <v>2327</v>
      </c>
      <c r="I2260" s="157"/>
      <c r="J2260" s="157"/>
      <c r="K2260" s="157">
        <v>11330301</v>
      </c>
      <c r="L2260" s="161" t="s">
        <v>2328</v>
      </c>
      <c r="M2260" s="157" t="s">
        <v>2332</v>
      </c>
      <c r="N2260" s="430">
        <v>200</v>
      </c>
      <c r="O2260" s="430">
        <v>250</v>
      </c>
      <c r="P2260" s="19">
        <v>300</v>
      </c>
      <c r="Q2260" s="19">
        <v>350</v>
      </c>
      <c r="R2260" s="19">
        <v>400</v>
      </c>
      <c r="S2260" s="19">
        <v>450</v>
      </c>
      <c r="T2260" s="18" t="s">
        <v>2087</v>
      </c>
      <c r="U2260" s="283" t="e">
        <v>#N/A</v>
      </c>
      <c r="V2260" s="166" t="s">
        <v>2333</v>
      </c>
      <c r="W2260" s="283">
        <v>1</v>
      </c>
      <c r="X2260" s="283">
        <v>1</v>
      </c>
      <c r="Y2260" s="283">
        <v>1</v>
      </c>
      <c r="Z2260" s="283">
        <v>1</v>
      </c>
      <c r="AA2260" s="283">
        <v>0</v>
      </c>
      <c r="AB2260" s="283">
        <v>1</v>
      </c>
      <c r="AC2260" s="316">
        <v>0</v>
      </c>
      <c r="AD2260" s="316">
        <v>1</v>
      </c>
      <c r="AE2260" s="302">
        <f t="shared" si="93"/>
        <v>0.75</v>
      </c>
      <c r="AF2260" s="17"/>
      <c r="AG2260" s="17">
        <v>0</v>
      </c>
      <c r="AH2260" s="17">
        <v>0</v>
      </c>
      <c r="AI2260" s="17">
        <v>0</v>
      </c>
      <c r="AJ2260" s="17">
        <v>0</v>
      </c>
      <c r="AK2260" s="153">
        <v>0</v>
      </c>
      <c r="AL2260" s="317">
        <v>0</v>
      </c>
      <c r="AM2260" s="147">
        <f t="shared" si="94"/>
        <v>0</v>
      </c>
      <c r="AN2260" s="283" t="s">
        <v>239</v>
      </c>
      <c r="AO2260" s="18" t="s">
        <v>241</v>
      </c>
      <c r="AP2260" s="283" t="s">
        <v>2334</v>
      </c>
    </row>
    <row r="2261" spans="1:42" s="18" customFormat="1" x14ac:dyDescent="0.3">
      <c r="A2261" s="156" t="s">
        <v>1455</v>
      </c>
      <c r="B2261" s="18" t="s">
        <v>2061</v>
      </c>
      <c r="C2261" s="18">
        <v>113</v>
      </c>
      <c r="D2261" s="18" t="s">
        <v>2284</v>
      </c>
      <c r="E2261" s="18">
        <v>1133</v>
      </c>
      <c r="F2261" s="157" t="s">
        <v>2285</v>
      </c>
      <c r="G2261" s="157">
        <v>113303</v>
      </c>
      <c r="H2261" s="157" t="s">
        <v>2327</v>
      </c>
      <c r="I2261" s="157"/>
      <c r="J2261" s="157"/>
      <c r="K2261" s="157">
        <v>11330302</v>
      </c>
      <c r="L2261" s="157" t="s">
        <v>2335</v>
      </c>
      <c r="M2261" s="157" t="s">
        <v>2336</v>
      </c>
      <c r="N2261" s="430">
        <v>2</v>
      </c>
      <c r="O2261" s="430">
        <v>3</v>
      </c>
      <c r="P2261" s="19">
        <v>3</v>
      </c>
      <c r="Q2261" s="19">
        <v>3</v>
      </c>
      <c r="R2261" s="19">
        <v>3</v>
      </c>
      <c r="S2261" s="19">
        <v>3</v>
      </c>
      <c r="T2261" s="18" t="s">
        <v>2087</v>
      </c>
      <c r="U2261" s="283" t="e">
        <v>#N/A</v>
      </c>
      <c r="V2261" s="166" t="s">
        <v>2337</v>
      </c>
      <c r="W2261" s="283">
        <v>1</v>
      </c>
      <c r="X2261" s="283">
        <v>0</v>
      </c>
      <c r="Y2261" s="283">
        <v>1</v>
      </c>
      <c r="Z2261" s="283">
        <v>1</v>
      </c>
      <c r="AA2261" s="283">
        <v>0</v>
      </c>
      <c r="AB2261" s="283">
        <v>1</v>
      </c>
      <c r="AC2261" s="316">
        <v>0</v>
      </c>
      <c r="AD2261" s="316">
        <v>1</v>
      </c>
      <c r="AE2261" s="302">
        <f t="shared" ref="AE2261:AE2292" si="95">SUM(W2261:AD2261)/8</f>
        <v>0.625</v>
      </c>
      <c r="AF2261" s="17"/>
      <c r="AG2261" s="17">
        <v>0</v>
      </c>
      <c r="AH2261" s="17">
        <v>0</v>
      </c>
      <c r="AI2261" s="17">
        <v>0</v>
      </c>
      <c r="AJ2261" s="17">
        <v>0</v>
      </c>
      <c r="AK2261" s="153">
        <v>0</v>
      </c>
      <c r="AL2261" s="317" t="s">
        <v>2089</v>
      </c>
      <c r="AM2261" s="147">
        <f t="shared" si="94"/>
        <v>0</v>
      </c>
      <c r="AN2261" s="283" t="s">
        <v>239</v>
      </c>
      <c r="AO2261" s="18" t="s">
        <v>241</v>
      </c>
      <c r="AP2261" s="18" t="s">
        <v>2338</v>
      </c>
    </row>
    <row r="2262" spans="1:42" s="18" customFormat="1" x14ac:dyDescent="0.3">
      <c r="A2262" s="156" t="s">
        <v>1455</v>
      </c>
      <c r="B2262" s="18" t="s">
        <v>2061</v>
      </c>
      <c r="C2262" s="18">
        <v>113</v>
      </c>
      <c r="D2262" s="18" t="s">
        <v>2284</v>
      </c>
      <c r="E2262" s="18">
        <v>1133</v>
      </c>
      <c r="F2262" s="157" t="s">
        <v>2285</v>
      </c>
      <c r="G2262" s="157">
        <v>113303</v>
      </c>
      <c r="H2262" s="157" t="s">
        <v>2327</v>
      </c>
      <c r="I2262" s="157"/>
      <c r="J2262" s="157"/>
      <c r="K2262" s="157">
        <v>11330303</v>
      </c>
      <c r="L2262" s="157" t="s">
        <v>2339</v>
      </c>
      <c r="M2262" s="157" t="s">
        <v>2259</v>
      </c>
      <c r="N2262" s="430">
        <v>25</v>
      </c>
      <c r="O2262" s="430">
        <v>45</v>
      </c>
      <c r="P2262" s="19">
        <v>50</v>
      </c>
      <c r="Q2262" s="19">
        <v>55</v>
      </c>
      <c r="R2262" s="19">
        <v>60</v>
      </c>
      <c r="S2262" s="19">
        <v>70</v>
      </c>
      <c r="T2262" s="18" t="s">
        <v>2068</v>
      </c>
      <c r="U2262" s="283" t="e">
        <v>#N/A</v>
      </c>
      <c r="V2262" s="283" t="s">
        <v>2262</v>
      </c>
      <c r="W2262" s="283">
        <v>1</v>
      </c>
      <c r="X2262" s="283">
        <v>0</v>
      </c>
      <c r="Y2262" s="283">
        <v>0</v>
      </c>
      <c r="Z2262" s="283">
        <v>1</v>
      </c>
      <c r="AA2262" s="283">
        <v>0</v>
      </c>
      <c r="AB2262" s="283">
        <v>1</v>
      </c>
      <c r="AC2262" s="316">
        <v>1</v>
      </c>
      <c r="AD2262" s="316">
        <v>0</v>
      </c>
      <c r="AE2262" s="302">
        <f t="shared" si="95"/>
        <v>0.5</v>
      </c>
      <c r="AF2262" s="310">
        <v>1</v>
      </c>
      <c r="AG2262" s="17">
        <v>0</v>
      </c>
      <c r="AH2262" s="310">
        <v>2.5</v>
      </c>
      <c r="AI2262" s="310">
        <v>1.5</v>
      </c>
      <c r="AJ2262" s="310">
        <v>3</v>
      </c>
      <c r="AK2262" s="317">
        <v>1.8</v>
      </c>
      <c r="AL2262" s="317">
        <v>1.2</v>
      </c>
      <c r="AM2262" s="147">
        <f t="shared" si="94"/>
        <v>3</v>
      </c>
      <c r="AN2262" s="283" t="s">
        <v>2084</v>
      </c>
      <c r="AO2262" s="18" t="s">
        <v>241</v>
      </c>
      <c r="AP2262" s="283" t="s">
        <v>119</v>
      </c>
    </row>
    <row r="2263" spans="1:42" s="18" customFormat="1" x14ac:dyDescent="0.3">
      <c r="A2263" s="156" t="s">
        <v>1455</v>
      </c>
      <c r="B2263" s="18" t="s">
        <v>2061</v>
      </c>
      <c r="C2263" s="18">
        <v>113</v>
      </c>
      <c r="D2263" s="18" t="s">
        <v>2284</v>
      </c>
      <c r="E2263" s="18">
        <v>1133</v>
      </c>
      <c r="F2263" s="157" t="s">
        <v>2285</v>
      </c>
      <c r="G2263" s="157">
        <v>113303</v>
      </c>
      <c r="H2263" s="157" t="s">
        <v>2327</v>
      </c>
      <c r="I2263" s="157"/>
      <c r="J2263" s="157"/>
      <c r="K2263" s="157">
        <v>11330303</v>
      </c>
      <c r="L2263" s="157" t="s">
        <v>2339</v>
      </c>
      <c r="M2263" s="157"/>
      <c r="N2263" s="430"/>
      <c r="O2263" s="430"/>
      <c r="P2263" s="19"/>
      <c r="Q2263" s="19"/>
      <c r="R2263" s="19"/>
      <c r="S2263" s="19"/>
      <c r="T2263" s="18" t="s">
        <v>2068</v>
      </c>
      <c r="U2263" s="283" t="e">
        <v>#N/A</v>
      </c>
      <c r="V2263" s="283" t="s">
        <v>2263</v>
      </c>
      <c r="W2263" s="283">
        <v>1</v>
      </c>
      <c r="X2263" s="283">
        <v>0</v>
      </c>
      <c r="Y2263" s="283">
        <v>0</v>
      </c>
      <c r="Z2263" s="283">
        <v>1</v>
      </c>
      <c r="AA2263" s="283">
        <v>0</v>
      </c>
      <c r="AB2263" s="283">
        <v>0</v>
      </c>
      <c r="AC2263" s="316">
        <v>0</v>
      </c>
      <c r="AD2263" s="316">
        <v>0</v>
      </c>
      <c r="AE2263" s="302">
        <f t="shared" si="95"/>
        <v>0.25</v>
      </c>
      <c r="AF2263" s="17"/>
      <c r="AG2263" s="17">
        <v>0</v>
      </c>
      <c r="AH2263" s="17">
        <v>0</v>
      </c>
      <c r="AI2263" s="17">
        <v>0</v>
      </c>
      <c r="AJ2263" s="17">
        <v>0</v>
      </c>
      <c r="AK2263" s="153">
        <v>0.5</v>
      </c>
      <c r="AL2263" s="154">
        <v>0.75</v>
      </c>
      <c r="AM2263" s="147">
        <f t="shared" si="94"/>
        <v>1.25</v>
      </c>
      <c r="AN2263" s="283" t="s">
        <v>2084</v>
      </c>
      <c r="AO2263" s="18" t="s">
        <v>241</v>
      </c>
      <c r="AP2263" s="283" t="s">
        <v>119</v>
      </c>
    </row>
    <row r="2264" spans="1:42" s="18" customFormat="1" x14ac:dyDescent="0.3">
      <c r="A2264" s="156" t="s">
        <v>1455</v>
      </c>
      <c r="B2264" s="18" t="s">
        <v>2061</v>
      </c>
      <c r="C2264" s="18">
        <v>113</v>
      </c>
      <c r="D2264" s="18" t="s">
        <v>2284</v>
      </c>
      <c r="E2264" s="18">
        <v>1133</v>
      </c>
      <c r="F2264" s="157" t="s">
        <v>2285</v>
      </c>
      <c r="G2264" s="157">
        <v>113304</v>
      </c>
      <c r="H2264" s="157" t="s">
        <v>2340</v>
      </c>
      <c r="I2264" s="157"/>
      <c r="J2264" s="157"/>
      <c r="K2264" s="157">
        <v>11330401</v>
      </c>
      <c r="L2264" s="157" t="s">
        <v>2341</v>
      </c>
      <c r="M2264" s="157" t="s">
        <v>2342</v>
      </c>
      <c r="N2264" s="430">
        <v>1</v>
      </c>
      <c r="O2264" s="430" t="s">
        <v>271</v>
      </c>
      <c r="P2264" s="19">
        <v>1</v>
      </c>
      <c r="Q2264" s="19">
        <v>1</v>
      </c>
      <c r="R2264" s="19" t="s">
        <v>271</v>
      </c>
      <c r="S2264" s="19">
        <v>2</v>
      </c>
      <c r="T2264" s="18" t="s">
        <v>2087</v>
      </c>
      <c r="U2264" s="283" t="e">
        <v>#N/A</v>
      </c>
      <c r="V2264" s="283" t="s">
        <v>2343</v>
      </c>
      <c r="W2264" s="283">
        <v>1</v>
      </c>
      <c r="X2264" s="283">
        <v>0</v>
      </c>
      <c r="Y2264" s="283">
        <v>0</v>
      </c>
      <c r="Z2264" s="283">
        <v>1</v>
      </c>
      <c r="AA2264" s="283">
        <v>0</v>
      </c>
      <c r="AB2264" s="283">
        <v>0</v>
      </c>
      <c r="AC2264" s="316">
        <v>1</v>
      </c>
      <c r="AD2264" s="316">
        <v>0</v>
      </c>
      <c r="AE2264" s="302">
        <f t="shared" si="95"/>
        <v>0.375</v>
      </c>
      <c r="AF2264" s="310"/>
      <c r="AG2264" s="17">
        <v>0</v>
      </c>
      <c r="AH2264" s="310">
        <v>100</v>
      </c>
      <c r="AI2264" s="310">
        <v>100</v>
      </c>
      <c r="AJ2264" s="310">
        <v>114.02</v>
      </c>
      <c r="AK2264" s="317"/>
      <c r="AL2264" s="317"/>
      <c r="AM2264" s="147">
        <f t="shared" si="94"/>
        <v>0</v>
      </c>
      <c r="AN2264" s="283" t="s">
        <v>239</v>
      </c>
      <c r="AO2264" s="18" t="s">
        <v>241</v>
      </c>
      <c r="AP2264" s="283" t="s">
        <v>119</v>
      </c>
    </row>
    <row r="2265" spans="1:42" s="18" customFormat="1" x14ac:dyDescent="0.3">
      <c r="A2265" s="156" t="s">
        <v>1455</v>
      </c>
      <c r="B2265" s="18" t="s">
        <v>2061</v>
      </c>
      <c r="C2265" s="18">
        <v>113</v>
      </c>
      <c r="D2265" s="18" t="s">
        <v>2284</v>
      </c>
      <c r="E2265" s="18">
        <v>1133</v>
      </c>
      <c r="F2265" s="157" t="s">
        <v>2285</v>
      </c>
      <c r="G2265" s="157">
        <v>113304</v>
      </c>
      <c r="H2265" s="157" t="s">
        <v>2340</v>
      </c>
      <c r="I2265" s="157"/>
      <c r="J2265" s="157"/>
      <c r="K2265" s="157">
        <v>11330402</v>
      </c>
      <c r="L2265" s="157" t="s">
        <v>2344</v>
      </c>
      <c r="M2265" s="157" t="s">
        <v>2345</v>
      </c>
      <c r="N2265" s="430">
        <v>1</v>
      </c>
      <c r="O2265" s="430" t="s">
        <v>271</v>
      </c>
      <c r="P2265" s="19">
        <v>2</v>
      </c>
      <c r="Q2265" s="19" t="s">
        <v>271</v>
      </c>
      <c r="R2265" s="19" t="s">
        <v>271</v>
      </c>
      <c r="S2265" s="19" t="s">
        <v>271</v>
      </c>
      <c r="T2265" s="18" t="s">
        <v>2087</v>
      </c>
      <c r="U2265" s="283" t="e">
        <v>#N/A</v>
      </c>
      <c r="V2265" s="283" t="s">
        <v>2346</v>
      </c>
      <c r="W2265" s="283">
        <v>1</v>
      </c>
      <c r="X2265" s="283">
        <v>0</v>
      </c>
      <c r="Y2265" s="283">
        <v>0</v>
      </c>
      <c r="Z2265" s="283">
        <v>1</v>
      </c>
      <c r="AA2265" s="283">
        <v>0</v>
      </c>
      <c r="AB2265" s="283">
        <v>1</v>
      </c>
      <c r="AC2265" s="316">
        <v>1</v>
      </c>
      <c r="AD2265" s="316">
        <v>0</v>
      </c>
      <c r="AE2265" s="302">
        <f t="shared" si="95"/>
        <v>0.5</v>
      </c>
      <c r="AF2265" s="17"/>
      <c r="AG2265" s="17">
        <v>0</v>
      </c>
      <c r="AH2265" s="17">
        <v>0</v>
      </c>
      <c r="AI2265" s="17">
        <v>0</v>
      </c>
      <c r="AJ2265" s="17">
        <v>0</v>
      </c>
      <c r="AK2265" s="153">
        <v>0</v>
      </c>
      <c r="AL2265" s="317" t="s">
        <v>2089</v>
      </c>
      <c r="AM2265" s="147">
        <f t="shared" si="94"/>
        <v>0</v>
      </c>
      <c r="AN2265" s="283" t="s">
        <v>239</v>
      </c>
      <c r="AO2265" s="18" t="s">
        <v>241</v>
      </c>
      <c r="AP2265" s="283" t="s">
        <v>2347</v>
      </c>
    </row>
    <row r="2266" spans="1:42" s="18" customFormat="1" x14ac:dyDescent="0.3">
      <c r="A2266" s="156" t="s">
        <v>1455</v>
      </c>
      <c r="B2266" s="18" t="s">
        <v>2061</v>
      </c>
      <c r="C2266" s="18">
        <v>113</v>
      </c>
      <c r="D2266" s="18" t="s">
        <v>2284</v>
      </c>
      <c r="E2266" s="18">
        <v>1133</v>
      </c>
      <c r="F2266" s="157" t="s">
        <v>2285</v>
      </c>
      <c r="G2266" s="157">
        <v>113305</v>
      </c>
      <c r="H2266" s="157" t="s">
        <v>2348</v>
      </c>
      <c r="I2266" s="157"/>
      <c r="J2266" s="157"/>
      <c r="K2266" s="157">
        <v>11330501</v>
      </c>
      <c r="L2266" s="10" t="s">
        <v>2349</v>
      </c>
      <c r="M2266" s="18" t="s">
        <v>2350</v>
      </c>
      <c r="N2266" s="430">
        <v>0</v>
      </c>
      <c r="O2266" s="430"/>
      <c r="P2266" s="19"/>
      <c r="Q2266" s="19"/>
      <c r="R2266" s="19">
        <v>1</v>
      </c>
      <c r="S2266" s="19"/>
      <c r="T2266" s="18" t="s">
        <v>2068</v>
      </c>
      <c r="U2266" s="283" t="e">
        <v>#N/A</v>
      </c>
      <c r="V2266" s="18" t="s">
        <v>2351</v>
      </c>
      <c r="W2266" s="18">
        <v>1</v>
      </c>
      <c r="X2266" s="18">
        <v>0</v>
      </c>
      <c r="Y2266" s="18">
        <v>0</v>
      </c>
      <c r="Z2266" s="18">
        <v>1</v>
      </c>
      <c r="AA2266" s="18">
        <v>0</v>
      </c>
      <c r="AB2266" s="18">
        <v>0</v>
      </c>
      <c r="AC2266" s="316">
        <v>0</v>
      </c>
      <c r="AD2266" s="316">
        <v>1</v>
      </c>
      <c r="AE2266" s="302">
        <f t="shared" si="95"/>
        <v>0.375</v>
      </c>
      <c r="AF2266" s="310"/>
      <c r="AG2266" s="17">
        <v>0</v>
      </c>
      <c r="AH2266" s="310">
        <v>0</v>
      </c>
      <c r="AI2266" s="310">
        <v>0.15</v>
      </c>
      <c r="AJ2266" s="310">
        <v>0.25</v>
      </c>
      <c r="AK2266" s="317">
        <v>0.1</v>
      </c>
      <c r="AL2266" s="317">
        <v>0.2</v>
      </c>
      <c r="AM2266" s="147">
        <f t="shared" si="94"/>
        <v>0.30000000000000004</v>
      </c>
      <c r="AN2266" s="283" t="s">
        <v>2084</v>
      </c>
      <c r="AO2266" s="18" t="s">
        <v>241</v>
      </c>
      <c r="AP2266" s="283" t="s">
        <v>2352</v>
      </c>
    </row>
    <row r="2267" spans="1:42" s="18" customFormat="1" x14ac:dyDescent="0.3">
      <c r="A2267" s="156" t="s">
        <v>1455</v>
      </c>
      <c r="B2267" s="18" t="s">
        <v>2061</v>
      </c>
      <c r="C2267" s="18">
        <v>113</v>
      </c>
      <c r="D2267" s="18" t="s">
        <v>2284</v>
      </c>
      <c r="E2267" s="18">
        <v>1133</v>
      </c>
      <c r="F2267" s="157" t="s">
        <v>2285</v>
      </c>
      <c r="G2267" s="157">
        <v>113305</v>
      </c>
      <c r="H2267" s="157" t="s">
        <v>2348</v>
      </c>
      <c r="I2267" s="157"/>
      <c r="J2267" s="157"/>
      <c r="K2267" s="157">
        <v>11330501</v>
      </c>
      <c r="L2267" s="10" t="s">
        <v>2349</v>
      </c>
      <c r="M2267" s="18" t="s">
        <v>2353</v>
      </c>
      <c r="N2267" s="430">
        <v>0</v>
      </c>
      <c r="O2267" s="430"/>
      <c r="P2267" s="19"/>
      <c r="Q2267" s="19"/>
      <c r="R2267" s="19">
        <v>1</v>
      </c>
      <c r="S2267" s="19"/>
      <c r="T2267" s="18" t="s">
        <v>2072</v>
      </c>
      <c r="U2267" s="283" t="e">
        <v>#N/A</v>
      </c>
      <c r="V2267" s="18" t="s">
        <v>2354</v>
      </c>
      <c r="W2267" s="16">
        <v>1</v>
      </c>
      <c r="X2267" s="16">
        <v>0</v>
      </c>
      <c r="Y2267" s="16">
        <v>0</v>
      </c>
      <c r="Z2267" s="16">
        <v>1</v>
      </c>
      <c r="AA2267" s="16">
        <v>0</v>
      </c>
      <c r="AB2267" s="16">
        <v>0</v>
      </c>
      <c r="AC2267" s="316">
        <v>0</v>
      </c>
      <c r="AD2267" s="316">
        <v>1</v>
      </c>
      <c r="AE2267" s="302">
        <f t="shared" si="95"/>
        <v>0.375</v>
      </c>
      <c r="AF2267" s="17">
        <v>0</v>
      </c>
      <c r="AG2267" s="17">
        <v>0</v>
      </c>
      <c r="AH2267" s="17">
        <v>0</v>
      </c>
      <c r="AI2267" s="17">
        <v>0</v>
      </c>
      <c r="AJ2267" s="17">
        <v>0</v>
      </c>
      <c r="AK2267" s="319">
        <v>1.5</v>
      </c>
      <c r="AL2267" s="319">
        <v>1.75</v>
      </c>
      <c r="AM2267" s="147">
        <f t="shared" si="94"/>
        <v>3.25</v>
      </c>
      <c r="AN2267" s="283" t="s">
        <v>2074</v>
      </c>
      <c r="AO2267" s="18" t="s">
        <v>2075</v>
      </c>
      <c r="AP2267" s="283" t="s">
        <v>2355</v>
      </c>
    </row>
    <row r="2268" spans="1:42" s="18" customFormat="1" x14ac:dyDescent="0.3">
      <c r="A2268" s="156" t="s">
        <v>1455</v>
      </c>
      <c r="B2268" s="18" t="s">
        <v>2061</v>
      </c>
      <c r="C2268" s="18">
        <v>113</v>
      </c>
      <c r="D2268" s="18" t="s">
        <v>2284</v>
      </c>
      <c r="E2268" s="18">
        <v>1134</v>
      </c>
      <c r="F2268" s="157" t="s">
        <v>2356</v>
      </c>
      <c r="G2268" s="18">
        <v>113401</v>
      </c>
      <c r="H2268" s="157" t="s">
        <v>2357</v>
      </c>
      <c r="I2268" s="157"/>
      <c r="J2268" s="157"/>
      <c r="K2268" s="157">
        <v>11340101</v>
      </c>
      <c r="L2268" s="18" t="s">
        <v>2358</v>
      </c>
      <c r="M2268" s="18" t="s">
        <v>2359</v>
      </c>
      <c r="N2268" s="430">
        <v>0</v>
      </c>
      <c r="O2268" s="430">
        <v>1</v>
      </c>
      <c r="P2268" s="19"/>
      <c r="Q2268" s="19"/>
      <c r="R2268" s="19"/>
      <c r="S2268" s="19"/>
      <c r="T2268" s="18" t="s">
        <v>2087</v>
      </c>
      <c r="U2268" s="283" t="e">
        <v>#N/A</v>
      </c>
      <c r="V2268" s="283" t="s">
        <v>2360</v>
      </c>
      <c r="W2268" s="283">
        <v>1</v>
      </c>
      <c r="X2268" s="283">
        <v>0</v>
      </c>
      <c r="Y2268" s="283">
        <v>0</v>
      </c>
      <c r="Z2268" s="283">
        <v>1</v>
      </c>
      <c r="AA2268" s="283">
        <v>1</v>
      </c>
      <c r="AB2268" s="283">
        <v>0</v>
      </c>
      <c r="AC2268" s="316">
        <v>1</v>
      </c>
      <c r="AD2268" s="316">
        <v>0</v>
      </c>
      <c r="AE2268" s="302">
        <f t="shared" si="95"/>
        <v>0.5</v>
      </c>
      <c r="AF2268" s="310"/>
      <c r="AG2268" s="17">
        <v>0</v>
      </c>
      <c r="AH2268" s="310">
        <v>0.2</v>
      </c>
      <c r="AI2268" s="310">
        <v>0.05</v>
      </c>
      <c r="AJ2268" s="310">
        <v>0</v>
      </c>
      <c r="AK2268" s="153">
        <v>0</v>
      </c>
      <c r="AL2268" s="154">
        <v>0</v>
      </c>
      <c r="AM2268" s="147">
        <f t="shared" si="94"/>
        <v>0</v>
      </c>
      <c r="AN2268" s="283" t="s">
        <v>239</v>
      </c>
      <c r="AO2268" s="18" t="s">
        <v>241</v>
      </c>
      <c r="AP2268" s="283" t="s">
        <v>2361</v>
      </c>
    </row>
    <row r="2269" spans="1:42" s="18" customFormat="1" x14ac:dyDescent="0.3">
      <c r="A2269" s="156" t="s">
        <v>1455</v>
      </c>
      <c r="B2269" s="18" t="s">
        <v>2061</v>
      </c>
      <c r="C2269" s="18">
        <v>113</v>
      </c>
      <c r="D2269" s="18" t="s">
        <v>2284</v>
      </c>
      <c r="E2269" s="18">
        <v>1134</v>
      </c>
      <c r="F2269" s="157" t="s">
        <v>2356</v>
      </c>
      <c r="G2269" s="18">
        <v>113401</v>
      </c>
      <c r="H2269" s="157" t="s">
        <v>2357</v>
      </c>
      <c r="I2269" s="157"/>
      <c r="J2269" s="157"/>
      <c r="K2269" s="157">
        <v>11340102</v>
      </c>
      <c r="L2269" s="157" t="s">
        <v>2362</v>
      </c>
      <c r="M2269" s="157" t="s">
        <v>2363</v>
      </c>
      <c r="N2269" s="430">
        <v>0</v>
      </c>
      <c r="O2269" s="430">
        <v>25</v>
      </c>
      <c r="P2269" s="19">
        <v>30</v>
      </c>
      <c r="Q2269" s="19">
        <v>45</v>
      </c>
      <c r="R2269" s="19">
        <v>50</v>
      </c>
      <c r="S2269" s="19">
        <v>50</v>
      </c>
      <c r="T2269" s="18" t="s">
        <v>2364</v>
      </c>
      <c r="U2269" s="283" t="e">
        <v>#N/A</v>
      </c>
      <c r="V2269" s="326" t="s">
        <v>2365</v>
      </c>
      <c r="W2269" s="283">
        <v>1</v>
      </c>
      <c r="X2269" s="283">
        <v>0</v>
      </c>
      <c r="Y2269" s="283">
        <v>0</v>
      </c>
      <c r="Z2269" s="283">
        <v>1</v>
      </c>
      <c r="AA2269" s="283">
        <v>1</v>
      </c>
      <c r="AB2269" s="283">
        <v>0</v>
      </c>
      <c r="AC2269" s="316">
        <v>1</v>
      </c>
      <c r="AD2269" s="316">
        <v>1</v>
      </c>
      <c r="AE2269" s="302">
        <f t="shared" si="95"/>
        <v>0.625</v>
      </c>
      <c r="AF2269" s="310"/>
      <c r="AG2269" s="17">
        <v>0</v>
      </c>
      <c r="AH2269" s="310">
        <v>0.3</v>
      </c>
      <c r="AI2269" s="310">
        <v>0.3</v>
      </c>
      <c r="AJ2269" s="310">
        <v>0.3</v>
      </c>
      <c r="AK2269" s="153">
        <v>3.75</v>
      </c>
      <c r="AL2269" s="153">
        <v>4.75</v>
      </c>
      <c r="AM2269" s="147">
        <f t="shared" si="94"/>
        <v>8.5</v>
      </c>
      <c r="AN2269" s="283" t="s">
        <v>2323</v>
      </c>
      <c r="AO2269" s="18" t="s">
        <v>241</v>
      </c>
      <c r="AP2269" s="283" t="s">
        <v>2366</v>
      </c>
    </row>
    <row r="2270" spans="1:42" s="18" customFormat="1" x14ac:dyDescent="0.3">
      <c r="A2270" s="156" t="s">
        <v>1455</v>
      </c>
      <c r="B2270" s="18" t="s">
        <v>2061</v>
      </c>
      <c r="C2270" s="18">
        <v>113</v>
      </c>
      <c r="D2270" s="18" t="s">
        <v>2284</v>
      </c>
      <c r="E2270" s="18">
        <v>1134</v>
      </c>
      <c r="F2270" s="157" t="s">
        <v>2356</v>
      </c>
      <c r="G2270" s="18">
        <v>113401</v>
      </c>
      <c r="H2270" s="157" t="s">
        <v>2357</v>
      </c>
      <c r="I2270" s="157"/>
      <c r="J2270" s="157"/>
      <c r="K2270" s="157">
        <v>11340102</v>
      </c>
      <c r="L2270" s="157" t="s">
        <v>2362</v>
      </c>
      <c r="M2270" s="157"/>
      <c r="N2270" s="430"/>
      <c r="O2270" s="430"/>
      <c r="P2270" s="19"/>
      <c r="Q2270" s="19"/>
      <c r="R2270" s="19"/>
      <c r="S2270" s="19"/>
      <c r="U2270" s="283" t="e">
        <v>#N/A</v>
      </c>
      <c r="V2270" s="326" t="s">
        <v>2367</v>
      </c>
      <c r="W2270" s="283">
        <v>1</v>
      </c>
      <c r="X2270" s="283">
        <v>0</v>
      </c>
      <c r="Y2270" s="283">
        <v>0</v>
      </c>
      <c r="Z2270" s="283">
        <v>1</v>
      </c>
      <c r="AA2270" s="283">
        <v>1</v>
      </c>
      <c r="AB2270" s="283">
        <v>0</v>
      </c>
      <c r="AC2270" s="316">
        <v>1</v>
      </c>
      <c r="AD2270" s="316">
        <v>1</v>
      </c>
      <c r="AE2270" s="302">
        <f t="shared" si="95"/>
        <v>0.625</v>
      </c>
      <c r="AF2270" s="17"/>
      <c r="AG2270" s="17">
        <v>0</v>
      </c>
      <c r="AH2270" s="17">
        <v>0</v>
      </c>
      <c r="AI2270" s="17">
        <v>0</v>
      </c>
      <c r="AJ2270" s="17">
        <v>0</v>
      </c>
      <c r="AK2270" s="317">
        <v>1.75</v>
      </c>
      <c r="AL2270" s="317">
        <v>2</v>
      </c>
      <c r="AM2270" s="147">
        <f t="shared" si="94"/>
        <v>3.75</v>
      </c>
      <c r="AN2270" s="283" t="s">
        <v>2323</v>
      </c>
      <c r="AO2270" s="18" t="s">
        <v>241</v>
      </c>
      <c r="AP2270" s="283" t="s">
        <v>2366</v>
      </c>
    </row>
    <row r="2271" spans="1:42" s="18" customFormat="1" x14ac:dyDescent="0.3">
      <c r="A2271" s="156" t="s">
        <v>1455</v>
      </c>
      <c r="B2271" s="18" t="s">
        <v>2061</v>
      </c>
      <c r="C2271" s="18">
        <v>113</v>
      </c>
      <c r="D2271" s="18" t="s">
        <v>2284</v>
      </c>
      <c r="E2271" s="18">
        <v>1134</v>
      </c>
      <c r="F2271" s="157" t="s">
        <v>2356</v>
      </c>
      <c r="G2271" s="18">
        <v>113401</v>
      </c>
      <c r="H2271" s="157" t="s">
        <v>2357</v>
      </c>
      <c r="I2271" s="157"/>
      <c r="J2271" s="157"/>
      <c r="K2271" s="157">
        <v>11340102</v>
      </c>
      <c r="L2271" s="157" t="s">
        <v>2362</v>
      </c>
      <c r="M2271" s="157"/>
      <c r="N2271" s="430"/>
      <c r="O2271" s="430"/>
      <c r="P2271" s="19"/>
      <c r="Q2271" s="19"/>
      <c r="R2271" s="19"/>
      <c r="S2271" s="19"/>
      <c r="U2271" s="283" t="e">
        <v>#N/A</v>
      </c>
      <c r="V2271" s="326" t="s">
        <v>2368</v>
      </c>
      <c r="W2271" s="283">
        <v>1</v>
      </c>
      <c r="X2271" s="283">
        <v>0</v>
      </c>
      <c r="Y2271" s="283">
        <v>0</v>
      </c>
      <c r="Z2271" s="283">
        <v>1</v>
      </c>
      <c r="AA2271" s="283">
        <v>1</v>
      </c>
      <c r="AB2271" s="283">
        <v>0</v>
      </c>
      <c r="AC2271" s="316">
        <v>1</v>
      </c>
      <c r="AD2271" s="316">
        <v>1</v>
      </c>
      <c r="AE2271" s="302">
        <f t="shared" si="95"/>
        <v>0.625</v>
      </c>
      <c r="AF2271" s="17"/>
      <c r="AG2271" s="17">
        <v>0</v>
      </c>
      <c r="AH2271" s="17">
        <v>0</v>
      </c>
      <c r="AI2271" s="17">
        <v>0</v>
      </c>
      <c r="AJ2271" s="17">
        <v>0</v>
      </c>
      <c r="AK2271" s="317">
        <v>0.45</v>
      </c>
      <c r="AL2271" s="317">
        <v>0.1</v>
      </c>
      <c r="AM2271" s="147">
        <f t="shared" si="94"/>
        <v>0.55000000000000004</v>
      </c>
      <c r="AN2271" s="283" t="s">
        <v>2323</v>
      </c>
      <c r="AO2271" s="18" t="s">
        <v>241</v>
      </c>
      <c r="AP2271" s="283" t="s">
        <v>2366</v>
      </c>
    </row>
    <row r="2272" spans="1:42" s="18" customFormat="1" x14ac:dyDescent="0.3">
      <c r="A2272" s="156" t="s">
        <v>1455</v>
      </c>
      <c r="B2272" s="18" t="s">
        <v>2061</v>
      </c>
      <c r="C2272" s="18">
        <v>113</v>
      </c>
      <c r="D2272" s="18" t="s">
        <v>2284</v>
      </c>
      <c r="E2272" s="18">
        <v>1134</v>
      </c>
      <c r="F2272" s="157" t="s">
        <v>2356</v>
      </c>
      <c r="G2272" s="18">
        <v>113401</v>
      </c>
      <c r="H2272" s="157" t="s">
        <v>2357</v>
      </c>
      <c r="I2272" s="157"/>
      <c r="J2272" s="157"/>
      <c r="K2272" s="157">
        <v>11340103</v>
      </c>
      <c r="L2272" s="157" t="s">
        <v>2369</v>
      </c>
      <c r="M2272" s="157" t="s">
        <v>2370</v>
      </c>
      <c r="N2272" s="430"/>
      <c r="O2272" s="430">
        <v>40</v>
      </c>
      <c r="P2272" s="19">
        <v>70</v>
      </c>
      <c r="Q2272" s="19">
        <v>70</v>
      </c>
      <c r="R2272" s="19">
        <v>60</v>
      </c>
      <c r="S2272" s="19">
        <v>60</v>
      </c>
      <c r="T2272" s="18" t="s">
        <v>2364</v>
      </c>
      <c r="U2272" s="283" t="e">
        <v>#N/A</v>
      </c>
      <c r="V2272" s="283" t="s">
        <v>2371</v>
      </c>
      <c r="W2272" s="283">
        <v>1</v>
      </c>
      <c r="X2272" s="283">
        <v>0</v>
      </c>
      <c r="Y2272" s="283">
        <v>0</v>
      </c>
      <c r="Z2272" s="283">
        <v>1</v>
      </c>
      <c r="AA2272" s="283">
        <v>0</v>
      </c>
      <c r="AB2272" s="283">
        <v>0</v>
      </c>
      <c r="AC2272" s="316">
        <v>1</v>
      </c>
      <c r="AD2272" s="316">
        <v>1</v>
      </c>
      <c r="AE2272" s="302">
        <f t="shared" si="95"/>
        <v>0.5</v>
      </c>
      <c r="AF2272" s="310"/>
      <c r="AG2272" s="17">
        <v>0</v>
      </c>
      <c r="AH2272" s="310">
        <v>0.7</v>
      </c>
      <c r="AI2272" s="310">
        <v>0.8</v>
      </c>
      <c r="AJ2272" s="310">
        <v>0.6</v>
      </c>
      <c r="AK2272" s="317">
        <v>0.75</v>
      </c>
      <c r="AL2272" s="317">
        <v>0.7</v>
      </c>
      <c r="AM2272" s="147">
        <f t="shared" si="94"/>
        <v>1.45</v>
      </c>
      <c r="AN2272" s="283" t="s">
        <v>2323</v>
      </c>
      <c r="AO2272" s="18" t="s">
        <v>241</v>
      </c>
      <c r="AP2272" s="283" t="s">
        <v>119</v>
      </c>
    </row>
    <row r="2273" spans="1:42" s="18" customFormat="1" x14ac:dyDescent="0.3">
      <c r="A2273" s="156" t="s">
        <v>1455</v>
      </c>
      <c r="B2273" s="18" t="s">
        <v>2061</v>
      </c>
      <c r="C2273" s="18">
        <v>113</v>
      </c>
      <c r="D2273" s="18" t="s">
        <v>2284</v>
      </c>
      <c r="E2273" s="18">
        <v>1134</v>
      </c>
      <c r="F2273" s="157" t="s">
        <v>2356</v>
      </c>
      <c r="G2273" s="18">
        <v>113401</v>
      </c>
      <c r="H2273" s="157" t="s">
        <v>2357</v>
      </c>
      <c r="I2273" s="157"/>
      <c r="J2273" s="157"/>
      <c r="K2273" s="157">
        <v>11340103</v>
      </c>
      <c r="L2273" s="157" t="s">
        <v>2369</v>
      </c>
      <c r="M2273" s="157"/>
      <c r="N2273" s="430"/>
      <c r="O2273" s="430"/>
      <c r="P2273" s="19"/>
      <c r="Q2273" s="19"/>
      <c r="R2273" s="19"/>
      <c r="S2273" s="19"/>
      <c r="U2273" s="283" t="e">
        <v>#N/A</v>
      </c>
      <c r="V2273" s="283" t="s">
        <v>2372</v>
      </c>
      <c r="W2273" s="283">
        <v>1</v>
      </c>
      <c r="X2273" s="283">
        <v>0</v>
      </c>
      <c r="Y2273" s="283">
        <v>0</v>
      </c>
      <c r="Z2273" s="283">
        <v>1</v>
      </c>
      <c r="AA2273" s="283">
        <v>0</v>
      </c>
      <c r="AB2273" s="283">
        <v>0</v>
      </c>
      <c r="AC2273" s="316">
        <v>1</v>
      </c>
      <c r="AD2273" s="316">
        <v>1</v>
      </c>
      <c r="AE2273" s="302">
        <f t="shared" si="95"/>
        <v>0.5</v>
      </c>
      <c r="AF2273" s="17"/>
      <c r="AG2273" s="17">
        <v>0</v>
      </c>
      <c r="AH2273" s="17">
        <v>0</v>
      </c>
      <c r="AI2273" s="17">
        <v>0</v>
      </c>
      <c r="AJ2273" s="17">
        <v>0</v>
      </c>
      <c r="AK2273" s="164">
        <v>5.81</v>
      </c>
      <c r="AL2273" s="165">
        <v>6.39</v>
      </c>
      <c r="AM2273" s="147">
        <f t="shared" si="94"/>
        <v>12.2</v>
      </c>
      <c r="AN2273" s="283" t="s">
        <v>2323</v>
      </c>
      <c r="AO2273" s="18" t="s">
        <v>241</v>
      </c>
      <c r="AP2273" s="283" t="s">
        <v>119</v>
      </c>
    </row>
    <row r="2274" spans="1:42" s="18" customFormat="1" x14ac:dyDescent="0.3">
      <c r="A2274" s="156" t="s">
        <v>1455</v>
      </c>
      <c r="B2274" s="18" t="s">
        <v>2061</v>
      </c>
      <c r="C2274" s="18">
        <v>113</v>
      </c>
      <c r="D2274" s="18" t="s">
        <v>2284</v>
      </c>
      <c r="E2274" s="18">
        <v>1134</v>
      </c>
      <c r="F2274" s="157" t="s">
        <v>2356</v>
      </c>
      <c r="G2274" s="18">
        <v>113401</v>
      </c>
      <c r="H2274" s="157" t="s">
        <v>2357</v>
      </c>
      <c r="I2274" s="157"/>
      <c r="J2274" s="157"/>
      <c r="K2274" s="157">
        <v>11340104</v>
      </c>
      <c r="L2274" s="10" t="s">
        <v>2373</v>
      </c>
      <c r="M2274" s="18" t="s">
        <v>2374</v>
      </c>
      <c r="N2274" s="430">
        <v>0</v>
      </c>
      <c r="O2274" s="430">
        <v>5</v>
      </c>
      <c r="P2274" s="19">
        <v>5</v>
      </c>
      <c r="Q2274" s="19">
        <v>5</v>
      </c>
      <c r="R2274" s="19">
        <v>5</v>
      </c>
      <c r="S2274" s="19">
        <v>5</v>
      </c>
      <c r="T2274" s="18" t="s">
        <v>2234</v>
      </c>
      <c r="U2274" s="283" t="s">
        <v>2236</v>
      </c>
      <c r="V2274" s="283" t="s">
        <v>2375</v>
      </c>
      <c r="W2274" s="283">
        <v>1</v>
      </c>
      <c r="X2274" s="283">
        <v>0</v>
      </c>
      <c r="Y2274" s="283">
        <v>0</v>
      </c>
      <c r="Z2274" s="283">
        <v>1</v>
      </c>
      <c r="AA2274" s="283">
        <v>0</v>
      </c>
      <c r="AB2274" s="283">
        <v>0</v>
      </c>
      <c r="AC2274" s="316">
        <v>1</v>
      </c>
      <c r="AD2274" s="316">
        <v>1</v>
      </c>
      <c r="AE2274" s="302">
        <f t="shared" si="95"/>
        <v>0.5</v>
      </c>
      <c r="AF2274" s="310"/>
      <c r="AG2274" s="17">
        <v>0</v>
      </c>
      <c r="AH2274" s="310">
        <v>0.1</v>
      </c>
      <c r="AI2274" s="310">
        <v>0.1</v>
      </c>
      <c r="AJ2274" s="310">
        <v>0.1</v>
      </c>
      <c r="AK2274" s="317">
        <v>0.1</v>
      </c>
      <c r="AL2274" s="317">
        <v>0.1</v>
      </c>
      <c r="AM2274" s="147">
        <f t="shared" si="94"/>
        <v>0.2</v>
      </c>
      <c r="AN2274" s="283" t="s">
        <v>2172</v>
      </c>
      <c r="AO2274" s="18" t="s">
        <v>2236</v>
      </c>
      <c r="AP2274" s="283" t="s">
        <v>2376</v>
      </c>
    </row>
    <row r="2275" spans="1:42" s="18" customFormat="1" x14ac:dyDescent="0.3">
      <c r="A2275" s="156" t="s">
        <v>1455</v>
      </c>
      <c r="B2275" s="18" t="s">
        <v>2061</v>
      </c>
      <c r="C2275" s="18">
        <v>113</v>
      </c>
      <c r="D2275" s="18" t="s">
        <v>2284</v>
      </c>
      <c r="E2275" s="18">
        <v>1134</v>
      </c>
      <c r="F2275" s="157" t="s">
        <v>2356</v>
      </c>
      <c r="G2275" s="18">
        <v>113401</v>
      </c>
      <c r="H2275" s="157" t="s">
        <v>2357</v>
      </c>
      <c r="I2275" s="157"/>
      <c r="J2275" s="157"/>
      <c r="K2275" s="157">
        <v>11340104</v>
      </c>
      <c r="L2275" s="10" t="s">
        <v>2373</v>
      </c>
      <c r="M2275" s="18" t="s">
        <v>2377</v>
      </c>
      <c r="N2275" s="430">
        <v>0</v>
      </c>
      <c r="O2275" s="430"/>
      <c r="P2275" s="19">
        <v>1</v>
      </c>
      <c r="Q2275" s="19"/>
      <c r="R2275" s="19"/>
      <c r="S2275" s="19"/>
      <c r="T2275" s="18" t="s">
        <v>2234</v>
      </c>
      <c r="U2275" s="283" t="s">
        <v>2236</v>
      </c>
      <c r="V2275" s="283" t="s">
        <v>2378</v>
      </c>
      <c r="W2275" s="283">
        <v>1</v>
      </c>
      <c r="X2275" s="283">
        <v>0</v>
      </c>
      <c r="Y2275" s="283">
        <v>0</v>
      </c>
      <c r="Z2275" s="283">
        <v>1</v>
      </c>
      <c r="AA2275" s="283">
        <v>0</v>
      </c>
      <c r="AB2275" s="283">
        <v>0</v>
      </c>
      <c r="AC2275" s="316">
        <v>1</v>
      </c>
      <c r="AD2275" s="316">
        <v>1</v>
      </c>
      <c r="AE2275" s="302">
        <f t="shared" si="95"/>
        <v>0.5</v>
      </c>
      <c r="AF2275" s="310"/>
      <c r="AG2275" s="17">
        <v>0</v>
      </c>
      <c r="AH2275" s="310">
        <v>0.3</v>
      </c>
      <c r="AI2275" s="310">
        <v>0.3</v>
      </c>
      <c r="AJ2275" s="310">
        <v>0.3</v>
      </c>
      <c r="AK2275" s="317">
        <v>0.3</v>
      </c>
      <c r="AL2275" s="317">
        <v>0.3</v>
      </c>
      <c r="AM2275" s="147">
        <f t="shared" si="94"/>
        <v>0.6</v>
      </c>
      <c r="AN2275" s="283" t="s">
        <v>2172</v>
      </c>
      <c r="AO2275" s="18" t="s">
        <v>2236</v>
      </c>
      <c r="AP2275" s="283" t="s">
        <v>2376</v>
      </c>
    </row>
    <row r="2276" spans="1:42" s="18" customFormat="1" x14ac:dyDescent="0.3">
      <c r="A2276" s="156" t="s">
        <v>1455</v>
      </c>
      <c r="B2276" s="18" t="s">
        <v>2061</v>
      </c>
      <c r="C2276" s="18">
        <v>113</v>
      </c>
      <c r="D2276" s="18" t="s">
        <v>2284</v>
      </c>
      <c r="E2276" s="18">
        <v>1134</v>
      </c>
      <c r="F2276" s="157" t="s">
        <v>2356</v>
      </c>
      <c r="G2276" s="18">
        <v>113401</v>
      </c>
      <c r="H2276" s="157" t="s">
        <v>2357</v>
      </c>
      <c r="I2276" s="157"/>
      <c r="J2276" s="157"/>
      <c r="K2276" s="157">
        <v>11340104</v>
      </c>
      <c r="L2276" s="10" t="s">
        <v>2373</v>
      </c>
      <c r="M2276" s="18" t="s">
        <v>2379</v>
      </c>
      <c r="N2276" s="430">
        <v>15</v>
      </c>
      <c r="O2276" s="430">
        <v>20</v>
      </c>
      <c r="P2276" s="19">
        <v>30</v>
      </c>
      <c r="Q2276" s="19">
        <v>40</v>
      </c>
      <c r="R2276" s="19">
        <v>50</v>
      </c>
      <c r="S2276" s="19">
        <v>60</v>
      </c>
      <c r="T2276" s="18" t="s">
        <v>2234</v>
      </c>
      <c r="U2276" s="283" t="s">
        <v>2236</v>
      </c>
      <c r="V2276" s="283" t="s">
        <v>2380</v>
      </c>
      <c r="W2276" s="283">
        <v>1</v>
      </c>
      <c r="X2276" s="283">
        <v>0</v>
      </c>
      <c r="Y2276" s="283">
        <v>0</v>
      </c>
      <c r="Z2276" s="283">
        <v>1</v>
      </c>
      <c r="AA2276" s="283">
        <v>0</v>
      </c>
      <c r="AB2276" s="283">
        <v>0</v>
      </c>
      <c r="AC2276" s="316">
        <v>1</v>
      </c>
      <c r="AD2276" s="316">
        <v>1</v>
      </c>
      <c r="AE2276" s="302">
        <f t="shared" si="95"/>
        <v>0.5</v>
      </c>
      <c r="AF2276" s="310"/>
      <c r="AG2276" s="17">
        <v>0</v>
      </c>
      <c r="AH2276" s="310">
        <v>1.2</v>
      </c>
      <c r="AI2276" s="310">
        <v>1.2</v>
      </c>
      <c r="AJ2276" s="310">
        <v>1.2</v>
      </c>
      <c r="AK2276" s="317">
        <v>1.2</v>
      </c>
      <c r="AL2276" s="317">
        <v>1.2</v>
      </c>
      <c r="AM2276" s="147">
        <f t="shared" si="94"/>
        <v>2.4</v>
      </c>
      <c r="AN2276" s="283" t="s">
        <v>2172</v>
      </c>
      <c r="AO2276" s="18" t="s">
        <v>2236</v>
      </c>
      <c r="AP2276" s="283" t="s">
        <v>2376</v>
      </c>
    </row>
    <row r="2277" spans="1:42" s="18" customFormat="1" x14ac:dyDescent="0.3">
      <c r="A2277" s="156" t="s">
        <v>1455</v>
      </c>
      <c r="B2277" s="18" t="s">
        <v>2061</v>
      </c>
      <c r="C2277" s="18">
        <v>113</v>
      </c>
      <c r="D2277" s="18" t="s">
        <v>2284</v>
      </c>
      <c r="E2277" s="18">
        <v>1134</v>
      </c>
      <c r="F2277" s="157" t="s">
        <v>2356</v>
      </c>
      <c r="G2277" s="18">
        <v>113402</v>
      </c>
      <c r="H2277" s="157" t="s">
        <v>2381</v>
      </c>
      <c r="I2277" s="157"/>
      <c r="J2277" s="157"/>
      <c r="K2277" s="18">
        <v>11340201</v>
      </c>
      <c r="L2277" s="157" t="s">
        <v>2382</v>
      </c>
      <c r="M2277" s="157" t="s">
        <v>2383</v>
      </c>
      <c r="N2277" s="430">
        <v>239</v>
      </c>
      <c r="O2277" s="430">
        <v>197</v>
      </c>
      <c r="P2277" s="19">
        <v>439</v>
      </c>
      <c r="Q2277" s="19">
        <v>281</v>
      </c>
      <c r="R2277" s="19">
        <v>323</v>
      </c>
      <c r="S2277" s="19">
        <v>450</v>
      </c>
      <c r="T2277" s="18" t="s">
        <v>2072</v>
      </c>
      <c r="U2277" s="283" t="e">
        <v>#N/A</v>
      </c>
      <c r="V2277" s="283" t="s">
        <v>2384</v>
      </c>
      <c r="W2277" s="283">
        <v>1</v>
      </c>
      <c r="X2277" s="283">
        <v>0</v>
      </c>
      <c r="Y2277" s="283">
        <v>0</v>
      </c>
      <c r="Z2277" s="283">
        <v>1</v>
      </c>
      <c r="AA2277" s="283">
        <v>0</v>
      </c>
      <c r="AB2277" s="283">
        <v>1</v>
      </c>
      <c r="AC2277" s="316">
        <v>0</v>
      </c>
      <c r="AD2277" s="316">
        <v>1</v>
      </c>
      <c r="AE2277" s="302">
        <f t="shared" si="95"/>
        <v>0.5</v>
      </c>
      <c r="AF2277" s="17"/>
      <c r="AG2277" s="17">
        <v>1</v>
      </c>
      <c r="AH2277" s="17">
        <v>0</v>
      </c>
      <c r="AI2277" s="17">
        <v>0</v>
      </c>
      <c r="AJ2277" s="17">
        <v>0</v>
      </c>
      <c r="AK2277" s="153">
        <v>5.43</v>
      </c>
      <c r="AL2277" s="317">
        <v>7.5339999999999998</v>
      </c>
      <c r="AM2277" s="147">
        <f t="shared" si="94"/>
        <v>12.963999999999999</v>
      </c>
      <c r="AN2277" s="283" t="s">
        <v>2074</v>
      </c>
      <c r="AO2277" s="18" t="s">
        <v>2075</v>
      </c>
      <c r="AP2277" s="283" t="s">
        <v>119</v>
      </c>
    </row>
    <row r="2278" spans="1:42" s="18" customFormat="1" x14ac:dyDescent="0.3">
      <c r="A2278" s="156" t="s">
        <v>1455</v>
      </c>
      <c r="B2278" s="18" t="s">
        <v>2061</v>
      </c>
      <c r="C2278" s="18">
        <v>113</v>
      </c>
      <c r="D2278" s="18" t="s">
        <v>2284</v>
      </c>
      <c r="E2278" s="18">
        <v>1134</v>
      </c>
      <c r="F2278" s="157" t="s">
        <v>2356</v>
      </c>
      <c r="G2278" s="18">
        <v>113403</v>
      </c>
      <c r="H2278" s="157" t="s">
        <v>2385</v>
      </c>
      <c r="I2278" s="157"/>
      <c r="J2278" s="157"/>
      <c r="K2278" s="18">
        <v>11340301</v>
      </c>
      <c r="L2278" s="161" t="s">
        <v>2386</v>
      </c>
      <c r="M2278" s="157" t="s">
        <v>2387</v>
      </c>
      <c r="N2278" s="430">
        <v>45</v>
      </c>
      <c r="O2278" s="430">
        <v>50</v>
      </c>
      <c r="P2278" s="19">
        <v>65</v>
      </c>
      <c r="Q2278" s="19">
        <v>75</v>
      </c>
      <c r="R2278" s="19">
        <v>75</v>
      </c>
      <c r="S2278" s="19">
        <v>75</v>
      </c>
      <c r="T2278" s="18" t="s">
        <v>2068</v>
      </c>
      <c r="U2278" s="283" t="e">
        <v>#N/A</v>
      </c>
      <c r="V2278" s="326" t="s">
        <v>2388</v>
      </c>
      <c r="W2278" s="283">
        <v>1</v>
      </c>
      <c r="X2278" s="283">
        <v>0</v>
      </c>
      <c r="Y2278" s="283">
        <v>0</v>
      </c>
      <c r="Z2278" s="283">
        <v>1</v>
      </c>
      <c r="AA2278" s="283">
        <v>1</v>
      </c>
      <c r="AB2278" s="283">
        <v>1</v>
      </c>
      <c r="AC2278" s="316">
        <v>1</v>
      </c>
      <c r="AD2278" s="316">
        <v>1</v>
      </c>
      <c r="AE2278" s="302">
        <f t="shared" si="95"/>
        <v>0.75</v>
      </c>
      <c r="AF2278" s="310"/>
      <c r="AG2278" s="17">
        <v>0</v>
      </c>
      <c r="AH2278" s="310">
        <v>3</v>
      </c>
      <c r="AI2278" s="310">
        <v>3.25</v>
      </c>
      <c r="AJ2278" s="310">
        <v>5.5</v>
      </c>
      <c r="AK2278" s="319">
        <v>1.5</v>
      </c>
      <c r="AL2278" s="319">
        <v>1.75</v>
      </c>
      <c r="AM2278" s="147">
        <f t="shared" si="94"/>
        <v>3.25</v>
      </c>
      <c r="AN2278" s="283" t="s">
        <v>2084</v>
      </c>
      <c r="AO2278" s="18" t="s">
        <v>241</v>
      </c>
      <c r="AP2278" s="283" t="s">
        <v>2389</v>
      </c>
    </row>
    <row r="2279" spans="1:42" s="18" customFormat="1" x14ac:dyDescent="0.3">
      <c r="A2279" s="156" t="s">
        <v>1455</v>
      </c>
      <c r="B2279" s="18" t="s">
        <v>2061</v>
      </c>
      <c r="C2279" s="18">
        <v>113</v>
      </c>
      <c r="D2279" s="18" t="s">
        <v>2284</v>
      </c>
      <c r="E2279" s="18">
        <v>1134</v>
      </c>
      <c r="F2279" s="157" t="s">
        <v>2356</v>
      </c>
      <c r="G2279" s="18">
        <v>113403</v>
      </c>
      <c r="H2279" s="157" t="s">
        <v>2385</v>
      </c>
      <c r="I2279" s="157"/>
      <c r="J2279" s="157"/>
      <c r="K2279" s="18">
        <v>11340301</v>
      </c>
      <c r="L2279" s="161" t="s">
        <v>2386</v>
      </c>
      <c r="M2279" s="157" t="s">
        <v>2390</v>
      </c>
      <c r="N2279" s="430"/>
      <c r="O2279" s="430">
        <v>15000</v>
      </c>
      <c r="P2279" s="19">
        <v>20000</v>
      </c>
      <c r="Q2279" s="19">
        <v>20000</v>
      </c>
      <c r="R2279" s="19">
        <v>20000</v>
      </c>
      <c r="S2279" s="19">
        <v>20000</v>
      </c>
      <c r="T2279" s="18" t="s">
        <v>2068</v>
      </c>
      <c r="U2279" s="283" t="e">
        <v>#N/A</v>
      </c>
      <c r="V2279" s="326" t="s">
        <v>2391</v>
      </c>
      <c r="W2279" s="283">
        <v>1</v>
      </c>
      <c r="X2279" s="283">
        <v>0</v>
      </c>
      <c r="Y2279" s="283">
        <v>0</v>
      </c>
      <c r="Z2279" s="283">
        <v>1</v>
      </c>
      <c r="AA2279" s="283">
        <v>1</v>
      </c>
      <c r="AB2279" s="283">
        <v>1</v>
      </c>
      <c r="AC2279" s="316">
        <v>1</v>
      </c>
      <c r="AD2279" s="316">
        <v>1</v>
      </c>
      <c r="AE2279" s="302">
        <f t="shared" si="95"/>
        <v>0.75</v>
      </c>
      <c r="AF2279" s="17"/>
      <c r="AG2279" s="17">
        <v>0</v>
      </c>
      <c r="AH2279" s="17">
        <v>0</v>
      </c>
      <c r="AI2279" s="17">
        <v>0</v>
      </c>
      <c r="AJ2279" s="17">
        <v>0</v>
      </c>
      <c r="AK2279" s="153">
        <v>0</v>
      </c>
      <c r="AL2279" s="154">
        <v>0</v>
      </c>
      <c r="AM2279" s="147">
        <f t="shared" si="94"/>
        <v>0</v>
      </c>
      <c r="AN2279" s="283" t="s">
        <v>2084</v>
      </c>
      <c r="AO2279" s="18" t="s">
        <v>241</v>
      </c>
      <c r="AP2279" s="283" t="s">
        <v>2389</v>
      </c>
    </row>
    <row r="2280" spans="1:42" s="18" customFormat="1" x14ac:dyDescent="0.3">
      <c r="A2280" s="156" t="s">
        <v>1455</v>
      </c>
      <c r="B2280" s="18" t="s">
        <v>2061</v>
      </c>
      <c r="C2280" s="18">
        <v>113</v>
      </c>
      <c r="D2280" s="18" t="s">
        <v>2284</v>
      </c>
      <c r="E2280" s="18">
        <v>1134</v>
      </c>
      <c r="F2280" s="157" t="s">
        <v>2356</v>
      </c>
      <c r="G2280" s="18">
        <v>113403</v>
      </c>
      <c r="H2280" s="157" t="s">
        <v>2385</v>
      </c>
      <c r="I2280" s="157"/>
      <c r="J2280" s="157"/>
      <c r="K2280" s="18">
        <v>11340301</v>
      </c>
      <c r="L2280" s="161" t="s">
        <v>2386</v>
      </c>
      <c r="M2280" s="157" t="s">
        <v>2392</v>
      </c>
      <c r="N2280" s="430"/>
      <c r="O2280" s="430">
        <v>3000</v>
      </c>
      <c r="P2280" s="19">
        <v>3000</v>
      </c>
      <c r="Q2280" s="19">
        <v>3000</v>
      </c>
      <c r="R2280" s="19">
        <v>3000</v>
      </c>
      <c r="S2280" s="19">
        <v>3000</v>
      </c>
      <c r="T2280" s="18" t="s">
        <v>2068</v>
      </c>
      <c r="U2280" s="283" t="e">
        <v>#N/A</v>
      </c>
      <c r="V2280" s="326" t="s">
        <v>2393</v>
      </c>
      <c r="W2280" s="283">
        <v>1</v>
      </c>
      <c r="X2280" s="283">
        <v>0</v>
      </c>
      <c r="Y2280" s="283">
        <v>0</v>
      </c>
      <c r="Z2280" s="283">
        <v>1</v>
      </c>
      <c r="AA2280" s="283">
        <v>1</v>
      </c>
      <c r="AB2280" s="283">
        <v>1</v>
      </c>
      <c r="AC2280" s="316">
        <v>1</v>
      </c>
      <c r="AD2280" s="316">
        <v>1</v>
      </c>
      <c r="AE2280" s="302">
        <f t="shared" si="95"/>
        <v>0.75</v>
      </c>
      <c r="AF2280" s="17"/>
      <c r="AG2280" s="17">
        <v>0</v>
      </c>
      <c r="AH2280" s="17">
        <v>0</v>
      </c>
      <c r="AI2280" s="17">
        <v>0</v>
      </c>
      <c r="AJ2280" s="17">
        <v>0</v>
      </c>
      <c r="AK2280" s="153">
        <v>3.75</v>
      </c>
      <c r="AL2280" s="153">
        <v>4.75</v>
      </c>
      <c r="AM2280" s="147">
        <f t="shared" si="94"/>
        <v>8.5</v>
      </c>
      <c r="AN2280" s="283" t="s">
        <v>2084</v>
      </c>
      <c r="AO2280" s="18" t="s">
        <v>241</v>
      </c>
      <c r="AP2280" s="283" t="s">
        <v>2389</v>
      </c>
    </row>
    <row r="2281" spans="1:42" s="18" customFormat="1" x14ac:dyDescent="0.3">
      <c r="A2281" s="156" t="s">
        <v>1455</v>
      </c>
      <c r="B2281" s="18" t="s">
        <v>2061</v>
      </c>
      <c r="C2281" s="18">
        <v>113</v>
      </c>
      <c r="D2281" s="18" t="s">
        <v>2284</v>
      </c>
      <c r="E2281" s="18">
        <v>1134</v>
      </c>
      <c r="F2281" s="157" t="s">
        <v>2356</v>
      </c>
      <c r="G2281" s="18">
        <v>113403</v>
      </c>
      <c r="H2281" s="157" t="s">
        <v>2385</v>
      </c>
      <c r="I2281" s="157"/>
      <c r="J2281" s="157"/>
      <c r="K2281" s="18">
        <v>11340301</v>
      </c>
      <c r="L2281" s="161" t="s">
        <v>2386</v>
      </c>
      <c r="M2281" s="157" t="s">
        <v>2394</v>
      </c>
      <c r="N2281" s="430"/>
      <c r="O2281" s="430">
        <v>30</v>
      </c>
      <c r="P2281" s="19">
        <v>40</v>
      </c>
      <c r="Q2281" s="19">
        <v>50</v>
      </c>
      <c r="R2281" s="19">
        <v>60</v>
      </c>
      <c r="S2281" s="19">
        <v>70</v>
      </c>
      <c r="T2281" s="18" t="s">
        <v>2068</v>
      </c>
      <c r="U2281" s="283" t="e">
        <v>#N/A</v>
      </c>
      <c r="V2281" s="326" t="s">
        <v>2395</v>
      </c>
      <c r="W2281" s="283">
        <v>1</v>
      </c>
      <c r="X2281" s="283">
        <v>0</v>
      </c>
      <c r="Y2281" s="283">
        <v>0</v>
      </c>
      <c r="Z2281" s="283">
        <v>1</v>
      </c>
      <c r="AA2281" s="283">
        <v>0</v>
      </c>
      <c r="AB2281" s="283">
        <v>1</v>
      </c>
      <c r="AC2281" s="316">
        <v>1</v>
      </c>
      <c r="AD2281" s="316">
        <v>1</v>
      </c>
      <c r="AE2281" s="302">
        <f t="shared" si="95"/>
        <v>0.625</v>
      </c>
      <c r="AF2281" s="310"/>
      <c r="AG2281" s="17">
        <v>0</v>
      </c>
      <c r="AH2281" s="310">
        <v>1.25</v>
      </c>
      <c r="AI2281" s="310">
        <v>1.5</v>
      </c>
      <c r="AJ2281" s="310">
        <v>1.75</v>
      </c>
      <c r="AK2281" s="317">
        <v>1.75</v>
      </c>
      <c r="AL2281" s="317">
        <v>2</v>
      </c>
      <c r="AM2281" s="147">
        <f t="shared" si="94"/>
        <v>3.75</v>
      </c>
      <c r="AN2281" s="283" t="s">
        <v>2084</v>
      </c>
      <c r="AO2281" s="18" t="s">
        <v>241</v>
      </c>
      <c r="AP2281" s="283" t="s">
        <v>2389</v>
      </c>
    </row>
    <row r="2282" spans="1:42" s="18" customFormat="1" x14ac:dyDescent="0.3">
      <c r="A2282" s="156" t="s">
        <v>1455</v>
      </c>
      <c r="B2282" s="18" t="s">
        <v>2061</v>
      </c>
      <c r="C2282" s="18">
        <v>113</v>
      </c>
      <c r="D2282" s="18" t="s">
        <v>2284</v>
      </c>
      <c r="E2282" s="18">
        <v>1134</v>
      </c>
      <c r="F2282" s="157" t="s">
        <v>2356</v>
      </c>
      <c r="G2282" s="18">
        <v>113403</v>
      </c>
      <c r="H2282" s="157" t="s">
        <v>2385</v>
      </c>
      <c r="I2282" s="157"/>
      <c r="J2282" s="157"/>
      <c r="K2282" s="18">
        <v>11340302</v>
      </c>
      <c r="L2282" s="157" t="s">
        <v>2396</v>
      </c>
      <c r="M2282" s="157" t="s">
        <v>2397</v>
      </c>
      <c r="N2282" s="430">
        <v>1</v>
      </c>
      <c r="O2282" s="430">
        <v>3</v>
      </c>
      <c r="P2282" s="19">
        <v>2</v>
      </c>
      <c r="Q2282" s="19">
        <v>4</v>
      </c>
      <c r="R2282" s="19">
        <v>2</v>
      </c>
      <c r="S2282" s="19">
        <v>1</v>
      </c>
      <c r="T2282" s="18" t="s">
        <v>2068</v>
      </c>
      <c r="U2282" s="283" t="e">
        <v>#N/A</v>
      </c>
      <c r="V2282" s="283" t="s">
        <v>2398</v>
      </c>
      <c r="W2282" s="283">
        <v>1</v>
      </c>
      <c r="X2282" s="283">
        <v>0</v>
      </c>
      <c r="Y2282" s="283">
        <v>0</v>
      </c>
      <c r="Z2282" s="283">
        <v>1</v>
      </c>
      <c r="AA2282" s="283">
        <v>0</v>
      </c>
      <c r="AB2282" s="283">
        <v>0</v>
      </c>
      <c r="AC2282" s="316">
        <v>1</v>
      </c>
      <c r="AD2282" s="316">
        <v>1</v>
      </c>
      <c r="AE2282" s="302">
        <f t="shared" si="95"/>
        <v>0.5</v>
      </c>
      <c r="AF2282" s="310"/>
      <c r="AG2282" s="17">
        <v>0</v>
      </c>
      <c r="AH2282" s="310">
        <v>0.75</v>
      </c>
      <c r="AI2282" s="310">
        <v>1.1499999999999999</v>
      </c>
      <c r="AJ2282" s="310">
        <v>1.5</v>
      </c>
      <c r="AK2282" s="317">
        <v>0.45</v>
      </c>
      <c r="AL2282" s="317">
        <v>0.1</v>
      </c>
      <c r="AM2282" s="147">
        <f t="shared" si="94"/>
        <v>0.55000000000000004</v>
      </c>
      <c r="AN2282" s="283" t="s">
        <v>2084</v>
      </c>
      <c r="AO2282" s="18" t="s">
        <v>241</v>
      </c>
      <c r="AP2282" s="283" t="s">
        <v>2389</v>
      </c>
    </row>
    <row r="2283" spans="1:42" s="18" customFormat="1" x14ac:dyDescent="0.3">
      <c r="A2283" s="156" t="s">
        <v>1455</v>
      </c>
      <c r="B2283" s="18" t="s">
        <v>2061</v>
      </c>
      <c r="C2283" s="18">
        <v>113</v>
      </c>
      <c r="D2283" s="18" t="s">
        <v>2284</v>
      </c>
      <c r="E2283" s="18">
        <v>1134</v>
      </c>
      <c r="F2283" s="157" t="s">
        <v>2356</v>
      </c>
      <c r="G2283" s="18">
        <v>113403</v>
      </c>
      <c r="H2283" s="157" t="s">
        <v>2385</v>
      </c>
      <c r="I2283" s="157"/>
      <c r="J2283" s="157"/>
      <c r="K2283" s="18">
        <v>11340303</v>
      </c>
      <c r="L2283" s="18" t="s">
        <v>2399</v>
      </c>
      <c r="M2283" s="18" t="s">
        <v>2400</v>
      </c>
      <c r="N2283" s="430"/>
      <c r="O2283" s="430">
        <v>3</v>
      </c>
      <c r="P2283" s="19">
        <v>5</v>
      </c>
      <c r="Q2283" s="19">
        <v>5</v>
      </c>
      <c r="R2283" s="19">
        <v>7</v>
      </c>
      <c r="S2283" s="19">
        <v>7</v>
      </c>
      <c r="T2283" s="18" t="s">
        <v>2068</v>
      </c>
      <c r="U2283" s="283" t="e">
        <v>#N/A</v>
      </c>
      <c r="V2283" s="283" t="s">
        <v>2401</v>
      </c>
      <c r="W2283" s="283">
        <v>1</v>
      </c>
      <c r="X2283" s="283">
        <v>0</v>
      </c>
      <c r="Y2283" s="283">
        <v>0</v>
      </c>
      <c r="Z2283" s="283">
        <v>1</v>
      </c>
      <c r="AA2283" s="283">
        <v>0</v>
      </c>
      <c r="AB2283" s="283">
        <v>0</v>
      </c>
      <c r="AC2283" s="316">
        <v>1</v>
      </c>
      <c r="AD2283" s="316">
        <v>1</v>
      </c>
      <c r="AE2283" s="302">
        <f t="shared" si="95"/>
        <v>0.5</v>
      </c>
      <c r="AF2283" s="310"/>
      <c r="AG2283" s="17">
        <v>0</v>
      </c>
      <c r="AH2283" s="310">
        <v>0.75</v>
      </c>
      <c r="AI2283" s="310">
        <v>0.8</v>
      </c>
      <c r="AJ2283" s="310">
        <v>0.5</v>
      </c>
      <c r="AK2283" s="317">
        <v>0.75</v>
      </c>
      <c r="AL2283" s="317">
        <v>0.7</v>
      </c>
      <c r="AM2283" s="147">
        <f t="shared" si="94"/>
        <v>1.45</v>
      </c>
      <c r="AN2283" s="283" t="s">
        <v>2084</v>
      </c>
      <c r="AO2283" s="18" t="s">
        <v>241</v>
      </c>
      <c r="AP2283" s="283" t="s">
        <v>2389</v>
      </c>
    </row>
    <row r="2284" spans="1:42" s="18" customFormat="1" x14ac:dyDescent="0.3">
      <c r="A2284" s="156" t="s">
        <v>1455</v>
      </c>
      <c r="B2284" s="18" t="s">
        <v>2061</v>
      </c>
      <c r="C2284" s="18">
        <v>113</v>
      </c>
      <c r="D2284" s="18" t="s">
        <v>2284</v>
      </c>
      <c r="E2284" s="18">
        <v>1134</v>
      </c>
      <c r="F2284" s="157" t="s">
        <v>2356</v>
      </c>
      <c r="G2284" s="18">
        <v>113404</v>
      </c>
      <c r="H2284" s="157" t="s">
        <v>2402</v>
      </c>
      <c r="I2284" s="157"/>
      <c r="J2284" s="157"/>
      <c r="K2284" s="18">
        <v>11340401</v>
      </c>
      <c r="L2284" s="10" t="s">
        <v>2403</v>
      </c>
      <c r="M2284" s="157" t="s">
        <v>2404</v>
      </c>
      <c r="N2284" s="430" t="s">
        <v>271</v>
      </c>
      <c r="O2284" s="430">
        <v>2</v>
      </c>
      <c r="P2284" s="19">
        <v>3</v>
      </c>
      <c r="Q2284" s="19">
        <v>3</v>
      </c>
      <c r="R2284" s="19">
        <v>2</v>
      </c>
      <c r="S2284" s="19">
        <v>0</v>
      </c>
      <c r="T2284" s="18" t="s">
        <v>2364</v>
      </c>
      <c r="U2284" s="283" t="e">
        <v>#N/A</v>
      </c>
      <c r="V2284" s="283" t="s">
        <v>2405</v>
      </c>
      <c r="W2284" s="283">
        <v>1</v>
      </c>
      <c r="X2284" s="283">
        <v>0</v>
      </c>
      <c r="Y2284" s="283">
        <v>1</v>
      </c>
      <c r="Z2284" s="283">
        <v>1</v>
      </c>
      <c r="AA2284" s="283">
        <v>1</v>
      </c>
      <c r="AB2284" s="283">
        <v>1</v>
      </c>
      <c r="AC2284" s="316">
        <v>1</v>
      </c>
      <c r="AD2284" s="316">
        <v>1</v>
      </c>
      <c r="AE2284" s="302">
        <f t="shared" si="95"/>
        <v>0.875</v>
      </c>
      <c r="AF2284" s="310"/>
      <c r="AG2284" s="17">
        <v>0</v>
      </c>
      <c r="AH2284" s="310">
        <v>0.3</v>
      </c>
      <c r="AI2284" s="310">
        <v>0.3</v>
      </c>
      <c r="AJ2284" s="310">
        <v>0.3</v>
      </c>
      <c r="AK2284" s="317">
        <v>0.3</v>
      </c>
      <c r="AL2284" s="317">
        <v>0.3</v>
      </c>
      <c r="AM2284" s="147">
        <f t="shared" si="94"/>
        <v>0.6</v>
      </c>
      <c r="AN2284" s="283" t="s">
        <v>2323</v>
      </c>
      <c r="AO2284" s="18" t="s">
        <v>241</v>
      </c>
      <c r="AP2284" s="283" t="s">
        <v>2406</v>
      </c>
    </row>
    <row r="2285" spans="1:42" s="18" customFormat="1" x14ac:dyDescent="0.3">
      <c r="A2285" s="156" t="s">
        <v>1455</v>
      </c>
      <c r="B2285" s="18" t="s">
        <v>2061</v>
      </c>
      <c r="C2285" s="18">
        <v>113</v>
      </c>
      <c r="D2285" s="18" t="s">
        <v>2284</v>
      </c>
      <c r="E2285" s="18">
        <v>1134</v>
      </c>
      <c r="F2285" s="157" t="s">
        <v>2356</v>
      </c>
      <c r="G2285" s="18">
        <v>113404</v>
      </c>
      <c r="H2285" s="157" t="s">
        <v>2402</v>
      </c>
      <c r="I2285" s="157"/>
      <c r="J2285" s="157"/>
      <c r="K2285" s="18">
        <v>11340401</v>
      </c>
      <c r="L2285" s="10" t="s">
        <v>2403</v>
      </c>
      <c r="M2285" s="18" t="s">
        <v>2407</v>
      </c>
      <c r="N2285" s="430"/>
      <c r="O2285" s="430"/>
      <c r="P2285" s="19">
        <v>1</v>
      </c>
      <c r="Q2285" s="19"/>
      <c r="R2285" s="19"/>
      <c r="S2285" s="19"/>
      <c r="T2285" s="18" t="s">
        <v>2364</v>
      </c>
      <c r="U2285" s="283" t="e">
        <v>#N/A</v>
      </c>
      <c r="V2285" s="283" t="s">
        <v>2408</v>
      </c>
      <c r="W2285" s="283"/>
      <c r="X2285" s="283"/>
      <c r="Y2285" s="283"/>
      <c r="Z2285" s="283"/>
      <c r="AA2285" s="283"/>
      <c r="AB2285" s="283"/>
      <c r="AC2285" s="316"/>
      <c r="AD2285" s="316"/>
      <c r="AE2285" s="302">
        <f t="shared" si="95"/>
        <v>0</v>
      </c>
      <c r="AF2285" s="17"/>
      <c r="AG2285" s="17">
        <v>0</v>
      </c>
      <c r="AH2285" s="17">
        <v>0</v>
      </c>
      <c r="AI2285" s="17">
        <v>0</v>
      </c>
      <c r="AJ2285" s="17">
        <v>0</v>
      </c>
      <c r="AK2285" s="153">
        <v>0</v>
      </c>
      <c r="AL2285" s="154">
        <v>0</v>
      </c>
      <c r="AM2285" s="147">
        <f t="shared" si="94"/>
        <v>0</v>
      </c>
      <c r="AN2285" s="283" t="s">
        <v>2323</v>
      </c>
      <c r="AO2285" s="18" t="s">
        <v>241</v>
      </c>
      <c r="AP2285" s="283" t="s">
        <v>2406</v>
      </c>
    </row>
    <row r="2286" spans="1:42" s="18" customFormat="1" x14ac:dyDescent="0.3">
      <c r="A2286" s="156" t="s">
        <v>1455</v>
      </c>
      <c r="B2286" s="18" t="s">
        <v>2061</v>
      </c>
      <c r="C2286" s="18">
        <v>113</v>
      </c>
      <c r="D2286" s="18" t="s">
        <v>2284</v>
      </c>
      <c r="E2286" s="18">
        <v>1134</v>
      </c>
      <c r="F2286" s="157" t="s">
        <v>2356</v>
      </c>
      <c r="G2286" s="18">
        <v>113404</v>
      </c>
      <c r="H2286" s="157" t="s">
        <v>2402</v>
      </c>
      <c r="I2286" s="157"/>
      <c r="J2286" s="157"/>
      <c r="K2286" s="18">
        <v>11340402</v>
      </c>
      <c r="L2286" s="18" t="s">
        <v>2409</v>
      </c>
      <c r="M2286" s="18" t="s">
        <v>2410</v>
      </c>
      <c r="N2286" s="430"/>
      <c r="O2286" s="430">
        <v>2</v>
      </c>
      <c r="P2286" s="19">
        <v>2</v>
      </c>
      <c r="Q2286" s="19">
        <v>2</v>
      </c>
      <c r="R2286" s="19">
        <v>2</v>
      </c>
      <c r="S2286" s="19">
        <v>2</v>
      </c>
      <c r="T2286" s="18" t="s">
        <v>2364</v>
      </c>
      <c r="U2286" s="283" t="e">
        <v>#N/A</v>
      </c>
      <c r="V2286" s="326" t="s">
        <v>2411</v>
      </c>
      <c r="W2286" s="283">
        <v>1</v>
      </c>
      <c r="X2286" s="283">
        <v>0</v>
      </c>
      <c r="Y2286" s="283">
        <v>0</v>
      </c>
      <c r="Z2286" s="283">
        <v>1</v>
      </c>
      <c r="AA2286" s="283">
        <v>1</v>
      </c>
      <c r="AB2286" s="283">
        <v>1</v>
      </c>
      <c r="AC2286" s="316">
        <v>0</v>
      </c>
      <c r="AD2286" s="316">
        <v>1</v>
      </c>
      <c r="AE2286" s="302">
        <f t="shared" si="95"/>
        <v>0.625</v>
      </c>
      <c r="AF2286" s="17"/>
      <c r="AG2286" s="17">
        <v>0</v>
      </c>
      <c r="AH2286" s="17">
        <v>0</v>
      </c>
      <c r="AI2286" s="17">
        <v>0</v>
      </c>
      <c r="AJ2286" s="17">
        <v>0</v>
      </c>
      <c r="AK2286" s="153">
        <v>0</v>
      </c>
      <c r="AL2286" s="154">
        <v>0</v>
      </c>
      <c r="AM2286" s="147">
        <f t="shared" si="94"/>
        <v>0</v>
      </c>
      <c r="AN2286" s="283" t="s">
        <v>2323</v>
      </c>
      <c r="AO2286" s="18" t="s">
        <v>241</v>
      </c>
      <c r="AP2286" s="283" t="s">
        <v>2406</v>
      </c>
    </row>
    <row r="2287" spans="1:42" s="18" customFormat="1" x14ac:dyDescent="0.3">
      <c r="A2287" s="156" t="s">
        <v>1455</v>
      </c>
      <c r="B2287" s="18" t="s">
        <v>2061</v>
      </c>
      <c r="C2287" s="18">
        <v>113</v>
      </c>
      <c r="D2287" s="18" t="s">
        <v>2284</v>
      </c>
      <c r="E2287" s="18">
        <v>1134</v>
      </c>
      <c r="F2287" s="157" t="s">
        <v>2356</v>
      </c>
      <c r="G2287" s="18">
        <v>113404</v>
      </c>
      <c r="H2287" s="157" t="s">
        <v>2402</v>
      </c>
      <c r="I2287" s="157"/>
      <c r="J2287" s="157"/>
      <c r="K2287" s="18">
        <v>11340403</v>
      </c>
      <c r="L2287" s="18" t="s">
        <v>2412</v>
      </c>
      <c r="M2287" s="18" t="s">
        <v>2413</v>
      </c>
      <c r="N2287" s="430">
        <v>0</v>
      </c>
      <c r="O2287" s="430"/>
      <c r="P2287" s="19">
        <v>1</v>
      </c>
      <c r="Q2287" s="19"/>
      <c r="R2287" s="19"/>
      <c r="S2287" s="19"/>
      <c r="T2287" s="18" t="s">
        <v>2364</v>
      </c>
      <c r="U2287" s="283" t="e">
        <v>#N/A</v>
      </c>
      <c r="V2287" s="327" t="s">
        <v>2414</v>
      </c>
      <c r="W2287" s="283">
        <v>1</v>
      </c>
      <c r="X2287" s="283">
        <v>0</v>
      </c>
      <c r="Y2287" s="283">
        <v>0</v>
      </c>
      <c r="Z2287" s="283">
        <v>1</v>
      </c>
      <c r="AA2287" s="283">
        <v>1</v>
      </c>
      <c r="AB2287" s="283">
        <v>1</v>
      </c>
      <c r="AC2287" s="316">
        <v>0</v>
      </c>
      <c r="AD2287" s="316">
        <v>1</v>
      </c>
      <c r="AE2287" s="302">
        <f t="shared" si="95"/>
        <v>0.625</v>
      </c>
      <c r="AF2287" s="310"/>
      <c r="AG2287" s="17">
        <v>0</v>
      </c>
      <c r="AH2287" s="310">
        <v>0</v>
      </c>
      <c r="AI2287" s="310">
        <v>1.5</v>
      </c>
      <c r="AJ2287" s="310">
        <v>2</v>
      </c>
      <c r="AK2287" s="317">
        <v>0.5</v>
      </c>
      <c r="AL2287" s="317" t="s">
        <v>2089</v>
      </c>
      <c r="AM2287" s="147">
        <f t="shared" si="94"/>
        <v>0.5</v>
      </c>
      <c r="AN2287" s="283" t="s">
        <v>2323</v>
      </c>
      <c r="AO2287" s="18" t="s">
        <v>241</v>
      </c>
      <c r="AP2287" s="283" t="s">
        <v>2406</v>
      </c>
    </row>
    <row r="2288" spans="1:42" s="18" customFormat="1" x14ac:dyDescent="0.3">
      <c r="A2288" s="156" t="s">
        <v>1455</v>
      </c>
      <c r="B2288" s="18" t="s">
        <v>2061</v>
      </c>
      <c r="C2288" s="18">
        <v>113</v>
      </c>
      <c r="D2288" s="18" t="s">
        <v>2284</v>
      </c>
      <c r="E2288" s="18">
        <v>1134</v>
      </c>
      <c r="F2288" s="157" t="s">
        <v>2356</v>
      </c>
      <c r="G2288" s="18">
        <v>113404</v>
      </c>
      <c r="H2288" s="157" t="s">
        <v>2402</v>
      </c>
      <c r="I2288" s="157"/>
      <c r="J2288" s="157"/>
      <c r="K2288" s="18">
        <v>11340404</v>
      </c>
      <c r="L2288" s="10" t="s">
        <v>2415</v>
      </c>
      <c r="M2288" s="18" t="s">
        <v>2416</v>
      </c>
      <c r="N2288" s="430">
        <v>5</v>
      </c>
      <c r="O2288" s="430">
        <v>0</v>
      </c>
      <c r="P2288" s="19">
        <v>2</v>
      </c>
      <c r="Q2288" s="19">
        <v>1</v>
      </c>
      <c r="R2288" s="19">
        <v>1</v>
      </c>
      <c r="S2288" s="19">
        <v>1</v>
      </c>
      <c r="T2288" s="18" t="s">
        <v>2364</v>
      </c>
      <c r="U2288" s="283" t="e">
        <v>#N/A</v>
      </c>
      <c r="V2288" s="322" t="s">
        <v>2417</v>
      </c>
      <c r="W2288" s="283">
        <v>1</v>
      </c>
      <c r="X2288" s="283">
        <v>0</v>
      </c>
      <c r="Y2288" s="283">
        <v>0</v>
      </c>
      <c r="Z2288" s="283">
        <v>1</v>
      </c>
      <c r="AA2288" s="283">
        <v>0</v>
      </c>
      <c r="AB2288" s="283">
        <v>1</v>
      </c>
      <c r="AC2288" s="316">
        <v>0</v>
      </c>
      <c r="AD2288" s="316">
        <v>1</v>
      </c>
      <c r="AE2288" s="302">
        <f t="shared" si="95"/>
        <v>0.5</v>
      </c>
      <c r="AF2288" s="310"/>
      <c r="AG2288" s="17">
        <v>0</v>
      </c>
      <c r="AH2288" s="310">
        <v>0.3</v>
      </c>
      <c r="AI2288" s="310">
        <v>0.3</v>
      </c>
      <c r="AJ2288" s="310">
        <v>0.3</v>
      </c>
      <c r="AK2288" s="317">
        <v>0.3</v>
      </c>
      <c r="AL2288" s="317">
        <v>0.3</v>
      </c>
      <c r="AM2288" s="147">
        <f t="shared" si="94"/>
        <v>0.6</v>
      </c>
      <c r="AN2288" s="283" t="s">
        <v>2323</v>
      </c>
      <c r="AO2288" s="18" t="s">
        <v>241</v>
      </c>
      <c r="AP2288" s="283" t="s">
        <v>2406</v>
      </c>
    </row>
    <row r="2289" spans="1:42" s="18" customFormat="1" x14ac:dyDescent="0.3">
      <c r="A2289" s="156" t="s">
        <v>1455</v>
      </c>
      <c r="B2289" s="18" t="s">
        <v>2061</v>
      </c>
      <c r="C2289" s="18">
        <v>113</v>
      </c>
      <c r="D2289" s="18" t="s">
        <v>2284</v>
      </c>
      <c r="E2289" s="18">
        <v>1134</v>
      </c>
      <c r="F2289" s="157" t="s">
        <v>2356</v>
      </c>
      <c r="G2289" s="18">
        <v>113404</v>
      </c>
      <c r="H2289" s="157" t="s">
        <v>2402</v>
      </c>
      <c r="I2289" s="157"/>
      <c r="J2289" s="157"/>
      <c r="K2289" s="18">
        <v>11340404</v>
      </c>
      <c r="L2289" s="10" t="s">
        <v>2415</v>
      </c>
      <c r="M2289" s="18" t="s">
        <v>2418</v>
      </c>
      <c r="N2289" s="430">
        <v>0</v>
      </c>
      <c r="O2289" s="430">
        <v>0</v>
      </c>
      <c r="P2289" s="19">
        <v>2</v>
      </c>
      <c r="Q2289" s="19">
        <v>3</v>
      </c>
      <c r="R2289" s="19">
        <v>3</v>
      </c>
      <c r="S2289" s="19">
        <v>2</v>
      </c>
      <c r="T2289" s="18" t="s">
        <v>2364</v>
      </c>
      <c r="U2289" s="283" t="e">
        <v>#N/A</v>
      </c>
      <c r="V2289" s="326" t="s">
        <v>2419</v>
      </c>
      <c r="W2289" s="283">
        <v>1</v>
      </c>
      <c r="X2289" s="283">
        <v>0</v>
      </c>
      <c r="Y2289" s="283">
        <v>0</v>
      </c>
      <c r="Z2289" s="283">
        <v>1</v>
      </c>
      <c r="AA2289" s="283">
        <v>1</v>
      </c>
      <c r="AB2289" s="283">
        <v>1</v>
      </c>
      <c r="AC2289" s="316">
        <v>0</v>
      </c>
      <c r="AD2289" s="316">
        <v>1</v>
      </c>
      <c r="AE2289" s="302">
        <f t="shared" si="95"/>
        <v>0.625</v>
      </c>
      <c r="AF2289" s="310"/>
      <c r="AG2289" s="17">
        <v>0</v>
      </c>
      <c r="AH2289" s="310">
        <v>0.1</v>
      </c>
      <c r="AI2289" s="310">
        <v>0.3</v>
      </c>
      <c r="AJ2289" s="310">
        <v>0.3</v>
      </c>
      <c r="AK2289" s="317">
        <v>0.3</v>
      </c>
      <c r="AL2289" s="317">
        <v>0.5</v>
      </c>
      <c r="AM2289" s="147">
        <f t="shared" si="94"/>
        <v>0.8</v>
      </c>
      <c r="AN2289" s="283" t="s">
        <v>2323</v>
      </c>
      <c r="AO2289" s="18" t="s">
        <v>241</v>
      </c>
      <c r="AP2289" s="283" t="s">
        <v>2406</v>
      </c>
    </row>
    <row r="2290" spans="1:42" s="18" customFormat="1" x14ac:dyDescent="0.3">
      <c r="A2290" s="156" t="s">
        <v>1455</v>
      </c>
      <c r="B2290" s="18" t="s">
        <v>2061</v>
      </c>
      <c r="C2290" s="18">
        <v>113</v>
      </c>
      <c r="D2290" s="18" t="s">
        <v>2284</v>
      </c>
      <c r="E2290" s="18">
        <v>1134</v>
      </c>
      <c r="F2290" s="157" t="s">
        <v>2356</v>
      </c>
      <c r="G2290" s="18">
        <v>113404</v>
      </c>
      <c r="H2290" s="157" t="s">
        <v>2402</v>
      </c>
      <c r="I2290" s="157"/>
      <c r="J2290" s="157"/>
      <c r="K2290" s="18">
        <v>11340404</v>
      </c>
      <c r="L2290" s="10" t="s">
        <v>2415</v>
      </c>
      <c r="M2290" s="18" t="s">
        <v>2420</v>
      </c>
      <c r="N2290" s="430">
        <v>0</v>
      </c>
      <c r="O2290" s="430">
        <v>0</v>
      </c>
      <c r="P2290" s="19">
        <v>2</v>
      </c>
      <c r="Q2290" s="19">
        <v>2</v>
      </c>
      <c r="R2290" s="19">
        <v>2</v>
      </c>
      <c r="S2290" s="19">
        <v>2</v>
      </c>
      <c r="T2290" s="18" t="s">
        <v>2364</v>
      </c>
      <c r="U2290" s="283" t="e">
        <v>#N/A</v>
      </c>
      <c r="V2290" s="326" t="s">
        <v>2421</v>
      </c>
      <c r="W2290" s="283">
        <v>1</v>
      </c>
      <c r="X2290" s="283">
        <v>0</v>
      </c>
      <c r="Y2290" s="283">
        <v>0</v>
      </c>
      <c r="Z2290" s="283">
        <v>1</v>
      </c>
      <c r="AA2290" s="283">
        <v>1</v>
      </c>
      <c r="AB2290" s="283">
        <v>1</v>
      </c>
      <c r="AC2290" s="316">
        <v>0</v>
      </c>
      <c r="AD2290" s="316">
        <v>1</v>
      </c>
      <c r="AE2290" s="302">
        <f t="shared" si="95"/>
        <v>0.625</v>
      </c>
      <c r="AF2290" s="310"/>
      <c r="AG2290" s="17">
        <v>0</v>
      </c>
      <c r="AH2290" s="310">
        <v>0.5</v>
      </c>
      <c r="AI2290" s="310">
        <v>0.5</v>
      </c>
      <c r="AJ2290" s="310">
        <v>0.5</v>
      </c>
      <c r="AK2290" s="317">
        <v>0.5</v>
      </c>
      <c r="AL2290" s="317">
        <v>0.5</v>
      </c>
      <c r="AM2290" s="147">
        <f t="shared" ref="AM2290:AM2318" si="96">SUM(AK2290:AL2290)</f>
        <v>1</v>
      </c>
      <c r="AN2290" s="283" t="s">
        <v>2323</v>
      </c>
      <c r="AO2290" s="18" t="s">
        <v>241</v>
      </c>
      <c r="AP2290" s="283" t="s">
        <v>2406</v>
      </c>
    </row>
    <row r="2291" spans="1:42" s="18" customFormat="1" x14ac:dyDescent="0.3">
      <c r="A2291" s="156" t="s">
        <v>1455</v>
      </c>
      <c r="B2291" s="18" t="s">
        <v>2061</v>
      </c>
      <c r="C2291" s="18">
        <v>113</v>
      </c>
      <c r="D2291" s="18" t="s">
        <v>2284</v>
      </c>
      <c r="E2291" s="18">
        <v>1134</v>
      </c>
      <c r="F2291" s="157" t="s">
        <v>2356</v>
      </c>
      <c r="G2291" s="18">
        <v>113404</v>
      </c>
      <c r="H2291" s="157" t="s">
        <v>2402</v>
      </c>
      <c r="I2291" s="157"/>
      <c r="J2291" s="157"/>
      <c r="K2291" s="18">
        <v>11340405</v>
      </c>
      <c r="L2291" s="18" t="s">
        <v>2422</v>
      </c>
      <c r="M2291" s="18" t="s">
        <v>2423</v>
      </c>
      <c r="N2291" s="430">
        <v>0</v>
      </c>
      <c r="O2291" s="430">
        <v>0</v>
      </c>
      <c r="P2291" s="19">
        <v>4</v>
      </c>
      <c r="Q2291" s="19">
        <v>5</v>
      </c>
      <c r="R2291" s="19">
        <v>3</v>
      </c>
      <c r="S2291" s="19">
        <v>2</v>
      </c>
      <c r="T2291" s="18" t="s">
        <v>2364</v>
      </c>
      <c r="U2291" s="283" t="e">
        <v>#N/A</v>
      </c>
      <c r="V2291" s="283" t="s">
        <v>2424</v>
      </c>
      <c r="W2291" s="283">
        <v>1</v>
      </c>
      <c r="X2291" s="283">
        <v>0</v>
      </c>
      <c r="Y2291" s="283">
        <v>0</v>
      </c>
      <c r="Z2291" s="283">
        <v>1</v>
      </c>
      <c r="AA2291" s="283">
        <v>0</v>
      </c>
      <c r="AB2291" s="283">
        <v>0</v>
      </c>
      <c r="AC2291" s="316">
        <v>0</v>
      </c>
      <c r="AD2291" s="316">
        <v>1</v>
      </c>
      <c r="AE2291" s="302">
        <f t="shared" si="95"/>
        <v>0.375</v>
      </c>
      <c r="AF2291" s="310"/>
      <c r="AG2291" s="17">
        <v>0</v>
      </c>
      <c r="AH2291" s="310">
        <v>1</v>
      </c>
      <c r="AI2291" s="310">
        <v>1</v>
      </c>
      <c r="AJ2291" s="310">
        <v>1</v>
      </c>
      <c r="AK2291" s="317">
        <v>1</v>
      </c>
      <c r="AL2291" s="317">
        <v>1</v>
      </c>
      <c r="AM2291" s="147">
        <f t="shared" si="96"/>
        <v>2</v>
      </c>
      <c r="AN2291" s="283" t="s">
        <v>2323</v>
      </c>
      <c r="AO2291" s="18" t="s">
        <v>241</v>
      </c>
      <c r="AP2291" s="283" t="s">
        <v>2425</v>
      </c>
    </row>
    <row r="2292" spans="1:42" s="18" customFormat="1" x14ac:dyDescent="0.3">
      <c r="A2292" s="156" t="s">
        <v>1455</v>
      </c>
      <c r="B2292" s="18" t="s">
        <v>2061</v>
      </c>
      <c r="C2292" s="18">
        <v>113</v>
      </c>
      <c r="D2292" s="18" t="s">
        <v>2284</v>
      </c>
      <c r="E2292" s="18">
        <v>1134</v>
      </c>
      <c r="F2292" s="157" t="s">
        <v>2356</v>
      </c>
      <c r="G2292" s="18">
        <v>113405</v>
      </c>
      <c r="H2292" s="157" t="s">
        <v>2426</v>
      </c>
      <c r="I2292" s="157"/>
      <c r="J2292" s="157"/>
      <c r="K2292" s="18">
        <v>11340501</v>
      </c>
      <c r="L2292" s="157" t="s">
        <v>2427</v>
      </c>
      <c r="M2292" s="157" t="s">
        <v>2428</v>
      </c>
      <c r="N2292" s="430" t="s">
        <v>271</v>
      </c>
      <c r="O2292" s="430" t="s">
        <v>271</v>
      </c>
      <c r="P2292" s="19" t="s">
        <v>271</v>
      </c>
      <c r="Q2292" s="19">
        <v>1</v>
      </c>
      <c r="R2292" s="19" t="s">
        <v>271</v>
      </c>
      <c r="S2292" s="19" t="s">
        <v>271</v>
      </c>
      <c r="T2292" s="18" t="s">
        <v>2429</v>
      </c>
      <c r="U2292" s="283" t="e">
        <v>#N/A</v>
      </c>
      <c r="X2292" s="283"/>
      <c r="AC2292" s="316">
        <v>0</v>
      </c>
      <c r="AD2292" s="316">
        <v>0</v>
      </c>
      <c r="AE2292" s="302">
        <f t="shared" si="95"/>
        <v>0</v>
      </c>
      <c r="AF2292" s="17"/>
      <c r="AG2292" s="17">
        <v>0</v>
      </c>
      <c r="AH2292" s="17"/>
      <c r="AI2292" s="17"/>
      <c r="AJ2292" s="17"/>
      <c r="AK2292" s="154"/>
      <c r="AL2292" s="154"/>
      <c r="AM2292" s="147">
        <f t="shared" si="96"/>
        <v>0</v>
      </c>
    </row>
    <row r="2293" spans="1:42" s="18" customFormat="1" x14ac:dyDescent="0.3">
      <c r="A2293" s="156" t="s">
        <v>1455</v>
      </c>
      <c r="B2293" s="18" t="s">
        <v>2061</v>
      </c>
      <c r="C2293" s="18">
        <v>113</v>
      </c>
      <c r="D2293" s="18" t="s">
        <v>2284</v>
      </c>
      <c r="E2293" s="18">
        <v>1134</v>
      </c>
      <c r="F2293" s="157" t="s">
        <v>2356</v>
      </c>
      <c r="G2293" s="18">
        <v>113405</v>
      </c>
      <c r="H2293" s="157" t="s">
        <v>2426</v>
      </c>
      <c r="I2293" s="157"/>
      <c r="J2293" s="157"/>
      <c r="K2293" s="18">
        <v>11340502</v>
      </c>
      <c r="L2293" s="10" t="s">
        <v>2430</v>
      </c>
      <c r="M2293" s="18" t="s">
        <v>2431</v>
      </c>
      <c r="N2293" s="430"/>
      <c r="O2293" s="430"/>
      <c r="P2293" s="19"/>
      <c r="Q2293" s="19">
        <v>50</v>
      </c>
      <c r="R2293" s="19"/>
      <c r="S2293" s="19"/>
      <c r="T2293" s="10" t="s">
        <v>2432</v>
      </c>
      <c r="U2293" s="283" t="s">
        <v>729</v>
      </c>
      <c r="V2293" s="283" t="s">
        <v>2433</v>
      </c>
      <c r="W2293" s="283">
        <v>1</v>
      </c>
      <c r="X2293" s="283">
        <v>0</v>
      </c>
      <c r="Y2293" s="283">
        <v>0</v>
      </c>
      <c r="Z2293" s="283">
        <v>1</v>
      </c>
      <c r="AA2293" s="283">
        <v>0</v>
      </c>
      <c r="AB2293" s="283">
        <v>0</v>
      </c>
      <c r="AC2293" s="316">
        <v>1</v>
      </c>
      <c r="AD2293" s="316">
        <v>1</v>
      </c>
      <c r="AE2293" s="302">
        <f t="shared" ref="AE2293:AE2318" si="97">SUM(W2293:AD2293)/8</f>
        <v>0.5</v>
      </c>
      <c r="AF2293" s="310"/>
      <c r="AG2293" s="17">
        <v>0</v>
      </c>
      <c r="AH2293" s="310">
        <v>0.2</v>
      </c>
      <c r="AI2293" s="310">
        <v>0.2</v>
      </c>
      <c r="AJ2293" s="310">
        <v>0.1</v>
      </c>
      <c r="AK2293" s="317">
        <v>0.1</v>
      </c>
      <c r="AL2293" s="317">
        <v>0.9</v>
      </c>
      <c r="AM2293" s="147">
        <f t="shared" si="96"/>
        <v>1</v>
      </c>
      <c r="AN2293" s="283" t="s">
        <v>723</v>
      </c>
      <c r="AO2293" s="18" t="s">
        <v>729</v>
      </c>
      <c r="AP2293" s="283" t="s">
        <v>119</v>
      </c>
    </row>
    <row r="2294" spans="1:42" s="18" customFormat="1" x14ac:dyDescent="0.3">
      <c r="A2294" s="156" t="s">
        <v>1455</v>
      </c>
      <c r="B2294" s="18" t="s">
        <v>2061</v>
      </c>
      <c r="C2294" s="18">
        <v>113</v>
      </c>
      <c r="D2294" s="18" t="s">
        <v>2284</v>
      </c>
      <c r="E2294" s="18">
        <v>1134</v>
      </c>
      <c r="F2294" s="157" t="s">
        <v>2356</v>
      </c>
      <c r="G2294" s="18">
        <v>113405</v>
      </c>
      <c r="H2294" s="157" t="s">
        <v>2426</v>
      </c>
      <c r="I2294" s="157"/>
      <c r="J2294" s="157"/>
      <c r="K2294" s="18">
        <v>11340502</v>
      </c>
      <c r="L2294" s="10" t="s">
        <v>2430</v>
      </c>
      <c r="N2294" s="430"/>
      <c r="O2294" s="430"/>
      <c r="P2294" s="19"/>
      <c r="Q2294" s="19"/>
      <c r="R2294" s="19"/>
      <c r="S2294" s="19"/>
      <c r="T2294" s="10"/>
      <c r="U2294" s="283" t="e">
        <v>#N/A</v>
      </c>
      <c r="V2294" s="326" t="s">
        <v>2434</v>
      </c>
      <c r="W2294" s="283">
        <v>1</v>
      </c>
      <c r="X2294" s="283">
        <v>0</v>
      </c>
      <c r="Y2294" s="283">
        <v>0</v>
      </c>
      <c r="Z2294" s="283">
        <v>1</v>
      </c>
      <c r="AA2294" s="283">
        <v>1</v>
      </c>
      <c r="AB2294" s="283">
        <v>1</v>
      </c>
      <c r="AC2294" s="316">
        <v>1</v>
      </c>
      <c r="AD2294" s="316">
        <v>1</v>
      </c>
      <c r="AE2294" s="302">
        <f t="shared" si="97"/>
        <v>0.75</v>
      </c>
      <c r="AF2294" s="17"/>
      <c r="AG2294" s="17">
        <v>0</v>
      </c>
      <c r="AH2294" s="17">
        <v>0</v>
      </c>
      <c r="AI2294" s="17">
        <v>0</v>
      </c>
      <c r="AJ2294" s="17">
        <v>0</v>
      </c>
      <c r="AK2294" s="153">
        <v>0</v>
      </c>
      <c r="AL2294" s="154">
        <v>0</v>
      </c>
      <c r="AM2294" s="147">
        <f t="shared" si="96"/>
        <v>0</v>
      </c>
      <c r="AN2294" s="283" t="s">
        <v>723</v>
      </c>
      <c r="AO2294" s="18" t="s">
        <v>729</v>
      </c>
      <c r="AP2294" s="283" t="s">
        <v>119</v>
      </c>
    </row>
    <row r="2295" spans="1:42" s="168" customFormat="1" x14ac:dyDescent="0.3">
      <c r="A2295" s="156" t="s">
        <v>1455</v>
      </c>
      <c r="B2295" s="162" t="s">
        <v>2061</v>
      </c>
      <c r="C2295" s="162">
        <v>113</v>
      </c>
      <c r="D2295" s="162" t="s">
        <v>2284</v>
      </c>
      <c r="E2295" s="162">
        <v>1134</v>
      </c>
      <c r="F2295" s="167" t="s">
        <v>2356</v>
      </c>
      <c r="G2295" s="168">
        <v>113406</v>
      </c>
      <c r="H2295" s="168" t="s">
        <v>2435</v>
      </c>
      <c r="K2295" s="168">
        <v>11340601</v>
      </c>
      <c r="L2295" s="168" t="s">
        <v>2436</v>
      </c>
      <c r="M2295" s="162" t="s">
        <v>2437</v>
      </c>
      <c r="N2295" s="445" t="s">
        <v>271</v>
      </c>
      <c r="O2295" s="445" t="s">
        <v>271</v>
      </c>
      <c r="P2295" s="169">
        <v>51767</v>
      </c>
      <c r="Q2295" s="169">
        <v>62121</v>
      </c>
      <c r="R2295" s="169">
        <v>82828</v>
      </c>
      <c r="S2295" s="169">
        <v>113888</v>
      </c>
      <c r="T2295" s="162" t="s">
        <v>2432</v>
      </c>
      <c r="U2295" s="283" t="s">
        <v>729</v>
      </c>
      <c r="V2295" s="170" t="s">
        <v>2438</v>
      </c>
      <c r="W2295" s="283">
        <v>1</v>
      </c>
      <c r="X2295" s="283">
        <v>0</v>
      </c>
      <c r="Y2295" s="283">
        <v>0</v>
      </c>
      <c r="Z2295" s="283">
        <v>1</v>
      </c>
      <c r="AA2295" s="283">
        <v>1</v>
      </c>
      <c r="AB2295" s="283">
        <v>0</v>
      </c>
      <c r="AC2295" s="316">
        <v>1</v>
      </c>
      <c r="AD2295" s="316">
        <v>1</v>
      </c>
      <c r="AE2295" s="302">
        <f t="shared" si="97"/>
        <v>0.625</v>
      </c>
      <c r="AF2295" s="171"/>
      <c r="AG2295" s="17">
        <v>0</v>
      </c>
      <c r="AH2295" s="171">
        <v>0</v>
      </c>
      <c r="AI2295" s="171">
        <v>0</v>
      </c>
      <c r="AJ2295" s="171">
        <v>0</v>
      </c>
      <c r="AK2295" s="172">
        <v>0</v>
      </c>
      <c r="AL2295" s="173">
        <v>0</v>
      </c>
      <c r="AM2295" s="147">
        <f t="shared" si="96"/>
        <v>0</v>
      </c>
      <c r="AN2295" s="162" t="s">
        <v>723</v>
      </c>
      <c r="AO2295" s="162" t="s">
        <v>729</v>
      </c>
      <c r="AP2295" s="162" t="s">
        <v>119</v>
      </c>
    </row>
    <row r="2296" spans="1:42" s="18" customFormat="1" x14ac:dyDescent="0.3">
      <c r="A2296" s="156" t="s">
        <v>1455</v>
      </c>
      <c r="B2296" s="18" t="s">
        <v>2061</v>
      </c>
      <c r="C2296" s="18">
        <v>114</v>
      </c>
      <c r="D2296" s="18" t="s">
        <v>2439</v>
      </c>
      <c r="E2296" s="18">
        <v>1145</v>
      </c>
      <c r="F2296" s="18" t="s">
        <v>2440</v>
      </c>
      <c r="G2296" s="18">
        <v>114501</v>
      </c>
      <c r="H2296" s="18" t="s">
        <v>2441</v>
      </c>
      <c r="K2296" s="162">
        <v>11450101</v>
      </c>
      <c r="L2296" s="1" t="s">
        <v>2442</v>
      </c>
      <c r="M2296" s="18" t="s">
        <v>2443</v>
      </c>
      <c r="N2296" s="430"/>
      <c r="O2296" s="430">
        <v>1</v>
      </c>
      <c r="P2296" s="19"/>
      <c r="Q2296" s="19"/>
      <c r="R2296" s="19"/>
      <c r="S2296" s="19"/>
      <c r="T2296" s="168" t="s">
        <v>239</v>
      </c>
      <c r="U2296" s="283" t="s">
        <v>241</v>
      </c>
      <c r="V2296" s="166" t="s">
        <v>2444</v>
      </c>
      <c r="W2296" s="18">
        <v>1</v>
      </c>
      <c r="X2296" s="18">
        <v>0</v>
      </c>
      <c r="Y2296" s="18">
        <v>0</v>
      </c>
      <c r="Z2296" s="18">
        <v>1</v>
      </c>
      <c r="AA2296" s="18">
        <v>1</v>
      </c>
      <c r="AB2296" s="18">
        <v>0</v>
      </c>
      <c r="AC2296" s="316">
        <v>1</v>
      </c>
      <c r="AD2296" s="316">
        <v>1</v>
      </c>
      <c r="AE2296" s="302">
        <f t="shared" si="97"/>
        <v>0.625</v>
      </c>
      <c r="AF2296" s="174"/>
      <c r="AG2296" s="17">
        <v>0</v>
      </c>
      <c r="AH2296" s="174">
        <v>0</v>
      </c>
      <c r="AI2296" s="174">
        <v>0</v>
      </c>
      <c r="AJ2296" s="174">
        <v>0.02</v>
      </c>
      <c r="AK2296" s="175">
        <v>0.05</v>
      </c>
      <c r="AL2296" s="175" t="s">
        <v>2089</v>
      </c>
      <c r="AM2296" s="147">
        <f t="shared" si="96"/>
        <v>0.05</v>
      </c>
      <c r="AN2296" s="1" t="s">
        <v>239</v>
      </c>
      <c r="AO2296" s="18" t="s">
        <v>241</v>
      </c>
      <c r="AP2296" s="1" t="s">
        <v>2445</v>
      </c>
    </row>
    <row r="2297" spans="1:42" s="18" customFormat="1" x14ac:dyDescent="0.3">
      <c r="A2297" s="156" t="s">
        <v>1455</v>
      </c>
      <c r="B2297" s="18" t="s">
        <v>2061</v>
      </c>
      <c r="C2297" s="18">
        <v>114</v>
      </c>
      <c r="D2297" s="18" t="s">
        <v>2439</v>
      </c>
      <c r="E2297" s="18">
        <v>1145</v>
      </c>
      <c r="F2297" s="18" t="s">
        <v>2440</v>
      </c>
      <c r="G2297" s="18">
        <v>114501</v>
      </c>
      <c r="H2297" s="18" t="s">
        <v>2441</v>
      </c>
      <c r="K2297" s="162">
        <v>11450101</v>
      </c>
      <c r="L2297" s="1" t="s">
        <v>2442</v>
      </c>
      <c r="M2297" s="18" t="s">
        <v>2446</v>
      </c>
      <c r="N2297" s="430">
        <v>0</v>
      </c>
      <c r="O2297" s="430"/>
      <c r="P2297" s="19"/>
      <c r="Q2297" s="19">
        <v>1</v>
      </c>
      <c r="R2297" s="19"/>
      <c r="S2297" s="19"/>
      <c r="T2297" s="168" t="s">
        <v>239</v>
      </c>
      <c r="U2297" s="283" t="s">
        <v>241</v>
      </c>
      <c r="V2297" s="166" t="s">
        <v>2447</v>
      </c>
      <c r="W2297" s="18">
        <v>1</v>
      </c>
      <c r="X2297" s="18">
        <v>0</v>
      </c>
      <c r="Y2297" s="18">
        <v>0</v>
      </c>
      <c r="Z2297" s="18">
        <v>1</v>
      </c>
      <c r="AA2297" s="18">
        <v>0</v>
      </c>
      <c r="AB2297" s="18">
        <v>1</v>
      </c>
      <c r="AC2297" s="316">
        <v>1</v>
      </c>
      <c r="AD2297" s="316">
        <v>1</v>
      </c>
      <c r="AE2297" s="302">
        <f t="shared" si="97"/>
        <v>0.625</v>
      </c>
      <c r="AF2297" s="174"/>
      <c r="AG2297" s="17">
        <v>0</v>
      </c>
      <c r="AH2297" s="174">
        <v>0.1</v>
      </c>
      <c r="AI2297" s="174">
        <v>0.2</v>
      </c>
      <c r="AJ2297" s="174">
        <v>0</v>
      </c>
      <c r="AK2297" s="175">
        <v>0</v>
      </c>
      <c r="AL2297" s="175" t="s">
        <v>2089</v>
      </c>
      <c r="AM2297" s="147">
        <f t="shared" si="96"/>
        <v>0</v>
      </c>
      <c r="AN2297" s="1" t="s">
        <v>239</v>
      </c>
      <c r="AO2297" s="18" t="s">
        <v>241</v>
      </c>
      <c r="AP2297" s="1" t="s">
        <v>2445</v>
      </c>
    </row>
    <row r="2298" spans="1:42" s="18" customFormat="1" x14ac:dyDescent="0.3">
      <c r="A2298" s="156" t="s">
        <v>1455</v>
      </c>
      <c r="B2298" s="18" t="s">
        <v>2061</v>
      </c>
      <c r="C2298" s="18">
        <v>114</v>
      </c>
      <c r="D2298" s="18" t="s">
        <v>2439</v>
      </c>
      <c r="E2298" s="18">
        <v>1145</v>
      </c>
      <c r="F2298" s="18" t="s">
        <v>2440</v>
      </c>
      <c r="G2298" s="18">
        <v>114501</v>
      </c>
      <c r="H2298" s="18" t="s">
        <v>2441</v>
      </c>
      <c r="K2298" s="162">
        <v>11450101</v>
      </c>
      <c r="L2298" s="1" t="s">
        <v>2442</v>
      </c>
      <c r="M2298" s="18" t="s">
        <v>2448</v>
      </c>
      <c r="N2298" s="430"/>
      <c r="O2298" s="430"/>
      <c r="P2298" s="19"/>
      <c r="Q2298" s="19"/>
      <c r="R2298" s="19"/>
      <c r="S2298" s="19">
        <v>1</v>
      </c>
      <c r="T2298" s="168" t="s">
        <v>239</v>
      </c>
      <c r="U2298" s="283" t="s">
        <v>241</v>
      </c>
      <c r="V2298" s="166" t="s">
        <v>2449</v>
      </c>
      <c r="W2298" s="18">
        <v>1</v>
      </c>
      <c r="X2298" s="18">
        <v>0</v>
      </c>
      <c r="Y2298" s="18">
        <v>0</v>
      </c>
      <c r="Z2298" s="18">
        <v>1</v>
      </c>
      <c r="AA2298" s="18">
        <v>1</v>
      </c>
      <c r="AB2298" s="18">
        <v>1</v>
      </c>
      <c r="AC2298" s="316">
        <v>0</v>
      </c>
      <c r="AD2298" s="316">
        <v>1</v>
      </c>
      <c r="AE2298" s="302">
        <f t="shared" si="97"/>
        <v>0.625</v>
      </c>
      <c r="AF2298" s="176"/>
      <c r="AG2298" s="17">
        <v>0</v>
      </c>
      <c r="AH2298" s="176">
        <v>0</v>
      </c>
      <c r="AI2298" s="174">
        <v>0.15</v>
      </c>
      <c r="AJ2298" s="174">
        <v>0.15</v>
      </c>
      <c r="AK2298" s="175">
        <v>0.15</v>
      </c>
      <c r="AL2298" s="177">
        <v>0</v>
      </c>
      <c r="AM2298" s="147">
        <f t="shared" si="96"/>
        <v>0.15</v>
      </c>
      <c r="AN2298" s="1" t="s">
        <v>239</v>
      </c>
      <c r="AO2298" s="18" t="s">
        <v>241</v>
      </c>
      <c r="AP2298" s="1" t="s">
        <v>2445</v>
      </c>
    </row>
    <row r="2299" spans="1:42" s="18" customFormat="1" x14ac:dyDescent="0.3">
      <c r="A2299" s="156" t="s">
        <v>1455</v>
      </c>
      <c r="B2299" s="18" t="s">
        <v>2061</v>
      </c>
      <c r="C2299" s="18">
        <v>114</v>
      </c>
      <c r="D2299" s="18" t="s">
        <v>2439</v>
      </c>
      <c r="E2299" s="18">
        <v>1145</v>
      </c>
      <c r="F2299" s="18" t="s">
        <v>2440</v>
      </c>
      <c r="G2299" s="18">
        <v>114501</v>
      </c>
      <c r="H2299" s="18" t="s">
        <v>2441</v>
      </c>
      <c r="K2299" s="162">
        <v>11450102</v>
      </c>
      <c r="L2299" s="1" t="s">
        <v>2450</v>
      </c>
      <c r="M2299" s="18" t="s">
        <v>2451</v>
      </c>
      <c r="N2299" s="430">
        <v>0</v>
      </c>
      <c r="O2299" s="430"/>
      <c r="P2299" s="19"/>
      <c r="Q2299" s="19"/>
      <c r="R2299" s="19">
        <v>1</v>
      </c>
      <c r="S2299" s="19"/>
      <c r="T2299" s="168" t="s">
        <v>239</v>
      </c>
      <c r="U2299" s="283" t="s">
        <v>241</v>
      </c>
      <c r="V2299" s="18" t="s">
        <v>2452</v>
      </c>
      <c r="W2299" s="18">
        <v>1</v>
      </c>
      <c r="X2299" s="18">
        <v>0</v>
      </c>
      <c r="Y2299" s="18">
        <v>0</v>
      </c>
      <c r="Z2299" s="18">
        <v>1</v>
      </c>
      <c r="AA2299" s="18">
        <v>0</v>
      </c>
      <c r="AB2299" s="18">
        <v>0</v>
      </c>
      <c r="AC2299" s="316">
        <v>1</v>
      </c>
      <c r="AD2299" s="316">
        <v>1</v>
      </c>
      <c r="AE2299" s="302">
        <f t="shared" si="97"/>
        <v>0.5</v>
      </c>
      <c r="AF2299" s="174"/>
      <c r="AG2299" s="17">
        <v>0</v>
      </c>
      <c r="AH2299" s="174">
        <v>0</v>
      </c>
      <c r="AI2299" s="174">
        <v>0</v>
      </c>
      <c r="AJ2299" s="174">
        <v>0.1</v>
      </c>
      <c r="AK2299" s="175">
        <v>0.2</v>
      </c>
      <c r="AL2299" s="175" t="s">
        <v>2089</v>
      </c>
      <c r="AM2299" s="147">
        <f t="shared" si="96"/>
        <v>0.2</v>
      </c>
      <c r="AN2299" s="1" t="s">
        <v>239</v>
      </c>
      <c r="AO2299" s="18" t="s">
        <v>241</v>
      </c>
      <c r="AP2299" s="1" t="s">
        <v>2445</v>
      </c>
    </row>
    <row r="2300" spans="1:42" s="18" customFormat="1" x14ac:dyDescent="0.3">
      <c r="A2300" s="156" t="s">
        <v>1455</v>
      </c>
      <c r="B2300" s="18" t="s">
        <v>2061</v>
      </c>
      <c r="C2300" s="18">
        <v>114</v>
      </c>
      <c r="D2300" s="18" t="s">
        <v>2439</v>
      </c>
      <c r="E2300" s="18">
        <v>1145</v>
      </c>
      <c r="F2300" s="18" t="s">
        <v>2440</v>
      </c>
      <c r="G2300" s="18">
        <v>114501</v>
      </c>
      <c r="H2300" s="18" t="s">
        <v>2441</v>
      </c>
      <c r="K2300" s="162">
        <v>11450102</v>
      </c>
      <c r="L2300" s="1" t="s">
        <v>2450</v>
      </c>
      <c r="M2300" s="18" t="s">
        <v>2453</v>
      </c>
      <c r="N2300" s="430">
        <v>0</v>
      </c>
      <c r="O2300" s="430"/>
      <c r="P2300" s="19"/>
      <c r="Q2300" s="19"/>
      <c r="R2300" s="19">
        <v>1</v>
      </c>
      <c r="S2300" s="19"/>
      <c r="T2300" s="168" t="s">
        <v>239</v>
      </c>
      <c r="U2300" s="283" t="s">
        <v>241</v>
      </c>
      <c r="V2300" s="18" t="s">
        <v>2454</v>
      </c>
      <c r="W2300" s="18">
        <v>1</v>
      </c>
      <c r="X2300" s="18">
        <v>0</v>
      </c>
      <c r="Y2300" s="18">
        <v>0</v>
      </c>
      <c r="Z2300" s="18">
        <v>1</v>
      </c>
      <c r="AA2300" s="18">
        <v>0</v>
      </c>
      <c r="AB2300" s="18">
        <v>0</v>
      </c>
      <c r="AC2300" s="316">
        <v>1</v>
      </c>
      <c r="AD2300" s="316">
        <v>1</v>
      </c>
      <c r="AE2300" s="302">
        <f t="shared" si="97"/>
        <v>0.5</v>
      </c>
      <c r="AF2300" s="174"/>
      <c r="AG2300" s="17">
        <v>0</v>
      </c>
      <c r="AH2300" s="174">
        <v>0</v>
      </c>
      <c r="AI2300" s="174">
        <v>0</v>
      </c>
      <c r="AJ2300" s="174">
        <v>0.05</v>
      </c>
      <c r="AK2300" s="175">
        <v>0.2</v>
      </c>
      <c r="AL2300" s="175" t="s">
        <v>2089</v>
      </c>
      <c r="AM2300" s="147">
        <f t="shared" si="96"/>
        <v>0.2</v>
      </c>
      <c r="AN2300" s="1" t="s">
        <v>239</v>
      </c>
      <c r="AO2300" s="18" t="s">
        <v>241</v>
      </c>
      <c r="AP2300" s="1" t="s">
        <v>2445</v>
      </c>
    </row>
    <row r="2301" spans="1:42" s="18" customFormat="1" x14ac:dyDescent="0.3">
      <c r="A2301" s="156" t="s">
        <v>1455</v>
      </c>
      <c r="B2301" s="18" t="s">
        <v>2061</v>
      </c>
      <c r="C2301" s="18">
        <v>114</v>
      </c>
      <c r="D2301" s="18" t="s">
        <v>2439</v>
      </c>
      <c r="E2301" s="18">
        <v>1145</v>
      </c>
      <c r="F2301" s="18" t="s">
        <v>2440</v>
      </c>
      <c r="G2301" s="18">
        <v>114501</v>
      </c>
      <c r="H2301" s="18" t="s">
        <v>2441</v>
      </c>
      <c r="K2301" s="162">
        <v>11450103</v>
      </c>
      <c r="L2301" s="1" t="s">
        <v>2455</v>
      </c>
      <c r="M2301" s="18" t="s">
        <v>2456</v>
      </c>
      <c r="N2301" s="430">
        <v>0</v>
      </c>
      <c r="O2301" s="430"/>
      <c r="P2301" s="19"/>
      <c r="Q2301" s="19">
        <v>1</v>
      </c>
      <c r="R2301" s="19"/>
      <c r="S2301" s="19"/>
      <c r="T2301" s="168" t="s">
        <v>239</v>
      </c>
      <c r="U2301" s="283" t="s">
        <v>241</v>
      </c>
      <c r="V2301" s="90" t="s">
        <v>2457</v>
      </c>
      <c r="AC2301" s="316">
        <v>0</v>
      </c>
      <c r="AD2301" s="316">
        <v>0</v>
      </c>
      <c r="AE2301" s="302">
        <f t="shared" si="97"/>
        <v>0</v>
      </c>
      <c r="AF2301" s="174"/>
      <c r="AG2301" s="17">
        <v>0</v>
      </c>
      <c r="AH2301" s="174">
        <v>0</v>
      </c>
      <c r="AI2301" s="174">
        <v>0.2</v>
      </c>
      <c r="AJ2301" s="174">
        <v>0.1</v>
      </c>
      <c r="AK2301" s="175">
        <v>0</v>
      </c>
      <c r="AL2301" s="175" t="s">
        <v>2089</v>
      </c>
      <c r="AM2301" s="147">
        <f t="shared" si="96"/>
        <v>0</v>
      </c>
      <c r="AN2301" s="18" t="s">
        <v>239</v>
      </c>
      <c r="AO2301" s="18" t="s">
        <v>241</v>
      </c>
      <c r="AP2301" s="1" t="s">
        <v>2361</v>
      </c>
    </row>
    <row r="2302" spans="1:42" s="18" customFormat="1" x14ac:dyDescent="0.3">
      <c r="A2302" s="156" t="s">
        <v>1455</v>
      </c>
      <c r="B2302" s="18" t="s">
        <v>2061</v>
      </c>
      <c r="C2302" s="18">
        <v>114</v>
      </c>
      <c r="D2302" s="18" t="s">
        <v>2439</v>
      </c>
      <c r="E2302" s="18">
        <v>1145</v>
      </c>
      <c r="F2302" s="18" t="s">
        <v>2440</v>
      </c>
      <c r="G2302" s="18">
        <v>114502</v>
      </c>
      <c r="H2302" s="18" t="s">
        <v>2458</v>
      </c>
      <c r="K2302" s="18">
        <v>11450201</v>
      </c>
      <c r="L2302" s="18" t="s">
        <v>2459</v>
      </c>
      <c r="M2302" s="18" t="s">
        <v>2460</v>
      </c>
      <c r="N2302" s="443">
        <v>0</v>
      </c>
      <c r="O2302" s="443"/>
      <c r="P2302" s="178"/>
      <c r="Q2302" s="178">
        <v>1</v>
      </c>
      <c r="R2302" s="178"/>
      <c r="S2302" s="178"/>
      <c r="T2302" s="168" t="s">
        <v>239</v>
      </c>
      <c r="U2302" s="283" t="s">
        <v>241</v>
      </c>
      <c r="V2302" s="14" t="s">
        <v>2461</v>
      </c>
      <c r="W2302" s="14">
        <v>1</v>
      </c>
      <c r="X2302" s="14">
        <v>0</v>
      </c>
      <c r="Y2302" s="14"/>
      <c r="Z2302" s="14">
        <v>1</v>
      </c>
      <c r="AA2302" s="14">
        <v>0</v>
      </c>
      <c r="AB2302" s="14">
        <v>0</v>
      </c>
      <c r="AC2302" s="316">
        <v>1</v>
      </c>
      <c r="AD2302" s="316">
        <v>1</v>
      </c>
      <c r="AE2302" s="302">
        <f t="shared" si="97"/>
        <v>0.5</v>
      </c>
      <c r="AF2302" s="174"/>
      <c r="AG2302" s="17">
        <v>0</v>
      </c>
      <c r="AH2302" s="174">
        <v>0</v>
      </c>
      <c r="AI2302" s="174">
        <v>0.06</v>
      </c>
      <c r="AJ2302" s="174">
        <v>0.04</v>
      </c>
      <c r="AK2302" s="175">
        <v>0</v>
      </c>
      <c r="AL2302" s="175" t="s">
        <v>2089</v>
      </c>
      <c r="AM2302" s="147">
        <f t="shared" si="96"/>
        <v>0</v>
      </c>
      <c r="AN2302" s="1" t="s">
        <v>239</v>
      </c>
      <c r="AO2302" s="18" t="s">
        <v>241</v>
      </c>
      <c r="AP2302" s="1" t="s">
        <v>1083</v>
      </c>
    </row>
    <row r="2303" spans="1:42" s="18" customFormat="1" x14ac:dyDescent="0.3">
      <c r="A2303" s="156" t="s">
        <v>1455</v>
      </c>
      <c r="B2303" s="18" t="s">
        <v>2061</v>
      </c>
      <c r="C2303" s="18">
        <v>114</v>
      </c>
      <c r="D2303" s="18" t="s">
        <v>2439</v>
      </c>
      <c r="E2303" s="18">
        <v>1145</v>
      </c>
      <c r="F2303" s="18" t="s">
        <v>2440</v>
      </c>
      <c r="G2303" s="18">
        <v>114502</v>
      </c>
      <c r="H2303" s="18" t="s">
        <v>2458</v>
      </c>
      <c r="K2303" s="18">
        <v>11450201</v>
      </c>
      <c r="L2303" s="18" t="s">
        <v>2459</v>
      </c>
      <c r="M2303" s="18" t="s">
        <v>2462</v>
      </c>
      <c r="N2303" s="443">
        <v>0</v>
      </c>
      <c r="O2303" s="443"/>
      <c r="P2303" s="178"/>
      <c r="Q2303" s="178"/>
      <c r="R2303" s="178">
        <v>1</v>
      </c>
      <c r="S2303" s="178"/>
      <c r="T2303" s="168" t="s">
        <v>239</v>
      </c>
      <c r="U2303" s="283" t="s">
        <v>241</v>
      </c>
      <c r="V2303" s="168" t="s">
        <v>2463</v>
      </c>
      <c r="W2303" s="14">
        <v>1</v>
      </c>
      <c r="X2303" s="14">
        <v>0</v>
      </c>
      <c r="Y2303" s="14">
        <v>0</v>
      </c>
      <c r="Z2303" s="14">
        <v>1</v>
      </c>
      <c r="AA2303" s="14">
        <v>0</v>
      </c>
      <c r="AB2303" s="14">
        <v>0</v>
      </c>
      <c r="AC2303" s="316">
        <v>1</v>
      </c>
      <c r="AD2303" s="316">
        <v>1</v>
      </c>
      <c r="AE2303" s="302">
        <f t="shared" si="97"/>
        <v>0.5</v>
      </c>
      <c r="AF2303" s="174"/>
      <c r="AG2303" s="17">
        <v>0</v>
      </c>
      <c r="AH2303" s="174">
        <v>0.08</v>
      </c>
      <c r="AI2303" s="174">
        <v>0</v>
      </c>
      <c r="AJ2303" s="174">
        <v>0</v>
      </c>
      <c r="AK2303" s="175">
        <v>0</v>
      </c>
      <c r="AL2303" s="175" t="s">
        <v>2089</v>
      </c>
      <c r="AM2303" s="147">
        <f t="shared" si="96"/>
        <v>0</v>
      </c>
      <c r="AN2303" s="1" t="s">
        <v>239</v>
      </c>
      <c r="AO2303" s="18" t="s">
        <v>241</v>
      </c>
      <c r="AP2303" s="1" t="s">
        <v>119</v>
      </c>
    </row>
    <row r="2304" spans="1:42" s="18" customFormat="1" x14ac:dyDescent="0.3">
      <c r="A2304" s="156" t="s">
        <v>1455</v>
      </c>
      <c r="B2304" s="18" t="s">
        <v>2061</v>
      </c>
      <c r="C2304" s="18">
        <v>114</v>
      </c>
      <c r="D2304" s="18" t="s">
        <v>2439</v>
      </c>
      <c r="E2304" s="18">
        <v>1145</v>
      </c>
      <c r="F2304" s="18" t="s">
        <v>2440</v>
      </c>
      <c r="G2304" s="18">
        <v>114502</v>
      </c>
      <c r="H2304" s="18" t="s">
        <v>2458</v>
      </c>
      <c r="K2304" s="18">
        <v>11450201</v>
      </c>
      <c r="L2304" s="18" t="s">
        <v>2459</v>
      </c>
      <c r="M2304" s="18" t="s">
        <v>2464</v>
      </c>
      <c r="N2304" s="443">
        <v>0</v>
      </c>
      <c r="O2304" s="443"/>
      <c r="P2304" s="178">
        <v>1</v>
      </c>
      <c r="Q2304" s="178">
        <v>2</v>
      </c>
      <c r="R2304" s="178"/>
      <c r="S2304" s="178"/>
      <c r="T2304" s="18" t="s">
        <v>239</v>
      </c>
      <c r="U2304" s="283" t="s">
        <v>241</v>
      </c>
      <c r="V2304" s="179" t="s">
        <v>2465</v>
      </c>
      <c r="W2304" s="168"/>
      <c r="X2304" s="168"/>
      <c r="Y2304" s="168"/>
      <c r="Z2304" s="168"/>
      <c r="AA2304" s="168"/>
      <c r="AB2304" s="168"/>
      <c r="AC2304" s="316">
        <v>0</v>
      </c>
      <c r="AD2304" s="316">
        <v>0</v>
      </c>
      <c r="AE2304" s="302">
        <f t="shared" si="97"/>
        <v>0</v>
      </c>
      <c r="AF2304" s="174"/>
      <c r="AG2304" s="17">
        <v>0</v>
      </c>
      <c r="AH2304" s="174">
        <v>0.4</v>
      </c>
      <c r="AI2304" s="174">
        <v>0</v>
      </c>
      <c r="AJ2304" s="174">
        <v>0</v>
      </c>
      <c r="AK2304" s="175">
        <v>0</v>
      </c>
      <c r="AL2304" s="175" t="s">
        <v>2089</v>
      </c>
      <c r="AM2304" s="147">
        <f t="shared" si="96"/>
        <v>0</v>
      </c>
      <c r="AN2304" s="1" t="s">
        <v>239</v>
      </c>
      <c r="AO2304" s="18" t="s">
        <v>241</v>
      </c>
      <c r="AP2304" s="1" t="s">
        <v>2361</v>
      </c>
    </row>
    <row r="2305" spans="1:42" s="18" customFormat="1" x14ac:dyDescent="0.3">
      <c r="A2305" s="156" t="s">
        <v>1455</v>
      </c>
      <c r="B2305" s="18" t="s">
        <v>2061</v>
      </c>
      <c r="C2305" s="18">
        <v>114</v>
      </c>
      <c r="D2305" s="18" t="s">
        <v>2439</v>
      </c>
      <c r="E2305" s="18">
        <v>1145</v>
      </c>
      <c r="F2305" s="18" t="s">
        <v>2440</v>
      </c>
      <c r="G2305" s="18">
        <v>114502</v>
      </c>
      <c r="H2305" s="18" t="s">
        <v>2458</v>
      </c>
      <c r="K2305" s="18">
        <v>11450201</v>
      </c>
      <c r="L2305" s="18" t="s">
        <v>2459</v>
      </c>
      <c r="M2305" s="18" t="s">
        <v>2466</v>
      </c>
      <c r="N2305" s="443">
        <v>0</v>
      </c>
      <c r="O2305" s="443">
        <v>1</v>
      </c>
      <c r="P2305" s="178"/>
      <c r="Q2305" s="178"/>
      <c r="R2305" s="178"/>
      <c r="S2305" s="178"/>
      <c r="T2305" s="168" t="s">
        <v>239</v>
      </c>
      <c r="U2305" s="283" t="s">
        <v>241</v>
      </c>
      <c r="V2305" s="168" t="s">
        <v>2467</v>
      </c>
      <c r="W2305" s="14">
        <v>1</v>
      </c>
      <c r="X2305" s="14">
        <v>0</v>
      </c>
      <c r="Y2305" s="14">
        <v>0</v>
      </c>
      <c r="Z2305" s="14">
        <v>1</v>
      </c>
      <c r="AA2305" s="14">
        <v>0</v>
      </c>
      <c r="AB2305" s="14">
        <v>0</v>
      </c>
      <c r="AC2305" s="316">
        <v>1</v>
      </c>
      <c r="AD2305" s="316">
        <v>1</v>
      </c>
      <c r="AE2305" s="302">
        <f t="shared" si="97"/>
        <v>0.5</v>
      </c>
      <c r="AF2305" s="174"/>
      <c r="AG2305" s="17">
        <v>0</v>
      </c>
      <c r="AH2305" s="174">
        <v>0.08</v>
      </c>
      <c r="AI2305" s="174">
        <v>7.0000000000000007E-2</v>
      </c>
      <c r="AJ2305" s="174">
        <v>0</v>
      </c>
      <c r="AK2305" s="175">
        <v>0</v>
      </c>
      <c r="AL2305" s="175" t="s">
        <v>2089</v>
      </c>
      <c r="AM2305" s="147">
        <f t="shared" si="96"/>
        <v>0</v>
      </c>
      <c r="AN2305" s="1" t="s">
        <v>239</v>
      </c>
      <c r="AO2305" s="18" t="s">
        <v>241</v>
      </c>
      <c r="AP2305" s="1" t="s">
        <v>119</v>
      </c>
    </row>
    <row r="2306" spans="1:42" s="18" customFormat="1" x14ac:dyDescent="0.3">
      <c r="A2306" s="156" t="s">
        <v>1455</v>
      </c>
      <c r="B2306" s="18" t="s">
        <v>2061</v>
      </c>
      <c r="C2306" s="18">
        <v>114</v>
      </c>
      <c r="D2306" s="18" t="s">
        <v>2439</v>
      </c>
      <c r="E2306" s="18">
        <v>1145</v>
      </c>
      <c r="F2306" s="18" t="s">
        <v>2440</v>
      </c>
      <c r="G2306" s="18">
        <v>114502</v>
      </c>
      <c r="H2306" s="18" t="s">
        <v>2458</v>
      </c>
      <c r="K2306" s="18">
        <v>11450201</v>
      </c>
      <c r="L2306" s="18" t="s">
        <v>2459</v>
      </c>
      <c r="M2306" s="18" t="s">
        <v>2468</v>
      </c>
      <c r="N2306" s="443">
        <v>0</v>
      </c>
      <c r="O2306" s="443"/>
      <c r="P2306" s="178"/>
      <c r="Q2306" s="178"/>
      <c r="R2306" s="178">
        <v>1</v>
      </c>
      <c r="S2306" s="178"/>
      <c r="T2306" s="168" t="s">
        <v>239</v>
      </c>
      <c r="U2306" s="283" t="s">
        <v>241</v>
      </c>
      <c r="V2306" s="168" t="s">
        <v>2469</v>
      </c>
      <c r="W2306" s="14">
        <v>1</v>
      </c>
      <c r="X2306" s="14">
        <v>0</v>
      </c>
      <c r="Y2306" s="14">
        <v>0</v>
      </c>
      <c r="Z2306" s="14">
        <v>1</v>
      </c>
      <c r="AA2306" s="14">
        <v>0</v>
      </c>
      <c r="AB2306" s="14">
        <v>0</v>
      </c>
      <c r="AC2306" s="316">
        <v>1</v>
      </c>
      <c r="AD2306" s="316">
        <v>1</v>
      </c>
      <c r="AE2306" s="302">
        <f t="shared" si="97"/>
        <v>0.5</v>
      </c>
      <c r="AF2306" s="174"/>
      <c r="AG2306" s="17">
        <v>0</v>
      </c>
      <c r="AH2306" s="174">
        <v>0</v>
      </c>
      <c r="AI2306" s="174">
        <v>0</v>
      </c>
      <c r="AJ2306" s="174">
        <v>0</v>
      </c>
      <c r="AK2306" s="175">
        <v>0.14000000000000001</v>
      </c>
      <c r="AL2306" s="175">
        <v>0.11</v>
      </c>
      <c r="AM2306" s="147">
        <f t="shared" si="96"/>
        <v>0.25</v>
      </c>
      <c r="AN2306" s="1" t="s">
        <v>239</v>
      </c>
      <c r="AO2306" s="18" t="s">
        <v>241</v>
      </c>
      <c r="AP2306" s="1" t="s">
        <v>119</v>
      </c>
    </row>
    <row r="2307" spans="1:42" s="18" customFormat="1" x14ac:dyDescent="0.3">
      <c r="A2307" s="156" t="s">
        <v>1455</v>
      </c>
      <c r="B2307" s="18" t="s">
        <v>2061</v>
      </c>
      <c r="C2307" s="18">
        <v>114</v>
      </c>
      <c r="D2307" s="18" t="s">
        <v>2439</v>
      </c>
      <c r="E2307" s="18">
        <v>1145</v>
      </c>
      <c r="F2307" s="18" t="s">
        <v>2440</v>
      </c>
      <c r="G2307" s="18">
        <v>114502</v>
      </c>
      <c r="H2307" s="18" t="s">
        <v>2458</v>
      </c>
      <c r="K2307" s="18">
        <v>11450201</v>
      </c>
      <c r="L2307" s="18" t="s">
        <v>2459</v>
      </c>
      <c r="M2307" s="18" t="s">
        <v>2470</v>
      </c>
      <c r="N2307" s="430">
        <v>0</v>
      </c>
      <c r="O2307" s="430"/>
      <c r="P2307" s="19"/>
      <c r="Q2307" s="19"/>
      <c r="R2307" s="19">
        <v>1</v>
      </c>
      <c r="S2307" s="19"/>
      <c r="T2307" s="18" t="s">
        <v>2087</v>
      </c>
      <c r="U2307" s="283" t="e">
        <v>#N/A</v>
      </c>
      <c r="V2307" s="168" t="s">
        <v>2471</v>
      </c>
      <c r="W2307" s="14">
        <v>1</v>
      </c>
      <c r="X2307" s="14">
        <v>0</v>
      </c>
      <c r="Y2307" s="14">
        <v>0</v>
      </c>
      <c r="Z2307" s="14">
        <v>1</v>
      </c>
      <c r="AA2307" s="14">
        <v>0</v>
      </c>
      <c r="AB2307" s="14">
        <v>0</v>
      </c>
      <c r="AC2307" s="316">
        <v>1</v>
      </c>
      <c r="AD2307" s="316">
        <v>1</v>
      </c>
      <c r="AE2307" s="302">
        <f t="shared" si="97"/>
        <v>0.5</v>
      </c>
      <c r="AF2307" s="174"/>
      <c r="AG2307" s="17">
        <v>0</v>
      </c>
      <c r="AH2307" s="174">
        <v>0</v>
      </c>
      <c r="AI2307" s="174">
        <v>0</v>
      </c>
      <c r="AJ2307" s="174">
        <v>0.1</v>
      </c>
      <c r="AK2307" s="175">
        <v>0.1</v>
      </c>
      <c r="AL2307" s="175" t="s">
        <v>2089</v>
      </c>
      <c r="AM2307" s="147">
        <f t="shared" si="96"/>
        <v>0.1</v>
      </c>
      <c r="AN2307" s="1" t="s">
        <v>239</v>
      </c>
      <c r="AO2307" s="18" t="s">
        <v>241</v>
      </c>
      <c r="AP2307" s="1" t="s">
        <v>2361</v>
      </c>
    </row>
    <row r="2308" spans="1:42" s="18" customFormat="1" x14ac:dyDescent="0.3">
      <c r="A2308" s="156" t="s">
        <v>1455</v>
      </c>
      <c r="B2308" s="18" t="s">
        <v>2061</v>
      </c>
      <c r="C2308" s="18">
        <v>114</v>
      </c>
      <c r="D2308" s="18" t="s">
        <v>2439</v>
      </c>
      <c r="E2308" s="18">
        <v>1145</v>
      </c>
      <c r="F2308" s="18" t="s">
        <v>2440</v>
      </c>
      <c r="G2308" s="18">
        <v>114502</v>
      </c>
      <c r="H2308" s="18" t="s">
        <v>2458</v>
      </c>
      <c r="K2308" s="18">
        <v>11450201</v>
      </c>
      <c r="L2308" s="18" t="s">
        <v>2459</v>
      </c>
      <c r="M2308" s="18" t="s">
        <v>2472</v>
      </c>
      <c r="N2308" s="430">
        <v>0</v>
      </c>
      <c r="O2308" s="430"/>
      <c r="P2308" s="19">
        <v>1</v>
      </c>
      <c r="Q2308" s="19"/>
      <c r="R2308" s="19"/>
      <c r="S2308" s="19"/>
      <c r="U2308" s="283" t="e">
        <v>#N/A</v>
      </c>
      <c r="V2308" s="14" t="s">
        <v>2473</v>
      </c>
      <c r="W2308" s="14"/>
      <c r="X2308" s="14"/>
      <c r="Y2308" s="14"/>
      <c r="Z2308" s="14"/>
      <c r="AA2308" s="14"/>
      <c r="AB2308" s="14"/>
      <c r="AC2308" s="316">
        <v>0</v>
      </c>
      <c r="AD2308" s="316">
        <v>0</v>
      </c>
      <c r="AE2308" s="302">
        <f t="shared" si="97"/>
        <v>0</v>
      </c>
      <c r="AF2308" s="174"/>
      <c r="AG2308" s="17">
        <v>0</v>
      </c>
      <c r="AH2308" s="174">
        <v>0</v>
      </c>
      <c r="AI2308" s="174">
        <v>0</v>
      </c>
      <c r="AJ2308" s="174">
        <v>0.2</v>
      </c>
      <c r="AK2308" s="175">
        <v>0.05</v>
      </c>
      <c r="AL2308" s="175" t="s">
        <v>2089</v>
      </c>
      <c r="AM2308" s="147">
        <f t="shared" si="96"/>
        <v>0.05</v>
      </c>
      <c r="AN2308" s="1" t="s">
        <v>239</v>
      </c>
      <c r="AO2308" s="18" t="s">
        <v>241</v>
      </c>
      <c r="AP2308" s="1" t="s">
        <v>2474</v>
      </c>
    </row>
    <row r="2309" spans="1:42" s="18" customFormat="1" x14ac:dyDescent="0.3">
      <c r="A2309" s="156" t="s">
        <v>1455</v>
      </c>
      <c r="B2309" s="18" t="s">
        <v>2061</v>
      </c>
      <c r="C2309" s="18">
        <v>114</v>
      </c>
      <c r="D2309" s="18" t="s">
        <v>2439</v>
      </c>
      <c r="E2309" s="18">
        <v>1145</v>
      </c>
      <c r="F2309" s="18" t="s">
        <v>2440</v>
      </c>
      <c r="G2309" s="18">
        <v>114502</v>
      </c>
      <c r="H2309" s="18" t="s">
        <v>2458</v>
      </c>
      <c r="K2309" s="18">
        <v>11450201</v>
      </c>
      <c r="L2309" s="18" t="s">
        <v>2459</v>
      </c>
      <c r="M2309" s="18" t="s">
        <v>2475</v>
      </c>
      <c r="N2309" s="430">
        <v>0</v>
      </c>
      <c r="O2309" s="430"/>
      <c r="P2309" s="19">
        <v>1</v>
      </c>
      <c r="Q2309" s="19"/>
      <c r="R2309" s="19"/>
      <c r="S2309" s="19"/>
      <c r="U2309" s="283" t="e">
        <v>#N/A</v>
      </c>
      <c r="V2309" s="168" t="s">
        <v>2476</v>
      </c>
      <c r="W2309" s="14">
        <v>1</v>
      </c>
      <c r="X2309" s="14">
        <v>0</v>
      </c>
      <c r="Y2309" s="14">
        <v>0</v>
      </c>
      <c r="Z2309" s="14">
        <v>1</v>
      </c>
      <c r="AA2309" s="14">
        <v>0</v>
      </c>
      <c r="AB2309" s="14">
        <v>0</v>
      </c>
      <c r="AC2309" s="316">
        <v>1</v>
      </c>
      <c r="AD2309" s="316">
        <v>1</v>
      </c>
      <c r="AE2309" s="302">
        <f t="shared" si="97"/>
        <v>0.5</v>
      </c>
      <c r="AF2309" s="174"/>
      <c r="AG2309" s="17">
        <v>0</v>
      </c>
      <c r="AH2309" s="174">
        <v>0</v>
      </c>
      <c r="AI2309" s="174">
        <v>0</v>
      </c>
      <c r="AJ2309" s="174">
        <v>0.1</v>
      </c>
      <c r="AK2309" s="175">
        <v>0.1</v>
      </c>
      <c r="AL2309" s="175" t="s">
        <v>2089</v>
      </c>
      <c r="AM2309" s="147">
        <f t="shared" si="96"/>
        <v>0.1</v>
      </c>
      <c r="AN2309" s="1" t="s">
        <v>239</v>
      </c>
      <c r="AO2309" s="18" t="s">
        <v>241</v>
      </c>
      <c r="AP2309" s="1" t="s">
        <v>119</v>
      </c>
    </row>
    <row r="2310" spans="1:42" s="18" customFormat="1" x14ac:dyDescent="0.3">
      <c r="A2310" s="156" t="s">
        <v>1455</v>
      </c>
      <c r="B2310" s="18" t="s">
        <v>2061</v>
      </c>
      <c r="C2310" s="18">
        <v>114</v>
      </c>
      <c r="D2310" s="18" t="s">
        <v>2439</v>
      </c>
      <c r="E2310" s="18">
        <v>1145</v>
      </c>
      <c r="F2310" s="18" t="s">
        <v>2440</v>
      </c>
      <c r="G2310" s="18">
        <v>114502</v>
      </c>
      <c r="H2310" s="18" t="s">
        <v>2458</v>
      </c>
      <c r="K2310" s="18">
        <v>11450201</v>
      </c>
      <c r="L2310" s="18" t="s">
        <v>2459</v>
      </c>
      <c r="M2310" s="18" t="s">
        <v>2477</v>
      </c>
      <c r="N2310" s="443">
        <v>0</v>
      </c>
      <c r="O2310" s="443">
        <v>1</v>
      </c>
      <c r="P2310" s="178"/>
      <c r="Q2310" s="178"/>
      <c r="R2310" s="178"/>
      <c r="S2310" s="178"/>
      <c r="T2310" s="168" t="s">
        <v>239</v>
      </c>
      <c r="U2310" s="283" t="s">
        <v>241</v>
      </c>
      <c r="V2310" s="179" t="s">
        <v>2478</v>
      </c>
      <c r="W2310" s="168"/>
      <c r="X2310" s="168"/>
      <c r="Y2310" s="168"/>
      <c r="Z2310" s="168"/>
      <c r="AA2310" s="168"/>
      <c r="AB2310" s="168"/>
      <c r="AC2310" s="316">
        <v>0</v>
      </c>
      <c r="AD2310" s="316">
        <v>0</v>
      </c>
      <c r="AE2310" s="302">
        <f t="shared" si="97"/>
        <v>0</v>
      </c>
      <c r="AF2310" s="174"/>
      <c r="AG2310" s="17">
        <v>0</v>
      </c>
      <c r="AH2310" s="174">
        <v>0</v>
      </c>
      <c r="AI2310" s="174">
        <v>0.08</v>
      </c>
      <c r="AJ2310" s="174">
        <v>0</v>
      </c>
      <c r="AK2310" s="175">
        <v>0</v>
      </c>
      <c r="AL2310" s="175" t="s">
        <v>2089</v>
      </c>
      <c r="AM2310" s="147">
        <f t="shared" si="96"/>
        <v>0</v>
      </c>
      <c r="AN2310" s="1" t="s">
        <v>239</v>
      </c>
      <c r="AO2310" s="18" t="s">
        <v>241</v>
      </c>
      <c r="AP2310" s="1" t="s">
        <v>119</v>
      </c>
    </row>
    <row r="2311" spans="1:42" s="18" customFormat="1" x14ac:dyDescent="0.3">
      <c r="A2311" s="156" t="s">
        <v>1455</v>
      </c>
      <c r="B2311" s="18" t="s">
        <v>2061</v>
      </c>
      <c r="C2311" s="18">
        <v>114</v>
      </c>
      <c r="D2311" s="18" t="s">
        <v>2439</v>
      </c>
      <c r="E2311" s="18">
        <v>1145</v>
      </c>
      <c r="F2311" s="18" t="s">
        <v>2440</v>
      </c>
      <c r="G2311" s="18">
        <v>114502</v>
      </c>
      <c r="H2311" s="18" t="s">
        <v>2458</v>
      </c>
      <c r="K2311" s="18">
        <v>11450201</v>
      </c>
      <c r="L2311" s="18" t="s">
        <v>2459</v>
      </c>
      <c r="M2311" s="18" t="s">
        <v>2479</v>
      </c>
      <c r="N2311" s="443">
        <v>0</v>
      </c>
      <c r="O2311" s="443"/>
      <c r="P2311" s="178"/>
      <c r="Q2311" s="178"/>
      <c r="R2311" s="178"/>
      <c r="S2311" s="178">
        <v>1</v>
      </c>
      <c r="T2311" s="168" t="s">
        <v>239</v>
      </c>
      <c r="U2311" s="283" t="s">
        <v>241</v>
      </c>
      <c r="V2311" s="170" t="s">
        <v>2480</v>
      </c>
      <c r="W2311" s="14">
        <v>1</v>
      </c>
      <c r="X2311" s="14">
        <v>0</v>
      </c>
      <c r="Y2311" s="14">
        <v>0</v>
      </c>
      <c r="Z2311" s="14">
        <v>1</v>
      </c>
      <c r="AA2311" s="14">
        <v>1</v>
      </c>
      <c r="AB2311" s="14">
        <v>0</v>
      </c>
      <c r="AC2311" s="316">
        <v>1</v>
      </c>
      <c r="AD2311" s="316">
        <v>1</v>
      </c>
      <c r="AE2311" s="302">
        <f t="shared" si="97"/>
        <v>0.625</v>
      </c>
      <c r="AF2311" s="174"/>
      <c r="AG2311" s="17">
        <v>0</v>
      </c>
      <c r="AH2311" s="174">
        <v>0.05</v>
      </c>
      <c r="AI2311" s="174">
        <v>0.3</v>
      </c>
      <c r="AJ2311" s="174">
        <v>0.3</v>
      </c>
      <c r="AK2311" s="175">
        <v>0.1</v>
      </c>
      <c r="AL2311" s="175" t="s">
        <v>2089</v>
      </c>
      <c r="AM2311" s="147">
        <f t="shared" si="96"/>
        <v>0.1</v>
      </c>
      <c r="AN2311" s="1" t="s">
        <v>239</v>
      </c>
      <c r="AO2311" s="18" t="s">
        <v>241</v>
      </c>
      <c r="AP2311" s="1" t="s">
        <v>119</v>
      </c>
    </row>
    <row r="2312" spans="1:42" s="18" customFormat="1" x14ac:dyDescent="0.3">
      <c r="A2312" s="156" t="s">
        <v>1455</v>
      </c>
      <c r="B2312" s="18" t="s">
        <v>2061</v>
      </c>
      <c r="C2312" s="18">
        <v>114</v>
      </c>
      <c r="D2312" s="18" t="s">
        <v>2439</v>
      </c>
      <c r="E2312" s="18">
        <v>1145</v>
      </c>
      <c r="F2312" s="18" t="s">
        <v>2440</v>
      </c>
      <c r="G2312" s="18">
        <v>114502</v>
      </c>
      <c r="H2312" s="18" t="s">
        <v>2458</v>
      </c>
      <c r="K2312" s="18">
        <v>11450201</v>
      </c>
      <c r="L2312" s="18" t="s">
        <v>2459</v>
      </c>
      <c r="M2312" s="18" t="s">
        <v>2481</v>
      </c>
      <c r="N2312" s="443"/>
      <c r="O2312" s="443"/>
      <c r="P2312" s="178"/>
      <c r="Q2312" s="178"/>
      <c r="R2312" s="178"/>
      <c r="S2312" s="178">
        <v>1</v>
      </c>
      <c r="T2312" s="168" t="s">
        <v>239</v>
      </c>
      <c r="U2312" s="283" t="s">
        <v>241</v>
      </c>
      <c r="V2312" s="168" t="s">
        <v>2482</v>
      </c>
      <c r="W2312" s="14">
        <v>1</v>
      </c>
      <c r="X2312" s="14">
        <v>0</v>
      </c>
      <c r="Y2312" s="14">
        <v>0</v>
      </c>
      <c r="Z2312" s="14">
        <v>1</v>
      </c>
      <c r="AA2312" s="14">
        <v>0</v>
      </c>
      <c r="AB2312" s="14">
        <v>0</v>
      </c>
      <c r="AC2312" s="316">
        <v>1</v>
      </c>
      <c r="AD2312" s="316">
        <v>1</v>
      </c>
      <c r="AE2312" s="302">
        <f t="shared" si="97"/>
        <v>0.5</v>
      </c>
      <c r="AF2312" s="174"/>
      <c r="AG2312" s="17">
        <v>0</v>
      </c>
      <c r="AH2312" s="174">
        <v>0</v>
      </c>
      <c r="AI2312" s="174">
        <v>0.2</v>
      </c>
      <c r="AJ2312" s="174">
        <v>0.1</v>
      </c>
      <c r="AK2312" s="175">
        <v>0</v>
      </c>
      <c r="AL2312" s="175" t="s">
        <v>2089</v>
      </c>
      <c r="AM2312" s="147">
        <f t="shared" si="96"/>
        <v>0</v>
      </c>
      <c r="AN2312" s="1" t="s">
        <v>239</v>
      </c>
      <c r="AO2312" s="18" t="s">
        <v>241</v>
      </c>
      <c r="AP2312" s="1" t="s">
        <v>119</v>
      </c>
    </row>
    <row r="2313" spans="1:42" s="18" customFormat="1" x14ac:dyDescent="0.3">
      <c r="A2313" s="156" t="s">
        <v>1455</v>
      </c>
      <c r="B2313" s="18" t="s">
        <v>2061</v>
      </c>
      <c r="C2313" s="18">
        <v>114</v>
      </c>
      <c r="D2313" s="18" t="s">
        <v>2439</v>
      </c>
      <c r="E2313" s="18">
        <v>1145</v>
      </c>
      <c r="F2313" s="18" t="s">
        <v>2440</v>
      </c>
      <c r="G2313" s="18">
        <v>114502</v>
      </c>
      <c r="H2313" s="18" t="s">
        <v>2458</v>
      </c>
      <c r="K2313" s="18">
        <v>11450201</v>
      </c>
      <c r="L2313" s="18" t="s">
        <v>2459</v>
      </c>
      <c r="M2313" s="18" t="s">
        <v>2483</v>
      </c>
      <c r="N2313" s="443"/>
      <c r="O2313" s="443"/>
      <c r="P2313" s="178"/>
      <c r="Q2313" s="178">
        <v>1</v>
      </c>
      <c r="R2313" s="178"/>
      <c r="S2313" s="178"/>
      <c r="T2313" s="168" t="s">
        <v>239</v>
      </c>
      <c r="U2313" s="283" t="s">
        <v>241</v>
      </c>
      <c r="V2313" s="180" t="s">
        <v>2484</v>
      </c>
      <c r="W2313" s="14">
        <v>1</v>
      </c>
      <c r="X2313" s="14">
        <v>0</v>
      </c>
      <c r="Y2313" s="14">
        <v>0</v>
      </c>
      <c r="Z2313" s="14">
        <v>1</v>
      </c>
      <c r="AA2313" s="14">
        <v>0</v>
      </c>
      <c r="AB2313" s="14">
        <v>0</v>
      </c>
      <c r="AC2313" s="316">
        <v>1</v>
      </c>
      <c r="AD2313" s="316">
        <v>1</v>
      </c>
      <c r="AE2313" s="302">
        <f t="shared" si="97"/>
        <v>0.5</v>
      </c>
      <c r="AF2313" s="174"/>
      <c r="AG2313" s="17">
        <v>0</v>
      </c>
      <c r="AH2313" s="174">
        <v>0.06</v>
      </c>
      <c r="AI2313" s="174">
        <v>0.03</v>
      </c>
      <c r="AJ2313" s="174">
        <v>0</v>
      </c>
      <c r="AK2313" s="175">
        <v>0</v>
      </c>
      <c r="AL2313" s="175" t="s">
        <v>2089</v>
      </c>
      <c r="AM2313" s="147">
        <f t="shared" si="96"/>
        <v>0</v>
      </c>
      <c r="AN2313" s="1" t="s">
        <v>239</v>
      </c>
      <c r="AO2313" s="18" t="s">
        <v>241</v>
      </c>
      <c r="AP2313" s="1" t="s">
        <v>2361</v>
      </c>
    </row>
    <row r="2314" spans="1:42" s="18" customFormat="1" x14ac:dyDescent="0.3">
      <c r="A2314" s="156" t="s">
        <v>1455</v>
      </c>
      <c r="B2314" s="18" t="s">
        <v>2061</v>
      </c>
      <c r="C2314" s="18">
        <v>114</v>
      </c>
      <c r="D2314" s="18" t="s">
        <v>2439</v>
      </c>
      <c r="E2314" s="18">
        <v>1145</v>
      </c>
      <c r="F2314" s="18" t="s">
        <v>2440</v>
      </c>
      <c r="G2314" s="18">
        <v>114502</v>
      </c>
      <c r="H2314" s="18" t="s">
        <v>2458</v>
      </c>
      <c r="K2314" s="18">
        <v>11450201</v>
      </c>
      <c r="L2314" s="18" t="s">
        <v>2459</v>
      </c>
      <c r="M2314" s="18" t="s">
        <v>2485</v>
      </c>
      <c r="N2314" s="443">
        <v>0</v>
      </c>
      <c r="O2314" s="443"/>
      <c r="P2314" s="178"/>
      <c r="Q2314" s="178">
        <v>1</v>
      </c>
      <c r="R2314" s="178"/>
      <c r="S2314" s="178"/>
      <c r="T2314" s="168" t="s">
        <v>239</v>
      </c>
      <c r="U2314" s="283" t="s">
        <v>241</v>
      </c>
      <c r="V2314" s="168" t="s">
        <v>2486</v>
      </c>
      <c r="W2314" s="14">
        <v>1</v>
      </c>
      <c r="X2314" s="14">
        <v>0</v>
      </c>
      <c r="Y2314" s="14">
        <v>0</v>
      </c>
      <c r="Z2314" s="14">
        <v>1</v>
      </c>
      <c r="AA2314" s="14">
        <v>0</v>
      </c>
      <c r="AB2314" s="14">
        <v>0</v>
      </c>
      <c r="AC2314" s="316">
        <v>1</v>
      </c>
      <c r="AD2314" s="316">
        <v>1</v>
      </c>
      <c r="AE2314" s="302">
        <f t="shared" si="97"/>
        <v>0.5</v>
      </c>
      <c r="AF2314" s="174"/>
      <c r="AG2314" s="17">
        <v>0</v>
      </c>
      <c r="AH2314" s="174">
        <v>0.1</v>
      </c>
      <c r="AI2314" s="174">
        <v>0.1</v>
      </c>
      <c r="AJ2314" s="174">
        <v>0</v>
      </c>
      <c r="AK2314" s="175">
        <v>0</v>
      </c>
      <c r="AL2314" s="175" t="s">
        <v>2089</v>
      </c>
      <c r="AM2314" s="147">
        <f t="shared" si="96"/>
        <v>0</v>
      </c>
      <c r="AN2314" s="1" t="s">
        <v>239</v>
      </c>
      <c r="AO2314" s="18" t="s">
        <v>241</v>
      </c>
      <c r="AP2314" s="1" t="s">
        <v>119</v>
      </c>
    </row>
    <row r="2315" spans="1:42" s="18" customFormat="1" x14ac:dyDescent="0.3">
      <c r="A2315" s="156" t="s">
        <v>1455</v>
      </c>
      <c r="B2315" s="18" t="s">
        <v>2061</v>
      </c>
      <c r="C2315" s="18">
        <v>114</v>
      </c>
      <c r="D2315" s="18" t="s">
        <v>2439</v>
      </c>
      <c r="E2315" s="18">
        <v>1145</v>
      </c>
      <c r="F2315" s="18" t="s">
        <v>2440</v>
      </c>
      <c r="G2315" s="18">
        <v>114502</v>
      </c>
      <c r="H2315" s="18" t="s">
        <v>2458</v>
      </c>
      <c r="K2315" s="18">
        <v>11450201</v>
      </c>
      <c r="L2315" s="18" t="s">
        <v>2459</v>
      </c>
      <c r="M2315" s="18" t="s">
        <v>2487</v>
      </c>
      <c r="N2315" s="443">
        <v>0</v>
      </c>
      <c r="O2315" s="443"/>
      <c r="P2315" s="178">
        <v>1</v>
      </c>
      <c r="Q2315" s="178"/>
      <c r="R2315" s="178"/>
      <c r="S2315" s="178"/>
      <c r="T2315" s="168" t="s">
        <v>239</v>
      </c>
      <c r="U2315" s="283" t="s">
        <v>241</v>
      </c>
      <c r="V2315" s="168" t="s">
        <v>2488</v>
      </c>
      <c r="W2315" s="14">
        <v>1</v>
      </c>
      <c r="X2315" s="14">
        <v>0</v>
      </c>
      <c r="Y2315" s="14">
        <v>0</v>
      </c>
      <c r="Z2315" s="14">
        <v>1</v>
      </c>
      <c r="AA2315" s="14">
        <v>0</v>
      </c>
      <c r="AB2315" s="14">
        <v>0</v>
      </c>
      <c r="AC2315" s="316">
        <v>1</v>
      </c>
      <c r="AD2315" s="316">
        <v>1</v>
      </c>
      <c r="AE2315" s="302">
        <f t="shared" si="97"/>
        <v>0.5</v>
      </c>
      <c r="AF2315" s="174"/>
      <c r="AG2315" s="17">
        <v>0</v>
      </c>
      <c r="AH2315" s="174">
        <v>0</v>
      </c>
      <c r="AI2315" s="174">
        <v>0.15</v>
      </c>
      <c r="AJ2315" s="174">
        <v>0.05</v>
      </c>
      <c r="AK2315" s="175">
        <v>0</v>
      </c>
      <c r="AL2315" s="175" t="s">
        <v>2089</v>
      </c>
      <c r="AM2315" s="147">
        <f t="shared" si="96"/>
        <v>0</v>
      </c>
      <c r="AN2315" s="1" t="s">
        <v>239</v>
      </c>
      <c r="AO2315" s="18" t="s">
        <v>241</v>
      </c>
      <c r="AP2315" s="1" t="s">
        <v>2361</v>
      </c>
    </row>
    <row r="2316" spans="1:42" s="18" customFormat="1" x14ac:dyDescent="0.3">
      <c r="A2316" s="156" t="s">
        <v>1455</v>
      </c>
      <c r="B2316" s="18" t="s">
        <v>2061</v>
      </c>
      <c r="C2316" s="18">
        <v>114</v>
      </c>
      <c r="D2316" s="18" t="s">
        <v>2439</v>
      </c>
      <c r="E2316" s="18">
        <v>1145</v>
      </c>
      <c r="F2316" s="18" t="s">
        <v>2440</v>
      </c>
      <c r="G2316" s="18">
        <v>114502</v>
      </c>
      <c r="H2316" s="18" t="s">
        <v>2458</v>
      </c>
      <c r="K2316" s="18">
        <v>11450201</v>
      </c>
      <c r="L2316" s="18" t="s">
        <v>2459</v>
      </c>
      <c r="M2316" s="18" t="s">
        <v>2489</v>
      </c>
      <c r="N2316" s="443"/>
      <c r="O2316" s="443"/>
      <c r="P2316" s="178"/>
      <c r="Q2316" s="178"/>
      <c r="R2316" s="178">
        <v>1</v>
      </c>
      <c r="S2316" s="178"/>
      <c r="T2316" s="168" t="s">
        <v>239</v>
      </c>
      <c r="U2316" s="283" t="s">
        <v>241</v>
      </c>
      <c r="V2316" s="181" t="s">
        <v>2490</v>
      </c>
      <c r="W2316" s="14"/>
      <c r="X2316" s="14"/>
      <c r="Y2316" s="14"/>
      <c r="Z2316" s="14"/>
      <c r="AA2316" s="14"/>
      <c r="AB2316" s="14"/>
      <c r="AC2316" s="316">
        <v>0</v>
      </c>
      <c r="AD2316" s="316">
        <v>0</v>
      </c>
      <c r="AE2316" s="302">
        <f t="shared" si="97"/>
        <v>0</v>
      </c>
      <c r="AF2316" s="174"/>
      <c r="AG2316" s="17">
        <v>0</v>
      </c>
      <c r="AH2316" s="174">
        <v>0.05</v>
      </c>
      <c r="AI2316" s="174">
        <v>0.2</v>
      </c>
      <c r="AJ2316" s="176">
        <v>0</v>
      </c>
      <c r="AK2316" s="165">
        <v>0</v>
      </c>
      <c r="AL2316" s="175" t="s">
        <v>2089</v>
      </c>
      <c r="AM2316" s="147">
        <f t="shared" si="96"/>
        <v>0</v>
      </c>
      <c r="AN2316" s="1" t="s">
        <v>239</v>
      </c>
      <c r="AO2316" s="18" t="s">
        <v>241</v>
      </c>
      <c r="AP2316" s="1" t="s">
        <v>119</v>
      </c>
    </row>
    <row r="2317" spans="1:42" s="18" customFormat="1" x14ac:dyDescent="0.3">
      <c r="A2317" s="156" t="s">
        <v>1455</v>
      </c>
      <c r="B2317" s="18" t="s">
        <v>2061</v>
      </c>
      <c r="C2317" s="18">
        <v>114</v>
      </c>
      <c r="D2317" s="18" t="s">
        <v>2439</v>
      </c>
      <c r="E2317" s="18">
        <v>1145</v>
      </c>
      <c r="F2317" s="18" t="s">
        <v>2440</v>
      </c>
      <c r="G2317" s="18">
        <v>114502</v>
      </c>
      <c r="H2317" s="18" t="s">
        <v>2458</v>
      </c>
      <c r="K2317" s="18">
        <v>11450201</v>
      </c>
      <c r="L2317" s="18" t="s">
        <v>2459</v>
      </c>
      <c r="M2317" s="18" t="s">
        <v>2491</v>
      </c>
      <c r="N2317" s="443"/>
      <c r="O2317" s="443"/>
      <c r="P2317" s="178"/>
      <c r="Q2317" s="178"/>
      <c r="R2317" s="178"/>
      <c r="S2317" s="178">
        <v>2</v>
      </c>
      <c r="T2317" s="168" t="s">
        <v>239</v>
      </c>
      <c r="U2317" s="283" t="s">
        <v>241</v>
      </c>
      <c r="V2317" s="182" t="s">
        <v>2492</v>
      </c>
      <c r="W2317" s="14">
        <v>1</v>
      </c>
      <c r="X2317" s="14">
        <v>0</v>
      </c>
      <c r="Y2317" s="14">
        <v>0</v>
      </c>
      <c r="Z2317" s="14">
        <v>1</v>
      </c>
      <c r="AA2317" s="14">
        <v>1</v>
      </c>
      <c r="AB2317" s="14">
        <v>0</v>
      </c>
      <c r="AC2317" s="316">
        <v>1</v>
      </c>
      <c r="AD2317" s="316">
        <v>1</v>
      </c>
      <c r="AE2317" s="302">
        <f t="shared" si="97"/>
        <v>0.625</v>
      </c>
      <c r="AF2317" s="174"/>
      <c r="AG2317" s="17">
        <v>0</v>
      </c>
      <c r="AH2317" s="174">
        <v>0.05</v>
      </c>
      <c r="AI2317" s="174">
        <v>0.3</v>
      </c>
      <c r="AJ2317" s="174">
        <v>0.3</v>
      </c>
      <c r="AK2317" s="175">
        <v>0.3</v>
      </c>
      <c r="AL2317" s="175" t="s">
        <v>2089</v>
      </c>
      <c r="AM2317" s="147">
        <f t="shared" si="96"/>
        <v>0.3</v>
      </c>
      <c r="AN2317" s="1" t="s">
        <v>239</v>
      </c>
      <c r="AO2317" s="18" t="s">
        <v>241</v>
      </c>
      <c r="AP2317" s="1" t="s">
        <v>119</v>
      </c>
    </row>
    <row r="2318" spans="1:42" s="18" customFormat="1" x14ac:dyDescent="0.3">
      <c r="A2318" s="156" t="s">
        <v>1455</v>
      </c>
      <c r="B2318" s="18" t="s">
        <v>2061</v>
      </c>
      <c r="C2318" s="18">
        <v>114</v>
      </c>
      <c r="D2318" s="18" t="s">
        <v>2439</v>
      </c>
      <c r="E2318" s="18">
        <v>1145</v>
      </c>
      <c r="F2318" s="18" t="s">
        <v>2440</v>
      </c>
      <c r="G2318" s="18">
        <v>114502</v>
      </c>
      <c r="H2318" s="18" t="s">
        <v>2458</v>
      </c>
      <c r="K2318" s="18">
        <v>11450201</v>
      </c>
      <c r="L2318" s="18" t="s">
        <v>2459</v>
      </c>
      <c r="M2318" s="18" t="s">
        <v>2493</v>
      </c>
      <c r="N2318" s="443"/>
      <c r="O2318" s="443"/>
      <c r="P2318" s="178">
        <v>4</v>
      </c>
      <c r="Q2318" s="178">
        <v>4</v>
      </c>
      <c r="R2318" s="178">
        <v>4</v>
      </c>
      <c r="S2318" s="178">
        <v>4</v>
      </c>
      <c r="T2318" s="168" t="s">
        <v>2068</v>
      </c>
      <c r="U2318" s="283" t="e">
        <v>#N/A</v>
      </c>
      <c r="V2318" s="14" t="s">
        <v>2494</v>
      </c>
      <c r="W2318" s="14">
        <v>1</v>
      </c>
      <c r="X2318" s="14">
        <v>0</v>
      </c>
      <c r="Y2318" s="14">
        <v>0</v>
      </c>
      <c r="Z2318" s="14">
        <v>1</v>
      </c>
      <c r="AA2318" s="14">
        <v>0</v>
      </c>
      <c r="AB2318" s="14">
        <v>0</v>
      </c>
      <c r="AC2318" s="316">
        <v>0</v>
      </c>
      <c r="AD2318" s="316">
        <v>1</v>
      </c>
      <c r="AE2318" s="302">
        <f t="shared" si="97"/>
        <v>0.375</v>
      </c>
      <c r="AF2318" s="174"/>
      <c r="AG2318" s="17">
        <v>0</v>
      </c>
      <c r="AH2318" s="174">
        <v>2</v>
      </c>
      <c r="AI2318" s="174">
        <v>2.1</v>
      </c>
      <c r="AJ2318" s="174">
        <v>2.1</v>
      </c>
      <c r="AK2318" s="175">
        <v>5.81</v>
      </c>
      <c r="AL2318" s="177">
        <v>6.39</v>
      </c>
      <c r="AM2318" s="147">
        <f t="shared" si="96"/>
        <v>12.2</v>
      </c>
      <c r="AN2318" s="1" t="s">
        <v>2084</v>
      </c>
      <c r="AO2318" s="18" t="s">
        <v>241</v>
      </c>
      <c r="AP2318" s="1" t="s">
        <v>2495</v>
      </c>
    </row>
    <row r="2319" spans="1:42" customFormat="1" x14ac:dyDescent="0.3">
      <c r="A2319" s="386" t="s">
        <v>1455</v>
      </c>
      <c r="B2319" t="s">
        <v>2061</v>
      </c>
      <c r="C2319" s="200" t="s">
        <v>13091</v>
      </c>
      <c r="D2319" t="s">
        <v>6838</v>
      </c>
      <c r="E2319" s="200" t="s">
        <v>13092</v>
      </c>
      <c r="F2319" t="s">
        <v>12811</v>
      </c>
      <c r="G2319" s="200" t="s">
        <v>13093</v>
      </c>
      <c r="H2319" t="s">
        <v>12812</v>
      </c>
      <c r="K2319" s="200" t="s">
        <v>13094</v>
      </c>
      <c r="L2319" t="s">
        <v>12754</v>
      </c>
      <c r="M2319" s="1"/>
      <c r="N2319" s="423"/>
      <c r="O2319" s="1"/>
      <c r="P2319" s="3"/>
      <c r="Q2319" s="3"/>
      <c r="R2319" s="3"/>
      <c r="S2319" s="3"/>
      <c r="V2319" t="s">
        <v>12755</v>
      </c>
      <c r="AF2319" s="64"/>
      <c r="AH2319" s="4"/>
      <c r="AI2319" s="4"/>
      <c r="AJ2319" s="4"/>
      <c r="AK2319" s="398"/>
      <c r="AL2319" s="398"/>
      <c r="AM2319" s="4"/>
    </row>
    <row r="2320" spans="1:42" customFormat="1" x14ac:dyDescent="0.3">
      <c r="A2320" s="386" t="s">
        <v>1455</v>
      </c>
      <c r="B2320" t="s">
        <v>2061</v>
      </c>
      <c r="C2320" s="200" t="s">
        <v>13091</v>
      </c>
      <c r="D2320" t="s">
        <v>6838</v>
      </c>
      <c r="E2320" s="200" t="s">
        <v>13092</v>
      </c>
      <c r="F2320" t="s">
        <v>12811</v>
      </c>
      <c r="G2320" s="200" t="s">
        <v>13093</v>
      </c>
      <c r="H2320" t="s">
        <v>12812</v>
      </c>
      <c r="K2320" s="200" t="s">
        <v>13095</v>
      </c>
      <c r="L2320" t="s">
        <v>12808</v>
      </c>
      <c r="M2320" s="1"/>
      <c r="N2320" s="423"/>
      <c r="O2320" s="1"/>
      <c r="P2320" s="3"/>
      <c r="Q2320" s="3"/>
      <c r="R2320" s="3"/>
      <c r="S2320" s="3"/>
      <c r="V2320" t="s">
        <v>12809</v>
      </c>
      <c r="AF2320" s="64"/>
      <c r="AH2320" s="4"/>
      <c r="AI2320" s="4"/>
      <c r="AJ2320" s="4"/>
      <c r="AK2320" s="398"/>
      <c r="AL2320" s="398"/>
      <c r="AM2320" s="4"/>
    </row>
    <row r="2321" spans="1:39" customFormat="1" x14ac:dyDescent="0.3">
      <c r="A2321" s="386" t="s">
        <v>1455</v>
      </c>
      <c r="B2321" t="s">
        <v>2061</v>
      </c>
      <c r="C2321" s="200" t="s">
        <v>13091</v>
      </c>
      <c r="D2321" t="s">
        <v>6838</v>
      </c>
      <c r="E2321" s="200" t="s">
        <v>13092</v>
      </c>
      <c r="F2321" t="s">
        <v>12811</v>
      </c>
      <c r="G2321" s="200" t="s">
        <v>13093</v>
      </c>
      <c r="H2321" t="s">
        <v>12812</v>
      </c>
      <c r="K2321" s="200" t="s">
        <v>13096</v>
      </c>
      <c r="L2321" t="s">
        <v>12756</v>
      </c>
      <c r="M2321" s="1" t="s">
        <v>5766</v>
      </c>
      <c r="N2321" s="423"/>
      <c r="O2321" s="1"/>
      <c r="P2321" s="3"/>
      <c r="Q2321" s="3"/>
      <c r="R2321" s="3"/>
      <c r="S2321" s="3"/>
      <c r="V2321" t="s">
        <v>12792</v>
      </c>
      <c r="AF2321" s="64"/>
      <c r="AH2321" s="4"/>
      <c r="AI2321" s="4"/>
      <c r="AJ2321" s="4"/>
      <c r="AK2321" s="46"/>
      <c r="AL2321" s="46"/>
      <c r="AM2321" s="4"/>
    </row>
    <row r="2322" spans="1:39" customFormat="1" x14ac:dyDescent="0.3">
      <c r="A2322" s="386" t="s">
        <v>1455</v>
      </c>
      <c r="B2322" t="s">
        <v>2061</v>
      </c>
      <c r="C2322" s="200" t="s">
        <v>13091</v>
      </c>
      <c r="D2322" t="s">
        <v>6838</v>
      </c>
      <c r="E2322" s="200" t="s">
        <v>13092</v>
      </c>
      <c r="F2322" t="s">
        <v>12811</v>
      </c>
      <c r="G2322" s="200" t="s">
        <v>13093</v>
      </c>
      <c r="H2322" t="s">
        <v>12812</v>
      </c>
      <c r="K2322" s="200" t="s">
        <v>13097</v>
      </c>
      <c r="L2322" t="s">
        <v>12757</v>
      </c>
      <c r="M2322" s="1" t="s">
        <v>12758</v>
      </c>
      <c r="N2322" s="423"/>
      <c r="O2322" s="1"/>
      <c r="P2322" s="3"/>
      <c r="Q2322" s="3"/>
      <c r="R2322" s="3"/>
      <c r="S2322" s="3"/>
      <c r="V2322" t="s">
        <v>12793</v>
      </c>
      <c r="AF2322" s="64"/>
      <c r="AH2322" s="4"/>
      <c r="AI2322" s="4"/>
      <c r="AJ2322" s="4"/>
      <c r="AK2322" s="46"/>
      <c r="AL2322" s="46"/>
      <c r="AM2322" s="4"/>
    </row>
    <row r="2323" spans="1:39" customFormat="1" x14ac:dyDescent="0.3">
      <c r="A2323" s="386" t="s">
        <v>1455</v>
      </c>
      <c r="B2323" t="s">
        <v>2061</v>
      </c>
      <c r="C2323" s="200" t="s">
        <v>13091</v>
      </c>
      <c r="D2323" t="s">
        <v>6838</v>
      </c>
      <c r="E2323" s="200" t="s">
        <v>13092</v>
      </c>
      <c r="F2323" t="s">
        <v>12811</v>
      </c>
      <c r="G2323" s="200" t="s">
        <v>13093</v>
      </c>
      <c r="H2323" t="s">
        <v>12812</v>
      </c>
      <c r="K2323" s="200" t="s">
        <v>13098</v>
      </c>
      <c r="L2323" t="s">
        <v>12759</v>
      </c>
      <c r="M2323" s="1" t="s">
        <v>12760</v>
      </c>
      <c r="N2323" s="423"/>
      <c r="O2323" s="1"/>
      <c r="P2323" s="3"/>
      <c r="Q2323" s="3"/>
      <c r="R2323" s="3"/>
      <c r="S2323" s="3"/>
      <c r="V2323" t="s">
        <v>12794</v>
      </c>
      <c r="AF2323" s="64"/>
      <c r="AH2323" s="4"/>
      <c r="AI2323" s="4"/>
      <c r="AJ2323" s="4"/>
      <c r="AK2323" s="46"/>
      <c r="AL2323" s="46"/>
      <c r="AM2323" s="4"/>
    </row>
    <row r="2324" spans="1:39" customFormat="1" x14ac:dyDescent="0.3">
      <c r="A2324" s="386" t="s">
        <v>1455</v>
      </c>
      <c r="B2324" t="s">
        <v>2061</v>
      </c>
      <c r="C2324" s="200" t="s">
        <v>13091</v>
      </c>
      <c r="D2324" t="s">
        <v>6838</v>
      </c>
      <c r="E2324" s="200" t="s">
        <v>13092</v>
      </c>
      <c r="F2324" t="s">
        <v>12811</v>
      </c>
      <c r="G2324" s="200" t="s">
        <v>13093</v>
      </c>
      <c r="H2324" t="s">
        <v>12812</v>
      </c>
      <c r="K2324" s="200" t="s">
        <v>13099</v>
      </c>
      <c r="L2324" t="s">
        <v>12761</v>
      </c>
      <c r="M2324" s="1" t="s">
        <v>12762</v>
      </c>
      <c r="N2324" s="423"/>
      <c r="O2324" s="1"/>
      <c r="P2324" s="3"/>
      <c r="Q2324" s="3"/>
      <c r="R2324" s="3"/>
      <c r="S2324" s="3"/>
      <c r="V2324" t="s">
        <v>5782</v>
      </c>
      <c r="AF2324" s="64"/>
      <c r="AH2324" s="4"/>
      <c r="AI2324" s="4"/>
      <c r="AJ2324" s="4"/>
      <c r="AK2324" s="46"/>
      <c r="AL2324" s="46"/>
      <c r="AM2324" s="4"/>
    </row>
    <row r="2325" spans="1:39" customFormat="1" x14ac:dyDescent="0.3">
      <c r="A2325" s="386" t="s">
        <v>1455</v>
      </c>
      <c r="B2325" t="s">
        <v>2061</v>
      </c>
      <c r="C2325" s="200" t="s">
        <v>13091</v>
      </c>
      <c r="D2325" t="s">
        <v>6838</v>
      </c>
      <c r="E2325" s="200" t="s">
        <v>13092</v>
      </c>
      <c r="F2325" t="s">
        <v>12811</v>
      </c>
      <c r="G2325" s="200" t="s">
        <v>13093</v>
      </c>
      <c r="H2325" t="s">
        <v>12812</v>
      </c>
      <c r="K2325" s="200" t="s">
        <v>13100</v>
      </c>
      <c r="L2325" t="s">
        <v>12763</v>
      </c>
      <c r="M2325" s="1" t="s">
        <v>12764</v>
      </c>
      <c r="N2325" s="423"/>
      <c r="O2325" s="1"/>
      <c r="P2325" s="3"/>
      <c r="Q2325" s="3"/>
      <c r="R2325" s="3"/>
      <c r="S2325" s="3"/>
      <c r="V2325" t="s">
        <v>5783</v>
      </c>
      <c r="AF2325" s="64"/>
      <c r="AH2325" s="4"/>
      <c r="AI2325" s="4"/>
      <c r="AJ2325" s="4"/>
      <c r="AK2325" s="46"/>
      <c r="AL2325" s="46"/>
      <c r="AM2325" s="4"/>
    </row>
    <row r="2326" spans="1:39" customFormat="1" x14ac:dyDescent="0.3">
      <c r="A2326" s="386" t="s">
        <v>1455</v>
      </c>
      <c r="B2326" t="s">
        <v>2061</v>
      </c>
      <c r="C2326" s="200" t="s">
        <v>13091</v>
      </c>
      <c r="D2326" t="s">
        <v>6838</v>
      </c>
      <c r="E2326" s="200" t="s">
        <v>13092</v>
      </c>
      <c r="F2326" t="s">
        <v>12811</v>
      </c>
      <c r="G2326" s="200" t="s">
        <v>13093</v>
      </c>
      <c r="H2326" t="s">
        <v>12812</v>
      </c>
      <c r="K2326" s="200" t="s">
        <v>13101</v>
      </c>
      <c r="L2326" t="s">
        <v>12765</v>
      </c>
      <c r="M2326" s="1" t="s">
        <v>12766</v>
      </c>
      <c r="N2326" s="423"/>
      <c r="O2326" s="1"/>
      <c r="P2326" s="3"/>
      <c r="Q2326" s="3"/>
      <c r="R2326" s="3"/>
      <c r="S2326" s="3"/>
      <c r="V2326" t="s">
        <v>12795</v>
      </c>
      <c r="AF2326" s="64"/>
      <c r="AH2326" s="4"/>
      <c r="AI2326" s="4"/>
      <c r="AJ2326" s="4"/>
      <c r="AK2326" s="46"/>
      <c r="AL2326" s="46"/>
      <c r="AM2326" s="4"/>
    </row>
    <row r="2327" spans="1:39" customFormat="1" x14ac:dyDescent="0.3">
      <c r="A2327" s="386" t="s">
        <v>1455</v>
      </c>
      <c r="B2327" t="s">
        <v>2061</v>
      </c>
      <c r="C2327" s="200" t="s">
        <v>13091</v>
      </c>
      <c r="D2327" t="s">
        <v>6838</v>
      </c>
      <c r="E2327" s="200" t="s">
        <v>13092</v>
      </c>
      <c r="F2327" t="s">
        <v>12811</v>
      </c>
      <c r="G2327" s="200" t="s">
        <v>13093</v>
      </c>
      <c r="H2327" t="s">
        <v>12812</v>
      </c>
      <c r="K2327" s="200" t="s">
        <v>13113</v>
      </c>
      <c r="L2327" t="s">
        <v>12767</v>
      </c>
      <c r="M2327" s="1" t="s">
        <v>12768</v>
      </c>
      <c r="N2327" s="423"/>
      <c r="O2327" s="1"/>
      <c r="P2327" s="3"/>
      <c r="Q2327" s="3"/>
      <c r="R2327" s="3"/>
      <c r="S2327" s="3"/>
      <c r="V2327" t="s">
        <v>12796</v>
      </c>
      <c r="AF2327" s="64"/>
      <c r="AH2327" s="4"/>
      <c r="AI2327" s="4"/>
      <c r="AJ2327" s="4"/>
      <c r="AK2327" s="46"/>
      <c r="AL2327" s="46"/>
      <c r="AM2327" s="4"/>
    </row>
    <row r="2328" spans="1:39" customFormat="1" x14ac:dyDescent="0.3">
      <c r="A2328" s="386" t="s">
        <v>1455</v>
      </c>
      <c r="B2328" t="s">
        <v>2061</v>
      </c>
      <c r="C2328" s="200" t="s">
        <v>13091</v>
      </c>
      <c r="D2328" t="s">
        <v>6838</v>
      </c>
      <c r="E2328" s="200" t="s">
        <v>13092</v>
      </c>
      <c r="F2328" t="s">
        <v>12811</v>
      </c>
      <c r="G2328" s="200" t="s">
        <v>13093</v>
      </c>
      <c r="H2328" t="s">
        <v>12812</v>
      </c>
      <c r="K2328" s="200" t="s">
        <v>13102</v>
      </c>
      <c r="L2328" t="s">
        <v>12769</v>
      </c>
      <c r="M2328" s="1" t="s">
        <v>12770</v>
      </c>
      <c r="N2328" s="423"/>
      <c r="O2328" s="1"/>
      <c r="P2328" s="3"/>
      <c r="Q2328" s="3"/>
      <c r="R2328" s="3"/>
      <c r="S2328" s="3"/>
      <c r="V2328" t="s">
        <v>5786</v>
      </c>
      <c r="AF2328" s="64"/>
      <c r="AH2328" s="4"/>
      <c r="AI2328" s="4"/>
      <c r="AJ2328" s="4"/>
      <c r="AK2328" s="46"/>
      <c r="AL2328" s="46"/>
      <c r="AM2328" s="4"/>
    </row>
    <row r="2329" spans="1:39" customFormat="1" x14ac:dyDescent="0.3">
      <c r="A2329" s="386" t="s">
        <v>1455</v>
      </c>
      <c r="B2329" t="s">
        <v>2061</v>
      </c>
      <c r="C2329" s="200" t="s">
        <v>13091</v>
      </c>
      <c r="D2329" t="s">
        <v>6838</v>
      </c>
      <c r="E2329" s="200" t="s">
        <v>13092</v>
      </c>
      <c r="F2329" t="s">
        <v>12811</v>
      </c>
      <c r="G2329" s="200" t="s">
        <v>13093</v>
      </c>
      <c r="H2329" t="s">
        <v>12812</v>
      </c>
      <c r="K2329" s="200" t="s">
        <v>13103</v>
      </c>
      <c r="L2329" t="s">
        <v>12771</v>
      </c>
      <c r="M2329" s="1" t="s">
        <v>12772</v>
      </c>
      <c r="N2329" s="423"/>
      <c r="O2329" s="1"/>
      <c r="P2329" s="3"/>
      <c r="Q2329" s="3"/>
      <c r="R2329" s="3"/>
      <c r="S2329" s="3"/>
      <c r="V2329" t="s">
        <v>12800</v>
      </c>
      <c r="AF2329" s="64"/>
      <c r="AH2329" s="4"/>
      <c r="AI2329" s="4"/>
      <c r="AJ2329" s="4"/>
      <c r="AK2329" s="46"/>
      <c r="AL2329" s="46"/>
      <c r="AM2329" s="4"/>
    </row>
    <row r="2330" spans="1:39" customFormat="1" x14ac:dyDescent="0.3">
      <c r="A2330" s="386" t="s">
        <v>1455</v>
      </c>
      <c r="B2330" t="s">
        <v>2061</v>
      </c>
      <c r="C2330" s="200" t="s">
        <v>13091</v>
      </c>
      <c r="D2330" t="s">
        <v>6838</v>
      </c>
      <c r="E2330" s="200" t="s">
        <v>13092</v>
      </c>
      <c r="F2330" t="s">
        <v>12811</v>
      </c>
      <c r="G2330" s="200" t="s">
        <v>13093</v>
      </c>
      <c r="H2330" t="s">
        <v>12812</v>
      </c>
      <c r="K2330" s="200" t="s">
        <v>13104</v>
      </c>
      <c r="L2330" t="s">
        <v>12773</v>
      </c>
      <c r="M2330" s="1" t="s">
        <v>12774</v>
      </c>
      <c r="N2330" s="423"/>
      <c r="O2330" s="1"/>
      <c r="P2330" s="3"/>
      <c r="Q2330" s="3"/>
      <c r="R2330" s="3"/>
      <c r="S2330" s="3"/>
      <c r="V2330" t="s">
        <v>12797</v>
      </c>
      <c r="AF2330" s="64"/>
      <c r="AH2330" s="4"/>
      <c r="AI2330" s="4"/>
      <c r="AJ2330" s="4"/>
      <c r="AK2330" s="46"/>
      <c r="AL2330" s="46"/>
      <c r="AM2330" s="4"/>
    </row>
    <row r="2331" spans="1:39" customFormat="1" x14ac:dyDescent="0.3">
      <c r="A2331" s="386" t="s">
        <v>1455</v>
      </c>
      <c r="B2331" t="s">
        <v>2061</v>
      </c>
      <c r="C2331" s="200" t="s">
        <v>13091</v>
      </c>
      <c r="D2331" t="s">
        <v>6838</v>
      </c>
      <c r="E2331" s="200" t="s">
        <v>13092</v>
      </c>
      <c r="F2331" t="s">
        <v>12811</v>
      </c>
      <c r="G2331" s="200" t="s">
        <v>13093</v>
      </c>
      <c r="H2331" t="s">
        <v>12812</v>
      </c>
      <c r="K2331" s="200" t="s">
        <v>13105</v>
      </c>
      <c r="L2331" t="s">
        <v>12775</v>
      </c>
      <c r="M2331" s="1" t="s">
        <v>12776</v>
      </c>
      <c r="N2331" s="423"/>
      <c r="O2331" s="1"/>
      <c r="P2331" s="3"/>
      <c r="Q2331" s="3"/>
      <c r="R2331" s="3"/>
      <c r="S2331" s="3"/>
      <c r="V2331" t="s">
        <v>12798</v>
      </c>
      <c r="AF2331" s="64"/>
      <c r="AH2331" s="4"/>
      <c r="AI2331" s="4"/>
      <c r="AJ2331" s="4"/>
      <c r="AK2331" s="46"/>
      <c r="AL2331" s="46"/>
      <c r="AM2331" s="4"/>
    </row>
    <row r="2332" spans="1:39" customFormat="1" x14ac:dyDescent="0.3">
      <c r="A2332" s="386" t="s">
        <v>1455</v>
      </c>
      <c r="B2332" t="s">
        <v>2061</v>
      </c>
      <c r="C2332" s="200" t="s">
        <v>13091</v>
      </c>
      <c r="D2332" t="s">
        <v>6838</v>
      </c>
      <c r="E2332" s="200" t="s">
        <v>13092</v>
      </c>
      <c r="F2332" t="s">
        <v>12811</v>
      </c>
      <c r="G2332" s="200" t="s">
        <v>13093</v>
      </c>
      <c r="H2332" t="s">
        <v>12812</v>
      </c>
      <c r="K2332" s="200" t="s">
        <v>13106</v>
      </c>
      <c r="L2332" t="s">
        <v>12777</v>
      </c>
      <c r="M2332" s="1" t="s">
        <v>12778</v>
      </c>
      <c r="N2332" s="423"/>
      <c r="O2332" s="1"/>
      <c r="P2332" s="3"/>
      <c r="Q2332" s="3"/>
      <c r="R2332" s="3"/>
      <c r="S2332" s="3"/>
      <c r="V2332" t="s">
        <v>5789</v>
      </c>
      <c r="AF2332" s="64"/>
      <c r="AH2332" s="4"/>
      <c r="AI2332" s="4"/>
      <c r="AJ2332" s="4"/>
      <c r="AK2332" s="46"/>
      <c r="AL2332" s="46"/>
      <c r="AM2332" s="4"/>
    </row>
    <row r="2333" spans="1:39" customFormat="1" x14ac:dyDescent="0.3">
      <c r="A2333" s="386" t="s">
        <v>1455</v>
      </c>
      <c r="B2333" t="s">
        <v>2061</v>
      </c>
      <c r="C2333" s="200" t="s">
        <v>13091</v>
      </c>
      <c r="D2333" t="s">
        <v>6838</v>
      </c>
      <c r="E2333" s="200" t="s">
        <v>13092</v>
      </c>
      <c r="F2333" t="s">
        <v>12811</v>
      </c>
      <c r="G2333" s="200" t="s">
        <v>13093</v>
      </c>
      <c r="H2333" t="s">
        <v>12812</v>
      </c>
      <c r="K2333" s="200" t="s">
        <v>13107</v>
      </c>
      <c r="L2333" t="s">
        <v>12779</v>
      </c>
      <c r="M2333" s="1" t="s">
        <v>12780</v>
      </c>
      <c r="N2333" s="423"/>
      <c r="O2333" s="1"/>
      <c r="P2333" s="3"/>
      <c r="Q2333" s="3"/>
      <c r="R2333" s="3"/>
      <c r="S2333" s="3"/>
      <c r="V2333" t="s">
        <v>12799</v>
      </c>
      <c r="AF2333" s="64"/>
      <c r="AH2333" s="4"/>
      <c r="AI2333" s="4"/>
      <c r="AJ2333" s="4"/>
      <c r="AK2333" s="46"/>
      <c r="AL2333" s="46"/>
      <c r="AM2333" s="4"/>
    </row>
    <row r="2334" spans="1:39" customFormat="1" x14ac:dyDescent="0.3">
      <c r="A2334" s="386" t="s">
        <v>1455</v>
      </c>
      <c r="B2334" t="s">
        <v>2061</v>
      </c>
      <c r="C2334" s="200" t="s">
        <v>13091</v>
      </c>
      <c r="D2334" t="s">
        <v>6838</v>
      </c>
      <c r="E2334" s="200" t="s">
        <v>13092</v>
      </c>
      <c r="F2334" t="s">
        <v>12811</v>
      </c>
      <c r="G2334" s="200" t="s">
        <v>13093</v>
      </c>
      <c r="H2334" t="s">
        <v>12812</v>
      </c>
      <c r="K2334" s="200" t="s">
        <v>13108</v>
      </c>
      <c r="L2334" t="s">
        <v>12806</v>
      </c>
      <c r="M2334" s="1" t="s">
        <v>12781</v>
      </c>
      <c r="N2334" s="423"/>
      <c r="O2334" s="1"/>
      <c r="P2334" s="3"/>
      <c r="Q2334" s="3"/>
      <c r="R2334" s="3"/>
      <c r="S2334" s="3"/>
      <c r="V2334" t="s">
        <v>12805</v>
      </c>
      <c r="AF2334" s="64"/>
      <c r="AH2334" s="4"/>
      <c r="AI2334" s="4"/>
      <c r="AJ2334" s="4"/>
      <c r="AK2334" s="46"/>
      <c r="AL2334" s="46"/>
      <c r="AM2334" s="4"/>
    </row>
    <row r="2335" spans="1:39" customFormat="1" x14ac:dyDescent="0.3">
      <c r="A2335" s="386" t="s">
        <v>1455</v>
      </c>
      <c r="B2335" t="s">
        <v>2061</v>
      </c>
      <c r="C2335" s="200" t="s">
        <v>13091</v>
      </c>
      <c r="D2335" t="s">
        <v>6838</v>
      </c>
      <c r="E2335" s="200" t="s">
        <v>13092</v>
      </c>
      <c r="F2335" t="s">
        <v>12811</v>
      </c>
      <c r="G2335" s="200" t="s">
        <v>13093</v>
      </c>
      <c r="H2335" t="s">
        <v>12812</v>
      </c>
      <c r="K2335" s="200" t="s">
        <v>13109</v>
      </c>
      <c r="L2335" t="s">
        <v>12782</v>
      </c>
      <c r="M2335" s="1"/>
      <c r="N2335" s="423"/>
      <c r="O2335" s="1"/>
      <c r="P2335" s="3"/>
      <c r="Q2335" s="3"/>
      <c r="R2335" s="3"/>
      <c r="S2335" s="3"/>
      <c r="V2335" t="s">
        <v>12782</v>
      </c>
      <c r="AF2335" s="64"/>
      <c r="AH2335" s="4"/>
      <c r="AI2335" s="4"/>
      <c r="AJ2335" s="4"/>
      <c r="AK2335" s="46"/>
      <c r="AL2335" s="46"/>
      <c r="AM2335" s="4"/>
    </row>
    <row r="2336" spans="1:39" customFormat="1" x14ac:dyDescent="0.3">
      <c r="A2336" s="386" t="s">
        <v>1455</v>
      </c>
      <c r="B2336" t="s">
        <v>2061</v>
      </c>
      <c r="C2336" s="200" t="s">
        <v>13091</v>
      </c>
      <c r="D2336" t="s">
        <v>6838</v>
      </c>
      <c r="E2336" s="200" t="s">
        <v>13092</v>
      </c>
      <c r="F2336" t="s">
        <v>12811</v>
      </c>
      <c r="G2336" s="200" t="s">
        <v>13093</v>
      </c>
      <c r="H2336" t="s">
        <v>12812</v>
      </c>
      <c r="K2336" s="200" t="s">
        <v>13094</v>
      </c>
      <c r="L2336" t="s">
        <v>12783</v>
      </c>
      <c r="M2336" s="1" t="s">
        <v>12784</v>
      </c>
      <c r="N2336" s="423"/>
      <c r="O2336" s="1"/>
      <c r="P2336" s="3"/>
      <c r="Q2336" s="3"/>
      <c r="R2336" s="3"/>
      <c r="S2336" s="3"/>
      <c r="V2336" t="s">
        <v>12783</v>
      </c>
      <c r="AF2336" s="64"/>
      <c r="AH2336" s="4"/>
      <c r="AI2336" s="4"/>
      <c r="AJ2336" s="4"/>
      <c r="AK2336" s="46"/>
      <c r="AL2336" s="46"/>
      <c r="AM2336" s="4"/>
    </row>
    <row r="2337" spans="1:42" customFormat="1" x14ac:dyDescent="0.3">
      <c r="A2337" s="386" t="s">
        <v>1455</v>
      </c>
      <c r="B2337" t="s">
        <v>2061</v>
      </c>
      <c r="C2337" s="200" t="s">
        <v>13091</v>
      </c>
      <c r="D2337" t="s">
        <v>6838</v>
      </c>
      <c r="E2337" s="200" t="s">
        <v>13092</v>
      </c>
      <c r="F2337" t="s">
        <v>12811</v>
      </c>
      <c r="G2337" s="200" t="s">
        <v>13093</v>
      </c>
      <c r="H2337" t="s">
        <v>12812</v>
      </c>
      <c r="K2337" s="200" t="s">
        <v>13094</v>
      </c>
      <c r="L2337" t="s">
        <v>12785</v>
      </c>
      <c r="M2337" s="1" t="s">
        <v>12786</v>
      </c>
      <c r="N2337" s="423"/>
      <c r="O2337" s="1"/>
      <c r="P2337" s="3"/>
      <c r="Q2337" s="3"/>
      <c r="R2337" s="3"/>
      <c r="S2337" s="3"/>
      <c r="V2337" t="s">
        <v>12801</v>
      </c>
      <c r="AF2337" s="64"/>
      <c r="AH2337" s="4"/>
      <c r="AI2337" s="4"/>
      <c r="AJ2337" s="4"/>
      <c r="AK2337" s="46"/>
      <c r="AL2337" s="46"/>
      <c r="AM2337" s="4"/>
    </row>
    <row r="2338" spans="1:42" customFormat="1" x14ac:dyDescent="0.3">
      <c r="A2338" s="386" t="s">
        <v>1455</v>
      </c>
      <c r="B2338" t="s">
        <v>2061</v>
      </c>
      <c r="C2338" s="200" t="s">
        <v>13091</v>
      </c>
      <c r="D2338" t="s">
        <v>6838</v>
      </c>
      <c r="E2338" s="200" t="s">
        <v>13092</v>
      </c>
      <c r="F2338" t="s">
        <v>12811</v>
      </c>
      <c r="G2338" s="200" t="s">
        <v>13093</v>
      </c>
      <c r="H2338" t="s">
        <v>12812</v>
      </c>
      <c r="K2338" s="200" t="s">
        <v>13110</v>
      </c>
      <c r="L2338" t="s">
        <v>12787</v>
      </c>
      <c r="M2338" s="1" t="s">
        <v>12788</v>
      </c>
      <c r="N2338" s="423"/>
      <c r="O2338" s="1"/>
      <c r="P2338" s="3"/>
      <c r="Q2338" s="3"/>
      <c r="R2338" s="3"/>
      <c r="S2338" s="3"/>
      <c r="V2338" t="s">
        <v>12802</v>
      </c>
      <c r="AF2338" s="64"/>
      <c r="AH2338" s="4"/>
      <c r="AI2338" s="4"/>
      <c r="AJ2338" s="4"/>
      <c r="AK2338" s="46"/>
      <c r="AL2338" s="46"/>
      <c r="AM2338" s="4"/>
    </row>
    <row r="2339" spans="1:42" customFormat="1" x14ac:dyDescent="0.3">
      <c r="A2339" s="386" t="s">
        <v>1455</v>
      </c>
      <c r="B2339" t="s">
        <v>2061</v>
      </c>
      <c r="C2339" s="200" t="s">
        <v>13091</v>
      </c>
      <c r="D2339" t="s">
        <v>6838</v>
      </c>
      <c r="E2339" s="200" t="s">
        <v>13092</v>
      </c>
      <c r="F2339" t="s">
        <v>12811</v>
      </c>
      <c r="G2339" s="200" t="s">
        <v>13093</v>
      </c>
      <c r="H2339" t="s">
        <v>12812</v>
      </c>
      <c r="K2339" s="200" t="s">
        <v>13111</v>
      </c>
      <c r="L2339" t="s">
        <v>12789</v>
      </c>
      <c r="M2339" s="1" t="s">
        <v>12790</v>
      </c>
      <c r="N2339" s="423"/>
      <c r="O2339" s="1"/>
      <c r="P2339" s="3"/>
      <c r="Q2339" s="3"/>
      <c r="R2339" s="3"/>
      <c r="S2339" s="3"/>
      <c r="V2339" t="s">
        <v>12803</v>
      </c>
      <c r="AF2339" s="64"/>
      <c r="AH2339" s="4"/>
      <c r="AI2339" s="4"/>
      <c r="AJ2339" s="4"/>
      <c r="AK2339" s="46"/>
      <c r="AL2339" s="46"/>
      <c r="AM2339" s="4"/>
    </row>
    <row r="2340" spans="1:42" customFormat="1" x14ac:dyDescent="0.3">
      <c r="A2340" s="386" t="s">
        <v>1455</v>
      </c>
      <c r="B2340" t="s">
        <v>2061</v>
      </c>
      <c r="C2340" s="200" t="s">
        <v>13091</v>
      </c>
      <c r="D2340" t="s">
        <v>6838</v>
      </c>
      <c r="E2340" s="200" t="s">
        <v>13092</v>
      </c>
      <c r="F2340" t="s">
        <v>12811</v>
      </c>
      <c r="G2340" s="200" t="s">
        <v>13093</v>
      </c>
      <c r="H2340" t="s">
        <v>12812</v>
      </c>
      <c r="K2340" s="200" t="s">
        <v>13112</v>
      </c>
      <c r="L2340" t="s">
        <v>12791</v>
      </c>
      <c r="M2340" s="1" t="s">
        <v>12807</v>
      </c>
      <c r="N2340" s="423"/>
      <c r="O2340" s="1"/>
      <c r="P2340" s="3"/>
      <c r="Q2340" s="3"/>
      <c r="R2340" s="3"/>
      <c r="S2340" s="3"/>
      <c r="V2340" t="s">
        <v>12804</v>
      </c>
      <c r="AF2340" s="64"/>
      <c r="AH2340" s="4"/>
      <c r="AI2340" s="4"/>
      <c r="AJ2340" s="4"/>
      <c r="AK2340" s="46"/>
      <c r="AL2340" s="46"/>
      <c r="AM2340" s="4"/>
    </row>
    <row r="2341" spans="1:42" customFormat="1" x14ac:dyDescent="0.3">
      <c r="A2341" s="50" t="s">
        <v>8319</v>
      </c>
      <c r="B2341" s="51" t="s">
        <v>8320</v>
      </c>
      <c r="C2341" s="50" t="s">
        <v>11626</v>
      </c>
      <c r="D2341" s="51" t="s">
        <v>1491</v>
      </c>
      <c r="E2341" s="50" t="s">
        <v>11626</v>
      </c>
      <c r="F2341" s="51" t="s">
        <v>1493</v>
      </c>
      <c r="G2341" s="50" t="s">
        <v>11626</v>
      </c>
      <c r="H2341" s="51" t="s">
        <v>1491</v>
      </c>
      <c r="I2341" s="51"/>
      <c r="J2341" s="51"/>
      <c r="K2341" s="50" t="s">
        <v>11626</v>
      </c>
      <c r="L2341" s="51" t="s">
        <v>1491</v>
      </c>
      <c r="M2341" s="420" t="s">
        <v>271</v>
      </c>
      <c r="N2341" s="420" t="s">
        <v>271</v>
      </c>
      <c r="O2341" s="420" t="s">
        <v>271</v>
      </c>
      <c r="P2341" s="60" t="s">
        <v>271</v>
      </c>
      <c r="Q2341" s="60" t="s">
        <v>271</v>
      </c>
      <c r="R2341" s="60" t="s">
        <v>271</v>
      </c>
      <c r="S2341" s="60" t="s">
        <v>271</v>
      </c>
      <c r="T2341" s="60" t="s">
        <v>271</v>
      </c>
      <c r="U2341" s="60" t="s">
        <v>271</v>
      </c>
      <c r="V2341" s="51" t="s">
        <v>1489</v>
      </c>
      <c r="W2341" s="54"/>
      <c r="X2341" s="54"/>
      <c r="Y2341" s="54"/>
      <c r="Z2341" s="54"/>
      <c r="AA2341" s="54"/>
      <c r="AB2341" s="54"/>
      <c r="AC2341" s="54"/>
      <c r="AD2341" s="54"/>
      <c r="AE2341" s="55"/>
      <c r="AF2341" s="56"/>
      <c r="AG2341" s="55"/>
      <c r="AH2341" s="56"/>
      <c r="AI2341" s="56"/>
      <c r="AJ2341" s="56"/>
      <c r="AK2341" s="57">
        <v>3487.8</v>
      </c>
      <c r="AL2341" s="57">
        <v>3487.8</v>
      </c>
      <c r="AM2341" s="147">
        <f t="shared" ref="AM2341:AM2404" si="98">SUM(AK2341:AL2341)</f>
        <v>6975.6</v>
      </c>
      <c r="AN2341" s="52"/>
      <c r="AO2341" s="52"/>
      <c r="AP2341" s="51"/>
    </row>
    <row r="2342" spans="1:42" customFormat="1" x14ac:dyDescent="0.3">
      <c r="A2342" s="50" t="s">
        <v>8319</v>
      </c>
      <c r="B2342" s="51" t="s">
        <v>8320</v>
      </c>
      <c r="C2342" s="50" t="s">
        <v>11626</v>
      </c>
      <c r="D2342" s="51" t="s">
        <v>1491</v>
      </c>
      <c r="E2342" s="50" t="s">
        <v>11626</v>
      </c>
      <c r="F2342" s="51" t="s">
        <v>1493</v>
      </c>
      <c r="G2342" s="50" t="s">
        <v>11626</v>
      </c>
      <c r="H2342" s="51" t="s">
        <v>1491</v>
      </c>
      <c r="I2342" s="51"/>
      <c r="J2342" s="51"/>
      <c r="K2342" s="50" t="s">
        <v>11626</v>
      </c>
      <c r="L2342" s="51" t="s">
        <v>1491</v>
      </c>
      <c r="M2342" s="420" t="s">
        <v>271</v>
      </c>
      <c r="N2342" s="420" t="s">
        <v>271</v>
      </c>
      <c r="O2342" s="420" t="s">
        <v>271</v>
      </c>
      <c r="P2342" s="60" t="s">
        <v>271</v>
      </c>
      <c r="Q2342" s="60" t="s">
        <v>271</v>
      </c>
      <c r="R2342" s="60" t="s">
        <v>271</v>
      </c>
      <c r="S2342" s="60" t="s">
        <v>271</v>
      </c>
      <c r="T2342" s="60" t="s">
        <v>271</v>
      </c>
      <c r="U2342" s="60" t="s">
        <v>271</v>
      </c>
      <c r="V2342" s="51" t="s">
        <v>1490</v>
      </c>
      <c r="W2342" s="54"/>
      <c r="X2342" s="54"/>
      <c r="Y2342" s="54"/>
      <c r="Z2342" s="54"/>
      <c r="AA2342" s="54"/>
      <c r="AB2342" s="54"/>
      <c r="AC2342" s="54"/>
      <c r="AD2342" s="54"/>
      <c r="AE2342" s="55"/>
      <c r="AF2342" s="56"/>
      <c r="AG2342" s="55"/>
      <c r="AH2342" s="56"/>
      <c r="AI2342" s="56"/>
      <c r="AJ2342" s="56"/>
      <c r="AK2342" s="57">
        <v>1395.1200000000001</v>
      </c>
      <c r="AL2342" s="57">
        <v>1395.1200000000001</v>
      </c>
      <c r="AM2342" s="147">
        <f t="shared" si="98"/>
        <v>2790.2400000000002</v>
      </c>
      <c r="AN2342" s="52"/>
      <c r="AO2342" s="52"/>
      <c r="AP2342" s="51"/>
    </row>
    <row r="2343" spans="1:42" customFormat="1" x14ac:dyDescent="0.3">
      <c r="A2343" s="50" t="s">
        <v>8319</v>
      </c>
      <c r="B2343" s="51" t="s">
        <v>8320</v>
      </c>
      <c r="C2343" s="50" t="s">
        <v>11626</v>
      </c>
      <c r="D2343" s="51" t="s">
        <v>1491</v>
      </c>
      <c r="E2343" s="50" t="s">
        <v>11626</v>
      </c>
      <c r="F2343" s="51" t="s">
        <v>1493</v>
      </c>
      <c r="G2343" s="50" t="s">
        <v>11626</v>
      </c>
      <c r="H2343" s="51" t="s">
        <v>1491</v>
      </c>
      <c r="I2343" s="51"/>
      <c r="J2343" s="51"/>
      <c r="K2343" s="50" t="s">
        <v>11626</v>
      </c>
      <c r="L2343" s="51" t="s">
        <v>1491</v>
      </c>
      <c r="M2343" s="420" t="s">
        <v>271</v>
      </c>
      <c r="N2343" s="420" t="s">
        <v>271</v>
      </c>
      <c r="O2343" s="420" t="s">
        <v>271</v>
      </c>
      <c r="P2343" s="60" t="s">
        <v>271</v>
      </c>
      <c r="Q2343" s="60" t="s">
        <v>271</v>
      </c>
      <c r="R2343" s="60" t="s">
        <v>271</v>
      </c>
      <c r="S2343" s="60" t="s">
        <v>271</v>
      </c>
      <c r="T2343" s="60" t="s">
        <v>271</v>
      </c>
      <c r="U2343" s="60" t="s">
        <v>271</v>
      </c>
      <c r="V2343" s="51" t="s">
        <v>1495</v>
      </c>
      <c r="W2343" s="54"/>
      <c r="X2343" s="54"/>
      <c r="Y2343" s="54"/>
      <c r="Z2343" s="54"/>
      <c r="AA2343" s="54"/>
      <c r="AB2343" s="54"/>
      <c r="AC2343" s="54"/>
      <c r="AD2343" s="54"/>
      <c r="AE2343" s="55"/>
      <c r="AF2343" s="56"/>
      <c r="AG2343" s="55"/>
      <c r="AH2343" s="56"/>
      <c r="AI2343" s="56"/>
      <c r="AJ2343" s="56"/>
      <c r="AK2343" s="57">
        <v>966.89867456148033</v>
      </c>
      <c r="AL2343" s="57">
        <v>942.08259598900054</v>
      </c>
      <c r="AM2343" s="147">
        <f t="shared" si="98"/>
        <v>1908.981270550481</v>
      </c>
      <c r="AN2343" s="52"/>
      <c r="AO2343" s="52"/>
      <c r="AP2343" s="51"/>
    </row>
    <row r="2344" spans="1:42" s="53" customFormat="1" x14ac:dyDescent="0.3">
      <c r="A2344" s="148" t="s">
        <v>8319</v>
      </c>
      <c r="B2344" t="s">
        <v>8320</v>
      </c>
      <c r="C2344" s="148" t="s">
        <v>9344</v>
      </c>
      <c r="D2344" t="s">
        <v>9345</v>
      </c>
      <c r="E2344" s="148" t="s">
        <v>9346</v>
      </c>
      <c r="F2344" t="s">
        <v>9347</v>
      </c>
      <c r="G2344" t="s">
        <v>9348</v>
      </c>
      <c r="H2344" t="s">
        <v>9349</v>
      </c>
      <c r="I2344" s="148" t="s">
        <v>9350</v>
      </c>
      <c r="J2344" t="s">
        <v>9351</v>
      </c>
      <c r="K2344" s="148" t="s">
        <v>9352</v>
      </c>
      <c r="L2344" t="s">
        <v>9353</v>
      </c>
      <c r="M2344" s="1" t="s">
        <v>9354</v>
      </c>
      <c r="N2344" s="1">
        <v>36</v>
      </c>
      <c r="O2344" s="1">
        <v>40</v>
      </c>
      <c r="P2344" s="3">
        <v>44</v>
      </c>
      <c r="Q2344" s="3">
        <v>50</v>
      </c>
      <c r="R2344" s="3">
        <v>56</v>
      </c>
      <c r="S2344" s="3">
        <v>64</v>
      </c>
      <c r="T2344" t="s">
        <v>9355</v>
      </c>
      <c r="U2344" t="e">
        <v>#N/A</v>
      </c>
      <c r="V2344" t="s">
        <v>9356</v>
      </c>
      <c r="W2344" s="45">
        <v>1</v>
      </c>
      <c r="X2344" s="45">
        <v>1</v>
      </c>
      <c r="Y2344" s="45">
        <v>1</v>
      </c>
      <c r="Z2344" s="45">
        <v>1</v>
      </c>
      <c r="AA2344" s="45">
        <v>1</v>
      </c>
      <c r="AB2344" s="45">
        <v>1</v>
      </c>
      <c r="AC2344" s="150">
        <v>1</v>
      </c>
      <c r="AD2344" s="150">
        <v>1</v>
      </c>
      <c r="AE2344" s="49">
        <f t="shared" ref="AE2344:AE2407" si="99">SUM(W2344:AD2344)/8</f>
        <v>1</v>
      </c>
      <c r="AF2344" s="44"/>
      <c r="AG2344" s="17">
        <v>0</v>
      </c>
      <c r="AH2344" s="44">
        <v>0.4</v>
      </c>
      <c r="AI2344" s="44">
        <v>0.4</v>
      </c>
      <c r="AJ2344" s="44">
        <v>0.4</v>
      </c>
      <c r="AK2344" s="151">
        <v>0.4</v>
      </c>
      <c r="AL2344" s="151">
        <v>0.4</v>
      </c>
      <c r="AM2344" s="147">
        <f t="shared" si="98"/>
        <v>0.8</v>
      </c>
      <c r="AN2344" s="18" t="s">
        <v>255</v>
      </c>
      <c r="AO2344" s="18" t="s">
        <v>1045</v>
      </c>
      <c r="AP2344" t="s">
        <v>9357</v>
      </c>
    </row>
    <row r="2345" spans="1:42" s="53" customFormat="1" x14ac:dyDescent="0.3">
      <c r="A2345" s="148" t="s">
        <v>8319</v>
      </c>
      <c r="B2345" t="s">
        <v>8320</v>
      </c>
      <c r="C2345" s="148" t="s">
        <v>9344</v>
      </c>
      <c r="D2345" t="s">
        <v>9345</v>
      </c>
      <c r="E2345" s="148" t="s">
        <v>9346</v>
      </c>
      <c r="F2345" t="s">
        <v>9347</v>
      </c>
      <c r="G2345" t="s">
        <v>9348</v>
      </c>
      <c r="H2345" t="s">
        <v>9349</v>
      </c>
      <c r="I2345" s="148" t="s">
        <v>9350</v>
      </c>
      <c r="J2345" t="s">
        <v>9351</v>
      </c>
      <c r="K2345" s="148" t="s">
        <v>9352</v>
      </c>
      <c r="L2345" t="s">
        <v>9353</v>
      </c>
      <c r="M2345" s="1"/>
      <c r="N2345" s="1"/>
      <c r="O2345" s="1"/>
      <c r="P2345" s="3"/>
      <c r="Q2345" s="3"/>
      <c r="R2345" s="3"/>
      <c r="S2345" s="3"/>
      <c r="T2345"/>
      <c r="U2345" t="e">
        <v>#N/A</v>
      </c>
      <c r="V2345" t="s">
        <v>9358</v>
      </c>
      <c r="W2345" s="45">
        <v>1</v>
      </c>
      <c r="X2345" s="45">
        <v>1</v>
      </c>
      <c r="Y2345" s="45">
        <v>1</v>
      </c>
      <c r="Z2345" s="45">
        <v>1</v>
      </c>
      <c r="AA2345" s="45">
        <v>1</v>
      </c>
      <c r="AB2345" s="45">
        <v>1</v>
      </c>
      <c r="AC2345" s="150">
        <v>1</v>
      </c>
      <c r="AD2345" s="150">
        <v>1</v>
      </c>
      <c r="AE2345" s="49">
        <f t="shared" si="99"/>
        <v>1</v>
      </c>
      <c r="AF2345" s="44"/>
      <c r="AG2345" s="17"/>
      <c r="AH2345" s="44">
        <v>0.8</v>
      </c>
      <c r="AI2345" s="44">
        <v>0.8</v>
      </c>
      <c r="AJ2345" s="44">
        <v>0.8</v>
      </c>
      <c r="AK2345" s="151">
        <v>0.8</v>
      </c>
      <c r="AL2345" s="151">
        <v>0.8</v>
      </c>
      <c r="AM2345" s="147">
        <f t="shared" si="98"/>
        <v>1.6</v>
      </c>
      <c r="AN2345" s="18" t="s">
        <v>255</v>
      </c>
      <c r="AO2345" s="18" t="s">
        <v>1045</v>
      </c>
      <c r="AP2345" t="s">
        <v>9359</v>
      </c>
    </row>
    <row r="2346" spans="1:42" s="53" customFormat="1" x14ac:dyDescent="0.3">
      <c r="A2346" s="148" t="s">
        <v>8319</v>
      </c>
      <c r="B2346" t="s">
        <v>8320</v>
      </c>
      <c r="C2346" s="148" t="s">
        <v>9344</v>
      </c>
      <c r="D2346" t="s">
        <v>9345</v>
      </c>
      <c r="E2346" s="148" t="s">
        <v>9346</v>
      </c>
      <c r="F2346" t="s">
        <v>9347</v>
      </c>
      <c r="G2346" t="s">
        <v>9348</v>
      </c>
      <c r="H2346" t="s">
        <v>9349</v>
      </c>
      <c r="I2346" s="148" t="s">
        <v>9360</v>
      </c>
      <c r="J2346" t="s">
        <v>9361</v>
      </c>
      <c r="K2346" s="148" t="s">
        <v>9362</v>
      </c>
      <c r="L2346" t="s">
        <v>9363</v>
      </c>
      <c r="M2346" s="1" t="s">
        <v>9364</v>
      </c>
      <c r="N2346" s="1" t="s">
        <v>9365</v>
      </c>
      <c r="O2346" s="1">
        <v>10</v>
      </c>
      <c r="P2346" s="3">
        <v>15</v>
      </c>
      <c r="Q2346" s="3">
        <v>20</v>
      </c>
      <c r="R2346" s="3">
        <v>25</v>
      </c>
      <c r="S2346" s="3">
        <v>30</v>
      </c>
      <c r="T2346" t="s">
        <v>9366</v>
      </c>
      <c r="U2346" t="e">
        <v>#N/A</v>
      </c>
      <c r="V2346" t="s">
        <v>9367</v>
      </c>
      <c r="W2346" s="45">
        <v>1</v>
      </c>
      <c r="X2346" s="45">
        <v>1</v>
      </c>
      <c r="Y2346" s="45">
        <v>1</v>
      </c>
      <c r="Z2346" s="45">
        <v>1</v>
      </c>
      <c r="AA2346" s="45">
        <v>1</v>
      </c>
      <c r="AB2346" s="45">
        <v>1</v>
      </c>
      <c r="AC2346" s="150">
        <v>1</v>
      </c>
      <c r="AD2346" s="150">
        <v>1</v>
      </c>
      <c r="AE2346" s="49">
        <f t="shared" si="99"/>
        <v>1</v>
      </c>
      <c r="AF2346" s="44"/>
      <c r="AG2346" s="17">
        <v>0</v>
      </c>
      <c r="AH2346" s="44">
        <v>0.5</v>
      </c>
      <c r="AI2346" s="44">
        <v>0.5</v>
      </c>
      <c r="AJ2346" s="44">
        <v>0.5</v>
      </c>
      <c r="AK2346" s="151">
        <v>0.5</v>
      </c>
      <c r="AL2346" s="151">
        <v>0.5</v>
      </c>
      <c r="AM2346" s="147">
        <f t="shared" si="98"/>
        <v>1</v>
      </c>
      <c r="AN2346" t="s">
        <v>723</v>
      </c>
      <c r="AO2346" s="18" t="s">
        <v>729</v>
      </c>
      <c r="AP2346" t="s">
        <v>9368</v>
      </c>
    </row>
    <row r="2347" spans="1:42" customFormat="1" x14ac:dyDescent="0.3">
      <c r="A2347" s="148" t="s">
        <v>8319</v>
      </c>
      <c r="B2347" t="s">
        <v>8320</v>
      </c>
      <c r="C2347" s="148" t="s">
        <v>9369</v>
      </c>
      <c r="D2347" t="s">
        <v>9370</v>
      </c>
      <c r="E2347" s="148" t="s">
        <v>9371</v>
      </c>
      <c r="F2347" t="s">
        <v>9372</v>
      </c>
      <c r="G2347" s="148" t="s">
        <v>9373</v>
      </c>
      <c r="H2347" t="s">
        <v>9374</v>
      </c>
      <c r="I2347" t="s">
        <v>9375</v>
      </c>
      <c r="J2347" t="s">
        <v>9376</v>
      </c>
      <c r="K2347" s="148" t="s">
        <v>9377</v>
      </c>
      <c r="L2347" t="s">
        <v>9378</v>
      </c>
      <c r="M2347" s="1" t="s">
        <v>9379</v>
      </c>
      <c r="N2347" s="1">
        <v>1076</v>
      </c>
      <c r="O2347" s="1">
        <v>2592</v>
      </c>
      <c r="P2347" s="3">
        <v>2592</v>
      </c>
      <c r="Q2347" s="3">
        <v>2592</v>
      </c>
      <c r="R2347" s="3">
        <v>2592</v>
      </c>
      <c r="S2347" s="3">
        <v>2592</v>
      </c>
      <c r="T2347" t="s">
        <v>1536</v>
      </c>
      <c r="U2347" t="e">
        <v>#N/A</v>
      </c>
      <c r="V2347" t="s">
        <v>9380</v>
      </c>
      <c r="W2347" s="45">
        <v>1</v>
      </c>
      <c r="X2347" s="45">
        <v>1</v>
      </c>
      <c r="Y2347" s="45">
        <v>1</v>
      </c>
      <c r="Z2347" s="45">
        <v>1</v>
      </c>
      <c r="AA2347" s="45">
        <v>1</v>
      </c>
      <c r="AB2347" s="45">
        <v>1</v>
      </c>
      <c r="AC2347" s="150">
        <v>1</v>
      </c>
      <c r="AD2347" s="150">
        <v>1</v>
      </c>
      <c r="AE2347" s="49">
        <f t="shared" si="99"/>
        <v>1</v>
      </c>
      <c r="AF2347" s="44"/>
      <c r="AG2347" s="17">
        <v>0</v>
      </c>
      <c r="AH2347" s="44">
        <v>0.51839999999999997</v>
      </c>
      <c r="AI2347" s="44">
        <v>0.51839999999999997</v>
      </c>
      <c r="AJ2347" s="44">
        <v>0.51839999999999997</v>
      </c>
      <c r="AK2347" s="377">
        <v>6.5183999999999997</v>
      </c>
      <c r="AL2347" s="377">
        <v>5.5183999999999997</v>
      </c>
      <c r="AM2347" s="147">
        <f t="shared" si="98"/>
        <v>12.036799999999999</v>
      </c>
      <c r="AN2347" s="18" t="s">
        <v>771</v>
      </c>
      <c r="AO2347" s="18" t="s">
        <v>773</v>
      </c>
      <c r="AP2347" t="s">
        <v>119</v>
      </c>
    </row>
    <row r="2348" spans="1:42" customFormat="1" x14ac:dyDescent="0.3">
      <c r="A2348" s="148" t="s">
        <v>8319</v>
      </c>
      <c r="B2348" t="s">
        <v>8320</v>
      </c>
      <c r="C2348" s="148" t="s">
        <v>9369</v>
      </c>
      <c r="D2348" t="s">
        <v>9370</v>
      </c>
      <c r="E2348" s="148" t="s">
        <v>9371</v>
      </c>
      <c r="F2348" t="s">
        <v>9372</v>
      </c>
      <c r="G2348" s="148" t="s">
        <v>9373</v>
      </c>
      <c r="H2348" t="s">
        <v>9374</v>
      </c>
      <c r="I2348" t="s">
        <v>9375</v>
      </c>
      <c r="J2348" t="s">
        <v>9376</v>
      </c>
      <c r="K2348" s="148" t="s">
        <v>9377</v>
      </c>
      <c r="L2348" t="s">
        <v>9378</v>
      </c>
      <c r="M2348" s="1" t="s">
        <v>9381</v>
      </c>
      <c r="N2348" s="1">
        <v>432</v>
      </c>
      <c r="O2348" s="1">
        <v>1000</v>
      </c>
      <c r="P2348" s="3">
        <v>1000</v>
      </c>
      <c r="Q2348" s="3">
        <v>1000</v>
      </c>
      <c r="R2348" s="3">
        <v>1000</v>
      </c>
      <c r="S2348" s="3">
        <v>1000</v>
      </c>
      <c r="T2348" t="s">
        <v>1536</v>
      </c>
      <c r="U2348" t="e">
        <v>#N/A</v>
      </c>
      <c r="V2348" t="s">
        <v>9382</v>
      </c>
      <c r="W2348" s="45">
        <v>1</v>
      </c>
      <c r="X2348" s="45">
        <v>1</v>
      </c>
      <c r="Y2348" s="45">
        <v>1</v>
      </c>
      <c r="Z2348" s="45">
        <v>1</v>
      </c>
      <c r="AA2348" s="45">
        <v>1</v>
      </c>
      <c r="AB2348" s="45">
        <v>1</v>
      </c>
      <c r="AC2348" s="150">
        <v>1</v>
      </c>
      <c r="AD2348" s="150">
        <v>1</v>
      </c>
      <c r="AE2348" s="49">
        <f t="shared" si="99"/>
        <v>1</v>
      </c>
      <c r="AF2348" s="44"/>
      <c r="AG2348" s="17">
        <v>0</v>
      </c>
      <c r="AH2348" s="44" t="s">
        <v>9383</v>
      </c>
      <c r="AI2348" s="44" t="s">
        <v>9383</v>
      </c>
      <c r="AJ2348" s="44" t="s">
        <v>9383</v>
      </c>
      <c r="AK2348" s="151">
        <v>3.3</v>
      </c>
      <c r="AL2348" s="151">
        <v>3.3</v>
      </c>
      <c r="AM2348" s="147">
        <f t="shared" si="98"/>
        <v>6.6</v>
      </c>
      <c r="AN2348" s="18" t="s">
        <v>771</v>
      </c>
      <c r="AO2348" s="18" t="s">
        <v>773</v>
      </c>
      <c r="AP2348" t="s">
        <v>119</v>
      </c>
    </row>
    <row r="2349" spans="1:42" customFormat="1" x14ac:dyDescent="0.3">
      <c r="A2349" s="148" t="s">
        <v>8319</v>
      </c>
      <c r="B2349" t="s">
        <v>8320</v>
      </c>
      <c r="C2349" s="148" t="s">
        <v>9369</v>
      </c>
      <c r="D2349" t="s">
        <v>9370</v>
      </c>
      <c r="E2349" s="148" t="s">
        <v>9371</v>
      </c>
      <c r="F2349" t="s">
        <v>9372</v>
      </c>
      <c r="G2349" s="148" t="s">
        <v>9373</v>
      </c>
      <c r="H2349" t="s">
        <v>9374</v>
      </c>
      <c r="I2349" s="148" t="s">
        <v>9384</v>
      </c>
      <c r="J2349" t="s">
        <v>9385</v>
      </c>
      <c r="K2349" s="148" t="s">
        <v>9386</v>
      </c>
      <c r="L2349" t="s">
        <v>9387</v>
      </c>
      <c r="M2349" s="1" t="s">
        <v>9388</v>
      </c>
      <c r="N2349" s="1" t="s">
        <v>9365</v>
      </c>
      <c r="O2349" s="1">
        <v>32000</v>
      </c>
      <c r="P2349" s="3">
        <v>42000</v>
      </c>
      <c r="Q2349" s="3">
        <v>47000</v>
      </c>
      <c r="R2349" s="3">
        <v>48000</v>
      </c>
      <c r="S2349" s="3">
        <v>50000</v>
      </c>
      <c r="T2349" t="s">
        <v>1536</v>
      </c>
      <c r="U2349" t="e">
        <v>#N/A</v>
      </c>
      <c r="V2349" t="s">
        <v>9389</v>
      </c>
      <c r="W2349" s="45">
        <v>1</v>
      </c>
      <c r="X2349" s="45">
        <v>1</v>
      </c>
      <c r="Y2349" s="45">
        <v>1</v>
      </c>
      <c r="Z2349" s="45">
        <v>1</v>
      </c>
      <c r="AA2349" s="45">
        <v>1</v>
      </c>
      <c r="AB2349" s="45">
        <v>1</v>
      </c>
      <c r="AC2349" s="150">
        <v>1</v>
      </c>
      <c r="AD2349" s="150">
        <v>1</v>
      </c>
      <c r="AE2349" s="49">
        <f t="shared" si="99"/>
        <v>1</v>
      </c>
      <c r="AF2349" s="44"/>
      <c r="AG2349" s="17">
        <v>0</v>
      </c>
      <c r="AH2349" s="44">
        <v>0.5</v>
      </c>
      <c r="AI2349" s="44">
        <v>0.5</v>
      </c>
      <c r="AJ2349" s="44">
        <v>15</v>
      </c>
      <c r="AK2349" s="151">
        <v>15</v>
      </c>
      <c r="AL2349" s="151">
        <v>15</v>
      </c>
      <c r="AM2349" s="147">
        <f t="shared" si="98"/>
        <v>30</v>
      </c>
      <c r="AN2349" s="18" t="s">
        <v>771</v>
      </c>
      <c r="AO2349" s="18" t="s">
        <v>773</v>
      </c>
      <c r="AP2349" t="s">
        <v>9390</v>
      </c>
    </row>
    <row r="2350" spans="1:42" customFormat="1" x14ac:dyDescent="0.3">
      <c r="A2350" s="148" t="s">
        <v>8319</v>
      </c>
      <c r="B2350" t="s">
        <v>8320</v>
      </c>
      <c r="C2350" s="148" t="s">
        <v>9369</v>
      </c>
      <c r="D2350" t="s">
        <v>9370</v>
      </c>
      <c r="E2350" s="148" t="s">
        <v>9371</v>
      </c>
      <c r="F2350" t="s">
        <v>9372</v>
      </c>
      <c r="G2350" s="148" t="s">
        <v>9373</v>
      </c>
      <c r="H2350" t="s">
        <v>9374</v>
      </c>
      <c r="I2350" s="148" t="s">
        <v>9391</v>
      </c>
      <c r="J2350" t="s">
        <v>9392</v>
      </c>
      <c r="K2350" s="148" t="s">
        <v>9393</v>
      </c>
      <c r="L2350" t="s">
        <v>9394</v>
      </c>
      <c r="M2350" s="1" t="s">
        <v>9395</v>
      </c>
      <c r="N2350" s="1" t="s">
        <v>9365</v>
      </c>
      <c r="O2350" s="1" t="s">
        <v>9396</v>
      </c>
      <c r="P2350" s="3">
        <v>10000</v>
      </c>
      <c r="Q2350" s="3">
        <v>20000</v>
      </c>
      <c r="R2350" s="3">
        <v>20000</v>
      </c>
      <c r="S2350" s="3">
        <v>30000</v>
      </c>
      <c r="T2350" t="s">
        <v>255</v>
      </c>
      <c r="U2350" t="s">
        <v>1045</v>
      </c>
      <c r="V2350" t="s">
        <v>9397</v>
      </c>
      <c r="W2350" s="45">
        <v>1</v>
      </c>
      <c r="X2350" s="45">
        <v>1</v>
      </c>
      <c r="Y2350" s="45">
        <v>1</v>
      </c>
      <c r="Z2350" s="45">
        <v>1</v>
      </c>
      <c r="AA2350" s="45">
        <v>1</v>
      </c>
      <c r="AB2350" s="45">
        <v>1</v>
      </c>
      <c r="AC2350" s="150">
        <v>1</v>
      </c>
      <c r="AD2350" s="150">
        <v>1</v>
      </c>
      <c r="AE2350" s="49">
        <f t="shared" si="99"/>
        <v>1</v>
      </c>
      <c r="AF2350" s="44"/>
      <c r="AG2350" s="17">
        <v>0</v>
      </c>
      <c r="AH2350" s="44" t="s">
        <v>3565</v>
      </c>
      <c r="AI2350" s="44">
        <v>2</v>
      </c>
      <c r="AJ2350" s="44">
        <v>10</v>
      </c>
      <c r="AK2350" s="151">
        <v>15</v>
      </c>
      <c r="AL2350" s="151">
        <v>15</v>
      </c>
      <c r="AM2350" s="147">
        <f t="shared" si="98"/>
        <v>30</v>
      </c>
      <c r="AN2350" s="18" t="s">
        <v>255</v>
      </c>
      <c r="AO2350" s="18" t="s">
        <v>1045</v>
      </c>
      <c r="AP2350" t="s">
        <v>9390</v>
      </c>
    </row>
    <row r="2351" spans="1:42" customFormat="1" x14ac:dyDescent="0.3">
      <c r="A2351" s="148" t="s">
        <v>8319</v>
      </c>
      <c r="B2351" t="s">
        <v>8320</v>
      </c>
      <c r="C2351" s="148" t="s">
        <v>9344</v>
      </c>
      <c r="D2351" t="s">
        <v>9345</v>
      </c>
      <c r="E2351" s="148" t="s">
        <v>9398</v>
      </c>
      <c r="F2351" t="s">
        <v>9399</v>
      </c>
      <c r="G2351" s="148" t="s">
        <v>9400</v>
      </c>
      <c r="H2351" t="s">
        <v>9401</v>
      </c>
      <c r="I2351" s="148" t="s">
        <v>9402</v>
      </c>
      <c r="J2351" t="s">
        <v>9403</v>
      </c>
      <c r="K2351" s="155" t="s">
        <v>9404</v>
      </c>
      <c r="L2351" t="s">
        <v>9405</v>
      </c>
      <c r="M2351" s="1" t="s">
        <v>9406</v>
      </c>
      <c r="N2351" s="1" t="s">
        <v>119</v>
      </c>
      <c r="O2351" s="1">
        <v>1</v>
      </c>
      <c r="P2351" s="3">
        <v>8</v>
      </c>
      <c r="Q2351" s="3">
        <v>5</v>
      </c>
      <c r="R2351" s="3">
        <v>5</v>
      </c>
      <c r="S2351" s="3">
        <v>2</v>
      </c>
      <c r="T2351" t="s">
        <v>9407</v>
      </c>
      <c r="U2351" t="e">
        <v>#N/A</v>
      </c>
      <c r="V2351" t="s">
        <v>9408</v>
      </c>
      <c r="W2351" s="45">
        <v>1</v>
      </c>
      <c r="X2351" s="45">
        <v>1</v>
      </c>
      <c r="Y2351" s="45">
        <v>1</v>
      </c>
      <c r="Z2351" s="45">
        <v>1</v>
      </c>
      <c r="AA2351" s="45">
        <v>1</v>
      </c>
      <c r="AB2351" s="45">
        <v>1</v>
      </c>
      <c r="AC2351" s="150">
        <v>1</v>
      </c>
      <c r="AD2351" s="150">
        <v>1</v>
      </c>
      <c r="AE2351" s="49">
        <f t="shared" si="99"/>
        <v>1</v>
      </c>
      <c r="AF2351" s="44"/>
      <c r="AG2351" s="17"/>
      <c r="AH2351" s="44">
        <v>0.5</v>
      </c>
      <c r="AI2351" s="44">
        <v>78</v>
      </c>
      <c r="AJ2351" s="44">
        <v>50</v>
      </c>
      <c r="AK2351" s="151">
        <v>30</v>
      </c>
      <c r="AL2351" s="151">
        <f>16+1.27</f>
        <v>17.27</v>
      </c>
      <c r="AM2351" s="147">
        <f t="shared" si="98"/>
        <v>47.269999999999996</v>
      </c>
      <c r="AN2351" s="44" t="s">
        <v>9409</v>
      </c>
      <c r="AO2351" s="18" t="s">
        <v>729</v>
      </c>
      <c r="AP2351" t="s">
        <v>723</v>
      </c>
    </row>
    <row r="2352" spans="1:42" customFormat="1" x14ac:dyDescent="0.3">
      <c r="A2352" s="148" t="s">
        <v>8319</v>
      </c>
      <c r="B2352" t="s">
        <v>8320</v>
      </c>
      <c r="C2352" s="148" t="s">
        <v>9410</v>
      </c>
      <c r="D2352" t="s">
        <v>9411</v>
      </c>
      <c r="E2352" s="148" t="s">
        <v>9412</v>
      </c>
      <c r="F2352" t="s">
        <v>9413</v>
      </c>
      <c r="G2352" s="148" t="s">
        <v>9414</v>
      </c>
      <c r="H2352" t="s">
        <v>9415</v>
      </c>
      <c r="K2352" s="148" t="s">
        <v>9416</v>
      </c>
      <c r="L2352" t="s">
        <v>9417</v>
      </c>
      <c r="M2352" s="1" t="s">
        <v>9418</v>
      </c>
      <c r="N2352" s="1"/>
      <c r="O2352" s="1"/>
      <c r="P2352" s="3">
        <v>5</v>
      </c>
      <c r="Q2352" s="3">
        <v>5</v>
      </c>
      <c r="R2352" s="3">
        <v>5</v>
      </c>
      <c r="S2352" s="3">
        <v>5</v>
      </c>
      <c r="T2352" t="s">
        <v>255</v>
      </c>
      <c r="U2352" t="s">
        <v>1045</v>
      </c>
      <c r="V2352" t="s">
        <v>9419</v>
      </c>
      <c r="W2352" s="45">
        <v>1</v>
      </c>
      <c r="X2352" s="45">
        <v>1</v>
      </c>
      <c r="Y2352" s="45">
        <v>1</v>
      </c>
      <c r="Z2352" s="45">
        <v>1</v>
      </c>
      <c r="AA2352" s="45">
        <v>1</v>
      </c>
      <c r="AB2352" s="45">
        <v>1</v>
      </c>
      <c r="AC2352" s="150">
        <v>1</v>
      </c>
      <c r="AD2352" s="150">
        <v>1</v>
      </c>
      <c r="AE2352" s="49">
        <f t="shared" si="99"/>
        <v>1</v>
      </c>
      <c r="AF2352" s="17"/>
      <c r="AG2352" s="17">
        <v>0</v>
      </c>
      <c r="AH2352" s="17">
        <v>0</v>
      </c>
      <c r="AI2352" s="17">
        <v>0</v>
      </c>
      <c r="AJ2352" s="17">
        <v>0</v>
      </c>
      <c r="AK2352" s="153">
        <v>0</v>
      </c>
      <c r="AL2352" s="154">
        <v>0</v>
      </c>
      <c r="AM2352" s="147">
        <f t="shared" si="98"/>
        <v>0</v>
      </c>
      <c r="AN2352" t="s">
        <v>3643</v>
      </c>
      <c r="AO2352" s="18" t="s">
        <v>3630</v>
      </c>
      <c r="AP2352" t="s">
        <v>255</v>
      </c>
    </row>
    <row r="2353" spans="1:42" customFormat="1" x14ac:dyDescent="0.3">
      <c r="A2353" s="148" t="s">
        <v>8319</v>
      </c>
      <c r="B2353" t="s">
        <v>8320</v>
      </c>
      <c r="C2353" s="148" t="s">
        <v>9410</v>
      </c>
      <c r="D2353" t="s">
        <v>9411</v>
      </c>
      <c r="E2353" s="148" t="s">
        <v>9412</v>
      </c>
      <c r="F2353" t="s">
        <v>9413</v>
      </c>
      <c r="G2353" s="148" t="s">
        <v>9414</v>
      </c>
      <c r="H2353" t="s">
        <v>9415</v>
      </c>
      <c r="K2353" s="148" t="s">
        <v>9416</v>
      </c>
      <c r="L2353" t="s">
        <v>9417</v>
      </c>
      <c r="M2353" s="1" t="s">
        <v>9420</v>
      </c>
      <c r="N2353" s="1"/>
      <c r="O2353" s="1">
        <v>12</v>
      </c>
      <c r="P2353" s="3">
        <v>12</v>
      </c>
      <c r="Q2353" s="3">
        <v>12</v>
      </c>
      <c r="R2353" s="3">
        <v>12</v>
      </c>
      <c r="S2353" s="3">
        <v>12</v>
      </c>
      <c r="T2353" t="s">
        <v>9421</v>
      </c>
      <c r="U2353" t="e">
        <v>#N/A</v>
      </c>
      <c r="V2353" t="s">
        <v>9422</v>
      </c>
      <c r="W2353" s="45">
        <v>1</v>
      </c>
      <c r="X2353" s="45">
        <v>1</v>
      </c>
      <c r="Y2353" s="45">
        <v>1</v>
      </c>
      <c r="Z2353" s="45">
        <v>1</v>
      </c>
      <c r="AA2353" s="45">
        <v>1</v>
      </c>
      <c r="AB2353" s="45">
        <v>1</v>
      </c>
      <c r="AC2353" s="150">
        <v>1</v>
      </c>
      <c r="AD2353" s="150">
        <v>1</v>
      </c>
      <c r="AE2353" s="49">
        <f t="shared" si="99"/>
        <v>1</v>
      </c>
      <c r="AF2353" s="17"/>
      <c r="AG2353" s="17">
        <v>0</v>
      </c>
      <c r="AH2353" s="17">
        <v>0</v>
      </c>
      <c r="AI2353" s="17">
        <v>0</v>
      </c>
      <c r="AJ2353" s="17">
        <v>0</v>
      </c>
      <c r="AK2353" s="153">
        <v>0</v>
      </c>
      <c r="AL2353" s="154">
        <v>0</v>
      </c>
      <c r="AM2353" s="147">
        <f t="shared" si="98"/>
        <v>0</v>
      </c>
      <c r="AN2353" t="s">
        <v>3643</v>
      </c>
      <c r="AO2353" s="18" t="s">
        <v>3630</v>
      </c>
      <c r="AP2353" t="s">
        <v>9423</v>
      </c>
    </row>
    <row r="2354" spans="1:42" customFormat="1" x14ac:dyDescent="0.3">
      <c r="A2354" s="148" t="s">
        <v>8319</v>
      </c>
      <c r="B2354" t="s">
        <v>8320</v>
      </c>
      <c r="C2354" s="148" t="s">
        <v>9410</v>
      </c>
      <c r="D2354" t="s">
        <v>9411</v>
      </c>
      <c r="E2354" s="148" t="s">
        <v>9412</v>
      </c>
      <c r="F2354" t="s">
        <v>9413</v>
      </c>
      <c r="G2354" s="148" t="s">
        <v>9414</v>
      </c>
      <c r="H2354" t="s">
        <v>9415</v>
      </c>
      <c r="K2354" s="148" t="s">
        <v>9416</v>
      </c>
      <c r="L2354" t="s">
        <v>9417</v>
      </c>
      <c r="M2354" s="1" t="s">
        <v>9424</v>
      </c>
      <c r="N2354" s="1"/>
      <c r="O2354" s="1">
        <v>250</v>
      </c>
      <c r="P2354" s="3">
        <v>250</v>
      </c>
      <c r="Q2354" s="3">
        <v>250</v>
      </c>
      <c r="R2354" s="3">
        <v>250</v>
      </c>
      <c r="S2354" s="3">
        <v>250</v>
      </c>
      <c r="T2354" t="s">
        <v>9421</v>
      </c>
      <c r="U2354" t="e">
        <v>#N/A</v>
      </c>
      <c r="V2354" t="s">
        <v>9425</v>
      </c>
      <c r="W2354" s="45">
        <v>1</v>
      </c>
      <c r="X2354" s="45">
        <v>1</v>
      </c>
      <c r="Y2354" s="45">
        <v>1</v>
      </c>
      <c r="Z2354" s="45">
        <v>1</v>
      </c>
      <c r="AA2354" s="45">
        <v>1</v>
      </c>
      <c r="AB2354" s="45">
        <v>1</v>
      </c>
      <c r="AC2354" s="150">
        <v>1</v>
      </c>
      <c r="AD2354" s="150">
        <v>1</v>
      </c>
      <c r="AE2354" s="49">
        <f t="shared" si="99"/>
        <v>1</v>
      </c>
      <c r="AF2354" s="17"/>
      <c r="AG2354" s="17">
        <v>0</v>
      </c>
      <c r="AH2354" s="17">
        <v>0</v>
      </c>
      <c r="AI2354" s="17">
        <v>0</v>
      </c>
      <c r="AJ2354" s="17">
        <v>0</v>
      </c>
      <c r="AK2354" s="153">
        <v>0</v>
      </c>
      <c r="AL2354" s="154">
        <v>0</v>
      </c>
      <c r="AM2354" s="147">
        <f t="shared" si="98"/>
        <v>0</v>
      </c>
      <c r="AN2354" s="18" t="s">
        <v>255</v>
      </c>
      <c r="AO2354" s="18" t="s">
        <v>1045</v>
      </c>
      <c r="AP2354" t="s">
        <v>9426</v>
      </c>
    </row>
    <row r="2355" spans="1:42" customFormat="1" x14ac:dyDescent="0.3">
      <c r="A2355" s="148" t="s">
        <v>8319</v>
      </c>
      <c r="B2355" t="s">
        <v>8320</v>
      </c>
      <c r="C2355" s="148" t="s">
        <v>9410</v>
      </c>
      <c r="D2355" t="s">
        <v>9411</v>
      </c>
      <c r="E2355" s="148" t="s">
        <v>9412</v>
      </c>
      <c r="F2355" t="s">
        <v>9413</v>
      </c>
      <c r="G2355" s="148" t="s">
        <v>9414</v>
      </c>
      <c r="H2355" t="s">
        <v>9415</v>
      </c>
      <c r="K2355" s="155" t="s">
        <v>9427</v>
      </c>
      <c r="L2355" t="s">
        <v>9428</v>
      </c>
      <c r="M2355" s="1" t="s">
        <v>9429</v>
      </c>
      <c r="N2355" s="1">
        <v>293</v>
      </c>
      <c r="O2355" s="1">
        <v>263</v>
      </c>
      <c r="P2355" s="3">
        <v>230</v>
      </c>
      <c r="Q2355" s="3">
        <v>200</v>
      </c>
      <c r="R2355" s="3">
        <v>170</v>
      </c>
      <c r="S2355" s="3">
        <v>147</v>
      </c>
      <c r="T2355" t="s">
        <v>3643</v>
      </c>
      <c r="U2355" t="s">
        <v>3630</v>
      </c>
      <c r="V2355" t="s">
        <v>9430</v>
      </c>
      <c r="W2355" s="45">
        <v>1</v>
      </c>
      <c r="X2355" s="45">
        <v>1</v>
      </c>
      <c r="Y2355" s="45">
        <v>1</v>
      </c>
      <c r="Z2355" s="45">
        <v>1</v>
      </c>
      <c r="AA2355" s="45">
        <v>1</v>
      </c>
      <c r="AB2355" s="45">
        <v>1</v>
      </c>
      <c r="AC2355" s="150">
        <v>1</v>
      </c>
      <c r="AD2355" s="150">
        <v>1</v>
      </c>
      <c r="AE2355" s="49">
        <f t="shared" si="99"/>
        <v>1</v>
      </c>
      <c r="AF2355" s="17"/>
      <c r="AG2355" s="17">
        <v>0</v>
      </c>
      <c r="AH2355" s="17">
        <v>0</v>
      </c>
      <c r="AI2355" s="17">
        <v>0</v>
      </c>
      <c r="AJ2355" s="17">
        <v>0</v>
      </c>
      <c r="AK2355" s="153">
        <v>0</v>
      </c>
      <c r="AL2355" s="154">
        <v>0</v>
      </c>
      <c r="AM2355" s="147">
        <f t="shared" si="98"/>
        <v>0</v>
      </c>
      <c r="AN2355" s="44" t="s">
        <v>9431</v>
      </c>
      <c r="AO2355" s="18" t="s">
        <v>3630</v>
      </c>
      <c r="AP2355" s="18" t="s">
        <v>9432</v>
      </c>
    </row>
    <row r="2356" spans="1:42" customFormat="1" x14ac:dyDescent="0.3">
      <c r="A2356" s="148" t="s">
        <v>8319</v>
      </c>
      <c r="B2356" t="s">
        <v>8320</v>
      </c>
      <c r="C2356" s="148" t="s">
        <v>9410</v>
      </c>
      <c r="D2356" t="s">
        <v>9411</v>
      </c>
      <c r="E2356" s="148" t="s">
        <v>9412</v>
      </c>
      <c r="F2356" t="s">
        <v>9413</v>
      </c>
      <c r="G2356" s="148" t="s">
        <v>9414</v>
      </c>
      <c r="H2356" t="s">
        <v>9415</v>
      </c>
      <c r="K2356" s="155" t="s">
        <v>9427</v>
      </c>
      <c r="L2356" t="s">
        <v>9428</v>
      </c>
      <c r="M2356" s="1" t="s">
        <v>9433</v>
      </c>
      <c r="N2356" s="1">
        <v>13</v>
      </c>
      <c r="O2356" s="1">
        <v>11</v>
      </c>
      <c r="P2356" s="3">
        <v>10</v>
      </c>
      <c r="Q2356" s="3">
        <v>8</v>
      </c>
      <c r="R2356" s="3">
        <v>7</v>
      </c>
      <c r="S2356" s="3">
        <v>6</v>
      </c>
      <c r="T2356" t="s">
        <v>3643</v>
      </c>
      <c r="U2356" t="s">
        <v>3630</v>
      </c>
      <c r="V2356" t="s">
        <v>9434</v>
      </c>
      <c r="W2356" s="45">
        <v>1</v>
      </c>
      <c r="X2356" s="45">
        <v>1</v>
      </c>
      <c r="Y2356" s="45">
        <v>1</v>
      </c>
      <c r="Z2356" s="45">
        <v>1</v>
      </c>
      <c r="AA2356" s="45">
        <v>1</v>
      </c>
      <c r="AB2356" s="45">
        <v>1</v>
      </c>
      <c r="AC2356" s="150">
        <v>1</v>
      </c>
      <c r="AD2356" s="150">
        <v>1</v>
      </c>
      <c r="AE2356" s="49">
        <f t="shared" si="99"/>
        <v>1</v>
      </c>
      <c r="AF2356" s="17"/>
      <c r="AG2356" s="17">
        <v>0</v>
      </c>
      <c r="AH2356" s="17">
        <v>0</v>
      </c>
      <c r="AI2356" s="17">
        <v>0</v>
      </c>
      <c r="AJ2356" s="17">
        <v>0</v>
      </c>
      <c r="AK2356" s="153">
        <v>0</v>
      </c>
      <c r="AL2356" s="154">
        <v>0</v>
      </c>
      <c r="AM2356" s="147">
        <f t="shared" si="98"/>
        <v>0</v>
      </c>
      <c r="AN2356" t="s">
        <v>3643</v>
      </c>
      <c r="AO2356" s="18" t="s">
        <v>3630</v>
      </c>
      <c r="AP2356" t="s">
        <v>9435</v>
      </c>
    </row>
    <row r="2357" spans="1:42" customFormat="1" x14ac:dyDescent="0.3">
      <c r="A2357" s="148" t="s">
        <v>8319</v>
      </c>
      <c r="B2357" t="s">
        <v>8320</v>
      </c>
      <c r="C2357" s="148" t="s">
        <v>9410</v>
      </c>
      <c r="D2357" t="s">
        <v>9411</v>
      </c>
      <c r="E2357" s="148" t="s">
        <v>9412</v>
      </c>
      <c r="F2357" t="s">
        <v>9413</v>
      </c>
      <c r="G2357" s="148" t="s">
        <v>9414</v>
      </c>
      <c r="H2357" t="s">
        <v>9415</v>
      </c>
      <c r="K2357" s="155" t="s">
        <v>9427</v>
      </c>
      <c r="L2357" t="s">
        <v>9428</v>
      </c>
      <c r="M2357" s="1" t="s">
        <v>9436</v>
      </c>
      <c r="N2357" s="1">
        <v>0.4</v>
      </c>
      <c r="O2357" s="1">
        <v>0.35</v>
      </c>
      <c r="P2357" s="3">
        <v>0.35</v>
      </c>
      <c r="Q2357" s="3">
        <v>0.25</v>
      </c>
      <c r="R2357" s="3">
        <v>0.25</v>
      </c>
      <c r="S2357" s="3">
        <v>0.2</v>
      </c>
      <c r="T2357" t="s">
        <v>3643</v>
      </c>
      <c r="U2357" t="s">
        <v>3630</v>
      </c>
      <c r="V2357" t="s">
        <v>9437</v>
      </c>
      <c r="W2357" s="45">
        <v>1</v>
      </c>
      <c r="X2357" s="45">
        <v>1</v>
      </c>
      <c r="Y2357" s="45">
        <v>1</v>
      </c>
      <c r="Z2357" s="45">
        <v>1</v>
      </c>
      <c r="AA2357" s="45">
        <v>1</v>
      </c>
      <c r="AB2357" s="45">
        <v>1</v>
      </c>
      <c r="AC2357" s="150">
        <v>1</v>
      </c>
      <c r="AD2357" s="150">
        <v>1</v>
      </c>
      <c r="AE2357" s="49">
        <f t="shared" si="99"/>
        <v>1</v>
      </c>
      <c r="AF2357" s="17"/>
      <c r="AG2357" s="17">
        <v>0</v>
      </c>
      <c r="AH2357" s="17">
        <v>0</v>
      </c>
      <c r="AI2357" s="17">
        <v>0</v>
      </c>
      <c r="AJ2357" s="17">
        <v>0</v>
      </c>
      <c r="AK2357" s="153">
        <v>0</v>
      </c>
      <c r="AL2357" s="154">
        <v>0</v>
      </c>
      <c r="AM2357" s="147">
        <f t="shared" si="98"/>
        <v>0</v>
      </c>
      <c r="AN2357" s="44" t="s">
        <v>9431</v>
      </c>
      <c r="AO2357" s="18" t="s">
        <v>3630</v>
      </c>
      <c r="AP2357" s="18" t="s">
        <v>9432</v>
      </c>
    </row>
    <row r="2358" spans="1:42" customFormat="1" x14ac:dyDescent="0.3">
      <c r="A2358" s="148" t="s">
        <v>8319</v>
      </c>
      <c r="B2358" t="s">
        <v>8320</v>
      </c>
      <c r="C2358" s="148" t="s">
        <v>9410</v>
      </c>
      <c r="D2358" t="s">
        <v>9411</v>
      </c>
      <c r="E2358" s="148" t="s">
        <v>9412</v>
      </c>
      <c r="F2358" t="s">
        <v>9413</v>
      </c>
      <c r="G2358" s="148" t="s">
        <v>9414</v>
      </c>
      <c r="H2358" t="s">
        <v>9415</v>
      </c>
      <c r="K2358" s="155" t="s">
        <v>9438</v>
      </c>
      <c r="L2358" t="s">
        <v>9439</v>
      </c>
      <c r="M2358" s="1" t="s">
        <v>9440</v>
      </c>
      <c r="N2358" s="1">
        <v>55</v>
      </c>
      <c r="O2358" s="1">
        <v>60</v>
      </c>
      <c r="P2358" s="3">
        <v>63</v>
      </c>
      <c r="Q2358" s="3">
        <v>66</v>
      </c>
      <c r="R2358" s="3">
        <v>68</v>
      </c>
      <c r="S2358" s="3">
        <v>70</v>
      </c>
      <c r="T2358" t="s">
        <v>3643</v>
      </c>
      <c r="U2358" t="s">
        <v>3630</v>
      </c>
      <c r="W2358" s="45">
        <v>1</v>
      </c>
      <c r="X2358" s="45">
        <v>1</v>
      </c>
      <c r="Y2358" s="45">
        <v>1</v>
      </c>
      <c r="Z2358" s="45">
        <v>1</v>
      </c>
      <c r="AA2358" s="45">
        <v>1</v>
      </c>
      <c r="AB2358" s="45">
        <v>1</v>
      </c>
      <c r="AC2358" s="150">
        <v>1</v>
      </c>
      <c r="AD2358" s="150">
        <v>1</v>
      </c>
      <c r="AE2358" s="49">
        <f t="shared" si="99"/>
        <v>1</v>
      </c>
      <c r="AF2358" s="17"/>
      <c r="AG2358" s="17">
        <v>0</v>
      </c>
      <c r="AH2358" s="17"/>
      <c r="AI2358" s="17"/>
      <c r="AJ2358" s="17"/>
      <c r="AK2358" s="153"/>
      <c r="AL2358" s="154"/>
      <c r="AM2358" s="147">
        <f t="shared" si="98"/>
        <v>0</v>
      </c>
      <c r="AO2358" s="18"/>
    </row>
    <row r="2359" spans="1:42" customFormat="1" x14ac:dyDescent="0.3">
      <c r="A2359" s="148" t="s">
        <v>8319</v>
      </c>
      <c r="B2359" t="s">
        <v>8320</v>
      </c>
      <c r="C2359" s="148" t="s">
        <v>9410</v>
      </c>
      <c r="D2359" t="s">
        <v>9411</v>
      </c>
      <c r="E2359" s="148" t="s">
        <v>9412</v>
      </c>
      <c r="F2359" t="s">
        <v>9413</v>
      </c>
      <c r="G2359" s="148" t="s">
        <v>9414</v>
      </c>
      <c r="H2359" t="s">
        <v>9415</v>
      </c>
      <c r="K2359" s="155" t="s">
        <v>9441</v>
      </c>
      <c r="L2359" t="s">
        <v>9442</v>
      </c>
      <c r="M2359" s="1" t="s">
        <v>9443</v>
      </c>
      <c r="N2359" s="1">
        <v>100</v>
      </c>
      <c r="O2359" s="1">
        <v>100</v>
      </c>
      <c r="P2359" s="3">
        <v>100</v>
      </c>
      <c r="Q2359" s="3">
        <v>100</v>
      </c>
      <c r="R2359" s="3">
        <v>100</v>
      </c>
      <c r="S2359" s="3">
        <v>100</v>
      </c>
      <c r="T2359" t="s">
        <v>3643</v>
      </c>
      <c r="U2359" t="s">
        <v>3630</v>
      </c>
      <c r="V2359" t="s">
        <v>9444</v>
      </c>
      <c r="W2359" s="45">
        <v>1</v>
      </c>
      <c r="X2359" s="45">
        <v>1</v>
      </c>
      <c r="Y2359" s="45">
        <v>1</v>
      </c>
      <c r="Z2359" s="45">
        <v>1</v>
      </c>
      <c r="AA2359" s="45">
        <v>1</v>
      </c>
      <c r="AB2359" s="45">
        <v>1</v>
      </c>
      <c r="AC2359" s="150">
        <v>1</v>
      </c>
      <c r="AD2359" s="150">
        <v>1</v>
      </c>
      <c r="AE2359" s="49">
        <f t="shared" si="99"/>
        <v>1</v>
      </c>
      <c r="AF2359" s="44"/>
      <c r="AG2359" s="17">
        <v>0</v>
      </c>
      <c r="AH2359" s="44">
        <v>2</v>
      </c>
      <c r="AI2359" s="44">
        <v>2</v>
      </c>
      <c r="AJ2359" s="44">
        <v>2</v>
      </c>
      <c r="AK2359" s="151">
        <v>5</v>
      </c>
      <c r="AL2359" s="151">
        <v>5</v>
      </c>
      <c r="AM2359" s="147">
        <f t="shared" si="98"/>
        <v>10</v>
      </c>
      <c r="AN2359" t="s">
        <v>3643</v>
      </c>
      <c r="AO2359" s="18" t="s">
        <v>3630</v>
      </c>
      <c r="AP2359" t="s">
        <v>9445</v>
      </c>
    </row>
    <row r="2360" spans="1:42" customFormat="1" x14ac:dyDescent="0.3">
      <c r="A2360" s="148" t="s">
        <v>8319</v>
      </c>
      <c r="B2360" t="s">
        <v>8320</v>
      </c>
      <c r="C2360" s="148" t="s">
        <v>9410</v>
      </c>
      <c r="D2360" t="s">
        <v>9411</v>
      </c>
      <c r="E2360" s="148" t="s">
        <v>9412</v>
      </c>
      <c r="F2360" t="s">
        <v>9413</v>
      </c>
      <c r="G2360" s="148" t="s">
        <v>9414</v>
      </c>
      <c r="H2360" t="s">
        <v>9415</v>
      </c>
      <c r="K2360" s="155" t="s">
        <v>9441</v>
      </c>
      <c r="L2360" t="s">
        <v>9442</v>
      </c>
      <c r="M2360" s="1"/>
      <c r="N2360" s="1"/>
      <c r="O2360" s="1"/>
      <c r="P2360" s="3"/>
      <c r="Q2360" s="3"/>
      <c r="R2360" s="3"/>
      <c r="S2360" s="3"/>
      <c r="U2360" t="e">
        <v>#N/A</v>
      </c>
      <c r="V2360" t="s">
        <v>9446</v>
      </c>
      <c r="W2360" s="45">
        <v>1</v>
      </c>
      <c r="X2360" s="45">
        <v>1</v>
      </c>
      <c r="Y2360" s="45">
        <v>1</v>
      </c>
      <c r="Z2360" s="45">
        <v>1</v>
      </c>
      <c r="AA2360" s="45">
        <v>1</v>
      </c>
      <c r="AB2360" s="45">
        <v>1</v>
      </c>
      <c r="AC2360" s="150">
        <v>1</v>
      </c>
      <c r="AD2360" s="150">
        <v>1</v>
      </c>
      <c r="AE2360" s="49">
        <f t="shared" si="99"/>
        <v>1</v>
      </c>
      <c r="AF2360" s="44"/>
      <c r="AG2360" s="17">
        <v>0</v>
      </c>
      <c r="AH2360" s="44">
        <v>1</v>
      </c>
      <c r="AI2360" s="44">
        <v>1</v>
      </c>
      <c r="AJ2360" s="44">
        <v>1</v>
      </c>
      <c r="AK2360" s="151">
        <v>1</v>
      </c>
      <c r="AL2360" s="151">
        <v>1</v>
      </c>
      <c r="AM2360" s="147">
        <f t="shared" si="98"/>
        <v>2</v>
      </c>
      <c r="AN2360" t="s">
        <v>3643</v>
      </c>
      <c r="AO2360" s="18" t="s">
        <v>3630</v>
      </c>
      <c r="AP2360" t="s">
        <v>9447</v>
      </c>
    </row>
    <row r="2361" spans="1:42" customFormat="1" x14ac:dyDescent="0.3">
      <c r="A2361" s="148" t="s">
        <v>8319</v>
      </c>
      <c r="B2361" t="s">
        <v>8320</v>
      </c>
      <c r="C2361" s="148" t="s">
        <v>9410</v>
      </c>
      <c r="D2361" t="s">
        <v>9411</v>
      </c>
      <c r="E2361" s="148" t="s">
        <v>9412</v>
      </c>
      <c r="F2361" t="s">
        <v>9413</v>
      </c>
      <c r="G2361" s="148" t="s">
        <v>9448</v>
      </c>
      <c r="H2361" t="s">
        <v>9449</v>
      </c>
      <c r="I2361" s="148" t="s">
        <v>9450</v>
      </c>
      <c r="J2361" t="s">
        <v>9451</v>
      </c>
      <c r="K2361" s="148" t="s">
        <v>9452</v>
      </c>
      <c r="L2361" t="s">
        <v>9453</v>
      </c>
      <c r="M2361" s="1" t="s">
        <v>9454</v>
      </c>
      <c r="N2361" s="1">
        <v>0</v>
      </c>
      <c r="O2361" s="1">
        <v>1</v>
      </c>
      <c r="P2361" s="3">
        <v>1</v>
      </c>
      <c r="Q2361" s="3">
        <v>0</v>
      </c>
      <c r="R2361" s="3">
        <v>0</v>
      </c>
      <c r="S2361" s="3">
        <v>0</v>
      </c>
      <c r="T2361" t="s">
        <v>3643</v>
      </c>
      <c r="U2361" t="s">
        <v>3630</v>
      </c>
      <c r="V2361" t="s">
        <v>9455</v>
      </c>
      <c r="W2361" s="45">
        <v>1</v>
      </c>
      <c r="X2361" s="45">
        <v>1</v>
      </c>
      <c r="Y2361" s="45">
        <v>1</v>
      </c>
      <c r="Z2361" s="45">
        <v>1</v>
      </c>
      <c r="AA2361" s="45">
        <v>1</v>
      </c>
      <c r="AB2361" s="45">
        <v>1</v>
      </c>
      <c r="AC2361" s="150">
        <v>1</v>
      </c>
      <c r="AD2361" s="150">
        <v>1</v>
      </c>
      <c r="AE2361" s="49">
        <f t="shared" si="99"/>
        <v>1</v>
      </c>
      <c r="AF2361" s="17"/>
      <c r="AG2361" s="17">
        <v>0</v>
      </c>
      <c r="AH2361" s="17">
        <v>0</v>
      </c>
      <c r="AI2361" s="17">
        <v>0</v>
      </c>
      <c r="AJ2361" s="44">
        <v>0</v>
      </c>
      <c r="AK2361" s="151">
        <v>0</v>
      </c>
      <c r="AL2361" s="151">
        <v>0</v>
      </c>
      <c r="AM2361" s="147">
        <f t="shared" si="98"/>
        <v>0</v>
      </c>
      <c r="AN2361" t="s">
        <v>3643</v>
      </c>
      <c r="AO2361" s="18" t="s">
        <v>3630</v>
      </c>
      <c r="AP2361" t="s">
        <v>9456</v>
      </c>
    </row>
    <row r="2362" spans="1:42" customFormat="1" x14ac:dyDescent="0.3">
      <c r="A2362" s="148" t="s">
        <v>8319</v>
      </c>
      <c r="B2362" t="s">
        <v>8320</v>
      </c>
      <c r="C2362" s="148" t="s">
        <v>9410</v>
      </c>
      <c r="D2362" t="s">
        <v>9411</v>
      </c>
      <c r="E2362" s="148" t="s">
        <v>9412</v>
      </c>
      <c r="F2362" t="s">
        <v>9413</v>
      </c>
      <c r="G2362" s="148" t="s">
        <v>9448</v>
      </c>
      <c r="H2362" t="s">
        <v>9449</v>
      </c>
      <c r="I2362" s="148" t="s">
        <v>9457</v>
      </c>
      <c r="J2362" t="s">
        <v>9458</v>
      </c>
      <c r="K2362" s="148" t="s">
        <v>9459</v>
      </c>
      <c r="L2362" t="s">
        <v>9460</v>
      </c>
      <c r="M2362" s="1"/>
      <c r="N2362" s="1"/>
      <c r="O2362" s="1"/>
      <c r="P2362" s="3"/>
      <c r="Q2362" s="3"/>
      <c r="R2362" s="3"/>
      <c r="S2362" s="3"/>
      <c r="U2362" t="e">
        <v>#N/A</v>
      </c>
      <c r="V2362" t="s">
        <v>9461</v>
      </c>
      <c r="W2362" s="45">
        <v>1</v>
      </c>
      <c r="X2362" s="45">
        <v>1</v>
      </c>
      <c r="Y2362" s="45">
        <v>1</v>
      </c>
      <c r="Z2362" s="45">
        <v>1</v>
      </c>
      <c r="AA2362" s="45">
        <v>1</v>
      </c>
      <c r="AB2362" s="45">
        <v>1</v>
      </c>
      <c r="AC2362" s="150">
        <v>1</v>
      </c>
      <c r="AD2362" s="150">
        <v>1</v>
      </c>
      <c r="AE2362" s="49">
        <f t="shared" si="99"/>
        <v>1</v>
      </c>
      <c r="AF2362" s="44"/>
      <c r="AG2362" s="17">
        <v>0</v>
      </c>
      <c r="AH2362" s="44">
        <v>105</v>
      </c>
      <c r="AI2362" s="44">
        <v>115</v>
      </c>
      <c r="AJ2362" s="44">
        <v>115</v>
      </c>
      <c r="AK2362" s="151">
        <v>115</v>
      </c>
      <c r="AL2362" s="151">
        <v>115</v>
      </c>
      <c r="AM2362" s="147">
        <f t="shared" si="98"/>
        <v>230</v>
      </c>
      <c r="AN2362" s="44" t="s">
        <v>255</v>
      </c>
      <c r="AO2362" s="18" t="s">
        <v>1045</v>
      </c>
      <c r="AP2362" t="s">
        <v>9462</v>
      </c>
    </row>
    <row r="2363" spans="1:42" customFormat="1" x14ac:dyDescent="0.3">
      <c r="A2363" s="148" t="s">
        <v>8319</v>
      </c>
      <c r="B2363" t="s">
        <v>8320</v>
      </c>
      <c r="C2363" s="148" t="s">
        <v>9410</v>
      </c>
      <c r="D2363" t="s">
        <v>9411</v>
      </c>
      <c r="E2363" s="148" t="s">
        <v>9412</v>
      </c>
      <c r="F2363" t="s">
        <v>9413</v>
      </c>
      <c r="G2363" s="148" t="s">
        <v>9463</v>
      </c>
      <c r="H2363" t="s">
        <v>9464</v>
      </c>
      <c r="I2363" s="148" t="s">
        <v>9465</v>
      </c>
      <c r="J2363" t="s">
        <v>9466</v>
      </c>
      <c r="K2363" s="148" t="s">
        <v>9467</v>
      </c>
      <c r="L2363" t="s">
        <v>9468</v>
      </c>
      <c r="M2363" s="1"/>
      <c r="N2363" s="1"/>
      <c r="O2363" s="1"/>
      <c r="P2363" s="3"/>
      <c r="Q2363" s="3"/>
      <c r="R2363" s="3"/>
      <c r="S2363" s="3"/>
      <c r="U2363" t="e">
        <v>#N/A</v>
      </c>
      <c r="V2363" t="s">
        <v>9469</v>
      </c>
      <c r="W2363" s="45">
        <v>1</v>
      </c>
      <c r="X2363" s="45">
        <v>1</v>
      </c>
      <c r="Y2363" s="45">
        <v>1</v>
      </c>
      <c r="Z2363" s="45">
        <v>1</v>
      </c>
      <c r="AA2363" s="45">
        <v>1</v>
      </c>
      <c r="AB2363" s="45">
        <v>1</v>
      </c>
      <c r="AC2363" s="150">
        <v>1</v>
      </c>
      <c r="AD2363" s="150">
        <v>1</v>
      </c>
      <c r="AE2363" s="49">
        <f t="shared" si="99"/>
        <v>1</v>
      </c>
      <c r="AF2363" s="17"/>
      <c r="AG2363" s="17">
        <v>0</v>
      </c>
      <c r="AH2363" s="17">
        <v>0</v>
      </c>
      <c r="AI2363" s="17">
        <v>0</v>
      </c>
      <c r="AJ2363" s="17">
        <v>0</v>
      </c>
      <c r="AK2363" s="153">
        <v>0</v>
      </c>
      <c r="AL2363" s="154">
        <v>0</v>
      </c>
      <c r="AM2363" s="147">
        <f t="shared" si="98"/>
        <v>0</v>
      </c>
      <c r="AN2363" s="18" t="s">
        <v>407</v>
      </c>
      <c r="AO2363" s="18" t="s">
        <v>409</v>
      </c>
      <c r="AP2363" t="s">
        <v>9470</v>
      </c>
    </row>
    <row r="2364" spans="1:42" customFormat="1" ht="15" customHeight="1" x14ac:dyDescent="0.3">
      <c r="A2364" s="148" t="s">
        <v>8319</v>
      </c>
      <c r="B2364" t="s">
        <v>8320</v>
      </c>
      <c r="C2364" s="148" t="s">
        <v>9410</v>
      </c>
      <c r="D2364" t="s">
        <v>9411</v>
      </c>
      <c r="E2364" s="148" t="s">
        <v>9412</v>
      </c>
      <c r="F2364" t="s">
        <v>9413</v>
      </c>
      <c r="G2364" s="148" t="s">
        <v>9471</v>
      </c>
      <c r="H2364" t="s">
        <v>9472</v>
      </c>
      <c r="K2364" s="148" t="s">
        <v>9473</v>
      </c>
      <c r="L2364" t="s">
        <v>9474</v>
      </c>
      <c r="M2364" s="1" t="s">
        <v>9475</v>
      </c>
      <c r="N2364" s="1"/>
      <c r="O2364" s="1">
        <v>15</v>
      </c>
      <c r="P2364" s="3">
        <v>20</v>
      </c>
      <c r="Q2364" s="3">
        <v>20</v>
      </c>
      <c r="R2364" s="3">
        <v>20</v>
      </c>
      <c r="S2364" s="3">
        <v>20</v>
      </c>
      <c r="T2364" t="s">
        <v>3373</v>
      </c>
      <c r="U2364" t="s">
        <v>7395</v>
      </c>
      <c r="V2364" t="s">
        <v>9476</v>
      </c>
      <c r="W2364" s="45">
        <v>1</v>
      </c>
      <c r="X2364" s="45">
        <v>1</v>
      </c>
      <c r="Y2364" s="45">
        <v>1</v>
      </c>
      <c r="Z2364" s="45">
        <v>1</v>
      </c>
      <c r="AA2364" s="45">
        <v>1</v>
      </c>
      <c r="AB2364" s="45">
        <v>1</v>
      </c>
      <c r="AC2364" s="150">
        <v>1</v>
      </c>
      <c r="AD2364" s="150">
        <v>1</v>
      </c>
      <c r="AE2364" s="49">
        <f t="shared" si="99"/>
        <v>1</v>
      </c>
      <c r="AF2364" s="17"/>
      <c r="AG2364" s="17">
        <v>0</v>
      </c>
      <c r="AH2364" s="17">
        <v>0</v>
      </c>
      <c r="AI2364" s="17">
        <v>0</v>
      </c>
      <c r="AJ2364" s="17">
        <v>0</v>
      </c>
      <c r="AK2364" s="153">
        <v>6</v>
      </c>
      <c r="AL2364" s="154">
        <v>4.3899999999999997</v>
      </c>
      <c r="AM2364" s="147">
        <f t="shared" si="98"/>
        <v>10.39</v>
      </c>
      <c r="AN2364" s="1" t="s">
        <v>3373</v>
      </c>
      <c r="AO2364" s="18" t="s">
        <v>9477</v>
      </c>
      <c r="AP2364" t="s">
        <v>9478</v>
      </c>
    </row>
    <row r="2365" spans="1:42" customFormat="1" x14ac:dyDescent="0.3">
      <c r="A2365" s="148" t="s">
        <v>8319</v>
      </c>
      <c r="B2365" t="s">
        <v>8320</v>
      </c>
      <c r="C2365" s="148" t="s">
        <v>9410</v>
      </c>
      <c r="D2365" t="s">
        <v>9411</v>
      </c>
      <c r="E2365" s="148" t="s">
        <v>9412</v>
      </c>
      <c r="F2365" t="s">
        <v>9413</v>
      </c>
      <c r="G2365" s="148" t="s">
        <v>9479</v>
      </c>
      <c r="H2365" t="s">
        <v>9480</v>
      </c>
      <c r="K2365" s="148" t="s">
        <v>9481</v>
      </c>
      <c r="L2365" t="s">
        <v>9482</v>
      </c>
      <c r="M2365" s="1" t="s">
        <v>9483</v>
      </c>
      <c r="N2365" s="1"/>
      <c r="O2365" s="1">
        <v>60</v>
      </c>
      <c r="P2365" s="3">
        <v>70</v>
      </c>
      <c r="Q2365" s="3">
        <v>80</v>
      </c>
      <c r="R2365" s="3">
        <v>90</v>
      </c>
      <c r="S2365" s="3">
        <v>100</v>
      </c>
      <c r="T2365" t="s">
        <v>9484</v>
      </c>
      <c r="U2365" t="e">
        <v>#N/A</v>
      </c>
      <c r="V2365" t="s">
        <v>9485</v>
      </c>
      <c r="W2365" s="45">
        <v>1</v>
      </c>
      <c r="X2365" s="45">
        <v>1</v>
      </c>
      <c r="Y2365" s="45">
        <v>1</v>
      </c>
      <c r="Z2365" s="45">
        <v>1</v>
      </c>
      <c r="AA2365" s="45">
        <v>1</v>
      </c>
      <c r="AB2365" s="45">
        <v>1</v>
      </c>
      <c r="AC2365" s="150">
        <v>1</v>
      </c>
      <c r="AD2365" s="150">
        <v>1</v>
      </c>
      <c r="AE2365" s="49">
        <f t="shared" si="99"/>
        <v>1</v>
      </c>
      <c r="AF2365" s="17"/>
      <c r="AG2365" s="17">
        <v>0</v>
      </c>
      <c r="AH2365" s="17">
        <v>0</v>
      </c>
      <c r="AI2365" s="17">
        <v>0</v>
      </c>
      <c r="AJ2365" s="17">
        <v>0</v>
      </c>
      <c r="AK2365" s="153">
        <v>1</v>
      </c>
      <c r="AL2365" s="154">
        <v>0</v>
      </c>
      <c r="AM2365" s="147">
        <f t="shared" si="98"/>
        <v>1</v>
      </c>
      <c r="AN2365" t="s">
        <v>1167</v>
      </c>
      <c r="AO2365" s="18" t="s">
        <v>1170</v>
      </c>
    </row>
    <row r="2366" spans="1:42" customFormat="1" x14ac:dyDescent="0.3">
      <c r="A2366" s="148" t="s">
        <v>8319</v>
      </c>
      <c r="B2366" t="s">
        <v>8320</v>
      </c>
      <c r="C2366" s="148" t="s">
        <v>9410</v>
      </c>
      <c r="D2366" t="s">
        <v>9411</v>
      </c>
      <c r="E2366" s="148" t="s">
        <v>9412</v>
      </c>
      <c r="F2366" t="s">
        <v>9413</v>
      </c>
      <c r="G2366" s="148" t="s">
        <v>9479</v>
      </c>
      <c r="H2366" t="s">
        <v>9480</v>
      </c>
      <c r="K2366" s="148" t="s">
        <v>9486</v>
      </c>
      <c r="L2366" t="s">
        <v>9487</v>
      </c>
      <c r="M2366" s="1" t="s">
        <v>9488</v>
      </c>
      <c r="N2366" s="1"/>
      <c r="O2366" s="1">
        <v>0.6</v>
      </c>
      <c r="P2366" s="3">
        <v>0.7</v>
      </c>
      <c r="Q2366" s="3">
        <v>0.8</v>
      </c>
      <c r="R2366" s="3">
        <v>0.9</v>
      </c>
      <c r="S2366" s="3">
        <v>1</v>
      </c>
      <c r="T2366" t="s">
        <v>9489</v>
      </c>
      <c r="U2366" t="e">
        <v>#N/A</v>
      </c>
      <c r="V2366" t="s">
        <v>9490</v>
      </c>
      <c r="W2366" s="45">
        <v>1</v>
      </c>
      <c r="X2366" s="45">
        <v>1</v>
      </c>
      <c r="Y2366" s="45">
        <v>1</v>
      </c>
      <c r="Z2366" s="45">
        <v>1</v>
      </c>
      <c r="AA2366" s="45">
        <v>1</v>
      </c>
      <c r="AB2366" s="45">
        <v>1</v>
      </c>
      <c r="AC2366" s="150">
        <v>1</v>
      </c>
      <c r="AD2366" s="150">
        <v>1</v>
      </c>
      <c r="AE2366" s="49">
        <f t="shared" si="99"/>
        <v>1</v>
      </c>
      <c r="AF2366" s="17"/>
      <c r="AG2366" s="17">
        <v>0</v>
      </c>
      <c r="AH2366" s="17">
        <v>0</v>
      </c>
      <c r="AI2366" s="17">
        <v>0</v>
      </c>
      <c r="AJ2366" s="17">
        <v>0</v>
      </c>
      <c r="AK2366" s="153">
        <v>1</v>
      </c>
      <c r="AL2366" s="154">
        <v>0</v>
      </c>
      <c r="AM2366" s="147">
        <f t="shared" si="98"/>
        <v>1</v>
      </c>
      <c r="AN2366" s="44" t="s">
        <v>9491</v>
      </c>
      <c r="AO2366" s="18" t="s">
        <v>9492</v>
      </c>
      <c r="AP2366" t="s">
        <v>119</v>
      </c>
    </row>
    <row r="2367" spans="1:42" customFormat="1" x14ac:dyDescent="0.3">
      <c r="A2367" s="148" t="s">
        <v>8319</v>
      </c>
      <c r="B2367" t="s">
        <v>8320</v>
      </c>
      <c r="C2367" s="148" t="s">
        <v>9410</v>
      </c>
      <c r="D2367" t="s">
        <v>9411</v>
      </c>
      <c r="E2367" s="148" t="s">
        <v>9412</v>
      </c>
      <c r="F2367" t="s">
        <v>9413</v>
      </c>
      <c r="G2367" s="148" t="s">
        <v>9479</v>
      </c>
      <c r="H2367" t="s">
        <v>9480</v>
      </c>
      <c r="K2367" s="148" t="s">
        <v>9486</v>
      </c>
      <c r="L2367" t="s">
        <v>9487</v>
      </c>
      <c r="M2367" s="1"/>
      <c r="N2367" s="1"/>
      <c r="O2367" s="1"/>
      <c r="P2367" s="3"/>
      <c r="Q2367" s="3"/>
      <c r="R2367" s="3"/>
      <c r="S2367" s="3"/>
      <c r="U2367" t="e">
        <v>#N/A</v>
      </c>
      <c r="V2367" t="s">
        <v>9493</v>
      </c>
      <c r="W2367" s="45">
        <v>1</v>
      </c>
      <c r="X2367" s="45">
        <v>1</v>
      </c>
      <c r="Y2367" s="45">
        <v>1</v>
      </c>
      <c r="Z2367" s="45">
        <v>1</v>
      </c>
      <c r="AA2367" s="45">
        <v>1</v>
      </c>
      <c r="AB2367" s="45">
        <v>1</v>
      </c>
      <c r="AC2367" s="150">
        <v>1</v>
      </c>
      <c r="AD2367" s="150">
        <v>1</v>
      </c>
      <c r="AE2367" s="49">
        <f t="shared" si="99"/>
        <v>1</v>
      </c>
      <c r="AF2367" s="17"/>
      <c r="AG2367" s="17">
        <v>0</v>
      </c>
      <c r="AH2367" s="17">
        <v>0</v>
      </c>
      <c r="AI2367" s="17">
        <v>0</v>
      </c>
      <c r="AJ2367" s="17">
        <v>0</v>
      </c>
      <c r="AK2367" s="153">
        <v>1</v>
      </c>
      <c r="AL2367" s="154">
        <v>0</v>
      </c>
      <c r="AM2367" s="147">
        <f t="shared" si="98"/>
        <v>1</v>
      </c>
      <c r="AN2367" t="s">
        <v>831</v>
      </c>
      <c r="AO2367" s="18" t="s">
        <v>834</v>
      </c>
      <c r="AP2367" t="s">
        <v>9494</v>
      </c>
    </row>
    <row r="2368" spans="1:42" customFormat="1" x14ac:dyDescent="0.3">
      <c r="A2368" s="148" t="s">
        <v>8319</v>
      </c>
      <c r="B2368" t="s">
        <v>8320</v>
      </c>
      <c r="C2368" s="148" t="s">
        <v>9410</v>
      </c>
      <c r="D2368" t="s">
        <v>9411</v>
      </c>
      <c r="E2368" s="148" t="s">
        <v>9412</v>
      </c>
      <c r="F2368" t="s">
        <v>9413</v>
      </c>
      <c r="G2368" s="148" t="s">
        <v>9479</v>
      </c>
      <c r="H2368" t="s">
        <v>9480</v>
      </c>
      <c r="K2368" s="148" t="s">
        <v>9486</v>
      </c>
      <c r="L2368" t="s">
        <v>9487</v>
      </c>
      <c r="M2368" s="1"/>
      <c r="N2368" s="1"/>
      <c r="O2368" s="1"/>
      <c r="P2368" s="3"/>
      <c r="Q2368" s="3"/>
      <c r="R2368" s="3"/>
      <c r="S2368" s="3"/>
      <c r="U2368" t="e">
        <v>#N/A</v>
      </c>
      <c r="V2368" t="s">
        <v>9495</v>
      </c>
      <c r="W2368" s="45">
        <v>1</v>
      </c>
      <c r="X2368" s="45">
        <v>1</v>
      </c>
      <c r="Y2368" s="45">
        <v>1</v>
      </c>
      <c r="Z2368" s="45">
        <v>1</v>
      </c>
      <c r="AA2368" s="45">
        <v>1</v>
      </c>
      <c r="AB2368" s="45">
        <v>1</v>
      </c>
      <c r="AC2368" s="150">
        <v>1</v>
      </c>
      <c r="AD2368" s="150">
        <v>1</v>
      </c>
      <c r="AE2368" s="49">
        <f t="shared" si="99"/>
        <v>1</v>
      </c>
      <c r="AF2368" s="17"/>
      <c r="AG2368" s="17">
        <v>0</v>
      </c>
      <c r="AH2368" s="17">
        <v>0</v>
      </c>
      <c r="AI2368" s="17">
        <v>0</v>
      </c>
      <c r="AJ2368" s="17">
        <v>0</v>
      </c>
      <c r="AK2368" s="153">
        <v>1</v>
      </c>
      <c r="AL2368" s="154">
        <v>1</v>
      </c>
      <c r="AM2368" s="147">
        <f t="shared" si="98"/>
        <v>2</v>
      </c>
      <c r="AN2368" t="s">
        <v>280</v>
      </c>
      <c r="AO2368" s="18" t="s">
        <v>1151</v>
      </c>
    </row>
    <row r="2369" spans="1:42" customFormat="1" ht="15" customHeight="1" x14ac:dyDescent="0.3">
      <c r="A2369" s="148" t="s">
        <v>8319</v>
      </c>
      <c r="B2369" t="s">
        <v>8320</v>
      </c>
      <c r="C2369" s="148" t="s">
        <v>9496</v>
      </c>
      <c r="D2369" t="s">
        <v>9497</v>
      </c>
      <c r="E2369" s="148" t="s">
        <v>9498</v>
      </c>
      <c r="F2369" t="s">
        <v>9499</v>
      </c>
      <c r="G2369" s="148" t="s">
        <v>9500</v>
      </c>
      <c r="H2369" t="s">
        <v>9501</v>
      </c>
      <c r="K2369" s="148" t="s">
        <v>9502</v>
      </c>
      <c r="L2369" t="s">
        <v>9503</v>
      </c>
      <c r="M2369" s="1" t="s">
        <v>9504</v>
      </c>
      <c r="N2369" s="1">
        <v>304.55</v>
      </c>
      <c r="O2369" s="1">
        <v>305</v>
      </c>
      <c r="P2369" s="3">
        <v>946</v>
      </c>
      <c r="Q2369" s="3">
        <v>977</v>
      </c>
      <c r="R2369" s="3">
        <v>1008</v>
      </c>
      <c r="S2369" s="3">
        <v>1041</v>
      </c>
      <c r="T2369" t="s">
        <v>771</v>
      </c>
      <c r="U2369" t="s">
        <v>773</v>
      </c>
      <c r="V2369" t="s">
        <v>9505</v>
      </c>
      <c r="W2369" s="45">
        <v>1</v>
      </c>
      <c r="X2369" s="45">
        <v>1</v>
      </c>
      <c r="Y2369" s="45">
        <v>1</v>
      </c>
      <c r="Z2369" s="45">
        <v>1</v>
      </c>
      <c r="AA2369" s="45">
        <v>1</v>
      </c>
      <c r="AB2369" s="45">
        <v>1</v>
      </c>
      <c r="AC2369" s="150">
        <v>1</v>
      </c>
      <c r="AD2369" s="150">
        <v>1</v>
      </c>
      <c r="AE2369" s="49">
        <f t="shared" si="99"/>
        <v>1</v>
      </c>
      <c r="AF2369" s="44"/>
      <c r="AG2369" s="17">
        <v>0</v>
      </c>
      <c r="AH2369" s="44">
        <v>100</v>
      </c>
      <c r="AI2369" s="44">
        <v>100</v>
      </c>
      <c r="AJ2369" s="44">
        <v>100</v>
      </c>
      <c r="AK2369" s="151">
        <v>100</v>
      </c>
      <c r="AL2369" s="151">
        <v>91.17</v>
      </c>
      <c r="AM2369" s="147">
        <f t="shared" si="98"/>
        <v>191.17000000000002</v>
      </c>
      <c r="AN2369" s="18" t="s">
        <v>771</v>
      </c>
      <c r="AO2369" s="18" t="s">
        <v>773</v>
      </c>
      <c r="AP2369" t="s">
        <v>9506</v>
      </c>
    </row>
    <row r="2370" spans="1:42" customFormat="1" x14ac:dyDescent="0.3">
      <c r="A2370" s="148" t="s">
        <v>8319</v>
      </c>
      <c r="B2370" t="s">
        <v>8320</v>
      </c>
      <c r="C2370" s="148" t="s">
        <v>9496</v>
      </c>
      <c r="D2370" t="s">
        <v>9497</v>
      </c>
      <c r="E2370" s="148" t="s">
        <v>9498</v>
      </c>
      <c r="F2370" t="s">
        <v>9499</v>
      </c>
      <c r="G2370" s="148" t="s">
        <v>9500</v>
      </c>
      <c r="H2370" t="s">
        <v>9501</v>
      </c>
      <c r="K2370" s="148" t="s">
        <v>9507</v>
      </c>
      <c r="L2370" t="s">
        <v>9508</v>
      </c>
      <c r="M2370" s="1" t="s">
        <v>9509</v>
      </c>
      <c r="N2370" s="1">
        <v>0</v>
      </c>
      <c r="O2370" s="1"/>
      <c r="P2370" s="3"/>
      <c r="Q2370" s="3"/>
      <c r="R2370" s="3">
        <v>140</v>
      </c>
      <c r="S2370" s="3">
        <v>291</v>
      </c>
      <c r="T2370" t="s">
        <v>771</v>
      </c>
      <c r="U2370" t="s">
        <v>773</v>
      </c>
      <c r="V2370" t="s">
        <v>9510</v>
      </c>
      <c r="W2370" s="45">
        <v>1</v>
      </c>
      <c r="X2370" s="45">
        <v>1</v>
      </c>
      <c r="Y2370" s="45">
        <v>1</v>
      </c>
      <c r="Z2370" s="45">
        <v>1</v>
      </c>
      <c r="AA2370" s="45">
        <v>1</v>
      </c>
      <c r="AB2370" s="45">
        <v>1</v>
      </c>
      <c r="AC2370" s="150">
        <v>1</v>
      </c>
      <c r="AD2370" s="150">
        <v>1</v>
      </c>
      <c r="AE2370" s="49">
        <f t="shared" si="99"/>
        <v>1</v>
      </c>
      <c r="AF2370" s="44"/>
      <c r="AG2370" s="17">
        <v>0</v>
      </c>
      <c r="AH2370" s="44">
        <v>0</v>
      </c>
      <c r="AI2370" s="44">
        <v>0</v>
      </c>
      <c r="AJ2370" s="44">
        <v>0</v>
      </c>
      <c r="AK2370" s="151">
        <v>10</v>
      </c>
      <c r="AL2370" s="151">
        <v>10</v>
      </c>
      <c r="AM2370" s="147">
        <f t="shared" si="98"/>
        <v>20</v>
      </c>
      <c r="AN2370" s="18" t="s">
        <v>771</v>
      </c>
      <c r="AO2370" s="18" t="s">
        <v>773</v>
      </c>
      <c r="AP2370" t="s">
        <v>119</v>
      </c>
    </row>
    <row r="2371" spans="1:42" customFormat="1" x14ac:dyDescent="0.3">
      <c r="A2371" s="148" t="s">
        <v>8319</v>
      </c>
      <c r="B2371" t="s">
        <v>8320</v>
      </c>
      <c r="C2371" s="148" t="s">
        <v>9496</v>
      </c>
      <c r="D2371" t="s">
        <v>9497</v>
      </c>
      <c r="E2371" s="148" t="s">
        <v>9498</v>
      </c>
      <c r="F2371" t="s">
        <v>9499</v>
      </c>
      <c r="G2371" s="148" t="s">
        <v>9500</v>
      </c>
      <c r="H2371" t="s">
        <v>9501</v>
      </c>
      <c r="K2371" s="148" t="s">
        <v>9511</v>
      </c>
      <c r="L2371" t="s">
        <v>9512</v>
      </c>
      <c r="M2371" s="1" t="s">
        <v>9513</v>
      </c>
      <c r="N2371" s="1">
        <v>3524</v>
      </c>
      <c r="O2371" s="1">
        <v>4524</v>
      </c>
      <c r="P2371" s="3">
        <v>5524</v>
      </c>
      <c r="Q2371" s="3">
        <v>6524</v>
      </c>
      <c r="R2371" s="3">
        <v>7524</v>
      </c>
      <c r="S2371" s="3">
        <v>8524</v>
      </c>
      <c r="T2371" t="s">
        <v>1536</v>
      </c>
      <c r="U2371" t="e">
        <v>#N/A</v>
      </c>
      <c r="V2371" t="s">
        <v>9514</v>
      </c>
      <c r="W2371" s="45">
        <v>1</v>
      </c>
      <c r="X2371" s="45">
        <v>1</v>
      </c>
      <c r="Y2371" s="45">
        <v>1</v>
      </c>
      <c r="Z2371" s="45">
        <v>1</v>
      </c>
      <c r="AA2371" s="45">
        <v>1</v>
      </c>
      <c r="AB2371" s="45">
        <v>1</v>
      </c>
      <c r="AC2371" s="150">
        <v>1</v>
      </c>
      <c r="AD2371" s="150">
        <v>1</v>
      </c>
      <c r="AE2371" s="49">
        <f t="shared" si="99"/>
        <v>1</v>
      </c>
      <c r="AF2371" s="44"/>
      <c r="AG2371" s="17">
        <v>0</v>
      </c>
      <c r="AH2371" s="44">
        <v>0</v>
      </c>
      <c r="AI2371" s="44">
        <v>0</v>
      </c>
      <c r="AJ2371" s="44">
        <v>0</v>
      </c>
      <c r="AK2371" s="151">
        <v>5</v>
      </c>
      <c r="AL2371" s="151">
        <v>5</v>
      </c>
      <c r="AM2371" s="147">
        <f t="shared" si="98"/>
        <v>10</v>
      </c>
      <c r="AN2371" s="18" t="s">
        <v>771</v>
      </c>
      <c r="AO2371" s="18" t="s">
        <v>773</v>
      </c>
      <c r="AP2371" t="s">
        <v>921</v>
      </c>
    </row>
    <row r="2372" spans="1:42" customFormat="1" x14ac:dyDescent="0.3">
      <c r="A2372" s="148" t="s">
        <v>8319</v>
      </c>
      <c r="B2372" t="s">
        <v>8320</v>
      </c>
      <c r="C2372" s="148" t="s">
        <v>9496</v>
      </c>
      <c r="D2372" t="s">
        <v>9497</v>
      </c>
      <c r="E2372" s="148" t="s">
        <v>9498</v>
      </c>
      <c r="F2372" t="s">
        <v>9499</v>
      </c>
      <c r="G2372" s="148" t="s">
        <v>9500</v>
      </c>
      <c r="H2372" t="s">
        <v>9501</v>
      </c>
      <c r="K2372" s="148" t="s">
        <v>9515</v>
      </c>
      <c r="L2372" t="s">
        <v>9516</v>
      </c>
      <c r="M2372" s="1" t="s">
        <v>9517</v>
      </c>
      <c r="N2372" s="1">
        <v>0</v>
      </c>
      <c r="O2372" s="1">
        <v>200</v>
      </c>
      <c r="P2372" s="3">
        <v>200</v>
      </c>
      <c r="Q2372" s="3">
        <v>200</v>
      </c>
      <c r="R2372" s="3">
        <v>200</v>
      </c>
      <c r="S2372" s="3">
        <v>200</v>
      </c>
      <c r="T2372" t="s">
        <v>1536</v>
      </c>
      <c r="U2372" t="e">
        <v>#N/A</v>
      </c>
      <c r="V2372" t="s">
        <v>9518</v>
      </c>
      <c r="W2372" s="45">
        <v>1</v>
      </c>
      <c r="X2372" s="45">
        <v>1</v>
      </c>
      <c r="Y2372" s="45">
        <v>1</v>
      </c>
      <c r="Z2372" s="45">
        <v>1</v>
      </c>
      <c r="AA2372" s="45">
        <v>1</v>
      </c>
      <c r="AB2372" s="45">
        <v>1</v>
      </c>
      <c r="AC2372" s="150">
        <v>1</v>
      </c>
      <c r="AD2372" s="150">
        <v>1</v>
      </c>
      <c r="AE2372" s="49">
        <f t="shared" si="99"/>
        <v>1</v>
      </c>
      <c r="AF2372" s="44"/>
      <c r="AG2372" s="17">
        <v>0</v>
      </c>
      <c r="AH2372" s="44">
        <v>0</v>
      </c>
      <c r="AI2372" s="44">
        <v>0</v>
      </c>
      <c r="AJ2372" s="44">
        <v>0</v>
      </c>
      <c r="AK2372" s="151">
        <v>2.09</v>
      </c>
      <c r="AL2372" s="151">
        <v>0</v>
      </c>
      <c r="AM2372" s="147">
        <f t="shared" si="98"/>
        <v>2.09</v>
      </c>
      <c r="AN2372" s="18" t="s">
        <v>771</v>
      </c>
      <c r="AO2372" s="18" t="s">
        <v>773</v>
      </c>
      <c r="AP2372" t="s">
        <v>119</v>
      </c>
    </row>
    <row r="2373" spans="1:42" customFormat="1" x14ac:dyDescent="0.3">
      <c r="A2373" s="148" t="s">
        <v>8319</v>
      </c>
      <c r="B2373" t="s">
        <v>8320</v>
      </c>
      <c r="C2373" s="148" t="s">
        <v>9496</v>
      </c>
      <c r="D2373" t="s">
        <v>9497</v>
      </c>
      <c r="E2373" s="148" t="s">
        <v>9498</v>
      </c>
      <c r="F2373" t="s">
        <v>9499</v>
      </c>
      <c r="G2373" s="148" t="s">
        <v>9500</v>
      </c>
      <c r="H2373" t="s">
        <v>9501</v>
      </c>
      <c r="K2373" s="148" t="s">
        <v>9519</v>
      </c>
      <c r="L2373" t="s">
        <v>9520</v>
      </c>
      <c r="M2373" s="1" t="s">
        <v>9521</v>
      </c>
      <c r="N2373" s="1">
        <v>900</v>
      </c>
      <c r="O2373" s="1">
        <v>100000</v>
      </c>
      <c r="P2373" s="3">
        <v>100000</v>
      </c>
      <c r="Q2373" s="3">
        <v>100000</v>
      </c>
      <c r="R2373" s="3">
        <v>100000</v>
      </c>
      <c r="S2373" s="3">
        <v>100000</v>
      </c>
      <c r="T2373" t="s">
        <v>1536</v>
      </c>
      <c r="U2373" t="e">
        <v>#N/A</v>
      </c>
      <c r="V2373" t="s">
        <v>9522</v>
      </c>
      <c r="W2373" s="45">
        <v>1</v>
      </c>
      <c r="X2373" s="45">
        <v>1</v>
      </c>
      <c r="Y2373" s="45">
        <v>1</v>
      </c>
      <c r="Z2373" s="45">
        <v>1</v>
      </c>
      <c r="AA2373" s="45">
        <v>1</v>
      </c>
      <c r="AB2373" s="45">
        <v>1</v>
      </c>
      <c r="AC2373" s="150">
        <v>1</v>
      </c>
      <c r="AD2373" s="150">
        <v>1</v>
      </c>
      <c r="AE2373" s="49">
        <f t="shared" si="99"/>
        <v>1</v>
      </c>
      <c r="AF2373" s="44"/>
      <c r="AG2373" s="17">
        <v>0</v>
      </c>
      <c r="AH2373" s="44">
        <v>10</v>
      </c>
      <c r="AI2373" s="44">
        <v>10</v>
      </c>
      <c r="AJ2373" s="44">
        <v>10</v>
      </c>
      <c r="AK2373" s="151">
        <v>10</v>
      </c>
      <c r="AL2373" s="151">
        <v>10</v>
      </c>
      <c r="AM2373" s="147">
        <f t="shared" si="98"/>
        <v>20</v>
      </c>
      <c r="AN2373" s="18" t="s">
        <v>771</v>
      </c>
      <c r="AO2373" s="18" t="s">
        <v>773</v>
      </c>
      <c r="AP2373" t="s">
        <v>1563</v>
      </c>
    </row>
    <row r="2374" spans="1:42" customFormat="1" x14ac:dyDescent="0.3">
      <c r="A2374" s="148" t="s">
        <v>8319</v>
      </c>
      <c r="B2374" t="s">
        <v>8320</v>
      </c>
      <c r="C2374" s="148" t="s">
        <v>9496</v>
      </c>
      <c r="D2374" t="s">
        <v>9497</v>
      </c>
      <c r="E2374" s="148" t="s">
        <v>9498</v>
      </c>
      <c r="F2374" t="s">
        <v>9499</v>
      </c>
      <c r="G2374" s="148" t="s">
        <v>9500</v>
      </c>
      <c r="H2374" t="s">
        <v>9501</v>
      </c>
      <c r="K2374" s="148" t="s">
        <v>9523</v>
      </c>
      <c r="L2374" t="s">
        <v>9524</v>
      </c>
      <c r="M2374" s="1" t="s">
        <v>9525</v>
      </c>
      <c r="N2374" s="1">
        <v>0</v>
      </c>
      <c r="O2374" s="1">
        <v>180</v>
      </c>
      <c r="P2374" s="3">
        <v>180</v>
      </c>
      <c r="Q2374" s="3">
        <v>180</v>
      </c>
      <c r="R2374" s="3">
        <v>180</v>
      </c>
      <c r="S2374" s="3">
        <v>180</v>
      </c>
      <c r="T2374" t="s">
        <v>1536</v>
      </c>
      <c r="U2374" t="e">
        <v>#N/A</v>
      </c>
      <c r="V2374" t="s">
        <v>9526</v>
      </c>
      <c r="W2374" s="45">
        <v>1</v>
      </c>
      <c r="X2374" s="45">
        <v>1</v>
      </c>
      <c r="Y2374" s="45">
        <v>1</v>
      </c>
      <c r="Z2374" s="45">
        <v>1</v>
      </c>
      <c r="AA2374" s="45">
        <v>1</v>
      </c>
      <c r="AB2374" s="45">
        <v>1</v>
      </c>
      <c r="AC2374" s="150">
        <v>1</v>
      </c>
      <c r="AD2374" s="150">
        <v>1</v>
      </c>
      <c r="AE2374" s="49">
        <f t="shared" si="99"/>
        <v>1</v>
      </c>
      <c r="AF2374" s="44"/>
      <c r="AG2374" s="17">
        <v>0</v>
      </c>
      <c r="AH2374" s="44">
        <v>3.6</v>
      </c>
      <c r="AI2374" s="44">
        <v>3.6</v>
      </c>
      <c r="AJ2374" s="44">
        <v>3.6</v>
      </c>
      <c r="AK2374" s="151">
        <v>3.6</v>
      </c>
      <c r="AL2374" s="151">
        <v>3.6</v>
      </c>
      <c r="AM2374" s="147">
        <f t="shared" si="98"/>
        <v>7.2</v>
      </c>
      <c r="AN2374" s="18" t="s">
        <v>771</v>
      </c>
      <c r="AO2374" s="18" t="s">
        <v>773</v>
      </c>
      <c r="AP2374" t="s">
        <v>9368</v>
      </c>
    </row>
    <row r="2375" spans="1:42" customFormat="1" x14ac:dyDescent="0.3">
      <c r="A2375" s="148" t="s">
        <v>8319</v>
      </c>
      <c r="B2375" t="s">
        <v>8320</v>
      </c>
      <c r="C2375" s="148" t="s">
        <v>9496</v>
      </c>
      <c r="D2375" t="s">
        <v>9497</v>
      </c>
      <c r="E2375" s="148" t="s">
        <v>9498</v>
      </c>
      <c r="F2375" t="s">
        <v>9499</v>
      </c>
      <c r="G2375" s="148" t="s">
        <v>9527</v>
      </c>
      <c r="H2375" t="s">
        <v>9528</v>
      </c>
      <c r="K2375" s="148" t="s">
        <v>9529</v>
      </c>
      <c r="L2375" t="s">
        <v>9530</v>
      </c>
      <c r="M2375" s="1" t="s">
        <v>9531</v>
      </c>
      <c r="N2375" s="1">
        <v>0.62</v>
      </c>
      <c r="O2375" s="1">
        <v>0.66</v>
      </c>
      <c r="P2375" s="3">
        <v>0.68</v>
      </c>
      <c r="Q2375" s="3">
        <v>0.7</v>
      </c>
      <c r="R2375" s="3">
        <v>0.72</v>
      </c>
      <c r="S2375" s="3">
        <v>0.74</v>
      </c>
      <c r="T2375" t="s">
        <v>771</v>
      </c>
      <c r="U2375" t="s">
        <v>773</v>
      </c>
      <c r="V2375" t="s">
        <v>9532</v>
      </c>
      <c r="W2375" s="45">
        <v>1</v>
      </c>
      <c r="X2375" s="45">
        <v>1</v>
      </c>
      <c r="Y2375" s="45">
        <v>1</v>
      </c>
      <c r="Z2375" s="45">
        <v>1</v>
      </c>
      <c r="AA2375" s="45">
        <v>1</v>
      </c>
      <c r="AB2375" s="45">
        <v>1</v>
      </c>
      <c r="AC2375" s="150">
        <v>1</v>
      </c>
      <c r="AD2375" s="150">
        <v>1</v>
      </c>
      <c r="AE2375" s="49">
        <f t="shared" si="99"/>
        <v>1</v>
      </c>
      <c r="AF2375" s="44"/>
      <c r="AG2375" s="17">
        <v>0</v>
      </c>
      <c r="AH2375" s="44">
        <v>0</v>
      </c>
      <c r="AI2375" s="44">
        <v>50</v>
      </c>
      <c r="AJ2375" s="44">
        <v>50</v>
      </c>
      <c r="AK2375" s="151">
        <v>50</v>
      </c>
      <c r="AL2375" s="151">
        <v>50</v>
      </c>
      <c r="AM2375" s="147">
        <f t="shared" si="98"/>
        <v>100</v>
      </c>
      <c r="AN2375" s="18" t="s">
        <v>771</v>
      </c>
      <c r="AO2375" s="18" t="s">
        <v>773</v>
      </c>
      <c r="AP2375" t="s">
        <v>9533</v>
      </c>
    </row>
    <row r="2376" spans="1:42" customFormat="1" x14ac:dyDescent="0.3">
      <c r="A2376" s="148" t="s">
        <v>8319</v>
      </c>
      <c r="B2376" t="s">
        <v>8320</v>
      </c>
      <c r="C2376" s="148" t="s">
        <v>9496</v>
      </c>
      <c r="D2376" t="s">
        <v>9497</v>
      </c>
      <c r="E2376" s="148" t="s">
        <v>9498</v>
      </c>
      <c r="F2376" t="s">
        <v>9499</v>
      </c>
      <c r="G2376" s="148" t="s">
        <v>9527</v>
      </c>
      <c r="H2376" t="s">
        <v>9528</v>
      </c>
      <c r="K2376" s="148" t="s">
        <v>9534</v>
      </c>
      <c r="L2376" t="s">
        <v>9535</v>
      </c>
      <c r="M2376" s="1" t="s">
        <v>9536</v>
      </c>
      <c r="N2376" s="1">
        <v>18506</v>
      </c>
      <c r="O2376" s="1">
        <v>5000</v>
      </c>
      <c r="P2376" s="3">
        <v>5000</v>
      </c>
      <c r="Q2376" s="3">
        <v>5000</v>
      </c>
      <c r="R2376" s="3">
        <v>5000</v>
      </c>
      <c r="S2376" s="3">
        <v>5000</v>
      </c>
      <c r="T2376" t="s">
        <v>771</v>
      </c>
      <c r="U2376" t="s">
        <v>773</v>
      </c>
      <c r="V2376" t="s">
        <v>9537</v>
      </c>
      <c r="W2376" s="45">
        <v>1</v>
      </c>
      <c r="X2376" s="45">
        <v>1</v>
      </c>
      <c r="Y2376" s="45">
        <v>1</v>
      </c>
      <c r="Z2376" s="45">
        <v>1</v>
      </c>
      <c r="AA2376" s="45">
        <v>1</v>
      </c>
      <c r="AB2376" s="45">
        <v>1</v>
      </c>
      <c r="AC2376" s="150">
        <v>1</v>
      </c>
      <c r="AD2376" s="150">
        <v>1</v>
      </c>
      <c r="AE2376" s="49">
        <f t="shared" si="99"/>
        <v>1</v>
      </c>
      <c r="AF2376" s="17"/>
      <c r="AG2376" s="17">
        <v>0</v>
      </c>
      <c r="AH2376" s="17">
        <v>0</v>
      </c>
      <c r="AI2376" s="17">
        <v>0</v>
      </c>
      <c r="AJ2376" s="17">
        <v>0</v>
      </c>
      <c r="AK2376" s="153">
        <v>0</v>
      </c>
      <c r="AL2376" s="154">
        <v>0</v>
      </c>
      <c r="AM2376" s="147">
        <f t="shared" si="98"/>
        <v>0</v>
      </c>
      <c r="AN2376" s="18" t="s">
        <v>771</v>
      </c>
      <c r="AO2376" s="18" t="s">
        <v>773</v>
      </c>
      <c r="AP2376" t="s">
        <v>9533</v>
      </c>
    </row>
    <row r="2377" spans="1:42" customFormat="1" x14ac:dyDescent="0.3">
      <c r="A2377" s="148" t="s">
        <v>8319</v>
      </c>
      <c r="B2377" t="s">
        <v>8320</v>
      </c>
      <c r="C2377" s="148" t="s">
        <v>9496</v>
      </c>
      <c r="D2377" t="s">
        <v>9497</v>
      </c>
      <c r="E2377" s="148" t="s">
        <v>9498</v>
      </c>
      <c r="F2377" t="s">
        <v>9499</v>
      </c>
      <c r="G2377" s="148" t="s">
        <v>9538</v>
      </c>
      <c r="H2377" t="s">
        <v>9539</v>
      </c>
      <c r="K2377" s="148" t="s">
        <v>9540</v>
      </c>
      <c r="L2377" t="s">
        <v>9541</v>
      </c>
      <c r="M2377" s="1" t="s">
        <v>9542</v>
      </c>
      <c r="N2377" s="1">
        <v>0</v>
      </c>
      <c r="O2377" s="1">
        <v>5</v>
      </c>
      <c r="P2377" s="3">
        <v>10</v>
      </c>
      <c r="Q2377" s="3">
        <v>20</v>
      </c>
      <c r="R2377" s="3">
        <v>10</v>
      </c>
      <c r="S2377" s="3">
        <v>5</v>
      </c>
      <c r="T2377" t="s">
        <v>9543</v>
      </c>
      <c r="U2377" t="e">
        <v>#N/A</v>
      </c>
      <c r="V2377" t="s">
        <v>9544</v>
      </c>
      <c r="W2377" s="45">
        <v>1</v>
      </c>
      <c r="X2377" s="45">
        <v>1</v>
      </c>
      <c r="Y2377" s="45">
        <v>1</v>
      </c>
      <c r="Z2377" s="45">
        <v>1</v>
      </c>
      <c r="AA2377" s="45">
        <v>1</v>
      </c>
      <c r="AB2377" s="45">
        <v>1</v>
      </c>
      <c r="AC2377" s="150">
        <v>1</v>
      </c>
      <c r="AD2377" s="150">
        <v>1</v>
      </c>
      <c r="AE2377" s="49">
        <f t="shared" si="99"/>
        <v>1</v>
      </c>
      <c r="AF2377" s="44"/>
      <c r="AG2377" s="17">
        <v>0</v>
      </c>
      <c r="AH2377" s="44">
        <v>0</v>
      </c>
      <c r="AI2377" s="44">
        <v>0</v>
      </c>
      <c r="AJ2377" s="44">
        <v>0</v>
      </c>
      <c r="AK2377" s="151">
        <v>0</v>
      </c>
      <c r="AL2377" s="151">
        <v>0</v>
      </c>
      <c r="AM2377" s="147">
        <f t="shared" si="98"/>
        <v>0</v>
      </c>
      <c r="AN2377" s="18" t="s">
        <v>771</v>
      </c>
      <c r="AO2377" s="18" t="s">
        <v>773</v>
      </c>
      <c r="AP2377" t="s">
        <v>9545</v>
      </c>
    </row>
    <row r="2378" spans="1:42" customFormat="1" ht="15" customHeight="1" x14ac:dyDescent="0.3">
      <c r="A2378" s="148" t="s">
        <v>8319</v>
      </c>
      <c r="B2378" t="s">
        <v>8320</v>
      </c>
      <c r="C2378" s="148" t="s">
        <v>9496</v>
      </c>
      <c r="D2378" t="s">
        <v>9497</v>
      </c>
      <c r="E2378" s="148" t="s">
        <v>9498</v>
      </c>
      <c r="F2378" t="s">
        <v>9499</v>
      </c>
      <c r="G2378" s="148" t="s">
        <v>9546</v>
      </c>
      <c r="H2378" t="s">
        <v>9547</v>
      </c>
      <c r="K2378" s="148" t="s">
        <v>9548</v>
      </c>
      <c r="L2378" t="s">
        <v>9549</v>
      </c>
      <c r="M2378" s="1" t="s">
        <v>9550</v>
      </c>
      <c r="N2378" s="1">
        <v>1480</v>
      </c>
      <c r="O2378" s="1">
        <v>1580</v>
      </c>
      <c r="P2378" s="3">
        <v>1580</v>
      </c>
      <c r="Q2378" s="3">
        <v>1580</v>
      </c>
      <c r="R2378" s="3">
        <v>1580</v>
      </c>
      <c r="S2378" s="3">
        <v>1580</v>
      </c>
      <c r="T2378" t="s">
        <v>771</v>
      </c>
      <c r="U2378" t="s">
        <v>773</v>
      </c>
      <c r="V2378" t="s">
        <v>9551</v>
      </c>
      <c r="W2378" s="45">
        <v>1</v>
      </c>
      <c r="X2378" s="45">
        <v>1</v>
      </c>
      <c r="Y2378" s="45">
        <v>1</v>
      </c>
      <c r="Z2378" s="45">
        <v>1</v>
      </c>
      <c r="AA2378" s="45">
        <v>1</v>
      </c>
      <c r="AB2378" s="45">
        <v>1</v>
      </c>
      <c r="AC2378" s="150">
        <v>1</v>
      </c>
      <c r="AD2378" s="150">
        <v>1</v>
      </c>
      <c r="AE2378" s="49">
        <f t="shared" si="99"/>
        <v>1</v>
      </c>
      <c r="AF2378" s="44"/>
      <c r="AG2378" s="17">
        <v>0</v>
      </c>
      <c r="AH2378" s="44">
        <v>3.76</v>
      </c>
      <c r="AI2378" s="44">
        <v>3.76</v>
      </c>
      <c r="AJ2378" s="44">
        <v>3.76</v>
      </c>
      <c r="AK2378" s="151">
        <v>3.76</v>
      </c>
      <c r="AL2378" s="151">
        <v>3.76</v>
      </c>
      <c r="AM2378" s="147">
        <f t="shared" si="98"/>
        <v>7.52</v>
      </c>
      <c r="AN2378" s="18" t="s">
        <v>771</v>
      </c>
      <c r="AO2378" s="18" t="s">
        <v>773</v>
      </c>
      <c r="AP2378" t="s">
        <v>982</v>
      </c>
    </row>
    <row r="2379" spans="1:42" customFormat="1" x14ac:dyDescent="0.3">
      <c r="A2379" s="148" t="s">
        <v>8319</v>
      </c>
      <c r="B2379" t="s">
        <v>8320</v>
      </c>
      <c r="C2379" s="148" t="s">
        <v>9344</v>
      </c>
      <c r="D2379" t="s">
        <v>9345</v>
      </c>
      <c r="E2379" s="148" t="s">
        <v>9346</v>
      </c>
      <c r="F2379" t="s">
        <v>9347</v>
      </c>
      <c r="G2379" s="148" t="s">
        <v>9552</v>
      </c>
      <c r="H2379" t="s">
        <v>9553</v>
      </c>
      <c r="K2379" s="148" t="s">
        <v>9554</v>
      </c>
      <c r="L2379" t="s">
        <v>9555</v>
      </c>
      <c r="M2379" s="1" t="s">
        <v>9556</v>
      </c>
      <c r="N2379" s="1">
        <v>90742</v>
      </c>
      <c r="O2379" s="1">
        <v>0</v>
      </c>
      <c r="P2379" s="3">
        <v>30</v>
      </c>
      <c r="Q2379" s="3">
        <v>30</v>
      </c>
      <c r="R2379" s="3">
        <v>30</v>
      </c>
      <c r="S2379" s="3">
        <v>10</v>
      </c>
      <c r="T2379" t="s">
        <v>723</v>
      </c>
      <c r="U2379" t="s">
        <v>729</v>
      </c>
      <c r="V2379" t="s">
        <v>9557</v>
      </c>
      <c r="W2379" s="45">
        <v>1</v>
      </c>
      <c r="X2379" s="45">
        <v>1</v>
      </c>
      <c r="Y2379" s="45">
        <v>1</v>
      </c>
      <c r="Z2379" s="45">
        <v>1</v>
      </c>
      <c r="AA2379" s="45">
        <v>1</v>
      </c>
      <c r="AB2379" s="45">
        <v>0</v>
      </c>
      <c r="AC2379" s="150">
        <v>1</v>
      </c>
      <c r="AD2379" s="150">
        <v>1</v>
      </c>
      <c r="AE2379" s="49">
        <f t="shared" si="99"/>
        <v>0.875</v>
      </c>
      <c r="AF2379" s="44"/>
      <c r="AG2379" s="17">
        <v>0</v>
      </c>
      <c r="AH2379" s="44">
        <v>0</v>
      </c>
      <c r="AI2379" s="44">
        <v>0</v>
      </c>
      <c r="AJ2379" s="44">
        <v>2</v>
      </c>
      <c r="AK2379" s="151">
        <v>1</v>
      </c>
      <c r="AL2379" s="151">
        <v>1</v>
      </c>
      <c r="AM2379" s="147">
        <f t="shared" si="98"/>
        <v>2</v>
      </c>
      <c r="AN2379" t="s">
        <v>723</v>
      </c>
      <c r="AO2379" s="18" t="s">
        <v>729</v>
      </c>
      <c r="AP2379" t="s">
        <v>119</v>
      </c>
    </row>
    <row r="2380" spans="1:42" customFormat="1" x14ac:dyDescent="0.3">
      <c r="A2380" s="148" t="s">
        <v>8319</v>
      </c>
      <c r="B2380" t="s">
        <v>8320</v>
      </c>
      <c r="C2380" s="148" t="s">
        <v>9344</v>
      </c>
      <c r="D2380" t="s">
        <v>9345</v>
      </c>
      <c r="E2380" s="148" t="s">
        <v>9346</v>
      </c>
      <c r="F2380" t="s">
        <v>9347</v>
      </c>
      <c r="G2380" s="148" t="s">
        <v>9558</v>
      </c>
      <c r="H2380" t="s">
        <v>9559</v>
      </c>
      <c r="K2380" s="148" t="s">
        <v>9560</v>
      </c>
      <c r="L2380" t="s">
        <v>9561</v>
      </c>
      <c r="M2380" s="1" t="s">
        <v>9562</v>
      </c>
      <c r="N2380" s="1" t="s">
        <v>271</v>
      </c>
      <c r="O2380" s="1" t="s">
        <v>271</v>
      </c>
      <c r="P2380" s="3">
        <v>1426</v>
      </c>
      <c r="Q2380" s="3">
        <v>1426</v>
      </c>
      <c r="R2380" s="3">
        <v>1426</v>
      </c>
      <c r="S2380" s="3">
        <v>1426</v>
      </c>
      <c r="T2380" t="s">
        <v>2432</v>
      </c>
      <c r="U2380" t="s">
        <v>729</v>
      </c>
      <c r="V2380" t="s">
        <v>9563</v>
      </c>
      <c r="W2380" s="45">
        <v>1</v>
      </c>
      <c r="X2380" s="45">
        <v>1</v>
      </c>
      <c r="Y2380" s="45">
        <v>1</v>
      </c>
      <c r="Z2380" s="45">
        <v>1</v>
      </c>
      <c r="AA2380" s="45">
        <v>1</v>
      </c>
      <c r="AB2380" s="45">
        <v>0</v>
      </c>
      <c r="AC2380" s="150">
        <v>1</v>
      </c>
      <c r="AD2380" s="150">
        <v>1</v>
      </c>
      <c r="AE2380" s="49">
        <f t="shared" si="99"/>
        <v>0.875</v>
      </c>
      <c r="AF2380" s="44"/>
      <c r="AG2380" s="17"/>
      <c r="AH2380" s="44">
        <v>0</v>
      </c>
      <c r="AI2380" s="44">
        <v>4</v>
      </c>
      <c r="AJ2380" s="44">
        <v>4</v>
      </c>
      <c r="AK2380" s="151">
        <v>15</v>
      </c>
      <c r="AL2380" s="151">
        <v>20</v>
      </c>
      <c r="AM2380" s="147">
        <f t="shared" si="98"/>
        <v>35</v>
      </c>
      <c r="AN2380" s="44" t="s">
        <v>723</v>
      </c>
      <c r="AO2380" s="18" t="s">
        <v>729</v>
      </c>
      <c r="AP2380" t="s">
        <v>9564</v>
      </c>
    </row>
    <row r="2381" spans="1:42" customFormat="1" x14ac:dyDescent="0.3">
      <c r="A2381" s="148" t="s">
        <v>8319</v>
      </c>
      <c r="B2381" t="s">
        <v>8320</v>
      </c>
      <c r="C2381" s="148" t="s">
        <v>9344</v>
      </c>
      <c r="D2381" t="s">
        <v>9345</v>
      </c>
      <c r="E2381" s="148" t="s">
        <v>9346</v>
      </c>
      <c r="F2381" t="s">
        <v>9347</v>
      </c>
      <c r="G2381" s="148" t="s">
        <v>9558</v>
      </c>
      <c r="H2381" t="s">
        <v>9559</v>
      </c>
      <c r="K2381" s="148" t="s">
        <v>9560</v>
      </c>
      <c r="L2381" t="s">
        <v>9561</v>
      </c>
      <c r="M2381" s="1" t="s">
        <v>9565</v>
      </c>
      <c r="N2381" s="1" t="s">
        <v>271</v>
      </c>
      <c r="O2381" s="1"/>
      <c r="P2381" s="3"/>
      <c r="Q2381" s="3"/>
      <c r="R2381" s="3"/>
      <c r="S2381" s="3"/>
      <c r="T2381" t="s">
        <v>2432</v>
      </c>
      <c r="U2381" t="s">
        <v>729</v>
      </c>
      <c r="V2381" t="s">
        <v>9566</v>
      </c>
      <c r="W2381" s="45">
        <v>1</v>
      </c>
      <c r="X2381" s="45">
        <v>1</v>
      </c>
      <c r="Y2381" s="45">
        <v>0</v>
      </c>
      <c r="Z2381" s="45">
        <v>1</v>
      </c>
      <c r="AA2381" s="45">
        <v>1</v>
      </c>
      <c r="AB2381" s="45">
        <v>1</v>
      </c>
      <c r="AC2381" s="150">
        <v>1</v>
      </c>
      <c r="AD2381" s="150">
        <v>1</v>
      </c>
      <c r="AE2381" s="49">
        <f t="shared" si="99"/>
        <v>0.875</v>
      </c>
      <c r="AF2381" s="17"/>
      <c r="AG2381" s="17"/>
      <c r="AH2381" s="17">
        <v>0</v>
      </c>
      <c r="AI2381" s="44" t="s">
        <v>9567</v>
      </c>
      <c r="AJ2381" s="44" t="s">
        <v>9568</v>
      </c>
      <c r="AK2381" s="151">
        <v>19.3</v>
      </c>
      <c r="AL2381" s="151">
        <v>30</v>
      </c>
      <c r="AM2381" s="147">
        <f t="shared" si="98"/>
        <v>49.3</v>
      </c>
      <c r="AN2381" s="44" t="s">
        <v>723</v>
      </c>
      <c r="AO2381" s="18" t="s">
        <v>729</v>
      </c>
      <c r="AP2381" t="s">
        <v>921</v>
      </c>
    </row>
    <row r="2382" spans="1:42" customFormat="1" x14ac:dyDescent="0.3">
      <c r="A2382" s="148" t="s">
        <v>8319</v>
      </c>
      <c r="B2382" t="s">
        <v>8320</v>
      </c>
      <c r="C2382" s="148" t="s">
        <v>9369</v>
      </c>
      <c r="D2382" t="s">
        <v>9370</v>
      </c>
      <c r="E2382" s="148" t="s">
        <v>9371</v>
      </c>
      <c r="F2382" t="s">
        <v>9372</v>
      </c>
      <c r="G2382" s="148" t="s">
        <v>9373</v>
      </c>
      <c r="H2382" t="s">
        <v>9374</v>
      </c>
      <c r="I2382" t="s">
        <v>9375</v>
      </c>
      <c r="J2382" t="s">
        <v>9376</v>
      </c>
      <c r="K2382" s="148" t="s">
        <v>9569</v>
      </c>
      <c r="L2382" t="s">
        <v>9570</v>
      </c>
      <c r="M2382" s="1" t="s">
        <v>9571</v>
      </c>
      <c r="N2382" s="1">
        <v>0</v>
      </c>
      <c r="O2382" s="1">
        <v>0</v>
      </c>
      <c r="P2382" s="3">
        <v>1</v>
      </c>
      <c r="Q2382" s="3" t="s">
        <v>271</v>
      </c>
      <c r="R2382" s="3" t="s">
        <v>271</v>
      </c>
      <c r="S2382" s="3" t="s">
        <v>271</v>
      </c>
      <c r="T2382" t="s">
        <v>9572</v>
      </c>
      <c r="U2382" t="e">
        <v>#N/A</v>
      </c>
      <c r="V2382" t="s">
        <v>9573</v>
      </c>
      <c r="W2382" s="45">
        <v>1</v>
      </c>
      <c r="X2382" s="45">
        <v>1</v>
      </c>
      <c r="Y2382" s="45">
        <v>1</v>
      </c>
      <c r="Z2382" s="45">
        <v>1</v>
      </c>
      <c r="AA2382" s="45">
        <v>1</v>
      </c>
      <c r="AB2382" s="45">
        <v>1</v>
      </c>
      <c r="AC2382" s="150">
        <v>0</v>
      </c>
      <c r="AD2382" s="150">
        <v>1</v>
      </c>
      <c r="AE2382" s="49">
        <f t="shared" si="99"/>
        <v>0.875</v>
      </c>
      <c r="AF2382" s="44"/>
      <c r="AG2382" s="17">
        <v>0</v>
      </c>
      <c r="AH2382" s="44">
        <v>1</v>
      </c>
      <c r="AI2382" s="44">
        <v>1</v>
      </c>
      <c r="AJ2382" s="44">
        <v>0.5</v>
      </c>
      <c r="AK2382" s="151">
        <v>1.3</v>
      </c>
      <c r="AL2382" s="151">
        <v>1</v>
      </c>
      <c r="AM2382" s="147">
        <f t="shared" si="98"/>
        <v>2.2999999999999998</v>
      </c>
      <c r="AN2382" s="18" t="s">
        <v>771</v>
      </c>
      <c r="AO2382" s="18" t="s">
        <v>773</v>
      </c>
      <c r="AP2382" t="s">
        <v>239</v>
      </c>
    </row>
    <row r="2383" spans="1:42" customFormat="1" x14ac:dyDescent="0.3">
      <c r="A2383" s="148" t="s">
        <v>8319</v>
      </c>
      <c r="B2383" t="s">
        <v>8320</v>
      </c>
      <c r="C2383" s="148" t="s">
        <v>9369</v>
      </c>
      <c r="D2383" t="s">
        <v>9370</v>
      </c>
      <c r="E2383" s="148" t="s">
        <v>9371</v>
      </c>
      <c r="F2383" t="s">
        <v>9372</v>
      </c>
      <c r="G2383" s="148" t="s">
        <v>9373</v>
      </c>
      <c r="H2383" t="s">
        <v>9374</v>
      </c>
      <c r="I2383" t="s">
        <v>9375</v>
      </c>
      <c r="J2383" t="s">
        <v>9376</v>
      </c>
      <c r="K2383" s="148" t="s">
        <v>9574</v>
      </c>
      <c r="L2383" t="s">
        <v>9575</v>
      </c>
      <c r="M2383" s="1" t="s">
        <v>9576</v>
      </c>
      <c r="N2383" s="1">
        <v>0</v>
      </c>
      <c r="O2383" s="1">
        <v>0</v>
      </c>
      <c r="P2383" s="3">
        <v>1</v>
      </c>
      <c r="Q2383" s="3">
        <v>0</v>
      </c>
      <c r="R2383" s="3">
        <v>0</v>
      </c>
      <c r="S2383" s="3">
        <v>0</v>
      </c>
      <c r="T2383" t="s">
        <v>771</v>
      </c>
      <c r="U2383" t="s">
        <v>773</v>
      </c>
      <c r="V2383" t="s">
        <v>9577</v>
      </c>
      <c r="W2383" s="45">
        <v>1</v>
      </c>
      <c r="X2383" s="45">
        <v>1</v>
      </c>
      <c r="Y2383" s="45">
        <v>1</v>
      </c>
      <c r="Z2383" s="45">
        <v>1</v>
      </c>
      <c r="AA2383" s="45">
        <v>1</v>
      </c>
      <c r="AB2383" s="45">
        <v>1</v>
      </c>
      <c r="AC2383" s="150">
        <v>0</v>
      </c>
      <c r="AD2383" s="150">
        <v>1</v>
      </c>
      <c r="AE2383" s="49">
        <f t="shared" si="99"/>
        <v>0.875</v>
      </c>
      <c r="AF2383" s="17"/>
      <c r="AG2383" s="17">
        <v>0</v>
      </c>
      <c r="AH2383" s="17">
        <v>0</v>
      </c>
      <c r="AI2383" s="44">
        <v>1</v>
      </c>
      <c r="AJ2383" s="17">
        <v>0</v>
      </c>
      <c r="AK2383" s="153">
        <v>1</v>
      </c>
      <c r="AL2383" s="154">
        <v>1</v>
      </c>
      <c r="AM2383" s="147">
        <f t="shared" si="98"/>
        <v>2</v>
      </c>
      <c r="AN2383" s="18" t="s">
        <v>771</v>
      </c>
      <c r="AO2383" s="18" t="s">
        <v>773</v>
      </c>
      <c r="AP2383" t="s">
        <v>831</v>
      </c>
    </row>
    <row r="2384" spans="1:42" customFormat="1" x14ac:dyDescent="0.3">
      <c r="A2384" s="148" t="s">
        <v>8319</v>
      </c>
      <c r="B2384" t="s">
        <v>8320</v>
      </c>
      <c r="C2384" s="148" t="s">
        <v>9369</v>
      </c>
      <c r="D2384" t="s">
        <v>9370</v>
      </c>
      <c r="E2384" s="148" t="s">
        <v>9371</v>
      </c>
      <c r="F2384" t="s">
        <v>9372</v>
      </c>
      <c r="G2384" s="148" t="s">
        <v>9373</v>
      </c>
      <c r="H2384" t="s">
        <v>9374</v>
      </c>
      <c r="I2384" t="s">
        <v>9375</v>
      </c>
      <c r="J2384" t="s">
        <v>9376</v>
      </c>
      <c r="K2384" s="148" t="s">
        <v>9578</v>
      </c>
      <c r="L2384" t="s">
        <v>9579</v>
      </c>
      <c r="M2384" s="1" t="s">
        <v>9580</v>
      </c>
      <c r="N2384" s="1"/>
      <c r="O2384" s="1">
        <v>12</v>
      </c>
      <c r="P2384" s="3">
        <v>12</v>
      </c>
      <c r="Q2384" s="3">
        <v>12</v>
      </c>
      <c r="R2384" s="3">
        <v>12</v>
      </c>
      <c r="S2384" s="3">
        <v>12</v>
      </c>
      <c r="T2384" t="s">
        <v>771</v>
      </c>
      <c r="U2384" t="s">
        <v>773</v>
      </c>
      <c r="V2384" t="s">
        <v>9581</v>
      </c>
      <c r="W2384" s="45">
        <v>1</v>
      </c>
      <c r="X2384" s="45">
        <v>1</v>
      </c>
      <c r="Y2384" s="45">
        <v>1</v>
      </c>
      <c r="Z2384" s="45">
        <v>1</v>
      </c>
      <c r="AA2384" s="45">
        <v>1</v>
      </c>
      <c r="AB2384" s="45">
        <v>1</v>
      </c>
      <c r="AC2384" s="150">
        <v>0</v>
      </c>
      <c r="AD2384" s="150">
        <v>1</v>
      </c>
      <c r="AE2384" s="49">
        <f t="shared" si="99"/>
        <v>0.875</v>
      </c>
      <c r="AF2384" s="44"/>
      <c r="AG2384" s="17">
        <v>0</v>
      </c>
      <c r="AH2384" s="44">
        <v>0.2</v>
      </c>
      <c r="AI2384" s="44">
        <v>0.2</v>
      </c>
      <c r="AJ2384" s="44">
        <v>0.2</v>
      </c>
      <c r="AK2384" s="151">
        <v>3.25</v>
      </c>
      <c r="AL2384" s="151">
        <v>3.25</v>
      </c>
      <c r="AM2384" s="147">
        <f t="shared" si="98"/>
        <v>6.5</v>
      </c>
      <c r="AN2384" s="18" t="s">
        <v>771</v>
      </c>
      <c r="AO2384" s="18" t="s">
        <v>773</v>
      </c>
      <c r="AP2384" t="s">
        <v>119</v>
      </c>
    </row>
    <row r="2385" spans="1:42" customFormat="1" x14ac:dyDescent="0.3">
      <c r="A2385" s="148" t="s">
        <v>8319</v>
      </c>
      <c r="B2385" t="s">
        <v>8320</v>
      </c>
      <c r="C2385" s="148" t="s">
        <v>9369</v>
      </c>
      <c r="D2385" t="s">
        <v>9370</v>
      </c>
      <c r="E2385" s="148" t="s">
        <v>9371</v>
      </c>
      <c r="F2385" t="s">
        <v>9372</v>
      </c>
      <c r="G2385" s="148" t="s">
        <v>9373</v>
      </c>
      <c r="H2385" t="s">
        <v>9374</v>
      </c>
      <c r="I2385" t="s">
        <v>9375</v>
      </c>
      <c r="J2385" t="s">
        <v>9376</v>
      </c>
      <c r="K2385" s="148" t="s">
        <v>9578</v>
      </c>
      <c r="L2385" t="s">
        <v>9579</v>
      </c>
      <c r="M2385" s="1" t="s">
        <v>9582</v>
      </c>
      <c r="N2385" s="1">
        <v>3</v>
      </c>
      <c r="O2385" s="1">
        <v>2</v>
      </c>
      <c r="P2385" s="3">
        <v>2</v>
      </c>
      <c r="Q2385" s="3">
        <v>2</v>
      </c>
      <c r="R2385" s="3">
        <v>2</v>
      </c>
      <c r="S2385" s="3">
        <v>2</v>
      </c>
      <c r="T2385" t="s">
        <v>771</v>
      </c>
      <c r="U2385" t="s">
        <v>773</v>
      </c>
      <c r="V2385" t="s">
        <v>9583</v>
      </c>
      <c r="W2385" s="45">
        <v>1</v>
      </c>
      <c r="X2385" s="45">
        <v>1</v>
      </c>
      <c r="Y2385" s="45">
        <v>1</v>
      </c>
      <c r="Z2385" s="45">
        <v>1</v>
      </c>
      <c r="AA2385" s="45">
        <v>1</v>
      </c>
      <c r="AB2385" s="45">
        <v>1</v>
      </c>
      <c r="AC2385" s="150">
        <v>0</v>
      </c>
      <c r="AD2385" s="150">
        <v>1</v>
      </c>
      <c r="AE2385" s="49">
        <f t="shared" si="99"/>
        <v>0.875</v>
      </c>
      <c r="AF2385" s="44"/>
      <c r="AG2385" s="17">
        <v>0</v>
      </c>
      <c r="AH2385" s="44">
        <v>0.2</v>
      </c>
      <c r="AI2385" s="44">
        <v>0.2</v>
      </c>
      <c r="AJ2385" s="44">
        <v>0.2</v>
      </c>
      <c r="AK2385" s="151">
        <v>1.8</v>
      </c>
      <c r="AL2385" s="151">
        <v>2.2000000000000002</v>
      </c>
      <c r="AM2385" s="147">
        <f t="shared" si="98"/>
        <v>4</v>
      </c>
      <c r="AN2385" s="18" t="s">
        <v>771</v>
      </c>
      <c r="AO2385" s="18" t="s">
        <v>773</v>
      </c>
      <c r="AP2385" t="s">
        <v>1233</v>
      </c>
    </row>
    <row r="2386" spans="1:42" customFormat="1" x14ac:dyDescent="0.3">
      <c r="A2386" s="148" t="s">
        <v>8319</v>
      </c>
      <c r="B2386" t="s">
        <v>8320</v>
      </c>
      <c r="C2386" s="148" t="s">
        <v>9369</v>
      </c>
      <c r="D2386" t="s">
        <v>9370</v>
      </c>
      <c r="E2386" s="148" t="s">
        <v>9371</v>
      </c>
      <c r="F2386" t="s">
        <v>9372</v>
      </c>
      <c r="G2386" s="148" t="s">
        <v>9373</v>
      </c>
      <c r="H2386" t="s">
        <v>9374</v>
      </c>
      <c r="I2386" t="s">
        <v>9375</v>
      </c>
      <c r="J2386" t="s">
        <v>9376</v>
      </c>
      <c r="K2386" s="148" t="s">
        <v>9578</v>
      </c>
      <c r="L2386" t="s">
        <v>9579</v>
      </c>
      <c r="M2386" s="1" t="s">
        <v>9584</v>
      </c>
      <c r="N2386" s="1">
        <v>0</v>
      </c>
      <c r="O2386" s="1">
        <v>0</v>
      </c>
      <c r="P2386" s="3">
        <v>1</v>
      </c>
      <c r="Q2386" s="3">
        <v>1</v>
      </c>
      <c r="R2386" s="3">
        <v>1</v>
      </c>
      <c r="S2386" s="3">
        <v>1</v>
      </c>
      <c r="T2386" t="s">
        <v>771</v>
      </c>
      <c r="U2386" t="s">
        <v>773</v>
      </c>
      <c r="V2386" t="s">
        <v>9585</v>
      </c>
      <c r="W2386" s="45">
        <v>1</v>
      </c>
      <c r="X2386" s="45">
        <v>1</v>
      </c>
      <c r="Y2386" s="45">
        <v>1</v>
      </c>
      <c r="Z2386" s="45">
        <v>0</v>
      </c>
      <c r="AA2386" s="45">
        <v>1</v>
      </c>
      <c r="AB2386" s="45">
        <v>1</v>
      </c>
      <c r="AC2386" s="150">
        <v>1</v>
      </c>
      <c r="AD2386" s="150">
        <v>1</v>
      </c>
      <c r="AE2386" s="49">
        <f t="shared" si="99"/>
        <v>0.875</v>
      </c>
      <c r="AF2386" s="17"/>
      <c r="AG2386" s="17">
        <v>0</v>
      </c>
      <c r="AH2386" s="17">
        <v>0</v>
      </c>
      <c r="AI2386" s="44">
        <v>0</v>
      </c>
      <c r="AJ2386" s="44">
        <v>0</v>
      </c>
      <c r="AK2386" s="151">
        <v>5</v>
      </c>
      <c r="AL2386" s="151">
        <v>5</v>
      </c>
      <c r="AM2386" s="147">
        <f t="shared" si="98"/>
        <v>10</v>
      </c>
      <c r="AN2386" s="18" t="s">
        <v>771</v>
      </c>
      <c r="AO2386" s="18" t="s">
        <v>773</v>
      </c>
      <c r="AP2386" t="s">
        <v>9586</v>
      </c>
    </row>
    <row r="2387" spans="1:42" customFormat="1" x14ac:dyDescent="0.3">
      <c r="A2387" s="148" t="s">
        <v>8319</v>
      </c>
      <c r="B2387" t="s">
        <v>8320</v>
      </c>
      <c r="C2387" s="148" t="s">
        <v>9369</v>
      </c>
      <c r="D2387" t="s">
        <v>9370</v>
      </c>
      <c r="E2387" s="148" t="s">
        <v>9371</v>
      </c>
      <c r="F2387" t="s">
        <v>9372</v>
      </c>
      <c r="G2387" s="148" t="s">
        <v>9373</v>
      </c>
      <c r="H2387" t="s">
        <v>9374</v>
      </c>
      <c r="I2387" t="s">
        <v>9375</v>
      </c>
      <c r="J2387" t="s">
        <v>9376</v>
      </c>
      <c r="K2387" s="148" t="s">
        <v>9578</v>
      </c>
      <c r="L2387" t="s">
        <v>9579</v>
      </c>
      <c r="M2387" s="1" t="s">
        <v>9587</v>
      </c>
      <c r="N2387" s="1">
        <v>0</v>
      </c>
      <c r="O2387" s="1">
        <v>1</v>
      </c>
      <c r="P2387" s="3">
        <v>1</v>
      </c>
      <c r="Q2387" s="3">
        <v>1</v>
      </c>
      <c r="R2387" s="3">
        <v>1</v>
      </c>
      <c r="S2387" s="3">
        <v>1</v>
      </c>
      <c r="T2387" t="s">
        <v>771</v>
      </c>
      <c r="U2387" t="s">
        <v>773</v>
      </c>
      <c r="V2387" t="s">
        <v>9588</v>
      </c>
      <c r="W2387" s="45">
        <v>1</v>
      </c>
      <c r="X2387" s="45">
        <v>1</v>
      </c>
      <c r="Y2387" s="45">
        <v>1</v>
      </c>
      <c r="Z2387" s="45">
        <v>1</v>
      </c>
      <c r="AA2387" s="45">
        <v>1</v>
      </c>
      <c r="AB2387" s="45">
        <v>1</v>
      </c>
      <c r="AC2387" s="150">
        <v>0</v>
      </c>
      <c r="AD2387" s="150">
        <v>1</v>
      </c>
      <c r="AE2387" s="49">
        <f t="shared" si="99"/>
        <v>0.875</v>
      </c>
      <c r="AF2387" s="44"/>
      <c r="AG2387" s="17">
        <v>0</v>
      </c>
      <c r="AH2387" s="44">
        <v>20</v>
      </c>
      <c r="AI2387" s="44">
        <v>20</v>
      </c>
      <c r="AJ2387" s="44">
        <v>10</v>
      </c>
      <c r="AK2387" s="377">
        <v>10</v>
      </c>
      <c r="AL2387" s="377">
        <v>10</v>
      </c>
      <c r="AM2387" s="147">
        <f t="shared" si="98"/>
        <v>20</v>
      </c>
      <c r="AN2387" s="378" t="s">
        <v>1536</v>
      </c>
      <c r="AO2387" s="18" t="s">
        <v>1170</v>
      </c>
      <c r="AP2387" t="s">
        <v>9589</v>
      </c>
    </row>
    <row r="2388" spans="1:42" customFormat="1" x14ac:dyDescent="0.3">
      <c r="A2388" s="148" t="s">
        <v>8319</v>
      </c>
      <c r="B2388" t="s">
        <v>8320</v>
      </c>
      <c r="C2388" s="148" t="s">
        <v>9369</v>
      </c>
      <c r="D2388" t="s">
        <v>9370</v>
      </c>
      <c r="E2388" s="148" t="s">
        <v>9371</v>
      </c>
      <c r="F2388" t="s">
        <v>9372</v>
      </c>
      <c r="G2388" s="148" t="s">
        <v>9373</v>
      </c>
      <c r="H2388" t="s">
        <v>9374</v>
      </c>
      <c r="I2388" s="148" t="s">
        <v>9391</v>
      </c>
      <c r="J2388" t="s">
        <v>9392</v>
      </c>
      <c r="K2388" s="148" t="s">
        <v>9393</v>
      </c>
      <c r="L2388" t="s">
        <v>9394</v>
      </c>
      <c r="M2388" s="1"/>
      <c r="N2388" s="1"/>
      <c r="O2388" s="1"/>
      <c r="P2388" s="3"/>
      <c r="Q2388" s="3"/>
      <c r="R2388" s="3"/>
      <c r="S2388" s="3"/>
      <c r="U2388" t="e">
        <v>#N/A</v>
      </c>
      <c r="V2388" t="s">
        <v>9590</v>
      </c>
      <c r="W2388" s="45">
        <v>1</v>
      </c>
      <c r="X2388" s="45">
        <v>1</v>
      </c>
      <c r="Y2388" s="45">
        <v>1</v>
      </c>
      <c r="Z2388" s="45">
        <v>1</v>
      </c>
      <c r="AA2388" s="45">
        <v>0</v>
      </c>
      <c r="AB2388" s="45">
        <v>1</v>
      </c>
      <c r="AC2388" s="150">
        <v>1</v>
      </c>
      <c r="AD2388" s="150">
        <v>1</v>
      </c>
      <c r="AE2388" s="49">
        <f t="shared" si="99"/>
        <v>0.875</v>
      </c>
      <c r="AF2388" s="17"/>
      <c r="AG2388" s="17">
        <v>0</v>
      </c>
      <c r="AH2388" s="17">
        <v>0</v>
      </c>
      <c r="AI2388" s="44">
        <v>0.5</v>
      </c>
      <c r="AJ2388" s="44">
        <v>0.5</v>
      </c>
      <c r="AK2388" s="151">
        <v>0.5</v>
      </c>
      <c r="AL2388" s="151">
        <v>0.5</v>
      </c>
      <c r="AM2388" s="147">
        <f t="shared" si="98"/>
        <v>1</v>
      </c>
      <c r="AN2388" s="44" t="s">
        <v>723</v>
      </c>
      <c r="AO2388" s="18" t="s">
        <v>729</v>
      </c>
      <c r="AP2388" t="s">
        <v>4497</v>
      </c>
    </row>
    <row r="2389" spans="1:42" customFormat="1" x14ac:dyDescent="0.3">
      <c r="A2389" s="148" t="s">
        <v>8319</v>
      </c>
      <c r="B2389" t="s">
        <v>8320</v>
      </c>
      <c r="C2389" s="148" t="s">
        <v>9369</v>
      </c>
      <c r="D2389" t="s">
        <v>9370</v>
      </c>
      <c r="E2389" s="148" t="s">
        <v>9371</v>
      </c>
      <c r="F2389" t="s">
        <v>9372</v>
      </c>
      <c r="G2389" s="148" t="s">
        <v>9373</v>
      </c>
      <c r="H2389" t="s">
        <v>9374</v>
      </c>
      <c r="I2389" s="148" t="s">
        <v>9391</v>
      </c>
      <c r="J2389" t="s">
        <v>9392</v>
      </c>
      <c r="K2389" s="148" t="s">
        <v>9393</v>
      </c>
      <c r="L2389" t="s">
        <v>9394</v>
      </c>
      <c r="M2389" s="1"/>
      <c r="N2389" s="1"/>
      <c r="O2389" s="1"/>
      <c r="P2389" s="3"/>
      <c r="Q2389" s="3"/>
      <c r="R2389" s="3"/>
      <c r="S2389" s="3"/>
      <c r="U2389" t="e">
        <v>#N/A</v>
      </c>
      <c r="V2389" t="s">
        <v>9591</v>
      </c>
      <c r="W2389" s="45">
        <v>1</v>
      </c>
      <c r="X2389" s="45">
        <v>1</v>
      </c>
      <c r="Y2389" s="45">
        <v>1</v>
      </c>
      <c r="Z2389" s="45">
        <v>1</v>
      </c>
      <c r="AA2389" s="45">
        <v>0</v>
      </c>
      <c r="AB2389" s="45">
        <v>1</v>
      </c>
      <c r="AC2389" s="150">
        <v>1</v>
      </c>
      <c r="AD2389" s="150">
        <v>1</v>
      </c>
      <c r="AE2389" s="49">
        <f t="shared" si="99"/>
        <v>0.875</v>
      </c>
      <c r="AF2389" s="44"/>
      <c r="AG2389" s="17">
        <v>0</v>
      </c>
      <c r="AH2389" s="44">
        <v>9.9</v>
      </c>
      <c r="AI2389" s="44">
        <v>10</v>
      </c>
      <c r="AJ2389" s="44">
        <v>12</v>
      </c>
      <c r="AK2389" s="151">
        <v>12</v>
      </c>
      <c r="AL2389" s="151">
        <v>15</v>
      </c>
      <c r="AM2389" s="147">
        <f t="shared" si="98"/>
        <v>27</v>
      </c>
      <c r="AN2389" s="44" t="s">
        <v>1449</v>
      </c>
      <c r="AO2389" s="18" t="s">
        <v>3500</v>
      </c>
      <c r="AP2389" t="s">
        <v>9592</v>
      </c>
    </row>
    <row r="2390" spans="1:42" customFormat="1" x14ac:dyDescent="0.3">
      <c r="A2390" s="148" t="s">
        <v>8319</v>
      </c>
      <c r="B2390" t="s">
        <v>8320</v>
      </c>
      <c r="C2390" s="148" t="s">
        <v>9369</v>
      </c>
      <c r="D2390" t="s">
        <v>9370</v>
      </c>
      <c r="E2390" s="148" t="s">
        <v>9371</v>
      </c>
      <c r="F2390" t="s">
        <v>9372</v>
      </c>
      <c r="G2390" s="148" t="s">
        <v>9593</v>
      </c>
      <c r="H2390" t="s">
        <v>9594</v>
      </c>
      <c r="K2390" s="148" t="s">
        <v>9595</v>
      </c>
      <c r="L2390" t="s">
        <v>9596</v>
      </c>
      <c r="M2390" s="1"/>
      <c r="N2390" s="1"/>
      <c r="O2390" s="1"/>
      <c r="P2390" s="3"/>
      <c r="Q2390" s="3"/>
      <c r="R2390" s="3"/>
      <c r="S2390" s="3"/>
      <c r="U2390" t="e">
        <v>#N/A</v>
      </c>
      <c r="V2390" t="s">
        <v>9597</v>
      </c>
      <c r="W2390" s="45">
        <v>1</v>
      </c>
      <c r="X2390" s="45">
        <v>1</v>
      </c>
      <c r="Y2390" s="45">
        <v>0</v>
      </c>
      <c r="Z2390" s="45">
        <v>1</v>
      </c>
      <c r="AA2390" s="45">
        <v>1</v>
      </c>
      <c r="AB2390" s="45">
        <v>1</v>
      </c>
      <c r="AC2390" s="150">
        <v>1</v>
      </c>
      <c r="AD2390" s="150">
        <v>1</v>
      </c>
      <c r="AE2390" s="49">
        <f t="shared" si="99"/>
        <v>0.875</v>
      </c>
      <c r="AF2390" s="17"/>
      <c r="AG2390" s="17">
        <v>0</v>
      </c>
      <c r="AH2390" s="17">
        <v>0</v>
      </c>
      <c r="AI2390" s="44">
        <v>0.35</v>
      </c>
      <c r="AJ2390" s="44">
        <v>0.35</v>
      </c>
      <c r="AK2390" s="151">
        <v>0.4</v>
      </c>
      <c r="AL2390" s="151">
        <v>0.45</v>
      </c>
      <c r="AM2390" s="147">
        <f t="shared" si="98"/>
        <v>0.85000000000000009</v>
      </c>
      <c r="AN2390" t="s">
        <v>723</v>
      </c>
      <c r="AO2390" s="18" t="s">
        <v>729</v>
      </c>
      <c r="AP2390" t="s">
        <v>119</v>
      </c>
    </row>
    <row r="2391" spans="1:42" customFormat="1" x14ac:dyDescent="0.3">
      <c r="A2391" s="148" t="s">
        <v>8319</v>
      </c>
      <c r="B2391" t="s">
        <v>8320</v>
      </c>
      <c r="C2391" s="148" t="s">
        <v>9369</v>
      </c>
      <c r="D2391" t="s">
        <v>9370</v>
      </c>
      <c r="E2391" s="148" t="s">
        <v>9371</v>
      </c>
      <c r="F2391" t="s">
        <v>9372</v>
      </c>
      <c r="G2391" s="148" t="s">
        <v>9593</v>
      </c>
      <c r="H2391" t="s">
        <v>9594</v>
      </c>
      <c r="K2391" s="155" t="s">
        <v>9598</v>
      </c>
      <c r="L2391" t="s">
        <v>9599</v>
      </c>
      <c r="M2391" s="1" t="s">
        <v>9600</v>
      </c>
      <c r="N2391" s="1" t="s">
        <v>271</v>
      </c>
      <c r="O2391" s="1">
        <v>20</v>
      </c>
      <c r="P2391" s="3">
        <v>45</v>
      </c>
      <c r="Q2391" s="3">
        <v>50</v>
      </c>
      <c r="R2391" s="3">
        <v>65</v>
      </c>
      <c r="S2391" s="3">
        <v>80</v>
      </c>
      <c r="T2391" t="s">
        <v>9601</v>
      </c>
      <c r="U2391" t="e">
        <v>#N/A</v>
      </c>
      <c r="V2391" t="s">
        <v>9602</v>
      </c>
      <c r="W2391" s="45">
        <v>1</v>
      </c>
      <c r="X2391" s="45">
        <v>1</v>
      </c>
      <c r="Y2391" s="45">
        <v>1</v>
      </c>
      <c r="Z2391" s="45">
        <v>1</v>
      </c>
      <c r="AA2391" s="45">
        <v>1</v>
      </c>
      <c r="AB2391" s="45">
        <v>1</v>
      </c>
      <c r="AC2391" s="150">
        <v>0</v>
      </c>
      <c r="AD2391" s="150">
        <v>1</v>
      </c>
      <c r="AE2391" s="49">
        <f t="shared" si="99"/>
        <v>0.875</v>
      </c>
      <c r="AF2391" s="44"/>
      <c r="AG2391" s="17">
        <v>0</v>
      </c>
      <c r="AH2391" s="44">
        <v>0</v>
      </c>
      <c r="AI2391" s="44">
        <v>0</v>
      </c>
      <c r="AJ2391" s="44">
        <v>0</v>
      </c>
      <c r="AK2391" s="151">
        <v>1</v>
      </c>
      <c r="AL2391" s="151">
        <v>1</v>
      </c>
      <c r="AM2391" s="147">
        <f t="shared" si="98"/>
        <v>2</v>
      </c>
      <c r="AN2391" s="44" t="s">
        <v>723</v>
      </c>
      <c r="AO2391" s="18" t="s">
        <v>729</v>
      </c>
      <c r="AP2391" t="s">
        <v>831</v>
      </c>
    </row>
    <row r="2392" spans="1:42" customFormat="1" x14ac:dyDescent="0.3">
      <c r="A2392" s="148" t="s">
        <v>8319</v>
      </c>
      <c r="B2392" t="s">
        <v>8320</v>
      </c>
      <c r="C2392" s="148" t="s">
        <v>9410</v>
      </c>
      <c r="D2392" t="s">
        <v>9411</v>
      </c>
      <c r="E2392" s="148" t="s">
        <v>9412</v>
      </c>
      <c r="F2392" t="s">
        <v>9413</v>
      </c>
      <c r="G2392" s="148" t="s">
        <v>9414</v>
      </c>
      <c r="H2392" t="s">
        <v>9415</v>
      </c>
      <c r="K2392" s="148" t="s">
        <v>9416</v>
      </c>
      <c r="L2392" t="s">
        <v>9417</v>
      </c>
      <c r="M2392" s="1" t="s">
        <v>9603</v>
      </c>
      <c r="N2392" s="1"/>
      <c r="O2392" s="1">
        <v>250</v>
      </c>
      <c r="P2392" s="3">
        <v>500</v>
      </c>
      <c r="Q2392" s="3">
        <v>500</v>
      </c>
      <c r="R2392" s="3">
        <v>500</v>
      </c>
      <c r="S2392" s="3">
        <v>500</v>
      </c>
      <c r="T2392" t="s">
        <v>9604</v>
      </c>
      <c r="U2392" t="e">
        <v>#N/A</v>
      </c>
      <c r="V2392" t="s">
        <v>9605</v>
      </c>
      <c r="W2392" s="45">
        <v>1</v>
      </c>
      <c r="X2392" s="45">
        <v>1</v>
      </c>
      <c r="Y2392" s="45">
        <v>1</v>
      </c>
      <c r="Z2392" s="45">
        <v>1</v>
      </c>
      <c r="AA2392" s="45">
        <v>1</v>
      </c>
      <c r="AB2392" s="45">
        <v>1</v>
      </c>
      <c r="AC2392" s="150">
        <v>0</v>
      </c>
      <c r="AD2392" s="150">
        <v>1</v>
      </c>
      <c r="AE2392" s="49">
        <f t="shared" si="99"/>
        <v>0.875</v>
      </c>
      <c r="AF2392" s="44"/>
      <c r="AG2392" s="17">
        <v>0</v>
      </c>
      <c r="AH2392" s="44">
        <v>2</v>
      </c>
      <c r="AI2392" s="44">
        <v>2</v>
      </c>
      <c r="AJ2392" s="44">
        <v>2</v>
      </c>
      <c r="AK2392" s="151">
        <v>2</v>
      </c>
      <c r="AL2392" s="151">
        <v>2</v>
      </c>
      <c r="AM2392" s="147">
        <f t="shared" si="98"/>
        <v>4</v>
      </c>
      <c r="AN2392" t="s">
        <v>3643</v>
      </c>
      <c r="AO2392" s="18" t="s">
        <v>3630</v>
      </c>
      <c r="AP2392" t="s">
        <v>255</v>
      </c>
    </row>
    <row r="2393" spans="1:42" customFormat="1" x14ac:dyDescent="0.3">
      <c r="A2393" s="148" t="s">
        <v>8319</v>
      </c>
      <c r="B2393" t="s">
        <v>8320</v>
      </c>
      <c r="C2393" s="148" t="s">
        <v>9410</v>
      </c>
      <c r="D2393" t="s">
        <v>9411</v>
      </c>
      <c r="E2393" s="148" t="s">
        <v>9412</v>
      </c>
      <c r="F2393" t="s">
        <v>9413</v>
      </c>
      <c r="G2393" s="148" t="s">
        <v>9414</v>
      </c>
      <c r="H2393" t="s">
        <v>9415</v>
      </c>
      <c r="K2393" s="148" t="s">
        <v>9416</v>
      </c>
      <c r="L2393" t="s">
        <v>9417</v>
      </c>
      <c r="M2393" s="1" t="s">
        <v>9606</v>
      </c>
      <c r="N2393" s="1"/>
      <c r="O2393" s="1">
        <v>3.5</v>
      </c>
      <c r="P2393" s="3">
        <v>3.5</v>
      </c>
      <c r="Q2393" s="3">
        <v>2.5</v>
      </c>
      <c r="R2393" s="3">
        <v>2.5</v>
      </c>
      <c r="S2393" s="3">
        <v>2</v>
      </c>
      <c r="T2393" t="s">
        <v>3643</v>
      </c>
      <c r="U2393" t="s">
        <v>3630</v>
      </c>
      <c r="V2393" t="s">
        <v>9607</v>
      </c>
      <c r="W2393" s="45">
        <v>1</v>
      </c>
      <c r="X2393" s="45">
        <v>1</v>
      </c>
      <c r="Y2393" s="45">
        <v>1</v>
      </c>
      <c r="Z2393" s="45">
        <v>1</v>
      </c>
      <c r="AA2393" s="45">
        <v>1</v>
      </c>
      <c r="AB2393" s="45">
        <v>1</v>
      </c>
      <c r="AC2393" s="150">
        <v>0</v>
      </c>
      <c r="AD2393" s="150">
        <v>1</v>
      </c>
      <c r="AE2393" s="49">
        <f t="shared" si="99"/>
        <v>0.875</v>
      </c>
      <c r="AF2393" s="17"/>
      <c r="AG2393" s="17">
        <v>0</v>
      </c>
      <c r="AH2393" s="17">
        <v>0</v>
      </c>
      <c r="AI2393" s="17">
        <v>0</v>
      </c>
      <c r="AJ2393" s="17">
        <v>0</v>
      </c>
      <c r="AK2393" s="153">
        <v>0</v>
      </c>
      <c r="AL2393" s="154">
        <v>0</v>
      </c>
      <c r="AM2393" s="147">
        <f t="shared" si="98"/>
        <v>0</v>
      </c>
      <c r="AN2393" t="s">
        <v>3643</v>
      </c>
      <c r="AO2393" s="18" t="s">
        <v>3630</v>
      </c>
      <c r="AP2393" t="s">
        <v>255</v>
      </c>
    </row>
    <row r="2394" spans="1:42" customFormat="1" x14ac:dyDescent="0.3">
      <c r="A2394" s="148" t="s">
        <v>8319</v>
      </c>
      <c r="B2394" t="s">
        <v>8320</v>
      </c>
      <c r="C2394" s="148" t="s">
        <v>9410</v>
      </c>
      <c r="D2394" t="s">
        <v>9411</v>
      </c>
      <c r="E2394" s="148" t="s">
        <v>9412</v>
      </c>
      <c r="F2394" t="s">
        <v>9413</v>
      </c>
      <c r="G2394" s="148" t="s">
        <v>9414</v>
      </c>
      <c r="H2394" t="s">
        <v>9415</v>
      </c>
      <c r="K2394" s="148" t="s">
        <v>9416</v>
      </c>
      <c r="L2394" t="s">
        <v>9417</v>
      </c>
      <c r="M2394" s="1" t="s">
        <v>9608</v>
      </c>
      <c r="N2394" s="1"/>
      <c r="O2394" s="1">
        <v>365</v>
      </c>
      <c r="P2394" s="3">
        <v>385</v>
      </c>
      <c r="Q2394" s="3">
        <v>398</v>
      </c>
      <c r="R2394" s="3">
        <v>415</v>
      </c>
      <c r="S2394" s="3">
        <v>433</v>
      </c>
      <c r="T2394" t="s">
        <v>9609</v>
      </c>
      <c r="U2394" t="e">
        <v>#N/A</v>
      </c>
      <c r="V2394" t="s">
        <v>9610</v>
      </c>
      <c r="W2394" s="45">
        <v>1</v>
      </c>
      <c r="X2394" s="45">
        <v>1</v>
      </c>
      <c r="Y2394" s="45">
        <v>1</v>
      </c>
      <c r="Z2394" s="45">
        <v>1</v>
      </c>
      <c r="AA2394" s="45">
        <v>1</v>
      </c>
      <c r="AB2394" s="45">
        <v>1</v>
      </c>
      <c r="AC2394" s="150">
        <v>0</v>
      </c>
      <c r="AD2394" s="150">
        <v>1</v>
      </c>
      <c r="AE2394" s="49">
        <f t="shared" si="99"/>
        <v>0.875</v>
      </c>
      <c r="AF2394" s="17"/>
      <c r="AG2394" s="17">
        <v>0</v>
      </c>
      <c r="AH2394" s="17">
        <v>0</v>
      </c>
      <c r="AI2394" s="17">
        <v>0</v>
      </c>
      <c r="AJ2394" s="17">
        <v>0</v>
      </c>
      <c r="AK2394" s="153">
        <v>0</v>
      </c>
      <c r="AL2394" s="154">
        <v>0</v>
      </c>
      <c r="AM2394" s="147">
        <f t="shared" si="98"/>
        <v>0</v>
      </c>
      <c r="AN2394" t="s">
        <v>3643</v>
      </c>
      <c r="AO2394" s="18" t="s">
        <v>3630</v>
      </c>
      <c r="AP2394" t="s">
        <v>255</v>
      </c>
    </row>
    <row r="2395" spans="1:42" customFormat="1" x14ac:dyDescent="0.3">
      <c r="A2395" s="148" t="s">
        <v>8319</v>
      </c>
      <c r="B2395" t="s">
        <v>8320</v>
      </c>
      <c r="C2395" s="148" t="s">
        <v>9410</v>
      </c>
      <c r="D2395" t="s">
        <v>9411</v>
      </c>
      <c r="E2395" s="148" t="s">
        <v>9412</v>
      </c>
      <c r="F2395" t="s">
        <v>9413</v>
      </c>
      <c r="G2395" s="148" t="s">
        <v>9414</v>
      </c>
      <c r="H2395" t="s">
        <v>9415</v>
      </c>
      <c r="K2395" s="148" t="s">
        <v>9416</v>
      </c>
      <c r="L2395" t="s">
        <v>9417</v>
      </c>
      <c r="M2395" s="1" t="s">
        <v>9611</v>
      </c>
      <c r="N2395" s="1"/>
      <c r="O2395" s="1">
        <v>0.25</v>
      </c>
      <c r="P2395" s="3">
        <v>0.3</v>
      </c>
      <c r="Q2395" s="3">
        <v>0.35</v>
      </c>
      <c r="R2395" s="3">
        <v>0.4</v>
      </c>
      <c r="S2395" s="3">
        <v>0.45</v>
      </c>
      <c r="T2395" t="s">
        <v>255</v>
      </c>
      <c r="U2395" t="s">
        <v>1045</v>
      </c>
      <c r="V2395" t="s">
        <v>9612</v>
      </c>
      <c r="W2395" s="45">
        <v>1</v>
      </c>
      <c r="X2395" s="45">
        <v>1</v>
      </c>
      <c r="Y2395" s="45">
        <v>1</v>
      </c>
      <c r="Z2395" s="45">
        <v>1</v>
      </c>
      <c r="AA2395" s="45">
        <v>1</v>
      </c>
      <c r="AB2395" s="45">
        <v>1</v>
      </c>
      <c r="AC2395" s="150">
        <v>0</v>
      </c>
      <c r="AD2395" s="150">
        <v>1</v>
      </c>
      <c r="AE2395" s="49">
        <f t="shared" si="99"/>
        <v>0.875</v>
      </c>
      <c r="AF2395" s="17"/>
      <c r="AG2395" s="17">
        <v>0</v>
      </c>
      <c r="AH2395" s="17">
        <v>0</v>
      </c>
      <c r="AI2395" s="17">
        <v>0</v>
      </c>
      <c r="AJ2395" s="17">
        <v>0</v>
      </c>
      <c r="AK2395" s="153">
        <v>0</v>
      </c>
      <c r="AL2395" s="154">
        <v>0</v>
      </c>
      <c r="AM2395" s="147">
        <f t="shared" si="98"/>
        <v>0</v>
      </c>
      <c r="AN2395" t="s">
        <v>3643</v>
      </c>
      <c r="AO2395" s="18" t="s">
        <v>3630</v>
      </c>
      <c r="AP2395" t="s">
        <v>255</v>
      </c>
    </row>
    <row r="2396" spans="1:42" s="159" customFormat="1" x14ac:dyDescent="0.3">
      <c r="A2396" s="148" t="s">
        <v>8319</v>
      </c>
      <c r="B2396" t="s">
        <v>8320</v>
      </c>
      <c r="C2396" s="148" t="s">
        <v>9410</v>
      </c>
      <c r="D2396" t="s">
        <v>9411</v>
      </c>
      <c r="E2396" s="148" t="s">
        <v>9412</v>
      </c>
      <c r="F2396" t="s">
        <v>9413</v>
      </c>
      <c r="G2396" s="148" t="s">
        <v>9414</v>
      </c>
      <c r="H2396" t="s">
        <v>9415</v>
      </c>
      <c r="I2396"/>
      <c r="J2396"/>
      <c r="K2396" s="148" t="s">
        <v>9416</v>
      </c>
      <c r="L2396" t="s">
        <v>9417</v>
      </c>
      <c r="M2396" s="1" t="s">
        <v>9613</v>
      </c>
      <c r="N2396" s="1"/>
      <c r="O2396" s="1">
        <v>852213</v>
      </c>
      <c r="P2396" s="3">
        <v>852213</v>
      </c>
      <c r="Q2396" s="3">
        <v>216709</v>
      </c>
      <c r="R2396" s="3">
        <v>222588</v>
      </c>
      <c r="S2396" s="3">
        <v>228515</v>
      </c>
      <c r="T2396" t="s">
        <v>9614</v>
      </c>
      <c r="U2396" t="e">
        <v>#N/A</v>
      </c>
      <c r="V2396" t="s">
        <v>9615</v>
      </c>
      <c r="W2396" s="45">
        <v>1</v>
      </c>
      <c r="X2396" s="45">
        <v>1</v>
      </c>
      <c r="Y2396" s="45">
        <v>1</v>
      </c>
      <c r="Z2396" s="45">
        <v>1</v>
      </c>
      <c r="AA2396" s="45">
        <v>1</v>
      </c>
      <c r="AB2396" s="45">
        <v>1</v>
      </c>
      <c r="AC2396" s="150">
        <v>0</v>
      </c>
      <c r="AD2396" s="150">
        <v>1</v>
      </c>
      <c r="AE2396" s="49">
        <f t="shared" si="99"/>
        <v>0.875</v>
      </c>
      <c r="AF2396" s="17"/>
      <c r="AG2396" s="17">
        <v>0</v>
      </c>
      <c r="AH2396" s="17">
        <v>0</v>
      </c>
      <c r="AI2396" s="17">
        <v>0</v>
      </c>
      <c r="AJ2396" s="17">
        <v>0</v>
      </c>
      <c r="AK2396" s="153">
        <v>0</v>
      </c>
      <c r="AL2396" s="154">
        <v>0</v>
      </c>
      <c r="AM2396" s="147">
        <f t="shared" si="98"/>
        <v>0</v>
      </c>
      <c r="AN2396" s="44" t="s">
        <v>9431</v>
      </c>
      <c r="AO2396" s="18" t="s">
        <v>3630</v>
      </c>
      <c r="AP2396" s="18" t="s">
        <v>255</v>
      </c>
    </row>
    <row r="2397" spans="1:42" s="159" customFormat="1" x14ac:dyDescent="0.3">
      <c r="A2397" s="148" t="s">
        <v>8319</v>
      </c>
      <c r="B2397" t="s">
        <v>8320</v>
      </c>
      <c r="C2397" s="148" t="s">
        <v>9410</v>
      </c>
      <c r="D2397" t="s">
        <v>9411</v>
      </c>
      <c r="E2397" s="148" t="s">
        <v>9412</v>
      </c>
      <c r="F2397" t="s">
        <v>9413</v>
      </c>
      <c r="G2397" s="148" t="s">
        <v>9414</v>
      </c>
      <c r="H2397" t="s">
        <v>9415</v>
      </c>
      <c r="I2397"/>
      <c r="J2397"/>
      <c r="K2397" s="148" t="s">
        <v>9416</v>
      </c>
      <c r="L2397" t="s">
        <v>9417</v>
      </c>
      <c r="M2397" s="1" t="s">
        <v>9616</v>
      </c>
      <c r="N2397" s="1"/>
      <c r="O2397" s="1">
        <v>100</v>
      </c>
      <c r="P2397" s="3">
        <v>100</v>
      </c>
      <c r="Q2397" s="3">
        <v>100</v>
      </c>
      <c r="R2397" s="3">
        <v>100</v>
      </c>
      <c r="S2397" s="3">
        <v>100</v>
      </c>
      <c r="T2397" t="s">
        <v>9617</v>
      </c>
      <c r="U2397" t="e">
        <v>#N/A</v>
      </c>
      <c r="V2397" t="s">
        <v>9618</v>
      </c>
      <c r="W2397" s="45">
        <v>1</v>
      </c>
      <c r="X2397" s="45">
        <v>1</v>
      </c>
      <c r="Y2397" s="45">
        <v>1</v>
      </c>
      <c r="Z2397" s="45">
        <v>1</v>
      </c>
      <c r="AA2397" s="45">
        <v>1</v>
      </c>
      <c r="AB2397" s="45">
        <v>1</v>
      </c>
      <c r="AC2397" s="150">
        <v>0</v>
      </c>
      <c r="AD2397" s="150">
        <v>1</v>
      </c>
      <c r="AE2397" s="49">
        <f t="shared" si="99"/>
        <v>0.875</v>
      </c>
      <c r="AF2397" s="17"/>
      <c r="AG2397" s="17">
        <v>0</v>
      </c>
      <c r="AH2397" s="17">
        <v>0</v>
      </c>
      <c r="AI2397" s="17">
        <v>0</v>
      </c>
      <c r="AJ2397" s="17">
        <v>0</v>
      </c>
      <c r="AK2397" s="153">
        <v>0</v>
      </c>
      <c r="AL2397" s="154">
        <v>0</v>
      </c>
      <c r="AM2397" s="147">
        <f t="shared" si="98"/>
        <v>0</v>
      </c>
      <c r="AN2397" t="s">
        <v>3643</v>
      </c>
      <c r="AO2397" s="18" t="s">
        <v>3630</v>
      </c>
      <c r="AP2397" t="s">
        <v>9619</v>
      </c>
    </row>
    <row r="2398" spans="1:42" s="159" customFormat="1" x14ac:dyDescent="0.3">
      <c r="A2398" s="148" t="s">
        <v>8319</v>
      </c>
      <c r="B2398" t="s">
        <v>8320</v>
      </c>
      <c r="C2398" s="148" t="s">
        <v>9410</v>
      </c>
      <c r="D2398" t="s">
        <v>9411</v>
      </c>
      <c r="E2398" s="148" t="s">
        <v>9412</v>
      </c>
      <c r="F2398" t="s">
        <v>9413</v>
      </c>
      <c r="G2398" s="148" t="s">
        <v>9414</v>
      </c>
      <c r="H2398" t="s">
        <v>9415</v>
      </c>
      <c r="I2398"/>
      <c r="J2398"/>
      <c r="K2398" s="148" t="s">
        <v>9416</v>
      </c>
      <c r="L2398" t="s">
        <v>9417</v>
      </c>
      <c r="M2398" s="1" t="s">
        <v>9620</v>
      </c>
      <c r="N2398" s="1"/>
      <c r="O2398" s="1"/>
      <c r="P2398" s="3"/>
      <c r="Q2398" s="3"/>
      <c r="R2398" s="3"/>
      <c r="S2398" s="3"/>
      <c r="T2398" t="s">
        <v>9621</v>
      </c>
      <c r="U2398" t="e">
        <v>#N/A</v>
      </c>
      <c r="V2398" t="s">
        <v>9622</v>
      </c>
      <c r="W2398" s="45">
        <v>1</v>
      </c>
      <c r="X2398" s="45">
        <v>1</v>
      </c>
      <c r="Y2398" s="45">
        <v>1</v>
      </c>
      <c r="Z2398" s="45">
        <v>1</v>
      </c>
      <c r="AA2398" s="45">
        <v>1</v>
      </c>
      <c r="AB2398" s="45">
        <v>1</v>
      </c>
      <c r="AC2398" s="150">
        <v>0</v>
      </c>
      <c r="AD2398" s="150">
        <v>1</v>
      </c>
      <c r="AE2398" s="49">
        <f t="shared" si="99"/>
        <v>0.875</v>
      </c>
      <c r="AF2398" s="44"/>
      <c r="AG2398" s="17">
        <v>0</v>
      </c>
      <c r="AH2398" s="44">
        <v>72.262365631676403</v>
      </c>
      <c r="AI2398" s="44">
        <v>83.753953355214435</v>
      </c>
      <c r="AJ2398" s="44">
        <v>78.008159493445419</v>
      </c>
      <c r="AK2398" s="151">
        <v>5</v>
      </c>
      <c r="AL2398" s="151">
        <v>5</v>
      </c>
      <c r="AM2398" s="147">
        <f t="shared" si="98"/>
        <v>10</v>
      </c>
      <c r="AN2398" s="44" t="s">
        <v>9491</v>
      </c>
      <c r="AO2398" s="18" t="s">
        <v>9492</v>
      </c>
      <c r="AP2398" t="s">
        <v>9368</v>
      </c>
    </row>
    <row r="2399" spans="1:42" customFormat="1" x14ac:dyDescent="0.3">
      <c r="A2399" s="148" t="s">
        <v>8319</v>
      </c>
      <c r="B2399" t="s">
        <v>8320</v>
      </c>
      <c r="C2399" s="148" t="s">
        <v>9410</v>
      </c>
      <c r="D2399" t="s">
        <v>9411</v>
      </c>
      <c r="E2399" s="148" t="s">
        <v>9412</v>
      </c>
      <c r="F2399" t="s">
        <v>9413</v>
      </c>
      <c r="G2399" s="148" t="s">
        <v>9414</v>
      </c>
      <c r="H2399" t="s">
        <v>9415</v>
      </c>
      <c r="K2399" s="148" t="s">
        <v>9416</v>
      </c>
      <c r="L2399" t="s">
        <v>9417</v>
      </c>
      <c r="M2399" s="1" t="s">
        <v>9623</v>
      </c>
      <c r="N2399" s="1"/>
      <c r="O2399" s="1">
        <v>95</v>
      </c>
      <c r="P2399" s="3">
        <v>95</v>
      </c>
      <c r="Q2399" s="3">
        <v>95</v>
      </c>
      <c r="R2399" s="3">
        <v>95</v>
      </c>
      <c r="S2399" s="3">
        <v>95</v>
      </c>
      <c r="T2399" t="s">
        <v>9617</v>
      </c>
      <c r="U2399" t="e">
        <v>#N/A</v>
      </c>
      <c r="V2399" t="s">
        <v>9624</v>
      </c>
      <c r="W2399" s="45">
        <v>1</v>
      </c>
      <c r="X2399" s="45">
        <v>1</v>
      </c>
      <c r="Y2399" s="45">
        <v>1</v>
      </c>
      <c r="Z2399" s="45">
        <v>1</v>
      </c>
      <c r="AA2399" s="45">
        <v>1</v>
      </c>
      <c r="AB2399" s="45">
        <v>1</v>
      </c>
      <c r="AC2399" s="150">
        <v>0</v>
      </c>
      <c r="AD2399" s="150">
        <v>1</v>
      </c>
      <c r="AE2399" s="49">
        <f t="shared" si="99"/>
        <v>0.875</v>
      </c>
      <c r="AF2399" s="17"/>
      <c r="AG2399" s="17">
        <v>0</v>
      </c>
      <c r="AH2399" s="17">
        <v>0</v>
      </c>
      <c r="AI2399" s="17">
        <v>0</v>
      </c>
      <c r="AJ2399" s="17">
        <v>0</v>
      </c>
      <c r="AK2399" s="153">
        <v>0</v>
      </c>
      <c r="AL2399" s="154">
        <v>0</v>
      </c>
      <c r="AM2399" s="147">
        <f t="shared" si="98"/>
        <v>0</v>
      </c>
      <c r="AN2399" t="s">
        <v>3643</v>
      </c>
      <c r="AO2399" s="18" t="s">
        <v>3630</v>
      </c>
      <c r="AP2399" t="s">
        <v>9625</v>
      </c>
    </row>
    <row r="2400" spans="1:42" customFormat="1" x14ac:dyDescent="0.3">
      <c r="A2400" s="148" t="s">
        <v>8319</v>
      </c>
      <c r="B2400" t="s">
        <v>8320</v>
      </c>
      <c r="C2400" s="148" t="s">
        <v>9410</v>
      </c>
      <c r="D2400" t="s">
        <v>9411</v>
      </c>
      <c r="E2400" s="148" t="s">
        <v>9412</v>
      </c>
      <c r="F2400" t="s">
        <v>9413</v>
      </c>
      <c r="G2400" s="148" t="s">
        <v>9414</v>
      </c>
      <c r="H2400" t="s">
        <v>9415</v>
      </c>
      <c r="K2400" s="148" t="s">
        <v>9416</v>
      </c>
      <c r="L2400" t="s">
        <v>9417</v>
      </c>
      <c r="M2400" s="1" t="s">
        <v>9626</v>
      </c>
      <c r="N2400" s="1"/>
      <c r="O2400" s="1">
        <v>10</v>
      </c>
      <c r="P2400" s="3">
        <v>20</v>
      </c>
      <c r="Q2400" s="3">
        <v>30</v>
      </c>
      <c r="R2400" s="3">
        <v>40</v>
      </c>
      <c r="S2400" s="3">
        <v>50</v>
      </c>
      <c r="T2400" t="s">
        <v>9627</v>
      </c>
      <c r="U2400" t="e">
        <v>#N/A</v>
      </c>
      <c r="V2400" t="s">
        <v>9628</v>
      </c>
      <c r="W2400" s="45">
        <v>1</v>
      </c>
      <c r="X2400" s="45">
        <v>1</v>
      </c>
      <c r="Y2400" s="45">
        <v>1</v>
      </c>
      <c r="Z2400" s="45">
        <v>1</v>
      </c>
      <c r="AA2400" s="45">
        <v>1</v>
      </c>
      <c r="AB2400" s="45">
        <v>1</v>
      </c>
      <c r="AC2400" s="150">
        <v>0</v>
      </c>
      <c r="AD2400" s="150">
        <v>1</v>
      </c>
      <c r="AE2400" s="49">
        <f t="shared" si="99"/>
        <v>0.875</v>
      </c>
      <c r="AF2400" s="17"/>
      <c r="AG2400" s="17">
        <v>0</v>
      </c>
      <c r="AH2400" s="17">
        <v>0</v>
      </c>
      <c r="AI2400" s="17">
        <v>0</v>
      </c>
      <c r="AJ2400" s="17">
        <v>0</v>
      </c>
      <c r="AK2400" s="153">
        <v>0</v>
      </c>
      <c r="AL2400" s="154">
        <v>0</v>
      </c>
      <c r="AM2400" s="147">
        <f t="shared" si="98"/>
        <v>0</v>
      </c>
      <c r="AN2400" t="s">
        <v>3643</v>
      </c>
      <c r="AO2400" s="18" t="s">
        <v>3630</v>
      </c>
      <c r="AP2400" t="s">
        <v>9629</v>
      </c>
    </row>
    <row r="2401" spans="1:42" customFormat="1" x14ac:dyDescent="0.3">
      <c r="A2401" s="148" t="s">
        <v>8319</v>
      </c>
      <c r="B2401" t="s">
        <v>8320</v>
      </c>
      <c r="C2401" s="148" t="s">
        <v>9410</v>
      </c>
      <c r="D2401" t="s">
        <v>9411</v>
      </c>
      <c r="E2401" s="148" t="s">
        <v>9412</v>
      </c>
      <c r="F2401" t="s">
        <v>9413</v>
      </c>
      <c r="G2401" s="148" t="s">
        <v>9414</v>
      </c>
      <c r="H2401" t="s">
        <v>9415</v>
      </c>
      <c r="K2401" s="148" t="s">
        <v>9416</v>
      </c>
      <c r="L2401" t="s">
        <v>9417</v>
      </c>
      <c r="M2401" s="1" t="s">
        <v>9630</v>
      </c>
      <c r="N2401" s="1"/>
      <c r="O2401" s="1">
        <v>50</v>
      </c>
      <c r="P2401" s="3">
        <v>100</v>
      </c>
      <c r="Q2401" s="3">
        <v>100</v>
      </c>
      <c r="R2401" s="3">
        <v>100</v>
      </c>
      <c r="S2401" s="3">
        <v>100</v>
      </c>
      <c r="T2401" t="s">
        <v>9631</v>
      </c>
      <c r="U2401" t="e">
        <v>#N/A</v>
      </c>
      <c r="V2401" t="s">
        <v>9632</v>
      </c>
      <c r="W2401" s="45">
        <v>1</v>
      </c>
      <c r="X2401" s="45">
        <v>0</v>
      </c>
      <c r="Y2401" s="45">
        <v>1</v>
      </c>
      <c r="Z2401" s="45">
        <v>1</v>
      </c>
      <c r="AA2401" s="45">
        <v>1</v>
      </c>
      <c r="AB2401" s="45">
        <v>1</v>
      </c>
      <c r="AC2401" s="150">
        <v>1</v>
      </c>
      <c r="AD2401" s="150">
        <v>1</v>
      </c>
      <c r="AE2401" s="49">
        <f t="shared" si="99"/>
        <v>0.875</v>
      </c>
      <c r="AF2401" s="17"/>
      <c r="AG2401" s="17">
        <v>0</v>
      </c>
      <c r="AH2401" s="17">
        <v>0</v>
      </c>
      <c r="AI2401" s="17">
        <v>0</v>
      </c>
      <c r="AJ2401" s="17">
        <v>0</v>
      </c>
      <c r="AK2401" s="153">
        <v>0</v>
      </c>
      <c r="AL2401" s="154">
        <v>0</v>
      </c>
      <c r="AM2401" s="147">
        <f t="shared" si="98"/>
        <v>0</v>
      </c>
      <c r="AN2401" s="18" t="s">
        <v>255</v>
      </c>
      <c r="AO2401" s="18" t="s">
        <v>1045</v>
      </c>
      <c r="AP2401" t="s">
        <v>9633</v>
      </c>
    </row>
    <row r="2402" spans="1:42" customFormat="1" x14ac:dyDescent="0.3">
      <c r="A2402" s="148" t="s">
        <v>8319</v>
      </c>
      <c r="B2402" t="s">
        <v>8320</v>
      </c>
      <c r="C2402" s="148" t="s">
        <v>9410</v>
      </c>
      <c r="D2402" t="s">
        <v>9411</v>
      </c>
      <c r="E2402" s="148" t="s">
        <v>9412</v>
      </c>
      <c r="F2402" t="s">
        <v>9413</v>
      </c>
      <c r="G2402" s="148" t="s">
        <v>9414</v>
      </c>
      <c r="H2402" t="s">
        <v>9415</v>
      </c>
      <c r="K2402" s="155" t="s">
        <v>9427</v>
      </c>
      <c r="L2402" t="s">
        <v>9428</v>
      </c>
      <c r="M2402" s="1" t="s">
        <v>9634</v>
      </c>
      <c r="N2402" s="1">
        <v>234</v>
      </c>
      <c r="O2402" s="1">
        <v>204</v>
      </c>
      <c r="P2402" s="3">
        <v>174</v>
      </c>
      <c r="Q2402" s="3">
        <v>144</v>
      </c>
      <c r="R2402" s="3">
        <v>104</v>
      </c>
      <c r="S2402" s="3">
        <v>77</v>
      </c>
      <c r="T2402" t="s">
        <v>3643</v>
      </c>
      <c r="U2402" t="s">
        <v>3630</v>
      </c>
      <c r="V2402" t="s">
        <v>9635</v>
      </c>
      <c r="W2402" s="45">
        <v>1</v>
      </c>
      <c r="X2402" s="45">
        <v>0</v>
      </c>
      <c r="Y2402" s="45">
        <v>1</v>
      </c>
      <c r="Z2402" s="45">
        <v>1</v>
      </c>
      <c r="AA2402" s="45">
        <v>1</v>
      </c>
      <c r="AB2402" s="45">
        <v>1</v>
      </c>
      <c r="AC2402" s="150">
        <v>1</v>
      </c>
      <c r="AD2402" s="150">
        <v>1</v>
      </c>
      <c r="AE2402" s="49">
        <f t="shared" si="99"/>
        <v>0.875</v>
      </c>
      <c r="AF2402" s="17"/>
      <c r="AG2402" s="17">
        <v>0</v>
      </c>
      <c r="AH2402" s="17">
        <v>0</v>
      </c>
      <c r="AI2402" s="17">
        <v>0</v>
      </c>
      <c r="AJ2402" s="17">
        <v>0</v>
      </c>
      <c r="AK2402" s="153">
        <v>0</v>
      </c>
      <c r="AL2402" s="154">
        <v>0</v>
      </c>
      <c r="AM2402" s="147">
        <f t="shared" si="98"/>
        <v>0</v>
      </c>
      <c r="AN2402" s="44" t="s">
        <v>9431</v>
      </c>
      <c r="AO2402" s="18" t="s">
        <v>3630</v>
      </c>
      <c r="AP2402" s="18" t="s">
        <v>9432</v>
      </c>
    </row>
    <row r="2403" spans="1:42" customFormat="1" x14ac:dyDescent="0.3">
      <c r="A2403" s="148" t="s">
        <v>8319</v>
      </c>
      <c r="B2403" t="s">
        <v>8320</v>
      </c>
      <c r="C2403" s="148" t="s">
        <v>9410</v>
      </c>
      <c r="D2403" t="s">
        <v>9411</v>
      </c>
      <c r="E2403" s="148" t="s">
        <v>9412</v>
      </c>
      <c r="F2403" t="s">
        <v>9413</v>
      </c>
      <c r="G2403" s="148" t="s">
        <v>9414</v>
      </c>
      <c r="H2403" t="s">
        <v>9415</v>
      </c>
      <c r="K2403" s="155" t="s">
        <v>9427</v>
      </c>
      <c r="L2403" t="s">
        <v>9428</v>
      </c>
      <c r="M2403" s="1" t="s">
        <v>9636</v>
      </c>
      <c r="N2403" s="1">
        <v>86</v>
      </c>
      <c r="O2403" s="1">
        <v>87</v>
      </c>
      <c r="P2403" s="3">
        <v>88</v>
      </c>
      <c r="Q2403" s="3">
        <v>89</v>
      </c>
      <c r="R2403" s="3">
        <v>90</v>
      </c>
      <c r="S2403" s="3">
        <v>91</v>
      </c>
      <c r="T2403" t="s">
        <v>3643</v>
      </c>
      <c r="U2403" t="s">
        <v>3630</v>
      </c>
      <c r="V2403" t="s">
        <v>9637</v>
      </c>
      <c r="W2403" s="45">
        <v>1</v>
      </c>
      <c r="X2403" s="45">
        <v>1</v>
      </c>
      <c r="Y2403" s="45">
        <v>1</v>
      </c>
      <c r="Z2403" s="45">
        <v>1</v>
      </c>
      <c r="AA2403" s="45">
        <v>1</v>
      </c>
      <c r="AB2403" s="45">
        <v>1</v>
      </c>
      <c r="AC2403" s="150">
        <v>0</v>
      </c>
      <c r="AD2403" s="150">
        <v>1</v>
      </c>
      <c r="AE2403" s="49">
        <f t="shared" si="99"/>
        <v>0.875</v>
      </c>
      <c r="AF2403" s="17"/>
      <c r="AG2403" s="17">
        <v>0</v>
      </c>
      <c r="AH2403" s="17">
        <v>0</v>
      </c>
      <c r="AI2403" s="17">
        <v>0</v>
      </c>
      <c r="AJ2403" s="17">
        <v>0</v>
      </c>
      <c r="AK2403" s="153">
        <v>0</v>
      </c>
      <c r="AL2403" s="154">
        <v>0</v>
      </c>
      <c r="AM2403" s="147">
        <f t="shared" si="98"/>
        <v>0</v>
      </c>
      <c r="AN2403" s="44" t="s">
        <v>9431</v>
      </c>
      <c r="AO2403" s="18" t="s">
        <v>3630</v>
      </c>
      <c r="AP2403" s="18" t="s">
        <v>9432</v>
      </c>
    </row>
    <row r="2404" spans="1:42" customFormat="1" x14ac:dyDescent="0.3">
      <c r="A2404" s="148" t="s">
        <v>8319</v>
      </c>
      <c r="B2404" t="s">
        <v>8320</v>
      </c>
      <c r="C2404" s="148" t="s">
        <v>9410</v>
      </c>
      <c r="D2404" t="s">
        <v>9411</v>
      </c>
      <c r="E2404" s="148" t="s">
        <v>9412</v>
      </c>
      <c r="F2404" t="s">
        <v>9413</v>
      </c>
      <c r="G2404" s="148" t="s">
        <v>9414</v>
      </c>
      <c r="H2404" t="s">
        <v>9415</v>
      </c>
      <c r="K2404" s="155" t="s">
        <v>9427</v>
      </c>
      <c r="L2404" t="s">
        <v>9428</v>
      </c>
      <c r="M2404" s="1" t="s">
        <v>9638</v>
      </c>
      <c r="N2404" s="1">
        <v>70</v>
      </c>
      <c r="O2404" s="1">
        <v>89</v>
      </c>
      <c r="P2404" s="3">
        <v>91</v>
      </c>
      <c r="Q2404" s="3">
        <v>93</v>
      </c>
      <c r="R2404" s="3">
        <v>94</v>
      </c>
      <c r="S2404" s="3">
        <v>95</v>
      </c>
      <c r="T2404" t="s">
        <v>3643</v>
      </c>
      <c r="U2404" t="s">
        <v>3630</v>
      </c>
      <c r="V2404" t="s">
        <v>9639</v>
      </c>
      <c r="W2404" s="45">
        <v>1</v>
      </c>
      <c r="X2404" s="45">
        <v>1</v>
      </c>
      <c r="Y2404" s="45">
        <v>1</v>
      </c>
      <c r="Z2404" s="45">
        <v>1</v>
      </c>
      <c r="AA2404" s="45">
        <v>1</v>
      </c>
      <c r="AB2404" s="45">
        <v>1</v>
      </c>
      <c r="AC2404" s="150">
        <v>0</v>
      </c>
      <c r="AD2404" s="150">
        <v>1</v>
      </c>
      <c r="AE2404" s="49">
        <f t="shared" si="99"/>
        <v>0.875</v>
      </c>
      <c r="AF2404" s="17"/>
      <c r="AG2404" s="17">
        <v>0</v>
      </c>
      <c r="AH2404" s="17">
        <v>0</v>
      </c>
      <c r="AI2404" s="17">
        <v>0</v>
      </c>
      <c r="AJ2404" s="17">
        <v>0</v>
      </c>
      <c r="AK2404" s="153">
        <v>0</v>
      </c>
      <c r="AL2404" s="154">
        <v>0</v>
      </c>
      <c r="AM2404" s="147">
        <f t="shared" si="98"/>
        <v>0</v>
      </c>
      <c r="AN2404" t="s">
        <v>3643</v>
      </c>
      <c r="AO2404" s="18" t="s">
        <v>3630</v>
      </c>
      <c r="AP2404" t="s">
        <v>9640</v>
      </c>
    </row>
    <row r="2405" spans="1:42" customFormat="1" x14ac:dyDescent="0.3">
      <c r="A2405" s="148" t="s">
        <v>8319</v>
      </c>
      <c r="B2405" t="s">
        <v>8320</v>
      </c>
      <c r="C2405" s="148" t="s">
        <v>9410</v>
      </c>
      <c r="D2405" t="s">
        <v>9411</v>
      </c>
      <c r="E2405" s="148" t="s">
        <v>9412</v>
      </c>
      <c r="F2405" t="s">
        <v>9413</v>
      </c>
      <c r="G2405" s="148" t="s">
        <v>9414</v>
      </c>
      <c r="H2405" t="s">
        <v>9415</v>
      </c>
      <c r="K2405" s="155" t="s">
        <v>9427</v>
      </c>
      <c r="L2405" t="s">
        <v>9428</v>
      </c>
      <c r="M2405" s="1"/>
      <c r="N2405" s="1"/>
      <c r="O2405" s="1"/>
      <c r="P2405" s="3"/>
      <c r="Q2405" s="3"/>
      <c r="R2405" s="3"/>
      <c r="S2405" s="3"/>
      <c r="U2405" t="e">
        <v>#N/A</v>
      </c>
      <c r="V2405" t="s">
        <v>9641</v>
      </c>
      <c r="W2405" s="45">
        <v>1</v>
      </c>
      <c r="X2405" s="45">
        <v>1</v>
      </c>
      <c r="Y2405" s="45">
        <v>1</v>
      </c>
      <c r="Z2405" s="45">
        <v>1</v>
      </c>
      <c r="AA2405" s="45">
        <v>1</v>
      </c>
      <c r="AB2405" s="45">
        <v>1</v>
      </c>
      <c r="AC2405" s="150">
        <v>0</v>
      </c>
      <c r="AD2405" s="150">
        <v>1</v>
      </c>
      <c r="AE2405" s="49">
        <f t="shared" si="99"/>
        <v>0.875</v>
      </c>
      <c r="AF2405" s="17"/>
      <c r="AG2405" s="17">
        <v>0</v>
      </c>
      <c r="AH2405" s="17">
        <v>0</v>
      </c>
      <c r="AI2405" s="17">
        <v>0</v>
      </c>
      <c r="AJ2405" s="17">
        <v>0</v>
      </c>
      <c r="AK2405" s="153">
        <v>0</v>
      </c>
      <c r="AL2405" s="154">
        <v>0</v>
      </c>
      <c r="AM2405" s="147">
        <f t="shared" ref="AM2405:AM2468" si="100">SUM(AK2405:AL2405)</f>
        <v>0</v>
      </c>
      <c r="AN2405" s="44" t="s">
        <v>9431</v>
      </c>
      <c r="AO2405" s="18" t="s">
        <v>3630</v>
      </c>
      <c r="AP2405" s="18" t="s">
        <v>9432</v>
      </c>
    </row>
    <row r="2406" spans="1:42" customFormat="1" x14ac:dyDescent="0.3">
      <c r="A2406" s="148" t="s">
        <v>8319</v>
      </c>
      <c r="B2406" t="s">
        <v>8320</v>
      </c>
      <c r="C2406" s="148" t="s">
        <v>9410</v>
      </c>
      <c r="D2406" t="s">
        <v>9411</v>
      </c>
      <c r="E2406" s="148" t="s">
        <v>9412</v>
      </c>
      <c r="F2406" t="s">
        <v>9413</v>
      </c>
      <c r="G2406" s="148" t="s">
        <v>9414</v>
      </c>
      <c r="H2406" t="s">
        <v>9415</v>
      </c>
      <c r="K2406" s="155" t="s">
        <v>9427</v>
      </c>
      <c r="L2406" t="s">
        <v>9428</v>
      </c>
      <c r="M2406" s="1"/>
      <c r="N2406" s="1"/>
      <c r="O2406" s="1"/>
      <c r="P2406" s="3"/>
      <c r="Q2406" s="3"/>
      <c r="R2406" s="3"/>
      <c r="S2406" s="3"/>
      <c r="U2406" t="e">
        <v>#N/A</v>
      </c>
      <c r="V2406" t="s">
        <v>9642</v>
      </c>
      <c r="W2406" s="45">
        <v>1</v>
      </c>
      <c r="X2406" s="45">
        <v>1</v>
      </c>
      <c r="Y2406" s="45">
        <v>1</v>
      </c>
      <c r="Z2406" s="45">
        <v>1</v>
      </c>
      <c r="AA2406" s="45">
        <v>1</v>
      </c>
      <c r="AB2406" s="45">
        <v>1</v>
      </c>
      <c r="AC2406" s="150">
        <v>0</v>
      </c>
      <c r="AD2406" s="150">
        <v>1</v>
      </c>
      <c r="AE2406" s="49">
        <f t="shared" si="99"/>
        <v>0.875</v>
      </c>
      <c r="AF2406" s="17"/>
      <c r="AG2406" s="17">
        <v>0</v>
      </c>
      <c r="AH2406" s="17">
        <v>0</v>
      </c>
      <c r="AI2406" s="17">
        <v>0</v>
      </c>
      <c r="AJ2406" s="17">
        <v>0</v>
      </c>
      <c r="AK2406" s="153">
        <v>0</v>
      </c>
      <c r="AL2406" s="154">
        <v>0</v>
      </c>
      <c r="AM2406" s="147">
        <f t="shared" si="100"/>
        <v>0</v>
      </c>
      <c r="AN2406" s="44" t="s">
        <v>255</v>
      </c>
      <c r="AO2406" s="18" t="s">
        <v>1045</v>
      </c>
      <c r="AP2406" s="18" t="s">
        <v>9643</v>
      </c>
    </row>
    <row r="2407" spans="1:42" customFormat="1" x14ac:dyDescent="0.3">
      <c r="A2407" s="148" t="s">
        <v>8319</v>
      </c>
      <c r="B2407" t="s">
        <v>8320</v>
      </c>
      <c r="C2407" s="148" t="s">
        <v>9410</v>
      </c>
      <c r="D2407" t="s">
        <v>9411</v>
      </c>
      <c r="E2407" s="148" t="s">
        <v>9412</v>
      </c>
      <c r="F2407" t="s">
        <v>9413</v>
      </c>
      <c r="G2407" s="148" t="s">
        <v>9414</v>
      </c>
      <c r="H2407" t="s">
        <v>9415</v>
      </c>
      <c r="K2407" s="155" t="s">
        <v>9427</v>
      </c>
      <c r="L2407" t="s">
        <v>9428</v>
      </c>
      <c r="M2407" s="1"/>
      <c r="N2407" s="1"/>
      <c r="O2407" s="1"/>
      <c r="P2407" s="3"/>
      <c r="Q2407" s="3"/>
      <c r="R2407" s="3"/>
      <c r="S2407" s="3"/>
      <c r="U2407" t="e">
        <v>#N/A</v>
      </c>
      <c r="V2407" t="s">
        <v>9644</v>
      </c>
      <c r="W2407" s="45">
        <v>1</v>
      </c>
      <c r="X2407" s="45">
        <v>1</v>
      </c>
      <c r="Y2407" s="45">
        <v>1</v>
      </c>
      <c r="Z2407" s="45">
        <v>1</v>
      </c>
      <c r="AA2407" s="45">
        <v>1</v>
      </c>
      <c r="AB2407" s="45">
        <v>1</v>
      </c>
      <c r="AC2407" s="150">
        <v>0</v>
      </c>
      <c r="AD2407" s="150">
        <v>1</v>
      </c>
      <c r="AE2407" s="49">
        <f t="shared" si="99"/>
        <v>0.875</v>
      </c>
      <c r="AF2407" s="17"/>
      <c r="AG2407" s="17">
        <v>0</v>
      </c>
      <c r="AH2407" s="17">
        <v>0</v>
      </c>
      <c r="AI2407" s="17">
        <v>0</v>
      </c>
      <c r="AJ2407" s="17">
        <v>0</v>
      </c>
      <c r="AK2407" s="153">
        <v>0</v>
      </c>
      <c r="AL2407" s="154">
        <v>0</v>
      </c>
      <c r="AM2407" s="147">
        <f t="shared" si="100"/>
        <v>0</v>
      </c>
      <c r="AN2407" t="s">
        <v>255</v>
      </c>
      <c r="AO2407" s="18" t="s">
        <v>1045</v>
      </c>
      <c r="AP2407" t="s">
        <v>9645</v>
      </c>
    </row>
    <row r="2408" spans="1:42" customFormat="1" x14ac:dyDescent="0.3">
      <c r="A2408" s="148" t="s">
        <v>8319</v>
      </c>
      <c r="B2408" t="s">
        <v>8320</v>
      </c>
      <c r="C2408" s="148" t="s">
        <v>9410</v>
      </c>
      <c r="D2408" t="s">
        <v>9411</v>
      </c>
      <c r="E2408" s="148" t="s">
        <v>9412</v>
      </c>
      <c r="F2408" t="s">
        <v>9413</v>
      </c>
      <c r="G2408" s="148" t="s">
        <v>9414</v>
      </c>
      <c r="H2408" t="s">
        <v>9415</v>
      </c>
      <c r="K2408" s="155" t="s">
        <v>9427</v>
      </c>
      <c r="L2408" t="s">
        <v>9428</v>
      </c>
      <c r="M2408" s="1"/>
      <c r="N2408" s="1"/>
      <c r="O2408" s="1"/>
      <c r="P2408" s="3"/>
      <c r="Q2408" s="3"/>
      <c r="R2408" s="3"/>
      <c r="S2408" s="3"/>
      <c r="U2408" t="e">
        <v>#N/A</v>
      </c>
      <c r="V2408" t="s">
        <v>9646</v>
      </c>
      <c r="W2408" s="45">
        <v>1</v>
      </c>
      <c r="X2408" s="45">
        <v>1</v>
      </c>
      <c r="Y2408" s="45">
        <v>1</v>
      </c>
      <c r="Z2408" s="45">
        <v>1</v>
      </c>
      <c r="AA2408" s="45">
        <v>1</v>
      </c>
      <c r="AB2408" s="45">
        <v>1</v>
      </c>
      <c r="AC2408" s="150">
        <v>0</v>
      </c>
      <c r="AD2408" s="150">
        <v>1</v>
      </c>
      <c r="AE2408" s="49">
        <f t="shared" ref="AE2408:AE2471" si="101">SUM(W2408:AD2408)/8</f>
        <v>0.875</v>
      </c>
      <c r="AF2408" s="17"/>
      <c r="AG2408" s="17">
        <v>0</v>
      </c>
      <c r="AH2408" s="17">
        <v>0</v>
      </c>
      <c r="AI2408" s="17">
        <v>0</v>
      </c>
      <c r="AJ2408" s="17">
        <v>0</v>
      </c>
      <c r="AK2408" s="153">
        <v>0</v>
      </c>
      <c r="AL2408" s="154">
        <v>0</v>
      </c>
      <c r="AM2408" s="147">
        <f t="shared" si="100"/>
        <v>0</v>
      </c>
      <c r="AN2408" s="18" t="s">
        <v>3643</v>
      </c>
      <c r="AO2408" s="18" t="s">
        <v>3630</v>
      </c>
      <c r="AP2408" t="s">
        <v>9647</v>
      </c>
    </row>
    <row r="2409" spans="1:42" customFormat="1" x14ac:dyDescent="0.3">
      <c r="A2409" s="148" t="s">
        <v>8319</v>
      </c>
      <c r="B2409" t="s">
        <v>8320</v>
      </c>
      <c r="C2409" s="148" t="s">
        <v>9410</v>
      </c>
      <c r="D2409" t="s">
        <v>9411</v>
      </c>
      <c r="E2409" s="148" t="s">
        <v>9412</v>
      </c>
      <c r="F2409" t="s">
        <v>9413</v>
      </c>
      <c r="G2409" s="148" t="s">
        <v>9414</v>
      </c>
      <c r="H2409" t="s">
        <v>9415</v>
      </c>
      <c r="K2409" s="155" t="s">
        <v>9427</v>
      </c>
      <c r="L2409" t="s">
        <v>9428</v>
      </c>
      <c r="M2409" s="1"/>
      <c r="N2409" s="1"/>
      <c r="O2409" s="1"/>
      <c r="P2409" s="3"/>
      <c r="Q2409" s="3"/>
      <c r="R2409" s="3"/>
      <c r="S2409" s="3"/>
      <c r="U2409" t="e">
        <v>#N/A</v>
      </c>
      <c r="V2409" t="s">
        <v>9648</v>
      </c>
      <c r="W2409" s="45">
        <v>1</v>
      </c>
      <c r="X2409" s="45">
        <v>1</v>
      </c>
      <c r="Y2409" s="45">
        <v>1</v>
      </c>
      <c r="Z2409" s="45">
        <v>1</v>
      </c>
      <c r="AA2409" s="45">
        <v>1</v>
      </c>
      <c r="AB2409" s="45">
        <v>1</v>
      </c>
      <c r="AC2409" s="150">
        <v>0</v>
      </c>
      <c r="AD2409" s="150">
        <v>1</v>
      </c>
      <c r="AE2409" s="49">
        <f t="shared" si="101"/>
        <v>0.875</v>
      </c>
      <c r="AF2409" s="17"/>
      <c r="AG2409" s="17">
        <v>0</v>
      </c>
      <c r="AH2409" s="17">
        <v>0</v>
      </c>
      <c r="AI2409" s="17">
        <v>0</v>
      </c>
      <c r="AJ2409" s="17">
        <v>0</v>
      </c>
      <c r="AK2409" s="153">
        <v>0</v>
      </c>
      <c r="AL2409" s="154">
        <v>0</v>
      </c>
      <c r="AM2409" s="147">
        <f t="shared" si="100"/>
        <v>0</v>
      </c>
      <c r="AN2409" t="s">
        <v>3643</v>
      </c>
      <c r="AO2409" s="18" t="s">
        <v>3630</v>
      </c>
      <c r="AP2409" t="s">
        <v>9649</v>
      </c>
    </row>
    <row r="2410" spans="1:42" customFormat="1" x14ac:dyDescent="0.3">
      <c r="A2410" s="148" t="s">
        <v>8319</v>
      </c>
      <c r="B2410" t="s">
        <v>8320</v>
      </c>
      <c r="C2410" s="148" t="s">
        <v>9410</v>
      </c>
      <c r="D2410" t="s">
        <v>9411</v>
      </c>
      <c r="E2410" s="148" t="s">
        <v>9412</v>
      </c>
      <c r="F2410" t="s">
        <v>9413</v>
      </c>
      <c r="G2410" s="148" t="s">
        <v>9414</v>
      </c>
      <c r="H2410" t="s">
        <v>9415</v>
      </c>
      <c r="K2410" s="155" t="s">
        <v>9427</v>
      </c>
      <c r="L2410" t="s">
        <v>9428</v>
      </c>
      <c r="M2410" s="1"/>
      <c r="N2410" s="1"/>
      <c r="O2410" s="1"/>
      <c r="P2410" s="3"/>
      <c r="Q2410" s="3"/>
      <c r="R2410" s="3"/>
      <c r="S2410" s="3"/>
      <c r="U2410" t="e">
        <v>#N/A</v>
      </c>
      <c r="V2410" t="s">
        <v>9650</v>
      </c>
      <c r="W2410" s="45">
        <v>1</v>
      </c>
      <c r="X2410" s="45">
        <v>1</v>
      </c>
      <c r="Y2410" s="45">
        <v>1</v>
      </c>
      <c r="Z2410" s="45">
        <v>1</v>
      </c>
      <c r="AA2410" s="45">
        <v>1</v>
      </c>
      <c r="AB2410" s="45">
        <v>1</v>
      </c>
      <c r="AC2410" s="150">
        <v>0</v>
      </c>
      <c r="AD2410" s="150">
        <v>1</v>
      </c>
      <c r="AE2410" s="49">
        <f t="shared" si="101"/>
        <v>0.875</v>
      </c>
      <c r="AF2410" s="17"/>
      <c r="AG2410" s="17">
        <v>0</v>
      </c>
      <c r="AH2410" s="17">
        <v>0</v>
      </c>
      <c r="AI2410" s="17">
        <v>0</v>
      </c>
      <c r="AJ2410" s="17">
        <v>0</v>
      </c>
      <c r="AK2410" s="153">
        <v>0</v>
      </c>
      <c r="AL2410" s="154">
        <v>0</v>
      </c>
      <c r="AM2410" s="147">
        <f t="shared" si="100"/>
        <v>0</v>
      </c>
      <c r="AN2410" s="18" t="s">
        <v>255</v>
      </c>
      <c r="AO2410" s="18" t="s">
        <v>1045</v>
      </c>
      <c r="AP2410" t="s">
        <v>9462</v>
      </c>
    </row>
    <row r="2411" spans="1:42" customFormat="1" x14ac:dyDescent="0.3">
      <c r="A2411" s="148" t="s">
        <v>8319</v>
      </c>
      <c r="B2411" t="s">
        <v>8320</v>
      </c>
      <c r="C2411" s="148" t="s">
        <v>9410</v>
      </c>
      <c r="D2411" t="s">
        <v>9411</v>
      </c>
      <c r="E2411" s="148" t="s">
        <v>9412</v>
      </c>
      <c r="F2411" t="s">
        <v>9413</v>
      </c>
      <c r="G2411" s="148" t="s">
        <v>9414</v>
      </c>
      <c r="H2411" t="s">
        <v>9415</v>
      </c>
      <c r="K2411" s="155" t="s">
        <v>9427</v>
      </c>
      <c r="L2411" t="s">
        <v>9428</v>
      </c>
      <c r="M2411" s="1"/>
      <c r="N2411" s="1"/>
      <c r="O2411" s="1"/>
      <c r="P2411" s="3"/>
      <c r="Q2411" s="3"/>
      <c r="R2411" s="3"/>
      <c r="S2411" s="3"/>
      <c r="U2411" t="e">
        <v>#N/A</v>
      </c>
      <c r="V2411" t="s">
        <v>9651</v>
      </c>
      <c r="W2411" s="45">
        <v>1</v>
      </c>
      <c r="X2411" s="45">
        <v>1</v>
      </c>
      <c r="Y2411" s="45">
        <v>1</v>
      </c>
      <c r="Z2411" s="45">
        <v>1</v>
      </c>
      <c r="AA2411" s="45">
        <v>1</v>
      </c>
      <c r="AB2411" s="45">
        <v>1</v>
      </c>
      <c r="AC2411" s="150">
        <v>0</v>
      </c>
      <c r="AD2411" s="150">
        <v>1</v>
      </c>
      <c r="AE2411" s="49">
        <f t="shared" si="101"/>
        <v>0.875</v>
      </c>
      <c r="AF2411" s="17"/>
      <c r="AG2411" s="17">
        <v>0</v>
      </c>
      <c r="AH2411" s="17">
        <v>0</v>
      </c>
      <c r="AI2411" s="17">
        <v>0</v>
      </c>
      <c r="AJ2411" s="17">
        <v>0</v>
      </c>
      <c r="AK2411" s="153">
        <v>0</v>
      </c>
      <c r="AL2411" s="154">
        <v>0</v>
      </c>
      <c r="AM2411" s="147">
        <f t="shared" si="100"/>
        <v>0</v>
      </c>
      <c r="AN2411" s="18" t="s">
        <v>255</v>
      </c>
      <c r="AO2411" s="18" t="s">
        <v>1045</v>
      </c>
      <c r="AP2411" t="s">
        <v>9652</v>
      </c>
    </row>
    <row r="2412" spans="1:42" customFormat="1" x14ac:dyDescent="0.3">
      <c r="A2412" s="148" t="s">
        <v>8319</v>
      </c>
      <c r="B2412" t="s">
        <v>8320</v>
      </c>
      <c r="C2412" s="148" t="s">
        <v>9410</v>
      </c>
      <c r="D2412" t="s">
        <v>9411</v>
      </c>
      <c r="E2412" s="148" t="s">
        <v>9412</v>
      </c>
      <c r="F2412" t="s">
        <v>9413</v>
      </c>
      <c r="G2412" s="148" t="s">
        <v>9414</v>
      </c>
      <c r="H2412" t="s">
        <v>9415</v>
      </c>
      <c r="K2412" s="155" t="s">
        <v>9653</v>
      </c>
      <c r="L2412" t="s">
        <v>9654</v>
      </c>
      <c r="M2412" s="1" t="s">
        <v>9655</v>
      </c>
      <c r="N2412" s="1"/>
      <c r="O2412" s="1">
        <v>0</v>
      </c>
      <c r="P2412" s="3" t="s">
        <v>9656</v>
      </c>
      <c r="Q2412" s="3">
        <v>0</v>
      </c>
      <c r="R2412" s="3">
        <v>0</v>
      </c>
      <c r="S2412" s="3">
        <v>0</v>
      </c>
      <c r="T2412" t="s">
        <v>3643</v>
      </c>
      <c r="U2412" t="s">
        <v>3630</v>
      </c>
      <c r="V2412" t="s">
        <v>9657</v>
      </c>
      <c r="W2412" s="45">
        <v>1</v>
      </c>
      <c r="X2412" s="45">
        <v>1</v>
      </c>
      <c r="Y2412" s="45">
        <v>1</v>
      </c>
      <c r="Z2412" s="45">
        <v>1</v>
      </c>
      <c r="AA2412" s="45">
        <v>1</v>
      </c>
      <c r="AB2412" s="45">
        <v>1</v>
      </c>
      <c r="AC2412" s="150">
        <v>0</v>
      </c>
      <c r="AD2412" s="150">
        <v>1</v>
      </c>
      <c r="AE2412" s="49">
        <f t="shared" si="101"/>
        <v>0.875</v>
      </c>
      <c r="AF2412" s="44"/>
      <c r="AG2412" s="17">
        <v>0</v>
      </c>
      <c r="AH2412" s="44">
        <v>58.782490739999986</v>
      </c>
      <c r="AI2412" s="44">
        <v>78.424790739999992</v>
      </c>
      <c r="AJ2412" s="44">
        <v>95.340390740000004</v>
      </c>
      <c r="AK2412" s="151">
        <v>5</v>
      </c>
      <c r="AL2412" s="151">
        <v>5</v>
      </c>
      <c r="AM2412" s="147">
        <f t="shared" si="100"/>
        <v>10</v>
      </c>
      <c r="AN2412" t="s">
        <v>3643</v>
      </c>
      <c r="AO2412" s="18" t="s">
        <v>3630</v>
      </c>
      <c r="AP2412" t="s">
        <v>9658</v>
      </c>
    </row>
    <row r="2413" spans="1:42" customFormat="1" x14ac:dyDescent="0.3">
      <c r="A2413" s="148" t="s">
        <v>8319</v>
      </c>
      <c r="B2413" t="s">
        <v>8320</v>
      </c>
      <c r="C2413" s="148" t="s">
        <v>9410</v>
      </c>
      <c r="D2413" t="s">
        <v>9411</v>
      </c>
      <c r="E2413" s="148" t="s">
        <v>9412</v>
      </c>
      <c r="F2413" t="s">
        <v>9413</v>
      </c>
      <c r="G2413" s="148" t="s">
        <v>9414</v>
      </c>
      <c r="H2413" t="s">
        <v>9415</v>
      </c>
      <c r="K2413" s="155" t="s">
        <v>9653</v>
      </c>
      <c r="L2413" t="s">
        <v>9654</v>
      </c>
      <c r="M2413" s="1" t="s">
        <v>9659</v>
      </c>
      <c r="N2413" s="1"/>
      <c r="O2413" s="1">
        <v>196</v>
      </c>
      <c r="P2413" s="3">
        <v>139</v>
      </c>
      <c r="Q2413" s="3">
        <v>99</v>
      </c>
      <c r="R2413" s="3">
        <v>70</v>
      </c>
      <c r="S2413" s="3">
        <v>50</v>
      </c>
      <c r="T2413" t="s">
        <v>3643</v>
      </c>
      <c r="U2413" t="s">
        <v>3630</v>
      </c>
      <c r="V2413" t="s">
        <v>9660</v>
      </c>
      <c r="W2413" s="45">
        <v>1</v>
      </c>
      <c r="X2413" s="45">
        <v>1</v>
      </c>
      <c r="Y2413" s="45">
        <v>1</v>
      </c>
      <c r="Z2413" s="45">
        <v>1</v>
      </c>
      <c r="AA2413" s="45">
        <v>1</v>
      </c>
      <c r="AB2413" s="45">
        <v>1</v>
      </c>
      <c r="AC2413" s="150">
        <v>0</v>
      </c>
      <c r="AD2413" s="150">
        <v>1</v>
      </c>
      <c r="AE2413" s="49">
        <f t="shared" si="101"/>
        <v>0.875</v>
      </c>
      <c r="AF2413" s="17"/>
      <c r="AG2413" s="17">
        <v>0</v>
      </c>
      <c r="AH2413" s="17">
        <v>0</v>
      </c>
      <c r="AI2413" s="17">
        <v>0</v>
      </c>
      <c r="AJ2413" s="17">
        <v>0</v>
      </c>
      <c r="AK2413" s="153">
        <v>0</v>
      </c>
      <c r="AL2413" s="154">
        <v>0</v>
      </c>
      <c r="AM2413" s="147">
        <f t="shared" si="100"/>
        <v>0</v>
      </c>
      <c r="AN2413" t="s">
        <v>3643</v>
      </c>
      <c r="AO2413" s="18" t="s">
        <v>3630</v>
      </c>
      <c r="AP2413" t="s">
        <v>9658</v>
      </c>
    </row>
    <row r="2414" spans="1:42" customFormat="1" x14ac:dyDescent="0.3">
      <c r="A2414" s="148" t="s">
        <v>8319</v>
      </c>
      <c r="B2414" t="s">
        <v>8320</v>
      </c>
      <c r="C2414" s="148" t="s">
        <v>9410</v>
      </c>
      <c r="D2414" t="s">
        <v>9411</v>
      </c>
      <c r="E2414" s="148" t="s">
        <v>9412</v>
      </c>
      <c r="F2414" t="s">
        <v>9413</v>
      </c>
      <c r="G2414" s="148" t="s">
        <v>9661</v>
      </c>
      <c r="H2414" t="s">
        <v>9662</v>
      </c>
      <c r="I2414" s="148" t="s">
        <v>9663</v>
      </c>
      <c r="J2414" t="s">
        <v>9664</v>
      </c>
      <c r="K2414" s="148" t="s">
        <v>9665</v>
      </c>
      <c r="L2414" t="s">
        <v>9666</v>
      </c>
      <c r="M2414" s="1" t="s">
        <v>9667</v>
      </c>
      <c r="N2414" s="1">
        <v>0</v>
      </c>
      <c r="O2414" s="1">
        <v>0</v>
      </c>
      <c r="P2414" s="3">
        <v>1</v>
      </c>
      <c r="Q2414" s="3">
        <v>1</v>
      </c>
      <c r="R2414" s="3">
        <v>0</v>
      </c>
      <c r="S2414" s="3">
        <v>1</v>
      </c>
      <c r="T2414" t="s">
        <v>3643</v>
      </c>
      <c r="U2414" t="s">
        <v>3630</v>
      </c>
      <c r="V2414" t="s">
        <v>9668</v>
      </c>
      <c r="W2414" s="45">
        <v>1</v>
      </c>
      <c r="X2414" s="45">
        <v>1</v>
      </c>
      <c r="Y2414" s="45">
        <v>1</v>
      </c>
      <c r="Z2414" s="45">
        <v>1</v>
      </c>
      <c r="AA2414" s="45">
        <v>1</v>
      </c>
      <c r="AB2414" s="45">
        <v>1</v>
      </c>
      <c r="AC2414" s="150">
        <v>0</v>
      </c>
      <c r="AD2414" s="150">
        <v>1</v>
      </c>
      <c r="AE2414" s="49">
        <f t="shared" si="101"/>
        <v>0.875</v>
      </c>
      <c r="AF2414" s="44"/>
      <c r="AG2414" s="17">
        <v>0</v>
      </c>
      <c r="AH2414" s="44">
        <v>50</v>
      </c>
      <c r="AI2414" s="44">
        <v>70</v>
      </c>
      <c r="AJ2414" s="44">
        <v>70</v>
      </c>
      <c r="AK2414" s="151">
        <v>70</v>
      </c>
      <c r="AL2414" s="151">
        <v>140</v>
      </c>
      <c r="AM2414" s="147">
        <f t="shared" si="100"/>
        <v>210</v>
      </c>
      <c r="AN2414" s="44" t="s">
        <v>9669</v>
      </c>
      <c r="AO2414" s="18" t="s">
        <v>9670</v>
      </c>
      <c r="AP2414" t="s">
        <v>9671</v>
      </c>
    </row>
    <row r="2415" spans="1:42" customFormat="1" x14ac:dyDescent="0.3">
      <c r="A2415" s="148" t="s">
        <v>8319</v>
      </c>
      <c r="B2415" t="s">
        <v>8320</v>
      </c>
      <c r="C2415" s="148" t="s">
        <v>9410</v>
      </c>
      <c r="D2415" t="s">
        <v>9411</v>
      </c>
      <c r="E2415" s="148" t="s">
        <v>9412</v>
      </c>
      <c r="F2415" t="s">
        <v>9413</v>
      </c>
      <c r="G2415" s="148" t="s">
        <v>9661</v>
      </c>
      <c r="H2415" t="s">
        <v>9662</v>
      </c>
      <c r="I2415" s="148" t="s">
        <v>9663</v>
      </c>
      <c r="J2415" t="s">
        <v>9664</v>
      </c>
      <c r="K2415" s="148" t="s">
        <v>9665</v>
      </c>
      <c r="L2415" t="s">
        <v>9666</v>
      </c>
      <c r="M2415" s="1"/>
      <c r="N2415" s="1"/>
      <c r="O2415" s="1"/>
      <c r="P2415" s="3"/>
      <c r="Q2415" s="3"/>
      <c r="R2415" s="3"/>
      <c r="S2415" s="3"/>
      <c r="U2415" t="e">
        <v>#N/A</v>
      </c>
      <c r="V2415" t="s">
        <v>9672</v>
      </c>
      <c r="W2415" s="45">
        <v>1</v>
      </c>
      <c r="X2415" s="45">
        <v>1</v>
      </c>
      <c r="Y2415" s="45">
        <v>1</v>
      </c>
      <c r="Z2415" s="45">
        <v>1</v>
      </c>
      <c r="AA2415" s="45">
        <v>1</v>
      </c>
      <c r="AB2415" s="45">
        <v>1</v>
      </c>
      <c r="AC2415" s="150">
        <v>0</v>
      </c>
      <c r="AD2415" s="150">
        <v>1</v>
      </c>
      <c r="AE2415" s="49">
        <f t="shared" si="101"/>
        <v>0.875</v>
      </c>
      <c r="AF2415" s="44"/>
      <c r="AG2415" s="17">
        <v>0</v>
      </c>
      <c r="AH2415" s="44">
        <v>0</v>
      </c>
      <c r="AI2415" s="44">
        <v>0</v>
      </c>
      <c r="AJ2415" s="44">
        <v>0</v>
      </c>
      <c r="AK2415" s="151">
        <v>40</v>
      </c>
      <c r="AL2415" s="151">
        <v>40</v>
      </c>
      <c r="AM2415" s="147">
        <f t="shared" si="100"/>
        <v>80</v>
      </c>
      <c r="AN2415" t="s">
        <v>9673</v>
      </c>
      <c r="AO2415" s="18" t="s">
        <v>9674</v>
      </c>
      <c r="AP2415" t="s">
        <v>3643</v>
      </c>
    </row>
    <row r="2416" spans="1:42" customFormat="1" x14ac:dyDescent="0.3">
      <c r="A2416" s="148" t="s">
        <v>8319</v>
      </c>
      <c r="B2416" t="s">
        <v>8320</v>
      </c>
      <c r="C2416" s="148" t="s">
        <v>9410</v>
      </c>
      <c r="D2416" t="s">
        <v>9411</v>
      </c>
      <c r="E2416" s="148" t="s">
        <v>9412</v>
      </c>
      <c r="F2416" t="s">
        <v>9413</v>
      </c>
      <c r="G2416" s="148" t="s">
        <v>9661</v>
      </c>
      <c r="H2416" t="s">
        <v>9662</v>
      </c>
      <c r="I2416" s="148" t="s">
        <v>9663</v>
      </c>
      <c r="J2416" t="s">
        <v>9664</v>
      </c>
      <c r="K2416" s="148" t="s">
        <v>9675</v>
      </c>
      <c r="L2416" t="s">
        <v>9676</v>
      </c>
      <c r="M2416" s="1" t="s">
        <v>9677</v>
      </c>
      <c r="N2416" s="1" t="s">
        <v>9365</v>
      </c>
      <c r="O2416" s="1">
        <v>20</v>
      </c>
      <c r="P2416" s="3">
        <v>20</v>
      </c>
      <c r="Q2416" s="3">
        <v>20</v>
      </c>
      <c r="R2416" s="3">
        <v>20</v>
      </c>
      <c r="S2416" s="3">
        <v>20</v>
      </c>
      <c r="T2416" t="s">
        <v>9678</v>
      </c>
      <c r="U2416" t="s">
        <v>9679</v>
      </c>
      <c r="V2416" t="s">
        <v>9680</v>
      </c>
      <c r="W2416" s="45">
        <v>1</v>
      </c>
      <c r="X2416" s="45">
        <v>1</v>
      </c>
      <c r="Y2416" s="45">
        <v>1</v>
      </c>
      <c r="Z2416" s="45">
        <v>1</v>
      </c>
      <c r="AA2416" s="45">
        <v>1</v>
      </c>
      <c r="AB2416" s="45">
        <v>1</v>
      </c>
      <c r="AC2416" s="150">
        <v>0</v>
      </c>
      <c r="AD2416" s="150">
        <v>1</v>
      </c>
      <c r="AE2416" s="49">
        <f t="shared" si="101"/>
        <v>0.875</v>
      </c>
      <c r="AF2416" s="44"/>
      <c r="AG2416" s="17">
        <v>0</v>
      </c>
      <c r="AH2416" s="44">
        <v>0.1</v>
      </c>
      <c r="AI2416" s="44">
        <v>0.2</v>
      </c>
      <c r="AJ2416" s="44">
        <v>0.3</v>
      </c>
      <c r="AK2416" s="151">
        <v>2</v>
      </c>
      <c r="AL2416" s="151">
        <v>2</v>
      </c>
      <c r="AM2416" s="147">
        <f t="shared" si="100"/>
        <v>4</v>
      </c>
      <c r="AN2416" s="44" t="s">
        <v>9678</v>
      </c>
      <c r="AO2416" s="18" t="s">
        <v>9679</v>
      </c>
      <c r="AP2416" t="s">
        <v>9681</v>
      </c>
    </row>
    <row r="2417" spans="1:42" customFormat="1" x14ac:dyDescent="0.3">
      <c r="A2417" s="148" t="s">
        <v>8319</v>
      </c>
      <c r="B2417" t="s">
        <v>8320</v>
      </c>
      <c r="C2417" s="148" t="s">
        <v>9410</v>
      </c>
      <c r="D2417" t="s">
        <v>9411</v>
      </c>
      <c r="E2417" s="148" t="s">
        <v>9412</v>
      </c>
      <c r="F2417" t="s">
        <v>9413</v>
      </c>
      <c r="G2417" s="148" t="s">
        <v>9448</v>
      </c>
      <c r="H2417" t="s">
        <v>9449</v>
      </c>
      <c r="I2417" s="148" t="s">
        <v>9682</v>
      </c>
      <c r="J2417" t="s">
        <v>9683</v>
      </c>
      <c r="K2417" s="148" t="s">
        <v>9684</v>
      </c>
      <c r="L2417" t="s">
        <v>9685</v>
      </c>
      <c r="M2417" s="1" t="s">
        <v>9686</v>
      </c>
      <c r="N2417" s="1" t="s">
        <v>7022</v>
      </c>
      <c r="O2417" s="1" t="s">
        <v>271</v>
      </c>
      <c r="P2417" s="3" t="s">
        <v>9687</v>
      </c>
      <c r="Q2417" s="3" t="s">
        <v>271</v>
      </c>
      <c r="R2417" s="3" t="s">
        <v>271</v>
      </c>
      <c r="S2417" s="3" t="s">
        <v>271</v>
      </c>
      <c r="T2417" t="s">
        <v>3643</v>
      </c>
      <c r="U2417" t="s">
        <v>3630</v>
      </c>
      <c r="V2417" t="s">
        <v>9688</v>
      </c>
      <c r="W2417" s="45">
        <v>1</v>
      </c>
      <c r="X2417" s="45">
        <v>1</v>
      </c>
      <c r="Y2417" s="45">
        <v>1</v>
      </c>
      <c r="Z2417" s="45">
        <v>1</v>
      </c>
      <c r="AA2417" s="45">
        <v>1</v>
      </c>
      <c r="AB2417" s="45">
        <v>1</v>
      </c>
      <c r="AC2417" s="150">
        <v>0</v>
      </c>
      <c r="AD2417" s="150">
        <v>1</v>
      </c>
      <c r="AE2417" s="49">
        <f t="shared" si="101"/>
        <v>0.875</v>
      </c>
      <c r="AF2417" s="17"/>
      <c r="AG2417" s="17">
        <v>0</v>
      </c>
      <c r="AH2417" s="17">
        <v>0</v>
      </c>
      <c r="AI2417" s="44">
        <v>0.1</v>
      </c>
      <c r="AJ2417" s="17">
        <v>0</v>
      </c>
      <c r="AK2417" s="153">
        <v>0</v>
      </c>
      <c r="AL2417" s="154">
        <v>0</v>
      </c>
      <c r="AM2417" s="147">
        <f t="shared" si="100"/>
        <v>0</v>
      </c>
      <c r="AN2417" t="s">
        <v>3643</v>
      </c>
      <c r="AO2417" s="18" t="s">
        <v>3630</v>
      </c>
      <c r="AP2417" t="s">
        <v>9689</v>
      </c>
    </row>
    <row r="2418" spans="1:42" customFormat="1" x14ac:dyDescent="0.3">
      <c r="A2418" s="148" t="s">
        <v>8319</v>
      </c>
      <c r="B2418" t="s">
        <v>8320</v>
      </c>
      <c r="C2418" s="148" t="s">
        <v>9410</v>
      </c>
      <c r="D2418" t="s">
        <v>9411</v>
      </c>
      <c r="E2418" s="148" t="s">
        <v>9412</v>
      </c>
      <c r="F2418" t="s">
        <v>9413</v>
      </c>
      <c r="G2418" s="148" t="s">
        <v>9448</v>
      </c>
      <c r="H2418" t="s">
        <v>9449</v>
      </c>
      <c r="I2418" s="148" t="s">
        <v>9682</v>
      </c>
      <c r="J2418" t="s">
        <v>9683</v>
      </c>
      <c r="K2418" s="148" t="s">
        <v>9684</v>
      </c>
      <c r="L2418" t="s">
        <v>9685</v>
      </c>
      <c r="M2418" s="1" t="s">
        <v>9690</v>
      </c>
      <c r="N2418" s="1"/>
      <c r="O2418" s="1">
        <v>0</v>
      </c>
      <c r="P2418" s="3">
        <v>0</v>
      </c>
      <c r="Q2418" s="3">
        <v>1</v>
      </c>
      <c r="R2418" s="3">
        <v>0</v>
      </c>
      <c r="S2418" s="3">
        <v>0</v>
      </c>
      <c r="T2418" t="s">
        <v>9691</v>
      </c>
      <c r="U2418" t="e">
        <v>#N/A</v>
      </c>
      <c r="V2418" t="s">
        <v>9692</v>
      </c>
      <c r="W2418" s="45">
        <v>1</v>
      </c>
      <c r="X2418" s="45">
        <v>1</v>
      </c>
      <c r="Y2418" s="45">
        <v>1</v>
      </c>
      <c r="Z2418" s="45">
        <v>1</v>
      </c>
      <c r="AA2418" s="45">
        <v>1</v>
      </c>
      <c r="AB2418" s="45">
        <v>1</v>
      </c>
      <c r="AC2418" s="150">
        <v>0</v>
      </c>
      <c r="AD2418" s="150">
        <v>1</v>
      </c>
      <c r="AE2418" s="49">
        <f t="shared" si="101"/>
        <v>0.875</v>
      </c>
      <c r="AF2418" s="17"/>
      <c r="AG2418" s="17">
        <v>0</v>
      </c>
      <c r="AH2418" s="17">
        <v>0</v>
      </c>
      <c r="AI2418" s="17">
        <v>0</v>
      </c>
      <c r="AJ2418" s="17">
        <v>0</v>
      </c>
      <c r="AK2418" s="153">
        <v>0</v>
      </c>
      <c r="AL2418" s="154">
        <v>0</v>
      </c>
      <c r="AM2418" s="147">
        <f t="shared" si="100"/>
        <v>0</v>
      </c>
      <c r="AN2418" t="s">
        <v>3643</v>
      </c>
      <c r="AO2418" s="18" t="s">
        <v>3630</v>
      </c>
      <c r="AP2418" t="s">
        <v>9693</v>
      </c>
    </row>
    <row r="2419" spans="1:42" customFormat="1" x14ac:dyDescent="0.3">
      <c r="A2419" s="148" t="s">
        <v>8319</v>
      </c>
      <c r="B2419" t="s">
        <v>8320</v>
      </c>
      <c r="C2419" s="148" t="s">
        <v>9410</v>
      </c>
      <c r="D2419" t="s">
        <v>9411</v>
      </c>
      <c r="E2419" s="148" t="s">
        <v>9412</v>
      </c>
      <c r="F2419" t="s">
        <v>9413</v>
      </c>
      <c r="G2419" s="148" t="s">
        <v>9448</v>
      </c>
      <c r="H2419" t="s">
        <v>9449</v>
      </c>
      <c r="I2419" s="148" t="s">
        <v>9682</v>
      </c>
      <c r="J2419" t="s">
        <v>9683</v>
      </c>
      <c r="K2419" s="148" t="s">
        <v>9684</v>
      </c>
      <c r="L2419" t="s">
        <v>9685</v>
      </c>
      <c r="M2419" s="1" t="s">
        <v>9694</v>
      </c>
      <c r="N2419" s="1"/>
      <c r="O2419" s="1">
        <v>0</v>
      </c>
      <c r="P2419" s="3">
        <v>0</v>
      </c>
      <c r="Q2419" s="3">
        <v>0</v>
      </c>
      <c r="R2419" s="3" t="s">
        <v>9695</v>
      </c>
      <c r="S2419" s="3">
        <v>0</v>
      </c>
      <c r="T2419" t="s">
        <v>9696</v>
      </c>
      <c r="U2419" t="e">
        <v>#N/A</v>
      </c>
      <c r="V2419" t="s">
        <v>9697</v>
      </c>
      <c r="W2419" s="45">
        <v>1</v>
      </c>
      <c r="X2419" s="45">
        <v>1</v>
      </c>
      <c r="Y2419" s="45">
        <v>1</v>
      </c>
      <c r="Z2419" s="45">
        <v>1</v>
      </c>
      <c r="AA2419" s="45">
        <v>1</v>
      </c>
      <c r="AB2419" s="45">
        <v>1</v>
      </c>
      <c r="AC2419" s="150">
        <v>0</v>
      </c>
      <c r="AD2419" s="150">
        <v>1</v>
      </c>
      <c r="AE2419" s="49">
        <f t="shared" si="101"/>
        <v>0.875</v>
      </c>
      <c r="AF2419" s="17"/>
      <c r="AG2419" s="17">
        <v>0</v>
      </c>
      <c r="AH2419" s="17">
        <v>0</v>
      </c>
      <c r="AI2419" s="17">
        <v>0</v>
      </c>
      <c r="AJ2419" s="17">
        <v>0</v>
      </c>
      <c r="AK2419" s="153">
        <v>15</v>
      </c>
      <c r="AL2419" s="154">
        <v>15</v>
      </c>
      <c r="AM2419" s="147">
        <f t="shared" si="100"/>
        <v>30</v>
      </c>
      <c r="AN2419" t="s">
        <v>3643</v>
      </c>
      <c r="AO2419" s="18" t="s">
        <v>3630</v>
      </c>
      <c r="AP2419" t="s">
        <v>9698</v>
      </c>
    </row>
    <row r="2420" spans="1:42" customFormat="1" x14ac:dyDescent="0.3">
      <c r="A2420" s="148" t="s">
        <v>8319</v>
      </c>
      <c r="B2420" t="s">
        <v>8320</v>
      </c>
      <c r="C2420" s="148" t="s">
        <v>9410</v>
      </c>
      <c r="D2420" t="s">
        <v>9411</v>
      </c>
      <c r="E2420" s="148" t="s">
        <v>9412</v>
      </c>
      <c r="F2420" t="s">
        <v>9413</v>
      </c>
      <c r="G2420" s="148" t="s">
        <v>9448</v>
      </c>
      <c r="H2420" t="s">
        <v>9449</v>
      </c>
      <c r="I2420" s="148" t="s">
        <v>9682</v>
      </c>
      <c r="J2420" t="s">
        <v>9683</v>
      </c>
      <c r="K2420" s="148" t="s">
        <v>9684</v>
      </c>
      <c r="L2420" t="s">
        <v>9685</v>
      </c>
      <c r="M2420" s="1" t="s">
        <v>9699</v>
      </c>
      <c r="N2420" s="1"/>
      <c r="O2420" s="1">
        <v>9000</v>
      </c>
      <c r="P2420" s="3">
        <v>9500</v>
      </c>
      <c r="Q2420" s="3">
        <v>10000</v>
      </c>
      <c r="R2420" s="3">
        <v>11000</v>
      </c>
      <c r="S2420" s="3">
        <v>11500</v>
      </c>
      <c r="T2420" t="s">
        <v>9700</v>
      </c>
      <c r="U2420" t="e">
        <v>#N/A</v>
      </c>
      <c r="V2420" t="s">
        <v>9701</v>
      </c>
      <c r="W2420" s="45">
        <v>1</v>
      </c>
      <c r="X2420" s="45">
        <v>1</v>
      </c>
      <c r="Y2420" s="45">
        <v>1</v>
      </c>
      <c r="Z2420" s="45">
        <v>1</v>
      </c>
      <c r="AA2420" s="45">
        <v>1</v>
      </c>
      <c r="AB2420" s="45">
        <v>1</v>
      </c>
      <c r="AC2420" s="150">
        <v>0</v>
      </c>
      <c r="AD2420" s="150">
        <v>1</v>
      </c>
      <c r="AE2420" s="49">
        <f t="shared" si="101"/>
        <v>0.875</v>
      </c>
      <c r="AF2420" s="17"/>
      <c r="AG2420" s="17">
        <v>0</v>
      </c>
      <c r="AH2420" s="17">
        <v>0</v>
      </c>
      <c r="AI2420" s="17">
        <v>0</v>
      </c>
      <c r="AJ2420" s="17">
        <v>0</v>
      </c>
      <c r="AK2420" s="153">
        <v>0</v>
      </c>
      <c r="AL2420" s="154">
        <v>0</v>
      </c>
      <c r="AM2420" s="147">
        <f t="shared" si="100"/>
        <v>0</v>
      </c>
      <c r="AN2420" s="44" t="s">
        <v>3643</v>
      </c>
      <c r="AO2420" s="18" t="s">
        <v>3630</v>
      </c>
      <c r="AP2420" t="s">
        <v>119</v>
      </c>
    </row>
    <row r="2421" spans="1:42" customFormat="1" x14ac:dyDescent="0.3">
      <c r="A2421" s="148" t="s">
        <v>8319</v>
      </c>
      <c r="B2421" t="s">
        <v>8320</v>
      </c>
      <c r="C2421" s="148" t="s">
        <v>9410</v>
      </c>
      <c r="D2421" t="s">
        <v>9411</v>
      </c>
      <c r="E2421" s="148" t="s">
        <v>9412</v>
      </c>
      <c r="F2421" t="s">
        <v>9413</v>
      </c>
      <c r="G2421" s="148" t="s">
        <v>9448</v>
      </c>
      <c r="H2421" t="s">
        <v>9449</v>
      </c>
      <c r="I2421" s="148" t="s">
        <v>9682</v>
      </c>
      <c r="J2421" t="s">
        <v>9683</v>
      </c>
      <c r="K2421" s="148" t="s">
        <v>9684</v>
      </c>
      <c r="L2421" t="s">
        <v>9685</v>
      </c>
      <c r="M2421" s="1" t="s">
        <v>9702</v>
      </c>
      <c r="N2421" s="1"/>
      <c r="O2421" s="1">
        <v>2500</v>
      </c>
      <c r="P2421" s="3">
        <v>2750</v>
      </c>
      <c r="Q2421" s="3">
        <v>3000</v>
      </c>
      <c r="R2421" s="3">
        <v>3250</v>
      </c>
      <c r="S2421" s="3">
        <v>3500</v>
      </c>
      <c r="T2421" t="s">
        <v>9700</v>
      </c>
      <c r="U2421" t="e">
        <v>#N/A</v>
      </c>
      <c r="V2421" t="s">
        <v>9703</v>
      </c>
      <c r="W2421" s="45">
        <v>1</v>
      </c>
      <c r="X2421" s="45">
        <v>1</v>
      </c>
      <c r="Y2421" s="45">
        <v>1</v>
      </c>
      <c r="Z2421" s="45">
        <v>1</v>
      </c>
      <c r="AA2421" s="45">
        <v>1</v>
      </c>
      <c r="AB2421" s="45">
        <v>1</v>
      </c>
      <c r="AC2421" s="150">
        <v>0</v>
      </c>
      <c r="AD2421" s="150">
        <v>1</v>
      </c>
      <c r="AE2421" s="49">
        <f t="shared" si="101"/>
        <v>0.875</v>
      </c>
      <c r="AF2421" s="17"/>
      <c r="AG2421" s="17">
        <v>0</v>
      </c>
      <c r="AH2421" s="17">
        <v>0</v>
      </c>
      <c r="AI2421" s="17">
        <v>0</v>
      </c>
      <c r="AJ2421" s="17">
        <v>0</v>
      </c>
      <c r="AK2421" s="153">
        <v>0</v>
      </c>
      <c r="AL2421" s="154">
        <v>0</v>
      </c>
      <c r="AM2421" s="147">
        <f t="shared" si="100"/>
        <v>0</v>
      </c>
      <c r="AN2421" s="44" t="s">
        <v>3643</v>
      </c>
      <c r="AO2421" s="18" t="s">
        <v>3630</v>
      </c>
      <c r="AP2421" t="s">
        <v>119</v>
      </c>
    </row>
    <row r="2422" spans="1:42" customFormat="1" x14ac:dyDescent="0.3">
      <c r="A2422" s="148" t="s">
        <v>8319</v>
      </c>
      <c r="B2422" t="s">
        <v>8320</v>
      </c>
      <c r="C2422" s="148" t="s">
        <v>9410</v>
      </c>
      <c r="D2422" t="s">
        <v>9411</v>
      </c>
      <c r="E2422" s="148" t="s">
        <v>9412</v>
      </c>
      <c r="F2422" t="s">
        <v>9413</v>
      </c>
      <c r="G2422" s="148" t="s">
        <v>9448</v>
      </c>
      <c r="H2422" t="s">
        <v>9449</v>
      </c>
      <c r="I2422" s="148" t="s">
        <v>9682</v>
      </c>
      <c r="J2422" t="s">
        <v>9683</v>
      </c>
      <c r="K2422" s="148" t="s">
        <v>9684</v>
      </c>
      <c r="L2422" t="s">
        <v>9685</v>
      </c>
      <c r="M2422" s="1" t="s">
        <v>9704</v>
      </c>
      <c r="N2422" s="1"/>
      <c r="O2422" s="1">
        <v>1</v>
      </c>
      <c r="P2422" s="3">
        <v>1</v>
      </c>
      <c r="Q2422" s="3">
        <v>1</v>
      </c>
      <c r="R2422" s="3">
        <v>1</v>
      </c>
      <c r="S2422" s="3">
        <v>1</v>
      </c>
      <c r="T2422" t="s">
        <v>9705</v>
      </c>
      <c r="U2422" t="e">
        <v>#N/A</v>
      </c>
      <c r="V2422" t="s">
        <v>9706</v>
      </c>
      <c r="W2422" s="45">
        <v>1</v>
      </c>
      <c r="X2422" s="45">
        <v>1</v>
      </c>
      <c r="Y2422" s="45">
        <v>1</v>
      </c>
      <c r="Z2422" s="45">
        <v>1</v>
      </c>
      <c r="AA2422" s="45">
        <v>1</v>
      </c>
      <c r="AB2422" s="45">
        <v>1</v>
      </c>
      <c r="AC2422" s="150">
        <v>0</v>
      </c>
      <c r="AD2422" s="150">
        <v>1</v>
      </c>
      <c r="AE2422" s="49">
        <f t="shared" si="101"/>
        <v>0.875</v>
      </c>
      <c r="AF2422" s="17"/>
      <c r="AG2422" s="17">
        <v>0</v>
      </c>
      <c r="AH2422" s="17">
        <v>0</v>
      </c>
      <c r="AI2422" s="17">
        <v>0</v>
      </c>
      <c r="AJ2422" s="17">
        <v>0</v>
      </c>
      <c r="AK2422" s="153">
        <v>0</v>
      </c>
      <c r="AL2422" s="154">
        <v>0</v>
      </c>
      <c r="AM2422" s="147">
        <f t="shared" si="100"/>
        <v>0</v>
      </c>
      <c r="AN2422" s="44" t="s">
        <v>723</v>
      </c>
      <c r="AO2422" s="18" t="s">
        <v>729</v>
      </c>
      <c r="AP2422" t="s">
        <v>3643</v>
      </c>
    </row>
    <row r="2423" spans="1:42" customFormat="1" x14ac:dyDescent="0.3">
      <c r="A2423" s="148" t="s">
        <v>8319</v>
      </c>
      <c r="B2423" t="s">
        <v>8320</v>
      </c>
      <c r="C2423" s="148" t="s">
        <v>9410</v>
      </c>
      <c r="D2423" t="s">
        <v>9411</v>
      </c>
      <c r="E2423" s="148" t="s">
        <v>9412</v>
      </c>
      <c r="F2423" t="s">
        <v>9413</v>
      </c>
      <c r="G2423" s="148" t="s">
        <v>9448</v>
      </c>
      <c r="H2423" t="s">
        <v>9449</v>
      </c>
      <c r="I2423" s="148" t="s">
        <v>9682</v>
      </c>
      <c r="J2423" t="s">
        <v>9683</v>
      </c>
      <c r="K2423" s="148" t="s">
        <v>9684</v>
      </c>
      <c r="L2423" t="s">
        <v>9685</v>
      </c>
      <c r="M2423" s="1" t="s">
        <v>9707</v>
      </c>
      <c r="N2423" s="1"/>
      <c r="O2423" s="1">
        <v>1</v>
      </c>
      <c r="P2423" s="3">
        <v>1</v>
      </c>
      <c r="Q2423" s="3">
        <v>1</v>
      </c>
      <c r="R2423" s="3">
        <v>1</v>
      </c>
      <c r="S2423" s="3">
        <v>1</v>
      </c>
      <c r="T2423" t="s">
        <v>9708</v>
      </c>
      <c r="U2423" t="e">
        <v>#N/A</v>
      </c>
      <c r="V2423" t="s">
        <v>9709</v>
      </c>
      <c r="W2423" s="45">
        <v>1</v>
      </c>
      <c r="X2423" s="45">
        <v>1</v>
      </c>
      <c r="Y2423" s="45">
        <v>1</v>
      </c>
      <c r="Z2423" s="45">
        <v>1</v>
      </c>
      <c r="AA2423" s="45">
        <v>1</v>
      </c>
      <c r="AB2423" s="45">
        <v>1</v>
      </c>
      <c r="AC2423" s="150">
        <v>0</v>
      </c>
      <c r="AD2423" s="150">
        <v>1</v>
      </c>
      <c r="AE2423" s="49">
        <f t="shared" si="101"/>
        <v>0.875</v>
      </c>
      <c r="AF2423" s="17"/>
      <c r="AG2423" s="17">
        <v>0</v>
      </c>
      <c r="AH2423" s="17">
        <v>0</v>
      </c>
      <c r="AI2423" s="17">
        <v>0</v>
      </c>
      <c r="AJ2423" s="17">
        <v>0</v>
      </c>
      <c r="AK2423" s="153">
        <v>0</v>
      </c>
      <c r="AL2423" s="154">
        <v>0</v>
      </c>
      <c r="AM2423" s="147">
        <f t="shared" si="100"/>
        <v>0</v>
      </c>
      <c r="AN2423" s="44" t="s">
        <v>723</v>
      </c>
      <c r="AO2423" s="18" t="s">
        <v>729</v>
      </c>
      <c r="AP2423" t="s">
        <v>3643</v>
      </c>
    </row>
    <row r="2424" spans="1:42" customFormat="1" x14ac:dyDescent="0.3">
      <c r="A2424" s="148" t="s">
        <v>8319</v>
      </c>
      <c r="B2424" t="s">
        <v>8320</v>
      </c>
      <c r="C2424" s="148" t="s">
        <v>9410</v>
      </c>
      <c r="D2424" t="s">
        <v>9411</v>
      </c>
      <c r="E2424" s="148" t="s">
        <v>9412</v>
      </c>
      <c r="F2424" t="s">
        <v>9413</v>
      </c>
      <c r="G2424" s="148" t="s">
        <v>9448</v>
      </c>
      <c r="H2424" t="s">
        <v>9449</v>
      </c>
      <c r="I2424" s="148" t="s">
        <v>9682</v>
      </c>
      <c r="J2424" t="s">
        <v>9683</v>
      </c>
      <c r="K2424" s="148" t="s">
        <v>9684</v>
      </c>
      <c r="L2424" t="s">
        <v>9685</v>
      </c>
      <c r="M2424" s="1" t="s">
        <v>9710</v>
      </c>
      <c r="N2424" s="1"/>
      <c r="O2424" s="1">
        <v>1</v>
      </c>
      <c r="P2424" s="3">
        <v>1</v>
      </c>
      <c r="Q2424" s="3">
        <v>1</v>
      </c>
      <c r="R2424" s="3">
        <v>1</v>
      </c>
      <c r="S2424" s="3">
        <v>1</v>
      </c>
      <c r="T2424" t="s">
        <v>9711</v>
      </c>
      <c r="U2424" t="e">
        <v>#N/A</v>
      </c>
      <c r="V2424" t="s">
        <v>9712</v>
      </c>
      <c r="W2424" s="45">
        <v>1</v>
      </c>
      <c r="X2424" s="45">
        <v>1</v>
      </c>
      <c r="Y2424" s="45">
        <v>1</v>
      </c>
      <c r="Z2424" s="45">
        <v>1</v>
      </c>
      <c r="AA2424" s="45">
        <v>1</v>
      </c>
      <c r="AB2424" s="45">
        <v>1</v>
      </c>
      <c r="AC2424" s="150">
        <v>0</v>
      </c>
      <c r="AD2424" s="150">
        <v>1</v>
      </c>
      <c r="AE2424" s="49">
        <f t="shared" si="101"/>
        <v>0.875</v>
      </c>
      <c r="AF2424" s="17"/>
      <c r="AG2424" s="17">
        <v>0</v>
      </c>
      <c r="AH2424" s="17">
        <v>0</v>
      </c>
      <c r="AI2424" s="17">
        <v>0</v>
      </c>
      <c r="AJ2424" s="17">
        <v>0</v>
      </c>
      <c r="AK2424" s="153">
        <v>0</v>
      </c>
      <c r="AL2424" s="154">
        <v>0</v>
      </c>
      <c r="AM2424" s="147">
        <f t="shared" si="100"/>
        <v>0</v>
      </c>
      <c r="AN2424" s="44" t="s">
        <v>3643</v>
      </c>
      <c r="AO2424" s="18" t="s">
        <v>3630</v>
      </c>
      <c r="AP2424" t="s">
        <v>119</v>
      </c>
    </row>
    <row r="2425" spans="1:42" customFormat="1" x14ac:dyDescent="0.3">
      <c r="A2425" s="148" t="s">
        <v>8319</v>
      </c>
      <c r="B2425" t="s">
        <v>8320</v>
      </c>
      <c r="C2425" s="148" t="s">
        <v>9410</v>
      </c>
      <c r="D2425" t="s">
        <v>9411</v>
      </c>
      <c r="E2425" s="148" t="s">
        <v>9412</v>
      </c>
      <c r="F2425" t="s">
        <v>9413</v>
      </c>
      <c r="G2425" s="148" t="s">
        <v>9448</v>
      </c>
      <c r="H2425" t="s">
        <v>9449</v>
      </c>
      <c r="I2425" s="148" t="s">
        <v>9682</v>
      </c>
      <c r="J2425" t="s">
        <v>9683</v>
      </c>
      <c r="K2425" s="148" t="s">
        <v>9713</v>
      </c>
      <c r="L2425" t="s">
        <v>9714</v>
      </c>
      <c r="M2425" s="1"/>
      <c r="N2425" s="1"/>
      <c r="O2425" s="1"/>
      <c r="P2425" s="3"/>
      <c r="Q2425" s="3"/>
      <c r="R2425" s="3"/>
      <c r="S2425" s="3"/>
      <c r="U2425" t="e">
        <v>#N/A</v>
      </c>
      <c r="V2425" t="s">
        <v>9715</v>
      </c>
      <c r="W2425" s="45">
        <v>1</v>
      </c>
      <c r="X2425" s="45">
        <v>1</v>
      </c>
      <c r="Y2425" s="45">
        <v>1</v>
      </c>
      <c r="Z2425" s="45">
        <v>1</v>
      </c>
      <c r="AA2425" s="45">
        <v>1</v>
      </c>
      <c r="AB2425" s="45">
        <v>1</v>
      </c>
      <c r="AC2425" s="150">
        <v>0</v>
      </c>
      <c r="AD2425" s="150">
        <v>1</v>
      </c>
      <c r="AE2425" s="49">
        <f t="shared" si="101"/>
        <v>0.875</v>
      </c>
      <c r="AF2425" s="17"/>
      <c r="AG2425" s="17">
        <v>0</v>
      </c>
      <c r="AH2425" s="17">
        <v>0</v>
      </c>
      <c r="AI2425" s="17">
        <v>0</v>
      </c>
      <c r="AJ2425" s="17">
        <v>0</v>
      </c>
      <c r="AK2425" s="153">
        <v>0</v>
      </c>
      <c r="AL2425" s="154">
        <v>0</v>
      </c>
      <c r="AM2425" s="147">
        <f t="shared" si="100"/>
        <v>0</v>
      </c>
      <c r="AN2425" t="s">
        <v>3643</v>
      </c>
      <c r="AO2425" s="18" t="s">
        <v>3630</v>
      </c>
      <c r="AP2425" t="s">
        <v>255</v>
      </c>
    </row>
    <row r="2426" spans="1:42" customFormat="1" x14ac:dyDescent="0.3">
      <c r="A2426" s="148" t="s">
        <v>8319</v>
      </c>
      <c r="B2426" t="s">
        <v>8320</v>
      </c>
      <c r="C2426" s="148" t="s">
        <v>9410</v>
      </c>
      <c r="D2426" t="s">
        <v>9411</v>
      </c>
      <c r="E2426" s="148" t="s">
        <v>9412</v>
      </c>
      <c r="F2426" t="s">
        <v>9413</v>
      </c>
      <c r="G2426" s="148" t="s">
        <v>9448</v>
      </c>
      <c r="H2426" t="s">
        <v>9449</v>
      </c>
      <c r="I2426" s="148" t="s">
        <v>9682</v>
      </c>
      <c r="J2426" t="s">
        <v>9683</v>
      </c>
      <c r="K2426" s="148" t="s">
        <v>9713</v>
      </c>
      <c r="L2426" t="s">
        <v>9714</v>
      </c>
      <c r="M2426" s="1"/>
      <c r="N2426" s="1"/>
      <c r="O2426" s="1"/>
      <c r="P2426" s="3"/>
      <c r="Q2426" s="3"/>
      <c r="R2426" s="3"/>
      <c r="S2426" s="3"/>
      <c r="U2426" t="e">
        <v>#N/A</v>
      </c>
      <c r="V2426" t="s">
        <v>9716</v>
      </c>
      <c r="W2426" s="45">
        <v>1</v>
      </c>
      <c r="X2426" s="45">
        <v>1</v>
      </c>
      <c r="Y2426" s="45">
        <v>1</v>
      </c>
      <c r="Z2426" s="45">
        <v>1</v>
      </c>
      <c r="AA2426" s="45">
        <v>1</v>
      </c>
      <c r="AB2426" s="45">
        <v>1</v>
      </c>
      <c r="AC2426" s="150">
        <v>0</v>
      </c>
      <c r="AD2426" s="150">
        <v>1</v>
      </c>
      <c r="AE2426" s="49">
        <f t="shared" si="101"/>
        <v>0.875</v>
      </c>
      <c r="AF2426" s="17"/>
      <c r="AG2426" s="17">
        <v>0</v>
      </c>
      <c r="AH2426" s="17">
        <v>0</v>
      </c>
      <c r="AI2426" s="17">
        <v>0</v>
      </c>
      <c r="AJ2426" s="17">
        <v>0</v>
      </c>
      <c r="AK2426" s="153">
        <v>0</v>
      </c>
      <c r="AL2426" s="154">
        <v>0</v>
      </c>
      <c r="AM2426" s="147">
        <f t="shared" si="100"/>
        <v>0</v>
      </c>
      <c r="AN2426" t="s">
        <v>3643</v>
      </c>
      <c r="AO2426" s="18" t="s">
        <v>3630</v>
      </c>
      <c r="AP2426" t="s">
        <v>255</v>
      </c>
    </row>
    <row r="2427" spans="1:42" customFormat="1" x14ac:dyDescent="0.3">
      <c r="A2427" s="148" t="s">
        <v>8319</v>
      </c>
      <c r="B2427" t="s">
        <v>8320</v>
      </c>
      <c r="C2427" s="148" t="s">
        <v>9410</v>
      </c>
      <c r="D2427" t="s">
        <v>9411</v>
      </c>
      <c r="E2427" s="148" t="s">
        <v>9412</v>
      </c>
      <c r="F2427" t="s">
        <v>9413</v>
      </c>
      <c r="G2427" s="148" t="s">
        <v>9448</v>
      </c>
      <c r="H2427" t="s">
        <v>9449</v>
      </c>
      <c r="I2427" s="148" t="s">
        <v>9682</v>
      </c>
      <c r="J2427" t="s">
        <v>9683</v>
      </c>
      <c r="K2427" s="148" t="s">
        <v>9717</v>
      </c>
      <c r="L2427" t="s">
        <v>9718</v>
      </c>
      <c r="M2427" s="1" t="s">
        <v>9719</v>
      </c>
      <c r="N2427" s="1" t="s">
        <v>271</v>
      </c>
      <c r="O2427" s="1">
        <v>50</v>
      </c>
      <c r="P2427" s="3">
        <v>75</v>
      </c>
      <c r="Q2427" s="3">
        <v>100</v>
      </c>
      <c r="R2427" s="3">
        <v>100</v>
      </c>
      <c r="S2427" s="3">
        <v>100</v>
      </c>
      <c r="T2427" t="s">
        <v>3640</v>
      </c>
      <c r="U2427" t="s">
        <v>3630</v>
      </c>
      <c r="V2427" t="s">
        <v>9720</v>
      </c>
      <c r="W2427" s="45">
        <v>1</v>
      </c>
      <c r="X2427" s="45">
        <v>1</v>
      </c>
      <c r="Y2427" s="45">
        <v>1</v>
      </c>
      <c r="Z2427" s="45">
        <v>1</v>
      </c>
      <c r="AA2427" s="45">
        <v>1</v>
      </c>
      <c r="AB2427" s="45">
        <v>1</v>
      </c>
      <c r="AC2427" s="150">
        <v>0</v>
      </c>
      <c r="AD2427" s="150">
        <v>1</v>
      </c>
      <c r="AE2427" s="49">
        <f t="shared" si="101"/>
        <v>0.875</v>
      </c>
      <c r="AF2427" s="44"/>
      <c r="AG2427" s="17">
        <v>0</v>
      </c>
      <c r="AH2427" s="44">
        <v>2.5000000000000001E-2</v>
      </c>
      <c r="AI2427" s="44">
        <v>2.5000000000000001E-2</v>
      </c>
      <c r="AJ2427" s="44">
        <v>2.5000000000000001E-2</v>
      </c>
      <c r="AK2427" s="151">
        <v>0</v>
      </c>
      <c r="AL2427" s="151">
        <v>0</v>
      </c>
      <c r="AM2427" s="147">
        <f t="shared" si="100"/>
        <v>0</v>
      </c>
      <c r="AN2427" t="s">
        <v>3643</v>
      </c>
      <c r="AO2427" s="18" t="s">
        <v>3630</v>
      </c>
      <c r="AP2427" t="s">
        <v>2172</v>
      </c>
    </row>
    <row r="2428" spans="1:42" customFormat="1" x14ac:dyDescent="0.3">
      <c r="A2428" s="148" t="s">
        <v>8319</v>
      </c>
      <c r="B2428" t="s">
        <v>8320</v>
      </c>
      <c r="C2428" s="148" t="s">
        <v>9410</v>
      </c>
      <c r="D2428" t="s">
        <v>9411</v>
      </c>
      <c r="E2428" s="148" t="s">
        <v>9412</v>
      </c>
      <c r="F2428" t="s">
        <v>9413</v>
      </c>
      <c r="G2428" s="148" t="s">
        <v>9448</v>
      </c>
      <c r="H2428" t="s">
        <v>9449</v>
      </c>
      <c r="I2428" s="148" t="s">
        <v>9682</v>
      </c>
      <c r="J2428" t="s">
        <v>9683</v>
      </c>
      <c r="K2428" s="148" t="s">
        <v>9721</v>
      </c>
      <c r="L2428" t="s">
        <v>9722</v>
      </c>
      <c r="M2428" s="1" t="s">
        <v>9723</v>
      </c>
      <c r="N2428" s="1">
        <v>0</v>
      </c>
      <c r="O2428" s="1">
        <v>0</v>
      </c>
      <c r="P2428" s="3">
        <v>1</v>
      </c>
      <c r="Q2428" s="3">
        <v>0</v>
      </c>
      <c r="R2428" s="3">
        <v>0</v>
      </c>
      <c r="S2428" s="3">
        <v>0</v>
      </c>
      <c r="T2428" t="s">
        <v>3643</v>
      </c>
      <c r="U2428" t="s">
        <v>3630</v>
      </c>
      <c r="V2428" t="s">
        <v>9724</v>
      </c>
      <c r="W2428" s="45">
        <v>1</v>
      </c>
      <c r="X2428" s="45">
        <v>1</v>
      </c>
      <c r="Y2428" s="45">
        <v>1</v>
      </c>
      <c r="Z2428" s="45">
        <v>1</v>
      </c>
      <c r="AA2428" s="45">
        <v>1</v>
      </c>
      <c r="AB2428" s="45">
        <v>1</v>
      </c>
      <c r="AC2428" s="150">
        <v>0</v>
      </c>
      <c r="AD2428" s="150">
        <v>1</v>
      </c>
      <c r="AE2428" s="49">
        <f t="shared" si="101"/>
        <v>0.875</v>
      </c>
      <c r="AF2428" s="44"/>
      <c r="AG2428" s="17">
        <v>0</v>
      </c>
      <c r="AH2428" s="44">
        <v>0</v>
      </c>
      <c r="AI2428" s="44">
        <v>0.15</v>
      </c>
      <c r="AJ2428" s="44">
        <v>0.05</v>
      </c>
      <c r="AK2428" s="151">
        <v>0.05</v>
      </c>
      <c r="AL2428" s="151">
        <v>0.06</v>
      </c>
      <c r="AM2428" s="147">
        <f t="shared" si="100"/>
        <v>0.11</v>
      </c>
      <c r="AN2428" t="s">
        <v>3643</v>
      </c>
      <c r="AO2428" s="18" t="s">
        <v>3630</v>
      </c>
      <c r="AP2428" t="s">
        <v>2172</v>
      </c>
    </row>
    <row r="2429" spans="1:42" customFormat="1" x14ac:dyDescent="0.3">
      <c r="A2429" s="148" t="s">
        <v>8319</v>
      </c>
      <c r="B2429" t="s">
        <v>8320</v>
      </c>
      <c r="C2429" s="148" t="s">
        <v>9410</v>
      </c>
      <c r="D2429" t="s">
        <v>9411</v>
      </c>
      <c r="E2429" s="148" t="s">
        <v>9412</v>
      </c>
      <c r="F2429" t="s">
        <v>9413</v>
      </c>
      <c r="G2429" s="148" t="s">
        <v>9448</v>
      </c>
      <c r="H2429" t="s">
        <v>9449</v>
      </c>
      <c r="I2429" s="148" t="s">
        <v>9682</v>
      </c>
      <c r="J2429" t="s">
        <v>9683</v>
      </c>
      <c r="K2429" s="148" t="s">
        <v>9721</v>
      </c>
      <c r="L2429" t="s">
        <v>9722</v>
      </c>
      <c r="M2429" s="1" t="s">
        <v>9725</v>
      </c>
      <c r="N2429" s="1"/>
      <c r="O2429" s="1"/>
      <c r="P2429" s="3">
        <v>10</v>
      </c>
      <c r="Q2429" s="3">
        <v>30</v>
      </c>
      <c r="R2429" s="3">
        <v>40</v>
      </c>
      <c r="S2429" s="3">
        <v>50</v>
      </c>
      <c r="T2429" t="s">
        <v>3640</v>
      </c>
      <c r="U2429" t="s">
        <v>3630</v>
      </c>
      <c r="V2429" t="s">
        <v>9726</v>
      </c>
      <c r="W2429" s="45">
        <v>1</v>
      </c>
      <c r="X2429" s="45">
        <v>1</v>
      </c>
      <c r="Y2429" s="45">
        <v>1</v>
      </c>
      <c r="Z2429" s="45">
        <v>1</v>
      </c>
      <c r="AA2429" s="45">
        <v>1</v>
      </c>
      <c r="AB2429" s="45">
        <v>1</v>
      </c>
      <c r="AC2429" s="150">
        <v>0</v>
      </c>
      <c r="AD2429" s="150">
        <v>1</v>
      </c>
      <c r="AE2429" s="49">
        <f t="shared" si="101"/>
        <v>0.875</v>
      </c>
      <c r="AF2429" s="17"/>
      <c r="AG2429" s="17">
        <v>0</v>
      </c>
      <c r="AH2429" s="17">
        <v>0</v>
      </c>
      <c r="AI2429" s="17">
        <v>0</v>
      </c>
      <c r="AJ2429" s="17">
        <v>0</v>
      </c>
      <c r="AK2429" s="153">
        <v>0</v>
      </c>
      <c r="AL2429" s="154">
        <v>0</v>
      </c>
      <c r="AM2429" s="147">
        <f t="shared" si="100"/>
        <v>0</v>
      </c>
      <c r="AN2429" t="s">
        <v>3643</v>
      </c>
      <c r="AO2429" s="18" t="s">
        <v>3630</v>
      </c>
      <c r="AP2429" t="s">
        <v>2172</v>
      </c>
    </row>
    <row r="2430" spans="1:42" customFormat="1" x14ac:dyDescent="0.3">
      <c r="A2430" s="148" t="s">
        <v>8319</v>
      </c>
      <c r="B2430" t="s">
        <v>8320</v>
      </c>
      <c r="C2430" s="148" t="s">
        <v>9410</v>
      </c>
      <c r="D2430" t="s">
        <v>9411</v>
      </c>
      <c r="E2430" s="148" t="s">
        <v>9412</v>
      </c>
      <c r="F2430" t="s">
        <v>9413</v>
      </c>
      <c r="G2430" s="148" t="s">
        <v>9448</v>
      </c>
      <c r="H2430" t="s">
        <v>9449</v>
      </c>
      <c r="I2430" s="148" t="s">
        <v>9682</v>
      </c>
      <c r="J2430" t="s">
        <v>9683</v>
      </c>
      <c r="K2430" s="155" t="s">
        <v>9727</v>
      </c>
      <c r="L2430" t="s">
        <v>9728</v>
      </c>
      <c r="M2430" s="1" t="s">
        <v>9729</v>
      </c>
      <c r="N2430" s="1">
        <v>37</v>
      </c>
      <c r="O2430" s="1">
        <v>50</v>
      </c>
      <c r="P2430" s="3">
        <v>55</v>
      </c>
      <c r="Q2430" s="3">
        <v>60</v>
      </c>
      <c r="R2430" s="3">
        <v>70</v>
      </c>
      <c r="S2430" s="3">
        <v>75</v>
      </c>
      <c r="T2430" t="s">
        <v>3643</v>
      </c>
      <c r="U2430" t="s">
        <v>3630</v>
      </c>
      <c r="W2430" s="45">
        <v>1</v>
      </c>
      <c r="X2430" s="45">
        <v>1</v>
      </c>
      <c r="Y2430" s="45">
        <v>1</v>
      </c>
      <c r="Z2430" s="45">
        <v>1</v>
      </c>
      <c r="AA2430" s="45">
        <v>1</v>
      </c>
      <c r="AB2430" s="45">
        <v>1</v>
      </c>
      <c r="AC2430" s="150">
        <v>0</v>
      </c>
      <c r="AD2430" s="150">
        <v>1</v>
      </c>
      <c r="AE2430" s="49">
        <f t="shared" si="101"/>
        <v>0.875</v>
      </c>
      <c r="AF2430" s="4"/>
      <c r="AG2430" s="17">
        <v>0</v>
      </c>
      <c r="AH2430" s="4"/>
      <c r="AI2430" s="4"/>
      <c r="AJ2430" s="4"/>
      <c r="AK2430" s="46"/>
      <c r="AL2430" s="46"/>
      <c r="AM2430" s="147">
        <f t="shared" si="100"/>
        <v>0</v>
      </c>
      <c r="AO2430" s="18"/>
    </row>
    <row r="2431" spans="1:42" customFormat="1" x14ac:dyDescent="0.3">
      <c r="A2431" s="148" t="s">
        <v>8319</v>
      </c>
      <c r="B2431" t="s">
        <v>8320</v>
      </c>
      <c r="C2431" s="148" t="s">
        <v>9410</v>
      </c>
      <c r="D2431" t="s">
        <v>9411</v>
      </c>
      <c r="E2431" s="148" t="s">
        <v>9412</v>
      </c>
      <c r="F2431" t="s">
        <v>9413</v>
      </c>
      <c r="G2431" s="148" t="s">
        <v>9448</v>
      </c>
      <c r="H2431" t="s">
        <v>9449</v>
      </c>
      <c r="I2431" s="148" t="s">
        <v>9682</v>
      </c>
      <c r="J2431" t="s">
        <v>9683</v>
      </c>
      <c r="K2431" s="155" t="s">
        <v>9727</v>
      </c>
      <c r="L2431" t="s">
        <v>9728</v>
      </c>
      <c r="M2431" s="1" t="s">
        <v>9730</v>
      </c>
      <c r="N2431" s="1" t="s">
        <v>9731</v>
      </c>
      <c r="O2431" s="1">
        <v>10</v>
      </c>
      <c r="P2431" s="3">
        <v>10</v>
      </c>
      <c r="Q2431" s="3" t="s">
        <v>9732</v>
      </c>
      <c r="R2431" s="3">
        <v>42</v>
      </c>
      <c r="S2431" s="3">
        <v>42</v>
      </c>
      <c r="T2431" t="s">
        <v>3643</v>
      </c>
      <c r="U2431" t="s">
        <v>3630</v>
      </c>
      <c r="W2431" s="45">
        <v>1</v>
      </c>
      <c r="X2431" s="45">
        <v>1</v>
      </c>
      <c r="Y2431" s="45">
        <v>1</v>
      </c>
      <c r="Z2431" s="45">
        <v>1</v>
      </c>
      <c r="AA2431" s="45">
        <v>1</v>
      </c>
      <c r="AB2431" s="45">
        <v>1</v>
      </c>
      <c r="AC2431" s="150">
        <v>0</v>
      </c>
      <c r="AD2431" s="150">
        <v>1</v>
      </c>
      <c r="AE2431" s="49">
        <f t="shared" si="101"/>
        <v>0.875</v>
      </c>
      <c r="AF2431" s="4"/>
      <c r="AG2431" s="17">
        <v>0</v>
      </c>
      <c r="AH2431" s="4"/>
      <c r="AI2431" s="4"/>
      <c r="AJ2431" s="4"/>
      <c r="AK2431" s="46"/>
      <c r="AL2431" s="46"/>
      <c r="AM2431" s="147">
        <f t="shared" si="100"/>
        <v>0</v>
      </c>
      <c r="AO2431" s="18"/>
    </row>
    <row r="2432" spans="1:42" customFormat="1" x14ac:dyDescent="0.3">
      <c r="A2432" s="148" t="s">
        <v>8319</v>
      </c>
      <c r="B2432" t="s">
        <v>8320</v>
      </c>
      <c r="C2432" s="148" t="s">
        <v>9410</v>
      </c>
      <c r="D2432" t="s">
        <v>9411</v>
      </c>
      <c r="E2432" s="148" t="s">
        <v>9412</v>
      </c>
      <c r="F2432" t="s">
        <v>9413</v>
      </c>
      <c r="G2432" s="148" t="s">
        <v>9448</v>
      </c>
      <c r="H2432" t="s">
        <v>9449</v>
      </c>
      <c r="I2432" s="148" t="s">
        <v>9682</v>
      </c>
      <c r="J2432" t="s">
        <v>9683</v>
      </c>
      <c r="K2432" s="155" t="s">
        <v>9727</v>
      </c>
      <c r="L2432" t="s">
        <v>9728</v>
      </c>
      <c r="M2432" s="1" t="s">
        <v>9733</v>
      </c>
      <c r="N2432" s="1">
        <v>53</v>
      </c>
      <c r="O2432" s="1">
        <v>55</v>
      </c>
      <c r="P2432" s="3">
        <v>60</v>
      </c>
      <c r="Q2432" s="3">
        <v>62</v>
      </c>
      <c r="R2432" s="3">
        <v>65</v>
      </c>
      <c r="S2432" s="3">
        <v>70</v>
      </c>
      <c r="T2432" t="s">
        <v>3643</v>
      </c>
      <c r="U2432" t="s">
        <v>3630</v>
      </c>
      <c r="W2432" s="45">
        <v>1</v>
      </c>
      <c r="X2432" s="45">
        <v>1</v>
      </c>
      <c r="Y2432" s="45">
        <v>1</v>
      </c>
      <c r="Z2432" s="45">
        <v>1</v>
      </c>
      <c r="AA2432" s="45">
        <v>1</v>
      </c>
      <c r="AB2432" s="45">
        <v>1</v>
      </c>
      <c r="AC2432" s="150">
        <v>0</v>
      </c>
      <c r="AD2432" s="150">
        <v>1</v>
      </c>
      <c r="AE2432" s="49">
        <f t="shared" si="101"/>
        <v>0.875</v>
      </c>
      <c r="AF2432" s="4"/>
      <c r="AG2432" s="17">
        <v>0</v>
      </c>
      <c r="AH2432" s="4"/>
      <c r="AI2432" s="4"/>
      <c r="AJ2432" s="4"/>
      <c r="AK2432" s="46"/>
      <c r="AL2432" s="46"/>
      <c r="AM2432" s="147">
        <f t="shared" si="100"/>
        <v>0</v>
      </c>
      <c r="AO2432" s="18"/>
    </row>
    <row r="2433" spans="1:42" customFormat="1" x14ac:dyDescent="0.3">
      <c r="A2433" s="148" t="s">
        <v>8319</v>
      </c>
      <c r="B2433" t="s">
        <v>8320</v>
      </c>
      <c r="C2433" s="148" t="s">
        <v>9410</v>
      </c>
      <c r="D2433" t="s">
        <v>9411</v>
      </c>
      <c r="E2433" s="148" t="s">
        <v>9412</v>
      </c>
      <c r="F2433" t="s">
        <v>9413</v>
      </c>
      <c r="G2433" s="148" t="s">
        <v>9448</v>
      </c>
      <c r="H2433" t="s">
        <v>9449</v>
      </c>
      <c r="I2433" s="148" t="s">
        <v>9682</v>
      </c>
      <c r="J2433" t="s">
        <v>9683</v>
      </c>
      <c r="K2433" s="155" t="s">
        <v>9727</v>
      </c>
      <c r="L2433" t="s">
        <v>9728</v>
      </c>
      <c r="M2433" s="1" t="s">
        <v>9734</v>
      </c>
      <c r="N2433" s="1" t="s">
        <v>9365</v>
      </c>
      <c r="O2433" s="1">
        <v>10</v>
      </c>
      <c r="P2433" s="3">
        <v>20</v>
      </c>
      <c r="Q2433" s="3">
        <v>25</v>
      </c>
      <c r="R2433" s="3">
        <v>30</v>
      </c>
      <c r="S2433" s="3">
        <v>35</v>
      </c>
      <c r="T2433" t="s">
        <v>3643</v>
      </c>
      <c r="U2433" t="s">
        <v>3630</v>
      </c>
      <c r="W2433" s="45">
        <v>1</v>
      </c>
      <c r="X2433" s="45">
        <v>1</v>
      </c>
      <c r="Y2433" s="45">
        <v>1</v>
      </c>
      <c r="Z2433" s="45">
        <v>1</v>
      </c>
      <c r="AA2433" s="45">
        <v>1</v>
      </c>
      <c r="AB2433" s="45">
        <v>1</v>
      </c>
      <c r="AC2433" s="150">
        <v>0</v>
      </c>
      <c r="AD2433" s="150">
        <v>1</v>
      </c>
      <c r="AE2433" s="49">
        <f t="shared" si="101"/>
        <v>0.875</v>
      </c>
      <c r="AF2433" s="4"/>
      <c r="AG2433" s="17">
        <v>0</v>
      </c>
      <c r="AH2433" s="4"/>
      <c r="AI2433" s="4"/>
      <c r="AJ2433" s="4"/>
      <c r="AK2433" s="46"/>
      <c r="AL2433" s="46"/>
      <c r="AM2433" s="147">
        <f t="shared" si="100"/>
        <v>0</v>
      </c>
      <c r="AO2433" s="18"/>
    </row>
    <row r="2434" spans="1:42" customFormat="1" x14ac:dyDescent="0.3">
      <c r="A2434" s="148" t="s">
        <v>8319</v>
      </c>
      <c r="B2434" t="s">
        <v>8320</v>
      </c>
      <c r="C2434" s="148" t="s">
        <v>9410</v>
      </c>
      <c r="D2434" t="s">
        <v>9411</v>
      </c>
      <c r="E2434" s="148" t="s">
        <v>9412</v>
      </c>
      <c r="F2434" t="s">
        <v>9413</v>
      </c>
      <c r="G2434" s="148" t="s">
        <v>9448</v>
      </c>
      <c r="H2434" t="s">
        <v>9449</v>
      </c>
      <c r="I2434" s="148" t="s">
        <v>9682</v>
      </c>
      <c r="J2434" t="s">
        <v>9683</v>
      </c>
      <c r="K2434" s="155" t="s">
        <v>9735</v>
      </c>
      <c r="L2434" t="s">
        <v>9736</v>
      </c>
      <c r="M2434" s="1" t="s">
        <v>9737</v>
      </c>
      <c r="N2434" s="1">
        <v>0</v>
      </c>
      <c r="O2434" s="1">
        <v>10</v>
      </c>
      <c r="P2434" s="3">
        <v>20</v>
      </c>
      <c r="Q2434" s="3">
        <v>30</v>
      </c>
      <c r="R2434" s="3">
        <v>40</v>
      </c>
      <c r="S2434" s="3">
        <v>50</v>
      </c>
      <c r="T2434" t="s">
        <v>9738</v>
      </c>
      <c r="U2434" t="e">
        <v>#N/A</v>
      </c>
      <c r="W2434" s="45">
        <v>1</v>
      </c>
      <c r="X2434" s="45">
        <v>1</v>
      </c>
      <c r="Y2434" s="45">
        <v>1</v>
      </c>
      <c r="Z2434" s="45">
        <v>1</v>
      </c>
      <c r="AA2434" s="45">
        <v>1</v>
      </c>
      <c r="AB2434" s="45">
        <v>1</v>
      </c>
      <c r="AC2434" s="150">
        <v>0</v>
      </c>
      <c r="AD2434" s="150">
        <v>1</v>
      </c>
      <c r="AE2434" s="49">
        <f t="shared" si="101"/>
        <v>0.875</v>
      </c>
      <c r="AF2434" s="4"/>
      <c r="AG2434" s="17">
        <v>0</v>
      </c>
      <c r="AH2434" s="4"/>
      <c r="AI2434" s="4"/>
      <c r="AJ2434" s="4"/>
      <c r="AK2434" s="46"/>
      <c r="AL2434" s="46"/>
      <c r="AM2434" s="147">
        <f t="shared" si="100"/>
        <v>0</v>
      </c>
      <c r="AO2434" s="18"/>
    </row>
    <row r="2435" spans="1:42" customFormat="1" x14ac:dyDescent="0.3">
      <c r="A2435" s="148" t="s">
        <v>8319</v>
      </c>
      <c r="B2435" t="s">
        <v>8320</v>
      </c>
      <c r="C2435" s="148" t="s">
        <v>9410</v>
      </c>
      <c r="D2435" t="s">
        <v>9411</v>
      </c>
      <c r="E2435" s="148" t="s">
        <v>9412</v>
      </c>
      <c r="F2435" t="s">
        <v>9413</v>
      </c>
      <c r="G2435" s="148" t="s">
        <v>9448</v>
      </c>
      <c r="H2435" t="s">
        <v>9449</v>
      </c>
      <c r="I2435" s="148" t="s">
        <v>9450</v>
      </c>
      <c r="J2435" t="s">
        <v>9451</v>
      </c>
      <c r="K2435" s="148" t="s">
        <v>9452</v>
      </c>
      <c r="L2435" t="s">
        <v>9453</v>
      </c>
      <c r="M2435" s="1" t="s">
        <v>9739</v>
      </c>
      <c r="N2435" s="1">
        <v>0</v>
      </c>
      <c r="O2435" s="1">
        <v>2</v>
      </c>
      <c r="P2435" s="3">
        <v>2</v>
      </c>
      <c r="Q2435" s="3">
        <v>2</v>
      </c>
      <c r="R2435" s="3">
        <v>2</v>
      </c>
      <c r="S2435" s="3">
        <v>2</v>
      </c>
      <c r="T2435" t="s">
        <v>3643</v>
      </c>
      <c r="U2435" t="s">
        <v>3630</v>
      </c>
      <c r="V2435" t="s">
        <v>9740</v>
      </c>
      <c r="W2435" s="45">
        <v>1</v>
      </c>
      <c r="X2435" s="45">
        <v>1</v>
      </c>
      <c r="Y2435" s="45">
        <v>1</v>
      </c>
      <c r="Z2435" s="45">
        <v>1</v>
      </c>
      <c r="AA2435" s="45">
        <v>1</v>
      </c>
      <c r="AB2435" s="45">
        <v>1</v>
      </c>
      <c r="AC2435" s="150">
        <v>0</v>
      </c>
      <c r="AD2435" s="150">
        <v>1</v>
      </c>
      <c r="AE2435" s="49">
        <f t="shared" si="101"/>
        <v>0.875</v>
      </c>
      <c r="AF2435" s="17"/>
      <c r="AG2435" s="17">
        <v>0</v>
      </c>
      <c r="AH2435" s="17">
        <v>0</v>
      </c>
      <c r="AI2435" s="17">
        <v>0</v>
      </c>
      <c r="AJ2435" s="17">
        <v>0</v>
      </c>
      <c r="AK2435" s="153">
        <v>0</v>
      </c>
      <c r="AL2435" s="154">
        <v>0</v>
      </c>
      <c r="AM2435" s="147">
        <f t="shared" si="100"/>
        <v>0</v>
      </c>
      <c r="AN2435" t="s">
        <v>3643</v>
      </c>
      <c r="AO2435" s="18" t="s">
        <v>3630</v>
      </c>
    </row>
    <row r="2436" spans="1:42" customFormat="1" x14ac:dyDescent="0.3">
      <c r="A2436" s="148" t="s">
        <v>8319</v>
      </c>
      <c r="B2436" t="s">
        <v>8320</v>
      </c>
      <c r="C2436" s="148" t="s">
        <v>9410</v>
      </c>
      <c r="D2436" t="s">
        <v>9411</v>
      </c>
      <c r="E2436" s="148" t="s">
        <v>9412</v>
      </c>
      <c r="F2436" t="s">
        <v>9413</v>
      </c>
      <c r="G2436" s="148" t="s">
        <v>9448</v>
      </c>
      <c r="H2436" t="s">
        <v>9449</v>
      </c>
      <c r="I2436" s="148" t="s">
        <v>9450</v>
      </c>
      <c r="J2436" t="s">
        <v>9451</v>
      </c>
      <c r="K2436" s="148" t="s">
        <v>9741</v>
      </c>
      <c r="L2436" t="s">
        <v>9742</v>
      </c>
      <c r="M2436" s="1" t="s">
        <v>9743</v>
      </c>
      <c r="N2436" s="1" t="s">
        <v>9744</v>
      </c>
      <c r="O2436" s="1">
        <v>14</v>
      </c>
      <c r="P2436" s="3">
        <v>14</v>
      </c>
      <c r="Q2436" s="3">
        <v>14</v>
      </c>
      <c r="R2436" s="3">
        <v>14</v>
      </c>
      <c r="S2436" s="3">
        <v>14</v>
      </c>
      <c r="T2436" t="s">
        <v>3643</v>
      </c>
      <c r="U2436" t="s">
        <v>3630</v>
      </c>
      <c r="V2436" t="s">
        <v>9745</v>
      </c>
      <c r="W2436" s="45">
        <v>1</v>
      </c>
      <c r="X2436" s="45">
        <v>1</v>
      </c>
      <c r="Y2436" s="45">
        <v>1</v>
      </c>
      <c r="Z2436" s="45">
        <v>1</v>
      </c>
      <c r="AA2436" s="45">
        <v>1</v>
      </c>
      <c r="AB2436" s="45">
        <v>1</v>
      </c>
      <c r="AC2436" s="150">
        <v>0</v>
      </c>
      <c r="AD2436" s="150">
        <v>1</v>
      </c>
      <c r="AE2436" s="49">
        <f t="shared" si="101"/>
        <v>0.875</v>
      </c>
      <c r="AF2436" s="44"/>
      <c r="AG2436" s="17">
        <v>0</v>
      </c>
      <c r="AH2436" s="44">
        <v>7</v>
      </c>
      <c r="AI2436" s="44">
        <v>7</v>
      </c>
      <c r="AJ2436" s="44">
        <v>7</v>
      </c>
      <c r="AK2436" s="151">
        <v>7</v>
      </c>
      <c r="AL2436" s="151">
        <v>7</v>
      </c>
      <c r="AM2436" s="147">
        <f t="shared" si="100"/>
        <v>14</v>
      </c>
      <c r="AN2436" t="s">
        <v>3643</v>
      </c>
      <c r="AO2436" s="18" t="s">
        <v>3630</v>
      </c>
      <c r="AP2436" t="s">
        <v>9746</v>
      </c>
    </row>
    <row r="2437" spans="1:42" customFormat="1" x14ac:dyDescent="0.3">
      <c r="A2437" s="148" t="s">
        <v>8319</v>
      </c>
      <c r="B2437" t="s">
        <v>8320</v>
      </c>
      <c r="C2437" s="148" t="s">
        <v>9410</v>
      </c>
      <c r="D2437" t="s">
        <v>9411</v>
      </c>
      <c r="E2437" s="148" t="s">
        <v>9412</v>
      </c>
      <c r="F2437" t="s">
        <v>9413</v>
      </c>
      <c r="G2437" s="148" t="s">
        <v>9448</v>
      </c>
      <c r="H2437" t="s">
        <v>9449</v>
      </c>
      <c r="I2437" s="148" t="s">
        <v>9747</v>
      </c>
      <c r="J2437" t="s">
        <v>9748</v>
      </c>
      <c r="K2437" s="148" t="s">
        <v>9749</v>
      </c>
      <c r="L2437" t="s">
        <v>9750</v>
      </c>
      <c r="M2437" s="1" t="s">
        <v>9751</v>
      </c>
      <c r="N2437" s="1"/>
      <c r="O2437" s="1">
        <v>15</v>
      </c>
      <c r="P2437" s="3">
        <v>15</v>
      </c>
      <c r="Q2437" s="3">
        <v>15</v>
      </c>
      <c r="R2437" s="3">
        <v>15</v>
      </c>
      <c r="S2437" s="3">
        <v>15</v>
      </c>
      <c r="T2437" t="s">
        <v>9752</v>
      </c>
      <c r="U2437" t="e">
        <v>#N/A</v>
      </c>
      <c r="V2437" t="s">
        <v>9753</v>
      </c>
      <c r="W2437" s="45">
        <v>1</v>
      </c>
      <c r="X2437" s="45">
        <v>1</v>
      </c>
      <c r="Y2437" s="45">
        <v>1</v>
      </c>
      <c r="Z2437" s="45">
        <v>1</v>
      </c>
      <c r="AA2437" s="45">
        <v>1</v>
      </c>
      <c r="AB2437" s="45">
        <v>1</v>
      </c>
      <c r="AC2437" s="150">
        <v>0</v>
      </c>
      <c r="AD2437" s="150">
        <v>1</v>
      </c>
      <c r="AE2437" s="49">
        <f t="shared" si="101"/>
        <v>0.875</v>
      </c>
      <c r="AF2437" s="44"/>
      <c r="AG2437" s="17">
        <v>0</v>
      </c>
      <c r="AH2437" s="44">
        <v>3</v>
      </c>
      <c r="AI2437" s="44">
        <v>6</v>
      </c>
      <c r="AJ2437" s="44">
        <v>6</v>
      </c>
      <c r="AK2437" s="151">
        <v>7</v>
      </c>
      <c r="AL2437" s="151">
        <v>7</v>
      </c>
      <c r="AM2437" s="147">
        <f t="shared" si="100"/>
        <v>14</v>
      </c>
      <c r="AN2437" t="s">
        <v>3643</v>
      </c>
      <c r="AO2437" s="18" t="s">
        <v>3630</v>
      </c>
      <c r="AP2437" t="s">
        <v>9746</v>
      </c>
    </row>
    <row r="2438" spans="1:42" customFormat="1" x14ac:dyDescent="0.3">
      <c r="A2438" s="148" t="s">
        <v>8319</v>
      </c>
      <c r="B2438" t="s">
        <v>8320</v>
      </c>
      <c r="C2438" s="148" t="s">
        <v>9410</v>
      </c>
      <c r="D2438" t="s">
        <v>9411</v>
      </c>
      <c r="E2438" s="148" t="s">
        <v>9412</v>
      </c>
      <c r="F2438" t="s">
        <v>9413</v>
      </c>
      <c r="G2438" s="148" t="s">
        <v>9448</v>
      </c>
      <c r="H2438" t="s">
        <v>9449</v>
      </c>
      <c r="I2438" s="148" t="s">
        <v>9747</v>
      </c>
      <c r="J2438" t="s">
        <v>9748</v>
      </c>
      <c r="K2438" s="148" t="s">
        <v>9749</v>
      </c>
      <c r="L2438" t="s">
        <v>9750</v>
      </c>
      <c r="M2438" s="1" t="s">
        <v>9754</v>
      </c>
      <c r="N2438" s="1"/>
      <c r="O2438" s="1">
        <v>0</v>
      </c>
      <c r="P2438" s="3">
        <v>1</v>
      </c>
      <c r="Q2438" s="3">
        <v>0</v>
      </c>
      <c r="R2438" s="3">
        <v>0</v>
      </c>
      <c r="S2438" s="3">
        <v>0</v>
      </c>
      <c r="T2438" t="s">
        <v>9755</v>
      </c>
      <c r="U2438" t="e">
        <v>#N/A</v>
      </c>
      <c r="V2438" t="s">
        <v>9756</v>
      </c>
      <c r="W2438" s="45">
        <v>1</v>
      </c>
      <c r="X2438" s="45">
        <v>1</v>
      </c>
      <c r="Y2438" s="45">
        <v>1</v>
      </c>
      <c r="Z2438" s="45">
        <v>1</v>
      </c>
      <c r="AA2438" s="45">
        <v>1</v>
      </c>
      <c r="AB2438" s="45">
        <v>1</v>
      </c>
      <c r="AC2438" s="150">
        <v>0</v>
      </c>
      <c r="AD2438" s="150">
        <v>1</v>
      </c>
      <c r="AE2438" s="49">
        <f t="shared" si="101"/>
        <v>0.875</v>
      </c>
      <c r="AF2438" s="44"/>
      <c r="AG2438" s="17">
        <v>0</v>
      </c>
      <c r="AH2438" s="44">
        <v>0</v>
      </c>
      <c r="AI2438" s="44">
        <v>0.05</v>
      </c>
      <c r="AJ2438" s="44">
        <v>0</v>
      </c>
      <c r="AK2438" s="151">
        <v>0</v>
      </c>
      <c r="AL2438" s="151">
        <v>0</v>
      </c>
      <c r="AM2438" s="147">
        <f t="shared" si="100"/>
        <v>0</v>
      </c>
      <c r="AN2438" t="s">
        <v>3643</v>
      </c>
      <c r="AO2438" s="18" t="s">
        <v>3630</v>
      </c>
      <c r="AP2438" t="s">
        <v>9757</v>
      </c>
    </row>
    <row r="2439" spans="1:42" customFormat="1" x14ac:dyDescent="0.3">
      <c r="A2439" s="148" t="s">
        <v>8319</v>
      </c>
      <c r="B2439" t="s">
        <v>8320</v>
      </c>
      <c r="C2439" s="148" t="s">
        <v>9410</v>
      </c>
      <c r="D2439" t="s">
        <v>9411</v>
      </c>
      <c r="E2439" s="148" t="s">
        <v>9412</v>
      </c>
      <c r="F2439" t="s">
        <v>9413</v>
      </c>
      <c r="G2439" s="148" t="s">
        <v>9448</v>
      </c>
      <c r="H2439" t="s">
        <v>9449</v>
      </c>
      <c r="I2439" s="148" t="s">
        <v>9747</v>
      </c>
      <c r="J2439" t="s">
        <v>9748</v>
      </c>
      <c r="K2439" s="148" t="s">
        <v>9749</v>
      </c>
      <c r="L2439" t="s">
        <v>9750</v>
      </c>
      <c r="M2439" s="1" t="s">
        <v>9758</v>
      </c>
      <c r="N2439" s="1"/>
      <c r="O2439" s="1">
        <v>100</v>
      </c>
      <c r="P2439" s="3">
        <v>200</v>
      </c>
      <c r="Q2439" s="3">
        <v>200</v>
      </c>
      <c r="R2439" s="3">
        <v>200</v>
      </c>
      <c r="S2439" s="3">
        <v>200</v>
      </c>
      <c r="T2439" t="s">
        <v>3643</v>
      </c>
      <c r="U2439" t="s">
        <v>3630</v>
      </c>
      <c r="V2439" t="s">
        <v>9759</v>
      </c>
      <c r="W2439" s="45">
        <v>1</v>
      </c>
      <c r="X2439" s="45">
        <v>1</v>
      </c>
      <c r="Y2439" s="45">
        <v>1</v>
      </c>
      <c r="Z2439" s="45">
        <v>1</v>
      </c>
      <c r="AA2439" s="45">
        <v>1</v>
      </c>
      <c r="AB2439" s="45">
        <v>1</v>
      </c>
      <c r="AC2439" s="150">
        <v>0</v>
      </c>
      <c r="AD2439" s="150">
        <v>1</v>
      </c>
      <c r="AE2439" s="49">
        <f t="shared" si="101"/>
        <v>0.875</v>
      </c>
      <c r="AF2439" s="44"/>
      <c r="AG2439" s="17">
        <v>0</v>
      </c>
      <c r="AH2439" s="44">
        <v>0.05</v>
      </c>
      <c r="AI2439" s="44">
        <v>0.05</v>
      </c>
      <c r="AJ2439" s="44">
        <v>0.05</v>
      </c>
      <c r="AK2439" s="151">
        <v>0.05</v>
      </c>
      <c r="AL2439" s="151">
        <v>0.05</v>
      </c>
      <c r="AM2439" s="147">
        <f t="shared" si="100"/>
        <v>0.1</v>
      </c>
      <c r="AN2439" t="s">
        <v>3643</v>
      </c>
      <c r="AO2439" s="18" t="s">
        <v>3630</v>
      </c>
      <c r="AP2439" t="s">
        <v>9757</v>
      </c>
    </row>
    <row r="2440" spans="1:42" customFormat="1" x14ac:dyDescent="0.3">
      <c r="A2440" s="148" t="s">
        <v>8319</v>
      </c>
      <c r="B2440" t="s">
        <v>8320</v>
      </c>
      <c r="C2440" s="148" t="s">
        <v>9410</v>
      </c>
      <c r="D2440" t="s">
        <v>9411</v>
      </c>
      <c r="E2440" s="148" t="s">
        <v>9412</v>
      </c>
      <c r="F2440" t="s">
        <v>9413</v>
      </c>
      <c r="G2440" s="148" t="s">
        <v>9448</v>
      </c>
      <c r="H2440" t="s">
        <v>9449</v>
      </c>
      <c r="I2440" s="148" t="s">
        <v>9747</v>
      </c>
      <c r="J2440" t="s">
        <v>9748</v>
      </c>
      <c r="K2440" s="148" t="s">
        <v>9749</v>
      </c>
      <c r="L2440" t="s">
        <v>9750</v>
      </c>
      <c r="M2440" s="1" t="s">
        <v>9760</v>
      </c>
      <c r="N2440" s="1"/>
      <c r="O2440" s="1">
        <v>1</v>
      </c>
      <c r="P2440" s="3">
        <v>1</v>
      </c>
      <c r="Q2440" s="3">
        <v>1</v>
      </c>
      <c r="R2440" s="3">
        <v>1</v>
      </c>
      <c r="S2440" s="3">
        <v>1</v>
      </c>
      <c r="T2440" t="s">
        <v>9755</v>
      </c>
      <c r="U2440" t="e">
        <v>#N/A</v>
      </c>
      <c r="V2440" t="s">
        <v>9761</v>
      </c>
      <c r="W2440" s="45">
        <v>1</v>
      </c>
      <c r="X2440" s="45">
        <v>1</v>
      </c>
      <c r="Y2440" s="45">
        <v>1</v>
      </c>
      <c r="Z2440" s="45">
        <v>1</v>
      </c>
      <c r="AA2440" s="45">
        <v>1</v>
      </c>
      <c r="AB2440" s="45">
        <v>1</v>
      </c>
      <c r="AC2440" s="150">
        <v>0</v>
      </c>
      <c r="AD2440" s="150">
        <v>1</v>
      </c>
      <c r="AE2440" s="49">
        <f t="shared" si="101"/>
        <v>0.875</v>
      </c>
      <c r="AF2440" s="44"/>
      <c r="AG2440" s="17">
        <v>0</v>
      </c>
      <c r="AH2440" s="44">
        <v>0</v>
      </c>
      <c r="AI2440" s="44">
        <v>0</v>
      </c>
      <c r="AJ2440" s="44">
        <v>0</v>
      </c>
      <c r="AK2440" s="151">
        <v>0</v>
      </c>
      <c r="AL2440" s="151">
        <v>0</v>
      </c>
      <c r="AM2440" s="147">
        <f t="shared" si="100"/>
        <v>0</v>
      </c>
      <c r="AN2440" t="s">
        <v>3643</v>
      </c>
      <c r="AO2440" s="18" t="s">
        <v>3630</v>
      </c>
      <c r="AP2440" t="s">
        <v>9762</v>
      </c>
    </row>
    <row r="2441" spans="1:42" customFormat="1" x14ac:dyDescent="0.3">
      <c r="A2441" s="148" t="s">
        <v>8319</v>
      </c>
      <c r="B2441" t="s">
        <v>8320</v>
      </c>
      <c r="C2441" s="148" t="s">
        <v>9410</v>
      </c>
      <c r="D2441" t="s">
        <v>9411</v>
      </c>
      <c r="E2441" s="148" t="s">
        <v>9412</v>
      </c>
      <c r="F2441" t="s">
        <v>9413</v>
      </c>
      <c r="G2441" s="148" t="s">
        <v>9448</v>
      </c>
      <c r="H2441" t="s">
        <v>9449</v>
      </c>
      <c r="I2441" s="148" t="s">
        <v>9763</v>
      </c>
      <c r="J2441" t="s">
        <v>9764</v>
      </c>
      <c r="K2441" s="148" t="s">
        <v>9765</v>
      </c>
      <c r="L2441" t="s">
        <v>9766</v>
      </c>
      <c r="M2441" s="1" t="s">
        <v>9767</v>
      </c>
      <c r="N2441" s="1"/>
      <c r="O2441" s="1">
        <v>0</v>
      </c>
      <c r="P2441" s="3">
        <v>1</v>
      </c>
      <c r="Q2441" s="3">
        <v>1</v>
      </c>
      <c r="R2441" s="3">
        <v>1</v>
      </c>
      <c r="S2441" s="3">
        <v>1</v>
      </c>
      <c r="T2441" t="s">
        <v>9768</v>
      </c>
      <c r="U2441" t="e">
        <v>#N/A</v>
      </c>
      <c r="V2441" t="s">
        <v>9769</v>
      </c>
      <c r="W2441" s="45">
        <v>1</v>
      </c>
      <c r="X2441" s="45">
        <v>1</v>
      </c>
      <c r="Y2441" s="45">
        <v>1</v>
      </c>
      <c r="Z2441" s="45">
        <v>1</v>
      </c>
      <c r="AA2441" s="45">
        <v>1</v>
      </c>
      <c r="AB2441" s="45">
        <v>1</v>
      </c>
      <c r="AC2441" s="150">
        <v>0</v>
      </c>
      <c r="AD2441" s="150">
        <v>1</v>
      </c>
      <c r="AE2441" s="49">
        <f t="shared" si="101"/>
        <v>0.875</v>
      </c>
      <c r="AF2441" s="44"/>
      <c r="AG2441" s="17">
        <v>0</v>
      </c>
      <c r="AH2441" s="44">
        <v>0.05</v>
      </c>
      <c r="AI2441" s="44">
        <v>0</v>
      </c>
      <c r="AJ2441" s="44">
        <v>0</v>
      </c>
      <c r="AK2441" s="151">
        <v>0</v>
      </c>
      <c r="AL2441" s="151">
        <v>0</v>
      </c>
      <c r="AM2441" s="147">
        <f t="shared" si="100"/>
        <v>0</v>
      </c>
      <c r="AN2441" t="s">
        <v>3643</v>
      </c>
      <c r="AO2441" s="18" t="s">
        <v>3630</v>
      </c>
      <c r="AP2441" t="s">
        <v>9770</v>
      </c>
    </row>
    <row r="2442" spans="1:42" customFormat="1" x14ac:dyDescent="0.3">
      <c r="A2442" s="148" t="s">
        <v>8319</v>
      </c>
      <c r="B2442" t="s">
        <v>8320</v>
      </c>
      <c r="C2442" s="148" t="s">
        <v>9410</v>
      </c>
      <c r="D2442" t="s">
        <v>9411</v>
      </c>
      <c r="E2442" s="148" t="s">
        <v>9412</v>
      </c>
      <c r="F2442" t="s">
        <v>9413</v>
      </c>
      <c r="G2442" s="148" t="s">
        <v>9448</v>
      </c>
      <c r="H2442" t="s">
        <v>9449</v>
      </c>
      <c r="I2442" s="148" t="s">
        <v>9763</v>
      </c>
      <c r="J2442" t="s">
        <v>9764</v>
      </c>
      <c r="K2442" s="148" t="s">
        <v>9765</v>
      </c>
      <c r="L2442" t="s">
        <v>9766</v>
      </c>
      <c r="M2442" s="1" t="s">
        <v>9771</v>
      </c>
      <c r="N2442" s="1"/>
      <c r="O2442" s="1">
        <v>50</v>
      </c>
      <c r="P2442" s="3">
        <v>150</v>
      </c>
      <c r="Q2442" s="3">
        <v>200</v>
      </c>
      <c r="R2442" s="3">
        <v>200</v>
      </c>
      <c r="S2442" s="3">
        <v>200</v>
      </c>
      <c r="T2442" t="s">
        <v>9772</v>
      </c>
      <c r="U2442" t="e">
        <v>#N/A</v>
      </c>
      <c r="V2442" t="s">
        <v>9773</v>
      </c>
      <c r="W2442" s="45">
        <v>1</v>
      </c>
      <c r="X2442" s="45">
        <v>1</v>
      </c>
      <c r="Y2442" s="45">
        <v>1</v>
      </c>
      <c r="Z2442" s="45">
        <v>1</v>
      </c>
      <c r="AA2442" s="45">
        <v>1</v>
      </c>
      <c r="AB2442" s="45">
        <v>1</v>
      </c>
      <c r="AC2442" s="150">
        <v>0</v>
      </c>
      <c r="AD2442" s="150">
        <v>1</v>
      </c>
      <c r="AE2442" s="49">
        <f t="shared" si="101"/>
        <v>0.875</v>
      </c>
      <c r="AF2442" s="44"/>
      <c r="AG2442" s="17">
        <v>0</v>
      </c>
      <c r="AH2442" s="44">
        <v>0.03</v>
      </c>
      <c r="AI2442" s="44">
        <v>0.09</v>
      </c>
      <c r="AJ2442" s="44">
        <v>0.12</v>
      </c>
      <c r="AK2442" s="151">
        <v>0.12</v>
      </c>
      <c r="AL2442" s="151">
        <v>0.12</v>
      </c>
      <c r="AM2442" s="147">
        <f t="shared" si="100"/>
        <v>0.24</v>
      </c>
      <c r="AN2442" t="s">
        <v>3643</v>
      </c>
      <c r="AO2442" s="18" t="s">
        <v>3630</v>
      </c>
      <c r="AP2442" t="s">
        <v>9774</v>
      </c>
    </row>
    <row r="2443" spans="1:42" customFormat="1" x14ac:dyDescent="0.3">
      <c r="A2443" s="148" t="s">
        <v>8319</v>
      </c>
      <c r="B2443" t="s">
        <v>8320</v>
      </c>
      <c r="C2443" s="148" t="s">
        <v>9410</v>
      </c>
      <c r="D2443" t="s">
        <v>9411</v>
      </c>
      <c r="E2443" s="148" t="s">
        <v>9412</v>
      </c>
      <c r="F2443" t="s">
        <v>9413</v>
      </c>
      <c r="G2443" s="148" t="s">
        <v>9448</v>
      </c>
      <c r="H2443" t="s">
        <v>9449</v>
      </c>
      <c r="I2443" s="148" t="s">
        <v>9763</v>
      </c>
      <c r="J2443" t="s">
        <v>9764</v>
      </c>
      <c r="K2443" s="148" t="s">
        <v>9765</v>
      </c>
      <c r="L2443" t="s">
        <v>9766</v>
      </c>
      <c r="M2443" s="1" t="s">
        <v>9775</v>
      </c>
      <c r="N2443" s="1"/>
      <c r="O2443" s="1">
        <v>30</v>
      </c>
      <c r="P2443" s="3">
        <v>50</v>
      </c>
      <c r="Q2443" s="3">
        <v>70</v>
      </c>
      <c r="R2443" s="3">
        <v>70</v>
      </c>
      <c r="S2443" s="3">
        <v>80</v>
      </c>
      <c r="T2443" t="s">
        <v>9776</v>
      </c>
      <c r="U2443" t="e">
        <v>#N/A</v>
      </c>
      <c r="V2443" t="s">
        <v>9777</v>
      </c>
      <c r="W2443" s="45">
        <v>1</v>
      </c>
      <c r="X2443" s="45">
        <v>1</v>
      </c>
      <c r="Y2443" s="45">
        <v>1</v>
      </c>
      <c r="Z2443" s="45">
        <v>1</v>
      </c>
      <c r="AA2443" s="45">
        <v>1</v>
      </c>
      <c r="AB2443" s="45">
        <v>1</v>
      </c>
      <c r="AC2443" s="150">
        <v>0</v>
      </c>
      <c r="AD2443" s="150">
        <v>1</v>
      </c>
      <c r="AE2443" s="49">
        <f t="shared" si="101"/>
        <v>0.875</v>
      </c>
      <c r="AF2443" s="44"/>
      <c r="AG2443" s="17">
        <v>0</v>
      </c>
      <c r="AH2443" s="44">
        <v>3</v>
      </c>
      <c r="AI2443" s="44">
        <v>3</v>
      </c>
      <c r="AJ2443" s="44">
        <v>3</v>
      </c>
      <c r="AK2443" s="151">
        <v>3</v>
      </c>
      <c r="AL2443" s="151">
        <v>3</v>
      </c>
      <c r="AM2443" s="147">
        <f t="shared" si="100"/>
        <v>6</v>
      </c>
      <c r="AN2443" t="s">
        <v>3643</v>
      </c>
      <c r="AO2443" s="18" t="s">
        <v>3630</v>
      </c>
      <c r="AP2443" t="s">
        <v>9778</v>
      </c>
    </row>
    <row r="2444" spans="1:42" customFormat="1" x14ac:dyDescent="0.3">
      <c r="A2444" s="148" t="s">
        <v>8319</v>
      </c>
      <c r="B2444" t="s">
        <v>8320</v>
      </c>
      <c r="C2444" s="148" t="s">
        <v>9410</v>
      </c>
      <c r="D2444" t="s">
        <v>9411</v>
      </c>
      <c r="E2444" s="148" t="s">
        <v>9412</v>
      </c>
      <c r="F2444" t="s">
        <v>9413</v>
      </c>
      <c r="G2444" s="148" t="s">
        <v>9448</v>
      </c>
      <c r="H2444" t="s">
        <v>9449</v>
      </c>
      <c r="I2444" s="148" t="s">
        <v>9763</v>
      </c>
      <c r="J2444" t="s">
        <v>9764</v>
      </c>
      <c r="K2444" s="148" t="s">
        <v>9779</v>
      </c>
      <c r="L2444" t="s">
        <v>9780</v>
      </c>
      <c r="M2444" s="1" t="s">
        <v>9781</v>
      </c>
      <c r="N2444" s="1"/>
      <c r="O2444" s="1">
        <v>1</v>
      </c>
      <c r="P2444" s="3">
        <v>1</v>
      </c>
      <c r="Q2444" s="3">
        <v>1</v>
      </c>
      <c r="R2444" s="3">
        <v>1</v>
      </c>
      <c r="S2444" s="3">
        <v>1</v>
      </c>
      <c r="T2444" t="s">
        <v>9782</v>
      </c>
      <c r="U2444" t="e">
        <v>#N/A</v>
      </c>
      <c r="V2444" t="s">
        <v>9783</v>
      </c>
      <c r="W2444" s="45">
        <v>1</v>
      </c>
      <c r="X2444" s="45">
        <v>1</v>
      </c>
      <c r="Y2444" s="45">
        <v>1</v>
      </c>
      <c r="Z2444" s="45">
        <v>1</v>
      </c>
      <c r="AA2444" s="45">
        <v>1</v>
      </c>
      <c r="AB2444" s="45">
        <v>1</v>
      </c>
      <c r="AC2444" s="150">
        <v>0</v>
      </c>
      <c r="AD2444" s="150">
        <v>1</v>
      </c>
      <c r="AE2444" s="49">
        <f t="shared" si="101"/>
        <v>0.875</v>
      </c>
      <c r="AF2444" s="44"/>
      <c r="AG2444" s="17">
        <v>0</v>
      </c>
      <c r="AH2444" s="44">
        <v>11.7</v>
      </c>
      <c r="AI2444" s="44">
        <v>11.7</v>
      </c>
      <c r="AJ2444" s="44">
        <v>12</v>
      </c>
      <c r="AK2444" s="151">
        <v>12</v>
      </c>
      <c r="AL2444" s="151">
        <v>12.5</v>
      </c>
      <c r="AM2444" s="147">
        <f t="shared" si="100"/>
        <v>24.5</v>
      </c>
      <c r="AN2444" s="44" t="s">
        <v>9784</v>
      </c>
      <c r="AO2444" s="18" t="s">
        <v>9785</v>
      </c>
      <c r="AP2444" t="s">
        <v>9786</v>
      </c>
    </row>
    <row r="2445" spans="1:42" customFormat="1" x14ac:dyDescent="0.3">
      <c r="A2445" s="148" t="s">
        <v>8319</v>
      </c>
      <c r="B2445" t="s">
        <v>8320</v>
      </c>
      <c r="C2445" s="148" t="s">
        <v>9410</v>
      </c>
      <c r="D2445" t="s">
        <v>9411</v>
      </c>
      <c r="E2445" s="148" t="s">
        <v>9412</v>
      </c>
      <c r="F2445" t="s">
        <v>9413</v>
      </c>
      <c r="G2445" s="148" t="s">
        <v>9448</v>
      </c>
      <c r="H2445" t="s">
        <v>9449</v>
      </c>
      <c r="I2445" s="148" t="s">
        <v>9763</v>
      </c>
      <c r="J2445" t="s">
        <v>9764</v>
      </c>
      <c r="K2445" s="148" t="s">
        <v>9779</v>
      </c>
      <c r="L2445" t="s">
        <v>9780</v>
      </c>
      <c r="M2445" s="1" t="s">
        <v>9787</v>
      </c>
      <c r="N2445" s="1"/>
      <c r="O2445" s="1">
        <v>0</v>
      </c>
      <c r="P2445" s="3">
        <v>1</v>
      </c>
      <c r="Q2445" s="3">
        <v>1</v>
      </c>
      <c r="R2445" s="3">
        <v>1</v>
      </c>
      <c r="S2445" s="3">
        <v>0</v>
      </c>
      <c r="T2445" t="s">
        <v>9788</v>
      </c>
      <c r="U2445" t="e">
        <v>#N/A</v>
      </c>
      <c r="V2445" t="s">
        <v>9789</v>
      </c>
      <c r="W2445" s="45">
        <v>1</v>
      </c>
      <c r="X2445" s="45">
        <v>1</v>
      </c>
      <c r="Y2445" s="45">
        <v>1</v>
      </c>
      <c r="Z2445" s="45">
        <v>1</v>
      </c>
      <c r="AA2445" s="45">
        <v>1</v>
      </c>
      <c r="AB2445" s="45">
        <v>1</v>
      </c>
      <c r="AC2445" s="150">
        <v>0</v>
      </c>
      <c r="AD2445" s="150">
        <v>1</v>
      </c>
      <c r="AE2445" s="49">
        <f t="shared" si="101"/>
        <v>0.875</v>
      </c>
      <c r="AF2445" s="44"/>
      <c r="AG2445" s="17">
        <v>0</v>
      </c>
      <c r="AH2445" s="44">
        <v>0</v>
      </c>
      <c r="AI2445" s="44">
        <v>5</v>
      </c>
      <c r="AJ2445" s="44">
        <v>5</v>
      </c>
      <c r="AK2445" s="151">
        <v>5</v>
      </c>
      <c r="AL2445" s="151">
        <v>5</v>
      </c>
      <c r="AM2445" s="147">
        <f t="shared" si="100"/>
        <v>10</v>
      </c>
      <c r="AN2445" t="s">
        <v>3643</v>
      </c>
      <c r="AO2445" s="18" t="s">
        <v>3630</v>
      </c>
      <c r="AP2445" t="s">
        <v>9790</v>
      </c>
    </row>
    <row r="2446" spans="1:42" customFormat="1" x14ac:dyDescent="0.3">
      <c r="A2446" s="148" t="s">
        <v>8319</v>
      </c>
      <c r="B2446" t="s">
        <v>8320</v>
      </c>
      <c r="C2446" s="148" t="s">
        <v>9410</v>
      </c>
      <c r="D2446" t="s">
        <v>9411</v>
      </c>
      <c r="E2446" s="148" t="s">
        <v>9412</v>
      </c>
      <c r="F2446" t="s">
        <v>9413</v>
      </c>
      <c r="G2446" s="148" t="s">
        <v>9448</v>
      </c>
      <c r="H2446" t="s">
        <v>9449</v>
      </c>
      <c r="I2446" s="148" t="s">
        <v>9763</v>
      </c>
      <c r="J2446" t="s">
        <v>9764</v>
      </c>
      <c r="K2446" s="148" t="s">
        <v>9791</v>
      </c>
      <c r="L2446" t="s">
        <v>9792</v>
      </c>
      <c r="M2446" s="1" t="s">
        <v>9793</v>
      </c>
      <c r="N2446" s="1"/>
      <c r="O2446" s="1">
        <v>1</v>
      </c>
      <c r="P2446" s="3">
        <v>1</v>
      </c>
      <c r="Q2446" s="3">
        <v>1</v>
      </c>
      <c r="R2446" s="3">
        <v>1</v>
      </c>
      <c r="S2446" s="3">
        <v>1</v>
      </c>
      <c r="T2446" t="s">
        <v>9794</v>
      </c>
      <c r="U2446" t="e">
        <v>#N/A</v>
      </c>
      <c r="V2446" t="s">
        <v>9795</v>
      </c>
      <c r="W2446" s="45">
        <v>1</v>
      </c>
      <c r="X2446" s="45">
        <v>1</v>
      </c>
      <c r="Y2446" s="45">
        <v>1</v>
      </c>
      <c r="Z2446" s="45">
        <v>1</v>
      </c>
      <c r="AA2446" s="45">
        <v>1</v>
      </c>
      <c r="AB2446" s="45">
        <v>1</v>
      </c>
      <c r="AC2446" s="150">
        <v>0</v>
      </c>
      <c r="AD2446" s="150">
        <v>1</v>
      </c>
      <c r="AE2446" s="49">
        <f t="shared" si="101"/>
        <v>0.875</v>
      </c>
      <c r="AF2446" s="44"/>
      <c r="AG2446" s="17">
        <v>0</v>
      </c>
      <c r="AH2446" s="44">
        <v>30</v>
      </c>
      <c r="AI2446" s="44">
        <v>30</v>
      </c>
      <c r="AJ2446" s="44">
        <v>30</v>
      </c>
      <c r="AK2446" s="151">
        <v>30</v>
      </c>
      <c r="AL2446" s="151">
        <v>30</v>
      </c>
      <c r="AM2446" s="147">
        <f t="shared" si="100"/>
        <v>60</v>
      </c>
      <c r="AN2446" t="s">
        <v>3629</v>
      </c>
      <c r="AO2446" s="18" t="s">
        <v>3630</v>
      </c>
      <c r="AP2446" t="s">
        <v>3643</v>
      </c>
    </row>
    <row r="2447" spans="1:42" customFormat="1" x14ac:dyDescent="0.3">
      <c r="A2447" s="148" t="s">
        <v>8319</v>
      </c>
      <c r="B2447" t="s">
        <v>8320</v>
      </c>
      <c r="C2447" s="148" t="s">
        <v>9410</v>
      </c>
      <c r="D2447" t="s">
        <v>9411</v>
      </c>
      <c r="E2447" s="148" t="s">
        <v>9412</v>
      </c>
      <c r="F2447" t="s">
        <v>9413</v>
      </c>
      <c r="G2447" s="148" t="s">
        <v>9448</v>
      </c>
      <c r="H2447" t="s">
        <v>9449</v>
      </c>
      <c r="I2447" s="148" t="s">
        <v>9796</v>
      </c>
      <c r="J2447" t="s">
        <v>9797</v>
      </c>
      <c r="K2447" s="148" t="s">
        <v>9798</v>
      </c>
      <c r="L2447" t="s">
        <v>9799</v>
      </c>
      <c r="M2447" s="1" t="s">
        <v>9800</v>
      </c>
      <c r="N2447" s="1"/>
      <c r="O2447" s="1">
        <v>500</v>
      </c>
      <c r="P2447" s="3">
        <v>500</v>
      </c>
      <c r="Q2447" s="3">
        <v>500</v>
      </c>
      <c r="R2447" s="3">
        <v>500</v>
      </c>
      <c r="S2447" s="3">
        <v>500</v>
      </c>
      <c r="T2447" t="s">
        <v>3643</v>
      </c>
      <c r="U2447" t="s">
        <v>3630</v>
      </c>
      <c r="V2447" t="s">
        <v>9801</v>
      </c>
      <c r="W2447" s="45">
        <v>1</v>
      </c>
      <c r="X2447" s="45">
        <v>1</v>
      </c>
      <c r="Y2447" s="45">
        <v>0</v>
      </c>
      <c r="Z2447" s="45">
        <v>1</v>
      </c>
      <c r="AA2447" s="45">
        <v>1</v>
      </c>
      <c r="AB2447" s="45">
        <v>1</v>
      </c>
      <c r="AC2447" s="150">
        <v>1</v>
      </c>
      <c r="AD2447" s="150">
        <v>1</v>
      </c>
      <c r="AE2447" s="49">
        <f t="shared" si="101"/>
        <v>0.875</v>
      </c>
      <c r="AF2447" s="44"/>
      <c r="AG2447" s="17">
        <v>0</v>
      </c>
      <c r="AH2447" s="44">
        <v>2</v>
      </c>
      <c r="AI2447" s="44">
        <v>2</v>
      </c>
      <c r="AJ2447" s="44">
        <v>2</v>
      </c>
      <c r="AK2447" s="151">
        <v>2</v>
      </c>
      <c r="AL2447" s="151">
        <v>2</v>
      </c>
      <c r="AM2447" s="147">
        <f t="shared" si="100"/>
        <v>4</v>
      </c>
      <c r="AN2447" t="s">
        <v>3643</v>
      </c>
      <c r="AO2447" s="18" t="s">
        <v>3630</v>
      </c>
      <c r="AP2447" t="s">
        <v>9802</v>
      </c>
    </row>
    <row r="2448" spans="1:42" customFormat="1" x14ac:dyDescent="0.3">
      <c r="A2448" s="148" t="s">
        <v>8319</v>
      </c>
      <c r="B2448" t="s">
        <v>8320</v>
      </c>
      <c r="C2448" s="148" t="s">
        <v>9410</v>
      </c>
      <c r="D2448" t="s">
        <v>9411</v>
      </c>
      <c r="E2448" s="148" t="s">
        <v>9412</v>
      </c>
      <c r="F2448" t="s">
        <v>9413</v>
      </c>
      <c r="G2448" s="148" t="s">
        <v>9448</v>
      </c>
      <c r="H2448" t="s">
        <v>9449</v>
      </c>
      <c r="I2448" s="148" t="s">
        <v>9457</v>
      </c>
      <c r="J2448" t="s">
        <v>9458</v>
      </c>
      <c r="K2448" s="148" t="s">
        <v>9803</v>
      </c>
      <c r="L2448" t="s">
        <v>9804</v>
      </c>
      <c r="M2448" s="1" t="s">
        <v>9805</v>
      </c>
      <c r="N2448" s="1"/>
      <c r="O2448" s="1">
        <v>50</v>
      </c>
      <c r="P2448" s="3">
        <v>60</v>
      </c>
      <c r="Q2448" s="3">
        <v>70</v>
      </c>
      <c r="R2448" s="3">
        <v>75</v>
      </c>
      <c r="S2448" s="3">
        <v>80</v>
      </c>
      <c r="T2448" t="s">
        <v>3643</v>
      </c>
      <c r="U2448" t="s">
        <v>3630</v>
      </c>
      <c r="V2448" t="s">
        <v>9806</v>
      </c>
      <c r="W2448" s="45">
        <v>1</v>
      </c>
      <c r="X2448" s="45">
        <v>1</v>
      </c>
      <c r="Y2448" s="45">
        <v>1</v>
      </c>
      <c r="Z2448" s="45">
        <v>1</v>
      </c>
      <c r="AA2448" s="45">
        <v>1</v>
      </c>
      <c r="AB2448" s="45">
        <v>1</v>
      </c>
      <c r="AC2448" s="150">
        <v>0</v>
      </c>
      <c r="AD2448" s="150">
        <v>1</v>
      </c>
      <c r="AE2448" s="49">
        <f t="shared" si="101"/>
        <v>0.875</v>
      </c>
      <c r="AF2448" s="44"/>
      <c r="AG2448" s="17">
        <v>0</v>
      </c>
      <c r="AH2448" s="44">
        <v>0.5</v>
      </c>
      <c r="AI2448" s="44">
        <v>0.6</v>
      </c>
      <c r="AJ2448" s="44">
        <v>0.7</v>
      </c>
      <c r="AK2448" s="151">
        <v>0.75</v>
      </c>
      <c r="AL2448" s="151">
        <v>0.8</v>
      </c>
      <c r="AM2448" s="147">
        <f t="shared" si="100"/>
        <v>1.55</v>
      </c>
      <c r="AN2448" t="s">
        <v>3643</v>
      </c>
      <c r="AO2448" s="18" t="s">
        <v>3630</v>
      </c>
      <c r="AP2448" t="s">
        <v>9807</v>
      </c>
    </row>
    <row r="2449" spans="1:42" customFormat="1" x14ac:dyDescent="0.3">
      <c r="A2449" s="148" t="s">
        <v>8319</v>
      </c>
      <c r="B2449" t="s">
        <v>8320</v>
      </c>
      <c r="C2449" s="148" t="s">
        <v>9410</v>
      </c>
      <c r="D2449" t="s">
        <v>9411</v>
      </c>
      <c r="E2449" s="148" t="s">
        <v>9412</v>
      </c>
      <c r="F2449" t="s">
        <v>9413</v>
      </c>
      <c r="G2449" s="148" t="s">
        <v>9448</v>
      </c>
      <c r="H2449" t="s">
        <v>9449</v>
      </c>
      <c r="I2449" s="148" t="s">
        <v>9457</v>
      </c>
      <c r="J2449" t="s">
        <v>9458</v>
      </c>
      <c r="K2449" s="148" t="s">
        <v>9808</v>
      </c>
      <c r="L2449" t="s">
        <v>9809</v>
      </c>
      <c r="M2449" s="1" t="s">
        <v>9810</v>
      </c>
      <c r="N2449" s="1"/>
      <c r="O2449" s="1">
        <v>20</v>
      </c>
      <c r="P2449" s="3">
        <v>35</v>
      </c>
      <c r="Q2449" s="3">
        <v>50</v>
      </c>
      <c r="R2449" s="3">
        <v>75</v>
      </c>
      <c r="S2449" s="3">
        <v>80</v>
      </c>
      <c r="T2449" t="s">
        <v>9811</v>
      </c>
      <c r="U2449" t="e">
        <v>#N/A</v>
      </c>
      <c r="V2449" t="s">
        <v>9812</v>
      </c>
      <c r="W2449" s="45">
        <v>1</v>
      </c>
      <c r="X2449" s="45">
        <v>1</v>
      </c>
      <c r="Y2449" s="45">
        <v>1</v>
      </c>
      <c r="Z2449" s="45">
        <v>1</v>
      </c>
      <c r="AA2449" s="45">
        <v>1</v>
      </c>
      <c r="AB2449" s="45">
        <v>1</v>
      </c>
      <c r="AC2449" s="150">
        <v>0</v>
      </c>
      <c r="AD2449" s="150">
        <v>1</v>
      </c>
      <c r="AE2449" s="49">
        <f t="shared" si="101"/>
        <v>0.875</v>
      </c>
      <c r="AF2449" s="44"/>
      <c r="AG2449" s="17">
        <v>0</v>
      </c>
      <c r="AH2449" s="44">
        <v>0.3</v>
      </c>
      <c r="AI2449" s="44">
        <v>0.5</v>
      </c>
      <c r="AJ2449" s="44">
        <v>0.73</v>
      </c>
      <c r="AK2449" s="151">
        <v>0.75</v>
      </c>
      <c r="AL2449" s="151">
        <v>0.75</v>
      </c>
      <c r="AM2449" s="147">
        <f t="shared" si="100"/>
        <v>1.5</v>
      </c>
      <c r="AN2449" t="s">
        <v>3643</v>
      </c>
      <c r="AO2449" s="18" t="s">
        <v>3630</v>
      </c>
      <c r="AP2449" t="s">
        <v>9813</v>
      </c>
    </row>
    <row r="2450" spans="1:42" customFormat="1" x14ac:dyDescent="0.3">
      <c r="A2450" s="148" t="s">
        <v>8319</v>
      </c>
      <c r="B2450" t="s">
        <v>8320</v>
      </c>
      <c r="C2450" s="148" t="s">
        <v>9410</v>
      </c>
      <c r="D2450" t="s">
        <v>9411</v>
      </c>
      <c r="E2450" s="148" t="s">
        <v>9412</v>
      </c>
      <c r="F2450" t="s">
        <v>9413</v>
      </c>
      <c r="G2450" s="148" t="s">
        <v>9814</v>
      </c>
      <c r="H2450" t="s">
        <v>9815</v>
      </c>
      <c r="K2450" s="148" t="s">
        <v>9816</v>
      </c>
      <c r="L2450" t="s">
        <v>9817</v>
      </c>
      <c r="M2450" s="1" t="s">
        <v>9818</v>
      </c>
      <c r="N2450" s="1">
        <v>2</v>
      </c>
      <c r="O2450" s="1">
        <v>7.5</v>
      </c>
      <c r="P2450" s="3">
        <v>10</v>
      </c>
      <c r="Q2450" s="3">
        <v>15</v>
      </c>
      <c r="R2450" s="3">
        <v>20</v>
      </c>
      <c r="S2450" s="3">
        <v>25</v>
      </c>
      <c r="T2450" t="s">
        <v>3643</v>
      </c>
      <c r="U2450" t="s">
        <v>3630</v>
      </c>
      <c r="V2450" t="s">
        <v>9819</v>
      </c>
      <c r="W2450" s="45">
        <v>1</v>
      </c>
      <c r="X2450" s="45">
        <v>1</v>
      </c>
      <c r="Y2450" s="45">
        <v>1</v>
      </c>
      <c r="Z2450" s="45">
        <v>1</v>
      </c>
      <c r="AA2450" s="45">
        <v>0</v>
      </c>
      <c r="AB2450" s="45">
        <v>1</v>
      </c>
      <c r="AC2450" s="150">
        <v>1</v>
      </c>
      <c r="AD2450" s="150">
        <v>1</v>
      </c>
      <c r="AE2450" s="49">
        <f t="shared" si="101"/>
        <v>0.875</v>
      </c>
      <c r="AF2450" s="44"/>
      <c r="AG2450" s="17">
        <v>0</v>
      </c>
      <c r="AH2450" s="44">
        <v>0.02</v>
      </c>
      <c r="AI2450" s="44">
        <v>0.02</v>
      </c>
      <c r="AJ2450" s="44">
        <v>0.02</v>
      </c>
      <c r="AK2450" s="151">
        <v>8</v>
      </c>
      <c r="AL2450" s="151">
        <v>8</v>
      </c>
      <c r="AM2450" s="147">
        <f t="shared" si="100"/>
        <v>16</v>
      </c>
      <c r="AN2450" t="s">
        <v>3643</v>
      </c>
      <c r="AO2450" s="18" t="s">
        <v>3630</v>
      </c>
      <c r="AP2450" t="s">
        <v>921</v>
      </c>
    </row>
    <row r="2451" spans="1:42" customFormat="1" x14ac:dyDescent="0.3">
      <c r="A2451" s="148" t="s">
        <v>8319</v>
      </c>
      <c r="B2451" t="s">
        <v>8320</v>
      </c>
      <c r="C2451" s="148" t="s">
        <v>9410</v>
      </c>
      <c r="D2451" t="s">
        <v>9411</v>
      </c>
      <c r="E2451" s="148" t="s">
        <v>9412</v>
      </c>
      <c r="F2451" t="s">
        <v>9413</v>
      </c>
      <c r="G2451" s="148" t="s">
        <v>9820</v>
      </c>
      <c r="H2451" t="s">
        <v>9821</v>
      </c>
      <c r="K2451" s="155" t="s">
        <v>9822</v>
      </c>
      <c r="L2451" t="s">
        <v>9823</v>
      </c>
      <c r="M2451" s="1"/>
      <c r="N2451" s="1"/>
      <c r="O2451" s="1"/>
      <c r="P2451" s="3"/>
      <c r="Q2451" s="3"/>
      <c r="R2451" s="3"/>
      <c r="S2451" s="3"/>
      <c r="U2451" t="e">
        <v>#N/A</v>
      </c>
      <c r="V2451" t="s">
        <v>9824</v>
      </c>
      <c r="W2451" s="45">
        <v>1</v>
      </c>
      <c r="X2451" s="45">
        <v>1</v>
      </c>
      <c r="Y2451" s="45">
        <v>1</v>
      </c>
      <c r="Z2451" s="45">
        <v>1</v>
      </c>
      <c r="AA2451" s="45">
        <v>1</v>
      </c>
      <c r="AB2451" s="45">
        <v>1</v>
      </c>
      <c r="AC2451" s="150">
        <v>0</v>
      </c>
      <c r="AD2451" s="150">
        <v>1</v>
      </c>
      <c r="AE2451" s="49">
        <f t="shared" si="101"/>
        <v>0.875</v>
      </c>
      <c r="AF2451" s="44"/>
      <c r="AG2451" s="17">
        <v>0</v>
      </c>
      <c r="AH2451" s="44">
        <v>0.2</v>
      </c>
      <c r="AI2451" s="44">
        <v>0.2</v>
      </c>
      <c r="AJ2451" s="44">
        <v>0.2</v>
      </c>
      <c r="AK2451" s="151">
        <v>5</v>
      </c>
      <c r="AL2451" s="151">
        <v>0.2</v>
      </c>
      <c r="AM2451" s="147">
        <f t="shared" si="100"/>
        <v>5.2</v>
      </c>
      <c r="AN2451" t="s">
        <v>831</v>
      </c>
      <c r="AO2451" s="18" t="s">
        <v>834</v>
      </c>
      <c r="AP2451" t="s">
        <v>3643</v>
      </c>
    </row>
    <row r="2452" spans="1:42" customFormat="1" x14ac:dyDescent="0.3">
      <c r="A2452" s="148" t="s">
        <v>8319</v>
      </c>
      <c r="B2452" t="s">
        <v>8320</v>
      </c>
      <c r="C2452" s="148" t="s">
        <v>9410</v>
      </c>
      <c r="D2452" t="s">
        <v>9411</v>
      </c>
      <c r="E2452" s="148" t="s">
        <v>9412</v>
      </c>
      <c r="F2452" t="s">
        <v>9413</v>
      </c>
      <c r="G2452" s="148" t="s">
        <v>9820</v>
      </c>
      <c r="H2452" t="s">
        <v>9821</v>
      </c>
      <c r="K2452" s="155" t="s">
        <v>9825</v>
      </c>
      <c r="L2452" t="s">
        <v>9826</v>
      </c>
      <c r="M2452" s="1"/>
      <c r="N2452" s="1"/>
      <c r="O2452" s="1"/>
      <c r="P2452" s="3"/>
      <c r="Q2452" s="3"/>
      <c r="R2452" s="3"/>
      <c r="S2452" s="3"/>
      <c r="U2452" t="e">
        <v>#N/A</v>
      </c>
      <c r="V2452" t="s">
        <v>9827</v>
      </c>
      <c r="W2452" s="45">
        <v>1</v>
      </c>
      <c r="X2452" s="45">
        <v>1</v>
      </c>
      <c r="Y2452" s="45">
        <v>1</v>
      </c>
      <c r="Z2452" s="45">
        <v>1</v>
      </c>
      <c r="AA2452" s="45">
        <v>1</v>
      </c>
      <c r="AB2452" s="45">
        <v>1</v>
      </c>
      <c r="AC2452" s="150">
        <v>0</v>
      </c>
      <c r="AD2452" s="150">
        <v>1</v>
      </c>
      <c r="AE2452" s="49">
        <f t="shared" si="101"/>
        <v>0.875</v>
      </c>
      <c r="AF2452" s="44"/>
      <c r="AG2452" s="17">
        <v>0</v>
      </c>
      <c r="AH2452" s="44">
        <v>0.9</v>
      </c>
      <c r="AI2452" s="44">
        <v>0.9</v>
      </c>
      <c r="AJ2452" s="44">
        <v>0.9</v>
      </c>
      <c r="AK2452" s="151">
        <v>5</v>
      </c>
      <c r="AL2452" s="151">
        <v>0.9</v>
      </c>
      <c r="AM2452" s="147">
        <f t="shared" si="100"/>
        <v>5.9</v>
      </c>
      <c r="AN2452" t="s">
        <v>3643</v>
      </c>
      <c r="AO2452" s="18" t="s">
        <v>3630</v>
      </c>
      <c r="AP2452" t="s">
        <v>9828</v>
      </c>
    </row>
    <row r="2453" spans="1:42" customFormat="1" x14ac:dyDescent="0.3">
      <c r="A2453" s="148" t="s">
        <v>8319</v>
      </c>
      <c r="B2453" t="s">
        <v>8320</v>
      </c>
      <c r="C2453" s="148" t="s">
        <v>9410</v>
      </c>
      <c r="D2453" t="s">
        <v>9411</v>
      </c>
      <c r="E2453" s="148" t="s">
        <v>9412</v>
      </c>
      <c r="F2453" t="s">
        <v>9413</v>
      </c>
      <c r="G2453" s="148" t="s">
        <v>9820</v>
      </c>
      <c r="H2453" t="s">
        <v>9821</v>
      </c>
      <c r="K2453" s="155" t="s">
        <v>9829</v>
      </c>
      <c r="L2453" t="s">
        <v>9830</v>
      </c>
      <c r="M2453" s="1"/>
      <c r="N2453" s="1"/>
      <c r="O2453" s="1"/>
      <c r="P2453" s="3"/>
      <c r="Q2453" s="3"/>
      <c r="R2453" s="3"/>
      <c r="S2453" s="3"/>
      <c r="U2453" t="e">
        <v>#N/A</v>
      </c>
      <c r="V2453" t="s">
        <v>9831</v>
      </c>
      <c r="W2453" s="45">
        <v>1</v>
      </c>
      <c r="X2453" s="45">
        <v>1</v>
      </c>
      <c r="Y2453" s="45">
        <v>1</v>
      </c>
      <c r="Z2453" s="45">
        <v>1</v>
      </c>
      <c r="AA2453" s="45">
        <v>1</v>
      </c>
      <c r="AB2453" s="45">
        <v>1</v>
      </c>
      <c r="AC2453" s="150">
        <v>0</v>
      </c>
      <c r="AD2453" s="150">
        <v>1</v>
      </c>
      <c r="AE2453" s="49">
        <f t="shared" si="101"/>
        <v>0.875</v>
      </c>
      <c r="AF2453" s="44"/>
      <c r="AG2453" s="17">
        <v>0</v>
      </c>
      <c r="AH2453" s="44">
        <v>0.02</v>
      </c>
      <c r="AI2453" s="44">
        <v>0.02</v>
      </c>
      <c r="AJ2453" s="44">
        <v>0.02</v>
      </c>
      <c r="AK2453" s="151">
        <v>0.02</v>
      </c>
      <c r="AL2453" s="151">
        <v>0.02</v>
      </c>
      <c r="AM2453" s="147">
        <f t="shared" si="100"/>
        <v>0.04</v>
      </c>
      <c r="AN2453" t="s">
        <v>3643</v>
      </c>
      <c r="AO2453" s="18" t="s">
        <v>3630</v>
      </c>
      <c r="AP2453" t="s">
        <v>9832</v>
      </c>
    </row>
    <row r="2454" spans="1:42" customFormat="1" x14ac:dyDescent="0.3">
      <c r="A2454" s="148" t="s">
        <v>8319</v>
      </c>
      <c r="B2454" t="s">
        <v>8320</v>
      </c>
      <c r="C2454" s="148" t="s">
        <v>9410</v>
      </c>
      <c r="D2454" t="s">
        <v>9411</v>
      </c>
      <c r="E2454" s="148" t="s">
        <v>9412</v>
      </c>
      <c r="F2454" t="s">
        <v>9413</v>
      </c>
      <c r="G2454" s="148" t="s">
        <v>9820</v>
      </c>
      <c r="H2454" t="s">
        <v>9821</v>
      </c>
      <c r="K2454" s="155" t="s">
        <v>9833</v>
      </c>
      <c r="L2454" t="s">
        <v>9834</v>
      </c>
      <c r="M2454" s="1" t="s">
        <v>9835</v>
      </c>
      <c r="N2454" s="1"/>
      <c r="O2454" s="1">
        <v>80</v>
      </c>
      <c r="P2454" s="3">
        <v>85</v>
      </c>
      <c r="Q2454" s="3">
        <v>90</v>
      </c>
      <c r="R2454" s="3">
        <v>95</v>
      </c>
      <c r="S2454" s="3">
        <v>100</v>
      </c>
      <c r="T2454" t="s">
        <v>3640</v>
      </c>
      <c r="U2454" t="s">
        <v>3630</v>
      </c>
      <c r="V2454" t="s">
        <v>9836</v>
      </c>
      <c r="W2454" s="45">
        <v>1</v>
      </c>
      <c r="X2454" s="45">
        <v>1</v>
      </c>
      <c r="Y2454" s="45">
        <v>1</v>
      </c>
      <c r="Z2454" s="45">
        <v>1</v>
      </c>
      <c r="AA2454" s="45">
        <v>1</v>
      </c>
      <c r="AB2454" s="45">
        <v>1</v>
      </c>
      <c r="AC2454" s="150">
        <v>0</v>
      </c>
      <c r="AD2454" s="150">
        <v>1</v>
      </c>
      <c r="AE2454" s="49">
        <f t="shared" si="101"/>
        <v>0.875</v>
      </c>
      <c r="AF2454" s="44"/>
      <c r="AG2454" s="17">
        <v>0</v>
      </c>
      <c r="AH2454" s="44">
        <v>1</v>
      </c>
      <c r="AI2454" s="44">
        <v>0.35</v>
      </c>
      <c r="AJ2454" s="44">
        <v>0.3</v>
      </c>
      <c r="AK2454" s="151">
        <v>0.35</v>
      </c>
      <c r="AL2454" s="151">
        <v>0.4</v>
      </c>
      <c r="AM2454" s="147">
        <f t="shared" si="100"/>
        <v>0.75</v>
      </c>
      <c r="AN2454" t="s">
        <v>3643</v>
      </c>
      <c r="AO2454" s="18" t="s">
        <v>3630</v>
      </c>
      <c r="AP2454" t="s">
        <v>255</v>
      </c>
    </row>
    <row r="2455" spans="1:42" customFormat="1" x14ac:dyDescent="0.3">
      <c r="A2455" s="148" t="s">
        <v>8319</v>
      </c>
      <c r="B2455" t="s">
        <v>8320</v>
      </c>
      <c r="C2455" s="148" t="s">
        <v>9410</v>
      </c>
      <c r="D2455" t="s">
        <v>9411</v>
      </c>
      <c r="E2455" s="148" t="s">
        <v>9412</v>
      </c>
      <c r="F2455" t="s">
        <v>9413</v>
      </c>
      <c r="G2455" s="148" t="s">
        <v>9479</v>
      </c>
      <c r="H2455" t="s">
        <v>9480</v>
      </c>
      <c r="K2455" s="148" t="s">
        <v>9481</v>
      </c>
      <c r="L2455" t="s">
        <v>9482</v>
      </c>
      <c r="M2455" s="1" t="s">
        <v>9837</v>
      </c>
      <c r="N2455" s="1"/>
      <c r="O2455" s="1">
        <v>70</v>
      </c>
      <c r="P2455" s="3">
        <v>80</v>
      </c>
      <c r="Q2455" s="3">
        <v>90</v>
      </c>
      <c r="R2455" s="3">
        <v>100</v>
      </c>
      <c r="S2455" s="3">
        <v>100</v>
      </c>
      <c r="T2455" t="s">
        <v>9484</v>
      </c>
      <c r="U2455" t="e">
        <v>#N/A</v>
      </c>
      <c r="V2455" t="s">
        <v>9838</v>
      </c>
      <c r="W2455" s="45">
        <v>1</v>
      </c>
      <c r="X2455" s="45">
        <v>1</v>
      </c>
      <c r="Y2455" s="45">
        <v>0</v>
      </c>
      <c r="Z2455" s="45">
        <v>1</v>
      </c>
      <c r="AA2455" s="45">
        <v>1</v>
      </c>
      <c r="AB2455" s="45">
        <v>1</v>
      </c>
      <c r="AC2455" s="150">
        <v>1</v>
      </c>
      <c r="AD2455" s="150">
        <v>1</v>
      </c>
      <c r="AE2455" s="49">
        <f t="shared" si="101"/>
        <v>0.875</v>
      </c>
      <c r="AF2455" s="17"/>
      <c r="AG2455" s="17">
        <v>0</v>
      </c>
      <c r="AH2455" s="17">
        <v>0</v>
      </c>
      <c r="AI2455" s="17">
        <v>0</v>
      </c>
      <c r="AJ2455" s="17">
        <v>0</v>
      </c>
      <c r="AK2455" s="153">
        <v>1</v>
      </c>
      <c r="AL2455" s="154">
        <v>1</v>
      </c>
      <c r="AM2455" s="147">
        <f t="shared" si="100"/>
        <v>2</v>
      </c>
      <c r="AN2455" s="44" t="s">
        <v>9491</v>
      </c>
      <c r="AO2455" s="18" t="s">
        <v>9492</v>
      </c>
    </row>
    <row r="2456" spans="1:42" customFormat="1" x14ac:dyDescent="0.3">
      <c r="A2456" s="148" t="s">
        <v>8319</v>
      </c>
      <c r="B2456" t="s">
        <v>8320</v>
      </c>
      <c r="C2456" s="148" t="s">
        <v>9410</v>
      </c>
      <c r="D2456" t="s">
        <v>9411</v>
      </c>
      <c r="E2456" s="148" t="s">
        <v>9412</v>
      </c>
      <c r="F2456" t="s">
        <v>9413</v>
      </c>
      <c r="G2456" s="148" t="s">
        <v>9479</v>
      </c>
      <c r="H2456" t="s">
        <v>9480</v>
      </c>
      <c r="K2456" s="148" t="s">
        <v>9481</v>
      </c>
      <c r="L2456" t="s">
        <v>9482</v>
      </c>
      <c r="M2456" s="1"/>
      <c r="N2456" s="1"/>
      <c r="O2456" s="1"/>
      <c r="P2456" s="3"/>
      <c r="Q2456" s="3"/>
      <c r="R2456" s="3"/>
      <c r="S2456" s="3"/>
      <c r="U2456" t="e">
        <v>#N/A</v>
      </c>
      <c r="V2456" t="s">
        <v>9839</v>
      </c>
      <c r="W2456" s="45">
        <v>1</v>
      </c>
      <c r="X2456" s="45">
        <v>1</v>
      </c>
      <c r="Y2456" s="45">
        <v>0</v>
      </c>
      <c r="Z2456" s="45">
        <v>1</v>
      </c>
      <c r="AA2456" s="45">
        <v>1</v>
      </c>
      <c r="AB2456" s="45">
        <v>1</v>
      </c>
      <c r="AC2456" s="150">
        <v>1</v>
      </c>
      <c r="AD2456" s="150">
        <v>1</v>
      </c>
      <c r="AE2456" s="49">
        <f t="shared" si="101"/>
        <v>0.875</v>
      </c>
      <c r="AF2456" s="17"/>
      <c r="AG2456" s="17">
        <v>0</v>
      </c>
      <c r="AH2456" s="17">
        <v>0</v>
      </c>
      <c r="AI2456" s="17">
        <v>0</v>
      </c>
      <c r="AJ2456" s="17">
        <v>0</v>
      </c>
      <c r="AK2456" s="153">
        <v>1</v>
      </c>
      <c r="AL2456" s="154">
        <v>1</v>
      </c>
      <c r="AM2456" s="147">
        <f t="shared" si="100"/>
        <v>2</v>
      </c>
      <c r="AN2456" s="174" t="s">
        <v>9491</v>
      </c>
      <c r="AO2456" s="18" t="s">
        <v>9492</v>
      </c>
      <c r="AP2456" t="s">
        <v>119</v>
      </c>
    </row>
    <row r="2457" spans="1:42" customFormat="1" x14ac:dyDescent="0.3">
      <c r="A2457" s="148" t="s">
        <v>8319</v>
      </c>
      <c r="B2457" t="s">
        <v>8320</v>
      </c>
      <c r="C2457" s="148" t="s">
        <v>9496</v>
      </c>
      <c r="D2457" t="s">
        <v>9497</v>
      </c>
      <c r="E2457" s="148" t="s">
        <v>9498</v>
      </c>
      <c r="F2457" t="s">
        <v>9499</v>
      </c>
      <c r="G2457" s="148" t="s">
        <v>9500</v>
      </c>
      <c r="H2457" t="s">
        <v>9501</v>
      </c>
      <c r="K2457" s="148" t="s">
        <v>9840</v>
      </c>
      <c r="L2457" t="s">
        <v>9841</v>
      </c>
      <c r="M2457" s="1" t="s">
        <v>9842</v>
      </c>
      <c r="N2457" s="1">
        <v>0</v>
      </c>
      <c r="O2457" s="1">
        <v>5</v>
      </c>
      <c r="P2457" s="3">
        <v>5</v>
      </c>
      <c r="Q2457" s="3">
        <v>5</v>
      </c>
      <c r="R2457" s="3">
        <v>4</v>
      </c>
      <c r="S2457" s="3"/>
      <c r="T2457" t="s">
        <v>1536</v>
      </c>
      <c r="U2457" t="e">
        <v>#N/A</v>
      </c>
      <c r="V2457" t="s">
        <v>9843</v>
      </c>
      <c r="W2457" s="45">
        <v>1</v>
      </c>
      <c r="X2457" s="45">
        <v>1</v>
      </c>
      <c r="Y2457" s="45">
        <v>1</v>
      </c>
      <c r="Z2457" s="45">
        <v>1</v>
      </c>
      <c r="AA2457" s="45">
        <v>0</v>
      </c>
      <c r="AB2457" s="45">
        <v>1</v>
      </c>
      <c r="AC2457" s="150">
        <v>1</v>
      </c>
      <c r="AD2457" s="150">
        <v>1</v>
      </c>
      <c r="AE2457" s="49">
        <f t="shared" si="101"/>
        <v>0.875</v>
      </c>
      <c r="AF2457" s="44"/>
      <c r="AG2457" s="17">
        <v>0</v>
      </c>
      <c r="AH2457" s="44">
        <v>0</v>
      </c>
      <c r="AI2457" s="44">
        <v>0</v>
      </c>
      <c r="AJ2457" s="44">
        <v>0</v>
      </c>
      <c r="AK2457" s="151">
        <v>0</v>
      </c>
      <c r="AL2457" s="151">
        <v>0</v>
      </c>
      <c r="AM2457" s="147">
        <f t="shared" si="100"/>
        <v>0</v>
      </c>
      <c r="AN2457" s="18" t="s">
        <v>771</v>
      </c>
      <c r="AO2457" s="18" t="s">
        <v>773</v>
      </c>
      <c r="AP2457" t="s">
        <v>119</v>
      </c>
    </row>
    <row r="2458" spans="1:42" customFormat="1" x14ac:dyDescent="0.3">
      <c r="A2458" s="148" t="s">
        <v>8319</v>
      </c>
      <c r="B2458" t="s">
        <v>8320</v>
      </c>
      <c r="C2458" s="148" t="s">
        <v>9496</v>
      </c>
      <c r="D2458" t="s">
        <v>9497</v>
      </c>
      <c r="E2458" s="148" t="s">
        <v>9498</v>
      </c>
      <c r="F2458" t="s">
        <v>9499</v>
      </c>
      <c r="G2458" s="148" t="s">
        <v>9500</v>
      </c>
      <c r="H2458" t="s">
        <v>9501</v>
      </c>
      <c r="K2458" s="148" t="s">
        <v>9844</v>
      </c>
      <c r="L2458" t="s">
        <v>9845</v>
      </c>
      <c r="M2458" s="1" t="s">
        <v>9846</v>
      </c>
      <c r="N2458" s="1">
        <v>0</v>
      </c>
      <c r="O2458" s="1">
        <v>2</v>
      </c>
      <c r="P2458" s="3">
        <v>2</v>
      </c>
      <c r="Q2458" s="3">
        <v>2</v>
      </c>
      <c r="R2458" s="3">
        <v>2</v>
      </c>
      <c r="S2458" s="3">
        <v>2</v>
      </c>
      <c r="T2458" t="s">
        <v>1536</v>
      </c>
      <c r="U2458" t="e">
        <v>#N/A</v>
      </c>
      <c r="V2458" t="s">
        <v>9847</v>
      </c>
      <c r="W2458" s="45">
        <v>1</v>
      </c>
      <c r="X2458" s="45">
        <v>1</v>
      </c>
      <c r="Y2458" s="45">
        <v>1</v>
      </c>
      <c r="Z2458" s="45">
        <v>1</v>
      </c>
      <c r="AA2458" s="45">
        <v>1</v>
      </c>
      <c r="AB2458" s="45">
        <v>0</v>
      </c>
      <c r="AC2458" s="150">
        <v>1</v>
      </c>
      <c r="AD2458" s="150">
        <v>1</v>
      </c>
      <c r="AE2458" s="49">
        <f t="shared" si="101"/>
        <v>0.875</v>
      </c>
      <c r="AF2458" s="44"/>
      <c r="AG2458" s="17">
        <v>0</v>
      </c>
      <c r="AH2458" s="44">
        <v>0</v>
      </c>
      <c r="AI2458" s="44">
        <v>0</v>
      </c>
      <c r="AJ2458" s="44">
        <v>2</v>
      </c>
      <c r="AK2458" s="151">
        <v>2</v>
      </c>
      <c r="AL2458" s="151">
        <v>2</v>
      </c>
      <c r="AM2458" s="147">
        <f t="shared" si="100"/>
        <v>4</v>
      </c>
      <c r="AN2458" s="18" t="s">
        <v>771</v>
      </c>
      <c r="AO2458" s="18" t="s">
        <v>773</v>
      </c>
      <c r="AP2458" t="s">
        <v>255</v>
      </c>
    </row>
    <row r="2459" spans="1:42" customFormat="1" x14ac:dyDescent="0.3">
      <c r="A2459" s="148" t="s">
        <v>8319</v>
      </c>
      <c r="B2459" t="s">
        <v>8320</v>
      </c>
      <c r="C2459" s="148" t="s">
        <v>9496</v>
      </c>
      <c r="D2459" t="s">
        <v>9497</v>
      </c>
      <c r="E2459" s="148" t="s">
        <v>9498</v>
      </c>
      <c r="F2459" t="s">
        <v>9499</v>
      </c>
      <c r="G2459" s="148" t="s">
        <v>9848</v>
      </c>
      <c r="H2459" t="s">
        <v>9849</v>
      </c>
      <c r="K2459" s="148" t="s">
        <v>9850</v>
      </c>
      <c r="L2459" t="s">
        <v>9851</v>
      </c>
      <c r="M2459" s="1" t="s">
        <v>9852</v>
      </c>
      <c r="N2459" s="1" t="s">
        <v>271</v>
      </c>
      <c r="O2459" s="1" t="s">
        <v>271</v>
      </c>
      <c r="P2459" s="3">
        <v>1</v>
      </c>
      <c r="Q2459" s="3" t="s">
        <v>271</v>
      </c>
      <c r="R2459" s="3" t="s">
        <v>271</v>
      </c>
      <c r="S2459" s="3" t="s">
        <v>271</v>
      </c>
      <c r="T2459" t="s">
        <v>9853</v>
      </c>
      <c r="U2459" t="e">
        <v>#N/A</v>
      </c>
      <c r="V2459" t="s">
        <v>9854</v>
      </c>
      <c r="W2459" s="45">
        <v>1</v>
      </c>
      <c r="X2459" s="45">
        <v>1</v>
      </c>
      <c r="Y2459" s="45">
        <v>1</v>
      </c>
      <c r="Z2459" s="45">
        <v>1</v>
      </c>
      <c r="AA2459" s="45">
        <v>1</v>
      </c>
      <c r="AB2459" s="45">
        <v>1</v>
      </c>
      <c r="AC2459" s="150">
        <v>0</v>
      </c>
      <c r="AD2459" s="150">
        <v>1</v>
      </c>
      <c r="AE2459" s="49">
        <f t="shared" si="101"/>
        <v>0.875</v>
      </c>
      <c r="AF2459" s="44"/>
      <c r="AG2459" s="17">
        <v>0</v>
      </c>
      <c r="AH2459" s="44">
        <v>0.92</v>
      </c>
      <c r="AI2459" s="44">
        <v>0.97</v>
      </c>
      <c r="AJ2459" s="44">
        <v>1.01</v>
      </c>
      <c r="AK2459" s="151">
        <v>1.07</v>
      </c>
      <c r="AL2459" s="151">
        <v>1.1200000000000001</v>
      </c>
      <c r="AM2459" s="147">
        <f t="shared" si="100"/>
        <v>2.1900000000000004</v>
      </c>
      <c r="AN2459" t="s">
        <v>1167</v>
      </c>
      <c r="AO2459" s="18" t="s">
        <v>1170</v>
      </c>
      <c r="AP2459" t="s">
        <v>5261</v>
      </c>
    </row>
    <row r="2460" spans="1:42" customFormat="1" x14ac:dyDescent="0.3">
      <c r="A2460" s="148" t="s">
        <v>8319</v>
      </c>
      <c r="B2460" t="s">
        <v>8320</v>
      </c>
      <c r="C2460" s="148" t="s">
        <v>9496</v>
      </c>
      <c r="D2460" t="s">
        <v>9497</v>
      </c>
      <c r="E2460" s="148" t="s">
        <v>9498</v>
      </c>
      <c r="F2460" t="s">
        <v>9499</v>
      </c>
      <c r="G2460" s="148" t="s">
        <v>9855</v>
      </c>
      <c r="H2460" t="s">
        <v>9856</v>
      </c>
      <c r="K2460" s="155" t="s">
        <v>9857</v>
      </c>
      <c r="L2460" t="s">
        <v>9858</v>
      </c>
      <c r="M2460" s="1"/>
      <c r="N2460" s="1"/>
      <c r="O2460" s="1"/>
      <c r="P2460" s="3"/>
      <c r="Q2460" s="3"/>
      <c r="R2460" s="3"/>
      <c r="S2460" s="3"/>
      <c r="U2460" t="e">
        <v>#N/A</v>
      </c>
      <c r="V2460" t="s">
        <v>9859</v>
      </c>
      <c r="W2460" s="45">
        <v>1</v>
      </c>
      <c r="X2460" s="45">
        <v>1</v>
      </c>
      <c r="Y2460" s="45">
        <v>1</v>
      </c>
      <c r="Z2460" s="45">
        <v>1</v>
      </c>
      <c r="AA2460" s="45">
        <v>1</v>
      </c>
      <c r="AB2460" s="45">
        <v>1</v>
      </c>
      <c r="AC2460" s="150">
        <v>0</v>
      </c>
      <c r="AD2460" s="150">
        <v>1</v>
      </c>
      <c r="AE2460" s="49">
        <f t="shared" si="101"/>
        <v>0.875</v>
      </c>
      <c r="AF2460" s="44"/>
      <c r="AG2460" s="17">
        <v>0</v>
      </c>
      <c r="AH2460" s="44">
        <v>0</v>
      </c>
      <c r="AI2460" s="44">
        <v>0.1</v>
      </c>
      <c r="AJ2460" s="44">
        <v>0.2</v>
      </c>
      <c r="AK2460" s="151">
        <v>0.2</v>
      </c>
      <c r="AL2460" s="151">
        <v>0.2</v>
      </c>
      <c r="AM2460" s="147">
        <f t="shared" si="100"/>
        <v>0.4</v>
      </c>
      <c r="AN2460" s="18" t="s">
        <v>771</v>
      </c>
      <c r="AO2460" s="18" t="s">
        <v>773</v>
      </c>
      <c r="AP2460" t="s">
        <v>119</v>
      </c>
    </row>
    <row r="2461" spans="1:42" customFormat="1" x14ac:dyDescent="0.3">
      <c r="A2461" s="148" t="s">
        <v>8319</v>
      </c>
      <c r="B2461" t="s">
        <v>8320</v>
      </c>
      <c r="C2461" s="148" t="s">
        <v>9496</v>
      </c>
      <c r="D2461" t="s">
        <v>9497</v>
      </c>
      <c r="E2461" s="148" t="s">
        <v>9498</v>
      </c>
      <c r="F2461" t="s">
        <v>9499</v>
      </c>
      <c r="G2461" s="148" t="s">
        <v>9538</v>
      </c>
      <c r="H2461" t="s">
        <v>9539</v>
      </c>
      <c r="K2461" s="148" t="s">
        <v>9540</v>
      </c>
      <c r="L2461" t="s">
        <v>9541</v>
      </c>
      <c r="M2461" s="1" t="s">
        <v>9860</v>
      </c>
      <c r="N2461" s="1">
        <v>0</v>
      </c>
      <c r="O2461" s="1">
        <v>200</v>
      </c>
      <c r="P2461" s="3">
        <v>1200</v>
      </c>
      <c r="Q2461" s="3">
        <v>2200</v>
      </c>
      <c r="R2461" s="3">
        <v>3200</v>
      </c>
      <c r="S2461" s="3">
        <v>4200</v>
      </c>
      <c r="T2461" t="s">
        <v>9861</v>
      </c>
      <c r="U2461" t="e">
        <v>#N/A</v>
      </c>
      <c r="V2461" t="s">
        <v>9862</v>
      </c>
      <c r="W2461" s="45">
        <v>1</v>
      </c>
      <c r="X2461" s="45">
        <v>1</v>
      </c>
      <c r="Y2461" s="45">
        <v>0</v>
      </c>
      <c r="Z2461" s="45">
        <v>1</v>
      </c>
      <c r="AA2461" s="45">
        <v>1</v>
      </c>
      <c r="AB2461" s="45">
        <v>1</v>
      </c>
      <c r="AC2461" s="150">
        <v>1</v>
      </c>
      <c r="AD2461" s="150">
        <v>1</v>
      </c>
      <c r="AE2461" s="49">
        <f t="shared" si="101"/>
        <v>0.875</v>
      </c>
      <c r="AF2461" s="17"/>
      <c r="AG2461" s="17">
        <v>0</v>
      </c>
      <c r="AH2461" s="17">
        <v>0</v>
      </c>
      <c r="AI2461" s="17">
        <v>0</v>
      </c>
      <c r="AJ2461" s="17">
        <v>0</v>
      </c>
      <c r="AK2461" s="153">
        <v>0</v>
      </c>
      <c r="AL2461" s="154">
        <v>0</v>
      </c>
      <c r="AM2461" s="147">
        <f t="shared" si="100"/>
        <v>0</v>
      </c>
      <c r="AN2461" s="18" t="s">
        <v>771</v>
      </c>
      <c r="AO2461" s="18" t="s">
        <v>773</v>
      </c>
      <c r="AP2461" t="s">
        <v>9863</v>
      </c>
    </row>
    <row r="2462" spans="1:42" customFormat="1" x14ac:dyDescent="0.3">
      <c r="A2462" s="148" t="s">
        <v>8319</v>
      </c>
      <c r="B2462" t="s">
        <v>8320</v>
      </c>
      <c r="C2462" s="148" t="s">
        <v>9344</v>
      </c>
      <c r="D2462" t="s">
        <v>9345</v>
      </c>
      <c r="E2462" s="148" t="s">
        <v>9346</v>
      </c>
      <c r="F2462" t="s">
        <v>9347</v>
      </c>
      <c r="G2462" s="148" t="s">
        <v>9552</v>
      </c>
      <c r="H2462" t="s">
        <v>9553</v>
      </c>
      <c r="K2462" s="148" t="s">
        <v>9554</v>
      </c>
      <c r="L2462" t="s">
        <v>9555</v>
      </c>
      <c r="M2462" s="1" t="s">
        <v>9864</v>
      </c>
      <c r="N2462" s="1">
        <v>0</v>
      </c>
      <c r="O2462" s="1">
        <v>0</v>
      </c>
      <c r="P2462" s="3" t="s">
        <v>9865</v>
      </c>
      <c r="Q2462" s="3" t="s">
        <v>9866</v>
      </c>
      <c r="R2462" s="3" t="s">
        <v>9867</v>
      </c>
      <c r="S2462" s="3" t="s">
        <v>9868</v>
      </c>
      <c r="T2462" t="s">
        <v>1977</v>
      </c>
      <c r="U2462" t="s">
        <v>9869</v>
      </c>
      <c r="V2462" t="s">
        <v>9870</v>
      </c>
      <c r="W2462" s="45">
        <v>1</v>
      </c>
      <c r="X2462" s="45">
        <v>1</v>
      </c>
      <c r="Y2462" s="45">
        <v>1</v>
      </c>
      <c r="Z2462" s="45">
        <v>1</v>
      </c>
      <c r="AA2462" s="45">
        <v>1</v>
      </c>
      <c r="AB2462" s="45">
        <v>0</v>
      </c>
      <c r="AC2462" s="150">
        <v>1</v>
      </c>
      <c r="AD2462" s="150">
        <v>0</v>
      </c>
      <c r="AE2462" s="49">
        <f t="shared" si="101"/>
        <v>0.75</v>
      </c>
      <c r="AF2462" s="17"/>
      <c r="AG2462" s="17">
        <v>0</v>
      </c>
      <c r="AH2462" s="17">
        <v>0</v>
      </c>
      <c r="AI2462" s="44">
        <v>0.2</v>
      </c>
      <c r="AJ2462" s="44">
        <v>0.5</v>
      </c>
      <c r="AK2462" s="151">
        <v>0.5</v>
      </c>
      <c r="AL2462" s="151">
        <v>0.5</v>
      </c>
      <c r="AM2462" s="147">
        <f t="shared" si="100"/>
        <v>1</v>
      </c>
      <c r="AN2462" s="44" t="s">
        <v>1977</v>
      </c>
      <c r="AO2462" s="18" t="s">
        <v>9869</v>
      </c>
      <c r="AP2462" t="s">
        <v>723</v>
      </c>
    </row>
    <row r="2463" spans="1:42" customFormat="1" x14ac:dyDescent="0.3">
      <c r="A2463" s="148" t="s">
        <v>8319</v>
      </c>
      <c r="B2463" t="s">
        <v>8320</v>
      </c>
      <c r="C2463" s="148" t="s">
        <v>9344</v>
      </c>
      <c r="D2463" t="s">
        <v>9345</v>
      </c>
      <c r="E2463" s="148" t="s">
        <v>9346</v>
      </c>
      <c r="F2463" t="s">
        <v>9347</v>
      </c>
      <c r="G2463" s="148" t="s">
        <v>9552</v>
      </c>
      <c r="H2463" t="s">
        <v>9553</v>
      </c>
      <c r="K2463" s="148" t="s">
        <v>9871</v>
      </c>
      <c r="L2463" t="s">
        <v>9872</v>
      </c>
      <c r="M2463" s="1" t="s">
        <v>9873</v>
      </c>
      <c r="N2463" s="1" t="s">
        <v>271</v>
      </c>
      <c r="O2463" s="1">
        <v>20</v>
      </c>
      <c r="P2463" s="3">
        <v>40</v>
      </c>
      <c r="Q2463" s="3">
        <v>60</v>
      </c>
      <c r="R2463" s="3">
        <v>80</v>
      </c>
      <c r="S2463" s="3">
        <v>100</v>
      </c>
      <c r="T2463" t="s">
        <v>723</v>
      </c>
      <c r="U2463" t="s">
        <v>729</v>
      </c>
      <c r="V2463" t="s">
        <v>9874</v>
      </c>
      <c r="W2463" s="45">
        <v>1</v>
      </c>
      <c r="X2463" s="45">
        <v>1</v>
      </c>
      <c r="Y2463" s="45">
        <v>0</v>
      </c>
      <c r="Z2463" s="45">
        <v>1</v>
      </c>
      <c r="AA2463" s="45">
        <v>1</v>
      </c>
      <c r="AB2463" s="45">
        <v>0</v>
      </c>
      <c r="AC2463" s="150">
        <v>1</v>
      </c>
      <c r="AD2463" s="150">
        <v>1</v>
      </c>
      <c r="AE2463" s="49">
        <f t="shared" si="101"/>
        <v>0.75</v>
      </c>
      <c r="AF2463" s="17"/>
      <c r="AG2463" s="17">
        <v>0</v>
      </c>
      <c r="AH2463" s="17">
        <v>0</v>
      </c>
      <c r="AI2463" s="44">
        <v>0.05</v>
      </c>
      <c r="AJ2463" s="44">
        <v>0.05</v>
      </c>
      <c r="AK2463" s="151">
        <v>0.2</v>
      </c>
      <c r="AL2463" s="151">
        <v>0.2</v>
      </c>
      <c r="AM2463" s="147">
        <f t="shared" si="100"/>
        <v>0.4</v>
      </c>
      <c r="AN2463" t="s">
        <v>723</v>
      </c>
      <c r="AO2463" s="18" t="s">
        <v>729</v>
      </c>
      <c r="AP2463" t="s">
        <v>255</v>
      </c>
    </row>
    <row r="2464" spans="1:42" customFormat="1" x14ac:dyDescent="0.3">
      <c r="A2464" s="148" t="s">
        <v>8319</v>
      </c>
      <c r="B2464" t="s">
        <v>8320</v>
      </c>
      <c r="C2464" s="148" t="s">
        <v>9344</v>
      </c>
      <c r="D2464" t="s">
        <v>9345</v>
      </c>
      <c r="E2464" s="148" t="s">
        <v>9346</v>
      </c>
      <c r="F2464" t="s">
        <v>9347</v>
      </c>
      <c r="G2464" s="148" t="s">
        <v>9552</v>
      </c>
      <c r="H2464" t="s">
        <v>9553</v>
      </c>
      <c r="K2464" s="148" t="s">
        <v>9871</v>
      </c>
      <c r="L2464" t="s">
        <v>9872</v>
      </c>
      <c r="M2464" s="1" t="s">
        <v>9875</v>
      </c>
      <c r="N2464" s="1">
        <v>16</v>
      </c>
      <c r="O2464" s="1">
        <v>68</v>
      </c>
      <c r="P2464" s="3">
        <v>70</v>
      </c>
      <c r="Q2464" s="3">
        <v>73</v>
      </c>
      <c r="R2464" s="3">
        <v>76</v>
      </c>
      <c r="S2464" s="3">
        <v>78</v>
      </c>
      <c r="T2464" t="s">
        <v>9876</v>
      </c>
      <c r="U2464" t="e">
        <v>#N/A</v>
      </c>
      <c r="V2464" t="s">
        <v>9877</v>
      </c>
      <c r="W2464" s="45">
        <v>1</v>
      </c>
      <c r="X2464" s="45">
        <v>1</v>
      </c>
      <c r="Y2464" s="45">
        <v>1</v>
      </c>
      <c r="Z2464" s="45">
        <v>1</v>
      </c>
      <c r="AA2464" s="45">
        <v>1</v>
      </c>
      <c r="AB2464" s="45">
        <v>0</v>
      </c>
      <c r="AC2464" s="150">
        <v>1</v>
      </c>
      <c r="AD2464" s="150">
        <v>0</v>
      </c>
      <c r="AE2464" s="49">
        <f t="shared" si="101"/>
        <v>0.75</v>
      </c>
      <c r="AF2464" s="17"/>
      <c r="AG2464" s="17">
        <v>0</v>
      </c>
      <c r="AH2464" s="17">
        <v>0</v>
      </c>
      <c r="AI2464" s="44">
        <v>3.7499999999999999E-2</v>
      </c>
      <c r="AJ2464" s="44">
        <v>3.7499999999999999E-2</v>
      </c>
      <c r="AK2464" s="151">
        <v>0.5</v>
      </c>
      <c r="AL2464" s="151">
        <v>0.5</v>
      </c>
      <c r="AM2464" s="147">
        <f t="shared" si="100"/>
        <v>1</v>
      </c>
      <c r="AN2464" t="s">
        <v>723</v>
      </c>
      <c r="AO2464" s="18" t="s">
        <v>729</v>
      </c>
      <c r="AP2464" t="s">
        <v>2043</v>
      </c>
    </row>
    <row r="2465" spans="1:42" customFormat="1" x14ac:dyDescent="0.3">
      <c r="A2465" s="148" t="s">
        <v>8319</v>
      </c>
      <c r="B2465" t="s">
        <v>8320</v>
      </c>
      <c r="C2465" s="148" t="s">
        <v>9344</v>
      </c>
      <c r="D2465" t="s">
        <v>9345</v>
      </c>
      <c r="E2465" s="148" t="s">
        <v>9346</v>
      </c>
      <c r="F2465" t="s">
        <v>9347</v>
      </c>
      <c r="G2465" s="148" t="s">
        <v>9552</v>
      </c>
      <c r="H2465" t="s">
        <v>9553</v>
      </c>
      <c r="K2465" s="148" t="s">
        <v>9871</v>
      </c>
      <c r="L2465" t="s">
        <v>9872</v>
      </c>
      <c r="M2465" s="1" t="s">
        <v>9875</v>
      </c>
      <c r="N2465" s="1">
        <v>16</v>
      </c>
      <c r="O2465" s="1">
        <v>30</v>
      </c>
      <c r="P2465" s="3">
        <v>36</v>
      </c>
      <c r="Q2465" s="3">
        <v>30</v>
      </c>
      <c r="R2465" s="3">
        <v>30</v>
      </c>
      <c r="S2465" s="3">
        <v>20</v>
      </c>
      <c r="T2465" t="s">
        <v>1536</v>
      </c>
      <c r="U2465" t="e">
        <v>#N/A</v>
      </c>
      <c r="V2465" t="s">
        <v>9878</v>
      </c>
      <c r="W2465" s="45">
        <v>1</v>
      </c>
      <c r="X2465" s="45">
        <v>1</v>
      </c>
      <c r="Y2465" s="45">
        <v>1</v>
      </c>
      <c r="Z2465" s="45">
        <v>1</v>
      </c>
      <c r="AA2465" s="45">
        <v>1</v>
      </c>
      <c r="AB2465" s="45">
        <v>0</v>
      </c>
      <c r="AC2465" s="150">
        <v>1</v>
      </c>
      <c r="AD2465" s="150">
        <v>0</v>
      </c>
      <c r="AE2465" s="49">
        <f t="shared" si="101"/>
        <v>0.75</v>
      </c>
      <c r="AF2465" s="44"/>
      <c r="AG2465" s="17">
        <v>0</v>
      </c>
      <c r="AH2465" s="44">
        <v>0.1</v>
      </c>
      <c r="AI2465" s="44">
        <v>0.2</v>
      </c>
      <c r="AJ2465" s="44">
        <v>0.2</v>
      </c>
      <c r="AK2465" s="151">
        <v>0.2</v>
      </c>
      <c r="AL2465" s="151">
        <v>0.2</v>
      </c>
      <c r="AM2465" s="147">
        <f t="shared" si="100"/>
        <v>0.4</v>
      </c>
      <c r="AN2465" s="18" t="s">
        <v>771</v>
      </c>
      <c r="AO2465" s="18" t="s">
        <v>773</v>
      </c>
      <c r="AP2465" t="s">
        <v>9879</v>
      </c>
    </row>
    <row r="2466" spans="1:42" customFormat="1" x14ac:dyDescent="0.3">
      <c r="A2466" s="148" t="s">
        <v>8319</v>
      </c>
      <c r="B2466" t="s">
        <v>8320</v>
      </c>
      <c r="C2466" s="148" t="s">
        <v>9344</v>
      </c>
      <c r="D2466" t="s">
        <v>9345</v>
      </c>
      <c r="E2466" s="148" t="s">
        <v>9346</v>
      </c>
      <c r="F2466" t="s">
        <v>9347</v>
      </c>
      <c r="G2466" t="s">
        <v>9348</v>
      </c>
      <c r="H2466" t="s">
        <v>9349</v>
      </c>
      <c r="I2466" s="148" t="s">
        <v>9350</v>
      </c>
      <c r="J2466" t="s">
        <v>9351</v>
      </c>
      <c r="K2466" s="148" t="s">
        <v>9352</v>
      </c>
      <c r="L2466" t="s">
        <v>9353</v>
      </c>
      <c r="M2466" s="1" t="s">
        <v>9880</v>
      </c>
      <c r="N2466" s="1">
        <v>2</v>
      </c>
      <c r="O2466" s="1">
        <v>10</v>
      </c>
      <c r="P2466" s="3">
        <v>11</v>
      </c>
      <c r="Q2466" s="3">
        <v>13</v>
      </c>
      <c r="R2466" s="3">
        <v>15</v>
      </c>
      <c r="S2466" s="3">
        <v>17</v>
      </c>
      <c r="T2466" t="s">
        <v>9881</v>
      </c>
      <c r="U2466" t="e">
        <v>#N/A</v>
      </c>
      <c r="V2466" t="s">
        <v>9882</v>
      </c>
      <c r="W2466" s="45">
        <v>1</v>
      </c>
      <c r="X2466" s="45">
        <v>1</v>
      </c>
      <c r="Y2466" s="45">
        <v>1</v>
      </c>
      <c r="Z2466" s="45">
        <v>1</v>
      </c>
      <c r="AA2466" s="45">
        <v>1</v>
      </c>
      <c r="AB2466" s="45">
        <v>0</v>
      </c>
      <c r="AC2466" s="150">
        <v>1</v>
      </c>
      <c r="AD2466" s="150">
        <v>0</v>
      </c>
      <c r="AE2466" s="49">
        <f t="shared" si="101"/>
        <v>0.75</v>
      </c>
      <c r="AF2466" s="44"/>
      <c r="AG2466" s="17">
        <v>0</v>
      </c>
      <c r="AH2466" s="44">
        <v>2</v>
      </c>
      <c r="AI2466" s="44">
        <v>2</v>
      </c>
      <c r="AJ2466" s="44">
        <v>2</v>
      </c>
      <c r="AK2466" s="151">
        <v>2</v>
      </c>
      <c r="AL2466" s="151">
        <v>2</v>
      </c>
      <c r="AM2466" s="147">
        <f t="shared" si="100"/>
        <v>4</v>
      </c>
      <c r="AN2466" s="18" t="s">
        <v>255</v>
      </c>
      <c r="AO2466" s="18" t="s">
        <v>1045</v>
      </c>
      <c r="AP2466" t="s">
        <v>3643</v>
      </c>
    </row>
    <row r="2467" spans="1:42" customFormat="1" x14ac:dyDescent="0.3">
      <c r="A2467" s="148" t="s">
        <v>8319</v>
      </c>
      <c r="B2467" t="s">
        <v>8320</v>
      </c>
      <c r="C2467" s="148" t="s">
        <v>9344</v>
      </c>
      <c r="D2467" t="s">
        <v>9345</v>
      </c>
      <c r="E2467" s="148" t="s">
        <v>9346</v>
      </c>
      <c r="F2467" t="s">
        <v>9347</v>
      </c>
      <c r="G2467" t="s">
        <v>9348</v>
      </c>
      <c r="H2467" t="s">
        <v>9349</v>
      </c>
      <c r="I2467" s="148" t="s">
        <v>9883</v>
      </c>
      <c r="J2467" t="s">
        <v>9884</v>
      </c>
      <c r="K2467" s="148" t="s">
        <v>9885</v>
      </c>
      <c r="L2467" t="s">
        <v>9886</v>
      </c>
      <c r="M2467" s="1" t="s">
        <v>9887</v>
      </c>
      <c r="N2467" s="1" t="s">
        <v>119</v>
      </c>
      <c r="O2467" s="1">
        <v>40</v>
      </c>
      <c r="P2467" s="3">
        <v>45</v>
      </c>
      <c r="Q2467" s="3">
        <v>50</v>
      </c>
      <c r="R2467" s="3">
        <v>55</v>
      </c>
      <c r="S2467" s="3">
        <v>60</v>
      </c>
      <c r="T2467" t="s">
        <v>9888</v>
      </c>
      <c r="U2467" t="e">
        <v>#N/A</v>
      </c>
      <c r="V2467" t="s">
        <v>9889</v>
      </c>
      <c r="W2467" s="45">
        <v>1</v>
      </c>
      <c r="X2467" s="45">
        <v>1</v>
      </c>
      <c r="Y2467" s="45">
        <v>1</v>
      </c>
      <c r="Z2467" s="45">
        <v>1</v>
      </c>
      <c r="AA2467" s="45">
        <v>1</v>
      </c>
      <c r="AB2467" s="45">
        <v>0</v>
      </c>
      <c r="AC2467" s="150">
        <v>1</v>
      </c>
      <c r="AD2467" s="150">
        <v>0</v>
      </c>
      <c r="AE2467" s="49">
        <f t="shared" si="101"/>
        <v>0.75</v>
      </c>
      <c r="AF2467" s="17"/>
      <c r="AG2467" s="17">
        <v>0</v>
      </c>
      <c r="AH2467" s="17">
        <v>0</v>
      </c>
      <c r="AI2467" s="17">
        <v>0</v>
      </c>
      <c r="AJ2467" s="17">
        <v>0</v>
      </c>
      <c r="AK2467" s="153">
        <v>0.4</v>
      </c>
      <c r="AL2467" s="154">
        <v>0.4</v>
      </c>
      <c r="AM2467" s="147">
        <f t="shared" si="100"/>
        <v>0.8</v>
      </c>
      <c r="AN2467" s="18" t="s">
        <v>92</v>
      </c>
      <c r="AO2467" s="18" t="s">
        <v>118</v>
      </c>
      <c r="AP2467" t="s">
        <v>2043</v>
      </c>
    </row>
    <row r="2468" spans="1:42" customFormat="1" x14ac:dyDescent="0.3">
      <c r="A2468" s="148" t="s">
        <v>8319</v>
      </c>
      <c r="B2468" t="s">
        <v>8320</v>
      </c>
      <c r="C2468" s="148" t="s">
        <v>9344</v>
      </c>
      <c r="D2468" t="s">
        <v>9345</v>
      </c>
      <c r="E2468" s="148" t="s">
        <v>9346</v>
      </c>
      <c r="F2468" t="s">
        <v>9347</v>
      </c>
      <c r="G2468" s="148" t="s">
        <v>9890</v>
      </c>
      <c r="H2468" t="s">
        <v>9891</v>
      </c>
      <c r="K2468" s="148" t="s">
        <v>9892</v>
      </c>
      <c r="L2468" t="s">
        <v>9893</v>
      </c>
      <c r="M2468" s="1" t="s">
        <v>9894</v>
      </c>
      <c r="N2468" s="1">
        <v>96</v>
      </c>
      <c r="O2468" s="1">
        <v>96</v>
      </c>
      <c r="P2468" s="3">
        <v>97</v>
      </c>
      <c r="Q2468" s="3">
        <v>97</v>
      </c>
      <c r="R2468" s="3">
        <v>98</v>
      </c>
      <c r="S2468" s="3">
        <v>98</v>
      </c>
      <c r="T2468" t="s">
        <v>3643</v>
      </c>
      <c r="U2468" t="s">
        <v>3630</v>
      </c>
      <c r="V2468" t="s">
        <v>9895</v>
      </c>
      <c r="W2468" s="45">
        <v>1</v>
      </c>
      <c r="X2468" s="45">
        <v>1</v>
      </c>
      <c r="Y2468" s="45">
        <v>1</v>
      </c>
      <c r="Z2468" s="45">
        <v>1</v>
      </c>
      <c r="AA2468" s="45">
        <v>1</v>
      </c>
      <c r="AB2468" s="45">
        <v>0</v>
      </c>
      <c r="AC2468" s="150">
        <v>1</v>
      </c>
      <c r="AD2468" s="150">
        <v>0</v>
      </c>
      <c r="AE2468" s="49">
        <f t="shared" si="101"/>
        <v>0.75</v>
      </c>
      <c r="AF2468" s="44"/>
      <c r="AG2468" s="17">
        <v>0</v>
      </c>
      <c r="AH2468" s="44">
        <v>2</v>
      </c>
      <c r="AI2468" s="44">
        <v>2</v>
      </c>
      <c r="AJ2468" s="44">
        <v>2</v>
      </c>
      <c r="AK2468" s="151">
        <v>2</v>
      </c>
      <c r="AL2468" s="151">
        <v>2</v>
      </c>
      <c r="AM2468" s="147">
        <f t="shared" si="100"/>
        <v>4</v>
      </c>
      <c r="AN2468" s="18" t="s">
        <v>255</v>
      </c>
      <c r="AO2468" s="18" t="s">
        <v>1045</v>
      </c>
      <c r="AP2468" t="s">
        <v>9896</v>
      </c>
    </row>
    <row r="2469" spans="1:42" customFormat="1" x14ac:dyDescent="0.3">
      <c r="A2469" s="148" t="s">
        <v>8319</v>
      </c>
      <c r="B2469" t="s">
        <v>8320</v>
      </c>
      <c r="C2469" s="148" t="s">
        <v>9344</v>
      </c>
      <c r="D2469" t="s">
        <v>9345</v>
      </c>
      <c r="E2469" s="148" t="s">
        <v>9346</v>
      </c>
      <c r="F2469" t="s">
        <v>9347</v>
      </c>
      <c r="G2469" s="148" t="s">
        <v>9897</v>
      </c>
      <c r="H2469" t="s">
        <v>9898</v>
      </c>
      <c r="K2469" s="148" t="s">
        <v>9899</v>
      </c>
      <c r="L2469" t="s">
        <v>9900</v>
      </c>
      <c r="M2469" s="1" t="s">
        <v>9901</v>
      </c>
      <c r="N2469" s="1">
        <v>10</v>
      </c>
      <c r="O2469" s="1">
        <v>15</v>
      </c>
      <c r="P2469" s="3">
        <v>25</v>
      </c>
      <c r="Q2469" s="3">
        <v>35</v>
      </c>
      <c r="R2469" s="3">
        <v>45</v>
      </c>
      <c r="S2469" s="3">
        <v>50</v>
      </c>
      <c r="T2469" t="s">
        <v>771</v>
      </c>
      <c r="U2469" t="s">
        <v>773</v>
      </c>
      <c r="V2469" t="s">
        <v>9902</v>
      </c>
      <c r="W2469" s="45">
        <v>1</v>
      </c>
      <c r="X2469" s="45">
        <v>1</v>
      </c>
      <c r="Y2469" s="45">
        <v>1</v>
      </c>
      <c r="Z2469" s="45">
        <v>1</v>
      </c>
      <c r="AA2469" s="45">
        <v>1</v>
      </c>
      <c r="AB2469" s="45">
        <v>0</v>
      </c>
      <c r="AC2469" s="150">
        <v>1</v>
      </c>
      <c r="AD2469" s="150">
        <v>0</v>
      </c>
      <c r="AE2469" s="49">
        <f t="shared" si="101"/>
        <v>0.75</v>
      </c>
      <c r="AF2469" s="44"/>
      <c r="AG2469" s="17">
        <v>0</v>
      </c>
      <c r="AH2469" s="44">
        <v>0.5</v>
      </c>
      <c r="AI2469" s="44">
        <v>0.5</v>
      </c>
      <c r="AJ2469" s="44">
        <v>0.5</v>
      </c>
      <c r="AK2469" s="151">
        <v>0.5</v>
      </c>
      <c r="AL2469" s="151">
        <v>0.5</v>
      </c>
      <c r="AM2469" s="147">
        <f t="shared" ref="AM2469:AM2532" si="102">SUM(AK2469:AL2469)</f>
        <v>1</v>
      </c>
      <c r="AN2469" s="18" t="s">
        <v>255</v>
      </c>
      <c r="AO2469" s="18" t="s">
        <v>1045</v>
      </c>
      <c r="AP2469" t="s">
        <v>771</v>
      </c>
    </row>
    <row r="2470" spans="1:42" customFormat="1" x14ac:dyDescent="0.3">
      <c r="A2470" s="148" t="s">
        <v>8319</v>
      </c>
      <c r="B2470" t="s">
        <v>8320</v>
      </c>
      <c r="C2470" s="148" t="s">
        <v>9344</v>
      </c>
      <c r="D2470" t="s">
        <v>9345</v>
      </c>
      <c r="E2470" s="148" t="s">
        <v>9346</v>
      </c>
      <c r="F2470" t="s">
        <v>9347</v>
      </c>
      <c r="G2470" s="148" t="s">
        <v>9558</v>
      </c>
      <c r="H2470" t="s">
        <v>9559</v>
      </c>
      <c r="K2470" s="148" t="s">
        <v>9560</v>
      </c>
      <c r="L2470" t="s">
        <v>9561</v>
      </c>
      <c r="M2470" s="1" t="s">
        <v>9903</v>
      </c>
      <c r="N2470" s="1" t="s">
        <v>271</v>
      </c>
      <c r="O2470" s="1" t="s">
        <v>271</v>
      </c>
      <c r="P2470" s="3">
        <v>375</v>
      </c>
      <c r="Q2470" s="3">
        <v>625</v>
      </c>
      <c r="R2470" s="3">
        <v>675</v>
      </c>
      <c r="S2470" s="3">
        <v>750</v>
      </c>
      <c r="T2470" t="s">
        <v>2432</v>
      </c>
      <c r="U2470" t="s">
        <v>729</v>
      </c>
      <c r="V2470" t="s">
        <v>9904</v>
      </c>
      <c r="W2470" s="45">
        <v>1</v>
      </c>
      <c r="X2470" s="45">
        <v>1</v>
      </c>
      <c r="Y2470" s="45">
        <v>0</v>
      </c>
      <c r="Z2470" s="45">
        <v>1</v>
      </c>
      <c r="AA2470" s="45">
        <v>1</v>
      </c>
      <c r="AB2470" s="45">
        <v>0</v>
      </c>
      <c r="AC2470" s="150">
        <v>1</v>
      </c>
      <c r="AD2470" s="150">
        <v>1</v>
      </c>
      <c r="AE2470" s="49">
        <f t="shared" si="101"/>
        <v>0.75</v>
      </c>
      <c r="AF2470" s="17"/>
      <c r="AG2470" s="17"/>
      <c r="AH2470" s="17">
        <v>0</v>
      </c>
      <c r="AI2470" s="44">
        <v>7.1120000000000001</v>
      </c>
      <c r="AJ2470" s="44">
        <v>7.1120000000000001</v>
      </c>
      <c r="AK2470" s="151">
        <v>7.1120000000000001</v>
      </c>
      <c r="AL2470" s="151">
        <v>7.1120000000000001</v>
      </c>
      <c r="AM2470" s="147">
        <f t="shared" si="102"/>
        <v>14.224</v>
      </c>
      <c r="AN2470" t="s">
        <v>723</v>
      </c>
      <c r="AO2470" s="18" t="s">
        <v>729</v>
      </c>
      <c r="AP2470" t="s">
        <v>9905</v>
      </c>
    </row>
    <row r="2471" spans="1:42" customFormat="1" x14ac:dyDescent="0.3">
      <c r="A2471" s="148" t="s">
        <v>8319</v>
      </c>
      <c r="B2471" t="s">
        <v>8320</v>
      </c>
      <c r="C2471" s="148" t="s">
        <v>9344</v>
      </c>
      <c r="D2471" t="s">
        <v>9345</v>
      </c>
      <c r="E2471" s="148" t="s">
        <v>9346</v>
      </c>
      <c r="F2471" t="s">
        <v>9347</v>
      </c>
      <c r="G2471" s="148" t="s">
        <v>9558</v>
      </c>
      <c r="H2471" t="s">
        <v>9559</v>
      </c>
      <c r="K2471" s="148" t="s">
        <v>9560</v>
      </c>
      <c r="L2471" t="s">
        <v>9561</v>
      </c>
      <c r="M2471" s="1" t="s">
        <v>9906</v>
      </c>
      <c r="N2471" s="1" t="s">
        <v>271</v>
      </c>
      <c r="O2471" s="1">
        <v>500</v>
      </c>
      <c r="P2471" s="3">
        <v>500</v>
      </c>
      <c r="Q2471" s="3">
        <v>500</v>
      </c>
      <c r="R2471" s="3">
        <v>500</v>
      </c>
      <c r="S2471" s="3">
        <v>500</v>
      </c>
      <c r="T2471" t="s">
        <v>2432</v>
      </c>
      <c r="U2471" t="s">
        <v>729</v>
      </c>
      <c r="V2471" t="s">
        <v>9907</v>
      </c>
      <c r="W2471" s="45">
        <v>1</v>
      </c>
      <c r="X2471" s="45">
        <v>1</v>
      </c>
      <c r="Y2471" s="45">
        <v>0</v>
      </c>
      <c r="Z2471" s="45">
        <v>0</v>
      </c>
      <c r="AA2471" s="45">
        <v>1</v>
      </c>
      <c r="AB2471" s="45">
        <v>1</v>
      </c>
      <c r="AC2471" s="150">
        <v>1</v>
      </c>
      <c r="AD2471" s="150">
        <v>1</v>
      </c>
      <c r="AE2471" s="49">
        <f t="shared" si="101"/>
        <v>0.75</v>
      </c>
      <c r="AF2471" s="17"/>
      <c r="AG2471" s="17"/>
      <c r="AH2471" s="17">
        <v>0</v>
      </c>
      <c r="AI2471" s="44">
        <v>3</v>
      </c>
      <c r="AJ2471" s="44">
        <v>8</v>
      </c>
      <c r="AK2471" s="151">
        <v>20</v>
      </c>
      <c r="AL2471" s="151">
        <v>20</v>
      </c>
      <c r="AM2471" s="147">
        <f t="shared" si="102"/>
        <v>40</v>
      </c>
      <c r="AN2471" s="44" t="s">
        <v>723</v>
      </c>
      <c r="AO2471" s="18" t="s">
        <v>729</v>
      </c>
      <c r="AP2471" t="s">
        <v>119</v>
      </c>
    </row>
    <row r="2472" spans="1:42" customFormat="1" x14ac:dyDescent="0.3">
      <c r="A2472" s="148" t="s">
        <v>8319</v>
      </c>
      <c r="B2472" t="s">
        <v>8320</v>
      </c>
      <c r="C2472" s="148" t="s">
        <v>9344</v>
      </c>
      <c r="D2472" t="s">
        <v>9345</v>
      </c>
      <c r="E2472" s="148" t="s">
        <v>9346</v>
      </c>
      <c r="F2472" t="s">
        <v>9347</v>
      </c>
      <c r="G2472" s="148" t="s">
        <v>9558</v>
      </c>
      <c r="H2472" t="s">
        <v>9559</v>
      </c>
      <c r="K2472" s="148" t="s">
        <v>9560</v>
      </c>
      <c r="L2472" t="s">
        <v>9561</v>
      </c>
      <c r="M2472" s="1" t="s">
        <v>9908</v>
      </c>
      <c r="N2472" s="1" t="s">
        <v>271</v>
      </c>
      <c r="O2472" s="1">
        <v>500</v>
      </c>
      <c r="P2472" s="3">
        <v>500</v>
      </c>
      <c r="Q2472" s="3">
        <v>500</v>
      </c>
      <c r="R2472" s="3">
        <v>500</v>
      </c>
      <c r="S2472" s="3">
        <v>500</v>
      </c>
      <c r="T2472" t="s">
        <v>2432</v>
      </c>
      <c r="U2472" t="s">
        <v>729</v>
      </c>
      <c r="V2472" t="s">
        <v>9909</v>
      </c>
      <c r="W2472" s="45">
        <v>1</v>
      </c>
      <c r="X2472" s="45">
        <v>1</v>
      </c>
      <c r="Y2472" s="45">
        <v>0</v>
      </c>
      <c r="Z2472" s="45">
        <v>1</v>
      </c>
      <c r="AA2472" s="45">
        <v>1</v>
      </c>
      <c r="AB2472" s="45">
        <v>1</v>
      </c>
      <c r="AC2472" s="150">
        <v>0</v>
      </c>
      <c r="AD2472" s="150">
        <v>1</v>
      </c>
      <c r="AE2472" s="49">
        <f t="shared" ref="AE2472:AE2535" si="103">SUM(W2472:AD2472)/8</f>
        <v>0.75</v>
      </c>
      <c r="AF2472" s="44"/>
      <c r="AG2472" s="17"/>
      <c r="AH2472" s="44">
        <v>1.9</v>
      </c>
      <c r="AI2472" s="44">
        <v>1.9</v>
      </c>
      <c r="AJ2472" s="44">
        <v>1.9</v>
      </c>
      <c r="AK2472" s="151">
        <v>40</v>
      </c>
      <c r="AL2472" s="151">
        <v>60</v>
      </c>
      <c r="AM2472" s="147">
        <f t="shared" si="102"/>
        <v>100</v>
      </c>
      <c r="AN2472" s="44" t="s">
        <v>723</v>
      </c>
      <c r="AO2472" s="18" t="s">
        <v>729</v>
      </c>
      <c r="AP2472" t="s">
        <v>119</v>
      </c>
    </row>
    <row r="2473" spans="1:42" customFormat="1" x14ac:dyDescent="0.3">
      <c r="A2473" s="148" t="s">
        <v>8319</v>
      </c>
      <c r="B2473" t="s">
        <v>8320</v>
      </c>
      <c r="C2473" s="148" t="s">
        <v>9344</v>
      </c>
      <c r="D2473" t="s">
        <v>9345</v>
      </c>
      <c r="E2473" s="148" t="s">
        <v>9346</v>
      </c>
      <c r="F2473" t="s">
        <v>9347</v>
      </c>
      <c r="G2473" s="148" t="s">
        <v>9558</v>
      </c>
      <c r="H2473" t="s">
        <v>9559</v>
      </c>
      <c r="K2473" s="148" t="s">
        <v>9560</v>
      </c>
      <c r="L2473" t="s">
        <v>9561</v>
      </c>
      <c r="M2473" s="1" t="s">
        <v>9910</v>
      </c>
      <c r="N2473" s="1" t="s">
        <v>271</v>
      </c>
      <c r="O2473" s="1"/>
      <c r="P2473" s="3">
        <v>630</v>
      </c>
      <c r="Q2473" s="3">
        <v>618</v>
      </c>
      <c r="R2473" s="3">
        <v>545</v>
      </c>
      <c r="S2473" s="3">
        <v>417</v>
      </c>
      <c r="T2473" t="s">
        <v>1977</v>
      </c>
      <c r="U2473" t="s">
        <v>9869</v>
      </c>
      <c r="V2473" t="s">
        <v>9911</v>
      </c>
      <c r="W2473" s="45">
        <v>1</v>
      </c>
      <c r="X2473" s="45">
        <v>0</v>
      </c>
      <c r="Y2473" s="45">
        <v>1</v>
      </c>
      <c r="Z2473" s="45">
        <v>0</v>
      </c>
      <c r="AA2473" s="45">
        <v>1</v>
      </c>
      <c r="AB2473" s="45">
        <v>1</v>
      </c>
      <c r="AC2473" s="150">
        <v>1</v>
      </c>
      <c r="AD2473" s="150">
        <v>1</v>
      </c>
      <c r="AE2473" s="49">
        <f t="shared" si="103"/>
        <v>0.75</v>
      </c>
      <c r="AF2473" s="17"/>
      <c r="AG2473" s="17"/>
      <c r="AH2473" s="17">
        <v>0</v>
      </c>
      <c r="AI2473" s="44">
        <v>17.5</v>
      </c>
      <c r="AJ2473" s="44">
        <v>17.059999999999999</v>
      </c>
      <c r="AK2473" s="151">
        <v>5</v>
      </c>
      <c r="AL2473" s="151">
        <v>20</v>
      </c>
      <c r="AM2473" s="147">
        <f t="shared" si="102"/>
        <v>25</v>
      </c>
      <c r="AN2473" s="44" t="s">
        <v>723</v>
      </c>
      <c r="AO2473" s="18" t="s">
        <v>729</v>
      </c>
      <c r="AP2473" t="s">
        <v>119</v>
      </c>
    </row>
    <row r="2474" spans="1:42" customFormat="1" x14ac:dyDescent="0.3">
      <c r="A2474" s="148" t="s">
        <v>8319</v>
      </c>
      <c r="B2474" t="s">
        <v>8320</v>
      </c>
      <c r="C2474" s="148" t="s">
        <v>9344</v>
      </c>
      <c r="D2474" t="s">
        <v>9345</v>
      </c>
      <c r="E2474" s="148" t="s">
        <v>9346</v>
      </c>
      <c r="F2474" t="s">
        <v>9347</v>
      </c>
      <c r="G2474" s="148" t="s">
        <v>9558</v>
      </c>
      <c r="H2474" t="s">
        <v>9559</v>
      </c>
      <c r="K2474" s="148" t="s">
        <v>9560</v>
      </c>
      <c r="L2474" t="s">
        <v>9561</v>
      </c>
      <c r="M2474" s="1" t="s">
        <v>9912</v>
      </c>
      <c r="N2474" s="1" t="s">
        <v>271</v>
      </c>
      <c r="O2474" s="1">
        <v>1000000</v>
      </c>
      <c r="P2474" s="3">
        <v>1949000</v>
      </c>
      <c r="Q2474" s="3">
        <v>1949000</v>
      </c>
      <c r="R2474" s="3">
        <v>1949000</v>
      </c>
      <c r="S2474" s="3">
        <v>1949000</v>
      </c>
      <c r="T2474" t="s">
        <v>2432</v>
      </c>
      <c r="U2474" t="s">
        <v>729</v>
      </c>
      <c r="V2474" t="s">
        <v>9913</v>
      </c>
      <c r="W2474" s="45">
        <v>1</v>
      </c>
      <c r="X2474" s="45">
        <v>1</v>
      </c>
      <c r="Y2474" s="45">
        <v>0</v>
      </c>
      <c r="Z2474" s="45">
        <v>1</v>
      </c>
      <c r="AA2474" s="45">
        <v>1</v>
      </c>
      <c r="AB2474" s="45">
        <v>0</v>
      </c>
      <c r="AC2474" s="150">
        <v>1</v>
      </c>
      <c r="AD2474" s="150">
        <v>1</v>
      </c>
      <c r="AE2474" s="49">
        <f t="shared" si="103"/>
        <v>0.75</v>
      </c>
      <c r="AF2474" s="44"/>
      <c r="AG2474" s="17"/>
      <c r="AH2474" s="44">
        <v>20</v>
      </c>
      <c r="AI2474" s="44">
        <v>19.2</v>
      </c>
      <c r="AJ2474" s="44">
        <v>19.2</v>
      </c>
      <c r="AK2474" s="151">
        <v>19.2</v>
      </c>
      <c r="AL2474" s="151">
        <v>19.2</v>
      </c>
      <c r="AM2474" s="147">
        <f t="shared" si="102"/>
        <v>38.4</v>
      </c>
      <c r="AN2474" s="44" t="s">
        <v>723</v>
      </c>
      <c r="AO2474" s="18" t="s">
        <v>729</v>
      </c>
      <c r="AP2474" t="s">
        <v>1977</v>
      </c>
    </row>
    <row r="2475" spans="1:42" customFormat="1" x14ac:dyDescent="0.3">
      <c r="A2475" s="148" t="s">
        <v>8319</v>
      </c>
      <c r="B2475" t="s">
        <v>8320</v>
      </c>
      <c r="C2475" s="148" t="s">
        <v>9344</v>
      </c>
      <c r="D2475" t="s">
        <v>9345</v>
      </c>
      <c r="E2475" s="148" t="s">
        <v>9346</v>
      </c>
      <c r="F2475" t="s">
        <v>9347</v>
      </c>
      <c r="G2475" s="148" t="s">
        <v>9558</v>
      </c>
      <c r="H2475" t="s">
        <v>9559</v>
      </c>
      <c r="K2475" s="148" t="s">
        <v>9560</v>
      </c>
      <c r="L2475" t="s">
        <v>9561</v>
      </c>
      <c r="M2475" s="1" t="s">
        <v>9914</v>
      </c>
      <c r="N2475" s="1" t="s">
        <v>271</v>
      </c>
      <c r="O2475" s="1"/>
      <c r="P2475" s="3">
        <v>112460</v>
      </c>
      <c r="Q2475" s="3">
        <v>112460</v>
      </c>
      <c r="R2475" s="3">
        <v>112460</v>
      </c>
      <c r="S2475" s="3">
        <v>112460</v>
      </c>
      <c r="T2475" t="s">
        <v>2432</v>
      </c>
      <c r="U2475" t="s">
        <v>729</v>
      </c>
      <c r="V2475" t="s">
        <v>9915</v>
      </c>
      <c r="W2475" s="45">
        <v>1</v>
      </c>
      <c r="X2475" s="45">
        <v>1</v>
      </c>
      <c r="Y2475" s="45">
        <v>0</v>
      </c>
      <c r="Z2475" s="45">
        <v>1</v>
      </c>
      <c r="AA2475" s="45">
        <v>1</v>
      </c>
      <c r="AB2475" s="45">
        <v>0</v>
      </c>
      <c r="AC2475" s="150">
        <v>1</v>
      </c>
      <c r="AD2475" s="150">
        <v>1</v>
      </c>
      <c r="AE2475" s="49">
        <f t="shared" si="103"/>
        <v>0.75</v>
      </c>
      <c r="AF2475" s="17"/>
      <c r="AG2475" s="17"/>
      <c r="AH2475" s="17">
        <v>0</v>
      </c>
      <c r="AI2475" s="44">
        <v>0</v>
      </c>
      <c r="AJ2475" s="44">
        <v>0</v>
      </c>
      <c r="AK2475" s="151">
        <v>2</v>
      </c>
      <c r="AL2475" s="151">
        <v>5</v>
      </c>
      <c r="AM2475" s="147">
        <f t="shared" si="102"/>
        <v>7</v>
      </c>
      <c r="AN2475" s="44" t="s">
        <v>723</v>
      </c>
      <c r="AO2475" s="18" t="s">
        <v>729</v>
      </c>
      <c r="AP2475" t="s">
        <v>9916</v>
      </c>
    </row>
    <row r="2476" spans="1:42" customFormat="1" x14ac:dyDescent="0.3">
      <c r="A2476" s="148" t="s">
        <v>8319</v>
      </c>
      <c r="B2476" t="s">
        <v>8320</v>
      </c>
      <c r="C2476" s="148" t="s">
        <v>9344</v>
      </c>
      <c r="D2476" t="s">
        <v>9345</v>
      </c>
      <c r="E2476" s="148" t="s">
        <v>9346</v>
      </c>
      <c r="F2476" t="s">
        <v>9347</v>
      </c>
      <c r="G2476" s="148" t="s">
        <v>9558</v>
      </c>
      <c r="H2476" t="s">
        <v>9559</v>
      </c>
      <c r="K2476" s="148" t="s">
        <v>9560</v>
      </c>
      <c r="L2476" t="s">
        <v>9561</v>
      </c>
      <c r="M2476" s="1" t="s">
        <v>9917</v>
      </c>
      <c r="N2476" s="1" t="s">
        <v>271</v>
      </c>
      <c r="O2476" s="1">
        <v>4</v>
      </c>
      <c r="P2476" s="3">
        <v>4</v>
      </c>
      <c r="Q2476" s="3">
        <v>4</v>
      </c>
      <c r="R2476" s="3">
        <v>4</v>
      </c>
      <c r="S2476" s="3">
        <v>4</v>
      </c>
      <c r="T2476" t="s">
        <v>9918</v>
      </c>
      <c r="U2476" t="e">
        <v>#N/A</v>
      </c>
      <c r="V2476" t="s">
        <v>9919</v>
      </c>
      <c r="W2476" s="45">
        <v>1</v>
      </c>
      <c r="X2476" s="45">
        <v>1</v>
      </c>
      <c r="Y2476" s="45">
        <v>0</v>
      </c>
      <c r="Z2476" s="45">
        <v>1</v>
      </c>
      <c r="AA2476" s="45">
        <v>1</v>
      </c>
      <c r="AB2476" s="45">
        <v>0</v>
      </c>
      <c r="AC2476" s="150">
        <v>1</v>
      </c>
      <c r="AD2476" s="150">
        <v>1</v>
      </c>
      <c r="AE2476" s="49">
        <f t="shared" si="103"/>
        <v>0.75</v>
      </c>
      <c r="AF2476" s="44"/>
      <c r="AG2476" s="17"/>
      <c r="AH2476" s="44">
        <v>18.28</v>
      </c>
      <c r="AI2476" s="44">
        <v>20</v>
      </c>
      <c r="AJ2476" s="44">
        <v>20</v>
      </c>
      <c r="AK2476" s="151">
        <f>5+3+3+80</f>
        <v>91</v>
      </c>
      <c r="AL2476" s="151">
        <f>5+3+3+50</f>
        <v>61</v>
      </c>
      <c r="AM2476" s="147">
        <f t="shared" si="102"/>
        <v>152</v>
      </c>
      <c r="AN2476" s="44" t="s">
        <v>1977</v>
      </c>
      <c r="AO2476" s="18" t="s">
        <v>9869</v>
      </c>
      <c r="AP2476" t="s">
        <v>723</v>
      </c>
    </row>
    <row r="2477" spans="1:42" customFormat="1" x14ac:dyDescent="0.3">
      <c r="A2477" s="148" t="s">
        <v>8319</v>
      </c>
      <c r="B2477" t="s">
        <v>8320</v>
      </c>
      <c r="C2477" s="148" t="s">
        <v>9344</v>
      </c>
      <c r="D2477" t="s">
        <v>9345</v>
      </c>
      <c r="E2477" s="148" t="s">
        <v>9346</v>
      </c>
      <c r="F2477" t="s">
        <v>9347</v>
      </c>
      <c r="G2477" s="148" t="s">
        <v>9558</v>
      </c>
      <c r="H2477" t="s">
        <v>9559</v>
      </c>
      <c r="K2477" s="148" t="s">
        <v>9560</v>
      </c>
      <c r="L2477" t="s">
        <v>9561</v>
      </c>
      <c r="M2477" s="1" t="s">
        <v>9920</v>
      </c>
      <c r="N2477" s="1" t="s">
        <v>271</v>
      </c>
      <c r="O2477" s="1">
        <v>39</v>
      </c>
      <c r="P2477" s="3">
        <v>350</v>
      </c>
      <c r="Q2477" s="3">
        <v>370</v>
      </c>
      <c r="R2477" s="3">
        <v>380</v>
      </c>
      <c r="S2477" s="3">
        <v>800</v>
      </c>
      <c r="T2477" t="s">
        <v>2432</v>
      </c>
      <c r="U2477" t="s">
        <v>729</v>
      </c>
      <c r="V2477" t="s">
        <v>9921</v>
      </c>
      <c r="W2477" s="45">
        <v>1</v>
      </c>
      <c r="X2477" s="45">
        <v>1</v>
      </c>
      <c r="Y2477" s="45">
        <v>0</v>
      </c>
      <c r="Z2477" s="45">
        <v>1</v>
      </c>
      <c r="AA2477" s="45">
        <v>1</v>
      </c>
      <c r="AB2477" s="45">
        <v>0</v>
      </c>
      <c r="AC2477" s="150">
        <v>1</v>
      </c>
      <c r="AD2477" s="150">
        <v>1</v>
      </c>
      <c r="AE2477" s="49">
        <f t="shared" si="103"/>
        <v>0.75</v>
      </c>
      <c r="AF2477" s="44"/>
      <c r="AG2477" s="17"/>
      <c r="AH2477" s="44">
        <v>0</v>
      </c>
      <c r="AI2477" s="44">
        <v>0</v>
      </c>
      <c r="AJ2477" s="44">
        <v>0</v>
      </c>
      <c r="AK2477" s="151">
        <v>10</v>
      </c>
      <c r="AL2477" s="151">
        <v>15</v>
      </c>
      <c r="AM2477" s="147">
        <f t="shared" si="102"/>
        <v>25</v>
      </c>
      <c r="AN2477" s="44" t="s">
        <v>723</v>
      </c>
      <c r="AO2477" s="18" t="s">
        <v>729</v>
      </c>
      <c r="AP2477" t="s">
        <v>9922</v>
      </c>
    </row>
    <row r="2478" spans="1:42" customFormat="1" x14ac:dyDescent="0.3">
      <c r="A2478" s="148" t="s">
        <v>8319</v>
      </c>
      <c r="B2478" t="s">
        <v>8320</v>
      </c>
      <c r="C2478" s="148" t="s">
        <v>9344</v>
      </c>
      <c r="D2478" t="s">
        <v>9345</v>
      </c>
      <c r="E2478" s="148" t="s">
        <v>9346</v>
      </c>
      <c r="F2478" t="s">
        <v>9347</v>
      </c>
      <c r="G2478" s="148" t="s">
        <v>9558</v>
      </c>
      <c r="H2478" t="s">
        <v>9559</v>
      </c>
      <c r="K2478" s="148" t="s">
        <v>9560</v>
      </c>
      <c r="L2478" t="s">
        <v>9561</v>
      </c>
      <c r="M2478" s="1" t="s">
        <v>9923</v>
      </c>
      <c r="N2478" s="1" t="s">
        <v>271</v>
      </c>
      <c r="O2478" s="1" t="s">
        <v>271</v>
      </c>
      <c r="P2478" s="3">
        <v>1</v>
      </c>
      <c r="Q2478" s="3">
        <v>1</v>
      </c>
      <c r="R2478" s="3">
        <v>1</v>
      </c>
      <c r="S2478" s="3">
        <v>1</v>
      </c>
      <c r="T2478" t="s">
        <v>2432</v>
      </c>
      <c r="U2478" t="s">
        <v>729</v>
      </c>
      <c r="V2478" t="s">
        <v>9924</v>
      </c>
      <c r="W2478" s="45">
        <v>1</v>
      </c>
      <c r="X2478" s="45">
        <v>1</v>
      </c>
      <c r="Y2478" s="45">
        <v>1</v>
      </c>
      <c r="Z2478" s="45">
        <v>1</v>
      </c>
      <c r="AA2478" s="45">
        <v>1</v>
      </c>
      <c r="AB2478" s="45">
        <v>0</v>
      </c>
      <c r="AC2478" s="150">
        <v>0</v>
      </c>
      <c r="AD2478" s="150">
        <v>1</v>
      </c>
      <c r="AE2478" s="49">
        <f t="shared" si="103"/>
        <v>0.75</v>
      </c>
      <c r="AF2478" s="44"/>
      <c r="AG2478" s="17"/>
      <c r="AH2478" s="44">
        <v>6.5</v>
      </c>
      <c r="AI2478" s="44">
        <v>4</v>
      </c>
      <c r="AJ2478" s="44">
        <v>4</v>
      </c>
      <c r="AK2478" s="151">
        <v>4</v>
      </c>
      <c r="AL2478" s="151">
        <v>7</v>
      </c>
      <c r="AM2478" s="147">
        <f t="shared" si="102"/>
        <v>11</v>
      </c>
      <c r="AN2478" s="44" t="s">
        <v>723</v>
      </c>
      <c r="AO2478" s="18" t="s">
        <v>729</v>
      </c>
      <c r="AP2478" t="s">
        <v>119</v>
      </c>
    </row>
    <row r="2479" spans="1:42" customFormat="1" x14ac:dyDescent="0.3">
      <c r="A2479" s="148" t="s">
        <v>8319</v>
      </c>
      <c r="B2479" t="s">
        <v>8320</v>
      </c>
      <c r="C2479" s="148" t="s">
        <v>9344</v>
      </c>
      <c r="D2479" t="s">
        <v>9345</v>
      </c>
      <c r="E2479" s="148" t="s">
        <v>9346</v>
      </c>
      <c r="F2479" t="s">
        <v>9347</v>
      </c>
      <c r="G2479" s="148" t="s">
        <v>9558</v>
      </c>
      <c r="H2479" t="s">
        <v>9559</v>
      </c>
      <c r="K2479" s="148" t="s">
        <v>9560</v>
      </c>
      <c r="L2479" t="s">
        <v>9561</v>
      </c>
      <c r="M2479" s="1"/>
      <c r="N2479" s="1"/>
      <c r="O2479" s="1"/>
      <c r="P2479" s="3"/>
      <c r="Q2479" s="3">
        <v>2</v>
      </c>
      <c r="R2479" s="3">
        <v>3</v>
      </c>
      <c r="S2479" s="3">
        <v>3</v>
      </c>
      <c r="T2479" t="s">
        <v>2432</v>
      </c>
      <c r="U2479" t="s">
        <v>729</v>
      </c>
      <c r="V2479" t="s">
        <v>9925</v>
      </c>
      <c r="W2479" s="45">
        <v>1</v>
      </c>
      <c r="X2479" s="45">
        <v>0</v>
      </c>
      <c r="Y2479" s="45">
        <v>1</v>
      </c>
      <c r="Z2479" s="45">
        <v>1</v>
      </c>
      <c r="AA2479" s="45">
        <v>1</v>
      </c>
      <c r="AB2479" s="45">
        <v>1</v>
      </c>
      <c r="AC2479" s="150">
        <v>0</v>
      </c>
      <c r="AD2479" s="150">
        <v>1</v>
      </c>
      <c r="AE2479" s="49">
        <f t="shared" si="103"/>
        <v>0.75</v>
      </c>
      <c r="AF2479" s="44"/>
      <c r="AG2479" s="17"/>
      <c r="AH2479" s="44">
        <v>10</v>
      </c>
      <c r="AI2479" s="44">
        <v>15</v>
      </c>
      <c r="AJ2479" s="44">
        <v>15</v>
      </c>
      <c r="AK2479" s="151">
        <v>90</v>
      </c>
      <c r="AL2479" s="151">
        <v>130</v>
      </c>
      <c r="AM2479" s="147">
        <f t="shared" si="102"/>
        <v>220</v>
      </c>
      <c r="AN2479" s="44" t="s">
        <v>9926</v>
      </c>
      <c r="AO2479" s="18" t="s">
        <v>9927</v>
      </c>
      <c r="AP2479" t="s">
        <v>723</v>
      </c>
    </row>
    <row r="2480" spans="1:42" customFormat="1" x14ac:dyDescent="0.3">
      <c r="A2480" s="148" t="s">
        <v>8319</v>
      </c>
      <c r="B2480" t="s">
        <v>8320</v>
      </c>
      <c r="C2480" s="148" t="s">
        <v>9344</v>
      </c>
      <c r="D2480" t="s">
        <v>9345</v>
      </c>
      <c r="E2480" s="148" t="s">
        <v>9346</v>
      </c>
      <c r="F2480" t="s">
        <v>9347</v>
      </c>
      <c r="G2480" s="148" t="s">
        <v>9558</v>
      </c>
      <c r="H2480" t="s">
        <v>9559</v>
      </c>
      <c r="K2480" s="148" t="s">
        <v>9560</v>
      </c>
      <c r="L2480" t="s">
        <v>9561</v>
      </c>
      <c r="M2480" s="1"/>
      <c r="N2480" s="1"/>
      <c r="O2480" s="1"/>
      <c r="P2480" s="3"/>
      <c r="Q2480" s="3">
        <v>5</v>
      </c>
      <c r="R2480" s="3">
        <v>5</v>
      </c>
      <c r="S2480" s="3">
        <v>5</v>
      </c>
      <c r="T2480" t="s">
        <v>2432</v>
      </c>
      <c r="U2480" t="s">
        <v>729</v>
      </c>
      <c r="V2480" t="s">
        <v>9928</v>
      </c>
      <c r="W2480" s="45">
        <v>1</v>
      </c>
      <c r="X2480" s="45">
        <v>1</v>
      </c>
      <c r="Y2480" s="45">
        <v>0</v>
      </c>
      <c r="Z2480" s="45">
        <v>1</v>
      </c>
      <c r="AA2480" s="45">
        <v>1</v>
      </c>
      <c r="AB2480" s="45">
        <v>1</v>
      </c>
      <c r="AC2480" s="150">
        <v>0</v>
      </c>
      <c r="AD2480" s="150">
        <v>1</v>
      </c>
      <c r="AE2480" s="49">
        <f t="shared" si="103"/>
        <v>0.75</v>
      </c>
      <c r="AF2480" s="17"/>
      <c r="AG2480" s="17">
        <v>0</v>
      </c>
      <c r="AH2480" s="17">
        <v>0</v>
      </c>
      <c r="AI2480" s="44">
        <v>85</v>
      </c>
      <c r="AJ2480" s="44">
        <v>30</v>
      </c>
      <c r="AK2480" s="151">
        <v>10</v>
      </c>
      <c r="AL2480" s="151">
        <v>5</v>
      </c>
      <c r="AM2480" s="147">
        <f t="shared" si="102"/>
        <v>15</v>
      </c>
      <c r="AN2480" s="44" t="s">
        <v>9929</v>
      </c>
      <c r="AO2480" s="18" t="s">
        <v>729</v>
      </c>
      <c r="AP2480" t="s">
        <v>9930</v>
      </c>
    </row>
    <row r="2481" spans="1:42" customFormat="1" x14ac:dyDescent="0.3">
      <c r="A2481" s="148" t="s">
        <v>8319</v>
      </c>
      <c r="B2481" t="s">
        <v>8320</v>
      </c>
      <c r="C2481" s="148" t="s">
        <v>9369</v>
      </c>
      <c r="D2481" t="s">
        <v>9370</v>
      </c>
      <c r="E2481" s="148" t="s">
        <v>9371</v>
      </c>
      <c r="F2481" t="s">
        <v>9372</v>
      </c>
      <c r="G2481" s="148" t="s">
        <v>9373</v>
      </c>
      <c r="H2481" t="s">
        <v>9374</v>
      </c>
      <c r="I2481" t="s">
        <v>9375</v>
      </c>
      <c r="J2481" t="s">
        <v>9376</v>
      </c>
      <c r="K2481" s="148" t="s">
        <v>9578</v>
      </c>
      <c r="L2481" t="s">
        <v>9579</v>
      </c>
      <c r="M2481" s="1" t="s">
        <v>9931</v>
      </c>
      <c r="N2481" s="1" t="s">
        <v>271</v>
      </c>
      <c r="O2481" s="1">
        <v>0</v>
      </c>
      <c r="P2481" s="3">
        <v>1</v>
      </c>
      <c r="Q2481" s="3"/>
      <c r="R2481" s="3"/>
      <c r="S2481" s="3"/>
      <c r="T2481" t="s">
        <v>771</v>
      </c>
      <c r="U2481" t="s">
        <v>773</v>
      </c>
      <c r="V2481" t="s">
        <v>9932</v>
      </c>
      <c r="W2481" s="45">
        <v>1</v>
      </c>
      <c r="X2481" s="45">
        <v>1</v>
      </c>
      <c r="Y2481" s="45">
        <v>1</v>
      </c>
      <c r="Z2481" s="45">
        <v>1</v>
      </c>
      <c r="AA2481" s="45">
        <v>1</v>
      </c>
      <c r="AB2481" s="45">
        <v>0</v>
      </c>
      <c r="AC2481" s="150">
        <v>0</v>
      </c>
      <c r="AD2481" s="150">
        <v>1</v>
      </c>
      <c r="AE2481" s="49">
        <f t="shared" si="103"/>
        <v>0.75</v>
      </c>
      <c r="AF2481" s="44"/>
      <c r="AG2481" s="17">
        <v>0</v>
      </c>
      <c r="AH2481" s="44" t="s">
        <v>3926</v>
      </c>
      <c r="AI2481" s="44" t="s">
        <v>9383</v>
      </c>
      <c r="AJ2481" s="17">
        <v>0</v>
      </c>
      <c r="AK2481" s="151">
        <v>0.8</v>
      </c>
      <c r="AL2481" s="151">
        <v>0.8</v>
      </c>
      <c r="AM2481" s="147">
        <f t="shared" si="102"/>
        <v>1.6</v>
      </c>
      <c r="AN2481" s="18" t="s">
        <v>831</v>
      </c>
      <c r="AO2481" s="18" t="s">
        <v>834</v>
      </c>
      <c r="AP2481" t="s">
        <v>1536</v>
      </c>
    </row>
    <row r="2482" spans="1:42" customFormat="1" x14ac:dyDescent="0.3">
      <c r="A2482" s="148" t="s">
        <v>8319</v>
      </c>
      <c r="B2482" t="s">
        <v>8320</v>
      </c>
      <c r="C2482" s="148" t="s">
        <v>9369</v>
      </c>
      <c r="D2482" t="s">
        <v>9370</v>
      </c>
      <c r="E2482" s="148" t="s">
        <v>9371</v>
      </c>
      <c r="F2482" t="s">
        <v>9372</v>
      </c>
      <c r="G2482" s="148" t="s">
        <v>9373</v>
      </c>
      <c r="H2482" t="s">
        <v>9374</v>
      </c>
      <c r="I2482" t="s">
        <v>9375</v>
      </c>
      <c r="J2482" t="s">
        <v>9376</v>
      </c>
      <c r="K2482" s="148" t="s">
        <v>9578</v>
      </c>
      <c r="L2482" t="s">
        <v>9579</v>
      </c>
      <c r="M2482" s="1" t="s">
        <v>9933</v>
      </c>
      <c r="N2482" s="1">
        <v>0</v>
      </c>
      <c r="O2482" s="1">
        <v>0</v>
      </c>
      <c r="P2482" s="3">
        <v>10</v>
      </c>
      <c r="Q2482" s="3">
        <v>10</v>
      </c>
      <c r="R2482" s="3">
        <v>10</v>
      </c>
      <c r="S2482" s="3">
        <v>10</v>
      </c>
      <c r="T2482" t="s">
        <v>771</v>
      </c>
      <c r="U2482" t="s">
        <v>773</v>
      </c>
      <c r="V2482" t="s">
        <v>9934</v>
      </c>
      <c r="W2482" s="45">
        <v>1</v>
      </c>
      <c r="X2482" s="45">
        <v>1</v>
      </c>
      <c r="Y2482" s="45">
        <v>1</v>
      </c>
      <c r="Z2482" s="45">
        <v>1</v>
      </c>
      <c r="AA2482" s="45">
        <v>1</v>
      </c>
      <c r="AB2482" s="45">
        <v>1</v>
      </c>
      <c r="AC2482" s="150">
        <v>0</v>
      </c>
      <c r="AD2482" s="150">
        <v>1</v>
      </c>
      <c r="AE2482" s="49">
        <f t="shared" si="103"/>
        <v>0.875</v>
      </c>
      <c r="AF2482" s="17"/>
      <c r="AG2482" s="17">
        <v>0</v>
      </c>
      <c r="AH2482" s="17">
        <v>0</v>
      </c>
      <c r="AI2482" s="44">
        <v>0</v>
      </c>
      <c r="AJ2482" s="44">
        <v>0</v>
      </c>
      <c r="AK2482" s="377">
        <v>10</v>
      </c>
      <c r="AL2482" s="377">
        <v>14</v>
      </c>
      <c r="AM2482" s="147">
        <f t="shared" si="102"/>
        <v>24</v>
      </c>
      <c r="AN2482" s="18" t="s">
        <v>771</v>
      </c>
      <c r="AO2482" s="18" t="s">
        <v>773</v>
      </c>
      <c r="AP2482" t="s">
        <v>119</v>
      </c>
    </row>
    <row r="2483" spans="1:42" customFormat="1" x14ac:dyDescent="0.3">
      <c r="A2483" s="148" t="s">
        <v>8319</v>
      </c>
      <c r="B2483" t="s">
        <v>8320</v>
      </c>
      <c r="C2483" s="148" t="s">
        <v>9369</v>
      </c>
      <c r="D2483" t="s">
        <v>9370</v>
      </c>
      <c r="E2483" s="148" t="s">
        <v>9371</v>
      </c>
      <c r="F2483" t="s">
        <v>9372</v>
      </c>
      <c r="G2483" s="148" t="s">
        <v>9373</v>
      </c>
      <c r="H2483" t="s">
        <v>9374</v>
      </c>
      <c r="I2483" t="s">
        <v>9375</v>
      </c>
      <c r="J2483" t="s">
        <v>9376</v>
      </c>
      <c r="K2483" s="148" t="s">
        <v>9578</v>
      </c>
      <c r="L2483" t="s">
        <v>9579</v>
      </c>
      <c r="M2483" s="1" t="s">
        <v>9935</v>
      </c>
      <c r="N2483" s="1">
        <v>277</v>
      </c>
      <c r="O2483" s="1">
        <v>100</v>
      </c>
      <c r="P2483" s="3">
        <v>11620</v>
      </c>
      <c r="Q2483" s="3">
        <v>11620</v>
      </c>
      <c r="R2483" s="3">
        <v>11620</v>
      </c>
      <c r="S2483" s="3">
        <v>11620</v>
      </c>
      <c r="T2483" t="s">
        <v>771</v>
      </c>
      <c r="U2483" t="s">
        <v>773</v>
      </c>
      <c r="V2483" t="s">
        <v>9936</v>
      </c>
      <c r="W2483" s="45">
        <v>1</v>
      </c>
      <c r="X2483" s="45">
        <v>1</v>
      </c>
      <c r="Y2483" s="45">
        <v>1</v>
      </c>
      <c r="Z2483" s="45">
        <v>1</v>
      </c>
      <c r="AA2483" s="45">
        <v>1</v>
      </c>
      <c r="AB2483" s="45">
        <v>1</v>
      </c>
      <c r="AC2483" s="150">
        <v>0</v>
      </c>
      <c r="AD2483" s="150">
        <v>1</v>
      </c>
      <c r="AE2483" s="49">
        <f t="shared" si="103"/>
        <v>0.875</v>
      </c>
      <c r="AF2483" s="44"/>
      <c r="AG2483" s="17">
        <v>0</v>
      </c>
      <c r="AH2483" s="44">
        <v>0.7</v>
      </c>
      <c r="AI2483" s="44">
        <v>56</v>
      </c>
      <c r="AJ2483" s="44">
        <v>56</v>
      </c>
      <c r="AK2483" s="379">
        <v>76.92</v>
      </c>
      <c r="AL2483" s="379">
        <v>71.8</v>
      </c>
      <c r="AM2483" s="147">
        <f t="shared" si="102"/>
        <v>148.72</v>
      </c>
      <c r="AN2483" s="18" t="s">
        <v>771</v>
      </c>
      <c r="AO2483" s="18" t="s">
        <v>773</v>
      </c>
      <c r="AP2483" t="s">
        <v>982</v>
      </c>
    </row>
    <row r="2484" spans="1:42" customFormat="1" x14ac:dyDescent="0.3">
      <c r="A2484" s="148" t="s">
        <v>8319</v>
      </c>
      <c r="B2484" t="s">
        <v>8320</v>
      </c>
      <c r="C2484" s="148" t="s">
        <v>9369</v>
      </c>
      <c r="D2484" t="s">
        <v>9370</v>
      </c>
      <c r="E2484" s="148" t="s">
        <v>9371</v>
      </c>
      <c r="F2484" t="s">
        <v>9372</v>
      </c>
      <c r="G2484" s="148" t="s">
        <v>9373</v>
      </c>
      <c r="H2484" t="s">
        <v>9374</v>
      </c>
      <c r="I2484" t="s">
        <v>9375</v>
      </c>
      <c r="J2484" t="s">
        <v>9376</v>
      </c>
      <c r="K2484" s="148" t="s">
        <v>9937</v>
      </c>
      <c r="L2484" t="s">
        <v>9938</v>
      </c>
      <c r="M2484" s="1" t="s">
        <v>9939</v>
      </c>
      <c r="N2484" s="1">
        <v>52</v>
      </c>
      <c r="O2484" s="1">
        <v>120</v>
      </c>
      <c r="P2484" s="3">
        <v>120</v>
      </c>
      <c r="Q2484" s="3">
        <v>120</v>
      </c>
      <c r="R2484" s="3">
        <v>120</v>
      </c>
      <c r="S2484" s="3">
        <v>120</v>
      </c>
      <c r="T2484" t="s">
        <v>1536</v>
      </c>
      <c r="U2484" t="e">
        <v>#N/A</v>
      </c>
      <c r="V2484" t="s">
        <v>9940</v>
      </c>
      <c r="W2484" s="45">
        <v>1</v>
      </c>
      <c r="X2484" s="45">
        <v>1</v>
      </c>
      <c r="Y2484" s="45">
        <v>0</v>
      </c>
      <c r="Z2484" s="45">
        <v>1</v>
      </c>
      <c r="AA2484" s="45">
        <v>1</v>
      </c>
      <c r="AB2484" s="45">
        <v>1</v>
      </c>
      <c r="AC2484" s="150">
        <v>0</v>
      </c>
      <c r="AD2484" s="150">
        <v>1</v>
      </c>
      <c r="AE2484" s="49">
        <f t="shared" si="103"/>
        <v>0.75</v>
      </c>
      <c r="AF2484" s="44"/>
      <c r="AG2484" s="17">
        <v>0</v>
      </c>
      <c r="AH2484" s="44">
        <v>0</v>
      </c>
      <c r="AI2484" s="44">
        <v>0</v>
      </c>
      <c r="AJ2484" s="44">
        <v>0</v>
      </c>
      <c r="AK2484" s="377">
        <v>2</v>
      </c>
      <c r="AL2484" s="377">
        <v>2</v>
      </c>
      <c r="AM2484" s="147">
        <f t="shared" si="102"/>
        <v>4</v>
      </c>
      <c r="AN2484" s="18" t="s">
        <v>771</v>
      </c>
      <c r="AO2484" s="18" t="s">
        <v>773</v>
      </c>
      <c r="AP2484" t="s">
        <v>119</v>
      </c>
    </row>
    <row r="2485" spans="1:42" customFormat="1" x14ac:dyDescent="0.3">
      <c r="A2485" s="148" t="s">
        <v>8319</v>
      </c>
      <c r="B2485" t="s">
        <v>8320</v>
      </c>
      <c r="C2485" s="148" t="s">
        <v>9369</v>
      </c>
      <c r="D2485" t="s">
        <v>9370</v>
      </c>
      <c r="E2485" s="148" t="s">
        <v>9371</v>
      </c>
      <c r="F2485" t="s">
        <v>9372</v>
      </c>
      <c r="G2485" s="148" t="s">
        <v>9373</v>
      </c>
      <c r="H2485" t="s">
        <v>9374</v>
      </c>
      <c r="I2485" s="148" t="s">
        <v>9384</v>
      </c>
      <c r="J2485" t="s">
        <v>9385</v>
      </c>
      <c r="K2485" s="148" t="s">
        <v>9941</v>
      </c>
      <c r="L2485" t="s">
        <v>9942</v>
      </c>
      <c r="M2485" s="1" t="s">
        <v>9943</v>
      </c>
      <c r="N2485" s="1">
        <v>0</v>
      </c>
      <c r="O2485" s="1">
        <v>1</v>
      </c>
      <c r="P2485" s="3" t="s">
        <v>9944</v>
      </c>
      <c r="Q2485" s="3" t="s">
        <v>271</v>
      </c>
      <c r="R2485" s="3" t="s">
        <v>271</v>
      </c>
      <c r="S2485" s="3" t="s">
        <v>271</v>
      </c>
      <c r="T2485" t="s">
        <v>1536</v>
      </c>
      <c r="U2485" t="e">
        <v>#N/A</v>
      </c>
      <c r="V2485" t="s">
        <v>9945</v>
      </c>
      <c r="W2485" s="45">
        <v>1</v>
      </c>
      <c r="X2485" s="45">
        <v>1</v>
      </c>
      <c r="Y2485" s="45">
        <v>0</v>
      </c>
      <c r="Z2485" s="45">
        <v>1</v>
      </c>
      <c r="AA2485" s="45">
        <v>1</v>
      </c>
      <c r="AB2485" s="45">
        <v>0</v>
      </c>
      <c r="AC2485" s="150">
        <v>1</v>
      </c>
      <c r="AD2485" s="150">
        <v>1</v>
      </c>
      <c r="AE2485" s="49">
        <f t="shared" si="103"/>
        <v>0.75</v>
      </c>
      <c r="AF2485" s="44"/>
      <c r="AG2485" s="17">
        <v>0</v>
      </c>
      <c r="AH2485" s="44">
        <v>0.05</v>
      </c>
      <c r="AI2485" s="44">
        <v>0</v>
      </c>
      <c r="AJ2485" s="44">
        <v>0</v>
      </c>
      <c r="AK2485" s="377">
        <v>0.5</v>
      </c>
      <c r="AL2485" s="377">
        <v>0.5</v>
      </c>
      <c r="AM2485" s="147">
        <f t="shared" si="102"/>
        <v>1</v>
      </c>
      <c r="AN2485" s="18" t="s">
        <v>771</v>
      </c>
      <c r="AO2485" s="18" t="s">
        <v>773</v>
      </c>
      <c r="AP2485" t="s">
        <v>9390</v>
      </c>
    </row>
    <row r="2486" spans="1:42" customFormat="1" x14ac:dyDescent="0.3">
      <c r="A2486" s="148" t="s">
        <v>8319</v>
      </c>
      <c r="B2486" t="s">
        <v>8320</v>
      </c>
      <c r="C2486" s="148" t="s">
        <v>9369</v>
      </c>
      <c r="D2486" t="s">
        <v>9370</v>
      </c>
      <c r="E2486" s="148" t="s">
        <v>9371</v>
      </c>
      <c r="F2486" t="s">
        <v>9372</v>
      </c>
      <c r="G2486" s="148" t="s">
        <v>9593</v>
      </c>
      <c r="H2486" t="s">
        <v>9594</v>
      </c>
      <c r="K2486" s="148" t="s">
        <v>9595</v>
      </c>
      <c r="L2486" t="s">
        <v>9596</v>
      </c>
      <c r="M2486" s="1"/>
      <c r="N2486" s="1"/>
      <c r="O2486" s="1"/>
      <c r="P2486" s="3">
        <v>5</v>
      </c>
      <c r="Q2486" s="3">
        <v>5</v>
      </c>
      <c r="R2486" s="3">
        <v>5</v>
      </c>
      <c r="S2486" s="3">
        <v>7</v>
      </c>
      <c r="T2486" t="s">
        <v>2432</v>
      </c>
      <c r="U2486" t="s">
        <v>729</v>
      </c>
      <c r="V2486" t="s">
        <v>9946</v>
      </c>
      <c r="W2486" s="45">
        <v>1</v>
      </c>
      <c r="X2486" s="45">
        <v>1</v>
      </c>
      <c r="Y2486" s="45">
        <v>1</v>
      </c>
      <c r="Z2486" s="45">
        <v>0</v>
      </c>
      <c r="AA2486" s="45">
        <v>1</v>
      </c>
      <c r="AB2486" s="45">
        <v>0</v>
      </c>
      <c r="AC2486" s="150">
        <v>1</v>
      </c>
      <c r="AD2486" s="150">
        <v>1</v>
      </c>
      <c r="AE2486" s="49">
        <f t="shared" si="103"/>
        <v>0.75</v>
      </c>
      <c r="AF2486" s="17"/>
      <c r="AG2486" s="17">
        <v>0</v>
      </c>
      <c r="AH2486" s="17">
        <v>0</v>
      </c>
      <c r="AI2486" s="44">
        <v>15</v>
      </c>
      <c r="AJ2486" s="44">
        <v>15</v>
      </c>
      <c r="AK2486" s="151">
        <v>20</v>
      </c>
      <c r="AL2486" s="151">
        <v>22.62</v>
      </c>
      <c r="AM2486" s="147">
        <f t="shared" si="102"/>
        <v>42.620000000000005</v>
      </c>
      <c r="AN2486" t="s">
        <v>723</v>
      </c>
      <c r="AO2486" s="18" t="s">
        <v>729</v>
      </c>
      <c r="AP2486" t="s">
        <v>119</v>
      </c>
    </row>
    <row r="2487" spans="1:42" customFormat="1" x14ac:dyDescent="0.3">
      <c r="A2487" s="148" t="s">
        <v>8319</v>
      </c>
      <c r="B2487" t="s">
        <v>8320</v>
      </c>
      <c r="C2487" s="148" t="s">
        <v>9369</v>
      </c>
      <c r="D2487" t="s">
        <v>9370</v>
      </c>
      <c r="E2487" s="148" t="s">
        <v>9371</v>
      </c>
      <c r="F2487" t="s">
        <v>9372</v>
      </c>
      <c r="G2487" s="148" t="s">
        <v>9593</v>
      </c>
      <c r="H2487" t="s">
        <v>9594</v>
      </c>
      <c r="K2487" s="148" t="s">
        <v>9595</v>
      </c>
      <c r="L2487" t="s">
        <v>9596</v>
      </c>
      <c r="M2487" s="1"/>
      <c r="N2487" s="1"/>
      <c r="O2487" s="1"/>
      <c r="P2487" s="3"/>
      <c r="Q2487" s="3">
        <v>116</v>
      </c>
      <c r="R2487" s="3">
        <v>116</v>
      </c>
      <c r="S2487" s="3">
        <v>117</v>
      </c>
      <c r="T2487" t="s">
        <v>2432</v>
      </c>
      <c r="U2487" t="s">
        <v>729</v>
      </c>
      <c r="V2487" t="s">
        <v>9947</v>
      </c>
      <c r="W2487" s="45">
        <v>1</v>
      </c>
      <c r="X2487" s="45">
        <v>1</v>
      </c>
      <c r="Y2487" s="45">
        <v>1</v>
      </c>
      <c r="Z2487" s="45">
        <v>0</v>
      </c>
      <c r="AA2487" s="45">
        <v>1</v>
      </c>
      <c r="AB2487" s="45">
        <v>0</v>
      </c>
      <c r="AC2487" s="150">
        <v>1</v>
      </c>
      <c r="AD2487" s="150">
        <v>1</v>
      </c>
      <c r="AE2487" s="49">
        <f t="shared" si="103"/>
        <v>0.75</v>
      </c>
      <c r="AF2487" s="17"/>
      <c r="AG2487" s="17">
        <v>0</v>
      </c>
      <c r="AH2487" s="17">
        <v>0</v>
      </c>
      <c r="AI2487" s="44">
        <v>10</v>
      </c>
      <c r="AJ2487" s="44">
        <v>10</v>
      </c>
      <c r="AK2487" s="151">
        <v>10</v>
      </c>
      <c r="AL2487" s="151">
        <v>10</v>
      </c>
      <c r="AM2487" s="147">
        <f t="shared" si="102"/>
        <v>20</v>
      </c>
      <c r="AN2487" t="s">
        <v>723</v>
      </c>
      <c r="AO2487" s="18" t="s">
        <v>729</v>
      </c>
      <c r="AP2487" t="s">
        <v>119</v>
      </c>
    </row>
    <row r="2488" spans="1:42" customFormat="1" x14ac:dyDescent="0.3">
      <c r="A2488" s="148" t="s">
        <v>8319</v>
      </c>
      <c r="B2488" t="s">
        <v>8320</v>
      </c>
      <c r="C2488" s="148" t="s">
        <v>9369</v>
      </c>
      <c r="D2488" t="s">
        <v>9370</v>
      </c>
      <c r="E2488" s="148" t="s">
        <v>9371</v>
      </c>
      <c r="F2488" t="s">
        <v>9372</v>
      </c>
      <c r="G2488" s="148" t="s">
        <v>9593</v>
      </c>
      <c r="H2488" t="s">
        <v>9594</v>
      </c>
      <c r="K2488" s="148" t="s">
        <v>9595</v>
      </c>
      <c r="L2488" t="s">
        <v>9596</v>
      </c>
      <c r="M2488" s="1"/>
      <c r="N2488" s="1"/>
      <c r="O2488" s="1"/>
      <c r="P2488" s="3"/>
      <c r="Q2488" s="3"/>
      <c r="R2488" s="3"/>
      <c r="S2488" s="3"/>
      <c r="U2488" t="e">
        <v>#N/A</v>
      </c>
      <c r="V2488" t="s">
        <v>9948</v>
      </c>
      <c r="W2488" s="45">
        <v>1</v>
      </c>
      <c r="X2488" s="45">
        <v>0</v>
      </c>
      <c r="Y2488" s="45">
        <v>0</v>
      </c>
      <c r="Z2488" s="45">
        <v>1</v>
      </c>
      <c r="AA2488" s="45">
        <v>1</v>
      </c>
      <c r="AB2488" s="45">
        <v>1</v>
      </c>
      <c r="AC2488" s="150">
        <v>1</v>
      </c>
      <c r="AD2488" s="150">
        <v>1</v>
      </c>
      <c r="AE2488" s="49">
        <f t="shared" si="103"/>
        <v>0.75</v>
      </c>
      <c r="AF2488" s="17"/>
      <c r="AG2488" s="17">
        <v>0</v>
      </c>
      <c r="AH2488" s="17">
        <v>0</v>
      </c>
      <c r="AI2488" s="44">
        <v>40</v>
      </c>
      <c r="AJ2488" s="44">
        <v>80</v>
      </c>
      <c r="AK2488" s="151">
        <v>120</v>
      </c>
      <c r="AL2488" s="151">
        <v>160</v>
      </c>
      <c r="AM2488" s="147">
        <f t="shared" si="102"/>
        <v>280</v>
      </c>
      <c r="AN2488" t="s">
        <v>723</v>
      </c>
      <c r="AO2488" s="18" t="s">
        <v>729</v>
      </c>
      <c r="AP2488" t="s">
        <v>921</v>
      </c>
    </row>
    <row r="2489" spans="1:42" customFormat="1" x14ac:dyDescent="0.3">
      <c r="A2489" s="148" t="s">
        <v>8319</v>
      </c>
      <c r="B2489" t="s">
        <v>8320</v>
      </c>
      <c r="C2489" s="148" t="s">
        <v>9344</v>
      </c>
      <c r="D2489" t="s">
        <v>9345</v>
      </c>
      <c r="E2489" s="148" t="s">
        <v>9398</v>
      </c>
      <c r="F2489" t="s">
        <v>9399</v>
      </c>
      <c r="G2489" s="148" t="s">
        <v>9949</v>
      </c>
      <c r="H2489" t="s">
        <v>9950</v>
      </c>
      <c r="K2489" s="148" t="s">
        <v>9951</v>
      </c>
      <c r="L2489" t="s">
        <v>9952</v>
      </c>
      <c r="M2489" s="1" t="s">
        <v>9952</v>
      </c>
      <c r="N2489" s="1" t="s">
        <v>9953</v>
      </c>
      <c r="O2489" s="1"/>
      <c r="P2489" s="3">
        <v>70</v>
      </c>
      <c r="Q2489" s="3">
        <v>75</v>
      </c>
      <c r="R2489" s="3">
        <v>80</v>
      </c>
      <c r="S2489" s="3">
        <v>88</v>
      </c>
      <c r="T2489">
        <v>90</v>
      </c>
      <c r="U2489" t="e">
        <v>#N/A</v>
      </c>
      <c r="V2489" t="s">
        <v>9954</v>
      </c>
      <c r="W2489" s="45">
        <v>1</v>
      </c>
      <c r="X2489" s="45">
        <v>0</v>
      </c>
      <c r="Y2489" s="45">
        <v>1</v>
      </c>
      <c r="Z2489" s="45">
        <v>1</v>
      </c>
      <c r="AA2489" s="45">
        <v>1</v>
      </c>
      <c r="AB2489" s="45">
        <v>0</v>
      </c>
      <c r="AC2489" s="150">
        <v>1</v>
      </c>
      <c r="AD2489" s="150">
        <v>1</v>
      </c>
      <c r="AE2489" s="49">
        <f t="shared" si="103"/>
        <v>0.75</v>
      </c>
      <c r="AF2489" s="44"/>
      <c r="AG2489" s="17"/>
      <c r="AH2489" s="44">
        <v>24.5</v>
      </c>
      <c r="AI2489" s="44">
        <v>13</v>
      </c>
      <c r="AJ2489" s="44">
        <v>13</v>
      </c>
      <c r="AK2489" s="151">
        <v>13</v>
      </c>
      <c r="AL2489" s="151">
        <v>13</v>
      </c>
      <c r="AM2489" s="147">
        <f t="shared" si="102"/>
        <v>26</v>
      </c>
      <c r="AN2489" t="s">
        <v>723</v>
      </c>
      <c r="AO2489" s="18" t="s">
        <v>729</v>
      </c>
      <c r="AP2489" t="s">
        <v>119</v>
      </c>
    </row>
    <row r="2490" spans="1:42" customFormat="1" x14ac:dyDescent="0.3">
      <c r="A2490" s="148" t="s">
        <v>8319</v>
      </c>
      <c r="B2490" t="s">
        <v>8320</v>
      </c>
      <c r="C2490" s="148" t="s">
        <v>9344</v>
      </c>
      <c r="D2490" t="s">
        <v>9345</v>
      </c>
      <c r="E2490" s="148" t="s">
        <v>9398</v>
      </c>
      <c r="F2490" t="s">
        <v>9399</v>
      </c>
      <c r="G2490" s="148" t="s">
        <v>9949</v>
      </c>
      <c r="H2490" t="s">
        <v>9950</v>
      </c>
      <c r="K2490" s="148" t="s">
        <v>9955</v>
      </c>
      <c r="L2490" t="s">
        <v>9956</v>
      </c>
      <c r="M2490" s="1" t="s">
        <v>9956</v>
      </c>
      <c r="N2490" s="1" t="s">
        <v>9957</v>
      </c>
      <c r="O2490" s="1">
        <v>45.8</v>
      </c>
      <c r="P2490" s="3">
        <v>47</v>
      </c>
      <c r="Q2490" s="3">
        <v>50</v>
      </c>
      <c r="R2490" s="3">
        <v>53</v>
      </c>
      <c r="S2490" s="3">
        <v>55</v>
      </c>
      <c r="T2490">
        <v>60</v>
      </c>
      <c r="U2490" t="e">
        <v>#N/A</v>
      </c>
      <c r="V2490" t="s">
        <v>9958</v>
      </c>
      <c r="W2490" s="45">
        <v>1</v>
      </c>
      <c r="X2490" s="45">
        <v>0</v>
      </c>
      <c r="Y2490" s="45">
        <v>1</v>
      </c>
      <c r="Z2490" s="45">
        <v>1</v>
      </c>
      <c r="AA2490" s="45">
        <v>1</v>
      </c>
      <c r="AB2490" s="45">
        <v>0</v>
      </c>
      <c r="AC2490" s="150">
        <v>1</v>
      </c>
      <c r="AD2490" s="150">
        <v>1</v>
      </c>
      <c r="AE2490" s="49">
        <f t="shared" si="103"/>
        <v>0.75</v>
      </c>
      <c r="AF2490" s="44"/>
      <c r="AG2490" s="17"/>
      <c r="AH2490" s="44">
        <v>3.8069999999999999</v>
      </c>
      <c r="AI2490" s="44">
        <v>4.05</v>
      </c>
      <c r="AJ2490" s="44">
        <v>4.2930000000000001</v>
      </c>
      <c r="AK2490" s="151">
        <v>4.4550000000000001</v>
      </c>
      <c r="AL2490" s="151">
        <v>4.8600000000000003</v>
      </c>
      <c r="AM2490" s="147">
        <f t="shared" si="102"/>
        <v>9.3150000000000013</v>
      </c>
      <c r="AN2490" t="s">
        <v>723</v>
      </c>
      <c r="AO2490" s="18" t="s">
        <v>729</v>
      </c>
      <c r="AP2490" t="s">
        <v>119</v>
      </c>
    </row>
    <row r="2491" spans="1:42" customFormat="1" x14ac:dyDescent="0.3">
      <c r="A2491" s="148" t="s">
        <v>8319</v>
      </c>
      <c r="B2491" t="s">
        <v>8320</v>
      </c>
      <c r="C2491" s="148" t="s">
        <v>9410</v>
      </c>
      <c r="D2491" t="s">
        <v>9411</v>
      </c>
      <c r="E2491" s="148" t="s">
        <v>9412</v>
      </c>
      <c r="F2491" t="s">
        <v>9413</v>
      </c>
      <c r="G2491" s="148" t="s">
        <v>9414</v>
      </c>
      <c r="H2491" t="s">
        <v>9415</v>
      </c>
      <c r="K2491" s="155" t="s">
        <v>9427</v>
      </c>
      <c r="L2491" t="s">
        <v>9428</v>
      </c>
      <c r="M2491" s="1"/>
      <c r="N2491" s="1"/>
      <c r="O2491" s="1"/>
      <c r="P2491" s="3"/>
      <c r="Q2491" s="3"/>
      <c r="R2491" s="3"/>
      <c r="S2491" s="3"/>
      <c r="U2491" t="e">
        <v>#N/A</v>
      </c>
      <c r="V2491" t="s">
        <v>9959</v>
      </c>
      <c r="W2491" s="45">
        <v>1</v>
      </c>
      <c r="X2491" s="45">
        <v>1</v>
      </c>
      <c r="Y2491" s="45">
        <v>1</v>
      </c>
      <c r="Z2491" s="45">
        <v>0</v>
      </c>
      <c r="AA2491" s="45">
        <v>1</v>
      </c>
      <c r="AB2491" s="45">
        <v>1</v>
      </c>
      <c r="AC2491" s="150">
        <v>0</v>
      </c>
      <c r="AD2491" s="150">
        <v>1</v>
      </c>
      <c r="AE2491" s="49">
        <f t="shared" si="103"/>
        <v>0.75</v>
      </c>
      <c r="AF2491" s="17"/>
      <c r="AG2491" s="17">
        <v>0</v>
      </c>
      <c r="AH2491" s="17">
        <v>0</v>
      </c>
      <c r="AI2491" s="17">
        <v>0</v>
      </c>
      <c r="AJ2491" s="17">
        <v>0</v>
      </c>
      <c r="AK2491" s="153">
        <v>0</v>
      </c>
      <c r="AL2491" s="154">
        <v>0</v>
      </c>
      <c r="AM2491" s="147">
        <f t="shared" si="102"/>
        <v>0</v>
      </c>
      <c r="AN2491" s="44" t="s">
        <v>9431</v>
      </c>
      <c r="AO2491" s="18" t="s">
        <v>3630</v>
      </c>
      <c r="AP2491" s="18" t="s">
        <v>9432</v>
      </c>
    </row>
    <row r="2492" spans="1:42" customFormat="1" x14ac:dyDescent="0.3">
      <c r="A2492" s="148" t="s">
        <v>8319</v>
      </c>
      <c r="B2492" t="s">
        <v>8320</v>
      </c>
      <c r="C2492" s="148" t="s">
        <v>9410</v>
      </c>
      <c r="D2492" t="s">
        <v>9411</v>
      </c>
      <c r="E2492" s="148" t="s">
        <v>9412</v>
      </c>
      <c r="F2492" t="s">
        <v>9413</v>
      </c>
      <c r="G2492" s="148" t="s">
        <v>9414</v>
      </c>
      <c r="H2492" t="s">
        <v>9415</v>
      </c>
      <c r="K2492" s="155" t="s">
        <v>9427</v>
      </c>
      <c r="L2492" t="s">
        <v>9428</v>
      </c>
      <c r="M2492" s="1"/>
      <c r="N2492" s="1"/>
      <c r="O2492" s="1"/>
      <c r="P2492" s="3"/>
      <c r="Q2492" s="3"/>
      <c r="R2492" s="3"/>
      <c r="S2492" s="3"/>
      <c r="U2492" t="e">
        <v>#N/A</v>
      </c>
      <c r="V2492" t="s">
        <v>9960</v>
      </c>
      <c r="W2492" s="45">
        <v>1</v>
      </c>
      <c r="X2492" s="45">
        <v>1</v>
      </c>
      <c r="Y2492" s="45">
        <v>1</v>
      </c>
      <c r="Z2492" s="45">
        <v>0</v>
      </c>
      <c r="AA2492" s="45">
        <v>1</v>
      </c>
      <c r="AB2492" s="45">
        <v>1</v>
      </c>
      <c r="AC2492" s="150">
        <v>0</v>
      </c>
      <c r="AD2492" s="150">
        <v>1</v>
      </c>
      <c r="AE2492" s="49">
        <f t="shared" si="103"/>
        <v>0.75</v>
      </c>
      <c r="AF2492" s="17"/>
      <c r="AG2492" s="17">
        <v>0</v>
      </c>
      <c r="AH2492" s="17">
        <v>0</v>
      </c>
      <c r="AI2492" s="17">
        <v>0</v>
      </c>
      <c r="AJ2492" s="17">
        <v>0</v>
      </c>
      <c r="AK2492" s="153">
        <v>0</v>
      </c>
      <c r="AL2492" s="154">
        <v>0</v>
      </c>
      <c r="AM2492" s="147">
        <f t="shared" si="102"/>
        <v>0</v>
      </c>
      <c r="AN2492" s="44" t="s">
        <v>9431</v>
      </c>
      <c r="AO2492" s="18" t="s">
        <v>3630</v>
      </c>
      <c r="AP2492" s="18" t="s">
        <v>9432</v>
      </c>
    </row>
    <row r="2493" spans="1:42" customFormat="1" x14ac:dyDescent="0.3">
      <c r="A2493" s="148" t="s">
        <v>8319</v>
      </c>
      <c r="B2493" t="s">
        <v>8320</v>
      </c>
      <c r="C2493" s="148" t="s">
        <v>9410</v>
      </c>
      <c r="D2493" t="s">
        <v>9411</v>
      </c>
      <c r="E2493" s="148" t="s">
        <v>9412</v>
      </c>
      <c r="F2493" t="s">
        <v>9413</v>
      </c>
      <c r="G2493" s="148" t="s">
        <v>9414</v>
      </c>
      <c r="H2493" t="s">
        <v>9415</v>
      </c>
      <c r="K2493" s="155" t="s">
        <v>9427</v>
      </c>
      <c r="L2493" t="s">
        <v>9428</v>
      </c>
      <c r="M2493" s="1"/>
      <c r="N2493" s="1"/>
      <c r="O2493" s="1"/>
      <c r="P2493" s="3"/>
      <c r="Q2493" s="3"/>
      <c r="R2493" s="3"/>
      <c r="S2493" s="3"/>
      <c r="U2493" t="e">
        <v>#N/A</v>
      </c>
      <c r="V2493" t="s">
        <v>9961</v>
      </c>
      <c r="W2493" s="45">
        <v>1</v>
      </c>
      <c r="X2493" s="45">
        <v>1</v>
      </c>
      <c r="Y2493" s="45">
        <v>1</v>
      </c>
      <c r="Z2493" s="45">
        <v>0</v>
      </c>
      <c r="AA2493" s="45">
        <v>1</v>
      </c>
      <c r="AB2493" s="45">
        <v>1</v>
      </c>
      <c r="AC2493" s="150">
        <v>0</v>
      </c>
      <c r="AD2493" s="150">
        <v>1</v>
      </c>
      <c r="AE2493" s="49">
        <f t="shared" si="103"/>
        <v>0.75</v>
      </c>
      <c r="AF2493" s="17"/>
      <c r="AG2493" s="17">
        <v>0</v>
      </c>
      <c r="AH2493" s="17">
        <v>0</v>
      </c>
      <c r="AI2493" s="17">
        <v>0</v>
      </c>
      <c r="AJ2493" s="17">
        <v>0</v>
      </c>
      <c r="AK2493" s="153">
        <v>0</v>
      </c>
      <c r="AL2493" s="154">
        <v>0</v>
      </c>
      <c r="AM2493" s="147">
        <f t="shared" si="102"/>
        <v>0</v>
      </c>
      <c r="AN2493" t="s">
        <v>3643</v>
      </c>
      <c r="AO2493" s="18" t="s">
        <v>3630</v>
      </c>
      <c r="AP2493" t="s">
        <v>9962</v>
      </c>
    </row>
    <row r="2494" spans="1:42" customFormat="1" x14ac:dyDescent="0.3">
      <c r="A2494" s="148" t="s">
        <v>8319</v>
      </c>
      <c r="B2494" t="s">
        <v>8320</v>
      </c>
      <c r="C2494" s="148" t="s">
        <v>9410</v>
      </c>
      <c r="D2494" t="s">
        <v>9411</v>
      </c>
      <c r="E2494" s="148" t="s">
        <v>9412</v>
      </c>
      <c r="F2494" t="s">
        <v>9413</v>
      </c>
      <c r="G2494" s="148" t="s">
        <v>9414</v>
      </c>
      <c r="H2494" t="s">
        <v>9415</v>
      </c>
      <c r="K2494" s="155" t="s">
        <v>9427</v>
      </c>
      <c r="L2494" t="s">
        <v>9428</v>
      </c>
      <c r="M2494" s="1"/>
      <c r="N2494" s="1"/>
      <c r="O2494" s="1"/>
      <c r="P2494" s="3"/>
      <c r="Q2494" s="3"/>
      <c r="R2494" s="3"/>
      <c r="S2494" s="3"/>
      <c r="U2494" t="e">
        <v>#N/A</v>
      </c>
      <c r="V2494" t="s">
        <v>9963</v>
      </c>
      <c r="W2494" s="45">
        <v>1</v>
      </c>
      <c r="X2494" s="45">
        <v>1</v>
      </c>
      <c r="Y2494" s="45">
        <v>1</v>
      </c>
      <c r="Z2494" s="45">
        <v>0</v>
      </c>
      <c r="AA2494" s="45">
        <v>1</v>
      </c>
      <c r="AB2494" s="45">
        <v>1</v>
      </c>
      <c r="AC2494" s="150">
        <v>0</v>
      </c>
      <c r="AD2494" s="150">
        <v>1</v>
      </c>
      <c r="AE2494" s="49">
        <f t="shared" si="103"/>
        <v>0.75</v>
      </c>
      <c r="AF2494" s="17"/>
      <c r="AG2494" s="17">
        <v>0</v>
      </c>
      <c r="AH2494" s="17">
        <v>0</v>
      </c>
      <c r="AI2494" s="17">
        <v>0</v>
      </c>
      <c r="AJ2494" s="17">
        <v>0</v>
      </c>
      <c r="AK2494" s="153">
        <v>0</v>
      </c>
      <c r="AL2494" s="154">
        <v>0</v>
      </c>
      <c r="AM2494" s="147">
        <f t="shared" si="102"/>
        <v>0</v>
      </c>
      <c r="AN2494" t="s">
        <v>3643</v>
      </c>
      <c r="AO2494" s="18" t="s">
        <v>3630</v>
      </c>
      <c r="AP2494" t="s">
        <v>9962</v>
      </c>
    </row>
    <row r="2495" spans="1:42" customFormat="1" x14ac:dyDescent="0.3">
      <c r="A2495" s="148" t="s">
        <v>8319</v>
      </c>
      <c r="B2495" t="s">
        <v>8320</v>
      </c>
      <c r="C2495" s="148" t="s">
        <v>9410</v>
      </c>
      <c r="D2495" t="s">
        <v>9411</v>
      </c>
      <c r="E2495" s="148" t="s">
        <v>9412</v>
      </c>
      <c r="F2495" t="s">
        <v>9413</v>
      </c>
      <c r="G2495" s="148" t="s">
        <v>9661</v>
      </c>
      <c r="H2495" t="s">
        <v>9662</v>
      </c>
      <c r="I2495" s="148" t="s">
        <v>9663</v>
      </c>
      <c r="J2495" t="s">
        <v>9664</v>
      </c>
      <c r="K2495" s="148" t="s">
        <v>9964</v>
      </c>
      <c r="L2495" t="s">
        <v>9965</v>
      </c>
      <c r="M2495" s="1" t="s">
        <v>9966</v>
      </c>
      <c r="N2495" s="1">
        <v>10</v>
      </c>
      <c r="O2495" s="1">
        <v>15</v>
      </c>
      <c r="P2495" s="3">
        <v>25</v>
      </c>
      <c r="Q2495" s="3">
        <v>30</v>
      </c>
      <c r="R2495" s="3">
        <v>40</v>
      </c>
      <c r="S2495" s="3">
        <v>50</v>
      </c>
      <c r="T2495" t="s">
        <v>9967</v>
      </c>
      <c r="U2495" t="s">
        <v>9968</v>
      </c>
      <c r="V2495" t="s">
        <v>9969</v>
      </c>
      <c r="W2495" s="45">
        <v>1</v>
      </c>
      <c r="X2495" s="45">
        <v>1</v>
      </c>
      <c r="Y2495" s="45">
        <v>1</v>
      </c>
      <c r="Z2495" s="45">
        <v>1</v>
      </c>
      <c r="AA2495" s="45">
        <v>1</v>
      </c>
      <c r="AB2495" s="45">
        <v>0</v>
      </c>
      <c r="AC2495" s="150">
        <v>0</v>
      </c>
      <c r="AD2495" s="150">
        <v>1</v>
      </c>
      <c r="AE2495" s="49">
        <f t="shared" si="103"/>
        <v>0.75</v>
      </c>
      <c r="AF2495" s="44"/>
      <c r="AG2495" s="17">
        <v>0</v>
      </c>
      <c r="AH2495" s="44">
        <v>0</v>
      </c>
      <c r="AI2495" s="44">
        <v>0</v>
      </c>
      <c r="AJ2495" s="44">
        <v>0</v>
      </c>
      <c r="AK2495" s="151">
        <v>2</v>
      </c>
      <c r="AL2495" s="151">
        <v>2</v>
      </c>
      <c r="AM2495" s="147">
        <f t="shared" si="102"/>
        <v>4</v>
      </c>
      <c r="AN2495" s="44" t="s">
        <v>9967</v>
      </c>
      <c r="AO2495" s="18" t="s">
        <v>9968</v>
      </c>
      <c r="AP2495" t="s">
        <v>9970</v>
      </c>
    </row>
    <row r="2496" spans="1:42" customFormat="1" x14ac:dyDescent="0.3">
      <c r="A2496" s="148" t="s">
        <v>8319</v>
      </c>
      <c r="B2496" t="s">
        <v>8320</v>
      </c>
      <c r="C2496" s="148" t="s">
        <v>9410</v>
      </c>
      <c r="D2496" t="s">
        <v>9411</v>
      </c>
      <c r="E2496" s="148" t="s">
        <v>9412</v>
      </c>
      <c r="F2496" t="s">
        <v>9413</v>
      </c>
      <c r="G2496" s="148" t="s">
        <v>9661</v>
      </c>
      <c r="H2496" t="s">
        <v>9662</v>
      </c>
      <c r="I2496" s="148" t="s">
        <v>9663</v>
      </c>
      <c r="J2496" t="s">
        <v>9664</v>
      </c>
      <c r="K2496" s="148" t="s">
        <v>9964</v>
      </c>
      <c r="L2496" t="s">
        <v>9965</v>
      </c>
      <c r="M2496" s="1" t="s">
        <v>9971</v>
      </c>
      <c r="N2496" s="1">
        <v>36</v>
      </c>
      <c r="O2496" s="1">
        <v>40</v>
      </c>
      <c r="P2496" s="3">
        <v>50</v>
      </c>
      <c r="Q2496" s="3">
        <v>60</v>
      </c>
      <c r="R2496" s="3">
        <v>70</v>
      </c>
      <c r="S2496" s="3">
        <v>80</v>
      </c>
      <c r="T2496" t="s">
        <v>3643</v>
      </c>
      <c r="U2496" t="s">
        <v>3630</v>
      </c>
      <c r="V2496" t="s">
        <v>9972</v>
      </c>
      <c r="W2496" s="45">
        <v>1</v>
      </c>
      <c r="X2496" s="45">
        <v>0</v>
      </c>
      <c r="Y2496" s="45">
        <v>1</v>
      </c>
      <c r="Z2496" s="45">
        <v>1</v>
      </c>
      <c r="AA2496" s="45">
        <v>1</v>
      </c>
      <c r="AB2496" s="45">
        <v>0</v>
      </c>
      <c r="AC2496" s="150">
        <v>1</v>
      </c>
      <c r="AD2496" s="150">
        <v>1</v>
      </c>
      <c r="AE2496" s="49">
        <f t="shared" si="103"/>
        <v>0.75</v>
      </c>
      <c r="AF2496" s="17"/>
      <c r="AG2496" s="17">
        <v>0</v>
      </c>
      <c r="AH2496" s="17">
        <v>0</v>
      </c>
      <c r="AI2496" s="17">
        <v>0</v>
      </c>
      <c r="AJ2496" s="17">
        <v>0</v>
      </c>
      <c r="AK2496" s="153">
        <v>2</v>
      </c>
      <c r="AL2496" s="154">
        <v>2</v>
      </c>
      <c r="AM2496" s="147">
        <f t="shared" si="102"/>
        <v>4</v>
      </c>
      <c r="AN2496" s="18" t="s">
        <v>255</v>
      </c>
      <c r="AO2496" s="18" t="s">
        <v>1045</v>
      </c>
      <c r="AP2496" t="s">
        <v>9970</v>
      </c>
    </row>
    <row r="2497" spans="1:42" customFormat="1" x14ac:dyDescent="0.3">
      <c r="A2497" s="148" t="s">
        <v>8319</v>
      </c>
      <c r="B2497" t="s">
        <v>8320</v>
      </c>
      <c r="C2497" s="148" t="s">
        <v>9410</v>
      </c>
      <c r="D2497" t="s">
        <v>9411</v>
      </c>
      <c r="E2497" s="148" t="s">
        <v>9412</v>
      </c>
      <c r="F2497" t="s">
        <v>9413</v>
      </c>
      <c r="G2497" s="148" t="s">
        <v>9448</v>
      </c>
      <c r="H2497" t="s">
        <v>9449</v>
      </c>
      <c r="I2497" s="148" t="s">
        <v>9682</v>
      </c>
      <c r="J2497" t="s">
        <v>9683</v>
      </c>
      <c r="K2497" s="148" t="s">
        <v>9713</v>
      </c>
      <c r="L2497" t="s">
        <v>9714</v>
      </c>
      <c r="M2497" s="1" t="s">
        <v>9973</v>
      </c>
      <c r="N2497" s="1">
        <v>74</v>
      </c>
      <c r="O2497" s="1">
        <v>80</v>
      </c>
      <c r="P2497" s="3">
        <v>82</v>
      </c>
      <c r="Q2497" s="3">
        <v>84</v>
      </c>
      <c r="R2497" s="3">
        <v>85</v>
      </c>
      <c r="S2497" s="3">
        <v>86</v>
      </c>
      <c r="T2497" t="s">
        <v>3643</v>
      </c>
      <c r="U2497" t="s">
        <v>3630</v>
      </c>
      <c r="V2497" t="s">
        <v>9974</v>
      </c>
      <c r="W2497" s="45">
        <v>1</v>
      </c>
      <c r="X2497" s="45">
        <v>1</v>
      </c>
      <c r="Y2497" s="45">
        <v>1</v>
      </c>
      <c r="Z2497" s="45">
        <v>0</v>
      </c>
      <c r="AA2497" s="45">
        <v>1</v>
      </c>
      <c r="AB2497" s="45">
        <v>1</v>
      </c>
      <c r="AC2497" s="150">
        <v>0</v>
      </c>
      <c r="AD2497" s="150">
        <v>1</v>
      </c>
      <c r="AE2497" s="49">
        <f t="shared" si="103"/>
        <v>0.75</v>
      </c>
      <c r="AF2497" s="44"/>
      <c r="AG2497" s="17">
        <v>0</v>
      </c>
      <c r="AH2497" s="44">
        <v>30</v>
      </c>
      <c r="AI2497" s="44">
        <v>50</v>
      </c>
      <c r="AJ2497" s="44">
        <v>50</v>
      </c>
      <c r="AK2497" s="151">
        <v>50</v>
      </c>
      <c r="AL2497" s="151">
        <v>50</v>
      </c>
      <c r="AM2497" s="147">
        <f t="shared" si="102"/>
        <v>100</v>
      </c>
      <c r="AN2497" t="s">
        <v>9678</v>
      </c>
      <c r="AO2497" s="18" t="s">
        <v>9679</v>
      </c>
      <c r="AP2497" t="s">
        <v>9975</v>
      </c>
    </row>
    <row r="2498" spans="1:42" customFormat="1" x14ac:dyDescent="0.3">
      <c r="A2498" s="148" t="s">
        <v>8319</v>
      </c>
      <c r="B2498" t="s">
        <v>8320</v>
      </c>
      <c r="C2498" s="148" t="s">
        <v>9410</v>
      </c>
      <c r="D2498" t="s">
        <v>9411</v>
      </c>
      <c r="E2498" s="148" t="s">
        <v>9412</v>
      </c>
      <c r="F2498" t="s">
        <v>9413</v>
      </c>
      <c r="G2498" s="148" t="s">
        <v>9448</v>
      </c>
      <c r="H2498" t="s">
        <v>9449</v>
      </c>
      <c r="I2498" s="148" t="s">
        <v>9682</v>
      </c>
      <c r="J2498" t="s">
        <v>9683</v>
      </c>
      <c r="K2498" s="148" t="s">
        <v>9976</v>
      </c>
      <c r="L2498" t="s">
        <v>9977</v>
      </c>
      <c r="M2498" s="1" t="s">
        <v>9978</v>
      </c>
      <c r="N2498" s="1">
        <v>0</v>
      </c>
      <c r="O2498" s="1">
        <v>0</v>
      </c>
      <c r="P2498" s="3">
        <v>1</v>
      </c>
      <c r="Q2498" s="3">
        <v>1</v>
      </c>
      <c r="R2498" s="3">
        <v>1</v>
      </c>
      <c r="S2498" s="3">
        <v>1</v>
      </c>
      <c r="T2498" t="s">
        <v>9979</v>
      </c>
      <c r="U2498" t="e">
        <v>#N/A</v>
      </c>
      <c r="V2498" t="s">
        <v>9980</v>
      </c>
      <c r="W2498" s="45">
        <v>1</v>
      </c>
      <c r="X2498" s="45">
        <v>1</v>
      </c>
      <c r="Y2498" s="45">
        <v>1</v>
      </c>
      <c r="Z2498" s="45">
        <v>1</v>
      </c>
      <c r="AA2498" s="45">
        <v>1</v>
      </c>
      <c r="AB2498" s="45">
        <v>1</v>
      </c>
      <c r="AC2498" s="150">
        <v>0</v>
      </c>
      <c r="AD2498" s="150">
        <v>0</v>
      </c>
      <c r="AE2498" s="49">
        <f t="shared" si="103"/>
        <v>0.75</v>
      </c>
      <c r="AF2498" s="44"/>
      <c r="AG2498" s="17">
        <v>0</v>
      </c>
      <c r="AH2498" s="44">
        <v>0</v>
      </c>
      <c r="AI2498" s="44">
        <v>0.05</v>
      </c>
      <c r="AJ2498" s="44">
        <v>0</v>
      </c>
      <c r="AK2498" s="151">
        <v>0</v>
      </c>
      <c r="AL2498" s="151">
        <v>0</v>
      </c>
      <c r="AM2498" s="147">
        <f t="shared" si="102"/>
        <v>0</v>
      </c>
      <c r="AN2498" t="s">
        <v>3643</v>
      </c>
      <c r="AO2498" s="18" t="s">
        <v>3630</v>
      </c>
      <c r="AP2498" t="s">
        <v>723</v>
      </c>
    </row>
    <row r="2499" spans="1:42" customFormat="1" x14ac:dyDescent="0.3">
      <c r="A2499" s="148" t="s">
        <v>8319</v>
      </c>
      <c r="B2499" t="s">
        <v>8320</v>
      </c>
      <c r="C2499" s="148" t="s">
        <v>9410</v>
      </c>
      <c r="D2499" t="s">
        <v>9411</v>
      </c>
      <c r="E2499" s="148" t="s">
        <v>9412</v>
      </c>
      <c r="F2499" t="s">
        <v>9413</v>
      </c>
      <c r="G2499" s="148" t="s">
        <v>9448</v>
      </c>
      <c r="H2499" t="s">
        <v>9449</v>
      </c>
      <c r="I2499" s="148" t="s">
        <v>9450</v>
      </c>
      <c r="J2499" t="s">
        <v>9451</v>
      </c>
      <c r="K2499" s="148" t="s">
        <v>9981</v>
      </c>
      <c r="L2499" t="s">
        <v>9982</v>
      </c>
      <c r="M2499" s="1" t="s">
        <v>9983</v>
      </c>
      <c r="N2499" s="1">
        <v>0</v>
      </c>
      <c r="O2499" s="1">
        <v>200</v>
      </c>
      <c r="P2499" s="3">
        <v>200</v>
      </c>
      <c r="Q2499" s="3">
        <v>200</v>
      </c>
      <c r="R2499" s="3">
        <v>200</v>
      </c>
      <c r="S2499" s="3">
        <v>200</v>
      </c>
      <c r="T2499" t="s">
        <v>3643</v>
      </c>
      <c r="U2499" t="s">
        <v>3630</v>
      </c>
      <c r="V2499" t="s">
        <v>9984</v>
      </c>
      <c r="W2499" s="45">
        <v>1</v>
      </c>
      <c r="X2499" s="45">
        <v>1</v>
      </c>
      <c r="Y2499" s="45">
        <v>1</v>
      </c>
      <c r="Z2499" s="45">
        <v>0</v>
      </c>
      <c r="AA2499" s="45">
        <v>1</v>
      </c>
      <c r="AB2499" s="45">
        <v>1</v>
      </c>
      <c r="AC2499" s="150">
        <v>0</v>
      </c>
      <c r="AD2499" s="150">
        <v>1</v>
      </c>
      <c r="AE2499" s="49">
        <f t="shared" si="103"/>
        <v>0.75</v>
      </c>
      <c r="AF2499" s="44"/>
      <c r="AG2499" s="17">
        <v>0</v>
      </c>
      <c r="AH2499" s="44">
        <v>4.34</v>
      </c>
      <c r="AI2499" s="44">
        <v>4.5599999999999996</v>
      </c>
      <c r="AJ2499" s="44">
        <v>4.79</v>
      </c>
      <c r="AK2499" s="151">
        <v>5.03</v>
      </c>
      <c r="AL2499" s="151">
        <v>5.28</v>
      </c>
      <c r="AM2499" s="147">
        <f t="shared" si="102"/>
        <v>10.31</v>
      </c>
      <c r="AN2499" t="s">
        <v>3643</v>
      </c>
      <c r="AO2499" s="18" t="s">
        <v>3630</v>
      </c>
      <c r="AP2499" t="s">
        <v>9985</v>
      </c>
    </row>
    <row r="2500" spans="1:42" customFormat="1" x14ac:dyDescent="0.3">
      <c r="A2500" s="148" t="s">
        <v>8319</v>
      </c>
      <c r="B2500" t="s">
        <v>8320</v>
      </c>
      <c r="C2500" s="148" t="s">
        <v>9410</v>
      </c>
      <c r="D2500" t="s">
        <v>9411</v>
      </c>
      <c r="E2500" s="148" t="s">
        <v>9412</v>
      </c>
      <c r="F2500" t="s">
        <v>9413</v>
      </c>
      <c r="G2500" s="148" t="s">
        <v>9448</v>
      </c>
      <c r="H2500" t="s">
        <v>9449</v>
      </c>
      <c r="I2500" s="148" t="s">
        <v>9450</v>
      </c>
      <c r="J2500" t="s">
        <v>9451</v>
      </c>
      <c r="K2500" s="148" t="s">
        <v>9981</v>
      </c>
      <c r="L2500" t="s">
        <v>9982</v>
      </c>
      <c r="M2500" s="1" t="s">
        <v>9986</v>
      </c>
      <c r="N2500" s="1">
        <v>0</v>
      </c>
      <c r="O2500" s="1">
        <v>50</v>
      </c>
      <c r="P2500" s="3">
        <v>50</v>
      </c>
      <c r="Q2500" s="3">
        <v>50</v>
      </c>
      <c r="R2500" s="3">
        <v>50</v>
      </c>
      <c r="S2500" s="3">
        <v>50</v>
      </c>
      <c r="T2500" t="s">
        <v>3643</v>
      </c>
      <c r="U2500" t="s">
        <v>3630</v>
      </c>
      <c r="W2500" s="45">
        <v>1</v>
      </c>
      <c r="X2500" s="45">
        <v>1</v>
      </c>
      <c r="Y2500" s="45">
        <v>1</v>
      </c>
      <c r="Z2500" s="45">
        <v>0</v>
      </c>
      <c r="AA2500" s="45">
        <v>1</v>
      </c>
      <c r="AB2500" s="45">
        <v>1</v>
      </c>
      <c r="AC2500" s="150">
        <v>0</v>
      </c>
      <c r="AD2500" s="150">
        <v>1</v>
      </c>
      <c r="AE2500" s="49">
        <f t="shared" si="103"/>
        <v>0.75</v>
      </c>
      <c r="AF2500" s="4"/>
      <c r="AG2500" s="17">
        <v>0</v>
      </c>
      <c r="AH2500" s="4"/>
      <c r="AI2500" s="4"/>
      <c r="AJ2500" s="4"/>
      <c r="AK2500" s="46"/>
      <c r="AL2500" s="46"/>
      <c r="AM2500" s="147">
        <f t="shared" si="102"/>
        <v>0</v>
      </c>
      <c r="AO2500" s="18"/>
    </row>
    <row r="2501" spans="1:42" customFormat="1" x14ac:dyDescent="0.3">
      <c r="A2501" s="148" t="s">
        <v>8319</v>
      </c>
      <c r="B2501" t="s">
        <v>8320</v>
      </c>
      <c r="C2501" s="148" t="s">
        <v>9410</v>
      </c>
      <c r="D2501" t="s">
        <v>9411</v>
      </c>
      <c r="E2501" s="148" t="s">
        <v>9412</v>
      </c>
      <c r="F2501" t="s">
        <v>9413</v>
      </c>
      <c r="G2501" s="148" t="s">
        <v>9448</v>
      </c>
      <c r="H2501" t="s">
        <v>9449</v>
      </c>
      <c r="I2501" s="148" t="s">
        <v>9763</v>
      </c>
      <c r="J2501" t="s">
        <v>9764</v>
      </c>
      <c r="K2501" s="148" t="s">
        <v>9765</v>
      </c>
      <c r="L2501" t="s">
        <v>9766</v>
      </c>
      <c r="M2501" s="1" t="s">
        <v>9987</v>
      </c>
      <c r="N2501" s="1">
        <v>51</v>
      </c>
      <c r="O2501" s="1">
        <v>55</v>
      </c>
      <c r="P2501" s="3">
        <v>57</v>
      </c>
      <c r="Q2501" s="3">
        <v>59</v>
      </c>
      <c r="R2501" s="3">
        <v>61</v>
      </c>
      <c r="S2501" s="3">
        <v>63</v>
      </c>
      <c r="T2501" t="s">
        <v>3643</v>
      </c>
      <c r="U2501" t="s">
        <v>3630</v>
      </c>
      <c r="V2501" t="s">
        <v>9988</v>
      </c>
      <c r="W2501" s="45">
        <v>1</v>
      </c>
      <c r="X2501" s="45">
        <v>1</v>
      </c>
      <c r="Y2501" s="45">
        <v>1</v>
      </c>
      <c r="Z2501" s="45">
        <v>1</v>
      </c>
      <c r="AA2501" s="45">
        <v>0</v>
      </c>
      <c r="AB2501" s="45">
        <v>1</v>
      </c>
      <c r="AC2501" s="150">
        <v>0</v>
      </c>
      <c r="AD2501" s="150">
        <v>1</v>
      </c>
      <c r="AE2501" s="49">
        <f t="shared" si="103"/>
        <v>0.75</v>
      </c>
      <c r="AF2501" s="44"/>
      <c r="AG2501" s="17">
        <v>0</v>
      </c>
      <c r="AH2501" s="44">
        <v>400</v>
      </c>
      <c r="AI2501" s="44">
        <v>430</v>
      </c>
      <c r="AJ2501" s="44">
        <v>415.83333300000004</v>
      </c>
      <c r="AK2501" s="151">
        <v>415.83333300000004</v>
      </c>
      <c r="AL2501" s="151">
        <v>495.83333300000004</v>
      </c>
      <c r="AM2501" s="147">
        <f t="shared" si="102"/>
        <v>911.66666600000008</v>
      </c>
      <c r="AN2501" t="s">
        <v>9640</v>
      </c>
      <c r="AO2501" s="18" t="s">
        <v>9989</v>
      </c>
      <c r="AP2501" t="s">
        <v>9990</v>
      </c>
    </row>
    <row r="2502" spans="1:42" customFormat="1" x14ac:dyDescent="0.3">
      <c r="A2502" s="148" t="s">
        <v>8319</v>
      </c>
      <c r="B2502" t="s">
        <v>8320</v>
      </c>
      <c r="C2502" s="148" t="s">
        <v>9410</v>
      </c>
      <c r="D2502" t="s">
        <v>9411</v>
      </c>
      <c r="E2502" s="148" t="s">
        <v>9412</v>
      </c>
      <c r="F2502" t="s">
        <v>9413</v>
      </c>
      <c r="G2502" s="148" t="s">
        <v>9448</v>
      </c>
      <c r="H2502" t="s">
        <v>9449</v>
      </c>
      <c r="I2502" s="148" t="s">
        <v>9763</v>
      </c>
      <c r="J2502" t="s">
        <v>9764</v>
      </c>
      <c r="K2502" s="148" t="s">
        <v>9765</v>
      </c>
      <c r="L2502" t="s">
        <v>9766</v>
      </c>
      <c r="M2502" s="1" t="s">
        <v>9991</v>
      </c>
      <c r="N2502" s="1"/>
      <c r="O2502" s="1">
        <v>90</v>
      </c>
      <c r="P2502" s="3">
        <v>90</v>
      </c>
      <c r="Q2502" s="3">
        <v>90</v>
      </c>
      <c r="R2502" s="3">
        <v>90</v>
      </c>
      <c r="S2502" s="3">
        <v>90</v>
      </c>
      <c r="T2502" t="s">
        <v>9368</v>
      </c>
      <c r="U2502" t="e">
        <v>#N/A</v>
      </c>
      <c r="V2502" t="s">
        <v>9992</v>
      </c>
      <c r="W2502" s="45">
        <v>1</v>
      </c>
      <c r="X2502" s="45">
        <v>1</v>
      </c>
      <c r="Y2502" s="45">
        <v>1</v>
      </c>
      <c r="Z2502" s="45">
        <v>1</v>
      </c>
      <c r="AA2502" s="45">
        <v>1</v>
      </c>
      <c r="AB2502" s="45">
        <v>1</v>
      </c>
      <c r="AC2502" s="150">
        <v>0</v>
      </c>
      <c r="AD2502" s="150">
        <v>0</v>
      </c>
      <c r="AE2502" s="49">
        <f t="shared" si="103"/>
        <v>0.75</v>
      </c>
      <c r="AF2502" s="44"/>
      <c r="AG2502" s="17">
        <v>0</v>
      </c>
      <c r="AH2502" s="44">
        <v>0.3</v>
      </c>
      <c r="AI2502" s="44">
        <v>0.3</v>
      </c>
      <c r="AJ2502" s="44">
        <v>0.3</v>
      </c>
      <c r="AK2502" s="151">
        <v>0.3</v>
      </c>
      <c r="AL2502" s="151">
        <v>0.3</v>
      </c>
      <c r="AM2502" s="147">
        <f t="shared" si="102"/>
        <v>0.6</v>
      </c>
      <c r="AN2502" t="s">
        <v>3643</v>
      </c>
      <c r="AO2502" s="18" t="s">
        <v>3630</v>
      </c>
      <c r="AP2502" t="s">
        <v>9993</v>
      </c>
    </row>
    <row r="2503" spans="1:42" customFormat="1" x14ac:dyDescent="0.3">
      <c r="A2503" s="148" t="s">
        <v>8319</v>
      </c>
      <c r="B2503" t="s">
        <v>8320</v>
      </c>
      <c r="C2503" s="148" t="s">
        <v>9410</v>
      </c>
      <c r="D2503" t="s">
        <v>9411</v>
      </c>
      <c r="E2503" s="148" t="s">
        <v>9412</v>
      </c>
      <c r="F2503" t="s">
        <v>9413</v>
      </c>
      <c r="G2503" s="148" t="s">
        <v>9448</v>
      </c>
      <c r="H2503" t="s">
        <v>9449</v>
      </c>
      <c r="I2503" s="148" t="s">
        <v>9796</v>
      </c>
      <c r="J2503" t="s">
        <v>9797</v>
      </c>
      <c r="K2503" s="148" t="s">
        <v>9798</v>
      </c>
      <c r="L2503" t="s">
        <v>9799</v>
      </c>
      <c r="M2503" s="1" t="s">
        <v>9994</v>
      </c>
      <c r="N2503" s="1"/>
      <c r="O2503" s="1">
        <v>50</v>
      </c>
      <c r="P2503" s="3">
        <v>60</v>
      </c>
      <c r="Q2503" s="3">
        <v>70</v>
      </c>
      <c r="R2503" s="3">
        <v>80</v>
      </c>
      <c r="S2503" s="3">
        <v>90</v>
      </c>
      <c r="T2503" t="s">
        <v>9995</v>
      </c>
      <c r="U2503" t="e">
        <v>#N/A</v>
      </c>
      <c r="V2503" t="s">
        <v>9996</v>
      </c>
      <c r="W2503" s="45">
        <v>1</v>
      </c>
      <c r="X2503" s="45">
        <v>1</v>
      </c>
      <c r="Y2503" s="45">
        <v>0</v>
      </c>
      <c r="Z2503" s="45">
        <v>1</v>
      </c>
      <c r="AA2503" s="45">
        <v>1</v>
      </c>
      <c r="AB2503" s="45">
        <v>1</v>
      </c>
      <c r="AC2503" s="150">
        <v>0</v>
      </c>
      <c r="AD2503" s="150">
        <v>1</v>
      </c>
      <c r="AE2503" s="49">
        <f t="shared" si="103"/>
        <v>0.75</v>
      </c>
      <c r="AF2503" s="44"/>
      <c r="AG2503" s="17">
        <v>0</v>
      </c>
      <c r="AH2503" s="44">
        <v>0</v>
      </c>
      <c r="AI2503" s="44">
        <v>0</v>
      </c>
      <c r="AJ2503" s="44">
        <v>0</v>
      </c>
      <c r="AK2503" s="151">
        <v>0</v>
      </c>
      <c r="AL2503" s="151">
        <v>0</v>
      </c>
      <c r="AM2503" s="147">
        <f t="shared" si="102"/>
        <v>0</v>
      </c>
      <c r="AN2503" t="s">
        <v>3643</v>
      </c>
      <c r="AO2503" s="18" t="s">
        <v>3630</v>
      </c>
      <c r="AP2503" t="s">
        <v>9802</v>
      </c>
    </row>
    <row r="2504" spans="1:42" customFormat="1" x14ac:dyDescent="0.3">
      <c r="A2504" s="148" t="s">
        <v>8319</v>
      </c>
      <c r="B2504" t="s">
        <v>8320</v>
      </c>
      <c r="C2504" s="148" t="s">
        <v>9410</v>
      </c>
      <c r="D2504" t="s">
        <v>9411</v>
      </c>
      <c r="E2504" s="148" t="s">
        <v>9412</v>
      </c>
      <c r="F2504" t="s">
        <v>9413</v>
      </c>
      <c r="G2504" s="148" t="s">
        <v>9997</v>
      </c>
      <c r="H2504" t="s">
        <v>9998</v>
      </c>
      <c r="I2504" s="148" t="s">
        <v>9999</v>
      </c>
      <c r="J2504" t="s">
        <v>10000</v>
      </c>
      <c r="K2504" s="148" t="s">
        <v>10001</v>
      </c>
      <c r="L2504" t="s">
        <v>10002</v>
      </c>
      <c r="M2504" s="1"/>
      <c r="N2504" s="1"/>
      <c r="O2504" s="1"/>
      <c r="P2504" s="3"/>
      <c r="Q2504" s="3"/>
      <c r="R2504" s="3"/>
      <c r="S2504" s="3"/>
      <c r="U2504" t="e">
        <v>#N/A</v>
      </c>
      <c r="V2504" t="s">
        <v>10003</v>
      </c>
      <c r="W2504" s="45">
        <v>1</v>
      </c>
      <c r="X2504" s="45">
        <v>0</v>
      </c>
      <c r="Y2504" s="45">
        <v>1</v>
      </c>
      <c r="Z2504" s="45">
        <v>1</v>
      </c>
      <c r="AA2504" s="45">
        <v>1</v>
      </c>
      <c r="AB2504" s="45">
        <v>1</v>
      </c>
      <c r="AC2504" s="150">
        <v>0</v>
      </c>
      <c r="AD2504" s="150">
        <v>1</v>
      </c>
      <c r="AE2504" s="49">
        <f t="shared" si="103"/>
        <v>0.75</v>
      </c>
      <c r="AF2504" s="17"/>
      <c r="AG2504" s="17">
        <v>0</v>
      </c>
      <c r="AH2504" s="17">
        <v>0</v>
      </c>
      <c r="AI2504" s="17">
        <v>0</v>
      </c>
      <c r="AJ2504" s="17">
        <v>0</v>
      </c>
      <c r="AK2504" s="153">
        <v>2</v>
      </c>
      <c r="AL2504" s="154">
        <v>2</v>
      </c>
      <c r="AM2504" s="147">
        <f t="shared" si="102"/>
        <v>4</v>
      </c>
      <c r="AN2504" s="44" t="s">
        <v>255</v>
      </c>
      <c r="AO2504" s="18" t="s">
        <v>1045</v>
      </c>
      <c r="AP2504" t="s">
        <v>3643</v>
      </c>
    </row>
    <row r="2505" spans="1:42" customFormat="1" x14ac:dyDescent="0.3">
      <c r="A2505" s="148" t="s">
        <v>8319</v>
      </c>
      <c r="B2505" t="s">
        <v>8320</v>
      </c>
      <c r="C2505" s="148" t="s">
        <v>9410</v>
      </c>
      <c r="D2505" t="s">
        <v>9411</v>
      </c>
      <c r="E2505" s="148" t="s">
        <v>9412</v>
      </c>
      <c r="F2505" t="s">
        <v>9413</v>
      </c>
      <c r="G2505" s="148" t="s">
        <v>9997</v>
      </c>
      <c r="H2505" t="s">
        <v>9998</v>
      </c>
      <c r="I2505" s="148" t="s">
        <v>9999</v>
      </c>
      <c r="J2505" t="s">
        <v>10000</v>
      </c>
      <c r="K2505" s="148" t="s">
        <v>10001</v>
      </c>
      <c r="L2505" t="s">
        <v>10002</v>
      </c>
      <c r="M2505" s="1"/>
      <c r="N2505" s="1"/>
      <c r="O2505" s="1"/>
      <c r="P2505" s="3"/>
      <c r="Q2505" s="3"/>
      <c r="R2505" s="3"/>
      <c r="S2505" s="3"/>
      <c r="U2505" t="e">
        <v>#N/A</v>
      </c>
      <c r="V2505" t="s">
        <v>10004</v>
      </c>
      <c r="W2505" s="45">
        <v>1</v>
      </c>
      <c r="X2505" s="45">
        <v>0</v>
      </c>
      <c r="Y2505" s="45">
        <v>1</v>
      </c>
      <c r="Z2505" s="45">
        <v>1</v>
      </c>
      <c r="AA2505" s="45">
        <v>0</v>
      </c>
      <c r="AB2505" s="45">
        <v>1</v>
      </c>
      <c r="AC2505" s="150">
        <v>1</v>
      </c>
      <c r="AD2505" s="150">
        <v>1</v>
      </c>
      <c r="AE2505" s="49">
        <f t="shared" si="103"/>
        <v>0.75</v>
      </c>
      <c r="AF2505" s="17"/>
      <c r="AG2505" s="17">
        <v>0</v>
      </c>
      <c r="AH2505" s="17">
        <v>0</v>
      </c>
      <c r="AI2505" s="17">
        <v>0</v>
      </c>
      <c r="AJ2505" s="17">
        <v>0</v>
      </c>
      <c r="AK2505" s="153">
        <v>0</v>
      </c>
      <c r="AL2505" s="154">
        <v>0</v>
      </c>
      <c r="AM2505" s="147">
        <f t="shared" si="102"/>
        <v>0</v>
      </c>
      <c r="AN2505" s="44" t="s">
        <v>255</v>
      </c>
      <c r="AO2505" s="18" t="s">
        <v>1045</v>
      </c>
      <c r="AP2505" t="s">
        <v>3643</v>
      </c>
    </row>
    <row r="2506" spans="1:42" customFormat="1" x14ac:dyDescent="0.3">
      <c r="A2506" s="148" t="s">
        <v>8319</v>
      </c>
      <c r="B2506" t="s">
        <v>8320</v>
      </c>
      <c r="C2506" s="148" t="s">
        <v>9410</v>
      </c>
      <c r="D2506" t="s">
        <v>9411</v>
      </c>
      <c r="E2506" s="148" t="s">
        <v>9412</v>
      </c>
      <c r="F2506" t="s">
        <v>9413</v>
      </c>
      <c r="G2506" s="148" t="s">
        <v>9997</v>
      </c>
      <c r="H2506" t="s">
        <v>9998</v>
      </c>
      <c r="I2506" s="148" t="s">
        <v>9999</v>
      </c>
      <c r="J2506" t="s">
        <v>10000</v>
      </c>
      <c r="K2506" s="148" t="s">
        <v>10001</v>
      </c>
      <c r="L2506" t="s">
        <v>10002</v>
      </c>
      <c r="M2506" s="1"/>
      <c r="N2506" s="1"/>
      <c r="O2506" s="1"/>
      <c r="P2506" s="3"/>
      <c r="Q2506" s="3"/>
      <c r="R2506" s="3"/>
      <c r="S2506" s="3"/>
      <c r="U2506" t="e">
        <v>#N/A</v>
      </c>
      <c r="V2506" t="s">
        <v>10005</v>
      </c>
      <c r="W2506" s="45">
        <v>1</v>
      </c>
      <c r="X2506" s="45">
        <v>0</v>
      </c>
      <c r="Y2506" s="45">
        <v>1</v>
      </c>
      <c r="Z2506" s="45">
        <v>1</v>
      </c>
      <c r="AA2506" s="45">
        <v>0</v>
      </c>
      <c r="AB2506" s="45">
        <v>1</v>
      </c>
      <c r="AC2506" s="150">
        <v>1</v>
      </c>
      <c r="AD2506" s="150">
        <v>1</v>
      </c>
      <c r="AE2506" s="49">
        <f t="shared" si="103"/>
        <v>0.75</v>
      </c>
      <c r="AF2506" s="17"/>
      <c r="AG2506" s="17">
        <v>0</v>
      </c>
      <c r="AH2506" s="17">
        <v>0</v>
      </c>
      <c r="AI2506" s="17">
        <v>0</v>
      </c>
      <c r="AJ2506" s="17">
        <v>0</v>
      </c>
      <c r="AK2506" s="153">
        <v>2</v>
      </c>
      <c r="AL2506" s="154">
        <v>2</v>
      </c>
      <c r="AM2506" s="147">
        <f t="shared" si="102"/>
        <v>4</v>
      </c>
      <c r="AN2506" t="s">
        <v>3643</v>
      </c>
      <c r="AO2506" s="18" t="s">
        <v>3630</v>
      </c>
      <c r="AP2506" t="s">
        <v>10006</v>
      </c>
    </row>
    <row r="2507" spans="1:42" customFormat="1" x14ac:dyDescent="0.3">
      <c r="A2507" s="148" t="s">
        <v>8319</v>
      </c>
      <c r="B2507" t="s">
        <v>8320</v>
      </c>
      <c r="C2507" s="148" t="s">
        <v>9410</v>
      </c>
      <c r="D2507" t="s">
        <v>9411</v>
      </c>
      <c r="E2507" s="148" t="s">
        <v>9412</v>
      </c>
      <c r="F2507" t="s">
        <v>9413</v>
      </c>
      <c r="G2507" s="148" t="s">
        <v>9997</v>
      </c>
      <c r="H2507" t="s">
        <v>9998</v>
      </c>
      <c r="I2507" s="148" t="s">
        <v>9999</v>
      </c>
      <c r="J2507" t="s">
        <v>10000</v>
      </c>
      <c r="K2507" s="148" t="s">
        <v>10001</v>
      </c>
      <c r="L2507" t="s">
        <v>10002</v>
      </c>
      <c r="M2507" s="1"/>
      <c r="N2507" s="1"/>
      <c r="O2507" s="1"/>
      <c r="P2507" s="3"/>
      <c r="Q2507" s="3"/>
      <c r="R2507" s="3"/>
      <c r="S2507" s="3"/>
      <c r="U2507" t="e">
        <v>#N/A</v>
      </c>
      <c r="V2507" t="s">
        <v>10007</v>
      </c>
      <c r="W2507" s="45">
        <v>1</v>
      </c>
      <c r="X2507" s="45">
        <v>0</v>
      </c>
      <c r="Y2507" s="45">
        <v>1</v>
      </c>
      <c r="Z2507" s="45">
        <v>1</v>
      </c>
      <c r="AA2507" s="45">
        <v>0</v>
      </c>
      <c r="AB2507" s="45">
        <v>1</v>
      </c>
      <c r="AC2507" s="150">
        <v>1</v>
      </c>
      <c r="AD2507" s="150">
        <v>1</v>
      </c>
      <c r="AE2507" s="49">
        <f t="shared" si="103"/>
        <v>0.75</v>
      </c>
      <c r="AF2507" s="17"/>
      <c r="AG2507" s="17">
        <v>0</v>
      </c>
      <c r="AH2507" s="17">
        <v>0</v>
      </c>
      <c r="AI2507" s="17">
        <v>0</v>
      </c>
      <c r="AJ2507" s="17">
        <v>0</v>
      </c>
      <c r="AK2507" s="153">
        <v>0</v>
      </c>
      <c r="AL2507" s="154">
        <v>0</v>
      </c>
      <c r="AM2507" s="147">
        <f t="shared" si="102"/>
        <v>0</v>
      </c>
      <c r="AN2507" s="18" t="s">
        <v>255</v>
      </c>
      <c r="AO2507" s="18" t="s">
        <v>1045</v>
      </c>
      <c r="AP2507" t="s">
        <v>3643</v>
      </c>
    </row>
    <row r="2508" spans="1:42" customFormat="1" x14ac:dyDescent="0.3">
      <c r="A2508" s="148" t="s">
        <v>8319</v>
      </c>
      <c r="B2508" t="s">
        <v>8320</v>
      </c>
      <c r="C2508" s="148" t="s">
        <v>9410</v>
      </c>
      <c r="D2508" t="s">
        <v>9411</v>
      </c>
      <c r="E2508" s="148" t="s">
        <v>9412</v>
      </c>
      <c r="F2508" t="s">
        <v>9413</v>
      </c>
      <c r="G2508" s="148" t="s">
        <v>10008</v>
      </c>
      <c r="H2508" t="s">
        <v>10009</v>
      </c>
      <c r="K2508" s="148" t="s">
        <v>10010</v>
      </c>
      <c r="L2508" t="s">
        <v>10011</v>
      </c>
      <c r="M2508" s="1" t="s">
        <v>10012</v>
      </c>
      <c r="N2508" s="1"/>
      <c r="O2508" s="1">
        <v>1800</v>
      </c>
      <c r="P2508" s="3">
        <v>2000</v>
      </c>
      <c r="Q2508" s="3">
        <v>2200</v>
      </c>
      <c r="R2508" s="3">
        <v>2300</v>
      </c>
      <c r="S2508" s="3">
        <v>2400</v>
      </c>
      <c r="T2508" t="s">
        <v>9738</v>
      </c>
      <c r="U2508" t="e">
        <v>#N/A</v>
      </c>
      <c r="V2508" t="s">
        <v>10013</v>
      </c>
      <c r="W2508" s="45">
        <v>1</v>
      </c>
      <c r="X2508" s="45">
        <v>1</v>
      </c>
      <c r="Y2508" s="45">
        <v>1</v>
      </c>
      <c r="Z2508" s="45">
        <v>1</v>
      </c>
      <c r="AA2508" s="45">
        <v>0</v>
      </c>
      <c r="AB2508" s="45">
        <v>1</v>
      </c>
      <c r="AC2508" s="150">
        <v>1</v>
      </c>
      <c r="AD2508" s="150">
        <v>0</v>
      </c>
      <c r="AE2508" s="49">
        <f t="shared" si="103"/>
        <v>0.75</v>
      </c>
      <c r="AF2508" s="17"/>
      <c r="AG2508" s="17">
        <v>0</v>
      </c>
      <c r="AH2508" s="17">
        <v>0</v>
      </c>
      <c r="AI2508" s="17">
        <v>0</v>
      </c>
      <c r="AJ2508" s="17">
        <v>0</v>
      </c>
      <c r="AK2508" s="153">
        <v>0</v>
      </c>
      <c r="AL2508" s="154">
        <v>0</v>
      </c>
      <c r="AM2508" s="147">
        <f t="shared" si="102"/>
        <v>0</v>
      </c>
      <c r="AN2508" t="s">
        <v>3643</v>
      </c>
      <c r="AO2508" s="18" t="s">
        <v>3630</v>
      </c>
      <c r="AP2508" t="s">
        <v>10014</v>
      </c>
    </row>
    <row r="2509" spans="1:42" customFormat="1" x14ac:dyDescent="0.3">
      <c r="A2509" s="148" t="s">
        <v>8319</v>
      </c>
      <c r="B2509" t="s">
        <v>8320</v>
      </c>
      <c r="C2509" s="148" t="s">
        <v>9410</v>
      </c>
      <c r="D2509" t="s">
        <v>9411</v>
      </c>
      <c r="E2509" s="148" t="s">
        <v>9412</v>
      </c>
      <c r="F2509" t="s">
        <v>9413</v>
      </c>
      <c r="G2509" s="148" t="s">
        <v>10008</v>
      </c>
      <c r="H2509" t="s">
        <v>10009</v>
      </c>
      <c r="K2509" s="148" t="s">
        <v>10010</v>
      </c>
      <c r="L2509" t="s">
        <v>10011</v>
      </c>
      <c r="M2509" s="1" t="s">
        <v>10015</v>
      </c>
      <c r="N2509" s="1"/>
      <c r="O2509" s="1">
        <v>20</v>
      </c>
      <c r="P2509" s="3">
        <v>40</v>
      </c>
      <c r="Q2509" s="3">
        <v>50</v>
      </c>
      <c r="R2509" s="3">
        <v>75</v>
      </c>
      <c r="S2509" s="3">
        <v>100</v>
      </c>
      <c r="T2509" t="s">
        <v>9368</v>
      </c>
      <c r="U2509" t="e">
        <v>#N/A</v>
      </c>
      <c r="V2509" t="s">
        <v>10016</v>
      </c>
      <c r="W2509" s="45">
        <v>1</v>
      </c>
      <c r="X2509" s="45">
        <v>1</v>
      </c>
      <c r="Y2509" s="45">
        <v>1</v>
      </c>
      <c r="Z2509" s="45">
        <v>1</v>
      </c>
      <c r="AA2509" s="45">
        <v>0</v>
      </c>
      <c r="AB2509" s="45">
        <v>1</v>
      </c>
      <c r="AC2509" s="150">
        <v>1</v>
      </c>
      <c r="AD2509" s="150">
        <v>0</v>
      </c>
      <c r="AE2509" s="49">
        <f t="shared" si="103"/>
        <v>0.75</v>
      </c>
      <c r="AF2509" s="17"/>
      <c r="AG2509" s="17">
        <v>0</v>
      </c>
      <c r="AH2509" s="17">
        <v>0</v>
      </c>
      <c r="AI2509" s="17">
        <v>0</v>
      </c>
      <c r="AJ2509" s="17">
        <v>0</v>
      </c>
      <c r="AK2509" s="153">
        <v>0</v>
      </c>
      <c r="AL2509" s="154">
        <v>0</v>
      </c>
      <c r="AM2509" s="147">
        <f t="shared" si="102"/>
        <v>0</v>
      </c>
      <c r="AN2509" t="s">
        <v>3643</v>
      </c>
      <c r="AO2509" s="18" t="s">
        <v>3630</v>
      </c>
      <c r="AP2509" t="s">
        <v>10017</v>
      </c>
    </row>
    <row r="2510" spans="1:42" customFormat="1" x14ac:dyDescent="0.3">
      <c r="A2510" s="148" t="s">
        <v>8319</v>
      </c>
      <c r="B2510" t="s">
        <v>8320</v>
      </c>
      <c r="C2510" s="148" t="s">
        <v>9410</v>
      </c>
      <c r="D2510" t="s">
        <v>9411</v>
      </c>
      <c r="E2510" s="148" t="s">
        <v>9412</v>
      </c>
      <c r="F2510" t="s">
        <v>9413</v>
      </c>
      <c r="G2510" s="148" t="s">
        <v>9820</v>
      </c>
      <c r="H2510" t="s">
        <v>9821</v>
      </c>
      <c r="K2510" s="155" t="s">
        <v>10018</v>
      </c>
      <c r="L2510" t="s">
        <v>10019</v>
      </c>
      <c r="M2510" s="1"/>
      <c r="N2510" s="1"/>
      <c r="O2510" s="1"/>
      <c r="P2510" s="3"/>
      <c r="Q2510" s="380">
        <v>1</v>
      </c>
      <c r="R2510" s="380">
        <v>1</v>
      </c>
      <c r="S2510" s="380">
        <v>1</v>
      </c>
      <c r="T2510" t="s">
        <v>3640</v>
      </c>
      <c r="U2510" t="s">
        <v>3630</v>
      </c>
      <c r="V2510" t="s">
        <v>10020</v>
      </c>
      <c r="W2510" s="45">
        <v>1</v>
      </c>
      <c r="X2510" s="45">
        <v>1</v>
      </c>
      <c r="Y2510" s="45">
        <v>0</v>
      </c>
      <c r="Z2510" s="45">
        <v>1</v>
      </c>
      <c r="AA2510" s="45">
        <v>1</v>
      </c>
      <c r="AB2510" s="45">
        <v>1</v>
      </c>
      <c r="AC2510" s="150">
        <v>0</v>
      </c>
      <c r="AD2510" s="150">
        <v>1</v>
      </c>
      <c r="AE2510" s="49">
        <f t="shared" si="103"/>
        <v>0.75</v>
      </c>
      <c r="AF2510" s="44"/>
      <c r="AG2510" s="17">
        <v>0</v>
      </c>
      <c r="AH2510" s="44">
        <v>0</v>
      </c>
      <c r="AI2510" s="44">
        <v>0</v>
      </c>
      <c r="AJ2510" s="44">
        <v>0</v>
      </c>
      <c r="AK2510" s="151">
        <v>0</v>
      </c>
      <c r="AL2510" s="151">
        <v>0</v>
      </c>
      <c r="AM2510" s="147">
        <f t="shared" si="102"/>
        <v>0</v>
      </c>
      <c r="AN2510" t="s">
        <v>3629</v>
      </c>
      <c r="AO2510" s="18" t="s">
        <v>3630</v>
      </c>
      <c r="AP2510" t="s">
        <v>3643</v>
      </c>
    </row>
    <row r="2511" spans="1:42" customFormat="1" x14ac:dyDescent="0.3">
      <c r="A2511" s="148" t="s">
        <v>8319</v>
      </c>
      <c r="B2511" t="s">
        <v>8320</v>
      </c>
      <c r="C2511" s="148" t="s">
        <v>9410</v>
      </c>
      <c r="D2511" t="s">
        <v>9411</v>
      </c>
      <c r="E2511" s="148" t="s">
        <v>9412</v>
      </c>
      <c r="F2511" t="s">
        <v>9413</v>
      </c>
      <c r="G2511" s="148" t="s">
        <v>9820</v>
      </c>
      <c r="H2511" t="s">
        <v>9821</v>
      </c>
      <c r="K2511" s="155" t="s">
        <v>10021</v>
      </c>
      <c r="L2511" t="s">
        <v>10022</v>
      </c>
      <c r="M2511" s="1"/>
      <c r="N2511" s="1"/>
      <c r="O2511" s="1"/>
      <c r="P2511" s="3"/>
      <c r="Q2511" s="3"/>
      <c r="R2511" s="3"/>
      <c r="S2511" s="3"/>
      <c r="U2511" t="e">
        <v>#N/A</v>
      </c>
      <c r="V2511" t="s">
        <v>10023</v>
      </c>
      <c r="W2511" s="45">
        <v>1</v>
      </c>
      <c r="X2511" s="45">
        <v>0</v>
      </c>
      <c r="Y2511" s="45">
        <v>0</v>
      </c>
      <c r="Z2511" s="45">
        <v>1</v>
      </c>
      <c r="AA2511" s="45">
        <v>1</v>
      </c>
      <c r="AB2511" s="45">
        <v>1</v>
      </c>
      <c r="AC2511" s="150">
        <v>1</v>
      </c>
      <c r="AD2511" s="150">
        <v>1</v>
      </c>
      <c r="AE2511" s="49">
        <f t="shared" si="103"/>
        <v>0.75</v>
      </c>
      <c r="AF2511" s="17"/>
      <c r="AG2511" s="17">
        <v>0</v>
      </c>
      <c r="AH2511" s="17">
        <v>0</v>
      </c>
      <c r="AI2511" s="17">
        <v>0</v>
      </c>
      <c r="AJ2511" s="17">
        <v>0</v>
      </c>
      <c r="AK2511" s="153">
        <v>0</v>
      </c>
      <c r="AL2511" s="154">
        <v>0</v>
      </c>
      <c r="AM2511" s="147">
        <f t="shared" si="102"/>
        <v>0</v>
      </c>
      <c r="AN2511" t="s">
        <v>3643</v>
      </c>
      <c r="AO2511" s="18" t="s">
        <v>3630</v>
      </c>
      <c r="AP2511" t="s">
        <v>10024</v>
      </c>
    </row>
    <row r="2512" spans="1:42" customFormat="1" x14ac:dyDescent="0.3">
      <c r="A2512" s="148" t="s">
        <v>8319</v>
      </c>
      <c r="B2512" t="s">
        <v>8320</v>
      </c>
      <c r="C2512" s="148" t="s">
        <v>9410</v>
      </c>
      <c r="D2512" t="s">
        <v>9411</v>
      </c>
      <c r="E2512" s="148" t="s">
        <v>9412</v>
      </c>
      <c r="F2512" t="s">
        <v>9413</v>
      </c>
      <c r="G2512" s="148" t="s">
        <v>9479</v>
      </c>
      <c r="H2512" t="s">
        <v>9480</v>
      </c>
      <c r="K2512" s="148" t="s">
        <v>10025</v>
      </c>
      <c r="L2512" t="s">
        <v>10026</v>
      </c>
      <c r="M2512" s="1" t="s">
        <v>10027</v>
      </c>
      <c r="N2512" s="1"/>
      <c r="O2512" s="1">
        <v>60</v>
      </c>
      <c r="P2512" s="3">
        <v>60</v>
      </c>
      <c r="Q2512" s="3">
        <v>65</v>
      </c>
      <c r="R2512" s="3">
        <v>70</v>
      </c>
      <c r="S2512" s="3">
        <v>70</v>
      </c>
      <c r="T2512" t="s">
        <v>10028</v>
      </c>
      <c r="U2512" t="e">
        <v>#N/A</v>
      </c>
      <c r="V2512" t="s">
        <v>10029</v>
      </c>
      <c r="W2512" s="45">
        <v>1</v>
      </c>
      <c r="X2512" s="45">
        <v>0</v>
      </c>
      <c r="Y2512" s="45">
        <v>0</v>
      </c>
      <c r="Z2512" s="45">
        <v>1</v>
      </c>
      <c r="AA2512" s="45">
        <v>1</v>
      </c>
      <c r="AB2512" s="45">
        <v>1</v>
      </c>
      <c r="AC2512" s="150">
        <v>1</v>
      </c>
      <c r="AD2512" s="150">
        <v>1</v>
      </c>
      <c r="AE2512" s="49">
        <f t="shared" si="103"/>
        <v>0.75</v>
      </c>
      <c r="AF2512" s="17"/>
      <c r="AG2512" s="17">
        <v>0</v>
      </c>
      <c r="AH2512" s="17">
        <v>0</v>
      </c>
      <c r="AI2512" s="17">
        <v>0</v>
      </c>
      <c r="AJ2512" s="17">
        <v>0</v>
      </c>
      <c r="AK2512" s="153">
        <v>1</v>
      </c>
      <c r="AL2512" s="154">
        <v>1</v>
      </c>
      <c r="AM2512" s="147">
        <f t="shared" si="102"/>
        <v>2</v>
      </c>
      <c r="AN2512" s="174" t="s">
        <v>921</v>
      </c>
      <c r="AO2512" s="18" t="s">
        <v>880</v>
      </c>
      <c r="AP2512" t="s">
        <v>9491</v>
      </c>
    </row>
    <row r="2513" spans="1:42" customFormat="1" x14ac:dyDescent="0.3">
      <c r="A2513" s="148" t="s">
        <v>8319</v>
      </c>
      <c r="B2513" t="s">
        <v>8320</v>
      </c>
      <c r="C2513" s="148" t="s">
        <v>9410</v>
      </c>
      <c r="D2513" t="s">
        <v>9411</v>
      </c>
      <c r="E2513" s="148" t="s">
        <v>9412</v>
      </c>
      <c r="F2513" t="s">
        <v>9413</v>
      </c>
      <c r="G2513" s="148" t="s">
        <v>9479</v>
      </c>
      <c r="H2513" t="s">
        <v>9480</v>
      </c>
      <c r="K2513" s="148" t="s">
        <v>10025</v>
      </c>
      <c r="L2513" t="s">
        <v>10026</v>
      </c>
      <c r="M2513" s="1"/>
      <c r="N2513" s="1"/>
      <c r="O2513" s="1"/>
      <c r="P2513" s="3"/>
      <c r="Q2513" s="3"/>
      <c r="R2513" s="3"/>
      <c r="S2513" s="3"/>
      <c r="U2513" t="e">
        <v>#N/A</v>
      </c>
      <c r="V2513" t="s">
        <v>10029</v>
      </c>
      <c r="W2513" s="45">
        <v>1</v>
      </c>
      <c r="X2513" s="45">
        <v>1</v>
      </c>
      <c r="Y2513" s="45">
        <v>0</v>
      </c>
      <c r="Z2513" s="45">
        <v>1</v>
      </c>
      <c r="AA2513" s="45">
        <v>1</v>
      </c>
      <c r="AB2513" s="45">
        <v>1</v>
      </c>
      <c r="AC2513" s="150">
        <v>0</v>
      </c>
      <c r="AD2513" s="150">
        <v>1</v>
      </c>
      <c r="AE2513" s="49">
        <f t="shared" si="103"/>
        <v>0.75</v>
      </c>
      <c r="AF2513" s="17"/>
      <c r="AG2513" s="17">
        <v>0</v>
      </c>
      <c r="AH2513" s="17">
        <v>0</v>
      </c>
      <c r="AI2513" s="17">
        <v>0</v>
      </c>
      <c r="AJ2513" s="17">
        <v>0</v>
      </c>
      <c r="AK2513" s="153">
        <v>1</v>
      </c>
      <c r="AL2513" s="154">
        <v>0</v>
      </c>
      <c r="AM2513" s="147">
        <f t="shared" si="102"/>
        <v>1</v>
      </c>
      <c r="AN2513" t="s">
        <v>3643</v>
      </c>
      <c r="AO2513" s="18" t="s">
        <v>3630</v>
      </c>
      <c r="AP2513" t="s">
        <v>10030</v>
      </c>
    </row>
    <row r="2514" spans="1:42" customFormat="1" x14ac:dyDescent="0.3">
      <c r="A2514" s="148" t="s">
        <v>8319</v>
      </c>
      <c r="B2514" t="s">
        <v>8320</v>
      </c>
      <c r="C2514" s="148" t="s">
        <v>9496</v>
      </c>
      <c r="D2514" t="s">
        <v>9497</v>
      </c>
      <c r="E2514" s="148" t="s">
        <v>9498</v>
      </c>
      <c r="F2514" t="s">
        <v>9499</v>
      </c>
      <c r="G2514" s="148" t="s">
        <v>9500</v>
      </c>
      <c r="H2514" t="s">
        <v>9501</v>
      </c>
      <c r="K2514" s="148" t="s">
        <v>9840</v>
      </c>
      <c r="L2514" t="s">
        <v>9841</v>
      </c>
      <c r="M2514" s="1" t="s">
        <v>10031</v>
      </c>
      <c r="N2514" s="1">
        <v>2</v>
      </c>
      <c r="O2514" s="1">
        <v>2</v>
      </c>
      <c r="P2514" s="3">
        <v>2</v>
      </c>
      <c r="Q2514" s="3">
        <v>2</v>
      </c>
      <c r="R2514" s="3">
        <v>2</v>
      </c>
      <c r="S2514" s="3">
        <v>2</v>
      </c>
      <c r="T2514" t="s">
        <v>1536</v>
      </c>
      <c r="U2514" t="e">
        <v>#N/A</v>
      </c>
      <c r="V2514" t="s">
        <v>10032</v>
      </c>
      <c r="W2514" s="45">
        <v>1</v>
      </c>
      <c r="X2514" s="45">
        <v>1</v>
      </c>
      <c r="Y2514" s="45">
        <v>1</v>
      </c>
      <c r="Z2514" s="45">
        <v>0</v>
      </c>
      <c r="AA2514" s="45">
        <v>0</v>
      </c>
      <c r="AB2514" s="45">
        <v>1</v>
      </c>
      <c r="AC2514" s="150">
        <v>1</v>
      </c>
      <c r="AD2514" s="150">
        <v>1</v>
      </c>
      <c r="AE2514" s="49">
        <f t="shared" si="103"/>
        <v>0.75</v>
      </c>
      <c r="AF2514" s="44"/>
      <c r="AG2514" s="17">
        <v>0</v>
      </c>
      <c r="AH2514" s="44">
        <v>0</v>
      </c>
      <c r="AI2514" s="44">
        <v>0</v>
      </c>
      <c r="AJ2514" s="44">
        <v>0</v>
      </c>
      <c r="AK2514" s="151">
        <v>0</v>
      </c>
      <c r="AL2514" s="151">
        <v>0</v>
      </c>
      <c r="AM2514" s="147">
        <f t="shared" si="102"/>
        <v>0</v>
      </c>
      <c r="AN2514" s="18" t="s">
        <v>771</v>
      </c>
      <c r="AO2514" s="18" t="s">
        <v>773</v>
      </c>
      <c r="AP2514" t="s">
        <v>255</v>
      </c>
    </row>
    <row r="2515" spans="1:42" customFormat="1" x14ac:dyDescent="0.3">
      <c r="A2515" s="148" t="s">
        <v>8319</v>
      </c>
      <c r="B2515" t="s">
        <v>8320</v>
      </c>
      <c r="C2515" s="148" t="s">
        <v>9496</v>
      </c>
      <c r="D2515" t="s">
        <v>9497</v>
      </c>
      <c r="E2515" s="148" t="s">
        <v>9498</v>
      </c>
      <c r="F2515" t="s">
        <v>9499</v>
      </c>
      <c r="G2515" s="148" t="s">
        <v>9500</v>
      </c>
      <c r="H2515" t="s">
        <v>9501</v>
      </c>
      <c r="K2515" s="148" t="s">
        <v>9840</v>
      </c>
      <c r="L2515" t="s">
        <v>9841</v>
      </c>
      <c r="M2515" s="1" t="s">
        <v>10033</v>
      </c>
      <c r="N2515" s="1">
        <v>1</v>
      </c>
      <c r="O2515" s="1">
        <v>4</v>
      </c>
      <c r="P2515" s="3">
        <v>4</v>
      </c>
      <c r="Q2515" s="3">
        <v>4</v>
      </c>
      <c r="R2515" s="3">
        <v>4</v>
      </c>
      <c r="S2515" s="3">
        <v>4</v>
      </c>
      <c r="T2515" t="s">
        <v>1536</v>
      </c>
      <c r="U2515" t="e">
        <v>#N/A</v>
      </c>
      <c r="V2515" t="s">
        <v>10034</v>
      </c>
      <c r="W2515" s="45">
        <v>1</v>
      </c>
      <c r="X2515" s="45">
        <v>1</v>
      </c>
      <c r="Y2515" s="45">
        <v>1</v>
      </c>
      <c r="Z2515" s="45">
        <v>0</v>
      </c>
      <c r="AA2515" s="45">
        <v>0</v>
      </c>
      <c r="AB2515" s="45">
        <v>1</v>
      </c>
      <c r="AC2515" s="150">
        <v>1</v>
      </c>
      <c r="AD2515" s="150">
        <v>1</v>
      </c>
      <c r="AE2515" s="49">
        <f t="shared" si="103"/>
        <v>0.75</v>
      </c>
      <c r="AF2515" s="44"/>
      <c r="AG2515" s="17">
        <v>0</v>
      </c>
      <c r="AH2515" s="44">
        <v>0</v>
      </c>
      <c r="AI2515" s="44">
        <v>0</v>
      </c>
      <c r="AJ2515" s="44">
        <v>0</v>
      </c>
      <c r="AK2515" s="151">
        <v>0</v>
      </c>
      <c r="AL2515" s="151">
        <v>0</v>
      </c>
      <c r="AM2515" s="147">
        <f t="shared" si="102"/>
        <v>0</v>
      </c>
      <c r="AN2515" s="18" t="s">
        <v>771</v>
      </c>
      <c r="AO2515" s="18" t="s">
        <v>773</v>
      </c>
      <c r="AP2515" t="s">
        <v>255</v>
      </c>
    </row>
    <row r="2516" spans="1:42" customFormat="1" x14ac:dyDescent="0.3">
      <c r="A2516" s="148" t="s">
        <v>8319</v>
      </c>
      <c r="B2516" t="s">
        <v>8320</v>
      </c>
      <c r="C2516" s="148" t="s">
        <v>9496</v>
      </c>
      <c r="D2516" t="s">
        <v>9497</v>
      </c>
      <c r="E2516" s="148" t="s">
        <v>9498</v>
      </c>
      <c r="F2516" t="s">
        <v>9499</v>
      </c>
      <c r="G2516" s="148" t="s">
        <v>9500</v>
      </c>
      <c r="H2516" t="s">
        <v>9501</v>
      </c>
      <c r="K2516" s="148" t="s">
        <v>10035</v>
      </c>
      <c r="L2516" t="s">
        <v>10036</v>
      </c>
      <c r="M2516" s="1" t="s">
        <v>10037</v>
      </c>
      <c r="N2516" s="1">
        <v>500</v>
      </c>
      <c r="O2516" s="1">
        <v>2000</v>
      </c>
      <c r="P2516" s="3">
        <v>2000</v>
      </c>
      <c r="Q2516" s="3">
        <v>2000</v>
      </c>
      <c r="R2516" s="3">
        <v>2000</v>
      </c>
      <c r="S2516" s="3">
        <v>2000</v>
      </c>
      <c r="T2516" t="s">
        <v>1536</v>
      </c>
      <c r="U2516" t="e">
        <v>#N/A</v>
      </c>
      <c r="V2516" t="s">
        <v>10038</v>
      </c>
      <c r="W2516" s="45">
        <v>1</v>
      </c>
      <c r="X2516" s="45">
        <v>1</v>
      </c>
      <c r="Y2516" s="45">
        <v>0</v>
      </c>
      <c r="Z2516" s="45">
        <v>1</v>
      </c>
      <c r="AA2516" s="45">
        <v>1</v>
      </c>
      <c r="AB2516" s="45">
        <v>0</v>
      </c>
      <c r="AC2516" s="150">
        <v>1</v>
      </c>
      <c r="AD2516" s="150">
        <v>1</v>
      </c>
      <c r="AE2516" s="49">
        <f t="shared" si="103"/>
        <v>0.75</v>
      </c>
      <c r="AF2516" s="44"/>
      <c r="AG2516" s="17">
        <v>0</v>
      </c>
      <c r="AH2516" s="44">
        <v>0.5</v>
      </c>
      <c r="AI2516" s="44">
        <v>0.5</v>
      </c>
      <c r="AJ2516" s="44">
        <v>0.5</v>
      </c>
      <c r="AK2516" s="151">
        <v>0.5</v>
      </c>
      <c r="AL2516" s="151">
        <v>0.5</v>
      </c>
      <c r="AM2516" s="147">
        <f t="shared" si="102"/>
        <v>1</v>
      </c>
      <c r="AN2516" s="18" t="s">
        <v>771</v>
      </c>
      <c r="AO2516" s="18" t="s">
        <v>773</v>
      </c>
      <c r="AP2516" t="s">
        <v>10039</v>
      </c>
    </row>
    <row r="2517" spans="1:42" customFormat="1" x14ac:dyDescent="0.3">
      <c r="A2517" s="148" t="s">
        <v>8319</v>
      </c>
      <c r="B2517" t="s">
        <v>8320</v>
      </c>
      <c r="C2517" s="148" t="s">
        <v>9496</v>
      </c>
      <c r="D2517" t="s">
        <v>9497</v>
      </c>
      <c r="E2517" s="148" t="s">
        <v>9498</v>
      </c>
      <c r="F2517" t="s">
        <v>9499</v>
      </c>
      <c r="G2517" s="148" t="s">
        <v>9500</v>
      </c>
      <c r="H2517" t="s">
        <v>9501</v>
      </c>
      <c r="K2517" s="148" t="s">
        <v>10040</v>
      </c>
      <c r="L2517" t="s">
        <v>10041</v>
      </c>
      <c r="M2517" s="1" t="s">
        <v>10042</v>
      </c>
      <c r="N2517" s="1">
        <v>0</v>
      </c>
      <c r="O2517" s="1">
        <v>5000</v>
      </c>
      <c r="P2517" s="3">
        <v>5000</v>
      </c>
      <c r="Q2517" s="3">
        <v>5000</v>
      </c>
      <c r="R2517" s="3">
        <v>5000</v>
      </c>
      <c r="S2517" s="3">
        <v>5000</v>
      </c>
      <c r="T2517" t="s">
        <v>1536</v>
      </c>
      <c r="U2517" t="e">
        <v>#N/A</v>
      </c>
      <c r="V2517" t="s">
        <v>10043</v>
      </c>
      <c r="W2517" s="45">
        <v>1</v>
      </c>
      <c r="X2517" s="45">
        <v>1</v>
      </c>
      <c r="Y2517" s="45">
        <v>1</v>
      </c>
      <c r="Z2517" s="45">
        <v>1</v>
      </c>
      <c r="AA2517" s="45">
        <v>1</v>
      </c>
      <c r="AB2517" s="45">
        <v>0</v>
      </c>
      <c r="AC2517" s="150">
        <v>1</v>
      </c>
      <c r="AD2517" s="150">
        <v>0</v>
      </c>
      <c r="AE2517" s="49">
        <f t="shared" si="103"/>
        <v>0.75</v>
      </c>
      <c r="AF2517" s="44"/>
      <c r="AG2517" s="17">
        <v>0</v>
      </c>
      <c r="AH2517" s="44">
        <v>1</v>
      </c>
      <c r="AI2517" s="44">
        <v>1</v>
      </c>
      <c r="AJ2517" s="44">
        <v>1</v>
      </c>
      <c r="AK2517" s="151">
        <v>1</v>
      </c>
      <c r="AL2517" s="151">
        <v>1</v>
      </c>
      <c r="AM2517" s="147">
        <f t="shared" si="102"/>
        <v>2</v>
      </c>
      <c r="AN2517" s="18" t="s">
        <v>771</v>
      </c>
      <c r="AO2517" s="18" t="s">
        <v>773</v>
      </c>
      <c r="AP2517" t="s">
        <v>10044</v>
      </c>
    </row>
    <row r="2518" spans="1:42" customFormat="1" x14ac:dyDescent="0.3">
      <c r="A2518" s="148" t="s">
        <v>8319</v>
      </c>
      <c r="B2518" t="s">
        <v>8320</v>
      </c>
      <c r="C2518" s="148" t="s">
        <v>9496</v>
      </c>
      <c r="D2518" t="s">
        <v>9497</v>
      </c>
      <c r="E2518" s="148" t="s">
        <v>9498</v>
      </c>
      <c r="F2518" t="s">
        <v>9499</v>
      </c>
      <c r="G2518" s="148" t="s">
        <v>9527</v>
      </c>
      <c r="H2518" t="s">
        <v>9528</v>
      </c>
      <c r="K2518" s="148" t="s">
        <v>10045</v>
      </c>
      <c r="L2518" t="s">
        <v>10046</v>
      </c>
      <c r="M2518" s="1" t="s">
        <v>10047</v>
      </c>
      <c r="N2518" s="1">
        <v>0</v>
      </c>
      <c r="O2518" s="1">
        <v>500000</v>
      </c>
      <c r="P2518" s="3">
        <v>500000</v>
      </c>
      <c r="Q2518" s="3">
        <v>500000</v>
      </c>
      <c r="R2518" s="3">
        <v>500000</v>
      </c>
      <c r="S2518" s="3">
        <v>500000</v>
      </c>
      <c r="T2518" t="s">
        <v>771</v>
      </c>
      <c r="U2518" t="s">
        <v>773</v>
      </c>
      <c r="V2518" t="s">
        <v>10048</v>
      </c>
      <c r="W2518" s="45">
        <v>1</v>
      </c>
      <c r="X2518" s="45">
        <v>1</v>
      </c>
      <c r="Y2518" s="45">
        <v>1</v>
      </c>
      <c r="Z2518" s="45">
        <v>1</v>
      </c>
      <c r="AA2518" s="45">
        <v>0</v>
      </c>
      <c r="AB2518" s="45">
        <v>1</v>
      </c>
      <c r="AC2518" s="150">
        <v>0</v>
      </c>
      <c r="AD2518" s="150">
        <v>1</v>
      </c>
      <c r="AE2518" s="49">
        <f t="shared" si="103"/>
        <v>0.75</v>
      </c>
      <c r="AF2518" s="44"/>
      <c r="AG2518" s="17">
        <v>0</v>
      </c>
      <c r="AH2518" s="44">
        <v>50</v>
      </c>
      <c r="AI2518" s="44">
        <v>57.198903166879973</v>
      </c>
      <c r="AJ2518" s="44">
        <v>30.301096833120027</v>
      </c>
      <c r="AK2518" s="151">
        <v>37.5</v>
      </c>
      <c r="AL2518" s="151">
        <v>37.5</v>
      </c>
      <c r="AM2518" s="147">
        <f t="shared" si="102"/>
        <v>75</v>
      </c>
      <c r="AN2518" s="18" t="s">
        <v>771</v>
      </c>
      <c r="AO2518" s="18" t="s">
        <v>773</v>
      </c>
      <c r="AP2518" t="s">
        <v>9533</v>
      </c>
    </row>
    <row r="2519" spans="1:42" customFormat="1" x14ac:dyDescent="0.3">
      <c r="A2519" s="148" t="s">
        <v>8319</v>
      </c>
      <c r="B2519" t="s">
        <v>8320</v>
      </c>
      <c r="C2519" s="148" t="s">
        <v>9496</v>
      </c>
      <c r="D2519" t="s">
        <v>9497</v>
      </c>
      <c r="E2519" s="148" t="s">
        <v>9498</v>
      </c>
      <c r="F2519" t="s">
        <v>9499</v>
      </c>
      <c r="G2519" s="148" t="s">
        <v>10049</v>
      </c>
      <c r="H2519" t="s">
        <v>10050</v>
      </c>
      <c r="K2519" s="148" t="s">
        <v>10051</v>
      </c>
      <c r="L2519" t="s">
        <v>10052</v>
      </c>
      <c r="M2519" s="1" t="s">
        <v>10053</v>
      </c>
      <c r="N2519" s="1">
        <v>175</v>
      </c>
      <c r="O2519" s="1">
        <v>175</v>
      </c>
      <c r="P2519" s="3">
        <v>176</v>
      </c>
      <c r="Q2519" s="3">
        <v>176</v>
      </c>
      <c r="R2519" s="3">
        <v>176</v>
      </c>
      <c r="S2519" s="3">
        <v>176</v>
      </c>
      <c r="T2519" t="s">
        <v>1563</v>
      </c>
      <c r="U2519" t="s">
        <v>1565</v>
      </c>
      <c r="V2519" t="s">
        <v>10054</v>
      </c>
      <c r="W2519" s="45">
        <v>1</v>
      </c>
      <c r="X2519" s="45">
        <v>1</v>
      </c>
      <c r="Y2519" s="45">
        <v>0</v>
      </c>
      <c r="Z2519" s="45">
        <v>1</v>
      </c>
      <c r="AA2519" s="45">
        <v>1</v>
      </c>
      <c r="AB2519" s="45">
        <v>1</v>
      </c>
      <c r="AC2519" s="150">
        <v>1</v>
      </c>
      <c r="AD2519" s="150">
        <v>1</v>
      </c>
      <c r="AE2519" s="49">
        <f t="shared" si="103"/>
        <v>0.875</v>
      </c>
      <c r="AF2519" s="44">
        <v>1</v>
      </c>
      <c r="AG2519" s="17">
        <v>0</v>
      </c>
      <c r="AH2519" s="44">
        <v>0.2</v>
      </c>
      <c r="AI2519" s="44">
        <v>0.3</v>
      </c>
      <c r="AJ2519" s="44">
        <v>0.24</v>
      </c>
      <c r="AK2519" s="151">
        <v>0.14000000000000001</v>
      </c>
      <c r="AL2519" s="151">
        <v>0.35</v>
      </c>
      <c r="AM2519" s="147">
        <f t="shared" si="102"/>
        <v>0.49</v>
      </c>
      <c r="AN2519" t="s">
        <v>1563</v>
      </c>
      <c r="AO2519" s="18" t="s">
        <v>1565</v>
      </c>
      <c r="AP2519" t="s">
        <v>119</v>
      </c>
    </row>
    <row r="2520" spans="1:42" customFormat="1" x14ac:dyDescent="0.3">
      <c r="A2520" s="148" t="s">
        <v>8319</v>
      </c>
      <c r="B2520" t="s">
        <v>8320</v>
      </c>
      <c r="C2520" s="148" t="s">
        <v>9496</v>
      </c>
      <c r="D2520" t="s">
        <v>9497</v>
      </c>
      <c r="E2520" s="148" t="s">
        <v>9498</v>
      </c>
      <c r="F2520" t="s">
        <v>9499</v>
      </c>
      <c r="G2520" s="148" t="s">
        <v>10049</v>
      </c>
      <c r="H2520" t="s">
        <v>10050</v>
      </c>
      <c r="K2520" s="148" t="s">
        <v>10051</v>
      </c>
      <c r="L2520" t="s">
        <v>10052</v>
      </c>
      <c r="M2520" s="1" t="s">
        <v>10055</v>
      </c>
      <c r="N2520" s="1">
        <v>148</v>
      </c>
      <c r="O2520" s="1">
        <v>148</v>
      </c>
      <c r="P2520" s="3">
        <v>148</v>
      </c>
      <c r="Q2520" s="3">
        <v>148</v>
      </c>
      <c r="R2520" s="3">
        <v>148</v>
      </c>
      <c r="S2520" s="3">
        <v>148</v>
      </c>
      <c r="T2520" t="s">
        <v>771</v>
      </c>
      <c r="U2520" t="s">
        <v>773</v>
      </c>
      <c r="V2520" t="s">
        <v>10056</v>
      </c>
      <c r="W2520" s="45">
        <v>1</v>
      </c>
      <c r="X2520" s="45">
        <v>1</v>
      </c>
      <c r="Y2520" s="45">
        <v>0</v>
      </c>
      <c r="Z2520" s="45">
        <v>1</v>
      </c>
      <c r="AA2520" s="45">
        <v>1</v>
      </c>
      <c r="AB2520" s="45">
        <v>0</v>
      </c>
      <c r="AC2520" s="150">
        <v>1</v>
      </c>
      <c r="AD2520" s="150">
        <v>1</v>
      </c>
      <c r="AE2520" s="49">
        <f t="shared" si="103"/>
        <v>0.75</v>
      </c>
      <c r="AF2520" s="17"/>
      <c r="AG2520" s="17">
        <v>0</v>
      </c>
      <c r="AH2520" s="17">
        <v>0</v>
      </c>
      <c r="AI2520" s="44">
        <v>0.23</v>
      </c>
      <c r="AJ2520" s="44">
        <v>0.22</v>
      </c>
      <c r="AK2520" s="151">
        <v>0.26</v>
      </c>
      <c r="AL2520" s="151">
        <v>0.31</v>
      </c>
      <c r="AM2520" s="147">
        <f t="shared" si="102"/>
        <v>0.57000000000000006</v>
      </c>
      <c r="AN2520" t="s">
        <v>1563</v>
      </c>
      <c r="AO2520" s="18" t="s">
        <v>1565</v>
      </c>
      <c r="AP2520" t="s">
        <v>119</v>
      </c>
    </row>
    <row r="2521" spans="1:42" customFormat="1" x14ac:dyDescent="0.3">
      <c r="A2521" s="148" t="s">
        <v>8319</v>
      </c>
      <c r="B2521" t="s">
        <v>8320</v>
      </c>
      <c r="C2521" s="148" t="s">
        <v>9344</v>
      </c>
      <c r="D2521" t="s">
        <v>9345</v>
      </c>
      <c r="E2521" s="148" t="s">
        <v>9346</v>
      </c>
      <c r="F2521" t="s">
        <v>9347</v>
      </c>
      <c r="G2521" s="148" t="s">
        <v>9552</v>
      </c>
      <c r="H2521" t="s">
        <v>9553</v>
      </c>
      <c r="K2521" s="148" t="s">
        <v>9871</v>
      </c>
      <c r="L2521" t="s">
        <v>9872</v>
      </c>
      <c r="M2521" s="1" t="s">
        <v>10057</v>
      </c>
      <c r="N2521" s="1"/>
      <c r="O2521" s="1"/>
      <c r="P2521" s="3"/>
      <c r="Q2521" s="3">
        <v>1</v>
      </c>
      <c r="R2521" s="3"/>
      <c r="S2521" s="3"/>
      <c r="T2521" t="s">
        <v>10058</v>
      </c>
      <c r="U2521" t="e">
        <v>#N/A</v>
      </c>
      <c r="V2521" t="s">
        <v>10059</v>
      </c>
      <c r="W2521" s="45">
        <v>1</v>
      </c>
      <c r="X2521" s="45">
        <v>1</v>
      </c>
      <c r="Y2521" s="45">
        <v>0</v>
      </c>
      <c r="Z2521" s="45">
        <v>1</v>
      </c>
      <c r="AA2521" s="45">
        <v>1</v>
      </c>
      <c r="AB2521" s="45">
        <v>0</v>
      </c>
      <c r="AC2521" s="150">
        <v>1</v>
      </c>
      <c r="AD2521" s="150">
        <v>0</v>
      </c>
      <c r="AE2521" s="49">
        <f t="shared" si="103"/>
        <v>0.625</v>
      </c>
      <c r="AF2521" s="17"/>
      <c r="AG2521" s="17">
        <v>0</v>
      </c>
      <c r="AH2521" s="17">
        <v>0</v>
      </c>
      <c r="AI2521" s="44">
        <v>0.03</v>
      </c>
      <c r="AJ2521" s="44">
        <v>0</v>
      </c>
      <c r="AK2521" s="151">
        <v>0.2</v>
      </c>
      <c r="AL2521" s="151">
        <v>0.2</v>
      </c>
      <c r="AM2521" s="147">
        <f t="shared" si="102"/>
        <v>0.4</v>
      </c>
      <c r="AN2521" t="s">
        <v>723</v>
      </c>
      <c r="AO2521" s="18" t="s">
        <v>729</v>
      </c>
      <c r="AP2521" t="s">
        <v>2043</v>
      </c>
    </row>
    <row r="2522" spans="1:42" customFormat="1" x14ac:dyDescent="0.3">
      <c r="A2522" s="148" t="s">
        <v>8319</v>
      </c>
      <c r="B2522" t="s">
        <v>8320</v>
      </c>
      <c r="C2522" s="148" t="s">
        <v>9344</v>
      </c>
      <c r="D2522" t="s">
        <v>9345</v>
      </c>
      <c r="E2522" s="148" t="s">
        <v>9346</v>
      </c>
      <c r="F2522" t="s">
        <v>9347</v>
      </c>
      <c r="G2522" s="148" t="s">
        <v>9552</v>
      </c>
      <c r="H2522" t="s">
        <v>9553</v>
      </c>
      <c r="K2522" s="148" t="s">
        <v>9871</v>
      </c>
      <c r="L2522" t="s">
        <v>9872</v>
      </c>
      <c r="M2522" s="1" t="s">
        <v>9875</v>
      </c>
      <c r="N2522" s="1">
        <v>0</v>
      </c>
      <c r="O2522" s="1">
        <v>30</v>
      </c>
      <c r="P2522" s="3">
        <v>36</v>
      </c>
      <c r="Q2522" s="3">
        <v>30</v>
      </c>
      <c r="R2522" s="3">
        <v>30</v>
      </c>
      <c r="S2522" s="3">
        <v>20</v>
      </c>
      <c r="T2522" t="s">
        <v>1536</v>
      </c>
      <c r="U2522" t="e">
        <v>#N/A</v>
      </c>
      <c r="V2522" t="s">
        <v>10060</v>
      </c>
      <c r="W2522" s="45">
        <v>1</v>
      </c>
      <c r="X2522" s="45">
        <v>0</v>
      </c>
      <c r="Y2522" s="45">
        <v>1</v>
      </c>
      <c r="Z2522" s="45">
        <v>1</v>
      </c>
      <c r="AA2522" s="45">
        <v>1</v>
      </c>
      <c r="AB2522" s="45">
        <v>0</v>
      </c>
      <c r="AC2522" s="150">
        <v>1</v>
      </c>
      <c r="AD2522" s="150">
        <v>0</v>
      </c>
      <c r="AE2522" s="49">
        <f t="shared" si="103"/>
        <v>0.625</v>
      </c>
      <c r="AF2522" s="44"/>
      <c r="AG2522" s="17">
        <v>0</v>
      </c>
      <c r="AH2522" s="44">
        <v>0.1</v>
      </c>
      <c r="AI2522" s="44">
        <v>0.1</v>
      </c>
      <c r="AJ2522" s="44">
        <v>0.1</v>
      </c>
      <c r="AK2522" s="151">
        <v>0.1</v>
      </c>
      <c r="AL2522" s="151">
        <v>0.1</v>
      </c>
      <c r="AM2522" s="147">
        <f t="shared" si="102"/>
        <v>0.2</v>
      </c>
      <c r="AN2522" s="18" t="s">
        <v>771</v>
      </c>
      <c r="AO2522" s="18" t="s">
        <v>773</v>
      </c>
      <c r="AP2522" t="s">
        <v>10061</v>
      </c>
    </row>
    <row r="2523" spans="1:42" customFormat="1" x14ac:dyDescent="0.3">
      <c r="A2523" s="148" t="s">
        <v>8319</v>
      </c>
      <c r="B2523" t="s">
        <v>8320</v>
      </c>
      <c r="C2523" s="148" t="s">
        <v>9344</v>
      </c>
      <c r="D2523" t="s">
        <v>9345</v>
      </c>
      <c r="E2523" s="148" t="s">
        <v>9346</v>
      </c>
      <c r="F2523" t="s">
        <v>9347</v>
      </c>
      <c r="G2523" s="148" t="s">
        <v>9552</v>
      </c>
      <c r="H2523" t="s">
        <v>9553</v>
      </c>
      <c r="K2523" s="148" t="s">
        <v>10062</v>
      </c>
      <c r="L2523" t="s">
        <v>10063</v>
      </c>
      <c r="M2523" s="277" t="s">
        <v>10064</v>
      </c>
      <c r="N2523" s="277"/>
      <c r="O2523" s="277">
        <v>51</v>
      </c>
      <c r="P2523" s="275">
        <v>54</v>
      </c>
      <c r="Q2523" s="275">
        <v>57</v>
      </c>
      <c r="R2523" s="275">
        <v>61</v>
      </c>
      <c r="S2523" s="275">
        <v>65</v>
      </c>
      <c r="T2523" s="159" t="s">
        <v>255</v>
      </c>
      <c r="U2523" t="s">
        <v>1045</v>
      </c>
      <c r="V2523" t="s">
        <v>10065</v>
      </c>
      <c r="W2523" s="45">
        <v>1</v>
      </c>
      <c r="X2523" s="45">
        <v>0</v>
      </c>
      <c r="Y2523" s="45">
        <v>0</v>
      </c>
      <c r="Z2523" s="45">
        <v>1</v>
      </c>
      <c r="AA2523" s="45">
        <v>1</v>
      </c>
      <c r="AB2523" s="45">
        <v>0</v>
      </c>
      <c r="AC2523" s="150">
        <v>1</v>
      </c>
      <c r="AD2523" s="150">
        <v>1</v>
      </c>
      <c r="AE2523" s="49">
        <f t="shared" si="103"/>
        <v>0.625</v>
      </c>
      <c r="AF2523" s="44"/>
      <c r="AG2523" s="17">
        <v>0</v>
      </c>
      <c r="AH2523" s="44">
        <v>0</v>
      </c>
      <c r="AI2523" s="44">
        <v>5</v>
      </c>
      <c r="AJ2523" s="44">
        <v>5</v>
      </c>
      <c r="AK2523" s="151">
        <v>5</v>
      </c>
      <c r="AL2523" s="151">
        <v>5</v>
      </c>
      <c r="AM2523" s="147">
        <f t="shared" si="102"/>
        <v>10</v>
      </c>
      <c r="AN2523" s="18" t="s">
        <v>255</v>
      </c>
      <c r="AO2523" s="18" t="s">
        <v>1045</v>
      </c>
      <c r="AP2523" t="s">
        <v>10066</v>
      </c>
    </row>
    <row r="2524" spans="1:42" customFormat="1" x14ac:dyDescent="0.3">
      <c r="A2524" s="148" t="s">
        <v>8319</v>
      </c>
      <c r="B2524" t="s">
        <v>8320</v>
      </c>
      <c r="C2524" s="148" t="s">
        <v>9344</v>
      </c>
      <c r="D2524" t="s">
        <v>9345</v>
      </c>
      <c r="E2524" s="148" t="s">
        <v>9346</v>
      </c>
      <c r="F2524" t="s">
        <v>9347</v>
      </c>
      <c r="G2524" s="148" t="s">
        <v>9552</v>
      </c>
      <c r="H2524" t="s">
        <v>9553</v>
      </c>
      <c r="K2524" s="148" t="s">
        <v>10062</v>
      </c>
      <c r="L2524" t="s">
        <v>10063</v>
      </c>
      <c r="M2524" s="277" t="s">
        <v>10067</v>
      </c>
      <c r="N2524" s="277"/>
      <c r="O2524" s="277">
        <v>45</v>
      </c>
      <c r="P2524" s="275">
        <v>46</v>
      </c>
      <c r="Q2524" s="275">
        <v>50</v>
      </c>
      <c r="R2524" s="275">
        <v>55</v>
      </c>
      <c r="S2524" s="275">
        <v>65</v>
      </c>
      <c r="T2524" s="159" t="s">
        <v>255</v>
      </c>
      <c r="U2524" t="s">
        <v>1045</v>
      </c>
      <c r="V2524" t="s">
        <v>10068</v>
      </c>
      <c r="W2524" s="45">
        <v>1</v>
      </c>
      <c r="X2524" s="45">
        <v>0</v>
      </c>
      <c r="Y2524" s="45">
        <v>0</v>
      </c>
      <c r="Z2524" s="45">
        <v>1</v>
      </c>
      <c r="AA2524" s="45">
        <v>1</v>
      </c>
      <c r="AB2524" s="45">
        <v>0</v>
      </c>
      <c r="AC2524" s="150">
        <v>1</v>
      </c>
      <c r="AD2524" s="150">
        <v>1</v>
      </c>
      <c r="AE2524" s="49">
        <f t="shared" si="103"/>
        <v>0.625</v>
      </c>
      <c r="AF2524" s="17"/>
      <c r="AG2524" s="17">
        <v>0</v>
      </c>
      <c r="AH2524" s="17">
        <v>0</v>
      </c>
      <c r="AI2524" s="44">
        <v>0.1</v>
      </c>
      <c r="AJ2524" s="44">
        <v>0.1</v>
      </c>
      <c r="AK2524" s="151">
        <v>0.1</v>
      </c>
      <c r="AL2524" s="151">
        <v>0.1</v>
      </c>
      <c r="AM2524" s="147">
        <f t="shared" si="102"/>
        <v>0.2</v>
      </c>
      <c r="AN2524" s="18" t="s">
        <v>255</v>
      </c>
      <c r="AO2524" s="18" t="s">
        <v>1045</v>
      </c>
      <c r="AP2524" t="s">
        <v>10069</v>
      </c>
    </row>
    <row r="2525" spans="1:42" customFormat="1" x14ac:dyDescent="0.3">
      <c r="A2525" s="148" t="s">
        <v>8319</v>
      </c>
      <c r="B2525" t="s">
        <v>8320</v>
      </c>
      <c r="C2525" s="148" t="s">
        <v>9344</v>
      </c>
      <c r="D2525" t="s">
        <v>9345</v>
      </c>
      <c r="E2525" s="148" t="s">
        <v>9346</v>
      </c>
      <c r="F2525" t="s">
        <v>9347</v>
      </c>
      <c r="G2525" t="s">
        <v>9348</v>
      </c>
      <c r="H2525" t="s">
        <v>9349</v>
      </c>
      <c r="I2525" s="148" t="s">
        <v>9350</v>
      </c>
      <c r="J2525" t="s">
        <v>9351</v>
      </c>
      <c r="K2525" s="148" t="s">
        <v>9352</v>
      </c>
      <c r="L2525" t="s">
        <v>9353</v>
      </c>
      <c r="M2525" s="1" t="s">
        <v>10070</v>
      </c>
      <c r="N2525" s="1">
        <v>23</v>
      </c>
      <c r="O2525" s="1">
        <v>90</v>
      </c>
      <c r="P2525" s="3">
        <v>90</v>
      </c>
      <c r="Q2525" s="3">
        <v>90</v>
      </c>
      <c r="R2525" s="3">
        <v>90</v>
      </c>
      <c r="S2525" s="3">
        <v>90</v>
      </c>
      <c r="T2525" t="s">
        <v>9881</v>
      </c>
      <c r="U2525" t="e">
        <v>#N/A</v>
      </c>
      <c r="V2525" t="s">
        <v>10071</v>
      </c>
      <c r="W2525" s="45">
        <v>1</v>
      </c>
      <c r="X2525" s="45">
        <v>0</v>
      </c>
      <c r="Y2525" s="45">
        <v>1</v>
      </c>
      <c r="Z2525" s="45">
        <v>1</v>
      </c>
      <c r="AA2525" s="45">
        <v>1</v>
      </c>
      <c r="AB2525" s="45">
        <v>0</v>
      </c>
      <c r="AC2525" s="150">
        <v>1</v>
      </c>
      <c r="AD2525" s="150">
        <v>0</v>
      </c>
      <c r="AE2525" s="49">
        <f t="shared" si="103"/>
        <v>0.625</v>
      </c>
      <c r="AF2525" s="44"/>
      <c r="AG2525" s="17">
        <v>0</v>
      </c>
      <c r="AH2525" s="44">
        <v>1.8</v>
      </c>
      <c r="AI2525" s="44">
        <v>2.1</v>
      </c>
      <c r="AJ2525" s="44">
        <v>2.2999999999999998</v>
      </c>
      <c r="AK2525" s="151">
        <v>2.5</v>
      </c>
      <c r="AL2525" s="151">
        <v>2.7</v>
      </c>
      <c r="AM2525" s="147">
        <f t="shared" si="102"/>
        <v>5.2</v>
      </c>
      <c r="AN2525" s="18" t="s">
        <v>255</v>
      </c>
      <c r="AO2525" s="18" t="s">
        <v>1045</v>
      </c>
      <c r="AP2525" t="s">
        <v>3643</v>
      </c>
    </row>
    <row r="2526" spans="1:42" customFormat="1" x14ac:dyDescent="0.3">
      <c r="A2526" s="148" t="s">
        <v>8319</v>
      </c>
      <c r="B2526" t="s">
        <v>8320</v>
      </c>
      <c r="C2526" s="148" t="s">
        <v>9344</v>
      </c>
      <c r="D2526" t="s">
        <v>9345</v>
      </c>
      <c r="E2526" s="148" t="s">
        <v>9346</v>
      </c>
      <c r="F2526" t="s">
        <v>9347</v>
      </c>
      <c r="G2526" t="s">
        <v>9348</v>
      </c>
      <c r="H2526" t="s">
        <v>9349</v>
      </c>
      <c r="I2526" s="148" t="s">
        <v>10072</v>
      </c>
      <c r="J2526" t="s">
        <v>10073</v>
      </c>
      <c r="K2526" s="148" t="s">
        <v>10074</v>
      </c>
      <c r="L2526" t="s">
        <v>10075</v>
      </c>
      <c r="M2526" s="1" t="s">
        <v>10076</v>
      </c>
      <c r="N2526" s="1">
        <v>0</v>
      </c>
      <c r="O2526" s="1">
        <v>0</v>
      </c>
      <c r="P2526" s="3" t="s">
        <v>10077</v>
      </c>
      <c r="Q2526" s="3" t="s">
        <v>10078</v>
      </c>
      <c r="R2526" s="3" t="s">
        <v>271</v>
      </c>
      <c r="S2526" s="3" t="s">
        <v>271</v>
      </c>
      <c r="T2526" t="s">
        <v>3643</v>
      </c>
      <c r="U2526" t="s">
        <v>3630</v>
      </c>
      <c r="V2526" t="s">
        <v>10079</v>
      </c>
      <c r="W2526" s="45">
        <v>1</v>
      </c>
      <c r="X2526" s="45">
        <v>0</v>
      </c>
      <c r="Y2526" s="45">
        <v>1</v>
      </c>
      <c r="Z2526" s="45">
        <v>0</v>
      </c>
      <c r="AA2526" s="45">
        <v>0</v>
      </c>
      <c r="AB2526" s="45">
        <v>1</v>
      </c>
      <c r="AC2526" s="150">
        <v>1</v>
      </c>
      <c r="AD2526" s="150">
        <v>1</v>
      </c>
      <c r="AE2526" s="49">
        <f t="shared" si="103"/>
        <v>0.625</v>
      </c>
      <c r="AF2526" s="44"/>
      <c r="AG2526" s="17">
        <v>0</v>
      </c>
      <c r="AH2526" s="44">
        <v>0.05</v>
      </c>
      <c r="AI2526" s="44">
        <v>0.2</v>
      </c>
      <c r="AJ2526" s="44">
        <v>0.2</v>
      </c>
      <c r="AK2526" s="153">
        <v>0.2</v>
      </c>
      <c r="AL2526" s="154">
        <v>0.2</v>
      </c>
      <c r="AM2526" s="147">
        <f t="shared" si="102"/>
        <v>0.4</v>
      </c>
      <c r="AN2526" t="s">
        <v>3643</v>
      </c>
      <c r="AO2526" s="18" t="s">
        <v>3630</v>
      </c>
      <c r="AP2526" t="s">
        <v>10080</v>
      </c>
    </row>
    <row r="2527" spans="1:42" customFormat="1" x14ac:dyDescent="0.3">
      <c r="A2527" s="148" t="s">
        <v>8319</v>
      </c>
      <c r="B2527" t="s">
        <v>8320</v>
      </c>
      <c r="C2527" s="148" t="s">
        <v>9344</v>
      </c>
      <c r="D2527" t="s">
        <v>9345</v>
      </c>
      <c r="E2527" s="148" t="s">
        <v>9346</v>
      </c>
      <c r="F2527" t="s">
        <v>9347</v>
      </c>
      <c r="G2527" s="148" t="s">
        <v>9890</v>
      </c>
      <c r="H2527" t="s">
        <v>9891</v>
      </c>
      <c r="K2527" s="148" t="s">
        <v>9892</v>
      </c>
      <c r="L2527" t="s">
        <v>9893</v>
      </c>
      <c r="M2527" s="1" t="s">
        <v>10081</v>
      </c>
      <c r="N2527" s="1"/>
      <c r="O2527" s="1">
        <v>100</v>
      </c>
      <c r="P2527" s="3">
        <v>100</v>
      </c>
      <c r="Q2527" s="3">
        <v>100</v>
      </c>
      <c r="R2527" s="3">
        <v>100</v>
      </c>
      <c r="S2527" s="3">
        <v>100</v>
      </c>
      <c r="T2527" t="s">
        <v>9640</v>
      </c>
      <c r="U2527" t="s">
        <v>9989</v>
      </c>
      <c r="V2527" t="s">
        <v>10082</v>
      </c>
      <c r="W2527" s="45">
        <v>1</v>
      </c>
      <c r="X2527" s="45">
        <v>1</v>
      </c>
      <c r="Y2527" s="45">
        <v>0</v>
      </c>
      <c r="Z2527" s="45">
        <v>1</v>
      </c>
      <c r="AA2527" s="45">
        <v>1</v>
      </c>
      <c r="AB2527" s="45">
        <v>0</v>
      </c>
      <c r="AC2527" s="150">
        <v>1</v>
      </c>
      <c r="AD2527" s="150">
        <v>0</v>
      </c>
      <c r="AE2527" s="49">
        <f t="shared" si="103"/>
        <v>0.625</v>
      </c>
      <c r="AF2527" s="44"/>
      <c r="AG2527" s="17">
        <v>1</v>
      </c>
      <c r="AH2527" s="44">
        <v>0.1</v>
      </c>
      <c r="AI2527" s="44">
        <v>0.1</v>
      </c>
      <c r="AJ2527" s="44">
        <v>0.1</v>
      </c>
      <c r="AK2527" s="151">
        <v>2</v>
      </c>
      <c r="AL2527" s="151">
        <v>2</v>
      </c>
      <c r="AM2527" s="147">
        <f t="shared" si="102"/>
        <v>4</v>
      </c>
      <c r="AN2527" s="44" t="s">
        <v>9640</v>
      </c>
      <c r="AO2527" s="18" t="s">
        <v>9989</v>
      </c>
      <c r="AP2527" t="s">
        <v>3643</v>
      </c>
    </row>
    <row r="2528" spans="1:42" customFormat="1" x14ac:dyDescent="0.3">
      <c r="A2528" s="148" t="s">
        <v>8319</v>
      </c>
      <c r="B2528" t="s">
        <v>8320</v>
      </c>
      <c r="C2528" s="148" t="s">
        <v>9344</v>
      </c>
      <c r="D2528" t="s">
        <v>9345</v>
      </c>
      <c r="E2528" s="148" t="s">
        <v>9346</v>
      </c>
      <c r="F2528" t="s">
        <v>9347</v>
      </c>
      <c r="G2528" s="148" t="s">
        <v>9890</v>
      </c>
      <c r="H2528" t="s">
        <v>9891</v>
      </c>
      <c r="K2528" s="148" t="s">
        <v>9892</v>
      </c>
      <c r="L2528" t="s">
        <v>9893</v>
      </c>
      <c r="M2528" s="1" t="s">
        <v>10083</v>
      </c>
      <c r="N2528" s="1"/>
      <c r="O2528" s="1">
        <v>100</v>
      </c>
      <c r="P2528" s="3">
        <v>100</v>
      </c>
      <c r="Q2528" s="3">
        <v>100</v>
      </c>
      <c r="R2528" s="3">
        <v>100</v>
      </c>
      <c r="S2528" s="3">
        <v>100</v>
      </c>
      <c r="T2528" t="s">
        <v>255</v>
      </c>
      <c r="U2528" t="s">
        <v>1045</v>
      </c>
      <c r="V2528" t="s">
        <v>10084</v>
      </c>
      <c r="W2528" s="45">
        <v>1</v>
      </c>
      <c r="X2528" s="45">
        <v>0</v>
      </c>
      <c r="Y2528" s="45">
        <v>0</v>
      </c>
      <c r="Z2528" s="45">
        <v>1</v>
      </c>
      <c r="AA2528" s="45">
        <v>1</v>
      </c>
      <c r="AB2528" s="45">
        <v>0</v>
      </c>
      <c r="AC2528" s="150">
        <v>1</v>
      </c>
      <c r="AD2528" s="150">
        <v>1</v>
      </c>
      <c r="AE2528" s="49">
        <f t="shared" si="103"/>
        <v>0.625</v>
      </c>
      <c r="AF2528" s="44"/>
      <c r="AG2528" s="17">
        <v>0</v>
      </c>
      <c r="AH2528" s="44">
        <v>0.12</v>
      </c>
      <c r="AI2528" s="44">
        <v>0.12</v>
      </c>
      <c r="AJ2528" s="44">
        <v>0.12</v>
      </c>
      <c r="AK2528" s="151">
        <v>0.2</v>
      </c>
      <c r="AL2528" s="151">
        <v>0.2</v>
      </c>
      <c r="AM2528" s="147">
        <f t="shared" si="102"/>
        <v>0.4</v>
      </c>
      <c r="AN2528" s="18" t="s">
        <v>255</v>
      </c>
      <c r="AO2528" s="18" t="s">
        <v>1045</v>
      </c>
      <c r="AP2528" t="s">
        <v>3643</v>
      </c>
    </row>
    <row r="2529" spans="1:42" customFormat="1" x14ac:dyDescent="0.3">
      <c r="A2529" s="148" t="s">
        <v>8319</v>
      </c>
      <c r="B2529" t="s">
        <v>8320</v>
      </c>
      <c r="C2529" s="148" t="s">
        <v>9344</v>
      </c>
      <c r="D2529" t="s">
        <v>9345</v>
      </c>
      <c r="E2529" s="148" t="s">
        <v>9346</v>
      </c>
      <c r="F2529" t="s">
        <v>9347</v>
      </c>
      <c r="G2529" s="148" t="s">
        <v>9890</v>
      </c>
      <c r="H2529" t="s">
        <v>9891</v>
      </c>
      <c r="K2529" s="148" t="s">
        <v>9892</v>
      </c>
      <c r="L2529" t="s">
        <v>9893</v>
      </c>
      <c r="M2529" s="1" t="s">
        <v>10085</v>
      </c>
      <c r="N2529" s="1"/>
      <c r="O2529" s="1">
        <v>80</v>
      </c>
      <c r="P2529" s="3">
        <v>82</v>
      </c>
      <c r="Q2529" s="3">
        <v>84</v>
      </c>
      <c r="R2529" s="3">
        <v>85</v>
      </c>
      <c r="S2529" s="3">
        <v>86</v>
      </c>
      <c r="T2529" t="s">
        <v>10086</v>
      </c>
      <c r="U2529" t="e">
        <v>#N/A</v>
      </c>
      <c r="V2529" t="s">
        <v>10087</v>
      </c>
      <c r="W2529" s="45">
        <v>1</v>
      </c>
      <c r="X2529" s="45">
        <v>1</v>
      </c>
      <c r="Y2529" s="45">
        <v>0</v>
      </c>
      <c r="Z2529" s="45">
        <v>1</v>
      </c>
      <c r="AA2529" s="45">
        <v>1</v>
      </c>
      <c r="AB2529" s="45">
        <v>0</v>
      </c>
      <c r="AC2529" s="150">
        <v>1</v>
      </c>
      <c r="AD2529" s="150">
        <v>0</v>
      </c>
      <c r="AE2529" s="49">
        <f t="shared" si="103"/>
        <v>0.625</v>
      </c>
      <c r="AF2529" s="44"/>
      <c r="AG2529" s="17">
        <v>0</v>
      </c>
      <c r="AH2529" s="44">
        <v>10</v>
      </c>
      <c r="AI2529" s="44">
        <v>10</v>
      </c>
      <c r="AJ2529" s="44">
        <v>10</v>
      </c>
      <c r="AK2529" s="151">
        <v>10</v>
      </c>
      <c r="AL2529" s="151">
        <v>10</v>
      </c>
      <c r="AM2529" s="147">
        <f t="shared" si="102"/>
        <v>20</v>
      </c>
      <c r="AN2529" s="18" t="s">
        <v>255</v>
      </c>
      <c r="AO2529" s="18" t="s">
        <v>1045</v>
      </c>
      <c r="AP2529" t="s">
        <v>9746</v>
      </c>
    </row>
    <row r="2530" spans="1:42" customFormat="1" x14ac:dyDescent="0.3">
      <c r="A2530" s="148" t="s">
        <v>8319</v>
      </c>
      <c r="B2530" t="s">
        <v>8320</v>
      </c>
      <c r="C2530" s="148" t="s">
        <v>9344</v>
      </c>
      <c r="D2530" t="s">
        <v>9345</v>
      </c>
      <c r="E2530" s="148" t="s">
        <v>9346</v>
      </c>
      <c r="F2530" t="s">
        <v>9347</v>
      </c>
      <c r="G2530" s="148" t="s">
        <v>9897</v>
      </c>
      <c r="H2530" t="s">
        <v>9898</v>
      </c>
      <c r="K2530" s="148" t="s">
        <v>9899</v>
      </c>
      <c r="L2530" t="s">
        <v>9900</v>
      </c>
      <c r="M2530" s="1" t="s">
        <v>10088</v>
      </c>
      <c r="N2530" s="1">
        <v>10</v>
      </c>
      <c r="O2530" s="1">
        <v>15</v>
      </c>
      <c r="P2530" s="3">
        <v>25</v>
      </c>
      <c r="Q2530" s="3">
        <v>35</v>
      </c>
      <c r="R2530" s="3">
        <v>45</v>
      </c>
      <c r="S2530" s="3">
        <v>50</v>
      </c>
      <c r="T2530" t="s">
        <v>771</v>
      </c>
      <c r="U2530" t="s">
        <v>773</v>
      </c>
      <c r="V2530" t="s">
        <v>10089</v>
      </c>
      <c r="W2530" s="45">
        <v>1</v>
      </c>
      <c r="X2530" s="45">
        <v>1</v>
      </c>
      <c r="Y2530" s="45">
        <v>1</v>
      </c>
      <c r="Z2530" s="45">
        <v>1</v>
      </c>
      <c r="AA2530" s="45">
        <v>1</v>
      </c>
      <c r="AB2530" s="45">
        <v>0</v>
      </c>
      <c r="AC2530" s="150">
        <v>0</v>
      </c>
      <c r="AD2530" s="150">
        <v>0</v>
      </c>
      <c r="AE2530" s="49">
        <f t="shared" si="103"/>
        <v>0.625</v>
      </c>
      <c r="AF2530" s="44"/>
      <c r="AG2530" s="17">
        <v>0</v>
      </c>
      <c r="AH2530" s="44">
        <v>3</v>
      </c>
      <c r="AI2530" s="44">
        <v>3</v>
      </c>
      <c r="AJ2530" s="44">
        <v>3</v>
      </c>
      <c r="AK2530" s="151">
        <v>3</v>
      </c>
      <c r="AL2530" s="151">
        <v>3</v>
      </c>
      <c r="AM2530" s="147">
        <f t="shared" si="102"/>
        <v>6</v>
      </c>
      <c r="AN2530" s="18" t="s">
        <v>255</v>
      </c>
      <c r="AO2530" s="18" t="s">
        <v>1045</v>
      </c>
      <c r="AP2530" t="s">
        <v>771</v>
      </c>
    </row>
    <row r="2531" spans="1:42" customFormat="1" x14ac:dyDescent="0.3">
      <c r="A2531" s="148" t="s">
        <v>8319</v>
      </c>
      <c r="B2531" t="s">
        <v>8320</v>
      </c>
      <c r="C2531" s="148" t="s">
        <v>9344</v>
      </c>
      <c r="D2531" t="s">
        <v>9345</v>
      </c>
      <c r="E2531" s="148" t="s">
        <v>9346</v>
      </c>
      <c r="F2531" t="s">
        <v>9347</v>
      </c>
      <c r="G2531" s="148" t="s">
        <v>9558</v>
      </c>
      <c r="H2531" t="s">
        <v>9559</v>
      </c>
      <c r="K2531" s="148" t="s">
        <v>9560</v>
      </c>
      <c r="L2531" t="s">
        <v>9561</v>
      </c>
      <c r="M2531" s="1" t="s">
        <v>10090</v>
      </c>
      <c r="N2531" s="1" t="s">
        <v>271</v>
      </c>
      <c r="O2531" s="1">
        <v>22</v>
      </c>
      <c r="P2531" s="3">
        <v>30</v>
      </c>
      <c r="Q2531" s="3">
        <v>35</v>
      </c>
      <c r="R2531" s="3">
        <v>40</v>
      </c>
      <c r="S2531" s="3">
        <v>50</v>
      </c>
      <c r="T2531" t="s">
        <v>723</v>
      </c>
      <c r="U2531" t="s">
        <v>729</v>
      </c>
      <c r="V2531" t="s">
        <v>10091</v>
      </c>
      <c r="W2531" s="45">
        <v>1</v>
      </c>
      <c r="X2531" s="45">
        <v>0</v>
      </c>
      <c r="Y2531" s="45">
        <v>0</v>
      </c>
      <c r="Z2531" s="45">
        <v>1</v>
      </c>
      <c r="AA2531" s="45">
        <v>1</v>
      </c>
      <c r="AB2531" s="45">
        <v>0</v>
      </c>
      <c r="AC2531" s="150">
        <v>1</v>
      </c>
      <c r="AD2531" s="150">
        <v>1</v>
      </c>
      <c r="AE2531" s="49">
        <f t="shared" si="103"/>
        <v>0.625</v>
      </c>
      <c r="AF2531" s="17"/>
      <c r="AG2531" s="17">
        <v>0</v>
      </c>
      <c r="AH2531" s="17">
        <v>0</v>
      </c>
      <c r="AI2531" s="44">
        <v>0.3</v>
      </c>
      <c r="AJ2531" s="44">
        <v>0.4</v>
      </c>
      <c r="AK2531" s="151">
        <v>0.2</v>
      </c>
      <c r="AL2531" s="151">
        <v>0.2</v>
      </c>
      <c r="AM2531" s="147">
        <f t="shared" si="102"/>
        <v>0.4</v>
      </c>
      <c r="AN2531" t="s">
        <v>723</v>
      </c>
      <c r="AO2531" s="18" t="s">
        <v>729</v>
      </c>
      <c r="AP2531" t="s">
        <v>255</v>
      </c>
    </row>
    <row r="2532" spans="1:42" customFormat="1" x14ac:dyDescent="0.3">
      <c r="A2532" s="148" t="s">
        <v>8319</v>
      </c>
      <c r="B2532" t="s">
        <v>8320</v>
      </c>
      <c r="C2532" s="148" t="s">
        <v>9344</v>
      </c>
      <c r="D2532" t="s">
        <v>9345</v>
      </c>
      <c r="E2532" s="148" t="s">
        <v>9346</v>
      </c>
      <c r="F2532" t="s">
        <v>9347</v>
      </c>
      <c r="G2532" s="148" t="s">
        <v>9558</v>
      </c>
      <c r="H2532" t="s">
        <v>9559</v>
      </c>
      <c r="K2532" s="148" t="s">
        <v>9560</v>
      </c>
      <c r="L2532" t="s">
        <v>9561</v>
      </c>
      <c r="M2532" s="1" t="s">
        <v>10092</v>
      </c>
      <c r="N2532" s="1" t="s">
        <v>271</v>
      </c>
      <c r="O2532" s="1">
        <v>2820</v>
      </c>
      <c r="P2532" s="3">
        <v>5641</v>
      </c>
      <c r="Q2532" s="3">
        <v>11283</v>
      </c>
      <c r="R2532" s="3">
        <v>14104</v>
      </c>
      <c r="S2532" s="3">
        <v>2820</v>
      </c>
      <c r="T2532" t="s">
        <v>723</v>
      </c>
      <c r="U2532" t="s">
        <v>729</v>
      </c>
      <c r="V2532" t="s">
        <v>10093</v>
      </c>
      <c r="W2532" s="45">
        <v>1</v>
      </c>
      <c r="X2532" s="45">
        <v>0</v>
      </c>
      <c r="Y2532" s="45">
        <v>0</v>
      </c>
      <c r="Z2532" s="45">
        <v>1</v>
      </c>
      <c r="AA2532" s="45">
        <v>1</v>
      </c>
      <c r="AB2532" s="45">
        <v>0</v>
      </c>
      <c r="AC2532" s="150">
        <v>1</v>
      </c>
      <c r="AD2532" s="150">
        <v>1</v>
      </c>
      <c r="AE2532" s="49">
        <f t="shared" si="103"/>
        <v>0.625</v>
      </c>
      <c r="AF2532" s="17"/>
      <c r="AG2532" s="17">
        <v>0</v>
      </c>
      <c r="AH2532" s="17">
        <v>0</v>
      </c>
      <c r="AI2532" s="44">
        <v>5.04</v>
      </c>
      <c r="AJ2532" s="44">
        <v>5.04</v>
      </c>
      <c r="AK2532" s="151">
        <v>5.04</v>
      </c>
      <c r="AL2532" s="151">
        <v>5.04</v>
      </c>
      <c r="AM2532" s="147">
        <f t="shared" si="102"/>
        <v>10.08</v>
      </c>
      <c r="AN2532" s="18" t="s">
        <v>255</v>
      </c>
      <c r="AO2532" s="18" t="s">
        <v>1045</v>
      </c>
      <c r="AP2532" t="s">
        <v>723</v>
      </c>
    </row>
    <row r="2533" spans="1:42" customFormat="1" x14ac:dyDescent="0.3">
      <c r="A2533" s="148" t="s">
        <v>8319</v>
      </c>
      <c r="B2533" t="s">
        <v>8320</v>
      </c>
      <c r="C2533" s="148" t="s">
        <v>9344</v>
      </c>
      <c r="D2533" t="s">
        <v>9345</v>
      </c>
      <c r="E2533" s="148" t="s">
        <v>9346</v>
      </c>
      <c r="F2533" t="s">
        <v>9347</v>
      </c>
      <c r="G2533" s="148" t="s">
        <v>9558</v>
      </c>
      <c r="H2533" t="s">
        <v>9559</v>
      </c>
      <c r="K2533" s="148" t="s">
        <v>9560</v>
      </c>
      <c r="L2533" t="s">
        <v>9561</v>
      </c>
      <c r="M2533" s="1" t="s">
        <v>10094</v>
      </c>
      <c r="N2533" s="1" t="s">
        <v>271</v>
      </c>
      <c r="O2533" s="1">
        <v>0</v>
      </c>
      <c r="P2533" s="3">
        <v>7720</v>
      </c>
      <c r="Q2533" s="3">
        <v>7720</v>
      </c>
      <c r="R2533" s="3">
        <v>5000</v>
      </c>
      <c r="S2533" s="3">
        <v>5000</v>
      </c>
      <c r="T2533" t="s">
        <v>255</v>
      </c>
      <c r="U2533" t="s">
        <v>1045</v>
      </c>
      <c r="V2533" t="s">
        <v>10095</v>
      </c>
      <c r="W2533" s="45">
        <v>1</v>
      </c>
      <c r="X2533" s="45">
        <v>0</v>
      </c>
      <c r="Y2533" s="45">
        <v>0</v>
      </c>
      <c r="Z2533" s="45">
        <v>1</v>
      </c>
      <c r="AA2533" s="45">
        <v>1</v>
      </c>
      <c r="AB2533" s="45">
        <v>0</v>
      </c>
      <c r="AC2533" s="150">
        <v>1</v>
      </c>
      <c r="AD2533" s="150">
        <v>1</v>
      </c>
      <c r="AE2533" s="49">
        <f t="shared" si="103"/>
        <v>0.625</v>
      </c>
      <c r="AF2533" s="44"/>
      <c r="AG2533" s="17">
        <v>0</v>
      </c>
      <c r="AH2533" s="44">
        <v>0</v>
      </c>
      <c r="AI2533" s="44">
        <v>20.059999999999999</v>
      </c>
      <c r="AJ2533" s="44">
        <v>29.9</v>
      </c>
      <c r="AK2533" s="151">
        <v>28.7</v>
      </c>
      <c r="AL2533" s="151">
        <v>28.7</v>
      </c>
      <c r="AM2533" s="147">
        <f t="shared" ref="AM2533:AM2596" si="104">SUM(AK2533:AL2533)</f>
        <v>57.4</v>
      </c>
      <c r="AN2533" s="18" t="s">
        <v>255</v>
      </c>
      <c r="AO2533" s="18" t="s">
        <v>1045</v>
      </c>
      <c r="AP2533" t="s">
        <v>10096</v>
      </c>
    </row>
    <row r="2534" spans="1:42" customFormat="1" x14ac:dyDescent="0.3">
      <c r="A2534" s="148" t="s">
        <v>8319</v>
      </c>
      <c r="B2534" t="s">
        <v>8320</v>
      </c>
      <c r="C2534" s="148" t="s">
        <v>9344</v>
      </c>
      <c r="D2534" t="s">
        <v>9345</v>
      </c>
      <c r="E2534" s="148" t="s">
        <v>9346</v>
      </c>
      <c r="F2534" t="s">
        <v>9347</v>
      </c>
      <c r="G2534" s="148" t="s">
        <v>9558</v>
      </c>
      <c r="H2534" t="s">
        <v>9559</v>
      </c>
      <c r="K2534" s="148" t="s">
        <v>9560</v>
      </c>
      <c r="L2534" t="s">
        <v>9561</v>
      </c>
      <c r="M2534" s="1" t="s">
        <v>10097</v>
      </c>
      <c r="N2534" s="1" t="s">
        <v>271</v>
      </c>
      <c r="O2534" s="1">
        <v>0</v>
      </c>
      <c r="P2534" s="3">
        <v>898154</v>
      </c>
      <c r="Q2534" s="3">
        <v>898154</v>
      </c>
      <c r="R2534" s="3">
        <v>898154</v>
      </c>
      <c r="S2534" s="3">
        <v>898154</v>
      </c>
      <c r="T2534" t="s">
        <v>255</v>
      </c>
      <c r="U2534" t="s">
        <v>1045</v>
      </c>
      <c r="V2534" t="s">
        <v>10098</v>
      </c>
      <c r="W2534" s="45">
        <v>1</v>
      </c>
      <c r="X2534" s="45">
        <v>0</v>
      </c>
      <c r="Y2534" s="45">
        <v>0</v>
      </c>
      <c r="Z2534" s="45">
        <v>1</v>
      </c>
      <c r="AA2534" s="45">
        <v>1</v>
      </c>
      <c r="AB2534" s="45">
        <v>0</v>
      </c>
      <c r="AC2534" s="150">
        <v>1</v>
      </c>
      <c r="AD2534" s="150">
        <v>1</v>
      </c>
      <c r="AE2534" s="49">
        <f t="shared" si="103"/>
        <v>0.625</v>
      </c>
      <c r="AF2534" s="17"/>
      <c r="AG2534" s="17">
        <v>0</v>
      </c>
      <c r="AH2534" s="17">
        <v>0</v>
      </c>
      <c r="AI2534" s="44">
        <v>7.6</v>
      </c>
      <c r="AJ2534" s="44">
        <v>7.6</v>
      </c>
      <c r="AK2534" s="151">
        <v>7.6</v>
      </c>
      <c r="AL2534" s="151">
        <v>7.6</v>
      </c>
      <c r="AM2534" s="147">
        <f t="shared" si="104"/>
        <v>15.2</v>
      </c>
      <c r="AN2534" t="s">
        <v>723</v>
      </c>
      <c r="AO2534" s="18" t="s">
        <v>729</v>
      </c>
      <c r="AP2534" t="s">
        <v>10099</v>
      </c>
    </row>
    <row r="2535" spans="1:42" customFormat="1" x14ac:dyDescent="0.3">
      <c r="A2535" s="148" t="s">
        <v>8319</v>
      </c>
      <c r="B2535" t="s">
        <v>8320</v>
      </c>
      <c r="C2535" s="148" t="s">
        <v>9344</v>
      </c>
      <c r="D2535" t="s">
        <v>9345</v>
      </c>
      <c r="E2535" s="148" t="s">
        <v>9346</v>
      </c>
      <c r="F2535" t="s">
        <v>9347</v>
      </c>
      <c r="G2535" s="148" t="s">
        <v>9558</v>
      </c>
      <c r="H2535" t="s">
        <v>9559</v>
      </c>
      <c r="K2535" s="148" t="s">
        <v>9560</v>
      </c>
      <c r="L2535" t="s">
        <v>9561</v>
      </c>
      <c r="M2535" s="1" t="s">
        <v>10100</v>
      </c>
      <c r="N2535" s="1" t="s">
        <v>271</v>
      </c>
      <c r="O2535" s="1">
        <v>36000</v>
      </c>
      <c r="P2535" s="3">
        <v>36000</v>
      </c>
      <c r="Q2535" s="3">
        <v>36000</v>
      </c>
      <c r="R2535" s="3">
        <v>36000</v>
      </c>
      <c r="S2535" s="3">
        <v>36000</v>
      </c>
      <c r="T2535" t="s">
        <v>723</v>
      </c>
      <c r="U2535" t="s">
        <v>729</v>
      </c>
      <c r="V2535" t="s">
        <v>10101</v>
      </c>
      <c r="W2535" s="45">
        <v>1</v>
      </c>
      <c r="X2535" s="45">
        <v>0</v>
      </c>
      <c r="Y2535" s="45">
        <v>0</v>
      </c>
      <c r="Z2535" s="45">
        <v>1</v>
      </c>
      <c r="AA2535" s="45">
        <v>1</v>
      </c>
      <c r="AB2535" s="45">
        <v>0</v>
      </c>
      <c r="AC2535" s="150">
        <v>1</v>
      </c>
      <c r="AD2535" s="150">
        <v>1</v>
      </c>
      <c r="AE2535" s="49">
        <f t="shared" si="103"/>
        <v>0.625</v>
      </c>
      <c r="AF2535" s="17"/>
      <c r="AG2535" s="17">
        <v>0</v>
      </c>
      <c r="AH2535" s="17">
        <v>0</v>
      </c>
      <c r="AI2535" s="44" t="s">
        <v>10102</v>
      </c>
      <c r="AJ2535" s="44" t="s">
        <v>10103</v>
      </c>
      <c r="AK2535" s="151">
        <v>10.7</v>
      </c>
      <c r="AL2535" s="151">
        <v>10.7</v>
      </c>
      <c r="AM2535" s="147">
        <f t="shared" si="104"/>
        <v>21.4</v>
      </c>
      <c r="AN2535" s="18" t="s">
        <v>255</v>
      </c>
      <c r="AO2535" s="18" t="s">
        <v>1045</v>
      </c>
      <c r="AP2535" t="s">
        <v>723</v>
      </c>
    </row>
    <row r="2536" spans="1:42" customFormat="1" x14ac:dyDescent="0.3">
      <c r="A2536" s="148" t="s">
        <v>8319</v>
      </c>
      <c r="B2536" t="s">
        <v>8320</v>
      </c>
      <c r="C2536" s="148" t="s">
        <v>9344</v>
      </c>
      <c r="D2536" t="s">
        <v>9345</v>
      </c>
      <c r="E2536" s="148" t="s">
        <v>9346</v>
      </c>
      <c r="F2536" t="s">
        <v>9347</v>
      </c>
      <c r="G2536" s="148" t="s">
        <v>9558</v>
      </c>
      <c r="H2536" t="s">
        <v>9559</v>
      </c>
      <c r="K2536" s="148" t="s">
        <v>9560</v>
      </c>
      <c r="L2536" t="s">
        <v>9561</v>
      </c>
      <c r="M2536" s="1" t="s">
        <v>10104</v>
      </c>
      <c r="N2536" s="1" t="s">
        <v>271</v>
      </c>
      <c r="O2536" s="1">
        <v>2000</v>
      </c>
      <c r="P2536" s="3">
        <v>2500</v>
      </c>
      <c r="Q2536" s="3">
        <v>5000</v>
      </c>
      <c r="R2536" s="3">
        <v>7500</v>
      </c>
      <c r="S2536" s="3">
        <v>1000</v>
      </c>
      <c r="T2536" t="s">
        <v>255</v>
      </c>
      <c r="U2536" t="s">
        <v>1045</v>
      </c>
      <c r="V2536" t="s">
        <v>10105</v>
      </c>
      <c r="W2536" s="45">
        <v>1</v>
      </c>
      <c r="X2536" s="45">
        <v>0</v>
      </c>
      <c r="Y2536" s="45">
        <v>0</v>
      </c>
      <c r="Z2536" s="45">
        <v>1</v>
      </c>
      <c r="AA2536" s="45">
        <v>1</v>
      </c>
      <c r="AB2536" s="45">
        <v>0</v>
      </c>
      <c r="AC2536" s="150">
        <v>1</v>
      </c>
      <c r="AD2536" s="150">
        <v>1</v>
      </c>
      <c r="AE2536" s="49">
        <f t="shared" ref="AE2536:AE2599" si="105">SUM(W2536:AD2536)/8</f>
        <v>0.625</v>
      </c>
      <c r="AF2536" s="17"/>
      <c r="AG2536" s="17">
        <v>0</v>
      </c>
      <c r="AH2536" s="17">
        <v>0</v>
      </c>
      <c r="AI2536" s="44">
        <v>4</v>
      </c>
      <c r="AJ2536" s="44">
        <v>4</v>
      </c>
      <c r="AK2536" s="151">
        <v>4</v>
      </c>
      <c r="AL2536" s="151">
        <v>4</v>
      </c>
      <c r="AM2536" s="147">
        <f t="shared" si="104"/>
        <v>8</v>
      </c>
      <c r="AN2536" t="s">
        <v>723</v>
      </c>
      <c r="AO2536" s="18" t="s">
        <v>729</v>
      </c>
      <c r="AP2536" t="s">
        <v>119</v>
      </c>
    </row>
    <row r="2537" spans="1:42" customFormat="1" x14ac:dyDescent="0.3">
      <c r="A2537" s="148" t="s">
        <v>8319</v>
      </c>
      <c r="B2537" t="s">
        <v>8320</v>
      </c>
      <c r="C2537" s="148" t="s">
        <v>9344</v>
      </c>
      <c r="D2537" t="s">
        <v>9345</v>
      </c>
      <c r="E2537" s="148" t="s">
        <v>9346</v>
      </c>
      <c r="F2537" t="s">
        <v>9347</v>
      </c>
      <c r="G2537" s="148" t="s">
        <v>9558</v>
      </c>
      <c r="H2537" t="s">
        <v>9559</v>
      </c>
      <c r="K2537" s="148" t="s">
        <v>9560</v>
      </c>
      <c r="L2537" t="s">
        <v>9561</v>
      </c>
      <c r="M2537" s="1" t="s">
        <v>10106</v>
      </c>
      <c r="N2537" s="1" t="s">
        <v>271</v>
      </c>
      <c r="O2537" s="1" t="s">
        <v>271</v>
      </c>
      <c r="P2537" s="3">
        <v>1</v>
      </c>
      <c r="Q2537" s="3" t="s">
        <v>271</v>
      </c>
      <c r="R2537" s="3" t="s">
        <v>271</v>
      </c>
      <c r="S2537" s="3" t="s">
        <v>271</v>
      </c>
      <c r="T2537" t="s">
        <v>723</v>
      </c>
      <c r="U2537" t="s">
        <v>729</v>
      </c>
      <c r="V2537" t="s">
        <v>10107</v>
      </c>
      <c r="W2537" s="45">
        <v>1</v>
      </c>
      <c r="X2537" s="45">
        <v>0</v>
      </c>
      <c r="Y2537" s="45">
        <v>0</v>
      </c>
      <c r="Z2537" s="45">
        <v>1</v>
      </c>
      <c r="AA2537" s="45">
        <v>1</v>
      </c>
      <c r="AB2537" s="45">
        <v>0</v>
      </c>
      <c r="AC2537" s="150">
        <v>1</v>
      </c>
      <c r="AD2537" s="150">
        <v>1</v>
      </c>
      <c r="AE2537" s="49">
        <f t="shared" si="105"/>
        <v>0.625</v>
      </c>
      <c r="AF2537" s="17"/>
      <c r="AG2537" s="17">
        <v>0</v>
      </c>
      <c r="AH2537" s="17">
        <v>0</v>
      </c>
      <c r="AI2537" s="44">
        <v>0.14000000000000001</v>
      </c>
      <c r="AJ2537" s="44">
        <v>0.28000000000000003</v>
      </c>
      <c r="AK2537" s="151">
        <v>0.42</v>
      </c>
      <c r="AL2537" s="151">
        <v>0.56000000000000005</v>
      </c>
      <c r="AM2537" s="147">
        <f t="shared" si="104"/>
        <v>0.98</v>
      </c>
      <c r="AN2537" s="18" t="s">
        <v>255</v>
      </c>
      <c r="AO2537" s="18" t="s">
        <v>1045</v>
      </c>
      <c r="AP2537" t="s">
        <v>10108</v>
      </c>
    </row>
    <row r="2538" spans="1:42" customFormat="1" x14ac:dyDescent="0.3">
      <c r="A2538" s="148" t="s">
        <v>8319</v>
      </c>
      <c r="B2538" t="s">
        <v>8320</v>
      </c>
      <c r="C2538" s="148" t="s">
        <v>9344</v>
      </c>
      <c r="D2538" t="s">
        <v>9345</v>
      </c>
      <c r="E2538" s="148" t="s">
        <v>9346</v>
      </c>
      <c r="F2538" t="s">
        <v>9347</v>
      </c>
      <c r="G2538" s="148" t="s">
        <v>9558</v>
      </c>
      <c r="H2538" t="s">
        <v>9559</v>
      </c>
      <c r="K2538" s="148" t="s">
        <v>9560</v>
      </c>
      <c r="L2538" t="s">
        <v>9561</v>
      </c>
      <c r="M2538" s="1" t="s">
        <v>10109</v>
      </c>
      <c r="N2538" s="1" t="s">
        <v>271</v>
      </c>
      <c r="O2538" s="1" t="s">
        <v>271</v>
      </c>
      <c r="P2538" s="3">
        <v>1</v>
      </c>
      <c r="Q2538" s="3">
        <v>1</v>
      </c>
      <c r="R2538" s="3">
        <v>1</v>
      </c>
      <c r="S2538" s="3" t="s">
        <v>271</v>
      </c>
      <c r="T2538" t="s">
        <v>2432</v>
      </c>
      <c r="U2538" t="s">
        <v>729</v>
      </c>
      <c r="V2538" t="s">
        <v>10110</v>
      </c>
      <c r="W2538" s="45">
        <v>1</v>
      </c>
      <c r="X2538" s="45">
        <v>0</v>
      </c>
      <c r="Y2538" s="45">
        <v>0</v>
      </c>
      <c r="Z2538" s="45">
        <v>1</v>
      </c>
      <c r="AA2538" s="45">
        <v>1</v>
      </c>
      <c r="AB2538" s="45">
        <v>0</v>
      </c>
      <c r="AC2538" s="150">
        <v>1</v>
      </c>
      <c r="AD2538" s="150">
        <v>1</v>
      </c>
      <c r="AE2538" s="49">
        <f t="shared" si="105"/>
        <v>0.625</v>
      </c>
      <c r="AF2538" s="17"/>
      <c r="AG2538" s="17">
        <v>0</v>
      </c>
      <c r="AH2538" s="17">
        <v>0</v>
      </c>
      <c r="AI2538" s="44">
        <v>0</v>
      </c>
      <c r="AJ2538" s="44">
        <v>0</v>
      </c>
      <c r="AK2538" s="151">
        <v>0.5</v>
      </c>
      <c r="AL2538" s="151">
        <v>0.5</v>
      </c>
      <c r="AM2538" s="147">
        <f t="shared" si="104"/>
        <v>1</v>
      </c>
      <c r="AN2538" t="s">
        <v>723</v>
      </c>
      <c r="AO2538" s="18" t="s">
        <v>729</v>
      </c>
      <c r="AP2538" t="s">
        <v>10111</v>
      </c>
    </row>
    <row r="2539" spans="1:42" customFormat="1" x14ac:dyDescent="0.3">
      <c r="A2539" s="148" t="s">
        <v>8319</v>
      </c>
      <c r="B2539" t="s">
        <v>8320</v>
      </c>
      <c r="C2539" s="148" t="s">
        <v>9344</v>
      </c>
      <c r="D2539" t="s">
        <v>9345</v>
      </c>
      <c r="E2539" s="148" t="s">
        <v>9346</v>
      </c>
      <c r="F2539" t="s">
        <v>9347</v>
      </c>
      <c r="G2539" s="148" t="s">
        <v>9558</v>
      </c>
      <c r="H2539" t="s">
        <v>9559</v>
      </c>
      <c r="K2539" s="148" t="s">
        <v>9560</v>
      </c>
      <c r="L2539" t="s">
        <v>9561</v>
      </c>
      <c r="M2539" s="1" t="s">
        <v>10112</v>
      </c>
      <c r="N2539" s="1" t="s">
        <v>271</v>
      </c>
      <c r="O2539" s="1" t="s">
        <v>271</v>
      </c>
      <c r="P2539" s="3">
        <v>36000</v>
      </c>
      <c r="Q2539" s="3" t="s">
        <v>271</v>
      </c>
      <c r="R2539" s="3" t="s">
        <v>271</v>
      </c>
      <c r="S2539" s="3" t="s">
        <v>271</v>
      </c>
      <c r="T2539" t="s">
        <v>10113</v>
      </c>
      <c r="U2539" t="s">
        <v>10114</v>
      </c>
      <c r="V2539" t="s">
        <v>10115</v>
      </c>
      <c r="W2539" s="45">
        <v>1</v>
      </c>
      <c r="X2539" s="45">
        <v>0</v>
      </c>
      <c r="Y2539" s="45">
        <v>0</v>
      </c>
      <c r="Z2539" s="45">
        <v>1</v>
      </c>
      <c r="AA2539" s="45">
        <v>1</v>
      </c>
      <c r="AB2539" s="45">
        <v>0</v>
      </c>
      <c r="AC2539" s="150">
        <v>1</v>
      </c>
      <c r="AD2539" s="150">
        <v>1</v>
      </c>
      <c r="AE2539" s="49">
        <f t="shared" si="105"/>
        <v>0.625</v>
      </c>
      <c r="AF2539" s="17"/>
      <c r="AG2539" s="17">
        <v>0</v>
      </c>
      <c r="AH2539" s="17">
        <v>0</v>
      </c>
      <c r="AI2539" s="44">
        <v>1.72</v>
      </c>
      <c r="AJ2539" s="17">
        <v>0</v>
      </c>
      <c r="AK2539" s="153">
        <v>0.5</v>
      </c>
      <c r="AL2539" s="154">
        <v>0.3</v>
      </c>
      <c r="AM2539" s="147">
        <f t="shared" si="104"/>
        <v>0.8</v>
      </c>
      <c r="AN2539" t="s">
        <v>723</v>
      </c>
      <c r="AO2539" s="18" t="s">
        <v>729</v>
      </c>
      <c r="AP2539" t="s">
        <v>119</v>
      </c>
    </row>
    <row r="2540" spans="1:42" customFormat="1" x14ac:dyDescent="0.3">
      <c r="A2540" s="148" t="s">
        <v>8319</v>
      </c>
      <c r="B2540" t="s">
        <v>8320</v>
      </c>
      <c r="C2540" s="148" t="s">
        <v>9344</v>
      </c>
      <c r="D2540" t="s">
        <v>9345</v>
      </c>
      <c r="E2540" s="148" t="s">
        <v>9346</v>
      </c>
      <c r="F2540" t="s">
        <v>9347</v>
      </c>
      <c r="G2540" s="148" t="s">
        <v>9558</v>
      </c>
      <c r="H2540" t="s">
        <v>9559</v>
      </c>
      <c r="K2540" s="148" t="s">
        <v>9560</v>
      </c>
      <c r="L2540" t="s">
        <v>9561</v>
      </c>
      <c r="M2540" s="1" t="s">
        <v>10116</v>
      </c>
      <c r="N2540" s="1" t="s">
        <v>271</v>
      </c>
      <c r="O2540" s="1" t="s">
        <v>271</v>
      </c>
      <c r="P2540" s="3" t="s">
        <v>271</v>
      </c>
      <c r="Q2540" s="3">
        <v>1</v>
      </c>
      <c r="R2540" s="3" t="s">
        <v>271</v>
      </c>
      <c r="S2540" s="3">
        <v>1</v>
      </c>
      <c r="T2540" t="s">
        <v>10113</v>
      </c>
      <c r="U2540" t="s">
        <v>10114</v>
      </c>
      <c r="V2540" t="s">
        <v>10117</v>
      </c>
      <c r="W2540" s="45">
        <v>1</v>
      </c>
      <c r="X2540" s="45">
        <v>0</v>
      </c>
      <c r="Y2540" s="45">
        <v>0</v>
      </c>
      <c r="Z2540" s="45">
        <v>1</v>
      </c>
      <c r="AA2540" s="45">
        <v>1</v>
      </c>
      <c r="AB2540" s="45">
        <v>0</v>
      </c>
      <c r="AC2540" s="150">
        <v>1</v>
      </c>
      <c r="AD2540" s="150">
        <v>1</v>
      </c>
      <c r="AE2540" s="49">
        <f t="shared" si="105"/>
        <v>0.625</v>
      </c>
      <c r="AF2540" s="17"/>
      <c r="AG2540" s="17">
        <v>0</v>
      </c>
      <c r="AH2540" s="17">
        <v>0</v>
      </c>
      <c r="AI2540" s="44">
        <v>0.24</v>
      </c>
      <c r="AJ2540" s="17">
        <v>0</v>
      </c>
      <c r="AK2540" s="153">
        <v>0.3</v>
      </c>
      <c r="AL2540" s="154">
        <v>0.3</v>
      </c>
      <c r="AM2540" s="147">
        <f t="shared" si="104"/>
        <v>0.6</v>
      </c>
      <c r="AN2540" s="44" t="s">
        <v>723</v>
      </c>
      <c r="AO2540" s="18" t="s">
        <v>729</v>
      </c>
      <c r="AP2540" t="s">
        <v>119</v>
      </c>
    </row>
    <row r="2541" spans="1:42" customFormat="1" x14ac:dyDescent="0.3">
      <c r="A2541" s="148" t="s">
        <v>8319</v>
      </c>
      <c r="B2541" t="s">
        <v>8320</v>
      </c>
      <c r="C2541" s="148" t="s">
        <v>9344</v>
      </c>
      <c r="D2541" t="s">
        <v>9345</v>
      </c>
      <c r="E2541" s="148" t="s">
        <v>9346</v>
      </c>
      <c r="F2541" t="s">
        <v>9347</v>
      </c>
      <c r="G2541" s="148" t="s">
        <v>9558</v>
      </c>
      <c r="H2541" t="s">
        <v>9559</v>
      </c>
      <c r="K2541" s="148" t="s">
        <v>9560</v>
      </c>
      <c r="L2541" t="s">
        <v>9561</v>
      </c>
      <c r="M2541" s="1" t="s">
        <v>10118</v>
      </c>
      <c r="N2541" s="1" t="s">
        <v>271</v>
      </c>
      <c r="O2541" s="1" t="s">
        <v>271</v>
      </c>
      <c r="P2541" s="3">
        <v>36000</v>
      </c>
      <c r="Q2541" s="3">
        <v>1</v>
      </c>
      <c r="R2541" s="3" t="s">
        <v>271</v>
      </c>
      <c r="S2541" s="3" t="s">
        <v>271</v>
      </c>
      <c r="T2541" t="s">
        <v>2432</v>
      </c>
      <c r="U2541" t="s">
        <v>729</v>
      </c>
      <c r="V2541" t="s">
        <v>10119</v>
      </c>
      <c r="W2541" s="45">
        <v>1</v>
      </c>
      <c r="X2541" s="45">
        <v>0</v>
      </c>
      <c r="Y2541" s="45">
        <v>0</v>
      </c>
      <c r="Z2541" s="45">
        <v>1</v>
      </c>
      <c r="AA2541" s="45">
        <v>1</v>
      </c>
      <c r="AB2541" s="45">
        <v>0</v>
      </c>
      <c r="AC2541" s="150">
        <v>1</v>
      </c>
      <c r="AD2541" s="150">
        <v>1</v>
      </c>
      <c r="AE2541" s="49">
        <f t="shared" si="105"/>
        <v>0.625</v>
      </c>
      <c r="AF2541" s="17"/>
      <c r="AG2541" s="17">
        <v>0</v>
      </c>
      <c r="AH2541" s="17">
        <v>0</v>
      </c>
      <c r="AI2541" s="44">
        <v>0.1</v>
      </c>
      <c r="AJ2541" s="17">
        <v>0</v>
      </c>
      <c r="AK2541" s="153">
        <v>0.2</v>
      </c>
      <c r="AL2541" s="154">
        <v>0.2</v>
      </c>
      <c r="AM2541" s="147">
        <f t="shared" si="104"/>
        <v>0.4</v>
      </c>
      <c r="AN2541" s="44" t="s">
        <v>723</v>
      </c>
      <c r="AO2541" s="18" t="s">
        <v>729</v>
      </c>
      <c r="AP2541" t="s">
        <v>119</v>
      </c>
    </row>
    <row r="2542" spans="1:42" customFormat="1" x14ac:dyDescent="0.3">
      <c r="A2542" s="148" t="s">
        <v>8319</v>
      </c>
      <c r="B2542" t="s">
        <v>8320</v>
      </c>
      <c r="C2542" s="148" t="s">
        <v>9344</v>
      </c>
      <c r="D2542" t="s">
        <v>9345</v>
      </c>
      <c r="E2542" s="148" t="s">
        <v>9346</v>
      </c>
      <c r="F2542" t="s">
        <v>9347</v>
      </c>
      <c r="G2542" s="148" t="s">
        <v>9558</v>
      </c>
      <c r="H2542" t="s">
        <v>9559</v>
      </c>
      <c r="K2542" s="148" t="s">
        <v>9560</v>
      </c>
      <c r="L2542" t="s">
        <v>9561</v>
      </c>
      <c r="M2542" s="1" t="s">
        <v>10120</v>
      </c>
      <c r="N2542" s="1" t="s">
        <v>271</v>
      </c>
      <c r="O2542" s="1"/>
      <c r="P2542" s="3">
        <v>1</v>
      </c>
      <c r="Q2542" s="3" t="s">
        <v>271</v>
      </c>
      <c r="R2542" s="3" t="s">
        <v>271</v>
      </c>
      <c r="S2542" s="3" t="s">
        <v>271</v>
      </c>
      <c r="T2542" t="s">
        <v>2432</v>
      </c>
      <c r="U2542" t="s">
        <v>729</v>
      </c>
      <c r="V2542" t="s">
        <v>10121</v>
      </c>
      <c r="W2542" s="45">
        <v>1</v>
      </c>
      <c r="X2542" s="45">
        <v>0</v>
      </c>
      <c r="Y2542" s="45">
        <v>0</v>
      </c>
      <c r="Z2542" s="45">
        <v>1</v>
      </c>
      <c r="AA2542" s="45">
        <v>1</v>
      </c>
      <c r="AB2542" s="45">
        <v>0</v>
      </c>
      <c r="AC2542" s="150">
        <v>1</v>
      </c>
      <c r="AD2542" s="150">
        <v>1</v>
      </c>
      <c r="AE2542" s="49">
        <f t="shared" si="105"/>
        <v>0.625</v>
      </c>
      <c r="AF2542" s="17"/>
      <c r="AG2542" s="17">
        <v>0</v>
      </c>
      <c r="AH2542" s="17">
        <v>0</v>
      </c>
      <c r="AI2542" s="17">
        <v>0</v>
      </c>
      <c r="AJ2542" s="17">
        <v>0</v>
      </c>
      <c r="AK2542" s="153">
        <v>0</v>
      </c>
      <c r="AL2542" s="154">
        <v>0</v>
      </c>
      <c r="AM2542" s="147">
        <f t="shared" si="104"/>
        <v>0</v>
      </c>
      <c r="AN2542" s="18" t="s">
        <v>255</v>
      </c>
      <c r="AO2542" s="18" t="s">
        <v>1045</v>
      </c>
      <c r="AP2542" t="s">
        <v>723</v>
      </c>
    </row>
    <row r="2543" spans="1:42" customFormat="1" x14ac:dyDescent="0.3">
      <c r="A2543" s="148" t="s">
        <v>8319</v>
      </c>
      <c r="B2543" t="s">
        <v>8320</v>
      </c>
      <c r="C2543" s="148" t="s">
        <v>9344</v>
      </c>
      <c r="D2543" t="s">
        <v>9345</v>
      </c>
      <c r="E2543" s="148" t="s">
        <v>9346</v>
      </c>
      <c r="F2543" t="s">
        <v>9347</v>
      </c>
      <c r="G2543" s="148" t="s">
        <v>9558</v>
      </c>
      <c r="H2543" t="s">
        <v>9559</v>
      </c>
      <c r="K2543" s="148" t="s">
        <v>9560</v>
      </c>
      <c r="L2543" t="s">
        <v>9561</v>
      </c>
      <c r="M2543" s="1" t="s">
        <v>10122</v>
      </c>
      <c r="N2543" s="1" t="s">
        <v>271</v>
      </c>
      <c r="O2543" s="1" t="s">
        <v>271</v>
      </c>
      <c r="P2543" s="3">
        <v>1</v>
      </c>
      <c r="Q2543" s="3">
        <v>1</v>
      </c>
      <c r="R2543" s="3"/>
      <c r="S2543" s="3"/>
      <c r="T2543" t="s">
        <v>2432</v>
      </c>
      <c r="U2543" t="s">
        <v>729</v>
      </c>
      <c r="V2543" t="s">
        <v>10123</v>
      </c>
      <c r="W2543" s="45">
        <v>1</v>
      </c>
      <c r="X2543" s="45">
        <v>0</v>
      </c>
      <c r="Y2543" s="45">
        <v>0</v>
      </c>
      <c r="Z2543" s="45">
        <v>1</v>
      </c>
      <c r="AA2543" s="45">
        <v>1</v>
      </c>
      <c r="AB2543" s="45">
        <v>0</v>
      </c>
      <c r="AC2543" s="150">
        <v>1</v>
      </c>
      <c r="AD2543" s="150">
        <v>1</v>
      </c>
      <c r="AE2543" s="49">
        <f t="shared" si="105"/>
        <v>0.625</v>
      </c>
      <c r="AF2543" s="17"/>
      <c r="AG2543" s="17">
        <v>0</v>
      </c>
      <c r="AH2543" s="17">
        <v>0</v>
      </c>
      <c r="AI2543" s="17">
        <v>0</v>
      </c>
      <c r="AJ2543" s="44">
        <v>4</v>
      </c>
      <c r="AK2543" s="151">
        <v>5</v>
      </c>
      <c r="AL2543" s="151">
        <v>5</v>
      </c>
      <c r="AM2543" s="147">
        <f t="shared" si="104"/>
        <v>10</v>
      </c>
      <c r="AN2543" s="44" t="s">
        <v>10113</v>
      </c>
      <c r="AO2543" s="18" t="s">
        <v>10114</v>
      </c>
      <c r="AP2543" t="s">
        <v>831</v>
      </c>
    </row>
    <row r="2544" spans="1:42" customFormat="1" x14ac:dyDescent="0.3">
      <c r="A2544" s="148" t="s">
        <v>8319</v>
      </c>
      <c r="B2544" t="s">
        <v>8320</v>
      </c>
      <c r="C2544" s="148" t="s">
        <v>9344</v>
      </c>
      <c r="D2544" t="s">
        <v>9345</v>
      </c>
      <c r="E2544" s="148" t="s">
        <v>9346</v>
      </c>
      <c r="F2544" t="s">
        <v>9347</v>
      </c>
      <c r="G2544" s="148" t="s">
        <v>9558</v>
      </c>
      <c r="H2544" t="s">
        <v>9559</v>
      </c>
      <c r="K2544" s="148" t="s">
        <v>9560</v>
      </c>
      <c r="L2544" t="s">
        <v>9561</v>
      </c>
      <c r="M2544" s="1" t="s">
        <v>10124</v>
      </c>
      <c r="N2544" s="1" t="s">
        <v>271</v>
      </c>
      <c r="O2544" s="1">
        <v>47</v>
      </c>
      <c r="P2544" s="3">
        <v>50</v>
      </c>
      <c r="Q2544" s="3">
        <v>53</v>
      </c>
      <c r="R2544" s="3">
        <v>70</v>
      </c>
      <c r="S2544" s="3">
        <v>80</v>
      </c>
      <c r="T2544" t="s">
        <v>2432</v>
      </c>
      <c r="U2544" t="s">
        <v>729</v>
      </c>
      <c r="V2544" t="s">
        <v>10125</v>
      </c>
      <c r="W2544" s="45">
        <v>1</v>
      </c>
      <c r="X2544" s="45">
        <v>0</v>
      </c>
      <c r="Y2544" s="45">
        <v>0</v>
      </c>
      <c r="Z2544" s="45">
        <v>1</v>
      </c>
      <c r="AA2544" s="45">
        <v>1</v>
      </c>
      <c r="AB2544" s="45">
        <v>0</v>
      </c>
      <c r="AC2544" s="150">
        <v>1</v>
      </c>
      <c r="AD2544" s="150">
        <v>1</v>
      </c>
      <c r="AE2544" s="49">
        <f t="shared" si="105"/>
        <v>0.625</v>
      </c>
      <c r="AF2544" s="17"/>
      <c r="AG2544" s="17">
        <v>0</v>
      </c>
      <c r="AH2544" s="17">
        <v>0</v>
      </c>
      <c r="AI2544" s="44">
        <v>0.3</v>
      </c>
      <c r="AJ2544" s="44">
        <v>0.3</v>
      </c>
      <c r="AK2544" s="153">
        <v>0.5</v>
      </c>
      <c r="AL2544" s="154">
        <v>0.5</v>
      </c>
      <c r="AM2544" s="147">
        <f t="shared" si="104"/>
        <v>1</v>
      </c>
      <c r="AN2544" s="44" t="s">
        <v>723</v>
      </c>
      <c r="AO2544" s="18" t="s">
        <v>729</v>
      </c>
      <c r="AP2544" t="s">
        <v>119</v>
      </c>
    </row>
    <row r="2545" spans="1:42" customFormat="1" x14ac:dyDescent="0.3">
      <c r="A2545" s="148" t="s">
        <v>8319</v>
      </c>
      <c r="B2545" t="s">
        <v>8320</v>
      </c>
      <c r="C2545" s="148" t="s">
        <v>9344</v>
      </c>
      <c r="D2545" t="s">
        <v>9345</v>
      </c>
      <c r="E2545" s="148" t="s">
        <v>9346</v>
      </c>
      <c r="F2545" t="s">
        <v>9347</v>
      </c>
      <c r="G2545" s="148" t="s">
        <v>9558</v>
      </c>
      <c r="H2545" t="s">
        <v>9559</v>
      </c>
      <c r="K2545" s="148" t="s">
        <v>9560</v>
      </c>
      <c r="L2545" t="s">
        <v>9561</v>
      </c>
      <c r="M2545" s="1" t="s">
        <v>10126</v>
      </c>
      <c r="N2545" s="1" t="s">
        <v>271</v>
      </c>
      <c r="O2545" s="1">
        <v>1</v>
      </c>
      <c r="P2545" s="3">
        <v>1</v>
      </c>
      <c r="Q2545" s="3">
        <v>1</v>
      </c>
      <c r="R2545" s="3"/>
      <c r="S2545" s="3"/>
      <c r="T2545" t="s">
        <v>2432</v>
      </c>
      <c r="U2545" t="s">
        <v>729</v>
      </c>
      <c r="V2545" t="s">
        <v>10127</v>
      </c>
      <c r="W2545" s="45">
        <v>1</v>
      </c>
      <c r="X2545" s="45">
        <v>0</v>
      </c>
      <c r="Y2545" s="45">
        <v>0</v>
      </c>
      <c r="Z2545" s="45">
        <v>1</v>
      </c>
      <c r="AA2545" s="45">
        <v>1</v>
      </c>
      <c r="AB2545" s="45">
        <v>0</v>
      </c>
      <c r="AC2545" s="150">
        <v>1</v>
      </c>
      <c r="AD2545" s="150">
        <v>1</v>
      </c>
      <c r="AE2545" s="49">
        <f t="shared" si="105"/>
        <v>0.625</v>
      </c>
      <c r="AF2545" s="44"/>
      <c r="AG2545" s="17">
        <v>0</v>
      </c>
      <c r="AH2545" s="44">
        <v>0.3</v>
      </c>
      <c r="AI2545" s="44">
        <v>0.3</v>
      </c>
      <c r="AJ2545" s="44">
        <v>0.3</v>
      </c>
      <c r="AK2545" s="153">
        <v>0.3</v>
      </c>
      <c r="AL2545" s="154">
        <v>0.2</v>
      </c>
      <c r="AM2545" s="147">
        <f t="shared" si="104"/>
        <v>0.5</v>
      </c>
      <c r="AN2545" s="44" t="s">
        <v>723</v>
      </c>
      <c r="AO2545" s="18" t="s">
        <v>729</v>
      </c>
      <c r="AP2545" t="s">
        <v>10128</v>
      </c>
    </row>
    <row r="2546" spans="1:42" customFormat="1" x14ac:dyDescent="0.3">
      <c r="A2546" s="148" t="s">
        <v>8319</v>
      </c>
      <c r="B2546" t="s">
        <v>8320</v>
      </c>
      <c r="C2546" s="148" t="s">
        <v>9344</v>
      </c>
      <c r="D2546" t="s">
        <v>9345</v>
      </c>
      <c r="E2546" s="148" t="s">
        <v>9346</v>
      </c>
      <c r="F2546" t="s">
        <v>9347</v>
      </c>
      <c r="G2546" s="148" t="s">
        <v>9558</v>
      </c>
      <c r="H2546" t="s">
        <v>9559</v>
      </c>
      <c r="K2546" s="148" t="s">
        <v>9560</v>
      </c>
      <c r="L2546" t="s">
        <v>9561</v>
      </c>
      <c r="M2546" s="1" t="s">
        <v>10129</v>
      </c>
      <c r="N2546" s="1" t="s">
        <v>271</v>
      </c>
      <c r="O2546" s="1"/>
      <c r="P2546" s="3">
        <v>1</v>
      </c>
      <c r="Q2546" s="3">
        <v>1</v>
      </c>
      <c r="R2546" s="3"/>
      <c r="S2546" s="3">
        <v>13</v>
      </c>
      <c r="T2546" t="s">
        <v>2432</v>
      </c>
      <c r="U2546" t="s">
        <v>729</v>
      </c>
      <c r="V2546" t="s">
        <v>10130</v>
      </c>
      <c r="W2546" s="45">
        <v>1</v>
      </c>
      <c r="X2546" s="45">
        <v>0</v>
      </c>
      <c r="Y2546" s="45">
        <v>0</v>
      </c>
      <c r="Z2546" s="45">
        <v>1</v>
      </c>
      <c r="AA2546" s="45">
        <v>1</v>
      </c>
      <c r="AB2546" s="45">
        <v>0</v>
      </c>
      <c r="AC2546" s="150">
        <v>1</v>
      </c>
      <c r="AD2546" s="150">
        <v>1</v>
      </c>
      <c r="AE2546" s="49">
        <f t="shared" si="105"/>
        <v>0.625</v>
      </c>
      <c r="AF2546" s="44"/>
      <c r="AG2546" s="17">
        <v>0</v>
      </c>
      <c r="AH2546" s="44">
        <v>0</v>
      </c>
      <c r="AI2546" s="44">
        <v>0</v>
      </c>
      <c r="AJ2546" s="44">
        <v>0</v>
      </c>
      <c r="AK2546" s="151">
        <v>0.3</v>
      </c>
      <c r="AL2546" s="154">
        <v>0.2</v>
      </c>
      <c r="AM2546" s="147">
        <f t="shared" si="104"/>
        <v>0.5</v>
      </c>
      <c r="AN2546" s="44" t="s">
        <v>723</v>
      </c>
      <c r="AO2546" s="18" t="s">
        <v>729</v>
      </c>
      <c r="AP2546" t="s">
        <v>10099</v>
      </c>
    </row>
    <row r="2547" spans="1:42" customFormat="1" x14ac:dyDescent="0.3">
      <c r="A2547" s="148" t="s">
        <v>8319</v>
      </c>
      <c r="B2547" t="s">
        <v>8320</v>
      </c>
      <c r="C2547" s="148" t="s">
        <v>9344</v>
      </c>
      <c r="D2547" t="s">
        <v>9345</v>
      </c>
      <c r="E2547" s="148" t="s">
        <v>9346</v>
      </c>
      <c r="F2547" t="s">
        <v>9347</v>
      </c>
      <c r="G2547" s="148" t="s">
        <v>9558</v>
      </c>
      <c r="H2547" t="s">
        <v>9559</v>
      </c>
      <c r="K2547" s="148" t="s">
        <v>9560</v>
      </c>
      <c r="L2547" t="s">
        <v>9561</v>
      </c>
      <c r="M2547" s="1" t="s">
        <v>10131</v>
      </c>
      <c r="N2547" s="1" t="s">
        <v>271</v>
      </c>
      <c r="O2547" s="1"/>
      <c r="P2547" s="3"/>
      <c r="Q2547" s="3"/>
      <c r="R2547" s="3">
        <v>1</v>
      </c>
      <c r="S2547" s="3"/>
      <c r="T2547" t="s">
        <v>2432</v>
      </c>
      <c r="U2547" t="s">
        <v>729</v>
      </c>
      <c r="V2547" t="s">
        <v>10132</v>
      </c>
      <c r="W2547" s="45">
        <v>1</v>
      </c>
      <c r="X2547" s="45">
        <v>0</v>
      </c>
      <c r="Y2547" s="45">
        <v>0</v>
      </c>
      <c r="Z2547" s="45">
        <v>1</v>
      </c>
      <c r="AA2547" s="45">
        <v>1</v>
      </c>
      <c r="AB2547" s="45">
        <v>0</v>
      </c>
      <c r="AC2547" s="150">
        <v>1</v>
      </c>
      <c r="AD2547" s="150">
        <v>1</v>
      </c>
      <c r="AE2547" s="49">
        <f t="shared" si="105"/>
        <v>0.625</v>
      </c>
      <c r="AF2547" s="17"/>
      <c r="AG2547" s="17">
        <v>0</v>
      </c>
      <c r="AH2547" s="17">
        <v>0</v>
      </c>
      <c r="AI2547" s="44">
        <v>0</v>
      </c>
      <c r="AJ2547" s="17">
        <v>0</v>
      </c>
      <c r="AK2547" s="153">
        <v>0</v>
      </c>
      <c r="AL2547" s="154">
        <v>0</v>
      </c>
      <c r="AM2547" s="147">
        <f t="shared" si="104"/>
        <v>0</v>
      </c>
      <c r="AN2547" s="44" t="s">
        <v>723</v>
      </c>
      <c r="AO2547" s="18" t="s">
        <v>729</v>
      </c>
      <c r="AP2547" t="s">
        <v>119</v>
      </c>
    </row>
    <row r="2548" spans="1:42" customFormat="1" x14ac:dyDescent="0.3">
      <c r="A2548" s="148" t="s">
        <v>8319</v>
      </c>
      <c r="B2548" t="s">
        <v>8320</v>
      </c>
      <c r="C2548" s="148" t="s">
        <v>9344</v>
      </c>
      <c r="D2548" t="s">
        <v>9345</v>
      </c>
      <c r="E2548" s="148" t="s">
        <v>9346</v>
      </c>
      <c r="F2548" t="s">
        <v>9347</v>
      </c>
      <c r="G2548" s="148" t="s">
        <v>9558</v>
      </c>
      <c r="H2548" t="s">
        <v>9559</v>
      </c>
      <c r="K2548" s="148" t="s">
        <v>9560</v>
      </c>
      <c r="L2548" t="s">
        <v>9561</v>
      </c>
      <c r="M2548" s="1" t="s">
        <v>10133</v>
      </c>
      <c r="N2548" s="1" t="s">
        <v>271</v>
      </c>
      <c r="O2548" s="1" t="s">
        <v>271</v>
      </c>
      <c r="P2548" s="3"/>
      <c r="Q2548" s="3">
        <v>1</v>
      </c>
      <c r="R2548" s="3">
        <v>1</v>
      </c>
      <c r="S2548" s="3"/>
      <c r="T2548" t="s">
        <v>2432</v>
      </c>
      <c r="U2548" t="s">
        <v>729</v>
      </c>
      <c r="V2548" t="s">
        <v>10134</v>
      </c>
      <c r="W2548" s="45">
        <v>1</v>
      </c>
      <c r="X2548" s="45">
        <v>0</v>
      </c>
      <c r="Y2548" s="45">
        <v>0</v>
      </c>
      <c r="Z2548" s="45">
        <v>1</v>
      </c>
      <c r="AA2548" s="45">
        <v>1</v>
      </c>
      <c r="AB2548" s="45">
        <v>0</v>
      </c>
      <c r="AC2548" s="150">
        <v>1</v>
      </c>
      <c r="AD2548" s="150">
        <v>1</v>
      </c>
      <c r="AE2548" s="49">
        <f t="shared" si="105"/>
        <v>0.625</v>
      </c>
      <c r="AF2548" s="17"/>
      <c r="AG2548" s="17">
        <v>0</v>
      </c>
      <c r="AH2548" s="17">
        <v>0</v>
      </c>
      <c r="AI2548" s="44">
        <v>8</v>
      </c>
      <c r="AJ2548" s="44">
        <v>0.1</v>
      </c>
      <c r="AK2548" s="153">
        <v>0.3</v>
      </c>
      <c r="AL2548" s="154">
        <v>0.3</v>
      </c>
      <c r="AM2548" s="147">
        <f t="shared" si="104"/>
        <v>0.6</v>
      </c>
      <c r="AN2548" s="18" t="s">
        <v>255</v>
      </c>
      <c r="AO2548" s="18" t="s">
        <v>1045</v>
      </c>
      <c r="AP2548" t="s">
        <v>10135</v>
      </c>
    </row>
    <row r="2549" spans="1:42" customFormat="1" x14ac:dyDescent="0.3">
      <c r="A2549" s="148" t="s">
        <v>8319</v>
      </c>
      <c r="B2549" t="s">
        <v>8320</v>
      </c>
      <c r="C2549" s="148" t="s">
        <v>9344</v>
      </c>
      <c r="D2549" t="s">
        <v>9345</v>
      </c>
      <c r="E2549" s="148" t="s">
        <v>9346</v>
      </c>
      <c r="F2549" t="s">
        <v>9347</v>
      </c>
      <c r="G2549" s="148" t="s">
        <v>9558</v>
      </c>
      <c r="H2549" t="s">
        <v>9559</v>
      </c>
      <c r="K2549" s="148" t="s">
        <v>9560</v>
      </c>
      <c r="L2549" t="s">
        <v>9561</v>
      </c>
      <c r="M2549" s="1" t="s">
        <v>10136</v>
      </c>
      <c r="N2549" s="1"/>
      <c r="O2549" s="1">
        <v>47</v>
      </c>
      <c r="P2549" s="3">
        <v>50</v>
      </c>
      <c r="Q2549" s="3">
        <v>53</v>
      </c>
      <c r="R2549" s="3">
        <v>70</v>
      </c>
      <c r="S2549" s="3">
        <v>80</v>
      </c>
      <c r="T2549" t="s">
        <v>2432</v>
      </c>
      <c r="U2549" t="s">
        <v>729</v>
      </c>
      <c r="V2549" t="s">
        <v>10137</v>
      </c>
      <c r="W2549" s="45">
        <v>1</v>
      </c>
      <c r="X2549" s="45">
        <v>0</v>
      </c>
      <c r="Y2549" s="45">
        <v>0</v>
      </c>
      <c r="Z2549" s="45">
        <v>1</v>
      </c>
      <c r="AA2549" s="45">
        <v>1</v>
      </c>
      <c r="AB2549" s="45">
        <v>0</v>
      </c>
      <c r="AC2549" s="150">
        <v>1</v>
      </c>
      <c r="AD2549" s="150">
        <v>1</v>
      </c>
      <c r="AE2549" s="49">
        <f t="shared" si="105"/>
        <v>0.625</v>
      </c>
      <c r="AF2549" s="44">
        <v>1</v>
      </c>
      <c r="AG2549" s="17"/>
      <c r="AH2549" s="44">
        <v>0</v>
      </c>
      <c r="AI2549" s="44">
        <v>46.208511484628616</v>
      </c>
      <c r="AJ2549" s="44">
        <v>11.5</v>
      </c>
      <c r="AK2549" s="151">
        <f>80-8.79</f>
        <v>71.210000000000008</v>
      </c>
      <c r="AL2549" s="151">
        <f>120+8.79</f>
        <v>128.79</v>
      </c>
      <c r="AM2549" s="147">
        <f t="shared" si="104"/>
        <v>200</v>
      </c>
      <c r="AN2549" s="44" t="s">
        <v>723</v>
      </c>
      <c r="AO2549" s="18" t="s">
        <v>729</v>
      </c>
      <c r="AP2549" t="s">
        <v>119</v>
      </c>
    </row>
    <row r="2550" spans="1:42" customFormat="1" x14ac:dyDescent="0.3">
      <c r="A2550" s="148" t="s">
        <v>8319</v>
      </c>
      <c r="B2550" t="s">
        <v>8320</v>
      </c>
      <c r="C2550" s="148" t="s">
        <v>9344</v>
      </c>
      <c r="D2550" t="s">
        <v>9345</v>
      </c>
      <c r="E2550" s="148" t="s">
        <v>9346</v>
      </c>
      <c r="F2550" t="s">
        <v>9347</v>
      </c>
      <c r="G2550" s="148" t="s">
        <v>9558</v>
      </c>
      <c r="H2550" t="s">
        <v>9559</v>
      </c>
      <c r="K2550" s="148" t="s">
        <v>9560</v>
      </c>
      <c r="L2550" t="s">
        <v>9561</v>
      </c>
      <c r="M2550" s="1" t="s">
        <v>10138</v>
      </c>
      <c r="N2550" s="1" t="s">
        <v>271</v>
      </c>
      <c r="O2550" s="1"/>
      <c r="P2550" s="3"/>
      <c r="Q2550" s="3">
        <v>1</v>
      </c>
      <c r="R2550" s="3"/>
      <c r="S2550" s="3"/>
      <c r="T2550" t="s">
        <v>2432</v>
      </c>
      <c r="U2550" t="s">
        <v>729</v>
      </c>
      <c r="V2550" t="s">
        <v>10139</v>
      </c>
      <c r="W2550" s="45">
        <v>1</v>
      </c>
      <c r="X2550" s="45">
        <v>0</v>
      </c>
      <c r="Y2550" s="45">
        <v>0</v>
      </c>
      <c r="Z2550" s="45">
        <v>1</v>
      </c>
      <c r="AA2550" s="45">
        <v>1</v>
      </c>
      <c r="AB2550" s="45">
        <v>0</v>
      </c>
      <c r="AC2550" s="150">
        <v>1</v>
      </c>
      <c r="AD2550" s="150">
        <v>1</v>
      </c>
      <c r="AE2550" s="49">
        <f t="shared" si="105"/>
        <v>0.625</v>
      </c>
      <c r="AF2550" s="17"/>
      <c r="AG2550" s="17">
        <v>0</v>
      </c>
      <c r="AH2550" s="17">
        <v>0</v>
      </c>
      <c r="AI2550" s="44">
        <v>0</v>
      </c>
      <c r="AJ2550" s="17">
        <v>0</v>
      </c>
      <c r="AK2550" s="153">
        <v>0.2</v>
      </c>
      <c r="AL2550" s="154">
        <v>0.2</v>
      </c>
      <c r="AM2550" s="147">
        <f t="shared" si="104"/>
        <v>0.4</v>
      </c>
      <c r="AN2550" t="s">
        <v>831</v>
      </c>
      <c r="AO2550" s="18" t="s">
        <v>834</v>
      </c>
      <c r="AP2550" t="s">
        <v>10140</v>
      </c>
    </row>
    <row r="2551" spans="1:42" customFormat="1" x14ac:dyDescent="0.3">
      <c r="A2551" s="148" t="s">
        <v>8319</v>
      </c>
      <c r="B2551" t="s">
        <v>8320</v>
      </c>
      <c r="C2551" s="148" t="s">
        <v>9344</v>
      </c>
      <c r="D2551" t="s">
        <v>9345</v>
      </c>
      <c r="E2551" s="148" t="s">
        <v>9346</v>
      </c>
      <c r="F2551" t="s">
        <v>9347</v>
      </c>
      <c r="G2551" s="148" t="s">
        <v>10141</v>
      </c>
      <c r="H2551" t="s">
        <v>10142</v>
      </c>
      <c r="K2551" s="155" t="s">
        <v>10143</v>
      </c>
      <c r="L2551" t="s">
        <v>10144</v>
      </c>
      <c r="M2551" s="1" t="s">
        <v>10145</v>
      </c>
      <c r="N2551" s="1" t="s">
        <v>271</v>
      </c>
      <c r="O2551" s="1">
        <v>4500</v>
      </c>
      <c r="P2551" s="3">
        <v>4500</v>
      </c>
      <c r="Q2551" s="3">
        <v>4500</v>
      </c>
      <c r="R2551" s="3">
        <v>4500</v>
      </c>
      <c r="S2551" s="3">
        <v>4500</v>
      </c>
      <c r="T2551" t="s">
        <v>723</v>
      </c>
      <c r="U2551" t="s">
        <v>729</v>
      </c>
      <c r="V2551" t="s">
        <v>10146</v>
      </c>
      <c r="W2551" s="45">
        <v>1</v>
      </c>
      <c r="X2551" s="45">
        <v>0</v>
      </c>
      <c r="Y2551" s="45">
        <v>0</v>
      </c>
      <c r="Z2551" s="45">
        <v>1</v>
      </c>
      <c r="AA2551" s="45">
        <v>1</v>
      </c>
      <c r="AB2551" s="45">
        <v>0</v>
      </c>
      <c r="AC2551" s="150">
        <v>1</v>
      </c>
      <c r="AD2551" s="150">
        <v>1</v>
      </c>
      <c r="AE2551" s="49">
        <f t="shared" si="105"/>
        <v>0.625</v>
      </c>
      <c r="AF2551" s="44"/>
      <c r="AG2551" s="17">
        <v>0</v>
      </c>
      <c r="AH2551" s="44">
        <v>0</v>
      </c>
      <c r="AI2551" s="44">
        <v>0.3</v>
      </c>
      <c r="AJ2551" s="44">
        <v>0.3</v>
      </c>
      <c r="AK2551" s="151">
        <v>0.2</v>
      </c>
      <c r="AL2551" s="151">
        <v>0.2</v>
      </c>
      <c r="AM2551" s="147">
        <f t="shared" si="104"/>
        <v>0.4</v>
      </c>
      <c r="AN2551" s="18" t="s">
        <v>255</v>
      </c>
      <c r="AO2551" s="18" t="s">
        <v>1045</v>
      </c>
      <c r="AP2551" t="s">
        <v>723</v>
      </c>
    </row>
    <row r="2552" spans="1:42" customFormat="1" x14ac:dyDescent="0.3">
      <c r="A2552" s="148" t="s">
        <v>8319</v>
      </c>
      <c r="B2552" t="s">
        <v>8320</v>
      </c>
      <c r="C2552" s="148" t="s">
        <v>9344</v>
      </c>
      <c r="D2552" t="s">
        <v>9345</v>
      </c>
      <c r="E2552" s="155" t="s">
        <v>9346</v>
      </c>
      <c r="F2552" t="s">
        <v>9347</v>
      </c>
      <c r="G2552" s="148" t="s">
        <v>10141</v>
      </c>
      <c r="H2552" t="s">
        <v>10142</v>
      </c>
      <c r="K2552" s="155" t="s">
        <v>10143</v>
      </c>
      <c r="L2552" t="s">
        <v>10144</v>
      </c>
      <c r="M2552" s="1" t="s">
        <v>10147</v>
      </c>
      <c r="N2552" s="1"/>
      <c r="O2552" s="1">
        <v>40</v>
      </c>
      <c r="P2552" s="3">
        <v>50</v>
      </c>
      <c r="Q2552" s="3">
        <v>55</v>
      </c>
      <c r="R2552" s="3">
        <v>60</v>
      </c>
      <c r="S2552" s="3">
        <v>65</v>
      </c>
      <c r="T2552" t="s">
        <v>723</v>
      </c>
      <c r="U2552" t="s">
        <v>729</v>
      </c>
      <c r="V2552" t="s">
        <v>10148</v>
      </c>
      <c r="W2552" s="45">
        <v>1</v>
      </c>
      <c r="X2552" s="45">
        <v>0</v>
      </c>
      <c r="Y2552" s="45">
        <v>0</v>
      </c>
      <c r="Z2552" s="45">
        <v>1</v>
      </c>
      <c r="AA2552" s="45">
        <v>1</v>
      </c>
      <c r="AB2552" s="45">
        <v>0</v>
      </c>
      <c r="AC2552" s="150">
        <v>1</v>
      </c>
      <c r="AD2552" s="150">
        <v>1</v>
      </c>
      <c r="AE2552" s="49">
        <f t="shared" si="105"/>
        <v>0.625</v>
      </c>
      <c r="AF2552" s="44"/>
      <c r="AG2552" s="17">
        <v>0</v>
      </c>
      <c r="AH2552" s="44">
        <v>0</v>
      </c>
      <c r="AI2552" s="44">
        <v>0.3</v>
      </c>
      <c r="AJ2552" s="44">
        <v>0.3</v>
      </c>
      <c r="AK2552" s="151">
        <v>0.1</v>
      </c>
      <c r="AL2552" s="151">
        <v>0.1</v>
      </c>
      <c r="AM2552" s="147">
        <f t="shared" si="104"/>
        <v>0.2</v>
      </c>
      <c r="AN2552" s="44" t="s">
        <v>723</v>
      </c>
      <c r="AO2552" s="18" t="s">
        <v>729</v>
      </c>
      <c r="AP2552" t="s">
        <v>10149</v>
      </c>
    </row>
    <row r="2553" spans="1:42" customFormat="1" x14ac:dyDescent="0.3">
      <c r="A2553" s="148" t="s">
        <v>8319</v>
      </c>
      <c r="B2553" t="s">
        <v>8320</v>
      </c>
      <c r="C2553" s="148" t="s">
        <v>9344</v>
      </c>
      <c r="D2553" t="s">
        <v>9345</v>
      </c>
      <c r="E2553" s="148" t="s">
        <v>9346</v>
      </c>
      <c r="F2553" t="s">
        <v>9347</v>
      </c>
      <c r="G2553" s="148" t="s">
        <v>10141</v>
      </c>
      <c r="H2553" t="s">
        <v>10142</v>
      </c>
      <c r="K2553" s="155" t="s">
        <v>10143</v>
      </c>
      <c r="L2553" t="s">
        <v>10144</v>
      </c>
      <c r="M2553" s="1"/>
      <c r="N2553" s="1"/>
      <c r="O2553" s="1">
        <v>40</v>
      </c>
      <c r="P2553" s="3">
        <v>50</v>
      </c>
      <c r="Q2553" s="3">
        <v>55</v>
      </c>
      <c r="R2553" s="3">
        <v>60</v>
      </c>
      <c r="S2553" s="3">
        <v>65</v>
      </c>
      <c r="T2553" t="s">
        <v>723</v>
      </c>
      <c r="U2553" t="s">
        <v>729</v>
      </c>
      <c r="V2553" t="s">
        <v>10150</v>
      </c>
      <c r="W2553" s="45">
        <v>1</v>
      </c>
      <c r="X2553" s="45">
        <v>0</v>
      </c>
      <c r="Y2553" s="45">
        <v>0</v>
      </c>
      <c r="Z2553" s="45">
        <v>1</v>
      </c>
      <c r="AA2553" s="45">
        <v>1</v>
      </c>
      <c r="AB2553" s="45">
        <v>0</v>
      </c>
      <c r="AC2553" s="150">
        <v>1</v>
      </c>
      <c r="AD2553" s="150">
        <v>1</v>
      </c>
      <c r="AE2553" s="49">
        <f t="shared" si="105"/>
        <v>0.625</v>
      </c>
      <c r="AF2553" s="44"/>
      <c r="AG2553" s="17">
        <v>0</v>
      </c>
      <c r="AH2553" s="44">
        <v>3</v>
      </c>
      <c r="AI2553" s="44">
        <v>10</v>
      </c>
      <c r="AJ2553" s="44">
        <v>5</v>
      </c>
      <c r="AK2553" s="151">
        <v>5</v>
      </c>
      <c r="AL2553" s="151">
        <v>5</v>
      </c>
      <c r="AM2553" s="147">
        <f t="shared" si="104"/>
        <v>10</v>
      </c>
      <c r="AN2553" s="44" t="s">
        <v>723</v>
      </c>
      <c r="AO2553" s="18" t="s">
        <v>729</v>
      </c>
      <c r="AP2553" t="s">
        <v>10151</v>
      </c>
    </row>
    <row r="2554" spans="1:42" customFormat="1" x14ac:dyDescent="0.3">
      <c r="A2554" s="148" t="s">
        <v>8319</v>
      </c>
      <c r="B2554" t="s">
        <v>8320</v>
      </c>
      <c r="C2554" s="148" t="s">
        <v>9344</v>
      </c>
      <c r="D2554" t="s">
        <v>9345</v>
      </c>
      <c r="E2554" s="148" t="s">
        <v>9346</v>
      </c>
      <c r="F2554" t="s">
        <v>9347</v>
      </c>
      <c r="G2554" s="148" t="s">
        <v>10152</v>
      </c>
      <c r="H2554" t="s">
        <v>10153</v>
      </c>
      <c r="K2554" s="148" t="s">
        <v>10154</v>
      </c>
      <c r="L2554" t="s">
        <v>10155</v>
      </c>
      <c r="M2554" s="1" t="s">
        <v>10156</v>
      </c>
      <c r="N2554" s="1" t="s">
        <v>271</v>
      </c>
      <c r="O2554" s="1" t="s">
        <v>271</v>
      </c>
      <c r="P2554" s="3">
        <v>51767</v>
      </c>
      <c r="Q2554" s="3">
        <v>62121</v>
      </c>
      <c r="R2554" s="3">
        <v>82828</v>
      </c>
      <c r="S2554" s="3">
        <v>113888</v>
      </c>
      <c r="T2554" t="s">
        <v>2432</v>
      </c>
      <c r="U2554" t="s">
        <v>729</v>
      </c>
      <c r="V2554" t="s">
        <v>2438</v>
      </c>
      <c r="W2554" s="45">
        <v>1</v>
      </c>
      <c r="X2554" s="45">
        <v>0</v>
      </c>
      <c r="Y2554" s="45">
        <v>0</v>
      </c>
      <c r="Z2554" s="45">
        <v>1</v>
      </c>
      <c r="AA2554" s="45">
        <v>1</v>
      </c>
      <c r="AB2554" s="45">
        <v>0</v>
      </c>
      <c r="AC2554" s="150">
        <v>1</v>
      </c>
      <c r="AD2554" s="150">
        <v>1</v>
      </c>
      <c r="AE2554" s="49">
        <f t="shared" si="105"/>
        <v>0.625</v>
      </c>
      <c r="AF2554" s="17">
        <v>1</v>
      </c>
      <c r="AG2554" s="17">
        <v>1</v>
      </c>
      <c r="AH2554" s="17">
        <v>0</v>
      </c>
      <c r="AI2554" s="44">
        <v>1</v>
      </c>
      <c r="AJ2554" s="44">
        <v>2.5</v>
      </c>
      <c r="AK2554" s="151">
        <v>2</v>
      </c>
      <c r="AL2554" s="151">
        <v>2</v>
      </c>
      <c r="AM2554" s="147">
        <f t="shared" si="104"/>
        <v>4</v>
      </c>
      <c r="AN2554" s="44" t="s">
        <v>723</v>
      </c>
      <c r="AO2554" s="18" t="s">
        <v>729</v>
      </c>
      <c r="AP2554" t="s">
        <v>10157</v>
      </c>
    </row>
    <row r="2555" spans="1:42" customFormat="1" x14ac:dyDescent="0.3">
      <c r="A2555" s="148" t="s">
        <v>8319</v>
      </c>
      <c r="B2555" t="s">
        <v>8320</v>
      </c>
      <c r="C2555" s="148" t="s">
        <v>9344</v>
      </c>
      <c r="D2555" t="s">
        <v>9345</v>
      </c>
      <c r="E2555" s="148" t="s">
        <v>9346</v>
      </c>
      <c r="F2555" t="s">
        <v>9347</v>
      </c>
      <c r="G2555" s="148" t="s">
        <v>10158</v>
      </c>
      <c r="H2555" t="s">
        <v>10159</v>
      </c>
      <c r="I2555" s="148" t="s">
        <v>10160</v>
      </c>
      <c r="J2555" t="s">
        <v>10161</v>
      </c>
      <c r="K2555" s="155" t="s">
        <v>10162</v>
      </c>
      <c r="L2555" t="s">
        <v>10163</v>
      </c>
      <c r="M2555" s="1" t="s">
        <v>10164</v>
      </c>
      <c r="N2555" s="1" t="s">
        <v>271</v>
      </c>
      <c r="O2555" s="1" t="s">
        <v>271</v>
      </c>
      <c r="P2555" s="3" t="s">
        <v>271</v>
      </c>
      <c r="Q2555" s="3">
        <v>3</v>
      </c>
      <c r="R2555" s="3">
        <v>5</v>
      </c>
      <c r="S2555" s="3">
        <v>5</v>
      </c>
      <c r="T2555" t="s">
        <v>10165</v>
      </c>
      <c r="U2555" t="e">
        <v>#N/A</v>
      </c>
      <c r="V2555" t="s">
        <v>10166</v>
      </c>
      <c r="W2555" s="45">
        <v>1</v>
      </c>
      <c r="X2555" s="45">
        <v>0</v>
      </c>
      <c r="Y2555" s="45">
        <v>0</v>
      </c>
      <c r="Z2555" s="45">
        <v>1</v>
      </c>
      <c r="AA2555" s="45">
        <v>1</v>
      </c>
      <c r="AB2555" s="45">
        <v>0</v>
      </c>
      <c r="AC2555" s="150">
        <v>1</v>
      </c>
      <c r="AD2555" s="150">
        <v>1</v>
      </c>
      <c r="AE2555" s="49">
        <f t="shared" si="105"/>
        <v>0.625</v>
      </c>
      <c r="AF2555" s="17"/>
      <c r="AG2555" s="17">
        <v>0</v>
      </c>
      <c r="AH2555" s="17">
        <v>0</v>
      </c>
      <c r="AI2555" s="17">
        <v>0</v>
      </c>
      <c r="AJ2555" s="17">
        <v>0</v>
      </c>
      <c r="AK2555" s="153">
        <v>0.1</v>
      </c>
      <c r="AL2555" s="154">
        <v>0.1</v>
      </c>
      <c r="AM2555" s="147">
        <f t="shared" si="104"/>
        <v>0.2</v>
      </c>
      <c r="AN2555" s="44" t="s">
        <v>239</v>
      </c>
      <c r="AO2555" s="18" t="s">
        <v>241</v>
      </c>
      <c r="AP2555" t="s">
        <v>723</v>
      </c>
    </row>
    <row r="2556" spans="1:42" customFormat="1" x14ac:dyDescent="0.3">
      <c r="A2556" s="148" t="s">
        <v>8319</v>
      </c>
      <c r="B2556" t="s">
        <v>8320</v>
      </c>
      <c r="C2556" s="148" t="s">
        <v>9344</v>
      </c>
      <c r="D2556" t="s">
        <v>9345</v>
      </c>
      <c r="E2556" s="148" t="s">
        <v>9346</v>
      </c>
      <c r="F2556" t="s">
        <v>9347</v>
      </c>
      <c r="G2556" s="148" t="s">
        <v>10167</v>
      </c>
      <c r="H2556" t="s">
        <v>10168</v>
      </c>
      <c r="K2556" s="155" t="s">
        <v>10169</v>
      </c>
      <c r="L2556" t="s">
        <v>10170</v>
      </c>
      <c r="M2556" s="1" t="s">
        <v>10171</v>
      </c>
      <c r="N2556" s="1" t="s">
        <v>271</v>
      </c>
      <c r="O2556" s="1" t="s">
        <v>271</v>
      </c>
      <c r="P2556" s="3">
        <v>1</v>
      </c>
      <c r="Q2556" s="3" t="s">
        <v>271</v>
      </c>
      <c r="R2556" s="3" t="s">
        <v>271</v>
      </c>
      <c r="S2556" s="3" t="s">
        <v>271</v>
      </c>
      <c r="T2556" t="s">
        <v>10172</v>
      </c>
      <c r="U2556" t="e">
        <v>#N/A</v>
      </c>
      <c r="V2556" t="s">
        <v>10173</v>
      </c>
      <c r="W2556" s="45">
        <v>1</v>
      </c>
      <c r="X2556" s="45">
        <v>0</v>
      </c>
      <c r="Y2556" s="45">
        <v>0</v>
      </c>
      <c r="Z2556" s="45">
        <v>1</v>
      </c>
      <c r="AA2556" s="45">
        <v>1</v>
      </c>
      <c r="AB2556" s="45">
        <v>0</v>
      </c>
      <c r="AC2556" s="150">
        <v>1</v>
      </c>
      <c r="AD2556" s="150">
        <v>1</v>
      </c>
      <c r="AE2556" s="49">
        <f t="shared" si="105"/>
        <v>0.625</v>
      </c>
      <c r="AF2556" s="17"/>
      <c r="AG2556" s="17">
        <v>0</v>
      </c>
      <c r="AH2556" s="17">
        <v>0</v>
      </c>
      <c r="AI2556" s="44">
        <v>3</v>
      </c>
      <c r="AJ2556" s="44">
        <v>5</v>
      </c>
      <c r="AK2556" s="151">
        <v>5</v>
      </c>
      <c r="AL2556" s="151">
        <v>5</v>
      </c>
      <c r="AM2556" s="147">
        <f t="shared" si="104"/>
        <v>10</v>
      </c>
      <c r="AN2556" s="44" t="s">
        <v>723</v>
      </c>
      <c r="AO2556" s="18" t="s">
        <v>729</v>
      </c>
      <c r="AP2556" t="s">
        <v>10174</v>
      </c>
    </row>
    <row r="2557" spans="1:42" customFormat="1" x14ac:dyDescent="0.3">
      <c r="A2557" s="148" t="s">
        <v>8319</v>
      </c>
      <c r="B2557" t="s">
        <v>8320</v>
      </c>
      <c r="C2557" s="148" t="s">
        <v>9344</v>
      </c>
      <c r="D2557" t="s">
        <v>9345</v>
      </c>
      <c r="E2557" s="148" t="s">
        <v>9346</v>
      </c>
      <c r="F2557" t="s">
        <v>9347</v>
      </c>
      <c r="G2557" s="148" t="s">
        <v>10175</v>
      </c>
      <c r="H2557" t="s">
        <v>10176</v>
      </c>
      <c r="K2557" s="148" t="s">
        <v>10177</v>
      </c>
      <c r="L2557" t="s">
        <v>10178</v>
      </c>
      <c r="M2557" s="1" t="s">
        <v>10179</v>
      </c>
      <c r="N2557" s="1">
        <v>25</v>
      </c>
      <c r="O2557" s="1">
        <v>22</v>
      </c>
      <c r="P2557" s="3">
        <v>20</v>
      </c>
      <c r="Q2557" s="3">
        <v>18</v>
      </c>
      <c r="R2557" s="3">
        <v>16</v>
      </c>
      <c r="S2557" s="3">
        <v>14</v>
      </c>
      <c r="T2557" t="s">
        <v>10180</v>
      </c>
      <c r="U2557" t="e">
        <v>#N/A</v>
      </c>
      <c r="V2557" t="s">
        <v>10181</v>
      </c>
      <c r="W2557" s="45">
        <v>1</v>
      </c>
      <c r="X2557" s="45">
        <v>0</v>
      </c>
      <c r="Y2557" s="45">
        <v>0</v>
      </c>
      <c r="Z2557" s="45">
        <v>1</v>
      </c>
      <c r="AA2557" s="45">
        <v>1</v>
      </c>
      <c r="AB2557" s="45">
        <v>0</v>
      </c>
      <c r="AC2557" s="150">
        <v>1</v>
      </c>
      <c r="AD2557" s="150">
        <v>1</v>
      </c>
      <c r="AE2557" s="49">
        <f t="shared" si="105"/>
        <v>0.625</v>
      </c>
      <c r="AF2557" s="44"/>
      <c r="AG2557" s="17">
        <v>0</v>
      </c>
      <c r="AH2557" s="44">
        <v>0.1</v>
      </c>
      <c r="AI2557" s="44">
        <v>0.1</v>
      </c>
      <c r="AJ2557" s="44">
        <v>0.1</v>
      </c>
      <c r="AK2557" s="151">
        <v>0.05</v>
      </c>
      <c r="AL2557" s="151">
        <v>0.05</v>
      </c>
      <c r="AM2557" s="147">
        <f t="shared" si="104"/>
        <v>0.1</v>
      </c>
      <c r="AN2557" s="18" t="s">
        <v>771</v>
      </c>
      <c r="AO2557" s="18" t="s">
        <v>773</v>
      </c>
      <c r="AP2557" t="s">
        <v>723</v>
      </c>
    </row>
    <row r="2558" spans="1:42" customFormat="1" x14ac:dyDescent="0.3">
      <c r="A2558" s="148" t="s">
        <v>8319</v>
      </c>
      <c r="B2558" t="s">
        <v>8320</v>
      </c>
      <c r="C2558" s="148" t="s">
        <v>9369</v>
      </c>
      <c r="D2558" t="s">
        <v>9370</v>
      </c>
      <c r="E2558" s="148" t="s">
        <v>9371</v>
      </c>
      <c r="F2558" t="s">
        <v>9372</v>
      </c>
      <c r="G2558" s="148" t="s">
        <v>9373</v>
      </c>
      <c r="H2558" t="s">
        <v>9374</v>
      </c>
      <c r="I2558" t="s">
        <v>9375</v>
      </c>
      <c r="J2558" t="s">
        <v>9376</v>
      </c>
      <c r="K2558" s="148" t="s">
        <v>10182</v>
      </c>
      <c r="L2558" t="s">
        <v>10183</v>
      </c>
      <c r="M2558" s="1" t="s">
        <v>10184</v>
      </c>
      <c r="N2558" s="1"/>
      <c r="O2558" s="1"/>
      <c r="P2558" s="3">
        <v>1</v>
      </c>
      <c r="Q2558" s="3">
        <v>1</v>
      </c>
      <c r="R2558" s="3">
        <v>1</v>
      </c>
      <c r="S2558" s="3">
        <v>1</v>
      </c>
      <c r="T2558" t="s">
        <v>1536</v>
      </c>
      <c r="U2558" t="e">
        <v>#N/A</v>
      </c>
      <c r="V2558" t="s">
        <v>10185</v>
      </c>
      <c r="W2558" s="45">
        <v>1</v>
      </c>
      <c r="X2558" s="45">
        <v>1</v>
      </c>
      <c r="Y2558" s="45">
        <v>0</v>
      </c>
      <c r="Z2558" s="45">
        <v>1</v>
      </c>
      <c r="AA2558" s="45">
        <v>1</v>
      </c>
      <c r="AB2558" s="45">
        <v>0</v>
      </c>
      <c r="AC2558" s="150">
        <v>0</v>
      </c>
      <c r="AD2558" s="150">
        <v>1</v>
      </c>
      <c r="AE2558" s="49">
        <f t="shared" si="105"/>
        <v>0.625</v>
      </c>
      <c r="AF2558" s="17"/>
      <c r="AG2558" s="17">
        <v>0</v>
      </c>
      <c r="AH2558" s="17">
        <v>0</v>
      </c>
      <c r="AI2558" s="44">
        <v>0.5</v>
      </c>
      <c r="AJ2558" s="44">
        <v>0.5</v>
      </c>
      <c r="AK2558" s="151">
        <v>0.5</v>
      </c>
      <c r="AL2558" s="151">
        <v>0.5</v>
      </c>
      <c r="AM2558" s="147">
        <f t="shared" si="104"/>
        <v>1</v>
      </c>
      <c r="AN2558" s="18" t="s">
        <v>771</v>
      </c>
      <c r="AO2558" s="18" t="s">
        <v>773</v>
      </c>
      <c r="AP2558" t="s">
        <v>10186</v>
      </c>
    </row>
    <row r="2559" spans="1:42" customFormat="1" x14ac:dyDescent="0.3">
      <c r="A2559" s="148" t="s">
        <v>8319</v>
      </c>
      <c r="B2559" t="s">
        <v>8320</v>
      </c>
      <c r="C2559" s="148" t="s">
        <v>9369</v>
      </c>
      <c r="D2559" t="s">
        <v>9370</v>
      </c>
      <c r="E2559" s="148" t="s">
        <v>9371</v>
      </c>
      <c r="F2559" t="s">
        <v>9372</v>
      </c>
      <c r="G2559" s="148" t="s">
        <v>9373</v>
      </c>
      <c r="H2559" t="s">
        <v>9374</v>
      </c>
      <c r="I2559" t="s">
        <v>9375</v>
      </c>
      <c r="J2559" t="s">
        <v>9376</v>
      </c>
      <c r="K2559" s="148" t="s">
        <v>10187</v>
      </c>
      <c r="L2559" t="s">
        <v>10188</v>
      </c>
      <c r="M2559" s="1" t="s">
        <v>10189</v>
      </c>
      <c r="N2559" s="1">
        <v>0</v>
      </c>
      <c r="O2559" s="1">
        <v>50</v>
      </c>
      <c r="P2559" s="3">
        <v>500</v>
      </c>
      <c r="Q2559" s="3">
        <v>1000</v>
      </c>
      <c r="R2559" s="3">
        <v>1500</v>
      </c>
      <c r="S2559" s="3">
        <v>2000</v>
      </c>
      <c r="T2559" t="s">
        <v>1536</v>
      </c>
      <c r="U2559" t="e">
        <v>#N/A</v>
      </c>
      <c r="V2559" t="s">
        <v>10190</v>
      </c>
      <c r="W2559" s="45">
        <v>1</v>
      </c>
      <c r="X2559" s="45">
        <v>1</v>
      </c>
      <c r="Y2559" s="45">
        <v>0</v>
      </c>
      <c r="Z2559" s="45">
        <v>1</v>
      </c>
      <c r="AA2559" s="45">
        <v>1</v>
      </c>
      <c r="AB2559" s="45">
        <v>0</v>
      </c>
      <c r="AC2559" s="150">
        <v>0</v>
      </c>
      <c r="AD2559" s="150">
        <v>1</v>
      </c>
      <c r="AE2559" s="49">
        <f t="shared" si="105"/>
        <v>0.625</v>
      </c>
      <c r="AF2559" s="44"/>
      <c r="AG2559" s="17">
        <v>0</v>
      </c>
      <c r="AH2559" s="44">
        <v>0</v>
      </c>
      <c r="AI2559" s="44">
        <v>0</v>
      </c>
      <c r="AJ2559" s="44">
        <v>0</v>
      </c>
      <c r="AK2559" s="151">
        <v>0.3</v>
      </c>
      <c r="AL2559" s="151">
        <v>0.3</v>
      </c>
      <c r="AM2559" s="147">
        <f t="shared" si="104"/>
        <v>0.6</v>
      </c>
      <c r="AN2559" s="18" t="s">
        <v>771</v>
      </c>
      <c r="AO2559" s="18" t="s">
        <v>773</v>
      </c>
      <c r="AP2559" t="s">
        <v>831</v>
      </c>
    </row>
    <row r="2560" spans="1:42" customFormat="1" x14ac:dyDescent="0.3">
      <c r="A2560" s="148" t="s">
        <v>8319</v>
      </c>
      <c r="B2560" t="s">
        <v>8320</v>
      </c>
      <c r="C2560" s="148" t="s">
        <v>9369</v>
      </c>
      <c r="D2560" t="s">
        <v>9370</v>
      </c>
      <c r="E2560" s="148" t="s">
        <v>9371</v>
      </c>
      <c r="F2560" t="s">
        <v>9372</v>
      </c>
      <c r="G2560" s="148" t="s">
        <v>9373</v>
      </c>
      <c r="H2560" t="s">
        <v>9374</v>
      </c>
      <c r="I2560" t="s">
        <v>9375</v>
      </c>
      <c r="J2560" t="s">
        <v>9376</v>
      </c>
      <c r="K2560" s="148" t="s">
        <v>10191</v>
      </c>
      <c r="L2560" t="s">
        <v>10192</v>
      </c>
      <c r="M2560" s="1" t="s">
        <v>10193</v>
      </c>
      <c r="N2560" s="1"/>
      <c r="O2560" s="1"/>
      <c r="P2560" s="3">
        <v>1</v>
      </c>
      <c r="Q2560" s="3">
        <v>0</v>
      </c>
      <c r="R2560" s="3">
        <v>1</v>
      </c>
      <c r="S2560" s="3">
        <v>0</v>
      </c>
      <c r="T2560" t="s">
        <v>5698</v>
      </c>
      <c r="U2560" t="s">
        <v>2019</v>
      </c>
      <c r="V2560" t="s">
        <v>10194</v>
      </c>
      <c r="W2560" s="45">
        <v>1</v>
      </c>
      <c r="X2560" s="45">
        <v>1</v>
      </c>
      <c r="Y2560" s="45">
        <v>0</v>
      </c>
      <c r="Z2560" s="45">
        <v>1</v>
      </c>
      <c r="AA2560" s="45">
        <v>1</v>
      </c>
      <c r="AB2560" s="45">
        <v>0</v>
      </c>
      <c r="AC2560" s="150">
        <v>0</v>
      </c>
      <c r="AD2560" s="150">
        <v>1</v>
      </c>
      <c r="AE2560" s="49">
        <f t="shared" si="105"/>
        <v>0.625</v>
      </c>
      <c r="AF2560" s="17"/>
      <c r="AG2560" s="17">
        <v>0</v>
      </c>
      <c r="AH2560" s="17">
        <v>0</v>
      </c>
      <c r="AI2560" s="17">
        <v>0</v>
      </c>
      <c r="AJ2560" s="44">
        <v>0.5</v>
      </c>
      <c r="AK2560" s="153">
        <v>0.5</v>
      </c>
      <c r="AL2560" s="151">
        <v>0.5</v>
      </c>
      <c r="AM2560" s="147">
        <f t="shared" si="104"/>
        <v>1</v>
      </c>
      <c r="AN2560" s="18" t="s">
        <v>771</v>
      </c>
      <c r="AO2560" s="18" t="s">
        <v>773</v>
      </c>
      <c r="AP2560" t="s">
        <v>10186</v>
      </c>
    </row>
    <row r="2561" spans="1:42" customFormat="1" x14ac:dyDescent="0.3">
      <c r="A2561" s="148" t="s">
        <v>8319</v>
      </c>
      <c r="B2561" t="s">
        <v>8320</v>
      </c>
      <c r="C2561" s="148" t="s">
        <v>9369</v>
      </c>
      <c r="D2561" t="s">
        <v>9370</v>
      </c>
      <c r="E2561" s="148" t="s">
        <v>9371</v>
      </c>
      <c r="F2561" t="s">
        <v>9372</v>
      </c>
      <c r="G2561" s="148" t="s">
        <v>9373</v>
      </c>
      <c r="H2561" t="s">
        <v>9374</v>
      </c>
      <c r="I2561" t="s">
        <v>9375</v>
      </c>
      <c r="J2561" t="s">
        <v>9376</v>
      </c>
      <c r="K2561" s="148" t="s">
        <v>9578</v>
      </c>
      <c r="L2561" t="s">
        <v>9579</v>
      </c>
      <c r="M2561" s="1" t="s">
        <v>10195</v>
      </c>
      <c r="N2561" s="1">
        <v>209</v>
      </c>
      <c r="O2561" s="1">
        <v>0</v>
      </c>
      <c r="P2561" s="3">
        <v>40</v>
      </c>
      <c r="Q2561" s="3">
        <v>40</v>
      </c>
      <c r="R2561" s="3">
        <v>40</v>
      </c>
      <c r="S2561" s="3">
        <v>40</v>
      </c>
      <c r="T2561" t="s">
        <v>771</v>
      </c>
      <c r="U2561" t="s">
        <v>773</v>
      </c>
      <c r="V2561" t="s">
        <v>10196</v>
      </c>
      <c r="W2561" s="45">
        <v>1</v>
      </c>
      <c r="X2561" s="45">
        <v>1</v>
      </c>
      <c r="Y2561" s="45">
        <v>0</v>
      </c>
      <c r="Z2561" s="45">
        <v>1</v>
      </c>
      <c r="AA2561" s="45">
        <v>1</v>
      </c>
      <c r="AB2561" s="45">
        <v>0</v>
      </c>
      <c r="AC2561" s="150">
        <v>0</v>
      </c>
      <c r="AD2561" s="150">
        <v>1</v>
      </c>
      <c r="AE2561" s="49">
        <f t="shared" si="105"/>
        <v>0.625</v>
      </c>
      <c r="AF2561" s="17"/>
      <c r="AG2561" s="17">
        <v>0</v>
      </c>
      <c r="AH2561" s="17">
        <v>0</v>
      </c>
      <c r="AI2561" s="44">
        <v>0.02</v>
      </c>
      <c r="AJ2561" s="44">
        <v>0.02</v>
      </c>
      <c r="AK2561" s="151">
        <v>1</v>
      </c>
      <c r="AL2561" s="151">
        <v>1.1200000000000001</v>
      </c>
      <c r="AM2561" s="147">
        <f t="shared" si="104"/>
        <v>2.12</v>
      </c>
      <c r="AN2561" s="18" t="s">
        <v>771</v>
      </c>
      <c r="AO2561" s="18" t="s">
        <v>773</v>
      </c>
      <c r="AP2561" t="s">
        <v>119</v>
      </c>
    </row>
    <row r="2562" spans="1:42" customFormat="1" x14ac:dyDescent="0.3">
      <c r="A2562" s="148" t="s">
        <v>8319</v>
      </c>
      <c r="B2562" t="s">
        <v>8320</v>
      </c>
      <c r="C2562" s="148" t="s">
        <v>9369</v>
      </c>
      <c r="D2562" t="s">
        <v>9370</v>
      </c>
      <c r="E2562" s="148" t="s">
        <v>9371</v>
      </c>
      <c r="F2562" t="s">
        <v>9372</v>
      </c>
      <c r="G2562" s="148" t="s">
        <v>9373</v>
      </c>
      <c r="H2562" t="s">
        <v>9374</v>
      </c>
      <c r="I2562" t="s">
        <v>9375</v>
      </c>
      <c r="J2562" t="s">
        <v>9376</v>
      </c>
      <c r="K2562" s="148" t="s">
        <v>9578</v>
      </c>
      <c r="L2562" t="s">
        <v>9579</v>
      </c>
      <c r="M2562" s="1"/>
      <c r="N2562" s="1"/>
      <c r="O2562" s="1"/>
      <c r="P2562" s="3"/>
      <c r="Q2562" s="3"/>
      <c r="R2562" s="3"/>
      <c r="S2562" s="3"/>
      <c r="U2562" t="e">
        <v>#N/A</v>
      </c>
      <c r="V2562" t="s">
        <v>10197</v>
      </c>
      <c r="W2562" s="45">
        <v>1</v>
      </c>
      <c r="X2562" s="45">
        <v>0</v>
      </c>
      <c r="Y2562" s="45">
        <v>0</v>
      </c>
      <c r="Z2562" s="45">
        <v>1</v>
      </c>
      <c r="AA2562" s="45">
        <v>1</v>
      </c>
      <c r="AB2562" s="45">
        <v>0</v>
      </c>
      <c r="AC2562" s="150">
        <v>1</v>
      </c>
      <c r="AD2562" s="150">
        <v>1</v>
      </c>
      <c r="AE2562" s="49">
        <f t="shared" si="105"/>
        <v>0.625</v>
      </c>
      <c r="AF2562" s="44"/>
      <c r="AG2562" s="17">
        <v>0</v>
      </c>
      <c r="AH2562" s="44">
        <v>0</v>
      </c>
      <c r="AI2562" s="44">
        <v>0</v>
      </c>
      <c r="AJ2562" s="44">
        <v>0</v>
      </c>
      <c r="AK2562" s="151">
        <v>2</v>
      </c>
      <c r="AL2562" s="151">
        <v>2</v>
      </c>
      <c r="AM2562" s="147">
        <f t="shared" si="104"/>
        <v>4</v>
      </c>
      <c r="AN2562" s="18" t="s">
        <v>771</v>
      </c>
      <c r="AO2562" s="18" t="s">
        <v>773</v>
      </c>
      <c r="AP2562" t="s">
        <v>7958</v>
      </c>
    </row>
    <row r="2563" spans="1:42" customFormat="1" x14ac:dyDescent="0.3">
      <c r="A2563" s="148" t="s">
        <v>8319</v>
      </c>
      <c r="B2563" t="s">
        <v>8320</v>
      </c>
      <c r="C2563" s="148" t="s">
        <v>9369</v>
      </c>
      <c r="D2563" t="s">
        <v>9370</v>
      </c>
      <c r="E2563" s="148" t="s">
        <v>9371</v>
      </c>
      <c r="F2563" t="s">
        <v>9372</v>
      </c>
      <c r="G2563" s="148" t="s">
        <v>9373</v>
      </c>
      <c r="H2563" t="s">
        <v>9374</v>
      </c>
      <c r="I2563" t="s">
        <v>9375</v>
      </c>
      <c r="J2563" t="s">
        <v>9376</v>
      </c>
      <c r="K2563" s="148" t="s">
        <v>9578</v>
      </c>
      <c r="L2563" t="s">
        <v>9579</v>
      </c>
      <c r="M2563" s="1" t="s">
        <v>10198</v>
      </c>
      <c r="N2563" s="1">
        <v>0</v>
      </c>
      <c r="O2563" s="1">
        <v>1</v>
      </c>
      <c r="P2563" s="3">
        <v>1</v>
      </c>
      <c r="Q2563" s="3">
        <v>1</v>
      </c>
      <c r="R2563" s="3">
        <v>1</v>
      </c>
      <c r="S2563" s="3">
        <v>1</v>
      </c>
      <c r="T2563" t="s">
        <v>771</v>
      </c>
      <c r="U2563" t="s">
        <v>773</v>
      </c>
      <c r="V2563" s="283" t="s">
        <v>10199</v>
      </c>
      <c r="W2563" s="45">
        <v>1</v>
      </c>
      <c r="X2563" s="45">
        <v>1</v>
      </c>
      <c r="Y2563" s="45">
        <v>1</v>
      </c>
      <c r="Z2563" s="45">
        <v>1</v>
      </c>
      <c r="AA2563" s="45">
        <v>1</v>
      </c>
      <c r="AB2563" s="45">
        <v>1</v>
      </c>
      <c r="AC2563" s="150">
        <v>1</v>
      </c>
      <c r="AD2563" s="150">
        <v>1</v>
      </c>
      <c r="AE2563" s="49">
        <f t="shared" si="105"/>
        <v>1</v>
      </c>
      <c r="AF2563" s="44"/>
      <c r="AG2563" s="17">
        <v>0</v>
      </c>
      <c r="AH2563" s="44">
        <v>0.3</v>
      </c>
      <c r="AI2563" s="44">
        <v>0.3</v>
      </c>
      <c r="AJ2563" s="44">
        <v>0.2</v>
      </c>
      <c r="AK2563" s="377">
        <v>10.3</v>
      </c>
      <c r="AL2563" s="377">
        <v>10.3</v>
      </c>
      <c r="AM2563" s="147">
        <f t="shared" si="104"/>
        <v>20.6</v>
      </c>
      <c r="AN2563" s="18" t="s">
        <v>771</v>
      </c>
      <c r="AO2563" s="18" t="s">
        <v>773</v>
      </c>
      <c r="AP2563" t="s">
        <v>10200</v>
      </c>
    </row>
    <row r="2564" spans="1:42" customFormat="1" x14ac:dyDescent="0.3">
      <c r="A2564" s="148" t="s">
        <v>8319</v>
      </c>
      <c r="B2564" t="s">
        <v>8320</v>
      </c>
      <c r="C2564" s="148" t="s">
        <v>9369</v>
      </c>
      <c r="D2564" t="s">
        <v>9370</v>
      </c>
      <c r="E2564" s="148" t="s">
        <v>9371</v>
      </c>
      <c r="F2564" t="s">
        <v>9372</v>
      </c>
      <c r="G2564" s="148" t="s">
        <v>9373</v>
      </c>
      <c r="H2564" t="s">
        <v>9374</v>
      </c>
      <c r="I2564" t="s">
        <v>9375</v>
      </c>
      <c r="J2564" t="s">
        <v>9376</v>
      </c>
      <c r="K2564" s="148" t="s">
        <v>9578</v>
      </c>
      <c r="L2564" t="s">
        <v>9579</v>
      </c>
      <c r="M2564" s="1" t="s">
        <v>10201</v>
      </c>
      <c r="N2564" s="1">
        <v>4</v>
      </c>
      <c r="O2564" s="1">
        <v>6</v>
      </c>
      <c r="P2564" s="3">
        <v>6</v>
      </c>
      <c r="Q2564" s="3">
        <v>50</v>
      </c>
      <c r="R2564" s="3">
        <v>5</v>
      </c>
      <c r="S2564" s="3">
        <v>5</v>
      </c>
      <c r="T2564" t="s">
        <v>771</v>
      </c>
      <c r="U2564" t="s">
        <v>773</v>
      </c>
      <c r="V2564" t="s">
        <v>10202</v>
      </c>
      <c r="W2564" s="45">
        <v>1</v>
      </c>
      <c r="X2564" s="381">
        <v>1</v>
      </c>
      <c r="Y2564" s="45">
        <v>1</v>
      </c>
      <c r="Z2564" s="45">
        <v>1</v>
      </c>
      <c r="AA2564" s="45">
        <v>1</v>
      </c>
      <c r="AB2564" s="381">
        <v>1</v>
      </c>
      <c r="AC2564" s="150">
        <v>0</v>
      </c>
      <c r="AD2564" s="150">
        <v>1</v>
      </c>
      <c r="AE2564" s="49">
        <f t="shared" si="105"/>
        <v>0.875</v>
      </c>
      <c r="AF2564" s="44"/>
      <c r="AG2564" s="17">
        <v>0</v>
      </c>
      <c r="AH2564" s="44">
        <v>0</v>
      </c>
      <c r="AI2564" s="44">
        <v>1</v>
      </c>
      <c r="AJ2564" s="44">
        <v>1</v>
      </c>
      <c r="AK2564" s="377">
        <v>4.2</v>
      </c>
      <c r="AL2564" s="377">
        <v>4.2</v>
      </c>
      <c r="AM2564" s="147">
        <f t="shared" si="104"/>
        <v>8.4</v>
      </c>
      <c r="AN2564" s="18" t="s">
        <v>771</v>
      </c>
      <c r="AO2564" s="18" t="s">
        <v>773</v>
      </c>
    </row>
    <row r="2565" spans="1:42" customFormat="1" x14ac:dyDescent="0.3">
      <c r="A2565" s="148" t="s">
        <v>8319</v>
      </c>
      <c r="B2565" t="s">
        <v>8320</v>
      </c>
      <c r="C2565" s="148" t="s">
        <v>9369</v>
      </c>
      <c r="D2565" t="s">
        <v>9370</v>
      </c>
      <c r="E2565" s="148" t="s">
        <v>9371</v>
      </c>
      <c r="F2565" t="s">
        <v>9372</v>
      </c>
      <c r="G2565" s="148" t="s">
        <v>9373</v>
      </c>
      <c r="H2565" t="s">
        <v>9374</v>
      </c>
      <c r="I2565" t="s">
        <v>9375</v>
      </c>
      <c r="J2565" t="s">
        <v>9376</v>
      </c>
      <c r="K2565" s="148" t="s">
        <v>9578</v>
      </c>
      <c r="L2565" t="s">
        <v>9579</v>
      </c>
      <c r="M2565" s="1"/>
      <c r="N2565" s="1"/>
      <c r="O2565" s="1"/>
      <c r="P2565" s="3"/>
      <c r="Q2565" s="3"/>
      <c r="R2565" s="3"/>
      <c r="S2565" s="3"/>
      <c r="U2565" t="e">
        <v>#N/A</v>
      </c>
      <c r="V2565" t="s">
        <v>10203</v>
      </c>
      <c r="W2565" s="45">
        <v>1</v>
      </c>
      <c r="X2565" s="45">
        <v>1</v>
      </c>
      <c r="Y2565" s="45">
        <v>1</v>
      </c>
      <c r="Z2565" s="45">
        <v>0</v>
      </c>
      <c r="AA2565" s="381">
        <v>1</v>
      </c>
      <c r="AB2565" s="381">
        <v>1</v>
      </c>
      <c r="AC2565" s="150">
        <v>1</v>
      </c>
      <c r="AD2565" s="150">
        <v>1</v>
      </c>
      <c r="AE2565" s="49">
        <f t="shared" si="105"/>
        <v>0.875</v>
      </c>
      <c r="AF2565" s="17"/>
      <c r="AG2565" s="17">
        <v>0</v>
      </c>
      <c r="AH2565" s="17">
        <v>0</v>
      </c>
      <c r="AI2565" s="17">
        <v>0</v>
      </c>
      <c r="AJ2565" s="17">
        <v>0</v>
      </c>
      <c r="AK2565" s="382">
        <v>23.21</v>
      </c>
      <c r="AL2565" s="382">
        <v>16.93</v>
      </c>
      <c r="AM2565" s="147">
        <f t="shared" si="104"/>
        <v>40.14</v>
      </c>
      <c r="AN2565" s="18" t="s">
        <v>771</v>
      </c>
      <c r="AO2565" s="18" t="s">
        <v>773</v>
      </c>
      <c r="AP2565" t="s">
        <v>119</v>
      </c>
    </row>
    <row r="2566" spans="1:42" customFormat="1" x14ac:dyDescent="0.3">
      <c r="A2566" s="148" t="s">
        <v>8319</v>
      </c>
      <c r="B2566" t="s">
        <v>8320</v>
      </c>
      <c r="C2566" s="148" t="s">
        <v>9369</v>
      </c>
      <c r="D2566" t="s">
        <v>9370</v>
      </c>
      <c r="E2566" s="148" t="s">
        <v>9371</v>
      </c>
      <c r="F2566" t="s">
        <v>9372</v>
      </c>
      <c r="G2566" s="148" t="s">
        <v>9373</v>
      </c>
      <c r="H2566" t="s">
        <v>9374</v>
      </c>
      <c r="I2566" t="s">
        <v>9375</v>
      </c>
      <c r="J2566" t="s">
        <v>9376</v>
      </c>
      <c r="K2566" s="148" t="s">
        <v>9937</v>
      </c>
      <c r="L2566" t="s">
        <v>9938</v>
      </c>
      <c r="M2566" s="1" t="s">
        <v>10204</v>
      </c>
      <c r="N2566" s="1">
        <v>3</v>
      </c>
      <c r="O2566" s="1">
        <v>5</v>
      </c>
      <c r="P2566" s="3">
        <v>5</v>
      </c>
      <c r="Q2566" s="3">
        <v>5</v>
      </c>
      <c r="R2566" s="3">
        <v>5</v>
      </c>
      <c r="S2566" s="3">
        <v>5</v>
      </c>
      <c r="T2566" t="s">
        <v>1536</v>
      </c>
      <c r="U2566" t="e">
        <v>#N/A</v>
      </c>
      <c r="V2566" t="s">
        <v>10205</v>
      </c>
      <c r="W2566" s="45">
        <v>1</v>
      </c>
      <c r="X2566" s="45">
        <v>1</v>
      </c>
      <c r="Y2566" s="45">
        <v>0</v>
      </c>
      <c r="Z2566" s="45">
        <v>1</v>
      </c>
      <c r="AA2566" s="45">
        <v>1</v>
      </c>
      <c r="AB2566" s="45">
        <v>0</v>
      </c>
      <c r="AC2566" s="150">
        <v>0</v>
      </c>
      <c r="AD2566" s="150">
        <v>1</v>
      </c>
      <c r="AE2566" s="49">
        <f t="shared" si="105"/>
        <v>0.625</v>
      </c>
      <c r="AF2566" s="44"/>
      <c r="AG2566" s="17">
        <v>0</v>
      </c>
      <c r="AH2566" s="44">
        <v>0.05</v>
      </c>
      <c r="AI2566" s="44">
        <v>0.05</v>
      </c>
      <c r="AJ2566" s="44">
        <v>0.05</v>
      </c>
      <c r="AK2566" s="151">
        <v>0.05</v>
      </c>
      <c r="AL2566" s="151">
        <v>0.05</v>
      </c>
      <c r="AM2566" s="147">
        <f t="shared" si="104"/>
        <v>0.1</v>
      </c>
      <c r="AN2566" s="18" t="s">
        <v>771</v>
      </c>
      <c r="AO2566" s="18" t="s">
        <v>773</v>
      </c>
      <c r="AP2566" t="s">
        <v>119</v>
      </c>
    </row>
    <row r="2567" spans="1:42" customFormat="1" x14ac:dyDescent="0.3">
      <c r="A2567" s="148" t="s">
        <v>8319</v>
      </c>
      <c r="B2567" t="s">
        <v>8320</v>
      </c>
      <c r="C2567" s="148" t="s">
        <v>9369</v>
      </c>
      <c r="D2567" t="s">
        <v>9370</v>
      </c>
      <c r="E2567" s="148" t="s">
        <v>9371</v>
      </c>
      <c r="F2567" t="s">
        <v>9372</v>
      </c>
      <c r="G2567" s="148" t="s">
        <v>9373</v>
      </c>
      <c r="H2567" t="s">
        <v>9374</v>
      </c>
      <c r="I2567" t="s">
        <v>9375</v>
      </c>
      <c r="J2567" t="s">
        <v>9376</v>
      </c>
      <c r="K2567" s="148" t="s">
        <v>9937</v>
      </c>
      <c r="L2567" t="s">
        <v>9938</v>
      </c>
      <c r="M2567" s="1" t="s">
        <v>10206</v>
      </c>
      <c r="N2567" s="1">
        <v>43</v>
      </c>
      <c r="O2567" s="1">
        <v>12</v>
      </c>
      <c r="P2567" s="3">
        <v>12</v>
      </c>
      <c r="Q2567" s="3">
        <v>12</v>
      </c>
      <c r="R2567" s="3">
        <v>12</v>
      </c>
      <c r="S2567" s="3">
        <v>12</v>
      </c>
      <c r="T2567" t="s">
        <v>1536</v>
      </c>
      <c r="U2567" t="e">
        <v>#N/A</v>
      </c>
      <c r="V2567" t="s">
        <v>10207</v>
      </c>
      <c r="W2567" s="45">
        <v>1</v>
      </c>
      <c r="X2567" s="45">
        <v>1</v>
      </c>
      <c r="Y2567" s="45">
        <v>0</v>
      </c>
      <c r="Z2567" s="45">
        <v>1</v>
      </c>
      <c r="AA2567" s="45">
        <v>1</v>
      </c>
      <c r="AB2567" s="45">
        <v>0</v>
      </c>
      <c r="AC2567" s="150">
        <v>0</v>
      </c>
      <c r="AD2567" s="150">
        <v>1</v>
      </c>
      <c r="AE2567" s="49">
        <f t="shared" si="105"/>
        <v>0.625</v>
      </c>
      <c r="AF2567" s="44"/>
      <c r="AG2567" s="17">
        <v>0</v>
      </c>
      <c r="AH2567" s="44">
        <v>0</v>
      </c>
      <c r="AI2567" s="44">
        <v>0</v>
      </c>
      <c r="AJ2567" s="44">
        <v>0</v>
      </c>
      <c r="AK2567" s="151">
        <v>0</v>
      </c>
      <c r="AL2567" s="151">
        <v>0</v>
      </c>
      <c r="AM2567" s="147">
        <f t="shared" si="104"/>
        <v>0</v>
      </c>
      <c r="AN2567" s="18" t="s">
        <v>771</v>
      </c>
      <c r="AO2567" s="18" t="s">
        <v>773</v>
      </c>
      <c r="AP2567" t="s">
        <v>119</v>
      </c>
    </row>
    <row r="2568" spans="1:42" customFormat="1" x14ac:dyDescent="0.3">
      <c r="A2568" s="148" t="s">
        <v>8319</v>
      </c>
      <c r="B2568" t="s">
        <v>8320</v>
      </c>
      <c r="C2568" s="148" t="s">
        <v>9369</v>
      </c>
      <c r="D2568" t="s">
        <v>9370</v>
      </c>
      <c r="E2568" s="148" t="s">
        <v>9371</v>
      </c>
      <c r="F2568" t="s">
        <v>9372</v>
      </c>
      <c r="G2568" s="148" t="s">
        <v>9373</v>
      </c>
      <c r="H2568" t="s">
        <v>9374</v>
      </c>
      <c r="I2568" t="s">
        <v>9375</v>
      </c>
      <c r="J2568" t="s">
        <v>9376</v>
      </c>
      <c r="K2568" s="148" t="s">
        <v>9937</v>
      </c>
      <c r="L2568" t="s">
        <v>9938</v>
      </c>
      <c r="M2568" s="1" t="s">
        <v>10208</v>
      </c>
      <c r="N2568" s="1">
        <v>164</v>
      </c>
      <c r="O2568" s="1">
        <v>240</v>
      </c>
      <c r="P2568" s="3">
        <v>240</v>
      </c>
      <c r="Q2568" s="3">
        <v>240</v>
      </c>
      <c r="R2568" s="3">
        <v>240</v>
      </c>
      <c r="S2568" s="3">
        <v>240</v>
      </c>
      <c r="T2568" t="s">
        <v>1536</v>
      </c>
      <c r="U2568" t="e">
        <v>#N/A</v>
      </c>
      <c r="V2568" t="s">
        <v>10209</v>
      </c>
      <c r="W2568" s="45">
        <v>1</v>
      </c>
      <c r="X2568" s="45">
        <v>1</v>
      </c>
      <c r="Y2568" s="45">
        <v>0</v>
      </c>
      <c r="Z2568" s="45">
        <v>1</v>
      </c>
      <c r="AA2568" s="45">
        <v>1</v>
      </c>
      <c r="AB2568" s="45">
        <v>0</v>
      </c>
      <c r="AC2568" s="150">
        <v>0</v>
      </c>
      <c r="AD2568" s="150">
        <v>1</v>
      </c>
      <c r="AE2568" s="49">
        <f t="shared" si="105"/>
        <v>0.625</v>
      </c>
      <c r="AF2568" s="44"/>
      <c r="AG2568" s="17">
        <v>0</v>
      </c>
      <c r="AH2568" s="44" t="s">
        <v>3763</v>
      </c>
      <c r="AI2568" s="44" t="s">
        <v>3763</v>
      </c>
      <c r="AJ2568" s="44" t="s">
        <v>3763</v>
      </c>
      <c r="AK2568" s="151" t="s">
        <v>3763</v>
      </c>
      <c r="AL2568" s="151" t="s">
        <v>3763</v>
      </c>
      <c r="AM2568" s="147">
        <f t="shared" si="104"/>
        <v>0</v>
      </c>
      <c r="AN2568" s="18" t="s">
        <v>255</v>
      </c>
      <c r="AO2568" s="18" t="s">
        <v>1045</v>
      </c>
      <c r="AP2568" t="s">
        <v>1536</v>
      </c>
    </row>
    <row r="2569" spans="1:42" customFormat="1" ht="15" customHeight="1" x14ac:dyDescent="0.3">
      <c r="A2569" s="148" t="s">
        <v>8319</v>
      </c>
      <c r="B2569" t="s">
        <v>8320</v>
      </c>
      <c r="C2569" s="148" t="s">
        <v>9369</v>
      </c>
      <c r="D2569" t="s">
        <v>9370</v>
      </c>
      <c r="E2569" s="148" t="s">
        <v>9371</v>
      </c>
      <c r="F2569" t="s">
        <v>9372</v>
      </c>
      <c r="G2569" s="148" t="s">
        <v>9373</v>
      </c>
      <c r="H2569" t="s">
        <v>9374</v>
      </c>
      <c r="I2569" t="s">
        <v>9375</v>
      </c>
      <c r="J2569" t="s">
        <v>9376</v>
      </c>
      <c r="K2569" s="148" t="s">
        <v>9937</v>
      </c>
      <c r="L2569" t="s">
        <v>9938</v>
      </c>
      <c r="M2569" s="1" t="s">
        <v>10210</v>
      </c>
      <c r="N2569" s="1"/>
      <c r="O2569" s="1"/>
      <c r="P2569" s="3"/>
      <c r="Q2569" s="3"/>
      <c r="R2569" s="3"/>
      <c r="S2569" s="3"/>
      <c r="T2569" t="s">
        <v>1536</v>
      </c>
      <c r="U2569" t="e">
        <v>#N/A</v>
      </c>
      <c r="V2569" t="s">
        <v>10211</v>
      </c>
      <c r="W2569" s="45">
        <v>1</v>
      </c>
      <c r="X2569" s="45">
        <v>1</v>
      </c>
      <c r="Y2569" s="45">
        <v>0</v>
      </c>
      <c r="Z2569" s="45">
        <v>1</v>
      </c>
      <c r="AA2569" s="45">
        <v>1</v>
      </c>
      <c r="AB2569" s="45">
        <v>0</v>
      </c>
      <c r="AC2569" s="150">
        <v>0</v>
      </c>
      <c r="AD2569" s="150">
        <v>1</v>
      </c>
      <c r="AE2569" s="49">
        <f t="shared" si="105"/>
        <v>0.625</v>
      </c>
      <c r="AF2569" s="44"/>
      <c r="AG2569" s="17">
        <v>0</v>
      </c>
      <c r="AH2569" s="44">
        <v>0</v>
      </c>
      <c r="AI2569" s="44">
        <v>0.3</v>
      </c>
      <c r="AJ2569" s="44">
        <v>0</v>
      </c>
      <c r="AK2569" s="151">
        <v>0</v>
      </c>
      <c r="AL2569" s="151">
        <v>0</v>
      </c>
      <c r="AM2569" s="147">
        <f t="shared" si="104"/>
        <v>0</v>
      </c>
      <c r="AN2569" t="s">
        <v>2172</v>
      </c>
      <c r="AO2569" s="18" t="s">
        <v>2236</v>
      </c>
      <c r="AP2569" t="s">
        <v>119</v>
      </c>
    </row>
    <row r="2570" spans="1:42" customFormat="1" x14ac:dyDescent="0.3">
      <c r="A2570" s="148" t="s">
        <v>8319</v>
      </c>
      <c r="B2570" t="s">
        <v>8320</v>
      </c>
      <c r="C2570" s="148" t="s">
        <v>9369</v>
      </c>
      <c r="D2570" t="s">
        <v>9370</v>
      </c>
      <c r="E2570" s="148" t="s">
        <v>9371</v>
      </c>
      <c r="F2570" t="s">
        <v>9372</v>
      </c>
      <c r="G2570" s="148" t="s">
        <v>9373</v>
      </c>
      <c r="H2570" t="s">
        <v>9374</v>
      </c>
      <c r="I2570" t="s">
        <v>9375</v>
      </c>
      <c r="J2570" t="s">
        <v>9376</v>
      </c>
      <c r="K2570" s="148" t="s">
        <v>9377</v>
      </c>
      <c r="L2570" t="s">
        <v>9378</v>
      </c>
      <c r="M2570" s="1" t="s">
        <v>10212</v>
      </c>
      <c r="N2570" s="1" t="s">
        <v>9365</v>
      </c>
      <c r="O2570" s="1">
        <v>10</v>
      </c>
      <c r="P2570" s="3">
        <v>10</v>
      </c>
      <c r="Q2570" s="3">
        <v>10</v>
      </c>
      <c r="R2570" s="3">
        <v>15</v>
      </c>
      <c r="S2570" s="3">
        <v>15</v>
      </c>
      <c r="T2570" t="s">
        <v>1536</v>
      </c>
      <c r="U2570" t="e">
        <v>#N/A</v>
      </c>
      <c r="V2570" t="s">
        <v>10213</v>
      </c>
      <c r="W2570" s="45">
        <v>1</v>
      </c>
      <c r="X2570" s="45">
        <v>1</v>
      </c>
      <c r="Y2570" s="45">
        <v>0</v>
      </c>
      <c r="Z2570" s="45">
        <v>1</v>
      </c>
      <c r="AA2570" s="45">
        <v>1</v>
      </c>
      <c r="AB2570" s="45">
        <v>0</v>
      </c>
      <c r="AC2570" s="150">
        <v>0</v>
      </c>
      <c r="AD2570" s="150">
        <v>1</v>
      </c>
      <c r="AE2570" s="49">
        <f t="shared" si="105"/>
        <v>0.625</v>
      </c>
      <c r="AF2570" s="44"/>
      <c r="AG2570" s="17">
        <v>0</v>
      </c>
      <c r="AH2570" s="44" t="s">
        <v>10214</v>
      </c>
      <c r="AI2570" s="44" t="s">
        <v>10214</v>
      </c>
      <c r="AJ2570" s="44" t="s">
        <v>10214</v>
      </c>
      <c r="AK2570" s="151" t="s">
        <v>10215</v>
      </c>
      <c r="AL2570" s="151" t="s">
        <v>10215</v>
      </c>
      <c r="AM2570" s="147">
        <f t="shared" si="104"/>
        <v>0</v>
      </c>
      <c r="AN2570" s="18" t="s">
        <v>771</v>
      </c>
      <c r="AO2570" s="18" t="s">
        <v>773</v>
      </c>
      <c r="AP2570" t="s">
        <v>3875</v>
      </c>
    </row>
    <row r="2571" spans="1:42" customFormat="1" x14ac:dyDescent="0.3">
      <c r="A2571" s="148" t="s">
        <v>8319</v>
      </c>
      <c r="B2571" t="s">
        <v>8320</v>
      </c>
      <c r="C2571" s="148" t="s">
        <v>9369</v>
      </c>
      <c r="D2571" t="s">
        <v>9370</v>
      </c>
      <c r="E2571" s="148" t="s">
        <v>9371</v>
      </c>
      <c r="F2571" t="s">
        <v>9372</v>
      </c>
      <c r="G2571" s="148" t="s">
        <v>9593</v>
      </c>
      <c r="H2571" t="s">
        <v>9594</v>
      </c>
      <c r="K2571" s="148" t="s">
        <v>9595</v>
      </c>
      <c r="L2571" t="s">
        <v>9596</v>
      </c>
      <c r="M2571" s="1" t="s">
        <v>10216</v>
      </c>
      <c r="N2571" s="1">
        <v>100</v>
      </c>
      <c r="O2571" s="1">
        <v>120</v>
      </c>
      <c r="P2571" s="3">
        <v>140</v>
      </c>
      <c r="Q2571" s="3">
        <v>160</v>
      </c>
      <c r="R2571" s="3">
        <v>180</v>
      </c>
      <c r="S2571" s="3">
        <v>200</v>
      </c>
      <c r="T2571" t="s">
        <v>723</v>
      </c>
      <c r="U2571" t="s">
        <v>729</v>
      </c>
      <c r="V2571" t="s">
        <v>10217</v>
      </c>
      <c r="W2571" s="45">
        <v>1</v>
      </c>
      <c r="X2571" s="45">
        <v>0</v>
      </c>
      <c r="Y2571" s="45">
        <v>0</v>
      </c>
      <c r="Z2571" s="45">
        <v>1</v>
      </c>
      <c r="AA2571" s="45">
        <v>1</v>
      </c>
      <c r="AB2571" s="45">
        <v>1</v>
      </c>
      <c r="AC2571" s="150">
        <v>0</v>
      </c>
      <c r="AD2571" s="150">
        <v>1</v>
      </c>
      <c r="AE2571" s="49">
        <f t="shared" si="105"/>
        <v>0.625</v>
      </c>
      <c r="AF2571" s="44"/>
      <c r="AG2571" s="17">
        <v>0</v>
      </c>
      <c r="AH2571" s="44">
        <v>12.47</v>
      </c>
      <c r="AI2571" s="44">
        <v>44.3</v>
      </c>
      <c r="AJ2571" s="44">
        <v>62.57</v>
      </c>
      <c r="AK2571" s="151">
        <v>49.4</v>
      </c>
      <c r="AL2571" s="151">
        <v>80.3</v>
      </c>
      <c r="AM2571" s="147">
        <f t="shared" si="104"/>
        <v>129.69999999999999</v>
      </c>
      <c r="AN2571" t="s">
        <v>723</v>
      </c>
      <c r="AO2571" s="18" t="s">
        <v>729</v>
      </c>
      <c r="AP2571" t="s">
        <v>921</v>
      </c>
    </row>
    <row r="2572" spans="1:42" customFormat="1" x14ac:dyDescent="0.3">
      <c r="A2572" s="148" t="s">
        <v>8319</v>
      </c>
      <c r="B2572" t="s">
        <v>8320</v>
      </c>
      <c r="C2572" s="148" t="s">
        <v>9369</v>
      </c>
      <c r="D2572" t="s">
        <v>9370</v>
      </c>
      <c r="E2572" s="148" t="s">
        <v>9371</v>
      </c>
      <c r="F2572" t="s">
        <v>9372</v>
      </c>
      <c r="G2572" s="148" t="s">
        <v>9593</v>
      </c>
      <c r="H2572" t="s">
        <v>9594</v>
      </c>
      <c r="K2572" s="148" t="s">
        <v>9595</v>
      </c>
      <c r="L2572" t="s">
        <v>9596</v>
      </c>
      <c r="M2572" s="1"/>
      <c r="N2572" s="1"/>
      <c r="O2572" s="1"/>
      <c r="P2572" s="3"/>
      <c r="Q2572" s="3"/>
      <c r="R2572" s="3"/>
      <c r="S2572" s="3"/>
      <c r="U2572" t="e">
        <v>#N/A</v>
      </c>
      <c r="V2572" t="s">
        <v>10218</v>
      </c>
      <c r="W2572" s="45">
        <v>1</v>
      </c>
      <c r="X2572" s="45">
        <v>0</v>
      </c>
      <c r="Y2572" s="45">
        <v>0</v>
      </c>
      <c r="Z2572" s="45">
        <v>1</v>
      </c>
      <c r="AA2572" s="45">
        <v>1</v>
      </c>
      <c r="AB2572" s="45">
        <v>0</v>
      </c>
      <c r="AC2572" s="150">
        <v>1</v>
      </c>
      <c r="AD2572" s="150">
        <v>1</v>
      </c>
      <c r="AE2572" s="49">
        <f t="shared" si="105"/>
        <v>0.625</v>
      </c>
      <c r="AF2572" s="44"/>
      <c r="AG2572" s="17">
        <v>0</v>
      </c>
      <c r="AH2572" s="44">
        <v>0.5</v>
      </c>
      <c r="AI2572" s="44">
        <v>0.7</v>
      </c>
      <c r="AJ2572" s="44">
        <v>0.7</v>
      </c>
      <c r="AK2572" s="151">
        <v>1</v>
      </c>
      <c r="AL2572" s="151">
        <v>1.5</v>
      </c>
      <c r="AM2572" s="147">
        <f t="shared" si="104"/>
        <v>2.5</v>
      </c>
      <c r="AN2572" t="s">
        <v>723</v>
      </c>
      <c r="AO2572" s="18" t="s">
        <v>729</v>
      </c>
      <c r="AP2572" t="s">
        <v>1536</v>
      </c>
    </row>
    <row r="2573" spans="1:42" customFormat="1" ht="15" customHeight="1" x14ac:dyDescent="0.3">
      <c r="A2573" s="148" t="s">
        <v>8319</v>
      </c>
      <c r="B2573" t="s">
        <v>8320</v>
      </c>
      <c r="C2573" s="148" t="s">
        <v>9369</v>
      </c>
      <c r="D2573" t="s">
        <v>9370</v>
      </c>
      <c r="E2573" s="148" t="s">
        <v>9371</v>
      </c>
      <c r="F2573" t="s">
        <v>9372</v>
      </c>
      <c r="G2573" s="148" t="s">
        <v>9593</v>
      </c>
      <c r="H2573" t="s">
        <v>9594</v>
      </c>
      <c r="K2573" s="148" t="s">
        <v>9595</v>
      </c>
      <c r="L2573" t="s">
        <v>9596</v>
      </c>
      <c r="M2573" s="1"/>
      <c r="N2573" s="1"/>
      <c r="O2573" s="1"/>
      <c r="P2573" s="3"/>
      <c r="Q2573" s="3">
        <v>1</v>
      </c>
      <c r="R2573" s="3">
        <v>2</v>
      </c>
      <c r="S2573" s="3">
        <v>3</v>
      </c>
      <c r="T2573" t="s">
        <v>2432</v>
      </c>
      <c r="U2573" t="s">
        <v>729</v>
      </c>
      <c r="V2573" t="s">
        <v>10219</v>
      </c>
      <c r="W2573" s="45">
        <v>1</v>
      </c>
      <c r="X2573" s="45">
        <v>1</v>
      </c>
      <c r="Y2573" s="45">
        <v>0</v>
      </c>
      <c r="Z2573" s="45">
        <v>0</v>
      </c>
      <c r="AA2573" s="45">
        <v>1</v>
      </c>
      <c r="AB2573" s="45">
        <v>0</v>
      </c>
      <c r="AC2573" s="150">
        <v>1</v>
      </c>
      <c r="AD2573" s="150">
        <v>1</v>
      </c>
      <c r="AE2573" s="49">
        <f t="shared" si="105"/>
        <v>0.625</v>
      </c>
      <c r="AF2573" s="17"/>
      <c r="AG2573" s="17">
        <v>0</v>
      </c>
      <c r="AH2573" s="17">
        <v>0</v>
      </c>
      <c r="AI2573" s="44">
        <v>20</v>
      </c>
      <c r="AJ2573" s="44">
        <v>20</v>
      </c>
      <c r="AK2573" s="151">
        <v>20</v>
      </c>
      <c r="AL2573" s="151">
        <v>20</v>
      </c>
      <c r="AM2573" s="147">
        <f t="shared" si="104"/>
        <v>40</v>
      </c>
      <c r="AN2573" t="s">
        <v>723</v>
      </c>
      <c r="AO2573" s="18" t="s">
        <v>729</v>
      </c>
      <c r="AP2573" t="s">
        <v>119</v>
      </c>
    </row>
    <row r="2574" spans="1:42" customFormat="1" x14ac:dyDescent="0.3">
      <c r="A2574" s="148" t="s">
        <v>8319</v>
      </c>
      <c r="B2574" t="s">
        <v>8320</v>
      </c>
      <c r="C2574" s="148" t="s">
        <v>9369</v>
      </c>
      <c r="D2574" t="s">
        <v>9370</v>
      </c>
      <c r="E2574" s="148" t="s">
        <v>9371</v>
      </c>
      <c r="F2574" t="s">
        <v>9372</v>
      </c>
      <c r="G2574" s="148" t="s">
        <v>9593</v>
      </c>
      <c r="H2574" t="s">
        <v>9594</v>
      </c>
      <c r="K2574" s="155" t="s">
        <v>10220</v>
      </c>
      <c r="L2574" t="s">
        <v>10221</v>
      </c>
      <c r="M2574" s="1" t="s">
        <v>10222</v>
      </c>
      <c r="N2574" s="1"/>
      <c r="O2574" s="1">
        <v>20</v>
      </c>
      <c r="P2574" s="3">
        <v>45</v>
      </c>
      <c r="Q2574" s="3">
        <v>50</v>
      </c>
      <c r="R2574" s="3">
        <v>65</v>
      </c>
      <c r="S2574" s="3">
        <v>80</v>
      </c>
      <c r="T2574" t="s">
        <v>10223</v>
      </c>
      <c r="U2574" t="e">
        <v>#N/A</v>
      </c>
      <c r="V2574" t="s">
        <v>10224</v>
      </c>
      <c r="W2574" s="45">
        <v>1</v>
      </c>
      <c r="X2574" s="45">
        <v>0</v>
      </c>
      <c r="Y2574" s="45">
        <v>0</v>
      </c>
      <c r="Z2574" s="45">
        <v>1</v>
      </c>
      <c r="AA2574" s="45">
        <v>1</v>
      </c>
      <c r="AB2574" s="45">
        <v>1</v>
      </c>
      <c r="AC2574" s="150">
        <v>0</v>
      </c>
      <c r="AD2574" s="150">
        <v>1</v>
      </c>
      <c r="AE2574" s="49">
        <f t="shared" si="105"/>
        <v>0.625</v>
      </c>
      <c r="AF2574" s="17"/>
      <c r="AG2574" s="17">
        <v>0</v>
      </c>
      <c r="AH2574" s="17">
        <v>0</v>
      </c>
      <c r="AI2574" s="44">
        <v>0</v>
      </c>
      <c r="AJ2574" s="44">
        <v>0</v>
      </c>
      <c r="AK2574" s="151">
        <v>0</v>
      </c>
      <c r="AL2574" s="151">
        <v>0</v>
      </c>
      <c r="AM2574" s="147">
        <f t="shared" si="104"/>
        <v>0</v>
      </c>
      <c r="AN2574" s="44" t="s">
        <v>723</v>
      </c>
      <c r="AO2574" s="18" t="s">
        <v>729</v>
      </c>
      <c r="AP2574" t="s">
        <v>921</v>
      </c>
    </row>
    <row r="2575" spans="1:42" customFormat="1" x14ac:dyDescent="0.3">
      <c r="A2575" s="148" t="s">
        <v>8319</v>
      </c>
      <c r="B2575" t="s">
        <v>8320</v>
      </c>
      <c r="C2575" s="148" t="s">
        <v>9369</v>
      </c>
      <c r="D2575" t="s">
        <v>9370</v>
      </c>
      <c r="E2575" s="148" t="s">
        <v>9371</v>
      </c>
      <c r="F2575" t="s">
        <v>9372</v>
      </c>
      <c r="G2575" s="148" t="s">
        <v>9593</v>
      </c>
      <c r="H2575" t="s">
        <v>9594</v>
      </c>
      <c r="K2575" s="155" t="s">
        <v>10225</v>
      </c>
      <c r="L2575" t="s">
        <v>10226</v>
      </c>
      <c r="M2575" s="1" t="s">
        <v>10227</v>
      </c>
      <c r="N2575" s="1" t="s">
        <v>119</v>
      </c>
      <c r="O2575" s="1">
        <v>5</v>
      </c>
      <c r="P2575" s="3">
        <v>10</v>
      </c>
      <c r="Q2575" s="3">
        <v>10</v>
      </c>
      <c r="R2575" s="3">
        <v>10</v>
      </c>
      <c r="S2575" s="3">
        <v>10</v>
      </c>
      <c r="T2575" t="s">
        <v>10228</v>
      </c>
      <c r="U2575" t="e">
        <v>#N/A</v>
      </c>
      <c r="V2575" t="s">
        <v>10229</v>
      </c>
      <c r="W2575" s="45">
        <v>1</v>
      </c>
      <c r="X2575" s="45">
        <v>1</v>
      </c>
      <c r="Y2575" s="45">
        <v>1</v>
      </c>
      <c r="Z2575" s="45">
        <v>0</v>
      </c>
      <c r="AA2575" s="45">
        <v>1</v>
      </c>
      <c r="AB2575" s="45">
        <v>0</v>
      </c>
      <c r="AC2575" s="150">
        <v>0</v>
      </c>
      <c r="AD2575" s="150">
        <v>1</v>
      </c>
      <c r="AE2575" s="49">
        <f t="shared" si="105"/>
        <v>0.625</v>
      </c>
      <c r="AF2575" s="44"/>
      <c r="AG2575" s="17">
        <v>0</v>
      </c>
      <c r="AH2575" s="44">
        <v>0</v>
      </c>
      <c r="AI2575" s="44">
        <v>0.1</v>
      </c>
      <c r="AJ2575" s="44">
        <v>0.1</v>
      </c>
      <c r="AK2575" s="151">
        <v>2</v>
      </c>
      <c r="AL2575" s="151">
        <v>2</v>
      </c>
      <c r="AM2575" s="147">
        <f t="shared" si="104"/>
        <v>4</v>
      </c>
      <c r="AN2575" s="44" t="s">
        <v>723</v>
      </c>
      <c r="AO2575" s="18" t="s">
        <v>729</v>
      </c>
      <c r="AP2575" t="s">
        <v>10230</v>
      </c>
    </row>
    <row r="2576" spans="1:42" customFormat="1" x14ac:dyDescent="0.3">
      <c r="A2576" s="148" t="s">
        <v>8319</v>
      </c>
      <c r="B2576" t="s">
        <v>8320</v>
      </c>
      <c r="C2576" s="148" t="s">
        <v>9344</v>
      </c>
      <c r="D2576" t="s">
        <v>9345</v>
      </c>
      <c r="E2576" s="148" t="s">
        <v>9398</v>
      </c>
      <c r="F2576" t="s">
        <v>9399</v>
      </c>
      <c r="G2576" s="148" t="s">
        <v>10231</v>
      </c>
      <c r="H2576" t="s">
        <v>10232</v>
      </c>
      <c r="K2576" s="148" t="s">
        <v>10233</v>
      </c>
      <c r="L2576" t="s">
        <v>10234</v>
      </c>
      <c r="M2576" s="1" t="s">
        <v>10235</v>
      </c>
      <c r="N2576" s="1" t="s">
        <v>271</v>
      </c>
      <c r="O2576" s="1" t="s">
        <v>271</v>
      </c>
      <c r="P2576" s="3">
        <v>135</v>
      </c>
      <c r="Q2576" s="3">
        <v>270</v>
      </c>
      <c r="R2576" s="3">
        <v>540</v>
      </c>
      <c r="S2576" s="3">
        <v>1080</v>
      </c>
      <c r="T2576" t="s">
        <v>10236</v>
      </c>
      <c r="U2576" t="e">
        <v>#N/A</v>
      </c>
      <c r="V2576" t="s">
        <v>10237</v>
      </c>
      <c r="W2576" s="45">
        <v>1</v>
      </c>
      <c r="X2576" s="45">
        <v>0</v>
      </c>
      <c r="Y2576" s="45">
        <v>0</v>
      </c>
      <c r="Z2576" s="45">
        <v>1</v>
      </c>
      <c r="AA2576" s="45">
        <v>1</v>
      </c>
      <c r="AB2576" s="45">
        <v>0</v>
      </c>
      <c r="AC2576" s="150">
        <v>1</v>
      </c>
      <c r="AD2576" s="150">
        <v>1</v>
      </c>
      <c r="AE2576" s="49">
        <f t="shared" si="105"/>
        <v>0.625</v>
      </c>
      <c r="AF2576" s="17"/>
      <c r="AG2576" s="17">
        <v>0</v>
      </c>
      <c r="AH2576" s="17">
        <v>0</v>
      </c>
      <c r="AI2576" s="44">
        <v>0.13500000000000001</v>
      </c>
      <c r="AJ2576" s="44">
        <v>0.27</v>
      </c>
      <c r="AK2576" s="151">
        <v>0.2</v>
      </c>
      <c r="AL2576" s="151">
        <v>0.2</v>
      </c>
      <c r="AM2576" s="147">
        <f t="shared" si="104"/>
        <v>0.4</v>
      </c>
      <c r="AN2576" t="s">
        <v>723</v>
      </c>
      <c r="AO2576" s="18" t="s">
        <v>729</v>
      </c>
      <c r="AP2576" t="s">
        <v>119</v>
      </c>
    </row>
    <row r="2577" spans="1:42" customFormat="1" x14ac:dyDescent="0.3">
      <c r="A2577" s="148" t="s">
        <v>8319</v>
      </c>
      <c r="B2577" t="s">
        <v>8320</v>
      </c>
      <c r="C2577" s="148" t="s">
        <v>9344</v>
      </c>
      <c r="D2577" t="s">
        <v>9345</v>
      </c>
      <c r="E2577" s="148" t="s">
        <v>9398</v>
      </c>
      <c r="F2577" t="s">
        <v>9399</v>
      </c>
      <c r="G2577" s="148" t="s">
        <v>10231</v>
      </c>
      <c r="H2577" t="s">
        <v>10232</v>
      </c>
      <c r="K2577" s="148" t="s">
        <v>10233</v>
      </c>
      <c r="L2577" t="s">
        <v>10234</v>
      </c>
      <c r="M2577" s="1"/>
      <c r="N2577" s="1"/>
      <c r="O2577" s="1"/>
      <c r="P2577" s="3"/>
      <c r="Q2577" s="3"/>
      <c r="R2577" s="3"/>
      <c r="S2577" s="3"/>
      <c r="U2577" t="e">
        <v>#N/A</v>
      </c>
      <c r="V2577" t="s">
        <v>10238</v>
      </c>
      <c r="W2577" s="45">
        <v>1</v>
      </c>
      <c r="X2577" s="45">
        <v>0</v>
      </c>
      <c r="Y2577" s="45">
        <v>0</v>
      </c>
      <c r="Z2577" s="45">
        <v>1</v>
      </c>
      <c r="AA2577" s="45">
        <v>1</v>
      </c>
      <c r="AB2577" s="45">
        <v>0</v>
      </c>
      <c r="AC2577" s="150">
        <v>1</v>
      </c>
      <c r="AD2577" s="150">
        <v>1</v>
      </c>
      <c r="AE2577" s="49">
        <f t="shared" si="105"/>
        <v>0.625</v>
      </c>
      <c r="AF2577" s="17"/>
      <c r="AG2577" s="17">
        <v>0</v>
      </c>
      <c r="AH2577" s="17">
        <v>0</v>
      </c>
      <c r="AI2577" s="44">
        <v>0.5</v>
      </c>
      <c r="AJ2577" s="44">
        <v>0.5</v>
      </c>
      <c r="AK2577" s="151">
        <v>0.2</v>
      </c>
      <c r="AL2577" s="151">
        <v>0.2</v>
      </c>
      <c r="AM2577" s="147">
        <f t="shared" si="104"/>
        <v>0.4</v>
      </c>
      <c r="AN2577" t="s">
        <v>723</v>
      </c>
      <c r="AO2577" s="18" t="s">
        <v>729</v>
      </c>
      <c r="AP2577" t="s">
        <v>119</v>
      </c>
    </row>
    <row r="2578" spans="1:42" customFormat="1" x14ac:dyDescent="0.3">
      <c r="A2578" s="148" t="s">
        <v>8319</v>
      </c>
      <c r="B2578" t="s">
        <v>8320</v>
      </c>
      <c r="C2578" s="148" t="s">
        <v>9344</v>
      </c>
      <c r="D2578" t="s">
        <v>9345</v>
      </c>
      <c r="E2578" s="148" t="s">
        <v>9398</v>
      </c>
      <c r="F2578" t="s">
        <v>9399</v>
      </c>
      <c r="G2578" s="148" t="s">
        <v>9400</v>
      </c>
      <c r="H2578" t="s">
        <v>9401</v>
      </c>
      <c r="I2578" s="148" t="s">
        <v>10239</v>
      </c>
      <c r="J2578" t="s">
        <v>10240</v>
      </c>
      <c r="K2578" s="148" t="s">
        <v>10241</v>
      </c>
      <c r="L2578" t="s">
        <v>10242</v>
      </c>
      <c r="M2578" s="1"/>
      <c r="N2578" s="1"/>
      <c r="O2578" s="1"/>
      <c r="P2578" s="3"/>
      <c r="Q2578" s="3"/>
      <c r="R2578" s="3"/>
      <c r="S2578" s="3"/>
      <c r="U2578" t="e">
        <v>#N/A</v>
      </c>
      <c r="V2578" t="s">
        <v>10243</v>
      </c>
      <c r="W2578" s="45">
        <v>1</v>
      </c>
      <c r="X2578" s="45">
        <v>0</v>
      </c>
      <c r="Y2578" s="45">
        <v>0</v>
      </c>
      <c r="Z2578" s="45">
        <v>1</v>
      </c>
      <c r="AA2578" s="45">
        <v>1</v>
      </c>
      <c r="AB2578" s="45">
        <v>0</v>
      </c>
      <c r="AC2578" s="150">
        <v>1</v>
      </c>
      <c r="AD2578" s="150">
        <v>1</v>
      </c>
      <c r="AE2578" s="49">
        <f t="shared" si="105"/>
        <v>0.625</v>
      </c>
      <c r="AF2578" s="17"/>
      <c r="AG2578" s="17">
        <v>0</v>
      </c>
      <c r="AH2578" s="17">
        <v>0</v>
      </c>
      <c r="AI2578" s="44">
        <v>0.1</v>
      </c>
      <c r="AJ2578" s="44">
        <v>0.1</v>
      </c>
      <c r="AK2578" s="151">
        <v>0.1</v>
      </c>
      <c r="AL2578" s="151">
        <v>0.1</v>
      </c>
      <c r="AM2578" s="147">
        <f t="shared" si="104"/>
        <v>0.2</v>
      </c>
      <c r="AN2578" t="s">
        <v>723</v>
      </c>
      <c r="AO2578" s="18" t="s">
        <v>729</v>
      </c>
      <c r="AP2578" t="s">
        <v>119</v>
      </c>
    </row>
    <row r="2579" spans="1:42" customFormat="1" x14ac:dyDescent="0.3">
      <c r="A2579" s="148" t="s">
        <v>8319</v>
      </c>
      <c r="B2579" t="s">
        <v>8320</v>
      </c>
      <c r="C2579" s="148" t="s">
        <v>9344</v>
      </c>
      <c r="D2579" t="s">
        <v>9345</v>
      </c>
      <c r="E2579" s="148" t="s">
        <v>9398</v>
      </c>
      <c r="F2579" t="s">
        <v>9399</v>
      </c>
      <c r="G2579" s="148" t="s">
        <v>10244</v>
      </c>
      <c r="H2579" t="s">
        <v>10245</v>
      </c>
      <c r="K2579" s="148" t="s">
        <v>10246</v>
      </c>
      <c r="L2579" t="s">
        <v>10247</v>
      </c>
      <c r="M2579" s="1" t="s">
        <v>10248</v>
      </c>
      <c r="N2579" s="1" t="s">
        <v>271</v>
      </c>
      <c r="O2579" s="1" t="s">
        <v>271</v>
      </c>
      <c r="P2579" s="3" t="s">
        <v>271</v>
      </c>
      <c r="Q2579" s="3">
        <v>1</v>
      </c>
      <c r="R2579" s="3" t="s">
        <v>271</v>
      </c>
      <c r="S2579" s="3" t="s">
        <v>271</v>
      </c>
      <c r="T2579" t="s">
        <v>10249</v>
      </c>
      <c r="U2579" t="e">
        <v>#N/A</v>
      </c>
      <c r="V2579" t="s">
        <v>10250</v>
      </c>
      <c r="W2579" s="45">
        <v>1</v>
      </c>
      <c r="X2579" s="45">
        <v>0</v>
      </c>
      <c r="Y2579" s="45">
        <v>0</v>
      </c>
      <c r="Z2579" s="45">
        <v>1</v>
      </c>
      <c r="AA2579" s="45">
        <v>1</v>
      </c>
      <c r="AB2579" s="45">
        <v>0</v>
      </c>
      <c r="AC2579" s="150">
        <v>1</v>
      </c>
      <c r="AD2579" s="150">
        <v>1</v>
      </c>
      <c r="AE2579" s="49">
        <f t="shared" si="105"/>
        <v>0.625</v>
      </c>
      <c r="AF2579" s="17"/>
      <c r="AG2579" s="17">
        <v>0</v>
      </c>
      <c r="AH2579" s="17">
        <v>0</v>
      </c>
      <c r="AI2579" s="17">
        <v>0</v>
      </c>
      <c r="AJ2579" s="44">
        <v>0.1</v>
      </c>
      <c r="AK2579" s="153">
        <v>0</v>
      </c>
      <c r="AL2579" s="154">
        <v>0</v>
      </c>
      <c r="AM2579" s="147">
        <f t="shared" si="104"/>
        <v>0</v>
      </c>
      <c r="AN2579" t="s">
        <v>723</v>
      </c>
      <c r="AO2579" s="18" t="s">
        <v>729</v>
      </c>
      <c r="AP2579" t="s">
        <v>10251</v>
      </c>
    </row>
    <row r="2580" spans="1:42" customFormat="1" x14ac:dyDescent="0.3">
      <c r="A2580" s="148" t="s">
        <v>8319</v>
      </c>
      <c r="B2580" t="s">
        <v>8320</v>
      </c>
      <c r="C2580" s="148" t="s">
        <v>9344</v>
      </c>
      <c r="D2580" t="s">
        <v>9345</v>
      </c>
      <c r="E2580" s="148" t="s">
        <v>9398</v>
      </c>
      <c r="F2580" t="s">
        <v>9399</v>
      </c>
      <c r="G2580" s="148" t="s">
        <v>10244</v>
      </c>
      <c r="H2580" t="s">
        <v>10245</v>
      </c>
      <c r="K2580" s="148" t="s">
        <v>10252</v>
      </c>
      <c r="L2580" t="s">
        <v>10253</v>
      </c>
      <c r="M2580" s="1" t="s">
        <v>10254</v>
      </c>
      <c r="N2580" s="1" t="s">
        <v>271</v>
      </c>
      <c r="O2580" s="1" t="s">
        <v>271</v>
      </c>
      <c r="P2580" s="3" t="s">
        <v>271</v>
      </c>
      <c r="Q2580" s="3">
        <v>270</v>
      </c>
      <c r="R2580" s="3">
        <v>270</v>
      </c>
      <c r="S2580" s="3">
        <v>270</v>
      </c>
      <c r="T2580" t="s">
        <v>10255</v>
      </c>
      <c r="U2580" t="e">
        <v>#N/A</v>
      </c>
      <c r="V2580" t="s">
        <v>10250</v>
      </c>
      <c r="W2580" s="45">
        <v>1</v>
      </c>
      <c r="X2580" s="45">
        <v>0</v>
      </c>
      <c r="Y2580" s="45">
        <v>0</v>
      </c>
      <c r="Z2580" s="45">
        <v>1</v>
      </c>
      <c r="AA2580" s="45">
        <v>1</v>
      </c>
      <c r="AB2580" s="45">
        <v>0</v>
      </c>
      <c r="AC2580" s="150">
        <v>1</v>
      </c>
      <c r="AD2580" s="150">
        <v>1</v>
      </c>
      <c r="AE2580" s="49">
        <f t="shared" si="105"/>
        <v>0.625</v>
      </c>
      <c r="AF2580" s="44"/>
      <c r="AG2580" s="17">
        <v>0</v>
      </c>
      <c r="AH2580" s="44">
        <v>0.5</v>
      </c>
      <c r="AI2580" s="17">
        <v>0</v>
      </c>
      <c r="AJ2580" s="17">
        <v>0</v>
      </c>
      <c r="AK2580" s="151">
        <v>0</v>
      </c>
      <c r="AL2580" s="154">
        <v>0</v>
      </c>
      <c r="AM2580" s="147">
        <f t="shared" si="104"/>
        <v>0</v>
      </c>
      <c r="AN2580" s="44" t="s">
        <v>9409</v>
      </c>
      <c r="AO2580" s="18" t="s">
        <v>729</v>
      </c>
      <c r="AP2580" t="s">
        <v>10256</v>
      </c>
    </row>
    <row r="2581" spans="1:42" customFormat="1" x14ac:dyDescent="0.3">
      <c r="A2581" s="148" t="s">
        <v>8319</v>
      </c>
      <c r="B2581" t="s">
        <v>8320</v>
      </c>
      <c r="C2581" s="148" t="s">
        <v>9410</v>
      </c>
      <c r="D2581" t="s">
        <v>9411</v>
      </c>
      <c r="E2581" s="148" t="s">
        <v>9412</v>
      </c>
      <c r="F2581" t="s">
        <v>9413</v>
      </c>
      <c r="G2581" s="148" t="s">
        <v>9414</v>
      </c>
      <c r="H2581" t="s">
        <v>9415</v>
      </c>
      <c r="K2581" s="155" t="s">
        <v>9441</v>
      </c>
      <c r="L2581" t="s">
        <v>9442</v>
      </c>
      <c r="M2581" s="1" t="s">
        <v>10257</v>
      </c>
      <c r="N2581" s="1"/>
      <c r="O2581" s="1">
        <v>0</v>
      </c>
      <c r="P2581" s="3">
        <v>1</v>
      </c>
      <c r="Q2581" s="3">
        <v>1</v>
      </c>
      <c r="R2581" s="3">
        <v>1</v>
      </c>
      <c r="S2581" s="3">
        <v>1</v>
      </c>
      <c r="T2581" t="s">
        <v>3643</v>
      </c>
      <c r="U2581" t="s">
        <v>3630</v>
      </c>
      <c r="V2581" t="s">
        <v>10258</v>
      </c>
      <c r="W2581" s="45">
        <v>1</v>
      </c>
      <c r="X2581" s="45">
        <v>1</v>
      </c>
      <c r="Y2581" s="45">
        <v>1</v>
      </c>
      <c r="Z2581" s="45">
        <v>0</v>
      </c>
      <c r="AA2581" s="45">
        <v>0</v>
      </c>
      <c r="AB2581" s="45">
        <v>1</v>
      </c>
      <c r="AC2581" s="150">
        <v>0</v>
      </c>
      <c r="AD2581" s="150">
        <v>1</v>
      </c>
      <c r="AE2581" s="49">
        <f t="shared" si="105"/>
        <v>0.625</v>
      </c>
      <c r="AF2581" s="44"/>
      <c r="AG2581" s="17">
        <v>0</v>
      </c>
      <c r="AH2581" s="44">
        <v>7.5</v>
      </c>
      <c r="AI2581" s="44">
        <v>7.5</v>
      </c>
      <c r="AJ2581" s="44">
        <v>7.5</v>
      </c>
      <c r="AK2581" s="151">
        <v>15</v>
      </c>
      <c r="AL2581" s="151">
        <v>15</v>
      </c>
      <c r="AM2581" s="147">
        <f t="shared" si="104"/>
        <v>30</v>
      </c>
      <c r="AN2581" t="s">
        <v>3643</v>
      </c>
      <c r="AO2581" s="18" t="s">
        <v>3630</v>
      </c>
      <c r="AP2581" t="s">
        <v>10259</v>
      </c>
    </row>
    <row r="2582" spans="1:42" customFormat="1" x14ac:dyDescent="0.3">
      <c r="A2582" s="148" t="s">
        <v>8319</v>
      </c>
      <c r="B2582" t="s">
        <v>8320</v>
      </c>
      <c r="C2582" s="148" t="s">
        <v>9410</v>
      </c>
      <c r="D2582" t="s">
        <v>9411</v>
      </c>
      <c r="E2582" s="148" t="s">
        <v>9412</v>
      </c>
      <c r="F2582" t="s">
        <v>9413</v>
      </c>
      <c r="G2582" s="148" t="s">
        <v>9661</v>
      </c>
      <c r="H2582" t="s">
        <v>9662</v>
      </c>
      <c r="I2582" s="148" t="s">
        <v>9663</v>
      </c>
      <c r="J2582" t="s">
        <v>9664</v>
      </c>
      <c r="K2582" s="148" t="s">
        <v>9665</v>
      </c>
      <c r="L2582" t="s">
        <v>9666</v>
      </c>
      <c r="M2582" s="1"/>
      <c r="N2582" s="1"/>
      <c r="O2582" s="1"/>
      <c r="P2582" s="3" t="s">
        <v>10260</v>
      </c>
      <c r="Q2582" s="3" t="s">
        <v>10261</v>
      </c>
      <c r="R2582" s="3"/>
      <c r="S2582" s="3" t="s">
        <v>10262</v>
      </c>
      <c r="U2582" t="e">
        <v>#N/A</v>
      </c>
      <c r="V2582" t="s">
        <v>10263</v>
      </c>
      <c r="W2582" s="45">
        <v>1</v>
      </c>
      <c r="X2582" s="45">
        <v>0</v>
      </c>
      <c r="Y2582" s="45">
        <v>1</v>
      </c>
      <c r="Z2582" s="45">
        <v>0</v>
      </c>
      <c r="AA2582" s="45">
        <v>1</v>
      </c>
      <c r="AB2582" s="45">
        <v>1</v>
      </c>
      <c r="AC2582" s="150">
        <v>0</v>
      </c>
      <c r="AD2582" s="150">
        <v>1</v>
      </c>
      <c r="AE2582" s="49">
        <f t="shared" si="105"/>
        <v>0.625</v>
      </c>
      <c r="AF2582" s="44"/>
      <c r="AG2582" s="17">
        <v>0</v>
      </c>
      <c r="AH2582" s="44">
        <v>50</v>
      </c>
      <c r="AI2582" s="44">
        <v>70</v>
      </c>
      <c r="AJ2582" s="44">
        <v>70</v>
      </c>
      <c r="AK2582" s="151">
        <v>70</v>
      </c>
      <c r="AL2582" s="151">
        <v>140</v>
      </c>
      <c r="AM2582" s="147">
        <f t="shared" si="104"/>
        <v>210</v>
      </c>
      <c r="AN2582" s="44" t="s">
        <v>9967</v>
      </c>
      <c r="AO2582" s="18" t="s">
        <v>9968</v>
      </c>
      <c r="AP2582" t="s">
        <v>9671</v>
      </c>
    </row>
    <row r="2583" spans="1:42" customFormat="1" x14ac:dyDescent="0.3">
      <c r="A2583" s="148" t="s">
        <v>8319</v>
      </c>
      <c r="B2583" t="s">
        <v>8320</v>
      </c>
      <c r="C2583" s="148" t="s">
        <v>9410</v>
      </c>
      <c r="D2583" t="s">
        <v>9411</v>
      </c>
      <c r="E2583" s="148" t="s">
        <v>9412</v>
      </c>
      <c r="F2583" t="s">
        <v>9413</v>
      </c>
      <c r="G2583" s="148" t="s">
        <v>9661</v>
      </c>
      <c r="H2583" t="s">
        <v>9662</v>
      </c>
      <c r="I2583" s="148" t="s">
        <v>9663</v>
      </c>
      <c r="J2583" t="s">
        <v>9664</v>
      </c>
      <c r="K2583" s="148" t="s">
        <v>9675</v>
      </c>
      <c r="L2583" t="s">
        <v>9676</v>
      </c>
      <c r="M2583" s="1" t="s">
        <v>10264</v>
      </c>
      <c r="N2583" s="1" t="s">
        <v>9365</v>
      </c>
      <c r="O2583" s="1">
        <v>20</v>
      </c>
      <c r="P2583" s="3">
        <v>20</v>
      </c>
      <c r="Q2583" s="3">
        <v>20</v>
      </c>
      <c r="R2583" s="3">
        <v>20</v>
      </c>
      <c r="S2583" s="3">
        <v>20</v>
      </c>
      <c r="T2583" t="s">
        <v>3643</v>
      </c>
      <c r="U2583" t="s">
        <v>3630</v>
      </c>
      <c r="V2583" t="s">
        <v>10265</v>
      </c>
      <c r="W2583" s="45">
        <v>1</v>
      </c>
      <c r="X2583" s="45">
        <v>1</v>
      </c>
      <c r="Y2583" s="45">
        <v>1</v>
      </c>
      <c r="Z2583" s="45">
        <v>0</v>
      </c>
      <c r="AA2583" s="45">
        <v>0</v>
      </c>
      <c r="AB2583" s="45">
        <v>1</v>
      </c>
      <c r="AC2583" s="150">
        <v>0</v>
      </c>
      <c r="AD2583" s="150">
        <v>1</v>
      </c>
      <c r="AE2583" s="49">
        <f t="shared" si="105"/>
        <v>0.625</v>
      </c>
      <c r="AF2583" s="44"/>
      <c r="AG2583" s="17">
        <v>0</v>
      </c>
      <c r="AH2583" s="44">
        <v>1.6</v>
      </c>
      <c r="AI2583" s="44">
        <v>1.6</v>
      </c>
      <c r="AJ2583" s="44">
        <v>1.6</v>
      </c>
      <c r="AK2583" s="151">
        <v>1.6</v>
      </c>
      <c r="AL2583" s="151">
        <v>1.6</v>
      </c>
      <c r="AM2583" s="147">
        <f t="shared" si="104"/>
        <v>3.2</v>
      </c>
      <c r="AN2583" t="s">
        <v>3643</v>
      </c>
      <c r="AO2583" s="18" t="s">
        <v>3630</v>
      </c>
      <c r="AP2583" t="s">
        <v>10266</v>
      </c>
    </row>
    <row r="2584" spans="1:42" customFormat="1" x14ac:dyDescent="0.3">
      <c r="A2584" s="148" t="s">
        <v>8319</v>
      </c>
      <c r="B2584" t="s">
        <v>8320</v>
      </c>
      <c r="C2584" s="148" t="s">
        <v>9410</v>
      </c>
      <c r="D2584" t="s">
        <v>9411</v>
      </c>
      <c r="E2584" s="148" t="s">
        <v>9412</v>
      </c>
      <c r="F2584" t="s">
        <v>9413</v>
      </c>
      <c r="G2584" s="148" t="s">
        <v>9661</v>
      </c>
      <c r="H2584" t="s">
        <v>9662</v>
      </c>
      <c r="I2584" s="148" t="s">
        <v>9663</v>
      </c>
      <c r="J2584" t="s">
        <v>9664</v>
      </c>
      <c r="K2584" s="148" t="s">
        <v>9964</v>
      </c>
      <c r="L2584" t="s">
        <v>9965</v>
      </c>
      <c r="M2584" s="1" t="s">
        <v>10267</v>
      </c>
      <c r="N2584" s="1"/>
      <c r="O2584" s="1">
        <v>0.05</v>
      </c>
      <c r="P2584" s="3">
        <v>0.15</v>
      </c>
      <c r="Q2584" s="3">
        <v>0.3</v>
      </c>
      <c r="R2584" s="3">
        <v>0.35</v>
      </c>
      <c r="S2584" s="3">
        <v>0.4</v>
      </c>
      <c r="T2584" t="s">
        <v>255</v>
      </c>
      <c r="U2584" t="s">
        <v>1045</v>
      </c>
      <c r="V2584" t="s">
        <v>10268</v>
      </c>
      <c r="W2584" s="45">
        <v>1</v>
      </c>
      <c r="X2584" s="45">
        <v>0</v>
      </c>
      <c r="Y2584" s="45">
        <v>1</v>
      </c>
      <c r="Z2584" s="45">
        <v>1</v>
      </c>
      <c r="AA2584" s="45">
        <v>1</v>
      </c>
      <c r="AB2584" s="45">
        <v>0</v>
      </c>
      <c r="AC2584" s="150">
        <v>0</v>
      </c>
      <c r="AD2584" s="150">
        <v>1</v>
      </c>
      <c r="AE2584" s="49">
        <f t="shared" si="105"/>
        <v>0.625</v>
      </c>
      <c r="AF2584" s="44"/>
      <c r="AG2584" s="17">
        <v>0</v>
      </c>
      <c r="AH2584" s="44">
        <v>0.05</v>
      </c>
      <c r="AI2584" s="44">
        <v>0.1</v>
      </c>
      <c r="AJ2584" s="44">
        <v>0.1</v>
      </c>
      <c r="AK2584" s="151">
        <v>0.1</v>
      </c>
      <c r="AL2584" s="151">
        <v>0.1</v>
      </c>
      <c r="AM2584" s="147">
        <f t="shared" si="104"/>
        <v>0.2</v>
      </c>
      <c r="AN2584" s="18" t="s">
        <v>255</v>
      </c>
      <c r="AO2584" s="18" t="s">
        <v>1045</v>
      </c>
      <c r="AP2584" t="s">
        <v>9970</v>
      </c>
    </row>
    <row r="2585" spans="1:42" customFormat="1" x14ac:dyDescent="0.3">
      <c r="A2585" s="148" t="s">
        <v>8319</v>
      </c>
      <c r="B2585" t="s">
        <v>8320</v>
      </c>
      <c r="C2585" s="148" t="s">
        <v>9410</v>
      </c>
      <c r="D2585" t="s">
        <v>9411</v>
      </c>
      <c r="E2585" s="148" t="s">
        <v>9412</v>
      </c>
      <c r="F2585" t="s">
        <v>9413</v>
      </c>
      <c r="G2585" s="148" t="s">
        <v>9661</v>
      </c>
      <c r="H2585" t="s">
        <v>9662</v>
      </c>
      <c r="I2585" s="148" t="s">
        <v>10269</v>
      </c>
      <c r="J2585" t="s">
        <v>10270</v>
      </c>
      <c r="K2585" s="148" t="s">
        <v>10271</v>
      </c>
      <c r="L2585" t="s">
        <v>10272</v>
      </c>
      <c r="M2585" s="1" t="s">
        <v>10273</v>
      </c>
      <c r="N2585" s="1">
        <v>0</v>
      </c>
      <c r="O2585" s="1">
        <v>2</v>
      </c>
      <c r="P2585" s="3">
        <v>3</v>
      </c>
      <c r="Q2585" s="3">
        <v>4</v>
      </c>
      <c r="R2585" s="3">
        <v>4</v>
      </c>
      <c r="S2585" s="3">
        <v>4</v>
      </c>
      <c r="T2585" t="s">
        <v>3643</v>
      </c>
      <c r="U2585" t="s">
        <v>3630</v>
      </c>
      <c r="V2585" t="s">
        <v>10274</v>
      </c>
      <c r="W2585" s="45">
        <v>1</v>
      </c>
      <c r="X2585" s="45">
        <v>1</v>
      </c>
      <c r="Y2585" s="45">
        <v>1</v>
      </c>
      <c r="Z2585" s="45">
        <v>0</v>
      </c>
      <c r="AA2585" s="45">
        <v>0</v>
      </c>
      <c r="AB2585" s="45">
        <v>1</v>
      </c>
      <c r="AC2585" s="150">
        <v>0</v>
      </c>
      <c r="AD2585" s="150">
        <v>1</v>
      </c>
      <c r="AE2585" s="49">
        <f t="shared" si="105"/>
        <v>0.625</v>
      </c>
      <c r="AF2585" s="44"/>
      <c r="AG2585" s="17">
        <v>0</v>
      </c>
      <c r="AH2585" s="44">
        <v>50</v>
      </c>
      <c r="AI2585" s="44">
        <v>50</v>
      </c>
      <c r="AJ2585" s="44">
        <v>60</v>
      </c>
      <c r="AK2585" s="151">
        <v>23</v>
      </c>
      <c r="AL2585" s="151">
        <v>23</v>
      </c>
      <c r="AM2585" s="147">
        <f t="shared" si="104"/>
        <v>46</v>
      </c>
      <c r="AN2585" t="s">
        <v>10275</v>
      </c>
      <c r="AO2585" s="18" t="s">
        <v>3630</v>
      </c>
      <c r="AP2585" t="s">
        <v>3643</v>
      </c>
    </row>
    <row r="2586" spans="1:42" customFormat="1" x14ac:dyDescent="0.3">
      <c r="A2586" s="148" t="s">
        <v>8319</v>
      </c>
      <c r="B2586" t="s">
        <v>8320</v>
      </c>
      <c r="C2586" s="148" t="s">
        <v>9410</v>
      </c>
      <c r="D2586" t="s">
        <v>9411</v>
      </c>
      <c r="E2586" s="148" t="s">
        <v>9412</v>
      </c>
      <c r="F2586" t="s">
        <v>9413</v>
      </c>
      <c r="G2586" s="148" t="s">
        <v>9448</v>
      </c>
      <c r="H2586" t="s">
        <v>9449</v>
      </c>
      <c r="I2586" s="148" t="s">
        <v>9682</v>
      </c>
      <c r="J2586" t="s">
        <v>9683</v>
      </c>
      <c r="K2586" s="148" t="s">
        <v>10276</v>
      </c>
      <c r="L2586" t="s">
        <v>10277</v>
      </c>
      <c r="M2586" s="1" t="s">
        <v>10278</v>
      </c>
      <c r="N2586" s="1">
        <v>0</v>
      </c>
      <c r="O2586" s="1" t="s">
        <v>10279</v>
      </c>
      <c r="P2586" s="3" t="s">
        <v>10280</v>
      </c>
      <c r="Q2586" s="3" t="s">
        <v>10281</v>
      </c>
      <c r="R2586" s="3" t="s">
        <v>271</v>
      </c>
      <c r="S2586" s="3" t="s">
        <v>271</v>
      </c>
      <c r="T2586" t="s">
        <v>3643</v>
      </c>
      <c r="U2586" t="s">
        <v>3630</v>
      </c>
      <c r="V2586" t="s">
        <v>10282</v>
      </c>
      <c r="W2586" s="45">
        <v>1</v>
      </c>
      <c r="X2586" s="45">
        <v>1</v>
      </c>
      <c r="Y2586" s="45">
        <v>1</v>
      </c>
      <c r="Z2586" s="45">
        <v>1</v>
      </c>
      <c r="AA2586" s="45">
        <v>0</v>
      </c>
      <c r="AB2586" s="45">
        <v>1</v>
      </c>
      <c r="AC2586" s="150">
        <v>0</v>
      </c>
      <c r="AD2586" s="150">
        <v>0</v>
      </c>
      <c r="AE2586" s="49">
        <f t="shared" si="105"/>
        <v>0.625</v>
      </c>
      <c r="AF2586" s="17"/>
      <c r="AG2586" s="17">
        <v>0</v>
      </c>
      <c r="AH2586" s="17">
        <v>0</v>
      </c>
      <c r="AI2586" s="17">
        <v>0</v>
      </c>
      <c r="AJ2586" s="17">
        <v>0</v>
      </c>
      <c r="AK2586" s="153">
        <v>0</v>
      </c>
      <c r="AL2586" s="154">
        <v>0</v>
      </c>
      <c r="AM2586" s="147">
        <f t="shared" si="104"/>
        <v>0</v>
      </c>
      <c r="AN2586" t="s">
        <v>3643</v>
      </c>
      <c r="AO2586" s="18" t="s">
        <v>3630</v>
      </c>
      <c r="AP2586" t="s">
        <v>2172</v>
      </c>
    </row>
    <row r="2587" spans="1:42" customFormat="1" x14ac:dyDescent="0.3">
      <c r="A2587" s="148" t="s">
        <v>8319</v>
      </c>
      <c r="B2587" t="s">
        <v>8320</v>
      </c>
      <c r="C2587" s="148" t="s">
        <v>9410</v>
      </c>
      <c r="D2587" t="s">
        <v>9411</v>
      </c>
      <c r="E2587" s="148" t="s">
        <v>9412</v>
      </c>
      <c r="F2587" t="s">
        <v>9413</v>
      </c>
      <c r="G2587" s="148" t="s">
        <v>9448</v>
      </c>
      <c r="H2587" t="s">
        <v>9449</v>
      </c>
      <c r="I2587" s="148" t="s">
        <v>9682</v>
      </c>
      <c r="J2587" t="s">
        <v>9683</v>
      </c>
      <c r="K2587" s="148" t="s">
        <v>10283</v>
      </c>
      <c r="L2587" t="s">
        <v>10284</v>
      </c>
      <c r="M2587" s="1" t="s">
        <v>10285</v>
      </c>
      <c r="N2587" s="1">
        <v>0</v>
      </c>
      <c r="O2587" s="1">
        <v>0</v>
      </c>
      <c r="P2587" s="3">
        <v>1</v>
      </c>
      <c r="Q2587" s="3">
        <v>1</v>
      </c>
      <c r="R2587" s="3">
        <v>1</v>
      </c>
      <c r="S2587" s="3">
        <v>1</v>
      </c>
      <c r="T2587" t="s">
        <v>9979</v>
      </c>
      <c r="U2587" t="e">
        <v>#N/A</v>
      </c>
      <c r="V2587" t="s">
        <v>10286</v>
      </c>
      <c r="W2587" s="45">
        <v>1</v>
      </c>
      <c r="X2587" s="45">
        <v>1</v>
      </c>
      <c r="Y2587" s="45">
        <v>1</v>
      </c>
      <c r="Z2587" s="45">
        <v>0</v>
      </c>
      <c r="AA2587" s="45">
        <v>0</v>
      </c>
      <c r="AB2587" s="45">
        <v>1</v>
      </c>
      <c r="AC2587" s="150">
        <v>1</v>
      </c>
      <c r="AD2587" s="150">
        <v>0</v>
      </c>
      <c r="AE2587" s="49">
        <f t="shared" si="105"/>
        <v>0.625</v>
      </c>
      <c r="AF2587" s="44"/>
      <c r="AG2587" s="17">
        <v>0</v>
      </c>
      <c r="AH2587" s="44">
        <v>1</v>
      </c>
      <c r="AI2587" s="44">
        <v>5</v>
      </c>
      <c r="AJ2587" s="44">
        <v>6</v>
      </c>
      <c r="AK2587" s="151">
        <v>7</v>
      </c>
      <c r="AL2587" s="151">
        <v>8</v>
      </c>
      <c r="AM2587" s="147">
        <f t="shared" si="104"/>
        <v>15</v>
      </c>
      <c r="AN2587" t="s">
        <v>3643</v>
      </c>
      <c r="AO2587" s="18" t="s">
        <v>3630</v>
      </c>
      <c r="AP2587" t="s">
        <v>2043</v>
      </c>
    </row>
    <row r="2588" spans="1:42" customFormat="1" x14ac:dyDescent="0.3">
      <c r="A2588" s="148" t="s">
        <v>8319</v>
      </c>
      <c r="B2588" t="s">
        <v>8320</v>
      </c>
      <c r="C2588" s="148" t="s">
        <v>9410</v>
      </c>
      <c r="D2588" t="s">
        <v>9411</v>
      </c>
      <c r="E2588" s="148" t="s">
        <v>9412</v>
      </c>
      <c r="F2588" t="s">
        <v>9413</v>
      </c>
      <c r="G2588" s="148" t="s">
        <v>9448</v>
      </c>
      <c r="H2588" t="s">
        <v>9449</v>
      </c>
      <c r="I2588" s="148" t="s">
        <v>9747</v>
      </c>
      <c r="J2588" t="s">
        <v>9748</v>
      </c>
      <c r="K2588" s="148" t="s">
        <v>10287</v>
      </c>
      <c r="L2588" t="s">
        <v>10288</v>
      </c>
      <c r="M2588" s="1" t="s">
        <v>10289</v>
      </c>
      <c r="N2588" s="1"/>
      <c r="O2588" s="1">
        <v>0</v>
      </c>
      <c r="P2588" s="3" t="s">
        <v>10290</v>
      </c>
      <c r="Q2588" s="3">
        <v>0</v>
      </c>
      <c r="R2588" s="3">
        <v>0</v>
      </c>
      <c r="S2588" s="3">
        <v>0</v>
      </c>
      <c r="T2588" t="s">
        <v>3643</v>
      </c>
      <c r="U2588" t="s">
        <v>3630</v>
      </c>
      <c r="V2588" t="s">
        <v>10291</v>
      </c>
      <c r="W2588" s="45">
        <v>1</v>
      </c>
      <c r="X2588" s="45">
        <v>1</v>
      </c>
      <c r="Y2588" s="45">
        <v>1</v>
      </c>
      <c r="Z2588" s="45">
        <v>0</v>
      </c>
      <c r="AA2588" s="45">
        <v>0</v>
      </c>
      <c r="AB2588" s="45">
        <v>1</v>
      </c>
      <c r="AC2588" s="150">
        <v>0</v>
      </c>
      <c r="AD2588" s="150">
        <v>1</v>
      </c>
      <c r="AE2588" s="49">
        <f t="shared" si="105"/>
        <v>0.625</v>
      </c>
      <c r="AF2588" s="44"/>
      <c r="AG2588" s="17">
        <v>0</v>
      </c>
      <c r="AH2588" s="44">
        <v>0</v>
      </c>
      <c r="AI2588" s="44">
        <v>0.2</v>
      </c>
      <c r="AJ2588" s="44">
        <v>0</v>
      </c>
      <c r="AK2588" s="151">
        <v>0</v>
      </c>
      <c r="AL2588" s="151">
        <v>0</v>
      </c>
      <c r="AM2588" s="147">
        <f t="shared" si="104"/>
        <v>0</v>
      </c>
      <c r="AN2588" t="s">
        <v>3643</v>
      </c>
      <c r="AO2588" s="18" t="s">
        <v>3630</v>
      </c>
      <c r="AP2588" t="s">
        <v>10292</v>
      </c>
    </row>
    <row r="2589" spans="1:42" customFormat="1" x14ac:dyDescent="0.3">
      <c r="A2589" s="148" t="s">
        <v>8319</v>
      </c>
      <c r="B2589" t="s">
        <v>8320</v>
      </c>
      <c r="C2589" s="148" t="s">
        <v>9410</v>
      </c>
      <c r="D2589" t="s">
        <v>9411</v>
      </c>
      <c r="E2589" s="148" t="s">
        <v>9412</v>
      </c>
      <c r="F2589" t="s">
        <v>9413</v>
      </c>
      <c r="G2589" s="148" t="s">
        <v>9448</v>
      </c>
      <c r="H2589" t="s">
        <v>9449</v>
      </c>
      <c r="I2589" s="148" t="s">
        <v>9747</v>
      </c>
      <c r="J2589" t="s">
        <v>9748</v>
      </c>
      <c r="K2589" s="148" t="s">
        <v>10293</v>
      </c>
      <c r="L2589" t="s">
        <v>10294</v>
      </c>
      <c r="M2589" s="1" t="s">
        <v>10295</v>
      </c>
      <c r="N2589" s="1">
        <v>0</v>
      </c>
      <c r="O2589" s="1">
        <v>0</v>
      </c>
      <c r="P2589" s="3">
        <v>25</v>
      </c>
      <c r="Q2589" s="3">
        <v>30</v>
      </c>
      <c r="R2589" s="3">
        <v>40</v>
      </c>
      <c r="S2589" s="3">
        <v>37</v>
      </c>
      <c r="T2589" t="s">
        <v>9738</v>
      </c>
      <c r="U2589" t="e">
        <v>#N/A</v>
      </c>
      <c r="V2589" t="s">
        <v>10296</v>
      </c>
      <c r="W2589" s="45">
        <v>1</v>
      </c>
      <c r="X2589" s="45">
        <v>1</v>
      </c>
      <c r="Y2589" s="45">
        <v>1</v>
      </c>
      <c r="Z2589" s="45">
        <v>0</v>
      </c>
      <c r="AA2589" s="45">
        <v>0</v>
      </c>
      <c r="AB2589" s="45">
        <v>1</v>
      </c>
      <c r="AC2589" s="150">
        <v>0</v>
      </c>
      <c r="AD2589" s="150">
        <v>1</v>
      </c>
      <c r="AE2589" s="49">
        <f t="shared" si="105"/>
        <v>0.625</v>
      </c>
      <c r="AF2589" s="44"/>
      <c r="AG2589" s="17">
        <v>0</v>
      </c>
      <c r="AH2589" s="44">
        <v>0</v>
      </c>
      <c r="AI2589" s="44">
        <v>57.5</v>
      </c>
      <c r="AJ2589" s="44">
        <v>45</v>
      </c>
      <c r="AK2589" s="151">
        <v>53.85</v>
      </c>
      <c r="AL2589" s="151">
        <v>55</v>
      </c>
      <c r="AM2589" s="147">
        <f t="shared" si="104"/>
        <v>108.85</v>
      </c>
      <c r="AN2589" t="s">
        <v>3643</v>
      </c>
      <c r="AO2589" s="18" t="s">
        <v>3630</v>
      </c>
      <c r="AP2589" t="s">
        <v>255</v>
      </c>
    </row>
    <row r="2590" spans="1:42" customFormat="1" x14ac:dyDescent="0.3">
      <c r="A2590" s="148" t="s">
        <v>8319</v>
      </c>
      <c r="B2590" t="s">
        <v>8320</v>
      </c>
      <c r="C2590" s="148" t="s">
        <v>9410</v>
      </c>
      <c r="D2590" t="s">
        <v>9411</v>
      </c>
      <c r="E2590" s="148" t="s">
        <v>9412</v>
      </c>
      <c r="F2590" t="s">
        <v>9413</v>
      </c>
      <c r="G2590" s="148" t="s">
        <v>9448</v>
      </c>
      <c r="H2590" t="s">
        <v>9449</v>
      </c>
      <c r="I2590" s="148" t="s">
        <v>9747</v>
      </c>
      <c r="J2590" t="s">
        <v>9748</v>
      </c>
      <c r="K2590" s="148" t="s">
        <v>10297</v>
      </c>
      <c r="L2590" t="s">
        <v>10298</v>
      </c>
      <c r="M2590" s="1" t="s">
        <v>10299</v>
      </c>
      <c r="N2590" s="1">
        <v>0</v>
      </c>
      <c r="O2590" s="1">
        <v>0</v>
      </c>
      <c r="P2590" s="3">
        <v>0</v>
      </c>
      <c r="Q2590" s="3">
        <v>5</v>
      </c>
      <c r="R2590" s="3">
        <v>10</v>
      </c>
      <c r="S2590" s="3">
        <v>10</v>
      </c>
      <c r="T2590" t="s">
        <v>3643</v>
      </c>
      <c r="U2590" t="s">
        <v>3630</v>
      </c>
      <c r="V2590" t="s">
        <v>10300</v>
      </c>
      <c r="W2590" s="45">
        <v>1</v>
      </c>
      <c r="X2590" s="45">
        <v>1</v>
      </c>
      <c r="Y2590" s="45">
        <v>1</v>
      </c>
      <c r="Z2590" s="45">
        <v>0</v>
      </c>
      <c r="AA2590" s="45">
        <v>0</v>
      </c>
      <c r="AB2590" s="45">
        <v>1</v>
      </c>
      <c r="AC2590" s="150">
        <v>0</v>
      </c>
      <c r="AD2590" s="150">
        <v>1</v>
      </c>
      <c r="AE2590" s="49">
        <f t="shared" si="105"/>
        <v>0.625</v>
      </c>
      <c r="AF2590" s="44"/>
      <c r="AG2590" s="17">
        <v>0</v>
      </c>
      <c r="AH2590" s="44">
        <v>0</v>
      </c>
      <c r="AI2590" s="44">
        <v>100</v>
      </c>
      <c r="AJ2590" s="44">
        <v>100</v>
      </c>
      <c r="AK2590" s="151">
        <v>80</v>
      </c>
      <c r="AL2590" s="154">
        <v>80</v>
      </c>
      <c r="AM2590" s="147">
        <f t="shared" si="104"/>
        <v>160</v>
      </c>
      <c r="AN2590" t="s">
        <v>3643</v>
      </c>
      <c r="AO2590" s="18" t="s">
        <v>3630</v>
      </c>
      <c r="AP2590" t="s">
        <v>255</v>
      </c>
    </row>
    <row r="2591" spans="1:42" customFormat="1" x14ac:dyDescent="0.3">
      <c r="A2591" s="148" t="s">
        <v>8319</v>
      </c>
      <c r="B2591" t="s">
        <v>8320</v>
      </c>
      <c r="C2591" s="148" t="s">
        <v>9410</v>
      </c>
      <c r="D2591" t="s">
        <v>9411</v>
      </c>
      <c r="E2591" s="148" t="s">
        <v>9412</v>
      </c>
      <c r="F2591" t="s">
        <v>9413</v>
      </c>
      <c r="G2591" s="148" t="s">
        <v>9448</v>
      </c>
      <c r="H2591" t="s">
        <v>9449</v>
      </c>
      <c r="I2591" s="148" t="s">
        <v>9747</v>
      </c>
      <c r="J2591" t="s">
        <v>9748</v>
      </c>
      <c r="K2591" s="148" t="s">
        <v>10301</v>
      </c>
      <c r="L2591" t="s">
        <v>10302</v>
      </c>
      <c r="M2591" s="1" t="s">
        <v>10303</v>
      </c>
      <c r="N2591" s="1"/>
      <c r="O2591" s="1">
        <v>62</v>
      </c>
      <c r="P2591" s="3">
        <v>28</v>
      </c>
      <c r="Q2591" s="3">
        <v>0</v>
      </c>
      <c r="R2591" s="3">
        <v>0</v>
      </c>
      <c r="S2591" s="3">
        <v>0</v>
      </c>
      <c r="T2591" t="s">
        <v>3643</v>
      </c>
      <c r="U2591" t="s">
        <v>3630</v>
      </c>
      <c r="V2591" t="s">
        <v>10304</v>
      </c>
      <c r="W2591" s="45">
        <v>1</v>
      </c>
      <c r="X2591" s="45">
        <v>1</v>
      </c>
      <c r="Y2591" s="45">
        <v>1</v>
      </c>
      <c r="Z2591" s="45">
        <v>0</v>
      </c>
      <c r="AA2591" s="45">
        <v>0</v>
      </c>
      <c r="AB2591" s="45">
        <v>1</v>
      </c>
      <c r="AC2591" s="150">
        <v>0</v>
      </c>
      <c r="AD2591" s="150">
        <v>1</v>
      </c>
      <c r="AE2591" s="49">
        <f t="shared" si="105"/>
        <v>0.625</v>
      </c>
      <c r="AF2591" s="44"/>
      <c r="AG2591" s="17">
        <v>0</v>
      </c>
      <c r="AH2591" s="44">
        <v>55.1</v>
      </c>
      <c r="AI2591" s="44">
        <v>24</v>
      </c>
      <c r="AJ2591" s="44">
        <v>0</v>
      </c>
      <c r="AK2591" s="151">
        <v>45</v>
      </c>
      <c r="AL2591" s="151">
        <v>45</v>
      </c>
      <c r="AM2591" s="147">
        <f t="shared" si="104"/>
        <v>90</v>
      </c>
      <c r="AN2591" t="s">
        <v>3643</v>
      </c>
      <c r="AO2591" s="18" t="s">
        <v>3630</v>
      </c>
      <c r="AP2591" t="s">
        <v>255</v>
      </c>
    </row>
    <row r="2592" spans="1:42" customFormat="1" x14ac:dyDescent="0.3">
      <c r="A2592" s="148" t="s">
        <v>8319</v>
      </c>
      <c r="B2592" t="s">
        <v>8320</v>
      </c>
      <c r="C2592" s="148" t="s">
        <v>9410</v>
      </c>
      <c r="D2592" t="s">
        <v>9411</v>
      </c>
      <c r="E2592" s="148" t="s">
        <v>9412</v>
      </c>
      <c r="F2592" t="s">
        <v>9413</v>
      </c>
      <c r="G2592" s="148" t="s">
        <v>9448</v>
      </c>
      <c r="H2592" t="s">
        <v>9449</v>
      </c>
      <c r="I2592" s="148" t="s">
        <v>9747</v>
      </c>
      <c r="J2592" t="s">
        <v>9748</v>
      </c>
      <c r="K2592" s="148" t="s">
        <v>10305</v>
      </c>
      <c r="L2592" t="s">
        <v>10306</v>
      </c>
      <c r="M2592" s="1" t="s">
        <v>10307</v>
      </c>
      <c r="N2592" s="1"/>
      <c r="O2592" s="1">
        <v>20</v>
      </c>
      <c r="P2592" s="3">
        <v>33</v>
      </c>
      <c r="Q2592" s="3">
        <v>40</v>
      </c>
      <c r="R2592" s="3">
        <v>45</v>
      </c>
      <c r="S2592" s="3">
        <v>15</v>
      </c>
      <c r="T2592" t="s">
        <v>10308</v>
      </c>
      <c r="U2592" t="e">
        <v>#N/A</v>
      </c>
      <c r="V2592" t="s">
        <v>10309</v>
      </c>
      <c r="W2592" s="45">
        <v>1</v>
      </c>
      <c r="X2592" s="45">
        <v>1</v>
      </c>
      <c r="Y2592" s="45">
        <v>1</v>
      </c>
      <c r="Z2592" s="45">
        <v>0</v>
      </c>
      <c r="AA2592" s="45">
        <v>0</v>
      </c>
      <c r="AB2592" s="45">
        <v>1</v>
      </c>
      <c r="AC2592" s="150">
        <v>0</v>
      </c>
      <c r="AD2592" s="150">
        <v>1</v>
      </c>
      <c r="AE2592" s="49">
        <f t="shared" si="105"/>
        <v>0.625</v>
      </c>
      <c r="AF2592" s="44"/>
      <c r="AG2592" s="17">
        <v>0</v>
      </c>
      <c r="AH2592" s="44">
        <v>187.49999999999909</v>
      </c>
      <c r="AI2592" s="44">
        <v>212.5</v>
      </c>
      <c r="AJ2592" s="44">
        <v>212.5</v>
      </c>
      <c r="AK2592" s="151">
        <v>322.81342329611016</v>
      </c>
      <c r="AL2592" s="151">
        <v>139.68657670389075</v>
      </c>
      <c r="AM2592" s="147">
        <f t="shared" si="104"/>
        <v>462.50000000000091</v>
      </c>
      <c r="AN2592" t="s">
        <v>3643</v>
      </c>
      <c r="AO2592" s="18" t="s">
        <v>3630</v>
      </c>
      <c r="AP2592" t="s">
        <v>10310</v>
      </c>
    </row>
    <row r="2593" spans="1:42" customFormat="1" x14ac:dyDescent="0.3">
      <c r="A2593" s="148" t="s">
        <v>8319</v>
      </c>
      <c r="B2593" t="s">
        <v>8320</v>
      </c>
      <c r="C2593" s="148" t="s">
        <v>9410</v>
      </c>
      <c r="D2593" t="s">
        <v>9411</v>
      </c>
      <c r="E2593" s="148" t="s">
        <v>9412</v>
      </c>
      <c r="F2593" t="s">
        <v>9413</v>
      </c>
      <c r="G2593" s="148" t="s">
        <v>9448</v>
      </c>
      <c r="H2593" t="s">
        <v>9449</v>
      </c>
      <c r="I2593" s="148" t="s">
        <v>9747</v>
      </c>
      <c r="J2593" t="s">
        <v>9748</v>
      </c>
      <c r="K2593" s="148" t="s">
        <v>10311</v>
      </c>
      <c r="L2593" t="s">
        <v>10312</v>
      </c>
      <c r="M2593" s="1" t="s">
        <v>10313</v>
      </c>
      <c r="N2593" s="1"/>
      <c r="O2593" s="1">
        <v>62</v>
      </c>
      <c r="P2593" s="3">
        <v>53</v>
      </c>
      <c r="Q2593" s="3">
        <v>35</v>
      </c>
      <c r="R2593" s="3">
        <v>50</v>
      </c>
      <c r="S2593" s="3">
        <v>47</v>
      </c>
      <c r="T2593" t="s">
        <v>9368</v>
      </c>
      <c r="U2593" t="e">
        <v>#N/A</v>
      </c>
      <c r="V2593" t="s">
        <v>10314</v>
      </c>
      <c r="W2593" s="45">
        <v>1</v>
      </c>
      <c r="X2593" s="45">
        <v>1</v>
      </c>
      <c r="Y2593" s="45">
        <v>1</v>
      </c>
      <c r="Z2593" s="45">
        <v>0</v>
      </c>
      <c r="AA2593" s="45">
        <v>0</v>
      </c>
      <c r="AB2593" s="45">
        <v>1</v>
      </c>
      <c r="AC2593" s="150">
        <v>0</v>
      </c>
      <c r="AD2593" s="150">
        <v>1</v>
      </c>
      <c r="AE2593" s="49">
        <f t="shared" si="105"/>
        <v>0.625</v>
      </c>
      <c r="AF2593" s="44"/>
      <c r="AG2593" s="17">
        <v>0</v>
      </c>
      <c r="AH2593" s="44">
        <v>0.93</v>
      </c>
      <c r="AI2593" s="44">
        <v>0.79500000000000004</v>
      </c>
      <c r="AJ2593" s="44">
        <v>0.82499999999999996</v>
      </c>
      <c r="AK2593" s="151">
        <v>0.65</v>
      </c>
      <c r="AL2593" s="151">
        <v>0.70499999999999996</v>
      </c>
      <c r="AM2593" s="147">
        <f t="shared" si="104"/>
        <v>1.355</v>
      </c>
      <c r="AN2593" t="s">
        <v>3643</v>
      </c>
      <c r="AO2593" s="18" t="s">
        <v>3630</v>
      </c>
      <c r="AP2593" t="s">
        <v>255</v>
      </c>
    </row>
    <row r="2594" spans="1:42" customFormat="1" x14ac:dyDescent="0.3">
      <c r="A2594" s="148" t="s">
        <v>8319</v>
      </c>
      <c r="B2594" t="s">
        <v>8320</v>
      </c>
      <c r="C2594" s="148" t="s">
        <v>9410</v>
      </c>
      <c r="D2594" t="s">
        <v>9411</v>
      </c>
      <c r="E2594" s="148" t="s">
        <v>9412</v>
      </c>
      <c r="F2594" t="s">
        <v>9413</v>
      </c>
      <c r="G2594" s="148" t="s">
        <v>9448</v>
      </c>
      <c r="H2594" t="s">
        <v>9449</v>
      </c>
      <c r="I2594" s="148" t="s">
        <v>9747</v>
      </c>
      <c r="J2594" t="s">
        <v>9748</v>
      </c>
      <c r="K2594" s="148" t="s">
        <v>9749</v>
      </c>
      <c r="L2594" t="s">
        <v>9750</v>
      </c>
      <c r="M2594" s="1" t="s">
        <v>10315</v>
      </c>
      <c r="N2594" s="1"/>
      <c r="O2594" s="1">
        <v>50</v>
      </c>
      <c r="P2594" s="3">
        <v>55</v>
      </c>
      <c r="Q2594" s="3">
        <v>60</v>
      </c>
      <c r="R2594" s="3">
        <v>70</v>
      </c>
      <c r="S2594" s="3">
        <v>75</v>
      </c>
      <c r="T2594" t="s">
        <v>10316</v>
      </c>
      <c r="U2594" t="e">
        <v>#N/A</v>
      </c>
      <c r="V2594" t="s">
        <v>10317</v>
      </c>
      <c r="W2594" s="45">
        <v>1</v>
      </c>
      <c r="X2594" s="45">
        <v>1</v>
      </c>
      <c r="Y2594" s="45">
        <v>1</v>
      </c>
      <c r="Z2594" s="45">
        <v>0</v>
      </c>
      <c r="AA2594" s="45">
        <v>0</v>
      </c>
      <c r="AB2594" s="45">
        <v>1</v>
      </c>
      <c r="AC2594" s="150">
        <v>0</v>
      </c>
      <c r="AD2594" s="150">
        <v>1</v>
      </c>
      <c r="AE2594" s="49">
        <f t="shared" si="105"/>
        <v>0.625</v>
      </c>
      <c r="AF2594" s="44"/>
      <c r="AG2594" s="17">
        <v>0</v>
      </c>
      <c r="AH2594" s="44">
        <v>5</v>
      </c>
      <c r="AI2594" s="44">
        <v>15</v>
      </c>
      <c r="AJ2594" s="44">
        <v>20</v>
      </c>
      <c r="AK2594" s="151">
        <v>20</v>
      </c>
      <c r="AL2594" s="151">
        <v>25</v>
      </c>
      <c r="AM2594" s="147">
        <f t="shared" si="104"/>
        <v>45</v>
      </c>
      <c r="AN2594" t="s">
        <v>3643</v>
      </c>
      <c r="AO2594" s="18" t="s">
        <v>3630</v>
      </c>
      <c r="AP2594" t="s">
        <v>10318</v>
      </c>
    </row>
    <row r="2595" spans="1:42" customFormat="1" x14ac:dyDescent="0.3">
      <c r="A2595" s="148" t="s">
        <v>8319</v>
      </c>
      <c r="B2595" t="s">
        <v>8320</v>
      </c>
      <c r="C2595" s="148" t="s">
        <v>9410</v>
      </c>
      <c r="D2595" t="s">
        <v>9411</v>
      </c>
      <c r="E2595" s="148" t="s">
        <v>9412</v>
      </c>
      <c r="F2595" t="s">
        <v>9413</v>
      </c>
      <c r="G2595" s="148" t="s">
        <v>9448</v>
      </c>
      <c r="H2595" t="s">
        <v>9449</v>
      </c>
      <c r="I2595" s="148" t="s">
        <v>9763</v>
      </c>
      <c r="J2595" t="s">
        <v>9764</v>
      </c>
      <c r="K2595" s="148" t="s">
        <v>9765</v>
      </c>
      <c r="L2595" t="s">
        <v>9766</v>
      </c>
      <c r="M2595" s="1" t="s">
        <v>10319</v>
      </c>
      <c r="N2595" s="1">
        <v>83</v>
      </c>
      <c r="O2595" s="1">
        <v>88</v>
      </c>
      <c r="P2595" s="3">
        <v>89</v>
      </c>
      <c r="Q2595" s="3">
        <v>89</v>
      </c>
      <c r="R2595" s="3">
        <v>90</v>
      </c>
      <c r="S2595" s="3">
        <v>90</v>
      </c>
      <c r="T2595" t="s">
        <v>3643</v>
      </c>
      <c r="U2595" t="s">
        <v>3630</v>
      </c>
      <c r="V2595" t="s">
        <v>10320</v>
      </c>
      <c r="W2595" s="45">
        <v>1</v>
      </c>
      <c r="X2595" s="45">
        <v>1</v>
      </c>
      <c r="Y2595" s="45">
        <v>1</v>
      </c>
      <c r="Z2595" s="45">
        <v>0</v>
      </c>
      <c r="AA2595" s="45">
        <v>0</v>
      </c>
      <c r="AB2595" s="45">
        <v>1</v>
      </c>
      <c r="AC2595" s="150">
        <v>0</v>
      </c>
      <c r="AD2595" s="150">
        <v>1</v>
      </c>
      <c r="AE2595" s="49">
        <f t="shared" si="105"/>
        <v>0.625</v>
      </c>
      <c r="AF2595" s="17"/>
      <c r="AG2595" s="17">
        <v>0</v>
      </c>
      <c r="AH2595" s="17">
        <v>0</v>
      </c>
      <c r="AI2595" s="17">
        <v>0</v>
      </c>
      <c r="AJ2595" s="17">
        <v>0</v>
      </c>
      <c r="AK2595" s="153">
        <v>0</v>
      </c>
      <c r="AL2595" s="154">
        <v>0</v>
      </c>
      <c r="AM2595" s="147">
        <f t="shared" si="104"/>
        <v>0</v>
      </c>
      <c r="AN2595" t="s">
        <v>869</v>
      </c>
      <c r="AO2595" s="18" t="s">
        <v>871</v>
      </c>
      <c r="AP2595" t="s">
        <v>10321</v>
      </c>
    </row>
    <row r="2596" spans="1:42" customFormat="1" x14ac:dyDescent="0.3">
      <c r="A2596" s="148" t="s">
        <v>8319</v>
      </c>
      <c r="B2596" t="s">
        <v>8320</v>
      </c>
      <c r="C2596" s="148" t="s">
        <v>9410</v>
      </c>
      <c r="D2596" t="s">
        <v>9411</v>
      </c>
      <c r="E2596" s="148" t="s">
        <v>9412</v>
      </c>
      <c r="F2596" t="s">
        <v>9413</v>
      </c>
      <c r="G2596" s="148" t="s">
        <v>9448</v>
      </c>
      <c r="H2596" t="s">
        <v>9449</v>
      </c>
      <c r="I2596" s="148" t="s">
        <v>9763</v>
      </c>
      <c r="J2596" t="s">
        <v>9764</v>
      </c>
      <c r="K2596" s="148" t="s">
        <v>9765</v>
      </c>
      <c r="L2596" t="s">
        <v>9766</v>
      </c>
      <c r="M2596" s="1" t="s">
        <v>10322</v>
      </c>
      <c r="N2596" s="1"/>
      <c r="O2596" s="1">
        <v>2</v>
      </c>
      <c r="P2596" s="3">
        <v>3</v>
      </c>
      <c r="Q2596" s="3">
        <v>3</v>
      </c>
      <c r="R2596" s="3">
        <v>3</v>
      </c>
      <c r="S2596" s="3">
        <v>3</v>
      </c>
      <c r="T2596" t="s">
        <v>4022</v>
      </c>
      <c r="U2596" t="e">
        <v>#N/A</v>
      </c>
      <c r="V2596" t="s">
        <v>10323</v>
      </c>
      <c r="W2596" s="45">
        <v>1</v>
      </c>
      <c r="X2596" s="45">
        <v>1</v>
      </c>
      <c r="Y2596" s="45">
        <v>1</v>
      </c>
      <c r="Z2596" s="45">
        <v>0</v>
      </c>
      <c r="AA2596" s="45">
        <v>0</v>
      </c>
      <c r="AB2596" s="45">
        <v>1</v>
      </c>
      <c r="AC2596" s="150">
        <v>0</v>
      </c>
      <c r="AD2596" s="150">
        <v>1</v>
      </c>
      <c r="AE2596" s="49">
        <f t="shared" si="105"/>
        <v>0.625</v>
      </c>
      <c r="AF2596" s="44"/>
      <c r="AG2596" s="17">
        <v>0</v>
      </c>
      <c r="AH2596" s="44">
        <v>0</v>
      </c>
      <c r="AI2596" s="44" t="s">
        <v>10324</v>
      </c>
      <c r="AJ2596" s="44" t="s">
        <v>10324</v>
      </c>
      <c r="AK2596" s="151">
        <v>0</v>
      </c>
      <c r="AL2596" s="151">
        <v>0</v>
      </c>
      <c r="AM2596" s="147">
        <f t="shared" si="104"/>
        <v>0</v>
      </c>
      <c r="AN2596" t="s">
        <v>869</v>
      </c>
      <c r="AO2596" s="18" t="s">
        <v>871</v>
      </c>
      <c r="AP2596" t="s">
        <v>10325</v>
      </c>
    </row>
    <row r="2597" spans="1:42" customFormat="1" x14ac:dyDescent="0.3">
      <c r="A2597" s="148" t="s">
        <v>8319</v>
      </c>
      <c r="B2597" t="s">
        <v>8320</v>
      </c>
      <c r="C2597" s="148" t="s">
        <v>9410</v>
      </c>
      <c r="D2597" t="s">
        <v>9411</v>
      </c>
      <c r="E2597" s="148" t="s">
        <v>9412</v>
      </c>
      <c r="F2597" t="s">
        <v>9413</v>
      </c>
      <c r="G2597" s="148" t="s">
        <v>9997</v>
      </c>
      <c r="H2597" t="s">
        <v>9998</v>
      </c>
      <c r="I2597" s="148" t="s">
        <v>10326</v>
      </c>
      <c r="J2597" t="s">
        <v>10327</v>
      </c>
      <c r="K2597" s="148" t="s">
        <v>10328</v>
      </c>
      <c r="L2597" t="s">
        <v>10329</v>
      </c>
      <c r="M2597" s="1" t="s">
        <v>10330</v>
      </c>
      <c r="N2597" s="1">
        <v>47</v>
      </c>
      <c r="O2597" s="1">
        <v>50</v>
      </c>
      <c r="P2597" s="3">
        <v>53</v>
      </c>
      <c r="Q2597" s="3">
        <v>55</v>
      </c>
      <c r="R2597" s="3">
        <v>58</v>
      </c>
      <c r="S2597" s="3">
        <v>60</v>
      </c>
      <c r="T2597" t="s">
        <v>10331</v>
      </c>
      <c r="U2597" t="e">
        <v>#N/A</v>
      </c>
      <c r="V2597" t="s">
        <v>10332</v>
      </c>
      <c r="W2597" s="45">
        <v>1</v>
      </c>
      <c r="X2597" s="45">
        <v>0</v>
      </c>
      <c r="Y2597" s="45">
        <v>1</v>
      </c>
      <c r="Z2597" s="45">
        <v>1</v>
      </c>
      <c r="AA2597" s="45">
        <v>0</v>
      </c>
      <c r="AB2597" s="45">
        <v>1</v>
      </c>
      <c r="AC2597" s="150">
        <v>1</v>
      </c>
      <c r="AD2597" s="150">
        <v>0</v>
      </c>
      <c r="AE2597" s="49">
        <f t="shared" si="105"/>
        <v>0.625</v>
      </c>
      <c r="AF2597" s="44"/>
      <c r="AG2597" s="17">
        <v>0</v>
      </c>
      <c r="AH2597" s="44">
        <v>0.86</v>
      </c>
      <c r="AI2597" s="44">
        <v>0.91</v>
      </c>
      <c r="AJ2597" s="44">
        <v>0.95</v>
      </c>
      <c r="AK2597" s="151">
        <v>1</v>
      </c>
      <c r="AL2597" s="151">
        <v>1</v>
      </c>
      <c r="AM2597" s="147">
        <f t="shared" ref="AM2597:AM2660" si="106">SUM(AK2597:AL2597)</f>
        <v>2</v>
      </c>
      <c r="AN2597" t="s">
        <v>3643</v>
      </c>
      <c r="AO2597" s="18" t="s">
        <v>3630</v>
      </c>
      <c r="AP2597" t="s">
        <v>10333</v>
      </c>
    </row>
    <row r="2598" spans="1:42" customFormat="1" x14ac:dyDescent="0.3">
      <c r="A2598" s="148" t="s">
        <v>8319</v>
      </c>
      <c r="B2598" t="s">
        <v>8320</v>
      </c>
      <c r="C2598" s="148" t="s">
        <v>9410</v>
      </c>
      <c r="D2598" t="s">
        <v>9411</v>
      </c>
      <c r="E2598" s="148" t="s">
        <v>9412</v>
      </c>
      <c r="F2598" t="s">
        <v>9413</v>
      </c>
      <c r="G2598" s="148" t="s">
        <v>10008</v>
      </c>
      <c r="H2598" t="s">
        <v>10009</v>
      </c>
      <c r="K2598" s="148" t="s">
        <v>10010</v>
      </c>
      <c r="L2598" t="s">
        <v>10011</v>
      </c>
      <c r="M2598" s="1" t="s">
        <v>10334</v>
      </c>
      <c r="N2598" s="1"/>
      <c r="O2598" s="1">
        <v>100</v>
      </c>
      <c r="P2598" s="3">
        <v>100</v>
      </c>
      <c r="Q2598" s="3">
        <v>100</v>
      </c>
      <c r="R2598" s="3">
        <v>100</v>
      </c>
      <c r="S2598" s="3">
        <v>100</v>
      </c>
      <c r="T2598" t="s">
        <v>9368</v>
      </c>
      <c r="U2598" t="e">
        <v>#N/A</v>
      </c>
      <c r="V2598" t="s">
        <v>10335</v>
      </c>
      <c r="W2598" s="45">
        <v>1</v>
      </c>
      <c r="X2598" s="45">
        <v>0</v>
      </c>
      <c r="Y2598" s="45">
        <v>1</v>
      </c>
      <c r="Z2598" s="45">
        <v>1</v>
      </c>
      <c r="AA2598" s="45">
        <v>0</v>
      </c>
      <c r="AB2598" s="45">
        <v>0</v>
      </c>
      <c r="AC2598" s="150">
        <v>1</v>
      </c>
      <c r="AD2598" s="150">
        <v>1</v>
      </c>
      <c r="AE2598" s="49">
        <f t="shared" si="105"/>
        <v>0.625</v>
      </c>
      <c r="AF2598" s="17"/>
      <c r="AG2598" s="17">
        <v>0</v>
      </c>
      <c r="AH2598" s="17">
        <v>0</v>
      </c>
      <c r="AI2598" s="17">
        <v>0</v>
      </c>
      <c r="AJ2598" s="17">
        <v>0</v>
      </c>
      <c r="AK2598" s="153">
        <v>0</v>
      </c>
      <c r="AL2598" s="154">
        <v>0</v>
      </c>
      <c r="AM2598" s="147">
        <f t="shared" si="106"/>
        <v>0</v>
      </c>
      <c r="AN2598" t="s">
        <v>3643</v>
      </c>
      <c r="AO2598" s="18" t="s">
        <v>3630</v>
      </c>
      <c r="AP2598" t="s">
        <v>10006</v>
      </c>
    </row>
    <row r="2599" spans="1:42" customFormat="1" x14ac:dyDescent="0.3">
      <c r="A2599" s="148" t="s">
        <v>8319</v>
      </c>
      <c r="B2599" t="s">
        <v>8320</v>
      </c>
      <c r="C2599" s="148" t="s">
        <v>9410</v>
      </c>
      <c r="D2599" t="s">
        <v>9411</v>
      </c>
      <c r="E2599" s="148" t="s">
        <v>9412</v>
      </c>
      <c r="F2599" t="s">
        <v>9413</v>
      </c>
      <c r="G2599" s="148" t="s">
        <v>9814</v>
      </c>
      <c r="H2599" t="s">
        <v>9815</v>
      </c>
      <c r="K2599" s="148" t="s">
        <v>10336</v>
      </c>
      <c r="L2599" t="s">
        <v>10337</v>
      </c>
      <c r="M2599" s="1"/>
      <c r="N2599" s="1"/>
      <c r="O2599" s="1"/>
      <c r="P2599" s="3"/>
      <c r="Q2599" s="3"/>
      <c r="R2599" s="3"/>
      <c r="S2599" s="3"/>
      <c r="U2599" t="e">
        <v>#N/A</v>
      </c>
      <c r="V2599" t="s">
        <v>10338</v>
      </c>
      <c r="W2599" s="45">
        <v>1</v>
      </c>
      <c r="X2599" s="45">
        <v>0</v>
      </c>
      <c r="Y2599" s="45">
        <v>1</v>
      </c>
      <c r="Z2599" s="45">
        <v>1</v>
      </c>
      <c r="AA2599" s="45">
        <v>1</v>
      </c>
      <c r="AB2599" s="45">
        <v>0</v>
      </c>
      <c r="AC2599" s="150">
        <v>0</v>
      </c>
      <c r="AD2599" s="150">
        <v>1</v>
      </c>
      <c r="AE2599" s="49">
        <f t="shared" si="105"/>
        <v>0.625</v>
      </c>
      <c r="AF2599" s="44"/>
      <c r="AG2599" s="17">
        <v>0</v>
      </c>
      <c r="AH2599" s="44">
        <v>0</v>
      </c>
      <c r="AI2599" s="44">
        <v>0</v>
      </c>
      <c r="AJ2599" s="44">
        <v>10</v>
      </c>
      <c r="AK2599" s="151">
        <v>15</v>
      </c>
      <c r="AL2599" s="151">
        <v>20</v>
      </c>
      <c r="AM2599" s="147">
        <f t="shared" si="106"/>
        <v>35</v>
      </c>
      <c r="AN2599" s="1" t="s">
        <v>3643</v>
      </c>
      <c r="AO2599" s="18" t="s">
        <v>3630</v>
      </c>
      <c r="AP2599" t="s">
        <v>921</v>
      </c>
    </row>
    <row r="2600" spans="1:42" customFormat="1" x14ac:dyDescent="0.3">
      <c r="A2600" s="148" t="s">
        <v>8319</v>
      </c>
      <c r="B2600" t="s">
        <v>8320</v>
      </c>
      <c r="C2600" s="148" t="s">
        <v>9410</v>
      </c>
      <c r="D2600" t="s">
        <v>9411</v>
      </c>
      <c r="E2600" s="148" t="s">
        <v>9412</v>
      </c>
      <c r="F2600" t="s">
        <v>9413</v>
      </c>
      <c r="G2600" s="148" t="s">
        <v>9471</v>
      </c>
      <c r="H2600" t="s">
        <v>9472</v>
      </c>
      <c r="K2600" s="148" t="s">
        <v>9473</v>
      </c>
      <c r="L2600" t="s">
        <v>9474</v>
      </c>
      <c r="M2600" s="1" t="s">
        <v>10339</v>
      </c>
      <c r="N2600" s="1"/>
      <c r="O2600" s="1">
        <v>1</v>
      </c>
      <c r="P2600" s="3">
        <v>1</v>
      </c>
      <c r="Q2600" s="3">
        <v>0</v>
      </c>
      <c r="R2600" s="3">
        <v>0</v>
      </c>
      <c r="S2600" s="3">
        <v>0</v>
      </c>
      <c r="T2600" t="s">
        <v>3643</v>
      </c>
      <c r="U2600" t="s">
        <v>3630</v>
      </c>
      <c r="V2600" t="s">
        <v>10340</v>
      </c>
      <c r="W2600" s="45">
        <v>1</v>
      </c>
      <c r="X2600" s="45">
        <v>1</v>
      </c>
      <c r="Y2600" s="45">
        <v>0</v>
      </c>
      <c r="Z2600" s="45">
        <v>1</v>
      </c>
      <c r="AA2600" s="45">
        <v>1</v>
      </c>
      <c r="AB2600" s="45">
        <v>0</v>
      </c>
      <c r="AC2600" s="150">
        <v>0</v>
      </c>
      <c r="AD2600" s="150">
        <v>1</v>
      </c>
      <c r="AE2600" s="49">
        <f t="shared" ref="AE2600:AE2663" si="107">SUM(W2600:AD2600)/8</f>
        <v>0.625</v>
      </c>
      <c r="AF2600" s="44"/>
      <c r="AG2600" s="17">
        <v>0</v>
      </c>
      <c r="AH2600" s="44">
        <v>10</v>
      </c>
      <c r="AI2600" s="44">
        <v>10</v>
      </c>
      <c r="AJ2600" s="44">
        <v>5</v>
      </c>
      <c r="AK2600" s="151">
        <v>5</v>
      </c>
      <c r="AL2600" s="151">
        <v>5</v>
      </c>
      <c r="AM2600" s="147">
        <f t="shared" si="106"/>
        <v>10</v>
      </c>
      <c r="AN2600" s="1" t="s">
        <v>3643</v>
      </c>
      <c r="AO2600" s="18" t="s">
        <v>3630</v>
      </c>
      <c r="AP2600" t="s">
        <v>10341</v>
      </c>
    </row>
    <row r="2601" spans="1:42" customFormat="1" x14ac:dyDescent="0.3">
      <c r="A2601" s="148" t="s">
        <v>8319</v>
      </c>
      <c r="B2601" t="s">
        <v>8320</v>
      </c>
      <c r="C2601" s="148" t="s">
        <v>9410</v>
      </c>
      <c r="D2601" t="s">
        <v>9411</v>
      </c>
      <c r="E2601" s="148" t="s">
        <v>9412</v>
      </c>
      <c r="F2601" t="s">
        <v>9413</v>
      </c>
      <c r="G2601" s="148" t="s">
        <v>9820</v>
      </c>
      <c r="H2601" t="s">
        <v>9821</v>
      </c>
      <c r="K2601" s="148" t="s">
        <v>10342</v>
      </c>
      <c r="L2601" t="s">
        <v>10343</v>
      </c>
      <c r="M2601" s="1"/>
      <c r="N2601" s="1"/>
      <c r="O2601" s="1"/>
      <c r="P2601" s="3"/>
      <c r="Q2601" s="3"/>
      <c r="R2601" s="3"/>
      <c r="S2601" s="3"/>
      <c r="U2601" t="e">
        <v>#N/A</v>
      </c>
      <c r="V2601" t="s">
        <v>10344</v>
      </c>
      <c r="W2601" s="45">
        <v>1</v>
      </c>
      <c r="X2601" s="45">
        <v>0</v>
      </c>
      <c r="Y2601" s="45">
        <v>1</v>
      </c>
      <c r="Z2601" s="45">
        <v>1</v>
      </c>
      <c r="AA2601" s="45">
        <v>0</v>
      </c>
      <c r="AB2601" s="45">
        <v>0</v>
      </c>
      <c r="AC2601" s="150">
        <v>1</v>
      </c>
      <c r="AD2601" s="150">
        <v>1</v>
      </c>
      <c r="AE2601" s="49">
        <f t="shared" si="107"/>
        <v>0.625</v>
      </c>
      <c r="AF2601" s="44"/>
      <c r="AG2601" s="17">
        <v>0</v>
      </c>
      <c r="AH2601" s="44">
        <v>0.1</v>
      </c>
      <c r="AI2601" s="17">
        <v>0</v>
      </c>
      <c r="AJ2601" s="17">
        <v>0</v>
      </c>
      <c r="AK2601" s="153">
        <v>8</v>
      </c>
      <c r="AL2601" s="154">
        <v>0</v>
      </c>
      <c r="AM2601" s="147">
        <f t="shared" si="106"/>
        <v>8</v>
      </c>
      <c r="AN2601" t="s">
        <v>3643</v>
      </c>
      <c r="AO2601" s="18" t="s">
        <v>3630</v>
      </c>
      <c r="AP2601" t="s">
        <v>1893</v>
      </c>
    </row>
    <row r="2602" spans="1:42" customFormat="1" x14ac:dyDescent="0.3">
      <c r="A2602" s="148" t="s">
        <v>8319</v>
      </c>
      <c r="B2602" t="s">
        <v>8320</v>
      </c>
      <c r="C2602" s="148" t="s">
        <v>9410</v>
      </c>
      <c r="D2602" t="s">
        <v>9411</v>
      </c>
      <c r="E2602" s="148" t="s">
        <v>9412</v>
      </c>
      <c r="F2602" t="s">
        <v>9413</v>
      </c>
      <c r="G2602" s="148" t="s">
        <v>9820</v>
      </c>
      <c r="H2602" t="s">
        <v>9821</v>
      </c>
      <c r="K2602" s="155" t="s">
        <v>10345</v>
      </c>
      <c r="L2602" t="s">
        <v>10346</v>
      </c>
      <c r="M2602" s="1"/>
      <c r="N2602" s="1"/>
      <c r="O2602" s="1"/>
      <c r="P2602" s="3"/>
      <c r="Q2602" s="3"/>
      <c r="R2602" s="3"/>
      <c r="S2602" s="3"/>
      <c r="U2602" t="e">
        <v>#N/A</v>
      </c>
      <c r="V2602" t="s">
        <v>10347</v>
      </c>
      <c r="W2602" s="45">
        <v>1</v>
      </c>
      <c r="X2602" s="45">
        <v>0</v>
      </c>
      <c r="Y2602" s="45">
        <v>0</v>
      </c>
      <c r="Z2602" s="45">
        <v>1</v>
      </c>
      <c r="AA2602" s="45">
        <v>1</v>
      </c>
      <c r="AB2602" s="45">
        <v>0</v>
      </c>
      <c r="AC2602" s="150">
        <v>1</v>
      </c>
      <c r="AD2602" s="150">
        <v>1</v>
      </c>
      <c r="AE2602" s="49">
        <f t="shared" si="107"/>
        <v>0.625</v>
      </c>
      <c r="AF2602" s="44"/>
      <c r="AG2602" s="17">
        <v>0</v>
      </c>
      <c r="AH2602" s="44">
        <v>0.3</v>
      </c>
      <c r="AI2602" s="44">
        <v>0.3</v>
      </c>
      <c r="AJ2602" s="44">
        <v>0.3</v>
      </c>
      <c r="AK2602" s="151">
        <v>0.3</v>
      </c>
      <c r="AL2602" s="151">
        <v>0.3</v>
      </c>
      <c r="AM2602" s="147">
        <f t="shared" si="106"/>
        <v>0.6</v>
      </c>
      <c r="AN2602" t="s">
        <v>3643</v>
      </c>
      <c r="AO2602" s="18" t="s">
        <v>3630</v>
      </c>
      <c r="AP2602" t="s">
        <v>9813</v>
      </c>
    </row>
    <row r="2603" spans="1:42" customFormat="1" x14ac:dyDescent="0.3">
      <c r="A2603" s="148" t="s">
        <v>8319</v>
      </c>
      <c r="B2603" t="s">
        <v>8320</v>
      </c>
      <c r="C2603" s="148" t="s">
        <v>9410</v>
      </c>
      <c r="D2603" t="s">
        <v>9411</v>
      </c>
      <c r="E2603" s="148" t="s">
        <v>9412</v>
      </c>
      <c r="F2603" t="s">
        <v>9413</v>
      </c>
      <c r="G2603" s="148" t="s">
        <v>9820</v>
      </c>
      <c r="H2603" t="s">
        <v>9821</v>
      </c>
      <c r="K2603" s="155" t="s">
        <v>10021</v>
      </c>
      <c r="L2603" t="s">
        <v>10022</v>
      </c>
      <c r="M2603" s="1"/>
      <c r="N2603" s="1"/>
      <c r="O2603" s="1"/>
      <c r="P2603" s="3"/>
      <c r="Q2603" s="3"/>
      <c r="R2603" s="3"/>
      <c r="S2603" s="3"/>
      <c r="U2603" t="e">
        <v>#N/A</v>
      </c>
      <c r="V2603" t="s">
        <v>10348</v>
      </c>
      <c r="W2603" s="45">
        <v>1</v>
      </c>
      <c r="X2603" s="45">
        <v>0</v>
      </c>
      <c r="Y2603" s="45">
        <v>0</v>
      </c>
      <c r="Z2603" s="45">
        <v>1</v>
      </c>
      <c r="AA2603" s="45">
        <v>1</v>
      </c>
      <c r="AB2603" s="45">
        <v>0</v>
      </c>
      <c r="AC2603" s="150">
        <v>1</v>
      </c>
      <c r="AD2603" s="150">
        <v>1</v>
      </c>
      <c r="AE2603" s="49">
        <f t="shared" si="107"/>
        <v>0.625</v>
      </c>
      <c r="AF2603" s="17"/>
      <c r="AG2603" s="17">
        <v>0</v>
      </c>
      <c r="AH2603" s="17">
        <v>0</v>
      </c>
      <c r="AI2603" s="17">
        <v>0</v>
      </c>
      <c r="AJ2603" s="17">
        <v>0</v>
      </c>
      <c r="AK2603" s="153">
        <v>5</v>
      </c>
      <c r="AL2603" s="154">
        <v>5</v>
      </c>
      <c r="AM2603" s="147">
        <f t="shared" si="106"/>
        <v>10</v>
      </c>
      <c r="AN2603" t="s">
        <v>3643</v>
      </c>
      <c r="AO2603" s="18" t="s">
        <v>3630</v>
      </c>
      <c r="AP2603" t="s">
        <v>255</v>
      </c>
    </row>
    <row r="2604" spans="1:42" customFormat="1" x14ac:dyDescent="0.3">
      <c r="A2604" s="148" t="s">
        <v>8319</v>
      </c>
      <c r="B2604" t="s">
        <v>8320</v>
      </c>
      <c r="C2604" s="148" t="s">
        <v>9410</v>
      </c>
      <c r="D2604" t="s">
        <v>9411</v>
      </c>
      <c r="E2604" s="148" t="s">
        <v>9412</v>
      </c>
      <c r="F2604" t="s">
        <v>9413</v>
      </c>
      <c r="G2604" s="148" t="s">
        <v>9820</v>
      </c>
      <c r="H2604" t="s">
        <v>9821</v>
      </c>
      <c r="K2604" s="155" t="s">
        <v>10021</v>
      </c>
      <c r="L2604" t="s">
        <v>10022</v>
      </c>
      <c r="M2604" s="1"/>
      <c r="N2604" s="1"/>
      <c r="O2604" s="1"/>
      <c r="P2604" s="3"/>
      <c r="Q2604" s="3"/>
      <c r="R2604" s="3"/>
      <c r="S2604" s="3"/>
      <c r="U2604" t="e">
        <v>#N/A</v>
      </c>
      <c r="V2604" t="s">
        <v>10349</v>
      </c>
      <c r="W2604" s="45">
        <v>1</v>
      </c>
      <c r="X2604" s="45">
        <v>0</v>
      </c>
      <c r="Y2604" s="45">
        <v>0</v>
      </c>
      <c r="Z2604" s="45">
        <v>1</v>
      </c>
      <c r="AA2604" s="45">
        <v>1</v>
      </c>
      <c r="AB2604" s="45">
        <v>1</v>
      </c>
      <c r="AC2604" s="150">
        <v>0</v>
      </c>
      <c r="AD2604" s="150">
        <v>1</v>
      </c>
      <c r="AE2604" s="49">
        <f t="shared" si="107"/>
        <v>0.625</v>
      </c>
      <c r="AF2604" s="17"/>
      <c r="AG2604" s="17">
        <v>0</v>
      </c>
      <c r="AH2604" s="17">
        <v>0</v>
      </c>
      <c r="AI2604" s="17">
        <v>0</v>
      </c>
      <c r="AJ2604" s="17">
        <v>0</v>
      </c>
      <c r="AK2604" s="153">
        <v>0</v>
      </c>
      <c r="AL2604" s="154">
        <v>0</v>
      </c>
      <c r="AM2604" s="147">
        <f t="shared" si="106"/>
        <v>0</v>
      </c>
      <c r="AN2604" t="s">
        <v>3643</v>
      </c>
      <c r="AO2604" s="18" t="s">
        <v>3630</v>
      </c>
      <c r="AP2604" t="s">
        <v>10350</v>
      </c>
    </row>
    <row r="2605" spans="1:42" customFormat="1" x14ac:dyDescent="0.3">
      <c r="A2605" s="148" t="s">
        <v>8319</v>
      </c>
      <c r="B2605" t="s">
        <v>8320</v>
      </c>
      <c r="C2605" s="148" t="s">
        <v>9410</v>
      </c>
      <c r="D2605" t="s">
        <v>9411</v>
      </c>
      <c r="E2605" s="148" t="s">
        <v>9412</v>
      </c>
      <c r="F2605" t="s">
        <v>9413</v>
      </c>
      <c r="G2605" s="148" t="s">
        <v>9820</v>
      </c>
      <c r="H2605" t="s">
        <v>9821</v>
      </c>
      <c r="K2605" s="155" t="s">
        <v>10021</v>
      </c>
      <c r="L2605" t="s">
        <v>10022</v>
      </c>
      <c r="M2605" s="1"/>
      <c r="N2605" s="1"/>
      <c r="O2605" s="1"/>
      <c r="P2605" s="3"/>
      <c r="Q2605" s="3"/>
      <c r="R2605" s="3"/>
      <c r="S2605" s="3"/>
      <c r="U2605" t="e">
        <v>#N/A</v>
      </c>
      <c r="V2605" t="s">
        <v>10351</v>
      </c>
      <c r="W2605" s="45">
        <v>1</v>
      </c>
      <c r="X2605" s="45">
        <v>0</v>
      </c>
      <c r="Y2605" s="45">
        <v>0</v>
      </c>
      <c r="Z2605" s="45">
        <v>1</v>
      </c>
      <c r="AA2605" s="45">
        <v>1</v>
      </c>
      <c r="AB2605" s="45">
        <v>1</v>
      </c>
      <c r="AC2605" s="150">
        <v>0</v>
      </c>
      <c r="AD2605" s="150">
        <v>1</v>
      </c>
      <c r="AE2605" s="49">
        <f t="shared" si="107"/>
        <v>0.625</v>
      </c>
      <c r="AF2605" s="44"/>
      <c r="AG2605" s="17">
        <v>0</v>
      </c>
      <c r="AH2605" s="44">
        <v>10</v>
      </c>
      <c r="AI2605" s="44">
        <v>0.5</v>
      </c>
      <c r="AJ2605" s="44">
        <v>0</v>
      </c>
      <c r="AK2605" s="151">
        <v>0</v>
      </c>
      <c r="AL2605" s="151">
        <v>0</v>
      </c>
      <c r="AM2605" s="147">
        <f t="shared" si="106"/>
        <v>0</v>
      </c>
      <c r="AN2605" t="s">
        <v>5698</v>
      </c>
      <c r="AO2605" s="18" t="s">
        <v>2019</v>
      </c>
      <c r="AP2605" t="s">
        <v>10352</v>
      </c>
    </row>
    <row r="2606" spans="1:42" customFormat="1" x14ac:dyDescent="0.3">
      <c r="A2606" s="148" t="s">
        <v>8319</v>
      </c>
      <c r="B2606" t="s">
        <v>8320</v>
      </c>
      <c r="C2606" s="148" t="s">
        <v>9410</v>
      </c>
      <c r="D2606" t="s">
        <v>9411</v>
      </c>
      <c r="E2606" s="148" t="s">
        <v>9412</v>
      </c>
      <c r="F2606" t="s">
        <v>9413</v>
      </c>
      <c r="G2606" s="148" t="s">
        <v>9479</v>
      </c>
      <c r="H2606" t="s">
        <v>9480</v>
      </c>
      <c r="K2606" s="148" t="s">
        <v>10353</v>
      </c>
      <c r="L2606" t="s">
        <v>10354</v>
      </c>
      <c r="M2606" s="1" t="s">
        <v>10355</v>
      </c>
      <c r="N2606" s="1"/>
      <c r="O2606" s="1">
        <v>0.75</v>
      </c>
      <c r="P2606" s="3">
        <v>0.8</v>
      </c>
      <c r="Q2606" s="3">
        <v>0.85</v>
      </c>
      <c r="R2606" s="3">
        <v>0.9</v>
      </c>
      <c r="S2606" s="3">
        <v>1</v>
      </c>
      <c r="T2606" t="s">
        <v>9489</v>
      </c>
      <c r="U2606" t="e">
        <v>#N/A</v>
      </c>
      <c r="V2606" t="s">
        <v>10356</v>
      </c>
      <c r="W2606" s="45">
        <v>1</v>
      </c>
      <c r="X2606" s="45">
        <v>0</v>
      </c>
      <c r="Y2606" s="45">
        <v>0</v>
      </c>
      <c r="Z2606" s="45">
        <v>1</v>
      </c>
      <c r="AA2606" s="45">
        <v>1</v>
      </c>
      <c r="AB2606" s="45">
        <v>1</v>
      </c>
      <c r="AC2606" s="150">
        <v>1</v>
      </c>
      <c r="AD2606" s="150">
        <v>0</v>
      </c>
      <c r="AE2606" s="49">
        <f t="shared" si="107"/>
        <v>0.625</v>
      </c>
      <c r="AF2606" s="44"/>
      <c r="AG2606" s="17">
        <v>0</v>
      </c>
      <c r="AH2606" s="44">
        <v>0</v>
      </c>
      <c r="AI2606" s="44">
        <v>0</v>
      </c>
      <c r="AJ2606" s="44">
        <v>0</v>
      </c>
      <c r="AK2606" s="151">
        <v>0</v>
      </c>
      <c r="AL2606" s="151">
        <v>0</v>
      </c>
      <c r="AM2606" s="147">
        <f t="shared" si="106"/>
        <v>0</v>
      </c>
      <c r="AN2606" s="44" t="s">
        <v>9491</v>
      </c>
      <c r="AO2606" s="18" t="s">
        <v>9492</v>
      </c>
      <c r="AP2606" t="s">
        <v>10357</v>
      </c>
    </row>
    <row r="2607" spans="1:42" customFormat="1" x14ac:dyDescent="0.3">
      <c r="A2607" s="148" t="s">
        <v>8319</v>
      </c>
      <c r="B2607" t="s">
        <v>8320</v>
      </c>
      <c r="C2607" s="148" t="s">
        <v>9410</v>
      </c>
      <c r="D2607" t="s">
        <v>9411</v>
      </c>
      <c r="E2607" s="148" t="s">
        <v>9412</v>
      </c>
      <c r="F2607" t="s">
        <v>9413</v>
      </c>
      <c r="G2607" s="148" t="s">
        <v>9479</v>
      </c>
      <c r="H2607" t="s">
        <v>9480</v>
      </c>
      <c r="K2607" s="155" t="s">
        <v>10358</v>
      </c>
      <c r="L2607" t="s">
        <v>10354</v>
      </c>
      <c r="M2607" s="1"/>
      <c r="N2607" s="1"/>
      <c r="O2607" s="1"/>
      <c r="P2607" s="3"/>
      <c r="Q2607" s="3"/>
      <c r="R2607" s="3"/>
      <c r="S2607" s="3"/>
      <c r="U2607" t="e">
        <v>#N/A</v>
      </c>
      <c r="V2607" t="s">
        <v>10359</v>
      </c>
      <c r="W2607" s="45">
        <v>1</v>
      </c>
      <c r="X2607" s="45">
        <v>1</v>
      </c>
      <c r="Y2607" s="45">
        <v>0</v>
      </c>
      <c r="Z2607" s="45">
        <v>1</v>
      </c>
      <c r="AA2607" s="45">
        <v>1</v>
      </c>
      <c r="AB2607" s="45">
        <v>0</v>
      </c>
      <c r="AC2607" s="150">
        <v>0</v>
      </c>
      <c r="AD2607" s="150">
        <v>1</v>
      </c>
      <c r="AE2607" s="49">
        <f t="shared" si="107"/>
        <v>0.625</v>
      </c>
      <c r="AF2607" s="17"/>
      <c r="AG2607" s="17">
        <v>0</v>
      </c>
      <c r="AH2607" s="17">
        <v>0</v>
      </c>
      <c r="AI2607" s="17">
        <v>0</v>
      </c>
      <c r="AJ2607" s="17">
        <v>0</v>
      </c>
      <c r="AK2607" s="153">
        <v>0.5</v>
      </c>
      <c r="AL2607" s="154">
        <v>0.5</v>
      </c>
      <c r="AM2607" s="147">
        <f t="shared" si="106"/>
        <v>1</v>
      </c>
      <c r="AN2607" s="44" t="s">
        <v>9491</v>
      </c>
      <c r="AO2607" s="18" t="s">
        <v>9492</v>
      </c>
      <c r="AP2607" t="s">
        <v>3643</v>
      </c>
    </row>
    <row r="2608" spans="1:42" customFormat="1" x14ac:dyDescent="0.3">
      <c r="A2608" s="148" t="s">
        <v>8319</v>
      </c>
      <c r="B2608" t="s">
        <v>8320</v>
      </c>
      <c r="C2608" s="148" t="s">
        <v>9496</v>
      </c>
      <c r="D2608" t="s">
        <v>9497</v>
      </c>
      <c r="E2608" s="148" t="s">
        <v>9498</v>
      </c>
      <c r="F2608" t="s">
        <v>9499</v>
      </c>
      <c r="G2608" s="148" t="s">
        <v>9500</v>
      </c>
      <c r="H2608" t="s">
        <v>9501</v>
      </c>
      <c r="K2608" s="148" t="s">
        <v>10360</v>
      </c>
      <c r="L2608" t="s">
        <v>10361</v>
      </c>
      <c r="M2608" s="1" t="s">
        <v>10362</v>
      </c>
      <c r="N2608" s="1">
        <v>0</v>
      </c>
      <c r="O2608" s="1">
        <v>0</v>
      </c>
      <c r="P2608" s="3">
        <v>156</v>
      </c>
      <c r="Q2608" s="3">
        <v>321</v>
      </c>
      <c r="R2608" s="3">
        <v>493</v>
      </c>
      <c r="S2608" s="3">
        <v>505</v>
      </c>
      <c r="T2608" t="s">
        <v>10363</v>
      </c>
      <c r="U2608" t="e">
        <v>#N/A</v>
      </c>
      <c r="V2608" t="s">
        <v>10364</v>
      </c>
      <c r="W2608" s="45">
        <v>1</v>
      </c>
      <c r="X2608" s="45">
        <v>1</v>
      </c>
      <c r="Y2608" s="45">
        <v>1</v>
      </c>
      <c r="Z2608" s="45">
        <v>0</v>
      </c>
      <c r="AA2608" s="45">
        <v>0</v>
      </c>
      <c r="AB2608" s="45">
        <v>1</v>
      </c>
      <c r="AC2608" s="150">
        <v>0</v>
      </c>
      <c r="AD2608" s="150">
        <v>1</v>
      </c>
      <c r="AE2608" s="49">
        <f t="shared" si="107"/>
        <v>0.625</v>
      </c>
      <c r="AF2608" s="44"/>
      <c r="AG2608" s="17">
        <v>0</v>
      </c>
      <c r="AH2608" s="44">
        <v>0</v>
      </c>
      <c r="AI2608" s="44">
        <v>0</v>
      </c>
      <c r="AJ2608" s="44">
        <v>0</v>
      </c>
      <c r="AK2608" s="151">
        <v>5</v>
      </c>
      <c r="AL2608" s="151">
        <v>5</v>
      </c>
      <c r="AM2608" s="147">
        <f t="shared" si="106"/>
        <v>10</v>
      </c>
      <c r="AN2608" s="18" t="s">
        <v>771</v>
      </c>
      <c r="AO2608" s="18" t="s">
        <v>773</v>
      </c>
      <c r="AP2608" t="s">
        <v>723</v>
      </c>
    </row>
    <row r="2609" spans="1:42" customFormat="1" x14ac:dyDescent="0.3">
      <c r="A2609" s="148" t="s">
        <v>8319</v>
      </c>
      <c r="B2609" t="s">
        <v>8320</v>
      </c>
      <c r="C2609" s="148" t="s">
        <v>9496</v>
      </c>
      <c r="D2609" t="s">
        <v>9497</v>
      </c>
      <c r="E2609" s="148" t="s">
        <v>9498</v>
      </c>
      <c r="F2609" t="s">
        <v>9499</v>
      </c>
      <c r="G2609" s="148" t="s">
        <v>9500</v>
      </c>
      <c r="H2609" t="s">
        <v>9501</v>
      </c>
      <c r="K2609" s="148" t="s">
        <v>9840</v>
      </c>
      <c r="L2609" t="s">
        <v>9841</v>
      </c>
      <c r="M2609" s="1" t="s">
        <v>10365</v>
      </c>
      <c r="N2609" s="1">
        <v>0</v>
      </c>
      <c r="O2609" s="1">
        <v>1</v>
      </c>
      <c r="P2609" s="3">
        <v>1</v>
      </c>
      <c r="Q2609" s="3">
        <v>1</v>
      </c>
      <c r="R2609" s="3">
        <v>1</v>
      </c>
      <c r="S2609" s="3">
        <v>1</v>
      </c>
      <c r="T2609" t="s">
        <v>771</v>
      </c>
      <c r="U2609" t="s">
        <v>773</v>
      </c>
      <c r="V2609" t="s">
        <v>10366</v>
      </c>
      <c r="W2609" s="45">
        <v>1</v>
      </c>
      <c r="X2609" s="45">
        <v>1</v>
      </c>
      <c r="Y2609" s="45">
        <v>1</v>
      </c>
      <c r="Z2609" s="45">
        <v>0</v>
      </c>
      <c r="AA2609" s="45">
        <v>0</v>
      </c>
      <c r="AB2609" s="45">
        <v>1</v>
      </c>
      <c r="AC2609" s="150">
        <v>1</v>
      </c>
      <c r="AD2609" s="150">
        <v>0</v>
      </c>
      <c r="AE2609" s="49">
        <f t="shared" si="107"/>
        <v>0.625</v>
      </c>
      <c r="AF2609" s="44"/>
      <c r="AG2609" s="17">
        <v>0</v>
      </c>
      <c r="AH2609" s="44">
        <v>0</v>
      </c>
      <c r="AI2609" s="44">
        <v>0</v>
      </c>
      <c r="AJ2609" s="44">
        <v>0</v>
      </c>
      <c r="AK2609" s="151">
        <v>0</v>
      </c>
      <c r="AL2609" s="151">
        <v>0</v>
      </c>
      <c r="AM2609" s="147">
        <f t="shared" si="106"/>
        <v>0</v>
      </c>
      <c r="AN2609" s="18" t="s">
        <v>771</v>
      </c>
      <c r="AO2609" s="18" t="s">
        <v>773</v>
      </c>
      <c r="AP2609" t="s">
        <v>119</v>
      </c>
    </row>
    <row r="2610" spans="1:42" customFormat="1" x14ac:dyDescent="0.3">
      <c r="A2610" s="148" t="s">
        <v>8319</v>
      </c>
      <c r="B2610" t="s">
        <v>8320</v>
      </c>
      <c r="C2610" s="148" t="s">
        <v>9496</v>
      </c>
      <c r="D2610" t="s">
        <v>9497</v>
      </c>
      <c r="E2610" s="148" t="s">
        <v>9498</v>
      </c>
      <c r="F2610" t="s">
        <v>9499</v>
      </c>
      <c r="G2610" s="148" t="s">
        <v>9500</v>
      </c>
      <c r="H2610" t="s">
        <v>9501</v>
      </c>
      <c r="K2610" s="148" t="s">
        <v>10367</v>
      </c>
      <c r="L2610" t="s">
        <v>10368</v>
      </c>
      <c r="M2610" s="1" t="s">
        <v>10037</v>
      </c>
      <c r="N2610" s="1">
        <v>5000</v>
      </c>
      <c r="O2610" s="1">
        <v>2000</v>
      </c>
      <c r="P2610" s="3">
        <v>2000</v>
      </c>
      <c r="Q2610" s="3">
        <v>2000</v>
      </c>
      <c r="R2610" s="3">
        <v>2000</v>
      </c>
      <c r="S2610" s="3">
        <v>2000</v>
      </c>
      <c r="T2610" t="s">
        <v>1536</v>
      </c>
      <c r="U2610" t="e">
        <v>#N/A</v>
      </c>
      <c r="V2610" t="s">
        <v>10369</v>
      </c>
      <c r="W2610" s="45">
        <v>1</v>
      </c>
      <c r="X2610" s="45">
        <v>0</v>
      </c>
      <c r="Y2610" s="45">
        <v>0</v>
      </c>
      <c r="Z2610" s="45">
        <v>1</v>
      </c>
      <c r="AA2610" s="45">
        <v>1</v>
      </c>
      <c r="AB2610" s="45">
        <v>0</v>
      </c>
      <c r="AC2610" s="150">
        <v>1</v>
      </c>
      <c r="AD2610" s="150">
        <v>1</v>
      </c>
      <c r="AE2610" s="49">
        <f t="shared" si="107"/>
        <v>0.625</v>
      </c>
      <c r="AF2610" s="44"/>
      <c r="AG2610" s="17">
        <v>0</v>
      </c>
      <c r="AH2610" s="44">
        <v>0.5</v>
      </c>
      <c r="AI2610" s="44">
        <v>0.5</v>
      </c>
      <c r="AJ2610" s="44">
        <v>0.5</v>
      </c>
      <c r="AK2610" s="151">
        <v>0.5</v>
      </c>
      <c r="AL2610" s="151">
        <v>0.5</v>
      </c>
      <c r="AM2610" s="147">
        <f t="shared" si="106"/>
        <v>1</v>
      </c>
      <c r="AN2610" s="18" t="s">
        <v>771</v>
      </c>
      <c r="AO2610" s="18" t="s">
        <v>773</v>
      </c>
      <c r="AP2610" t="s">
        <v>1563</v>
      </c>
    </row>
    <row r="2611" spans="1:42" customFormat="1" x14ac:dyDescent="0.3">
      <c r="A2611" s="148" t="s">
        <v>8319</v>
      </c>
      <c r="B2611" t="s">
        <v>8320</v>
      </c>
      <c r="C2611" s="148" t="s">
        <v>9496</v>
      </c>
      <c r="D2611" t="s">
        <v>9497</v>
      </c>
      <c r="E2611" s="148" t="s">
        <v>9498</v>
      </c>
      <c r="F2611" t="s">
        <v>9499</v>
      </c>
      <c r="G2611" s="148" t="s">
        <v>9500</v>
      </c>
      <c r="H2611" t="s">
        <v>9501</v>
      </c>
      <c r="K2611" s="148" t="s">
        <v>10370</v>
      </c>
      <c r="L2611" t="s">
        <v>10371</v>
      </c>
      <c r="M2611" s="1" t="s">
        <v>10372</v>
      </c>
      <c r="N2611" s="1">
        <v>0</v>
      </c>
      <c r="O2611" s="1">
        <v>0</v>
      </c>
      <c r="P2611" s="3">
        <v>16</v>
      </c>
      <c r="Q2611" s="3">
        <v>0</v>
      </c>
      <c r="R2611" s="3">
        <v>0</v>
      </c>
      <c r="S2611" s="3">
        <v>0</v>
      </c>
      <c r="T2611" t="s">
        <v>10373</v>
      </c>
      <c r="U2611" t="e">
        <v>#N/A</v>
      </c>
      <c r="V2611" t="s">
        <v>10374</v>
      </c>
      <c r="W2611" s="45">
        <v>1</v>
      </c>
      <c r="X2611" s="45">
        <v>0</v>
      </c>
      <c r="Y2611" s="45">
        <v>0</v>
      </c>
      <c r="Z2611" s="45">
        <v>1</v>
      </c>
      <c r="AA2611" s="45">
        <v>1</v>
      </c>
      <c r="AB2611" s="45">
        <v>0</v>
      </c>
      <c r="AC2611" s="150">
        <v>1</v>
      </c>
      <c r="AD2611" s="150">
        <v>1</v>
      </c>
      <c r="AE2611" s="49">
        <f t="shared" si="107"/>
        <v>0.625</v>
      </c>
      <c r="AF2611" s="44"/>
      <c r="AG2611" s="17">
        <v>0</v>
      </c>
      <c r="AH2611" s="44">
        <v>0</v>
      </c>
      <c r="AI2611" s="44">
        <v>0.04</v>
      </c>
      <c r="AJ2611" s="44">
        <v>0</v>
      </c>
      <c r="AK2611" s="151">
        <v>0</v>
      </c>
      <c r="AL2611" s="151">
        <v>0</v>
      </c>
      <c r="AM2611" s="147">
        <f t="shared" si="106"/>
        <v>0</v>
      </c>
      <c r="AN2611" s="44" t="s">
        <v>771</v>
      </c>
      <c r="AO2611" s="18" t="s">
        <v>773</v>
      </c>
      <c r="AP2611" t="s">
        <v>10375</v>
      </c>
    </row>
    <row r="2612" spans="1:42" customFormat="1" x14ac:dyDescent="0.3">
      <c r="A2612" s="148" t="s">
        <v>8319</v>
      </c>
      <c r="B2612" t="s">
        <v>8320</v>
      </c>
      <c r="C2612" s="148" t="s">
        <v>9496</v>
      </c>
      <c r="D2612" t="s">
        <v>9497</v>
      </c>
      <c r="E2612" s="148" t="s">
        <v>9498</v>
      </c>
      <c r="F2612" t="s">
        <v>9499</v>
      </c>
      <c r="G2612" s="148" t="s">
        <v>9500</v>
      </c>
      <c r="H2612" t="s">
        <v>9501</v>
      </c>
      <c r="K2612" s="148" t="s">
        <v>10376</v>
      </c>
      <c r="L2612" t="s">
        <v>10377</v>
      </c>
      <c r="M2612" s="1" t="s">
        <v>10378</v>
      </c>
      <c r="N2612" s="1">
        <v>0</v>
      </c>
      <c r="O2612" s="1">
        <v>0</v>
      </c>
      <c r="P2612" s="3">
        <v>490</v>
      </c>
      <c r="Q2612" s="3">
        <v>0</v>
      </c>
      <c r="R2612" s="3">
        <v>0</v>
      </c>
      <c r="S2612" s="3">
        <v>0</v>
      </c>
      <c r="T2612" t="s">
        <v>10373</v>
      </c>
      <c r="U2612" t="e">
        <v>#N/A</v>
      </c>
      <c r="V2612" t="s">
        <v>10379</v>
      </c>
      <c r="W2612" s="45">
        <v>1</v>
      </c>
      <c r="X2612" s="45">
        <v>0</v>
      </c>
      <c r="Y2612" s="45">
        <v>0</v>
      </c>
      <c r="Z2612" s="45">
        <v>1</v>
      </c>
      <c r="AA2612" s="45">
        <v>1</v>
      </c>
      <c r="AB2612" s="45">
        <v>0</v>
      </c>
      <c r="AC2612" s="150">
        <v>1</v>
      </c>
      <c r="AD2612" s="150">
        <v>1</v>
      </c>
      <c r="AE2612" s="49">
        <f t="shared" si="107"/>
        <v>0.625</v>
      </c>
      <c r="AF2612" s="44"/>
      <c r="AG2612" s="17">
        <v>0</v>
      </c>
      <c r="AH2612" s="44">
        <v>0</v>
      </c>
      <c r="AI2612" s="44">
        <v>0.3</v>
      </c>
      <c r="AJ2612" s="44">
        <v>0</v>
      </c>
      <c r="AK2612" s="151">
        <v>0</v>
      </c>
      <c r="AL2612" s="151">
        <v>0</v>
      </c>
      <c r="AM2612" s="147">
        <f t="shared" si="106"/>
        <v>0</v>
      </c>
      <c r="AN2612" s="44" t="s">
        <v>771</v>
      </c>
      <c r="AO2612" s="18" t="s">
        <v>773</v>
      </c>
      <c r="AP2612" t="s">
        <v>10375</v>
      </c>
    </row>
    <row r="2613" spans="1:42" customFormat="1" x14ac:dyDescent="0.3">
      <c r="A2613" s="148" t="s">
        <v>8319</v>
      </c>
      <c r="B2613" t="s">
        <v>8320</v>
      </c>
      <c r="C2613" s="148" t="s">
        <v>9496</v>
      </c>
      <c r="D2613" t="s">
        <v>9497</v>
      </c>
      <c r="E2613" s="148" t="s">
        <v>9498</v>
      </c>
      <c r="F2613" t="s">
        <v>9499</v>
      </c>
      <c r="G2613" s="148" t="s">
        <v>9538</v>
      </c>
      <c r="H2613" t="s">
        <v>9539</v>
      </c>
      <c r="K2613" s="148" t="s">
        <v>9540</v>
      </c>
      <c r="L2613" t="s">
        <v>9541</v>
      </c>
      <c r="M2613" s="1" t="s">
        <v>10380</v>
      </c>
      <c r="N2613" s="1">
        <v>35</v>
      </c>
      <c r="O2613" s="1">
        <v>36</v>
      </c>
      <c r="P2613" s="3">
        <v>37</v>
      </c>
      <c r="Q2613" s="3">
        <v>38</v>
      </c>
      <c r="R2613" s="3">
        <v>39</v>
      </c>
      <c r="S2613" s="3">
        <v>40</v>
      </c>
      <c r="T2613" t="s">
        <v>771</v>
      </c>
      <c r="U2613" t="s">
        <v>773</v>
      </c>
      <c r="V2613" t="s">
        <v>10381</v>
      </c>
      <c r="W2613" s="45">
        <v>1</v>
      </c>
      <c r="X2613" s="45">
        <v>0</v>
      </c>
      <c r="Y2613" s="45">
        <v>0</v>
      </c>
      <c r="Z2613" s="45">
        <v>1</v>
      </c>
      <c r="AA2613" s="45">
        <v>1</v>
      </c>
      <c r="AB2613" s="45">
        <v>0</v>
      </c>
      <c r="AC2613" s="150">
        <v>1</v>
      </c>
      <c r="AD2613" s="150">
        <v>1</v>
      </c>
      <c r="AE2613" s="49">
        <f t="shared" si="107"/>
        <v>0.625</v>
      </c>
      <c r="AF2613" s="44"/>
      <c r="AG2613" s="17">
        <v>0</v>
      </c>
      <c r="AH2613" s="44">
        <v>1.5</v>
      </c>
      <c r="AI2613" s="44">
        <v>1.5</v>
      </c>
      <c r="AJ2613" s="44">
        <v>1.5</v>
      </c>
      <c r="AK2613" s="151">
        <v>1.5</v>
      </c>
      <c r="AL2613" s="151">
        <v>1.5</v>
      </c>
      <c r="AM2613" s="147">
        <f t="shared" si="106"/>
        <v>3</v>
      </c>
      <c r="AN2613" s="18" t="s">
        <v>771</v>
      </c>
      <c r="AO2613" s="18" t="s">
        <v>773</v>
      </c>
      <c r="AP2613" t="s">
        <v>1563</v>
      </c>
    </row>
    <row r="2614" spans="1:42" customFormat="1" x14ac:dyDescent="0.3">
      <c r="A2614" s="148" t="s">
        <v>8319</v>
      </c>
      <c r="B2614" t="s">
        <v>8320</v>
      </c>
      <c r="C2614" s="148" t="s">
        <v>9496</v>
      </c>
      <c r="D2614" t="s">
        <v>9497</v>
      </c>
      <c r="E2614" s="148" t="s">
        <v>9498</v>
      </c>
      <c r="F2614" t="s">
        <v>9499</v>
      </c>
      <c r="G2614" s="148" t="s">
        <v>9538</v>
      </c>
      <c r="H2614" t="s">
        <v>9539</v>
      </c>
      <c r="K2614" s="148" t="s">
        <v>9540</v>
      </c>
      <c r="L2614" t="s">
        <v>9541</v>
      </c>
      <c r="M2614" s="1" t="s">
        <v>10382</v>
      </c>
      <c r="N2614" s="1">
        <v>0</v>
      </c>
      <c r="O2614" s="1">
        <v>5000</v>
      </c>
      <c r="P2614" s="3">
        <v>10000</v>
      </c>
      <c r="Q2614" s="3">
        <v>15000</v>
      </c>
      <c r="R2614" s="3">
        <v>20000</v>
      </c>
      <c r="S2614" s="3">
        <v>25000</v>
      </c>
      <c r="T2614" t="s">
        <v>10383</v>
      </c>
      <c r="U2614" t="e">
        <v>#N/A</v>
      </c>
      <c r="V2614" t="s">
        <v>10384</v>
      </c>
      <c r="W2614" s="45">
        <v>1</v>
      </c>
      <c r="X2614" s="45">
        <v>0</v>
      </c>
      <c r="Y2614" s="45">
        <v>0</v>
      </c>
      <c r="Z2614" s="45">
        <v>1</v>
      </c>
      <c r="AA2614" s="45">
        <v>1</v>
      </c>
      <c r="AB2614" s="45">
        <v>0</v>
      </c>
      <c r="AC2614" s="150">
        <v>1</v>
      </c>
      <c r="AD2614" s="150">
        <v>1</v>
      </c>
      <c r="AE2614" s="49">
        <f t="shared" si="107"/>
        <v>0.625</v>
      </c>
      <c r="AF2614" s="44"/>
      <c r="AG2614" s="17">
        <v>0</v>
      </c>
      <c r="AH2614" s="44">
        <v>0.2</v>
      </c>
      <c r="AI2614" s="44">
        <v>0.25</v>
      </c>
      <c r="AJ2614" s="44">
        <v>0.25</v>
      </c>
      <c r="AK2614" s="151">
        <v>0</v>
      </c>
      <c r="AL2614" s="151">
        <v>0</v>
      </c>
      <c r="AM2614" s="147">
        <f t="shared" si="106"/>
        <v>0</v>
      </c>
      <c r="AN2614" s="18" t="s">
        <v>771</v>
      </c>
      <c r="AO2614" s="18" t="s">
        <v>773</v>
      </c>
      <c r="AP2614" t="s">
        <v>10385</v>
      </c>
    </row>
    <row r="2615" spans="1:42" customFormat="1" x14ac:dyDescent="0.3">
      <c r="A2615" s="148" t="s">
        <v>8319</v>
      </c>
      <c r="B2615" t="s">
        <v>8320</v>
      </c>
      <c r="C2615" s="148" t="s">
        <v>9496</v>
      </c>
      <c r="D2615" t="s">
        <v>9497</v>
      </c>
      <c r="E2615" s="148" t="s">
        <v>9498</v>
      </c>
      <c r="F2615" t="s">
        <v>9499</v>
      </c>
      <c r="G2615" s="148" t="s">
        <v>9538</v>
      </c>
      <c r="H2615" t="s">
        <v>9539</v>
      </c>
      <c r="K2615" s="148" t="s">
        <v>10386</v>
      </c>
      <c r="L2615" t="s">
        <v>10387</v>
      </c>
      <c r="M2615" s="1" t="s">
        <v>10388</v>
      </c>
      <c r="N2615" s="1">
        <v>0</v>
      </c>
      <c r="O2615" s="1">
        <v>1</v>
      </c>
      <c r="P2615" s="3">
        <v>1</v>
      </c>
      <c r="Q2615" s="3">
        <v>1</v>
      </c>
      <c r="R2615" s="3">
        <v>1</v>
      </c>
      <c r="S2615" s="3">
        <v>1</v>
      </c>
      <c r="T2615" t="s">
        <v>1536</v>
      </c>
      <c r="U2615" t="e">
        <v>#N/A</v>
      </c>
      <c r="V2615" t="s">
        <v>10389</v>
      </c>
      <c r="W2615" s="45">
        <v>1</v>
      </c>
      <c r="X2615" s="45">
        <v>0</v>
      </c>
      <c r="Y2615" s="45">
        <v>0</v>
      </c>
      <c r="Z2615" s="45">
        <v>1</v>
      </c>
      <c r="AA2615" s="45">
        <v>1</v>
      </c>
      <c r="AB2615" s="45">
        <v>0</v>
      </c>
      <c r="AC2615" s="150">
        <v>1</v>
      </c>
      <c r="AD2615" s="150">
        <v>1</v>
      </c>
      <c r="AE2615" s="49">
        <f t="shared" si="107"/>
        <v>0.625</v>
      </c>
      <c r="AF2615" s="44"/>
      <c r="AG2615" s="17">
        <v>0</v>
      </c>
      <c r="AH2615" s="44">
        <v>0.3</v>
      </c>
      <c r="AI2615" s="44">
        <v>0.2</v>
      </c>
      <c r="AJ2615" s="44">
        <v>0.2</v>
      </c>
      <c r="AK2615" s="151">
        <v>0.2</v>
      </c>
      <c r="AL2615" s="151">
        <v>0.2</v>
      </c>
      <c r="AM2615" s="147">
        <f t="shared" si="106"/>
        <v>0.4</v>
      </c>
      <c r="AN2615" s="18" t="s">
        <v>771</v>
      </c>
      <c r="AO2615" s="18" t="s">
        <v>773</v>
      </c>
      <c r="AP2615" t="s">
        <v>119</v>
      </c>
    </row>
    <row r="2616" spans="1:42" customFormat="1" x14ac:dyDescent="0.3">
      <c r="A2616" s="148" t="s">
        <v>8319</v>
      </c>
      <c r="B2616" t="s">
        <v>8320</v>
      </c>
      <c r="C2616" s="148" t="s">
        <v>9496</v>
      </c>
      <c r="D2616" t="s">
        <v>9497</v>
      </c>
      <c r="E2616" s="148" t="s">
        <v>9498</v>
      </c>
      <c r="F2616" t="s">
        <v>9499</v>
      </c>
      <c r="G2616" s="148" t="s">
        <v>10390</v>
      </c>
      <c r="H2616" t="s">
        <v>10391</v>
      </c>
      <c r="K2616" s="148" t="s">
        <v>10392</v>
      </c>
      <c r="L2616" t="s">
        <v>10393</v>
      </c>
      <c r="M2616" s="1" t="s">
        <v>10394</v>
      </c>
      <c r="N2616" s="1">
        <v>0</v>
      </c>
      <c r="O2616" s="1">
        <v>1</v>
      </c>
      <c r="P2616" s="3">
        <v>1</v>
      </c>
      <c r="Q2616" s="3">
        <v>1</v>
      </c>
      <c r="R2616" s="3">
        <v>1</v>
      </c>
      <c r="S2616" s="3">
        <v>1</v>
      </c>
      <c r="T2616" t="s">
        <v>10363</v>
      </c>
      <c r="U2616" t="e">
        <v>#N/A</v>
      </c>
      <c r="V2616" t="s">
        <v>10395</v>
      </c>
      <c r="W2616" s="45">
        <v>1</v>
      </c>
      <c r="X2616" s="45">
        <v>0</v>
      </c>
      <c r="Y2616" s="45">
        <v>0</v>
      </c>
      <c r="Z2616" s="45">
        <v>1</v>
      </c>
      <c r="AA2616" s="45">
        <v>1</v>
      </c>
      <c r="AB2616" s="45">
        <v>0</v>
      </c>
      <c r="AC2616" s="150">
        <v>1</v>
      </c>
      <c r="AD2616" s="150">
        <v>1</v>
      </c>
      <c r="AE2616" s="49">
        <f t="shared" si="107"/>
        <v>0.625</v>
      </c>
      <c r="AF2616" s="44"/>
      <c r="AG2616" s="17">
        <v>0</v>
      </c>
      <c r="AH2616" s="44">
        <v>10</v>
      </c>
      <c r="AI2616" s="44">
        <v>10</v>
      </c>
      <c r="AJ2616" s="44">
        <v>10</v>
      </c>
      <c r="AK2616" s="151">
        <v>10</v>
      </c>
      <c r="AL2616" s="151">
        <v>10</v>
      </c>
      <c r="AM2616" s="147">
        <f t="shared" si="106"/>
        <v>20</v>
      </c>
      <c r="AN2616" s="18" t="s">
        <v>771</v>
      </c>
      <c r="AO2616" s="18" t="s">
        <v>773</v>
      </c>
      <c r="AP2616" t="s">
        <v>10396</v>
      </c>
    </row>
    <row r="2617" spans="1:42" customFormat="1" x14ac:dyDescent="0.3">
      <c r="A2617" s="148" t="s">
        <v>8319</v>
      </c>
      <c r="B2617" t="s">
        <v>8320</v>
      </c>
      <c r="C2617" s="148" t="s">
        <v>9496</v>
      </c>
      <c r="D2617" t="s">
        <v>9497</v>
      </c>
      <c r="E2617" s="148" t="s">
        <v>9498</v>
      </c>
      <c r="F2617" t="s">
        <v>9499</v>
      </c>
      <c r="G2617" s="148" t="s">
        <v>10049</v>
      </c>
      <c r="H2617" t="s">
        <v>10050</v>
      </c>
      <c r="K2617" s="148" t="s">
        <v>10397</v>
      </c>
      <c r="L2617" t="s">
        <v>10398</v>
      </c>
      <c r="M2617" s="1" t="s">
        <v>10399</v>
      </c>
      <c r="N2617" s="1">
        <v>7</v>
      </c>
      <c r="O2617" s="1">
        <v>3</v>
      </c>
      <c r="P2617" s="3">
        <v>3</v>
      </c>
      <c r="Q2617" s="3">
        <v>6</v>
      </c>
      <c r="R2617" s="3">
        <v>3</v>
      </c>
      <c r="S2617" s="3">
        <v>3</v>
      </c>
      <c r="T2617" t="s">
        <v>1563</v>
      </c>
      <c r="U2617" t="s">
        <v>1565</v>
      </c>
      <c r="V2617" t="s">
        <v>10400</v>
      </c>
      <c r="W2617" s="45">
        <v>1</v>
      </c>
      <c r="X2617" s="45">
        <v>0</v>
      </c>
      <c r="Y2617" s="45">
        <v>0</v>
      </c>
      <c r="Z2617" s="45">
        <v>1</v>
      </c>
      <c r="AA2617" s="45">
        <v>1</v>
      </c>
      <c r="AB2617" s="45">
        <v>0</v>
      </c>
      <c r="AC2617" s="150">
        <v>1</v>
      </c>
      <c r="AD2617" s="150">
        <v>1</v>
      </c>
      <c r="AE2617" s="49">
        <f t="shared" si="107"/>
        <v>0.625</v>
      </c>
      <c r="AF2617" s="44"/>
      <c r="AG2617" s="17">
        <v>0</v>
      </c>
      <c r="AH2617" s="44">
        <v>0.68</v>
      </c>
      <c r="AI2617" s="44">
        <v>0.2</v>
      </c>
      <c r="AJ2617" s="44">
        <v>0.12</v>
      </c>
      <c r="AK2617" s="151">
        <v>0.14000000000000001</v>
      </c>
      <c r="AL2617" s="151">
        <v>0.17</v>
      </c>
      <c r="AM2617" s="147">
        <f t="shared" si="106"/>
        <v>0.31000000000000005</v>
      </c>
      <c r="AN2617" t="s">
        <v>1563</v>
      </c>
      <c r="AO2617" s="18" t="s">
        <v>1565</v>
      </c>
      <c r="AP2617" t="s">
        <v>10401</v>
      </c>
    </row>
    <row r="2618" spans="1:42" customFormat="1" x14ac:dyDescent="0.3">
      <c r="A2618" s="148" t="s">
        <v>8319</v>
      </c>
      <c r="B2618" t="s">
        <v>8320</v>
      </c>
      <c r="C2618" s="148" t="s">
        <v>9496</v>
      </c>
      <c r="D2618" t="s">
        <v>9497</v>
      </c>
      <c r="E2618" s="148" t="s">
        <v>9498</v>
      </c>
      <c r="F2618" t="s">
        <v>9499</v>
      </c>
      <c r="G2618" s="148" t="s">
        <v>10049</v>
      </c>
      <c r="H2618" t="s">
        <v>10050</v>
      </c>
      <c r="K2618" s="148" t="s">
        <v>10051</v>
      </c>
      <c r="L2618" t="s">
        <v>10052</v>
      </c>
      <c r="M2618" s="1" t="s">
        <v>10402</v>
      </c>
      <c r="N2618" s="1">
        <v>18</v>
      </c>
      <c r="O2618" s="1">
        <v>18</v>
      </c>
      <c r="P2618" s="3">
        <v>18</v>
      </c>
      <c r="Q2618" s="3">
        <v>18</v>
      </c>
      <c r="R2618" s="3">
        <v>18</v>
      </c>
      <c r="S2618" s="3">
        <v>18</v>
      </c>
      <c r="T2618" t="s">
        <v>1563</v>
      </c>
      <c r="U2618" t="s">
        <v>1565</v>
      </c>
      <c r="V2618" t="s">
        <v>10403</v>
      </c>
      <c r="W2618" s="45">
        <v>1</v>
      </c>
      <c r="X2618" s="45">
        <v>0</v>
      </c>
      <c r="Y2618" s="45">
        <v>0</v>
      </c>
      <c r="Z2618" s="45">
        <v>1</v>
      </c>
      <c r="AA2618" s="45">
        <v>1</v>
      </c>
      <c r="AB2618" s="45">
        <v>0</v>
      </c>
      <c r="AC2618" s="150">
        <v>1</v>
      </c>
      <c r="AD2618" s="150">
        <v>1</v>
      </c>
      <c r="AE2618" s="49">
        <f t="shared" si="107"/>
        <v>0.625</v>
      </c>
      <c r="AF2618" s="44"/>
      <c r="AG2618" s="17">
        <v>0</v>
      </c>
      <c r="AH2618" s="44">
        <v>0</v>
      </c>
      <c r="AI2618" s="44">
        <v>0.2</v>
      </c>
      <c r="AJ2618" s="44">
        <v>0.18</v>
      </c>
      <c r="AK2618" s="151">
        <v>0.22</v>
      </c>
      <c r="AL2618" s="151">
        <v>0.26</v>
      </c>
      <c r="AM2618" s="147">
        <f t="shared" si="106"/>
        <v>0.48</v>
      </c>
      <c r="AN2618" t="s">
        <v>1563</v>
      </c>
      <c r="AO2618" s="18" t="s">
        <v>1565</v>
      </c>
      <c r="AP2618" t="s">
        <v>119</v>
      </c>
    </row>
    <row r="2619" spans="1:42" customFormat="1" x14ac:dyDescent="0.3">
      <c r="A2619" s="148" t="s">
        <v>8319</v>
      </c>
      <c r="B2619" t="s">
        <v>8320</v>
      </c>
      <c r="C2619" s="148" t="s">
        <v>9496</v>
      </c>
      <c r="D2619" t="s">
        <v>9497</v>
      </c>
      <c r="E2619" s="148" t="s">
        <v>9498</v>
      </c>
      <c r="F2619" t="s">
        <v>9499</v>
      </c>
      <c r="G2619" s="148" t="s">
        <v>10404</v>
      </c>
      <c r="H2619" t="s">
        <v>10405</v>
      </c>
      <c r="K2619" s="148" t="s">
        <v>10406</v>
      </c>
      <c r="L2619" t="s">
        <v>10407</v>
      </c>
      <c r="M2619" s="1" t="s">
        <v>10408</v>
      </c>
      <c r="N2619" s="1" t="s">
        <v>271</v>
      </c>
      <c r="O2619" s="1">
        <v>50</v>
      </c>
      <c r="P2619" s="3">
        <v>50</v>
      </c>
      <c r="Q2619" s="3">
        <v>50</v>
      </c>
      <c r="R2619" s="3">
        <v>50</v>
      </c>
      <c r="S2619" s="3">
        <v>50</v>
      </c>
      <c r="T2619" t="s">
        <v>1536</v>
      </c>
      <c r="U2619" t="e">
        <v>#N/A</v>
      </c>
      <c r="V2619" t="s">
        <v>10409</v>
      </c>
      <c r="W2619" s="45">
        <v>1</v>
      </c>
      <c r="X2619" s="45">
        <v>0</v>
      </c>
      <c r="Y2619" s="45">
        <v>0</v>
      </c>
      <c r="Z2619" s="45">
        <v>1</v>
      </c>
      <c r="AA2619" s="45">
        <v>1</v>
      </c>
      <c r="AB2619" s="45">
        <v>0</v>
      </c>
      <c r="AC2619" s="150">
        <v>1</v>
      </c>
      <c r="AD2619" s="150">
        <v>1</v>
      </c>
      <c r="AE2619" s="49">
        <f t="shared" si="107"/>
        <v>0.625</v>
      </c>
      <c r="AF2619" s="44"/>
      <c r="AG2619" s="17">
        <v>0</v>
      </c>
      <c r="AH2619" s="44">
        <v>0.23599999999999999</v>
      </c>
      <c r="AI2619" s="44">
        <v>0.23599999999999999</v>
      </c>
      <c r="AJ2619" s="44">
        <v>0.23599999999999999</v>
      </c>
      <c r="AK2619" s="151">
        <v>0.23599999999999999</v>
      </c>
      <c r="AL2619" s="151">
        <v>0.23599999999999999</v>
      </c>
      <c r="AM2619" s="147">
        <f t="shared" si="106"/>
        <v>0.47199999999999998</v>
      </c>
      <c r="AN2619" s="18" t="s">
        <v>771</v>
      </c>
      <c r="AO2619" s="18" t="s">
        <v>773</v>
      </c>
      <c r="AP2619" t="s">
        <v>1563</v>
      </c>
    </row>
    <row r="2620" spans="1:42" customFormat="1" x14ac:dyDescent="0.3">
      <c r="A2620" s="148" t="s">
        <v>8319</v>
      </c>
      <c r="B2620" t="s">
        <v>8320</v>
      </c>
      <c r="C2620" s="148" t="s">
        <v>9496</v>
      </c>
      <c r="D2620" t="s">
        <v>9497</v>
      </c>
      <c r="E2620" s="148" t="s">
        <v>9498</v>
      </c>
      <c r="F2620" t="s">
        <v>9499</v>
      </c>
      <c r="G2620" s="148" t="s">
        <v>10404</v>
      </c>
      <c r="H2620" t="s">
        <v>10405</v>
      </c>
      <c r="K2620" s="148" t="s">
        <v>10406</v>
      </c>
      <c r="L2620" t="s">
        <v>10407</v>
      </c>
      <c r="M2620" s="1" t="s">
        <v>10410</v>
      </c>
      <c r="N2620" s="1">
        <v>9</v>
      </c>
      <c r="O2620" s="1">
        <v>10</v>
      </c>
      <c r="P2620" s="3">
        <v>10</v>
      </c>
      <c r="Q2620" s="3">
        <v>10</v>
      </c>
      <c r="R2620" s="3">
        <v>10</v>
      </c>
      <c r="S2620" s="3">
        <v>10</v>
      </c>
      <c r="T2620" t="s">
        <v>771</v>
      </c>
      <c r="U2620" t="s">
        <v>773</v>
      </c>
      <c r="V2620" t="s">
        <v>10411</v>
      </c>
      <c r="W2620" s="45">
        <v>1</v>
      </c>
      <c r="X2620" s="45">
        <v>0</v>
      </c>
      <c r="Y2620" s="45">
        <v>0</v>
      </c>
      <c r="Z2620" s="45">
        <v>1</v>
      </c>
      <c r="AA2620" s="45">
        <v>1</v>
      </c>
      <c r="AB2620" s="45">
        <v>0</v>
      </c>
      <c r="AC2620" s="150">
        <v>1</v>
      </c>
      <c r="AD2620" s="150">
        <v>1</v>
      </c>
      <c r="AE2620" s="49">
        <f t="shared" si="107"/>
        <v>0.625</v>
      </c>
      <c r="AF2620" s="17"/>
      <c r="AG2620" s="17">
        <v>0</v>
      </c>
      <c r="AH2620" s="17">
        <v>0</v>
      </c>
      <c r="AI2620" s="17">
        <v>0</v>
      </c>
      <c r="AJ2620" s="17">
        <v>0</v>
      </c>
      <c r="AK2620" s="153">
        <v>0</v>
      </c>
      <c r="AL2620" s="154">
        <v>0</v>
      </c>
      <c r="AM2620" s="147">
        <f t="shared" si="106"/>
        <v>0</v>
      </c>
      <c r="AN2620" s="18" t="s">
        <v>771</v>
      </c>
      <c r="AO2620" s="18" t="s">
        <v>773</v>
      </c>
      <c r="AP2620" t="s">
        <v>255</v>
      </c>
    </row>
    <row r="2621" spans="1:42" customFormat="1" x14ac:dyDescent="0.3">
      <c r="A2621" s="148" t="s">
        <v>8319</v>
      </c>
      <c r="B2621" t="s">
        <v>8320</v>
      </c>
      <c r="C2621" s="148" t="s">
        <v>9496</v>
      </c>
      <c r="D2621" t="s">
        <v>9497</v>
      </c>
      <c r="E2621" s="148" t="s">
        <v>9498</v>
      </c>
      <c r="F2621" t="s">
        <v>9499</v>
      </c>
      <c r="G2621" s="148" t="s">
        <v>10404</v>
      </c>
      <c r="H2621" t="s">
        <v>10405</v>
      </c>
      <c r="K2621" s="148" t="s">
        <v>10406</v>
      </c>
      <c r="L2621" t="s">
        <v>10407</v>
      </c>
      <c r="M2621" s="1"/>
      <c r="N2621" s="1"/>
      <c r="O2621" s="1"/>
      <c r="P2621" s="3"/>
      <c r="Q2621" s="3"/>
      <c r="R2621" s="3"/>
      <c r="S2621" s="3"/>
      <c r="U2621" t="e">
        <v>#N/A</v>
      </c>
      <c r="V2621" t="s">
        <v>10412</v>
      </c>
      <c r="W2621" s="45">
        <v>1</v>
      </c>
      <c r="X2621" s="45">
        <v>0</v>
      </c>
      <c r="Y2621" s="45">
        <v>0</v>
      </c>
      <c r="Z2621" s="45">
        <v>1</v>
      </c>
      <c r="AA2621" s="45">
        <v>1</v>
      </c>
      <c r="AB2621" s="45">
        <v>0</v>
      </c>
      <c r="AC2621" s="150">
        <v>1</v>
      </c>
      <c r="AD2621" s="150">
        <v>1</v>
      </c>
      <c r="AE2621" s="49">
        <f t="shared" si="107"/>
        <v>0.625</v>
      </c>
      <c r="AF2621" s="17"/>
      <c r="AG2621" s="17">
        <v>0</v>
      </c>
      <c r="AH2621" s="17">
        <v>0</v>
      </c>
      <c r="AI2621" s="17">
        <v>0</v>
      </c>
      <c r="AJ2621" s="17">
        <v>0</v>
      </c>
      <c r="AK2621" s="153">
        <v>0</v>
      </c>
      <c r="AL2621" s="154">
        <v>0</v>
      </c>
      <c r="AM2621" s="147">
        <f t="shared" si="106"/>
        <v>0</v>
      </c>
      <c r="AN2621" s="18" t="s">
        <v>771</v>
      </c>
      <c r="AO2621" s="18" t="s">
        <v>773</v>
      </c>
      <c r="AP2621" t="s">
        <v>10413</v>
      </c>
    </row>
    <row r="2622" spans="1:42" customFormat="1" x14ac:dyDescent="0.3">
      <c r="A2622" s="148" t="s">
        <v>8319</v>
      </c>
      <c r="B2622" t="s">
        <v>8320</v>
      </c>
      <c r="C2622" s="148" t="s">
        <v>9344</v>
      </c>
      <c r="D2622" t="s">
        <v>9345</v>
      </c>
      <c r="E2622" s="148" t="s">
        <v>10414</v>
      </c>
      <c r="F2622" t="s">
        <v>10415</v>
      </c>
      <c r="G2622" s="148" t="s">
        <v>10416</v>
      </c>
      <c r="H2622" t="s">
        <v>10417</v>
      </c>
      <c r="K2622" s="148" t="s">
        <v>10418</v>
      </c>
      <c r="L2622" t="s">
        <v>10419</v>
      </c>
      <c r="M2622" s="1" t="s">
        <v>10420</v>
      </c>
      <c r="N2622" s="1">
        <v>0</v>
      </c>
      <c r="O2622" s="1" t="s">
        <v>271</v>
      </c>
      <c r="P2622" s="3" t="s">
        <v>10421</v>
      </c>
      <c r="Q2622" s="3" t="s">
        <v>271</v>
      </c>
      <c r="R2622" s="3" t="s">
        <v>271</v>
      </c>
      <c r="S2622" s="3" t="s">
        <v>271</v>
      </c>
      <c r="T2622" t="s">
        <v>10422</v>
      </c>
      <c r="U2622" t="e">
        <v>#N/A</v>
      </c>
      <c r="V2622" t="s">
        <v>10423</v>
      </c>
      <c r="W2622" s="45">
        <v>1</v>
      </c>
      <c r="X2622" s="45">
        <v>0</v>
      </c>
      <c r="Y2622" s="45">
        <v>0</v>
      </c>
      <c r="Z2622" s="45">
        <v>1</v>
      </c>
      <c r="AA2622" s="45">
        <v>1</v>
      </c>
      <c r="AB2622" s="45">
        <v>0</v>
      </c>
      <c r="AC2622" s="150">
        <v>1</v>
      </c>
      <c r="AD2622" s="150">
        <v>1</v>
      </c>
      <c r="AE2622" s="49">
        <f t="shared" si="107"/>
        <v>0.625</v>
      </c>
      <c r="AF2622" s="17"/>
      <c r="AG2622" s="17">
        <v>0</v>
      </c>
      <c r="AH2622" s="17">
        <v>0</v>
      </c>
      <c r="AI2622" s="44">
        <v>0.5</v>
      </c>
      <c r="AJ2622" s="44">
        <v>0.1</v>
      </c>
      <c r="AK2622" s="151">
        <v>0.1</v>
      </c>
      <c r="AL2622" s="151">
        <v>0.1</v>
      </c>
      <c r="AM2622" s="147">
        <f t="shared" si="106"/>
        <v>0.2</v>
      </c>
      <c r="AN2622" t="s">
        <v>723</v>
      </c>
      <c r="AO2622" s="18" t="s">
        <v>729</v>
      </c>
      <c r="AP2622" t="s">
        <v>2043</v>
      </c>
    </row>
    <row r="2623" spans="1:42" customFormat="1" x14ac:dyDescent="0.3">
      <c r="A2623" s="148" t="s">
        <v>8319</v>
      </c>
      <c r="B2623" t="s">
        <v>8320</v>
      </c>
      <c r="C2623" s="148" t="s">
        <v>9344</v>
      </c>
      <c r="D2623" t="s">
        <v>9345</v>
      </c>
      <c r="E2623" s="148" t="s">
        <v>10414</v>
      </c>
      <c r="F2623" t="s">
        <v>10415</v>
      </c>
      <c r="G2623" s="148" t="s">
        <v>10416</v>
      </c>
      <c r="H2623" t="s">
        <v>10417</v>
      </c>
      <c r="K2623" s="155" t="s">
        <v>10424</v>
      </c>
      <c r="L2623" t="s">
        <v>10425</v>
      </c>
      <c r="M2623" s="1" t="s">
        <v>10426</v>
      </c>
      <c r="N2623" s="1" t="s">
        <v>271</v>
      </c>
      <c r="O2623" s="1" t="s">
        <v>271</v>
      </c>
      <c r="P2623" s="3" t="s">
        <v>271</v>
      </c>
      <c r="Q2623" s="3" t="s">
        <v>271</v>
      </c>
      <c r="R2623" s="3">
        <v>1</v>
      </c>
      <c r="S2623" s="3">
        <v>1</v>
      </c>
      <c r="T2623" t="s">
        <v>10427</v>
      </c>
      <c r="U2623" t="e">
        <v>#N/A</v>
      </c>
      <c r="V2623" t="s">
        <v>10428</v>
      </c>
      <c r="W2623" s="45">
        <v>1</v>
      </c>
      <c r="X2623" s="45">
        <v>0</v>
      </c>
      <c r="Y2623" s="45">
        <v>1</v>
      </c>
      <c r="Z2623" s="45">
        <v>1</v>
      </c>
      <c r="AA2623" s="45">
        <v>1</v>
      </c>
      <c r="AB2623" s="45">
        <v>0</v>
      </c>
      <c r="AC2623" s="150">
        <v>1</v>
      </c>
      <c r="AD2623" s="150"/>
      <c r="AE2623" s="49">
        <f t="shared" si="107"/>
        <v>0.625</v>
      </c>
      <c r="AF2623" s="17"/>
      <c r="AG2623" s="17">
        <v>0</v>
      </c>
      <c r="AH2623" s="17">
        <v>0</v>
      </c>
      <c r="AI2623" s="17">
        <v>0</v>
      </c>
      <c r="AJ2623" s="44">
        <v>3</v>
      </c>
      <c r="AK2623" s="151">
        <v>3</v>
      </c>
      <c r="AL2623" s="151">
        <v>3</v>
      </c>
      <c r="AM2623" s="147">
        <f t="shared" si="106"/>
        <v>6</v>
      </c>
      <c r="AN2623" s="18" t="s">
        <v>771</v>
      </c>
      <c r="AO2623" s="18" t="s">
        <v>773</v>
      </c>
      <c r="AP2623" t="s">
        <v>982</v>
      </c>
    </row>
    <row r="2624" spans="1:42" customFormat="1" x14ac:dyDescent="0.3">
      <c r="A2624" s="148" t="s">
        <v>8319</v>
      </c>
      <c r="B2624" t="s">
        <v>8320</v>
      </c>
      <c r="C2624" s="148" t="s">
        <v>9344</v>
      </c>
      <c r="D2624" t="s">
        <v>9345</v>
      </c>
      <c r="E2624" s="148" t="s">
        <v>10414</v>
      </c>
      <c r="F2624" t="s">
        <v>10415</v>
      </c>
      <c r="G2624" s="148" t="s">
        <v>10429</v>
      </c>
      <c r="H2624" t="s">
        <v>10430</v>
      </c>
      <c r="K2624" s="148" t="s">
        <v>10431</v>
      </c>
      <c r="L2624" t="s">
        <v>10432</v>
      </c>
      <c r="M2624" s="1" t="s">
        <v>10433</v>
      </c>
      <c r="N2624" s="1">
        <v>0</v>
      </c>
      <c r="O2624" s="1">
        <v>0</v>
      </c>
      <c r="P2624" s="3">
        <v>0</v>
      </c>
      <c r="Q2624" s="3" t="s">
        <v>10434</v>
      </c>
      <c r="R2624" s="3">
        <v>1</v>
      </c>
      <c r="S2624" s="3">
        <v>1</v>
      </c>
      <c r="T2624" t="s">
        <v>10435</v>
      </c>
      <c r="U2624" t="e">
        <v>#N/A</v>
      </c>
      <c r="V2624" t="s">
        <v>10436</v>
      </c>
      <c r="W2624" s="45">
        <v>1</v>
      </c>
      <c r="X2624" s="45">
        <v>0</v>
      </c>
      <c r="Y2624" s="45">
        <v>0</v>
      </c>
      <c r="Z2624" s="45">
        <v>1</v>
      </c>
      <c r="AA2624" s="45">
        <v>1</v>
      </c>
      <c r="AB2624" s="45">
        <v>0</v>
      </c>
      <c r="AC2624" s="150">
        <v>1</v>
      </c>
      <c r="AD2624" s="150">
        <v>1</v>
      </c>
      <c r="AE2624" s="49">
        <f t="shared" si="107"/>
        <v>0.625</v>
      </c>
      <c r="AF2624" s="44"/>
      <c r="AG2624" s="17">
        <v>0</v>
      </c>
      <c r="AH2624" s="44">
        <v>0</v>
      </c>
      <c r="AI2624" s="44">
        <v>0.5</v>
      </c>
      <c r="AJ2624" s="44">
        <v>0.5</v>
      </c>
      <c r="AK2624" s="151">
        <v>0.3</v>
      </c>
      <c r="AL2624" s="151">
        <v>0.2</v>
      </c>
      <c r="AM2624" s="147">
        <f t="shared" si="106"/>
        <v>0.5</v>
      </c>
      <c r="AN2624" t="s">
        <v>723</v>
      </c>
      <c r="AO2624" s="18" t="s">
        <v>729</v>
      </c>
      <c r="AP2624" t="s">
        <v>10128</v>
      </c>
    </row>
    <row r="2625" spans="1:42" customFormat="1" x14ac:dyDescent="0.3">
      <c r="A2625" s="148" t="s">
        <v>8319</v>
      </c>
      <c r="B2625" t="s">
        <v>8320</v>
      </c>
      <c r="C2625" s="148" t="s">
        <v>9344</v>
      </c>
      <c r="D2625" t="s">
        <v>9345</v>
      </c>
      <c r="E2625" s="148" t="s">
        <v>10414</v>
      </c>
      <c r="F2625" t="s">
        <v>10415</v>
      </c>
      <c r="G2625" s="148" t="s">
        <v>10437</v>
      </c>
      <c r="H2625" t="s">
        <v>10438</v>
      </c>
      <c r="K2625" s="148" t="s">
        <v>10439</v>
      </c>
      <c r="L2625" t="s">
        <v>10440</v>
      </c>
      <c r="M2625" s="1"/>
      <c r="N2625" s="1"/>
      <c r="O2625" s="1"/>
      <c r="P2625" s="3"/>
      <c r="Q2625" s="3"/>
      <c r="R2625" s="3"/>
      <c r="S2625" s="3"/>
      <c r="U2625" t="e">
        <v>#N/A</v>
      </c>
      <c r="V2625" t="s">
        <v>10441</v>
      </c>
      <c r="W2625" s="45">
        <v>1</v>
      </c>
      <c r="X2625" s="45">
        <v>0</v>
      </c>
      <c r="Y2625" s="45">
        <v>1</v>
      </c>
      <c r="Z2625" s="45">
        <v>1</v>
      </c>
      <c r="AA2625" s="45">
        <v>1</v>
      </c>
      <c r="AB2625" s="45"/>
      <c r="AC2625" s="150">
        <v>1</v>
      </c>
      <c r="AD2625" s="150">
        <v>0</v>
      </c>
      <c r="AE2625" s="49">
        <f t="shared" si="107"/>
        <v>0.625</v>
      </c>
      <c r="AF2625" s="17"/>
      <c r="AG2625" s="17">
        <v>0</v>
      </c>
      <c r="AH2625" s="17">
        <v>0</v>
      </c>
      <c r="AI2625" s="44">
        <v>10</v>
      </c>
      <c r="AJ2625" s="44">
        <v>15</v>
      </c>
      <c r="AK2625" s="151">
        <v>2</v>
      </c>
      <c r="AL2625" s="154">
        <v>2</v>
      </c>
      <c r="AM2625" s="147">
        <f t="shared" si="106"/>
        <v>4</v>
      </c>
      <c r="AN2625" s="18" t="s">
        <v>255</v>
      </c>
      <c r="AO2625" s="18" t="s">
        <v>1045</v>
      </c>
      <c r="AP2625" t="s">
        <v>723</v>
      </c>
    </row>
    <row r="2626" spans="1:42" customFormat="1" x14ac:dyDescent="0.3">
      <c r="A2626" s="148" t="s">
        <v>8319</v>
      </c>
      <c r="B2626" t="s">
        <v>8320</v>
      </c>
      <c r="C2626" s="148" t="s">
        <v>9344</v>
      </c>
      <c r="D2626" t="s">
        <v>9345</v>
      </c>
      <c r="E2626" s="148" t="s">
        <v>10414</v>
      </c>
      <c r="F2626" t="s">
        <v>10415</v>
      </c>
      <c r="G2626" s="148" t="s">
        <v>10442</v>
      </c>
      <c r="H2626" t="s">
        <v>10443</v>
      </c>
      <c r="K2626" s="148" t="s">
        <v>10444</v>
      </c>
      <c r="L2626" t="s">
        <v>10445</v>
      </c>
      <c r="M2626" s="1" t="s">
        <v>10445</v>
      </c>
      <c r="N2626" s="1" t="s">
        <v>119</v>
      </c>
      <c r="O2626" s="1"/>
      <c r="P2626" s="3">
        <v>5</v>
      </c>
      <c r="Q2626" s="3">
        <v>5</v>
      </c>
      <c r="R2626" s="3">
        <v>10</v>
      </c>
      <c r="S2626" s="3">
        <v>10</v>
      </c>
      <c r="T2626" t="s">
        <v>10446</v>
      </c>
      <c r="U2626" t="e">
        <v>#N/A</v>
      </c>
      <c r="V2626" t="s">
        <v>10447</v>
      </c>
      <c r="W2626" s="45">
        <v>1</v>
      </c>
      <c r="X2626" s="45">
        <v>0</v>
      </c>
      <c r="Y2626" s="45">
        <v>1</v>
      </c>
      <c r="Z2626" s="45">
        <v>1</v>
      </c>
      <c r="AA2626" s="45">
        <v>1</v>
      </c>
      <c r="AB2626" s="45">
        <v>0</v>
      </c>
      <c r="AC2626" s="150">
        <v>0</v>
      </c>
      <c r="AD2626" s="150">
        <v>1</v>
      </c>
      <c r="AE2626" s="49">
        <f t="shared" si="107"/>
        <v>0.625</v>
      </c>
      <c r="AF2626" s="44"/>
      <c r="AG2626" s="17">
        <v>0</v>
      </c>
      <c r="AH2626" s="44">
        <v>0.5</v>
      </c>
      <c r="AI2626" s="44">
        <v>0.5</v>
      </c>
      <c r="AJ2626" s="44">
        <v>0.5</v>
      </c>
      <c r="AK2626" s="151">
        <v>0.02</v>
      </c>
      <c r="AL2626" s="151">
        <v>0.02</v>
      </c>
      <c r="AM2626" s="147">
        <f t="shared" si="106"/>
        <v>0.04</v>
      </c>
      <c r="AN2626" t="s">
        <v>723</v>
      </c>
      <c r="AO2626" s="18" t="s">
        <v>729</v>
      </c>
      <c r="AP2626" t="s">
        <v>10448</v>
      </c>
    </row>
    <row r="2627" spans="1:42" customFormat="1" x14ac:dyDescent="0.3">
      <c r="A2627" s="148" t="s">
        <v>8319</v>
      </c>
      <c r="B2627" t="s">
        <v>8320</v>
      </c>
      <c r="C2627" s="148" t="s">
        <v>9344</v>
      </c>
      <c r="D2627" t="s">
        <v>9345</v>
      </c>
      <c r="E2627" s="148" t="s">
        <v>10414</v>
      </c>
      <c r="F2627" t="s">
        <v>10415</v>
      </c>
      <c r="G2627" s="148" t="s">
        <v>10449</v>
      </c>
      <c r="H2627" t="s">
        <v>10450</v>
      </c>
      <c r="K2627" s="148" t="s">
        <v>10451</v>
      </c>
      <c r="L2627" t="s">
        <v>10452</v>
      </c>
      <c r="M2627" s="1"/>
      <c r="N2627" s="1"/>
      <c r="O2627" s="1"/>
      <c r="P2627" s="3"/>
      <c r="Q2627" s="3"/>
      <c r="R2627" s="3"/>
      <c r="S2627" s="3"/>
      <c r="U2627" t="e">
        <v>#N/A</v>
      </c>
      <c r="V2627" t="s">
        <v>10453</v>
      </c>
      <c r="W2627" s="45">
        <v>1</v>
      </c>
      <c r="X2627" s="45">
        <v>0</v>
      </c>
      <c r="Y2627" s="45">
        <v>1</v>
      </c>
      <c r="Z2627" s="45">
        <v>1</v>
      </c>
      <c r="AA2627" s="45">
        <v>1</v>
      </c>
      <c r="AB2627" s="45">
        <v>0</v>
      </c>
      <c r="AC2627" s="150">
        <v>0</v>
      </c>
      <c r="AD2627" s="150">
        <v>1</v>
      </c>
      <c r="AE2627" s="49">
        <f t="shared" si="107"/>
        <v>0.625</v>
      </c>
      <c r="AF2627" s="44"/>
      <c r="AG2627" s="17">
        <v>0</v>
      </c>
      <c r="AH2627" s="44">
        <v>15</v>
      </c>
      <c r="AI2627" s="44">
        <v>15</v>
      </c>
      <c r="AJ2627" s="44">
        <v>30</v>
      </c>
      <c r="AK2627" s="151">
        <v>30</v>
      </c>
      <c r="AL2627" s="151">
        <v>30</v>
      </c>
      <c r="AM2627" s="147">
        <f t="shared" si="106"/>
        <v>60</v>
      </c>
      <c r="AN2627" t="s">
        <v>723</v>
      </c>
      <c r="AO2627" s="18" t="s">
        <v>729</v>
      </c>
      <c r="AP2627" t="s">
        <v>1345</v>
      </c>
    </row>
    <row r="2628" spans="1:42" customFormat="1" x14ac:dyDescent="0.3">
      <c r="A2628" s="148" t="s">
        <v>8319</v>
      </c>
      <c r="B2628" t="s">
        <v>8320</v>
      </c>
      <c r="C2628" s="148" t="s">
        <v>9344</v>
      </c>
      <c r="D2628" t="s">
        <v>9345</v>
      </c>
      <c r="E2628" s="148" t="s">
        <v>9346</v>
      </c>
      <c r="F2628" t="s">
        <v>9347</v>
      </c>
      <c r="G2628" s="148" t="s">
        <v>9552</v>
      </c>
      <c r="H2628" t="s">
        <v>9553</v>
      </c>
      <c r="K2628" s="148" t="s">
        <v>9871</v>
      </c>
      <c r="L2628" t="s">
        <v>9872</v>
      </c>
      <c r="M2628" s="1" t="s">
        <v>10454</v>
      </c>
      <c r="N2628" s="1"/>
      <c r="O2628" s="1"/>
      <c r="P2628" s="3"/>
      <c r="Q2628" s="3">
        <v>65</v>
      </c>
      <c r="R2628" s="3">
        <v>70</v>
      </c>
      <c r="S2628" s="3"/>
      <c r="T2628" t="s">
        <v>10455</v>
      </c>
      <c r="U2628" t="e">
        <v>#N/A</v>
      </c>
      <c r="V2628" t="s">
        <v>10456</v>
      </c>
      <c r="W2628" s="45">
        <v>1</v>
      </c>
      <c r="X2628" s="45">
        <v>0</v>
      </c>
      <c r="Y2628" s="45">
        <v>0</v>
      </c>
      <c r="Z2628" s="45">
        <v>1</v>
      </c>
      <c r="AA2628" s="45">
        <v>1</v>
      </c>
      <c r="AB2628" s="45">
        <v>0</v>
      </c>
      <c r="AC2628" s="150">
        <v>1</v>
      </c>
      <c r="AD2628" s="150">
        <v>0</v>
      </c>
      <c r="AE2628" s="49">
        <f t="shared" si="107"/>
        <v>0.5</v>
      </c>
      <c r="AF2628" s="17">
        <v>1</v>
      </c>
      <c r="AG2628" s="17">
        <v>0</v>
      </c>
      <c r="AH2628" s="17">
        <v>0</v>
      </c>
      <c r="AI2628" s="44">
        <v>0.03</v>
      </c>
      <c r="AJ2628" s="44">
        <v>0</v>
      </c>
      <c r="AK2628" s="151">
        <v>0.1</v>
      </c>
      <c r="AL2628" s="151">
        <v>0.1</v>
      </c>
      <c r="AM2628" s="147">
        <f t="shared" si="106"/>
        <v>0.2</v>
      </c>
      <c r="AN2628" t="s">
        <v>723</v>
      </c>
      <c r="AO2628" s="18" t="s">
        <v>729</v>
      </c>
      <c r="AP2628" t="s">
        <v>255</v>
      </c>
    </row>
    <row r="2629" spans="1:42" customFormat="1" x14ac:dyDescent="0.3">
      <c r="A2629" s="148" t="s">
        <v>8319</v>
      </c>
      <c r="B2629" t="s">
        <v>8320</v>
      </c>
      <c r="C2629" s="148" t="s">
        <v>9344</v>
      </c>
      <c r="D2629" t="s">
        <v>9345</v>
      </c>
      <c r="E2629" s="148" t="s">
        <v>9346</v>
      </c>
      <c r="F2629" t="s">
        <v>9347</v>
      </c>
      <c r="G2629" s="148" t="s">
        <v>9552</v>
      </c>
      <c r="H2629" t="s">
        <v>9553</v>
      </c>
      <c r="K2629" s="148" t="s">
        <v>9871</v>
      </c>
      <c r="L2629" t="s">
        <v>9872</v>
      </c>
      <c r="M2629" s="1" t="s">
        <v>9875</v>
      </c>
      <c r="N2629" s="1">
        <v>30</v>
      </c>
      <c r="O2629" s="1">
        <v>30</v>
      </c>
      <c r="P2629" s="3">
        <v>146</v>
      </c>
      <c r="Q2629" s="3">
        <v>146</v>
      </c>
      <c r="R2629" s="3">
        <v>146</v>
      </c>
      <c r="S2629" s="3">
        <v>146</v>
      </c>
      <c r="T2629" t="s">
        <v>255</v>
      </c>
      <c r="U2629" t="s">
        <v>1045</v>
      </c>
      <c r="V2629" t="s">
        <v>10457</v>
      </c>
      <c r="W2629" s="45">
        <v>1</v>
      </c>
      <c r="X2629" s="45">
        <v>0</v>
      </c>
      <c r="Y2629" s="45">
        <v>0</v>
      </c>
      <c r="Z2629" s="45">
        <v>1</v>
      </c>
      <c r="AA2629" s="45">
        <v>1</v>
      </c>
      <c r="AB2629" s="45">
        <v>0</v>
      </c>
      <c r="AC2629" s="150">
        <v>1</v>
      </c>
      <c r="AD2629" s="150">
        <v>0</v>
      </c>
      <c r="AE2629" s="49">
        <f t="shared" si="107"/>
        <v>0.5</v>
      </c>
      <c r="AF2629" s="44"/>
      <c r="AG2629" s="17">
        <v>0</v>
      </c>
      <c r="AH2629" s="44">
        <v>7.4999999999999997E-2</v>
      </c>
      <c r="AI2629" s="44">
        <v>0.75</v>
      </c>
      <c r="AJ2629" s="44">
        <v>0.75</v>
      </c>
      <c r="AK2629" s="151">
        <v>0.75</v>
      </c>
      <c r="AL2629" s="151">
        <v>0.75</v>
      </c>
      <c r="AM2629" s="147">
        <f t="shared" si="106"/>
        <v>1.5</v>
      </c>
      <c r="AN2629" s="18" t="s">
        <v>255</v>
      </c>
      <c r="AO2629" s="18" t="s">
        <v>1045</v>
      </c>
      <c r="AP2629" t="s">
        <v>10458</v>
      </c>
    </row>
    <row r="2630" spans="1:42" customFormat="1" x14ac:dyDescent="0.3">
      <c r="A2630" s="148" t="s">
        <v>8319</v>
      </c>
      <c r="B2630" t="s">
        <v>8320</v>
      </c>
      <c r="C2630" s="148" t="s">
        <v>9344</v>
      </c>
      <c r="D2630" t="s">
        <v>9345</v>
      </c>
      <c r="E2630" s="148" t="s">
        <v>9346</v>
      </c>
      <c r="F2630" t="s">
        <v>9347</v>
      </c>
      <c r="G2630" s="148" t="s">
        <v>9552</v>
      </c>
      <c r="H2630" t="s">
        <v>9553</v>
      </c>
      <c r="K2630" s="148" t="s">
        <v>9871</v>
      </c>
      <c r="L2630" t="s">
        <v>9872</v>
      </c>
      <c r="M2630" s="1" t="s">
        <v>9875</v>
      </c>
      <c r="N2630" s="1"/>
      <c r="O2630" s="1">
        <v>54</v>
      </c>
      <c r="P2630" s="3">
        <v>90</v>
      </c>
      <c r="Q2630" s="3">
        <v>120</v>
      </c>
      <c r="R2630" s="3">
        <v>146</v>
      </c>
      <c r="S2630" s="3">
        <v>0</v>
      </c>
      <c r="T2630" t="s">
        <v>255</v>
      </c>
      <c r="U2630" t="s">
        <v>1045</v>
      </c>
      <c r="V2630" t="s">
        <v>10459</v>
      </c>
      <c r="W2630" s="45">
        <v>1</v>
      </c>
      <c r="X2630" s="45">
        <v>0</v>
      </c>
      <c r="Y2630" s="45">
        <v>0</v>
      </c>
      <c r="Z2630" s="45">
        <v>1</v>
      </c>
      <c r="AA2630" s="45">
        <v>1</v>
      </c>
      <c r="AB2630" s="45">
        <v>0</v>
      </c>
      <c r="AC2630" s="150">
        <v>1</v>
      </c>
      <c r="AD2630" s="150">
        <v>0</v>
      </c>
      <c r="AE2630" s="49">
        <f t="shared" si="107"/>
        <v>0.5</v>
      </c>
      <c r="AF2630" s="44"/>
      <c r="AG2630" s="17">
        <v>0</v>
      </c>
      <c r="AH2630" s="44">
        <v>0.26400000000000001</v>
      </c>
      <c r="AI2630" s="44">
        <v>0.441</v>
      </c>
      <c r="AJ2630" s="44">
        <v>0.58799999999999997</v>
      </c>
      <c r="AK2630" s="151">
        <v>0.36</v>
      </c>
      <c r="AL2630" s="151">
        <v>0.36</v>
      </c>
      <c r="AM2630" s="147">
        <f t="shared" si="106"/>
        <v>0.72</v>
      </c>
      <c r="AN2630" s="18" t="s">
        <v>723</v>
      </c>
      <c r="AO2630" s="18" t="s">
        <v>729</v>
      </c>
      <c r="AP2630" t="s">
        <v>2043</v>
      </c>
    </row>
    <row r="2631" spans="1:42" customFormat="1" x14ac:dyDescent="0.3">
      <c r="A2631" s="148" t="s">
        <v>8319</v>
      </c>
      <c r="B2631" t="s">
        <v>8320</v>
      </c>
      <c r="C2631" s="148" t="s">
        <v>9344</v>
      </c>
      <c r="D2631" t="s">
        <v>9345</v>
      </c>
      <c r="E2631" s="148" t="s">
        <v>9346</v>
      </c>
      <c r="F2631" t="s">
        <v>9347</v>
      </c>
      <c r="G2631" t="s">
        <v>9348</v>
      </c>
      <c r="H2631" t="s">
        <v>9349</v>
      </c>
      <c r="I2631" s="148" t="s">
        <v>9350</v>
      </c>
      <c r="J2631" t="s">
        <v>9351</v>
      </c>
      <c r="K2631" s="148" t="s">
        <v>9352</v>
      </c>
      <c r="L2631" t="s">
        <v>9353</v>
      </c>
      <c r="M2631" s="1" t="s">
        <v>10460</v>
      </c>
      <c r="N2631" s="1" t="s">
        <v>9365</v>
      </c>
      <c r="O2631" s="1">
        <v>10</v>
      </c>
      <c r="P2631" s="3">
        <v>20</v>
      </c>
      <c r="Q2631" s="3">
        <v>30</v>
      </c>
      <c r="R2631" s="3">
        <v>40</v>
      </c>
      <c r="S2631" s="3">
        <v>50</v>
      </c>
      <c r="T2631" t="s">
        <v>3640</v>
      </c>
      <c r="U2631" t="s">
        <v>3630</v>
      </c>
      <c r="V2631" t="s">
        <v>10461</v>
      </c>
      <c r="W2631" s="45">
        <v>1</v>
      </c>
      <c r="X2631" s="45">
        <v>0</v>
      </c>
      <c r="Y2631" s="45">
        <v>0</v>
      </c>
      <c r="Z2631" s="45">
        <v>1</v>
      </c>
      <c r="AA2631" s="45">
        <v>1</v>
      </c>
      <c r="AB2631" s="45">
        <v>0</v>
      </c>
      <c r="AC2631" s="150">
        <v>0</v>
      </c>
      <c r="AD2631" s="150">
        <v>1</v>
      </c>
      <c r="AE2631" s="49">
        <f t="shared" si="107"/>
        <v>0.5</v>
      </c>
      <c r="AF2631" s="44"/>
      <c r="AG2631" s="17">
        <v>0</v>
      </c>
      <c r="AH2631" s="44">
        <v>0</v>
      </c>
      <c r="AI2631" s="44">
        <v>0.2</v>
      </c>
      <c r="AJ2631" s="44">
        <v>0.1</v>
      </c>
      <c r="AK2631" s="151">
        <v>0.05</v>
      </c>
      <c r="AL2631" s="151">
        <v>0.05</v>
      </c>
      <c r="AM2631" s="147">
        <f t="shared" si="106"/>
        <v>0.1</v>
      </c>
      <c r="AN2631" t="s">
        <v>771</v>
      </c>
      <c r="AO2631" s="18" t="s">
        <v>773</v>
      </c>
      <c r="AP2631" t="s">
        <v>3643</v>
      </c>
    </row>
    <row r="2632" spans="1:42" customFormat="1" x14ac:dyDescent="0.3">
      <c r="A2632" s="148" t="s">
        <v>8319</v>
      </c>
      <c r="B2632" t="s">
        <v>8320</v>
      </c>
      <c r="C2632" s="148" t="s">
        <v>9344</v>
      </c>
      <c r="D2632" t="s">
        <v>9345</v>
      </c>
      <c r="E2632" s="148" t="s">
        <v>9346</v>
      </c>
      <c r="F2632" t="s">
        <v>9347</v>
      </c>
      <c r="G2632" t="s">
        <v>9348</v>
      </c>
      <c r="H2632" t="s">
        <v>9349</v>
      </c>
      <c r="I2632" s="148" t="s">
        <v>9350</v>
      </c>
      <c r="J2632" t="s">
        <v>9351</v>
      </c>
      <c r="K2632" s="148" t="s">
        <v>9352</v>
      </c>
      <c r="L2632" t="s">
        <v>9353</v>
      </c>
      <c r="M2632" s="1" t="s">
        <v>10462</v>
      </c>
      <c r="N2632" s="1">
        <v>29</v>
      </c>
      <c r="O2632" s="1">
        <v>27</v>
      </c>
      <c r="P2632" s="3">
        <v>25</v>
      </c>
      <c r="Q2632" s="3">
        <v>23</v>
      </c>
      <c r="R2632" s="3">
        <v>21</v>
      </c>
      <c r="S2632" s="3">
        <v>19</v>
      </c>
      <c r="T2632" t="s">
        <v>3640</v>
      </c>
      <c r="U2632" t="s">
        <v>3630</v>
      </c>
      <c r="V2632" t="s">
        <v>10463</v>
      </c>
      <c r="W2632" s="45">
        <v>1</v>
      </c>
      <c r="X2632" s="45">
        <v>0</v>
      </c>
      <c r="Y2632" s="45">
        <v>0</v>
      </c>
      <c r="Z2632" s="45">
        <v>1</v>
      </c>
      <c r="AA2632" s="45">
        <v>1</v>
      </c>
      <c r="AB2632" s="45">
        <v>0</v>
      </c>
      <c r="AC2632" s="150">
        <v>1</v>
      </c>
      <c r="AD2632" s="150">
        <v>0</v>
      </c>
      <c r="AE2632" s="49">
        <f t="shared" si="107"/>
        <v>0.5</v>
      </c>
      <c r="AF2632" s="44"/>
      <c r="AG2632" s="17">
        <v>0</v>
      </c>
      <c r="AH2632" s="44">
        <v>0.3</v>
      </c>
      <c r="AI2632" s="44">
        <v>0.3</v>
      </c>
      <c r="AJ2632" s="44">
        <v>0.3</v>
      </c>
      <c r="AK2632" s="151">
        <v>0.3</v>
      </c>
      <c r="AL2632" s="151">
        <v>0.3</v>
      </c>
      <c r="AM2632" s="147">
        <f t="shared" si="106"/>
        <v>0.6</v>
      </c>
      <c r="AN2632" t="s">
        <v>3643</v>
      </c>
      <c r="AO2632" s="18" t="s">
        <v>3630</v>
      </c>
      <c r="AP2632" t="s">
        <v>1893</v>
      </c>
    </row>
    <row r="2633" spans="1:42" customFormat="1" x14ac:dyDescent="0.3">
      <c r="A2633" s="148" t="s">
        <v>8319</v>
      </c>
      <c r="B2633" t="s">
        <v>8320</v>
      </c>
      <c r="C2633" s="148" t="s">
        <v>9344</v>
      </c>
      <c r="D2633" t="s">
        <v>9345</v>
      </c>
      <c r="E2633" s="148" t="s">
        <v>9346</v>
      </c>
      <c r="F2633" t="s">
        <v>9347</v>
      </c>
      <c r="G2633" t="s">
        <v>9348</v>
      </c>
      <c r="H2633" t="s">
        <v>9349</v>
      </c>
      <c r="I2633" s="148" t="s">
        <v>9350</v>
      </c>
      <c r="J2633" t="s">
        <v>9351</v>
      </c>
      <c r="K2633" s="148" t="s">
        <v>9352</v>
      </c>
      <c r="L2633" t="s">
        <v>9353</v>
      </c>
      <c r="M2633" s="1" t="s">
        <v>10464</v>
      </c>
      <c r="N2633" s="1">
        <v>66</v>
      </c>
      <c r="O2633" s="1">
        <v>69</v>
      </c>
      <c r="P2633" s="3">
        <v>72</v>
      </c>
      <c r="Q2633" s="3">
        <v>75</v>
      </c>
      <c r="R2633" s="3">
        <v>78</v>
      </c>
      <c r="S2633" s="3">
        <v>80</v>
      </c>
      <c r="T2633" t="s">
        <v>10465</v>
      </c>
      <c r="U2633" t="e">
        <v>#N/A</v>
      </c>
      <c r="V2633" t="s">
        <v>10466</v>
      </c>
      <c r="W2633" s="45">
        <v>1</v>
      </c>
      <c r="X2633" s="45">
        <v>0</v>
      </c>
      <c r="Y2633" s="45">
        <v>0</v>
      </c>
      <c r="Z2633" s="45">
        <v>1</v>
      </c>
      <c r="AA2633" s="45">
        <v>1</v>
      </c>
      <c r="AB2633" s="45">
        <v>0</v>
      </c>
      <c r="AC2633" s="150">
        <v>1</v>
      </c>
      <c r="AD2633" s="150">
        <v>0</v>
      </c>
      <c r="AE2633" s="49">
        <f t="shared" si="107"/>
        <v>0.5</v>
      </c>
      <c r="AF2633" s="44"/>
      <c r="AG2633" s="17">
        <v>0</v>
      </c>
      <c r="AH2633" s="44">
        <v>0.3</v>
      </c>
      <c r="AI2633" s="44">
        <v>0.3</v>
      </c>
      <c r="AJ2633" s="44">
        <v>0.3</v>
      </c>
      <c r="AK2633" s="151">
        <v>0.3</v>
      </c>
      <c r="AL2633" s="151">
        <v>0.3</v>
      </c>
      <c r="AM2633" s="147">
        <f t="shared" si="106"/>
        <v>0.6</v>
      </c>
      <c r="AN2633" t="s">
        <v>3643</v>
      </c>
      <c r="AO2633" s="18" t="s">
        <v>3630</v>
      </c>
      <c r="AP2633" t="s">
        <v>321</v>
      </c>
    </row>
    <row r="2634" spans="1:42" customFormat="1" x14ac:dyDescent="0.3">
      <c r="A2634" s="148" t="s">
        <v>8319</v>
      </c>
      <c r="B2634" t="s">
        <v>8320</v>
      </c>
      <c r="C2634" s="148" t="s">
        <v>9344</v>
      </c>
      <c r="D2634" t="s">
        <v>9345</v>
      </c>
      <c r="E2634" s="148" t="s">
        <v>9346</v>
      </c>
      <c r="F2634" t="s">
        <v>9347</v>
      </c>
      <c r="G2634" t="s">
        <v>9348</v>
      </c>
      <c r="H2634" t="s">
        <v>9349</v>
      </c>
      <c r="I2634" s="148" t="s">
        <v>9350</v>
      </c>
      <c r="J2634" t="s">
        <v>9351</v>
      </c>
      <c r="K2634" s="148" t="s">
        <v>9352</v>
      </c>
      <c r="L2634" t="s">
        <v>9353</v>
      </c>
      <c r="M2634" s="1" t="s">
        <v>10467</v>
      </c>
      <c r="N2634" s="1" t="s">
        <v>271</v>
      </c>
      <c r="O2634" s="1">
        <v>100</v>
      </c>
      <c r="P2634" s="3">
        <v>150</v>
      </c>
      <c r="Q2634" s="3">
        <v>200</v>
      </c>
      <c r="R2634" s="3">
        <v>200</v>
      </c>
      <c r="S2634" s="3">
        <v>200</v>
      </c>
      <c r="T2634" t="s">
        <v>255</v>
      </c>
      <c r="U2634" t="s">
        <v>1045</v>
      </c>
      <c r="V2634" t="s">
        <v>10468</v>
      </c>
      <c r="W2634" s="45">
        <v>1</v>
      </c>
      <c r="X2634" s="45">
        <v>0</v>
      </c>
      <c r="Y2634" s="45">
        <v>0</v>
      </c>
      <c r="Z2634" s="45">
        <v>1</v>
      </c>
      <c r="AA2634" s="45">
        <v>1</v>
      </c>
      <c r="AB2634" s="45">
        <v>0</v>
      </c>
      <c r="AC2634" s="150">
        <v>1</v>
      </c>
      <c r="AD2634" s="150">
        <v>0</v>
      </c>
      <c r="AE2634" s="49">
        <f t="shared" si="107"/>
        <v>0.5</v>
      </c>
      <c r="AF2634" s="44"/>
      <c r="AG2634" s="17">
        <v>0</v>
      </c>
      <c r="AH2634" s="44">
        <v>1</v>
      </c>
      <c r="AI2634" s="44">
        <v>1.4</v>
      </c>
      <c r="AJ2634" s="44">
        <v>1.4</v>
      </c>
      <c r="AK2634" s="151">
        <v>1.4</v>
      </c>
      <c r="AL2634" s="151">
        <v>1.4</v>
      </c>
      <c r="AM2634" s="147">
        <f t="shared" si="106"/>
        <v>2.8</v>
      </c>
      <c r="AN2634" s="18" t="s">
        <v>255</v>
      </c>
      <c r="AO2634" s="18" t="s">
        <v>1045</v>
      </c>
      <c r="AP2634" t="s">
        <v>10469</v>
      </c>
    </row>
    <row r="2635" spans="1:42" customFormat="1" x14ac:dyDescent="0.3">
      <c r="A2635" s="148" t="s">
        <v>8319</v>
      </c>
      <c r="B2635" t="s">
        <v>8320</v>
      </c>
      <c r="C2635" s="148" t="s">
        <v>9344</v>
      </c>
      <c r="D2635" t="s">
        <v>9345</v>
      </c>
      <c r="E2635" s="148" t="s">
        <v>9346</v>
      </c>
      <c r="F2635" t="s">
        <v>9347</v>
      </c>
      <c r="G2635" s="148" t="s">
        <v>10470</v>
      </c>
      <c r="H2635" t="s">
        <v>10471</v>
      </c>
      <c r="I2635" s="148" t="s">
        <v>10472</v>
      </c>
      <c r="J2635" t="s">
        <v>10473</v>
      </c>
      <c r="K2635" s="148" t="s">
        <v>10474</v>
      </c>
      <c r="L2635" t="s">
        <v>10475</v>
      </c>
      <c r="M2635" s="1" t="s">
        <v>10476</v>
      </c>
      <c r="N2635" s="1">
        <v>30</v>
      </c>
      <c r="O2635" s="1">
        <v>50</v>
      </c>
      <c r="P2635" s="3">
        <v>55</v>
      </c>
      <c r="Q2635" s="3">
        <v>60</v>
      </c>
      <c r="R2635" s="3">
        <v>65</v>
      </c>
      <c r="S2635" s="3">
        <v>70</v>
      </c>
      <c r="T2635" t="s">
        <v>3643</v>
      </c>
      <c r="U2635" t="s">
        <v>3630</v>
      </c>
      <c r="V2635" t="s">
        <v>10477</v>
      </c>
      <c r="W2635" s="45">
        <v>1</v>
      </c>
      <c r="X2635" s="45">
        <v>0</v>
      </c>
      <c r="Y2635" s="45">
        <v>0</v>
      </c>
      <c r="Z2635" s="45">
        <v>1</v>
      </c>
      <c r="AA2635" s="45">
        <v>1</v>
      </c>
      <c r="AB2635" s="45">
        <v>0</v>
      </c>
      <c r="AC2635" s="150">
        <v>1</v>
      </c>
      <c r="AD2635" s="150">
        <v>0</v>
      </c>
      <c r="AE2635" s="49">
        <f t="shared" si="107"/>
        <v>0.5</v>
      </c>
      <c r="AF2635" s="44"/>
      <c r="AG2635" s="17">
        <v>0</v>
      </c>
      <c r="AH2635" s="44">
        <v>1</v>
      </c>
      <c r="AI2635" s="44">
        <v>1</v>
      </c>
      <c r="AJ2635" s="44">
        <v>1</v>
      </c>
      <c r="AK2635" s="151">
        <v>1</v>
      </c>
      <c r="AL2635" s="151">
        <v>1</v>
      </c>
      <c r="AM2635" s="147">
        <f t="shared" si="106"/>
        <v>2</v>
      </c>
      <c r="AN2635" s="18" t="s">
        <v>255</v>
      </c>
      <c r="AO2635" s="18" t="s">
        <v>1045</v>
      </c>
      <c r="AP2635" t="s">
        <v>9746</v>
      </c>
    </row>
    <row r="2636" spans="1:42" customFormat="1" x14ac:dyDescent="0.3">
      <c r="A2636" s="148" t="s">
        <v>8319</v>
      </c>
      <c r="B2636" t="s">
        <v>8320</v>
      </c>
      <c r="C2636" s="148" t="s">
        <v>9344</v>
      </c>
      <c r="D2636" t="s">
        <v>9345</v>
      </c>
      <c r="E2636" s="148" t="s">
        <v>9346</v>
      </c>
      <c r="F2636" t="s">
        <v>9347</v>
      </c>
      <c r="G2636" s="148" t="s">
        <v>10470</v>
      </c>
      <c r="H2636" t="s">
        <v>10471</v>
      </c>
      <c r="I2636" s="148" t="s">
        <v>10472</v>
      </c>
      <c r="J2636" t="s">
        <v>10473</v>
      </c>
      <c r="K2636" s="148" t="s">
        <v>10474</v>
      </c>
      <c r="L2636" t="s">
        <v>10475</v>
      </c>
      <c r="M2636" s="1" t="s">
        <v>10478</v>
      </c>
      <c r="N2636" s="1" t="s">
        <v>271</v>
      </c>
      <c r="O2636" s="1">
        <v>100</v>
      </c>
      <c r="P2636" s="3">
        <v>150</v>
      </c>
      <c r="Q2636" s="3">
        <v>150</v>
      </c>
      <c r="R2636" s="3">
        <v>150</v>
      </c>
      <c r="S2636" s="3">
        <v>150</v>
      </c>
      <c r="T2636" t="s">
        <v>3640</v>
      </c>
      <c r="U2636" t="s">
        <v>3630</v>
      </c>
      <c r="V2636" t="s">
        <v>10479</v>
      </c>
      <c r="W2636" s="45">
        <v>1</v>
      </c>
      <c r="X2636" s="45">
        <v>0</v>
      </c>
      <c r="Y2636" s="45">
        <v>1</v>
      </c>
      <c r="Z2636" s="45">
        <v>1</v>
      </c>
      <c r="AA2636" s="45">
        <v>0</v>
      </c>
      <c r="AB2636" s="45">
        <v>0</v>
      </c>
      <c r="AC2636" s="150">
        <v>1</v>
      </c>
      <c r="AD2636" s="150">
        <v>0</v>
      </c>
      <c r="AE2636" s="49">
        <f t="shared" si="107"/>
        <v>0.5</v>
      </c>
      <c r="AF2636" s="44"/>
      <c r="AG2636" s="17">
        <v>0</v>
      </c>
      <c r="AH2636" s="44">
        <v>0.6</v>
      </c>
      <c r="AI2636" s="44">
        <v>0.6</v>
      </c>
      <c r="AJ2636" s="44">
        <v>0.6</v>
      </c>
      <c r="AK2636" s="151">
        <v>0.6</v>
      </c>
      <c r="AL2636" s="151">
        <v>0.6</v>
      </c>
      <c r="AM2636" s="147">
        <f t="shared" si="106"/>
        <v>1.2</v>
      </c>
      <c r="AN2636" s="18" t="s">
        <v>255</v>
      </c>
      <c r="AO2636" s="18" t="s">
        <v>1045</v>
      </c>
      <c r="AP2636" t="s">
        <v>9746</v>
      </c>
    </row>
    <row r="2637" spans="1:42" customFormat="1" x14ac:dyDescent="0.3">
      <c r="A2637" s="148" t="s">
        <v>8319</v>
      </c>
      <c r="B2637" t="s">
        <v>8320</v>
      </c>
      <c r="C2637" s="148" t="s">
        <v>9344</v>
      </c>
      <c r="D2637" t="s">
        <v>9345</v>
      </c>
      <c r="E2637" s="148" t="s">
        <v>9346</v>
      </c>
      <c r="F2637" t="s">
        <v>9347</v>
      </c>
      <c r="G2637" s="148" t="s">
        <v>10470</v>
      </c>
      <c r="H2637" t="s">
        <v>10471</v>
      </c>
      <c r="I2637" s="148" t="s">
        <v>10480</v>
      </c>
      <c r="J2637" t="s">
        <v>10481</v>
      </c>
      <c r="K2637" s="148" t="s">
        <v>10482</v>
      </c>
      <c r="L2637" t="s">
        <v>10483</v>
      </c>
      <c r="M2637" s="1" t="s">
        <v>10484</v>
      </c>
      <c r="N2637" s="1" t="s">
        <v>9365</v>
      </c>
      <c r="O2637" s="1">
        <v>30</v>
      </c>
      <c r="P2637" s="3">
        <v>50</v>
      </c>
      <c r="Q2637" s="3">
        <v>75</v>
      </c>
      <c r="R2637" s="3">
        <v>80</v>
      </c>
      <c r="S2637" s="3">
        <v>100</v>
      </c>
      <c r="T2637" t="s">
        <v>10485</v>
      </c>
      <c r="U2637" t="e">
        <v>#N/A</v>
      </c>
      <c r="V2637" t="s">
        <v>10486</v>
      </c>
      <c r="W2637" s="45">
        <v>1</v>
      </c>
      <c r="X2637" s="45">
        <v>0</v>
      </c>
      <c r="Y2637" s="45">
        <v>0</v>
      </c>
      <c r="Z2637" s="45">
        <v>1</v>
      </c>
      <c r="AA2637" s="45">
        <v>0</v>
      </c>
      <c r="AB2637" s="45">
        <v>0</v>
      </c>
      <c r="AC2637" s="150">
        <v>1</v>
      </c>
      <c r="AD2637" s="150">
        <v>1</v>
      </c>
      <c r="AE2637" s="49">
        <f t="shared" si="107"/>
        <v>0.5</v>
      </c>
      <c r="AF2637" s="44"/>
      <c r="AG2637" s="17">
        <v>0</v>
      </c>
      <c r="AH2637" s="44">
        <v>0</v>
      </c>
      <c r="AI2637" s="44">
        <v>0.3</v>
      </c>
      <c r="AJ2637" s="44">
        <v>0</v>
      </c>
      <c r="AK2637" s="151">
        <v>0</v>
      </c>
      <c r="AL2637" s="151">
        <v>0</v>
      </c>
      <c r="AM2637" s="147">
        <f t="shared" si="106"/>
        <v>0</v>
      </c>
      <c r="AN2637" t="s">
        <v>3643</v>
      </c>
      <c r="AO2637" s="18" t="s">
        <v>3630</v>
      </c>
      <c r="AP2637" t="s">
        <v>1893</v>
      </c>
    </row>
    <row r="2638" spans="1:42" customFormat="1" x14ac:dyDescent="0.3">
      <c r="A2638" s="148" t="s">
        <v>8319</v>
      </c>
      <c r="B2638" s="159" t="s">
        <v>8320</v>
      </c>
      <c r="C2638" s="148" t="s">
        <v>9344</v>
      </c>
      <c r="D2638" s="159" t="s">
        <v>9345</v>
      </c>
      <c r="E2638" s="148" t="s">
        <v>9346</v>
      </c>
      <c r="F2638" s="159" t="s">
        <v>9347</v>
      </c>
      <c r="G2638" s="148" t="s">
        <v>9897</v>
      </c>
      <c r="H2638" t="s">
        <v>9898</v>
      </c>
      <c r="I2638" s="159"/>
      <c r="J2638" s="159"/>
      <c r="K2638" s="155" t="s">
        <v>10487</v>
      </c>
      <c r="L2638" s="159" t="s">
        <v>10488</v>
      </c>
      <c r="M2638" s="277" t="s">
        <v>10489</v>
      </c>
      <c r="N2638" s="277"/>
      <c r="O2638" s="277"/>
      <c r="P2638" s="275"/>
      <c r="Q2638" s="275"/>
      <c r="R2638" s="275"/>
      <c r="S2638" s="275"/>
      <c r="T2638" t="s">
        <v>10490</v>
      </c>
      <c r="U2638" t="e">
        <v>#N/A</v>
      </c>
      <c r="V2638" s="159" t="s">
        <v>10491</v>
      </c>
      <c r="W2638" s="274">
        <v>1</v>
      </c>
      <c r="X2638" s="274">
        <v>0</v>
      </c>
      <c r="Y2638" s="274">
        <v>0</v>
      </c>
      <c r="Z2638" s="274">
        <v>1</v>
      </c>
      <c r="AA2638" s="274">
        <v>0</v>
      </c>
      <c r="AB2638" s="274">
        <v>0</v>
      </c>
      <c r="AC2638" s="150">
        <v>1</v>
      </c>
      <c r="AD2638" s="150">
        <v>1</v>
      </c>
      <c r="AE2638" s="49">
        <f t="shared" si="107"/>
        <v>0.5</v>
      </c>
      <c r="AF2638" s="276"/>
      <c r="AG2638" s="17">
        <v>0</v>
      </c>
      <c r="AH2638" s="276">
        <v>0</v>
      </c>
      <c r="AI2638" s="276">
        <v>0</v>
      </c>
      <c r="AJ2638" s="276">
        <v>0</v>
      </c>
      <c r="AK2638" s="158">
        <v>0</v>
      </c>
      <c r="AL2638" s="158">
        <v>0</v>
      </c>
      <c r="AM2638" s="147">
        <f t="shared" si="106"/>
        <v>0</v>
      </c>
      <c r="AN2638" s="14" t="s">
        <v>771</v>
      </c>
      <c r="AO2638" s="14" t="s">
        <v>773</v>
      </c>
      <c r="AP2638" s="159" t="s">
        <v>10492</v>
      </c>
    </row>
    <row r="2639" spans="1:42" customFormat="1" x14ac:dyDescent="0.3">
      <c r="A2639" s="148" t="s">
        <v>8319</v>
      </c>
      <c r="B2639" s="159" t="s">
        <v>8320</v>
      </c>
      <c r="C2639" s="148" t="s">
        <v>9344</v>
      </c>
      <c r="D2639" s="159" t="s">
        <v>9345</v>
      </c>
      <c r="E2639" s="148" t="s">
        <v>9346</v>
      </c>
      <c r="F2639" s="159" t="s">
        <v>9347</v>
      </c>
      <c r="G2639" s="148" t="s">
        <v>9897</v>
      </c>
      <c r="H2639" t="s">
        <v>9898</v>
      </c>
      <c r="I2639" s="159"/>
      <c r="J2639" s="159"/>
      <c r="K2639" s="155" t="s">
        <v>10487</v>
      </c>
      <c r="L2639" s="159" t="s">
        <v>10488</v>
      </c>
      <c r="M2639" s="277" t="s">
        <v>10493</v>
      </c>
      <c r="N2639" s="277"/>
      <c r="O2639" s="277">
        <v>55</v>
      </c>
      <c r="P2639" s="275">
        <v>60</v>
      </c>
      <c r="Q2639" s="275">
        <v>65</v>
      </c>
      <c r="R2639" s="275">
        <v>70</v>
      </c>
      <c r="S2639" s="275">
        <v>80</v>
      </c>
      <c r="T2639" t="s">
        <v>10490</v>
      </c>
      <c r="U2639" t="e">
        <v>#N/A</v>
      </c>
      <c r="V2639" s="159" t="s">
        <v>10494</v>
      </c>
      <c r="W2639" s="274">
        <v>1</v>
      </c>
      <c r="X2639" s="274">
        <v>0</v>
      </c>
      <c r="Y2639" s="274">
        <v>0</v>
      </c>
      <c r="Z2639" s="274">
        <v>1</v>
      </c>
      <c r="AA2639" s="274">
        <v>1</v>
      </c>
      <c r="AB2639" s="274">
        <v>0</v>
      </c>
      <c r="AC2639" s="150">
        <v>1</v>
      </c>
      <c r="AD2639" s="150">
        <v>0</v>
      </c>
      <c r="AE2639" s="49">
        <f t="shared" si="107"/>
        <v>0.5</v>
      </c>
      <c r="AF2639" s="276"/>
      <c r="AG2639" s="17">
        <v>0</v>
      </c>
      <c r="AH2639" s="276">
        <v>17</v>
      </c>
      <c r="AI2639" s="276">
        <v>5</v>
      </c>
      <c r="AJ2639" s="276">
        <v>6.8</v>
      </c>
      <c r="AK2639" s="158">
        <v>0</v>
      </c>
      <c r="AL2639" s="158">
        <v>0</v>
      </c>
      <c r="AM2639" s="147">
        <f t="shared" si="106"/>
        <v>0</v>
      </c>
      <c r="AN2639" s="14" t="s">
        <v>255</v>
      </c>
      <c r="AO2639" s="14" t="s">
        <v>1045</v>
      </c>
      <c r="AP2639" s="159" t="s">
        <v>10495</v>
      </c>
    </row>
    <row r="2640" spans="1:42" customFormat="1" x14ac:dyDescent="0.3">
      <c r="A2640" s="148" t="s">
        <v>8319</v>
      </c>
      <c r="B2640" t="s">
        <v>8320</v>
      </c>
      <c r="C2640" s="148" t="s">
        <v>9344</v>
      </c>
      <c r="D2640" t="s">
        <v>9345</v>
      </c>
      <c r="E2640" s="148" t="s">
        <v>9346</v>
      </c>
      <c r="F2640" t="s">
        <v>9347</v>
      </c>
      <c r="G2640" s="148" t="s">
        <v>9558</v>
      </c>
      <c r="H2640" t="s">
        <v>9559</v>
      </c>
      <c r="K2640" s="148" t="s">
        <v>9560</v>
      </c>
      <c r="L2640" t="s">
        <v>9561</v>
      </c>
      <c r="M2640" s="1" t="s">
        <v>10496</v>
      </c>
      <c r="N2640" s="1" t="s">
        <v>271</v>
      </c>
      <c r="O2640" s="1">
        <v>501</v>
      </c>
      <c r="P2640" s="3">
        <v>501</v>
      </c>
      <c r="Q2640" s="3">
        <v>501</v>
      </c>
      <c r="R2640" s="3">
        <v>501</v>
      </c>
      <c r="S2640" s="3">
        <v>501</v>
      </c>
      <c r="T2640" t="s">
        <v>723</v>
      </c>
      <c r="U2640" t="s">
        <v>729</v>
      </c>
      <c r="V2640" t="s">
        <v>10497</v>
      </c>
      <c r="W2640" s="45">
        <v>1</v>
      </c>
      <c r="X2640" s="45">
        <v>0</v>
      </c>
      <c r="Y2640" s="45">
        <v>0</v>
      </c>
      <c r="Z2640" s="45">
        <v>1</v>
      </c>
      <c r="AA2640" s="45">
        <v>1</v>
      </c>
      <c r="AB2640" s="45">
        <v>0</v>
      </c>
      <c r="AC2640" s="150">
        <v>0</v>
      </c>
      <c r="AD2640" s="150">
        <v>1</v>
      </c>
      <c r="AE2640" s="49">
        <f t="shared" si="107"/>
        <v>0.5</v>
      </c>
      <c r="AF2640" s="17"/>
      <c r="AG2640" s="17">
        <v>0</v>
      </c>
      <c r="AH2640" s="17">
        <v>0</v>
      </c>
      <c r="AI2640" s="44">
        <v>0.25</v>
      </c>
      <c r="AJ2640" s="44">
        <v>0.25</v>
      </c>
      <c r="AK2640" s="151">
        <v>0.25</v>
      </c>
      <c r="AL2640" s="151">
        <v>0.25</v>
      </c>
      <c r="AM2640" s="147">
        <f t="shared" si="106"/>
        <v>0.5</v>
      </c>
      <c r="AN2640" t="s">
        <v>723</v>
      </c>
      <c r="AO2640" s="18" t="s">
        <v>729</v>
      </c>
      <c r="AP2640" t="s">
        <v>255</v>
      </c>
    </row>
    <row r="2641" spans="1:42" customFormat="1" x14ac:dyDescent="0.3">
      <c r="A2641" s="148" t="s">
        <v>8319</v>
      </c>
      <c r="B2641" t="s">
        <v>8320</v>
      </c>
      <c r="C2641" s="148" t="s">
        <v>9344</v>
      </c>
      <c r="D2641" t="s">
        <v>9345</v>
      </c>
      <c r="E2641" s="148" t="s">
        <v>9346</v>
      </c>
      <c r="F2641" t="s">
        <v>9347</v>
      </c>
      <c r="G2641" s="148" t="s">
        <v>9558</v>
      </c>
      <c r="H2641" t="s">
        <v>9559</v>
      </c>
      <c r="K2641" s="148" t="s">
        <v>9560</v>
      </c>
      <c r="L2641" t="s">
        <v>9561</v>
      </c>
      <c r="M2641" s="1" t="s">
        <v>10498</v>
      </c>
      <c r="N2641" s="1" t="s">
        <v>271</v>
      </c>
      <c r="O2641" s="1">
        <v>500</v>
      </c>
      <c r="P2641" s="3">
        <v>500</v>
      </c>
      <c r="Q2641" s="3">
        <v>500</v>
      </c>
      <c r="R2641" s="3">
        <v>500</v>
      </c>
      <c r="S2641" s="3">
        <v>500</v>
      </c>
      <c r="T2641" t="s">
        <v>723</v>
      </c>
      <c r="U2641" t="s">
        <v>729</v>
      </c>
      <c r="V2641" t="s">
        <v>10499</v>
      </c>
      <c r="W2641" s="45">
        <v>1</v>
      </c>
      <c r="X2641" s="45">
        <v>0</v>
      </c>
      <c r="Y2641" s="45">
        <v>0</v>
      </c>
      <c r="Z2641" s="45">
        <v>1</v>
      </c>
      <c r="AA2641" s="45">
        <v>0</v>
      </c>
      <c r="AB2641" s="45">
        <v>0</v>
      </c>
      <c r="AC2641" s="150">
        <v>1</v>
      </c>
      <c r="AD2641" s="150">
        <v>1</v>
      </c>
      <c r="AE2641" s="49">
        <f t="shared" si="107"/>
        <v>0.5</v>
      </c>
      <c r="AF2641" s="17"/>
      <c r="AG2641" s="17">
        <v>0</v>
      </c>
      <c r="AH2641" s="17">
        <v>0</v>
      </c>
      <c r="AI2641" s="44">
        <v>0.1</v>
      </c>
      <c r="AJ2641" s="44">
        <v>0.1</v>
      </c>
      <c r="AK2641" s="151">
        <v>0.1</v>
      </c>
      <c r="AL2641" s="151">
        <v>0.1</v>
      </c>
      <c r="AM2641" s="147">
        <f t="shared" si="106"/>
        <v>0.2</v>
      </c>
      <c r="AN2641" s="18" t="s">
        <v>255</v>
      </c>
      <c r="AO2641" s="18" t="s">
        <v>1045</v>
      </c>
      <c r="AP2641" t="s">
        <v>4159</v>
      </c>
    </row>
    <row r="2642" spans="1:42" customFormat="1" x14ac:dyDescent="0.3">
      <c r="A2642" s="148" t="s">
        <v>8319</v>
      </c>
      <c r="B2642" t="s">
        <v>8320</v>
      </c>
      <c r="C2642" s="148" t="s">
        <v>9344</v>
      </c>
      <c r="D2642" t="s">
        <v>9345</v>
      </c>
      <c r="E2642" s="148" t="s">
        <v>9346</v>
      </c>
      <c r="F2642" t="s">
        <v>9347</v>
      </c>
      <c r="G2642" s="148" t="s">
        <v>9558</v>
      </c>
      <c r="H2642" t="s">
        <v>9559</v>
      </c>
      <c r="K2642" s="148" t="s">
        <v>9560</v>
      </c>
      <c r="L2642" t="s">
        <v>9561</v>
      </c>
      <c r="M2642" s="1" t="s">
        <v>10500</v>
      </c>
      <c r="N2642" s="1" t="s">
        <v>271</v>
      </c>
      <c r="O2642" s="1">
        <v>0</v>
      </c>
      <c r="P2642" s="3"/>
      <c r="Q2642" s="3"/>
      <c r="R2642" s="3">
        <v>1</v>
      </c>
      <c r="S2642" s="3">
        <v>0</v>
      </c>
      <c r="T2642" t="s">
        <v>255</v>
      </c>
      <c r="U2642" t="s">
        <v>1045</v>
      </c>
      <c r="V2642" t="s">
        <v>10501</v>
      </c>
      <c r="W2642" s="45">
        <v>1</v>
      </c>
      <c r="X2642" s="45">
        <v>0</v>
      </c>
      <c r="Y2642" s="45">
        <v>0</v>
      </c>
      <c r="Z2642" s="45">
        <v>1</v>
      </c>
      <c r="AA2642" s="45">
        <v>0</v>
      </c>
      <c r="AB2642" s="45">
        <v>0</v>
      </c>
      <c r="AC2642" s="150">
        <v>1</v>
      </c>
      <c r="AD2642" s="150">
        <v>1</v>
      </c>
      <c r="AE2642" s="49">
        <f t="shared" si="107"/>
        <v>0.5</v>
      </c>
      <c r="AF2642" s="17"/>
      <c r="AG2642" s="17">
        <v>0</v>
      </c>
      <c r="AH2642" s="17">
        <v>0</v>
      </c>
      <c r="AI2642" s="44">
        <v>0.5</v>
      </c>
      <c r="AJ2642" s="44">
        <v>0</v>
      </c>
      <c r="AK2642" s="151">
        <v>0</v>
      </c>
      <c r="AL2642" s="151">
        <v>0</v>
      </c>
      <c r="AM2642" s="147">
        <f t="shared" si="106"/>
        <v>0</v>
      </c>
      <c r="AN2642" t="s">
        <v>831</v>
      </c>
      <c r="AO2642" s="18" t="s">
        <v>834</v>
      </c>
      <c r="AP2642" t="s">
        <v>723</v>
      </c>
    </row>
    <row r="2643" spans="1:42" customFormat="1" x14ac:dyDescent="0.3">
      <c r="A2643" s="148" t="s">
        <v>8319</v>
      </c>
      <c r="B2643" t="s">
        <v>8320</v>
      </c>
      <c r="C2643" s="148" t="s">
        <v>9344</v>
      </c>
      <c r="D2643" t="s">
        <v>9345</v>
      </c>
      <c r="E2643" s="148" t="s">
        <v>9346</v>
      </c>
      <c r="F2643" t="s">
        <v>9347</v>
      </c>
      <c r="G2643" s="148" t="s">
        <v>9558</v>
      </c>
      <c r="H2643" t="s">
        <v>9559</v>
      </c>
      <c r="K2643" s="148" t="s">
        <v>9560</v>
      </c>
      <c r="L2643" t="s">
        <v>9561</v>
      </c>
      <c r="M2643" s="1" t="s">
        <v>10502</v>
      </c>
      <c r="N2643" s="1" t="s">
        <v>271</v>
      </c>
      <c r="O2643" s="1">
        <v>0</v>
      </c>
      <c r="P2643" s="3">
        <v>1261</v>
      </c>
      <c r="Q2643" s="3">
        <v>1356</v>
      </c>
      <c r="R2643" s="3">
        <v>1423</v>
      </c>
      <c r="S2643" s="3">
        <v>1459</v>
      </c>
      <c r="T2643" t="s">
        <v>255</v>
      </c>
      <c r="U2643" t="s">
        <v>1045</v>
      </c>
      <c r="V2643" t="s">
        <v>10503</v>
      </c>
      <c r="W2643" s="45">
        <v>1</v>
      </c>
      <c r="X2643" s="45">
        <v>0</v>
      </c>
      <c r="Y2643" s="45">
        <v>0</v>
      </c>
      <c r="Z2643" s="45">
        <v>0</v>
      </c>
      <c r="AA2643" s="45">
        <v>1</v>
      </c>
      <c r="AB2643" s="45">
        <v>0</v>
      </c>
      <c r="AC2643" s="150">
        <v>1</v>
      </c>
      <c r="AD2643" s="150">
        <v>1</v>
      </c>
      <c r="AE2643" s="49">
        <f t="shared" si="107"/>
        <v>0.5</v>
      </c>
      <c r="AF2643" s="17">
        <v>1</v>
      </c>
      <c r="AG2643" s="17">
        <v>0</v>
      </c>
      <c r="AH2643" s="17">
        <v>0</v>
      </c>
      <c r="AI2643" s="44">
        <v>40.380000000000003</v>
      </c>
      <c r="AJ2643" s="44">
        <v>43.4</v>
      </c>
      <c r="AK2643" s="151">
        <v>30</v>
      </c>
      <c r="AL2643" s="151">
        <v>46.7</v>
      </c>
      <c r="AM2643" s="147">
        <f t="shared" si="106"/>
        <v>76.7</v>
      </c>
      <c r="AN2643" s="18" t="s">
        <v>255</v>
      </c>
      <c r="AO2643" s="18" t="s">
        <v>1045</v>
      </c>
      <c r="AP2643" t="s">
        <v>10504</v>
      </c>
    </row>
    <row r="2644" spans="1:42" customFormat="1" x14ac:dyDescent="0.3">
      <c r="A2644" s="148" t="s">
        <v>8319</v>
      </c>
      <c r="B2644" t="s">
        <v>8320</v>
      </c>
      <c r="C2644" s="148" t="s">
        <v>9344</v>
      </c>
      <c r="D2644" t="s">
        <v>9345</v>
      </c>
      <c r="E2644" s="148" t="s">
        <v>9346</v>
      </c>
      <c r="F2644" t="s">
        <v>9347</v>
      </c>
      <c r="G2644" s="148" t="s">
        <v>9558</v>
      </c>
      <c r="H2644" t="s">
        <v>9559</v>
      </c>
      <c r="K2644" s="148" t="s">
        <v>9560</v>
      </c>
      <c r="L2644" t="s">
        <v>9561</v>
      </c>
      <c r="M2644" s="1" t="s">
        <v>10505</v>
      </c>
      <c r="N2644" s="1" t="s">
        <v>271</v>
      </c>
      <c r="O2644" s="1">
        <v>0</v>
      </c>
      <c r="P2644" s="3">
        <v>635</v>
      </c>
      <c r="Q2644" s="3">
        <v>617</v>
      </c>
      <c r="R2644" s="3">
        <v>544</v>
      </c>
      <c r="S2644" s="3">
        <v>416</v>
      </c>
      <c r="T2644" t="s">
        <v>255</v>
      </c>
      <c r="U2644" t="s">
        <v>1045</v>
      </c>
      <c r="V2644" t="s">
        <v>10506</v>
      </c>
      <c r="W2644" s="45">
        <v>1</v>
      </c>
      <c r="X2644" s="45">
        <v>0</v>
      </c>
      <c r="Y2644" s="45">
        <v>0</v>
      </c>
      <c r="Z2644" s="45">
        <v>0</v>
      </c>
      <c r="AA2644" s="45">
        <v>1</v>
      </c>
      <c r="AB2644" s="45">
        <v>0</v>
      </c>
      <c r="AC2644" s="150">
        <v>1</v>
      </c>
      <c r="AD2644" s="150">
        <v>1</v>
      </c>
      <c r="AE2644" s="49">
        <f t="shared" si="107"/>
        <v>0.5</v>
      </c>
      <c r="AF2644" s="17">
        <v>1</v>
      </c>
      <c r="AG2644" s="17">
        <v>0</v>
      </c>
      <c r="AH2644" s="17">
        <v>0</v>
      </c>
      <c r="AI2644" s="44">
        <v>87.8</v>
      </c>
      <c r="AJ2644" s="44">
        <v>85.3</v>
      </c>
      <c r="AK2644" s="151">
        <v>0</v>
      </c>
      <c r="AL2644" s="151">
        <v>0</v>
      </c>
      <c r="AM2644" s="147">
        <f t="shared" si="106"/>
        <v>0</v>
      </c>
      <c r="AN2644" s="18" t="s">
        <v>255</v>
      </c>
      <c r="AO2644" s="18" t="s">
        <v>1045</v>
      </c>
      <c r="AP2644" t="s">
        <v>723</v>
      </c>
    </row>
    <row r="2645" spans="1:42" customFormat="1" x14ac:dyDescent="0.3">
      <c r="A2645" s="148" t="s">
        <v>8319</v>
      </c>
      <c r="B2645" t="s">
        <v>8320</v>
      </c>
      <c r="C2645" s="148" t="s">
        <v>9344</v>
      </c>
      <c r="D2645" t="s">
        <v>9345</v>
      </c>
      <c r="E2645" s="148" t="s">
        <v>9346</v>
      </c>
      <c r="F2645" t="s">
        <v>9347</v>
      </c>
      <c r="G2645" s="148" t="s">
        <v>9558</v>
      </c>
      <c r="H2645" t="s">
        <v>9559</v>
      </c>
      <c r="K2645" s="148" t="s">
        <v>9560</v>
      </c>
      <c r="L2645" t="s">
        <v>9561</v>
      </c>
      <c r="M2645" s="1" t="s">
        <v>10507</v>
      </c>
      <c r="N2645" s="1" t="s">
        <v>271</v>
      </c>
      <c r="O2645" s="1">
        <v>0</v>
      </c>
      <c r="P2645" s="3">
        <v>281250</v>
      </c>
      <c r="Q2645" s="3">
        <v>281250</v>
      </c>
      <c r="R2645" s="3">
        <v>281250</v>
      </c>
      <c r="S2645" s="3">
        <v>281250</v>
      </c>
      <c r="T2645" t="s">
        <v>723</v>
      </c>
      <c r="U2645" t="s">
        <v>729</v>
      </c>
      <c r="V2645" t="s">
        <v>10508</v>
      </c>
      <c r="W2645" s="45">
        <v>1</v>
      </c>
      <c r="X2645" s="45">
        <v>0</v>
      </c>
      <c r="Y2645" s="45">
        <v>0</v>
      </c>
      <c r="Z2645" s="45">
        <v>0</v>
      </c>
      <c r="AA2645" s="45">
        <v>1</v>
      </c>
      <c r="AB2645" s="45">
        <v>0</v>
      </c>
      <c r="AC2645" s="150">
        <v>1</v>
      </c>
      <c r="AD2645" s="150">
        <v>1</v>
      </c>
      <c r="AE2645" s="49">
        <f t="shared" si="107"/>
        <v>0.5</v>
      </c>
      <c r="AF2645" s="17">
        <v>1</v>
      </c>
      <c r="AG2645" s="17">
        <v>0</v>
      </c>
      <c r="AH2645" s="17">
        <v>0</v>
      </c>
      <c r="AI2645" s="44">
        <v>88</v>
      </c>
      <c r="AJ2645" s="44">
        <v>88</v>
      </c>
      <c r="AK2645" s="151">
        <v>30</v>
      </c>
      <c r="AL2645" s="151">
        <v>15</v>
      </c>
      <c r="AM2645" s="147">
        <f t="shared" si="106"/>
        <v>45</v>
      </c>
      <c r="AN2645" s="18" t="s">
        <v>255</v>
      </c>
      <c r="AO2645" s="18" t="s">
        <v>1045</v>
      </c>
      <c r="AP2645" t="s">
        <v>10509</v>
      </c>
    </row>
    <row r="2646" spans="1:42" customFormat="1" x14ac:dyDescent="0.3">
      <c r="A2646" s="148" t="s">
        <v>8319</v>
      </c>
      <c r="B2646" t="s">
        <v>8320</v>
      </c>
      <c r="C2646" s="148" t="s">
        <v>9344</v>
      </c>
      <c r="D2646" t="s">
        <v>9345</v>
      </c>
      <c r="E2646" s="148" t="s">
        <v>9346</v>
      </c>
      <c r="F2646" t="s">
        <v>9347</v>
      </c>
      <c r="G2646" s="148" t="s">
        <v>9558</v>
      </c>
      <c r="H2646" t="s">
        <v>9559</v>
      </c>
      <c r="K2646" s="148" t="s">
        <v>9560</v>
      </c>
      <c r="L2646" t="s">
        <v>9561</v>
      </c>
      <c r="M2646" s="1" t="s">
        <v>10510</v>
      </c>
      <c r="N2646" s="1" t="s">
        <v>271</v>
      </c>
      <c r="O2646" s="1" t="s">
        <v>271</v>
      </c>
      <c r="P2646" s="3">
        <v>36000</v>
      </c>
      <c r="Q2646" s="3" t="s">
        <v>271</v>
      </c>
      <c r="R2646" s="3" t="s">
        <v>271</v>
      </c>
      <c r="S2646" s="3" t="s">
        <v>271</v>
      </c>
      <c r="T2646" t="s">
        <v>723</v>
      </c>
      <c r="U2646" t="s">
        <v>729</v>
      </c>
      <c r="V2646" t="s">
        <v>10511</v>
      </c>
      <c r="W2646" s="45">
        <v>1</v>
      </c>
      <c r="X2646" s="45">
        <v>0</v>
      </c>
      <c r="Y2646" s="45">
        <v>0</v>
      </c>
      <c r="Z2646" s="45">
        <v>0</v>
      </c>
      <c r="AA2646" s="45">
        <v>1</v>
      </c>
      <c r="AB2646" s="45">
        <v>0</v>
      </c>
      <c r="AC2646" s="150">
        <v>1</v>
      </c>
      <c r="AD2646" s="150">
        <v>1</v>
      </c>
      <c r="AE2646" s="49">
        <f t="shared" si="107"/>
        <v>0.5</v>
      </c>
      <c r="AF2646" s="17"/>
      <c r="AG2646" s="17">
        <v>0</v>
      </c>
      <c r="AH2646" s="17">
        <v>0</v>
      </c>
      <c r="AI2646" s="44">
        <v>3.2</v>
      </c>
      <c r="AJ2646" s="44" t="s">
        <v>10512</v>
      </c>
      <c r="AK2646" s="151">
        <v>3.2</v>
      </c>
      <c r="AL2646" s="151">
        <v>3.2</v>
      </c>
      <c r="AM2646" s="147">
        <f t="shared" si="106"/>
        <v>6.4</v>
      </c>
      <c r="AN2646" t="s">
        <v>723</v>
      </c>
      <c r="AO2646" s="18" t="s">
        <v>729</v>
      </c>
      <c r="AP2646" t="s">
        <v>1035</v>
      </c>
    </row>
    <row r="2647" spans="1:42" customFormat="1" x14ac:dyDescent="0.3">
      <c r="A2647" s="148" t="s">
        <v>8319</v>
      </c>
      <c r="B2647" t="s">
        <v>8320</v>
      </c>
      <c r="C2647" s="148" t="s">
        <v>9344</v>
      </c>
      <c r="D2647" t="s">
        <v>9345</v>
      </c>
      <c r="E2647" s="148" t="s">
        <v>9346</v>
      </c>
      <c r="F2647" t="s">
        <v>9347</v>
      </c>
      <c r="G2647" s="148" t="s">
        <v>9558</v>
      </c>
      <c r="H2647" t="s">
        <v>9559</v>
      </c>
      <c r="K2647" s="148" t="s">
        <v>9560</v>
      </c>
      <c r="L2647" t="s">
        <v>9561</v>
      </c>
      <c r="M2647" s="1" t="s">
        <v>10513</v>
      </c>
      <c r="N2647" s="1" t="s">
        <v>271</v>
      </c>
      <c r="O2647" s="1"/>
      <c r="P2647" s="3">
        <v>1000</v>
      </c>
      <c r="Q2647" s="3">
        <v>1085</v>
      </c>
      <c r="R2647" s="3">
        <v>1138</v>
      </c>
      <c r="S2647" s="3">
        <v>1167</v>
      </c>
      <c r="T2647" t="s">
        <v>2432</v>
      </c>
      <c r="U2647" t="s">
        <v>729</v>
      </c>
      <c r="V2647" t="s">
        <v>10514</v>
      </c>
      <c r="W2647" s="45">
        <v>1</v>
      </c>
      <c r="X2647" s="45">
        <v>0</v>
      </c>
      <c r="Y2647" s="45">
        <v>0</v>
      </c>
      <c r="Z2647" s="45">
        <v>1</v>
      </c>
      <c r="AA2647" s="45">
        <v>1</v>
      </c>
      <c r="AB2647" s="45">
        <v>0</v>
      </c>
      <c r="AC2647" s="150">
        <v>1</v>
      </c>
      <c r="AD2647" s="150">
        <v>0</v>
      </c>
      <c r="AE2647" s="49">
        <f t="shared" si="107"/>
        <v>0.5</v>
      </c>
      <c r="AF2647" s="44"/>
      <c r="AG2647" s="17">
        <v>1</v>
      </c>
      <c r="AH2647" s="44">
        <v>0</v>
      </c>
      <c r="AI2647" s="44">
        <v>0</v>
      </c>
      <c r="AJ2647" s="44">
        <v>20</v>
      </c>
      <c r="AK2647" s="151">
        <v>20</v>
      </c>
      <c r="AL2647" s="151">
        <v>20</v>
      </c>
      <c r="AM2647" s="147">
        <f t="shared" si="106"/>
        <v>40</v>
      </c>
      <c r="AN2647" s="44" t="s">
        <v>723</v>
      </c>
      <c r="AO2647" s="18" t="s">
        <v>729</v>
      </c>
      <c r="AP2647" t="s">
        <v>407</v>
      </c>
    </row>
    <row r="2648" spans="1:42" customFormat="1" x14ac:dyDescent="0.3">
      <c r="A2648" s="148" t="s">
        <v>8319</v>
      </c>
      <c r="B2648" t="s">
        <v>8320</v>
      </c>
      <c r="C2648" s="148" t="s">
        <v>9344</v>
      </c>
      <c r="D2648" t="s">
        <v>9345</v>
      </c>
      <c r="E2648" s="148" t="s">
        <v>9346</v>
      </c>
      <c r="F2648" t="s">
        <v>9347</v>
      </c>
      <c r="G2648" s="148" t="s">
        <v>9558</v>
      </c>
      <c r="H2648" t="s">
        <v>9559</v>
      </c>
      <c r="K2648" s="148" t="s">
        <v>9560</v>
      </c>
      <c r="L2648" t="s">
        <v>9561</v>
      </c>
      <c r="M2648" s="1" t="s">
        <v>10515</v>
      </c>
      <c r="N2648" s="1" t="s">
        <v>271</v>
      </c>
      <c r="O2648" s="1" t="s">
        <v>271</v>
      </c>
      <c r="P2648" s="3">
        <v>2</v>
      </c>
      <c r="Q2648" s="3">
        <v>3</v>
      </c>
      <c r="R2648" s="3">
        <v>4</v>
      </c>
      <c r="S2648" s="3">
        <v>5</v>
      </c>
      <c r="T2648" t="s">
        <v>723</v>
      </c>
      <c r="U2648" t="s">
        <v>729</v>
      </c>
      <c r="V2648" t="s">
        <v>10516</v>
      </c>
      <c r="W2648" s="45">
        <v>1</v>
      </c>
      <c r="X2648" s="45">
        <v>0</v>
      </c>
      <c r="Y2648" s="45">
        <v>0</v>
      </c>
      <c r="Z2648" s="45">
        <v>1</v>
      </c>
      <c r="AA2648" s="45">
        <v>1</v>
      </c>
      <c r="AB2648" s="45">
        <v>0</v>
      </c>
      <c r="AC2648" s="150">
        <v>0</v>
      </c>
      <c r="AD2648" s="150">
        <v>1</v>
      </c>
      <c r="AE2648" s="49">
        <f t="shared" si="107"/>
        <v>0.5</v>
      </c>
      <c r="AF2648" s="44"/>
      <c r="AG2648" s="17">
        <v>0</v>
      </c>
      <c r="AH2648" s="44">
        <v>0.34</v>
      </c>
      <c r="AI2648" s="44">
        <v>0.34</v>
      </c>
      <c r="AJ2648" s="44">
        <v>0.34</v>
      </c>
      <c r="AK2648" s="151">
        <v>0.34</v>
      </c>
      <c r="AL2648" s="151">
        <v>0.34</v>
      </c>
      <c r="AM2648" s="147">
        <f t="shared" si="106"/>
        <v>0.68</v>
      </c>
      <c r="AN2648" s="44" t="s">
        <v>723</v>
      </c>
      <c r="AO2648" s="18" t="s">
        <v>729</v>
      </c>
      <c r="AP2648" t="s">
        <v>119</v>
      </c>
    </row>
    <row r="2649" spans="1:42" customFormat="1" x14ac:dyDescent="0.3">
      <c r="A2649" s="148" t="s">
        <v>8319</v>
      </c>
      <c r="B2649" t="s">
        <v>8320</v>
      </c>
      <c r="C2649" s="148" t="s">
        <v>9344</v>
      </c>
      <c r="D2649" t="s">
        <v>9345</v>
      </c>
      <c r="E2649" s="148" t="s">
        <v>9346</v>
      </c>
      <c r="F2649" t="s">
        <v>9347</v>
      </c>
      <c r="G2649" s="148" t="s">
        <v>9558</v>
      </c>
      <c r="H2649" t="s">
        <v>9559</v>
      </c>
      <c r="K2649" s="148" t="s">
        <v>9560</v>
      </c>
      <c r="L2649" t="s">
        <v>9561</v>
      </c>
      <c r="M2649" s="1"/>
      <c r="N2649" s="1"/>
      <c r="O2649" s="1"/>
      <c r="P2649" s="3"/>
      <c r="Q2649" s="3"/>
      <c r="R2649" s="3"/>
      <c r="S2649" s="3"/>
      <c r="U2649" t="e">
        <v>#N/A</v>
      </c>
      <c r="V2649" t="s">
        <v>10517</v>
      </c>
      <c r="W2649" s="45">
        <v>1</v>
      </c>
      <c r="X2649" s="45">
        <v>0</v>
      </c>
      <c r="Y2649" s="45">
        <v>0</v>
      </c>
      <c r="Z2649" s="45">
        <v>1</v>
      </c>
      <c r="AA2649" s="45">
        <v>1</v>
      </c>
      <c r="AB2649" s="45">
        <v>0</v>
      </c>
      <c r="AC2649" s="150">
        <v>0</v>
      </c>
      <c r="AD2649" s="150">
        <v>1</v>
      </c>
      <c r="AE2649" s="49">
        <f t="shared" si="107"/>
        <v>0.5</v>
      </c>
      <c r="AF2649" s="44"/>
      <c r="AG2649" s="17">
        <v>0</v>
      </c>
      <c r="AH2649" s="44">
        <v>0</v>
      </c>
      <c r="AI2649" s="44">
        <v>0</v>
      </c>
      <c r="AJ2649" s="44">
        <v>0</v>
      </c>
      <c r="AK2649" s="151">
        <v>0</v>
      </c>
      <c r="AL2649" s="151">
        <v>0</v>
      </c>
      <c r="AM2649" s="147">
        <f t="shared" si="106"/>
        <v>0</v>
      </c>
      <c r="AN2649" s="44" t="s">
        <v>10518</v>
      </c>
      <c r="AO2649" s="18" t="s">
        <v>729</v>
      </c>
      <c r="AP2649" t="s">
        <v>119</v>
      </c>
    </row>
    <row r="2650" spans="1:42" customFormat="1" x14ac:dyDescent="0.3">
      <c r="A2650" s="148" t="s">
        <v>8319</v>
      </c>
      <c r="B2650" t="s">
        <v>8320</v>
      </c>
      <c r="C2650" s="148" t="s">
        <v>9344</v>
      </c>
      <c r="D2650" t="s">
        <v>9345</v>
      </c>
      <c r="E2650" s="148" t="s">
        <v>9346</v>
      </c>
      <c r="F2650" t="s">
        <v>9347</v>
      </c>
      <c r="G2650" s="148" t="s">
        <v>9558</v>
      </c>
      <c r="H2650" t="s">
        <v>9559</v>
      </c>
      <c r="K2650" s="148" t="s">
        <v>9560</v>
      </c>
      <c r="L2650" t="s">
        <v>9561</v>
      </c>
      <c r="M2650" s="1"/>
      <c r="N2650" s="1"/>
      <c r="O2650" s="1"/>
      <c r="P2650" s="3"/>
      <c r="Q2650" s="3">
        <v>1</v>
      </c>
      <c r="R2650" s="3">
        <v>1</v>
      </c>
      <c r="S2650" s="3">
        <v>1</v>
      </c>
      <c r="T2650" t="s">
        <v>2432</v>
      </c>
      <c r="U2650" t="s">
        <v>729</v>
      </c>
      <c r="V2650" t="s">
        <v>10519</v>
      </c>
      <c r="W2650" s="45">
        <v>1</v>
      </c>
      <c r="X2650" s="45">
        <v>0</v>
      </c>
      <c r="Y2650" s="45">
        <v>0</v>
      </c>
      <c r="Z2650" s="45">
        <v>1</v>
      </c>
      <c r="AA2650" s="45">
        <v>1</v>
      </c>
      <c r="AB2650" s="45">
        <v>0</v>
      </c>
      <c r="AC2650" s="150">
        <v>0</v>
      </c>
      <c r="AD2650" s="150">
        <v>1</v>
      </c>
      <c r="AE2650" s="49">
        <f t="shared" si="107"/>
        <v>0.5</v>
      </c>
      <c r="AF2650" s="17"/>
      <c r="AG2650" s="17">
        <v>0</v>
      </c>
      <c r="AH2650" s="17">
        <v>0</v>
      </c>
      <c r="AI2650" s="44">
        <v>2</v>
      </c>
      <c r="AJ2650" s="44">
        <v>2</v>
      </c>
      <c r="AK2650" s="151">
        <v>2</v>
      </c>
      <c r="AL2650" s="151">
        <v>2</v>
      </c>
      <c r="AM2650" s="147">
        <f t="shared" si="106"/>
        <v>4</v>
      </c>
      <c r="AN2650" s="44" t="s">
        <v>9929</v>
      </c>
      <c r="AO2650" s="18" t="s">
        <v>729</v>
      </c>
      <c r="AP2650" t="s">
        <v>9930</v>
      </c>
    </row>
    <row r="2651" spans="1:42" customFormat="1" x14ac:dyDescent="0.3">
      <c r="A2651" s="148" t="s">
        <v>8319</v>
      </c>
      <c r="B2651" t="s">
        <v>8320</v>
      </c>
      <c r="C2651" s="148" t="s">
        <v>9344</v>
      </c>
      <c r="D2651" t="s">
        <v>9345</v>
      </c>
      <c r="E2651" s="148" t="s">
        <v>9346</v>
      </c>
      <c r="F2651" t="s">
        <v>9347</v>
      </c>
      <c r="G2651" s="148" t="s">
        <v>9558</v>
      </c>
      <c r="H2651" t="s">
        <v>9559</v>
      </c>
      <c r="K2651" s="148" t="s">
        <v>9560</v>
      </c>
      <c r="L2651" t="s">
        <v>9561</v>
      </c>
      <c r="M2651" s="1"/>
      <c r="N2651" s="1"/>
      <c r="O2651" s="1"/>
      <c r="P2651" s="3"/>
      <c r="Q2651" s="3">
        <v>1</v>
      </c>
      <c r="R2651" s="3">
        <v>1</v>
      </c>
      <c r="S2651" s="3">
        <v>1</v>
      </c>
      <c r="T2651" t="s">
        <v>10520</v>
      </c>
      <c r="U2651" t="e">
        <v>#N/A</v>
      </c>
      <c r="V2651" t="s">
        <v>10521</v>
      </c>
      <c r="W2651" s="45">
        <v>1</v>
      </c>
      <c r="X2651" s="45">
        <v>0</v>
      </c>
      <c r="Y2651" s="45">
        <v>0</v>
      </c>
      <c r="Z2651" s="45">
        <v>1</v>
      </c>
      <c r="AA2651" s="45">
        <v>1</v>
      </c>
      <c r="AB2651" s="45">
        <v>0</v>
      </c>
      <c r="AC2651" s="150">
        <v>0</v>
      </c>
      <c r="AD2651" s="150">
        <v>1</v>
      </c>
      <c r="AE2651" s="49">
        <f t="shared" si="107"/>
        <v>0.5</v>
      </c>
      <c r="AF2651" s="44"/>
      <c r="AG2651" s="17">
        <v>0</v>
      </c>
      <c r="AH2651" s="44">
        <v>0.5</v>
      </c>
      <c r="AI2651" s="44">
        <v>0.5</v>
      </c>
      <c r="AJ2651" s="44">
        <v>0.5</v>
      </c>
      <c r="AK2651" s="151">
        <v>0.5</v>
      </c>
      <c r="AL2651" s="151">
        <v>0.5</v>
      </c>
      <c r="AM2651" s="147">
        <f t="shared" si="106"/>
        <v>1</v>
      </c>
      <c r="AN2651" s="44" t="s">
        <v>10518</v>
      </c>
      <c r="AO2651" s="18" t="s">
        <v>729</v>
      </c>
      <c r="AP2651" t="s">
        <v>119</v>
      </c>
    </row>
    <row r="2652" spans="1:42" customFormat="1" x14ac:dyDescent="0.3">
      <c r="A2652" s="148" t="s">
        <v>8319</v>
      </c>
      <c r="B2652" t="s">
        <v>8320</v>
      </c>
      <c r="C2652" s="148" t="s">
        <v>9344</v>
      </c>
      <c r="D2652" t="s">
        <v>9345</v>
      </c>
      <c r="E2652" s="148" t="s">
        <v>9346</v>
      </c>
      <c r="F2652" t="s">
        <v>9347</v>
      </c>
      <c r="G2652" s="148" t="s">
        <v>10141</v>
      </c>
      <c r="H2652" t="s">
        <v>10142</v>
      </c>
      <c r="K2652" s="155" t="s">
        <v>10143</v>
      </c>
      <c r="L2652" t="s">
        <v>10144</v>
      </c>
      <c r="M2652" s="1" t="s">
        <v>10522</v>
      </c>
      <c r="N2652" s="1" t="s">
        <v>271</v>
      </c>
      <c r="O2652" s="1" t="s">
        <v>271</v>
      </c>
      <c r="P2652" s="3">
        <v>39250</v>
      </c>
      <c r="Q2652" s="3">
        <v>39250</v>
      </c>
      <c r="R2652" s="3">
        <v>39250</v>
      </c>
      <c r="S2652" s="3">
        <v>39250</v>
      </c>
      <c r="T2652" t="s">
        <v>10523</v>
      </c>
      <c r="U2652" t="e">
        <v>#N/A</v>
      </c>
      <c r="V2652" t="s">
        <v>10524</v>
      </c>
      <c r="W2652" s="45">
        <v>1</v>
      </c>
      <c r="X2652" s="45">
        <v>0</v>
      </c>
      <c r="Y2652" s="45">
        <v>0</v>
      </c>
      <c r="Z2652" s="45">
        <v>1</v>
      </c>
      <c r="AA2652" s="45">
        <v>1</v>
      </c>
      <c r="AB2652" s="45">
        <v>0</v>
      </c>
      <c r="AC2652" s="150">
        <v>0</v>
      </c>
      <c r="AD2652" s="150">
        <v>1</v>
      </c>
      <c r="AE2652" s="49">
        <f t="shared" si="107"/>
        <v>0.5</v>
      </c>
      <c r="AF2652" s="44">
        <v>1</v>
      </c>
      <c r="AG2652" s="17">
        <v>0</v>
      </c>
      <c r="AH2652" s="44">
        <v>0</v>
      </c>
      <c r="AI2652" s="44">
        <v>2</v>
      </c>
      <c r="AJ2652" s="44">
        <v>2</v>
      </c>
      <c r="AK2652" s="151">
        <v>1</v>
      </c>
      <c r="AL2652" s="151">
        <v>1</v>
      </c>
      <c r="AM2652" s="147">
        <f t="shared" si="106"/>
        <v>2</v>
      </c>
      <c r="AN2652" s="44" t="s">
        <v>1977</v>
      </c>
      <c r="AO2652" s="18" t="s">
        <v>9869</v>
      </c>
      <c r="AP2652" t="s">
        <v>723</v>
      </c>
    </row>
    <row r="2653" spans="1:42" customFormat="1" x14ac:dyDescent="0.3">
      <c r="A2653" s="148" t="s">
        <v>8319</v>
      </c>
      <c r="B2653" t="s">
        <v>8320</v>
      </c>
      <c r="C2653" s="148" t="s">
        <v>9344</v>
      </c>
      <c r="D2653" t="s">
        <v>9345</v>
      </c>
      <c r="E2653" s="148" t="s">
        <v>9346</v>
      </c>
      <c r="F2653" t="s">
        <v>9347</v>
      </c>
      <c r="G2653" s="148" t="s">
        <v>10141</v>
      </c>
      <c r="H2653" t="s">
        <v>10142</v>
      </c>
      <c r="K2653" s="155" t="s">
        <v>10143</v>
      </c>
      <c r="L2653" t="s">
        <v>10144</v>
      </c>
      <c r="M2653" s="1" t="s">
        <v>10525</v>
      </c>
      <c r="N2653" s="1" t="s">
        <v>271</v>
      </c>
      <c r="O2653" s="1">
        <v>4500</v>
      </c>
      <c r="P2653" s="3">
        <v>4500</v>
      </c>
      <c r="Q2653" s="3">
        <v>4500</v>
      </c>
      <c r="R2653" s="3">
        <v>4500</v>
      </c>
      <c r="S2653" s="3">
        <v>4500</v>
      </c>
      <c r="T2653" t="s">
        <v>255</v>
      </c>
      <c r="U2653" t="s">
        <v>1045</v>
      </c>
      <c r="V2653" t="s">
        <v>10526</v>
      </c>
      <c r="W2653" s="45">
        <v>1</v>
      </c>
      <c r="X2653" s="45">
        <v>0</v>
      </c>
      <c r="Y2653" s="45">
        <v>0</v>
      </c>
      <c r="Z2653" s="45">
        <v>1</v>
      </c>
      <c r="AA2653" s="45">
        <v>1</v>
      </c>
      <c r="AB2653" s="45">
        <v>0</v>
      </c>
      <c r="AC2653" s="150">
        <v>0</v>
      </c>
      <c r="AD2653" s="150">
        <v>1</v>
      </c>
      <c r="AE2653" s="49">
        <f t="shared" si="107"/>
        <v>0.5</v>
      </c>
      <c r="AF2653" s="44">
        <v>1</v>
      </c>
      <c r="AG2653" s="17">
        <v>0</v>
      </c>
      <c r="AH2653" s="44">
        <v>0</v>
      </c>
      <c r="AI2653" s="44">
        <v>3.9</v>
      </c>
      <c r="AJ2653" s="44">
        <v>3.9</v>
      </c>
      <c r="AK2653" s="151">
        <v>2</v>
      </c>
      <c r="AL2653" s="151">
        <v>2</v>
      </c>
      <c r="AM2653" s="147">
        <f t="shared" si="106"/>
        <v>4</v>
      </c>
      <c r="AN2653" s="18" t="s">
        <v>255</v>
      </c>
      <c r="AO2653" s="18" t="s">
        <v>1045</v>
      </c>
      <c r="AP2653" t="s">
        <v>723</v>
      </c>
    </row>
    <row r="2654" spans="1:42" customFormat="1" x14ac:dyDescent="0.3">
      <c r="A2654" s="148" t="s">
        <v>8319</v>
      </c>
      <c r="B2654" t="s">
        <v>8320</v>
      </c>
      <c r="C2654" s="148" t="s">
        <v>9344</v>
      </c>
      <c r="D2654" t="s">
        <v>9345</v>
      </c>
      <c r="E2654" s="148" t="s">
        <v>9346</v>
      </c>
      <c r="F2654" t="s">
        <v>9347</v>
      </c>
      <c r="G2654" s="148" t="s">
        <v>10152</v>
      </c>
      <c r="H2654" t="s">
        <v>10153</v>
      </c>
      <c r="K2654" s="148" t="s">
        <v>10154</v>
      </c>
      <c r="L2654" t="s">
        <v>10155</v>
      </c>
      <c r="M2654" s="1" t="s">
        <v>10527</v>
      </c>
      <c r="N2654" s="1" t="s">
        <v>271</v>
      </c>
      <c r="O2654" s="1" t="s">
        <v>271</v>
      </c>
      <c r="P2654" s="3" t="s">
        <v>271</v>
      </c>
      <c r="Q2654" s="3" t="s">
        <v>271</v>
      </c>
      <c r="R2654" s="3">
        <v>2</v>
      </c>
      <c r="S2654" s="3">
        <v>2</v>
      </c>
      <c r="T2654" t="s">
        <v>2432</v>
      </c>
      <c r="U2654" t="s">
        <v>729</v>
      </c>
      <c r="V2654" t="s">
        <v>10528</v>
      </c>
      <c r="W2654" s="45">
        <v>1</v>
      </c>
      <c r="X2654" s="45">
        <v>0</v>
      </c>
      <c r="Y2654" s="45">
        <v>0</v>
      </c>
      <c r="Z2654" s="45">
        <v>1</v>
      </c>
      <c r="AA2654" s="45">
        <v>1</v>
      </c>
      <c r="AB2654" s="45">
        <v>0</v>
      </c>
      <c r="AC2654" s="150">
        <v>0</v>
      </c>
      <c r="AD2654" s="150">
        <v>1</v>
      </c>
      <c r="AE2654" s="49">
        <f t="shared" si="107"/>
        <v>0.5</v>
      </c>
      <c r="AF2654" s="17"/>
      <c r="AG2654" s="17">
        <v>0</v>
      </c>
      <c r="AH2654" s="17">
        <v>0</v>
      </c>
      <c r="AI2654" s="17">
        <v>0</v>
      </c>
      <c r="AJ2654" s="44">
        <v>2</v>
      </c>
      <c r="AK2654" s="151">
        <v>0.5</v>
      </c>
      <c r="AL2654" s="151">
        <v>0</v>
      </c>
      <c r="AM2654" s="147">
        <f t="shared" si="106"/>
        <v>0.5</v>
      </c>
      <c r="AN2654" s="44" t="s">
        <v>239</v>
      </c>
      <c r="AO2654" s="18" t="s">
        <v>241</v>
      </c>
      <c r="AP2654" t="s">
        <v>10529</v>
      </c>
    </row>
    <row r="2655" spans="1:42" customFormat="1" x14ac:dyDescent="0.3">
      <c r="A2655" s="148" t="s">
        <v>8319</v>
      </c>
      <c r="B2655" t="s">
        <v>8320</v>
      </c>
      <c r="C2655" s="148" t="s">
        <v>9344</v>
      </c>
      <c r="D2655" t="s">
        <v>9345</v>
      </c>
      <c r="E2655" s="148" t="s">
        <v>9346</v>
      </c>
      <c r="F2655" t="s">
        <v>9347</v>
      </c>
      <c r="G2655" s="148" t="s">
        <v>10158</v>
      </c>
      <c r="H2655" t="s">
        <v>10159</v>
      </c>
      <c r="I2655" s="148" t="s">
        <v>10530</v>
      </c>
      <c r="J2655" t="s">
        <v>10531</v>
      </c>
      <c r="K2655" s="148" t="s">
        <v>10532</v>
      </c>
      <c r="L2655" t="s">
        <v>10533</v>
      </c>
      <c r="M2655" s="1" t="s">
        <v>10534</v>
      </c>
      <c r="N2655" s="1"/>
      <c r="O2655" s="1">
        <v>0</v>
      </c>
      <c r="P2655" s="3">
        <v>1</v>
      </c>
      <c r="Q2655" s="3" t="s">
        <v>271</v>
      </c>
      <c r="R2655" s="3" t="s">
        <v>271</v>
      </c>
      <c r="S2655" s="3" t="s">
        <v>271</v>
      </c>
      <c r="T2655" t="s">
        <v>723</v>
      </c>
      <c r="U2655" t="s">
        <v>729</v>
      </c>
      <c r="V2655" t="s">
        <v>10535</v>
      </c>
      <c r="W2655" s="45">
        <v>1</v>
      </c>
      <c r="X2655" s="45">
        <v>0</v>
      </c>
      <c r="Y2655" s="45">
        <v>0</v>
      </c>
      <c r="Z2655" s="45">
        <v>1</v>
      </c>
      <c r="AA2655" s="45">
        <v>1</v>
      </c>
      <c r="AB2655" s="45">
        <v>0</v>
      </c>
      <c r="AC2655" s="150">
        <v>0</v>
      </c>
      <c r="AD2655" s="150">
        <v>1</v>
      </c>
      <c r="AE2655" s="49">
        <f t="shared" si="107"/>
        <v>0.5</v>
      </c>
      <c r="AF2655" s="17">
        <v>1</v>
      </c>
      <c r="AG2655" s="17">
        <v>0</v>
      </c>
      <c r="AH2655" s="17">
        <v>0</v>
      </c>
      <c r="AI2655" s="44">
        <v>0</v>
      </c>
      <c r="AJ2655" s="17">
        <v>0</v>
      </c>
      <c r="AK2655" s="153">
        <v>0.1</v>
      </c>
      <c r="AL2655" s="151">
        <v>0.3</v>
      </c>
      <c r="AM2655" s="147">
        <f t="shared" si="106"/>
        <v>0.4</v>
      </c>
      <c r="AN2655" s="44" t="s">
        <v>723</v>
      </c>
      <c r="AO2655" s="18" t="s">
        <v>729</v>
      </c>
      <c r="AP2655" t="s">
        <v>10536</v>
      </c>
    </row>
    <row r="2656" spans="1:42" customFormat="1" x14ac:dyDescent="0.3">
      <c r="A2656" s="148" t="s">
        <v>8319</v>
      </c>
      <c r="B2656" t="s">
        <v>8320</v>
      </c>
      <c r="C2656" s="148" t="s">
        <v>9344</v>
      </c>
      <c r="D2656" t="s">
        <v>9345</v>
      </c>
      <c r="E2656" s="148" t="s">
        <v>9346</v>
      </c>
      <c r="F2656" t="s">
        <v>9347</v>
      </c>
      <c r="G2656" s="148" t="s">
        <v>10158</v>
      </c>
      <c r="H2656" t="s">
        <v>10159</v>
      </c>
      <c r="I2656" s="148" t="s">
        <v>10530</v>
      </c>
      <c r="J2656" t="s">
        <v>10531</v>
      </c>
      <c r="K2656" s="155" t="s">
        <v>10537</v>
      </c>
      <c r="L2656" t="s">
        <v>10538</v>
      </c>
      <c r="M2656" s="1" t="s">
        <v>10539</v>
      </c>
      <c r="N2656" s="1" t="s">
        <v>271</v>
      </c>
      <c r="O2656" s="1">
        <v>10</v>
      </c>
      <c r="P2656" s="3">
        <v>15</v>
      </c>
      <c r="Q2656" s="3">
        <v>25</v>
      </c>
      <c r="R2656" s="3">
        <v>27</v>
      </c>
      <c r="S2656" s="3">
        <v>30</v>
      </c>
      <c r="T2656" t="s">
        <v>10540</v>
      </c>
      <c r="U2656" t="e">
        <v>#N/A</v>
      </c>
      <c r="V2656" t="s">
        <v>10541</v>
      </c>
      <c r="W2656" s="45">
        <v>1</v>
      </c>
      <c r="X2656" s="45">
        <v>0</v>
      </c>
      <c r="Y2656" s="45">
        <v>0</v>
      </c>
      <c r="Z2656" s="45">
        <v>1</v>
      </c>
      <c r="AA2656" s="45">
        <v>1</v>
      </c>
      <c r="AB2656" s="45">
        <v>0</v>
      </c>
      <c r="AC2656" s="150">
        <v>0</v>
      </c>
      <c r="AD2656" s="150">
        <v>1</v>
      </c>
      <c r="AE2656" s="49">
        <f t="shared" si="107"/>
        <v>0.5</v>
      </c>
      <c r="AF2656" s="17">
        <v>1</v>
      </c>
      <c r="AG2656" s="17">
        <v>0</v>
      </c>
      <c r="AH2656" s="17">
        <v>0</v>
      </c>
      <c r="AI2656" s="44">
        <v>0</v>
      </c>
      <c r="AJ2656" s="17">
        <v>0</v>
      </c>
      <c r="AK2656" s="153">
        <v>0.1</v>
      </c>
      <c r="AL2656" s="151">
        <v>0.1</v>
      </c>
      <c r="AM2656" s="147">
        <f t="shared" si="106"/>
        <v>0.2</v>
      </c>
      <c r="AN2656" s="44" t="s">
        <v>723</v>
      </c>
      <c r="AO2656" s="18" t="s">
        <v>729</v>
      </c>
      <c r="AP2656" t="s">
        <v>119</v>
      </c>
    </row>
    <row r="2657" spans="1:42" customFormat="1" x14ac:dyDescent="0.3">
      <c r="A2657" s="148" t="s">
        <v>8319</v>
      </c>
      <c r="B2657" t="s">
        <v>8320</v>
      </c>
      <c r="C2657" s="148" t="s">
        <v>9369</v>
      </c>
      <c r="D2657" t="s">
        <v>9370</v>
      </c>
      <c r="E2657" s="148" t="s">
        <v>9371</v>
      </c>
      <c r="F2657" t="s">
        <v>9372</v>
      </c>
      <c r="G2657" s="148" t="s">
        <v>9373</v>
      </c>
      <c r="H2657" t="s">
        <v>9374</v>
      </c>
      <c r="I2657" t="s">
        <v>9375</v>
      </c>
      <c r="J2657" t="s">
        <v>9376</v>
      </c>
      <c r="K2657" s="148" t="s">
        <v>10542</v>
      </c>
      <c r="L2657" t="s">
        <v>9570</v>
      </c>
      <c r="M2657" s="1"/>
      <c r="N2657" s="1"/>
      <c r="O2657" s="1"/>
      <c r="P2657" s="3">
        <v>1</v>
      </c>
      <c r="Q2657" s="3"/>
      <c r="R2657" s="3">
        <v>1</v>
      </c>
      <c r="S2657" s="3"/>
      <c r="U2657" t="e">
        <v>#N/A</v>
      </c>
      <c r="V2657" t="s">
        <v>10543</v>
      </c>
      <c r="W2657" s="45">
        <v>1</v>
      </c>
      <c r="X2657" s="45">
        <v>1</v>
      </c>
      <c r="Y2657" s="45">
        <v>0</v>
      </c>
      <c r="Z2657" s="45">
        <v>1</v>
      </c>
      <c r="AA2657" s="45"/>
      <c r="AB2657" s="45">
        <v>0</v>
      </c>
      <c r="AC2657" s="150">
        <v>0</v>
      </c>
      <c r="AD2657" s="150">
        <v>1</v>
      </c>
      <c r="AE2657" s="49">
        <f t="shared" si="107"/>
        <v>0.5</v>
      </c>
      <c r="AF2657" s="17"/>
      <c r="AG2657" s="17">
        <v>0</v>
      </c>
      <c r="AH2657" s="17">
        <v>0</v>
      </c>
      <c r="AI2657" s="44">
        <v>2</v>
      </c>
      <c r="AJ2657" s="17">
        <v>0</v>
      </c>
      <c r="AK2657" s="151">
        <v>0</v>
      </c>
      <c r="AL2657" s="154">
        <v>0</v>
      </c>
      <c r="AM2657" s="147">
        <f t="shared" si="106"/>
        <v>0</v>
      </c>
      <c r="AN2657" s="44" t="s">
        <v>5698</v>
      </c>
      <c r="AO2657" s="18" t="s">
        <v>2019</v>
      </c>
      <c r="AP2657" t="s">
        <v>10544</v>
      </c>
    </row>
    <row r="2658" spans="1:42" customFormat="1" x14ac:dyDescent="0.3">
      <c r="A2658" s="148" t="s">
        <v>8319</v>
      </c>
      <c r="B2658" t="s">
        <v>8320</v>
      </c>
      <c r="C2658" s="148" t="s">
        <v>9369</v>
      </c>
      <c r="D2658" t="s">
        <v>9370</v>
      </c>
      <c r="E2658" s="148" t="s">
        <v>9371</v>
      </c>
      <c r="F2658" t="s">
        <v>9372</v>
      </c>
      <c r="G2658" s="148" t="s">
        <v>9373</v>
      </c>
      <c r="H2658" t="s">
        <v>9374</v>
      </c>
      <c r="I2658" t="s">
        <v>9375</v>
      </c>
      <c r="J2658" t="s">
        <v>9376</v>
      </c>
      <c r="K2658" s="148" t="s">
        <v>9578</v>
      </c>
      <c r="L2658" t="s">
        <v>9579</v>
      </c>
      <c r="M2658" s="1" t="s">
        <v>10545</v>
      </c>
      <c r="N2658" s="1">
        <v>17</v>
      </c>
      <c r="O2658" s="1">
        <v>5</v>
      </c>
      <c r="P2658" s="3">
        <v>5</v>
      </c>
      <c r="Q2658" s="3">
        <v>5</v>
      </c>
      <c r="R2658" s="3">
        <v>5</v>
      </c>
      <c r="S2658" s="3">
        <v>5</v>
      </c>
      <c r="T2658" t="s">
        <v>771</v>
      </c>
      <c r="U2658" t="s">
        <v>773</v>
      </c>
      <c r="V2658" t="s">
        <v>10546</v>
      </c>
      <c r="W2658" s="45">
        <v>1</v>
      </c>
      <c r="X2658" s="45">
        <v>0</v>
      </c>
      <c r="Y2658" s="45">
        <v>0</v>
      </c>
      <c r="Z2658" s="45">
        <v>1</v>
      </c>
      <c r="AA2658" s="45">
        <v>1</v>
      </c>
      <c r="AB2658" s="45">
        <v>0</v>
      </c>
      <c r="AC2658" s="150">
        <v>0</v>
      </c>
      <c r="AD2658" s="150">
        <v>1</v>
      </c>
      <c r="AE2658" s="49">
        <f t="shared" si="107"/>
        <v>0.5</v>
      </c>
      <c r="AF2658" s="44"/>
      <c r="AG2658" s="17">
        <v>0</v>
      </c>
      <c r="AH2658" s="44">
        <v>0.01</v>
      </c>
      <c r="AI2658" s="44">
        <v>0.01</v>
      </c>
      <c r="AJ2658" s="44" t="s">
        <v>10547</v>
      </c>
      <c r="AK2658" s="151"/>
      <c r="AL2658" s="154">
        <v>0</v>
      </c>
      <c r="AM2658" s="147">
        <f t="shared" si="106"/>
        <v>0</v>
      </c>
      <c r="AN2658" s="18" t="s">
        <v>771</v>
      </c>
      <c r="AO2658" s="18" t="s">
        <v>773</v>
      </c>
      <c r="AP2658" t="s">
        <v>119</v>
      </c>
    </row>
    <row r="2659" spans="1:42" customFormat="1" x14ac:dyDescent="0.3">
      <c r="A2659" s="148" t="s">
        <v>8319</v>
      </c>
      <c r="B2659" t="s">
        <v>8320</v>
      </c>
      <c r="C2659" s="148" t="s">
        <v>9369</v>
      </c>
      <c r="D2659" t="s">
        <v>9370</v>
      </c>
      <c r="E2659" s="148" t="s">
        <v>9371</v>
      </c>
      <c r="F2659" t="s">
        <v>9372</v>
      </c>
      <c r="G2659" s="148" t="s">
        <v>9373</v>
      </c>
      <c r="H2659" t="s">
        <v>9374</v>
      </c>
      <c r="I2659" t="s">
        <v>9375</v>
      </c>
      <c r="J2659" t="s">
        <v>9376</v>
      </c>
      <c r="K2659" s="148" t="s">
        <v>9578</v>
      </c>
      <c r="L2659" t="s">
        <v>9579</v>
      </c>
      <c r="M2659" s="1" t="s">
        <v>10548</v>
      </c>
      <c r="N2659" s="1">
        <v>0</v>
      </c>
      <c r="O2659" s="1">
        <v>0</v>
      </c>
      <c r="P2659" s="3">
        <v>1</v>
      </c>
      <c r="Q2659" s="3">
        <v>3</v>
      </c>
      <c r="R2659" s="3">
        <v>6</v>
      </c>
      <c r="S2659" s="3">
        <v>10</v>
      </c>
      <c r="T2659" t="s">
        <v>771</v>
      </c>
      <c r="U2659" t="s">
        <v>773</v>
      </c>
      <c r="V2659" t="s">
        <v>10549</v>
      </c>
      <c r="W2659" s="45">
        <v>1</v>
      </c>
      <c r="X2659" s="45">
        <v>0</v>
      </c>
      <c r="Y2659" s="45">
        <v>0</v>
      </c>
      <c r="Z2659" s="45">
        <v>1</v>
      </c>
      <c r="AA2659" s="45">
        <v>1</v>
      </c>
      <c r="AB2659" s="45">
        <v>0</v>
      </c>
      <c r="AC2659" s="150">
        <v>0</v>
      </c>
      <c r="AD2659" s="150">
        <v>1</v>
      </c>
      <c r="AE2659" s="49">
        <f t="shared" si="107"/>
        <v>0.5</v>
      </c>
      <c r="AF2659" s="17"/>
      <c r="AG2659" s="17">
        <v>0</v>
      </c>
      <c r="AH2659" s="17">
        <v>0</v>
      </c>
      <c r="AI2659" s="44">
        <v>0</v>
      </c>
      <c r="AJ2659" s="44">
        <v>0</v>
      </c>
      <c r="AK2659" s="151">
        <v>0</v>
      </c>
      <c r="AL2659" s="151">
        <v>0</v>
      </c>
      <c r="AM2659" s="147">
        <f t="shared" si="106"/>
        <v>0</v>
      </c>
      <c r="AN2659" s="18" t="s">
        <v>1233</v>
      </c>
      <c r="AO2659" s="18" t="s">
        <v>1650</v>
      </c>
      <c r="AP2659" t="s">
        <v>1536</v>
      </c>
    </row>
    <row r="2660" spans="1:42" customFormat="1" x14ac:dyDescent="0.3">
      <c r="A2660" s="148" t="s">
        <v>8319</v>
      </c>
      <c r="B2660" t="s">
        <v>8320</v>
      </c>
      <c r="C2660" s="148" t="s">
        <v>9369</v>
      </c>
      <c r="D2660" t="s">
        <v>9370</v>
      </c>
      <c r="E2660" s="148" t="s">
        <v>9371</v>
      </c>
      <c r="F2660" t="s">
        <v>9372</v>
      </c>
      <c r="G2660" s="148" t="s">
        <v>9373</v>
      </c>
      <c r="H2660" t="s">
        <v>9374</v>
      </c>
      <c r="I2660" t="s">
        <v>9375</v>
      </c>
      <c r="J2660" t="s">
        <v>9376</v>
      </c>
      <c r="K2660" s="148" t="s">
        <v>9578</v>
      </c>
      <c r="L2660" t="s">
        <v>9579</v>
      </c>
      <c r="M2660" s="1" t="s">
        <v>10550</v>
      </c>
      <c r="N2660" s="1" t="s">
        <v>271</v>
      </c>
      <c r="O2660" s="1">
        <v>250</v>
      </c>
      <c r="P2660" s="3">
        <v>280</v>
      </c>
      <c r="Q2660" s="3">
        <v>290</v>
      </c>
      <c r="R2660" s="3">
        <v>310</v>
      </c>
      <c r="S2660" s="3">
        <v>320</v>
      </c>
      <c r="T2660" t="s">
        <v>771</v>
      </c>
      <c r="U2660" t="s">
        <v>773</v>
      </c>
      <c r="V2660" t="s">
        <v>10551</v>
      </c>
      <c r="W2660" s="45">
        <v>1</v>
      </c>
      <c r="X2660" s="45">
        <v>0</v>
      </c>
      <c r="Y2660" s="45">
        <v>0</v>
      </c>
      <c r="Z2660" s="45">
        <v>1</v>
      </c>
      <c r="AA2660" s="45">
        <v>1</v>
      </c>
      <c r="AB2660" s="45">
        <v>0</v>
      </c>
      <c r="AC2660" s="150">
        <v>0</v>
      </c>
      <c r="AD2660" s="150">
        <v>1</v>
      </c>
      <c r="AE2660" s="49">
        <f t="shared" si="107"/>
        <v>0.5</v>
      </c>
      <c r="AF2660" s="44"/>
      <c r="AG2660" s="17">
        <v>0</v>
      </c>
      <c r="AH2660" s="44">
        <v>0.01</v>
      </c>
      <c r="AI2660" s="44">
        <v>0.01</v>
      </c>
      <c r="AJ2660" s="44">
        <v>0.01</v>
      </c>
      <c r="AK2660" s="151">
        <v>0</v>
      </c>
      <c r="AL2660" s="151">
        <v>0</v>
      </c>
      <c r="AM2660" s="147">
        <f t="shared" si="106"/>
        <v>0</v>
      </c>
      <c r="AN2660" s="18" t="s">
        <v>771</v>
      </c>
      <c r="AO2660" s="18" t="s">
        <v>773</v>
      </c>
      <c r="AP2660" t="s">
        <v>119</v>
      </c>
    </row>
    <row r="2661" spans="1:42" customFormat="1" x14ac:dyDescent="0.3">
      <c r="A2661" s="148" t="s">
        <v>8319</v>
      </c>
      <c r="B2661" t="s">
        <v>8320</v>
      </c>
      <c r="C2661" s="148" t="s">
        <v>9369</v>
      </c>
      <c r="D2661" t="s">
        <v>9370</v>
      </c>
      <c r="E2661" s="148" t="s">
        <v>9371</v>
      </c>
      <c r="F2661" t="s">
        <v>9372</v>
      </c>
      <c r="G2661" s="148" t="s">
        <v>9373</v>
      </c>
      <c r="H2661" t="s">
        <v>9374</v>
      </c>
      <c r="I2661" t="s">
        <v>9375</v>
      </c>
      <c r="J2661" t="s">
        <v>9376</v>
      </c>
      <c r="K2661" s="148" t="s">
        <v>9578</v>
      </c>
      <c r="L2661" t="s">
        <v>9579</v>
      </c>
      <c r="M2661" s="1" t="s">
        <v>10552</v>
      </c>
      <c r="N2661" s="1">
        <v>16</v>
      </c>
      <c r="O2661" s="1">
        <v>9</v>
      </c>
      <c r="P2661" s="3">
        <v>8</v>
      </c>
      <c r="Q2661" s="3">
        <v>6</v>
      </c>
      <c r="R2661" s="3">
        <v>6</v>
      </c>
      <c r="S2661" s="3">
        <v>6</v>
      </c>
      <c r="T2661" t="s">
        <v>771</v>
      </c>
      <c r="U2661" t="s">
        <v>773</v>
      </c>
      <c r="V2661" t="s">
        <v>10553</v>
      </c>
      <c r="W2661" s="45">
        <v>1</v>
      </c>
      <c r="X2661" s="45">
        <v>0</v>
      </c>
      <c r="Y2661" s="45">
        <v>0</v>
      </c>
      <c r="Z2661" s="45">
        <v>1</v>
      </c>
      <c r="AA2661" s="45">
        <v>1</v>
      </c>
      <c r="AB2661" s="45">
        <v>0</v>
      </c>
      <c r="AC2661" s="150">
        <v>0</v>
      </c>
      <c r="AD2661" s="150">
        <v>1</v>
      </c>
      <c r="AE2661" s="49">
        <f t="shared" si="107"/>
        <v>0.5</v>
      </c>
      <c r="AF2661" s="44"/>
      <c r="AG2661" s="17">
        <v>0</v>
      </c>
      <c r="AH2661" s="44">
        <v>0</v>
      </c>
      <c r="AI2661" s="44">
        <v>0</v>
      </c>
      <c r="AJ2661" s="44">
        <v>0.5</v>
      </c>
      <c r="AK2661" s="151"/>
      <c r="AL2661" s="151"/>
      <c r="AM2661" s="147">
        <f t="shared" ref="AM2661:AM2724" si="108">SUM(AK2661:AL2661)</f>
        <v>0</v>
      </c>
      <c r="AN2661" s="18" t="s">
        <v>771</v>
      </c>
      <c r="AO2661" s="18" t="s">
        <v>773</v>
      </c>
      <c r="AP2661" t="s">
        <v>831</v>
      </c>
    </row>
    <row r="2662" spans="1:42" customFormat="1" x14ac:dyDescent="0.3">
      <c r="A2662" s="148" t="s">
        <v>8319</v>
      </c>
      <c r="B2662" t="s">
        <v>8320</v>
      </c>
      <c r="C2662" s="148" t="s">
        <v>9369</v>
      </c>
      <c r="D2662" t="s">
        <v>9370</v>
      </c>
      <c r="E2662" s="148" t="s">
        <v>9371</v>
      </c>
      <c r="F2662" t="s">
        <v>9372</v>
      </c>
      <c r="G2662" s="148" t="s">
        <v>9373</v>
      </c>
      <c r="H2662" t="s">
        <v>9374</v>
      </c>
      <c r="I2662" t="s">
        <v>9375</v>
      </c>
      <c r="J2662" t="s">
        <v>9376</v>
      </c>
      <c r="K2662" s="148" t="s">
        <v>9578</v>
      </c>
      <c r="L2662" t="s">
        <v>9579</v>
      </c>
      <c r="M2662" s="1" t="s">
        <v>10554</v>
      </c>
      <c r="N2662" s="1">
        <v>0</v>
      </c>
      <c r="O2662" s="1"/>
      <c r="P2662" s="3">
        <v>1</v>
      </c>
      <c r="Q2662" s="3"/>
      <c r="R2662" s="3">
        <v>2</v>
      </c>
      <c r="S2662" s="3"/>
      <c r="T2662" t="s">
        <v>771</v>
      </c>
      <c r="U2662" t="s">
        <v>773</v>
      </c>
      <c r="V2662" t="s">
        <v>10555</v>
      </c>
      <c r="W2662" s="45">
        <v>1</v>
      </c>
      <c r="X2662" s="45">
        <v>1</v>
      </c>
      <c r="Y2662" s="45">
        <v>0</v>
      </c>
      <c r="Z2662" s="45">
        <v>0</v>
      </c>
      <c r="AA2662" s="45">
        <v>1</v>
      </c>
      <c r="AB2662" s="45">
        <v>0</v>
      </c>
      <c r="AC2662" s="150">
        <v>0</v>
      </c>
      <c r="AD2662" s="150">
        <v>1</v>
      </c>
      <c r="AE2662" s="49">
        <f t="shared" si="107"/>
        <v>0.5</v>
      </c>
      <c r="AF2662" s="17"/>
      <c r="AG2662" s="17">
        <v>0</v>
      </c>
      <c r="AH2662" s="17">
        <v>0</v>
      </c>
      <c r="AI2662" s="44">
        <v>4</v>
      </c>
      <c r="AJ2662" s="44">
        <v>1</v>
      </c>
      <c r="AK2662" s="151"/>
      <c r="AL2662" s="151"/>
      <c r="AM2662" s="147">
        <f t="shared" si="108"/>
        <v>0</v>
      </c>
      <c r="AN2662" s="18" t="s">
        <v>771</v>
      </c>
      <c r="AO2662" s="18" t="s">
        <v>773</v>
      </c>
      <c r="AP2662" t="s">
        <v>982</v>
      </c>
    </row>
    <row r="2663" spans="1:42" customFormat="1" x14ac:dyDescent="0.3">
      <c r="A2663" s="148" t="s">
        <v>8319</v>
      </c>
      <c r="B2663" t="s">
        <v>8320</v>
      </c>
      <c r="C2663" s="148" t="s">
        <v>9369</v>
      </c>
      <c r="D2663" t="s">
        <v>9370</v>
      </c>
      <c r="E2663" s="148" t="s">
        <v>9371</v>
      </c>
      <c r="F2663" t="s">
        <v>9372</v>
      </c>
      <c r="G2663" s="148" t="s">
        <v>9373</v>
      </c>
      <c r="H2663" t="s">
        <v>9374</v>
      </c>
      <c r="I2663" t="s">
        <v>9375</v>
      </c>
      <c r="J2663" t="s">
        <v>9376</v>
      </c>
      <c r="K2663" s="148" t="s">
        <v>10556</v>
      </c>
      <c r="L2663" t="s">
        <v>10557</v>
      </c>
      <c r="M2663" s="1"/>
      <c r="N2663" s="1"/>
      <c r="O2663" s="1"/>
      <c r="P2663" s="3"/>
      <c r="Q2663" s="3"/>
      <c r="R2663" s="3"/>
      <c r="S2663" s="3"/>
      <c r="U2663" t="e">
        <v>#N/A</v>
      </c>
      <c r="V2663" t="s">
        <v>10558</v>
      </c>
      <c r="W2663" s="45">
        <v>1</v>
      </c>
      <c r="X2663" s="45">
        <v>0</v>
      </c>
      <c r="Y2663" s="45">
        <v>0</v>
      </c>
      <c r="Z2663" s="45">
        <v>1</v>
      </c>
      <c r="AA2663" s="45">
        <v>1</v>
      </c>
      <c r="AB2663" s="45">
        <v>0</v>
      </c>
      <c r="AC2663" s="150">
        <v>0</v>
      </c>
      <c r="AD2663" s="150">
        <v>1</v>
      </c>
      <c r="AE2663" s="49">
        <f t="shared" si="107"/>
        <v>0.5</v>
      </c>
      <c r="AF2663" s="17"/>
      <c r="AG2663" s="17">
        <v>0</v>
      </c>
      <c r="AH2663" s="17">
        <v>0</v>
      </c>
      <c r="AI2663" s="17">
        <v>0</v>
      </c>
      <c r="AJ2663" s="17">
        <v>0</v>
      </c>
      <c r="AK2663" s="151"/>
      <c r="AL2663" s="151"/>
      <c r="AM2663" s="147">
        <f t="shared" si="108"/>
        <v>0</v>
      </c>
      <c r="AN2663" s="18" t="s">
        <v>771</v>
      </c>
      <c r="AO2663" s="18" t="s">
        <v>773</v>
      </c>
      <c r="AP2663" t="s">
        <v>10559</v>
      </c>
    </row>
    <row r="2664" spans="1:42" customFormat="1" x14ac:dyDescent="0.3">
      <c r="A2664" s="148" t="s">
        <v>8319</v>
      </c>
      <c r="B2664" t="s">
        <v>8320</v>
      </c>
      <c r="C2664" s="148" t="s">
        <v>9369</v>
      </c>
      <c r="D2664" t="s">
        <v>9370</v>
      </c>
      <c r="E2664" s="148" t="s">
        <v>9371</v>
      </c>
      <c r="F2664" t="s">
        <v>9372</v>
      </c>
      <c r="G2664" s="148" t="s">
        <v>9373</v>
      </c>
      <c r="H2664" t="s">
        <v>9374</v>
      </c>
      <c r="I2664" t="s">
        <v>9375</v>
      </c>
      <c r="J2664" t="s">
        <v>9376</v>
      </c>
      <c r="K2664" s="148" t="s">
        <v>9937</v>
      </c>
      <c r="L2664" t="s">
        <v>9938</v>
      </c>
      <c r="M2664" s="1" t="s">
        <v>10560</v>
      </c>
      <c r="N2664" s="1">
        <v>583</v>
      </c>
      <c r="O2664" s="1">
        <v>600</v>
      </c>
      <c r="P2664" s="3">
        <v>600</v>
      </c>
      <c r="Q2664" s="3">
        <v>600</v>
      </c>
      <c r="R2664" s="3">
        <v>600</v>
      </c>
      <c r="S2664" s="3">
        <v>600</v>
      </c>
      <c r="T2664" t="s">
        <v>1536</v>
      </c>
      <c r="U2664" t="e">
        <v>#N/A</v>
      </c>
      <c r="V2664" t="s">
        <v>10561</v>
      </c>
      <c r="W2664" s="45">
        <v>1</v>
      </c>
      <c r="X2664" s="45">
        <v>0</v>
      </c>
      <c r="Y2664" s="45">
        <v>0</v>
      </c>
      <c r="Z2664" s="45">
        <v>1</v>
      </c>
      <c r="AA2664" s="45">
        <v>1</v>
      </c>
      <c r="AB2664" s="45">
        <v>0</v>
      </c>
      <c r="AC2664" s="150">
        <v>0</v>
      </c>
      <c r="AD2664" s="150">
        <v>1</v>
      </c>
      <c r="AE2664" s="49">
        <f t="shared" ref="AE2664:AE2727" si="109">SUM(W2664:AD2664)/8</f>
        <v>0.5</v>
      </c>
      <c r="AF2664" s="44"/>
      <c r="AG2664" s="17">
        <v>0</v>
      </c>
      <c r="AH2664" s="44">
        <v>0.1</v>
      </c>
      <c r="AI2664" s="44">
        <v>0.1</v>
      </c>
      <c r="AJ2664" s="44">
        <v>0.1</v>
      </c>
      <c r="AK2664" s="151"/>
      <c r="AL2664" s="151"/>
      <c r="AM2664" s="147">
        <f t="shared" si="108"/>
        <v>0</v>
      </c>
      <c r="AN2664" s="18" t="s">
        <v>771</v>
      </c>
      <c r="AO2664" s="18" t="s">
        <v>773</v>
      </c>
      <c r="AP2664" t="s">
        <v>10562</v>
      </c>
    </row>
    <row r="2665" spans="1:42" customFormat="1" x14ac:dyDescent="0.3">
      <c r="A2665" s="148" t="s">
        <v>8319</v>
      </c>
      <c r="B2665" t="s">
        <v>8320</v>
      </c>
      <c r="C2665" s="148" t="s">
        <v>9369</v>
      </c>
      <c r="D2665" t="s">
        <v>9370</v>
      </c>
      <c r="E2665" s="148" t="s">
        <v>9371</v>
      </c>
      <c r="F2665" t="s">
        <v>9372</v>
      </c>
      <c r="G2665" s="148" t="s">
        <v>9373</v>
      </c>
      <c r="H2665" t="s">
        <v>9374</v>
      </c>
      <c r="I2665" s="148" t="s">
        <v>10563</v>
      </c>
      <c r="J2665" t="s">
        <v>10564</v>
      </c>
      <c r="K2665" s="155" t="s">
        <v>10565</v>
      </c>
      <c r="L2665" t="s">
        <v>10566</v>
      </c>
      <c r="M2665" s="1" t="s">
        <v>10567</v>
      </c>
      <c r="N2665" s="1"/>
      <c r="O2665" s="1" t="s">
        <v>271</v>
      </c>
      <c r="P2665" s="3">
        <v>9</v>
      </c>
      <c r="Q2665" s="3" t="s">
        <v>271</v>
      </c>
      <c r="R2665" s="3">
        <v>9</v>
      </c>
      <c r="S2665" s="3" t="s">
        <v>271</v>
      </c>
      <c r="T2665" t="s">
        <v>10568</v>
      </c>
      <c r="U2665" t="e">
        <v>#N/A</v>
      </c>
      <c r="V2665" t="s">
        <v>10569</v>
      </c>
      <c r="W2665" s="45">
        <v>1</v>
      </c>
      <c r="X2665" s="45">
        <v>0</v>
      </c>
      <c r="Y2665" s="45">
        <v>0</v>
      </c>
      <c r="Z2665" s="45">
        <v>1</v>
      </c>
      <c r="AA2665" s="45">
        <v>1</v>
      </c>
      <c r="AB2665" s="45">
        <v>0</v>
      </c>
      <c r="AC2665" s="150">
        <v>0</v>
      </c>
      <c r="AD2665" s="150">
        <v>1</v>
      </c>
      <c r="AE2665" s="49">
        <f t="shared" si="109"/>
        <v>0.5</v>
      </c>
      <c r="AF2665" s="44"/>
      <c r="AG2665" s="17">
        <v>0</v>
      </c>
      <c r="AH2665" s="44" t="s">
        <v>271</v>
      </c>
      <c r="AI2665" s="44">
        <v>5</v>
      </c>
      <c r="AJ2665" s="44">
        <v>5</v>
      </c>
      <c r="AK2665" s="151"/>
      <c r="AL2665" s="151"/>
      <c r="AM2665" s="147">
        <f t="shared" si="108"/>
        <v>0</v>
      </c>
      <c r="AN2665" s="44" t="s">
        <v>9929</v>
      </c>
      <c r="AO2665" s="18" t="s">
        <v>729</v>
      </c>
      <c r="AP2665" t="s">
        <v>10570</v>
      </c>
    </row>
    <row r="2666" spans="1:42" customFormat="1" x14ac:dyDescent="0.3">
      <c r="A2666" s="148" t="s">
        <v>8319</v>
      </c>
      <c r="B2666" t="s">
        <v>8320</v>
      </c>
      <c r="C2666" s="148" t="s">
        <v>9369</v>
      </c>
      <c r="D2666" t="s">
        <v>9370</v>
      </c>
      <c r="E2666" s="148" t="s">
        <v>9371</v>
      </c>
      <c r="F2666" t="s">
        <v>9372</v>
      </c>
      <c r="G2666" s="148" t="s">
        <v>10571</v>
      </c>
      <c r="H2666" t="s">
        <v>10572</v>
      </c>
      <c r="K2666" s="148" t="s">
        <v>10573</v>
      </c>
      <c r="L2666" t="s">
        <v>10574</v>
      </c>
      <c r="M2666" s="1"/>
      <c r="N2666" s="1"/>
      <c r="O2666" s="1"/>
      <c r="P2666" s="3"/>
      <c r="Q2666" s="3">
        <v>1</v>
      </c>
      <c r="R2666" s="3">
        <v>1</v>
      </c>
      <c r="S2666" s="3">
        <v>1</v>
      </c>
      <c r="U2666" t="e">
        <v>#N/A</v>
      </c>
      <c r="V2666" t="s">
        <v>10575</v>
      </c>
      <c r="W2666" s="45">
        <v>1</v>
      </c>
      <c r="X2666" s="45">
        <v>0</v>
      </c>
      <c r="Y2666" s="45">
        <v>0</v>
      </c>
      <c r="Z2666" s="45">
        <v>1</v>
      </c>
      <c r="AA2666" s="45">
        <v>1</v>
      </c>
      <c r="AB2666" s="45">
        <v>0</v>
      </c>
      <c r="AC2666" s="150">
        <v>0</v>
      </c>
      <c r="AD2666" s="150">
        <v>1</v>
      </c>
      <c r="AE2666" s="49">
        <f t="shared" si="109"/>
        <v>0.5</v>
      </c>
      <c r="AF2666" s="44"/>
      <c r="AG2666" s="17">
        <v>0</v>
      </c>
      <c r="AH2666" s="44">
        <v>0</v>
      </c>
      <c r="AI2666" s="44">
        <v>20</v>
      </c>
      <c r="AJ2666" s="44">
        <v>30</v>
      </c>
      <c r="AK2666" s="151"/>
      <c r="AL2666" s="151"/>
      <c r="AM2666" s="147">
        <f t="shared" si="108"/>
        <v>0</v>
      </c>
      <c r="AN2666" s="44" t="s">
        <v>9929</v>
      </c>
      <c r="AO2666" s="18" t="s">
        <v>729</v>
      </c>
      <c r="AP2666" t="s">
        <v>119</v>
      </c>
    </row>
    <row r="2667" spans="1:42" customFormat="1" x14ac:dyDescent="0.3">
      <c r="A2667" s="148" t="s">
        <v>8319</v>
      </c>
      <c r="B2667" t="s">
        <v>8320</v>
      </c>
      <c r="C2667" s="148" t="s">
        <v>9369</v>
      </c>
      <c r="D2667" t="s">
        <v>9370</v>
      </c>
      <c r="E2667" s="148" t="s">
        <v>9371</v>
      </c>
      <c r="F2667" t="s">
        <v>9372</v>
      </c>
      <c r="G2667" s="148" t="s">
        <v>10571</v>
      </c>
      <c r="H2667" t="s">
        <v>10572</v>
      </c>
      <c r="K2667" s="148" t="s">
        <v>10576</v>
      </c>
      <c r="L2667" t="s">
        <v>10577</v>
      </c>
      <c r="M2667" s="1" t="s">
        <v>10578</v>
      </c>
      <c r="N2667" s="1">
        <v>25</v>
      </c>
      <c r="O2667" s="1">
        <v>25</v>
      </c>
      <c r="P2667" s="3">
        <v>50</v>
      </c>
      <c r="Q2667" s="3">
        <v>65</v>
      </c>
      <c r="R2667" s="3">
        <v>80</v>
      </c>
      <c r="S2667" s="3">
        <v>100</v>
      </c>
      <c r="U2667" t="e">
        <v>#N/A</v>
      </c>
      <c r="V2667" t="s">
        <v>10579</v>
      </c>
      <c r="W2667" s="45">
        <v>1</v>
      </c>
      <c r="X2667" s="45">
        <v>0</v>
      </c>
      <c r="Y2667" s="45">
        <v>0</v>
      </c>
      <c r="Z2667" s="45">
        <v>1</v>
      </c>
      <c r="AA2667" s="45">
        <v>1</v>
      </c>
      <c r="AB2667" s="45">
        <v>0</v>
      </c>
      <c r="AC2667" s="150">
        <v>0</v>
      </c>
      <c r="AD2667" s="150">
        <v>1</v>
      </c>
      <c r="AE2667" s="49">
        <f t="shared" si="109"/>
        <v>0.5</v>
      </c>
      <c r="AF2667" s="44"/>
      <c r="AG2667" s="17">
        <v>0</v>
      </c>
      <c r="AH2667" s="44">
        <v>0</v>
      </c>
      <c r="AI2667" s="44">
        <v>0</v>
      </c>
      <c r="AJ2667" s="44">
        <v>0</v>
      </c>
      <c r="AK2667" s="151">
        <v>0</v>
      </c>
      <c r="AL2667" s="151">
        <v>0</v>
      </c>
      <c r="AM2667" s="147">
        <f t="shared" si="108"/>
        <v>0</v>
      </c>
      <c r="AN2667" s="44" t="s">
        <v>723</v>
      </c>
      <c r="AO2667" s="18" t="s">
        <v>729</v>
      </c>
    </row>
    <row r="2668" spans="1:42" customFormat="1" x14ac:dyDescent="0.3">
      <c r="A2668" s="148" t="s">
        <v>8319</v>
      </c>
      <c r="B2668" t="s">
        <v>8320</v>
      </c>
      <c r="C2668" s="148" t="s">
        <v>9369</v>
      </c>
      <c r="D2668" t="s">
        <v>9370</v>
      </c>
      <c r="E2668" s="148" t="s">
        <v>9371</v>
      </c>
      <c r="F2668" t="s">
        <v>9372</v>
      </c>
      <c r="G2668" s="148" t="s">
        <v>10571</v>
      </c>
      <c r="H2668" t="s">
        <v>10572</v>
      </c>
      <c r="K2668" s="148" t="s">
        <v>10576</v>
      </c>
      <c r="L2668" t="s">
        <v>10577</v>
      </c>
      <c r="M2668" s="1" t="s">
        <v>10580</v>
      </c>
      <c r="N2668" s="1" t="s">
        <v>119</v>
      </c>
      <c r="O2668" s="1">
        <v>10</v>
      </c>
      <c r="P2668" s="3">
        <v>15</v>
      </c>
      <c r="Q2668" s="3">
        <v>40</v>
      </c>
      <c r="R2668" s="3">
        <v>50</v>
      </c>
      <c r="S2668" s="3">
        <v>100</v>
      </c>
      <c r="U2668" t="e">
        <v>#N/A</v>
      </c>
      <c r="V2668" t="s">
        <v>10581</v>
      </c>
      <c r="W2668" s="45">
        <v>1</v>
      </c>
      <c r="X2668" s="45">
        <v>0</v>
      </c>
      <c r="Y2668" s="45">
        <v>0</v>
      </c>
      <c r="Z2668" s="45">
        <v>1</v>
      </c>
      <c r="AA2668" s="45">
        <v>1</v>
      </c>
      <c r="AB2668" s="45">
        <v>0</v>
      </c>
      <c r="AC2668" s="150">
        <v>0</v>
      </c>
      <c r="AD2668" s="150">
        <v>1</v>
      </c>
      <c r="AE2668" s="49">
        <f t="shared" si="109"/>
        <v>0.5</v>
      </c>
      <c r="AF2668" s="17"/>
      <c r="AG2668" s="17">
        <v>0</v>
      </c>
      <c r="AH2668" s="17">
        <v>0</v>
      </c>
      <c r="AI2668" s="17">
        <v>0</v>
      </c>
      <c r="AJ2668" s="17">
        <v>0</v>
      </c>
      <c r="AK2668" s="153">
        <v>0</v>
      </c>
      <c r="AL2668" s="154">
        <v>0</v>
      </c>
      <c r="AM2668" s="147">
        <f t="shared" si="108"/>
        <v>0</v>
      </c>
      <c r="AN2668" s="44" t="s">
        <v>723</v>
      </c>
      <c r="AO2668" s="18" t="s">
        <v>729</v>
      </c>
    </row>
    <row r="2669" spans="1:42" customFormat="1" x14ac:dyDescent="0.3">
      <c r="A2669" s="148" t="s">
        <v>8319</v>
      </c>
      <c r="B2669" t="s">
        <v>8320</v>
      </c>
      <c r="C2669" s="148" t="s">
        <v>9369</v>
      </c>
      <c r="D2669" t="s">
        <v>9370</v>
      </c>
      <c r="E2669" s="148" t="s">
        <v>9371</v>
      </c>
      <c r="F2669" t="s">
        <v>9372</v>
      </c>
      <c r="G2669" s="148" t="s">
        <v>10571</v>
      </c>
      <c r="H2669" t="s">
        <v>10572</v>
      </c>
      <c r="K2669" s="148" t="s">
        <v>10582</v>
      </c>
      <c r="L2669" t="s">
        <v>10583</v>
      </c>
      <c r="M2669" s="1" t="s">
        <v>10584</v>
      </c>
      <c r="N2669" s="1">
        <v>40</v>
      </c>
      <c r="O2669" s="1">
        <v>44</v>
      </c>
      <c r="P2669" s="3">
        <v>48.4</v>
      </c>
      <c r="Q2669" s="3">
        <v>52.6</v>
      </c>
      <c r="R2669" s="3">
        <v>58</v>
      </c>
      <c r="S2669" s="3">
        <v>65</v>
      </c>
      <c r="U2669" t="e">
        <v>#N/A</v>
      </c>
      <c r="V2669" t="s">
        <v>10585</v>
      </c>
      <c r="W2669" s="45">
        <v>1</v>
      </c>
      <c r="X2669" s="45">
        <v>0</v>
      </c>
      <c r="Y2669" s="45">
        <v>0</v>
      </c>
      <c r="Z2669" s="45">
        <v>1</v>
      </c>
      <c r="AA2669" s="45">
        <v>1</v>
      </c>
      <c r="AB2669" s="45">
        <v>0</v>
      </c>
      <c r="AC2669" s="150">
        <v>0</v>
      </c>
      <c r="AD2669" s="150">
        <v>1</v>
      </c>
      <c r="AE2669" s="49">
        <f t="shared" si="109"/>
        <v>0.5</v>
      </c>
      <c r="AF2669" s="17"/>
      <c r="AG2669" s="17">
        <v>0</v>
      </c>
      <c r="AH2669" s="17">
        <v>0</v>
      </c>
      <c r="AI2669" s="17">
        <v>0</v>
      </c>
      <c r="AJ2669" s="17">
        <v>0</v>
      </c>
      <c r="AK2669" s="153">
        <v>0</v>
      </c>
      <c r="AL2669" s="151"/>
      <c r="AM2669" s="147">
        <f t="shared" si="108"/>
        <v>0</v>
      </c>
      <c r="AN2669" s="44" t="s">
        <v>5698</v>
      </c>
      <c r="AO2669" s="18" t="s">
        <v>2019</v>
      </c>
    </row>
    <row r="2670" spans="1:42" customFormat="1" x14ac:dyDescent="0.3">
      <c r="A2670" s="148" t="s">
        <v>8319</v>
      </c>
      <c r="B2670" t="s">
        <v>8320</v>
      </c>
      <c r="C2670" s="148" t="s">
        <v>9369</v>
      </c>
      <c r="D2670" t="s">
        <v>9370</v>
      </c>
      <c r="E2670" s="148" t="s">
        <v>9371</v>
      </c>
      <c r="F2670" t="s">
        <v>9372</v>
      </c>
      <c r="G2670" s="148" t="s">
        <v>10586</v>
      </c>
      <c r="H2670" t="s">
        <v>10587</v>
      </c>
      <c r="K2670" s="148" t="s">
        <v>10588</v>
      </c>
      <c r="L2670" t="s">
        <v>10589</v>
      </c>
      <c r="M2670" s="1" t="s">
        <v>10590</v>
      </c>
      <c r="N2670" s="1">
        <v>1</v>
      </c>
      <c r="O2670" s="1">
        <v>4</v>
      </c>
      <c r="P2670" s="3">
        <v>4</v>
      </c>
      <c r="Q2670" s="3">
        <v>4</v>
      </c>
      <c r="R2670" s="3">
        <v>5</v>
      </c>
      <c r="S2670" s="3">
        <v>6</v>
      </c>
      <c r="U2670" t="e">
        <v>#N/A</v>
      </c>
      <c r="V2670" t="s">
        <v>10591</v>
      </c>
      <c r="W2670" s="45">
        <v>1</v>
      </c>
      <c r="X2670" s="45">
        <v>0</v>
      </c>
      <c r="Y2670" s="45">
        <v>0</v>
      </c>
      <c r="Z2670" s="45">
        <v>1</v>
      </c>
      <c r="AA2670" s="45">
        <v>1</v>
      </c>
      <c r="AB2670" s="45">
        <v>0</v>
      </c>
      <c r="AC2670" s="150">
        <v>0</v>
      </c>
      <c r="AD2670" s="150">
        <v>1</v>
      </c>
      <c r="AE2670" s="49">
        <f t="shared" si="109"/>
        <v>0.5</v>
      </c>
      <c r="AF2670" s="44"/>
      <c r="AG2670" s="17">
        <v>0</v>
      </c>
      <c r="AH2670" s="44">
        <v>0.03</v>
      </c>
      <c r="AI2670" s="44">
        <v>50</v>
      </c>
      <c r="AJ2670" s="44">
        <v>25</v>
      </c>
      <c r="AK2670" s="151">
        <v>25</v>
      </c>
      <c r="AL2670" s="151">
        <v>50</v>
      </c>
      <c r="AM2670" s="147">
        <f t="shared" si="108"/>
        <v>75</v>
      </c>
      <c r="AN2670" s="44" t="s">
        <v>723</v>
      </c>
      <c r="AO2670" s="18" t="s">
        <v>729</v>
      </c>
      <c r="AP2670" t="s">
        <v>1083</v>
      </c>
    </row>
    <row r="2671" spans="1:42" customFormat="1" x14ac:dyDescent="0.3">
      <c r="A2671" s="148" t="s">
        <v>8319</v>
      </c>
      <c r="B2671" t="s">
        <v>8320</v>
      </c>
      <c r="C2671" s="148" t="s">
        <v>9369</v>
      </c>
      <c r="D2671" t="s">
        <v>9370</v>
      </c>
      <c r="E2671" s="148" t="s">
        <v>9371</v>
      </c>
      <c r="F2671" t="s">
        <v>9372</v>
      </c>
      <c r="G2671" s="148" t="s">
        <v>10592</v>
      </c>
      <c r="H2671" t="s">
        <v>10593</v>
      </c>
      <c r="K2671" s="148" t="s">
        <v>10594</v>
      </c>
      <c r="L2671" t="s">
        <v>10595</v>
      </c>
      <c r="M2671" s="1" t="s">
        <v>10596</v>
      </c>
      <c r="N2671" s="1" t="s">
        <v>119</v>
      </c>
      <c r="O2671" s="1">
        <v>4</v>
      </c>
      <c r="P2671" s="3">
        <v>4</v>
      </c>
      <c r="Q2671" s="3">
        <v>7</v>
      </c>
      <c r="R2671" s="3">
        <v>7</v>
      </c>
      <c r="S2671" s="3">
        <v>10</v>
      </c>
      <c r="T2671" t="s">
        <v>10597</v>
      </c>
      <c r="U2671" t="e">
        <v>#N/A</v>
      </c>
      <c r="V2671" t="s">
        <v>10598</v>
      </c>
      <c r="W2671" s="45">
        <v>1</v>
      </c>
      <c r="X2671" s="45">
        <v>0</v>
      </c>
      <c r="Y2671" s="45">
        <v>0</v>
      </c>
      <c r="Z2671" s="45">
        <v>1</v>
      </c>
      <c r="AA2671" s="45">
        <v>1</v>
      </c>
      <c r="AB2671" s="45">
        <v>0</v>
      </c>
      <c r="AC2671" s="150">
        <v>0</v>
      </c>
      <c r="AD2671" s="150">
        <v>1</v>
      </c>
      <c r="AE2671" s="49">
        <f t="shared" si="109"/>
        <v>0.5</v>
      </c>
      <c r="AF2671" s="44"/>
      <c r="AG2671" s="17">
        <v>0</v>
      </c>
      <c r="AH2671" s="44">
        <v>7</v>
      </c>
      <c r="AI2671" s="44">
        <v>14</v>
      </c>
      <c r="AJ2671" s="44">
        <v>15</v>
      </c>
      <c r="AK2671" s="151">
        <v>15.46</v>
      </c>
      <c r="AL2671" s="151">
        <v>20.43</v>
      </c>
      <c r="AM2671" s="147">
        <f t="shared" si="108"/>
        <v>35.89</v>
      </c>
      <c r="AN2671" s="44" t="s">
        <v>723</v>
      </c>
      <c r="AO2671" s="18" t="s">
        <v>729</v>
      </c>
      <c r="AP2671" t="s">
        <v>119</v>
      </c>
    </row>
    <row r="2672" spans="1:42" customFormat="1" x14ac:dyDescent="0.3">
      <c r="A2672" s="148" t="s">
        <v>8319</v>
      </c>
      <c r="B2672" t="s">
        <v>8320</v>
      </c>
      <c r="C2672" s="148" t="s">
        <v>9369</v>
      </c>
      <c r="D2672" t="s">
        <v>9370</v>
      </c>
      <c r="E2672" s="148" t="s">
        <v>9371</v>
      </c>
      <c r="F2672" t="s">
        <v>9372</v>
      </c>
      <c r="G2672" s="148" t="s">
        <v>10592</v>
      </c>
      <c r="H2672" t="s">
        <v>10593</v>
      </c>
      <c r="K2672" s="148" t="s">
        <v>10599</v>
      </c>
      <c r="L2672" t="s">
        <v>10600</v>
      </c>
      <c r="M2672" s="1" t="s">
        <v>10601</v>
      </c>
      <c r="N2672" s="1" t="s">
        <v>119</v>
      </c>
      <c r="O2672" s="1">
        <v>15</v>
      </c>
      <c r="P2672" s="3">
        <v>25</v>
      </c>
      <c r="Q2672" s="3">
        <v>30</v>
      </c>
      <c r="R2672" s="3">
        <v>40</v>
      </c>
      <c r="S2672" s="3">
        <v>50</v>
      </c>
      <c r="T2672" t="s">
        <v>10602</v>
      </c>
      <c r="U2672" t="e">
        <v>#N/A</v>
      </c>
      <c r="V2672" t="s">
        <v>10603</v>
      </c>
      <c r="W2672" s="45">
        <v>1</v>
      </c>
      <c r="X2672" s="45">
        <v>0</v>
      </c>
      <c r="Y2672" s="45">
        <v>0</v>
      </c>
      <c r="Z2672" s="45">
        <v>1</v>
      </c>
      <c r="AA2672" s="45">
        <v>1</v>
      </c>
      <c r="AB2672" s="45">
        <v>0</v>
      </c>
      <c r="AC2672" s="150">
        <v>0</v>
      </c>
      <c r="AD2672" s="150">
        <v>1</v>
      </c>
      <c r="AE2672" s="49">
        <f t="shared" si="109"/>
        <v>0.5</v>
      </c>
      <c r="AF2672" s="17"/>
      <c r="AG2672" s="17">
        <v>0</v>
      </c>
      <c r="AH2672" s="17">
        <v>0</v>
      </c>
      <c r="AI2672" s="17">
        <v>0</v>
      </c>
      <c r="AJ2672" s="17">
        <v>0</v>
      </c>
      <c r="AK2672" s="153">
        <v>0</v>
      </c>
      <c r="AL2672" s="154">
        <v>0</v>
      </c>
      <c r="AM2672" s="147">
        <f t="shared" si="108"/>
        <v>0</v>
      </c>
      <c r="AN2672" s="44" t="s">
        <v>723</v>
      </c>
      <c r="AO2672" s="18" t="s">
        <v>729</v>
      </c>
      <c r="AP2672" t="s">
        <v>1083</v>
      </c>
    </row>
    <row r="2673" spans="1:42" customFormat="1" x14ac:dyDescent="0.3">
      <c r="A2673" s="148" t="s">
        <v>8319</v>
      </c>
      <c r="B2673" t="s">
        <v>8320</v>
      </c>
      <c r="C2673" s="148" t="s">
        <v>9369</v>
      </c>
      <c r="D2673" t="s">
        <v>9370</v>
      </c>
      <c r="E2673" s="148" t="s">
        <v>9371</v>
      </c>
      <c r="F2673" t="s">
        <v>9372</v>
      </c>
      <c r="G2673" s="148" t="s">
        <v>9593</v>
      </c>
      <c r="H2673" t="s">
        <v>9594</v>
      </c>
      <c r="K2673" s="148" t="s">
        <v>9595</v>
      </c>
      <c r="L2673" t="s">
        <v>9596</v>
      </c>
      <c r="M2673" s="1"/>
      <c r="N2673" s="1"/>
      <c r="O2673" s="1"/>
      <c r="P2673" s="3"/>
      <c r="Q2673" s="3"/>
      <c r="R2673" s="3"/>
      <c r="S2673" s="3"/>
      <c r="U2673" t="e">
        <v>#N/A</v>
      </c>
      <c r="V2673" t="s">
        <v>10604</v>
      </c>
      <c r="W2673" s="45">
        <v>1</v>
      </c>
      <c r="X2673" s="45">
        <v>0</v>
      </c>
      <c r="Y2673" s="45">
        <v>0</v>
      </c>
      <c r="Z2673" s="45">
        <v>1</v>
      </c>
      <c r="AA2673" s="45">
        <v>1</v>
      </c>
      <c r="AB2673" s="45">
        <v>0</v>
      </c>
      <c r="AC2673" s="150">
        <v>0</v>
      </c>
      <c r="AD2673" s="150">
        <v>1</v>
      </c>
      <c r="AE2673" s="49">
        <f t="shared" si="109"/>
        <v>0.5</v>
      </c>
      <c r="AF2673" s="17"/>
      <c r="AG2673" s="17">
        <v>0</v>
      </c>
      <c r="AH2673" s="17">
        <v>0</v>
      </c>
      <c r="AI2673" s="17">
        <v>0</v>
      </c>
      <c r="AJ2673" s="17">
        <v>0</v>
      </c>
      <c r="AK2673" s="153">
        <v>0</v>
      </c>
      <c r="AL2673" s="154">
        <v>0</v>
      </c>
      <c r="AM2673" s="147">
        <f t="shared" si="108"/>
        <v>0</v>
      </c>
      <c r="AN2673" s="44" t="s">
        <v>723</v>
      </c>
      <c r="AO2673" s="18" t="s">
        <v>729</v>
      </c>
    </row>
    <row r="2674" spans="1:42" customFormat="1" x14ac:dyDescent="0.3">
      <c r="A2674" s="148" t="s">
        <v>8319</v>
      </c>
      <c r="B2674" t="s">
        <v>8320</v>
      </c>
      <c r="C2674" s="148" t="s">
        <v>9369</v>
      </c>
      <c r="D2674" t="s">
        <v>9370</v>
      </c>
      <c r="E2674" s="148" t="s">
        <v>9371</v>
      </c>
      <c r="F2674" t="s">
        <v>9372</v>
      </c>
      <c r="G2674" t="s">
        <v>10605</v>
      </c>
      <c r="H2674" t="s">
        <v>10606</v>
      </c>
      <c r="I2674" s="148" t="s">
        <v>10607</v>
      </c>
      <c r="J2674" t="s">
        <v>10608</v>
      </c>
      <c r="K2674" s="148" t="s">
        <v>10609</v>
      </c>
      <c r="L2674" t="s">
        <v>10610</v>
      </c>
      <c r="M2674" s="1" t="s">
        <v>10611</v>
      </c>
      <c r="N2674" s="1">
        <v>0</v>
      </c>
      <c r="O2674" s="1">
        <v>0</v>
      </c>
      <c r="P2674" s="3">
        <v>1</v>
      </c>
      <c r="Q2674" s="3" t="s">
        <v>271</v>
      </c>
      <c r="R2674" s="3" t="s">
        <v>271</v>
      </c>
      <c r="S2674" s="3" t="s">
        <v>271</v>
      </c>
      <c r="T2674" t="s">
        <v>831</v>
      </c>
      <c r="U2674" t="s">
        <v>834</v>
      </c>
      <c r="V2674" t="s">
        <v>10612</v>
      </c>
      <c r="W2674" s="45">
        <v>1</v>
      </c>
      <c r="X2674" s="45">
        <v>0</v>
      </c>
      <c r="Y2674" s="45">
        <v>0</v>
      </c>
      <c r="Z2674" s="45">
        <v>1</v>
      </c>
      <c r="AA2674" s="45">
        <v>1</v>
      </c>
      <c r="AB2674" s="45">
        <v>0</v>
      </c>
      <c r="AC2674" s="150">
        <v>0</v>
      </c>
      <c r="AD2674" s="150">
        <v>1</v>
      </c>
      <c r="AE2674" s="49">
        <f t="shared" si="109"/>
        <v>0.5</v>
      </c>
      <c r="AF2674" s="44"/>
      <c r="AG2674" s="17">
        <v>0</v>
      </c>
      <c r="AH2674" s="44" t="s">
        <v>271</v>
      </c>
      <c r="AI2674" s="44">
        <v>1</v>
      </c>
      <c r="AJ2674" s="17">
        <v>0</v>
      </c>
      <c r="AK2674" s="151" t="s">
        <v>271</v>
      </c>
      <c r="AL2674" s="151" t="s">
        <v>271</v>
      </c>
      <c r="AM2674" s="147">
        <f t="shared" si="108"/>
        <v>0</v>
      </c>
      <c r="AN2674" t="s">
        <v>831</v>
      </c>
      <c r="AO2674" s="18" t="s">
        <v>834</v>
      </c>
      <c r="AP2674" t="s">
        <v>119</v>
      </c>
    </row>
    <row r="2675" spans="1:42" customFormat="1" x14ac:dyDescent="0.3">
      <c r="A2675" s="148" t="s">
        <v>8319</v>
      </c>
      <c r="B2675" t="s">
        <v>8320</v>
      </c>
      <c r="C2675" s="148" t="s">
        <v>9369</v>
      </c>
      <c r="D2675" t="s">
        <v>9370</v>
      </c>
      <c r="E2675" s="148" t="s">
        <v>9371</v>
      </c>
      <c r="F2675" t="s">
        <v>9372</v>
      </c>
      <c r="G2675" t="s">
        <v>10605</v>
      </c>
      <c r="H2675" t="s">
        <v>10606</v>
      </c>
      <c r="I2675" s="148" t="s">
        <v>10607</v>
      </c>
      <c r="J2675" t="s">
        <v>10608</v>
      </c>
      <c r="K2675" s="148" t="s">
        <v>10609</v>
      </c>
      <c r="L2675" t="s">
        <v>10610</v>
      </c>
      <c r="M2675" s="1" t="s">
        <v>10613</v>
      </c>
      <c r="N2675" s="1">
        <v>0</v>
      </c>
      <c r="O2675" s="1">
        <v>0</v>
      </c>
      <c r="P2675" s="3">
        <v>80</v>
      </c>
      <c r="Q2675" s="3">
        <v>100</v>
      </c>
      <c r="R2675" s="3">
        <v>100</v>
      </c>
      <c r="S2675" s="3">
        <v>100</v>
      </c>
      <c r="T2675" t="s">
        <v>831</v>
      </c>
      <c r="U2675" t="s">
        <v>834</v>
      </c>
      <c r="V2675" t="s">
        <v>10614</v>
      </c>
      <c r="W2675" s="45">
        <v>1</v>
      </c>
      <c r="X2675" s="45">
        <v>0</v>
      </c>
      <c r="Y2675" s="45">
        <v>0</v>
      </c>
      <c r="Z2675" s="45">
        <v>1</v>
      </c>
      <c r="AA2675" s="45">
        <v>1</v>
      </c>
      <c r="AB2675" s="45">
        <v>0</v>
      </c>
      <c r="AC2675" s="150">
        <v>0</v>
      </c>
      <c r="AD2675" s="150">
        <v>1</v>
      </c>
      <c r="AE2675" s="49">
        <f t="shared" si="109"/>
        <v>0.5</v>
      </c>
      <c r="AF2675" s="44"/>
      <c r="AG2675" s="17">
        <v>0</v>
      </c>
      <c r="AH2675" s="44">
        <v>0</v>
      </c>
      <c r="AI2675" s="44">
        <v>0.15</v>
      </c>
      <c r="AJ2675" s="44">
        <v>0.15</v>
      </c>
      <c r="AK2675" s="151">
        <v>0</v>
      </c>
      <c r="AL2675" s="151">
        <v>0</v>
      </c>
      <c r="AM2675" s="147">
        <f t="shared" si="108"/>
        <v>0</v>
      </c>
      <c r="AN2675" t="s">
        <v>831</v>
      </c>
      <c r="AO2675" s="18" t="s">
        <v>834</v>
      </c>
      <c r="AP2675" t="s">
        <v>119</v>
      </c>
    </row>
    <row r="2676" spans="1:42" customFormat="1" x14ac:dyDescent="0.3">
      <c r="A2676" s="148" t="s">
        <v>8319</v>
      </c>
      <c r="B2676" t="s">
        <v>8320</v>
      </c>
      <c r="C2676" s="148" t="s">
        <v>9369</v>
      </c>
      <c r="D2676" t="s">
        <v>9370</v>
      </c>
      <c r="E2676" s="148" t="s">
        <v>9371</v>
      </c>
      <c r="F2676" t="s">
        <v>9372</v>
      </c>
      <c r="G2676" t="s">
        <v>10605</v>
      </c>
      <c r="H2676" t="s">
        <v>10606</v>
      </c>
      <c r="I2676" s="148" t="s">
        <v>10615</v>
      </c>
      <c r="J2676" t="s">
        <v>10616</v>
      </c>
      <c r="K2676" s="148" t="s">
        <v>10617</v>
      </c>
      <c r="L2676" t="s">
        <v>10618</v>
      </c>
      <c r="M2676" s="1" t="s">
        <v>10619</v>
      </c>
      <c r="N2676" s="1" t="s">
        <v>271</v>
      </c>
      <c r="O2676" s="1">
        <v>5</v>
      </c>
      <c r="P2676" s="3">
        <v>7</v>
      </c>
      <c r="Q2676" s="3">
        <v>7</v>
      </c>
      <c r="R2676" s="3">
        <v>8</v>
      </c>
      <c r="S2676" s="3">
        <v>12</v>
      </c>
      <c r="T2676" t="s">
        <v>10620</v>
      </c>
      <c r="U2676" t="e">
        <v>#N/A</v>
      </c>
      <c r="V2676" t="s">
        <v>10621</v>
      </c>
      <c r="W2676" s="45">
        <v>1</v>
      </c>
      <c r="X2676" s="45">
        <v>0</v>
      </c>
      <c r="Y2676" s="45">
        <v>0</v>
      </c>
      <c r="Z2676" s="45">
        <v>1</v>
      </c>
      <c r="AA2676" s="45">
        <v>1</v>
      </c>
      <c r="AB2676" s="45">
        <v>0</v>
      </c>
      <c r="AC2676" s="150">
        <v>0</v>
      </c>
      <c r="AD2676" s="150">
        <v>1</v>
      </c>
      <c r="AE2676" s="49">
        <f t="shared" si="109"/>
        <v>0.5</v>
      </c>
      <c r="AF2676" s="17"/>
      <c r="AG2676" s="17">
        <v>0</v>
      </c>
      <c r="AH2676" s="17">
        <v>0</v>
      </c>
      <c r="AI2676" s="44">
        <v>0.5</v>
      </c>
      <c r="AJ2676" s="44">
        <v>0.2</v>
      </c>
      <c r="AK2676" s="151">
        <v>0</v>
      </c>
      <c r="AL2676" s="151">
        <v>0</v>
      </c>
      <c r="AM2676" s="147">
        <f t="shared" si="108"/>
        <v>0</v>
      </c>
      <c r="AN2676" t="s">
        <v>723</v>
      </c>
      <c r="AO2676" s="18" t="s">
        <v>729</v>
      </c>
    </row>
    <row r="2677" spans="1:42" customFormat="1" x14ac:dyDescent="0.3">
      <c r="A2677" s="148" t="s">
        <v>8319</v>
      </c>
      <c r="B2677" t="s">
        <v>8320</v>
      </c>
      <c r="C2677" s="148" t="s">
        <v>9344</v>
      </c>
      <c r="D2677" t="s">
        <v>9345</v>
      </c>
      <c r="E2677" s="148" t="s">
        <v>9398</v>
      </c>
      <c r="F2677" t="s">
        <v>9399</v>
      </c>
      <c r="G2677" s="148" t="s">
        <v>9949</v>
      </c>
      <c r="H2677" t="s">
        <v>9950</v>
      </c>
      <c r="K2677" s="148" t="s">
        <v>10622</v>
      </c>
      <c r="L2677" t="s">
        <v>10623</v>
      </c>
      <c r="M2677" s="1" t="s">
        <v>10623</v>
      </c>
      <c r="N2677" s="1" t="s">
        <v>10624</v>
      </c>
      <c r="O2677" s="1" t="s">
        <v>271</v>
      </c>
      <c r="P2677" s="3" t="s">
        <v>271</v>
      </c>
      <c r="Q2677" s="3" t="s">
        <v>271</v>
      </c>
      <c r="R2677" s="3">
        <v>135</v>
      </c>
      <c r="S2677" s="3">
        <v>270</v>
      </c>
      <c r="T2677">
        <v>500</v>
      </c>
      <c r="U2677" t="e">
        <v>#N/A</v>
      </c>
      <c r="V2677" t="s">
        <v>10625</v>
      </c>
      <c r="W2677" s="45">
        <v>1</v>
      </c>
      <c r="X2677" s="45">
        <v>0</v>
      </c>
      <c r="Y2677" s="45">
        <v>0</v>
      </c>
      <c r="Z2677" s="45">
        <v>1</v>
      </c>
      <c r="AA2677" s="45">
        <v>0</v>
      </c>
      <c r="AB2677" s="45">
        <v>0</v>
      </c>
      <c r="AC2677" s="150">
        <v>1</v>
      </c>
      <c r="AD2677" s="150">
        <v>1</v>
      </c>
      <c r="AE2677" s="49">
        <f t="shared" si="109"/>
        <v>0.5</v>
      </c>
      <c r="AF2677" s="17">
        <v>1</v>
      </c>
      <c r="AG2677" s="17">
        <v>0</v>
      </c>
      <c r="AH2677" s="17">
        <v>0</v>
      </c>
      <c r="AI2677" s="17">
        <v>0</v>
      </c>
      <c r="AJ2677" s="44">
        <v>6.75</v>
      </c>
      <c r="AK2677" s="151">
        <v>13.5</v>
      </c>
      <c r="AL2677" s="151">
        <v>25</v>
      </c>
      <c r="AM2677" s="147">
        <f t="shared" si="108"/>
        <v>38.5</v>
      </c>
      <c r="AN2677" t="s">
        <v>723</v>
      </c>
      <c r="AO2677" s="18" t="s">
        <v>729</v>
      </c>
      <c r="AP2677" t="s">
        <v>2074</v>
      </c>
    </row>
    <row r="2678" spans="1:42" customFormat="1" x14ac:dyDescent="0.3">
      <c r="A2678" s="148" t="s">
        <v>8319</v>
      </c>
      <c r="B2678" t="s">
        <v>8320</v>
      </c>
      <c r="C2678" s="148" t="s">
        <v>9344</v>
      </c>
      <c r="D2678" t="s">
        <v>9345</v>
      </c>
      <c r="E2678" s="148" t="s">
        <v>9398</v>
      </c>
      <c r="F2678" t="s">
        <v>9399</v>
      </c>
      <c r="G2678" s="148" t="s">
        <v>9949</v>
      </c>
      <c r="H2678" t="s">
        <v>9950</v>
      </c>
      <c r="K2678" s="148" t="s">
        <v>10626</v>
      </c>
      <c r="L2678" t="s">
        <v>10627</v>
      </c>
      <c r="M2678" s="1" t="s">
        <v>10627</v>
      </c>
      <c r="N2678" s="1" t="s">
        <v>10628</v>
      </c>
      <c r="O2678" s="1" t="s">
        <v>119</v>
      </c>
      <c r="P2678" s="3">
        <v>1000</v>
      </c>
      <c r="Q2678" s="3">
        <v>1200</v>
      </c>
      <c r="R2678" s="3">
        <v>1500</v>
      </c>
      <c r="S2678" s="3">
        <v>2000</v>
      </c>
      <c r="T2678">
        <v>6.9444444444444406E-2</v>
      </c>
      <c r="U2678" t="e">
        <v>#N/A</v>
      </c>
      <c r="V2678" t="s">
        <v>10629</v>
      </c>
      <c r="W2678" s="45">
        <v>1</v>
      </c>
      <c r="X2678" s="45">
        <v>0</v>
      </c>
      <c r="Y2678" s="45">
        <v>0</v>
      </c>
      <c r="Z2678" s="45">
        <v>1</v>
      </c>
      <c r="AA2678" s="45">
        <v>1</v>
      </c>
      <c r="AB2678" s="45">
        <v>0</v>
      </c>
      <c r="AC2678" s="150">
        <v>0</v>
      </c>
      <c r="AD2678" s="150">
        <v>1</v>
      </c>
      <c r="AE2678" s="49">
        <f t="shared" si="109"/>
        <v>0.5</v>
      </c>
      <c r="AF2678" s="44">
        <v>1</v>
      </c>
      <c r="AG2678" s="17">
        <v>1</v>
      </c>
      <c r="AH2678" s="44">
        <v>30</v>
      </c>
      <c r="AI2678" s="44">
        <v>30</v>
      </c>
      <c r="AJ2678" s="44">
        <v>30</v>
      </c>
      <c r="AK2678" s="151">
        <v>30</v>
      </c>
      <c r="AL2678" s="151">
        <v>30</v>
      </c>
      <c r="AM2678" s="147">
        <f t="shared" si="108"/>
        <v>60</v>
      </c>
      <c r="AN2678" t="s">
        <v>723</v>
      </c>
      <c r="AO2678" s="18" t="s">
        <v>729</v>
      </c>
      <c r="AP2678" t="s">
        <v>10630</v>
      </c>
    </row>
    <row r="2679" spans="1:42" customFormat="1" x14ac:dyDescent="0.3">
      <c r="A2679" s="148" t="s">
        <v>8319</v>
      </c>
      <c r="B2679" t="s">
        <v>8320</v>
      </c>
      <c r="C2679" s="148" t="s">
        <v>9344</v>
      </c>
      <c r="D2679" t="s">
        <v>9345</v>
      </c>
      <c r="E2679" s="148" t="s">
        <v>9398</v>
      </c>
      <c r="F2679" t="s">
        <v>9399</v>
      </c>
      <c r="G2679" s="148" t="s">
        <v>10631</v>
      </c>
      <c r="H2679" t="s">
        <v>10632</v>
      </c>
      <c r="K2679" s="148" t="s">
        <v>10633</v>
      </c>
      <c r="L2679" t="s">
        <v>10634</v>
      </c>
      <c r="M2679" s="1" t="s">
        <v>10634</v>
      </c>
      <c r="N2679" s="1" t="s">
        <v>10634</v>
      </c>
      <c r="O2679" s="1" t="s">
        <v>271</v>
      </c>
      <c r="P2679" s="3" t="s">
        <v>271</v>
      </c>
      <c r="Q2679" s="3" t="s">
        <v>271</v>
      </c>
      <c r="R2679" s="3">
        <v>1</v>
      </c>
      <c r="S2679" s="3" t="s">
        <v>271</v>
      </c>
      <c r="T2679" t="s">
        <v>271</v>
      </c>
      <c r="U2679" t="e">
        <v>#N/A</v>
      </c>
      <c r="V2679" t="s">
        <v>10635</v>
      </c>
      <c r="W2679" s="45">
        <v>1</v>
      </c>
      <c r="X2679" s="45">
        <v>0</v>
      </c>
      <c r="Y2679" s="45">
        <v>0</v>
      </c>
      <c r="Z2679" s="45">
        <v>1</v>
      </c>
      <c r="AA2679" s="45">
        <v>1</v>
      </c>
      <c r="AB2679" s="45">
        <v>0</v>
      </c>
      <c r="AC2679" s="150">
        <v>0</v>
      </c>
      <c r="AD2679" s="150">
        <v>1</v>
      </c>
      <c r="AE2679" s="49">
        <f t="shared" si="109"/>
        <v>0.5</v>
      </c>
      <c r="AF2679" s="17"/>
      <c r="AG2679" s="17">
        <v>0</v>
      </c>
      <c r="AH2679" s="17">
        <v>0</v>
      </c>
      <c r="AI2679" s="17">
        <v>0</v>
      </c>
      <c r="AJ2679" s="17">
        <v>0</v>
      </c>
      <c r="AK2679" s="151">
        <v>0.8</v>
      </c>
      <c r="AL2679" s="151">
        <v>5</v>
      </c>
      <c r="AM2679" s="147">
        <f t="shared" si="108"/>
        <v>5.8</v>
      </c>
      <c r="AN2679" s="44" t="s">
        <v>10113</v>
      </c>
      <c r="AO2679" s="18" t="s">
        <v>10114</v>
      </c>
      <c r="AP2679" t="s">
        <v>10636</v>
      </c>
    </row>
    <row r="2680" spans="1:42" customFormat="1" x14ac:dyDescent="0.3">
      <c r="A2680" s="148" t="s">
        <v>8319</v>
      </c>
      <c r="B2680" t="s">
        <v>8320</v>
      </c>
      <c r="C2680" s="148" t="s">
        <v>9344</v>
      </c>
      <c r="D2680" t="s">
        <v>9345</v>
      </c>
      <c r="E2680" s="148" t="s">
        <v>9398</v>
      </c>
      <c r="F2680" t="s">
        <v>9399</v>
      </c>
      <c r="G2680" s="148" t="s">
        <v>9400</v>
      </c>
      <c r="H2680" t="s">
        <v>9401</v>
      </c>
      <c r="I2680" s="148" t="s">
        <v>10637</v>
      </c>
      <c r="J2680" t="s">
        <v>10638</v>
      </c>
      <c r="K2680" s="148" t="s">
        <v>10639</v>
      </c>
      <c r="L2680" t="s">
        <v>10640</v>
      </c>
      <c r="M2680" s="1" t="s">
        <v>10640</v>
      </c>
      <c r="N2680" s="1" t="s">
        <v>271</v>
      </c>
      <c r="O2680" s="1" t="s">
        <v>271</v>
      </c>
      <c r="P2680" s="3">
        <v>1</v>
      </c>
      <c r="Q2680" s="3" t="s">
        <v>271</v>
      </c>
      <c r="R2680" s="3" t="s">
        <v>271</v>
      </c>
      <c r="S2680" s="3" t="s">
        <v>271</v>
      </c>
      <c r="T2680" t="s">
        <v>10641</v>
      </c>
      <c r="U2680" t="e">
        <v>#N/A</v>
      </c>
      <c r="V2680" t="s">
        <v>10642</v>
      </c>
      <c r="W2680" s="45">
        <v>1</v>
      </c>
      <c r="X2680" s="45">
        <v>0</v>
      </c>
      <c r="Y2680" s="45">
        <v>0</v>
      </c>
      <c r="Z2680" s="45">
        <v>1</v>
      </c>
      <c r="AA2680" s="45">
        <v>1</v>
      </c>
      <c r="AB2680" s="45">
        <v>0</v>
      </c>
      <c r="AC2680" s="150">
        <v>0</v>
      </c>
      <c r="AD2680" s="150">
        <v>1</v>
      </c>
      <c r="AE2680" s="49">
        <f t="shared" si="109"/>
        <v>0.5</v>
      </c>
      <c r="AF2680" s="44"/>
      <c r="AG2680" s="17">
        <v>0</v>
      </c>
      <c r="AH2680" s="44" t="s">
        <v>271</v>
      </c>
      <c r="AI2680" s="44">
        <v>0.1</v>
      </c>
      <c r="AJ2680" s="44">
        <v>0.1</v>
      </c>
      <c r="AK2680" s="151">
        <v>0.1</v>
      </c>
      <c r="AL2680" s="151">
        <v>0.06</v>
      </c>
      <c r="AM2680" s="147">
        <f t="shared" si="108"/>
        <v>0.16</v>
      </c>
      <c r="AN2680" t="s">
        <v>723</v>
      </c>
      <c r="AO2680" s="18" t="s">
        <v>729</v>
      </c>
      <c r="AP2680" t="s">
        <v>10643</v>
      </c>
    </row>
    <row r="2681" spans="1:42" customFormat="1" x14ac:dyDescent="0.3">
      <c r="A2681" s="148" t="s">
        <v>8319</v>
      </c>
      <c r="B2681" t="s">
        <v>8320</v>
      </c>
      <c r="C2681" s="148" t="s">
        <v>9344</v>
      </c>
      <c r="D2681" t="s">
        <v>9345</v>
      </c>
      <c r="E2681" s="148" t="s">
        <v>9398</v>
      </c>
      <c r="F2681" t="s">
        <v>9399</v>
      </c>
      <c r="G2681" s="148" t="s">
        <v>9400</v>
      </c>
      <c r="H2681" t="s">
        <v>9401</v>
      </c>
      <c r="I2681" s="148" t="s">
        <v>10637</v>
      </c>
      <c r="J2681" t="s">
        <v>10638</v>
      </c>
      <c r="K2681" s="148" t="s">
        <v>10644</v>
      </c>
      <c r="L2681" t="s">
        <v>10645</v>
      </c>
      <c r="M2681" s="1" t="s">
        <v>10646</v>
      </c>
      <c r="N2681" s="1" t="s">
        <v>119</v>
      </c>
      <c r="O2681" s="1">
        <v>50</v>
      </c>
      <c r="P2681" s="3">
        <v>65</v>
      </c>
      <c r="Q2681" s="3">
        <v>70</v>
      </c>
      <c r="R2681" s="3">
        <v>80</v>
      </c>
      <c r="S2681" s="3">
        <v>80</v>
      </c>
      <c r="T2681" t="s">
        <v>10641</v>
      </c>
      <c r="U2681" t="e">
        <v>#N/A</v>
      </c>
      <c r="V2681" t="s">
        <v>10647</v>
      </c>
      <c r="W2681" s="45">
        <v>1</v>
      </c>
      <c r="X2681" s="45">
        <v>0</v>
      </c>
      <c r="Y2681" s="45">
        <v>0</v>
      </c>
      <c r="Z2681" s="45">
        <v>1</v>
      </c>
      <c r="AA2681" s="45">
        <v>1</v>
      </c>
      <c r="AB2681" s="45">
        <v>0</v>
      </c>
      <c r="AC2681" s="150">
        <v>0</v>
      </c>
      <c r="AD2681" s="150">
        <v>1</v>
      </c>
      <c r="AE2681" s="49">
        <f t="shared" si="109"/>
        <v>0.5</v>
      </c>
      <c r="AF2681" s="44"/>
      <c r="AG2681" s="17">
        <v>0</v>
      </c>
      <c r="AH2681" s="44">
        <v>0.15</v>
      </c>
      <c r="AI2681" s="44">
        <v>0.15</v>
      </c>
      <c r="AJ2681" s="44">
        <v>0.15</v>
      </c>
      <c r="AK2681" s="151">
        <v>0.15</v>
      </c>
      <c r="AL2681" s="151">
        <v>0.15</v>
      </c>
      <c r="AM2681" s="147">
        <f t="shared" si="108"/>
        <v>0.3</v>
      </c>
      <c r="AN2681" s="44" t="s">
        <v>10518</v>
      </c>
      <c r="AO2681" s="18" t="s">
        <v>729</v>
      </c>
      <c r="AP2681" t="s">
        <v>723</v>
      </c>
    </row>
    <row r="2682" spans="1:42" customFormat="1" x14ac:dyDescent="0.3">
      <c r="A2682" s="148" t="s">
        <v>8319</v>
      </c>
      <c r="B2682" t="s">
        <v>8320</v>
      </c>
      <c r="C2682" s="148" t="s">
        <v>9344</v>
      </c>
      <c r="D2682" t="s">
        <v>9345</v>
      </c>
      <c r="E2682" s="148" t="s">
        <v>9398</v>
      </c>
      <c r="F2682" t="s">
        <v>9399</v>
      </c>
      <c r="G2682" s="148" t="s">
        <v>9400</v>
      </c>
      <c r="H2682" t="s">
        <v>9401</v>
      </c>
      <c r="I2682" s="148" t="s">
        <v>10239</v>
      </c>
      <c r="J2682" t="s">
        <v>10240</v>
      </c>
      <c r="K2682" s="148" t="s">
        <v>10241</v>
      </c>
      <c r="L2682" t="s">
        <v>10242</v>
      </c>
      <c r="M2682" s="1" t="s">
        <v>10648</v>
      </c>
      <c r="N2682" s="1"/>
      <c r="O2682" s="1"/>
      <c r="P2682" s="3"/>
      <c r="Q2682" s="3"/>
      <c r="R2682" s="3">
        <v>1</v>
      </c>
      <c r="S2682" s="3"/>
      <c r="T2682" t="s">
        <v>10649</v>
      </c>
      <c r="U2682" t="e">
        <v>#N/A</v>
      </c>
      <c r="V2682" t="s">
        <v>10650</v>
      </c>
      <c r="W2682" s="45">
        <v>1</v>
      </c>
      <c r="X2682" s="45">
        <v>0</v>
      </c>
      <c r="Y2682" s="45">
        <v>0</v>
      </c>
      <c r="Z2682" s="45">
        <v>1</v>
      </c>
      <c r="AA2682" s="45">
        <v>1</v>
      </c>
      <c r="AB2682" s="45">
        <v>0</v>
      </c>
      <c r="AC2682" s="150">
        <v>0</v>
      </c>
      <c r="AD2682" s="150">
        <v>1</v>
      </c>
      <c r="AE2682" s="49">
        <f t="shared" si="109"/>
        <v>0.5</v>
      </c>
      <c r="AF2682" s="44"/>
      <c r="AG2682" s="17">
        <v>0</v>
      </c>
      <c r="AH2682" s="44">
        <v>0.2</v>
      </c>
      <c r="AI2682" s="44">
        <v>0.2</v>
      </c>
      <c r="AJ2682" s="44">
        <v>0.2</v>
      </c>
      <c r="AK2682" s="151">
        <v>0.2</v>
      </c>
      <c r="AL2682" s="151">
        <v>0.2</v>
      </c>
      <c r="AM2682" s="147">
        <f t="shared" si="108"/>
        <v>0.4</v>
      </c>
      <c r="AN2682" s="44" t="s">
        <v>723</v>
      </c>
      <c r="AO2682" s="18" t="s">
        <v>729</v>
      </c>
      <c r="AP2682" t="s">
        <v>831</v>
      </c>
    </row>
    <row r="2683" spans="1:42" customFormat="1" x14ac:dyDescent="0.3">
      <c r="A2683" s="148" t="s">
        <v>8319</v>
      </c>
      <c r="B2683" t="s">
        <v>8320</v>
      </c>
      <c r="C2683" s="148" t="s">
        <v>9344</v>
      </c>
      <c r="D2683" t="s">
        <v>9345</v>
      </c>
      <c r="E2683" s="148" t="s">
        <v>9398</v>
      </c>
      <c r="F2683" t="s">
        <v>9399</v>
      </c>
      <c r="G2683" s="148" t="s">
        <v>9400</v>
      </c>
      <c r="H2683" t="s">
        <v>9401</v>
      </c>
      <c r="I2683" s="148" t="s">
        <v>10239</v>
      </c>
      <c r="J2683" t="s">
        <v>10240</v>
      </c>
      <c r="K2683" s="148" t="s">
        <v>10241</v>
      </c>
      <c r="L2683" t="s">
        <v>10242</v>
      </c>
      <c r="M2683" s="1" t="s">
        <v>10651</v>
      </c>
      <c r="N2683" s="1" t="s">
        <v>271</v>
      </c>
      <c r="O2683" s="1" t="s">
        <v>271</v>
      </c>
      <c r="P2683" s="3">
        <v>3000</v>
      </c>
      <c r="Q2683" s="3">
        <v>6500</v>
      </c>
      <c r="R2683" s="3">
        <v>10500</v>
      </c>
      <c r="S2683" s="3">
        <v>14500</v>
      </c>
      <c r="T2683" t="s">
        <v>723</v>
      </c>
      <c r="U2683" t="s">
        <v>729</v>
      </c>
      <c r="V2683" t="s">
        <v>10652</v>
      </c>
      <c r="W2683" s="45">
        <v>1</v>
      </c>
      <c r="X2683" s="45">
        <v>0</v>
      </c>
      <c r="Y2683" s="45">
        <v>0</v>
      </c>
      <c r="Z2683" s="45">
        <v>1</v>
      </c>
      <c r="AA2683" s="45">
        <v>1</v>
      </c>
      <c r="AB2683" s="45">
        <v>0</v>
      </c>
      <c r="AC2683" s="150">
        <v>0</v>
      </c>
      <c r="AD2683" s="150">
        <v>1</v>
      </c>
      <c r="AE2683" s="49">
        <f t="shared" si="109"/>
        <v>0.5</v>
      </c>
      <c r="AF2683" s="17">
        <v>1</v>
      </c>
      <c r="AG2683" s="17">
        <v>0</v>
      </c>
      <c r="AH2683" s="17">
        <v>0</v>
      </c>
      <c r="AI2683" s="44">
        <v>0</v>
      </c>
      <c r="AJ2683" s="44">
        <v>0</v>
      </c>
      <c r="AK2683" s="151">
        <v>3</v>
      </c>
      <c r="AL2683" s="151">
        <v>3</v>
      </c>
      <c r="AM2683" s="147">
        <f t="shared" si="108"/>
        <v>6</v>
      </c>
      <c r="AN2683" t="s">
        <v>723</v>
      </c>
      <c r="AO2683" s="18" t="s">
        <v>729</v>
      </c>
      <c r="AP2683" t="s">
        <v>10653</v>
      </c>
    </row>
    <row r="2684" spans="1:42" customFormat="1" x14ac:dyDescent="0.3">
      <c r="A2684" s="148" t="s">
        <v>8319</v>
      </c>
      <c r="B2684" t="s">
        <v>8320</v>
      </c>
      <c r="C2684" s="148" t="s">
        <v>9344</v>
      </c>
      <c r="D2684" t="s">
        <v>9345</v>
      </c>
      <c r="E2684" s="148" t="s">
        <v>9398</v>
      </c>
      <c r="F2684" t="s">
        <v>9399</v>
      </c>
      <c r="G2684" s="148" t="s">
        <v>9400</v>
      </c>
      <c r="H2684" t="s">
        <v>9401</v>
      </c>
      <c r="I2684" s="148" t="s">
        <v>10239</v>
      </c>
      <c r="J2684" t="s">
        <v>10240</v>
      </c>
      <c r="K2684" s="148" t="s">
        <v>10654</v>
      </c>
      <c r="L2684" t="s">
        <v>10655</v>
      </c>
      <c r="M2684" s="1" t="s">
        <v>10656</v>
      </c>
      <c r="N2684" s="1" t="s">
        <v>271</v>
      </c>
      <c r="O2684" s="1" t="s">
        <v>271</v>
      </c>
      <c r="P2684" s="3">
        <v>1</v>
      </c>
      <c r="Q2684" s="3" t="s">
        <v>271</v>
      </c>
      <c r="R2684" s="3" t="s">
        <v>271</v>
      </c>
      <c r="S2684" s="3" t="s">
        <v>271</v>
      </c>
      <c r="T2684" t="s">
        <v>10520</v>
      </c>
      <c r="U2684" t="e">
        <v>#N/A</v>
      </c>
      <c r="V2684" t="s">
        <v>10657</v>
      </c>
      <c r="W2684" s="45">
        <v>1</v>
      </c>
      <c r="X2684" s="45">
        <v>0</v>
      </c>
      <c r="Y2684" s="45">
        <v>0</v>
      </c>
      <c r="Z2684" s="45">
        <v>1</v>
      </c>
      <c r="AA2684" s="45">
        <v>1</v>
      </c>
      <c r="AB2684" s="45">
        <v>0</v>
      </c>
      <c r="AC2684" s="150">
        <v>0</v>
      </c>
      <c r="AD2684" s="150">
        <v>1</v>
      </c>
      <c r="AE2684" s="49">
        <f t="shared" si="109"/>
        <v>0.5</v>
      </c>
      <c r="AF2684" s="17"/>
      <c r="AG2684" s="17">
        <v>0</v>
      </c>
      <c r="AH2684" s="17">
        <v>0</v>
      </c>
      <c r="AI2684" s="44">
        <v>0.1</v>
      </c>
      <c r="AJ2684" s="17">
        <v>0</v>
      </c>
      <c r="AK2684" s="153">
        <v>0</v>
      </c>
      <c r="AL2684" s="154">
        <v>0</v>
      </c>
      <c r="AM2684" s="147">
        <f t="shared" si="108"/>
        <v>0</v>
      </c>
      <c r="AN2684" s="44" t="s">
        <v>723</v>
      </c>
      <c r="AO2684" s="18" t="s">
        <v>729</v>
      </c>
      <c r="AP2684" t="s">
        <v>831</v>
      </c>
    </row>
    <row r="2685" spans="1:42" customFormat="1" x14ac:dyDescent="0.3">
      <c r="A2685" s="148" t="s">
        <v>8319</v>
      </c>
      <c r="B2685" t="s">
        <v>8320</v>
      </c>
      <c r="C2685" s="148" t="s">
        <v>9344</v>
      </c>
      <c r="D2685" t="s">
        <v>9345</v>
      </c>
      <c r="E2685" s="148" t="s">
        <v>9398</v>
      </c>
      <c r="F2685" t="s">
        <v>9399</v>
      </c>
      <c r="G2685" s="148" t="s">
        <v>9400</v>
      </c>
      <c r="H2685" t="s">
        <v>9401</v>
      </c>
      <c r="I2685" s="148" t="s">
        <v>10239</v>
      </c>
      <c r="J2685" t="s">
        <v>10240</v>
      </c>
      <c r="K2685" s="148" t="s">
        <v>10658</v>
      </c>
      <c r="L2685" t="s">
        <v>10659</v>
      </c>
      <c r="M2685" s="1" t="s">
        <v>10660</v>
      </c>
      <c r="N2685" s="1" t="s">
        <v>119</v>
      </c>
      <c r="O2685" s="1">
        <v>10</v>
      </c>
      <c r="P2685" s="3">
        <v>20</v>
      </c>
      <c r="Q2685" s="3">
        <v>30</v>
      </c>
      <c r="R2685" s="3">
        <v>40</v>
      </c>
      <c r="S2685" s="3">
        <v>50</v>
      </c>
      <c r="T2685" t="s">
        <v>10661</v>
      </c>
      <c r="U2685" t="e">
        <v>#N/A</v>
      </c>
      <c r="V2685" t="s">
        <v>10662</v>
      </c>
      <c r="W2685" s="45">
        <v>1</v>
      </c>
      <c r="X2685" s="45">
        <v>0</v>
      </c>
      <c r="Y2685" s="45">
        <v>0</v>
      </c>
      <c r="Z2685" s="45">
        <v>1</v>
      </c>
      <c r="AA2685" s="45">
        <v>1</v>
      </c>
      <c r="AB2685" s="45">
        <v>0</v>
      </c>
      <c r="AC2685" s="150">
        <v>0</v>
      </c>
      <c r="AD2685" s="150">
        <v>1</v>
      </c>
      <c r="AE2685" s="49">
        <f t="shared" si="109"/>
        <v>0.5</v>
      </c>
      <c r="AF2685" s="44"/>
      <c r="AG2685" s="17">
        <v>0</v>
      </c>
      <c r="AH2685" s="44">
        <v>0.1</v>
      </c>
      <c r="AI2685" s="44">
        <v>0.1</v>
      </c>
      <c r="AJ2685" s="44">
        <v>0.1</v>
      </c>
      <c r="AK2685" s="151">
        <v>0.1</v>
      </c>
      <c r="AL2685" s="151">
        <v>0.1</v>
      </c>
      <c r="AM2685" s="147">
        <f t="shared" si="108"/>
        <v>0.2</v>
      </c>
      <c r="AN2685" t="s">
        <v>723</v>
      </c>
      <c r="AO2685" s="18" t="s">
        <v>729</v>
      </c>
      <c r="AP2685" t="s">
        <v>921</v>
      </c>
    </row>
    <row r="2686" spans="1:42" customFormat="1" x14ac:dyDescent="0.3">
      <c r="A2686" s="148" t="s">
        <v>8319</v>
      </c>
      <c r="B2686" t="s">
        <v>8320</v>
      </c>
      <c r="C2686" s="148" t="s">
        <v>9344</v>
      </c>
      <c r="D2686" t="s">
        <v>9345</v>
      </c>
      <c r="E2686" s="148" t="s">
        <v>9398</v>
      </c>
      <c r="F2686" t="s">
        <v>9399</v>
      </c>
      <c r="G2686" s="148" t="s">
        <v>9400</v>
      </c>
      <c r="H2686" t="s">
        <v>9401</v>
      </c>
      <c r="I2686" s="148" t="s">
        <v>9402</v>
      </c>
      <c r="J2686" t="s">
        <v>9403</v>
      </c>
      <c r="K2686" s="148" t="s">
        <v>10663</v>
      </c>
      <c r="L2686" t="s">
        <v>10664</v>
      </c>
      <c r="M2686" s="1" t="s">
        <v>10665</v>
      </c>
      <c r="N2686" s="1">
        <v>1</v>
      </c>
      <c r="O2686" s="1">
        <v>1</v>
      </c>
      <c r="P2686" s="3">
        <v>4</v>
      </c>
      <c r="Q2686" s="3">
        <v>5</v>
      </c>
      <c r="R2686" s="3">
        <v>7</v>
      </c>
      <c r="S2686" s="3">
        <v>9</v>
      </c>
      <c r="T2686" t="s">
        <v>10666</v>
      </c>
      <c r="U2686" t="e">
        <v>#N/A</v>
      </c>
      <c r="V2686" t="s">
        <v>10667</v>
      </c>
      <c r="W2686" s="45">
        <v>1</v>
      </c>
      <c r="X2686" s="45">
        <v>0</v>
      </c>
      <c r="Y2686" s="45">
        <v>0</v>
      </c>
      <c r="Z2686" s="45">
        <v>1</v>
      </c>
      <c r="AA2686" s="45">
        <v>1</v>
      </c>
      <c r="AB2686" s="45">
        <v>0</v>
      </c>
      <c r="AC2686" s="150">
        <v>0</v>
      </c>
      <c r="AD2686" s="150">
        <v>1</v>
      </c>
      <c r="AE2686" s="49">
        <f t="shared" si="109"/>
        <v>0.5</v>
      </c>
      <c r="AF2686" s="44">
        <v>1</v>
      </c>
      <c r="AG2686" s="17">
        <v>0</v>
      </c>
      <c r="AH2686" s="44">
        <v>0</v>
      </c>
      <c r="AI2686" s="44">
        <v>0</v>
      </c>
      <c r="AJ2686" s="44">
        <v>0</v>
      </c>
      <c r="AK2686" s="151">
        <v>45</v>
      </c>
      <c r="AL2686" s="151">
        <v>45</v>
      </c>
      <c r="AM2686" s="147">
        <f t="shared" si="108"/>
        <v>90</v>
      </c>
      <c r="AN2686" t="s">
        <v>723</v>
      </c>
      <c r="AO2686" s="18" t="s">
        <v>729</v>
      </c>
      <c r="AP2686" t="s">
        <v>9922</v>
      </c>
    </row>
    <row r="2687" spans="1:42" customFormat="1" x14ac:dyDescent="0.3">
      <c r="A2687" s="148" t="s">
        <v>8319</v>
      </c>
      <c r="B2687" t="s">
        <v>8320</v>
      </c>
      <c r="C2687" s="148" t="s">
        <v>9344</v>
      </c>
      <c r="D2687" t="s">
        <v>9345</v>
      </c>
      <c r="E2687" s="148" t="s">
        <v>9398</v>
      </c>
      <c r="F2687" t="s">
        <v>9399</v>
      </c>
      <c r="G2687" s="148" t="s">
        <v>9400</v>
      </c>
      <c r="H2687" t="s">
        <v>9401</v>
      </c>
      <c r="I2687" s="148" t="s">
        <v>9402</v>
      </c>
      <c r="J2687" t="s">
        <v>9403</v>
      </c>
      <c r="K2687" s="148" t="s">
        <v>10668</v>
      </c>
      <c r="L2687" t="s">
        <v>10669</v>
      </c>
      <c r="M2687" s="1" t="s">
        <v>10670</v>
      </c>
      <c r="N2687" s="1" t="s">
        <v>119</v>
      </c>
      <c r="O2687" s="1">
        <v>25</v>
      </c>
      <c r="P2687" s="3">
        <v>30</v>
      </c>
      <c r="Q2687" s="3">
        <v>38</v>
      </c>
      <c r="R2687" s="3">
        <v>50</v>
      </c>
      <c r="S2687" s="3">
        <v>65</v>
      </c>
      <c r="T2687" t="s">
        <v>10671</v>
      </c>
      <c r="U2687" t="e">
        <v>#N/A</v>
      </c>
      <c r="V2687" t="s">
        <v>10672</v>
      </c>
      <c r="W2687" s="45">
        <v>1</v>
      </c>
      <c r="X2687" s="45">
        <v>0</v>
      </c>
      <c r="Y2687" s="45">
        <v>0</v>
      </c>
      <c r="Z2687" s="45">
        <v>1</v>
      </c>
      <c r="AA2687" s="45">
        <v>1</v>
      </c>
      <c r="AB2687" s="45">
        <v>0</v>
      </c>
      <c r="AC2687" s="150">
        <v>0</v>
      </c>
      <c r="AD2687" s="150">
        <v>1</v>
      </c>
      <c r="AE2687" s="49">
        <f t="shared" si="109"/>
        <v>0.5</v>
      </c>
      <c r="AF2687" s="17">
        <v>1</v>
      </c>
      <c r="AG2687" s="17">
        <v>1</v>
      </c>
      <c r="AH2687" s="17">
        <v>0</v>
      </c>
      <c r="AI2687" s="44">
        <v>0.6</v>
      </c>
      <c r="AJ2687" s="44">
        <v>1.2</v>
      </c>
      <c r="AK2687" s="151">
        <v>1.8</v>
      </c>
      <c r="AL2687" s="151">
        <v>2.4500000000000002</v>
      </c>
      <c r="AM2687" s="147">
        <f t="shared" si="108"/>
        <v>4.25</v>
      </c>
      <c r="AN2687" s="44" t="s">
        <v>723</v>
      </c>
      <c r="AO2687" s="18" t="s">
        <v>729</v>
      </c>
      <c r="AP2687" t="s">
        <v>10520</v>
      </c>
    </row>
    <row r="2688" spans="1:42" customFormat="1" x14ac:dyDescent="0.3">
      <c r="A2688" s="148" t="s">
        <v>8319</v>
      </c>
      <c r="B2688" t="s">
        <v>8320</v>
      </c>
      <c r="C2688" s="148" t="s">
        <v>9344</v>
      </c>
      <c r="D2688" t="s">
        <v>9345</v>
      </c>
      <c r="E2688" s="148" t="s">
        <v>9398</v>
      </c>
      <c r="F2688" t="s">
        <v>9399</v>
      </c>
      <c r="G2688" s="148" t="s">
        <v>10244</v>
      </c>
      <c r="H2688" t="s">
        <v>10245</v>
      </c>
      <c r="K2688" s="148" t="s">
        <v>10673</v>
      </c>
      <c r="L2688" t="s">
        <v>10674</v>
      </c>
      <c r="M2688" s="1" t="s">
        <v>10675</v>
      </c>
      <c r="N2688" s="1"/>
      <c r="O2688" s="1"/>
      <c r="P2688" s="3">
        <v>2</v>
      </c>
      <c r="Q2688" s="3">
        <v>4</v>
      </c>
      <c r="R2688" s="3">
        <v>5</v>
      </c>
      <c r="S2688" s="3">
        <v>7</v>
      </c>
      <c r="T2688" t="s">
        <v>1233</v>
      </c>
      <c r="U2688" t="s">
        <v>1650</v>
      </c>
      <c r="V2688" t="s">
        <v>10676</v>
      </c>
      <c r="W2688" s="45">
        <v>1</v>
      </c>
      <c r="X2688" s="45">
        <v>0</v>
      </c>
      <c r="Y2688" s="45">
        <v>0</v>
      </c>
      <c r="Z2688" s="45">
        <v>1</v>
      </c>
      <c r="AA2688" s="45">
        <v>1</v>
      </c>
      <c r="AB2688" s="45">
        <v>0</v>
      </c>
      <c r="AC2688" s="150">
        <v>0</v>
      </c>
      <c r="AD2688" s="150">
        <v>1</v>
      </c>
      <c r="AE2688" s="49">
        <f t="shared" si="109"/>
        <v>0.5</v>
      </c>
      <c r="AF2688" s="44"/>
      <c r="AG2688" s="17">
        <v>0</v>
      </c>
      <c r="AH2688" s="44"/>
      <c r="AI2688" s="17"/>
      <c r="AJ2688" s="17"/>
      <c r="AK2688" s="151"/>
      <c r="AL2688" s="154"/>
      <c r="AM2688" s="147">
        <f t="shared" si="108"/>
        <v>0</v>
      </c>
      <c r="AN2688" s="44" t="s">
        <v>5423</v>
      </c>
      <c r="AO2688" s="18" t="s">
        <v>1650</v>
      </c>
      <c r="AP2688" t="s">
        <v>10677</v>
      </c>
    </row>
    <row r="2689" spans="1:42" customFormat="1" x14ac:dyDescent="0.3">
      <c r="A2689" s="148" t="s">
        <v>8319</v>
      </c>
      <c r="B2689" t="s">
        <v>8320</v>
      </c>
      <c r="C2689" s="148" t="s">
        <v>9344</v>
      </c>
      <c r="D2689" t="s">
        <v>9345</v>
      </c>
      <c r="E2689" s="148" t="s">
        <v>9398</v>
      </c>
      <c r="F2689" t="s">
        <v>9399</v>
      </c>
      <c r="G2689" s="148" t="s">
        <v>10244</v>
      </c>
      <c r="H2689" t="s">
        <v>10245</v>
      </c>
      <c r="K2689" s="148" t="s">
        <v>10673</v>
      </c>
      <c r="L2689" t="s">
        <v>10674</v>
      </c>
      <c r="M2689" s="1" t="s">
        <v>10678</v>
      </c>
      <c r="N2689" s="1"/>
      <c r="O2689" s="1"/>
      <c r="P2689" s="3">
        <v>100</v>
      </c>
      <c r="Q2689" s="3">
        <v>150</v>
      </c>
      <c r="R2689" s="3">
        <v>150</v>
      </c>
      <c r="S2689" s="3">
        <v>150</v>
      </c>
      <c r="T2689" t="s">
        <v>1233</v>
      </c>
      <c r="U2689" t="s">
        <v>1650</v>
      </c>
      <c r="V2689" t="s">
        <v>10679</v>
      </c>
      <c r="W2689" s="45">
        <v>1</v>
      </c>
      <c r="X2689" s="45">
        <v>0</v>
      </c>
      <c r="Y2689" s="45">
        <v>0</v>
      </c>
      <c r="Z2689" s="45">
        <v>1</v>
      </c>
      <c r="AA2689" s="45">
        <v>1</v>
      </c>
      <c r="AB2689" s="45">
        <v>0</v>
      </c>
      <c r="AC2689" s="150">
        <v>1</v>
      </c>
      <c r="AD2689" s="150">
        <v>0</v>
      </c>
      <c r="AE2689" s="49">
        <f t="shared" si="109"/>
        <v>0.5</v>
      </c>
      <c r="AF2689" s="44"/>
      <c r="AG2689" s="17">
        <v>0</v>
      </c>
      <c r="AH2689" s="44"/>
      <c r="AI2689" s="17"/>
      <c r="AJ2689" s="17"/>
      <c r="AK2689" s="151"/>
      <c r="AL2689" s="154"/>
      <c r="AM2689" s="147">
        <f t="shared" si="108"/>
        <v>0</v>
      </c>
      <c r="AN2689" s="44" t="s">
        <v>1233</v>
      </c>
      <c r="AO2689" s="18" t="s">
        <v>1650</v>
      </c>
      <c r="AP2689" t="s">
        <v>10677</v>
      </c>
    </row>
    <row r="2690" spans="1:42" customFormat="1" x14ac:dyDescent="0.3">
      <c r="A2690" s="148" t="s">
        <v>8319</v>
      </c>
      <c r="B2690" t="s">
        <v>8320</v>
      </c>
      <c r="C2690" s="148" t="s">
        <v>9410</v>
      </c>
      <c r="D2690" t="s">
        <v>9411</v>
      </c>
      <c r="E2690" s="148" t="s">
        <v>9412</v>
      </c>
      <c r="F2690" t="s">
        <v>9413</v>
      </c>
      <c r="G2690" s="148" t="s">
        <v>9414</v>
      </c>
      <c r="H2690" t="s">
        <v>9415</v>
      </c>
      <c r="K2690" s="155" t="s">
        <v>9441</v>
      </c>
      <c r="L2690" t="s">
        <v>9442</v>
      </c>
      <c r="M2690" s="1" t="s">
        <v>10680</v>
      </c>
      <c r="N2690" s="1"/>
      <c r="O2690" s="1">
        <v>4</v>
      </c>
      <c r="P2690" s="3">
        <v>4</v>
      </c>
      <c r="Q2690" s="3">
        <v>4</v>
      </c>
      <c r="R2690" s="3">
        <v>3</v>
      </c>
      <c r="S2690" s="3">
        <v>3</v>
      </c>
      <c r="T2690" t="s">
        <v>3643</v>
      </c>
      <c r="U2690" t="s">
        <v>3630</v>
      </c>
      <c r="V2690" t="s">
        <v>10681</v>
      </c>
      <c r="W2690" s="45">
        <v>1</v>
      </c>
      <c r="X2690" s="45">
        <v>0</v>
      </c>
      <c r="Y2690" s="45">
        <v>0</v>
      </c>
      <c r="Z2690" s="45">
        <v>1</v>
      </c>
      <c r="AA2690" s="45">
        <v>1</v>
      </c>
      <c r="AB2690" s="45">
        <v>0</v>
      </c>
      <c r="AC2690" s="150">
        <v>0</v>
      </c>
      <c r="AD2690" s="150">
        <v>1</v>
      </c>
      <c r="AE2690" s="49">
        <f t="shared" si="109"/>
        <v>0.5</v>
      </c>
      <c r="AF2690" s="17"/>
      <c r="AG2690" s="17">
        <v>0</v>
      </c>
      <c r="AH2690" s="17">
        <v>0</v>
      </c>
      <c r="AI2690" s="17">
        <v>0</v>
      </c>
      <c r="AJ2690" s="17">
        <v>0</v>
      </c>
      <c r="AK2690" s="153">
        <v>23</v>
      </c>
      <c r="AL2690" s="154">
        <v>23</v>
      </c>
      <c r="AM2690" s="147">
        <f t="shared" si="108"/>
        <v>46</v>
      </c>
      <c r="AN2690" t="s">
        <v>3643</v>
      </c>
      <c r="AO2690" s="18" t="s">
        <v>3630</v>
      </c>
      <c r="AP2690" t="s">
        <v>10682</v>
      </c>
    </row>
    <row r="2691" spans="1:42" customFormat="1" x14ac:dyDescent="0.3">
      <c r="A2691" s="148" t="s">
        <v>8319</v>
      </c>
      <c r="B2691" t="s">
        <v>8320</v>
      </c>
      <c r="C2691" s="148" t="s">
        <v>9410</v>
      </c>
      <c r="D2691" t="s">
        <v>9411</v>
      </c>
      <c r="E2691" s="148" t="s">
        <v>9412</v>
      </c>
      <c r="F2691" t="s">
        <v>9413</v>
      </c>
      <c r="G2691" s="148" t="s">
        <v>9661</v>
      </c>
      <c r="H2691" t="s">
        <v>9662</v>
      </c>
      <c r="I2691" s="148" t="s">
        <v>10269</v>
      </c>
      <c r="J2691" t="s">
        <v>10270</v>
      </c>
      <c r="K2691" s="148" t="s">
        <v>10271</v>
      </c>
      <c r="L2691" t="s">
        <v>10272</v>
      </c>
      <c r="M2691" s="1" t="s">
        <v>10683</v>
      </c>
      <c r="N2691" s="1"/>
      <c r="O2691" s="1">
        <v>1</v>
      </c>
      <c r="P2691" s="3">
        <v>1</v>
      </c>
      <c r="Q2691" s="3">
        <v>1</v>
      </c>
      <c r="R2691" s="3">
        <v>1</v>
      </c>
      <c r="S2691" s="3">
        <v>1</v>
      </c>
      <c r="T2691" t="s">
        <v>3643</v>
      </c>
      <c r="U2691" t="s">
        <v>3630</v>
      </c>
      <c r="V2691" t="s">
        <v>10684</v>
      </c>
      <c r="W2691" s="45">
        <v>1</v>
      </c>
      <c r="X2691" s="45">
        <v>1</v>
      </c>
      <c r="Y2691" s="45">
        <v>1</v>
      </c>
      <c r="Z2691" s="45">
        <v>0</v>
      </c>
      <c r="AA2691" s="45">
        <v>0</v>
      </c>
      <c r="AB2691" s="45">
        <v>0</v>
      </c>
      <c r="AC2691" s="150">
        <v>0</v>
      </c>
      <c r="AD2691" s="150">
        <v>1</v>
      </c>
      <c r="AE2691" s="49">
        <f t="shared" si="109"/>
        <v>0.5</v>
      </c>
      <c r="AF2691" s="44"/>
      <c r="AG2691" s="17">
        <v>0</v>
      </c>
      <c r="AH2691" s="44">
        <v>0</v>
      </c>
      <c r="AI2691" s="44">
        <v>0</v>
      </c>
      <c r="AJ2691" s="44">
        <v>0</v>
      </c>
      <c r="AK2691" s="151">
        <v>0</v>
      </c>
      <c r="AL2691" s="151">
        <v>0</v>
      </c>
      <c r="AM2691" s="147">
        <f t="shared" si="108"/>
        <v>0</v>
      </c>
      <c r="AN2691" t="s">
        <v>3643</v>
      </c>
      <c r="AO2691" s="18" t="s">
        <v>3630</v>
      </c>
      <c r="AP2691" t="s">
        <v>119</v>
      </c>
    </row>
    <row r="2692" spans="1:42" customFormat="1" x14ac:dyDescent="0.3">
      <c r="A2692" s="148" t="s">
        <v>8319</v>
      </c>
      <c r="B2692" t="s">
        <v>8320</v>
      </c>
      <c r="C2692" s="148" t="s">
        <v>9410</v>
      </c>
      <c r="D2692" t="s">
        <v>9411</v>
      </c>
      <c r="E2692" s="148" t="s">
        <v>9412</v>
      </c>
      <c r="F2692" t="s">
        <v>9413</v>
      </c>
      <c r="G2692" s="148" t="s">
        <v>9448</v>
      </c>
      <c r="H2692" t="s">
        <v>9449</v>
      </c>
      <c r="I2692" s="148" t="s">
        <v>9747</v>
      </c>
      <c r="J2692" t="s">
        <v>9748</v>
      </c>
      <c r="K2692" s="148" t="s">
        <v>9749</v>
      </c>
      <c r="L2692" t="s">
        <v>9750</v>
      </c>
      <c r="M2692" s="1" t="s">
        <v>10685</v>
      </c>
      <c r="N2692" s="1"/>
      <c r="O2692" s="1">
        <v>0</v>
      </c>
      <c r="P2692" s="3">
        <v>1</v>
      </c>
      <c r="Q2692" s="3">
        <v>0</v>
      </c>
      <c r="R2692" s="3">
        <v>0</v>
      </c>
      <c r="S2692" s="3">
        <v>0</v>
      </c>
      <c r="T2692" t="s">
        <v>9755</v>
      </c>
      <c r="U2692" t="e">
        <v>#N/A</v>
      </c>
      <c r="V2692" t="s">
        <v>10686</v>
      </c>
      <c r="W2692" s="45">
        <v>1</v>
      </c>
      <c r="X2692" s="45">
        <v>1</v>
      </c>
      <c r="Y2692" s="45">
        <v>1</v>
      </c>
      <c r="Z2692" s="45">
        <v>0</v>
      </c>
      <c r="AA2692" s="45">
        <v>0</v>
      </c>
      <c r="AB2692" s="45">
        <v>0</v>
      </c>
      <c r="AC2692" s="150">
        <v>0</v>
      </c>
      <c r="AD2692" s="150">
        <v>1</v>
      </c>
      <c r="AE2692" s="49">
        <f t="shared" si="109"/>
        <v>0.5</v>
      </c>
      <c r="AF2692" s="44"/>
      <c r="AG2692" s="17">
        <v>0</v>
      </c>
      <c r="AH2692" s="44">
        <v>0</v>
      </c>
      <c r="AI2692" s="44">
        <v>0.05</v>
      </c>
      <c r="AJ2692" s="44">
        <v>0</v>
      </c>
      <c r="AK2692" s="151">
        <v>0</v>
      </c>
      <c r="AL2692" s="151">
        <v>0</v>
      </c>
      <c r="AM2692" s="147">
        <f t="shared" si="108"/>
        <v>0</v>
      </c>
      <c r="AN2692" t="s">
        <v>3643</v>
      </c>
      <c r="AO2692" s="18" t="s">
        <v>3630</v>
      </c>
      <c r="AP2692" t="s">
        <v>9757</v>
      </c>
    </row>
    <row r="2693" spans="1:42" customFormat="1" x14ac:dyDescent="0.3">
      <c r="A2693" s="148" t="s">
        <v>8319</v>
      </c>
      <c r="B2693" t="s">
        <v>8320</v>
      </c>
      <c r="C2693" s="148" t="s">
        <v>9410</v>
      </c>
      <c r="D2693" t="s">
        <v>9411</v>
      </c>
      <c r="E2693" s="148" t="s">
        <v>9412</v>
      </c>
      <c r="F2693" t="s">
        <v>9413</v>
      </c>
      <c r="G2693" s="148" t="s">
        <v>9448</v>
      </c>
      <c r="H2693" t="s">
        <v>9449</v>
      </c>
      <c r="I2693" s="148" t="s">
        <v>9763</v>
      </c>
      <c r="J2693" t="s">
        <v>9764</v>
      </c>
      <c r="K2693" s="148" t="s">
        <v>9791</v>
      </c>
      <c r="L2693" t="s">
        <v>9792</v>
      </c>
      <c r="M2693" s="1" t="s">
        <v>10687</v>
      </c>
      <c r="N2693" s="1"/>
      <c r="O2693" s="1">
        <v>0.5</v>
      </c>
      <c r="P2693" s="3">
        <v>1</v>
      </c>
      <c r="Q2693" s="3">
        <v>0</v>
      </c>
      <c r="R2693" s="3">
        <v>0</v>
      </c>
      <c r="S2693" s="3">
        <v>0</v>
      </c>
      <c r="T2693" t="s">
        <v>9794</v>
      </c>
      <c r="U2693" t="e">
        <v>#N/A</v>
      </c>
      <c r="V2693" t="s">
        <v>10688</v>
      </c>
      <c r="W2693" s="45">
        <v>1</v>
      </c>
      <c r="X2693" s="45">
        <v>1</v>
      </c>
      <c r="Y2693" s="45">
        <v>1</v>
      </c>
      <c r="Z2693" s="45">
        <v>1</v>
      </c>
      <c r="AA2693" s="45">
        <v>0</v>
      </c>
      <c r="AB2693" s="45">
        <v>0</v>
      </c>
      <c r="AC2693" s="150">
        <v>0</v>
      </c>
      <c r="AD2693" s="150">
        <v>0</v>
      </c>
      <c r="AE2693" s="49">
        <f t="shared" si="109"/>
        <v>0.5</v>
      </c>
      <c r="AF2693" s="44"/>
      <c r="AG2693" s="17">
        <v>0</v>
      </c>
      <c r="AH2693" s="44">
        <v>20</v>
      </c>
      <c r="AI2693" s="44">
        <v>10</v>
      </c>
      <c r="AJ2693" s="44">
        <v>0</v>
      </c>
      <c r="AK2693" s="151">
        <v>0</v>
      </c>
      <c r="AL2693" s="151">
        <v>0</v>
      </c>
      <c r="AM2693" s="147">
        <f t="shared" si="108"/>
        <v>0</v>
      </c>
      <c r="AN2693" t="s">
        <v>3629</v>
      </c>
      <c r="AO2693" s="18" t="s">
        <v>3630</v>
      </c>
      <c r="AP2693" t="s">
        <v>3643</v>
      </c>
    </row>
    <row r="2694" spans="1:42" customFormat="1" x14ac:dyDescent="0.3">
      <c r="A2694" s="148" t="s">
        <v>8319</v>
      </c>
      <c r="B2694" t="s">
        <v>8320</v>
      </c>
      <c r="C2694" s="148" t="s">
        <v>9410</v>
      </c>
      <c r="D2694" t="s">
        <v>9411</v>
      </c>
      <c r="E2694" s="148" t="s">
        <v>9412</v>
      </c>
      <c r="F2694" t="s">
        <v>9413</v>
      </c>
      <c r="G2694" s="148" t="s">
        <v>9448</v>
      </c>
      <c r="H2694" t="s">
        <v>9449</v>
      </c>
      <c r="I2694" s="148" t="s">
        <v>9796</v>
      </c>
      <c r="J2694" t="s">
        <v>9797</v>
      </c>
      <c r="K2694" s="148" t="s">
        <v>9798</v>
      </c>
      <c r="L2694" t="s">
        <v>9799</v>
      </c>
      <c r="M2694" s="1" t="s">
        <v>10689</v>
      </c>
      <c r="N2694" s="1"/>
      <c r="O2694" s="1">
        <v>1</v>
      </c>
      <c r="P2694" s="3">
        <v>1</v>
      </c>
      <c r="Q2694" s="3">
        <v>1</v>
      </c>
      <c r="R2694" s="3">
        <v>1</v>
      </c>
      <c r="S2694" s="3">
        <v>1</v>
      </c>
      <c r="T2694" t="s">
        <v>3643</v>
      </c>
      <c r="U2694" t="s">
        <v>3630</v>
      </c>
      <c r="V2694" t="s">
        <v>10690</v>
      </c>
      <c r="W2694" s="45">
        <v>1</v>
      </c>
      <c r="X2694" s="45">
        <v>0</v>
      </c>
      <c r="Y2694" s="45">
        <v>0</v>
      </c>
      <c r="Z2694" s="45">
        <v>1</v>
      </c>
      <c r="AA2694" s="45">
        <v>1</v>
      </c>
      <c r="AB2694" s="45">
        <v>0</v>
      </c>
      <c r="AC2694" s="150">
        <v>0</v>
      </c>
      <c r="AD2694" s="150">
        <v>1</v>
      </c>
      <c r="AE2694" s="49">
        <f t="shared" si="109"/>
        <v>0.5</v>
      </c>
      <c r="AF2694" s="44"/>
      <c r="AG2694" s="17">
        <v>0</v>
      </c>
      <c r="AH2694" s="44">
        <v>0</v>
      </c>
      <c r="AI2694" s="44">
        <v>0</v>
      </c>
      <c r="AJ2694" s="44">
        <v>0</v>
      </c>
      <c r="AK2694" s="151">
        <v>0</v>
      </c>
      <c r="AL2694" s="151">
        <v>0</v>
      </c>
      <c r="AM2694" s="147">
        <f t="shared" si="108"/>
        <v>0</v>
      </c>
      <c r="AN2694" t="s">
        <v>3643</v>
      </c>
      <c r="AO2694" s="18" t="s">
        <v>3630</v>
      </c>
      <c r="AP2694" t="s">
        <v>10691</v>
      </c>
    </row>
    <row r="2695" spans="1:42" customFormat="1" x14ac:dyDescent="0.3">
      <c r="A2695" s="148" t="s">
        <v>8319</v>
      </c>
      <c r="B2695" t="s">
        <v>8320</v>
      </c>
      <c r="C2695" s="148" t="s">
        <v>9410</v>
      </c>
      <c r="D2695" t="s">
        <v>9411</v>
      </c>
      <c r="E2695" s="148" t="s">
        <v>9412</v>
      </c>
      <c r="F2695" t="s">
        <v>9413</v>
      </c>
      <c r="G2695" s="148" t="s">
        <v>9820</v>
      </c>
      <c r="H2695" t="s">
        <v>9821</v>
      </c>
      <c r="K2695" s="155" t="s">
        <v>9822</v>
      </c>
      <c r="L2695" t="s">
        <v>9823</v>
      </c>
      <c r="M2695" s="1"/>
      <c r="N2695" s="1"/>
      <c r="O2695" s="1"/>
      <c r="P2695" s="3"/>
      <c r="Q2695" s="3"/>
      <c r="R2695" s="3"/>
      <c r="S2695" s="3"/>
      <c r="U2695" t="e">
        <v>#N/A</v>
      </c>
      <c r="V2695" t="s">
        <v>10692</v>
      </c>
      <c r="W2695" s="45">
        <v>1</v>
      </c>
      <c r="X2695" s="45">
        <v>0</v>
      </c>
      <c r="Y2695" s="45">
        <v>0</v>
      </c>
      <c r="Z2695" s="45">
        <v>1</v>
      </c>
      <c r="AA2695" s="45">
        <v>1</v>
      </c>
      <c r="AB2695" s="45">
        <v>0</v>
      </c>
      <c r="AC2695" s="150">
        <v>0</v>
      </c>
      <c r="AD2695" s="150">
        <v>1</v>
      </c>
      <c r="AE2695" s="49">
        <f t="shared" si="109"/>
        <v>0.5</v>
      </c>
      <c r="AF2695" s="44"/>
      <c r="AG2695" s="17">
        <v>0</v>
      </c>
      <c r="AH2695" s="44">
        <v>0.2</v>
      </c>
      <c r="AI2695" s="44">
        <v>0</v>
      </c>
      <c r="AJ2695" s="44">
        <v>0</v>
      </c>
      <c r="AK2695" s="151">
        <v>0</v>
      </c>
      <c r="AL2695" s="151">
        <v>0</v>
      </c>
      <c r="AM2695" s="147">
        <f t="shared" si="108"/>
        <v>0</v>
      </c>
      <c r="AN2695" t="s">
        <v>831</v>
      </c>
      <c r="AO2695" s="18" t="s">
        <v>834</v>
      </c>
      <c r="AP2695" t="s">
        <v>3643</v>
      </c>
    </row>
    <row r="2696" spans="1:42" customFormat="1" x14ac:dyDescent="0.3">
      <c r="A2696" s="148" t="s">
        <v>8319</v>
      </c>
      <c r="B2696" t="s">
        <v>8320</v>
      </c>
      <c r="C2696" s="148" t="s">
        <v>9410</v>
      </c>
      <c r="D2696" t="s">
        <v>9411</v>
      </c>
      <c r="E2696" s="148" t="s">
        <v>9412</v>
      </c>
      <c r="F2696" t="s">
        <v>9413</v>
      </c>
      <c r="G2696" s="148" t="s">
        <v>9820</v>
      </c>
      <c r="H2696" t="s">
        <v>9821</v>
      </c>
      <c r="K2696" s="155" t="s">
        <v>10693</v>
      </c>
      <c r="L2696" t="s">
        <v>10694</v>
      </c>
      <c r="M2696" s="1"/>
      <c r="N2696" s="1"/>
      <c r="O2696" s="1"/>
      <c r="P2696" s="3"/>
      <c r="Q2696" s="3"/>
      <c r="R2696" s="3"/>
      <c r="S2696" s="3"/>
      <c r="U2696" t="e">
        <v>#N/A</v>
      </c>
      <c r="V2696" t="s">
        <v>10695</v>
      </c>
      <c r="W2696" s="45">
        <v>1</v>
      </c>
      <c r="X2696" s="45">
        <v>0</v>
      </c>
      <c r="Y2696" s="45">
        <v>0</v>
      </c>
      <c r="Z2696" s="45">
        <v>1</v>
      </c>
      <c r="AA2696" s="45">
        <v>1</v>
      </c>
      <c r="AB2696" s="45">
        <v>0</v>
      </c>
      <c r="AC2696" s="150">
        <v>0</v>
      </c>
      <c r="AD2696" s="150">
        <v>1</v>
      </c>
      <c r="AE2696" s="49">
        <f t="shared" si="109"/>
        <v>0.5</v>
      </c>
      <c r="AF2696" s="17"/>
      <c r="AG2696" s="17">
        <v>0</v>
      </c>
      <c r="AH2696" s="17">
        <v>0</v>
      </c>
      <c r="AI2696" s="17">
        <v>0</v>
      </c>
      <c r="AJ2696" s="17">
        <v>0</v>
      </c>
      <c r="AK2696" s="153">
        <v>2</v>
      </c>
      <c r="AL2696" s="154">
        <v>0</v>
      </c>
      <c r="AM2696" s="147">
        <f t="shared" si="108"/>
        <v>2</v>
      </c>
      <c r="AN2696" t="s">
        <v>3643</v>
      </c>
      <c r="AO2696" s="18" t="s">
        <v>3630</v>
      </c>
      <c r="AP2696" t="s">
        <v>10696</v>
      </c>
    </row>
    <row r="2697" spans="1:42" customFormat="1" x14ac:dyDescent="0.3">
      <c r="A2697" s="148" t="s">
        <v>8319</v>
      </c>
      <c r="B2697" t="s">
        <v>8320</v>
      </c>
      <c r="C2697" s="148" t="s">
        <v>9410</v>
      </c>
      <c r="D2697" t="s">
        <v>9411</v>
      </c>
      <c r="E2697" s="148" t="s">
        <v>9412</v>
      </c>
      <c r="F2697" t="s">
        <v>9413</v>
      </c>
      <c r="G2697" s="148" t="s">
        <v>9820</v>
      </c>
      <c r="H2697" t="s">
        <v>9821</v>
      </c>
      <c r="K2697" s="155" t="s">
        <v>10693</v>
      </c>
      <c r="L2697" t="s">
        <v>10694</v>
      </c>
      <c r="M2697" s="1"/>
      <c r="N2697" s="1"/>
      <c r="O2697" s="1"/>
      <c r="P2697" s="3"/>
      <c r="Q2697" s="3"/>
      <c r="R2697" s="3"/>
      <c r="S2697" s="3"/>
      <c r="U2697" t="e">
        <v>#N/A</v>
      </c>
      <c r="V2697" t="s">
        <v>10697</v>
      </c>
      <c r="W2697" s="45">
        <v>1</v>
      </c>
      <c r="X2697" s="45">
        <v>0</v>
      </c>
      <c r="Y2697" s="45">
        <v>0</v>
      </c>
      <c r="Z2697" s="45">
        <v>1</v>
      </c>
      <c r="AA2697" s="45">
        <v>0</v>
      </c>
      <c r="AB2697" s="45">
        <v>1</v>
      </c>
      <c r="AC2697" s="150">
        <v>0</v>
      </c>
      <c r="AD2697" s="150">
        <v>1</v>
      </c>
      <c r="AE2697" s="49">
        <f t="shared" si="109"/>
        <v>0.5</v>
      </c>
      <c r="AF2697" s="17"/>
      <c r="AG2697" s="17">
        <v>0</v>
      </c>
      <c r="AH2697" s="17">
        <v>0</v>
      </c>
      <c r="AI2697" s="17">
        <v>0</v>
      </c>
      <c r="AJ2697" s="17">
        <v>0</v>
      </c>
      <c r="AK2697" s="153">
        <v>1</v>
      </c>
      <c r="AL2697" s="154">
        <v>1</v>
      </c>
      <c r="AM2697" s="147">
        <f t="shared" si="108"/>
        <v>2</v>
      </c>
      <c r="AN2697" t="s">
        <v>3643</v>
      </c>
      <c r="AO2697" s="18" t="s">
        <v>3630</v>
      </c>
      <c r="AP2697" t="s">
        <v>10698</v>
      </c>
    </row>
    <row r="2698" spans="1:42" customFormat="1" x14ac:dyDescent="0.3">
      <c r="A2698" s="148" t="s">
        <v>8319</v>
      </c>
      <c r="B2698" t="s">
        <v>8320</v>
      </c>
      <c r="C2698" s="148" t="s">
        <v>9410</v>
      </c>
      <c r="D2698" t="s">
        <v>9411</v>
      </c>
      <c r="E2698" s="148" t="s">
        <v>9412</v>
      </c>
      <c r="F2698" t="s">
        <v>9413</v>
      </c>
      <c r="G2698" s="148" t="s">
        <v>9820</v>
      </c>
      <c r="H2698" t="s">
        <v>9821</v>
      </c>
      <c r="K2698" s="155" t="s">
        <v>10699</v>
      </c>
      <c r="L2698" t="s">
        <v>10700</v>
      </c>
      <c r="M2698" s="1"/>
      <c r="N2698" s="1"/>
      <c r="O2698" s="1"/>
      <c r="P2698" s="3"/>
      <c r="Q2698" s="3"/>
      <c r="R2698" s="3"/>
      <c r="S2698" s="3"/>
      <c r="U2698" t="e">
        <v>#N/A</v>
      </c>
      <c r="V2698" t="s">
        <v>10701</v>
      </c>
      <c r="W2698" s="45">
        <v>1</v>
      </c>
      <c r="X2698" s="45">
        <v>0</v>
      </c>
      <c r="Y2698" s="45">
        <v>0</v>
      </c>
      <c r="Z2698" s="45">
        <v>1</v>
      </c>
      <c r="AA2698" s="45">
        <v>1</v>
      </c>
      <c r="AB2698" s="45">
        <v>0</v>
      </c>
      <c r="AC2698" s="150">
        <v>0</v>
      </c>
      <c r="AD2698" s="150">
        <v>1</v>
      </c>
      <c r="AE2698" s="49">
        <f t="shared" si="109"/>
        <v>0.5</v>
      </c>
      <c r="AF2698" s="17"/>
      <c r="AG2698" s="17">
        <v>0</v>
      </c>
      <c r="AH2698" s="17">
        <v>0</v>
      </c>
      <c r="AI2698" s="17">
        <v>0</v>
      </c>
      <c r="AJ2698" s="17">
        <v>0</v>
      </c>
      <c r="AK2698" s="153">
        <v>0</v>
      </c>
      <c r="AL2698" s="154">
        <v>0</v>
      </c>
      <c r="AM2698" s="147">
        <f t="shared" si="108"/>
        <v>0</v>
      </c>
      <c r="AN2698" t="s">
        <v>3643</v>
      </c>
      <c r="AO2698" s="18" t="s">
        <v>3630</v>
      </c>
      <c r="AP2698" t="s">
        <v>10702</v>
      </c>
    </row>
    <row r="2699" spans="1:42" customFormat="1" x14ac:dyDescent="0.3">
      <c r="A2699" s="148" t="s">
        <v>8319</v>
      </c>
      <c r="B2699" t="s">
        <v>8320</v>
      </c>
      <c r="C2699" s="148" t="s">
        <v>9410</v>
      </c>
      <c r="D2699" t="s">
        <v>9411</v>
      </c>
      <c r="E2699" s="148" t="s">
        <v>9412</v>
      </c>
      <c r="F2699" t="s">
        <v>9413</v>
      </c>
      <c r="G2699" s="148" t="s">
        <v>10703</v>
      </c>
      <c r="H2699" t="s">
        <v>10704</v>
      </c>
      <c r="K2699" s="148" t="s">
        <v>10705</v>
      </c>
      <c r="L2699" t="s">
        <v>10706</v>
      </c>
      <c r="M2699" s="1" t="s">
        <v>10707</v>
      </c>
      <c r="N2699" s="1">
        <v>1</v>
      </c>
      <c r="O2699" s="1">
        <v>1</v>
      </c>
      <c r="P2699" s="3">
        <v>1</v>
      </c>
      <c r="Q2699" s="3">
        <v>1</v>
      </c>
      <c r="R2699" s="3">
        <v>1</v>
      </c>
      <c r="S2699" s="3">
        <v>1</v>
      </c>
      <c r="T2699" t="s">
        <v>3643</v>
      </c>
      <c r="U2699" t="s">
        <v>3630</v>
      </c>
      <c r="V2699" t="s">
        <v>10708</v>
      </c>
      <c r="W2699" s="45">
        <v>1</v>
      </c>
      <c r="X2699" s="45">
        <v>0</v>
      </c>
      <c r="Y2699" s="45">
        <v>1</v>
      </c>
      <c r="Z2699" s="45">
        <v>1</v>
      </c>
      <c r="AA2699" s="45">
        <v>1</v>
      </c>
      <c r="AB2699" s="45">
        <v>0</v>
      </c>
      <c r="AC2699" s="150">
        <v>0</v>
      </c>
      <c r="AD2699" s="150">
        <v>0</v>
      </c>
      <c r="AE2699" s="49">
        <f t="shared" si="109"/>
        <v>0.5</v>
      </c>
      <c r="AF2699" s="17"/>
      <c r="AG2699" s="17">
        <v>0</v>
      </c>
      <c r="AH2699" s="17">
        <v>0</v>
      </c>
      <c r="AI2699" s="17">
        <v>0</v>
      </c>
      <c r="AJ2699" s="17">
        <v>0</v>
      </c>
      <c r="AK2699" s="153">
        <v>0</v>
      </c>
      <c r="AL2699" s="154">
        <v>0</v>
      </c>
      <c r="AM2699" s="147">
        <f t="shared" si="108"/>
        <v>0</v>
      </c>
      <c r="AN2699" t="s">
        <v>723</v>
      </c>
      <c r="AO2699" s="18" t="s">
        <v>729</v>
      </c>
      <c r="AP2699" t="s">
        <v>10709</v>
      </c>
    </row>
    <row r="2700" spans="1:42" customFormat="1" x14ac:dyDescent="0.3">
      <c r="A2700" s="148" t="s">
        <v>8319</v>
      </c>
      <c r="B2700" t="s">
        <v>8320</v>
      </c>
      <c r="C2700" s="148" t="s">
        <v>9496</v>
      </c>
      <c r="D2700" t="s">
        <v>9497</v>
      </c>
      <c r="E2700" s="148" t="s">
        <v>9498</v>
      </c>
      <c r="F2700" t="s">
        <v>9499</v>
      </c>
      <c r="G2700" s="148" t="s">
        <v>9500</v>
      </c>
      <c r="H2700" t="s">
        <v>9501</v>
      </c>
      <c r="K2700" s="148" t="s">
        <v>9840</v>
      </c>
      <c r="L2700" t="s">
        <v>9841</v>
      </c>
      <c r="M2700" s="1" t="s">
        <v>10710</v>
      </c>
      <c r="N2700" s="1">
        <v>17</v>
      </c>
      <c r="O2700" s="1">
        <v>17</v>
      </c>
      <c r="P2700" s="3">
        <v>17</v>
      </c>
      <c r="Q2700" s="3">
        <v>17</v>
      </c>
      <c r="R2700" s="3">
        <v>17</v>
      </c>
      <c r="S2700" s="3">
        <v>17</v>
      </c>
      <c r="T2700" t="s">
        <v>1536</v>
      </c>
      <c r="U2700" t="e">
        <v>#N/A</v>
      </c>
      <c r="V2700" t="s">
        <v>10711</v>
      </c>
      <c r="W2700" s="45">
        <v>1</v>
      </c>
      <c r="X2700" s="45">
        <v>0</v>
      </c>
      <c r="Y2700" s="45">
        <v>0</v>
      </c>
      <c r="Z2700" s="45">
        <v>1</v>
      </c>
      <c r="AA2700" s="45">
        <v>1</v>
      </c>
      <c r="AB2700" s="45">
        <v>0</v>
      </c>
      <c r="AC2700" s="150">
        <v>0</v>
      </c>
      <c r="AD2700" s="150">
        <v>1</v>
      </c>
      <c r="AE2700" s="49">
        <f t="shared" si="109"/>
        <v>0.5</v>
      </c>
      <c r="AF2700" s="44"/>
      <c r="AG2700" s="17">
        <v>0</v>
      </c>
      <c r="AH2700" s="44">
        <v>0</v>
      </c>
      <c r="AI2700" s="44">
        <v>0</v>
      </c>
      <c r="AJ2700" s="44">
        <v>0</v>
      </c>
      <c r="AK2700" s="151">
        <v>0</v>
      </c>
      <c r="AL2700" s="151">
        <v>0</v>
      </c>
      <c r="AM2700" s="147">
        <f t="shared" si="108"/>
        <v>0</v>
      </c>
      <c r="AN2700" s="18" t="s">
        <v>771</v>
      </c>
      <c r="AO2700" s="18" t="s">
        <v>773</v>
      </c>
      <c r="AP2700" t="s">
        <v>119</v>
      </c>
    </row>
    <row r="2701" spans="1:42" customFormat="1" x14ac:dyDescent="0.3">
      <c r="A2701" s="148" t="s">
        <v>8319</v>
      </c>
      <c r="B2701" t="s">
        <v>8320</v>
      </c>
      <c r="C2701" s="148" t="s">
        <v>9496</v>
      </c>
      <c r="D2701" t="s">
        <v>9497</v>
      </c>
      <c r="E2701" s="148" t="s">
        <v>9498</v>
      </c>
      <c r="F2701" t="s">
        <v>9499</v>
      </c>
      <c r="G2701" s="148" t="s">
        <v>9500</v>
      </c>
      <c r="H2701" t="s">
        <v>9501</v>
      </c>
      <c r="K2701" s="148" t="s">
        <v>9840</v>
      </c>
      <c r="L2701" t="s">
        <v>9841</v>
      </c>
      <c r="M2701" s="1" t="s">
        <v>10712</v>
      </c>
      <c r="N2701" s="1">
        <v>50</v>
      </c>
      <c r="O2701" s="1">
        <v>155</v>
      </c>
      <c r="P2701" s="3">
        <v>180</v>
      </c>
      <c r="Q2701" s="3">
        <v>210</v>
      </c>
      <c r="R2701" s="3">
        <v>265</v>
      </c>
      <c r="S2701" s="3">
        <v>325</v>
      </c>
      <c r="T2701" t="s">
        <v>1536</v>
      </c>
      <c r="U2701" t="e">
        <v>#N/A</v>
      </c>
      <c r="V2701" t="s">
        <v>10713</v>
      </c>
      <c r="W2701" s="45">
        <v>1</v>
      </c>
      <c r="X2701" s="45">
        <v>0</v>
      </c>
      <c r="Y2701" s="45">
        <v>0</v>
      </c>
      <c r="Z2701" s="45">
        <v>1</v>
      </c>
      <c r="AA2701" s="45">
        <v>1</v>
      </c>
      <c r="AB2701" s="45">
        <v>0</v>
      </c>
      <c r="AC2701" s="150">
        <v>0</v>
      </c>
      <c r="AD2701" s="150">
        <v>1</v>
      </c>
      <c r="AE2701" s="49">
        <f t="shared" si="109"/>
        <v>0.5</v>
      </c>
      <c r="AF2701" s="44"/>
      <c r="AG2701" s="17">
        <v>0</v>
      </c>
      <c r="AH2701" s="44">
        <v>0</v>
      </c>
      <c r="AI2701" s="44">
        <v>0</v>
      </c>
      <c r="AJ2701" s="44">
        <v>0</v>
      </c>
      <c r="AK2701" s="151">
        <v>0</v>
      </c>
      <c r="AL2701" s="151">
        <v>0</v>
      </c>
      <c r="AM2701" s="147">
        <f t="shared" si="108"/>
        <v>0</v>
      </c>
      <c r="AN2701" s="18" t="s">
        <v>771</v>
      </c>
      <c r="AO2701" s="18" t="s">
        <v>773</v>
      </c>
      <c r="AP2701" t="s">
        <v>119</v>
      </c>
    </row>
    <row r="2702" spans="1:42" customFormat="1" x14ac:dyDescent="0.3">
      <c r="A2702" s="148" t="s">
        <v>8319</v>
      </c>
      <c r="B2702" t="s">
        <v>8320</v>
      </c>
      <c r="C2702" s="148" t="s">
        <v>9496</v>
      </c>
      <c r="D2702" t="s">
        <v>9497</v>
      </c>
      <c r="E2702" s="148" t="s">
        <v>9498</v>
      </c>
      <c r="F2702" t="s">
        <v>9499</v>
      </c>
      <c r="G2702" s="148" t="s">
        <v>9500</v>
      </c>
      <c r="H2702" t="s">
        <v>9501</v>
      </c>
      <c r="K2702" s="148" t="s">
        <v>9840</v>
      </c>
      <c r="L2702" t="s">
        <v>9841</v>
      </c>
      <c r="M2702" s="1" t="s">
        <v>10714</v>
      </c>
      <c r="N2702" s="1">
        <v>1000</v>
      </c>
      <c r="O2702" s="1">
        <v>4000</v>
      </c>
      <c r="P2702" s="3">
        <v>5000</v>
      </c>
      <c r="Q2702" s="3">
        <v>6000</v>
      </c>
      <c r="R2702" s="3">
        <v>7000</v>
      </c>
      <c r="S2702" s="3">
        <v>8000</v>
      </c>
      <c r="T2702" t="s">
        <v>1536</v>
      </c>
      <c r="U2702" t="e">
        <v>#N/A</v>
      </c>
      <c r="V2702" t="s">
        <v>10715</v>
      </c>
      <c r="W2702" s="45">
        <v>1</v>
      </c>
      <c r="X2702" s="45">
        <v>0</v>
      </c>
      <c r="Y2702" s="45">
        <v>0</v>
      </c>
      <c r="Z2702" s="45">
        <v>1</v>
      </c>
      <c r="AA2702" s="45">
        <v>1</v>
      </c>
      <c r="AB2702" s="45">
        <v>0</v>
      </c>
      <c r="AC2702" s="150">
        <v>0</v>
      </c>
      <c r="AD2702" s="150">
        <v>1</v>
      </c>
      <c r="AE2702" s="49">
        <f t="shared" si="109"/>
        <v>0.5</v>
      </c>
      <c r="AF2702" s="44"/>
      <c r="AG2702" s="17">
        <v>0</v>
      </c>
      <c r="AH2702" s="44">
        <v>0</v>
      </c>
      <c r="AI2702" s="44">
        <v>0</v>
      </c>
      <c r="AJ2702" s="44">
        <v>0</v>
      </c>
      <c r="AK2702" s="151">
        <v>0</v>
      </c>
      <c r="AL2702" s="151">
        <v>0</v>
      </c>
      <c r="AM2702" s="147">
        <f t="shared" si="108"/>
        <v>0</v>
      </c>
      <c r="AN2702" s="18" t="s">
        <v>771</v>
      </c>
      <c r="AO2702" s="18" t="s">
        <v>773</v>
      </c>
      <c r="AP2702" t="s">
        <v>10716</v>
      </c>
    </row>
    <row r="2703" spans="1:42" customFormat="1" x14ac:dyDescent="0.3">
      <c r="A2703" s="148" t="s">
        <v>8319</v>
      </c>
      <c r="B2703" t="s">
        <v>8320</v>
      </c>
      <c r="C2703" s="148" t="s">
        <v>9496</v>
      </c>
      <c r="D2703" t="s">
        <v>9497</v>
      </c>
      <c r="E2703" s="148" t="s">
        <v>9498</v>
      </c>
      <c r="F2703" t="s">
        <v>9499</v>
      </c>
      <c r="G2703" s="148" t="s">
        <v>9500</v>
      </c>
      <c r="H2703" t="s">
        <v>9501</v>
      </c>
      <c r="K2703" s="148" t="s">
        <v>10717</v>
      </c>
      <c r="L2703" t="s">
        <v>10718</v>
      </c>
      <c r="M2703" s="1" t="s">
        <v>10719</v>
      </c>
      <c r="N2703" s="1">
        <v>150</v>
      </c>
      <c r="O2703" s="1">
        <v>450</v>
      </c>
      <c r="P2703" s="3">
        <v>450</v>
      </c>
      <c r="Q2703" s="3">
        <v>450</v>
      </c>
      <c r="R2703" s="3">
        <v>450</v>
      </c>
      <c r="S2703" s="3">
        <v>450</v>
      </c>
      <c r="T2703" t="s">
        <v>1536</v>
      </c>
      <c r="U2703" t="e">
        <v>#N/A</v>
      </c>
      <c r="V2703" t="s">
        <v>10720</v>
      </c>
      <c r="W2703" s="45">
        <v>1</v>
      </c>
      <c r="X2703" s="45">
        <v>0</v>
      </c>
      <c r="Y2703" s="45">
        <v>0</v>
      </c>
      <c r="Z2703" s="45">
        <v>1</v>
      </c>
      <c r="AA2703" s="45">
        <v>1</v>
      </c>
      <c r="AB2703" s="45">
        <v>0</v>
      </c>
      <c r="AC2703" s="150">
        <v>0</v>
      </c>
      <c r="AD2703" s="150">
        <v>1</v>
      </c>
      <c r="AE2703" s="49">
        <f t="shared" si="109"/>
        <v>0.5</v>
      </c>
      <c r="AF2703" s="44"/>
      <c r="AG2703" s="17">
        <v>0</v>
      </c>
      <c r="AH2703" s="44">
        <v>0</v>
      </c>
      <c r="AI2703" s="44">
        <v>0</v>
      </c>
      <c r="AJ2703" s="44">
        <v>0</v>
      </c>
      <c r="AK2703" s="151">
        <v>0</v>
      </c>
      <c r="AL2703" s="151">
        <v>0</v>
      </c>
      <c r="AM2703" s="147">
        <f t="shared" si="108"/>
        <v>0</v>
      </c>
      <c r="AN2703" s="18" t="s">
        <v>771</v>
      </c>
      <c r="AO2703" s="18" t="s">
        <v>773</v>
      </c>
      <c r="AP2703" t="s">
        <v>255</v>
      </c>
    </row>
    <row r="2704" spans="1:42" customFormat="1" x14ac:dyDescent="0.3">
      <c r="A2704" s="148" t="s">
        <v>8319</v>
      </c>
      <c r="B2704" t="s">
        <v>8320</v>
      </c>
      <c r="C2704" s="148" t="s">
        <v>9496</v>
      </c>
      <c r="D2704" t="s">
        <v>9497</v>
      </c>
      <c r="E2704" s="148" t="s">
        <v>9498</v>
      </c>
      <c r="F2704" t="s">
        <v>9499</v>
      </c>
      <c r="G2704" s="148" t="s">
        <v>9500</v>
      </c>
      <c r="H2704" t="s">
        <v>9501</v>
      </c>
      <c r="K2704" s="148" t="s">
        <v>10721</v>
      </c>
      <c r="L2704" t="s">
        <v>10722</v>
      </c>
      <c r="M2704" s="1" t="s">
        <v>10723</v>
      </c>
      <c r="N2704" s="1">
        <v>0</v>
      </c>
      <c r="O2704" s="1">
        <v>1</v>
      </c>
      <c r="P2704" s="3">
        <v>1</v>
      </c>
      <c r="Q2704" s="3">
        <v>1</v>
      </c>
      <c r="R2704" s="3">
        <v>1</v>
      </c>
      <c r="S2704" s="3">
        <v>1</v>
      </c>
      <c r="T2704" t="s">
        <v>1536</v>
      </c>
      <c r="U2704" t="e">
        <v>#N/A</v>
      </c>
      <c r="V2704" t="s">
        <v>10724</v>
      </c>
      <c r="W2704" s="45">
        <v>1</v>
      </c>
      <c r="X2704" s="45">
        <v>0</v>
      </c>
      <c r="Y2704" s="45">
        <v>0</v>
      </c>
      <c r="Z2704" s="45">
        <v>1</v>
      </c>
      <c r="AA2704" s="45">
        <v>1</v>
      </c>
      <c r="AB2704" s="45">
        <v>0</v>
      </c>
      <c r="AC2704" s="150">
        <v>0</v>
      </c>
      <c r="AD2704" s="150">
        <v>1</v>
      </c>
      <c r="AE2704" s="49">
        <f t="shared" si="109"/>
        <v>0.5</v>
      </c>
      <c r="AF2704" s="44"/>
      <c r="AG2704" s="17">
        <v>0</v>
      </c>
      <c r="AH2704" s="44">
        <v>0.1</v>
      </c>
      <c r="AI2704" s="44">
        <v>0.1</v>
      </c>
      <c r="AJ2704" s="44">
        <v>0.1</v>
      </c>
      <c r="AK2704" s="151">
        <v>0.1</v>
      </c>
      <c r="AL2704" s="151">
        <v>0.1</v>
      </c>
      <c r="AM2704" s="147">
        <f t="shared" si="108"/>
        <v>0.2</v>
      </c>
      <c r="AN2704" s="18" t="s">
        <v>771</v>
      </c>
      <c r="AO2704" s="18" t="s">
        <v>773</v>
      </c>
      <c r="AP2704" t="s">
        <v>10725</v>
      </c>
    </row>
    <row r="2705" spans="1:42" customFormat="1" x14ac:dyDescent="0.3">
      <c r="A2705" s="148" t="s">
        <v>8319</v>
      </c>
      <c r="B2705" t="s">
        <v>8320</v>
      </c>
      <c r="C2705" s="148" t="s">
        <v>9496</v>
      </c>
      <c r="D2705" t="s">
        <v>9497</v>
      </c>
      <c r="E2705" s="148" t="s">
        <v>9498</v>
      </c>
      <c r="F2705" t="s">
        <v>9499</v>
      </c>
      <c r="G2705" s="148" t="s">
        <v>9527</v>
      </c>
      <c r="H2705" t="s">
        <v>9528</v>
      </c>
      <c r="K2705" s="148" t="s">
        <v>9529</v>
      </c>
      <c r="L2705" t="s">
        <v>9530</v>
      </c>
      <c r="M2705" s="1" t="s">
        <v>10726</v>
      </c>
      <c r="N2705" s="1">
        <v>20522</v>
      </c>
      <c r="O2705" s="1">
        <v>2000</v>
      </c>
      <c r="P2705" s="3">
        <v>2000</v>
      </c>
      <c r="Q2705" s="3">
        <v>2000</v>
      </c>
      <c r="R2705" s="3">
        <v>2000</v>
      </c>
      <c r="S2705" s="3">
        <v>2000</v>
      </c>
      <c r="T2705" t="s">
        <v>771</v>
      </c>
      <c r="U2705" t="s">
        <v>773</v>
      </c>
      <c r="V2705" t="s">
        <v>10727</v>
      </c>
      <c r="W2705" s="45">
        <v>1</v>
      </c>
      <c r="X2705" s="45">
        <v>0</v>
      </c>
      <c r="Y2705" s="45">
        <v>0</v>
      </c>
      <c r="Z2705" s="45">
        <v>1</v>
      </c>
      <c r="AA2705" s="45">
        <v>1</v>
      </c>
      <c r="AB2705" s="45">
        <v>0</v>
      </c>
      <c r="AC2705" s="150">
        <v>0</v>
      </c>
      <c r="AD2705" s="150">
        <v>1</v>
      </c>
      <c r="AE2705" s="49">
        <f t="shared" si="109"/>
        <v>0.5</v>
      </c>
      <c r="AF2705" s="44"/>
      <c r="AG2705" s="17">
        <v>0</v>
      </c>
      <c r="AH2705" s="44">
        <v>0</v>
      </c>
      <c r="AI2705" s="44">
        <v>0.3</v>
      </c>
      <c r="AJ2705" s="44">
        <v>0.3</v>
      </c>
      <c r="AK2705" s="151">
        <v>0.3</v>
      </c>
      <c r="AL2705" s="151">
        <v>0.3</v>
      </c>
      <c r="AM2705" s="147">
        <f t="shared" si="108"/>
        <v>0.6</v>
      </c>
      <c r="AN2705" t="s">
        <v>831</v>
      </c>
      <c r="AO2705" s="18" t="s">
        <v>834</v>
      </c>
      <c r="AP2705" t="s">
        <v>9592</v>
      </c>
    </row>
    <row r="2706" spans="1:42" customFormat="1" x14ac:dyDescent="0.3">
      <c r="A2706" s="148" t="s">
        <v>8319</v>
      </c>
      <c r="B2706" t="s">
        <v>8320</v>
      </c>
      <c r="C2706" s="148" t="s">
        <v>9496</v>
      </c>
      <c r="D2706" t="s">
        <v>9497</v>
      </c>
      <c r="E2706" s="148" t="s">
        <v>9498</v>
      </c>
      <c r="F2706" t="s">
        <v>9499</v>
      </c>
      <c r="G2706" s="148" t="s">
        <v>9855</v>
      </c>
      <c r="H2706" t="s">
        <v>9856</v>
      </c>
      <c r="K2706" s="155" t="s">
        <v>10728</v>
      </c>
      <c r="L2706" t="s">
        <v>10729</v>
      </c>
      <c r="M2706" s="1" t="s">
        <v>10730</v>
      </c>
      <c r="N2706" s="1">
        <v>0</v>
      </c>
      <c r="O2706" s="1">
        <v>1</v>
      </c>
      <c r="P2706" s="3">
        <v>0</v>
      </c>
      <c r="Q2706" s="3">
        <v>0</v>
      </c>
      <c r="R2706" s="3">
        <v>0</v>
      </c>
      <c r="S2706" s="3">
        <v>0</v>
      </c>
      <c r="T2706" t="s">
        <v>771</v>
      </c>
      <c r="U2706" t="s">
        <v>773</v>
      </c>
      <c r="V2706" t="s">
        <v>10731</v>
      </c>
      <c r="W2706" s="45">
        <v>1</v>
      </c>
      <c r="X2706" s="45">
        <v>0</v>
      </c>
      <c r="Y2706" s="45">
        <v>0</v>
      </c>
      <c r="Z2706" s="45">
        <v>1</v>
      </c>
      <c r="AA2706" s="45">
        <v>1</v>
      </c>
      <c r="AB2706" s="45">
        <v>0</v>
      </c>
      <c r="AC2706" s="150">
        <v>0</v>
      </c>
      <c r="AD2706" s="150">
        <v>1</v>
      </c>
      <c r="AE2706" s="49">
        <f t="shared" si="109"/>
        <v>0.5</v>
      </c>
      <c r="AF2706" s="17"/>
      <c r="AG2706" s="17">
        <v>0</v>
      </c>
      <c r="AH2706" s="17">
        <v>0</v>
      </c>
      <c r="AI2706" s="17">
        <v>0</v>
      </c>
      <c r="AJ2706" s="17">
        <v>0</v>
      </c>
      <c r="AK2706" s="153">
        <v>0</v>
      </c>
      <c r="AL2706" s="154">
        <v>0</v>
      </c>
      <c r="AM2706" s="147">
        <f t="shared" si="108"/>
        <v>0</v>
      </c>
      <c r="AN2706" s="18" t="s">
        <v>771</v>
      </c>
      <c r="AO2706" s="18" t="s">
        <v>773</v>
      </c>
      <c r="AP2706" t="s">
        <v>10732</v>
      </c>
    </row>
    <row r="2707" spans="1:42" customFormat="1" x14ac:dyDescent="0.3">
      <c r="A2707" s="148" t="s">
        <v>8319</v>
      </c>
      <c r="B2707" t="s">
        <v>8320</v>
      </c>
      <c r="C2707" s="148" t="s">
        <v>9496</v>
      </c>
      <c r="D2707" t="s">
        <v>9497</v>
      </c>
      <c r="E2707" s="148" t="s">
        <v>9498</v>
      </c>
      <c r="F2707" t="s">
        <v>9499</v>
      </c>
      <c r="G2707" s="148" t="s">
        <v>10390</v>
      </c>
      <c r="H2707" t="s">
        <v>10391</v>
      </c>
      <c r="K2707" s="148" t="s">
        <v>10733</v>
      </c>
      <c r="L2707" t="s">
        <v>10734</v>
      </c>
      <c r="M2707" s="1" t="s">
        <v>10735</v>
      </c>
      <c r="N2707" s="1">
        <v>90</v>
      </c>
      <c r="O2707" s="1">
        <v>50</v>
      </c>
      <c r="P2707" s="3">
        <v>50</v>
      </c>
      <c r="Q2707" s="3">
        <v>50</v>
      </c>
      <c r="R2707" s="3">
        <v>5050</v>
      </c>
      <c r="S2707" s="3">
        <v>50</v>
      </c>
      <c r="T2707" t="s">
        <v>1536</v>
      </c>
      <c r="U2707" t="e">
        <v>#N/A</v>
      </c>
      <c r="V2707" t="s">
        <v>10736</v>
      </c>
      <c r="W2707" s="45">
        <v>1</v>
      </c>
      <c r="X2707" s="45">
        <v>0</v>
      </c>
      <c r="Y2707" s="45">
        <v>0</v>
      </c>
      <c r="Z2707" s="45">
        <v>1</v>
      </c>
      <c r="AA2707" s="45">
        <v>1</v>
      </c>
      <c r="AB2707" s="45">
        <v>0</v>
      </c>
      <c r="AC2707" s="150">
        <v>0</v>
      </c>
      <c r="AD2707" s="150">
        <v>1</v>
      </c>
      <c r="AE2707" s="49">
        <f t="shared" si="109"/>
        <v>0.5</v>
      </c>
      <c r="AF2707" s="44"/>
      <c r="AG2707" s="17">
        <v>0</v>
      </c>
      <c r="AH2707" s="44">
        <v>0.5</v>
      </c>
      <c r="AI2707" s="44">
        <v>0.5</v>
      </c>
      <c r="AJ2707" s="44">
        <v>0.5</v>
      </c>
      <c r="AK2707" s="151">
        <v>0.5</v>
      </c>
      <c r="AL2707" s="151">
        <v>0.5</v>
      </c>
      <c r="AM2707" s="147">
        <f t="shared" si="108"/>
        <v>1</v>
      </c>
      <c r="AN2707" s="18" t="s">
        <v>771</v>
      </c>
      <c r="AO2707" s="18" t="s">
        <v>773</v>
      </c>
      <c r="AP2707" t="s">
        <v>255</v>
      </c>
    </row>
    <row r="2708" spans="1:42" customFormat="1" x14ac:dyDescent="0.3">
      <c r="A2708" s="148" t="s">
        <v>8319</v>
      </c>
      <c r="B2708" t="s">
        <v>8320</v>
      </c>
      <c r="C2708" s="148" t="s">
        <v>9496</v>
      </c>
      <c r="D2708" t="s">
        <v>9497</v>
      </c>
      <c r="E2708" s="148" t="s">
        <v>9498</v>
      </c>
      <c r="F2708" t="s">
        <v>9499</v>
      </c>
      <c r="G2708" s="148" t="s">
        <v>10390</v>
      </c>
      <c r="H2708" t="s">
        <v>10391</v>
      </c>
      <c r="K2708" s="148" t="s">
        <v>10737</v>
      </c>
      <c r="L2708" t="s">
        <v>10738</v>
      </c>
      <c r="M2708" s="1" t="s">
        <v>10739</v>
      </c>
      <c r="N2708" s="1">
        <v>4000</v>
      </c>
      <c r="O2708" s="1">
        <v>5000</v>
      </c>
      <c r="P2708" s="3">
        <v>6000</v>
      </c>
      <c r="Q2708" s="3">
        <v>6000</v>
      </c>
      <c r="R2708" s="3">
        <v>7000</v>
      </c>
      <c r="S2708" s="3">
        <v>8000</v>
      </c>
      <c r="T2708" t="s">
        <v>1536</v>
      </c>
      <c r="U2708" t="e">
        <v>#N/A</v>
      </c>
      <c r="V2708" t="s">
        <v>10740</v>
      </c>
      <c r="W2708" s="45">
        <v>1</v>
      </c>
      <c r="X2708" s="45">
        <v>0</v>
      </c>
      <c r="Y2708" s="45">
        <v>0</v>
      </c>
      <c r="Z2708" s="45">
        <v>1</v>
      </c>
      <c r="AA2708" s="45">
        <v>1</v>
      </c>
      <c r="AB2708" s="45">
        <v>0</v>
      </c>
      <c r="AC2708" s="150">
        <v>0</v>
      </c>
      <c r="AD2708" s="150">
        <v>1</v>
      </c>
      <c r="AE2708" s="49">
        <f t="shared" si="109"/>
        <v>0.5</v>
      </c>
      <c r="AF2708" s="44"/>
      <c r="AG2708" s="17">
        <v>0</v>
      </c>
      <c r="AH2708" s="44">
        <v>0.5</v>
      </c>
      <c r="AI2708" s="44">
        <v>0.5</v>
      </c>
      <c r="AJ2708" s="44">
        <v>0.5</v>
      </c>
      <c r="AK2708" s="151">
        <v>0.5</v>
      </c>
      <c r="AL2708" s="151">
        <v>0.5</v>
      </c>
      <c r="AM2708" s="147">
        <f t="shared" si="108"/>
        <v>1</v>
      </c>
      <c r="AN2708" s="18" t="s">
        <v>771</v>
      </c>
      <c r="AO2708" s="18" t="s">
        <v>773</v>
      </c>
      <c r="AP2708" t="s">
        <v>255</v>
      </c>
    </row>
    <row r="2709" spans="1:42" customFormat="1" x14ac:dyDescent="0.3">
      <c r="A2709" s="148" t="s">
        <v>8319</v>
      </c>
      <c r="B2709" t="s">
        <v>8320</v>
      </c>
      <c r="C2709" s="148" t="s">
        <v>9496</v>
      </c>
      <c r="D2709" t="s">
        <v>9497</v>
      </c>
      <c r="E2709" s="148" t="s">
        <v>9498</v>
      </c>
      <c r="F2709" t="s">
        <v>9499</v>
      </c>
      <c r="G2709" s="148" t="s">
        <v>10049</v>
      </c>
      <c r="H2709" t="s">
        <v>10050</v>
      </c>
      <c r="K2709" s="148" t="s">
        <v>10741</v>
      </c>
      <c r="L2709" t="s">
        <v>10742</v>
      </c>
      <c r="M2709" s="1" t="s">
        <v>10743</v>
      </c>
      <c r="N2709" s="1">
        <v>6</v>
      </c>
      <c r="O2709" s="1">
        <v>1</v>
      </c>
      <c r="P2709" s="3">
        <v>1</v>
      </c>
      <c r="Q2709" s="3">
        <v>1</v>
      </c>
      <c r="R2709" s="3">
        <v>1</v>
      </c>
      <c r="S2709" s="3">
        <v>1</v>
      </c>
      <c r="T2709" t="s">
        <v>10744</v>
      </c>
      <c r="U2709" t="e">
        <v>#N/A</v>
      </c>
      <c r="V2709" t="s">
        <v>10745</v>
      </c>
      <c r="W2709" s="45">
        <v>1</v>
      </c>
      <c r="X2709" s="45">
        <v>0</v>
      </c>
      <c r="Y2709" s="45">
        <v>0</v>
      </c>
      <c r="Z2709" s="45">
        <v>1</v>
      </c>
      <c r="AA2709" s="45">
        <v>1</v>
      </c>
      <c r="AB2709" s="45">
        <v>0</v>
      </c>
      <c r="AC2709" s="150">
        <v>0</v>
      </c>
      <c r="AD2709" s="150">
        <v>1</v>
      </c>
      <c r="AE2709" s="49">
        <f t="shared" si="109"/>
        <v>0.5</v>
      </c>
      <c r="AF2709" s="44"/>
      <c r="AG2709" s="17">
        <v>0</v>
      </c>
      <c r="AH2709" s="44">
        <v>7.0000000000000007E-2</v>
      </c>
      <c r="AI2709" s="44">
        <v>7.0000000000000007E-2</v>
      </c>
      <c r="AJ2709" s="44">
        <v>7.0000000000000007E-2</v>
      </c>
      <c r="AK2709" s="151">
        <v>7.0000000000000007E-2</v>
      </c>
      <c r="AL2709" s="151">
        <v>7.0000000000000007E-2</v>
      </c>
      <c r="AM2709" s="147">
        <f t="shared" si="108"/>
        <v>0.14000000000000001</v>
      </c>
      <c r="AN2709" s="18" t="s">
        <v>771</v>
      </c>
      <c r="AO2709" s="18" t="s">
        <v>773</v>
      </c>
      <c r="AP2709" t="s">
        <v>10746</v>
      </c>
    </row>
    <row r="2710" spans="1:42" customFormat="1" x14ac:dyDescent="0.3">
      <c r="A2710" s="148" t="s">
        <v>8319</v>
      </c>
      <c r="B2710" t="s">
        <v>8320</v>
      </c>
      <c r="C2710" s="148" t="s">
        <v>9496</v>
      </c>
      <c r="D2710" t="s">
        <v>9497</v>
      </c>
      <c r="E2710" s="148" t="s">
        <v>9498</v>
      </c>
      <c r="F2710" t="s">
        <v>9499</v>
      </c>
      <c r="G2710" s="148" t="s">
        <v>10049</v>
      </c>
      <c r="H2710" t="s">
        <v>10050</v>
      </c>
      <c r="K2710" s="148" t="s">
        <v>10741</v>
      </c>
      <c r="L2710" t="s">
        <v>10742</v>
      </c>
      <c r="M2710" s="1" t="s">
        <v>10747</v>
      </c>
      <c r="N2710" s="1" t="s">
        <v>271</v>
      </c>
      <c r="O2710" s="1">
        <v>1370</v>
      </c>
      <c r="P2710" s="3">
        <v>1370</v>
      </c>
      <c r="Q2710" s="3">
        <v>1370</v>
      </c>
      <c r="R2710" s="3">
        <v>1370</v>
      </c>
      <c r="S2710" s="3">
        <v>1370</v>
      </c>
      <c r="T2710" t="s">
        <v>1536</v>
      </c>
      <c r="U2710" t="e">
        <v>#N/A</v>
      </c>
      <c r="V2710" t="s">
        <v>10748</v>
      </c>
      <c r="W2710" s="45">
        <v>1</v>
      </c>
      <c r="X2710" s="45">
        <v>0</v>
      </c>
      <c r="Y2710" s="45">
        <v>0</v>
      </c>
      <c r="Z2710" s="45">
        <v>1</v>
      </c>
      <c r="AA2710" s="45">
        <v>1</v>
      </c>
      <c r="AB2710" s="45">
        <v>0</v>
      </c>
      <c r="AC2710" s="150">
        <v>0</v>
      </c>
      <c r="AD2710" s="150">
        <v>1</v>
      </c>
      <c r="AE2710" s="49">
        <f t="shared" si="109"/>
        <v>0.5</v>
      </c>
      <c r="AF2710" s="44"/>
      <c r="AG2710" s="17">
        <v>0</v>
      </c>
      <c r="AH2710" s="44">
        <v>0.1</v>
      </c>
      <c r="AI2710" s="44">
        <v>0.1</v>
      </c>
      <c r="AJ2710" s="44">
        <v>0.1</v>
      </c>
      <c r="AK2710" s="151">
        <v>0.1</v>
      </c>
      <c r="AL2710" s="151">
        <v>0.1</v>
      </c>
      <c r="AM2710" s="147">
        <f t="shared" si="108"/>
        <v>0.2</v>
      </c>
      <c r="AN2710" s="18" t="s">
        <v>771</v>
      </c>
      <c r="AO2710" s="18" t="s">
        <v>773</v>
      </c>
      <c r="AP2710" t="s">
        <v>10746</v>
      </c>
    </row>
    <row r="2711" spans="1:42" customFormat="1" x14ac:dyDescent="0.3">
      <c r="A2711" s="148" t="s">
        <v>8319</v>
      </c>
      <c r="B2711" t="s">
        <v>8320</v>
      </c>
      <c r="C2711" s="148" t="s">
        <v>9496</v>
      </c>
      <c r="D2711" t="s">
        <v>9497</v>
      </c>
      <c r="E2711" s="148" t="s">
        <v>9498</v>
      </c>
      <c r="F2711" t="s">
        <v>9499</v>
      </c>
      <c r="G2711" s="148" t="s">
        <v>9546</v>
      </c>
      <c r="H2711" t="s">
        <v>9547</v>
      </c>
      <c r="K2711" s="148" t="s">
        <v>10749</v>
      </c>
      <c r="L2711" t="s">
        <v>10750</v>
      </c>
      <c r="M2711" s="1" t="s">
        <v>10751</v>
      </c>
      <c r="N2711" s="1">
        <v>0</v>
      </c>
      <c r="O2711" s="1">
        <v>1</v>
      </c>
      <c r="P2711" s="3">
        <v>0</v>
      </c>
      <c r="Q2711" s="3">
        <v>0</v>
      </c>
      <c r="R2711" s="3">
        <v>0</v>
      </c>
      <c r="S2711" s="3">
        <v>0</v>
      </c>
      <c r="T2711" t="s">
        <v>771</v>
      </c>
      <c r="U2711" t="s">
        <v>773</v>
      </c>
      <c r="V2711" t="s">
        <v>10752</v>
      </c>
      <c r="W2711" s="45">
        <v>1</v>
      </c>
      <c r="X2711" s="45">
        <v>0</v>
      </c>
      <c r="Y2711" s="45">
        <v>0</v>
      </c>
      <c r="Z2711" s="45">
        <v>1</v>
      </c>
      <c r="AA2711" s="45">
        <v>1</v>
      </c>
      <c r="AB2711" s="45">
        <v>0</v>
      </c>
      <c r="AC2711" s="150">
        <v>0</v>
      </c>
      <c r="AD2711" s="150">
        <v>1</v>
      </c>
      <c r="AE2711" s="49">
        <f t="shared" si="109"/>
        <v>0.5</v>
      </c>
      <c r="AF2711" s="44"/>
      <c r="AG2711" s="17">
        <v>0</v>
      </c>
      <c r="AH2711" s="44">
        <v>0.09</v>
      </c>
      <c r="AI2711" s="44">
        <v>0.09</v>
      </c>
      <c r="AJ2711" s="44">
        <v>0.1</v>
      </c>
      <c r="AK2711" s="151">
        <v>0.1</v>
      </c>
      <c r="AL2711" s="151">
        <v>0.11</v>
      </c>
      <c r="AM2711" s="147">
        <f t="shared" si="108"/>
        <v>0.21000000000000002</v>
      </c>
      <c r="AN2711" s="18" t="s">
        <v>771</v>
      </c>
      <c r="AO2711" s="18" t="s">
        <v>773</v>
      </c>
      <c r="AP2711" t="s">
        <v>119</v>
      </c>
    </row>
    <row r="2712" spans="1:42" customFormat="1" x14ac:dyDescent="0.3">
      <c r="A2712" s="148" t="s">
        <v>8319</v>
      </c>
      <c r="B2712" t="s">
        <v>8320</v>
      </c>
      <c r="C2712" s="148" t="s">
        <v>9496</v>
      </c>
      <c r="D2712" t="s">
        <v>9497</v>
      </c>
      <c r="E2712" s="148" t="s">
        <v>9498</v>
      </c>
      <c r="F2712" t="s">
        <v>9499</v>
      </c>
      <c r="G2712" s="148" t="s">
        <v>9546</v>
      </c>
      <c r="H2712" t="s">
        <v>9547</v>
      </c>
      <c r="K2712" s="148" t="s">
        <v>10753</v>
      </c>
      <c r="L2712" t="s">
        <v>10754</v>
      </c>
      <c r="M2712" s="1"/>
      <c r="N2712" s="1"/>
      <c r="O2712" s="1"/>
      <c r="P2712" s="3"/>
      <c r="Q2712" s="3"/>
      <c r="R2712" s="3"/>
      <c r="S2712" s="3"/>
      <c r="U2712" t="e">
        <v>#N/A</v>
      </c>
      <c r="V2712" t="s">
        <v>10755</v>
      </c>
      <c r="W2712" s="45">
        <v>1</v>
      </c>
      <c r="X2712" s="45">
        <v>0</v>
      </c>
      <c r="Y2712" s="45">
        <v>0</v>
      </c>
      <c r="Z2712" s="45">
        <v>1</v>
      </c>
      <c r="AA2712" s="45">
        <v>1</v>
      </c>
      <c r="AB2712" s="45">
        <v>0</v>
      </c>
      <c r="AC2712" s="150">
        <v>0</v>
      </c>
      <c r="AD2712" s="150">
        <v>1</v>
      </c>
      <c r="AE2712" s="49">
        <f t="shared" si="109"/>
        <v>0.5</v>
      </c>
      <c r="AF2712" s="44"/>
      <c r="AG2712" s="17">
        <v>0</v>
      </c>
      <c r="AH2712" s="44">
        <v>0.1</v>
      </c>
      <c r="AI2712" s="44">
        <v>0.1</v>
      </c>
      <c r="AJ2712" s="44">
        <v>0.1</v>
      </c>
      <c r="AK2712" s="151">
        <v>0.1</v>
      </c>
      <c r="AL2712" s="151">
        <v>0.1</v>
      </c>
      <c r="AM2712" s="147">
        <f t="shared" si="108"/>
        <v>0.2</v>
      </c>
      <c r="AN2712" s="18" t="s">
        <v>771</v>
      </c>
      <c r="AO2712" s="18" t="s">
        <v>773</v>
      </c>
      <c r="AP2712" t="s">
        <v>119</v>
      </c>
    </row>
    <row r="2713" spans="1:42" customFormat="1" x14ac:dyDescent="0.3">
      <c r="A2713" s="148" t="s">
        <v>8319</v>
      </c>
      <c r="B2713" t="s">
        <v>8320</v>
      </c>
      <c r="C2713" s="148" t="s">
        <v>9496</v>
      </c>
      <c r="D2713" t="s">
        <v>9497</v>
      </c>
      <c r="E2713" s="148" t="s">
        <v>9498</v>
      </c>
      <c r="F2713" t="s">
        <v>9499</v>
      </c>
      <c r="G2713" s="148" t="s">
        <v>9546</v>
      </c>
      <c r="H2713" t="s">
        <v>9547</v>
      </c>
      <c r="K2713" s="148" t="s">
        <v>10753</v>
      </c>
      <c r="L2713" t="s">
        <v>10754</v>
      </c>
      <c r="M2713" s="1"/>
      <c r="N2713" s="1"/>
      <c r="O2713" s="1"/>
      <c r="P2713" s="3"/>
      <c r="Q2713" s="3"/>
      <c r="R2713" s="3"/>
      <c r="S2713" s="3"/>
      <c r="U2713" t="e">
        <v>#N/A</v>
      </c>
      <c r="V2713" t="s">
        <v>10756</v>
      </c>
      <c r="W2713" s="45">
        <v>1</v>
      </c>
      <c r="X2713" s="45">
        <v>0</v>
      </c>
      <c r="Y2713" s="45">
        <v>0</v>
      </c>
      <c r="Z2713" s="45">
        <v>1</v>
      </c>
      <c r="AA2713" s="45">
        <v>1</v>
      </c>
      <c r="AB2713" s="45">
        <v>0</v>
      </c>
      <c r="AC2713" s="150">
        <v>0</v>
      </c>
      <c r="AD2713" s="150">
        <v>1</v>
      </c>
      <c r="AE2713" s="49">
        <f t="shared" si="109"/>
        <v>0.5</v>
      </c>
      <c r="AF2713" s="44"/>
      <c r="AG2713" s="17">
        <v>0</v>
      </c>
      <c r="AH2713" s="44">
        <v>0.01</v>
      </c>
      <c r="AI2713" s="44">
        <v>0.01</v>
      </c>
      <c r="AJ2713" s="44">
        <v>0.01</v>
      </c>
      <c r="AK2713" s="151">
        <v>0.01</v>
      </c>
      <c r="AL2713" s="151">
        <v>0.01</v>
      </c>
      <c r="AM2713" s="147">
        <f t="shared" si="108"/>
        <v>0.02</v>
      </c>
      <c r="AN2713" s="18" t="s">
        <v>771</v>
      </c>
      <c r="AO2713" s="18" t="s">
        <v>773</v>
      </c>
      <c r="AP2713" t="s">
        <v>119</v>
      </c>
    </row>
    <row r="2714" spans="1:42" customFormat="1" x14ac:dyDescent="0.3">
      <c r="A2714" s="148" t="s">
        <v>8319</v>
      </c>
      <c r="B2714" t="s">
        <v>8320</v>
      </c>
      <c r="C2714" s="148" t="s">
        <v>9496</v>
      </c>
      <c r="D2714" t="s">
        <v>9497</v>
      </c>
      <c r="E2714" s="148" t="s">
        <v>9498</v>
      </c>
      <c r="F2714" t="s">
        <v>9499</v>
      </c>
      <c r="G2714" s="148" t="s">
        <v>9546</v>
      </c>
      <c r="H2714" t="s">
        <v>9547</v>
      </c>
      <c r="K2714" s="148" t="s">
        <v>10753</v>
      </c>
      <c r="L2714" t="s">
        <v>10754</v>
      </c>
      <c r="M2714" s="1"/>
      <c r="N2714" s="1"/>
      <c r="O2714" s="1"/>
      <c r="P2714" s="3"/>
      <c r="Q2714" s="3"/>
      <c r="R2714" s="3"/>
      <c r="S2714" s="3"/>
      <c r="U2714" t="e">
        <v>#N/A</v>
      </c>
      <c r="V2714" t="s">
        <v>10757</v>
      </c>
      <c r="W2714" s="45">
        <v>1</v>
      </c>
      <c r="X2714" s="45">
        <v>0</v>
      </c>
      <c r="Y2714" s="45">
        <v>0</v>
      </c>
      <c r="Z2714" s="45">
        <v>1</v>
      </c>
      <c r="AA2714" s="45">
        <v>1</v>
      </c>
      <c r="AB2714" s="45">
        <v>0</v>
      </c>
      <c r="AC2714" s="150">
        <v>0</v>
      </c>
      <c r="AD2714" s="150">
        <v>1</v>
      </c>
      <c r="AE2714" s="49">
        <f t="shared" si="109"/>
        <v>0.5</v>
      </c>
      <c r="AF2714" s="44"/>
      <c r="AG2714" s="17">
        <v>0</v>
      </c>
      <c r="AH2714" s="44">
        <v>0.1</v>
      </c>
      <c r="AI2714" s="44">
        <v>0.1</v>
      </c>
      <c r="AJ2714" s="44">
        <v>0.1</v>
      </c>
      <c r="AK2714" s="151">
        <v>0.1</v>
      </c>
      <c r="AL2714" s="151">
        <v>0.1</v>
      </c>
      <c r="AM2714" s="147">
        <f t="shared" si="108"/>
        <v>0.2</v>
      </c>
      <c r="AN2714" s="18" t="s">
        <v>771</v>
      </c>
      <c r="AO2714" s="18" t="s">
        <v>773</v>
      </c>
      <c r="AP2714" t="s">
        <v>119</v>
      </c>
    </row>
    <row r="2715" spans="1:42" customFormat="1" x14ac:dyDescent="0.3">
      <c r="A2715" s="148" t="s">
        <v>8319</v>
      </c>
      <c r="B2715" t="s">
        <v>8320</v>
      </c>
      <c r="C2715" s="148" t="s">
        <v>9344</v>
      </c>
      <c r="D2715" t="s">
        <v>9345</v>
      </c>
      <c r="E2715" s="148" t="s">
        <v>10414</v>
      </c>
      <c r="F2715" t="s">
        <v>10415</v>
      </c>
      <c r="G2715" s="148" t="s">
        <v>10416</v>
      </c>
      <c r="H2715" t="s">
        <v>10417</v>
      </c>
      <c r="K2715" s="148" t="s">
        <v>10758</v>
      </c>
      <c r="L2715" t="s">
        <v>10759</v>
      </c>
      <c r="M2715" s="1" t="s">
        <v>10760</v>
      </c>
      <c r="N2715" s="1" t="s">
        <v>271</v>
      </c>
      <c r="O2715" s="1" t="s">
        <v>271</v>
      </c>
      <c r="P2715" s="3">
        <v>528</v>
      </c>
      <c r="Q2715" s="3">
        <v>528</v>
      </c>
      <c r="R2715" s="3">
        <v>528</v>
      </c>
      <c r="S2715" s="3">
        <v>528</v>
      </c>
      <c r="T2715" t="s">
        <v>255</v>
      </c>
      <c r="U2715" t="s">
        <v>1045</v>
      </c>
      <c r="V2715" t="s">
        <v>10761</v>
      </c>
      <c r="W2715" s="45">
        <v>1</v>
      </c>
      <c r="X2715" s="45">
        <v>0</v>
      </c>
      <c r="Y2715" s="45">
        <v>1</v>
      </c>
      <c r="Z2715" s="45">
        <v>1</v>
      </c>
      <c r="AA2715" s="45">
        <v>1</v>
      </c>
      <c r="AB2715" s="45">
        <v>0</v>
      </c>
      <c r="AC2715" s="150">
        <v>0</v>
      </c>
      <c r="AD2715" s="150">
        <v>0</v>
      </c>
      <c r="AE2715" s="49">
        <f t="shared" si="109"/>
        <v>0.5</v>
      </c>
      <c r="AF2715" s="17"/>
      <c r="AG2715" s="17">
        <v>0</v>
      </c>
      <c r="AH2715" s="17">
        <v>0</v>
      </c>
      <c r="AI2715" s="44">
        <v>0.5</v>
      </c>
      <c r="AJ2715" s="44">
        <v>4.4000000000000004</v>
      </c>
      <c r="AK2715" s="151">
        <v>4.4000000000000004</v>
      </c>
      <c r="AL2715" s="151">
        <v>4.4000000000000004</v>
      </c>
      <c r="AM2715" s="147">
        <f t="shared" si="108"/>
        <v>8.8000000000000007</v>
      </c>
      <c r="AN2715" s="18" t="s">
        <v>255</v>
      </c>
      <c r="AO2715" s="18" t="s">
        <v>1045</v>
      </c>
      <c r="AP2715" t="s">
        <v>119</v>
      </c>
    </row>
    <row r="2716" spans="1:42" customFormat="1" x14ac:dyDescent="0.3">
      <c r="A2716" s="148" t="s">
        <v>8319</v>
      </c>
      <c r="B2716" t="s">
        <v>8320</v>
      </c>
      <c r="C2716" s="148" t="s">
        <v>9344</v>
      </c>
      <c r="D2716" t="s">
        <v>9345</v>
      </c>
      <c r="E2716" s="148" t="s">
        <v>10414</v>
      </c>
      <c r="F2716" t="s">
        <v>10415</v>
      </c>
      <c r="G2716" s="148" t="s">
        <v>10429</v>
      </c>
      <c r="H2716" t="s">
        <v>10430</v>
      </c>
      <c r="K2716" s="148" t="s">
        <v>10762</v>
      </c>
      <c r="L2716" t="s">
        <v>10763</v>
      </c>
      <c r="M2716" s="1" t="s">
        <v>10764</v>
      </c>
      <c r="N2716" s="1" t="s">
        <v>119</v>
      </c>
      <c r="O2716" s="1">
        <v>70</v>
      </c>
      <c r="P2716" s="3">
        <v>77</v>
      </c>
      <c r="Q2716" s="3">
        <v>85</v>
      </c>
      <c r="R2716" s="3">
        <v>90</v>
      </c>
      <c r="S2716" s="3">
        <v>100</v>
      </c>
      <c r="T2716" t="s">
        <v>10765</v>
      </c>
      <c r="U2716" t="e">
        <v>#N/A</v>
      </c>
      <c r="V2716" t="s">
        <v>10766</v>
      </c>
      <c r="W2716" s="45">
        <v>1</v>
      </c>
      <c r="X2716" s="45">
        <v>0</v>
      </c>
      <c r="Y2716" s="45">
        <v>0</v>
      </c>
      <c r="Z2716" s="45">
        <v>1</v>
      </c>
      <c r="AA2716" s="45">
        <v>1</v>
      </c>
      <c r="AB2716" s="45">
        <v>0</v>
      </c>
      <c r="AC2716" s="150">
        <v>0</v>
      </c>
      <c r="AD2716" s="150">
        <v>1</v>
      </c>
      <c r="AE2716" s="49">
        <f t="shared" si="109"/>
        <v>0.5</v>
      </c>
      <c r="AF2716" s="17"/>
      <c r="AG2716" s="17">
        <v>0</v>
      </c>
      <c r="AH2716" s="17">
        <v>0</v>
      </c>
      <c r="AI2716" s="17">
        <v>0</v>
      </c>
      <c r="AJ2716" s="44">
        <v>0.5</v>
      </c>
      <c r="AK2716" s="151">
        <v>0.5</v>
      </c>
      <c r="AL2716" s="151">
        <v>0.5</v>
      </c>
      <c r="AM2716" s="147">
        <f t="shared" si="108"/>
        <v>1</v>
      </c>
      <c r="AN2716" s="44" t="s">
        <v>723</v>
      </c>
      <c r="AO2716" s="18" t="s">
        <v>729</v>
      </c>
      <c r="AP2716" t="s">
        <v>10448</v>
      </c>
    </row>
    <row r="2717" spans="1:42" customFormat="1" x14ac:dyDescent="0.3">
      <c r="A2717" s="148" t="s">
        <v>8319</v>
      </c>
      <c r="B2717" t="s">
        <v>8320</v>
      </c>
      <c r="C2717" s="148" t="s">
        <v>9344</v>
      </c>
      <c r="D2717" t="s">
        <v>9345</v>
      </c>
      <c r="E2717" s="148" t="s">
        <v>10414</v>
      </c>
      <c r="F2717" t="s">
        <v>10415</v>
      </c>
      <c r="G2717" s="148" t="s">
        <v>10767</v>
      </c>
      <c r="H2717" t="s">
        <v>10768</v>
      </c>
      <c r="K2717" s="148" t="s">
        <v>10769</v>
      </c>
      <c r="L2717" t="s">
        <v>10770</v>
      </c>
      <c r="M2717" s="1" t="s">
        <v>10771</v>
      </c>
      <c r="N2717" s="1" t="s">
        <v>119</v>
      </c>
      <c r="O2717" s="1" t="s">
        <v>271</v>
      </c>
      <c r="P2717" s="3" t="s">
        <v>271</v>
      </c>
      <c r="Q2717" s="3" t="s">
        <v>271</v>
      </c>
      <c r="R2717" s="3">
        <v>1</v>
      </c>
      <c r="S2717" s="3"/>
      <c r="T2717" t="s">
        <v>10772</v>
      </c>
      <c r="U2717" t="e">
        <v>#N/A</v>
      </c>
      <c r="V2717" t="s">
        <v>10773</v>
      </c>
      <c r="W2717" s="45">
        <v>1</v>
      </c>
      <c r="X2717" s="45">
        <v>0</v>
      </c>
      <c r="Y2717" s="45">
        <v>0</v>
      </c>
      <c r="Z2717" s="45">
        <v>1</v>
      </c>
      <c r="AA2717" s="45">
        <v>1</v>
      </c>
      <c r="AB2717" s="45">
        <v>0</v>
      </c>
      <c r="AC2717" s="150">
        <v>0</v>
      </c>
      <c r="AD2717" s="150">
        <v>1</v>
      </c>
      <c r="AE2717" s="49">
        <f t="shared" si="109"/>
        <v>0.5</v>
      </c>
      <c r="AF2717" s="44"/>
      <c r="AG2717" s="17">
        <v>0</v>
      </c>
      <c r="AH2717" s="44">
        <v>0</v>
      </c>
      <c r="AI2717" s="44">
        <v>0.5</v>
      </c>
      <c r="AJ2717" s="44">
        <v>0.2</v>
      </c>
      <c r="AK2717" s="151">
        <v>0</v>
      </c>
      <c r="AL2717" s="151">
        <v>0</v>
      </c>
      <c r="AM2717" s="147">
        <f t="shared" si="108"/>
        <v>0</v>
      </c>
      <c r="AN2717" t="s">
        <v>723</v>
      </c>
      <c r="AO2717" s="18" t="s">
        <v>729</v>
      </c>
      <c r="AP2717" t="s">
        <v>10448</v>
      </c>
    </row>
    <row r="2718" spans="1:42" customFormat="1" x14ac:dyDescent="0.3">
      <c r="A2718" s="148" t="s">
        <v>8319</v>
      </c>
      <c r="B2718" t="s">
        <v>8320</v>
      </c>
      <c r="C2718" s="148" t="s">
        <v>9344</v>
      </c>
      <c r="D2718" t="s">
        <v>9345</v>
      </c>
      <c r="E2718" s="148" t="s">
        <v>10414</v>
      </c>
      <c r="F2718" t="s">
        <v>10415</v>
      </c>
      <c r="G2718" s="148" t="s">
        <v>10767</v>
      </c>
      <c r="H2718" t="s">
        <v>10768</v>
      </c>
      <c r="K2718" s="148" t="s">
        <v>10774</v>
      </c>
      <c r="L2718" t="s">
        <v>10775</v>
      </c>
      <c r="M2718" s="1" t="s">
        <v>10776</v>
      </c>
      <c r="N2718" s="1">
        <v>3</v>
      </c>
      <c r="O2718" s="1">
        <v>0</v>
      </c>
      <c r="P2718" s="3">
        <v>1</v>
      </c>
      <c r="Q2718" s="3">
        <v>1</v>
      </c>
      <c r="R2718" s="3">
        <v>0</v>
      </c>
      <c r="S2718" s="3">
        <v>1</v>
      </c>
      <c r="T2718" t="s">
        <v>10777</v>
      </c>
      <c r="U2718" t="e">
        <v>#N/A</v>
      </c>
      <c r="V2718" t="s">
        <v>10778</v>
      </c>
      <c r="W2718" s="45">
        <v>1</v>
      </c>
      <c r="X2718" s="45">
        <v>0</v>
      </c>
      <c r="Y2718" s="45">
        <v>0</v>
      </c>
      <c r="Z2718" s="45">
        <v>1</v>
      </c>
      <c r="AA2718" s="45">
        <v>1</v>
      </c>
      <c r="AB2718" s="45">
        <v>0</v>
      </c>
      <c r="AC2718" s="150">
        <v>0</v>
      </c>
      <c r="AD2718" s="150">
        <v>1</v>
      </c>
      <c r="AE2718" s="49">
        <f t="shared" si="109"/>
        <v>0.5</v>
      </c>
      <c r="AF2718" s="44"/>
      <c r="AG2718" s="17">
        <v>0</v>
      </c>
      <c r="AH2718" s="44">
        <v>0</v>
      </c>
      <c r="AI2718" s="44">
        <v>1</v>
      </c>
      <c r="AJ2718" s="44">
        <v>1</v>
      </c>
      <c r="AK2718" s="151">
        <v>1</v>
      </c>
      <c r="AL2718" s="151">
        <v>1</v>
      </c>
      <c r="AM2718" s="147">
        <f t="shared" si="108"/>
        <v>2</v>
      </c>
      <c r="AN2718" t="s">
        <v>723</v>
      </c>
      <c r="AO2718" s="18" t="s">
        <v>729</v>
      </c>
      <c r="AP2718" t="s">
        <v>570</v>
      </c>
    </row>
    <row r="2719" spans="1:42" customFormat="1" x14ac:dyDescent="0.3">
      <c r="A2719" s="148" t="s">
        <v>8319</v>
      </c>
      <c r="B2719" t="s">
        <v>8320</v>
      </c>
      <c r="C2719" s="148" t="s">
        <v>9344</v>
      </c>
      <c r="D2719" t="s">
        <v>9345</v>
      </c>
      <c r="E2719" s="148" t="s">
        <v>10414</v>
      </c>
      <c r="F2719" t="s">
        <v>10415</v>
      </c>
      <c r="G2719" s="148" t="s">
        <v>10767</v>
      </c>
      <c r="H2719" t="s">
        <v>10768</v>
      </c>
      <c r="K2719" s="148" t="s">
        <v>10774</v>
      </c>
      <c r="L2719" t="s">
        <v>10775</v>
      </c>
      <c r="M2719" s="1" t="s">
        <v>10779</v>
      </c>
      <c r="N2719" s="1" t="s">
        <v>119</v>
      </c>
      <c r="O2719" s="1">
        <v>54</v>
      </c>
      <c r="P2719" s="3">
        <v>58</v>
      </c>
      <c r="Q2719" s="3">
        <v>62</v>
      </c>
      <c r="R2719" s="3">
        <v>66</v>
      </c>
      <c r="S2719" s="3">
        <v>70</v>
      </c>
      <c r="T2719" t="s">
        <v>723</v>
      </c>
      <c r="U2719" t="s">
        <v>729</v>
      </c>
      <c r="V2719" t="s">
        <v>10780</v>
      </c>
      <c r="W2719" s="45">
        <v>1</v>
      </c>
      <c r="X2719" s="45">
        <v>0</v>
      </c>
      <c r="Y2719" s="45">
        <v>0</v>
      </c>
      <c r="Z2719" s="45">
        <v>1</v>
      </c>
      <c r="AA2719" s="45">
        <v>1</v>
      </c>
      <c r="AB2719" s="45">
        <v>0</v>
      </c>
      <c r="AC2719" s="150">
        <v>0</v>
      </c>
      <c r="AD2719" s="150">
        <v>1</v>
      </c>
      <c r="AE2719" s="49">
        <f t="shared" si="109"/>
        <v>0.5</v>
      </c>
      <c r="AF2719" s="44">
        <v>1</v>
      </c>
      <c r="AG2719" s="17">
        <v>0</v>
      </c>
      <c r="AH2719" s="44">
        <v>0</v>
      </c>
      <c r="AI2719" s="44">
        <v>50</v>
      </c>
      <c r="AJ2719" s="44">
        <v>50</v>
      </c>
      <c r="AK2719" s="151">
        <v>50</v>
      </c>
      <c r="AL2719" s="151">
        <v>50</v>
      </c>
      <c r="AM2719" s="147">
        <f t="shared" si="108"/>
        <v>100</v>
      </c>
      <c r="AN2719" t="s">
        <v>723</v>
      </c>
      <c r="AO2719" s="18" t="s">
        <v>729</v>
      </c>
      <c r="AP2719" t="s">
        <v>10781</v>
      </c>
    </row>
    <row r="2720" spans="1:42" customFormat="1" x14ac:dyDescent="0.3">
      <c r="A2720" s="148" t="s">
        <v>8319</v>
      </c>
      <c r="B2720" t="s">
        <v>8320</v>
      </c>
      <c r="C2720" s="148" t="s">
        <v>9344</v>
      </c>
      <c r="D2720" t="s">
        <v>9345</v>
      </c>
      <c r="E2720" s="148" t="s">
        <v>10414</v>
      </c>
      <c r="F2720" t="s">
        <v>10415</v>
      </c>
      <c r="G2720" s="148" t="s">
        <v>10449</v>
      </c>
      <c r="H2720" t="s">
        <v>10450</v>
      </c>
      <c r="K2720" s="148" t="s">
        <v>10782</v>
      </c>
      <c r="L2720" t="s">
        <v>10783</v>
      </c>
      <c r="M2720" s="1" t="s">
        <v>10784</v>
      </c>
      <c r="N2720" s="1" t="s">
        <v>119</v>
      </c>
      <c r="O2720" s="1">
        <v>50</v>
      </c>
      <c r="P2720" s="3">
        <v>65</v>
      </c>
      <c r="Q2720" s="3">
        <v>70</v>
      </c>
      <c r="R2720" s="3">
        <v>70</v>
      </c>
      <c r="S2720" s="3">
        <v>75</v>
      </c>
      <c r="T2720" t="s">
        <v>10785</v>
      </c>
      <c r="U2720" t="e">
        <v>#N/A</v>
      </c>
      <c r="V2720" t="s">
        <v>10786</v>
      </c>
      <c r="W2720" s="45">
        <v>1</v>
      </c>
      <c r="X2720" s="45">
        <v>0</v>
      </c>
      <c r="Y2720" s="45">
        <v>0</v>
      </c>
      <c r="Z2720" s="45">
        <v>1</v>
      </c>
      <c r="AA2720" s="45">
        <v>1</v>
      </c>
      <c r="AB2720" s="45">
        <v>0</v>
      </c>
      <c r="AC2720" s="150">
        <v>0</v>
      </c>
      <c r="AD2720" s="150">
        <v>1</v>
      </c>
      <c r="AE2720" s="49">
        <f t="shared" si="109"/>
        <v>0.5</v>
      </c>
      <c r="AF2720" s="44">
        <v>1</v>
      </c>
      <c r="AG2720" s="17">
        <v>0</v>
      </c>
      <c r="AH2720" s="44">
        <v>0</v>
      </c>
      <c r="AI2720" s="44">
        <v>0.5</v>
      </c>
      <c r="AJ2720" s="44">
        <v>0.5</v>
      </c>
      <c r="AK2720" s="151">
        <v>0.1</v>
      </c>
      <c r="AL2720" s="151">
        <v>0.1</v>
      </c>
      <c r="AM2720" s="147">
        <f t="shared" si="108"/>
        <v>0.2</v>
      </c>
      <c r="AN2720" t="s">
        <v>723</v>
      </c>
      <c r="AO2720" s="18" t="s">
        <v>729</v>
      </c>
      <c r="AP2720" t="s">
        <v>10448</v>
      </c>
    </row>
    <row r="2721" spans="1:42" customFormat="1" x14ac:dyDescent="0.3">
      <c r="A2721" s="148" t="s">
        <v>8319</v>
      </c>
      <c r="B2721" t="s">
        <v>8320</v>
      </c>
      <c r="C2721" s="148" t="s">
        <v>9344</v>
      </c>
      <c r="D2721" t="s">
        <v>9345</v>
      </c>
      <c r="E2721" s="148" t="s">
        <v>9346</v>
      </c>
      <c r="F2721" t="s">
        <v>9347</v>
      </c>
      <c r="G2721" s="148" t="s">
        <v>9552</v>
      </c>
      <c r="H2721" t="s">
        <v>9553</v>
      </c>
      <c r="K2721" s="148" t="s">
        <v>9871</v>
      </c>
      <c r="L2721" t="s">
        <v>9872</v>
      </c>
      <c r="M2721" s="1" t="s">
        <v>9875</v>
      </c>
      <c r="N2721" s="1"/>
      <c r="O2721" s="1">
        <v>0</v>
      </c>
      <c r="P2721" s="3">
        <v>100</v>
      </c>
      <c r="Q2721" s="3">
        <v>150</v>
      </c>
      <c r="R2721" s="3">
        <v>200</v>
      </c>
      <c r="S2721" s="3">
        <v>250</v>
      </c>
      <c r="T2721" t="s">
        <v>1536</v>
      </c>
      <c r="U2721" t="e">
        <v>#N/A</v>
      </c>
      <c r="V2721" t="s">
        <v>10787</v>
      </c>
      <c r="W2721" s="45">
        <v>1</v>
      </c>
      <c r="X2721" s="45">
        <v>0</v>
      </c>
      <c r="Y2721" s="45">
        <v>0</v>
      </c>
      <c r="Z2721" s="45">
        <v>1</v>
      </c>
      <c r="AA2721" s="45">
        <v>1</v>
      </c>
      <c r="AB2721" s="45">
        <v>0</v>
      </c>
      <c r="AC2721" s="150">
        <v>0</v>
      </c>
      <c r="AD2721" s="150">
        <v>0</v>
      </c>
      <c r="AE2721" s="49">
        <f t="shared" si="109"/>
        <v>0.375</v>
      </c>
      <c r="AF2721" s="17"/>
      <c r="AG2721" s="17">
        <v>0</v>
      </c>
      <c r="AH2721" s="17">
        <v>0</v>
      </c>
      <c r="AI2721" s="44">
        <v>0.1</v>
      </c>
      <c r="AJ2721" s="44">
        <v>0.2</v>
      </c>
      <c r="AK2721" s="151">
        <v>0.2</v>
      </c>
      <c r="AL2721" s="151">
        <v>0.3</v>
      </c>
      <c r="AM2721" s="147">
        <f t="shared" si="108"/>
        <v>0.5</v>
      </c>
      <c r="AN2721" s="18" t="s">
        <v>771</v>
      </c>
      <c r="AO2721" s="18" t="s">
        <v>773</v>
      </c>
      <c r="AP2721" t="s">
        <v>3643</v>
      </c>
    </row>
    <row r="2722" spans="1:42" customFormat="1" x14ac:dyDescent="0.3">
      <c r="A2722" s="148" t="s">
        <v>8319</v>
      </c>
      <c r="B2722" t="s">
        <v>8320</v>
      </c>
      <c r="C2722" s="148" t="s">
        <v>9344</v>
      </c>
      <c r="D2722" t="s">
        <v>9345</v>
      </c>
      <c r="E2722" s="148" t="s">
        <v>9346</v>
      </c>
      <c r="F2722" t="s">
        <v>9347</v>
      </c>
      <c r="G2722" t="s">
        <v>9348</v>
      </c>
      <c r="H2722" t="s">
        <v>9349</v>
      </c>
      <c r="I2722" s="148" t="s">
        <v>9350</v>
      </c>
      <c r="J2722" t="s">
        <v>9351</v>
      </c>
      <c r="K2722" s="148" t="s">
        <v>9352</v>
      </c>
      <c r="L2722" t="s">
        <v>9353</v>
      </c>
      <c r="M2722" s="1" t="s">
        <v>10788</v>
      </c>
      <c r="N2722" s="1" t="s">
        <v>271</v>
      </c>
      <c r="O2722" s="1">
        <v>1</v>
      </c>
      <c r="P2722" s="3">
        <v>0</v>
      </c>
      <c r="Q2722" s="3">
        <v>0</v>
      </c>
      <c r="R2722" s="3">
        <v>0</v>
      </c>
      <c r="S2722" s="3">
        <v>0</v>
      </c>
      <c r="T2722" t="s">
        <v>771</v>
      </c>
      <c r="U2722" t="s">
        <v>773</v>
      </c>
      <c r="V2722" t="s">
        <v>10789</v>
      </c>
      <c r="W2722" s="45">
        <v>1</v>
      </c>
      <c r="X2722" s="45">
        <v>0</v>
      </c>
      <c r="Y2722" s="45">
        <v>0</v>
      </c>
      <c r="Z2722" s="45">
        <v>1</v>
      </c>
      <c r="AA2722" s="45">
        <v>0</v>
      </c>
      <c r="AB2722" s="45">
        <v>0</v>
      </c>
      <c r="AC2722" s="150">
        <v>0</v>
      </c>
      <c r="AD2722" s="150">
        <v>1</v>
      </c>
      <c r="AE2722" s="49">
        <f t="shared" si="109"/>
        <v>0.375</v>
      </c>
      <c r="AF2722" s="44"/>
      <c r="AG2722" s="17">
        <v>0</v>
      </c>
      <c r="AH2722" s="44">
        <v>0.3</v>
      </c>
      <c r="AI2722" s="44">
        <v>0.1</v>
      </c>
      <c r="AJ2722" s="44">
        <v>0.1</v>
      </c>
      <c r="AK2722" s="153">
        <v>0</v>
      </c>
      <c r="AL2722" s="154">
        <v>0</v>
      </c>
      <c r="AM2722" s="147">
        <f t="shared" si="108"/>
        <v>0</v>
      </c>
      <c r="AN2722" s="18" t="s">
        <v>771</v>
      </c>
      <c r="AO2722" s="18" t="s">
        <v>773</v>
      </c>
      <c r="AP2722" t="s">
        <v>10790</v>
      </c>
    </row>
    <row r="2723" spans="1:42" customFormat="1" x14ac:dyDescent="0.3">
      <c r="A2723" s="148" t="s">
        <v>8319</v>
      </c>
      <c r="B2723" t="s">
        <v>8320</v>
      </c>
      <c r="C2723" s="148" t="s">
        <v>9344</v>
      </c>
      <c r="D2723" t="s">
        <v>9345</v>
      </c>
      <c r="E2723" s="148" t="s">
        <v>9346</v>
      </c>
      <c r="F2723" t="s">
        <v>9347</v>
      </c>
      <c r="G2723" t="s">
        <v>9348</v>
      </c>
      <c r="H2723" t="s">
        <v>9349</v>
      </c>
      <c r="I2723" s="148" t="s">
        <v>9350</v>
      </c>
      <c r="J2723" t="s">
        <v>9351</v>
      </c>
      <c r="K2723" s="148" t="s">
        <v>9352</v>
      </c>
      <c r="L2723" t="s">
        <v>9353</v>
      </c>
      <c r="M2723" s="1" t="s">
        <v>10791</v>
      </c>
      <c r="N2723" s="1">
        <v>62</v>
      </c>
      <c r="O2723" s="1">
        <v>60</v>
      </c>
      <c r="P2723" s="3">
        <v>65</v>
      </c>
      <c r="Q2723" s="3">
        <v>70</v>
      </c>
      <c r="R2723" s="3">
        <v>75</v>
      </c>
      <c r="S2723" s="3">
        <v>80</v>
      </c>
      <c r="T2723" t="s">
        <v>771</v>
      </c>
      <c r="U2723" t="s">
        <v>773</v>
      </c>
      <c r="V2723" t="s">
        <v>10792</v>
      </c>
      <c r="W2723" s="45">
        <v>1</v>
      </c>
      <c r="X2723" s="45">
        <v>0</v>
      </c>
      <c r="Y2723" s="45">
        <v>0</v>
      </c>
      <c r="Z2723" s="45">
        <v>1</v>
      </c>
      <c r="AA2723" s="45">
        <v>1</v>
      </c>
      <c r="AB2723" s="45">
        <v>0</v>
      </c>
      <c r="AC2723" s="150">
        <v>0</v>
      </c>
      <c r="AD2723" s="150">
        <v>0</v>
      </c>
      <c r="AE2723" s="49">
        <f t="shared" si="109"/>
        <v>0.375</v>
      </c>
      <c r="AF2723" s="44"/>
      <c r="AG2723" s="17">
        <v>0</v>
      </c>
      <c r="AH2723" s="44">
        <v>0.4</v>
      </c>
      <c r="AI2723" s="44">
        <v>0.4</v>
      </c>
      <c r="AJ2723" s="44">
        <v>0.4</v>
      </c>
      <c r="AK2723" s="151">
        <v>0.4</v>
      </c>
      <c r="AL2723" s="151">
        <v>0.4</v>
      </c>
      <c r="AM2723" s="147">
        <f t="shared" si="108"/>
        <v>0.8</v>
      </c>
      <c r="AN2723" t="s">
        <v>3643</v>
      </c>
      <c r="AO2723" s="18" t="s">
        <v>3630</v>
      </c>
      <c r="AP2723" t="s">
        <v>1536</v>
      </c>
    </row>
    <row r="2724" spans="1:42" customFormat="1" x14ac:dyDescent="0.3">
      <c r="A2724" s="148" t="s">
        <v>8319</v>
      </c>
      <c r="B2724" t="s">
        <v>8320</v>
      </c>
      <c r="C2724" s="148" t="s">
        <v>9344</v>
      </c>
      <c r="D2724" t="s">
        <v>9345</v>
      </c>
      <c r="E2724" s="148" t="s">
        <v>9346</v>
      </c>
      <c r="F2724" t="s">
        <v>9347</v>
      </c>
      <c r="G2724" s="148" t="s">
        <v>10470</v>
      </c>
      <c r="H2724" t="s">
        <v>10471</v>
      </c>
      <c r="I2724" s="148" t="s">
        <v>10472</v>
      </c>
      <c r="J2724" t="s">
        <v>10473</v>
      </c>
      <c r="K2724" s="148" t="s">
        <v>10474</v>
      </c>
      <c r="L2724" t="s">
        <v>10475</v>
      </c>
      <c r="M2724" s="1" t="s">
        <v>10793</v>
      </c>
      <c r="N2724" s="1" t="s">
        <v>271</v>
      </c>
      <c r="O2724" s="1">
        <v>200</v>
      </c>
      <c r="P2724" s="3">
        <v>200</v>
      </c>
      <c r="Q2724" s="3">
        <v>200</v>
      </c>
      <c r="R2724" s="3">
        <v>200</v>
      </c>
      <c r="S2724" s="3">
        <v>200</v>
      </c>
      <c r="T2724" t="s">
        <v>3640</v>
      </c>
      <c r="U2724" t="s">
        <v>3630</v>
      </c>
      <c r="V2724" t="s">
        <v>10794</v>
      </c>
      <c r="W2724" s="45">
        <v>1</v>
      </c>
      <c r="X2724" s="45">
        <v>0</v>
      </c>
      <c r="Y2724" s="45">
        <v>0</v>
      </c>
      <c r="Z2724" s="45">
        <v>1</v>
      </c>
      <c r="AA2724" s="45">
        <v>1</v>
      </c>
      <c r="AB2724" s="45">
        <v>0</v>
      </c>
      <c r="AC2724" s="150">
        <v>0</v>
      </c>
      <c r="AD2724" s="150">
        <v>0</v>
      </c>
      <c r="AE2724" s="49">
        <f t="shared" si="109"/>
        <v>0.375</v>
      </c>
      <c r="AF2724" s="44"/>
      <c r="AG2724" s="17">
        <v>0</v>
      </c>
      <c r="AH2724" s="44">
        <v>0.1</v>
      </c>
      <c r="AI2724" s="44">
        <v>0.1</v>
      </c>
      <c r="AJ2724" s="44">
        <v>0.1</v>
      </c>
      <c r="AK2724" s="151">
        <v>0.5</v>
      </c>
      <c r="AL2724" s="151">
        <v>0.5</v>
      </c>
      <c r="AM2724" s="147">
        <f t="shared" si="108"/>
        <v>1</v>
      </c>
      <c r="AN2724" t="s">
        <v>3643</v>
      </c>
      <c r="AO2724" s="18" t="s">
        <v>3630</v>
      </c>
      <c r="AP2724" t="s">
        <v>10135</v>
      </c>
    </row>
    <row r="2725" spans="1:42" customFormat="1" x14ac:dyDescent="0.3">
      <c r="A2725" s="148" t="s">
        <v>8319</v>
      </c>
      <c r="B2725" t="s">
        <v>8320</v>
      </c>
      <c r="C2725" s="148" t="s">
        <v>9344</v>
      </c>
      <c r="D2725" t="s">
        <v>9345</v>
      </c>
      <c r="E2725" s="148" t="s">
        <v>9346</v>
      </c>
      <c r="F2725" t="s">
        <v>9347</v>
      </c>
      <c r="G2725" s="148" t="s">
        <v>10470</v>
      </c>
      <c r="H2725" t="s">
        <v>10471</v>
      </c>
      <c r="I2725" s="148" t="s">
        <v>10472</v>
      </c>
      <c r="J2725" t="s">
        <v>10473</v>
      </c>
      <c r="K2725" s="148" t="s">
        <v>10474</v>
      </c>
      <c r="L2725" t="s">
        <v>10475</v>
      </c>
      <c r="M2725" s="1" t="s">
        <v>10795</v>
      </c>
      <c r="N2725" s="1" t="s">
        <v>271</v>
      </c>
      <c r="O2725" s="1">
        <v>50</v>
      </c>
      <c r="P2725" s="3">
        <v>55</v>
      </c>
      <c r="Q2725" s="3">
        <v>60</v>
      </c>
      <c r="R2725" s="3">
        <v>65</v>
      </c>
      <c r="S2725" s="3">
        <v>70</v>
      </c>
      <c r="T2725" t="s">
        <v>255</v>
      </c>
      <c r="U2725" t="s">
        <v>1045</v>
      </c>
      <c r="V2725" t="s">
        <v>10796</v>
      </c>
      <c r="W2725" s="45">
        <v>1</v>
      </c>
      <c r="X2725" s="45">
        <v>0</v>
      </c>
      <c r="Y2725" s="45">
        <v>0</v>
      </c>
      <c r="Z2725" s="45">
        <v>1</v>
      </c>
      <c r="AA2725" s="45">
        <v>1</v>
      </c>
      <c r="AB2725" s="45">
        <v>0</v>
      </c>
      <c r="AC2725" s="150">
        <v>0</v>
      </c>
      <c r="AD2725" s="150">
        <v>0</v>
      </c>
      <c r="AE2725" s="49">
        <f t="shared" si="109"/>
        <v>0.375</v>
      </c>
      <c r="AF2725" s="44"/>
      <c r="AG2725" s="17">
        <v>0</v>
      </c>
      <c r="AH2725" s="44">
        <v>0.5</v>
      </c>
      <c r="AI2725" s="44">
        <v>0.5</v>
      </c>
      <c r="AJ2725" s="44">
        <v>0.5</v>
      </c>
      <c r="AK2725" s="151">
        <v>0.5</v>
      </c>
      <c r="AL2725" s="151">
        <v>0.5</v>
      </c>
      <c r="AM2725" s="147">
        <f t="shared" ref="AM2725:AM2788" si="110">SUM(AK2725:AL2725)</f>
        <v>1</v>
      </c>
      <c r="AN2725" s="18" t="s">
        <v>255</v>
      </c>
      <c r="AO2725" s="18" t="s">
        <v>1045</v>
      </c>
      <c r="AP2725" t="s">
        <v>1536</v>
      </c>
    </row>
    <row r="2726" spans="1:42" customFormat="1" x14ac:dyDescent="0.3">
      <c r="A2726" s="148" t="s">
        <v>8319</v>
      </c>
      <c r="B2726" t="s">
        <v>8320</v>
      </c>
      <c r="C2726" s="148" t="s">
        <v>9344</v>
      </c>
      <c r="D2726" t="s">
        <v>9345</v>
      </c>
      <c r="E2726" s="148" t="s">
        <v>9346</v>
      </c>
      <c r="F2726" t="s">
        <v>9347</v>
      </c>
      <c r="G2726" s="148" t="s">
        <v>9897</v>
      </c>
      <c r="H2726" t="s">
        <v>9898</v>
      </c>
      <c r="K2726" s="148" t="s">
        <v>10797</v>
      </c>
      <c r="L2726" t="s">
        <v>10798</v>
      </c>
      <c r="M2726" s="1" t="s">
        <v>10799</v>
      </c>
      <c r="N2726" s="1" t="s">
        <v>271</v>
      </c>
      <c r="O2726" s="1">
        <v>10</v>
      </c>
      <c r="P2726" s="3">
        <v>15</v>
      </c>
      <c r="Q2726" s="3">
        <v>20</v>
      </c>
      <c r="R2726" s="3">
        <v>25</v>
      </c>
      <c r="S2726" s="3">
        <v>30</v>
      </c>
      <c r="T2726" t="s">
        <v>771</v>
      </c>
      <c r="U2726" t="s">
        <v>773</v>
      </c>
      <c r="V2726" t="s">
        <v>10800</v>
      </c>
      <c r="W2726" s="45">
        <v>1</v>
      </c>
      <c r="X2726" s="45">
        <v>0</v>
      </c>
      <c r="Y2726" s="45">
        <v>1</v>
      </c>
      <c r="Z2726" s="45">
        <v>1</v>
      </c>
      <c r="AA2726" s="45">
        <v>0</v>
      </c>
      <c r="AB2726" s="45">
        <v>0</v>
      </c>
      <c r="AC2726" s="150">
        <v>0</v>
      </c>
      <c r="AD2726" s="150">
        <v>0</v>
      </c>
      <c r="AE2726" s="49">
        <f t="shared" si="109"/>
        <v>0.375</v>
      </c>
      <c r="AF2726" s="44"/>
      <c r="AG2726" s="17">
        <v>0</v>
      </c>
      <c r="AH2726" s="44">
        <v>0.3</v>
      </c>
      <c r="AI2726" s="44">
        <v>0.3</v>
      </c>
      <c r="AJ2726" s="44">
        <v>0.3</v>
      </c>
      <c r="AK2726" s="151">
        <v>0.3</v>
      </c>
      <c r="AL2726" s="151">
        <v>0.3</v>
      </c>
      <c r="AM2726" s="147">
        <f t="shared" si="110"/>
        <v>0.6</v>
      </c>
      <c r="AN2726" s="18" t="s">
        <v>255</v>
      </c>
      <c r="AO2726" s="18" t="s">
        <v>1045</v>
      </c>
      <c r="AP2726" t="s">
        <v>1536</v>
      </c>
    </row>
    <row r="2727" spans="1:42" customFormat="1" x14ac:dyDescent="0.3">
      <c r="A2727" s="148" t="s">
        <v>8319</v>
      </c>
      <c r="B2727" t="s">
        <v>8320</v>
      </c>
      <c r="C2727" s="148" t="s">
        <v>9344</v>
      </c>
      <c r="D2727" t="s">
        <v>9345</v>
      </c>
      <c r="E2727" s="148" t="s">
        <v>9346</v>
      </c>
      <c r="F2727" t="s">
        <v>9347</v>
      </c>
      <c r="G2727" s="148" t="s">
        <v>9897</v>
      </c>
      <c r="H2727" t="s">
        <v>9898</v>
      </c>
      <c r="K2727" s="148" t="s">
        <v>10801</v>
      </c>
      <c r="L2727" t="s">
        <v>10802</v>
      </c>
      <c r="M2727" s="1" t="s">
        <v>10803</v>
      </c>
      <c r="N2727" s="1" t="s">
        <v>271</v>
      </c>
      <c r="O2727" s="1">
        <v>10</v>
      </c>
      <c r="P2727" s="3">
        <v>15</v>
      </c>
      <c r="Q2727" s="3">
        <v>20</v>
      </c>
      <c r="R2727" s="3">
        <v>25</v>
      </c>
      <c r="S2727" s="3">
        <v>30</v>
      </c>
      <c r="T2727" t="s">
        <v>255</v>
      </c>
      <c r="U2727" t="s">
        <v>1045</v>
      </c>
      <c r="V2727" t="s">
        <v>10804</v>
      </c>
      <c r="W2727" s="45">
        <v>1</v>
      </c>
      <c r="X2727" s="45">
        <v>0</v>
      </c>
      <c r="Y2727" s="45">
        <v>1</v>
      </c>
      <c r="Z2727" s="45">
        <v>1</v>
      </c>
      <c r="AA2727" s="45">
        <v>0</v>
      </c>
      <c r="AB2727" s="45">
        <v>0</v>
      </c>
      <c r="AC2727" s="150">
        <v>0</v>
      </c>
      <c r="AD2727" s="150">
        <v>0</v>
      </c>
      <c r="AE2727" s="49">
        <f t="shared" si="109"/>
        <v>0.375</v>
      </c>
      <c r="AF2727" s="44"/>
      <c r="AG2727" s="17">
        <v>0</v>
      </c>
      <c r="AH2727" s="44">
        <v>0.6</v>
      </c>
      <c r="AI2727" s="44">
        <v>0.6</v>
      </c>
      <c r="AJ2727" s="44">
        <v>0.6</v>
      </c>
      <c r="AK2727" s="151">
        <v>0.6</v>
      </c>
      <c r="AL2727" s="151">
        <v>0.6</v>
      </c>
      <c r="AM2727" s="147">
        <f t="shared" si="110"/>
        <v>1.2</v>
      </c>
      <c r="AN2727" s="18" t="s">
        <v>255</v>
      </c>
      <c r="AO2727" s="18" t="s">
        <v>1045</v>
      </c>
      <c r="AP2727" t="s">
        <v>1536</v>
      </c>
    </row>
    <row r="2728" spans="1:42" customFormat="1" x14ac:dyDescent="0.3">
      <c r="A2728" s="148" t="s">
        <v>8319</v>
      </c>
      <c r="B2728" t="s">
        <v>8320</v>
      </c>
      <c r="C2728" s="148" t="s">
        <v>9344</v>
      </c>
      <c r="D2728" t="s">
        <v>9345</v>
      </c>
      <c r="E2728" s="148" t="s">
        <v>9346</v>
      </c>
      <c r="F2728" t="s">
        <v>9347</v>
      </c>
      <c r="G2728" s="148" t="s">
        <v>9558</v>
      </c>
      <c r="H2728" t="s">
        <v>9559</v>
      </c>
      <c r="K2728" s="148" t="s">
        <v>9560</v>
      </c>
      <c r="L2728" t="s">
        <v>9561</v>
      </c>
      <c r="M2728" s="1" t="s">
        <v>10805</v>
      </c>
      <c r="N2728" s="1" t="s">
        <v>271</v>
      </c>
      <c r="O2728" s="1" t="s">
        <v>271</v>
      </c>
      <c r="P2728" s="3">
        <v>75</v>
      </c>
      <c r="Q2728" s="3">
        <v>75</v>
      </c>
      <c r="R2728" s="3">
        <v>75</v>
      </c>
      <c r="S2728" s="3">
        <v>75</v>
      </c>
      <c r="T2728" t="s">
        <v>723</v>
      </c>
      <c r="U2728" t="s">
        <v>729</v>
      </c>
      <c r="V2728" t="s">
        <v>10806</v>
      </c>
      <c r="W2728" s="45">
        <v>1</v>
      </c>
      <c r="X2728" s="45">
        <v>0</v>
      </c>
      <c r="Y2728" s="45">
        <v>0</v>
      </c>
      <c r="Z2728" s="45">
        <v>0</v>
      </c>
      <c r="AA2728" s="45">
        <v>1</v>
      </c>
      <c r="AB2728" s="45">
        <v>0</v>
      </c>
      <c r="AC2728" s="150">
        <v>1</v>
      </c>
      <c r="AD2728" s="150">
        <v>0</v>
      </c>
      <c r="AE2728" s="49">
        <f t="shared" ref="AE2728:AE2791" si="111">SUM(W2728:AD2728)/8</f>
        <v>0.375</v>
      </c>
      <c r="AF2728" s="17">
        <v>1</v>
      </c>
      <c r="AG2728" s="17">
        <v>0</v>
      </c>
      <c r="AH2728" s="17">
        <v>0</v>
      </c>
      <c r="AI2728" s="44">
        <v>67.5</v>
      </c>
      <c r="AJ2728" s="44">
        <v>67.5</v>
      </c>
      <c r="AK2728" s="151">
        <v>40</v>
      </c>
      <c r="AL2728" s="151">
        <v>60</v>
      </c>
      <c r="AM2728" s="147">
        <f t="shared" si="110"/>
        <v>100</v>
      </c>
      <c r="AN2728" t="s">
        <v>723</v>
      </c>
      <c r="AO2728" s="18" t="s">
        <v>729</v>
      </c>
      <c r="AP2728" t="s">
        <v>255</v>
      </c>
    </row>
    <row r="2729" spans="1:42" customFormat="1" x14ac:dyDescent="0.3">
      <c r="A2729" s="148" t="s">
        <v>8319</v>
      </c>
      <c r="B2729" t="s">
        <v>8320</v>
      </c>
      <c r="C2729" s="148" t="s">
        <v>9344</v>
      </c>
      <c r="D2729" t="s">
        <v>9345</v>
      </c>
      <c r="E2729" s="148" t="s">
        <v>9346</v>
      </c>
      <c r="F2729" t="s">
        <v>9347</v>
      </c>
      <c r="G2729" s="148" t="s">
        <v>9558</v>
      </c>
      <c r="H2729" t="s">
        <v>9559</v>
      </c>
      <c r="K2729" s="148" t="s">
        <v>9560</v>
      </c>
      <c r="L2729" t="s">
        <v>9561</v>
      </c>
      <c r="M2729" s="1" t="s">
        <v>10807</v>
      </c>
      <c r="N2729" s="1" t="s">
        <v>271</v>
      </c>
      <c r="O2729" s="1" t="s">
        <v>271</v>
      </c>
      <c r="P2729" s="3">
        <v>11</v>
      </c>
      <c r="Q2729" s="3">
        <v>11</v>
      </c>
      <c r="R2729" s="3">
        <v>11</v>
      </c>
      <c r="S2729" s="3">
        <v>11</v>
      </c>
      <c r="T2729" t="s">
        <v>723</v>
      </c>
      <c r="U2729" t="s">
        <v>729</v>
      </c>
      <c r="V2729" t="s">
        <v>10808</v>
      </c>
      <c r="W2729" s="45">
        <v>1</v>
      </c>
      <c r="X2729" s="45">
        <v>0</v>
      </c>
      <c r="Y2729" s="45">
        <v>0</v>
      </c>
      <c r="Z2729" s="45">
        <v>0</v>
      </c>
      <c r="AA2729" s="45">
        <v>1</v>
      </c>
      <c r="AB2729" s="45">
        <v>0</v>
      </c>
      <c r="AC2729" s="150">
        <v>0</v>
      </c>
      <c r="AD2729" s="150">
        <v>1</v>
      </c>
      <c r="AE2729" s="49">
        <f t="shared" si="111"/>
        <v>0.375</v>
      </c>
      <c r="AF2729" s="17"/>
      <c r="AG2729" s="17">
        <v>0</v>
      </c>
      <c r="AH2729" s="17">
        <v>0</v>
      </c>
      <c r="AI2729" s="44">
        <v>1.2</v>
      </c>
      <c r="AJ2729" s="44">
        <v>2.2999999999999998</v>
      </c>
      <c r="AK2729" s="151">
        <v>3</v>
      </c>
      <c r="AL2729" s="151">
        <v>4.5999999999999996</v>
      </c>
      <c r="AM2729" s="147">
        <f t="shared" si="110"/>
        <v>7.6</v>
      </c>
      <c r="AN2729" s="44" t="s">
        <v>10630</v>
      </c>
      <c r="AO2729" s="18" t="s">
        <v>10809</v>
      </c>
      <c r="AP2729" t="s">
        <v>723</v>
      </c>
    </row>
    <row r="2730" spans="1:42" customFormat="1" x14ac:dyDescent="0.3">
      <c r="A2730" s="148" t="s">
        <v>8319</v>
      </c>
      <c r="B2730" t="s">
        <v>8320</v>
      </c>
      <c r="C2730" s="148" t="s">
        <v>9344</v>
      </c>
      <c r="D2730" t="s">
        <v>9345</v>
      </c>
      <c r="E2730" s="148" t="s">
        <v>9346</v>
      </c>
      <c r="F2730" t="s">
        <v>9347</v>
      </c>
      <c r="G2730" s="148" t="s">
        <v>10152</v>
      </c>
      <c r="H2730" t="s">
        <v>10153</v>
      </c>
      <c r="K2730" s="148" t="s">
        <v>10154</v>
      </c>
      <c r="L2730" t="s">
        <v>10155</v>
      </c>
      <c r="M2730" s="1" t="s">
        <v>10810</v>
      </c>
      <c r="N2730" s="1" t="s">
        <v>271</v>
      </c>
      <c r="O2730" s="1" t="s">
        <v>271</v>
      </c>
      <c r="P2730" s="3" t="s">
        <v>271</v>
      </c>
      <c r="Q2730" s="3">
        <v>845</v>
      </c>
      <c r="R2730" s="3">
        <v>845</v>
      </c>
      <c r="S2730" s="3">
        <v>845</v>
      </c>
      <c r="T2730" t="s">
        <v>10811</v>
      </c>
      <c r="U2730" t="e">
        <v>#N/A</v>
      </c>
      <c r="V2730" t="s">
        <v>10812</v>
      </c>
      <c r="W2730" s="45">
        <v>1</v>
      </c>
      <c r="X2730" s="45">
        <v>0</v>
      </c>
      <c r="Y2730" s="45">
        <v>0</v>
      </c>
      <c r="Z2730" s="45">
        <v>0</v>
      </c>
      <c r="AA2730" s="45">
        <v>1</v>
      </c>
      <c r="AB2730" s="45">
        <v>0</v>
      </c>
      <c r="AC2730" s="150">
        <v>0</v>
      </c>
      <c r="AD2730" s="150">
        <v>1</v>
      </c>
      <c r="AE2730" s="49">
        <f t="shared" si="111"/>
        <v>0.375</v>
      </c>
      <c r="AF2730" s="17">
        <v>1</v>
      </c>
      <c r="AG2730" s="17">
        <v>1</v>
      </c>
      <c r="AH2730" s="17">
        <v>0</v>
      </c>
      <c r="AI2730" s="17">
        <v>0</v>
      </c>
      <c r="AJ2730" s="44">
        <v>5</v>
      </c>
      <c r="AK2730" s="151">
        <v>20</v>
      </c>
      <c r="AL2730" s="151">
        <v>30</v>
      </c>
      <c r="AM2730" s="147">
        <f t="shared" si="110"/>
        <v>50</v>
      </c>
      <c r="AN2730" s="44" t="s">
        <v>723</v>
      </c>
      <c r="AO2730" s="18" t="s">
        <v>729</v>
      </c>
      <c r="AP2730" t="s">
        <v>2074</v>
      </c>
    </row>
    <row r="2731" spans="1:42" customFormat="1" x14ac:dyDescent="0.3">
      <c r="A2731" s="148" t="s">
        <v>8319</v>
      </c>
      <c r="B2731" t="s">
        <v>8320</v>
      </c>
      <c r="C2731" s="148" t="s">
        <v>9369</v>
      </c>
      <c r="D2731" t="s">
        <v>9370</v>
      </c>
      <c r="E2731" s="148" t="s">
        <v>9371</v>
      </c>
      <c r="F2731" t="s">
        <v>9372</v>
      </c>
      <c r="G2731" s="148" t="s">
        <v>9373</v>
      </c>
      <c r="H2731" t="s">
        <v>9374</v>
      </c>
      <c r="I2731" t="s">
        <v>9375</v>
      </c>
      <c r="J2731" t="s">
        <v>9376</v>
      </c>
      <c r="K2731" s="148" t="s">
        <v>9937</v>
      </c>
      <c r="L2731" t="s">
        <v>9938</v>
      </c>
      <c r="M2731" s="1" t="s">
        <v>10813</v>
      </c>
      <c r="N2731" s="1"/>
      <c r="O2731" s="1"/>
      <c r="P2731" s="3"/>
      <c r="Q2731" s="3"/>
      <c r="R2731" s="3"/>
      <c r="S2731" s="3"/>
      <c r="T2731" t="s">
        <v>255</v>
      </c>
      <c r="U2731" t="s">
        <v>1045</v>
      </c>
      <c r="V2731" t="s">
        <v>10814</v>
      </c>
      <c r="W2731" s="45">
        <v>1</v>
      </c>
      <c r="X2731" s="45">
        <v>1</v>
      </c>
      <c r="Y2731" s="45">
        <v>0</v>
      </c>
      <c r="Z2731" s="45">
        <v>0</v>
      </c>
      <c r="AA2731" s="45">
        <v>0</v>
      </c>
      <c r="AB2731" s="45">
        <v>0</v>
      </c>
      <c r="AC2731" s="150">
        <v>0</v>
      </c>
      <c r="AD2731" s="150">
        <v>1</v>
      </c>
      <c r="AE2731" s="49">
        <f t="shared" si="111"/>
        <v>0.375</v>
      </c>
      <c r="AF2731" s="17"/>
      <c r="AG2731" s="17">
        <v>0</v>
      </c>
      <c r="AH2731" s="17">
        <v>0</v>
      </c>
      <c r="AI2731" s="44" t="s">
        <v>3926</v>
      </c>
      <c r="AJ2731" s="17">
        <v>0</v>
      </c>
      <c r="AK2731" s="153">
        <v>0</v>
      </c>
      <c r="AL2731" s="151">
        <v>0</v>
      </c>
      <c r="AM2731" s="147">
        <f t="shared" si="110"/>
        <v>0</v>
      </c>
      <c r="AN2731" s="18" t="s">
        <v>771</v>
      </c>
      <c r="AO2731" s="18" t="s">
        <v>773</v>
      </c>
      <c r="AP2731" t="s">
        <v>119</v>
      </c>
    </row>
    <row r="2732" spans="1:42" customFormat="1" x14ac:dyDescent="0.3">
      <c r="A2732" s="148" t="s">
        <v>8319</v>
      </c>
      <c r="B2732" t="s">
        <v>8320</v>
      </c>
      <c r="C2732" s="148" t="s">
        <v>9369</v>
      </c>
      <c r="D2732" t="s">
        <v>9370</v>
      </c>
      <c r="E2732" s="148" t="s">
        <v>9371</v>
      </c>
      <c r="F2732" t="s">
        <v>9372</v>
      </c>
      <c r="G2732" s="148" t="s">
        <v>9373</v>
      </c>
      <c r="H2732" t="s">
        <v>9374</v>
      </c>
      <c r="I2732" t="s">
        <v>9375</v>
      </c>
      <c r="J2732" t="s">
        <v>9376</v>
      </c>
      <c r="K2732" s="148" t="s">
        <v>9377</v>
      </c>
      <c r="L2732" t="s">
        <v>9378</v>
      </c>
      <c r="M2732" s="1" t="s">
        <v>10815</v>
      </c>
      <c r="N2732" s="1" t="s">
        <v>9365</v>
      </c>
      <c r="O2732" s="1">
        <v>1</v>
      </c>
      <c r="P2732" s="3">
        <v>1</v>
      </c>
      <c r="Q2732" s="3">
        <v>1</v>
      </c>
      <c r="R2732" s="3">
        <v>1</v>
      </c>
      <c r="S2732" s="3">
        <v>1</v>
      </c>
      <c r="T2732" t="s">
        <v>1536</v>
      </c>
      <c r="U2732" t="e">
        <v>#N/A</v>
      </c>
      <c r="V2732" t="s">
        <v>10816</v>
      </c>
      <c r="W2732" s="45">
        <v>0</v>
      </c>
      <c r="X2732" s="45">
        <v>0</v>
      </c>
      <c r="Y2732" s="45">
        <v>0</v>
      </c>
      <c r="Z2732" s="45">
        <v>1</v>
      </c>
      <c r="AA2732" s="45">
        <v>1</v>
      </c>
      <c r="AB2732" s="45">
        <v>0</v>
      </c>
      <c r="AC2732" s="150">
        <v>0</v>
      </c>
      <c r="AD2732" s="150">
        <v>1</v>
      </c>
      <c r="AE2732" s="49">
        <f t="shared" si="111"/>
        <v>0.375</v>
      </c>
      <c r="AF2732" s="44"/>
      <c r="AG2732" s="17">
        <v>0</v>
      </c>
      <c r="AH2732" s="44" t="s">
        <v>9383</v>
      </c>
      <c r="AI2732" s="44" t="s">
        <v>9383</v>
      </c>
      <c r="AJ2732" s="44" t="s">
        <v>10817</v>
      </c>
      <c r="AK2732" s="151"/>
      <c r="AL2732" s="151"/>
      <c r="AM2732" s="147">
        <f t="shared" si="110"/>
        <v>0</v>
      </c>
      <c r="AN2732" s="18" t="s">
        <v>771</v>
      </c>
      <c r="AO2732" s="18" t="s">
        <v>773</v>
      </c>
      <c r="AP2732" t="s">
        <v>119</v>
      </c>
    </row>
    <row r="2733" spans="1:42" customFormat="1" x14ac:dyDescent="0.3">
      <c r="A2733" s="148" t="s">
        <v>8319</v>
      </c>
      <c r="B2733" t="s">
        <v>8320</v>
      </c>
      <c r="C2733" s="148" t="s">
        <v>9369</v>
      </c>
      <c r="D2733" t="s">
        <v>9370</v>
      </c>
      <c r="E2733" s="148" t="s">
        <v>9371</v>
      </c>
      <c r="F2733" t="s">
        <v>9372</v>
      </c>
      <c r="G2733" s="148" t="s">
        <v>9373</v>
      </c>
      <c r="H2733" t="s">
        <v>9374</v>
      </c>
      <c r="I2733" s="148" t="s">
        <v>9391</v>
      </c>
      <c r="J2733" t="s">
        <v>9392</v>
      </c>
      <c r="K2733" s="148" t="s">
        <v>9393</v>
      </c>
      <c r="L2733" t="s">
        <v>9394</v>
      </c>
      <c r="M2733" s="1"/>
      <c r="N2733" s="1"/>
      <c r="O2733" s="1"/>
      <c r="P2733" s="3"/>
      <c r="Q2733" s="3"/>
      <c r="R2733" s="3"/>
      <c r="S2733" s="3"/>
      <c r="U2733" t="e">
        <v>#N/A</v>
      </c>
      <c r="V2733" t="s">
        <v>10818</v>
      </c>
      <c r="W2733" s="45">
        <v>1</v>
      </c>
      <c r="X2733" s="45">
        <v>0</v>
      </c>
      <c r="Y2733" s="45">
        <v>0</v>
      </c>
      <c r="Z2733" s="45">
        <v>1</v>
      </c>
      <c r="AA2733" s="45">
        <v>0</v>
      </c>
      <c r="AB2733" s="45">
        <v>0</v>
      </c>
      <c r="AC2733" s="150">
        <v>0</v>
      </c>
      <c r="AD2733" s="150">
        <v>1</v>
      </c>
      <c r="AE2733" s="49">
        <f t="shared" si="111"/>
        <v>0.375</v>
      </c>
      <c r="AF2733" s="17"/>
      <c r="AG2733" s="17">
        <v>0</v>
      </c>
      <c r="AH2733" s="17">
        <v>0</v>
      </c>
      <c r="AI2733" s="17">
        <v>0</v>
      </c>
      <c r="AJ2733" s="44" t="s">
        <v>10819</v>
      </c>
      <c r="AK2733" s="153">
        <v>0</v>
      </c>
      <c r="AL2733" s="154">
        <v>0</v>
      </c>
      <c r="AM2733" s="147">
        <f t="shared" si="110"/>
        <v>0</v>
      </c>
      <c r="AN2733" s="44" t="s">
        <v>723</v>
      </c>
      <c r="AO2733" s="18" t="s">
        <v>729</v>
      </c>
      <c r="AP2733" t="s">
        <v>10520</v>
      </c>
    </row>
    <row r="2734" spans="1:42" customFormat="1" x14ac:dyDescent="0.3">
      <c r="A2734" s="148" t="s">
        <v>8319</v>
      </c>
      <c r="B2734" t="s">
        <v>8320</v>
      </c>
      <c r="C2734" s="148" t="s">
        <v>9369</v>
      </c>
      <c r="D2734" t="s">
        <v>9370</v>
      </c>
      <c r="E2734" s="148" t="s">
        <v>9371</v>
      </c>
      <c r="F2734" t="s">
        <v>9372</v>
      </c>
      <c r="G2734" s="148" t="s">
        <v>9593</v>
      </c>
      <c r="H2734" t="s">
        <v>9594</v>
      </c>
      <c r="K2734" s="155" t="s">
        <v>10820</v>
      </c>
      <c r="L2734" t="s">
        <v>10821</v>
      </c>
      <c r="M2734" s="1"/>
      <c r="N2734" s="1"/>
      <c r="O2734" s="1"/>
      <c r="P2734" s="3"/>
      <c r="Q2734" s="3">
        <v>5</v>
      </c>
      <c r="R2734" s="3">
        <v>15</v>
      </c>
      <c r="S2734" s="3">
        <v>10</v>
      </c>
      <c r="T2734" t="s">
        <v>723</v>
      </c>
      <c r="U2734" t="s">
        <v>729</v>
      </c>
      <c r="V2734" t="s">
        <v>10822</v>
      </c>
      <c r="W2734" s="45">
        <v>1</v>
      </c>
      <c r="X2734" s="45">
        <v>0</v>
      </c>
      <c r="Y2734" s="45">
        <v>0</v>
      </c>
      <c r="Z2734" s="45">
        <v>1</v>
      </c>
      <c r="AA2734" s="45">
        <v>0</v>
      </c>
      <c r="AB2734" s="45">
        <v>0</v>
      </c>
      <c r="AC2734" s="150">
        <v>0</v>
      </c>
      <c r="AD2734" s="150">
        <v>1</v>
      </c>
      <c r="AE2734" s="49">
        <f t="shared" si="111"/>
        <v>0.375</v>
      </c>
      <c r="AF2734" s="17"/>
      <c r="AG2734" s="17">
        <v>0</v>
      </c>
      <c r="AH2734" s="17">
        <v>0</v>
      </c>
      <c r="AI2734" s="44">
        <v>0.3</v>
      </c>
      <c r="AJ2734" s="44">
        <v>0.2</v>
      </c>
      <c r="AK2734" s="151">
        <v>0</v>
      </c>
      <c r="AL2734" s="151">
        <v>0</v>
      </c>
      <c r="AM2734" s="147">
        <f t="shared" si="110"/>
        <v>0</v>
      </c>
      <c r="AN2734" t="s">
        <v>831</v>
      </c>
      <c r="AO2734" s="18" t="s">
        <v>834</v>
      </c>
      <c r="AP2734" t="s">
        <v>723</v>
      </c>
    </row>
    <row r="2735" spans="1:42" customFormat="1" x14ac:dyDescent="0.3">
      <c r="A2735" s="148" t="s">
        <v>8319</v>
      </c>
      <c r="B2735" t="s">
        <v>8320</v>
      </c>
      <c r="C2735" s="148" t="s">
        <v>9410</v>
      </c>
      <c r="D2735" t="s">
        <v>9411</v>
      </c>
      <c r="E2735" s="148" t="s">
        <v>9412</v>
      </c>
      <c r="F2735" t="s">
        <v>9413</v>
      </c>
      <c r="G2735" s="148" t="s">
        <v>9997</v>
      </c>
      <c r="H2735" t="s">
        <v>9998</v>
      </c>
      <c r="I2735" s="148" t="s">
        <v>10823</v>
      </c>
      <c r="J2735" t="s">
        <v>10824</v>
      </c>
      <c r="K2735" s="148" t="s">
        <v>10825</v>
      </c>
      <c r="L2735" t="s">
        <v>10826</v>
      </c>
      <c r="M2735" s="1" t="s">
        <v>10827</v>
      </c>
      <c r="N2735" s="1" t="s">
        <v>9365</v>
      </c>
      <c r="O2735" s="1">
        <v>45</v>
      </c>
      <c r="P2735" s="3">
        <v>50</v>
      </c>
      <c r="Q2735" s="3">
        <v>55</v>
      </c>
      <c r="R2735" s="3">
        <v>65</v>
      </c>
      <c r="S2735" s="3">
        <v>75</v>
      </c>
      <c r="T2735" t="s">
        <v>3643</v>
      </c>
      <c r="U2735" t="s">
        <v>3630</v>
      </c>
      <c r="V2735" t="s">
        <v>10828</v>
      </c>
      <c r="W2735" s="45">
        <v>1</v>
      </c>
      <c r="X2735" s="45">
        <v>0</v>
      </c>
      <c r="Y2735" s="45">
        <v>1</v>
      </c>
      <c r="Z2735" s="45">
        <v>0</v>
      </c>
      <c r="AA2735" s="45">
        <v>0</v>
      </c>
      <c r="AB2735" s="45">
        <v>0</v>
      </c>
      <c r="AC2735" s="150">
        <v>0</v>
      </c>
      <c r="AD2735" s="150">
        <v>1</v>
      </c>
      <c r="AE2735" s="49">
        <f t="shared" si="111"/>
        <v>0.375</v>
      </c>
      <c r="AF2735" s="44"/>
      <c r="AG2735" s="17">
        <v>0</v>
      </c>
      <c r="AH2735" s="44">
        <v>2</v>
      </c>
      <c r="AI2735" s="44">
        <v>2.1</v>
      </c>
      <c r="AJ2735" s="44">
        <v>2.15</v>
      </c>
      <c r="AK2735" s="151">
        <v>2.2000000000000002</v>
      </c>
      <c r="AL2735" s="151">
        <v>2.2000000000000002</v>
      </c>
      <c r="AM2735" s="147">
        <f t="shared" si="110"/>
        <v>4.4000000000000004</v>
      </c>
      <c r="AN2735" s="44" t="s">
        <v>9431</v>
      </c>
      <c r="AO2735" s="18" t="s">
        <v>3630</v>
      </c>
      <c r="AP2735" t="s">
        <v>10829</v>
      </c>
    </row>
    <row r="2736" spans="1:42" customFormat="1" x14ac:dyDescent="0.3">
      <c r="A2736" s="148" t="s">
        <v>8319</v>
      </c>
      <c r="B2736" t="s">
        <v>8320</v>
      </c>
      <c r="C2736" s="148" t="s">
        <v>9410</v>
      </c>
      <c r="D2736" t="s">
        <v>9411</v>
      </c>
      <c r="E2736" s="148" t="s">
        <v>9412</v>
      </c>
      <c r="F2736" t="s">
        <v>9413</v>
      </c>
      <c r="G2736" s="148" t="s">
        <v>9997</v>
      </c>
      <c r="H2736" t="s">
        <v>9998</v>
      </c>
      <c r="I2736" s="148" t="s">
        <v>10823</v>
      </c>
      <c r="J2736" t="s">
        <v>10824</v>
      </c>
      <c r="K2736" s="148" t="s">
        <v>10825</v>
      </c>
      <c r="L2736" t="s">
        <v>10826</v>
      </c>
      <c r="M2736" s="1" t="s">
        <v>10830</v>
      </c>
      <c r="N2736" s="1"/>
      <c r="O2736" s="1">
        <v>300</v>
      </c>
      <c r="P2736" s="3">
        <v>300</v>
      </c>
      <c r="Q2736" s="3">
        <v>300</v>
      </c>
      <c r="R2736" s="3">
        <v>300</v>
      </c>
      <c r="S2736" s="3">
        <v>300</v>
      </c>
      <c r="T2736" t="s">
        <v>3643</v>
      </c>
      <c r="U2736" t="s">
        <v>3630</v>
      </c>
      <c r="V2736" t="s">
        <v>10831</v>
      </c>
      <c r="W2736" s="45">
        <v>1</v>
      </c>
      <c r="X2736" s="45">
        <v>0</v>
      </c>
      <c r="Y2736" s="45">
        <v>0</v>
      </c>
      <c r="Z2736" s="45">
        <v>1</v>
      </c>
      <c r="AA2736" s="45">
        <v>0</v>
      </c>
      <c r="AB2736" s="45">
        <v>0</v>
      </c>
      <c r="AC2736" s="150">
        <v>0</v>
      </c>
      <c r="AD2736" s="150">
        <v>1</v>
      </c>
      <c r="AE2736" s="49">
        <f t="shared" si="111"/>
        <v>0.375</v>
      </c>
      <c r="AF2736" s="17"/>
      <c r="AG2736" s="17">
        <v>0</v>
      </c>
      <c r="AH2736" s="17">
        <v>0</v>
      </c>
      <c r="AI2736" s="17">
        <v>0</v>
      </c>
      <c r="AJ2736" s="17">
        <v>0</v>
      </c>
      <c r="AK2736" s="153">
        <v>2</v>
      </c>
      <c r="AL2736" s="154">
        <v>2</v>
      </c>
      <c r="AM2736" s="147">
        <f t="shared" si="110"/>
        <v>4</v>
      </c>
      <c r="AN2736" t="s">
        <v>3643</v>
      </c>
      <c r="AO2736" s="18" t="s">
        <v>3630</v>
      </c>
      <c r="AP2736" t="s">
        <v>10832</v>
      </c>
    </row>
    <row r="2737" spans="1:42" customFormat="1" x14ac:dyDescent="0.3">
      <c r="A2737" s="148" t="s">
        <v>8319</v>
      </c>
      <c r="B2737" t="s">
        <v>8320</v>
      </c>
      <c r="C2737" s="148" t="s">
        <v>9410</v>
      </c>
      <c r="D2737" t="s">
        <v>9411</v>
      </c>
      <c r="E2737" s="148" t="s">
        <v>9412</v>
      </c>
      <c r="F2737" t="s">
        <v>9413</v>
      </c>
      <c r="G2737" s="148" t="s">
        <v>9471</v>
      </c>
      <c r="H2737" t="s">
        <v>9472</v>
      </c>
      <c r="K2737" s="148" t="s">
        <v>9473</v>
      </c>
      <c r="L2737" t="s">
        <v>9474</v>
      </c>
      <c r="M2737" s="1" t="s">
        <v>10833</v>
      </c>
      <c r="N2737" s="1" t="s">
        <v>10834</v>
      </c>
      <c r="O2737" s="1">
        <v>1</v>
      </c>
      <c r="P2737" s="3">
        <v>1</v>
      </c>
      <c r="Q2737" s="3">
        <v>1</v>
      </c>
      <c r="R2737" s="3">
        <v>1</v>
      </c>
      <c r="S2737" s="3">
        <v>1</v>
      </c>
      <c r="T2737" t="s">
        <v>3643</v>
      </c>
      <c r="U2737" t="s">
        <v>3630</v>
      </c>
      <c r="W2737" s="45">
        <v>1</v>
      </c>
      <c r="X2737" s="45">
        <v>0</v>
      </c>
      <c r="Y2737" s="45">
        <v>0</v>
      </c>
      <c r="Z2737" s="45">
        <v>1</v>
      </c>
      <c r="AA2737" s="45">
        <v>0</v>
      </c>
      <c r="AB2737" s="45">
        <v>0</v>
      </c>
      <c r="AC2737" s="150">
        <v>0</v>
      </c>
      <c r="AD2737" s="150">
        <v>1</v>
      </c>
      <c r="AE2737" s="49">
        <f t="shared" si="111"/>
        <v>0.375</v>
      </c>
      <c r="AF2737" s="17"/>
      <c r="AG2737" s="17">
        <v>0</v>
      </c>
      <c r="AH2737" s="17"/>
      <c r="AI2737" s="17"/>
      <c r="AJ2737" s="17"/>
      <c r="AK2737" s="153"/>
      <c r="AL2737" s="154"/>
      <c r="AM2737" s="147">
        <f t="shared" si="110"/>
        <v>0</v>
      </c>
      <c r="AO2737" s="18"/>
    </row>
    <row r="2738" spans="1:42" customFormat="1" x14ac:dyDescent="0.3">
      <c r="A2738" s="148" t="s">
        <v>8319</v>
      </c>
      <c r="B2738" t="s">
        <v>8320</v>
      </c>
      <c r="C2738" s="148" t="s">
        <v>9410</v>
      </c>
      <c r="D2738" t="s">
        <v>9411</v>
      </c>
      <c r="E2738" s="148" t="s">
        <v>9412</v>
      </c>
      <c r="F2738" t="s">
        <v>9413</v>
      </c>
      <c r="G2738" s="148" t="s">
        <v>9820</v>
      </c>
      <c r="H2738" t="s">
        <v>9821</v>
      </c>
      <c r="K2738" s="155" t="s">
        <v>10835</v>
      </c>
      <c r="L2738" t="s">
        <v>10836</v>
      </c>
      <c r="M2738" s="1"/>
      <c r="N2738" s="1"/>
      <c r="O2738" s="1"/>
      <c r="P2738" s="3"/>
      <c r="Q2738" s="3"/>
      <c r="R2738" s="3"/>
      <c r="S2738" s="3"/>
      <c r="U2738" t="e">
        <v>#N/A</v>
      </c>
      <c r="V2738" t="s">
        <v>10837</v>
      </c>
      <c r="W2738" s="45">
        <v>1</v>
      </c>
      <c r="X2738" s="45">
        <v>0</v>
      </c>
      <c r="Y2738" s="45">
        <v>0</v>
      </c>
      <c r="Z2738" s="45">
        <v>1</v>
      </c>
      <c r="AA2738" s="45">
        <v>0</v>
      </c>
      <c r="AB2738" s="45">
        <v>0</v>
      </c>
      <c r="AC2738" s="150">
        <v>0</v>
      </c>
      <c r="AD2738" s="150">
        <v>1</v>
      </c>
      <c r="AE2738" s="49">
        <f t="shared" si="111"/>
        <v>0.375</v>
      </c>
      <c r="AF2738" s="44"/>
      <c r="AG2738" s="17">
        <v>0</v>
      </c>
      <c r="AH2738" s="44">
        <v>0.4</v>
      </c>
      <c r="AI2738" s="44">
        <v>0.4</v>
      </c>
      <c r="AJ2738" s="44">
        <v>0.4</v>
      </c>
      <c r="AK2738" s="151">
        <v>0.4</v>
      </c>
      <c r="AL2738" s="151">
        <v>0.4</v>
      </c>
      <c r="AM2738" s="147">
        <f t="shared" si="110"/>
        <v>0.8</v>
      </c>
      <c r="AN2738" t="s">
        <v>3643</v>
      </c>
      <c r="AO2738" s="18" t="s">
        <v>3630</v>
      </c>
      <c r="AP2738" t="s">
        <v>10838</v>
      </c>
    </row>
    <row r="2739" spans="1:42" customFormat="1" x14ac:dyDescent="0.3">
      <c r="A2739" s="148" t="s">
        <v>8319</v>
      </c>
      <c r="B2739" t="s">
        <v>8320</v>
      </c>
      <c r="C2739" s="148" t="s">
        <v>9410</v>
      </c>
      <c r="D2739" t="s">
        <v>9411</v>
      </c>
      <c r="E2739" s="148" t="s">
        <v>9412</v>
      </c>
      <c r="F2739" t="s">
        <v>9413</v>
      </c>
      <c r="G2739" s="148" t="s">
        <v>9820</v>
      </c>
      <c r="H2739" t="s">
        <v>9821</v>
      </c>
      <c r="K2739" s="155" t="s">
        <v>10021</v>
      </c>
      <c r="L2739" t="s">
        <v>10022</v>
      </c>
      <c r="M2739" s="1"/>
      <c r="N2739" s="1"/>
      <c r="O2739" s="1"/>
      <c r="P2739" s="3"/>
      <c r="Q2739" s="3"/>
      <c r="R2739" s="3"/>
      <c r="S2739" s="3"/>
      <c r="U2739" t="e">
        <v>#N/A</v>
      </c>
      <c r="V2739" t="s">
        <v>10839</v>
      </c>
      <c r="W2739" s="45">
        <v>1</v>
      </c>
      <c r="X2739" s="45">
        <v>0</v>
      </c>
      <c r="Y2739" s="45">
        <v>0</v>
      </c>
      <c r="Z2739" s="45">
        <v>1</v>
      </c>
      <c r="AA2739" s="45">
        <v>1</v>
      </c>
      <c r="AB2739" s="45">
        <v>0</v>
      </c>
      <c r="AC2739" s="150">
        <v>0</v>
      </c>
      <c r="AD2739" s="150">
        <v>0</v>
      </c>
      <c r="AE2739" s="49">
        <f t="shared" si="111"/>
        <v>0.375</v>
      </c>
      <c r="AF2739" s="17"/>
      <c r="AG2739" s="17">
        <v>0</v>
      </c>
      <c r="AH2739" s="17">
        <v>0</v>
      </c>
      <c r="AI2739" s="17">
        <v>0</v>
      </c>
      <c r="AJ2739" s="17">
        <v>0</v>
      </c>
      <c r="AK2739" s="153">
        <v>0</v>
      </c>
      <c r="AL2739" s="154">
        <v>0</v>
      </c>
      <c r="AM2739" s="147">
        <f t="shared" si="110"/>
        <v>0</v>
      </c>
      <c r="AN2739" t="s">
        <v>3643</v>
      </c>
      <c r="AO2739" s="18" t="s">
        <v>3630</v>
      </c>
      <c r="AP2739" t="s">
        <v>10840</v>
      </c>
    </row>
    <row r="2740" spans="1:42" customFormat="1" x14ac:dyDescent="0.3">
      <c r="A2740" s="148" t="s">
        <v>8319</v>
      </c>
      <c r="B2740" t="s">
        <v>8320</v>
      </c>
      <c r="C2740" s="148" t="s">
        <v>9410</v>
      </c>
      <c r="D2740" t="s">
        <v>9411</v>
      </c>
      <c r="E2740" s="148" t="s">
        <v>9412</v>
      </c>
      <c r="F2740" t="s">
        <v>9413</v>
      </c>
      <c r="G2740" s="148" t="s">
        <v>9820</v>
      </c>
      <c r="H2740" t="s">
        <v>9821</v>
      </c>
      <c r="K2740" s="155" t="s">
        <v>10021</v>
      </c>
      <c r="L2740" t="s">
        <v>10022</v>
      </c>
      <c r="M2740" s="1"/>
      <c r="N2740" s="1"/>
      <c r="O2740" s="1"/>
      <c r="P2740" s="3"/>
      <c r="Q2740" s="3"/>
      <c r="R2740" s="3"/>
      <c r="S2740" s="3"/>
      <c r="U2740" t="e">
        <v>#N/A</v>
      </c>
      <c r="V2740" t="s">
        <v>10841</v>
      </c>
      <c r="W2740" s="45">
        <v>1</v>
      </c>
      <c r="X2740" s="45">
        <v>0</v>
      </c>
      <c r="Y2740" s="45">
        <v>0</v>
      </c>
      <c r="Z2740" s="45">
        <v>1</v>
      </c>
      <c r="AA2740" s="45">
        <v>0</v>
      </c>
      <c r="AB2740" s="45">
        <v>0</v>
      </c>
      <c r="AC2740" s="150">
        <v>0</v>
      </c>
      <c r="AD2740" s="150">
        <v>1</v>
      </c>
      <c r="AE2740" s="49">
        <f t="shared" si="111"/>
        <v>0.375</v>
      </c>
      <c r="AF2740" s="17"/>
      <c r="AG2740" s="17">
        <v>0</v>
      </c>
      <c r="AH2740" s="17">
        <v>0</v>
      </c>
      <c r="AI2740" s="17">
        <v>0</v>
      </c>
      <c r="AJ2740" s="17">
        <v>0</v>
      </c>
      <c r="AK2740" s="153">
        <v>0</v>
      </c>
      <c r="AL2740" s="154">
        <v>0</v>
      </c>
      <c r="AM2740" s="147">
        <f t="shared" si="110"/>
        <v>0</v>
      </c>
      <c r="AN2740" t="s">
        <v>3643</v>
      </c>
      <c r="AO2740" s="18" t="s">
        <v>3630</v>
      </c>
      <c r="AP2740" t="s">
        <v>10842</v>
      </c>
    </row>
    <row r="2741" spans="1:42" customFormat="1" x14ac:dyDescent="0.3">
      <c r="A2741" s="148" t="s">
        <v>8319</v>
      </c>
      <c r="B2741" t="s">
        <v>8320</v>
      </c>
      <c r="C2741" s="148" t="s">
        <v>9410</v>
      </c>
      <c r="D2741" t="s">
        <v>9411</v>
      </c>
      <c r="E2741" s="148" t="s">
        <v>9412</v>
      </c>
      <c r="F2741" t="s">
        <v>9413</v>
      </c>
      <c r="G2741" s="148" t="s">
        <v>9820</v>
      </c>
      <c r="H2741" t="s">
        <v>9821</v>
      </c>
      <c r="K2741" s="155" t="s">
        <v>10699</v>
      </c>
      <c r="L2741" t="s">
        <v>10700</v>
      </c>
      <c r="M2741" s="1"/>
      <c r="N2741" s="1"/>
      <c r="O2741" s="1"/>
      <c r="P2741" s="3"/>
      <c r="Q2741" s="3"/>
      <c r="R2741" s="3"/>
      <c r="S2741" s="3"/>
      <c r="U2741" t="e">
        <v>#N/A</v>
      </c>
      <c r="V2741" t="s">
        <v>10843</v>
      </c>
      <c r="W2741" s="45">
        <v>1</v>
      </c>
      <c r="X2741" s="45">
        <v>0</v>
      </c>
      <c r="Y2741" s="45">
        <v>0</v>
      </c>
      <c r="Z2741" s="45">
        <v>1</v>
      </c>
      <c r="AA2741" s="45">
        <v>0</v>
      </c>
      <c r="AB2741" s="45">
        <v>0</v>
      </c>
      <c r="AC2741" s="150">
        <v>0</v>
      </c>
      <c r="AD2741" s="150">
        <v>1</v>
      </c>
      <c r="AE2741" s="49">
        <f t="shared" si="111"/>
        <v>0.375</v>
      </c>
      <c r="AF2741" s="17"/>
      <c r="AG2741" s="17">
        <v>0</v>
      </c>
      <c r="AH2741" s="17">
        <v>0</v>
      </c>
      <c r="AI2741" s="17">
        <v>0</v>
      </c>
      <c r="AJ2741" s="17">
        <v>0</v>
      </c>
      <c r="AK2741" s="153">
        <v>1</v>
      </c>
      <c r="AL2741" s="154">
        <v>1</v>
      </c>
      <c r="AM2741" s="147">
        <f t="shared" si="110"/>
        <v>2</v>
      </c>
      <c r="AN2741" t="s">
        <v>3643</v>
      </c>
      <c r="AO2741" s="18" t="s">
        <v>3630</v>
      </c>
      <c r="AP2741" t="s">
        <v>10844</v>
      </c>
    </row>
    <row r="2742" spans="1:42" customFormat="1" x14ac:dyDescent="0.3">
      <c r="A2742" s="148" t="s">
        <v>8319</v>
      </c>
      <c r="B2742" t="s">
        <v>8320</v>
      </c>
      <c r="C2742" s="148" t="s">
        <v>9496</v>
      </c>
      <c r="D2742" t="s">
        <v>9497</v>
      </c>
      <c r="E2742" s="148" t="s">
        <v>9498</v>
      </c>
      <c r="F2742" t="s">
        <v>9499</v>
      </c>
      <c r="G2742" s="148" t="s">
        <v>9500</v>
      </c>
      <c r="H2742" t="s">
        <v>9501</v>
      </c>
      <c r="K2742" s="148" t="s">
        <v>10845</v>
      </c>
      <c r="L2742" t="s">
        <v>10846</v>
      </c>
      <c r="M2742" s="1" t="s">
        <v>10847</v>
      </c>
      <c r="N2742" s="1">
        <v>0</v>
      </c>
      <c r="O2742" s="1"/>
      <c r="P2742" s="3"/>
      <c r="Q2742" s="3"/>
      <c r="R2742" s="3">
        <v>1666</v>
      </c>
      <c r="S2742" s="3">
        <v>2237</v>
      </c>
      <c r="T2742" t="s">
        <v>771</v>
      </c>
      <c r="U2742" t="s">
        <v>773</v>
      </c>
      <c r="V2742" t="s">
        <v>10848</v>
      </c>
      <c r="W2742" s="45">
        <v>0</v>
      </c>
      <c r="X2742" s="45">
        <v>0</v>
      </c>
      <c r="Y2742" s="45">
        <v>0</v>
      </c>
      <c r="Z2742" s="45">
        <v>1</v>
      </c>
      <c r="AA2742" s="45">
        <v>1</v>
      </c>
      <c r="AB2742" s="45">
        <v>0</v>
      </c>
      <c r="AC2742" s="150">
        <v>0</v>
      </c>
      <c r="AD2742" s="150">
        <v>1</v>
      </c>
      <c r="AE2742" s="49">
        <f t="shared" si="111"/>
        <v>0.375</v>
      </c>
      <c r="AF2742" s="44"/>
      <c r="AG2742" s="17">
        <v>0</v>
      </c>
      <c r="AH2742" s="44">
        <v>0</v>
      </c>
      <c r="AI2742" s="44">
        <v>0</v>
      </c>
      <c r="AJ2742" s="44">
        <v>0</v>
      </c>
      <c r="AK2742" s="151">
        <v>0</v>
      </c>
      <c r="AL2742" s="151">
        <v>0</v>
      </c>
      <c r="AM2742" s="147">
        <f t="shared" si="110"/>
        <v>0</v>
      </c>
      <c r="AN2742" s="18" t="s">
        <v>771</v>
      </c>
      <c r="AO2742" s="18" t="s">
        <v>773</v>
      </c>
      <c r="AP2742" t="s">
        <v>255</v>
      </c>
    </row>
    <row r="2743" spans="1:42" customFormat="1" x14ac:dyDescent="0.3">
      <c r="A2743" s="148" t="s">
        <v>8319</v>
      </c>
      <c r="B2743" t="s">
        <v>8320</v>
      </c>
      <c r="C2743" s="148" t="s">
        <v>9496</v>
      </c>
      <c r="D2743" t="s">
        <v>9497</v>
      </c>
      <c r="E2743" s="148" t="s">
        <v>9498</v>
      </c>
      <c r="F2743" t="s">
        <v>9499</v>
      </c>
      <c r="G2743" s="148" t="s">
        <v>9500</v>
      </c>
      <c r="H2743" t="s">
        <v>9501</v>
      </c>
      <c r="K2743" s="148" t="s">
        <v>9840</v>
      </c>
      <c r="L2743" t="s">
        <v>9841</v>
      </c>
      <c r="M2743" s="1" t="s">
        <v>10849</v>
      </c>
      <c r="N2743" s="1">
        <v>0</v>
      </c>
      <c r="O2743" s="1">
        <v>0</v>
      </c>
      <c r="P2743" s="3">
        <v>1</v>
      </c>
      <c r="Q2743" s="3">
        <v>1</v>
      </c>
      <c r="R2743" s="3">
        <v>1</v>
      </c>
      <c r="S2743" s="3">
        <v>1</v>
      </c>
      <c r="T2743" t="s">
        <v>1536</v>
      </c>
      <c r="U2743" t="e">
        <v>#N/A</v>
      </c>
      <c r="V2743" t="s">
        <v>10850</v>
      </c>
      <c r="W2743" s="45">
        <v>0</v>
      </c>
      <c r="X2743" s="45">
        <v>0</v>
      </c>
      <c r="Y2743" s="45">
        <v>0</v>
      </c>
      <c r="Z2743" s="45">
        <v>1</v>
      </c>
      <c r="AA2743" s="45">
        <v>1</v>
      </c>
      <c r="AB2743" s="45">
        <v>0</v>
      </c>
      <c r="AC2743" s="150">
        <v>0</v>
      </c>
      <c r="AD2743" s="150">
        <v>1</v>
      </c>
      <c r="AE2743" s="49">
        <f t="shared" si="111"/>
        <v>0.375</v>
      </c>
      <c r="AF2743" s="44"/>
      <c r="AG2743" s="17">
        <v>0</v>
      </c>
      <c r="AH2743" s="44">
        <v>0</v>
      </c>
      <c r="AI2743" s="44">
        <v>0</v>
      </c>
      <c r="AJ2743" s="44">
        <v>0</v>
      </c>
      <c r="AK2743" s="151">
        <v>0</v>
      </c>
      <c r="AL2743" s="151">
        <v>0</v>
      </c>
      <c r="AM2743" s="147">
        <f t="shared" si="110"/>
        <v>0</v>
      </c>
      <c r="AN2743" s="18" t="s">
        <v>771</v>
      </c>
      <c r="AO2743" s="18" t="s">
        <v>773</v>
      </c>
      <c r="AP2743" t="s">
        <v>10851</v>
      </c>
    </row>
    <row r="2744" spans="1:42" customFormat="1" x14ac:dyDescent="0.3">
      <c r="A2744" s="148" t="s">
        <v>8319</v>
      </c>
      <c r="B2744" t="s">
        <v>8320</v>
      </c>
      <c r="C2744" s="148" t="s">
        <v>9496</v>
      </c>
      <c r="D2744" t="s">
        <v>9497</v>
      </c>
      <c r="E2744" s="148" t="s">
        <v>9498</v>
      </c>
      <c r="F2744" t="s">
        <v>9499</v>
      </c>
      <c r="G2744" s="148" t="s">
        <v>9500</v>
      </c>
      <c r="H2744" t="s">
        <v>9501</v>
      </c>
      <c r="K2744" s="148" t="s">
        <v>10852</v>
      </c>
      <c r="L2744" t="s">
        <v>10853</v>
      </c>
      <c r="M2744" s="1" t="s">
        <v>10854</v>
      </c>
      <c r="N2744" s="1">
        <v>1</v>
      </c>
      <c r="O2744" s="1">
        <v>1</v>
      </c>
      <c r="P2744" s="3"/>
      <c r="Q2744" s="3"/>
      <c r="R2744" s="3"/>
      <c r="S2744" s="3"/>
      <c r="T2744" t="s">
        <v>10855</v>
      </c>
      <c r="U2744" t="e">
        <v>#N/A</v>
      </c>
      <c r="V2744" t="s">
        <v>10856</v>
      </c>
      <c r="W2744" s="45">
        <v>0</v>
      </c>
      <c r="X2744" s="45">
        <v>0</v>
      </c>
      <c r="Y2744" s="45">
        <v>0</v>
      </c>
      <c r="Z2744" s="45">
        <v>1</v>
      </c>
      <c r="AA2744" s="45">
        <v>1</v>
      </c>
      <c r="AB2744" s="45">
        <v>0</v>
      </c>
      <c r="AC2744" s="150">
        <v>0</v>
      </c>
      <c r="AD2744" s="150">
        <v>1</v>
      </c>
      <c r="AE2744" s="49">
        <f t="shared" si="111"/>
        <v>0.375</v>
      </c>
      <c r="AF2744" s="44"/>
      <c r="AG2744" s="17">
        <v>0</v>
      </c>
      <c r="AH2744" s="44">
        <v>0</v>
      </c>
      <c r="AI2744" s="44">
        <v>0</v>
      </c>
      <c r="AJ2744" s="44">
        <v>0</v>
      </c>
      <c r="AK2744" s="151">
        <v>0</v>
      </c>
      <c r="AL2744" s="151">
        <v>0</v>
      </c>
      <c r="AM2744" s="147">
        <f t="shared" si="110"/>
        <v>0</v>
      </c>
      <c r="AN2744" s="18" t="s">
        <v>771</v>
      </c>
      <c r="AO2744" s="18" t="s">
        <v>773</v>
      </c>
      <c r="AP2744" t="s">
        <v>10725</v>
      </c>
    </row>
    <row r="2745" spans="1:42" customFormat="1" x14ac:dyDescent="0.3">
      <c r="A2745" s="148" t="s">
        <v>8319</v>
      </c>
      <c r="B2745" t="s">
        <v>8320</v>
      </c>
      <c r="C2745" s="148" t="s">
        <v>9496</v>
      </c>
      <c r="D2745" t="s">
        <v>9497</v>
      </c>
      <c r="E2745" s="148" t="s">
        <v>9498</v>
      </c>
      <c r="F2745" t="s">
        <v>9499</v>
      </c>
      <c r="G2745" s="148" t="s">
        <v>9500</v>
      </c>
      <c r="H2745" t="s">
        <v>9501</v>
      </c>
      <c r="K2745" s="148" t="s">
        <v>10857</v>
      </c>
      <c r="L2745" t="s">
        <v>10858</v>
      </c>
      <c r="M2745" s="1" t="s">
        <v>10859</v>
      </c>
      <c r="N2745" s="1">
        <v>7</v>
      </c>
      <c r="O2745" s="1">
        <v>5</v>
      </c>
      <c r="P2745" s="3">
        <v>5</v>
      </c>
      <c r="Q2745" s="3">
        <v>7</v>
      </c>
      <c r="R2745" s="3">
        <v>2</v>
      </c>
      <c r="S2745" s="3">
        <v>1</v>
      </c>
      <c r="T2745" t="s">
        <v>1536</v>
      </c>
      <c r="U2745" t="e">
        <v>#N/A</v>
      </c>
      <c r="V2745" t="s">
        <v>10860</v>
      </c>
      <c r="W2745" s="45">
        <v>0</v>
      </c>
      <c r="X2745" s="45">
        <v>0</v>
      </c>
      <c r="Y2745" s="45">
        <v>0</v>
      </c>
      <c r="Z2745" s="45">
        <v>1</v>
      </c>
      <c r="AA2745" s="45">
        <v>1</v>
      </c>
      <c r="AB2745" s="45">
        <v>0</v>
      </c>
      <c r="AC2745" s="150">
        <v>0</v>
      </c>
      <c r="AD2745" s="150">
        <v>1</v>
      </c>
      <c r="AE2745" s="49">
        <f t="shared" si="111"/>
        <v>0.375</v>
      </c>
      <c r="AF2745" s="44"/>
      <c r="AG2745" s="17">
        <v>0</v>
      </c>
      <c r="AH2745" s="44">
        <v>0</v>
      </c>
      <c r="AI2745" s="44">
        <v>0</v>
      </c>
      <c r="AJ2745" s="44">
        <v>0</v>
      </c>
      <c r="AK2745" s="151">
        <v>0.15</v>
      </c>
      <c r="AL2745" s="151">
        <v>0.15</v>
      </c>
      <c r="AM2745" s="147">
        <f t="shared" si="110"/>
        <v>0.3</v>
      </c>
      <c r="AN2745" s="18" t="s">
        <v>771</v>
      </c>
      <c r="AO2745" s="18" t="s">
        <v>773</v>
      </c>
      <c r="AP2745" t="s">
        <v>10732</v>
      </c>
    </row>
    <row r="2746" spans="1:42" customFormat="1" x14ac:dyDescent="0.3">
      <c r="A2746" s="148" t="s">
        <v>8319</v>
      </c>
      <c r="B2746" t="s">
        <v>8320</v>
      </c>
      <c r="C2746" s="148" t="s">
        <v>9496</v>
      </c>
      <c r="D2746" t="s">
        <v>9497</v>
      </c>
      <c r="E2746" s="148" t="s">
        <v>9498</v>
      </c>
      <c r="F2746" t="s">
        <v>9499</v>
      </c>
      <c r="G2746" s="148" t="s">
        <v>10049</v>
      </c>
      <c r="H2746" t="s">
        <v>10050</v>
      </c>
      <c r="K2746" s="148" t="s">
        <v>10051</v>
      </c>
      <c r="L2746" t="s">
        <v>10052</v>
      </c>
      <c r="M2746" s="1" t="s">
        <v>10861</v>
      </c>
      <c r="N2746" s="1">
        <v>0</v>
      </c>
      <c r="O2746" s="1">
        <v>1</v>
      </c>
      <c r="P2746" s="3">
        <v>0</v>
      </c>
      <c r="Q2746" s="3">
        <v>0</v>
      </c>
      <c r="R2746" s="3">
        <v>0</v>
      </c>
      <c r="S2746" s="3">
        <v>0</v>
      </c>
      <c r="T2746" t="s">
        <v>1563</v>
      </c>
      <c r="U2746" t="s">
        <v>1565</v>
      </c>
      <c r="V2746" t="s">
        <v>10862</v>
      </c>
      <c r="W2746" s="45">
        <v>1</v>
      </c>
      <c r="X2746" s="45">
        <v>0</v>
      </c>
      <c r="Y2746" s="45">
        <v>0</v>
      </c>
      <c r="Z2746" s="45">
        <v>1</v>
      </c>
      <c r="AA2746" s="45">
        <v>1</v>
      </c>
      <c r="AB2746" s="45">
        <v>0</v>
      </c>
      <c r="AC2746" s="150">
        <v>0</v>
      </c>
      <c r="AD2746" s="150">
        <v>1</v>
      </c>
      <c r="AE2746" s="49">
        <f t="shared" si="111"/>
        <v>0.5</v>
      </c>
      <c r="AF2746" s="44"/>
      <c r="AG2746" s="17">
        <v>0</v>
      </c>
      <c r="AH2746" s="44">
        <v>0</v>
      </c>
      <c r="AI2746" s="44">
        <v>0</v>
      </c>
      <c r="AJ2746" s="44">
        <v>0</v>
      </c>
      <c r="AK2746" s="151">
        <v>0.2</v>
      </c>
      <c r="AL2746" s="151">
        <v>0.3</v>
      </c>
      <c r="AM2746" s="147">
        <f t="shared" si="110"/>
        <v>0.5</v>
      </c>
      <c r="AN2746" t="s">
        <v>1563</v>
      </c>
      <c r="AO2746" s="18" t="s">
        <v>1565</v>
      </c>
      <c r="AP2746" t="s">
        <v>5698</v>
      </c>
    </row>
    <row r="2747" spans="1:42" customFormat="1" x14ac:dyDescent="0.3">
      <c r="A2747" s="148" t="s">
        <v>8319</v>
      </c>
      <c r="B2747" t="s">
        <v>8320</v>
      </c>
      <c r="C2747" s="148" t="s">
        <v>9496</v>
      </c>
      <c r="D2747" t="s">
        <v>9497</v>
      </c>
      <c r="E2747" s="148" t="s">
        <v>9498</v>
      </c>
      <c r="F2747" t="s">
        <v>9499</v>
      </c>
      <c r="G2747" s="148" t="s">
        <v>10049</v>
      </c>
      <c r="H2747" t="s">
        <v>10050</v>
      </c>
      <c r="K2747" s="148" t="s">
        <v>10863</v>
      </c>
      <c r="L2747" t="s">
        <v>10864</v>
      </c>
      <c r="M2747" s="1" t="s">
        <v>10865</v>
      </c>
      <c r="N2747" s="1">
        <v>0</v>
      </c>
      <c r="O2747" s="1">
        <v>1</v>
      </c>
      <c r="P2747" s="3">
        <v>1</v>
      </c>
      <c r="Q2747" s="3">
        <v>1</v>
      </c>
      <c r="R2747" s="3">
        <v>1</v>
      </c>
      <c r="S2747" s="3">
        <v>1</v>
      </c>
      <c r="T2747" t="s">
        <v>1563</v>
      </c>
      <c r="U2747" t="s">
        <v>1565</v>
      </c>
      <c r="V2747" t="s">
        <v>10866</v>
      </c>
      <c r="W2747" s="45">
        <v>1</v>
      </c>
      <c r="X2747" s="45">
        <v>1</v>
      </c>
      <c r="Y2747" s="45">
        <v>0</v>
      </c>
      <c r="Z2747" s="45">
        <v>1</v>
      </c>
      <c r="AA2747" s="45">
        <v>1</v>
      </c>
      <c r="AB2747" s="45">
        <v>0</v>
      </c>
      <c r="AC2747" s="150">
        <v>0</v>
      </c>
      <c r="AD2747" s="150">
        <v>1</v>
      </c>
      <c r="AE2747" s="49">
        <f t="shared" si="111"/>
        <v>0.625</v>
      </c>
      <c r="AF2747" s="44"/>
      <c r="AG2747" s="17">
        <v>0</v>
      </c>
      <c r="AH2747" s="44">
        <v>0</v>
      </c>
      <c r="AI2747" s="44">
        <v>0</v>
      </c>
      <c r="AJ2747" s="44">
        <v>0</v>
      </c>
      <c r="AK2747" s="151">
        <v>0.41</v>
      </c>
      <c r="AL2747" s="151">
        <v>0.41</v>
      </c>
      <c r="AM2747" s="147">
        <f t="shared" si="110"/>
        <v>0.82</v>
      </c>
      <c r="AN2747" t="s">
        <v>1563</v>
      </c>
      <c r="AO2747" s="18" t="s">
        <v>1565</v>
      </c>
      <c r="AP2747" t="s">
        <v>5698</v>
      </c>
    </row>
    <row r="2748" spans="1:42" customFormat="1" x14ac:dyDescent="0.3">
      <c r="A2748" s="148" t="s">
        <v>8319</v>
      </c>
      <c r="B2748" t="s">
        <v>8320</v>
      </c>
      <c r="C2748" s="148" t="s">
        <v>9344</v>
      </c>
      <c r="D2748" t="s">
        <v>9345</v>
      </c>
      <c r="E2748" s="148" t="s">
        <v>10414</v>
      </c>
      <c r="F2748" t="s">
        <v>10415</v>
      </c>
      <c r="G2748" s="148" t="s">
        <v>10429</v>
      </c>
      <c r="H2748" t="s">
        <v>10430</v>
      </c>
      <c r="K2748" s="148" t="s">
        <v>10867</v>
      </c>
      <c r="L2748" t="s">
        <v>10868</v>
      </c>
      <c r="M2748" s="1" t="s">
        <v>10869</v>
      </c>
      <c r="N2748" s="1" t="s">
        <v>119</v>
      </c>
      <c r="O2748" s="1">
        <v>70</v>
      </c>
      <c r="P2748" s="3">
        <v>77</v>
      </c>
      <c r="Q2748" s="3">
        <v>85</v>
      </c>
      <c r="R2748" s="3">
        <v>90</v>
      </c>
      <c r="S2748" s="3">
        <v>100</v>
      </c>
      <c r="T2748" t="s">
        <v>10870</v>
      </c>
      <c r="U2748" t="e">
        <v>#N/A</v>
      </c>
      <c r="V2748" t="s">
        <v>10871</v>
      </c>
      <c r="W2748" s="45">
        <v>1</v>
      </c>
      <c r="X2748" s="45">
        <v>0</v>
      </c>
      <c r="Y2748" s="45">
        <v>0</v>
      </c>
      <c r="Z2748" s="45">
        <v>1</v>
      </c>
      <c r="AA2748" s="45">
        <v>1</v>
      </c>
      <c r="AB2748" s="45"/>
      <c r="AC2748" s="150">
        <v>0</v>
      </c>
      <c r="AD2748" s="150">
        <v>0</v>
      </c>
      <c r="AE2748" s="49">
        <f t="shared" si="111"/>
        <v>0.375</v>
      </c>
      <c r="AF2748" s="17"/>
      <c r="AG2748" s="17">
        <v>0</v>
      </c>
      <c r="AH2748" s="17">
        <v>0</v>
      </c>
      <c r="AI2748" s="17">
        <v>0</v>
      </c>
      <c r="AJ2748" s="44">
        <v>0.5</v>
      </c>
      <c r="AK2748" s="151">
        <v>0.5</v>
      </c>
      <c r="AL2748" s="151">
        <v>0.5</v>
      </c>
      <c r="AM2748" s="147">
        <f t="shared" si="110"/>
        <v>1</v>
      </c>
      <c r="AN2748" t="s">
        <v>723</v>
      </c>
      <c r="AO2748" s="18" t="s">
        <v>729</v>
      </c>
      <c r="AP2748" t="s">
        <v>10448</v>
      </c>
    </row>
    <row r="2749" spans="1:42" customFormat="1" x14ac:dyDescent="0.3">
      <c r="A2749" s="148" t="s">
        <v>8319</v>
      </c>
      <c r="B2749" t="s">
        <v>8320</v>
      </c>
      <c r="C2749" s="148" t="s">
        <v>9344</v>
      </c>
      <c r="D2749" t="s">
        <v>9345</v>
      </c>
      <c r="E2749" s="148" t="s">
        <v>10414</v>
      </c>
      <c r="F2749" t="s">
        <v>10415</v>
      </c>
      <c r="G2749" s="148" t="s">
        <v>10437</v>
      </c>
      <c r="H2749" t="s">
        <v>10438</v>
      </c>
      <c r="K2749" s="148" t="s">
        <v>10872</v>
      </c>
      <c r="L2749" t="s">
        <v>10873</v>
      </c>
      <c r="M2749" s="1" t="s">
        <v>10874</v>
      </c>
      <c r="N2749" s="1" t="s">
        <v>119</v>
      </c>
      <c r="O2749" s="1">
        <v>8</v>
      </c>
      <c r="P2749" s="3">
        <v>16</v>
      </c>
      <c r="Q2749" s="3">
        <v>20</v>
      </c>
      <c r="R2749" s="3">
        <v>28</v>
      </c>
      <c r="S2749" s="3">
        <v>32</v>
      </c>
      <c r="T2749" t="s">
        <v>723</v>
      </c>
      <c r="U2749" t="s">
        <v>729</v>
      </c>
      <c r="V2749" t="s">
        <v>10875</v>
      </c>
      <c r="W2749" s="45">
        <v>1</v>
      </c>
      <c r="X2749" s="45">
        <v>0</v>
      </c>
      <c r="Y2749" s="45">
        <v>0</v>
      </c>
      <c r="Z2749" s="45">
        <v>1</v>
      </c>
      <c r="AA2749" s="45">
        <v>1</v>
      </c>
      <c r="AB2749" s="45">
        <v>0</v>
      </c>
      <c r="AC2749" s="150">
        <v>0</v>
      </c>
      <c r="AD2749" s="150">
        <v>0</v>
      </c>
      <c r="AE2749" s="49">
        <f t="shared" si="111"/>
        <v>0.375</v>
      </c>
      <c r="AF2749" s="44"/>
      <c r="AG2749" s="17">
        <v>0</v>
      </c>
      <c r="AH2749" s="44">
        <v>3.44</v>
      </c>
      <c r="AI2749" s="44">
        <v>3.62</v>
      </c>
      <c r="AJ2749" s="44">
        <v>3.8</v>
      </c>
      <c r="AK2749" s="151">
        <v>3.99</v>
      </c>
      <c r="AL2749" s="151">
        <v>4.1900000000000004</v>
      </c>
      <c r="AM2749" s="147">
        <f t="shared" si="110"/>
        <v>8.18</v>
      </c>
      <c r="AN2749" t="s">
        <v>723</v>
      </c>
      <c r="AO2749" s="18" t="s">
        <v>729</v>
      </c>
      <c r="AP2749" t="s">
        <v>255</v>
      </c>
    </row>
    <row r="2750" spans="1:42" customFormat="1" x14ac:dyDescent="0.3">
      <c r="A2750" s="148" t="s">
        <v>8319</v>
      </c>
      <c r="B2750" t="s">
        <v>8320</v>
      </c>
      <c r="C2750" s="148" t="s">
        <v>9344</v>
      </c>
      <c r="D2750" t="s">
        <v>9345</v>
      </c>
      <c r="E2750" s="148" t="s">
        <v>9346</v>
      </c>
      <c r="F2750" t="s">
        <v>9347</v>
      </c>
      <c r="G2750" s="148" t="s">
        <v>9552</v>
      </c>
      <c r="H2750" t="s">
        <v>9553</v>
      </c>
      <c r="K2750" s="148" t="s">
        <v>9554</v>
      </c>
      <c r="L2750" t="s">
        <v>9555</v>
      </c>
      <c r="M2750" s="1" t="s">
        <v>10876</v>
      </c>
      <c r="N2750" s="1" t="s">
        <v>271</v>
      </c>
      <c r="O2750" s="1" t="s">
        <v>271</v>
      </c>
      <c r="P2750" s="3">
        <v>500</v>
      </c>
      <c r="Q2750" s="3">
        <v>1000</v>
      </c>
      <c r="R2750" s="3">
        <v>1000</v>
      </c>
      <c r="S2750" s="3">
        <v>1000</v>
      </c>
      <c r="T2750" t="s">
        <v>723</v>
      </c>
      <c r="U2750" t="s">
        <v>729</v>
      </c>
      <c r="V2750" t="s">
        <v>10877</v>
      </c>
      <c r="W2750" s="45">
        <v>1</v>
      </c>
      <c r="X2750" s="45">
        <v>1</v>
      </c>
      <c r="Y2750" s="45">
        <v>0</v>
      </c>
      <c r="Z2750" s="45">
        <v>0</v>
      </c>
      <c r="AA2750" s="45">
        <v>0</v>
      </c>
      <c r="AB2750" s="45">
        <v>0</v>
      </c>
      <c r="AC2750" s="150">
        <v>0</v>
      </c>
      <c r="AD2750" s="150">
        <v>0</v>
      </c>
      <c r="AE2750" s="49">
        <f t="shared" si="111"/>
        <v>0.25</v>
      </c>
      <c r="AF2750" s="44">
        <v>0</v>
      </c>
      <c r="AG2750" s="17">
        <v>1</v>
      </c>
      <c r="AH2750" s="44">
        <v>0</v>
      </c>
      <c r="AI2750" s="44">
        <v>1.7</v>
      </c>
      <c r="AJ2750" s="44">
        <v>3.2</v>
      </c>
      <c r="AK2750" s="151">
        <v>3.2</v>
      </c>
      <c r="AL2750" s="151">
        <v>3.2</v>
      </c>
      <c r="AM2750" s="147">
        <f t="shared" si="110"/>
        <v>6.4</v>
      </c>
      <c r="AN2750" t="s">
        <v>723</v>
      </c>
      <c r="AO2750" s="18" t="s">
        <v>729</v>
      </c>
      <c r="AP2750" t="s">
        <v>119</v>
      </c>
    </row>
    <row r="2751" spans="1:42" customFormat="1" x14ac:dyDescent="0.3">
      <c r="A2751" s="148" t="s">
        <v>8319</v>
      </c>
      <c r="B2751" t="s">
        <v>8320</v>
      </c>
      <c r="C2751" s="148" t="s">
        <v>9344</v>
      </c>
      <c r="D2751" t="s">
        <v>9345</v>
      </c>
      <c r="E2751" s="148" t="s">
        <v>9346</v>
      </c>
      <c r="F2751" t="s">
        <v>9347</v>
      </c>
      <c r="G2751" s="148" t="s">
        <v>10470</v>
      </c>
      <c r="H2751" t="s">
        <v>10471</v>
      </c>
      <c r="I2751" s="148" t="s">
        <v>10878</v>
      </c>
      <c r="J2751" t="s">
        <v>10879</v>
      </c>
      <c r="K2751" s="148" t="s">
        <v>10880</v>
      </c>
      <c r="L2751" t="s">
        <v>10881</v>
      </c>
      <c r="M2751" s="1" t="s">
        <v>10882</v>
      </c>
      <c r="N2751" s="1">
        <v>50</v>
      </c>
      <c r="O2751" s="1">
        <v>100</v>
      </c>
      <c r="P2751" s="3">
        <v>150</v>
      </c>
      <c r="Q2751" s="3">
        <v>250</v>
      </c>
      <c r="R2751" s="3">
        <v>250</v>
      </c>
      <c r="S2751" s="3">
        <v>250</v>
      </c>
      <c r="T2751" t="s">
        <v>10883</v>
      </c>
      <c r="U2751" t="e">
        <v>#N/A</v>
      </c>
      <c r="V2751" t="s">
        <v>10884</v>
      </c>
      <c r="W2751" s="45">
        <v>1</v>
      </c>
      <c r="X2751" s="45">
        <v>0</v>
      </c>
      <c r="Y2751" s="45">
        <v>0</v>
      </c>
      <c r="Z2751" s="45">
        <v>1</v>
      </c>
      <c r="AA2751" s="45">
        <v>0</v>
      </c>
      <c r="AB2751" s="45">
        <v>0</v>
      </c>
      <c r="AC2751" s="150">
        <v>0</v>
      </c>
      <c r="AD2751" s="150">
        <v>0</v>
      </c>
      <c r="AE2751" s="49">
        <f t="shared" si="111"/>
        <v>0.25</v>
      </c>
      <c r="AF2751" s="44"/>
      <c r="AG2751" s="17">
        <v>0</v>
      </c>
      <c r="AH2751" s="44">
        <v>1</v>
      </c>
      <c r="AI2751" s="44">
        <v>2</v>
      </c>
      <c r="AJ2751" s="44">
        <v>3</v>
      </c>
      <c r="AK2751" s="151">
        <v>4</v>
      </c>
      <c r="AL2751" s="151">
        <v>5</v>
      </c>
      <c r="AM2751" s="147">
        <f t="shared" si="110"/>
        <v>9</v>
      </c>
      <c r="AN2751" s="18" t="s">
        <v>255</v>
      </c>
      <c r="AO2751" s="18" t="s">
        <v>1045</v>
      </c>
      <c r="AP2751" t="s">
        <v>1536</v>
      </c>
    </row>
    <row r="2752" spans="1:42" customFormat="1" x14ac:dyDescent="0.3">
      <c r="A2752" s="148" t="s">
        <v>8319</v>
      </c>
      <c r="B2752" t="s">
        <v>8320</v>
      </c>
      <c r="C2752" s="148" t="s">
        <v>9344</v>
      </c>
      <c r="D2752" t="s">
        <v>9345</v>
      </c>
      <c r="E2752" s="148" t="s">
        <v>9346</v>
      </c>
      <c r="F2752" t="s">
        <v>9347</v>
      </c>
      <c r="G2752" s="148" t="s">
        <v>9897</v>
      </c>
      <c r="H2752" t="s">
        <v>9898</v>
      </c>
      <c r="K2752" s="148" t="s">
        <v>10885</v>
      </c>
      <c r="L2752" t="s">
        <v>10886</v>
      </c>
      <c r="M2752" s="1" t="s">
        <v>10887</v>
      </c>
      <c r="N2752" s="1">
        <v>35</v>
      </c>
      <c r="O2752" s="1">
        <v>40</v>
      </c>
      <c r="P2752" s="3">
        <v>50</v>
      </c>
      <c r="Q2752" s="3">
        <v>60</v>
      </c>
      <c r="R2752" s="3">
        <v>70</v>
      </c>
      <c r="S2752" s="3">
        <v>80</v>
      </c>
      <c r="T2752" t="s">
        <v>771</v>
      </c>
      <c r="U2752" t="s">
        <v>773</v>
      </c>
      <c r="V2752" t="s">
        <v>10888</v>
      </c>
      <c r="W2752" s="45">
        <v>1</v>
      </c>
      <c r="X2752" s="45">
        <v>0</v>
      </c>
      <c r="Y2752" s="45">
        <v>0</v>
      </c>
      <c r="Z2752" s="45">
        <v>1</v>
      </c>
      <c r="AA2752" s="45">
        <v>0</v>
      </c>
      <c r="AB2752" s="45">
        <v>0</v>
      </c>
      <c r="AC2752" s="150">
        <v>0</v>
      </c>
      <c r="AD2752" s="150">
        <v>0</v>
      </c>
      <c r="AE2752" s="49">
        <f t="shared" si="111"/>
        <v>0.25</v>
      </c>
      <c r="AF2752" s="44"/>
      <c r="AG2752" s="17">
        <v>0</v>
      </c>
      <c r="AH2752" s="44">
        <v>0.3</v>
      </c>
      <c r="AI2752" s="44">
        <v>0.3</v>
      </c>
      <c r="AJ2752" s="44">
        <v>0.3</v>
      </c>
      <c r="AK2752" s="151">
        <v>0.3</v>
      </c>
      <c r="AL2752" s="151">
        <v>0.3</v>
      </c>
      <c r="AM2752" s="147">
        <f t="shared" si="110"/>
        <v>0.6</v>
      </c>
      <c r="AN2752" s="18" t="s">
        <v>255</v>
      </c>
      <c r="AO2752" s="18" t="s">
        <v>1045</v>
      </c>
      <c r="AP2752" t="s">
        <v>1536</v>
      </c>
    </row>
    <row r="2753" spans="1:42" customFormat="1" x14ac:dyDescent="0.3">
      <c r="A2753" s="148" t="s">
        <v>8319</v>
      </c>
      <c r="B2753" s="159" t="s">
        <v>8320</v>
      </c>
      <c r="C2753" s="148" t="s">
        <v>9344</v>
      </c>
      <c r="D2753" s="159" t="s">
        <v>9345</v>
      </c>
      <c r="E2753" s="148" t="s">
        <v>9346</v>
      </c>
      <c r="F2753" s="159" t="s">
        <v>9347</v>
      </c>
      <c r="G2753" s="148" t="s">
        <v>9897</v>
      </c>
      <c r="H2753" t="s">
        <v>9898</v>
      </c>
      <c r="I2753" s="159"/>
      <c r="J2753" s="159"/>
      <c r="K2753" s="155" t="s">
        <v>10487</v>
      </c>
      <c r="L2753" s="159" t="s">
        <v>10488</v>
      </c>
      <c r="M2753" s="277" t="s">
        <v>10889</v>
      </c>
      <c r="N2753" s="277">
        <v>60</v>
      </c>
      <c r="O2753" s="277">
        <v>65</v>
      </c>
      <c r="P2753" s="275">
        <v>70</v>
      </c>
      <c r="Q2753" s="275">
        <v>75</v>
      </c>
      <c r="R2753" s="275">
        <v>80</v>
      </c>
      <c r="S2753" s="275">
        <v>85</v>
      </c>
      <c r="T2753" t="s">
        <v>10490</v>
      </c>
      <c r="U2753" t="e">
        <v>#N/A</v>
      </c>
      <c r="V2753" s="159" t="s">
        <v>10890</v>
      </c>
      <c r="W2753" s="274">
        <v>1</v>
      </c>
      <c r="X2753" s="274">
        <v>0</v>
      </c>
      <c r="Y2753" s="274">
        <v>0</v>
      </c>
      <c r="Z2753" s="274">
        <v>0</v>
      </c>
      <c r="AA2753" s="274">
        <v>0</v>
      </c>
      <c r="AB2753" s="274">
        <v>0</v>
      </c>
      <c r="AC2753" s="150">
        <v>0</v>
      </c>
      <c r="AD2753" s="150">
        <v>1</v>
      </c>
      <c r="AE2753" s="49">
        <f t="shared" si="111"/>
        <v>0.25</v>
      </c>
      <c r="AF2753" s="276"/>
      <c r="AG2753" s="17">
        <v>0</v>
      </c>
      <c r="AH2753" s="276">
        <v>2.5</v>
      </c>
      <c r="AI2753" s="276">
        <v>3.2</v>
      </c>
      <c r="AJ2753" s="276">
        <v>3.1</v>
      </c>
      <c r="AK2753" s="158">
        <v>0.5</v>
      </c>
      <c r="AL2753" s="158">
        <v>0.5</v>
      </c>
      <c r="AM2753" s="147">
        <f t="shared" si="110"/>
        <v>1</v>
      </c>
      <c r="AN2753" s="14" t="s">
        <v>771</v>
      </c>
      <c r="AO2753" s="14" t="s">
        <v>773</v>
      </c>
      <c r="AP2753" s="159" t="s">
        <v>255</v>
      </c>
    </row>
    <row r="2754" spans="1:42" customFormat="1" x14ac:dyDescent="0.3">
      <c r="A2754" s="148" t="s">
        <v>8319</v>
      </c>
      <c r="B2754" t="s">
        <v>8320</v>
      </c>
      <c r="C2754" s="148" t="s">
        <v>9344</v>
      </c>
      <c r="D2754" t="s">
        <v>9345</v>
      </c>
      <c r="E2754" s="148" t="s">
        <v>9346</v>
      </c>
      <c r="F2754" t="s">
        <v>9347</v>
      </c>
      <c r="G2754" s="148" t="s">
        <v>9558</v>
      </c>
      <c r="H2754" t="s">
        <v>9559</v>
      </c>
      <c r="K2754" s="148" t="s">
        <v>9560</v>
      </c>
      <c r="L2754" t="s">
        <v>9561</v>
      </c>
      <c r="M2754" s="1" t="s">
        <v>10891</v>
      </c>
      <c r="N2754" s="1" t="s">
        <v>271</v>
      </c>
      <c r="O2754" s="1">
        <v>100</v>
      </c>
      <c r="P2754" s="3">
        <v>100</v>
      </c>
      <c r="Q2754" s="3">
        <v>100</v>
      </c>
      <c r="R2754" s="3">
        <v>100</v>
      </c>
      <c r="S2754" s="3">
        <v>100</v>
      </c>
      <c r="T2754" t="s">
        <v>723</v>
      </c>
      <c r="U2754" t="s">
        <v>729</v>
      </c>
      <c r="V2754" t="s">
        <v>10892</v>
      </c>
      <c r="W2754" s="45">
        <v>1</v>
      </c>
      <c r="X2754" s="45">
        <v>0</v>
      </c>
      <c r="Y2754" s="45">
        <v>0</v>
      </c>
      <c r="Z2754" s="45">
        <v>0</v>
      </c>
      <c r="AA2754" s="45">
        <v>0</v>
      </c>
      <c r="AB2754" s="45">
        <v>0</v>
      </c>
      <c r="AC2754" s="150">
        <v>1</v>
      </c>
      <c r="AD2754" s="150">
        <v>0</v>
      </c>
      <c r="AE2754" s="49">
        <f t="shared" si="111"/>
        <v>0.25</v>
      </c>
      <c r="AF2754" s="44">
        <v>1</v>
      </c>
      <c r="AG2754" s="17">
        <v>0</v>
      </c>
      <c r="AH2754" s="44">
        <v>30</v>
      </c>
      <c r="AI2754" s="44">
        <v>30</v>
      </c>
      <c r="AJ2754" s="44">
        <v>30</v>
      </c>
      <c r="AK2754" s="151">
        <v>30</v>
      </c>
      <c r="AL2754" s="151">
        <v>30</v>
      </c>
      <c r="AM2754" s="147">
        <f t="shared" si="110"/>
        <v>60</v>
      </c>
      <c r="AN2754" s="18" t="s">
        <v>255</v>
      </c>
      <c r="AO2754" s="18" t="s">
        <v>1045</v>
      </c>
      <c r="AP2754" t="s">
        <v>723</v>
      </c>
    </row>
    <row r="2755" spans="1:42" customFormat="1" x14ac:dyDescent="0.3">
      <c r="A2755" s="148" t="s">
        <v>8319</v>
      </c>
      <c r="B2755" t="s">
        <v>8320</v>
      </c>
      <c r="C2755" s="148" t="s">
        <v>9344</v>
      </c>
      <c r="D2755" t="s">
        <v>9345</v>
      </c>
      <c r="E2755" s="148" t="s">
        <v>9346</v>
      </c>
      <c r="F2755" t="s">
        <v>9347</v>
      </c>
      <c r="G2755" s="148" t="s">
        <v>9558</v>
      </c>
      <c r="H2755" t="s">
        <v>9559</v>
      </c>
      <c r="K2755" s="148" t="s">
        <v>9560</v>
      </c>
      <c r="L2755" t="s">
        <v>9561</v>
      </c>
      <c r="M2755" s="1" t="s">
        <v>10893</v>
      </c>
      <c r="N2755" s="1" t="s">
        <v>271</v>
      </c>
      <c r="O2755" s="1">
        <v>1</v>
      </c>
      <c r="P2755" s="3" t="s">
        <v>271</v>
      </c>
      <c r="Q2755" s="3" t="s">
        <v>271</v>
      </c>
      <c r="R2755" s="3" t="s">
        <v>271</v>
      </c>
      <c r="S2755" s="3" t="s">
        <v>271</v>
      </c>
      <c r="T2755" t="s">
        <v>2432</v>
      </c>
      <c r="U2755" t="s">
        <v>729</v>
      </c>
      <c r="V2755" t="s">
        <v>10894</v>
      </c>
      <c r="W2755" s="45">
        <v>1</v>
      </c>
      <c r="X2755" s="45">
        <v>0</v>
      </c>
      <c r="Y2755" s="45">
        <v>0</v>
      </c>
      <c r="Z2755" s="45">
        <v>0</v>
      </c>
      <c r="AA2755" s="45">
        <v>0</v>
      </c>
      <c r="AB2755" s="45">
        <v>0</v>
      </c>
      <c r="AC2755" s="150">
        <v>0</v>
      </c>
      <c r="AD2755" s="150">
        <v>1</v>
      </c>
      <c r="AE2755" s="49">
        <f t="shared" si="111"/>
        <v>0.25</v>
      </c>
      <c r="AF2755" s="17">
        <v>1</v>
      </c>
      <c r="AG2755" s="17">
        <v>0</v>
      </c>
      <c r="AH2755" s="17">
        <v>0</v>
      </c>
      <c r="AI2755" s="44">
        <v>0.1</v>
      </c>
      <c r="AJ2755" s="44">
        <v>0.2</v>
      </c>
      <c r="AK2755" s="151">
        <v>0.3</v>
      </c>
      <c r="AL2755" s="154">
        <v>0.3</v>
      </c>
      <c r="AM2755" s="147">
        <f t="shared" si="110"/>
        <v>0.6</v>
      </c>
      <c r="AN2755" s="44" t="s">
        <v>723</v>
      </c>
      <c r="AO2755" s="18" t="s">
        <v>729</v>
      </c>
      <c r="AP2755" t="s">
        <v>831</v>
      </c>
    </row>
    <row r="2756" spans="1:42" customFormat="1" x14ac:dyDescent="0.3">
      <c r="A2756" s="148" t="s">
        <v>8319</v>
      </c>
      <c r="B2756" t="s">
        <v>8320</v>
      </c>
      <c r="C2756" s="148" t="s">
        <v>9344</v>
      </c>
      <c r="D2756" t="s">
        <v>9345</v>
      </c>
      <c r="E2756" s="148" t="s">
        <v>9346</v>
      </c>
      <c r="F2756" t="s">
        <v>9347</v>
      </c>
      <c r="G2756" s="148" t="s">
        <v>9558</v>
      </c>
      <c r="H2756" t="s">
        <v>9559</v>
      </c>
      <c r="K2756" s="148" t="s">
        <v>9560</v>
      </c>
      <c r="L2756" t="s">
        <v>9561</v>
      </c>
      <c r="M2756" s="1" t="s">
        <v>10895</v>
      </c>
      <c r="N2756" s="1" t="s">
        <v>271</v>
      </c>
      <c r="O2756" s="1" t="s">
        <v>271</v>
      </c>
      <c r="P2756" s="3">
        <v>1</v>
      </c>
      <c r="Q2756" s="3">
        <v>1</v>
      </c>
      <c r="R2756" s="3" t="s">
        <v>271</v>
      </c>
      <c r="S2756" s="3" t="s">
        <v>271</v>
      </c>
      <c r="T2756" t="s">
        <v>2432</v>
      </c>
      <c r="U2756" t="s">
        <v>729</v>
      </c>
      <c r="V2756" t="s">
        <v>10896</v>
      </c>
      <c r="W2756" s="45">
        <v>1</v>
      </c>
      <c r="X2756" s="45">
        <v>0</v>
      </c>
      <c r="Y2756" s="45">
        <v>0</v>
      </c>
      <c r="Z2756" s="45">
        <v>0</v>
      </c>
      <c r="AA2756" s="45">
        <v>0</v>
      </c>
      <c r="AB2756" s="45">
        <v>0</v>
      </c>
      <c r="AC2756" s="150">
        <v>0</v>
      </c>
      <c r="AD2756" s="150">
        <v>1</v>
      </c>
      <c r="AE2756" s="49">
        <f t="shared" si="111"/>
        <v>0.25</v>
      </c>
      <c r="AF2756" s="4"/>
      <c r="AG2756" s="17">
        <v>0</v>
      </c>
      <c r="AH2756" s="4" t="s">
        <v>10897</v>
      </c>
      <c r="AI2756" s="4" t="s">
        <v>10898</v>
      </c>
      <c r="AJ2756" s="4" t="s">
        <v>10898</v>
      </c>
      <c r="AK2756" s="46">
        <v>5</v>
      </c>
      <c r="AL2756" s="151">
        <v>5</v>
      </c>
      <c r="AM2756" s="147">
        <f t="shared" si="110"/>
        <v>10</v>
      </c>
      <c r="AN2756" s="44" t="s">
        <v>10113</v>
      </c>
      <c r="AO2756" s="18" t="s">
        <v>10114</v>
      </c>
      <c r="AP2756" t="s">
        <v>10899</v>
      </c>
    </row>
    <row r="2757" spans="1:42" customFormat="1" x14ac:dyDescent="0.3">
      <c r="A2757" s="148" t="s">
        <v>8319</v>
      </c>
      <c r="B2757" t="s">
        <v>8320</v>
      </c>
      <c r="C2757" s="148" t="s">
        <v>9344</v>
      </c>
      <c r="D2757" t="s">
        <v>9345</v>
      </c>
      <c r="E2757" s="148" t="s">
        <v>9346</v>
      </c>
      <c r="F2757" t="s">
        <v>9347</v>
      </c>
      <c r="G2757" s="148" t="s">
        <v>9558</v>
      </c>
      <c r="H2757" t="s">
        <v>9559</v>
      </c>
      <c r="K2757" s="148" t="s">
        <v>9560</v>
      </c>
      <c r="L2757" t="s">
        <v>9561</v>
      </c>
      <c r="M2757" s="1" t="s">
        <v>10900</v>
      </c>
      <c r="N2757" s="1" t="s">
        <v>271</v>
      </c>
      <c r="O2757" s="1" t="s">
        <v>271</v>
      </c>
      <c r="P2757" s="3" t="s">
        <v>271</v>
      </c>
      <c r="Q2757" s="3" t="s">
        <v>271</v>
      </c>
      <c r="R2757" s="3" t="s">
        <v>271</v>
      </c>
      <c r="S2757" s="3">
        <v>1</v>
      </c>
      <c r="T2757" t="s">
        <v>2432</v>
      </c>
      <c r="U2757" t="s">
        <v>729</v>
      </c>
      <c r="V2757" t="s">
        <v>10901</v>
      </c>
      <c r="W2757" s="45">
        <v>1</v>
      </c>
      <c r="X2757" s="45">
        <v>0</v>
      </c>
      <c r="Y2757" s="45">
        <v>0</v>
      </c>
      <c r="Z2757" s="45">
        <v>0</v>
      </c>
      <c r="AA2757" s="45">
        <v>0</v>
      </c>
      <c r="AB2757" s="45">
        <v>0</v>
      </c>
      <c r="AC2757" s="150">
        <v>0</v>
      </c>
      <c r="AD2757" s="150">
        <v>1</v>
      </c>
      <c r="AE2757" s="49">
        <f t="shared" si="111"/>
        <v>0.25</v>
      </c>
      <c r="AF2757" s="44"/>
      <c r="AG2757" s="17">
        <v>0</v>
      </c>
      <c r="AH2757" s="44">
        <v>0</v>
      </c>
      <c r="AI2757" s="44">
        <v>0</v>
      </c>
      <c r="AJ2757" s="44">
        <v>0</v>
      </c>
      <c r="AK2757" s="151">
        <v>0</v>
      </c>
      <c r="AL2757" s="151">
        <v>0</v>
      </c>
      <c r="AM2757" s="147">
        <f t="shared" si="110"/>
        <v>0</v>
      </c>
      <c r="AN2757" s="44" t="s">
        <v>723</v>
      </c>
      <c r="AO2757" s="18" t="s">
        <v>729</v>
      </c>
      <c r="AP2757" t="s">
        <v>10902</v>
      </c>
    </row>
    <row r="2758" spans="1:42" customFormat="1" x14ac:dyDescent="0.3">
      <c r="A2758" s="148" t="s">
        <v>8319</v>
      </c>
      <c r="B2758" t="s">
        <v>8320</v>
      </c>
      <c r="C2758" s="148" t="s">
        <v>9344</v>
      </c>
      <c r="D2758" t="s">
        <v>9345</v>
      </c>
      <c r="E2758" s="148" t="s">
        <v>9346</v>
      </c>
      <c r="F2758" t="s">
        <v>9347</v>
      </c>
      <c r="G2758" s="148" t="s">
        <v>9558</v>
      </c>
      <c r="H2758" t="s">
        <v>9559</v>
      </c>
      <c r="K2758" s="148" t="s">
        <v>9560</v>
      </c>
      <c r="L2758" t="s">
        <v>9561</v>
      </c>
      <c r="M2758" s="1"/>
      <c r="N2758" s="1"/>
      <c r="O2758" s="1"/>
      <c r="P2758" s="3"/>
      <c r="Q2758" s="3"/>
      <c r="R2758" s="3"/>
      <c r="S2758" s="3"/>
      <c r="U2758" t="e">
        <v>#N/A</v>
      </c>
      <c r="V2758" t="s">
        <v>10903</v>
      </c>
      <c r="W2758" s="45">
        <v>1</v>
      </c>
      <c r="X2758" s="45">
        <v>0</v>
      </c>
      <c r="Y2758" s="45">
        <v>0</v>
      </c>
      <c r="Z2758" s="45">
        <v>0</v>
      </c>
      <c r="AA2758" s="45">
        <v>0</v>
      </c>
      <c r="AB2758" s="45">
        <v>0</v>
      </c>
      <c r="AC2758" s="150">
        <v>0</v>
      </c>
      <c r="AD2758" s="150">
        <v>1</v>
      </c>
      <c r="AE2758" s="49">
        <f t="shared" si="111"/>
        <v>0.25</v>
      </c>
      <c r="AF2758" s="44">
        <v>1</v>
      </c>
      <c r="AG2758" s="17">
        <v>0</v>
      </c>
      <c r="AH2758" s="44">
        <v>0</v>
      </c>
      <c r="AI2758" s="44">
        <v>0</v>
      </c>
      <c r="AJ2758" s="44">
        <v>0</v>
      </c>
      <c r="AK2758" s="151">
        <v>1</v>
      </c>
      <c r="AL2758" s="151">
        <v>1</v>
      </c>
      <c r="AM2758" s="147">
        <f t="shared" si="110"/>
        <v>2</v>
      </c>
      <c r="AN2758" s="44" t="s">
        <v>723</v>
      </c>
      <c r="AO2758" s="18" t="s">
        <v>729</v>
      </c>
      <c r="AP2758" t="s">
        <v>9922</v>
      </c>
    </row>
    <row r="2759" spans="1:42" customFormat="1" x14ac:dyDescent="0.3">
      <c r="A2759" s="148" t="s">
        <v>8319</v>
      </c>
      <c r="B2759" t="s">
        <v>8320</v>
      </c>
      <c r="C2759" s="148" t="s">
        <v>9344</v>
      </c>
      <c r="D2759" t="s">
        <v>9345</v>
      </c>
      <c r="E2759" s="148" t="s">
        <v>9346</v>
      </c>
      <c r="F2759" t="s">
        <v>9347</v>
      </c>
      <c r="G2759" s="148" t="s">
        <v>10152</v>
      </c>
      <c r="H2759" t="s">
        <v>10153</v>
      </c>
      <c r="K2759" s="148" t="s">
        <v>10154</v>
      </c>
      <c r="L2759" t="s">
        <v>10155</v>
      </c>
      <c r="M2759" s="1" t="s">
        <v>10904</v>
      </c>
      <c r="N2759" s="1" t="s">
        <v>271</v>
      </c>
      <c r="O2759" s="1">
        <v>0</v>
      </c>
      <c r="P2759" s="3">
        <v>500</v>
      </c>
      <c r="Q2759" s="3">
        <v>2863</v>
      </c>
      <c r="R2759" s="3">
        <v>2863</v>
      </c>
      <c r="S2759" s="3">
        <v>2863</v>
      </c>
      <c r="T2759" t="s">
        <v>2432</v>
      </c>
      <c r="U2759" t="s">
        <v>729</v>
      </c>
      <c r="V2759" t="s">
        <v>10905</v>
      </c>
      <c r="W2759" s="45">
        <v>1</v>
      </c>
      <c r="X2759" s="45">
        <v>0</v>
      </c>
      <c r="Y2759" s="45">
        <v>0</v>
      </c>
      <c r="Z2759" s="45">
        <v>0</v>
      </c>
      <c r="AA2759" s="45">
        <v>0</v>
      </c>
      <c r="AB2759" s="45">
        <v>0</v>
      </c>
      <c r="AC2759" s="150">
        <v>0</v>
      </c>
      <c r="AD2759" s="150">
        <v>1</v>
      </c>
      <c r="AE2759" s="49">
        <f t="shared" si="111"/>
        <v>0.25</v>
      </c>
      <c r="AF2759" s="17"/>
      <c r="AG2759" s="17">
        <v>0</v>
      </c>
      <c r="AH2759" s="17">
        <v>0</v>
      </c>
      <c r="AI2759" s="44" t="s">
        <v>10906</v>
      </c>
      <c r="AJ2759" s="44">
        <v>1</v>
      </c>
      <c r="AK2759" s="151">
        <v>0</v>
      </c>
      <c r="AL2759" s="151">
        <v>0</v>
      </c>
      <c r="AM2759" s="147">
        <f t="shared" si="110"/>
        <v>0</v>
      </c>
      <c r="AN2759" s="44" t="s">
        <v>723</v>
      </c>
      <c r="AO2759" s="18" t="s">
        <v>729</v>
      </c>
      <c r="AP2759" t="s">
        <v>119</v>
      </c>
    </row>
    <row r="2760" spans="1:42" customFormat="1" x14ac:dyDescent="0.3">
      <c r="A2760" s="148" t="s">
        <v>8319</v>
      </c>
      <c r="B2760" t="s">
        <v>8320</v>
      </c>
      <c r="C2760" s="148" t="s">
        <v>9344</v>
      </c>
      <c r="D2760" t="s">
        <v>9345</v>
      </c>
      <c r="E2760" s="148" t="s">
        <v>9346</v>
      </c>
      <c r="F2760" t="s">
        <v>9347</v>
      </c>
      <c r="G2760" s="148" t="s">
        <v>10152</v>
      </c>
      <c r="H2760" t="s">
        <v>10153</v>
      </c>
      <c r="K2760" s="148" t="s">
        <v>10154</v>
      </c>
      <c r="L2760" t="s">
        <v>10155</v>
      </c>
      <c r="M2760" s="1" t="s">
        <v>10907</v>
      </c>
      <c r="N2760" s="1" t="s">
        <v>271</v>
      </c>
      <c r="O2760" s="1">
        <v>0</v>
      </c>
      <c r="P2760" s="3">
        <v>6000</v>
      </c>
      <c r="Q2760" s="3">
        <v>10000</v>
      </c>
      <c r="R2760" s="3">
        <v>10000</v>
      </c>
      <c r="S2760" s="3">
        <v>10000</v>
      </c>
      <c r="T2760" t="s">
        <v>723</v>
      </c>
      <c r="U2760" t="s">
        <v>729</v>
      </c>
      <c r="V2760" t="s">
        <v>10908</v>
      </c>
      <c r="W2760" s="45">
        <v>1</v>
      </c>
      <c r="X2760" s="45">
        <v>0</v>
      </c>
      <c r="Y2760" s="45">
        <v>0</v>
      </c>
      <c r="Z2760" s="45">
        <v>0</v>
      </c>
      <c r="AA2760" s="45">
        <v>0</v>
      </c>
      <c r="AB2760" s="45">
        <v>0</v>
      </c>
      <c r="AC2760" s="150">
        <v>0</v>
      </c>
      <c r="AD2760" s="150">
        <v>1</v>
      </c>
      <c r="AE2760" s="49">
        <f t="shared" si="111"/>
        <v>0.25</v>
      </c>
      <c r="AF2760" s="17"/>
      <c r="AG2760" s="17">
        <v>0</v>
      </c>
      <c r="AH2760" s="17">
        <v>0</v>
      </c>
      <c r="AI2760" s="44" t="s">
        <v>10909</v>
      </c>
      <c r="AJ2760" s="44" t="s">
        <v>10910</v>
      </c>
      <c r="AK2760" s="151">
        <v>0</v>
      </c>
      <c r="AL2760" s="151">
        <v>0</v>
      </c>
      <c r="AM2760" s="147">
        <f t="shared" si="110"/>
        <v>0</v>
      </c>
      <c r="AN2760" s="44" t="s">
        <v>723</v>
      </c>
      <c r="AO2760" s="18" t="s">
        <v>729</v>
      </c>
      <c r="AP2760" t="s">
        <v>255</v>
      </c>
    </row>
    <row r="2761" spans="1:42" customFormat="1" x14ac:dyDescent="0.3">
      <c r="A2761" s="148" t="s">
        <v>8319</v>
      </c>
      <c r="B2761" t="s">
        <v>8320</v>
      </c>
      <c r="C2761" s="148" t="s">
        <v>9344</v>
      </c>
      <c r="D2761" t="s">
        <v>9345</v>
      </c>
      <c r="E2761" s="148" t="s">
        <v>9346</v>
      </c>
      <c r="F2761" t="s">
        <v>9347</v>
      </c>
      <c r="G2761" s="148" t="s">
        <v>10152</v>
      </c>
      <c r="H2761" t="s">
        <v>10153</v>
      </c>
      <c r="K2761" s="148" t="s">
        <v>10154</v>
      </c>
      <c r="L2761" t="s">
        <v>10155</v>
      </c>
      <c r="M2761" s="1" t="s">
        <v>10911</v>
      </c>
      <c r="N2761" s="1" t="s">
        <v>271</v>
      </c>
      <c r="O2761" s="1">
        <v>0</v>
      </c>
      <c r="P2761" s="3">
        <v>500</v>
      </c>
      <c r="Q2761" s="3">
        <v>2863</v>
      </c>
      <c r="R2761" s="3">
        <v>2863</v>
      </c>
      <c r="S2761" s="3">
        <v>2863</v>
      </c>
      <c r="T2761" t="s">
        <v>2432</v>
      </c>
      <c r="U2761" t="s">
        <v>729</v>
      </c>
      <c r="V2761" t="s">
        <v>10912</v>
      </c>
      <c r="W2761" s="45">
        <v>1</v>
      </c>
      <c r="X2761" s="45">
        <v>0</v>
      </c>
      <c r="Y2761" s="45">
        <v>0</v>
      </c>
      <c r="Z2761" s="45">
        <v>0</v>
      </c>
      <c r="AA2761" s="45">
        <v>0</v>
      </c>
      <c r="AB2761" s="45">
        <v>0</v>
      </c>
      <c r="AC2761" s="150">
        <v>0</v>
      </c>
      <c r="AD2761" s="150">
        <v>1</v>
      </c>
      <c r="AE2761" s="49">
        <f t="shared" si="111"/>
        <v>0.25</v>
      </c>
      <c r="AF2761" s="44">
        <v>1</v>
      </c>
      <c r="AG2761" s="17">
        <v>0</v>
      </c>
      <c r="AH2761" s="44">
        <v>0.5</v>
      </c>
      <c r="AI2761" s="44">
        <v>2.8</v>
      </c>
      <c r="AJ2761" s="44">
        <v>2.8</v>
      </c>
      <c r="AK2761" s="151">
        <v>2.8</v>
      </c>
      <c r="AL2761" s="151">
        <v>2.8</v>
      </c>
      <c r="AM2761" s="147">
        <f t="shared" si="110"/>
        <v>5.6</v>
      </c>
      <c r="AN2761" s="44" t="s">
        <v>239</v>
      </c>
      <c r="AO2761" s="18" t="s">
        <v>241</v>
      </c>
      <c r="AP2761" t="s">
        <v>7104</v>
      </c>
    </row>
    <row r="2762" spans="1:42" customFormat="1" x14ac:dyDescent="0.3">
      <c r="A2762" s="148" t="s">
        <v>8319</v>
      </c>
      <c r="B2762" t="s">
        <v>8320</v>
      </c>
      <c r="C2762" s="148" t="s">
        <v>9344</v>
      </c>
      <c r="D2762" t="s">
        <v>9345</v>
      </c>
      <c r="E2762" s="148" t="s">
        <v>9346</v>
      </c>
      <c r="F2762" t="s">
        <v>9347</v>
      </c>
      <c r="G2762" s="148" t="s">
        <v>10158</v>
      </c>
      <c r="H2762" t="s">
        <v>10159</v>
      </c>
      <c r="I2762" s="148" t="s">
        <v>10913</v>
      </c>
      <c r="J2762" t="s">
        <v>10914</v>
      </c>
      <c r="K2762" s="155" t="s">
        <v>10915</v>
      </c>
      <c r="L2762" t="s">
        <v>10916</v>
      </c>
      <c r="M2762" s="1" t="s">
        <v>10917</v>
      </c>
      <c r="N2762" s="1">
        <v>0</v>
      </c>
      <c r="O2762" s="1"/>
      <c r="P2762" s="3">
        <v>10000</v>
      </c>
      <c r="Q2762" s="3">
        <v>10000</v>
      </c>
      <c r="R2762" s="3">
        <v>10000</v>
      </c>
      <c r="S2762" s="3">
        <v>10000</v>
      </c>
      <c r="T2762" t="s">
        <v>10918</v>
      </c>
      <c r="U2762" t="e">
        <v>#N/A</v>
      </c>
      <c r="V2762" t="s">
        <v>10919</v>
      </c>
      <c r="W2762" s="45">
        <v>0</v>
      </c>
      <c r="X2762" s="45">
        <v>0</v>
      </c>
      <c r="Y2762" s="45">
        <v>0</v>
      </c>
      <c r="Z2762" s="45">
        <v>0</v>
      </c>
      <c r="AA2762" s="45">
        <v>0</v>
      </c>
      <c r="AB2762" s="45">
        <v>0</v>
      </c>
      <c r="AC2762" s="150">
        <v>1</v>
      </c>
      <c r="AD2762" s="150">
        <v>1</v>
      </c>
      <c r="AE2762" s="49">
        <f t="shared" si="111"/>
        <v>0.25</v>
      </c>
      <c r="AF2762" s="44"/>
      <c r="AG2762" s="17">
        <v>0</v>
      </c>
      <c r="AH2762" s="44">
        <v>342</v>
      </c>
      <c r="AI2762" s="44" t="s">
        <v>271</v>
      </c>
      <c r="AJ2762" s="44" t="s">
        <v>271</v>
      </c>
      <c r="AK2762" s="151" t="s">
        <v>271</v>
      </c>
      <c r="AL2762" s="151" t="s">
        <v>271</v>
      </c>
      <c r="AM2762" s="147">
        <f t="shared" si="110"/>
        <v>0</v>
      </c>
      <c r="AN2762" s="44" t="s">
        <v>239</v>
      </c>
      <c r="AO2762" s="18" t="s">
        <v>241</v>
      </c>
      <c r="AP2762" t="s">
        <v>982</v>
      </c>
    </row>
    <row r="2763" spans="1:42" customFormat="1" x14ac:dyDescent="0.3">
      <c r="A2763" s="148" t="s">
        <v>8319</v>
      </c>
      <c r="B2763" t="s">
        <v>8320</v>
      </c>
      <c r="C2763" s="148" t="s">
        <v>9344</v>
      </c>
      <c r="D2763" t="s">
        <v>9345</v>
      </c>
      <c r="E2763" s="148" t="s">
        <v>9346</v>
      </c>
      <c r="F2763" t="s">
        <v>9347</v>
      </c>
      <c r="G2763" s="148" t="s">
        <v>10158</v>
      </c>
      <c r="H2763" t="s">
        <v>10159</v>
      </c>
      <c r="I2763" s="148" t="s">
        <v>10920</v>
      </c>
      <c r="J2763" t="s">
        <v>10921</v>
      </c>
      <c r="K2763" s="155" t="s">
        <v>10922</v>
      </c>
      <c r="L2763" t="s">
        <v>10923</v>
      </c>
      <c r="M2763" s="1" t="s">
        <v>10924</v>
      </c>
      <c r="N2763" s="1">
        <v>0</v>
      </c>
      <c r="O2763" s="1">
        <v>140000</v>
      </c>
      <c r="P2763" s="3" t="s">
        <v>271</v>
      </c>
      <c r="Q2763" s="3" t="s">
        <v>271</v>
      </c>
      <c r="R2763" s="3" t="s">
        <v>271</v>
      </c>
      <c r="S2763" s="3" t="s">
        <v>271</v>
      </c>
      <c r="T2763" t="s">
        <v>10918</v>
      </c>
      <c r="U2763" t="e">
        <v>#N/A</v>
      </c>
      <c r="V2763" t="s">
        <v>10925</v>
      </c>
      <c r="W2763" s="45">
        <v>0</v>
      </c>
      <c r="X2763" s="45">
        <v>0</v>
      </c>
      <c r="Y2763" s="45">
        <v>0</v>
      </c>
      <c r="Z2763" s="45">
        <v>0</v>
      </c>
      <c r="AA2763" s="45">
        <v>0</v>
      </c>
      <c r="AB2763" s="45">
        <v>0</v>
      </c>
      <c r="AC2763" s="150">
        <v>1</v>
      </c>
      <c r="AD2763" s="150">
        <v>1</v>
      </c>
      <c r="AE2763" s="49">
        <f t="shared" si="111"/>
        <v>0.25</v>
      </c>
      <c r="AF2763" s="44"/>
      <c r="AG2763" s="17">
        <v>0</v>
      </c>
      <c r="AH2763" s="44">
        <v>119</v>
      </c>
      <c r="AI2763" s="44" t="s">
        <v>271</v>
      </c>
      <c r="AJ2763" s="44" t="s">
        <v>271</v>
      </c>
      <c r="AK2763" s="151" t="s">
        <v>271</v>
      </c>
      <c r="AL2763" s="151" t="s">
        <v>271</v>
      </c>
      <c r="AM2763" s="147">
        <f t="shared" si="110"/>
        <v>0</v>
      </c>
      <c r="AN2763" s="44" t="s">
        <v>239</v>
      </c>
      <c r="AO2763" s="18" t="s">
        <v>241</v>
      </c>
      <c r="AP2763" t="s">
        <v>982</v>
      </c>
    </row>
    <row r="2764" spans="1:42" customFormat="1" x14ac:dyDescent="0.3">
      <c r="A2764" s="148" t="s">
        <v>8319</v>
      </c>
      <c r="B2764" t="s">
        <v>8320</v>
      </c>
      <c r="C2764" s="148" t="s">
        <v>9369</v>
      </c>
      <c r="D2764" t="s">
        <v>9370</v>
      </c>
      <c r="E2764" s="148" t="s">
        <v>9371</v>
      </c>
      <c r="F2764" t="s">
        <v>9372</v>
      </c>
      <c r="G2764" s="148" t="s">
        <v>9593</v>
      </c>
      <c r="H2764" t="s">
        <v>9594</v>
      </c>
      <c r="K2764" s="155" t="s">
        <v>10820</v>
      </c>
      <c r="L2764" t="s">
        <v>10821</v>
      </c>
      <c r="M2764" s="1"/>
      <c r="N2764" s="1"/>
      <c r="O2764" s="1"/>
      <c r="P2764" s="3"/>
      <c r="Q2764" s="3"/>
      <c r="R2764" s="3"/>
      <c r="S2764" s="3"/>
      <c r="U2764" t="e">
        <v>#N/A</v>
      </c>
      <c r="V2764" t="s">
        <v>10926</v>
      </c>
      <c r="W2764" s="45">
        <v>1</v>
      </c>
      <c r="X2764" s="45">
        <v>0</v>
      </c>
      <c r="Y2764" s="45">
        <v>0</v>
      </c>
      <c r="Z2764" s="45">
        <v>0</v>
      </c>
      <c r="AA2764" s="45">
        <v>0</v>
      </c>
      <c r="AB2764" s="45">
        <v>0</v>
      </c>
      <c r="AC2764" s="150">
        <v>0</v>
      </c>
      <c r="AD2764" s="150">
        <v>1</v>
      </c>
      <c r="AE2764" s="49">
        <f t="shared" si="111"/>
        <v>0.25</v>
      </c>
      <c r="AF2764" s="17"/>
      <c r="AG2764" s="17">
        <v>0</v>
      </c>
      <c r="AH2764" s="17">
        <v>0</v>
      </c>
      <c r="AI2764" s="17">
        <v>0</v>
      </c>
      <c r="AJ2764" s="44">
        <v>3</v>
      </c>
      <c r="AK2764" s="151">
        <v>0</v>
      </c>
      <c r="AL2764" s="151">
        <v>0</v>
      </c>
      <c r="AM2764" s="147">
        <f t="shared" si="110"/>
        <v>0</v>
      </c>
      <c r="AN2764" s="44" t="s">
        <v>4825</v>
      </c>
      <c r="AO2764" s="18" t="s">
        <v>4826</v>
      </c>
      <c r="AP2764" t="s">
        <v>10927</v>
      </c>
    </row>
    <row r="2765" spans="1:42" customFormat="1" x14ac:dyDescent="0.3">
      <c r="A2765" s="148" t="s">
        <v>8319</v>
      </c>
      <c r="B2765" t="s">
        <v>8320</v>
      </c>
      <c r="C2765" s="148" t="s">
        <v>9369</v>
      </c>
      <c r="D2765" t="s">
        <v>9370</v>
      </c>
      <c r="E2765" s="148" t="s">
        <v>9371</v>
      </c>
      <c r="F2765" t="s">
        <v>9372</v>
      </c>
      <c r="G2765" t="s">
        <v>10605</v>
      </c>
      <c r="H2765" t="s">
        <v>10606</v>
      </c>
      <c r="I2765" s="148" t="s">
        <v>10928</v>
      </c>
      <c r="J2765" t="s">
        <v>10929</v>
      </c>
      <c r="K2765" s="148" t="s">
        <v>10930</v>
      </c>
      <c r="L2765" t="s">
        <v>10931</v>
      </c>
      <c r="M2765" s="1" t="s">
        <v>10932</v>
      </c>
      <c r="N2765" s="1">
        <v>0</v>
      </c>
      <c r="O2765" s="1">
        <v>0</v>
      </c>
      <c r="P2765" s="3">
        <v>1</v>
      </c>
      <c r="Q2765" s="3" t="s">
        <v>271</v>
      </c>
      <c r="R2765" s="3" t="s">
        <v>271</v>
      </c>
      <c r="S2765" s="3" t="s">
        <v>271</v>
      </c>
      <c r="T2765" t="s">
        <v>10933</v>
      </c>
      <c r="U2765" t="e">
        <v>#N/A</v>
      </c>
      <c r="V2765" t="s">
        <v>10934</v>
      </c>
      <c r="W2765" s="45">
        <v>1</v>
      </c>
      <c r="X2765" s="45">
        <v>0</v>
      </c>
      <c r="Y2765" s="45">
        <v>0</v>
      </c>
      <c r="Z2765" s="45">
        <v>0</v>
      </c>
      <c r="AA2765" s="45">
        <v>0</v>
      </c>
      <c r="AB2765" s="45">
        <v>0</v>
      </c>
      <c r="AC2765" s="150">
        <v>0</v>
      </c>
      <c r="AD2765" s="150">
        <v>1</v>
      </c>
      <c r="AE2765" s="49">
        <f t="shared" si="111"/>
        <v>0.25</v>
      </c>
      <c r="AF2765" s="44"/>
      <c r="AG2765" s="17">
        <v>0</v>
      </c>
      <c r="AH2765" s="44" t="s">
        <v>271</v>
      </c>
      <c r="AI2765" s="44" t="s">
        <v>271</v>
      </c>
      <c r="AJ2765" s="44" t="s">
        <v>271</v>
      </c>
      <c r="AK2765" s="151" t="s">
        <v>271</v>
      </c>
      <c r="AL2765" s="151" t="s">
        <v>271</v>
      </c>
      <c r="AM2765" s="147">
        <f t="shared" si="110"/>
        <v>0</v>
      </c>
      <c r="AN2765" t="s">
        <v>2172</v>
      </c>
      <c r="AO2765" s="18" t="s">
        <v>2236</v>
      </c>
      <c r="AP2765" t="s">
        <v>119</v>
      </c>
    </row>
    <row r="2766" spans="1:42" customFormat="1" x14ac:dyDescent="0.3">
      <c r="A2766" s="148" t="s">
        <v>8319</v>
      </c>
      <c r="B2766" t="s">
        <v>8320</v>
      </c>
      <c r="C2766" s="148" t="s">
        <v>9410</v>
      </c>
      <c r="D2766" t="s">
        <v>9411</v>
      </c>
      <c r="E2766" s="148" t="s">
        <v>9412</v>
      </c>
      <c r="F2766" t="s">
        <v>9413</v>
      </c>
      <c r="G2766" s="148" t="s">
        <v>9661</v>
      </c>
      <c r="H2766" t="s">
        <v>9662</v>
      </c>
      <c r="I2766" s="148" t="s">
        <v>10269</v>
      </c>
      <c r="J2766" t="s">
        <v>10270</v>
      </c>
      <c r="K2766" s="148" t="s">
        <v>10271</v>
      </c>
      <c r="L2766" t="s">
        <v>10272</v>
      </c>
      <c r="M2766" s="1" t="s">
        <v>10935</v>
      </c>
      <c r="N2766" s="1"/>
      <c r="O2766" s="1">
        <v>0</v>
      </c>
      <c r="P2766" s="3">
        <v>0</v>
      </c>
      <c r="Q2766" s="3">
        <v>1</v>
      </c>
      <c r="R2766" s="3">
        <v>1</v>
      </c>
      <c r="S2766" s="3">
        <v>1</v>
      </c>
      <c r="T2766" t="s">
        <v>3643</v>
      </c>
      <c r="U2766" t="s">
        <v>3630</v>
      </c>
      <c r="V2766" t="s">
        <v>10936</v>
      </c>
      <c r="W2766" s="45">
        <v>1</v>
      </c>
      <c r="X2766" s="45">
        <v>0</v>
      </c>
      <c r="Y2766" s="45">
        <v>0</v>
      </c>
      <c r="Z2766" s="45">
        <v>0</v>
      </c>
      <c r="AA2766" s="45">
        <v>0</v>
      </c>
      <c r="AB2766" s="45">
        <v>0</v>
      </c>
      <c r="AC2766" s="150">
        <v>0</v>
      </c>
      <c r="AD2766" s="150">
        <v>1</v>
      </c>
      <c r="AE2766" s="49">
        <f t="shared" si="111"/>
        <v>0.25</v>
      </c>
      <c r="AF2766" s="44"/>
      <c r="AG2766" s="17">
        <v>0</v>
      </c>
      <c r="AH2766" s="44">
        <v>0.3</v>
      </c>
      <c r="AI2766" s="44">
        <v>0.3</v>
      </c>
      <c r="AJ2766" s="44">
        <v>0.3</v>
      </c>
      <c r="AK2766" s="151">
        <v>5</v>
      </c>
      <c r="AL2766" s="151">
        <v>5</v>
      </c>
      <c r="AM2766" s="147">
        <f t="shared" si="110"/>
        <v>10</v>
      </c>
      <c r="AN2766" t="s">
        <v>3643</v>
      </c>
      <c r="AO2766" s="18" t="s">
        <v>3630</v>
      </c>
      <c r="AP2766" t="s">
        <v>10937</v>
      </c>
    </row>
    <row r="2767" spans="1:42" customFormat="1" x14ac:dyDescent="0.3">
      <c r="A2767" s="148" t="s">
        <v>8319</v>
      </c>
      <c r="B2767" t="s">
        <v>8320</v>
      </c>
      <c r="C2767" s="148" t="s">
        <v>9410</v>
      </c>
      <c r="D2767" t="s">
        <v>9411</v>
      </c>
      <c r="E2767" s="148" t="s">
        <v>9412</v>
      </c>
      <c r="F2767" t="s">
        <v>9413</v>
      </c>
      <c r="G2767" s="148" t="s">
        <v>9448</v>
      </c>
      <c r="H2767" t="s">
        <v>9449</v>
      </c>
      <c r="I2767" s="148" t="s">
        <v>9457</v>
      </c>
      <c r="J2767" t="s">
        <v>9458</v>
      </c>
      <c r="K2767" s="148" t="s">
        <v>10938</v>
      </c>
      <c r="L2767" t="s">
        <v>10939</v>
      </c>
      <c r="M2767" s="1" t="s">
        <v>10940</v>
      </c>
      <c r="N2767" s="1"/>
      <c r="O2767" s="1">
        <v>1</v>
      </c>
      <c r="P2767" s="3" t="s">
        <v>271</v>
      </c>
      <c r="Q2767" s="3" t="s">
        <v>271</v>
      </c>
      <c r="R2767" s="3" t="s">
        <v>271</v>
      </c>
      <c r="S2767" s="3" t="s">
        <v>271</v>
      </c>
      <c r="T2767" t="s">
        <v>3640</v>
      </c>
      <c r="U2767" t="s">
        <v>3630</v>
      </c>
      <c r="V2767" t="s">
        <v>10941</v>
      </c>
      <c r="W2767" s="45">
        <v>1</v>
      </c>
      <c r="X2767" s="45">
        <v>0</v>
      </c>
      <c r="Y2767" s="45">
        <v>0</v>
      </c>
      <c r="Z2767" s="45">
        <v>1</v>
      </c>
      <c r="AA2767" s="45">
        <v>0</v>
      </c>
      <c r="AB2767" s="45">
        <v>0</v>
      </c>
      <c r="AC2767" s="150">
        <v>0</v>
      </c>
      <c r="AD2767" s="150">
        <v>0</v>
      </c>
      <c r="AE2767" s="49">
        <f t="shared" si="111"/>
        <v>0.25</v>
      </c>
      <c r="AF2767" s="44"/>
      <c r="AG2767" s="17">
        <v>0</v>
      </c>
      <c r="AH2767" s="44">
        <v>0.25</v>
      </c>
      <c r="AI2767" s="44">
        <v>0</v>
      </c>
      <c r="AJ2767" s="44">
        <v>0.3</v>
      </c>
      <c r="AK2767" s="151">
        <v>0</v>
      </c>
      <c r="AL2767" s="151">
        <v>0.35</v>
      </c>
      <c r="AM2767" s="147">
        <f t="shared" si="110"/>
        <v>0.35</v>
      </c>
      <c r="AN2767" t="s">
        <v>3643</v>
      </c>
      <c r="AO2767" s="18" t="s">
        <v>3630</v>
      </c>
      <c r="AP2767" t="s">
        <v>10942</v>
      </c>
    </row>
    <row r="2768" spans="1:42" customFormat="1" x14ac:dyDescent="0.3">
      <c r="A2768" s="148" t="s">
        <v>8319</v>
      </c>
      <c r="B2768" t="s">
        <v>8320</v>
      </c>
      <c r="C2768" s="148" t="s">
        <v>9410</v>
      </c>
      <c r="D2768" t="s">
        <v>9411</v>
      </c>
      <c r="E2768" s="148" t="s">
        <v>9412</v>
      </c>
      <c r="F2768" t="s">
        <v>9413</v>
      </c>
      <c r="G2768" s="148" t="s">
        <v>9448</v>
      </c>
      <c r="H2768" t="s">
        <v>9449</v>
      </c>
      <c r="I2768" s="148" t="s">
        <v>9457</v>
      </c>
      <c r="J2768" t="s">
        <v>9458</v>
      </c>
      <c r="K2768" s="148" t="s">
        <v>10943</v>
      </c>
      <c r="L2768" t="s">
        <v>10944</v>
      </c>
      <c r="M2768" s="1" t="s">
        <v>10945</v>
      </c>
      <c r="N2768" s="1"/>
      <c r="O2768" s="1">
        <v>1</v>
      </c>
      <c r="P2768" s="3">
        <v>0</v>
      </c>
      <c r="Q2768" s="3">
        <v>1</v>
      </c>
      <c r="R2768" s="3">
        <v>0</v>
      </c>
      <c r="S2768" s="3">
        <v>1</v>
      </c>
      <c r="T2768" t="s">
        <v>3643</v>
      </c>
      <c r="U2768" t="s">
        <v>3630</v>
      </c>
      <c r="V2768" t="s">
        <v>10946</v>
      </c>
      <c r="W2768" s="45">
        <v>1</v>
      </c>
      <c r="X2768" s="45">
        <v>0</v>
      </c>
      <c r="Y2768" s="45">
        <v>0</v>
      </c>
      <c r="Z2768" s="45">
        <v>1</v>
      </c>
      <c r="AA2768" s="45">
        <v>0</v>
      </c>
      <c r="AB2768" s="45">
        <v>0</v>
      </c>
      <c r="AC2768" s="150">
        <v>0</v>
      </c>
      <c r="AD2768" s="150">
        <v>0</v>
      </c>
      <c r="AE2768" s="49">
        <f t="shared" si="111"/>
        <v>0.25</v>
      </c>
      <c r="AF2768" s="44"/>
      <c r="AG2768" s="17">
        <v>0</v>
      </c>
      <c r="AH2768" s="44">
        <v>0.23</v>
      </c>
      <c r="AI2768" s="44">
        <v>0</v>
      </c>
      <c r="AJ2768" s="44">
        <v>0.25</v>
      </c>
      <c r="AK2768" s="151">
        <v>1</v>
      </c>
      <c r="AL2768" s="151">
        <v>1</v>
      </c>
      <c r="AM2768" s="147">
        <f t="shared" si="110"/>
        <v>2</v>
      </c>
      <c r="AN2768" t="s">
        <v>3643</v>
      </c>
      <c r="AO2768" s="18" t="s">
        <v>3630</v>
      </c>
      <c r="AP2768" t="s">
        <v>9807</v>
      </c>
    </row>
    <row r="2769" spans="1:42" customFormat="1" x14ac:dyDescent="0.3">
      <c r="A2769" s="148" t="s">
        <v>8319</v>
      </c>
      <c r="B2769" t="s">
        <v>8320</v>
      </c>
      <c r="C2769" s="148" t="s">
        <v>9496</v>
      </c>
      <c r="D2769" t="s">
        <v>9497</v>
      </c>
      <c r="E2769" s="148" t="s">
        <v>9498</v>
      </c>
      <c r="F2769" t="s">
        <v>9499</v>
      </c>
      <c r="G2769" s="148" t="s">
        <v>9500</v>
      </c>
      <c r="H2769" t="s">
        <v>9501</v>
      </c>
      <c r="K2769" s="148" t="s">
        <v>9840</v>
      </c>
      <c r="L2769" t="s">
        <v>9841</v>
      </c>
      <c r="M2769" s="1" t="s">
        <v>10947</v>
      </c>
      <c r="N2769" s="1">
        <v>1137</v>
      </c>
      <c r="O2769" s="1">
        <v>1500</v>
      </c>
      <c r="P2769" s="3">
        <v>1500</v>
      </c>
      <c r="Q2769" s="3">
        <v>1500</v>
      </c>
      <c r="R2769" s="3">
        <v>1500</v>
      </c>
      <c r="S2769" s="3">
        <v>1500</v>
      </c>
      <c r="T2769" t="s">
        <v>1536</v>
      </c>
      <c r="U2769" t="e">
        <v>#N/A</v>
      </c>
      <c r="V2769" t="s">
        <v>10948</v>
      </c>
      <c r="W2769" s="45">
        <v>0</v>
      </c>
      <c r="X2769" s="45">
        <v>0</v>
      </c>
      <c r="Y2769" s="45">
        <v>0</v>
      </c>
      <c r="Z2769" s="45">
        <v>1</v>
      </c>
      <c r="AA2769" s="45">
        <v>1</v>
      </c>
      <c r="AB2769" s="45">
        <v>0</v>
      </c>
      <c r="AC2769" s="150">
        <v>0</v>
      </c>
      <c r="AD2769" s="150">
        <v>0</v>
      </c>
      <c r="AE2769" s="49">
        <f t="shared" si="111"/>
        <v>0.25</v>
      </c>
      <c r="AF2769" s="44"/>
      <c r="AG2769" s="17">
        <v>0</v>
      </c>
      <c r="AH2769" s="44">
        <v>0</v>
      </c>
      <c r="AI2769" s="44">
        <v>0</v>
      </c>
      <c r="AJ2769" s="44">
        <v>0</v>
      </c>
      <c r="AK2769" s="151">
        <v>0</v>
      </c>
      <c r="AL2769" s="151">
        <v>0</v>
      </c>
      <c r="AM2769" s="147">
        <f t="shared" si="110"/>
        <v>0</v>
      </c>
      <c r="AN2769" s="18" t="s">
        <v>771</v>
      </c>
      <c r="AO2769" s="18" t="s">
        <v>773</v>
      </c>
      <c r="AP2769" t="s">
        <v>10949</v>
      </c>
    </row>
    <row r="2770" spans="1:42" customFormat="1" x14ac:dyDescent="0.3">
      <c r="A2770" s="148" t="s">
        <v>8319</v>
      </c>
      <c r="B2770" t="s">
        <v>8320</v>
      </c>
      <c r="C2770" s="148" t="s">
        <v>9344</v>
      </c>
      <c r="D2770" t="s">
        <v>9345</v>
      </c>
      <c r="E2770" s="148" t="s">
        <v>10414</v>
      </c>
      <c r="F2770" t="s">
        <v>10415</v>
      </c>
      <c r="G2770" s="148" t="s">
        <v>10767</v>
      </c>
      <c r="H2770" t="s">
        <v>10768</v>
      </c>
      <c r="K2770" s="148" t="s">
        <v>10774</v>
      </c>
      <c r="L2770" t="s">
        <v>10775</v>
      </c>
      <c r="M2770" s="1" t="s">
        <v>10950</v>
      </c>
      <c r="N2770" s="1" t="s">
        <v>119</v>
      </c>
      <c r="O2770" s="1">
        <v>47</v>
      </c>
      <c r="P2770" s="3">
        <v>50</v>
      </c>
      <c r="Q2770" s="3">
        <v>53</v>
      </c>
      <c r="R2770" s="3">
        <v>55</v>
      </c>
      <c r="S2770" s="3">
        <v>60</v>
      </c>
      <c r="T2770" t="s">
        <v>723</v>
      </c>
      <c r="U2770" t="s">
        <v>729</v>
      </c>
      <c r="V2770" t="s">
        <v>10951</v>
      </c>
      <c r="W2770" s="45">
        <v>1</v>
      </c>
      <c r="X2770" s="45">
        <v>0</v>
      </c>
      <c r="Y2770" s="45">
        <v>0</v>
      </c>
      <c r="Z2770" s="45">
        <v>1</v>
      </c>
      <c r="AA2770" s="45">
        <v>0</v>
      </c>
      <c r="AB2770" s="45">
        <v>0</v>
      </c>
      <c r="AC2770" s="150">
        <v>0</v>
      </c>
      <c r="AD2770" s="150">
        <v>0</v>
      </c>
      <c r="AE2770" s="49">
        <f t="shared" si="111"/>
        <v>0.25</v>
      </c>
      <c r="AF2770" s="44"/>
      <c r="AG2770" s="17">
        <v>0</v>
      </c>
      <c r="AH2770" s="44">
        <v>0</v>
      </c>
      <c r="AI2770" s="44">
        <v>0.24</v>
      </c>
      <c r="AJ2770" s="44">
        <v>0</v>
      </c>
      <c r="AK2770" s="151">
        <v>0</v>
      </c>
      <c r="AL2770" s="151">
        <v>0</v>
      </c>
      <c r="AM2770" s="147">
        <f t="shared" si="110"/>
        <v>0</v>
      </c>
      <c r="AN2770" s="18" t="s">
        <v>723</v>
      </c>
      <c r="AO2770" s="18" t="s">
        <v>729</v>
      </c>
      <c r="AP2770" t="s">
        <v>255</v>
      </c>
    </row>
    <row r="2771" spans="1:42" customFormat="1" x14ac:dyDescent="0.3">
      <c r="A2771" s="148" t="s">
        <v>8319</v>
      </c>
      <c r="B2771" t="s">
        <v>8320</v>
      </c>
      <c r="C2771" s="148" t="s">
        <v>9344</v>
      </c>
      <c r="D2771" t="s">
        <v>9345</v>
      </c>
      <c r="E2771" s="148" t="s">
        <v>9346</v>
      </c>
      <c r="F2771" t="s">
        <v>9347</v>
      </c>
      <c r="G2771" s="148" t="s">
        <v>9897</v>
      </c>
      <c r="H2771" t="s">
        <v>9898</v>
      </c>
      <c r="K2771" s="148" t="s">
        <v>10952</v>
      </c>
      <c r="L2771" t="s">
        <v>10953</v>
      </c>
      <c r="M2771" s="1" t="s">
        <v>10954</v>
      </c>
      <c r="N2771" s="1" t="s">
        <v>271</v>
      </c>
      <c r="O2771" s="1">
        <v>100</v>
      </c>
      <c r="P2771" s="3">
        <v>100</v>
      </c>
      <c r="Q2771" s="3">
        <v>100</v>
      </c>
      <c r="R2771" s="3">
        <v>100</v>
      </c>
      <c r="S2771" s="3">
        <v>100</v>
      </c>
      <c r="T2771" t="s">
        <v>771</v>
      </c>
      <c r="U2771" t="s">
        <v>773</v>
      </c>
      <c r="V2771" t="s">
        <v>10955</v>
      </c>
      <c r="W2771" s="45">
        <v>0</v>
      </c>
      <c r="X2771" s="45">
        <v>0</v>
      </c>
      <c r="Y2771" s="45">
        <v>0</v>
      </c>
      <c r="Z2771" s="45">
        <v>0</v>
      </c>
      <c r="AA2771" s="45">
        <v>0</v>
      </c>
      <c r="AB2771" s="45">
        <v>0</v>
      </c>
      <c r="AC2771" s="150">
        <v>1</v>
      </c>
      <c r="AD2771" s="150">
        <v>0</v>
      </c>
      <c r="AE2771" s="49">
        <f t="shared" si="111"/>
        <v>0.125</v>
      </c>
      <c r="AF2771" s="44"/>
      <c r="AG2771" s="17">
        <v>0</v>
      </c>
      <c r="AH2771" s="44">
        <v>0.3</v>
      </c>
      <c r="AI2771" s="44">
        <v>0.3</v>
      </c>
      <c r="AJ2771" s="44">
        <v>0.3</v>
      </c>
      <c r="AK2771" s="151">
        <v>0.3</v>
      </c>
      <c r="AL2771" s="151">
        <v>0.3</v>
      </c>
      <c r="AM2771" s="147">
        <f t="shared" si="110"/>
        <v>0.6</v>
      </c>
      <c r="AN2771" s="18" t="s">
        <v>255</v>
      </c>
      <c r="AO2771" s="18" t="s">
        <v>1045</v>
      </c>
      <c r="AP2771" t="s">
        <v>10956</v>
      </c>
    </row>
    <row r="2772" spans="1:42" customFormat="1" x14ac:dyDescent="0.3">
      <c r="A2772" s="148" t="s">
        <v>8319</v>
      </c>
      <c r="B2772" t="s">
        <v>8320</v>
      </c>
      <c r="C2772" s="148" t="s">
        <v>9344</v>
      </c>
      <c r="D2772" t="s">
        <v>9345</v>
      </c>
      <c r="E2772" s="148" t="s">
        <v>9346</v>
      </c>
      <c r="F2772" t="s">
        <v>9347</v>
      </c>
      <c r="G2772" s="148" t="s">
        <v>10152</v>
      </c>
      <c r="H2772" t="s">
        <v>10153</v>
      </c>
      <c r="K2772" s="148" t="s">
        <v>10154</v>
      </c>
      <c r="L2772" t="s">
        <v>10155</v>
      </c>
      <c r="M2772" s="1" t="s">
        <v>10957</v>
      </c>
      <c r="N2772" s="1" t="s">
        <v>271</v>
      </c>
      <c r="O2772" s="1">
        <v>2500</v>
      </c>
      <c r="P2772" s="3">
        <v>3750</v>
      </c>
      <c r="Q2772" s="3">
        <v>6250</v>
      </c>
      <c r="R2772" s="3">
        <v>6750</v>
      </c>
      <c r="S2772" s="3">
        <v>7000</v>
      </c>
      <c r="T2772" t="s">
        <v>10958</v>
      </c>
      <c r="U2772" t="e">
        <v>#N/A</v>
      </c>
      <c r="V2772" t="s">
        <v>10959</v>
      </c>
      <c r="W2772" s="45">
        <v>1</v>
      </c>
      <c r="X2772" s="45">
        <v>0</v>
      </c>
      <c r="Y2772" s="45">
        <v>0</v>
      </c>
      <c r="Z2772" s="45">
        <v>0</v>
      </c>
      <c r="AA2772" s="45">
        <v>0</v>
      </c>
      <c r="AB2772" s="45"/>
      <c r="AC2772" s="150">
        <v>0</v>
      </c>
      <c r="AD2772" s="150">
        <v>0</v>
      </c>
      <c r="AE2772" s="49">
        <f t="shared" si="111"/>
        <v>0.125</v>
      </c>
      <c r="AF2772" s="44">
        <v>1</v>
      </c>
      <c r="AG2772" s="17">
        <v>0</v>
      </c>
      <c r="AH2772" s="44">
        <v>0</v>
      </c>
      <c r="AI2772" s="44">
        <v>0</v>
      </c>
      <c r="AJ2772" s="44">
        <v>0</v>
      </c>
      <c r="AK2772" s="151">
        <v>1</v>
      </c>
      <c r="AL2772" s="151">
        <v>1</v>
      </c>
      <c r="AM2772" s="147">
        <f t="shared" si="110"/>
        <v>2</v>
      </c>
      <c r="AN2772" s="44" t="s">
        <v>723</v>
      </c>
      <c r="AO2772" s="18" t="s">
        <v>729</v>
      </c>
      <c r="AP2772" t="s">
        <v>10960</v>
      </c>
    </row>
    <row r="2773" spans="1:42" customFormat="1" x14ac:dyDescent="0.3">
      <c r="A2773" s="148" t="s">
        <v>8319</v>
      </c>
      <c r="B2773" t="s">
        <v>8320</v>
      </c>
      <c r="C2773" s="148" t="s">
        <v>9410</v>
      </c>
      <c r="D2773" t="s">
        <v>9411</v>
      </c>
      <c r="E2773" s="148" t="s">
        <v>9412</v>
      </c>
      <c r="F2773" t="s">
        <v>9413</v>
      </c>
      <c r="G2773" s="148" t="s">
        <v>9997</v>
      </c>
      <c r="H2773" t="s">
        <v>9998</v>
      </c>
      <c r="I2773" s="148" t="s">
        <v>10823</v>
      </c>
      <c r="J2773" t="s">
        <v>10824</v>
      </c>
      <c r="K2773" s="148" t="s">
        <v>10825</v>
      </c>
      <c r="L2773" t="s">
        <v>10826</v>
      </c>
      <c r="M2773" s="1" t="s">
        <v>10961</v>
      </c>
      <c r="N2773" s="1"/>
      <c r="O2773" s="1">
        <v>0</v>
      </c>
      <c r="P2773" s="3">
        <v>10</v>
      </c>
      <c r="Q2773" s="3">
        <v>15</v>
      </c>
      <c r="R2773" s="3">
        <v>15</v>
      </c>
      <c r="S2773" s="3">
        <v>15</v>
      </c>
      <c r="T2773" t="s">
        <v>3643</v>
      </c>
      <c r="U2773" t="s">
        <v>3630</v>
      </c>
      <c r="V2773" t="s">
        <v>10962</v>
      </c>
      <c r="W2773" s="45">
        <v>1</v>
      </c>
      <c r="X2773" s="45">
        <v>0</v>
      </c>
      <c r="Y2773" s="45">
        <v>0</v>
      </c>
      <c r="Z2773" s="45">
        <v>0</v>
      </c>
      <c r="AA2773" s="45">
        <v>0</v>
      </c>
      <c r="AB2773" s="45">
        <v>0</v>
      </c>
      <c r="AC2773" s="150">
        <v>0</v>
      </c>
      <c r="AD2773" s="150">
        <v>0</v>
      </c>
      <c r="AE2773" s="49">
        <f t="shared" si="111"/>
        <v>0.125</v>
      </c>
      <c r="AF2773" s="17"/>
      <c r="AG2773" s="17">
        <v>0</v>
      </c>
      <c r="AH2773" s="17">
        <v>0</v>
      </c>
      <c r="AI2773" s="17">
        <v>0</v>
      </c>
      <c r="AJ2773" s="17">
        <v>0</v>
      </c>
      <c r="AK2773" s="153">
        <v>0</v>
      </c>
      <c r="AL2773" s="154">
        <v>0</v>
      </c>
      <c r="AM2773" s="147">
        <f t="shared" si="110"/>
        <v>0</v>
      </c>
      <c r="AN2773" t="s">
        <v>3643</v>
      </c>
      <c r="AO2773" s="18" t="s">
        <v>3630</v>
      </c>
      <c r="AP2773" t="s">
        <v>10832</v>
      </c>
    </row>
    <row r="2774" spans="1:42" customFormat="1" x14ac:dyDescent="0.3">
      <c r="A2774" s="148" t="s">
        <v>8319</v>
      </c>
      <c r="B2774" t="s">
        <v>8320</v>
      </c>
      <c r="C2774" s="148" t="s">
        <v>9344</v>
      </c>
      <c r="D2774" t="s">
        <v>9345</v>
      </c>
      <c r="E2774" s="148" t="s">
        <v>10414</v>
      </c>
      <c r="F2774" t="s">
        <v>10415</v>
      </c>
      <c r="G2774" s="148" t="s">
        <v>10416</v>
      </c>
      <c r="H2774" t="s">
        <v>10417</v>
      </c>
      <c r="K2774" s="148" t="s">
        <v>10963</v>
      </c>
      <c r="L2774" t="s">
        <v>10964</v>
      </c>
      <c r="M2774" s="1" t="s">
        <v>10965</v>
      </c>
      <c r="N2774" s="1" t="s">
        <v>271</v>
      </c>
      <c r="O2774" s="1" t="s">
        <v>271</v>
      </c>
      <c r="P2774" s="3" t="s">
        <v>271</v>
      </c>
      <c r="Q2774" s="3" t="s">
        <v>271</v>
      </c>
      <c r="R2774" s="3">
        <v>1</v>
      </c>
      <c r="S2774" s="3">
        <v>1</v>
      </c>
      <c r="T2774" t="s">
        <v>10966</v>
      </c>
      <c r="U2774" t="e">
        <v>#N/A</v>
      </c>
      <c r="V2774" t="s">
        <v>10967</v>
      </c>
      <c r="W2774" s="45">
        <v>0</v>
      </c>
      <c r="X2774" s="45">
        <v>0</v>
      </c>
      <c r="Y2774" s="45">
        <v>0</v>
      </c>
      <c r="Z2774" s="45">
        <v>0</v>
      </c>
      <c r="AA2774" s="45">
        <v>1</v>
      </c>
      <c r="AB2774" s="45">
        <v>0</v>
      </c>
      <c r="AC2774" s="150">
        <v>0</v>
      </c>
      <c r="AD2774" s="150">
        <v>0</v>
      </c>
      <c r="AE2774" s="49">
        <f t="shared" si="111"/>
        <v>0.125</v>
      </c>
      <c r="AF2774" s="44"/>
      <c r="AG2774" s="17">
        <v>0</v>
      </c>
      <c r="AH2774" s="44">
        <v>0</v>
      </c>
      <c r="AI2774" s="44">
        <v>0</v>
      </c>
      <c r="AJ2774" s="44">
        <v>3</v>
      </c>
      <c r="AK2774" s="151">
        <v>3</v>
      </c>
      <c r="AL2774" s="151">
        <v>3</v>
      </c>
      <c r="AM2774" s="147">
        <f t="shared" si="110"/>
        <v>6</v>
      </c>
      <c r="AN2774" s="18" t="s">
        <v>255</v>
      </c>
      <c r="AO2774" s="18" t="s">
        <v>1045</v>
      </c>
      <c r="AP2774" t="s">
        <v>982</v>
      </c>
    </row>
    <row r="2775" spans="1:42" customFormat="1" x14ac:dyDescent="0.3">
      <c r="A2775" s="148" t="s">
        <v>8319</v>
      </c>
      <c r="B2775" t="s">
        <v>8320</v>
      </c>
      <c r="C2775" s="148" t="s">
        <v>9344</v>
      </c>
      <c r="D2775" t="s">
        <v>9345</v>
      </c>
      <c r="E2775" s="148" t="s">
        <v>9346</v>
      </c>
      <c r="F2775" t="s">
        <v>9347</v>
      </c>
      <c r="G2775" s="148" t="s">
        <v>9552</v>
      </c>
      <c r="H2775" t="s">
        <v>9553</v>
      </c>
      <c r="K2775" s="148" t="s">
        <v>9554</v>
      </c>
      <c r="L2775" t="s">
        <v>9555</v>
      </c>
      <c r="M2775" s="1" t="s">
        <v>10968</v>
      </c>
      <c r="N2775" s="1">
        <v>15</v>
      </c>
      <c r="O2775" s="1">
        <v>20</v>
      </c>
      <c r="P2775" s="3">
        <v>20</v>
      </c>
      <c r="Q2775" s="3">
        <v>30</v>
      </c>
      <c r="R2775" s="3">
        <v>40</v>
      </c>
      <c r="S2775" s="3">
        <v>40</v>
      </c>
      <c r="T2775" t="s">
        <v>10969</v>
      </c>
      <c r="U2775" t="e">
        <v>#N/A</v>
      </c>
      <c r="W2775" s="45"/>
      <c r="X2775" s="45"/>
      <c r="Y2775" s="45"/>
      <c r="Z2775" s="45"/>
      <c r="AA2775" s="45"/>
      <c r="AB2775" s="45"/>
      <c r="AC2775" s="150">
        <v>0</v>
      </c>
      <c r="AD2775" s="150">
        <v>0</v>
      </c>
      <c r="AE2775" s="49">
        <f t="shared" si="111"/>
        <v>0</v>
      </c>
      <c r="AF2775" s="4"/>
      <c r="AG2775" s="17">
        <v>0</v>
      </c>
      <c r="AH2775" s="4"/>
      <c r="AI2775" s="4"/>
      <c r="AJ2775" s="4"/>
      <c r="AK2775" s="46"/>
      <c r="AL2775" s="46"/>
      <c r="AM2775" s="147">
        <f t="shared" si="110"/>
        <v>0</v>
      </c>
      <c r="AO2775" s="18"/>
    </row>
    <row r="2776" spans="1:42" customFormat="1" x14ac:dyDescent="0.3">
      <c r="A2776" s="148" t="s">
        <v>8319</v>
      </c>
      <c r="B2776" t="s">
        <v>8320</v>
      </c>
      <c r="C2776" s="148" t="s">
        <v>9344</v>
      </c>
      <c r="D2776" t="s">
        <v>9345</v>
      </c>
      <c r="E2776" s="148" t="s">
        <v>9346</v>
      </c>
      <c r="F2776" t="s">
        <v>9347</v>
      </c>
      <c r="G2776" s="148" t="s">
        <v>9552</v>
      </c>
      <c r="H2776" t="s">
        <v>9553</v>
      </c>
      <c r="K2776" s="148" t="s">
        <v>9554</v>
      </c>
      <c r="L2776" t="s">
        <v>9555</v>
      </c>
      <c r="M2776" s="1" t="s">
        <v>10970</v>
      </c>
      <c r="N2776" s="1">
        <v>46</v>
      </c>
      <c r="O2776" s="1">
        <v>48</v>
      </c>
      <c r="P2776" s="3">
        <v>55</v>
      </c>
      <c r="Q2776" s="3">
        <v>60</v>
      </c>
      <c r="R2776" s="3">
        <v>65</v>
      </c>
      <c r="S2776" s="3">
        <v>70</v>
      </c>
      <c r="T2776" t="s">
        <v>723</v>
      </c>
      <c r="U2776" t="s">
        <v>729</v>
      </c>
      <c r="W2776" s="45"/>
      <c r="X2776" s="45"/>
      <c r="Y2776" s="45"/>
      <c r="Z2776" s="45"/>
      <c r="AA2776" s="45"/>
      <c r="AB2776" s="45"/>
      <c r="AC2776" s="150">
        <v>0</v>
      </c>
      <c r="AD2776" s="150">
        <v>0</v>
      </c>
      <c r="AE2776" s="49">
        <f t="shared" si="111"/>
        <v>0</v>
      </c>
      <c r="AF2776" s="4"/>
      <c r="AG2776" s="17">
        <v>0</v>
      </c>
      <c r="AH2776" s="4"/>
      <c r="AI2776" s="4"/>
      <c r="AJ2776" s="4"/>
      <c r="AK2776" s="46"/>
      <c r="AL2776" s="46"/>
      <c r="AM2776" s="147">
        <f t="shared" si="110"/>
        <v>0</v>
      </c>
      <c r="AO2776" s="18"/>
    </row>
    <row r="2777" spans="1:42" customFormat="1" x14ac:dyDescent="0.3">
      <c r="A2777" s="148" t="s">
        <v>8319</v>
      </c>
      <c r="B2777" t="s">
        <v>8320</v>
      </c>
      <c r="C2777" s="148" t="s">
        <v>9344</v>
      </c>
      <c r="D2777" t="s">
        <v>9345</v>
      </c>
      <c r="E2777" s="148" t="s">
        <v>9346</v>
      </c>
      <c r="F2777" t="s">
        <v>9347</v>
      </c>
      <c r="G2777" t="s">
        <v>9348</v>
      </c>
      <c r="H2777" t="s">
        <v>9349</v>
      </c>
      <c r="I2777" s="148" t="s">
        <v>9883</v>
      </c>
      <c r="J2777" t="s">
        <v>9884</v>
      </c>
      <c r="K2777" s="148" t="s">
        <v>9885</v>
      </c>
      <c r="L2777" t="s">
        <v>9886</v>
      </c>
      <c r="M2777" s="1" t="s">
        <v>10971</v>
      </c>
      <c r="N2777" s="1">
        <v>40</v>
      </c>
      <c r="O2777" s="1">
        <v>35</v>
      </c>
      <c r="P2777" s="3">
        <v>30</v>
      </c>
      <c r="Q2777" s="3">
        <v>25</v>
      </c>
      <c r="R2777" s="3">
        <v>20</v>
      </c>
      <c r="S2777" s="3">
        <v>15</v>
      </c>
      <c r="T2777" t="s">
        <v>10972</v>
      </c>
      <c r="U2777" t="e">
        <v>#N/A</v>
      </c>
      <c r="W2777" s="45"/>
      <c r="X2777" s="45"/>
      <c r="Y2777" s="45"/>
      <c r="Z2777" s="45"/>
      <c r="AA2777" s="45"/>
      <c r="AB2777" s="45"/>
      <c r="AC2777" s="150">
        <v>0</v>
      </c>
      <c r="AD2777" s="150">
        <v>0</v>
      </c>
      <c r="AE2777" s="49">
        <f t="shared" si="111"/>
        <v>0</v>
      </c>
      <c r="AF2777" s="17"/>
      <c r="AG2777" s="17">
        <v>0</v>
      </c>
      <c r="AH2777" s="17"/>
      <c r="AI2777" s="17"/>
      <c r="AJ2777" s="17"/>
      <c r="AK2777" s="153"/>
      <c r="AL2777" s="154"/>
      <c r="AM2777" s="147">
        <f t="shared" si="110"/>
        <v>0</v>
      </c>
      <c r="AN2777" s="18"/>
      <c r="AO2777" s="18"/>
    </row>
    <row r="2778" spans="1:42" customFormat="1" x14ac:dyDescent="0.3">
      <c r="A2778" s="148" t="s">
        <v>8319</v>
      </c>
      <c r="B2778" t="s">
        <v>8320</v>
      </c>
      <c r="C2778" s="148" t="s">
        <v>9344</v>
      </c>
      <c r="D2778" t="s">
        <v>9345</v>
      </c>
      <c r="E2778" s="148" t="s">
        <v>9346</v>
      </c>
      <c r="F2778" t="s">
        <v>9347</v>
      </c>
      <c r="G2778" t="s">
        <v>9348</v>
      </c>
      <c r="H2778" t="s">
        <v>9349</v>
      </c>
      <c r="I2778" s="148" t="s">
        <v>9883</v>
      </c>
      <c r="J2778" t="s">
        <v>9884</v>
      </c>
      <c r="K2778" s="148" t="s">
        <v>9885</v>
      </c>
      <c r="L2778" t="s">
        <v>9886</v>
      </c>
      <c r="M2778" s="1" t="s">
        <v>10973</v>
      </c>
      <c r="N2778" s="1"/>
      <c r="O2778" s="1">
        <v>55</v>
      </c>
      <c r="P2778" s="3">
        <v>50</v>
      </c>
      <c r="Q2778" s="3">
        <v>45</v>
      </c>
      <c r="R2778" s="3">
        <v>40</v>
      </c>
      <c r="S2778" s="3">
        <v>35</v>
      </c>
      <c r="U2778" t="e">
        <v>#N/A</v>
      </c>
      <c r="W2778" s="45"/>
      <c r="X2778" s="45"/>
      <c r="Y2778" s="45"/>
      <c r="Z2778" s="45"/>
      <c r="AA2778" s="45"/>
      <c r="AB2778" s="45"/>
      <c r="AC2778" s="150">
        <v>0</v>
      </c>
      <c r="AD2778" s="150">
        <v>0</v>
      </c>
      <c r="AE2778" s="49">
        <f t="shared" si="111"/>
        <v>0</v>
      </c>
      <c r="AF2778" s="17"/>
      <c r="AG2778" s="17">
        <v>0</v>
      </c>
      <c r="AH2778" s="17"/>
      <c r="AI2778" s="17"/>
      <c r="AJ2778" s="17"/>
      <c r="AK2778" s="153"/>
      <c r="AL2778" s="154"/>
      <c r="AM2778" s="147">
        <f t="shared" si="110"/>
        <v>0</v>
      </c>
      <c r="AN2778" s="18"/>
      <c r="AO2778" s="18"/>
    </row>
    <row r="2779" spans="1:42" customFormat="1" x14ac:dyDescent="0.3">
      <c r="A2779" s="148" t="s">
        <v>8319</v>
      </c>
      <c r="B2779" t="s">
        <v>8320</v>
      </c>
      <c r="C2779" s="148" t="s">
        <v>9344</v>
      </c>
      <c r="D2779" t="s">
        <v>9345</v>
      </c>
      <c r="E2779" s="148" t="s">
        <v>9346</v>
      </c>
      <c r="F2779" t="s">
        <v>9347</v>
      </c>
      <c r="G2779" t="s">
        <v>9348</v>
      </c>
      <c r="H2779" t="s">
        <v>9349</v>
      </c>
      <c r="I2779" s="148" t="s">
        <v>9883</v>
      </c>
      <c r="J2779" t="s">
        <v>9884</v>
      </c>
      <c r="K2779" s="148" t="s">
        <v>9885</v>
      </c>
      <c r="L2779" t="s">
        <v>9886</v>
      </c>
      <c r="M2779" s="1" t="s">
        <v>10974</v>
      </c>
      <c r="N2779" s="1">
        <v>43</v>
      </c>
      <c r="O2779" s="1">
        <v>42</v>
      </c>
      <c r="P2779" s="3">
        <v>41</v>
      </c>
      <c r="Q2779" s="3">
        <v>40</v>
      </c>
      <c r="R2779" s="3">
        <v>39</v>
      </c>
      <c r="S2779" s="3">
        <v>38</v>
      </c>
      <c r="T2779" t="s">
        <v>10975</v>
      </c>
      <c r="U2779" t="e">
        <v>#N/A</v>
      </c>
      <c r="W2779" s="45"/>
      <c r="X2779" s="45"/>
      <c r="Y2779" s="45"/>
      <c r="Z2779" s="45"/>
      <c r="AA2779" s="45"/>
      <c r="AB2779" s="45"/>
      <c r="AC2779" s="150">
        <v>0</v>
      </c>
      <c r="AD2779" s="150">
        <v>0</v>
      </c>
      <c r="AE2779" s="49">
        <f t="shared" si="111"/>
        <v>0</v>
      </c>
      <c r="AF2779" s="17"/>
      <c r="AG2779" s="17">
        <v>0</v>
      </c>
      <c r="AH2779" s="17"/>
      <c r="AI2779" s="17"/>
      <c r="AJ2779" s="17"/>
      <c r="AK2779" s="153"/>
      <c r="AL2779" s="154"/>
      <c r="AM2779" s="147">
        <f t="shared" si="110"/>
        <v>0</v>
      </c>
      <c r="AN2779" s="18"/>
      <c r="AO2779" s="18"/>
    </row>
    <row r="2780" spans="1:42" customFormat="1" x14ac:dyDescent="0.3">
      <c r="A2780" s="148" t="s">
        <v>8319</v>
      </c>
      <c r="B2780" t="s">
        <v>8320</v>
      </c>
      <c r="C2780" s="148" t="s">
        <v>9344</v>
      </c>
      <c r="D2780" t="s">
        <v>9345</v>
      </c>
      <c r="E2780" s="148" t="s">
        <v>9346</v>
      </c>
      <c r="F2780" t="s">
        <v>9347</v>
      </c>
      <c r="G2780" s="148" t="s">
        <v>9897</v>
      </c>
      <c r="H2780" t="s">
        <v>9898</v>
      </c>
      <c r="K2780" s="148" t="s">
        <v>10976</v>
      </c>
      <c r="L2780" t="s">
        <v>10977</v>
      </c>
      <c r="M2780" s="1" t="s">
        <v>10978</v>
      </c>
      <c r="N2780" s="1">
        <v>80</v>
      </c>
      <c r="O2780" s="1">
        <v>140</v>
      </c>
      <c r="P2780" s="3">
        <v>140</v>
      </c>
      <c r="Q2780" s="3">
        <v>140</v>
      </c>
      <c r="R2780" s="3">
        <v>140</v>
      </c>
      <c r="S2780" s="3">
        <v>140</v>
      </c>
      <c r="T2780" t="s">
        <v>771</v>
      </c>
      <c r="U2780" t="s">
        <v>773</v>
      </c>
      <c r="V2780" t="s">
        <v>10979</v>
      </c>
      <c r="W2780" s="45">
        <v>0</v>
      </c>
      <c r="X2780" s="45">
        <v>0</v>
      </c>
      <c r="Y2780" s="45">
        <v>0</v>
      </c>
      <c r="Z2780" s="45">
        <v>0</v>
      </c>
      <c r="AA2780" s="45">
        <v>0</v>
      </c>
      <c r="AB2780" s="45">
        <v>0</v>
      </c>
      <c r="AC2780" s="150">
        <v>0</v>
      </c>
      <c r="AD2780" s="150">
        <v>0</v>
      </c>
      <c r="AE2780" s="49">
        <f t="shared" si="111"/>
        <v>0</v>
      </c>
      <c r="AF2780" s="44"/>
      <c r="AG2780" s="17">
        <v>0</v>
      </c>
      <c r="AH2780" s="44">
        <v>0.1</v>
      </c>
      <c r="AI2780" s="44">
        <v>0.1</v>
      </c>
      <c r="AJ2780" s="44">
        <v>0.1</v>
      </c>
      <c r="AK2780" s="151">
        <v>0.1</v>
      </c>
      <c r="AL2780" s="151">
        <v>0.1</v>
      </c>
      <c r="AM2780" s="147">
        <f t="shared" si="110"/>
        <v>0.2</v>
      </c>
      <c r="AN2780" s="18" t="s">
        <v>771</v>
      </c>
      <c r="AO2780" s="18" t="s">
        <v>773</v>
      </c>
      <c r="AP2780" t="s">
        <v>255</v>
      </c>
    </row>
    <row r="2781" spans="1:42" customFormat="1" x14ac:dyDescent="0.3">
      <c r="A2781" s="148" t="s">
        <v>8319</v>
      </c>
      <c r="B2781" t="s">
        <v>8320</v>
      </c>
      <c r="C2781" s="148" t="s">
        <v>9344</v>
      </c>
      <c r="D2781" t="s">
        <v>9345</v>
      </c>
      <c r="E2781" s="148" t="s">
        <v>9346</v>
      </c>
      <c r="F2781" t="s">
        <v>9347</v>
      </c>
      <c r="G2781" s="148" t="s">
        <v>10152</v>
      </c>
      <c r="H2781" t="s">
        <v>10153</v>
      </c>
      <c r="K2781" s="148" t="s">
        <v>10154</v>
      </c>
      <c r="L2781" t="s">
        <v>10155</v>
      </c>
      <c r="M2781" s="1" t="s">
        <v>10980</v>
      </c>
      <c r="N2781" s="1" t="s">
        <v>271</v>
      </c>
      <c r="O2781" s="1" t="s">
        <v>271</v>
      </c>
      <c r="P2781" s="3" t="s">
        <v>271</v>
      </c>
      <c r="Q2781" s="3">
        <v>1</v>
      </c>
      <c r="R2781" s="3" t="s">
        <v>271</v>
      </c>
      <c r="S2781" s="3" t="s">
        <v>271</v>
      </c>
      <c r="T2781" t="s">
        <v>723</v>
      </c>
      <c r="U2781" t="s">
        <v>729</v>
      </c>
      <c r="W2781" s="45"/>
      <c r="X2781" s="45"/>
      <c r="Y2781" s="45"/>
      <c r="Z2781" s="45"/>
      <c r="AA2781" s="45"/>
      <c r="AB2781" s="45"/>
      <c r="AC2781" s="150">
        <v>0</v>
      </c>
      <c r="AD2781" s="150">
        <v>0</v>
      </c>
      <c r="AE2781" s="49">
        <f t="shared" si="111"/>
        <v>0</v>
      </c>
      <c r="AF2781" s="17"/>
      <c r="AG2781" s="17">
        <v>0</v>
      </c>
      <c r="AH2781" s="17">
        <v>0</v>
      </c>
      <c r="AI2781" s="17">
        <v>0</v>
      </c>
      <c r="AJ2781" s="17">
        <v>0</v>
      </c>
      <c r="AK2781" s="153">
        <v>0</v>
      </c>
      <c r="AL2781" s="154">
        <v>0</v>
      </c>
      <c r="AM2781" s="147">
        <f t="shared" si="110"/>
        <v>0</v>
      </c>
      <c r="AN2781" s="44" t="s">
        <v>723</v>
      </c>
      <c r="AO2781" s="18" t="s">
        <v>729</v>
      </c>
    </row>
    <row r="2782" spans="1:42" customFormat="1" x14ac:dyDescent="0.3">
      <c r="A2782" s="148" t="s">
        <v>8319</v>
      </c>
      <c r="B2782" t="s">
        <v>8320</v>
      </c>
      <c r="C2782" s="148" t="s">
        <v>9344</v>
      </c>
      <c r="D2782" t="s">
        <v>9345</v>
      </c>
      <c r="E2782" s="148" t="s">
        <v>9346</v>
      </c>
      <c r="F2782" t="s">
        <v>9347</v>
      </c>
      <c r="G2782" s="148" t="s">
        <v>10152</v>
      </c>
      <c r="H2782" t="s">
        <v>10153</v>
      </c>
      <c r="K2782" s="148" t="s">
        <v>10154</v>
      </c>
      <c r="L2782" t="s">
        <v>10155</v>
      </c>
      <c r="M2782" s="1" t="s">
        <v>10981</v>
      </c>
      <c r="N2782" s="1" t="s">
        <v>271</v>
      </c>
      <c r="O2782" s="1">
        <v>2500</v>
      </c>
      <c r="P2782" s="3">
        <v>3750</v>
      </c>
      <c r="Q2782" s="3">
        <v>6250</v>
      </c>
      <c r="R2782" s="3">
        <v>6750</v>
      </c>
      <c r="S2782" s="3">
        <v>7000</v>
      </c>
      <c r="T2782" t="s">
        <v>723</v>
      </c>
      <c r="U2782" t="s">
        <v>729</v>
      </c>
      <c r="V2782" t="s">
        <v>10982</v>
      </c>
      <c r="W2782" s="45">
        <v>0</v>
      </c>
      <c r="X2782" s="45">
        <v>0</v>
      </c>
      <c r="Y2782" s="45">
        <v>0</v>
      </c>
      <c r="Z2782" s="45">
        <v>0</v>
      </c>
      <c r="AA2782" s="45">
        <v>0</v>
      </c>
      <c r="AB2782" s="45">
        <v>0</v>
      </c>
      <c r="AC2782" s="150">
        <v>0</v>
      </c>
      <c r="AD2782" s="150">
        <v>0</v>
      </c>
      <c r="AE2782" s="49">
        <f t="shared" si="111"/>
        <v>0</v>
      </c>
      <c r="AF2782" s="17">
        <v>1</v>
      </c>
      <c r="AG2782" s="17">
        <v>0</v>
      </c>
      <c r="AH2782" s="17">
        <v>0</v>
      </c>
      <c r="AI2782" s="44">
        <v>0</v>
      </c>
      <c r="AJ2782" s="44">
        <v>0</v>
      </c>
      <c r="AK2782" s="151">
        <v>1</v>
      </c>
      <c r="AL2782" s="151">
        <v>1</v>
      </c>
      <c r="AM2782" s="147">
        <f t="shared" si="110"/>
        <v>2</v>
      </c>
      <c r="AN2782" s="44" t="s">
        <v>723</v>
      </c>
      <c r="AO2782" s="18" t="s">
        <v>729</v>
      </c>
      <c r="AP2782" t="s">
        <v>10983</v>
      </c>
    </row>
    <row r="2783" spans="1:42" customFormat="1" x14ac:dyDescent="0.3">
      <c r="A2783" s="148" t="s">
        <v>8319</v>
      </c>
      <c r="B2783" t="s">
        <v>8320</v>
      </c>
      <c r="C2783" s="148" t="s">
        <v>9344</v>
      </c>
      <c r="D2783" t="s">
        <v>9345</v>
      </c>
      <c r="E2783" s="148" t="s">
        <v>9346</v>
      </c>
      <c r="F2783" t="s">
        <v>9347</v>
      </c>
      <c r="G2783" s="148" t="s">
        <v>10152</v>
      </c>
      <c r="H2783" t="s">
        <v>10153</v>
      </c>
      <c r="K2783" s="148" t="s">
        <v>10154</v>
      </c>
      <c r="L2783" t="s">
        <v>10155</v>
      </c>
      <c r="M2783" s="1" t="s">
        <v>10984</v>
      </c>
      <c r="N2783" s="1" t="s">
        <v>271</v>
      </c>
      <c r="O2783" s="1">
        <v>11</v>
      </c>
      <c r="P2783" s="3">
        <v>11</v>
      </c>
      <c r="Q2783" s="3">
        <v>11</v>
      </c>
      <c r="R2783" s="3">
        <v>11</v>
      </c>
      <c r="S2783" s="3">
        <v>11</v>
      </c>
      <c r="T2783" t="s">
        <v>723</v>
      </c>
      <c r="U2783" t="s">
        <v>729</v>
      </c>
      <c r="V2783" t="s">
        <v>10985</v>
      </c>
      <c r="W2783" s="45">
        <v>0</v>
      </c>
      <c r="X2783" s="45">
        <v>0</v>
      </c>
      <c r="Y2783" s="45">
        <v>0</v>
      </c>
      <c r="Z2783" s="45">
        <v>0</v>
      </c>
      <c r="AA2783" s="45">
        <v>0</v>
      </c>
      <c r="AB2783" s="45">
        <v>0</v>
      </c>
      <c r="AC2783" s="150">
        <v>0</v>
      </c>
      <c r="AD2783" s="150">
        <v>0</v>
      </c>
      <c r="AE2783" s="49">
        <f t="shared" si="111"/>
        <v>0</v>
      </c>
      <c r="AF2783" s="44"/>
      <c r="AG2783" s="17">
        <v>0</v>
      </c>
      <c r="AH2783" s="44">
        <v>0</v>
      </c>
      <c r="AI2783" s="44">
        <v>0</v>
      </c>
      <c r="AJ2783" s="44">
        <v>0</v>
      </c>
      <c r="AK2783" s="151">
        <v>0</v>
      </c>
      <c r="AL2783" s="151">
        <v>0</v>
      </c>
      <c r="AM2783" s="147">
        <f t="shared" si="110"/>
        <v>0</v>
      </c>
      <c r="AN2783" s="44" t="s">
        <v>723</v>
      </c>
      <c r="AO2783" s="18" t="s">
        <v>729</v>
      </c>
      <c r="AP2783" t="s">
        <v>10986</v>
      </c>
    </row>
    <row r="2784" spans="1:42" customFormat="1" x14ac:dyDescent="0.3">
      <c r="A2784" s="148" t="s">
        <v>8319</v>
      </c>
      <c r="B2784" t="s">
        <v>8320</v>
      </c>
      <c r="C2784" s="148" t="s">
        <v>9344</v>
      </c>
      <c r="D2784" t="s">
        <v>9345</v>
      </c>
      <c r="E2784" s="148" t="s">
        <v>9346</v>
      </c>
      <c r="F2784" t="s">
        <v>9347</v>
      </c>
      <c r="G2784" s="148" t="s">
        <v>10152</v>
      </c>
      <c r="H2784" t="s">
        <v>10153</v>
      </c>
      <c r="K2784" s="148" t="s">
        <v>10154</v>
      </c>
      <c r="L2784" t="s">
        <v>10155</v>
      </c>
      <c r="M2784" s="1" t="s">
        <v>10987</v>
      </c>
      <c r="N2784" s="1"/>
      <c r="O2784" s="1">
        <v>0</v>
      </c>
      <c r="P2784" s="3">
        <v>657</v>
      </c>
      <c r="Q2784" s="3">
        <v>714</v>
      </c>
      <c r="R2784" s="3">
        <v>971</v>
      </c>
      <c r="S2784" s="3">
        <v>1228</v>
      </c>
      <c r="T2784" t="s">
        <v>723</v>
      </c>
      <c r="U2784" t="s">
        <v>729</v>
      </c>
      <c r="W2784" s="45"/>
      <c r="X2784" s="45"/>
      <c r="Y2784" s="45"/>
      <c r="Z2784" s="45"/>
      <c r="AA2784" s="45"/>
      <c r="AB2784" s="45"/>
      <c r="AC2784" s="150">
        <v>0</v>
      </c>
      <c r="AD2784" s="150">
        <v>0</v>
      </c>
      <c r="AE2784" s="49">
        <f t="shared" si="111"/>
        <v>0</v>
      </c>
      <c r="AF2784" s="17"/>
      <c r="AG2784" s="17">
        <v>0</v>
      </c>
      <c r="AH2784" s="17"/>
      <c r="AI2784" s="4"/>
      <c r="AJ2784" s="4"/>
      <c r="AK2784" s="46"/>
      <c r="AL2784" s="46"/>
      <c r="AM2784" s="147">
        <f t="shared" si="110"/>
        <v>0</v>
      </c>
      <c r="AN2784" s="44"/>
      <c r="AO2784" s="18"/>
    </row>
    <row r="2785" spans="1:41" customFormat="1" x14ac:dyDescent="0.3">
      <c r="A2785" s="148" t="s">
        <v>8319</v>
      </c>
      <c r="B2785" t="s">
        <v>8320</v>
      </c>
      <c r="C2785" s="148" t="s">
        <v>9344</v>
      </c>
      <c r="D2785" t="s">
        <v>9345</v>
      </c>
      <c r="E2785" s="148" t="s">
        <v>9346</v>
      </c>
      <c r="F2785" t="s">
        <v>9347</v>
      </c>
      <c r="G2785" s="148" t="s">
        <v>10158</v>
      </c>
      <c r="H2785" t="s">
        <v>10159</v>
      </c>
      <c r="I2785" s="148" t="s">
        <v>10988</v>
      </c>
      <c r="J2785" t="s">
        <v>10989</v>
      </c>
      <c r="K2785" s="155" t="s">
        <v>10990</v>
      </c>
      <c r="L2785" t="s">
        <v>10991</v>
      </c>
      <c r="M2785" s="1" t="s">
        <v>10992</v>
      </c>
      <c r="N2785" s="1" t="s">
        <v>271</v>
      </c>
      <c r="O2785" s="1" t="s">
        <v>271</v>
      </c>
      <c r="P2785" s="3" t="s">
        <v>271</v>
      </c>
      <c r="Q2785" s="3" t="s">
        <v>271</v>
      </c>
      <c r="R2785" s="3" t="s">
        <v>271</v>
      </c>
      <c r="S2785" s="3">
        <v>2</v>
      </c>
      <c r="T2785" t="s">
        <v>10993</v>
      </c>
      <c r="U2785" t="e">
        <v>#N/A</v>
      </c>
      <c r="W2785" s="45"/>
      <c r="X2785" s="45"/>
      <c r="Y2785" s="45"/>
      <c r="Z2785" s="45"/>
      <c r="AA2785" s="45"/>
      <c r="AB2785" s="45"/>
      <c r="AC2785" s="150">
        <v>0</v>
      </c>
      <c r="AD2785" s="150">
        <v>0</v>
      </c>
      <c r="AE2785" s="49">
        <f t="shared" si="111"/>
        <v>0</v>
      </c>
      <c r="AF2785" s="4"/>
      <c r="AG2785" s="17">
        <v>0</v>
      </c>
      <c r="AH2785" s="4"/>
      <c r="AI2785" s="4"/>
      <c r="AJ2785" s="4"/>
      <c r="AK2785" s="46"/>
      <c r="AL2785" s="46"/>
      <c r="AM2785" s="147">
        <f t="shared" si="110"/>
        <v>0</v>
      </c>
      <c r="AN2785" s="44"/>
      <c r="AO2785" s="18"/>
    </row>
    <row r="2786" spans="1:41" customFormat="1" x14ac:dyDescent="0.3">
      <c r="A2786" s="148" t="s">
        <v>8319</v>
      </c>
      <c r="B2786" t="s">
        <v>8320</v>
      </c>
      <c r="C2786" s="148" t="s">
        <v>9344</v>
      </c>
      <c r="D2786" t="s">
        <v>9345</v>
      </c>
      <c r="E2786" s="148" t="s">
        <v>9346</v>
      </c>
      <c r="F2786" t="s">
        <v>9347</v>
      </c>
      <c r="G2786" s="148" t="s">
        <v>10994</v>
      </c>
      <c r="H2786" t="s">
        <v>10995</v>
      </c>
      <c r="K2786" s="155" t="s">
        <v>10996</v>
      </c>
      <c r="L2786" t="s">
        <v>10997</v>
      </c>
      <c r="M2786" s="1" t="s">
        <v>10998</v>
      </c>
      <c r="N2786" s="1">
        <v>0</v>
      </c>
      <c r="O2786" s="1">
        <v>0</v>
      </c>
      <c r="P2786" s="3">
        <v>1</v>
      </c>
      <c r="Q2786" s="3" t="s">
        <v>271</v>
      </c>
      <c r="R2786" s="3" t="s">
        <v>271</v>
      </c>
      <c r="S2786" s="3" t="s">
        <v>271</v>
      </c>
      <c r="T2786" t="s">
        <v>10999</v>
      </c>
      <c r="U2786" t="e">
        <v>#N/A</v>
      </c>
      <c r="W2786" s="45"/>
      <c r="X2786" s="45"/>
      <c r="Y2786" s="45"/>
      <c r="Z2786" s="45"/>
      <c r="AA2786" s="45"/>
      <c r="AB2786" s="45"/>
      <c r="AC2786" s="150">
        <v>0</v>
      </c>
      <c r="AD2786" s="150">
        <v>0</v>
      </c>
      <c r="AE2786" s="49">
        <f t="shared" si="111"/>
        <v>0</v>
      </c>
      <c r="AF2786" s="17"/>
      <c r="AG2786" s="17">
        <v>0</v>
      </c>
      <c r="AH2786" s="17">
        <v>0</v>
      </c>
      <c r="AI2786" s="17">
        <v>0</v>
      </c>
      <c r="AJ2786" s="17">
        <v>0</v>
      </c>
      <c r="AK2786" s="153">
        <v>0</v>
      </c>
      <c r="AL2786" s="154">
        <v>0</v>
      </c>
      <c r="AM2786" s="147">
        <f t="shared" si="110"/>
        <v>0</v>
      </c>
      <c r="AN2786" s="44" t="s">
        <v>723</v>
      </c>
      <c r="AO2786" s="18" t="s">
        <v>729</v>
      </c>
    </row>
    <row r="2787" spans="1:41" customFormat="1" x14ac:dyDescent="0.3">
      <c r="A2787" s="148" t="s">
        <v>8319</v>
      </c>
      <c r="B2787" t="s">
        <v>8320</v>
      </c>
      <c r="C2787" s="148" t="s">
        <v>9369</v>
      </c>
      <c r="D2787" t="s">
        <v>9370</v>
      </c>
      <c r="E2787" s="148" t="s">
        <v>9371</v>
      </c>
      <c r="F2787" t="s">
        <v>9372</v>
      </c>
      <c r="G2787" s="148" t="s">
        <v>9373</v>
      </c>
      <c r="H2787" t="s">
        <v>9374</v>
      </c>
      <c r="I2787" t="s">
        <v>9375</v>
      </c>
      <c r="J2787" t="s">
        <v>9376</v>
      </c>
      <c r="K2787" s="148" t="s">
        <v>9578</v>
      </c>
      <c r="L2787" t="s">
        <v>9579</v>
      </c>
      <c r="M2787" s="1"/>
      <c r="N2787" s="1"/>
      <c r="O2787" s="1"/>
      <c r="P2787" s="3"/>
      <c r="Q2787" s="3"/>
      <c r="R2787" s="3"/>
      <c r="S2787" s="3"/>
      <c r="U2787" t="e">
        <v>#N/A</v>
      </c>
      <c r="W2787" s="45"/>
      <c r="X2787" s="45"/>
      <c r="Y2787" s="45"/>
      <c r="Z2787" s="45"/>
      <c r="AA2787" s="45"/>
      <c r="AB2787" s="45"/>
      <c r="AC2787" s="150">
        <v>0</v>
      </c>
      <c r="AD2787" s="150">
        <v>0</v>
      </c>
      <c r="AE2787" s="49">
        <f t="shared" si="111"/>
        <v>0</v>
      </c>
      <c r="AF2787" s="4"/>
      <c r="AG2787" s="17">
        <v>0</v>
      </c>
      <c r="AH2787" s="4"/>
      <c r="AI2787" s="4"/>
      <c r="AJ2787" s="4"/>
      <c r="AK2787" s="46"/>
      <c r="AL2787" s="46"/>
      <c r="AM2787" s="147">
        <f t="shared" si="110"/>
        <v>0</v>
      </c>
      <c r="AO2787" s="18"/>
    </row>
    <row r="2788" spans="1:41" customFormat="1" x14ac:dyDescent="0.3">
      <c r="A2788" s="148" t="s">
        <v>8319</v>
      </c>
      <c r="B2788" t="s">
        <v>8320</v>
      </c>
      <c r="C2788" s="148" t="s">
        <v>9369</v>
      </c>
      <c r="D2788" t="s">
        <v>9370</v>
      </c>
      <c r="E2788" s="148" t="s">
        <v>9371</v>
      </c>
      <c r="F2788" t="s">
        <v>9372</v>
      </c>
      <c r="G2788" s="148" t="s">
        <v>9373</v>
      </c>
      <c r="H2788" t="s">
        <v>9374</v>
      </c>
      <c r="I2788" t="s">
        <v>9375</v>
      </c>
      <c r="J2788" t="s">
        <v>9376</v>
      </c>
      <c r="K2788" s="148" t="s">
        <v>9937</v>
      </c>
      <c r="L2788" t="s">
        <v>9938</v>
      </c>
      <c r="M2788" s="1" t="s">
        <v>11000</v>
      </c>
      <c r="N2788" s="1">
        <v>0</v>
      </c>
      <c r="O2788" s="1">
        <v>0</v>
      </c>
      <c r="P2788" s="3">
        <v>0</v>
      </c>
      <c r="Q2788" s="3">
        <v>0</v>
      </c>
      <c r="R2788" s="3">
        <v>0</v>
      </c>
      <c r="S2788" s="3">
        <v>1</v>
      </c>
      <c r="T2788" t="s">
        <v>1536</v>
      </c>
      <c r="U2788" t="e">
        <v>#N/A</v>
      </c>
      <c r="W2788" s="45"/>
      <c r="X2788" s="45"/>
      <c r="Y2788" s="45"/>
      <c r="Z2788" s="45"/>
      <c r="AA2788" s="45"/>
      <c r="AB2788" s="45"/>
      <c r="AC2788" s="150">
        <v>0</v>
      </c>
      <c r="AD2788" s="150">
        <v>0</v>
      </c>
      <c r="AE2788" s="49">
        <f t="shared" si="111"/>
        <v>0</v>
      </c>
      <c r="AF2788" s="4"/>
      <c r="AG2788" s="17">
        <v>0</v>
      </c>
      <c r="AH2788" s="4"/>
      <c r="AI2788" s="4"/>
      <c r="AJ2788" s="4"/>
      <c r="AK2788" s="46"/>
      <c r="AL2788" s="46"/>
      <c r="AM2788" s="147">
        <f t="shared" si="110"/>
        <v>0</v>
      </c>
      <c r="AO2788" s="18"/>
    </row>
    <row r="2789" spans="1:41" customFormat="1" x14ac:dyDescent="0.3">
      <c r="A2789" s="148" t="s">
        <v>8319</v>
      </c>
      <c r="B2789" t="s">
        <v>8320</v>
      </c>
      <c r="C2789" s="148" t="s">
        <v>9369</v>
      </c>
      <c r="D2789" t="s">
        <v>9370</v>
      </c>
      <c r="E2789" s="148" t="s">
        <v>9371</v>
      </c>
      <c r="F2789" t="s">
        <v>9372</v>
      </c>
      <c r="G2789" s="148" t="s">
        <v>9373</v>
      </c>
      <c r="H2789" t="s">
        <v>9374</v>
      </c>
      <c r="I2789" t="s">
        <v>9375</v>
      </c>
      <c r="J2789" t="s">
        <v>9376</v>
      </c>
      <c r="K2789" s="148" t="s">
        <v>9937</v>
      </c>
      <c r="L2789" t="s">
        <v>9938</v>
      </c>
      <c r="M2789" s="1" t="s">
        <v>11001</v>
      </c>
      <c r="N2789" s="1">
        <v>52</v>
      </c>
      <c r="O2789" s="1">
        <v>60</v>
      </c>
      <c r="P2789" s="3">
        <v>60</v>
      </c>
      <c r="Q2789" s="3">
        <v>60</v>
      </c>
      <c r="R2789" s="3">
        <v>60</v>
      </c>
      <c r="S2789" s="3">
        <v>60</v>
      </c>
      <c r="T2789" t="s">
        <v>1536</v>
      </c>
      <c r="U2789" t="e">
        <v>#N/A</v>
      </c>
      <c r="W2789" s="45"/>
      <c r="X2789" s="45"/>
      <c r="Y2789" s="45"/>
      <c r="Z2789" s="45"/>
      <c r="AA2789" s="45"/>
      <c r="AB2789" s="45"/>
      <c r="AC2789" s="150">
        <v>0</v>
      </c>
      <c r="AD2789" s="150">
        <v>0</v>
      </c>
      <c r="AE2789" s="49">
        <f t="shared" si="111"/>
        <v>0</v>
      </c>
      <c r="AF2789" s="4"/>
      <c r="AG2789" s="17">
        <v>0</v>
      </c>
      <c r="AH2789" s="4"/>
      <c r="AI2789" s="4"/>
      <c r="AJ2789" s="4"/>
      <c r="AK2789" s="46"/>
      <c r="AL2789" s="46"/>
      <c r="AM2789" s="147">
        <f t="shared" ref="AM2789:AM2852" si="112">SUM(AK2789:AL2789)</f>
        <v>0</v>
      </c>
      <c r="AO2789" s="18"/>
    </row>
    <row r="2790" spans="1:41" customFormat="1" x14ac:dyDescent="0.3">
      <c r="A2790" s="148" t="s">
        <v>8319</v>
      </c>
      <c r="B2790" t="s">
        <v>8320</v>
      </c>
      <c r="C2790" s="148" t="s">
        <v>9369</v>
      </c>
      <c r="D2790" t="s">
        <v>9370</v>
      </c>
      <c r="E2790" s="148" t="s">
        <v>9371</v>
      </c>
      <c r="F2790" t="s">
        <v>9372</v>
      </c>
      <c r="G2790" s="148" t="s">
        <v>9373</v>
      </c>
      <c r="H2790" t="s">
        <v>9374</v>
      </c>
      <c r="I2790" s="148" t="s">
        <v>9384</v>
      </c>
      <c r="J2790" t="s">
        <v>9385</v>
      </c>
      <c r="K2790" s="148" t="s">
        <v>9386</v>
      </c>
      <c r="L2790" t="s">
        <v>9387</v>
      </c>
      <c r="M2790" s="1" t="s">
        <v>11002</v>
      </c>
      <c r="N2790" s="1"/>
      <c r="O2790" s="1">
        <v>4</v>
      </c>
      <c r="P2790" s="3">
        <v>8</v>
      </c>
      <c r="Q2790" s="3">
        <v>12</v>
      </c>
      <c r="R2790" s="3">
        <v>12</v>
      </c>
      <c r="S2790" s="3">
        <v>12</v>
      </c>
      <c r="T2790" t="s">
        <v>1536</v>
      </c>
      <c r="U2790" t="e">
        <v>#N/A</v>
      </c>
      <c r="W2790" s="45"/>
      <c r="X2790" s="45"/>
      <c r="Y2790" s="45"/>
      <c r="Z2790" s="45"/>
      <c r="AA2790" s="45"/>
      <c r="AB2790" s="45"/>
      <c r="AC2790" s="150">
        <v>0</v>
      </c>
      <c r="AD2790" s="150">
        <v>0</v>
      </c>
      <c r="AE2790" s="49">
        <f t="shared" si="111"/>
        <v>0</v>
      </c>
      <c r="AF2790" s="4"/>
      <c r="AG2790" s="17">
        <v>0</v>
      </c>
      <c r="AH2790" s="4"/>
      <c r="AI2790" s="4"/>
      <c r="AJ2790" s="4"/>
      <c r="AK2790" s="46"/>
      <c r="AL2790" s="46"/>
      <c r="AM2790" s="147">
        <f t="shared" si="112"/>
        <v>0</v>
      </c>
      <c r="AN2790" s="18"/>
      <c r="AO2790" s="18"/>
    </row>
    <row r="2791" spans="1:41" customFormat="1" x14ac:dyDescent="0.3">
      <c r="A2791" s="148" t="s">
        <v>8319</v>
      </c>
      <c r="B2791" t="s">
        <v>8320</v>
      </c>
      <c r="C2791" s="148" t="s">
        <v>9369</v>
      </c>
      <c r="D2791" t="s">
        <v>9370</v>
      </c>
      <c r="E2791" s="148" t="s">
        <v>9371</v>
      </c>
      <c r="F2791" t="s">
        <v>9372</v>
      </c>
      <c r="G2791" s="148" t="s">
        <v>9373</v>
      </c>
      <c r="H2791" t="s">
        <v>9374</v>
      </c>
      <c r="I2791" s="148" t="s">
        <v>9391</v>
      </c>
      <c r="J2791" t="s">
        <v>9392</v>
      </c>
      <c r="K2791" s="148" t="s">
        <v>11003</v>
      </c>
      <c r="L2791" t="s">
        <v>11004</v>
      </c>
      <c r="M2791" s="1" t="s">
        <v>11005</v>
      </c>
      <c r="N2791" s="1">
        <v>34</v>
      </c>
      <c r="O2791" s="1">
        <v>100</v>
      </c>
      <c r="P2791" s="3">
        <v>100</v>
      </c>
      <c r="Q2791" s="3">
        <v>100</v>
      </c>
      <c r="R2791" s="3">
        <v>100</v>
      </c>
      <c r="S2791" s="3">
        <v>100</v>
      </c>
      <c r="T2791" t="s">
        <v>1536</v>
      </c>
      <c r="U2791" t="e">
        <v>#N/A</v>
      </c>
      <c r="W2791" s="45"/>
      <c r="X2791" s="45"/>
      <c r="Y2791" s="45"/>
      <c r="Z2791" s="45"/>
      <c r="AA2791" s="45"/>
      <c r="AB2791" s="45"/>
      <c r="AC2791" s="150">
        <v>0</v>
      </c>
      <c r="AD2791" s="150">
        <v>0</v>
      </c>
      <c r="AE2791" s="49">
        <f t="shared" si="111"/>
        <v>0</v>
      </c>
      <c r="AF2791" s="4"/>
      <c r="AG2791" s="17">
        <v>0</v>
      </c>
      <c r="AH2791" s="4"/>
      <c r="AI2791" s="4"/>
      <c r="AJ2791" s="4"/>
      <c r="AK2791" s="46"/>
      <c r="AL2791" s="46"/>
      <c r="AM2791" s="147">
        <f t="shared" si="112"/>
        <v>0</v>
      </c>
      <c r="AN2791" s="44"/>
      <c r="AO2791" s="18"/>
    </row>
    <row r="2792" spans="1:41" customFormat="1" x14ac:dyDescent="0.3">
      <c r="A2792" s="148" t="s">
        <v>8319</v>
      </c>
      <c r="B2792" t="s">
        <v>8320</v>
      </c>
      <c r="C2792" s="148" t="s">
        <v>9369</v>
      </c>
      <c r="D2792" t="s">
        <v>9370</v>
      </c>
      <c r="E2792" s="148" t="s">
        <v>9371</v>
      </c>
      <c r="F2792" t="s">
        <v>9372</v>
      </c>
      <c r="G2792" s="148" t="s">
        <v>9373</v>
      </c>
      <c r="H2792" t="s">
        <v>9374</v>
      </c>
      <c r="I2792" s="148" t="s">
        <v>9391</v>
      </c>
      <c r="J2792" t="s">
        <v>9392</v>
      </c>
      <c r="K2792" s="148" t="s">
        <v>11003</v>
      </c>
      <c r="L2792" t="s">
        <v>11004</v>
      </c>
      <c r="M2792" s="1" t="s">
        <v>11006</v>
      </c>
      <c r="N2792" s="1">
        <v>6</v>
      </c>
      <c r="O2792" s="1">
        <v>15</v>
      </c>
      <c r="P2792" s="3">
        <v>20</v>
      </c>
      <c r="Q2792" s="3">
        <v>20</v>
      </c>
      <c r="R2792" s="3">
        <v>20</v>
      </c>
      <c r="S2792" s="3">
        <v>20</v>
      </c>
      <c r="T2792" t="s">
        <v>1536</v>
      </c>
      <c r="U2792" t="e">
        <v>#N/A</v>
      </c>
      <c r="W2792" s="45"/>
      <c r="X2792" s="45"/>
      <c r="Y2792" s="45"/>
      <c r="Z2792" s="45"/>
      <c r="AA2792" s="45"/>
      <c r="AB2792" s="45"/>
      <c r="AC2792" s="150">
        <v>0</v>
      </c>
      <c r="AD2792" s="150">
        <v>0</v>
      </c>
      <c r="AE2792" s="49">
        <f t="shared" ref="AE2792:AE2855" si="113">SUM(W2792:AD2792)/8</f>
        <v>0</v>
      </c>
      <c r="AF2792" s="4"/>
      <c r="AG2792" s="17">
        <v>0</v>
      </c>
      <c r="AH2792" s="4"/>
      <c r="AI2792" s="4"/>
      <c r="AJ2792" s="4"/>
      <c r="AK2792" s="46"/>
      <c r="AL2792" s="46"/>
      <c r="AM2792" s="147">
        <f t="shared" si="112"/>
        <v>0</v>
      </c>
      <c r="AN2792" s="44"/>
      <c r="AO2792" s="18"/>
    </row>
    <row r="2793" spans="1:41" customFormat="1" x14ac:dyDescent="0.3">
      <c r="A2793" s="148" t="s">
        <v>8319</v>
      </c>
      <c r="B2793" t="s">
        <v>8320</v>
      </c>
      <c r="C2793" s="148" t="s">
        <v>9369</v>
      </c>
      <c r="D2793" t="s">
        <v>9370</v>
      </c>
      <c r="E2793" s="148" t="s">
        <v>9371</v>
      </c>
      <c r="F2793" t="s">
        <v>9372</v>
      </c>
      <c r="G2793" s="148" t="s">
        <v>9373</v>
      </c>
      <c r="H2793" t="s">
        <v>9374</v>
      </c>
      <c r="I2793" s="148" t="s">
        <v>9391</v>
      </c>
      <c r="J2793" t="s">
        <v>9392</v>
      </c>
      <c r="K2793" s="148" t="s">
        <v>11003</v>
      </c>
      <c r="L2793" t="s">
        <v>11004</v>
      </c>
      <c r="M2793" s="1" t="s">
        <v>11007</v>
      </c>
      <c r="N2793" s="1" t="s">
        <v>271</v>
      </c>
      <c r="O2793" s="1" t="s">
        <v>271</v>
      </c>
      <c r="P2793" s="3" t="s">
        <v>271</v>
      </c>
      <c r="Q2793" s="3">
        <v>1</v>
      </c>
      <c r="R2793" s="3" t="s">
        <v>271</v>
      </c>
      <c r="S2793" s="3" t="s">
        <v>271</v>
      </c>
      <c r="T2793" t="s">
        <v>723</v>
      </c>
      <c r="U2793" t="s">
        <v>729</v>
      </c>
      <c r="W2793" s="45"/>
      <c r="X2793" s="45"/>
      <c r="Y2793" s="45"/>
      <c r="Z2793" s="45"/>
      <c r="AA2793" s="45"/>
      <c r="AB2793" s="45"/>
      <c r="AC2793" s="150">
        <v>0</v>
      </c>
      <c r="AD2793" s="150">
        <v>0</v>
      </c>
      <c r="AE2793" s="49">
        <f t="shared" si="113"/>
        <v>0</v>
      </c>
      <c r="AF2793" s="4"/>
      <c r="AG2793" s="17">
        <v>0</v>
      </c>
      <c r="AH2793" s="4"/>
      <c r="AI2793" s="4"/>
      <c r="AJ2793" s="4"/>
      <c r="AK2793" s="46"/>
      <c r="AL2793" s="46"/>
      <c r="AM2793" s="147">
        <f t="shared" si="112"/>
        <v>0</v>
      </c>
      <c r="AN2793" s="44"/>
      <c r="AO2793" s="18"/>
    </row>
    <row r="2794" spans="1:41" customFormat="1" x14ac:dyDescent="0.3">
      <c r="A2794" s="148" t="s">
        <v>8319</v>
      </c>
      <c r="B2794" t="s">
        <v>8320</v>
      </c>
      <c r="C2794" s="148" t="s">
        <v>9369</v>
      </c>
      <c r="D2794" t="s">
        <v>9370</v>
      </c>
      <c r="E2794" s="148" t="s">
        <v>9371</v>
      </c>
      <c r="F2794" t="s">
        <v>9372</v>
      </c>
      <c r="G2794" s="148" t="s">
        <v>9373</v>
      </c>
      <c r="H2794" t="s">
        <v>9374</v>
      </c>
      <c r="I2794" s="148" t="s">
        <v>9391</v>
      </c>
      <c r="J2794" t="s">
        <v>9392</v>
      </c>
      <c r="K2794" s="148" t="s">
        <v>11003</v>
      </c>
      <c r="L2794" t="s">
        <v>11004</v>
      </c>
      <c r="M2794" s="1" t="s">
        <v>11008</v>
      </c>
      <c r="N2794" s="1"/>
      <c r="O2794" s="1">
        <v>3526</v>
      </c>
      <c r="P2794" s="3">
        <v>4500</v>
      </c>
      <c r="Q2794" s="3">
        <v>4800</v>
      </c>
      <c r="R2794" s="3">
        <v>4800</v>
      </c>
      <c r="S2794" s="3">
        <v>5000</v>
      </c>
      <c r="T2794" t="s">
        <v>1449</v>
      </c>
      <c r="U2794" t="s">
        <v>3500</v>
      </c>
      <c r="W2794" s="45"/>
      <c r="X2794" s="45"/>
      <c r="Y2794" s="45"/>
      <c r="Z2794" s="45"/>
      <c r="AA2794" s="45"/>
      <c r="AB2794" s="45"/>
      <c r="AC2794" s="150">
        <v>0</v>
      </c>
      <c r="AD2794" s="150">
        <v>0</v>
      </c>
      <c r="AE2794" s="49">
        <f t="shared" si="113"/>
        <v>0</v>
      </c>
      <c r="AF2794" s="4"/>
      <c r="AG2794" s="17">
        <v>0</v>
      </c>
      <c r="AH2794" s="4"/>
      <c r="AI2794" s="4"/>
      <c r="AJ2794" s="4"/>
      <c r="AK2794" s="46"/>
      <c r="AL2794" s="46"/>
      <c r="AM2794" s="147">
        <f t="shared" si="112"/>
        <v>0</v>
      </c>
      <c r="AN2794" s="44"/>
      <c r="AO2794" s="18"/>
    </row>
    <row r="2795" spans="1:41" customFormat="1" x14ac:dyDescent="0.3">
      <c r="A2795" s="148" t="s">
        <v>8319</v>
      </c>
      <c r="B2795" t="s">
        <v>8320</v>
      </c>
      <c r="C2795" s="148" t="s">
        <v>9369</v>
      </c>
      <c r="D2795" t="s">
        <v>9370</v>
      </c>
      <c r="E2795" s="148" t="s">
        <v>9371</v>
      </c>
      <c r="F2795" t="s">
        <v>9372</v>
      </c>
      <c r="G2795" s="148" t="s">
        <v>10586</v>
      </c>
      <c r="H2795" t="s">
        <v>10587</v>
      </c>
      <c r="K2795" s="148" t="s">
        <v>10588</v>
      </c>
      <c r="L2795" t="s">
        <v>10589</v>
      </c>
      <c r="M2795" s="1" t="s">
        <v>11009</v>
      </c>
      <c r="N2795" s="1" t="s">
        <v>119</v>
      </c>
      <c r="O2795" s="1">
        <v>4</v>
      </c>
      <c r="P2795" s="3">
        <v>4</v>
      </c>
      <c r="Q2795" s="3">
        <v>5</v>
      </c>
      <c r="R2795" s="3">
        <v>8</v>
      </c>
      <c r="S2795" s="3">
        <v>10</v>
      </c>
      <c r="T2795" t="s">
        <v>723</v>
      </c>
      <c r="U2795" t="s">
        <v>729</v>
      </c>
      <c r="W2795" s="45"/>
      <c r="X2795" s="45"/>
      <c r="Y2795" s="45"/>
      <c r="Z2795" s="45"/>
      <c r="AA2795" s="45"/>
      <c r="AB2795" s="45"/>
      <c r="AC2795" s="150">
        <v>0</v>
      </c>
      <c r="AD2795" s="150">
        <v>0</v>
      </c>
      <c r="AE2795" s="49">
        <f t="shared" si="113"/>
        <v>0</v>
      </c>
      <c r="AF2795" s="4"/>
      <c r="AG2795" s="17">
        <v>0</v>
      </c>
      <c r="AH2795" s="4"/>
      <c r="AI2795" s="4"/>
      <c r="AJ2795" s="4"/>
      <c r="AK2795" s="46"/>
      <c r="AL2795" s="46"/>
      <c r="AM2795" s="147">
        <f t="shared" si="112"/>
        <v>0</v>
      </c>
      <c r="AN2795" s="44"/>
      <c r="AO2795" s="18"/>
    </row>
    <row r="2796" spans="1:41" customFormat="1" x14ac:dyDescent="0.3">
      <c r="A2796" s="148" t="s">
        <v>8319</v>
      </c>
      <c r="B2796" t="s">
        <v>8320</v>
      </c>
      <c r="C2796" s="148" t="s">
        <v>9369</v>
      </c>
      <c r="D2796" t="s">
        <v>9370</v>
      </c>
      <c r="E2796" s="148" t="s">
        <v>9371</v>
      </c>
      <c r="F2796" t="s">
        <v>9372</v>
      </c>
      <c r="G2796" s="148" t="s">
        <v>10592</v>
      </c>
      <c r="H2796" t="s">
        <v>10593</v>
      </c>
      <c r="K2796" s="148" t="s">
        <v>10594</v>
      </c>
      <c r="L2796" t="s">
        <v>10595</v>
      </c>
      <c r="M2796" s="1" t="s">
        <v>11010</v>
      </c>
      <c r="N2796" s="1" t="s">
        <v>271</v>
      </c>
      <c r="O2796" s="1" t="s">
        <v>271</v>
      </c>
      <c r="P2796" s="3">
        <v>4</v>
      </c>
      <c r="Q2796" s="3">
        <v>4</v>
      </c>
      <c r="R2796" s="3">
        <v>7</v>
      </c>
      <c r="S2796" s="3">
        <v>10</v>
      </c>
      <c r="T2796" t="s">
        <v>11011</v>
      </c>
      <c r="U2796" t="e">
        <v>#N/A</v>
      </c>
      <c r="W2796" s="45"/>
      <c r="X2796" s="45"/>
      <c r="Y2796" s="45"/>
      <c r="Z2796" s="45"/>
      <c r="AA2796" s="45"/>
      <c r="AB2796" s="45"/>
      <c r="AC2796" s="150">
        <v>0</v>
      </c>
      <c r="AD2796" s="150">
        <v>0</v>
      </c>
      <c r="AE2796" s="49">
        <f t="shared" si="113"/>
        <v>0</v>
      </c>
      <c r="AF2796" s="4"/>
      <c r="AG2796" s="17">
        <v>0</v>
      </c>
      <c r="AH2796" s="4"/>
      <c r="AI2796" s="4"/>
      <c r="AJ2796" s="4"/>
      <c r="AK2796" s="46"/>
      <c r="AL2796" s="46"/>
      <c r="AM2796" s="147">
        <f t="shared" si="112"/>
        <v>0</v>
      </c>
      <c r="AN2796" s="44"/>
      <c r="AO2796" s="18"/>
    </row>
    <row r="2797" spans="1:41" customFormat="1" x14ac:dyDescent="0.3">
      <c r="A2797" s="148" t="s">
        <v>8319</v>
      </c>
      <c r="B2797" t="s">
        <v>8320</v>
      </c>
      <c r="C2797" s="148" t="s">
        <v>9369</v>
      </c>
      <c r="D2797" t="s">
        <v>9370</v>
      </c>
      <c r="E2797" s="148" t="s">
        <v>9371</v>
      </c>
      <c r="F2797" t="s">
        <v>9372</v>
      </c>
      <c r="G2797" s="148" t="s">
        <v>10592</v>
      </c>
      <c r="H2797" t="s">
        <v>10593</v>
      </c>
      <c r="K2797" s="148" t="s">
        <v>10594</v>
      </c>
      <c r="L2797" t="s">
        <v>11012</v>
      </c>
      <c r="M2797" s="1" t="s">
        <v>11013</v>
      </c>
      <c r="N2797" s="1" t="s">
        <v>271</v>
      </c>
      <c r="O2797" s="1">
        <v>2</v>
      </c>
      <c r="P2797" s="3">
        <v>4</v>
      </c>
      <c r="Q2797" s="3">
        <v>4</v>
      </c>
      <c r="R2797" s="3">
        <v>4</v>
      </c>
      <c r="S2797" s="3">
        <v>4</v>
      </c>
      <c r="T2797" t="s">
        <v>921</v>
      </c>
      <c r="U2797" t="s">
        <v>880</v>
      </c>
      <c r="W2797" s="45"/>
      <c r="X2797" s="45"/>
      <c r="Y2797" s="45"/>
      <c r="Z2797" s="45"/>
      <c r="AA2797" s="45"/>
      <c r="AB2797" s="45"/>
      <c r="AC2797" s="150">
        <v>0</v>
      </c>
      <c r="AD2797" s="150">
        <v>0</v>
      </c>
      <c r="AE2797" s="49">
        <f t="shared" si="113"/>
        <v>0</v>
      </c>
      <c r="AF2797" s="4"/>
      <c r="AG2797" s="17">
        <v>0</v>
      </c>
      <c r="AH2797" s="4"/>
      <c r="AI2797" s="4"/>
      <c r="AJ2797" s="4"/>
      <c r="AK2797" s="46"/>
      <c r="AL2797" s="46"/>
      <c r="AM2797" s="147">
        <f t="shared" si="112"/>
        <v>0</v>
      </c>
      <c r="AN2797" s="44"/>
      <c r="AO2797" s="18"/>
    </row>
    <row r="2798" spans="1:41" customFormat="1" x14ac:dyDescent="0.3">
      <c r="A2798" s="148" t="s">
        <v>8319</v>
      </c>
      <c r="B2798" t="s">
        <v>8320</v>
      </c>
      <c r="C2798" s="148" t="s">
        <v>9369</v>
      </c>
      <c r="D2798" t="s">
        <v>9370</v>
      </c>
      <c r="E2798" s="148" t="s">
        <v>9371</v>
      </c>
      <c r="F2798" t="s">
        <v>9372</v>
      </c>
      <c r="G2798" s="148" t="s">
        <v>10592</v>
      </c>
      <c r="H2798" t="s">
        <v>10593</v>
      </c>
      <c r="K2798" s="148" t="s">
        <v>10594</v>
      </c>
      <c r="L2798" t="s">
        <v>11012</v>
      </c>
      <c r="M2798" s="1" t="s">
        <v>11014</v>
      </c>
      <c r="N2798" s="1" t="s">
        <v>271</v>
      </c>
      <c r="O2798" s="1">
        <v>30</v>
      </c>
      <c r="P2798" s="3">
        <v>30</v>
      </c>
      <c r="Q2798" s="3">
        <v>40</v>
      </c>
      <c r="R2798" s="3">
        <v>45</v>
      </c>
      <c r="S2798" s="3">
        <v>50</v>
      </c>
      <c r="T2798" t="s">
        <v>11015</v>
      </c>
      <c r="U2798" t="e">
        <v>#N/A</v>
      </c>
      <c r="W2798" s="45"/>
      <c r="X2798" s="45"/>
      <c r="Y2798" s="45"/>
      <c r="Z2798" s="45"/>
      <c r="AA2798" s="45"/>
      <c r="AB2798" s="45"/>
      <c r="AC2798" s="150">
        <v>0</v>
      </c>
      <c r="AD2798" s="150">
        <v>0</v>
      </c>
      <c r="AE2798" s="49">
        <f t="shared" si="113"/>
        <v>0</v>
      </c>
      <c r="AF2798" s="4"/>
      <c r="AG2798" s="17">
        <v>0</v>
      </c>
      <c r="AH2798" s="4"/>
      <c r="AI2798" s="4"/>
      <c r="AJ2798" s="4"/>
      <c r="AK2798" s="46"/>
      <c r="AL2798" s="46"/>
      <c r="AM2798" s="147">
        <f t="shared" si="112"/>
        <v>0</v>
      </c>
      <c r="AN2798" s="44"/>
      <c r="AO2798" s="18"/>
    </row>
    <row r="2799" spans="1:41" customFormat="1" x14ac:dyDescent="0.3">
      <c r="A2799" s="148" t="s">
        <v>8319</v>
      </c>
      <c r="B2799" t="s">
        <v>8320</v>
      </c>
      <c r="C2799" s="148" t="s">
        <v>9369</v>
      </c>
      <c r="D2799" t="s">
        <v>9370</v>
      </c>
      <c r="E2799" s="148" t="s">
        <v>9371</v>
      </c>
      <c r="F2799" t="s">
        <v>9372</v>
      </c>
      <c r="G2799" s="148" t="s">
        <v>9593</v>
      </c>
      <c r="H2799" t="s">
        <v>9594</v>
      </c>
      <c r="K2799" s="155" t="s">
        <v>11016</v>
      </c>
      <c r="L2799" t="s">
        <v>11017</v>
      </c>
      <c r="M2799" s="1" t="s">
        <v>11018</v>
      </c>
      <c r="N2799" s="1" t="s">
        <v>271</v>
      </c>
      <c r="O2799" s="1" t="s">
        <v>271</v>
      </c>
      <c r="P2799" s="3">
        <v>5</v>
      </c>
      <c r="Q2799" s="3">
        <v>5</v>
      </c>
      <c r="R2799" s="3">
        <v>7</v>
      </c>
      <c r="S2799" s="3">
        <v>5</v>
      </c>
      <c r="T2799" t="s">
        <v>723</v>
      </c>
      <c r="U2799" t="s">
        <v>729</v>
      </c>
      <c r="W2799" s="45"/>
      <c r="X2799" s="45"/>
      <c r="Y2799" s="45"/>
      <c r="Z2799" s="45"/>
      <c r="AA2799" s="45"/>
      <c r="AB2799" s="45"/>
      <c r="AC2799" s="150">
        <v>0</v>
      </c>
      <c r="AD2799" s="150">
        <v>0</v>
      </c>
      <c r="AE2799" s="49">
        <f t="shared" si="113"/>
        <v>0</v>
      </c>
      <c r="AF2799" s="17"/>
      <c r="AG2799" s="17">
        <v>0</v>
      </c>
      <c r="AH2799" s="17"/>
      <c r="AI2799" s="4"/>
      <c r="AJ2799" s="4"/>
      <c r="AK2799" s="46"/>
      <c r="AL2799" s="46"/>
      <c r="AM2799" s="147">
        <f t="shared" si="112"/>
        <v>0</v>
      </c>
      <c r="AO2799" s="18"/>
    </row>
    <row r="2800" spans="1:41" customFormat="1" x14ac:dyDescent="0.3">
      <c r="A2800" s="148" t="s">
        <v>8319</v>
      </c>
      <c r="B2800" t="s">
        <v>8320</v>
      </c>
      <c r="C2800" s="148" t="s">
        <v>9369</v>
      </c>
      <c r="D2800" t="s">
        <v>9370</v>
      </c>
      <c r="E2800" s="148" t="s">
        <v>9371</v>
      </c>
      <c r="F2800" t="s">
        <v>9372</v>
      </c>
      <c r="G2800" s="148" t="s">
        <v>9593</v>
      </c>
      <c r="H2800" t="s">
        <v>9594</v>
      </c>
      <c r="K2800" s="155" t="s">
        <v>11019</v>
      </c>
      <c r="L2800" t="s">
        <v>11020</v>
      </c>
      <c r="M2800" s="1" t="s">
        <v>11021</v>
      </c>
      <c r="N2800" s="1" t="s">
        <v>271</v>
      </c>
      <c r="O2800" s="1" t="s">
        <v>271</v>
      </c>
      <c r="P2800" s="3">
        <v>15</v>
      </c>
      <c r="Q2800" s="3">
        <v>15</v>
      </c>
      <c r="R2800" s="3">
        <v>15</v>
      </c>
      <c r="S2800" s="3">
        <v>15</v>
      </c>
      <c r="T2800" t="s">
        <v>2432</v>
      </c>
      <c r="U2800" t="s">
        <v>729</v>
      </c>
      <c r="W2800" s="45"/>
      <c r="X2800" s="45"/>
      <c r="Y2800" s="45"/>
      <c r="Z2800" s="45"/>
      <c r="AA2800" s="45"/>
      <c r="AB2800" s="45"/>
      <c r="AC2800" s="150">
        <v>0</v>
      </c>
      <c r="AD2800" s="150">
        <v>0</v>
      </c>
      <c r="AE2800" s="49">
        <f t="shared" si="113"/>
        <v>0</v>
      </c>
      <c r="AF2800" s="17"/>
      <c r="AG2800" s="17">
        <v>0</v>
      </c>
      <c r="AH2800" s="17"/>
      <c r="AI2800" s="4"/>
      <c r="AJ2800" s="4"/>
      <c r="AK2800" s="46"/>
      <c r="AL2800" s="46"/>
      <c r="AM2800" s="147">
        <f t="shared" si="112"/>
        <v>0</v>
      </c>
      <c r="AO2800" s="18"/>
    </row>
    <row r="2801" spans="1:42" customFormat="1" x14ac:dyDescent="0.3">
      <c r="A2801" s="148" t="s">
        <v>8319</v>
      </c>
      <c r="B2801" t="s">
        <v>8320</v>
      </c>
      <c r="C2801" s="148" t="s">
        <v>9369</v>
      </c>
      <c r="D2801" t="s">
        <v>9370</v>
      </c>
      <c r="E2801" s="148" t="s">
        <v>9371</v>
      </c>
      <c r="F2801" t="s">
        <v>9372</v>
      </c>
      <c r="G2801" s="148" t="s">
        <v>9593</v>
      </c>
      <c r="H2801" t="s">
        <v>9594</v>
      </c>
      <c r="K2801" s="155" t="s">
        <v>11022</v>
      </c>
      <c r="L2801" t="s">
        <v>11023</v>
      </c>
      <c r="M2801" s="1" t="s">
        <v>11024</v>
      </c>
      <c r="N2801" s="1"/>
      <c r="O2801" s="1"/>
      <c r="P2801" s="3">
        <v>4000</v>
      </c>
      <c r="Q2801" s="3">
        <v>4000</v>
      </c>
      <c r="R2801" s="3">
        <v>4000</v>
      </c>
      <c r="S2801" s="3">
        <v>4000</v>
      </c>
      <c r="T2801" t="s">
        <v>2432</v>
      </c>
      <c r="U2801" t="s">
        <v>729</v>
      </c>
      <c r="W2801" s="45"/>
      <c r="X2801" s="45"/>
      <c r="Y2801" s="45"/>
      <c r="Z2801" s="45"/>
      <c r="AA2801" s="45"/>
      <c r="AB2801" s="45"/>
      <c r="AC2801" s="150">
        <v>0</v>
      </c>
      <c r="AD2801" s="150">
        <v>0</v>
      </c>
      <c r="AE2801" s="49">
        <f t="shared" si="113"/>
        <v>0</v>
      </c>
      <c r="AF2801" s="17"/>
      <c r="AG2801" s="17">
        <v>0</v>
      </c>
      <c r="AH2801" s="17"/>
      <c r="AI2801" s="4"/>
      <c r="AJ2801" s="4"/>
      <c r="AK2801" s="46"/>
      <c r="AL2801" s="46"/>
      <c r="AM2801" s="147">
        <f t="shared" si="112"/>
        <v>0</v>
      </c>
      <c r="AO2801" s="18"/>
    </row>
    <row r="2802" spans="1:42" customFormat="1" x14ac:dyDescent="0.3">
      <c r="A2802" s="148" t="s">
        <v>8319</v>
      </c>
      <c r="B2802" t="s">
        <v>8320</v>
      </c>
      <c r="C2802" s="148" t="s">
        <v>9369</v>
      </c>
      <c r="D2802" t="s">
        <v>9370</v>
      </c>
      <c r="E2802" s="148" t="s">
        <v>9371</v>
      </c>
      <c r="F2802" t="s">
        <v>9372</v>
      </c>
      <c r="G2802" s="148" t="s">
        <v>11025</v>
      </c>
      <c r="H2802" t="s">
        <v>11026</v>
      </c>
      <c r="K2802" s="148" t="s">
        <v>11027</v>
      </c>
      <c r="L2802" t="s">
        <v>11028</v>
      </c>
      <c r="M2802" s="1" t="s">
        <v>11029</v>
      </c>
      <c r="N2802" s="1">
        <v>40</v>
      </c>
      <c r="O2802" s="1">
        <v>40</v>
      </c>
      <c r="P2802" s="3">
        <v>42</v>
      </c>
      <c r="Q2802" s="3">
        <v>45</v>
      </c>
      <c r="R2802" s="3">
        <v>48</v>
      </c>
      <c r="S2802" s="3">
        <v>50</v>
      </c>
      <c r="T2802" t="s">
        <v>723</v>
      </c>
      <c r="U2802" t="s">
        <v>729</v>
      </c>
      <c r="V2802" t="s">
        <v>11030</v>
      </c>
      <c r="W2802" s="45"/>
      <c r="X2802" s="45"/>
      <c r="Y2802" s="45"/>
      <c r="Z2802" s="45"/>
      <c r="AA2802" s="45"/>
      <c r="AB2802" s="45"/>
      <c r="AC2802" s="150">
        <v>0</v>
      </c>
      <c r="AD2802" s="150">
        <v>0</v>
      </c>
      <c r="AE2802" s="49">
        <f t="shared" si="113"/>
        <v>0</v>
      </c>
      <c r="AF2802" s="44"/>
      <c r="AG2802" s="17">
        <v>0</v>
      </c>
      <c r="AH2802" s="44">
        <v>0.1</v>
      </c>
      <c r="AI2802" s="44">
        <v>0.1</v>
      </c>
      <c r="AJ2802" s="44">
        <v>0.1</v>
      </c>
      <c r="AK2802" s="151">
        <v>0</v>
      </c>
      <c r="AL2802" s="151">
        <v>0</v>
      </c>
      <c r="AM2802" s="147">
        <f t="shared" si="112"/>
        <v>0</v>
      </c>
      <c r="AN2802" t="s">
        <v>723</v>
      </c>
      <c r="AO2802" s="18" t="s">
        <v>729</v>
      </c>
      <c r="AP2802" t="s">
        <v>255</v>
      </c>
    </row>
    <row r="2803" spans="1:42" customFormat="1" x14ac:dyDescent="0.3">
      <c r="A2803" s="148" t="s">
        <v>8319</v>
      </c>
      <c r="B2803" t="s">
        <v>8320</v>
      </c>
      <c r="C2803" s="148" t="s">
        <v>9369</v>
      </c>
      <c r="D2803" t="s">
        <v>9370</v>
      </c>
      <c r="E2803" s="148" t="s">
        <v>9371</v>
      </c>
      <c r="F2803" t="s">
        <v>9372</v>
      </c>
      <c r="G2803" s="148" t="s">
        <v>11025</v>
      </c>
      <c r="H2803" t="s">
        <v>11026</v>
      </c>
      <c r="K2803" s="148" t="s">
        <v>11027</v>
      </c>
      <c r="L2803" t="s">
        <v>11028</v>
      </c>
      <c r="M2803" s="1" t="s">
        <v>11031</v>
      </c>
      <c r="N2803" s="1">
        <v>20</v>
      </c>
      <c r="O2803" s="1">
        <v>100</v>
      </c>
      <c r="P2803" s="3">
        <v>100</v>
      </c>
      <c r="Q2803" s="3">
        <v>100</v>
      </c>
      <c r="R2803" s="3">
        <v>100</v>
      </c>
      <c r="S2803" s="3">
        <v>100</v>
      </c>
      <c r="T2803" t="s">
        <v>11032</v>
      </c>
      <c r="U2803" t="e">
        <v>#N/A</v>
      </c>
      <c r="W2803" s="45"/>
      <c r="X2803" s="45"/>
      <c r="Y2803" s="45"/>
      <c r="Z2803" s="45"/>
      <c r="AA2803" s="45"/>
      <c r="AB2803" s="45"/>
      <c r="AC2803" s="150">
        <v>0</v>
      </c>
      <c r="AD2803" s="150">
        <v>0</v>
      </c>
      <c r="AE2803" s="49">
        <f t="shared" si="113"/>
        <v>0</v>
      </c>
      <c r="AF2803" s="4"/>
      <c r="AG2803" s="17">
        <v>0</v>
      </c>
      <c r="AH2803" s="4"/>
      <c r="AI2803" s="4"/>
      <c r="AJ2803" s="4"/>
      <c r="AK2803" s="46"/>
      <c r="AL2803" s="46"/>
      <c r="AM2803" s="147">
        <f t="shared" si="112"/>
        <v>0</v>
      </c>
      <c r="AO2803" s="18"/>
    </row>
    <row r="2804" spans="1:42" customFormat="1" x14ac:dyDescent="0.3">
      <c r="A2804" s="148" t="s">
        <v>8319</v>
      </c>
      <c r="B2804" t="s">
        <v>8320</v>
      </c>
      <c r="C2804" s="148" t="s">
        <v>9369</v>
      </c>
      <c r="D2804" t="s">
        <v>9370</v>
      </c>
      <c r="E2804" s="148" t="s">
        <v>9371</v>
      </c>
      <c r="F2804" t="s">
        <v>9372</v>
      </c>
      <c r="G2804" t="s">
        <v>10605</v>
      </c>
      <c r="H2804" t="s">
        <v>10606</v>
      </c>
      <c r="I2804" s="148" t="s">
        <v>10928</v>
      </c>
      <c r="J2804" t="s">
        <v>10929</v>
      </c>
      <c r="K2804" s="148" t="s">
        <v>10930</v>
      </c>
      <c r="L2804" t="s">
        <v>10931</v>
      </c>
      <c r="M2804" s="1" t="s">
        <v>11033</v>
      </c>
      <c r="N2804" s="1" t="s">
        <v>119</v>
      </c>
      <c r="O2804" s="1"/>
      <c r="P2804" s="3">
        <v>1000</v>
      </c>
      <c r="Q2804" s="3">
        <v>1750</v>
      </c>
      <c r="R2804" s="3">
        <v>2000</v>
      </c>
      <c r="S2804" s="3">
        <v>3500</v>
      </c>
      <c r="T2804" t="s">
        <v>2172</v>
      </c>
      <c r="U2804" t="s">
        <v>2236</v>
      </c>
      <c r="V2804" t="s">
        <v>11034</v>
      </c>
      <c r="W2804" s="45"/>
      <c r="X2804" s="45"/>
      <c r="Y2804" s="45"/>
      <c r="Z2804" s="45"/>
      <c r="AA2804" s="45"/>
      <c r="AB2804" s="45"/>
      <c r="AC2804" s="150">
        <v>0</v>
      </c>
      <c r="AD2804" s="150">
        <v>0</v>
      </c>
      <c r="AE2804" s="49">
        <f t="shared" si="113"/>
        <v>0</v>
      </c>
      <c r="AF2804" s="17"/>
      <c r="AG2804" s="17">
        <v>0</v>
      </c>
      <c r="AH2804" s="17">
        <v>0</v>
      </c>
      <c r="AI2804" s="44">
        <v>3</v>
      </c>
      <c r="AJ2804" s="44">
        <v>5.25</v>
      </c>
      <c r="AK2804" s="151">
        <v>6</v>
      </c>
      <c r="AL2804" s="151">
        <v>10.5</v>
      </c>
      <c r="AM2804" s="147">
        <f t="shared" si="112"/>
        <v>16.5</v>
      </c>
      <c r="AN2804" t="s">
        <v>2172</v>
      </c>
      <c r="AO2804" s="18" t="s">
        <v>2236</v>
      </c>
      <c r="AP2804" t="s">
        <v>255</v>
      </c>
    </row>
    <row r="2805" spans="1:42" customFormat="1" x14ac:dyDescent="0.3">
      <c r="A2805" s="148" t="s">
        <v>8319</v>
      </c>
      <c r="B2805" t="s">
        <v>8320</v>
      </c>
      <c r="C2805" s="148" t="s">
        <v>9369</v>
      </c>
      <c r="D2805" t="s">
        <v>9370</v>
      </c>
      <c r="E2805" s="148" t="s">
        <v>9371</v>
      </c>
      <c r="F2805" t="s">
        <v>9372</v>
      </c>
      <c r="G2805" t="s">
        <v>10605</v>
      </c>
      <c r="H2805" t="s">
        <v>10606</v>
      </c>
      <c r="I2805" s="155" t="s">
        <v>11035</v>
      </c>
      <c r="J2805" t="s">
        <v>11036</v>
      </c>
      <c r="K2805" s="155" t="s">
        <v>11037</v>
      </c>
      <c r="L2805" t="s">
        <v>11038</v>
      </c>
      <c r="M2805" s="1" t="s">
        <v>11039</v>
      </c>
      <c r="N2805" s="1" t="s">
        <v>271</v>
      </c>
      <c r="O2805" s="1"/>
      <c r="P2805" s="3"/>
      <c r="Q2805" s="3">
        <v>40</v>
      </c>
      <c r="R2805" s="3">
        <v>40</v>
      </c>
      <c r="S2805" s="3">
        <v>40</v>
      </c>
      <c r="T2805" t="s">
        <v>723</v>
      </c>
      <c r="U2805" t="s">
        <v>729</v>
      </c>
      <c r="W2805" s="45"/>
      <c r="X2805" s="45"/>
      <c r="Y2805" s="45"/>
      <c r="Z2805" s="45"/>
      <c r="AA2805" s="45"/>
      <c r="AB2805" s="45"/>
      <c r="AC2805" s="150">
        <v>0</v>
      </c>
      <c r="AD2805" s="150">
        <v>0</v>
      </c>
      <c r="AE2805" s="49">
        <f t="shared" si="113"/>
        <v>0</v>
      </c>
      <c r="AF2805" s="17"/>
      <c r="AG2805" s="17">
        <v>0</v>
      </c>
      <c r="AH2805" s="17"/>
      <c r="AI2805" s="4"/>
      <c r="AJ2805" s="4"/>
      <c r="AK2805" s="46"/>
      <c r="AL2805" s="46"/>
      <c r="AM2805" s="147">
        <f t="shared" si="112"/>
        <v>0</v>
      </c>
      <c r="AO2805" s="18"/>
    </row>
    <row r="2806" spans="1:42" customFormat="1" x14ac:dyDescent="0.3">
      <c r="A2806" s="148" t="s">
        <v>8319</v>
      </c>
      <c r="B2806" t="s">
        <v>8320</v>
      </c>
      <c r="C2806" s="148" t="s">
        <v>9369</v>
      </c>
      <c r="D2806" t="s">
        <v>9370</v>
      </c>
      <c r="E2806" s="148" t="s">
        <v>9371</v>
      </c>
      <c r="F2806" t="s">
        <v>9372</v>
      </c>
      <c r="G2806" t="s">
        <v>10605</v>
      </c>
      <c r="H2806" t="s">
        <v>10606</v>
      </c>
      <c r="I2806" s="155" t="s">
        <v>11035</v>
      </c>
      <c r="J2806" t="s">
        <v>11036</v>
      </c>
      <c r="K2806" s="155" t="s">
        <v>11037</v>
      </c>
      <c r="L2806" t="s">
        <v>11038</v>
      </c>
      <c r="M2806" s="1" t="s">
        <v>11040</v>
      </c>
      <c r="N2806" s="1" t="s">
        <v>271</v>
      </c>
      <c r="O2806" s="1"/>
      <c r="P2806" s="3"/>
      <c r="Q2806" s="3">
        <v>40</v>
      </c>
      <c r="R2806" s="3">
        <v>40</v>
      </c>
      <c r="S2806" s="3">
        <v>40</v>
      </c>
      <c r="T2806" t="s">
        <v>10140</v>
      </c>
      <c r="U2806" t="e">
        <v>#N/A</v>
      </c>
      <c r="W2806" s="45"/>
      <c r="X2806" s="45"/>
      <c r="Y2806" s="45"/>
      <c r="Z2806" s="45"/>
      <c r="AA2806" s="45"/>
      <c r="AB2806" s="45"/>
      <c r="AC2806" s="150">
        <v>0</v>
      </c>
      <c r="AD2806" s="150">
        <v>0</v>
      </c>
      <c r="AE2806" s="49">
        <f t="shared" si="113"/>
        <v>0</v>
      </c>
      <c r="AF2806" s="17"/>
      <c r="AG2806" s="17">
        <v>0</v>
      </c>
      <c r="AH2806" s="17"/>
      <c r="AI2806" s="4"/>
      <c r="AJ2806" s="4"/>
      <c r="AK2806" s="46"/>
      <c r="AL2806" s="46"/>
      <c r="AM2806" s="147">
        <f t="shared" si="112"/>
        <v>0</v>
      </c>
      <c r="AO2806" s="18"/>
    </row>
    <row r="2807" spans="1:42" customFormat="1" x14ac:dyDescent="0.3">
      <c r="A2807" s="148" t="s">
        <v>8319</v>
      </c>
      <c r="B2807" t="s">
        <v>8320</v>
      </c>
      <c r="C2807" s="148" t="s">
        <v>9369</v>
      </c>
      <c r="D2807" t="s">
        <v>9370</v>
      </c>
      <c r="E2807" s="148" t="s">
        <v>9371</v>
      </c>
      <c r="F2807" t="s">
        <v>9372</v>
      </c>
      <c r="G2807" t="s">
        <v>10605</v>
      </c>
      <c r="H2807" t="s">
        <v>10606</v>
      </c>
      <c r="I2807" s="155" t="s">
        <v>11035</v>
      </c>
      <c r="J2807" t="s">
        <v>11036</v>
      </c>
      <c r="K2807" s="155" t="s">
        <v>11037</v>
      </c>
      <c r="L2807" t="s">
        <v>11038</v>
      </c>
      <c r="M2807" s="1" t="s">
        <v>11041</v>
      </c>
      <c r="N2807" s="1" t="s">
        <v>271</v>
      </c>
      <c r="O2807" s="1"/>
      <c r="P2807" s="3"/>
      <c r="Q2807" s="3">
        <v>20</v>
      </c>
      <c r="R2807" s="3">
        <v>20</v>
      </c>
      <c r="S2807" s="3">
        <v>20</v>
      </c>
      <c r="T2807" t="s">
        <v>11042</v>
      </c>
      <c r="U2807" t="e">
        <v>#N/A</v>
      </c>
      <c r="W2807" s="45"/>
      <c r="X2807" s="45"/>
      <c r="Y2807" s="45"/>
      <c r="Z2807" s="45"/>
      <c r="AA2807" s="45"/>
      <c r="AB2807" s="45"/>
      <c r="AC2807" s="150">
        <v>0</v>
      </c>
      <c r="AD2807" s="150">
        <v>0</v>
      </c>
      <c r="AE2807" s="49">
        <f t="shared" si="113"/>
        <v>0</v>
      </c>
      <c r="AF2807" s="17"/>
      <c r="AG2807" s="17">
        <v>0</v>
      </c>
      <c r="AH2807" s="17"/>
      <c r="AI2807" s="4"/>
      <c r="AJ2807" s="4"/>
      <c r="AK2807" s="46"/>
      <c r="AL2807" s="46"/>
      <c r="AM2807" s="147">
        <f t="shared" si="112"/>
        <v>0</v>
      </c>
      <c r="AO2807" s="18"/>
    </row>
    <row r="2808" spans="1:42" customFormat="1" x14ac:dyDescent="0.3">
      <c r="A2808" s="148" t="s">
        <v>8319</v>
      </c>
      <c r="B2808" t="s">
        <v>8320</v>
      </c>
      <c r="C2808" s="148" t="s">
        <v>9369</v>
      </c>
      <c r="D2808" t="s">
        <v>9370</v>
      </c>
      <c r="E2808" s="148" t="s">
        <v>9371</v>
      </c>
      <c r="F2808" t="s">
        <v>9372</v>
      </c>
      <c r="G2808" t="s">
        <v>10605</v>
      </c>
      <c r="H2808" t="s">
        <v>10606</v>
      </c>
      <c r="I2808" s="155" t="s">
        <v>11035</v>
      </c>
      <c r="J2808" t="s">
        <v>11036</v>
      </c>
      <c r="K2808" s="155" t="s">
        <v>11037</v>
      </c>
      <c r="L2808" t="s">
        <v>11043</v>
      </c>
      <c r="M2808" s="1" t="s">
        <v>11044</v>
      </c>
      <c r="N2808" s="1" t="s">
        <v>119</v>
      </c>
      <c r="O2808" s="1" t="s">
        <v>271</v>
      </c>
      <c r="P2808" s="3">
        <v>15</v>
      </c>
      <c r="Q2808" s="3">
        <v>20</v>
      </c>
      <c r="R2808" s="3">
        <v>25</v>
      </c>
      <c r="S2808" s="3">
        <v>30</v>
      </c>
      <c r="T2808" t="s">
        <v>11045</v>
      </c>
      <c r="U2808" t="e">
        <v>#N/A</v>
      </c>
      <c r="W2808" s="45"/>
      <c r="X2808" s="45"/>
      <c r="Y2808" s="45"/>
      <c r="Z2808" s="45"/>
      <c r="AA2808" s="45"/>
      <c r="AB2808" s="45"/>
      <c r="AC2808" s="150">
        <v>0</v>
      </c>
      <c r="AD2808" s="150">
        <v>0</v>
      </c>
      <c r="AE2808" s="49">
        <f t="shared" si="113"/>
        <v>0</v>
      </c>
      <c r="AF2808" s="17"/>
      <c r="AG2808" s="17">
        <v>0</v>
      </c>
      <c r="AH2808" s="17"/>
      <c r="AI2808" s="4"/>
      <c r="AJ2808" s="4"/>
      <c r="AK2808" s="46"/>
      <c r="AL2808" s="46"/>
      <c r="AM2808" s="147">
        <f t="shared" si="112"/>
        <v>0</v>
      </c>
      <c r="AO2808" s="18"/>
    </row>
    <row r="2809" spans="1:42" customFormat="1" x14ac:dyDescent="0.3">
      <c r="A2809" s="148" t="s">
        <v>8319</v>
      </c>
      <c r="B2809" t="s">
        <v>8320</v>
      </c>
      <c r="C2809" s="148" t="s">
        <v>9369</v>
      </c>
      <c r="D2809" t="s">
        <v>9370</v>
      </c>
      <c r="E2809" s="148" t="s">
        <v>9371</v>
      </c>
      <c r="F2809" t="s">
        <v>9372</v>
      </c>
      <c r="G2809" t="s">
        <v>10605</v>
      </c>
      <c r="H2809" t="s">
        <v>10606</v>
      </c>
      <c r="I2809" s="148" t="s">
        <v>11046</v>
      </c>
      <c r="J2809" t="s">
        <v>11047</v>
      </c>
      <c r="K2809" s="148" t="s">
        <v>11048</v>
      </c>
      <c r="L2809" t="s">
        <v>11049</v>
      </c>
      <c r="M2809" s="1" t="s">
        <v>11050</v>
      </c>
      <c r="N2809" s="1" t="s">
        <v>271</v>
      </c>
      <c r="O2809" s="1" t="s">
        <v>271</v>
      </c>
      <c r="P2809" s="3"/>
      <c r="Q2809" s="3">
        <v>1</v>
      </c>
      <c r="R2809" s="3"/>
      <c r="S2809" s="3"/>
      <c r="T2809" t="s">
        <v>11051</v>
      </c>
      <c r="U2809" t="e">
        <v>#N/A</v>
      </c>
      <c r="V2809" t="s">
        <v>11052</v>
      </c>
      <c r="W2809" s="45"/>
      <c r="X2809" s="45"/>
      <c r="Y2809" s="45"/>
      <c r="Z2809" s="45"/>
      <c r="AA2809" s="45"/>
      <c r="AB2809" s="45"/>
      <c r="AC2809" s="150">
        <v>0</v>
      </c>
      <c r="AD2809" s="150">
        <v>0</v>
      </c>
      <c r="AE2809" s="49">
        <f t="shared" si="113"/>
        <v>0</v>
      </c>
      <c r="AF2809" s="17"/>
      <c r="AG2809" s="17">
        <v>0</v>
      </c>
      <c r="AH2809" s="17">
        <v>0</v>
      </c>
      <c r="AI2809" s="17">
        <v>0</v>
      </c>
      <c r="AJ2809" s="44">
        <v>0.3</v>
      </c>
      <c r="AK2809" s="153">
        <v>0</v>
      </c>
      <c r="AL2809" s="154">
        <v>0</v>
      </c>
      <c r="AM2809" s="147">
        <f t="shared" si="112"/>
        <v>0</v>
      </c>
      <c r="AN2809" s="44" t="s">
        <v>3879</v>
      </c>
      <c r="AO2809" s="18" t="s">
        <v>3881</v>
      </c>
      <c r="AP2809" t="s">
        <v>119</v>
      </c>
    </row>
    <row r="2810" spans="1:42" customFormat="1" x14ac:dyDescent="0.3">
      <c r="A2810" s="148" t="s">
        <v>8319</v>
      </c>
      <c r="B2810" t="s">
        <v>8320</v>
      </c>
      <c r="C2810" s="148" t="s">
        <v>9369</v>
      </c>
      <c r="D2810" t="s">
        <v>9370</v>
      </c>
      <c r="E2810" s="148" t="s">
        <v>9371</v>
      </c>
      <c r="F2810" t="s">
        <v>9372</v>
      </c>
      <c r="G2810" t="s">
        <v>10605</v>
      </c>
      <c r="H2810" t="s">
        <v>10606</v>
      </c>
      <c r="I2810" s="155" t="s">
        <v>11053</v>
      </c>
      <c r="J2810" t="s">
        <v>11054</v>
      </c>
      <c r="K2810" s="155" t="s">
        <v>11055</v>
      </c>
      <c r="L2810" t="s">
        <v>11056</v>
      </c>
      <c r="M2810" s="1" t="s">
        <v>11057</v>
      </c>
      <c r="N2810" s="1" t="s">
        <v>271</v>
      </c>
      <c r="O2810" s="1" t="s">
        <v>11058</v>
      </c>
      <c r="P2810" s="3" t="s">
        <v>11058</v>
      </c>
      <c r="Q2810" s="3"/>
      <c r="R2810" s="3"/>
      <c r="S2810" s="3"/>
      <c r="T2810" t="s">
        <v>10671</v>
      </c>
      <c r="U2810" t="e">
        <v>#N/A</v>
      </c>
      <c r="W2810" s="45"/>
      <c r="X2810" s="45"/>
      <c r="Y2810" s="45"/>
      <c r="Z2810" s="45"/>
      <c r="AA2810" s="45"/>
      <c r="AB2810" s="45"/>
      <c r="AC2810" s="150">
        <v>0</v>
      </c>
      <c r="AD2810" s="150">
        <v>0</v>
      </c>
      <c r="AE2810" s="49">
        <f t="shared" si="113"/>
        <v>0</v>
      </c>
      <c r="AF2810" s="17"/>
      <c r="AG2810" s="17">
        <v>0</v>
      </c>
      <c r="AH2810" s="17"/>
      <c r="AI2810" s="17"/>
      <c r="AJ2810" s="4"/>
      <c r="AK2810" s="153"/>
      <c r="AL2810" s="154"/>
      <c r="AM2810" s="147">
        <f t="shared" si="112"/>
        <v>0</v>
      </c>
      <c r="AN2810" s="44"/>
      <c r="AO2810" s="18"/>
    </row>
    <row r="2811" spans="1:42" customFormat="1" x14ac:dyDescent="0.3">
      <c r="A2811" s="148" t="s">
        <v>8319</v>
      </c>
      <c r="B2811" t="s">
        <v>8320</v>
      </c>
      <c r="C2811" s="148" t="s">
        <v>9369</v>
      </c>
      <c r="D2811" t="s">
        <v>9370</v>
      </c>
      <c r="E2811" s="148" t="s">
        <v>9371</v>
      </c>
      <c r="F2811" t="s">
        <v>9372</v>
      </c>
      <c r="G2811" t="s">
        <v>10605</v>
      </c>
      <c r="H2811" t="s">
        <v>10606</v>
      </c>
      <c r="I2811" s="155" t="s">
        <v>11053</v>
      </c>
      <c r="J2811" t="s">
        <v>11054</v>
      </c>
      <c r="K2811" s="155" t="s">
        <v>11059</v>
      </c>
      <c r="L2811" t="s">
        <v>11060</v>
      </c>
      <c r="M2811" s="1" t="s">
        <v>11060</v>
      </c>
      <c r="N2811" s="1" t="s">
        <v>271</v>
      </c>
      <c r="O2811" s="1" t="s">
        <v>11061</v>
      </c>
      <c r="P2811" s="3" t="s">
        <v>11061</v>
      </c>
      <c r="Q2811" s="3" t="s">
        <v>11062</v>
      </c>
      <c r="R2811" s="3" t="s">
        <v>271</v>
      </c>
      <c r="S2811" s="3" t="s">
        <v>271</v>
      </c>
      <c r="T2811" t="s">
        <v>11063</v>
      </c>
      <c r="U2811" t="e">
        <v>#N/A</v>
      </c>
      <c r="W2811" s="45"/>
      <c r="X2811" s="45"/>
      <c r="Y2811" s="45"/>
      <c r="Z2811" s="45"/>
      <c r="AA2811" s="45"/>
      <c r="AB2811" s="45"/>
      <c r="AC2811" s="150">
        <v>0</v>
      </c>
      <c r="AD2811" s="150">
        <v>0</v>
      </c>
      <c r="AE2811" s="49">
        <f t="shared" si="113"/>
        <v>0</v>
      </c>
      <c r="AF2811" s="17"/>
      <c r="AG2811" s="17">
        <v>0</v>
      </c>
      <c r="AH2811" s="17"/>
      <c r="AI2811" s="17"/>
      <c r="AJ2811" s="4"/>
      <c r="AK2811" s="153"/>
      <c r="AL2811" s="154"/>
      <c r="AM2811" s="147">
        <f t="shared" si="112"/>
        <v>0</v>
      </c>
      <c r="AN2811" s="44"/>
      <c r="AO2811" s="18"/>
    </row>
    <row r="2812" spans="1:42" customFormat="1" x14ac:dyDescent="0.3">
      <c r="A2812" s="148" t="s">
        <v>8319</v>
      </c>
      <c r="B2812" t="s">
        <v>8320</v>
      </c>
      <c r="C2812" s="148" t="s">
        <v>9369</v>
      </c>
      <c r="D2812" t="s">
        <v>9370</v>
      </c>
      <c r="E2812" s="148" t="s">
        <v>9371</v>
      </c>
      <c r="F2812" t="s">
        <v>9372</v>
      </c>
      <c r="G2812" t="s">
        <v>10605</v>
      </c>
      <c r="H2812" t="s">
        <v>10606</v>
      </c>
      <c r="I2812" s="155" t="s">
        <v>11053</v>
      </c>
      <c r="J2812" t="s">
        <v>11054</v>
      </c>
      <c r="K2812" s="155" t="s">
        <v>11059</v>
      </c>
      <c r="L2812" t="s">
        <v>11060</v>
      </c>
      <c r="M2812" s="1" t="s">
        <v>11064</v>
      </c>
      <c r="N2812" s="1"/>
      <c r="O2812" s="1"/>
      <c r="P2812" s="3" t="s">
        <v>11065</v>
      </c>
      <c r="Q2812" s="3" t="s">
        <v>11066</v>
      </c>
      <c r="R2812" s="3"/>
      <c r="S2812" s="3"/>
      <c r="T2812" t="s">
        <v>831</v>
      </c>
      <c r="U2812" t="s">
        <v>834</v>
      </c>
      <c r="W2812" s="45"/>
      <c r="X2812" s="45"/>
      <c r="Y2812" s="45"/>
      <c r="Z2812" s="45"/>
      <c r="AA2812" s="45"/>
      <c r="AB2812" s="45"/>
      <c r="AC2812" s="150">
        <v>0</v>
      </c>
      <c r="AD2812" s="150">
        <v>0</v>
      </c>
      <c r="AE2812" s="49">
        <f t="shared" si="113"/>
        <v>0</v>
      </c>
      <c r="AF2812" s="17"/>
      <c r="AG2812" s="17">
        <v>0</v>
      </c>
      <c r="AH2812" s="17"/>
      <c r="AI2812" s="17"/>
      <c r="AJ2812" s="4"/>
      <c r="AK2812" s="153"/>
      <c r="AL2812" s="154"/>
      <c r="AM2812" s="147">
        <f t="shared" si="112"/>
        <v>0</v>
      </c>
      <c r="AN2812" s="44"/>
      <c r="AO2812" s="18"/>
    </row>
    <row r="2813" spans="1:42" customFormat="1" x14ac:dyDescent="0.3">
      <c r="A2813" s="148" t="s">
        <v>8319</v>
      </c>
      <c r="B2813" t="s">
        <v>8320</v>
      </c>
      <c r="C2813" s="148" t="s">
        <v>9369</v>
      </c>
      <c r="D2813" t="s">
        <v>9370</v>
      </c>
      <c r="E2813" s="148" t="s">
        <v>9371</v>
      </c>
      <c r="F2813" t="s">
        <v>9372</v>
      </c>
      <c r="G2813" t="s">
        <v>10605</v>
      </c>
      <c r="H2813" t="s">
        <v>10606</v>
      </c>
      <c r="I2813" s="155" t="s">
        <v>11067</v>
      </c>
      <c r="J2813" t="s">
        <v>11068</v>
      </c>
      <c r="K2813" s="155" t="s">
        <v>11069</v>
      </c>
      <c r="L2813" t="s">
        <v>11070</v>
      </c>
      <c r="M2813" s="1" t="s">
        <v>11070</v>
      </c>
      <c r="N2813" s="1">
        <v>0</v>
      </c>
      <c r="O2813" s="1">
        <v>0</v>
      </c>
      <c r="P2813" s="3"/>
      <c r="Q2813" s="3">
        <v>1</v>
      </c>
      <c r="R2813" s="3" t="s">
        <v>271</v>
      </c>
      <c r="S2813" s="3" t="s">
        <v>271</v>
      </c>
      <c r="T2813" t="s">
        <v>11071</v>
      </c>
      <c r="U2813" t="e">
        <v>#N/A</v>
      </c>
      <c r="W2813" s="45"/>
      <c r="X2813" s="45"/>
      <c r="Y2813" s="45"/>
      <c r="Z2813" s="45"/>
      <c r="AA2813" s="45"/>
      <c r="AB2813" s="45"/>
      <c r="AC2813" s="150">
        <v>0</v>
      </c>
      <c r="AD2813" s="150">
        <v>0</v>
      </c>
      <c r="AE2813" s="49">
        <f t="shared" si="113"/>
        <v>0</v>
      </c>
      <c r="AF2813" s="17"/>
      <c r="AG2813" s="17">
        <v>0</v>
      </c>
      <c r="AH2813" s="17"/>
      <c r="AI2813" s="17"/>
      <c r="AJ2813" s="4"/>
      <c r="AK2813" s="153"/>
      <c r="AL2813" s="154"/>
      <c r="AM2813" s="147">
        <f t="shared" si="112"/>
        <v>0</v>
      </c>
      <c r="AN2813" s="44"/>
      <c r="AO2813" s="18"/>
    </row>
    <row r="2814" spans="1:42" customFormat="1" x14ac:dyDescent="0.3">
      <c r="A2814" s="148" t="s">
        <v>8319</v>
      </c>
      <c r="B2814" t="s">
        <v>8320</v>
      </c>
      <c r="C2814" s="148" t="s">
        <v>9369</v>
      </c>
      <c r="D2814" t="s">
        <v>9370</v>
      </c>
      <c r="E2814" s="148" t="s">
        <v>9371</v>
      </c>
      <c r="F2814" t="s">
        <v>9372</v>
      </c>
      <c r="G2814" t="s">
        <v>10605</v>
      </c>
      <c r="H2814" t="s">
        <v>10606</v>
      </c>
      <c r="I2814" s="155" t="s">
        <v>11067</v>
      </c>
      <c r="J2814" t="s">
        <v>11068</v>
      </c>
      <c r="K2814" s="155" t="s">
        <v>11072</v>
      </c>
      <c r="L2814" t="s">
        <v>11070</v>
      </c>
      <c r="M2814" s="1" t="s">
        <v>11073</v>
      </c>
      <c r="N2814" s="1">
        <v>0</v>
      </c>
      <c r="O2814" s="1">
        <v>0</v>
      </c>
      <c r="P2814" s="3">
        <v>0</v>
      </c>
      <c r="Q2814" s="3">
        <v>1000</v>
      </c>
      <c r="R2814" s="3">
        <v>1500</v>
      </c>
      <c r="S2814" s="3">
        <v>2000</v>
      </c>
      <c r="T2814" t="s">
        <v>11071</v>
      </c>
      <c r="U2814" t="e">
        <v>#N/A</v>
      </c>
      <c r="W2814" s="45"/>
      <c r="X2814" s="45"/>
      <c r="Y2814" s="45"/>
      <c r="Z2814" s="45"/>
      <c r="AA2814" s="45"/>
      <c r="AB2814" s="45"/>
      <c r="AC2814" s="150">
        <v>0</v>
      </c>
      <c r="AD2814" s="150">
        <v>0</v>
      </c>
      <c r="AE2814" s="49">
        <f t="shared" si="113"/>
        <v>0</v>
      </c>
      <c r="AF2814" s="17"/>
      <c r="AG2814" s="17">
        <v>0</v>
      </c>
      <c r="AH2814" s="17"/>
      <c r="AI2814" s="17"/>
      <c r="AJ2814" s="4"/>
      <c r="AK2814" s="153"/>
      <c r="AL2814" s="154"/>
      <c r="AM2814" s="147">
        <f t="shared" si="112"/>
        <v>0</v>
      </c>
      <c r="AN2814" s="44"/>
      <c r="AO2814" s="18"/>
    </row>
    <row r="2815" spans="1:42" customFormat="1" x14ac:dyDescent="0.3">
      <c r="A2815" s="148" t="s">
        <v>8319</v>
      </c>
      <c r="B2815" t="s">
        <v>8320</v>
      </c>
      <c r="C2815" s="148" t="s">
        <v>9369</v>
      </c>
      <c r="D2815" t="s">
        <v>9370</v>
      </c>
      <c r="E2815" s="148" t="s">
        <v>9371</v>
      </c>
      <c r="F2815" t="s">
        <v>9372</v>
      </c>
      <c r="G2815" t="s">
        <v>10605</v>
      </c>
      <c r="H2815" t="s">
        <v>10606</v>
      </c>
      <c r="I2815" s="155" t="s">
        <v>11074</v>
      </c>
      <c r="J2815" t="s">
        <v>11075</v>
      </c>
      <c r="K2815" s="155" t="s">
        <v>11076</v>
      </c>
      <c r="L2815" t="s">
        <v>11077</v>
      </c>
      <c r="M2815" s="1" t="s">
        <v>11078</v>
      </c>
      <c r="N2815" s="1">
        <v>0</v>
      </c>
      <c r="O2815" s="1">
        <v>0</v>
      </c>
      <c r="P2815" s="3">
        <v>1</v>
      </c>
      <c r="Q2815" s="3" t="s">
        <v>271</v>
      </c>
      <c r="R2815" s="3" t="s">
        <v>271</v>
      </c>
      <c r="S2815" s="3" t="s">
        <v>271</v>
      </c>
      <c r="T2815" t="s">
        <v>11079</v>
      </c>
      <c r="U2815" t="e">
        <v>#N/A</v>
      </c>
      <c r="W2815" s="45"/>
      <c r="X2815" s="45"/>
      <c r="Y2815" s="45"/>
      <c r="Z2815" s="45"/>
      <c r="AA2815" s="45"/>
      <c r="AB2815" s="45"/>
      <c r="AC2815" s="150">
        <v>0</v>
      </c>
      <c r="AD2815" s="150">
        <v>0</v>
      </c>
      <c r="AE2815" s="49">
        <f t="shared" si="113"/>
        <v>0</v>
      </c>
      <c r="AF2815" s="17"/>
      <c r="AG2815" s="17">
        <v>0</v>
      </c>
      <c r="AH2815" s="17"/>
      <c r="AI2815" s="17"/>
      <c r="AJ2815" s="4"/>
      <c r="AK2815" s="153"/>
      <c r="AL2815" s="154"/>
      <c r="AM2815" s="147">
        <f t="shared" si="112"/>
        <v>0</v>
      </c>
      <c r="AN2815" s="44"/>
      <c r="AO2815" s="18"/>
    </row>
    <row r="2816" spans="1:42" customFormat="1" x14ac:dyDescent="0.3">
      <c r="A2816" s="148" t="s">
        <v>8319</v>
      </c>
      <c r="B2816" t="s">
        <v>8320</v>
      </c>
      <c r="C2816" s="148" t="s">
        <v>9369</v>
      </c>
      <c r="D2816" t="s">
        <v>9370</v>
      </c>
      <c r="E2816" s="148" t="s">
        <v>9371</v>
      </c>
      <c r="F2816" t="s">
        <v>9372</v>
      </c>
      <c r="G2816" t="s">
        <v>10605</v>
      </c>
      <c r="H2816" t="s">
        <v>10606</v>
      </c>
      <c r="I2816" s="155" t="s">
        <v>11074</v>
      </c>
      <c r="J2816" t="s">
        <v>11075</v>
      </c>
      <c r="K2816" s="155" t="s">
        <v>11080</v>
      </c>
      <c r="L2816" t="s">
        <v>11081</v>
      </c>
      <c r="M2816" s="1" t="s">
        <v>11082</v>
      </c>
      <c r="N2816" s="1" t="s">
        <v>271</v>
      </c>
      <c r="O2816" s="1">
        <v>65</v>
      </c>
      <c r="P2816" s="3">
        <v>70</v>
      </c>
      <c r="Q2816" s="3">
        <v>75</v>
      </c>
      <c r="R2816" s="3">
        <v>75</v>
      </c>
      <c r="S2816" s="3">
        <v>75</v>
      </c>
      <c r="T2816" t="s">
        <v>11083</v>
      </c>
      <c r="U2816" t="e">
        <v>#N/A</v>
      </c>
      <c r="W2816" s="45"/>
      <c r="X2816" s="45"/>
      <c r="Y2816" s="45"/>
      <c r="Z2816" s="45"/>
      <c r="AA2816" s="45"/>
      <c r="AB2816" s="45"/>
      <c r="AC2816" s="150">
        <v>0</v>
      </c>
      <c r="AD2816" s="150">
        <v>0</v>
      </c>
      <c r="AE2816" s="49">
        <f t="shared" si="113"/>
        <v>0</v>
      </c>
      <c r="AF2816" s="17"/>
      <c r="AG2816" s="17">
        <v>0</v>
      </c>
      <c r="AH2816" s="17"/>
      <c r="AI2816" s="17"/>
      <c r="AJ2816" s="4"/>
      <c r="AK2816" s="153"/>
      <c r="AL2816" s="154"/>
      <c r="AM2816" s="147">
        <f t="shared" si="112"/>
        <v>0</v>
      </c>
      <c r="AN2816" s="44"/>
      <c r="AO2816" s="18"/>
    </row>
    <row r="2817" spans="1:42" customFormat="1" x14ac:dyDescent="0.3">
      <c r="A2817" s="148" t="s">
        <v>8319</v>
      </c>
      <c r="B2817" t="s">
        <v>8320</v>
      </c>
      <c r="C2817" s="148" t="s">
        <v>9369</v>
      </c>
      <c r="D2817" t="s">
        <v>9370</v>
      </c>
      <c r="E2817" s="148" t="s">
        <v>9371</v>
      </c>
      <c r="F2817" t="s">
        <v>9372</v>
      </c>
      <c r="G2817" s="148" t="s">
        <v>11084</v>
      </c>
      <c r="H2817" t="s">
        <v>11085</v>
      </c>
      <c r="J2817" t="s">
        <v>11085</v>
      </c>
      <c r="K2817" s="148" t="s">
        <v>11086</v>
      </c>
      <c r="L2817" t="s">
        <v>11087</v>
      </c>
      <c r="M2817" s="1" t="s">
        <v>11088</v>
      </c>
      <c r="N2817" s="1">
        <v>41.1</v>
      </c>
      <c r="O2817" s="1">
        <v>47.3</v>
      </c>
      <c r="P2817" s="3">
        <v>53.5</v>
      </c>
      <c r="Q2817" s="3">
        <v>59.7</v>
      </c>
      <c r="R2817" s="3">
        <v>65.900000000000006</v>
      </c>
      <c r="S2817" s="3">
        <v>75</v>
      </c>
      <c r="T2817" t="s">
        <v>11089</v>
      </c>
      <c r="U2817" t="e">
        <v>#N/A</v>
      </c>
      <c r="V2817" t="s">
        <v>11090</v>
      </c>
      <c r="W2817" s="45"/>
      <c r="X2817" s="45"/>
      <c r="Y2817" s="45"/>
      <c r="Z2817" s="45"/>
      <c r="AA2817" s="45"/>
      <c r="AB2817" s="45"/>
      <c r="AC2817" s="150">
        <v>0</v>
      </c>
      <c r="AD2817" s="150">
        <v>0</v>
      </c>
      <c r="AE2817" s="49">
        <f t="shared" si="113"/>
        <v>0</v>
      </c>
      <c r="AF2817" s="44"/>
      <c r="AG2817" s="17">
        <v>0</v>
      </c>
      <c r="AH2817" s="44">
        <v>0.1</v>
      </c>
      <c r="AI2817" s="44">
        <v>0.1</v>
      </c>
      <c r="AJ2817" s="44">
        <v>0.1</v>
      </c>
      <c r="AK2817" s="151"/>
      <c r="AL2817" s="151"/>
      <c r="AM2817" s="147">
        <f t="shared" si="112"/>
        <v>0</v>
      </c>
      <c r="AN2817" s="44" t="s">
        <v>10518</v>
      </c>
      <c r="AO2817" s="18" t="s">
        <v>729</v>
      </c>
      <c r="AP2817" t="s">
        <v>119</v>
      </c>
    </row>
    <row r="2818" spans="1:42" customFormat="1" x14ac:dyDescent="0.3">
      <c r="A2818" s="148" t="s">
        <v>8319</v>
      </c>
      <c r="B2818" t="s">
        <v>8320</v>
      </c>
      <c r="C2818" s="148" t="s">
        <v>9369</v>
      </c>
      <c r="D2818" t="s">
        <v>9370</v>
      </c>
      <c r="E2818" s="148" t="s">
        <v>9371</v>
      </c>
      <c r="F2818" t="s">
        <v>9372</v>
      </c>
      <c r="G2818" s="148" t="s">
        <v>11091</v>
      </c>
      <c r="H2818" t="s">
        <v>11092</v>
      </c>
      <c r="K2818" s="148" t="s">
        <v>11093</v>
      </c>
      <c r="L2818" t="s">
        <v>11094</v>
      </c>
      <c r="M2818" s="1" t="s">
        <v>11095</v>
      </c>
      <c r="N2818" s="1" t="s">
        <v>271</v>
      </c>
      <c r="O2818" s="1" t="s">
        <v>271</v>
      </c>
      <c r="P2818" s="3">
        <v>1</v>
      </c>
      <c r="Q2818" s="3">
        <v>1</v>
      </c>
      <c r="R2818" s="3">
        <v>1</v>
      </c>
      <c r="S2818" s="3">
        <v>1</v>
      </c>
      <c r="T2818" t="s">
        <v>723</v>
      </c>
      <c r="U2818" t="s">
        <v>729</v>
      </c>
      <c r="V2818" t="s">
        <v>11096</v>
      </c>
      <c r="W2818" s="45"/>
      <c r="X2818" s="45"/>
      <c r="Y2818" s="45"/>
      <c r="Z2818" s="45"/>
      <c r="AA2818" s="45"/>
      <c r="AB2818" s="45"/>
      <c r="AC2818" s="150">
        <v>0</v>
      </c>
      <c r="AD2818" s="150">
        <v>0</v>
      </c>
      <c r="AE2818" s="49">
        <f t="shared" si="113"/>
        <v>0</v>
      </c>
      <c r="AF2818" s="44"/>
      <c r="AG2818" s="17">
        <v>0</v>
      </c>
      <c r="AH2818" s="44">
        <v>0</v>
      </c>
      <c r="AI2818" s="44">
        <v>0.6</v>
      </c>
      <c r="AJ2818" s="44">
        <v>0.5</v>
      </c>
      <c r="AK2818" s="151"/>
      <c r="AL2818" s="151"/>
      <c r="AM2818" s="147">
        <f t="shared" si="112"/>
        <v>0</v>
      </c>
      <c r="AN2818" t="s">
        <v>723</v>
      </c>
      <c r="AO2818" s="18" t="s">
        <v>729</v>
      </c>
      <c r="AP2818" t="s">
        <v>10630</v>
      </c>
    </row>
    <row r="2819" spans="1:42" customFormat="1" x14ac:dyDescent="0.3">
      <c r="A2819" s="148" t="s">
        <v>8319</v>
      </c>
      <c r="B2819" t="s">
        <v>8320</v>
      </c>
      <c r="C2819" s="148" t="s">
        <v>9369</v>
      </c>
      <c r="D2819" t="s">
        <v>9370</v>
      </c>
      <c r="E2819" s="148" t="s">
        <v>9371</v>
      </c>
      <c r="F2819" t="s">
        <v>9372</v>
      </c>
      <c r="G2819" s="148" t="s">
        <v>11091</v>
      </c>
      <c r="H2819" t="s">
        <v>11092</v>
      </c>
      <c r="K2819" s="148" t="s">
        <v>11097</v>
      </c>
      <c r="L2819" t="s">
        <v>11098</v>
      </c>
      <c r="M2819" s="1" t="s">
        <v>11099</v>
      </c>
      <c r="N2819" s="1" t="s">
        <v>271</v>
      </c>
      <c r="O2819" s="1">
        <v>10</v>
      </c>
      <c r="P2819" s="3">
        <v>11</v>
      </c>
      <c r="Q2819" s="3">
        <v>12</v>
      </c>
      <c r="R2819" s="3">
        <v>14</v>
      </c>
      <c r="S2819" s="3">
        <v>16</v>
      </c>
      <c r="T2819" t="s">
        <v>723</v>
      </c>
      <c r="U2819" t="s">
        <v>729</v>
      </c>
      <c r="V2819" t="s">
        <v>11100</v>
      </c>
      <c r="W2819" s="45"/>
      <c r="X2819" s="45"/>
      <c r="Y2819" s="45"/>
      <c r="Z2819" s="45"/>
      <c r="AA2819" s="45"/>
      <c r="AB2819" s="45"/>
      <c r="AC2819" s="150">
        <v>0</v>
      </c>
      <c r="AD2819" s="150">
        <v>0</v>
      </c>
      <c r="AE2819" s="49">
        <f t="shared" si="113"/>
        <v>0</v>
      </c>
      <c r="AF2819" s="17"/>
      <c r="AG2819" s="17">
        <v>0</v>
      </c>
      <c r="AH2819" s="17">
        <v>0</v>
      </c>
      <c r="AI2819" s="44">
        <v>1</v>
      </c>
      <c r="AJ2819" s="44">
        <v>1.5</v>
      </c>
      <c r="AK2819" s="151"/>
      <c r="AL2819" s="151"/>
      <c r="AM2819" s="147">
        <f t="shared" si="112"/>
        <v>0</v>
      </c>
      <c r="AN2819" t="s">
        <v>723</v>
      </c>
      <c r="AO2819" s="18" t="s">
        <v>729</v>
      </c>
      <c r="AP2819" t="s">
        <v>255</v>
      </c>
    </row>
    <row r="2820" spans="1:42" customFormat="1" x14ac:dyDescent="0.3">
      <c r="A2820" s="148" t="s">
        <v>8319</v>
      </c>
      <c r="B2820" t="s">
        <v>8320</v>
      </c>
      <c r="C2820" s="148" t="s">
        <v>9369</v>
      </c>
      <c r="D2820" t="s">
        <v>9370</v>
      </c>
      <c r="E2820" s="148" t="s">
        <v>9371</v>
      </c>
      <c r="F2820" t="s">
        <v>9372</v>
      </c>
      <c r="G2820" s="148" t="s">
        <v>11091</v>
      </c>
      <c r="H2820" t="s">
        <v>11092</v>
      </c>
      <c r="K2820" s="148" t="s">
        <v>11097</v>
      </c>
      <c r="L2820" t="s">
        <v>11098</v>
      </c>
      <c r="M2820" s="1" t="s">
        <v>11101</v>
      </c>
      <c r="N2820" s="1" t="s">
        <v>271</v>
      </c>
      <c r="O2820" s="1">
        <v>1</v>
      </c>
      <c r="P2820" s="3">
        <v>1</v>
      </c>
      <c r="Q2820" s="3">
        <v>2</v>
      </c>
      <c r="R2820" s="3">
        <v>2</v>
      </c>
      <c r="S2820" s="3">
        <v>2</v>
      </c>
      <c r="T2820" t="s">
        <v>723</v>
      </c>
      <c r="U2820" t="s">
        <v>729</v>
      </c>
      <c r="V2820" t="s">
        <v>11102</v>
      </c>
      <c r="W2820" s="45"/>
      <c r="X2820" s="45"/>
      <c r="Y2820" s="45"/>
      <c r="Z2820" s="45"/>
      <c r="AA2820" s="45"/>
      <c r="AB2820" s="45"/>
      <c r="AC2820" s="150">
        <v>0</v>
      </c>
      <c r="AD2820" s="150">
        <v>0</v>
      </c>
      <c r="AE2820" s="49">
        <f t="shared" si="113"/>
        <v>0</v>
      </c>
      <c r="AF2820" s="17"/>
      <c r="AG2820" s="17">
        <v>0</v>
      </c>
      <c r="AH2820" s="17">
        <v>0</v>
      </c>
      <c r="AI2820" s="44">
        <v>0.5</v>
      </c>
      <c r="AJ2820" s="44">
        <v>1</v>
      </c>
      <c r="AK2820" s="151"/>
      <c r="AL2820" s="151"/>
      <c r="AM2820" s="147">
        <f t="shared" si="112"/>
        <v>0</v>
      </c>
      <c r="AN2820" s="44" t="s">
        <v>723</v>
      </c>
      <c r="AO2820" s="18" t="s">
        <v>729</v>
      </c>
      <c r="AP2820" t="s">
        <v>255</v>
      </c>
    </row>
    <row r="2821" spans="1:42" customFormat="1" x14ac:dyDescent="0.3">
      <c r="A2821" s="148" t="s">
        <v>8319</v>
      </c>
      <c r="B2821" t="s">
        <v>8320</v>
      </c>
      <c r="C2821" s="148" t="s">
        <v>9369</v>
      </c>
      <c r="D2821" t="s">
        <v>9370</v>
      </c>
      <c r="E2821" s="148" t="s">
        <v>9371</v>
      </c>
      <c r="F2821" t="s">
        <v>9372</v>
      </c>
      <c r="G2821" s="148" t="s">
        <v>11091</v>
      </c>
      <c r="H2821" t="s">
        <v>11092</v>
      </c>
      <c r="K2821" s="148" t="s">
        <v>11103</v>
      </c>
      <c r="L2821" t="s">
        <v>11104</v>
      </c>
      <c r="M2821" s="1" t="s">
        <v>11105</v>
      </c>
      <c r="N2821" s="1" t="s">
        <v>271</v>
      </c>
      <c r="O2821" s="1">
        <v>100</v>
      </c>
      <c r="P2821" s="3" t="s">
        <v>11106</v>
      </c>
      <c r="Q2821" s="3">
        <v>158</v>
      </c>
      <c r="R2821" s="3">
        <v>159</v>
      </c>
      <c r="S2821" s="3">
        <v>105</v>
      </c>
      <c r="T2821" t="s">
        <v>723</v>
      </c>
      <c r="U2821" t="s">
        <v>729</v>
      </c>
      <c r="V2821" t="s">
        <v>11107</v>
      </c>
      <c r="W2821" s="45"/>
      <c r="X2821" s="45"/>
      <c r="Y2821" s="45"/>
      <c r="Z2821" s="45"/>
      <c r="AA2821" s="45"/>
      <c r="AB2821" s="45"/>
      <c r="AC2821" s="150">
        <v>0</v>
      </c>
      <c r="AD2821" s="150">
        <v>0</v>
      </c>
      <c r="AE2821" s="49">
        <f t="shared" si="113"/>
        <v>0</v>
      </c>
      <c r="AF2821" s="17"/>
      <c r="AG2821" s="17">
        <v>0</v>
      </c>
      <c r="AH2821" s="17">
        <v>0</v>
      </c>
      <c r="AI2821" s="44">
        <v>3.3</v>
      </c>
      <c r="AJ2821" s="44">
        <v>4</v>
      </c>
      <c r="AK2821" s="151"/>
      <c r="AL2821" s="151"/>
      <c r="AM2821" s="147">
        <f t="shared" si="112"/>
        <v>0</v>
      </c>
      <c r="AN2821" t="s">
        <v>723</v>
      </c>
      <c r="AO2821" s="18" t="s">
        <v>729</v>
      </c>
      <c r="AP2821" t="s">
        <v>10630</v>
      </c>
    </row>
    <row r="2822" spans="1:42" customFormat="1" x14ac:dyDescent="0.3">
      <c r="A2822" s="148" t="s">
        <v>8319</v>
      </c>
      <c r="B2822" t="s">
        <v>8320</v>
      </c>
      <c r="C2822" s="148" t="s">
        <v>9369</v>
      </c>
      <c r="D2822" t="s">
        <v>9370</v>
      </c>
      <c r="E2822" s="148" t="s">
        <v>9371</v>
      </c>
      <c r="F2822" t="s">
        <v>9372</v>
      </c>
      <c r="G2822" s="148" t="s">
        <v>11091</v>
      </c>
      <c r="H2822" t="s">
        <v>11092</v>
      </c>
      <c r="K2822" s="148" t="s">
        <v>11103</v>
      </c>
      <c r="L2822" t="s">
        <v>11104</v>
      </c>
      <c r="M2822" s="1" t="s">
        <v>11108</v>
      </c>
      <c r="N2822" s="1">
        <v>6.5972222222222224E-2</v>
      </c>
      <c r="O2822" s="1">
        <v>6.5972222222222224E-2</v>
      </c>
      <c r="P2822" s="3">
        <v>6.25E-2</v>
      </c>
      <c r="Q2822" s="3">
        <v>5.8333333333333327E-2</v>
      </c>
      <c r="R2822" s="3">
        <v>5.5555555555555552E-2</v>
      </c>
      <c r="S2822" s="3">
        <v>5.4166666666666669E-2</v>
      </c>
      <c r="T2822" t="s">
        <v>723</v>
      </c>
      <c r="U2822" t="s">
        <v>729</v>
      </c>
      <c r="W2822" s="45"/>
      <c r="X2822" s="45"/>
      <c r="Y2822" s="45"/>
      <c r="Z2822" s="45"/>
      <c r="AA2822" s="45"/>
      <c r="AB2822" s="45"/>
      <c r="AC2822" s="150">
        <v>0</v>
      </c>
      <c r="AD2822" s="150">
        <v>0</v>
      </c>
      <c r="AE2822" s="49">
        <f t="shared" si="113"/>
        <v>0</v>
      </c>
      <c r="AF2822" s="17"/>
      <c r="AG2822" s="17">
        <v>0</v>
      </c>
      <c r="AH2822" s="17"/>
      <c r="AI2822" s="4"/>
      <c r="AJ2822" s="4"/>
      <c r="AK2822" s="46"/>
      <c r="AL2822" s="46"/>
      <c r="AM2822" s="147">
        <f t="shared" si="112"/>
        <v>0</v>
      </c>
      <c r="AO2822" s="18"/>
    </row>
    <row r="2823" spans="1:42" customFormat="1" x14ac:dyDescent="0.3">
      <c r="A2823" s="148" t="s">
        <v>8319</v>
      </c>
      <c r="B2823" t="s">
        <v>8320</v>
      </c>
      <c r="C2823" s="148" t="s">
        <v>9369</v>
      </c>
      <c r="D2823" t="s">
        <v>9370</v>
      </c>
      <c r="E2823" s="148" t="s">
        <v>9371</v>
      </c>
      <c r="F2823" t="s">
        <v>9372</v>
      </c>
      <c r="G2823" s="148" t="s">
        <v>11091</v>
      </c>
      <c r="H2823" t="s">
        <v>11092</v>
      </c>
      <c r="K2823" s="155" t="s">
        <v>11109</v>
      </c>
      <c r="L2823" t="s">
        <v>11110</v>
      </c>
      <c r="M2823" s="1" t="s">
        <v>11111</v>
      </c>
      <c r="N2823" s="1" t="s">
        <v>271</v>
      </c>
      <c r="O2823" s="1" t="s">
        <v>271</v>
      </c>
      <c r="P2823" s="3">
        <v>1</v>
      </c>
      <c r="Q2823" s="3">
        <v>1</v>
      </c>
      <c r="R2823" s="3">
        <v>1</v>
      </c>
      <c r="S2823" s="3">
        <v>1</v>
      </c>
      <c r="T2823" t="s">
        <v>723</v>
      </c>
      <c r="U2823" t="s">
        <v>729</v>
      </c>
      <c r="W2823" s="45"/>
      <c r="X2823" s="45"/>
      <c r="Y2823" s="45"/>
      <c r="Z2823" s="45"/>
      <c r="AA2823" s="45"/>
      <c r="AB2823" s="45"/>
      <c r="AC2823" s="150">
        <v>0</v>
      </c>
      <c r="AD2823" s="150">
        <v>0</v>
      </c>
      <c r="AE2823" s="49">
        <f t="shared" si="113"/>
        <v>0</v>
      </c>
      <c r="AF2823" s="17"/>
      <c r="AG2823" s="17">
        <v>0</v>
      </c>
      <c r="AH2823" s="17"/>
      <c r="AI2823" s="4"/>
      <c r="AJ2823" s="4"/>
      <c r="AK2823" s="46"/>
      <c r="AL2823" s="46"/>
      <c r="AM2823" s="147">
        <f t="shared" si="112"/>
        <v>0</v>
      </c>
      <c r="AO2823" s="18"/>
    </row>
    <row r="2824" spans="1:42" customFormat="1" x14ac:dyDescent="0.3">
      <c r="A2824" s="148" t="s">
        <v>8319</v>
      </c>
      <c r="B2824" t="s">
        <v>8320</v>
      </c>
      <c r="C2824" s="148" t="s">
        <v>9369</v>
      </c>
      <c r="D2824" t="s">
        <v>9370</v>
      </c>
      <c r="E2824" s="148" t="s">
        <v>9371</v>
      </c>
      <c r="F2824" t="s">
        <v>9372</v>
      </c>
      <c r="G2824" s="148" t="s">
        <v>11091</v>
      </c>
      <c r="H2824" t="s">
        <v>11092</v>
      </c>
      <c r="K2824" s="155" t="s">
        <v>11112</v>
      </c>
      <c r="L2824" t="s">
        <v>11113</v>
      </c>
      <c r="M2824" s="1" t="s">
        <v>11114</v>
      </c>
      <c r="N2824" s="1" t="s">
        <v>271</v>
      </c>
      <c r="O2824" s="1" t="s">
        <v>271</v>
      </c>
      <c r="P2824" s="3">
        <v>50</v>
      </c>
      <c r="Q2824" s="3">
        <v>50</v>
      </c>
      <c r="R2824" s="3">
        <v>60</v>
      </c>
      <c r="S2824" s="3">
        <v>60</v>
      </c>
      <c r="T2824" t="s">
        <v>723</v>
      </c>
      <c r="U2824" t="s">
        <v>729</v>
      </c>
      <c r="W2824" s="45"/>
      <c r="X2824" s="45"/>
      <c r="Y2824" s="45"/>
      <c r="Z2824" s="45"/>
      <c r="AA2824" s="45"/>
      <c r="AB2824" s="45"/>
      <c r="AC2824" s="150">
        <v>0</v>
      </c>
      <c r="AD2824" s="150">
        <v>0</v>
      </c>
      <c r="AE2824" s="49">
        <f t="shared" si="113"/>
        <v>0</v>
      </c>
      <c r="AF2824" s="17"/>
      <c r="AG2824" s="17">
        <v>0</v>
      </c>
      <c r="AH2824" s="17"/>
      <c r="AI2824" s="4"/>
      <c r="AJ2824" s="4"/>
      <c r="AK2824" s="46"/>
      <c r="AL2824" s="46"/>
      <c r="AM2824" s="147">
        <f t="shared" si="112"/>
        <v>0</v>
      </c>
      <c r="AO2824" s="18"/>
    </row>
    <row r="2825" spans="1:42" customFormat="1" x14ac:dyDescent="0.3">
      <c r="A2825" s="148" t="s">
        <v>8319</v>
      </c>
      <c r="B2825" t="s">
        <v>8320</v>
      </c>
      <c r="C2825" s="148" t="s">
        <v>9369</v>
      </c>
      <c r="D2825" t="s">
        <v>9370</v>
      </c>
      <c r="E2825" s="148" t="s">
        <v>9371</v>
      </c>
      <c r="F2825" t="s">
        <v>9372</v>
      </c>
      <c r="G2825" s="148" t="s">
        <v>11091</v>
      </c>
      <c r="H2825" t="s">
        <v>11092</v>
      </c>
      <c r="K2825" s="155" t="s">
        <v>11115</v>
      </c>
      <c r="L2825" t="s">
        <v>11116</v>
      </c>
      <c r="M2825" s="1" t="s">
        <v>11117</v>
      </c>
      <c r="N2825" s="1" t="s">
        <v>271</v>
      </c>
      <c r="O2825" s="1" t="s">
        <v>271</v>
      </c>
      <c r="P2825" s="3" t="s">
        <v>271</v>
      </c>
      <c r="Q2825" s="3">
        <v>1</v>
      </c>
      <c r="R2825" s="3">
        <v>2</v>
      </c>
      <c r="S2825" s="3">
        <v>3</v>
      </c>
      <c r="T2825" t="s">
        <v>11118</v>
      </c>
      <c r="U2825" t="e">
        <v>#N/A</v>
      </c>
      <c r="V2825" t="s">
        <v>11119</v>
      </c>
      <c r="W2825" s="45"/>
      <c r="X2825" s="45"/>
      <c r="Y2825" s="45"/>
      <c r="Z2825" s="45"/>
      <c r="AA2825" s="45"/>
      <c r="AB2825" s="45"/>
      <c r="AC2825" s="150">
        <v>0</v>
      </c>
      <c r="AD2825" s="150">
        <v>0</v>
      </c>
      <c r="AE2825" s="49">
        <f t="shared" si="113"/>
        <v>0</v>
      </c>
      <c r="AF2825" s="44"/>
      <c r="AG2825" s="17">
        <v>0</v>
      </c>
      <c r="AH2825" s="44">
        <v>1</v>
      </c>
      <c r="AI2825" s="44">
        <v>1</v>
      </c>
      <c r="AJ2825" s="44">
        <v>1</v>
      </c>
      <c r="AK2825" s="151"/>
      <c r="AL2825" s="151"/>
      <c r="AM2825" s="147">
        <f t="shared" si="112"/>
        <v>0</v>
      </c>
      <c r="AN2825" s="18" t="s">
        <v>723</v>
      </c>
      <c r="AO2825" s="18" t="s">
        <v>729</v>
      </c>
      <c r="AP2825" t="s">
        <v>255</v>
      </c>
    </row>
    <row r="2826" spans="1:42" customFormat="1" x14ac:dyDescent="0.3">
      <c r="A2826" s="148" t="s">
        <v>8319</v>
      </c>
      <c r="B2826" t="s">
        <v>8320</v>
      </c>
      <c r="C2826" s="148" t="s">
        <v>9369</v>
      </c>
      <c r="D2826" t="s">
        <v>9370</v>
      </c>
      <c r="E2826" s="148" t="s">
        <v>9371</v>
      </c>
      <c r="F2826" t="s">
        <v>9372</v>
      </c>
      <c r="G2826" s="148" t="s">
        <v>11091</v>
      </c>
      <c r="H2826" t="s">
        <v>11092</v>
      </c>
      <c r="K2826" s="155" t="s">
        <v>11120</v>
      </c>
      <c r="L2826" t="s">
        <v>11121</v>
      </c>
      <c r="M2826" s="1" t="s">
        <v>11121</v>
      </c>
      <c r="N2826" s="1" t="s">
        <v>271</v>
      </c>
      <c r="O2826" s="1" t="s">
        <v>271</v>
      </c>
      <c r="P2826" s="3" t="s">
        <v>271</v>
      </c>
      <c r="Q2826" s="3">
        <v>1</v>
      </c>
      <c r="R2826" s="3" t="s">
        <v>271</v>
      </c>
      <c r="S2826" s="3" t="s">
        <v>271</v>
      </c>
      <c r="T2826" t="s">
        <v>723</v>
      </c>
      <c r="U2826" t="s">
        <v>729</v>
      </c>
      <c r="V2826" t="s">
        <v>11122</v>
      </c>
      <c r="W2826" s="45"/>
      <c r="X2826" s="45"/>
      <c r="Y2826" s="45"/>
      <c r="Z2826" s="45"/>
      <c r="AA2826" s="45"/>
      <c r="AB2826" s="45"/>
      <c r="AC2826" s="150">
        <v>0</v>
      </c>
      <c r="AD2826" s="150">
        <v>0</v>
      </c>
      <c r="AE2826" s="49">
        <f t="shared" si="113"/>
        <v>0</v>
      </c>
      <c r="AF2826" s="44"/>
      <c r="AG2826" s="17">
        <v>0</v>
      </c>
      <c r="AH2826" s="44">
        <v>0.5</v>
      </c>
      <c r="AI2826" s="44">
        <v>15</v>
      </c>
      <c r="AJ2826" s="44">
        <v>15</v>
      </c>
      <c r="AK2826" s="151"/>
      <c r="AL2826" s="151"/>
      <c r="AM2826" s="147">
        <f t="shared" si="112"/>
        <v>0</v>
      </c>
      <c r="AN2826" t="s">
        <v>723</v>
      </c>
      <c r="AO2826" s="18" t="s">
        <v>729</v>
      </c>
      <c r="AP2826" t="s">
        <v>119</v>
      </c>
    </row>
    <row r="2827" spans="1:42" customFormat="1" x14ac:dyDescent="0.3">
      <c r="A2827" s="148" t="s">
        <v>8319</v>
      </c>
      <c r="B2827" t="s">
        <v>8320</v>
      </c>
      <c r="C2827" s="148" t="s">
        <v>9369</v>
      </c>
      <c r="D2827" t="s">
        <v>9370</v>
      </c>
      <c r="E2827" s="148" t="s">
        <v>9371</v>
      </c>
      <c r="F2827" t="s">
        <v>9372</v>
      </c>
      <c r="G2827" s="148" t="s">
        <v>11091</v>
      </c>
      <c r="H2827" t="s">
        <v>11092</v>
      </c>
      <c r="K2827" s="155" t="s">
        <v>11123</v>
      </c>
      <c r="L2827" t="s">
        <v>11124</v>
      </c>
      <c r="M2827" s="1" t="s">
        <v>11125</v>
      </c>
      <c r="N2827" s="1">
        <v>94</v>
      </c>
      <c r="O2827" s="1">
        <v>188</v>
      </c>
      <c r="P2827" s="3">
        <v>564</v>
      </c>
      <c r="Q2827" s="3">
        <v>658</v>
      </c>
      <c r="R2827" s="3">
        <v>752</v>
      </c>
      <c r="S2827" s="3">
        <v>806</v>
      </c>
      <c r="T2827" t="s">
        <v>11126</v>
      </c>
      <c r="U2827" t="e">
        <v>#N/A</v>
      </c>
      <c r="V2827" t="s">
        <v>11127</v>
      </c>
      <c r="W2827" s="45"/>
      <c r="X2827" s="45"/>
      <c r="Y2827" s="45"/>
      <c r="Z2827" s="45"/>
      <c r="AA2827" s="45"/>
      <c r="AB2827" s="45"/>
      <c r="AC2827" s="150">
        <v>0</v>
      </c>
      <c r="AD2827" s="150">
        <v>0</v>
      </c>
      <c r="AE2827" s="49">
        <f t="shared" si="113"/>
        <v>0</v>
      </c>
      <c r="AF2827" s="44"/>
      <c r="AG2827" s="17">
        <v>0</v>
      </c>
      <c r="AH2827" s="44">
        <v>0</v>
      </c>
      <c r="AI2827" s="44">
        <v>1</v>
      </c>
      <c r="AJ2827" s="44">
        <v>1.2</v>
      </c>
      <c r="AK2827" s="151"/>
      <c r="AL2827" s="151"/>
      <c r="AM2827" s="147">
        <f t="shared" si="112"/>
        <v>0</v>
      </c>
      <c r="AN2827" t="s">
        <v>723</v>
      </c>
      <c r="AO2827" s="18" t="s">
        <v>729</v>
      </c>
      <c r="AP2827" t="s">
        <v>119</v>
      </c>
    </row>
    <row r="2828" spans="1:42" customFormat="1" x14ac:dyDescent="0.3">
      <c r="A2828" s="148" t="s">
        <v>8319</v>
      </c>
      <c r="B2828" t="s">
        <v>8320</v>
      </c>
      <c r="C2828" s="148" t="s">
        <v>9369</v>
      </c>
      <c r="D2828" t="s">
        <v>9370</v>
      </c>
      <c r="E2828" s="148" t="s">
        <v>9371</v>
      </c>
      <c r="F2828" t="s">
        <v>9372</v>
      </c>
      <c r="G2828" s="148" t="s">
        <v>11091</v>
      </c>
      <c r="H2828" t="s">
        <v>11092</v>
      </c>
      <c r="K2828" s="155" t="s">
        <v>11128</v>
      </c>
      <c r="L2828" t="s">
        <v>11129</v>
      </c>
      <c r="M2828" s="1"/>
      <c r="N2828" s="1"/>
      <c r="O2828" s="1"/>
      <c r="P2828" s="3"/>
      <c r="Q2828" s="3"/>
      <c r="R2828" s="3"/>
      <c r="S2828" s="3"/>
      <c r="U2828" t="e">
        <v>#N/A</v>
      </c>
      <c r="V2828" t="s">
        <v>11130</v>
      </c>
      <c r="W2828" s="45"/>
      <c r="X2828" s="45"/>
      <c r="Y2828" s="45"/>
      <c r="Z2828" s="45"/>
      <c r="AA2828" s="45"/>
      <c r="AB2828" s="45"/>
      <c r="AC2828" s="150">
        <v>0</v>
      </c>
      <c r="AD2828" s="150">
        <v>0</v>
      </c>
      <c r="AE2828" s="49">
        <f t="shared" si="113"/>
        <v>0</v>
      </c>
      <c r="AF2828" s="17"/>
      <c r="AG2828" s="17">
        <v>0</v>
      </c>
      <c r="AH2828" s="17">
        <v>0</v>
      </c>
      <c r="AI2828" s="44">
        <v>0</v>
      </c>
      <c r="AJ2828" s="44">
        <v>0</v>
      </c>
      <c r="AK2828" s="151">
        <v>0</v>
      </c>
      <c r="AL2828" s="151">
        <v>0</v>
      </c>
      <c r="AM2828" s="147">
        <f t="shared" si="112"/>
        <v>0</v>
      </c>
      <c r="AN2828" t="s">
        <v>723</v>
      </c>
      <c r="AO2828" s="18" t="s">
        <v>729</v>
      </c>
      <c r="AP2828" t="s">
        <v>255</v>
      </c>
    </row>
    <row r="2829" spans="1:42" customFormat="1" x14ac:dyDescent="0.3">
      <c r="A2829" s="155" t="s">
        <v>8319</v>
      </c>
      <c r="B2829" t="s">
        <v>8320</v>
      </c>
      <c r="C2829" s="155" t="s">
        <v>9369</v>
      </c>
      <c r="D2829" t="s">
        <v>9370</v>
      </c>
      <c r="E2829" s="148" t="s">
        <v>9371</v>
      </c>
      <c r="F2829" t="s">
        <v>9372</v>
      </c>
      <c r="G2829" s="148" t="s">
        <v>11131</v>
      </c>
      <c r="H2829" t="s">
        <v>11132</v>
      </c>
      <c r="K2829" s="148" t="s">
        <v>11133</v>
      </c>
      <c r="L2829" t="s">
        <v>11134</v>
      </c>
      <c r="M2829" s="1" t="s">
        <v>11135</v>
      </c>
      <c r="N2829" s="1">
        <v>36</v>
      </c>
      <c r="O2829" s="1">
        <v>40</v>
      </c>
      <c r="P2829" s="3">
        <v>44</v>
      </c>
      <c r="Q2829" s="3">
        <v>50</v>
      </c>
      <c r="R2829" s="3">
        <v>56</v>
      </c>
      <c r="S2829" s="3">
        <v>64</v>
      </c>
      <c r="T2829" t="s">
        <v>10969</v>
      </c>
      <c r="U2829" t="e">
        <v>#N/A</v>
      </c>
      <c r="W2829" s="45"/>
      <c r="X2829" s="45"/>
      <c r="Y2829" s="45"/>
      <c r="Z2829" s="45"/>
      <c r="AA2829" s="45"/>
      <c r="AB2829" s="45"/>
      <c r="AC2829" s="150">
        <v>0</v>
      </c>
      <c r="AD2829" s="150">
        <v>0</v>
      </c>
      <c r="AE2829" s="49">
        <f t="shared" si="113"/>
        <v>0</v>
      </c>
      <c r="AF2829" s="17"/>
      <c r="AG2829" s="17">
        <v>0</v>
      </c>
      <c r="AH2829" s="17"/>
      <c r="AI2829" s="4"/>
      <c r="AJ2829" s="4"/>
      <c r="AK2829" s="46"/>
      <c r="AL2829" s="46"/>
      <c r="AM2829" s="147">
        <f t="shared" si="112"/>
        <v>0</v>
      </c>
      <c r="AO2829" s="18"/>
    </row>
    <row r="2830" spans="1:42" customFormat="1" x14ac:dyDescent="0.3">
      <c r="A2830" s="155" t="s">
        <v>8319</v>
      </c>
      <c r="B2830" t="s">
        <v>8320</v>
      </c>
      <c r="C2830" s="155" t="s">
        <v>9369</v>
      </c>
      <c r="D2830" t="s">
        <v>9370</v>
      </c>
      <c r="E2830" s="148" t="s">
        <v>9371</v>
      </c>
      <c r="F2830" t="s">
        <v>9372</v>
      </c>
      <c r="G2830" s="148" t="s">
        <v>11131</v>
      </c>
      <c r="H2830" t="s">
        <v>11132</v>
      </c>
      <c r="K2830" s="148" t="s">
        <v>11136</v>
      </c>
      <c r="L2830" t="s">
        <v>11137</v>
      </c>
      <c r="M2830" s="1" t="s">
        <v>11138</v>
      </c>
      <c r="N2830" s="1" t="s">
        <v>271</v>
      </c>
      <c r="O2830" s="1">
        <v>0</v>
      </c>
      <c r="P2830" s="3">
        <v>0</v>
      </c>
      <c r="Q2830" s="3">
        <v>10</v>
      </c>
      <c r="R2830" s="3">
        <v>0</v>
      </c>
      <c r="S2830" s="3">
        <v>0</v>
      </c>
      <c r="T2830" t="s">
        <v>723</v>
      </c>
      <c r="U2830" t="s">
        <v>729</v>
      </c>
      <c r="W2830" s="45"/>
      <c r="X2830" s="45"/>
      <c r="Y2830" s="45"/>
      <c r="Z2830" s="45"/>
      <c r="AA2830" s="45"/>
      <c r="AB2830" s="45"/>
      <c r="AC2830" s="150">
        <v>0</v>
      </c>
      <c r="AD2830" s="150">
        <v>0</v>
      </c>
      <c r="AE2830" s="49">
        <f t="shared" si="113"/>
        <v>0</v>
      </c>
      <c r="AF2830" s="17"/>
      <c r="AG2830" s="17">
        <v>0</v>
      </c>
      <c r="AH2830" s="17"/>
      <c r="AI2830" s="4"/>
      <c r="AJ2830" s="4"/>
      <c r="AK2830" s="46"/>
      <c r="AL2830" s="46"/>
      <c r="AM2830" s="147">
        <f t="shared" si="112"/>
        <v>0</v>
      </c>
      <c r="AO2830" s="18"/>
    </row>
    <row r="2831" spans="1:42" customFormat="1" x14ac:dyDescent="0.3">
      <c r="A2831" s="155" t="s">
        <v>8319</v>
      </c>
      <c r="B2831" t="s">
        <v>8320</v>
      </c>
      <c r="C2831" s="155" t="s">
        <v>9369</v>
      </c>
      <c r="D2831" t="s">
        <v>9370</v>
      </c>
      <c r="E2831" s="148" t="s">
        <v>9371</v>
      </c>
      <c r="F2831" t="s">
        <v>9372</v>
      </c>
      <c r="G2831" s="148" t="s">
        <v>11131</v>
      </c>
      <c r="H2831" t="s">
        <v>11132</v>
      </c>
      <c r="K2831" s="148" t="s">
        <v>11139</v>
      </c>
      <c r="L2831" t="s">
        <v>11140</v>
      </c>
      <c r="M2831" s="1" t="s">
        <v>11140</v>
      </c>
      <c r="N2831" s="1" t="s">
        <v>271</v>
      </c>
      <c r="O2831" s="1" t="s">
        <v>271</v>
      </c>
      <c r="P2831" s="3">
        <v>1</v>
      </c>
      <c r="Q2831" s="3" t="s">
        <v>271</v>
      </c>
      <c r="R2831" s="3" t="s">
        <v>271</v>
      </c>
      <c r="S2831" s="3" t="s">
        <v>271</v>
      </c>
      <c r="T2831" t="s">
        <v>11118</v>
      </c>
      <c r="U2831" t="e">
        <v>#N/A</v>
      </c>
      <c r="W2831" s="45"/>
      <c r="X2831" s="45"/>
      <c r="Y2831" s="45"/>
      <c r="Z2831" s="45"/>
      <c r="AA2831" s="45"/>
      <c r="AB2831" s="45"/>
      <c r="AC2831" s="150">
        <v>0</v>
      </c>
      <c r="AD2831" s="150">
        <v>0</v>
      </c>
      <c r="AE2831" s="49">
        <f t="shared" si="113"/>
        <v>0</v>
      </c>
      <c r="AF2831" s="17"/>
      <c r="AG2831" s="17">
        <v>0</v>
      </c>
      <c r="AH2831" s="17"/>
      <c r="AI2831" s="4"/>
      <c r="AJ2831" s="4"/>
      <c r="AK2831" s="46"/>
      <c r="AL2831" s="46"/>
      <c r="AM2831" s="147">
        <f t="shared" si="112"/>
        <v>0</v>
      </c>
      <c r="AO2831" s="18"/>
    </row>
    <row r="2832" spans="1:42" customFormat="1" x14ac:dyDescent="0.3">
      <c r="A2832" s="155" t="s">
        <v>8319</v>
      </c>
      <c r="B2832" t="s">
        <v>8320</v>
      </c>
      <c r="C2832" s="155" t="s">
        <v>9369</v>
      </c>
      <c r="D2832" t="s">
        <v>9370</v>
      </c>
      <c r="E2832" s="148" t="s">
        <v>9371</v>
      </c>
      <c r="F2832" t="s">
        <v>9372</v>
      </c>
      <c r="G2832" s="148" t="s">
        <v>11131</v>
      </c>
      <c r="H2832" t="s">
        <v>11132</v>
      </c>
      <c r="K2832" s="148" t="s">
        <v>11139</v>
      </c>
      <c r="L2832" t="s">
        <v>11140</v>
      </c>
      <c r="M2832" s="1" t="s">
        <v>11141</v>
      </c>
      <c r="N2832" s="1" t="s">
        <v>271</v>
      </c>
      <c r="O2832" s="1" t="s">
        <v>271</v>
      </c>
      <c r="P2832" s="3" t="s">
        <v>271</v>
      </c>
      <c r="Q2832" s="3">
        <v>20</v>
      </c>
      <c r="R2832" s="3">
        <v>30</v>
      </c>
      <c r="S2832" s="3">
        <v>50</v>
      </c>
      <c r="T2832" t="s">
        <v>11142</v>
      </c>
      <c r="U2832" t="e">
        <v>#N/A</v>
      </c>
      <c r="W2832" s="45"/>
      <c r="X2832" s="45"/>
      <c r="Y2832" s="45"/>
      <c r="Z2832" s="45"/>
      <c r="AA2832" s="45"/>
      <c r="AB2832" s="45"/>
      <c r="AC2832" s="150">
        <v>0</v>
      </c>
      <c r="AD2832" s="150">
        <v>0</v>
      </c>
      <c r="AE2832" s="49">
        <f t="shared" si="113"/>
        <v>0</v>
      </c>
      <c r="AF2832" s="17"/>
      <c r="AG2832" s="17">
        <v>0</v>
      </c>
      <c r="AH2832" s="17"/>
      <c r="AI2832" s="4"/>
      <c r="AJ2832" s="4"/>
      <c r="AK2832" s="46"/>
      <c r="AL2832" s="46"/>
      <c r="AM2832" s="147">
        <f t="shared" si="112"/>
        <v>0</v>
      </c>
      <c r="AO2832" s="18"/>
    </row>
    <row r="2833" spans="1:42" customFormat="1" x14ac:dyDescent="0.3">
      <c r="A2833" s="155" t="s">
        <v>8319</v>
      </c>
      <c r="B2833" t="s">
        <v>8320</v>
      </c>
      <c r="C2833" s="155" t="s">
        <v>9369</v>
      </c>
      <c r="D2833" t="s">
        <v>9370</v>
      </c>
      <c r="E2833" s="148" t="s">
        <v>9371</v>
      </c>
      <c r="F2833" t="s">
        <v>9372</v>
      </c>
      <c r="G2833" s="148" t="s">
        <v>11131</v>
      </c>
      <c r="H2833" t="s">
        <v>11132</v>
      </c>
      <c r="K2833" s="148" t="s">
        <v>11143</v>
      </c>
      <c r="L2833" t="s">
        <v>11144</v>
      </c>
      <c r="M2833" s="1" t="s">
        <v>11145</v>
      </c>
      <c r="N2833" s="1" t="s">
        <v>271</v>
      </c>
      <c r="O2833" s="1" t="s">
        <v>271</v>
      </c>
      <c r="P2833" s="3">
        <v>1</v>
      </c>
      <c r="Q2833" s="3" t="s">
        <v>271</v>
      </c>
      <c r="R2833" s="3" t="s">
        <v>271</v>
      </c>
      <c r="S2833" s="3" t="s">
        <v>271</v>
      </c>
      <c r="T2833" t="s">
        <v>11146</v>
      </c>
      <c r="U2833" t="e">
        <v>#N/A</v>
      </c>
      <c r="W2833" s="45"/>
      <c r="X2833" s="45"/>
      <c r="Y2833" s="45"/>
      <c r="Z2833" s="45"/>
      <c r="AA2833" s="45"/>
      <c r="AB2833" s="45"/>
      <c r="AC2833" s="150">
        <v>0</v>
      </c>
      <c r="AD2833" s="150">
        <v>0</v>
      </c>
      <c r="AE2833" s="49">
        <f t="shared" si="113"/>
        <v>0</v>
      </c>
      <c r="AF2833" s="17"/>
      <c r="AG2833" s="17">
        <v>0</v>
      </c>
      <c r="AH2833" s="17"/>
      <c r="AI2833" s="4"/>
      <c r="AJ2833" s="4"/>
      <c r="AK2833" s="46"/>
      <c r="AL2833" s="46"/>
      <c r="AM2833" s="147">
        <f t="shared" si="112"/>
        <v>0</v>
      </c>
      <c r="AO2833" s="18"/>
    </row>
    <row r="2834" spans="1:42" customFormat="1" x14ac:dyDescent="0.3">
      <c r="A2834" s="155" t="s">
        <v>8319</v>
      </c>
      <c r="B2834" t="s">
        <v>8320</v>
      </c>
      <c r="C2834" s="155" t="s">
        <v>9369</v>
      </c>
      <c r="D2834" t="s">
        <v>9370</v>
      </c>
      <c r="E2834" s="148" t="s">
        <v>9371</v>
      </c>
      <c r="F2834" t="s">
        <v>9372</v>
      </c>
      <c r="G2834" s="148" t="s">
        <v>11131</v>
      </c>
      <c r="H2834" t="s">
        <v>11132</v>
      </c>
      <c r="K2834" s="148" t="s">
        <v>11147</v>
      </c>
      <c r="L2834" t="s">
        <v>11129</v>
      </c>
      <c r="M2834" s="1" t="s">
        <v>11148</v>
      </c>
      <c r="N2834" s="1" t="s">
        <v>271</v>
      </c>
      <c r="O2834" s="1" t="s">
        <v>271</v>
      </c>
      <c r="P2834" s="3">
        <v>50</v>
      </c>
      <c r="Q2834" s="3">
        <v>50</v>
      </c>
      <c r="R2834" s="3">
        <v>50</v>
      </c>
      <c r="S2834" s="3">
        <v>50</v>
      </c>
      <c r="T2834" t="s">
        <v>723</v>
      </c>
      <c r="U2834" t="s">
        <v>729</v>
      </c>
      <c r="W2834" s="45"/>
      <c r="X2834" s="45"/>
      <c r="Y2834" s="45"/>
      <c r="Z2834" s="45"/>
      <c r="AA2834" s="45"/>
      <c r="AB2834" s="45"/>
      <c r="AC2834" s="150">
        <v>0</v>
      </c>
      <c r="AD2834" s="150">
        <v>0</v>
      </c>
      <c r="AE2834" s="49">
        <f t="shared" si="113"/>
        <v>0</v>
      </c>
      <c r="AF2834" s="17"/>
      <c r="AG2834" s="17">
        <v>0</v>
      </c>
      <c r="AH2834" s="17"/>
      <c r="AI2834" s="4"/>
      <c r="AJ2834" s="4"/>
      <c r="AK2834" s="46"/>
      <c r="AL2834" s="46"/>
      <c r="AM2834" s="147">
        <f t="shared" si="112"/>
        <v>0</v>
      </c>
      <c r="AO2834" s="18"/>
    </row>
    <row r="2835" spans="1:42" customFormat="1" x14ac:dyDescent="0.3">
      <c r="A2835" s="155" t="s">
        <v>8319</v>
      </c>
      <c r="B2835" t="s">
        <v>8320</v>
      </c>
      <c r="C2835" s="155" t="s">
        <v>9369</v>
      </c>
      <c r="D2835" t="s">
        <v>9370</v>
      </c>
      <c r="E2835" s="148" t="s">
        <v>9371</v>
      </c>
      <c r="F2835" t="s">
        <v>9372</v>
      </c>
      <c r="G2835" s="148" t="s">
        <v>11131</v>
      </c>
      <c r="H2835" t="s">
        <v>11132</v>
      </c>
      <c r="K2835" s="148" t="s">
        <v>11149</v>
      </c>
      <c r="L2835" t="s">
        <v>11150</v>
      </c>
      <c r="M2835" s="1" t="s">
        <v>11151</v>
      </c>
      <c r="N2835" s="1"/>
      <c r="O2835" s="1"/>
      <c r="P2835" s="3"/>
      <c r="Q2835" s="3" t="s">
        <v>11152</v>
      </c>
      <c r="R2835" s="3"/>
      <c r="S2835" s="3"/>
      <c r="T2835" t="s">
        <v>723</v>
      </c>
      <c r="U2835" t="s">
        <v>729</v>
      </c>
      <c r="W2835" s="45"/>
      <c r="X2835" s="45"/>
      <c r="Y2835" s="45"/>
      <c r="Z2835" s="45"/>
      <c r="AA2835" s="45"/>
      <c r="AB2835" s="45"/>
      <c r="AC2835" s="150">
        <v>0</v>
      </c>
      <c r="AD2835" s="150">
        <v>0</v>
      </c>
      <c r="AE2835" s="49">
        <f t="shared" si="113"/>
        <v>0</v>
      </c>
      <c r="AF2835" s="17"/>
      <c r="AG2835" s="17">
        <v>0</v>
      </c>
      <c r="AH2835" s="17"/>
      <c r="AI2835" s="4"/>
      <c r="AJ2835" s="4"/>
      <c r="AK2835" s="46"/>
      <c r="AL2835" s="46"/>
      <c r="AM2835" s="147">
        <f t="shared" si="112"/>
        <v>0</v>
      </c>
      <c r="AO2835" s="18"/>
    </row>
    <row r="2836" spans="1:42" customFormat="1" x14ac:dyDescent="0.3">
      <c r="A2836" s="148" t="s">
        <v>8319</v>
      </c>
      <c r="B2836" t="s">
        <v>8320</v>
      </c>
      <c r="C2836" s="148" t="s">
        <v>9369</v>
      </c>
      <c r="D2836" t="s">
        <v>9370</v>
      </c>
      <c r="E2836" s="148" t="s">
        <v>9371</v>
      </c>
      <c r="F2836" t="s">
        <v>9372</v>
      </c>
      <c r="G2836" s="148" t="s">
        <v>11153</v>
      </c>
      <c r="H2836" t="s">
        <v>11154</v>
      </c>
      <c r="K2836" s="148" t="s">
        <v>11155</v>
      </c>
      <c r="L2836" t="s">
        <v>11156</v>
      </c>
      <c r="M2836" s="1" t="s">
        <v>11157</v>
      </c>
      <c r="N2836" s="1" t="s">
        <v>271</v>
      </c>
      <c r="O2836" s="1" t="s">
        <v>271</v>
      </c>
      <c r="P2836" s="3" t="s">
        <v>271</v>
      </c>
      <c r="Q2836" s="3">
        <v>1</v>
      </c>
      <c r="R2836" s="3" t="s">
        <v>271</v>
      </c>
      <c r="S2836" s="3" t="s">
        <v>271</v>
      </c>
      <c r="T2836" t="s">
        <v>11158</v>
      </c>
      <c r="U2836" t="e">
        <v>#N/A</v>
      </c>
      <c r="V2836" t="s">
        <v>11159</v>
      </c>
      <c r="W2836" s="45"/>
      <c r="X2836" s="45"/>
      <c r="Y2836" s="45"/>
      <c r="Z2836" s="45"/>
      <c r="AA2836" s="45"/>
      <c r="AB2836" s="45"/>
      <c r="AC2836" s="150">
        <v>0</v>
      </c>
      <c r="AD2836" s="150">
        <v>0</v>
      </c>
      <c r="AE2836" s="49">
        <f t="shared" si="113"/>
        <v>0</v>
      </c>
      <c r="AF2836" s="17"/>
      <c r="AG2836" s="17">
        <v>0</v>
      </c>
      <c r="AH2836" s="17">
        <v>0</v>
      </c>
      <c r="AI2836" s="44">
        <v>0.5</v>
      </c>
      <c r="AJ2836" s="17">
        <v>0</v>
      </c>
      <c r="AK2836" s="153">
        <v>0</v>
      </c>
      <c r="AL2836" s="154">
        <v>0</v>
      </c>
      <c r="AM2836" s="147">
        <f t="shared" si="112"/>
        <v>0</v>
      </c>
      <c r="AN2836" t="s">
        <v>723</v>
      </c>
      <c r="AO2836" s="18" t="s">
        <v>729</v>
      </c>
      <c r="AP2836" t="s">
        <v>2074</v>
      </c>
    </row>
    <row r="2837" spans="1:42" customFormat="1" x14ac:dyDescent="0.3">
      <c r="A2837" s="148" t="s">
        <v>8319</v>
      </c>
      <c r="B2837" t="s">
        <v>8320</v>
      </c>
      <c r="C2837" s="148" t="s">
        <v>9344</v>
      </c>
      <c r="D2837" t="s">
        <v>9345</v>
      </c>
      <c r="E2837" s="148" t="s">
        <v>9398</v>
      </c>
      <c r="F2837" t="s">
        <v>9399</v>
      </c>
      <c r="G2837" s="148" t="s">
        <v>9400</v>
      </c>
      <c r="H2837" t="s">
        <v>9401</v>
      </c>
      <c r="I2837" s="148" t="s">
        <v>10637</v>
      </c>
      <c r="J2837" t="s">
        <v>10638</v>
      </c>
      <c r="K2837" s="155" t="s">
        <v>11160</v>
      </c>
      <c r="L2837" t="s">
        <v>11161</v>
      </c>
      <c r="M2837" s="1" t="s">
        <v>11162</v>
      </c>
      <c r="N2837" s="1" t="s">
        <v>119</v>
      </c>
      <c r="O2837" s="1">
        <v>50</v>
      </c>
      <c r="P2837" s="3">
        <v>65</v>
      </c>
      <c r="Q2837" s="3">
        <v>70</v>
      </c>
      <c r="R2837" s="3">
        <v>80</v>
      </c>
      <c r="S2837" s="3">
        <v>80</v>
      </c>
      <c r="T2837" t="s">
        <v>10641</v>
      </c>
      <c r="U2837" t="e">
        <v>#N/A</v>
      </c>
      <c r="W2837" s="45"/>
      <c r="X2837" s="45"/>
      <c r="Y2837" s="45"/>
      <c r="Z2837" s="45"/>
      <c r="AA2837" s="45"/>
      <c r="AB2837" s="45"/>
      <c r="AC2837" s="150">
        <v>0</v>
      </c>
      <c r="AD2837" s="150">
        <v>0</v>
      </c>
      <c r="AE2837" s="49">
        <f t="shared" si="113"/>
        <v>0</v>
      </c>
      <c r="AF2837" s="4"/>
      <c r="AG2837" s="17">
        <v>0</v>
      </c>
      <c r="AH2837" s="4"/>
      <c r="AI2837" s="4"/>
      <c r="AJ2837" s="4"/>
      <c r="AK2837" s="46"/>
      <c r="AL2837" s="46"/>
      <c r="AM2837" s="147">
        <f t="shared" si="112"/>
        <v>0</v>
      </c>
      <c r="AN2837" s="44"/>
      <c r="AO2837" s="18"/>
    </row>
    <row r="2838" spans="1:42" customFormat="1" x14ac:dyDescent="0.3">
      <c r="A2838" s="148" t="s">
        <v>8319</v>
      </c>
      <c r="B2838" t="s">
        <v>8320</v>
      </c>
      <c r="C2838" s="148" t="s">
        <v>9344</v>
      </c>
      <c r="D2838" t="s">
        <v>9345</v>
      </c>
      <c r="E2838" s="148" t="s">
        <v>9398</v>
      </c>
      <c r="F2838" t="s">
        <v>9399</v>
      </c>
      <c r="G2838" s="148" t="s">
        <v>9400</v>
      </c>
      <c r="H2838" t="s">
        <v>9401</v>
      </c>
      <c r="I2838" s="148" t="s">
        <v>9402</v>
      </c>
      <c r="J2838" t="s">
        <v>9403</v>
      </c>
      <c r="K2838" s="155" t="s">
        <v>11163</v>
      </c>
      <c r="L2838" t="s">
        <v>11164</v>
      </c>
      <c r="M2838" s="1" t="s">
        <v>11165</v>
      </c>
      <c r="N2838" s="1" t="s">
        <v>119</v>
      </c>
      <c r="O2838" s="1">
        <v>50</v>
      </c>
      <c r="P2838" s="3">
        <v>100</v>
      </c>
      <c r="Q2838" s="3">
        <v>100</v>
      </c>
      <c r="R2838" s="3">
        <v>100</v>
      </c>
      <c r="S2838" s="3">
        <v>100</v>
      </c>
      <c r="T2838" t="s">
        <v>10671</v>
      </c>
      <c r="U2838" t="e">
        <v>#N/A</v>
      </c>
      <c r="W2838" s="45"/>
      <c r="X2838" s="45"/>
      <c r="Y2838" s="45"/>
      <c r="Z2838" s="45"/>
      <c r="AA2838" s="45"/>
      <c r="AB2838" s="45"/>
      <c r="AC2838" s="150">
        <v>0</v>
      </c>
      <c r="AD2838" s="150">
        <v>0</v>
      </c>
      <c r="AE2838" s="49">
        <f t="shared" si="113"/>
        <v>0</v>
      </c>
      <c r="AF2838" s="17"/>
      <c r="AG2838" s="17">
        <v>0</v>
      </c>
      <c r="AH2838" s="17"/>
      <c r="AI2838" s="4"/>
      <c r="AJ2838" s="4"/>
      <c r="AK2838" s="46"/>
      <c r="AL2838" s="46"/>
      <c r="AM2838" s="147">
        <f t="shared" si="112"/>
        <v>0</v>
      </c>
      <c r="AN2838" s="44"/>
      <c r="AO2838" s="18"/>
    </row>
    <row r="2839" spans="1:42" customFormat="1" x14ac:dyDescent="0.3">
      <c r="A2839" s="148" t="s">
        <v>8319</v>
      </c>
      <c r="B2839" t="s">
        <v>8320</v>
      </c>
      <c r="C2839" s="148" t="s">
        <v>9410</v>
      </c>
      <c r="D2839" t="s">
        <v>9411</v>
      </c>
      <c r="E2839" s="148" t="s">
        <v>9412</v>
      </c>
      <c r="F2839" t="s">
        <v>9413</v>
      </c>
      <c r="G2839" s="148" t="s">
        <v>9414</v>
      </c>
      <c r="H2839" t="s">
        <v>9415</v>
      </c>
      <c r="K2839" s="148" t="s">
        <v>9416</v>
      </c>
      <c r="L2839" t="s">
        <v>9417</v>
      </c>
      <c r="M2839" s="1" t="s">
        <v>11166</v>
      </c>
      <c r="N2839" s="1"/>
      <c r="O2839" s="1">
        <v>1</v>
      </c>
      <c r="P2839" s="3">
        <v>1</v>
      </c>
      <c r="Q2839" s="3">
        <v>0</v>
      </c>
      <c r="R2839" s="3">
        <v>0</v>
      </c>
      <c r="S2839" s="3">
        <v>0</v>
      </c>
      <c r="T2839" t="s">
        <v>3643</v>
      </c>
      <c r="U2839" t="s">
        <v>3630</v>
      </c>
      <c r="V2839" t="s">
        <v>11167</v>
      </c>
      <c r="W2839" s="45">
        <v>0</v>
      </c>
      <c r="X2839" s="45">
        <v>0</v>
      </c>
      <c r="Y2839" s="45">
        <v>0</v>
      </c>
      <c r="Z2839" s="45">
        <v>0</v>
      </c>
      <c r="AA2839" s="45">
        <v>0</v>
      </c>
      <c r="AB2839" s="45">
        <v>0</v>
      </c>
      <c r="AC2839" s="150">
        <v>0</v>
      </c>
      <c r="AD2839" s="150">
        <v>0</v>
      </c>
      <c r="AE2839" s="49">
        <f t="shared" si="113"/>
        <v>0</v>
      </c>
      <c r="AF2839" s="17"/>
      <c r="AG2839" s="17">
        <v>0</v>
      </c>
      <c r="AH2839" s="17">
        <v>0</v>
      </c>
      <c r="AI2839" s="17">
        <v>0</v>
      </c>
      <c r="AJ2839" s="17">
        <v>0</v>
      </c>
      <c r="AK2839" s="153">
        <v>0</v>
      </c>
      <c r="AL2839" s="154">
        <v>0</v>
      </c>
      <c r="AM2839" s="147">
        <f t="shared" si="112"/>
        <v>0</v>
      </c>
      <c r="AN2839" s="18" t="s">
        <v>255</v>
      </c>
      <c r="AO2839" s="18" t="s">
        <v>1045</v>
      </c>
      <c r="AP2839" t="s">
        <v>9426</v>
      </c>
    </row>
    <row r="2840" spans="1:42" customFormat="1" x14ac:dyDescent="0.3">
      <c r="A2840" s="148" t="s">
        <v>8319</v>
      </c>
      <c r="B2840" t="s">
        <v>8320</v>
      </c>
      <c r="C2840" s="148" t="s">
        <v>9410</v>
      </c>
      <c r="D2840" t="s">
        <v>9411</v>
      </c>
      <c r="E2840" s="148" t="s">
        <v>9412</v>
      </c>
      <c r="F2840" t="s">
        <v>9413</v>
      </c>
      <c r="G2840" s="148" t="s">
        <v>9414</v>
      </c>
      <c r="H2840" t="s">
        <v>9415</v>
      </c>
      <c r="K2840" s="155" t="s">
        <v>9427</v>
      </c>
      <c r="L2840" t="s">
        <v>9428</v>
      </c>
      <c r="M2840" s="1" t="s">
        <v>11168</v>
      </c>
      <c r="N2840" s="1">
        <v>6</v>
      </c>
      <c r="O2840" s="1">
        <v>5.2</v>
      </c>
      <c r="P2840" s="3">
        <v>5</v>
      </c>
      <c r="Q2840" s="3">
        <v>4.8</v>
      </c>
      <c r="R2840" s="3">
        <v>4.5999999999999996</v>
      </c>
      <c r="S2840" s="3">
        <v>4.4000000000000004</v>
      </c>
      <c r="T2840" t="s">
        <v>3643</v>
      </c>
      <c r="U2840" t="s">
        <v>3630</v>
      </c>
      <c r="W2840" s="45"/>
      <c r="X2840" s="45"/>
      <c r="Y2840" s="45"/>
      <c r="Z2840" s="45"/>
      <c r="AA2840" s="45"/>
      <c r="AB2840" s="45"/>
      <c r="AC2840" s="150">
        <v>0</v>
      </c>
      <c r="AD2840" s="150">
        <v>0</v>
      </c>
      <c r="AE2840" s="49">
        <f t="shared" si="113"/>
        <v>0</v>
      </c>
      <c r="AF2840" s="17"/>
      <c r="AG2840" s="17">
        <v>0</v>
      </c>
      <c r="AH2840" s="17">
        <v>0</v>
      </c>
      <c r="AI2840" s="17">
        <v>0</v>
      </c>
      <c r="AJ2840" s="17">
        <v>0</v>
      </c>
      <c r="AK2840" s="153">
        <v>0</v>
      </c>
      <c r="AL2840" s="154">
        <v>0</v>
      </c>
      <c r="AM2840" s="147">
        <f t="shared" si="112"/>
        <v>0</v>
      </c>
      <c r="AN2840" s="44" t="s">
        <v>9431</v>
      </c>
      <c r="AO2840" s="18" t="s">
        <v>3630</v>
      </c>
      <c r="AP2840" s="18" t="s">
        <v>255</v>
      </c>
    </row>
    <row r="2841" spans="1:42" customFormat="1" x14ac:dyDescent="0.3">
      <c r="A2841" s="148" t="s">
        <v>8319</v>
      </c>
      <c r="B2841" t="s">
        <v>8320</v>
      </c>
      <c r="C2841" s="148" t="s">
        <v>9410</v>
      </c>
      <c r="D2841" t="s">
        <v>9411</v>
      </c>
      <c r="E2841" s="148" t="s">
        <v>9412</v>
      </c>
      <c r="F2841" t="s">
        <v>9413</v>
      </c>
      <c r="G2841" s="148" t="s">
        <v>9414</v>
      </c>
      <c r="H2841" t="s">
        <v>9415</v>
      </c>
      <c r="K2841" s="155" t="s">
        <v>9441</v>
      </c>
      <c r="L2841" t="s">
        <v>9442</v>
      </c>
      <c r="M2841" s="1" t="s">
        <v>11169</v>
      </c>
      <c r="N2841" s="1"/>
      <c r="O2841" s="1">
        <v>1</v>
      </c>
      <c r="P2841" s="3">
        <v>0</v>
      </c>
      <c r="Q2841" s="3">
        <v>0</v>
      </c>
      <c r="R2841" s="3">
        <v>0</v>
      </c>
      <c r="S2841" s="3">
        <v>0</v>
      </c>
      <c r="T2841" t="s">
        <v>3643</v>
      </c>
      <c r="U2841" t="s">
        <v>3630</v>
      </c>
      <c r="V2841" t="s">
        <v>11170</v>
      </c>
      <c r="W2841" s="45">
        <v>0</v>
      </c>
      <c r="X2841" s="45">
        <v>0</v>
      </c>
      <c r="Y2841" s="45">
        <v>0</v>
      </c>
      <c r="Z2841" s="45">
        <v>0</v>
      </c>
      <c r="AA2841" s="45">
        <v>0</v>
      </c>
      <c r="AB2841" s="45">
        <v>0</v>
      </c>
      <c r="AC2841" s="150">
        <v>0</v>
      </c>
      <c r="AD2841" s="150">
        <v>0</v>
      </c>
      <c r="AE2841" s="49">
        <f t="shared" si="113"/>
        <v>0</v>
      </c>
      <c r="AF2841" s="17"/>
      <c r="AG2841" s="17">
        <v>0</v>
      </c>
      <c r="AH2841" s="17">
        <v>0</v>
      </c>
      <c r="AI2841" s="17">
        <v>0</v>
      </c>
      <c r="AJ2841" s="17">
        <v>0</v>
      </c>
      <c r="AK2841" s="153">
        <v>3</v>
      </c>
      <c r="AL2841" s="154">
        <v>3</v>
      </c>
      <c r="AM2841" s="147">
        <f t="shared" si="112"/>
        <v>6</v>
      </c>
      <c r="AN2841" t="s">
        <v>3643</v>
      </c>
      <c r="AO2841" s="18" t="s">
        <v>3630</v>
      </c>
      <c r="AP2841" t="s">
        <v>9445</v>
      </c>
    </row>
    <row r="2842" spans="1:42" customFormat="1" x14ac:dyDescent="0.3">
      <c r="A2842" s="148" t="s">
        <v>8319</v>
      </c>
      <c r="B2842" t="s">
        <v>8320</v>
      </c>
      <c r="C2842" s="148" t="s">
        <v>9410</v>
      </c>
      <c r="D2842" t="s">
        <v>9411</v>
      </c>
      <c r="E2842" s="148" t="s">
        <v>9412</v>
      </c>
      <c r="F2842" t="s">
        <v>9413</v>
      </c>
      <c r="G2842" s="148" t="s">
        <v>9448</v>
      </c>
      <c r="H2842" t="s">
        <v>9449</v>
      </c>
      <c r="I2842" s="148" t="s">
        <v>9796</v>
      </c>
      <c r="J2842" t="s">
        <v>9797</v>
      </c>
      <c r="K2842" s="148" t="s">
        <v>9798</v>
      </c>
      <c r="L2842" t="s">
        <v>9799</v>
      </c>
      <c r="M2842" s="1" t="s">
        <v>11171</v>
      </c>
      <c r="N2842" s="1"/>
      <c r="O2842" s="1">
        <v>1</v>
      </c>
      <c r="P2842" s="3">
        <v>3</v>
      </c>
      <c r="Q2842" s="3">
        <v>4</v>
      </c>
      <c r="R2842" s="3">
        <v>5</v>
      </c>
      <c r="S2842" s="3">
        <v>6</v>
      </c>
      <c r="T2842" t="s">
        <v>3643</v>
      </c>
      <c r="U2842" t="s">
        <v>3630</v>
      </c>
      <c r="V2842" t="s">
        <v>11172</v>
      </c>
      <c r="W2842" s="45"/>
      <c r="X2842" s="45">
        <v>0</v>
      </c>
      <c r="Y2842" s="45">
        <v>0</v>
      </c>
      <c r="Z2842" s="45">
        <v>0</v>
      </c>
      <c r="AA2842" s="45">
        <v>0</v>
      </c>
      <c r="AB2842" s="45">
        <v>0</v>
      </c>
      <c r="AC2842" s="150">
        <v>0</v>
      </c>
      <c r="AD2842" s="150">
        <v>0</v>
      </c>
      <c r="AE2842" s="49">
        <f t="shared" si="113"/>
        <v>0</v>
      </c>
      <c r="AF2842" s="17"/>
      <c r="AG2842" s="17">
        <v>0</v>
      </c>
      <c r="AH2842" s="17">
        <v>0</v>
      </c>
      <c r="AI2842" s="17">
        <v>0</v>
      </c>
      <c r="AJ2842" s="17">
        <v>0</v>
      </c>
      <c r="AK2842" s="153">
        <v>0</v>
      </c>
      <c r="AL2842" s="154">
        <v>0</v>
      </c>
      <c r="AM2842" s="147">
        <f t="shared" si="112"/>
        <v>0</v>
      </c>
      <c r="AN2842" t="s">
        <v>3643</v>
      </c>
      <c r="AO2842" s="18" t="s">
        <v>3630</v>
      </c>
      <c r="AP2842" t="s">
        <v>11173</v>
      </c>
    </row>
    <row r="2843" spans="1:42" customFormat="1" x14ac:dyDescent="0.3">
      <c r="A2843" s="148" t="s">
        <v>8319</v>
      </c>
      <c r="B2843" t="s">
        <v>8320</v>
      </c>
      <c r="C2843" s="148" t="s">
        <v>9410</v>
      </c>
      <c r="D2843" t="s">
        <v>9411</v>
      </c>
      <c r="E2843" s="148" t="s">
        <v>9412</v>
      </c>
      <c r="F2843" t="s">
        <v>9413</v>
      </c>
      <c r="G2843" s="148" t="s">
        <v>9448</v>
      </c>
      <c r="H2843" t="s">
        <v>9449</v>
      </c>
      <c r="I2843" s="148" t="s">
        <v>9457</v>
      </c>
      <c r="J2843" t="s">
        <v>9458</v>
      </c>
      <c r="K2843" s="148" t="s">
        <v>10938</v>
      </c>
      <c r="L2843" t="s">
        <v>10939</v>
      </c>
      <c r="M2843" s="1" t="s">
        <v>11174</v>
      </c>
      <c r="N2843" s="1">
        <v>52</v>
      </c>
      <c r="O2843" s="1">
        <v>60</v>
      </c>
      <c r="P2843" s="3">
        <v>65</v>
      </c>
      <c r="Q2843" s="3">
        <v>68</v>
      </c>
      <c r="R2843" s="3">
        <v>70</v>
      </c>
      <c r="S2843" s="3">
        <v>72</v>
      </c>
      <c r="T2843" t="s">
        <v>3643</v>
      </c>
      <c r="U2843" t="s">
        <v>3630</v>
      </c>
      <c r="V2843" t="s">
        <v>11175</v>
      </c>
      <c r="W2843" s="45">
        <v>0</v>
      </c>
      <c r="X2843" s="45">
        <v>0</v>
      </c>
      <c r="Y2843" s="45">
        <v>0</v>
      </c>
      <c r="Z2843" s="45">
        <v>0</v>
      </c>
      <c r="AA2843" s="45">
        <v>0</v>
      </c>
      <c r="AB2843" s="45">
        <v>0</v>
      </c>
      <c r="AC2843" s="150">
        <v>0</v>
      </c>
      <c r="AD2843" s="150">
        <v>0</v>
      </c>
      <c r="AE2843" s="49">
        <f t="shared" si="113"/>
        <v>0</v>
      </c>
      <c r="AF2843" s="44"/>
      <c r="AG2843" s="17">
        <v>0</v>
      </c>
      <c r="AH2843" s="44">
        <v>0.1</v>
      </c>
      <c r="AI2843" s="44">
        <v>0.3</v>
      </c>
      <c r="AJ2843" s="44">
        <v>0.2</v>
      </c>
      <c r="AK2843" s="151">
        <v>0.2</v>
      </c>
      <c r="AL2843" s="151">
        <v>0.2</v>
      </c>
      <c r="AM2843" s="147">
        <f t="shared" si="112"/>
        <v>0.4</v>
      </c>
      <c r="AN2843" t="s">
        <v>3643</v>
      </c>
      <c r="AO2843" s="18" t="s">
        <v>3630</v>
      </c>
      <c r="AP2843" t="s">
        <v>11176</v>
      </c>
    </row>
    <row r="2844" spans="1:42" customFormat="1" x14ac:dyDescent="0.3">
      <c r="A2844" s="148" t="s">
        <v>8319</v>
      </c>
      <c r="B2844" t="s">
        <v>8320</v>
      </c>
      <c r="C2844" s="148" t="s">
        <v>9410</v>
      </c>
      <c r="D2844" t="s">
        <v>9411</v>
      </c>
      <c r="E2844" s="148" t="s">
        <v>9412</v>
      </c>
      <c r="F2844" t="s">
        <v>9413</v>
      </c>
      <c r="G2844" s="148" t="s">
        <v>9448</v>
      </c>
      <c r="H2844" t="s">
        <v>9449</v>
      </c>
      <c r="I2844" s="148" t="s">
        <v>9457</v>
      </c>
      <c r="J2844" t="s">
        <v>9458</v>
      </c>
      <c r="K2844" s="148" t="s">
        <v>11177</v>
      </c>
      <c r="L2844" t="s">
        <v>11178</v>
      </c>
      <c r="M2844" s="1"/>
      <c r="N2844" s="1"/>
      <c r="O2844" s="1"/>
      <c r="P2844" s="3"/>
      <c r="Q2844" s="3"/>
      <c r="R2844" s="3"/>
      <c r="S2844" s="3"/>
      <c r="U2844" t="e">
        <v>#N/A</v>
      </c>
      <c r="V2844" t="s">
        <v>11179</v>
      </c>
      <c r="W2844" s="45">
        <v>0</v>
      </c>
      <c r="X2844" s="45">
        <v>0</v>
      </c>
      <c r="Y2844" s="45">
        <v>0</v>
      </c>
      <c r="Z2844" s="45">
        <v>0</v>
      </c>
      <c r="AA2844" s="45">
        <v>0</v>
      </c>
      <c r="AB2844" s="45">
        <v>0</v>
      </c>
      <c r="AC2844" s="150">
        <v>0</v>
      </c>
      <c r="AD2844" s="150">
        <v>0</v>
      </c>
      <c r="AE2844" s="49">
        <f t="shared" si="113"/>
        <v>0</v>
      </c>
      <c r="AF2844" s="44"/>
      <c r="AG2844" s="17">
        <v>0</v>
      </c>
      <c r="AH2844" s="44">
        <v>0.6</v>
      </c>
      <c r="AI2844" s="44">
        <v>0.4</v>
      </c>
      <c r="AJ2844" s="44">
        <v>0.1</v>
      </c>
      <c r="AK2844" s="151">
        <v>1</v>
      </c>
      <c r="AL2844" s="151">
        <v>1</v>
      </c>
      <c r="AM2844" s="147">
        <f t="shared" si="112"/>
        <v>2</v>
      </c>
      <c r="AN2844" t="s">
        <v>3643</v>
      </c>
      <c r="AO2844" s="18" t="s">
        <v>3630</v>
      </c>
      <c r="AP2844" t="s">
        <v>11180</v>
      </c>
    </row>
    <row r="2845" spans="1:42" customFormat="1" x14ac:dyDescent="0.3">
      <c r="A2845" s="148" t="s">
        <v>8319</v>
      </c>
      <c r="B2845" t="s">
        <v>8320</v>
      </c>
      <c r="C2845" s="148" t="s">
        <v>9410</v>
      </c>
      <c r="D2845" t="s">
        <v>9411</v>
      </c>
      <c r="E2845" s="148" t="s">
        <v>9412</v>
      </c>
      <c r="F2845" t="s">
        <v>9413</v>
      </c>
      <c r="G2845" s="148" t="s">
        <v>9997</v>
      </c>
      <c r="H2845" t="s">
        <v>9998</v>
      </c>
      <c r="I2845" s="148" t="s">
        <v>10823</v>
      </c>
      <c r="J2845" t="s">
        <v>10824</v>
      </c>
      <c r="K2845" s="148" t="s">
        <v>10825</v>
      </c>
      <c r="L2845" t="s">
        <v>10826</v>
      </c>
      <c r="M2845" s="1" t="s">
        <v>11181</v>
      </c>
      <c r="N2845" s="1"/>
      <c r="O2845" s="1">
        <v>1</v>
      </c>
      <c r="P2845" s="3">
        <v>1</v>
      </c>
      <c r="Q2845" s="3">
        <v>1</v>
      </c>
      <c r="R2845" s="3">
        <v>1</v>
      </c>
      <c r="S2845" s="3">
        <v>1</v>
      </c>
      <c r="T2845" t="s">
        <v>3643</v>
      </c>
      <c r="U2845" t="s">
        <v>3630</v>
      </c>
      <c r="V2845" t="s">
        <v>11182</v>
      </c>
      <c r="W2845" s="45">
        <v>0</v>
      </c>
      <c r="X2845" s="45">
        <v>0</v>
      </c>
      <c r="Y2845" s="45">
        <v>0</v>
      </c>
      <c r="Z2845" s="45">
        <v>0</v>
      </c>
      <c r="AA2845" s="45">
        <v>0</v>
      </c>
      <c r="AB2845" s="45">
        <v>0</v>
      </c>
      <c r="AC2845" s="150">
        <v>0</v>
      </c>
      <c r="AD2845" s="150">
        <v>0</v>
      </c>
      <c r="AE2845" s="49">
        <f t="shared" si="113"/>
        <v>0</v>
      </c>
      <c r="AF2845" s="17"/>
      <c r="AG2845" s="17">
        <v>0</v>
      </c>
      <c r="AH2845" s="17">
        <v>0</v>
      </c>
      <c r="AI2845" s="17">
        <v>0</v>
      </c>
      <c r="AJ2845" s="17">
        <v>0</v>
      </c>
      <c r="AK2845" s="153">
        <v>0</v>
      </c>
      <c r="AL2845" s="154">
        <v>0</v>
      </c>
      <c r="AM2845" s="147">
        <f t="shared" si="112"/>
        <v>0</v>
      </c>
      <c r="AN2845" t="s">
        <v>3643</v>
      </c>
      <c r="AO2845" s="18" t="s">
        <v>3630</v>
      </c>
      <c r="AP2845" t="s">
        <v>11183</v>
      </c>
    </row>
    <row r="2846" spans="1:42" customFormat="1" x14ac:dyDescent="0.3">
      <c r="A2846" s="148" t="s">
        <v>8319</v>
      </c>
      <c r="B2846" t="s">
        <v>8320</v>
      </c>
      <c r="C2846" s="148" t="s">
        <v>9410</v>
      </c>
      <c r="D2846" t="s">
        <v>9411</v>
      </c>
      <c r="E2846" s="148" t="s">
        <v>9412</v>
      </c>
      <c r="F2846" t="s">
        <v>9413</v>
      </c>
      <c r="G2846" s="148" t="s">
        <v>9997</v>
      </c>
      <c r="H2846" t="s">
        <v>9998</v>
      </c>
      <c r="I2846" s="148" t="s">
        <v>10326</v>
      </c>
      <c r="J2846" t="s">
        <v>10327</v>
      </c>
      <c r="K2846" s="148" t="s">
        <v>10328</v>
      </c>
      <c r="L2846" t="s">
        <v>10329</v>
      </c>
      <c r="M2846" s="1" t="s">
        <v>11184</v>
      </c>
      <c r="N2846" s="1"/>
      <c r="O2846" s="1">
        <v>1</v>
      </c>
      <c r="P2846" s="3">
        <v>0</v>
      </c>
      <c r="Q2846" s="3">
        <v>0</v>
      </c>
      <c r="R2846" s="3">
        <v>0</v>
      </c>
      <c r="S2846" s="3">
        <v>0</v>
      </c>
      <c r="T2846" t="s">
        <v>11185</v>
      </c>
      <c r="U2846" t="e">
        <v>#N/A</v>
      </c>
      <c r="V2846" t="s">
        <v>11186</v>
      </c>
      <c r="W2846" s="45"/>
      <c r="X2846" s="45">
        <v>0</v>
      </c>
      <c r="Y2846" s="45">
        <v>0</v>
      </c>
      <c r="Z2846" s="45">
        <v>0</v>
      </c>
      <c r="AA2846" s="45">
        <v>0</v>
      </c>
      <c r="AB2846" s="45">
        <v>0</v>
      </c>
      <c r="AC2846" s="150">
        <v>0</v>
      </c>
      <c r="AD2846" s="150">
        <v>0</v>
      </c>
      <c r="AE2846" s="49">
        <f t="shared" si="113"/>
        <v>0</v>
      </c>
      <c r="AF2846" s="44"/>
      <c r="AG2846" s="17">
        <v>0</v>
      </c>
      <c r="AH2846" s="44">
        <v>0.1</v>
      </c>
      <c r="AI2846" s="44">
        <v>0</v>
      </c>
      <c r="AJ2846" s="44">
        <v>0</v>
      </c>
      <c r="AK2846" s="151">
        <v>0</v>
      </c>
      <c r="AL2846" s="151">
        <v>0</v>
      </c>
      <c r="AM2846" s="147">
        <f t="shared" si="112"/>
        <v>0</v>
      </c>
      <c r="AN2846" t="s">
        <v>3643</v>
      </c>
      <c r="AO2846" s="18" t="s">
        <v>3630</v>
      </c>
      <c r="AP2846" t="s">
        <v>4159</v>
      </c>
    </row>
    <row r="2847" spans="1:42" customFormat="1" x14ac:dyDescent="0.3">
      <c r="A2847" s="148" t="s">
        <v>8319</v>
      </c>
      <c r="B2847" t="s">
        <v>8320</v>
      </c>
      <c r="C2847" s="148" t="s">
        <v>9410</v>
      </c>
      <c r="D2847" t="s">
        <v>9411</v>
      </c>
      <c r="E2847" s="148" t="s">
        <v>9412</v>
      </c>
      <c r="F2847" t="s">
        <v>9413</v>
      </c>
      <c r="G2847" s="148" t="s">
        <v>9997</v>
      </c>
      <c r="H2847" t="s">
        <v>9998</v>
      </c>
      <c r="I2847" s="148" t="s">
        <v>10326</v>
      </c>
      <c r="J2847" t="s">
        <v>10327</v>
      </c>
      <c r="K2847" s="148" t="s">
        <v>10328</v>
      </c>
      <c r="L2847" t="s">
        <v>10329</v>
      </c>
      <c r="M2847" s="1"/>
      <c r="N2847" s="1"/>
      <c r="O2847" s="1"/>
      <c r="P2847" s="3"/>
      <c r="Q2847" s="3"/>
      <c r="R2847" s="3"/>
      <c r="S2847" s="3"/>
      <c r="U2847" t="e">
        <v>#N/A</v>
      </c>
      <c r="V2847" t="s">
        <v>11187</v>
      </c>
      <c r="W2847" s="45">
        <v>0</v>
      </c>
      <c r="X2847" s="45">
        <v>0</v>
      </c>
      <c r="Y2847" s="45">
        <v>0</v>
      </c>
      <c r="Z2847" s="45">
        <v>0</v>
      </c>
      <c r="AA2847" s="45">
        <v>0</v>
      </c>
      <c r="AB2847" s="45">
        <v>0</v>
      </c>
      <c r="AC2847" s="150">
        <v>0</v>
      </c>
      <c r="AD2847" s="150">
        <v>0</v>
      </c>
      <c r="AE2847" s="49">
        <f t="shared" si="113"/>
        <v>0</v>
      </c>
      <c r="AF2847" s="17"/>
      <c r="AG2847" s="17">
        <v>0</v>
      </c>
      <c r="AH2847" s="17">
        <v>0</v>
      </c>
      <c r="AI2847" s="17">
        <v>0</v>
      </c>
      <c r="AJ2847" s="17">
        <v>0</v>
      </c>
      <c r="AK2847" s="153">
        <v>0</v>
      </c>
      <c r="AL2847" s="154">
        <v>0</v>
      </c>
      <c r="AM2847" s="147">
        <f t="shared" si="112"/>
        <v>0</v>
      </c>
      <c r="AN2847" s="44" t="s">
        <v>771</v>
      </c>
      <c r="AO2847" s="18" t="s">
        <v>773</v>
      </c>
      <c r="AP2847" t="s">
        <v>11188</v>
      </c>
    </row>
    <row r="2848" spans="1:42" customFormat="1" x14ac:dyDescent="0.3">
      <c r="A2848" s="148" t="s">
        <v>8319</v>
      </c>
      <c r="B2848" t="s">
        <v>8320</v>
      </c>
      <c r="C2848" s="148" t="s">
        <v>9410</v>
      </c>
      <c r="D2848" t="s">
        <v>9411</v>
      </c>
      <c r="E2848" s="148" t="s">
        <v>9412</v>
      </c>
      <c r="F2848" t="s">
        <v>9413</v>
      </c>
      <c r="G2848" s="148" t="s">
        <v>9997</v>
      </c>
      <c r="H2848" t="s">
        <v>9998</v>
      </c>
      <c r="I2848" s="148" t="s">
        <v>10326</v>
      </c>
      <c r="J2848" t="s">
        <v>10327</v>
      </c>
      <c r="K2848" s="148" t="s">
        <v>10328</v>
      </c>
      <c r="L2848" t="s">
        <v>10329</v>
      </c>
      <c r="M2848" s="1"/>
      <c r="N2848" s="1"/>
      <c r="O2848" s="1"/>
      <c r="P2848" s="3"/>
      <c r="Q2848" s="3"/>
      <c r="R2848" s="3"/>
      <c r="S2848" s="3"/>
      <c r="U2848" t="e">
        <v>#N/A</v>
      </c>
      <c r="V2848" t="s">
        <v>11189</v>
      </c>
      <c r="W2848" s="45">
        <v>0</v>
      </c>
      <c r="X2848" s="45">
        <v>0</v>
      </c>
      <c r="Y2848" s="45">
        <v>0</v>
      </c>
      <c r="Z2848" s="45">
        <v>0</v>
      </c>
      <c r="AA2848" s="45">
        <v>0</v>
      </c>
      <c r="AB2848" s="45">
        <v>0</v>
      </c>
      <c r="AC2848" s="150">
        <v>0</v>
      </c>
      <c r="AD2848" s="150">
        <v>0</v>
      </c>
      <c r="AE2848" s="49">
        <f t="shared" si="113"/>
        <v>0</v>
      </c>
      <c r="AF2848" s="44"/>
      <c r="AG2848" s="17">
        <v>0</v>
      </c>
      <c r="AH2848" s="44">
        <v>0</v>
      </c>
      <c r="AI2848" s="44">
        <v>0</v>
      </c>
      <c r="AJ2848" s="44">
        <v>0</v>
      </c>
      <c r="AK2848" s="151">
        <v>0</v>
      </c>
      <c r="AL2848" s="151">
        <v>0</v>
      </c>
      <c r="AM2848" s="147">
        <f t="shared" si="112"/>
        <v>0</v>
      </c>
      <c r="AN2848" s="18" t="s">
        <v>771</v>
      </c>
      <c r="AO2848" s="18" t="s">
        <v>773</v>
      </c>
      <c r="AP2848" t="s">
        <v>11188</v>
      </c>
    </row>
    <row r="2849" spans="1:42" customFormat="1" x14ac:dyDescent="0.3">
      <c r="A2849" s="148" t="s">
        <v>8319</v>
      </c>
      <c r="B2849" t="s">
        <v>8320</v>
      </c>
      <c r="C2849" s="148" t="s">
        <v>9410</v>
      </c>
      <c r="D2849" t="s">
        <v>9411</v>
      </c>
      <c r="E2849" s="148" t="s">
        <v>9412</v>
      </c>
      <c r="F2849" t="s">
        <v>9413</v>
      </c>
      <c r="G2849" s="148" t="s">
        <v>9997</v>
      </c>
      <c r="H2849" t="s">
        <v>9998</v>
      </c>
      <c r="I2849" s="148" t="s">
        <v>9999</v>
      </c>
      <c r="J2849" t="s">
        <v>10000</v>
      </c>
      <c r="K2849" s="148" t="s">
        <v>10001</v>
      </c>
      <c r="L2849" t="s">
        <v>10002</v>
      </c>
      <c r="M2849" s="1" t="s">
        <v>11190</v>
      </c>
      <c r="N2849" s="1" t="s">
        <v>271</v>
      </c>
      <c r="O2849" s="1">
        <v>4</v>
      </c>
      <c r="P2849" s="3">
        <v>4</v>
      </c>
      <c r="Q2849" s="3">
        <v>4</v>
      </c>
      <c r="R2849" s="3">
        <v>4</v>
      </c>
      <c r="S2849" s="3">
        <v>4</v>
      </c>
      <c r="T2849" t="s">
        <v>3643</v>
      </c>
      <c r="U2849" t="s">
        <v>3630</v>
      </c>
      <c r="V2849" t="s">
        <v>11191</v>
      </c>
      <c r="W2849" s="45">
        <v>0</v>
      </c>
      <c r="X2849" s="45">
        <v>0</v>
      </c>
      <c r="Y2849" s="45">
        <v>0</v>
      </c>
      <c r="Z2849" s="45">
        <v>0</v>
      </c>
      <c r="AA2849" s="45">
        <v>0</v>
      </c>
      <c r="AB2849" s="45">
        <v>0</v>
      </c>
      <c r="AC2849" s="150">
        <v>0</v>
      </c>
      <c r="AD2849" s="150">
        <v>0</v>
      </c>
      <c r="AE2849" s="49">
        <f t="shared" si="113"/>
        <v>0</v>
      </c>
      <c r="AF2849" s="44"/>
      <c r="AG2849" s="17">
        <v>0</v>
      </c>
      <c r="AH2849" s="44">
        <v>1</v>
      </c>
      <c r="AI2849" s="44">
        <v>0.5</v>
      </c>
      <c r="AJ2849" s="44">
        <v>0.5</v>
      </c>
      <c r="AK2849" s="151">
        <v>0.5</v>
      </c>
      <c r="AL2849" s="151">
        <v>0.5</v>
      </c>
      <c r="AM2849" s="147">
        <f t="shared" si="112"/>
        <v>1</v>
      </c>
      <c r="AN2849" t="s">
        <v>3643</v>
      </c>
      <c r="AO2849" s="18" t="s">
        <v>3630</v>
      </c>
      <c r="AP2849" t="s">
        <v>119</v>
      </c>
    </row>
    <row r="2850" spans="1:42" customFormat="1" x14ac:dyDescent="0.3">
      <c r="A2850" s="148" t="s">
        <v>8319</v>
      </c>
      <c r="B2850" t="s">
        <v>8320</v>
      </c>
      <c r="C2850" s="148" t="s">
        <v>9410</v>
      </c>
      <c r="D2850" t="s">
        <v>9411</v>
      </c>
      <c r="E2850" s="148" t="s">
        <v>9412</v>
      </c>
      <c r="F2850" t="s">
        <v>9413</v>
      </c>
      <c r="G2850" s="148" t="s">
        <v>9997</v>
      </c>
      <c r="H2850" t="s">
        <v>9998</v>
      </c>
      <c r="I2850" s="148" t="s">
        <v>9999</v>
      </c>
      <c r="J2850" t="s">
        <v>10000</v>
      </c>
      <c r="K2850" s="148" t="s">
        <v>10001</v>
      </c>
      <c r="L2850" t="s">
        <v>10002</v>
      </c>
      <c r="M2850" s="1" t="s">
        <v>11192</v>
      </c>
      <c r="N2850" s="1" t="s">
        <v>9365</v>
      </c>
      <c r="O2850" s="1">
        <v>40</v>
      </c>
      <c r="P2850" s="3">
        <v>50</v>
      </c>
      <c r="Q2850" s="3">
        <v>60</v>
      </c>
      <c r="R2850" s="3">
        <v>70</v>
      </c>
      <c r="S2850" s="3">
        <v>75</v>
      </c>
      <c r="T2850" t="s">
        <v>3643</v>
      </c>
      <c r="U2850" t="s">
        <v>3630</v>
      </c>
      <c r="V2850" t="s">
        <v>11193</v>
      </c>
      <c r="W2850" s="45">
        <v>0</v>
      </c>
      <c r="X2850" s="45">
        <v>0</v>
      </c>
      <c r="Y2850" s="45">
        <v>0</v>
      </c>
      <c r="Z2850" s="45">
        <v>0</v>
      </c>
      <c r="AA2850" s="45">
        <v>0</v>
      </c>
      <c r="AB2850" s="45">
        <v>0</v>
      </c>
      <c r="AC2850" s="150">
        <v>0</v>
      </c>
      <c r="AD2850" s="150">
        <v>0</v>
      </c>
      <c r="AE2850" s="49">
        <f t="shared" si="113"/>
        <v>0</v>
      </c>
      <c r="AF2850" s="17"/>
      <c r="AG2850" s="17">
        <v>0</v>
      </c>
      <c r="AH2850" s="17">
        <v>0</v>
      </c>
      <c r="AI2850" s="17">
        <v>0</v>
      </c>
      <c r="AJ2850" s="17">
        <v>0</v>
      </c>
      <c r="AK2850" s="153">
        <v>0</v>
      </c>
      <c r="AL2850" s="154">
        <v>0</v>
      </c>
      <c r="AM2850" s="147">
        <f t="shared" si="112"/>
        <v>0</v>
      </c>
      <c r="AN2850" t="s">
        <v>3643</v>
      </c>
      <c r="AO2850" s="18" t="s">
        <v>3630</v>
      </c>
      <c r="AP2850" t="s">
        <v>119</v>
      </c>
    </row>
    <row r="2851" spans="1:42" customFormat="1" x14ac:dyDescent="0.3">
      <c r="A2851" s="148" t="s">
        <v>8319</v>
      </c>
      <c r="B2851" t="s">
        <v>8320</v>
      </c>
      <c r="C2851" s="148" t="s">
        <v>9410</v>
      </c>
      <c r="D2851" t="s">
        <v>9411</v>
      </c>
      <c r="E2851" s="148" t="s">
        <v>9412</v>
      </c>
      <c r="F2851" t="s">
        <v>9413</v>
      </c>
      <c r="G2851" s="148" t="s">
        <v>9997</v>
      </c>
      <c r="H2851" t="s">
        <v>9998</v>
      </c>
      <c r="I2851" s="148" t="s">
        <v>9999</v>
      </c>
      <c r="J2851" t="s">
        <v>10000</v>
      </c>
      <c r="K2851" s="148" t="s">
        <v>10001</v>
      </c>
      <c r="L2851" t="s">
        <v>10002</v>
      </c>
      <c r="M2851" s="1" t="s">
        <v>11194</v>
      </c>
      <c r="N2851" s="1"/>
      <c r="O2851" s="1">
        <v>87</v>
      </c>
      <c r="P2851" s="3">
        <v>90</v>
      </c>
      <c r="Q2851" s="3">
        <v>92</v>
      </c>
      <c r="R2851" s="3">
        <v>95</v>
      </c>
      <c r="S2851" s="3">
        <v>98</v>
      </c>
      <c r="T2851" t="s">
        <v>9368</v>
      </c>
      <c r="U2851" t="e">
        <v>#N/A</v>
      </c>
      <c r="V2851" t="s">
        <v>11195</v>
      </c>
      <c r="W2851" s="45">
        <v>0</v>
      </c>
      <c r="X2851" s="45">
        <v>0</v>
      </c>
      <c r="Y2851" s="45">
        <v>0</v>
      </c>
      <c r="Z2851" s="45">
        <v>0</v>
      </c>
      <c r="AA2851" s="45">
        <v>0</v>
      </c>
      <c r="AB2851" s="45">
        <v>0</v>
      </c>
      <c r="AC2851" s="150">
        <v>0</v>
      </c>
      <c r="AD2851" s="150">
        <v>0</v>
      </c>
      <c r="AE2851" s="49">
        <f t="shared" si="113"/>
        <v>0</v>
      </c>
      <c r="AF2851" s="17"/>
      <c r="AG2851" s="17">
        <v>0</v>
      </c>
      <c r="AH2851" s="17">
        <v>0</v>
      </c>
      <c r="AI2851" s="17">
        <v>0</v>
      </c>
      <c r="AJ2851" s="17">
        <v>0</v>
      </c>
      <c r="AK2851" s="153">
        <v>0</v>
      </c>
      <c r="AL2851" s="154">
        <v>0</v>
      </c>
      <c r="AM2851" s="147">
        <f t="shared" si="112"/>
        <v>0</v>
      </c>
      <c r="AN2851" t="s">
        <v>3643</v>
      </c>
      <c r="AO2851" s="18" t="s">
        <v>3630</v>
      </c>
      <c r="AP2851" t="s">
        <v>255</v>
      </c>
    </row>
    <row r="2852" spans="1:42" customFormat="1" x14ac:dyDescent="0.3">
      <c r="A2852" s="148" t="s">
        <v>8319</v>
      </c>
      <c r="B2852" t="s">
        <v>8320</v>
      </c>
      <c r="C2852" s="148" t="s">
        <v>9410</v>
      </c>
      <c r="D2852" t="s">
        <v>9411</v>
      </c>
      <c r="E2852" s="148" t="s">
        <v>9412</v>
      </c>
      <c r="F2852" t="s">
        <v>9413</v>
      </c>
      <c r="G2852" s="148" t="s">
        <v>9997</v>
      </c>
      <c r="H2852" t="s">
        <v>9998</v>
      </c>
      <c r="I2852" s="148" t="s">
        <v>9999</v>
      </c>
      <c r="J2852" t="s">
        <v>10000</v>
      </c>
      <c r="K2852" s="148" t="s">
        <v>10001</v>
      </c>
      <c r="L2852" t="s">
        <v>10002</v>
      </c>
      <c r="M2852" s="1"/>
      <c r="N2852" s="1"/>
      <c r="O2852" s="1"/>
      <c r="P2852" s="3"/>
      <c r="Q2852" s="3"/>
      <c r="R2852" s="3"/>
      <c r="S2852" s="3"/>
      <c r="U2852" t="e">
        <v>#N/A</v>
      </c>
      <c r="V2852" t="s">
        <v>11196</v>
      </c>
      <c r="W2852" s="45">
        <v>0</v>
      </c>
      <c r="X2852" s="45">
        <v>0</v>
      </c>
      <c r="Y2852" s="45">
        <v>0</v>
      </c>
      <c r="Z2852" s="45">
        <v>0</v>
      </c>
      <c r="AA2852" s="45">
        <v>0</v>
      </c>
      <c r="AB2852" s="45">
        <v>0</v>
      </c>
      <c r="AC2852" s="150">
        <v>0</v>
      </c>
      <c r="AD2852" s="150">
        <v>0</v>
      </c>
      <c r="AE2852" s="49">
        <f t="shared" si="113"/>
        <v>0</v>
      </c>
      <c r="AF2852" s="17"/>
      <c r="AG2852" s="17">
        <v>0</v>
      </c>
      <c r="AH2852" s="17">
        <v>0</v>
      </c>
      <c r="AI2852" s="17">
        <v>0</v>
      </c>
      <c r="AJ2852" s="17">
        <v>0</v>
      </c>
      <c r="AK2852" s="153">
        <v>0</v>
      </c>
      <c r="AL2852" s="154">
        <v>0</v>
      </c>
      <c r="AM2852" s="147">
        <f t="shared" si="112"/>
        <v>0</v>
      </c>
      <c r="AN2852" t="s">
        <v>3643</v>
      </c>
      <c r="AO2852" s="18" t="s">
        <v>3630</v>
      </c>
      <c r="AP2852" t="s">
        <v>255</v>
      </c>
    </row>
    <row r="2853" spans="1:42" customFormat="1" x14ac:dyDescent="0.3">
      <c r="A2853" s="148" t="s">
        <v>8319</v>
      </c>
      <c r="B2853" t="s">
        <v>8320</v>
      </c>
      <c r="C2853" s="148" t="s">
        <v>9410</v>
      </c>
      <c r="D2853" t="s">
        <v>9411</v>
      </c>
      <c r="E2853" s="148" t="s">
        <v>9412</v>
      </c>
      <c r="F2853" t="s">
        <v>9413</v>
      </c>
      <c r="G2853" s="148" t="s">
        <v>9997</v>
      </c>
      <c r="H2853" t="s">
        <v>9998</v>
      </c>
      <c r="I2853" s="148" t="s">
        <v>9999</v>
      </c>
      <c r="J2853" t="s">
        <v>10000</v>
      </c>
      <c r="K2853" s="148" t="s">
        <v>10001</v>
      </c>
      <c r="L2853" t="s">
        <v>10002</v>
      </c>
      <c r="M2853" s="1"/>
      <c r="N2853" s="1"/>
      <c r="O2853" s="1"/>
      <c r="P2853" s="3"/>
      <c r="Q2853" s="3"/>
      <c r="R2853" s="3"/>
      <c r="S2853" s="3"/>
      <c r="U2853" t="e">
        <v>#N/A</v>
      </c>
      <c r="V2853" t="s">
        <v>11197</v>
      </c>
      <c r="W2853" s="45">
        <v>0</v>
      </c>
      <c r="X2853" s="45">
        <v>0</v>
      </c>
      <c r="Y2853" s="45">
        <v>0</v>
      </c>
      <c r="Z2853" s="45">
        <v>0</v>
      </c>
      <c r="AA2853" s="45">
        <v>0</v>
      </c>
      <c r="AB2853" s="45">
        <v>0</v>
      </c>
      <c r="AC2853" s="150">
        <v>0</v>
      </c>
      <c r="AD2853" s="150">
        <v>0</v>
      </c>
      <c r="AE2853" s="49">
        <f t="shared" si="113"/>
        <v>0</v>
      </c>
      <c r="AF2853" s="17"/>
      <c r="AG2853" s="17">
        <v>0</v>
      </c>
      <c r="AH2853" s="17">
        <v>0</v>
      </c>
      <c r="AI2853" s="17">
        <v>0</v>
      </c>
      <c r="AJ2853" s="17">
        <v>0</v>
      </c>
      <c r="AK2853" s="153">
        <v>0</v>
      </c>
      <c r="AL2853" s="154">
        <v>0</v>
      </c>
      <c r="AM2853" s="147">
        <f t="shared" ref="AM2853:AM2916" si="114">SUM(AK2853:AL2853)</f>
        <v>0</v>
      </c>
      <c r="AN2853" t="s">
        <v>3643</v>
      </c>
      <c r="AO2853" s="18" t="s">
        <v>3630</v>
      </c>
      <c r="AP2853" t="s">
        <v>10006</v>
      </c>
    </row>
    <row r="2854" spans="1:42" customFormat="1" x14ac:dyDescent="0.3">
      <c r="A2854" s="148" t="s">
        <v>8319</v>
      </c>
      <c r="B2854" t="s">
        <v>8320</v>
      </c>
      <c r="C2854" s="148" t="s">
        <v>9410</v>
      </c>
      <c r="D2854" t="s">
        <v>9411</v>
      </c>
      <c r="E2854" s="148" t="s">
        <v>9412</v>
      </c>
      <c r="F2854" t="s">
        <v>9413</v>
      </c>
      <c r="G2854" s="148" t="s">
        <v>9997</v>
      </c>
      <c r="H2854" t="s">
        <v>9998</v>
      </c>
      <c r="I2854" s="148" t="s">
        <v>9999</v>
      </c>
      <c r="J2854" t="s">
        <v>10000</v>
      </c>
      <c r="K2854" s="148" t="s">
        <v>10001</v>
      </c>
      <c r="L2854" t="s">
        <v>10002</v>
      </c>
      <c r="M2854" s="1"/>
      <c r="N2854" s="1"/>
      <c r="O2854" s="1"/>
      <c r="P2854" s="3"/>
      <c r="Q2854" s="3"/>
      <c r="R2854" s="3"/>
      <c r="S2854" s="3"/>
      <c r="U2854" t="e">
        <v>#N/A</v>
      </c>
      <c r="V2854" t="s">
        <v>11198</v>
      </c>
      <c r="W2854" s="45">
        <v>0</v>
      </c>
      <c r="X2854" s="45">
        <v>0</v>
      </c>
      <c r="Y2854" s="45">
        <v>0</v>
      </c>
      <c r="Z2854" s="45">
        <v>0</v>
      </c>
      <c r="AA2854" s="45">
        <v>0</v>
      </c>
      <c r="AB2854" s="45">
        <v>0</v>
      </c>
      <c r="AC2854" s="150">
        <v>0</v>
      </c>
      <c r="AD2854" s="150">
        <v>0</v>
      </c>
      <c r="AE2854" s="49">
        <f t="shared" si="113"/>
        <v>0</v>
      </c>
      <c r="AF2854" s="17"/>
      <c r="AG2854" s="17">
        <v>0</v>
      </c>
      <c r="AH2854" s="17">
        <v>0</v>
      </c>
      <c r="AI2854" s="17">
        <v>0</v>
      </c>
      <c r="AJ2854" s="17">
        <v>0</v>
      </c>
      <c r="AK2854" s="153">
        <v>0</v>
      </c>
      <c r="AL2854" s="154">
        <v>0</v>
      </c>
      <c r="AM2854" s="147">
        <f t="shared" si="114"/>
        <v>0</v>
      </c>
      <c r="AN2854" t="s">
        <v>3643</v>
      </c>
      <c r="AO2854" s="18" t="s">
        <v>3630</v>
      </c>
      <c r="AP2854" t="s">
        <v>11199</v>
      </c>
    </row>
    <row r="2855" spans="1:42" customFormat="1" x14ac:dyDescent="0.3">
      <c r="A2855" s="148" t="s">
        <v>8319</v>
      </c>
      <c r="B2855" t="s">
        <v>8320</v>
      </c>
      <c r="C2855" s="148" t="s">
        <v>9410</v>
      </c>
      <c r="D2855" t="s">
        <v>9411</v>
      </c>
      <c r="E2855" s="148" t="s">
        <v>9412</v>
      </c>
      <c r="F2855" t="s">
        <v>9413</v>
      </c>
      <c r="G2855" s="148" t="s">
        <v>9463</v>
      </c>
      <c r="H2855" t="s">
        <v>9464</v>
      </c>
      <c r="I2855" s="148" t="s">
        <v>9465</v>
      </c>
      <c r="J2855" t="s">
        <v>9466</v>
      </c>
      <c r="K2855" s="148" t="s">
        <v>11200</v>
      </c>
      <c r="L2855" t="s">
        <v>11201</v>
      </c>
      <c r="M2855" s="1"/>
      <c r="N2855" s="1"/>
      <c r="O2855" s="1"/>
      <c r="P2855" s="3"/>
      <c r="Q2855" s="3"/>
      <c r="R2855" s="3"/>
      <c r="S2855" s="3"/>
      <c r="U2855" t="e">
        <v>#N/A</v>
      </c>
      <c r="V2855" t="s">
        <v>11202</v>
      </c>
      <c r="W2855" s="45">
        <v>0</v>
      </c>
      <c r="X2855" s="45">
        <v>0</v>
      </c>
      <c r="Y2855" s="45">
        <v>0</v>
      </c>
      <c r="Z2855" s="45">
        <v>0</v>
      </c>
      <c r="AA2855" s="45">
        <v>0</v>
      </c>
      <c r="AB2855" s="45">
        <v>0</v>
      </c>
      <c r="AC2855" s="150">
        <v>0</v>
      </c>
      <c r="AD2855" s="150">
        <v>0</v>
      </c>
      <c r="AE2855" s="49">
        <f t="shared" si="113"/>
        <v>0</v>
      </c>
      <c r="AF2855" s="17"/>
      <c r="AG2855" s="17">
        <v>0</v>
      </c>
      <c r="AH2855" s="17">
        <v>0</v>
      </c>
      <c r="AI2855" s="17">
        <v>0</v>
      </c>
      <c r="AJ2855" s="17">
        <v>0</v>
      </c>
      <c r="AK2855" s="153">
        <v>0</v>
      </c>
      <c r="AL2855" s="154">
        <v>0</v>
      </c>
      <c r="AM2855" s="147">
        <f t="shared" si="114"/>
        <v>0</v>
      </c>
      <c r="AN2855" s="18" t="s">
        <v>407</v>
      </c>
      <c r="AO2855" s="18" t="s">
        <v>409</v>
      </c>
      <c r="AP2855" t="s">
        <v>9426</v>
      </c>
    </row>
    <row r="2856" spans="1:42" customFormat="1" x14ac:dyDescent="0.3">
      <c r="A2856" s="148" t="s">
        <v>8319</v>
      </c>
      <c r="B2856" t="s">
        <v>8320</v>
      </c>
      <c r="C2856" s="148" t="s">
        <v>9410</v>
      </c>
      <c r="D2856" t="s">
        <v>9411</v>
      </c>
      <c r="E2856" s="148" t="s">
        <v>9412</v>
      </c>
      <c r="F2856" t="s">
        <v>9413</v>
      </c>
      <c r="G2856" s="148" t="s">
        <v>9463</v>
      </c>
      <c r="H2856" t="s">
        <v>9464</v>
      </c>
      <c r="I2856" s="148" t="s">
        <v>9465</v>
      </c>
      <c r="J2856" t="s">
        <v>9466</v>
      </c>
      <c r="K2856" s="148" t="s">
        <v>11203</v>
      </c>
      <c r="L2856" t="s">
        <v>11204</v>
      </c>
      <c r="M2856" s="1" t="s">
        <v>11205</v>
      </c>
      <c r="N2856" s="1"/>
      <c r="O2856" s="1">
        <v>20</v>
      </c>
      <c r="P2856" s="3">
        <v>40</v>
      </c>
      <c r="Q2856" s="3">
        <v>50</v>
      </c>
      <c r="R2856" s="3">
        <v>60</v>
      </c>
      <c r="S2856" s="3">
        <v>70</v>
      </c>
      <c r="T2856" t="s">
        <v>407</v>
      </c>
      <c r="U2856" t="s">
        <v>409</v>
      </c>
      <c r="V2856" t="s">
        <v>11206</v>
      </c>
      <c r="W2856" s="45">
        <v>0</v>
      </c>
      <c r="X2856" s="45">
        <v>0</v>
      </c>
      <c r="Y2856" s="45">
        <v>0</v>
      </c>
      <c r="Z2856" s="45">
        <v>0</v>
      </c>
      <c r="AA2856" s="45">
        <v>0</v>
      </c>
      <c r="AB2856" s="45">
        <v>0</v>
      </c>
      <c r="AC2856" s="150">
        <v>0</v>
      </c>
      <c r="AD2856" s="150">
        <v>0</v>
      </c>
      <c r="AE2856" s="49">
        <f t="shared" ref="AE2856:AE2919" si="115">SUM(W2856:AD2856)/8</f>
        <v>0</v>
      </c>
      <c r="AF2856" s="17"/>
      <c r="AG2856" s="17">
        <v>0</v>
      </c>
      <c r="AH2856" s="17">
        <v>0</v>
      </c>
      <c r="AI2856" s="17">
        <v>0</v>
      </c>
      <c r="AJ2856" s="17">
        <v>0</v>
      </c>
      <c r="AK2856" s="153">
        <v>2</v>
      </c>
      <c r="AL2856" s="154">
        <v>0</v>
      </c>
      <c r="AM2856" s="147">
        <f t="shared" si="114"/>
        <v>2</v>
      </c>
      <c r="AN2856" s="18" t="s">
        <v>407</v>
      </c>
      <c r="AO2856" s="18" t="s">
        <v>409</v>
      </c>
      <c r="AP2856" t="s">
        <v>9647</v>
      </c>
    </row>
    <row r="2857" spans="1:42" customFormat="1" x14ac:dyDescent="0.3">
      <c r="A2857" s="148" t="s">
        <v>8319</v>
      </c>
      <c r="B2857" t="s">
        <v>8320</v>
      </c>
      <c r="C2857" s="148" t="s">
        <v>9410</v>
      </c>
      <c r="D2857" t="s">
        <v>9411</v>
      </c>
      <c r="E2857" s="148" t="s">
        <v>9412</v>
      </c>
      <c r="F2857" t="s">
        <v>9413</v>
      </c>
      <c r="G2857" s="148" t="s">
        <v>9463</v>
      </c>
      <c r="H2857" t="s">
        <v>9464</v>
      </c>
      <c r="I2857" s="148" t="s">
        <v>9465</v>
      </c>
      <c r="J2857" t="s">
        <v>9466</v>
      </c>
      <c r="K2857" s="148" t="s">
        <v>11203</v>
      </c>
      <c r="L2857" t="s">
        <v>11204</v>
      </c>
      <c r="M2857" s="1" t="s">
        <v>11207</v>
      </c>
      <c r="N2857" s="1"/>
      <c r="O2857" s="1">
        <v>70</v>
      </c>
      <c r="P2857" s="3">
        <v>140</v>
      </c>
      <c r="Q2857" s="3">
        <v>200</v>
      </c>
      <c r="R2857" s="3">
        <v>260</v>
      </c>
      <c r="S2857" s="3">
        <v>320</v>
      </c>
      <c r="T2857" t="s">
        <v>407</v>
      </c>
      <c r="U2857" t="s">
        <v>409</v>
      </c>
      <c r="V2857" t="s">
        <v>11208</v>
      </c>
      <c r="W2857" s="45"/>
      <c r="X2857" s="45"/>
      <c r="Y2857" s="45"/>
      <c r="Z2857" s="45"/>
      <c r="AA2857" s="45"/>
      <c r="AB2857" s="45"/>
      <c r="AC2857" s="150">
        <v>0</v>
      </c>
      <c r="AD2857" s="150">
        <v>0</v>
      </c>
      <c r="AE2857" s="49">
        <f t="shared" si="115"/>
        <v>0</v>
      </c>
      <c r="AF2857" s="17"/>
      <c r="AG2857" s="17">
        <v>0</v>
      </c>
      <c r="AH2857" s="17">
        <v>0</v>
      </c>
      <c r="AI2857" s="17">
        <v>0</v>
      </c>
      <c r="AJ2857" s="17">
        <v>0</v>
      </c>
      <c r="AK2857" s="153">
        <v>2</v>
      </c>
      <c r="AL2857" s="154">
        <v>0</v>
      </c>
      <c r="AM2857" s="147">
        <f t="shared" si="114"/>
        <v>2</v>
      </c>
      <c r="AN2857" s="44" t="s">
        <v>11209</v>
      </c>
      <c r="AO2857" s="18" t="s">
        <v>409</v>
      </c>
      <c r="AP2857" t="s">
        <v>9647</v>
      </c>
    </row>
    <row r="2858" spans="1:42" customFormat="1" x14ac:dyDescent="0.3">
      <c r="A2858" s="148" t="s">
        <v>8319</v>
      </c>
      <c r="B2858" t="s">
        <v>8320</v>
      </c>
      <c r="C2858" s="148" t="s">
        <v>9410</v>
      </c>
      <c r="D2858" t="s">
        <v>9411</v>
      </c>
      <c r="E2858" s="148" t="s">
        <v>9412</v>
      </c>
      <c r="F2858" t="s">
        <v>9413</v>
      </c>
      <c r="G2858" s="148" t="s">
        <v>9463</v>
      </c>
      <c r="H2858" t="s">
        <v>9464</v>
      </c>
      <c r="I2858" s="148" t="s">
        <v>9465</v>
      </c>
      <c r="J2858" t="s">
        <v>9466</v>
      </c>
      <c r="K2858" s="148" t="s">
        <v>11203</v>
      </c>
      <c r="L2858" t="s">
        <v>11204</v>
      </c>
      <c r="M2858" s="1" t="s">
        <v>11210</v>
      </c>
      <c r="N2858" s="1"/>
      <c r="O2858" s="1">
        <v>3000</v>
      </c>
      <c r="P2858" s="3">
        <v>4000</v>
      </c>
      <c r="Q2858" s="3">
        <v>5000</v>
      </c>
      <c r="R2858" s="3">
        <v>6000</v>
      </c>
      <c r="S2858" s="3">
        <v>10000</v>
      </c>
      <c r="T2858" t="s">
        <v>407</v>
      </c>
      <c r="U2858" t="s">
        <v>409</v>
      </c>
      <c r="V2858" t="s">
        <v>11211</v>
      </c>
      <c r="W2858" s="45"/>
      <c r="X2858" s="45"/>
      <c r="Y2858" s="45"/>
      <c r="Z2858" s="45"/>
      <c r="AA2858" s="45"/>
      <c r="AB2858" s="45"/>
      <c r="AC2858" s="150">
        <v>0</v>
      </c>
      <c r="AD2858" s="150">
        <v>0</v>
      </c>
      <c r="AE2858" s="49">
        <f t="shared" si="115"/>
        <v>0</v>
      </c>
      <c r="AF2858" s="17"/>
      <c r="AG2858" s="17">
        <v>0</v>
      </c>
      <c r="AH2858" s="17">
        <v>0</v>
      </c>
      <c r="AI2858" s="17">
        <v>0</v>
      </c>
      <c r="AJ2858" s="17">
        <v>0</v>
      </c>
      <c r="AK2858" s="153">
        <v>2</v>
      </c>
      <c r="AL2858" s="154">
        <v>0</v>
      </c>
      <c r="AM2858" s="147">
        <f t="shared" si="114"/>
        <v>2</v>
      </c>
      <c r="AN2858" s="44" t="s">
        <v>11209</v>
      </c>
      <c r="AO2858" s="18" t="s">
        <v>409</v>
      </c>
      <c r="AP2858" t="s">
        <v>255</v>
      </c>
    </row>
    <row r="2859" spans="1:42" customFormat="1" x14ac:dyDescent="0.3">
      <c r="A2859" s="148" t="s">
        <v>8319</v>
      </c>
      <c r="B2859" t="s">
        <v>8320</v>
      </c>
      <c r="C2859" s="148" t="s">
        <v>9410</v>
      </c>
      <c r="D2859" t="s">
        <v>9411</v>
      </c>
      <c r="E2859" s="148" t="s">
        <v>9412</v>
      </c>
      <c r="F2859" t="s">
        <v>9413</v>
      </c>
      <c r="G2859" s="148" t="s">
        <v>9463</v>
      </c>
      <c r="H2859" t="s">
        <v>9464</v>
      </c>
      <c r="I2859" s="148" t="s">
        <v>9465</v>
      </c>
      <c r="J2859" t="s">
        <v>9466</v>
      </c>
      <c r="K2859" s="148" t="s">
        <v>11203</v>
      </c>
      <c r="L2859" t="s">
        <v>11204</v>
      </c>
      <c r="M2859" s="1" t="s">
        <v>11212</v>
      </c>
      <c r="N2859" s="1"/>
      <c r="O2859" s="1">
        <v>3880</v>
      </c>
      <c r="P2859" s="3">
        <v>3880</v>
      </c>
      <c r="Q2859" s="3">
        <v>3880</v>
      </c>
      <c r="R2859" s="3">
        <v>3880</v>
      </c>
      <c r="S2859" s="3">
        <v>3880</v>
      </c>
      <c r="T2859" t="s">
        <v>407</v>
      </c>
      <c r="U2859" t="s">
        <v>409</v>
      </c>
      <c r="V2859" t="s">
        <v>11213</v>
      </c>
      <c r="W2859" s="45"/>
      <c r="X2859" s="45"/>
      <c r="Y2859" s="45"/>
      <c r="Z2859" s="45"/>
      <c r="AA2859" s="45"/>
      <c r="AB2859" s="45"/>
      <c r="AC2859" s="150">
        <v>0</v>
      </c>
      <c r="AD2859" s="150">
        <v>0</v>
      </c>
      <c r="AE2859" s="49">
        <f t="shared" si="115"/>
        <v>0</v>
      </c>
      <c r="AF2859" s="17"/>
      <c r="AG2859" s="17">
        <v>0</v>
      </c>
      <c r="AH2859" s="17">
        <v>0</v>
      </c>
      <c r="AI2859" s="17">
        <v>0</v>
      </c>
      <c r="AJ2859" s="17">
        <v>0</v>
      </c>
      <c r="AK2859" s="153">
        <v>2</v>
      </c>
      <c r="AL2859" s="154">
        <v>0</v>
      </c>
      <c r="AM2859" s="147">
        <f t="shared" si="114"/>
        <v>2</v>
      </c>
      <c r="AN2859" s="18" t="s">
        <v>407</v>
      </c>
      <c r="AO2859" s="18" t="s">
        <v>409</v>
      </c>
      <c r="AP2859" t="s">
        <v>255</v>
      </c>
    </row>
    <row r="2860" spans="1:42" customFormat="1" x14ac:dyDescent="0.3">
      <c r="A2860" s="148" t="s">
        <v>8319</v>
      </c>
      <c r="B2860" t="s">
        <v>8320</v>
      </c>
      <c r="C2860" s="148" t="s">
        <v>9410</v>
      </c>
      <c r="D2860" t="s">
        <v>9411</v>
      </c>
      <c r="E2860" s="148" t="s">
        <v>9412</v>
      </c>
      <c r="F2860" t="s">
        <v>9413</v>
      </c>
      <c r="G2860" s="148" t="s">
        <v>9463</v>
      </c>
      <c r="H2860" t="s">
        <v>9464</v>
      </c>
      <c r="I2860" s="148" t="s">
        <v>9465</v>
      </c>
      <c r="J2860" t="s">
        <v>9466</v>
      </c>
      <c r="K2860" s="148" t="s">
        <v>11203</v>
      </c>
      <c r="L2860" t="s">
        <v>11204</v>
      </c>
      <c r="M2860" s="1"/>
      <c r="N2860" s="1"/>
      <c r="O2860" s="1"/>
      <c r="P2860" s="3"/>
      <c r="Q2860" s="3"/>
      <c r="R2860" s="3"/>
      <c r="S2860" s="3"/>
      <c r="U2860" t="e">
        <v>#N/A</v>
      </c>
      <c r="W2860" s="45"/>
      <c r="X2860" s="45"/>
      <c r="Y2860" s="45"/>
      <c r="Z2860" s="45"/>
      <c r="AA2860" s="45"/>
      <c r="AB2860" s="45"/>
      <c r="AC2860" s="150">
        <v>0</v>
      </c>
      <c r="AD2860" s="150">
        <v>0</v>
      </c>
      <c r="AE2860" s="49">
        <f t="shared" si="115"/>
        <v>0</v>
      </c>
      <c r="AF2860" s="17"/>
      <c r="AG2860" s="17">
        <v>0</v>
      </c>
      <c r="AH2860" s="17">
        <v>0</v>
      </c>
      <c r="AI2860" s="17">
        <v>0</v>
      </c>
      <c r="AJ2860" s="17">
        <v>0</v>
      </c>
      <c r="AK2860" s="153">
        <v>0</v>
      </c>
      <c r="AL2860" s="154">
        <v>0</v>
      </c>
      <c r="AM2860" s="147">
        <f t="shared" si="114"/>
        <v>0</v>
      </c>
      <c r="AN2860" s="18" t="s">
        <v>407</v>
      </c>
      <c r="AO2860" s="18" t="s">
        <v>409</v>
      </c>
    </row>
    <row r="2861" spans="1:42" customFormat="1" x14ac:dyDescent="0.3">
      <c r="A2861" s="148" t="s">
        <v>8319</v>
      </c>
      <c r="B2861" t="s">
        <v>8320</v>
      </c>
      <c r="C2861" s="148" t="s">
        <v>9410</v>
      </c>
      <c r="D2861" t="s">
        <v>9411</v>
      </c>
      <c r="E2861" s="148" t="s">
        <v>9412</v>
      </c>
      <c r="F2861" t="s">
        <v>9413</v>
      </c>
      <c r="G2861" s="148" t="s">
        <v>9463</v>
      </c>
      <c r="H2861" t="s">
        <v>9464</v>
      </c>
      <c r="I2861" s="148" t="s">
        <v>9465</v>
      </c>
      <c r="J2861" t="s">
        <v>9466</v>
      </c>
      <c r="K2861" s="148" t="s">
        <v>11203</v>
      </c>
      <c r="L2861" t="s">
        <v>11204</v>
      </c>
      <c r="M2861" s="1"/>
      <c r="N2861" s="1"/>
      <c r="O2861" s="1"/>
      <c r="P2861" s="3"/>
      <c r="Q2861" s="3"/>
      <c r="R2861" s="3"/>
      <c r="S2861" s="3"/>
      <c r="U2861" t="e">
        <v>#N/A</v>
      </c>
      <c r="W2861" s="45"/>
      <c r="X2861" s="45"/>
      <c r="Y2861" s="45"/>
      <c r="Z2861" s="45"/>
      <c r="AA2861" s="45"/>
      <c r="AB2861" s="45"/>
      <c r="AC2861" s="150">
        <v>0</v>
      </c>
      <c r="AD2861" s="150">
        <v>0</v>
      </c>
      <c r="AE2861" s="49">
        <f t="shared" si="115"/>
        <v>0</v>
      </c>
      <c r="AF2861" s="17"/>
      <c r="AG2861" s="17">
        <v>0</v>
      </c>
      <c r="AH2861" s="17">
        <v>0</v>
      </c>
      <c r="AI2861" s="17">
        <v>0</v>
      </c>
      <c r="AJ2861" s="17">
        <v>0</v>
      </c>
      <c r="AK2861" s="153">
        <v>0</v>
      </c>
      <c r="AL2861" s="154">
        <v>0</v>
      </c>
      <c r="AM2861" s="147">
        <f t="shared" si="114"/>
        <v>0</v>
      </c>
      <c r="AN2861" s="18" t="s">
        <v>407</v>
      </c>
      <c r="AO2861" s="18" t="s">
        <v>409</v>
      </c>
    </row>
    <row r="2862" spans="1:42" customFormat="1" x14ac:dyDescent="0.3">
      <c r="A2862" s="148" t="s">
        <v>8319</v>
      </c>
      <c r="B2862" t="s">
        <v>8320</v>
      </c>
      <c r="C2862" s="148" t="s">
        <v>9410</v>
      </c>
      <c r="D2862" t="s">
        <v>9411</v>
      </c>
      <c r="E2862" s="148" t="s">
        <v>9412</v>
      </c>
      <c r="F2862" t="s">
        <v>9413</v>
      </c>
      <c r="G2862" s="148" t="s">
        <v>9463</v>
      </c>
      <c r="H2862" t="s">
        <v>9464</v>
      </c>
      <c r="I2862" s="148" t="s">
        <v>9465</v>
      </c>
      <c r="J2862" t="s">
        <v>9466</v>
      </c>
      <c r="K2862" s="148" t="s">
        <v>11203</v>
      </c>
      <c r="L2862" t="s">
        <v>11204</v>
      </c>
      <c r="M2862" s="1"/>
      <c r="N2862" s="1"/>
      <c r="O2862" s="1"/>
      <c r="P2862" s="3"/>
      <c r="Q2862" s="3"/>
      <c r="R2862" s="3"/>
      <c r="S2862" s="3"/>
      <c r="U2862" t="e">
        <v>#N/A</v>
      </c>
      <c r="V2862" t="s">
        <v>11214</v>
      </c>
      <c r="W2862" s="45"/>
      <c r="X2862" s="45"/>
      <c r="Y2862" s="45"/>
      <c r="Z2862" s="45"/>
      <c r="AA2862" s="45"/>
      <c r="AB2862" s="45"/>
      <c r="AC2862" s="150">
        <v>0</v>
      </c>
      <c r="AD2862" s="150">
        <v>0</v>
      </c>
      <c r="AE2862" s="49">
        <f t="shared" si="115"/>
        <v>0</v>
      </c>
      <c r="AF2862" s="17"/>
      <c r="AG2862" s="17">
        <v>0</v>
      </c>
      <c r="AH2862" s="17">
        <v>0</v>
      </c>
      <c r="AI2862" s="17">
        <v>0</v>
      </c>
      <c r="AJ2862" s="17">
        <v>0</v>
      </c>
      <c r="AK2862" s="153">
        <v>2</v>
      </c>
      <c r="AL2862" s="154">
        <v>0</v>
      </c>
      <c r="AM2862" s="147">
        <f t="shared" si="114"/>
        <v>2</v>
      </c>
      <c r="AN2862" s="44" t="s">
        <v>11209</v>
      </c>
      <c r="AO2862" s="18" t="s">
        <v>409</v>
      </c>
      <c r="AP2862" t="s">
        <v>255</v>
      </c>
    </row>
    <row r="2863" spans="1:42" customFormat="1" x14ac:dyDescent="0.3">
      <c r="A2863" s="148" t="s">
        <v>8319</v>
      </c>
      <c r="B2863" t="s">
        <v>8320</v>
      </c>
      <c r="C2863" s="148" t="s">
        <v>9410</v>
      </c>
      <c r="D2863" t="s">
        <v>9411</v>
      </c>
      <c r="E2863" s="148" t="s">
        <v>9412</v>
      </c>
      <c r="F2863" t="s">
        <v>9413</v>
      </c>
      <c r="G2863" s="148" t="s">
        <v>9463</v>
      </c>
      <c r="H2863" t="s">
        <v>9464</v>
      </c>
      <c r="I2863" s="148" t="s">
        <v>9465</v>
      </c>
      <c r="J2863" t="s">
        <v>9466</v>
      </c>
      <c r="K2863" s="148" t="s">
        <v>11215</v>
      </c>
      <c r="L2863" t="s">
        <v>11216</v>
      </c>
      <c r="M2863" s="1" t="s">
        <v>11217</v>
      </c>
      <c r="N2863" s="1"/>
      <c r="O2863" s="1">
        <v>20000</v>
      </c>
      <c r="P2863" s="3">
        <v>127000</v>
      </c>
      <c r="Q2863" s="3">
        <v>127000</v>
      </c>
      <c r="R2863" s="3">
        <v>127000</v>
      </c>
      <c r="S2863" s="3">
        <v>127000</v>
      </c>
      <c r="T2863" t="s">
        <v>407</v>
      </c>
      <c r="U2863" t="s">
        <v>409</v>
      </c>
      <c r="W2863" s="45"/>
      <c r="X2863" s="45"/>
      <c r="Y2863" s="45"/>
      <c r="Z2863" s="45"/>
      <c r="AA2863" s="45"/>
      <c r="AB2863" s="45"/>
      <c r="AC2863" s="150">
        <v>0</v>
      </c>
      <c r="AD2863" s="150">
        <v>0</v>
      </c>
      <c r="AE2863" s="49">
        <f t="shared" si="115"/>
        <v>0</v>
      </c>
      <c r="AF2863" s="17"/>
      <c r="AG2863" s="17">
        <v>0</v>
      </c>
      <c r="AH2863" s="17"/>
      <c r="AI2863" s="17"/>
      <c r="AJ2863" s="17"/>
      <c r="AK2863" s="153"/>
      <c r="AL2863" s="154"/>
      <c r="AM2863" s="147">
        <f t="shared" si="114"/>
        <v>0</v>
      </c>
      <c r="AN2863" s="44"/>
      <c r="AO2863" s="18"/>
    </row>
    <row r="2864" spans="1:42" customFormat="1" x14ac:dyDescent="0.3">
      <c r="A2864" s="148" t="s">
        <v>8319</v>
      </c>
      <c r="B2864" t="s">
        <v>8320</v>
      </c>
      <c r="C2864" s="148" t="s">
        <v>9410</v>
      </c>
      <c r="D2864" t="s">
        <v>9411</v>
      </c>
      <c r="E2864" s="148" t="s">
        <v>9412</v>
      </c>
      <c r="F2864" t="s">
        <v>9413</v>
      </c>
      <c r="G2864" s="148" t="s">
        <v>9463</v>
      </c>
      <c r="H2864" t="s">
        <v>9464</v>
      </c>
      <c r="I2864" s="148" t="s">
        <v>9465</v>
      </c>
      <c r="J2864" t="s">
        <v>9466</v>
      </c>
      <c r="K2864" s="148" t="s">
        <v>11218</v>
      </c>
      <c r="L2864" t="s">
        <v>11219</v>
      </c>
      <c r="M2864" s="1" t="s">
        <v>11220</v>
      </c>
      <c r="N2864" s="1"/>
      <c r="O2864" s="1">
        <v>218</v>
      </c>
      <c r="P2864" s="3">
        <v>218</v>
      </c>
      <c r="Q2864" s="3">
        <v>218</v>
      </c>
      <c r="R2864" s="3">
        <v>218</v>
      </c>
      <c r="S2864" s="3">
        <v>218</v>
      </c>
      <c r="T2864" t="s">
        <v>407</v>
      </c>
      <c r="U2864" t="s">
        <v>409</v>
      </c>
      <c r="V2864" t="s">
        <v>11221</v>
      </c>
      <c r="W2864" s="45"/>
      <c r="X2864" s="45"/>
      <c r="Y2864" s="45"/>
      <c r="Z2864" s="45"/>
      <c r="AA2864" s="45"/>
      <c r="AB2864" s="45"/>
      <c r="AC2864" s="150">
        <v>0</v>
      </c>
      <c r="AD2864" s="150">
        <v>0</v>
      </c>
      <c r="AE2864" s="49">
        <f t="shared" si="115"/>
        <v>0</v>
      </c>
      <c r="AF2864" s="17"/>
      <c r="AG2864" s="17">
        <v>0</v>
      </c>
      <c r="AH2864" s="17">
        <v>0</v>
      </c>
      <c r="AI2864" s="17">
        <v>0</v>
      </c>
      <c r="AJ2864" s="17">
        <v>0</v>
      </c>
      <c r="AK2864" s="153">
        <v>2</v>
      </c>
      <c r="AL2864" s="154">
        <v>0</v>
      </c>
      <c r="AM2864" s="147">
        <f t="shared" si="114"/>
        <v>2</v>
      </c>
      <c r="AN2864" s="18" t="s">
        <v>407</v>
      </c>
      <c r="AO2864" s="18" t="s">
        <v>409</v>
      </c>
      <c r="AP2864" t="s">
        <v>11222</v>
      </c>
    </row>
    <row r="2865" spans="1:42" customFormat="1" x14ac:dyDescent="0.3">
      <c r="A2865" s="148" t="s">
        <v>8319</v>
      </c>
      <c r="B2865" t="s">
        <v>8320</v>
      </c>
      <c r="C2865" s="148" t="s">
        <v>9410</v>
      </c>
      <c r="D2865" t="s">
        <v>9411</v>
      </c>
      <c r="E2865" s="148" t="s">
        <v>9412</v>
      </c>
      <c r="F2865" t="s">
        <v>9413</v>
      </c>
      <c r="G2865" s="148" t="s">
        <v>9463</v>
      </c>
      <c r="H2865" t="s">
        <v>9464</v>
      </c>
      <c r="I2865" s="148" t="s">
        <v>9465</v>
      </c>
      <c r="J2865" t="s">
        <v>9466</v>
      </c>
      <c r="K2865" s="148" t="s">
        <v>11218</v>
      </c>
      <c r="L2865" t="s">
        <v>11219</v>
      </c>
      <c r="M2865" s="1"/>
      <c r="N2865" s="1"/>
      <c r="O2865" s="1"/>
      <c r="P2865" s="3"/>
      <c r="Q2865" s="3"/>
      <c r="R2865" s="3"/>
      <c r="S2865" s="3"/>
      <c r="U2865" t="e">
        <v>#N/A</v>
      </c>
      <c r="W2865" s="45"/>
      <c r="X2865" s="45"/>
      <c r="Y2865" s="45"/>
      <c r="Z2865" s="45"/>
      <c r="AA2865" s="45"/>
      <c r="AB2865" s="45"/>
      <c r="AC2865" s="150">
        <v>0</v>
      </c>
      <c r="AD2865" s="150">
        <v>0</v>
      </c>
      <c r="AE2865" s="49">
        <f t="shared" si="115"/>
        <v>0</v>
      </c>
      <c r="AF2865" s="17"/>
      <c r="AG2865" s="17">
        <v>0</v>
      </c>
      <c r="AH2865" s="17">
        <v>0</v>
      </c>
      <c r="AI2865" s="17">
        <v>0</v>
      </c>
      <c r="AJ2865" s="17">
        <v>0</v>
      </c>
      <c r="AK2865" s="153">
        <v>0</v>
      </c>
      <c r="AL2865" s="154">
        <v>0</v>
      </c>
      <c r="AM2865" s="147">
        <f t="shared" si="114"/>
        <v>0</v>
      </c>
      <c r="AN2865" s="44" t="s">
        <v>11209</v>
      </c>
      <c r="AO2865" s="18" t="s">
        <v>409</v>
      </c>
    </row>
    <row r="2866" spans="1:42" customFormat="1" x14ac:dyDescent="0.3">
      <c r="A2866" s="148" t="s">
        <v>8319</v>
      </c>
      <c r="B2866" t="s">
        <v>8320</v>
      </c>
      <c r="C2866" s="148" t="s">
        <v>9410</v>
      </c>
      <c r="D2866" t="s">
        <v>9411</v>
      </c>
      <c r="E2866" s="148" t="s">
        <v>9412</v>
      </c>
      <c r="F2866" t="s">
        <v>9413</v>
      </c>
      <c r="G2866" s="148" t="s">
        <v>9463</v>
      </c>
      <c r="H2866" t="s">
        <v>9464</v>
      </c>
      <c r="I2866" s="148" t="s">
        <v>9465</v>
      </c>
      <c r="J2866" t="s">
        <v>9466</v>
      </c>
      <c r="K2866" s="148" t="s">
        <v>11218</v>
      </c>
      <c r="L2866" t="s">
        <v>11219</v>
      </c>
      <c r="M2866" s="1"/>
      <c r="N2866" s="1"/>
      <c r="O2866" s="1"/>
      <c r="P2866" s="3"/>
      <c r="Q2866" s="3"/>
      <c r="R2866" s="3"/>
      <c r="S2866" s="3"/>
      <c r="U2866" t="e">
        <v>#N/A</v>
      </c>
      <c r="V2866" t="s">
        <v>11223</v>
      </c>
      <c r="W2866" s="45"/>
      <c r="X2866" s="45"/>
      <c r="Y2866" s="45"/>
      <c r="Z2866" s="45"/>
      <c r="AA2866" s="45"/>
      <c r="AB2866" s="45"/>
      <c r="AC2866" s="150">
        <v>0</v>
      </c>
      <c r="AD2866" s="150">
        <v>0</v>
      </c>
      <c r="AE2866" s="49">
        <f t="shared" si="115"/>
        <v>0</v>
      </c>
      <c r="AF2866" s="17"/>
      <c r="AG2866" s="17">
        <v>0</v>
      </c>
      <c r="AH2866" s="17">
        <v>0</v>
      </c>
      <c r="AI2866" s="17">
        <v>0</v>
      </c>
      <c r="AJ2866" s="17">
        <v>0</v>
      </c>
      <c r="AK2866" s="153">
        <v>0</v>
      </c>
      <c r="AL2866" s="154">
        <v>0</v>
      </c>
      <c r="AM2866" s="147">
        <f t="shared" si="114"/>
        <v>0</v>
      </c>
      <c r="AN2866" s="18" t="s">
        <v>407</v>
      </c>
      <c r="AO2866" s="18" t="s">
        <v>409</v>
      </c>
      <c r="AP2866" t="s">
        <v>11222</v>
      </c>
    </row>
    <row r="2867" spans="1:42" customFormat="1" x14ac:dyDescent="0.3">
      <c r="A2867" s="148" t="s">
        <v>8319</v>
      </c>
      <c r="B2867" t="s">
        <v>8320</v>
      </c>
      <c r="C2867" s="148" t="s">
        <v>9410</v>
      </c>
      <c r="D2867" t="s">
        <v>9411</v>
      </c>
      <c r="E2867" s="148" t="s">
        <v>9412</v>
      </c>
      <c r="F2867" t="s">
        <v>9413</v>
      </c>
      <c r="G2867" s="148" t="s">
        <v>9463</v>
      </c>
      <c r="H2867" t="s">
        <v>9464</v>
      </c>
      <c r="I2867" s="148" t="s">
        <v>9465</v>
      </c>
      <c r="J2867" t="s">
        <v>9466</v>
      </c>
      <c r="K2867" s="148" t="s">
        <v>11224</v>
      </c>
      <c r="L2867" t="s">
        <v>11225</v>
      </c>
      <c r="M2867" s="1" t="s">
        <v>11226</v>
      </c>
      <c r="N2867" s="1"/>
      <c r="O2867" s="1">
        <v>0</v>
      </c>
      <c r="P2867" s="3">
        <v>2</v>
      </c>
      <c r="Q2867" s="3">
        <v>5</v>
      </c>
      <c r="R2867" s="3">
        <v>5</v>
      </c>
      <c r="S2867" s="3">
        <v>5</v>
      </c>
      <c r="T2867" t="s">
        <v>11227</v>
      </c>
      <c r="U2867" t="e">
        <v>#N/A</v>
      </c>
      <c r="W2867" s="45"/>
      <c r="X2867" s="45"/>
      <c r="Y2867" s="45"/>
      <c r="Z2867" s="45"/>
      <c r="AA2867" s="45"/>
      <c r="AB2867" s="45"/>
      <c r="AC2867" s="150">
        <v>0</v>
      </c>
      <c r="AD2867" s="150">
        <v>0</v>
      </c>
      <c r="AE2867" s="49">
        <f t="shared" si="115"/>
        <v>0</v>
      </c>
      <c r="AF2867" s="17"/>
      <c r="AG2867" s="17">
        <v>0</v>
      </c>
      <c r="AH2867" s="17"/>
      <c r="AI2867" s="17"/>
      <c r="AJ2867" s="17"/>
      <c r="AK2867" s="153"/>
      <c r="AL2867" s="154"/>
      <c r="AM2867" s="147">
        <f t="shared" si="114"/>
        <v>0</v>
      </c>
      <c r="AN2867" s="18"/>
      <c r="AO2867" s="18"/>
    </row>
    <row r="2868" spans="1:42" customFormat="1" x14ac:dyDescent="0.3">
      <c r="A2868" s="148" t="s">
        <v>8319</v>
      </c>
      <c r="B2868" t="s">
        <v>8320</v>
      </c>
      <c r="C2868" s="148" t="s">
        <v>9410</v>
      </c>
      <c r="D2868" t="s">
        <v>9411</v>
      </c>
      <c r="E2868" s="148" t="s">
        <v>9412</v>
      </c>
      <c r="F2868" t="s">
        <v>9413</v>
      </c>
      <c r="G2868" s="148" t="s">
        <v>9463</v>
      </c>
      <c r="H2868" t="s">
        <v>9464</v>
      </c>
      <c r="I2868" s="148" t="s">
        <v>9465</v>
      </c>
      <c r="J2868" t="s">
        <v>9466</v>
      </c>
      <c r="K2868" s="148" t="s">
        <v>11224</v>
      </c>
      <c r="L2868" t="s">
        <v>11225</v>
      </c>
      <c r="M2868" s="1" t="s">
        <v>11228</v>
      </c>
      <c r="N2868" s="1"/>
      <c r="O2868" s="1">
        <v>0</v>
      </c>
      <c r="P2868" s="3">
        <v>1</v>
      </c>
      <c r="Q2868" s="3">
        <v>2</v>
      </c>
      <c r="R2868" s="3">
        <v>2</v>
      </c>
      <c r="S2868" s="3">
        <v>2</v>
      </c>
      <c r="T2868" t="s">
        <v>11227</v>
      </c>
      <c r="U2868" t="e">
        <v>#N/A</v>
      </c>
      <c r="W2868" s="45"/>
      <c r="X2868" s="45"/>
      <c r="Y2868" s="45"/>
      <c r="Z2868" s="45"/>
      <c r="AA2868" s="45"/>
      <c r="AB2868" s="45"/>
      <c r="AC2868" s="150">
        <v>0</v>
      </c>
      <c r="AD2868" s="150">
        <v>0</v>
      </c>
      <c r="AE2868" s="49">
        <f t="shared" si="115"/>
        <v>0</v>
      </c>
      <c r="AF2868" s="17"/>
      <c r="AG2868" s="17">
        <v>0</v>
      </c>
      <c r="AH2868" s="17"/>
      <c r="AI2868" s="17"/>
      <c r="AJ2868" s="17"/>
      <c r="AK2868" s="153"/>
      <c r="AL2868" s="154"/>
      <c r="AM2868" s="147">
        <f t="shared" si="114"/>
        <v>0</v>
      </c>
      <c r="AN2868" s="18"/>
      <c r="AO2868" s="18"/>
    </row>
    <row r="2869" spans="1:42" customFormat="1" x14ac:dyDescent="0.3">
      <c r="A2869" s="148" t="s">
        <v>8319</v>
      </c>
      <c r="B2869" t="s">
        <v>8320</v>
      </c>
      <c r="C2869" s="148" t="s">
        <v>9410</v>
      </c>
      <c r="D2869" t="s">
        <v>9411</v>
      </c>
      <c r="E2869" s="148" t="s">
        <v>9412</v>
      </c>
      <c r="F2869" t="s">
        <v>9413</v>
      </c>
      <c r="G2869" s="148" t="s">
        <v>9463</v>
      </c>
      <c r="H2869" t="s">
        <v>9464</v>
      </c>
      <c r="I2869" s="148" t="s">
        <v>9465</v>
      </c>
      <c r="J2869" t="s">
        <v>9466</v>
      </c>
      <c r="K2869" s="148" t="s">
        <v>11224</v>
      </c>
      <c r="L2869" t="s">
        <v>11225</v>
      </c>
      <c r="M2869" s="1" t="s">
        <v>11229</v>
      </c>
      <c r="N2869" s="1"/>
      <c r="O2869" s="1">
        <v>0</v>
      </c>
      <c r="P2869" s="3">
        <v>5</v>
      </c>
      <c r="Q2869" s="3">
        <v>5</v>
      </c>
      <c r="R2869" s="3">
        <v>5</v>
      </c>
      <c r="S2869" s="3">
        <v>8</v>
      </c>
      <c r="T2869" t="s">
        <v>11227</v>
      </c>
      <c r="U2869" t="e">
        <v>#N/A</v>
      </c>
      <c r="W2869" s="45"/>
      <c r="X2869" s="45"/>
      <c r="Y2869" s="45"/>
      <c r="Z2869" s="45"/>
      <c r="AA2869" s="45"/>
      <c r="AB2869" s="45"/>
      <c r="AC2869" s="150">
        <v>0</v>
      </c>
      <c r="AD2869" s="150">
        <v>0</v>
      </c>
      <c r="AE2869" s="49">
        <f t="shared" si="115"/>
        <v>0</v>
      </c>
      <c r="AF2869" s="17"/>
      <c r="AG2869" s="17">
        <v>0</v>
      </c>
      <c r="AH2869" s="17"/>
      <c r="AI2869" s="17"/>
      <c r="AJ2869" s="17"/>
      <c r="AK2869" s="153"/>
      <c r="AL2869" s="154"/>
      <c r="AM2869" s="147">
        <f t="shared" si="114"/>
        <v>0</v>
      </c>
      <c r="AN2869" s="18"/>
      <c r="AO2869" s="18"/>
    </row>
    <row r="2870" spans="1:42" customFormat="1" x14ac:dyDescent="0.3">
      <c r="A2870" s="148" t="s">
        <v>8319</v>
      </c>
      <c r="B2870" t="s">
        <v>8320</v>
      </c>
      <c r="C2870" s="148" t="s">
        <v>9410</v>
      </c>
      <c r="D2870" t="s">
        <v>9411</v>
      </c>
      <c r="E2870" s="148" t="s">
        <v>9412</v>
      </c>
      <c r="F2870" t="s">
        <v>9413</v>
      </c>
      <c r="G2870" s="148" t="s">
        <v>9463</v>
      </c>
      <c r="H2870" t="s">
        <v>9464</v>
      </c>
      <c r="I2870" s="148" t="s">
        <v>9465</v>
      </c>
      <c r="J2870" t="s">
        <v>9466</v>
      </c>
      <c r="K2870" s="148" t="s">
        <v>11224</v>
      </c>
      <c r="L2870" t="s">
        <v>11225</v>
      </c>
      <c r="M2870" s="1" t="s">
        <v>11230</v>
      </c>
      <c r="N2870" s="1"/>
      <c r="O2870" s="1">
        <v>0</v>
      </c>
      <c r="P2870" s="3">
        <v>10</v>
      </c>
      <c r="Q2870" s="3">
        <v>10</v>
      </c>
      <c r="R2870" s="3">
        <v>10</v>
      </c>
      <c r="S2870" s="3">
        <v>11</v>
      </c>
      <c r="T2870" t="s">
        <v>11227</v>
      </c>
      <c r="U2870" t="e">
        <v>#N/A</v>
      </c>
      <c r="W2870" s="45"/>
      <c r="X2870" s="45"/>
      <c r="Y2870" s="45"/>
      <c r="Z2870" s="45"/>
      <c r="AA2870" s="45"/>
      <c r="AB2870" s="45"/>
      <c r="AC2870" s="150">
        <v>0</v>
      </c>
      <c r="AD2870" s="150">
        <v>0</v>
      </c>
      <c r="AE2870" s="49">
        <f t="shared" si="115"/>
        <v>0</v>
      </c>
      <c r="AF2870" s="17"/>
      <c r="AG2870" s="17">
        <v>0</v>
      </c>
      <c r="AH2870" s="17"/>
      <c r="AI2870" s="17"/>
      <c r="AJ2870" s="17"/>
      <c r="AK2870" s="153"/>
      <c r="AL2870" s="154"/>
      <c r="AM2870" s="147">
        <f t="shared" si="114"/>
        <v>0</v>
      </c>
      <c r="AN2870" s="18"/>
      <c r="AO2870" s="18"/>
    </row>
    <row r="2871" spans="1:42" customFormat="1" x14ac:dyDescent="0.3">
      <c r="A2871" s="148" t="s">
        <v>8319</v>
      </c>
      <c r="B2871" t="s">
        <v>8320</v>
      </c>
      <c r="C2871" s="148" t="s">
        <v>9410</v>
      </c>
      <c r="D2871" t="s">
        <v>9411</v>
      </c>
      <c r="E2871" s="148" t="s">
        <v>9412</v>
      </c>
      <c r="F2871" t="s">
        <v>9413</v>
      </c>
      <c r="G2871" s="148" t="s">
        <v>9463</v>
      </c>
      <c r="H2871" t="s">
        <v>9464</v>
      </c>
      <c r="I2871" s="148" t="s">
        <v>9465</v>
      </c>
      <c r="J2871" t="s">
        <v>9466</v>
      </c>
      <c r="K2871" s="148" t="s">
        <v>11224</v>
      </c>
      <c r="L2871" t="s">
        <v>11225</v>
      </c>
      <c r="M2871" s="1" t="s">
        <v>11231</v>
      </c>
      <c r="N2871" s="1"/>
      <c r="O2871" s="1">
        <v>0</v>
      </c>
      <c r="P2871" s="3">
        <v>10</v>
      </c>
      <c r="Q2871" s="3">
        <v>10</v>
      </c>
      <c r="R2871" s="3">
        <v>12</v>
      </c>
      <c r="S2871" s="3">
        <v>12</v>
      </c>
      <c r="T2871" t="s">
        <v>11227</v>
      </c>
      <c r="U2871" t="e">
        <v>#N/A</v>
      </c>
      <c r="W2871" s="45"/>
      <c r="X2871" s="45"/>
      <c r="Y2871" s="45"/>
      <c r="Z2871" s="45"/>
      <c r="AA2871" s="45"/>
      <c r="AB2871" s="45"/>
      <c r="AC2871" s="150">
        <v>0</v>
      </c>
      <c r="AD2871" s="150">
        <v>0</v>
      </c>
      <c r="AE2871" s="49">
        <f t="shared" si="115"/>
        <v>0</v>
      </c>
      <c r="AF2871" s="17"/>
      <c r="AG2871" s="17">
        <v>0</v>
      </c>
      <c r="AH2871" s="17"/>
      <c r="AI2871" s="17"/>
      <c r="AJ2871" s="17"/>
      <c r="AK2871" s="153"/>
      <c r="AL2871" s="154"/>
      <c r="AM2871" s="147">
        <f t="shared" si="114"/>
        <v>0</v>
      </c>
      <c r="AN2871" s="18"/>
      <c r="AO2871" s="18"/>
    </row>
    <row r="2872" spans="1:42" customFormat="1" x14ac:dyDescent="0.3">
      <c r="A2872" s="148" t="s">
        <v>8319</v>
      </c>
      <c r="B2872" t="s">
        <v>8320</v>
      </c>
      <c r="C2872" s="148" t="s">
        <v>9410</v>
      </c>
      <c r="D2872" t="s">
        <v>9411</v>
      </c>
      <c r="E2872" s="148" t="s">
        <v>9412</v>
      </c>
      <c r="F2872" t="s">
        <v>9413</v>
      </c>
      <c r="G2872" s="148" t="s">
        <v>9463</v>
      </c>
      <c r="H2872" t="s">
        <v>9464</v>
      </c>
      <c r="I2872" s="148" t="s">
        <v>9465</v>
      </c>
      <c r="J2872" t="s">
        <v>9466</v>
      </c>
      <c r="K2872" s="148" t="s">
        <v>11224</v>
      </c>
      <c r="L2872" t="s">
        <v>11225</v>
      </c>
      <c r="M2872" s="1" t="s">
        <v>11232</v>
      </c>
      <c r="N2872" s="1"/>
      <c r="O2872" s="1">
        <v>0</v>
      </c>
      <c r="P2872" s="3">
        <v>140</v>
      </c>
      <c r="Q2872" s="3">
        <v>140</v>
      </c>
      <c r="R2872" s="3">
        <v>140</v>
      </c>
      <c r="S2872" s="3">
        <v>137</v>
      </c>
      <c r="T2872" t="s">
        <v>11227</v>
      </c>
      <c r="U2872" t="e">
        <v>#N/A</v>
      </c>
      <c r="W2872" s="45"/>
      <c r="X2872" s="45"/>
      <c r="Y2872" s="45"/>
      <c r="Z2872" s="45"/>
      <c r="AA2872" s="45"/>
      <c r="AB2872" s="45"/>
      <c r="AC2872" s="150">
        <v>0</v>
      </c>
      <c r="AD2872" s="150">
        <v>0</v>
      </c>
      <c r="AE2872" s="49">
        <f t="shared" si="115"/>
        <v>0</v>
      </c>
      <c r="AF2872" s="17"/>
      <c r="AG2872" s="17">
        <v>0</v>
      </c>
      <c r="AH2872" s="17"/>
      <c r="AI2872" s="17"/>
      <c r="AJ2872" s="17"/>
      <c r="AK2872" s="153"/>
      <c r="AL2872" s="154"/>
      <c r="AM2872" s="147">
        <f t="shared" si="114"/>
        <v>0</v>
      </c>
      <c r="AN2872" s="18"/>
      <c r="AO2872" s="18"/>
    </row>
    <row r="2873" spans="1:42" customFormat="1" x14ac:dyDescent="0.3">
      <c r="A2873" s="148" t="s">
        <v>8319</v>
      </c>
      <c r="B2873" t="s">
        <v>8320</v>
      </c>
      <c r="C2873" s="148" t="s">
        <v>9410</v>
      </c>
      <c r="D2873" t="s">
        <v>9411</v>
      </c>
      <c r="E2873" s="148" t="s">
        <v>9412</v>
      </c>
      <c r="F2873" t="s">
        <v>9413</v>
      </c>
      <c r="G2873" s="148" t="s">
        <v>9463</v>
      </c>
      <c r="H2873" t="s">
        <v>9464</v>
      </c>
      <c r="I2873" s="148" t="s">
        <v>9465</v>
      </c>
      <c r="J2873" t="s">
        <v>9466</v>
      </c>
      <c r="K2873" s="148" t="s">
        <v>11224</v>
      </c>
      <c r="L2873" t="s">
        <v>11225</v>
      </c>
      <c r="M2873" s="1" t="s">
        <v>11233</v>
      </c>
      <c r="N2873" s="1"/>
      <c r="O2873" s="1">
        <v>30</v>
      </c>
      <c r="P2873" s="3">
        <v>30</v>
      </c>
      <c r="Q2873" s="3">
        <v>30</v>
      </c>
      <c r="R2873" s="3">
        <v>30</v>
      </c>
      <c r="S2873" s="3">
        <v>30</v>
      </c>
      <c r="T2873" t="s">
        <v>11227</v>
      </c>
      <c r="U2873" t="e">
        <v>#N/A</v>
      </c>
      <c r="W2873" s="45"/>
      <c r="X2873" s="45"/>
      <c r="Y2873" s="45"/>
      <c r="Z2873" s="45"/>
      <c r="AA2873" s="45"/>
      <c r="AB2873" s="45"/>
      <c r="AC2873" s="150">
        <v>0</v>
      </c>
      <c r="AD2873" s="150">
        <v>0</v>
      </c>
      <c r="AE2873" s="49">
        <f t="shared" si="115"/>
        <v>0</v>
      </c>
      <c r="AF2873" s="17"/>
      <c r="AG2873" s="17">
        <v>0</v>
      </c>
      <c r="AH2873" s="17"/>
      <c r="AI2873" s="17"/>
      <c r="AJ2873" s="17"/>
      <c r="AK2873" s="153"/>
      <c r="AL2873" s="154"/>
      <c r="AM2873" s="147">
        <f t="shared" si="114"/>
        <v>0</v>
      </c>
      <c r="AN2873" s="18"/>
      <c r="AO2873" s="18"/>
    </row>
    <row r="2874" spans="1:42" customFormat="1" x14ac:dyDescent="0.3">
      <c r="A2874" s="148" t="s">
        <v>8319</v>
      </c>
      <c r="B2874" t="s">
        <v>8320</v>
      </c>
      <c r="C2874" s="148" t="s">
        <v>9410</v>
      </c>
      <c r="D2874" t="s">
        <v>9411</v>
      </c>
      <c r="E2874" s="148" t="s">
        <v>9412</v>
      </c>
      <c r="F2874" t="s">
        <v>9413</v>
      </c>
      <c r="G2874" s="148" t="s">
        <v>9463</v>
      </c>
      <c r="H2874" t="s">
        <v>9464</v>
      </c>
      <c r="I2874" s="148" t="s">
        <v>9465</v>
      </c>
      <c r="J2874" t="s">
        <v>9466</v>
      </c>
      <c r="K2874" s="148" t="s">
        <v>11224</v>
      </c>
      <c r="L2874" t="s">
        <v>11225</v>
      </c>
      <c r="M2874" s="1" t="s">
        <v>11234</v>
      </c>
      <c r="N2874" s="1"/>
      <c r="O2874" s="1">
        <v>300</v>
      </c>
      <c r="P2874" s="3">
        <v>300</v>
      </c>
      <c r="Q2874" s="3">
        <v>300</v>
      </c>
      <c r="R2874" s="3">
        <v>300</v>
      </c>
      <c r="S2874" s="3">
        <v>300</v>
      </c>
      <c r="T2874" t="s">
        <v>11227</v>
      </c>
      <c r="U2874" t="e">
        <v>#N/A</v>
      </c>
      <c r="W2874" s="45"/>
      <c r="X2874" s="45"/>
      <c r="Y2874" s="45"/>
      <c r="Z2874" s="45"/>
      <c r="AA2874" s="45"/>
      <c r="AB2874" s="45"/>
      <c r="AC2874" s="150">
        <v>0</v>
      </c>
      <c r="AD2874" s="150">
        <v>0</v>
      </c>
      <c r="AE2874" s="49">
        <f t="shared" si="115"/>
        <v>0</v>
      </c>
      <c r="AF2874" s="17"/>
      <c r="AG2874" s="17">
        <v>0</v>
      </c>
      <c r="AH2874" s="17"/>
      <c r="AI2874" s="17"/>
      <c r="AJ2874" s="17"/>
      <c r="AK2874" s="153"/>
      <c r="AL2874" s="154"/>
      <c r="AM2874" s="147">
        <f t="shared" si="114"/>
        <v>0</v>
      </c>
      <c r="AN2874" s="18"/>
      <c r="AO2874" s="18"/>
    </row>
    <row r="2875" spans="1:42" customFormat="1" x14ac:dyDescent="0.3">
      <c r="A2875" s="148" t="s">
        <v>8319</v>
      </c>
      <c r="B2875" t="s">
        <v>8320</v>
      </c>
      <c r="C2875" s="148" t="s">
        <v>9410</v>
      </c>
      <c r="D2875" t="s">
        <v>9411</v>
      </c>
      <c r="E2875" s="148" t="s">
        <v>9412</v>
      </c>
      <c r="F2875" t="s">
        <v>9413</v>
      </c>
      <c r="G2875" s="148" t="s">
        <v>9463</v>
      </c>
      <c r="H2875" t="s">
        <v>9464</v>
      </c>
      <c r="I2875" s="148" t="s">
        <v>9465</v>
      </c>
      <c r="J2875" t="s">
        <v>9466</v>
      </c>
      <c r="K2875" s="148" t="s">
        <v>11235</v>
      </c>
      <c r="L2875" t="s">
        <v>11236</v>
      </c>
      <c r="M2875" s="1" t="s">
        <v>11237</v>
      </c>
      <c r="N2875" s="1"/>
      <c r="O2875" s="1">
        <v>0</v>
      </c>
      <c r="P2875" s="3">
        <v>5</v>
      </c>
      <c r="Q2875" s="3">
        <v>9</v>
      </c>
      <c r="R2875" s="3">
        <v>8</v>
      </c>
      <c r="S2875" s="3">
        <v>5</v>
      </c>
      <c r="T2875" t="s">
        <v>11238</v>
      </c>
      <c r="U2875" t="e">
        <v>#N/A</v>
      </c>
      <c r="W2875" s="45"/>
      <c r="X2875" s="45"/>
      <c r="Y2875" s="45"/>
      <c r="Z2875" s="45"/>
      <c r="AA2875" s="45"/>
      <c r="AB2875" s="45"/>
      <c r="AC2875" s="150">
        <v>0</v>
      </c>
      <c r="AD2875" s="150">
        <v>0</v>
      </c>
      <c r="AE2875" s="49">
        <f t="shared" si="115"/>
        <v>0</v>
      </c>
      <c r="AF2875" s="17"/>
      <c r="AG2875" s="17">
        <v>0</v>
      </c>
      <c r="AH2875" s="17"/>
      <c r="AI2875" s="17"/>
      <c r="AJ2875" s="17"/>
      <c r="AK2875" s="153"/>
      <c r="AL2875" s="154"/>
      <c r="AM2875" s="147">
        <f t="shared" si="114"/>
        <v>0</v>
      </c>
      <c r="AN2875" s="18"/>
      <c r="AO2875" s="18"/>
    </row>
    <row r="2876" spans="1:42" customFormat="1" x14ac:dyDescent="0.3">
      <c r="A2876" s="148" t="s">
        <v>8319</v>
      </c>
      <c r="B2876" t="s">
        <v>8320</v>
      </c>
      <c r="C2876" s="148" t="s">
        <v>9410</v>
      </c>
      <c r="D2876" t="s">
        <v>9411</v>
      </c>
      <c r="E2876" s="148" t="s">
        <v>9412</v>
      </c>
      <c r="F2876" t="s">
        <v>9413</v>
      </c>
      <c r="G2876" s="148" t="s">
        <v>9463</v>
      </c>
      <c r="H2876" t="s">
        <v>9464</v>
      </c>
      <c r="I2876" s="148" t="s">
        <v>9465</v>
      </c>
      <c r="J2876" t="s">
        <v>9466</v>
      </c>
      <c r="K2876" s="148" t="s">
        <v>11235</v>
      </c>
      <c r="L2876" t="s">
        <v>11236</v>
      </c>
      <c r="M2876" s="1" t="s">
        <v>11239</v>
      </c>
      <c r="N2876" s="1"/>
      <c r="O2876" s="1">
        <v>0</v>
      </c>
      <c r="P2876" s="3">
        <v>5</v>
      </c>
      <c r="Q2876" s="3">
        <v>9</v>
      </c>
      <c r="R2876" s="3">
        <v>8</v>
      </c>
      <c r="S2876" s="3">
        <v>5</v>
      </c>
      <c r="T2876" t="s">
        <v>407</v>
      </c>
      <c r="U2876" t="s">
        <v>409</v>
      </c>
      <c r="W2876" s="45"/>
      <c r="X2876" s="45"/>
      <c r="Y2876" s="45"/>
      <c r="Z2876" s="45"/>
      <c r="AA2876" s="45"/>
      <c r="AB2876" s="45"/>
      <c r="AC2876" s="150">
        <v>0</v>
      </c>
      <c r="AD2876" s="150">
        <v>0</v>
      </c>
      <c r="AE2876" s="49">
        <f t="shared" si="115"/>
        <v>0</v>
      </c>
      <c r="AF2876" s="17"/>
      <c r="AG2876" s="17">
        <v>0</v>
      </c>
      <c r="AH2876" s="17"/>
      <c r="AI2876" s="17"/>
      <c r="AJ2876" s="17"/>
      <c r="AK2876" s="153"/>
      <c r="AL2876" s="154"/>
      <c r="AM2876" s="147">
        <f t="shared" si="114"/>
        <v>0</v>
      </c>
      <c r="AN2876" s="18"/>
      <c r="AO2876" s="18"/>
    </row>
    <row r="2877" spans="1:42" customFormat="1" x14ac:dyDescent="0.3">
      <c r="A2877" s="148" t="s">
        <v>8319</v>
      </c>
      <c r="B2877" t="s">
        <v>8320</v>
      </c>
      <c r="C2877" s="148" t="s">
        <v>9410</v>
      </c>
      <c r="D2877" t="s">
        <v>9411</v>
      </c>
      <c r="E2877" s="148" t="s">
        <v>9412</v>
      </c>
      <c r="F2877" t="s">
        <v>9413</v>
      </c>
      <c r="G2877" s="148" t="s">
        <v>9463</v>
      </c>
      <c r="H2877" t="s">
        <v>9464</v>
      </c>
      <c r="I2877" s="148" t="s">
        <v>9465</v>
      </c>
      <c r="J2877" t="s">
        <v>9466</v>
      </c>
      <c r="K2877" s="148" t="s">
        <v>11240</v>
      </c>
      <c r="L2877" t="s">
        <v>11241</v>
      </c>
      <c r="M2877" s="1" t="s">
        <v>11242</v>
      </c>
      <c r="N2877" s="1"/>
      <c r="O2877" s="1">
        <v>250</v>
      </c>
      <c r="P2877" s="3">
        <v>5000</v>
      </c>
      <c r="Q2877" s="3">
        <v>5000</v>
      </c>
      <c r="R2877" s="3">
        <v>5000</v>
      </c>
      <c r="S2877" s="3">
        <v>5000</v>
      </c>
      <c r="T2877" t="s">
        <v>11243</v>
      </c>
      <c r="U2877" t="e">
        <v>#N/A</v>
      </c>
      <c r="W2877" s="45"/>
      <c r="X2877" s="45"/>
      <c r="Y2877" s="45"/>
      <c r="Z2877" s="45"/>
      <c r="AA2877" s="45"/>
      <c r="AB2877" s="45"/>
      <c r="AC2877" s="150">
        <v>0</v>
      </c>
      <c r="AD2877" s="150">
        <v>0</v>
      </c>
      <c r="AE2877" s="49">
        <f t="shared" si="115"/>
        <v>0</v>
      </c>
      <c r="AF2877" s="17"/>
      <c r="AG2877" s="17">
        <v>0</v>
      </c>
      <c r="AH2877" s="17"/>
      <c r="AI2877" s="17"/>
      <c r="AJ2877" s="17"/>
      <c r="AK2877" s="153"/>
      <c r="AL2877" s="154"/>
      <c r="AM2877" s="147">
        <f t="shared" si="114"/>
        <v>0</v>
      </c>
      <c r="AN2877" s="18"/>
      <c r="AO2877" s="18"/>
    </row>
    <row r="2878" spans="1:42" customFormat="1" x14ac:dyDescent="0.3">
      <c r="A2878" s="148" t="s">
        <v>8319</v>
      </c>
      <c r="B2878" t="s">
        <v>8320</v>
      </c>
      <c r="C2878" s="148" t="s">
        <v>9410</v>
      </c>
      <c r="D2878" t="s">
        <v>9411</v>
      </c>
      <c r="E2878" s="148" t="s">
        <v>9412</v>
      </c>
      <c r="F2878" t="s">
        <v>9413</v>
      </c>
      <c r="G2878" s="148" t="s">
        <v>9463</v>
      </c>
      <c r="H2878" t="s">
        <v>9464</v>
      </c>
      <c r="I2878" s="148" t="s">
        <v>9465</v>
      </c>
      <c r="J2878" t="s">
        <v>9466</v>
      </c>
      <c r="K2878" s="148" t="s">
        <v>11240</v>
      </c>
      <c r="L2878" t="s">
        <v>11241</v>
      </c>
      <c r="M2878" s="1" t="s">
        <v>11244</v>
      </c>
      <c r="N2878" s="1"/>
      <c r="O2878" s="1">
        <v>20</v>
      </c>
      <c r="P2878" s="3">
        <v>127</v>
      </c>
      <c r="Q2878" s="3">
        <v>127</v>
      </c>
      <c r="R2878" s="3">
        <v>127</v>
      </c>
      <c r="S2878" s="3">
        <v>127</v>
      </c>
      <c r="T2878" t="s">
        <v>11243</v>
      </c>
      <c r="U2878" t="e">
        <v>#N/A</v>
      </c>
      <c r="W2878" s="45"/>
      <c r="X2878" s="45"/>
      <c r="Y2878" s="45"/>
      <c r="Z2878" s="45"/>
      <c r="AA2878" s="45"/>
      <c r="AB2878" s="45"/>
      <c r="AC2878" s="150">
        <v>0</v>
      </c>
      <c r="AD2878" s="150">
        <v>0</v>
      </c>
      <c r="AE2878" s="49">
        <f t="shared" si="115"/>
        <v>0</v>
      </c>
      <c r="AF2878" s="17"/>
      <c r="AG2878" s="17">
        <v>0</v>
      </c>
      <c r="AH2878" s="17"/>
      <c r="AI2878" s="17"/>
      <c r="AJ2878" s="17"/>
      <c r="AK2878" s="153"/>
      <c r="AL2878" s="154"/>
      <c r="AM2878" s="147">
        <f t="shared" si="114"/>
        <v>0</v>
      </c>
      <c r="AN2878" s="18"/>
      <c r="AO2878" s="18"/>
    </row>
    <row r="2879" spans="1:42" customFormat="1" x14ac:dyDescent="0.3">
      <c r="A2879" s="148" t="s">
        <v>8319</v>
      </c>
      <c r="B2879" t="s">
        <v>8320</v>
      </c>
      <c r="C2879" s="148" t="s">
        <v>9410</v>
      </c>
      <c r="D2879" t="s">
        <v>9411</v>
      </c>
      <c r="E2879" s="148" t="s">
        <v>9412</v>
      </c>
      <c r="F2879" t="s">
        <v>9413</v>
      </c>
      <c r="G2879" s="148" t="s">
        <v>9463</v>
      </c>
      <c r="H2879" t="s">
        <v>9464</v>
      </c>
      <c r="I2879" s="148" t="s">
        <v>9465</v>
      </c>
      <c r="J2879" t="s">
        <v>9466</v>
      </c>
      <c r="K2879" s="148" t="s">
        <v>11245</v>
      </c>
      <c r="L2879" t="s">
        <v>11246</v>
      </c>
      <c r="M2879" s="1" t="s">
        <v>11247</v>
      </c>
      <c r="N2879" s="1"/>
      <c r="O2879" s="1">
        <v>11</v>
      </c>
      <c r="P2879" s="3">
        <v>22</v>
      </c>
      <c r="Q2879" s="3">
        <v>44</v>
      </c>
      <c r="R2879" s="3">
        <v>44</v>
      </c>
      <c r="S2879" s="3">
        <v>22</v>
      </c>
      <c r="T2879" t="s">
        <v>11243</v>
      </c>
      <c r="U2879" t="e">
        <v>#N/A</v>
      </c>
      <c r="W2879" s="45"/>
      <c r="X2879" s="45"/>
      <c r="Y2879" s="45"/>
      <c r="Z2879" s="45"/>
      <c r="AA2879" s="45"/>
      <c r="AB2879" s="45"/>
      <c r="AC2879" s="150">
        <v>0</v>
      </c>
      <c r="AD2879" s="150">
        <v>0</v>
      </c>
      <c r="AE2879" s="49">
        <f t="shared" si="115"/>
        <v>0</v>
      </c>
      <c r="AF2879" s="17"/>
      <c r="AG2879" s="17">
        <v>0</v>
      </c>
      <c r="AH2879" s="17"/>
      <c r="AI2879" s="17"/>
      <c r="AJ2879" s="17"/>
      <c r="AK2879" s="153"/>
      <c r="AL2879" s="154"/>
      <c r="AM2879" s="147">
        <f t="shared" si="114"/>
        <v>0</v>
      </c>
      <c r="AN2879" s="18"/>
      <c r="AO2879" s="18"/>
    </row>
    <row r="2880" spans="1:42" customFormat="1" x14ac:dyDescent="0.3">
      <c r="A2880" s="148" t="s">
        <v>8319</v>
      </c>
      <c r="B2880" t="s">
        <v>8320</v>
      </c>
      <c r="C2880" s="148" t="s">
        <v>9410</v>
      </c>
      <c r="D2880" t="s">
        <v>9411</v>
      </c>
      <c r="E2880" s="148" t="s">
        <v>9412</v>
      </c>
      <c r="F2880" t="s">
        <v>9413</v>
      </c>
      <c r="G2880" s="148" t="s">
        <v>9463</v>
      </c>
      <c r="H2880" t="s">
        <v>9464</v>
      </c>
      <c r="I2880" s="148" t="s">
        <v>9465</v>
      </c>
      <c r="J2880" t="s">
        <v>9466</v>
      </c>
      <c r="K2880" s="148" t="s">
        <v>11248</v>
      </c>
      <c r="L2880" t="s">
        <v>11249</v>
      </c>
      <c r="M2880" s="1" t="s">
        <v>11250</v>
      </c>
      <c r="N2880" s="1"/>
      <c r="O2880" s="1">
        <v>0</v>
      </c>
      <c r="P2880" s="3">
        <v>60</v>
      </c>
      <c r="Q2880" s="3">
        <v>120</v>
      </c>
      <c r="R2880" s="3">
        <v>120</v>
      </c>
      <c r="S2880" s="3">
        <v>60</v>
      </c>
      <c r="T2880" t="s">
        <v>11251</v>
      </c>
      <c r="U2880" t="e">
        <v>#N/A</v>
      </c>
      <c r="W2880" s="45"/>
      <c r="X2880" s="45"/>
      <c r="Y2880" s="45"/>
      <c r="Z2880" s="45"/>
      <c r="AA2880" s="45"/>
      <c r="AB2880" s="45"/>
      <c r="AC2880" s="150">
        <v>0</v>
      </c>
      <c r="AD2880" s="150">
        <v>0</v>
      </c>
      <c r="AE2880" s="49">
        <f t="shared" si="115"/>
        <v>0</v>
      </c>
      <c r="AF2880" s="17"/>
      <c r="AG2880" s="17">
        <v>0</v>
      </c>
      <c r="AH2880" s="17"/>
      <c r="AI2880" s="17"/>
      <c r="AJ2880" s="17"/>
      <c r="AK2880" s="153"/>
      <c r="AL2880" s="154"/>
      <c r="AM2880" s="147">
        <f t="shared" si="114"/>
        <v>0</v>
      </c>
      <c r="AN2880" s="18"/>
      <c r="AO2880" s="18"/>
    </row>
    <row r="2881" spans="1:42" customFormat="1" x14ac:dyDescent="0.3">
      <c r="A2881" s="148" t="s">
        <v>8319</v>
      </c>
      <c r="B2881" t="s">
        <v>8320</v>
      </c>
      <c r="C2881" s="148" t="s">
        <v>9410</v>
      </c>
      <c r="D2881" t="s">
        <v>9411</v>
      </c>
      <c r="E2881" s="148" t="s">
        <v>9412</v>
      </c>
      <c r="F2881" t="s">
        <v>9413</v>
      </c>
      <c r="G2881" s="148" t="s">
        <v>9463</v>
      </c>
      <c r="H2881" t="s">
        <v>9464</v>
      </c>
      <c r="I2881" s="148" t="s">
        <v>9465</v>
      </c>
      <c r="J2881" t="s">
        <v>9466</v>
      </c>
      <c r="K2881" s="148" t="s">
        <v>11248</v>
      </c>
      <c r="L2881" t="s">
        <v>11249</v>
      </c>
      <c r="M2881" s="1" t="s">
        <v>11252</v>
      </c>
      <c r="N2881" s="1"/>
      <c r="O2881" s="1">
        <v>218</v>
      </c>
      <c r="P2881" s="3">
        <v>218</v>
      </c>
      <c r="Q2881" s="3">
        <v>218</v>
      </c>
      <c r="R2881" s="3">
        <v>218</v>
      </c>
      <c r="S2881" s="3">
        <v>218</v>
      </c>
      <c r="T2881" t="s">
        <v>11251</v>
      </c>
      <c r="U2881" t="e">
        <v>#N/A</v>
      </c>
      <c r="W2881" s="45"/>
      <c r="X2881" s="45"/>
      <c r="Y2881" s="45"/>
      <c r="Z2881" s="45"/>
      <c r="AA2881" s="45"/>
      <c r="AB2881" s="45"/>
      <c r="AC2881" s="150">
        <v>0</v>
      </c>
      <c r="AD2881" s="150">
        <v>0</v>
      </c>
      <c r="AE2881" s="49">
        <f t="shared" si="115"/>
        <v>0</v>
      </c>
      <c r="AF2881" s="17"/>
      <c r="AG2881" s="17">
        <v>0</v>
      </c>
      <c r="AH2881" s="17"/>
      <c r="AI2881" s="17"/>
      <c r="AJ2881" s="17"/>
      <c r="AK2881" s="153"/>
      <c r="AL2881" s="154"/>
      <c r="AM2881" s="147">
        <f t="shared" si="114"/>
        <v>0</v>
      </c>
      <c r="AN2881" s="18"/>
      <c r="AO2881" s="18"/>
    </row>
    <row r="2882" spans="1:42" customFormat="1" x14ac:dyDescent="0.3">
      <c r="A2882" s="148" t="s">
        <v>8319</v>
      </c>
      <c r="B2882" t="s">
        <v>8320</v>
      </c>
      <c r="C2882" s="148" t="s">
        <v>9410</v>
      </c>
      <c r="D2882" t="s">
        <v>9411</v>
      </c>
      <c r="E2882" s="148" t="s">
        <v>9412</v>
      </c>
      <c r="F2882" t="s">
        <v>9413</v>
      </c>
      <c r="G2882" s="148" t="s">
        <v>9463</v>
      </c>
      <c r="H2882" t="s">
        <v>9464</v>
      </c>
      <c r="I2882" s="148" t="s">
        <v>9465</v>
      </c>
      <c r="J2882" t="s">
        <v>9466</v>
      </c>
      <c r="K2882" s="148" t="s">
        <v>11248</v>
      </c>
      <c r="L2882" t="s">
        <v>11249</v>
      </c>
      <c r="M2882" s="1" t="s">
        <v>11253</v>
      </c>
      <c r="N2882" s="1"/>
      <c r="O2882" s="1">
        <v>0</v>
      </c>
      <c r="P2882" s="3">
        <v>1</v>
      </c>
      <c r="Q2882" s="3">
        <v>0</v>
      </c>
      <c r="R2882" s="3">
        <v>0</v>
      </c>
      <c r="S2882" s="3">
        <v>0</v>
      </c>
      <c r="T2882" t="s">
        <v>11251</v>
      </c>
      <c r="U2882" t="e">
        <v>#N/A</v>
      </c>
      <c r="W2882" s="45"/>
      <c r="X2882" s="45"/>
      <c r="Y2882" s="45"/>
      <c r="Z2882" s="45"/>
      <c r="AA2882" s="45"/>
      <c r="AB2882" s="45"/>
      <c r="AC2882" s="150">
        <v>0</v>
      </c>
      <c r="AD2882" s="150">
        <v>0</v>
      </c>
      <c r="AE2882" s="49">
        <f t="shared" si="115"/>
        <v>0</v>
      </c>
      <c r="AF2882" s="17"/>
      <c r="AG2882" s="17">
        <v>0</v>
      </c>
      <c r="AH2882" s="17"/>
      <c r="AI2882" s="17"/>
      <c r="AJ2882" s="17"/>
      <c r="AK2882" s="153"/>
      <c r="AL2882" s="154"/>
      <c r="AM2882" s="147">
        <f t="shared" si="114"/>
        <v>0</v>
      </c>
      <c r="AN2882" s="18"/>
      <c r="AO2882" s="18"/>
    </row>
    <row r="2883" spans="1:42" customFormat="1" x14ac:dyDescent="0.3">
      <c r="A2883" s="148" t="s">
        <v>8319</v>
      </c>
      <c r="B2883" t="s">
        <v>8320</v>
      </c>
      <c r="C2883" s="148" t="s">
        <v>9410</v>
      </c>
      <c r="D2883" t="s">
        <v>9411</v>
      </c>
      <c r="E2883" s="148" t="s">
        <v>9412</v>
      </c>
      <c r="F2883" t="s">
        <v>9413</v>
      </c>
      <c r="G2883" s="148" t="s">
        <v>9463</v>
      </c>
      <c r="H2883" t="s">
        <v>9464</v>
      </c>
      <c r="I2883" s="148" t="s">
        <v>9465</v>
      </c>
      <c r="J2883" t="s">
        <v>9466</v>
      </c>
      <c r="K2883" s="148" t="s">
        <v>11254</v>
      </c>
      <c r="L2883" t="s">
        <v>11255</v>
      </c>
      <c r="M2883" s="1" t="s">
        <v>11256</v>
      </c>
      <c r="N2883" s="1"/>
      <c r="O2883" s="1">
        <v>0</v>
      </c>
      <c r="P2883" s="3">
        <v>12000</v>
      </c>
      <c r="Q2883" s="3">
        <v>12000</v>
      </c>
      <c r="R2883" s="3">
        <v>12000</v>
      </c>
      <c r="S2883" s="3">
        <v>12000</v>
      </c>
      <c r="T2883" t="s">
        <v>11257</v>
      </c>
      <c r="U2883" t="e">
        <v>#N/A</v>
      </c>
      <c r="W2883" s="45"/>
      <c r="X2883" s="45"/>
      <c r="Y2883" s="45"/>
      <c r="Z2883" s="45"/>
      <c r="AA2883" s="45"/>
      <c r="AB2883" s="45"/>
      <c r="AC2883" s="150">
        <v>0</v>
      </c>
      <c r="AD2883" s="150">
        <v>0</v>
      </c>
      <c r="AE2883" s="49">
        <f t="shared" si="115"/>
        <v>0</v>
      </c>
      <c r="AF2883" s="17"/>
      <c r="AG2883" s="17">
        <v>0</v>
      </c>
      <c r="AH2883" s="17"/>
      <c r="AI2883" s="17"/>
      <c r="AJ2883" s="17"/>
      <c r="AK2883" s="153"/>
      <c r="AL2883" s="154"/>
      <c r="AM2883" s="147">
        <f t="shared" si="114"/>
        <v>0</v>
      </c>
      <c r="AN2883" s="18"/>
      <c r="AO2883" s="18"/>
    </row>
    <row r="2884" spans="1:42" customFormat="1" x14ac:dyDescent="0.3">
      <c r="A2884" s="148" t="s">
        <v>8319</v>
      </c>
      <c r="B2884" t="s">
        <v>8320</v>
      </c>
      <c r="C2884" s="148" t="s">
        <v>9410</v>
      </c>
      <c r="D2884" t="s">
        <v>9411</v>
      </c>
      <c r="E2884" s="148" t="s">
        <v>9412</v>
      </c>
      <c r="F2884" t="s">
        <v>9413</v>
      </c>
      <c r="G2884" s="148" t="s">
        <v>10008</v>
      </c>
      <c r="H2884" t="s">
        <v>10009</v>
      </c>
      <c r="K2884" s="148" t="s">
        <v>10010</v>
      </c>
      <c r="L2884" t="s">
        <v>10011</v>
      </c>
      <c r="M2884" s="1" t="s">
        <v>11258</v>
      </c>
      <c r="N2884" s="1">
        <v>0</v>
      </c>
      <c r="O2884" s="1">
        <v>1</v>
      </c>
      <c r="P2884" s="3">
        <v>0</v>
      </c>
      <c r="Q2884" s="3">
        <v>0</v>
      </c>
      <c r="R2884" s="3">
        <v>0</v>
      </c>
      <c r="S2884" s="3">
        <v>0</v>
      </c>
      <c r="T2884" t="s">
        <v>3643</v>
      </c>
      <c r="U2884" t="s">
        <v>3630</v>
      </c>
      <c r="V2884" t="s">
        <v>11259</v>
      </c>
      <c r="W2884" s="45">
        <v>0</v>
      </c>
      <c r="X2884" s="45">
        <v>0</v>
      </c>
      <c r="Y2884" s="45">
        <v>0</v>
      </c>
      <c r="Z2884" s="45">
        <v>0</v>
      </c>
      <c r="AA2884" s="45">
        <v>0</v>
      </c>
      <c r="AB2884" s="45">
        <v>0</v>
      </c>
      <c r="AC2884" s="150">
        <v>0</v>
      </c>
      <c r="AD2884" s="150">
        <v>0</v>
      </c>
      <c r="AE2884" s="49">
        <f t="shared" si="115"/>
        <v>0</v>
      </c>
      <c r="AF2884" s="44"/>
      <c r="AG2884" s="17">
        <v>0</v>
      </c>
      <c r="AH2884" s="44">
        <v>5</v>
      </c>
      <c r="AI2884" s="44">
        <v>5</v>
      </c>
      <c r="AJ2884" s="44">
        <v>5</v>
      </c>
      <c r="AK2884" s="151">
        <v>5</v>
      </c>
      <c r="AL2884" s="151">
        <v>5</v>
      </c>
      <c r="AM2884" s="147">
        <f t="shared" si="114"/>
        <v>10</v>
      </c>
      <c r="AN2884" t="s">
        <v>3643</v>
      </c>
      <c r="AO2884" s="18" t="s">
        <v>3630</v>
      </c>
      <c r="AP2884" t="s">
        <v>11260</v>
      </c>
    </row>
    <row r="2885" spans="1:42" customFormat="1" x14ac:dyDescent="0.3">
      <c r="A2885" s="148" t="s">
        <v>8319</v>
      </c>
      <c r="B2885" t="s">
        <v>8320</v>
      </c>
      <c r="C2885" s="148" t="s">
        <v>9410</v>
      </c>
      <c r="D2885" t="s">
        <v>9411</v>
      </c>
      <c r="E2885" s="148" t="s">
        <v>9412</v>
      </c>
      <c r="F2885" t="s">
        <v>9413</v>
      </c>
      <c r="G2885" s="148" t="s">
        <v>10008</v>
      </c>
      <c r="H2885" t="s">
        <v>10009</v>
      </c>
      <c r="K2885" s="148" t="s">
        <v>10010</v>
      </c>
      <c r="L2885" t="s">
        <v>10011</v>
      </c>
      <c r="M2885" s="1" t="s">
        <v>11261</v>
      </c>
      <c r="N2885" s="1"/>
      <c r="O2885" s="1">
        <v>300</v>
      </c>
      <c r="P2885" s="3">
        <v>300</v>
      </c>
      <c r="Q2885" s="3">
        <v>300</v>
      </c>
      <c r="R2885" s="3">
        <v>300</v>
      </c>
      <c r="S2885" s="3">
        <v>300</v>
      </c>
      <c r="T2885" t="s">
        <v>11262</v>
      </c>
      <c r="U2885" t="e">
        <v>#N/A</v>
      </c>
      <c r="V2885" t="s">
        <v>11263</v>
      </c>
      <c r="W2885" s="45">
        <v>0</v>
      </c>
      <c r="X2885" s="45">
        <v>0</v>
      </c>
      <c r="Y2885" s="45">
        <v>0</v>
      </c>
      <c r="Z2885" s="45">
        <v>0</v>
      </c>
      <c r="AA2885" s="45">
        <v>0</v>
      </c>
      <c r="AB2885" s="45">
        <v>0</v>
      </c>
      <c r="AC2885" s="150">
        <v>0</v>
      </c>
      <c r="AD2885" s="150">
        <v>0</v>
      </c>
      <c r="AE2885" s="49">
        <f t="shared" si="115"/>
        <v>0</v>
      </c>
      <c r="AF2885" s="17"/>
      <c r="AG2885" s="17">
        <v>0</v>
      </c>
      <c r="AH2885" s="17">
        <v>0</v>
      </c>
      <c r="AI2885" s="17">
        <v>0</v>
      </c>
      <c r="AJ2885" s="17">
        <v>0</v>
      </c>
      <c r="AK2885" s="153">
        <v>10</v>
      </c>
      <c r="AL2885" s="154">
        <v>10</v>
      </c>
      <c r="AM2885" s="147">
        <f t="shared" si="114"/>
        <v>20</v>
      </c>
      <c r="AN2885" t="s">
        <v>3643</v>
      </c>
      <c r="AO2885" s="18" t="s">
        <v>3630</v>
      </c>
      <c r="AP2885" t="s">
        <v>9640</v>
      </c>
    </row>
    <row r="2886" spans="1:42" customFormat="1" x14ac:dyDescent="0.3">
      <c r="A2886" s="148" t="s">
        <v>8319</v>
      </c>
      <c r="B2886" t="s">
        <v>8320</v>
      </c>
      <c r="C2886" s="148" t="s">
        <v>9410</v>
      </c>
      <c r="D2886" t="s">
        <v>9411</v>
      </c>
      <c r="E2886" s="148" t="s">
        <v>9412</v>
      </c>
      <c r="F2886" t="s">
        <v>9413</v>
      </c>
      <c r="G2886" s="148" t="s">
        <v>10008</v>
      </c>
      <c r="H2886" t="s">
        <v>10009</v>
      </c>
      <c r="K2886" s="148" t="s">
        <v>10010</v>
      </c>
      <c r="L2886" t="s">
        <v>10011</v>
      </c>
      <c r="M2886" s="1" t="s">
        <v>11264</v>
      </c>
      <c r="N2886" s="1"/>
      <c r="O2886" s="1">
        <v>3</v>
      </c>
      <c r="P2886" s="3">
        <v>3</v>
      </c>
      <c r="Q2886" s="3">
        <v>4</v>
      </c>
      <c r="R2886" s="3">
        <v>4</v>
      </c>
      <c r="S2886" s="3">
        <v>5</v>
      </c>
      <c r="T2886" t="s">
        <v>3643</v>
      </c>
      <c r="U2886" t="s">
        <v>3630</v>
      </c>
      <c r="V2886" t="s">
        <v>11265</v>
      </c>
      <c r="W2886" s="45">
        <v>0</v>
      </c>
      <c r="X2886" s="45">
        <v>0</v>
      </c>
      <c r="Y2886" s="45">
        <v>0</v>
      </c>
      <c r="Z2886" s="45">
        <v>0</v>
      </c>
      <c r="AA2886" s="45">
        <v>0</v>
      </c>
      <c r="AB2886" s="45">
        <v>0</v>
      </c>
      <c r="AC2886" s="150">
        <v>0</v>
      </c>
      <c r="AD2886" s="150">
        <v>0</v>
      </c>
      <c r="AE2886" s="49">
        <f t="shared" si="115"/>
        <v>0</v>
      </c>
      <c r="AF2886" s="17"/>
      <c r="AG2886" s="17">
        <v>0</v>
      </c>
      <c r="AH2886" s="17">
        <v>0</v>
      </c>
      <c r="AI2886" s="17">
        <v>0</v>
      </c>
      <c r="AJ2886" s="17">
        <v>0</v>
      </c>
      <c r="AK2886" s="153">
        <v>0</v>
      </c>
      <c r="AL2886" s="154">
        <v>0</v>
      </c>
      <c r="AM2886" s="147">
        <f t="shared" si="114"/>
        <v>0</v>
      </c>
      <c r="AN2886" t="s">
        <v>3643</v>
      </c>
      <c r="AO2886" s="18" t="s">
        <v>3630</v>
      </c>
      <c r="AP2886" t="s">
        <v>11266</v>
      </c>
    </row>
    <row r="2887" spans="1:42" customFormat="1" x14ac:dyDescent="0.3">
      <c r="A2887" s="148" t="s">
        <v>8319</v>
      </c>
      <c r="B2887" t="s">
        <v>8320</v>
      </c>
      <c r="C2887" s="148" t="s">
        <v>9410</v>
      </c>
      <c r="D2887" t="s">
        <v>9411</v>
      </c>
      <c r="E2887" s="148" t="s">
        <v>9412</v>
      </c>
      <c r="F2887" t="s">
        <v>9413</v>
      </c>
      <c r="G2887" s="148" t="s">
        <v>10008</v>
      </c>
      <c r="H2887" t="s">
        <v>10009</v>
      </c>
      <c r="K2887" s="148" t="s">
        <v>10010</v>
      </c>
      <c r="L2887" t="s">
        <v>10011</v>
      </c>
      <c r="M2887" s="1" t="s">
        <v>11267</v>
      </c>
      <c r="N2887" s="1">
        <v>28.1</v>
      </c>
      <c r="O2887" s="1">
        <v>30</v>
      </c>
      <c r="P2887" s="3">
        <v>35</v>
      </c>
      <c r="Q2887" s="3">
        <v>40</v>
      </c>
      <c r="R2887" s="3">
        <v>45</v>
      </c>
      <c r="S2887" s="3">
        <v>50</v>
      </c>
      <c r="T2887" t="s">
        <v>3643</v>
      </c>
      <c r="U2887" t="s">
        <v>3630</v>
      </c>
      <c r="V2887" t="s">
        <v>11268</v>
      </c>
      <c r="W2887" s="45">
        <v>0</v>
      </c>
      <c r="X2887" s="45">
        <v>0</v>
      </c>
      <c r="Y2887" s="45">
        <v>0</v>
      </c>
      <c r="Z2887" s="45">
        <v>0</v>
      </c>
      <c r="AA2887" s="45">
        <v>0</v>
      </c>
      <c r="AB2887" s="45">
        <v>0</v>
      </c>
      <c r="AC2887" s="150">
        <v>0</v>
      </c>
      <c r="AD2887" s="150">
        <v>0</v>
      </c>
      <c r="AE2887" s="49">
        <f t="shared" si="115"/>
        <v>0</v>
      </c>
      <c r="AF2887" s="17"/>
      <c r="AG2887" s="17">
        <v>0</v>
      </c>
      <c r="AH2887" s="17">
        <v>0</v>
      </c>
      <c r="AI2887" s="17">
        <v>0</v>
      </c>
      <c r="AJ2887" s="17">
        <v>0</v>
      </c>
      <c r="AK2887" s="153">
        <v>0</v>
      </c>
      <c r="AL2887" s="154">
        <v>0</v>
      </c>
      <c r="AM2887" s="147">
        <f t="shared" si="114"/>
        <v>0</v>
      </c>
      <c r="AN2887" t="s">
        <v>3643</v>
      </c>
      <c r="AO2887" s="18" t="s">
        <v>3630</v>
      </c>
      <c r="AP2887" t="s">
        <v>9807</v>
      </c>
    </row>
    <row r="2888" spans="1:42" customFormat="1" x14ac:dyDescent="0.3">
      <c r="A2888" s="148" t="s">
        <v>8319</v>
      </c>
      <c r="B2888" t="s">
        <v>8320</v>
      </c>
      <c r="C2888" s="148" t="s">
        <v>9410</v>
      </c>
      <c r="D2888" t="s">
        <v>9411</v>
      </c>
      <c r="E2888" s="148" t="s">
        <v>9412</v>
      </c>
      <c r="F2888" t="s">
        <v>9413</v>
      </c>
      <c r="G2888" s="148" t="s">
        <v>10008</v>
      </c>
      <c r="H2888" t="s">
        <v>10009</v>
      </c>
      <c r="K2888" s="148" t="s">
        <v>10010</v>
      </c>
      <c r="L2888" t="s">
        <v>10011</v>
      </c>
      <c r="M2888" s="1" t="s">
        <v>11269</v>
      </c>
      <c r="N2888" s="1">
        <v>35</v>
      </c>
      <c r="O2888" s="1">
        <v>39</v>
      </c>
      <c r="P2888" s="3">
        <v>42</v>
      </c>
      <c r="Q2888" s="3">
        <v>45</v>
      </c>
      <c r="R2888" s="3">
        <v>47</v>
      </c>
      <c r="S2888" s="3">
        <v>50</v>
      </c>
      <c r="T2888" t="s">
        <v>3643</v>
      </c>
      <c r="U2888" t="s">
        <v>3630</v>
      </c>
      <c r="V2888" t="s">
        <v>11270</v>
      </c>
      <c r="W2888" s="45">
        <v>0</v>
      </c>
      <c r="X2888" s="45">
        <v>0</v>
      </c>
      <c r="Y2888" s="45">
        <v>0</v>
      </c>
      <c r="Z2888" s="45">
        <v>0</v>
      </c>
      <c r="AA2888" s="45">
        <v>0</v>
      </c>
      <c r="AB2888" s="45">
        <v>0</v>
      </c>
      <c r="AC2888" s="150">
        <v>0</v>
      </c>
      <c r="AD2888" s="150">
        <v>0</v>
      </c>
      <c r="AE2888" s="49">
        <f t="shared" si="115"/>
        <v>0</v>
      </c>
      <c r="AF2888" s="17"/>
      <c r="AG2888" s="17">
        <v>0</v>
      </c>
      <c r="AH2888" s="17">
        <v>0</v>
      </c>
      <c r="AI2888" s="17">
        <v>0</v>
      </c>
      <c r="AJ2888" s="17">
        <v>0</v>
      </c>
      <c r="AK2888" s="153">
        <v>0</v>
      </c>
      <c r="AL2888" s="154">
        <v>0</v>
      </c>
      <c r="AM2888" s="147">
        <f t="shared" si="114"/>
        <v>0</v>
      </c>
      <c r="AN2888" t="s">
        <v>3643</v>
      </c>
      <c r="AO2888" s="18" t="s">
        <v>3630</v>
      </c>
      <c r="AP2888" t="s">
        <v>9807</v>
      </c>
    </row>
    <row r="2889" spans="1:42" customFormat="1" x14ac:dyDescent="0.3">
      <c r="A2889" s="148" t="s">
        <v>8319</v>
      </c>
      <c r="B2889" t="s">
        <v>8320</v>
      </c>
      <c r="C2889" s="148" t="s">
        <v>9410</v>
      </c>
      <c r="D2889" t="s">
        <v>9411</v>
      </c>
      <c r="E2889" s="148" t="s">
        <v>9412</v>
      </c>
      <c r="F2889" t="s">
        <v>9413</v>
      </c>
      <c r="G2889" s="148" t="s">
        <v>10008</v>
      </c>
      <c r="H2889" t="s">
        <v>10009</v>
      </c>
      <c r="K2889" s="148" t="s">
        <v>10010</v>
      </c>
      <c r="L2889" t="s">
        <v>10011</v>
      </c>
      <c r="M2889" s="1" t="s">
        <v>11271</v>
      </c>
      <c r="N2889" s="1">
        <v>28</v>
      </c>
      <c r="O2889" s="1">
        <v>24</v>
      </c>
      <c r="P2889" s="3">
        <v>20</v>
      </c>
      <c r="Q2889" s="3">
        <v>16</v>
      </c>
      <c r="R2889" s="3">
        <v>13</v>
      </c>
      <c r="S2889" s="3">
        <v>10</v>
      </c>
      <c r="T2889" t="s">
        <v>3643</v>
      </c>
      <c r="U2889" t="s">
        <v>3630</v>
      </c>
      <c r="V2889" t="s">
        <v>11272</v>
      </c>
      <c r="W2889" s="45">
        <v>0</v>
      </c>
      <c r="X2889" s="45">
        <v>0</v>
      </c>
      <c r="Y2889" s="45">
        <v>0</v>
      </c>
      <c r="Z2889" s="45">
        <v>0</v>
      </c>
      <c r="AA2889" s="45">
        <v>0</v>
      </c>
      <c r="AB2889" s="45">
        <v>0</v>
      </c>
      <c r="AC2889" s="150">
        <v>0</v>
      </c>
      <c r="AD2889" s="150">
        <v>0</v>
      </c>
      <c r="AE2889" s="49">
        <f t="shared" si="115"/>
        <v>0</v>
      </c>
      <c r="AF2889" s="17"/>
      <c r="AG2889" s="17">
        <v>0</v>
      </c>
      <c r="AH2889" s="17">
        <v>0</v>
      </c>
      <c r="AI2889" s="17">
        <v>0</v>
      </c>
      <c r="AJ2889" s="17">
        <v>0</v>
      </c>
      <c r="AK2889" s="153">
        <v>0</v>
      </c>
      <c r="AL2889" s="154">
        <v>0</v>
      </c>
      <c r="AM2889" s="147">
        <f t="shared" si="114"/>
        <v>0</v>
      </c>
      <c r="AN2889" t="s">
        <v>3643</v>
      </c>
      <c r="AO2889" s="18" t="s">
        <v>3630</v>
      </c>
      <c r="AP2889" t="s">
        <v>1893</v>
      </c>
    </row>
    <row r="2890" spans="1:42" customFormat="1" x14ac:dyDescent="0.3">
      <c r="A2890" s="148" t="s">
        <v>8319</v>
      </c>
      <c r="B2890" t="s">
        <v>8320</v>
      </c>
      <c r="C2890" s="148" t="s">
        <v>9410</v>
      </c>
      <c r="D2890" t="s">
        <v>9411</v>
      </c>
      <c r="E2890" s="148" t="s">
        <v>9412</v>
      </c>
      <c r="F2890" t="s">
        <v>9413</v>
      </c>
      <c r="G2890" s="148" t="s">
        <v>9814</v>
      </c>
      <c r="H2890" t="s">
        <v>9815</v>
      </c>
      <c r="K2890" s="148" t="s">
        <v>9816</v>
      </c>
      <c r="L2890" t="s">
        <v>9817</v>
      </c>
      <c r="M2890" s="1" t="s">
        <v>11273</v>
      </c>
      <c r="N2890" s="1"/>
      <c r="O2890" s="1">
        <v>0</v>
      </c>
      <c r="P2890" s="3">
        <v>1</v>
      </c>
      <c r="Q2890" s="3">
        <v>0</v>
      </c>
      <c r="R2890" s="3">
        <v>0</v>
      </c>
      <c r="S2890" s="3">
        <v>0</v>
      </c>
      <c r="T2890" t="s">
        <v>11274</v>
      </c>
      <c r="U2890" t="e">
        <v>#N/A</v>
      </c>
      <c r="V2890" t="s">
        <v>11275</v>
      </c>
      <c r="W2890" s="45">
        <v>0</v>
      </c>
      <c r="X2890" s="45">
        <v>0</v>
      </c>
      <c r="Y2890" s="45">
        <v>0</v>
      </c>
      <c r="Z2890" s="45">
        <v>0</v>
      </c>
      <c r="AA2890" s="45">
        <v>0</v>
      </c>
      <c r="AB2890" s="45">
        <v>0</v>
      </c>
      <c r="AC2890" s="150">
        <v>0</v>
      </c>
      <c r="AD2890" s="150">
        <v>0</v>
      </c>
      <c r="AE2890" s="49">
        <f t="shared" si="115"/>
        <v>0</v>
      </c>
      <c r="AF2890" s="17"/>
      <c r="AG2890" s="17">
        <v>0</v>
      </c>
      <c r="AH2890" s="17">
        <v>0</v>
      </c>
      <c r="AI2890" s="17">
        <v>0</v>
      </c>
      <c r="AJ2890" s="17">
        <v>0</v>
      </c>
      <c r="AK2890" s="153">
        <v>1</v>
      </c>
      <c r="AL2890" s="154">
        <v>1</v>
      </c>
      <c r="AM2890" s="147">
        <f t="shared" si="114"/>
        <v>2</v>
      </c>
      <c r="AN2890" s="1" t="s">
        <v>921</v>
      </c>
      <c r="AO2890" s="18" t="s">
        <v>880</v>
      </c>
      <c r="AP2890" t="s">
        <v>3643</v>
      </c>
    </row>
    <row r="2891" spans="1:42" customFormat="1" x14ac:dyDescent="0.3">
      <c r="A2891" s="148" t="s">
        <v>8319</v>
      </c>
      <c r="B2891" t="s">
        <v>8320</v>
      </c>
      <c r="C2891" s="148" t="s">
        <v>9410</v>
      </c>
      <c r="D2891" t="s">
        <v>9411</v>
      </c>
      <c r="E2891" s="148" t="s">
        <v>9412</v>
      </c>
      <c r="F2891" t="s">
        <v>9413</v>
      </c>
      <c r="G2891" s="148" t="s">
        <v>9814</v>
      </c>
      <c r="H2891" t="s">
        <v>9815</v>
      </c>
      <c r="K2891" s="148" t="s">
        <v>9816</v>
      </c>
      <c r="L2891" t="s">
        <v>9817</v>
      </c>
      <c r="M2891" s="1" t="s">
        <v>11276</v>
      </c>
      <c r="N2891" s="1"/>
      <c r="O2891" s="1">
        <v>0</v>
      </c>
      <c r="P2891" s="3">
        <v>1</v>
      </c>
      <c r="Q2891" s="3">
        <v>0</v>
      </c>
      <c r="R2891" s="3">
        <v>0</v>
      </c>
      <c r="S2891" s="3">
        <v>0</v>
      </c>
      <c r="T2891" t="s">
        <v>11274</v>
      </c>
      <c r="U2891" t="e">
        <v>#N/A</v>
      </c>
      <c r="V2891" t="s">
        <v>11277</v>
      </c>
      <c r="W2891" s="45">
        <v>0</v>
      </c>
      <c r="X2891" s="45">
        <v>0</v>
      </c>
      <c r="Y2891" s="45">
        <v>0</v>
      </c>
      <c r="Z2891" s="45">
        <v>0</v>
      </c>
      <c r="AA2891" s="45">
        <v>0</v>
      </c>
      <c r="AB2891" s="45">
        <v>0</v>
      </c>
      <c r="AC2891" s="150">
        <v>0</v>
      </c>
      <c r="AD2891" s="150">
        <v>0</v>
      </c>
      <c r="AE2891" s="49">
        <f t="shared" si="115"/>
        <v>0</v>
      </c>
      <c r="AF2891" s="17"/>
      <c r="AG2891" s="17">
        <v>0</v>
      </c>
      <c r="AH2891" s="17">
        <v>0</v>
      </c>
      <c r="AI2891" s="17">
        <v>0</v>
      </c>
      <c r="AJ2891" s="17">
        <v>0</v>
      </c>
      <c r="AK2891" s="153">
        <v>6</v>
      </c>
      <c r="AL2891" s="154">
        <v>6</v>
      </c>
      <c r="AM2891" s="147">
        <f t="shared" si="114"/>
        <v>12</v>
      </c>
      <c r="AN2891" s="1" t="s">
        <v>921</v>
      </c>
      <c r="AO2891" s="18" t="s">
        <v>880</v>
      </c>
      <c r="AP2891" t="s">
        <v>3643</v>
      </c>
    </row>
    <row r="2892" spans="1:42" customFormat="1" x14ac:dyDescent="0.3">
      <c r="A2892" s="148" t="s">
        <v>8319</v>
      </c>
      <c r="B2892" t="s">
        <v>8320</v>
      </c>
      <c r="C2892" s="148" t="s">
        <v>9410</v>
      </c>
      <c r="D2892" t="s">
        <v>9411</v>
      </c>
      <c r="E2892" s="148" t="s">
        <v>9412</v>
      </c>
      <c r="F2892" t="s">
        <v>9413</v>
      </c>
      <c r="G2892" s="148" t="s">
        <v>9814</v>
      </c>
      <c r="H2892" t="s">
        <v>9815</v>
      </c>
      <c r="K2892" s="148" t="s">
        <v>9816</v>
      </c>
      <c r="L2892" t="s">
        <v>9817</v>
      </c>
      <c r="M2892" s="1"/>
      <c r="N2892" s="1"/>
      <c r="O2892" s="1"/>
      <c r="P2892" s="3"/>
      <c r="Q2892" s="3"/>
      <c r="R2892" s="3"/>
      <c r="S2892" s="3"/>
      <c r="U2892" t="e">
        <v>#N/A</v>
      </c>
      <c r="V2892" t="s">
        <v>11278</v>
      </c>
      <c r="W2892" s="45">
        <v>0</v>
      </c>
      <c r="X2892" s="45">
        <v>0</v>
      </c>
      <c r="Y2892" s="45">
        <v>0</v>
      </c>
      <c r="Z2892" s="45">
        <v>0</v>
      </c>
      <c r="AA2892" s="45">
        <v>0</v>
      </c>
      <c r="AB2892" s="45">
        <v>0</v>
      </c>
      <c r="AC2892" s="150">
        <v>0</v>
      </c>
      <c r="AD2892" s="150">
        <v>0</v>
      </c>
      <c r="AE2892" s="49">
        <f t="shared" si="115"/>
        <v>0</v>
      </c>
      <c r="AF2892" s="17"/>
      <c r="AG2892" s="17">
        <v>0</v>
      </c>
      <c r="AH2892" s="17">
        <v>0</v>
      </c>
      <c r="AI2892" s="17">
        <v>0</v>
      </c>
      <c r="AJ2892" s="17">
        <v>0</v>
      </c>
      <c r="AK2892" s="153">
        <v>0</v>
      </c>
      <c r="AL2892" s="154">
        <v>0</v>
      </c>
      <c r="AM2892" s="147">
        <f t="shared" si="114"/>
        <v>0</v>
      </c>
      <c r="AN2892" s="44" t="s">
        <v>3643</v>
      </c>
      <c r="AO2892" s="18" t="s">
        <v>3630</v>
      </c>
      <c r="AP2892" t="s">
        <v>1536</v>
      </c>
    </row>
    <row r="2893" spans="1:42" customFormat="1" x14ac:dyDescent="0.3">
      <c r="A2893" s="148" t="s">
        <v>8319</v>
      </c>
      <c r="B2893" t="s">
        <v>8320</v>
      </c>
      <c r="C2893" s="148" t="s">
        <v>9410</v>
      </c>
      <c r="D2893" t="s">
        <v>9411</v>
      </c>
      <c r="E2893" s="148" t="s">
        <v>9412</v>
      </c>
      <c r="F2893" t="s">
        <v>9413</v>
      </c>
      <c r="G2893" s="148" t="s">
        <v>9814</v>
      </c>
      <c r="H2893" t="s">
        <v>9815</v>
      </c>
      <c r="K2893" s="148" t="s">
        <v>9816</v>
      </c>
      <c r="L2893" t="s">
        <v>9817</v>
      </c>
      <c r="M2893" s="1"/>
      <c r="N2893" s="1"/>
      <c r="O2893" s="1"/>
      <c r="P2893" s="3"/>
      <c r="Q2893" s="3"/>
      <c r="R2893" s="3"/>
      <c r="S2893" s="3"/>
      <c r="U2893" t="e">
        <v>#N/A</v>
      </c>
      <c r="V2893" t="s">
        <v>11279</v>
      </c>
      <c r="W2893" s="45">
        <v>0</v>
      </c>
      <c r="X2893" s="45">
        <v>0</v>
      </c>
      <c r="Y2893" s="45">
        <v>0</v>
      </c>
      <c r="Z2893" s="45">
        <v>0</v>
      </c>
      <c r="AA2893" s="45">
        <v>0</v>
      </c>
      <c r="AB2893" s="45">
        <v>0</v>
      </c>
      <c r="AC2893" s="150">
        <v>0</v>
      </c>
      <c r="AD2893" s="150">
        <v>0</v>
      </c>
      <c r="AE2893" s="49">
        <f t="shared" si="115"/>
        <v>0</v>
      </c>
      <c r="AF2893" s="44"/>
      <c r="AG2893" s="17">
        <v>0</v>
      </c>
      <c r="AH2893" s="44" t="s">
        <v>271</v>
      </c>
      <c r="AI2893" s="44" t="s">
        <v>271</v>
      </c>
      <c r="AJ2893" s="44" t="s">
        <v>271</v>
      </c>
      <c r="AK2893" s="151" t="s">
        <v>271</v>
      </c>
      <c r="AL2893" s="151" t="s">
        <v>271</v>
      </c>
      <c r="AM2893" s="147">
        <f t="shared" si="114"/>
        <v>0</v>
      </c>
      <c r="AN2893" s="44" t="s">
        <v>3643</v>
      </c>
      <c r="AO2893" s="18" t="s">
        <v>3630</v>
      </c>
      <c r="AP2893" t="s">
        <v>1536</v>
      </c>
    </row>
    <row r="2894" spans="1:42" customFormat="1" x14ac:dyDescent="0.3">
      <c r="A2894" s="148" t="s">
        <v>8319</v>
      </c>
      <c r="B2894" t="s">
        <v>8320</v>
      </c>
      <c r="C2894" s="148" t="s">
        <v>9410</v>
      </c>
      <c r="D2894" t="s">
        <v>9411</v>
      </c>
      <c r="E2894" s="148" t="s">
        <v>9412</v>
      </c>
      <c r="F2894" t="s">
        <v>9413</v>
      </c>
      <c r="G2894" s="148" t="s">
        <v>9814</v>
      </c>
      <c r="H2894" t="s">
        <v>9815</v>
      </c>
      <c r="K2894" s="148" t="s">
        <v>11280</v>
      </c>
      <c r="L2894" t="s">
        <v>11281</v>
      </c>
      <c r="M2894" s="1" t="s">
        <v>11282</v>
      </c>
      <c r="N2894" s="1"/>
      <c r="O2894" s="1">
        <v>0</v>
      </c>
      <c r="P2894" s="3">
        <v>1</v>
      </c>
      <c r="Q2894" s="3">
        <v>1</v>
      </c>
      <c r="R2894" s="3">
        <v>1</v>
      </c>
      <c r="S2894" s="3">
        <v>1</v>
      </c>
      <c r="T2894" t="s">
        <v>11283</v>
      </c>
      <c r="U2894" t="e">
        <v>#N/A</v>
      </c>
      <c r="V2894" t="s">
        <v>11284</v>
      </c>
      <c r="W2894" s="45">
        <v>0</v>
      </c>
      <c r="X2894" s="45">
        <v>0</v>
      </c>
      <c r="Y2894" s="45">
        <v>0</v>
      </c>
      <c r="Z2894" s="45">
        <v>0</v>
      </c>
      <c r="AA2894" s="45">
        <v>0</v>
      </c>
      <c r="AB2894" s="45">
        <v>0</v>
      </c>
      <c r="AC2894" s="150">
        <v>0</v>
      </c>
      <c r="AD2894" s="150">
        <v>0</v>
      </c>
      <c r="AE2894" s="49">
        <f t="shared" si="115"/>
        <v>0</v>
      </c>
      <c r="AF2894" s="44"/>
      <c r="AG2894" s="17">
        <v>0</v>
      </c>
      <c r="AH2894" s="44">
        <v>0</v>
      </c>
      <c r="AI2894" s="44">
        <v>0</v>
      </c>
      <c r="AJ2894" s="44">
        <v>0</v>
      </c>
      <c r="AK2894" s="151">
        <v>0</v>
      </c>
      <c r="AL2894" s="151">
        <v>0</v>
      </c>
      <c r="AM2894" s="147">
        <f t="shared" si="114"/>
        <v>0</v>
      </c>
      <c r="AN2894" s="1" t="s">
        <v>921</v>
      </c>
      <c r="AO2894" s="18" t="s">
        <v>880</v>
      </c>
      <c r="AP2894" t="s">
        <v>11285</v>
      </c>
    </row>
    <row r="2895" spans="1:42" customFormat="1" x14ac:dyDescent="0.3">
      <c r="A2895" s="148" t="s">
        <v>8319</v>
      </c>
      <c r="B2895" t="s">
        <v>8320</v>
      </c>
      <c r="C2895" s="148" t="s">
        <v>9410</v>
      </c>
      <c r="D2895" t="s">
        <v>9411</v>
      </c>
      <c r="E2895" s="148" t="s">
        <v>9412</v>
      </c>
      <c r="F2895" t="s">
        <v>9413</v>
      </c>
      <c r="G2895" s="148" t="s">
        <v>9814</v>
      </c>
      <c r="H2895" t="s">
        <v>9815</v>
      </c>
      <c r="K2895" s="148" t="s">
        <v>11286</v>
      </c>
      <c r="L2895" t="s">
        <v>11287</v>
      </c>
      <c r="M2895" s="1" t="s">
        <v>11288</v>
      </c>
      <c r="N2895" s="1"/>
      <c r="O2895" s="1">
        <v>0</v>
      </c>
      <c r="P2895" s="3">
        <v>0</v>
      </c>
      <c r="Q2895" s="3">
        <v>0</v>
      </c>
      <c r="R2895" s="3">
        <v>1</v>
      </c>
      <c r="S2895" s="3">
        <v>1</v>
      </c>
      <c r="T2895" t="s">
        <v>11289</v>
      </c>
      <c r="U2895" t="e">
        <v>#N/A</v>
      </c>
      <c r="V2895" t="s">
        <v>11290</v>
      </c>
      <c r="W2895" s="45">
        <v>0</v>
      </c>
      <c r="X2895" s="45">
        <v>0</v>
      </c>
      <c r="Y2895" s="45">
        <v>0</v>
      </c>
      <c r="Z2895" s="45">
        <v>0</v>
      </c>
      <c r="AA2895" s="45">
        <v>0</v>
      </c>
      <c r="AB2895" s="45">
        <v>0</v>
      </c>
      <c r="AC2895" s="150">
        <v>0</v>
      </c>
      <c r="AD2895" s="150">
        <v>0</v>
      </c>
      <c r="AE2895" s="49">
        <f t="shared" si="115"/>
        <v>0</v>
      </c>
      <c r="AF2895" s="44"/>
      <c r="AG2895" s="17">
        <v>0</v>
      </c>
      <c r="AH2895" s="44">
        <v>0</v>
      </c>
      <c r="AI2895" s="44">
        <v>0</v>
      </c>
      <c r="AJ2895" s="44">
        <v>0</v>
      </c>
      <c r="AK2895" s="151">
        <v>0</v>
      </c>
      <c r="AL2895" s="151">
        <v>0</v>
      </c>
      <c r="AM2895" s="147">
        <f t="shared" si="114"/>
        <v>0</v>
      </c>
      <c r="AN2895" s="1" t="s">
        <v>921</v>
      </c>
      <c r="AO2895" s="18" t="s">
        <v>880</v>
      </c>
      <c r="AP2895" t="s">
        <v>3643</v>
      </c>
    </row>
    <row r="2896" spans="1:42" customFormat="1" x14ac:dyDescent="0.3">
      <c r="A2896" s="148" t="s">
        <v>8319</v>
      </c>
      <c r="B2896" t="s">
        <v>8320</v>
      </c>
      <c r="C2896" s="148" t="s">
        <v>9410</v>
      </c>
      <c r="D2896" t="s">
        <v>9411</v>
      </c>
      <c r="E2896" s="148" t="s">
        <v>9412</v>
      </c>
      <c r="F2896" t="s">
        <v>9413</v>
      </c>
      <c r="G2896" s="148" t="s">
        <v>9814</v>
      </c>
      <c r="H2896" t="s">
        <v>9815</v>
      </c>
      <c r="K2896" s="148" t="s">
        <v>11291</v>
      </c>
      <c r="L2896" t="s">
        <v>11292</v>
      </c>
      <c r="M2896" s="1" t="s">
        <v>11293</v>
      </c>
      <c r="N2896" s="1"/>
      <c r="O2896" s="1">
        <v>0</v>
      </c>
      <c r="P2896" s="3" t="s">
        <v>11294</v>
      </c>
      <c r="Q2896" s="3" t="s">
        <v>11294</v>
      </c>
      <c r="R2896" s="3" t="s">
        <v>11294</v>
      </c>
      <c r="S2896" s="3" t="s">
        <v>11294</v>
      </c>
      <c r="T2896" t="s">
        <v>11289</v>
      </c>
      <c r="U2896" t="e">
        <v>#N/A</v>
      </c>
      <c r="V2896" t="s">
        <v>11295</v>
      </c>
      <c r="W2896" s="45">
        <v>0</v>
      </c>
      <c r="X2896" s="45">
        <v>0</v>
      </c>
      <c r="Y2896" s="45">
        <v>0</v>
      </c>
      <c r="Z2896" s="45">
        <v>0</v>
      </c>
      <c r="AA2896" s="45">
        <v>0</v>
      </c>
      <c r="AB2896" s="45">
        <v>0</v>
      </c>
      <c r="AC2896" s="150">
        <v>0</v>
      </c>
      <c r="AD2896" s="150">
        <v>0</v>
      </c>
      <c r="AE2896" s="49">
        <f t="shared" si="115"/>
        <v>0</v>
      </c>
      <c r="AF2896" s="44"/>
      <c r="AG2896" s="17">
        <v>0</v>
      </c>
      <c r="AH2896" s="44">
        <v>0</v>
      </c>
      <c r="AI2896" s="44">
        <v>0.72</v>
      </c>
      <c r="AJ2896" s="44">
        <v>0.72</v>
      </c>
      <c r="AK2896" s="151">
        <v>0.72</v>
      </c>
      <c r="AL2896" s="151">
        <v>0.72</v>
      </c>
      <c r="AM2896" s="147">
        <f t="shared" si="114"/>
        <v>1.44</v>
      </c>
      <c r="AN2896" s="1" t="s">
        <v>3643</v>
      </c>
      <c r="AO2896" s="18" t="s">
        <v>3630</v>
      </c>
      <c r="AP2896" t="s">
        <v>921</v>
      </c>
    </row>
    <row r="2897" spans="1:42" customFormat="1" x14ac:dyDescent="0.3">
      <c r="A2897" s="148" t="s">
        <v>8319</v>
      </c>
      <c r="B2897" t="s">
        <v>8320</v>
      </c>
      <c r="C2897" s="148" t="s">
        <v>9410</v>
      </c>
      <c r="D2897" t="s">
        <v>9411</v>
      </c>
      <c r="E2897" s="148" t="s">
        <v>9412</v>
      </c>
      <c r="F2897" t="s">
        <v>9413</v>
      </c>
      <c r="G2897" s="148" t="s">
        <v>9471</v>
      </c>
      <c r="H2897" t="s">
        <v>9472</v>
      </c>
      <c r="K2897" s="148" t="s">
        <v>9473</v>
      </c>
      <c r="L2897" t="s">
        <v>9474</v>
      </c>
      <c r="M2897" s="1" t="s">
        <v>11296</v>
      </c>
      <c r="N2897" s="1"/>
      <c r="O2897" s="1">
        <v>1</v>
      </c>
      <c r="P2897" s="3">
        <v>1</v>
      </c>
      <c r="Q2897" s="3">
        <v>1</v>
      </c>
      <c r="R2897" s="3">
        <v>1</v>
      </c>
      <c r="S2897" s="3">
        <v>1</v>
      </c>
      <c r="T2897" t="s">
        <v>11297</v>
      </c>
      <c r="U2897" t="e">
        <v>#N/A</v>
      </c>
      <c r="V2897" t="s">
        <v>11298</v>
      </c>
      <c r="W2897" s="45">
        <v>0</v>
      </c>
      <c r="X2897" s="45">
        <v>0</v>
      </c>
      <c r="Y2897" s="45">
        <v>0</v>
      </c>
      <c r="Z2897" s="45">
        <v>0</v>
      </c>
      <c r="AA2897" s="45">
        <v>0</v>
      </c>
      <c r="AB2897" s="45">
        <v>0</v>
      </c>
      <c r="AC2897" s="150">
        <v>0</v>
      </c>
      <c r="AD2897" s="150">
        <v>0</v>
      </c>
      <c r="AE2897" s="49">
        <f t="shared" si="115"/>
        <v>0</v>
      </c>
      <c r="AF2897" s="17"/>
      <c r="AG2897" s="17">
        <v>0</v>
      </c>
      <c r="AH2897" s="17">
        <v>0</v>
      </c>
      <c r="AI2897" s="17">
        <v>0</v>
      </c>
      <c r="AJ2897" s="17">
        <v>0</v>
      </c>
      <c r="AK2897" s="153">
        <v>0</v>
      </c>
      <c r="AL2897" s="154">
        <v>0</v>
      </c>
      <c r="AM2897" s="147">
        <f t="shared" si="114"/>
        <v>0</v>
      </c>
      <c r="AN2897" s="1" t="s">
        <v>3643</v>
      </c>
      <c r="AO2897" s="18" t="s">
        <v>3630</v>
      </c>
      <c r="AP2897" t="s">
        <v>11299</v>
      </c>
    </row>
    <row r="2898" spans="1:42" customFormat="1" x14ac:dyDescent="0.3">
      <c r="A2898" s="148" t="s">
        <v>8319</v>
      </c>
      <c r="B2898" t="s">
        <v>8320</v>
      </c>
      <c r="C2898" s="148" t="s">
        <v>9410</v>
      </c>
      <c r="D2898" t="s">
        <v>9411</v>
      </c>
      <c r="E2898" s="148" t="s">
        <v>9412</v>
      </c>
      <c r="F2898" t="s">
        <v>9413</v>
      </c>
      <c r="G2898" s="148" t="s">
        <v>9471</v>
      </c>
      <c r="H2898" t="s">
        <v>9472</v>
      </c>
      <c r="K2898" s="148" t="s">
        <v>9473</v>
      </c>
      <c r="L2898" t="s">
        <v>9474</v>
      </c>
      <c r="M2898" s="1" t="s">
        <v>11300</v>
      </c>
      <c r="N2898" s="1"/>
      <c r="O2898" s="1">
        <v>5</v>
      </c>
      <c r="P2898" s="3">
        <v>10</v>
      </c>
      <c r="Q2898" s="3">
        <v>15</v>
      </c>
      <c r="R2898" s="3">
        <v>20</v>
      </c>
      <c r="S2898" s="3">
        <v>25</v>
      </c>
      <c r="T2898" t="s">
        <v>11301</v>
      </c>
      <c r="U2898" t="e">
        <v>#N/A</v>
      </c>
      <c r="V2898" t="s">
        <v>11302</v>
      </c>
      <c r="W2898" s="45">
        <v>0</v>
      </c>
      <c r="X2898" s="45">
        <v>0</v>
      </c>
      <c r="Y2898" s="45">
        <v>0</v>
      </c>
      <c r="Z2898" s="45">
        <v>0</v>
      </c>
      <c r="AA2898" s="45">
        <v>0</v>
      </c>
      <c r="AB2898" s="45">
        <v>0</v>
      </c>
      <c r="AC2898" s="150">
        <v>0</v>
      </c>
      <c r="AD2898" s="150">
        <v>0</v>
      </c>
      <c r="AE2898" s="49">
        <f t="shared" si="115"/>
        <v>0</v>
      </c>
      <c r="AF2898" s="17"/>
      <c r="AG2898" s="17">
        <v>0</v>
      </c>
      <c r="AH2898" s="17">
        <v>0</v>
      </c>
      <c r="AI2898" s="17">
        <v>0</v>
      </c>
      <c r="AJ2898" s="17">
        <v>0</v>
      </c>
      <c r="AK2898" s="153">
        <v>0</v>
      </c>
      <c r="AL2898" s="154">
        <v>0</v>
      </c>
      <c r="AM2898" s="147">
        <f t="shared" si="114"/>
        <v>0</v>
      </c>
      <c r="AN2898" t="s">
        <v>101</v>
      </c>
      <c r="AO2898" s="18" t="s">
        <v>103</v>
      </c>
      <c r="AP2898" s="44" t="s">
        <v>9738</v>
      </c>
    </row>
    <row r="2899" spans="1:42" customFormat="1" x14ac:dyDescent="0.3">
      <c r="A2899" s="148" t="s">
        <v>8319</v>
      </c>
      <c r="B2899" t="s">
        <v>8320</v>
      </c>
      <c r="C2899" s="148" t="s">
        <v>9410</v>
      </c>
      <c r="D2899" t="s">
        <v>9411</v>
      </c>
      <c r="E2899" s="148" t="s">
        <v>9412</v>
      </c>
      <c r="F2899" t="s">
        <v>9413</v>
      </c>
      <c r="G2899" s="148" t="s">
        <v>9471</v>
      </c>
      <c r="H2899" t="s">
        <v>9472</v>
      </c>
      <c r="K2899" s="148" t="s">
        <v>9473</v>
      </c>
      <c r="L2899" t="s">
        <v>9474</v>
      </c>
      <c r="M2899" s="1" t="s">
        <v>11303</v>
      </c>
      <c r="N2899" s="1">
        <v>5</v>
      </c>
      <c r="O2899" s="1">
        <v>10</v>
      </c>
      <c r="P2899" s="3">
        <v>10</v>
      </c>
      <c r="Q2899" s="3">
        <v>10</v>
      </c>
      <c r="R2899" s="3">
        <v>10</v>
      </c>
      <c r="S2899" s="3">
        <v>10</v>
      </c>
      <c r="T2899" t="s">
        <v>3643</v>
      </c>
      <c r="U2899" t="s">
        <v>3630</v>
      </c>
      <c r="V2899" t="s">
        <v>11304</v>
      </c>
      <c r="W2899" s="45">
        <v>0</v>
      </c>
      <c r="X2899" s="45">
        <v>0</v>
      </c>
      <c r="Y2899" s="45">
        <v>0</v>
      </c>
      <c r="Z2899" s="45">
        <v>0</v>
      </c>
      <c r="AA2899" s="45">
        <v>0</v>
      </c>
      <c r="AB2899" s="45">
        <v>0</v>
      </c>
      <c r="AC2899" s="150">
        <v>0</v>
      </c>
      <c r="AD2899" s="150">
        <v>0</v>
      </c>
      <c r="AE2899" s="49">
        <f t="shared" si="115"/>
        <v>0</v>
      </c>
      <c r="AF2899" s="17"/>
      <c r="AG2899" s="17">
        <v>0</v>
      </c>
      <c r="AH2899" s="17">
        <v>0</v>
      </c>
      <c r="AI2899" s="17">
        <v>0</v>
      </c>
      <c r="AJ2899" s="17">
        <v>0</v>
      </c>
      <c r="AK2899" s="153">
        <v>0</v>
      </c>
      <c r="AL2899" s="154">
        <v>0</v>
      </c>
      <c r="AM2899" s="147">
        <f t="shared" si="114"/>
        <v>0</v>
      </c>
      <c r="AN2899" t="s">
        <v>3643</v>
      </c>
      <c r="AO2899" s="18" t="s">
        <v>3630</v>
      </c>
      <c r="AP2899" t="s">
        <v>11305</v>
      </c>
    </row>
    <row r="2900" spans="1:42" customFormat="1" x14ac:dyDescent="0.3">
      <c r="A2900" s="148" t="s">
        <v>8319</v>
      </c>
      <c r="B2900" t="s">
        <v>8320</v>
      </c>
      <c r="C2900" s="148" t="s">
        <v>9410</v>
      </c>
      <c r="D2900" t="s">
        <v>9411</v>
      </c>
      <c r="E2900" s="148" t="s">
        <v>9412</v>
      </c>
      <c r="F2900" t="s">
        <v>9413</v>
      </c>
      <c r="G2900" s="148" t="s">
        <v>9471</v>
      </c>
      <c r="H2900" t="s">
        <v>9472</v>
      </c>
      <c r="K2900" s="148" t="s">
        <v>11306</v>
      </c>
      <c r="L2900" t="s">
        <v>11307</v>
      </c>
      <c r="M2900" s="1" t="s">
        <v>11308</v>
      </c>
      <c r="N2900" s="1" t="s">
        <v>11309</v>
      </c>
      <c r="O2900" s="1">
        <v>4</v>
      </c>
      <c r="P2900" s="3">
        <v>4</v>
      </c>
      <c r="Q2900" s="3">
        <v>4</v>
      </c>
      <c r="R2900" s="3">
        <v>4</v>
      </c>
      <c r="S2900" s="3">
        <v>4</v>
      </c>
      <c r="T2900" t="s">
        <v>11310</v>
      </c>
      <c r="U2900" t="e">
        <v>#N/A</v>
      </c>
      <c r="V2900" t="s">
        <v>11311</v>
      </c>
      <c r="W2900" s="45">
        <v>0</v>
      </c>
      <c r="X2900" s="45">
        <v>0</v>
      </c>
      <c r="Y2900" s="45">
        <v>0</v>
      </c>
      <c r="Z2900" s="45">
        <v>0</v>
      </c>
      <c r="AA2900" s="45">
        <v>0</v>
      </c>
      <c r="AB2900" s="45">
        <v>0</v>
      </c>
      <c r="AC2900" s="150">
        <v>0</v>
      </c>
      <c r="AD2900" s="150">
        <v>0</v>
      </c>
      <c r="AE2900" s="49">
        <f t="shared" si="115"/>
        <v>0</v>
      </c>
      <c r="AF2900" s="17"/>
      <c r="AG2900" s="17">
        <v>0</v>
      </c>
      <c r="AH2900" s="17">
        <v>0</v>
      </c>
      <c r="AI2900" s="17">
        <v>0</v>
      </c>
      <c r="AJ2900" s="17">
        <v>0</v>
      </c>
      <c r="AK2900" s="153">
        <v>0</v>
      </c>
      <c r="AL2900" s="154">
        <v>0</v>
      </c>
      <c r="AM2900" s="147">
        <f t="shared" si="114"/>
        <v>0</v>
      </c>
      <c r="AN2900" t="s">
        <v>3643</v>
      </c>
      <c r="AO2900" s="18" t="s">
        <v>3630</v>
      </c>
      <c r="AP2900" t="s">
        <v>9807</v>
      </c>
    </row>
    <row r="2901" spans="1:42" customFormat="1" x14ac:dyDescent="0.3">
      <c r="A2901" s="148" t="s">
        <v>8319</v>
      </c>
      <c r="B2901" t="s">
        <v>8320</v>
      </c>
      <c r="C2901" s="148" t="s">
        <v>9410</v>
      </c>
      <c r="D2901" t="s">
        <v>9411</v>
      </c>
      <c r="E2901" s="148" t="s">
        <v>9412</v>
      </c>
      <c r="F2901" t="s">
        <v>9413</v>
      </c>
      <c r="G2901" s="148" t="s">
        <v>9820</v>
      </c>
      <c r="H2901" t="s">
        <v>9821</v>
      </c>
      <c r="K2901" s="148" t="s">
        <v>11312</v>
      </c>
      <c r="L2901" t="s">
        <v>11313</v>
      </c>
      <c r="M2901" s="1" t="s">
        <v>11314</v>
      </c>
      <c r="N2901" s="1" t="s">
        <v>7022</v>
      </c>
      <c r="O2901" s="1">
        <v>1</v>
      </c>
      <c r="P2901" s="3">
        <v>0</v>
      </c>
      <c r="Q2901" s="3">
        <v>0</v>
      </c>
      <c r="R2901" s="3">
        <v>0</v>
      </c>
      <c r="S2901" s="3">
        <v>0</v>
      </c>
      <c r="T2901" t="s">
        <v>3643</v>
      </c>
      <c r="U2901" t="s">
        <v>3630</v>
      </c>
      <c r="V2901" t="s">
        <v>11315</v>
      </c>
      <c r="W2901" s="45">
        <v>0</v>
      </c>
      <c r="X2901" s="45">
        <v>0</v>
      </c>
      <c r="Y2901" s="45">
        <v>0</v>
      </c>
      <c r="Z2901" s="45">
        <v>0</v>
      </c>
      <c r="AA2901" s="45">
        <v>0</v>
      </c>
      <c r="AB2901" s="45">
        <v>0</v>
      </c>
      <c r="AC2901" s="150">
        <v>0</v>
      </c>
      <c r="AD2901" s="150">
        <v>0</v>
      </c>
      <c r="AE2901" s="49">
        <f t="shared" si="115"/>
        <v>0</v>
      </c>
      <c r="AF2901" s="44"/>
      <c r="AG2901" s="17">
        <v>0</v>
      </c>
      <c r="AH2901" s="44">
        <v>0.05</v>
      </c>
      <c r="AI2901" s="44">
        <v>0</v>
      </c>
      <c r="AJ2901" s="44">
        <v>0</v>
      </c>
      <c r="AK2901" s="151">
        <v>8</v>
      </c>
      <c r="AL2901" s="151">
        <v>0</v>
      </c>
      <c r="AM2901" s="147">
        <f t="shared" si="114"/>
        <v>8</v>
      </c>
      <c r="AN2901" t="s">
        <v>3643</v>
      </c>
      <c r="AO2901" s="18" t="s">
        <v>3630</v>
      </c>
      <c r="AP2901" t="s">
        <v>11316</v>
      </c>
    </row>
    <row r="2902" spans="1:42" customFormat="1" x14ac:dyDescent="0.3">
      <c r="A2902" s="148" t="s">
        <v>8319</v>
      </c>
      <c r="B2902" t="s">
        <v>8320</v>
      </c>
      <c r="C2902" s="148" t="s">
        <v>9410</v>
      </c>
      <c r="D2902" t="s">
        <v>9411</v>
      </c>
      <c r="E2902" s="148" t="s">
        <v>9412</v>
      </c>
      <c r="F2902" t="s">
        <v>9413</v>
      </c>
      <c r="G2902" s="148" t="s">
        <v>9820</v>
      </c>
      <c r="H2902" t="s">
        <v>9821</v>
      </c>
      <c r="K2902" s="148" t="s">
        <v>10342</v>
      </c>
      <c r="L2902" t="s">
        <v>10343</v>
      </c>
      <c r="M2902" s="1" t="s">
        <v>11317</v>
      </c>
      <c r="N2902" s="1">
        <v>0</v>
      </c>
      <c r="O2902" s="1">
        <v>10</v>
      </c>
      <c r="P2902" s="3">
        <v>20</v>
      </c>
      <c r="Q2902" s="3">
        <v>40</v>
      </c>
      <c r="R2902" s="3">
        <v>50</v>
      </c>
      <c r="S2902" s="3">
        <v>60</v>
      </c>
      <c r="T2902" t="s">
        <v>255</v>
      </c>
      <c r="U2902" t="s">
        <v>1045</v>
      </c>
      <c r="V2902" t="s">
        <v>11318</v>
      </c>
      <c r="W2902" s="45">
        <v>0</v>
      </c>
      <c r="X2902" s="45">
        <v>0</v>
      </c>
      <c r="Y2902" s="45">
        <v>0</v>
      </c>
      <c r="Z2902" s="45">
        <v>0</v>
      </c>
      <c r="AA2902" s="45">
        <v>0</v>
      </c>
      <c r="AB2902" s="45">
        <v>0</v>
      </c>
      <c r="AC2902" s="150">
        <v>0</v>
      </c>
      <c r="AD2902" s="150">
        <v>0</v>
      </c>
      <c r="AE2902" s="49">
        <f t="shared" si="115"/>
        <v>0</v>
      </c>
      <c r="AF2902" s="44"/>
      <c r="AG2902" s="17">
        <v>0</v>
      </c>
      <c r="AH2902" s="44">
        <v>0.5</v>
      </c>
      <c r="AI2902" s="44">
        <v>1</v>
      </c>
      <c r="AJ2902" s="44">
        <v>1.5</v>
      </c>
      <c r="AK2902" s="151">
        <v>2</v>
      </c>
      <c r="AL2902" s="151">
        <v>2</v>
      </c>
      <c r="AM2902" s="147">
        <f t="shared" si="114"/>
        <v>4</v>
      </c>
      <c r="AN2902" s="18" t="s">
        <v>255</v>
      </c>
      <c r="AO2902" s="18" t="s">
        <v>1045</v>
      </c>
      <c r="AP2902" t="s">
        <v>3643</v>
      </c>
    </row>
    <row r="2903" spans="1:42" customFormat="1" x14ac:dyDescent="0.3">
      <c r="A2903" s="148" t="s">
        <v>8319</v>
      </c>
      <c r="B2903" t="s">
        <v>8320</v>
      </c>
      <c r="C2903" s="148" t="s">
        <v>9410</v>
      </c>
      <c r="D2903" t="s">
        <v>9411</v>
      </c>
      <c r="E2903" s="148" t="s">
        <v>9412</v>
      </c>
      <c r="F2903" t="s">
        <v>9413</v>
      </c>
      <c r="G2903" s="148" t="s">
        <v>9820</v>
      </c>
      <c r="H2903" t="s">
        <v>9821</v>
      </c>
      <c r="K2903" s="148" t="s">
        <v>10342</v>
      </c>
      <c r="L2903" t="s">
        <v>10343</v>
      </c>
      <c r="M2903" s="1"/>
      <c r="N2903" s="1"/>
      <c r="O2903" s="1"/>
      <c r="P2903" s="3"/>
      <c r="Q2903" s="3"/>
      <c r="R2903" s="3"/>
      <c r="S2903" s="3"/>
      <c r="U2903" t="e">
        <v>#N/A</v>
      </c>
      <c r="V2903" t="s">
        <v>11319</v>
      </c>
      <c r="W2903" s="45">
        <v>0</v>
      </c>
      <c r="X2903" s="45">
        <v>0</v>
      </c>
      <c r="Y2903" s="45">
        <v>0</v>
      </c>
      <c r="Z2903" s="45">
        <v>0</v>
      </c>
      <c r="AA2903" s="45">
        <v>0</v>
      </c>
      <c r="AB2903" s="45">
        <v>0</v>
      </c>
      <c r="AC2903" s="150">
        <v>0</v>
      </c>
      <c r="AD2903" s="150">
        <v>0</v>
      </c>
      <c r="AE2903" s="49">
        <f t="shared" si="115"/>
        <v>0</v>
      </c>
      <c r="AF2903" s="17"/>
      <c r="AG2903" s="17">
        <v>0</v>
      </c>
      <c r="AH2903" s="17">
        <v>0</v>
      </c>
      <c r="AI2903" s="17">
        <v>0</v>
      </c>
      <c r="AJ2903" s="17">
        <v>0</v>
      </c>
      <c r="AK2903" s="153">
        <v>0</v>
      </c>
      <c r="AL2903" s="154">
        <v>0</v>
      </c>
      <c r="AM2903" s="147">
        <f t="shared" si="114"/>
        <v>0</v>
      </c>
      <c r="AN2903" t="s">
        <v>3643</v>
      </c>
      <c r="AO2903" s="18" t="s">
        <v>3630</v>
      </c>
      <c r="AP2903" t="s">
        <v>11320</v>
      </c>
    </row>
    <row r="2904" spans="1:42" customFormat="1" x14ac:dyDescent="0.3">
      <c r="A2904" s="148" t="s">
        <v>8319</v>
      </c>
      <c r="B2904" t="s">
        <v>8320</v>
      </c>
      <c r="C2904" s="148" t="s">
        <v>9410</v>
      </c>
      <c r="D2904" t="s">
        <v>9411</v>
      </c>
      <c r="E2904" s="148" t="s">
        <v>9412</v>
      </c>
      <c r="F2904" t="s">
        <v>9413</v>
      </c>
      <c r="G2904" s="148" t="s">
        <v>9820</v>
      </c>
      <c r="H2904" t="s">
        <v>9821</v>
      </c>
      <c r="K2904" s="148" t="s">
        <v>11321</v>
      </c>
      <c r="L2904" t="s">
        <v>11322</v>
      </c>
      <c r="M2904" s="1"/>
      <c r="N2904" s="1"/>
      <c r="O2904" s="1"/>
      <c r="P2904" s="3"/>
      <c r="Q2904" s="3"/>
      <c r="R2904" s="3"/>
      <c r="S2904" s="3"/>
      <c r="U2904" t="e">
        <v>#N/A</v>
      </c>
      <c r="V2904" t="s">
        <v>11323</v>
      </c>
      <c r="W2904" s="45">
        <v>0</v>
      </c>
      <c r="X2904" s="45">
        <v>0</v>
      </c>
      <c r="Y2904" s="45">
        <v>0</v>
      </c>
      <c r="Z2904" s="45">
        <v>0</v>
      </c>
      <c r="AA2904" s="45">
        <v>0</v>
      </c>
      <c r="AB2904" s="45">
        <v>0</v>
      </c>
      <c r="AC2904" s="150">
        <v>0</v>
      </c>
      <c r="AD2904" s="150">
        <v>0</v>
      </c>
      <c r="AE2904" s="49">
        <f t="shared" si="115"/>
        <v>0</v>
      </c>
      <c r="AF2904" s="44"/>
      <c r="AG2904" s="17">
        <v>0</v>
      </c>
      <c r="AH2904" s="44">
        <v>0</v>
      </c>
      <c r="AI2904" s="44">
        <v>0.15</v>
      </c>
      <c r="AJ2904" s="44">
        <v>0.15</v>
      </c>
      <c r="AK2904" s="151">
        <v>0.15</v>
      </c>
      <c r="AL2904" s="151">
        <v>0.15</v>
      </c>
      <c r="AM2904" s="147">
        <f t="shared" si="114"/>
        <v>0.3</v>
      </c>
      <c r="AN2904" t="s">
        <v>3643</v>
      </c>
      <c r="AO2904" s="18" t="s">
        <v>3630</v>
      </c>
      <c r="AP2904" t="s">
        <v>280</v>
      </c>
    </row>
    <row r="2905" spans="1:42" customFormat="1" x14ac:dyDescent="0.3">
      <c r="A2905" s="148" t="s">
        <v>8319</v>
      </c>
      <c r="B2905" t="s">
        <v>8320</v>
      </c>
      <c r="C2905" s="148" t="s">
        <v>9410</v>
      </c>
      <c r="D2905" t="s">
        <v>9411</v>
      </c>
      <c r="E2905" s="148" t="s">
        <v>9412</v>
      </c>
      <c r="F2905" t="s">
        <v>9413</v>
      </c>
      <c r="G2905" s="148" t="s">
        <v>9820</v>
      </c>
      <c r="H2905" t="s">
        <v>9821</v>
      </c>
      <c r="K2905" s="148" t="s">
        <v>11324</v>
      </c>
      <c r="L2905" t="s">
        <v>11325</v>
      </c>
      <c r="M2905" s="1"/>
      <c r="N2905" s="1"/>
      <c r="O2905" s="1"/>
      <c r="P2905" s="3"/>
      <c r="Q2905" s="3"/>
      <c r="R2905" s="3"/>
      <c r="S2905" s="3"/>
      <c r="U2905" t="e">
        <v>#N/A</v>
      </c>
      <c r="V2905" t="s">
        <v>11326</v>
      </c>
      <c r="W2905" s="45">
        <v>0</v>
      </c>
      <c r="X2905" s="45">
        <v>0</v>
      </c>
      <c r="Y2905" s="45">
        <v>0</v>
      </c>
      <c r="Z2905" s="45">
        <v>0</v>
      </c>
      <c r="AA2905" s="45">
        <v>0</v>
      </c>
      <c r="AB2905" s="45">
        <v>0</v>
      </c>
      <c r="AC2905" s="150">
        <v>0</v>
      </c>
      <c r="AD2905" s="150">
        <v>0</v>
      </c>
      <c r="AE2905" s="49">
        <f t="shared" si="115"/>
        <v>0</v>
      </c>
      <c r="AF2905" s="44"/>
      <c r="AG2905" s="17">
        <v>0</v>
      </c>
      <c r="AH2905" s="44">
        <v>0.1</v>
      </c>
      <c r="AI2905" s="44">
        <v>0.1</v>
      </c>
      <c r="AJ2905" s="44">
        <v>0.1</v>
      </c>
      <c r="AK2905" s="151">
        <v>0.1</v>
      </c>
      <c r="AL2905" s="151">
        <v>0.1</v>
      </c>
      <c r="AM2905" s="147">
        <f t="shared" si="114"/>
        <v>0.2</v>
      </c>
      <c r="AN2905" t="s">
        <v>3643</v>
      </c>
      <c r="AO2905" s="18" t="s">
        <v>3630</v>
      </c>
      <c r="AP2905" t="s">
        <v>9757</v>
      </c>
    </row>
    <row r="2906" spans="1:42" customFormat="1" x14ac:dyDescent="0.3">
      <c r="A2906" s="148" t="s">
        <v>8319</v>
      </c>
      <c r="B2906" t="s">
        <v>8320</v>
      </c>
      <c r="C2906" s="148" t="s">
        <v>9410</v>
      </c>
      <c r="D2906" t="s">
        <v>9411</v>
      </c>
      <c r="E2906" s="148" t="s">
        <v>9412</v>
      </c>
      <c r="F2906" t="s">
        <v>9413</v>
      </c>
      <c r="G2906" s="148" t="s">
        <v>9820</v>
      </c>
      <c r="H2906" t="s">
        <v>9821</v>
      </c>
      <c r="K2906" s="148" t="s">
        <v>11324</v>
      </c>
      <c r="L2906" t="s">
        <v>11325</v>
      </c>
      <c r="M2906" s="1"/>
      <c r="N2906" s="1"/>
      <c r="O2906" s="1"/>
      <c r="P2906" s="3"/>
      <c r="Q2906" s="3"/>
      <c r="R2906" s="3"/>
      <c r="S2906" s="3"/>
      <c r="U2906" t="e">
        <v>#N/A</v>
      </c>
      <c r="V2906" t="s">
        <v>11327</v>
      </c>
      <c r="W2906" s="45">
        <v>0</v>
      </c>
      <c r="X2906" s="45">
        <v>0</v>
      </c>
      <c r="Y2906" s="45">
        <v>0</v>
      </c>
      <c r="Z2906" s="45">
        <v>0</v>
      </c>
      <c r="AA2906" s="45">
        <v>0</v>
      </c>
      <c r="AB2906" s="45">
        <v>0</v>
      </c>
      <c r="AC2906" s="150">
        <v>0</v>
      </c>
      <c r="AD2906" s="150">
        <v>0</v>
      </c>
      <c r="AE2906" s="49">
        <f t="shared" si="115"/>
        <v>0</v>
      </c>
      <c r="AF2906" s="44"/>
      <c r="AG2906" s="17">
        <v>0</v>
      </c>
      <c r="AH2906" s="44">
        <v>0.5</v>
      </c>
      <c r="AI2906" s="44">
        <v>0.5</v>
      </c>
      <c r="AJ2906" s="44">
        <v>0.5</v>
      </c>
      <c r="AK2906" s="151">
        <v>0.5</v>
      </c>
      <c r="AL2906" s="151">
        <v>0.5</v>
      </c>
      <c r="AM2906" s="147">
        <f t="shared" si="114"/>
        <v>1</v>
      </c>
      <c r="AN2906" t="s">
        <v>3643</v>
      </c>
      <c r="AO2906" s="18" t="s">
        <v>3630</v>
      </c>
      <c r="AP2906" t="s">
        <v>9757</v>
      </c>
    </row>
    <row r="2907" spans="1:42" customFormat="1" x14ac:dyDescent="0.3">
      <c r="A2907" s="148" t="s">
        <v>8319</v>
      </c>
      <c r="B2907" t="s">
        <v>8320</v>
      </c>
      <c r="C2907" s="148" t="s">
        <v>9410</v>
      </c>
      <c r="D2907" t="s">
        <v>9411</v>
      </c>
      <c r="E2907" s="148" t="s">
        <v>9412</v>
      </c>
      <c r="F2907" t="s">
        <v>9413</v>
      </c>
      <c r="G2907" s="148" t="s">
        <v>9820</v>
      </c>
      <c r="H2907" t="s">
        <v>9821</v>
      </c>
      <c r="K2907" s="148" t="s">
        <v>11324</v>
      </c>
      <c r="L2907" t="s">
        <v>11325</v>
      </c>
      <c r="M2907" s="1"/>
      <c r="N2907" s="1"/>
      <c r="O2907" s="1"/>
      <c r="P2907" s="3"/>
      <c r="Q2907" s="3"/>
      <c r="R2907" s="3"/>
      <c r="S2907" s="3"/>
      <c r="U2907" t="e">
        <v>#N/A</v>
      </c>
      <c r="V2907" t="s">
        <v>11328</v>
      </c>
      <c r="W2907" s="45">
        <v>0</v>
      </c>
      <c r="X2907" s="45">
        <v>0</v>
      </c>
      <c r="Y2907" s="45">
        <v>0</v>
      </c>
      <c r="Z2907" s="45">
        <v>0</v>
      </c>
      <c r="AA2907" s="45">
        <v>0</v>
      </c>
      <c r="AB2907" s="45">
        <v>0</v>
      </c>
      <c r="AC2907" s="150">
        <v>0</v>
      </c>
      <c r="AD2907" s="150">
        <v>0</v>
      </c>
      <c r="AE2907" s="49">
        <f t="shared" si="115"/>
        <v>0</v>
      </c>
      <c r="AF2907" s="44"/>
      <c r="AG2907" s="17">
        <v>0</v>
      </c>
      <c r="AH2907" s="44">
        <v>0.3</v>
      </c>
      <c r="AI2907" s="44">
        <v>0.35</v>
      </c>
      <c r="AJ2907" s="44">
        <v>0.4</v>
      </c>
      <c r="AK2907" s="151">
        <v>0.45</v>
      </c>
      <c r="AL2907" s="151">
        <v>0.3</v>
      </c>
      <c r="AM2907" s="147">
        <f t="shared" si="114"/>
        <v>0.75</v>
      </c>
      <c r="AN2907" t="s">
        <v>3643</v>
      </c>
      <c r="AO2907" s="18" t="s">
        <v>3630</v>
      </c>
      <c r="AP2907" t="s">
        <v>11329</v>
      </c>
    </row>
    <row r="2908" spans="1:42" customFormat="1" x14ac:dyDescent="0.3">
      <c r="A2908" s="148" t="s">
        <v>8319</v>
      </c>
      <c r="B2908" t="s">
        <v>8320</v>
      </c>
      <c r="C2908" s="148" t="s">
        <v>9410</v>
      </c>
      <c r="D2908" t="s">
        <v>9411</v>
      </c>
      <c r="E2908" s="148" t="s">
        <v>9412</v>
      </c>
      <c r="F2908" t="s">
        <v>9413</v>
      </c>
      <c r="G2908" s="148" t="s">
        <v>9820</v>
      </c>
      <c r="H2908" t="s">
        <v>9821</v>
      </c>
      <c r="K2908" s="148" t="s">
        <v>11324</v>
      </c>
      <c r="L2908" t="s">
        <v>11325</v>
      </c>
      <c r="M2908" s="1"/>
      <c r="N2908" s="1"/>
      <c r="O2908" s="1"/>
      <c r="P2908" s="3"/>
      <c r="Q2908" s="3"/>
      <c r="R2908" s="3"/>
      <c r="S2908" s="3"/>
      <c r="U2908" t="e">
        <v>#N/A</v>
      </c>
      <c r="V2908" t="s">
        <v>11330</v>
      </c>
      <c r="W2908" s="45">
        <v>0</v>
      </c>
      <c r="X2908" s="45">
        <v>0</v>
      </c>
      <c r="Y2908" s="45">
        <v>0</v>
      </c>
      <c r="Z2908" s="45">
        <v>0</v>
      </c>
      <c r="AA2908" s="45">
        <v>0</v>
      </c>
      <c r="AB2908" s="45">
        <v>0</v>
      </c>
      <c r="AC2908" s="150">
        <v>0</v>
      </c>
      <c r="AD2908" s="150">
        <v>0</v>
      </c>
      <c r="AE2908" s="49">
        <f t="shared" si="115"/>
        <v>0</v>
      </c>
      <c r="AF2908" s="17"/>
      <c r="AG2908" s="17">
        <v>0</v>
      </c>
      <c r="AH2908" s="17">
        <v>0</v>
      </c>
      <c r="AI2908" s="17">
        <v>0</v>
      </c>
      <c r="AJ2908" s="17">
        <v>0</v>
      </c>
      <c r="AK2908" s="153">
        <v>5</v>
      </c>
      <c r="AL2908" s="154">
        <v>0</v>
      </c>
      <c r="AM2908" s="147">
        <f t="shared" si="114"/>
        <v>5</v>
      </c>
      <c r="AN2908" s="44" t="s">
        <v>3643</v>
      </c>
      <c r="AO2908" s="18" t="s">
        <v>3630</v>
      </c>
      <c r="AP2908" t="s">
        <v>831</v>
      </c>
    </row>
    <row r="2909" spans="1:42" customFormat="1" x14ac:dyDescent="0.3">
      <c r="A2909" s="148" t="s">
        <v>8319</v>
      </c>
      <c r="B2909" t="s">
        <v>8320</v>
      </c>
      <c r="C2909" s="148" t="s">
        <v>9410</v>
      </c>
      <c r="D2909" t="s">
        <v>9411</v>
      </c>
      <c r="E2909" s="148" t="s">
        <v>9412</v>
      </c>
      <c r="F2909" t="s">
        <v>9413</v>
      </c>
      <c r="G2909" s="148" t="s">
        <v>9820</v>
      </c>
      <c r="H2909" t="s">
        <v>9821</v>
      </c>
      <c r="K2909" s="148" t="s">
        <v>11324</v>
      </c>
      <c r="L2909" t="s">
        <v>11325</v>
      </c>
      <c r="M2909" s="1"/>
      <c r="N2909" s="1"/>
      <c r="O2909" s="1"/>
      <c r="P2909" s="3"/>
      <c r="Q2909" s="3"/>
      <c r="R2909" s="3"/>
      <c r="S2909" s="3"/>
      <c r="U2909" t="e">
        <v>#N/A</v>
      </c>
      <c r="V2909" t="s">
        <v>11331</v>
      </c>
      <c r="W2909" s="45">
        <v>0</v>
      </c>
      <c r="X2909" s="45">
        <v>0</v>
      </c>
      <c r="Y2909" s="45">
        <v>0</v>
      </c>
      <c r="Z2909" s="45">
        <v>0</v>
      </c>
      <c r="AA2909" s="45">
        <v>0</v>
      </c>
      <c r="AB2909" s="45">
        <v>0</v>
      </c>
      <c r="AC2909" s="150">
        <v>0</v>
      </c>
      <c r="AD2909" s="150">
        <v>0</v>
      </c>
      <c r="AE2909" s="49">
        <f t="shared" si="115"/>
        <v>0</v>
      </c>
      <c r="AF2909" s="17"/>
      <c r="AG2909" s="17">
        <v>0</v>
      </c>
      <c r="AH2909" s="17">
        <v>0</v>
      </c>
      <c r="AI2909" s="17">
        <v>0</v>
      </c>
      <c r="AJ2909" s="17">
        <v>0</v>
      </c>
      <c r="AK2909" s="153">
        <v>2</v>
      </c>
      <c r="AL2909" s="154">
        <v>0</v>
      </c>
      <c r="AM2909" s="147">
        <f t="shared" si="114"/>
        <v>2</v>
      </c>
      <c r="AN2909" s="44" t="s">
        <v>3643</v>
      </c>
      <c r="AO2909" s="18" t="s">
        <v>3630</v>
      </c>
      <c r="AP2909" t="s">
        <v>119</v>
      </c>
    </row>
    <row r="2910" spans="1:42" customFormat="1" x14ac:dyDescent="0.3">
      <c r="A2910" s="148" t="s">
        <v>8319</v>
      </c>
      <c r="B2910" t="s">
        <v>8320</v>
      </c>
      <c r="C2910" s="148" t="s">
        <v>9410</v>
      </c>
      <c r="D2910" t="s">
        <v>9411</v>
      </c>
      <c r="E2910" s="148" t="s">
        <v>9412</v>
      </c>
      <c r="F2910" t="s">
        <v>9413</v>
      </c>
      <c r="G2910" s="148" t="s">
        <v>9820</v>
      </c>
      <c r="H2910" t="s">
        <v>9821</v>
      </c>
      <c r="K2910" s="155" t="s">
        <v>11332</v>
      </c>
      <c r="L2910" t="s">
        <v>11333</v>
      </c>
      <c r="M2910" s="1"/>
      <c r="N2910" s="1"/>
      <c r="O2910" s="1"/>
      <c r="P2910" s="3"/>
      <c r="Q2910" s="3"/>
      <c r="R2910" s="3"/>
      <c r="S2910" s="3"/>
      <c r="U2910" t="e">
        <v>#N/A</v>
      </c>
      <c r="V2910" t="s">
        <v>11334</v>
      </c>
      <c r="W2910" s="45">
        <v>0</v>
      </c>
      <c r="X2910" s="45">
        <v>0</v>
      </c>
      <c r="Y2910" s="45">
        <v>0</v>
      </c>
      <c r="Z2910" s="45">
        <v>0</v>
      </c>
      <c r="AA2910" s="45">
        <v>0</v>
      </c>
      <c r="AB2910" s="45">
        <v>0</v>
      </c>
      <c r="AC2910" s="150">
        <v>0</v>
      </c>
      <c r="AD2910" s="150">
        <v>0</v>
      </c>
      <c r="AE2910" s="49">
        <f t="shared" si="115"/>
        <v>0</v>
      </c>
      <c r="AF2910" s="44"/>
      <c r="AG2910" s="17">
        <v>0</v>
      </c>
      <c r="AH2910" s="44">
        <v>0</v>
      </c>
      <c r="AI2910" s="44">
        <v>0.25</v>
      </c>
      <c r="AJ2910" s="44">
        <v>0</v>
      </c>
      <c r="AK2910" s="151">
        <v>0</v>
      </c>
      <c r="AL2910" s="151">
        <v>0</v>
      </c>
      <c r="AM2910" s="147">
        <f t="shared" si="114"/>
        <v>0</v>
      </c>
      <c r="AN2910" t="s">
        <v>3643</v>
      </c>
      <c r="AO2910" s="18" t="s">
        <v>3630</v>
      </c>
      <c r="AP2910" t="s">
        <v>11335</v>
      </c>
    </row>
    <row r="2911" spans="1:42" customFormat="1" x14ac:dyDescent="0.3">
      <c r="A2911" s="148" t="s">
        <v>8319</v>
      </c>
      <c r="B2911" t="s">
        <v>8320</v>
      </c>
      <c r="C2911" s="148" t="s">
        <v>9410</v>
      </c>
      <c r="D2911" t="s">
        <v>9411</v>
      </c>
      <c r="E2911" s="148" t="s">
        <v>9412</v>
      </c>
      <c r="F2911" t="s">
        <v>9413</v>
      </c>
      <c r="G2911" s="148" t="s">
        <v>9820</v>
      </c>
      <c r="H2911" t="s">
        <v>9821</v>
      </c>
      <c r="K2911" s="155" t="s">
        <v>10693</v>
      </c>
      <c r="L2911" t="s">
        <v>10694</v>
      </c>
      <c r="M2911" s="1"/>
      <c r="N2911" s="1"/>
      <c r="O2911" s="1"/>
      <c r="P2911" s="3"/>
      <c r="Q2911" s="3"/>
      <c r="R2911" s="3"/>
      <c r="S2911" s="3"/>
      <c r="U2911" t="e">
        <v>#N/A</v>
      </c>
      <c r="V2911" t="s">
        <v>11336</v>
      </c>
      <c r="W2911" s="45">
        <v>0</v>
      </c>
      <c r="X2911" s="45">
        <v>0</v>
      </c>
      <c r="Y2911" s="45">
        <v>0</v>
      </c>
      <c r="Z2911" s="45">
        <v>0</v>
      </c>
      <c r="AA2911" s="45">
        <v>0</v>
      </c>
      <c r="AB2911" s="45">
        <v>0</v>
      </c>
      <c r="AC2911" s="150">
        <v>0</v>
      </c>
      <c r="AD2911" s="150">
        <v>0</v>
      </c>
      <c r="AE2911" s="49">
        <f t="shared" si="115"/>
        <v>0</v>
      </c>
      <c r="AF2911" s="44"/>
      <c r="AG2911" s="17">
        <v>0</v>
      </c>
      <c r="AH2911" s="44">
        <v>0.2</v>
      </c>
      <c r="AI2911" s="44">
        <v>0.2</v>
      </c>
      <c r="AJ2911" s="44">
        <v>0.2</v>
      </c>
      <c r="AK2911" s="151">
        <v>0.2</v>
      </c>
      <c r="AL2911" s="151">
        <v>0.2</v>
      </c>
      <c r="AM2911" s="147">
        <f t="shared" si="114"/>
        <v>0.4</v>
      </c>
      <c r="AN2911" t="s">
        <v>3643</v>
      </c>
      <c r="AO2911" s="18" t="s">
        <v>3630</v>
      </c>
      <c r="AP2911" t="s">
        <v>10696</v>
      </c>
    </row>
    <row r="2912" spans="1:42" customFormat="1" x14ac:dyDescent="0.3">
      <c r="A2912" s="148" t="s">
        <v>8319</v>
      </c>
      <c r="B2912" t="s">
        <v>8320</v>
      </c>
      <c r="C2912" s="148" t="s">
        <v>9410</v>
      </c>
      <c r="D2912" t="s">
        <v>9411</v>
      </c>
      <c r="E2912" s="148" t="s">
        <v>9412</v>
      </c>
      <c r="F2912" t="s">
        <v>9413</v>
      </c>
      <c r="G2912" s="148" t="s">
        <v>9820</v>
      </c>
      <c r="H2912" t="s">
        <v>9821</v>
      </c>
      <c r="K2912" s="155" t="s">
        <v>10693</v>
      </c>
      <c r="L2912" t="s">
        <v>10694</v>
      </c>
      <c r="M2912" s="1"/>
      <c r="N2912" s="1"/>
      <c r="O2912" s="1"/>
      <c r="P2912" s="3"/>
      <c r="Q2912" s="3"/>
      <c r="R2912" s="3"/>
      <c r="S2912" s="3"/>
      <c r="U2912" t="e">
        <v>#N/A</v>
      </c>
      <c r="V2912" t="s">
        <v>11337</v>
      </c>
      <c r="W2912" s="45">
        <v>0</v>
      </c>
      <c r="X2912" s="45">
        <v>0</v>
      </c>
      <c r="Y2912" s="45">
        <v>0</v>
      </c>
      <c r="Z2912" s="45">
        <v>0</v>
      </c>
      <c r="AA2912" s="45">
        <v>0</v>
      </c>
      <c r="AB2912" s="45">
        <v>0</v>
      </c>
      <c r="AC2912" s="150">
        <v>0</v>
      </c>
      <c r="AD2912" s="150">
        <v>0</v>
      </c>
      <c r="AE2912" s="49">
        <f t="shared" si="115"/>
        <v>0</v>
      </c>
      <c r="AF2912" s="17"/>
      <c r="AG2912" s="17">
        <v>0</v>
      </c>
      <c r="AH2912" s="17">
        <v>0</v>
      </c>
      <c r="AI2912" s="17">
        <v>0</v>
      </c>
      <c r="AJ2912" s="17">
        <v>0</v>
      </c>
      <c r="AK2912" s="153">
        <v>0</v>
      </c>
      <c r="AL2912" s="154">
        <v>0</v>
      </c>
      <c r="AM2912" s="147">
        <f t="shared" si="114"/>
        <v>0</v>
      </c>
      <c r="AN2912" t="s">
        <v>3643</v>
      </c>
      <c r="AO2912" s="18" t="s">
        <v>3630</v>
      </c>
      <c r="AP2912" t="s">
        <v>10696</v>
      </c>
    </row>
    <row r="2913" spans="1:42" customFormat="1" x14ac:dyDescent="0.3">
      <c r="A2913" s="148" t="s">
        <v>8319</v>
      </c>
      <c r="B2913" t="s">
        <v>8320</v>
      </c>
      <c r="C2913" s="148" t="s">
        <v>9410</v>
      </c>
      <c r="D2913" t="s">
        <v>9411</v>
      </c>
      <c r="E2913" s="148" t="s">
        <v>9412</v>
      </c>
      <c r="F2913" t="s">
        <v>9413</v>
      </c>
      <c r="G2913" s="148" t="s">
        <v>9820</v>
      </c>
      <c r="H2913" t="s">
        <v>9821</v>
      </c>
      <c r="K2913" s="155" t="s">
        <v>10693</v>
      </c>
      <c r="L2913" t="s">
        <v>10694</v>
      </c>
      <c r="M2913" s="1"/>
      <c r="N2913" s="1"/>
      <c r="O2913" s="1"/>
      <c r="P2913" s="3"/>
      <c r="Q2913" s="3"/>
      <c r="R2913" s="3"/>
      <c r="S2913" s="3"/>
      <c r="U2913" t="e">
        <v>#N/A</v>
      </c>
      <c r="V2913" t="s">
        <v>11338</v>
      </c>
      <c r="W2913" s="45">
        <v>0</v>
      </c>
      <c r="X2913" s="45">
        <v>0</v>
      </c>
      <c r="Y2913" s="45">
        <v>0</v>
      </c>
      <c r="Z2913" s="45">
        <v>0</v>
      </c>
      <c r="AA2913" s="45">
        <v>0</v>
      </c>
      <c r="AB2913" s="45">
        <v>0</v>
      </c>
      <c r="AC2913" s="150">
        <v>0</v>
      </c>
      <c r="AD2913" s="150">
        <v>0</v>
      </c>
      <c r="AE2913" s="49">
        <f t="shared" si="115"/>
        <v>0</v>
      </c>
      <c r="AF2913" s="17"/>
      <c r="AG2913" s="17">
        <v>0</v>
      </c>
      <c r="AH2913" s="17">
        <v>0</v>
      </c>
      <c r="AI2913" s="17">
        <v>0</v>
      </c>
      <c r="AJ2913" s="17">
        <v>0</v>
      </c>
      <c r="AK2913" s="153">
        <v>1</v>
      </c>
      <c r="AL2913" s="154">
        <v>0</v>
      </c>
      <c r="AM2913" s="147">
        <f t="shared" si="114"/>
        <v>1</v>
      </c>
      <c r="AN2913" t="s">
        <v>3643</v>
      </c>
      <c r="AO2913" s="18" t="s">
        <v>3630</v>
      </c>
      <c r="AP2913" t="s">
        <v>10696</v>
      </c>
    </row>
    <row r="2914" spans="1:42" customFormat="1" x14ac:dyDescent="0.3">
      <c r="A2914" s="148" t="s">
        <v>8319</v>
      </c>
      <c r="B2914" t="s">
        <v>8320</v>
      </c>
      <c r="C2914" s="148" t="s">
        <v>9410</v>
      </c>
      <c r="D2914" t="s">
        <v>9411</v>
      </c>
      <c r="E2914" s="148" t="s">
        <v>9412</v>
      </c>
      <c r="F2914" t="s">
        <v>9413</v>
      </c>
      <c r="G2914" s="148" t="s">
        <v>9820</v>
      </c>
      <c r="H2914" t="s">
        <v>9821</v>
      </c>
      <c r="K2914" s="155" t="s">
        <v>10693</v>
      </c>
      <c r="L2914" t="s">
        <v>10694</v>
      </c>
      <c r="M2914" s="1"/>
      <c r="N2914" s="1"/>
      <c r="O2914" s="1"/>
      <c r="P2914" s="3"/>
      <c r="Q2914" s="3"/>
      <c r="R2914" s="3"/>
      <c r="S2914" s="3"/>
      <c r="U2914" t="e">
        <v>#N/A</v>
      </c>
      <c r="V2914" t="s">
        <v>11339</v>
      </c>
      <c r="W2914" s="45">
        <v>0</v>
      </c>
      <c r="X2914" s="45">
        <v>0</v>
      </c>
      <c r="Y2914" s="45">
        <v>0</v>
      </c>
      <c r="Z2914" s="45">
        <v>0</v>
      </c>
      <c r="AA2914" s="45">
        <v>0</v>
      </c>
      <c r="AB2914" s="45">
        <v>0</v>
      </c>
      <c r="AC2914" s="150">
        <v>0</v>
      </c>
      <c r="AD2914" s="150">
        <v>0</v>
      </c>
      <c r="AE2914" s="49">
        <f t="shared" si="115"/>
        <v>0</v>
      </c>
      <c r="AF2914" s="17"/>
      <c r="AG2914" s="17">
        <v>0</v>
      </c>
      <c r="AH2914" s="17">
        <v>0</v>
      </c>
      <c r="AI2914" s="17">
        <v>0</v>
      </c>
      <c r="AJ2914" s="17">
        <v>0</v>
      </c>
      <c r="AK2914" s="153">
        <v>0</v>
      </c>
      <c r="AL2914" s="154">
        <v>0</v>
      </c>
      <c r="AM2914" s="147">
        <f t="shared" si="114"/>
        <v>0</v>
      </c>
      <c r="AN2914" t="s">
        <v>3643</v>
      </c>
      <c r="AO2914" s="18" t="s">
        <v>3630</v>
      </c>
      <c r="AP2914" t="s">
        <v>11340</v>
      </c>
    </row>
    <row r="2915" spans="1:42" customFormat="1" x14ac:dyDescent="0.3">
      <c r="A2915" s="148" t="s">
        <v>8319</v>
      </c>
      <c r="B2915" t="s">
        <v>8320</v>
      </c>
      <c r="C2915" s="148" t="s">
        <v>9410</v>
      </c>
      <c r="D2915" t="s">
        <v>9411</v>
      </c>
      <c r="E2915" s="148" t="s">
        <v>9412</v>
      </c>
      <c r="F2915" t="s">
        <v>9413</v>
      </c>
      <c r="G2915" s="148" t="s">
        <v>9820</v>
      </c>
      <c r="H2915" t="s">
        <v>9821</v>
      </c>
      <c r="K2915" s="155" t="s">
        <v>10021</v>
      </c>
      <c r="L2915" t="s">
        <v>10022</v>
      </c>
      <c r="M2915" s="1"/>
      <c r="N2915" s="1"/>
      <c r="O2915" s="1"/>
      <c r="P2915" s="3"/>
      <c r="Q2915" s="3"/>
      <c r="R2915" s="3"/>
      <c r="S2915" s="3"/>
      <c r="U2915" t="e">
        <v>#N/A</v>
      </c>
      <c r="V2915" t="s">
        <v>11341</v>
      </c>
      <c r="W2915" s="45">
        <v>0</v>
      </c>
      <c r="X2915" s="45">
        <v>0</v>
      </c>
      <c r="Y2915" s="45">
        <v>0</v>
      </c>
      <c r="Z2915" s="45">
        <v>0</v>
      </c>
      <c r="AA2915" s="45">
        <v>0</v>
      </c>
      <c r="AB2915" s="45">
        <v>0</v>
      </c>
      <c r="AC2915" s="150">
        <v>0</v>
      </c>
      <c r="AD2915" s="150">
        <v>0</v>
      </c>
      <c r="AE2915" s="49">
        <f t="shared" si="115"/>
        <v>0</v>
      </c>
      <c r="AF2915" s="44"/>
      <c r="AG2915" s="17">
        <v>0</v>
      </c>
      <c r="AH2915" s="44">
        <v>0.5</v>
      </c>
      <c r="AI2915" s="44">
        <v>0.5</v>
      </c>
      <c r="AJ2915" s="44">
        <v>0.5</v>
      </c>
      <c r="AK2915" s="151">
        <v>0.5</v>
      </c>
      <c r="AL2915" s="151">
        <v>0.5</v>
      </c>
      <c r="AM2915" s="147">
        <f t="shared" si="114"/>
        <v>1</v>
      </c>
      <c r="AN2915" t="s">
        <v>3643</v>
      </c>
      <c r="AO2915" s="18" t="s">
        <v>3630</v>
      </c>
      <c r="AP2915" t="s">
        <v>11342</v>
      </c>
    </row>
    <row r="2916" spans="1:42" customFormat="1" x14ac:dyDescent="0.3">
      <c r="A2916" s="148" t="s">
        <v>8319</v>
      </c>
      <c r="B2916" t="s">
        <v>8320</v>
      </c>
      <c r="C2916" s="148" t="s">
        <v>9410</v>
      </c>
      <c r="D2916" t="s">
        <v>9411</v>
      </c>
      <c r="E2916" s="148" t="s">
        <v>9412</v>
      </c>
      <c r="F2916" t="s">
        <v>9413</v>
      </c>
      <c r="G2916" s="148" t="s">
        <v>9820</v>
      </c>
      <c r="H2916" t="s">
        <v>9821</v>
      </c>
      <c r="K2916" s="155" t="s">
        <v>10021</v>
      </c>
      <c r="L2916" t="s">
        <v>10022</v>
      </c>
      <c r="M2916" s="1"/>
      <c r="N2916" s="1"/>
      <c r="O2916" s="1"/>
      <c r="P2916" s="3"/>
      <c r="Q2916" s="3"/>
      <c r="R2916" s="3"/>
      <c r="S2916" s="3"/>
      <c r="U2916" t="e">
        <v>#N/A</v>
      </c>
      <c r="V2916" t="s">
        <v>11343</v>
      </c>
      <c r="W2916" s="45">
        <v>0</v>
      </c>
      <c r="X2916" s="45">
        <v>0</v>
      </c>
      <c r="Y2916" s="45">
        <v>0</v>
      </c>
      <c r="Z2916" s="45">
        <v>0</v>
      </c>
      <c r="AA2916" s="45">
        <v>0</v>
      </c>
      <c r="AB2916" s="45">
        <v>0</v>
      </c>
      <c r="AC2916" s="150">
        <v>0</v>
      </c>
      <c r="AD2916" s="150">
        <v>0</v>
      </c>
      <c r="AE2916" s="49">
        <f t="shared" si="115"/>
        <v>0</v>
      </c>
      <c r="AF2916" s="17"/>
      <c r="AG2916" s="17">
        <v>0</v>
      </c>
      <c r="AH2916" s="17">
        <v>0</v>
      </c>
      <c r="AI2916" s="17">
        <v>0</v>
      </c>
      <c r="AJ2916" s="17">
        <v>0</v>
      </c>
      <c r="AK2916" s="153">
        <v>0</v>
      </c>
      <c r="AL2916" s="154">
        <v>0</v>
      </c>
      <c r="AM2916" s="147">
        <f t="shared" si="114"/>
        <v>0</v>
      </c>
      <c r="AN2916" t="s">
        <v>3643</v>
      </c>
      <c r="AO2916" s="18" t="s">
        <v>3630</v>
      </c>
      <c r="AP2916" t="s">
        <v>11344</v>
      </c>
    </row>
    <row r="2917" spans="1:42" customFormat="1" x14ac:dyDescent="0.3">
      <c r="A2917" s="148" t="s">
        <v>8319</v>
      </c>
      <c r="B2917" t="s">
        <v>8320</v>
      </c>
      <c r="C2917" s="148" t="s">
        <v>9410</v>
      </c>
      <c r="D2917" t="s">
        <v>9411</v>
      </c>
      <c r="E2917" s="148" t="s">
        <v>9412</v>
      </c>
      <c r="F2917" t="s">
        <v>9413</v>
      </c>
      <c r="G2917" s="148" t="s">
        <v>9820</v>
      </c>
      <c r="H2917" t="s">
        <v>9821</v>
      </c>
      <c r="K2917" s="155" t="s">
        <v>10021</v>
      </c>
      <c r="L2917" t="s">
        <v>10022</v>
      </c>
      <c r="M2917" s="1"/>
      <c r="N2917" s="1"/>
      <c r="O2917" s="1"/>
      <c r="P2917" s="3"/>
      <c r="Q2917" s="3"/>
      <c r="R2917" s="3"/>
      <c r="S2917" s="3"/>
      <c r="U2917" t="e">
        <v>#N/A</v>
      </c>
      <c r="V2917" t="s">
        <v>11345</v>
      </c>
      <c r="W2917" s="45">
        <v>0</v>
      </c>
      <c r="X2917" s="45">
        <v>0</v>
      </c>
      <c r="Y2917" s="45">
        <v>0</v>
      </c>
      <c r="Z2917" s="45">
        <v>0</v>
      </c>
      <c r="AA2917" s="45">
        <v>0</v>
      </c>
      <c r="AB2917" s="45">
        <v>0</v>
      </c>
      <c r="AC2917" s="150">
        <v>0</v>
      </c>
      <c r="AD2917" s="150">
        <v>0</v>
      </c>
      <c r="AE2917" s="49">
        <f t="shared" si="115"/>
        <v>0</v>
      </c>
      <c r="AF2917" s="17"/>
      <c r="AG2917" s="17">
        <v>0</v>
      </c>
      <c r="AH2917" s="17">
        <v>0</v>
      </c>
      <c r="AI2917" s="17">
        <v>0</v>
      </c>
      <c r="AJ2917" s="17">
        <v>0</v>
      </c>
      <c r="AK2917" s="153">
        <v>0</v>
      </c>
      <c r="AL2917" s="154">
        <v>0</v>
      </c>
      <c r="AM2917" s="147">
        <f t="shared" ref="AM2917:AM2980" si="116">SUM(AK2917:AL2917)</f>
        <v>0</v>
      </c>
      <c r="AN2917" t="s">
        <v>3643</v>
      </c>
      <c r="AO2917" s="18" t="s">
        <v>3630</v>
      </c>
      <c r="AP2917" t="s">
        <v>11346</v>
      </c>
    </row>
    <row r="2918" spans="1:42" customFormat="1" x14ac:dyDescent="0.3">
      <c r="A2918" s="148" t="s">
        <v>8319</v>
      </c>
      <c r="B2918" t="s">
        <v>8320</v>
      </c>
      <c r="C2918" s="148" t="s">
        <v>9410</v>
      </c>
      <c r="D2918" t="s">
        <v>9411</v>
      </c>
      <c r="E2918" s="148" t="s">
        <v>9412</v>
      </c>
      <c r="F2918" t="s">
        <v>9413</v>
      </c>
      <c r="G2918" s="148" t="s">
        <v>9820</v>
      </c>
      <c r="H2918" t="s">
        <v>9821</v>
      </c>
      <c r="K2918" s="155" t="s">
        <v>10021</v>
      </c>
      <c r="L2918" t="s">
        <v>10022</v>
      </c>
      <c r="M2918" s="1"/>
      <c r="N2918" s="1"/>
      <c r="O2918" s="1"/>
      <c r="P2918" s="3"/>
      <c r="Q2918" s="3"/>
      <c r="R2918" s="3"/>
      <c r="S2918" s="3"/>
      <c r="U2918" t="e">
        <v>#N/A</v>
      </c>
      <c r="V2918" t="s">
        <v>11347</v>
      </c>
      <c r="W2918" s="45">
        <v>0</v>
      </c>
      <c r="X2918" s="45">
        <v>0</v>
      </c>
      <c r="Y2918" s="45">
        <v>0</v>
      </c>
      <c r="Z2918" s="45">
        <v>0</v>
      </c>
      <c r="AA2918" s="45">
        <v>0</v>
      </c>
      <c r="AB2918" s="45">
        <v>0</v>
      </c>
      <c r="AC2918" s="150">
        <v>0</v>
      </c>
      <c r="AD2918" s="150">
        <v>0</v>
      </c>
      <c r="AE2918" s="49">
        <f t="shared" si="115"/>
        <v>0</v>
      </c>
      <c r="AF2918" s="17"/>
      <c r="AG2918" s="17">
        <v>0</v>
      </c>
      <c r="AH2918" s="17">
        <v>0</v>
      </c>
      <c r="AI2918" s="17">
        <v>0</v>
      </c>
      <c r="AJ2918" s="17">
        <v>0</v>
      </c>
      <c r="AK2918" s="153">
        <v>0</v>
      </c>
      <c r="AL2918" s="154">
        <v>0</v>
      </c>
      <c r="AM2918" s="147">
        <f t="shared" si="116"/>
        <v>0</v>
      </c>
      <c r="AN2918" t="s">
        <v>3643</v>
      </c>
      <c r="AO2918" s="18" t="s">
        <v>3630</v>
      </c>
      <c r="AP2918" t="s">
        <v>11348</v>
      </c>
    </row>
    <row r="2919" spans="1:42" customFormat="1" x14ac:dyDescent="0.3">
      <c r="A2919" s="148" t="s">
        <v>8319</v>
      </c>
      <c r="B2919" t="s">
        <v>8320</v>
      </c>
      <c r="C2919" s="148" t="s">
        <v>9410</v>
      </c>
      <c r="D2919" t="s">
        <v>9411</v>
      </c>
      <c r="E2919" s="148" t="s">
        <v>9412</v>
      </c>
      <c r="F2919" t="s">
        <v>9413</v>
      </c>
      <c r="G2919" s="148" t="s">
        <v>9820</v>
      </c>
      <c r="H2919" t="s">
        <v>9821</v>
      </c>
      <c r="K2919" s="155" t="s">
        <v>10021</v>
      </c>
      <c r="L2919" t="s">
        <v>10022</v>
      </c>
      <c r="M2919" s="1"/>
      <c r="N2919" s="1"/>
      <c r="O2919" s="1"/>
      <c r="P2919" s="3"/>
      <c r="Q2919" s="3"/>
      <c r="R2919" s="3"/>
      <c r="S2919" s="3"/>
      <c r="U2919" t="e">
        <v>#N/A</v>
      </c>
      <c r="V2919" t="s">
        <v>11349</v>
      </c>
      <c r="W2919" s="45">
        <v>0</v>
      </c>
      <c r="X2919" s="45">
        <v>0</v>
      </c>
      <c r="Y2919" s="45">
        <v>0</v>
      </c>
      <c r="Z2919" s="45">
        <v>0</v>
      </c>
      <c r="AA2919" s="45">
        <v>0</v>
      </c>
      <c r="AB2919" s="45">
        <v>0</v>
      </c>
      <c r="AC2919" s="150">
        <v>0</v>
      </c>
      <c r="AD2919" s="150">
        <v>0</v>
      </c>
      <c r="AE2919" s="49">
        <f t="shared" si="115"/>
        <v>0</v>
      </c>
      <c r="AF2919" s="17"/>
      <c r="AG2919" s="17">
        <v>0</v>
      </c>
      <c r="AH2919" s="17">
        <v>0</v>
      </c>
      <c r="AI2919" s="17">
        <v>0</v>
      </c>
      <c r="AJ2919" s="17">
        <v>0</v>
      </c>
      <c r="AK2919" s="153">
        <v>0</v>
      </c>
      <c r="AL2919" s="154">
        <v>0</v>
      </c>
      <c r="AM2919" s="147">
        <f t="shared" si="116"/>
        <v>0</v>
      </c>
      <c r="AN2919" t="s">
        <v>3643</v>
      </c>
      <c r="AO2919" s="18" t="s">
        <v>3630</v>
      </c>
      <c r="AP2919" t="s">
        <v>11350</v>
      </c>
    </row>
    <row r="2920" spans="1:42" customFormat="1" x14ac:dyDescent="0.3">
      <c r="A2920" s="148" t="s">
        <v>8319</v>
      </c>
      <c r="B2920" t="s">
        <v>8320</v>
      </c>
      <c r="C2920" s="148" t="s">
        <v>9410</v>
      </c>
      <c r="D2920" t="s">
        <v>9411</v>
      </c>
      <c r="E2920" s="148" t="s">
        <v>9412</v>
      </c>
      <c r="F2920" t="s">
        <v>9413</v>
      </c>
      <c r="G2920" s="148" t="s">
        <v>9820</v>
      </c>
      <c r="H2920" t="s">
        <v>9821</v>
      </c>
      <c r="K2920" s="155" t="s">
        <v>10021</v>
      </c>
      <c r="L2920" t="s">
        <v>10022</v>
      </c>
      <c r="M2920" s="1"/>
      <c r="N2920" s="1"/>
      <c r="O2920" s="1"/>
      <c r="P2920" s="3"/>
      <c r="Q2920" s="3"/>
      <c r="R2920" s="3"/>
      <c r="S2920" s="3"/>
      <c r="U2920" t="e">
        <v>#N/A</v>
      </c>
      <c r="V2920" t="s">
        <v>11351</v>
      </c>
      <c r="W2920" s="45">
        <v>0</v>
      </c>
      <c r="X2920" s="45">
        <v>0</v>
      </c>
      <c r="Y2920" s="45">
        <v>0</v>
      </c>
      <c r="Z2920" s="45">
        <v>0</v>
      </c>
      <c r="AA2920" s="45">
        <v>0</v>
      </c>
      <c r="AB2920" s="45">
        <v>0</v>
      </c>
      <c r="AC2920" s="150">
        <v>0</v>
      </c>
      <c r="AD2920" s="150">
        <v>0</v>
      </c>
      <c r="AE2920" s="49">
        <f t="shared" ref="AE2920:AE2983" si="117">SUM(W2920:AD2920)/8</f>
        <v>0</v>
      </c>
      <c r="AF2920" s="17"/>
      <c r="AG2920" s="17">
        <v>0</v>
      </c>
      <c r="AH2920" s="17">
        <v>0</v>
      </c>
      <c r="AI2920" s="17">
        <v>0</v>
      </c>
      <c r="AJ2920" s="17">
        <v>0</v>
      </c>
      <c r="AK2920" s="153">
        <v>0</v>
      </c>
      <c r="AL2920" s="154">
        <v>0</v>
      </c>
      <c r="AM2920" s="147">
        <f t="shared" si="116"/>
        <v>0</v>
      </c>
      <c r="AN2920" t="s">
        <v>3643</v>
      </c>
      <c r="AO2920" s="18" t="s">
        <v>3630</v>
      </c>
      <c r="AP2920" t="s">
        <v>570</v>
      </c>
    </row>
    <row r="2921" spans="1:42" customFormat="1" x14ac:dyDescent="0.3">
      <c r="A2921" s="148" t="s">
        <v>8319</v>
      </c>
      <c r="B2921" t="s">
        <v>8320</v>
      </c>
      <c r="C2921" s="148" t="s">
        <v>9410</v>
      </c>
      <c r="D2921" t="s">
        <v>9411</v>
      </c>
      <c r="E2921" s="148" t="s">
        <v>9412</v>
      </c>
      <c r="F2921" t="s">
        <v>9413</v>
      </c>
      <c r="G2921" s="148" t="s">
        <v>9820</v>
      </c>
      <c r="H2921" t="s">
        <v>9821</v>
      </c>
      <c r="K2921" s="155" t="s">
        <v>10021</v>
      </c>
      <c r="L2921" t="s">
        <v>10022</v>
      </c>
      <c r="M2921" s="1"/>
      <c r="N2921" s="1"/>
      <c r="O2921" s="1"/>
      <c r="P2921" s="3"/>
      <c r="Q2921" s="3"/>
      <c r="R2921" s="3"/>
      <c r="S2921" s="3"/>
      <c r="U2921" t="e">
        <v>#N/A</v>
      </c>
      <c r="V2921" t="s">
        <v>11352</v>
      </c>
      <c r="W2921" s="45">
        <v>0</v>
      </c>
      <c r="X2921" s="45">
        <v>0</v>
      </c>
      <c r="Y2921" s="45">
        <v>0</v>
      </c>
      <c r="Z2921" s="45">
        <v>0</v>
      </c>
      <c r="AA2921" s="45">
        <v>0</v>
      </c>
      <c r="AB2921" s="45">
        <v>0</v>
      </c>
      <c r="AC2921" s="150">
        <v>0</v>
      </c>
      <c r="AD2921" s="150">
        <v>0</v>
      </c>
      <c r="AE2921" s="49">
        <f t="shared" si="117"/>
        <v>0</v>
      </c>
      <c r="AF2921" s="17"/>
      <c r="AG2921" s="17">
        <v>0</v>
      </c>
      <c r="AH2921" s="17">
        <v>0</v>
      </c>
      <c r="AI2921" s="17">
        <v>0</v>
      </c>
      <c r="AJ2921" s="17">
        <v>0</v>
      </c>
      <c r="AK2921" s="153">
        <v>0</v>
      </c>
      <c r="AL2921" s="154">
        <v>0</v>
      </c>
      <c r="AM2921" s="147">
        <f t="shared" si="116"/>
        <v>0</v>
      </c>
      <c r="AN2921" t="s">
        <v>3643</v>
      </c>
      <c r="AO2921" s="18" t="s">
        <v>3630</v>
      </c>
      <c r="AP2921" t="s">
        <v>11353</v>
      </c>
    </row>
    <row r="2922" spans="1:42" customFormat="1" x14ac:dyDescent="0.3">
      <c r="A2922" s="148" t="s">
        <v>8319</v>
      </c>
      <c r="B2922" t="s">
        <v>8320</v>
      </c>
      <c r="C2922" s="148" t="s">
        <v>9410</v>
      </c>
      <c r="D2922" t="s">
        <v>9411</v>
      </c>
      <c r="E2922" s="148" t="s">
        <v>9412</v>
      </c>
      <c r="F2922" t="s">
        <v>9413</v>
      </c>
      <c r="G2922" s="148" t="s">
        <v>9820</v>
      </c>
      <c r="H2922" t="s">
        <v>9821</v>
      </c>
      <c r="K2922" s="155" t="s">
        <v>10699</v>
      </c>
      <c r="L2922" t="s">
        <v>10700</v>
      </c>
      <c r="M2922" s="1"/>
      <c r="N2922" s="1"/>
      <c r="O2922" s="1"/>
      <c r="P2922" s="3"/>
      <c r="Q2922" s="3"/>
      <c r="R2922" s="3"/>
      <c r="S2922" s="3"/>
      <c r="U2922" t="e">
        <v>#N/A</v>
      </c>
      <c r="V2922" t="s">
        <v>11354</v>
      </c>
      <c r="W2922" s="45">
        <v>0</v>
      </c>
      <c r="X2922" s="45">
        <v>0</v>
      </c>
      <c r="Y2922" s="45">
        <v>0</v>
      </c>
      <c r="Z2922" s="45">
        <v>0</v>
      </c>
      <c r="AA2922" s="45">
        <v>0</v>
      </c>
      <c r="AB2922" s="45">
        <v>0</v>
      </c>
      <c r="AC2922" s="150">
        <v>0</v>
      </c>
      <c r="AD2922" s="150">
        <v>0</v>
      </c>
      <c r="AE2922" s="49">
        <f t="shared" si="117"/>
        <v>0</v>
      </c>
      <c r="AF2922" s="44"/>
      <c r="AG2922" s="17">
        <v>0</v>
      </c>
      <c r="AH2922" s="44">
        <v>0.3</v>
      </c>
      <c r="AI2922" s="44">
        <v>0.3</v>
      </c>
      <c r="AJ2922" s="44">
        <v>0.3</v>
      </c>
      <c r="AK2922" s="151">
        <v>0.3</v>
      </c>
      <c r="AL2922" s="151">
        <v>0.3</v>
      </c>
      <c r="AM2922" s="147">
        <f t="shared" si="116"/>
        <v>0.6</v>
      </c>
      <c r="AN2922" t="s">
        <v>3643</v>
      </c>
      <c r="AO2922" s="18" t="s">
        <v>3630</v>
      </c>
      <c r="AP2922" t="s">
        <v>11355</v>
      </c>
    </row>
    <row r="2923" spans="1:42" customFormat="1" x14ac:dyDescent="0.3">
      <c r="A2923" s="148" t="s">
        <v>8319</v>
      </c>
      <c r="B2923" t="s">
        <v>8320</v>
      </c>
      <c r="C2923" s="148" t="s">
        <v>9410</v>
      </c>
      <c r="D2923" t="s">
        <v>9411</v>
      </c>
      <c r="E2923" s="148" t="s">
        <v>9412</v>
      </c>
      <c r="F2923" t="s">
        <v>9413</v>
      </c>
      <c r="G2923" s="148" t="s">
        <v>9820</v>
      </c>
      <c r="H2923" t="s">
        <v>9821</v>
      </c>
      <c r="K2923" s="155" t="s">
        <v>10699</v>
      </c>
      <c r="L2923" t="s">
        <v>10700</v>
      </c>
      <c r="M2923" s="1"/>
      <c r="N2923" s="1"/>
      <c r="O2923" s="1"/>
      <c r="P2923" s="3"/>
      <c r="Q2923" s="3"/>
      <c r="R2923" s="3"/>
      <c r="S2923" s="3"/>
      <c r="U2923" t="e">
        <v>#N/A</v>
      </c>
      <c r="V2923" t="s">
        <v>11356</v>
      </c>
      <c r="W2923" s="45">
        <v>0</v>
      </c>
      <c r="X2923" s="45">
        <v>0</v>
      </c>
      <c r="Y2923" s="45">
        <v>0</v>
      </c>
      <c r="Z2923" s="45">
        <v>0</v>
      </c>
      <c r="AA2923" s="45">
        <v>0</v>
      </c>
      <c r="AB2923" s="45">
        <v>0</v>
      </c>
      <c r="AC2923" s="150">
        <v>0</v>
      </c>
      <c r="AD2923" s="150">
        <v>0</v>
      </c>
      <c r="AE2923" s="49">
        <f t="shared" si="117"/>
        <v>0</v>
      </c>
      <c r="AF2923" s="17"/>
      <c r="AG2923" s="17">
        <v>0</v>
      </c>
      <c r="AH2923" s="17">
        <v>0</v>
      </c>
      <c r="AI2923" s="17">
        <v>0</v>
      </c>
      <c r="AJ2923" s="17">
        <v>0</v>
      </c>
      <c r="AK2923" s="153">
        <v>0</v>
      </c>
      <c r="AL2923" s="154">
        <v>0</v>
      </c>
      <c r="AM2923" s="147">
        <f t="shared" si="116"/>
        <v>0</v>
      </c>
      <c r="AN2923" t="s">
        <v>3643</v>
      </c>
      <c r="AO2923" s="18" t="s">
        <v>3630</v>
      </c>
      <c r="AP2923" t="s">
        <v>9757</v>
      </c>
    </row>
    <row r="2924" spans="1:42" customFormat="1" x14ac:dyDescent="0.3">
      <c r="A2924" s="148" t="s">
        <v>8319</v>
      </c>
      <c r="B2924" t="s">
        <v>8320</v>
      </c>
      <c r="C2924" s="148" t="s">
        <v>9410</v>
      </c>
      <c r="D2924" t="s">
        <v>9411</v>
      </c>
      <c r="E2924" s="148" t="s">
        <v>9412</v>
      </c>
      <c r="F2924" t="s">
        <v>9413</v>
      </c>
      <c r="G2924" s="148" t="s">
        <v>9820</v>
      </c>
      <c r="H2924" t="s">
        <v>9821</v>
      </c>
      <c r="K2924" s="155" t="s">
        <v>11357</v>
      </c>
      <c r="L2924" t="s">
        <v>11358</v>
      </c>
      <c r="M2924" s="1"/>
      <c r="N2924" s="1"/>
      <c r="O2924" s="1"/>
      <c r="P2924" s="3"/>
      <c r="Q2924" s="3"/>
      <c r="R2924" s="3"/>
      <c r="S2924" s="3"/>
      <c r="U2924" t="e">
        <v>#N/A</v>
      </c>
      <c r="V2924" t="s">
        <v>11359</v>
      </c>
      <c r="W2924" s="45">
        <v>0</v>
      </c>
      <c r="X2924" s="45">
        <v>0</v>
      </c>
      <c r="Y2924" s="45">
        <v>0</v>
      </c>
      <c r="Z2924" s="45">
        <v>0</v>
      </c>
      <c r="AA2924" s="45">
        <v>0</v>
      </c>
      <c r="AB2924" s="45">
        <v>0</v>
      </c>
      <c r="AC2924" s="150">
        <v>0</v>
      </c>
      <c r="AD2924" s="150">
        <v>0</v>
      </c>
      <c r="AE2924" s="49">
        <f t="shared" si="117"/>
        <v>0</v>
      </c>
      <c r="AF2924" s="44"/>
      <c r="AG2924" s="17">
        <v>0</v>
      </c>
      <c r="AH2924" s="44">
        <v>0.7</v>
      </c>
      <c r="AI2924" s="44">
        <v>0.7</v>
      </c>
      <c r="AJ2924" s="44">
        <v>0.7</v>
      </c>
      <c r="AK2924" s="151">
        <v>0.7</v>
      </c>
      <c r="AL2924" s="151">
        <v>0.7</v>
      </c>
      <c r="AM2924" s="147">
        <f t="shared" si="116"/>
        <v>1.4</v>
      </c>
      <c r="AN2924" t="s">
        <v>3643</v>
      </c>
      <c r="AO2924" s="18" t="s">
        <v>3630</v>
      </c>
      <c r="AP2924" t="s">
        <v>9658</v>
      </c>
    </row>
    <row r="2925" spans="1:42" customFormat="1" x14ac:dyDescent="0.3">
      <c r="A2925" s="148" t="s">
        <v>8319</v>
      </c>
      <c r="B2925" t="s">
        <v>8320</v>
      </c>
      <c r="C2925" s="148" t="s">
        <v>9410</v>
      </c>
      <c r="D2925" t="s">
        <v>9411</v>
      </c>
      <c r="E2925" s="148" t="s">
        <v>9412</v>
      </c>
      <c r="F2925" t="s">
        <v>9413</v>
      </c>
      <c r="G2925" s="148" t="s">
        <v>9820</v>
      </c>
      <c r="H2925" t="s">
        <v>9821</v>
      </c>
      <c r="K2925" s="155" t="s">
        <v>11357</v>
      </c>
      <c r="L2925" t="s">
        <v>11358</v>
      </c>
      <c r="M2925" s="1"/>
      <c r="N2925" s="1"/>
      <c r="O2925" s="1"/>
      <c r="P2925" s="3"/>
      <c r="Q2925" s="3"/>
      <c r="R2925" s="3"/>
      <c r="S2925" s="3"/>
      <c r="U2925" t="e">
        <v>#N/A</v>
      </c>
      <c r="V2925" t="s">
        <v>11360</v>
      </c>
      <c r="W2925" s="45">
        <v>0</v>
      </c>
      <c r="X2925" s="45">
        <v>0</v>
      </c>
      <c r="Y2925" s="45">
        <v>0</v>
      </c>
      <c r="Z2925" s="45">
        <v>0</v>
      </c>
      <c r="AA2925" s="45">
        <v>0</v>
      </c>
      <c r="AB2925" s="45">
        <v>0</v>
      </c>
      <c r="AC2925" s="150">
        <v>0</v>
      </c>
      <c r="AD2925" s="150">
        <v>0</v>
      </c>
      <c r="AE2925" s="49">
        <f t="shared" si="117"/>
        <v>0</v>
      </c>
      <c r="AF2925" s="17"/>
      <c r="AG2925" s="17">
        <v>0</v>
      </c>
      <c r="AH2925" s="17">
        <v>0</v>
      </c>
      <c r="AI2925" s="17">
        <v>0</v>
      </c>
      <c r="AJ2925" s="17">
        <v>0</v>
      </c>
      <c r="AK2925" s="153">
        <v>0</v>
      </c>
      <c r="AL2925" s="154">
        <v>0</v>
      </c>
      <c r="AM2925" s="147">
        <f t="shared" si="116"/>
        <v>0</v>
      </c>
      <c r="AN2925" t="s">
        <v>3643</v>
      </c>
      <c r="AO2925" s="18" t="s">
        <v>3630</v>
      </c>
    </row>
    <row r="2926" spans="1:42" customFormat="1" x14ac:dyDescent="0.3">
      <c r="A2926" s="148" t="s">
        <v>8319</v>
      </c>
      <c r="B2926" t="s">
        <v>8320</v>
      </c>
      <c r="C2926" s="148" t="s">
        <v>9410</v>
      </c>
      <c r="D2926" t="s">
        <v>9411</v>
      </c>
      <c r="E2926" s="148" t="s">
        <v>9412</v>
      </c>
      <c r="F2926" t="s">
        <v>9413</v>
      </c>
      <c r="G2926" s="148" t="s">
        <v>11361</v>
      </c>
      <c r="H2926" t="s">
        <v>11362</v>
      </c>
      <c r="K2926" s="148" t="s">
        <v>11363</v>
      </c>
      <c r="L2926" t="s">
        <v>11364</v>
      </c>
      <c r="M2926" s="1" t="s">
        <v>11365</v>
      </c>
      <c r="N2926" s="1" t="s">
        <v>9365</v>
      </c>
      <c r="O2926" s="1"/>
      <c r="P2926" s="3" t="s">
        <v>11366</v>
      </c>
      <c r="Q2926" s="3"/>
      <c r="R2926" s="3"/>
      <c r="S2926" s="3"/>
      <c r="T2926" t="s">
        <v>3643</v>
      </c>
      <c r="U2926" t="s">
        <v>3630</v>
      </c>
      <c r="V2926" t="s">
        <v>11367</v>
      </c>
      <c r="W2926" s="45">
        <v>0</v>
      </c>
      <c r="X2926" s="45">
        <v>0</v>
      </c>
      <c r="Y2926" s="45">
        <v>0</v>
      </c>
      <c r="Z2926" s="45">
        <v>0</v>
      </c>
      <c r="AA2926" s="45">
        <v>0</v>
      </c>
      <c r="AB2926" s="45">
        <v>0</v>
      </c>
      <c r="AC2926" s="150">
        <v>0</v>
      </c>
      <c r="AD2926" s="150">
        <v>0</v>
      </c>
      <c r="AE2926" s="49">
        <f t="shared" si="117"/>
        <v>0</v>
      </c>
      <c r="AF2926" s="44"/>
      <c r="AG2926" s="17">
        <v>0</v>
      </c>
      <c r="AH2926" s="44">
        <v>0</v>
      </c>
      <c r="AI2926" s="44">
        <v>0</v>
      </c>
      <c r="AJ2926" s="44">
        <v>0</v>
      </c>
      <c r="AK2926" s="151">
        <v>0.3</v>
      </c>
      <c r="AL2926" s="151">
        <v>0.3</v>
      </c>
      <c r="AM2926" s="147">
        <f t="shared" si="116"/>
        <v>0.6</v>
      </c>
      <c r="AN2926" t="s">
        <v>3643</v>
      </c>
      <c r="AO2926" s="18" t="s">
        <v>3630</v>
      </c>
      <c r="AP2926" t="s">
        <v>11368</v>
      </c>
    </row>
    <row r="2927" spans="1:42" customFormat="1" x14ac:dyDescent="0.3">
      <c r="A2927" s="148" t="s">
        <v>8319</v>
      </c>
      <c r="B2927" t="s">
        <v>8320</v>
      </c>
      <c r="C2927" s="148" t="s">
        <v>9410</v>
      </c>
      <c r="D2927" t="s">
        <v>9411</v>
      </c>
      <c r="E2927" s="148" t="s">
        <v>9412</v>
      </c>
      <c r="F2927" t="s">
        <v>9413</v>
      </c>
      <c r="G2927" s="148" t="s">
        <v>11361</v>
      </c>
      <c r="H2927" t="s">
        <v>11362</v>
      </c>
      <c r="K2927" s="148" t="s">
        <v>11363</v>
      </c>
      <c r="L2927" t="s">
        <v>11364</v>
      </c>
      <c r="M2927" s="1" t="s">
        <v>11369</v>
      </c>
      <c r="N2927" s="1" t="s">
        <v>9365</v>
      </c>
      <c r="O2927" s="1" t="s">
        <v>271</v>
      </c>
      <c r="P2927" s="3" t="s">
        <v>271</v>
      </c>
      <c r="Q2927" s="3" t="s">
        <v>271</v>
      </c>
      <c r="R2927" s="3" t="s">
        <v>11370</v>
      </c>
      <c r="S2927" s="3" t="s">
        <v>271</v>
      </c>
      <c r="T2927" t="s">
        <v>3643</v>
      </c>
      <c r="U2927" t="s">
        <v>3630</v>
      </c>
      <c r="V2927" t="s">
        <v>11371</v>
      </c>
      <c r="W2927" s="45">
        <v>0</v>
      </c>
      <c r="X2927" s="45">
        <v>0</v>
      </c>
      <c r="Y2927" s="45">
        <v>0</v>
      </c>
      <c r="Z2927" s="45">
        <v>0</v>
      </c>
      <c r="AA2927" s="45">
        <v>0</v>
      </c>
      <c r="AB2927" s="45">
        <v>0</v>
      </c>
      <c r="AC2927" s="150">
        <v>0</v>
      </c>
      <c r="AD2927" s="150">
        <v>0</v>
      </c>
      <c r="AE2927" s="49">
        <f t="shared" si="117"/>
        <v>0</v>
      </c>
      <c r="AF2927" s="44"/>
      <c r="AG2927" s="17">
        <v>0</v>
      </c>
      <c r="AH2927" s="44">
        <v>0.1</v>
      </c>
      <c r="AI2927" s="44">
        <v>0.08</v>
      </c>
      <c r="AJ2927" s="44">
        <v>0.06</v>
      </c>
      <c r="AK2927" s="151">
        <v>0.04</v>
      </c>
      <c r="AL2927" s="151">
        <v>0.02</v>
      </c>
      <c r="AM2927" s="147">
        <f t="shared" si="116"/>
        <v>0.06</v>
      </c>
      <c r="AN2927" t="s">
        <v>723</v>
      </c>
      <c r="AO2927" s="18" t="s">
        <v>729</v>
      </c>
      <c r="AP2927" t="s">
        <v>9888</v>
      </c>
    </row>
    <row r="2928" spans="1:42" customFormat="1" x14ac:dyDescent="0.3">
      <c r="A2928" s="148" t="s">
        <v>8319</v>
      </c>
      <c r="B2928" t="s">
        <v>8320</v>
      </c>
      <c r="C2928" s="148" t="s">
        <v>9410</v>
      </c>
      <c r="D2928" t="s">
        <v>9411</v>
      </c>
      <c r="E2928" s="148" t="s">
        <v>9412</v>
      </c>
      <c r="F2928" t="s">
        <v>9413</v>
      </c>
      <c r="G2928" s="148" t="s">
        <v>11361</v>
      </c>
      <c r="H2928" t="s">
        <v>11362</v>
      </c>
      <c r="K2928" s="148" t="s">
        <v>11363</v>
      </c>
      <c r="L2928" t="s">
        <v>11364</v>
      </c>
      <c r="M2928" s="1"/>
      <c r="N2928" s="1"/>
      <c r="O2928" s="1"/>
      <c r="P2928" s="3"/>
      <c r="Q2928" s="3"/>
      <c r="R2928" s="3"/>
      <c r="S2928" s="3"/>
      <c r="U2928" t="e">
        <v>#N/A</v>
      </c>
      <c r="V2928" t="s">
        <v>11372</v>
      </c>
      <c r="W2928" s="45">
        <v>0</v>
      </c>
      <c r="X2928" s="45">
        <v>0</v>
      </c>
      <c r="Y2928" s="45">
        <v>0</v>
      </c>
      <c r="Z2928" s="45">
        <v>0</v>
      </c>
      <c r="AA2928" s="45">
        <v>0</v>
      </c>
      <c r="AB2928" s="45">
        <v>0</v>
      </c>
      <c r="AC2928" s="150">
        <v>0</v>
      </c>
      <c r="AD2928" s="150">
        <v>0</v>
      </c>
      <c r="AE2928" s="49">
        <f t="shared" si="117"/>
        <v>0</v>
      </c>
      <c r="AF2928" s="17"/>
      <c r="AG2928" s="17">
        <v>0</v>
      </c>
      <c r="AH2928" s="17">
        <v>0</v>
      </c>
      <c r="AI2928" s="17">
        <v>0</v>
      </c>
      <c r="AJ2928" s="17">
        <v>0</v>
      </c>
      <c r="AK2928" s="153">
        <v>0</v>
      </c>
      <c r="AL2928" s="154">
        <v>0</v>
      </c>
      <c r="AM2928" s="147">
        <f t="shared" si="116"/>
        <v>0</v>
      </c>
      <c r="AN2928" s="44" t="s">
        <v>255</v>
      </c>
      <c r="AO2928" s="18" t="s">
        <v>1045</v>
      </c>
      <c r="AP2928" t="s">
        <v>11373</v>
      </c>
    </row>
    <row r="2929" spans="1:42" customFormat="1" x14ac:dyDescent="0.3">
      <c r="A2929" s="148" t="s">
        <v>8319</v>
      </c>
      <c r="B2929" t="s">
        <v>8320</v>
      </c>
      <c r="C2929" s="148" t="s">
        <v>9410</v>
      </c>
      <c r="D2929" t="s">
        <v>9411</v>
      </c>
      <c r="E2929" s="148" t="s">
        <v>9412</v>
      </c>
      <c r="F2929" t="s">
        <v>9413</v>
      </c>
      <c r="G2929" s="148" t="s">
        <v>11361</v>
      </c>
      <c r="H2929" t="s">
        <v>11362</v>
      </c>
      <c r="K2929" s="148" t="s">
        <v>11363</v>
      </c>
      <c r="L2929" t="s">
        <v>11364</v>
      </c>
      <c r="M2929" s="1"/>
      <c r="N2929" s="1"/>
      <c r="O2929" s="1"/>
      <c r="P2929" s="3"/>
      <c r="Q2929" s="3"/>
      <c r="R2929" s="3"/>
      <c r="S2929" s="3"/>
      <c r="U2929" t="e">
        <v>#N/A</v>
      </c>
      <c r="V2929" t="s">
        <v>11374</v>
      </c>
      <c r="W2929" s="45">
        <v>0</v>
      </c>
      <c r="X2929" s="45">
        <v>0</v>
      </c>
      <c r="Y2929" s="45">
        <v>0</v>
      </c>
      <c r="Z2929" s="45">
        <v>0</v>
      </c>
      <c r="AA2929" s="45">
        <v>0</v>
      </c>
      <c r="AB2929" s="45">
        <v>0</v>
      </c>
      <c r="AC2929" s="150">
        <v>0</v>
      </c>
      <c r="AD2929" s="150">
        <v>0</v>
      </c>
      <c r="AE2929" s="49">
        <f t="shared" si="117"/>
        <v>0</v>
      </c>
      <c r="AF2929" s="44"/>
      <c r="AG2929" s="17">
        <v>0</v>
      </c>
      <c r="AH2929" s="44">
        <v>1.4</v>
      </c>
      <c r="AI2929" s="44">
        <v>1</v>
      </c>
      <c r="AJ2929" s="17">
        <v>0</v>
      </c>
      <c r="AK2929" s="153">
        <v>0</v>
      </c>
      <c r="AL2929" s="154">
        <v>0</v>
      </c>
      <c r="AM2929" s="147">
        <f t="shared" si="116"/>
        <v>0</v>
      </c>
      <c r="AN2929" t="s">
        <v>723</v>
      </c>
      <c r="AO2929" s="18" t="s">
        <v>729</v>
      </c>
      <c r="AP2929" t="s">
        <v>9888</v>
      </c>
    </row>
    <row r="2930" spans="1:42" customFormat="1" x14ac:dyDescent="0.3">
      <c r="A2930" s="148" t="s">
        <v>8319</v>
      </c>
      <c r="B2930" t="s">
        <v>8320</v>
      </c>
      <c r="C2930" s="148" t="s">
        <v>9410</v>
      </c>
      <c r="D2930" t="s">
        <v>9411</v>
      </c>
      <c r="E2930" s="148" t="s">
        <v>9412</v>
      </c>
      <c r="F2930" t="s">
        <v>9413</v>
      </c>
      <c r="G2930" s="148" t="s">
        <v>11361</v>
      </c>
      <c r="H2930" t="s">
        <v>11362</v>
      </c>
      <c r="K2930" s="148" t="s">
        <v>11375</v>
      </c>
      <c r="L2930" t="s">
        <v>11376</v>
      </c>
      <c r="M2930" s="1" t="s">
        <v>11377</v>
      </c>
      <c r="N2930" s="1"/>
      <c r="O2930" s="1"/>
      <c r="P2930" s="3"/>
      <c r="Q2930" s="3"/>
      <c r="R2930" s="3"/>
      <c r="S2930" s="3"/>
      <c r="U2930" t="e">
        <v>#N/A</v>
      </c>
      <c r="V2930" t="s">
        <v>11378</v>
      </c>
      <c r="W2930" s="45">
        <v>0</v>
      </c>
      <c r="X2930" s="45">
        <v>0</v>
      </c>
      <c r="Y2930" s="45">
        <v>0</v>
      </c>
      <c r="Z2930" s="45">
        <v>0</v>
      </c>
      <c r="AA2930" s="45">
        <v>0</v>
      </c>
      <c r="AB2930" s="45">
        <v>0</v>
      </c>
      <c r="AC2930" s="150">
        <v>0</v>
      </c>
      <c r="AD2930" s="150">
        <v>0</v>
      </c>
      <c r="AE2930" s="49">
        <f t="shared" si="117"/>
        <v>0</v>
      </c>
      <c r="AF2930" s="44"/>
      <c r="AG2930" s="17">
        <v>0</v>
      </c>
      <c r="AH2930" s="44">
        <v>0.2</v>
      </c>
      <c r="AI2930" s="44">
        <v>0.2</v>
      </c>
      <c r="AJ2930" s="44">
        <v>0.2</v>
      </c>
      <c r="AK2930" s="151">
        <v>0.2</v>
      </c>
      <c r="AL2930" s="151">
        <v>0.2</v>
      </c>
      <c r="AM2930" s="147">
        <f t="shared" si="116"/>
        <v>0.4</v>
      </c>
      <c r="AN2930" s="44" t="s">
        <v>3643</v>
      </c>
      <c r="AO2930" s="18" t="s">
        <v>3630</v>
      </c>
      <c r="AP2930" t="s">
        <v>1893</v>
      </c>
    </row>
    <row r="2931" spans="1:42" customFormat="1" x14ac:dyDescent="0.3">
      <c r="A2931" s="148" t="s">
        <v>8319</v>
      </c>
      <c r="B2931" t="s">
        <v>8320</v>
      </c>
      <c r="C2931" s="148" t="s">
        <v>9410</v>
      </c>
      <c r="D2931" t="s">
        <v>9411</v>
      </c>
      <c r="E2931" s="148" t="s">
        <v>9412</v>
      </c>
      <c r="F2931" t="s">
        <v>9413</v>
      </c>
      <c r="G2931" s="148" t="s">
        <v>11379</v>
      </c>
      <c r="H2931" t="s">
        <v>11380</v>
      </c>
      <c r="K2931" s="148" t="s">
        <v>11381</v>
      </c>
      <c r="L2931" t="s">
        <v>11382</v>
      </c>
      <c r="M2931" s="1" t="s">
        <v>11383</v>
      </c>
      <c r="N2931" s="1">
        <v>3</v>
      </c>
      <c r="O2931" s="1">
        <v>6</v>
      </c>
      <c r="P2931" s="3">
        <v>6</v>
      </c>
      <c r="Q2931" s="3">
        <v>5</v>
      </c>
      <c r="R2931" s="3">
        <v>4</v>
      </c>
      <c r="S2931" s="3"/>
      <c r="T2931" t="s">
        <v>1536</v>
      </c>
      <c r="U2931" t="e">
        <v>#N/A</v>
      </c>
      <c r="V2931" t="s">
        <v>11384</v>
      </c>
      <c r="W2931" s="45"/>
      <c r="X2931" s="45"/>
      <c r="Y2931" s="45"/>
      <c r="Z2931" s="45"/>
      <c r="AA2931" s="45"/>
      <c r="AB2931" s="45"/>
      <c r="AC2931" s="150">
        <v>0</v>
      </c>
      <c r="AD2931" s="150">
        <v>0</v>
      </c>
      <c r="AE2931" s="49">
        <f t="shared" si="117"/>
        <v>0</v>
      </c>
      <c r="AF2931" s="44"/>
      <c r="AG2931" s="17">
        <v>0</v>
      </c>
      <c r="AH2931" s="44">
        <v>0.5</v>
      </c>
      <c r="AI2931" s="44">
        <v>0.5</v>
      </c>
      <c r="AJ2931" s="44">
        <v>0.2</v>
      </c>
      <c r="AK2931" s="151">
        <v>0.2</v>
      </c>
      <c r="AL2931" s="154">
        <v>0</v>
      </c>
      <c r="AM2931" s="147">
        <f t="shared" si="116"/>
        <v>0.2</v>
      </c>
      <c r="AN2931" s="18" t="s">
        <v>771</v>
      </c>
      <c r="AO2931" s="18" t="s">
        <v>773</v>
      </c>
      <c r="AP2931" t="s">
        <v>3643</v>
      </c>
    </row>
    <row r="2932" spans="1:42" customFormat="1" x14ac:dyDescent="0.3">
      <c r="A2932" s="148" t="s">
        <v>8319</v>
      </c>
      <c r="B2932" t="s">
        <v>8320</v>
      </c>
      <c r="C2932" s="148" t="s">
        <v>9410</v>
      </c>
      <c r="D2932" t="s">
        <v>9411</v>
      </c>
      <c r="E2932" s="148" t="s">
        <v>9412</v>
      </c>
      <c r="F2932" t="s">
        <v>9413</v>
      </c>
      <c r="G2932" s="148" t="s">
        <v>11379</v>
      </c>
      <c r="H2932" t="s">
        <v>11380</v>
      </c>
      <c r="K2932" s="148" t="s">
        <v>11381</v>
      </c>
      <c r="L2932" t="s">
        <v>11382</v>
      </c>
      <c r="M2932" s="1" t="s">
        <v>11385</v>
      </c>
      <c r="N2932" s="1" t="s">
        <v>9365</v>
      </c>
      <c r="O2932" s="1">
        <v>3</v>
      </c>
      <c r="P2932" s="3">
        <v>3</v>
      </c>
      <c r="Q2932" s="3">
        <v>2</v>
      </c>
      <c r="R2932" s="3">
        <v>2</v>
      </c>
      <c r="S2932" s="3">
        <v>2</v>
      </c>
      <c r="T2932" t="s">
        <v>1536</v>
      </c>
      <c r="U2932" t="e">
        <v>#N/A</v>
      </c>
      <c r="V2932" t="s">
        <v>11386</v>
      </c>
      <c r="W2932" s="45"/>
      <c r="X2932" s="45"/>
      <c r="Y2932" s="45"/>
      <c r="Z2932" s="45"/>
      <c r="AA2932" s="45"/>
      <c r="AB2932" s="45"/>
      <c r="AC2932" s="150">
        <v>0</v>
      </c>
      <c r="AD2932" s="150">
        <v>0</v>
      </c>
      <c r="AE2932" s="49">
        <f t="shared" si="117"/>
        <v>0</v>
      </c>
      <c r="AF2932" s="44"/>
      <c r="AG2932" s="17">
        <v>0</v>
      </c>
      <c r="AH2932" s="44">
        <v>0</v>
      </c>
      <c r="AI2932" s="44">
        <v>0</v>
      </c>
      <c r="AJ2932" s="44">
        <v>0</v>
      </c>
      <c r="AK2932" s="151">
        <v>0</v>
      </c>
      <c r="AL2932" s="151">
        <v>0</v>
      </c>
      <c r="AM2932" s="147">
        <f t="shared" si="116"/>
        <v>0</v>
      </c>
      <c r="AN2932" s="44" t="s">
        <v>771</v>
      </c>
      <c r="AO2932" s="18" t="s">
        <v>773</v>
      </c>
      <c r="AP2932" t="s">
        <v>3643</v>
      </c>
    </row>
    <row r="2933" spans="1:42" customFormat="1" x14ac:dyDescent="0.3">
      <c r="A2933" s="148" t="s">
        <v>8319</v>
      </c>
      <c r="B2933" t="s">
        <v>8320</v>
      </c>
      <c r="C2933" s="148" t="s">
        <v>9410</v>
      </c>
      <c r="D2933" t="s">
        <v>9411</v>
      </c>
      <c r="E2933" s="148" t="s">
        <v>9412</v>
      </c>
      <c r="F2933" t="s">
        <v>9413</v>
      </c>
      <c r="G2933" s="148" t="s">
        <v>11379</v>
      </c>
      <c r="H2933" t="s">
        <v>11380</v>
      </c>
      <c r="K2933" s="148" t="s">
        <v>11381</v>
      </c>
      <c r="L2933" t="s">
        <v>11382</v>
      </c>
      <c r="M2933" s="1" t="s">
        <v>11387</v>
      </c>
      <c r="N2933" s="1"/>
      <c r="O2933" s="1">
        <v>1200</v>
      </c>
      <c r="P2933" s="3">
        <v>1200</v>
      </c>
      <c r="Q2933" s="3">
        <v>1200</v>
      </c>
      <c r="R2933" s="3">
        <v>1200</v>
      </c>
      <c r="S2933" s="3">
        <v>1200</v>
      </c>
      <c r="T2933" t="s">
        <v>1536</v>
      </c>
      <c r="U2933" t="e">
        <v>#N/A</v>
      </c>
      <c r="V2933" t="s">
        <v>11388</v>
      </c>
      <c r="W2933" s="45"/>
      <c r="X2933" s="45"/>
      <c r="Y2933" s="45"/>
      <c r="Z2933" s="45"/>
      <c r="AA2933" s="45"/>
      <c r="AB2933" s="45"/>
      <c r="AC2933" s="150">
        <v>0</v>
      </c>
      <c r="AD2933" s="150">
        <v>0</v>
      </c>
      <c r="AE2933" s="49">
        <f t="shared" si="117"/>
        <v>0</v>
      </c>
      <c r="AF2933" s="17"/>
      <c r="AG2933" s="17">
        <v>0</v>
      </c>
      <c r="AH2933" s="17">
        <v>0</v>
      </c>
      <c r="AI2933" s="44">
        <v>0.06</v>
      </c>
      <c r="AJ2933" s="17">
        <v>0</v>
      </c>
      <c r="AK2933" s="153">
        <v>0</v>
      </c>
      <c r="AL2933" s="154">
        <v>0</v>
      </c>
      <c r="AM2933" s="147">
        <f t="shared" si="116"/>
        <v>0</v>
      </c>
      <c r="AN2933" s="44" t="s">
        <v>771</v>
      </c>
      <c r="AO2933" s="18" t="s">
        <v>773</v>
      </c>
      <c r="AP2933" t="s">
        <v>3643</v>
      </c>
    </row>
    <row r="2934" spans="1:42" customFormat="1" x14ac:dyDescent="0.3">
      <c r="A2934" s="148" t="s">
        <v>8319</v>
      </c>
      <c r="B2934" t="s">
        <v>8320</v>
      </c>
      <c r="C2934" s="148" t="s">
        <v>9410</v>
      </c>
      <c r="D2934" t="s">
        <v>9411</v>
      </c>
      <c r="E2934" s="148" t="s">
        <v>9412</v>
      </c>
      <c r="F2934" t="s">
        <v>9413</v>
      </c>
      <c r="G2934" s="148" t="s">
        <v>11379</v>
      </c>
      <c r="H2934" t="s">
        <v>11380</v>
      </c>
      <c r="K2934" s="148" t="s">
        <v>11381</v>
      </c>
      <c r="L2934" t="s">
        <v>11382</v>
      </c>
      <c r="M2934" s="1" t="s">
        <v>11389</v>
      </c>
      <c r="N2934" s="1">
        <v>0</v>
      </c>
      <c r="O2934" s="1">
        <v>10</v>
      </c>
      <c r="P2934" s="3">
        <v>10</v>
      </c>
      <c r="Q2934" s="3"/>
      <c r="R2934" s="3"/>
      <c r="S2934" s="3"/>
      <c r="T2934" t="s">
        <v>1536</v>
      </c>
      <c r="U2934" t="e">
        <v>#N/A</v>
      </c>
      <c r="V2934" t="s">
        <v>11390</v>
      </c>
      <c r="W2934" s="45"/>
      <c r="X2934" s="45"/>
      <c r="Y2934" s="45"/>
      <c r="Z2934" s="45"/>
      <c r="AA2934" s="45"/>
      <c r="AB2934" s="45"/>
      <c r="AC2934" s="150">
        <v>0</v>
      </c>
      <c r="AD2934" s="150">
        <v>0</v>
      </c>
      <c r="AE2934" s="49">
        <f t="shared" si="117"/>
        <v>0</v>
      </c>
      <c r="AF2934" s="44"/>
      <c r="AG2934" s="17">
        <v>0</v>
      </c>
      <c r="AH2934" s="44">
        <v>1.3611</v>
      </c>
      <c r="AI2934" s="44" t="s">
        <v>11391</v>
      </c>
      <c r="AJ2934" s="44">
        <v>1.3611</v>
      </c>
      <c r="AK2934" s="151">
        <v>1.3611</v>
      </c>
      <c r="AL2934" s="151">
        <v>1.3611</v>
      </c>
      <c r="AM2934" s="147">
        <f t="shared" si="116"/>
        <v>2.7222</v>
      </c>
      <c r="AN2934" s="18" t="s">
        <v>771</v>
      </c>
      <c r="AO2934" s="18" t="s">
        <v>773</v>
      </c>
      <c r="AP2934" t="s">
        <v>119</v>
      </c>
    </row>
    <row r="2935" spans="1:42" customFormat="1" x14ac:dyDescent="0.3">
      <c r="A2935" s="148" t="s">
        <v>8319</v>
      </c>
      <c r="B2935" t="s">
        <v>8320</v>
      </c>
      <c r="C2935" s="148" t="s">
        <v>9410</v>
      </c>
      <c r="D2935" t="s">
        <v>9411</v>
      </c>
      <c r="E2935" s="148" t="s">
        <v>9412</v>
      </c>
      <c r="F2935" t="s">
        <v>9413</v>
      </c>
      <c r="G2935" s="148" t="s">
        <v>11379</v>
      </c>
      <c r="H2935" t="s">
        <v>11380</v>
      </c>
      <c r="K2935" s="148" t="s">
        <v>11381</v>
      </c>
      <c r="L2935" t="s">
        <v>11382</v>
      </c>
      <c r="M2935" s="1" t="s">
        <v>11392</v>
      </c>
      <c r="N2935" s="1">
        <v>32</v>
      </c>
      <c r="O2935" s="1">
        <v>32</v>
      </c>
      <c r="P2935" s="3">
        <v>50</v>
      </c>
      <c r="Q2935" s="3">
        <v>10</v>
      </c>
      <c r="R2935" s="3">
        <v>10</v>
      </c>
      <c r="S2935" s="3">
        <v>10</v>
      </c>
      <c r="T2935" t="s">
        <v>1536</v>
      </c>
      <c r="U2935" t="e">
        <v>#N/A</v>
      </c>
      <c r="V2935" t="s">
        <v>11393</v>
      </c>
      <c r="W2935" s="45"/>
      <c r="X2935" s="45"/>
      <c r="Y2935" s="45"/>
      <c r="Z2935" s="45"/>
      <c r="AA2935" s="45"/>
      <c r="AB2935" s="45"/>
      <c r="AC2935" s="150">
        <v>0</v>
      </c>
      <c r="AD2935" s="150">
        <v>0</v>
      </c>
      <c r="AE2935" s="49">
        <f t="shared" si="117"/>
        <v>0</v>
      </c>
      <c r="AF2935" s="44"/>
      <c r="AG2935" s="17">
        <v>0</v>
      </c>
      <c r="AH2935" s="44">
        <v>0</v>
      </c>
      <c r="AI2935" s="44">
        <v>0</v>
      </c>
      <c r="AJ2935" s="17">
        <v>0</v>
      </c>
      <c r="AK2935" s="153">
        <v>0</v>
      </c>
      <c r="AL2935" s="154">
        <v>0</v>
      </c>
      <c r="AM2935" s="147">
        <f t="shared" si="116"/>
        <v>0</v>
      </c>
      <c r="AN2935" s="18" t="s">
        <v>771</v>
      </c>
      <c r="AO2935" s="18" t="s">
        <v>773</v>
      </c>
      <c r="AP2935" t="s">
        <v>3643</v>
      </c>
    </row>
    <row r="2936" spans="1:42" customFormat="1" x14ac:dyDescent="0.3">
      <c r="A2936" s="148" t="s">
        <v>8319</v>
      </c>
      <c r="B2936" t="s">
        <v>8320</v>
      </c>
      <c r="C2936" s="148" t="s">
        <v>9410</v>
      </c>
      <c r="D2936" t="s">
        <v>9411</v>
      </c>
      <c r="E2936" s="148" t="s">
        <v>9412</v>
      </c>
      <c r="F2936" t="s">
        <v>9413</v>
      </c>
      <c r="G2936" s="148" t="s">
        <v>11379</v>
      </c>
      <c r="H2936" t="s">
        <v>11380</v>
      </c>
      <c r="K2936" s="148" t="s">
        <v>11381</v>
      </c>
      <c r="L2936" t="s">
        <v>11382</v>
      </c>
      <c r="M2936" s="1" t="s">
        <v>11394</v>
      </c>
      <c r="N2936" s="1">
        <v>0</v>
      </c>
      <c r="O2936" s="1" t="s">
        <v>271</v>
      </c>
      <c r="P2936" s="3"/>
      <c r="Q2936" s="3">
        <v>1</v>
      </c>
      <c r="R2936" s="3">
        <v>2</v>
      </c>
      <c r="S2936" s="3">
        <v>2</v>
      </c>
      <c r="T2936" t="s">
        <v>1536</v>
      </c>
      <c r="U2936" t="e">
        <v>#N/A</v>
      </c>
      <c r="V2936" t="s">
        <v>11395</v>
      </c>
      <c r="W2936" s="45"/>
      <c r="X2936" s="45"/>
      <c r="Y2936" s="45"/>
      <c r="Z2936" s="45"/>
      <c r="AA2936" s="45"/>
      <c r="AB2936" s="45"/>
      <c r="AC2936" s="150">
        <v>0</v>
      </c>
      <c r="AD2936" s="150">
        <v>0</v>
      </c>
      <c r="AE2936" s="49">
        <f t="shared" si="117"/>
        <v>0</v>
      </c>
      <c r="AF2936" s="44"/>
      <c r="AG2936" s="17">
        <v>0</v>
      </c>
      <c r="AH2936" s="44">
        <v>9.2999999999999999E-2</v>
      </c>
      <c r="AI2936" s="44" t="s">
        <v>11396</v>
      </c>
      <c r="AJ2936" s="44" t="s">
        <v>11396</v>
      </c>
      <c r="AK2936" s="151">
        <v>0.15</v>
      </c>
      <c r="AL2936" s="151">
        <v>0.15</v>
      </c>
      <c r="AM2936" s="147">
        <f t="shared" si="116"/>
        <v>0.3</v>
      </c>
      <c r="AN2936" s="18" t="s">
        <v>771</v>
      </c>
      <c r="AO2936" s="18" t="s">
        <v>773</v>
      </c>
      <c r="AP2936" t="s">
        <v>119</v>
      </c>
    </row>
    <row r="2937" spans="1:42" customFormat="1" x14ac:dyDescent="0.3">
      <c r="A2937" s="148" t="s">
        <v>8319</v>
      </c>
      <c r="B2937" t="s">
        <v>8320</v>
      </c>
      <c r="C2937" s="148" t="s">
        <v>9410</v>
      </c>
      <c r="D2937" t="s">
        <v>9411</v>
      </c>
      <c r="E2937" s="148" t="s">
        <v>9412</v>
      </c>
      <c r="F2937" t="s">
        <v>9413</v>
      </c>
      <c r="G2937" s="148" t="s">
        <v>11379</v>
      </c>
      <c r="H2937" t="s">
        <v>11380</v>
      </c>
      <c r="K2937" s="148" t="s">
        <v>11381</v>
      </c>
      <c r="L2937" t="s">
        <v>11382</v>
      </c>
      <c r="M2937" s="1" t="s">
        <v>11397</v>
      </c>
      <c r="N2937" s="1"/>
      <c r="O2937" s="1" t="s">
        <v>271</v>
      </c>
      <c r="P2937" s="3" t="s">
        <v>271</v>
      </c>
      <c r="Q2937" s="3">
        <v>1</v>
      </c>
      <c r="R2937" s="3">
        <v>2</v>
      </c>
      <c r="S2937" s="3">
        <v>1</v>
      </c>
      <c r="T2937" t="s">
        <v>1536</v>
      </c>
      <c r="U2937" t="e">
        <v>#N/A</v>
      </c>
      <c r="V2937" t="s">
        <v>11398</v>
      </c>
      <c r="W2937" s="45"/>
      <c r="X2937" s="45"/>
      <c r="Y2937" s="45"/>
      <c r="Z2937" s="45"/>
      <c r="AA2937" s="45"/>
      <c r="AB2937" s="45"/>
      <c r="AC2937" s="150">
        <v>0</v>
      </c>
      <c r="AD2937" s="150">
        <v>0</v>
      </c>
      <c r="AE2937" s="49">
        <f t="shared" si="117"/>
        <v>0</v>
      </c>
      <c r="AF2937" s="44"/>
      <c r="AG2937" s="17">
        <v>0</v>
      </c>
      <c r="AH2937" s="44">
        <v>0.1</v>
      </c>
      <c r="AI2937" s="44">
        <v>0.12</v>
      </c>
      <c r="AJ2937" s="44">
        <v>0.15</v>
      </c>
      <c r="AK2937" s="151">
        <v>0.15</v>
      </c>
      <c r="AL2937" s="151">
        <v>0.18</v>
      </c>
      <c r="AM2937" s="147">
        <f t="shared" si="116"/>
        <v>0.32999999999999996</v>
      </c>
      <c r="AN2937" s="18" t="s">
        <v>771</v>
      </c>
      <c r="AO2937" s="18" t="s">
        <v>773</v>
      </c>
      <c r="AP2937" t="s">
        <v>11399</v>
      </c>
    </row>
    <row r="2938" spans="1:42" customFormat="1" x14ac:dyDescent="0.3">
      <c r="A2938" s="148" t="s">
        <v>8319</v>
      </c>
      <c r="B2938" t="s">
        <v>8320</v>
      </c>
      <c r="C2938" s="148" t="s">
        <v>9410</v>
      </c>
      <c r="D2938" t="s">
        <v>9411</v>
      </c>
      <c r="E2938" s="148" t="s">
        <v>9412</v>
      </c>
      <c r="F2938" t="s">
        <v>9413</v>
      </c>
      <c r="G2938" s="148" t="s">
        <v>11379</v>
      </c>
      <c r="H2938" t="s">
        <v>11380</v>
      </c>
      <c r="K2938" s="148" t="s">
        <v>11381</v>
      </c>
      <c r="L2938" t="s">
        <v>11382</v>
      </c>
      <c r="M2938" s="1" t="s">
        <v>11400</v>
      </c>
      <c r="N2938" s="1"/>
      <c r="O2938" s="1">
        <v>10</v>
      </c>
      <c r="P2938" s="3">
        <v>12</v>
      </c>
      <c r="Q2938" s="3">
        <v>15</v>
      </c>
      <c r="R2938" s="3">
        <v>15</v>
      </c>
      <c r="S2938" s="3">
        <v>18</v>
      </c>
      <c r="T2938" t="s">
        <v>1536</v>
      </c>
      <c r="U2938" t="e">
        <v>#N/A</v>
      </c>
      <c r="V2938" t="s">
        <v>11401</v>
      </c>
      <c r="W2938" s="45"/>
      <c r="X2938" s="45"/>
      <c r="Y2938" s="45"/>
      <c r="Z2938" s="45"/>
      <c r="AA2938" s="45"/>
      <c r="AB2938" s="45"/>
      <c r="AC2938" s="150">
        <v>0</v>
      </c>
      <c r="AD2938" s="150">
        <v>0</v>
      </c>
      <c r="AE2938" s="49">
        <f t="shared" si="117"/>
        <v>0</v>
      </c>
      <c r="AF2938" s="44"/>
      <c r="AG2938" s="17">
        <v>0</v>
      </c>
      <c r="AH2938" s="44">
        <v>0.35</v>
      </c>
      <c r="AI2938" s="44">
        <v>0.35</v>
      </c>
      <c r="AJ2938" s="44">
        <v>0.35</v>
      </c>
      <c r="AK2938" s="151">
        <v>0.35</v>
      </c>
      <c r="AL2938" s="151">
        <v>0.35</v>
      </c>
      <c r="AM2938" s="147">
        <f t="shared" si="116"/>
        <v>0.7</v>
      </c>
      <c r="AN2938" s="18" t="s">
        <v>771</v>
      </c>
      <c r="AO2938" s="18" t="s">
        <v>773</v>
      </c>
      <c r="AP2938" t="s">
        <v>119</v>
      </c>
    </row>
    <row r="2939" spans="1:42" customFormat="1" x14ac:dyDescent="0.3">
      <c r="A2939" s="148" t="s">
        <v>8319</v>
      </c>
      <c r="B2939" t="s">
        <v>8320</v>
      </c>
      <c r="C2939" s="148" t="s">
        <v>9410</v>
      </c>
      <c r="D2939" t="s">
        <v>9411</v>
      </c>
      <c r="E2939" s="148" t="s">
        <v>9412</v>
      </c>
      <c r="F2939" t="s">
        <v>9413</v>
      </c>
      <c r="G2939" s="148" t="s">
        <v>11379</v>
      </c>
      <c r="H2939" t="s">
        <v>11380</v>
      </c>
      <c r="K2939" s="148" t="s">
        <v>11381</v>
      </c>
      <c r="L2939" t="s">
        <v>11382</v>
      </c>
      <c r="M2939" s="1" t="s">
        <v>11402</v>
      </c>
      <c r="N2939" s="1"/>
      <c r="O2939" s="1">
        <v>1100</v>
      </c>
      <c r="P2939" s="3">
        <v>1300</v>
      </c>
      <c r="Q2939" s="3">
        <v>1500</v>
      </c>
      <c r="R2939" s="3">
        <v>1700</v>
      </c>
      <c r="S2939" s="3">
        <v>1900</v>
      </c>
      <c r="T2939" t="s">
        <v>1536</v>
      </c>
      <c r="U2939" t="e">
        <v>#N/A</v>
      </c>
      <c r="V2939" t="s">
        <v>11403</v>
      </c>
      <c r="W2939" s="45"/>
      <c r="X2939" s="45"/>
      <c r="Y2939" s="45"/>
      <c r="Z2939" s="45"/>
      <c r="AA2939" s="45"/>
      <c r="AB2939" s="45"/>
      <c r="AC2939" s="150">
        <v>0</v>
      </c>
      <c r="AD2939" s="150">
        <v>0</v>
      </c>
      <c r="AE2939" s="49">
        <f t="shared" si="117"/>
        <v>0</v>
      </c>
      <c r="AF2939" s="17"/>
      <c r="AG2939" s="17">
        <v>0</v>
      </c>
      <c r="AH2939" s="17">
        <v>0</v>
      </c>
      <c r="AI2939" s="44">
        <v>0.3</v>
      </c>
      <c r="AJ2939" s="17">
        <v>0</v>
      </c>
      <c r="AK2939" s="153">
        <v>0</v>
      </c>
      <c r="AL2939" s="151">
        <v>0.3</v>
      </c>
      <c r="AM2939" s="147">
        <f t="shared" si="116"/>
        <v>0.3</v>
      </c>
      <c r="AN2939" s="18" t="s">
        <v>771</v>
      </c>
      <c r="AO2939" s="18" t="s">
        <v>773</v>
      </c>
      <c r="AP2939" t="s">
        <v>831</v>
      </c>
    </row>
    <row r="2940" spans="1:42" customFormat="1" x14ac:dyDescent="0.3">
      <c r="A2940" s="148" t="s">
        <v>8319</v>
      </c>
      <c r="B2940" t="s">
        <v>8320</v>
      </c>
      <c r="C2940" s="148" t="s">
        <v>9410</v>
      </c>
      <c r="D2940" t="s">
        <v>9411</v>
      </c>
      <c r="E2940" s="148" t="s">
        <v>9412</v>
      </c>
      <c r="F2940" t="s">
        <v>9413</v>
      </c>
      <c r="G2940" s="148" t="s">
        <v>11379</v>
      </c>
      <c r="H2940" t="s">
        <v>11380</v>
      </c>
      <c r="K2940" s="148" t="s">
        <v>11381</v>
      </c>
      <c r="L2940" t="s">
        <v>11382</v>
      </c>
      <c r="M2940" s="1" t="s">
        <v>11404</v>
      </c>
      <c r="N2940" s="1"/>
      <c r="O2940" s="1" t="s">
        <v>271</v>
      </c>
      <c r="P2940" s="3">
        <v>1</v>
      </c>
      <c r="Q2940" s="3"/>
      <c r="R2940" s="3"/>
      <c r="S2940" s="3">
        <v>1</v>
      </c>
      <c r="T2940" t="s">
        <v>1536</v>
      </c>
      <c r="U2940" t="e">
        <v>#N/A</v>
      </c>
      <c r="V2940" t="s">
        <v>11405</v>
      </c>
      <c r="W2940" s="45"/>
      <c r="X2940" s="45"/>
      <c r="Y2940" s="45"/>
      <c r="Z2940" s="45"/>
      <c r="AA2940" s="45"/>
      <c r="AB2940" s="45"/>
      <c r="AC2940" s="150">
        <v>0</v>
      </c>
      <c r="AD2940" s="150">
        <v>0</v>
      </c>
      <c r="AE2940" s="49">
        <f t="shared" si="117"/>
        <v>0</v>
      </c>
      <c r="AF2940" s="44"/>
      <c r="AG2940" s="17">
        <v>0</v>
      </c>
      <c r="AH2940" s="44">
        <v>0.4</v>
      </c>
      <c r="AI2940" s="44" t="s">
        <v>4406</v>
      </c>
      <c r="AJ2940" s="44">
        <v>0.6</v>
      </c>
      <c r="AK2940" s="151">
        <v>0.6</v>
      </c>
      <c r="AL2940" s="151" t="s">
        <v>11406</v>
      </c>
      <c r="AM2940" s="147">
        <f t="shared" si="116"/>
        <v>0.6</v>
      </c>
      <c r="AN2940" s="18" t="s">
        <v>771</v>
      </c>
      <c r="AO2940" s="18" t="s">
        <v>773</v>
      </c>
      <c r="AP2940" t="s">
        <v>63</v>
      </c>
    </row>
    <row r="2941" spans="1:42" customFormat="1" x14ac:dyDescent="0.3">
      <c r="A2941" s="148" t="s">
        <v>8319</v>
      </c>
      <c r="B2941" t="s">
        <v>8320</v>
      </c>
      <c r="C2941" s="148" t="s">
        <v>9410</v>
      </c>
      <c r="D2941" t="s">
        <v>9411</v>
      </c>
      <c r="E2941" s="148" t="s">
        <v>9412</v>
      </c>
      <c r="F2941" t="s">
        <v>9413</v>
      </c>
      <c r="G2941" s="148" t="s">
        <v>11379</v>
      </c>
      <c r="H2941" t="s">
        <v>11380</v>
      </c>
      <c r="K2941" s="148" t="s">
        <v>11381</v>
      </c>
      <c r="L2941" t="s">
        <v>11382</v>
      </c>
      <c r="M2941" s="1" t="s">
        <v>11407</v>
      </c>
      <c r="N2941" s="1"/>
      <c r="O2941" s="1">
        <v>5</v>
      </c>
      <c r="P2941" s="3">
        <v>20</v>
      </c>
      <c r="Q2941" s="3">
        <v>20</v>
      </c>
      <c r="R2941" s="3">
        <v>20</v>
      </c>
      <c r="S2941" s="3">
        <v>20</v>
      </c>
      <c r="T2941" t="s">
        <v>1536</v>
      </c>
      <c r="U2941" t="e">
        <v>#N/A</v>
      </c>
      <c r="V2941" t="s">
        <v>11408</v>
      </c>
      <c r="W2941" s="45"/>
      <c r="X2941" s="45"/>
      <c r="Y2941" s="45"/>
      <c r="Z2941" s="45"/>
      <c r="AA2941" s="45"/>
      <c r="AB2941" s="45"/>
      <c r="AC2941" s="150">
        <v>0</v>
      </c>
      <c r="AD2941" s="150">
        <v>0</v>
      </c>
      <c r="AE2941" s="49">
        <f t="shared" si="117"/>
        <v>0</v>
      </c>
      <c r="AF2941" s="17"/>
      <c r="AG2941" s="17">
        <v>0</v>
      </c>
      <c r="AH2941" s="17">
        <v>0</v>
      </c>
      <c r="AI2941" s="17">
        <v>0</v>
      </c>
      <c r="AJ2941" s="17">
        <v>0</v>
      </c>
      <c r="AK2941" s="153">
        <v>0</v>
      </c>
      <c r="AL2941" s="154">
        <v>0</v>
      </c>
      <c r="AM2941" s="147">
        <f t="shared" si="116"/>
        <v>0</v>
      </c>
      <c r="AN2941" t="s">
        <v>3643</v>
      </c>
      <c r="AO2941" s="18" t="s">
        <v>3630</v>
      </c>
      <c r="AP2941" t="s">
        <v>7194</v>
      </c>
    </row>
    <row r="2942" spans="1:42" customFormat="1" x14ac:dyDescent="0.3">
      <c r="A2942" s="148" t="s">
        <v>8319</v>
      </c>
      <c r="B2942" t="s">
        <v>8320</v>
      </c>
      <c r="C2942" s="148" t="s">
        <v>9410</v>
      </c>
      <c r="D2942" t="s">
        <v>9411</v>
      </c>
      <c r="E2942" s="148" t="s">
        <v>9412</v>
      </c>
      <c r="F2942" t="s">
        <v>9413</v>
      </c>
      <c r="G2942" s="148" t="s">
        <v>11379</v>
      </c>
      <c r="H2942" t="s">
        <v>11380</v>
      </c>
      <c r="K2942" s="148" t="s">
        <v>11381</v>
      </c>
      <c r="L2942" t="s">
        <v>11382</v>
      </c>
      <c r="M2942" s="1" t="s">
        <v>11409</v>
      </c>
      <c r="N2942" s="1"/>
      <c r="O2942" s="1">
        <v>850</v>
      </c>
      <c r="P2942" s="3">
        <v>1050</v>
      </c>
      <c r="Q2942" s="3">
        <v>1200</v>
      </c>
      <c r="R2942" s="3">
        <v>1250</v>
      </c>
      <c r="S2942" s="3">
        <v>1300</v>
      </c>
      <c r="T2942" t="s">
        <v>1536</v>
      </c>
      <c r="U2942" t="e">
        <v>#N/A</v>
      </c>
      <c r="V2942" t="s">
        <v>11410</v>
      </c>
      <c r="W2942" s="45"/>
      <c r="X2942" s="45"/>
      <c r="Y2942" s="45"/>
      <c r="Z2942" s="45"/>
      <c r="AA2942" s="45"/>
      <c r="AB2942" s="45"/>
      <c r="AC2942" s="150">
        <v>0</v>
      </c>
      <c r="AD2942" s="150">
        <v>0</v>
      </c>
      <c r="AE2942" s="49">
        <f t="shared" si="117"/>
        <v>0</v>
      </c>
      <c r="AF2942" s="17"/>
      <c r="AG2942" s="17">
        <v>0</v>
      </c>
      <c r="AH2942" s="17">
        <v>0</v>
      </c>
      <c r="AI2942" s="17">
        <v>0</v>
      </c>
      <c r="AJ2942" s="17">
        <v>0</v>
      </c>
      <c r="AK2942" s="153">
        <v>0</v>
      </c>
      <c r="AL2942" s="154">
        <v>0</v>
      </c>
      <c r="AM2942" s="147">
        <f t="shared" si="116"/>
        <v>0</v>
      </c>
      <c r="AN2942" s="18" t="s">
        <v>771</v>
      </c>
      <c r="AO2942" s="18" t="s">
        <v>773</v>
      </c>
      <c r="AP2942" t="s">
        <v>7194</v>
      </c>
    </row>
    <row r="2943" spans="1:42" customFormat="1" x14ac:dyDescent="0.3">
      <c r="A2943" s="148" t="s">
        <v>8319</v>
      </c>
      <c r="B2943" t="s">
        <v>8320</v>
      </c>
      <c r="C2943" s="148" t="s">
        <v>9410</v>
      </c>
      <c r="D2943" t="s">
        <v>9411</v>
      </c>
      <c r="E2943" s="148" t="s">
        <v>9412</v>
      </c>
      <c r="F2943" t="s">
        <v>9413</v>
      </c>
      <c r="G2943" s="148" t="s">
        <v>11379</v>
      </c>
      <c r="H2943" t="s">
        <v>11380</v>
      </c>
      <c r="K2943" s="148" t="s">
        <v>11381</v>
      </c>
      <c r="L2943" t="s">
        <v>11382</v>
      </c>
      <c r="M2943" s="1" t="s">
        <v>11411</v>
      </c>
      <c r="N2943" s="1"/>
      <c r="O2943" s="1"/>
      <c r="P2943" s="3">
        <v>1</v>
      </c>
      <c r="Q2943" s="3"/>
      <c r="R2943" s="3"/>
      <c r="S2943" s="3"/>
      <c r="T2943" t="s">
        <v>3643</v>
      </c>
      <c r="U2943" t="s">
        <v>3630</v>
      </c>
      <c r="W2943" s="45"/>
      <c r="X2943" s="45"/>
      <c r="Y2943" s="45"/>
      <c r="Z2943" s="45"/>
      <c r="AA2943" s="45"/>
      <c r="AB2943" s="45"/>
      <c r="AC2943" s="150">
        <v>0</v>
      </c>
      <c r="AD2943" s="150">
        <v>0</v>
      </c>
      <c r="AE2943" s="49">
        <f t="shared" si="117"/>
        <v>0</v>
      </c>
      <c r="AF2943" s="17"/>
      <c r="AG2943" s="17">
        <v>0</v>
      </c>
      <c r="AH2943" s="17"/>
      <c r="AI2943" s="17"/>
      <c r="AJ2943" s="17"/>
      <c r="AK2943" s="153"/>
      <c r="AL2943" s="154"/>
      <c r="AM2943" s="147">
        <f t="shared" si="116"/>
        <v>0</v>
      </c>
      <c r="AN2943" s="18"/>
      <c r="AO2943" s="18"/>
    </row>
    <row r="2944" spans="1:42" customFormat="1" x14ac:dyDescent="0.3">
      <c r="A2944" s="148" t="s">
        <v>8319</v>
      </c>
      <c r="B2944" t="s">
        <v>8320</v>
      </c>
      <c r="C2944" s="148" t="s">
        <v>9410</v>
      </c>
      <c r="D2944" t="s">
        <v>9411</v>
      </c>
      <c r="E2944" s="148" t="s">
        <v>9412</v>
      </c>
      <c r="F2944" t="s">
        <v>9413</v>
      </c>
      <c r="G2944" s="148" t="s">
        <v>11379</v>
      </c>
      <c r="H2944" t="s">
        <v>11380</v>
      </c>
      <c r="K2944" s="148" t="s">
        <v>11412</v>
      </c>
      <c r="L2944" t="s">
        <v>11413</v>
      </c>
      <c r="M2944" s="1" t="s">
        <v>11414</v>
      </c>
      <c r="N2944" s="1">
        <v>0</v>
      </c>
      <c r="O2944" s="1" t="s">
        <v>271</v>
      </c>
      <c r="P2944" s="3">
        <v>1</v>
      </c>
      <c r="Q2944" s="3"/>
      <c r="R2944" s="3"/>
      <c r="S2944" s="3"/>
      <c r="T2944" t="s">
        <v>11415</v>
      </c>
      <c r="U2944" t="e">
        <v>#N/A</v>
      </c>
      <c r="V2944" t="s">
        <v>11416</v>
      </c>
      <c r="W2944" s="45"/>
      <c r="X2944" s="45"/>
      <c r="Y2944" s="45"/>
      <c r="Z2944" s="45"/>
      <c r="AA2944" s="45"/>
      <c r="AB2944" s="45"/>
      <c r="AC2944" s="150">
        <v>0</v>
      </c>
      <c r="AD2944" s="150">
        <v>0</v>
      </c>
      <c r="AE2944" s="49">
        <f t="shared" si="117"/>
        <v>0</v>
      </c>
      <c r="AF2944" s="17"/>
      <c r="AG2944" s="17">
        <v>0</v>
      </c>
      <c r="AH2944" s="17">
        <v>0</v>
      </c>
      <c r="AI2944" s="17">
        <v>0</v>
      </c>
      <c r="AJ2944" s="17">
        <v>0</v>
      </c>
      <c r="AK2944" s="151">
        <v>0.2</v>
      </c>
      <c r="AL2944" s="154">
        <v>0</v>
      </c>
      <c r="AM2944" s="147">
        <f t="shared" si="116"/>
        <v>0.2</v>
      </c>
      <c r="AN2944" s="18" t="s">
        <v>771</v>
      </c>
      <c r="AO2944" s="18" t="s">
        <v>773</v>
      </c>
      <c r="AP2944" t="s">
        <v>11417</v>
      </c>
    </row>
    <row r="2945" spans="1:42" customFormat="1" x14ac:dyDescent="0.3">
      <c r="A2945" s="148" t="s">
        <v>8319</v>
      </c>
      <c r="B2945" t="s">
        <v>8320</v>
      </c>
      <c r="C2945" s="148" t="s">
        <v>9410</v>
      </c>
      <c r="D2945" t="s">
        <v>9411</v>
      </c>
      <c r="E2945" s="148" t="s">
        <v>9412</v>
      </c>
      <c r="F2945" t="s">
        <v>9413</v>
      </c>
      <c r="G2945" s="148" t="s">
        <v>11379</v>
      </c>
      <c r="H2945" t="s">
        <v>11380</v>
      </c>
      <c r="K2945" s="148" t="s">
        <v>11412</v>
      </c>
      <c r="L2945" t="s">
        <v>11413</v>
      </c>
      <c r="M2945" s="1" t="s">
        <v>11418</v>
      </c>
      <c r="N2945" s="1">
        <v>0</v>
      </c>
      <c r="O2945" s="1"/>
      <c r="P2945" s="3">
        <v>10</v>
      </c>
      <c r="Q2945" s="3">
        <v>10</v>
      </c>
      <c r="R2945" s="3"/>
      <c r="S2945" s="3">
        <v>1</v>
      </c>
      <c r="T2945" t="s">
        <v>1536</v>
      </c>
      <c r="U2945" t="e">
        <v>#N/A</v>
      </c>
      <c r="V2945" t="s">
        <v>11419</v>
      </c>
      <c r="W2945" s="45"/>
      <c r="X2945" s="45"/>
      <c r="Y2945" s="45"/>
      <c r="Z2945" s="45"/>
      <c r="AA2945" s="45"/>
      <c r="AB2945" s="45"/>
      <c r="AC2945" s="150">
        <v>0</v>
      </c>
      <c r="AD2945" s="150">
        <v>0</v>
      </c>
      <c r="AE2945" s="49">
        <f t="shared" si="117"/>
        <v>0</v>
      </c>
      <c r="AF2945" s="17"/>
      <c r="AG2945" s="17">
        <v>0</v>
      </c>
      <c r="AH2945" s="17">
        <v>0</v>
      </c>
      <c r="AI2945" s="44">
        <v>0.26</v>
      </c>
      <c r="AJ2945" s="44">
        <v>0.26</v>
      </c>
      <c r="AK2945" s="153">
        <v>0</v>
      </c>
      <c r="AL2945" s="154">
        <v>0</v>
      </c>
      <c r="AM2945" s="147">
        <f t="shared" si="116"/>
        <v>0</v>
      </c>
      <c r="AN2945" s="18" t="s">
        <v>771</v>
      </c>
      <c r="AO2945" s="18" t="s">
        <v>773</v>
      </c>
      <c r="AP2945" t="s">
        <v>101</v>
      </c>
    </row>
    <row r="2946" spans="1:42" customFormat="1" x14ac:dyDescent="0.3">
      <c r="A2946" s="148" t="s">
        <v>8319</v>
      </c>
      <c r="B2946" t="s">
        <v>8320</v>
      </c>
      <c r="C2946" s="148" t="s">
        <v>9410</v>
      </c>
      <c r="D2946" t="s">
        <v>9411</v>
      </c>
      <c r="E2946" s="148" t="s">
        <v>9412</v>
      </c>
      <c r="F2946" t="s">
        <v>9413</v>
      </c>
      <c r="G2946" s="148" t="s">
        <v>11379</v>
      </c>
      <c r="H2946" t="s">
        <v>11380</v>
      </c>
      <c r="K2946" s="148" t="s">
        <v>11412</v>
      </c>
      <c r="L2946" t="s">
        <v>11413</v>
      </c>
      <c r="M2946" s="1" t="s">
        <v>11420</v>
      </c>
      <c r="N2946" s="1"/>
      <c r="O2946" s="1">
        <v>500</v>
      </c>
      <c r="P2946" s="3">
        <v>1000</v>
      </c>
      <c r="Q2946" s="3">
        <v>1100</v>
      </c>
      <c r="R2946" s="3">
        <v>1200</v>
      </c>
      <c r="S2946" s="3">
        <v>1300</v>
      </c>
      <c r="T2946" t="s">
        <v>771</v>
      </c>
      <c r="U2946" t="s">
        <v>773</v>
      </c>
      <c r="V2946" t="s">
        <v>11421</v>
      </c>
      <c r="W2946" s="45"/>
      <c r="X2946" s="45"/>
      <c r="Y2946" s="45"/>
      <c r="Z2946" s="45"/>
      <c r="AA2946" s="45"/>
      <c r="AB2946" s="45"/>
      <c r="AC2946" s="150">
        <v>0</v>
      </c>
      <c r="AD2946" s="150">
        <v>0</v>
      </c>
      <c r="AE2946" s="49">
        <f t="shared" si="117"/>
        <v>0</v>
      </c>
      <c r="AF2946" s="44"/>
      <c r="AG2946" s="17">
        <v>0</v>
      </c>
      <c r="AH2946" s="44">
        <v>1</v>
      </c>
      <c r="AI2946" s="44">
        <v>1</v>
      </c>
      <c r="AJ2946" s="44">
        <v>1</v>
      </c>
      <c r="AK2946" s="151">
        <v>1</v>
      </c>
      <c r="AL2946" s="151">
        <v>1</v>
      </c>
      <c r="AM2946" s="147">
        <f t="shared" si="116"/>
        <v>2</v>
      </c>
      <c r="AN2946" s="18" t="s">
        <v>771</v>
      </c>
      <c r="AO2946" s="18" t="s">
        <v>773</v>
      </c>
      <c r="AP2946" t="s">
        <v>101</v>
      </c>
    </row>
    <row r="2947" spans="1:42" customFormat="1" x14ac:dyDescent="0.3">
      <c r="A2947" s="148" t="s">
        <v>8319</v>
      </c>
      <c r="B2947" t="s">
        <v>8320</v>
      </c>
      <c r="C2947" s="148" t="s">
        <v>9410</v>
      </c>
      <c r="D2947" t="s">
        <v>9411</v>
      </c>
      <c r="E2947" s="148" t="s">
        <v>9412</v>
      </c>
      <c r="F2947" t="s">
        <v>9413</v>
      </c>
      <c r="G2947" s="148" t="s">
        <v>11379</v>
      </c>
      <c r="H2947" t="s">
        <v>11380</v>
      </c>
      <c r="K2947" s="148" t="s">
        <v>11412</v>
      </c>
      <c r="L2947" t="s">
        <v>11413</v>
      </c>
      <c r="M2947" s="1" t="s">
        <v>11422</v>
      </c>
      <c r="N2947" s="1">
        <v>6</v>
      </c>
      <c r="O2947" s="1">
        <v>16</v>
      </c>
      <c r="P2947" s="3">
        <v>16</v>
      </c>
      <c r="Q2947" s="3">
        <v>16</v>
      </c>
      <c r="R2947" s="3">
        <v>16</v>
      </c>
      <c r="S2947" s="3">
        <v>16</v>
      </c>
      <c r="T2947" t="s">
        <v>771</v>
      </c>
      <c r="U2947" t="s">
        <v>773</v>
      </c>
      <c r="V2947" t="s">
        <v>11423</v>
      </c>
      <c r="W2947" s="45"/>
      <c r="X2947" s="45"/>
      <c r="Y2947" s="45"/>
      <c r="Z2947" s="45"/>
      <c r="AA2947" s="45"/>
      <c r="AB2947" s="45"/>
      <c r="AC2947" s="150">
        <v>0</v>
      </c>
      <c r="AD2947" s="150">
        <v>0</v>
      </c>
      <c r="AE2947" s="49">
        <f t="shared" si="117"/>
        <v>0</v>
      </c>
      <c r="AF2947" s="17"/>
      <c r="AG2947" s="17">
        <v>0</v>
      </c>
      <c r="AH2947" s="17">
        <v>0</v>
      </c>
      <c r="AI2947" s="44">
        <v>0.4</v>
      </c>
      <c r="AJ2947" s="17">
        <v>0</v>
      </c>
      <c r="AK2947" s="153">
        <v>0</v>
      </c>
      <c r="AL2947" s="151">
        <v>0.4</v>
      </c>
      <c r="AM2947" s="147">
        <f t="shared" si="116"/>
        <v>0.4</v>
      </c>
      <c r="AN2947" s="18" t="s">
        <v>771</v>
      </c>
      <c r="AO2947" s="18" t="s">
        <v>773</v>
      </c>
      <c r="AP2947" t="s">
        <v>407</v>
      </c>
    </row>
    <row r="2948" spans="1:42" customFormat="1" x14ac:dyDescent="0.3">
      <c r="A2948" s="148" t="s">
        <v>8319</v>
      </c>
      <c r="B2948" t="s">
        <v>8320</v>
      </c>
      <c r="C2948" s="148" t="s">
        <v>9410</v>
      </c>
      <c r="D2948" t="s">
        <v>9411</v>
      </c>
      <c r="E2948" s="148" t="s">
        <v>9412</v>
      </c>
      <c r="F2948" t="s">
        <v>9413</v>
      </c>
      <c r="G2948" s="148" t="s">
        <v>11379</v>
      </c>
      <c r="H2948" t="s">
        <v>11380</v>
      </c>
      <c r="K2948" s="148" t="s">
        <v>11412</v>
      </c>
      <c r="L2948" t="s">
        <v>11413</v>
      </c>
      <c r="M2948" s="1" t="s">
        <v>11424</v>
      </c>
      <c r="N2948" s="1">
        <v>4</v>
      </c>
      <c r="O2948" s="1"/>
      <c r="P2948" s="3">
        <v>10</v>
      </c>
      <c r="Q2948" s="3">
        <v>10</v>
      </c>
      <c r="R2948" s="3"/>
      <c r="S2948" s="3"/>
      <c r="T2948" t="s">
        <v>771</v>
      </c>
      <c r="U2948" t="s">
        <v>773</v>
      </c>
      <c r="V2948" t="s">
        <v>11425</v>
      </c>
      <c r="W2948" s="45"/>
      <c r="X2948" s="45"/>
      <c r="Y2948" s="45"/>
      <c r="Z2948" s="45"/>
      <c r="AA2948" s="45"/>
      <c r="AB2948" s="45"/>
      <c r="AC2948" s="150">
        <v>0</v>
      </c>
      <c r="AD2948" s="150">
        <v>0</v>
      </c>
      <c r="AE2948" s="49">
        <f t="shared" si="117"/>
        <v>0</v>
      </c>
      <c r="AF2948" s="44"/>
      <c r="AG2948" s="17">
        <v>0</v>
      </c>
      <c r="AH2948" s="44">
        <v>0.2</v>
      </c>
      <c r="AI2948" s="44">
        <v>0.2</v>
      </c>
      <c r="AJ2948" s="44">
        <v>0.2</v>
      </c>
      <c r="AK2948" s="151">
        <v>0.2</v>
      </c>
      <c r="AL2948" s="151">
        <v>0.2</v>
      </c>
      <c r="AM2948" s="147">
        <f t="shared" si="116"/>
        <v>0.4</v>
      </c>
      <c r="AN2948" s="18" t="s">
        <v>771</v>
      </c>
      <c r="AO2948" s="18" t="s">
        <v>773</v>
      </c>
      <c r="AP2948" t="s">
        <v>11426</v>
      </c>
    </row>
    <row r="2949" spans="1:42" customFormat="1" x14ac:dyDescent="0.3">
      <c r="A2949" s="148" t="s">
        <v>8319</v>
      </c>
      <c r="B2949" t="s">
        <v>8320</v>
      </c>
      <c r="C2949" s="148" t="s">
        <v>9410</v>
      </c>
      <c r="D2949" t="s">
        <v>9411</v>
      </c>
      <c r="E2949" s="148" t="s">
        <v>9412</v>
      </c>
      <c r="F2949" t="s">
        <v>9413</v>
      </c>
      <c r="G2949" s="148" t="s">
        <v>11379</v>
      </c>
      <c r="H2949" t="s">
        <v>11380</v>
      </c>
      <c r="K2949" s="148" t="s">
        <v>11412</v>
      </c>
      <c r="L2949" t="s">
        <v>11413</v>
      </c>
      <c r="M2949" s="1" t="s">
        <v>11387</v>
      </c>
      <c r="N2949" s="1"/>
      <c r="O2949" s="1">
        <v>240</v>
      </c>
      <c r="P2949" s="3">
        <v>280</v>
      </c>
      <c r="Q2949" s="3">
        <v>320</v>
      </c>
      <c r="R2949" s="3">
        <v>400</v>
      </c>
      <c r="S2949" s="3">
        <v>600</v>
      </c>
      <c r="T2949" t="s">
        <v>771</v>
      </c>
      <c r="U2949" t="s">
        <v>773</v>
      </c>
      <c r="V2949" t="s">
        <v>11427</v>
      </c>
      <c r="W2949" s="45"/>
      <c r="X2949" s="45"/>
      <c r="Y2949" s="45"/>
      <c r="Z2949" s="45"/>
      <c r="AA2949" s="45"/>
      <c r="AB2949" s="45"/>
      <c r="AC2949" s="150">
        <v>0</v>
      </c>
      <c r="AD2949" s="150">
        <v>0</v>
      </c>
      <c r="AE2949" s="49">
        <f t="shared" si="117"/>
        <v>0</v>
      </c>
      <c r="AF2949" s="17"/>
      <c r="AG2949" s="17">
        <v>0</v>
      </c>
      <c r="AH2949" s="17">
        <v>0</v>
      </c>
      <c r="AI2949" s="44">
        <v>0.4</v>
      </c>
      <c r="AJ2949" s="44">
        <v>0.6</v>
      </c>
      <c r="AK2949" s="153">
        <v>0</v>
      </c>
      <c r="AL2949" s="154">
        <v>0</v>
      </c>
      <c r="AM2949" s="147">
        <f t="shared" si="116"/>
        <v>0</v>
      </c>
      <c r="AN2949" s="18" t="s">
        <v>771</v>
      </c>
      <c r="AO2949" s="18" t="s">
        <v>773</v>
      </c>
      <c r="AP2949" t="s">
        <v>119</v>
      </c>
    </row>
    <row r="2950" spans="1:42" customFormat="1" x14ac:dyDescent="0.3">
      <c r="A2950" s="148" t="s">
        <v>8319</v>
      </c>
      <c r="B2950" t="s">
        <v>8320</v>
      </c>
      <c r="C2950" s="148" t="s">
        <v>9410</v>
      </c>
      <c r="D2950" t="s">
        <v>9411</v>
      </c>
      <c r="E2950" s="148" t="s">
        <v>9412</v>
      </c>
      <c r="F2950" t="s">
        <v>9413</v>
      </c>
      <c r="G2950" s="148" t="s">
        <v>11379</v>
      </c>
      <c r="H2950" t="s">
        <v>11380</v>
      </c>
      <c r="K2950" s="148" t="s">
        <v>11412</v>
      </c>
      <c r="L2950" t="s">
        <v>11413</v>
      </c>
      <c r="M2950" s="1" t="s">
        <v>11428</v>
      </c>
      <c r="N2950" s="1"/>
      <c r="O2950" s="1"/>
      <c r="P2950" s="3"/>
      <c r="Q2950" s="3" t="s">
        <v>3532</v>
      </c>
      <c r="R2950" s="3"/>
      <c r="S2950" s="3"/>
      <c r="T2950" t="s">
        <v>771</v>
      </c>
      <c r="U2950" t="s">
        <v>773</v>
      </c>
      <c r="V2950" t="s">
        <v>11429</v>
      </c>
      <c r="W2950" s="45"/>
      <c r="X2950" s="45"/>
      <c r="Y2950" s="45"/>
      <c r="Z2950" s="45"/>
      <c r="AA2950" s="45"/>
      <c r="AB2950" s="45"/>
      <c r="AC2950" s="150">
        <v>0</v>
      </c>
      <c r="AD2950" s="150">
        <v>0</v>
      </c>
      <c r="AE2950" s="49">
        <f t="shared" si="117"/>
        <v>0</v>
      </c>
      <c r="AF2950" s="44"/>
      <c r="AG2950" s="17">
        <v>0</v>
      </c>
      <c r="AH2950" s="44">
        <v>0</v>
      </c>
      <c r="AI2950" s="44">
        <v>0</v>
      </c>
      <c r="AJ2950" s="44">
        <v>0</v>
      </c>
      <c r="AK2950" s="151">
        <v>0</v>
      </c>
      <c r="AL2950" s="151">
        <v>0</v>
      </c>
      <c r="AM2950" s="147">
        <f t="shared" si="116"/>
        <v>0</v>
      </c>
      <c r="AN2950" s="18" t="s">
        <v>771</v>
      </c>
      <c r="AO2950" s="18" t="s">
        <v>773</v>
      </c>
      <c r="AP2950" t="s">
        <v>3643</v>
      </c>
    </row>
    <row r="2951" spans="1:42" customFormat="1" x14ac:dyDescent="0.3">
      <c r="A2951" s="148" t="s">
        <v>8319</v>
      </c>
      <c r="B2951" t="s">
        <v>8320</v>
      </c>
      <c r="C2951" s="148" t="s">
        <v>9410</v>
      </c>
      <c r="D2951" t="s">
        <v>9411</v>
      </c>
      <c r="E2951" s="148" t="s">
        <v>9412</v>
      </c>
      <c r="F2951" t="s">
        <v>9413</v>
      </c>
      <c r="G2951" s="148" t="s">
        <v>11379</v>
      </c>
      <c r="H2951" t="s">
        <v>11380</v>
      </c>
      <c r="K2951" s="148" t="s">
        <v>11412</v>
      </c>
      <c r="L2951" t="s">
        <v>11413</v>
      </c>
      <c r="M2951" s="1"/>
      <c r="N2951" s="1"/>
      <c r="O2951" s="1"/>
      <c r="P2951" s="3"/>
      <c r="Q2951" s="3"/>
      <c r="R2951" s="3"/>
      <c r="S2951" s="3"/>
      <c r="U2951" t="e">
        <v>#N/A</v>
      </c>
      <c r="V2951" t="s">
        <v>11430</v>
      </c>
      <c r="W2951" s="45"/>
      <c r="X2951" s="45"/>
      <c r="Y2951" s="45"/>
      <c r="Z2951" s="45"/>
      <c r="AA2951" s="45"/>
      <c r="AB2951" s="45"/>
      <c r="AC2951" s="150">
        <v>0</v>
      </c>
      <c r="AD2951" s="150">
        <v>0</v>
      </c>
      <c r="AE2951" s="49">
        <f t="shared" si="117"/>
        <v>0</v>
      </c>
      <c r="AF2951" s="17"/>
      <c r="AG2951" s="17">
        <v>0</v>
      </c>
      <c r="AH2951" s="17">
        <v>0</v>
      </c>
      <c r="AI2951" s="17">
        <v>0</v>
      </c>
      <c r="AJ2951" s="44">
        <v>10</v>
      </c>
      <c r="AK2951" s="153">
        <v>0</v>
      </c>
      <c r="AL2951" s="154">
        <v>0</v>
      </c>
      <c r="AM2951" s="147">
        <f t="shared" si="116"/>
        <v>0</v>
      </c>
      <c r="AN2951" s="18" t="s">
        <v>771</v>
      </c>
      <c r="AO2951" s="18" t="s">
        <v>773</v>
      </c>
      <c r="AP2951" t="s">
        <v>4825</v>
      </c>
    </row>
    <row r="2952" spans="1:42" customFormat="1" x14ac:dyDescent="0.3">
      <c r="A2952" s="148" t="s">
        <v>8319</v>
      </c>
      <c r="B2952" t="s">
        <v>8320</v>
      </c>
      <c r="C2952" s="148" t="s">
        <v>9410</v>
      </c>
      <c r="D2952" t="s">
        <v>9411</v>
      </c>
      <c r="E2952" s="148" t="s">
        <v>9412</v>
      </c>
      <c r="F2952" t="s">
        <v>9413</v>
      </c>
      <c r="G2952" s="148" t="s">
        <v>11379</v>
      </c>
      <c r="H2952" t="s">
        <v>11380</v>
      </c>
      <c r="K2952" s="148" t="s">
        <v>11431</v>
      </c>
      <c r="L2952" t="s">
        <v>11432</v>
      </c>
      <c r="M2952" s="1" t="s">
        <v>11433</v>
      </c>
      <c r="N2952" s="1">
        <v>1000</v>
      </c>
      <c r="O2952" s="1">
        <v>1100</v>
      </c>
      <c r="P2952" s="3">
        <v>1500</v>
      </c>
      <c r="Q2952" s="3">
        <v>1700</v>
      </c>
      <c r="R2952" s="3">
        <v>2000</v>
      </c>
      <c r="S2952" s="3">
        <v>2200</v>
      </c>
      <c r="T2952" t="s">
        <v>771</v>
      </c>
      <c r="U2952" t="s">
        <v>773</v>
      </c>
      <c r="W2952" s="45"/>
      <c r="X2952" s="45"/>
      <c r="Y2952" s="45"/>
      <c r="Z2952" s="45"/>
      <c r="AA2952" s="45"/>
      <c r="AB2952" s="45"/>
      <c r="AC2952" s="150">
        <v>0</v>
      </c>
      <c r="AD2952" s="150">
        <v>0</v>
      </c>
      <c r="AE2952" s="49">
        <f t="shared" si="117"/>
        <v>0</v>
      </c>
      <c r="AF2952" s="17"/>
      <c r="AG2952" s="17">
        <v>0</v>
      </c>
      <c r="AH2952" s="17"/>
      <c r="AI2952" s="17"/>
      <c r="AJ2952" s="4"/>
      <c r="AK2952" s="153"/>
      <c r="AL2952" s="154"/>
      <c r="AM2952" s="147">
        <f t="shared" si="116"/>
        <v>0</v>
      </c>
      <c r="AN2952" s="18"/>
      <c r="AO2952" s="18"/>
    </row>
    <row r="2953" spans="1:42" customFormat="1" x14ac:dyDescent="0.3">
      <c r="A2953" s="148" t="s">
        <v>8319</v>
      </c>
      <c r="B2953" t="s">
        <v>8320</v>
      </c>
      <c r="C2953" s="148" t="s">
        <v>9410</v>
      </c>
      <c r="D2953" t="s">
        <v>9411</v>
      </c>
      <c r="E2953" s="148" t="s">
        <v>9412</v>
      </c>
      <c r="F2953" t="s">
        <v>9413</v>
      </c>
      <c r="G2953" s="148" t="s">
        <v>11379</v>
      </c>
      <c r="H2953" t="s">
        <v>11380</v>
      </c>
      <c r="K2953" s="148" t="s">
        <v>11431</v>
      </c>
      <c r="L2953" t="s">
        <v>11432</v>
      </c>
      <c r="M2953" s="1" t="s">
        <v>11434</v>
      </c>
      <c r="N2953" s="1">
        <v>1266</v>
      </c>
      <c r="O2953" s="1">
        <v>1450</v>
      </c>
      <c r="P2953" s="3">
        <v>1700</v>
      </c>
      <c r="Q2953" s="3">
        <v>2050</v>
      </c>
      <c r="R2953" s="3">
        <v>2300</v>
      </c>
      <c r="S2953" s="3">
        <v>2650</v>
      </c>
      <c r="T2953" t="s">
        <v>771</v>
      </c>
      <c r="U2953" t="s">
        <v>773</v>
      </c>
      <c r="W2953" s="45"/>
      <c r="X2953" s="45"/>
      <c r="Y2953" s="45"/>
      <c r="Z2953" s="45"/>
      <c r="AA2953" s="45"/>
      <c r="AB2953" s="45"/>
      <c r="AC2953" s="150">
        <v>0</v>
      </c>
      <c r="AD2953" s="150">
        <v>0</v>
      </c>
      <c r="AE2953" s="49">
        <f t="shared" si="117"/>
        <v>0</v>
      </c>
      <c r="AF2953" s="17"/>
      <c r="AG2953" s="17">
        <v>0</v>
      </c>
      <c r="AH2953" s="17"/>
      <c r="AI2953" s="17"/>
      <c r="AJ2953" s="4"/>
      <c r="AK2953" s="153"/>
      <c r="AL2953" s="154"/>
      <c r="AM2953" s="147">
        <f t="shared" si="116"/>
        <v>0</v>
      </c>
      <c r="AN2953" s="18"/>
      <c r="AO2953" s="18"/>
    </row>
    <row r="2954" spans="1:42" customFormat="1" x14ac:dyDescent="0.3">
      <c r="A2954" s="148" t="s">
        <v>8319</v>
      </c>
      <c r="B2954" t="s">
        <v>8320</v>
      </c>
      <c r="C2954" s="148" t="s">
        <v>9410</v>
      </c>
      <c r="D2954" t="s">
        <v>9411</v>
      </c>
      <c r="E2954" s="148" t="s">
        <v>9412</v>
      </c>
      <c r="F2954" t="s">
        <v>9413</v>
      </c>
      <c r="G2954" s="148" t="s">
        <v>11379</v>
      </c>
      <c r="H2954" t="s">
        <v>11380</v>
      </c>
      <c r="K2954" s="148" t="s">
        <v>11431</v>
      </c>
      <c r="L2954" t="s">
        <v>11432</v>
      </c>
      <c r="M2954" s="1" t="s">
        <v>11435</v>
      </c>
      <c r="N2954" s="1">
        <v>750</v>
      </c>
      <c r="O2954" s="1">
        <v>850</v>
      </c>
      <c r="P2954" s="3">
        <v>1050</v>
      </c>
      <c r="Q2954" s="3">
        <v>1200</v>
      </c>
      <c r="R2954" s="3">
        <v>1250</v>
      </c>
      <c r="S2954" s="3">
        <v>1300</v>
      </c>
      <c r="T2954" t="s">
        <v>771</v>
      </c>
      <c r="U2954" t="s">
        <v>773</v>
      </c>
      <c r="W2954" s="45"/>
      <c r="X2954" s="45"/>
      <c r="Y2954" s="45"/>
      <c r="Z2954" s="45"/>
      <c r="AA2954" s="45"/>
      <c r="AB2954" s="45"/>
      <c r="AC2954" s="150">
        <v>0</v>
      </c>
      <c r="AD2954" s="150">
        <v>0</v>
      </c>
      <c r="AE2954" s="49">
        <f t="shared" si="117"/>
        <v>0</v>
      </c>
      <c r="AF2954" s="17"/>
      <c r="AG2954" s="17">
        <v>0</v>
      </c>
      <c r="AH2954" s="17"/>
      <c r="AI2954" s="17"/>
      <c r="AJ2954" s="4"/>
      <c r="AK2954" s="153"/>
      <c r="AL2954" s="154"/>
      <c r="AM2954" s="147">
        <f t="shared" si="116"/>
        <v>0</v>
      </c>
      <c r="AN2954" s="18"/>
      <c r="AO2954" s="18"/>
    </row>
    <row r="2955" spans="1:42" customFormat="1" x14ac:dyDescent="0.3">
      <c r="A2955" s="148" t="s">
        <v>8319</v>
      </c>
      <c r="B2955" t="s">
        <v>8320</v>
      </c>
      <c r="C2955" s="148" t="s">
        <v>9410</v>
      </c>
      <c r="D2955" t="s">
        <v>9411</v>
      </c>
      <c r="E2955" s="148" t="s">
        <v>9412</v>
      </c>
      <c r="F2955" t="s">
        <v>9413</v>
      </c>
      <c r="G2955" s="148" t="s">
        <v>11379</v>
      </c>
      <c r="H2955" t="s">
        <v>11380</v>
      </c>
      <c r="K2955" s="148" t="s">
        <v>11436</v>
      </c>
      <c r="L2955" t="s">
        <v>11437</v>
      </c>
      <c r="M2955" s="1" t="s">
        <v>11438</v>
      </c>
      <c r="N2955" s="1">
        <v>0</v>
      </c>
      <c r="O2955" s="1">
        <v>1</v>
      </c>
      <c r="P2955" s="3"/>
      <c r="Q2955" s="3"/>
      <c r="R2955" s="3"/>
      <c r="S2955" s="3"/>
      <c r="T2955" t="s">
        <v>771</v>
      </c>
      <c r="U2955" t="s">
        <v>773</v>
      </c>
      <c r="V2955" t="s">
        <v>11439</v>
      </c>
      <c r="W2955" s="45"/>
      <c r="X2955" s="45"/>
      <c r="Y2955" s="45"/>
      <c r="Z2955" s="45"/>
      <c r="AA2955" s="45"/>
      <c r="AB2955" s="45"/>
      <c r="AC2955" s="150">
        <v>0</v>
      </c>
      <c r="AD2955" s="150">
        <v>0</v>
      </c>
      <c r="AE2955" s="49">
        <f t="shared" si="117"/>
        <v>0</v>
      </c>
      <c r="AF2955" s="44"/>
      <c r="AG2955" s="17">
        <v>0</v>
      </c>
      <c r="AH2955" s="44">
        <v>0.14199999999999999</v>
      </c>
      <c r="AI2955" s="17">
        <v>0</v>
      </c>
      <c r="AJ2955" s="17">
        <v>0</v>
      </c>
      <c r="AK2955" s="153">
        <v>0</v>
      </c>
      <c r="AL2955" s="154">
        <v>0</v>
      </c>
      <c r="AM2955" s="147">
        <f t="shared" si="116"/>
        <v>0</v>
      </c>
      <c r="AN2955" s="18" t="s">
        <v>771</v>
      </c>
      <c r="AO2955" s="18" t="s">
        <v>773</v>
      </c>
      <c r="AP2955" t="s">
        <v>3643</v>
      </c>
    </row>
    <row r="2956" spans="1:42" customFormat="1" x14ac:dyDescent="0.3">
      <c r="A2956" s="148" t="s">
        <v>8319</v>
      </c>
      <c r="B2956" t="s">
        <v>8320</v>
      </c>
      <c r="C2956" s="148" t="s">
        <v>9410</v>
      </c>
      <c r="D2956" t="s">
        <v>9411</v>
      </c>
      <c r="E2956" s="148" t="s">
        <v>9412</v>
      </c>
      <c r="F2956" t="s">
        <v>9413</v>
      </c>
      <c r="G2956" s="148" t="s">
        <v>11379</v>
      </c>
      <c r="H2956" t="s">
        <v>11380</v>
      </c>
      <c r="K2956" s="148" t="s">
        <v>11436</v>
      </c>
      <c r="L2956" t="s">
        <v>11437</v>
      </c>
      <c r="M2956" s="1" t="s">
        <v>11440</v>
      </c>
      <c r="N2956" s="1">
        <v>34</v>
      </c>
      <c r="O2956" s="1">
        <v>500</v>
      </c>
      <c r="P2956" s="3">
        <v>600</v>
      </c>
      <c r="Q2956" s="3">
        <v>700</v>
      </c>
      <c r="R2956" s="3">
        <v>800</v>
      </c>
      <c r="S2956" s="3">
        <v>900</v>
      </c>
      <c r="T2956" t="s">
        <v>771</v>
      </c>
      <c r="U2956" t="s">
        <v>773</v>
      </c>
      <c r="V2956" t="s">
        <v>11441</v>
      </c>
      <c r="W2956" s="45"/>
      <c r="X2956" s="45"/>
      <c r="Y2956" s="45"/>
      <c r="Z2956" s="45"/>
      <c r="AA2956" s="45"/>
      <c r="AB2956" s="45"/>
      <c r="AC2956" s="150">
        <v>0</v>
      </c>
      <c r="AD2956" s="150">
        <v>0</v>
      </c>
      <c r="AE2956" s="49">
        <f t="shared" si="117"/>
        <v>0</v>
      </c>
      <c r="AF2956" s="44"/>
      <c r="AG2956" s="17">
        <v>0</v>
      </c>
      <c r="AH2956" s="44">
        <v>0.5</v>
      </c>
      <c r="AI2956" s="44">
        <v>0.3</v>
      </c>
      <c r="AJ2956" s="44">
        <v>0.3</v>
      </c>
      <c r="AK2956" s="151">
        <v>0.3</v>
      </c>
      <c r="AL2956" s="151">
        <v>0.3</v>
      </c>
      <c r="AM2956" s="147">
        <f t="shared" si="116"/>
        <v>0.6</v>
      </c>
      <c r="AN2956" s="18" t="s">
        <v>771</v>
      </c>
      <c r="AO2956" s="18" t="s">
        <v>773</v>
      </c>
      <c r="AP2956" t="s">
        <v>63</v>
      </c>
    </row>
    <row r="2957" spans="1:42" customFormat="1" x14ac:dyDescent="0.3">
      <c r="A2957" s="148" t="s">
        <v>8319</v>
      </c>
      <c r="B2957" t="s">
        <v>8320</v>
      </c>
      <c r="C2957" s="148" t="s">
        <v>9410</v>
      </c>
      <c r="D2957" t="s">
        <v>9411</v>
      </c>
      <c r="E2957" s="148" t="s">
        <v>9412</v>
      </c>
      <c r="F2957" t="s">
        <v>9413</v>
      </c>
      <c r="G2957" s="148" t="s">
        <v>11379</v>
      </c>
      <c r="H2957" t="s">
        <v>11380</v>
      </c>
      <c r="K2957" s="148" t="s">
        <v>11436</v>
      </c>
      <c r="L2957" t="s">
        <v>11437</v>
      </c>
      <c r="M2957" s="1" t="s">
        <v>11442</v>
      </c>
      <c r="N2957" s="1">
        <v>67</v>
      </c>
      <c r="O2957" s="1">
        <v>600</v>
      </c>
      <c r="P2957" s="3">
        <v>800</v>
      </c>
      <c r="Q2957" s="3">
        <v>1000</v>
      </c>
      <c r="R2957" s="3">
        <v>1200</v>
      </c>
      <c r="S2957" s="3">
        <v>1400</v>
      </c>
      <c r="T2957" t="s">
        <v>771</v>
      </c>
      <c r="U2957" t="s">
        <v>773</v>
      </c>
      <c r="V2957" t="s">
        <v>11443</v>
      </c>
      <c r="W2957" s="45"/>
      <c r="X2957" s="45"/>
      <c r="Y2957" s="45"/>
      <c r="Z2957" s="45"/>
      <c r="AA2957" s="45"/>
      <c r="AB2957" s="45"/>
      <c r="AC2957" s="150">
        <v>0</v>
      </c>
      <c r="AD2957" s="150">
        <v>0</v>
      </c>
      <c r="AE2957" s="49">
        <f t="shared" si="117"/>
        <v>0</v>
      </c>
      <c r="AF2957" s="44"/>
      <c r="AG2957" s="17">
        <v>0</v>
      </c>
      <c r="AH2957" s="44" t="s">
        <v>10910</v>
      </c>
      <c r="AI2957" s="44">
        <v>0.4</v>
      </c>
      <c r="AJ2957" s="44">
        <v>0.3</v>
      </c>
      <c r="AK2957" s="151">
        <v>0.3</v>
      </c>
      <c r="AL2957" s="151">
        <v>0.3</v>
      </c>
      <c r="AM2957" s="147">
        <f t="shared" si="116"/>
        <v>0.6</v>
      </c>
      <c r="AN2957" s="18" t="s">
        <v>771</v>
      </c>
      <c r="AO2957" s="18" t="s">
        <v>773</v>
      </c>
      <c r="AP2957" t="s">
        <v>255</v>
      </c>
    </row>
    <row r="2958" spans="1:42" customFormat="1" x14ac:dyDescent="0.3">
      <c r="A2958" s="148" t="s">
        <v>8319</v>
      </c>
      <c r="B2958" t="s">
        <v>8320</v>
      </c>
      <c r="C2958" s="148" t="s">
        <v>9410</v>
      </c>
      <c r="D2958" t="s">
        <v>9411</v>
      </c>
      <c r="E2958" s="148" t="s">
        <v>9412</v>
      </c>
      <c r="F2958" t="s">
        <v>9413</v>
      </c>
      <c r="G2958" s="148" t="s">
        <v>11379</v>
      </c>
      <c r="H2958" t="s">
        <v>11380</v>
      </c>
      <c r="K2958" s="155" t="s">
        <v>11444</v>
      </c>
      <c r="L2958" t="s">
        <v>11445</v>
      </c>
      <c r="M2958" s="1" t="s">
        <v>11446</v>
      </c>
      <c r="N2958" s="1" t="s">
        <v>9365</v>
      </c>
      <c r="O2958" s="1">
        <v>100</v>
      </c>
      <c r="P2958" s="3">
        <v>150</v>
      </c>
      <c r="Q2958" s="3">
        <v>200</v>
      </c>
      <c r="R2958" s="3">
        <v>250</v>
      </c>
      <c r="S2958" s="3">
        <v>300</v>
      </c>
      <c r="T2958" t="s">
        <v>1536</v>
      </c>
      <c r="U2958" t="e">
        <v>#N/A</v>
      </c>
      <c r="V2958" t="s">
        <v>11447</v>
      </c>
      <c r="W2958" s="45"/>
      <c r="X2958" s="45"/>
      <c r="Y2958" s="45"/>
      <c r="Z2958" s="45"/>
      <c r="AA2958" s="45"/>
      <c r="AB2958" s="45"/>
      <c r="AC2958" s="150">
        <v>0</v>
      </c>
      <c r="AD2958" s="150">
        <v>0</v>
      </c>
      <c r="AE2958" s="49">
        <f t="shared" si="117"/>
        <v>0</v>
      </c>
      <c r="AF2958" s="44"/>
      <c r="AG2958" s="17">
        <v>0</v>
      </c>
      <c r="AH2958" s="44" t="s">
        <v>10215</v>
      </c>
      <c r="AI2958" s="44" t="s">
        <v>10215</v>
      </c>
      <c r="AJ2958" s="44" t="s">
        <v>10215</v>
      </c>
      <c r="AK2958" s="151" t="s">
        <v>10215</v>
      </c>
      <c r="AL2958" s="151" t="s">
        <v>10215</v>
      </c>
      <c r="AM2958" s="147">
        <f t="shared" si="116"/>
        <v>0</v>
      </c>
      <c r="AN2958" s="18" t="s">
        <v>771</v>
      </c>
      <c r="AO2958" s="18" t="s">
        <v>773</v>
      </c>
      <c r="AP2958" t="s">
        <v>11448</v>
      </c>
    </row>
    <row r="2959" spans="1:42" customFormat="1" x14ac:dyDescent="0.3">
      <c r="A2959" s="148" t="s">
        <v>8319</v>
      </c>
      <c r="B2959" t="s">
        <v>8320</v>
      </c>
      <c r="C2959" s="148" t="s">
        <v>9410</v>
      </c>
      <c r="D2959" t="s">
        <v>9411</v>
      </c>
      <c r="E2959" s="148" t="s">
        <v>9412</v>
      </c>
      <c r="F2959" t="s">
        <v>9413</v>
      </c>
      <c r="G2959" s="148" t="s">
        <v>11379</v>
      </c>
      <c r="H2959" t="s">
        <v>11380</v>
      </c>
      <c r="K2959" s="155" t="s">
        <v>11444</v>
      </c>
      <c r="L2959" t="s">
        <v>11445</v>
      </c>
      <c r="M2959" s="1" t="s">
        <v>11449</v>
      </c>
      <c r="N2959" s="1">
        <v>0</v>
      </c>
      <c r="O2959" s="1">
        <v>500</v>
      </c>
      <c r="P2959" s="3">
        <v>600</v>
      </c>
      <c r="Q2959" s="3">
        <v>700</v>
      </c>
      <c r="R2959" s="3">
        <v>800</v>
      </c>
      <c r="S2959" s="3">
        <v>900</v>
      </c>
      <c r="T2959" t="s">
        <v>1536</v>
      </c>
      <c r="U2959" t="e">
        <v>#N/A</v>
      </c>
      <c r="V2959" t="s">
        <v>11450</v>
      </c>
      <c r="W2959" s="45"/>
      <c r="X2959" s="45"/>
      <c r="Y2959" s="45"/>
      <c r="Z2959" s="45"/>
      <c r="AA2959" s="45"/>
      <c r="AB2959" s="45"/>
      <c r="AC2959" s="150">
        <v>0</v>
      </c>
      <c r="AD2959" s="150">
        <v>0</v>
      </c>
      <c r="AE2959" s="49">
        <f t="shared" si="117"/>
        <v>0</v>
      </c>
      <c r="AF2959" s="44"/>
      <c r="AG2959" s="17">
        <v>0</v>
      </c>
      <c r="AH2959" s="44" t="s">
        <v>5675</v>
      </c>
      <c r="AI2959" s="44" t="s">
        <v>11451</v>
      </c>
      <c r="AJ2959" s="44" t="s">
        <v>11452</v>
      </c>
      <c r="AK2959" s="151" t="s">
        <v>11453</v>
      </c>
      <c r="AL2959" s="151">
        <v>0.18</v>
      </c>
      <c r="AM2959" s="147">
        <f t="shared" si="116"/>
        <v>0.18</v>
      </c>
      <c r="AN2959" s="18" t="s">
        <v>771</v>
      </c>
      <c r="AO2959" s="18" t="s">
        <v>773</v>
      </c>
      <c r="AP2959" t="s">
        <v>11454</v>
      </c>
    </row>
    <row r="2960" spans="1:42" customFormat="1" x14ac:dyDescent="0.3">
      <c r="A2960" s="148" t="s">
        <v>8319</v>
      </c>
      <c r="B2960" t="s">
        <v>8320</v>
      </c>
      <c r="C2960" s="148" t="s">
        <v>9410</v>
      </c>
      <c r="D2960" t="s">
        <v>9411</v>
      </c>
      <c r="E2960" s="148" t="s">
        <v>9412</v>
      </c>
      <c r="F2960" t="s">
        <v>9413</v>
      </c>
      <c r="G2960" s="148" t="s">
        <v>10703</v>
      </c>
      <c r="H2960" t="s">
        <v>10704</v>
      </c>
      <c r="K2960" s="148" t="s">
        <v>10705</v>
      </c>
      <c r="L2960" t="s">
        <v>10706</v>
      </c>
      <c r="M2960" s="1" t="s">
        <v>11455</v>
      </c>
      <c r="N2960" s="1"/>
      <c r="O2960" s="1">
        <v>100</v>
      </c>
      <c r="P2960" s="3">
        <v>130</v>
      </c>
      <c r="Q2960" s="3">
        <v>160</v>
      </c>
      <c r="R2960" s="3">
        <v>190</v>
      </c>
      <c r="S2960" s="3">
        <v>220</v>
      </c>
      <c r="T2960" t="s">
        <v>771</v>
      </c>
      <c r="U2960" t="s">
        <v>773</v>
      </c>
      <c r="V2960" t="s">
        <v>11456</v>
      </c>
      <c r="W2960" s="45"/>
      <c r="X2960" s="45"/>
      <c r="Y2960" s="45"/>
      <c r="Z2960" s="45"/>
      <c r="AA2960" s="45"/>
      <c r="AB2960" s="45"/>
      <c r="AC2960" s="150">
        <v>0</v>
      </c>
      <c r="AD2960" s="150">
        <v>0</v>
      </c>
      <c r="AE2960" s="49">
        <f t="shared" si="117"/>
        <v>0</v>
      </c>
      <c r="AF2960" s="44"/>
      <c r="AG2960" s="17">
        <v>0</v>
      </c>
      <c r="AH2960" s="44" t="s">
        <v>5675</v>
      </c>
      <c r="AI2960" s="44" t="s">
        <v>11457</v>
      </c>
      <c r="AJ2960" s="44" t="s">
        <v>11458</v>
      </c>
      <c r="AK2960" s="151" t="s">
        <v>11459</v>
      </c>
      <c r="AL2960" s="151" t="s">
        <v>11460</v>
      </c>
      <c r="AM2960" s="147">
        <f t="shared" si="116"/>
        <v>0</v>
      </c>
      <c r="AN2960" s="18" t="s">
        <v>771</v>
      </c>
      <c r="AO2960" s="18" t="s">
        <v>773</v>
      </c>
      <c r="AP2960" t="s">
        <v>11461</v>
      </c>
    </row>
    <row r="2961" spans="1:42" customFormat="1" x14ac:dyDescent="0.3">
      <c r="A2961" s="148" t="s">
        <v>8319</v>
      </c>
      <c r="B2961" t="s">
        <v>8320</v>
      </c>
      <c r="C2961" s="148" t="s">
        <v>9410</v>
      </c>
      <c r="D2961" t="s">
        <v>9411</v>
      </c>
      <c r="E2961" s="148" t="s">
        <v>9412</v>
      </c>
      <c r="F2961" t="s">
        <v>9413</v>
      </c>
      <c r="G2961" s="148" t="s">
        <v>11462</v>
      </c>
      <c r="H2961" t="s">
        <v>11463</v>
      </c>
      <c r="K2961" s="148" t="s">
        <v>11464</v>
      </c>
      <c r="L2961" t="s">
        <v>11465</v>
      </c>
      <c r="M2961" s="1" t="s">
        <v>11466</v>
      </c>
      <c r="N2961" s="1">
        <v>100</v>
      </c>
      <c r="O2961" s="1">
        <v>300</v>
      </c>
      <c r="P2961" s="3">
        <v>300</v>
      </c>
      <c r="Q2961" s="3">
        <v>300</v>
      </c>
      <c r="R2961" s="3">
        <v>300</v>
      </c>
      <c r="S2961" s="3">
        <v>300</v>
      </c>
      <c r="T2961" t="s">
        <v>1536</v>
      </c>
      <c r="U2961" t="e">
        <v>#N/A</v>
      </c>
      <c r="V2961" t="s">
        <v>11467</v>
      </c>
      <c r="W2961" s="45"/>
      <c r="X2961" s="45"/>
      <c r="Y2961" s="45"/>
      <c r="Z2961" s="45"/>
      <c r="AA2961" s="45"/>
      <c r="AB2961" s="45"/>
      <c r="AC2961" s="150">
        <v>0</v>
      </c>
      <c r="AD2961" s="150">
        <v>0</v>
      </c>
      <c r="AE2961" s="49">
        <f t="shared" si="117"/>
        <v>0</v>
      </c>
      <c r="AF2961" s="17"/>
      <c r="AG2961" s="17">
        <v>0</v>
      </c>
      <c r="AH2961" s="17">
        <v>0</v>
      </c>
      <c r="AI2961" s="17">
        <v>0</v>
      </c>
      <c r="AJ2961" s="17">
        <v>0</v>
      </c>
      <c r="AK2961" s="153">
        <v>0</v>
      </c>
      <c r="AL2961" s="154">
        <v>0</v>
      </c>
      <c r="AM2961" s="147">
        <f t="shared" si="116"/>
        <v>0</v>
      </c>
      <c r="AN2961" t="s">
        <v>3643</v>
      </c>
      <c r="AO2961" s="18" t="s">
        <v>3630</v>
      </c>
      <c r="AP2961" t="s">
        <v>63</v>
      </c>
    </row>
    <row r="2962" spans="1:42" customFormat="1" x14ac:dyDescent="0.3">
      <c r="A2962" s="148" t="s">
        <v>8319</v>
      </c>
      <c r="B2962" t="s">
        <v>8320</v>
      </c>
      <c r="C2962" s="148" t="s">
        <v>9410</v>
      </c>
      <c r="D2962" t="s">
        <v>9411</v>
      </c>
      <c r="E2962" s="148" t="s">
        <v>9412</v>
      </c>
      <c r="F2962" t="s">
        <v>9413</v>
      </c>
      <c r="G2962" s="148" t="s">
        <v>11462</v>
      </c>
      <c r="H2962" t="s">
        <v>11463</v>
      </c>
      <c r="K2962" s="148" t="s">
        <v>11464</v>
      </c>
      <c r="L2962" t="s">
        <v>11465</v>
      </c>
      <c r="M2962" s="1" t="s">
        <v>11468</v>
      </c>
      <c r="N2962" s="1">
        <v>0</v>
      </c>
      <c r="O2962" s="1">
        <v>150</v>
      </c>
      <c r="P2962" s="3">
        <v>150</v>
      </c>
      <c r="Q2962" s="3">
        <v>150</v>
      </c>
      <c r="R2962" s="3">
        <v>150</v>
      </c>
      <c r="S2962" s="3">
        <v>150</v>
      </c>
      <c r="T2962" t="s">
        <v>1536</v>
      </c>
      <c r="U2962" t="e">
        <v>#N/A</v>
      </c>
      <c r="V2962" t="s">
        <v>11469</v>
      </c>
      <c r="W2962" s="45"/>
      <c r="X2962" s="45"/>
      <c r="Y2962" s="45"/>
      <c r="Z2962" s="45"/>
      <c r="AA2962" s="45"/>
      <c r="AB2962" s="45"/>
      <c r="AC2962" s="150">
        <v>0</v>
      </c>
      <c r="AD2962" s="150">
        <v>0</v>
      </c>
      <c r="AE2962" s="49">
        <f t="shared" si="117"/>
        <v>0</v>
      </c>
      <c r="AF2962" s="44"/>
      <c r="AG2962" s="17">
        <v>0</v>
      </c>
      <c r="AH2962" s="44">
        <v>0.2</v>
      </c>
      <c r="AI2962" s="44">
        <v>0.2</v>
      </c>
      <c r="AJ2962" s="44">
        <v>0.2</v>
      </c>
      <c r="AK2962" s="151">
        <v>0.2</v>
      </c>
      <c r="AL2962" s="151">
        <v>0.2</v>
      </c>
      <c r="AM2962" s="147">
        <f t="shared" si="116"/>
        <v>0.4</v>
      </c>
      <c r="AN2962" s="18" t="s">
        <v>771</v>
      </c>
      <c r="AO2962" s="18" t="s">
        <v>773</v>
      </c>
      <c r="AP2962" t="s">
        <v>3643</v>
      </c>
    </row>
    <row r="2963" spans="1:42" customFormat="1" x14ac:dyDescent="0.3">
      <c r="A2963" s="148" t="s">
        <v>8319</v>
      </c>
      <c r="B2963" t="s">
        <v>8320</v>
      </c>
      <c r="C2963" s="148" t="s">
        <v>9410</v>
      </c>
      <c r="D2963" t="s">
        <v>9411</v>
      </c>
      <c r="E2963" s="148" t="s">
        <v>9412</v>
      </c>
      <c r="F2963" t="s">
        <v>9413</v>
      </c>
      <c r="G2963" s="148" t="s">
        <v>11462</v>
      </c>
      <c r="H2963" t="s">
        <v>11463</v>
      </c>
      <c r="K2963" s="148" t="s">
        <v>11464</v>
      </c>
      <c r="L2963" t="s">
        <v>11465</v>
      </c>
      <c r="M2963" s="1" t="s">
        <v>11470</v>
      </c>
      <c r="N2963" s="1" t="s">
        <v>9365</v>
      </c>
      <c r="O2963" s="1">
        <v>1000</v>
      </c>
      <c r="P2963" s="3">
        <v>1500</v>
      </c>
      <c r="Q2963" s="3">
        <v>2000</v>
      </c>
      <c r="R2963" s="3">
        <v>2500</v>
      </c>
      <c r="S2963" s="3">
        <v>3000</v>
      </c>
      <c r="T2963" t="s">
        <v>3643</v>
      </c>
      <c r="U2963" t="s">
        <v>3630</v>
      </c>
      <c r="V2963" t="s">
        <v>11471</v>
      </c>
      <c r="W2963" s="45"/>
      <c r="X2963" s="45"/>
      <c r="Y2963" s="45"/>
      <c r="Z2963" s="45"/>
      <c r="AA2963" s="45"/>
      <c r="AB2963" s="45"/>
      <c r="AC2963" s="150">
        <v>0</v>
      </c>
      <c r="AD2963" s="150">
        <v>0</v>
      </c>
      <c r="AE2963" s="49">
        <f t="shared" si="117"/>
        <v>0</v>
      </c>
      <c r="AF2963" s="44"/>
      <c r="AG2963" s="17">
        <v>0</v>
      </c>
      <c r="AH2963" s="44">
        <v>0</v>
      </c>
      <c r="AI2963" s="44">
        <v>0</v>
      </c>
      <c r="AJ2963" s="44">
        <v>0</v>
      </c>
      <c r="AK2963" s="151">
        <v>0</v>
      </c>
      <c r="AL2963" s="151">
        <v>0</v>
      </c>
      <c r="AM2963" s="147">
        <f t="shared" si="116"/>
        <v>0</v>
      </c>
      <c r="AN2963" s="18" t="s">
        <v>771</v>
      </c>
      <c r="AO2963" s="18" t="s">
        <v>773</v>
      </c>
      <c r="AP2963" t="s">
        <v>1563</v>
      </c>
    </row>
    <row r="2964" spans="1:42" customFormat="1" x14ac:dyDescent="0.3">
      <c r="A2964" s="148" t="s">
        <v>8319</v>
      </c>
      <c r="B2964" t="s">
        <v>8320</v>
      </c>
      <c r="C2964" s="148" t="s">
        <v>9410</v>
      </c>
      <c r="D2964" t="s">
        <v>9411</v>
      </c>
      <c r="E2964" s="148" t="s">
        <v>9412</v>
      </c>
      <c r="F2964" t="s">
        <v>9413</v>
      </c>
      <c r="G2964" s="148" t="s">
        <v>11472</v>
      </c>
      <c r="H2964" t="s">
        <v>11473</v>
      </c>
      <c r="K2964" s="148" t="s">
        <v>11474</v>
      </c>
      <c r="L2964" t="s">
        <v>11475</v>
      </c>
      <c r="M2964" s="1" t="s">
        <v>11475</v>
      </c>
      <c r="N2964" s="1" t="s">
        <v>11476</v>
      </c>
      <c r="O2964" s="1"/>
      <c r="P2964" s="3">
        <v>2000</v>
      </c>
      <c r="Q2964" s="3">
        <v>2500</v>
      </c>
      <c r="R2964" s="3">
        <v>3000</v>
      </c>
      <c r="S2964" s="3">
        <v>3500</v>
      </c>
      <c r="T2964">
        <v>4000</v>
      </c>
      <c r="U2964" t="e">
        <v>#N/A</v>
      </c>
      <c r="V2964" t="s">
        <v>11475</v>
      </c>
      <c r="W2964" s="45"/>
      <c r="X2964" s="45"/>
      <c r="Y2964" s="45"/>
      <c r="Z2964" s="45"/>
      <c r="AA2964" s="45"/>
      <c r="AB2964" s="45"/>
      <c r="AC2964" s="150">
        <v>0</v>
      </c>
      <c r="AD2964" s="150">
        <v>0</v>
      </c>
      <c r="AE2964" s="49">
        <f t="shared" si="117"/>
        <v>0</v>
      </c>
      <c r="AF2964" s="44"/>
      <c r="AG2964" s="17">
        <v>0</v>
      </c>
      <c r="AH2964" s="44">
        <v>0.42</v>
      </c>
      <c r="AI2964" s="44">
        <v>0.42</v>
      </c>
      <c r="AJ2964" s="44">
        <v>0.504</v>
      </c>
      <c r="AK2964" s="151">
        <v>0.504</v>
      </c>
      <c r="AL2964" s="151">
        <v>0.54600000000000004</v>
      </c>
      <c r="AM2964" s="147">
        <f t="shared" si="116"/>
        <v>1.05</v>
      </c>
      <c r="AN2964" t="s">
        <v>2018</v>
      </c>
      <c r="AO2964" s="18" t="s">
        <v>2019</v>
      </c>
      <c r="AP2964" t="s">
        <v>9321</v>
      </c>
    </row>
    <row r="2965" spans="1:42" customFormat="1" x14ac:dyDescent="0.3">
      <c r="A2965" s="148" t="s">
        <v>8319</v>
      </c>
      <c r="B2965" t="s">
        <v>8320</v>
      </c>
      <c r="C2965" s="148" t="s">
        <v>9410</v>
      </c>
      <c r="D2965" t="s">
        <v>9411</v>
      </c>
      <c r="E2965" s="148" t="s">
        <v>9412</v>
      </c>
      <c r="F2965" t="s">
        <v>9413</v>
      </c>
      <c r="G2965" s="148" t="s">
        <v>11472</v>
      </c>
      <c r="H2965" t="s">
        <v>11473</v>
      </c>
      <c r="K2965" s="148" t="s">
        <v>11477</v>
      </c>
      <c r="L2965" t="s">
        <v>11478</v>
      </c>
      <c r="M2965" s="1" t="s">
        <v>11478</v>
      </c>
      <c r="N2965" s="1" t="s">
        <v>11479</v>
      </c>
      <c r="O2965" s="1"/>
      <c r="P2965" s="3">
        <v>135</v>
      </c>
      <c r="Q2965" s="3">
        <v>146</v>
      </c>
      <c r="R2965" s="3">
        <v>146</v>
      </c>
      <c r="S2965" s="3">
        <v>146</v>
      </c>
      <c r="T2965">
        <v>146</v>
      </c>
      <c r="U2965" t="e">
        <v>#N/A</v>
      </c>
      <c r="V2965" t="s">
        <v>11478</v>
      </c>
      <c r="W2965" s="45"/>
      <c r="X2965" s="45"/>
      <c r="Y2965" s="45"/>
      <c r="Z2965" s="45"/>
      <c r="AA2965" s="45"/>
      <c r="AB2965" s="45"/>
      <c r="AC2965" s="150">
        <v>0</v>
      </c>
      <c r="AD2965" s="150">
        <v>0</v>
      </c>
      <c r="AE2965" s="49">
        <f t="shared" si="117"/>
        <v>0</v>
      </c>
      <c r="AF2965" s="44"/>
      <c r="AG2965" s="17">
        <v>0</v>
      </c>
      <c r="AH2965" s="44">
        <v>0.42</v>
      </c>
      <c r="AI2965" s="44">
        <v>0.42</v>
      </c>
      <c r="AJ2965" s="44">
        <v>0.504</v>
      </c>
      <c r="AK2965" s="151">
        <v>0.504</v>
      </c>
      <c r="AL2965" s="151">
        <v>0.54600000000000004</v>
      </c>
      <c r="AM2965" s="147">
        <f t="shared" si="116"/>
        <v>1.05</v>
      </c>
      <c r="AN2965" t="s">
        <v>2018</v>
      </c>
      <c r="AO2965" s="18" t="s">
        <v>2019</v>
      </c>
      <c r="AP2965" t="s">
        <v>9321</v>
      </c>
    </row>
    <row r="2966" spans="1:42" customFormat="1" x14ac:dyDescent="0.3">
      <c r="A2966" s="148" t="s">
        <v>8319</v>
      </c>
      <c r="B2966" t="s">
        <v>8320</v>
      </c>
      <c r="C2966" s="148" t="s">
        <v>9410</v>
      </c>
      <c r="D2966" t="s">
        <v>9411</v>
      </c>
      <c r="E2966" s="148" t="s">
        <v>9412</v>
      </c>
      <c r="F2966" t="s">
        <v>9413</v>
      </c>
      <c r="G2966" s="148" t="s">
        <v>11472</v>
      </c>
      <c r="H2966" t="s">
        <v>11473</v>
      </c>
      <c r="K2966" s="148" t="s">
        <v>11480</v>
      </c>
      <c r="L2966" t="s">
        <v>11481</v>
      </c>
      <c r="M2966" s="1" t="s">
        <v>11482</v>
      </c>
      <c r="N2966" s="1"/>
      <c r="O2966" s="1">
        <v>50</v>
      </c>
      <c r="P2966" s="3">
        <v>60</v>
      </c>
      <c r="Q2966" s="3">
        <v>70</v>
      </c>
      <c r="R2966" s="3">
        <v>80</v>
      </c>
      <c r="S2966" s="3">
        <v>90</v>
      </c>
      <c r="T2966" t="s">
        <v>2016</v>
      </c>
      <c r="U2966" t="e">
        <v>#N/A</v>
      </c>
      <c r="V2966" t="s">
        <v>11483</v>
      </c>
      <c r="W2966" s="45"/>
      <c r="X2966" s="45"/>
      <c r="Y2966" s="45"/>
      <c r="Z2966" s="45"/>
      <c r="AA2966" s="45"/>
      <c r="AB2966" s="45"/>
      <c r="AC2966" s="150">
        <v>0</v>
      </c>
      <c r="AD2966" s="150">
        <v>0</v>
      </c>
      <c r="AE2966" s="49">
        <f t="shared" si="117"/>
        <v>0</v>
      </c>
      <c r="AF2966" s="44"/>
      <c r="AG2966" s="17">
        <v>0</v>
      </c>
      <c r="AH2966" s="44">
        <v>0.4</v>
      </c>
      <c r="AI2966" s="44">
        <v>0.4</v>
      </c>
      <c r="AJ2966" s="44">
        <v>0.4</v>
      </c>
      <c r="AK2966" s="151">
        <v>0.4</v>
      </c>
      <c r="AL2966" s="151">
        <v>0.4</v>
      </c>
      <c r="AM2966" s="147">
        <f t="shared" si="116"/>
        <v>0.8</v>
      </c>
      <c r="AN2966" t="s">
        <v>831</v>
      </c>
      <c r="AO2966" s="18" t="s">
        <v>834</v>
      </c>
      <c r="AP2966" t="s">
        <v>11484</v>
      </c>
    </row>
    <row r="2967" spans="1:42" customFormat="1" x14ac:dyDescent="0.3">
      <c r="A2967" s="148" t="s">
        <v>8319</v>
      </c>
      <c r="B2967" t="s">
        <v>8320</v>
      </c>
      <c r="C2967" s="148" t="s">
        <v>9410</v>
      </c>
      <c r="D2967" t="s">
        <v>9411</v>
      </c>
      <c r="E2967" s="148" t="s">
        <v>9412</v>
      </c>
      <c r="F2967" t="s">
        <v>9413</v>
      </c>
      <c r="G2967" s="148" t="s">
        <v>11472</v>
      </c>
      <c r="H2967" t="s">
        <v>11473</v>
      </c>
      <c r="K2967" s="148" t="s">
        <v>11485</v>
      </c>
      <c r="L2967" t="s">
        <v>11486</v>
      </c>
      <c r="M2967" s="1" t="s">
        <v>11487</v>
      </c>
      <c r="N2967" s="1"/>
      <c r="O2967" s="1">
        <v>200</v>
      </c>
      <c r="P2967" s="3">
        <v>250</v>
      </c>
      <c r="Q2967" s="3">
        <v>300</v>
      </c>
      <c r="R2967" s="3">
        <v>350</v>
      </c>
      <c r="S2967" s="3">
        <v>400</v>
      </c>
      <c r="T2967" t="s">
        <v>2016</v>
      </c>
      <c r="U2967" t="e">
        <v>#N/A</v>
      </c>
      <c r="V2967" t="s">
        <v>11488</v>
      </c>
      <c r="W2967" s="45"/>
      <c r="X2967" s="45"/>
      <c r="Y2967" s="45"/>
      <c r="Z2967" s="45"/>
      <c r="AA2967" s="45"/>
      <c r="AB2967" s="45"/>
      <c r="AC2967" s="150">
        <v>0</v>
      </c>
      <c r="AD2967" s="150">
        <v>0</v>
      </c>
      <c r="AE2967" s="49">
        <f t="shared" si="117"/>
        <v>0</v>
      </c>
      <c r="AF2967" s="44"/>
      <c r="AG2967" s="17">
        <v>0</v>
      </c>
      <c r="AH2967" s="44">
        <v>0.2</v>
      </c>
      <c r="AI2967" s="44">
        <v>0.2</v>
      </c>
      <c r="AJ2967" s="44">
        <v>0.2</v>
      </c>
      <c r="AK2967" s="151">
        <v>0.2</v>
      </c>
      <c r="AL2967" s="151">
        <v>0.2</v>
      </c>
      <c r="AM2967" s="147">
        <f t="shared" si="116"/>
        <v>0.4</v>
      </c>
      <c r="AN2967" t="s">
        <v>2018</v>
      </c>
      <c r="AO2967" s="18" t="s">
        <v>2019</v>
      </c>
      <c r="AP2967" t="s">
        <v>2043</v>
      </c>
    </row>
    <row r="2968" spans="1:42" customFormat="1" x14ac:dyDescent="0.3">
      <c r="A2968" s="148" t="s">
        <v>8319</v>
      </c>
      <c r="B2968" t="s">
        <v>8320</v>
      </c>
      <c r="C2968" s="148" t="s">
        <v>9410</v>
      </c>
      <c r="D2968" t="s">
        <v>9411</v>
      </c>
      <c r="E2968" s="148" t="s">
        <v>9412</v>
      </c>
      <c r="F2968" t="s">
        <v>9413</v>
      </c>
      <c r="G2968" s="148" t="s">
        <v>11472</v>
      </c>
      <c r="H2968" t="s">
        <v>11473</v>
      </c>
      <c r="K2968" s="148" t="s">
        <v>11489</v>
      </c>
      <c r="L2968" t="s">
        <v>11490</v>
      </c>
      <c r="M2968" s="1" t="s">
        <v>11491</v>
      </c>
      <c r="N2968" s="1"/>
      <c r="O2968" s="1">
        <v>200</v>
      </c>
      <c r="P2968" s="3">
        <v>250</v>
      </c>
      <c r="Q2968" s="3">
        <v>300</v>
      </c>
      <c r="R2968" s="3">
        <v>350</v>
      </c>
      <c r="S2968" s="3">
        <v>400</v>
      </c>
      <c r="T2968" t="s">
        <v>2016</v>
      </c>
      <c r="U2968" t="e">
        <v>#N/A</v>
      </c>
      <c r="V2968" t="s">
        <v>11492</v>
      </c>
      <c r="W2968" s="45"/>
      <c r="X2968" s="45"/>
      <c r="Y2968" s="45"/>
      <c r="Z2968" s="45"/>
      <c r="AA2968" s="45"/>
      <c r="AB2968" s="45"/>
      <c r="AC2968" s="150">
        <v>0</v>
      </c>
      <c r="AD2968" s="150">
        <v>0</v>
      </c>
      <c r="AE2968" s="49">
        <f t="shared" si="117"/>
        <v>0</v>
      </c>
      <c r="AF2968" s="44"/>
      <c r="AG2968" s="17">
        <v>0</v>
      </c>
      <c r="AH2968" s="44">
        <v>0.5</v>
      </c>
      <c r="AI2968" s="44">
        <v>0.2</v>
      </c>
      <c r="AJ2968" s="44">
        <v>0.2</v>
      </c>
      <c r="AK2968" s="151">
        <v>0.2</v>
      </c>
      <c r="AL2968" s="151">
        <v>0.2</v>
      </c>
      <c r="AM2968" s="147">
        <f t="shared" si="116"/>
        <v>0.4</v>
      </c>
      <c r="AN2968" t="s">
        <v>2018</v>
      </c>
      <c r="AO2968" s="18" t="s">
        <v>2019</v>
      </c>
      <c r="AP2968" t="s">
        <v>2043</v>
      </c>
    </row>
    <row r="2969" spans="1:42" customFormat="1" x14ac:dyDescent="0.3">
      <c r="A2969" s="148" t="s">
        <v>8319</v>
      </c>
      <c r="B2969" t="s">
        <v>8320</v>
      </c>
      <c r="C2969" s="148" t="s">
        <v>9410</v>
      </c>
      <c r="D2969" t="s">
        <v>9411</v>
      </c>
      <c r="E2969" s="148" t="s">
        <v>9412</v>
      </c>
      <c r="F2969" t="s">
        <v>9413</v>
      </c>
      <c r="G2969" s="148" t="s">
        <v>11472</v>
      </c>
      <c r="H2969" t="s">
        <v>11473</v>
      </c>
      <c r="K2969" s="148" t="s">
        <v>11493</v>
      </c>
      <c r="L2969" t="s">
        <v>11494</v>
      </c>
      <c r="M2969" s="1" t="s">
        <v>11495</v>
      </c>
      <c r="N2969" s="1"/>
      <c r="O2969" s="1">
        <v>1</v>
      </c>
      <c r="P2969" s="3">
        <v>1</v>
      </c>
      <c r="Q2969" s="3">
        <v>1</v>
      </c>
      <c r="R2969" s="3">
        <v>1</v>
      </c>
      <c r="S2969" s="3">
        <v>1</v>
      </c>
      <c r="T2969" t="s">
        <v>2016</v>
      </c>
      <c r="U2969" t="e">
        <v>#N/A</v>
      </c>
      <c r="V2969" t="s">
        <v>11496</v>
      </c>
      <c r="W2969" s="45"/>
      <c r="X2969" s="45"/>
      <c r="Y2969" s="45"/>
      <c r="Z2969" s="45"/>
      <c r="AA2969" s="45"/>
      <c r="AB2969" s="45"/>
      <c r="AC2969" s="150">
        <v>0</v>
      </c>
      <c r="AD2969" s="150">
        <v>0</v>
      </c>
      <c r="AE2969" s="49">
        <f t="shared" si="117"/>
        <v>0</v>
      </c>
      <c r="AF2969" s="44"/>
      <c r="AG2969" s="17">
        <v>0</v>
      </c>
      <c r="AH2969" s="44">
        <v>0.5</v>
      </c>
      <c r="AI2969" s="44">
        <v>0.2</v>
      </c>
      <c r="AJ2969" s="44">
        <v>0.2</v>
      </c>
      <c r="AK2969" s="151">
        <v>0.2</v>
      </c>
      <c r="AL2969" s="151">
        <v>0.2</v>
      </c>
      <c r="AM2969" s="147">
        <f t="shared" si="116"/>
        <v>0.4</v>
      </c>
      <c r="AN2969" t="s">
        <v>2018</v>
      </c>
      <c r="AO2969" s="18" t="s">
        <v>2019</v>
      </c>
      <c r="AP2969" t="s">
        <v>11497</v>
      </c>
    </row>
    <row r="2970" spans="1:42" customFormat="1" x14ac:dyDescent="0.3">
      <c r="A2970" s="148" t="s">
        <v>8319</v>
      </c>
      <c r="B2970" t="s">
        <v>8320</v>
      </c>
      <c r="C2970" s="148" t="s">
        <v>9410</v>
      </c>
      <c r="D2970" t="s">
        <v>9411</v>
      </c>
      <c r="E2970" s="148" t="s">
        <v>9412</v>
      </c>
      <c r="F2970" t="s">
        <v>9413</v>
      </c>
      <c r="G2970" s="148" t="s">
        <v>11498</v>
      </c>
      <c r="H2970" t="s">
        <v>11499</v>
      </c>
      <c r="K2970" s="155" t="s">
        <v>11500</v>
      </c>
      <c r="L2970" t="s">
        <v>11501</v>
      </c>
      <c r="M2970" s="1" t="s">
        <v>11502</v>
      </c>
      <c r="N2970" s="1">
        <v>0</v>
      </c>
      <c r="O2970" s="1">
        <v>0</v>
      </c>
      <c r="P2970" s="3">
        <v>1</v>
      </c>
      <c r="Q2970" s="3" t="s">
        <v>271</v>
      </c>
      <c r="R2970" s="3" t="s">
        <v>271</v>
      </c>
      <c r="S2970" s="3" t="s">
        <v>271</v>
      </c>
      <c r="T2970" t="s">
        <v>723</v>
      </c>
      <c r="U2970" t="s">
        <v>729</v>
      </c>
      <c r="W2970" s="45"/>
      <c r="X2970" s="45"/>
      <c r="Y2970" s="45"/>
      <c r="Z2970" s="45"/>
      <c r="AA2970" s="45"/>
      <c r="AB2970" s="45"/>
      <c r="AC2970" s="150">
        <v>0</v>
      </c>
      <c r="AD2970" s="150">
        <v>0</v>
      </c>
      <c r="AE2970" s="49">
        <f t="shared" si="117"/>
        <v>0</v>
      </c>
      <c r="AF2970" s="17"/>
      <c r="AG2970" s="17">
        <v>0</v>
      </c>
      <c r="AH2970" s="17">
        <v>0</v>
      </c>
      <c r="AI2970" s="17">
        <v>0</v>
      </c>
      <c r="AJ2970" s="17">
        <v>0</v>
      </c>
      <c r="AK2970" s="153">
        <v>0</v>
      </c>
      <c r="AL2970" s="154">
        <v>0</v>
      </c>
      <c r="AM2970" s="147">
        <f t="shared" si="116"/>
        <v>0</v>
      </c>
      <c r="AN2970" s="44" t="s">
        <v>723</v>
      </c>
      <c r="AO2970" s="18" t="s">
        <v>729</v>
      </c>
    </row>
    <row r="2971" spans="1:42" customFormat="1" x14ac:dyDescent="0.3">
      <c r="A2971" s="148" t="s">
        <v>8319</v>
      </c>
      <c r="B2971" t="s">
        <v>8320</v>
      </c>
      <c r="C2971" s="148" t="s">
        <v>9410</v>
      </c>
      <c r="D2971" t="s">
        <v>9411</v>
      </c>
      <c r="E2971" s="148" t="s">
        <v>9412</v>
      </c>
      <c r="F2971" t="s">
        <v>9413</v>
      </c>
      <c r="G2971" s="148" t="s">
        <v>9479</v>
      </c>
      <c r="H2971" t="s">
        <v>9480</v>
      </c>
      <c r="K2971" s="148" t="s">
        <v>10353</v>
      </c>
      <c r="L2971" t="s">
        <v>10354</v>
      </c>
      <c r="M2971" s="1"/>
      <c r="N2971" s="1"/>
      <c r="O2971" s="1"/>
      <c r="P2971" s="3"/>
      <c r="Q2971" s="3"/>
      <c r="R2971" s="3"/>
      <c r="S2971" s="3"/>
      <c r="U2971" t="e">
        <v>#N/A</v>
      </c>
      <c r="V2971" t="s">
        <v>11503</v>
      </c>
      <c r="W2971" s="45">
        <v>0</v>
      </c>
      <c r="X2971" s="45">
        <v>0</v>
      </c>
      <c r="Y2971" s="45">
        <v>0</v>
      </c>
      <c r="Z2971" s="45">
        <v>0</v>
      </c>
      <c r="AA2971" s="45">
        <v>0</v>
      </c>
      <c r="AB2971" s="45">
        <v>0</v>
      </c>
      <c r="AC2971" s="150">
        <v>0</v>
      </c>
      <c r="AD2971" s="150">
        <v>0</v>
      </c>
      <c r="AE2971" s="49">
        <f t="shared" si="117"/>
        <v>0</v>
      </c>
      <c r="AF2971" s="17"/>
      <c r="AG2971" s="17">
        <v>0</v>
      </c>
      <c r="AH2971" s="17">
        <v>0</v>
      </c>
      <c r="AI2971" s="17">
        <v>0</v>
      </c>
      <c r="AJ2971" s="17">
        <v>0</v>
      </c>
      <c r="AK2971" s="153">
        <v>4</v>
      </c>
      <c r="AL2971" s="154">
        <v>1</v>
      </c>
      <c r="AM2971" s="147">
        <f t="shared" si="116"/>
        <v>5</v>
      </c>
      <c r="AN2971" t="s">
        <v>831</v>
      </c>
      <c r="AO2971" s="18" t="s">
        <v>834</v>
      </c>
    </row>
    <row r="2972" spans="1:42" customFormat="1" x14ac:dyDescent="0.3">
      <c r="A2972" s="148" t="s">
        <v>8319</v>
      </c>
      <c r="B2972" t="s">
        <v>8320</v>
      </c>
      <c r="C2972" s="148" t="s">
        <v>9410</v>
      </c>
      <c r="D2972" t="s">
        <v>9411</v>
      </c>
      <c r="E2972" s="148" t="s">
        <v>9412</v>
      </c>
      <c r="F2972" t="s">
        <v>9413</v>
      </c>
      <c r="G2972" s="148" t="s">
        <v>9479</v>
      </c>
      <c r="H2972" t="s">
        <v>9480</v>
      </c>
      <c r="K2972" s="148" t="s">
        <v>10353</v>
      </c>
      <c r="L2972" t="s">
        <v>10354</v>
      </c>
      <c r="M2972" s="1"/>
      <c r="N2972" s="1"/>
      <c r="O2972" s="1"/>
      <c r="P2972" s="3"/>
      <c r="Q2972" s="3"/>
      <c r="R2972" s="3"/>
      <c r="S2972" s="3"/>
      <c r="U2972" t="e">
        <v>#N/A</v>
      </c>
      <c r="W2972" s="45"/>
      <c r="X2972" s="45"/>
      <c r="Y2972" s="45"/>
      <c r="Z2972" s="45"/>
      <c r="AA2972" s="45"/>
      <c r="AB2972" s="45"/>
      <c r="AC2972" s="150">
        <v>0</v>
      </c>
      <c r="AD2972" s="150">
        <v>0</v>
      </c>
      <c r="AE2972" s="49">
        <f t="shared" si="117"/>
        <v>0</v>
      </c>
      <c r="AF2972" s="17"/>
      <c r="AG2972" s="17">
        <v>0</v>
      </c>
      <c r="AH2972" s="17">
        <v>0</v>
      </c>
      <c r="AI2972" s="17">
        <v>0</v>
      </c>
      <c r="AJ2972" s="17">
        <v>0</v>
      </c>
      <c r="AK2972" s="153">
        <v>0</v>
      </c>
      <c r="AL2972" s="154">
        <v>0</v>
      </c>
      <c r="AM2972" s="147">
        <f t="shared" si="116"/>
        <v>0</v>
      </c>
      <c r="AN2972" t="s">
        <v>280</v>
      </c>
      <c r="AO2972" s="18" t="s">
        <v>1151</v>
      </c>
    </row>
    <row r="2973" spans="1:42" customFormat="1" x14ac:dyDescent="0.3">
      <c r="A2973" s="148" t="s">
        <v>8319</v>
      </c>
      <c r="B2973" t="s">
        <v>8320</v>
      </c>
      <c r="C2973" s="148" t="s">
        <v>9410</v>
      </c>
      <c r="D2973" t="s">
        <v>9411</v>
      </c>
      <c r="E2973" s="148" t="s">
        <v>9412</v>
      </c>
      <c r="F2973" t="s">
        <v>9413</v>
      </c>
      <c r="G2973" s="148" t="s">
        <v>9479</v>
      </c>
      <c r="H2973" t="s">
        <v>9480</v>
      </c>
      <c r="K2973" s="148" t="s">
        <v>10353</v>
      </c>
      <c r="L2973" t="s">
        <v>10354</v>
      </c>
      <c r="M2973" s="1"/>
      <c r="N2973" s="1"/>
      <c r="O2973" s="1"/>
      <c r="P2973" s="3"/>
      <c r="Q2973" s="3"/>
      <c r="R2973" s="3"/>
      <c r="S2973" s="3"/>
      <c r="U2973" t="e">
        <v>#N/A</v>
      </c>
      <c r="W2973" s="45"/>
      <c r="X2973" s="45"/>
      <c r="Y2973" s="45"/>
      <c r="Z2973" s="45"/>
      <c r="AA2973" s="45"/>
      <c r="AB2973" s="45"/>
      <c r="AC2973" s="150">
        <v>0</v>
      </c>
      <c r="AD2973" s="150">
        <v>0</v>
      </c>
      <c r="AE2973" s="49">
        <f t="shared" si="117"/>
        <v>0</v>
      </c>
      <c r="AF2973" s="17"/>
      <c r="AG2973" s="17">
        <v>0</v>
      </c>
      <c r="AH2973" s="17">
        <v>0</v>
      </c>
      <c r="AI2973" s="17">
        <v>0</v>
      </c>
      <c r="AJ2973" s="17">
        <v>0</v>
      </c>
      <c r="AK2973" s="153">
        <v>0</v>
      </c>
      <c r="AL2973" s="154">
        <v>0</v>
      </c>
      <c r="AM2973" s="147">
        <f t="shared" si="116"/>
        <v>0</v>
      </c>
      <c r="AN2973" t="s">
        <v>3643</v>
      </c>
      <c r="AO2973" s="18" t="s">
        <v>3630</v>
      </c>
    </row>
    <row r="2974" spans="1:42" customFormat="1" x14ac:dyDescent="0.3">
      <c r="A2974" s="148" t="s">
        <v>8319</v>
      </c>
      <c r="B2974" t="s">
        <v>8320</v>
      </c>
      <c r="C2974" s="148" t="s">
        <v>9410</v>
      </c>
      <c r="D2974" t="s">
        <v>9411</v>
      </c>
      <c r="E2974" s="148" t="s">
        <v>9412</v>
      </c>
      <c r="F2974" t="s">
        <v>9413</v>
      </c>
      <c r="G2974" s="148" t="s">
        <v>9479</v>
      </c>
      <c r="H2974" t="s">
        <v>9480</v>
      </c>
      <c r="K2974" s="155" t="s">
        <v>11504</v>
      </c>
      <c r="L2974" t="s">
        <v>11505</v>
      </c>
      <c r="M2974" s="1" t="s">
        <v>11506</v>
      </c>
      <c r="N2974" s="1"/>
      <c r="O2974" s="1">
        <v>0.3</v>
      </c>
      <c r="P2974" s="3">
        <v>0.5</v>
      </c>
      <c r="Q2974" s="3">
        <v>0.6</v>
      </c>
      <c r="R2974" s="3">
        <v>0.7</v>
      </c>
      <c r="S2974" s="3">
        <v>0.7</v>
      </c>
      <c r="T2974" t="s">
        <v>11507</v>
      </c>
      <c r="U2974" t="e">
        <v>#N/A</v>
      </c>
      <c r="W2974" s="45"/>
      <c r="X2974" s="45"/>
      <c r="Y2974" s="45"/>
      <c r="Z2974" s="45"/>
      <c r="AA2974" s="45"/>
      <c r="AB2974" s="45"/>
      <c r="AC2974" s="150">
        <v>0</v>
      </c>
      <c r="AD2974" s="150">
        <v>0</v>
      </c>
      <c r="AE2974" s="49">
        <f t="shared" si="117"/>
        <v>0</v>
      </c>
      <c r="AF2974" s="17"/>
      <c r="AG2974" s="17">
        <v>0</v>
      </c>
      <c r="AH2974" s="17"/>
      <c r="AI2974" s="17"/>
      <c r="AJ2974" s="17"/>
      <c r="AK2974" s="153"/>
      <c r="AL2974" s="154"/>
      <c r="AM2974" s="147">
        <f t="shared" si="116"/>
        <v>0</v>
      </c>
      <c r="AO2974" s="18"/>
    </row>
    <row r="2975" spans="1:42" customFormat="1" x14ac:dyDescent="0.3">
      <c r="A2975" s="148" t="s">
        <v>8319</v>
      </c>
      <c r="B2975" t="s">
        <v>8320</v>
      </c>
      <c r="C2975" s="148" t="s">
        <v>9496</v>
      </c>
      <c r="D2975" t="s">
        <v>9497</v>
      </c>
      <c r="E2975" s="148" t="s">
        <v>9498</v>
      </c>
      <c r="F2975" t="s">
        <v>9499</v>
      </c>
      <c r="G2975" s="148" t="s">
        <v>9500</v>
      </c>
      <c r="H2975" t="s">
        <v>9501</v>
      </c>
      <c r="K2975" s="148" t="s">
        <v>11508</v>
      </c>
      <c r="L2975" t="s">
        <v>11509</v>
      </c>
      <c r="M2975" s="1" t="s">
        <v>11510</v>
      </c>
      <c r="N2975" s="1">
        <v>3</v>
      </c>
      <c r="O2975" s="1">
        <v>2</v>
      </c>
      <c r="P2975" s="3">
        <v>3</v>
      </c>
      <c r="Q2975" s="3">
        <v>3</v>
      </c>
      <c r="R2975" s="3">
        <v>3</v>
      </c>
      <c r="S2975" s="3">
        <v>3</v>
      </c>
      <c r="T2975" t="s">
        <v>771</v>
      </c>
      <c r="U2975" t="s">
        <v>773</v>
      </c>
      <c r="W2975" s="45"/>
      <c r="X2975" s="45"/>
      <c r="Y2975" s="45"/>
      <c r="Z2975" s="45"/>
      <c r="AA2975" s="45"/>
      <c r="AB2975" s="45"/>
      <c r="AC2975" s="150">
        <v>0</v>
      </c>
      <c r="AD2975" s="150">
        <v>0</v>
      </c>
      <c r="AE2975" s="49">
        <f t="shared" si="117"/>
        <v>0</v>
      </c>
      <c r="AF2975" s="4"/>
      <c r="AG2975" s="17">
        <v>0</v>
      </c>
      <c r="AH2975" s="4"/>
      <c r="AI2975" s="4"/>
      <c r="AJ2975" s="4"/>
      <c r="AK2975" s="46"/>
      <c r="AL2975" s="46"/>
      <c r="AM2975" s="147">
        <f t="shared" si="116"/>
        <v>0</v>
      </c>
      <c r="AN2975" s="44"/>
      <c r="AO2975" s="18"/>
    </row>
    <row r="2976" spans="1:42" customFormat="1" x14ac:dyDescent="0.3">
      <c r="A2976" s="148" t="s">
        <v>8319</v>
      </c>
      <c r="B2976" t="s">
        <v>8320</v>
      </c>
      <c r="C2976" s="148" t="s">
        <v>9496</v>
      </c>
      <c r="D2976" t="s">
        <v>9497</v>
      </c>
      <c r="E2976" s="148" t="s">
        <v>9498</v>
      </c>
      <c r="F2976" t="s">
        <v>9499</v>
      </c>
      <c r="G2976" s="148" t="s">
        <v>9500</v>
      </c>
      <c r="H2976" t="s">
        <v>9501</v>
      </c>
      <c r="K2976" s="148" t="s">
        <v>11508</v>
      </c>
      <c r="L2976" t="s">
        <v>10713</v>
      </c>
      <c r="M2976" s="1" t="s">
        <v>11511</v>
      </c>
      <c r="N2976" s="1">
        <v>135</v>
      </c>
      <c r="O2976" s="1">
        <v>20</v>
      </c>
      <c r="P2976" s="3">
        <v>25</v>
      </c>
      <c r="Q2976" s="3">
        <v>35</v>
      </c>
      <c r="R2976" s="3">
        <v>55</v>
      </c>
      <c r="S2976" s="3">
        <v>75</v>
      </c>
      <c r="T2976" t="s">
        <v>771</v>
      </c>
      <c r="U2976" t="s">
        <v>773</v>
      </c>
      <c r="W2976" s="45"/>
      <c r="X2976" s="45"/>
      <c r="Y2976" s="45"/>
      <c r="Z2976" s="45"/>
      <c r="AA2976" s="45"/>
      <c r="AB2976" s="45"/>
      <c r="AC2976" s="150">
        <v>0</v>
      </c>
      <c r="AD2976" s="150">
        <v>0</v>
      </c>
      <c r="AE2976" s="49">
        <f t="shared" si="117"/>
        <v>0</v>
      </c>
      <c r="AF2976" s="4"/>
      <c r="AG2976" s="17">
        <v>0</v>
      </c>
      <c r="AH2976" s="4"/>
      <c r="AI2976" s="4"/>
      <c r="AJ2976" s="4"/>
      <c r="AK2976" s="46"/>
      <c r="AL2976" s="46"/>
      <c r="AM2976" s="147">
        <f t="shared" si="116"/>
        <v>0</v>
      </c>
      <c r="AN2976" s="44"/>
      <c r="AO2976" s="18"/>
    </row>
    <row r="2977" spans="1:42" customFormat="1" x14ac:dyDescent="0.3">
      <c r="A2977" s="148" t="s">
        <v>8319</v>
      </c>
      <c r="B2977" t="s">
        <v>8320</v>
      </c>
      <c r="C2977" s="148" t="s">
        <v>9496</v>
      </c>
      <c r="D2977" t="s">
        <v>9497</v>
      </c>
      <c r="E2977" s="148" t="s">
        <v>9498</v>
      </c>
      <c r="F2977" t="s">
        <v>9499</v>
      </c>
      <c r="G2977" s="148" t="s">
        <v>9500</v>
      </c>
      <c r="H2977" t="s">
        <v>9501</v>
      </c>
      <c r="K2977" s="148" t="s">
        <v>11508</v>
      </c>
      <c r="L2977" t="s">
        <v>10713</v>
      </c>
      <c r="M2977" s="1" t="s">
        <v>11512</v>
      </c>
      <c r="N2977" s="1">
        <v>135</v>
      </c>
      <c r="O2977" s="1">
        <v>155</v>
      </c>
      <c r="P2977" s="3">
        <v>180</v>
      </c>
      <c r="Q2977" s="3">
        <v>210</v>
      </c>
      <c r="R2977" s="3">
        <v>265</v>
      </c>
      <c r="S2977" s="3">
        <v>325</v>
      </c>
      <c r="T2977" t="s">
        <v>771</v>
      </c>
      <c r="U2977" t="s">
        <v>773</v>
      </c>
      <c r="W2977" s="45"/>
      <c r="X2977" s="45"/>
      <c r="Y2977" s="45"/>
      <c r="Z2977" s="45"/>
      <c r="AA2977" s="45"/>
      <c r="AB2977" s="45"/>
      <c r="AC2977" s="150">
        <v>0</v>
      </c>
      <c r="AD2977" s="150">
        <v>0</v>
      </c>
      <c r="AE2977" s="49">
        <f t="shared" si="117"/>
        <v>0</v>
      </c>
      <c r="AF2977" s="4"/>
      <c r="AG2977" s="17">
        <v>0</v>
      </c>
      <c r="AH2977" s="4"/>
      <c r="AI2977" s="4"/>
      <c r="AJ2977" s="4"/>
      <c r="AK2977" s="46"/>
      <c r="AL2977" s="46"/>
      <c r="AM2977" s="147">
        <f t="shared" si="116"/>
        <v>0</v>
      </c>
      <c r="AN2977" s="44"/>
      <c r="AO2977" s="18"/>
    </row>
    <row r="2978" spans="1:42" customFormat="1" x14ac:dyDescent="0.3">
      <c r="A2978" s="148" t="s">
        <v>8319</v>
      </c>
      <c r="B2978" t="s">
        <v>8320</v>
      </c>
      <c r="C2978" s="148" t="s">
        <v>9496</v>
      </c>
      <c r="D2978" t="s">
        <v>9497</v>
      </c>
      <c r="E2978" s="148" t="s">
        <v>9498</v>
      </c>
      <c r="F2978" t="s">
        <v>9499</v>
      </c>
      <c r="G2978" s="148" t="s">
        <v>9500</v>
      </c>
      <c r="H2978" t="s">
        <v>9501</v>
      </c>
      <c r="K2978" s="155" t="s">
        <v>11513</v>
      </c>
      <c r="L2978" t="s">
        <v>10853</v>
      </c>
      <c r="M2978" s="1" t="s">
        <v>10854</v>
      </c>
      <c r="N2978" s="1" t="s">
        <v>271</v>
      </c>
      <c r="O2978" s="1">
        <v>1</v>
      </c>
      <c r="P2978" s="3" t="s">
        <v>271</v>
      </c>
      <c r="Q2978" s="3" t="s">
        <v>271</v>
      </c>
      <c r="R2978" s="3" t="s">
        <v>271</v>
      </c>
      <c r="S2978" s="3" t="s">
        <v>271</v>
      </c>
      <c r="T2978" t="s">
        <v>771</v>
      </c>
      <c r="U2978" t="s">
        <v>773</v>
      </c>
      <c r="W2978" s="45"/>
      <c r="X2978" s="45"/>
      <c r="Y2978" s="45"/>
      <c r="Z2978" s="45"/>
      <c r="AA2978" s="45"/>
      <c r="AB2978" s="45"/>
      <c r="AC2978" s="150">
        <v>0</v>
      </c>
      <c r="AD2978" s="150">
        <v>0</v>
      </c>
      <c r="AE2978" s="49">
        <f t="shared" si="117"/>
        <v>0</v>
      </c>
      <c r="AF2978" s="4"/>
      <c r="AG2978" s="17">
        <v>0</v>
      </c>
      <c r="AH2978" s="4"/>
      <c r="AI2978" s="4"/>
      <c r="AJ2978" s="4"/>
      <c r="AK2978" s="46"/>
      <c r="AL2978" s="46"/>
      <c r="AM2978" s="147">
        <f t="shared" si="116"/>
        <v>0</v>
      </c>
      <c r="AN2978" s="44"/>
      <c r="AO2978" s="18"/>
    </row>
    <row r="2979" spans="1:42" customFormat="1" x14ac:dyDescent="0.3">
      <c r="A2979" s="148" t="s">
        <v>8319</v>
      </c>
      <c r="B2979" t="s">
        <v>8320</v>
      </c>
      <c r="C2979" s="148" t="s">
        <v>9496</v>
      </c>
      <c r="D2979" t="s">
        <v>9497</v>
      </c>
      <c r="E2979" s="148" t="s">
        <v>9498</v>
      </c>
      <c r="F2979" t="s">
        <v>9499</v>
      </c>
      <c r="G2979" s="148" t="s">
        <v>9527</v>
      </c>
      <c r="H2979" t="s">
        <v>9528</v>
      </c>
      <c r="K2979" s="148" t="s">
        <v>10045</v>
      </c>
      <c r="L2979" t="s">
        <v>10046</v>
      </c>
      <c r="M2979" s="1" t="s">
        <v>11514</v>
      </c>
      <c r="N2979" s="1">
        <v>24234</v>
      </c>
      <c r="O2979" s="1">
        <v>25234</v>
      </c>
      <c r="P2979" s="3">
        <v>26234</v>
      </c>
      <c r="Q2979" s="3">
        <v>27234</v>
      </c>
      <c r="R2979" s="3">
        <v>28234</v>
      </c>
      <c r="S2979" s="3">
        <v>29234</v>
      </c>
      <c r="T2979" t="s">
        <v>11515</v>
      </c>
      <c r="U2979" t="e">
        <v>#N/A</v>
      </c>
      <c r="W2979" s="45"/>
      <c r="X2979" s="45"/>
      <c r="Y2979" s="45"/>
      <c r="Z2979" s="45"/>
      <c r="AA2979" s="45"/>
      <c r="AB2979" s="45"/>
      <c r="AC2979" s="150">
        <v>0</v>
      </c>
      <c r="AD2979" s="150">
        <v>0</v>
      </c>
      <c r="AE2979" s="49">
        <f t="shared" si="117"/>
        <v>0</v>
      </c>
      <c r="AF2979" s="4"/>
      <c r="AG2979" s="17">
        <v>0</v>
      </c>
      <c r="AH2979" s="4"/>
      <c r="AI2979" s="4"/>
      <c r="AJ2979" s="4"/>
      <c r="AK2979" s="46"/>
      <c r="AL2979" s="46"/>
      <c r="AM2979" s="147">
        <f t="shared" si="116"/>
        <v>0</v>
      </c>
      <c r="AN2979" s="18"/>
      <c r="AO2979" s="18"/>
    </row>
    <row r="2980" spans="1:42" customFormat="1" x14ac:dyDescent="0.3">
      <c r="A2980" s="148" t="s">
        <v>8319</v>
      </c>
      <c r="B2980" t="s">
        <v>8320</v>
      </c>
      <c r="C2980" s="148" t="s">
        <v>9496</v>
      </c>
      <c r="D2980" t="s">
        <v>9497</v>
      </c>
      <c r="E2980" s="148" t="s">
        <v>9498</v>
      </c>
      <c r="F2980" t="s">
        <v>9499</v>
      </c>
      <c r="G2980" s="148" t="s">
        <v>9527</v>
      </c>
      <c r="H2980" t="s">
        <v>9528</v>
      </c>
      <c r="K2980" s="148" t="s">
        <v>9529</v>
      </c>
      <c r="L2980" t="s">
        <v>9530</v>
      </c>
      <c r="M2980" s="1" t="s">
        <v>11516</v>
      </c>
      <c r="N2980" s="1">
        <v>245870</v>
      </c>
      <c r="O2980" s="1">
        <v>10000</v>
      </c>
      <c r="P2980" s="3">
        <v>10000</v>
      </c>
      <c r="Q2980" s="3">
        <v>10000</v>
      </c>
      <c r="R2980" s="3">
        <v>10000</v>
      </c>
      <c r="S2980" s="3">
        <v>10000</v>
      </c>
      <c r="T2980" t="s">
        <v>11517</v>
      </c>
      <c r="U2980" t="e">
        <v>#N/A</v>
      </c>
      <c r="W2980" s="45"/>
      <c r="X2980" s="45"/>
      <c r="Y2980" s="45"/>
      <c r="Z2980" s="45"/>
      <c r="AA2980" s="45"/>
      <c r="AB2980" s="45"/>
      <c r="AC2980" s="150">
        <v>0</v>
      </c>
      <c r="AD2980" s="150">
        <v>0</v>
      </c>
      <c r="AE2980" s="49">
        <f t="shared" si="117"/>
        <v>0</v>
      </c>
      <c r="AF2980" s="4"/>
      <c r="AG2980" s="17">
        <v>0</v>
      </c>
      <c r="AH2980" s="4"/>
      <c r="AI2980" s="4"/>
      <c r="AJ2980" s="4"/>
      <c r="AK2980" s="46"/>
      <c r="AL2980" s="46"/>
      <c r="AM2980" s="147">
        <f t="shared" si="116"/>
        <v>0</v>
      </c>
      <c r="AN2980" s="44"/>
      <c r="AO2980" s="18"/>
    </row>
    <row r="2981" spans="1:42" customFormat="1" x14ac:dyDescent="0.3">
      <c r="A2981" s="148" t="s">
        <v>8319</v>
      </c>
      <c r="B2981" t="s">
        <v>8320</v>
      </c>
      <c r="C2981" s="148" t="s">
        <v>9496</v>
      </c>
      <c r="D2981" t="s">
        <v>9497</v>
      </c>
      <c r="E2981" s="148" t="s">
        <v>9498</v>
      </c>
      <c r="F2981" t="s">
        <v>9499</v>
      </c>
      <c r="G2981" s="148" t="s">
        <v>9527</v>
      </c>
      <c r="H2981" t="s">
        <v>9528</v>
      </c>
      <c r="K2981" s="148" t="s">
        <v>11518</v>
      </c>
      <c r="L2981" t="s">
        <v>11519</v>
      </c>
      <c r="M2981" s="1" t="s">
        <v>11520</v>
      </c>
      <c r="N2981" s="1">
        <v>1.4999999999999999E-2</v>
      </c>
      <c r="O2981" s="1">
        <v>1.7000000000000001E-2</v>
      </c>
      <c r="P2981" s="3">
        <v>0.02</v>
      </c>
      <c r="Q2981" s="3">
        <v>2.1999999999999999E-2</v>
      </c>
      <c r="R2981" s="3">
        <v>2.4E-2</v>
      </c>
      <c r="S2981" s="3">
        <v>2.5000000000000001E-2</v>
      </c>
      <c r="T2981" t="s">
        <v>771</v>
      </c>
      <c r="U2981" t="s">
        <v>773</v>
      </c>
      <c r="W2981" s="45"/>
      <c r="X2981" s="45"/>
      <c r="Y2981" s="45"/>
      <c r="Z2981" s="45"/>
      <c r="AA2981" s="45"/>
      <c r="AB2981" s="45"/>
      <c r="AC2981" s="150">
        <v>0</v>
      </c>
      <c r="AD2981" s="150">
        <v>0</v>
      </c>
      <c r="AE2981" s="49">
        <f t="shared" si="117"/>
        <v>0</v>
      </c>
      <c r="AF2981" s="17"/>
      <c r="AG2981" s="17">
        <v>0</v>
      </c>
      <c r="AH2981" s="17">
        <v>0</v>
      </c>
      <c r="AI2981" s="17">
        <v>0</v>
      </c>
      <c r="AJ2981" s="17">
        <v>0</v>
      </c>
      <c r="AK2981" s="153">
        <v>0</v>
      </c>
      <c r="AL2981" s="154">
        <v>0</v>
      </c>
      <c r="AM2981" s="147">
        <f t="shared" ref="AM2981:AM3027" si="118">SUM(AK2981:AL2981)</f>
        <v>0</v>
      </c>
      <c r="AN2981" s="18" t="s">
        <v>771</v>
      </c>
      <c r="AO2981" s="18" t="s">
        <v>773</v>
      </c>
      <c r="AP2981" t="s">
        <v>255</v>
      </c>
    </row>
    <row r="2982" spans="1:42" customFormat="1" x14ac:dyDescent="0.3">
      <c r="A2982" s="148" t="s">
        <v>8319</v>
      </c>
      <c r="B2982" t="s">
        <v>8320</v>
      </c>
      <c r="C2982" s="148" t="s">
        <v>9496</v>
      </c>
      <c r="D2982" t="s">
        <v>9497</v>
      </c>
      <c r="E2982" s="148" t="s">
        <v>9498</v>
      </c>
      <c r="F2982" t="s">
        <v>9499</v>
      </c>
      <c r="G2982" s="148" t="s">
        <v>9527</v>
      </c>
      <c r="H2982" t="s">
        <v>9528</v>
      </c>
      <c r="K2982" s="155" t="s">
        <v>11521</v>
      </c>
      <c r="L2982" t="s">
        <v>11522</v>
      </c>
      <c r="M2982" s="1" t="s">
        <v>11523</v>
      </c>
      <c r="N2982" s="1">
        <v>0</v>
      </c>
      <c r="O2982" s="1">
        <v>0</v>
      </c>
      <c r="P2982" s="3">
        <v>4000</v>
      </c>
      <c r="Q2982" s="3">
        <v>4000</v>
      </c>
      <c r="R2982" s="3">
        <v>5000</v>
      </c>
      <c r="S2982" s="3">
        <v>6000</v>
      </c>
      <c r="T2982" t="s">
        <v>771</v>
      </c>
      <c r="U2982" t="s">
        <v>773</v>
      </c>
      <c r="W2982" s="45"/>
      <c r="X2982" s="45"/>
      <c r="Y2982" s="45"/>
      <c r="Z2982" s="45"/>
      <c r="AA2982" s="45"/>
      <c r="AB2982" s="45"/>
      <c r="AC2982" s="150">
        <v>0</v>
      </c>
      <c r="AD2982" s="150">
        <v>0</v>
      </c>
      <c r="AE2982" s="49">
        <f t="shared" si="117"/>
        <v>0</v>
      </c>
      <c r="AF2982" s="17"/>
      <c r="AG2982" s="17">
        <v>0</v>
      </c>
      <c r="AH2982" s="17"/>
      <c r="AI2982" s="17"/>
      <c r="AJ2982" s="17"/>
      <c r="AK2982" s="153"/>
      <c r="AL2982" s="154"/>
      <c r="AM2982" s="147">
        <f t="shared" si="118"/>
        <v>0</v>
      </c>
      <c r="AN2982" s="18"/>
      <c r="AO2982" s="18"/>
    </row>
    <row r="2983" spans="1:42" customFormat="1" x14ac:dyDescent="0.3">
      <c r="A2983" s="148" t="s">
        <v>8319</v>
      </c>
      <c r="B2983" t="s">
        <v>8320</v>
      </c>
      <c r="C2983" s="148" t="s">
        <v>9496</v>
      </c>
      <c r="D2983" t="s">
        <v>9497</v>
      </c>
      <c r="E2983" s="148" t="s">
        <v>9498</v>
      </c>
      <c r="F2983" t="s">
        <v>9499</v>
      </c>
      <c r="G2983" s="148" t="s">
        <v>9527</v>
      </c>
      <c r="H2983" t="s">
        <v>9528</v>
      </c>
      <c r="K2983" s="155" t="s">
        <v>11524</v>
      </c>
      <c r="L2983" t="s">
        <v>11525</v>
      </c>
      <c r="M2983" s="1" t="s">
        <v>11526</v>
      </c>
      <c r="N2983" s="1">
        <v>0</v>
      </c>
      <c r="O2983" s="1">
        <v>0</v>
      </c>
      <c r="P2983" s="3">
        <v>805.2</v>
      </c>
      <c r="Q2983" s="3">
        <v>1600640</v>
      </c>
      <c r="R2983" s="3">
        <v>3221280</v>
      </c>
      <c r="S2983" s="3">
        <v>4474000</v>
      </c>
      <c r="T2983" t="s">
        <v>11527</v>
      </c>
      <c r="U2983" t="e">
        <v>#N/A</v>
      </c>
      <c r="W2983" s="45"/>
      <c r="X2983" s="45"/>
      <c r="Y2983" s="45"/>
      <c r="Z2983" s="45"/>
      <c r="AA2983" s="45"/>
      <c r="AB2983" s="45"/>
      <c r="AC2983" s="150">
        <v>0</v>
      </c>
      <c r="AD2983" s="150">
        <v>0</v>
      </c>
      <c r="AE2983" s="49">
        <f t="shared" si="117"/>
        <v>0</v>
      </c>
      <c r="AF2983" s="17"/>
      <c r="AG2983" s="17">
        <v>0</v>
      </c>
      <c r="AH2983" s="17"/>
      <c r="AI2983" s="17"/>
      <c r="AJ2983" s="17"/>
      <c r="AK2983" s="153"/>
      <c r="AL2983" s="154"/>
      <c r="AM2983" s="147">
        <f t="shared" si="118"/>
        <v>0</v>
      </c>
      <c r="AN2983" s="18"/>
      <c r="AO2983" s="18"/>
    </row>
    <row r="2984" spans="1:42" customFormat="1" x14ac:dyDescent="0.3">
      <c r="A2984" s="148" t="s">
        <v>8319</v>
      </c>
      <c r="B2984" t="s">
        <v>8320</v>
      </c>
      <c r="C2984" s="148" t="s">
        <v>9496</v>
      </c>
      <c r="D2984" t="s">
        <v>9497</v>
      </c>
      <c r="E2984" s="148" t="s">
        <v>9498</v>
      </c>
      <c r="F2984" t="s">
        <v>9499</v>
      </c>
      <c r="G2984" s="148" t="s">
        <v>9527</v>
      </c>
      <c r="H2984" t="s">
        <v>9528</v>
      </c>
      <c r="K2984" s="155" t="s">
        <v>11524</v>
      </c>
      <c r="L2984" t="s">
        <v>11528</v>
      </c>
      <c r="M2984" s="1" t="s">
        <v>11529</v>
      </c>
      <c r="N2984" s="1" t="s">
        <v>119</v>
      </c>
      <c r="O2984" s="1">
        <v>0</v>
      </c>
      <c r="P2984" s="3">
        <v>805.2</v>
      </c>
      <c r="Q2984" s="3">
        <v>1600640</v>
      </c>
      <c r="R2984" s="3">
        <v>3221280</v>
      </c>
      <c r="S2984" s="3">
        <v>4474000</v>
      </c>
      <c r="T2984" t="s">
        <v>11530</v>
      </c>
      <c r="U2984" t="e">
        <v>#N/A</v>
      </c>
      <c r="W2984" s="45"/>
      <c r="X2984" s="45"/>
      <c r="Y2984" s="45"/>
      <c r="Z2984" s="45"/>
      <c r="AA2984" s="45"/>
      <c r="AB2984" s="45"/>
      <c r="AC2984" s="150">
        <v>0</v>
      </c>
      <c r="AD2984" s="150">
        <v>0</v>
      </c>
      <c r="AE2984" s="49">
        <f t="shared" ref="AE2984:AE3027" si="119">SUM(W2984:AD2984)/8</f>
        <v>0</v>
      </c>
      <c r="AF2984" s="17"/>
      <c r="AG2984" s="17">
        <v>0</v>
      </c>
      <c r="AH2984" s="17"/>
      <c r="AI2984" s="17"/>
      <c r="AJ2984" s="17"/>
      <c r="AK2984" s="153"/>
      <c r="AL2984" s="154"/>
      <c r="AM2984" s="147">
        <f t="shared" si="118"/>
        <v>0</v>
      </c>
      <c r="AN2984" s="18"/>
      <c r="AO2984" s="18"/>
    </row>
    <row r="2985" spans="1:42" customFormat="1" x14ac:dyDescent="0.3">
      <c r="A2985" s="148" t="s">
        <v>8319</v>
      </c>
      <c r="B2985" t="s">
        <v>8320</v>
      </c>
      <c r="C2985" s="148" t="s">
        <v>9496</v>
      </c>
      <c r="D2985" t="s">
        <v>9497</v>
      </c>
      <c r="E2985" s="148" t="s">
        <v>9498</v>
      </c>
      <c r="F2985" t="s">
        <v>9499</v>
      </c>
      <c r="G2985" s="148" t="s">
        <v>9527</v>
      </c>
      <c r="H2985" t="s">
        <v>9528</v>
      </c>
      <c r="K2985" s="148" t="s">
        <v>11531</v>
      </c>
      <c r="L2985" t="s">
        <v>11532</v>
      </c>
      <c r="M2985" s="1" t="s">
        <v>11533</v>
      </c>
      <c r="N2985" s="1">
        <v>0</v>
      </c>
      <c r="O2985" s="1">
        <v>1</v>
      </c>
      <c r="P2985" s="3">
        <v>0</v>
      </c>
      <c r="Q2985" s="3" t="s">
        <v>271</v>
      </c>
      <c r="R2985" s="3" t="s">
        <v>271</v>
      </c>
      <c r="S2985" s="3" t="s">
        <v>271</v>
      </c>
      <c r="T2985" t="s">
        <v>771</v>
      </c>
      <c r="U2985" t="s">
        <v>773</v>
      </c>
      <c r="W2985" s="45"/>
      <c r="X2985" s="45"/>
      <c r="Y2985" s="45"/>
      <c r="Z2985" s="45"/>
      <c r="AA2985" s="45"/>
      <c r="AB2985" s="45"/>
      <c r="AC2985" s="150">
        <v>0</v>
      </c>
      <c r="AD2985" s="150">
        <v>0</v>
      </c>
      <c r="AE2985" s="49">
        <f t="shared" si="119"/>
        <v>0</v>
      </c>
      <c r="AF2985" s="17"/>
      <c r="AG2985" s="17">
        <v>0</v>
      </c>
      <c r="AH2985" s="17"/>
      <c r="AI2985" s="17"/>
      <c r="AJ2985" s="17"/>
      <c r="AK2985" s="153"/>
      <c r="AL2985" s="154"/>
      <c r="AM2985" s="147">
        <f t="shared" si="118"/>
        <v>0</v>
      </c>
      <c r="AN2985" s="18"/>
      <c r="AO2985" s="18"/>
    </row>
    <row r="2986" spans="1:42" customFormat="1" x14ac:dyDescent="0.3">
      <c r="A2986" s="148" t="s">
        <v>8319</v>
      </c>
      <c r="B2986" t="s">
        <v>8320</v>
      </c>
      <c r="C2986" s="148" t="s">
        <v>9496</v>
      </c>
      <c r="D2986" t="s">
        <v>9497</v>
      </c>
      <c r="E2986" s="148" t="s">
        <v>9498</v>
      </c>
      <c r="F2986" t="s">
        <v>9499</v>
      </c>
      <c r="G2986" s="148" t="s">
        <v>9527</v>
      </c>
      <c r="H2986" t="s">
        <v>9528</v>
      </c>
      <c r="K2986" s="155" t="s">
        <v>11534</v>
      </c>
      <c r="L2986" t="s">
        <v>11535</v>
      </c>
      <c r="M2986" s="1" t="s">
        <v>11536</v>
      </c>
      <c r="N2986" s="1">
        <v>0</v>
      </c>
      <c r="O2986" s="1">
        <v>1</v>
      </c>
      <c r="P2986" s="3">
        <v>0</v>
      </c>
      <c r="Q2986" s="3">
        <v>0</v>
      </c>
      <c r="R2986" s="3">
        <v>0</v>
      </c>
      <c r="S2986" s="3">
        <v>0</v>
      </c>
      <c r="T2986" t="s">
        <v>771</v>
      </c>
      <c r="U2986" t="s">
        <v>773</v>
      </c>
      <c r="W2986" s="45"/>
      <c r="X2986" s="45"/>
      <c r="Y2986" s="45"/>
      <c r="Z2986" s="45"/>
      <c r="AA2986" s="45"/>
      <c r="AB2986" s="45"/>
      <c r="AC2986" s="150">
        <v>0</v>
      </c>
      <c r="AD2986" s="150">
        <v>0</v>
      </c>
      <c r="AE2986" s="49">
        <f t="shared" si="119"/>
        <v>0</v>
      </c>
      <c r="AF2986" s="17"/>
      <c r="AG2986" s="17">
        <v>0</v>
      </c>
      <c r="AH2986" s="17"/>
      <c r="AI2986" s="17"/>
      <c r="AJ2986" s="17"/>
      <c r="AK2986" s="153"/>
      <c r="AL2986" s="154"/>
      <c r="AM2986" s="147">
        <f t="shared" si="118"/>
        <v>0</v>
      </c>
      <c r="AN2986" s="18"/>
      <c r="AO2986" s="18"/>
    </row>
    <row r="2987" spans="1:42" customFormat="1" x14ac:dyDescent="0.3">
      <c r="A2987" s="148" t="s">
        <v>8319</v>
      </c>
      <c r="B2987" t="s">
        <v>8320</v>
      </c>
      <c r="C2987" s="148" t="s">
        <v>9496</v>
      </c>
      <c r="D2987" t="s">
        <v>9497</v>
      </c>
      <c r="E2987" s="148" t="s">
        <v>9498</v>
      </c>
      <c r="F2987" t="s">
        <v>9499</v>
      </c>
      <c r="G2987" s="148" t="s">
        <v>9527</v>
      </c>
      <c r="H2987" t="s">
        <v>9528</v>
      </c>
      <c r="K2987" s="155" t="s">
        <v>11534</v>
      </c>
      <c r="L2987" t="s">
        <v>11535</v>
      </c>
      <c r="M2987" s="1" t="s">
        <v>11537</v>
      </c>
      <c r="N2987" s="1">
        <v>65</v>
      </c>
      <c r="O2987" s="1">
        <v>5</v>
      </c>
      <c r="P2987" s="3">
        <v>7</v>
      </c>
      <c r="Q2987" s="3">
        <v>5</v>
      </c>
      <c r="R2987" s="3">
        <v>2</v>
      </c>
      <c r="S2987" s="3">
        <v>3</v>
      </c>
      <c r="T2987" t="s">
        <v>771</v>
      </c>
      <c r="U2987" t="s">
        <v>773</v>
      </c>
      <c r="W2987" s="45"/>
      <c r="X2987" s="45"/>
      <c r="Y2987" s="45"/>
      <c r="Z2987" s="45"/>
      <c r="AA2987" s="45"/>
      <c r="AB2987" s="45"/>
      <c r="AC2987" s="150">
        <v>0</v>
      </c>
      <c r="AD2987" s="150">
        <v>0</v>
      </c>
      <c r="AE2987" s="49">
        <f t="shared" si="119"/>
        <v>0</v>
      </c>
      <c r="AF2987" s="17"/>
      <c r="AG2987" s="17">
        <v>0</v>
      </c>
      <c r="AH2987" s="17"/>
      <c r="AI2987" s="17"/>
      <c r="AJ2987" s="17"/>
      <c r="AK2987" s="153"/>
      <c r="AL2987" s="154"/>
      <c r="AM2987" s="147">
        <f t="shared" si="118"/>
        <v>0</v>
      </c>
      <c r="AN2987" s="18"/>
      <c r="AO2987" s="18"/>
    </row>
    <row r="2988" spans="1:42" customFormat="1" x14ac:dyDescent="0.3">
      <c r="A2988" s="148" t="s">
        <v>8319</v>
      </c>
      <c r="B2988" t="s">
        <v>8320</v>
      </c>
      <c r="C2988" s="148" t="s">
        <v>9496</v>
      </c>
      <c r="D2988" t="s">
        <v>9497</v>
      </c>
      <c r="E2988" s="148" t="s">
        <v>9498</v>
      </c>
      <c r="F2988" t="s">
        <v>9499</v>
      </c>
      <c r="G2988" s="148" t="s">
        <v>9527</v>
      </c>
      <c r="H2988" t="s">
        <v>9528</v>
      </c>
      <c r="K2988" s="155" t="s">
        <v>11534</v>
      </c>
      <c r="L2988" t="s">
        <v>11535</v>
      </c>
      <c r="M2988" s="1" t="s">
        <v>11538</v>
      </c>
      <c r="N2988" s="1">
        <v>20000</v>
      </c>
      <c r="O2988" s="1">
        <v>25000</v>
      </c>
      <c r="P2988" s="3">
        <v>31000</v>
      </c>
      <c r="Q2988" s="3">
        <v>38000</v>
      </c>
      <c r="R2988" s="3">
        <v>46000</v>
      </c>
      <c r="S2988" s="3">
        <v>56000</v>
      </c>
      <c r="T2988" t="s">
        <v>771</v>
      </c>
      <c r="U2988" t="s">
        <v>773</v>
      </c>
      <c r="W2988" s="45"/>
      <c r="X2988" s="45"/>
      <c r="Y2988" s="45"/>
      <c r="Z2988" s="45"/>
      <c r="AA2988" s="45"/>
      <c r="AB2988" s="45"/>
      <c r="AC2988" s="150">
        <v>0</v>
      </c>
      <c r="AD2988" s="150">
        <v>0</v>
      </c>
      <c r="AE2988" s="49">
        <f t="shared" si="119"/>
        <v>0</v>
      </c>
      <c r="AF2988" s="17"/>
      <c r="AG2988" s="17">
        <v>0</v>
      </c>
      <c r="AH2988" s="17"/>
      <c r="AI2988" s="17"/>
      <c r="AJ2988" s="17"/>
      <c r="AK2988" s="153"/>
      <c r="AL2988" s="154"/>
      <c r="AM2988" s="147">
        <f t="shared" si="118"/>
        <v>0</v>
      </c>
      <c r="AN2988" s="18"/>
      <c r="AO2988" s="18"/>
    </row>
    <row r="2989" spans="1:42" customFormat="1" x14ac:dyDescent="0.3">
      <c r="A2989" s="148" t="s">
        <v>8319</v>
      </c>
      <c r="B2989" t="s">
        <v>8320</v>
      </c>
      <c r="C2989" s="148" t="s">
        <v>9496</v>
      </c>
      <c r="D2989" t="s">
        <v>9497</v>
      </c>
      <c r="E2989" s="148" t="s">
        <v>9498</v>
      </c>
      <c r="F2989" t="s">
        <v>9499</v>
      </c>
      <c r="G2989" s="148" t="s">
        <v>9855</v>
      </c>
      <c r="H2989" t="s">
        <v>9856</v>
      </c>
      <c r="K2989" s="155" t="s">
        <v>11539</v>
      </c>
      <c r="L2989" t="s">
        <v>11540</v>
      </c>
      <c r="M2989" s="1" t="s">
        <v>11541</v>
      </c>
      <c r="N2989" s="1"/>
      <c r="O2989" s="1" t="s">
        <v>271</v>
      </c>
      <c r="P2989" s="3" t="s">
        <v>271</v>
      </c>
      <c r="Q2989" s="3" t="s">
        <v>271</v>
      </c>
      <c r="R2989" s="3">
        <v>1</v>
      </c>
      <c r="S2989" s="3" t="s">
        <v>271</v>
      </c>
      <c r="T2989" t="s">
        <v>771</v>
      </c>
      <c r="U2989" t="s">
        <v>773</v>
      </c>
      <c r="W2989" s="45"/>
      <c r="X2989" s="45"/>
      <c r="Y2989" s="45"/>
      <c r="Z2989" s="45"/>
      <c r="AA2989" s="45"/>
      <c r="AB2989" s="45"/>
      <c r="AC2989" s="150">
        <v>0</v>
      </c>
      <c r="AD2989" s="150">
        <v>0</v>
      </c>
      <c r="AE2989" s="49">
        <f t="shared" si="119"/>
        <v>0</v>
      </c>
      <c r="AF2989" s="17"/>
      <c r="AG2989" s="17">
        <v>0</v>
      </c>
      <c r="AH2989" s="17"/>
      <c r="AI2989" s="17"/>
      <c r="AJ2989" s="17"/>
      <c r="AK2989" s="153"/>
      <c r="AL2989" s="154"/>
      <c r="AM2989" s="147">
        <f t="shared" si="118"/>
        <v>0</v>
      </c>
      <c r="AN2989" s="18"/>
      <c r="AO2989" s="18"/>
    </row>
    <row r="2990" spans="1:42" customFormat="1" x14ac:dyDescent="0.3">
      <c r="A2990" s="148" t="s">
        <v>8319</v>
      </c>
      <c r="B2990" t="s">
        <v>8320</v>
      </c>
      <c r="C2990" s="148" t="s">
        <v>9496</v>
      </c>
      <c r="D2990" t="s">
        <v>9497</v>
      </c>
      <c r="E2990" s="148" t="s">
        <v>9498</v>
      </c>
      <c r="F2990" t="s">
        <v>9499</v>
      </c>
      <c r="G2990" s="148" t="s">
        <v>9538</v>
      </c>
      <c r="H2990" t="s">
        <v>9539</v>
      </c>
      <c r="K2990" s="148" t="s">
        <v>9540</v>
      </c>
      <c r="L2990" t="s">
        <v>9541</v>
      </c>
      <c r="M2990" s="1" t="s">
        <v>11542</v>
      </c>
      <c r="N2990" s="1">
        <v>0</v>
      </c>
      <c r="O2990" s="1">
        <v>20</v>
      </c>
      <c r="P2990" s="3">
        <v>30</v>
      </c>
      <c r="Q2990" s="3">
        <v>50</v>
      </c>
      <c r="R2990" s="3">
        <v>50</v>
      </c>
      <c r="S2990" s="3">
        <v>50</v>
      </c>
      <c r="T2990" t="s">
        <v>9543</v>
      </c>
      <c r="U2990" t="e">
        <v>#N/A</v>
      </c>
      <c r="W2990" s="45"/>
      <c r="X2990" s="45"/>
      <c r="Y2990" s="45"/>
      <c r="Z2990" s="45"/>
      <c r="AA2990" s="45"/>
      <c r="AB2990" s="45"/>
      <c r="AC2990" s="150">
        <v>0</v>
      </c>
      <c r="AD2990" s="150">
        <v>0</v>
      </c>
      <c r="AE2990" s="49">
        <f t="shared" si="119"/>
        <v>0</v>
      </c>
      <c r="AF2990" s="17"/>
      <c r="AG2990" s="17">
        <v>0</v>
      </c>
      <c r="AH2990" s="17"/>
      <c r="AI2990" s="17"/>
      <c r="AJ2990" s="17"/>
      <c r="AK2990" s="153"/>
      <c r="AL2990" s="154"/>
      <c r="AM2990" s="147">
        <f t="shared" si="118"/>
        <v>0</v>
      </c>
      <c r="AN2990" s="18"/>
      <c r="AO2990" s="18"/>
    </row>
    <row r="2991" spans="1:42" customFormat="1" x14ac:dyDescent="0.3">
      <c r="A2991" s="148" t="s">
        <v>8319</v>
      </c>
      <c r="B2991" t="s">
        <v>8320</v>
      </c>
      <c r="C2991" s="148" t="s">
        <v>9496</v>
      </c>
      <c r="D2991" t="s">
        <v>9497</v>
      </c>
      <c r="E2991" s="148" t="s">
        <v>9498</v>
      </c>
      <c r="F2991" t="s">
        <v>9499</v>
      </c>
      <c r="G2991" s="148" t="s">
        <v>10390</v>
      </c>
      <c r="H2991" t="s">
        <v>10391</v>
      </c>
      <c r="K2991" s="148" t="s">
        <v>10392</v>
      </c>
      <c r="L2991" t="s">
        <v>10393</v>
      </c>
      <c r="M2991" s="1" t="s">
        <v>11543</v>
      </c>
      <c r="N2991" s="1">
        <v>4000</v>
      </c>
      <c r="O2991" s="1">
        <v>5000</v>
      </c>
      <c r="P2991" s="3">
        <v>5000</v>
      </c>
      <c r="Q2991" s="3">
        <v>5000</v>
      </c>
      <c r="R2991" s="3">
        <v>5000</v>
      </c>
      <c r="S2991" s="3">
        <v>5000</v>
      </c>
      <c r="U2991" t="e">
        <v>#N/A</v>
      </c>
      <c r="W2991" s="45"/>
      <c r="X2991" s="45"/>
      <c r="Y2991" s="45"/>
      <c r="Z2991" s="45"/>
      <c r="AA2991" s="45"/>
      <c r="AB2991" s="45"/>
      <c r="AC2991" s="150">
        <v>0</v>
      </c>
      <c r="AD2991" s="150">
        <v>0</v>
      </c>
      <c r="AE2991" s="49">
        <f t="shared" si="119"/>
        <v>0</v>
      </c>
      <c r="AF2991" s="4"/>
      <c r="AG2991" s="17">
        <v>0</v>
      </c>
      <c r="AH2991" s="4"/>
      <c r="AI2991" s="4"/>
      <c r="AJ2991" s="4"/>
      <c r="AK2991" s="46"/>
      <c r="AL2991" s="46"/>
      <c r="AM2991" s="147">
        <f t="shared" si="118"/>
        <v>0</v>
      </c>
      <c r="AN2991" s="18"/>
      <c r="AO2991" s="18"/>
    </row>
    <row r="2992" spans="1:42" customFormat="1" x14ac:dyDescent="0.3">
      <c r="A2992" s="148" t="s">
        <v>8319</v>
      </c>
      <c r="B2992" t="s">
        <v>8320</v>
      </c>
      <c r="C2992" s="148" t="s">
        <v>9496</v>
      </c>
      <c r="D2992" t="s">
        <v>9497</v>
      </c>
      <c r="E2992" s="148" t="s">
        <v>9498</v>
      </c>
      <c r="F2992" t="s">
        <v>9499</v>
      </c>
      <c r="G2992" s="148" t="s">
        <v>10390</v>
      </c>
      <c r="H2992" t="s">
        <v>10391</v>
      </c>
      <c r="K2992" s="148" t="s">
        <v>10392</v>
      </c>
      <c r="L2992" t="s">
        <v>10393</v>
      </c>
      <c r="M2992" s="1" t="s">
        <v>11544</v>
      </c>
      <c r="N2992" s="1">
        <v>0</v>
      </c>
      <c r="O2992" s="1">
        <v>10000</v>
      </c>
      <c r="P2992" s="3">
        <v>10000</v>
      </c>
      <c r="Q2992" s="3">
        <v>10000</v>
      </c>
      <c r="R2992" s="3">
        <v>10000</v>
      </c>
      <c r="S2992" s="3">
        <v>10000</v>
      </c>
      <c r="T2992" t="s">
        <v>1536</v>
      </c>
      <c r="U2992" t="e">
        <v>#N/A</v>
      </c>
      <c r="W2992" s="45"/>
      <c r="X2992" s="45"/>
      <c r="Y2992" s="45"/>
      <c r="Z2992" s="45"/>
      <c r="AA2992" s="45"/>
      <c r="AB2992" s="45"/>
      <c r="AC2992" s="150">
        <v>0</v>
      </c>
      <c r="AD2992" s="150">
        <v>0</v>
      </c>
      <c r="AE2992" s="49">
        <f t="shared" si="119"/>
        <v>0</v>
      </c>
      <c r="AF2992" s="4"/>
      <c r="AG2992" s="17">
        <v>0</v>
      </c>
      <c r="AH2992" s="4"/>
      <c r="AI2992" s="4"/>
      <c r="AJ2992" s="4"/>
      <c r="AK2992" s="46"/>
      <c r="AL2992" s="46"/>
      <c r="AM2992" s="147">
        <f t="shared" si="118"/>
        <v>0</v>
      </c>
      <c r="AN2992" s="18"/>
      <c r="AO2992" s="18"/>
    </row>
    <row r="2993" spans="1:42" customFormat="1" x14ac:dyDescent="0.3">
      <c r="A2993" s="148" t="s">
        <v>8319</v>
      </c>
      <c r="B2993" t="s">
        <v>8320</v>
      </c>
      <c r="C2993" s="148" t="s">
        <v>9496</v>
      </c>
      <c r="D2993" t="s">
        <v>9497</v>
      </c>
      <c r="E2993" s="148" t="s">
        <v>9498</v>
      </c>
      <c r="F2993" t="s">
        <v>9499</v>
      </c>
      <c r="G2993" s="148" t="s">
        <v>10390</v>
      </c>
      <c r="H2993" t="s">
        <v>10391</v>
      </c>
      <c r="K2993" s="148" t="s">
        <v>10392</v>
      </c>
      <c r="L2993" t="s">
        <v>10393</v>
      </c>
      <c r="M2993" s="1" t="s">
        <v>11545</v>
      </c>
      <c r="N2993" s="1">
        <v>16</v>
      </c>
      <c r="O2993" s="1">
        <v>16</v>
      </c>
      <c r="P2993" s="3">
        <v>16</v>
      </c>
      <c r="Q2993" s="3">
        <v>16</v>
      </c>
      <c r="R2993" s="3">
        <v>16</v>
      </c>
      <c r="S2993" s="3">
        <v>16</v>
      </c>
      <c r="T2993" t="s">
        <v>1536</v>
      </c>
      <c r="U2993" t="e">
        <v>#N/A</v>
      </c>
      <c r="W2993" s="45"/>
      <c r="X2993" s="45"/>
      <c r="Y2993" s="45"/>
      <c r="Z2993" s="45"/>
      <c r="AA2993" s="45"/>
      <c r="AB2993" s="45"/>
      <c r="AC2993" s="150">
        <v>0</v>
      </c>
      <c r="AD2993" s="150">
        <v>0</v>
      </c>
      <c r="AE2993" s="49">
        <f t="shared" si="119"/>
        <v>0</v>
      </c>
      <c r="AF2993" s="4"/>
      <c r="AG2993" s="17">
        <v>0</v>
      </c>
      <c r="AH2993" s="4"/>
      <c r="AI2993" s="4"/>
      <c r="AJ2993" s="4"/>
      <c r="AK2993" s="46"/>
      <c r="AL2993" s="46"/>
      <c r="AM2993" s="147">
        <f t="shared" si="118"/>
        <v>0</v>
      </c>
      <c r="AN2993" s="18"/>
      <c r="AO2993" s="18"/>
    </row>
    <row r="2994" spans="1:42" customFormat="1" x14ac:dyDescent="0.3">
      <c r="A2994" s="148" t="s">
        <v>8319</v>
      </c>
      <c r="B2994" t="s">
        <v>8320</v>
      </c>
      <c r="C2994" s="148" t="s">
        <v>9496</v>
      </c>
      <c r="D2994" t="s">
        <v>9497</v>
      </c>
      <c r="E2994" s="148" t="s">
        <v>9498</v>
      </c>
      <c r="F2994" t="s">
        <v>9499</v>
      </c>
      <c r="G2994" s="148" t="s">
        <v>10390</v>
      </c>
      <c r="H2994" t="s">
        <v>10391</v>
      </c>
      <c r="K2994" s="148" t="s">
        <v>10392</v>
      </c>
      <c r="L2994" t="s">
        <v>10393</v>
      </c>
      <c r="M2994" s="1" t="s">
        <v>11546</v>
      </c>
      <c r="N2994" s="1">
        <v>30</v>
      </c>
      <c r="O2994" s="1">
        <v>30</v>
      </c>
      <c r="P2994" s="3">
        <v>40</v>
      </c>
      <c r="Q2994" s="3">
        <v>50</v>
      </c>
      <c r="R2994" s="3">
        <v>60</v>
      </c>
      <c r="S2994" s="3">
        <v>70</v>
      </c>
      <c r="T2994" t="s">
        <v>10363</v>
      </c>
      <c r="U2994" t="e">
        <v>#N/A</v>
      </c>
      <c r="W2994" s="45"/>
      <c r="X2994" s="45"/>
      <c r="Y2994" s="45"/>
      <c r="Z2994" s="45"/>
      <c r="AA2994" s="45"/>
      <c r="AB2994" s="45"/>
      <c r="AC2994" s="150">
        <v>0</v>
      </c>
      <c r="AD2994" s="150">
        <v>0</v>
      </c>
      <c r="AE2994" s="49">
        <f t="shared" si="119"/>
        <v>0</v>
      </c>
      <c r="AF2994" s="4"/>
      <c r="AG2994" s="17">
        <v>0</v>
      </c>
      <c r="AH2994" s="4"/>
      <c r="AI2994" s="4"/>
      <c r="AJ2994" s="4"/>
      <c r="AK2994" s="46"/>
      <c r="AL2994" s="46"/>
      <c r="AM2994" s="147">
        <f t="shared" si="118"/>
        <v>0</v>
      </c>
      <c r="AN2994" s="18"/>
      <c r="AO2994" s="18"/>
    </row>
    <row r="2995" spans="1:42" customFormat="1" x14ac:dyDescent="0.3">
      <c r="A2995" s="148" t="s">
        <v>8319</v>
      </c>
      <c r="B2995" t="s">
        <v>8320</v>
      </c>
      <c r="C2995" s="148" t="s">
        <v>9496</v>
      </c>
      <c r="D2995" t="s">
        <v>9497</v>
      </c>
      <c r="E2995" s="148" t="s">
        <v>9498</v>
      </c>
      <c r="F2995" t="s">
        <v>9499</v>
      </c>
      <c r="G2995" s="148" t="s">
        <v>10390</v>
      </c>
      <c r="H2995" t="s">
        <v>10391</v>
      </c>
      <c r="K2995" s="148" t="s">
        <v>10392</v>
      </c>
      <c r="L2995" t="s">
        <v>10393</v>
      </c>
      <c r="M2995" s="1" t="s">
        <v>11547</v>
      </c>
      <c r="N2995" s="1">
        <v>18</v>
      </c>
      <c r="O2995" s="1">
        <v>18</v>
      </c>
      <c r="P2995" s="3">
        <v>18</v>
      </c>
      <c r="Q2995" s="3">
        <v>18</v>
      </c>
      <c r="R2995" s="3">
        <v>18</v>
      </c>
      <c r="S2995" s="3">
        <v>18</v>
      </c>
      <c r="T2995" t="s">
        <v>771</v>
      </c>
      <c r="U2995" t="s">
        <v>773</v>
      </c>
      <c r="W2995" s="45"/>
      <c r="X2995" s="45"/>
      <c r="Y2995" s="45"/>
      <c r="Z2995" s="45"/>
      <c r="AA2995" s="45"/>
      <c r="AB2995" s="45"/>
      <c r="AC2995" s="150">
        <v>0</v>
      </c>
      <c r="AD2995" s="150">
        <v>0</v>
      </c>
      <c r="AE2995" s="49">
        <f t="shared" si="119"/>
        <v>0</v>
      </c>
      <c r="AF2995" s="4"/>
      <c r="AG2995" s="17">
        <v>0</v>
      </c>
      <c r="AH2995" s="4"/>
      <c r="AI2995" s="4"/>
      <c r="AJ2995" s="4"/>
      <c r="AK2995" s="46"/>
      <c r="AL2995" s="46"/>
      <c r="AM2995" s="147">
        <f t="shared" si="118"/>
        <v>0</v>
      </c>
      <c r="AN2995" s="18"/>
      <c r="AO2995" s="18"/>
    </row>
    <row r="2996" spans="1:42" customFormat="1" x14ac:dyDescent="0.3">
      <c r="A2996" s="148" t="s">
        <v>8319</v>
      </c>
      <c r="B2996" t="s">
        <v>8320</v>
      </c>
      <c r="C2996" s="148" t="s">
        <v>9496</v>
      </c>
      <c r="D2996" t="s">
        <v>9497</v>
      </c>
      <c r="E2996" s="148" t="s">
        <v>9498</v>
      </c>
      <c r="F2996" t="s">
        <v>9499</v>
      </c>
      <c r="G2996" s="148" t="s">
        <v>10390</v>
      </c>
      <c r="H2996" t="s">
        <v>10391</v>
      </c>
      <c r="K2996" s="148" t="s">
        <v>10392</v>
      </c>
      <c r="L2996" t="s">
        <v>10393</v>
      </c>
      <c r="M2996" s="1" t="s">
        <v>11548</v>
      </c>
      <c r="N2996" s="1">
        <v>0</v>
      </c>
      <c r="O2996" s="1">
        <v>0</v>
      </c>
      <c r="P2996" s="3">
        <v>50</v>
      </c>
      <c r="Q2996" s="3">
        <v>50</v>
      </c>
      <c r="R2996" s="3">
        <v>50</v>
      </c>
      <c r="S2996" s="3">
        <v>50</v>
      </c>
      <c r="T2996" t="s">
        <v>9543</v>
      </c>
      <c r="U2996" t="e">
        <v>#N/A</v>
      </c>
      <c r="W2996" s="45"/>
      <c r="X2996" s="45"/>
      <c r="Y2996" s="45"/>
      <c r="Z2996" s="45"/>
      <c r="AA2996" s="45"/>
      <c r="AB2996" s="45"/>
      <c r="AC2996" s="150">
        <v>0</v>
      </c>
      <c r="AD2996" s="150">
        <v>0</v>
      </c>
      <c r="AE2996" s="49">
        <f t="shared" si="119"/>
        <v>0</v>
      </c>
      <c r="AF2996" s="4"/>
      <c r="AG2996" s="17">
        <v>0</v>
      </c>
      <c r="AH2996" s="4"/>
      <c r="AI2996" s="4"/>
      <c r="AJ2996" s="4"/>
      <c r="AK2996" s="46"/>
      <c r="AL2996" s="46"/>
      <c r="AM2996" s="147">
        <f t="shared" si="118"/>
        <v>0</v>
      </c>
      <c r="AN2996" s="18"/>
      <c r="AO2996" s="18"/>
    </row>
    <row r="2997" spans="1:42" customFormat="1" x14ac:dyDescent="0.3">
      <c r="A2997" s="148" t="s">
        <v>8319</v>
      </c>
      <c r="B2997" t="s">
        <v>8320</v>
      </c>
      <c r="C2997" s="148" t="s">
        <v>9496</v>
      </c>
      <c r="D2997" t="s">
        <v>9497</v>
      </c>
      <c r="E2997" s="148" t="s">
        <v>9498</v>
      </c>
      <c r="F2997" t="s">
        <v>9499</v>
      </c>
      <c r="G2997" s="148" t="s">
        <v>10390</v>
      </c>
      <c r="H2997" t="s">
        <v>10391</v>
      </c>
      <c r="K2997" s="155" t="s">
        <v>11549</v>
      </c>
      <c r="L2997" t="s">
        <v>11550</v>
      </c>
      <c r="M2997" s="1" t="s">
        <v>11551</v>
      </c>
      <c r="N2997" s="1">
        <v>56</v>
      </c>
      <c r="O2997" s="1">
        <v>50</v>
      </c>
      <c r="P2997" s="3">
        <v>45</v>
      </c>
      <c r="Q2997" s="3">
        <v>40</v>
      </c>
      <c r="R2997" s="3">
        <v>35</v>
      </c>
      <c r="S2997" s="3">
        <v>30</v>
      </c>
      <c r="T2997" t="s">
        <v>771</v>
      </c>
      <c r="U2997" t="s">
        <v>773</v>
      </c>
      <c r="W2997" s="45"/>
      <c r="X2997" s="45"/>
      <c r="Y2997" s="45"/>
      <c r="Z2997" s="45"/>
      <c r="AA2997" s="45"/>
      <c r="AB2997" s="45"/>
      <c r="AC2997" s="150">
        <v>0</v>
      </c>
      <c r="AD2997" s="150">
        <v>0</v>
      </c>
      <c r="AE2997" s="49">
        <f t="shared" si="119"/>
        <v>0</v>
      </c>
      <c r="AF2997" s="4"/>
      <c r="AG2997" s="17">
        <v>0</v>
      </c>
      <c r="AH2997" s="4"/>
      <c r="AI2997" s="4"/>
      <c r="AJ2997" s="4"/>
      <c r="AK2997" s="46"/>
      <c r="AL2997" s="46"/>
      <c r="AM2997" s="147">
        <f t="shared" si="118"/>
        <v>0</v>
      </c>
      <c r="AN2997" s="18"/>
      <c r="AO2997" s="18"/>
    </row>
    <row r="2998" spans="1:42" customFormat="1" x14ac:dyDescent="0.3">
      <c r="A2998" s="148" t="s">
        <v>8319</v>
      </c>
      <c r="B2998" t="s">
        <v>8320</v>
      </c>
      <c r="C2998" s="148" t="s">
        <v>9496</v>
      </c>
      <c r="D2998" t="s">
        <v>9497</v>
      </c>
      <c r="E2998" s="148" t="s">
        <v>9498</v>
      </c>
      <c r="F2998" t="s">
        <v>9499</v>
      </c>
      <c r="G2998" s="148" t="s">
        <v>10390</v>
      </c>
      <c r="H2998" t="s">
        <v>10391</v>
      </c>
      <c r="K2998" s="155" t="s">
        <v>11549</v>
      </c>
      <c r="L2998" t="s">
        <v>11550</v>
      </c>
      <c r="M2998" s="1" t="s">
        <v>11552</v>
      </c>
      <c r="N2998" s="1">
        <v>17</v>
      </c>
      <c r="O2998" s="1">
        <v>17</v>
      </c>
      <c r="P2998" s="3">
        <v>17</v>
      </c>
      <c r="Q2998" s="3">
        <v>17</v>
      </c>
      <c r="R2998" s="3">
        <v>17</v>
      </c>
      <c r="S2998" s="3">
        <v>17</v>
      </c>
      <c r="T2998" t="s">
        <v>771</v>
      </c>
      <c r="U2998" t="s">
        <v>773</v>
      </c>
      <c r="W2998" s="45"/>
      <c r="X2998" s="45"/>
      <c r="Y2998" s="45"/>
      <c r="Z2998" s="45"/>
      <c r="AA2998" s="45"/>
      <c r="AB2998" s="45"/>
      <c r="AC2998" s="150">
        <v>0</v>
      </c>
      <c r="AD2998" s="150">
        <v>0</v>
      </c>
      <c r="AE2998" s="49">
        <f t="shared" si="119"/>
        <v>0</v>
      </c>
      <c r="AF2998" s="4"/>
      <c r="AG2998" s="17">
        <v>0</v>
      </c>
      <c r="AH2998" s="4"/>
      <c r="AI2998" s="4"/>
      <c r="AJ2998" s="4"/>
      <c r="AK2998" s="46"/>
      <c r="AL2998" s="46"/>
      <c r="AM2998" s="147">
        <f t="shared" si="118"/>
        <v>0</v>
      </c>
      <c r="AN2998" s="18"/>
      <c r="AO2998" s="18"/>
    </row>
    <row r="2999" spans="1:42" customFormat="1" x14ac:dyDescent="0.3">
      <c r="A2999" s="148" t="s">
        <v>8319</v>
      </c>
      <c r="B2999" t="s">
        <v>8320</v>
      </c>
      <c r="C2999" s="148" t="s">
        <v>9496</v>
      </c>
      <c r="D2999" t="s">
        <v>9497</v>
      </c>
      <c r="E2999" s="148" t="s">
        <v>9498</v>
      </c>
      <c r="F2999" t="s">
        <v>9499</v>
      </c>
      <c r="G2999" s="148" t="s">
        <v>10049</v>
      </c>
      <c r="H2999" t="s">
        <v>10050</v>
      </c>
      <c r="K2999" s="148" t="s">
        <v>11553</v>
      </c>
      <c r="L2999" t="s">
        <v>11554</v>
      </c>
      <c r="M2999" s="1" t="s">
        <v>11555</v>
      </c>
      <c r="N2999" s="1">
        <v>80</v>
      </c>
      <c r="O2999" s="1">
        <v>30</v>
      </c>
      <c r="P2999" s="3">
        <v>30</v>
      </c>
      <c r="Q2999" s="3">
        <v>30</v>
      </c>
      <c r="R2999" s="3">
        <v>30</v>
      </c>
      <c r="S2999" s="3">
        <v>30</v>
      </c>
      <c r="T2999" t="s">
        <v>1563</v>
      </c>
      <c r="U2999" t="s">
        <v>1565</v>
      </c>
      <c r="V2999" t="s">
        <v>11556</v>
      </c>
      <c r="W2999" s="45">
        <v>1</v>
      </c>
      <c r="X2999" s="45">
        <v>1</v>
      </c>
      <c r="Y2999" s="45">
        <v>1</v>
      </c>
      <c r="Z2999" s="45">
        <v>1</v>
      </c>
      <c r="AA2999" s="45">
        <v>1</v>
      </c>
      <c r="AB2999" s="45"/>
      <c r="AC2999" s="150">
        <v>1</v>
      </c>
      <c r="AD2999" s="150">
        <v>0</v>
      </c>
      <c r="AE2999" s="49">
        <f t="shared" si="119"/>
        <v>0.75</v>
      </c>
      <c r="AF2999" s="44"/>
      <c r="AG2999" s="17">
        <v>0</v>
      </c>
      <c r="AH2999" s="44">
        <v>0.08</v>
      </c>
      <c r="AI2999" s="44">
        <v>0.5</v>
      </c>
      <c r="AJ2999" s="44">
        <v>0.08</v>
      </c>
      <c r="AK2999" s="151">
        <v>0.08</v>
      </c>
      <c r="AL2999" s="151">
        <v>0.08</v>
      </c>
      <c r="AM2999" s="147">
        <f t="shared" si="118"/>
        <v>0.16</v>
      </c>
      <c r="AN2999" t="s">
        <v>1563</v>
      </c>
      <c r="AO2999" s="18" t="s">
        <v>1565</v>
      </c>
      <c r="AP2999" t="s">
        <v>921</v>
      </c>
    </row>
    <row r="3000" spans="1:42" customFormat="1" x14ac:dyDescent="0.3">
      <c r="A3000" s="148" t="s">
        <v>8319</v>
      </c>
      <c r="B3000" t="s">
        <v>8320</v>
      </c>
      <c r="C3000" s="148" t="s">
        <v>9496</v>
      </c>
      <c r="D3000" t="s">
        <v>9497</v>
      </c>
      <c r="E3000" s="148" t="s">
        <v>9498</v>
      </c>
      <c r="F3000" t="s">
        <v>9499</v>
      </c>
      <c r="G3000" s="148" t="s">
        <v>10049</v>
      </c>
      <c r="H3000" t="s">
        <v>10050</v>
      </c>
      <c r="K3000" s="148" t="s">
        <v>11553</v>
      </c>
      <c r="L3000" t="s">
        <v>11554</v>
      </c>
      <c r="M3000" s="1" t="s">
        <v>11557</v>
      </c>
      <c r="N3000" s="1">
        <v>24</v>
      </c>
      <c r="O3000" s="1">
        <v>20</v>
      </c>
      <c r="P3000" s="3">
        <v>20</v>
      </c>
      <c r="Q3000" s="3">
        <v>20</v>
      </c>
      <c r="R3000" s="3">
        <v>20</v>
      </c>
      <c r="S3000" s="3">
        <v>20</v>
      </c>
      <c r="T3000" t="s">
        <v>1563</v>
      </c>
      <c r="U3000" t="s">
        <v>1565</v>
      </c>
      <c r="V3000" s="378" t="s">
        <v>11558</v>
      </c>
      <c r="W3000" s="45"/>
      <c r="X3000" s="45"/>
      <c r="Y3000" s="45"/>
      <c r="Z3000" s="45"/>
      <c r="AA3000" s="45"/>
      <c r="AB3000" s="45"/>
      <c r="AC3000" s="150">
        <v>0</v>
      </c>
      <c r="AD3000" s="150">
        <v>0</v>
      </c>
      <c r="AE3000" s="49">
        <f t="shared" si="119"/>
        <v>0</v>
      </c>
      <c r="AF3000" s="44"/>
      <c r="AG3000" s="17">
        <v>0</v>
      </c>
      <c r="AH3000" s="44">
        <v>2.3E-2</v>
      </c>
      <c r="AI3000" s="44">
        <v>0.15</v>
      </c>
      <c r="AJ3000" s="44">
        <v>2.3E-2</v>
      </c>
      <c r="AK3000" s="151">
        <v>2.3E-2</v>
      </c>
      <c r="AL3000" s="151">
        <v>2.3E-2</v>
      </c>
      <c r="AM3000" s="147">
        <f t="shared" si="118"/>
        <v>4.5999999999999999E-2</v>
      </c>
      <c r="AN3000" t="s">
        <v>1563</v>
      </c>
      <c r="AO3000" s="18" t="s">
        <v>1565</v>
      </c>
      <c r="AP3000" t="s">
        <v>831</v>
      </c>
    </row>
    <row r="3001" spans="1:42" customFormat="1" x14ac:dyDescent="0.3">
      <c r="A3001" s="148" t="s">
        <v>8319</v>
      </c>
      <c r="B3001" t="s">
        <v>8320</v>
      </c>
      <c r="C3001" s="148" t="s">
        <v>9496</v>
      </c>
      <c r="D3001" t="s">
        <v>9497</v>
      </c>
      <c r="E3001" s="148" t="s">
        <v>9498</v>
      </c>
      <c r="F3001" t="s">
        <v>9499</v>
      </c>
      <c r="G3001" s="148" t="s">
        <v>10049</v>
      </c>
      <c r="H3001" t="s">
        <v>10050</v>
      </c>
      <c r="K3001" s="148" t="s">
        <v>11559</v>
      </c>
      <c r="L3001" t="s">
        <v>11560</v>
      </c>
      <c r="M3001" s="1" t="s">
        <v>11561</v>
      </c>
      <c r="N3001" s="1">
        <v>30</v>
      </c>
      <c r="O3001" s="1">
        <v>80</v>
      </c>
      <c r="P3001" s="3">
        <v>100</v>
      </c>
      <c r="Q3001" s="3">
        <v>104</v>
      </c>
      <c r="R3001" s="3">
        <v>108</v>
      </c>
      <c r="S3001" s="3">
        <v>116</v>
      </c>
      <c r="T3001" t="s">
        <v>1563</v>
      </c>
      <c r="U3001" t="s">
        <v>1565</v>
      </c>
      <c r="V3001" s="378" t="s">
        <v>11562</v>
      </c>
      <c r="W3001" s="45"/>
      <c r="X3001" s="45"/>
      <c r="Y3001" s="45"/>
      <c r="Z3001" s="45"/>
      <c r="AA3001" s="45"/>
      <c r="AB3001" s="45"/>
      <c r="AC3001" s="45"/>
      <c r="AD3001" s="150">
        <v>0</v>
      </c>
      <c r="AE3001" s="49">
        <f t="shared" si="119"/>
        <v>0</v>
      </c>
      <c r="AF3001" s="44">
        <v>1</v>
      </c>
      <c r="AG3001" s="17">
        <v>0</v>
      </c>
      <c r="AH3001" s="44">
        <v>0.2</v>
      </c>
      <c r="AI3001" s="44">
        <v>0.3</v>
      </c>
      <c r="AJ3001" s="44">
        <v>0.2</v>
      </c>
      <c r="AK3001" s="151">
        <v>0.2</v>
      </c>
      <c r="AL3001" s="151">
        <v>0.21</v>
      </c>
      <c r="AM3001" s="147">
        <f t="shared" si="118"/>
        <v>0.41000000000000003</v>
      </c>
      <c r="AN3001" t="s">
        <v>1563</v>
      </c>
      <c r="AO3001" s="18" t="s">
        <v>1565</v>
      </c>
      <c r="AP3001" t="s">
        <v>119</v>
      </c>
    </row>
    <row r="3002" spans="1:42" customFormat="1" x14ac:dyDescent="0.3">
      <c r="A3002" s="148" t="s">
        <v>8319</v>
      </c>
      <c r="B3002" t="s">
        <v>8320</v>
      </c>
      <c r="C3002" s="148" t="s">
        <v>9496</v>
      </c>
      <c r="D3002" t="s">
        <v>9497</v>
      </c>
      <c r="E3002" s="148" t="s">
        <v>9498</v>
      </c>
      <c r="F3002" t="s">
        <v>9499</v>
      </c>
      <c r="G3002" s="148" t="s">
        <v>10049</v>
      </c>
      <c r="H3002" t="s">
        <v>10050</v>
      </c>
      <c r="K3002" s="148" t="s">
        <v>11559</v>
      </c>
      <c r="L3002" t="s">
        <v>11560</v>
      </c>
      <c r="M3002" s="1" t="s">
        <v>11563</v>
      </c>
      <c r="N3002" s="1">
        <v>7</v>
      </c>
      <c r="O3002" s="1">
        <v>40</v>
      </c>
      <c r="P3002" s="3">
        <v>40</v>
      </c>
      <c r="Q3002" s="3">
        <v>40</v>
      </c>
      <c r="R3002" s="3">
        <v>40</v>
      </c>
      <c r="S3002" s="3">
        <v>40</v>
      </c>
      <c r="T3002" t="s">
        <v>1563</v>
      </c>
      <c r="U3002" t="s">
        <v>1565</v>
      </c>
      <c r="V3002" t="s">
        <v>11564</v>
      </c>
      <c r="W3002" s="45">
        <v>1</v>
      </c>
      <c r="X3002" s="45">
        <v>1</v>
      </c>
      <c r="Y3002" s="45">
        <v>1</v>
      </c>
      <c r="Z3002" s="45">
        <v>1</v>
      </c>
      <c r="AA3002" s="45">
        <v>1</v>
      </c>
      <c r="AB3002" s="45"/>
      <c r="AC3002" s="150">
        <v>1</v>
      </c>
      <c r="AD3002" s="150">
        <v>1</v>
      </c>
      <c r="AE3002" s="49">
        <f t="shared" si="119"/>
        <v>0.875</v>
      </c>
      <c r="AF3002" s="44">
        <v>1</v>
      </c>
      <c r="AG3002" s="17">
        <v>0</v>
      </c>
      <c r="AH3002" s="44">
        <v>0.4</v>
      </c>
      <c r="AI3002" s="44">
        <v>0.4</v>
      </c>
      <c r="AJ3002" s="44">
        <v>0.4</v>
      </c>
      <c r="AK3002" s="151">
        <v>0.4</v>
      </c>
      <c r="AL3002" s="151">
        <v>0.4</v>
      </c>
      <c r="AM3002" s="147">
        <f t="shared" si="118"/>
        <v>0.8</v>
      </c>
      <c r="AN3002" t="s">
        <v>1563</v>
      </c>
      <c r="AO3002" s="18" t="s">
        <v>1565</v>
      </c>
      <c r="AP3002" t="s">
        <v>119</v>
      </c>
    </row>
    <row r="3003" spans="1:42" customFormat="1" x14ac:dyDescent="0.3">
      <c r="A3003" s="148" t="s">
        <v>8319</v>
      </c>
      <c r="B3003" t="s">
        <v>8320</v>
      </c>
      <c r="C3003" s="148" t="s">
        <v>9496</v>
      </c>
      <c r="D3003" t="s">
        <v>9497</v>
      </c>
      <c r="E3003" s="148" t="s">
        <v>9498</v>
      </c>
      <c r="F3003" t="s">
        <v>9499</v>
      </c>
      <c r="G3003" s="148" t="s">
        <v>10049</v>
      </c>
      <c r="H3003" t="s">
        <v>10050</v>
      </c>
      <c r="K3003" s="148" t="s">
        <v>11565</v>
      </c>
      <c r="L3003" t="s">
        <v>11566</v>
      </c>
      <c r="M3003" s="1" t="s">
        <v>11567</v>
      </c>
      <c r="N3003" s="1">
        <v>23</v>
      </c>
      <c r="O3003" s="1">
        <v>200</v>
      </c>
      <c r="P3003" s="3">
        <v>205</v>
      </c>
      <c r="Q3003" s="3">
        <v>210</v>
      </c>
      <c r="R3003" s="3">
        <v>215</v>
      </c>
      <c r="S3003" s="3">
        <v>220</v>
      </c>
      <c r="T3003" t="s">
        <v>1563</v>
      </c>
      <c r="U3003" t="s">
        <v>1565</v>
      </c>
      <c r="V3003" s="378" t="s">
        <v>11568</v>
      </c>
      <c r="W3003" s="45"/>
      <c r="X3003" s="45"/>
      <c r="Y3003" s="45"/>
      <c r="Z3003" s="45"/>
      <c r="AA3003" s="45"/>
      <c r="AB3003" s="45"/>
      <c r="AC3003" s="150">
        <v>0</v>
      </c>
      <c r="AD3003" s="150">
        <v>0</v>
      </c>
      <c r="AE3003" s="49">
        <f t="shared" si="119"/>
        <v>0</v>
      </c>
      <c r="AF3003" s="44"/>
      <c r="AG3003" s="17">
        <v>0</v>
      </c>
      <c r="AH3003" s="44">
        <v>0.2</v>
      </c>
      <c r="AI3003" s="44">
        <v>0.2</v>
      </c>
      <c r="AJ3003" s="44">
        <v>0.2</v>
      </c>
      <c r="AK3003" s="151">
        <v>0.2</v>
      </c>
      <c r="AL3003" s="151">
        <v>0.2</v>
      </c>
      <c r="AM3003" s="147">
        <f t="shared" si="118"/>
        <v>0.4</v>
      </c>
      <c r="AN3003" t="s">
        <v>1563</v>
      </c>
      <c r="AO3003" s="18" t="s">
        <v>1565</v>
      </c>
      <c r="AP3003" t="s">
        <v>119</v>
      </c>
    </row>
    <row r="3004" spans="1:42" customFormat="1" x14ac:dyDescent="0.3">
      <c r="A3004" s="148" t="s">
        <v>8319</v>
      </c>
      <c r="B3004" t="s">
        <v>8320</v>
      </c>
      <c r="C3004" s="148" t="s">
        <v>9496</v>
      </c>
      <c r="D3004" t="s">
        <v>9497</v>
      </c>
      <c r="E3004" s="148" t="s">
        <v>9498</v>
      </c>
      <c r="F3004" t="s">
        <v>9499</v>
      </c>
      <c r="G3004" s="148" t="s">
        <v>10049</v>
      </c>
      <c r="H3004" t="s">
        <v>10050</v>
      </c>
      <c r="K3004" s="148" t="s">
        <v>11565</v>
      </c>
      <c r="L3004" t="s">
        <v>11566</v>
      </c>
      <c r="M3004" s="1" t="s">
        <v>11569</v>
      </c>
      <c r="N3004" s="1">
        <v>0</v>
      </c>
      <c r="O3004" s="1">
        <v>4</v>
      </c>
      <c r="P3004" s="3">
        <v>4</v>
      </c>
      <c r="Q3004" s="3">
        <v>8</v>
      </c>
      <c r="R3004" s="3">
        <v>8</v>
      </c>
      <c r="S3004" s="3">
        <v>8</v>
      </c>
      <c r="T3004" t="s">
        <v>1563</v>
      </c>
      <c r="U3004" t="s">
        <v>1565</v>
      </c>
      <c r="V3004" t="s">
        <v>11570</v>
      </c>
      <c r="W3004" s="45">
        <v>1</v>
      </c>
      <c r="X3004" s="45">
        <v>1</v>
      </c>
      <c r="Y3004" s="45">
        <v>1</v>
      </c>
      <c r="Z3004" s="45">
        <v>1</v>
      </c>
      <c r="AA3004" s="45">
        <v>1</v>
      </c>
      <c r="AB3004" s="45">
        <v>0</v>
      </c>
      <c r="AC3004" s="150">
        <v>1</v>
      </c>
      <c r="AD3004" s="150">
        <v>1</v>
      </c>
      <c r="AE3004" s="49">
        <f t="shared" si="119"/>
        <v>0.875</v>
      </c>
      <c r="AF3004" s="44"/>
      <c r="AG3004" s="17">
        <v>0</v>
      </c>
      <c r="AH3004" s="44">
        <v>0.4</v>
      </c>
      <c r="AI3004" s="44">
        <v>0.32</v>
      </c>
      <c r="AJ3004" s="44">
        <v>0.4</v>
      </c>
      <c r="AK3004" s="151">
        <v>0.4</v>
      </c>
      <c r="AL3004" s="151">
        <v>0.4</v>
      </c>
      <c r="AM3004" s="147">
        <f t="shared" si="118"/>
        <v>0.8</v>
      </c>
      <c r="AN3004" t="s">
        <v>1563</v>
      </c>
      <c r="AO3004" s="18" t="s">
        <v>1565</v>
      </c>
      <c r="AP3004" t="s">
        <v>255</v>
      </c>
    </row>
    <row r="3005" spans="1:42" customFormat="1" x14ac:dyDescent="0.3">
      <c r="A3005" s="148" t="s">
        <v>8319</v>
      </c>
      <c r="B3005" t="s">
        <v>8320</v>
      </c>
      <c r="C3005" s="148" t="s">
        <v>9496</v>
      </c>
      <c r="D3005" t="s">
        <v>9497</v>
      </c>
      <c r="E3005" s="148" t="s">
        <v>9498</v>
      </c>
      <c r="F3005" t="s">
        <v>9499</v>
      </c>
      <c r="G3005" s="148" t="s">
        <v>10049</v>
      </c>
      <c r="H3005" t="s">
        <v>10050</v>
      </c>
      <c r="K3005" s="148" t="s">
        <v>11565</v>
      </c>
      <c r="L3005" t="s">
        <v>11566</v>
      </c>
      <c r="M3005" s="1" t="s">
        <v>11571</v>
      </c>
      <c r="N3005" s="1" t="s">
        <v>271</v>
      </c>
      <c r="O3005" s="1">
        <v>10</v>
      </c>
      <c r="P3005" s="3">
        <v>15</v>
      </c>
      <c r="Q3005" s="3">
        <v>20</v>
      </c>
      <c r="R3005" s="3">
        <v>25</v>
      </c>
      <c r="S3005" s="3">
        <v>30</v>
      </c>
      <c r="T3005" t="s">
        <v>1563</v>
      </c>
      <c r="U3005" t="s">
        <v>1565</v>
      </c>
      <c r="V3005" t="s">
        <v>11572</v>
      </c>
      <c r="W3005" s="45">
        <v>1</v>
      </c>
      <c r="X3005" s="45">
        <v>1</v>
      </c>
      <c r="Y3005" s="45">
        <v>1</v>
      </c>
      <c r="Z3005" s="45">
        <v>1</v>
      </c>
      <c r="AA3005" s="45">
        <v>1</v>
      </c>
      <c r="AB3005" s="45">
        <v>1</v>
      </c>
      <c r="AC3005" s="150">
        <v>1</v>
      </c>
      <c r="AD3005" s="150">
        <v>0</v>
      </c>
      <c r="AE3005" s="49">
        <f t="shared" si="119"/>
        <v>0.875</v>
      </c>
      <c r="AF3005" s="44">
        <v>1</v>
      </c>
      <c r="AG3005" s="17">
        <v>0</v>
      </c>
      <c r="AH3005" s="44">
        <v>0.02</v>
      </c>
      <c r="AI3005" s="44">
        <v>0.2</v>
      </c>
      <c r="AJ3005" s="44">
        <v>0.02</v>
      </c>
      <c r="AK3005" s="151">
        <v>0.25</v>
      </c>
      <c r="AL3005" s="151">
        <v>0.3</v>
      </c>
      <c r="AM3005" s="147">
        <f t="shared" si="118"/>
        <v>0.55000000000000004</v>
      </c>
      <c r="AN3005" t="s">
        <v>1563</v>
      </c>
      <c r="AO3005" s="18" t="s">
        <v>1565</v>
      </c>
      <c r="AP3005" t="s">
        <v>119</v>
      </c>
    </row>
    <row r="3006" spans="1:42" customFormat="1" x14ac:dyDescent="0.3">
      <c r="A3006" s="148" t="s">
        <v>8319</v>
      </c>
      <c r="B3006" t="s">
        <v>8320</v>
      </c>
      <c r="C3006" s="148" t="s">
        <v>9496</v>
      </c>
      <c r="D3006" t="s">
        <v>9497</v>
      </c>
      <c r="E3006" s="148" t="s">
        <v>9498</v>
      </c>
      <c r="F3006" t="s">
        <v>9499</v>
      </c>
      <c r="G3006" s="148" t="s">
        <v>10049</v>
      </c>
      <c r="H3006" t="s">
        <v>10050</v>
      </c>
      <c r="K3006" s="148" t="s">
        <v>11565</v>
      </c>
      <c r="L3006" t="s">
        <v>11566</v>
      </c>
      <c r="M3006" s="1" t="s">
        <v>11573</v>
      </c>
      <c r="N3006" s="1">
        <v>4</v>
      </c>
      <c r="O3006" s="1">
        <v>8</v>
      </c>
      <c r="P3006" s="3">
        <v>10</v>
      </c>
      <c r="Q3006" s="3">
        <v>12</v>
      </c>
      <c r="R3006" s="3">
        <v>14</v>
      </c>
      <c r="S3006" s="3">
        <v>14</v>
      </c>
      <c r="T3006" t="s">
        <v>1563</v>
      </c>
      <c r="U3006" t="s">
        <v>1565</v>
      </c>
      <c r="V3006" t="s">
        <v>11574</v>
      </c>
      <c r="W3006" s="45">
        <v>1</v>
      </c>
      <c r="X3006" s="45">
        <v>1</v>
      </c>
      <c r="Y3006" s="45"/>
      <c r="Z3006" s="45">
        <v>1</v>
      </c>
      <c r="AA3006" s="45">
        <v>1</v>
      </c>
      <c r="AB3006" s="45">
        <v>1</v>
      </c>
      <c r="AC3006" s="150">
        <v>1</v>
      </c>
      <c r="AD3006" s="150">
        <v>0</v>
      </c>
      <c r="AE3006" s="49">
        <f t="shared" si="119"/>
        <v>0.75</v>
      </c>
      <c r="AF3006" s="44"/>
      <c r="AG3006" s="17">
        <v>0</v>
      </c>
      <c r="AH3006" s="44">
        <v>0</v>
      </c>
      <c r="AI3006" s="44">
        <v>0</v>
      </c>
      <c r="AJ3006" s="44">
        <v>0</v>
      </c>
      <c r="AK3006" s="151">
        <v>0</v>
      </c>
      <c r="AL3006" s="151">
        <v>0</v>
      </c>
      <c r="AM3006" s="147">
        <f t="shared" si="118"/>
        <v>0</v>
      </c>
      <c r="AN3006" t="s">
        <v>1563</v>
      </c>
      <c r="AO3006" s="18" t="s">
        <v>1565</v>
      </c>
      <c r="AP3006" t="s">
        <v>10732</v>
      </c>
    </row>
    <row r="3007" spans="1:42" customFormat="1" x14ac:dyDescent="0.3">
      <c r="A3007" s="148" t="s">
        <v>8319</v>
      </c>
      <c r="B3007" t="s">
        <v>8320</v>
      </c>
      <c r="C3007" s="148" t="s">
        <v>9496</v>
      </c>
      <c r="D3007" t="s">
        <v>9497</v>
      </c>
      <c r="E3007" s="148" t="s">
        <v>9498</v>
      </c>
      <c r="F3007" t="s">
        <v>9499</v>
      </c>
      <c r="G3007" s="148" t="s">
        <v>10049</v>
      </c>
      <c r="H3007" t="s">
        <v>10050</v>
      </c>
      <c r="K3007" s="148" t="s">
        <v>11565</v>
      </c>
      <c r="L3007" t="s">
        <v>11566</v>
      </c>
      <c r="M3007" s="1" t="s">
        <v>11575</v>
      </c>
      <c r="N3007" s="1">
        <v>2</v>
      </c>
      <c r="O3007" s="1">
        <v>8</v>
      </c>
      <c r="P3007" s="3">
        <v>10</v>
      </c>
      <c r="Q3007" s="3">
        <v>12</v>
      </c>
      <c r="R3007" s="3">
        <v>14</v>
      </c>
      <c r="S3007" s="3">
        <v>14</v>
      </c>
      <c r="T3007" t="s">
        <v>1563</v>
      </c>
      <c r="U3007" t="s">
        <v>1565</v>
      </c>
      <c r="V3007" t="s">
        <v>11576</v>
      </c>
      <c r="W3007" s="45"/>
      <c r="X3007" s="45"/>
      <c r="Y3007" s="45"/>
      <c r="Z3007" s="45"/>
      <c r="AA3007" s="45"/>
      <c r="AB3007" s="45"/>
      <c r="AC3007" s="150">
        <v>0</v>
      </c>
      <c r="AD3007" s="150">
        <v>0</v>
      </c>
      <c r="AE3007" s="49">
        <f t="shared" si="119"/>
        <v>0</v>
      </c>
      <c r="AF3007" s="44"/>
      <c r="AG3007" s="17">
        <v>0</v>
      </c>
      <c r="AH3007" s="44">
        <v>0</v>
      </c>
      <c r="AI3007" s="44">
        <v>0</v>
      </c>
      <c r="AJ3007" s="44">
        <v>0</v>
      </c>
      <c r="AK3007" s="151">
        <v>0</v>
      </c>
      <c r="AL3007" s="151">
        <v>0</v>
      </c>
      <c r="AM3007" s="147">
        <f t="shared" si="118"/>
        <v>0</v>
      </c>
      <c r="AN3007" t="s">
        <v>1563</v>
      </c>
      <c r="AO3007" s="18" t="s">
        <v>1565</v>
      </c>
      <c r="AP3007" t="s">
        <v>119</v>
      </c>
    </row>
    <row r="3008" spans="1:42" customFormat="1" x14ac:dyDescent="0.3">
      <c r="A3008" s="148" t="s">
        <v>8319</v>
      </c>
      <c r="B3008" t="s">
        <v>8320</v>
      </c>
      <c r="C3008" s="148" t="s">
        <v>9496</v>
      </c>
      <c r="D3008" t="s">
        <v>9497</v>
      </c>
      <c r="E3008" s="148" t="s">
        <v>9498</v>
      </c>
      <c r="F3008" t="s">
        <v>9499</v>
      </c>
      <c r="G3008" s="148" t="s">
        <v>10049</v>
      </c>
      <c r="H3008" t="s">
        <v>10050</v>
      </c>
      <c r="K3008" s="148" t="s">
        <v>11577</v>
      </c>
      <c r="L3008" t="s">
        <v>11578</v>
      </c>
      <c r="M3008" s="1" t="s">
        <v>11579</v>
      </c>
      <c r="N3008" s="1">
        <v>1</v>
      </c>
      <c r="O3008" s="1">
        <v>4</v>
      </c>
      <c r="P3008" s="3">
        <v>4</v>
      </c>
      <c r="Q3008" s="3">
        <v>4</v>
      </c>
      <c r="R3008" s="3">
        <v>4</v>
      </c>
      <c r="S3008" s="3">
        <v>4</v>
      </c>
      <c r="T3008" t="s">
        <v>1563</v>
      </c>
      <c r="U3008" t="s">
        <v>1565</v>
      </c>
      <c r="V3008" t="s">
        <v>11580</v>
      </c>
      <c r="W3008" s="45">
        <v>1</v>
      </c>
      <c r="X3008" s="45">
        <v>0</v>
      </c>
      <c r="Y3008" s="45">
        <v>1</v>
      </c>
      <c r="Z3008" s="45">
        <v>1</v>
      </c>
      <c r="AA3008" s="45">
        <v>1</v>
      </c>
      <c r="AB3008" s="45">
        <v>1</v>
      </c>
      <c r="AC3008" s="150">
        <v>1</v>
      </c>
      <c r="AD3008" s="150">
        <v>0</v>
      </c>
      <c r="AE3008" s="49">
        <f t="shared" si="119"/>
        <v>0.75</v>
      </c>
      <c r="AF3008" s="44"/>
      <c r="AG3008" s="17">
        <v>0</v>
      </c>
      <c r="AH3008" s="44">
        <v>0.1</v>
      </c>
      <c r="AI3008" s="44">
        <v>0.15</v>
      </c>
      <c r="AJ3008" s="44">
        <v>0.15</v>
      </c>
      <c r="AK3008" s="151">
        <v>0.15</v>
      </c>
      <c r="AL3008" s="151">
        <v>0.15</v>
      </c>
      <c r="AM3008" s="147">
        <f t="shared" si="118"/>
        <v>0.3</v>
      </c>
      <c r="AN3008" t="s">
        <v>1563</v>
      </c>
      <c r="AO3008" s="18" t="s">
        <v>1565</v>
      </c>
      <c r="AP3008" t="s">
        <v>119</v>
      </c>
    </row>
    <row r="3009" spans="1:42" customFormat="1" x14ac:dyDescent="0.3">
      <c r="A3009" s="148" t="s">
        <v>8319</v>
      </c>
      <c r="B3009" t="s">
        <v>8320</v>
      </c>
      <c r="C3009" s="148" t="s">
        <v>9496</v>
      </c>
      <c r="D3009" t="s">
        <v>9497</v>
      </c>
      <c r="E3009" s="148" t="s">
        <v>9498</v>
      </c>
      <c r="F3009" t="s">
        <v>9499</v>
      </c>
      <c r="G3009" s="148" t="s">
        <v>10049</v>
      </c>
      <c r="H3009" t="s">
        <v>10050</v>
      </c>
      <c r="K3009" s="148" t="s">
        <v>11577</v>
      </c>
      <c r="L3009" t="s">
        <v>11578</v>
      </c>
      <c r="M3009" s="1" t="s">
        <v>11581</v>
      </c>
      <c r="N3009" s="1">
        <v>1</v>
      </c>
      <c r="O3009" s="1">
        <v>8</v>
      </c>
      <c r="P3009" s="3">
        <v>8</v>
      </c>
      <c r="Q3009" s="3">
        <v>8</v>
      </c>
      <c r="R3009" s="3">
        <v>8</v>
      </c>
      <c r="S3009" s="3">
        <v>8</v>
      </c>
      <c r="T3009" t="s">
        <v>1563</v>
      </c>
      <c r="U3009" t="s">
        <v>1565</v>
      </c>
      <c r="V3009" t="s">
        <v>11582</v>
      </c>
      <c r="W3009" s="45">
        <v>1</v>
      </c>
      <c r="X3009" s="45">
        <v>0</v>
      </c>
      <c r="Y3009" s="45">
        <v>1</v>
      </c>
      <c r="Z3009" s="45">
        <v>1</v>
      </c>
      <c r="AA3009" s="45">
        <v>1</v>
      </c>
      <c r="AB3009" s="45">
        <v>1</v>
      </c>
      <c r="AC3009" s="150">
        <v>1</v>
      </c>
      <c r="AD3009" s="150">
        <v>1</v>
      </c>
      <c r="AE3009" s="49">
        <f t="shared" si="119"/>
        <v>0.875</v>
      </c>
      <c r="AF3009" s="44">
        <v>1</v>
      </c>
      <c r="AG3009" s="17">
        <v>0</v>
      </c>
      <c r="AH3009" s="44">
        <v>0.4</v>
      </c>
      <c r="AI3009" s="44">
        <v>0.4</v>
      </c>
      <c r="AJ3009" s="44">
        <v>0.4</v>
      </c>
      <c r="AK3009" s="151">
        <v>0.4</v>
      </c>
      <c r="AL3009" s="151">
        <v>0.4</v>
      </c>
      <c r="AM3009" s="147">
        <f t="shared" si="118"/>
        <v>0.8</v>
      </c>
      <c r="AN3009" t="s">
        <v>1563</v>
      </c>
      <c r="AO3009" s="18" t="s">
        <v>1565</v>
      </c>
      <c r="AP3009" t="s">
        <v>119</v>
      </c>
    </row>
    <row r="3010" spans="1:42" customFormat="1" x14ac:dyDescent="0.3">
      <c r="A3010" s="148" t="s">
        <v>8319</v>
      </c>
      <c r="B3010" t="s">
        <v>8320</v>
      </c>
      <c r="C3010" s="148" t="s">
        <v>9496</v>
      </c>
      <c r="D3010" t="s">
        <v>9497</v>
      </c>
      <c r="E3010" s="148" t="s">
        <v>9498</v>
      </c>
      <c r="F3010" t="s">
        <v>9499</v>
      </c>
      <c r="G3010" s="148" t="s">
        <v>10049</v>
      </c>
      <c r="H3010" t="s">
        <v>10050</v>
      </c>
      <c r="K3010" s="148" t="s">
        <v>11577</v>
      </c>
      <c r="L3010" t="s">
        <v>11578</v>
      </c>
      <c r="M3010" s="1" t="s">
        <v>11583</v>
      </c>
      <c r="N3010" s="1">
        <v>1</v>
      </c>
      <c r="O3010" s="1">
        <v>1</v>
      </c>
      <c r="P3010" s="3">
        <v>1</v>
      </c>
      <c r="Q3010" s="3">
        <v>1</v>
      </c>
      <c r="R3010" s="3">
        <v>1</v>
      </c>
      <c r="S3010" s="3">
        <v>1</v>
      </c>
      <c r="T3010" t="s">
        <v>1563</v>
      </c>
      <c r="U3010" t="s">
        <v>1565</v>
      </c>
      <c r="W3010" s="45"/>
      <c r="X3010" s="45"/>
      <c r="Y3010" s="45"/>
      <c r="Z3010" s="45"/>
      <c r="AA3010" s="45"/>
      <c r="AB3010" s="45"/>
      <c r="AC3010" s="150">
        <v>0</v>
      </c>
      <c r="AD3010" s="150">
        <v>0</v>
      </c>
      <c r="AE3010" s="49">
        <f t="shared" si="119"/>
        <v>0</v>
      </c>
      <c r="AF3010" s="4"/>
      <c r="AG3010" s="17">
        <v>0</v>
      </c>
      <c r="AH3010" s="4"/>
      <c r="AI3010" s="4"/>
      <c r="AJ3010" s="4"/>
      <c r="AK3010" s="46"/>
      <c r="AL3010" s="46"/>
      <c r="AM3010" s="147">
        <f t="shared" si="118"/>
        <v>0</v>
      </c>
      <c r="AO3010" s="18"/>
    </row>
    <row r="3011" spans="1:42" customFormat="1" x14ac:dyDescent="0.3">
      <c r="A3011" s="148" t="s">
        <v>8319</v>
      </c>
      <c r="B3011" t="s">
        <v>8320</v>
      </c>
      <c r="C3011" s="148" t="s">
        <v>9496</v>
      </c>
      <c r="D3011" t="s">
        <v>9497</v>
      </c>
      <c r="E3011" s="148" t="s">
        <v>9498</v>
      </c>
      <c r="F3011" t="s">
        <v>9499</v>
      </c>
      <c r="G3011" s="148" t="s">
        <v>10049</v>
      </c>
      <c r="H3011" t="s">
        <v>10050</v>
      </c>
      <c r="K3011" s="148" t="s">
        <v>11584</v>
      </c>
      <c r="L3011" t="s">
        <v>11585</v>
      </c>
      <c r="M3011" s="1" t="s">
        <v>11586</v>
      </c>
      <c r="N3011" s="1">
        <v>0</v>
      </c>
      <c r="O3011" s="1">
        <v>0</v>
      </c>
      <c r="P3011" s="3">
        <v>1</v>
      </c>
      <c r="Q3011" s="3">
        <v>1</v>
      </c>
      <c r="R3011" s="3">
        <v>1</v>
      </c>
      <c r="S3011" s="3">
        <v>1</v>
      </c>
      <c r="T3011" t="s">
        <v>1563</v>
      </c>
      <c r="U3011" t="s">
        <v>1565</v>
      </c>
      <c r="V3011" t="s">
        <v>11587</v>
      </c>
      <c r="W3011" s="45"/>
      <c r="X3011" s="45"/>
      <c r="Y3011" s="45"/>
      <c r="Z3011" s="45"/>
      <c r="AA3011" s="45"/>
      <c r="AB3011" s="45"/>
      <c r="AC3011" s="150">
        <v>0</v>
      </c>
      <c r="AD3011" s="150">
        <v>0</v>
      </c>
      <c r="AE3011" s="49">
        <f t="shared" si="119"/>
        <v>0</v>
      </c>
      <c r="AF3011" s="44"/>
      <c r="AG3011" s="17">
        <v>0</v>
      </c>
      <c r="AH3011" s="44">
        <v>0</v>
      </c>
      <c r="AI3011" s="44">
        <v>0</v>
      </c>
      <c r="AJ3011" s="44">
        <v>0</v>
      </c>
      <c r="AK3011" s="151">
        <v>0</v>
      </c>
      <c r="AL3011" s="151">
        <v>0</v>
      </c>
      <c r="AM3011" s="147">
        <f t="shared" si="118"/>
        <v>0</v>
      </c>
      <c r="AN3011" t="s">
        <v>1563</v>
      </c>
      <c r="AO3011" s="18" t="s">
        <v>1565</v>
      </c>
      <c r="AP3011" t="s">
        <v>119</v>
      </c>
    </row>
    <row r="3012" spans="1:42" customFormat="1" x14ac:dyDescent="0.3">
      <c r="A3012" s="148" t="s">
        <v>8319</v>
      </c>
      <c r="B3012" t="s">
        <v>8320</v>
      </c>
      <c r="C3012" s="148" t="s">
        <v>9496</v>
      </c>
      <c r="D3012" t="s">
        <v>9497</v>
      </c>
      <c r="E3012" s="148" t="s">
        <v>9498</v>
      </c>
      <c r="F3012" t="s">
        <v>9499</v>
      </c>
      <c r="G3012" s="148" t="s">
        <v>10049</v>
      </c>
      <c r="H3012" t="s">
        <v>10050</v>
      </c>
      <c r="K3012" s="148" t="s">
        <v>11584</v>
      </c>
      <c r="L3012" t="s">
        <v>11585</v>
      </c>
      <c r="M3012" s="1" t="s">
        <v>11588</v>
      </c>
      <c r="N3012" s="1">
        <v>0</v>
      </c>
      <c r="O3012" s="1">
        <v>0</v>
      </c>
      <c r="P3012" s="3">
        <v>1</v>
      </c>
      <c r="Q3012" s="3">
        <v>1</v>
      </c>
      <c r="R3012" s="3">
        <v>1</v>
      </c>
      <c r="S3012" s="3">
        <v>1</v>
      </c>
      <c r="T3012" t="s">
        <v>1563</v>
      </c>
      <c r="U3012" t="s">
        <v>1565</v>
      </c>
      <c r="V3012" t="s">
        <v>11589</v>
      </c>
      <c r="W3012" s="45"/>
      <c r="X3012" s="45"/>
      <c r="Y3012" s="45"/>
      <c r="Z3012" s="45"/>
      <c r="AA3012" s="45"/>
      <c r="AB3012" s="45"/>
      <c r="AC3012" s="150">
        <v>0</v>
      </c>
      <c r="AD3012" s="150">
        <v>0</v>
      </c>
      <c r="AE3012" s="49">
        <f t="shared" si="119"/>
        <v>0</v>
      </c>
      <c r="AF3012" s="44"/>
      <c r="AG3012" s="17">
        <v>0</v>
      </c>
      <c r="AH3012" s="44">
        <v>0</v>
      </c>
      <c r="AI3012" s="44">
        <v>0</v>
      </c>
      <c r="AJ3012" s="44">
        <v>0</v>
      </c>
      <c r="AK3012" s="151">
        <v>0</v>
      </c>
      <c r="AL3012" s="151">
        <v>0</v>
      </c>
      <c r="AM3012" s="147">
        <f t="shared" si="118"/>
        <v>0</v>
      </c>
      <c r="AN3012" t="s">
        <v>1563</v>
      </c>
      <c r="AO3012" s="18" t="s">
        <v>1565</v>
      </c>
      <c r="AP3012" t="s">
        <v>119</v>
      </c>
    </row>
    <row r="3013" spans="1:42" customFormat="1" x14ac:dyDescent="0.3">
      <c r="A3013" s="148" t="s">
        <v>8319</v>
      </c>
      <c r="B3013" t="s">
        <v>8320</v>
      </c>
      <c r="C3013" s="148" t="s">
        <v>9496</v>
      </c>
      <c r="D3013" t="s">
        <v>9497</v>
      </c>
      <c r="E3013" s="148" t="s">
        <v>9498</v>
      </c>
      <c r="F3013" t="s">
        <v>9499</v>
      </c>
      <c r="G3013" s="148" t="s">
        <v>10049</v>
      </c>
      <c r="H3013" t="s">
        <v>10050</v>
      </c>
      <c r="K3013" s="148" t="s">
        <v>11590</v>
      </c>
      <c r="L3013" t="s">
        <v>11591</v>
      </c>
      <c r="M3013" s="1"/>
      <c r="N3013" s="1"/>
      <c r="O3013" s="1"/>
      <c r="P3013" s="3"/>
      <c r="Q3013" s="3"/>
      <c r="R3013" s="3"/>
      <c r="S3013" s="3"/>
      <c r="U3013" t="e">
        <v>#N/A</v>
      </c>
      <c r="V3013" t="s">
        <v>11592</v>
      </c>
      <c r="W3013" s="45"/>
      <c r="X3013" s="45"/>
      <c r="Y3013" s="45"/>
      <c r="Z3013" s="45"/>
      <c r="AA3013" s="45"/>
      <c r="AB3013" s="45"/>
      <c r="AC3013" s="150">
        <v>0</v>
      </c>
      <c r="AD3013" s="150">
        <v>0</v>
      </c>
      <c r="AE3013" s="49">
        <f t="shared" si="119"/>
        <v>0</v>
      </c>
      <c r="AF3013" s="44"/>
      <c r="AG3013" s="17">
        <v>0</v>
      </c>
      <c r="AH3013" s="44">
        <v>6.5789999999999997</v>
      </c>
      <c r="AI3013" s="44">
        <v>6.5789999999999997</v>
      </c>
      <c r="AJ3013" s="44">
        <v>6.5789999999999997</v>
      </c>
      <c r="AK3013" s="151">
        <v>6.5789999999999997</v>
      </c>
      <c r="AL3013" s="151">
        <v>6.5789999999999997</v>
      </c>
      <c r="AM3013" s="147">
        <f t="shared" si="118"/>
        <v>13.157999999999999</v>
      </c>
      <c r="AN3013" t="s">
        <v>1563</v>
      </c>
      <c r="AO3013" s="18" t="s">
        <v>1565</v>
      </c>
      <c r="AP3013" t="s">
        <v>119</v>
      </c>
    </row>
    <row r="3014" spans="1:42" customFormat="1" x14ac:dyDescent="0.3">
      <c r="A3014" s="148" t="s">
        <v>8319</v>
      </c>
      <c r="B3014" t="s">
        <v>8320</v>
      </c>
      <c r="C3014" s="148" t="s">
        <v>9496</v>
      </c>
      <c r="D3014" t="s">
        <v>9497</v>
      </c>
      <c r="E3014" s="148" t="s">
        <v>9498</v>
      </c>
      <c r="F3014" t="s">
        <v>9499</v>
      </c>
      <c r="G3014" s="148" t="s">
        <v>10049</v>
      </c>
      <c r="H3014" t="s">
        <v>10050</v>
      </c>
      <c r="K3014" s="148" t="s">
        <v>10741</v>
      </c>
      <c r="L3014" t="s">
        <v>10742</v>
      </c>
      <c r="M3014" s="1" t="s">
        <v>11593</v>
      </c>
      <c r="N3014" s="1">
        <v>0</v>
      </c>
      <c r="O3014" s="1">
        <v>2</v>
      </c>
      <c r="P3014" s="3">
        <v>2</v>
      </c>
      <c r="Q3014" s="3">
        <v>1</v>
      </c>
      <c r="R3014" s="3">
        <v>1</v>
      </c>
      <c r="S3014" s="3">
        <v>1</v>
      </c>
      <c r="T3014" t="s">
        <v>11594</v>
      </c>
      <c r="U3014" t="e">
        <v>#N/A</v>
      </c>
      <c r="V3014" t="s">
        <v>11595</v>
      </c>
      <c r="W3014" s="45"/>
      <c r="X3014" s="45"/>
      <c r="Y3014" s="45"/>
      <c r="Z3014" s="45"/>
      <c r="AA3014" s="45"/>
      <c r="AB3014" s="45"/>
      <c r="AC3014" s="150">
        <v>0</v>
      </c>
      <c r="AD3014" s="150">
        <v>0</v>
      </c>
      <c r="AE3014" s="49">
        <f t="shared" si="119"/>
        <v>0</v>
      </c>
      <c r="AF3014" s="44"/>
      <c r="AG3014" s="17">
        <v>0</v>
      </c>
      <c r="AH3014" s="44">
        <v>0.2</v>
      </c>
      <c r="AI3014" s="44">
        <v>0.04</v>
      </c>
      <c r="AJ3014" s="44">
        <v>0.01</v>
      </c>
      <c r="AK3014" s="151">
        <v>0.01</v>
      </c>
      <c r="AL3014" s="151">
        <v>0.01</v>
      </c>
      <c r="AM3014" s="147">
        <f t="shared" si="118"/>
        <v>0.02</v>
      </c>
      <c r="AN3014" s="18" t="s">
        <v>771</v>
      </c>
      <c r="AO3014" s="18" t="s">
        <v>773</v>
      </c>
      <c r="AP3014" t="s">
        <v>10746</v>
      </c>
    </row>
    <row r="3015" spans="1:42" customFormat="1" x14ac:dyDescent="0.3">
      <c r="A3015" s="148" t="s">
        <v>8319</v>
      </c>
      <c r="B3015" t="s">
        <v>8320</v>
      </c>
      <c r="C3015" s="148" t="s">
        <v>9496</v>
      </c>
      <c r="D3015" t="s">
        <v>9497</v>
      </c>
      <c r="E3015" s="148" t="s">
        <v>9498</v>
      </c>
      <c r="F3015" t="s">
        <v>9499</v>
      </c>
      <c r="G3015" s="148" t="s">
        <v>9546</v>
      </c>
      <c r="H3015" t="s">
        <v>9547</v>
      </c>
      <c r="K3015" s="148" t="s">
        <v>11596</v>
      </c>
      <c r="L3015" t="s">
        <v>11597</v>
      </c>
      <c r="M3015" s="1"/>
      <c r="N3015" s="1"/>
      <c r="O3015" s="1"/>
      <c r="P3015" s="3"/>
      <c r="Q3015" s="3"/>
      <c r="R3015" s="3"/>
      <c r="S3015" s="3"/>
      <c r="U3015" t="e">
        <v>#N/A</v>
      </c>
      <c r="W3015" s="45"/>
      <c r="X3015" s="45"/>
      <c r="Y3015" s="45"/>
      <c r="Z3015" s="45"/>
      <c r="AA3015" s="45"/>
      <c r="AB3015" s="45"/>
      <c r="AC3015" s="150">
        <v>0</v>
      </c>
      <c r="AD3015" s="150">
        <v>0</v>
      </c>
      <c r="AE3015" s="49">
        <f t="shared" si="119"/>
        <v>0</v>
      </c>
      <c r="AF3015" s="17"/>
      <c r="AG3015" s="17">
        <v>0</v>
      </c>
      <c r="AH3015" s="17">
        <v>0</v>
      </c>
      <c r="AI3015" s="17">
        <v>0</v>
      </c>
      <c r="AJ3015" s="17">
        <v>0</v>
      </c>
      <c r="AK3015" s="153">
        <v>0</v>
      </c>
      <c r="AL3015" s="154">
        <v>0</v>
      </c>
      <c r="AM3015" s="147">
        <f t="shared" si="118"/>
        <v>0</v>
      </c>
      <c r="AN3015" s="18" t="s">
        <v>771</v>
      </c>
      <c r="AO3015" s="18" t="s">
        <v>773</v>
      </c>
    </row>
    <row r="3016" spans="1:42" customFormat="1" x14ac:dyDescent="0.3">
      <c r="A3016" s="148" t="s">
        <v>8319</v>
      </c>
      <c r="B3016" t="s">
        <v>8320</v>
      </c>
      <c r="C3016" s="155" t="s">
        <v>9496</v>
      </c>
      <c r="D3016" t="s">
        <v>9497</v>
      </c>
      <c r="E3016" t="s">
        <v>9498</v>
      </c>
      <c r="F3016" t="s">
        <v>9499</v>
      </c>
      <c r="G3016" s="148" t="s">
        <v>11598</v>
      </c>
      <c r="H3016" t="s">
        <v>11599</v>
      </c>
      <c r="K3016" s="148" t="s">
        <v>11600</v>
      </c>
      <c r="L3016" t="s">
        <v>11601</v>
      </c>
      <c r="M3016" s="1" t="s">
        <v>11602</v>
      </c>
      <c r="N3016" s="1">
        <v>0</v>
      </c>
      <c r="O3016" s="1">
        <v>1</v>
      </c>
      <c r="P3016" s="3" t="s">
        <v>271</v>
      </c>
      <c r="Q3016" s="3" t="s">
        <v>271</v>
      </c>
      <c r="R3016" s="3" t="s">
        <v>271</v>
      </c>
      <c r="S3016" s="3" t="s">
        <v>271</v>
      </c>
      <c r="T3016" t="s">
        <v>771</v>
      </c>
      <c r="U3016" t="s">
        <v>773</v>
      </c>
      <c r="W3016" s="45"/>
      <c r="X3016" s="45"/>
      <c r="Y3016" s="45"/>
      <c r="Z3016" s="45"/>
      <c r="AA3016" s="45"/>
      <c r="AB3016" s="45"/>
      <c r="AC3016" s="150">
        <v>0</v>
      </c>
      <c r="AD3016" s="150">
        <v>0</v>
      </c>
      <c r="AE3016" s="49">
        <f t="shared" si="119"/>
        <v>0</v>
      </c>
      <c r="AF3016" s="17"/>
      <c r="AG3016" s="17">
        <v>0</v>
      </c>
      <c r="AH3016" s="17"/>
      <c r="AI3016" s="17"/>
      <c r="AJ3016" s="17"/>
      <c r="AK3016" s="153"/>
      <c r="AL3016" s="154"/>
      <c r="AM3016" s="147">
        <f t="shared" si="118"/>
        <v>0</v>
      </c>
      <c r="AN3016" s="18"/>
      <c r="AO3016" s="18"/>
    </row>
    <row r="3017" spans="1:42" customFormat="1" x14ac:dyDescent="0.3">
      <c r="A3017" s="148" t="s">
        <v>8319</v>
      </c>
      <c r="B3017" t="s">
        <v>8320</v>
      </c>
      <c r="C3017" s="155" t="s">
        <v>9496</v>
      </c>
      <c r="D3017" t="s">
        <v>9497</v>
      </c>
      <c r="E3017" t="s">
        <v>9498</v>
      </c>
      <c r="F3017" t="s">
        <v>9499</v>
      </c>
      <c r="G3017" s="148" t="s">
        <v>11598</v>
      </c>
      <c r="H3017" t="s">
        <v>11599</v>
      </c>
      <c r="K3017" s="155" t="s">
        <v>11603</v>
      </c>
      <c r="L3017" t="s">
        <v>11525</v>
      </c>
      <c r="M3017" s="1" t="s">
        <v>11604</v>
      </c>
      <c r="N3017" s="1">
        <v>0</v>
      </c>
      <c r="O3017" s="1">
        <v>1</v>
      </c>
      <c r="P3017" s="3">
        <v>1</v>
      </c>
      <c r="Q3017" s="3">
        <v>1</v>
      </c>
      <c r="R3017" s="3">
        <v>1</v>
      </c>
      <c r="S3017" s="3">
        <v>1</v>
      </c>
      <c r="T3017" t="s">
        <v>771</v>
      </c>
      <c r="U3017" t="s">
        <v>773</v>
      </c>
      <c r="W3017" s="45"/>
      <c r="X3017" s="45"/>
      <c r="Y3017" s="45"/>
      <c r="Z3017" s="45"/>
      <c r="AA3017" s="45"/>
      <c r="AB3017" s="45"/>
      <c r="AC3017" s="150">
        <v>0</v>
      </c>
      <c r="AD3017" s="150">
        <v>0</v>
      </c>
      <c r="AE3017" s="49">
        <f t="shared" si="119"/>
        <v>0</v>
      </c>
      <c r="AF3017" s="17"/>
      <c r="AG3017" s="17">
        <v>0</v>
      </c>
      <c r="AH3017" s="17"/>
      <c r="AI3017" s="17"/>
      <c r="AJ3017" s="17"/>
      <c r="AK3017" s="153"/>
      <c r="AL3017" s="154"/>
      <c r="AM3017" s="147">
        <f t="shared" si="118"/>
        <v>0</v>
      </c>
      <c r="AN3017" s="18"/>
      <c r="AO3017" s="18"/>
    </row>
    <row r="3018" spans="1:42" customFormat="1" x14ac:dyDescent="0.3">
      <c r="A3018" s="148" t="s">
        <v>8319</v>
      </c>
      <c r="B3018" t="s">
        <v>8320</v>
      </c>
      <c r="C3018" s="155" t="s">
        <v>9496</v>
      </c>
      <c r="D3018" t="s">
        <v>9497</v>
      </c>
      <c r="E3018" t="s">
        <v>9498</v>
      </c>
      <c r="F3018" t="s">
        <v>9499</v>
      </c>
      <c r="G3018" s="148" t="s">
        <v>11598</v>
      </c>
      <c r="H3018" t="s">
        <v>11599</v>
      </c>
      <c r="K3018" s="155" t="s">
        <v>11603</v>
      </c>
      <c r="L3018" t="s">
        <v>11525</v>
      </c>
      <c r="M3018" s="1" t="s">
        <v>11605</v>
      </c>
      <c r="N3018" s="1">
        <v>0</v>
      </c>
      <c r="O3018" s="1">
        <v>0</v>
      </c>
      <c r="P3018" s="3">
        <v>805200</v>
      </c>
      <c r="Q3018" s="3">
        <v>1600640</v>
      </c>
      <c r="R3018" s="3">
        <v>3221280</v>
      </c>
      <c r="S3018" s="3">
        <v>4474000</v>
      </c>
      <c r="T3018" t="s">
        <v>771</v>
      </c>
      <c r="U3018" t="s">
        <v>773</v>
      </c>
      <c r="W3018" s="45"/>
      <c r="X3018" s="45"/>
      <c r="Y3018" s="45"/>
      <c r="Z3018" s="45"/>
      <c r="AA3018" s="45"/>
      <c r="AB3018" s="45"/>
      <c r="AC3018" s="150">
        <v>0</v>
      </c>
      <c r="AD3018" s="150">
        <v>0</v>
      </c>
      <c r="AE3018" s="49">
        <f t="shared" si="119"/>
        <v>0</v>
      </c>
      <c r="AF3018" s="17"/>
      <c r="AG3018" s="17">
        <v>0</v>
      </c>
      <c r="AH3018" s="17"/>
      <c r="AI3018" s="17"/>
      <c r="AJ3018" s="17"/>
      <c r="AK3018" s="153"/>
      <c r="AL3018" s="154"/>
      <c r="AM3018" s="147">
        <f t="shared" si="118"/>
        <v>0</v>
      </c>
      <c r="AN3018" s="18"/>
      <c r="AO3018" s="18"/>
    </row>
    <row r="3019" spans="1:42" customFormat="1" x14ac:dyDescent="0.3">
      <c r="A3019" s="148" t="s">
        <v>8319</v>
      </c>
      <c r="B3019" t="s">
        <v>8320</v>
      </c>
      <c r="C3019" s="155" t="s">
        <v>9496</v>
      </c>
      <c r="D3019" t="s">
        <v>9497</v>
      </c>
      <c r="E3019" t="s">
        <v>9498</v>
      </c>
      <c r="F3019" t="s">
        <v>9499</v>
      </c>
      <c r="G3019" s="148" t="s">
        <v>11598</v>
      </c>
      <c r="H3019" t="s">
        <v>11599</v>
      </c>
      <c r="K3019" s="155" t="s">
        <v>11606</v>
      </c>
      <c r="L3019" t="s">
        <v>11607</v>
      </c>
      <c r="M3019" s="1" t="s">
        <v>11608</v>
      </c>
      <c r="N3019" s="1">
        <v>1</v>
      </c>
      <c r="O3019" s="1">
        <v>1</v>
      </c>
      <c r="P3019" s="3">
        <v>2</v>
      </c>
      <c r="Q3019" s="3">
        <v>3</v>
      </c>
      <c r="R3019" s="3">
        <v>2</v>
      </c>
      <c r="S3019" s="3">
        <v>1</v>
      </c>
      <c r="T3019" t="s">
        <v>771</v>
      </c>
      <c r="U3019" t="s">
        <v>773</v>
      </c>
      <c r="W3019" s="45"/>
      <c r="X3019" s="45"/>
      <c r="Y3019" s="45"/>
      <c r="Z3019" s="45"/>
      <c r="AA3019" s="45"/>
      <c r="AB3019" s="45"/>
      <c r="AC3019" s="150">
        <v>0</v>
      </c>
      <c r="AD3019" s="150">
        <v>0</v>
      </c>
      <c r="AE3019" s="49">
        <f t="shared" si="119"/>
        <v>0</v>
      </c>
      <c r="AF3019" s="17"/>
      <c r="AG3019" s="17">
        <v>0</v>
      </c>
      <c r="AH3019" s="17"/>
      <c r="AI3019" s="17"/>
      <c r="AJ3019" s="17"/>
      <c r="AK3019" s="153"/>
      <c r="AL3019" s="154"/>
      <c r="AM3019" s="147">
        <f t="shared" si="118"/>
        <v>0</v>
      </c>
      <c r="AN3019" s="18"/>
      <c r="AO3019" s="18"/>
    </row>
    <row r="3020" spans="1:42" customFormat="1" x14ac:dyDescent="0.3">
      <c r="A3020" s="148" t="s">
        <v>8319</v>
      </c>
      <c r="B3020" t="s">
        <v>8320</v>
      </c>
      <c r="C3020" s="155" t="s">
        <v>9496</v>
      </c>
      <c r="D3020" t="s">
        <v>9497</v>
      </c>
      <c r="E3020" t="s">
        <v>9498</v>
      </c>
      <c r="F3020" t="s">
        <v>9499</v>
      </c>
      <c r="G3020" s="148" t="s">
        <v>11598</v>
      </c>
      <c r="H3020" t="s">
        <v>11599</v>
      </c>
      <c r="K3020" s="155" t="s">
        <v>11609</v>
      </c>
      <c r="L3020" t="s">
        <v>11610</v>
      </c>
      <c r="M3020" s="1" t="s">
        <v>11611</v>
      </c>
      <c r="N3020" s="1">
        <v>0</v>
      </c>
      <c r="O3020" s="1">
        <v>1</v>
      </c>
      <c r="P3020" s="3">
        <v>0</v>
      </c>
      <c r="Q3020" s="3">
        <v>0</v>
      </c>
      <c r="R3020" s="3">
        <v>0</v>
      </c>
      <c r="S3020" s="3">
        <v>0</v>
      </c>
      <c r="T3020" t="s">
        <v>771</v>
      </c>
      <c r="U3020" t="s">
        <v>773</v>
      </c>
      <c r="W3020" s="45"/>
      <c r="X3020" s="45"/>
      <c r="Y3020" s="45"/>
      <c r="Z3020" s="45"/>
      <c r="AA3020" s="45"/>
      <c r="AB3020" s="45"/>
      <c r="AC3020" s="150">
        <v>0</v>
      </c>
      <c r="AD3020" s="150">
        <v>0</v>
      </c>
      <c r="AE3020" s="49">
        <f t="shared" si="119"/>
        <v>0</v>
      </c>
      <c r="AF3020" s="17"/>
      <c r="AG3020" s="17">
        <v>0</v>
      </c>
      <c r="AH3020" s="17"/>
      <c r="AI3020" s="17"/>
      <c r="AJ3020" s="17"/>
      <c r="AK3020" s="153"/>
      <c r="AL3020" s="154"/>
      <c r="AM3020" s="147">
        <f t="shared" si="118"/>
        <v>0</v>
      </c>
      <c r="AN3020" s="18"/>
      <c r="AO3020" s="18"/>
    </row>
    <row r="3021" spans="1:42" customFormat="1" x14ac:dyDescent="0.3">
      <c r="A3021" s="148" t="s">
        <v>8319</v>
      </c>
      <c r="B3021" t="s">
        <v>8320</v>
      </c>
      <c r="C3021" s="155" t="s">
        <v>9496</v>
      </c>
      <c r="D3021" t="s">
        <v>9497</v>
      </c>
      <c r="E3021" t="s">
        <v>9498</v>
      </c>
      <c r="F3021" t="s">
        <v>9499</v>
      </c>
      <c r="G3021" s="148" t="s">
        <v>11598</v>
      </c>
      <c r="H3021" t="s">
        <v>11599</v>
      </c>
      <c r="K3021" s="155" t="s">
        <v>11609</v>
      </c>
      <c r="L3021" t="s">
        <v>11610</v>
      </c>
      <c r="M3021" s="1" t="s">
        <v>11612</v>
      </c>
      <c r="N3021" s="1">
        <v>0</v>
      </c>
      <c r="O3021" s="1">
        <v>130</v>
      </c>
      <c r="P3021" s="3">
        <v>130</v>
      </c>
      <c r="Q3021" s="3">
        <v>130</v>
      </c>
      <c r="R3021" s="3">
        <v>130</v>
      </c>
      <c r="S3021" s="3">
        <v>130</v>
      </c>
      <c r="T3021" t="s">
        <v>771</v>
      </c>
      <c r="U3021" t="s">
        <v>773</v>
      </c>
      <c r="W3021" s="45"/>
      <c r="X3021" s="45"/>
      <c r="Y3021" s="45"/>
      <c r="Z3021" s="45"/>
      <c r="AA3021" s="45"/>
      <c r="AB3021" s="45"/>
      <c r="AC3021" s="150">
        <v>0</v>
      </c>
      <c r="AD3021" s="150">
        <v>0</v>
      </c>
      <c r="AE3021" s="49">
        <f t="shared" si="119"/>
        <v>0</v>
      </c>
      <c r="AF3021" s="17"/>
      <c r="AG3021" s="17">
        <v>0</v>
      </c>
      <c r="AH3021" s="17"/>
      <c r="AI3021" s="17"/>
      <c r="AJ3021" s="17"/>
      <c r="AK3021" s="153"/>
      <c r="AL3021" s="154"/>
      <c r="AM3021" s="147">
        <f t="shared" si="118"/>
        <v>0</v>
      </c>
      <c r="AN3021" s="18"/>
      <c r="AO3021" s="18"/>
    </row>
    <row r="3022" spans="1:42" customFormat="1" x14ac:dyDescent="0.3">
      <c r="A3022" s="148" t="s">
        <v>8319</v>
      </c>
      <c r="B3022" t="s">
        <v>8320</v>
      </c>
      <c r="C3022" s="148" t="s">
        <v>9344</v>
      </c>
      <c r="D3022" t="s">
        <v>9345</v>
      </c>
      <c r="E3022" s="148" t="s">
        <v>10414</v>
      </c>
      <c r="F3022" t="s">
        <v>10415</v>
      </c>
      <c r="G3022" s="148" t="s">
        <v>10416</v>
      </c>
      <c r="H3022" t="s">
        <v>10417</v>
      </c>
      <c r="K3022" s="155" t="s">
        <v>11613</v>
      </c>
      <c r="L3022" t="s">
        <v>11614</v>
      </c>
      <c r="M3022" s="1" t="s">
        <v>11615</v>
      </c>
      <c r="N3022" s="1">
        <v>0</v>
      </c>
      <c r="O3022" s="1">
        <v>0</v>
      </c>
      <c r="P3022" s="3">
        <v>3</v>
      </c>
      <c r="Q3022" s="3">
        <v>3</v>
      </c>
      <c r="R3022" s="3">
        <v>3</v>
      </c>
      <c r="S3022" s="3">
        <v>2</v>
      </c>
      <c r="T3022" t="s">
        <v>771</v>
      </c>
      <c r="U3022" t="s">
        <v>773</v>
      </c>
      <c r="W3022" s="45"/>
      <c r="X3022" s="45"/>
      <c r="Y3022" s="45"/>
      <c r="Z3022" s="45"/>
      <c r="AA3022" s="45"/>
      <c r="AB3022" s="45"/>
      <c r="AC3022" s="150">
        <v>0</v>
      </c>
      <c r="AD3022" s="150">
        <v>0</v>
      </c>
      <c r="AE3022" s="49">
        <f t="shared" si="119"/>
        <v>0</v>
      </c>
      <c r="AF3022" s="17"/>
      <c r="AG3022" s="17">
        <v>0</v>
      </c>
      <c r="AH3022" s="17"/>
      <c r="AI3022" s="4"/>
      <c r="AJ3022" s="4"/>
      <c r="AK3022" s="46"/>
      <c r="AL3022" s="46"/>
      <c r="AM3022" s="147">
        <f t="shared" si="118"/>
        <v>0</v>
      </c>
      <c r="AN3022" s="18"/>
      <c r="AO3022" s="18"/>
    </row>
    <row r="3023" spans="1:42" customFormat="1" x14ac:dyDescent="0.3">
      <c r="A3023" s="148" t="s">
        <v>8319</v>
      </c>
      <c r="B3023" t="s">
        <v>8320</v>
      </c>
      <c r="C3023" s="148" t="s">
        <v>9344</v>
      </c>
      <c r="D3023" t="s">
        <v>9345</v>
      </c>
      <c r="E3023" s="148" t="s">
        <v>10414</v>
      </c>
      <c r="F3023" t="s">
        <v>10415</v>
      </c>
      <c r="G3023" s="148" t="s">
        <v>10416</v>
      </c>
      <c r="H3023" t="s">
        <v>10417</v>
      </c>
      <c r="K3023" s="148" t="s">
        <v>10963</v>
      </c>
      <c r="L3023" t="s">
        <v>10964</v>
      </c>
      <c r="M3023" s="1" t="s">
        <v>11616</v>
      </c>
      <c r="N3023" s="1">
        <v>0</v>
      </c>
      <c r="O3023" s="1">
        <v>3</v>
      </c>
      <c r="P3023" s="3">
        <v>5</v>
      </c>
      <c r="Q3023" s="3">
        <v>7</v>
      </c>
      <c r="R3023" s="3">
        <v>20</v>
      </c>
      <c r="S3023" s="3">
        <v>30</v>
      </c>
      <c r="T3023" t="s">
        <v>771</v>
      </c>
      <c r="U3023" t="s">
        <v>773</v>
      </c>
      <c r="W3023" s="45"/>
      <c r="X3023" s="45"/>
      <c r="Y3023" s="45"/>
      <c r="Z3023" s="45"/>
      <c r="AA3023" s="45"/>
      <c r="AB3023" s="45"/>
      <c r="AC3023" s="150">
        <v>0</v>
      </c>
      <c r="AD3023" s="150">
        <v>0</v>
      </c>
      <c r="AE3023" s="49">
        <f t="shared" si="119"/>
        <v>0</v>
      </c>
      <c r="AF3023" s="4"/>
      <c r="AG3023" s="17">
        <v>0</v>
      </c>
      <c r="AH3023" s="4"/>
      <c r="AI3023" s="4"/>
      <c r="AJ3023" s="4"/>
      <c r="AK3023" s="46"/>
      <c r="AL3023" s="46"/>
      <c r="AM3023" s="147">
        <f t="shared" si="118"/>
        <v>0</v>
      </c>
      <c r="AN3023" s="18"/>
      <c r="AO3023" s="18"/>
    </row>
    <row r="3024" spans="1:42" customFormat="1" x14ac:dyDescent="0.3">
      <c r="A3024" s="148" t="s">
        <v>8319</v>
      </c>
      <c r="B3024" t="s">
        <v>8320</v>
      </c>
      <c r="C3024" s="148" t="s">
        <v>9344</v>
      </c>
      <c r="D3024" t="s">
        <v>9345</v>
      </c>
      <c r="E3024" s="148" t="s">
        <v>10414</v>
      </c>
      <c r="F3024" t="s">
        <v>10415</v>
      </c>
      <c r="G3024" s="148" t="s">
        <v>10416</v>
      </c>
      <c r="H3024" t="s">
        <v>10417</v>
      </c>
      <c r="K3024" s="155" t="s">
        <v>11617</v>
      </c>
      <c r="L3024" t="s">
        <v>11618</v>
      </c>
      <c r="M3024" s="1" t="s">
        <v>11619</v>
      </c>
      <c r="N3024" s="1">
        <v>2</v>
      </c>
      <c r="O3024" s="1">
        <v>0</v>
      </c>
      <c r="P3024" s="3">
        <v>1</v>
      </c>
      <c r="Q3024" s="3">
        <v>1</v>
      </c>
      <c r="R3024" s="3" t="s">
        <v>271</v>
      </c>
      <c r="S3024" s="3" t="s">
        <v>271</v>
      </c>
      <c r="U3024" t="e">
        <v>#N/A</v>
      </c>
      <c r="W3024" s="45"/>
      <c r="X3024" s="45"/>
      <c r="Y3024" s="45"/>
      <c r="Z3024" s="45"/>
      <c r="AA3024" s="45"/>
      <c r="AB3024" s="45"/>
      <c r="AC3024" s="150">
        <v>0</v>
      </c>
      <c r="AD3024" s="150">
        <v>0</v>
      </c>
      <c r="AE3024" s="49">
        <f t="shared" si="119"/>
        <v>0</v>
      </c>
      <c r="AF3024" s="4"/>
      <c r="AG3024" s="17">
        <v>0</v>
      </c>
      <c r="AH3024" s="4"/>
      <c r="AI3024" s="4"/>
      <c r="AJ3024" s="4"/>
      <c r="AK3024" s="46"/>
      <c r="AL3024" s="46"/>
      <c r="AM3024" s="147">
        <f t="shared" si="118"/>
        <v>0</v>
      </c>
      <c r="AN3024" s="18"/>
      <c r="AO3024" s="18"/>
    </row>
    <row r="3025" spans="1:41" customFormat="1" x14ac:dyDescent="0.3">
      <c r="A3025" s="148" t="s">
        <v>8319</v>
      </c>
      <c r="B3025" t="s">
        <v>8320</v>
      </c>
      <c r="C3025" s="148" t="s">
        <v>9344</v>
      </c>
      <c r="D3025" t="s">
        <v>9345</v>
      </c>
      <c r="E3025" s="148" t="s">
        <v>10414</v>
      </c>
      <c r="F3025" t="s">
        <v>10415</v>
      </c>
      <c r="G3025" s="148" t="s">
        <v>10429</v>
      </c>
      <c r="H3025" t="s">
        <v>10430</v>
      </c>
      <c r="K3025" s="148" t="s">
        <v>10431</v>
      </c>
      <c r="L3025" t="s">
        <v>10432</v>
      </c>
      <c r="M3025" s="1" t="s">
        <v>11620</v>
      </c>
      <c r="N3025" s="1">
        <v>0</v>
      </c>
      <c r="O3025" s="1">
        <v>0</v>
      </c>
      <c r="P3025" s="3">
        <v>0</v>
      </c>
      <c r="Q3025" s="3">
        <v>1</v>
      </c>
      <c r="R3025" s="3">
        <v>1</v>
      </c>
      <c r="S3025" s="3">
        <v>1</v>
      </c>
      <c r="T3025" t="s">
        <v>10435</v>
      </c>
      <c r="U3025" t="e">
        <v>#N/A</v>
      </c>
      <c r="W3025" s="45"/>
      <c r="X3025" s="45"/>
      <c r="Y3025" s="45"/>
      <c r="Z3025" s="45"/>
      <c r="AA3025" s="45"/>
      <c r="AB3025" s="45"/>
      <c r="AC3025" s="150">
        <v>0</v>
      </c>
      <c r="AD3025" s="150">
        <v>0</v>
      </c>
      <c r="AE3025" s="49">
        <f t="shared" si="119"/>
        <v>0</v>
      </c>
      <c r="AF3025" s="4"/>
      <c r="AG3025" s="17">
        <v>0</v>
      </c>
      <c r="AH3025" s="4"/>
      <c r="AI3025" s="4"/>
      <c r="AJ3025" s="4"/>
      <c r="AK3025" s="46"/>
      <c r="AL3025" s="46"/>
      <c r="AM3025" s="147">
        <f t="shared" si="118"/>
        <v>0</v>
      </c>
      <c r="AO3025" s="18"/>
    </row>
    <row r="3026" spans="1:41" customFormat="1" x14ac:dyDescent="0.3">
      <c r="A3026" s="148" t="s">
        <v>8319</v>
      </c>
      <c r="B3026" t="s">
        <v>8320</v>
      </c>
      <c r="C3026" s="148" t="s">
        <v>9344</v>
      </c>
      <c r="D3026" t="s">
        <v>9345</v>
      </c>
      <c r="E3026" s="148" t="s">
        <v>10414</v>
      </c>
      <c r="F3026" t="s">
        <v>10415</v>
      </c>
      <c r="G3026" s="148" t="s">
        <v>10437</v>
      </c>
      <c r="H3026" t="s">
        <v>10438</v>
      </c>
      <c r="K3026" s="148" t="s">
        <v>10872</v>
      </c>
      <c r="L3026" t="s">
        <v>11621</v>
      </c>
      <c r="M3026" s="1" t="s">
        <v>11622</v>
      </c>
      <c r="N3026" s="1" t="s">
        <v>119</v>
      </c>
      <c r="O3026" s="1" t="s">
        <v>271</v>
      </c>
      <c r="P3026" s="3">
        <v>4</v>
      </c>
      <c r="Q3026" s="3">
        <v>6</v>
      </c>
      <c r="R3026" s="3">
        <v>8</v>
      </c>
      <c r="S3026" s="3">
        <v>8</v>
      </c>
      <c r="T3026" t="s">
        <v>723</v>
      </c>
      <c r="U3026" t="s">
        <v>729</v>
      </c>
      <c r="W3026" s="45"/>
      <c r="X3026" s="45"/>
      <c r="Y3026" s="45"/>
      <c r="Z3026" s="45"/>
      <c r="AA3026" s="45"/>
      <c r="AB3026" s="45"/>
      <c r="AC3026" s="150">
        <v>0</v>
      </c>
      <c r="AD3026" s="150">
        <v>0</v>
      </c>
      <c r="AE3026" s="49">
        <f t="shared" si="119"/>
        <v>0</v>
      </c>
      <c r="AF3026" s="4"/>
      <c r="AG3026" s="17">
        <v>0</v>
      </c>
      <c r="AH3026" s="4"/>
      <c r="AI3026" s="4"/>
      <c r="AJ3026" s="4"/>
      <c r="AK3026" s="46"/>
      <c r="AL3026" s="46"/>
      <c r="AM3026" s="147">
        <f t="shared" si="118"/>
        <v>0</v>
      </c>
      <c r="AO3026" s="18"/>
    </row>
    <row r="3027" spans="1:41" customFormat="1" x14ac:dyDescent="0.3">
      <c r="A3027" s="148" t="s">
        <v>8319</v>
      </c>
      <c r="B3027" t="s">
        <v>8320</v>
      </c>
      <c r="C3027" s="148" t="s">
        <v>9344</v>
      </c>
      <c r="D3027" t="s">
        <v>9345</v>
      </c>
      <c r="E3027" s="148" t="s">
        <v>10414</v>
      </c>
      <c r="F3027" t="s">
        <v>10415</v>
      </c>
      <c r="G3027" s="148" t="s">
        <v>10442</v>
      </c>
      <c r="H3027" t="s">
        <v>10443</v>
      </c>
      <c r="K3027" s="155" t="s">
        <v>11623</v>
      </c>
      <c r="L3027" t="s">
        <v>11624</v>
      </c>
      <c r="M3027" s="1" t="s">
        <v>11625</v>
      </c>
      <c r="N3027" s="1" t="s">
        <v>119</v>
      </c>
      <c r="O3027" s="1"/>
      <c r="P3027" s="3">
        <v>5</v>
      </c>
      <c r="Q3027" s="3">
        <v>5</v>
      </c>
      <c r="R3027" s="3">
        <v>10</v>
      </c>
      <c r="S3027" s="3">
        <v>10</v>
      </c>
      <c r="T3027" t="s">
        <v>10446</v>
      </c>
      <c r="U3027" t="e">
        <v>#N/A</v>
      </c>
      <c r="W3027" s="45"/>
      <c r="X3027" s="45"/>
      <c r="Y3027" s="45"/>
      <c r="Z3027" s="45"/>
      <c r="AA3027" s="45"/>
      <c r="AB3027" s="45"/>
      <c r="AC3027" s="150">
        <v>0</v>
      </c>
      <c r="AD3027" s="150">
        <v>0</v>
      </c>
      <c r="AE3027" s="49">
        <f t="shared" si="119"/>
        <v>0</v>
      </c>
      <c r="AF3027" s="4"/>
      <c r="AG3027" s="17">
        <v>0</v>
      </c>
      <c r="AH3027" s="4"/>
      <c r="AI3027" s="4"/>
      <c r="AJ3027" s="4"/>
      <c r="AK3027" s="46"/>
      <c r="AL3027" s="46"/>
      <c r="AM3027" s="147">
        <f t="shared" si="118"/>
        <v>0</v>
      </c>
      <c r="AO3027" s="18"/>
    </row>
    <row r="3028" spans="1:41" customFormat="1" x14ac:dyDescent="0.3">
      <c r="A3028" s="386" t="s">
        <v>8319</v>
      </c>
      <c r="B3028" t="s">
        <v>8320</v>
      </c>
      <c r="C3028" s="200" t="s">
        <v>13114</v>
      </c>
      <c r="D3028" t="s">
        <v>6838</v>
      </c>
      <c r="E3028" s="200" t="s">
        <v>13115</v>
      </c>
      <c r="F3028" t="s">
        <v>12811</v>
      </c>
      <c r="G3028" s="200" t="s">
        <v>13116</v>
      </c>
      <c r="H3028" t="s">
        <v>12812</v>
      </c>
      <c r="K3028" s="200" t="s">
        <v>13117</v>
      </c>
      <c r="L3028" t="s">
        <v>12754</v>
      </c>
      <c r="M3028" s="1"/>
      <c r="N3028" s="423"/>
      <c r="O3028" s="1"/>
      <c r="P3028" s="3"/>
      <c r="Q3028" s="3"/>
      <c r="R3028" s="3"/>
      <c r="S3028" s="3"/>
      <c r="V3028" t="s">
        <v>12755</v>
      </c>
      <c r="AF3028" s="64"/>
      <c r="AH3028" s="4"/>
      <c r="AI3028" s="4"/>
      <c r="AJ3028" s="4"/>
      <c r="AK3028" s="398"/>
      <c r="AL3028" s="398"/>
      <c r="AM3028" s="4"/>
    </row>
    <row r="3029" spans="1:41" customFormat="1" x14ac:dyDescent="0.3">
      <c r="A3029" s="386" t="s">
        <v>8319</v>
      </c>
      <c r="B3029" t="s">
        <v>8320</v>
      </c>
      <c r="C3029" s="200" t="s">
        <v>13114</v>
      </c>
      <c r="D3029" t="s">
        <v>6838</v>
      </c>
      <c r="E3029" s="200" t="s">
        <v>13115</v>
      </c>
      <c r="F3029" t="s">
        <v>12811</v>
      </c>
      <c r="G3029" s="200" t="s">
        <v>13116</v>
      </c>
      <c r="H3029" t="s">
        <v>12812</v>
      </c>
      <c r="K3029" s="200" t="s">
        <v>13118</v>
      </c>
      <c r="L3029" t="s">
        <v>12808</v>
      </c>
      <c r="M3029" s="1"/>
      <c r="N3029" s="423"/>
      <c r="O3029" s="1"/>
      <c r="P3029" s="3"/>
      <c r="Q3029" s="3"/>
      <c r="R3029" s="3"/>
      <c r="S3029" s="3"/>
      <c r="V3029" t="s">
        <v>12809</v>
      </c>
      <c r="AF3029" s="64"/>
      <c r="AH3029" s="4"/>
      <c r="AI3029" s="4"/>
      <c r="AJ3029" s="4"/>
      <c r="AK3029" s="398"/>
      <c r="AL3029" s="398"/>
      <c r="AM3029" s="4"/>
    </row>
    <row r="3030" spans="1:41" customFormat="1" x14ac:dyDescent="0.3">
      <c r="A3030" s="386" t="s">
        <v>8319</v>
      </c>
      <c r="B3030" t="s">
        <v>8320</v>
      </c>
      <c r="C3030" s="200" t="s">
        <v>13114</v>
      </c>
      <c r="D3030" t="s">
        <v>6838</v>
      </c>
      <c r="E3030" s="200" t="s">
        <v>13115</v>
      </c>
      <c r="F3030" t="s">
        <v>12811</v>
      </c>
      <c r="G3030" s="200" t="s">
        <v>13116</v>
      </c>
      <c r="H3030" t="s">
        <v>12812</v>
      </c>
      <c r="K3030" s="200" t="s">
        <v>13119</v>
      </c>
      <c r="L3030" t="s">
        <v>12756</v>
      </c>
      <c r="M3030" s="1" t="s">
        <v>5766</v>
      </c>
      <c r="N3030" s="423"/>
      <c r="O3030" s="1"/>
      <c r="P3030" s="3"/>
      <c r="Q3030" s="3"/>
      <c r="R3030" s="3"/>
      <c r="S3030" s="3"/>
      <c r="V3030" t="s">
        <v>12792</v>
      </c>
      <c r="AF3030" s="64"/>
      <c r="AH3030" s="4"/>
      <c r="AI3030" s="4"/>
      <c r="AJ3030" s="4"/>
      <c r="AK3030" s="46"/>
      <c r="AL3030" s="46"/>
      <c r="AM3030" s="4"/>
    </row>
    <row r="3031" spans="1:41" customFormat="1" x14ac:dyDescent="0.3">
      <c r="A3031" s="386" t="s">
        <v>8319</v>
      </c>
      <c r="B3031" t="s">
        <v>8320</v>
      </c>
      <c r="C3031" s="200" t="s">
        <v>13114</v>
      </c>
      <c r="D3031" t="s">
        <v>6838</v>
      </c>
      <c r="E3031" s="200" t="s">
        <v>13115</v>
      </c>
      <c r="F3031" t="s">
        <v>12811</v>
      </c>
      <c r="G3031" s="200" t="s">
        <v>13116</v>
      </c>
      <c r="H3031" t="s">
        <v>12812</v>
      </c>
      <c r="K3031" s="200" t="s">
        <v>13120</v>
      </c>
      <c r="L3031" t="s">
        <v>12757</v>
      </c>
      <c r="M3031" s="1" t="s">
        <v>12758</v>
      </c>
      <c r="N3031" s="423"/>
      <c r="O3031" s="1"/>
      <c r="P3031" s="3"/>
      <c r="Q3031" s="3"/>
      <c r="R3031" s="3"/>
      <c r="S3031" s="3"/>
      <c r="V3031" t="s">
        <v>12793</v>
      </c>
      <c r="AF3031" s="64"/>
      <c r="AH3031" s="4"/>
      <c r="AI3031" s="4"/>
      <c r="AJ3031" s="4"/>
      <c r="AK3031" s="46"/>
      <c r="AL3031" s="46"/>
      <c r="AM3031" s="4"/>
    </row>
    <row r="3032" spans="1:41" customFormat="1" x14ac:dyDescent="0.3">
      <c r="A3032" s="386" t="s">
        <v>8319</v>
      </c>
      <c r="B3032" t="s">
        <v>8320</v>
      </c>
      <c r="C3032" s="200" t="s">
        <v>13114</v>
      </c>
      <c r="D3032" t="s">
        <v>6838</v>
      </c>
      <c r="E3032" s="200" t="s">
        <v>13115</v>
      </c>
      <c r="F3032" t="s">
        <v>12811</v>
      </c>
      <c r="G3032" s="200" t="s">
        <v>13116</v>
      </c>
      <c r="H3032" t="s">
        <v>12812</v>
      </c>
      <c r="K3032" s="200" t="s">
        <v>13121</v>
      </c>
      <c r="L3032" t="s">
        <v>12759</v>
      </c>
      <c r="M3032" s="1" t="s">
        <v>12760</v>
      </c>
      <c r="N3032" s="423"/>
      <c r="O3032" s="1"/>
      <c r="P3032" s="3"/>
      <c r="Q3032" s="3"/>
      <c r="R3032" s="3"/>
      <c r="S3032" s="3"/>
      <c r="V3032" t="s">
        <v>12794</v>
      </c>
      <c r="AF3032" s="64"/>
      <c r="AH3032" s="4"/>
      <c r="AI3032" s="4"/>
      <c r="AJ3032" s="4"/>
      <c r="AK3032" s="46"/>
      <c r="AL3032" s="46"/>
      <c r="AM3032" s="4"/>
    </row>
    <row r="3033" spans="1:41" customFormat="1" x14ac:dyDescent="0.3">
      <c r="A3033" s="386" t="s">
        <v>8319</v>
      </c>
      <c r="B3033" t="s">
        <v>8320</v>
      </c>
      <c r="C3033" s="200" t="s">
        <v>13114</v>
      </c>
      <c r="D3033" t="s">
        <v>6838</v>
      </c>
      <c r="E3033" s="200" t="s">
        <v>13115</v>
      </c>
      <c r="F3033" t="s">
        <v>12811</v>
      </c>
      <c r="G3033" s="200" t="s">
        <v>13116</v>
      </c>
      <c r="H3033" t="s">
        <v>12812</v>
      </c>
      <c r="K3033" s="200" t="s">
        <v>13122</v>
      </c>
      <c r="L3033" t="s">
        <v>12761</v>
      </c>
      <c r="M3033" s="1" t="s">
        <v>12762</v>
      </c>
      <c r="N3033" s="423"/>
      <c r="O3033" s="1"/>
      <c r="P3033" s="3"/>
      <c r="Q3033" s="3"/>
      <c r="R3033" s="3"/>
      <c r="S3033" s="3"/>
      <c r="V3033" t="s">
        <v>5782</v>
      </c>
      <c r="AF3033" s="64"/>
      <c r="AH3033" s="4"/>
      <c r="AI3033" s="4"/>
      <c r="AJ3033" s="4"/>
      <c r="AK3033" s="46"/>
      <c r="AL3033" s="46"/>
      <c r="AM3033" s="4"/>
    </row>
    <row r="3034" spans="1:41" customFormat="1" x14ac:dyDescent="0.3">
      <c r="A3034" s="386" t="s">
        <v>8319</v>
      </c>
      <c r="B3034" t="s">
        <v>8320</v>
      </c>
      <c r="C3034" s="200" t="s">
        <v>13114</v>
      </c>
      <c r="D3034" t="s">
        <v>6838</v>
      </c>
      <c r="E3034" s="200" t="s">
        <v>13115</v>
      </c>
      <c r="F3034" t="s">
        <v>12811</v>
      </c>
      <c r="G3034" s="200" t="s">
        <v>13116</v>
      </c>
      <c r="H3034" t="s">
        <v>12812</v>
      </c>
      <c r="K3034" s="200" t="s">
        <v>13123</v>
      </c>
      <c r="L3034" t="s">
        <v>12763</v>
      </c>
      <c r="M3034" s="1" t="s">
        <v>12764</v>
      </c>
      <c r="N3034" s="423"/>
      <c r="O3034" s="1"/>
      <c r="P3034" s="3"/>
      <c r="Q3034" s="3"/>
      <c r="R3034" s="3"/>
      <c r="S3034" s="3"/>
      <c r="V3034" t="s">
        <v>5783</v>
      </c>
      <c r="AF3034" s="64"/>
      <c r="AH3034" s="4"/>
      <c r="AI3034" s="4"/>
      <c r="AJ3034" s="4"/>
      <c r="AK3034" s="46"/>
      <c r="AL3034" s="46"/>
      <c r="AM3034" s="4"/>
    </row>
    <row r="3035" spans="1:41" customFormat="1" x14ac:dyDescent="0.3">
      <c r="A3035" s="386" t="s">
        <v>8319</v>
      </c>
      <c r="B3035" t="s">
        <v>8320</v>
      </c>
      <c r="C3035" s="200" t="s">
        <v>13114</v>
      </c>
      <c r="D3035" t="s">
        <v>6838</v>
      </c>
      <c r="E3035" s="200" t="s">
        <v>13115</v>
      </c>
      <c r="F3035" t="s">
        <v>12811</v>
      </c>
      <c r="G3035" s="200" t="s">
        <v>13116</v>
      </c>
      <c r="H3035" t="s">
        <v>12812</v>
      </c>
      <c r="K3035" s="200" t="s">
        <v>13124</v>
      </c>
      <c r="L3035" t="s">
        <v>12765</v>
      </c>
      <c r="M3035" s="1" t="s">
        <v>12766</v>
      </c>
      <c r="N3035" s="423"/>
      <c r="O3035" s="1"/>
      <c r="P3035" s="3"/>
      <c r="Q3035" s="3"/>
      <c r="R3035" s="3"/>
      <c r="S3035" s="3"/>
      <c r="V3035" t="s">
        <v>12795</v>
      </c>
      <c r="AF3035" s="64"/>
      <c r="AH3035" s="4"/>
      <c r="AI3035" s="4"/>
      <c r="AJ3035" s="4"/>
      <c r="AK3035" s="46"/>
      <c r="AL3035" s="46"/>
      <c r="AM3035" s="4"/>
    </row>
    <row r="3036" spans="1:41" customFormat="1" x14ac:dyDescent="0.3">
      <c r="A3036" s="386" t="s">
        <v>8319</v>
      </c>
      <c r="B3036" t="s">
        <v>8320</v>
      </c>
      <c r="C3036" s="200" t="s">
        <v>13114</v>
      </c>
      <c r="D3036" t="s">
        <v>6838</v>
      </c>
      <c r="E3036" s="200" t="s">
        <v>13115</v>
      </c>
      <c r="F3036" t="s">
        <v>12811</v>
      </c>
      <c r="G3036" s="200" t="s">
        <v>13116</v>
      </c>
      <c r="H3036" t="s">
        <v>12812</v>
      </c>
      <c r="K3036" s="200" t="s">
        <v>13125</v>
      </c>
      <c r="L3036" t="s">
        <v>12767</v>
      </c>
      <c r="M3036" s="1" t="s">
        <v>12768</v>
      </c>
      <c r="N3036" s="423"/>
      <c r="O3036" s="1"/>
      <c r="P3036" s="3"/>
      <c r="Q3036" s="3"/>
      <c r="R3036" s="3"/>
      <c r="S3036" s="3"/>
      <c r="V3036" t="s">
        <v>12796</v>
      </c>
      <c r="AF3036" s="64"/>
      <c r="AH3036" s="4"/>
      <c r="AI3036" s="4"/>
      <c r="AJ3036" s="4"/>
      <c r="AK3036" s="46"/>
      <c r="AL3036" s="46"/>
      <c r="AM3036" s="4"/>
    </row>
    <row r="3037" spans="1:41" customFormat="1" x14ac:dyDescent="0.3">
      <c r="A3037" s="386" t="s">
        <v>8319</v>
      </c>
      <c r="B3037" t="s">
        <v>8320</v>
      </c>
      <c r="C3037" s="200" t="s">
        <v>13114</v>
      </c>
      <c r="D3037" t="s">
        <v>6838</v>
      </c>
      <c r="E3037" s="200" t="s">
        <v>13115</v>
      </c>
      <c r="F3037" t="s">
        <v>12811</v>
      </c>
      <c r="G3037" s="200" t="s">
        <v>13116</v>
      </c>
      <c r="H3037" t="s">
        <v>12812</v>
      </c>
      <c r="K3037" s="200" t="s">
        <v>13126</v>
      </c>
      <c r="L3037" t="s">
        <v>12769</v>
      </c>
      <c r="M3037" s="1" t="s">
        <v>12770</v>
      </c>
      <c r="N3037" s="423"/>
      <c r="O3037" s="1"/>
      <c r="P3037" s="3"/>
      <c r="Q3037" s="3"/>
      <c r="R3037" s="3"/>
      <c r="S3037" s="3"/>
      <c r="V3037" t="s">
        <v>5786</v>
      </c>
      <c r="AF3037" s="64"/>
      <c r="AH3037" s="4"/>
      <c r="AI3037" s="4"/>
      <c r="AJ3037" s="4"/>
      <c r="AK3037" s="46"/>
      <c r="AL3037" s="46"/>
      <c r="AM3037" s="4"/>
    </row>
    <row r="3038" spans="1:41" customFormat="1" x14ac:dyDescent="0.3">
      <c r="A3038" s="386" t="s">
        <v>8319</v>
      </c>
      <c r="B3038" t="s">
        <v>8320</v>
      </c>
      <c r="C3038" s="200" t="s">
        <v>13114</v>
      </c>
      <c r="D3038" t="s">
        <v>6838</v>
      </c>
      <c r="E3038" s="200" t="s">
        <v>13115</v>
      </c>
      <c r="F3038" t="s">
        <v>12811</v>
      </c>
      <c r="G3038" s="200" t="s">
        <v>13116</v>
      </c>
      <c r="H3038" t="s">
        <v>12812</v>
      </c>
      <c r="K3038" s="200" t="s">
        <v>13127</v>
      </c>
      <c r="L3038" t="s">
        <v>12771</v>
      </c>
      <c r="M3038" s="1" t="s">
        <v>12772</v>
      </c>
      <c r="N3038" s="423"/>
      <c r="O3038" s="1"/>
      <c r="P3038" s="3"/>
      <c r="Q3038" s="3"/>
      <c r="R3038" s="3"/>
      <c r="S3038" s="3"/>
      <c r="V3038" t="s">
        <v>12800</v>
      </c>
      <c r="AF3038" s="64"/>
      <c r="AH3038" s="4"/>
      <c r="AI3038" s="4"/>
      <c r="AJ3038" s="4"/>
      <c r="AK3038" s="46"/>
      <c r="AL3038" s="46"/>
      <c r="AM3038" s="4"/>
    </row>
    <row r="3039" spans="1:41" customFormat="1" x14ac:dyDescent="0.3">
      <c r="A3039" s="386" t="s">
        <v>8319</v>
      </c>
      <c r="B3039" t="s">
        <v>8320</v>
      </c>
      <c r="C3039" s="200" t="s">
        <v>13114</v>
      </c>
      <c r="D3039" t="s">
        <v>6838</v>
      </c>
      <c r="E3039" s="200" t="s">
        <v>13115</v>
      </c>
      <c r="F3039" t="s">
        <v>12811</v>
      </c>
      <c r="G3039" s="200" t="s">
        <v>13116</v>
      </c>
      <c r="H3039" t="s">
        <v>12812</v>
      </c>
      <c r="K3039" s="200" t="s">
        <v>13128</v>
      </c>
      <c r="L3039" t="s">
        <v>12773</v>
      </c>
      <c r="M3039" s="1" t="s">
        <v>12774</v>
      </c>
      <c r="N3039" s="423"/>
      <c r="O3039" s="1"/>
      <c r="P3039" s="3"/>
      <c r="Q3039" s="3"/>
      <c r="R3039" s="3"/>
      <c r="S3039" s="3"/>
      <c r="V3039" t="s">
        <v>12797</v>
      </c>
      <c r="AF3039" s="64"/>
      <c r="AH3039" s="4"/>
      <c r="AI3039" s="4"/>
      <c r="AJ3039" s="4"/>
      <c r="AK3039" s="46"/>
      <c r="AL3039" s="46"/>
      <c r="AM3039" s="4"/>
    </row>
    <row r="3040" spans="1:41" customFormat="1" x14ac:dyDescent="0.3">
      <c r="A3040" s="386" t="s">
        <v>8319</v>
      </c>
      <c r="B3040" t="s">
        <v>8320</v>
      </c>
      <c r="C3040" s="200" t="s">
        <v>13114</v>
      </c>
      <c r="D3040" t="s">
        <v>6838</v>
      </c>
      <c r="E3040" s="200" t="s">
        <v>13115</v>
      </c>
      <c r="F3040" t="s">
        <v>12811</v>
      </c>
      <c r="G3040" s="200" t="s">
        <v>13116</v>
      </c>
      <c r="H3040" t="s">
        <v>12812</v>
      </c>
      <c r="K3040" s="200" t="s">
        <v>13129</v>
      </c>
      <c r="L3040" t="s">
        <v>12775</v>
      </c>
      <c r="M3040" s="1" t="s">
        <v>12776</v>
      </c>
      <c r="N3040" s="423"/>
      <c r="O3040" s="1"/>
      <c r="P3040" s="3"/>
      <c r="Q3040" s="3"/>
      <c r="R3040" s="3"/>
      <c r="S3040" s="3"/>
      <c r="V3040" t="s">
        <v>12798</v>
      </c>
      <c r="AF3040" s="64"/>
      <c r="AH3040" s="4"/>
      <c r="AI3040" s="4"/>
      <c r="AJ3040" s="4"/>
      <c r="AK3040" s="46"/>
      <c r="AL3040" s="46"/>
      <c r="AM3040" s="4"/>
    </row>
    <row r="3041" spans="1:49" customFormat="1" x14ac:dyDescent="0.3">
      <c r="A3041" s="386" t="s">
        <v>8319</v>
      </c>
      <c r="B3041" t="s">
        <v>8320</v>
      </c>
      <c r="C3041" s="200" t="s">
        <v>13114</v>
      </c>
      <c r="D3041" t="s">
        <v>6838</v>
      </c>
      <c r="E3041" s="200" t="s">
        <v>13115</v>
      </c>
      <c r="F3041" t="s">
        <v>12811</v>
      </c>
      <c r="G3041" s="200" t="s">
        <v>13116</v>
      </c>
      <c r="H3041" t="s">
        <v>12812</v>
      </c>
      <c r="K3041" s="200" t="s">
        <v>13130</v>
      </c>
      <c r="L3041" t="s">
        <v>12777</v>
      </c>
      <c r="M3041" s="1" t="s">
        <v>12778</v>
      </c>
      <c r="N3041" s="423"/>
      <c r="O3041" s="1"/>
      <c r="P3041" s="3"/>
      <c r="Q3041" s="3"/>
      <c r="R3041" s="3"/>
      <c r="S3041" s="3"/>
      <c r="V3041" t="s">
        <v>5789</v>
      </c>
      <c r="AF3041" s="64"/>
      <c r="AH3041" s="4"/>
      <c r="AI3041" s="4"/>
      <c r="AJ3041" s="4"/>
      <c r="AK3041" s="46"/>
      <c r="AL3041" s="46"/>
      <c r="AM3041" s="4"/>
    </row>
    <row r="3042" spans="1:49" customFormat="1" x14ac:dyDescent="0.3">
      <c r="A3042" s="386" t="s">
        <v>8319</v>
      </c>
      <c r="B3042" t="s">
        <v>8320</v>
      </c>
      <c r="C3042" s="200" t="s">
        <v>13114</v>
      </c>
      <c r="D3042" t="s">
        <v>6838</v>
      </c>
      <c r="E3042" s="200" t="s">
        <v>13115</v>
      </c>
      <c r="F3042" t="s">
        <v>12811</v>
      </c>
      <c r="G3042" s="200" t="s">
        <v>13116</v>
      </c>
      <c r="H3042" t="s">
        <v>12812</v>
      </c>
      <c r="K3042" s="200" t="s">
        <v>13131</v>
      </c>
      <c r="L3042" t="s">
        <v>12779</v>
      </c>
      <c r="M3042" s="1" t="s">
        <v>12780</v>
      </c>
      <c r="N3042" s="423"/>
      <c r="O3042" s="1"/>
      <c r="P3042" s="3"/>
      <c r="Q3042" s="3"/>
      <c r="R3042" s="3"/>
      <c r="S3042" s="3"/>
      <c r="V3042" t="s">
        <v>12799</v>
      </c>
      <c r="AF3042" s="64"/>
      <c r="AH3042" s="4"/>
      <c r="AI3042" s="4"/>
      <c r="AJ3042" s="4"/>
      <c r="AK3042" s="46"/>
      <c r="AL3042" s="46"/>
      <c r="AM3042" s="4"/>
    </row>
    <row r="3043" spans="1:49" customFormat="1" x14ac:dyDescent="0.3">
      <c r="A3043" s="386" t="s">
        <v>8319</v>
      </c>
      <c r="B3043" t="s">
        <v>8320</v>
      </c>
      <c r="C3043" s="200" t="s">
        <v>13114</v>
      </c>
      <c r="D3043" t="s">
        <v>6838</v>
      </c>
      <c r="E3043" s="200" t="s">
        <v>13115</v>
      </c>
      <c r="F3043" t="s">
        <v>12811</v>
      </c>
      <c r="G3043" s="200" t="s">
        <v>13116</v>
      </c>
      <c r="H3043" t="s">
        <v>12812</v>
      </c>
      <c r="K3043" s="200" t="s">
        <v>13132</v>
      </c>
      <c r="L3043" t="s">
        <v>12806</v>
      </c>
      <c r="M3043" s="1" t="s">
        <v>12781</v>
      </c>
      <c r="N3043" s="423"/>
      <c r="O3043" s="1"/>
      <c r="P3043" s="3"/>
      <c r="Q3043" s="3"/>
      <c r="R3043" s="3"/>
      <c r="S3043" s="3"/>
      <c r="V3043" t="s">
        <v>12805</v>
      </c>
      <c r="AF3043" s="64"/>
      <c r="AH3043" s="4"/>
      <c r="AI3043" s="4"/>
      <c r="AJ3043" s="4"/>
      <c r="AK3043" s="46"/>
      <c r="AL3043" s="46"/>
      <c r="AM3043" s="4"/>
    </row>
    <row r="3044" spans="1:49" customFormat="1" x14ac:dyDescent="0.3">
      <c r="A3044" s="386" t="s">
        <v>8319</v>
      </c>
      <c r="B3044" t="s">
        <v>8320</v>
      </c>
      <c r="C3044" s="200" t="s">
        <v>13114</v>
      </c>
      <c r="D3044" t="s">
        <v>6838</v>
      </c>
      <c r="E3044" s="200" t="s">
        <v>13115</v>
      </c>
      <c r="F3044" t="s">
        <v>12811</v>
      </c>
      <c r="G3044" s="200" t="s">
        <v>13116</v>
      </c>
      <c r="H3044" t="s">
        <v>12812</v>
      </c>
      <c r="K3044" s="200" t="s">
        <v>13133</v>
      </c>
      <c r="L3044" t="s">
        <v>12782</v>
      </c>
      <c r="M3044" s="1"/>
      <c r="N3044" s="423"/>
      <c r="O3044" s="1"/>
      <c r="P3044" s="3"/>
      <c r="Q3044" s="3"/>
      <c r="R3044" s="3"/>
      <c r="S3044" s="3"/>
      <c r="V3044" t="s">
        <v>12782</v>
      </c>
      <c r="AF3044" s="64"/>
      <c r="AH3044" s="4"/>
      <c r="AI3044" s="4"/>
      <c r="AJ3044" s="4"/>
      <c r="AK3044" s="46"/>
      <c r="AL3044" s="46"/>
      <c r="AM3044" s="4"/>
    </row>
    <row r="3045" spans="1:49" customFormat="1" x14ac:dyDescent="0.3">
      <c r="A3045" s="386" t="s">
        <v>8319</v>
      </c>
      <c r="B3045" t="s">
        <v>8320</v>
      </c>
      <c r="C3045" s="200" t="s">
        <v>13114</v>
      </c>
      <c r="D3045" t="s">
        <v>6838</v>
      </c>
      <c r="E3045" s="200" t="s">
        <v>13115</v>
      </c>
      <c r="F3045" t="s">
        <v>12811</v>
      </c>
      <c r="G3045" s="200" t="s">
        <v>13116</v>
      </c>
      <c r="H3045" t="s">
        <v>12812</v>
      </c>
      <c r="K3045" s="200" t="s">
        <v>13117</v>
      </c>
      <c r="L3045" t="s">
        <v>12783</v>
      </c>
      <c r="M3045" s="1" t="s">
        <v>12784</v>
      </c>
      <c r="N3045" s="423"/>
      <c r="O3045" s="1"/>
      <c r="P3045" s="3"/>
      <c r="Q3045" s="3"/>
      <c r="R3045" s="3"/>
      <c r="S3045" s="3"/>
      <c r="V3045" t="s">
        <v>12783</v>
      </c>
      <c r="AF3045" s="64"/>
      <c r="AH3045" s="4"/>
      <c r="AI3045" s="4"/>
      <c r="AJ3045" s="4"/>
      <c r="AK3045" s="46"/>
      <c r="AL3045" s="46"/>
      <c r="AM3045" s="4"/>
    </row>
    <row r="3046" spans="1:49" customFormat="1" x14ac:dyDescent="0.3">
      <c r="A3046" s="386" t="s">
        <v>8319</v>
      </c>
      <c r="B3046" t="s">
        <v>8320</v>
      </c>
      <c r="C3046" s="200" t="s">
        <v>13114</v>
      </c>
      <c r="D3046" t="s">
        <v>6838</v>
      </c>
      <c r="E3046" s="200" t="s">
        <v>13115</v>
      </c>
      <c r="F3046" t="s">
        <v>12811</v>
      </c>
      <c r="G3046" s="200" t="s">
        <v>13116</v>
      </c>
      <c r="H3046" t="s">
        <v>12812</v>
      </c>
      <c r="K3046" s="200" t="s">
        <v>13117</v>
      </c>
      <c r="L3046" t="s">
        <v>12785</v>
      </c>
      <c r="M3046" s="1" t="s">
        <v>12786</v>
      </c>
      <c r="N3046" s="423"/>
      <c r="O3046" s="1"/>
      <c r="P3046" s="3"/>
      <c r="Q3046" s="3"/>
      <c r="R3046" s="3"/>
      <c r="S3046" s="3"/>
      <c r="V3046" t="s">
        <v>12801</v>
      </c>
      <c r="AF3046" s="64"/>
      <c r="AH3046" s="4"/>
      <c r="AI3046" s="4"/>
      <c r="AJ3046" s="4"/>
      <c r="AK3046" s="46"/>
      <c r="AL3046" s="46"/>
      <c r="AM3046" s="4"/>
    </row>
    <row r="3047" spans="1:49" customFormat="1" x14ac:dyDescent="0.3">
      <c r="A3047" s="386" t="s">
        <v>8319</v>
      </c>
      <c r="B3047" t="s">
        <v>8320</v>
      </c>
      <c r="C3047" s="200" t="s">
        <v>13114</v>
      </c>
      <c r="D3047" t="s">
        <v>6838</v>
      </c>
      <c r="E3047" s="200" t="s">
        <v>13115</v>
      </c>
      <c r="F3047" t="s">
        <v>12811</v>
      </c>
      <c r="G3047" s="200" t="s">
        <v>13116</v>
      </c>
      <c r="H3047" t="s">
        <v>12812</v>
      </c>
      <c r="K3047" s="200" t="s">
        <v>13134</v>
      </c>
      <c r="L3047" t="s">
        <v>12787</v>
      </c>
      <c r="M3047" s="1" t="s">
        <v>12788</v>
      </c>
      <c r="N3047" s="423"/>
      <c r="O3047" s="1"/>
      <c r="P3047" s="3"/>
      <c r="Q3047" s="3"/>
      <c r="R3047" s="3"/>
      <c r="S3047" s="3"/>
      <c r="V3047" t="s">
        <v>12802</v>
      </c>
      <c r="AF3047" s="64"/>
      <c r="AH3047" s="4"/>
      <c r="AI3047" s="4"/>
      <c r="AJ3047" s="4"/>
      <c r="AK3047" s="46"/>
      <c r="AL3047" s="46"/>
      <c r="AM3047" s="4"/>
    </row>
    <row r="3048" spans="1:49" customFormat="1" x14ac:dyDescent="0.3">
      <c r="A3048" s="386" t="s">
        <v>8319</v>
      </c>
      <c r="B3048" t="s">
        <v>8320</v>
      </c>
      <c r="C3048" s="200" t="s">
        <v>13114</v>
      </c>
      <c r="D3048" t="s">
        <v>6838</v>
      </c>
      <c r="E3048" s="200" t="s">
        <v>13115</v>
      </c>
      <c r="F3048" t="s">
        <v>12811</v>
      </c>
      <c r="G3048" s="200" t="s">
        <v>13116</v>
      </c>
      <c r="H3048" t="s">
        <v>12812</v>
      </c>
      <c r="K3048" s="200" t="s">
        <v>13135</v>
      </c>
      <c r="L3048" t="s">
        <v>12789</v>
      </c>
      <c r="M3048" s="1" t="s">
        <v>12790</v>
      </c>
      <c r="N3048" s="423"/>
      <c r="O3048" s="1"/>
      <c r="P3048" s="3"/>
      <c r="Q3048" s="3"/>
      <c r="R3048" s="3"/>
      <c r="S3048" s="3"/>
      <c r="V3048" t="s">
        <v>12803</v>
      </c>
      <c r="AF3048" s="64"/>
      <c r="AH3048" s="4"/>
      <c r="AI3048" s="4"/>
      <c r="AJ3048" s="4"/>
      <c r="AK3048" s="46"/>
      <c r="AL3048" s="46"/>
      <c r="AM3048" s="4"/>
    </row>
    <row r="3049" spans="1:49" customFormat="1" x14ac:dyDescent="0.3">
      <c r="A3049" s="386" t="s">
        <v>8319</v>
      </c>
      <c r="B3049" t="s">
        <v>8320</v>
      </c>
      <c r="C3049" s="200" t="s">
        <v>13114</v>
      </c>
      <c r="D3049" t="s">
        <v>6838</v>
      </c>
      <c r="E3049" s="200" t="s">
        <v>13115</v>
      </c>
      <c r="F3049" t="s">
        <v>12811</v>
      </c>
      <c r="G3049" s="200" t="s">
        <v>13116</v>
      </c>
      <c r="H3049" t="s">
        <v>12812</v>
      </c>
      <c r="K3049" s="200" t="s">
        <v>13136</v>
      </c>
      <c r="L3049" t="s">
        <v>12791</v>
      </c>
      <c r="M3049" s="1" t="s">
        <v>12807</v>
      </c>
      <c r="N3049" s="423"/>
      <c r="O3049" s="1"/>
      <c r="P3049" s="3"/>
      <c r="Q3049" s="3"/>
      <c r="R3049" s="3"/>
      <c r="S3049" s="3"/>
      <c r="V3049" t="s">
        <v>12804</v>
      </c>
      <c r="AF3049" s="64"/>
      <c r="AH3049" s="4"/>
      <c r="AI3049" s="4"/>
      <c r="AJ3049" s="4"/>
      <c r="AK3049" s="46"/>
      <c r="AL3049" s="46"/>
      <c r="AM3049" s="4"/>
    </row>
    <row r="3050" spans="1:49" s="293" customFormat="1" x14ac:dyDescent="0.3">
      <c r="A3050" s="50" t="s">
        <v>1456</v>
      </c>
      <c r="B3050" s="51" t="s">
        <v>3184</v>
      </c>
      <c r="C3050" s="50" t="s">
        <v>3185</v>
      </c>
      <c r="D3050" s="51" t="s">
        <v>1491</v>
      </c>
      <c r="E3050" s="50" t="s">
        <v>3185</v>
      </c>
      <c r="F3050" s="51" t="s">
        <v>1493</v>
      </c>
      <c r="G3050" s="50" t="s">
        <v>3185</v>
      </c>
      <c r="H3050" s="51" t="s">
        <v>1491</v>
      </c>
      <c r="I3050" s="51"/>
      <c r="J3050" s="51"/>
      <c r="K3050" s="50" t="s">
        <v>3185</v>
      </c>
      <c r="L3050" s="51" t="s">
        <v>1491</v>
      </c>
      <c r="M3050" s="420" t="s">
        <v>271</v>
      </c>
      <c r="N3050" s="420" t="s">
        <v>271</v>
      </c>
      <c r="O3050" s="420" t="s">
        <v>271</v>
      </c>
      <c r="P3050" s="60" t="s">
        <v>271</v>
      </c>
      <c r="Q3050" s="60" t="s">
        <v>271</v>
      </c>
      <c r="R3050" s="60" t="s">
        <v>271</v>
      </c>
      <c r="S3050" s="60" t="s">
        <v>271</v>
      </c>
      <c r="T3050" s="60" t="s">
        <v>271</v>
      </c>
      <c r="U3050" s="60" t="s">
        <v>271</v>
      </c>
      <c r="V3050" s="51" t="s">
        <v>1489</v>
      </c>
      <c r="W3050" s="291"/>
      <c r="X3050" s="291"/>
      <c r="Y3050" s="291"/>
      <c r="Z3050" s="291"/>
      <c r="AA3050" s="291"/>
      <c r="AB3050" s="291"/>
      <c r="AC3050" s="291"/>
      <c r="AD3050" s="291"/>
      <c r="AE3050" s="292"/>
      <c r="AF3050" s="56"/>
      <c r="AG3050" s="292"/>
      <c r="AH3050" s="56"/>
      <c r="AI3050" s="56"/>
      <c r="AJ3050" s="56"/>
      <c r="AK3050" s="57">
        <v>11.3</v>
      </c>
      <c r="AL3050" s="57">
        <v>11.3</v>
      </c>
      <c r="AM3050" s="147">
        <f t="shared" ref="AM3050:AM3081" si="120">SUM(AK3050:AL3050)</f>
        <v>22.6</v>
      </c>
      <c r="AN3050" s="52"/>
      <c r="AO3050" s="52"/>
      <c r="AP3050" s="51"/>
    </row>
    <row r="3051" spans="1:49" s="293" customFormat="1" x14ac:dyDescent="0.3">
      <c r="A3051" s="50" t="s">
        <v>1456</v>
      </c>
      <c r="B3051" s="51" t="s">
        <v>3184</v>
      </c>
      <c r="C3051" s="50" t="s">
        <v>3185</v>
      </c>
      <c r="D3051" s="51" t="s">
        <v>1491</v>
      </c>
      <c r="E3051" s="50" t="s">
        <v>3185</v>
      </c>
      <c r="F3051" s="51" t="s">
        <v>1493</v>
      </c>
      <c r="G3051" s="50" t="s">
        <v>3185</v>
      </c>
      <c r="H3051" s="51" t="s">
        <v>1491</v>
      </c>
      <c r="I3051" s="51"/>
      <c r="J3051" s="51"/>
      <c r="K3051" s="50" t="s">
        <v>3185</v>
      </c>
      <c r="L3051" s="51" t="s">
        <v>1491</v>
      </c>
      <c r="M3051" s="420" t="s">
        <v>271</v>
      </c>
      <c r="N3051" s="420" t="s">
        <v>271</v>
      </c>
      <c r="O3051" s="420" t="s">
        <v>271</v>
      </c>
      <c r="P3051" s="60" t="s">
        <v>271</v>
      </c>
      <c r="Q3051" s="60" t="s">
        <v>271</v>
      </c>
      <c r="R3051" s="60" t="s">
        <v>271</v>
      </c>
      <c r="S3051" s="60" t="s">
        <v>271</v>
      </c>
      <c r="T3051" s="60" t="s">
        <v>271</v>
      </c>
      <c r="U3051" s="60" t="s">
        <v>271</v>
      </c>
      <c r="V3051" s="51" t="s">
        <v>1490</v>
      </c>
      <c r="W3051" s="291"/>
      <c r="X3051" s="291"/>
      <c r="Y3051" s="291"/>
      <c r="Z3051" s="291"/>
      <c r="AA3051" s="291"/>
      <c r="AB3051" s="291"/>
      <c r="AC3051" s="291"/>
      <c r="AD3051" s="291"/>
      <c r="AE3051" s="292"/>
      <c r="AF3051" s="56"/>
      <c r="AG3051" s="292"/>
      <c r="AH3051" s="56"/>
      <c r="AI3051" s="56"/>
      <c r="AJ3051" s="56"/>
      <c r="AK3051" s="57">
        <v>4.5200000000000005</v>
      </c>
      <c r="AL3051" s="57">
        <v>4.5200000000000005</v>
      </c>
      <c r="AM3051" s="147">
        <f t="shared" si="120"/>
        <v>9.0400000000000009</v>
      </c>
      <c r="AN3051" s="52"/>
      <c r="AO3051" s="52"/>
      <c r="AP3051" s="51"/>
    </row>
    <row r="3052" spans="1:49" s="293" customFormat="1" x14ac:dyDescent="0.3">
      <c r="A3052" s="50" t="s">
        <v>1456</v>
      </c>
      <c r="B3052" s="51" t="s">
        <v>3184</v>
      </c>
      <c r="C3052" s="50" t="s">
        <v>3185</v>
      </c>
      <c r="D3052" s="51" t="s">
        <v>1491</v>
      </c>
      <c r="E3052" s="50" t="s">
        <v>3185</v>
      </c>
      <c r="F3052" s="51" t="s">
        <v>1493</v>
      </c>
      <c r="G3052" s="50" t="s">
        <v>3185</v>
      </c>
      <c r="H3052" s="51" t="s">
        <v>1491</v>
      </c>
      <c r="I3052" s="51"/>
      <c r="J3052" s="51"/>
      <c r="K3052" s="50" t="s">
        <v>3185</v>
      </c>
      <c r="L3052" s="51" t="s">
        <v>1491</v>
      </c>
      <c r="M3052" s="420" t="s">
        <v>271</v>
      </c>
      <c r="N3052" s="420" t="s">
        <v>271</v>
      </c>
      <c r="O3052" s="420" t="s">
        <v>271</v>
      </c>
      <c r="P3052" s="60" t="s">
        <v>271</v>
      </c>
      <c r="Q3052" s="60" t="s">
        <v>271</v>
      </c>
      <c r="R3052" s="60" t="s">
        <v>271</v>
      </c>
      <c r="S3052" s="60" t="s">
        <v>271</v>
      </c>
      <c r="T3052" s="60" t="s">
        <v>271</v>
      </c>
      <c r="U3052" s="60" t="s">
        <v>271</v>
      </c>
      <c r="V3052" s="51" t="s">
        <v>1495</v>
      </c>
      <c r="W3052" s="291"/>
      <c r="X3052" s="291"/>
      <c r="Y3052" s="291"/>
      <c r="Z3052" s="291"/>
      <c r="AA3052" s="291"/>
      <c r="AB3052" s="291"/>
      <c r="AC3052" s="291"/>
      <c r="AD3052" s="291"/>
      <c r="AE3052" s="292"/>
      <c r="AF3052" s="56"/>
      <c r="AG3052" s="292"/>
      <c r="AH3052" s="56"/>
      <c r="AI3052" s="56"/>
      <c r="AJ3052" s="56"/>
      <c r="AK3052" s="57">
        <v>12.755600000000001</v>
      </c>
      <c r="AL3052" s="57">
        <v>15.306719999999999</v>
      </c>
      <c r="AM3052" s="147">
        <f t="shared" si="120"/>
        <v>28.06232</v>
      </c>
      <c r="AN3052" s="52"/>
      <c r="AO3052" s="52"/>
      <c r="AP3052" s="51"/>
    </row>
    <row r="3053" spans="1:49" x14ac:dyDescent="0.3">
      <c r="A3053" s="328" t="s">
        <v>1456</v>
      </c>
      <c r="B3053" s="283" t="s">
        <v>3184</v>
      </c>
      <c r="C3053" s="328" t="s">
        <v>1457</v>
      </c>
      <c r="D3053" s="283" t="s">
        <v>3186</v>
      </c>
      <c r="E3053" s="283" t="s">
        <v>1458</v>
      </c>
      <c r="F3053" s="283" t="s">
        <v>3187</v>
      </c>
      <c r="G3053" s="328" t="s">
        <v>3188</v>
      </c>
      <c r="H3053" s="162" t="s">
        <v>3189</v>
      </c>
      <c r="I3053" s="162"/>
      <c r="J3053" s="162"/>
      <c r="K3053" s="205" t="s">
        <v>3190</v>
      </c>
      <c r="L3053" s="162" t="s">
        <v>3191</v>
      </c>
      <c r="M3053" s="162" t="s">
        <v>3192</v>
      </c>
      <c r="N3053" s="162">
        <v>0</v>
      </c>
      <c r="O3053" s="162">
        <v>0</v>
      </c>
      <c r="P3053" s="162">
        <v>0</v>
      </c>
      <c r="Q3053" s="162">
        <v>1</v>
      </c>
      <c r="R3053" s="162">
        <v>1</v>
      </c>
      <c r="S3053" s="162">
        <v>1</v>
      </c>
      <c r="T3053" s="162" t="s">
        <v>3193</v>
      </c>
      <c r="U3053" s="162" t="e">
        <v>#N/A</v>
      </c>
      <c r="V3053" s="162" t="s">
        <v>3194</v>
      </c>
      <c r="W3053" s="329">
        <v>1</v>
      </c>
      <c r="X3053" s="329">
        <v>1</v>
      </c>
      <c r="Y3053" s="329">
        <v>1</v>
      </c>
      <c r="Z3053" s="329">
        <v>1</v>
      </c>
      <c r="AA3053" s="329">
        <v>1</v>
      </c>
      <c r="AB3053" s="329">
        <v>1</v>
      </c>
      <c r="AC3053" s="330">
        <v>1</v>
      </c>
      <c r="AD3053" s="330">
        <v>1</v>
      </c>
      <c r="AE3053" s="302">
        <f t="shared" ref="AE3053:AE3099" si="121">SUM(W3053:AD3053)/8</f>
        <v>1</v>
      </c>
      <c r="AF3053" s="201"/>
      <c r="AG3053" s="201">
        <v>1</v>
      </c>
      <c r="AH3053" s="201">
        <v>0</v>
      </c>
      <c r="AI3053" s="201">
        <v>0</v>
      </c>
      <c r="AJ3053" s="201">
        <v>1</v>
      </c>
      <c r="AK3053" s="202">
        <v>3</v>
      </c>
      <c r="AL3053" s="202">
        <v>10</v>
      </c>
      <c r="AM3053" s="147">
        <f t="shared" si="120"/>
        <v>13</v>
      </c>
      <c r="AN3053" s="283" t="s">
        <v>3193</v>
      </c>
      <c r="AO3053" s="283" t="s">
        <v>3193</v>
      </c>
      <c r="AP3053" s="283" t="s">
        <v>3195</v>
      </c>
      <c r="AW3053" s="331"/>
    </row>
    <row r="3054" spans="1:49" ht="15.6" x14ac:dyDescent="0.3">
      <c r="A3054" s="328" t="s">
        <v>1456</v>
      </c>
      <c r="B3054" s="283" t="s">
        <v>3184</v>
      </c>
      <c r="C3054" s="328" t="s">
        <v>1457</v>
      </c>
      <c r="D3054" s="283" t="s">
        <v>3186</v>
      </c>
      <c r="E3054" s="283" t="s">
        <v>1458</v>
      </c>
      <c r="F3054" s="283" t="s">
        <v>3196</v>
      </c>
      <c r="G3054" s="328" t="s">
        <v>3188</v>
      </c>
      <c r="H3054" s="203" t="s">
        <v>3197</v>
      </c>
      <c r="I3054" s="203"/>
      <c r="J3054" s="203"/>
      <c r="K3054" s="204" t="s">
        <v>3198</v>
      </c>
      <c r="L3054" s="203" t="s">
        <v>3199</v>
      </c>
      <c r="M3054" s="203" t="s">
        <v>3200</v>
      </c>
      <c r="N3054" s="203"/>
      <c r="O3054" s="203">
        <v>0</v>
      </c>
      <c r="P3054" s="203">
        <v>0</v>
      </c>
      <c r="Q3054" s="203">
        <v>100</v>
      </c>
      <c r="R3054" s="203">
        <v>300</v>
      </c>
      <c r="S3054" s="203">
        <v>500</v>
      </c>
      <c r="T3054" s="203" t="s">
        <v>3201</v>
      </c>
      <c r="U3054" s="203" t="s">
        <v>5285</v>
      </c>
      <c r="V3054" s="203" t="s">
        <v>3202</v>
      </c>
      <c r="W3054" s="332">
        <v>1</v>
      </c>
      <c r="X3054" s="332">
        <v>1</v>
      </c>
      <c r="Y3054" s="332">
        <v>0</v>
      </c>
      <c r="Z3054" s="333">
        <v>1</v>
      </c>
      <c r="AA3054" s="332">
        <v>1</v>
      </c>
      <c r="AB3054" s="333">
        <v>1</v>
      </c>
      <c r="AC3054" s="334">
        <v>0</v>
      </c>
      <c r="AD3054" s="334">
        <v>0</v>
      </c>
      <c r="AE3054" s="302">
        <f t="shared" si="121"/>
        <v>0.625</v>
      </c>
      <c r="AF3054" s="310"/>
      <c r="AG3054" s="17">
        <v>0</v>
      </c>
      <c r="AH3054" s="310">
        <v>0</v>
      </c>
      <c r="AI3054" s="310" t="s">
        <v>271</v>
      </c>
      <c r="AJ3054" s="310">
        <v>0.2</v>
      </c>
      <c r="AK3054" s="317">
        <v>2</v>
      </c>
      <c r="AL3054" s="317">
        <v>5</v>
      </c>
      <c r="AM3054" s="147">
        <f t="shared" si="120"/>
        <v>7</v>
      </c>
      <c r="AN3054" s="283" t="s">
        <v>3201</v>
      </c>
      <c r="AO3054" s="283" t="s">
        <v>3201</v>
      </c>
      <c r="AP3054" s="283" t="s">
        <v>3193</v>
      </c>
      <c r="AW3054" s="331"/>
    </row>
    <row r="3055" spans="1:49" x14ac:dyDescent="0.3">
      <c r="A3055" s="328" t="s">
        <v>1456</v>
      </c>
      <c r="B3055" s="283" t="s">
        <v>3184</v>
      </c>
      <c r="C3055" s="328" t="s">
        <v>1457</v>
      </c>
      <c r="D3055" s="283" t="s">
        <v>3186</v>
      </c>
      <c r="E3055" s="283" t="s">
        <v>1458</v>
      </c>
      <c r="F3055" s="283" t="s">
        <v>3196</v>
      </c>
      <c r="G3055" s="328" t="s">
        <v>3203</v>
      </c>
      <c r="H3055" s="162" t="s">
        <v>3197</v>
      </c>
      <c r="I3055" s="162"/>
      <c r="J3055" s="162"/>
      <c r="K3055" s="205" t="s">
        <v>3204</v>
      </c>
      <c r="L3055" s="162" t="s">
        <v>3205</v>
      </c>
      <c r="M3055" s="162" t="s">
        <v>3206</v>
      </c>
      <c r="N3055" s="162">
        <v>35</v>
      </c>
      <c r="O3055" s="162">
        <v>0</v>
      </c>
      <c r="P3055" s="162">
        <v>0</v>
      </c>
      <c r="Q3055" s="162">
        <v>80</v>
      </c>
      <c r="R3055" s="162">
        <v>105</v>
      </c>
      <c r="S3055" s="162">
        <v>130</v>
      </c>
      <c r="T3055" s="162" t="s">
        <v>3193</v>
      </c>
      <c r="U3055" s="162" t="e">
        <v>#N/A</v>
      </c>
      <c r="V3055" s="162" t="s">
        <v>3207</v>
      </c>
      <c r="W3055" s="329">
        <v>1</v>
      </c>
      <c r="X3055" s="329">
        <v>1</v>
      </c>
      <c r="Y3055" s="329">
        <v>0</v>
      </c>
      <c r="Z3055" s="329">
        <v>1</v>
      </c>
      <c r="AA3055" s="329">
        <v>1</v>
      </c>
      <c r="AB3055" s="329">
        <v>0</v>
      </c>
      <c r="AC3055" s="330">
        <v>0</v>
      </c>
      <c r="AD3055" s="330">
        <v>0</v>
      </c>
      <c r="AE3055" s="302">
        <f t="shared" si="121"/>
        <v>0.5</v>
      </c>
      <c r="AF3055" s="310"/>
      <c r="AG3055" s="17">
        <v>0</v>
      </c>
      <c r="AH3055" s="310">
        <v>0</v>
      </c>
      <c r="AI3055" s="310">
        <v>0</v>
      </c>
      <c r="AJ3055" s="310">
        <v>1</v>
      </c>
      <c r="AK3055" s="317">
        <v>5</v>
      </c>
      <c r="AL3055" s="317">
        <v>5</v>
      </c>
      <c r="AM3055" s="147">
        <f t="shared" si="120"/>
        <v>10</v>
      </c>
      <c r="AN3055" s="283" t="s">
        <v>3193</v>
      </c>
      <c r="AO3055" s="283" t="s">
        <v>3193</v>
      </c>
      <c r="AP3055" s="283" t="s">
        <v>3208</v>
      </c>
      <c r="AW3055" s="331"/>
    </row>
    <row r="3056" spans="1:49" x14ac:dyDescent="0.3">
      <c r="A3056" s="328" t="s">
        <v>1456</v>
      </c>
      <c r="B3056" s="283" t="s">
        <v>3184</v>
      </c>
      <c r="C3056" s="328" t="s">
        <v>1459</v>
      </c>
      <c r="D3056" s="283" t="s">
        <v>3186</v>
      </c>
      <c r="E3056" s="283" t="s">
        <v>1460</v>
      </c>
      <c r="F3056" s="283" t="s">
        <v>3196</v>
      </c>
      <c r="G3056" s="328" t="s">
        <v>3209</v>
      </c>
      <c r="H3056" s="162" t="s">
        <v>3197</v>
      </c>
      <c r="I3056" s="162"/>
      <c r="J3056" s="162"/>
      <c r="K3056" s="205" t="s">
        <v>3210</v>
      </c>
      <c r="L3056" s="162" t="s">
        <v>3211</v>
      </c>
      <c r="M3056" s="162" t="s">
        <v>3212</v>
      </c>
      <c r="N3056" s="162"/>
      <c r="O3056" s="162">
        <v>0</v>
      </c>
      <c r="P3056" s="162">
        <v>0</v>
      </c>
      <c r="Q3056" s="162">
        <v>60</v>
      </c>
      <c r="R3056" s="162">
        <v>120</v>
      </c>
      <c r="S3056" s="162">
        <v>180</v>
      </c>
      <c r="T3056" s="162" t="s">
        <v>3193</v>
      </c>
      <c r="U3056" s="162" t="e">
        <v>#N/A</v>
      </c>
      <c r="V3056" s="162" t="s">
        <v>3213</v>
      </c>
      <c r="W3056" s="329">
        <v>1</v>
      </c>
      <c r="X3056" s="329">
        <v>1</v>
      </c>
      <c r="Y3056" s="329">
        <v>0</v>
      </c>
      <c r="Z3056" s="329">
        <v>1</v>
      </c>
      <c r="AA3056" s="329">
        <v>1</v>
      </c>
      <c r="AB3056" s="329">
        <v>0</v>
      </c>
      <c r="AC3056" s="330">
        <v>0</v>
      </c>
      <c r="AD3056" s="330">
        <v>0</v>
      </c>
      <c r="AE3056" s="302">
        <f t="shared" si="121"/>
        <v>0.5</v>
      </c>
      <c r="AF3056" s="310"/>
      <c r="AG3056" s="17">
        <v>0</v>
      </c>
      <c r="AH3056" s="310">
        <v>0</v>
      </c>
      <c r="AI3056" s="310">
        <v>0</v>
      </c>
      <c r="AJ3056" s="310">
        <v>2</v>
      </c>
      <c r="AK3056" s="317">
        <v>3</v>
      </c>
      <c r="AL3056" s="317">
        <v>3</v>
      </c>
      <c r="AM3056" s="147">
        <f t="shared" si="120"/>
        <v>6</v>
      </c>
      <c r="AN3056" s="283" t="s">
        <v>3193</v>
      </c>
      <c r="AO3056" s="283" t="s">
        <v>3193</v>
      </c>
      <c r="AW3056" s="331"/>
    </row>
    <row r="3057" spans="1:49" x14ac:dyDescent="0.3">
      <c r="A3057" s="328" t="s">
        <v>1456</v>
      </c>
      <c r="B3057" s="283" t="s">
        <v>3184</v>
      </c>
      <c r="C3057" s="328" t="s">
        <v>1459</v>
      </c>
      <c r="D3057" s="283" t="s">
        <v>3214</v>
      </c>
      <c r="E3057" s="283" t="s">
        <v>1460</v>
      </c>
      <c r="F3057" s="283" t="s">
        <v>3196</v>
      </c>
      <c r="G3057" s="328" t="s">
        <v>3209</v>
      </c>
      <c r="H3057" s="162" t="s">
        <v>3215</v>
      </c>
      <c r="I3057" s="162"/>
      <c r="J3057" s="162"/>
      <c r="K3057" s="205" t="s">
        <v>3216</v>
      </c>
      <c r="L3057" s="162" t="s">
        <v>3217</v>
      </c>
      <c r="M3057" s="162" t="s">
        <v>3218</v>
      </c>
      <c r="N3057" s="162">
        <v>0</v>
      </c>
      <c r="O3057" s="162">
        <v>0</v>
      </c>
      <c r="P3057" s="162">
        <v>0</v>
      </c>
      <c r="Q3057" s="162">
        <v>2</v>
      </c>
      <c r="R3057" s="162">
        <v>10</v>
      </c>
      <c r="S3057" s="162">
        <v>10</v>
      </c>
      <c r="T3057" s="162" t="s">
        <v>3193</v>
      </c>
      <c r="U3057" s="162" t="e">
        <v>#N/A</v>
      </c>
      <c r="V3057" s="162" t="s">
        <v>3219</v>
      </c>
      <c r="W3057" s="329">
        <v>1</v>
      </c>
      <c r="X3057" s="329">
        <v>1</v>
      </c>
      <c r="Y3057" s="329">
        <v>1</v>
      </c>
      <c r="Z3057" s="329">
        <v>1</v>
      </c>
      <c r="AA3057" s="329">
        <v>1</v>
      </c>
      <c r="AB3057" s="329">
        <v>1</v>
      </c>
      <c r="AC3057" s="330">
        <v>1</v>
      </c>
      <c r="AD3057" s="330">
        <v>1</v>
      </c>
      <c r="AE3057" s="302">
        <f t="shared" si="121"/>
        <v>1</v>
      </c>
      <c r="AF3057" s="310"/>
      <c r="AG3057" s="17">
        <v>0</v>
      </c>
      <c r="AH3057" s="310">
        <v>0</v>
      </c>
      <c r="AI3057" s="310">
        <v>0</v>
      </c>
      <c r="AJ3057" s="310">
        <v>5</v>
      </c>
      <c r="AK3057" s="317">
        <v>2</v>
      </c>
      <c r="AL3057" s="317">
        <v>15</v>
      </c>
      <c r="AM3057" s="147">
        <f t="shared" si="120"/>
        <v>17</v>
      </c>
      <c r="AN3057" s="283" t="s">
        <v>3193</v>
      </c>
      <c r="AO3057" s="283" t="s">
        <v>3193</v>
      </c>
      <c r="AP3057" s="283" t="s">
        <v>3220</v>
      </c>
      <c r="AW3057" s="331"/>
    </row>
    <row r="3058" spans="1:49" x14ac:dyDescent="0.3">
      <c r="A3058" s="328" t="s">
        <v>1456</v>
      </c>
      <c r="B3058" s="283" t="s">
        <v>3184</v>
      </c>
      <c r="C3058" s="328" t="s">
        <v>1459</v>
      </c>
      <c r="D3058" s="283" t="s">
        <v>3186</v>
      </c>
      <c r="E3058" s="283" t="s">
        <v>1460</v>
      </c>
      <c r="F3058" s="283" t="s">
        <v>3196</v>
      </c>
      <c r="G3058" s="328" t="s">
        <v>3209</v>
      </c>
      <c r="H3058" s="162" t="s">
        <v>3221</v>
      </c>
      <c r="I3058" s="162"/>
      <c r="J3058" s="162"/>
      <c r="K3058" s="205" t="s">
        <v>3222</v>
      </c>
      <c r="L3058" s="162" t="s">
        <v>3223</v>
      </c>
      <c r="M3058" s="162" t="s">
        <v>3224</v>
      </c>
      <c r="N3058" s="162">
        <v>0</v>
      </c>
      <c r="O3058" s="162">
        <v>0</v>
      </c>
      <c r="P3058" s="162">
        <v>0</v>
      </c>
      <c r="Q3058" s="162">
        <v>2</v>
      </c>
      <c r="R3058" s="162">
        <v>1</v>
      </c>
      <c r="S3058" s="162">
        <v>1</v>
      </c>
      <c r="T3058" s="162" t="s">
        <v>3193</v>
      </c>
      <c r="U3058" s="162" t="e">
        <v>#N/A</v>
      </c>
      <c r="V3058" s="162" t="s">
        <v>3225</v>
      </c>
      <c r="W3058" s="329">
        <v>0</v>
      </c>
      <c r="X3058" s="329">
        <v>0</v>
      </c>
      <c r="Y3058" s="329">
        <v>0</v>
      </c>
      <c r="Z3058" s="329">
        <v>1</v>
      </c>
      <c r="AA3058" s="329">
        <v>1</v>
      </c>
      <c r="AB3058" s="329">
        <v>0</v>
      </c>
      <c r="AC3058" s="330">
        <v>0</v>
      </c>
      <c r="AD3058" s="330">
        <v>0</v>
      </c>
      <c r="AE3058" s="302">
        <f t="shared" si="121"/>
        <v>0.25</v>
      </c>
      <c r="AF3058" s="310"/>
      <c r="AG3058" s="17">
        <v>0</v>
      </c>
      <c r="AH3058" s="310">
        <v>0</v>
      </c>
      <c r="AI3058" s="310" t="s">
        <v>271</v>
      </c>
      <c r="AJ3058" s="201">
        <v>0.5</v>
      </c>
      <c r="AK3058" s="202">
        <v>1.4</v>
      </c>
      <c r="AL3058" s="202">
        <v>1.4</v>
      </c>
      <c r="AM3058" s="147">
        <f t="shared" si="120"/>
        <v>2.8</v>
      </c>
      <c r="AN3058" s="283" t="s">
        <v>3193</v>
      </c>
      <c r="AO3058" s="283" t="s">
        <v>3193</v>
      </c>
      <c r="AP3058" s="283" t="s">
        <v>3226</v>
      </c>
      <c r="AW3058" s="331"/>
    </row>
    <row r="3059" spans="1:49" x14ac:dyDescent="0.3">
      <c r="A3059" s="328" t="s">
        <v>1456</v>
      </c>
      <c r="B3059" s="283" t="s">
        <v>3184</v>
      </c>
      <c r="C3059" s="328" t="s">
        <v>1459</v>
      </c>
      <c r="D3059" s="283" t="s">
        <v>3186</v>
      </c>
      <c r="E3059" s="283" t="s">
        <v>1460</v>
      </c>
      <c r="F3059" s="283" t="s">
        <v>3196</v>
      </c>
      <c r="G3059" s="328" t="s">
        <v>3227</v>
      </c>
      <c r="H3059" s="162" t="s">
        <v>3228</v>
      </c>
      <c r="I3059" s="162"/>
      <c r="J3059" s="162" t="s">
        <v>3229</v>
      </c>
      <c r="K3059" s="205" t="s">
        <v>3230</v>
      </c>
      <c r="L3059" s="162" t="s">
        <v>3231</v>
      </c>
      <c r="M3059" s="162" t="s">
        <v>3232</v>
      </c>
      <c r="N3059" s="162">
        <v>0</v>
      </c>
      <c r="O3059" s="162">
        <v>0</v>
      </c>
      <c r="P3059" s="162">
        <v>0</v>
      </c>
      <c r="Q3059" s="162">
        <v>0</v>
      </c>
      <c r="R3059" s="162">
        <v>1</v>
      </c>
      <c r="S3059" s="162">
        <v>1</v>
      </c>
      <c r="T3059" s="162" t="s">
        <v>3193</v>
      </c>
      <c r="U3059" s="162" t="e">
        <v>#N/A</v>
      </c>
      <c r="V3059" s="162" t="s">
        <v>3233</v>
      </c>
      <c r="W3059" s="329">
        <v>0</v>
      </c>
      <c r="X3059" s="329">
        <v>0</v>
      </c>
      <c r="Y3059" s="329">
        <v>0</v>
      </c>
      <c r="Z3059" s="329">
        <v>1</v>
      </c>
      <c r="AA3059" s="329">
        <v>1</v>
      </c>
      <c r="AB3059" s="329">
        <v>1</v>
      </c>
      <c r="AC3059" s="330">
        <v>0</v>
      </c>
      <c r="AD3059" s="330">
        <v>1</v>
      </c>
      <c r="AE3059" s="302">
        <f t="shared" si="121"/>
        <v>0.5</v>
      </c>
      <c r="AF3059" s="310"/>
      <c r="AG3059" s="17">
        <v>0</v>
      </c>
      <c r="AH3059" s="310">
        <v>0</v>
      </c>
      <c r="AI3059" s="310">
        <v>0</v>
      </c>
      <c r="AJ3059" s="310">
        <v>2</v>
      </c>
      <c r="AK3059" s="317">
        <v>1</v>
      </c>
      <c r="AL3059" s="317">
        <v>5</v>
      </c>
      <c r="AM3059" s="147">
        <f t="shared" si="120"/>
        <v>6</v>
      </c>
      <c r="AN3059" s="283" t="s">
        <v>3193</v>
      </c>
      <c r="AO3059" s="283" t="s">
        <v>3193</v>
      </c>
      <c r="AW3059" s="331"/>
    </row>
    <row r="3060" spans="1:49" x14ac:dyDescent="0.3">
      <c r="A3060" s="328" t="s">
        <v>1456</v>
      </c>
      <c r="B3060" s="283" t="s">
        <v>3184</v>
      </c>
      <c r="C3060" s="328" t="s">
        <v>1459</v>
      </c>
      <c r="D3060" s="283" t="s">
        <v>3186</v>
      </c>
      <c r="E3060" s="283" t="s">
        <v>1460</v>
      </c>
      <c r="F3060" s="283" t="s">
        <v>3234</v>
      </c>
      <c r="G3060" s="328" t="s">
        <v>3227</v>
      </c>
      <c r="H3060" s="162" t="s">
        <v>3235</v>
      </c>
      <c r="I3060" s="162"/>
      <c r="J3060" s="162"/>
      <c r="K3060" s="205" t="s">
        <v>3236</v>
      </c>
      <c r="L3060" s="162" t="s">
        <v>3237</v>
      </c>
      <c r="M3060" s="162" t="s">
        <v>3238</v>
      </c>
      <c r="N3060" s="162">
        <v>0</v>
      </c>
      <c r="O3060" s="162">
        <v>0</v>
      </c>
      <c r="P3060" s="162">
        <v>0</v>
      </c>
      <c r="Q3060" s="162">
        <v>1</v>
      </c>
      <c r="R3060" s="162">
        <v>1</v>
      </c>
      <c r="S3060" s="162">
        <v>1</v>
      </c>
      <c r="T3060" s="162" t="s">
        <v>3193</v>
      </c>
      <c r="U3060" s="162" t="e">
        <v>#N/A</v>
      </c>
      <c r="V3060" s="162" t="s">
        <v>3239</v>
      </c>
      <c r="W3060" s="329">
        <v>1</v>
      </c>
      <c r="X3060" s="329">
        <v>0</v>
      </c>
      <c r="Y3060" s="329">
        <v>0</v>
      </c>
      <c r="Z3060" s="329">
        <v>1</v>
      </c>
      <c r="AA3060" s="329">
        <v>1</v>
      </c>
      <c r="AB3060" s="329">
        <v>0</v>
      </c>
      <c r="AC3060" s="330">
        <v>0</v>
      </c>
      <c r="AD3060" s="330">
        <v>1</v>
      </c>
      <c r="AE3060" s="302">
        <f t="shared" si="121"/>
        <v>0.5</v>
      </c>
      <c r="AF3060" s="310"/>
      <c r="AG3060" s="17">
        <v>0</v>
      </c>
      <c r="AH3060" s="310">
        <v>0</v>
      </c>
      <c r="AI3060" s="310" t="s">
        <v>271</v>
      </c>
      <c r="AJ3060" s="310">
        <v>3</v>
      </c>
      <c r="AK3060" s="317">
        <v>0.1</v>
      </c>
      <c r="AL3060" s="317">
        <v>1</v>
      </c>
      <c r="AM3060" s="147">
        <f t="shared" si="120"/>
        <v>1.1000000000000001</v>
      </c>
      <c r="AN3060" s="283" t="s">
        <v>3193</v>
      </c>
      <c r="AO3060" s="283" t="s">
        <v>3193</v>
      </c>
      <c r="AP3060" s="283" t="s">
        <v>3240</v>
      </c>
      <c r="AW3060" s="331"/>
    </row>
    <row r="3061" spans="1:49" x14ac:dyDescent="0.3">
      <c r="A3061" s="328" t="s">
        <v>1456</v>
      </c>
      <c r="B3061" s="283" t="s">
        <v>3184</v>
      </c>
      <c r="C3061" s="328" t="s">
        <v>1459</v>
      </c>
      <c r="D3061" s="283" t="s">
        <v>3186</v>
      </c>
      <c r="E3061" s="283" t="s">
        <v>1460</v>
      </c>
      <c r="F3061" s="283" t="s">
        <v>3241</v>
      </c>
      <c r="G3061" s="328" t="s">
        <v>3242</v>
      </c>
      <c r="H3061" s="203" t="s">
        <v>3243</v>
      </c>
      <c r="I3061" s="162" t="s">
        <v>3244</v>
      </c>
      <c r="J3061" s="162"/>
      <c r="K3061" s="162" t="s">
        <v>3245</v>
      </c>
      <c r="L3061" s="203" t="s">
        <v>3246</v>
      </c>
      <c r="M3061" s="162" t="s">
        <v>3247</v>
      </c>
      <c r="N3061" s="162" t="s">
        <v>271</v>
      </c>
      <c r="O3061" s="162">
        <v>0</v>
      </c>
      <c r="P3061" s="162">
        <v>0</v>
      </c>
      <c r="Q3061" s="162">
        <v>1</v>
      </c>
      <c r="R3061" s="162">
        <v>1</v>
      </c>
      <c r="S3061" s="162">
        <v>1</v>
      </c>
      <c r="T3061" s="162" t="s">
        <v>3193</v>
      </c>
      <c r="U3061" s="162" t="e">
        <v>#N/A</v>
      </c>
      <c r="V3061" s="203" t="s">
        <v>3248</v>
      </c>
      <c r="W3061" s="335">
        <v>0</v>
      </c>
      <c r="X3061" s="335">
        <v>0</v>
      </c>
      <c r="Y3061" s="335">
        <v>0</v>
      </c>
      <c r="Z3061" s="335">
        <v>0</v>
      </c>
      <c r="AA3061" s="335">
        <v>0</v>
      </c>
      <c r="AB3061" s="335">
        <v>0</v>
      </c>
      <c r="AC3061" s="336">
        <v>0</v>
      </c>
      <c r="AD3061" s="330">
        <v>1</v>
      </c>
      <c r="AE3061" s="302">
        <f t="shared" si="121"/>
        <v>0.125</v>
      </c>
      <c r="AF3061" s="310"/>
      <c r="AG3061" s="17">
        <v>0</v>
      </c>
      <c r="AH3061" s="310">
        <v>0</v>
      </c>
      <c r="AI3061" s="310" t="s">
        <v>271</v>
      </c>
      <c r="AJ3061" s="201">
        <v>0.1</v>
      </c>
      <c r="AK3061" s="202">
        <v>16.423999999999999</v>
      </c>
      <c r="AL3061" s="202">
        <v>16.423999999999999</v>
      </c>
      <c r="AM3061" s="147">
        <f t="shared" si="120"/>
        <v>32.847999999999999</v>
      </c>
      <c r="AN3061" s="283" t="s">
        <v>3193</v>
      </c>
      <c r="AO3061" s="283" t="s">
        <v>3193</v>
      </c>
      <c r="AW3061" s="331"/>
    </row>
    <row r="3062" spans="1:49" x14ac:dyDescent="0.3">
      <c r="A3062" s="328" t="s">
        <v>1456</v>
      </c>
      <c r="B3062" s="283" t="s">
        <v>3184</v>
      </c>
      <c r="C3062" s="328" t="s">
        <v>1459</v>
      </c>
      <c r="D3062" s="283" t="s">
        <v>3186</v>
      </c>
      <c r="E3062" s="283" t="s">
        <v>1460</v>
      </c>
      <c r="F3062" s="283" t="s">
        <v>3196</v>
      </c>
      <c r="G3062" s="328" t="s">
        <v>3242</v>
      </c>
      <c r="H3062" s="162" t="s">
        <v>3228</v>
      </c>
      <c r="I3062" s="162" t="s">
        <v>3249</v>
      </c>
      <c r="J3062" s="162" t="s">
        <v>3250</v>
      </c>
      <c r="K3062" s="162" t="s">
        <v>3251</v>
      </c>
      <c r="L3062" s="162" t="s">
        <v>3252</v>
      </c>
      <c r="M3062" s="162" t="s">
        <v>3253</v>
      </c>
      <c r="N3062" s="162" t="s">
        <v>271</v>
      </c>
      <c r="O3062" s="162">
        <v>0</v>
      </c>
      <c r="P3062" s="162">
        <v>0</v>
      </c>
      <c r="Q3062" s="162">
        <v>3</v>
      </c>
      <c r="R3062" s="162">
        <v>3</v>
      </c>
      <c r="S3062" s="162">
        <v>3</v>
      </c>
      <c r="T3062" s="162" t="s">
        <v>3193</v>
      </c>
      <c r="U3062" s="162" t="e">
        <v>#N/A</v>
      </c>
      <c r="V3062" s="162" t="s">
        <v>3254</v>
      </c>
      <c r="W3062" s="329">
        <v>1</v>
      </c>
      <c r="X3062" s="329">
        <v>1</v>
      </c>
      <c r="Y3062" s="329">
        <v>0</v>
      </c>
      <c r="Z3062" s="329">
        <v>1</v>
      </c>
      <c r="AA3062" s="329">
        <v>1</v>
      </c>
      <c r="AB3062" s="329">
        <v>0</v>
      </c>
      <c r="AC3062" s="330">
        <v>1</v>
      </c>
      <c r="AD3062" s="330">
        <v>1</v>
      </c>
      <c r="AE3062" s="302">
        <f t="shared" si="121"/>
        <v>0.75</v>
      </c>
      <c r="AF3062" s="310"/>
      <c r="AG3062" s="17">
        <v>0</v>
      </c>
      <c r="AH3062" s="310">
        <v>0</v>
      </c>
      <c r="AI3062" s="310" t="s">
        <v>271</v>
      </c>
      <c r="AJ3062" s="310">
        <v>1.4</v>
      </c>
      <c r="AK3062" s="317">
        <v>0.1</v>
      </c>
      <c r="AL3062" s="317">
        <v>5</v>
      </c>
      <c r="AM3062" s="147">
        <f t="shared" si="120"/>
        <v>5.0999999999999996</v>
      </c>
      <c r="AN3062" s="283" t="s">
        <v>3193</v>
      </c>
      <c r="AO3062" s="283" t="s">
        <v>3193</v>
      </c>
      <c r="AP3062" s="283" t="s">
        <v>3255</v>
      </c>
      <c r="AW3062" s="331"/>
    </row>
    <row r="3063" spans="1:49" x14ac:dyDescent="0.3">
      <c r="A3063" s="328" t="s">
        <v>1456</v>
      </c>
      <c r="B3063" s="283" t="s">
        <v>3184</v>
      </c>
      <c r="C3063" s="328" t="s">
        <v>1459</v>
      </c>
      <c r="D3063" s="283" t="s">
        <v>3186</v>
      </c>
      <c r="E3063" s="283" t="s">
        <v>1460</v>
      </c>
      <c r="F3063" s="283" t="s">
        <v>3234</v>
      </c>
      <c r="G3063" s="328" t="s">
        <v>3242</v>
      </c>
      <c r="H3063" s="203" t="s">
        <v>3256</v>
      </c>
      <c r="I3063" s="203" t="s">
        <v>3249</v>
      </c>
      <c r="J3063" s="203"/>
      <c r="K3063" s="203" t="s">
        <v>3257</v>
      </c>
      <c r="L3063" s="203" t="s">
        <v>3258</v>
      </c>
      <c r="M3063" s="203" t="s">
        <v>3259</v>
      </c>
      <c r="N3063" s="203" t="s">
        <v>271</v>
      </c>
      <c r="O3063" s="203">
        <v>0</v>
      </c>
      <c r="P3063" s="203">
        <v>0</v>
      </c>
      <c r="Q3063" s="203">
        <v>1</v>
      </c>
      <c r="R3063" s="203">
        <v>1</v>
      </c>
      <c r="S3063" s="203">
        <v>1</v>
      </c>
      <c r="T3063" s="203" t="s">
        <v>3240</v>
      </c>
      <c r="U3063" s="203" t="e">
        <v>#N/A</v>
      </c>
      <c r="V3063" s="203" t="s">
        <v>3260</v>
      </c>
      <c r="W3063" s="329">
        <v>1</v>
      </c>
      <c r="X3063" s="329">
        <v>1</v>
      </c>
      <c r="Y3063" s="329">
        <v>1</v>
      </c>
      <c r="Z3063" s="329">
        <v>1</v>
      </c>
      <c r="AA3063" s="329">
        <v>1</v>
      </c>
      <c r="AB3063" s="329">
        <v>0</v>
      </c>
      <c r="AC3063" s="330">
        <v>1</v>
      </c>
      <c r="AD3063" s="330">
        <v>1</v>
      </c>
      <c r="AE3063" s="302">
        <f t="shared" si="121"/>
        <v>0.875</v>
      </c>
      <c r="AF3063" s="310"/>
      <c r="AG3063" s="17">
        <v>0</v>
      </c>
      <c r="AH3063" s="310" t="s">
        <v>271</v>
      </c>
      <c r="AI3063" s="310" t="s">
        <v>271</v>
      </c>
      <c r="AJ3063" s="310">
        <v>0.2</v>
      </c>
      <c r="AK3063" s="317">
        <v>0.2</v>
      </c>
      <c r="AL3063" s="317">
        <v>0.2</v>
      </c>
      <c r="AM3063" s="147">
        <f t="shared" si="120"/>
        <v>0.4</v>
      </c>
      <c r="AN3063" s="283" t="s">
        <v>3240</v>
      </c>
      <c r="AO3063" s="283" t="s">
        <v>3261</v>
      </c>
      <c r="AP3063" s="283" t="s">
        <v>3262</v>
      </c>
      <c r="AW3063" s="331"/>
    </row>
    <row r="3064" spans="1:49" x14ac:dyDescent="0.3">
      <c r="A3064" s="328" t="s">
        <v>1456</v>
      </c>
      <c r="B3064" s="283" t="s">
        <v>3184</v>
      </c>
      <c r="C3064" s="328" t="s">
        <v>1459</v>
      </c>
      <c r="D3064" s="283" t="s">
        <v>3186</v>
      </c>
      <c r="E3064" s="283" t="s">
        <v>1460</v>
      </c>
      <c r="F3064" s="283" t="s">
        <v>3196</v>
      </c>
      <c r="G3064" s="328" t="s">
        <v>3242</v>
      </c>
      <c r="H3064" s="162" t="s">
        <v>3263</v>
      </c>
      <c r="I3064" s="162" t="s">
        <v>3249</v>
      </c>
      <c r="J3064" s="162"/>
      <c r="K3064" s="162" t="s">
        <v>3264</v>
      </c>
      <c r="L3064" s="162" t="s">
        <v>3265</v>
      </c>
      <c r="M3064" s="162" t="s">
        <v>3266</v>
      </c>
      <c r="N3064" s="162">
        <v>0</v>
      </c>
      <c r="O3064" s="162">
        <v>0</v>
      </c>
      <c r="P3064" s="162">
        <v>0</v>
      </c>
      <c r="Q3064" s="162">
        <v>1</v>
      </c>
      <c r="R3064" s="162">
        <v>1</v>
      </c>
      <c r="S3064" s="162">
        <v>1</v>
      </c>
      <c r="T3064" s="162" t="s">
        <v>3240</v>
      </c>
      <c r="U3064" s="162" t="e">
        <v>#N/A</v>
      </c>
      <c r="V3064" s="162" t="s">
        <v>3267</v>
      </c>
      <c r="W3064" s="329">
        <v>0</v>
      </c>
      <c r="X3064" s="329">
        <v>0</v>
      </c>
      <c r="Y3064" s="329">
        <v>0</v>
      </c>
      <c r="Z3064" s="329">
        <v>1</v>
      </c>
      <c r="AA3064" s="329">
        <v>1</v>
      </c>
      <c r="AB3064" s="329">
        <v>1</v>
      </c>
      <c r="AC3064" s="330">
        <v>0</v>
      </c>
      <c r="AD3064" s="330">
        <v>0</v>
      </c>
      <c r="AE3064" s="302">
        <f t="shared" si="121"/>
        <v>0.375</v>
      </c>
      <c r="AF3064" s="310"/>
      <c r="AG3064" s="17">
        <v>0</v>
      </c>
      <c r="AH3064" s="310">
        <v>0</v>
      </c>
      <c r="AI3064" s="310" t="s">
        <v>271</v>
      </c>
      <c r="AJ3064" s="201">
        <v>1</v>
      </c>
      <c r="AK3064" s="202">
        <v>1</v>
      </c>
      <c r="AL3064" s="202">
        <v>0.2</v>
      </c>
      <c r="AM3064" s="147">
        <f t="shared" si="120"/>
        <v>1.2</v>
      </c>
      <c r="AN3064" s="283" t="s">
        <v>3240</v>
      </c>
      <c r="AO3064" s="283" t="s">
        <v>3261</v>
      </c>
      <c r="AP3064" s="283" t="s">
        <v>3268</v>
      </c>
      <c r="AW3064" s="331"/>
    </row>
    <row r="3065" spans="1:49" x14ac:dyDescent="0.3">
      <c r="A3065" s="328" t="s">
        <v>1456</v>
      </c>
      <c r="B3065" s="283" t="s">
        <v>3184</v>
      </c>
      <c r="C3065" s="328" t="s">
        <v>1459</v>
      </c>
      <c r="D3065" s="283" t="s">
        <v>3186</v>
      </c>
      <c r="E3065" s="283" t="s">
        <v>1460</v>
      </c>
      <c r="F3065" s="283" t="s">
        <v>3234</v>
      </c>
      <c r="G3065" s="328" t="s">
        <v>3242</v>
      </c>
      <c r="H3065" s="162" t="s">
        <v>3269</v>
      </c>
      <c r="I3065" s="162" t="s">
        <v>3249</v>
      </c>
      <c r="J3065" s="162"/>
      <c r="K3065" s="162" t="s">
        <v>3270</v>
      </c>
      <c r="L3065" s="162" t="s">
        <v>3271</v>
      </c>
      <c r="M3065" s="162" t="s">
        <v>3272</v>
      </c>
      <c r="N3065" s="162"/>
      <c r="O3065" s="162">
        <v>0</v>
      </c>
      <c r="P3065" s="162">
        <v>0</v>
      </c>
      <c r="Q3065" s="162">
        <v>100</v>
      </c>
      <c r="R3065" s="162">
        <v>1000</v>
      </c>
      <c r="S3065" s="162">
        <v>1000</v>
      </c>
      <c r="T3065" s="162" t="s">
        <v>3240</v>
      </c>
      <c r="U3065" s="162" t="e">
        <v>#N/A</v>
      </c>
      <c r="V3065" s="162" t="s">
        <v>3273</v>
      </c>
      <c r="W3065" s="329">
        <v>0</v>
      </c>
      <c r="X3065" s="329">
        <v>0</v>
      </c>
      <c r="Y3065" s="329">
        <v>0</v>
      </c>
      <c r="Z3065" s="329">
        <v>1</v>
      </c>
      <c r="AA3065" s="329">
        <v>1</v>
      </c>
      <c r="AB3065" s="329">
        <v>1</v>
      </c>
      <c r="AC3065" s="330">
        <v>0</v>
      </c>
      <c r="AD3065" s="330">
        <v>1</v>
      </c>
      <c r="AE3065" s="302">
        <f t="shared" si="121"/>
        <v>0.5</v>
      </c>
      <c r="AF3065" s="310"/>
      <c r="AG3065" s="17">
        <v>0</v>
      </c>
      <c r="AH3065" s="310">
        <v>0</v>
      </c>
      <c r="AI3065" s="310" t="s">
        <v>271</v>
      </c>
      <c r="AJ3065" s="310">
        <v>0.1</v>
      </c>
      <c r="AK3065" s="317">
        <v>0.1</v>
      </c>
      <c r="AL3065" s="317">
        <v>5</v>
      </c>
      <c r="AM3065" s="147">
        <f t="shared" si="120"/>
        <v>5.0999999999999996</v>
      </c>
      <c r="AN3065" s="283" t="s">
        <v>3240</v>
      </c>
      <c r="AO3065" s="283" t="s">
        <v>3193</v>
      </c>
      <c r="AW3065" s="331"/>
    </row>
    <row r="3066" spans="1:49" x14ac:dyDescent="0.3">
      <c r="A3066" s="328" t="s">
        <v>1456</v>
      </c>
      <c r="B3066" s="283" t="s">
        <v>3184</v>
      </c>
      <c r="C3066" s="328" t="s">
        <v>1459</v>
      </c>
      <c r="D3066" s="283" t="s">
        <v>3186</v>
      </c>
      <c r="E3066" s="283" t="s">
        <v>1460</v>
      </c>
      <c r="F3066" s="283" t="s">
        <v>3234</v>
      </c>
      <c r="G3066" s="328" t="s">
        <v>3242</v>
      </c>
      <c r="H3066" s="162" t="s">
        <v>3269</v>
      </c>
      <c r="I3066" s="162" t="s">
        <v>3249</v>
      </c>
      <c r="J3066" s="162"/>
      <c r="K3066" s="162" t="s">
        <v>3274</v>
      </c>
      <c r="L3066" s="162" t="s">
        <v>3275</v>
      </c>
      <c r="M3066" s="162" t="s">
        <v>3276</v>
      </c>
      <c r="N3066" s="162">
        <v>0</v>
      </c>
      <c r="O3066" s="162">
        <v>0</v>
      </c>
      <c r="P3066" s="162">
        <v>0</v>
      </c>
      <c r="Q3066" s="162">
        <v>0</v>
      </c>
      <c r="R3066" s="162">
        <v>1</v>
      </c>
      <c r="S3066" s="162">
        <v>1</v>
      </c>
      <c r="T3066" s="162" t="s">
        <v>3240</v>
      </c>
      <c r="U3066" s="162" t="e">
        <v>#N/A</v>
      </c>
      <c r="V3066" s="162" t="s">
        <v>3277</v>
      </c>
      <c r="W3066" s="329">
        <v>1</v>
      </c>
      <c r="X3066" s="329">
        <v>0</v>
      </c>
      <c r="Y3066" s="329">
        <v>0</v>
      </c>
      <c r="Z3066" s="329">
        <v>1</v>
      </c>
      <c r="AA3066" s="329">
        <v>1</v>
      </c>
      <c r="AB3066" s="329">
        <v>1</v>
      </c>
      <c r="AC3066" s="330">
        <v>0</v>
      </c>
      <c r="AD3066" s="330">
        <v>1</v>
      </c>
      <c r="AE3066" s="302">
        <f t="shared" si="121"/>
        <v>0.625</v>
      </c>
      <c r="AF3066" s="4"/>
      <c r="AG3066" s="17">
        <v>0</v>
      </c>
      <c r="AH3066" s="4" t="s">
        <v>271</v>
      </c>
      <c r="AI3066" s="4" t="s">
        <v>271</v>
      </c>
      <c r="AJ3066" s="4">
        <v>0.1</v>
      </c>
      <c r="AK3066" s="46">
        <v>1</v>
      </c>
      <c r="AL3066" s="46">
        <v>1.5</v>
      </c>
      <c r="AM3066" s="147">
        <f t="shared" si="120"/>
        <v>2.5</v>
      </c>
      <c r="AN3066" s="283" t="s">
        <v>3240</v>
      </c>
      <c r="AO3066" s="283" t="s">
        <v>3193</v>
      </c>
      <c r="AP3066" s="283" t="s">
        <v>3193</v>
      </c>
      <c r="AW3066" s="331"/>
    </row>
    <row r="3067" spans="1:49" s="337" customFormat="1" x14ac:dyDescent="0.3">
      <c r="A3067" s="328" t="s">
        <v>1456</v>
      </c>
      <c r="B3067" s="283" t="s">
        <v>3184</v>
      </c>
      <c r="C3067" s="328" t="s">
        <v>1459</v>
      </c>
      <c r="D3067" s="283" t="s">
        <v>3186</v>
      </c>
      <c r="E3067" s="283" t="s">
        <v>1461</v>
      </c>
      <c r="F3067" s="283" t="s">
        <v>3241</v>
      </c>
      <c r="G3067" s="328" t="s">
        <v>3278</v>
      </c>
      <c r="H3067" s="203" t="s">
        <v>3243</v>
      </c>
      <c r="I3067" s="162"/>
      <c r="J3067" s="162"/>
      <c r="K3067" s="205" t="s">
        <v>3279</v>
      </c>
      <c r="L3067" s="203" t="s">
        <v>3280</v>
      </c>
      <c r="M3067" s="162" t="s">
        <v>3281</v>
      </c>
      <c r="N3067" s="162"/>
      <c r="O3067" s="162">
        <v>0</v>
      </c>
      <c r="P3067" s="162">
        <v>0</v>
      </c>
      <c r="Q3067" s="162">
        <v>2</v>
      </c>
      <c r="R3067" s="162">
        <v>4</v>
      </c>
      <c r="S3067" s="162">
        <v>4</v>
      </c>
      <c r="T3067" s="162" t="s">
        <v>3193</v>
      </c>
      <c r="U3067" s="162" t="e">
        <v>#N/A</v>
      </c>
      <c r="V3067" s="203" t="s">
        <v>3282</v>
      </c>
      <c r="W3067" s="329">
        <v>1</v>
      </c>
      <c r="X3067" s="329">
        <v>0</v>
      </c>
      <c r="Y3067" s="329">
        <v>0</v>
      </c>
      <c r="Z3067" s="329">
        <v>1</v>
      </c>
      <c r="AA3067" s="329">
        <v>1</v>
      </c>
      <c r="AB3067" s="329">
        <v>1</v>
      </c>
      <c r="AC3067" s="330">
        <v>0</v>
      </c>
      <c r="AD3067" s="330">
        <v>1</v>
      </c>
      <c r="AE3067" s="302">
        <f t="shared" si="121"/>
        <v>0.625</v>
      </c>
      <c r="AF3067" s="310"/>
      <c r="AG3067" s="17">
        <v>0</v>
      </c>
      <c r="AH3067" s="310" t="s">
        <v>271</v>
      </c>
      <c r="AI3067" s="310" t="s">
        <v>271</v>
      </c>
      <c r="AJ3067" s="310">
        <v>16.423999999999999</v>
      </c>
      <c r="AK3067" s="317">
        <v>0.2</v>
      </c>
      <c r="AL3067" s="317">
        <v>0.2</v>
      </c>
      <c r="AM3067" s="147">
        <f t="shared" si="120"/>
        <v>0.4</v>
      </c>
      <c r="AN3067" s="283" t="s">
        <v>3193</v>
      </c>
      <c r="AO3067" s="283" t="s">
        <v>3193</v>
      </c>
      <c r="AP3067" s="283"/>
      <c r="AQ3067" s="283"/>
      <c r="AR3067" s="283"/>
      <c r="AS3067" s="283"/>
      <c r="AT3067" s="283"/>
      <c r="AU3067" s="283"/>
      <c r="AV3067" s="283"/>
      <c r="AW3067" s="331"/>
    </row>
    <row r="3068" spans="1:49" x14ac:dyDescent="0.3">
      <c r="A3068" s="328" t="s">
        <v>1456</v>
      </c>
      <c r="B3068" s="283" t="s">
        <v>3184</v>
      </c>
      <c r="C3068" s="328" t="s">
        <v>1459</v>
      </c>
      <c r="D3068" s="283" t="s">
        <v>3186</v>
      </c>
      <c r="E3068" s="283" t="s">
        <v>1461</v>
      </c>
      <c r="F3068" s="283" t="s">
        <v>3187</v>
      </c>
      <c r="G3068" s="328" t="s">
        <v>3278</v>
      </c>
      <c r="H3068" s="162" t="s">
        <v>3283</v>
      </c>
      <c r="I3068" s="162"/>
      <c r="J3068" s="162"/>
      <c r="K3068" s="205" t="s">
        <v>3279</v>
      </c>
      <c r="L3068" s="162" t="s">
        <v>3284</v>
      </c>
      <c r="M3068" s="162" t="s">
        <v>3285</v>
      </c>
      <c r="N3068" s="162"/>
      <c r="O3068" s="162">
        <v>0</v>
      </c>
      <c r="P3068" s="162">
        <v>0</v>
      </c>
      <c r="Q3068" s="162">
        <v>1</v>
      </c>
      <c r="R3068" s="162">
        <v>1</v>
      </c>
      <c r="S3068" s="162">
        <v>1</v>
      </c>
      <c r="T3068" s="162" t="s">
        <v>3193</v>
      </c>
      <c r="U3068" s="162" t="e">
        <v>#N/A</v>
      </c>
      <c r="V3068" s="162" t="s">
        <v>3286</v>
      </c>
      <c r="W3068" s="329">
        <v>0</v>
      </c>
      <c r="X3068" s="329">
        <v>0</v>
      </c>
      <c r="Y3068" s="329">
        <v>0</v>
      </c>
      <c r="Z3068" s="329">
        <v>1</v>
      </c>
      <c r="AA3068" s="329">
        <v>1</v>
      </c>
      <c r="AB3068" s="329">
        <v>1</v>
      </c>
      <c r="AC3068" s="330">
        <v>0</v>
      </c>
      <c r="AD3068" s="330">
        <v>1</v>
      </c>
      <c r="AE3068" s="302">
        <f t="shared" si="121"/>
        <v>0.5</v>
      </c>
      <c r="AF3068" s="310"/>
      <c r="AG3068" s="17">
        <v>0</v>
      </c>
      <c r="AH3068" s="310" t="s">
        <v>271</v>
      </c>
      <c r="AI3068" s="310" t="s">
        <v>271</v>
      </c>
      <c r="AJ3068" s="310">
        <v>0.5</v>
      </c>
      <c r="AK3068" s="317">
        <v>0.2</v>
      </c>
      <c r="AL3068" s="317">
        <v>0.5</v>
      </c>
      <c r="AM3068" s="147">
        <f t="shared" si="120"/>
        <v>0.7</v>
      </c>
      <c r="AN3068" s="283" t="s">
        <v>3193</v>
      </c>
      <c r="AO3068" s="283" t="s">
        <v>3193</v>
      </c>
      <c r="AP3068" s="283" t="s">
        <v>3240</v>
      </c>
      <c r="AW3068" s="331"/>
    </row>
    <row r="3069" spans="1:49" x14ac:dyDescent="0.3">
      <c r="A3069" s="328" t="s">
        <v>1456</v>
      </c>
      <c r="B3069" s="283" t="s">
        <v>3184</v>
      </c>
      <c r="C3069" s="328" t="s">
        <v>1459</v>
      </c>
      <c r="D3069" s="283" t="s">
        <v>3186</v>
      </c>
      <c r="E3069" s="283" t="s">
        <v>1461</v>
      </c>
      <c r="F3069" s="283" t="s">
        <v>3241</v>
      </c>
      <c r="G3069" s="328" t="s">
        <v>3278</v>
      </c>
      <c r="H3069" s="162" t="s">
        <v>3287</v>
      </c>
      <c r="I3069" s="162"/>
      <c r="J3069" s="162"/>
      <c r="K3069" s="205" t="s">
        <v>3288</v>
      </c>
      <c r="L3069" s="162" t="s">
        <v>3289</v>
      </c>
      <c r="M3069" s="162" t="s">
        <v>3290</v>
      </c>
      <c r="N3069" s="162"/>
      <c r="O3069" s="162">
        <v>0</v>
      </c>
      <c r="P3069" s="162">
        <v>0</v>
      </c>
      <c r="Q3069" s="162">
        <v>1</v>
      </c>
      <c r="R3069" s="162">
        <v>1</v>
      </c>
      <c r="S3069" s="162">
        <v>1</v>
      </c>
      <c r="T3069" s="162" t="s">
        <v>3193</v>
      </c>
      <c r="U3069" s="162" t="e">
        <v>#N/A</v>
      </c>
      <c r="V3069" s="162" t="s">
        <v>3291</v>
      </c>
      <c r="W3069" s="329">
        <v>1</v>
      </c>
      <c r="X3069" s="329">
        <v>1</v>
      </c>
      <c r="Y3069" s="329">
        <v>0</v>
      </c>
      <c r="Z3069" s="329">
        <v>1</v>
      </c>
      <c r="AA3069" s="329">
        <v>1</v>
      </c>
      <c r="AB3069" s="329">
        <v>1</v>
      </c>
      <c r="AC3069" s="330">
        <v>0</v>
      </c>
      <c r="AD3069" s="330">
        <v>1</v>
      </c>
      <c r="AE3069" s="302">
        <f t="shared" si="121"/>
        <v>0.75</v>
      </c>
      <c r="AF3069" s="310"/>
      <c r="AG3069" s="17">
        <v>0</v>
      </c>
      <c r="AH3069" s="310">
        <v>0</v>
      </c>
      <c r="AI3069" s="310">
        <v>0</v>
      </c>
      <c r="AJ3069" s="310">
        <v>0.2</v>
      </c>
      <c r="AK3069" s="317">
        <v>0</v>
      </c>
      <c r="AL3069" s="317">
        <v>0.2</v>
      </c>
      <c r="AM3069" s="147">
        <f t="shared" si="120"/>
        <v>0.2</v>
      </c>
      <c r="AN3069" s="283" t="s">
        <v>3193</v>
      </c>
      <c r="AO3069" s="283" t="s">
        <v>3193</v>
      </c>
      <c r="AP3069" s="283" t="s">
        <v>3292</v>
      </c>
      <c r="AW3069" s="331"/>
    </row>
    <row r="3070" spans="1:49" x14ac:dyDescent="0.3">
      <c r="A3070" s="328" t="s">
        <v>1456</v>
      </c>
      <c r="B3070" s="283" t="s">
        <v>3184</v>
      </c>
      <c r="C3070" s="328" t="s">
        <v>1459</v>
      </c>
      <c r="D3070" s="283" t="s">
        <v>3293</v>
      </c>
      <c r="E3070" s="283" t="s">
        <v>1461</v>
      </c>
      <c r="F3070" s="283" t="s">
        <v>3294</v>
      </c>
      <c r="G3070" s="328" t="s">
        <v>3278</v>
      </c>
      <c r="H3070" s="162" t="s">
        <v>3295</v>
      </c>
      <c r="I3070" s="162"/>
      <c r="J3070" s="162"/>
      <c r="K3070" s="205" t="s">
        <v>3296</v>
      </c>
      <c r="L3070" s="162" t="s">
        <v>3297</v>
      </c>
      <c r="M3070" s="162" t="s">
        <v>3298</v>
      </c>
      <c r="N3070" s="162">
        <v>0</v>
      </c>
      <c r="O3070" s="162">
        <v>0</v>
      </c>
      <c r="P3070" s="162">
        <v>0</v>
      </c>
      <c r="Q3070" s="162">
        <v>3</v>
      </c>
      <c r="R3070" s="162">
        <v>4</v>
      </c>
      <c r="S3070" s="162">
        <v>5</v>
      </c>
      <c r="T3070" s="162" t="s">
        <v>3292</v>
      </c>
      <c r="U3070" s="162" t="e">
        <v>#N/A</v>
      </c>
      <c r="V3070" s="162" t="s">
        <v>3299</v>
      </c>
      <c r="W3070" s="329">
        <v>1</v>
      </c>
      <c r="X3070" s="329">
        <v>1</v>
      </c>
      <c r="Y3070" s="329">
        <v>0</v>
      </c>
      <c r="Z3070" s="329">
        <v>1</v>
      </c>
      <c r="AA3070" s="329">
        <v>1</v>
      </c>
      <c r="AB3070" s="329">
        <v>0</v>
      </c>
      <c r="AC3070" s="330">
        <v>0</v>
      </c>
      <c r="AD3070" s="330">
        <v>1</v>
      </c>
      <c r="AE3070" s="302">
        <f t="shared" si="121"/>
        <v>0.625</v>
      </c>
      <c r="AF3070" s="310"/>
      <c r="AG3070" s="17">
        <v>0</v>
      </c>
      <c r="AH3070" s="310">
        <v>0</v>
      </c>
      <c r="AI3070" s="310">
        <v>0</v>
      </c>
      <c r="AJ3070" s="310">
        <v>0.1</v>
      </c>
      <c r="AK3070" s="317">
        <v>0.5</v>
      </c>
      <c r="AL3070" s="317">
        <v>1</v>
      </c>
      <c r="AM3070" s="147">
        <f t="shared" si="120"/>
        <v>1.5</v>
      </c>
      <c r="AN3070" s="283" t="s">
        <v>3292</v>
      </c>
      <c r="AO3070" s="283" t="s">
        <v>3193</v>
      </c>
      <c r="AP3070" s="283" t="s">
        <v>3300</v>
      </c>
      <c r="AW3070" s="331"/>
    </row>
    <row r="3071" spans="1:49" x14ac:dyDescent="0.3">
      <c r="A3071" s="328" t="s">
        <v>1456</v>
      </c>
      <c r="B3071" s="283" t="s">
        <v>3184</v>
      </c>
      <c r="C3071" s="328" t="s">
        <v>1459</v>
      </c>
      <c r="D3071" s="283" t="s">
        <v>3293</v>
      </c>
      <c r="E3071" s="283" t="s">
        <v>1462</v>
      </c>
      <c r="F3071" s="283" t="s">
        <v>3294</v>
      </c>
      <c r="G3071" s="328" t="s">
        <v>3301</v>
      </c>
      <c r="H3071" s="162" t="s">
        <v>3302</v>
      </c>
      <c r="I3071" s="162"/>
      <c r="J3071" s="162"/>
      <c r="K3071" s="162" t="s">
        <v>3303</v>
      </c>
      <c r="L3071" s="162" t="s">
        <v>3304</v>
      </c>
      <c r="M3071" s="162" t="s">
        <v>3305</v>
      </c>
      <c r="N3071" s="162" t="s">
        <v>271</v>
      </c>
      <c r="O3071" s="162">
        <v>0</v>
      </c>
      <c r="P3071" s="162">
        <v>0</v>
      </c>
      <c r="Q3071" s="162">
        <v>50</v>
      </c>
      <c r="R3071" s="162">
        <v>50</v>
      </c>
      <c r="S3071" s="162">
        <v>50</v>
      </c>
      <c r="T3071" s="162" t="s">
        <v>3292</v>
      </c>
      <c r="U3071" s="162" t="e">
        <v>#N/A</v>
      </c>
      <c r="V3071" s="162" t="s">
        <v>3306</v>
      </c>
      <c r="W3071" s="329">
        <v>1</v>
      </c>
      <c r="X3071" s="329">
        <v>1</v>
      </c>
      <c r="Y3071" s="329">
        <v>1</v>
      </c>
      <c r="Z3071" s="329">
        <v>1</v>
      </c>
      <c r="AA3071" s="329">
        <v>1</v>
      </c>
      <c r="AB3071" s="329">
        <v>0</v>
      </c>
      <c r="AC3071" s="330">
        <v>0</v>
      </c>
      <c r="AD3071" s="330">
        <v>1</v>
      </c>
      <c r="AE3071" s="302">
        <f t="shared" si="121"/>
        <v>0.75</v>
      </c>
      <c r="AF3071" s="310"/>
      <c r="AG3071" s="17">
        <v>0</v>
      </c>
      <c r="AH3071" s="310">
        <v>0</v>
      </c>
      <c r="AI3071" s="310">
        <v>0</v>
      </c>
      <c r="AJ3071" s="310">
        <v>0.3</v>
      </c>
      <c r="AK3071" s="317">
        <v>1.5</v>
      </c>
      <c r="AL3071" s="317">
        <v>5</v>
      </c>
      <c r="AM3071" s="147">
        <f t="shared" si="120"/>
        <v>6.5</v>
      </c>
      <c r="AN3071" s="283" t="s">
        <v>3292</v>
      </c>
      <c r="AO3071" s="283" t="s">
        <v>3261</v>
      </c>
      <c r="AP3071" s="283" t="s">
        <v>3307</v>
      </c>
      <c r="AW3071" s="331"/>
    </row>
    <row r="3072" spans="1:49" x14ac:dyDescent="0.3">
      <c r="A3072" s="328" t="s">
        <v>1456</v>
      </c>
      <c r="B3072" s="283" t="s">
        <v>3184</v>
      </c>
      <c r="C3072" s="328" t="s">
        <v>1459</v>
      </c>
      <c r="D3072" s="283" t="s">
        <v>3214</v>
      </c>
      <c r="E3072" s="283" t="s">
        <v>1460</v>
      </c>
      <c r="F3072" s="283" t="s">
        <v>3234</v>
      </c>
      <c r="G3072" s="328" t="s">
        <v>3308</v>
      </c>
      <c r="H3072" s="162" t="s">
        <v>3309</v>
      </c>
      <c r="I3072" s="162"/>
      <c r="J3072" s="162"/>
      <c r="K3072" s="205" t="s">
        <v>3310</v>
      </c>
      <c r="L3072" s="162" t="s">
        <v>3311</v>
      </c>
      <c r="M3072" s="162" t="s">
        <v>3312</v>
      </c>
      <c r="N3072" s="162">
        <v>0</v>
      </c>
      <c r="O3072" s="162">
        <v>0</v>
      </c>
      <c r="P3072" s="162">
        <v>0</v>
      </c>
      <c r="Q3072" s="162">
        <v>100</v>
      </c>
      <c r="R3072" s="162">
        <v>100</v>
      </c>
      <c r="S3072" s="162">
        <v>100</v>
      </c>
      <c r="T3072" s="162" t="s">
        <v>3193</v>
      </c>
      <c r="U3072" s="162" t="e">
        <v>#N/A</v>
      </c>
      <c r="V3072" s="162" t="s">
        <v>3313</v>
      </c>
      <c r="W3072" s="329">
        <v>0</v>
      </c>
      <c r="X3072" s="329">
        <v>0</v>
      </c>
      <c r="Y3072" s="329">
        <v>0</v>
      </c>
      <c r="Z3072" s="329">
        <v>1</v>
      </c>
      <c r="AA3072" s="329">
        <v>1</v>
      </c>
      <c r="AB3072" s="329">
        <v>1</v>
      </c>
      <c r="AC3072" s="330">
        <v>0</v>
      </c>
      <c r="AD3072" s="330">
        <v>1</v>
      </c>
      <c r="AE3072" s="302">
        <f t="shared" si="121"/>
        <v>0.5</v>
      </c>
      <c r="AF3072" s="310"/>
      <c r="AG3072" s="17">
        <v>0</v>
      </c>
      <c r="AH3072" s="310">
        <v>0</v>
      </c>
      <c r="AI3072" s="310">
        <v>0</v>
      </c>
      <c r="AJ3072" s="310">
        <v>0.2</v>
      </c>
      <c r="AK3072" s="317">
        <v>2</v>
      </c>
      <c r="AL3072" s="317">
        <v>2</v>
      </c>
      <c r="AM3072" s="147">
        <f t="shared" si="120"/>
        <v>4</v>
      </c>
      <c r="AN3072" s="283" t="s">
        <v>3193</v>
      </c>
      <c r="AO3072" s="283" t="s">
        <v>3193</v>
      </c>
      <c r="AP3072" s="283" t="s">
        <v>3220</v>
      </c>
      <c r="AW3072" s="331"/>
    </row>
    <row r="3073" spans="1:49" x14ac:dyDescent="0.3">
      <c r="A3073" s="328" t="s">
        <v>1456</v>
      </c>
      <c r="B3073" s="283" t="s">
        <v>3184</v>
      </c>
      <c r="C3073" s="328" t="s">
        <v>1459</v>
      </c>
      <c r="D3073" s="283" t="s">
        <v>3186</v>
      </c>
      <c r="E3073" s="283" t="s">
        <v>1462</v>
      </c>
      <c r="F3073" s="283" t="s">
        <v>3234</v>
      </c>
      <c r="G3073" s="328" t="s">
        <v>3314</v>
      </c>
      <c r="H3073" s="203" t="s">
        <v>3315</v>
      </c>
      <c r="I3073" s="162"/>
      <c r="J3073" s="162"/>
      <c r="K3073" s="162" t="s">
        <v>3316</v>
      </c>
      <c r="L3073" s="203" t="s">
        <v>3317</v>
      </c>
      <c r="M3073" s="203" t="s">
        <v>3318</v>
      </c>
      <c r="N3073" s="203"/>
      <c r="O3073" s="203">
        <v>0</v>
      </c>
      <c r="P3073" s="203">
        <v>0</v>
      </c>
      <c r="Q3073" s="203">
        <v>5</v>
      </c>
      <c r="R3073" s="203">
        <v>9</v>
      </c>
      <c r="S3073" s="203">
        <v>9</v>
      </c>
      <c r="T3073" s="203" t="s">
        <v>3193</v>
      </c>
      <c r="U3073" s="203" t="e">
        <v>#N/A</v>
      </c>
      <c r="V3073" s="203" t="s">
        <v>3319</v>
      </c>
      <c r="W3073" s="329">
        <v>0</v>
      </c>
      <c r="X3073" s="329">
        <v>0</v>
      </c>
      <c r="Y3073" s="329">
        <v>0</v>
      </c>
      <c r="Z3073" s="329">
        <v>1</v>
      </c>
      <c r="AA3073" s="329">
        <v>1</v>
      </c>
      <c r="AB3073" s="329">
        <v>1</v>
      </c>
      <c r="AC3073" s="330">
        <v>1</v>
      </c>
      <c r="AD3073" s="330">
        <v>0</v>
      </c>
      <c r="AE3073" s="302">
        <f t="shared" si="121"/>
        <v>0.5</v>
      </c>
      <c r="AF3073" s="310"/>
      <c r="AG3073" s="17">
        <v>0</v>
      </c>
      <c r="AH3073" s="310">
        <v>0</v>
      </c>
      <c r="AI3073" s="310">
        <v>0</v>
      </c>
      <c r="AJ3073" s="310">
        <v>0.1</v>
      </c>
      <c r="AK3073" s="317">
        <v>0.5</v>
      </c>
      <c r="AL3073" s="317">
        <v>2</v>
      </c>
      <c r="AM3073" s="147">
        <f t="shared" si="120"/>
        <v>2.5</v>
      </c>
      <c r="AN3073" s="283" t="s">
        <v>3193</v>
      </c>
      <c r="AO3073" s="283" t="s">
        <v>3193</v>
      </c>
      <c r="AW3073" s="331"/>
    </row>
    <row r="3074" spans="1:49" x14ac:dyDescent="0.3">
      <c r="A3074" s="328" t="s">
        <v>1456</v>
      </c>
      <c r="B3074" s="283" t="s">
        <v>3184</v>
      </c>
      <c r="C3074" s="328" t="s">
        <v>1459</v>
      </c>
      <c r="D3074" s="283" t="s">
        <v>3186</v>
      </c>
      <c r="E3074" s="283" t="s">
        <v>1462</v>
      </c>
      <c r="F3074" s="283" t="s">
        <v>3234</v>
      </c>
      <c r="G3074" s="328" t="s">
        <v>3314</v>
      </c>
      <c r="H3074" s="203" t="s">
        <v>3320</v>
      </c>
      <c r="I3074" s="162"/>
      <c r="J3074" s="162"/>
      <c r="K3074" s="162" t="s">
        <v>3321</v>
      </c>
      <c r="L3074" s="203" t="s">
        <v>3322</v>
      </c>
      <c r="M3074" s="203" t="s">
        <v>3323</v>
      </c>
      <c r="N3074" s="203">
        <v>0</v>
      </c>
      <c r="O3074" s="203">
        <v>0</v>
      </c>
      <c r="P3074" s="203">
        <v>0</v>
      </c>
      <c r="Q3074" s="203">
        <v>15</v>
      </c>
      <c r="R3074" s="203">
        <v>15</v>
      </c>
      <c r="S3074" s="203">
        <v>20</v>
      </c>
      <c r="T3074" s="203" t="s">
        <v>3324</v>
      </c>
      <c r="U3074" s="203" t="e">
        <v>#N/A</v>
      </c>
      <c r="V3074" s="203" t="s">
        <v>3325</v>
      </c>
      <c r="W3074" s="329">
        <v>0</v>
      </c>
      <c r="X3074" s="329">
        <v>0</v>
      </c>
      <c r="Y3074" s="329">
        <v>0</v>
      </c>
      <c r="Z3074" s="329">
        <v>1</v>
      </c>
      <c r="AA3074" s="329">
        <v>1</v>
      </c>
      <c r="AB3074" s="329">
        <v>1</v>
      </c>
      <c r="AC3074" s="330">
        <v>0</v>
      </c>
      <c r="AD3074" s="330">
        <v>0</v>
      </c>
      <c r="AE3074" s="302">
        <f t="shared" si="121"/>
        <v>0.375</v>
      </c>
      <c r="AF3074" s="310"/>
      <c r="AG3074" s="17">
        <v>0</v>
      </c>
      <c r="AH3074" s="310" t="s">
        <v>271</v>
      </c>
      <c r="AI3074" s="310" t="s">
        <v>271</v>
      </c>
      <c r="AJ3074" s="201">
        <v>1</v>
      </c>
      <c r="AK3074" s="202"/>
      <c r="AL3074" s="202">
        <v>8</v>
      </c>
      <c r="AM3074" s="147">
        <f t="shared" si="120"/>
        <v>8</v>
      </c>
      <c r="AN3074" s="283" t="s">
        <v>3193</v>
      </c>
      <c r="AO3074" s="283" t="s">
        <v>3193</v>
      </c>
      <c r="AW3074" s="331"/>
    </row>
    <row r="3075" spans="1:49" x14ac:dyDescent="0.3">
      <c r="A3075" s="328" t="s">
        <v>1456</v>
      </c>
      <c r="B3075" s="283" t="s">
        <v>3184</v>
      </c>
      <c r="C3075" s="328" t="s">
        <v>1459</v>
      </c>
      <c r="D3075" s="283" t="s">
        <v>3293</v>
      </c>
      <c r="E3075" s="283" t="s">
        <v>1462</v>
      </c>
      <c r="F3075" s="283" t="s">
        <v>3294</v>
      </c>
      <c r="G3075" s="328" t="s">
        <v>3326</v>
      </c>
      <c r="H3075" s="162" t="s">
        <v>3302</v>
      </c>
      <c r="I3075" s="162"/>
      <c r="J3075" s="162"/>
      <c r="K3075" s="162" t="s">
        <v>3327</v>
      </c>
      <c r="L3075" s="203" t="s">
        <v>3328</v>
      </c>
      <c r="M3075" s="162" t="s">
        <v>3329</v>
      </c>
      <c r="N3075" s="162" t="s">
        <v>271</v>
      </c>
      <c r="O3075" s="162">
        <v>0</v>
      </c>
      <c r="P3075" s="162">
        <v>0</v>
      </c>
      <c r="Q3075" s="162">
        <v>10</v>
      </c>
      <c r="R3075" s="162">
        <v>10</v>
      </c>
      <c r="S3075" s="162">
        <v>10</v>
      </c>
      <c r="T3075" s="162" t="s">
        <v>3330</v>
      </c>
      <c r="U3075" s="162" t="e">
        <v>#N/A</v>
      </c>
      <c r="V3075" s="162" t="s">
        <v>3331</v>
      </c>
      <c r="W3075" s="329">
        <v>1</v>
      </c>
      <c r="X3075" s="329">
        <v>1</v>
      </c>
      <c r="Y3075" s="329">
        <v>1</v>
      </c>
      <c r="Z3075" s="329">
        <v>1</v>
      </c>
      <c r="AA3075" s="329">
        <v>1</v>
      </c>
      <c r="AB3075" s="329">
        <v>0</v>
      </c>
      <c r="AC3075" s="330">
        <v>1</v>
      </c>
      <c r="AD3075" s="330">
        <v>1</v>
      </c>
      <c r="AE3075" s="302">
        <f t="shared" si="121"/>
        <v>0.875</v>
      </c>
      <c r="AF3075" s="310"/>
      <c r="AG3075" s="17">
        <v>0</v>
      </c>
      <c r="AH3075" s="310" t="s">
        <v>271</v>
      </c>
      <c r="AI3075" s="310" t="s">
        <v>271</v>
      </c>
      <c r="AJ3075" s="310">
        <v>0.5</v>
      </c>
      <c r="AK3075" s="317">
        <v>10</v>
      </c>
      <c r="AL3075" s="317">
        <v>29</v>
      </c>
      <c r="AM3075" s="147">
        <f t="shared" si="120"/>
        <v>39</v>
      </c>
      <c r="AN3075" s="283" t="s">
        <v>3330</v>
      </c>
      <c r="AO3075" s="283" t="s">
        <v>3193</v>
      </c>
      <c r="AP3075" s="283" t="s">
        <v>3193</v>
      </c>
      <c r="AW3075" s="331"/>
    </row>
    <row r="3076" spans="1:49" x14ac:dyDescent="0.3">
      <c r="A3076" s="328" t="s">
        <v>1456</v>
      </c>
      <c r="B3076" s="283" t="s">
        <v>3184</v>
      </c>
      <c r="C3076" s="328" t="s">
        <v>1459</v>
      </c>
      <c r="D3076" s="283" t="s">
        <v>3293</v>
      </c>
      <c r="E3076" s="283" t="s">
        <v>1461</v>
      </c>
      <c r="F3076" s="283" t="s">
        <v>3294</v>
      </c>
      <c r="G3076" s="328" t="s">
        <v>3332</v>
      </c>
      <c r="H3076" s="162" t="s">
        <v>3302</v>
      </c>
      <c r="I3076" s="162"/>
      <c r="J3076" s="162"/>
      <c r="K3076" s="205" t="s">
        <v>3333</v>
      </c>
      <c r="L3076" s="162" t="s">
        <v>3334</v>
      </c>
      <c r="M3076" s="162" t="s">
        <v>3335</v>
      </c>
      <c r="N3076" s="162" t="s">
        <v>271</v>
      </c>
      <c r="O3076" s="162">
        <v>0</v>
      </c>
      <c r="P3076" s="162">
        <v>0</v>
      </c>
      <c r="Q3076" s="162">
        <v>10</v>
      </c>
      <c r="R3076" s="162">
        <v>5</v>
      </c>
      <c r="S3076" s="162">
        <v>10</v>
      </c>
      <c r="T3076" s="162" t="s">
        <v>3193</v>
      </c>
      <c r="U3076" s="162" t="e">
        <v>#N/A</v>
      </c>
      <c r="V3076" s="162" t="s">
        <v>3336</v>
      </c>
      <c r="W3076" s="329">
        <v>1</v>
      </c>
      <c r="X3076" s="329">
        <v>1</v>
      </c>
      <c r="Y3076" s="329">
        <v>1</v>
      </c>
      <c r="Z3076" s="329">
        <v>1</v>
      </c>
      <c r="AA3076" s="329">
        <v>1</v>
      </c>
      <c r="AB3076" s="329">
        <v>1</v>
      </c>
      <c r="AC3076" s="330">
        <v>1</v>
      </c>
      <c r="AD3076" s="330">
        <v>1</v>
      </c>
      <c r="AE3076" s="302">
        <f t="shared" si="121"/>
        <v>1</v>
      </c>
      <c r="AF3076" s="310"/>
      <c r="AG3076" s="17">
        <v>0</v>
      </c>
      <c r="AH3076" s="310">
        <v>0</v>
      </c>
      <c r="AI3076" s="310">
        <v>0</v>
      </c>
      <c r="AJ3076" s="310">
        <v>0.2</v>
      </c>
      <c r="AK3076" s="317">
        <v>5</v>
      </c>
      <c r="AL3076" s="317">
        <v>10</v>
      </c>
      <c r="AM3076" s="147">
        <f t="shared" si="120"/>
        <v>15</v>
      </c>
      <c r="AN3076" s="283" t="s">
        <v>3193</v>
      </c>
      <c r="AO3076" s="283" t="s">
        <v>3193</v>
      </c>
      <c r="AW3076" s="331"/>
    </row>
    <row r="3077" spans="1:49" x14ac:dyDescent="0.3">
      <c r="A3077" s="328" t="s">
        <v>1456</v>
      </c>
      <c r="B3077" s="283" t="s">
        <v>3184</v>
      </c>
      <c r="C3077" s="328" t="s">
        <v>1459</v>
      </c>
      <c r="D3077" s="283" t="s">
        <v>3293</v>
      </c>
      <c r="E3077" s="283" t="s">
        <v>1461</v>
      </c>
      <c r="F3077" s="283" t="s">
        <v>3294</v>
      </c>
      <c r="G3077" s="328" t="s">
        <v>3332</v>
      </c>
      <c r="H3077" s="162" t="s">
        <v>3302</v>
      </c>
      <c r="I3077" s="162"/>
      <c r="J3077" s="162"/>
      <c r="K3077" s="205" t="s">
        <v>3337</v>
      </c>
      <c r="L3077" s="162" t="s">
        <v>3338</v>
      </c>
      <c r="M3077" s="162" t="s">
        <v>3339</v>
      </c>
      <c r="N3077" s="162" t="s">
        <v>271</v>
      </c>
      <c r="O3077" s="162">
        <v>0</v>
      </c>
      <c r="P3077" s="162">
        <v>0</v>
      </c>
      <c r="Q3077" s="162">
        <v>10</v>
      </c>
      <c r="R3077" s="162">
        <v>5</v>
      </c>
      <c r="S3077" s="162">
        <v>10</v>
      </c>
      <c r="T3077" s="162" t="s">
        <v>3193</v>
      </c>
      <c r="U3077" s="162" t="e">
        <v>#N/A</v>
      </c>
      <c r="V3077" s="162" t="s">
        <v>3340</v>
      </c>
      <c r="W3077" s="329">
        <v>1</v>
      </c>
      <c r="X3077" s="329">
        <v>0</v>
      </c>
      <c r="Y3077" s="329">
        <v>1</v>
      </c>
      <c r="Z3077" s="329">
        <v>1</v>
      </c>
      <c r="AA3077" s="329">
        <v>1</v>
      </c>
      <c r="AB3077" s="329">
        <v>0</v>
      </c>
      <c r="AC3077" s="330">
        <v>1</v>
      </c>
      <c r="AD3077" s="330">
        <v>1</v>
      </c>
      <c r="AE3077" s="302">
        <f t="shared" si="121"/>
        <v>0.75</v>
      </c>
      <c r="AF3077" s="310"/>
      <c r="AG3077" s="17">
        <v>0</v>
      </c>
      <c r="AH3077" s="310" t="s">
        <v>271</v>
      </c>
      <c r="AI3077" s="310" t="s">
        <v>271</v>
      </c>
      <c r="AJ3077" s="310">
        <v>0.2</v>
      </c>
      <c r="AK3077" s="317">
        <v>15</v>
      </c>
      <c r="AL3077" s="317">
        <v>15</v>
      </c>
      <c r="AM3077" s="147">
        <f t="shared" si="120"/>
        <v>30</v>
      </c>
      <c r="AN3077" s="283" t="s">
        <v>3193</v>
      </c>
      <c r="AO3077" s="283" t="s">
        <v>3193</v>
      </c>
      <c r="AP3077" s="283" t="s">
        <v>3201</v>
      </c>
      <c r="AW3077" s="331"/>
    </row>
    <row r="3078" spans="1:49" x14ac:dyDescent="0.3">
      <c r="A3078" s="328" t="s">
        <v>1456</v>
      </c>
      <c r="B3078" s="283" t="s">
        <v>3184</v>
      </c>
      <c r="C3078" s="328" t="s">
        <v>1459</v>
      </c>
      <c r="D3078" s="283" t="s">
        <v>3293</v>
      </c>
      <c r="E3078" s="283" t="s">
        <v>1461</v>
      </c>
      <c r="F3078" s="283" t="s">
        <v>3294</v>
      </c>
      <c r="G3078" s="328" t="s">
        <v>3332</v>
      </c>
      <c r="H3078" s="162" t="s">
        <v>3302</v>
      </c>
      <c r="I3078" s="162"/>
      <c r="J3078" s="162"/>
      <c r="K3078" s="205" t="s">
        <v>3341</v>
      </c>
      <c r="L3078" s="162" t="s">
        <v>3342</v>
      </c>
      <c r="M3078" s="162" t="s">
        <v>3343</v>
      </c>
      <c r="N3078" s="162" t="s">
        <v>271</v>
      </c>
      <c r="O3078" s="162">
        <v>0</v>
      </c>
      <c r="P3078" s="162">
        <v>0</v>
      </c>
      <c r="Q3078" s="162">
        <v>10</v>
      </c>
      <c r="R3078" s="162">
        <v>10</v>
      </c>
      <c r="S3078" s="162">
        <v>10</v>
      </c>
      <c r="T3078" s="162" t="s">
        <v>3193</v>
      </c>
      <c r="U3078" s="162" t="e">
        <v>#N/A</v>
      </c>
      <c r="V3078" s="162" t="s">
        <v>3344</v>
      </c>
      <c r="W3078" s="329">
        <v>1</v>
      </c>
      <c r="X3078" s="329">
        <v>1</v>
      </c>
      <c r="Y3078" s="329">
        <v>1</v>
      </c>
      <c r="Z3078" s="329">
        <v>1</v>
      </c>
      <c r="AA3078" s="329">
        <v>1</v>
      </c>
      <c r="AB3078" s="329">
        <v>0</v>
      </c>
      <c r="AC3078" s="330">
        <v>1</v>
      </c>
      <c r="AD3078" s="330">
        <v>1</v>
      </c>
      <c r="AE3078" s="302">
        <f t="shared" si="121"/>
        <v>0.875</v>
      </c>
      <c r="AF3078" s="310"/>
      <c r="AG3078" s="17">
        <v>0</v>
      </c>
      <c r="AH3078" s="310">
        <v>0</v>
      </c>
      <c r="AI3078" s="310" t="s">
        <v>271</v>
      </c>
      <c r="AJ3078" s="310">
        <v>0.3</v>
      </c>
      <c r="AK3078" s="317">
        <v>5</v>
      </c>
      <c r="AL3078" s="317">
        <v>5</v>
      </c>
      <c r="AM3078" s="147">
        <f t="shared" si="120"/>
        <v>10</v>
      </c>
      <c r="AN3078" s="283" t="s">
        <v>3193</v>
      </c>
      <c r="AO3078" s="283" t="s">
        <v>3193</v>
      </c>
      <c r="AP3078" s="283" t="s">
        <v>3201</v>
      </c>
      <c r="AW3078" s="331"/>
    </row>
    <row r="3079" spans="1:49" x14ac:dyDescent="0.3">
      <c r="A3079" s="328" t="s">
        <v>1456</v>
      </c>
      <c r="B3079" s="283" t="s">
        <v>3184</v>
      </c>
      <c r="C3079" s="328" t="s">
        <v>1459</v>
      </c>
      <c r="D3079" s="283" t="s">
        <v>3293</v>
      </c>
      <c r="E3079" s="283" t="s">
        <v>1461</v>
      </c>
      <c r="F3079" s="283" t="s">
        <v>3294</v>
      </c>
      <c r="G3079" s="328" t="s">
        <v>3332</v>
      </c>
      <c r="H3079" s="162" t="s">
        <v>3302</v>
      </c>
      <c r="I3079" s="162"/>
      <c r="J3079" s="162"/>
      <c r="K3079" s="205" t="s">
        <v>3345</v>
      </c>
      <c r="L3079" s="162" t="s">
        <v>3346</v>
      </c>
      <c r="M3079" s="162" t="s">
        <v>3347</v>
      </c>
      <c r="N3079" s="162" t="s">
        <v>271</v>
      </c>
      <c r="O3079" s="162">
        <v>0</v>
      </c>
      <c r="P3079" s="162">
        <v>0</v>
      </c>
      <c r="Q3079" s="162">
        <v>10</v>
      </c>
      <c r="R3079" s="162">
        <v>10</v>
      </c>
      <c r="S3079" s="162">
        <v>10</v>
      </c>
      <c r="T3079" s="162" t="s">
        <v>3193</v>
      </c>
      <c r="U3079" s="162" t="e">
        <v>#N/A</v>
      </c>
      <c r="V3079" s="162" t="s">
        <v>3348</v>
      </c>
      <c r="W3079" s="329">
        <v>1</v>
      </c>
      <c r="X3079" s="329">
        <v>1</v>
      </c>
      <c r="Y3079" s="329">
        <v>1</v>
      </c>
      <c r="Z3079" s="329">
        <v>1</v>
      </c>
      <c r="AA3079" s="329">
        <v>1</v>
      </c>
      <c r="AB3079" s="329">
        <v>0</v>
      </c>
      <c r="AC3079" s="330">
        <v>1</v>
      </c>
      <c r="AD3079" s="330">
        <v>1</v>
      </c>
      <c r="AE3079" s="302">
        <f t="shared" si="121"/>
        <v>0.875</v>
      </c>
      <c r="AF3079" s="310"/>
      <c r="AG3079" s="17">
        <v>0</v>
      </c>
      <c r="AH3079" s="310">
        <v>0</v>
      </c>
      <c r="AI3079" s="310">
        <v>0</v>
      </c>
      <c r="AJ3079" s="310">
        <v>0</v>
      </c>
      <c r="AK3079" s="317">
        <v>10</v>
      </c>
      <c r="AL3079" s="317">
        <v>10</v>
      </c>
      <c r="AM3079" s="147">
        <f t="shared" si="120"/>
        <v>20</v>
      </c>
      <c r="AN3079" s="283" t="s">
        <v>3193</v>
      </c>
      <c r="AO3079" s="283" t="s">
        <v>3193</v>
      </c>
      <c r="AP3079" s="283" t="s">
        <v>3201</v>
      </c>
      <c r="AW3079" s="331"/>
    </row>
    <row r="3080" spans="1:49" x14ac:dyDescent="0.3">
      <c r="A3080" s="328" t="s">
        <v>1456</v>
      </c>
      <c r="B3080" s="283" t="s">
        <v>3184</v>
      </c>
      <c r="C3080" s="328" t="s">
        <v>1459</v>
      </c>
      <c r="D3080" s="283" t="s">
        <v>3293</v>
      </c>
      <c r="E3080" s="283" t="s">
        <v>3349</v>
      </c>
      <c r="F3080" s="283" t="s">
        <v>3294</v>
      </c>
      <c r="G3080" s="328" t="s">
        <v>3350</v>
      </c>
      <c r="H3080" s="162" t="s">
        <v>3302</v>
      </c>
      <c r="I3080" s="162"/>
      <c r="J3080" s="162"/>
      <c r="K3080" s="205" t="s">
        <v>3351</v>
      </c>
      <c r="L3080" s="162" t="s">
        <v>3352</v>
      </c>
      <c r="M3080" s="162" t="s">
        <v>3353</v>
      </c>
      <c r="N3080" s="162" t="s">
        <v>271</v>
      </c>
      <c r="O3080" s="162">
        <v>0</v>
      </c>
      <c r="P3080" s="162">
        <v>0</v>
      </c>
      <c r="Q3080" s="162">
        <v>1</v>
      </c>
      <c r="R3080" s="162">
        <v>1</v>
      </c>
      <c r="S3080" s="162">
        <v>1</v>
      </c>
      <c r="T3080" s="162" t="s">
        <v>3193</v>
      </c>
      <c r="U3080" s="162" t="e">
        <v>#N/A</v>
      </c>
      <c r="V3080" s="162" t="s">
        <v>3354</v>
      </c>
      <c r="W3080" s="329">
        <v>1</v>
      </c>
      <c r="X3080" s="329">
        <v>1</v>
      </c>
      <c r="Y3080" s="329">
        <v>1</v>
      </c>
      <c r="Z3080" s="329">
        <v>0</v>
      </c>
      <c r="AA3080" s="329">
        <v>1</v>
      </c>
      <c r="AB3080" s="329">
        <v>1</v>
      </c>
      <c r="AC3080" s="330">
        <v>1</v>
      </c>
      <c r="AD3080" s="330">
        <v>1</v>
      </c>
      <c r="AE3080" s="302">
        <f t="shared" si="121"/>
        <v>0.875</v>
      </c>
      <c r="AF3080" s="4"/>
      <c r="AG3080" s="17">
        <v>0</v>
      </c>
      <c r="AH3080" s="4" t="s">
        <v>271</v>
      </c>
      <c r="AI3080" s="4" t="s">
        <v>271</v>
      </c>
      <c r="AJ3080" s="4">
        <v>0.5</v>
      </c>
      <c r="AK3080" s="46">
        <v>0.46</v>
      </c>
      <c r="AL3080" s="46">
        <v>0.46</v>
      </c>
      <c r="AM3080" s="147">
        <f t="shared" si="120"/>
        <v>0.92</v>
      </c>
      <c r="AN3080" s="283" t="s">
        <v>3193</v>
      </c>
      <c r="AO3080" s="283" t="s">
        <v>3193</v>
      </c>
      <c r="AP3080" s="283" t="s">
        <v>798</v>
      </c>
      <c r="AW3080" s="331"/>
    </row>
    <row r="3081" spans="1:49" x14ac:dyDescent="0.3">
      <c r="A3081" s="328" t="s">
        <v>1456</v>
      </c>
      <c r="B3081" s="283" t="s">
        <v>3184</v>
      </c>
      <c r="C3081" s="328" t="s">
        <v>1459</v>
      </c>
      <c r="D3081" s="283" t="s">
        <v>3293</v>
      </c>
      <c r="E3081" s="283" t="s">
        <v>1461</v>
      </c>
      <c r="F3081" s="283" t="s">
        <v>3294</v>
      </c>
      <c r="G3081" s="328" t="s">
        <v>3355</v>
      </c>
      <c r="H3081" s="203" t="s">
        <v>3302</v>
      </c>
      <c r="I3081" s="162"/>
      <c r="J3081" s="162"/>
      <c r="K3081" s="205" t="s">
        <v>3356</v>
      </c>
      <c r="L3081" s="203" t="s">
        <v>3357</v>
      </c>
      <c r="M3081" s="162" t="s">
        <v>3358</v>
      </c>
      <c r="N3081" s="162" t="s">
        <v>271</v>
      </c>
      <c r="O3081" s="162">
        <v>0</v>
      </c>
      <c r="P3081" s="162">
        <v>0</v>
      </c>
      <c r="Q3081" s="162">
        <v>1</v>
      </c>
      <c r="R3081" s="162">
        <v>1</v>
      </c>
      <c r="S3081" s="162">
        <v>1</v>
      </c>
      <c r="T3081" s="162" t="s">
        <v>3193</v>
      </c>
      <c r="U3081" s="162" t="e">
        <v>#N/A</v>
      </c>
      <c r="V3081" s="203" t="s">
        <v>3359</v>
      </c>
      <c r="W3081" s="329">
        <v>1</v>
      </c>
      <c r="X3081" s="329">
        <v>1</v>
      </c>
      <c r="Y3081" s="329">
        <v>1</v>
      </c>
      <c r="Z3081" s="329">
        <v>1</v>
      </c>
      <c r="AA3081" s="329">
        <v>1</v>
      </c>
      <c r="AB3081" s="329">
        <v>0</v>
      </c>
      <c r="AC3081" s="330">
        <v>1</v>
      </c>
      <c r="AD3081" s="330">
        <v>1</v>
      </c>
      <c r="AE3081" s="302">
        <f t="shared" si="121"/>
        <v>0.875</v>
      </c>
      <c r="AF3081" s="310"/>
      <c r="AG3081" s="17">
        <v>0</v>
      </c>
      <c r="AH3081" s="310">
        <v>0</v>
      </c>
      <c r="AI3081" s="310" t="s">
        <v>271</v>
      </c>
      <c r="AJ3081" s="310">
        <v>1.5</v>
      </c>
      <c r="AK3081" s="317">
        <v>0.5</v>
      </c>
      <c r="AL3081" s="317">
        <v>0.5</v>
      </c>
      <c r="AM3081" s="147">
        <f t="shared" si="120"/>
        <v>1</v>
      </c>
      <c r="AN3081" s="283" t="s">
        <v>3193</v>
      </c>
      <c r="AO3081" s="283" t="s">
        <v>3193</v>
      </c>
      <c r="AW3081" s="331"/>
    </row>
    <row r="3082" spans="1:49" x14ac:dyDescent="0.3">
      <c r="A3082" s="328" t="s">
        <v>1456</v>
      </c>
      <c r="B3082" s="283" t="s">
        <v>3184</v>
      </c>
      <c r="C3082" s="328" t="s">
        <v>1459</v>
      </c>
      <c r="D3082" s="283" t="s">
        <v>3293</v>
      </c>
      <c r="E3082" s="283" t="s">
        <v>1461</v>
      </c>
      <c r="F3082" s="283" t="s">
        <v>3294</v>
      </c>
      <c r="G3082" s="328" t="s">
        <v>3355</v>
      </c>
      <c r="H3082" s="162" t="s">
        <v>3302</v>
      </c>
      <c r="I3082" s="162"/>
      <c r="J3082" s="162"/>
      <c r="K3082" s="205" t="s">
        <v>3360</v>
      </c>
      <c r="L3082" s="162" t="s">
        <v>3361</v>
      </c>
      <c r="M3082" s="162" t="s">
        <v>3362</v>
      </c>
      <c r="N3082" s="162" t="s">
        <v>271</v>
      </c>
      <c r="O3082" s="162">
        <v>0</v>
      </c>
      <c r="P3082" s="162">
        <v>0</v>
      </c>
      <c r="Q3082" s="162">
        <v>5</v>
      </c>
      <c r="R3082" s="162">
        <v>20</v>
      </c>
      <c r="S3082" s="162">
        <v>20</v>
      </c>
      <c r="T3082" s="162" t="s">
        <v>3193</v>
      </c>
      <c r="U3082" s="162" t="e">
        <v>#N/A</v>
      </c>
      <c r="V3082" s="162" t="s">
        <v>3363</v>
      </c>
      <c r="W3082" s="329">
        <v>1</v>
      </c>
      <c r="X3082" s="329">
        <v>1</v>
      </c>
      <c r="Y3082" s="329">
        <v>1</v>
      </c>
      <c r="Z3082" s="329">
        <v>1</v>
      </c>
      <c r="AA3082" s="329">
        <v>1</v>
      </c>
      <c r="AB3082" s="329">
        <v>0</v>
      </c>
      <c r="AC3082" s="330">
        <v>1</v>
      </c>
      <c r="AD3082" s="330">
        <v>0</v>
      </c>
      <c r="AE3082" s="302">
        <f t="shared" si="121"/>
        <v>0.75</v>
      </c>
      <c r="AF3082" s="310"/>
      <c r="AG3082" s="17">
        <v>0</v>
      </c>
      <c r="AH3082" s="310">
        <v>0</v>
      </c>
      <c r="AI3082" s="310" t="s">
        <v>271</v>
      </c>
      <c r="AJ3082" s="310">
        <v>2</v>
      </c>
      <c r="AK3082" s="317">
        <v>10</v>
      </c>
      <c r="AL3082" s="317">
        <v>10</v>
      </c>
      <c r="AM3082" s="147">
        <f t="shared" ref="AM3082:AM3099" si="122">SUM(AK3082:AL3082)</f>
        <v>20</v>
      </c>
      <c r="AN3082" s="283" t="s">
        <v>3193</v>
      </c>
      <c r="AO3082" s="283" t="s">
        <v>3193</v>
      </c>
      <c r="AP3082" s="283" t="s">
        <v>3201</v>
      </c>
      <c r="AW3082" s="331"/>
    </row>
    <row r="3083" spans="1:49" x14ac:dyDescent="0.3">
      <c r="A3083" s="328" t="s">
        <v>1456</v>
      </c>
      <c r="B3083" s="283" t="s">
        <v>3184</v>
      </c>
      <c r="C3083" s="328" t="s">
        <v>1459</v>
      </c>
      <c r="D3083" s="283" t="s">
        <v>3293</v>
      </c>
      <c r="E3083" s="283" t="s">
        <v>1461</v>
      </c>
      <c r="F3083" s="283" t="s">
        <v>3294</v>
      </c>
      <c r="G3083" s="328" t="s">
        <v>3364</v>
      </c>
      <c r="H3083" s="203" t="s">
        <v>3302</v>
      </c>
      <c r="I3083" s="162"/>
      <c r="J3083" s="162"/>
      <c r="K3083" s="205" t="s">
        <v>3365</v>
      </c>
      <c r="L3083" s="203" t="s">
        <v>3366</v>
      </c>
      <c r="M3083" s="203" t="s">
        <v>3367</v>
      </c>
      <c r="N3083" s="162" t="s">
        <v>271</v>
      </c>
      <c r="O3083" s="162">
        <v>0</v>
      </c>
      <c r="P3083" s="162">
        <v>0</v>
      </c>
      <c r="Q3083" s="162">
        <v>1</v>
      </c>
      <c r="R3083" s="162">
        <v>4</v>
      </c>
      <c r="S3083" s="162">
        <v>6</v>
      </c>
      <c r="T3083" s="162" t="s">
        <v>3201</v>
      </c>
      <c r="U3083" s="162" t="s">
        <v>5285</v>
      </c>
      <c r="V3083" s="203" t="s">
        <v>3368</v>
      </c>
      <c r="W3083" s="329">
        <v>1</v>
      </c>
      <c r="X3083" s="329">
        <v>1</v>
      </c>
      <c r="Y3083" s="329">
        <v>0</v>
      </c>
      <c r="Z3083" s="329">
        <v>1</v>
      </c>
      <c r="AA3083" s="329">
        <v>1</v>
      </c>
      <c r="AB3083" s="329">
        <v>0</v>
      </c>
      <c r="AC3083" s="330">
        <v>0</v>
      </c>
      <c r="AD3083" s="330">
        <v>1</v>
      </c>
      <c r="AE3083" s="302">
        <f t="shared" si="121"/>
        <v>0.625</v>
      </c>
      <c r="AF3083" s="4"/>
      <c r="AG3083" s="17">
        <v>0</v>
      </c>
      <c r="AH3083" s="4" t="s">
        <v>271</v>
      </c>
      <c r="AI3083" s="4" t="s">
        <v>271</v>
      </c>
      <c r="AJ3083" s="4">
        <v>2</v>
      </c>
      <c r="AK3083" s="46">
        <v>0.3</v>
      </c>
      <c r="AL3083" s="46">
        <v>2</v>
      </c>
      <c r="AM3083" s="147">
        <f t="shared" si="122"/>
        <v>2.2999999999999998</v>
      </c>
      <c r="AN3083" s="283" t="s">
        <v>3201</v>
      </c>
      <c r="AO3083" s="283" t="s">
        <v>3201</v>
      </c>
      <c r="AP3083" s="283" t="s">
        <v>3193</v>
      </c>
      <c r="AW3083" s="331"/>
    </row>
    <row r="3084" spans="1:49" x14ac:dyDescent="0.3">
      <c r="A3084" s="328" t="s">
        <v>1456</v>
      </c>
      <c r="B3084" s="283" t="s">
        <v>3184</v>
      </c>
      <c r="C3084" s="328" t="s">
        <v>1459</v>
      </c>
      <c r="D3084" s="283" t="s">
        <v>3293</v>
      </c>
      <c r="E3084" s="283" t="s">
        <v>3349</v>
      </c>
      <c r="F3084" s="283" t="s">
        <v>3294</v>
      </c>
      <c r="G3084" s="328" t="s">
        <v>3369</v>
      </c>
      <c r="H3084" s="162" t="s">
        <v>3302</v>
      </c>
      <c r="I3084" s="162"/>
      <c r="J3084" s="162"/>
      <c r="K3084" s="205" t="s">
        <v>3370</v>
      </c>
      <c r="L3084" s="162" t="s">
        <v>3371</v>
      </c>
      <c r="M3084" s="162" t="s">
        <v>3372</v>
      </c>
      <c r="N3084" s="162">
        <v>0</v>
      </c>
      <c r="O3084" s="162">
        <v>0</v>
      </c>
      <c r="P3084" s="162">
        <v>0</v>
      </c>
      <c r="Q3084" s="162">
        <v>0</v>
      </c>
      <c r="R3084" s="162">
        <v>1</v>
      </c>
      <c r="S3084" s="162">
        <v>1</v>
      </c>
      <c r="T3084" s="162" t="s">
        <v>3373</v>
      </c>
      <c r="U3084" s="162" t="s">
        <v>7395</v>
      </c>
      <c r="V3084" s="162" t="s">
        <v>3374</v>
      </c>
      <c r="W3084" s="329">
        <v>1</v>
      </c>
      <c r="X3084" s="329">
        <v>1</v>
      </c>
      <c r="Y3084" s="329">
        <v>1</v>
      </c>
      <c r="Z3084" s="329">
        <v>1</v>
      </c>
      <c r="AA3084" s="329">
        <v>1</v>
      </c>
      <c r="AB3084" s="329">
        <v>0</v>
      </c>
      <c r="AC3084" s="330">
        <v>1</v>
      </c>
      <c r="AD3084" s="330">
        <v>1</v>
      </c>
      <c r="AE3084" s="302">
        <f t="shared" si="121"/>
        <v>0.875</v>
      </c>
      <c r="AF3084" s="310"/>
      <c r="AG3084" s="17">
        <v>0</v>
      </c>
      <c r="AH3084" s="310">
        <v>0</v>
      </c>
      <c r="AI3084" s="310">
        <v>0</v>
      </c>
      <c r="AJ3084" s="310">
        <v>0.5</v>
      </c>
      <c r="AK3084" s="317">
        <v>15</v>
      </c>
      <c r="AL3084" s="317">
        <v>15</v>
      </c>
      <c r="AM3084" s="147">
        <f t="shared" si="122"/>
        <v>30</v>
      </c>
      <c r="AN3084" s="283" t="s">
        <v>3373</v>
      </c>
      <c r="AO3084" s="283" t="s">
        <v>3373</v>
      </c>
      <c r="AP3084" s="283" t="s">
        <v>3375</v>
      </c>
      <c r="AW3084" s="331"/>
    </row>
    <row r="3085" spans="1:49" x14ac:dyDescent="0.3">
      <c r="A3085" s="328" t="s">
        <v>1456</v>
      </c>
      <c r="B3085" s="283" t="s">
        <v>3184</v>
      </c>
      <c r="C3085" s="328" t="s">
        <v>1459</v>
      </c>
      <c r="D3085" s="283" t="s">
        <v>3293</v>
      </c>
      <c r="E3085" s="283" t="s">
        <v>3349</v>
      </c>
      <c r="F3085" s="283" t="s">
        <v>3294</v>
      </c>
      <c r="G3085" s="328" t="s">
        <v>3369</v>
      </c>
      <c r="H3085" s="162" t="s">
        <v>3302</v>
      </c>
      <c r="I3085" s="162"/>
      <c r="J3085" s="162"/>
      <c r="K3085" s="205" t="s">
        <v>3376</v>
      </c>
      <c r="L3085" s="162" t="s">
        <v>3377</v>
      </c>
      <c r="M3085" s="203" t="s">
        <v>3378</v>
      </c>
      <c r="N3085" s="162" t="s">
        <v>271</v>
      </c>
      <c r="O3085" s="162">
        <v>0</v>
      </c>
      <c r="P3085" s="162">
        <v>0</v>
      </c>
      <c r="Q3085" s="162">
        <v>10</v>
      </c>
      <c r="R3085" s="162">
        <v>10</v>
      </c>
      <c r="S3085" s="162">
        <v>20</v>
      </c>
      <c r="T3085" s="162" t="s">
        <v>3193</v>
      </c>
      <c r="U3085" s="162" t="e">
        <v>#N/A</v>
      </c>
      <c r="V3085" s="162" t="s">
        <v>3379</v>
      </c>
      <c r="W3085" s="329">
        <v>1</v>
      </c>
      <c r="X3085" s="329">
        <v>0</v>
      </c>
      <c r="Y3085" s="329">
        <v>1</v>
      </c>
      <c r="Z3085" s="329">
        <v>1</v>
      </c>
      <c r="AA3085" s="329">
        <v>1</v>
      </c>
      <c r="AB3085" s="329">
        <v>0</v>
      </c>
      <c r="AC3085" s="330">
        <v>1</v>
      </c>
      <c r="AD3085" s="330">
        <v>1</v>
      </c>
      <c r="AE3085" s="302">
        <f t="shared" si="121"/>
        <v>0.75</v>
      </c>
      <c r="AF3085" s="310"/>
      <c r="AG3085" s="17">
        <v>0</v>
      </c>
      <c r="AH3085" s="310">
        <v>0</v>
      </c>
      <c r="AI3085" s="310">
        <v>0</v>
      </c>
      <c r="AJ3085" s="310">
        <v>0.5</v>
      </c>
      <c r="AK3085" s="317">
        <v>15</v>
      </c>
      <c r="AL3085" s="317">
        <v>5</v>
      </c>
      <c r="AM3085" s="147">
        <f t="shared" si="122"/>
        <v>20</v>
      </c>
      <c r="AN3085" s="283" t="s">
        <v>3193</v>
      </c>
      <c r="AO3085" s="283" t="s">
        <v>3193</v>
      </c>
      <c r="AP3085" s="283" t="s">
        <v>3380</v>
      </c>
      <c r="AW3085" s="331"/>
    </row>
    <row r="3086" spans="1:49" x14ac:dyDescent="0.3">
      <c r="A3086" s="328" t="s">
        <v>1456</v>
      </c>
      <c r="B3086" s="283" t="s">
        <v>3184</v>
      </c>
      <c r="C3086" s="328" t="s">
        <v>1459</v>
      </c>
      <c r="D3086" s="283" t="s">
        <v>3293</v>
      </c>
      <c r="E3086" s="283" t="s">
        <v>1462</v>
      </c>
      <c r="F3086" s="283" t="s">
        <v>3294</v>
      </c>
      <c r="G3086" s="328" t="s">
        <v>3381</v>
      </c>
      <c r="H3086" s="162" t="s">
        <v>3302</v>
      </c>
      <c r="I3086" s="162"/>
      <c r="J3086" s="162"/>
      <c r="K3086" s="162" t="s">
        <v>3382</v>
      </c>
      <c r="L3086" s="162" t="s">
        <v>3383</v>
      </c>
      <c r="M3086" s="162" t="s">
        <v>3384</v>
      </c>
      <c r="N3086" s="162" t="s">
        <v>271</v>
      </c>
      <c r="O3086" s="162">
        <v>0</v>
      </c>
      <c r="P3086" s="162">
        <v>0</v>
      </c>
      <c r="Q3086" s="162">
        <v>2</v>
      </c>
      <c r="R3086" s="162">
        <v>10</v>
      </c>
      <c r="S3086" s="162">
        <v>10</v>
      </c>
      <c r="T3086" s="162" t="s">
        <v>3193</v>
      </c>
      <c r="U3086" s="162" t="e">
        <v>#N/A</v>
      </c>
      <c r="V3086" s="162" t="s">
        <v>3385</v>
      </c>
      <c r="W3086" s="329">
        <v>1</v>
      </c>
      <c r="X3086" s="329">
        <v>1</v>
      </c>
      <c r="Y3086" s="329">
        <v>1</v>
      </c>
      <c r="Z3086" s="329">
        <v>1</v>
      </c>
      <c r="AA3086" s="329">
        <v>1</v>
      </c>
      <c r="AB3086" s="329">
        <v>0</v>
      </c>
      <c r="AC3086" s="330">
        <v>1</v>
      </c>
      <c r="AD3086" s="330">
        <v>1</v>
      </c>
      <c r="AE3086" s="302">
        <f t="shared" si="121"/>
        <v>0.875</v>
      </c>
      <c r="AF3086" s="310"/>
      <c r="AG3086" s="17">
        <v>0</v>
      </c>
      <c r="AH3086" s="310" t="s">
        <v>271</v>
      </c>
      <c r="AI3086" s="310" t="s">
        <v>271</v>
      </c>
      <c r="AJ3086" s="310">
        <v>0.2</v>
      </c>
      <c r="AK3086" s="317">
        <v>18</v>
      </c>
      <c r="AL3086" s="317">
        <v>18</v>
      </c>
      <c r="AM3086" s="147">
        <f t="shared" si="122"/>
        <v>36</v>
      </c>
      <c r="AN3086" s="283" t="s">
        <v>3193</v>
      </c>
      <c r="AO3086" s="283" t="s">
        <v>3386</v>
      </c>
      <c r="AW3086" s="331"/>
    </row>
    <row r="3087" spans="1:49" x14ac:dyDescent="0.3">
      <c r="A3087" s="328" t="s">
        <v>1456</v>
      </c>
      <c r="B3087" s="283" t="s">
        <v>3184</v>
      </c>
      <c r="C3087" s="328" t="s">
        <v>1459</v>
      </c>
      <c r="D3087" s="283" t="s">
        <v>3186</v>
      </c>
      <c r="E3087" s="283" t="s">
        <v>1462</v>
      </c>
      <c r="F3087" s="283" t="s">
        <v>3187</v>
      </c>
      <c r="G3087" s="328" t="s">
        <v>3381</v>
      </c>
      <c r="H3087" s="162" t="s">
        <v>3387</v>
      </c>
      <c r="I3087" s="162"/>
      <c r="J3087" s="162"/>
      <c r="K3087" s="162" t="s">
        <v>3388</v>
      </c>
      <c r="L3087" s="162" t="s">
        <v>3389</v>
      </c>
      <c r="M3087" s="162" t="s">
        <v>3390</v>
      </c>
      <c r="N3087" s="162">
        <v>0</v>
      </c>
      <c r="O3087" s="162">
        <v>0</v>
      </c>
      <c r="P3087" s="162">
        <v>0</v>
      </c>
      <c r="Q3087" s="162">
        <v>1</v>
      </c>
      <c r="R3087" s="162">
        <v>1</v>
      </c>
      <c r="S3087" s="162">
        <v>1</v>
      </c>
      <c r="T3087" s="162" t="s">
        <v>3193</v>
      </c>
      <c r="U3087" s="162" t="e">
        <v>#N/A</v>
      </c>
      <c r="V3087" s="162" t="s">
        <v>3391</v>
      </c>
      <c r="W3087" s="329">
        <v>1</v>
      </c>
      <c r="X3087" s="329">
        <v>1</v>
      </c>
      <c r="Y3087" s="329">
        <v>1</v>
      </c>
      <c r="Z3087" s="329">
        <v>1</v>
      </c>
      <c r="AA3087" s="329">
        <v>1</v>
      </c>
      <c r="AB3087" s="329">
        <v>1</v>
      </c>
      <c r="AC3087" s="330">
        <v>1</v>
      </c>
      <c r="AD3087" s="330">
        <v>0</v>
      </c>
      <c r="AE3087" s="302">
        <f t="shared" si="121"/>
        <v>0.875</v>
      </c>
      <c r="AF3087" s="310"/>
      <c r="AG3087" s="17">
        <v>0</v>
      </c>
      <c r="AH3087" s="310">
        <v>0</v>
      </c>
      <c r="AI3087" s="310" t="s">
        <v>271</v>
      </c>
      <c r="AJ3087" s="310">
        <v>1.5</v>
      </c>
      <c r="AK3087" s="317">
        <v>2</v>
      </c>
      <c r="AL3087" s="317">
        <v>2</v>
      </c>
      <c r="AM3087" s="147">
        <f t="shared" si="122"/>
        <v>4</v>
      </c>
      <c r="AN3087" s="283" t="s">
        <v>3193</v>
      </c>
      <c r="AO3087" s="283" t="s">
        <v>3193</v>
      </c>
      <c r="AP3087" s="283" t="s">
        <v>3392</v>
      </c>
      <c r="AW3087" s="331"/>
    </row>
    <row r="3088" spans="1:49" x14ac:dyDescent="0.3">
      <c r="A3088" s="328" t="s">
        <v>1456</v>
      </c>
      <c r="B3088" s="283" t="s">
        <v>3184</v>
      </c>
      <c r="C3088" s="328" t="s">
        <v>1459</v>
      </c>
      <c r="D3088" s="283" t="s">
        <v>3186</v>
      </c>
      <c r="E3088" s="283" t="s">
        <v>1462</v>
      </c>
      <c r="F3088" s="283" t="s">
        <v>3187</v>
      </c>
      <c r="G3088" s="328" t="s">
        <v>3381</v>
      </c>
      <c r="H3088" s="162" t="s">
        <v>3387</v>
      </c>
      <c r="I3088" s="162"/>
      <c r="J3088" s="162"/>
      <c r="K3088" s="162" t="s">
        <v>3393</v>
      </c>
      <c r="L3088" s="162" t="s">
        <v>3394</v>
      </c>
      <c r="M3088" s="162" t="s">
        <v>3395</v>
      </c>
      <c r="N3088" s="162">
        <v>0</v>
      </c>
      <c r="O3088" s="162">
        <v>0</v>
      </c>
      <c r="P3088" s="162">
        <v>0</v>
      </c>
      <c r="Q3088" s="162">
        <v>2</v>
      </c>
      <c r="R3088" s="162">
        <v>2</v>
      </c>
      <c r="S3088" s="162">
        <v>4</v>
      </c>
      <c r="T3088" s="162" t="s">
        <v>3193</v>
      </c>
      <c r="U3088" s="162" t="e">
        <v>#N/A</v>
      </c>
      <c r="V3088" s="162" t="s">
        <v>3396</v>
      </c>
      <c r="W3088" s="329">
        <v>1</v>
      </c>
      <c r="X3088" s="329">
        <v>0</v>
      </c>
      <c r="Y3088" s="329">
        <v>0</v>
      </c>
      <c r="Z3088" s="329">
        <v>1</v>
      </c>
      <c r="AA3088" s="329">
        <v>1</v>
      </c>
      <c r="AB3088" s="329">
        <v>1</v>
      </c>
      <c r="AC3088" s="330">
        <v>0</v>
      </c>
      <c r="AD3088" s="330">
        <v>1</v>
      </c>
      <c r="AE3088" s="302">
        <f t="shared" si="121"/>
        <v>0.625</v>
      </c>
      <c r="AF3088" s="310"/>
      <c r="AG3088" s="17">
        <v>0</v>
      </c>
      <c r="AH3088" s="310" t="s">
        <v>271</v>
      </c>
      <c r="AI3088" s="310" t="s">
        <v>271</v>
      </c>
      <c r="AJ3088" s="310">
        <v>0.1</v>
      </c>
      <c r="AK3088" s="317">
        <v>2</v>
      </c>
      <c r="AL3088" s="317">
        <v>2</v>
      </c>
      <c r="AM3088" s="147">
        <f t="shared" si="122"/>
        <v>4</v>
      </c>
      <c r="AN3088" s="283" t="s">
        <v>3193</v>
      </c>
      <c r="AO3088" s="283" t="s">
        <v>3193</v>
      </c>
      <c r="AP3088" s="283" t="s">
        <v>3392</v>
      </c>
      <c r="AW3088" s="331"/>
    </row>
    <row r="3089" spans="1:49" x14ac:dyDescent="0.3">
      <c r="A3089" s="328" t="s">
        <v>1456</v>
      </c>
      <c r="B3089" s="283" t="s">
        <v>3184</v>
      </c>
      <c r="C3089" s="328" t="s">
        <v>1459</v>
      </c>
      <c r="D3089" s="283" t="s">
        <v>3186</v>
      </c>
      <c r="E3089" s="283" t="s">
        <v>1462</v>
      </c>
      <c r="F3089" s="283" t="s">
        <v>3187</v>
      </c>
      <c r="G3089" s="328" t="s">
        <v>3397</v>
      </c>
      <c r="H3089" s="162" t="s">
        <v>3398</v>
      </c>
      <c r="I3089" s="162"/>
      <c r="J3089" s="162"/>
      <c r="K3089" s="162" t="s">
        <v>3399</v>
      </c>
      <c r="L3089" s="203" t="s">
        <v>3400</v>
      </c>
      <c r="M3089" s="203" t="s">
        <v>3401</v>
      </c>
      <c r="N3089" s="162" t="s">
        <v>271</v>
      </c>
      <c r="O3089" s="162">
        <v>0</v>
      </c>
      <c r="P3089" s="162">
        <v>0</v>
      </c>
      <c r="Q3089" s="162">
        <v>1</v>
      </c>
      <c r="R3089" s="162">
        <v>1</v>
      </c>
      <c r="S3089" s="162">
        <v>1</v>
      </c>
      <c r="T3089" s="162" t="s">
        <v>1496</v>
      </c>
      <c r="U3089" s="162" t="e">
        <v>#N/A</v>
      </c>
      <c r="V3089" s="162" t="s">
        <v>3402</v>
      </c>
      <c r="W3089" s="329">
        <v>0</v>
      </c>
      <c r="X3089" s="329">
        <v>0</v>
      </c>
      <c r="Y3089" s="329">
        <v>0</v>
      </c>
      <c r="Z3089" s="329">
        <v>1</v>
      </c>
      <c r="AA3089" s="329">
        <v>1</v>
      </c>
      <c r="AB3089" s="329">
        <v>1</v>
      </c>
      <c r="AC3089" s="330">
        <v>0</v>
      </c>
      <c r="AD3089" s="330">
        <v>0</v>
      </c>
      <c r="AE3089" s="302">
        <f t="shared" si="121"/>
        <v>0.375</v>
      </c>
      <c r="AF3089" s="310"/>
      <c r="AG3089" s="17">
        <v>0</v>
      </c>
      <c r="AH3089" s="310" t="s">
        <v>271</v>
      </c>
      <c r="AI3089" s="310" t="s">
        <v>271</v>
      </c>
      <c r="AJ3089" s="201">
        <v>10</v>
      </c>
      <c r="AK3089" s="202">
        <f>10-1.4-1</f>
        <v>7.6</v>
      </c>
      <c r="AL3089" s="202">
        <v>3</v>
      </c>
      <c r="AM3089" s="147">
        <f t="shared" si="122"/>
        <v>10.6</v>
      </c>
      <c r="AN3089" s="283" t="s">
        <v>1496</v>
      </c>
      <c r="AO3089" s="283" t="s">
        <v>3193</v>
      </c>
      <c r="AW3089" s="331"/>
    </row>
    <row r="3090" spans="1:49" x14ac:dyDescent="0.3">
      <c r="A3090" s="328" t="s">
        <v>1456</v>
      </c>
      <c r="B3090" s="283" t="s">
        <v>3184</v>
      </c>
      <c r="C3090" s="328" t="s">
        <v>1459</v>
      </c>
      <c r="D3090" s="283" t="s">
        <v>3186</v>
      </c>
      <c r="E3090" s="283" t="s">
        <v>1462</v>
      </c>
      <c r="F3090" s="283" t="s">
        <v>3187</v>
      </c>
      <c r="G3090" s="328" t="s">
        <v>3397</v>
      </c>
      <c r="H3090" s="203" t="s">
        <v>3398</v>
      </c>
      <c r="I3090" s="162"/>
      <c r="J3090" s="162"/>
      <c r="K3090" s="162" t="s">
        <v>3403</v>
      </c>
      <c r="L3090" s="203" t="s">
        <v>3404</v>
      </c>
      <c r="M3090" s="162" t="s">
        <v>3405</v>
      </c>
      <c r="N3090" s="162">
        <v>0</v>
      </c>
      <c r="O3090" s="162">
        <v>0</v>
      </c>
      <c r="P3090" s="162">
        <v>0</v>
      </c>
      <c r="Q3090" s="162">
        <v>1</v>
      </c>
      <c r="R3090" s="162">
        <v>0</v>
      </c>
      <c r="S3090" s="162">
        <v>1</v>
      </c>
      <c r="T3090" s="162" t="s">
        <v>3193</v>
      </c>
      <c r="U3090" s="162" t="e">
        <v>#N/A</v>
      </c>
      <c r="V3090" s="203" t="s">
        <v>3406</v>
      </c>
      <c r="W3090" s="329">
        <v>0</v>
      </c>
      <c r="X3090" s="329">
        <v>0</v>
      </c>
      <c r="Y3090" s="329">
        <v>0</v>
      </c>
      <c r="Z3090" s="329">
        <v>0</v>
      </c>
      <c r="AA3090" s="329">
        <v>1</v>
      </c>
      <c r="AB3090" s="329">
        <v>0</v>
      </c>
      <c r="AC3090" s="330">
        <v>0</v>
      </c>
      <c r="AD3090" s="330">
        <v>0</v>
      </c>
      <c r="AE3090" s="302">
        <f t="shared" si="121"/>
        <v>0.125</v>
      </c>
      <c r="AF3090" s="310"/>
      <c r="AG3090" s="17">
        <v>0</v>
      </c>
      <c r="AH3090" s="310">
        <v>0</v>
      </c>
      <c r="AI3090" s="310" t="s">
        <v>271</v>
      </c>
      <c r="AJ3090" s="201">
        <v>5</v>
      </c>
      <c r="AK3090" s="202"/>
      <c r="AL3090" s="202">
        <v>10</v>
      </c>
      <c r="AM3090" s="147">
        <f t="shared" si="122"/>
        <v>10</v>
      </c>
      <c r="AN3090" s="283" t="s">
        <v>3193</v>
      </c>
      <c r="AO3090" s="283" t="s">
        <v>3261</v>
      </c>
      <c r="AP3090" s="283" t="s">
        <v>3226</v>
      </c>
      <c r="AW3090" s="331"/>
    </row>
    <row r="3091" spans="1:49" x14ac:dyDescent="0.3">
      <c r="A3091" s="328" t="s">
        <v>1456</v>
      </c>
      <c r="B3091" s="283" t="s">
        <v>3184</v>
      </c>
      <c r="C3091" s="328" t="s">
        <v>1459</v>
      </c>
      <c r="D3091" s="283" t="s">
        <v>3186</v>
      </c>
      <c r="E3091" s="283" t="s">
        <v>1462</v>
      </c>
      <c r="F3091" s="283" t="s">
        <v>3187</v>
      </c>
      <c r="G3091" s="328" t="s">
        <v>3397</v>
      </c>
      <c r="H3091" s="162" t="s">
        <v>3407</v>
      </c>
      <c r="I3091" s="162"/>
      <c r="J3091" s="162"/>
      <c r="K3091" s="162" t="s">
        <v>3408</v>
      </c>
      <c r="L3091" s="162" t="s">
        <v>3409</v>
      </c>
      <c r="M3091" s="162" t="s">
        <v>3410</v>
      </c>
      <c r="N3091" s="162">
        <v>0</v>
      </c>
      <c r="O3091" s="162">
        <v>0</v>
      </c>
      <c r="P3091" s="162">
        <v>0</v>
      </c>
      <c r="Q3091" s="162">
        <v>0</v>
      </c>
      <c r="R3091" s="162">
        <v>1</v>
      </c>
      <c r="S3091" s="162">
        <v>1</v>
      </c>
      <c r="T3091" s="162" t="s">
        <v>3292</v>
      </c>
      <c r="U3091" s="162" t="e">
        <v>#N/A</v>
      </c>
      <c r="V3091" s="162" t="s">
        <v>3411</v>
      </c>
      <c r="W3091" s="329">
        <v>1</v>
      </c>
      <c r="X3091" s="329">
        <v>1</v>
      </c>
      <c r="Y3091" s="329">
        <v>1</v>
      </c>
      <c r="Z3091" s="329">
        <v>0</v>
      </c>
      <c r="AA3091" s="329">
        <v>0</v>
      </c>
      <c r="AB3091" s="329">
        <v>0</v>
      </c>
      <c r="AC3091" s="330">
        <v>0</v>
      </c>
      <c r="AD3091" s="330">
        <v>1</v>
      </c>
      <c r="AE3091" s="302">
        <f t="shared" si="121"/>
        <v>0.5</v>
      </c>
      <c r="AF3091" s="310"/>
      <c r="AG3091" s="17">
        <v>0</v>
      </c>
      <c r="AH3091" s="310">
        <v>0</v>
      </c>
      <c r="AI3091" s="310" t="s">
        <v>271</v>
      </c>
      <c r="AJ3091" s="310">
        <v>15</v>
      </c>
      <c r="AK3091" s="317">
        <v>8</v>
      </c>
      <c r="AL3091" s="317">
        <v>8</v>
      </c>
      <c r="AM3091" s="147">
        <f t="shared" si="122"/>
        <v>16</v>
      </c>
      <c r="AN3091" s="283" t="s">
        <v>3292</v>
      </c>
      <c r="AO3091" s="283" t="s">
        <v>3292</v>
      </c>
      <c r="AP3091" s="283" t="s">
        <v>3412</v>
      </c>
      <c r="AW3091" s="331"/>
    </row>
    <row r="3092" spans="1:49" x14ac:dyDescent="0.3">
      <c r="A3092" s="328" t="s">
        <v>1456</v>
      </c>
      <c r="B3092" s="283" t="s">
        <v>3184</v>
      </c>
      <c r="C3092" s="328" t="s">
        <v>1459</v>
      </c>
      <c r="D3092" s="283" t="s">
        <v>3186</v>
      </c>
      <c r="E3092" s="283" t="s">
        <v>1462</v>
      </c>
      <c r="F3092" s="283" t="s">
        <v>3187</v>
      </c>
      <c r="G3092" s="328" t="s">
        <v>3397</v>
      </c>
      <c r="H3092" s="162" t="s">
        <v>3407</v>
      </c>
      <c r="I3092" s="162"/>
      <c r="J3092" s="162"/>
      <c r="K3092" s="162" t="s">
        <v>3413</v>
      </c>
      <c r="L3092" s="162" t="s">
        <v>3414</v>
      </c>
      <c r="M3092" s="162" t="s">
        <v>3415</v>
      </c>
      <c r="N3092" s="162">
        <v>0</v>
      </c>
      <c r="O3092" s="162">
        <v>0</v>
      </c>
      <c r="P3092" s="162">
        <v>0</v>
      </c>
      <c r="Q3092" s="162">
        <v>0</v>
      </c>
      <c r="R3092" s="162">
        <v>1</v>
      </c>
      <c r="S3092" s="162">
        <v>1</v>
      </c>
      <c r="T3092" s="162" t="s">
        <v>3193</v>
      </c>
      <c r="U3092" s="162" t="e">
        <v>#N/A</v>
      </c>
      <c r="V3092" s="162" t="s">
        <v>3416</v>
      </c>
      <c r="W3092" s="329">
        <v>1</v>
      </c>
      <c r="X3092" s="329">
        <v>0</v>
      </c>
      <c r="Y3092" s="329">
        <v>0</v>
      </c>
      <c r="Z3092" s="329">
        <v>1</v>
      </c>
      <c r="AA3092" s="329">
        <v>1</v>
      </c>
      <c r="AB3092" s="329">
        <v>0</v>
      </c>
      <c r="AC3092" s="330">
        <v>0</v>
      </c>
      <c r="AD3092" s="330">
        <v>0</v>
      </c>
      <c r="AE3092" s="302">
        <f t="shared" si="121"/>
        <v>0.375</v>
      </c>
      <c r="AF3092" s="310"/>
      <c r="AG3092" s="17">
        <v>0</v>
      </c>
      <c r="AH3092" s="310">
        <v>0</v>
      </c>
      <c r="AI3092" s="310" t="s">
        <v>271</v>
      </c>
      <c r="AJ3092" s="201">
        <v>10</v>
      </c>
      <c r="AK3092" s="202">
        <f>30-4.46-10</f>
        <v>15.54</v>
      </c>
      <c r="AL3092" s="202">
        <f>50+4.55</f>
        <v>54.55</v>
      </c>
      <c r="AM3092" s="147">
        <f t="shared" si="122"/>
        <v>70.09</v>
      </c>
      <c r="AN3092" s="283" t="s">
        <v>3193</v>
      </c>
      <c r="AO3092" s="283" t="s">
        <v>3193</v>
      </c>
      <c r="AP3092" s="283" t="s">
        <v>255</v>
      </c>
      <c r="AW3092" s="331"/>
    </row>
    <row r="3093" spans="1:49" x14ac:dyDescent="0.3">
      <c r="A3093" s="328" t="s">
        <v>1456</v>
      </c>
      <c r="B3093" s="283" t="s">
        <v>3184</v>
      </c>
      <c r="C3093" s="328" t="s">
        <v>1459</v>
      </c>
      <c r="D3093" s="283" t="s">
        <v>3186</v>
      </c>
      <c r="E3093" s="283" t="s">
        <v>1462</v>
      </c>
      <c r="F3093" s="283" t="s">
        <v>3187</v>
      </c>
      <c r="G3093" s="328" t="s">
        <v>3397</v>
      </c>
      <c r="H3093" s="162" t="s">
        <v>3407</v>
      </c>
      <c r="I3093" s="162"/>
      <c r="J3093" s="162"/>
      <c r="K3093" s="162" t="s">
        <v>3417</v>
      </c>
      <c r="L3093" s="162" t="s">
        <v>3418</v>
      </c>
      <c r="M3093" s="162" t="s">
        <v>3419</v>
      </c>
      <c r="N3093" s="162">
        <v>0</v>
      </c>
      <c r="O3093" s="162">
        <v>0</v>
      </c>
      <c r="P3093" s="162">
        <v>0</v>
      </c>
      <c r="Q3093" s="162">
        <v>0</v>
      </c>
      <c r="R3093" s="162">
        <v>1</v>
      </c>
      <c r="S3093" s="162">
        <v>1</v>
      </c>
      <c r="T3093" s="162" t="s">
        <v>3292</v>
      </c>
      <c r="U3093" s="162" t="e">
        <v>#N/A</v>
      </c>
      <c r="V3093" s="162" t="s">
        <v>3420</v>
      </c>
      <c r="W3093" s="329">
        <v>1</v>
      </c>
      <c r="X3093" s="329">
        <v>1</v>
      </c>
      <c r="Y3093" s="329">
        <v>1</v>
      </c>
      <c r="Z3093" s="329">
        <v>1</v>
      </c>
      <c r="AA3093" s="329">
        <v>1</v>
      </c>
      <c r="AB3093" s="329">
        <v>0</v>
      </c>
      <c r="AC3093" s="330">
        <v>0</v>
      </c>
      <c r="AD3093" s="330">
        <v>1</v>
      </c>
      <c r="AE3093" s="302">
        <f t="shared" si="121"/>
        <v>0.75</v>
      </c>
      <c r="AF3093" s="310"/>
      <c r="AG3093" s="17">
        <v>0</v>
      </c>
      <c r="AH3093" s="310">
        <v>0</v>
      </c>
      <c r="AI3093" s="310" t="s">
        <v>271</v>
      </c>
      <c r="AJ3093" s="310">
        <v>10</v>
      </c>
      <c r="AK3093" s="317">
        <v>70</v>
      </c>
      <c r="AL3093" s="317">
        <v>70</v>
      </c>
      <c r="AM3093" s="147">
        <f t="shared" si="122"/>
        <v>140</v>
      </c>
      <c r="AN3093" s="283" t="s">
        <v>3292</v>
      </c>
      <c r="AO3093" s="283" t="s">
        <v>3193</v>
      </c>
      <c r="AP3093" s="283" t="s">
        <v>3421</v>
      </c>
      <c r="AW3093" s="331"/>
    </row>
    <row r="3094" spans="1:49" x14ac:dyDescent="0.3">
      <c r="A3094" s="328" t="s">
        <v>1456</v>
      </c>
      <c r="B3094" s="283" t="s">
        <v>3184</v>
      </c>
      <c r="C3094" s="328" t="s">
        <v>1459</v>
      </c>
      <c r="D3094" s="283" t="s">
        <v>3186</v>
      </c>
      <c r="E3094" s="283" t="s">
        <v>1462</v>
      </c>
      <c r="F3094" s="283" t="s">
        <v>3187</v>
      </c>
      <c r="G3094" s="328" t="s">
        <v>3397</v>
      </c>
      <c r="H3094" s="162" t="s">
        <v>3387</v>
      </c>
      <c r="I3094" s="162"/>
      <c r="J3094" s="162"/>
      <c r="K3094" s="162" t="s">
        <v>3422</v>
      </c>
      <c r="L3094" s="162" t="s">
        <v>3423</v>
      </c>
      <c r="M3094" s="162" t="s">
        <v>3424</v>
      </c>
      <c r="N3094" s="162" t="s">
        <v>271</v>
      </c>
      <c r="O3094" s="162">
        <v>0</v>
      </c>
      <c r="P3094" s="162">
        <v>0</v>
      </c>
      <c r="Q3094" s="162">
        <v>1</v>
      </c>
      <c r="R3094" s="162">
        <v>2</v>
      </c>
      <c r="S3094" s="162">
        <v>2</v>
      </c>
      <c r="T3094" s="162" t="s">
        <v>3240</v>
      </c>
      <c r="U3094" s="162" t="e">
        <v>#N/A</v>
      </c>
      <c r="V3094" s="162" t="s">
        <v>3425</v>
      </c>
      <c r="W3094" s="329">
        <v>1</v>
      </c>
      <c r="X3094" s="329">
        <v>1</v>
      </c>
      <c r="Y3094" s="329">
        <v>0</v>
      </c>
      <c r="Z3094" s="329">
        <v>1</v>
      </c>
      <c r="AA3094" s="329">
        <v>1</v>
      </c>
      <c r="AB3094" s="329">
        <v>0</v>
      </c>
      <c r="AC3094" s="330">
        <v>1</v>
      </c>
      <c r="AD3094" s="330">
        <v>1</v>
      </c>
      <c r="AE3094" s="302">
        <f t="shared" si="121"/>
        <v>0.75</v>
      </c>
      <c r="AF3094" s="310"/>
      <c r="AG3094" s="17">
        <v>0</v>
      </c>
      <c r="AH3094" s="310">
        <v>0</v>
      </c>
      <c r="AI3094" s="310" t="s">
        <v>271</v>
      </c>
      <c r="AJ3094" s="310">
        <v>0.62</v>
      </c>
      <c r="AK3094" s="317">
        <v>20</v>
      </c>
      <c r="AL3094" s="317">
        <v>30</v>
      </c>
      <c r="AM3094" s="147">
        <f t="shared" si="122"/>
        <v>50</v>
      </c>
      <c r="AN3094" s="283" t="s">
        <v>3240</v>
      </c>
      <c r="AO3094" s="283" t="s">
        <v>3193</v>
      </c>
      <c r="AP3094" s="283" t="s">
        <v>3426</v>
      </c>
      <c r="AW3094" s="331"/>
    </row>
    <row r="3095" spans="1:49" x14ac:dyDescent="0.3">
      <c r="A3095" s="328" t="s">
        <v>1456</v>
      </c>
      <c r="B3095" s="283" t="s">
        <v>3184</v>
      </c>
      <c r="C3095" s="328" t="s">
        <v>1459</v>
      </c>
      <c r="D3095" s="283" t="s">
        <v>3186</v>
      </c>
      <c r="E3095" s="283" t="s">
        <v>1462</v>
      </c>
      <c r="F3095" s="283" t="s">
        <v>3294</v>
      </c>
      <c r="G3095" s="328" t="s">
        <v>3397</v>
      </c>
      <c r="H3095" s="203" t="s">
        <v>3427</v>
      </c>
      <c r="I3095" s="162"/>
      <c r="J3095" s="162"/>
      <c r="K3095" s="162" t="s">
        <v>3428</v>
      </c>
      <c r="L3095" s="203" t="s">
        <v>3429</v>
      </c>
      <c r="M3095" s="162" t="s">
        <v>3430</v>
      </c>
      <c r="N3095" s="162"/>
      <c r="O3095" s="162">
        <v>0</v>
      </c>
      <c r="P3095" s="162">
        <v>0</v>
      </c>
      <c r="Q3095" s="162">
        <v>1</v>
      </c>
      <c r="R3095" s="162">
        <v>20</v>
      </c>
      <c r="S3095" s="162">
        <v>20</v>
      </c>
      <c r="T3095" s="162" t="s">
        <v>3193</v>
      </c>
      <c r="U3095" s="162" t="e">
        <v>#N/A</v>
      </c>
      <c r="V3095" s="203" t="s">
        <v>3431</v>
      </c>
      <c r="W3095" s="329">
        <v>1</v>
      </c>
      <c r="X3095" s="329">
        <v>0</v>
      </c>
      <c r="Y3095" s="329">
        <v>0</v>
      </c>
      <c r="Z3095" s="329">
        <v>1</v>
      </c>
      <c r="AA3095" s="329">
        <v>1</v>
      </c>
      <c r="AB3095" s="329">
        <v>1</v>
      </c>
      <c r="AC3095" s="330">
        <v>0</v>
      </c>
      <c r="AD3095" s="330">
        <v>1</v>
      </c>
      <c r="AE3095" s="302">
        <f t="shared" si="121"/>
        <v>0.625</v>
      </c>
      <c r="AF3095" s="310"/>
      <c r="AG3095" s="17">
        <v>0</v>
      </c>
      <c r="AH3095" s="310">
        <v>0</v>
      </c>
      <c r="AI3095" s="310" t="s">
        <v>271</v>
      </c>
      <c r="AJ3095" s="310">
        <v>0.5</v>
      </c>
      <c r="AK3095" s="317">
        <v>1</v>
      </c>
      <c r="AL3095" s="317">
        <v>1</v>
      </c>
      <c r="AM3095" s="147">
        <f t="shared" si="122"/>
        <v>2</v>
      </c>
      <c r="AN3095" s="283" t="s">
        <v>3193</v>
      </c>
      <c r="AO3095" s="283" t="s">
        <v>3193</v>
      </c>
      <c r="AP3095" s="283" t="s">
        <v>3432</v>
      </c>
      <c r="AW3095" s="331"/>
    </row>
    <row r="3096" spans="1:49" x14ac:dyDescent="0.3">
      <c r="A3096" s="328" t="s">
        <v>1456</v>
      </c>
      <c r="B3096" s="283" t="s">
        <v>3184</v>
      </c>
      <c r="C3096" s="328" t="s">
        <v>1459</v>
      </c>
      <c r="D3096" s="283" t="s">
        <v>3186</v>
      </c>
      <c r="E3096" s="283" t="s">
        <v>1462</v>
      </c>
      <c r="F3096" s="283" t="s">
        <v>3234</v>
      </c>
      <c r="G3096" s="328" t="s">
        <v>3397</v>
      </c>
      <c r="H3096" s="162" t="s">
        <v>3433</v>
      </c>
      <c r="I3096" s="162"/>
      <c r="J3096" s="162"/>
      <c r="K3096" s="162" t="s">
        <v>3434</v>
      </c>
      <c r="L3096" s="162" t="s">
        <v>3435</v>
      </c>
      <c r="M3096" s="162" t="s">
        <v>3436</v>
      </c>
      <c r="N3096" s="162">
        <v>0</v>
      </c>
      <c r="O3096" s="162">
        <v>0</v>
      </c>
      <c r="P3096" s="162">
        <v>0</v>
      </c>
      <c r="Q3096" s="162">
        <v>3</v>
      </c>
      <c r="R3096" s="162">
        <v>0</v>
      </c>
      <c r="S3096" s="162">
        <v>1</v>
      </c>
      <c r="T3096" s="162" t="s">
        <v>3240</v>
      </c>
      <c r="U3096" s="162" t="e">
        <v>#N/A</v>
      </c>
      <c r="V3096" s="162" t="s">
        <v>3437</v>
      </c>
      <c r="W3096" s="329">
        <v>1</v>
      </c>
      <c r="X3096" s="329">
        <v>1</v>
      </c>
      <c r="Y3096" s="329">
        <v>1</v>
      </c>
      <c r="Z3096" s="329">
        <v>1</v>
      </c>
      <c r="AA3096" s="329">
        <v>1</v>
      </c>
      <c r="AB3096" s="329">
        <v>1</v>
      </c>
      <c r="AC3096" s="330">
        <v>1</v>
      </c>
      <c r="AD3096" s="330">
        <v>0</v>
      </c>
      <c r="AE3096" s="302">
        <f t="shared" si="121"/>
        <v>0.875</v>
      </c>
      <c r="AF3096" s="310"/>
      <c r="AG3096" s="17">
        <v>0</v>
      </c>
      <c r="AH3096" s="310">
        <v>0</v>
      </c>
      <c r="AI3096" s="310" t="s">
        <v>271</v>
      </c>
      <c r="AJ3096" s="310">
        <v>10</v>
      </c>
      <c r="AK3096" s="317">
        <v>0</v>
      </c>
      <c r="AL3096" s="317">
        <v>2</v>
      </c>
      <c r="AM3096" s="147">
        <f t="shared" si="122"/>
        <v>2</v>
      </c>
      <c r="AN3096" s="283" t="s">
        <v>3240</v>
      </c>
      <c r="AO3096" s="283" t="s">
        <v>3193</v>
      </c>
      <c r="AP3096" s="283" t="s">
        <v>255</v>
      </c>
      <c r="AW3096" s="331"/>
    </row>
    <row r="3097" spans="1:49" x14ac:dyDescent="0.3">
      <c r="A3097" s="328" t="s">
        <v>1456</v>
      </c>
      <c r="B3097" s="283" t="s">
        <v>3184</v>
      </c>
      <c r="C3097" s="328" t="s">
        <v>1459</v>
      </c>
      <c r="D3097" s="283" t="s">
        <v>3186</v>
      </c>
      <c r="E3097" s="283" t="s">
        <v>1462</v>
      </c>
      <c r="F3097" s="283" t="s">
        <v>3187</v>
      </c>
      <c r="G3097" s="328" t="s">
        <v>3397</v>
      </c>
      <c r="H3097" s="162" t="s">
        <v>3189</v>
      </c>
      <c r="I3097" s="162"/>
      <c r="J3097" s="162"/>
      <c r="K3097" s="162" t="s">
        <v>3438</v>
      </c>
      <c r="L3097" s="162" t="s">
        <v>3439</v>
      </c>
      <c r="M3097" s="162" t="s">
        <v>3439</v>
      </c>
      <c r="N3097" s="162">
        <v>0</v>
      </c>
      <c r="O3097" s="162">
        <v>0</v>
      </c>
      <c r="P3097" s="162">
        <v>0</v>
      </c>
      <c r="Q3097" s="162">
        <v>0</v>
      </c>
      <c r="R3097" s="162">
        <v>1</v>
      </c>
      <c r="S3097" s="162">
        <v>1</v>
      </c>
      <c r="T3097" s="162" t="s">
        <v>3193</v>
      </c>
      <c r="U3097" s="162" t="e">
        <v>#N/A</v>
      </c>
      <c r="V3097" s="203" t="s">
        <v>3440</v>
      </c>
      <c r="W3097" s="329">
        <v>1</v>
      </c>
      <c r="X3097" s="329">
        <v>1</v>
      </c>
      <c r="Y3097" s="329">
        <v>0</v>
      </c>
      <c r="Z3097" s="329">
        <v>1</v>
      </c>
      <c r="AA3097" s="329">
        <v>1</v>
      </c>
      <c r="AB3097" s="329">
        <v>0</v>
      </c>
      <c r="AC3097" s="330">
        <v>0</v>
      </c>
      <c r="AD3097" s="330">
        <v>0</v>
      </c>
      <c r="AE3097" s="302">
        <f t="shared" si="121"/>
        <v>0.5</v>
      </c>
      <c r="AF3097" s="310"/>
      <c r="AG3097" s="17">
        <v>0</v>
      </c>
      <c r="AH3097" s="310">
        <v>0</v>
      </c>
      <c r="AI3097" s="310" t="s">
        <v>271</v>
      </c>
      <c r="AJ3097" s="310">
        <v>6</v>
      </c>
      <c r="AK3097" s="317">
        <v>2</v>
      </c>
      <c r="AL3097" s="317">
        <v>5</v>
      </c>
      <c r="AM3097" s="147">
        <f t="shared" si="122"/>
        <v>7</v>
      </c>
      <c r="AN3097" s="283" t="s">
        <v>3193</v>
      </c>
      <c r="AO3097" s="283" t="s">
        <v>3193</v>
      </c>
      <c r="AW3097" s="331"/>
    </row>
    <row r="3098" spans="1:49" x14ac:dyDescent="0.3">
      <c r="A3098" s="328" t="s">
        <v>1456</v>
      </c>
      <c r="B3098" s="283" t="s">
        <v>3184</v>
      </c>
      <c r="C3098" s="328" t="s">
        <v>1459</v>
      </c>
      <c r="D3098" s="283" t="s">
        <v>3186</v>
      </c>
      <c r="E3098" s="283" t="s">
        <v>1462</v>
      </c>
      <c r="F3098" s="283" t="s">
        <v>3187</v>
      </c>
      <c r="G3098" s="328" t="s">
        <v>3397</v>
      </c>
      <c r="H3098" s="203" t="s">
        <v>3283</v>
      </c>
      <c r="I3098" s="162"/>
      <c r="J3098" s="162"/>
      <c r="K3098" s="162" t="s">
        <v>3441</v>
      </c>
      <c r="L3098" s="203" t="s">
        <v>3284</v>
      </c>
      <c r="M3098" s="162" t="s">
        <v>3442</v>
      </c>
      <c r="N3098" s="162"/>
      <c r="O3098" s="162">
        <v>0</v>
      </c>
      <c r="P3098" s="162">
        <v>0</v>
      </c>
      <c r="Q3098" s="162">
        <v>1</v>
      </c>
      <c r="R3098" s="162">
        <v>1</v>
      </c>
      <c r="S3098" s="162">
        <v>1</v>
      </c>
      <c r="T3098" s="162" t="s">
        <v>3193</v>
      </c>
      <c r="U3098" s="162" t="e">
        <v>#N/A</v>
      </c>
      <c r="V3098" s="203" t="s">
        <v>3286</v>
      </c>
      <c r="W3098" s="329">
        <v>1</v>
      </c>
      <c r="X3098" s="329">
        <v>1</v>
      </c>
      <c r="Y3098" s="329">
        <v>1</v>
      </c>
      <c r="Z3098" s="329">
        <v>1</v>
      </c>
      <c r="AA3098" s="329">
        <v>1</v>
      </c>
      <c r="AB3098" s="329">
        <v>0</v>
      </c>
      <c r="AC3098" s="330">
        <v>1</v>
      </c>
      <c r="AD3098" s="330">
        <v>0</v>
      </c>
      <c r="AE3098" s="302">
        <f t="shared" si="121"/>
        <v>0.75</v>
      </c>
      <c r="AF3098" s="310"/>
      <c r="AG3098" s="17">
        <v>0</v>
      </c>
      <c r="AH3098" s="310">
        <v>0</v>
      </c>
      <c r="AI3098" s="310" t="s">
        <v>271</v>
      </c>
      <c r="AJ3098" s="310">
        <v>4.5</v>
      </c>
      <c r="AK3098" s="317">
        <v>15</v>
      </c>
      <c r="AL3098" s="317">
        <v>40</v>
      </c>
      <c r="AM3098" s="147">
        <f t="shared" si="122"/>
        <v>55</v>
      </c>
      <c r="AN3098" s="283" t="s">
        <v>3193</v>
      </c>
      <c r="AO3098" s="283" t="s">
        <v>3193</v>
      </c>
      <c r="AP3098" s="283" t="s">
        <v>3240</v>
      </c>
      <c r="AW3098" s="331"/>
    </row>
    <row r="3099" spans="1:49" x14ac:dyDescent="0.3">
      <c r="A3099" s="328" t="s">
        <v>1456</v>
      </c>
      <c r="B3099" s="283" t="s">
        <v>3184</v>
      </c>
      <c r="C3099" s="328" t="s">
        <v>1459</v>
      </c>
      <c r="D3099" s="283" t="s">
        <v>3186</v>
      </c>
      <c r="E3099" s="283" t="s">
        <v>1462</v>
      </c>
      <c r="F3099" s="283" t="s">
        <v>3294</v>
      </c>
      <c r="G3099" s="328" t="s">
        <v>3397</v>
      </c>
      <c r="H3099" s="162" t="s">
        <v>3302</v>
      </c>
      <c r="I3099" s="162"/>
      <c r="J3099" s="162"/>
      <c r="K3099" s="162" t="s">
        <v>3443</v>
      </c>
      <c r="L3099" s="203" t="s">
        <v>3444</v>
      </c>
      <c r="M3099" s="203" t="s">
        <v>3445</v>
      </c>
      <c r="N3099" s="203"/>
      <c r="O3099" s="203">
        <v>0</v>
      </c>
      <c r="P3099" s="203">
        <v>0</v>
      </c>
      <c r="Q3099" s="203">
        <v>1</v>
      </c>
      <c r="R3099" s="203">
        <v>10</v>
      </c>
      <c r="S3099" s="203">
        <v>10</v>
      </c>
      <c r="T3099" s="203" t="s">
        <v>3193</v>
      </c>
      <c r="U3099" s="203" t="e">
        <v>#N/A</v>
      </c>
      <c r="V3099" s="203" t="s">
        <v>3446</v>
      </c>
      <c r="W3099" s="335">
        <v>1</v>
      </c>
      <c r="X3099" s="335">
        <v>1</v>
      </c>
      <c r="Y3099" s="335">
        <v>1</v>
      </c>
      <c r="Z3099" s="335">
        <v>1</v>
      </c>
      <c r="AA3099" s="335">
        <v>1</v>
      </c>
      <c r="AB3099" s="335">
        <v>0</v>
      </c>
      <c r="AC3099" s="336">
        <v>1</v>
      </c>
      <c r="AD3099" s="336">
        <v>1</v>
      </c>
      <c r="AE3099" s="302">
        <f t="shared" si="121"/>
        <v>0.875</v>
      </c>
      <c r="AF3099" s="310"/>
      <c r="AG3099" s="17">
        <v>0</v>
      </c>
      <c r="AH3099" s="310">
        <v>0</v>
      </c>
      <c r="AI3099" s="310" t="s">
        <v>271</v>
      </c>
      <c r="AJ3099" s="310">
        <v>0.5</v>
      </c>
      <c r="AK3099" s="317">
        <v>0.7</v>
      </c>
      <c r="AL3099" s="317">
        <v>3</v>
      </c>
      <c r="AM3099" s="147">
        <f t="shared" si="122"/>
        <v>3.7</v>
      </c>
      <c r="AN3099" s="283" t="s">
        <v>3193</v>
      </c>
      <c r="AO3099" s="283" t="s">
        <v>3193</v>
      </c>
      <c r="AW3099" s="331"/>
    </row>
    <row r="3100" spans="1:49" customFormat="1" x14ac:dyDescent="0.3">
      <c r="A3100" s="386" t="s">
        <v>1456</v>
      </c>
      <c r="B3100" t="s">
        <v>3184</v>
      </c>
      <c r="C3100" s="200" t="s">
        <v>13137</v>
      </c>
      <c r="D3100" t="s">
        <v>6838</v>
      </c>
      <c r="E3100" s="200" t="s">
        <v>13138</v>
      </c>
      <c r="F3100" t="s">
        <v>12811</v>
      </c>
      <c r="G3100" s="200" t="s">
        <v>13139</v>
      </c>
      <c r="H3100" t="s">
        <v>12812</v>
      </c>
      <c r="K3100" s="200" t="s">
        <v>13140</v>
      </c>
      <c r="L3100" t="s">
        <v>12754</v>
      </c>
      <c r="M3100" s="1"/>
      <c r="N3100" s="423"/>
      <c r="O3100" s="1"/>
      <c r="P3100" s="3"/>
      <c r="Q3100" s="3"/>
      <c r="R3100" s="3"/>
      <c r="S3100" s="3"/>
      <c r="V3100" t="s">
        <v>12755</v>
      </c>
      <c r="AF3100" s="64"/>
      <c r="AH3100" s="4"/>
      <c r="AI3100" s="4"/>
      <c r="AJ3100" s="4"/>
      <c r="AK3100" s="398"/>
      <c r="AL3100" s="398"/>
      <c r="AM3100" s="4"/>
    </row>
    <row r="3101" spans="1:49" customFormat="1" x14ac:dyDescent="0.3">
      <c r="A3101" s="386" t="s">
        <v>1456</v>
      </c>
      <c r="B3101" t="s">
        <v>3184</v>
      </c>
      <c r="C3101" s="200" t="s">
        <v>13137</v>
      </c>
      <c r="D3101" t="s">
        <v>6838</v>
      </c>
      <c r="E3101" s="200" t="s">
        <v>13138</v>
      </c>
      <c r="F3101" t="s">
        <v>12811</v>
      </c>
      <c r="G3101" s="200" t="s">
        <v>13139</v>
      </c>
      <c r="H3101" t="s">
        <v>12812</v>
      </c>
      <c r="K3101" s="200" t="s">
        <v>13141</v>
      </c>
      <c r="L3101" t="s">
        <v>12808</v>
      </c>
      <c r="M3101" s="1"/>
      <c r="N3101" s="423"/>
      <c r="O3101" s="1"/>
      <c r="P3101" s="3"/>
      <c r="Q3101" s="3"/>
      <c r="R3101" s="3"/>
      <c r="S3101" s="3"/>
      <c r="V3101" t="s">
        <v>12809</v>
      </c>
      <c r="AF3101" s="64"/>
      <c r="AH3101" s="4"/>
      <c r="AI3101" s="4"/>
      <c r="AJ3101" s="4"/>
      <c r="AK3101" s="398"/>
      <c r="AL3101" s="398"/>
      <c r="AM3101" s="4"/>
    </row>
    <row r="3102" spans="1:49" customFormat="1" x14ac:dyDescent="0.3">
      <c r="A3102" s="386" t="s">
        <v>1456</v>
      </c>
      <c r="B3102" t="s">
        <v>3184</v>
      </c>
      <c r="C3102" s="200" t="s">
        <v>13137</v>
      </c>
      <c r="D3102" t="s">
        <v>6838</v>
      </c>
      <c r="E3102" s="200" t="s">
        <v>13138</v>
      </c>
      <c r="F3102" t="s">
        <v>12811</v>
      </c>
      <c r="G3102" s="200" t="s">
        <v>13139</v>
      </c>
      <c r="H3102" t="s">
        <v>12812</v>
      </c>
      <c r="K3102" s="200" t="s">
        <v>13142</v>
      </c>
      <c r="L3102" t="s">
        <v>12756</v>
      </c>
      <c r="M3102" s="1" t="s">
        <v>5766</v>
      </c>
      <c r="N3102" s="423"/>
      <c r="O3102" s="1"/>
      <c r="P3102" s="3"/>
      <c r="Q3102" s="3"/>
      <c r="R3102" s="3"/>
      <c r="S3102" s="3"/>
      <c r="V3102" t="s">
        <v>12792</v>
      </c>
      <c r="AF3102" s="64"/>
      <c r="AH3102" s="4"/>
      <c r="AI3102" s="4"/>
      <c r="AJ3102" s="4"/>
      <c r="AK3102" s="46"/>
      <c r="AL3102" s="46"/>
      <c r="AM3102" s="4"/>
    </row>
    <row r="3103" spans="1:49" customFormat="1" x14ac:dyDescent="0.3">
      <c r="A3103" s="386" t="s">
        <v>1456</v>
      </c>
      <c r="B3103" t="s">
        <v>3184</v>
      </c>
      <c r="C3103" s="200" t="s">
        <v>13137</v>
      </c>
      <c r="D3103" t="s">
        <v>6838</v>
      </c>
      <c r="E3103" s="200" t="s">
        <v>13138</v>
      </c>
      <c r="F3103" t="s">
        <v>12811</v>
      </c>
      <c r="G3103" s="200" t="s">
        <v>13139</v>
      </c>
      <c r="H3103" t="s">
        <v>12812</v>
      </c>
      <c r="K3103" s="200" t="s">
        <v>13143</v>
      </c>
      <c r="L3103" t="s">
        <v>12757</v>
      </c>
      <c r="M3103" s="1" t="s">
        <v>12758</v>
      </c>
      <c r="N3103" s="423"/>
      <c r="O3103" s="1"/>
      <c r="P3103" s="3"/>
      <c r="Q3103" s="3"/>
      <c r="R3103" s="3"/>
      <c r="S3103" s="3"/>
      <c r="V3103" t="s">
        <v>12793</v>
      </c>
      <c r="AF3103" s="64"/>
      <c r="AH3103" s="4"/>
      <c r="AI3103" s="4"/>
      <c r="AJ3103" s="4"/>
      <c r="AK3103" s="46"/>
      <c r="AL3103" s="46"/>
      <c r="AM3103" s="4"/>
    </row>
    <row r="3104" spans="1:49" customFormat="1" x14ac:dyDescent="0.3">
      <c r="A3104" s="386" t="s">
        <v>1456</v>
      </c>
      <c r="B3104" t="s">
        <v>3184</v>
      </c>
      <c r="C3104" s="200" t="s">
        <v>13137</v>
      </c>
      <c r="D3104" t="s">
        <v>6838</v>
      </c>
      <c r="E3104" s="200" t="s">
        <v>13138</v>
      </c>
      <c r="F3104" t="s">
        <v>12811</v>
      </c>
      <c r="G3104" s="200" t="s">
        <v>13139</v>
      </c>
      <c r="H3104" t="s">
        <v>12812</v>
      </c>
      <c r="K3104" s="200" t="s">
        <v>13144</v>
      </c>
      <c r="L3104" t="s">
        <v>12759</v>
      </c>
      <c r="M3104" s="1" t="s">
        <v>12760</v>
      </c>
      <c r="N3104" s="423"/>
      <c r="O3104" s="1"/>
      <c r="P3104" s="3"/>
      <c r="Q3104" s="3"/>
      <c r="R3104" s="3"/>
      <c r="S3104" s="3"/>
      <c r="V3104" t="s">
        <v>12794</v>
      </c>
      <c r="AF3104" s="64"/>
      <c r="AH3104" s="4"/>
      <c r="AI3104" s="4"/>
      <c r="AJ3104" s="4"/>
      <c r="AK3104" s="46"/>
      <c r="AL3104" s="46"/>
      <c r="AM3104" s="4"/>
    </row>
    <row r="3105" spans="1:39" customFormat="1" x14ac:dyDescent="0.3">
      <c r="A3105" s="386" t="s">
        <v>1456</v>
      </c>
      <c r="B3105" t="s">
        <v>3184</v>
      </c>
      <c r="C3105" s="200" t="s">
        <v>13137</v>
      </c>
      <c r="D3105" t="s">
        <v>6838</v>
      </c>
      <c r="E3105" s="200" t="s">
        <v>13138</v>
      </c>
      <c r="F3105" t="s">
        <v>12811</v>
      </c>
      <c r="G3105" s="200" t="s">
        <v>13139</v>
      </c>
      <c r="H3105" t="s">
        <v>12812</v>
      </c>
      <c r="K3105" s="200" t="s">
        <v>13145</v>
      </c>
      <c r="L3105" t="s">
        <v>12761</v>
      </c>
      <c r="M3105" s="1" t="s">
        <v>12762</v>
      </c>
      <c r="N3105" s="423"/>
      <c r="O3105" s="1"/>
      <c r="P3105" s="3"/>
      <c r="Q3105" s="3"/>
      <c r="R3105" s="3"/>
      <c r="S3105" s="3"/>
      <c r="V3105" t="s">
        <v>5782</v>
      </c>
      <c r="AF3105" s="64"/>
      <c r="AH3105" s="4"/>
      <c r="AI3105" s="4"/>
      <c r="AJ3105" s="4"/>
      <c r="AK3105" s="46"/>
      <c r="AL3105" s="46"/>
      <c r="AM3105" s="4"/>
    </row>
    <row r="3106" spans="1:39" customFormat="1" x14ac:dyDescent="0.3">
      <c r="A3106" s="386" t="s">
        <v>1456</v>
      </c>
      <c r="B3106" t="s">
        <v>3184</v>
      </c>
      <c r="C3106" s="200" t="s">
        <v>13137</v>
      </c>
      <c r="D3106" t="s">
        <v>6838</v>
      </c>
      <c r="E3106" s="200" t="s">
        <v>13138</v>
      </c>
      <c r="F3106" t="s">
        <v>12811</v>
      </c>
      <c r="G3106" s="200" t="s">
        <v>13139</v>
      </c>
      <c r="H3106" t="s">
        <v>12812</v>
      </c>
      <c r="K3106" s="200" t="s">
        <v>13146</v>
      </c>
      <c r="L3106" t="s">
        <v>12763</v>
      </c>
      <c r="M3106" s="1" t="s">
        <v>12764</v>
      </c>
      <c r="N3106" s="423"/>
      <c r="O3106" s="1"/>
      <c r="P3106" s="3"/>
      <c r="Q3106" s="3"/>
      <c r="R3106" s="3"/>
      <c r="S3106" s="3"/>
      <c r="V3106" t="s">
        <v>5783</v>
      </c>
      <c r="AF3106" s="64"/>
      <c r="AH3106" s="4"/>
      <c r="AI3106" s="4"/>
      <c r="AJ3106" s="4"/>
      <c r="AK3106" s="46"/>
      <c r="AL3106" s="46"/>
      <c r="AM3106" s="4"/>
    </row>
    <row r="3107" spans="1:39" customFormat="1" x14ac:dyDescent="0.3">
      <c r="A3107" s="386" t="s">
        <v>1456</v>
      </c>
      <c r="B3107" t="s">
        <v>3184</v>
      </c>
      <c r="C3107" s="200" t="s">
        <v>13137</v>
      </c>
      <c r="D3107" t="s">
        <v>6838</v>
      </c>
      <c r="E3107" s="200" t="s">
        <v>13138</v>
      </c>
      <c r="F3107" t="s">
        <v>12811</v>
      </c>
      <c r="G3107" s="200" t="s">
        <v>13139</v>
      </c>
      <c r="H3107" t="s">
        <v>12812</v>
      </c>
      <c r="K3107" s="200" t="s">
        <v>13147</v>
      </c>
      <c r="L3107" t="s">
        <v>12765</v>
      </c>
      <c r="M3107" s="1" t="s">
        <v>12766</v>
      </c>
      <c r="N3107" s="423"/>
      <c r="O3107" s="1"/>
      <c r="P3107" s="3"/>
      <c r="Q3107" s="3"/>
      <c r="R3107" s="3"/>
      <c r="S3107" s="3"/>
      <c r="V3107" t="s">
        <v>12795</v>
      </c>
      <c r="AF3107" s="64"/>
      <c r="AH3107" s="4"/>
      <c r="AI3107" s="4"/>
      <c r="AJ3107" s="4"/>
      <c r="AK3107" s="46"/>
      <c r="AL3107" s="46"/>
      <c r="AM3107" s="4"/>
    </row>
    <row r="3108" spans="1:39" customFormat="1" x14ac:dyDescent="0.3">
      <c r="A3108" s="386" t="s">
        <v>1456</v>
      </c>
      <c r="B3108" t="s">
        <v>3184</v>
      </c>
      <c r="C3108" s="200" t="s">
        <v>13137</v>
      </c>
      <c r="D3108" t="s">
        <v>6838</v>
      </c>
      <c r="E3108" s="200" t="s">
        <v>13138</v>
      </c>
      <c r="F3108" t="s">
        <v>12811</v>
      </c>
      <c r="G3108" s="200" t="s">
        <v>13139</v>
      </c>
      <c r="H3108" t="s">
        <v>12812</v>
      </c>
      <c r="K3108" s="200" t="s">
        <v>13148</v>
      </c>
      <c r="L3108" t="s">
        <v>12767</v>
      </c>
      <c r="M3108" s="1" t="s">
        <v>12768</v>
      </c>
      <c r="N3108" s="423"/>
      <c r="O3108" s="1"/>
      <c r="P3108" s="3"/>
      <c r="Q3108" s="3"/>
      <c r="R3108" s="3"/>
      <c r="S3108" s="3"/>
      <c r="V3108" t="s">
        <v>12796</v>
      </c>
      <c r="AF3108" s="64"/>
      <c r="AH3108" s="4"/>
      <c r="AI3108" s="4"/>
      <c r="AJ3108" s="4"/>
      <c r="AK3108" s="46"/>
      <c r="AL3108" s="46"/>
      <c r="AM3108" s="4"/>
    </row>
    <row r="3109" spans="1:39" customFormat="1" x14ac:dyDescent="0.3">
      <c r="A3109" s="386" t="s">
        <v>1456</v>
      </c>
      <c r="B3109" t="s">
        <v>3184</v>
      </c>
      <c r="C3109" s="200" t="s">
        <v>13137</v>
      </c>
      <c r="D3109" t="s">
        <v>6838</v>
      </c>
      <c r="E3109" s="200" t="s">
        <v>13138</v>
      </c>
      <c r="F3109" t="s">
        <v>12811</v>
      </c>
      <c r="G3109" s="200" t="s">
        <v>13139</v>
      </c>
      <c r="H3109" t="s">
        <v>12812</v>
      </c>
      <c r="K3109" s="200" t="s">
        <v>13149</v>
      </c>
      <c r="L3109" t="s">
        <v>12769</v>
      </c>
      <c r="M3109" s="1" t="s">
        <v>12770</v>
      </c>
      <c r="N3109" s="423"/>
      <c r="O3109" s="1"/>
      <c r="P3109" s="3"/>
      <c r="Q3109" s="3"/>
      <c r="R3109" s="3"/>
      <c r="S3109" s="3"/>
      <c r="V3109" t="s">
        <v>5786</v>
      </c>
      <c r="AF3109" s="64"/>
      <c r="AH3109" s="4"/>
      <c r="AI3109" s="4"/>
      <c r="AJ3109" s="4"/>
      <c r="AK3109" s="46"/>
      <c r="AL3109" s="46"/>
      <c r="AM3109" s="4"/>
    </row>
    <row r="3110" spans="1:39" customFormat="1" x14ac:dyDescent="0.3">
      <c r="A3110" s="386" t="s">
        <v>1456</v>
      </c>
      <c r="B3110" t="s">
        <v>3184</v>
      </c>
      <c r="C3110" s="200" t="s">
        <v>13137</v>
      </c>
      <c r="D3110" t="s">
        <v>6838</v>
      </c>
      <c r="E3110" s="200" t="s">
        <v>13138</v>
      </c>
      <c r="F3110" t="s">
        <v>12811</v>
      </c>
      <c r="G3110" s="200" t="s">
        <v>13139</v>
      </c>
      <c r="H3110" t="s">
        <v>12812</v>
      </c>
      <c r="K3110" s="200" t="s">
        <v>13150</v>
      </c>
      <c r="L3110" t="s">
        <v>12771</v>
      </c>
      <c r="M3110" s="1" t="s">
        <v>12772</v>
      </c>
      <c r="N3110" s="423"/>
      <c r="O3110" s="1"/>
      <c r="P3110" s="3"/>
      <c r="Q3110" s="3"/>
      <c r="R3110" s="3"/>
      <c r="S3110" s="3"/>
      <c r="V3110" t="s">
        <v>12800</v>
      </c>
      <c r="AF3110" s="64"/>
      <c r="AH3110" s="4"/>
      <c r="AI3110" s="4"/>
      <c r="AJ3110" s="4"/>
      <c r="AK3110" s="46"/>
      <c r="AL3110" s="46"/>
      <c r="AM3110" s="4"/>
    </row>
    <row r="3111" spans="1:39" customFormat="1" x14ac:dyDescent="0.3">
      <c r="A3111" s="386" t="s">
        <v>1456</v>
      </c>
      <c r="B3111" t="s">
        <v>3184</v>
      </c>
      <c r="C3111" s="200" t="s">
        <v>13137</v>
      </c>
      <c r="D3111" t="s">
        <v>6838</v>
      </c>
      <c r="E3111" s="200" t="s">
        <v>13138</v>
      </c>
      <c r="F3111" t="s">
        <v>12811</v>
      </c>
      <c r="G3111" s="200" t="s">
        <v>13139</v>
      </c>
      <c r="H3111" t="s">
        <v>12812</v>
      </c>
      <c r="K3111" s="200" t="s">
        <v>13151</v>
      </c>
      <c r="L3111" t="s">
        <v>12773</v>
      </c>
      <c r="M3111" s="1" t="s">
        <v>12774</v>
      </c>
      <c r="N3111" s="423"/>
      <c r="O3111" s="1"/>
      <c r="P3111" s="3"/>
      <c r="Q3111" s="3"/>
      <c r="R3111" s="3"/>
      <c r="S3111" s="3"/>
      <c r="V3111" t="s">
        <v>12797</v>
      </c>
      <c r="AF3111" s="64"/>
      <c r="AH3111" s="4"/>
      <c r="AI3111" s="4"/>
      <c r="AJ3111" s="4"/>
      <c r="AK3111" s="46"/>
      <c r="AL3111" s="46"/>
      <c r="AM3111" s="4"/>
    </row>
    <row r="3112" spans="1:39" customFormat="1" x14ac:dyDescent="0.3">
      <c r="A3112" s="386" t="s">
        <v>1456</v>
      </c>
      <c r="B3112" t="s">
        <v>3184</v>
      </c>
      <c r="C3112" s="200" t="s">
        <v>13137</v>
      </c>
      <c r="D3112" t="s">
        <v>6838</v>
      </c>
      <c r="E3112" s="200" t="s">
        <v>13138</v>
      </c>
      <c r="F3112" t="s">
        <v>12811</v>
      </c>
      <c r="G3112" s="200" t="s">
        <v>13139</v>
      </c>
      <c r="H3112" t="s">
        <v>12812</v>
      </c>
      <c r="K3112" s="200" t="s">
        <v>13152</v>
      </c>
      <c r="L3112" t="s">
        <v>12775</v>
      </c>
      <c r="M3112" s="1" t="s">
        <v>12776</v>
      </c>
      <c r="N3112" s="423"/>
      <c r="O3112" s="1"/>
      <c r="P3112" s="3"/>
      <c r="Q3112" s="3"/>
      <c r="R3112" s="3"/>
      <c r="S3112" s="3"/>
      <c r="V3112" t="s">
        <v>12798</v>
      </c>
      <c r="AF3112" s="64"/>
      <c r="AH3112" s="4"/>
      <c r="AI3112" s="4"/>
      <c r="AJ3112" s="4"/>
      <c r="AK3112" s="46"/>
      <c r="AL3112" s="46"/>
      <c r="AM3112" s="4"/>
    </row>
    <row r="3113" spans="1:39" customFormat="1" x14ac:dyDescent="0.3">
      <c r="A3113" s="386" t="s">
        <v>1456</v>
      </c>
      <c r="B3113" t="s">
        <v>3184</v>
      </c>
      <c r="C3113" s="200" t="s">
        <v>13137</v>
      </c>
      <c r="D3113" t="s">
        <v>6838</v>
      </c>
      <c r="E3113" s="200" t="s">
        <v>13138</v>
      </c>
      <c r="F3113" t="s">
        <v>12811</v>
      </c>
      <c r="G3113" s="200" t="s">
        <v>13139</v>
      </c>
      <c r="H3113" t="s">
        <v>12812</v>
      </c>
      <c r="K3113" s="200" t="s">
        <v>13153</v>
      </c>
      <c r="L3113" t="s">
        <v>12777</v>
      </c>
      <c r="M3113" s="1" t="s">
        <v>12778</v>
      </c>
      <c r="N3113" s="423"/>
      <c r="O3113" s="1"/>
      <c r="P3113" s="3"/>
      <c r="Q3113" s="3"/>
      <c r="R3113" s="3"/>
      <c r="S3113" s="3"/>
      <c r="V3113" t="s">
        <v>5789</v>
      </c>
      <c r="AF3113" s="64"/>
      <c r="AH3113" s="4"/>
      <c r="AI3113" s="4"/>
      <c r="AJ3113" s="4"/>
      <c r="AK3113" s="46"/>
      <c r="AL3113" s="46"/>
      <c r="AM3113" s="4"/>
    </row>
    <row r="3114" spans="1:39" customFormat="1" x14ac:dyDescent="0.3">
      <c r="A3114" s="386" t="s">
        <v>1456</v>
      </c>
      <c r="B3114" t="s">
        <v>3184</v>
      </c>
      <c r="C3114" s="200" t="s">
        <v>13137</v>
      </c>
      <c r="D3114" t="s">
        <v>6838</v>
      </c>
      <c r="E3114" s="200" t="s">
        <v>13138</v>
      </c>
      <c r="F3114" t="s">
        <v>12811</v>
      </c>
      <c r="G3114" s="200" t="s">
        <v>13139</v>
      </c>
      <c r="H3114" t="s">
        <v>12812</v>
      </c>
      <c r="K3114" s="200" t="s">
        <v>13154</v>
      </c>
      <c r="L3114" t="s">
        <v>12779</v>
      </c>
      <c r="M3114" s="1" t="s">
        <v>12780</v>
      </c>
      <c r="N3114" s="423"/>
      <c r="O3114" s="1"/>
      <c r="P3114" s="3"/>
      <c r="Q3114" s="3"/>
      <c r="R3114" s="3"/>
      <c r="S3114" s="3"/>
      <c r="V3114" t="s">
        <v>12799</v>
      </c>
      <c r="AF3114" s="64"/>
      <c r="AH3114" s="4"/>
      <c r="AI3114" s="4"/>
      <c r="AJ3114" s="4"/>
      <c r="AK3114" s="46"/>
      <c r="AL3114" s="46"/>
      <c r="AM3114" s="4"/>
    </row>
    <row r="3115" spans="1:39" customFormat="1" x14ac:dyDescent="0.3">
      <c r="A3115" s="386" t="s">
        <v>1456</v>
      </c>
      <c r="B3115" t="s">
        <v>3184</v>
      </c>
      <c r="C3115" s="200" t="s">
        <v>13137</v>
      </c>
      <c r="D3115" t="s">
        <v>6838</v>
      </c>
      <c r="E3115" s="200" t="s">
        <v>13138</v>
      </c>
      <c r="F3115" t="s">
        <v>12811</v>
      </c>
      <c r="G3115" s="200" t="s">
        <v>13139</v>
      </c>
      <c r="H3115" t="s">
        <v>12812</v>
      </c>
      <c r="K3115" s="200" t="s">
        <v>13155</v>
      </c>
      <c r="L3115" t="s">
        <v>12806</v>
      </c>
      <c r="M3115" s="1" t="s">
        <v>12781</v>
      </c>
      <c r="N3115" s="423"/>
      <c r="O3115" s="1"/>
      <c r="P3115" s="3"/>
      <c r="Q3115" s="3"/>
      <c r="R3115" s="3"/>
      <c r="S3115" s="3"/>
      <c r="V3115" t="s">
        <v>12805</v>
      </c>
      <c r="AF3115" s="64"/>
      <c r="AH3115" s="4"/>
      <c r="AI3115" s="4"/>
      <c r="AJ3115" s="4"/>
      <c r="AK3115" s="46"/>
      <c r="AL3115" s="46"/>
      <c r="AM3115" s="4"/>
    </row>
    <row r="3116" spans="1:39" customFormat="1" x14ac:dyDescent="0.3">
      <c r="A3116" s="386" t="s">
        <v>1456</v>
      </c>
      <c r="B3116" t="s">
        <v>3184</v>
      </c>
      <c r="C3116" s="200" t="s">
        <v>13137</v>
      </c>
      <c r="D3116" t="s">
        <v>6838</v>
      </c>
      <c r="E3116" s="200" t="s">
        <v>13138</v>
      </c>
      <c r="F3116" t="s">
        <v>12811</v>
      </c>
      <c r="G3116" s="200" t="s">
        <v>13139</v>
      </c>
      <c r="H3116" t="s">
        <v>12812</v>
      </c>
      <c r="K3116" s="200" t="s">
        <v>13156</v>
      </c>
      <c r="L3116" t="s">
        <v>12782</v>
      </c>
      <c r="M3116" s="1"/>
      <c r="N3116" s="423"/>
      <c r="O3116" s="1"/>
      <c r="P3116" s="3"/>
      <c r="Q3116" s="3"/>
      <c r="R3116" s="3"/>
      <c r="S3116" s="3"/>
      <c r="V3116" t="s">
        <v>12782</v>
      </c>
      <c r="AF3116" s="64"/>
      <c r="AH3116" s="4"/>
      <c r="AI3116" s="4"/>
      <c r="AJ3116" s="4"/>
      <c r="AK3116" s="46"/>
      <c r="AL3116" s="46"/>
      <c r="AM3116" s="4"/>
    </row>
    <row r="3117" spans="1:39" customFormat="1" x14ac:dyDescent="0.3">
      <c r="A3117" s="386" t="s">
        <v>1456</v>
      </c>
      <c r="B3117" t="s">
        <v>3184</v>
      </c>
      <c r="C3117" s="200" t="s">
        <v>13137</v>
      </c>
      <c r="D3117" t="s">
        <v>6838</v>
      </c>
      <c r="E3117" s="200" t="s">
        <v>13138</v>
      </c>
      <c r="F3117" t="s">
        <v>12811</v>
      </c>
      <c r="G3117" s="200" t="s">
        <v>13139</v>
      </c>
      <c r="H3117" t="s">
        <v>12812</v>
      </c>
      <c r="K3117" s="200" t="s">
        <v>13140</v>
      </c>
      <c r="L3117" t="s">
        <v>12783</v>
      </c>
      <c r="M3117" s="1" t="s">
        <v>12784</v>
      </c>
      <c r="N3117" s="423"/>
      <c r="O3117" s="1"/>
      <c r="P3117" s="3"/>
      <c r="Q3117" s="3"/>
      <c r="R3117" s="3"/>
      <c r="S3117" s="3"/>
      <c r="V3117" t="s">
        <v>12783</v>
      </c>
      <c r="AF3117" s="64"/>
      <c r="AH3117" s="4"/>
      <c r="AI3117" s="4"/>
      <c r="AJ3117" s="4"/>
      <c r="AK3117" s="46"/>
      <c r="AL3117" s="46"/>
      <c r="AM3117" s="4"/>
    </row>
    <row r="3118" spans="1:39" customFormat="1" x14ac:dyDescent="0.3">
      <c r="A3118" s="386" t="s">
        <v>1456</v>
      </c>
      <c r="B3118" t="s">
        <v>3184</v>
      </c>
      <c r="C3118" s="200" t="s">
        <v>13137</v>
      </c>
      <c r="D3118" t="s">
        <v>6838</v>
      </c>
      <c r="E3118" s="200" t="s">
        <v>13138</v>
      </c>
      <c r="F3118" t="s">
        <v>12811</v>
      </c>
      <c r="G3118" s="200" t="s">
        <v>13139</v>
      </c>
      <c r="H3118" t="s">
        <v>12812</v>
      </c>
      <c r="K3118" s="200" t="s">
        <v>13140</v>
      </c>
      <c r="L3118" t="s">
        <v>12785</v>
      </c>
      <c r="M3118" s="1" t="s">
        <v>12786</v>
      </c>
      <c r="N3118" s="423"/>
      <c r="O3118" s="1"/>
      <c r="P3118" s="3"/>
      <c r="Q3118" s="3"/>
      <c r="R3118" s="3"/>
      <c r="S3118" s="3"/>
      <c r="V3118" t="s">
        <v>12801</v>
      </c>
      <c r="AF3118" s="64"/>
      <c r="AH3118" s="4"/>
      <c r="AI3118" s="4"/>
      <c r="AJ3118" s="4"/>
      <c r="AK3118" s="46"/>
      <c r="AL3118" s="46"/>
      <c r="AM3118" s="4"/>
    </row>
    <row r="3119" spans="1:39" customFormat="1" x14ac:dyDescent="0.3">
      <c r="A3119" s="386" t="s">
        <v>1456</v>
      </c>
      <c r="B3119" t="s">
        <v>3184</v>
      </c>
      <c r="C3119" s="200" t="s">
        <v>13137</v>
      </c>
      <c r="D3119" t="s">
        <v>6838</v>
      </c>
      <c r="E3119" s="200" t="s">
        <v>13138</v>
      </c>
      <c r="F3119" t="s">
        <v>12811</v>
      </c>
      <c r="G3119" s="200" t="s">
        <v>13139</v>
      </c>
      <c r="H3119" t="s">
        <v>12812</v>
      </c>
      <c r="K3119" s="200" t="s">
        <v>13157</v>
      </c>
      <c r="L3119" t="s">
        <v>12787</v>
      </c>
      <c r="M3119" s="1" t="s">
        <v>12788</v>
      </c>
      <c r="N3119" s="423"/>
      <c r="O3119" s="1"/>
      <c r="P3119" s="3"/>
      <c r="Q3119" s="3"/>
      <c r="R3119" s="3"/>
      <c r="S3119" s="3"/>
      <c r="V3119" t="s">
        <v>12802</v>
      </c>
      <c r="AF3119" s="64"/>
      <c r="AH3119" s="4"/>
      <c r="AI3119" s="4"/>
      <c r="AJ3119" s="4"/>
      <c r="AK3119" s="46"/>
      <c r="AL3119" s="46"/>
      <c r="AM3119" s="4"/>
    </row>
    <row r="3120" spans="1:39" customFormat="1" x14ac:dyDescent="0.3">
      <c r="A3120" s="386" t="s">
        <v>1456</v>
      </c>
      <c r="B3120" t="s">
        <v>3184</v>
      </c>
      <c r="C3120" s="200" t="s">
        <v>13137</v>
      </c>
      <c r="D3120" t="s">
        <v>6838</v>
      </c>
      <c r="E3120" s="200" t="s">
        <v>13138</v>
      </c>
      <c r="F3120" t="s">
        <v>12811</v>
      </c>
      <c r="G3120" s="200" t="s">
        <v>13139</v>
      </c>
      <c r="H3120" t="s">
        <v>12812</v>
      </c>
      <c r="K3120" s="200" t="s">
        <v>13158</v>
      </c>
      <c r="L3120" t="s">
        <v>12789</v>
      </c>
      <c r="M3120" s="1" t="s">
        <v>12790</v>
      </c>
      <c r="N3120" s="423"/>
      <c r="O3120" s="1"/>
      <c r="P3120" s="3"/>
      <c r="Q3120" s="3"/>
      <c r="R3120" s="3"/>
      <c r="S3120" s="3"/>
      <c r="V3120" t="s">
        <v>12803</v>
      </c>
      <c r="AF3120" s="64"/>
      <c r="AH3120" s="4"/>
      <c r="AI3120" s="4"/>
      <c r="AJ3120" s="4"/>
      <c r="AK3120" s="46"/>
      <c r="AL3120" s="46"/>
      <c r="AM3120" s="4"/>
    </row>
    <row r="3121" spans="1:42" customFormat="1" x14ac:dyDescent="0.3">
      <c r="A3121" s="386" t="s">
        <v>1456</v>
      </c>
      <c r="B3121" t="s">
        <v>3184</v>
      </c>
      <c r="C3121" s="200" t="s">
        <v>13137</v>
      </c>
      <c r="D3121" t="s">
        <v>6838</v>
      </c>
      <c r="E3121" s="200" t="s">
        <v>13138</v>
      </c>
      <c r="F3121" t="s">
        <v>12811</v>
      </c>
      <c r="G3121" s="200" t="s">
        <v>13139</v>
      </c>
      <c r="H3121" t="s">
        <v>12812</v>
      </c>
      <c r="K3121" s="200" t="s">
        <v>13159</v>
      </c>
      <c r="L3121" t="s">
        <v>12791</v>
      </c>
      <c r="M3121" s="1" t="s">
        <v>12807</v>
      </c>
      <c r="N3121" s="423"/>
      <c r="O3121" s="1"/>
      <c r="P3121" s="3"/>
      <c r="Q3121" s="3"/>
      <c r="R3121" s="3"/>
      <c r="S3121" s="3"/>
      <c r="V3121" t="s">
        <v>12804</v>
      </c>
      <c r="AF3121" s="64"/>
      <c r="AH3121" s="4"/>
      <c r="AI3121" s="4"/>
      <c r="AJ3121" s="4"/>
      <c r="AK3121" s="46"/>
      <c r="AL3121" s="46"/>
      <c r="AM3121" s="4"/>
    </row>
    <row r="3122" spans="1:42" x14ac:dyDescent="0.3">
      <c r="A3122" s="50" t="s">
        <v>1463</v>
      </c>
      <c r="B3122" s="51" t="s">
        <v>5664</v>
      </c>
      <c r="C3122" s="50" t="s">
        <v>5665</v>
      </c>
      <c r="D3122" s="51" t="s">
        <v>1491</v>
      </c>
      <c r="E3122" s="50" t="s">
        <v>5665</v>
      </c>
      <c r="F3122" s="51" t="s">
        <v>1493</v>
      </c>
      <c r="G3122" s="50" t="s">
        <v>5665</v>
      </c>
      <c r="H3122" s="51" t="s">
        <v>1491</v>
      </c>
      <c r="I3122" s="51"/>
      <c r="J3122" s="51"/>
      <c r="K3122" s="50" t="s">
        <v>5665</v>
      </c>
      <c r="L3122" s="51" t="s">
        <v>1491</v>
      </c>
      <c r="M3122" s="420" t="s">
        <v>271</v>
      </c>
      <c r="N3122" s="420" t="s">
        <v>271</v>
      </c>
      <c r="O3122" s="420" t="s">
        <v>271</v>
      </c>
      <c r="P3122" s="60" t="s">
        <v>271</v>
      </c>
      <c r="Q3122" s="60" t="s">
        <v>271</v>
      </c>
      <c r="R3122" s="60" t="s">
        <v>271</v>
      </c>
      <c r="S3122" s="60" t="s">
        <v>271</v>
      </c>
      <c r="T3122" s="60" t="s">
        <v>271</v>
      </c>
      <c r="U3122" s="60" t="s">
        <v>271</v>
      </c>
      <c r="V3122" s="51" t="s">
        <v>1489</v>
      </c>
      <c r="W3122" s="291"/>
      <c r="X3122" s="291"/>
      <c r="Y3122" s="291"/>
      <c r="Z3122" s="291"/>
      <c r="AA3122" s="291"/>
      <c r="AB3122" s="291"/>
      <c r="AC3122" s="291"/>
      <c r="AD3122" s="291"/>
      <c r="AE3122" s="292"/>
      <c r="AF3122" s="257"/>
      <c r="AG3122" s="292"/>
      <c r="AH3122" s="257"/>
      <c r="AI3122" s="257"/>
      <c r="AJ3122" s="257"/>
      <c r="AK3122" s="258">
        <v>105.39</v>
      </c>
      <c r="AL3122" s="258">
        <v>105.39</v>
      </c>
      <c r="AM3122" s="147">
        <f t="shared" ref="AM3122:AM3150" si="123">SUM(AK3122:AL3122)</f>
        <v>210.78</v>
      </c>
      <c r="AN3122" s="52"/>
      <c r="AO3122" s="52"/>
      <c r="AP3122" s="51"/>
    </row>
    <row r="3123" spans="1:42" x14ac:dyDescent="0.3">
      <c r="A3123" s="50" t="s">
        <v>1463</v>
      </c>
      <c r="B3123" s="51" t="s">
        <v>5664</v>
      </c>
      <c r="C3123" s="50" t="s">
        <v>5665</v>
      </c>
      <c r="D3123" s="51" t="s">
        <v>1491</v>
      </c>
      <c r="E3123" s="50" t="s">
        <v>5665</v>
      </c>
      <c r="F3123" s="51" t="s">
        <v>1493</v>
      </c>
      <c r="G3123" s="50" t="s">
        <v>5665</v>
      </c>
      <c r="H3123" s="51" t="s">
        <v>1491</v>
      </c>
      <c r="I3123" s="51"/>
      <c r="J3123" s="51"/>
      <c r="K3123" s="50" t="s">
        <v>5665</v>
      </c>
      <c r="L3123" s="51" t="s">
        <v>1491</v>
      </c>
      <c r="M3123" s="420" t="s">
        <v>271</v>
      </c>
      <c r="N3123" s="420" t="s">
        <v>271</v>
      </c>
      <c r="O3123" s="420" t="s">
        <v>271</v>
      </c>
      <c r="P3123" s="60" t="s">
        <v>271</v>
      </c>
      <c r="Q3123" s="60" t="s">
        <v>271</v>
      </c>
      <c r="R3123" s="60" t="s">
        <v>271</v>
      </c>
      <c r="S3123" s="60" t="s">
        <v>271</v>
      </c>
      <c r="T3123" s="60" t="s">
        <v>271</v>
      </c>
      <c r="U3123" s="60" t="s">
        <v>271</v>
      </c>
      <c r="V3123" s="51" t="s">
        <v>1490</v>
      </c>
      <c r="W3123" s="291"/>
      <c r="X3123" s="291"/>
      <c r="Y3123" s="291"/>
      <c r="Z3123" s="291"/>
      <c r="AA3123" s="291"/>
      <c r="AB3123" s="291"/>
      <c r="AC3123" s="291"/>
      <c r="AD3123" s="291"/>
      <c r="AE3123" s="292"/>
      <c r="AF3123" s="257"/>
      <c r="AG3123" s="292"/>
      <c r="AH3123" s="257"/>
      <c r="AI3123" s="257"/>
      <c r="AJ3123" s="257"/>
      <c r="AK3123" s="258">
        <v>42.156000000000006</v>
      </c>
      <c r="AL3123" s="258">
        <v>42.156000000000006</v>
      </c>
      <c r="AM3123" s="147">
        <f t="shared" si="123"/>
        <v>84.312000000000012</v>
      </c>
      <c r="AN3123" s="52"/>
      <c r="AO3123" s="52"/>
      <c r="AP3123" s="51"/>
    </row>
    <row r="3124" spans="1:42" x14ac:dyDescent="0.3">
      <c r="A3124" s="50" t="s">
        <v>1463</v>
      </c>
      <c r="B3124" s="51" t="s">
        <v>5664</v>
      </c>
      <c r="C3124" s="50" t="s">
        <v>5665</v>
      </c>
      <c r="D3124" s="51" t="s">
        <v>1491</v>
      </c>
      <c r="E3124" s="50" t="s">
        <v>5665</v>
      </c>
      <c r="F3124" s="51" t="s">
        <v>1493</v>
      </c>
      <c r="G3124" s="50" t="s">
        <v>5665</v>
      </c>
      <c r="H3124" s="51" t="s">
        <v>1491</v>
      </c>
      <c r="I3124" s="51"/>
      <c r="J3124" s="51"/>
      <c r="K3124" s="50" t="s">
        <v>5665</v>
      </c>
      <c r="L3124" s="51" t="s">
        <v>1491</v>
      </c>
      <c r="M3124" s="420" t="s">
        <v>271</v>
      </c>
      <c r="N3124" s="420" t="s">
        <v>271</v>
      </c>
      <c r="O3124" s="420" t="s">
        <v>271</v>
      </c>
      <c r="P3124" s="60" t="s">
        <v>271</v>
      </c>
      <c r="Q3124" s="60" t="s">
        <v>271</v>
      </c>
      <c r="R3124" s="60" t="s">
        <v>271</v>
      </c>
      <c r="S3124" s="60" t="s">
        <v>271</v>
      </c>
      <c r="T3124" s="60" t="s">
        <v>271</v>
      </c>
      <c r="U3124" s="60" t="s">
        <v>271</v>
      </c>
      <c r="V3124" s="51" t="s">
        <v>1495</v>
      </c>
      <c r="W3124" s="291"/>
      <c r="X3124" s="291"/>
      <c r="Y3124" s="291"/>
      <c r="Z3124" s="291"/>
      <c r="AA3124" s="291"/>
      <c r="AB3124" s="291"/>
      <c r="AC3124" s="291"/>
      <c r="AD3124" s="291"/>
      <c r="AE3124" s="292"/>
      <c r="AF3124" s="257"/>
      <c r="AG3124" s="292"/>
      <c r="AH3124" s="257"/>
      <c r="AI3124" s="257"/>
      <c r="AJ3124" s="257"/>
      <c r="AK3124" s="258">
        <v>45.615614383</v>
      </c>
      <c r="AL3124" s="258">
        <v>52.258737260000004</v>
      </c>
      <c r="AM3124" s="147">
        <f t="shared" si="123"/>
        <v>97.874351643000011</v>
      </c>
      <c r="AN3124" s="52"/>
      <c r="AO3124" s="52"/>
      <c r="AP3124" s="51"/>
    </row>
    <row r="3125" spans="1:42" customFormat="1" x14ac:dyDescent="0.3">
      <c r="A3125" s="18" t="s">
        <v>1463</v>
      </c>
      <c r="B3125" s="18" t="s">
        <v>5664</v>
      </c>
      <c r="C3125" s="18" t="s">
        <v>1464</v>
      </c>
      <c r="D3125" s="18" t="s">
        <v>5666</v>
      </c>
      <c r="E3125" s="18" t="s">
        <v>5667</v>
      </c>
      <c r="F3125" s="18" t="s">
        <v>5668</v>
      </c>
      <c r="G3125" s="18" t="s">
        <v>5669</v>
      </c>
      <c r="H3125" s="18" t="s">
        <v>5670</v>
      </c>
      <c r="I3125" s="18"/>
      <c r="J3125" s="18"/>
      <c r="K3125" s="18" t="s">
        <v>5671</v>
      </c>
      <c r="L3125" s="18" t="s">
        <v>5672</v>
      </c>
      <c r="M3125" s="18" t="s">
        <v>5673</v>
      </c>
      <c r="N3125" s="18">
        <v>20</v>
      </c>
      <c r="O3125" s="18">
        <v>50</v>
      </c>
      <c r="P3125" s="16">
        <v>50</v>
      </c>
      <c r="Q3125" s="16">
        <v>50</v>
      </c>
      <c r="R3125" s="16">
        <v>50</v>
      </c>
      <c r="S3125" s="16">
        <v>50</v>
      </c>
      <c r="T3125" s="18" t="s">
        <v>2234</v>
      </c>
      <c r="U3125" t="s">
        <v>2236</v>
      </c>
      <c r="V3125" s="18" t="s">
        <v>5674</v>
      </c>
      <c r="W3125" s="283"/>
      <c r="X3125" s="283"/>
      <c r="Y3125" s="283"/>
      <c r="Z3125" s="283"/>
      <c r="AA3125" s="283"/>
      <c r="AB3125" s="283"/>
      <c r="AC3125" s="283"/>
      <c r="AD3125" s="283"/>
      <c r="AE3125" s="49">
        <v>0.625</v>
      </c>
      <c r="AF3125" s="64"/>
      <c r="AG3125" s="283"/>
      <c r="AH3125" s="259">
        <v>0.1</v>
      </c>
      <c r="AI3125" s="259" t="s">
        <v>5675</v>
      </c>
      <c r="AJ3125" s="259">
        <v>0.1</v>
      </c>
      <c r="AK3125" s="260">
        <v>0.4</v>
      </c>
      <c r="AL3125" s="260">
        <v>0.1</v>
      </c>
      <c r="AM3125" s="147">
        <f t="shared" si="123"/>
        <v>0.5</v>
      </c>
      <c r="AN3125" s="18" t="s">
        <v>2172</v>
      </c>
      <c r="AO3125" s="18" t="s">
        <v>2236</v>
      </c>
      <c r="AP3125" s="18" t="s">
        <v>5676</v>
      </c>
    </row>
    <row r="3126" spans="1:42" s="10" customFormat="1" x14ac:dyDescent="0.3">
      <c r="A3126" s="18" t="s">
        <v>1463</v>
      </c>
      <c r="B3126" s="18" t="s">
        <v>5664</v>
      </c>
      <c r="C3126" s="18" t="s">
        <v>1464</v>
      </c>
      <c r="D3126" s="18" t="s">
        <v>5666</v>
      </c>
      <c r="E3126" s="18" t="s">
        <v>5667</v>
      </c>
      <c r="F3126" s="18" t="s">
        <v>5668</v>
      </c>
      <c r="G3126" s="18" t="s">
        <v>5669</v>
      </c>
      <c r="H3126" s="18" t="s">
        <v>5670</v>
      </c>
      <c r="I3126" s="18"/>
      <c r="J3126" s="18"/>
      <c r="K3126" s="18" t="s">
        <v>5683</v>
      </c>
      <c r="L3126" s="18" t="s">
        <v>5684</v>
      </c>
      <c r="M3126" s="18" t="s">
        <v>5685</v>
      </c>
      <c r="N3126" s="18" t="s">
        <v>271</v>
      </c>
      <c r="O3126" s="18">
        <v>130</v>
      </c>
      <c r="P3126" s="16">
        <v>130</v>
      </c>
      <c r="Q3126" s="16">
        <v>130</v>
      </c>
      <c r="R3126" s="16">
        <v>130</v>
      </c>
      <c r="S3126" s="16">
        <v>130</v>
      </c>
      <c r="T3126" s="18" t="s">
        <v>1167</v>
      </c>
      <c r="U3126" t="str">
        <f>VLOOKUP(T3126,[8]Votes!$A$1:$E$234,3,FALSE)</f>
        <v>003 Office of the Prime Minister</v>
      </c>
      <c r="V3126" s="18" t="s">
        <v>5686</v>
      </c>
      <c r="AE3126" s="49" t="e">
        <f>SUM(#REF!)/8</f>
        <v>#REF!</v>
      </c>
      <c r="AH3126" s="259">
        <v>2</v>
      </c>
      <c r="AI3126" s="259">
        <v>2</v>
      </c>
      <c r="AJ3126" s="259">
        <v>2</v>
      </c>
      <c r="AK3126" s="260">
        <v>1</v>
      </c>
      <c r="AL3126" s="260">
        <v>2</v>
      </c>
      <c r="AM3126" s="147">
        <f t="shared" si="123"/>
        <v>3</v>
      </c>
      <c r="AN3126" s="18" t="s">
        <v>1167</v>
      </c>
      <c r="AO3126" s="18" t="s">
        <v>1170</v>
      </c>
      <c r="AP3126" s="18" t="s">
        <v>119</v>
      </c>
    </row>
    <row r="3127" spans="1:42" customFormat="1" x14ac:dyDescent="0.3">
      <c r="A3127" s="18" t="s">
        <v>1463</v>
      </c>
      <c r="B3127" s="18" t="s">
        <v>5664</v>
      </c>
      <c r="C3127" s="18" t="s">
        <v>1464</v>
      </c>
      <c r="D3127" s="18" t="s">
        <v>5666</v>
      </c>
      <c r="E3127" s="18" t="s">
        <v>5667</v>
      </c>
      <c r="F3127" s="18" t="s">
        <v>5668</v>
      </c>
      <c r="G3127" s="18" t="s">
        <v>5687</v>
      </c>
      <c r="H3127" s="18" t="s">
        <v>5688</v>
      </c>
      <c r="I3127" s="18"/>
      <c r="J3127" s="18"/>
      <c r="K3127" s="18">
        <v>14110201</v>
      </c>
      <c r="L3127" s="18" t="s">
        <v>5689</v>
      </c>
      <c r="M3127" s="18" t="s">
        <v>5690</v>
      </c>
      <c r="N3127" s="18">
        <v>91</v>
      </c>
      <c r="O3127" s="18">
        <v>76</v>
      </c>
      <c r="P3127" s="16">
        <v>76</v>
      </c>
      <c r="Q3127" s="16">
        <v>76</v>
      </c>
      <c r="R3127" s="16">
        <v>76</v>
      </c>
      <c r="S3127" s="16">
        <v>76</v>
      </c>
      <c r="T3127" s="18" t="s">
        <v>2234</v>
      </c>
      <c r="U3127" t="s">
        <v>2236</v>
      </c>
      <c r="V3127" s="18" t="s">
        <v>5691</v>
      </c>
      <c r="W3127" s="283"/>
      <c r="X3127" s="283"/>
      <c r="Y3127" s="283"/>
      <c r="Z3127" s="283"/>
      <c r="AA3127" s="283"/>
      <c r="AB3127" s="283"/>
      <c r="AC3127" s="283"/>
      <c r="AD3127" s="283"/>
      <c r="AE3127" s="49">
        <v>0.875</v>
      </c>
      <c r="AF3127" s="64"/>
      <c r="AG3127" s="283"/>
      <c r="AH3127" s="259">
        <v>0.97</v>
      </c>
      <c r="AI3127" s="259">
        <v>0.97</v>
      </c>
      <c r="AJ3127" s="259" t="s">
        <v>5692</v>
      </c>
      <c r="AK3127" s="260" t="s">
        <v>5692</v>
      </c>
      <c r="AL3127" s="260" t="s">
        <v>5692</v>
      </c>
      <c r="AM3127" s="147">
        <f t="shared" si="123"/>
        <v>0</v>
      </c>
      <c r="AN3127" s="18" t="s">
        <v>2234</v>
      </c>
      <c r="AO3127" s="18" t="s">
        <v>2236</v>
      </c>
      <c r="AP3127" s="18" t="s">
        <v>5693</v>
      </c>
    </row>
    <row r="3128" spans="1:42" customFormat="1" x14ac:dyDescent="0.3">
      <c r="A3128" s="18" t="s">
        <v>1463</v>
      </c>
      <c r="B3128" s="18" t="s">
        <v>5664</v>
      </c>
      <c r="C3128" s="18" t="s">
        <v>1464</v>
      </c>
      <c r="D3128" s="18" t="s">
        <v>5666</v>
      </c>
      <c r="E3128" s="18" t="s">
        <v>5667</v>
      </c>
      <c r="F3128" s="18" t="s">
        <v>5668</v>
      </c>
      <c r="G3128" s="18" t="s">
        <v>5687</v>
      </c>
      <c r="H3128" s="18" t="s">
        <v>5688</v>
      </c>
      <c r="I3128" s="18"/>
      <c r="J3128" s="18"/>
      <c r="K3128" s="18" t="s">
        <v>5694</v>
      </c>
      <c r="L3128" s="18" t="s">
        <v>5689</v>
      </c>
      <c r="M3128" s="18" t="s">
        <v>5695</v>
      </c>
      <c r="N3128" s="460">
        <v>0.28999999999999998</v>
      </c>
      <c r="O3128" s="460">
        <v>0.42</v>
      </c>
      <c r="P3128" s="38">
        <v>0.48</v>
      </c>
      <c r="Q3128" s="38">
        <v>0.5</v>
      </c>
      <c r="R3128" s="38">
        <v>0.75</v>
      </c>
      <c r="S3128" s="38">
        <v>1</v>
      </c>
      <c r="T3128" s="18" t="s">
        <v>5696</v>
      </c>
      <c r="U3128" t="e">
        <v>#N/A</v>
      </c>
      <c r="V3128" s="18" t="s">
        <v>5697</v>
      </c>
      <c r="W3128" s="283"/>
      <c r="X3128" s="283"/>
      <c r="Y3128" s="283"/>
      <c r="Z3128" s="283"/>
      <c r="AA3128" s="283"/>
      <c r="AB3128" s="283"/>
      <c r="AC3128" s="283"/>
      <c r="AD3128" s="283"/>
      <c r="AE3128" s="49">
        <v>0.75</v>
      </c>
      <c r="AF3128" s="64"/>
      <c r="AG3128" s="283"/>
      <c r="AH3128" s="259">
        <v>0.11</v>
      </c>
      <c r="AI3128" s="259">
        <v>0.11</v>
      </c>
      <c r="AJ3128" s="259">
        <v>0.11</v>
      </c>
      <c r="AK3128" s="260">
        <v>0.25</v>
      </c>
      <c r="AL3128" s="260">
        <v>0.26</v>
      </c>
      <c r="AM3128" s="147">
        <f t="shared" si="123"/>
        <v>0.51</v>
      </c>
      <c r="AN3128" s="18" t="s">
        <v>2234</v>
      </c>
      <c r="AO3128" s="18" t="s">
        <v>2236</v>
      </c>
      <c r="AP3128" s="18" t="s">
        <v>11663</v>
      </c>
    </row>
    <row r="3129" spans="1:42" customFormat="1" x14ac:dyDescent="0.3">
      <c r="A3129" s="18" t="s">
        <v>1463</v>
      </c>
      <c r="B3129" s="18" t="s">
        <v>5664</v>
      </c>
      <c r="C3129" s="18" t="s">
        <v>1464</v>
      </c>
      <c r="D3129" s="18" t="s">
        <v>5666</v>
      </c>
      <c r="E3129" s="18" t="s">
        <v>5667</v>
      </c>
      <c r="F3129" s="18" t="s">
        <v>5668</v>
      </c>
      <c r="G3129" s="18" t="s">
        <v>5687</v>
      </c>
      <c r="H3129" s="18" t="s">
        <v>5688</v>
      </c>
      <c r="I3129" s="18"/>
      <c r="J3129" s="18"/>
      <c r="K3129" s="18" t="s">
        <v>5694</v>
      </c>
      <c r="L3129" s="18" t="s">
        <v>5689</v>
      </c>
      <c r="M3129" s="18" t="s">
        <v>5699</v>
      </c>
      <c r="N3129" s="18" t="s">
        <v>271</v>
      </c>
      <c r="O3129" s="18">
        <v>4</v>
      </c>
      <c r="P3129" s="16">
        <v>4</v>
      </c>
      <c r="Q3129" s="16">
        <v>4</v>
      </c>
      <c r="R3129" s="16">
        <v>4</v>
      </c>
      <c r="S3129" s="16">
        <v>4</v>
      </c>
      <c r="T3129" s="18" t="s">
        <v>5696</v>
      </c>
      <c r="U3129" t="e">
        <v>#N/A</v>
      </c>
      <c r="V3129" s="18" t="s">
        <v>5700</v>
      </c>
      <c r="W3129" s="283"/>
      <c r="X3129" s="283"/>
      <c r="Y3129" s="283"/>
      <c r="Z3129" s="283"/>
      <c r="AA3129" s="283"/>
      <c r="AB3129" s="283"/>
      <c r="AC3129" s="283"/>
      <c r="AD3129" s="283"/>
      <c r="AE3129" s="49">
        <v>0.625</v>
      </c>
      <c r="AF3129" s="64"/>
      <c r="AG3129" s="283"/>
      <c r="AH3129" s="259">
        <v>1.06</v>
      </c>
      <c r="AI3129" s="259">
        <v>1.06</v>
      </c>
      <c r="AJ3129" s="259">
        <v>1.06</v>
      </c>
      <c r="AK3129" s="260">
        <v>1.06</v>
      </c>
      <c r="AL3129" s="260">
        <v>1.06</v>
      </c>
      <c r="AM3129" s="147">
        <f t="shared" si="123"/>
        <v>2.12</v>
      </c>
      <c r="AN3129" s="18" t="s">
        <v>2234</v>
      </c>
      <c r="AO3129" s="18" t="s">
        <v>2236</v>
      </c>
      <c r="AP3129" s="18" t="s">
        <v>5693</v>
      </c>
    </row>
    <row r="3130" spans="1:42" customFormat="1" x14ac:dyDescent="0.3">
      <c r="A3130" s="18" t="s">
        <v>1463</v>
      </c>
      <c r="B3130" s="18" t="s">
        <v>5664</v>
      </c>
      <c r="C3130" s="18" t="s">
        <v>1464</v>
      </c>
      <c r="D3130" s="18" t="s">
        <v>5666</v>
      </c>
      <c r="E3130" s="18" t="s">
        <v>5667</v>
      </c>
      <c r="F3130" s="18" t="s">
        <v>5668</v>
      </c>
      <c r="G3130" s="18" t="s">
        <v>5687</v>
      </c>
      <c r="H3130" s="18" t="s">
        <v>5688</v>
      </c>
      <c r="I3130" s="18"/>
      <c r="J3130" s="18"/>
      <c r="K3130" s="18">
        <v>14110206</v>
      </c>
      <c r="L3130" s="18" t="s">
        <v>5701</v>
      </c>
      <c r="M3130" s="18" t="s">
        <v>5702</v>
      </c>
      <c r="N3130" s="18">
        <v>20</v>
      </c>
      <c r="O3130" s="18">
        <v>380</v>
      </c>
      <c r="P3130" s="16">
        <v>380</v>
      </c>
      <c r="Q3130" s="16">
        <v>380</v>
      </c>
      <c r="R3130" s="16">
        <v>380</v>
      </c>
      <c r="S3130" s="16">
        <v>380</v>
      </c>
      <c r="T3130" s="18" t="s">
        <v>2234</v>
      </c>
      <c r="U3130" t="s">
        <v>2236</v>
      </c>
      <c r="V3130" s="18" t="s">
        <v>5703</v>
      </c>
      <c r="W3130" s="283"/>
      <c r="X3130" s="283"/>
      <c r="Y3130" s="283"/>
      <c r="Z3130" s="283"/>
      <c r="AA3130" s="283"/>
      <c r="AB3130" s="283"/>
      <c r="AC3130" s="283"/>
      <c r="AD3130" s="283"/>
      <c r="AE3130" s="49">
        <v>0.75</v>
      </c>
      <c r="AF3130" s="64"/>
      <c r="AG3130" s="283"/>
      <c r="AH3130" s="259">
        <v>1.1000000000000001</v>
      </c>
      <c r="AI3130" s="259">
        <v>1.1000000000000001</v>
      </c>
      <c r="AJ3130" s="259">
        <v>1.1000000000000001</v>
      </c>
      <c r="AK3130" s="260">
        <v>1.1000000000000001</v>
      </c>
      <c r="AL3130" s="260">
        <v>1.5</v>
      </c>
      <c r="AM3130" s="147">
        <f t="shared" si="123"/>
        <v>2.6</v>
      </c>
      <c r="AN3130" s="18" t="s">
        <v>2234</v>
      </c>
      <c r="AO3130" s="18" t="s">
        <v>2236</v>
      </c>
      <c r="AP3130" s="10" t="s">
        <v>280</v>
      </c>
    </row>
    <row r="3131" spans="1:42" customFormat="1" x14ac:dyDescent="0.3">
      <c r="A3131" s="18" t="s">
        <v>1463</v>
      </c>
      <c r="B3131" s="18" t="s">
        <v>5664</v>
      </c>
      <c r="C3131" s="18" t="s">
        <v>1464</v>
      </c>
      <c r="D3131" s="18" t="s">
        <v>5666</v>
      </c>
      <c r="E3131" s="18" t="s">
        <v>5667</v>
      </c>
      <c r="F3131" s="18" t="s">
        <v>5668</v>
      </c>
      <c r="G3131" s="18" t="s">
        <v>5687</v>
      </c>
      <c r="H3131" s="18" t="s">
        <v>5688</v>
      </c>
      <c r="I3131" s="18"/>
      <c r="J3131" s="18"/>
      <c r="K3131" s="18">
        <v>14110206</v>
      </c>
      <c r="L3131" s="18" t="s">
        <v>5701</v>
      </c>
      <c r="M3131" s="18" t="s">
        <v>5704</v>
      </c>
      <c r="N3131" s="18">
        <v>0</v>
      </c>
      <c r="O3131" s="18">
        <v>296</v>
      </c>
      <c r="P3131" s="16">
        <v>296</v>
      </c>
      <c r="Q3131" s="16">
        <v>296</v>
      </c>
      <c r="R3131" s="16">
        <v>296</v>
      </c>
      <c r="S3131" s="16">
        <v>296</v>
      </c>
      <c r="T3131" s="18" t="s">
        <v>2234</v>
      </c>
      <c r="U3131" t="s">
        <v>2236</v>
      </c>
      <c r="V3131" s="18" t="s">
        <v>5705</v>
      </c>
      <c r="W3131" s="283"/>
      <c r="X3131" s="283"/>
      <c r="Y3131" s="283"/>
      <c r="Z3131" s="283"/>
      <c r="AA3131" s="283"/>
      <c r="AB3131" s="283"/>
      <c r="AC3131" s="283"/>
      <c r="AD3131" s="283"/>
      <c r="AE3131" s="49">
        <v>0.875</v>
      </c>
      <c r="AF3131" s="64"/>
      <c r="AG3131" s="283"/>
      <c r="AH3131" s="259">
        <v>0.4</v>
      </c>
      <c r="AI3131" s="259">
        <v>0.4</v>
      </c>
      <c r="AJ3131" s="259">
        <v>0.4</v>
      </c>
      <c r="AK3131" s="260">
        <v>0.4</v>
      </c>
      <c r="AL3131" s="260">
        <v>0.4</v>
      </c>
      <c r="AM3131" s="147">
        <f t="shared" si="123"/>
        <v>0.8</v>
      </c>
      <c r="AN3131" s="18" t="s">
        <v>2234</v>
      </c>
      <c r="AO3131" s="18" t="s">
        <v>2236</v>
      </c>
      <c r="AP3131" s="243" t="s">
        <v>5706</v>
      </c>
    </row>
    <row r="3132" spans="1:42" customFormat="1" x14ac:dyDescent="0.3">
      <c r="A3132" s="18" t="s">
        <v>1463</v>
      </c>
      <c r="B3132" s="18" t="s">
        <v>5664</v>
      </c>
      <c r="C3132" s="18" t="s">
        <v>1464</v>
      </c>
      <c r="D3132" s="18" t="s">
        <v>5666</v>
      </c>
      <c r="E3132" s="18" t="s">
        <v>5667</v>
      </c>
      <c r="F3132" s="18" t="s">
        <v>5668</v>
      </c>
      <c r="G3132" s="18" t="s">
        <v>5687</v>
      </c>
      <c r="H3132" s="18" t="s">
        <v>5688</v>
      </c>
      <c r="I3132" s="18"/>
      <c r="J3132" s="18"/>
      <c r="K3132" s="18">
        <v>14110206</v>
      </c>
      <c r="L3132" s="18" t="s">
        <v>5701</v>
      </c>
      <c r="M3132" s="18" t="s">
        <v>5707</v>
      </c>
      <c r="N3132" s="18">
        <v>0</v>
      </c>
      <c r="O3132" s="18">
        <v>60</v>
      </c>
      <c r="P3132" s="16">
        <v>60</v>
      </c>
      <c r="Q3132" s="16">
        <v>60</v>
      </c>
      <c r="R3132" s="16">
        <v>60</v>
      </c>
      <c r="S3132" s="16">
        <v>60</v>
      </c>
      <c r="T3132" s="18" t="s">
        <v>2234</v>
      </c>
      <c r="U3132" t="s">
        <v>2236</v>
      </c>
      <c r="V3132" s="18" t="s">
        <v>5708</v>
      </c>
      <c r="W3132" s="283"/>
      <c r="X3132" s="283"/>
      <c r="Y3132" s="283"/>
      <c r="Z3132" s="283"/>
      <c r="AA3132" s="283"/>
      <c r="AB3132" s="283"/>
      <c r="AC3132" s="283"/>
      <c r="AD3132" s="283"/>
      <c r="AE3132" s="49">
        <v>0.75</v>
      </c>
      <c r="AF3132" s="64"/>
      <c r="AG3132" s="283"/>
      <c r="AH3132" s="259">
        <v>0.1</v>
      </c>
      <c r="AI3132" s="259">
        <v>0.1</v>
      </c>
      <c r="AJ3132" s="259">
        <v>0.1</v>
      </c>
      <c r="AK3132" s="260">
        <v>0.1</v>
      </c>
      <c r="AL3132" s="260">
        <v>0.1</v>
      </c>
      <c r="AM3132" s="147">
        <f t="shared" si="123"/>
        <v>0.2</v>
      </c>
      <c r="AN3132" s="18" t="s">
        <v>2234</v>
      </c>
      <c r="AO3132" s="18" t="s">
        <v>2236</v>
      </c>
      <c r="AP3132" s="243" t="s">
        <v>280</v>
      </c>
    </row>
    <row r="3133" spans="1:42" customFormat="1" x14ac:dyDescent="0.3">
      <c r="A3133" s="18" t="s">
        <v>1463</v>
      </c>
      <c r="B3133" s="18" t="s">
        <v>5664</v>
      </c>
      <c r="C3133" s="18" t="s">
        <v>1464</v>
      </c>
      <c r="D3133" s="18" t="s">
        <v>5666</v>
      </c>
      <c r="E3133" s="18" t="s">
        <v>5667</v>
      </c>
      <c r="F3133" s="18" t="s">
        <v>5668</v>
      </c>
      <c r="G3133" s="18" t="s">
        <v>5687</v>
      </c>
      <c r="H3133" s="18" t="s">
        <v>5688</v>
      </c>
      <c r="I3133" s="18"/>
      <c r="J3133" s="18"/>
      <c r="K3133" s="18">
        <v>14110207</v>
      </c>
      <c r="L3133" s="18" t="s">
        <v>5709</v>
      </c>
      <c r="M3133" s="18" t="s">
        <v>5710</v>
      </c>
      <c r="N3133" s="18">
        <v>0</v>
      </c>
      <c r="O3133" s="18">
        <v>1</v>
      </c>
      <c r="P3133" s="16">
        <v>0</v>
      </c>
      <c r="Q3133" s="16">
        <v>0</v>
      </c>
      <c r="R3133" s="16">
        <v>0</v>
      </c>
      <c r="S3133" s="16">
        <v>0</v>
      </c>
      <c r="T3133" s="18" t="s">
        <v>2234</v>
      </c>
      <c r="U3133" t="s">
        <v>2236</v>
      </c>
      <c r="V3133" s="18" t="s">
        <v>5711</v>
      </c>
      <c r="W3133" s="283"/>
      <c r="X3133" s="283"/>
      <c r="Y3133" s="283"/>
      <c r="Z3133" s="283"/>
      <c r="AA3133" s="283"/>
      <c r="AB3133" s="283"/>
      <c r="AC3133" s="283"/>
      <c r="AD3133" s="283"/>
      <c r="AE3133" s="49">
        <v>0.875</v>
      </c>
      <c r="AF3133" s="64"/>
      <c r="AG3133" s="283"/>
      <c r="AH3133" s="259"/>
      <c r="AI3133" s="259">
        <v>0.25</v>
      </c>
      <c r="AJ3133" s="259"/>
      <c r="AK3133" s="260">
        <v>0.1</v>
      </c>
      <c r="AL3133" s="260"/>
      <c r="AM3133" s="147">
        <f t="shared" si="123"/>
        <v>0.1</v>
      </c>
      <c r="AN3133" s="18" t="s">
        <v>2234</v>
      </c>
      <c r="AO3133" s="18" t="s">
        <v>2236</v>
      </c>
      <c r="AP3133" s="243" t="s">
        <v>280</v>
      </c>
    </row>
    <row r="3134" spans="1:42" customFormat="1" x14ac:dyDescent="0.3">
      <c r="A3134" s="18" t="s">
        <v>1463</v>
      </c>
      <c r="B3134" s="18" t="s">
        <v>5664</v>
      </c>
      <c r="C3134" s="18" t="s">
        <v>1464</v>
      </c>
      <c r="D3134" s="18" t="s">
        <v>5666</v>
      </c>
      <c r="E3134" s="18" t="s">
        <v>5667</v>
      </c>
      <c r="F3134" s="18" t="s">
        <v>5668</v>
      </c>
      <c r="G3134" s="18" t="s">
        <v>5687</v>
      </c>
      <c r="H3134" s="18" t="s">
        <v>5688</v>
      </c>
      <c r="I3134" s="18"/>
      <c r="J3134" s="18"/>
      <c r="K3134" s="18">
        <v>14110208</v>
      </c>
      <c r="L3134" s="18" t="s">
        <v>5712</v>
      </c>
      <c r="M3134" s="18" t="s">
        <v>5713</v>
      </c>
      <c r="N3134" s="18">
        <v>38</v>
      </c>
      <c r="O3134" s="18">
        <v>183</v>
      </c>
      <c r="P3134" s="16">
        <v>183</v>
      </c>
      <c r="Q3134" s="16">
        <v>183</v>
      </c>
      <c r="R3134" s="16">
        <v>183</v>
      </c>
      <c r="S3134" s="16">
        <v>183</v>
      </c>
      <c r="T3134" s="18" t="s">
        <v>2234</v>
      </c>
      <c r="U3134" t="s">
        <v>2236</v>
      </c>
      <c r="V3134" s="18" t="s">
        <v>5714</v>
      </c>
      <c r="W3134" s="283"/>
      <c r="X3134" s="283"/>
      <c r="Y3134" s="283"/>
      <c r="Z3134" s="283"/>
      <c r="AA3134" s="283"/>
      <c r="AB3134" s="283"/>
      <c r="AC3134" s="283"/>
      <c r="AD3134" s="283"/>
      <c r="AE3134" s="49">
        <v>1</v>
      </c>
      <c r="AF3134" s="64"/>
      <c r="AG3134" s="283"/>
      <c r="AH3134" s="259">
        <v>0.5</v>
      </c>
      <c r="AI3134" s="259">
        <v>0.5</v>
      </c>
      <c r="AJ3134" s="259">
        <v>0.5</v>
      </c>
      <c r="AK3134" s="260">
        <v>2.4</v>
      </c>
      <c r="AL3134" s="260">
        <v>0.5</v>
      </c>
      <c r="AM3134" s="147">
        <f t="shared" si="123"/>
        <v>2.9</v>
      </c>
      <c r="AN3134" s="18" t="s">
        <v>2234</v>
      </c>
      <c r="AO3134" s="18" t="s">
        <v>2236</v>
      </c>
      <c r="AP3134" s="243" t="s">
        <v>280</v>
      </c>
    </row>
    <row r="3135" spans="1:42" customFormat="1" x14ac:dyDescent="0.3">
      <c r="A3135" s="18" t="s">
        <v>1463</v>
      </c>
      <c r="B3135" s="18" t="s">
        <v>5664</v>
      </c>
      <c r="C3135" s="18" t="s">
        <v>1464</v>
      </c>
      <c r="D3135" s="18" t="s">
        <v>5666</v>
      </c>
      <c r="E3135" s="18" t="s">
        <v>5667</v>
      </c>
      <c r="F3135" s="18" t="s">
        <v>5668</v>
      </c>
      <c r="G3135" s="18" t="s">
        <v>5687</v>
      </c>
      <c r="H3135" s="18" t="s">
        <v>5688</v>
      </c>
      <c r="I3135" s="18"/>
      <c r="J3135" s="18"/>
      <c r="K3135" s="18">
        <v>14110209</v>
      </c>
      <c r="L3135" s="18" t="s">
        <v>5715</v>
      </c>
      <c r="M3135" s="18" t="s">
        <v>5716</v>
      </c>
      <c r="N3135" s="18">
        <v>0</v>
      </c>
      <c r="O3135" s="18">
        <v>0</v>
      </c>
      <c r="P3135" s="16">
        <v>1</v>
      </c>
      <c r="Q3135" s="16">
        <v>0</v>
      </c>
      <c r="R3135" s="16">
        <v>0</v>
      </c>
      <c r="S3135" s="16">
        <v>0</v>
      </c>
      <c r="T3135" s="18" t="s">
        <v>2234</v>
      </c>
      <c r="U3135" t="s">
        <v>2236</v>
      </c>
      <c r="V3135" s="18" t="s">
        <v>5717</v>
      </c>
      <c r="W3135" s="283"/>
      <c r="X3135" s="283"/>
      <c r="Y3135" s="283"/>
      <c r="Z3135" s="283"/>
      <c r="AA3135" s="283"/>
      <c r="AB3135" s="283"/>
      <c r="AC3135" s="283"/>
      <c r="AD3135" s="283"/>
      <c r="AE3135" s="49">
        <v>0.875</v>
      </c>
      <c r="AF3135" s="64"/>
      <c r="AG3135" s="283"/>
      <c r="AH3135" s="259"/>
      <c r="AI3135" s="259">
        <v>0.35</v>
      </c>
      <c r="AJ3135" s="259"/>
      <c r="AK3135" s="260">
        <v>0.05</v>
      </c>
      <c r="AL3135" s="260"/>
      <c r="AM3135" s="147">
        <f t="shared" si="123"/>
        <v>0.05</v>
      </c>
      <c r="AN3135" s="18" t="s">
        <v>2234</v>
      </c>
      <c r="AO3135" s="18" t="s">
        <v>2236</v>
      </c>
      <c r="AP3135" s="243" t="s">
        <v>280</v>
      </c>
    </row>
    <row r="3136" spans="1:42" customFormat="1" x14ac:dyDescent="0.3">
      <c r="A3136" s="18" t="s">
        <v>1463</v>
      </c>
      <c r="B3136" s="18" t="s">
        <v>5664</v>
      </c>
      <c r="C3136" s="18" t="s">
        <v>1464</v>
      </c>
      <c r="D3136" s="18" t="s">
        <v>5666</v>
      </c>
      <c r="E3136" s="18" t="s">
        <v>5667</v>
      </c>
      <c r="F3136" s="18" t="s">
        <v>5668</v>
      </c>
      <c r="G3136" s="18" t="s">
        <v>5687</v>
      </c>
      <c r="H3136" s="18" t="s">
        <v>5688</v>
      </c>
      <c r="I3136" s="18"/>
      <c r="J3136" s="18"/>
      <c r="K3136" s="18">
        <v>14110210</v>
      </c>
      <c r="L3136" s="18" t="s">
        <v>5718</v>
      </c>
      <c r="M3136" s="18" t="s">
        <v>5719</v>
      </c>
      <c r="N3136" s="18">
        <v>2</v>
      </c>
      <c r="O3136" s="18">
        <v>2</v>
      </c>
      <c r="P3136" s="16">
        <v>2</v>
      </c>
      <c r="Q3136" s="16">
        <v>2</v>
      </c>
      <c r="R3136" s="16">
        <v>2</v>
      </c>
      <c r="S3136" s="16">
        <v>2</v>
      </c>
      <c r="T3136" s="18" t="s">
        <v>2234</v>
      </c>
      <c r="U3136" t="s">
        <v>2236</v>
      </c>
      <c r="V3136" s="18" t="s">
        <v>5720</v>
      </c>
      <c r="W3136" s="283"/>
      <c r="X3136" s="283"/>
      <c r="Y3136" s="283"/>
      <c r="Z3136" s="283"/>
      <c r="AA3136" s="283"/>
      <c r="AB3136" s="283"/>
      <c r="AC3136" s="283"/>
      <c r="AD3136" s="283"/>
      <c r="AE3136" s="49">
        <v>1</v>
      </c>
      <c r="AF3136" s="64"/>
      <c r="AG3136" s="283"/>
      <c r="AH3136" s="259">
        <v>0.02</v>
      </c>
      <c r="AI3136" s="259">
        <v>0.02</v>
      </c>
      <c r="AJ3136" s="259">
        <v>0.02</v>
      </c>
      <c r="AK3136" s="260">
        <v>0.08</v>
      </c>
      <c r="AL3136" s="260">
        <v>0.02</v>
      </c>
      <c r="AM3136" s="147">
        <f t="shared" si="123"/>
        <v>0.1</v>
      </c>
      <c r="AN3136" s="18" t="s">
        <v>2234</v>
      </c>
      <c r="AO3136" s="18" t="s">
        <v>2236</v>
      </c>
      <c r="AP3136" s="243" t="s">
        <v>280</v>
      </c>
    </row>
    <row r="3137" spans="1:42" customFormat="1" x14ac:dyDescent="0.3">
      <c r="A3137" s="18" t="s">
        <v>1463</v>
      </c>
      <c r="B3137" s="18" t="s">
        <v>5664</v>
      </c>
      <c r="C3137" s="18" t="s">
        <v>1464</v>
      </c>
      <c r="D3137" s="18" t="s">
        <v>5666</v>
      </c>
      <c r="E3137" s="18" t="s">
        <v>5667</v>
      </c>
      <c r="F3137" s="18" t="s">
        <v>5668</v>
      </c>
      <c r="G3137" s="18" t="s">
        <v>5687</v>
      </c>
      <c r="H3137" s="18" t="s">
        <v>5688</v>
      </c>
      <c r="I3137" s="18"/>
      <c r="J3137" s="18"/>
      <c r="K3137" s="18">
        <v>14110210</v>
      </c>
      <c r="L3137" s="18" t="s">
        <v>5718</v>
      </c>
      <c r="M3137" s="18" t="s">
        <v>5721</v>
      </c>
      <c r="N3137" s="18">
        <v>0</v>
      </c>
      <c r="O3137" s="18">
        <v>2</v>
      </c>
      <c r="P3137" s="16">
        <v>2</v>
      </c>
      <c r="Q3137" s="16">
        <v>2</v>
      </c>
      <c r="R3137" s="16">
        <v>2</v>
      </c>
      <c r="S3137" s="16">
        <v>2</v>
      </c>
      <c r="T3137" s="18" t="s">
        <v>2172</v>
      </c>
      <c r="U3137" t="s">
        <v>2236</v>
      </c>
      <c r="V3137" s="18" t="s">
        <v>5722</v>
      </c>
      <c r="W3137" s="283"/>
      <c r="X3137" s="283"/>
      <c r="Y3137" s="283"/>
      <c r="Z3137" s="283"/>
      <c r="AA3137" s="283"/>
      <c r="AB3137" s="283"/>
      <c r="AC3137" s="283"/>
      <c r="AD3137" s="283"/>
      <c r="AE3137" s="49">
        <v>0.875</v>
      </c>
      <c r="AF3137" s="64"/>
      <c r="AG3137" s="283"/>
      <c r="AH3137" s="259">
        <v>0.01</v>
      </c>
      <c r="AI3137" s="259">
        <v>0.01</v>
      </c>
      <c r="AJ3137" s="259">
        <v>0.01</v>
      </c>
      <c r="AK3137" s="260">
        <v>0.01</v>
      </c>
      <c r="AL3137" s="260">
        <v>0.01</v>
      </c>
      <c r="AM3137" s="147">
        <f t="shared" si="123"/>
        <v>0.02</v>
      </c>
      <c r="AN3137" s="18" t="s">
        <v>2234</v>
      </c>
      <c r="AO3137" s="18" t="s">
        <v>2236</v>
      </c>
      <c r="AP3137" s="243" t="s">
        <v>280</v>
      </c>
    </row>
    <row r="3138" spans="1:42" customFormat="1" x14ac:dyDescent="0.3">
      <c r="A3138" s="18" t="s">
        <v>1463</v>
      </c>
      <c r="B3138" s="18" t="s">
        <v>5664</v>
      </c>
      <c r="C3138" s="18" t="s">
        <v>1464</v>
      </c>
      <c r="D3138" s="18" t="s">
        <v>5666</v>
      </c>
      <c r="E3138" s="18" t="s">
        <v>5667</v>
      </c>
      <c r="F3138" s="18" t="s">
        <v>5668</v>
      </c>
      <c r="G3138" s="18" t="s">
        <v>5687</v>
      </c>
      <c r="H3138" s="18" t="s">
        <v>5688</v>
      </c>
      <c r="I3138" s="18"/>
      <c r="J3138" s="18"/>
      <c r="K3138" s="18">
        <v>14110211</v>
      </c>
      <c r="L3138" s="18" t="s">
        <v>5723</v>
      </c>
      <c r="M3138" s="18" t="s">
        <v>5724</v>
      </c>
      <c r="N3138" s="18">
        <v>37</v>
      </c>
      <c r="O3138" s="18">
        <v>70</v>
      </c>
      <c r="P3138" s="16">
        <v>70</v>
      </c>
      <c r="Q3138" s="16">
        <v>70</v>
      </c>
      <c r="R3138" s="16">
        <v>70</v>
      </c>
      <c r="S3138" s="16">
        <v>70</v>
      </c>
      <c r="T3138" s="18" t="s">
        <v>2234</v>
      </c>
      <c r="U3138" t="s">
        <v>2236</v>
      </c>
      <c r="V3138" s="18" t="s">
        <v>5725</v>
      </c>
      <c r="W3138" s="283"/>
      <c r="X3138" s="283"/>
      <c r="Y3138" s="283"/>
      <c r="Z3138" s="283"/>
      <c r="AA3138" s="283"/>
      <c r="AB3138" s="283"/>
      <c r="AC3138" s="283"/>
      <c r="AD3138" s="283"/>
      <c r="AE3138" s="49">
        <v>0.75</v>
      </c>
      <c r="AF3138" s="64"/>
      <c r="AG3138" s="283"/>
      <c r="AH3138" s="259">
        <v>0.38400000000000001</v>
      </c>
      <c r="AI3138" s="259">
        <v>0.38400000000000001</v>
      </c>
      <c r="AJ3138" s="259">
        <v>0.38400000000000001</v>
      </c>
      <c r="AK3138" s="260">
        <v>0.4</v>
      </c>
      <c r="AL3138" s="260">
        <v>0.38400000000000001</v>
      </c>
      <c r="AM3138" s="147">
        <f t="shared" si="123"/>
        <v>0.78400000000000003</v>
      </c>
      <c r="AN3138" s="18" t="s">
        <v>2234</v>
      </c>
      <c r="AO3138" s="18" t="s">
        <v>2236</v>
      </c>
      <c r="AP3138" s="243" t="s">
        <v>280</v>
      </c>
    </row>
    <row r="3139" spans="1:42" customFormat="1" x14ac:dyDescent="0.3">
      <c r="A3139" s="18" t="s">
        <v>1463</v>
      </c>
      <c r="B3139" s="18" t="s">
        <v>5664</v>
      </c>
      <c r="C3139" s="18" t="s">
        <v>1464</v>
      </c>
      <c r="D3139" s="18" t="s">
        <v>5666</v>
      </c>
      <c r="E3139" s="18" t="s">
        <v>5667</v>
      </c>
      <c r="F3139" s="18" t="s">
        <v>5668</v>
      </c>
      <c r="G3139" s="18" t="s">
        <v>5687</v>
      </c>
      <c r="H3139" s="18" t="s">
        <v>5688</v>
      </c>
      <c r="I3139" s="18"/>
      <c r="J3139" s="18"/>
      <c r="K3139" s="18">
        <v>14110211</v>
      </c>
      <c r="L3139" s="18" t="s">
        <v>5723</v>
      </c>
      <c r="M3139" s="18" t="s">
        <v>5726</v>
      </c>
      <c r="N3139" s="18">
        <v>1</v>
      </c>
      <c r="O3139" s="18">
        <v>1</v>
      </c>
      <c r="P3139" s="16">
        <v>1</v>
      </c>
      <c r="Q3139" s="16">
        <v>1</v>
      </c>
      <c r="R3139" s="16">
        <v>1</v>
      </c>
      <c r="S3139" s="16">
        <v>1</v>
      </c>
      <c r="T3139" s="18" t="s">
        <v>2234</v>
      </c>
      <c r="U3139" t="s">
        <v>2236</v>
      </c>
      <c r="V3139" s="18" t="s">
        <v>5727</v>
      </c>
      <c r="W3139" s="283"/>
      <c r="X3139" s="283"/>
      <c r="Y3139" s="283"/>
      <c r="Z3139" s="283"/>
      <c r="AA3139" s="283"/>
      <c r="AB3139" s="283"/>
      <c r="AC3139" s="283"/>
      <c r="AD3139" s="283"/>
      <c r="AE3139" s="49">
        <v>0.75</v>
      </c>
      <c r="AF3139" s="64"/>
      <c r="AG3139" s="283"/>
      <c r="AH3139" s="259">
        <v>0.3</v>
      </c>
      <c r="AI3139" s="259">
        <v>0.3</v>
      </c>
      <c r="AJ3139" s="259">
        <v>0.3</v>
      </c>
      <c r="AK3139" s="260">
        <v>0.05</v>
      </c>
      <c r="AL3139" s="260">
        <v>0.3</v>
      </c>
      <c r="AM3139" s="147">
        <f t="shared" si="123"/>
        <v>0.35</v>
      </c>
      <c r="AN3139" s="18" t="s">
        <v>2234</v>
      </c>
      <c r="AO3139" s="18" t="s">
        <v>2236</v>
      </c>
      <c r="AP3139" s="18" t="s">
        <v>5676</v>
      </c>
    </row>
    <row r="3140" spans="1:42" customFormat="1" x14ac:dyDescent="0.3">
      <c r="A3140" s="18" t="s">
        <v>1463</v>
      </c>
      <c r="B3140" s="18" t="s">
        <v>5664</v>
      </c>
      <c r="C3140" s="18" t="s">
        <v>1464</v>
      </c>
      <c r="D3140" s="18" t="s">
        <v>5666</v>
      </c>
      <c r="E3140" s="18" t="s">
        <v>5667</v>
      </c>
      <c r="F3140" s="18" t="s">
        <v>5668</v>
      </c>
      <c r="G3140" s="18" t="s">
        <v>5687</v>
      </c>
      <c r="H3140" s="18" t="s">
        <v>5688</v>
      </c>
      <c r="I3140" s="18"/>
      <c r="J3140" s="18"/>
      <c r="K3140" s="18">
        <v>14110212</v>
      </c>
      <c r="L3140" s="18" t="s">
        <v>5728</v>
      </c>
      <c r="M3140" s="18" t="s">
        <v>5729</v>
      </c>
      <c r="N3140" s="18">
        <v>0</v>
      </c>
      <c r="O3140" s="18">
        <v>1</v>
      </c>
      <c r="P3140" s="16">
        <v>0</v>
      </c>
      <c r="Q3140" s="16">
        <v>0</v>
      </c>
      <c r="R3140" s="16">
        <v>0</v>
      </c>
      <c r="S3140" s="16">
        <v>0</v>
      </c>
      <c r="T3140" s="18" t="s">
        <v>2234</v>
      </c>
      <c r="U3140" t="s">
        <v>2236</v>
      </c>
      <c r="V3140" s="18" t="s">
        <v>5730</v>
      </c>
      <c r="W3140" s="283"/>
      <c r="X3140" s="283"/>
      <c r="Y3140" s="283"/>
      <c r="Z3140" s="283"/>
      <c r="AA3140" s="283"/>
      <c r="AB3140" s="283"/>
      <c r="AC3140" s="283"/>
      <c r="AD3140" s="283"/>
      <c r="AE3140" s="49">
        <v>0.875</v>
      </c>
      <c r="AF3140" s="64"/>
      <c r="AG3140" s="283"/>
      <c r="AH3140" s="259">
        <v>0.08</v>
      </c>
      <c r="AI3140" s="259">
        <v>0</v>
      </c>
      <c r="AJ3140" s="259">
        <v>0</v>
      </c>
      <c r="AK3140" s="260"/>
      <c r="AL3140" s="260"/>
      <c r="AM3140" s="147">
        <f t="shared" si="123"/>
        <v>0</v>
      </c>
      <c r="AN3140" s="18" t="s">
        <v>2234</v>
      </c>
      <c r="AO3140" s="18" t="s">
        <v>2236</v>
      </c>
      <c r="AP3140" s="18" t="s">
        <v>2172</v>
      </c>
    </row>
    <row r="3141" spans="1:42" customFormat="1" x14ac:dyDescent="0.3">
      <c r="A3141" s="18" t="s">
        <v>1463</v>
      </c>
      <c r="B3141" s="18" t="s">
        <v>5664</v>
      </c>
      <c r="C3141" s="18" t="s">
        <v>1464</v>
      </c>
      <c r="D3141" s="18" t="s">
        <v>5666</v>
      </c>
      <c r="E3141" s="18" t="s">
        <v>5667</v>
      </c>
      <c r="F3141" s="18" t="s">
        <v>5668</v>
      </c>
      <c r="G3141" s="18" t="s">
        <v>5687</v>
      </c>
      <c r="H3141" s="18" t="s">
        <v>5688</v>
      </c>
      <c r="I3141" s="18"/>
      <c r="J3141" s="18"/>
      <c r="K3141" s="18">
        <v>14110212</v>
      </c>
      <c r="L3141" s="18" t="s">
        <v>5728</v>
      </c>
      <c r="M3141" s="18" t="s">
        <v>5731</v>
      </c>
      <c r="N3141" s="18">
        <v>0</v>
      </c>
      <c r="O3141" s="18">
        <v>36</v>
      </c>
      <c r="P3141" s="16">
        <v>70</v>
      </c>
      <c r="Q3141" s="16">
        <v>70</v>
      </c>
      <c r="R3141" s="16">
        <v>70</v>
      </c>
      <c r="S3141" s="16">
        <v>70</v>
      </c>
      <c r="T3141" s="18" t="s">
        <v>2234</v>
      </c>
      <c r="U3141" t="s">
        <v>2236</v>
      </c>
      <c r="V3141" s="18" t="s">
        <v>5732</v>
      </c>
      <c r="W3141" s="283"/>
      <c r="X3141" s="283"/>
      <c r="Y3141" s="283"/>
      <c r="Z3141" s="283"/>
      <c r="AA3141" s="283"/>
      <c r="AB3141" s="283"/>
      <c r="AC3141" s="283"/>
      <c r="AD3141" s="283"/>
      <c r="AE3141" s="49">
        <v>0.875</v>
      </c>
      <c r="AF3141" s="64"/>
      <c r="AG3141" s="283"/>
      <c r="AH3141" s="259">
        <v>0.6</v>
      </c>
      <c r="AI3141" s="259">
        <v>0.6</v>
      </c>
      <c r="AJ3141" s="259">
        <v>0.6</v>
      </c>
      <c r="AK3141" s="260">
        <v>3</v>
      </c>
      <c r="AL3141" s="260">
        <v>0.6</v>
      </c>
      <c r="AM3141" s="147">
        <f t="shared" si="123"/>
        <v>3.6</v>
      </c>
      <c r="AN3141" s="18" t="s">
        <v>2234</v>
      </c>
      <c r="AO3141" s="18" t="s">
        <v>2236</v>
      </c>
      <c r="AP3141" s="243" t="s">
        <v>280</v>
      </c>
    </row>
    <row r="3142" spans="1:42" customFormat="1" x14ac:dyDescent="0.3">
      <c r="A3142" s="18" t="s">
        <v>1463</v>
      </c>
      <c r="B3142" s="18" t="s">
        <v>5664</v>
      </c>
      <c r="C3142" s="18" t="s">
        <v>1464</v>
      </c>
      <c r="D3142" s="18" t="s">
        <v>5666</v>
      </c>
      <c r="E3142" s="18" t="s">
        <v>5667</v>
      </c>
      <c r="F3142" s="18" t="s">
        <v>5668</v>
      </c>
      <c r="G3142" s="18" t="s">
        <v>5687</v>
      </c>
      <c r="H3142" s="18" t="s">
        <v>5688</v>
      </c>
      <c r="I3142" s="18"/>
      <c r="J3142" s="18"/>
      <c r="K3142" s="18">
        <v>14110213</v>
      </c>
      <c r="L3142" s="18" t="s">
        <v>5733</v>
      </c>
      <c r="M3142" s="18" t="s">
        <v>5734</v>
      </c>
      <c r="N3142" s="18">
        <v>12</v>
      </c>
      <c r="O3142" s="18">
        <v>5</v>
      </c>
      <c r="P3142" s="16">
        <v>5</v>
      </c>
      <c r="Q3142" s="16">
        <v>5</v>
      </c>
      <c r="R3142" s="16">
        <v>10</v>
      </c>
      <c r="S3142" s="16">
        <v>15</v>
      </c>
      <c r="T3142" s="18" t="s">
        <v>5676</v>
      </c>
      <c r="U3142" t="s">
        <v>5735</v>
      </c>
      <c r="V3142" s="18" t="s">
        <v>5736</v>
      </c>
      <c r="W3142" s="283"/>
      <c r="X3142" s="283"/>
      <c r="Y3142" s="283"/>
      <c r="Z3142" s="283"/>
      <c r="AA3142" s="283"/>
      <c r="AB3142" s="283"/>
      <c r="AC3142" s="283"/>
      <c r="AD3142" s="283"/>
      <c r="AE3142" s="49">
        <v>0.75</v>
      </c>
      <c r="AF3142" s="64"/>
      <c r="AG3142" s="283"/>
      <c r="AH3142" s="259">
        <v>0.4</v>
      </c>
      <c r="AI3142" s="259">
        <v>0.4</v>
      </c>
      <c r="AJ3142" s="259">
        <v>0.4</v>
      </c>
      <c r="AK3142" s="260">
        <v>0.4</v>
      </c>
      <c r="AL3142" s="260">
        <v>0.4</v>
      </c>
      <c r="AM3142" s="147">
        <f t="shared" si="123"/>
        <v>0.8</v>
      </c>
      <c r="AN3142" s="18" t="s">
        <v>5676</v>
      </c>
      <c r="AO3142" s="18" t="s">
        <v>5735</v>
      </c>
      <c r="AP3142" s="18" t="s">
        <v>2234</v>
      </c>
    </row>
    <row r="3143" spans="1:42" customFormat="1" x14ac:dyDescent="0.3">
      <c r="A3143" s="18" t="s">
        <v>1463</v>
      </c>
      <c r="B3143" s="18" t="s">
        <v>5664</v>
      </c>
      <c r="C3143" s="18" t="s">
        <v>1464</v>
      </c>
      <c r="D3143" s="18" t="s">
        <v>5666</v>
      </c>
      <c r="E3143" s="18" t="s">
        <v>5667</v>
      </c>
      <c r="F3143" s="18" t="s">
        <v>5668</v>
      </c>
      <c r="G3143" s="18" t="s">
        <v>5737</v>
      </c>
      <c r="H3143" s="157" t="s">
        <v>5738</v>
      </c>
      <c r="I3143" s="18" t="s">
        <v>5739</v>
      </c>
      <c r="J3143" s="18" t="s">
        <v>5740</v>
      </c>
      <c r="K3143" s="18" t="s">
        <v>5741</v>
      </c>
      <c r="L3143" s="18" t="s">
        <v>5742</v>
      </c>
      <c r="M3143" s="18" t="s">
        <v>5743</v>
      </c>
      <c r="N3143" s="18"/>
      <c r="O3143" s="18" t="s">
        <v>5744</v>
      </c>
      <c r="P3143" s="16" t="s">
        <v>5745</v>
      </c>
      <c r="Q3143" s="261" t="s">
        <v>5746</v>
      </c>
      <c r="R3143" s="16" t="s">
        <v>5747</v>
      </c>
      <c r="S3143" s="16" t="s">
        <v>271</v>
      </c>
      <c r="T3143" s="18" t="s">
        <v>2234</v>
      </c>
      <c r="U3143" t="s">
        <v>2236</v>
      </c>
      <c r="V3143" s="18" t="s">
        <v>5748</v>
      </c>
      <c r="W3143" s="283"/>
      <c r="X3143" s="283"/>
      <c r="Y3143" s="283"/>
      <c r="Z3143" s="283"/>
      <c r="AA3143" s="283"/>
      <c r="AB3143" s="283"/>
      <c r="AC3143" s="283"/>
      <c r="AD3143" s="283"/>
      <c r="AE3143" s="49">
        <v>0.875</v>
      </c>
      <c r="AF3143" s="64"/>
      <c r="AG3143" s="283"/>
      <c r="AH3143" s="259"/>
      <c r="AI3143" s="259">
        <v>7.0000000000000007E-2</v>
      </c>
      <c r="AJ3143" s="259">
        <v>7.0000000000000007E-2</v>
      </c>
      <c r="AK3143" s="260">
        <v>7.0000000000000007E-2</v>
      </c>
      <c r="AL3143" s="260">
        <v>7.0000000000000007E-2</v>
      </c>
      <c r="AM3143" s="147">
        <f t="shared" si="123"/>
        <v>0.14000000000000001</v>
      </c>
      <c r="AN3143" s="18" t="s">
        <v>2172</v>
      </c>
      <c r="AO3143" s="18" t="s">
        <v>2236</v>
      </c>
      <c r="AP3143" s="18" t="s">
        <v>5749</v>
      </c>
    </row>
    <row r="3144" spans="1:42" customFormat="1" x14ac:dyDescent="0.3">
      <c r="A3144" s="18" t="s">
        <v>1463</v>
      </c>
      <c r="B3144" s="18" t="s">
        <v>5664</v>
      </c>
      <c r="C3144" s="18" t="s">
        <v>1464</v>
      </c>
      <c r="D3144" s="18" t="s">
        <v>5666</v>
      </c>
      <c r="E3144" s="18" t="s">
        <v>5667</v>
      </c>
      <c r="F3144" s="18" t="s">
        <v>5668</v>
      </c>
      <c r="G3144" s="18" t="s">
        <v>5737</v>
      </c>
      <c r="H3144" s="157" t="s">
        <v>5738</v>
      </c>
      <c r="I3144" s="18" t="s">
        <v>5750</v>
      </c>
      <c r="J3144" s="18" t="s">
        <v>5751</v>
      </c>
      <c r="K3144" s="18" t="s">
        <v>5752</v>
      </c>
      <c r="L3144" t="s">
        <v>5753</v>
      </c>
      <c r="M3144" s="18" t="s">
        <v>5754</v>
      </c>
      <c r="N3144" s="18" t="s">
        <v>271</v>
      </c>
      <c r="O3144" s="18">
        <v>20</v>
      </c>
      <c r="P3144" s="16">
        <v>35</v>
      </c>
      <c r="Q3144" s="16">
        <v>50</v>
      </c>
      <c r="R3144" s="16">
        <v>75</v>
      </c>
      <c r="S3144" s="16">
        <v>100</v>
      </c>
      <c r="T3144" s="18" t="s">
        <v>5755</v>
      </c>
      <c r="U3144" t="s">
        <v>2236</v>
      </c>
      <c r="V3144" s="14" t="s">
        <v>5756</v>
      </c>
      <c r="W3144" s="283"/>
      <c r="X3144" s="283"/>
      <c r="Y3144" s="283"/>
      <c r="Z3144" s="283"/>
      <c r="AA3144" s="283"/>
      <c r="AB3144" s="283"/>
      <c r="AC3144" s="283"/>
      <c r="AD3144" s="283"/>
      <c r="AE3144" s="49">
        <v>1</v>
      </c>
      <c r="AF3144" s="64"/>
      <c r="AG3144" s="283"/>
      <c r="AH3144" s="259">
        <v>286</v>
      </c>
      <c r="AI3144" s="259">
        <v>317</v>
      </c>
      <c r="AJ3144" s="259">
        <v>641</v>
      </c>
      <c r="AK3144" s="260">
        <v>1.92</v>
      </c>
      <c r="AL3144" s="260">
        <v>1.92</v>
      </c>
      <c r="AM3144" s="147">
        <f t="shared" si="123"/>
        <v>3.84</v>
      </c>
      <c r="AN3144" s="18" t="s">
        <v>2234</v>
      </c>
      <c r="AO3144" s="18" t="s">
        <v>2236</v>
      </c>
      <c r="AP3144" s="18" t="s">
        <v>1345</v>
      </c>
    </row>
    <row r="3145" spans="1:42" customFormat="1" x14ac:dyDescent="0.3">
      <c r="A3145" s="18" t="s">
        <v>1463</v>
      </c>
      <c r="B3145" s="18" t="s">
        <v>5664</v>
      </c>
      <c r="C3145" s="18" t="s">
        <v>1464</v>
      </c>
      <c r="D3145" s="18" t="s">
        <v>5666</v>
      </c>
      <c r="E3145" s="18" t="s">
        <v>5667</v>
      </c>
      <c r="F3145" s="18" t="s">
        <v>5668</v>
      </c>
      <c r="G3145" s="18" t="s">
        <v>5737</v>
      </c>
      <c r="H3145" s="157" t="s">
        <v>5738</v>
      </c>
      <c r="I3145" s="18" t="s">
        <v>5750</v>
      </c>
      <c r="J3145" s="18" t="s">
        <v>5751</v>
      </c>
      <c r="K3145" s="18" t="s">
        <v>5752</v>
      </c>
      <c r="L3145" t="s">
        <v>5753</v>
      </c>
      <c r="M3145" s="18" t="s">
        <v>5757</v>
      </c>
      <c r="N3145" s="18"/>
      <c r="O3145" s="460">
        <v>1</v>
      </c>
      <c r="P3145" s="38">
        <v>1</v>
      </c>
      <c r="Q3145" s="38">
        <v>1</v>
      </c>
      <c r="R3145" s="38">
        <v>1</v>
      </c>
      <c r="S3145" s="38">
        <v>1</v>
      </c>
      <c r="T3145" s="18" t="s">
        <v>2234</v>
      </c>
      <c r="U3145" t="s">
        <v>2236</v>
      </c>
      <c r="V3145" s="14" t="s">
        <v>5758</v>
      </c>
      <c r="W3145" s="283"/>
      <c r="X3145" s="283"/>
      <c r="Y3145" s="283"/>
      <c r="Z3145" s="283"/>
      <c r="AA3145" s="283"/>
      <c r="AB3145" s="283"/>
      <c r="AC3145" s="283"/>
      <c r="AD3145" s="283"/>
      <c r="AE3145" s="49">
        <v>1</v>
      </c>
      <c r="AF3145" s="64"/>
      <c r="AG3145" s="283"/>
      <c r="AH3145" s="259"/>
      <c r="AI3145" s="259"/>
      <c r="AJ3145" s="259"/>
      <c r="AK3145" s="260"/>
      <c r="AL3145" s="260"/>
      <c r="AM3145" s="147">
        <f t="shared" si="123"/>
        <v>0</v>
      </c>
      <c r="AN3145" s="18" t="s">
        <v>2234</v>
      </c>
      <c r="AO3145" s="18" t="s">
        <v>2236</v>
      </c>
      <c r="AP3145" s="18" t="s">
        <v>5759</v>
      </c>
    </row>
    <row r="3146" spans="1:42" customFormat="1" x14ac:dyDescent="0.3">
      <c r="A3146" s="18" t="s">
        <v>1463</v>
      </c>
      <c r="B3146" s="18" t="s">
        <v>5664</v>
      </c>
      <c r="C3146" s="18" t="s">
        <v>1464</v>
      </c>
      <c r="D3146" s="18" t="s">
        <v>5666</v>
      </c>
      <c r="E3146" s="18" t="s">
        <v>5667</v>
      </c>
      <c r="F3146" s="18" t="s">
        <v>5668</v>
      </c>
      <c r="G3146" s="18" t="s">
        <v>5737</v>
      </c>
      <c r="H3146" s="157" t="s">
        <v>5738</v>
      </c>
      <c r="I3146" s="18" t="s">
        <v>5750</v>
      </c>
      <c r="J3146" s="18" t="s">
        <v>5751</v>
      </c>
      <c r="K3146" s="18" t="s">
        <v>5752</v>
      </c>
      <c r="L3146" t="s">
        <v>5753</v>
      </c>
      <c r="M3146" s="18" t="s">
        <v>5760</v>
      </c>
      <c r="N3146" s="18"/>
      <c r="O3146" s="18">
        <v>1</v>
      </c>
      <c r="P3146" s="16">
        <v>1</v>
      </c>
      <c r="Q3146" s="16">
        <v>1</v>
      </c>
      <c r="R3146" s="16">
        <v>1</v>
      </c>
      <c r="S3146" s="16">
        <v>1</v>
      </c>
      <c r="T3146" s="18" t="s">
        <v>2234</v>
      </c>
      <c r="U3146" t="s">
        <v>2236</v>
      </c>
      <c r="V3146" s="18" t="s">
        <v>5761</v>
      </c>
      <c r="W3146" s="283"/>
      <c r="X3146" s="283"/>
      <c r="Y3146" s="283"/>
      <c r="Z3146" s="283"/>
      <c r="AA3146" s="283"/>
      <c r="AB3146" s="283"/>
      <c r="AC3146" s="283"/>
      <c r="AD3146" s="283"/>
      <c r="AE3146" s="49">
        <v>0.75</v>
      </c>
      <c r="AF3146" s="64"/>
      <c r="AG3146" s="283"/>
      <c r="AH3146" s="259"/>
      <c r="AI3146" s="259">
        <v>0.2</v>
      </c>
      <c r="AJ3146" s="259">
        <v>0.2</v>
      </c>
      <c r="AK3146" s="260">
        <v>0.2</v>
      </c>
      <c r="AL3146" s="260">
        <v>0.2</v>
      </c>
      <c r="AM3146" s="147">
        <f t="shared" si="123"/>
        <v>0.4</v>
      </c>
      <c r="AN3146" s="18" t="s">
        <v>2234</v>
      </c>
      <c r="AO3146" s="18" t="s">
        <v>2236</v>
      </c>
      <c r="AP3146" s="18" t="s">
        <v>5759</v>
      </c>
    </row>
    <row r="3147" spans="1:42" customFormat="1" x14ac:dyDescent="0.3">
      <c r="A3147" s="18" t="s">
        <v>1463</v>
      </c>
      <c r="B3147" s="18" t="s">
        <v>5664</v>
      </c>
      <c r="C3147" s="18" t="s">
        <v>1464</v>
      </c>
      <c r="D3147" s="18" t="s">
        <v>5666</v>
      </c>
      <c r="E3147" s="18" t="s">
        <v>5667</v>
      </c>
      <c r="F3147" s="18" t="s">
        <v>5668</v>
      </c>
      <c r="G3147" s="18" t="s">
        <v>5737</v>
      </c>
      <c r="H3147" s="157" t="s">
        <v>5738</v>
      </c>
      <c r="I3147" s="18" t="s">
        <v>5762</v>
      </c>
      <c r="J3147" s="18" t="s">
        <v>5763</v>
      </c>
      <c r="K3147" s="18" t="s">
        <v>5764</v>
      </c>
      <c r="L3147" t="s">
        <v>5765</v>
      </c>
      <c r="M3147" s="18" t="s">
        <v>5766</v>
      </c>
      <c r="N3147" s="18"/>
      <c r="O3147" s="18">
        <v>80</v>
      </c>
      <c r="P3147" s="16">
        <v>70</v>
      </c>
      <c r="Q3147" s="16">
        <v>70</v>
      </c>
      <c r="R3147" s="16">
        <v>70</v>
      </c>
      <c r="S3147" s="16">
        <v>70</v>
      </c>
      <c r="T3147" s="18" t="s">
        <v>2234</v>
      </c>
      <c r="U3147" t="s">
        <v>2236</v>
      </c>
      <c r="V3147" s="14" t="s">
        <v>5767</v>
      </c>
      <c r="W3147" s="283"/>
      <c r="X3147" s="283"/>
      <c r="Y3147" s="283"/>
      <c r="Z3147" s="283"/>
      <c r="AA3147" s="283"/>
      <c r="AB3147" s="283"/>
      <c r="AC3147" s="283"/>
      <c r="AD3147" s="283"/>
      <c r="AE3147" s="49">
        <v>0.625</v>
      </c>
      <c r="AF3147" s="64"/>
      <c r="AG3147" s="283"/>
      <c r="AH3147" s="262">
        <v>2</v>
      </c>
      <c r="AI3147" s="262">
        <v>2</v>
      </c>
      <c r="AJ3147" s="262">
        <v>2</v>
      </c>
      <c r="AK3147" s="263">
        <v>2</v>
      </c>
      <c r="AL3147" s="263">
        <v>2</v>
      </c>
      <c r="AM3147" s="147">
        <f t="shared" si="123"/>
        <v>4</v>
      </c>
      <c r="AN3147" s="14" t="s">
        <v>2172</v>
      </c>
      <c r="AO3147" s="14" t="s">
        <v>2236</v>
      </c>
      <c r="AP3147" s="14" t="s">
        <v>5768</v>
      </c>
    </row>
    <row r="3148" spans="1:42" customFormat="1" x14ac:dyDescent="0.3">
      <c r="A3148" s="18" t="s">
        <v>1463</v>
      </c>
      <c r="B3148" s="18" t="s">
        <v>5664</v>
      </c>
      <c r="C3148" s="18" t="s">
        <v>1464</v>
      </c>
      <c r="D3148" s="18" t="s">
        <v>5666</v>
      </c>
      <c r="E3148" s="18" t="s">
        <v>5667</v>
      </c>
      <c r="F3148" s="18" t="s">
        <v>5668</v>
      </c>
      <c r="G3148" s="18" t="s">
        <v>5737</v>
      </c>
      <c r="H3148" s="157" t="s">
        <v>5738</v>
      </c>
      <c r="I3148" s="18" t="s">
        <v>5762</v>
      </c>
      <c r="J3148" s="18" t="s">
        <v>5763</v>
      </c>
      <c r="K3148" s="18" t="s">
        <v>5769</v>
      </c>
      <c r="L3148" s="18" t="s">
        <v>5770</v>
      </c>
      <c r="M3148" s="18" t="s">
        <v>5771</v>
      </c>
      <c r="N3148" s="18">
        <v>0</v>
      </c>
      <c r="O3148" s="18">
        <v>1</v>
      </c>
      <c r="P3148" s="16">
        <v>0</v>
      </c>
      <c r="Q3148" s="16">
        <v>0</v>
      </c>
      <c r="R3148" s="16">
        <v>0</v>
      </c>
      <c r="S3148" s="16">
        <v>0</v>
      </c>
      <c r="T3148" s="18" t="s">
        <v>2234</v>
      </c>
      <c r="U3148" t="s">
        <v>2236</v>
      </c>
      <c r="V3148" s="18" t="s">
        <v>5772</v>
      </c>
      <c r="W3148" s="283"/>
      <c r="X3148" s="283"/>
      <c r="Y3148" s="283"/>
      <c r="Z3148" s="283"/>
      <c r="AA3148" s="283"/>
      <c r="AB3148" s="283"/>
      <c r="AC3148" s="283"/>
      <c r="AD3148" s="283"/>
      <c r="AE3148" s="49">
        <v>0.625</v>
      </c>
      <c r="AF3148" s="64"/>
      <c r="AG3148" s="283"/>
      <c r="AH3148" s="259"/>
      <c r="AI3148" s="259">
        <v>0.1</v>
      </c>
      <c r="AJ3148" s="259"/>
      <c r="AK3148" s="260"/>
      <c r="AL3148" s="260"/>
      <c r="AM3148" s="147">
        <f t="shared" si="123"/>
        <v>0</v>
      </c>
      <c r="AN3148" s="18" t="s">
        <v>2172</v>
      </c>
      <c r="AO3148" s="18" t="s">
        <v>2236</v>
      </c>
      <c r="AP3148" s="18" t="s">
        <v>5773</v>
      </c>
    </row>
    <row r="3149" spans="1:42" customFormat="1" x14ac:dyDescent="0.3">
      <c r="A3149" s="18" t="s">
        <v>1463</v>
      </c>
      <c r="B3149" s="18" t="s">
        <v>5664</v>
      </c>
      <c r="C3149" s="18" t="s">
        <v>1464</v>
      </c>
      <c r="D3149" s="18" t="s">
        <v>5666</v>
      </c>
      <c r="E3149" s="18" t="s">
        <v>5667</v>
      </c>
      <c r="F3149" s="18" t="s">
        <v>5668</v>
      </c>
      <c r="G3149" s="18" t="s">
        <v>5737</v>
      </c>
      <c r="H3149" s="157" t="s">
        <v>5738</v>
      </c>
      <c r="I3149" s="18" t="s">
        <v>5762</v>
      </c>
      <c r="J3149" s="18" t="s">
        <v>5763</v>
      </c>
      <c r="K3149" s="18" t="s">
        <v>5769</v>
      </c>
      <c r="L3149" s="18" t="s">
        <v>5770</v>
      </c>
      <c r="M3149" s="18" t="s">
        <v>5774</v>
      </c>
      <c r="N3149" s="18">
        <v>1</v>
      </c>
      <c r="O3149" s="18">
        <v>1</v>
      </c>
      <c r="P3149" s="16">
        <v>30</v>
      </c>
      <c r="Q3149" s="16">
        <v>50</v>
      </c>
      <c r="R3149" s="16">
        <v>50</v>
      </c>
      <c r="S3149" s="16">
        <v>49</v>
      </c>
      <c r="T3149" s="18" t="s">
        <v>2234</v>
      </c>
      <c r="U3149" t="s">
        <v>2236</v>
      </c>
      <c r="V3149" s="18" t="s">
        <v>5775</v>
      </c>
      <c r="W3149" s="283"/>
      <c r="X3149" s="283"/>
      <c r="Y3149" s="283"/>
      <c r="Z3149" s="283"/>
      <c r="AA3149" s="283"/>
      <c r="AB3149" s="283"/>
      <c r="AC3149" s="283"/>
      <c r="AD3149" s="283"/>
      <c r="AE3149" s="49">
        <v>0.625</v>
      </c>
      <c r="AF3149" s="64"/>
      <c r="AG3149" s="283"/>
      <c r="AH3149" s="259">
        <v>0.41299999999999998</v>
      </c>
      <c r="AI3149" s="259">
        <v>0.51300000000000001</v>
      </c>
      <c r="AJ3149" s="259">
        <v>0.51300000000000001</v>
      </c>
      <c r="AK3149" s="260">
        <v>0.51300000000000001</v>
      </c>
      <c r="AL3149" s="260">
        <v>0.51300000000000001</v>
      </c>
      <c r="AM3149" s="147">
        <f t="shared" si="123"/>
        <v>1.026</v>
      </c>
      <c r="AN3149" s="18" t="s">
        <v>2172</v>
      </c>
      <c r="AO3149" s="18" t="s">
        <v>2236</v>
      </c>
      <c r="AP3149" s="18" t="s">
        <v>119</v>
      </c>
    </row>
    <row r="3150" spans="1:42" customFormat="1" x14ac:dyDescent="0.3">
      <c r="A3150" s="18" t="s">
        <v>1463</v>
      </c>
      <c r="B3150" s="18" t="s">
        <v>5664</v>
      </c>
      <c r="C3150" s="18" t="s">
        <v>1464</v>
      </c>
      <c r="D3150" s="18" t="s">
        <v>5666</v>
      </c>
      <c r="E3150" s="18" t="s">
        <v>5667</v>
      </c>
      <c r="F3150" s="18" t="s">
        <v>5668</v>
      </c>
      <c r="G3150" s="18" t="s">
        <v>5737</v>
      </c>
      <c r="H3150" s="157" t="s">
        <v>5738</v>
      </c>
      <c r="I3150" s="18" t="s">
        <v>5762</v>
      </c>
      <c r="J3150" s="18" t="s">
        <v>5763</v>
      </c>
      <c r="K3150" s="18" t="s">
        <v>5769</v>
      </c>
      <c r="L3150" s="18" t="s">
        <v>5770</v>
      </c>
      <c r="M3150" s="18" t="s">
        <v>5776</v>
      </c>
      <c r="N3150" s="18"/>
      <c r="O3150" s="18">
        <v>1</v>
      </c>
      <c r="P3150" s="16">
        <v>1</v>
      </c>
      <c r="Q3150" s="16">
        <v>1</v>
      </c>
      <c r="R3150" s="16">
        <v>1</v>
      </c>
      <c r="S3150" s="16">
        <v>1</v>
      </c>
      <c r="T3150" s="18" t="s">
        <v>723</v>
      </c>
      <c r="U3150" t="s">
        <v>729</v>
      </c>
      <c r="V3150" s="18" t="s">
        <v>5777</v>
      </c>
      <c r="W3150" s="283"/>
      <c r="X3150" s="283"/>
      <c r="Y3150" s="283"/>
      <c r="Z3150" s="283"/>
      <c r="AA3150" s="283"/>
      <c r="AB3150" s="283"/>
      <c r="AC3150" s="283"/>
      <c r="AD3150" s="283"/>
      <c r="AE3150" s="49">
        <v>0.625</v>
      </c>
      <c r="AF3150" s="64"/>
      <c r="AG3150" s="283"/>
      <c r="AH3150" s="259">
        <v>2.5000000000000001E-2</v>
      </c>
      <c r="AI3150" s="259">
        <v>2.5000000000000001E-2</v>
      </c>
      <c r="AJ3150" s="259">
        <v>2.5000000000000001E-2</v>
      </c>
      <c r="AK3150" s="260">
        <v>2.5000000000000001E-2</v>
      </c>
      <c r="AL3150" s="260">
        <v>2.5000000000000001E-2</v>
      </c>
      <c r="AM3150" s="147">
        <f t="shared" si="123"/>
        <v>0.05</v>
      </c>
      <c r="AN3150" s="18" t="s">
        <v>723</v>
      </c>
      <c r="AO3150" s="18" t="s">
        <v>729</v>
      </c>
      <c r="AP3150" s="10"/>
    </row>
    <row r="3151" spans="1:42" customFormat="1" x14ac:dyDescent="0.3">
      <c r="A3151" s="18" t="s">
        <v>1463</v>
      </c>
      <c r="B3151" s="18" t="s">
        <v>5664</v>
      </c>
      <c r="C3151" s="18" t="s">
        <v>1464</v>
      </c>
      <c r="D3151" s="18" t="s">
        <v>5666</v>
      </c>
      <c r="E3151" s="18" t="s">
        <v>5667</v>
      </c>
      <c r="F3151" s="18" t="s">
        <v>5668</v>
      </c>
      <c r="G3151" s="18" t="s">
        <v>5737</v>
      </c>
      <c r="H3151" s="157" t="s">
        <v>5738</v>
      </c>
      <c r="I3151" s="18" t="s">
        <v>5762</v>
      </c>
      <c r="J3151" s="18" t="s">
        <v>5763</v>
      </c>
      <c r="K3151" s="18" t="s">
        <v>5778</v>
      </c>
      <c r="L3151" s="18" t="s">
        <v>5779</v>
      </c>
      <c r="M3151" s="18"/>
      <c r="N3151" s="18"/>
      <c r="O3151" s="18"/>
      <c r="P3151" s="16"/>
      <c r="Q3151" s="16"/>
      <c r="R3151" s="16"/>
      <c r="S3151" s="16"/>
      <c r="T3151" s="18" t="s">
        <v>2234</v>
      </c>
      <c r="U3151" t="s">
        <v>2236</v>
      </c>
      <c r="V3151" t="s">
        <v>5780</v>
      </c>
      <c r="W3151" s="283"/>
      <c r="X3151" s="283"/>
      <c r="Y3151" s="283"/>
      <c r="Z3151" s="283"/>
      <c r="AA3151" s="283"/>
      <c r="AB3151" s="283"/>
      <c r="AC3151" s="283"/>
      <c r="AD3151" s="283"/>
      <c r="AE3151" s="49">
        <v>1</v>
      </c>
      <c r="AF3151" s="64"/>
      <c r="AG3151" s="283"/>
      <c r="AH3151" s="259"/>
      <c r="AI3151" s="259"/>
      <c r="AJ3151" s="259"/>
      <c r="AK3151" s="264">
        <v>0.2</v>
      </c>
      <c r="AL3151" s="264">
        <v>0.1</v>
      </c>
      <c r="AM3151" s="259"/>
      <c r="AN3151" s="18" t="s">
        <v>2172</v>
      </c>
      <c r="AO3151" s="18" t="s">
        <v>2236</v>
      </c>
      <c r="AP3151" s="10"/>
    </row>
    <row r="3152" spans="1:42" customFormat="1" x14ac:dyDescent="0.3">
      <c r="A3152" s="18" t="s">
        <v>1463</v>
      </c>
      <c r="B3152" s="18" t="s">
        <v>5664</v>
      </c>
      <c r="C3152" s="18" t="s">
        <v>1464</v>
      </c>
      <c r="D3152" s="18" t="s">
        <v>5666</v>
      </c>
      <c r="E3152" s="18" t="s">
        <v>5667</v>
      </c>
      <c r="F3152" s="18" t="s">
        <v>5668</v>
      </c>
      <c r="G3152" s="18" t="s">
        <v>5737</v>
      </c>
      <c r="H3152" s="157" t="s">
        <v>5738</v>
      </c>
      <c r="I3152" s="18" t="s">
        <v>5762</v>
      </c>
      <c r="J3152" s="18" t="s">
        <v>5763</v>
      </c>
      <c r="K3152" s="18" t="s">
        <v>5778</v>
      </c>
      <c r="L3152" s="18" t="s">
        <v>5779</v>
      </c>
      <c r="M3152" s="18"/>
      <c r="N3152" s="18"/>
      <c r="O3152" s="18"/>
      <c r="P3152" s="16"/>
      <c r="Q3152" s="16"/>
      <c r="R3152" s="16"/>
      <c r="S3152" s="16"/>
      <c r="T3152" s="18" t="s">
        <v>2234</v>
      </c>
      <c r="U3152" t="s">
        <v>2236</v>
      </c>
      <c r="V3152" t="s">
        <v>5781</v>
      </c>
      <c r="W3152" s="283"/>
      <c r="X3152" s="283"/>
      <c r="Y3152" s="283"/>
      <c r="Z3152" s="283"/>
      <c r="AA3152" s="283"/>
      <c r="AB3152" s="283"/>
      <c r="AC3152" s="283"/>
      <c r="AD3152" s="283"/>
      <c r="AE3152" s="49">
        <v>1</v>
      </c>
      <c r="AF3152" s="64"/>
      <c r="AG3152" s="283"/>
      <c r="AH3152" s="259"/>
      <c r="AI3152" s="259"/>
      <c r="AJ3152" s="259"/>
      <c r="AK3152" s="264">
        <v>1.5</v>
      </c>
      <c r="AL3152" s="264">
        <v>1.5</v>
      </c>
      <c r="AM3152" s="259"/>
      <c r="AN3152" s="18" t="s">
        <v>2172</v>
      </c>
      <c r="AO3152" s="18" t="s">
        <v>2236</v>
      </c>
      <c r="AP3152" s="10"/>
    </row>
    <row r="3153" spans="1:42" customFormat="1" x14ac:dyDescent="0.3">
      <c r="A3153" s="18" t="s">
        <v>1463</v>
      </c>
      <c r="B3153" s="18" t="s">
        <v>5664</v>
      </c>
      <c r="C3153" s="18" t="s">
        <v>1464</v>
      </c>
      <c r="D3153" s="18" t="s">
        <v>5666</v>
      </c>
      <c r="E3153" s="18" t="s">
        <v>5667</v>
      </c>
      <c r="F3153" s="18" t="s">
        <v>5668</v>
      </c>
      <c r="G3153" s="18" t="s">
        <v>5737</v>
      </c>
      <c r="H3153" s="157" t="s">
        <v>5738</v>
      </c>
      <c r="I3153" s="18" t="s">
        <v>5762</v>
      </c>
      <c r="J3153" s="18" t="s">
        <v>5763</v>
      </c>
      <c r="K3153" s="18" t="s">
        <v>5778</v>
      </c>
      <c r="L3153" s="18" t="s">
        <v>5779</v>
      </c>
      <c r="M3153" s="18"/>
      <c r="N3153" s="18"/>
      <c r="O3153" s="18"/>
      <c r="P3153" s="16"/>
      <c r="Q3153" s="16"/>
      <c r="R3153" s="16"/>
      <c r="S3153" s="16"/>
      <c r="T3153" s="18" t="s">
        <v>2234</v>
      </c>
      <c r="U3153" t="s">
        <v>2236</v>
      </c>
      <c r="V3153" t="s">
        <v>5782</v>
      </c>
      <c r="W3153" s="283"/>
      <c r="X3153" s="283"/>
      <c r="Y3153" s="283"/>
      <c r="Z3153" s="283"/>
      <c r="AA3153" s="283"/>
      <c r="AB3153" s="283"/>
      <c r="AC3153" s="283"/>
      <c r="AD3153" s="283"/>
      <c r="AE3153" s="49">
        <v>1</v>
      </c>
      <c r="AF3153" s="64"/>
      <c r="AG3153" s="283"/>
      <c r="AH3153" s="259"/>
      <c r="AI3153" s="259"/>
      <c r="AJ3153" s="259"/>
      <c r="AK3153" s="264">
        <v>0.9</v>
      </c>
      <c r="AL3153" s="264">
        <v>0.9</v>
      </c>
      <c r="AM3153" s="259"/>
      <c r="AN3153" s="18" t="s">
        <v>2172</v>
      </c>
      <c r="AO3153" s="18" t="s">
        <v>2236</v>
      </c>
      <c r="AP3153" s="10"/>
    </row>
    <row r="3154" spans="1:42" customFormat="1" x14ac:dyDescent="0.3">
      <c r="A3154" s="18" t="s">
        <v>1463</v>
      </c>
      <c r="B3154" s="18" t="s">
        <v>5664</v>
      </c>
      <c r="C3154" s="18" t="s">
        <v>1464</v>
      </c>
      <c r="D3154" s="18" t="s">
        <v>5666</v>
      </c>
      <c r="E3154" s="18" t="s">
        <v>5667</v>
      </c>
      <c r="F3154" s="18" t="s">
        <v>5668</v>
      </c>
      <c r="G3154" s="18" t="s">
        <v>5737</v>
      </c>
      <c r="H3154" s="157" t="s">
        <v>5738</v>
      </c>
      <c r="I3154" s="18" t="s">
        <v>5762</v>
      </c>
      <c r="J3154" s="18" t="s">
        <v>5763</v>
      </c>
      <c r="K3154" s="18" t="s">
        <v>5778</v>
      </c>
      <c r="L3154" s="18" t="s">
        <v>5779</v>
      </c>
      <c r="M3154" s="18"/>
      <c r="N3154" s="18"/>
      <c r="O3154" s="18"/>
      <c r="P3154" s="16"/>
      <c r="Q3154" s="16"/>
      <c r="R3154" s="16"/>
      <c r="S3154" s="16"/>
      <c r="T3154" s="18" t="s">
        <v>2234</v>
      </c>
      <c r="U3154" t="s">
        <v>2236</v>
      </c>
      <c r="V3154" t="s">
        <v>5783</v>
      </c>
      <c r="W3154" s="283"/>
      <c r="X3154" s="283"/>
      <c r="Y3154" s="283"/>
      <c r="Z3154" s="283"/>
      <c r="AA3154" s="283"/>
      <c r="AB3154" s="283"/>
      <c r="AC3154" s="283"/>
      <c r="AD3154" s="283"/>
      <c r="AE3154" s="49">
        <v>1</v>
      </c>
      <c r="AF3154" s="64"/>
      <c r="AG3154" s="283"/>
      <c r="AH3154" s="259"/>
      <c r="AI3154" s="259"/>
      <c r="AJ3154" s="259"/>
      <c r="AK3154" s="264">
        <v>0.4</v>
      </c>
      <c r="AL3154" s="264">
        <v>0.3</v>
      </c>
      <c r="AM3154" s="259"/>
      <c r="AN3154" s="18" t="s">
        <v>2172</v>
      </c>
      <c r="AO3154" s="18" t="s">
        <v>2236</v>
      </c>
      <c r="AP3154" s="10"/>
    </row>
    <row r="3155" spans="1:42" customFormat="1" x14ac:dyDescent="0.3">
      <c r="A3155" s="18" t="s">
        <v>1463</v>
      </c>
      <c r="B3155" s="18" t="s">
        <v>5664</v>
      </c>
      <c r="C3155" s="18" t="s">
        <v>1464</v>
      </c>
      <c r="D3155" s="18" t="s">
        <v>5666</v>
      </c>
      <c r="E3155" s="18" t="s">
        <v>5667</v>
      </c>
      <c r="F3155" s="18" t="s">
        <v>5668</v>
      </c>
      <c r="G3155" s="18" t="s">
        <v>5737</v>
      </c>
      <c r="H3155" s="157" t="s">
        <v>5738</v>
      </c>
      <c r="I3155" s="18" t="s">
        <v>5762</v>
      </c>
      <c r="J3155" s="18" t="s">
        <v>5763</v>
      </c>
      <c r="K3155" s="18" t="s">
        <v>5778</v>
      </c>
      <c r="L3155" s="18" t="s">
        <v>5779</v>
      </c>
      <c r="M3155" s="18"/>
      <c r="N3155" s="18"/>
      <c r="O3155" s="18"/>
      <c r="P3155" s="16"/>
      <c r="Q3155" s="16"/>
      <c r="R3155" s="16"/>
      <c r="S3155" s="16"/>
      <c r="T3155" s="18" t="s">
        <v>2234</v>
      </c>
      <c r="U3155" t="s">
        <v>2236</v>
      </c>
      <c r="V3155" t="s">
        <v>5784</v>
      </c>
      <c r="W3155" s="283"/>
      <c r="X3155" s="283"/>
      <c r="Y3155" s="283"/>
      <c r="Z3155" s="283"/>
      <c r="AA3155" s="283"/>
      <c r="AB3155" s="283"/>
      <c r="AC3155" s="283"/>
      <c r="AD3155" s="283"/>
      <c r="AE3155" s="49">
        <v>1</v>
      </c>
      <c r="AF3155" s="64"/>
      <c r="AG3155" s="283"/>
      <c r="AH3155" s="259"/>
      <c r="AI3155" s="259"/>
      <c r="AJ3155" s="259"/>
      <c r="AK3155" s="264">
        <v>0.18</v>
      </c>
      <c r="AL3155" s="264">
        <v>0.15</v>
      </c>
      <c r="AM3155" s="259"/>
      <c r="AN3155" s="18" t="s">
        <v>2172</v>
      </c>
      <c r="AO3155" s="18" t="s">
        <v>2236</v>
      </c>
      <c r="AP3155" s="10"/>
    </row>
    <row r="3156" spans="1:42" customFormat="1" x14ac:dyDescent="0.3">
      <c r="A3156" s="18" t="s">
        <v>1463</v>
      </c>
      <c r="B3156" s="18" t="s">
        <v>5664</v>
      </c>
      <c r="C3156" s="18" t="s">
        <v>1464</v>
      </c>
      <c r="D3156" s="18" t="s">
        <v>5666</v>
      </c>
      <c r="E3156" s="18" t="s">
        <v>5667</v>
      </c>
      <c r="F3156" s="18" t="s">
        <v>5668</v>
      </c>
      <c r="G3156" s="18" t="s">
        <v>5737</v>
      </c>
      <c r="H3156" s="157" t="s">
        <v>5738</v>
      </c>
      <c r="I3156" s="18" t="s">
        <v>5762</v>
      </c>
      <c r="J3156" s="18" t="s">
        <v>5763</v>
      </c>
      <c r="K3156" s="18" t="s">
        <v>5778</v>
      </c>
      <c r="L3156" s="18" t="s">
        <v>5779</v>
      </c>
      <c r="M3156" s="18"/>
      <c r="N3156" s="18"/>
      <c r="O3156" s="18"/>
      <c r="P3156" s="16"/>
      <c r="Q3156" s="16"/>
      <c r="R3156" s="16"/>
      <c r="S3156" s="16"/>
      <c r="T3156" s="18" t="s">
        <v>2234</v>
      </c>
      <c r="U3156" t="s">
        <v>2236</v>
      </c>
      <c r="V3156" t="s">
        <v>5785</v>
      </c>
      <c r="W3156" s="283"/>
      <c r="X3156" s="283"/>
      <c r="Y3156" s="283"/>
      <c r="Z3156" s="283"/>
      <c r="AA3156" s="283"/>
      <c r="AB3156" s="283"/>
      <c r="AC3156" s="283"/>
      <c r="AD3156" s="283"/>
      <c r="AE3156" s="49">
        <v>1</v>
      </c>
      <c r="AF3156" s="64"/>
      <c r="AG3156" s="283"/>
      <c r="AH3156" s="259"/>
      <c r="AI3156" s="259"/>
      <c r="AJ3156" s="259"/>
      <c r="AK3156" s="264">
        <v>0.6</v>
      </c>
      <c r="AL3156" s="264">
        <v>0.6</v>
      </c>
      <c r="AM3156" s="259"/>
      <c r="AN3156" s="18" t="s">
        <v>2172</v>
      </c>
      <c r="AO3156" s="18" t="s">
        <v>2236</v>
      </c>
      <c r="AP3156" s="10"/>
    </row>
    <row r="3157" spans="1:42" customFormat="1" x14ac:dyDescent="0.3">
      <c r="A3157" s="18" t="s">
        <v>1463</v>
      </c>
      <c r="B3157" s="18" t="s">
        <v>5664</v>
      </c>
      <c r="C3157" s="18" t="s">
        <v>1464</v>
      </c>
      <c r="D3157" s="18" t="s">
        <v>5666</v>
      </c>
      <c r="E3157" s="18" t="s">
        <v>5667</v>
      </c>
      <c r="F3157" s="18" t="s">
        <v>5668</v>
      </c>
      <c r="G3157" s="18" t="s">
        <v>5737</v>
      </c>
      <c r="H3157" s="157" t="s">
        <v>5738</v>
      </c>
      <c r="I3157" s="18" t="s">
        <v>5762</v>
      </c>
      <c r="J3157" s="18" t="s">
        <v>5763</v>
      </c>
      <c r="K3157" s="18" t="s">
        <v>5778</v>
      </c>
      <c r="L3157" s="18" t="s">
        <v>5779</v>
      </c>
      <c r="M3157" s="18"/>
      <c r="N3157" s="18"/>
      <c r="O3157" s="18"/>
      <c r="P3157" s="16"/>
      <c r="Q3157" s="16"/>
      <c r="R3157" s="16"/>
      <c r="S3157" s="16"/>
      <c r="T3157" s="18" t="s">
        <v>2234</v>
      </c>
      <c r="U3157" t="s">
        <v>2236</v>
      </c>
      <c r="V3157" t="s">
        <v>5786</v>
      </c>
      <c r="W3157" s="283"/>
      <c r="X3157" s="283"/>
      <c r="Y3157" s="283"/>
      <c r="Z3157" s="283"/>
      <c r="AA3157" s="283"/>
      <c r="AB3157" s="283"/>
      <c r="AC3157" s="283"/>
      <c r="AD3157" s="283"/>
      <c r="AE3157" s="49">
        <v>1</v>
      </c>
      <c r="AF3157" s="64"/>
      <c r="AG3157" s="283"/>
      <c r="AH3157" s="259"/>
      <c r="AI3157" s="259"/>
      <c r="AJ3157" s="259"/>
      <c r="AK3157" s="264">
        <f>0.18-0.01</f>
        <v>0.16999999999999998</v>
      </c>
      <c r="AL3157" s="264">
        <v>0.2</v>
      </c>
      <c r="AM3157" s="259"/>
      <c r="AN3157" s="18" t="s">
        <v>2172</v>
      </c>
      <c r="AO3157" s="18" t="s">
        <v>2236</v>
      </c>
      <c r="AP3157" s="10"/>
    </row>
    <row r="3158" spans="1:42" customFormat="1" x14ac:dyDescent="0.3">
      <c r="A3158" s="18" t="s">
        <v>1463</v>
      </c>
      <c r="B3158" s="18" t="s">
        <v>5664</v>
      </c>
      <c r="C3158" s="18" t="s">
        <v>1464</v>
      </c>
      <c r="D3158" s="18" t="s">
        <v>5666</v>
      </c>
      <c r="E3158" s="18" t="s">
        <v>5667</v>
      </c>
      <c r="F3158" s="18" t="s">
        <v>5668</v>
      </c>
      <c r="G3158" s="18" t="s">
        <v>5737</v>
      </c>
      <c r="H3158" s="157" t="s">
        <v>5738</v>
      </c>
      <c r="I3158" s="18" t="s">
        <v>5762</v>
      </c>
      <c r="J3158" s="18" t="s">
        <v>5763</v>
      </c>
      <c r="K3158" s="18" t="s">
        <v>5778</v>
      </c>
      <c r="L3158" s="18" t="s">
        <v>5779</v>
      </c>
      <c r="M3158" s="18"/>
      <c r="N3158" s="18"/>
      <c r="O3158" s="18"/>
      <c r="P3158" s="16"/>
      <c r="Q3158" s="16"/>
      <c r="R3158" s="16"/>
      <c r="S3158" s="16"/>
      <c r="T3158" s="18" t="s">
        <v>2234</v>
      </c>
      <c r="U3158" t="s">
        <v>2236</v>
      </c>
      <c r="V3158" t="s">
        <v>5787</v>
      </c>
      <c r="W3158" s="283"/>
      <c r="X3158" s="283"/>
      <c r="Y3158" s="283"/>
      <c r="Z3158" s="283"/>
      <c r="AA3158" s="283"/>
      <c r="AB3158" s="283"/>
      <c r="AC3158" s="283"/>
      <c r="AD3158" s="283"/>
      <c r="AE3158" s="49">
        <v>1</v>
      </c>
      <c r="AF3158" s="64"/>
      <c r="AG3158" s="283"/>
      <c r="AH3158" s="259"/>
      <c r="AI3158" s="259"/>
      <c r="AJ3158" s="259"/>
      <c r="AK3158" s="264">
        <v>0.2</v>
      </c>
      <c r="AL3158" s="264">
        <v>0.2</v>
      </c>
      <c r="AM3158" s="259"/>
      <c r="AN3158" s="18" t="s">
        <v>2172</v>
      </c>
      <c r="AO3158" s="18" t="s">
        <v>2236</v>
      </c>
      <c r="AP3158" s="10"/>
    </row>
    <row r="3159" spans="1:42" customFormat="1" x14ac:dyDescent="0.3">
      <c r="A3159" s="18" t="s">
        <v>1463</v>
      </c>
      <c r="B3159" s="18" t="s">
        <v>5664</v>
      </c>
      <c r="C3159" s="18" t="s">
        <v>1464</v>
      </c>
      <c r="D3159" s="18" t="s">
        <v>5666</v>
      </c>
      <c r="E3159" s="18" t="s">
        <v>5667</v>
      </c>
      <c r="F3159" s="18" t="s">
        <v>5668</v>
      </c>
      <c r="G3159" s="18" t="s">
        <v>5737</v>
      </c>
      <c r="H3159" s="157" t="s">
        <v>5738</v>
      </c>
      <c r="I3159" s="18" t="s">
        <v>5762</v>
      </c>
      <c r="J3159" s="18" t="s">
        <v>5763</v>
      </c>
      <c r="K3159" s="18" t="s">
        <v>5778</v>
      </c>
      <c r="L3159" s="18" t="s">
        <v>5779</v>
      </c>
      <c r="M3159" s="18"/>
      <c r="N3159" s="18"/>
      <c r="O3159" s="18"/>
      <c r="P3159" s="16"/>
      <c r="Q3159" s="16"/>
      <c r="R3159" s="16"/>
      <c r="S3159" s="16"/>
      <c r="T3159" s="18" t="s">
        <v>2234</v>
      </c>
      <c r="U3159" t="s">
        <v>2236</v>
      </c>
      <c r="V3159" t="s">
        <v>5788</v>
      </c>
      <c r="W3159" s="283"/>
      <c r="X3159" s="283"/>
      <c r="Y3159" s="283"/>
      <c r="Z3159" s="283"/>
      <c r="AA3159" s="283"/>
      <c r="AB3159" s="283"/>
      <c r="AC3159" s="283"/>
      <c r="AD3159" s="283"/>
      <c r="AE3159" s="49">
        <v>1</v>
      </c>
      <c r="AF3159" s="64"/>
      <c r="AG3159" s="283"/>
      <c r="AH3159" s="259"/>
      <c r="AI3159" s="259"/>
      <c r="AJ3159" s="259"/>
      <c r="AK3159" s="264">
        <v>0.4</v>
      </c>
      <c r="AL3159" s="264">
        <v>0.4</v>
      </c>
      <c r="AM3159" s="259"/>
      <c r="AN3159" s="18" t="s">
        <v>2172</v>
      </c>
      <c r="AO3159" s="18" t="s">
        <v>2236</v>
      </c>
      <c r="AP3159" s="10"/>
    </row>
    <row r="3160" spans="1:42" customFormat="1" x14ac:dyDescent="0.3">
      <c r="A3160" s="18" t="s">
        <v>1463</v>
      </c>
      <c r="B3160" s="18" t="s">
        <v>5664</v>
      </c>
      <c r="C3160" s="18" t="s">
        <v>1464</v>
      </c>
      <c r="D3160" s="18" t="s">
        <v>5666</v>
      </c>
      <c r="E3160" s="18" t="s">
        <v>5667</v>
      </c>
      <c r="F3160" s="18" t="s">
        <v>5668</v>
      </c>
      <c r="G3160" s="18" t="s">
        <v>5737</v>
      </c>
      <c r="H3160" s="157" t="s">
        <v>5738</v>
      </c>
      <c r="I3160" s="18" t="s">
        <v>5762</v>
      </c>
      <c r="J3160" s="18" t="s">
        <v>5763</v>
      </c>
      <c r="K3160" s="18" t="s">
        <v>5778</v>
      </c>
      <c r="L3160" s="18" t="s">
        <v>5779</v>
      </c>
      <c r="M3160" s="18"/>
      <c r="N3160" s="18"/>
      <c r="O3160" s="18"/>
      <c r="P3160" s="16"/>
      <c r="Q3160" s="16"/>
      <c r="R3160" s="16"/>
      <c r="S3160" s="16"/>
      <c r="T3160" s="18" t="s">
        <v>2234</v>
      </c>
      <c r="U3160" t="s">
        <v>2236</v>
      </c>
      <c r="V3160" t="s">
        <v>5789</v>
      </c>
      <c r="W3160" s="283"/>
      <c r="X3160" s="283"/>
      <c r="Y3160" s="283"/>
      <c r="Z3160" s="283"/>
      <c r="AA3160" s="283"/>
      <c r="AB3160" s="283"/>
      <c r="AC3160" s="283"/>
      <c r="AD3160" s="283"/>
      <c r="AE3160" s="49">
        <v>1</v>
      </c>
      <c r="AF3160" s="64"/>
      <c r="AG3160" s="283"/>
      <c r="AH3160" s="259"/>
      <c r="AI3160" s="259"/>
      <c r="AJ3160" s="259"/>
      <c r="AK3160" s="264">
        <v>0.4</v>
      </c>
      <c r="AL3160" s="264">
        <v>0.4</v>
      </c>
      <c r="AM3160" s="259"/>
      <c r="AN3160" s="18" t="s">
        <v>2172</v>
      </c>
      <c r="AO3160" s="18" t="s">
        <v>2236</v>
      </c>
      <c r="AP3160" s="10"/>
    </row>
    <row r="3161" spans="1:42" customFormat="1" x14ac:dyDescent="0.3">
      <c r="A3161" s="18" t="s">
        <v>1463</v>
      </c>
      <c r="B3161" s="18" t="s">
        <v>5664</v>
      </c>
      <c r="C3161" s="18" t="s">
        <v>1464</v>
      </c>
      <c r="D3161" s="18" t="s">
        <v>5666</v>
      </c>
      <c r="E3161" s="18" t="s">
        <v>5667</v>
      </c>
      <c r="F3161" s="18" t="s">
        <v>5668</v>
      </c>
      <c r="G3161" s="18" t="s">
        <v>5737</v>
      </c>
      <c r="H3161" s="157" t="s">
        <v>5738</v>
      </c>
      <c r="I3161" s="18" t="s">
        <v>5762</v>
      </c>
      <c r="J3161" s="18" t="s">
        <v>5763</v>
      </c>
      <c r="K3161" s="18" t="s">
        <v>5778</v>
      </c>
      <c r="L3161" s="18" t="s">
        <v>5779</v>
      </c>
      <c r="M3161" s="18"/>
      <c r="N3161" s="18"/>
      <c r="O3161" s="18"/>
      <c r="P3161" s="16"/>
      <c r="Q3161" s="16"/>
      <c r="R3161" s="16"/>
      <c r="S3161" s="16"/>
      <c r="T3161" s="18" t="s">
        <v>2234</v>
      </c>
      <c r="U3161" t="s">
        <v>2236</v>
      </c>
      <c r="V3161" t="s">
        <v>5790</v>
      </c>
      <c r="W3161" s="283"/>
      <c r="X3161" s="283"/>
      <c r="Y3161" s="283"/>
      <c r="Z3161" s="283"/>
      <c r="AA3161" s="283"/>
      <c r="AB3161" s="283"/>
      <c r="AC3161" s="283"/>
      <c r="AD3161" s="283"/>
      <c r="AE3161" s="49">
        <v>1</v>
      </c>
      <c r="AF3161" s="64"/>
      <c r="AG3161" s="283"/>
      <c r="AH3161" s="259"/>
      <c r="AI3161" s="259"/>
      <c r="AJ3161" s="259"/>
      <c r="AK3161" s="264">
        <v>0.4</v>
      </c>
      <c r="AL3161" s="264">
        <v>0.4</v>
      </c>
      <c r="AM3161" s="259"/>
      <c r="AN3161" s="18" t="s">
        <v>2172</v>
      </c>
      <c r="AO3161" s="18" t="s">
        <v>2236</v>
      </c>
      <c r="AP3161" s="10"/>
    </row>
    <row r="3162" spans="1:42" customFormat="1" x14ac:dyDescent="0.3">
      <c r="A3162" s="18" t="s">
        <v>1463</v>
      </c>
      <c r="B3162" s="18" t="s">
        <v>5664</v>
      </c>
      <c r="C3162" s="18" t="s">
        <v>1464</v>
      </c>
      <c r="D3162" s="18" t="s">
        <v>5666</v>
      </c>
      <c r="E3162" s="18" t="s">
        <v>5667</v>
      </c>
      <c r="F3162" s="18" t="s">
        <v>5668</v>
      </c>
      <c r="G3162" s="18" t="s">
        <v>5737</v>
      </c>
      <c r="H3162" s="157" t="s">
        <v>5738</v>
      </c>
      <c r="I3162" s="18" t="s">
        <v>5762</v>
      </c>
      <c r="J3162" s="18" t="s">
        <v>5763</v>
      </c>
      <c r="K3162" s="18" t="s">
        <v>5792</v>
      </c>
      <c r="L3162" s="18" t="s">
        <v>5793</v>
      </c>
      <c r="M3162" s="18" t="s">
        <v>5794</v>
      </c>
      <c r="N3162" s="18" t="s">
        <v>271</v>
      </c>
      <c r="O3162" s="18">
        <v>2000</v>
      </c>
      <c r="P3162" s="16">
        <v>2500</v>
      </c>
      <c r="Q3162" s="16">
        <v>3000</v>
      </c>
      <c r="R3162" s="16">
        <v>3500</v>
      </c>
      <c r="S3162" s="16">
        <v>4000</v>
      </c>
      <c r="T3162" s="18" t="s">
        <v>2234</v>
      </c>
      <c r="U3162" t="s">
        <v>2236</v>
      </c>
      <c r="V3162" s="18" t="s">
        <v>5795</v>
      </c>
      <c r="W3162" s="283"/>
      <c r="X3162" s="283"/>
      <c r="Y3162" s="283"/>
      <c r="Z3162" s="283"/>
      <c r="AA3162" s="283"/>
      <c r="AB3162" s="283"/>
      <c r="AC3162" s="283"/>
      <c r="AD3162" s="283"/>
      <c r="AE3162" s="49">
        <v>0.625</v>
      </c>
      <c r="AF3162" s="64"/>
      <c r="AG3162" s="283"/>
      <c r="AH3162" s="259">
        <v>0.11</v>
      </c>
      <c r="AI3162" s="259">
        <v>0.13700000000000001</v>
      </c>
      <c r="AJ3162" s="259">
        <v>0.16500000000000001</v>
      </c>
      <c r="AK3162" s="260">
        <v>0.17</v>
      </c>
      <c r="AL3162" s="260">
        <v>0.22</v>
      </c>
      <c r="AM3162" s="259">
        <v>0.33999999999999997</v>
      </c>
      <c r="AN3162" s="18" t="s">
        <v>2172</v>
      </c>
      <c r="AO3162" s="18" t="s">
        <v>2236</v>
      </c>
      <c r="AP3162" s="18" t="s">
        <v>11663</v>
      </c>
    </row>
    <row r="3163" spans="1:42" customFormat="1" x14ac:dyDescent="0.3">
      <c r="A3163" s="18" t="s">
        <v>1463</v>
      </c>
      <c r="B3163" s="18" t="s">
        <v>5664</v>
      </c>
      <c r="C3163" s="18" t="s">
        <v>1464</v>
      </c>
      <c r="D3163" s="18" t="s">
        <v>5666</v>
      </c>
      <c r="E3163" s="18" t="s">
        <v>5667</v>
      </c>
      <c r="F3163" s="18" t="s">
        <v>5668</v>
      </c>
      <c r="G3163" s="18" t="s">
        <v>5737</v>
      </c>
      <c r="H3163" s="157" t="s">
        <v>5738</v>
      </c>
      <c r="I3163" s="18" t="s">
        <v>5762</v>
      </c>
      <c r="J3163" s="18" t="s">
        <v>5763</v>
      </c>
      <c r="K3163" s="18" t="s">
        <v>5802</v>
      </c>
      <c r="L3163" s="18" t="s">
        <v>5803</v>
      </c>
      <c r="M3163" s="18" t="s">
        <v>5804</v>
      </c>
      <c r="N3163" s="18">
        <v>0</v>
      </c>
      <c r="O3163" s="18">
        <v>30</v>
      </c>
      <c r="P3163" s="16">
        <v>45</v>
      </c>
      <c r="Q3163" s="16">
        <v>50</v>
      </c>
      <c r="R3163" s="16">
        <v>60</v>
      </c>
      <c r="S3163" s="16">
        <v>75</v>
      </c>
      <c r="T3163" s="18" t="s">
        <v>2234</v>
      </c>
      <c r="U3163" t="s">
        <v>2236</v>
      </c>
      <c r="V3163" s="18" t="s">
        <v>5805</v>
      </c>
      <c r="W3163" s="283"/>
      <c r="X3163" s="283"/>
      <c r="Y3163" s="283"/>
      <c r="Z3163" s="283"/>
      <c r="AA3163" s="283"/>
      <c r="AB3163" s="283"/>
      <c r="AC3163" s="283"/>
      <c r="AD3163" s="283"/>
      <c r="AE3163" s="49">
        <v>0.75</v>
      </c>
      <c r="AF3163" s="64"/>
      <c r="AG3163" s="283"/>
      <c r="AH3163" s="259">
        <v>0.36399999999999999</v>
      </c>
      <c r="AI3163" s="259">
        <v>0.36399999999999999</v>
      </c>
      <c r="AJ3163" s="259">
        <v>0.36399999999999999</v>
      </c>
      <c r="AK3163" s="260">
        <v>0.36</v>
      </c>
      <c r="AL3163" s="260">
        <v>0.36</v>
      </c>
      <c r="AM3163" s="259">
        <v>0.72</v>
      </c>
      <c r="AN3163" s="18" t="s">
        <v>2172</v>
      </c>
      <c r="AO3163" s="18" t="s">
        <v>2236</v>
      </c>
      <c r="AP3163" s="18" t="s">
        <v>119</v>
      </c>
    </row>
    <row r="3164" spans="1:42" customFormat="1" x14ac:dyDescent="0.3">
      <c r="A3164" s="18" t="s">
        <v>1463</v>
      </c>
      <c r="B3164" s="18" t="s">
        <v>5664</v>
      </c>
      <c r="C3164" s="18" t="s">
        <v>1464</v>
      </c>
      <c r="D3164" s="18" t="s">
        <v>5666</v>
      </c>
      <c r="E3164" s="18" t="s">
        <v>5667</v>
      </c>
      <c r="F3164" s="18" t="s">
        <v>5668</v>
      </c>
      <c r="G3164" s="18" t="s">
        <v>5737</v>
      </c>
      <c r="H3164" s="157" t="s">
        <v>5738</v>
      </c>
      <c r="I3164" s="18" t="s">
        <v>5762</v>
      </c>
      <c r="J3164" s="18" t="s">
        <v>5763</v>
      </c>
      <c r="K3164" s="18" t="s">
        <v>5806</v>
      </c>
      <c r="L3164" s="18" t="s">
        <v>5807</v>
      </c>
      <c r="M3164" s="18" t="s">
        <v>5808</v>
      </c>
      <c r="N3164" s="18">
        <v>0</v>
      </c>
      <c r="O3164" s="18">
        <v>0</v>
      </c>
      <c r="P3164" s="16">
        <v>0</v>
      </c>
      <c r="Q3164" s="16">
        <v>1</v>
      </c>
      <c r="R3164" s="16">
        <v>0</v>
      </c>
      <c r="S3164" s="16">
        <v>0</v>
      </c>
      <c r="T3164" s="18" t="s">
        <v>2234</v>
      </c>
      <c r="U3164" t="s">
        <v>2236</v>
      </c>
      <c r="V3164" s="18" t="s">
        <v>5809</v>
      </c>
      <c r="W3164" s="283"/>
      <c r="X3164" s="283"/>
      <c r="Y3164" s="283"/>
      <c r="Z3164" s="283"/>
      <c r="AA3164" s="283"/>
      <c r="AB3164" s="283"/>
      <c r="AC3164" s="283"/>
      <c r="AD3164" s="283"/>
      <c r="AE3164" s="49">
        <v>0.75</v>
      </c>
      <c r="AF3164" s="64"/>
      <c r="AG3164" s="283"/>
      <c r="AH3164" s="259">
        <v>0</v>
      </c>
      <c r="AI3164" s="259">
        <v>0</v>
      </c>
      <c r="AJ3164" s="259">
        <v>0.5</v>
      </c>
      <c r="AK3164" s="260">
        <v>0</v>
      </c>
      <c r="AL3164" s="260">
        <v>0</v>
      </c>
      <c r="AM3164" s="259">
        <v>0</v>
      </c>
      <c r="AN3164" s="18" t="s">
        <v>2172</v>
      </c>
      <c r="AO3164" s="18" t="s">
        <v>2236</v>
      </c>
      <c r="AP3164" s="18" t="s">
        <v>119</v>
      </c>
    </row>
    <row r="3165" spans="1:42" customFormat="1" x14ac:dyDescent="0.3">
      <c r="A3165" s="18" t="s">
        <v>1463</v>
      </c>
      <c r="B3165" s="18" t="s">
        <v>5664</v>
      </c>
      <c r="C3165" s="18" t="s">
        <v>1464</v>
      </c>
      <c r="D3165" s="18" t="s">
        <v>5666</v>
      </c>
      <c r="E3165" s="18" t="s">
        <v>5667</v>
      </c>
      <c r="F3165" s="18" t="s">
        <v>5668</v>
      </c>
      <c r="G3165" s="18" t="s">
        <v>5737</v>
      </c>
      <c r="H3165" s="157" t="s">
        <v>5738</v>
      </c>
      <c r="I3165" s="18" t="s">
        <v>5762</v>
      </c>
      <c r="J3165" s="18" t="s">
        <v>5763</v>
      </c>
      <c r="K3165" s="18" t="s">
        <v>5810</v>
      </c>
      <c r="L3165" s="18" t="s">
        <v>5811</v>
      </c>
      <c r="M3165" s="18" t="s">
        <v>5812</v>
      </c>
      <c r="N3165" s="18">
        <v>0</v>
      </c>
      <c r="O3165" s="18">
        <v>1</v>
      </c>
      <c r="P3165" s="16">
        <v>0</v>
      </c>
      <c r="Q3165" s="16">
        <v>0</v>
      </c>
      <c r="R3165" s="16">
        <v>0</v>
      </c>
      <c r="S3165" s="16">
        <v>0</v>
      </c>
      <c r="T3165" s="18" t="s">
        <v>2234</v>
      </c>
      <c r="U3165" t="s">
        <v>2236</v>
      </c>
      <c r="V3165" s="18" t="s">
        <v>5813</v>
      </c>
      <c r="W3165" s="283"/>
      <c r="X3165" s="283"/>
      <c r="Y3165" s="283"/>
      <c r="Z3165" s="283"/>
      <c r="AA3165" s="283"/>
      <c r="AB3165" s="283"/>
      <c r="AC3165" s="283"/>
      <c r="AD3165" s="283"/>
      <c r="AE3165" s="49">
        <v>0.625</v>
      </c>
      <c r="AF3165" s="64"/>
      <c r="AG3165" s="283"/>
      <c r="AH3165" s="259">
        <v>0.66</v>
      </c>
      <c r="AI3165" s="259">
        <v>0</v>
      </c>
      <c r="AJ3165" s="259">
        <v>0</v>
      </c>
      <c r="AK3165" s="260">
        <v>0.6</v>
      </c>
      <c r="AL3165" s="260">
        <v>0</v>
      </c>
      <c r="AM3165" s="259">
        <v>0</v>
      </c>
      <c r="AN3165" s="18" t="s">
        <v>2234</v>
      </c>
      <c r="AO3165" s="18" t="s">
        <v>2236</v>
      </c>
      <c r="AP3165" s="18" t="s">
        <v>831</v>
      </c>
    </row>
    <row r="3166" spans="1:42" customFormat="1" x14ac:dyDescent="0.3">
      <c r="A3166" s="18" t="s">
        <v>1463</v>
      </c>
      <c r="B3166" s="18" t="s">
        <v>5664</v>
      </c>
      <c r="C3166" s="18" t="s">
        <v>1464</v>
      </c>
      <c r="D3166" s="18" t="s">
        <v>5666</v>
      </c>
      <c r="E3166" s="18" t="s">
        <v>5667</v>
      </c>
      <c r="F3166" s="18" t="s">
        <v>5668</v>
      </c>
      <c r="G3166" s="18" t="s">
        <v>5737</v>
      </c>
      <c r="H3166" s="157" t="s">
        <v>5738</v>
      </c>
      <c r="I3166" s="18" t="s">
        <v>5762</v>
      </c>
      <c r="J3166" s="18" t="s">
        <v>5763</v>
      </c>
      <c r="K3166" s="18" t="s">
        <v>5810</v>
      </c>
      <c r="L3166" s="18" t="s">
        <v>5811</v>
      </c>
      <c r="M3166" s="18" t="s">
        <v>5814</v>
      </c>
      <c r="N3166" s="18"/>
      <c r="O3166" s="18">
        <v>1</v>
      </c>
      <c r="P3166" s="16">
        <v>1</v>
      </c>
      <c r="Q3166" s="16">
        <v>1</v>
      </c>
      <c r="R3166" s="16">
        <v>1</v>
      </c>
      <c r="S3166" s="16">
        <v>1</v>
      </c>
      <c r="T3166" s="18" t="s">
        <v>5815</v>
      </c>
      <c r="U3166" t="e">
        <v>#N/A</v>
      </c>
      <c r="V3166" s="18" t="s">
        <v>5816</v>
      </c>
      <c r="W3166" s="283"/>
      <c r="X3166" s="283"/>
      <c r="Y3166" s="283"/>
      <c r="Z3166" s="283"/>
      <c r="AA3166" s="283"/>
      <c r="AB3166" s="283"/>
      <c r="AC3166" s="283"/>
      <c r="AD3166" s="283"/>
      <c r="AE3166" s="49">
        <v>0.75</v>
      </c>
      <c r="AF3166" s="64"/>
      <c r="AG3166" s="283"/>
      <c r="AH3166" s="259">
        <v>0.25</v>
      </c>
      <c r="AI3166" s="259">
        <v>0.25</v>
      </c>
      <c r="AJ3166" s="259">
        <v>0.25</v>
      </c>
      <c r="AK3166" s="260">
        <v>0.25</v>
      </c>
      <c r="AL3166" s="260">
        <v>0.25</v>
      </c>
      <c r="AM3166" s="259">
        <v>0.5</v>
      </c>
      <c r="AN3166" s="18" t="s">
        <v>2234</v>
      </c>
      <c r="AO3166" s="18" t="s">
        <v>2236</v>
      </c>
      <c r="AP3166" s="18" t="s">
        <v>5817</v>
      </c>
    </row>
    <row r="3167" spans="1:42" customFormat="1" x14ac:dyDescent="0.3">
      <c r="A3167" s="18" t="s">
        <v>1463</v>
      </c>
      <c r="B3167" s="18" t="s">
        <v>5664</v>
      </c>
      <c r="C3167" s="18" t="s">
        <v>1464</v>
      </c>
      <c r="D3167" s="18" t="s">
        <v>5666</v>
      </c>
      <c r="E3167" s="18" t="s">
        <v>5667</v>
      </c>
      <c r="F3167" s="18" t="s">
        <v>5668</v>
      </c>
      <c r="G3167" s="18" t="s">
        <v>5737</v>
      </c>
      <c r="H3167" s="157" t="s">
        <v>5738</v>
      </c>
      <c r="I3167" s="18" t="s">
        <v>5762</v>
      </c>
      <c r="J3167" s="18" t="s">
        <v>5763</v>
      </c>
      <c r="K3167" s="18" t="s">
        <v>5818</v>
      </c>
      <c r="L3167" s="18" t="s">
        <v>5819</v>
      </c>
      <c r="M3167" s="18" t="s">
        <v>5820</v>
      </c>
      <c r="N3167" s="18"/>
      <c r="O3167" s="18">
        <v>1</v>
      </c>
      <c r="P3167" s="16">
        <v>1</v>
      </c>
      <c r="Q3167" s="16">
        <v>1</v>
      </c>
      <c r="R3167" s="16">
        <v>1</v>
      </c>
      <c r="S3167" s="16">
        <v>1</v>
      </c>
      <c r="T3167" s="18" t="s">
        <v>5696</v>
      </c>
      <c r="U3167" t="e">
        <v>#N/A</v>
      </c>
      <c r="V3167" s="18" t="s">
        <v>5821</v>
      </c>
      <c r="W3167" s="283"/>
      <c r="X3167" s="283"/>
      <c r="Y3167" s="283"/>
      <c r="Z3167" s="283"/>
      <c r="AA3167" s="283"/>
      <c r="AB3167" s="283"/>
      <c r="AC3167" s="283"/>
      <c r="AD3167" s="283"/>
      <c r="AE3167" s="49">
        <v>0.625</v>
      </c>
      <c r="AF3167" s="64"/>
      <c r="AG3167" s="283"/>
      <c r="AH3167" s="259">
        <v>2.5</v>
      </c>
      <c r="AI3167" s="259">
        <v>1.05</v>
      </c>
      <c r="AJ3167" s="259">
        <v>0.71</v>
      </c>
      <c r="AK3167" s="260">
        <v>0.45</v>
      </c>
      <c r="AL3167" s="260">
        <v>0.45</v>
      </c>
      <c r="AM3167" s="259">
        <v>0.9</v>
      </c>
      <c r="AN3167" s="18" t="s">
        <v>2234</v>
      </c>
      <c r="AO3167" s="18" t="s">
        <v>2236</v>
      </c>
      <c r="AP3167" s="18" t="s">
        <v>5676</v>
      </c>
    </row>
    <row r="3168" spans="1:42" customFormat="1" x14ac:dyDescent="0.3">
      <c r="A3168" s="18" t="s">
        <v>1463</v>
      </c>
      <c r="B3168" s="18" t="s">
        <v>5664</v>
      </c>
      <c r="C3168" s="18" t="s">
        <v>1464</v>
      </c>
      <c r="D3168" s="18" t="s">
        <v>5666</v>
      </c>
      <c r="E3168" s="18" t="s">
        <v>5667</v>
      </c>
      <c r="F3168" s="18" t="s">
        <v>5668</v>
      </c>
      <c r="G3168" s="18" t="s">
        <v>5822</v>
      </c>
      <c r="H3168" s="157" t="s">
        <v>5823</v>
      </c>
      <c r="I3168" s="18"/>
      <c r="J3168" s="18"/>
      <c r="K3168" s="18" t="s">
        <v>5824</v>
      </c>
      <c r="L3168" s="18" t="s">
        <v>5825</v>
      </c>
      <c r="M3168" s="18" t="s">
        <v>5826</v>
      </c>
      <c r="N3168" s="18" t="s">
        <v>271</v>
      </c>
      <c r="O3168" s="18">
        <v>100</v>
      </c>
      <c r="P3168" s="16">
        <v>100</v>
      </c>
      <c r="Q3168" s="16">
        <v>100</v>
      </c>
      <c r="R3168" s="16">
        <v>100</v>
      </c>
      <c r="S3168" s="16">
        <v>100</v>
      </c>
      <c r="T3168" s="18" t="s">
        <v>5827</v>
      </c>
      <c r="U3168" t="e">
        <v>#N/A</v>
      </c>
      <c r="V3168" s="18" t="s">
        <v>5828</v>
      </c>
      <c r="W3168" s="283"/>
      <c r="X3168" s="283"/>
      <c r="Y3168" s="283"/>
      <c r="Z3168" s="283"/>
      <c r="AA3168" s="283"/>
      <c r="AB3168" s="283"/>
      <c r="AC3168" s="283"/>
      <c r="AD3168" s="283"/>
      <c r="AE3168" s="49">
        <v>1</v>
      </c>
      <c r="AF3168" s="64"/>
      <c r="AG3168" s="283"/>
      <c r="AH3168" s="259">
        <v>2</v>
      </c>
      <c r="AI3168" s="259">
        <v>2</v>
      </c>
      <c r="AJ3168" s="259">
        <v>2</v>
      </c>
      <c r="AK3168" s="260">
        <v>2</v>
      </c>
      <c r="AL3168" s="260">
        <v>2</v>
      </c>
      <c r="AM3168" s="259">
        <v>4</v>
      </c>
      <c r="AN3168" s="18" t="s">
        <v>5829</v>
      </c>
      <c r="AO3168" s="18" t="s">
        <v>5830</v>
      </c>
      <c r="AP3168" s="18" t="s">
        <v>5831</v>
      </c>
    </row>
    <row r="3169" spans="1:42" customFormat="1" x14ac:dyDescent="0.3">
      <c r="A3169" s="18" t="s">
        <v>1463</v>
      </c>
      <c r="B3169" s="18" t="s">
        <v>5664</v>
      </c>
      <c r="C3169" s="18" t="s">
        <v>1464</v>
      </c>
      <c r="D3169" s="18" t="s">
        <v>5666</v>
      </c>
      <c r="E3169" s="18" t="s">
        <v>5667</v>
      </c>
      <c r="F3169" s="18" t="s">
        <v>5668</v>
      </c>
      <c r="G3169" s="18" t="s">
        <v>5822</v>
      </c>
      <c r="H3169" s="157" t="s">
        <v>5823</v>
      </c>
      <c r="I3169" s="18"/>
      <c r="J3169" s="18"/>
      <c r="K3169" s="18" t="s">
        <v>5832</v>
      </c>
      <c r="L3169" s="18" t="s">
        <v>5833</v>
      </c>
      <c r="M3169" s="18" t="s">
        <v>5834</v>
      </c>
      <c r="N3169" s="18">
        <v>85.7</v>
      </c>
      <c r="O3169" s="18">
        <v>88</v>
      </c>
      <c r="P3169" s="16"/>
      <c r="Q3169" s="16">
        <v>92</v>
      </c>
      <c r="R3169" s="16"/>
      <c r="S3169" s="16">
        <v>95</v>
      </c>
      <c r="T3169" s="18" t="s">
        <v>5835</v>
      </c>
      <c r="U3169" t="e">
        <v>#N/A</v>
      </c>
      <c r="V3169" s="18" t="s">
        <v>5836</v>
      </c>
      <c r="W3169" s="283"/>
      <c r="X3169" s="283"/>
      <c r="Y3169" s="283"/>
      <c r="Z3169" s="283"/>
      <c r="AA3169" s="283"/>
      <c r="AB3169" s="283"/>
      <c r="AC3169" s="283"/>
      <c r="AD3169" s="283"/>
      <c r="AE3169" s="49">
        <v>0.875</v>
      </c>
      <c r="AF3169" s="64"/>
      <c r="AG3169" s="283"/>
      <c r="AH3169" s="259">
        <v>1.2</v>
      </c>
      <c r="AI3169" s="259">
        <v>0</v>
      </c>
      <c r="AJ3169" s="259">
        <v>1.2</v>
      </c>
      <c r="AK3169" s="260">
        <v>0</v>
      </c>
      <c r="AL3169" s="260">
        <v>1.2</v>
      </c>
      <c r="AM3169" s="259">
        <v>1.2</v>
      </c>
      <c r="AN3169" s="18" t="s">
        <v>5829</v>
      </c>
      <c r="AO3169" s="18" t="s">
        <v>5830</v>
      </c>
      <c r="AP3169" s="18" t="s">
        <v>5837</v>
      </c>
    </row>
    <row r="3170" spans="1:42" customFormat="1" x14ac:dyDescent="0.3">
      <c r="A3170" s="18" t="s">
        <v>1463</v>
      </c>
      <c r="B3170" s="18" t="s">
        <v>5664</v>
      </c>
      <c r="C3170" s="18" t="s">
        <v>1464</v>
      </c>
      <c r="D3170" s="18" t="s">
        <v>5666</v>
      </c>
      <c r="E3170" s="18" t="s">
        <v>5667</v>
      </c>
      <c r="F3170" s="18" t="s">
        <v>5668</v>
      </c>
      <c r="G3170" s="18" t="s">
        <v>5822</v>
      </c>
      <c r="H3170" s="157" t="s">
        <v>5823</v>
      </c>
      <c r="I3170" s="18"/>
      <c r="J3170" s="18"/>
      <c r="K3170" s="18" t="s">
        <v>5832</v>
      </c>
      <c r="L3170" s="18" t="s">
        <v>5833</v>
      </c>
      <c r="M3170" s="18" t="s">
        <v>5838</v>
      </c>
      <c r="N3170" s="18">
        <v>305</v>
      </c>
      <c r="O3170" s="18">
        <v>336</v>
      </c>
      <c r="P3170" s="16">
        <v>400</v>
      </c>
      <c r="Q3170" s="16">
        <v>500</v>
      </c>
      <c r="R3170" s="16">
        <v>600</v>
      </c>
      <c r="S3170" s="16">
        <v>664</v>
      </c>
      <c r="T3170" s="265" t="s">
        <v>5829</v>
      </c>
      <c r="U3170" t="s">
        <v>5839</v>
      </c>
      <c r="V3170" s="18" t="s">
        <v>5840</v>
      </c>
      <c r="W3170" s="283"/>
      <c r="X3170" s="283"/>
      <c r="Y3170" s="283"/>
      <c r="Z3170" s="283"/>
      <c r="AA3170" s="283"/>
      <c r="AB3170" s="283"/>
      <c r="AC3170" s="283"/>
      <c r="AD3170" s="283"/>
      <c r="AE3170" s="49">
        <v>0.875</v>
      </c>
      <c r="AF3170" s="64"/>
      <c r="AG3170" s="283"/>
      <c r="AH3170" s="259">
        <v>1.5</v>
      </c>
      <c r="AI3170" s="259">
        <v>1.6</v>
      </c>
      <c r="AJ3170" s="259">
        <v>1.7</v>
      </c>
      <c r="AK3170" s="260">
        <v>1.8</v>
      </c>
      <c r="AL3170" s="260">
        <v>1.9</v>
      </c>
      <c r="AM3170" s="259">
        <v>3.7</v>
      </c>
      <c r="AN3170" s="265" t="s">
        <v>5829</v>
      </c>
      <c r="AO3170" s="18" t="s">
        <v>5830</v>
      </c>
      <c r="AP3170" s="265" t="s">
        <v>280</v>
      </c>
    </row>
    <row r="3171" spans="1:42" customFormat="1" x14ac:dyDescent="0.3">
      <c r="A3171" s="18" t="s">
        <v>1463</v>
      </c>
      <c r="B3171" s="18" t="s">
        <v>5664</v>
      </c>
      <c r="C3171" s="18" t="s">
        <v>1464</v>
      </c>
      <c r="D3171" s="18" t="s">
        <v>5666</v>
      </c>
      <c r="E3171" s="18" t="s">
        <v>5667</v>
      </c>
      <c r="F3171" s="18" t="s">
        <v>5668</v>
      </c>
      <c r="G3171" s="18" t="s">
        <v>5822</v>
      </c>
      <c r="H3171" s="157" t="s">
        <v>5823</v>
      </c>
      <c r="I3171" s="18"/>
      <c r="J3171" s="18"/>
      <c r="K3171" s="18" t="s">
        <v>5841</v>
      </c>
      <c r="L3171" s="18" t="s">
        <v>5842</v>
      </c>
      <c r="M3171" s="18" t="s">
        <v>5843</v>
      </c>
      <c r="N3171" s="18">
        <v>0</v>
      </c>
      <c r="O3171" s="18">
        <v>2</v>
      </c>
      <c r="P3171" s="16">
        <v>2</v>
      </c>
      <c r="Q3171" s="16">
        <v>2</v>
      </c>
      <c r="R3171" s="16"/>
      <c r="S3171" s="16"/>
      <c r="T3171" s="18" t="s">
        <v>2234</v>
      </c>
      <c r="U3171" t="s">
        <v>2236</v>
      </c>
      <c r="V3171" s="18" t="s">
        <v>5844</v>
      </c>
      <c r="W3171" s="283"/>
      <c r="X3171" s="283"/>
      <c r="Y3171" s="283"/>
      <c r="Z3171" s="283"/>
      <c r="AA3171" s="283"/>
      <c r="AB3171" s="283"/>
      <c r="AC3171" s="283"/>
      <c r="AD3171" s="283"/>
      <c r="AE3171" s="49">
        <v>0.625</v>
      </c>
      <c r="AF3171" s="64"/>
      <c r="AG3171" s="283"/>
      <c r="AH3171" s="259">
        <v>0.5</v>
      </c>
      <c r="AI3171" s="259">
        <v>0.5</v>
      </c>
      <c r="AJ3171" s="259">
        <v>0.5</v>
      </c>
      <c r="AK3171" s="260">
        <v>0.5</v>
      </c>
      <c r="AL3171" s="260">
        <v>0.5</v>
      </c>
      <c r="AM3171" s="259">
        <v>1</v>
      </c>
      <c r="AN3171" s="18" t="s">
        <v>2172</v>
      </c>
      <c r="AO3171" s="18" t="s">
        <v>2236</v>
      </c>
      <c r="AP3171" s="18" t="s">
        <v>5676</v>
      </c>
    </row>
    <row r="3172" spans="1:42" customFormat="1" x14ac:dyDescent="0.3">
      <c r="A3172" s="18" t="s">
        <v>1463</v>
      </c>
      <c r="B3172" s="18" t="s">
        <v>5664</v>
      </c>
      <c r="C3172" s="18" t="s">
        <v>1464</v>
      </c>
      <c r="D3172" s="18" t="s">
        <v>5666</v>
      </c>
      <c r="E3172" s="18" t="s">
        <v>5667</v>
      </c>
      <c r="F3172" s="18" t="s">
        <v>5668</v>
      </c>
      <c r="G3172" s="18" t="s">
        <v>5822</v>
      </c>
      <c r="H3172" s="157" t="s">
        <v>5823</v>
      </c>
      <c r="I3172" s="18"/>
      <c r="J3172" s="18"/>
      <c r="K3172" s="18" t="s">
        <v>5841</v>
      </c>
      <c r="L3172" s="18" t="s">
        <v>5842</v>
      </c>
      <c r="M3172" s="18" t="s">
        <v>5845</v>
      </c>
      <c r="N3172" s="18">
        <v>0</v>
      </c>
      <c r="O3172" s="18">
        <v>2</v>
      </c>
      <c r="P3172" s="16">
        <v>1</v>
      </c>
      <c r="Q3172" s="16"/>
      <c r="R3172" s="16"/>
      <c r="S3172" s="16"/>
      <c r="T3172" s="18" t="s">
        <v>2234</v>
      </c>
      <c r="U3172" t="s">
        <v>2236</v>
      </c>
      <c r="V3172" s="18" t="s">
        <v>5846</v>
      </c>
      <c r="W3172" s="283"/>
      <c r="X3172" s="283"/>
      <c r="Y3172" s="283"/>
      <c r="Z3172" s="283"/>
      <c r="AA3172" s="283"/>
      <c r="AB3172" s="283"/>
      <c r="AC3172" s="283"/>
      <c r="AD3172" s="283"/>
      <c r="AE3172" s="49">
        <v>0.625</v>
      </c>
      <c r="AF3172" s="64"/>
      <c r="AG3172" s="283"/>
      <c r="AH3172" s="259">
        <v>0.4</v>
      </c>
      <c r="AI3172" s="259">
        <v>0.2</v>
      </c>
      <c r="AJ3172" s="259"/>
      <c r="AK3172" s="260">
        <v>0.2</v>
      </c>
      <c r="AL3172" s="260"/>
      <c r="AM3172" s="259">
        <v>0</v>
      </c>
      <c r="AN3172" s="18" t="s">
        <v>2172</v>
      </c>
      <c r="AO3172" s="18" t="s">
        <v>2236</v>
      </c>
      <c r="AP3172" s="18" t="s">
        <v>119</v>
      </c>
    </row>
    <row r="3173" spans="1:42" customFormat="1" x14ac:dyDescent="0.3">
      <c r="A3173" s="18" t="s">
        <v>1463</v>
      </c>
      <c r="B3173" s="18" t="s">
        <v>5664</v>
      </c>
      <c r="C3173" s="18" t="s">
        <v>1464</v>
      </c>
      <c r="D3173" s="18" t="s">
        <v>5666</v>
      </c>
      <c r="E3173" s="18" t="s">
        <v>5667</v>
      </c>
      <c r="F3173" s="18" t="s">
        <v>5668</v>
      </c>
      <c r="G3173" s="18" t="s">
        <v>5822</v>
      </c>
      <c r="H3173" s="157" t="s">
        <v>5823</v>
      </c>
      <c r="I3173" s="18"/>
      <c r="J3173" s="18"/>
      <c r="K3173" s="18" t="s">
        <v>5847</v>
      </c>
      <c r="L3173" s="18" t="s">
        <v>5848</v>
      </c>
      <c r="M3173" s="18" t="s">
        <v>5849</v>
      </c>
      <c r="N3173" s="18">
        <v>45</v>
      </c>
      <c r="O3173" s="18">
        <v>60</v>
      </c>
      <c r="P3173" s="16">
        <v>60</v>
      </c>
      <c r="Q3173" s="16">
        <v>60</v>
      </c>
      <c r="R3173" s="16">
        <v>60</v>
      </c>
      <c r="S3173" s="16">
        <v>60</v>
      </c>
      <c r="T3173" s="18" t="s">
        <v>2234</v>
      </c>
      <c r="U3173" t="s">
        <v>2236</v>
      </c>
      <c r="V3173" s="18" t="s">
        <v>5850</v>
      </c>
      <c r="W3173" s="283"/>
      <c r="X3173" s="283"/>
      <c r="Y3173" s="283"/>
      <c r="Z3173" s="283"/>
      <c r="AA3173" s="283"/>
      <c r="AB3173" s="283"/>
      <c r="AC3173" s="283"/>
      <c r="AD3173" s="283"/>
      <c r="AE3173" s="49">
        <v>0.625</v>
      </c>
      <c r="AF3173" s="64"/>
      <c r="AG3173" s="283"/>
      <c r="AH3173" s="259">
        <v>0.19</v>
      </c>
      <c r="AI3173" s="259">
        <v>0.19</v>
      </c>
      <c r="AJ3173" s="259">
        <v>0.19</v>
      </c>
      <c r="AK3173" s="260">
        <v>0.2</v>
      </c>
      <c r="AL3173" s="260">
        <v>0.19</v>
      </c>
      <c r="AM3173" s="259">
        <v>0.38</v>
      </c>
      <c r="AN3173" s="18" t="s">
        <v>2172</v>
      </c>
      <c r="AO3173" s="18" t="s">
        <v>2236</v>
      </c>
      <c r="AP3173" s="18" t="s">
        <v>119</v>
      </c>
    </row>
    <row r="3174" spans="1:42" customFormat="1" x14ac:dyDescent="0.3">
      <c r="A3174" s="18" t="s">
        <v>1463</v>
      </c>
      <c r="B3174" s="18" t="s">
        <v>5664</v>
      </c>
      <c r="C3174" s="18" t="s">
        <v>1464</v>
      </c>
      <c r="D3174" s="18" t="s">
        <v>5666</v>
      </c>
      <c r="E3174" s="18" t="s">
        <v>5667</v>
      </c>
      <c r="F3174" s="18" t="s">
        <v>5668</v>
      </c>
      <c r="G3174" s="18" t="s">
        <v>5822</v>
      </c>
      <c r="H3174" s="157" t="s">
        <v>5823</v>
      </c>
      <c r="I3174" s="18"/>
      <c r="J3174" s="18"/>
      <c r="K3174" s="18" t="s">
        <v>5851</v>
      </c>
      <c r="L3174" s="18" t="s">
        <v>5852</v>
      </c>
      <c r="M3174" s="18" t="s">
        <v>5853</v>
      </c>
      <c r="N3174" s="18">
        <v>0</v>
      </c>
      <c r="O3174" s="18">
        <v>170</v>
      </c>
      <c r="P3174" s="16">
        <v>190</v>
      </c>
      <c r="Q3174" s="16">
        <v>190</v>
      </c>
      <c r="R3174" s="16">
        <v>170</v>
      </c>
      <c r="S3174" s="16">
        <v>170</v>
      </c>
      <c r="T3174" s="18" t="s">
        <v>2234</v>
      </c>
      <c r="U3174" t="s">
        <v>2236</v>
      </c>
      <c r="V3174" s="18" t="s">
        <v>5854</v>
      </c>
      <c r="W3174" s="283"/>
      <c r="X3174" s="283"/>
      <c r="Y3174" s="283"/>
      <c r="Z3174" s="283"/>
      <c r="AA3174" s="283"/>
      <c r="AB3174" s="283"/>
      <c r="AC3174" s="283"/>
      <c r="AD3174" s="283"/>
      <c r="AE3174" s="49">
        <v>0.625</v>
      </c>
      <c r="AF3174" s="64"/>
      <c r="AG3174" s="283"/>
      <c r="AH3174" s="259">
        <v>0.2</v>
      </c>
      <c r="AI3174" s="259">
        <v>0.5</v>
      </c>
      <c r="AJ3174" s="259">
        <v>0.5</v>
      </c>
      <c r="AK3174" s="260">
        <v>0.5</v>
      </c>
      <c r="AL3174" s="260">
        <v>0.5</v>
      </c>
      <c r="AM3174" s="259">
        <v>1</v>
      </c>
      <c r="AN3174" s="18" t="s">
        <v>2234</v>
      </c>
      <c r="AO3174" s="18" t="s">
        <v>2236</v>
      </c>
      <c r="AP3174" s="18"/>
    </row>
    <row r="3175" spans="1:42" customFormat="1" x14ac:dyDescent="0.3">
      <c r="A3175" s="18" t="s">
        <v>1463</v>
      </c>
      <c r="B3175" s="18" t="s">
        <v>5664</v>
      </c>
      <c r="C3175" s="18" t="s">
        <v>1464</v>
      </c>
      <c r="D3175" s="18" t="s">
        <v>5666</v>
      </c>
      <c r="E3175" s="18" t="s">
        <v>5667</v>
      </c>
      <c r="F3175" s="18" t="s">
        <v>5668</v>
      </c>
      <c r="G3175" s="18" t="s">
        <v>5822</v>
      </c>
      <c r="H3175" s="157" t="s">
        <v>5823</v>
      </c>
      <c r="I3175" s="18"/>
      <c r="J3175" s="18"/>
      <c r="K3175" s="18" t="s">
        <v>5855</v>
      </c>
      <c r="L3175" s="18" t="s">
        <v>5856</v>
      </c>
      <c r="M3175" s="18" t="s">
        <v>5857</v>
      </c>
      <c r="N3175" s="18">
        <v>49</v>
      </c>
      <c r="O3175" s="18" t="s">
        <v>271</v>
      </c>
      <c r="P3175" s="16">
        <v>145</v>
      </c>
      <c r="Q3175" s="16">
        <v>145</v>
      </c>
      <c r="R3175" s="16">
        <v>145</v>
      </c>
      <c r="S3175" s="16">
        <v>145</v>
      </c>
      <c r="T3175" s="18" t="s">
        <v>5676</v>
      </c>
      <c r="U3175" t="s">
        <v>5735</v>
      </c>
      <c r="V3175" s="18" t="s">
        <v>5858</v>
      </c>
      <c r="W3175" s="283"/>
      <c r="X3175" s="283"/>
      <c r="Y3175" s="283"/>
      <c r="Z3175" s="283"/>
      <c r="AA3175" s="283"/>
      <c r="AB3175" s="283"/>
      <c r="AC3175" s="283"/>
      <c r="AD3175" s="283"/>
      <c r="AE3175" s="49">
        <v>0.75</v>
      </c>
      <c r="AF3175" s="64"/>
      <c r="AG3175" s="283"/>
      <c r="AH3175" s="259">
        <v>0.2</v>
      </c>
      <c r="AI3175" s="259">
        <v>0.2</v>
      </c>
      <c r="AJ3175" s="259">
        <v>0.2</v>
      </c>
      <c r="AK3175" s="260">
        <v>0.2</v>
      </c>
      <c r="AL3175" s="260">
        <v>0.2</v>
      </c>
      <c r="AM3175" s="259">
        <v>0.4</v>
      </c>
      <c r="AN3175" s="18" t="s">
        <v>5676</v>
      </c>
      <c r="AO3175" s="18" t="s">
        <v>5735</v>
      </c>
      <c r="AP3175" s="18"/>
    </row>
    <row r="3176" spans="1:42" customFormat="1" x14ac:dyDescent="0.3">
      <c r="A3176" s="18" t="s">
        <v>1463</v>
      </c>
      <c r="B3176" s="18" t="s">
        <v>5664</v>
      </c>
      <c r="C3176" s="18" t="s">
        <v>1464</v>
      </c>
      <c r="D3176" s="18" t="s">
        <v>5666</v>
      </c>
      <c r="E3176" s="18" t="s">
        <v>5667</v>
      </c>
      <c r="F3176" s="18" t="s">
        <v>5668</v>
      </c>
      <c r="G3176" s="18" t="s">
        <v>5822</v>
      </c>
      <c r="H3176" s="157" t="s">
        <v>5823</v>
      </c>
      <c r="I3176" s="18"/>
      <c r="J3176" s="18"/>
      <c r="K3176" s="18" t="s">
        <v>5855</v>
      </c>
      <c r="L3176" s="18" t="s">
        <v>5856</v>
      </c>
      <c r="M3176" s="18" t="s">
        <v>5859</v>
      </c>
      <c r="N3176" s="18"/>
      <c r="O3176" s="18"/>
      <c r="P3176" s="16">
        <v>145</v>
      </c>
      <c r="Q3176" s="16">
        <v>145</v>
      </c>
      <c r="R3176" s="16">
        <v>145</v>
      </c>
      <c r="S3176" s="16">
        <v>145</v>
      </c>
      <c r="T3176" s="18" t="s">
        <v>5676</v>
      </c>
      <c r="U3176" t="s">
        <v>5735</v>
      </c>
      <c r="V3176" s="18" t="s">
        <v>5860</v>
      </c>
      <c r="W3176" s="283"/>
      <c r="X3176" s="283"/>
      <c r="Y3176" s="283"/>
      <c r="Z3176" s="283"/>
      <c r="AA3176" s="283"/>
      <c r="AB3176" s="283"/>
      <c r="AC3176" s="283"/>
      <c r="AD3176" s="283"/>
      <c r="AE3176" s="49">
        <v>0.75</v>
      </c>
      <c r="AF3176" s="64"/>
      <c r="AG3176" s="283"/>
      <c r="AH3176" s="259">
        <v>1.2</v>
      </c>
      <c r="AI3176" s="259">
        <v>1.2</v>
      </c>
      <c r="AJ3176" s="259">
        <v>1.2</v>
      </c>
      <c r="AK3176" s="260">
        <v>1.2</v>
      </c>
      <c r="AL3176" s="260">
        <v>1.2</v>
      </c>
      <c r="AM3176" s="259">
        <v>2.4</v>
      </c>
      <c r="AN3176" s="18" t="s">
        <v>5676</v>
      </c>
      <c r="AO3176" s="18" t="s">
        <v>5735</v>
      </c>
      <c r="AP3176" s="18"/>
    </row>
    <row r="3177" spans="1:42" customFormat="1" x14ac:dyDescent="0.3">
      <c r="A3177" s="18" t="s">
        <v>1463</v>
      </c>
      <c r="B3177" s="18" t="s">
        <v>5664</v>
      </c>
      <c r="C3177" s="18" t="s">
        <v>1464</v>
      </c>
      <c r="D3177" s="18" t="s">
        <v>5666</v>
      </c>
      <c r="E3177" s="18" t="s">
        <v>5667</v>
      </c>
      <c r="F3177" s="18" t="s">
        <v>5668</v>
      </c>
      <c r="G3177" s="18" t="s">
        <v>5822</v>
      </c>
      <c r="H3177" s="157" t="s">
        <v>5823</v>
      </c>
      <c r="I3177" s="18"/>
      <c r="J3177" s="18"/>
      <c r="K3177" s="18" t="s">
        <v>5861</v>
      </c>
      <c r="L3177" s="18" t="s">
        <v>5862</v>
      </c>
      <c r="M3177" s="18" t="s">
        <v>5863</v>
      </c>
      <c r="N3177" s="18">
        <v>88</v>
      </c>
      <c r="O3177" s="18">
        <v>100</v>
      </c>
      <c r="P3177" s="16">
        <v>100</v>
      </c>
      <c r="Q3177" s="16">
        <v>100</v>
      </c>
      <c r="R3177" s="16">
        <v>100</v>
      </c>
      <c r="S3177" s="16">
        <v>100</v>
      </c>
      <c r="T3177" s="18" t="s">
        <v>5676</v>
      </c>
      <c r="U3177" t="s">
        <v>5735</v>
      </c>
      <c r="V3177" s="18" t="s">
        <v>5864</v>
      </c>
      <c r="W3177" s="283"/>
      <c r="X3177" s="283"/>
      <c r="Y3177" s="283"/>
      <c r="Z3177" s="283"/>
      <c r="AA3177" s="283"/>
      <c r="AB3177" s="283"/>
      <c r="AC3177" s="283"/>
      <c r="AD3177" s="283"/>
      <c r="AE3177" s="49">
        <v>1</v>
      </c>
      <c r="AF3177" s="64"/>
      <c r="AG3177" s="283"/>
      <c r="AH3177" s="259">
        <v>0.01</v>
      </c>
      <c r="AI3177" s="259">
        <v>0.01</v>
      </c>
      <c r="AJ3177" s="259">
        <v>0.01</v>
      </c>
      <c r="AK3177" s="260">
        <v>0.01</v>
      </c>
      <c r="AL3177" s="260">
        <v>0.01</v>
      </c>
      <c r="AM3177" s="259">
        <v>0.02</v>
      </c>
      <c r="AN3177" s="18" t="s">
        <v>5676</v>
      </c>
      <c r="AO3177" s="18" t="s">
        <v>5735</v>
      </c>
      <c r="AP3177" s="18" t="s">
        <v>119</v>
      </c>
    </row>
    <row r="3178" spans="1:42" customFormat="1" x14ac:dyDescent="0.3">
      <c r="A3178" s="18" t="s">
        <v>1463</v>
      </c>
      <c r="B3178" s="18" t="s">
        <v>5664</v>
      </c>
      <c r="C3178" s="18" t="s">
        <v>1464</v>
      </c>
      <c r="D3178" s="18" t="s">
        <v>5666</v>
      </c>
      <c r="E3178" s="18" t="s">
        <v>5667</v>
      </c>
      <c r="F3178" s="18" t="s">
        <v>5668</v>
      </c>
      <c r="G3178" s="18" t="s">
        <v>5822</v>
      </c>
      <c r="H3178" s="157" t="s">
        <v>5823</v>
      </c>
      <c r="I3178" s="18"/>
      <c r="J3178" s="18"/>
      <c r="K3178" s="18" t="s">
        <v>5865</v>
      </c>
      <c r="L3178" s="18" t="s">
        <v>5866</v>
      </c>
      <c r="M3178" s="18" t="s">
        <v>5867</v>
      </c>
      <c r="N3178" s="18">
        <v>0</v>
      </c>
      <c r="O3178" s="18">
        <v>1</v>
      </c>
      <c r="P3178" s="16">
        <v>2</v>
      </c>
      <c r="Q3178" s="16">
        <v>2</v>
      </c>
      <c r="R3178" s="16">
        <v>2</v>
      </c>
      <c r="S3178" s="16">
        <v>2</v>
      </c>
      <c r="T3178" s="18" t="s">
        <v>5676</v>
      </c>
      <c r="U3178" t="s">
        <v>5735</v>
      </c>
      <c r="V3178" s="18" t="s">
        <v>5868</v>
      </c>
      <c r="W3178" s="283"/>
      <c r="X3178" s="283"/>
      <c r="Y3178" s="283"/>
      <c r="Z3178" s="283"/>
      <c r="AA3178" s="283"/>
      <c r="AB3178" s="283"/>
      <c r="AC3178" s="283"/>
      <c r="AD3178" s="283"/>
      <c r="AE3178" s="49">
        <v>0.75</v>
      </c>
      <c r="AF3178" s="64"/>
      <c r="AG3178" s="283"/>
      <c r="AH3178" s="259">
        <v>0.4</v>
      </c>
      <c r="AI3178" s="259">
        <v>0.2</v>
      </c>
      <c r="AJ3178" s="259">
        <v>0.2</v>
      </c>
      <c r="AK3178" s="260">
        <v>0.2</v>
      </c>
      <c r="AL3178" s="260">
        <v>0.2</v>
      </c>
      <c r="AM3178" s="259">
        <v>0.4</v>
      </c>
      <c r="AN3178" s="18" t="s">
        <v>5676</v>
      </c>
      <c r="AO3178" s="18" t="s">
        <v>5735</v>
      </c>
      <c r="AP3178" s="18"/>
    </row>
    <row r="3179" spans="1:42" customFormat="1" x14ac:dyDescent="0.3">
      <c r="A3179" s="18" t="s">
        <v>1463</v>
      </c>
      <c r="B3179" s="18" t="s">
        <v>5664</v>
      </c>
      <c r="C3179" s="18" t="s">
        <v>1464</v>
      </c>
      <c r="D3179" s="18" t="s">
        <v>5666</v>
      </c>
      <c r="E3179" s="18" t="s">
        <v>5667</v>
      </c>
      <c r="F3179" s="18" t="s">
        <v>5668</v>
      </c>
      <c r="G3179" s="18" t="s">
        <v>5822</v>
      </c>
      <c r="H3179" s="157" t="s">
        <v>5823</v>
      </c>
      <c r="I3179" s="18"/>
      <c r="J3179" s="18"/>
      <c r="K3179" s="18">
        <v>14110410</v>
      </c>
      <c r="L3179" s="18" t="s">
        <v>5869</v>
      </c>
      <c r="M3179" s="18" t="s">
        <v>5870</v>
      </c>
      <c r="N3179" s="18">
        <v>88</v>
      </c>
      <c r="O3179" s="18">
        <v>90</v>
      </c>
      <c r="P3179" s="16">
        <v>92</v>
      </c>
      <c r="Q3179" s="16">
        <v>95</v>
      </c>
      <c r="R3179" s="16">
        <v>95</v>
      </c>
      <c r="S3179" s="16">
        <v>95</v>
      </c>
      <c r="T3179" s="18" t="s">
        <v>5676</v>
      </c>
      <c r="U3179" t="s">
        <v>5735</v>
      </c>
      <c r="V3179" s="18" t="s">
        <v>5871</v>
      </c>
      <c r="W3179" s="283"/>
      <c r="X3179" s="283"/>
      <c r="Y3179" s="283"/>
      <c r="Z3179" s="283"/>
      <c r="AA3179" s="283"/>
      <c r="AB3179" s="283"/>
      <c r="AC3179" s="283"/>
      <c r="AD3179" s="283"/>
      <c r="AE3179" s="49">
        <v>0.625</v>
      </c>
      <c r="AF3179" s="64"/>
      <c r="AG3179" s="283"/>
      <c r="AH3179" s="259">
        <v>0.1</v>
      </c>
      <c r="AI3179" s="259">
        <v>0.1</v>
      </c>
      <c r="AJ3179" s="259">
        <v>0.1</v>
      </c>
      <c r="AK3179" s="260">
        <v>0.1</v>
      </c>
      <c r="AL3179" s="260">
        <v>0.1</v>
      </c>
      <c r="AM3179" s="259">
        <v>0.2</v>
      </c>
      <c r="AN3179" s="18" t="s">
        <v>5676</v>
      </c>
      <c r="AO3179" s="18" t="s">
        <v>5735</v>
      </c>
      <c r="AP3179" s="18"/>
    </row>
    <row r="3180" spans="1:42" customFormat="1" x14ac:dyDescent="0.3">
      <c r="A3180" s="18" t="s">
        <v>1463</v>
      </c>
      <c r="B3180" s="18" t="s">
        <v>5664</v>
      </c>
      <c r="C3180" s="18" t="s">
        <v>1465</v>
      </c>
      <c r="D3180" s="18" t="s">
        <v>5872</v>
      </c>
      <c r="E3180" s="18" t="s">
        <v>5873</v>
      </c>
      <c r="F3180" s="18" t="s">
        <v>5874</v>
      </c>
      <c r="G3180" s="18">
        <v>142201</v>
      </c>
      <c r="H3180" s="157" t="s">
        <v>5875</v>
      </c>
      <c r="I3180" s="18" t="s">
        <v>5876</v>
      </c>
      <c r="J3180" s="18" t="s">
        <v>5877</v>
      </c>
      <c r="K3180" s="18" t="s">
        <v>5878</v>
      </c>
      <c r="L3180" s="18" t="s">
        <v>5879</v>
      </c>
      <c r="M3180" s="18" t="s">
        <v>5880</v>
      </c>
      <c r="N3180" s="18">
        <v>0</v>
      </c>
      <c r="O3180" s="18">
        <v>25</v>
      </c>
      <c r="P3180" s="16">
        <v>35</v>
      </c>
      <c r="Q3180" s="16">
        <v>40</v>
      </c>
      <c r="R3180" s="16" t="s">
        <v>271</v>
      </c>
      <c r="S3180" s="16" t="s">
        <v>271</v>
      </c>
      <c r="T3180" s="18" t="s">
        <v>5881</v>
      </c>
      <c r="U3180" t="e">
        <v>#N/A</v>
      </c>
      <c r="V3180" s="18" t="s">
        <v>5882</v>
      </c>
      <c r="W3180" s="283"/>
      <c r="X3180" s="283"/>
      <c r="Y3180" s="283"/>
      <c r="Z3180" s="283"/>
      <c r="AA3180" s="283"/>
      <c r="AB3180" s="283"/>
      <c r="AC3180" s="283"/>
      <c r="AD3180" s="283"/>
      <c r="AE3180" s="49">
        <v>1</v>
      </c>
      <c r="AF3180" s="64"/>
      <c r="AG3180" s="283"/>
      <c r="AH3180" s="259">
        <v>3</v>
      </c>
      <c r="AI3180" s="259">
        <v>4.2</v>
      </c>
      <c r="AJ3180" s="259">
        <v>4.8</v>
      </c>
      <c r="AK3180" s="260">
        <v>0</v>
      </c>
      <c r="AL3180" s="260">
        <v>0</v>
      </c>
      <c r="AM3180" s="259">
        <v>0</v>
      </c>
      <c r="AN3180" s="18" t="s">
        <v>2172</v>
      </c>
      <c r="AO3180" s="18" t="s">
        <v>2236</v>
      </c>
      <c r="AP3180" s="18" t="s">
        <v>5883</v>
      </c>
    </row>
    <row r="3181" spans="1:42" customFormat="1" x14ac:dyDescent="0.3">
      <c r="A3181" s="18" t="s">
        <v>1463</v>
      </c>
      <c r="B3181" s="18" t="s">
        <v>5664</v>
      </c>
      <c r="C3181" s="18" t="s">
        <v>1465</v>
      </c>
      <c r="D3181" s="18" t="s">
        <v>5872</v>
      </c>
      <c r="E3181" s="18" t="s">
        <v>5873</v>
      </c>
      <c r="F3181" s="18" t="s">
        <v>5874</v>
      </c>
      <c r="G3181" s="18">
        <v>142201</v>
      </c>
      <c r="H3181" s="157" t="s">
        <v>5875</v>
      </c>
      <c r="I3181" s="18" t="s">
        <v>5884</v>
      </c>
      <c r="J3181" s="18" t="s">
        <v>5885</v>
      </c>
      <c r="K3181" s="18" t="s">
        <v>5886</v>
      </c>
      <c r="L3181" s="18" t="s">
        <v>5887</v>
      </c>
      <c r="M3181" s="18" t="s">
        <v>5888</v>
      </c>
      <c r="N3181" s="18"/>
      <c r="O3181" s="18">
        <v>25</v>
      </c>
      <c r="P3181" s="16">
        <v>50</v>
      </c>
      <c r="Q3181" s="16">
        <v>65</v>
      </c>
      <c r="R3181" s="16">
        <v>75</v>
      </c>
      <c r="S3181" s="16">
        <v>100</v>
      </c>
      <c r="T3181" s="18" t="s">
        <v>5881</v>
      </c>
      <c r="U3181" t="e">
        <v>#N/A</v>
      </c>
      <c r="V3181" s="223" t="s">
        <v>5889</v>
      </c>
      <c r="W3181" s="283"/>
      <c r="X3181" s="283"/>
      <c r="Y3181" s="283"/>
      <c r="Z3181" s="283"/>
      <c r="AA3181" s="283"/>
      <c r="AB3181" s="283"/>
      <c r="AC3181" s="283"/>
      <c r="AD3181" s="283"/>
      <c r="AE3181" s="49">
        <v>1</v>
      </c>
      <c r="AF3181" s="64"/>
      <c r="AG3181" s="283"/>
      <c r="AH3181" s="259">
        <v>6</v>
      </c>
      <c r="AI3181" s="259">
        <v>6</v>
      </c>
      <c r="AJ3181" s="259">
        <v>1.5</v>
      </c>
      <c r="AK3181" s="260">
        <v>2</v>
      </c>
      <c r="AL3181" s="260">
        <v>2.4</v>
      </c>
      <c r="AM3181" s="259">
        <v>6</v>
      </c>
      <c r="AN3181" s="18" t="s">
        <v>2234</v>
      </c>
      <c r="AO3181" s="18" t="s">
        <v>2236</v>
      </c>
      <c r="AP3181" s="18"/>
    </row>
    <row r="3182" spans="1:42" customFormat="1" x14ac:dyDescent="0.3">
      <c r="A3182" s="18" t="s">
        <v>1463</v>
      </c>
      <c r="B3182" s="18" t="s">
        <v>5664</v>
      </c>
      <c r="C3182" s="18" t="s">
        <v>1465</v>
      </c>
      <c r="D3182" s="18" t="s">
        <v>5872</v>
      </c>
      <c r="E3182" s="18" t="s">
        <v>5873</v>
      </c>
      <c r="F3182" s="18" t="s">
        <v>5874</v>
      </c>
      <c r="G3182" s="18">
        <v>142201</v>
      </c>
      <c r="H3182" s="157" t="s">
        <v>5875</v>
      </c>
      <c r="I3182" s="18" t="s">
        <v>5884</v>
      </c>
      <c r="J3182" s="18" t="s">
        <v>5885</v>
      </c>
      <c r="K3182" s="18" t="s">
        <v>5886</v>
      </c>
      <c r="L3182" s="18" t="s">
        <v>5887</v>
      </c>
      <c r="M3182" s="18" t="s">
        <v>5890</v>
      </c>
      <c r="N3182" s="18"/>
      <c r="O3182" s="18"/>
      <c r="P3182" s="16">
        <v>21</v>
      </c>
      <c r="Q3182" s="16">
        <v>21</v>
      </c>
      <c r="R3182" s="16"/>
      <c r="S3182" s="16"/>
      <c r="T3182" s="18" t="s">
        <v>5881</v>
      </c>
      <c r="U3182" t="e">
        <v>#N/A</v>
      </c>
      <c r="V3182" s="266" t="s">
        <v>5891</v>
      </c>
      <c r="W3182" s="283"/>
      <c r="X3182" s="283"/>
      <c r="Y3182" s="283"/>
      <c r="Z3182" s="283"/>
      <c r="AA3182" s="283"/>
      <c r="AB3182" s="283"/>
      <c r="AC3182" s="283"/>
      <c r="AD3182" s="283"/>
      <c r="AE3182" s="49">
        <v>1</v>
      </c>
      <c r="AF3182" s="64"/>
      <c r="AG3182" s="283"/>
      <c r="AH3182" s="259"/>
      <c r="AI3182" s="259"/>
      <c r="AJ3182" s="259"/>
      <c r="AK3182" s="260">
        <v>4.5999999999999996</v>
      </c>
      <c r="AL3182" s="260"/>
      <c r="AM3182" s="259">
        <v>0</v>
      </c>
      <c r="AN3182" s="18" t="s">
        <v>2234</v>
      </c>
      <c r="AO3182" s="18" t="s">
        <v>2236</v>
      </c>
      <c r="AP3182" s="18"/>
    </row>
    <row r="3183" spans="1:42" customFormat="1" x14ac:dyDescent="0.3">
      <c r="A3183" s="18" t="s">
        <v>1463</v>
      </c>
      <c r="B3183" s="18" t="s">
        <v>5664</v>
      </c>
      <c r="C3183" s="18" t="s">
        <v>1465</v>
      </c>
      <c r="D3183" s="18" t="s">
        <v>5872</v>
      </c>
      <c r="E3183" s="18" t="s">
        <v>5873</v>
      </c>
      <c r="F3183" s="18" t="s">
        <v>5874</v>
      </c>
      <c r="G3183" s="18">
        <v>142201</v>
      </c>
      <c r="H3183" s="157" t="s">
        <v>5875</v>
      </c>
      <c r="I3183" s="18" t="s">
        <v>5884</v>
      </c>
      <c r="J3183" s="18" t="s">
        <v>5885</v>
      </c>
      <c r="K3183" s="18" t="s">
        <v>5886</v>
      </c>
      <c r="L3183" s="18" t="s">
        <v>5887</v>
      </c>
      <c r="M3183" s="18" t="s">
        <v>5892</v>
      </c>
      <c r="N3183" s="18"/>
      <c r="O3183" s="18">
        <v>26</v>
      </c>
      <c r="P3183" s="16">
        <v>26</v>
      </c>
      <c r="Q3183" s="16"/>
      <c r="R3183" s="16"/>
      <c r="S3183" s="16"/>
      <c r="T3183" s="18" t="s">
        <v>5881</v>
      </c>
      <c r="U3183" t="e">
        <v>#N/A</v>
      </c>
      <c r="V3183" s="223" t="s">
        <v>5893</v>
      </c>
      <c r="W3183" s="283"/>
      <c r="X3183" s="283"/>
      <c r="Y3183" s="283"/>
      <c r="Z3183" s="283"/>
      <c r="AA3183" s="283"/>
      <c r="AB3183" s="283"/>
      <c r="AC3183" s="283"/>
      <c r="AD3183" s="283"/>
      <c r="AE3183" s="49">
        <v>1</v>
      </c>
      <c r="AF3183" s="64"/>
      <c r="AG3183" s="283"/>
      <c r="AH3183" s="259"/>
      <c r="AI3183" s="259"/>
      <c r="AJ3183" s="259"/>
      <c r="AK3183" s="260"/>
      <c r="AL3183" s="260"/>
      <c r="AM3183" s="259">
        <v>0</v>
      </c>
      <c r="AN3183" s="18" t="s">
        <v>2234</v>
      </c>
      <c r="AO3183" s="18" t="s">
        <v>2236</v>
      </c>
      <c r="AP3183" s="18"/>
    </row>
    <row r="3184" spans="1:42" customFormat="1" x14ac:dyDescent="0.3">
      <c r="A3184" s="18" t="s">
        <v>1463</v>
      </c>
      <c r="B3184" s="18" t="s">
        <v>5664</v>
      </c>
      <c r="C3184" s="18" t="s">
        <v>1465</v>
      </c>
      <c r="D3184" s="18" t="s">
        <v>5872</v>
      </c>
      <c r="E3184" s="18" t="s">
        <v>5873</v>
      </c>
      <c r="F3184" s="18" t="s">
        <v>5874</v>
      </c>
      <c r="G3184" s="18">
        <v>142201</v>
      </c>
      <c r="H3184" s="157" t="s">
        <v>5875</v>
      </c>
      <c r="I3184" s="18" t="s">
        <v>5884</v>
      </c>
      <c r="J3184" s="18" t="s">
        <v>5885</v>
      </c>
      <c r="K3184" s="18" t="s">
        <v>5886</v>
      </c>
      <c r="L3184" s="18" t="s">
        <v>5887</v>
      </c>
      <c r="M3184" s="18" t="s">
        <v>5894</v>
      </c>
      <c r="N3184" s="18"/>
      <c r="O3184" s="18"/>
      <c r="P3184" s="16"/>
      <c r="Q3184" s="16">
        <v>20</v>
      </c>
      <c r="R3184" s="16">
        <v>20</v>
      </c>
      <c r="S3184" s="16">
        <v>19</v>
      </c>
      <c r="T3184" s="18" t="s">
        <v>5881</v>
      </c>
      <c r="U3184" t="e">
        <v>#N/A</v>
      </c>
      <c r="V3184" s="223" t="s">
        <v>5895</v>
      </c>
      <c r="W3184" s="283"/>
      <c r="X3184" s="283"/>
      <c r="Y3184" s="283"/>
      <c r="Z3184" s="283"/>
      <c r="AA3184" s="283"/>
      <c r="AB3184" s="283"/>
      <c r="AC3184" s="283"/>
      <c r="AD3184" s="283"/>
      <c r="AE3184" s="49">
        <v>1</v>
      </c>
      <c r="AF3184" s="64"/>
      <c r="AG3184" s="283"/>
      <c r="AH3184" s="259"/>
      <c r="AI3184" s="259"/>
      <c r="AJ3184" s="259"/>
      <c r="AK3184" s="260"/>
      <c r="AL3184" s="260"/>
      <c r="AM3184" s="259">
        <v>0</v>
      </c>
      <c r="AN3184" s="18" t="s">
        <v>2234</v>
      </c>
      <c r="AO3184" s="18" t="s">
        <v>2236</v>
      </c>
      <c r="AP3184" s="18"/>
    </row>
    <row r="3185" spans="1:42" customFormat="1" x14ac:dyDescent="0.3">
      <c r="A3185" s="18" t="s">
        <v>1463</v>
      </c>
      <c r="B3185" s="18" t="s">
        <v>5664</v>
      </c>
      <c r="C3185" s="18" t="s">
        <v>1465</v>
      </c>
      <c r="D3185" s="18" t="s">
        <v>5872</v>
      </c>
      <c r="E3185" s="18" t="s">
        <v>5873</v>
      </c>
      <c r="F3185" s="18" t="s">
        <v>5874</v>
      </c>
      <c r="G3185" s="18" t="s">
        <v>5896</v>
      </c>
      <c r="H3185" s="157" t="s">
        <v>5897</v>
      </c>
      <c r="I3185" s="18"/>
      <c r="J3185" s="18"/>
      <c r="K3185" s="18" t="s">
        <v>5898</v>
      </c>
      <c r="L3185" s="18" t="s">
        <v>5899</v>
      </c>
      <c r="M3185" s="18" t="s">
        <v>5900</v>
      </c>
      <c r="N3185" s="18">
        <v>26</v>
      </c>
      <c r="O3185" s="18">
        <v>134</v>
      </c>
      <c r="P3185" s="16">
        <v>134</v>
      </c>
      <c r="Q3185" s="16">
        <v>134</v>
      </c>
      <c r="R3185" s="16">
        <v>134</v>
      </c>
      <c r="S3185" s="16">
        <v>134</v>
      </c>
      <c r="T3185" s="18" t="s">
        <v>5901</v>
      </c>
      <c r="U3185" t="e">
        <v>#N/A</v>
      </c>
      <c r="V3185" s="18" t="s">
        <v>5902</v>
      </c>
      <c r="W3185" s="283"/>
      <c r="X3185" s="283"/>
      <c r="Y3185" s="283"/>
      <c r="Z3185" s="283"/>
      <c r="AA3185" s="283"/>
      <c r="AB3185" s="283"/>
      <c r="AC3185" s="283"/>
      <c r="AD3185" s="283"/>
      <c r="AE3185" s="49">
        <v>1</v>
      </c>
      <c r="AF3185" s="64"/>
      <c r="AG3185" s="283"/>
      <c r="AH3185" s="259">
        <v>0.64</v>
      </c>
      <c r="AI3185" s="259">
        <v>0.64</v>
      </c>
      <c r="AJ3185" s="259">
        <v>0.64</v>
      </c>
      <c r="AK3185" s="260">
        <v>0.64</v>
      </c>
      <c r="AL3185" s="260">
        <v>0.64</v>
      </c>
      <c r="AM3185" s="259">
        <v>1.28</v>
      </c>
      <c r="AN3185" s="18" t="s">
        <v>2172</v>
      </c>
      <c r="AO3185" s="18" t="s">
        <v>2236</v>
      </c>
      <c r="AP3185" s="18" t="s">
        <v>5883</v>
      </c>
    </row>
    <row r="3186" spans="1:42" customFormat="1" x14ac:dyDescent="0.3">
      <c r="A3186" s="18" t="s">
        <v>1463</v>
      </c>
      <c r="B3186" s="18" t="s">
        <v>5664</v>
      </c>
      <c r="C3186" s="18" t="s">
        <v>1465</v>
      </c>
      <c r="D3186" s="18" t="s">
        <v>5872</v>
      </c>
      <c r="E3186" s="18" t="s">
        <v>5873</v>
      </c>
      <c r="F3186" s="18" t="s">
        <v>5874</v>
      </c>
      <c r="G3186" s="18" t="s">
        <v>5896</v>
      </c>
      <c r="H3186" s="157" t="s">
        <v>5897</v>
      </c>
      <c r="I3186" s="18"/>
      <c r="J3186" s="18"/>
      <c r="K3186" s="18" t="s">
        <v>5898</v>
      </c>
      <c r="L3186" s="18" t="s">
        <v>5899</v>
      </c>
      <c r="M3186" s="18" t="s">
        <v>5903</v>
      </c>
      <c r="N3186" s="18">
        <v>37</v>
      </c>
      <c r="O3186" s="18">
        <v>10</v>
      </c>
      <c r="P3186" s="16">
        <v>10</v>
      </c>
      <c r="Q3186" s="16">
        <v>10</v>
      </c>
      <c r="R3186" s="16">
        <v>10</v>
      </c>
      <c r="S3186" s="16">
        <v>10</v>
      </c>
      <c r="T3186" s="18" t="s">
        <v>2172</v>
      </c>
      <c r="U3186" t="s">
        <v>2236</v>
      </c>
      <c r="V3186" s="18" t="s">
        <v>5904</v>
      </c>
      <c r="W3186" s="283"/>
      <c r="X3186" s="283"/>
      <c r="Y3186" s="283"/>
      <c r="Z3186" s="283"/>
      <c r="AA3186" s="283"/>
      <c r="AB3186" s="283"/>
      <c r="AC3186" s="283"/>
      <c r="AD3186" s="283"/>
      <c r="AE3186" s="49">
        <v>1</v>
      </c>
      <c r="AF3186" s="64"/>
      <c r="AG3186" s="283"/>
      <c r="AH3186" s="259">
        <v>1</v>
      </c>
      <c r="AI3186" s="259">
        <v>1</v>
      </c>
      <c r="AJ3186" s="259">
        <v>1</v>
      </c>
      <c r="AK3186" s="260">
        <v>1</v>
      </c>
      <c r="AL3186" s="260">
        <v>1</v>
      </c>
      <c r="AM3186" s="259">
        <v>2</v>
      </c>
      <c r="AN3186" s="18" t="s">
        <v>2234</v>
      </c>
      <c r="AO3186" s="18" t="s">
        <v>2236</v>
      </c>
      <c r="AP3186" s="18" t="s">
        <v>119</v>
      </c>
    </row>
    <row r="3187" spans="1:42" customFormat="1" x14ac:dyDescent="0.3">
      <c r="A3187" s="18" t="s">
        <v>1463</v>
      </c>
      <c r="B3187" s="18" t="s">
        <v>5664</v>
      </c>
      <c r="C3187" s="18" t="s">
        <v>1465</v>
      </c>
      <c r="D3187" s="18" t="s">
        <v>5872</v>
      </c>
      <c r="E3187" s="18" t="s">
        <v>5873</v>
      </c>
      <c r="F3187" s="18" t="s">
        <v>5874</v>
      </c>
      <c r="G3187" s="18" t="s">
        <v>5896</v>
      </c>
      <c r="H3187" s="157" t="s">
        <v>5897</v>
      </c>
      <c r="I3187" s="18"/>
      <c r="J3187" s="18"/>
      <c r="K3187" s="18" t="s">
        <v>5898</v>
      </c>
      <c r="L3187" s="18" t="s">
        <v>5899</v>
      </c>
      <c r="M3187" s="18" t="s">
        <v>5905</v>
      </c>
      <c r="N3187" s="18">
        <v>44</v>
      </c>
      <c r="O3187" s="18">
        <v>12</v>
      </c>
      <c r="P3187" s="16">
        <v>11</v>
      </c>
      <c r="Q3187" s="16">
        <v>11</v>
      </c>
      <c r="R3187" s="16">
        <v>6</v>
      </c>
      <c r="S3187" s="16">
        <v>0</v>
      </c>
      <c r="T3187" s="18" t="s">
        <v>5906</v>
      </c>
      <c r="U3187" t="e">
        <v>#N/A</v>
      </c>
      <c r="V3187" s="18" t="s">
        <v>5907</v>
      </c>
      <c r="W3187" s="283"/>
      <c r="X3187" s="283"/>
      <c r="Y3187" s="283"/>
      <c r="Z3187" s="283"/>
      <c r="AA3187" s="283"/>
      <c r="AB3187" s="283"/>
      <c r="AC3187" s="283"/>
      <c r="AD3187" s="283"/>
      <c r="AE3187" s="49">
        <v>1</v>
      </c>
      <c r="AF3187" s="64"/>
      <c r="AG3187" s="283"/>
      <c r="AH3187" s="259">
        <v>0.5</v>
      </c>
      <c r="AI3187" s="259">
        <v>0.6</v>
      </c>
      <c r="AJ3187" s="259">
        <v>0.6</v>
      </c>
      <c r="AK3187" s="260">
        <v>0.6</v>
      </c>
      <c r="AL3187" s="260">
        <v>0.6</v>
      </c>
      <c r="AM3187" s="259">
        <v>1.2</v>
      </c>
      <c r="AN3187" s="18" t="s">
        <v>2234</v>
      </c>
      <c r="AO3187" s="18" t="s">
        <v>2236</v>
      </c>
      <c r="AP3187" s="18" t="s">
        <v>119</v>
      </c>
    </row>
    <row r="3188" spans="1:42" customFormat="1" x14ac:dyDescent="0.3">
      <c r="A3188" s="18" t="s">
        <v>1463</v>
      </c>
      <c r="B3188" s="18" t="s">
        <v>5664</v>
      </c>
      <c r="C3188" s="18" t="s">
        <v>1465</v>
      </c>
      <c r="D3188" s="18" t="s">
        <v>5872</v>
      </c>
      <c r="E3188" s="18" t="s">
        <v>5873</v>
      </c>
      <c r="F3188" s="18" t="s">
        <v>5874</v>
      </c>
      <c r="G3188" s="18" t="s">
        <v>5896</v>
      </c>
      <c r="H3188" s="157" t="s">
        <v>5897</v>
      </c>
      <c r="I3188" s="18"/>
      <c r="J3188" s="18"/>
      <c r="K3188" s="18">
        <v>14220204</v>
      </c>
      <c r="L3188" s="18" t="s">
        <v>5908</v>
      </c>
      <c r="M3188" s="18" t="s">
        <v>5909</v>
      </c>
      <c r="N3188" s="18">
        <v>80</v>
      </c>
      <c r="O3188" s="18">
        <v>85</v>
      </c>
      <c r="P3188" s="16">
        <v>90</v>
      </c>
      <c r="Q3188" s="16">
        <v>100</v>
      </c>
      <c r="R3188" s="16"/>
      <c r="S3188" s="16"/>
      <c r="T3188" s="18" t="s">
        <v>2234</v>
      </c>
      <c r="U3188" t="s">
        <v>2236</v>
      </c>
      <c r="V3188" s="18" t="s">
        <v>5910</v>
      </c>
      <c r="W3188" s="283"/>
      <c r="X3188" s="283"/>
      <c r="Y3188" s="283"/>
      <c r="Z3188" s="283"/>
      <c r="AA3188" s="283"/>
      <c r="AB3188" s="283"/>
      <c r="AC3188" s="283"/>
      <c r="AD3188" s="283"/>
      <c r="AE3188" s="49">
        <v>0.875</v>
      </c>
      <c r="AF3188" s="64"/>
      <c r="AG3188" s="283"/>
      <c r="AH3188" s="259">
        <v>0.33</v>
      </c>
      <c r="AI3188" s="259">
        <v>0.33</v>
      </c>
      <c r="AJ3188" s="259">
        <v>0.33</v>
      </c>
      <c r="AK3188" s="260">
        <v>2</v>
      </c>
      <c r="AL3188" s="260"/>
      <c r="AM3188" s="259">
        <v>0</v>
      </c>
      <c r="AN3188" s="18" t="s">
        <v>2234</v>
      </c>
      <c r="AO3188" s="18" t="s">
        <v>2236</v>
      </c>
      <c r="AP3188" s="18"/>
    </row>
    <row r="3189" spans="1:42" customFormat="1" x14ac:dyDescent="0.3">
      <c r="A3189" s="18" t="s">
        <v>1463</v>
      </c>
      <c r="B3189" s="18" t="s">
        <v>5664</v>
      </c>
      <c r="C3189" s="18" t="s">
        <v>1465</v>
      </c>
      <c r="D3189" s="18" t="s">
        <v>5872</v>
      </c>
      <c r="E3189" s="18" t="s">
        <v>5873</v>
      </c>
      <c r="F3189" s="18" t="s">
        <v>5874</v>
      </c>
      <c r="G3189" s="18" t="s">
        <v>5896</v>
      </c>
      <c r="H3189" s="157" t="s">
        <v>5897</v>
      </c>
      <c r="I3189" s="18"/>
      <c r="J3189" s="18"/>
      <c r="K3189" s="18">
        <v>14220205</v>
      </c>
      <c r="L3189" s="18" t="s">
        <v>5911</v>
      </c>
      <c r="M3189" s="18" t="s">
        <v>5912</v>
      </c>
      <c r="N3189" s="18"/>
      <c r="O3189" s="18">
        <v>10</v>
      </c>
      <c r="P3189" s="16">
        <v>1</v>
      </c>
      <c r="Q3189" s="16">
        <v>4</v>
      </c>
      <c r="R3189" s="16"/>
      <c r="S3189" s="16"/>
      <c r="T3189" s="18" t="s">
        <v>2234</v>
      </c>
      <c r="U3189" t="s">
        <v>2236</v>
      </c>
      <c r="V3189" s="18" t="s">
        <v>5913</v>
      </c>
      <c r="W3189" s="283"/>
      <c r="X3189" s="283"/>
      <c r="Y3189" s="283"/>
      <c r="Z3189" s="283"/>
      <c r="AA3189" s="283"/>
      <c r="AB3189" s="283"/>
      <c r="AC3189" s="283"/>
      <c r="AD3189" s="283"/>
      <c r="AE3189" s="49">
        <v>1</v>
      </c>
      <c r="AF3189" s="64"/>
      <c r="AG3189" s="283"/>
      <c r="AH3189" s="259">
        <v>0.3</v>
      </c>
      <c r="AI3189" s="259">
        <v>0.3</v>
      </c>
      <c r="AJ3189" s="259">
        <v>0.12</v>
      </c>
      <c r="AK3189" s="260">
        <v>0.3</v>
      </c>
      <c r="AL3189" s="260"/>
      <c r="AM3189" s="259">
        <v>0</v>
      </c>
      <c r="AN3189" s="18" t="s">
        <v>2234</v>
      </c>
      <c r="AO3189" s="18" t="s">
        <v>2236</v>
      </c>
      <c r="AP3189" s="18"/>
    </row>
    <row r="3190" spans="1:42" customFormat="1" x14ac:dyDescent="0.3">
      <c r="A3190" s="18" t="s">
        <v>1463</v>
      </c>
      <c r="B3190" s="18" t="s">
        <v>5664</v>
      </c>
      <c r="C3190" s="18" t="s">
        <v>1465</v>
      </c>
      <c r="D3190" s="18" t="s">
        <v>5872</v>
      </c>
      <c r="E3190" s="18" t="s">
        <v>5873</v>
      </c>
      <c r="F3190" s="18" t="s">
        <v>5874</v>
      </c>
      <c r="G3190" s="18" t="s">
        <v>5896</v>
      </c>
      <c r="H3190" s="157" t="s">
        <v>5897</v>
      </c>
      <c r="I3190" s="18"/>
      <c r="J3190" s="18"/>
      <c r="K3190" s="18">
        <v>14220206</v>
      </c>
      <c r="L3190" s="18" t="s">
        <v>5917</v>
      </c>
      <c r="M3190" s="18" t="s">
        <v>5918</v>
      </c>
      <c r="N3190" s="18"/>
      <c r="O3190" s="18">
        <v>45</v>
      </c>
      <c r="P3190" s="16">
        <v>40</v>
      </c>
      <c r="Q3190" s="16">
        <v>40</v>
      </c>
      <c r="R3190" s="16">
        <v>43</v>
      </c>
      <c r="S3190" s="16">
        <v>37</v>
      </c>
      <c r="T3190" s="18" t="s">
        <v>2234</v>
      </c>
      <c r="U3190" t="s">
        <v>2236</v>
      </c>
      <c r="V3190" s="18" t="s">
        <v>5919</v>
      </c>
      <c r="W3190" s="283"/>
      <c r="X3190" s="283"/>
      <c r="Y3190" s="283"/>
      <c r="Z3190" s="283"/>
      <c r="AA3190" s="283"/>
      <c r="AB3190" s="283"/>
      <c r="AC3190" s="283"/>
      <c r="AD3190" s="283"/>
      <c r="AE3190" s="49">
        <v>0.625</v>
      </c>
      <c r="AF3190" s="64"/>
      <c r="AG3190" s="283"/>
      <c r="AH3190" s="259">
        <v>0.28999999999999998</v>
      </c>
      <c r="AI3190" s="259">
        <v>0.28999999999999998</v>
      </c>
      <c r="AJ3190" s="259">
        <v>0.28999999999999998</v>
      </c>
      <c r="AK3190" s="260">
        <v>0.3</v>
      </c>
      <c r="AL3190" s="260">
        <v>0.28999999999999998</v>
      </c>
      <c r="AM3190" s="259">
        <v>0.57999999999999996</v>
      </c>
      <c r="AN3190" s="18" t="s">
        <v>2234</v>
      </c>
      <c r="AO3190" s="18" t="s">
        <v>2236</v>
      </c>
      <c r="AP3190" s="18"/>
    </row>
    <row r="3191" spans="1:42" customFormat="1" x14ac:dyDescent="0.3">
      <c r="A3191" s="18" t="s">
        <v>1463</v>
      </c>
      <c r="B3191" s="18" t="s">
        <v>5664</v>
      </c>
      <c r="C3191" s="18" t="s">
        <v>1465</v>
      </c>
      <c r="D3191" s="18" t="s">
        <v>5872</v>
      </c>
      <c r="E3191" s="18" t="s">
        <v>5873</v>
      </c>
      <c r="F3191" s="18" t="s">
        <v>5874</v>
      </c>
      <c r="G3191" s="18" t="s">
        <v>5896</v>
      </c>
      <c r="H3191" s="157" t="s">
        <v>5897</v>
      </c>
      <c r="I3191" s="18"/>
      <c r="J3191" s="18"/>
      <c r="K3191" s="18">
        <v>14220207</v>
      </c>
      <c r="L3191" s="18" t="s">
        <v>5920</v>
      </c>
      <c r="M3191" s="18" t="s">
        <v>5921</v>
      </c>
      <c r="N3191" s="18"/>
      <c r="O3191" s="18"/>
      <c r="P3191" s="16"/>
      <c r="Q3191" s="16"/>
      <c r="R3191" s="16"/>
      <c r="S3191" s="16">
        <v>100</v>
      </c>
      <c r="T3191" s="18" t="s">
        <v>2234</v>
      </c>
      <c r="U3191" t="s">
        <v>2236</v>
      </c>
      <c r="V3191" s="18" t="s">
        <v>5922</v>
      </c>
      <c r="W3191" s="283"/>
      <c r="X3191" s="283"/>
      <c r="Y3191" s="283"/>
      <c r="Z3191" s="283"/>
      <c r="AA3191" s="283"/>
      <c r="AB3191" s="283"/>
      <c r="AC3191" s="283"/>
      <c r="AD3191" s="283"/>
      <c r="AE3191" s="49">
        <v>0.625</v>
      </c>
      <c r="AF3191" s="64"/>
      <c r="AG3191" s="283"/>
      <c r="AH3191" s="259"/>
      <c r="AI3191" s="259"/>
      <c r="AJ3191" s="259"/>
      <c r="AK3191" s="260">
        <v>0.4</v>
      </c>
      <c r="AL3191" s="260">
        <v>9.1999999999999993</v>
      </c>
      <c r="AM3191" s="259">
        <v>9.1999999999999993</v>
      </c>
      <c r="AN3191" s="18" t="s">
        <v>2234</v>
      </c>
      <c r="AO3191" s="18" t="s">
        <v>2236</v>
      </c>
      <c r="AP3191" s="18"/>
    </row>
    <row r="3192" spans="1:42" customFormat="1" x14ac:dyDescent="0.3">
      <c r="A3192" s="18" t="s">
        <v>1463</v>
      </c>
      <c r="B3192" s="18" t="s">
        <v>5664</v>
      </c>
      <c r="C3192" s="18" t="s">
        <v>1465</v>
      </c>
      <c r="D3192" s="18" t="s">
        <v>5872</v>
      </c>
      <c r="E3192" s="18" t="s">
        <v>5873</v>
      </c>
      <c r="F3192" s="18" t="s">
        <v>5874</v>
      </c>
      <c r="G3192" s="18" t="s">
        <v>5896</v>
      </c>
      <c r="H3192" s="157" t="s">
        <v>5897</v>
      </c>
      <c r="I3192" s="18"/>
      <c r="J3192" s="18"/>
      <c r="K3192" s="18">
        <v>14220208</v>
      </c>
      <c r="L3192" s="18" t="s">
        <v>5923</v>
      </c>
      <c r="M3192" s="18" t="s">
        <v>5924</v>
      </c>
      <c r="N3192" s="18">
        <v>400</v>
      </c>
      <c r="O3192" s="18">
        <v>400</v>
      </c>
      <c r="P3192" s="16">
        <v>500</v>
      </c>
      <c r="Q3192" s="16">
        <v>600</v>
      </c>
      <c r="R3192" s="16">
        <v>700</v>
      </c>
      <c r="S3192" s="16">
        <v>800</v>
      </c>
      <c r="T3192" s="18" t="s">
        <v>2234</v>
      </c>
      <c r="U3192" t="s">
        <v>2236</v>
      </c>
      <c r="V3192" s="18" t="s">
        <v>5925</v>
      </c>
      <c r="W3192" s="283"/>
      <c r="X3192" s="283"/>
      <c r="Y3192" s="283"/>
      <c r="Z3192" s="283"/>
      <c r="AA3192" s="283"/>
      <c r="AB3192" s="283"/>
      <c r="AC3192" s="283"/>
      <c r="AD3192" s="283"/>
      <c r="AE3192" s="49">
        <v>1</v>
      </c>
      <c r="AF3192" s="64"/>
      <c r="AG3192" s="283"/>
      <c r="AH3192" s="259">
        <v>8.0000000000000002E-3</v>
      </c>
      <c r="AI3192" s="259">
        <v>0.01</v>
      </c>
      <c r="AJ3192" s="259">
        <v>1.2E-2</v>
      </c>
      <c r="AK3192" s="260">
        <v>0.05</v>
      </c>
      <c r="AL3192" s="260">
        <v>1.6E-2</v>
      </c>
      <c r="AM3192" s="259">
        <v>0.03</v>
      </c>
      <c r="AN3192" s="18" t="s">
        <v>2234</v>
      </c>
      <c r="AO3192" s="18" t="s">
        <v>2236</v>
      </c>
      <c r="AP3192" s="18"/>
    </row>
    <row r="3193" spans="1:42" customFormat="1" x14ac:dyDescent="0.3">
      <c r="A3193" s="18" t="s">
        <v>1463</v>
      </c>
      <c r="B3193" s="18" t="s">
        <v>5664</v>
      </c>
      <c r="C3193" s="18" t="s">
        <v>1465</v>
      </c>
      <c r="D3193" s="18" t="s">
        <v>5872</v>
      </c>
      <c r="E3193" s="18" t="s">
        <v>5873</v>
      </c>
      <c r="F3193" s="18" t="s">
        <v>5874</v>
      </c>
      <c r="G3193" s="18" t="s">
        <v>5896</v>
      </c>
      <c r="H3193" s="157" t="s">
        <v>5897</v>
      </c>
      <c r="I3193" s="18"/>
      <c r="J3193" s="18"/>
      <c r="K3193" s="18">
        <v>14220208</v>
      </c>
      <c r="L3193" s="18" t="s">
        <v>5923</v>
      </c>
      <c r="M3193" s="18" t="s">
        <v>5926</v>
      </c>
      <c r="N3193" s="18"/>
      <c r="O3193" s="18">
        <v>20</v>
      </c>
      <c r="P3193" s="16">
        <v>20</v>
      </c>
      <c r="Q3193" s="16">
        <v>20</v>
      </c>
      <c r="R3193" s="16">
        <v>20</v>
      </c>
      <c r="S3193" s="16">
        <v>20</v>
      </c>
      <c r="T3193" s="18" t="s">
        <v>2234</v>
      </c>
      <c r="U3193" t="s">
        <v>2236</v>
      </c>
      <c r="V3193" s="18" t="s">
        <v>5927</v>
      </c>
      <c r="W3193" s="283"/>
      <c r="X3193" s="283"/>
      <c r="Y3193" s="283"/>
      <c r="Z3193" s="283"/>
      <c r="AA3193" s="283"/>
      <c r="AB3193" s="283"/>
      <c r="AC3193" s="283"/>
      <c r="AD3193" s="283"/>
      <c r="AE3193" s="49">
        <v>1</v>
      </c>
      <c r="AF3193" s="64"/>
      <c r="AG3193" s="283"/>
      <c r="AH3193" s="259">
        <v>0.13</v>
      </c>
      <c r="AI3193" s="259">
        <v>0.13</v>
      </c>
      <c r="AJ3193" s="259">
        <v>0.13</v>
      </c>
      <c r="AK3193" s="260">
        <v>0.3</v>
      </c>
      <c r="AL3193" s="260">
        <v>0.13</v>
      </c>
      <c r="AM3193" s="259">
        <v>0.26</v>
      </c>
      <c r="AN3193" s="18" t="s">
        <v>2234</v>
      </c>
      <c r="AO3193" s="18" t="s">
        <v>2236</v>
      </c>
      <c r="AP3193" s="18"/>
    </row>
    <row r="3194" spans="1:42" customFormat="1" x14ac:dyDescent="0.3">
      <c r="A3194" s="18" t="s">
        <v>1463</v>
      </c>
      <c r="B3194" s="18" t="s">
        <v>5664</v>
      </c>
      <c r="C3194" s="18" t="s">
        <v>1465</v>
      </c>
      <c r="D3194" s="18" t="s">
        <v>5872</v>
      </c>
      <c r="E3194" s="18" t="s">
        <v>5873</v>
      </c>
      <c r="F3194" s="18" t="s">
        <v>5874</v>
      </c>
      <c r="G3194" s="18" t="s">
        <v>5896</v>
      </c>
      <c r="H3194" s="157" t="s">
        <v>5897</v>
      </c>
      <c r="I3194" s="18"/>
      <c r="J3194" s="18"/>
      <c r="K3194" s="18">
        <v>14220209</v>
      </c>
      <c r="L3194" s="18" t="s">
        <v>5928</v>
      </c>
      <c r="M3194" s="18" t="s">
        <v>5929</v>
      </c>
      <c r="N3194" s="18"/>
      <c r="O3194" s="18"/>
      <c r="P3194" s="16">
        <v>1</v>
      </c>
      <c r="Q3194" s="16"/>
      <c r="R3194" s="16"/>
      <c r="S3194" s="16"/>
      <c r="T3194" s="18" t="s">
        <v>5930</v>
      </c>
      <c r="U3194" t="s">
        <v>5931</v>
      </c>
      <c r="V3194" s="18" t="s">
        <v>5932</v>
      </c>
      <c r="W3194" s="283"/>
      <c r="X3194" s="283"/>
      <c r="Y3194" s="283"/>
      <c r="Z3194" s="283"/>
      <c r="AA3194" s="283"/>
      <c r="AB3194" s="283"/>
      <c r="AC3194" s="283"/>
      <c r="AD3194" s="283"/>
      <c r="AE3194" s="49">
        <v>1</v>
      </c>
      <c r="AF3194" s="64"/>
      <c r="AG3194" s="283"/>
      <c r="AH3194" s="259"/>
      <c r="AI3194" s="259">
        <v>0.4</v>
      </c>
      <c r="AJ3194" s="259"/>
      <c r="AK3194" s="260">
        <v>0.05</v>
      </c>
      <c r="AL3194" s="260"/>
      <c r="AM3194" s="259">
        <v>0</v>
      </c>
      <c r="AN3194" s="18" t="s">
        <v>5930</v>
      </c>
      <c r="AO3194" s="18" t="s">
        <v>5933</v>
      </c>
      <c r="AP3194" s="18"/>
    </row>
    <row r="3195" spans="1:42" customFormat="1" x14ac:dyDescent="0.3">
      <c r="A3195" s="18" t="s">
        <v>1463</v>
      </c>
      <c r="B3195" s="18" t="s">
        <v>5664</v>
      </c>
      <c r="C3195" s="18" t="s">
        <v>1465</v>
      </c>
      <c r="D3195" s="18" t="s">
        <v>5872</v>
      </c>
      <c r="E3195" s="18" t="s">
        <v>5873</v>
      </c>
      <c r="F3195" s="18" t="s">
        <v>5874</v>
      </c>
      <c r="G3195" s="18" t="s">
        <v>5896</v>
      </c>
      <c r="H3195" s="157" t="s">
        <v>5897</v>
      </c>
      <c r="I3195" s="18"/>
      <c r="J3195" s="18"/>
      <c r="K3195" s="18">
        <v>14220210</v>
      </c>
      <c r="L3195" s="18" t="s">
        <v>5934</v>
      </c>
      <c r="M3195" s="18" t="s">
        <v>5935</v>
      </c>
      <c r="N3195" s="18"/>
      <c r="O3195" s="18"/>
      <c r="P3195" s="16">
        <v>1</v>
      </c>
      <c r="Q3195" s="16"/>
      <c r="R3195" s="16"/>
      <c r="S3195" s="16"/>
      <c r="T3195" s="18" t="s">
        <v>5930</v>
      </c>
      <c r="U3195" t="s">
        <v>5931</v>
      </c>
      <c r="V3195" s="18" t="s">
        <v>5936</v>
      </c>
      <c r="W3195" s="283"/>
      <c r="X3195" s="283"/>
      <c r="Y3195" s="283"/>
      <c r="Z3195" s="283"/>
      <c r="AA3195" s="283"/>
      <c r="AB3195" s="283"/>
      <c r="AC3195" s="283"/>
      <c r="AD3195" s="283"/>
      <c r="AE3195" s="49">
        <v>1</v>
      </c>
      <c r="AF3195" s="64"/>
      <c r="AG3195" s="283"/>
      <c r="AH3195" s="259"/>
      <c r="AI3195" s="259">
        <v>0.8</v>
      </c>
      <c r="AJ3195" s="259"/>
      <c r="AK3195" s="260">
        <v>0.05</v>
      </c>
      <c r="AL3195" s="260"/>
      <c r="AM3195" s="259">
        <v>0</v>
      </c>
      <c r="AN3195" s="18" t="s">
        <v>5930</v>
      </c>
      <c r="AO3195" s="18" t="s">
        <v>5933</v>
      </c>
      <c r="AP3195" s="18"/>
    </row>
    <row r="3196" spans="1:42" customFormat="1" x14ac:dyDescent="0.3">
      <c r="A3196" s="18" t="s">
        <v>1463</v>
      </c>
      <c r="B3196" s="18" t="s">
        <v>5664</v>
      </c>
      <c r="C3196" s="18" t="s">
        <v>1465</v>
      </c>
      <c r="D3196" s="18" t="s">
        <v>5872</v>
      </c>
      <c r="E3196" s="18" t="s">
        <v>5873</v>
      </c>
      <c r="F3196" s="18" t="s">
        <v>5874</v>
      </c>
      <c r="G3196" s="18" t="s">
        <v>5896</v>
      </c>
      <c r="H3196" s="157" t="s">
        <v>5897</v>
      </c>
      <c r="I3196" s="18"/>
      <c r="J3196" s="18"/>
      <c r="K3196" s="18">
        <v>14220211</v>
      </c>
      <c r="L3196" s="18" t="s">
        <v>5937</v>
      </c>
      <c r="M3196" s="18" t="s">
        <v>5938</v>
      </c>
      <c r="N3196" s="18"/>
      <c r="O3196" s="18"/>
      <c r="P3196" s="16">
        <v>1</v>
      </c>
      <c r="Q3196" s="16"/>
      <c r="R3196" s="16"/>
      <c r="S3196" s="16"/>
      <c r="T3196" s="18" t="s">
        <v>723</v>
      </c>
      <c r="U3196" t="s">
        <v>729</v>
      </c>
      <c r="V3196" s="18" t="s">
        <v>5939</v>
      </c>
      <c r="W3196" s="283"/>
      <c r="X3196" s="283"/>
      <c r="Y3196" s="283"/>
      <c r="Z3196" s="283"/>
      <c r="AA3196" s="283"/>
      <c r="AB3196" s="283"/>
      <c r="AC3196" s="283"/>
      <c r="AD3196" s="283"/>
      <c r="AE3196" s="49">
        <v>0.75</v>
      </c>
      <c r="AF3196" s="64"/>
      <c r="AG3196" s="283"/>
      <c r="AH3196" s="259"/>
      <c r="AI3196" s="259">
        <v>8.3000000000000004E-2</v>
      </c>
      <c r="AJ3196" s="259"/>
      <c r="AK3196" s="260"/>
      <c r="AL3196" s="260"/>
      <c r="AM3196" s="259">
        <v>0</v>
      </c>
      <c r="AN3196" s="18" t="s">
        <v>723</v>
      </c>
      <c r="AO3196" s="18" t="s">
        <v>729</v>
      </c>
      <c r="AP3196" s="18"/>
    </row>
    <row r="3197" spans="1:42" customFormat="1" x14ac:dyDescent="0.3">
      <c r="A3197" s="18" t="s">
        <v>1463</v>
      </c>
      <c r="B3197" s="18" t="s">
        <v>5664</v>
      </c>
      <c r="C3197" s="18" t="s">
        <v>1466</v>
      </c>
      <c r="D3197" s="18" t="s">
        <v>5940</v>
      </c>
      <c r="E3197" s="18" t="s">
        <v>1467</v>
      </c>
      <c r="F3197" s="18" t="s">
        <v>5941</v>
      </c>
      <c r="G3197" s="18" t="s">
        <v>5942</v>
      </c>
      <c r="H3197" s="157" t="s">
        <v>5943</v>
      </c>
      <c r="I3197" s="18"/>
      <c r="J3197" s="18"/>
      <c r="K3197" s="18" t="s">
        <v>5944</v>
      </c>
      <c r="L3197" s="18" t="s">
        <v>5945</v>
      </c>
      <c r="M3197" s="18" t="s">
        <v>5946</v>
      </c>
      <c r="N3197" s="18">
        <v>0</v>
      </c>
      <c r="O3197" s="18">
        <v>1</v>
      </c>
      <c r="P3197" s="16"/>
      <c r="Q3197" s="16">
        <v>0</v>
      </c>
      <c r="R3197" s="16">
        <v>0</v>
      </c>
      <c r="S3197" s="16">
        <v>0</v>
      </c>
      <c r="T3197" s="18" t="s">
        <v>2234</v>
      </c>
      <c r="U3197" t="s">
        <v>2236</v>
      </c>
      <c r="V3197" s="18" t="s">
        <v>5947</v>
      </c>
      <c r="W3197" s="283"/>
      <c r="X3197" s="283"/>
      <c r="Y3197" s="283"/>
      <c r="Z3197" s="283"/>
      <c r="AA3197" s="283"/>
      <c r="AB3197" s="283"/>
      <c r="AC3197" s="283"/>
      <c r="AD3197" s="283"/>
      <c r="AE3197" s="49">
        <v>1</v>
      </c>
      <c r="AF3197" s="64"/>
      <c r="AG3197" s="283"/>
      <c r="AH3197" s="259">
        <v>0.21</v>
      </c>
      <c r="AI3197" s="259"/>
      <c r="AJ3197" s="259"/>
      <c r="AK3197" s="260"/>
      <c r="AL3197" s="260"/>
      <c r="AM3197" s="259">
        <v>0</v>
      </c>
      <c r="AN3197" s="18" t="s">
        <v>2172</v>
      </c>
      <c r="AO3197" s="18" t="s">
        <v>2236</v>
      </c>
      <c r="AP3197" s="18" t="s">
        <v>5831</v>
      </c>
    </row>
    <row r="3198" spans="1:42" customFormat="1" x14ac:dyDescent="0.3">
      <c r="A3198" s="18" t="s">
        <v>1463</v>
      </c>
      <c r="B3198" s="18" t="s">
        <v>5664</v>
      </c>
      <c r="C3198" s="18" t="s">
        <v>1466</v>
      </c>
      <c r="D3198" s="18" t="s">
        <v>5940</v>
      </c>
      <c r="E3198" s="18" t="s">
        <v>1467</v>
      </c>
      <c r="F3198" s="18" t="s">
        <v>5941</v>
      </c>
      <c r="G3198" s="18" t="s">
        <v>5942</v>
      </c>
      <c r="H3198" s="157" t="s">
        <v>5943</v>
      </c>
      <c r="I3198" s="18"/>
      <c r="J3198" s="18"/>
      <c r="K3198" s="18" t="s">
        <v>5950</v>
      </c>
      <c r="L3198" s="18" t="s">
        <v>5951</v>
      </c>
      <c r="M3198" s="18" t="s">
        <v>5952</v>
      </c>
      <c r="N3198" s="18"/>
      <c r="O3198" s="18">
        <v>25</v>
      </c>
      <c r="P3198" s="16">
        <v>50</v>
      </c>
      <c r="Q3198" s="16">
        <v>75</v>
      </c>
      <c r="R3198" s="16">
        <v>85</v>
      </c>
      <c r="S3198" s="16">
        <v>100</v>
      </c>
      <c r="T3198" s="18" t="s">
        <v>2234</v>
      </c>
      <c r="U3198" t="s">
        <v>2236</v>
      </c>
      <c r="V3198" s="18" t="s">
        <v>5953</v>
      </c>
      <c r="W3198" s="283"/>
      <c r="X3198" s="283"/>
      <c r="Y3198" s="283"/>
      <c r="Z3198" s="283"/>
      <c r="AA3198" s="283"/>
      <c r="AB3198" s="283"/>
      <c r="AC3198" s="283"/>
      <c r="AD3198" s="283"/>
      <c r="AE3198" s="49">
        <v>0.875</v>
      </c>
      <c r="AF3198" s="64"/>
      <c r="AG3198" s="283"/>
      <c r="AH3198" s="259">
        <v>8</v>
      </c>
      <c r="AI3198" s="259">
        <v>8</v>
      </c>
      <c r="AJ3198" s="259">
        <v>8</v>
      </c>
      <c r="AK3198" s="260">
        <v>9</v>
      </c>
      <c r="AL3198" s="260">
        <v>8</v>
      </c>
      <c r="AM3198" s="259">
        <v>16</v>
      </c>
      <c r="AN3198" s="18" t="s">
        <v>2234</v>
      </c>
      <c r="AO3198" s="18" t="s">
        <v>2236</v>
      </c>
      <c r="AP3198" s="18"/>
    </row>
    <row r="3199" spans="1:42" customFormat="1" x14ac:dyDescent="0.3">
      <c r="A3199" s="18" t="s">
        <v>1463</v>
      </c>
      <c r="B3199" s="18" t="s">
        <v>5664</v>
      </c>
      <c r="C3199" s="18" t="s">
        <v>1466</v>
      </c>
      <c r="D3199" s="18" t="s">
        <v>5940</v>
      </c>
      <c r="E3199" s="18" t="s">
        <v>1467</v>
      </c>
      <c r="F3199" s="18" t="s">
        <v>5941</v>
      </c>
      <c r="G3199" s="18" t="s">
        <v>5942</v>
      </c>
      <c r="H3199" s="157" t="s">
        <v>5943</v>
      </c>
      <c r="I3199" s="18"/>
      <c r="J3199" s="18"/>
      <c r="K3199" s="18" t="s">
        <v>5950</v>
      </c>
      <c r="L3199" s="18" t="s">
        <v>5951</v>
      </c>
      <c r="M3199" s="18" t="s">
        <v>5954</v>
      </c>
      <c r="N3199" s="18"/>
      <c r="O3199" s="18">
        <v>76</v>
      </c>
      <c r="P3199" s="16">
        <v>76</v>
      </c>
      <c r="Q3199" s="16">
        <v>76</v>
      </c>
      <c r="R3199" s="16">
        <v>76</v>
      </c>
      <c r="S3199" s="16">
        <v>76</v>
      </c>
      <c r="T3199" s="18" t="s">
        <v>2234</v>
      </c>
      <c r="U3199" t="s">
        <v>2236</v>
      </c>
      <c r="V3199" s="18" t="s">
        <v>5955</v>
      </c>
      <c r="W3199" s="283"/>
      <c r="X3199" s="283"/>
      <c r="Y3199" s="283"/>
      <c r="Z3199" s="283"/>
      <c r="AA3199" s="283"/>
      <c r="AB3199" s="283"/>
      <c r="AC3199" s="283"/>
      <c r="AD3199" s="283"/>
      <c r="AE3199" s="49">
        <v>0.75</v>
      </c>
      <c r="AF3199" s="64"/>
      <c r="AG3199" s="283"/>
      <c r="AH3199" s="259">
        <v>8.5000000000000006E-2</v>
      </c>
      <c r="AI3199" s="259">
        <v>8.5000000000000006E-2</v>
      </c>
      <c r="AJ3199" s="259">
        <v>8.5000000000000006E-2</v>
      </c>
      <c r="AK3199" s="260">
        <v>0.09</v>
      </c>
      <c r="AL3199" s="260">
        <v>8.5000000000000006E-2</v>
      </c>
      <c r="AM3199" s="259">
        <v>0.17</v>
      </c>
      <c r="AN3199" s="18" t="s">
        <v>2234</v>
      </c>
      <c r="AO3199" s="18" t="s">
        <v>2236</v>
      </c>
      <c r="AP3199" s="18"/>
    </row>
    <row r="3200" spans="1:42" customFormat="1" x14ac:dyDescent="0.3">
      <c r="A3200" s="18" t="s">
        <v>1463</v>
      </c>
      <c r="B3200" s="18" t="s">
        <v>5664</v>
      </c>
      <c r="C3200" s="18" t="s">
        <v>1466</v>
      </c>
      <c r="D3200" s="18" t="s">
        <v>5940</v>
      </c>
      <c r="E3200" s="18" t="s">
        <v>1467</v>
      </c>
      <c r="F3200" s="18" t="s">
        <v>5941</v>
      </c>
      <c r="G3200" s="18" t="s">
        <v>5942</v>
      </c>
      <c r="H3200" s="157" t="s">
        <v>5943</v>
      </c>
      <c r="I3200" s="18"/>
      <c r="J3200" s="18"/>
      <c r="K3200" s="18" t="s">
        <v>5956</v>
      </c>
      <c r="L3200" s="18" t="s">
        <v>5957</v>
      </c>
      <c r="M3200" s="18" t="s">
        <v>5958</v>
      </c>
      <c r="N3200" s="18">
        <v>0</v>
      </c>
      <c r="O3200" s="18">
        <v>1</v>
      </c>
      <c r="P3200" s="16">
        <v>1</v>
      </c>
      <c r="Q3200" s="16">
        <v>1</v>
      </c>
      <c r="R3200" s="16">
        <v>1</v>
      </c>
      <c r="S3200" s="16">
        <v>1</v>
      </c>
      <c r="T3200" s="18" t="s">
        <v>5959</v>
      </c>
      <c r="U3200" t="e">
        <v>#N/A</v>
      </c>
      <c r="V3200" s="18" t="s">
        <v>5960</v>
      </c>
      <c r="W3200" s="283"/>
      <c r="X3200" s="283"/>
      <c r="Y3200" s="283"/>
      <c r="Z3200" s="283"/>
      <c r="AA3200" s="283"/>
      <c r="AB3200" s="283"/>
      <c r="AC3200" s="283"/>
      <c r="AD3200" s="283"/>
      <c r="AE3200" s="49">
        <v>0.75</v>
      </c>
      <c r="AF3200" s="64"/>
      <c r="AG3200" s="283"/>
      <c r="AH3200" s="259">
        <v>1.9</v>
      </c>
      <c r="AI3200" s="259">
        <v>1</v>
      </c>
      <c r="AJ3200" s="259">
        <v>1.1000000000000001</v>
      </c>
      <c r="AK3200" s="260">
        <v>2</v>
      </c>
      <c r="AL3200" s="260"/>
      <c r="AM3200" s="259">
        <v>0.32</v>
      </c>
      <c r="AN3200" s="18" t="s">
        <v>2234</v>
      </c>
      <c r="AO3200" s="18" t="s">
        <v>2236</v>
      </c>
      <c r="AP3200" s="18"/>
    </row>
    <row r="3201" spans="1:42" customFormat="1" x14ac:dyDescent="0.3">
      <c r="A3201" s="18" t="s">
        <v>1463</v>
      </c>
      <c r="B3201" s="18" t="s">
        <v>5664</v>
      </c>
      <c r="C3201" s="18" t="s">
        <v>1466</v>
      </c>
      <c r="D3201" s="18" t="s">
        <v>5940</v>
      </c>
      <c r="E3201" s="18" t="s">
        <v>1467</v>
      </c>
      <c r="F3201" s="18" t="s">
        <v>5941</v>
      </c>
      <c r="G3201" s="18" t="s">
        <v>5942</v>
      </c>
      <c r="H3201" s="157" t="s">
        <v>5943</v>
      </c>
      <c r="I3201" s="18"/>
      <c r="J3201" s="18"/>
      <c r="K3201" s="18" t="s">
        <v>5961</v>
      </c>
      <c r="L3201" s="18" t="s">
        <v>5962</v>
      </c>
      <c r="M3201" s="18" t="s">
        <v>5963</v>
      </c>
      <c r="N3201" s="162"/>
      <c r="O3201" s="18">
        <v>1</v>
      </c>
      <c r="P3201" s="16"/>
      <c r="Q3201" s="16"/>
      <c r="R3201" s="16"/>
      <c r="S3201" s="16"/>
      <c r="T3201" s="18" t="s">
        <v>2234</v>
      </c>
      <c r="U3201" t="s">
        <v>2236</v>
      </c>
      <c r="V3201" s="18" t="s">
        <v>5964</v>
      </c>
      <c r="W3201" s="283"/>
      <c r="X3201" s="283"/>
      <c r="Y3201" s="283"/>
      <c r="Z3201" s="283"/>
      <c r="AA3201" s="283"/>
      <c r="AB3201" s="283"/>
      <c r="AC3201" s="283"/>
      <c r="AD3201" s="283"/>
      <c r="AE3201" s="49">
        <v>1</v>
      </c>
      <c r="AF3201" s="64"/>
      <c r="AG3201" s="283"/>
      <c r="AH3201" s="259">
        <v>0.3</v>
      </c>
      <c r="AI3201" s="259">
        <v>2</v>
      </c>
      <c r="AJ3201" s="259">
        <v>3</v>
      </c>
      <c r="AK3201" s="260">
        <v>3</v>
      </c>
      <c r="AL3201" s="260"/>
      <c r="AM3201" s="259">
        <v>3</v>
      </c>
      <c r="AN3201" s="18" t="s">
        <v>2234</v>
      </c>
      <c r="AO3201" s="18" t="s">
        <v>2236</v>
      </c>
      <c r="AP3201" s="18"/>
    </row>
    <row r="3202" spans="1:42" customFormat="1" x14ac:dyDescent="0.3">
      <c r="A3202" s="18" t="s">
        <v>1463</v>
      </c>
      <c r="B3202" s="18" t="s">
        <v>5664</v>
      </c>
      <c r="C3202" s="18" t="s">
        <v>1466</v>
      </c>
      <c r="D3202" s="18" t="s">
        <v>5940</v>
      </c>
      <c r="E3202" s="18" t="s">
        <v>1467</v>
      </c>
      <c r="F3202" s="18" t="s">
        <v>5941</v>
      </c>
      <c r="G3202" s="18" t="s">
        <v>5942</v>
      </c>
      <c r="H3202" s="157" t="s">
        <v>5943</v>
      </c>
      <c r="I3202" s="18"/>
      <c r="J3202" s="18"/>
      <c r="K3202" s="18" t="s">
        <v>5967</v>
      </c>
      <c r="L3202" s="18" t="s">
        <v>5968</v>
      </c>
      <c r="M3202" s="18" t="s">
        <v>5969</v>
      </c>
      <c r="N3202" s="162"/>
      <c r="O3202" s="18"/>
      <c r="P3202" s="16">
        <v>50</v>
      </c>
      <c r="Q3202" s="16">
        <v>50</v>
      </c>
      <c r="R3202" s="16">
        <v>50</v>
      </c>
      <c r="S3202" s="16">
        <v>50</v>
      </c>
      <c r="T3202" s="18" t="s">
        <v>5970</v>
      </c>
      <c r="U3202" t="e">
        <v>#N/A</v>
      </c>
      <c r="V3202" s="18" t="s">
        <v>5971</v>
      </c>
      <c r="W3202" s="283"/>
      <c r="X3202" s="283"/>
      <c r="Y3202" s="283"/>
      <c r="Z3202" s="283"/>
      <c r="AA3202" s="283"/>
      <c r="AB3202" s="283"/>
      <c r="AC3202" s="283"/>
      <c r="AD3202" s="283"/>
      <c r="AE3202" s="49">
        <v>1</v>
      </c>
      <c r="AF3202" s="64"/>
      <c r="AG3202" s="283"/>
      <c r="AH3202" s="259"/>
      <c r="AI3202" s="259">
        <v>1</v>
      </c>
      <c r="AJ3202" s="259">
        <v>1</v>
      </c>
      <c r="AK3202" s="260">
        <v>1</v>
      </c>
      <c r="AL3202" s="260">
        <v>1</v>
      </c>
      <c r="AM3202" s="259">
        <v>2</v>
      </c>
      <c r="AN3202" s="18" t="s">
        <v>723</v>
      </c>
      <c r="AO3202" s="18" t="s">
        <v>729</v>
      </c>
      <c r="AP3202" s="18"/>
    </row>
    <row r="3203" spans="1:42" customFormat="1" x14ac:dyDescent="0.3">
      <c r="A3203" s="18" t="s">
        <v>1463</v>
      </c>
      <c r="B3203" s="18" t="s">
        <v>5664</v>
      </c>
      <c r="C3203" s="18" t="s">
        <v>1466</v>
      </c>
      <c r="D3203" s="18" t="s">
        <v>5940</v>
      </c>
      <c r="E3203" s="18" t="s">
        <v>1467</v>
      </c>
      <c r="F3203" s="18" t="s">
        <v>5941</v>
      </c>
      <c r="G3203" s="18" t="s">
        <v>5942</v>
      </c>
      <c r="H3203" s="157" t="s">
        <v>5943</v>
      </c>
      <c r="I3203" s="18"/>
      <c r="J3203" s="18"/>
      <c r="K3203" s="18" t="s">
        <v>5972</v>
      </c>
      <c r="L3203" s="18" t="s">
        <v>5973</v>
      </c>
      <c r="M3203" s="18" t="s">
        <v>5974</v>
      </c>
      <c r="N3203" s="162"/>
      <c r="O3203" s="18">
        <v>665</v>
      </c>
      <c r="P3203" s="16">
        <v>665</v>
      </c>
      <c r="Q3203" s="16">
        <v>665</v>
      </c>
      <c r="R3203" s="16">
        <v>665</v>
      </c>
      <c r="S3203" s="16">
        <v>665</v>
      </c>
      <c r="T3203" s="18" t="s">
        <v>2234</v>
      </c>
      <c r="U3203" t="s">
        <v>2236</v>
      </c>
      <c r="V3203" s="18" t="s">
        <v>5975</v>
      </c>
      <c r="W3203" s="283"/>
      <c r="X3203" s="283"/>
      <c r="Y3203" s="283"/>
      <c r="Z3203" s="283"/>
      <c r="AA3203" s="283"/>
      <c r="AB3203" s="283"/>
      <c r="AC3203" s="283"/>
      <c r="AD3203" s="283"/>
      <c r="AE3203" s="49">
        <v>1</v>
      </c>
      <c r="AF3203" s="64"/>
      <c r="AG3203" s="283"/>
      <c r="AH3203" s="259">
        <v>0.32</v>
      </c>
      <c r="AI3203" s="259">
        <v>0.32</v>
      </c>
      <c r="AJ3203" s="259">
        <v>0.32</v>
      </c>
      <c r="AK3203" s="260">
        <v>1</v>
      </c>
      <c r="AL3203" s="260">
        <v>0.32</v>
      </c>
      <c r="AM3203" s="259">
        <v>0.64</v>
      </c>
      <c r="AN3203" s="18" t="s">
        <v>2234</v>
      </c>
      <c r="AO3203" s="18" t="s">
        <v>2236</v>
      </c>
      <c r="AP3203" s="18"/>
    </row>
    <row r="3204" spans="1:42" customFormat="1" x14ac:dyDescent="0.3">
      <c r="A3204" s="18" t="s">
        <v>1463</v>
      </c>
      <c r="B3204" s="18" t="s">
        <v>5664</v>
      </c>
      <c r="C3204" s="18" t="s">
        <v>1466</v>
      </c>
      <c r="D3204" s="18" t="s">
        <v>5940</v>
      </c>
      <c r="E3204" s="18" t="s">
        <v>1467</v>
      </c>
      <c r="F3204" s="18" t="s">
        <v>5941</v>
      </c>
      <c r="G3204" s="18" t="s">
        <v>5942</v>
      </c>
      <c r="H3204" s="157" t="s">
        <v>5943</v>
      </c>
      <c r="I3204" s="18"/>
      <c r="J3204" s="18"/>
      <c r="K3204" s="18" t="s">
        <v>5976</v>
      </c>
      <c r="L3204" s="18" t="s">
        <v>5977</v>
      </c>
      <c r="M3204" s="18" t="s">
        <v>5978</v>
      </c>
      <c r="N3204" s="162"/>
      <c r="O3204" s="460"/>
      <c r="P3204" s="38">
        <v>0.25</v>
      </c>
      <c r="Q3204" s="38">
        <v>0.6</v>
      </c>
      <c r="R3204" s="38">
        <v>0.8</v>
      </c>
      <c r="S3204" s="38">
        <v>1</v>
      </c>
      <c r="T3204" s="18" t="s">
        <v>2172</v>
      </c>
      <c r="U3204" t="s">
        <v>2236</v>
      </c>
      <c r="V3204" s="18" t="s">
        <v>5979</v>
      </c>
      <c r="W3204" s="283"/>
      <c r="X3204" s="283"/>
      <c r="Y3204" s="283"/>
      <c r="Z3204" s="283"/>
      <c r="AA3204" s="283"/>
      <c r="AB3204" s="283"/>
      <c r="AC3204" s="283"/>
      <c r="AD3204" s="283"/>
      <c r="AE3204" s="49">
        <v>0.75</v>
      </c>
      <c r="AF3204" s="64"/>
      <c r="AG3204" s="283"/>
      <c r="AH3204" s="259"/>
      <c r="AI3204" s="259">
        <v>35.4</v>
      </c>
      <c r="AJ3204" s="259">
        <v>47.2</v>
      </c>
      <c r="AK3204" s="260">
        <v>1</v>
      </c>
      <c r="AL3204" s="260">
        <v>11.8</v>
      </c>
      <c r="AM3204" s="259">
        <v>35.400000000000006</v>
      </c>
      <c r="AN3204" s="18" t="s">
        <v>2234</v>
      </c>
      <c r="AO3204" s="18" t="s">
        <v>2236</v>
      </c>
      <c r="AP3204" s="18"/>
    </row>
    <row r="3205" spans="1:42" customFormat="1" x14ac:dyDescent="0.3">
      <c r="A3205" s="18" t="s">
        <v>1463</v>
      </c>
      <c r="B3205" s="18" t="s">
        <v>5664</v>
      </c>
      <c r="C3205" s="18" t="s">
        <v>1466</v>
      </c>
      <c r="D3205" s="18" t="s">
        <v>5940</v>
      </c>
      <c r="E3205" s="18" t="s">
        <v>1467</v>
      </c>
      <c r="F3205" s="18" t="s">
        <v>5941</v>
      </c>
      <c r="G3205" s="18" t="s">
        <v>5942</v>
      </c>
      <c r="H3205" s="157" t="s">
        <v>5943</v>
      </c>
      <c r="I3205" s="18"/>
      <c r="J3205" s="18"/>
      <c r="K3205" s="18" t="s">
        <v>5980</v>
      </c>
      <c r="L3205" s="18" t="s">
        <v>5981</v>
      </c>
      <c r="M3205" s="18" t="s">
        <v>5982</v>
      </c>
      <c r="N3205" s="162"/>
      <c r="O3205" s="460">
        <v>0.2</v>
      </c>
      <c r="P3205" s="38">
        <v>0.4</v>
      </c>
      <c r="Q3205" s="38">
        <v>0.6</v>
      </c>
      <c r="R3205" s="38">
        <v>0.8</v>
      </c>
      <c r="S3205" s="38">
        <v>1</v>
      </c>
      <c r="T3205" s="18" t="s">
        <v>2172</v>
      </c>
      <c r="U3205" t="s">
        <v>2236</v>
      </c>
      <c r="V3205" s="18" t="s">
        <v>5983</v>
      </c>
      <c r="W3205" s="283"/>
      <c r="X3205" s="283"/>
      <c r="Y3205" s="283"/>
      <c r="Z3205" s="283"/>
      <c r="AA3205" s="283"/>
      <c r="AB3205" s="283"/>
      <c r="AC3205" s="283"/>
      <c r="AD3205" s="283"/>
      <c r="AE3205" s="49">
        <v>1</v>
      </c>
      <c r="AF3205" s="64"/>
      <c r="AG3205" s="283"/>
      <c r="AH3205" s="259">
        <v>0.4</v>
      </c>
      <c r="AI3205" s="259">
        <v>0.4</v>
      </c>
      <c r="AJ3205" s="259">
        <v>0.4</v>
      </c>
      <c r="AK3205" s="260">
        <v>0.4</v>
      </c>
      <c r="AL3205" s="260">
        <v>0.4</v>
      </c>
      <c r="AM3205" s="259">
        <v>0.8</v>
      </c>
      <c r="AN3205" s="18" t="s">
        <v>2234</v>
      </c>
      <c r="AO3205" s="18" t="s">
        <v>2236</v>
      </c>
      <c r="AP3205" s="18"/>
    </row>
    <row r="3206" spans="1:42" customFormat="1" x14ac:dyDescent="0.3">
      <c r="A3206" s="18" t="s">
        <v>1463</v>
      </c>
      <c r="B3206" s="18" t="s">
        <v>5664</v>
      </c>
      <c r="C3206" s="18" t="s">
        <v>1466</v>
      </c>
      <c r="D3206" s="18" t="s">
        <v>5940</v>
      </c>
      <c r="E3206" s="18" t="s">
        <v>1467</v>
      </c>
      <c r="F3206" s="18" t="s">
        <v>5941</v>
      </c>
      <c r="G3206" s="18" t="s">
        <v>5942</v>
      </c>
      <c r="H3206" s="157" t="s">
        <v>5943</v>
      </c>
      <c r="I3206" s="18"/>
      <c r="J3206" s="18"/>
      <c r="K3206" s="18" t="s">
        <v>5980</v>
      </c>
      <c r="L3206" s="18" t="s">
        <v>5981</v>
      </c>
      <c r="M3206" s="18" t="s">
        <v>5984</v>
      </c>
      <c r="N3206" s="162"/>
      <c r="O3206" s="460">
        <v>0.2</v>
      </c>
      <c r="P3206" s="38">
        <v>0.4</v>
      </c>
      <c r="Q3206" s="38">
        <v>0.6</v>
      </c>
      <c r="R3206" s="38">
        <v>0.8</v>
      </c>
      <c r="S3206" s="38">
        <v>1</v>
      </c>
      <c r="T3206" s="18" t="s">
        <v>2172</v>
      </c>
      <c r="U3206" t="s">
        <v>2236</v>
      </c>
      <c r="V3206" s="18" t="s">
        <v>5985</v>
      </c>
      <c r="W3206" s="283"/>
      <c r="X3206" s="283"/>
      <c r="Y3206" s="283"/>
      <c r="Z3206" s="283"/>
      <c r="AA3206" s="283"/>
      <c r="AB3206" s="283"/>
      <c r="AC3206" s="283"/>
      <c r="AD3206" s="283"/>
      <c r="AE3206" s="49">
        <v>1</v>
      </c>
      <c r="AF3206" s="64"/>
      <c r="AG3206" s="283"/>
      <c r="AH3206" s="259"/>
      <c r="AI3206" s="259"/>
      <c r="AJ3206" s="259"/>
      <c r="AK3206" s="260">
        <v>0.2</v>
      </c>
      <c r="AL3206" s="260"/>
      <c r="AM3206" s="259">
        <v>0</v>
      </c>
      <c r="AN3206" s="18" t="s">
        <v>2234</v>
      </c>
      <c r="AO3206" s="18" t="s">
        <v>2236</v>
      </c>
      <c r="AP3206" s="18"/>
    </row>
    <row r="3207" spans="1:42" customFormat="1" x14ac:dyDescent="0.3">
      <c r="A3207" s="18" t="s">
        <v>1463</v>
      </c>
      <c r="B3207" s="18" t="s">
        <v>5664</v>
      </c>
      <c r="C3207" s="18" t="s">
        <v>1466</v>
      </c>
      <c r="D3207" s="18" t="s">
        <v>5940</v>
      </c>
      <c r="E3207" s="18" t="s">
        <v>1467</v>
      </c>
      <c r="F3207" s="18" t="s">
        <v>5941</v>
      </c>
      <c r="G3207" s="18" t="s">
        <v>5942</v>
      </c>
      <c r="H3207" s="157" t="s">
        <v>5943</v>
      </c>
      <c r="I3207" s="18"/>
      <c r="J3207" s="18"/>
      <c r="K3207" s="18" t="s">
        <v>5986</v>
      </c>
      <c r="L3207" s="10" t="s">
        <v>5987</v>
      </c>
      <c r="M3207" s="18" t="s">
        <v>5988</v>
      </c>
      <c r="N3207" s="18"/>
      <c r="O3207" s="18"/>
      <c r="P3207" s="16"/>
      <c r="Q3207" s="16"/>
      <c r="R3207" s="16"/>
      <c r="S3207" s="16"/>
      <c r="T3207" s="18" t="s">
        <v>5989</v>
      </c>
      <c r="U3207" t="e">
        <v>#N/A</v>
      </c>
      <c r="V3207" s="18" t="s">
        <v>5990</v>
      </c>
      <c r="W3207" s="283"/>
      <c r="X3207" s="283"/>
      <c r="Y3207" s="283"/>
      <c r="Z3207" s="283"/>
      <c r="AA3207" s="283"/>
      <c r="AB3207" s="283"/>
      <c r="AC3207" s="283"/>
      <c r="AD3207" s="283"/>
      <c r="AE3207" s="49">
        <v>1</v>
      </c>
      <c r="AF3207" s="64"/>
      <c r="AG3207" s="283"/>
      <c r="AH3207" s="259"/>
      <c r="AI3207" s="259">
        <v>0.5</v>
      </c>
      <c r="AJ3207" s="259">
        <v>0.5</v>
      </c>
      <c r="AK3207" s="260">
        <v>0.5</v>
      </c>
      <c r="AL3207" s="260">
        <v>0.5</v>
      </c>
      <c r="AM3207" s="259">
        <v>1</v>
      </c>
      <c r="AN3207" s="18" t="s">
        <v>2234</v>
      </c>
      <c r="AO3207" s="18" t="s">
        <v>2236</v>
      </c>
      <c r="AP3207" s="18"/>
    </row>
    <row r="3208" spans="1:42" customFormat="1" x14ac:dyDescent="0.3">
      <c r="A3208" s="18" t="s">
        <v>1463</v>
      </c>
      <c r="B3208" s="18" t="s">
        <v>5664</v>
      </c>
      <c r="C3208" s="18" t="s">
        <v>1466</v>
      </c>
      <c r="D3208" s="18" t="s">
        <v>5940</v>
      </c>
      <c r="E3208" s="18" t="s">
        <v>1467</v>
      </c>
      <c r="F3208" s="18" t="s">
        <v>5941</v>
      </c>
      <c r="G3208" s="18" t="s">
        <v>5942</v>
      </c>
      <c r="H3208" s="157" t="s">
        <v>5943</v>
      </c>
      <c r="I3208" s="18"/>
      <c r="J3208" s="18"/>
      <c r="K3208" s="18" t="s">
        <v>5991</v>
      </c>
      <c r="L3208" s="18" t="s">
        <v>5992</v>
      </c>
      <c r="M3208" s="18" t="s">
        <v>5993</v>
      </c>
      <c r="N3208" s="18"/>
      <c r="O3208" s="18"/>
      <c r="P3208" s="16">
        <v>1</v>
      </c>
      <c r="Q3208" s="16">
        <v>1</v>
      </c>
      <c r="R3208" s="16">
        <v>1</v>
      </c>
      <c r="S3208" s="16">
        <v>1</v>
      </c>
      <c r="T3208" s="18" t="s">
        <v>5994</v>
      </c>
      <c r="U3208" t="e">
        <v>#N/A</v>
      </c>
      <c r="V3208" s="14" t="s">
        <v>5995</v>
      </c>
      <c r="W3208" s="283"/>
      <c r="X3208" s="283"/>
      <c r="Y3208" s="283"/>
      <c r="Z3208" s="283"/>
      <c r="AA3208" s="283"/>
      <c r="AB3208" s="283"/>
      <c r="AC3208" s="283"/>
      <c r="AD3208" s="283"/>
      <c r="AE3208" s="49">
        <v>0.875</v>
      </c>
      <c r="AF3208" s="64"/>
      <c r="AG3208" s="283"/>
      <c r="AH3208" s="259">
        <v>0.12</v>
      </c>
      <c r="AI3208" s="259"/>
      <c r="AJ3208" s="259"/>
      <c r="AK3208" s="260">
        <v>0.2</v>
      </c>
      <c r="AL3208" s="260"/>
      <c r="AM3208" s="259">
        <v>0</v>
      </c>
      <c r="AN3208" s="18" t="s">
        <v>2234</v>
      </c>
      <c r="AO3208" s="18" t="s">
        <v>2236</v>
      </c>
      <c r="AP3208" s="18"/>
    </row>
    <row r="3209" spans="1:42" customFormat="1" x14ac:dyDescent="0.3">
      <c r="A3209" s="18" t="s">
        <v>1463</v>
      </c>
      <c r="B3209" s="18" t="s">
        <v>5664</v>
      </c>
      <c r="C3209" s="18" t="s">
        <v>1466</v>
      </c>
      <c r="D3209" s="18" t="s">
        <v>5940</v>
      </c>
      <c r="E3209" s="18" t="s">
        <v>1467</v>
      </c>
      <c r="F3209" s="18" t="s">
        <v>5941</v>
      </c>
      <c r="G3209" s="18" t="s">
        <v>5942</v>
      </c>
      <c r="H3209" s="157" t="s">
        <v>5943</v>
      </c>
      <c r="I3209" s="18"/>
      <c r="J3209" s="18"/>
      <c r="K3209" s="18" t="s">
        <v>5996</v>
      </c>
      <c r="L3209" s="18" t="s">
        <v>5997</v>
      </c>
      <c r="M3209" s="18" t="s">
        <v>5998</v>
      </c>
      <c r="N3209" s="18"/>
      <c r="O3209" s="18">
        <v>1</v>
      </c>
      <c r="P3209" s="16">
        <v>1</v>
      </c>
      <c r="Q3209" s="16">
        <v>1</v>
      </c>
      <c r="R3209" s="16">
        <v>1</v>
      </c>
      <c r="S3209" s="16">
        <v>1</v>
      </c>
      <c r="T3209" s="18" t="s">
        <v>5994</v>
      </c>
      <c r="U3209" t="e">
        <v>#N/A</v>
      </c>
      <c r="V3209" s="18" t="s">
        <v>5999</v>
      </c>
      <c r="W3209" s="283"/>
      <c r="X3209" s="283"/>
      <c r="Y3209" s="283"/>
      <c r="Z3209" s="283"/>
      <c r="AA3209" s="283"/>
      <c r="AB3209" s="283"/>
      <c r="AC3209" s="283"/>
      <c r="AD3209" s="283"/>
      <c r="AE3209" s="49">
        <v>0.875</v>
      </c>
      <c r="AF3209" s="64"/>
      <c r="AG3209" s="283"/>
      <c r="AH3209" s="259">
        <v>0.6</v>
      </c>
      <c r="AI3209" s="259">
        <v>0.4</v>
      </c>
      <c r="AJ3209" s="259">
        <v>0.4</v>
      </c>
      <c r="AK3209" s="260">
        <v>0.4</v>
      </c>
      <c r="AL3209" s="260">
        <v>0.4</v>
      </c>
      <c r="AM3209" s="259">
        <v>0.8</v>
      </c>
      <c r="AN3209" s="18" t="s">
        <v>2234</v>
      </c>
      <c r="AO3209" s="18" t="s">
        <v>2236</v>
      </c>
      <c r="AP3209" s="18"/>
    </row>
    <row r="3210" spans="1:42" customFormat="1" x14ac:dyDescent="0.3">
      <c r="A3210" s="18" t="s">
        <v>1463</v>
      </c>
      <c r="B3210" s="18" t="s">
        <v>5664</v>
      </c>
      <c r="C3210" s="18" t="s">
        <v>1466</v>
      </c>
      <c r="D3210" s="18" t="s">
        <v>5940</v>
      </c>
      <c r="E3210" s="18" t="s">
        <v>1467</v>
      </c>
      <c r="F3210" s="18" t="s">
        <v>5941</v>
      </c>
      <c r="G3210" s="18" t="s">
        <v>5942</v>
      </c>
      <c r="H3210" s="157" t="s">
        <v>5943</v>
      </c>
      <c r="I3210" s="18"/>
      <c r="J3210" s="18"/>
      <c r="K3210" s="18" t="s">
        <v>6000</v>
      </c>
      <c r="L3210" s="18" t="s">
        <v>6001</v>
      </c>
      <c r="M3210" s="18" t="s">
        <v>6002</v>
      </c>
      <c r="N3210" s="18"/>
      <c r="O3210" s="18"/>
      <c r="P3210" s="16">
        <v>1</v>
      </c>
      <c r="Q3210" s="16">
        <v>1</v>
      </c>
      <c r="R3210" s="16">
        <v>1</v>
      </c>
      <c r="S3210" s="16">
        <v>1</v>
      </c>
      <c r="T3210" s="18" t="s">
        <v>5994</v>
      </c>
      <c r="U3210" t="e">
        <v>#N/A</v>
      </c>
      <c r="V3210" s="18" t="s">
        <v>6003</v>
      </c>
      <c r="W3210" s="283"/>
      <c r="X3210" s="283"/>
      <c r="Y3210" s="283"/>
      <c r="Z3210" s="283"/>
      <c r="AA3210" s="283"/>
      <c r="AB3210" s="283"/>
      <c r="AC3210" s="283"/>
      <c r="AD3210" s="283"/>
      <c r="AE3210" s="49">
        <v>0.875</v>
      </c>
      <c r="AF3210" s="64"/>
      <c r="AG3210" s="283"/>
      <c r="AH3210" s="259"/>
      <c r="AI3210" s="259">
        <v>0.5</v>
      </c>
      <c r="AJ3210" s="259">
        <v>0.5</v>
      </c>
      <c r="AK3210" s="260">
        <v>0.5</v>
      </c>
      <c r="AL3210" s="260">
        <v>0.5</v>
      </c>
      <c r="AM3210" s="259">
        <v>1</v>
      </c>
      <c r="AN3210" s="18" t="s">
        <v>2234</v>
      </c>
      <c r="AO3210" s="18" t="s">
        <v>2236</v>
      </c>
      <c r="AP3210" s="18"/>
    </row>
    <row r="3211" spans="1:42" customFormat="1" x14ac:dyDescent="0.3">
      <c r="A3211" s="18" t="s">
        <v>1463</v>
      </c>
      <c r="B3211" s="18" t="s">
        <v>5664</v>
      </c>
      <c r="C3211" s="18" t="s">
        <v>1466</v>
      </c>
      <c r="D3211" s="18" t="s">
        <v>5940</v>
      </c>
      <c r="E3211" s="18" t="s">
        <v>1467</v>
      </c>
      <c r="F3211" s="18" t="s">
        <v>5941</v>
      </c>
      <c r="G3211" s="18" t="s">
        <v>5942</v>
      </c>
      <c r="H3211" s="157" t="s">
        <v>5943</v>
      </c>
      <c r="I3211" s="18"/>
      <c r="J3211" s="18"/>
      <c r="K3211" s="18" t="s">
        <v>6000</v>
      </c>
      <c r="L3211" s="18" t="s">
        <v>6001</v>
      </c>
      <c r="M3211" s="18" t="s">
        <v>6004</v>
      </c>
      <c r="N3211" s="18"/>
      <c r="O3211" s="18"/>
      <c r="P3211" s="16">
        <v>1</v>
      </c>
      <c r="Q3211" s="16">
        <v>1</v>
      </c>
      <c r="R3211" s="16">
        <v>1</v>
      </c>
      <c r="S3211" s="16">
        <v>1</v>
      </c>
      <c r="T3211" s="18" t="s">
        <v>5994</v>
      </c>
      <c r="U3211" t="e">
        <v>#N/A</v>
      </c>
      <c r="V3211" s="18" t="s">
        <v>6005</v>
      </c>
      <c r="W3211" s="283"/>
      <c r="X3211" s="283"/>
      <c r="Y3211" s="283"/>
      <c r="Z3211" s="283"/>
      <c r="AA3211" s="283"/>
      <c r="AB3211" s="283"/>
      <c r="AC3211" s="283"/>
      <c r="AD3211" s="283"/>
      <c r="AE3211" s="49">
        <v>0.875</v>
      </c>
      <c r="AF3211" s="64"/>
      <c r="AG3211" s="283"/>
      <c r="AH3211" s="259"/>
      <c r="AI3211" s="259">
        <v>0.5</v>
      </c>
      <c r="AJ3211" s="259">
        <v>0.5</v>
      </c>
      <c r="AK3211" s="260">
        <v>0</v>
      </c>
      <c r="AL3211" s="260">
        <v>0</v>
      </c>
      <c r="AM3211" s="259">
        <v>1</v>
      </c>
      <c r="AN3211" s="18" t="s">
        <v>1446</v>
      </c>
      <c r="AO3211" s="18" t="s">
        <v>3715</v>
      </c>
      <c r="AP3211" s="18"/>
    </row>
    <row r="3212" spans="1:42" customFormat="1" x14ac:dyDescent="0.3">
      <c r="A3212" s="18" t="s">
        <v>1463</v>
      </c>
      <c r="B3212" s="18" t="s">
        <v>5664</v>
      </c>
      <c r="C3212" s="18" t="s">
        <v>1466</v>
      </c>
      <c r="D3212" s="18" t="s">
        <v>5940</v>
      </c>
      <c r="E3212" s="18" t="s">
        <v>1467</v>
      </c>
      <c r="F3212" s="18" t="s">
        <v>5941</v>
      </c>
      <c r="G3212" s="18" t="s">
        <v>5942</v>
      </c>
      <c r="H3212" s="157" t="s">
        <v>5943</v>
      </c>
      <c r="I3212" s="18"/>
      <c r="J3212" s="18"/>
      <c r="K3212" s="18" t="s">
        <v>6000</v>
      </c>
      <c r="L3212" s="18" t="s">
        <v>6001</v>
      </c>
      <c r="M3212" s="18" t="s">
        <v>6006</v>
      </c>
      <c r="N3212" s="18"/>
      <c r="O3212" s="18"/>
      <c r="P3212" s="16">
        <v>1</v>
      </c>
      <c r="Q3212" s="16">
        <v>1</v>
      </c>
      <c r="R3212" s="16">
        <v>1</v>
      </c>
      <c r="S3212" s="16">
        <v>1</v>
      </c>
      <c r="T3212" s="18" t="s">
        <v>6007</v>
      </c>
      <c r="U3212" t="e">
        <v>#N/A</v>
      </c>
      <c r="V3212" s="18" t="s">
        <v>6008</v>
      </c>
      <c r="W3212" s="283"/>
      <c r="X3212" s="283"/>
      <c r="Y3212" s="283"/>
      <c r="Z3212" s="283"/>
      <c r="AA3212" s="283"/>
      <c r="AB3212" s="283"/>
      <c r="AC3212" s="283"/>
      <c r="AD3212" s="283"/>
      <c r="AE3212" s="49">
        <v>0.75</v>
      </c>
      <c r="AF3212" s="64"/>
      <c r="AG3212" s="283"/>
      <c r="AH3212" s="259"/>
      <c r="AI3212" s="259">
        <v>0.5</v>
      </c>
      <c r="AJ3212" s="259">
        <v>0.5</v>
      </c>
      <c r="AK3212" s="260">
        <v>0</v>
      </c>
      <c r="AL3212" s="260">
        <v>0</v>
      </c>
      <c r="AM3212" s="259">
        <v>1</v>
      </c>
      <c r="AN3212" s="18" t="s">
        <v>1446</v>
      </c>
      <c r="AO3212" s="18" t="s">
        <v>3715</v>
      </c>
      <c r="AP3212" s="18"/>
    </row>
    <row r="3213" spans="1:42" customFormat="1" x14ac:dyDescent="0.3">
      <c r="A3213" s="156" t="s">
        <v>1463</v>
      </c>
      <c r="B3213" s="18" t="s">
        <v>5664</v>
      </c>
      <c r="C3213" s="18" t="s">
        <v>1468</v>
      </c>
      <c r="D3213" s="18" t="s">
        <v>5940</v>
      </c>
      <c r="E3213" s="18" t="s">
        <v>11664</v>
      </c>
      <c r="F3213" s="18" t="s">
        <v>5941</v>
      </c>
      <c r="G3213" s="18" t="s">
        <v>6009</v>
      </c>
      <c r="H3213" s="157" t="s">
        <v>5943</v>
      </c>
      <c r="I3213" s="18"/>
      <c r="J3213" s="18"/>
      <c r="K3213" s="18" t="s">
        <v>11665</v>
      </c>
      <c r="L3213" s="393" t="s">
        <v>11666</v>
      </c>
      <c r="M3213" s="394" t="s">
        <v>11667</v>
      </c>
      <c r="N3213" s="18"/>
      <c r="O3213" s="18"/>
      <c r="P3213" s="16"/>
      <c r="Q3213" s="16"/>
      <c r="R3213" s="16"/>
      <c r="S3213" s="16"/>
      <c r="T3213" s="18"/>
      <c r="V3213" s="395" t="s">
        <v>11668</v>
      </c>
      <c r="W3213" s="283"/>
      <c r="X3213" s="283"/>
      <c r="Y3213" s="283"/>
      <c r="Z3213" s="283"/>
      <c r="AA3213" s="283"/>
      <c r="AB3213" s="283"/>
      <c r="AC3213" s="283"/>
      <c r="AD3213" s="283"/>
      <c r="AE3213" s="49">
        <v>0.75</v>
      </c>
      <c r="AF3213" s="64"/>
      <c r="AG3213" s="283"/>
      <c r="AH3213" s="259"/>
      <c r="AI3213" s="259"/>
      <c r="AJ3213" s="259"/>
      <c r="AK3213" s="260">
        <v>0.08</v>
      </c>
      <c r="AL3213" s="260">
        <v>0.08</v>
      </c>
      <c r="AM3213" s="259">
        <f>AK3213+AL3213</f>
        <v>0.16</v>
      </c>
      <c r="AN3213" s="18" t="s">
        <v>11677</v>
      </c>
      <c r="AO3213" s="156" t="s">
        <v>11670</v>
      </c>
      <c r="AP3213" s="18" t="s">
        <v>255</v>
      </c>
    </row>
    <row r="3214" spans="1:42" customFormat="1" x14ac:dyDescent="0.3">
      <c r="A3214" s="156" t="s">
        <v>1463</v>
      </c>
      <c r="B3214" s="18" t="s">
        <v>5664</v>
      </c>
      <c r="C3214" s="18" t="s">
        <v>11671</v>
      </c>
      <c r="D3214" s="18" t="s">
        <v>5940</v>
      </c>
      <c r="E3214" s="18" t="s">
        <v>11672</v>
      </c>
      <c r="F3214" s="18" t="s">
        <v>5941</v>
      </c>
      <c r="G3214" s="18" t="s">
        <v>6018</v>
      </c>
      <c r="H3214" s="157" t="s">
        <v>5943</v>
      </c>
      <c r="I3214" s="18"/>
      <c r="J3214" s="18"/>
      <c r="K3214" s="18">
        <v>14330126</v>
      </c>
      <c r="L3214" s="393" t="s">
        <v>11666</v>
      </c>
      <c r="M3214" s="394" t="s">
        <v>11673</v>
      </c>
      <c r="N3214" s="18"/>
      <c r="O3214" s="18"/>
      <c r="P3214" s="16"/>
      <c r="Q3214" s="16"/>
      <c r="R3214" s="16"/>
      <c r="S3214" s="16"/>
      <c r="T3214" s="18"/>
      <c r="V3214" s="395" t="s">
        <v>11674</v>
      </c>
      <c r="W3214" s="283"/>
      <c r="X3214" s="283"/>
      <c r="Y3214" s="283"/>
      <c r="Z3214" s="283"/>
      <c r="AA3214" s="283"/>
      <c r="AB3214" s="283"/>
      <c r="AC3214" s="283"/>
      <c r="AD3214" s="283"/>
      <c r="AE3214" s="49">
        <v>0.75</v>
      </c>
      <c r="AF3214" s="64"/>
      <c r="AG3214" s="283"/>
      <c r="AH3214" s="259"/>
      <c r="AI3214" s="259"/>
      <c r="AJ3214" s="259"/>
      <c r="AK3214" s="260">
        <v>0.09</v>
      </c>
      <c r="AL3214" s="260">
        <v>0.09</v>
      </c>
      <c r="AM3214" s="259">
        <f>AK3214+AL3214</f>
        <v>0.18</v>
      </c>
      <c r="AN3214" s="18" t="s">
        <v>11677</v>
      </c>
      <c r="AO3214" s="156" t="s">
        <v>11670</v>
      </c>
      <c r="AP3214" s="18" t="s">
        <v>255</v>
      </c>
    </row>
    <row r="3215" spans="1:42" customFormat="1" x14ac:dyDescent="0.3">
      <c r="A3215" s="18" t="s">
        <v>1463</v>
      </c>
      <c r="B3215" s="18" t="s">
        <v>5664</v>
      </c>
      <c r="C3215" s="18" t="s">
        <v>1466</v>
      </c>
      <c r="D3215" s="18" t="s">
        <v>5940</v>
      </c>
      <c r="E3215" s="18" t="s">
        <v>1467</v>
      </c>
      <c r="F3215" s="18" t="s">
        <v>5941</v>
      </c>
      <c r="G3215" s="18" t="s">
        <v>6009</v>
      </c>
      <c r="H3215" s="157" t="s">
        <v>6010</v>
      </c>
      <c r="I3215" s="18" t="s">
        <v>6011</v>
      </c>
      <c r="J3215" s="18" t="s">
        <v>6012</v>
      </c>
      <c r="K3215" s="18" t="s">
        <v>6013</v>
      </c>
      <c r="L3215" s="18" t="s">
        <v>6012</v>
      </c>
      <c r="M3215" s="18" t="s">
        <v>6014</v>
      </c>
      <c r="N3215" s="18">
        <v>8</v>
      </c>
      <c r="O3215" s="18">
        <v>50</v>
      </c>
      <c r="P3215" s="16">
        <v>50</v>
      </c>
      <c r="Q3215" s="16">
        <v>50</v>
      </c>
      <c r="R3215" s="16">
        <v>50</v>
      </c>
      <c r="S3215" s="16">
        <v>50</v>
      </c>
      <c r="T3215" s="18" t="s">
        <v>2172</v>
      </c>
      <c r="U3215" t="s">
        <v>2236</v>
      </c>
      <c r="V3215" s="18" t="s">
        <v>6015</v>
      </c>
      <c r="W3215" s="283"/>
      <c r="X3215" s="283"/>
      <c r="Y3215" s="283"/>
      <c r="Z3215" s="283"/>
      <c r="AA3215" s="283"/>
      <c r="AB3215" s="283"/>
      <c r="AC3215" s="283"/>
      <c r="AD3215" s="283"/>
      <c r="AE3215" s="49">
        <v>0.75</v>
      </c>
      <c r="AF3215" s="64"/>
      <c r="AG3215" s="283"/>
      <c r="AH3215" s="259">
        <v>0.26</v>
      </c>
      <c r="AI3215" s="259">
        <v>0.26</v>
      </c>
      <c r="AJ3215" s="259">
        <v>0.26</v>
      </c>
      <c r="AK3215" s="260">
        <v>0.3</v>
      </c>
      <c r="AL3215" s="260">
        <v>0.26</v>
      </c>
      <c r="AM3215" s="259">
        <v>0.52</v>
      </c>
      <c r="AN3215" s="18" t="s">
        <v>2234</v>
      </c>
      <c r="AO3215" s="18" t="s">
        <v>2236</v>
      </c>
      <c r="AP3215" s="18"/>
    </row>
    <row r="3216" spans="1:42" customFormat="1" x14ac:dyDescent="0.3">
      <c r="A3216" s="18" t="s">
        <v>1463</v>
      </c>
      <c r="B3216" s="18" t="s">
        <v>5664</v>
      </c>
      <c r="C3216" s="18" t="s">
        <v>1466</v>
      </c>
      <c r="D3216" s="18" t="s">
        <v>5940</v>
      </c>
      <c r="E3216" s="18" t="s">
        <v>1467</v>
      </c>
      <c r="F3216" s="18" t="s">
        <v>5941</v>
      </c>
      <c r="G3216" s="18" t="s">
        <v>6009</v>
      </c>
      <c r="H3216" s="157" t="s">
        <v>6010</v>
      </c>
      <c r="I3216" s="18" t="s">
        <v>6011</v>
      </c>
      <c r="J3216" s="18" t="s">
        <v>6012</v>
      </c>
      <c r="K3216" s="18" t="s">
        <v>6013</v>
      </c>
      <c r="L3216" s="18" t="s">
        <v>6012</v>
      </c>
      <c r="M3216" s="18" t="s">
        <v>6016</v>
      </c>
      <c r="N3216" s="18" t="s">
        <v>271</v>
      </c>
      <c r="O3216" s="18">
        <v>30</v>
      </c>
      <c r="P3216" s="16">
        <v>35</v>
      </c>
      <c r="Q3216" s="16">
        <v>40</v>
      </c>
      <c r="R3216" s="16">
        <v>50</v>
      </c>
      <c r="S3216" s="16">
        <v>65</v>
      </c>
      <c r="T3216" s="18" t="s">
        <v>2172</v>
      </c>
      <c r="U3216" t="s">
        <v>2236</v>
      </c>
      <c r="V3216" s="18" t="s">
        <v>6017</v>
      </c>
      <c r="W3216" s="283"/>
      <c r="X3216" s="283"/>
      <c r="Y3216" s="283"/>
      <c r="Z3216" s="283"/>
      <c r="AA3216" s="283"/>
      <c r="AB3216" s="283"/>
      <c r="AC3216" s="283"/>
      <c r="AD3216" s="283"/>
      <c r="AE3216" s="49">
        <v>0.75</v>
      </c>
      <c r="AF3216" s="64"/>
      <c r="AG3216" s="283"/>
      <c r="AH3216" s="259"/>
      <c r="AI3216" s="259"/>
      <c r="AJ3216" s="259"/>
      <c r="AK3216" s="260"/>
      <c r="AL3216" s="260"/>
      <c r="AM3216" s="259">
        <v>0</v>
      </c>
      <c r="AN3216" s="18" t="s">
        <v>2234</v>
      </c>
      <c r="AO3216" s="18" t="s">
        <v>2236</v>
      </c>
      <c r="AP3216" s="18"/>
    </row>
    <row r="3217" spans="1:42" customFormat="1" x14ac:dyDescent="0.3">
      <c r="A3217" s="18" t="s">
        <v>1463</v>
      </c>
      <c r="B3217" s="18" t="s">
        <v>5664</v>
      </c>
      <c r="C3217" s="18" t="s">
        <v>1466</v>
      </c>
      <c r="D3217" s="18" t="s">
        <v>5940</v>
      </c>
      <c r="E3217" s="18" t="s">
        <v>1467</v>
      </c>
      <c r="F3217" s="18" t="s">
        <v>5941</v>
      </c>
      <c r="G3217" s="18" t="s">
        <v>6018</v>
      </c>
      <c r="H3217" s="157" t="s">
        <v>6019</v>
      </c>
      <c r="I3217" s="18"/>
      <c r="J3217" s="18"/>
      <c r="K3217" s="18" t="s">
        <v>6020</v>
      </c>
      <c r="L3217" s="18" t="s">
        <v>6021</v>
      </c>
      <c r="M3217" s="18" t="s">
        <v>6022</v>
      </c>
      <c r="N3217" s="18" t="s">
        <v>271</v>
      </c>
      <c r="O3217" s="18">
        <v>1</v>
      </c>
      <c r="P3217" s="16">
        <v>1</v>
      </c>
      <c r="Q3217" s="16">
        <v>1</v>
      </c>
      <c r="R3217" s="16">
        <v>1</v>
      </c>
      <c r="S3217" s="16">
        <v>1</v>
      </c>
      <c r="T3217" s="18" t="s">
        <v>6023</v>
      </c>
      <c r="U3217" t="e">
        <v>#N/A</v>
      </c>
      <c r="V3217" s="18" t="s">
        <v>6024</v>
      </c>
      <c r="W3217" s="283"/>
      <c r="X3217" s="283"/>
      <c r="Y3217" s="283"/>
      <c r="Z3217" s="283"/>
      <c r="AA3217" s="283"/>
      <c r="AB3217" s="283"/>
      <c r="AC3217" s="283"/>
      <c r="AD3217" s="283"/>
      <c r="AE3217" s="49">
        <v>0.75</v>
      </c>
      <c r="AF3217" s="64"/>
      <c r="AG3217" s="283"/>
      <c r="AH3217" s="259"/>
      <c r="AI3217" s="259">
        <v>2.5</v>
      </c>
      <c r="AJ3217" s="259">
        <v>2.5</v>
      </c>
      <c r="AK3217" s="260">
        <v>2.5</v>
      </c>
      <c r="AL3217" s="260">
        <v>2.5</v>
      </c>
      <c r="AM3217" s="259">
        <v>5</v>
      </c>
      <c r="AN3217" s="18" t="s">
        <v>2172</v>
      </c>
      <c r="AO3217" s="18" t="s">
        <v>2236</v>
      </c>
      <c r="AP3217" s="18" t="s">
        <v>5676</v>
      </c>
    </row>
    <row r="3218" spans="1:42" customFormat="1" x14ac:dyDescent="0.3">
      <c r="A3218" s="18" t="s">
        <v>1463</v>
      </c>
      <c r="B3218" s="18" t="s">
        <v>5664</v>
      </c>
      <c r="C3218" s="18" t="s">
        <v>1466</v>
      </c>
      <c r="D3218" s="18" t="s">
        <v>5940</v>
      </c>
      <c r="E3218" s="18" t="s">
        <v>1467</v>
      </c>
      <c r="F3218" s="18" t="s">
        <v>5941</v>
      </c>
      <c r="G3218" s="18" t="s">
        <v>6018</v>
      </c>
      <c r="H3218" s="157" t="s">
        <v>6019</v>
      </c>
      <c r="I3218" s="18"/>
      <c r="J3218" s="18"/>
      <c r="K3218" s="18" t="s">
        <v>6025</v>
      </c>
      <c r="L3218" s="18" t="s">
        <v>6026</v>
      </c>
      <c r="M3218" s="18" t="s">
        <v>6027</v>
      </c>
      <c r="N3218" s="18"/>
      <c r="O3218" s="18"/>
      <c r="P3218" s="16">
        <v>1</v>
      </c>
      <c r="Q3218" s="16"/>
      <c r="R3218" s="16"/>
      <c r="S3218" s="16"/>
      <c r="T3218" s="18" t="s">
        <v>2234</v>
      </c>
      <c r="U3218" t="s">
        <v>2236</v>
      </c>
      <c r="V3218" s="18" t="s">
        <v>6028</v>
      </c>
      <c r="W3218" s="283"/>
      <c r="X3218" s="283"/>
      <c r="Y3218" s="283"/>
      <c r="Z3218" s="283"/>
      <c r="AA3218" s="283"/>
      <c r="AB3218" s="283"/>
      <c r="AC3218" s="283"/>
      <c r="AD3218" s="283"/>
      <c r="AE3218" s="49">
        <v>0.875</v>
      </c>
      <c r="AF3218" s="64"/>
      <c r="AG3218" s="283"/>
      <c r="AH3218" s="259"/>
      <c r="AI3218" s="259">
        <v>0.2</v>
      </c>
      <c r="AJ3218" s="259"/>
      <c r="AK3218" s="260"/>
      <c r="AL3218" s="260"/>
      <c r="AM3218" s="259">
        <v>0</v>
      </c>
      <c r="AN3218" s="18" t="s">
        <v>2234</v>
      </c>
      <c r="AO3218" s="18" t="s">
        <v>2236</v>
      </c>
      <c r="AP3218" s="18"/>
    </row>
    <row r="3219" spans="1:42" customFormat="1" x14ac:dyDescent="0.3">
      <c r="A3219" s="18" t="s">
        <v>1463</v>
      </c>
      <c r="B3219" s="18" t="s">
        <v>5664</v>
      </c>
      <c r="C3219" s="18" t="s">
        <v>1466</v>
      </c>
      <c r="D3219" s="18" t="s">
        <v>5940</v>
      </c>
      <c r="E3219" s="18" t="s">
        <v>1467</v>
      </c>
      <c r="F3219" s="18" t="s">
        <v>5941</v>
      </c>
      <c r="G3219" s="18" t="s">
        <v>6018</v>
      </c>
      <c r="H3219" s="157" t="s">
        <v>6019</v>
      </c>
      <c r="I3219" s="18"/>
      <c r="J3219" s="18"/>
      <c r="K3219" s="18" t="s">
        <v>6025</v>
      </c>
      <c r="L3219" s="18" t="s">
        <v>6026</v>
      </c>
      <c r="M3219" s="18" t="s">
        <v>6029</v>
      </c>
      <c r="N3219" s="18"/>
      <c r="O3219" s="18"/>
      <c r="P3219" s="38">
        <v>1</v>
      </c>
      <c r="Q3219" s="38">
        <v>1</v>
      </c>
      <c r="R3219" s="38">
        <v>1</v>
      </c>
      <c r="S3219" s="38">
        <v>1</v>
      </c>
      <c r="T3219" s="18" t="s">
        <v>2234</v>
      </c>
      <c r="U3219" t="s">
        <v>2236</v>
      </c>
      <c r="V3219" s="18" t="s">
        <v>6030</v>
      </c>
      <c r="W3219" s="283"/>
      <c r="X3219" s="283"/>
      <c r="Y3219" s="283"/>
      <c r="Z3219" s="283"/>
      <c r="AA3219" s="283"/>
      <c r="AB3219" s="283"/>
      <c r="AC3219" s="283"/>
      <c r="AD3219" s="283"/>
      <c r="AE3219" s="49">
        <v>0.875</v>
      </c>
      <c r="AF3219" s="64"/>
      <c r="AG3219" s="283"/>
      <c r="AH3219" s="259"/>
      <c r="AI3219" s="259">
        <v>1.8</v>
      </c>
      <c r="AJ3219" s="259">
        <v>1.8</v>
      </c>
      <c r="AK3219" s="260">
        <v>0</v>
      </c>
      <c r="AL3219" s="260">
        <v>1.8</v>
      </c>
      <c r="AM3219" s="259">
        <v>3.6</v>
      </c>
      <c r="AN3219" s="18" t="s">
        <v>2234</v>
      </c>
      <c r="AO3219" s="18" t="s">
        <v>2236</v>
      </c>
      <c r="AP3219" s="18"/>
    </row>
    <row r="3220" spans="1:42" customFormat="1" x14ac:dyDescent="0.3">
      <c r="A3220" s="18" t="s">
        <v>1463</v>
      </c>
      <c r="B3220" s="18" t="s">
        <v>5664</v>
      </c>
      <c r="C3220" s="18" t="s">
        <v>1466</v>
      </c>
      <c r="D3220" s="18" t="s">
        <v>5940</v>
      </c>
      <c r="E3220" s="18" t="s">
        <v>1467</v>
      </c>
      <c r="F3220" s="18" t="s">
        <v>5941</v>
      </c>
      <c r="G3220" s="18" t="s">
        <v>6018</v>
      </c>
      <c r="H3220" s="157" t="s">
        <v>6019</v>
      </c>
      <c r="I3220" s="18"/>
      <c r="J3220" s="18"/>
      <c r="K3220" s="18" t="s">
        <v>6031</v>
      </c>
      <c r="L3220" s="18" t="s">
        <v>6032</v>
      </c>
      <c r="M3220" s="18" t="s">
        <v>6033</v>
      </c>
      <c r="N3220" s="18"/>
      <c r="O3220" s="18">
        <v>1</v>
      </c>
      <c r="P3220" s="16">
        <v>1</v>
      </c>
      <c r="Q3220" s="16">
        <v>1</v>
      </c>
      <c r="R3220" s="16">
        <v>1</v>
      </c>
      <c r="S3220" s="16">
        <v>1</v>
      </c>
      <c r="T3220" s="18" t="s">
        <v>2234</v>
      </c>
      <c r="U3220" t="s">
        <v>2236</v>
      </c>
      <c r="V3220" s="243" t="s">
        <v>6034</v>
      </c>
      <c r="W3220" s="283"/>
      <c r="X3220" s="283"/>
      <c r="Y3220" s="283"/>
      <c r="Z3220" s="283"/>
      <c r="AA3220" s="283"/>
      <c r="AB3220" s="283"/>
      <c r="AC3220" s="283"/>
      <c r="AD3220" s="283"/>
      <c r="AE3220" s="49">
        <v>0.75</v>
      </c>
      <c r="AF3220" s="64"/>
      <c r="AG3220" s="283"/>
      <c r="AH3220" s="259">
        <v>0.6</v>
      </c>
      <c r="AI3220" s="259">
        <v>0.6</v>
      </c>
      <c r="AJ3220" s="259">
        <v>0.6</v>
      </c>
      <c r="AK3220" s="260">
        <v>0.6</v>
      </c>
      <c r="AL3220" s="260">
        <v>0.6</v>
      </c>
      <c r="AM3220" s="259">
        <v>1.2</v>
      </c>
      <c r="AN3220" s="18" t="s">
        <v>2234</v>
      </c>
      <c r="AO3220" s="18" t="s">
        <v>2236</v>
      </c>
      <c r="AP3220" s="18"/>
    </row>
    <row r="3221" spans="1:42" s="10" customFormat="1" x14ac:dyDescent="0.3">
      <c r="A3221" s="18" t="s">
        <v>1463</v>
      </c>
      <c r="B3221" s="18" t="s">
        <v>5664</v>
      </c>
      <c r="C3221" s="18" t="s">
        <v>1466</v>
      </c>
      <c r="D3221" s="18" t="s">
        <v>5940</v>
      </c>
      <c r="E3221" s="18" t="s">
        <v>1467</v>
      </c>
      <c r="F3221" s="18" t="s">
        <v>5941</v>
      </c>
      <c r="G3221" s="18" t="s">
        <v>6018</v>
      </c>
      <c r="H3221" s="157" t="s">
        <v>6019</v>
      </c>
      <c r="I3221" s="18"/>
      <c r="J3221" s="18"/>
      <c r="K3221" s="18" t="s">
        <v>6025</v>
      </c>
      <c r="L3221" s="18" t="s">
        <v>6026</v>
      </c>
      <c r="M3221" s="18" t="s">
        <v>6027</v>
      </c>
      <c r="N3221" s="18"/>
      <c r="O3221" s="18"/>
      <c r="P3221" s="16">
        <v>1</v>
      </c>
      <c r="Q3221" s="16"/>
      <c r="R3221" s="16"/>
      <c r="S3221" s="16"/>
      <c r="T3221" s="18" t="s">
        <v>2234</v>
      </c>
      <c r="U3221" t="str">
        <f>VLOOKUP(T3221,[8]Votes!$A$1:$E$234,3,FALSE)</f>
        <v>005 Ministry of Public Service</v>
      </c>
      <c r="V3221" s="18" t="s">
        <v>6028</v>
      </c>
      <c r="AE3221" s="49">
        <v>0.75</v>
      </c>
      <c r="AH3221" s="259"/>
      <c r="AI3221" s="259">
        <v>0.2</v>
      </c>
      <c r="AJ3221" s="259"/>
      <c r="AK3221" s="260">
        <v>0.2</v>
      </c>
      <c r="AL3221" s="260"/>
      <c r="AM3221" s="259">
        <f>SUM(AK3221:AL3221)</f>
        <v>0.2</v>
      </c>
      <c r="AN3221" s="18" t="s">
        <v>2234</v>
      </c>
      <c r="AO3221" s="18" t="s">
        <v>2236</v>
      </c>
      <c r="AP3221" s="18"/>
    </row>
    <row r="3222" spans="1:42" s="10" customFormat="1" x14ac:dyDescent="0.3">
      <c r="A3222" s="18" t="s">
        <v>1463</v>
      </c>
      <c r="B3222" s="18" t="s">
        <v>5664</v>
      </c>
      <c r="C3222" s="18" t="s">
        <v>1466</v>
      </c>
      <c r="D3222" s="18" t="s">
        <v>5940</v>
      </c>
      <c r="E3222" s="18" t="s">
        <v>1467</v>
      </c>
      <c r="F3222" s="18" t="s">
        <v>5941</v>
      </c>
      <c r="G3222" s="18" t="s">
        <v>6018</v>
      </c>
      <c r="H3222" s="157" t="s">
        <v>6019</v>
      </c>
      <c r="I3222" s="18"/>
      <c r="J3222" s="18"/>
      <c r="K3222" s="18" t="s">
        <v>6025</v>
      </c>
      <c r="L3222" s="18" t="s">
        <v>6026</v>
      </c>
      <c r="M3222" s="18" t="s">
        <v>6029</v>
      </c>
      <c r="N3222" s="18"/>
      <c r="O3222" s="18"/>
      <c r="P3222" s="38">
        <v>1</v>
      </c>
      <c r="Q3222" s="38">
        <v>1</v>
      </c>
      <c r="R3222" s="38">
        <v>1</v>
      </c>
      <c r="S3222" s="38">
        <v>1</v>
      </c>
      <c r="T3222" s="18" t="s">
        <v>2234</v>
      </c>
      <c r="U3222" t="str">
        <f>VLOOKUP(T3222,[8]Votes!$A$1:$E$234,3,FALSE)</f>
        <v>005 Ministry of Public Service</v>
      </c>
      <c r="V3222" s="18" t="s">
        <v>6030</v>
      </c>
      <c r="AE3222" s="49">
        <v>0.75</v>
      </c>
      <c r="AH3222" s="259"/>
      <c r="AI3222" s="259">
        <v>1.8</v>
      </c>
      <c r="AJ3222" s="259">
        <v>1.8</v>
      </c>
      <c r="AK3222" s="260">
        <v>1.8</v>
      </c>
      <c r="AL3222" s="260">
        <v>1.8</v>
      </c>
      <c r="AM3222" s="259">
        <f>SUM(AK3222:AL3222)</f>
        <v>3.6</v>
      </c>
      <c r="AN3222" s="18" t="s">
        <v>2234</v>
      </c>
      <c r="AO3222" s="18" t="s">
        <v>2236</v>
      </c>
      <c r="AP3222" s="18"/>
    </row>
    <row r="3223" spans="1:42" s="10" customFormat="1" x14ac:dyDescent="0.3">
      <c r="A3223" s="156" t="s">
        <v>1463</v>
      </c>
      <c r="B3223" s="18" t="s">
        <v>5664</v>
      </c>
      <c r="C3223" s="18">
        <v>143</v>
      </c>
      <c r="D3223" s="18" t="s">
        <v>5940</v>
      </c>
      <c r="E3223" s="18" t="s">
        <v>11664</v>
      </c>
      <c r="F3223" s="18" t="s">
        <v>5941</v>
      </c>
      <c r="G3223" s="18" t="s">
        <v>6096</v>
      </c>
      <c r="H3223" s="157" t="s">
        <v>6019</v>
      </c>
      <c r="I3223" s="18"/>
      <c r="J3223" s="18"/>
      <c r="K3223" s="18"/>
      <c r="L3223" s="395" t="s">
        <v>11675</v>
      </c>
      <c r="M3223" s="395" t="s">
        <v>11676</v>
      </c>
      <c r="N3223" s="18"/>
      <c r="O3223" s="18"/>
      <c r="P3223" s="38"/>
      <c r="Q3223" s="38"/>
      <c r="R3223" s="16">
        <v>40</v>
      </c>
      <c r="S3223" s="16">
        <v>40</v>
      </c>
      <c r="T3223" s="18" t="s">
        <v>11677</v>
      </c>
      <c r="U3223">
        <v>23</v>
      </c>
      <c r="V3223" s="394" t="s">
        <v>11678</v>
      </c>
      <c r="AE3223" s="49">
        <v>0.75</v>
      </c>
      <c r="AH3223" s="259"/>
      <c r="AI3223" s="259"/>
      <c r="AJ3223" s="259"/>
      <c r="AK3223" s="260">
        <v>0.5</v>
      </c>
      <c r="AL3223" s="260">
        <v>0.5</v>
      </c>
      <c r="AM3223" s="259">
        <v>1</v>
      </c>
      <c r="AN3223" s="18" t="s">
        <v>11677</v>
      </c>
      <c r="AO3223" s="18" t="s">
        <v>11670</v>
      </c>
      <c r="AP3223" s="18" t="s">
        <v>255</v>
      </c>
    </row>
    <row r="3224" spans="1:42" customFormat="1" x14ac:dyDescent="0.3">
      <c r="A3224" s="18" t="s">
        <v>1463</v>
      </c>
      <c r="B3224" s="18" t="s">
        <v>5664</v>
      </c>
      <c r="C3224" s="18" t="s">
        <v>1466</v>
      </c>
      <c r="D3224" s="18" t="s">
        <v>5940</v>
      </c>
      <c r="E3224" s="18" t="s">
        <v>1467</v>
      </c>
      <c r="F3224" s="18" t="s">
        <v>5941</v>
      </c>
      <c r="G3224" s="18" t="s">
        <v>6018</v>
      </c>
      <c r="H3224" s="157" t="s">
        <v>6019</v>
      </c>
      <c r="I3224" s="18"/>
      <c r="J3224" s="18"/>
      <c r="K3224" s="18" t="s">
        <v>6035</v>
      </c>
      <c r="L3224" s="18" t="s">
        <v>6036</v>
      </c>
      <c r="M3224" s="18" t="s">
        <v>6037</v>
      </c>
      <c r="N3224" s="18"/>
      <c r="O3224" s="18">
        <v>1</v>
      </c>
      <c r="P3224" s="16">
        <v>1</v>
      </c>
      <c r="Q3224" s="16">
        <v>1</v>
      </c>
      <c r="R3224" s="16">
        <v>1</v>
      </c>
      <c r="S3224" s="16">
        <v>1</v>
      </c>
      <c r="T3224" s="18" t="s">
        <v>5676</v>
      </c>
      <c r="U3224" t="s">
        <v>5735</v>
      </c>
      <c r="V3224" s="18" t="s">
        <v>6038</v>
      </c>
      <c r="W3224" s="283"/>
      <c r="X3224" s="283"/>
      <c r="Y3224" s="283"/>
      <c r="Z3224" s="283"/>
      <c r="AA3224" s="283"/>
      <c r="AB3224" s="283"/>
      <c r="AC3224" s="283"/>
      <c r="AD3224" s="283"/>
      <c r="AE3224" s="49">
        <v>0.75</v>
      </c>
      <c r="AF3224" s="64"/>
      <c r="AG3224" s="283"/>
      <c r="AH3224" s="259">
        <v>0.1</v>
      </c>
      <c r="AI3224" s="259">
        <v>0.1</v>
      </c>
      <c r="AJ3224" s="259">
        <v>0.1</v>
      </c>
      <c r="AK3224" s="260">
        <v>0.1</v>
      </c>
      <c r="AL3224" s="260">
        <v>0.1</v>
      </c>
      <c r="AM3224" s="259">
        <v>0.2</v>
      </c>
      <c r="AN3224" s="18" t="s">
        <v>5676</v>
      </c>
      <c r="AO3224" s="18" t="s">
        <v>5735</v>
      </c>
      <c r="AP3224" s="18"/>
    </row>
    <row r="3225" spans="1:42" customFormat="1" x14ac:dyDescent="0.3">
      <c r="A3225" s="18" t="s">
        <v>1463</v>
      </c>
      <c r="B3225" s="18" t="s">
        <v>5664</v>
      </c>
      <c r="C3225" s="18" t="s">
        <v>1466</v>
      </c>
      <c r="D3225" s="18" t="s">
        <v>5940</v>
      </c>
      <c r="E3225" s="18" t="s">
        <v>1467</v>
      </c>
      <c r="F3225" s="18" t="s">
        <v>5941</v>
      </c>
      <c r="G3225" s="18" t="s">
        <v>6018</v>
      </c>
      <c r="H3225" s="157" t="s">
        <v>6019</v>
      </c>
      <c r="I3225" s="18"/>
      <c r="J3225" s="18"/>
      <c r="K3225" s="18" t="s">
        <v>6035</v>
      </c>
      <c r="L3225" s="18" t="s">
        <v>6036</v>
      </c>
      <c r="M3225" s="18" t="s">
        <v>6039</v>
      </c>
      <c r="N3225" s="18">
        <v>20</v>
      </c>
      <c r="O3225" s="18">
        <v>30</v>
      </c>
      <c r="P3225" s="16">
        <v>40</v>
      </c>
      <c r="Q3225" s="16">
        <v>80</v>
      </c>
      <c r="R3225" s="16">
        <v>150</v>
      </c>
      <c r="S3225" s="16">
        <v>200</v>
      </c>
      <c r="T3225" s="18" t="s">
        <v>5676</v>
      </c>
      <c r="U3225" t="s">
        <v>5735</v>
      </c>
      <c r="V3225" s="18" t="s">
        <v>6040</v>
      </c>
      <c r="W3225" s="283"/>
      <c r="X3225" s="283"/>
      <c r="Y3225" s="283"/>
      <c r="Z3225" s="283"/>
      <c r="AA3225" s="283"/>
      <c r="AB3225" s="283"/>
      <c r="AC3225" s="283"/>
      <c r="AD3225" s="283"/>
      <c r="AE3225" s="49">
        <v>1</v>
      </c>
      <c r="AF3225" s="64"/>
      <c r="AG3225" s="283"/>
      <c r="AH3225" s="259">
        <v>0.03</v>
      </c>
      <c r="AI3225" s="259">
        <v>0.06</v>
      </c>
      <c r="AJ3225" s="259">
        <v>0.1</v>
      </c>
      <c r="AK3225" s="260">
        <v>1</v>
      </c>
      <c r="AL3225" s="260">
        <v>0.18</v>
      </c>
      <c r="AM3225" s="259">
        <v>0.28199999999999997</v>
      </c>
      <c r="AN3225" s="18" t="s">
        <v>5676</v>
      </c>
      <c r="AO3225" s="18" t="s">
        <v>5735</v>
      </c>
      <c r="AP3225" s="18"/>
    </row>
    <row r="3226" spans="1:42" customFormat="1" x14ac:dyDescent="0.3">
      <c r="A3226" s="18" t="s">
        <v>1463</v>
      </c>
      <c r="B3226" s="18" t="s">
        <v>5664</v>
      </c>
      <c r="C3226" s="18" t="s">
        <v>1466</v>
      </c>
      <c r="D3226" s="18" t="s">
        <v>5940</v>
      </c>
      <c r="E3226" s="18" t="s">
        <v>1467</v>
      </c>
      <c r="F3226" s="18" t="s">
        <v>5941</v>
      </c>
      <c r="G3226" s="18" t="s">
        <v>6018</v>
      </c>
      <c r="H3226" s="157" t="s">
        <v>6019</v>
      </c>
      <c r="I3226" s="18"/>
      <c r="J3226" s="18"/>
      <c r="K3226" s="18" t="s">
        <v>6041</v>
      </c>
      <c r="L3226" s="18" t="s">
        <v>6042</v>
      </c>
      <c r="M3226" s="18" t="s">
        <v>6043</v>
      </c>
      <c r="N3226" s="162"/>
      <c r="O3226" s="18">
        <v>1</v>
      </c>
      <c r="P3226" s="16">
        <v>1</v>
      </c>
      <c r="Q3226" s="16">
        <v>1</v>
      </c>
      <c r="R3226" s="16">
        <v>1</v>
      </c>
      <c r="S3226" s="16">
        <v>1</v>
      </c>
      <c r="T3226" s="18" t="s">
        <v>2234</v>
      </c>
      <c r="U3226" t="s">
        <v>2236</v>
      </c>
      <c r="V3226" s="18" t="s">
        <v>6044</v>
      </c>
      <c r="W3226" s="283"/>
      <c r="X3226" s="283"/>
      <c r="Y3226" s="283"/>
      <c r="Z3226" s="283"/>
      <c r="AA3226" s="283"/>
      <c r="AB3226" s="283"/>
      <c r="AC3226" s="283"/>
      <c r="AD3226" s="283"/>
      <c r="AE3226" s="49">
        <v>1</v>
      </c>
      <c r="AF3226" s="64"/>
      <c r="AG3226" s="283"/>
      <c r="AH3226" s="259">
        <v>4.8000000000000001E-2</v>
      </c>
      <c r="AI3226" s="259">
        <v>4.8000000000000001E-2</v>
      </c>
      <c r="AJ3226" s="259">
        <v>4.8000000000000001E-2</v>
      </c>
      <c r="AK3226" s="260">
        <v>4.8000000000000001E-2</v>
      </c>
      <c r="AL3226" s="260">
        <v>4.8000000000000001E-2</v>
      </c>
      <c r="AM3226" s="259">
        <v>9.6000000000000002E-2</v>
      </c>
      <c r="AN3226" s="18" t="s">
        <v>2234</v>
      </c>
      <c r="AO3226" s="18" t="s">
        <v>2236</v>
      </c>
      <c r="AP3226" s="18"/>
    </row>
    <row r="3227" spans="1:42" customFormat="1" x14ac:dyDescent="0.3">
      <c r="A3227" s="18" t="s">
        <v>1463</v>
      </c>
      <c r="B3227" s="18" t="s">
        <v>5664</v>
      </c>
      <c r="C3227" s="18" t="s">
        <v>1466</v>
      </c>
      <c r="D3227" s="18" t="s">
        <v>5940</v>
      </c>
      <c r="E3227" s="18" t="s">
        <v>1467</v>
      </c>
      <c r="F3227" s="18" t="s">
        <v>5941</v>
      </c>
      <c r="G3227" s="18" t="s">
        <v>6018</v>
      </c>
      <c r="H3227" s="157" t="s">
        <v>6019</v>
      </c>
      <c r="I3227" s="18"/>
      <c r="J3227" s="18"/>
      <c r="K3227" s="18" t="s">
        <v>6041</v>
      </c>
      <c r="L3227" s="18" t="s">
        <v>6042</v>
      </c>
      <c r="M3227" s="18" t="s">
        <v>6045</v>
      </c>
      <c r="N3227" s="162"/>
      <c r="O3227" s="18">
        <v>100</v>
      </c>
      <c r="P3227" s="16">
        <v>100</v>
      </c>
      <c r="Q3227" s="16">
        <v>100</v>
      </c>
      <c r="R3227" s="16">
        <v>100</v>
      </c>
      <c r="S3227" s="16">
        <v>100</v>
      </c>
      <c r="T3227" s="18" t="s">
        <v>2234</v>
      </c>
      <c r="U3227" t="s">
        <v>2236</v>
      </c>
      <c r="V3227" s="18" t="s">
        <v>6046</v>
      </c>
      <c r="W3227" s="283"/>
      <c r="X3227" s="283"/>
      <c r="Y3227" s="283"/>
      <c r="Z3227" s="283"/>
      <c r="AA3227" s="283"/>
      <c r="AB3227" s="283"/>
      <c r="AC3227" s="283"/>
      <c r="AD3227" s="283"/>
      <c r="AE3227" s="49">
        <v>1</v>
      </c>
      <c r="AF3227" s="64"/>
      <c r="AG3227" s="283"/>
      <c r="AH3227" s="259">
        <v>0.19</v>
      </c>
      <c r="AI3227" s="259">
        <v>0.19</v>
      </c>
      <c r="AJ3227" s="259">
        <v>0.19</v>
      </c>
      <c r="AK3227" s="260">
        <v>0.4</v>
      </c>
      <c r="AL3227" s="260">
        <v>0.19</v>
      </c>
      <c r="AM3227" s="259">
        <v>0.38</v>
      </c>
      <c r="AN3227" s="18" t="s">
        <v>2234</v>
      </c>
      <c r="AO3227" s="18" t="s">
        <v>2236</v>
      </c>
      <c r="AP3227" s="18"/>
    </row>
    <row r="3228" spans="1:42" customFormat="1" x14ac:dyDescent="0.3">
      <c r="A3228" s="18" t="s">
        <v>1463</v>
      </c>
      <c r="B3228" s="18" t="s">
        <v>5664</v>
      </c>
      <c r="C3228" s="18" t="s">
        <v>1466</v>
      </c>
      <c r="D3228" s="18" t="s">
        <v>5940</v>
      </c>
      <c r="E3228" s="18" t="s">
        <v>1467</v>
      </c>
      <c r="F3228" s="18" t="s">
        <v>5941</v>
      </c>
      <c r="G3228" s="18" t="s">
        <v>6018</v>
      </c>
      <c r="H3228" s="157" t="s">
        <v>6019</v>
      </c>
      <c r="I3228" s="18"/>
      <c r="J3228" s="18"/>
      <c r="K3228" s="18" t="s">
        <v>6041</v>
      </c>
      <c r="L3228" s="18" t="s">
        <v>6042</v>
      </c>
      <c r="M3228" s="18" t="s">
        <v>6047</v>
      </c>
      <c r="N3228" s="162"/>
      <c r="O3228" s="18">
        <v>140</v>
      </c>
      <c r="P3228" s="16">
        <v>140</v>
      </c>
      <c r="Q3228" s="16">
        <v>140</v>
      </c>
      <c r="R3228" s="16">
        <v>140</v>
      </c>
      <c r="S3228" s="16">
        <v>140</v>
      </c>
      <c r="T3228" s="18" t="s">
        <v>2234</v>
      </c>
      <c r="U3228" t="s">
        <v>2236</v>
      </c>
      <c r="V3228" s="18" t="s">
        <v>6048</v>
      </c>
      <c r="W3228" s="283"/>
      <c r="X3228" s="283"/>
      <c r="Y3228" s="283"/>
      <c r="Z3228" s="283"/>
      <c r="AA3228" s="283"/>
      <c r="AB3228" s="283"/>
      <c r="AC3228" s="283"/>
      <c r="AD3228" s="283"/>
      <c r="AE3228" s="49">
        <v>1</v>
      </c>
      <c r="AF3228" s="64"/>
      <c r="AG3228" s="283"/>
      <c r="AH3228" s="259">
        <v>6.7000000000000004E-2</v>
      </c>
      <c r="AI3228" s="259">
        <v>0.68</v>
      </c>
      <c r="AJ3228" s="259">
        <v>0.68</v>
      </c>
      <c r="AK3228" s="260">
        <v>0.68</v>
      </c>
      <c r="AL3228" s="260">
        <v>0.68</v>
      </c>
      <c r="AM3228" s="259">
        <v>1.36</v>
      </c>
      <c r="AN3228" s="18" t="s">
        <v>2234</v>
      </c>
      <c r="AO3228" s="18" t="s">
        <v>2236</v>
      </c>
      <c r="AP3228" s="18"/>
    </row>
    <row r="3229" spans="1:42" customFormat="1" x14ac:dyDescent="0.3">
      <c r="A3229" s="18" t="s">
        <v>1463</v>
      </c>
      <c r="B3229" s="18" t="s">
        <v>5664</v>
      </c>
      <c r="C3229" s="18" t="s">
        <v>1466</v>
      </c>
      <c r="D3229" s="18" t="s">
        <v>5940</v>
      </c>
      <c r="E3229" s="18" t="s">
        <v>1467</v>
      </c>
      <c r="F3229" s="18" t="s">
        <v>5941</v>
      </c>
      <c r="G3229" s="18" t="s">
        <v>6018</v>
      </c>
      <c r="H3229" s="157" t="s">
        <v>6019</v>
      </c>
      <c r="I3229" s="18"/>
      <c r="J3229" s="18"/>
      <c r="K3229" s="18" t="s">
        <v>6041</v>
      </c>
      <c r="L3229" s="18" t="s">
        <v>6042</v>
      </c>
      <c r="M3229" s="18" t="s">
        <v>6049</v>
      </c>
      <c r="N3229" s="162"/>
      <c r="O3229" s="18">
        <v>4</v>
      </c>
      <c r="P3229" s="16">
        <v>4</v>
      </c>
      <c r="Q3229" s="16">
        <v>4</v>
      </c>
      <c r="R3229" s="16">
        <v>4</v>
      </c>
      <c r="S3229" s="16">
        <v>4</v>
      </c>
      <c r="T3229" s="18" t="s">
        <v>2234</v>
      </c>
      <c r="U3229" t="s">
        <v>2236</v>
      </c>
      <c r="V3229" s="18" t="s">
        <v>6050</v>
      </c>
      <c r="W3229" s="283"/>
      <c r="X3229" s="283"/>
      <c r="Y3229" s="283"/>
      <c r="Z3229" s="283"/>
      <c r="AA3229" s="283"/>
      <c r="AB3229" s="283"/>
      <c r="AC3229" s="283"/>
      <c r="AD3229" s="283"/>
      <c r="AE3229" s="49">
        <v>1</v>
      </c>
      <c r="AF3229" s="64"/>
      <c r="AG3229" s="283"/>
      <c r="AH3229" s="259">
        <v>0.02</v>
      </c>
      <c r="AI3229" s="259">
        <v>0.02</v>
      </c>
      <c r="AJ3229" s="259">
        <v>0.02</v>
      </c>
      <c r="AK3229" s="260">
        <v>0.02</v>
      </c>
      <c r="AL3229" s="260">
        <v>0.02</v>
      </c>
      <c r="AM3229" s="259">
        <v>0.04</v>
      </c>
      <c r="AN3229" s="18" t="s">
        <v>2234</v>
      </c>
      <c r="AO3229" s="18" t="s">
        <v>2236</v>
      </c>
      <c r="AP3229" s="18"/>
    </row>
    <row r="3230" spans="1:42" customFormat="1" x14ac:dyDescent="0.3">
      <c r="A3230" s="18" t="s">
        <v>1463</v>
      </c>
      <c r="B3230" s="18" t="s">
        <v>5664</v>
      </c>
      <c r="C3230" s="18" t="s">
        <v>1466</v>
      </c>
      <c r="D3230" s="18" t="s">
        <v>5940</v>
      </c>
      <c r="E3230" s="18" t="s">
        <v>1467</v>
      </c>
      <c r="F3230" s="18" t="s">
        <v>5941</v>
      </c>
      <c r="G3230" s="18" t="s">
        <v>6018</v>
      </c>
      <c r="H3230" s="157" t="s">
        <v>6019</v>
      </c>
      <c r="I3230" s="18"/>
      <c r="J3230" s="18"/>
      <c r="K3230" s="18" t="s">
        <v>6051</v>
      </c>
      <c r="L3230" s="18" t="s">
        <v>6052</v>
      </c>
      <c r="M3230" s="18" t="s">
        <v>6053</v>
      </c>
      <c r="N3230" s="162"/>
      <c r="O3230" s="18">
        <v>243</v>
      </c>
      <c r="P3230" s="16">
        <v>243</v>
      </c>
      <c r="Q3230" s="16">
        <v>243</v>
      </c>
      <c r="R3230" s="16">
        <v>243</v>
      </c>
      <c r="S3230" s="16">
        <v>243</v>
      </c>
      <c r="T3230" s="18" t="s">
        <v>2234</v>
      </c>
      <c r="U3230" t="s">
        <v>2236</v>
      </c>
      <c r="V3230" s="18" t="s">
        <v>6054</v>
      </c>
      <c r="W3230" s="283"/>
      <c r="X3230" s="283"/>
      <c r="Y3230" s="283"/>
      <c r="Z3230" s="283"/>
      <c r="AA3230" s="283"/>
      <c r="AB3230" s="283"/>
      <c r="AC3230" s="283"/>
      <c r="AD3230" s="283"/>
      <c r="AE3230" s="49">
        <v>1</v>
      </c>
      <c r="AF3230" s="64"/>
      <c r="AG3230" s="283"/>
      <c r="AH3230" s="259">
        <v>6.7000000000000004E-2</v>
      </c>
      <c r="AI3230" s="259">
        <v>6.7000000000000004E-2</v>
      </c>
      <c r="AJ3230" s="259">
        <v>6.7000000000000004E-2</v>
      </c>
      <c r="AK3230" s="260">
        <v>6.7000000000000004E-2</v>
      </c>
      <c r="AL3230" s="260">
        <v>0.67</v>
      </c>
      <c r="AM3230" s="259">
        <v>0.7370000000000001</v>
      </c>
      <c r="AN3230" s="18" t="s">
        <v>2234</v>
      </c>
      <c r="AO3230" s="18" t="s">
        <v>2236</v>
      </c>
      <c r="AP3230" s="18"/>
    </row>
    <row r="3231" spans="1:42" customFormat="1" x14ac:dyDescent="0.3">
      <c r="A3231" s="18" t="s">
        <v>1463</v>
      </c>
      <c r="B3231" s="18" t="s">
        <v>5664</v>
      </c>
      <c r="C3231" s="18" t="s">
        <v>1466</v>
      </c>
      <c r="D3231" s="18" t="s">
        <v>5940</v>
      </c>
      <c r="E3231" s="18" t="s">
        <v>1467</v>
      </c>
      <c r="F3231" s="18" t="s">
        <v>5941</v>
      </c>
      <c r="G3231" s="18" t="s">
        <v>6018</v>
      </c>
      <c r="H3231" s="157" t="s">
        <v>6019</v>
      </c>
      <c r="I3231" s="18"/>
      <c r="J3231" s="18"/>
      <c r="K3231" s="18" t="s">
        <v>6055</v>
      </c>
      <c r="L3231" s="18" t="s">
        <v>6056</v>
      </c>
      <c r="M3231" s="18" t="s">
        <v>6057</v>
      </c>
      <c r="N3231" s="162"/>
      <c r="O3231" s="18"/>
      <c r="P3231" s="16"/>
      <c r="Q3231" s="16"/>
      <c r="R3231" s="16"/>
      <c r="S3231" s="16">
        <v>1</v>
      </c>
      <c r="T3231" s="18" t="s">
        <v>2234</v>
      </c>
      <c r="U3231" t="s">
        <v>2236</v>
      </c>
      <c r="V3231" s="18" t="s">
        <v>6058</v>
      </c>
      <c r="W3231" s="283"/>
      <c r="X3231" s="283"/>
      <c r="Y3231" s="283"/>
      <c r="Z3231" s="283"/>
      <c r="AA3231" s="283"/>
      <c r="AB3231" s="283"/>
      <c r="AC3231" s="283"/>
      <c r="AD3231" s="283"/>
      <c r="AE3231" s="49">
        <v>1</v>
      </c>
      <c r="AF3231" s="64"/>
      <c r="AG3231" s="283"/>
      <c r="AH3231" s="259"/>
      <c r="AI3231" s="259"/>
      <c r="AJ3231" s="259"/>
      <c r="AK3231" s="260">
        <v>5.5E-2</v>
      </c>
      <c r="AL3231" s="260">
        <v>5.5E-2</v>
      </c>
      <c r="AM3231" s="259">
        <v>0.11</v>
      </c>
      <c r="AN3231" s="18" t="s">
        <v>2234</v>
      </c>
      <c r="AO3231" s="18" t="s">
        <v>2236</v>
      </c>
      <c r="AP3231" s="18"/>
    </row>
    <row r="3232" spans="1:42" customFormat="1" x14ac:dyDescent="0.3">
      <c r="A3232" s="18" t="s">
        <v>1463</v>
      </c>
      <c r="B3232" s="18" t="s">
        <v>5664</v>
      </c>
      <c r="C3232" s="18" t="s">
        <v>1466</v>
      </c>
      <c r="D3232" s="18" t="s">
        <v>5940</v>
      </c>
      <c r="E3232" s="18" t="s">
        <v>1467</v>
      </c>
      <c r="F3232" s="18" t="s">
        <v>5941</v>
      </c>
      <c r="G3232" s="18" t="s">
        <v>6018</v>
      </c>
      <c r="H3232" s="157" t="s">
        <v>6019</v>
      </c>
      <c r="I3232" s="18"/>
      <c r="J3232" s="18"/>
      <c r="K3232" s="18" t="s">
        <v>6055</v>
      </c>
      <c r="L3232" s="18" t="s">
        <v>6056</v>
      </c>
      <c r="M3232" s="18" t="s">
        <v>6059</v>
      </c>
      <c r="N3232" s="162"/>
      <c r="O3232" s="18">
        <v>50</v>
      </c>
      <c r="P3232" s="16">
        <v>50</v>
      </c>
      <c r="Q3232" s="16">
        <v>50</v>
      </c>
      <c r="R3232" s="16">
        <v>50</v>
      </c>
      <c r="S3232" s="16">
        <v>50</v>
      </c>
      <c r="T3232" s="18" t="s">
        <v>2234</v>
      </c>
      <c r="U3232" t="s">
        <v>2236</v>
      </c>
      <c r="V3232" s="18" t="s">
        <v>6060</v>
      </c>
      <c r="W3232" s="283"/>
      <c r="X3232" s="283"/>
      <c r="Y3232" s="283"/>
      <c r="Z3232" s="283"/>
      <c r="AA3232" s="283"/>
      <c r="AB3232" s="283"/>
      <c r="AC3232" s="283"/>
      <c r="AD3232" s="283"/>
      <c r="AE3232" s="49">
        <v>1</v>
      </c>
      <c r="AF3232" s="64"/>
      <c r="AG3232" s="283"/>
      <c r="AH3232" s="259">
        <v>4.4999999999999998E-2</v>
      </c>
      <c r="AI3232" s="259">
        <v>4.4999999999999998E-2</v>
      </c>
      <c r="AJ3232" s="259">
        <v>4.4999999999999998E-2</v>
      </c>
      <c r="AK3232" s="260">
        <v>0.2</v>
      </c>
      <c r="AL3232" s="260">
        <v>4.4999999999999998E-2</v>
      </c>
      <c r="AM3232" s="259">
        <v>0.09</v>
      </c>
      <c r="AN3232" s="18" t="s">
        <v>2234</v>
      </c>
      <c r="AO3232" s="18" t="s">
        <v>2236</v>
      </c>
      <c r="AP3232" s="18"/>
    </row>
    <row r="3233" spans="1:42" customFormat="1" x14ac:dyDescent="0.3">
      <c r="A3233" s="18" t="s">
        <v>1463</v>
      </c>
      <c r="B3233" s="18" t="s">
        <v>5664</v>
      </c>
      <c r="C3233" s="18" t="s">
        <v>1466</v>
      </c>
      <c r="D3233" s="18" t="s">
        <v>5940</v>
      </c>
      <c r="E3233" s="18" t="s">
        <v>1467</v>
      </c>
      <c r="F3233" s="18" t="s">
        <v>5941</v>
      </c>
      <c r="G3233" s="18" t="s">
        <v>6018</v>
      </c>
      <c r="H3233" s="157" t="s">
        <v>6019</v>
      </c>
      <c r="I3233" s="18"/>
      <c r="J3233" s="18"/>
      <c r="K3233" s="18" t="s">
        <v>6055</v>
      </c>
      <c r="L3233" s="18" t="s">
        <v>6056</v>
      </c>
      <c r="M3233" s="18" t="s">
        <v>6061</v>
      </c>
      <c r="N3233" s="162"/>
      <c r="O3233" s="18">
        <v>2500</v>
      </c>
      <c r="P3233" s="16">
        <v>3000</v>
      </c>
      <c r="Q3233" s="16">
        <v>3500</v>
      </c>
      <c r="R3233" s="16">
        <v>4000</v>
      </c>
      <c r="S3233" s="16">
        <v>4500</v>
      </c>
      <c r="T3233" s="18" t="s">
        <v>2234</v>
      </c>
      <c r="U3233" t="s">
        <v>2236</v>
      </c>
      <c r="V3233" s="18" t="s">
        <v>6062</v>
      </c>
      <c r="W3233" s="283"/>
      <c r="X3233" s="283"/>
      <c r="Y3233" s="283"/>
      <c r="Z3233" s="283"/>
      <c r="AA3233" s="283"/>
      <c r="AB3233" s="283"/>
      <c r="AC3233" s="283"/>
      <c r="AD3233" s="283"/>
      <c r="AE3233" s="49">
        <v>1</v>
      </c>
      <c r="AF3233" s="64"/>
      <c r="AG3233" s="283"/>
      <c r="AH3233" s="259">
        <v>0.6</v>
      </c>
      <c r="AI3233" s="259">
        <v>0.7</v>
      </c>
      <c r="AJ3233" s="259">
        <v>0.8</v>
      </c>
      <c r="AK3233" s="260">
        <v>0.9</v>
      </c>
      <c r="AL3233" s="260">
        <v>1</v>
      </c>
      <c r="AM3233" s="259">
        <v>1.9</v>
      </c>
      <c r="AN3233" s="18" t="s">
        <v>2234</v>
      </c>
      <c r="AO3233" s="18" t="s">
        <v>2236</v>
      </c>
      <c r="AP3233" s="18"/>
    </row>
    <row r="3234" spans="1:42" customFormat="1" x14ac:dyDescent="0.3">
      <c r="A3234" s="18" t="s">
        <v>1463</v>
      </c>
      <c r="B3234" s="18" t="s">
        <v>5664</v>
      </c>
      <c r="C3234" s="18" t="s">
        <v>1466</v>
      </c>
      <c r="D3234" s="18" t="s">
        <v>5940</v>
      </c>
      <c r="E3234" s="18" t="s">
        <v>1467</v>
      </c>
      <c r="F3234" s="18" t="s">
        <v>5941</v>
      </c>
      <c r="G3234" s="18" t="s">
        <v>6018</v>
      </c>
      <c r="H3234" s="157" t="s">
        <v>6019</v>
      </c>
      <c r="I3234" s="18"/>
      <c r="J3234" s="18"/>
      <c r="K3234" s="18" t="s">
        <v>6055</v>
      </c>
      <c r="L3234" s="18" t="s">
        <v>6056</v>
      </c>
      <c r="M3234" s="18" t="s">
        <v>6063</v>
      </c>
      <c r="N3234" s="162"/>
      <c r="O3234" s="18">
        <v>400</v>
      </c>
      <c r="P3234" s="16">
        <v>400</v>
      </c>
      <c r="Q3234" s="16">
        <v>400</v>
      </c>
      <c r="R3234" s="16">
        <v>400</v>
      </c>
      <c r="S3234" s="16">
        <v>400</v>
      </c>
      <c r="T3234" s="18" t="s">
        <v>2234</v>
      </c>
      <c r="U3234" t="s">
        <v>2236</v>
      </c>
      <c r="V3234" s="18" t="s">
        <v>6064</v>
      </c>
      <c r="W3234" s="283"/>
      <c r="X3234" s="283"/>
      <c r="Y3234" s="283"/>
      <c r="Z3234" s="283"/>
      <c r="AA3234" s="283"/>
      <c r="AB3234" s="283"/>
      <c r="AC3234" s="283"/>
      <c r="AD3234" s="283"/>
      <c r="AE3234" s="49">
        <v>0.75</v>
      </c>
      <c r="AF3234" s="64"/>
      <c r="AG3234" s="283"/>
      <c r="AH3234" s="259">
        <v>4.4999999999999998E-2</v>
      </c>
      <c r="AI3234" s="259">
        <v>4.4999999999999998E-2</v>
      </c>
      <c r="AJ3234" s="259">
        <v>4.4999999999999998E-2</v>
      </c>
      <c r="AK3234" s="260">
        <v>1</v>
      </c>
      <c r="AL3234" s="260">
        <v>4.4999999999999998E-2</v>
      </c>
      <c r="AM3234" s="259">
        <v>0.09</v>
      </c>
      <c r="AN3234" s="18" t="s">
        <v>2234</v>
      </c>
      <c r="AO3234" s="18" t="s">
        <v>2236</v>
      </c>
      <c r="AP3234" s="18"/>
    </row>
    <row r="3235" spans="1:42" customFormat="1" x14ac:dyDescent="0.3">
      <c r="A3235" s="18" t="s">
        <v>1463</v>
      </c>
      <c r="B3235" s="18" t="s">
        <v>5664</v>
      </c>
      <c r="C3235" s="18" t="s">
        <v>1466</v>
      </c>
      <c r="D3235" s="18" t="s">
        <v>5940</v>
      </c>
      <c r="E3235" s="18" t="s">
        <v>1467</v>
      </c>
      <c r="F3235" s="18" t="s">
        <v>5941</v>
      </c>
      <c r="G3235" s="18" t="s">
        <v>6018</v>
      </c>
      <c r="H3235" s="157" t="s">
        <v>6019</v>
      </c>
      <c r="I3235" s="18"/>
      <c r="J3235" s="18"/>
      <c r="K3235" s="18">
        <v>14330310</v>
      </c>
      <c r="L3235" s="18" t="s">
        <v>6065</v>
      </c>
      <c r="M3235" s="18" t="s">
        <v>6066</v>
      </c>
      <c r="N3235" s="162"/>
      <c r="O3235" s="18"/>
      <c r="P3235" s="16">
        <v>1</v>
      </c>
      <c r="Q3235" s="16"/>
      <c r="R3235" s="16"/>
      <c r="S3235" s="16"/>
      <c r="T3235" s="18" t="s">
        <v>2234</v>
      </c>
      <c r="U3235" t="s">
        <v>2236</v>
      </c>
      <c r="V3235" s="18" t="s">
        <v>6067</v>
      </c>
      <c r="W3235" s="283"/>
      <c r="X3235" s="283"/>
      <c r="Y3235" s="283"/>
      <c r="Z3235" s="283"/>
      <c r="AA3235" s="283"/>
      <c r="AB3235" s="283"/>
      <c r="AC3235" s="283"/>
      <c r="AD3235" s="283"/>
      <c r="AE3235" s="49">
        <v>0.75</v>
      </c>
      <c r="AF3235" s="64"/>
      <c r="AG3235" s="283"/>
      <c r="AH3235" s="259"/>
      <c r="AI3235" s="259">
        <v>1</v>
      </c>
      <c r="AJ3235" s="259"/>
      <c r="AK3235" s="260">
        <v>5</v>
      </c>
      <c r="AL3235" s="260"/>
      <c r="AM3235" s="259">
        <v>0</v>
      </c>
      <c r="AN3235" s="18" t="s">
        <v>2234</v>
      </c>
      <c r="AO3235" s="18" t="s">
        <v>2236</v>
      </c>
      <c r="AP3235" s="18"/>
    </row>
    <row r="3236" spans="1:42" customFormat="1" x14ac:dyDescent="0.3">
      <c r="A3236" s="18" t="s">
        <v>1463</v>
      </c>
      <c r="B3236" s="18" t="s">
        <v>5664</v>
      </c>
      <c r="C3236" s="18" t="s">
        <v>1466</v>
      </c>
      <c r="D3236" s="18" t="s">
        <v>5940</v>
      </c>
      <c r="E3236" s="18" t="s">
        <v>1467</v>
      </c>
      <c r="F3236" s="18" t="s">
        <v>5941</v>
      </c>
      <c r="G3236" s="18" t="s">
        <v>6018</v>
      </c>
      <c r="H3236" s="157" t="s">
        <v>6019</v>
      </c>
      <c r="I3236" s="18"/>
      <c r="J3236" s="18"/>
      <c r="K3236" s="18">
        <v>14330314</v>
      </c>
      <c r="L3236" s="18" t="s">
        <v>6068</v>
      </c>
      <c r="M3236" s="18" t="s">
        <v>6069</v>
      </c>
      <c r="N3236" s="162"/>
      <c r="O3236" s="18">
        <v>1</v>
      </c>
      <c r="P3236" s="16">
        <v>1</v>
      </c>
      <c r="Q3236" s="16">
        <v>1</v>
      </c>
      <c r="R3236" s="16">
        <v>1</v>
      </c>
      <c r="S3236" s="16">
        <v>1</v>
      </c>
      <c r="T3236" s="18" t="s">
        <v>5676</v>
      </c>
      <c r="U3236" t="s">
        <v>5735</v>
      </c>
      <c r="V3236" s="18" t="s">
        <v>6070</v>
      </c>
      <c r="W3236" s="283"/>
      <c r="X3236" s="283"/>
      <c r="Y3236" s="283"/>
      <c r="Z3236" s="283"/>
      <c r="AA3236" s="283"/>
      <c r="AB3236" s="283"/>
      <c r="AC3236" s="283"/>
      <c r="AD3236" s="283"/>
      <c r="AE3236" s="49">
        <v>1</v>
      </c>
      <c r="AF3236" s="64"/>
      <c r="AG3236" s="283"/>
      <c r="AH3236" s="259">
        <v>0.2</v>
      </c>
      <c r="AI3236" s="259">
        <v>0.2</v>
      </c>
      <c r="AJ3236" s="259">
        <v>0.25</v>
      </c>
      <c r="AK3236" s="260">
        <v>0.75</v>
      </c>
      <c r="AL3236" s="260">
        <v>0.25</v>
      </c>
      <c r="AM3236" s="259">
        <v>0.5</v>
      </c>
      <c r="AN3236" s="18" t="s">
        <v>5676</v>
      </c>
      <c r="AO3236" s="18" t="s">
        <v>5735</v>
      </c>
      <c r="AP3236" s="18"/>
    </row>
    <row r="3237" spans="1:42" customFormat="1" x14ac:dyDescent="0.3">
      <c r="A3237" s="18" t="s">
        <v>1463</v>
      </c>
      <c r="B3237" s="18" t="s">
        <v>5664</v>
      </c>
      <c r="C3237" s="18" t="s">
        <v>1466</v>
      </c>
      <c r="D3237" s="18" t="s">
        <v>5940</v>
      </c>
      <c r="E3237" s="18" t="s">
        <v>1467</v>
      </c>
      <c r="F3237" s="18" t="s">
        <v>5941</v>
      </c>
      <c r="G3237" s="18" t="s">
        <v>6018</v>
      </c>
      <c r="H3237" s="157" t="s">
        <v>6019</v>
      </c>
      <c r="I3237" s="18"/>
      <c r="J3237" s="18"/>
      <c r="K3237" s="18">
        <v>14330315</v>
      </c>
      <c r="L3237" s="18" t="s">
        <v>6071</v>
      </c>
      <c r="M3237" s="18" t="s">
        <v>6072</v>
      </c>
      <c r="N3237" s="162">
        <v>75</v>
      </c>
      <c r="O3237" s="18">
        <v>92</v>
      </c>
      <c r="P3237" s="16">
        <v>95</v>
      </c>
      <c r="Q3237" s="16">
        <v>95</v>
      </c>
      <c r="R3237" s="16">
        <v>95</v>
      </c>
      <c r="S3237" s="16">
        <v>95</v>
      </c>
      <c r="T3237" s="18" t="s">
        <v>5676</v>
      </c>
      <c r="U3237" t="s">
        <v>5735</v>
      </c>
      <c r="V3237" s="18" t="s">
        <v>6073</v>
      </c>
      <c r="W3237" s="283"/>
      <c r="X3237" s="283"/>
      <c r="Y3237" s="283"/>
      <c r="Z3237" s="283"/>
      <c r="AA3237" s="283"/>
      <c r="AB3237" s="283"/>
      <c r="AC3237" s="283"/>
      <c r="AD3237" s="283"/>
      <c r="AE3237" s="49">
        <v>1</v>
      </c>
      <c r="AF3237" s="64"/>
      <c r="AG3237" s="283"/>
      <c r="AH3237" s="259">
        <v>1</v>
      </c>
      <c r="AI3237" s="259">
        <v>1</v>
      </c>
      <c r="AJ3237" s="259">
        <v>1</v>
      </c>
      <c r="AK3237" s="260">
        <v>1</v>
      </c>
      <c r="AL3237" s="260">
        <v>1</v>
      </c>
      <c r="AM3237" s="259">
        <v>2</v>
      </c>
      <c r="AN3237" s="18" t="s">
        <v>5676</v>
      </c>
      <c r="AO3237" s="18" t="s">
        <v>5735</v>
      </c>
      <c r="AP3237" s="18"/>
    </row>
    <row r="3238" spans="1:42" customFormat="1" x14ac:dyDescent="0.3">
      <c r="A3238" s="18" t="s">
        <v>1463</v>
      </c>
      <c r="B3238" s="18" t="s">
        <v>5664</v>
      </c>
      <c r="C3238" s="18" t="s">
        <v>1466</v>
      </c>
      <c r="D3238" s="18" t="s">
        <v>5940</v>
      </c>
      <c r="E3238" s="18" t="s">
        <v>1467</v>
      </c>
      <c r="F3238" s="18" t="s">
        <v>5941</v>
      </c>
      <c r="G3238" s="18" t="s">
        <v>6018</v>
      </c>
      <c r="H3238" s="157" t="s">
        <v>6019</v>
      </c>
      <c r="I3238" s="18"/>
      <c r="J3238" s="18"/>
      <c r="K3238" s="18">
        <v>14330316</v>
      </c>
      <c r="L3238" s="18" t="s">
        <v>6074</v>
      </c>
      <c r="M3238" s="18" t="s">
        <v>6075</v>
      </c>
      <c r="N3238" s="162">
        <v>60</v>
      </c>
      <c r="O3238" s="18">
        <v>65</v>
      </c>
      <c r="P3238" s="16">
        <v>65</v>
      </c>
      <c r="Q3238" s="16">
        <v>68</v>
      </c>
      <c r="R3238" s="16">
        <v>70</v>
      </c>
      <c r="S3238" s="16"/>
      <c r="T3238" s="18" t="s">
        <v>5676</v>
      </c>
      <c r="U3238" t="s">
        <v>5735</v>
      </c>
      <c r="V3238" s="18" t="s">
        <v>6076</v>
      </c>
      <c r="W3238" s="283"/>
      <c r="X3238" s="283"/>
      <c r="Y3238" s="283"/>
      <c r="Z3238" s="283"/>
      <c r="AA3238" s="283"/>
      <c r="AB3238" s="283"/>
      <c r="AC3238" s="283"/>
      <c r="AD3238" s="283"/>
      <c r="AE3238" s="49">
        <v>1</v>
      </c>
      <c r="AF3238" s="64"/>
      <c r="AG3238" s="283"/>
      <c r="AH3238" s="259">
        <v>0.1</v>
      </c>
      <c r="AI3238" s="259">
        <v>0.1</v>
      </c>
      <c r="AJ3238" s="259">
        <v>0.1</v>
      </c>
      <c r="AK3238" s="260">
        <v>0.1</v>
      </c>
      <c r="AL3238" s="260">
        <v>0.1</v>
      </c>
      <c r="AM3238" s="259">
        <v>0.2</v>
      </c>
      <c r="AN3238" s="18" t="s">
        <v>5676</v>
      </c>
      <c r="AO3238" s="18" t="s">
        <v>5735</v>
      </c>
      <c r="AP3238" s="18"/>
    </row>
    <row r="3239" spans="1:42" customFormat="1" x14ac:dyDescent="0.3">
      <c r="A3239" s="18" t="s">
        <v>1463</v>
      </c>
      <c r="B3239" s="18" t="s">
        <v>5664</v>
      </c>
      <c r="C3239" s="18" t="s">
        <v>1466</v>
      </c>
      <c r="D3239" s="18" t="s">
        <v>5940</v>
      </c>
      <c r="E3239" s="18" t="s">
        <v>1467</v>
      </c>
      <c r="F3239" s="18" t="s">
        <v>5941</v>
      </c>
      <c r="G3239" s="18" t="s">
        <v>6018</v>
      </c>
      <c r="H3239" s="157" t="s">
        <v>6019</v>
      </c>
      <c r="I3239" s="18"/>
      <c r="J3239" s="18"/>
      <c r="K3239" s="18">
        <v>14330316</v>
      </c>
      <c r="L3239" s="18" t="s">
        <v>6074</v>
      </c>
      <c r="M3239" s="18" t="s">
        <v>6077</v>
      </c>
      <c r="N3239" s="162">
        <v>150</v>
      </c>
      <c r="O3239" s="18">
        <v>275</v>
      </c>
      <c r="P3239" s="16">
        <v>375</v>
      </c>
      <c r="Q3239" s="16">
        <v>500</v>
      </c>
      <c r="R3239" s="16">
        <v>100</v>
      </c>
      <c r="S3239" s="16">
        <v>100</v>
      </c>
      <c r="T3239" s="18" t="s">
        <v>5676</v>
      </c>
      <c r="U3239" t="s">
        <v>5735</v>
      </c>
      <c r="V3239" s="18" t="s">
        <v>6078</v>
      </c>
      <c r="W3239" s="283"/>
      <c r="X3239" s="283"/>
      <c r="Y3239" s="283"/>
      <c r="Z3239" s="283"/>
      <c r="AA3239" s="283"/>
      <c r="AB3239" s="283"/>
      <c r="AC3239" s="283"/>
      <c r="AD3239" s="283"/>
      <c r="AE3239" s="49">
        <v>1</v>
      </c>
      <c r="AF3239" s="64"/>
      <c r="AG3239" s="283"/>
      <c r="AH3239" s="259">
        <v>1.6</v>
      </c>
      <c r="AI3239" s="259">
        <v>1.6</v>
      </c>
      <c r="AJ3239" s="259">
        <v>1.6</v>
      </c>
      <c r="AK3239" s="260">
        <v>1.6</v>
      </c>
      <c r="AL3239" s="260">
        <v>1.6</v>
      </c>
      <c r="AM3239" s="259">
        <v>3.2</v>
      </c>
      <c r="AN3239" s="18" t="s">
        <v>5676</v>
      </c>
      <c r="AO3239" s="18" t="s">
        <v>5735</v>
      </c>
      <c r="AP3239" s="18"/>
    </row>
    <row r="3240" spans="1:42" customFormat="1" x14ac:dyDescent="0.3">
      <c r="A3240" s="18" t="s">
        <v>1463</v>
      </c>
      <c r="B3240" s="18" t="s">
        <v>5664</v>
      </c>
      <c r="C3240" s="18" t="s">
        <v>1466</v>
      </c>
      <c r="D3240" s="18" t="s">
        <v>5940</v>
      </c>
      <c r="E3240" s="18" t="s">
        <v>1467</v>
      </c>
      <c r="F3240" s="18" t="s">
        <v>5941</v>
      </c>
      <c r="G3240" s="18" t="s">
        <v>6018</v>
      </c>
      <c r="H3240" s="157" t="s">
        <v>6019</v>
      </c>
      <c r="I3240" s="18"/>
      <c r="J3240" s="18"/>
      <c r="K3240" s="18">
        <v>14330319</v>
      </c>
      <c r="L3240" s="18" t="s">
        <v>6085</v>
      </c>
      <c r="M3240" s="18" t="s">
        <v>6086</v>
      </c>
      <c r="N3240" s="462">
        <v>0.01</v>
      </c>
      <c r="O3240" s="460">
        <v>0.1</v>
      </c>
      <c r="P3240" s="38">
        <v>0.1</v>
      </c>
      <c r="Q3240" s="38">
        <v>0.1</v>
      </c>
      <c r="R3240" s="38">
        <v>0.1</v>
      </c>
      <c r="S3240" s="38">
        <v>0.1</v>
      </c>
      <c r="T3240" s="18" t="s">
        <v>5676</v>
      </c>
      <c r="U3240" t="s">
        <v>5735</v>
      </c>
      <c r="V3240" s="18" t="s">
        <v>6087</v>
      </c>
      <c r="W3240" s="283"/>
      <c r="X3240" s="283"/>
      <c r="Y3240" s="283"/>
      <c r="Z3240" s="283"/>
      <c r="AA3240" s="283"/>
      <c r="AB3240" s="283"/>
      <c r="AC3240" s="283"/>
      <c r="AD3240" s="283"/>
      <c r="AE3240" s="49">
        <v>1</v>
      </c>
      <c r="AF3240" s="64"/>
      <c r="AG3240" s="283"/>
      <c r="AH3240" s="259">
        <v>0.06</v>
      </c>
      <c r="AI3240" s="259">
        <v>0.06</v>
      </c>
      <c r="AJ3240" s="259">
        <v>0.06</v>
      </c>
      <c r="AK3240" s="260">
        <v>7.0000000000000007E-2</v>
      </c>
      <c r="AL3240" s="260">
        <v>7.0000000000000007E-2</v>
      </c>
      <c r="AM3240" s="259">
        <v>0.14000000000000001</v>
      </c>
      <c r="AN3240" s="18" t="s">
        <v>5676</v>
      </c>
      <c r="AO3240" s="18" t="s">
        <v>5735</v>
      </c>
      <c r="AP3240" s="18"/>
    </row>
    <row r="3241" spans="1:42" s="10" customFormat="1" x14ac:dyDescent="0.3">
      <c r="A3241" s="18" t="s">
        <v>1463</v>
      </c>
      <c r="B3241" s="18" t="s">
        <v>5664</v>
      </c>
      <c r="C3241" s="18" t="s">
        <v>1466</v>
      </c>
      <c r="D3241" s="18" t="s">
        <v>5940</v>
      </c>
      <c r="E3241" s="18" t="s">
        <v>1467</v>
      </c>
      <c r="F3241" s="18" t="s">
        <v>5941</v>
      </c>
      <c r="G3241" s="18" t="s">
        <v>6018</v>
      </c>
      <c r="H3241" s="157" t="s">
        <v>6019</v>
      </c>
      <c r="I3241" s="18"/>
      <c r="J3241" s="18"/>
      <c r="K3241" s="18">
        <v>14330317</v>
      </c>
      <c r="L3241" s="18" t="s">
        <v>6079</v>
      </c>
      <c r="M3241" s="18" t="s">
        <v>6088</v>
      </c>
      <c r="N3241" s="162"/>
      <c r="O3241" s="18">
        <v>1</v>
      </c>
      <c r="P3241" s="16">
        <v>1</v>
      </c>
      <c r="Q3241" s="16">
        <v>1</v>
      </c>
      <c r="R3241" s="16">
        <v>1</v>
      </c>
      <c r="S3241" s="16">
        <v>1</v>
      </c>
      <c r="T3241" s="18" t="s">
        <v>5676</v>
      </c>
      <c r="U3241" t="str">
        <f>VLOOKUP(T3241,[8]Votes!$A$1:$E$234,3,FALSE)</f>
        <v>146 Public Service Commission</v>
      </c>
      <c r="V3241" s="18" t="s">
        <v>6089</v>
      </c>
      <c r="AE3241" s="49">
        <v>0.75</v>
      </c>
      <c r="AH3241" s="259">
        <v>0.03</v>
      </c>
      <c r="AI3241" s="259">
        <v>0.03</v>
      </c>
      <c r="AJ3241" s="259">
        <v>0.03</v>
      </c>
      <c r="AK3241" s="260">
        <v>0.53</v>
      </c>
      <c r="AL3241" s="260">
        <v>0.03</v>
      </c>
      <c r="AM3241" s="259">
        <f>SUM(AK3241:AL3241)</f>
        <v>0.56000000000000005</v>
      </c>
      <c r="AN3241" s="18" t="s">
        <v>5676</v>
      </c>
      <c r="AO3241" s="18" t="s">
        <v>5735</v>
      </c>
      <c r="AP3241" s="18"/>
    </row>
    <row r="3242" spans="1:42" customFormat="1" x14ac:dyDescent="0.3">
      <c r="A3242" s="18" t="s">
        <v>1463</v>
      </c>
      <c r="B3242" s="18" t="s">
        <v>5664</v>
      </c>
      <c r="C3242" s="18" t="s">
        <v>1466</v>
      </c>
      <c r="D3242" s="18" t="s">
        <v>5940</v>
      </c>
      <c r="E3242" s="18" t="s">
        <v>1467</v>
      </c>
      <c r="F3242" s="18" t="s">
        <v>5941</v>
      </c>
      <c r="G3242" s="18" t="s">
        <v>6018</v>
      </c>
      <c r="H3242" s="157" t="s">
        <v>6019</v>
      </c>
      <c r="I3242" s="18"/>
      <c r="J3242" s="18"/>
      <c r="K3242" s="18">
        <v>14330321</v>
      </c>
      <c r="L3242" s="18" t="s">
        <v>6090</v>
      </c>
      <c r="M3242" s="18" t="s">
        <v>6091</v>
      </c>
      <c r="N3242" s="162"/>
      <c r="O3242" s="18">
        <v>100</v>
      </c>
      <c r="P3242" s="16">
        <v>100</v>
      </c>
      <c r="Q3242" s="16">
        <v>100</v>
      </c>
      <c r="R3242" s="16">
        <v>100</v>
      </c>
      <c r="S3242" s="16">
        <v>100</v>
      </c>
      <c r="T3242" s="18" t="s">
        <v>2234</v>
      </c>
      <c r="U3242" t="s">
        <v>2236</v>
      </c>
      <c r="V3242" s="18" t="s">
        <v>6092</v>
      </c>
      <c r="W3242" s="283"/>
      <c r="X3242" s="283"/>
      <c r="Y3242" s="283"/>
      <c r="Z3242" s="283"/>
      <c r="AA3242" s="283"/>
      <c r="AB3242" s="283"/>
      <c r="AC3242" s="283"/>
      <c r="AD3242" s="283"/>
      <c r="AE3242" s="49">
        <v>0.75</v>
      </c>
      <c r="AF3242" s="64"/>
      <c r="AG3242" s="283"/>
      <c r="AH3242" s="259">
        <v>0.4</v>
      </c>
      <c r="AI3242" s="259">
        <v>0.4</v>
      </c>
      <c r="AJ3242" s="259">
        <v>0.4</v>
      </c>
      <c r="AK3242" s="260">
        <v>0.4</v>
      </c>
      <c r="AL3242" s="260">
        <v>0.4</v>
      </c>
      <c r="AM3242" s="259">
        <v>0.8</v>
      </c>
      <c r="AN3242" s="18" t="s">
        <v>2234</v>
      </c>
      <c r="AO3242" s="18" t="s">
        <v>2236</v>
      </c>
      <c r="AP3242" s="18"/>
    </row>
    <row r="3243" spans="1:42" customFormat="1" x14ac:dyDescent="0.3">
      <c r="A3243" s="18" t="s">
        <v>1463</v>
      </c>
      <c r="B3243" s="18" t="s">
        <v>5664</v>
      </c>
      <c r="C3243" s="18" t="s">
        <v>1466</v>
      </c>
      <c r="D3243" s="18" t="s">
        <v>5940</v>
      </c>
      <c r="E3243" s="18" t="s">
        <v>1467</v>
      </c>
      <c r="F3243" s="18" t="s">
        <v>5941</v>
      </c>
      <c r="G3243" s="18" t="s">
        <v>6018</v>
      </c>
      <c r="H3243" s="157" t="s">
        <v>6019</v>
      </c>
      <c r="I3243" s="18"/>
      <c r="J3243" s="18"/>
      <c r="K3243" s="18">
        <v>14330322</v>
      </c>
      <c r="L3243" s="18" t="s">
        <v>6093</v>
      </c>
      <c r="M3243" s="18" t="s">
        <v>6094</v>
      </c>
      <c r="N3243" s="162"/>
      <c r="O3243" s="18">
        <v>5</v>
      </c>
      <c r="P3243" s="16">
        <v>5</v>
      </c>
      <c r="Q3243" s="16">
        <v>3</v>
      </c>
      <c r="R3243" s="16">
        <v>5</v>
      </c>
      <c r="S3243" s="16">
        <v>5</v>
      </c>
      <c r="T3243" s="18" t="s">
        <v>2234</v>
      </c>
      <c r="U3243" t="s">
        <v>2236</v>
      </c>
      <c r="V3243" s="18" t="s">
        <v>6095</v>
      </c>
      <c r="W3243" s="283"/>
      <c r="X3243" s="283"/>
      <c r="Y3243" s="283"/>
      <c r="Z3243" s="283"/>
      <c r="AA3243" s="283"/>
      <c r="AB3243" s="283"/>
      <c r="AC3243" s="283"/>
      <c r="AD3243" s="283"/>
      <c r="AE3243" s="49">
        <v>0.875</v>
      </c>
      <c r="AF3243" s="64"/>
      <c r="AG3243" s="283"/>
      <c r="AH3243" s="259">
        <v>0.5</v>
      </c>
      <c r="AI3243" s="259"/>
      <c r="AJ3243" s="259"/>
      <c r="AK3243" s="260">
        <v>0.3</v>
      </c>
      <c r="AL3243" s="260"/>
      <c r="AM3243" s="259">
        <v>0</v>
      </c>
      <c r="AN3243" s="18" t="s">
        <v>2234</v>
      </c>
      <c r="AO3243" s="18" t="s">
        <v>2236</v>
      </c>
      <c r="AP3243" s="18"/>
    </row>
    <row r="3244" spans="1:42" customFormat="1" x14ac:dyDescent="0.3">
      <c r="A3244" s="18" t="s">
        <v>1463</v>
      </c>
      <c r="B3244" s="18" t="s">
        <v>5664</v>
      </c>
      <c r="C3244" s="18" t="s">
        <v>1466</v>
      </c>
      <c r="D3244" s="18" t="s">
        <v>5940</v>
      </c>
      <c r="E3244" s="18" t="s">
        <v>1467</v>
      </c>
      <c r="F3244" s="18" t="s">
        <v>5941</v>
      </c>
      <c r="G3244" s="18" t="s">
        <v>6096</v>
      </c>
      <c r="H3244" s="157" t="s">
        <v>6097</v>
      </c>
      <c r="I3244" s="18"/>
      <c r="J3244" s="18"/>
      <c r="K3244" s="18" t="s">
        <v>6098</v>
      </c>
      <c r="L3244" s="18" t="s">
        <v>6099</v>
      </c>
      <c r="M3244" s="18" t="s">
        <v>6100</v>
      </c>
      <c r="N3244" s="18" t="s">
        <v>271</v>
      </c>
      <c r="O3244" s="18">
        <v>60</v>
      </c>
      <c r="P3244" s="16">
        <v>160</v>
      </c>
      <c r="Q3244" s="16">
        <v>250</v>
      </c>
      <c r="R3244" s="16">
        <v>273</v>
      </c>
      <c r="S3244" s="16"/>
      <c r="T3244" s="18" t="s">
        <v>6101</v>
      </c>
      <c r="U3244" t="e">
        <v>#N/A</v>
      </c>
      <c r="V3244" s="18" t="s">
        <v>6102</v>
      </c>
      <c r="W3244" s="283"/>
      <c r="X3244" s="283"/>
      <c r="Y3244" s="283"/>
      <c r="Z3244" s="283"/>
      <c r="AA3244" s="283"/>
      <c r="AB3244" s="283"/>
      <c r="AC3244" s="283"/>
      <c r="AD3244" s="283"/>
      <c r="AE3244" s="49">
        <v>1</v>
      </c>
      <c r="AF3244" s="64"/>
      <c r="AG3244" s="283"/>
      <c r="AH3244" s="259">
        <v>17.899999999999999</v>
      </c>
      <c r="AI3244" s="259">
        <v>21.462</v>
      </c>
      <c r="AJ3244" s="259">
        <v>9.3800000000000008</v>
      </c>
      <c r="AK3244" s="260">
        <v>4</v>
      </c>
      <c r="AL3244" s="260"/>
      <c r="AM3244" s="259">
        <v>4</v>
      </c>
      <c r="AN3244" s="18" t="s">
        <v>2172</v>
      </c>
      <c r="AO3244" s="18" t="s">
        <v>2236</v>
      </c>
      <c r="AP3244" s="18" t="s">
        <v>6103</v>
      </c>
    </row>
    <row r="3245" spans="1:42" customFormat="1" x14ac:dyDescent="0.3">
      <c r="A3245" s="18" t="s">
        <v>1463</v>
      </c>
      <c r="B3245" s="18" t="s">
        <v>5664</v>
      </c>
      <c r="C3245" s="18" t="s">
        <v>1466</v>
      </c>
      <c r="D3245" s="18" t="s">
        <v>5940</v>
      </c>
      <c r="E3245" s="18" t="s">
        <v>1467</v>
      </c>
      <c r="F3245" s="18" t="s">
        <v>5941</v>
      </c>
      <c r="G3245" s="18" t="s">
        <v>6096</v>
      </c>
      <c r="H3245" s="157" t="s">
        <v>6097</v>
      </c>
      <c r="I3245" s="18"/>
      <c r="J3245" s="18"/>
      <c r="K3245" s="18" t="s">
        <v>6098</v>
      </c>
      <c r="L3245" s="18" t="s">
        <v>6099</v>
      </c>
      <c r="M3245" s="18" t="s">
        <v>6104</v>
      </c>
      <c r="N3245" s="18" t="s">
        <v>271</v>
      </c>
      <c r="O3245" s="18">
        <v>2</v>
      </c>
      <c r="P3245" s="16">
        <v>10</v>
      </c>
      <c r="Q3245" s="16">
        <v>50</v>
      </c>
      <c r="R3245" s="16">
        <v>50</v>
      </c>
      <c r="S3245" s="16">
        <v>50</v>
      </c>
      <c r="T3245" s="18" t="s">
        <v>6023</v>
      </c>
      <c r="U3245" t="e">
        <v>#N/A</v>
      </c>
      <c r="V3245" s="18" t="s">
        <v>6105</v>
      </c>
      <c r="W3245" s="283"/>
      <c r="X3245" s="283"/>
      <c r="Y3245" s="283"/>
      <c r="Z3245" s="283"/>
      <c r="AA3245" s="283"/>
      <c r="AB3245" s="283"/>
      <c r="AC3245" s="283"/>
      <c r="AD3245" s="283"/>
      <c r="AE3245" s="49">
        <v>1</v>
      </c>
      <c r="AF3245" s="64"/>
      <c r="AG3245" s="283"/>
      <c r="AH3245" s="259"/>
      <c r="AI3245" s="259"/>
      <c r="AJ3245" s="259"/>
      <c r="AK3245" s="260"/>
      <c r="AL3245" s="260"/>
      <c r="AM3245" s="259">
        <v>0</v>
      </c>
      <c r="AN3245" s="18" t="s">
        <v>2172</v>
      </c>
      <c r="AO3245" s="18" t="s">
        <v>2236</v>
      </c>
      <c r="AP3245" s="18"/>
    </row>
    <row r="3246" spans="1:42" customFormat="1" x14ac:dyDescent="0.3">
      <c r="A3246" s="18" t="s">
        <v>1463</v>
      </c>
      <c r="B3246" s="18" t="s">
        <v>5664</v>
      </c>
      <c r="C3246" s="18" t="s">
        <v>1466</v>
      </c>
      <c r="D3246" s="18" t="s">
        <v>5940</v>
      </c>
      <c r="E3246" s="18" t="s">
        <v>1467</v>
      </c>
      <c r="F3246" s="18" t="s">
        <v>5941</v>
      </c>
      <c r="G3246" s="18" t="s">
        <v>6096</v>
      </c>
      <c r="H3246" s="157" t="s">
        <v>6097</v>
      </c>
      <c r="I3246" s="18"/>
      <c r="J3246" s="18"/>
      <c r="K3246" s="18" t="s">
        <v>6098</v>
      </c>
      <c r="L3246" s="18" t="s">
        <v>6099</v>
      </c>
      <c r="M3246" s="18" t="s">
        <v>6106</v>
      </c>
      <c r="N3246" s="18"/>
      <c r="O3246" s="18"/>
      <c r="P3246" s="16">
        <v>1</v>
      </c>
      <c r="Q3246" s="16"/>
      <c r="R3246" s="16"/>
      <c r="S3246" s="16"/>
      <c r="T3246" s="18" t="s">
        <v>6023</v>
      </c>
      <c r="U3246" t="e">
        <v>#N/A</v>
      </c>
      <c r="V3246" s="18" t="s">
        <v>6107</v>
      </c>
      <c r="W3246" s="283"/>
      <c r="X3246" s="283"/>
      <c r="Y3246" s="283"/>
      <c r="Z3246" s="283"/>
      <c r="AA3246" s="283"/>
      <c r="AB3246" s="283"/>
      <c r="AC3246" s="283"/>
      <c r="AD3246" s="283"/>
      <c r="AE3246" s="49">
        <v>1</v>
      </c>
      <c r="AF3246" s="64"/>
      <c r="AG3246" s="283"/>
      <c r="AH3246" s="259"/>
      <c r="AI3246" s="259">
        <v>0.18</v>
      </c>
      <c r="AJ3246" s="259"/>
      <c r="AK3246" s="260"/>
      <c r="AL3246" s="260"/>
      <c r="AM3246" s="259">
        <v>0</v>
      </c>
      <c r="AN3246" s="18" t="s">
        <v>2172</v>
      </c>
      <c r="AO3246" s="18" t="s">
        <v>2236</v>
      </c>
      <c r="AP3246" s="18"/>
    </row>
    <row r="3247" spans="1:42" customFormat="1" x14ac:dyDescent="0.3">
      <c r="A3247" s="18" t="s">
        <v>1463</v>
      </c>
      <c r="B3247" s="18" t="s">
        <v>5664</v>
      </c>
      <c r="C3247" s="18" t="s">
        <v>1466</v>
      </c>
      <c r="D3247" s="18" t="s">
        <v>5940</v>
      </c>
      <c r="E3247" s="18" t="s">
        <v>1467</v>
      </c>
      <c r="F3247" s="18" t="s">
        <v>5941</v>
      </c>
      <c r="G3247" s="18" t="s">
        <v>6096</v>
      </c>
      <c r="H3247" s="157" t="s">
        <v>6097</v>
      </c>
      <c r="I3247" s="18"/>
      <c r="J3247" s="18"/>
      <c r="K3247" s="18" t="s">
        <v>6098</v>
      </c>
      <c r="L3247" s="18" t="s">
        <v>6099</v>
      </c>
      <c r="M3247" s="18" t="s">
        <v>6108</v>
      </c>
      <c r="N3247" s="18"/>
      <c r="O3247" s="18">
        <v>24</v>
      </c>
      <c r="P3247" s="16">
        <v>60</v>
      </c>
      <c r="Q3247" s="16">
        <v>91</v>
      </c>
      <c r="R3247" s="16">
        <v>100</v>
      </c>
      <c r="S3247" s="16"/>
      <c r="T3247" s="18" t="s">
        <v>6023</v>
      </c>
      <c r="U3247" t="e">
        <v>#N/A</v>
      </c>
      <c r="V3247" s="18" t="s">
        <v>6109</v>
      </c>
      <c r="W3247" s="283"/>
      <c r="X3247" s="283"/>
      <c r="Y3247" s="283"/>
      <c r="Z3247" s="283"/>
      <c r="AA3247" s="283"/>
      <c r="AB3247" s="283"/>
      <c r="AC3247" s="283"/>
      <c r="AD3247" s="283"/>
      <c r="AE3247" s="49">
        <v>1</v>
      </c>
      <c r="AF3247" s="64"/>
      <c r="AG3247" s="283"/>
      <c r="AH3247" s="259"/>
      <c r="AI3247" s="259"/>
      <c r="AJ3247" s="259"/>
      <c r="AK3247" s="260"/>
      <c r="AL3247" s="260"/>
      <c r="AM3247" s="259">
        <v>0</v>
      </c>
      <c r="AN3247" s="18" t="s">
        <v>2172</v>
      </c>
      <c r="AO3247" s="18" t="s">
        <v>2236</v>
      </c>
      <c r="AP3247" s="18"/>
    </row>
    <row r="3248" spans="1:42" customFormat="1" x14ac:dyDescent="0.3">
      <c r="A3248" s="18" t="s">
        <v>1463</v>
      </c>
      <c r="B3248" s="18" t="s">
        <v>5664</v>
      </c>
      <c r="C3248" s="18" t="s">
        <v>1466</v>
      </c>
      <c r="D3248" s="18" t="s">
        <v>5940</v>
      </c>
      <c r="E3248" s="18" t="s">
        <v>1467</v>
      </c>
      <c r="F3248" s="18" t="s">
        <v>5941</v>
      </c>
      <c r="G3248" s="18" t="s">
        <v>6096</v>
      </c>
      <c r="H3248" s="157" t="s">
        <v>6097</v>
      </c>
      <c r="I3248" s="18"/>
      <c r="J3248" s="18"/>
      <c r="K3248" s="18" t="s">
        <v>6098</v>
      </c>
      <c r="L3248" s="18" t="s">
        <v>6099</v>
      </c>
      <c r="M3248" s="18" t="s">
        <v>6110</v>
      </c>
      <c r="N3248" s="18"/>
      <c r="O3248" s="18">
        <v>24</v>
      </c>
      <c r="P3248" s="16">
        <v>64</v>
      </c>
      <c r="Q3248" s="16">
        <v>100</v>
      </c>
      <c r="R3248" s="16"/>
      <c r="S3248" s="16"/>
      <c r="T3248" s="18" t="s">
        <v>6023</v>
      </c>
      <c r="U3248" t="e">
        <v>#N/A</v>
      </c>
      <c r="V3248" s="18" t="s">
        <v>6111</v>
      </c>
      <c r="W3248" s="283"/>
      <c r="X3248" s="283"/>
      <c r="Y3248" s="283"/>
      <c r="Z3248" s="283"/>
      <c r="AA3248" s="283"/>
      <c r="AB3248" s="283"/>
      <c r="AC3248" s="283"/>
      <c r="AD3248" s="283"/>
      <c r="AE3248" s="49">
        <v>1</v>
      </c>
      <c r="AF3248" s="64"/>
      <c r="AG3248" s="283"/>
      <c r="AH3248" s="259"/>
      <c r="AI3248" s="259"/>
      <c r="AJ3248" s="259"/>
      <c r="AK3248" s="260"/>
      <c r="AL3248" s="260"/>
      <c r="AM3248" s="259">
        <v>0</v>
      </c>
      <c r="AN3248" s="18" t="s">
        <v>2172</v>
      </c>
      <c r="AO3248" s="18" t="s">
        <v>2236</v>
      </c>
      <c r="AP3248" s="18"/>
    </row>
    <row r="3249" spans="1:42" customFormat="1" x14ac:dyDescent="0.3">
      <c r="A3249" s="18" t="s">
        <v>1463</v>
      </c>
      <c r="B3249" s="18" t="s">
        <v>5664</v>
      </c>
      <c r="C3249" s="18" t="s">
        <v>1466</v>
      </c>
      <c r="D3249" s="18" t="s">
        <v>5940</v>
      </c>
      <c r="E3249" s="18" t="s">
        <v>1467</v>
      </c>
      <c r="F3249" s="18" t="s">
        <v>5941</v>
      </c>
      <c r="G3249" s="18" t="s">
        <v>6096</v>
      </c>
      <c r="H3249" s="157" t="s">
        <v>6097</v>
      </c>
      <c r="I3249" s="18"/>
      <c r="J3249" s="18"/>
      <c r="K3249" s="18" t="s">
        <v>6098</v>
      </c>
      <c r="L3249" s="18" t="s">
        <v>6099</v>
      </c>
      <c r="M3249" s="18" t="s">
        <v>6112</v>
      </c>
      <c r="N3249" s="18"/>
      <c r="O3249" s="18">
        <v>9</v>
      </c>
      <c r="P3249" s="16">
        <v>4</v>
      </c>
      <c r="Q3249" s="16">
        <v>2</v>
      </c>
      <c r="R3249" s="16">
        <v>2</v>
      </c>
      <c r="S3249" s="16">
        <v>1</v>
      </c>
      <c r="T3249" s="18" t="s">
        <v>6023</v>
      </c>
      <c r="U3249" t="e">
        <v>#N/A</v>
      </c>
      <c r="V3249" s="18" t="s">
        <v>6113</v>
      </c>
      <c r="W3249" s="283"/>
      <c r="X3249" s="283"/>
      <c r="Y3249" s="283"/>
      <c r="Z3249" s="283"/>
      <c r="AA3249" s="283"/>
      <c r="AB3249" s="283"/>
      <c r="AC3249" s="283"/>
      <c r="AD3249" s="283"/>
      <c r="AE3249" s="49">
        <v>1</v>
      </c>
      <c r="AF3249" s="64"/>
      <c r="AG3249" s="283"/>
      <c r="AH3249" s="259"/>
      <c r="AI3249" s="259"/>
      <c r="AJ3249" s="259"/>
      <c r="AK3249" s="260"/>
      <c r="AL3249" s="260"/>
      <c r="AM3249" s="259">
        <v>0</v>
      </c>
      <c r="AN3249" s="18" t="s">
        <v>2172</v>
      </c>
      <c r="AO3249" s="18" t="s">
        <v>2236</v>
      </c>
      <c r="AP3249" s="18"/>
    </row>
    <row r="3250" spans="1:42" customFormat="1" x14ac:dyDescent="0.3">
      <c r="A3250" s="18" t="s">
        <v>1463</v>
      </c>
      <c r="B3250" s="18" t="s">
        <v>5664</v>
      </c>
      <c r="C3250" s="18" t="s">
        <v>1466</v>
      </c>
      <c r="D3250" s="18" t="s">
        <v>5940</v>
      </c>
      <c r="E3250" s="18" t="s">
        <v>1467</v>
      </c>
      <c r="F3250" s="18" t="s">
        <v>5941</v>
      </c>
      <c r="G3250" s="18" t="s">
        <v>6096</v>
      </c>
      <c r="H3250" s="157" t="s">
        <v>6097</v>
      </c>
      <c r="I3250" s="18"/>
      <c r="J3250" s="18"/>
      <c r="K3250" s="18" t="s">
        <v>6098</v>
      </c>
      <c r="L3250" s="18" t="s">
        <v>6099</v>
      </c>
      <c r="M3250" s="18" t="s">
        <v>6114</v>
      </c>
      <c r="N3250" s="18"/>
      <c r="O3250" s="18">
        <v>27</v>
      </c>
      <c r="P3250" s="16">
        <v>79</v>
      </c>
      <c r="Q3250" s="16">
        <v>100</v>
      </c>
      <c r="R3250" s="16"/>
      <c r="S3250" s="16"/>
      <c r="T3250" s="18" t="s">
        <v>6023</v>
      </c>
      <c r="U3250" t="e">
        <v>#N/A</v>
      </c>
      <c r="V3250" s="18" t="s">
        <v>6115</v>
      </c>
      <c r="W3250" s="283"/>
      <c r="X3250" s="283"/>
      <c r="Y3250" s="283"/>
      <c r="Z3250" s="283"/>
      <c r="AA3250" s="283"/>
      <c r="AB3250" s="283"/>
      <c r="AC3250" s="283"/>
      <c r="AD3250" s="283"/>
      <c r="AE3250" s="49">
        <v>1</v>
      </c>
      <c r="AF3250" s="64"/>
      <c r="AG3250" s="283"/>
      <c r="AH3250" s="259">
        <v>0.14000000000000001</v>
      </c>
      <c r="AI3250" s="259">
        <v>0.98799999999999999</v>
      </c>
      <c r="AJ3250" s="259">
        <v>0.98799999999999999</v>
      </c>
      <c r="AK3250" s="260"/>
      <c r="AL3250" s="260"/>
      <c r="AM3250" s="259">
        <v>0</v>
      </c>
      <c r="AN3250" s="18" t="s">
        <v>2172</v>
      </c>
      <c r="AO3250" s="18" t="s">
        <v>2236</v>
      </c>
      <c r="AP3250" s="18"/>
    </row>
    <row r="3251" spans="1:42" customFormat="1" x14ac:dyDescent="0.3">
      <c r="A3251" s="18" t="s">
        <v>1463</v>
      </c>
      <c r="B3251" s="18" t="s">
        <v>5664</v>
      </c>
      <c r="C3251" s="18" t="s">
        <v>1466</v>
      </c>
      <c r="D3251" s="18" t="s">
        <v>5940</v>
      </c>
      <c r="E3251" s="18" t="s">
        <v>1467</v>
      </c>
      <c r="F3251" s="18" t="s">
        <v>5941</v>
      </c>
      <c r="G3251" s="18" t="s">
        <v>6096</v>
      </c>
      <c r="H3251" s="157" t="s">
        <v>6097</v>
      </c>
      <c r="I3251" s="18"/>
      <c r="J3251" s="18"/>
      <c r="K3251" s="18" t="s">
        <v>6098</v>
      </c>
      <c r="L3251" s="18" t="s">
        <v>6099</v>
      </c>
      <c r="M3251" s="18" t="s">
        <v>6116</v>
      </c>
      <c r="N3251" s="18"/>
      <c r="O3251" s="18">
        <v>8</v>
      </c>
      <c r="P3251" s="16">
        <v>21</v>
      </c>
      <c r="Q3251" s="16">
        <v>33</v>
      </c>
      <c r="R3251" s="16">
        <v>38</v>
      </c>
      <c r="S3251" s="16"/>
      <c r="T3251" s="18" t="s">
        <v>6023</v>
      </c>
      <c r="U3251" t="e">
        <v>#N/A</v>
      </c>
      <c r="V3251" s="18" t="s">
        <v>6117</v>
      </c>
      <c r="W3251" s="283"/>
      <c r="X3251" s="283"/>
      <c r="Y3251" s="283"/>
      <c r="Z3251" s="283"/>
      <c r="AA3251" s="283"/>
      <c r="AB3251" s="283"/>
      <c r="AC3251" s="283"/>
      <c r="AD3251" s="283"/>
      <c r="AE3251" s="49">
        <v>1</v>
      </c>
      <c r="AF3251" s="64"/>
      <c r="AG3251" s="283"/>
      <c r="AH3251" s="259">
        <v>7.8E-2</v>
      </c>
      <c r="AI3251" s="259">
        <v>0.14499999999999999</v>
      </c>
      <c r="AJ3251" s="259">
        <v>0.14499999999999999</v>
      </c>
      <c r="AK3251" s="260">
        <v>0.14499999999999999</v>
      </c>
      <c r="AL3251" s="260"/>
      <c r="AM3251" s="259">
        <v>0.14499999999999999</v>
      </c>
      <c r="AN3251" s="18" t="s">
        <v>2172</v>
      </c>
      <c r="AO3251" s="18" t="s">
        <v>2236</v>
      </c>
      <c r="AP3251" s="18"/>
    </row>
    <row r="3252" spans="1:42" customFormat="1" x14ac:dyDescent="0.3">
      <c r="A3252" s="18" t="s">
        <v>1463</v>
      </c>
      <c r="B3252" s="18" t="s">
        <v>5664</v>
      </c>
      <c r="C3252" s="18" t="s">
        <v>1466</v>
      </c>
      <c r="D3252" s="18" t="s">
        <v>5940</v>
      </c>
      <c r="E3252" s="18" t="s">
        <v>1467</v>
      </c>
      <c r="F3252" s="18" t="s">
        <v>5941</v>
      </c>
      <c r="G3252" s="18" t="s">
        <v>6096</v>
      </c>
      <c r="H3252" s="157" t="s">
        <v>6097</v>
      </c>
      <c r="I3252" s="18"/>
      <c r="J3252" s="18"/>
      <c r="K3252" s="18" t="s">
        <v>6098</v>
      </c>
      <c r="L3252" s="18" t="s">
        <v>6099</v>
      </c>
      <c r="M3252" s="18" t="s">
        <v>6118</v>
      </c>
      <c r="N3252" s="18"/>
      <c r="O3252" s="18">
        <v>16</v>
      </c>
      <c r="P3252" s="16">
        <v>27</v>
      </c>
      <c r="Q3252" s="16">
        <v>43</v>
      </c>
      <c r="R3252" s="16">
        <v>79</v>
      </c>
      <c r="S3252" s="16">
        <v>100</v>
      </c>
      <c r="T3252" s="18" t="s">
        <v>6023</v>
      </c>
      <c r="U3252" t="e">
        <v>#N/A</v>
      </c>
      <c r="V3252" s="18" t="s">
        <v>6119</v>
      </c>
      <c r="W3252" s="283"/>
      <c r="X3252" s="283"/>
      <c r="Y3252" s="283"/>
      <c r="Z3252" s="283"/>
      <c r="AA3252" s="283"/>
      <c r="AB3252" s="283"/>
      <c r="AC3252" s="283"/>
      <c r="AD3252" s="283"/>
      <c r="AE3252" s="49">
        <v>1</v>
      </c>
      <c r="AF3252" s="64"/>
      <c r="AG3252" s="283"/>
      <c r="AH3252" s="259">
        <v>1.7</v>
      </c>
      <c r="AI3252" s="259">
        <v>7.3</v>
      </c>
      <c r="AJ3252" s="259">
        <v>7.3</v>
      </c>
      <c r="AK3252" s="260">
        <v>5.7</v>
      </c>
      <c r="AL3252" s="260">
        <v>5.7</v>
      </c>
      <c r="AM3252" s="259">
        <v>11.4</v>
      </c>
      <c r="AN3252" s="18" t="s">
        <v>2172</v>
      </c>
      <c r="AO3252" s="18" t="s">
        <v>2236</v>
      </c>
      <c r="AP3252" s="18"/>
    </row>
    <row r="3253" spans="1:42" customFormat="1" x14ac:dyDescent="0.3">
      <c r="A3253" s="18" t="s">
        <v>1463</v>
      </c>
      <c r="B3253" s="18" t="s">
        <v>5664</v>
      </c>
      <c r="C3253" s="18" t="s">
        <v>1466</v>
      </c>
      <c r="D3253" s="18" t="s">
        <v>5940</v>
      </c>
      <c r="E3253" s="18" t="s">
        <v>1467</v>
      </c>
      <c r="F3253" s="18" t="s">
        <v>5941</v>
      </c>
      <c r="G3253" s="18" t="s">
        <v>6096</v>
      </c>
      <c r="H3253" s="157" t="s">
        <v>6097</v>
      </c>
      <c r="I3253" s="18"/>
      <c r="J3253" s="18"/>
      <c r="K3253" s="18" t="s">
        <v>6098</v>
      </c>
      <c r="L3253" s="18" t="s">
        <v>6099</v>
      </c>
      <c r="M3253" s="18" t="s">
        <v>6120</v>
      </c>
      <c r="N3253" s="18"/>
      <c r="O3253" s="18">
        <v>12</v>
      </c>
      <c r="P3253" s="16">
        <v>12</v>
      </c>
      <c r="Q3253" s="16">
        <v>12</v>
      </c>
      <c r="R3253" s="16">
        <v>12</v>
      </c>
      <c r="S3253" s="16">
        <v>12</v>
      </c>
      <c r="T3253" s="18" t="s">
        <v>6023</v>
      </c>
      <c r="U3253" t="e">
        <v>#N/A</v>
      </c>
      <c r="V3253" s="18" t="s">
        <v>6121</v>
      </c>
      <c r="W3253" s="283"/>
      <c r="X3253" s="283"/>
      <c r="Y3253" s="283"/>
      <c r="Z3253" s="283"/>
      <c r="AA3253" s="283"/>
      <c r="AB3253" s="283"/>
      <c r="AC3253" s="283"/>
      <c r="AD3253" s="283"/>
      <c r="AE3253" s="49">
        <v>1</v>
      </c>
      <c r="AF3253" s="64"/>
      <c r="AG3253" s="283"/>
      <c r="AH3253" s="259">
        <v>0.84</v>
      </c>
      <c r="AI3253" s="259">
        <v>0.84</v>
      </c>
      <c r="AJ3253" s="259">
        <v>0.84</v>
      </c>
      <c r="AK3253" s="260">
        <v>0.84</v>
      </c>
      <c r="AL3253" s="260">
        <v>0.84</v>
      </c>
      <c r="AM3253" s="259">
        <v>1.68</v>
      </c>
      <c r="AN3253" s="18" t="s">
        <v>2172</v>
      </c>
      <c r="AO3253" s="18" t="s">
        <v>2236</v>
      </c>
      <c r="AP3253" s="18"/>
    </row>
    <row r="3254" spans="1:42" customFormat="1" x14ac:dyDescent="0.3">
      <c r="A3254" s="18" t="s">
        <v>1463</v>
      </c>
      <c r="B3254" s="18" t="s">
        <v>5664</v>
      </c>
      <c r="C3254" s="18" t="s">
        <v>1466</v>
      </c>
      <c r="D3254" s="18" t="s">
        <v>5940</v>
      </c>
      <c r="E3254" s="18" t="s">
        <v>1467</v>
      </c>
      <c r="F3254" s="18" t="s">
        <v>5941</v>
      </c>
      <c r="G3254" s="18" t="s">
        <v>6096</v>
      </c>
      <c r="H3254" s="157" t="s">
        <v>6097</v>
      </c>
      <c r="I3254" s="18"/>
      <c r="J3254" s="18"/>
      <c r="K3254" s="18" t="s">
        <v>6122</v>
      </c>
      <c r="L3254" s="18" t="s">
        <v>6123</v>
      </c>
      <c r="M3254" s="18" t="s">
        <v>6124</v>
      </c>
      <c r="N3254" s="18"/>
      <c r="O3254" s="18">
        <v>24</v>
      </c>
      <c r="P3254" s="16">
        <v>64</v>
      </c>
      <c r="Q3254" s="16">
        <v>84</v>
      </c>
      <c r="R3254" s="16">
        <v>100</v>
      </c>
      <c r="S3254" s="16"/>
      <c r="T3254" s="18" t="s">
        <v>6023</v>
      </c>
      <c r="U3254" t="e">
        <v>#N/A</v>
      </c>
      <c r="V3254" s="18" t="s">
        <v>6125</v>
      </c>
      <c r="W3254" s="283"/>
      <c r="X3254" s="283"/>
      <c r="Y3254" s="283"/>
      <c r="Z3254" s="283"/>
      <c r="AA3254" s="283"/>
      <c r="AB3254" s="283"/>
      <c r="AC3254" s="283"/>
      <c r="AD3254" s="283"/>
      <c r="AE3254" s="49">
        <v>1</v>
      </c>
      <c r="AF3254" s="64"/>
      <c r="AG3254" s="283"/>
      <c r="AH3254" s="259">
        <v>0.61499999999999999</v>
      </c>
      <c r="AI3254" s="259">
        <v>0.87</v>
      </c>
      <c r="AJ3254" s="259">
        <v>0.87</v>
      </c>
      <c r="AK3254" s="260">
        <v>0.15</v>
      </c>
      <c r="AL3254" s="260">
        <v>0.15</v>
      </c>
      <c r="AM3254" s="259">
        <v>0.3</v>
      </c>
      <c r="AN3254" s="18" t="s">
        <v>2172</v>
      </c>
      <c r="AO3254" s="18" t="s">
        <v>2236</v>
      </c>
      <c r="AP3254" s="18"/>
    </row>
    <row r="3255" spans="1:42" customFormat="1" x14ac:dyDescent="0.3">
      <c r="A3255" s="18" t="s">
        <v>1463</v>
      </c>
      <c r="B3255" s="18" t="s">
        <v>5664</v>
      </c>
      <c r="C3255" s="18" t="s">
        <v>1466</v>
      </c>
      <c r="D3255" s="18" t="s">
        <v>5940</v>
      </c>
      <c r="E3255" s="18" t="s">
        <v>1467</v>
      </c>
      <c r="F3255" s="18" t="s">
        <v>5941</v>
      </c>
      <c r="G3255" s="18" t="s">
        <v>6096</v>
      </c>
      <c r="H3255" s="157" t="s">
        <v>6097</v>
      </c>
      <c r="I3255" s="18"/>
      <c r="J3255" s="18"/>
      <c r="K3255" s="18" t="s">
        <v>6126</v>
      </c>
      <c r="L3255" s="18" t="s">
        <v>6127</v>
      </c>
      <c r="M3255" s="18" t="s">
        <v>6128</v>
      </c>
      <c r="N3255" s="18"/>
      <c r="O3255" s="18">
        <v>60</v>
      </c>
      <c r="P3255" s="16">
        <v>160</v>
      </c>
      <c r="Q3255" s="16">
        <v>250</v>
      </c>
      <c r="R3255" s="16">
        <v>273</v>
      </c>
      <c r="S3255" s="16">
        <v>273</v>
      </c>
      <c r="T3255" s="18" t="s">
        <v>6023</v>
      </c>
      <c r="U3255" t="e">
        <v>#N/A</v>
      </c>
      <c r="V3255" s="18" t="s">
        <v>6129</v>
      </c>
      <c r="W3255" s="283"/>
      <c r="X3255" s="283"/>
      <c r="Y3255" s="283"/>
      <c r="Z3255" s="283"/>
      <c r="AA3255" s="283"/>
      <c r="AB3255" s="283"/>
      <c r="AC3255" s="283"/>
      <c r="AD3255" s="283"/>
      <c r="AE3255" s="49">
        <v>1</v>
      </c>
      <c r="AF3255" s="64"/>
      <c r="AG3255" s="283"/>
      <c r="AH3255" s="259">
        <v>5.1999999999999998E-2</v>
      </c>
      <c r="AI3255" s="259">
        <v>0.66400000000000003</v>
      </c>
      <c r="AJ3255" s="259">
        <v>2.9129999999999998</v>
      </c>
      <c r="AK3255" s="260">
        <v>3.718</v>
      </c>
      <c r="AL3255" s="260">
        <v>4.5</v>
      </c>
      <c r="AM3255" s="259">
        <v>8.218</v>
      </c>
      <c r="AN3255" s="18" t="s">
        <v>2172</v>
      </c>
      <c r="AO3255" s="18" t="s">
        <v>2236</v>
      </c>
      <c r="AP3255" s="18"/>
    </row>
    <row r="3256" spans="1:42" customFormat="1" x14ac:dyDescent="0.3">
      <c r="A3256" s="18" t="s">
        <v>1463</v>
      </c>
      <c r="B3256" s="18" t="s">
        <v>5664</v>
      </c>
      <c r="C3256" s="18" t="s">
        <v>1466</v>
      </c>
      <c r="D3256" s="18" t="s">
        <v>5940</v>
      </c>
      <c r="E3256" s="18" t="s">
        <v>1467</v>
      </c>
      <c r="F3256" s="18" t="s">
        <v>5941</v>
      </c>
      <c r="G3256" s="18" t="s">
        <v>6096</v>
      </c>
      <c r="H3256" s="157" t="s">
        <v>6097</v>
      </c>
      <c r="I3256" s="18"/>
      <c r="J3256" s="18"/>
      <c r="K3256" s="18" t="s">
        <v>6130</v>
      </c>
      <c r="L3256" s="18" t="s">
        <v>6131</v>
      </c>
      <c r="M3256" s="18" t="s">
        <v>6132</v>
      </c>
      <c r="N3256" s="18"/>
      <c r="O3256" s="18">
        <v>155</v>
      </c>
      <c r="P3256" s="16">
        <v>100</v>
      </c>
      <c r="Q3256" s="16">
        <v>90</v>
      </c>
      <c r="R3256" s="16">
        <v>23</v>
      </c>
      <c r="S3256" s="16"/>
      <c r="T3256" s="18" t="s">
        <v>6023</v>
      </c>
      <c r="U3256" t="e">
        <v>#N/A</v>
      </c>
      <c r="V3256" s="18" t="s">
        <v>6133</v>
      </c>
      <c r="W3256" s="283"/>
      <c r="X3256" s="283"/>
      <c r="Y3256" s="283"/>
      <c r="Z3256" s="283"/>
      <c r="AA3256" s="283"/>
      <c r="AB3256" s="283"/>
      <c r="AC3256" s="283"/>
      <c r="AD3256" s="283"/>
      <c r="AE3256" s="49">
        <v>1</v>
      </c>
      <c r="AF3256" s="64"/>
      <c r="AG3256" s="283"/>
      <c r="AH3256" s="259">
        <v>0.13400000000000001</v>
      </c>
      <c r="AI3256" s="259">
        <v>0.127</v>
      </c>
      <c r="AJ3256" s="259">
        <v>0.114</v>
      </c>
      <c r="AK3256" s="260">
        <v>6.4000000000000001E-2</v>
      </c>
      <c r="AL3256" s="260">
        <v>6.4000000000000001E-2</v>
      </c>
      <c r="AM3256" s="259">
        <v>0.128</v>
      </c>
      <c r="AN3256" s="18" t="s">
        <v>2172</v>
      </c>
      <c r="AO3256" s="18" t="s">
        <v>2236</v>
      </c>
      <c r="AP3256" s="18"/>
    </row>
    <row r="3257" spans="1:42" customFormat="1" x14ac:dyDescent="0.3">
      <c r="A3257" s="18" t="s">
        <v>1463</v>
      </c>
      <c r="B3257" s="18" t="s">
        <v>5664</v>
      </c>
      <c r="C3257" s="18" t="s">
        <v>1466</v>
      </c>
      <c r="D3257" s="18" t="s">
        <v>5940</v>
      </c>
      <c r="E3257" s="18" t="s">
        <v>1467</v>
      </c>
      <c r="F3257" s="18" t="s">
        <v>5941</v>
      </c>
      <c r="G3257" s="18" t="s">
        <v>6096</v>
      </c>
      <c r="H3257" s="157" t="s">
        <v>6097</v>
      </c>
      <c r="I3257" s="18"/>
      <c r="J3257" s="18"/>
      <c r="K3257" s="18" t="s">
        <v>6134</v>
      </c>
      <c r="L3257" s="18" t="s">
        <v>6135</v>
      </c>
      <c r="M3257" s="18" t="s">
        <v>6136</v>
      </c>
      <c r="N3257" s="18"/>
      <c r="O3257" s="18">
        <v>100</v>
      </c>
      <c r="P3257" s="16">
        <v>100</v>
      </c>
      <c r="Q3257" s="16">
        <v>100</v>
      </c>
      <c r="R3257" s="16">
        <v>100</v>
      </c>
      <c r="S3257" s="16">
        <v>100</v>
      </c>
      <c r="T3257" s="18" t="s">
        <v>6023</v>
      </c>
      <c r="U3257" t="e">
        <v>#N/A</v>
      </c>
      <c r="V3257" s="18" t="s">
        <v>6137</v>
      </c>
      <c r="W3257" s="283"/>
      <c r="X3257" s="283"/>
      <c r="Y3257" s="283"/>
      <c r="Z3257" s="283"/>
      <c r="AA3257" s="283"/>
      <c r="AB3257" s="283"/>
      <c r="AC3257" s="283"/>
      <c r="AD3257" s="283"/>
      <c r="AE3257" s="49">
        <v>1</v>
      </c>
      <c r="AF3257" s="64"/>
      <c r="AG3257" s="283"/>
      <c r="AH3257" s="259">
        <v>3.4</v>
      </c>
      <c r="AI3257" s="259">
        <v>3.4</v>
      </c>
      <c r="AJ3257" s="259">
        <v>3.4</v>
      </c>
      <c r="AK3257" s="260">
        <v>3.4</v>
      </c>
      <c r="AL3257" s="260">
        <v>3.4</v>
      </c>
      <c r="AM3257" s="259">
        <v>6.8</v>
      </c>
      <c r="AN3257" s="18" t="s">
        <v>2172</v>
      </c>
      <c r="AO3257" s="18" t="s">
        <v>2236</v>
      </c>
      <c r="AP3257" s="18"/>
    </row>
    <row r="3258" spans="1:42" customFormat="1" x14ac:dyDescent="0.3">
      <c r="A3258" s="18" t="s">
        <v>1463</v>
      </c>
      <c r="B3258" s="18" t="s">
        <v>5664</v>
      </c>
      <c r="C3258" s="18" t="s">
        <v>1466</v>
      </c>
      <c r="D3258" s="18" t="s">
        <v>5940</v>
      </c>
      <c r="E3258" s="18" t="s">
        <v>1467</v>
      </c>
      <c r="F3258" s="18" t="s">
        <v>5941</v>
      </c>
      <c r="G3258" s="18" t="s">
        <v>6096</v>
      </c>
      <c r="H3258" s="157" t="s">
        <v>6097</v>
      </c>
      <c r="I3258" s="18"/>
      <c r="J3258" s="18"/>
      <c r="K3258" s="18" t="s">
        <v>6134</v>
      </c>
      <c r="L3258" s="18" t="s">
        <v>6135</v>
      </c>
      <c r="M3258" s="18" t="s">
        <v>6138</v>
      </c>
      <c r="N3258" s="18"/>
      <c r="O3258" s="18">
        <v>12</v>
      </c>
      <c r="P3258" s="16">
        <v>12</v>
      </c>
      <c r="Q3258" s="16">
        <v>12</v>
      </c>
      <c r="R3258" s="16"/>
      <c r="S3258" s="16"/>
      <c r="T3258" s="18" t="s">
        <v>6023</v>
      </c>
      <c r="U3258" t="e">
        <v>#N/A</v>
      </c>
      <c r="V3258" s="18" t="s">
        <v>6139</v>
      </c>
      <c r="W3258" s="283"/>
      <c r="X3258" s="283"/>
      <c r="Y3258" s="283"/>
      <c r="Z3258" s="283"/>
      <c r="AA3258" s="283"/>
      <c r="AB3258" s="283"/>
      <c r="AC3258" s="283"/>
      <c r="AD3258" s="283"/>
      <c r="AE3258" s="49">
        <v>1</v>
      </c>
      <c r="AF3258" s="64"/>
      <c r="AG3258" s="283"/>
      <c r="AH3258" s="259">
        <v>0.21</v>
      </c>
      <c r="AI3258" s="259">
        <v>0.21</v>
      </c>
      <c r="AJ3258" s="259">
        <v>0.21</v>
      </c>
      <c r="AK3258" s="260"/>
      <c r="AL3258" s="260"/>
      <c r="AM3258" s="259">
        <v>0</v>
      </c>
      <c r="AN3258" s="18" t="s">
        <v>2172</v>
      </c>
      <c r="AO3258" s="18" t="s">
        <v>2236</v>
      </c>
      <c r="AP3258" s="18"/>
    </row>
    <row r="3259" spans="1:42" customFormat="1" x14ac:dyDescent="0.3">
      <c r="A3259" s="18" t="s">
        <v>1463</v>
      </c>
      <c r="B3259" s="18" t="s">
        <v>5664</v>
      </c>
      <c r="C3259" s="18" t="s">
        <v>1466</v>
      </c>
      <c r="D3259" s="18" t="s">
        <v>5940</v>
      </c>
      <c r="E3259" s="18" t="s">
        <v>1467</v>
      </c>
      <c r="F3259" s="18" t="s">
        <v>5941</v>
      </c>
      <c r="G3259" s="18" t="s">
        <v>6096</v>
      </c>
      <c r="H3259" s="157" t="s">
        <v>6097</v>
      </c>
      <c r="I3259" s="18"/>
      <c r="J3259" s="18"/>
      <c r="K3259" s="18" t="s">
        <v>11679</v>
      </c>
      <c r="L3259" s="18" t="s">
        <v>11680</v>
      </c>
      <c r="M3259" s="18" t="s">
        <v>11681</v>
      </c>
      <c r="N3259" s="18"/>
      <c r="O3259" s="18">
        <v>1</v>
      </c>
      <c r="P3259" s="16">
        <v>1</v>
      </c>
      <c r="Q3259" s="16">
        <v>1</v>
      </c>
      <c r="R3259" s="16">
        <v>1</v>
      </c>
      <c r="S3259" s="16">
        <v>1</v>
      </c>
      <c r="T3259" s="18" t="s">
        <v>723</v>
      </c>
      <c r="U3259" t="s">
        <v>729</v>
      </c>
      <c r="V3259" s="18" t="s">
        <v>11682</v>
      </c>
      <c r="W3259" s="283"/>
      <c r="X3259" s="283"/>
      <c r="Y3259" s="283"/>
      <c r="Z3259" s="283"/>
      <c r="AA3259" s="283"/>
      <c r="AB3259" s="283"/>
      <c r="AC3259" s="283"/>
      <c r="AD3259" s="283"/>
      <c r="AE3259" s="49">
        <v>1</v>
      </c>
      <c r="AF3259" s="64"/>
      <c r="AG3259" s="283"/>
      <c r="AH3259" s="259">
        <v>1</v>
      </c>
      <c r="AI3259" s="259">
        <v>1</v>
      </c>
      <c r="AJ3259" s="259">
        <v>1</v>
      </c>
      <c r="AK3259" s="260">
        <v>0.5</v>
      </c>
      <c r="AL3259" s="260">
        <v>1</v>
      </c>
      <c r="AM3259" s="259">
        <v>2</v>
      </c>
      <c r="AN3259" s="18" t="s">
        <v>723</v>
      </c>
      <c r="AO3259" s="18" t="s">
        <v>729</v>
      </c>
      <c r="AP3259" s="18"/>
    </row>
    <row r="3260" spans="1:42" customFormat="1" x14ac:dyDescent="0.3">
      <c r="A3260" s="18" t="s">
        <v>1463</v>
      </c>
      <c r="B3260" s="18" t="s">
        <v>5664</v>
      </c>
      <c r="C3260" s="18" t="s">
        <v>1466</v>
      </c>
      <c r="D3260" s="18" t="s">
        <v>5940</v>
      </c>
      <c r="E3260" s="18" t="s">
        <v>1467</v>
      </c>
      <c r="F3260" s="18" t="s">
        <v>5941</v>
      </c>
      <c r="G3260" s="18" t="s">
        <v>6096</v>
      </c>
      <c r="H3260" s="157" t="s">
        <v>6097</v>
      </c>
      <c r="I3260" s="18"/>
      <c r="J3260" s="18"/>
      <c r="K3260" s="18" t="s">
        <v>11683</v>
      </c>
      <c r="L3260" s="18" t="s">
        <v>11684</v>
      </c>
      <c r="M3260" s="18" t="s">
        <v>11685</v>
      </c>
      <c r="N3260" s="18">
        <v>20</v>
      </c>
      <c r="O3260" s="18">
        <v>30</v>
      </c>
      <c r="P3260" s="16">
        <v>60</v>
      </c>
      <c r="Q3260" s="16">
        <v>80</v>
      </c>
      <c r="R3260" s="16">
        <v>100</v>
      </c>
      <c r="S3260" s="16">
        <v>100</v>
      </c>
      <c r="T3260" s="18" t="s">
        <v>723</v>
      </c>
      <c r="U3260" t="s">
        <v>729</v>
      </c>
      <c r="V3260" s="18" t="s">
        <v>11686</v>
      </c>
      <c r="W3260" s="283"/>
      <c r="X3260" s="283"/>
      <c r="Y3260" s="283"/>
      <c r="Z3260" s="283"/>
      <c r="AA3260" s="283"/>
      <c r="AB3260" s="283"/>
      <c r="AC3260" s="283"/>
      <c r="AD3260" s="283"/>
      <c r="AE3260" s="49">
        <v>1</v>
      </c>
      <c r="AF3260" s="64"/>
      <c r="AG3260" s="283"/>
      <c r="AH3260" s="259">
        <v>0.05</v>
      </c>
      <c r="AI3260" s="259">
        <v>0.15</v>
      </c>
      <c r="AJ3260" s="259">
        <v>0.15</v>
      </c>
      <c r="AK3260" s="260">
        <v>0.15</v>
      </c>
      <c r="AL3260" s="260">
        <v>0.15</v>
      </c>
      <c r="AM3260" s="259">
        <v>0.3</v>
      </c>
      <c r="AN3260" s="18" t="s">
        <v>723</v>
      </c>
      <c r="AO3260" s="18" t="s">
        <v>729</v>
      </c>
      <c r="AP3260" s="18"/>
    </row>
    <row r="3261" spans="1:42" customFormat="1" x14ac:dyDescent="0.3">
      <c r="A3261" s="18" t="s">
        <v>1463</v>
      </c>
      <c r="B3261" s="18" t="s">
        <v>5664</v>
      </c>
      <c r="C3261" s="18" t="s">
        <v>1466</v>
      </c>
      <c r="D3261" s="18" t="s">
        <v>5940</v>
      </c>
      <c r="E3261" s="18" t="s">
        <v>1467</v>
      </c>
      <c r="F3261" s="18" t="s">
        <v>5941</v>
      </c>
      <c r="G3261" s="18" t="s">
        <v>6096</v>
      </c>
      <c r="H3261" s="157" t="s">
        <v>6097</v>
      </c>
      <c r="I3261" s="18"/>
      <c r="J3261" s="18"/>
      <c r="K3261" s="18" t="s">
        <v>11687</v>
      </c>
      <c r="L3261" s="18" t="s">
        <v>11688</v>
      </c>
      <c r="M3261" s="18" t="s">
        <v>11689</v>
      </c>
      <c r="N3261" s="18"/>
      <c r="O3261" s="18"/>
      <c r="P3261" s="16">
        <v>1</v>
      </c>
      <c r="Q3261" s="16"/>
      <c r="R3261" s="16"/>
      <c r="S3261" s="16"/>
      <c r="T3261" s="18" t="s">
        <v>723</v>
      </c>
      <c r="U3261" t="s">
        <v>729</v>
      </c>
      <c r="V3261" s="18" t="s">
        <v>11690</v>
      </c>
      <c r="W3261" s="283"/>
      <c r="X3261" s="283"/>
      <c r="Y3261" s="283"/>
      <c r="Z3261" s="283"/>
      <c r="AA3261" s="283"/>
      <c r="AB3261" s="283"/>
      <c r="AC3261" s="283"/>
      <c r="AD3261" s="283"/>
      <c r="AE3261" s="49">
        <v>1</v>
      </c>
      <c r="AF3261" s="64"/>
      <c r="AG3261" s="283"/>
      <c r="AH3261" s="259"/>
      <c r="AI3261" s="259">
        <v>2</v>
      </c>
      <c r="AJ3261" s="259">
        <v>2</v>
      </c>
      <c r="AK3261" s="260">
        <v>2</v>
      </c>
      <c r="AL3261" s="260">
        <v>2</v>
      </c>
      <c r="AM3261" s="259">
        <v>4</v>
      </c>
      <c r="AN3261" s="18" t="s">
        <v>723</v>
      </c>
      <c r="AO3261" s="18" t="s">
        <v>729</v>
      </c>
      <c r="AP3261" s="18"/>
    </row>
    <row r="3262" spans="1:42" customFormat="1" x14ac:dyDescent="0.3">
      <c r="A3262" s="18" t="s">
        <v>1463</v>
      </c>
      <c r="B3262" s="18" t="s">
        <v>5664</v>
      </c>
      <c r="C3262" s="18" t="s">
        <v>1466</v>
      </c>
      <c r="D3262" s="18" t="s">
        <v>5940</v>
      </c>
      <c r="E3262" s="18" t="s">
        <v>1467</v>
      </c>
      <c r="F3262" s="18" t="s">
        <v>5941</v>
      </c>
      <c r="G3262" s="18" t="s">
        <v>6096</v>
      </c>
      <c r="H3262" s="157" t="s">
        <v>6097</v>
      </c>
      <c r="I3262" s="18"/>
      <c r="J3262" s="18"/>
      <c r="K3262" s="18" t="s">
        <v>11687</v>
      </c>
      <c r="L3262" s="18" t="s">
        <v>11688</v>
      </c>
      <c r="M3262" s="18" t="s">
        <v>11691</v>
      </c>
      <c r="N3262" s="18"/>
      <c r="O3262" s="18"/>
      <c r="P3262" s="16">
        <v>1</v>
      </c>
      <c r="Q3262" s="16">
        <v>1</v>
      </c>
      <c r="R3262" s="16">
        <v>1</v>
      </c>
      <c r="S3262" s="16">
        <v>1</v>
      </c>
      <c r="T3262" s="18" t="s">
        <v>723</v>
      </c>
      <c r="U3262" t="s">
        <v>729</v>
      </c>
      <c r="V3262" s="18" t="s">
        <v>11692</v>
      </c>
      <c r="W3262" s="283"/>
      <c r="X3262" s="283"/>
      <c r="Y3262" s="283"/>
      <c r="Z3262" s="283"/>
      <c r="AA3262" s="283"/>
      <c r="AB3262" s="283"/>
      <c r="AC3262" s="283"/>
      <c r="AD3262" s="283"/>
      <c r="AE3262" s="49">
        <v>1</v>
      </c>
      <c r="AF3262" s="64"/>
      <c r="AG3262" s="283"/>
      <c r="AH3262" s="259"/>
      <c r="AI3262" s="259"/>
      <c r="AJ3262" s="259"/>
      <c r="AK3262" s="260"/>
      <c r="AL3262" s="260"/>
      <c r="AM3262" s="259">
        <v>0</v>
      </c>
      <c r="AN3262" s="18" t="s">
        <v>723</v>
      </c>
      <c r="AO3262" s="18" t="s">
        <v>729</v>
      </c>
      <c r="AP3262" s="18"/>
    </row>
    <row r="3263" spans="1:42" customFormat="1" x14ac:dyDescent="0.3">
      <c r="A3263" s="18" t="s">
        <v>1463</v>
      </c>
      <c r="B3263" s="18" t="s">
        <v>5664</v>
      </c>
      <c r="C3263" s="18" t="s">
        <v>1466</v>
      </c>
      <c r="D3263" s="18" t="s">
        <v>5940</v>
      </c>
      <c r="E3263" s="18" t="s">
        <v>1467</v>
      </c>
      <c r="F3263" s="18" t="s">
        <v>5941</v>
      </c>
      <c r="G3263" s="18" t="s">
        <v>6096</v>
      </c>
      <c r="H3263" s="157" t="s">
        <v>6097</v>
      </c>
      <c r="I3263" s="18"/>
      <c r="J3263" s="18"/>
      <c r="K3263" s="18" t="s">
        <v>11687</v>
      </c>
      <c r="L3263" s="18" t="s">
        <v>11688</v>
      </c>
      <c r="M3263" s="18" t="s">
        <v>11693</v>
      </c>
      <c r="N3263" s="18"/>
      <c r="O3263" s="18"/>
      <c r="P3263" s="16">
        <v>100</v>
      </c>
      <c r="Q3263" s="16">
        <v>100</v>
      </c>
      <c r="R3263" s="16">
        <v>100</v>
      </c>
      <c r="S3263" s="16">
        <v>100</v>
      </c>
      <c r="T3263" s="18" t="s">
        <v>723</v>
      </c>
      <c r="U3263" t="s">
        <v>729</v>
      </c>
      <c r="V3263" s="18" t="s">
        <v>11694</v>
      </c>
      <c r="W3263" s="283"/>
      <c r="X3263" s="283"/>
      <c r="Y3263" s="283"/>
      <c r="Z3263" s="283"/>
      <c r="AA3263" s="283"/>
      <c r="AB3263" s="283"/>
      <c r="AC3263" s="283"/>
      <c r="AD3263" s="283"/>
      <c r="AE3263" s="49">
        <v>1</v>
      </c>
      <c r="AF3263" s="64"/>
      <c r="AG3263" s="283"/>
      <c r="AH3263" s="259"/>
      <c r="AI3263" s="259"/>
      <c r="AJ3263" s="259"/>
      <c r="AK3263" s="260"/>
      <c r="AL3263" s="260"/>
      <c r="AM3263" s="259">
        <v>0</v>
      </c>
      <c r="AN3263" s="18" t="s">
        <v>723</v>
      </c>
      <c r="AO3263" s="18" t="s">
        <v>729</v>
      </c>
      <c r="AP3263" s="18"/>
    </row>
    <row r="3264" spans="1:42" customFormat="1" x14ac:dyDescent="0.3">
      <c r="A3264" s="18" t="s">
        <v>1463</v>
      </c>
      <c r="B3264" s="18" t="s">
        <v>5664</v>
      </c>
      <c r="C3264" s="18" t="s">
        <v>1466</v>
      </c>
      <c r="D3264" s="18" t="s">
        <v>5940</v>
      </c>
      <c r="E3264" s="18" t="s">
        <v>1467</v>
      </c>
      <c r="F3264" s="18" t="s">
        <v>5941</v>
      </c>
      <c r="G3264" s="18" t="s">
        <v>6096</v>
      </c>
      <c r="H3264" s="157" t="s">
        <v>6097</v>
      </c>
      <c r="I3264" s="18"/>
      <c r="J3264" s="18"/>
      <c r="K3264" s="18">
        <v>14330409</v>
      </c>
      <c r="L3264" s="18" t="s">
        <v>11695</v>
      </c>
      <c r="M3264" s="18" t="s">
        <v>11696</v>
      </c>
      <c r="N3264" s="18"/>
      <c r="O3264" s="18"/>
      <c r="P3264" s="16">
        <v>25</v>
      </c>
      <c r="Q3264" s="16">
        <v>50</v>
      </c>
      <c r="R3264" s="16">
        <v>75</v>
      </c>
      <c r="S3264" s="16">
        <v>100</v>
      </c>
      <c r="T3264" s="18" t="s">
        <v>723</v>
      </c>
      <c r="U3264" t="s">
        <v>729</v>
      </c>
      <c r="V3264" s="18" t="s">
        <v>11697</v>
      </c>
      <c r="W3264" s="283"/>
      <c r="X3264" s="283"/>
      <c r="Y3264" s="283"/>
      <c r="Z3264" s="283"/>
      <c r="AA3264" s="283"/>
      <c r="AB3264" s="283"/>
      <c r="AC3264" s="283"/>
      <c r="AD3264" s="283"/>
      <c r="AE3264" s="49">
        <v>1</v>
      </c>
      <c r="AF3264" s="64"/>
      <c r="AG3264" s="283"/>
      <c r="AH3264" s="259"/>
      <c r="AI3264" s="259"/>
      <c r="AJ3264" s="259"/>
      <c r="AK3264" s="260"/>
      <c r="AL3264" s="260"/>
      <c r="AM3264" s="259">
        <v>0</v>
      </c>
      <c r="AN3264" s="18" t="s">
        <v>723</v>
      </c>
      <c r="AO3264" s="18" t="s">
        <v>729</v>
      </c>
      <c r="AP3264" s="18"/>
    </row>
    <row r="3265" spans="1:42" customFormat="1" x14ac:dyDescent="0.3">
      <c r="A3265" s="18" t="s">
        <v>1463</v>
      </c>
      <c r="B3265" s="18" t="s">
        <v>5664</v>
      </c>
      <c r="C3265" s="18" t="s">
        <v>1466</v>
      </c>
      <c r="D3265" s="18" t="s">
        <v>5940</v>
      </c>
      <c r="E3265" s="18" t="s">
        <v>1467</v>
      </c>
      <c r="F3265" s="18" t="s">
        <v>5941</v>
      </c>
      <c r="G3265" s="18" t="s">
        <v>6096</v>
      </c>
      <c r="H3265" s="157" t="s">
        <v>6097</v>
      </c>
      <c r="I3265" s="18"/>
      <c r="J3265" s="18"/>
      <c r="K3265" s="18">
        <v>14330409</v>
      </c>
      <c r="L3265" s="18" t="s">
        <v>11695</v>
      </c>
      <c r="M3265" s="18" t="s">
        <v>11698</v>
      </c>
      <c r="N3265" s="18"/>
      <c r="O3265" s="18"/>
      <c r="P3265" s="16">
        <v>1</v>
      </c>
      <c r="Q3265" s="16">
        <v>1</v>
      </c>
      <c r="R3265" s="16">
        <v>1</v>
      </c>
      <c r="S3265" s="16">
        <v>1</v>
      </c>
      <c r="T3265" s="18" t="s">
        <v>723</v>
      </c>
      <c r="U3265" t="s">
        <v>729</v>
      </c>
      <c r="V3265" s="18" t="s">
        <v>11699</v>
      </c>
      <c r="W3265" s="283"/>
      <c r="X3265" s="283"/>
      <c r="Y3265" s="283"/>
      <c r="Z3265" s="283"/>
      <c r="AA3265" s="283"/>
      <c r="AB3265" s="283"/>
      <c r="AC3265" s="283"/>
      <c r="AD3265" s="283"/>
      <c r="AE3265" s="49">
        <v>1</v>
      </c>
      <c r="AF3265" s="64"/>
      <c r="AG3265" s="283"/>
      <c r="AH3265" s="259"/>
      <c r="AI3265" s="259">
        <v>2</v>
      </c>
      <c r="AJ3265" s="259">
        <v>2</v>
      </c>
      <c r="AK3265" s="260">
        <v>0</v>
      </c>
      <c r="AL3265" s="260">
        <v>2</v>
      </c>
      <c r="AM3265" s="259">
        <v>4</v>
      </c>
      <c r="AN3265" s="18" t="s">
        <v>723</v>
      </c>
      <c r="AO3265" s="18" t="s">
        <v>729</v>
      </c>
      <c r="AP3265" s="18"/>
    </row>
    <row r="3266" spans="1:42" customFormat="1" x14ac:dyDescent="0.3">
      <c r="A3266" s="18" t="s">
        <v>1463</v>
      </c>
      <c r="B3266" s="18" t="s">
        <v>5664</v>
      </c>
      <c r="C3266" s="18" t="s">
        <v>1466</v>
      </c>
      <c r="D3266" s="18" t="s">
        <v>5940</v>
      </c>
      <c r="E3266" s="18" t="s">
        <v>1467</v>
      </c>
      <c r="F3266" s="18" t="s">
        <v>5941</v>
      </c>
      <c r="G3266" s="18" t="s">
        <v>6096</v>
      </c>
      <c r="H3266" s="157" t="s">
        <v>6097</v>
      </c>
      <c r="I3266" s="18"/>
      <c r="J3266" s="18"/>
      <c r="K3266" s="18">
        <v>14330410</v>
      </c>
      <c r="L3266" s="18" t="s">
        <v>6140</v>
      </c>
      <c r="M3266" s="18" t="s">
        <v>6141</v>
      </c>
      <c r="N3266" s="18"/>
      <c r="O3266" s="18"/>
      <c r="P3266" s="16">
        <v>5</v>
      </c>
      <c r="Q3266" s="16">
        <v>25</v>
      </c>
      <c r="R3266" s="16">
        <v>50</v>
      </c>
      <c r="S3266" s="16">
        <v>80</v>
      </c>
      <c r="T3266" s="18" t="s">
        <v>5676</v>
      </c>
      <c r="U3266" t="s">
        <v>5735</v>
      </c>
      <c r="V3266" s="18" t="s">
        <v>6142</v>
      </c>
      <c r="W3266" s="283"/>
      <c r="X3266" s="283"/>
      <c r="Y3266" s="283"/>
      <c r="Z3266" s="283"/>
      <c r="AA3266" s="283"/>
      <c r="AB3266" s="283"/>
      <c r="AC3266" s="283"/>
      <c r="AD3266" s="283"/>
      <c r="AE3266" s="49">
        <v>1</v>
      </c>
      <c r="AF3266" s="64"/>
      <c r="AG3266" s="283"/>
      <c r="AH3266" s="259"/>
      <c r="AI3266" s="259">
        <v>0.45</v>
      </c>
      <c r="AJ3266" s="259">
        <v>2</v>
      </c>
      <c r="AK3266" s="260">
        <v>4</v>
      </c>
      <c r="AL3266" s="260">
        <v>7.2</v>
      </c>
      <c r="AM3266" s="259">
        <v>11.2</v>
      </c>
      <c r="AN3266" s="18" t="s">
        <v>5676</v>
      </c>
      <c r="AO3266" s="18" t="s">
        <v>5735</v>
      </c>
      <c r="AP3266" s="18"/>
    </row>
    <row r="3267" spans="1:42" customFormat="1" x14ac:dyDescent="0.3">
      <c r="A3267" s="18" t="s">
        <v>1463</v>
      </c>
      <c r="B3267" s="18" t="s">
        <v>5664</v>
      </c>
      <c r="C3267" s="18" t="s">
        <v>1466</v>
      </c>
      <c r="D3267" s="18" t="s">
        <v>5940</v>
      </c>
      <c r="E3267" s="18" t="s">
        <v>1467</v>
      </c>
      <c r="F3267" s="18" t="s">
        <v>5941</v>
      </c>
      <c r="G3267" s="18" t="s">
        <v>6143</v>
      </c>
      <c r="H3267" s="157" t="s">
        <v>6144</v>
      </c>
      <c r="I3267" s="18"/>
      <c r="J3267" s="18"/>
      <c r="K3267" s="18" t="s">
        <v>6145</v>
      </c>
      <c r="L3267" s="18" t="s">
        <v>6146</v>
      </c>
      <c r="M3267" s="18" t="s">
        <v>6147</v>
      </c>
      <c r="N3267" s="18"/>
      <c r="O3267" s="18">
        <v>100</v>
      </c>
      <c r="P3267" s="16">
        <v>500</v>
      </c>
      <c r="Q3267" s="16">
        <v>2500</v>
      </c>
      <c r="R3267" s="16">
        <v>2500</v>
      </c>
      <c r="S3267" s="16">
        <v>2500</v>
      </c>
      <c r="T3267" s="18" t="s">
        <v>2172</v>
      </c>
      <c r="U3267" t="s">
        <v>2236</v>
      </c>
      <c r="V3267" s="18" t="s">
        <v>6148</v>
      </c>
      <c r="W3267" s="283"/>
      <c r="X3267" s="283"/>
      <c r="Y3267" s="283"/>
      <c r="Z3267" s="283"/>
      <c r="AA3267" s="283"/>
      <c r="AB3267" s="283"/>
      <c r="AC3267" s="283"/>
      <c r="AD3267" s="283"/>
      <c r="AE3267" s="49">
        <v>0.875</v>
      </c>
      <c r="AF3267" s="64"/>
      <c r="AG3267" s="283"/>
      <c r="AH3267" s="259">
        <v>0.63500000000000001</v>
      </c>
      <c r="AI3267" s="259">
        <v>5.09</v>
      </c>
      <c r="AJ3267" s="259">
        <v>5.0999999999999996</v>
      </c>
      <c r="AK3267" s="260">
        <v>5</v>
      </c>
      <c r="AL3267" s="260">
        <v>5</v>
      </c>
      <c r="AM3267" s="259">
        <v>10</v>
      </c>
      <c r="AN3267" s="18" t="s">
        <v>2234</v>
      </c>
      <c r="AO3267" s="18" t="s">
        <v>2236</v>
      </c>
      <c r="AP3267" s="18"/>
    </row>
    <row r="3268" spans="1:42" customFormat="1" x14ac:dyDescent="0.3">
      <c r="A3268" s="18" t="s">
        <v>1463</v>
      </c>
      <c r="B3268" s="18" t="s">
        <v>5664</v>
      </c>
      <c r="C3268" s="18" t="s">
        <v>1466</v>
      </c>
      <c r="D3268" s="18" t="s">
        <v>5940</v>
      </c>
      <c r="E3268" s="18" t="s">
        <v>1467</v>
      </c>
      <c r="F3268" s="18" t="s">
        <v>5941</v>
      </c>
      <c r="G3268" s="18" t="s">
        <v>6143</v>
      </c>
      <c r="H3268" s="157" t="s">
        <v>6144</v>
      </c>
      <c r="I3268" s="18"/>
      <c r="J3268" s="18"/>
      <c r="K3268" s="18" t="s">
        <v>6145</v>
      </c>
      <c r="L3268" s="18" t="s">
        <v>6146</v>
      </c>
      <c r="M3268" s="18" t="s">
        <v>6149</v>
      </c>
      <c r="N3268" s="18"/>
      <c r="O3268" s="18">
        <v>2</v>
      </c>
      <c r="P3268" s="16">
        <v>10</v>
      </c>
      <c r="Q3268" s="16">
        <v>50</v>
      </c>
      <c r="R3268" s="16">
        <v>50</v>
      </c>
      <c r="S3268" s="16">
        <v>50</v>
      </c>
      <c r="T3268" s="18" t="s">
        <v>2172</v>
      </c>
      <c r="U3268" t="s">
        <v>2236</v>
      </c>
      <c r="V3268" s="18" t="s">
        <v>6150</v>
      </c>
      <c r="W3268" s="283"/>
      <c r="X3268" s="283"/>
      <c r="Y3268" s="283"/>
      <c r="Z3268" s="283"/>
      <c r="AA3268" s="283"/>
      <c r="AB3268" s="283"/>
      <c r="AC3268" s="283"/>
      <c r="AD3268" s="283"/>
      <c r="AE3268" s="49">
        <v>0.875</v>
      </c>
      <c r="AF3268" s="64"/>
      <c r="AG3268" s="283"/>
      <c r="AH3268" s="259">
        <v>0.56499999999999995</v>
      </c>
      <c r="AI3268" s="259">
        <v>3.5</v>
      </c>
      <c r="AJ3268" s="259">
        <v>4.4000000000000004</v>
      </c>
      <c r="AK3268" s="260">
        <v>4.5</v>
      </c>
      <c r="AL3268" s="260">
        <v>4.5</v>
      </c>
      <c r="AM3268" s="259">
        <v>9</v>
      </c>
      <c r="AN3268" s="18" t="s">
        <v>2234</v>
      </c>
      <c r="AO3268" s="18" t="s">
        <v>2236</v>
      </c>
      <c r="AP3268" s="18"/>
    </row>
    <row r="3269" spans="1:42" customFormat="1" x14ac:dyDescent="0.3">
      <c r="A3269" s="18" t="s">
        <v>1463</v>
      </c>
      <c r="B3269" s="18" t="s">
        <v>5664</v>
      </c>
      <c r="C3269" s="18" t="s">
        <v>1466</v>
      </c>
      <c r="D3269" s="18" t="s">
        <v>5940</v>
      </c>
      <c r="E3269" s="18" t="s">
        <v>1467</v>
      </c>
      <c r="F3269" s="18" t="s">
        <v>5941</v>
      </c>
      <c r="G3269" s="18" t="s">
        <v>6151</v>
      </c>
      <c r="H3269" s="157" t="s">
        <v>6152</v>
      </c>
      <c r="I3269" s="18"/>
      <c r="J3269" s="18"/>
      <c r="K3269" s="18">
        <v>14330603</v>
      </c>
      <c r="L3269" s="18" t="s">
        <v>6153</v>
      </c>
      <c r="M3269" s="18" t="s">
        <v>6154</v>
      </c>
      <c r="N3269" s="18"/>
      <c r="O3269" s="18"/>
      <c r="P3269" s="16">
        <v>1</v>
      </c>
      <c r="Q3269" s="16"/>
      <c r="R3269" s="16"/>
      <c r="S3269" s="16"/>
      <c r="T3269" s="18" t="s">
        <v>2172</v>
      </c>
      <c r="U3269" t="s">
        <v>2236</v>
      </c>
      <c r="V3269" s="18" t="s">
        <v>6155</v>
      </c>
      <c r="W3269" s="283"/>
      <c r="X3269" s="283"/>
      <c r="Y3269" s="283"/>
      <c r="Z3269" s="283"/>
      <c r="AA3269" s="283"/>
      <c r="AB3269" s="283"/>
      <c r="AC3269" s="283"/>
      <c r="AD3269" s="283"/>
      <c r="AE3269" s="49">
        <v>1</v>
      </c>
      <c r="AF3269" s="64"/>
      <c r="AG3269" s="283"/>
      <c r="AH3269" s="259"/>
      <c r="AI3269" s="259">
        <v>1</v>
      </c>
      <c r="AJ3269" s="259"/>
      <c r="AK3269" s="260">
        <v>0.4</v>
      </c>
      <c r="AL3269" s="260"/>
      <c r="AM3269" s="259">
        <v>0</v>
      </c>
      <c r="AN3269" s="18" t="s">
        <v>2234</v>
      </c>
      <c r="AO3269" s="18" t="s">
        <v>2236</v>
      </c>
      <c r="AP3269" s="18"/>
    </row>
    <row r="3270" spans="1:42" customFormat="1" x14ac:dyDescent="0.3">
      <c r="A3270" s="18" t="s">
        <v>1463</v>
      </c>
      <c r="B3270" s="18" t="s">
        <v>5664</v>
      </c>
      <c r="C3270" s="18" t="s">
        <v>1466</v>
      </c>
      <c r="D3270" s="18" t="s">
        <v>5940</v>
      </c>
      <c r="E3270" s="18" t="s">
        <v>1467</v>
      </c>
      <c r="F3270" s="18" t="s">
        <v>5941</v>
      </c>
      <c r="G3270" s="18" t="s">
        <v>6151</v>
      </c>
      <c r="H3270" s="157" t="s">
        <v>6152</v>
      </c>
      <c r="I3270" s="18"/>
      <c r="J3270" s="18"/>
      <c r="K3270" s="18">
        <v>14330604</v>
      </c>
      <c r="L3270" s="18" t="s">
        <v>6156</v>
      </c>
      <c r="M3270" s="18" t="s">
        <v>6157</v>
      </c>
      <c r="N3270" s="162"/>
      <c r="O3270" s="18">
        <v>60</v>
      </c>
      <c r="P3270" s="16">
        <v>60</v>
      </c>
      <c r="Q3270" s="16">
        <v>60</v>
      </c>
      <c r="R3270" s="16">
        <v>60</v>
      </c>
      <c r="S3270" s="16">
        <v>60</v>
      </c>
      <c r="T3270" s="18" t="s">
        <v>2172</v>
      </c>
      <c r="U3270" t="s">
        <v>2236</v>
      </c>
      <c r="V3270" s="18" t="s">
        <v>6158</v>
      </c>
      <c r="W3270" s="283"/>
      <c r="X3270" s="283"/>
      <c r="Y3270" s="283"/>
      <c r="Z3270" s="283"/>
      <c r="AA3270" s="283"/>
      <c r="AB3270" s="283"/>
      <c r="AC3270" s="283"/>
      <c r="AD3270" s="283"/>
      <c r="AE3270" s="49">
        <v>0.75</v>
      </c>
      <c r="AF3270" s="64"/>
      <c r="AG3270" s="283"/>
      <c r="AH3270" s="259">
        <v>0.12</v>
      </c>
      <c r="AI3270" s="259">
        <v>0.12</v>
      </c>
      <c r="AJ3270" s="259">
        <v>0.12</v>
      </c>
      <c r="AK3270" s="260">
        <v>0.12</v>
      </c>
      <c r="AL3270" s="260">
        <v>0.12</v>
      </c>
      <c r="AM3270" s="259">
        <v>0.24</v>
      </c>
      <c r="AN3270" s="18" t="s">
        <v>2234</v>
      </c>
      <c r="AO3270" s="18" t="s">
        <v>2236</v>
      </c>
      <c r="AP3270" s="18"/>
    </row>
    <row r="3271" spans="1:42" customFormat="1" x14ac:dyDescent="0.3">
      <c r="A3271" s="18" t="s">
        <v>1463</v>
      </c>
      <c r="B3271" s="18" t="s">
        <v>5664</v>
      </c>
      <c r="C3271" s="18" t="s">
        <v>1466</v>
      </c>
      <c r="D3271" s="18" t="s">
        <v>5940</v>
      </c>
      <c r="E3271" s="18" t="s">
        <v>1467</v>
      </c>
      <c r="F3271" s="18" t="s">
        <v>5941</v>
      </c>
      <c r="G3271" s="18" t="s">
        <v>6151</v>
      </c>
      <c r="H3271" s="157" t="s">
        <v>6152</v>
      </c>
      <c r="I3271" s="18"/>
      <c r="J3271" s="18"/>
      <c r="K3271" s="18">
        <v>14330604</v>
      </c>
      <c r="L3271" s="18" t="s">
        <v>6156</v>
      </c>
      <c r="M3271" s="18" t="s">
        <v>6159</v>
      </c>
      <c r="N3271" s="162"/>
      <c r="O3271" s="18">
        <v>70</v>
      </c>
      <c r="P3271" s="16">
        <v>70</v>
      </c>
      <c r="Q3271" s="16">
        <v>70</v>
      </c>
      <c r="R3271" s="16">
        <v>70</v>
      </c>
      <c r="S3271" s="16">
        <v>70</v>
      </c>
      <c r="T3271" s="18" t="s">
        <v>2172</v>
      </c>
      <c r="U3271" t="s">
        <v>2236</v>
      </c>
      <c r="V3271" s="18" t="s">
        <v>6160</v>
      </c>
      <c r="W3271" s="283"/>
      <c r="X3271" s="283"/>
      <c r="Y3271" s="283"/>
      <c r="Z3271" s="283"/>
      <c r="AA3271" s="283"/>
      <c r="AB3271" s="283"/>
      <c r="AC3271" s="283"/>
      <c r="AD3271" s="283"/>
      <c r="AE3271" s="49">
        <v>1</v>
      </c>
      <c r="AF3271" s="64"/>
      <c r="AG3271" s="283"/>
      <c r="AH3271" s="259">
        <v>0.05</v>
      </c>
      <c r="AI3271" s="259">
        <v>0.05</v>
      </c>
      <c r="AJ3271" s="259">
        <v>0.05</v>
      </c>
      <c r="AK3271" s="260">
        <v>0.05</v>
      </c>
      <c r="AL3271" s="260">
        <v>0.05</v>
      </c>
      <c r="AM3271" s="259">
        <v>0.1</v>
      </c>
      <c r="AN3271" s="18" t="s">
        <v>2234</v>
      </c>
      <c r="AO3271" s="18" t="s">
        <v>2236</v>
      </c>
      <c r="AP3271" s="18"/>
    </row>
    <row r="3272" spans="1:42" customFormat="1" x14ac:dyDescent="0.3">
      <c r="A3272" s="18" t="s">
        <v>1463</v>
      </c>
      <c r="B3272" s="18" t="s">
        <v>5664</v>
      </c>
      <c r="C3272" s="18" t="s">
        <v>1466</v>
      </c>
      <c r="D3272" s="18" t="s">
        <v>5940</v>
      </c>
      <c r="E3272" s="18" t="s">
        <v>1467</v>
      </c>
      <c r="F3272" s="18" t="s">
        <v>5941</v>
      </c>
      <c r="G3272" s="18" t="s">
        <v>6151</v>
      </c>
      <c r="H3272" s="157" t="s">
        <v>6152</v>
      </c>
      <c r="I3272" s="18"/>
      <c r="J3272" s="18"/>
      <c r="K3272" s="18">
        <v>14330604</v>
      </c>
      <c r="L3272" s="18" t="s">
        <v>6156</v>
      </c>
      <c r="M3272" s="18" t="s">
        <v>6161</v>
      </c>
      <c r="N3272" s="162"/>
      <c r="O3272" s="18">
        <v>100</v>
      </c>
      <c r="P3272" s="16">
        <v>100</v>
      </c>
      <c r="Q3272" s="16">
        <v>100</v>
      </c>
      <c r="R3272" s="16">
        <v>100</v>
      </c>
      <c r="S3272" s="16">
        <v>100</v>
      </c>
      <c r="T3272" s="18" t="s">
        <v>2172</v>
      </c>
      <c r="U3272" t="s">
        <v>2236</v>
      </c>
      <c r="V3272" s="18" t="s">
        <v>6162</v>
      </c>
      <c r="W3272" s="283"/>
      <c r="X3272" s="283"/>
      <c r="Y3272" s="283"/>
      <c r="Z3272" s="283"/>
      <c r="AA3272" s="283"/>
      <c r="AB3272" s="283"/>
      <c r="AC3272" s="283"/>
      <c r="AD3272" s="283"/>
      <c r="AE3272" s="49">
        <v>0.875</v>
      </c>
      <c r="AF3272" s="64"/>
      <c r="AG3272" s="283"/>
      <c r="AH3272" s="259">
        <v>0.03</v>
      </c>
      <c r="AI3272" s="259">
        <v>0.03</v>
      </c>
      <c r="AJ3272" s="259">
        <v>0.03</v>
      </c>
      <c r="AK3272" s="260">
        <v>0.03</v>
      </c>
      <c r="AL3272" s="260">
        <v>0.03</v>
      </c>
      <c r="AM3272" s="259">
        <v>0.06</v>
      </c>
      <c r="AN3272" s="18" t="s">
        <v>2234</v>
      </c>
      <c r="AO3272" s="18" t="s">
        <v>2236</v>
      </c>
      <c r="AP3272" s="18"/>
    </row>
    <row r="3273" spans="1:42" customFormat="1" x14ac:dyDescent="0.3">
      <c r="A3273" s="18" t="s">
        <v>1463</v>
      </c>
      <c r="B3273" s="18" t="s">
        <v>5664</v>
      </c>
      <c r="C3273" s="18" t="s">
        <v>1466</v>
      </c>
      <c r="D3273" s="18" t="s">
        <v>5940</v>
      </c>
      <c r="E3273" s="18" t="s">
        <v>1467</v>
      </c>
      <c r="F3273" s="18" t="s">
        <v>5941</v>
      </c>
      <c r="G3273" s="18" t="s">
        <v>6151</v>
      </c>
      <c r="H3273" s="157" t="s">
        <v>6152</v>
      </c>
      <c r="I3273" s="18"/>
      <c r="J3273" s="18"/>
      <c r="K3273" s="18">
        <v>14330604</v>
      </c>
      <c r="L3273" s="18" t="s">
        <v>6156</v>
      </c>
      <c r="M3273" s="18" t="s">
        <v>6163</v>
      </c>
      <c r="N3273" s="162"/>
      <c r="O3273" s="18">
        <v>100</v>
      </c>
      <c r="P3273" s="16">
        <v>100</v>
      </c>
      <c r="Q3273" s="16">
        <v>100</v>
      </c>
      <c r="R3273" s="16">
        <v>100</v>
      </c>
      <c r="S3273" s="16">
        <v>100</v>
      </c>
      <c r="T3273" s="18" t="s">
        <v>2172</v>
      </c>
      <c r="U3273" t="s">
        <v>2236</v>
      </c>
      <c r="V3273" s="18" t="s">
        <v>6164</v>
      </c>
      <c r="W3273" s="283"/>
      <c r="X3273" s="283"/>
      <c r="Y3273" s="283"/>
      <c r="Z3273" s="283"/>
      <c r="AA3273" s="283"/>
      <c r="AB3273" s="283"/>
      <c r="AC3273" s="283"/>
      <c r="AD3273" s="283"/>
      <c r="AE3273" s="49">
        <v>0.875</v>
      </c>
      <c r="AF3273" s="64"/>
      <c r="AG3273" s="283"/>
      <c r="AH3273" s="259">
        <v>0.05</v>
      </c>
      <c r="AI3273" s="259">
        <v>0.05</v>
      </c>
      <c r="AJ3273" s="259">
        <v>0.05</v>
      </c>
      <c r="AK3273" s="260">
        <v>0.05</v>
      </c>
      <c r="AL3273" s="260">
        <v>0.05</v>
      </c>
      <c r="AM3273" s="259">
        <v>0.1</v>
      </c>
      <c r="AN3273" s="18" t="s">
        <v>2234</v>
      </c>
      <c r="AO3273" s="18" t="s">
        <v>2236</v>
      </c>
      <c r="AP3273" s="18"/>
    </row>
    <row r="3274" spans="1:42" customFormat="1" x14ac:dyDescent="0.3">
      <c r="A3274" s="18" t="s">
        <v>1463</v>
      </c>
      <c r="B3274" s="18" t="s">
        <v>5664</v>
      </c>
      <c r="C3274" s="18" t="s">
        <v>1466</v>
      </c>
      <c r="D3274" s="18" t="s">
        <v>5940</v>
      </c>
      <c r="E3274" s="18" t="s">
        <v>1467</v>
      </c>
      <c r="F3274" s="18" t="s">
        <v>5941</v>
      </c>
      <c r="G3274" s="18" t="s">
        <v>6151</v>
      </c>
      <c r="H3274" s="157" t="s">
        <v>6152</v>
      </c>
      <c r="I3274" s="18"/>
      <c r="J3274" s="18"/>
      <c r="K3274" s="18">
        <v>14330605</v>
      </c>
      <c r="L3274" s="18" t="s">
        <v>6165</v>
      </c>
      <c r="M3274" s="18" t="s">
        <v>6166</v>
      </c>
      <c r="N3274" s="162"/>
      <c r="O3274" s="18"/>
      <c r="P3274" s="16">
        <v>1</v>
      </c>
      <c r="Q3274" s="16"/>
      <c r="R3274" s="16"/>
      <c r="S3274" s="16"/>
      <c r="T3274" s="18" t="s">
        <v>2172</v>
      </c>
      <c r="U3274" t="s">
        <v>2236</v>
      </c>
      <c r="V3274" s="18" t="s">
        <v>6167</v>
      </c>
      <c r="W3274" s="283"/>
      <c r="X3274" s="283"/>
      <c r="Y3274" s="283"/>
      <c r="Z3274" s="283"/>
      <c r="AA3274" s="283"/>
      <c r="AB3274" s="283"/>
      <c r="AC3274" s="283"/>
      <c r="AD3274" s="283"/>
      <c r="AE3274" s="49">
        <v>1</v>
      </c>
      <c r="AF3274" s="64"/>
      <c r="AG3274" s="283"/>
      <c r="AH3274" s="259"/>
      <c r="AI3274" s="259">
        <v>0.05</v>
      </c>
      <c r="AJ3274" s="259"/>
      <c r="AK3274" s="260"/>
      <c r="AL3274" s="260"/>
      <c r="AM3274" s="259">
        <v>0</v>
      </c>
      <c r="AN3274" s="18" t="s">
        <v>2234</v>
      </c>
      <c r="AO3274" s="18" t="s">
        <v>2236</v>
      </c>
      <c r="AP3274" s="18"/>
    </row>
    <row r="3275" spans="1:42" customFormat="1" x14ac:dyDescent="0.3">
      <c r="A3275" s="18" t="s">
        <v>1463</v>
      </c>
      <c r="B3275" s="18" t="s">
        <v>5664</v>
      </c>
      <c r="C3275" s="18" t="s">
        <v>1466</v>
      </c>
      <c r="D3275" s="18" t="s">
        <v>5940</v>
      </c>
      <c r="E3275" s="18" t="s">
        <v>1467</v>
      </c>
      <c r="F3275" s="18" t="s">
        <v>5941</v>
      </c>
      <c r="G3275" s="18" t="s">
        <v>6151</v>
      </c>
      <c r="H3275" s="157" t="s">
        <v>6152</v>
      </c>
      <c r="I3275" s="18"/>
      <c r="J3275" s="18"/>
      <c r="K3275" s="18">
        <v>14330607</v>
      </c>
      <c r="L3275" s="18" t="s">
        <v>6168</v>
      </c>
      <c r="M3275" s="18" t="s">
        <v>6169</v>
      </c>
      <c r="N3275" s="162"/>
      <c r="O3275" s="18">
        <v>50</v>
      </c>
      <c r="P3275" s="16">
        <v>50</v>
      </c>
      <c r="Q3275" s="16">
        <v>50</v>
      </c>
      <c r="R3275" s="16">
        <v>50</v>
      </c>
      <c r="S3275" s="16">
        <v>50</v>
      </c>
      <c r="T3275" s="18" t="s">
        <v>2172</v>
      </c>
      <c r="U3275" t="s">
        <v>2236</v>
      </c>
      <c r="V3275" s="18" t="s">
        <v>6170</v>
      </c>
      <c r="W3275" s="283"/>
      <c r="X3275" s="283"/>
      <c r="Y3275" s="283"/>
      <c r="Z3275" s="283"/>
      <c r="AA3275" s="283"/>
      <c r="AB3275" s="283"/>
      <c r="AC3275" s="283"/>
      <c r="AD3275" s="283"/>
      <c r="AE3275" s="49">
        <v>0.75</v>
      </c>
      <c r="AF3275" s="64"/>
      <c r="AG3275" s="283"/>
      <c r="AH3275" s="259">
        <v>7.0000000000000007E-2</v>
      </c>
      <c r="AI3275" s="259">
        <v>7.3999999999999996E-2</v>
      </c>
      <c r="AJ3275" s="259">
        <v>7.0000000000000007E-2</v>
      </c>
      <c r="AK3275" s="260">
        <v>0.1</v>
      </c>
      <c r="AL3275" s="260">
        <v>7.3999999999999996E-2</v>
      </c>
      <c r="AM3275" s="259">
        <v>0.14400000000000002</v>
      </c>
      <c r="AN3275" s="18" t="s">
        <v>2234</v>
      </c>
      <c r="AO3275" s="18" t="s">
        <v>2236</v>
      </c>
      <c r="AP3275" s="18"/>
    </row>
    <row r="3276" spans="1:42" customFormat="1" x14ac:dyDescent="0.3">
      <c r="A3276" s="18" t="s">
        <v>1463</v>
      </c>
      <c r="B3276" s="18" t="s">
        <v>5664</v>
      </c>
      <c r="C3276" s="18" t="s">
        <v>1466</v>
      </c>
      <c r="D3276" s="18" t="s">
        <v>5940</v>
      </c>
      <c r="E3276" s="18" t="s">
        <v>1467</v>
      </c>
      <c r="F3276" s="18" t="s">
        <v>5941</v>
      </c>
      <c r="G3276" s="18" t="s">
        <v>6151</v>
      </c>
      <c r="H3276" s="157" t="s">
        <v>6152</v>
      </c>
      <c r="I3276" s="18"/>
      <c r="J3276" s="18"/>
      <c r="K3276" s="18">
        <v>14330608</v>
      </c>
      <c r="L3276" s="18" t="s">
        <v>6171</v>
      </c>
      <c r="M3276" s="18" t="s">
        <v>6172</v>
      </c>
      <c r="N3276" s="162"/>
      <c r="O3276" s="18">
        <v>2</v>
      </c>
      <c r="P3276" s="16">
        <v>2</v>
      </c>
      <c r="Q3276" s="16">
        <v>2</v>
      </c>
      <c r="R3276" s="16">
        <v>2</v>
      </c>
      <c r="S3276" s="16">
        <v>2</v>
      </c>
      <c r="T3276" s="18" t="s">
        <v>5829</v>
      </c>
      <c r="U3276" t="s">
        <v>5839</v>
      </c>
      <c r="V3276" s="18" t="s">
        <v>6173</v>
      </c>
      <c r="W3276" s="283"/>
      <c r="X3276" s="283"/>
      <c r="Y3276" s="283"/>
      <c r="Z3276" s="283"/>
      <c r="AA3276" s="283"/>
      <c r="AB3276" s="283"/>
      <c r="AC3276" s="283"/>
      <c r="AD3276" s="283"/>
      <c r="AE3276" s="49">
        <v>1</v>
      </c>
      <c r="AF3276" s="64"/>
      <c r="AG3276" s="283"/>
      <c r="AH3276" s="259">
        <v>0.5</v>
      </c>
      <c r="AI3276" s="259">
        <v>0.5</v>
      </c>
      <c r="AJ3276" s="259">
        <v>0.5</v>
      </c>
      <c r="AK3276" s="260">
        <v>0.5</v>
      </c>
      <c r="AL3276" s="260">
        <v>0.5</v>
      </c>
      <c r="AM3276" s="259">
        <v>1</v>
      </c>
      <c r="AN3276" s="18" t="s">
        <v>5829</v>
      </c>
      <c r="AO3276" t="s">
        <v>5830</v>
      </c>
      <c r="AP3276" s="18"/>
    </row>
    <row r="3277" spans="1:42" s="10" customFormat="1" x14ac:dyDescent="0.3">
      <c r="A3277" s="18" t="s">
        <v>1463</v>
      </c>
      <c r="B3277" s="18" t="s">
        <v>5664</v>
      </c>
      <c r="C3277" s="18" t="s">
        <v>1466</v>
      </c>
      <c r="D3277" s="18" t="s">
        <v>5940</v>
      </c>
      <c r="E3277" s="18" t="s">
        <v>1467</v>
      </c>
      <c r="F3277" s="18" t="s">
        <v>5941</v>
      </c>
      <c r="G3277" s="18" t="s">
        <v>6151</v>
      </c>
      <c r="H3277" s="157" t="s">
        <v>6152</v>
      </c>
      <c r="I3277" s="18"/>
      <c r="J3277" s="18"/>
      <c r="K3277" s="18">
        <v>14330608</v>
      </c>
      <c r="L3277" s="18" t="s">
        <v>6171</v>
      </c>
      <c r="M3277" s="18" t="s">
        <v>6174</v>
      </c>
      <c r="N3277" s="462">
        <v>0.4</v>
      </c>
      <c r="O3277" s="18">
        <v>45</v>
      </c>
      <c r="P3277" s="16">
        <v>50</v>
      </c>
      <c r="Q3277" s="16">
        <v>55</v>
      </c>
      <c r="R3277" s="16">
        <v>65</v>
      </c>
      <c r="S3277" s="16">
        <v>70</v>
      </c>
      <c r="T3277" s="18" t="s">
        <v>5829</v>
      </c>
      <c r="U3277" t="str">
        <f>VLOOKUP(T3277,[8]Votes!$A$1:$E$234,3,FALSE)</f>
        <v>103 Inspectorate of Government (IG)</v>
      </c>
      <c r="V3277" s="18" t="s">
        <v>6175</v>
      </c>
      <c r="AE3277" s="49">
        <v>0.75</v>
      </c>
      <c r="AH3277" s="259">
        <v>0.1</v>
      </c>
      <c r="AI3277" s="259">
        <v>0.1</v>
      </c>
      <c r="AJ3277" s="259">
        <v>0.1</v>
      </c>
      <c r="AK3277" s="260">
        <v>0.1</v>
      </c>
      <c r="AL3277" s="260">
        <v>0.1</v>
      </c>
      <c r="AM3277" s="259">
        <v>0.1</v>
      </c>
      <c r="AN3277" s="18" t="s">
        <v>5829</v>
      </c>
      <c r="AO3277" t="s">
        <v>5830</v>
      </c>
      <c r="AP3277" s="18"/>
    </row>
    <row r="3278" spans="1:42" s="10" customFormat="1" x14ac:dyDescent="0.3">
      <c r="A3278" s="18" t="s">
        <v>1463</v>
      </c>
      <c r="B3278" s="18" t="s">
        <v>5664</v>
      </c>
      <c r="C3278" s="18" t="s">
        <v>1466</v>
      </c>
      <c r="D3278" s="18" t="s">
        <v>5940</v>
      </c>
      <c r="E3278" s="18" t="s">
        <v>1467</v>
      </c>
      <c r="F3278" s="18" t="s">
        <v>5941</v>
      </c>
      <c r="G3278" s="18" t="s">
        <v>6151</v>
      </c>
      <c r="H3278" s="157" t="s">
        <v>6152</v>
      </c>
      <c r="I3278" s="18"/>
      <c r="J3278" s="18"/>
      <c r="K3278" s="18">
        <v>14330609</v>
      </c>
      <c r="L3278" s="18" t="s">
        <v>6176</v>
      </c>
      <c r="M3278" s="18" t="s">
        <v>6177</v>
      </c>
      <c r="N3278" s="162"/>
      <c r="O3278" s="18">
        <v>15</v>
      </c>
      <c r="P3278" s="16">
        <v>20</v>
      </c>
      <c r="Q3278" s="16">
        <v>35</v>
      </c>
      <c r="R3278" s="16">
        <v>55</v>
      </c>
      <c r="S3278" s="16">
        <v>80</v>
      </c>
      <c r="T3278" s="18" t="s">
        <v>5829</v>
      </c>
      <c r="U3278" t="str">
        <f>VLOOKUP(T3278,[8]Votes!$A$1:$E$234,3,FALSE)</f>
        <v>103 Inspectorate of Government (IG)</v>
      </c>
      <c r="V3278" s="18" t="s">
        <v>6178</v>
      </c>
      <c r="AE3278" s="49">
        <v>0.75</v>
      </c>
      <c r="AH3278" s="259">
        <v>1</v>
      </c>
      <c r="AI3278" s="259">
        <v>1</v>
      </c>
      <c r="AJ3278" s="259">
        <v>1</v>
      </c>
      <c r="AK3278" s="260">
        <v>1</v>
      </c>
      <c r="AL3278" s="260">
        <v>1</v>
      </c>
      <c r="AM3278" s="259">
        <v>1</v>
      </c>
      <c r="AN3278" s="18" t="s">
        <v>5829</v>
      </c>
      <c r="AO3278" t="s">
        <v>5830</v>
      </c>
      <c r="AP3278" s="18"/>
    </row>
    <row r="3279" spans="1:42" customFormat="1" x14ac:dyDescent="0.3">
      <c r="A3279" s="18" t="s">
        <v>1463</v>
      </c>
      <c r="B3279" s="18" t="s">
        <v>5664</v>
      </c>
      <c r="C3279" s="18" t="s">
        <v>1466</v>
      </c>
      <c r="D3279" s="18" t="s">
        <v>5940</v>
      </c>
      <c r="E3279" s="18" t="s">
        <v>1467</v>
      </c>
      <c r="F3279" s="18" t="s">
        <v>5941</v>
      </c>
      <c r="G3279" s="18" t="s">
        <v>6151</v>
      </c>
      <c r="H3279" s="157" t="s">
        <v>6152</v>
      </c>
      <c r="I3279" s="18"/>
      <c r="J3279" s="18"/>
      <c r="K3279" s="18">
        <v>14330610</v>
      </c>
      <c r="L3279" s="18" t="s">
        <v>6179</v>
      </c>
      <c r="M3279" s="18" t="s">
        <v>6180</v>
      </c>
      <c r="N3279" s="162"/>
      <c r="O3279" s="18">
        <v>1</v>
      </c>
      <c r="P3279" s="16">
        <v>1</v>
      </c>
      <c r="Q3279" s="16">
        <v>1</v>
      </c>
      <c r="R3279" s="16">
        <v>1</v>
      </c>
      <c r="S3279" s="16">
        <v>1</v>
      </c>
      <c r="T3279" s="18" t="s">
        <v>6181</v>
      </c>
      <c r="U3279" t="e">
        <v>#N/A</v>
      </c>
      <c r="V3279" s="18" t="s">
        <v>6182</v>
      </c>
      <c r="W3279" s="283"/>
      <c r="X3279" s="283"/>
      <c r="Y3279" s="283"/>
      <c r="Z3279" s="283"/>
      <c r="AA3279" s="283"/>
      <c r="AB3279" s="283"/>
      <c r="AC3279" s="283"/>
      <c r="AD3279" s="283"/>
      <c r="AE3279" s="49">
        <v>0.75</v>
      </c>
      <c r="AF3279" s="64"/>
      <c r="AG3279" s="283"/>
      <c r="AH3279" s="259"/>
      <c r="AI3279" s="259"/>
      <c r="AJ3279" s="259"/>
      <c r="AK3279" s="260"/>
      <c r="AL3279" s="260"/>
      <c r="AM3279" s="259">
        <v>0</v>
      </c>
      <c r="AN3279" s="18" t="s">
        <v>2234</v>
      </c>
      <c r="AO3279" s="18" t="s">
        <v>2236</v>
      </c>
      <c r="AP3279" s="18"/>
    </row>
    <row r="3280" spans="1:42" customFormat="1" x14ac:dyDescent="0.3">
      <c r="A3280" s="156" t="s">
        <v>1463</v>
      </c>
      <c r="B3280" s="18" t="s">
        <v>5664</v>
      </c>
      <c r="C3280" s="18" t="s">
        <v>1468</v>
      </c>
      <c r="D3280" s="18" t="s">
        <v>5940</v>
      </c>
      <c r="E3280" s="18" t="s">
        <v>11664</v>
      </c>
      <c r="F3280" s="18" t="s">
        <v>5941</v>
      </c>
      <c r="G3280" s="18" t="s">
        <v>6151</v>
      </c>
      <c r="H3280" s="157" t="s">
        <v>6152</v>
      </c>
      <c r="I3280" s="18"/>
      <c r="J3280" s="18"/>
      <c r="K3280" s="18">
        <v>14330611</v>
      </c>
      <c r="L3280" s="18" t="s">
        <v>11700</v>
      </c>
      <c r="M3280" s="395" t="s">
        <v>11701</v>
      </c>
      <c r="N3280" s="162"/>
      <c r="O3280" s="18"/>
      <c r="P3280" s="16"/>
      <c r="Q3280" s="16"/>
      <c r="R3280" s="16">
        <v>1</v>
      </c>
      <c r="S3280" s="16"/>
      <c r="T3280" s="18" t="s">
        <v>11677</v>
      </c>
      <c r="V3280" s="18" t="s">
        <v>11702</v>
      </c>
      <c r="W3280" s="283"/>
      <c r="X3280" s="283"/>
      <c r="Y3280" s="283"/>
      <c r="Z3280" s="283"/>
      <c r="AA3280" s="283"/>
      <c r="AB3280" s="283"/>
      <c r="AC3280" s="283"/>
      <c r="AD3280" s="283"/>
      <c r="AE3280" s="49">
        <v>0.75</v>
      </c>
      <c r="AF3280" s="64"/>
      <c r="AG3280" s="283"/>
      <c r="AH3280" s="259"/>
      <c r="AI3280" s="259"/>
      <c r="AJ3280" s="259"/>
      <c r="AK3280" s="260">
        <v>0.43</v>
      </c>
      <c r="AL3280" s="260">
        <v>0</v>
      </c>
      <c r="AM3280" s="259"/>
      <c r="AN3280" s="18" t="s">
        <v>11677</v>
      </c>
      <c r="AO3280" s="18" t="s">
        <v>11670</v>
      </c>
      <c r="AP3280" s="18"/>
    </row>
    <row r="3281" spans="1:42" customFormat="1" x14ac:dyDescent="0.3">
      <c r="A3281" s="156" t="s">
        <v>1463</v>
      </c>
      <c r="B3281" s="18" t="s">
        <v>5664</v>
      </c>
      <c r="C3281" s="18" t="s">
        <v>11671</v>
      </c>
      <c r="D3281" s="18" t="s">
        <v>5940</v>
      </c>
      <c r="E3281" s="18" t="s">
        <v>11672</v>
      </c>
      <c r="F3281" s="18" t="s">
        <v>5941</v>
      </c>
      <c r="G3281" s="18" t="s">
        <v>6151</v>
      </c>
      <c r="H3281" s="157" t="s">
        <v>6152</v>
      </c>
      <c r="I3281" s="18"/>
      <c r="J3281" s="18"/>
      <c r="K3281" s="18">
        <v>14330611</v>
      </c>
      <c r="L3281" s="18" t="s">
        <v>11700</v>
      </c>
      <c r="M3281" s="463" t="s">
        <v>11703</v>
      </c>
      <c r="N3281" s="162"/>
      <c r="O3281" s="18"/>
      <c r="P3281" s="16"/>
      <c r="Q3281" s="16"/>
      <c r="R3281" s="16">
        <v>25</v>
      </c>
      <c r="S3281" s="16">
        <v>25</v>
      </c>
      <c r="T3281" s="18" t="s">
        <v>11677</v>
      </c>
      <c r="V3281" s="18" t="s">
        <v>11704</v>
      </c>
      <c r="W3281" s="283"/>
      <c r="X3281" s="283"/>
      <c r="Y3281" s="283"/>
      <c r="Z3281" s="283"/>
      <c r="AA3281" s="283"/>
      <c r="AB3281" s="283"/>
      <c r="AC3281" s="283"/>
      <c r="AD3281" s="283"/>
      <c r="AE3281" s="49">
        <v>0.75</v>
      </c>
      <c r="AF3281" s="64"/>
      <c r="AG3281" s="283"/>
      <c r="AH3281" s="259"/>
      <c r="AI3281" s="259"/>
      <c r="AJ3281" s="259"/>
      <c r="AK3281" s="260">
        <v>0.3</v>
      </c>
      <c r="AL3281" s="260">
        <v>0.3</v>
      </c>
      <c r="AM3281" s="259"/>
      <c r="AN3281" s="18" t="s">
        <v>11677</v>
      </c>
      <c r="AO3281" s="18" t="s">
        <v>11670</v>
      </c>
      <c r="AP3281" s="18"/>
    </row>
    <row r="3282" spans="1:42" customFormat="1" x14ac:dyDescent="0.3">
      <c r="A3282" s="156" t="s">
        <v>1463</v>
      </c>
      <c r="B3282" s="18" t="s">
        <v>5664</v>
      </c>
      <c r="C3282" s="18" t="s">
        <v>11705</v>
      </c>
      <c r="D3282" s="18" t="s">
        <v>5940</v>
      </c>
      <c r="E3282" s="18" t="s">
        <v>11706</v>
      </c>
      <c r="F3282" s="18" t="s">
        <v>5941</v>
      </c>
      <c r="G3282" s="18" t="s">
        <v>6151</v>
      </c>
      <c r="H3282" s="157" t="s">
        <v>6152</v>
      </c>
      <c r="I3282" s="18"/>
      <c r="J3282" s="18"/>
      <c r="K3282" s="18">
        <v>14330611</v>
      </c>
      <c r="L3282" s="18" t="s">
        <v>11700</v>
      </c>
      <c r="M3282" s="395" t="s">
        <v>11707</v>
      </c>
      <c r="N3282" s="162"/>
      <c r="O3282" s="18"/>
      <c r="P3282" s="16"/>
      <c r="Q3282" s="16"/>
      <c r="R3282" s="16">
        <v>10</v>
      </c>
      <c r="S3282" s="16">
        <v>10</v>
      </c>
      <c r="T3282" s="18" t="s">
        <v>11677</v>
      </c>
      <c r="V3282" s="18" t="s">
        <v>11708</v>
      </c>
      <c r="W3282" s="283"/>
      <c r="X3282" s="283"/>
      <c r="Y3282" s="283"/>
      <c r="Z3282" s="283"/>
      <c r="AA3282" s="283"/>
      <c r="AB3282" s="283"/>
      <c r="AC3282" s="283"/>
      <c r="AD3282" s="283"/>
      <c r="AE3282" s="49">
        <v>0.75</v>
      </c>
      <c r="AF3282" s="64"/>
      <c r="AG3282" s="283"/>
      <c r="AH3282" s="259"/>
      <c r="AI3282" s="259"/>
      <c r="AJ3282" s="259"/>
      <c r="AK3282" s="260">
        <v>0.22</v>
      </c>
      <c r="AL3282" s="260">
        <v>0.22</v>
      </c>
      <c r="AM3282" s="259"/>
      <c r="AN3282" s="18" t="s">
        <v>11677</v>
      </c>
      <c r="AO3282" s="18" t="s">
        <v>11670</v>
      </c>
      <c r="AP3282" s="18"/>
    </row>
    <row r="3283" spans="1:42" customFormat="1" x14ac:dyDescent="0.3">
      <c r="A3283" s="18" t="s">
        <v>1463</v>
      </c>
      <c r="B3283" s="18" t="s">
        <v>5664</v>
      </c>
      <c r="C3283" s="18" t="s">
        <v>1466</v>
      </c>
      <c r="D3283" s="18" t="s">
        <v>5940</v>
      </c>
      <c r="E3283" s="18" t="s">
        <v>1467</v>
      </c>
      <c r="F3283" s="18" t="s">
        <v>5941</v>
      </c>
      <c r="G3283" s="18" t="s">
        <v>6183</v>
      </c>
      <c r="H3283" s="157" t="s">
        <v>6184</v>
      </c>
      <c r="I3283" s="18" t="s">
        <v>6185</v>
      </c>
      <c r="J3283" s="18" t="s">
        <v>6186</v>
      </c>
      <c r="K3283" s="18" t="s">
        <v>6187</v>
      </c>
      <c r="L3283" s="18" t="s">
        <v>6188</v>
      </c>
      <c r="M3283" s="18" t="s">
        <v>6189</v>
      </c>
      <c r="N3283" s="18"/>
      <c r="O3283" s="18">
        <v>2</v>
      </c>
      <c r="P3283" s="16">
        <v>2</v>
      </c>
      <c r="Q3283" s="16">
        <v>2</v>
      </c>
      <c r="R3283" s="16">
        <v>2</v>
      </c>
      <c r="S3283" s="16">
        <v>2</v>
      </c>
      <c r="T3283" s="18" t="s">
        <v>6190</v>
      </c>
      <c r="U3283" t="e">
        <v>#N/A</v>
      </c>
      <c r="V3283" s="18" t="s">
        <v>6191</v>
      </c>
      <c r="W3283" s="283"/>
      <c r="X3283" s="283"/>
      <c r="Y3283" s="283"/>
      <c r="Z3283" s="283"/>
      <c r="AA3283" s="283"/>
      <c r="AB3283" s="283"/>
      <c r="AC3283" s="283"/>
      <c r="AD3283" s="283"/>
      <c r="AE3283" s="49">
        <v>0.875</v>
      </c>
      <c r="AF3283" s="64"/>
      <c r="AG3283" s="283"/>
      <c r="AH3283" s="259"/>
      <c r="AI3283" s="259">
        <v>0.3</v>
      </c>
      <c r="AJ3283" s="259">
        <v>0.3</v>
      </c>
      <c r="AK3283" s="260">
        <v>0.3</v>
      </c>
      <c r="AL3283" s="260">
        <v>0.3</v>
      </c>
      <c r="AM3283" s="259">
        <v>0.6</v>
      </c>
      <c r="AN3283" s="18" t="s">
        <v>2234</v>
      </c>
      <c r="AO3283" s="18" t="s">
        <v>2236</v>
      </c>
      <c r="AP3283" s="18"/>
    </row>
    <row r="3284" spans="1:42" customFormat="1" x14ac:dyDescent="0.3">
      <c r="A3284" s="18" t="s">
        <v>1463</v>
      </c>
      <c r="B3284" s="18" t="s">
        <v>5664</v>
      </c>
      <c r="C3284" s="18" t="s">
        <v>1466</v>
      </c>
      <c r="D3284" s="18" t="s">
        <v>5940</v>
      </c>
      <c r="E3284" s="18" t="s">
        <v>1467</v>
      </c>
      <c r="F3284" s="18" t="s">
        <v>5941</v>
      </c>
      <c r="G3284" s="18" t="s">
        <v>6183</v>
      </c>
      <c r="H3284" s="157" t="s">
        <v>6184</v>
      </c>
      <c r="I3284" s="18" t="s">
        <v>6185</v>
      </c>
      <c r="J3284" s="18" t="s">
        <v>6186</v>
      </c>
      <c r="K3284" s="18" t="s">
        <v>6187</v>
      </c>
      <c r="L3284" s="18" t="s">
        <v>6188</v>
      </c>
      <c r="M3284" s="18" t="s">
        <v>6192</v>
      </c>
      <c r="N3284" s="18"/>
      <c r="O3284" s="18">
        <v>100</v>
      </c>
      <c r="P3284" s="16">
        <v>100</v>
      </c>
      <c r="Q3284" s="16">
        <v>100</v>
      </c>
      <c r="R3284" s="16">
        <v>100</v>
      </c>
      <c r="S3284" s="16">
        <v>100</v>
      </c>
      <c r="T3284" s="18" t="s">
        <v>6190</v>
      </c>
      <c r="U3284" t="e">
        <v>#N/A</v>
      </c>
      <c r="V3284" s="18" t="s">
        <v>6193</v>
      </c>
      <c r="W3284" s="283"/>
      <c r="X3284" s="283"/>
      <c r="Y3284" s="283"/>
      <c r="Z3284" s="283"/>
      <c r="AA3284" s="283"/>
      <c r="AB3284" s="283"/>
      <c r="AC3284" s="283"/>
      <c r="AD3284" s="283"/>
      <c r="AE3284" s="49">
        <v>0.875</v>
      </c>
      <c r="AF3284" s="64"/>
      <c r="AG3284" s="283"/>
      <c r="AH3284" s="259"/>
      <c r="AI3284" s="259"/>
      <c r="AJ3284" s="259"/>
      <c r="AK3284" s="260"/>
      <c r="AL3284" s="260"/>
      <c r="AM3284" s="259">
        <v>0</v>
      </c>
      <c r="AN3284" s="18" t="s">
        <v>6194</v>
      </c>
      <c r="AO3284" s="18" t="s">
        <v>729</v>
      </c>
      <c r="AP3284" s="18"/>
    </row>
    <row r="3285" spans="1:42" customFormat="1" x14ac:dyDescent="0.3">
      <c r="A3285" s="18" t="s">
        <v>1463</v>
      </c>
      <c r="B3285" s="18" t="s">
        <v>5664</v>
      </c>
      <c r="C3285" s="18" t="s">
        <v>1466</v>
      </c>
      <c r="D3285" s="18" t="s">
        <v>5940</v>
      </c>
      <c r="E3285" s="18" t="s">
        <v>1467</v>
      </c>
      <c r="F3285" s="18" t="s">
        <v>5941</v>
      </c>
      <c r="G3285" s="18" t="s">
        <v>6183</v>
      </c>
      <c r="H3285" s="157" t="s">
        <v>6184</v>
      </c>
      <c r="I3285" s="18" t="s">
        <v>6195</v>
      </c>
      <c r="J3285" s="18" t="s">
        <v>6196</v>
      </c>
      <c r="K3285" s="18" t="s">
        <v>6197</v>
      </c>
      <c r="L3285" s="18" t="s">
        <v>6198</v>
      </c>
      <c r="M3285" s="18" t="s">
        <v>6199</v>
      </c>
      <c r="N3285" s="18">
        <v>0</v>
      </c>
      <c r="O3285" s="18">
        <v>0</v>
      </c>
      <c r="P3285" s="16">
        <v>1</v>
      </c>
      <c r="Q3285" s="16">
        <v>0</v>
      </c>
      <c r="R3285" s="16">
        <v>0</v>
      </c>
      <c r="S3285" s="16">
        <v>0</v>
      </c>
      <c r="T3285" s="18" t="s">
        <v>2172</v>
      </c>
      <c r="U3285" t="s">
        <v>2236</v>
      </c>
      <c r="V3285" s="18" t="s">
        <v>6200</v>
      </c>
      <c r="W3285" s="283"/>
      <c r="X3285" s="283"/>
      <c r="Y3285" s="283"/>
      <c r="Z3285" s="283"/>
      <c r="AA3285" s="283"/>
      <c r="AB3285" s="283"/>
      <c r="AC3285" s="283"/>
      <c r="AD3285" s="283"/>
      <c r="AE3285" s="49">
        <v>0.875</v>
      </c>
      <c r="AF3285" s="64"/>
      <c r="AG3285" s="283"/>
      <c r="AH3285" s="259">
        <v>0</v>
      </c>
      <c r="AI3285" s="259">
        <v>0.15</v>
      </c>
      <c r="AJ3285" s="259"/>
      <c r="AK3285" s="260">
        <v>1</v>
      </c>
      <c r="AL3285" s="260">
        <v>0</v>
      </c>
      <c r="AM3285" s="259">
        <v>0</v>
      </c>
      <c r="AN3285" s="18" t="s">
        <v>2172</v>
      </c>
      <c r="AO3285" s="18" t="s">
        <v>2236</v>
      </c>
      <c r="AP3285" s="18" t="s">
        <v>119</v>
      </c>
    </row>
    <row r="3286" spans="1:42" customFormat="1" x14ac:dyDescent="0.3">
      <c r="A3286" s="18" t="s">
        <v>1463</v>
      </c>
      <c r="B3286" s="18" t="s">
        <v>5664</v>
      </c>
      <c r="C3286" s="18" t="s">
        <v>1466</v>
      </c>
      <c r="D3286" s="18" t="s">
        <v>5940</v>
      </c>
      <c r="E3286" s="18" t="s">
        <v>1467</v>
      </c>
      <c r="F3286" s="18" t="s">
        <v>5941</v>
      </c>
      <c r="G3286" s="18" t="s">
        <v>6183</v>
      </c>
      <c r="H3286" s="157" t="s">
        <v>6184</v>
      </c>
      <c r="I3286" s="18" t="s">
        <v>6195</v>
      </c>
      <c r="J3286" s="18" t="s">
        <v>6196</v>
      </c>
      <c r="K3286" s="18" t="s">
        <v>6197</v>
      </c>
      <c r="L3286" s="18" t="s">
        <v>6198</v>
      </c>
      <c r="M3286" s="18" t="s">
        <v>6201</v>
      </c>
      <c r="N3286" s="18"/>
      <c r="O3286" s="18"/>
      <c r="P3286" s="16">
        <v>1</v>
      </c>
      <c r="Q3286" s="16">
        <v>1</v>
      </c>
      <c r="R3286" s="16">
        <v>1</v>
      </c>
      <c r="S3286" s="16">
        <v>1</v>
      </c>
      <c r="T3286" s="18" t="s">
        <v>2234</v>
      </c>
      <c r="U3286" t="s">
        <v>2236</v>
      </c>
      <c r="V3286" s="18" t="s">
        <v>6202</v>
      </c>
      <c r="W3286" s="283"/>
      <c r="X3286" s="283"/>
      <c r="Y3286" s="283"/>
      <c r="Z3286" s="283"/>
      <c r="AA3286" s="283"/>
      <c r="AB3286" s="283"/>
      <c r="AC3286" s="283"/>
      <c r="AD3286" s="283"/>
      <c r="AE3286" s="49">
        <v>0.875</v>
      </c>
      <c r="AF3286" s="64"/>
      <c r="AG3286" s="283"/>
      <c r="AH3286" s="259">
        <v>0</v>
      </c>
      <c r="AI3286" s="259">
        <v>2.2999999999999998</v>
      </c>
      <c r="AJ3286" s="259">
        <v>2.2999999999999998</v>
      </c>
      <c r="AK3286" s="260">
        <v>1.3</v>
      </c>
      <c r="AL3286" s="260">
        <v>2.2999999999999998</v>
      </c>
      <c r="AM3286" s="259">
        <v>4.5999999999999996</v>
      </c>
      <c r="AN3286" s="18" t="s">
        <v>2172</v>
      </c>
      <c r="AO3286" s="18" t="s">
        <v>2236</v>
      </c>
      <c r="AP3286" s="18" t="s">
        <v>5676</v>
      </c>
    </row>
    <row r="3287" spans="1:42" customFormat="1" x14ac:dyDescent="0.3">
      <c r="A3287" s="18" t="s">
        <v>1463</v>
      </c>
      <c r="B3287" s="18" t="s">
        <v>5664</v>
      </c>
      <c r="C3287" s="18" t="s">
        <v>1466</v>
      </c>
      <c r="D3287" s="18" t="s">
        <v>5940</v>
      </c>
      <c r="E3287" s="18" t="s">
        <v>1467</v>
      </c>
      <c r="F3287" s="18" t="s">
        <v>5941</v>
      </c>
      <c r="G3287" s="18" t="s">
        <v>6183</v>
      </c>
      <c r="H3287" s="157" t="s">
        <v>6184</v>
      </c>
      <c r="I3287" s="18" t="s">
        <v>6195</v>
      </c>
      <c r="J3287" s="18" t="s">
        <v>6196</v>
      </c>
      <c r="K3287" s="18" t="s">
        <v>6197</v>
      </c>
      <c r="L3287" s="18" t="s">
        <v>6198</v>
      </c>
      <c r="M3287" s="18" t="s">
        <v>6203</v>
      </c>
      <c r="N3287" s="18"/>
      <c r="O3287" s="18"/>
      <c r="P3287" s="16">
        <v>1</v>
      </c>
      <c r="Q3287" s="16"/>
      <c r="R3287" s="16"/>
      <c r="S3287" s="16"/>
      <c r="T3287" s="18" t="s">
        <v>2234</v>
      </c>
      <c r="U3287" t="s">
        <v>2236</v>
      </c>
      <c r="V3287" s="18" t="s">
        <v>6204</v>
      </c>
      <c r="W3287" s="283"/>
      <c r="X3287" s="283"/>
      <c r="Y3287" s="283"/>
      <c r="Z3287" s="283"/>
      <c r="AA3287" s="283"/>
      <c r="AB3287" s="283"/>
      <c r="AC3287" s="283"/>
      <c r="AD3287" s="283"/>
      <c r="AE3287" s="49">
        <v>0.625</v>
      </c>
      <c r="AF3287" s="64"/>
      <c r="AG3287" s="283"/>
      <c r="AH3287" s="259">
        <v>1</v>
      </c>
      <c r="AI3287" s="259">
        <v>1</v>
      </c>
      <c r="AJ3287" s="259">
        <v>1</v>
      </c>
      <c r="AK3287" s="260">
        <v>0.2</v>
      </c>
      <c r="AL3287" s="260">
        <v>1</v>
      </c>
      <c r="AM3287" s="259">
        <v>2</v>
      </c>
      <c r="AN3287" s="18" t="s">
        <v>2234</v>
      </c>
      <c r="AO3287" s="18" t="s">
        <v>2236</v>
      </c>
      <c r="AP3287" s="18"/>
    </row>
    <row r="3288" spans="1:42" customFormat="1" x14ac:dyDescent="0.3">
      <c r="A3288" s="18" t="s">
        <v>1463</v>
      </c>
      <c r="B3288" s="18" t="s">
        <v>5664</v>
      </c>
      <c r="C3288" s="18" t="s">
        <v>1466</v>
      </c>
      <c r="D3288" s="18" t="s">
        <v>5940</v>
      </c>
      <c r="E3288" s="18" t="s">
        <v>1467</v>
      </c>
      <c r="F3288" s="18" t="s">
        <v>5941</v>
      </c>
      <c r="G3288" s="18" t="s">
        <v>6183</v>
      </c>
      <c r="H3288" s="157" t="s">
        <v>6184</v>
      </c>
      <c r="I3288" s="18" t="s">
        <v>6195</v>
      </c>
      <c r="J3288" s="18" t="s">
        <v>6196</v>
      </c>
      <c r="K3288" s="18" t="s">
        <v>6205</v>
      </c>
      <c r="L3288" s="18" t="s">
        <v>6206</v>
      </c>
      <c r="M3288" s="18" t="s">
        <v>6207</v>
      </c>
      <c r="N3288" s="162"/>
      <c r="O3288" s="18"/>
      <c r="P3288" s="16">
        <v>50</v>
      </c>
      <c r="Q3288" s="16">
        <v>50</v>
      </c>
      <c r="R3288" s="16"/>
      <c r="S3288" s="16"/>
      <c r="T3288" s="18" t="s">
        <v>2234</v>
      </c>
      <c r="U3288" t="s">
        <v>2236</v>
      </c>
      <c r="V3288" s="18" t="s">
        <v>6208</v>
      </c>
      <c r="W3288" s="283"/>
      <c r="X3288" s="283"/>
      <c r="Y3288" s="283"/>
      <c r="Z3288" s="283"/>
      <c r="AA3288" s="283"/>
      <c r="AB3288" s="283"/>
      <c r="AC3288" s="283"/>
      <c r="AD3288" s="283"/>
      <c r="AE3288" s="49">
        <v>0.625</v>
      </c>
      <c r="AF3288" s="64"/>
      <c r="AG3288" s="283"/>
      <c r="AH3288" s="259"/>
      <c r="AI3288" s="259">
        <v>1.1499999999999999</v>
      </c>
      <c r="AJ3288" s="259">
        <v>1.1499999999999999</v>
      </c>
      <c r="AK3288" s="260">
        <v>1.01</v>
      </c>
      <c r="AL3288" s="260"/>
      <c r="AM3288" s="259">
        <v>0</v>
      </c>
      <c r="AN3288" s="18" t="s">
        <v>2234</v>
      </c>
      <c r="AO3288" s="18" t="s">
        <v>2236</v>
      </c>
      <c r="AP3288" s="18"/>
    </row>
    <row r="3289" spans="1:42" customFormat="1" x14ac:dyDescent="0.3">
      <c r="A3289" s="18" t="s">
        <v>1463</v>
      </c>
      <c r="B3289" s="18" t="s">
        <v>5664</v>
      </c>
      <c r="C3289" s="18" t="s">
        <v>1468</v>
      </c>
      <c r="D3289" s="18" t="s">
        <v>6209</v>
      </c>
      <c r="E3289" s="18" t="s">
        <v>1469</v>
      </c>
      <c r="F3289" s="18" t="s">
        <v>6210</v>
      </c>
      <c r="G3289" s="18" t="s">
        <v>6211</v>
      </c>
      <c r="H3289" s="157" t="s">
        <v>6212</v>
      </c>
      <c r="I3289" s="18" t="s">
        <v>6213</v>
      </c>
      <c r="J3289" s="18" t="s">
        <v>6214</v>
      </c>
      <c r="K3289" s="18" t="s">
        <v>6215</v>
      </c>
      <c r="L3289" s="18" t="s">
        <v>6216</v>
      </c>
      <c r="M3289" s="18" t="s">
        <v>6217</v>
      </c>
      <c r="N3289" s="18"/>
      <c r="O3289" s="18"/>
      <c r="P3289" s="16">
        <v>156</v>
      </c>
      <c r="Q3289" s="16"/>
      <c r="R3289" s="16"/>
      <c r="S3289" s="16"/>
      <c r="T3289" s="18" t="s">
        <v>280</v>
      </c>
      <c r="U3289" t="s">
        <v>1151</v>
      </c>
      <c r="V3289" s="18" t="s">
        <v>6218</v>
      </c>
      <c r="W3289" s="283"/>
      <c r="X3289" s="283"/>
      <c r="Y3289" s="283"/>
      <c r="Z3289" s="283"/>
      <c r="AA3289" s="283"/>
      <c r="AB3289" s="283"/>
      <c r="AC3289" s="283"/>
      <c r="AD3289" s="283"/>
      <c r="AE3289" s="49">
        <v>1</v>
      </c>
      <c r="AF3289" s="64"/>
      <c r="AG3289" s="283"/>
      <c r="AH3289" s="259"/>
      <c r="AI3289" s="259">
        <v>1.1499999999999999</v>
      </c>
      <c r="AJ3289" s="259"/>
      <c r="AK3289" s="260">
        <v>1</v>
      </c>
      <c r="AL3289" s="260"/>
      <c r="AM3289" s="259">
        <v>0</v>
      </c>
      <c r="AN3289" s="18" t="s">
        <v>280</v>
      </c>
      <c r="AO3289" s="18" t="s">
        <v>1151</v>
      </c>
      <c r="AP3289" s="18"/>
    </row>
    <row r="3290" spans="1:42" customFormat="1" x14ac:dyDescent="0.3">
      <c r="A3290" s="18" t="s">
        <v>1463</v>
      </c>
      <c r="B3290" s="18" t="s">
        <v>5664</v>
      </c>
      <c r="C3290" s="18" t="s">
        <v>1468</v>
      </c>
      <c r="D3290" s="18" t="s">
        <v>6209</v>
      </c>
      <c r="E3290" s="18" t="s">
        <v>1469</v>
      </c>
      <c r="F3290" s="18" t="s">
        <v>6210</v>
      </c>
      <c r="G3290" s="18" t="s">
        <v>6211</v>
      </c>
      <c r="H3290" s="157" t="s">
        <v>6212</v>
      </c>
      <c r="I3290" s="18" t="s">
        <v>6213</v>
      </c>
      <c r="J3290" s="18" t="s">
        <v>6214</v>
      </c>
      <c r="K3290" s="18" t="s">
        <v>6219</v>
      </c>
      <c r="L3290" s="18" t="s">
        <v>6220</v>
      </c>
      <c r="M3290" s="18" t="s">
        <v>6221</v>
      </c>
      <c r="N3290" s="18">
        <v>0</v>
      </c>
      <c r="O3290" s="18">
        <v>0</v>
      </c>
      <c r="P3290" s="16">
        <v>146</v>
      </c>
      <c r="Q3290" s="16">
        <v>146</v>
      </c>
      <c r="R3290" s="16">
        <v>146</v>
      </c>
      <c r="S3290" s="16">
        <v>146</v>
      </c>
      <c r="T3290" s="18" t="s">
        <v>6222</v>
      </c>
      <c r="U3290" t="e">
        <v>#N/A</v>
      </c>
      <c r="V3290" s="18" t="s">
        <v>6223</v>
      </c>
      <c r="W3290" s="283"/>
      <c r="X3290" s="283"/>
      <c r="Y3290" s="283"/>
      <c r="Z3290" s="283"/>
      <c r="AA3290" s="283"/>
      <c r="AB3290" s="283"/>
      <c r="AC3290" s="283"/>
      <c r="AD3290" s="283"/>
      <c r="AE3290" s="49">
        <v>1</v>
      </c>
      <c r="AF3290" s="64"/>
      <c r="AG3290" s="283"/>
      <c r="AH3290" s="259">
        <v>0</v>
      </c>
      <c r="AI3290" s="259">
        <v>0.17499999999999999</v>
      </c>
      <c r="AJ3290" s="259">
        <v>0.17499999999999999</v>
      </c>
      <c r="AK3290" s="260">
        <v>0.77</v>
      </c>
      <c r="AL3290" s="260">
        <v>0.17499999999999999</v>
      </c>
      <c r="AM3290" s="259">
        <v>0.35</v>
      </c>
      <c r="AN3290" s="18" t="s">
        <v>255</v>
      </c>
      <c r="AO3290" s="18" t="s">
        <v>1045</v>
      </c>
      <c r="AP3290" s="18" t="s">
        <v>6224</v>
      </c>
    </row>
    <row r="3291" spans="1:42" customFormat="1" x14ac:dyDescent="0.3">
      <c r="A3291" s="18" t="s">
        <v>1463</v>
      </c>
      <c r="B3291" s="18" t="s">
        <v>5664</v>
      </c>
      <c r="C3291" s="18" t="s">
        <v>1468</v>
      </c>
      <c r="D3291" s="18" t="s">
        <v>6209</v>
      </c>
      <c r="E3291" s="18" t="s">
        <v>1469</v>
      </c>
      <c r="F3291" s="18" t="s">
        <v>6210</v>
      </c>
      <c r="G3291" s="18" t="s">
        <v>6211</v>
      </c>
      <c r="H3291" s="157" t="s">
        <v>6212</v>
      </c>
      <c r="I3291" s="18" t="s">
        <v>6213</v>
      </c>
      <c r="J3291" s="18" t="s">
        <v>6214</v>
      </c>
      <c r="K3291" s="18" t="s">
        <v>6225</v>
      </c>
      <c r="L3291" s="18" t="s">
        <v>6226</v>
      </c>
      <c r="M3291" s="18" t="s">
        <v>6227</v>
      </c>
      <c r="N3291" s="18">
        <v>75</v>
      </c>
      <c r="O3291" s="18">
        <v>92</v>
      </c>
      <c r="P3291" s="16">
        <v>95</v>
      </c>
      <c r="Q3291" s="16">
        <v>95</v>
      </c>
      <c r="R3291" s="16">
        <v>95</v>
      </c>
      <c r="S3291" s="16">
        <v>95</v>
      </c>
      <c r="T3291" s="18" t="s">
        <v>6228</v>
      </c>
      <c r="U3291" t="e">
        <v>#N/A</v>
      </c>
      <c r="V3291" s="18" t="s">
        <v>6229</v>
      </c>
      <c r="W3291" s="283"/>
      <c r="X3291" s="283"/>
      <c r="Y3291" s="283"/>
      <c r="Z3291" s="283"/>
      <c r="AA3291" s="283"/>
      <c r="AB3291" s="283"/>
      <c r="AC3291" s="283"/>
      <c r="AD3291" s="283"/>
      <c r="AE3291" s="49">
        <v>1</v>
      </c>
      <c r="AF3291" s="64"/>
      <c r="AG3291" s="283"/>
      <c r="AH3291" s="259">
        <v>0.89800000000000002</v>
      </c>
      <c r="AI3291" s="259">
        <v>0.59799999999999998</v>
      </c>
      <c r="AJ3291" s="259">
        <v>0.40799999999999997</v>
      </c>
      <c r="AK3291" s="260">
        <v>0.36</v>
      </c>
      <c r="AL3291" s="260">
        <v>0.36</v>
      </c>
      <c r="AM3291" s="259">
        <v>0.72</v>
      </c>
      <c r="AN3291" s="18" t="s">
        <v>280</v>
      </c>
      <c r="AO3291" s="18" t="s">
        <v>1151</v>
      </c>
      <c r="AP3291" s="18"/>
    </row>
    <row r="3292" spans="1:42" customFormat="1" x14ac:dyDescent="0.3">
      <c r="A3292" s="18" t="s">
        <v>1463</v>
      </c>
      <c r="B3292" s="18" t="s">
        <v>5664</v>
      </c>
      <c r="C3292" s="18" t="s">
        <v>1468</v>
      </c>
      <c r="D3292" s="18" t="s">
        <v>6209</v>
      </c>
      <c r="E3292" s="18" t="s">
        <v>1469</v>
      </c>
      <c r="F3292" s="18" t="s">
        <v>6210</v>
      </c>
      <c r="G3292" s="18" t="s">
        <v>6211</v>
      </c>
      <c r="H3292" s="157" t="s">
        <v>6212</v>
      </c>
      <c r="I3292" s="18" t="s">
        <v>6213</v>
      </c>
      <c r="J3292" s="18" t="s">
        <v>6214</v>
      </c>
      <c r="K3292" s="18" t="s">
        <v>6230</v>
      </c>
      <c r="L3292" s="18" t="s">
        <v>6220</v>
      </c>
      <c r="M3292" s="18" t="s">
        <v>6231</v>
      </c>
      <c r="N3292" s="18">
        <v>0</v>
      </c>
      <c r="O3292" s="18">
        <v>0</v>
      </c>
      <c r="P3292" s="16">
        <v>146</v>
      </c>
      <c r="Q3292" s="16">
        <v>146</v>
      </c>
      <c r="R3292" s="16">
        <v>146</v>
      </c>
      <c r="S3292" s="16">
        <v>146</v>
      </c>
      <c r="T3292" s="18" t="s">
        <v>6232</v>
      </c>
      <c r="U3292" t="e">
        <v>#N/A</v>
      </c>
      <c r="V3292" s="18" t="s">
        <v>6233</v>
      </c>
      <c r="W3292" s="283"/>
      <c r="X3292" s="283"/>
      <c r="Y3292" s="283"/>
      <c r="Z3292" s="283"/>
      <c r="AA3292" s="283"/>
      <c r="AB3292" s="283"/>
      <c r="AC3292" s="283"/>
      <c r="AD3292" s="283"/>
      <c r="AE3292" s="49">
        <v>1</v>
      </c>
      <c r="AF3292" s="64"/>
      <c r="AG3292" s="283"/>
      <c r="AH3292" s="259">
        <v>0.2</v>
      </c>
      <c r="AI3292" s="259">
        <v>0.2</v>
      </c>
      <c r="AJ3292" s="259">
        <v>0.2</v>
      </c>
      <c r="AK3292" s="260">
        <v>0.2</v>
      </c>
      <c r="AL3292" s="260">
        <v>0.2</v>
      </c>
      <c r="AM3292" s="259">
        <v>0.4</v>
      </c>
      <c r="AN3292" s="18" t="s">
        <v>280</v>
      </c>
      <c r="AO3292" s="18" t="s">
        <v>1151</v>
      </c>
      <c r="AP3292" s="18"/>
    </row>
    <row r="3293" spans="1:42" customFormat="1" x14ac:dyDescent="0.3">
      <c r="A3293" s="18" t="s">
        <v>1463</v>
      </c>
      <c r="B3293" s="18" t="s">
        <v>5664</v>
      </c>
      <c r="C3293" s="18" t="s">
        <v>1468</v>
      </c>
      <c r="D3293" s="18" t="s">
        <v>6209</v>
      </c>
      <c r="E3293" s="18" t="s">
        <v>1469</v>
      </c>
      <c r="F3293" s="18" t="s">
        <v>6210</v>
      </c>
      <c r="G3293" s="18" t="s">
        <v>6211</v>
      </c>
      <c r="H3293" s="157" t="s">
        <v>6212</v>
      </c>
      <c r="I3293" s="18" t="s">
        <v>6213</v>
      </c>
      <c r="J3293" s="18" t="s">
        <v>6214</v>
      </c>
      <c r="K3293" s="18" t="s">
        <v>6234</v>
      </c>
      <c r="L3293" s="18" t="s">
        <v>6235</v>
      </c>
      <c r="M3293" s="18" t="s">
        <v>6236</v>
      </c>
      <c r="N3293" s="18"/>
      <c r="O3293" s="18">
        <v>1</v>
      </c>
      <c r="P3293" s="16">
        <v>1</v>
      </c>
      <c r="Q3293" s="16">
        <v>1</v>
      </c>
      <c r="R3293" s="16">
        <v>1</v>
      </c>
      <c r="S3293" s="16">
        <v>1</v>
      </c>
      <c r="T3293" s="18" t="s">
        <v>1132</v>
      </c>
      <c r="U3293" t="s">
        <v>3739</v>
      </c>
      <c r="V3293" s="18" t="s">
        <v>6237</v>
      </c>
      <c r="W3293" s="283"/>
      <c r="X3293" s="283"/>
      <c r="Y3293" s="283"/>
      <c r="Z3293" s="283"/>
      <c r="AA3293" s="283"/>
      <c r="AB3293" s="283"/>
      <c r="AC3293" s="283"/>
      <c r="AD3293" s="283"/>
      <c r="AE3293" s="49">
        <v>1</v>
      </c>
      <c r="AF3293" s="64"/>
      <c r="AG3293" s="283"/>
      <c r="AH3293" s="259">
        <v>2</v>
      </c>
      <c r="AI3293" s="259">
        <v>3.2</v>
      </c>
      <c r="AJ3293" s="259">
        <v>4</v>
      </c>
      <c r="AK3293" s="260">
        <v>0.1</v>
      </c>
      <c r="AL3293" s="260">
        <v>5.6</v>
      </c>
      <c r="AM3293" s="259">
        <v>10.399999999999999</v>
      </c>
      <c r="AN3293" s="18" t="s">
        <v>1132</v>
      </c>
      <c r="AO3293" s="18" t="s">
        <v>1134</v>
      </c>
      <c r="AP3293" s="18"/>
    </row>
    <row r="3294" spans="1:42" customFormat="1" x14ac:dyDescent="0.3">
      <c r="A3294" s="18" t="s">
        <v>1463</v>
      </c>
      <c r="B3294" s="18" t="s">
        <v>5664</v>
      </c>
      <c r="C3294" s="18" t="s">
        <v>1468</v>
      </c>
      <c r="D3294" s="18" t="s">
        <v>6209</v>
      </c>
      <c r="E3294" s="18" t="s">
        <v>1469</v>
      </c>
      <c r="F3294" s="18" t="s">
        <v>6210</v>
      </c>
      <c r="G3294" s="18" t="s">
        <v>6238</v>
      </c>
      <c r="H3294" s="157" t="s">
        <v>6239</v>
      </c>
      <c r="I3294" s="18"/>
      <c r="J3294" s="18"/>
      <c r="K3294" s="18">
        <v>14440201</v>
      </c>
      <c r="L3294" s="18" t="s">
        <v>6240</v>
      </c>
      <c r="M3294" s="18" t="s">
        <v>6241</v>
      </c>
      <c r="N3294" s="18">
        <v>0</v>
      </c>
      <c r="O3294" s="18">
        <v>1</v>
      </c>
      <c r="P3294" s="16">
        <v>1</v>
      </c>
      <c r="Q3294" s="16">
        <v>1</v>
      </c>
      <c r="R3294" s="16">
        <v>1</v>
      </c>
      <c r="S3294" s="16">
        <v>1</v>
      </c>
      <c r="T3294" s="18" t="s">
        <v>6242</v>
      </c>
      <c r="U3294" t="e">
        <v>#N/A</v>
      </c>
      <c r="V3294" s="18" t="s">
        <v>6243</v>
      </c>
      <c r="W3294" s="283"/>
      <c r="X3294" s="283"/>
      <c r="Y3294" s="283"/>
      <c r="Z3294" s="283"/>
      <c r="AA3294" s="283"/>
      <c r="AB3294" s="283"/>
      <c r="AC3294" s="283"/>
      <c r="AD3294" s="283"/>
      <c r="AE3294" s="49">
        <v>1</v>
      </c>
      <c r="AF3294" s="64"/>
      <c r="AG3294" s="283"/>
      <c r="AH3294" s="259">
        <v>0.4</v>
      </c>
      <c r="AI3294" s="259">
        <v>0.4</v>
      </c>
      <c r="AJ3294" s="259">
        <v>0.4</v>
      </c>
      <c r="AK3294" s="260">
        <v>0.4</v>
      </c>
      <c r="AL3294" s="260">
        <v>0.4</v>
      </c>
      <c r="AM3294" s="259">
        <v>0.8</v>
      </c>
      <c r="AN3294" s="18" t="s">
        <v>921</v>
      </c>
      <c r="AO3294" s="18" t="s">
        <v>880</v>
      </c>
      <c r="AP3294" s="18" t="s">
        <v>831</v>
      </c>
    </row>
    <row r="3295" spans="1:42" customFormat="1" x14ac:dyDescent="0.3">
      <c r="A3295" s="18" t="s">
        <v>1463</v>
      </c>
      <c r="B3295" s="18" t="s">
        <v>5664</v>
      </c>
      <c r="C3295" s="18" t="s">
        <v>1468</v>
      </c>
      <c r="D3295" s="18" t="s">
        <v>6209</v>
      </c>
      <c r="E3295" s="18" t="s">
        <v>1469</v>
      </c>
      <c r="F3295" s="18" t="s">
        <v>6210</v>
      </c>
      <c r="G3295" s="18" t="s">
        <v>6244</v>
      </c>
      <c r="H3295" s="157" t="s">
        <v>6245</v>
      </c>
      <c r="I3295" s="18"/>
      <c r="J3295" s="18"/>
      <c r="K3295" s="18" t="s">
        <v>6246</v>
      </c>
      <c r="L3295" s="18" t="s">
        <v>6247</v>
      </c>
      <c r="M3295" s="18" t="s">
        <v>6248</v>
      </c>
      <c r="N3295" s="18">
        <v>5933</v>
      </c>
      <c r="O3295" s="18">
        <v>2000</v>
      </c>
      <c r="P3295" s="16">
        <v>2067</v>
      </c>
      <c r="Q3295" s="16"/>
      <c r="R3295" s="16"/>
      <c r="S3295" s="16"/>
      <c r="T3295" s="18" t="s">
        <v>6249</v>
      </c>
      <c r="U3295" t="e">
        <v>#N/A</v>
      </c>
      <c r="V3295" s="18" t="s">
        <v>6250</v>
      </c>
      <c r="W3295" s="283"/>
      <c r="X3295" s="283"/>
      <c r="Y3295" s="283"/>
      <c r="Z3295" s="283"/>
      <c r="AA3295" s="283"/>
      <c r="AB3295" s="283"/>
      <c r="AC3295" s="283"/>
      <c r="AD3295" s="283"/>
      <c r="AE3295" s="49">
        <v>1</v>
      </c>
      <c r="AF3295" s="64"/>
      <c r="AG3295" s="283"/>
      <c r="AH3295" s="259">
        <v>0</v>
      </c>
      <c r="AI3295" s="259">
        <v>14.3</v>
      </c>
      <c r="AJ3295" s="259">
        <v>14.7</v>
      </c>
      <c r="AK3295" s="260">
        <v>0</v>
      </c>
      <c r="AL3295" s="260">
        <v>0</v>
      </c>
      <c r="AM3295" s="259">
        <v>0</v>
      </c>
      <c r="AN3295" s="18" t="s">
        <v>280</v>
      </c>
      <c r="AO3295" s="18" t="s">
        <v>1151</v>
      </c>
      <c r="AP3295" s="18" t="s">
        <v>11677</v>
      </c>
    </row>
    <row r="3296" spans="1:42" customFormat="1" x14ac:dyDescent="0.3">
      <c r="A3296" s="18" t="s">
        <v>1463</v>
      </c>
      <c r="B3296" s="18" t="s">
        <v>5664</v>
      </c>
      <c r="C3296" s="18" t="s">
        <v>1468</v>
      </c>
      <c r="D3296" s="18" t="s">
        <v>6209</v>
      </c>
      <c r="E3296" s="18" t="s">
        <v>1469</v>
      </c>
      <c r="F3296" s="18" t="s">
        <v>6210</v>
      </c>
      <c r="G3296" s="18" t="s">
        <v>6244</v>
      </c>
      <c r="H3296" s="157" t="s">
        <v>6245</v>
      </c>
      <c r="I3296" s="18"/>
      <c r="J3296" s="18"/>
      <c r="K3296" s="18" t="s">
        <v>6246</v>
      </c>
      <c r="L3296" s="18" t="s">
        <v>6247</v>
      </c>
      <c r="M3296" s="18" t="s">
        <v>6251</v>
      </c>
      <c r="N3296" s="18">
        <v>59.3</v>
      </c>
      <c r="O3296" s="18">
        <v>79.3</v>
      </c>
      <c r="P3296" s="16">
        <v>100</v>
      </c>
      <c r="Q3296" s="16"/>
      <c r="R3296" s="16"/>
      <c r="S3296" s="16"/>
      <c r="T3296" s="18" t="s">
        <v>280</v>
      </c>
      <c r="U3296" t="s">
        <v>1151</v>
      </c>
      <c r="V3296" s="18" t="s">
        <v>6252</v>
      </c>
      <c r="W3296" s="283"/>
      <c r="X3296" s="283"/>
      <c r="Y3296" s="283"/>
      <c r="Z3296" s="283"/>
      <c r="AA3296" s="283"/>
      <c r="AB3296" s="283"/>
      <c r="AC3296" s="283"/>
      <c r="AD3296" s="283"/>
      <c r="AE3296" s="49">
        <v>1</v>
      </c>
      <c r="AF3296" s="64"/>
      <c r="AG3296" s="283"/>
      <c r="AH3296" s="259">
        <v>0</v>
      </c>
      <c r="AI3296" s="259">
        <v>0</v>
      </c>
      <c r="AJ3296" s="259">
        <v>0</v>
      </c>
      <c r="AK3296" s="260">
        <v>0</v>
      </c>
      <c r="AL3296" s="260">
        <v>0</v>
      </c>
      <c r="AM3296" s="259">
        <v>0</v>
      </c>
      <c r="AN3296" s="18" t="s">
        <v>5698</v>
      </c>
      <c r="AO3296" s="18" t="s">
        <v>2019</v>
      </c>
      <c r="AP3296" s="18" t="s">
        <v>6253</v>
      </c>
    </row>
    <row r="3297" spans="1:42" customFormat="1" x14ac:dyDescent="0.3">
      <c r="A3297" s="18" t="s">
        <v>1463</v>
      </c>
      <c r="B3297" s="18" t="s">
        <v>5664</v>
      </c>
      <c r="C3297" s="18" t="s">
        <v>1468</v>
      </c>
      <c r="D3297" s="18" t="s">
        <v>6209</v>
      </c>
      <c r="E3297" s="18" t="s">
        <v>1469</v>
      </c>
      <c r="F3297" s="18" t="s">
        <v>6210</v>
      </c>
      <c r="G3297" s="18" t="s">
        <v>6244</v>
      </c>
      <c r="H3297" s="157" t="s">
        <v>6245</v>
      </c>
      <c r="I3297" s="18"/>
      <c r="J3297" s="18"/>
      <c r="K3297" s="18" t="s">
        <v>6246</v>
      </c>
      <c r="L3297" s="18" t="s">
        <v>6247</v>
      </c>
      <c r="M3297" s="18" t="s">
        <v>6254</v>
      </c>
      <c r="N3297" s="18" t="s">
        <v>271</v>
      </c>
      <c r="O3297" s="18">
        <v>0</v>
      </c>
      <c r="P3297" s="16">
        <v>2500</v>
      </c>
      <c r="Q3297" s="16">
        <v>2500</v>
      </c>
      <c r="R3297" s="16">
        <v>2500</v>
      </c>
      <c r="S3297" s="16">
        <v>2500</v>
      </c>
      <c r="T3297" s="18" t="s">
        <v>6255</v>
      </c>
      <c r="U3297" t="e">
        <v>#N/A</v>
      </c>
      <c r="V3297" s="18" t="s">
        <v>6256</v>
      </c>
      <c r="W3297" s="283"/>
      <c r="X3297" s="283"/>
      <c r="Y3297" s="283"/>
      <c r="Z3297" s="283"/>
      <c r="AA3297" s="283"/>
      <c r="AB3297" s="283"/>
      <c r="AC3297" s="283"/>
      <c r="AD3297" s="283"/>
      <c r="AE3297" s="49">
        <v>1</v>
      </c>
      <c r="AF3297" s="64"/>
      <c r="AG3297" s="283"/>
      <c r="AH3297" s="259"/>
      <c r="AI3297" s="259">
        <v>0.85</v>
      </c>
      <c r="AJ3297" s="259">
        <v>0.85</v>
      </c>
      <c r="AK3297" s="260">
        <v>2</v>
      </c>
      <c r="AL3297" s="260">
        <v>0.85</v>
      </c>
      <c r="AM3297" s="259">
        <v>1.7</v>
      </c>
      <c r="AN3297" s="18" t="s">
        <v>280</v>
      </c>
      <c r="AO3297" s="18" t="s">
        <v>1151</v>
      </c>
      <c r="AP3297" s="18"/>
    </row>
    <row r="3298" spans="1:42" customFormat="1" x14ac:dyDescent="0.3">
      <c r="A3298" s="18" t="s">
        <v>1463</v>
      </c>
      <c r="B3298" s="18" t="s">
        <v>5664</v>
      </c>
      <c r="C3298" s="18" t="s">
        <v>1468</v>
      </c>
      <c r="D3298" s="18" t="s">
        <v>6209</v>
      </c>
      <c r="E3298" s="18" t="s">
        <v>1469</v>
      </c>
      <c r="F3298" s="18" t="s">
        <v>6210</v>
      </c>
      <c r="G3298" s="18" t="s">
        <v>6244</v>
      </c>
      <c r="H3298" s="157" t="s">
        <v>6245</v>
      </c>
      <c r="I3298" s="18"/>
      <c r="J3298" s="18"/>
      <c r="K3298" s="18" t="s">
        <v>6246</v>
      </c>
      <c r="L3298" s="18" t="s">
        <v>6247</v>
      </c>
      <c r="M3298" s="18" t="s">
        <v>6257</v>
      </c>
      <c r="N3298" s="18"/>
      <c r="O3298" s="18"/>
      <c r="P3298" s="16">
        <v>2500</v>
      </c>
      <c r="Q3298" s="16">
        <v>2500</v>
      </c>
      <c r="R3298" s="16">
        <v>2500</v>
      </c>
      <c r="S3298" s="16">
        <v>2500</v>
      </c>
      <c r="T3298" s="18" t="s">
        <v>280</v>
      </c>
      <c r="U3298" t="s">
        <v>1151</v>
      </c>
      <c r="V3298" s="18" t="s">
        <v>6258</v>
      </c>
      <c r="W3298" s="283"/>
      <c r="X3298" s="283"/>
      <c r="Y3298" s="283"/>
      <c r="Z3298" s="283"/>
      <c r="AA3298" s="283"/>
      <c r="AB3298" s="283"/>
      <c r="AC3298" s="283"/>
      <c r="AD3298" s="283"/>
      <c r="AE3298" s="49">
        <v>1</v>
      </c>
      <c r="AF3298" s="64"/>
      <c r="AG3298" s="283"/>
      <c r="AH3298" s="259"/>
      <c r="AI3298" s="259"/>
      <c r="AJ3298" s="259"/>
      <c r="AK3298" s="260"/>
      <c r="AL3298" s="260"/>
      <c r="AM3298" s="259">
        <v>0</v>
      </c>
      <c r="AN3298" s="18" t="s">
        <v>280</v>
      </c>
      <c r="AO3298" s="18" t="s">
        <v>1151</v>
      </c>
      <c r="AP3298" s="18"/>
    </row>
    <row r="3299" spans="1:42" customFormat="1" x14ac:dyDescent="0.3">
      <c r="A3299" s="18" t="s">
        <v>1463</v>
      </c>
      <c r="B3299" s="18" t="s">
        <v>5664</v>
      </c>
      <c r="C3299" s="18" t="s">
        <v>1468</v>
      </c>
      <c r="D3299" s="18" t="s">
        <v>6209</v>
      </c>
      <c r="E3299" s="18" t="s">
        <v>1469</v>
      </c>
      <c r="F3299" s="18" t="s">
        <v>6210</v>
      </c>
      <c r="G3299" s="18" t="s">
        <v>6244</v>
      </c>
      <c r="H3299" s="157" t="s">
        <v>6245</v>
      </c>
      <c r="I3299" s="18"/>
      <c r="J3299" s="18"/>
      <c r="K3299" s="18" t="s">
        <v>6246</v>
      </c>
      <c r="L3299" s="18" t="s">
        <v>6247</v>
      </c>
      <c r="M3299" s="18" t="s">
        <v>6259</v>
      </c>
      <c r="N3299" s="18"/>
      <c r="O3299" s="18"/>
      <c r="P3299" s="16">
        <v>2500</v>
      </c>
      <c r="Q3299" s="16">
        <v>2500</v>
      </c>
      <c r="R3299" s="16">
        <v>2500</v>
      </c>
      <c r="S3299" s="16">
        <v>2500</v>
      </c>
      <c r="T3299" s="18" t="s">
        <v>280</v>
      </c>
      <c r="U3299" t="s">
        <v>1151</v>
      </c>
      <c r="V3299" s="18" t="s">
        <v>6260</v>
      </c>
      <c r="W3299" s="283"/>
      <c r="X3299" s="283"/>
      <c r="Y3299" s="283"/>
      <c r="Z3299" s="283"/>
      <c r="AA3299" s="283"/>
      <c r="AB3299" s="283"/>
      <c r="AC3299" s="283"/>
      <c r="AD3299" s="283"/>
      <c r="AE3299" s="49">
        <v>1</v>
      </c>
      <c r="AF3299" s="64"/>
      <c r="AG3299" s="283"/>
      <c r="AH3299" s="259"/>
      <c r="AI3299" s="259">
        <v>22</v>
      </c>
      <c r="AJ3299" s="259">
        <v>22</v>
      </c>
      <c r="AK3299" s="260">
        <v>10</v>
      </c>
      <c r="AL3299" s="260">
        <v>22</v>
      </c>
      <c r="AM3299" s="259">
        <v>44</v>
      </c>
      <c r="AN3299" s="18" t="s">
        <v>280</v>
      </c>
      <c r="AO3299" s="18" t="s">
        <v>1151</v>
      </c>
      <c r="AP3299" s="18"/>
    </row>
    <row r="3300" spans="1:42" customFormat="1" x14ac:dyDescent="0.3">
      <c r="A3300" s="18" t="s">
        <v>1463</v>
      </c>
      <c r="B3300" s="18" t="s">
        <v>5664</v>
      </c>
      <c r="C3300" s="18" t="s">
        <v>1468</v>
      </c>
      <c r="D3300" s="18" t="s">
        <v>6209</v>
      </c>
      <c r="E3300" s="18" t="s">
        <v>1469</v>
      </c>
      <c r="F3300" s="18" t="s">
        <v>6210</v>
      </c>
      <c r="G3300" s="18" t="s">
        <v>6244</v>
      </c>
      <c r="H3300" s="157" t="s">
        <v>6245</v>
      </c>
      <c r="I3300" s="18"/>
      <c r="J3300" s="18"/>
      <c r="K3300" s="18" t="s">
        <v>6246</v>
      </c>
      <c r="L3300" s="18" t="s">
        <v>6247</v>
      </c>
      <c r="M3300" s="18" t="s">
        <v>6261</v>
      </c>
      <c r="N3300" s="18"/>
      <c r="O3300" s="18">
        <v>8</v>
      </c>
      <c r="P3300" s="16">
        <v>8</v>
      </c>
      <c r="Q3300" s="16">
        <v>8</v>
      </c>
      <c r="R3300" s="16">
        <v>8</v>
      </c>
      <c r="S3300" s="16">
        <v>8</v>
      </c>
      <c r="T3300" s="18" t="s">
        <v>280</v>
      </c>
      <c r="U3300" t="s">
        <v>1151</v>
      </c>
      <c r="V3300" s="18" t="s">
        <v>6262</v>
      </c>
      <c r="W3300" s="283"/>
      <c r="X3300" s="283"/>
      <c r="Y3300" s="283"/>
      <c r="Z3300" s="283"/>
      <c r="AA3300" s="283"/>
      <c r="AB3300" s="283"/>
      <c r="AC3300" s="283"/>
      <c r="AD3300" s="283"/>
      <c r="AE3300" s="49">
        <v>1</v>
      </c>
      <c r="AF3300" s="64"/>
      <c r="AG3300" s="283"/>
      <c r="AH3300" s="259">
        <v>0.2</v>
      </c>
      <c r="AI3300" s="259">
        <v>0.2</v>
      </c>
      <c r="AJ3300" s="259">
        <v>0.2</v>
      </c>
      <c r="AK3300" s="260">
        <v>0.2</v>
      </c>
      <c r="AL3300" s="260">
        <v>0.2</v>
      </c>
      <c r="AM3300" s="259">
        <v>0.4</v>
      </c>
      <c r="AN3300" s="18" t="s">
        <v>280</v>
      </c>
      <c r="AO3300" s="18" t="s">
        <v>1151</v>
      </c>
      <c r="AP3300" s="18"/>
    </row>
    <row r="3301" spans="1:42" customFormat="1" x14ac:dyDescent="0.3">
      <c r="A3301" s="18" t="s">
        <v>1463</v>
      </c>
      <c r="B3301" s="18" t="s">
        <v>5664</v>
      </c>
      <c r="C3301" s="18" t="s">
        <v>1468</v>
      </c>
      <c r="D3301" s="18" t="s">
        <v>6209</v>
      </c>
      <c r="E3301" s="18" t="s">
        <v>1469</v>
      </c>
      <c r="F3301" s="18" t="s">
        <v>6210</v>
      </c>
      <c r="G3301" s="18" t="s">
        <v>6244</v>
      </c>
      <c r="H3301" s="157" t="s">
        <v>6245</v>
      </c>
      <c r="I3301" s="18"/>
      <c r="J3301" s="18"/>
      <c r="K3301" s="18" t="s">
        <v>6263</v>
      </c>
      <c r="L3301" s="223" t="s">
        <v>6264</v>
      </c>
      <c r="M3301" s="162" t="s">
        <v>6265</v>
      </c>
      <c r="N3301" s="18"/>
      <c r="O3301" s="18">
        <v>1</v>
      </c>
      <c r="P3301" s="16">
        <v>4</v>
      </c>
      <c r="Q3301" s="16">
        <v>4</v>
      </c>
      <c r="R3301" s="16">
        <v>4</v>
      </c>
      <c r="S3301" s="16">
        <v>4</v>
      </c>
      <c r="T3301" s="18" t="s">
        <v>280</v>
      </c>
      <c r="U3301" t="s">
        <v>1151</v>
      </c>
      <c r="V3301" s="18" t="s">
        <v>6266</v>
      </c>
      <c r="W3301" s="283"/>
      <c r="X3301" s="283"/>
      <c r="Y3301" s="283"/>
      <c r="Z3301" s="283"/>
      <c r="AA3301" s="283"/>
      <c r="AB3301" s="283"/>
      <c r="AC3301" s="283"/>
      <c r="AD3301" s="283"/>
      <c r="AE3301" s="49">
        <v>1</v>
      </c>
      <c r="AF3301" s="64"/>
      <c r="AG3301" s="283"/>
      <c r="AH3301" s="259">
        <v>0.2</v>
      </c>
      <c r="AI3301" s="259">
        <v>0.2</v>
      </c>
      <c r="AJ3301" s="259">
        <v>0.2</v>
      </c>
      <c r="AK3301" s="260">
        <v>0.2</v>
      </c>
      <c r="AL3301" s="260">
        <v>0.2</v>
      </c>
      <c r="AM3301" s="259">
        <v>0.4</v>
      </c>
      <c r="AN3301" s="18" t="s">
        <v>280</v>
      </c>
      <c r="AO3301" s="18" t="s">
        <v>1151</v>
      </c>
      <c r="AP3301" s="18"/>
    </row>
    <row r="3302" spans="1:42" customFormat="1" x14ac:dyDescent="0.3">
      <c r="A3302" s="18" t="s">
        <v>1463</v>
      </c>
      <c r="B3302" s="18" t="s">
        <v>5664</v>
      </c>
      <c r="C3302" s="18" t="s">
        <v>1468</v>
      </c>
      <c r="D3302" s="18" t="s">
        <v>6209</v>
      </c>
      <c r="E3302" s="18" t="s">
        <v>1469</v>
      </c>
      <c r="F3302" s="18" t="s">
        <v>6210</v>
      </c>
      <c r="G3302" s="18" t="s">
        <v>6244</v>
      </c>
      <c r="H3302" s="157" t="s">
        <v>6245</v>
      </c>
      <c r="I3302" s="18"/>
      <c r="J3302" s="18"/>
      <c r="K3302" s="18" t="s">
        <v>6267</v>
      </c>
      <c r="L3302" s="223" t="s">
        <v>6268</v>
      </c>
      <c r="M3302" s="162" t="s">
        <v>6269</v>
      </c>
      <c r="N3302" s="18"/>
      <c r="O3302" s="18">
        <v>3</v>
      </c>
      <c r="P3302" s="16">
        <v>3</v>
      </c>
      <c r="Q3302" s="16">
        <v>3</v>
      </c>
      <c r="R3302" s="16">
        <v>3</v>
      </c>
      <c r="S3302" s="16">
        <v>3</v>
      </c>
      <c r="T3302" s="18" t="s">
        <v>2250</v>
      </c>
      <c r="U3302" t="e">
        <v>#N/A</v>
      </c>
      <c r="V3302" s="18" t="s">
        <v>6270</v>
      </c>
      <c r="W3302" s="283"/>
      <c r="X3302" s="283"/>
      <c r="Y3302" s="283"/>
      <c r="Z3302" s="283"/>
      <c r="AA3302" s="283"/>
      <c r="AB3302" s="283"/>
      <c r="AC3302" s="283"/>
      <c r="AD3302" s="283"/>
      <c r="AE3302" s="49">
        <v>1</v>
      </c>
      <c r="AF3302" s="64"/>
      <c r="AG3302" s="283"/>
      <c r="AH3302" s="259">
        <v>3</v>
      </c>
      <c r="AI3302" s="259">
        <v>3</v>
      </c>
      <c r="AJ3302" s="259">
        <v>3</v>
      </c>
      <c r="AK3302" s="260">
        <v>3</v>
      </c>
      <c r="AL3302" s="260">
        <v>3</v>
      </c>
      <c r="AM3302" s="259">
        <v>6</v>
      </c>
      <c r="AN3302" s="18" t="s">
        <v>2250</v>
      </c>
      <c r="AO3302" s="18" t="s">
        <v>6271</v>
      </c>
      <c r="AP3302" s="18"/>
    </row>
    <row r="3303" spans="1:42" customFormat="1" x14ac:dyDescent="0.3">
      <c r="A3303" s="18" t="s">
        <v>1463</v>
      </c>
      <c r="B3303" s="18" t="s">
        <v>5664</v>
      </c>
      <c r="C3303" s="18" t="s">
        <v>1468</v>
      </c>
      <c r="D3303" s="18" t="s">
        <v>6209</v>
      </c>
      <c r="E3303" s="18" t="s">
        <v>1469</v>
      </c>
      <c r="F3303" s="18" t="s">
        <v>6210</v>
      </c>
      <c r="G3303" s="18" t="s">
        <v>6244</v>
      </c>
      <c r="H3303" s="157" t="s">
        <v>6245</v>
      </c>
      <c r="I3303" s="18"/>
      <c r="J3303" s="18"/>
      <c r="K3303" s="18" t="s">
        <v>6267</v>
      </c>
      <c r="L3303" s="223" t="s">
        <v>6268</v>
      </c>
      <c r="M3303" s="162" t="s">
        <v>6272</v>
      </c>
      <c r="N3303" s="460">
        <v>0.3</v>
      </c>
      <c r="O3303" s="460">
        <v>0.1</v>
      </c>
      <c r="P3303" s="38">
        <v>0.13</v>
      </c>
      <c r="Q3303" s="38">
        <v>0.15</v>
      </c>
      <c r="R3303" s="38">
        <v>0.2</v>
      </c>
      <c r="S3303" s="38">
        <v>0.25</v>
      </c>
      <c r="T3303" s="18" t="s">
        <v>2250</v>
      </c>
      <c r="U3303" t="e">
        <v>#N/A</v>
      </c>
      <c r="V3303" s="18" t="s">
        <v>6273</v>
      </c>
      <c r="W3303" s="283"/>
      <c r="X3303" s="283"/>
      <c r="Y3303" s="283"/>
      <c r="Z3303" s="283"/>
      <c r="AA3303" s="283"/>
      <c r="AB3303" s="283"/>
      <c r="AC3303" s="283"/>
      <c r="AD3303" s="283"/>
      <c r="AE3303" s="49">
        <v>1</v>
      </c>
      <c r="AF3303" s="64"/>
      <c r="AG3303" s="283"/>
      <c r="AH3303" s="259">
        <v>4</v>
      </c>
      <c r="AI3303" s="259">
        <v>4</v>
      </c>
      <c r="AJ3303" s="259">
        <v>4</v>
      </c>
      <c r="AK3303" s="260">
        <v>4</v>
      </c>
      <c r="AL3303" s="260">
        <v>4</v>
      </c>
      <c r="AM3303" s="259">
        <v>8</v>
      </c>
      <c r="AN3303" s="18" t="s">
        <v>2250</v>
      </c>
      <c r="AO3303" s="18" t="s">
        <v>6271</v>
      </c>
      <c r="AP3303" s="18"/>
    </row>
    <row r="3304" spans="1:42" customFormat="1" x14ac:dyDescent="0.3">
      <c r="A3304" s="18" t="s">
        <v>1463</v>
      </c>
      <c r="B3304" s="18" t="s">
        <v>5664</v>
      </c>
      <c r="C3304" s="18" t="s">
        <v>1468</v>
      </c>
      <c r="D3304" s="18" t="s">
        <v>6209</v>
      </c>
      <c r="E3304" s="18" t="s">
        <v>1469</v>
      </c>
      <c r="F3304" s="18" t="s">
        <v>6210</v>
      </c>
      <c r="G3304" s="18" t="s">
        <v>6244</v>
      </c>
      <c r="H3304" s="157" t="s">
        <v>6245</v>
      </c>
      <c r="I3304" s="18"/>
      <c r="J3304" s="18"/>
      <c r="K3304" s="18" t="s">
        <v>6267</v>
      </c>
      <c r="L3304" s="223" t="s">
        <v>6268</v>
      </c>
      <c r="M3304" s="162" t="s">
        <v>6274</v>
      </c>
      <c r="N3304" s="18"/>
      <c r="O3304" s="18"/>
      <c r="P3304" s="16">
        <v>1</v>
      </c>
      <c r="Q3304" s="16"/>
      <c r="R3304" s="16"/>
      <c r="S3304" s="16"/>
      <c r="T3304" s="18" t="s">
        <v>2250</v>
      </c>
      <c r="U3304" t="e">
        <v>#N/A</v>
      </c>
      <c r="V3304" s="18" t="s">
        <v>6275</v>
      </c>
      <c r="W3304" s="283"/>
      <c r="X3304" s="283"/>
      <c r="Y3304" s="283"/>
      <c r="Z3304" s="283"/>
      <c r="AA3304" s="283"/>
      <c r="AB3304" s="283"/>
      <c r="AC3304" s="283"/>
      <c r="AD3304" s="283"/>
      <c r="AE3304" s="49">
        <v>1</v>
      </c>
      <c r="AF3304" s="64"/>
      <c r="AG3304" s="283"/>
      <c r="AH3304" s="259"/>
      <c r="AI3304" s="259">
        <v>0.11700000000000001</v>
      </c>
      <c r="AJ3304" s="259"/>
      <c r="AK3304" s="260"/>
      <c r="AL3304" s="260"/>
      <c r="AM3304" s="259">
        <v>0</v>
      </c>
      <c r="AN3304" s="18" t="s">
        <v>2250</v>
      </c>
      <c r="AO3304" s="18" t="s">
        <v>6271</v>
      </c>
      <c r="AP3304" s="18"/>
    </row>
    <row r="3305" spans="1:42" customFormat="1" x14ac:dyDescent="0.3">
      <c r="A3305" s="18" t="s">
        <v>1463</v>
      </c>
      <c r="B3305" s="18" t="s">
        <v>5664</v>
      </c>
      <c r="C3305" s="18" t="s">
        <v>1468</v>
      </c>
      <c r="D3305" s="18" t="s">
        <v>6209</v>
      </c>
      <c r="E3305" s="18" t="s">
        <v>1469</v>
      </c>
      <c r="F3305" s="18" t="s">
        <v>6210</v>
      </c>
      <c r="G3305" s="18" t="s">
        <v>6244</v>
      </c>
      <c r="H3305" s="157" t="s">
        <v>6245</v>
      </c>
      <c r="I3305" s="18"/>
      <c r="J3305" s="18"/>
      <c r="K3305" s="18" t="s">
        <v>6276</v>
      </c>
      <c r="L3305" s="223" t="s">
        <v>6277</v>
      </c>
      <c r="M3305" s="162" t="s">
        <v>6278</v>
      </c>
      <c r="N3305" s="18">
        <v>8</v>
      </c>
      <c r="O3305" s="18">
        <v>8</v>
      </c>
      <c r="P3305" s="16">
        <v>8</v>
      </c>
      <c r="Q3305" s="16">
        <v>8</v>
      </c>
      <c r="R3305" s="16">
        <v>8</v>
      </c>
      <c r="S3305" s="16">
        <v>8</v>
      </c>
      <c r="T3305" s="18" t="s">
        <v>280</v>
      </c>
      <c r="U3305" t="s">
        <v>1151</v>
      </c>
      <c r="V3305" s="18" t="s">
        <v>6279</v>
      </c>
      <c r="W3305" s="283"/>
      <c r="X3305" s="283"/>
      <c r="Y3305" s="283"/>
      <c r="Z3305" s="283"/>
      <c r="AA3305" s="283"/>
      <c r="AB3305" s="283"/>
      <c r="AC3305" s="283"/>
      <c r="AD3305" s="283"/>
      <c r="AE3305" s="49">
        <v>1</v>
      </c>
      <c r="AF3305" s="64"/>
      <c r="AG3305" s="283"/>
      <c r="AH3305" s="259">
        <v>0.4</v>
      </c>
      <c r="AI3305" s="259">
        <v>0.4</v>
      </c>
      <c r="AJ3305" s="259">
        <v>0.4</v>
      </c>
      <c r="AK3305" s="260">
        <v>0.4</v>
      </c>
      <c r="AL3305" s="260">
        <v>0.4</v>
      </c>
      <c r="AM3305" s="259">
        <v>0.8</v>
      </c>
      <c r="AN3305" s="18" t="s">
        <v>280</v>
      </c>
      <c r="AO3305" s="18" t="s">
        <v>1151</v>
      </c>
      <c r="AP3305" s="18" t="s">
        <v>11677</v>
      </c>
    </row>
    <row r="3306" spans="1:42" customFormat="1" x14ac:dyDescent="0.3">
      <c r="A3306" s="18" t="s">
        <v>1463</v>
      </c>
      <c r="B3306" s="18" t="s">
        <v>5664</v>
      </c>
      <c r="C3306" s="18" t="s">
        <v>1468</v>
      </c>
      <c r="D3306" s="18" t="s">
        <v>6209</v>
      </c>
      <c r="E3306" s="18" t="s">
        <v>1469</v>
      </c>
      <c r="F3306" s="18" t="s">
        <v>6210</v>
      </c>
      <c r="G3306" s="18" t="s">
        <v>6244</v>
      </c>
      <c r="H3306" s="157" t="s">
        <v>6245</v>
      </c>
      <c r="I3306" s="18"/>
      <c r="J3306" s="18"/>
      <c r="K3306" s="18" t="s">
        <v>6276</v>
      </c>
      <c r="L3306" s="223" t="s">
        <v>6277</v>
      </c>
      <c r="M3306" s="162" t="s">
        <v>6280</v>
      </c>
      <c r="N3306" s="18"/>
      <c r="O3306" s="18"/>
      <c r="P3306" s="16">
        <v>2500</v>
      </c>
      <c r="Q3306" s="16">
        <v>2500</v>
      </c>
      <c r="R3306" s="16">
        <v>2500</v>
      </c>
      <c r="S3306" s="16">
        <v>2500</v>
      </c>
      <c r="T3306" s="18" t="s">
        <v>280</v>
      </c>
      <c r="U3306" t="s">
        <v>1151</v>
      </c>
      <c r="V3306" s="18" t="s">
        <v>6281</v>
      </c>
      <c r="W3306" s="283"/>
      <c r="X3306" s="283"/>
      <c r="Y3306" s="283"/>
      <c r="Z3306" s="283"/>
      <c r="AA3306" s="283"/>
      <c r="AB3306" s="283"/>
      <c r="AC3306" s="283"/>
      <c r="AD3306" s="283"/>
      <c r="AE3306" s="49">
        <v>1</v>
      </c>
      <c r="AF3306" s="64"/>
      <c r="AG3306" s="283"/>
      <c r="AH3306" s="259"/>
      <c r="AI3306" s="259">
        <v>3.1080000000000001</v>
      </c>
      <c r="AJ3306" s="259">
        <v>3.1080000000000001</v>
      </c>
      <c r="AK3306" s="260">
        <v>3.1080000000000001</v>
      </c>
      <c r="AL3306" s="260">
        <v>3.1080000000000001</v>
      </c>
      <c r="AM3306" s="259">
        <v>6.2160000000000002</v>
      </c>
      <c r="AN3306" s="18" t="s">
        <v>280</v>
      </c>
      <c r="AO3306" s="18" t="s">
        <v>1151</v>
      </c>
      <c r="AP3306" s="18"/>
    </row>
    <row r="3307" spans="1:42" customFormat="1" x14ac:dyDescent="0.3">
      <c r="A3307" s="18" t="s">
        <v>1463</v>
      </c>
      <c r="B3307" s="18" t="s">
        <v>5664</v>
      </c>
      <c r="C3307" s="18" t="s">
        <v>1468</v>
      </c>
      <c r="D3307" s="18" t="s">
        <v>6209</v>
      </c>
      <c r="E3307" s="18" t="s">
        <v>1469</v>
      </c>
      <c r="F3307" s="18" t="s">
        <v>6210</v>
      </c>
      <c r="G3307" s="18" t="s">
        <v>6244</v>
      </c>
      <c r="H3307" s="157" t="s">
        <v>6245</v>
      </c>
      <c r="I3307" s="18"/>
      <c r="J3307" s="18"/>
      <c r="K3307" s="18" t="s">
        <v>6276</v>
      </c>
      <c r="L3307" s="223" t="s">
        <v>6277</v>
      </c>
      <c r="M3307" s="162" t="s">
        <v>6282</v>
      </c>
      <c r="N3307" s="18"/>
      <c r="O3307" s="18">
        <v>4</v>
      </c>
      <c r="P3307" s="16">
        <v>4</v>
      </c>
      <c r="Q3307" s="16">
        <v>4</v>
      </c>
      <c r="R3307" s="16">
        <v>4</v>
      </c>
      <c r="S3307" s="16">
        <v>4</v>
      </c>
      <c r="T3307" s="18" t="s">
        <v>6283</v>
      </c>
      <c r="U3307" t="e">
        <v>#N/A</v>
      </c>
      <c r="V3307" s="18" t="s">
        <v>6284</v>
      </c>
      <c r="W3307" s="283"/>
      <c r="X3307" s="283"/>
      <c r="Y3307" s="283"/>
      <c r="Z3307" s="283"/>
      <c r="AA3307" s="283"/>
      <c r="AB3307" s="283"/>
      <c r="AC3307" s="283"/>
      <c r="AD3307" s="283"/>
      <c r="AE3307" s="49">
        <v>1</v>
      </c>
      <c r="AF3307" s="64"/>
      <c r="AG3307" s="283"/>
      <c r="AH3307" s="259">
        <v>3</v>
      </c>
      <c r="AI3307" s="259">
        <v>3</v>
      </c>
      <c r="AJ3307" s="259">
        <v>3</v>
      </c>
      <c r="AK3307" s="260">
        <v>3</v>
      </c>
      <c r="AL3307" s="260">
        <v>3</v>
      </c>
      <c r="AM3307" s="259">
        <v>6</v>
      </c>
      <c r="AN3307" s="18" t="s">
        <v>280</v>
      </c>
      <c r="AO3307" s="18" t="s">
        <v>1151</v>
      </c>
      <c r="AP3307" s="18" t="s">
        <v>11677</v>
      </c>
    </row>
    <row r="3308" spans="1:42" customFormat="1" x14ac:dyDescent="0.3">
      <c r="A3308" s="18" t="s">
        <v>1463</v>
      </c>
      <c r="B3308" s="18" t="s">
        <v>5664</v>
      </c>
      <c r="C3308" s="18" t="s">
        <v>1468</v>
      </c>
      <c r="D3308" s="18" t="s">
        <v>6209</v>
      </c>
      <c r="E3308" s="18" t="s">
        <v>1469</v>
      </c>
      <c r="F3308" s="18" t="s">
        <v>6210</v>
      </c>
      <c r="G3308" s="18" t="s">
        <v>6244</v>
      </c>
      <c r="H3308" s="157" t="s">
        <v>6245</v>
      </c>
      <c r="I3308" s="18"/>
      <c r="J3308" s="18"/>
      <c r="K3308" s="18" t="s">
        <v>6276</v>
      </c>
      <c r="L3308" s="223" t="s">
        <v>6277</v>
      </c>
      <c r="M3308" s="162" t="s">
        <v>6285</v>
      </c>
      <c r="N3308" s="18"/>
      <c r="O3308" s="18">
        <v>1</v>
      </c>
      <c r="P3308" s="16">
        <v>1</v>
      </c>
      <c r="Q3308" s="16">
        <v>1</v>
      </c>
      <c r="R3308" s="16">
        <v>1</v>
      </c>
      <c r="S3308" s="16">
        <v>1</v>
      </c>
      <c r="T3308" s="18" t="s">
        <v>280</v>
      </c>
      <c r="U3308" t="s">
        <v>1151</v>
      </c>
      <c r="V3308" s="18" t="s">
        <v>6286</v>
      </c>
      <c r="W3308" s="283"/>
      <c r="X3308" s="283"/>
      <c r="Y3308" s="283"/>
      <c r="Z3308" s="283"/>
      <c r="AA3308" s="283"/>
      <c r="AB3308" s="283"/>
      <c r="AC3308" s="283"/>
      <c r="AD3308" s="283"/>
      <c r="AE3308" s="49">
        <v>1</v>
      </c>
      <c r="AF3308" s="64"/>
      <c r="AG3308" s="283"/>
      <c r="AH3308" s="259">
        <v>1</v>
      </c>
      <c r="AI3308" s="259">
        <v>1</v>
      </c>
      <c r="AJ3308" s="259">
        <v>1</v>
      </c>
      <c r="AK3308" s="260">
        <v>1</v>
      </c>
      <c r="AL3308" s="260">
        <v>1</v>
      </c>
      <c r="AM3308" s="259">
        <v>2</v>
      </c>
      <c r="AN3308" s="18" t="s">
        <v>280</v>
      </c>
      <c r="AO3308" s="18" t="s">
        <v>1151</v>
      </c>
      <c r="AP3308" s="18" t="s">
        <v>11669</v>
      </c>
    </row>
    <row r="3309" spans="1:42" customFormat="1" x14ac:dyDescent="0.3">
      <c r="A3309" s="18" t="s">
        <v>1463</v>
      </c>
      <c r="B3309" s="18" t="s">
        <v>5664</v>
      </c>
      <c r="C3309" s="18" t="s">
        <v>1468</v>
      </c>
      <c r="D3309" s="18" t="s">
        <v>6209</v>
      </c>
      <c r="E3309" s="18" t="s">
        <v>1469</v>
      </c>
      <c r="F3309" s="18" t="s">
        <v>6210</v>
      </c>
      <c r="G3309" s="18" t="s">
        <v>6244</v>
      </c>
      <c r="H3309" s="157" t="s">
        <v>6245</v>
      </c>
      <c r="I3309" s="18"/>
      <c r="J3309" s="18"/>
      <c r="K3309" s="18" t="s">
        <v>6276</v>
      </c>
      <c r="L3309" s="223" t="s">
        <v>6277</v>
      </c>
      <c r="M3309" s="162" t="s">
        <v>6287</v>
      </c>
      <c r="N3309" s="18"/>
      <c r="O3309" s="18">
        <v>4</v>
      </c>
      <c r="P3309" s="16">
        <v>4</v>
      </c>
      <c r="Q3309" s="16">
        <v>4</v>
      </c>
      <c r="R3309" s="16">
        <v>4</v>
      </c>
      <c r="S3309" s="16">
        <v>4</v>
      </c>
      <c r="T3309" s="18" t="s">
        <v>280</v>
      </c>
      <c r="U3309" t="s">
        <v>1151</v>
      </c>
      <c r="V3309" s="18" t="s">
        <v>6288</v>
      </c>
      <c r="W3309" s="283"/>
      <c r="X3309" s="283"/>
      <c r="Y3309" s="283"/>
      <c r="Z3309" s="283"/>
      <c r="AA3309" s="283"/>
      <c r="AB3309" s="283"/>
      <c r="AC3309" s="283"/>
      <c r="AD3309" s="283"/>
      <c r="AE3309" s="49">
        <v>1</v>
      </c>
      <c r="AF3309" s="64"/>
      <c r="AG3309" s="283"/>
      <c r="AH3309" s="259">
        <v>0.2</v>
      </c>
      <c r="AI3309" s="259">
        <v>0.2</v>
      </c>
      <c r="AJ3309" s="259">
        <v>0.2</v>
      </c>
      <c r="AK3309" s="260">
        <v>0.2</v>
      </c>
      <c r="AL3309" s="260">
        <v>0.2</v>
      </c>
      <c r="AM3309" s="259">
        <v>0.4</v>
      </c>
      <c r="AN3309" s="18" t="s">
        <v>280</v>
      </c>
      <c r="AO3309" s="18" t="s">
        <v>1151</v>
      </c>
      <c r="AP3309" s="18"/>
    </row>
    <row r="3310" spans="1:42" customFormat="1" x14ac:dyDescent="0.3">
      <c r="A3310" s="18" t="s">
        <v>1463</v>
      </c>
      <c r="B3310" s="18" t="s">
        <v>5664</v>
      </c>
      <c r="C3310" s="18" t="s">
        <v>1468</v>
      </c>
      <c r="D3310" s="18" t="s">
        <v>6209</v>
      </c>
      <c r="E3310" s="18" t="s">
        <v>1469</v>
      </c>
      <c r="F3310" s="18" t="s">
        <v>6210</v>
      </c>
      <c r="G3310" s="18" t="s">
        <v>6244</v>
      </c>
      <c r="H3310" s="157" t="s">
        <v>6245</v>
      </c>
      <c r="I3310" s="18"/>
      <c r="J3310" s="18"/>
      <c r="K3310" s="18" t="s">
        <v>6276</v>
      </c>
      <c r="L3310" s="223" t="s">
        <v>6277</v>
      </c>
      <c r="M3310" s="162" t="s">
        <v>6289</v>
      </c>
      <c r="N3310" s="18"/>
      <c r="O3310" s="18">
        <v>4</v>
      </c>
      <c r="P3310" s="16">
        <v>4</v>
      </c>
      <c r="Q3310" s="16">
        <v>4</v>
      </c>
      <c r="R3310" s="16">
        <v>4</v>
      </c>
      <c r="S3310" s="16">
        <v>4</v>
      </c>
      <c r="T3310" s="18" t="s">
        <v>280</v>
      </c>
      <c r="U3310" t="s">
        <v>1151</v>
      </c>
      <c r="V3310" s="18" t="s">
        <v>6290</v>
      </c>
      <c r="W3310" s="283"/>
      <c r="X3310" s="283"/>
      <c r="Y3310" s="283"/>
      <c r="Z3310" s="283"/>
      <c r="AA3310" s="283"/>
      <c r="AB3310" s="283"/>
      <c r="AC3310" s="283"/>
      <c r="AD3310" s="283"/>
      <c r="AE3310" s="49">
        <v>1</v>
      </c>
      <c r="AF3310" s="64"/>
      <c r="AG3310" s="283"/>
      <c r="AH3310" s="259">
        <v>0.1</v>
      </c>
      <c r="AI3310" s="259">
        <v>0.1</v>
      </c>
      <c r="AJ3310" s="259">
        <v>0.1</v>
      </c>
      <c r="AK3310" s="260">
        <v>0.5</v>
      </c>
      <c r="AL3310" s="260">
        <v>0.1</v>
      </c>
      <c r="AM3310" s="259">
        <v>0.2</v>
      </c>
      <c r="AN3310" s="18" t="s">
        <v>280</v>
      </c>
      <c r="AO3310" s="18" t="s">
        <v>1151</v>
      </c>
      <c r="AP3310" s="18"/>
    </row>
    <row r="3311" spans="1:42" customFormat="1" x14ac:dyDescent="0.3">
      <c r="A3311" s="18" t="s">
        <v>1463</v>
      </c>
      <c r="B3311" s="18" t="s">
        <v>5664</v>
      </c>
      <c r="C3311" s="18" t="s">
        <v>1468</v>
      </c>
      <c r="D3311" s="18" t="s">
        <v>6209</v>
      </c>
      <c r="E3311" s="18" t="s">
        <v>1469</v>
      </c>
      <c r="F3311" s="18" t="s">
        <v>6210</v>
      </c>
      <c r="G3311" s="18" t="s">
        <v>6244</v>
      </c>
      <c r="H3311" s="157" t="s">
        <v>6245</v>
      </c>
      <c r="I3311" s="18"/>
      <c r="J3311" s="18"/>
      <c r="K3311" s="18" t="s">
        <v>6276</v>
      </c>
      <c r="L3311" s="223" t="s">
        <v>6277</v>
      </c>
      <c r="M3311" s="162" t="s">
        <v>6291</v>
      </c>
      <c r="N3311" s="18"/>
      <c r="O3311" s="18">
        <v>4</v>
      </c>
      <c r="P3311" s="16">
        <v>4</v>
      </c>
      <c r="Q3311" s="16">
        <v>4</v>
      </c>
      <c r="R3311" s="16">
        <v>4</v>
      </c>
      <c r="S3311" s="16">
        <v>4</v>
      </c>
      <c r="T3311" s="18" t="s">
        <v>280</v>
      </c>
      <c r="U3311" t="s">
        <v>1151</v>
      </c>
      <c r="V3311" s="18" t="s">
        <v>6292</v>
      </c>
      <c r="W3311" s="283"/>
      <c r="X3311" s="283"/>
      <c r="Y3311" s="283"/>
      <c r="Z3311" s="283"/>
      <c r="AA3311" s="283"/>
      <c r="AB3311" s="283"/>
      <c r="AC3311" s="283"/>
      <c r="AD3311" s="283"/>
      <c r="AE3311" s="49">
        <v>1</v>
      </c>
      <c r="AF3311" s="64"/>
      <c r="AG3311" s="283"/>
      <c r="AH3311" s="259">
        <v>0.1</v>
      </c>
      <c r="AI3311" s="259">
        <v>0.1</v>
      </c>
      <c r="AJ3311" s="259">
        <v>0.1</v>
      </c>
      <c r="AK3311" s="260">
        <v>0.5</v>
      </c>
      <c r="AL3311" s="260">
        <v>0.1</v>
      </c>
      <c r="AM3311" s="259">
        <v>0.2</v>
      </c>
      <c r="AN3311" s="18" t="s">
        <v>280</v>
      </c>
      <c r="AO3311" s="18" t="s">
        <v>1151</v>
      </c>
      <c r="AP3311" s="18"/>
    </row>
    <row r="3312" spans="1:42" customFormat="1" x14ac:dyDescent="0.3">
      <c r="A3312" s="18" t="s">
        <v>1463</v>
      </c>
      <c r="B3312" s="18" t="s">
        <v>5664</v>
      </c>
      <c r="C3312" s="18" t="s">
        <v>1468</v>
      </c>
      <c r="D3312" s="18" t="s">
        <v>6209</v>
      </c>
      <c r="E3312" s="18" t="s">
        <v>1469</v>
      </c>
      <c r="F3312" s="18" t="s">
        <v>6210</v>
      </c>
      <c r="G3312" s="18" t="s">
        <v>6293</v>
      </c>
      <c r="H3312" s="157" t="s">
        <v>6294</v>
      </c>
      <c r="I3312" s="18" t="s">
        <v>6295</v>
      </c>
      <c r="J3312" s="18" t="s">
        <v>6296</v>
      </c>
      <c r="K3312" s="18" t="s">
        <v>6297</v>
      </c>
      <c r="L3312" s="18" t="s">
        <v>6298</v>
      </c>
      <c r="M3312" s="18" t="s">
        <v>6299</v>
      </c>
      <c r="N3312" s="18"/>
      <c r="O3312" s="18">
        <v>20</v>
      </c>
      <c r="P3312" s="16">
        <v>30</v>
      </c>
      <c r="Q3312" s="16">
        <v>45</v>
      </c>
      <c r="R3312" s="16">
        <v>50</v>
      </c>
      <c r="S3312" s="16">
        <v>55</v>
      </c>
      <c r="T3312" s="18" t="s">
        <v>6300</v>
      </c>
      <c r="U3312" t="s">
        <v>6301</v>
      </c>
      <c r="V3312" s="18" t="s">
        <v>6302</v>
      </c>
      <c r="W3312" s="283"/>
      <c r="X3312" s="283"/>
      <c r="Y3312" s="283"/>
      <c r="Z3312" s="283"/>
      <c r="AA3312" s="283"/>
      <c r="AB3312" s="283"/>
      <c r="AC3312" s="283"/>
      <c r="AD3312" s="283"/>
      <c r="AE3312" s="49">
        <v>1</v>
      </c>
      <c r="AF3312" s="64"/>
      <c r="AG3312" s="283"/>
      <c r="AH3312" s="259">
        <v>0.7</v>
      </c>
      <c r="AI3312" s="259">
        <v>0.7</v>
      </c>
      <c r="AJ3312" s="259">
        <v>0.7</v>
      </c>
      <c r="AK3312" s="260">
        <v>0.9</v>
      </c>
      <c r="AL3312" s="260">
        <v>0</v>
      </c>
      <c r="AM3312" s="259">
        <v>0.7</v>
      </c>
      <c r="AN3312" s="18" t="s">
        <v>6300</v>
      </c>
      <c r="AO3312" s="18" t="s">
        <v>6301</v>
      </c>
      <c r="AP3312" s="18" t="s">
        <v>6303</v>
      </c>
    </row>
    <row r="3313" spans="1:42" customFormat="1" x14ac:dyDescent="0.3">
      <c r="A3313" s="18" t="s">
        <v>1463</v>
      </c>
      <c r="B3313" s="18" t="s">
        <v>5664</v>
      </c>
      <c r="C3313" s="18" t="s">
        <v>1468</v>
      </c>
      <c r="D3313" s="18" t="s">
        <v>6209</v>
      </c>
      <c r="E3313" s="18" t="s">
        <v>1469</v>
      </c>
      <c r="F3313" s="18" t="s">
        <v>6210</v>
      </c>
      <c r="G3313" s="18" t="s">
        <v>6293</v>
      </c>
      <c r="H3313" s="157" t="s">
        <v>6294</v>
      </c>
      <c r="I3313" s="18" t="s">
        <v>6295</v>
      </c>
      <c r="J3313" s="18" t="s">
        <v>6296</v>
      </c>
      <c r="K3313" s="18" t="s">
        <v>6297</v>
      </c>
      <c r="L3313" s="18" t="s">
        <v>6298</v>
      </c>
      <c r="M3313" s="464" t="s">
        <v>6304</v>
      </c>
      <c r="N3313" s="18" t="s">
        <v>271</v>
      </c>
      <c r="O3313" s="18">
        <v>10</v>
      </c>
      <c r="P3313" s="16">
        <v>10</v>
      </c>
      <c r="Q3313" s="16">
        <v>40</v>
      </c>
      <c r="R3313" s="16">
        <v>60</v>
      </c>
      <c r="S3313" s="16"/>
      <c r="T3313" s="18" t="s">
        <v>6300</v>
      </c>
      <c r="U3313" t="s">
        <v>6301</v>
      </c>
      <c r="V3313" s="18" t="s">
        <v>6305</v>
      </c>
      <c r="W3313" s="283"/>
      <c r="X3313" s="283"/>
      <c r="Y3313" s="283"/>
      <c r="Z3313" s="283"/>
      <c r="AA3313" s="283"/>
      <c r="AB3313" s="283"/>
      <c r="AC3313" s="283"/>
      <c r="AD3313" s="283"/>
      <c r="AE3313" s="49">
        <v>1</v>
      </c>
      <c r="AF3313" s="64"/>
      <c r="AG3313" s="283"/>
      <c r="AH3313" s="259">
        <v>0.23</v>
      </c>
      <c r="AI3313" s="259">
        <v>0.23</v>
      </c>
      <c r="AJ3313" s="259">
        <v>0.23</v>
      </c>
      <c r="AK3313" s="260">
        <v>0.23</v>
      </c>
      <c r="AL3313" s="260">
        <v>0.23</v>
      </c>
      <c r="AM3313" s="259">
        <v>0.46</v>
      </c>
      <c r="AN3313" s="18" t="s">
        <v>6300</v>
      </c>
      <c r="AO3313" s="18" t="s">
        <v>6301</v>
      </c>
      <c r="AP3313" s="18" t="s">
        <v>6306</v>
      </c>
    </row>
    <row r="3314" spans="1:42" customFormat="1" x14ac:dyDescent="0.3">
      <c r="A3314" s="18" t="s">
        <v>1463</v>
      </c>
      <c r="B3314" s="18" t="s">
        <v>5664</v>
      </c>
      <c r="C3314" s="18" t="s">
        <v>1468</v>
      </c>
      <c r="D3314" s="18" t="s">
        <v>6209</v>
      </c>
      <c r="E3314" s="18" t="s">
        <v>1469</v>
      </c>
      <c r="F3314" s="18" t="s">
        <v>6210</v>
      </c>
      <c r="G3314" s="18" t="s">
        <v>6293</v>
      </c>
      <c r="H3314" s="157" t="s">
        <v>6294</v>
      </c>
      <c r="I3314" s="18" t="s">
        <v>6295</v>
      </c>
      <c r="J3314" s="18" t="s">
        <v>6296</v>
      </c>
      <c r="K3314" s="18" t="s">
        <v>6307</v>
      </c>
      <c r="L3314" s="18" t="s">
        <v>6308</v>
      </c>
      <c r="M3314" s="18" t="s">
        <v>6309</v>
      </c>
      <c r="N3314" s="18"/>
      <c r="O3314" s="18">
        <v>50</v>
      </c>
      <c r="P3314" s="16">
        <v>50</v>
      </c>
      <c r="Q3314" s="16">
        <v>50</v>
      </c>
      <c r="R3314" s="16"/>
      <c r="S3314" s="16"/>
      <c r="T3314" s="18" t="s">
        <v>6300</v>
      </c>
      <c r="U3314" t="s">
        <v>6301</v>
      </c>
      <c r="V3314" s="18" t="s">
        <v>6310</v>
      </c>
      <c r="W3314" s="283"/>
      <c r="X3314" s="283"/>
      <c r="Y3314" s="283"/>
      <c r="Z3314" s="283"/>
      <c r="AA3314" s="283"/>
      <c r="AB3314" s="283"/>
      <c r="AC3314" s="283"/>
      <c r="AD3314" s="283"/>
      <c r="AE3314" s="49">
        <v>1</v>
      </c>
      <c r="AF3314" s="64"/>
      <c r="AG3314" s="283"/>
      <c r="AH3314" s="259">
        <v>0.7</v>
      </c>
      <c r="AI3314" s="259">
        <v>0.7</v>
      </c>
      <c r="AJ3314" s="259">
        <v>0.7</v>
      </c>
      <c r="AK3314" s="260">
        <v>0.7</v>
      </c>
      <c r="AL3314" s="260">
        <v>0.7</v>
      </c>
      <c r="AM3314" s="259">
        <v>1.4</v>
      </c>
      <c r="AN3314" s="18" t="s">
        <v>6300</v>
      </c>
      <c r="AO3314" s="18" t="s">
        <v>6301</v>
      </c>
      <c r="AP3314" s="18"/>
    </row>
    <row r="3315" spans="1:42" customFormat="1" x14ac:dyDescent="0.3">
      <c r="A3315" s="18" t="s">
        <v>1463</v>
      </c>
      <c r="B3315" s="18" t="s">
        <v>5664</v>
      </c>
      <c r="C3315" s="18" t="s">
        <v>1468</v>
      </c>
      <c r="D3315" s="18" t="s">
        <v>6209</v>
      </c>
      <c r="E3315" s="18" t="s">
        <v>1469</v>
      </c>
      <c r="F3315" s="18" t="s">
        <v>6210</v>
      </c>
      <c r="G3315" s="18" t="s">
        <v>6293</v>
      </c>
      <c r="H3315" s="157" t="s">
        <v>6294</v>
      </c>
      <c r="I3315" s="18" t="s">
        <v>6295</v>
      </c>
      <c r="J3315" s="18" t="s">
        <v>6296</v>
      </c>
      <c r="K3315" s="18" t="s">
        <v>6311</v>
      </c>
      <c r="L3315" s="18" t="s">
        <v>6312</v>
      </c>
      <c r="M3315" s="18" t="s">
        <v>6313</v>
      </c>
      <c r="N3315" s="18"/>
      <c r="O3315" s="18">
        <v>6</v>
      </c>
      <c r="P3315" s="16">
        <v>6</v>
      </c>
      <c r="Q3315" s="16">
        <v>6</v>
      </c>
      <c r="R3315" s="16">
        <v>6</v>
      </c>
      <c r="S3315" s="16">
        <v>6</v>
      </c>
      <c r="T3315" s="18" t="s">
        <v>6300</v>
      </c>
      <c r="U3315" t="s">
        <v>6301</v>
      </c>
      <c r="V3315" s="18" t="s">
        <v>6314</v>
      </c>
      <c r="W3315" s="283"/>
      <c r="X3315" s="283"/>
      <c r="Y3315" s="283"/>
      <c r="Z3315" s="283"/>
      <c r="AA3315" s="283"/>
      <c r="AB3315" s="283"/>
      <c r="AC3315" s="283"/>
      <c r="AD3315" s="283"/>
      <c r="AE3315" s="49">
        <v>1</v>
      </c>
      <c r="AF3315" s="64"/>
      <c r="AG3315" s="283"/>
      <c r="AH3315" s="259">
        <v>0.04</v>
      </c>
      <c r="AI3315" s="259">
        <v>0.04</v>
      </c>
      <c r="AJ3315" s="259">
        <v>0.04</v>
      </c>
      <c r="AK3315" s="260">
        <v>0.1</v>
      </c>
      <c r="AL3315" s="260">
        <v>0.04</v>
      </c>
      <c r="AM3315" s="259">
        <v>0.08</v>
      </c>
      <c r="AN3315" s="18" t="s">
        <v>6300</v>
      </c>
      <c r="AO3315" s="18" t="s">
        <v>6301</v>
      </c>
      <c r="AP3315" s="18"/>
    </row>
    <row r="3316" spans="1:42" customFormat="1" x14ac:dyDescent="0.3">
      <c r="A3316" s="18" t="s">
        <v>1463</v>
      </c>
      <c r="B3316" s="18" t="s">
        <v>5664</v>
      </c>
      <c r="C3316" s="18" t="s">
        <v>1468</v>
      </c>
      <c r="D3316" s="18" t="s">
        <v>6209</v>
      </c>
      <c r="E3316" s="18" t="s">
        <v>1469</v>
      </c>
      <c r="F3316" s="18" t="s">
        <v>6210</v>
      </c>
      <c r="G3316" s="18" t="s">
        <v>6293</v>
      </c>
      <c r="H3316" s="157" t="s">
        <v>6294</v>
      </c>
      <c r="I3316" s="18" t="s">
        <v>6295</v>
      </c>
      <c r="J3316" s="18" t="s">
        <v>6296</v>
      </c>
      <c r="K3316" s="18" t="s">
        <v>6315</v>
      </c>
      <c r="L3316" s="18" t="s">
        <v>6316</v>
      </c>
      <c r="M3316" s="18" t="s">
        <v>6317</v>
      </c>
      <c r="N3316" s="18"/>
      <c r="O3316" s="18">
        <v>1</v>
      </c>
      <c r="P3316" s="16">
        <v>1</v>
      </c>
      <c r="Q3316" s="16">
        <v>1</v>
      </c>
      <c r="R3316" s="16">
        <v>1</v>
      </c>
      <c r="S3316" s="16">
        <v>1</v>
      </c>
      <c r="T3316" s="18" t="s">
        <v>6300</v>
      </c>
      <c r="U3316" t="s">
        <v>6301</v>
      </c>
      <c r="V3316" s="18" t="s">
        <v>6318</v>
      </c>
      <c r="W3316" s="283"/>
      <c r="X3316" s="283"/>
      <c r="Y3316" s="283"/>
      <c r="Z3316" s="283"/>
      <c r="AA3316" s="283"/>
      <c r="AB3316" s="283"/>
      <c r="AC3316" s="283"/>
      <c r="AD3316" s="283"/>
      <c r="AE3316" s="49">
        <v>1</v>
      </c>
      <c r="AF3316" s="64"/>
      <c r="AG3316" s="283"/>
      <c r="AH3316" s="259">
        <v>0.16</v>
      </c>
      <c r="AI3316" s="259">
        <v>0.16</v>
      </c>
      <c r="AJ3316" s="259">
        <v>0.16</v>
      </c>
      <c r="AK3316" s="260">
        <v>0.16</v>
      </c>
      <c r="AL3316" s="260">
        <v>0.16</v>
      </c>
      <c r="AM3316" s="259">
        <v>0.32</v>
      </c>
      <c r="AN3316" s="18" t="s">
        <v>6300</v>
      </c>
      <c r="AO3316" s="18" t="s">
        <v>6301</v>
      </c>
      <c r="AP3316" s="18"/>
    </row>
    <row r="3317" spans="1:42" customFormat="1" x14ac:dyDescent="0.3">
      <c r="A3317" s="18" t="s">
        <v>1463</v>
      </c>
      <c r="B3317" s="18" t="s">
        <v>5664</v>
      </c>
      <c r="C3317" s="18" t="s">
        <v>1468</v>
      </c>
      <c r="D3317" s="18" t="s">
        <v>6209</v>
      </c>
      <c r="E3317" s="18" t="s">
        <v>1469</v>
      </c>
      <c r="F3317" s="18" t="s">
        <v>6210</v>
      </c>
      <c r="G3317" s="18" t="s">
        <v>6293</v>
      </c>
      <c r="H3317" s="157" t="s">
        <v>6294</v>
      </c>
      <c r="I3317" s="18" t="s">
        <v>6295</v>
      </c>
      <c r="J3317" s="18" t="s">
        <v>6296</v>
      </c>
      <c r="K3317" s="18" t="s">
        <v>6315</v>
      </c>
      <c r="L3317" s="18" t="s">
        <v>6316</v>
      </c>
      <c r="M3317" s="18" t="s">
        <v>6319</v>
      </c>
      <c r="N3317" s="18"/>
      <c r="O3317" s="18"/>
      <c r="P3317" s="16">
        <v>1</v>
      </c>
      <c r="Q3317" s="16"/>
      <c r="R3317" s="16"/>
      <c r="S3317" s="16"/>
      <c r="T3317" s="18" t="s">
        <v>6300</v>
      </c>
      <c r="U3317" t="s">
        <v>6301</v>
      </c>
      <c r="V3317" s="18" t="s">
        <v>6320</v>
      </c>
      <c r="W3317" s="283"/>
      <c r="X3317" s="283"/>
      <c r="Y3317" s="283"/>
      <c r="Z3317" s="283"/>
      <c r="AA3317" s="283"/>
      <c r="AB3317" s="283"/>
      <c r="AC3317" s="283"/>
      <c r="AD3317" s="283"/>
      <c r="AE3317" s="49">
        <v>1</v>
      </c>
      <c r="AF3317" s="64"/>
      <c r="AG3317" s="283"/>
      <c r="AH3317" s="259">
        <v>0.15</v>
      </c>
      <c r="AI3317" s="259">
        <v>0.15</v>
      </c>
      <c r="AJ3317" s="259">
        <v>0.15</v>
      </c>
      <c r="AK3317" s="260">
        <v>0.15</v>
      </c>
      <c r="AL3317" s="260">
        <v>0.15</v>
      </c>
      <c r="AM3317" s="259">
        <v>0.3</v>
      </c>
      <c r="AN3317" s="18" t="s">
        <v>6300</v>
      </c>
      <c r="AO3317" s="18" t="s">
        <v>6301</v>
      </c>
      <c r="AP3317" s="18"/>
    </row>
    <row r="3318" spans="1:42" customFormat="1" x14ac:dyDescent="0.3">
      <c r="A3318" s="18" t="s">
        <v>1463</v>
      </c>
      <c r="B3318" s="18" t="s">
        <v>5664</v>
      </c>
      <c r="C3318" s="18" t="s">
        <v>1468</v>
      </c>
      <c r="D3318" s="18" t="s">
        <v>6209</v>
      </c>
      <c r="E3318" s="18" t="s">
        <v>1469</v>
      </c>
      <c r="F3318" s="18" t="s">
        <v>6210</v>
      </c>
      <c r="G3318" s="18" t="s">
        <v>6293</v>
      </c>
      <c r="H3318" s="157" t="s">
        <v>6294</v>
      </c>
      <c r="I3318" s="18" t="s">
        <v>6295</v>
      </c>
      <c r="J3318" s="18" t="s">
        <v>6296</v>
      </c>
      <c r="K3318" s="18" t="s">
        <v>6315</v>
      </c>
      <c r="L3318" s="18" t="s">
        <v>6316</v>
      </c>
      <c r="M3318" s="18" t="s">
        <v>6321</v>
      </c>
      <c r="N3318" s="18"/>
      <c r="O3318" s="18">
        <v>1</v>
      </c>
      <c r="P3318" s="16">
        <v>1</v>
      </c>
      <c r="Q3318" s="16">
        <v>1</v>
      </c>
      <c r="R3318" s="16">
        <v>1</v>
      </c>
      <c r="S3318" s="16">
        <v>1</v>
      </c>
      <c r="T3318" s="18" t="s">
        <v>6300</v>
      </c>
      <c r="U3318" t="s">
        <v>6301</v>
      </c>
      <c r="V3318" s="18" t="s">
        <v>6322</v>
      </c>
      <c r="W3318" s="283"/>
      <c r="X3318" s="283"/>
      <c r="Y3318" s="283"/>
      <c r="Z3318" s="283"/>
      <c r="AA3318" s="283"/>
      <c r="AB3318" s="283"/>
      <c r="AC3318" s="283"/>
      <c r="AD3318" s="283"/>
      <c r="AE3318" s="49">
        <v>1</v>
      </c>
      <c r="AF3318" s="64"/>
      <c r="AG3318" s="283"/>
      <c r="AH3318" s="259">
        <v>0.04</v>
      </c>
      <c r="AI3318" s="259">
        <v>0.04</v>
      </c>
      <c r="AJ3318" s="259">
        <v>0.04</v>
      </c>
      <c r="AK3318" s="260">
        <v>0.1</v>
      </c>
      <c r="AL3318" s="260">
        <v>0.04</v>
      </c>
      <c r="AM3318" s="259">
        <v>0.08</v>
      </c>
      <c r="AN3318" s="18" t="s">
        <v>6300</v>
      </c>
      <c r="AO3318" s="18" t="s">
        <v>6301</v>
      </c>
      <c r="AP3318" s="18"/>
    </row>
    <row r="3319" spans="1:42" customFormat="1" x14ac:dyDescent="0.3">
      <c r="A3319" s="18" t="s">
        <v>1463</v>
      </c>
      <c r="B3319" s="18" t="s">
        <v>5664</v>
      </c>
      <c r="C3319" s="18" t="s">
        <v>1468</v>
      </c>
      <c r="D3319" s="18" t="s">
        <v>6209</v>
      </c>
      <c r="E3319" s="18" t="s">
        <v>1469</v>
      </c>
      <c r="F3319" s="18" t="s">
        <v>6210</v>
      </c>
      <c r="G3319" s="18" t="s">
        <v>6293</v>
      </c>
      <c r="H3319" s="157" t="s">
        <v>6294</v>
      </c>
      <c r="I3319" s="18" t="s">
        <v>6295</v>
      </c>
      <c r="J3319" s="18" t="s">
        <v>6296</v>
      </c>
      <c r="K3319" s="18" t="s">
        <v>6323</v>
      </c>
      <c r="L3319" s="18" t="s">
        <v>6324</v>
      </c>
      <c r="M3319" s="18" t="s">
        <v>6325</v>
      </c>
      <c r="N3319" s="162"/>
      <c r="O3319" s="18"/>
      <c r="P3319" s="16">
        <v>1</v>
      </c>
      <c r="Q3319" s="16">
        <v>1</v>
      </c>
      <c r="R3319" s="16">
        <v>1</v>
      </c>
      <c r="S3319" s="16"/>
      <c r="T3319" s="18" t="s">
        <v>6300</v>
      </c>
      <c r="U3319" t="s">
        <v>6301</v>
      </c>
      <c r="V3319" s="18" t="s">
        <v>6326</v>
      </c>
      <c r="W3319" s="283"/>
      <c r="X3319" s="283"/>
      <c r="Y3319" s="283"/>
      <c r="Z3319" s="283"/>
      <c r="AA3319" s="283"/>
      <c r="AB3319" s="283"/>
      <c r="AC3319" s="283"/>
      <c r="AD3319" s="283"/>
      <c r="AE3319" s="49">
        <v>1</v>
      </c>
      <c r="AF3319" s="64"/>
      <c r="AG3319" s="283"/>
      <c r="AH3319" s="259"/>
      <c r="AI3319" s="259">
        <v>0.5</v>
      </c>
      <c r="AJ3319" s="259">
        <v>0.5</v>
      </c>
      <c r="AK3319" s="260">
        <v>0.5</v>
      </c>
      <c r="AL3319" s="260">
        <v>0.5</v>
      </c>
      <c r="AM3319" s="259">
        <v>1</v>
      </c>
      <c r="AN3319" s="18" t="s">
        <v>6300</v>
      </c>
      <c r="AO3319" s="18" t="s">
        <v>6301</v>
      </c>
      <c r="AP3319" s="18"/>
    </row>
    <row r="3320" spans="1:42" customFormat="1" x14ac:dyDescent="0.3">
      <c r="A3320" s="18" t="s">
        <v>1463</v>
      </c>
      <c r="B3320" s="18" t="s">
        <v>5664</v>
      </c>
      <c r="C3320" s="18" t="s">
        <v>1468</v>
      </c>
      <c r="D3320" s="18" t="s">
        <v>6209</v>
      </c>
      <c r="E3320" s="18" t="s">
        <v>1469</v>
      </c>
      <c r="F3320" s="18" t="s">
        <v>6210</v>
      </c>
      <c r="G3320" s="18" t="s">
        <v>6293</v>
      </c>
      <c r="H3320" s="157" t="s">
        <v>6294</v>
      </c>
      <c r="I3320" s="18" t="s">
        <v>6295</v>
      </c>
      <c r="J3320" s="18" t="s">
        <v>6296</v>
      </c>
      <c r="K3320" s="18" t="s">
        <v>6327</v>
      </c>
      <c r="L3320" s="18" t="s">
        <v>6328</v>
      </c>
      <c r="M3320" s="18" t="s">
        <v>6329</v>
      </c>
      <c r="N3320" s="162"/>
      <c r="O3320" s="18">
        <v>1</v>
      </c>
      <c r="P3320" s="16">
        <v>1</v>
      </c>
      <c r="Q3320" s="16">
        <v>1</v>
      </c>
      <c r="R3320" s="16">
        <v>1</v>
      </c>
      <c r="S3320" s="16">
        <v>1</v>
      </c>
      <c r="T3320" s="18" t="s">
        <v>6300</v>
      </c>
      <c r="U3320" t="s">
        <v>6301</v>
      </c>
      <c r="V3320" s="18" t="s">
        <v>6330</v>
      </c>
      <c r="W3320" s="283"/>
      <c r="X3320" s="283"/>
      <c r="Y3320" s="283"/>
      <c r="Z3320" s="283"/>
      <c r="AA3320" s="283"/>
      <c r="AB3320" s="283"/>
      <c r="AC3320" s="283"/>
      <c r="AD3320" s="283"/>
      <c r="AE3320" s="49">
        <v>1</v>
      </c>
      <c r="AF3320" s="64"/>
      <c r="AG3320" s="283"/>
      <c r="AH3320" s="259">
        <v>0.02</v>
      </c>
      <c r="AI3320" s="259">
        <v>0.02</v>
      </c>
      <c r="AJ3320" s="259">
        <v>0.02</v>
      </c>
      <c r="AK3320" s="260">
        <v>0.1</v>
      </c>
      <c r="AL3320" s="260">
        <v>0.02</v>
      </c>
      <c r="AM3320" s="259">
        <v>0.04</v>
      </c>
      <c r="AN3320" s="18" t="s">
        <v>6300</v>
      </c>
      <c r="AO3320" s="18" t="s">
        <v>6301</v>
      </c>
      <c r="AP3320" s="18"/>
    </row>
    <row r="3321" spans="1:42" customFormat="1" x14ac:dyDescent="0.3">
      <c r="A3321" s="18" t="s">
        <v>1463</v>
      </c>
      <c r="B3321" s="18" t="s">
        <v>5664</v>
      </c>
      <c r="C3321" s="18" t="s">
        <v>1468</v>
      </c>
      <c r="D3321" s="18" t="s">
        <v>6209</v>
      </c>
      <c r="E3321" s="18" t="s">
        <v>1469</v>
      </c>
      <c r="F3321" s="18" t="s">
        <v>6210</v>
      </c>
      <c r="G3321" s="18" t="s">
        <v>6293</v>
      </c>
      <c r="H3321" s="157" t="s">
        <v>6294</v>
      </c>
      <c r="I3321" s="18" t="s">
        <v>6295</v>
      </c>
      <c r="J3321" s="18" t="s">
        <v>6296</v>
      </c>
      <c r="K3321" s="18" t="s">
        <v>6331</v>
      </c>
      <c r="L3321" s="18" t="s">
        <v>6332</v>
      </c>
      <c r="M3321" s="18" t="s">
        <v>6333</v>
      </c>
      <c r="N3321" s="162"/>
      <c r="O3321" s="18">
        <v>40</v>
      </c>
      <c r="P3321" s="16">
        <v>40</v>
      </c>
      <c r="Q3321" s="16">
        <v>40</v>
      </c>
      <c r="R3321" s="16">
        <v>40</v>
      </c>
      <c r="S3321" s="16">
        <v>40</v>
      </c>
      <c r="T3321" s="18" t="s">
        <v>6300</v>
      </c>
      <c r="U3321" t="s">
        <v>6301</v>
      </c>
      <c r="V3321" s="18" t="s">
        <v>6334</v>
      </c>
      <c r="W3321" s="283"/>
      <c r="X3321" s="283"/>
      <c r="Y3321" s="283"/>
      <c r="Z3321" s="283"/>
      <c r="AA3321" s="283"/>
      <c r="AB3321" s="283"/>
      <c r="AC3321" s="283"/>
      <c r="AD3321" s="283"/>
      <c r="AE3321" s="49">
        <v>1</v>
      </c>
      <c r="AF3321" s="64"/>
      <c r="AG3321" s="283"/>
      <c r="AH3321" s="259">
        <v>0.25</v>
      </c>
      <c r="AI3321" s="259">
        <v>0.25</v>
      </c>
      <c r="AJ3321" s="259">
        <v>0.25</v>
      </c>
      <c r="AK3321" s="260">
        <v>0.25</v>
      </c>
      <c r="AL3321" s="260">
        <v>0.25</v>
      </c>
      <c r="AM3321" s="259">
        <v>0.5</v>
      </c>
      <c r="AN3321" s="18" t="s">
        <v>6300</v>
      </c>
      <c r="AO3321" s="18" t="s">
        <v>6301</v>
      </c>
      <c r="AP3321" s="18"/>
    </row>
    <row r="3322" spans="1:42" customFormat="1" x14ac:dyDescent="0.3">
      <c r="A3322" s="18" t="s">
        <v>1463</v>
      </c>
      <c r="B3322" s="18" t="s">
        <v>5664</v>
      </c>
      <c r="C3322" s="18" t="s">
        <v>1468</v>
      </c>
      <c r="D3322" s="18" t="s">
        <v>6209</v>
      </c>
      <c r="E3322" s="18" t="s">
        <v>1469</v>
      </c>
      <c r="F3322" s="18" t="s">
        <v>6210</v>
      </c>
      <c r="G3322" s="18" t="s">
        <v>6293</v>
      </c>
      <c r="H3322" s="157" t="s">
        <v>6294</v>
      </c>
      <c r="I3322" s="18" t="s">
        <v>6295</v>
      </c>
      <c r="J3322" s="18" t="s">
        <v>6296</v>
      </c>
      <c r="K3322" s="18" t="s">
        <v>6335</v>
      </c>
      <c r="L3322" s="18" t="s">
        <v>6336</v>
      </c>
      <c r="M3322" s="18" t="s">
        <v>6337</v>
      </c>
      <c r="N3322" s="162"/>
      <c r="O3322" s="18"/>
      <c r="P3322" s="16">
        <v>1</v>
      </c>
      <c r="Q3322" s="16"/>
      <c r="R3322" s="16"/>
      <c r="S3322" s="16"/>
      <c r="T3322" s="18" t="s">
        <v>6300</v>
      </c>
      <c r="U3322" t="s">
        <v>6301</v>
      </c>
      <c r="V3322" s="18" t="s">
        <v>6338</v>
      </c>
      <c r="W3322" s="283"/>
      <c r="X3322" s="283"/>
      <c r="Y3322" s="283"/>
      <c r="Z3322" s="283"/>
      <c r="AA3322" s="283"/>
      <c r="AB3322" s="283"/>
      <c r="AC3322" s="283"/>
      <c r="AD3322" s="283"/>
      <c r="AE3322" s="49">
        <v>1</v>
      </c>
      <c r="AF3322" s="64"/>
      <c r="AG3322" s="283"/>
      <c r="AH3322" s="259"/>
      <c r="AI3322" s="259">
        <v>4.5</v>
      </c>
      <c r="AJ3322" s="259"/>
      <c r="AK3322" s="260">
        <v>2</v>
      </c>
      <c r="AL3322" s="260">
        <v>0.8</v>
      </c>
      <c r="AM3322" s="259">
        <v>1.6</v>
      </c>
      <c r="AN3322" s="18" t="s">
        <v>6300</v>
      </c>
      <c r="AO3322" s="18" t="s">
        <v>6301</v>
      </c>
      <c r="AP3322" s="18"/>
    </row>
    <row r="3323" spans="1:42" customFormat="1" x14ac:dyDescent="0.3">
      <c r="A3323" s="18" t="s">
        <v>1463</v>
      </c>
      <c r="B3323" s="18" t="s">
        <v>5664</v>
      </c>
      <c r="C3323" s="18" t="s">
        <v>1468</v>
      </c>
      <c r="D3323" s="18" t="s">
        <v>6209</v>
      </c>
      <c r="E3323" s="18" t="s">
        <v>1469</v>
      </c>
      <c r="F3323" s="18" t="s">
        <v>6210</v>
      </c>
      <c r="G3323" s="18" t="s">
        <v>6293</v>
      </c>
      <c r="H3323" s="157" t="s">
        <v>6294</v>
      </c>
      <c r="I3323" s="18" t="s">
        <v>6295</v>
      </c>
      <c r="J3323" s="18" t="s">
        <v>6296</v>
      </c>
      <c r="K3323" s="18" t="s">
        <v>6339</v>
      </c>
      <c r="L3323" s="18" t="s">
        <v>6340</v>
      </c>
      <c r="M3323" s="18" t="s">
        <v>6341</v>
      </c>
      <c r="N3323" s="162"/>
      <c r="O3323" s="18">
        <v>4</v>
      </c>
      <c r="P3323" s="16">
        <v>4</v>
      </c>
      <c r="Q3323" s="16">
        <v>4</v>
      </c>
      <c r="R3323" s="16">
        <v>4</v>
      </c>
      <c r="S3323" s="16">
        <v>4</v>
      </c>
      <c r="T3323" s="18" t="s">
        <v>6300</v>
      </c>
      <c r="U3323" t="s">
        <v>6301</v>
      </c>
      <c r="V3323" s="18" t="s">
        <v>6342</v>
      </c>
      <c r="W3323" s="283"/>
      <c r="X3323" s="283"/>
      <c r="Y3323" s="283"/>
      <c r="Z3323" s="283"/>
      <c r="AA3323" s="283"/>
      <c r="AB3323" s="283"/>
      <c r="AC3323" s="283"/>
      <c r="AD3323" s="283"/>
      <c r="AE3323" s="49">
        <v>1</v>
      </c>
      <c r="AF3323" s="64"/>
      <c r="AG3323" s="283"/>
      <c r="AH3323" s="259">
        <v>3.5000000000000003E-2</v>
      </c>
      <c r="AI3323" s="259">
        <v>3.5000000000000003E-2</v>
      </c>
      <c r="AJ3323" s="259">
        <v>3.5000000000000003E-2</v>
      </c>
      <c r="AK3323" s="260">
        <v>3.5000000000000003E-2</v>
      </c>
      <c r="AL3323" s="260">
        <v>3.5000000000000003E-2</v>
      </c>
      <c r="AM3323" s="259">
        <v>7.0000000000000007E-2</v>
      </c>
      <c r="AN3323" s="18" t="s">
        <v>6300</v>
      </c>
      <c r="AO3323" s="18" t="s">
        <v>6301</v>
      </c>
      <c r="AP3323" s="18"/>
    </row>
    <row r="3324" spans="1:42" customFormat="1" x14ac:dyDescent="0.3">
      <c r="A3324" s="18" t="s">
        <v>1463</v>
      </c>
      <c r="B3324" s="18" t="s">
        <v>5664</v>
      </c>
      <c r="C3324" s="18">
        <v>145</v>
      </c>
      <c r="D3324" s="18" t="s">
        <v>6343</v>
      </c>
      <c r="E3324" s="18">
        <v>1455</v>
      </c>
      <c r="F3324" s="18" t="s">
        <v>6344</v>
      </c>
      <c r="G3324" s="18" t="s">
        <v>6345</v>
      </c>
      <c r="H3324" s="157" t="s">
        <v>6346</v>
      </c>
      <c r="I3324" s="18" t="s">
        <v>6347</v>
      </c>
      <c r="J3324" s="18" t="s">
        <v>6348</v>
      </c>
      <c r="K3324" s="18" t="s">
        <v>6349</v>
      </c>
      <c r="L3324" s="18" t="s">
        <v>6350</v>
      </c>
      <c r="M3324" s="18" t="s">
        <v>6351</v>
      </c>
      <c r="N3324" s="18">
        <v>2</v>
      </c>
      <c r="O3324" s="18">
        <v>4</v>
      </c>
      <c r="P3324" s="16">
        <v>6</v>
      </c>
      <c r="Q3324" s="16">
        <v>6</v>
      </c>
      <c r="R3324" s="16">
        <v>3</v>
      </c>
      <c r="S3324" s="16">
        <v>3</v>
      </c>
      <c r="T3324" s="18" t="s">
        <v>2234</v>
      </c>
      <c r="U3324" t="s">
        <v>2236</v>
      </c>
      <c r="V3324" s="18" t="s">
        <v>6352</v>
      </c>
      <c r="W3324" s="283"/>
      <c r="X3324" s="283"/>
      <c r="Y3324" s="283"/>
      <c r="Z3324" s="283"/>
      <c r="AA3324" s="283"/>
      <c r="AB3324" s="283"/>
      <c r="AC3324" s="283"/>
      <c r="AD3324" s="283"/>
      <c r="AE3324" s="49">
        <v>1</v>
      </c>
      <c r="AF3324" s="64"/>
      <c r="AG3324" s="283"/>
      <c r="AH3324" s="259">
        <v>2</v>
      </c>
      <c r="AI3324" s="259">
        <v>5</v>
      </c>
      <c r="AJ3324" s="259">
        <v>7</v>
      </c>
      <c r="AK3324" s="260"/>
      <c r="AL3324" s="260" t="s">
        <v>6353</v>
      </c>
      <c r="AM3324" s="259">
        <v>7.5</v>
      </c>
      <c r="AN3324" s="18" t="s">
        <v>2234</v>
      </c>
      <c r="AO3324" s="18" t="s">
        <v>2236</v>
      </c>
      <c r="AP3324" s="18" t="s">
        <v>2172</v>
      </c>
    </row>
    <row r="3325" spans="1:42" customFormat="1" x14ac:dyDescent="0.3">
      <c r="A3325" s="18" t="s">
        <v>1463</v>
      </c>
      <c r="B3325" s="18" t="s">
        <v>5664</v>
      </c>
      <c r="C3325" s="18">
        <v>145</v>
      </c>
      <c r="D3325" s="18" t="s">
        <v>6343</v>
      </c>
      <c r="E3325" s="18">
        <v>1455</v>
      </c>
      <c r="F3325" s="18" t="s">
        <v>6344</v>
      </c>
      <c r="G3325" s="18" t="s">
        <v>6345</v>
      </c>
      <c r="H3325" s="157" t="s">
        <v>6346</v>
      </c>
      <c r="I3325" s="18" t="s">
        <v>6347</v>
      </c>
      <c r="J3325" s="18" t="s">
        <v>6348</v>
      </c>
      <c r="K3325" s="18" t="s">
        <v>6349</v>
      </c>
      <c r="L3325" s="18" t="s">
        <v>6350</v>
      </c>
      <c r="M3325" s="18" t="s">
        <v>6354</v>
      </c>
      <c r="N3325" s="460">
        <v>0.2</v>
      </c>
      <c r="O3325" s="460">
        <v>0.28000000000000003</v>
      </c>
      <c r="P3325" s="38">
        <v>0.46</v>
      </c>
      <c r="Q3325" s="38">
        <v>0.64</v>
      </c>
      <c r="R3325" s="38">
        <v>0.82</v>
      </c>
      <c r="S3325" s="38">
        <v>1</v>
      </c>
      <c r="T3325" s="18" t="s">
        <v>5696</v>
      </c>
      <c r="U3325" t="e">
        <v>#N/A</v>
      </c>
      <c r="V3325" s="18" t="s">
        <v>6355</v>
      </c>
      <c r="W3325" s="283"/>
      <c r="X3325" s="283"/>
      <c r="Y3325" s="283"/>
      <c r="Z3325" s="283"/>
      <c r="AA3325" s="283"/>
      <c r="AB3325" s="283"/>
      <c r="AC3325" s="283"/>
      <c r="AD3325" s="283"/>
      <c r="AE3325" s="49">
        <v>1</v>
      </c>
      <c r="AF3325" s="64"/>
      <c r="AG3325" s="283"/>
      <c r="AH3325" s="259">
        <v>10</v>
      </c>
      <c r="AI3325" s="259">
        <v>15</v>
      </c>
      <c r="AJ3325" s="259">
        <v>15</v>
      </c>
      <c r="AK3325" s="260">
        <v>7.5</v>
      </c>
      <c r="AL3325" s="260">
        <v>7.5</v>
      </c>
      <c r="AM3325" s="259">
        <v>15</v>
      </c>
      <c r="AN3325" s="18" t="s">
        <v>5696</v>
      </c>
      <c r="AO3325" s="18" t="s">
        <v>2236</v>
      </c>
      <c r="AP3325" s="18"/>
    </row>
    <row r="3326" spans="1:42" customFormat="1" x14ac:dyDescent="0.3">
      <c r="A3326" s="18" t="s">
        <v>1463</v>
      </c>
      <c r="B3326" s="18" t="s">
        <v>5664</v>
      </c>
      <c r="C3326" s="18">
        <v>145</v>
      </c>
      <c r="D3326" s="18" t="s">
        <v>6343</v>
      </c>
      <c r="E3326" s="18">
        <v>1455</v>
      </c>
      <c r="F3326" s="18" t="s">
        <v>6344</v>
      </c>
      <c r="G3326" s="18" t="s">
        <v>6345</v>
      </c>
      <c r="H3326" s="157" t="s">
        <v>6346</v>
      </c>
      <c r="I3326" s="18" t="s">
        <v>6356</v>
      </c>
      <c r="J3326" s="18" t="s">
        <v>6357</v>
      </c>
      <c r="K3326" s="18" t="s">
        <v>6358</v>
      </c>
      <c r="L3326" s="18" t="s">
        <v>6359</v>
      </c>
      <c r="M3326" s="18" t="s">
        <v>6360</v>
      </c>
      <c r="N3326" s="18">
        <v>2500</v>
      </c>
      <c r="O3326" s="18">
        <v>500</v>
      </c>
      <c r="P3326" s="16">
        <v>500</v>
      </c>
      <c r="Q3326" s="16">
        <v>500</v>
      </c>
      <c r="R3326" s="16">
        <v>500</v>
      </c>
      <c r="S3326" s="16">
        <v>500</v>
      </c>
      <c r="T3326" s="18" t="s">
        <v>6361</v>
      </c>
      <c r="U3326" t="e">
        <v>#N/A</v>
      </c>
      <c r="V3326" s="18" t="s">
        <v>6362</v>
      </c>
      <c r="W3326" s="283"/>
      <c r="X3326" s="283"/>
      <c r="Y3326" s="283"/>
      <c r="Z3326" s="283"/>
      <c r="AA3326" s="283"/>
      <c r="AB3326" s="283"/>
      <c r="AC3326" s="283"/>
      <c r="AD3326" s="283"/>
      <c r="AE3326" s="49">
        <v>0.875</v>
      </c>
      <c r="AF3326" s="64"/>
      <c r="AG3326" s="283"/>
      <c r="AH3326" s="259">
        <v>0.39</v>
      </c>
      <c r="AI3326" s="259">
        <v>0.39</v>
      </c>
      <c r="AJ3326" s="259">
        <v>0.39</v>
      </c>
      <c r="AK3326" s="260">
        <v>1</v>
      </c>
      <c r="AL3326" s="260">
        <v>0.39</v>
      </c>
      <c r="AM3326" s="259">
        <v>0.78</v>
      </c>
      <c r="AN3326" s="18" t="s">
        <v>2172</v>
      </c>
      <c r="AO3326" s="18" t="s">
        <v>2236</v>
      </c>
      <c r="AP3326" s="18" t="s">
        <v>2074</v>
      </c>
    </row>
    <row r="3327" spans="1:42" customFormat="1" x14ac:dyDescent="0.3">
      <c r="A3327" s="18" t="s">
        <v>1463</v>
      </c>
      <c r="B3327" s="18" t="s">
        <v>5664</v>
      </c>
      <c r="C3327" s="18">
        <v>145</v>
      </c>
      <c r="D3327" s="18" t="s">
        <v>6343</v>
      </c>
      <c r="E3327" s="18">
        <v>1455</v>
      </c>
      <c r="F3327" s="18" t="s">
        <v>6344</v>
      </c>
      <c r="G3327" s="18" t="s">
        <v>6345</v>
      </c>
      <c r="H3327" s="157" t="s">
        <v>6346</v>
      </c>
      <c r="I3327" s="18" t="s">
        <v>6356</v>
      </c>
      <c r="J3327" s="18" t="s">
        <v>6357</v>
      </c>
      <c r="K3327" s="18" t="s">
        <v>6358</v>
      </c>
      <c r="L3327" s="18" t="s">
        <v>6359</v>
      </c>
      <c r="M3327" s="18" t="s">
        <v>6363</v>
      </c>
      <c r="N3327" s="18">
        <v>2000</v>
      </c>
      <c r="O3327" s="18">
        <v>400</v>
      </c>
      <c r="P3327" s="16">
        <v>400</v>
      </c>
      <c r="Q3327" s="16">
        <v>400</v>
      </c>
      <c r="R3327" s="16">
        <v>400</v>
      </c>
      <c r="S3327" s="16">
        <v>400</v>
      </c>
      <c r="T3327" s="18" t="s">
        <v>6364</v>
      </c>
      <c r="U3327" t="e">
        <v>#N/A</v>
      </c>
      <c r="V3327" s="18" t="s">
        <v>6365</v>
      </c>
      <c r="W3327" s="283"/>
      <c r="X3327" s="283"/>
      <c r="Y3327" s="283"/>
      <c r="Z3327" s="283"/>
      <c r="AA3327" s="283"/>
      <c r="AB3327" s="283"/>
      <c r="AC3327" s="283"/>
      <c r="AD3327" s="283"/>
      <c r="AE3327" s="49">
        <v>0.875</v>
      </c>
      <c r="AF3327" s="64"/>
      <c r="AG3327" s="283"/>
      <c r="AH3327" s="259">
        <v>14</v>
      </c>
      <c r="AI3327" s="259">
        <v>0.14000000000000001</v>
      </c>
      <c r="AJ3327" s="259">
        <v>0.14000000000000001</v>
      </c>
      <c r="AK3327" s="260">
        <v>0.5</v>
      </c>
      <c r="AL3327" s="260">
        <v>0.14000000000000001</v>
      </c>
      <c r="AM3327" s="259">
        <v>0.28000000000000003</v>
      </c>
      <c r="AN3327" s="18" t="s">
        <v>2074</v>
      </c>
      <c r="AO3327" s="18" t="s">
        <v>2075</v>
      </c>
      <c r="AP3327" s="18"/>
    </row>
    <row r="3328" spans="1:42" customFormat="1" x14ac:dyDescent="0.3">
      <c r="A3328" s="18" t="s">
        <v>1463</v>
      </c>
      <c r="B3328" s="18" t="s">
        <v>5664</v>
      </c>
      <c r="C3328" s="18">
        <v>145</v>
      </c>
      <c r="D3328" s="18" t="s">
        <v>6343</v>
      </c>
      <c r="E3328" s="18">
        <v>1455</v>
      </c>
      <c r="F3328" s="18" t="s">
        <v>6344</v>
      </c>
      <c r="G3328" s="18" t="s">
        <v>6345</v>
      </c>
      <c r="H3328" s="157" t="s">
        <v>6346</v>
      </c>
      <c r="I3328" s="18" t="s">
        <v>6366</v>
      </c>
      <c r="J3328" s="18" t="s">
        <v>6367</v>
      </c>
      <c r="K3328" s="18" t="s">
        <v>6368</v>
      </c>
      <c r="L3328" s="18" t="s">
        <v>6369</v>
      </c>
      <c r="M3328" s="18" t="s">
        <v>6370</v>
      </c>
      <c r="N3328" s="18"/>
      <c r="O3328" s="18">
        <v>30</v>
      </c>
      <c r="P3328" s="10">
        <v>40</v>
      </c>
      <c r="Q3328" s="10">
        <v>50</v>
      </c>
      <c r="R3328" s="10">
        <v>60</v>
      </c>
      <c r="S3328" s="10">
        <v>70</v>
      </c>
      <c r="T3328" s="10" t="s">
        <v>6371</v>
      </c>
      <c r="U3328" t="e">
        <v>#N/A</v>
      </c>
      <c r="V3328" s="18" t="s">
        <v>6372</v>
      </c>
      <c r="W3328" s="283"/>
      <c r="X3328" s="283"/>
      <c r="Y3328" s="283"/>
      <c r="Z3328" s="283"/>
      <c r="AA3328" s="283"/>
      <c r="AB3328" s="283"/>
      <c r="AC3328" s="283"/>
      <c r="AD3328" s="283"/>
      <c r="AE3328" s="49">
        <v>1</v>
      </c>
      <c r="AF3328" s="64"/>
      <c r="AG3328" s="283"/>
      <c r="AH3328" s="10">
        <v>22</v>
      </c>
      <c r="AI3328" s="10">
        <v>22</v>
      </c>
      <c r="AJ3328" s="10">
        <v>22</v>
      </c>
      <c r="AK3328" s="269">
        <v>22</v>
      </c>
      <c r="AL3328" s="269">
        <v>22</v>
      </c>
      <c r="AM3328" s="259">
        <v>44</v>
      </c>
      <c r="AN3328" s="10" t="s">
        <v>6373</v>
      </c>
      <c r="AO3328" s="18" t="s">
        <v>6271</v>
      </c>
      <c r="AP3328" s="10"/>
    </row>
    <row r="3329" spans="1:42" customFormat="1" x14ac:dyDescent="0.3">
      <c r="A3329" s="18" t="s">
        <v>1463</v>
      </c>
      <c r="B3329" s="18" t="s">
        <v>5664</v>
      </c>
      <c r="C3329" s="18">
        <v>145</v>
      </c>
      <c r="D3329" s="18" t="s">
        <v>6343</v>
      </c>
      <c r="E3329" s="18">
        <v>1455</v>
      </c>
      <c r="F3329" s="18" t="s">
        <v>6344</v>
      </c>
      <c r="G3329" s="18" t="s">
        <v>6374</v>
      </c>
      <c r="H3329" s="157" t="s">
        <v>6375</v>
      </c>
      <c r="I3329" s="18" t="s">
        <v>6376</v>
      </c>
      <c r="J3329" s="18" t="s">
        <v>6377</v>
      </c>
      <c r="K3329" s="18" t="s">
        <v>6378</v>
      </c>
      <c r="L3329" s="18" t="s">
        <v>6379</v>
      </c>
      <c r="M3329" s="18" t="s">
        <v>6380</v>
      </c>
      <c r="N3329" s="18">
        <v>102</v>
      </c>
      <c r="O3329" s="18">
        <v>100</v>
      </c>
      <c r="P3329" s="16">
        <v>105</v>
      </c>
      <c r="Q3329" s="16">
        <v>115</v>
      </c>
      <c r="R3329" s="16">
        <v>120</v>
      </c>
      <c r="S3329" s="16">
        <v>122</v>
      </c>
      <c r="T3329" s="18" t="s">
        <v>6381</v>
      </c>
      <c r="U3329" t="e">
        <v>#N/A</v>
      </c>
      <c r="V3329" s="18" t="s">
        <v>6382</v>
      </c>
      <c r="W3329" s="283"/>
      <c r="X3329" s="283"/>
      <c r="Y3329" s="283"/>
      <c r="Z3329" s="283"/>
      <c r="AA3329" s="283"/>
      <c r="AB3329" s="283"/>
      <c r="AC3329" s="283"/>
      <c r="AD3329" s="283"/>
      <c r="AE3329" s="49">
        <v>1</v>
      </c>
      <c r="AF3329" s="64"/>
      <c r="AG3329" s="283"/>
      <c r="AH3329" s="259">
        <v>0.39</v>
      </c>
      <c r="AI3329" s="259">
        <v>0.39</v>
      </c>
      <c r="AJ3329" s="259">
        <v>0.39</v>
      </c>
      <c r="AK3329" s="260">
        <v>0.39</v>
      </c>
      <c r="AL3329" s="260">
        <v>0.39</v>
      </c>
      <c r="AM3329" s="259">
        <v>0.78</v>
      </c>
      <c r="AN3329" s="18" t="s">
        <v>4115</v>
      </c>
      <c r="AO3329" s="18" t="s">
        <v>4116</v>
      </c>
      <c r="AP3329" s="18" t="s">
        <v>2172</v>
      </c>
    </row>
    <row r="3330" spans="1:42" customFormat="1" x14ac:dyDescent="0.3">
      <c r="A3330" s="18" t="s">
        <v>1463</v>
      </c>
      <c r="B3330" s="18" t="s">
        <v>5664</v>
      </c>
      <c r="C3330" s="18">
        <v>145</v>
      </c>
      <c r="D3330" s="18" t="s">
        <v>6343</v>
      </c>
      <c r="E3330" s="18">
        <v>1455</v>
      </c>
      <c r="F3330" s="18" t="s">
        <v>6344</v>
      </c>
      <c r="G3330" s="18" t="s">
        <v>6374</v>
      </c>
      <c r="H3330" s="157" t="s">
        <v>6375</v>
      </c>
      <c r="I3330" s="18" t="s">
        <v>6376</v>
      </c>
      <c r="J3330" s="18" t="s">
        <v>6377</v>
      </c>
      <c r="K3330" s="18" t="s">
        <v>6383</v>
      </c>
      <c r="L3330" s="18" t="s">
        <v>6384</v>
      </c>
      <c r="M3330" s="18" t="s">
        <v>6385</v>
      </c>
      <c r="N3330" s="18" t="s">
        <v>271</v>
      </c>
      <c r="O3330" s="18">
        <v>20</v>
      </c>
      <c r="P3330" s="16">
        <v>30</v>
      </c>
      <c r="Q3330" s="16">
        <v>40</v>
      </c>
      <c r="R3330" s="16">
        <v>60</v>
      </c>
      <c r="S3330" s="16">
        <v>70</v>
      </c>
      <c r="T3330" s="18" t="s">
        <v>2074</v>
      </c>
      <c r="U3330" t="s">
        <v>2075</v>
      </c>
      <c r="V3330" s="18" t="s">
        <v>6386</v>
      </c>
      <c r="W3330" s="283"/>
      <c r="X3330" s="283"/>
      <c r="Y3330" s="283"/>
      <c r="Z3330" s="283"/>
      <c r="AA3330" s="283"/>
      <c r="AB3330" s="283"/>
      <c r="AC3330" s="283"/>
      <c r="AD3330" s="283"/>
      <c r="AE3330" s="49">
        <v>1</v>
      </c>
      <c r="AF3330" s="64"/>
      <c r="AG3330" s="283"/>
      <c r="AH3330" s="259">
        <v>8.1</v>
      </c>
      <c r="AI3330" s="259">
        <v>4.8470000000000004</v>
      </c>
      <c r="AJ3330" s="259">
        <v>8.4770000000000003</v>
      </c>
      <c r="AK3330" s="260">
        <v>0</v>
      </c>
      <c r="AL3330" s="260">
        <v>0</v>
      </c>
      <c r="AM3330" s="259">
        <v>17.265999999999998</v>
      </c>
      <c r="AN3330" s="18" t="s">
        <v>2074</v>
      </c>
      <c r="AO3330" s="18" t="s">
        <v>2075</v>
      </c>
      <c r="AP3330" s="18" t="s">
        <v>119</v>
      </c>
    </row>
    <row r="3331" spans="1:42" customFormat="1" x14ac:dyDescent="0.3">
      <c r="A3331" s="18" t="s">
        <v>1463</v>
      </c>
      <c r="B3331" s="18" t="s">
        <v>5664</v>
      </c>
      <c r="C3331" s="18">
        <v>145</v>
      </c>
      <c r="D3331" s="18" t="s">
        <v>6343</v>
      </c>
      <c r="E3331" s="18">
        <v>1455</v>
      </c>
      <c r="F3331" s="18" t="s">
        <v>6344</v>
      </c>
      <c r="G3331" s="18" t="s">
        <v>6387</v>
      </c>
      <c r="H3331" s="157" t="s">
        <v>6388</v>
      </c>
      <c r="I3331" s="18" t="s">
        <v>6389</v>
      </c>
      <c r="J3331" s="18" t="s">
        <v>6390</v>
      </c>
      <c r="K3331" s="18" t="s">
        <v>6391</v>
      </c>
      <c r="L3331" s="18" t="s">
        <v>6392</v>
      </c>
      <c r="M3331" s="18" t="s">
        <v>6393</v>
      </c>
      <c r="N3331" s="18">
        <v>0</v>
      </c>
      <c r="O3331" s="18">
        <v>48</v>
      </c>
      <c r="P3331" s="16">
        <v>38</v>
      </c>
      <c r="Q3331" s="16">
        <v>18</v>
      </c>
      <c r="R3331" s="16">
        <v>8</v>
      </c>
      <c r="S3331" s="16">
        <v>4</v>
      </c>
      <c r="T3331" s="18" t="s">
        <v>6373</v>
      </c>
      <c r="U3331" t="e">
        <v>#N/A</v>
      </c>
      <c r="V3331" s="265" t="s">
        <v>6394</v>
      </c>
      <c r="W3331" s="283"/>
      <c r="X3331" s="283"/>
      <c r="Y3331" s="283"/>
      <c r="Z3331" s="283"/>
      <c r="AA3331" s="283"/>
      <c r="AB3331" s="283"/>
      <c r="AC3331" s="283"/>
      <c r="AD3331" s="283"/>
      <c r="AE3331" s="49">
        <v>1</v>
      </c>
      <c r="AF3331" s="64"/>
      <c r="AG3331" s="283"/>
      <c r="AH3331" s="259">
        <v>0.28000000000000003</v>
      </c>
      <c r="AI3331" s="259">
        <v>0.28999999999999998</v>
      </c>
      <c r="AJ3331" s="259">
        <v>0.28999999999999998</v>
      </c>
      <c r="AK3331" s="260">
        <v>0.28999999999999998</v>
      </c>
      <c r="AL3331" s="260">
        <v>0.28999999999999998</v>
      </c>
      <c r="AM3331" s="259">
        <v>0.57999999999999996</v>
      </c>
      <c r="AN3331" s="18" t="s">
        <v>2074</v>
      </c>
      <c r="AO3331" s="18" t="s">
        <v>2075</v>
      </c>
      <c r="AP3331" s="18" t="s">
        <v>6395</v>
      </c>
    </row>
    <row r="3332" spans="1:42" customFormat="1" x14ac:dyDescent="0.3">
      <c r="A3332" s="18" t="s">
        <v>1463</v>
      </c>
      <c r="B3332" s="18" t="s">
        <v>5664</v>
      </c>
      <c r="C3332" s="18">
        <v>145</v>
      </c>
      <c r="D3332" s="18" t="s">
        <v>6343</v>
      </c>
      <c r="E3332" s="18">
        <v>1455</v>
      </c>
      <c r="F3332" s="18" t="s">
        <v>6344</v>
      </c>
      <c r="G3332" s="18" t="s">
        <v>6387</v>
      </c>
      <c r="H3332" s="157" t="s">
        <v>6388</v>
      </c>
      <c r="I3332" s="18" t="s">
        <v>6389</v>
      </c>
      <c r="J3332" s="18" t="s">
        <v>6390</v>
      </c>
      <c r="K3332" s="18" t="s">
        <v>6396</v>
      </c>
      <c r="L3332" s="18" t="s">
        <v>6397</v>
      </c>
      <c r="M3332" s="18" t="s">
        <v>6398</v>
      </c>
      <c r="N3332" s="18"/>
      <c r="O3332" s="18">
        <v>100</v>
      </c>
      <c r="P3332" s="16">
        <v>100</v>
      </c>
      <c r="Q3332" s="16">
        <v>100</v>
      </c>
      <c r="R3332" s="16">
        <v>100</v>
      </c>
      <c r="S3332" s="16">
        <v>100</v>
      </c>
      <c r="T3332" s="18" t="s">
        <v>6371</v>
      </c>
      <c r="U3332" t="e">
        <v>#N/A</v>
      </c>
      <c r="V3332" s="18" t="s">
        <v>6399</v>
      </c>
      <c r="W3332" s="283"/>
      <c r="X3332" s="283"/>
      <c r="Y3332" s="283"/>
      <c r="Z3332" s="283"/>
      <c r="AA3332" s="283"/>
      <c r="AB3332" s="283"/>
      <c r="AC3332" s="283"/>
      <c r="AD3332" s="283"/>
      <c r="AE3332" s="49">
        <v>0.75</v>
      </c>
      <c r="AF3332" s="64"/>
      <c r="AG3332" s="283"/>
      <c r="AH3332" s="259">
        <v>0.1</v>
      </c>
      <c r="AI3332" s="259">
        <v>0.1</v>
      </c>
      <c r="AJ3332" s="259">
        <v>0.1</v>
      </c>
      <c r="AK3332" s="260">
        <v>0.1</v>
      </c>
      <c r="AL3332" s="260">
        <v>0.1</v>
      </c>
      <c r="AM3332" s="259">
        <v>0.2</v>
      </c>
      <c r="AN3332" s="18" t="s">
        <v>6373</v>
      </c>
      <c r="AO3332" s="18" t="s">
        <v>6271</v>
      </c>
      <c r="AP3332" s="18"/>
    </row>
    <row r="3333" spans="1:42" customFormat="1" x14ac:dyDescent="0.3">
      <c r="A3333" s="18" t="s">
        <v>1463</v>
      </c>
      <c r="B3333" s="18" t="s">
        <v>5664</v>
      </c>
      <c r="C3333" s="18">
        <v>145</v>
      </c>
      <c r="D3333" s="18" t="s">
        <v>6343</v>
      </c>
      <c r="E3333" s="18">
        <v>1455</v>
      </c>
      <c r="F3333" s="18" t="s">
        <v>6344</v>
      </c>
      <c r="G3333" s="18" t="s">
        <v>6387</v>
      </c>
      <c r="H3333" s="157" t="s">
        <v>6388</v>
      </c>
      <c r="I3333" s="18" t="s">
        <v>6389</v>
      </c>
      <c r="J3333" s="18" t="s">
        <v>6390</v>
      </c>
      <c r="K3333" s="18" t="s">
        <v>6400</v>
      </c>
      <c r="L3333" s="18" t="s">
        <v>6401</v>
      </c>
      <c r="M3333" s="18" t="s">
        <v>6402</v>
      </c>
      <c r="N3333" s="18" t="s">
        <v>271</v>
      </c>
      <c r="O3333" s="18">
        <v>5</v>
      </c>
      <c r="P3333" s="16">
        <v>5</v>
      </c>
      <c r="Q3333" s="16">
        <v>5</v>
      </c>
      <c r="R3333" s="16">
        <v>5</v>
      </c>
      <c r="S3333" s="16"/>
      <c r="T3333" s="18" t="s">
        <v>1446</v>
      </c>
      <c r="U3333" t="s">
        <v>3715</v>
      </c>
      <c r="V3333" s="265" t="s">
        <v>6403</v>
      </c>
      <c r="W3333" s="283"/>
      <c r="X3333" s="283"/>
      <c r="Y3333" s="283"/>
      <c r="Z3333" s="283"/>
      <c r="AA3333" s="283"/>
      <c r="AB3333" s="283"/>
      <c r="AC3333" s="283"/>
      <c r="AD3333" s="283"/>
      <c r="AE3333" s="49">
        <v>1</v>
      </c>
      <c r="AF3333" s="64"/>
      <c r="AG3333" s="283"/>
      <c r="AH3333" s="259">
        <v>0.2</v>
      </c>
      <c r="AI3333" s="259">
        <v>0.2</v>
      </c>
      <c r="AJ3333" s="259">
        <v>0.2</v>
      </c>
      <c r="AK3333" s="260">
        <v>0</v>
      </c>
      <c r="AL3333" s="260">
        <v>0</v>
      </c>
      <c r="AM3333" s="259">
        <v>0.4</v>
      </c>
      <c r="AN3333" s="18" t="s">
        <v>1446</v>
      </c>
      <c r="AO3333" s="18" t="s">
        <v>3715</v>
      </c>
      <c r="AP3333" s="18" t="s">
        <v>5698</v>
      </c>
    </row>
    <row r="3334" spans="1:42" customFormat="1" x14ac:dyDescent="0.3">
      <c r="A3334" s="18" t="s">
        <v>1463</v>
      </c>
      <c r="B3334" s="18" t="s">
        <v>5664</v>
      </c>
      <c r="C3334" s="18">
        <v>145</v>
      </c>
      <c r="D3334" s="18" t="s">
        <v>6343</v>
      </c>
      <c r="E3334" s="18">
        <v>1455</v>
      </c>
      <c r="F3334" s="18" t="s">
        <v>6344</v>
      </c>
      <c r="G3334" s="18" t="s">
        <v>6387</v>
      </c>
      <c r="H3334" s="157" t="s">
        <v>6388</v>
      </c>
      <c r="I3334" s="18" t="s">
        <v>6389</v>
      </c>
      <c r="J3334" s="18" t="s">
        <v>6390</v>
      </c>
      <c r="K3334" s="18" t="s">
        <v>6404</v>
      </c>
      <c r="L3334" s="18" t="s">
        <v>6405</v>
      </c>
      <c r="M3334" s="18" t="s">
        <v>6406</v>
      </c>
      <c r="N3334" s="18">
        <v>1</v>
      </c>
      <c r="O3334" s="18">
        <v>1</v>
      </c>
      <c r="P3334" s="16">
        <v>1</v>
      </c>
      <c r="Q3334" s="16">
        <v>1</v>
      </c>
      <c r="R3334" s="16">
        <v>1</v>
      </c>
      <c r="S3334" s="16">
        <v>1</v>
      </c>
      <c r="T3334" s="18" t="s">
        <v>2074</v>
      </c>
      <c r="U3334" t="s">
        <v>2075</v>
      </c>
      <c r="V3334" s="18" t="s">
        <v>6407</v>
      </c>
      <c r="W3334" s="283"/>
      <c r="X3334" s="283"/>
      <c r="Y3334" s="283"/>
      <c r="Z3334" s="283"/>
      <c r="AA3334" s="283"/>
      <c r="AB3334" s="283"/>
      <c r="AC3334" s="283"/>
      <c r="AD3334" s="283"/>
      <c r="AE3334" s="49">
        <v>1</v>
      </c>
      <c r="AF3334" s="64"/>
      <c r="AG3334" s="283"/>
      <c r="AH3334" s="259">
        <v>0.2</v>
      </c>
      <c r="AI3334" s="259">
        <v>0.2</v>
      </c>
      <c r="AJ3334" s="259">
        <v>0.2</v>
      </c>
      <c r="AK3334" s="260">
        <v>0.2</v>
      </c>
      <c r="AL3334" s="260">
        <v>0.2</v>
      </c>
      <c r="AM3334" s="259">
        <v>0.4</v>
      </c>
      <c r="AN3334" s="18" t="s">
        <v>2074</v>
      </c>
      <c r="AO3334" s="18" t="s">
        <v>2075</v>
      </c>
      <c r="AP3334" s="18" t="s">
        <v>4115</v>
      </c>
    </row>
    <row r="3335" spans="1:42" customFormat="1" x14ac:dyDescent="0.3">
      <c r="A3335" s="18" t="s">
        <v>1463</v>
      </c>
      <c r="B3335" s="18" t="s">
        <v>5664</v>
      </c>
      <c r="C3335" s="18">
        <v>145</v>
      </c>
      <c r="D3335" s="18" t="s">
        <v>6343</v>
      </c>
      <c r="E3335" s="18">
        <v>1455</v>
      </c>
      <c r="F3335" s="18" t="s">
        <v>6344</v>
      </c>
      <c r="G3335" s="18" t="s">
        <v>6387</v>
      </c>
      <c r="H3335" s="157" t="s">
        <v>6388</v>
      </c>
      <c r="I3335" s="18" t="s">
        <v>6389</v>
      </c>
      <c r="J3335" s="18" t="s">
        <v>6390</v>
      </c>
      <c r="K3335" s="18" t="s">
        <v>6408</v>
      </c>
      <c r="L3335" s="18" t="s">
        <v>6409</v>
      </c>
      <c r="M3335" s="18" t="s">
        <v>6410</v>
      </c>
      <c r="N3335" s="18" t="s">
        <v>271</v>
      </c>
      <c r="O3335" s="18">
        <v>10</v>
      </c>
      <c r="P3335" s="16">
        <v>20</v>
      </c>
      <c r="Q3335" s="16">
        <v>30</v>
      </c>
      <c r="R3335" s="16">
        <v>40</v>
      </c>
      <c r="S3335" s="16">
        <v>50</v>
      </c>
      <c r="T3335" s="18" t="s">
        <v>6411</v>
      </c>
      <c r="U3335" t="e">
        <v>#N/A</v>
      </c>
      <c r="V3335" s="18" t="s">
        <v>6407</v>
      </c>
      <c r="W3335" s="283"/>
      <c r="X3335" s="283"/>
      <c r="Y3335" s="283"/>
      <c r="Z3335" s="283"/>
      <c r="AA3335" s="283"/>
      <c r="AB3335" s="283"/>
      <c r="AC3335" s="283"/>
      <c r="AD3335" s="283"/>
      <c r="AE3335" s="49">
        <v>1</v>
      </c>
      <c r="AF3335" s="64"/>
      <c r="AG3335" s="283"/>
      <c r="AH3335" s="259">
        <v>0.2</v>
      </c>
      <c r="AI3335" s="259">
        <v>0.2</v>
      </c>
      <c r="AJ3335" s="259">
        <v>0.2</v>
      </c>
      <c r="AK3335" s="260">
        <v>0.2</v>
      </c>
      <c r="AL3335" s="260">
        <v>0.2</v>
      </c>
      <c r="AM3335" s="259">
        <v>0.4</v>
      </c>
      <c r="AN3335" s="18" t="s">
        <v>4115</v>
      </c>
      <c r="AO3335" s="18" t="s">
        <v>4116</v>
      </c>
      <c r="AP3335" s="18"/>
    </row>
    <row r="3336" spans="1:42" customFormat="1" x14ac:dyDescent="0.3">
      <c r="A3336" s="18" t="s">
        <v>1463</v>
      </c>
      <c r="B3336" s="18" t="s">
        <v>5664</v>
      </c>
      <c r="C3336" s="18">
        <v>145</v>
      </c>
      <c r="D3336" s="18" t="s">
        <v>6343</v>
      </c>
      <c r="E3336" s="18">
        <v>1455</v>
      </c>
      <c r="F3336" s="18" t="s">
        <v>6344</v>
      </c>
      <c r="G3336" s="18" t="s">
        <v>6387</v>
      </c>
      <c r="H3336" s="157" t="s">
        <v>6388</v>
      </c>
      <c r="I3336" s="18" t="s">
        <v>6412</v>
      </c>
      <c r="J3336" s="18" t="s">
        <v>6413</v>
      </c>
      <c r="K3336" s="18" t="s">
        <v>6414</v>
      </c>
      <c r="L3336" s="18" t="s">
        <v>6415</v>
      </c>
      <c r="M3336" s="18" t="s">
        <v>6416</v>
      </c>
      <c r="N3336" s="18" t="s">
        <v>271</v>
      </c>
      <c r="O3336" s="18">
        <v>3</v>
      </c>
      <c r="P3336" s="16">
        <v>5</v>
      </c>
      <c r="Q3336" s="16">
        <v>7</v>
      </c>
      <c r="R3336" s="16">
        <v>10</v>
      </c>
      <c r="S3336" s="16">
        <v>13</v>
      </c>
      <c r="T3336" s="18" t="s">
        <v>6417</v>
      </c>
      <c r="U3336" t="e">
        <v>#N/A</v>
      </c>
      <c r="V3336" s="18" t="s">
        <v>6413</v>
      </c>
      <c r="W3336" s="283"/>
      <c r="X3336" s="283"/>
      <c r="Y3336" s="283"/>
      <c r="Z3336" s="283"/>
      <c r="AA3336" s="283"/>
      <c r="AB3336" s="283"/>
      <c r="AC3336" s="283"/>
      <c r="AD3336" s="283"/>
      <c r="AE3336" s="49">
        <v>0.75</v>
      </c>
      <c r="AF3336" s="64"/>
      <c r="AG3336" s="283"/>
      <c r="AH3336" s="259">
        <v>4.1500000000000004</v>
      </c>
      <c r="AI3336" s="259">
        <v>4.3499999999999996</v>
      </c>
      <c r="AJ3336" s="259">
        <v>4.5599999999999996</v>
      </c>
      <c r="AK3336" s="260">
        <v>4.75</v>
      </c>
      <c r="AL3336" s="260">
        <v>5</v>
      </c>
      <c r="AM3336" s="259">
        <v>9.75</v>
      </c>
      <c r="AN3336" s="18" t="s">
        <v>239</v>
      </c>
      <c r="AO3336" s="18" t="s">
        <v>241</v>
      </c>
      <c r="AP3336" s="18" t="s">
        <v>119</v>
      </c>
    </row>
    <row r="3337" spans="1:42" customFormat="1" x14ac:dyDescent="0.3">
      <c r="A3337" s="18" t="s">
        <v>1463</v>
      </c>
      <c r="B3337" s="18" t="s">
        <v>5664</v>
      </c>
      <c r="C3337" s="18">
        <v>145</v>
      </c>
      <c r="D3337" s="18" t="s">
        <v>6343</v>
      </c>
      <c r="E3337" s="18">
        <v>1455</v>
      </c>
      <c r="F3337" s="18" t="s">
        <v>6344</v>
      </c>
      <c r="G3337" s="18" t="s">
        <v>6387</v>
      </c>
      <c r="H3337" s="157" t="s">
        <v>6388</v>
      </c>
      <c r="I3337" s="18" t="s">
        <v>6412</v>
      </c>
      <c r="J3337" s="18" t="s">
        <v>6413</v>
      </c>
      <c r="K3337" s="18" t="s">
        <v>6418</v>
      </c>
      <c r="L3337" s="18" t="s">
        <v>6419</v>
      </c>
      <c r="M3337" s="18" t="s">
        <v>6420</v>
      </c>
      <c r="N3337" s="18"/>
      <c r="O3337" s="18">
        <v>2</v>
      </c>
      <c r="P3337" s="16">
        <v>2</v>
      </c>
      <c r="Q3337" s="16">
        <v>2</v>
      </c>
      <c r="R3337" s="16">
        <v>2</v>
      </c>
      <c r="S3337" s="16">
        <v>2</v>
      </c>
      <c r="T3337" s="18" t="s">
        <v>2250</v>
      </c>
      <c r="U3337" t="e">
        <v>#N/A</v>
      </c>
      <c r="V3337" s="18" t="s">
        <v>6421</v>
      </c>
      <c r="W3337" s="283"/>
      <c r="X3337" s="283"/>
      <c r="Y3337" s="283"/>
      <c r="Z3337" s="283"/>
      <c r="AA3337" s="283"/>
      <c r="AB3337" s="283"/>
      <c r="AC3337" s="283"/>
      <c r="AD3337" s="283"/>
      <c r="AE3337" s="49">
        <v>1</v>
      </c>
      <c r="AF3337" s="64"/>
      <c r="AG3337" s="283"/>
      <c r="AH3337" s="259">
        <v>4.1500000000000004</v>
      </c>
      <c r="AI3337" s="259">
        <v>4.3499999999999996</v>
      </c>
      <c r="AJ3337" s="259">
        <v>4.5599999999999996</v>
      </c>
      <c r="AK3337" s="260">
        <v>4.7</v>
      </c>
      <c r="AL3337" s="260">
        <v>5.0119999999999996</v>
      </c>
      <c r="AM3337" s="259">
        <v>9.7119999999999997</v>
      </c>
      <c r="AN3337" s="18" t="s">
        <v>2250</v>
      </c>
      <c r="AO3337" s="18" t="s">
        <v>6271</v>
      </c>
      <c r="AP3337" s="18"/>
    </row>
    <row r="3338" spans="1:42" customFormat="1" x14ac:dyDescent="0.3">
      <c r="A3338" s="18" t="s">
        <v>1463</v>
      </c>
      <c r="B3338" s="18" t="s">
        <v>5664</v>
      </c>
      <c r="C3338" s="18">
        <v>145</v>
      </c>
      <c r="D3338" s="18" t="s">
        <v>6343</v>
      </c>
      <c r="E3338" s="18">
        <v>1455</v>
      </c>
      <c r="F3338" s="18" t="s">
        <v>6344</v>
      </c>
      <c r="G3338" s="18" t="s">
        <v>6387</v>
      </c>
      <c r="H3338" s="157" t="s">
        <v>6388</v>
      </c>
      <c r="I3338" s="18" t="s">
        <v>6412</v>
      </c>
      <c r="J3338" s="18" t="s">
        <v>6413</v>
      </c>
      <c r="K3338" s="18" t="s">
        <v>6422</v>
      </c>
      <c r="L3338" s="18" t="s">
        <v>6423</v>
      </c>
      <c r="M3338" s="18" t="s">
        <v>6424</v>
      </c>
      <c r="N3338" s="18"/>
      <c r="O3338" s="18">
        <v>4</v>
      </c>
      <c r="P3338" s="16">
        <v>4</v>
      </c>
      <c r="Q3338" s="16">
        <v>4</v>
      </c>
      <c r="R3338" s="16">
        <v>4</v>
      </c>
      <c r="S3338" s="16">
        <v>4</v>
      </c>
      <c r="T3338" s="18" t="s">
        <v>2250</v>
      </c>
      <c r="U3338" t="e">
        <v>#N/A</v>
      </c>
      <c r="V3338" s="18" t="s">
        <v>6425</v>
      </c>
      <c r="W3338" s="283"/>
      <c r="X3338" s="283"/>
      <c r="Y3338" s="283"/>
      <c r="Z3338" s="283"/>
      <c r="AA3338" s="283"/>
      <c r="AB3338" s="283"/>
      <c r="AC3338" s="283"/>
      <c r="AD3338" s="283"/>
      <c r="AE3338" s="49">
        <v>1</v>
      </c>
      <c r="AF3338" s="64"/>
      <c r="AG3338" s="283"/>
      <c r="AH3338" s="259">
        <v>0.25</v>
      </c>
      <c r="AI3338" s="259">
        <v>0.26</v>
      </c>
      <c r="AJ3338" s="259">
        <v>0.27</v>
      </c>
      <c r="AK3338" s="260">
        <v>0.28000000000000003</v>
      </c>
      <c r="AL3338" s="260">
        <v>0.3</v>
      </c>
      <c r="AM3338" s="259">
        <v>0.58000000000000007</v>
      </c>
      <c r="AN3338" s="18" t="s">
        <v>2250</v>
      </c>
      <c r="AO3338" s="18" t="s">
        <v>6271</v>
      </c>
      <c r="AP3338" s="18"/>
    </row>
    <row r="3339" spans="1:42" customFormat="1" x14ac:dyDescent="0.3">
      <c r="A3339" s="18" t="s">
        <v>1463</v>
      </c>
      <c r="B3339" s="18" t="s">
        <v>5664</v>
      </c>
      <c r="C3339" s="18">
        <v>145</v>
      </c>
      <c r="D3339" s="18" t="s">
        <v>6343</v>
      </c>
      <c r="E3339" s="18">
        <v>1455</v>
      </c>
      <c r="F3339" s="18" t="s">
        <v>6344</v>
      </c>
      <c r="G3339" s="18" t="s">
        <v>6387</v>
      </c>
      <c r="H3339" s="157" t="s">
        <v>6388</v>
      </c>
      <c r="I3339" s="18" t="s">
        <v>6412</v>
      </c>
      <c r="J3339" s="18" t="s">
        <v>6413</v>
      </c>
      <c r="K3339" s="18" t="s">
        <v>6426</v>
      </c>
      <c r="L3339" s="18" t="s">
        <v>6427</v>
      </c>
      <c r="M3339" s="18" t="s">
        <v>6428</v>
      </c>
      <c r="N3339" s="18"/>
      <c r="O3339" s="18">
        <v>4</v>
      </c>
      <c r="P3339" s="16">
        <v>4</v>
      </c>
      <c r="Q3339" s="16">
        <v>4</v>
      </c>
      <c r="R3339" s="16">
        <v>4</v>
      </c>
      <c r="S3339" s="16">
        <v>4</v>
      </c>
      <c r="T3339" s="18" t="s">
        <v>2250</v>
      </c>
      <c r="U3339" t="e">
        <v>#N/A</v>
      </c>
      <c r="V3339" s="18" t="s">
        <v>6429</v>
      </c>
      <c r="W3339" s="283"/>
      <c r="X3339" s="283"/>
      <c r="Y3339" s="283"/>
      <c r="Z3339" s="283"/>
      <c r="AA3339" s="283"/>
      <c r="AB3339" s="283"/>
      <c r="AC3339" s="283"/>
      <c r="AD3339" s="283"/>
      <c r="AE3339" s="49">
        <v>1</v>
      </c>
      <c r="AF3339" s="64"/>
      <c r="AG3339" s="283"/>
      <c r="AH3339" s="259">
        <v>0.25</v>
      </c>
      <c r="AI3339" s="259">
        <v>0.3</v>
      </c>
      <c r="AJ3339" s="259">
        <v>0.35</v>
      </c>
      <c r="AK3339" s="260">
        <v>0.4</v>
      </c>
      <c r="AL3339" s="260">
        <v>0.45</v>
      </c>
      <c r="AM3339" s="259">
        <v>0.85000000000000009</v>
      </c>
      <c r="AN3339" s="18" t="s">
        <v>2250</v>
      </c>
      <c r="AO3339" s="18" t="s">
        <v>6271</v>
      </c>
      <c r="AP3339" s="18"/>
    </row>
    <row r="3340" spans="1:42" customFormat="1" x14ac:dyDescent="0.3">
      <c r="A3340" s="18" t="s">
        <v>1463</v>
      </c>
      <c r="B3340" s="18" t="s">
        <v>5664</v>
      </c>
      <c r="C3340" s="18">
        <v>145</v>
      </c>
      <c r="D3340" s="18" t="s">
        <v>6343</v>
      </c>
      <c r="E3340" s="18">
        <v>1455</v>
      </c>
      <c r="F3340" s="18" t="s">
        <v>6344</v>
      </c>
      <c r="G3340" s="18" t="s">
        <v>6387</v>
      </c>
      <c r="H3340" s="157" t="s">
        <v>6388</v>
      </c>
      <c r="I3340" s="18" t="s">
        <v>6412</v>
      </c>
      <c r="J3340" s="18" t="s">
        <v>6413</v>
      </c>
      <c r="K3340" s="18" t="s">
        <v>6430</v>
      </c>
      <c r="L3340" s="18" t="s">
        <v>6431</v>
      </c>
      <c r="M3340" s="18" t="s">
        <v>6432</v>
      </c>
      <c r="N3340" s="18"/>
      <c r="O3340" s="18">
        <v>1</v>
      </c>
      <c r="P3340" s="16"/>
      <c r="Q3340" s="16"/>
      <c r="R3340" s="16"/>
      <c r="S3340" s="16"/>
      <c r="T3340" s="18" t="s">
        <v>2250</v>
      </c>
      <c r="U3340" t="e">
        <v>#N/A</v>
      </c>
      <c r="V3340" s="18" t="s">
        <v>6433</v>
      </c>
      <c r="W3340" s="283"/>
      <c r="X3340" s="283"/>
      <c r="Y3340" s="283"/>
      <c r="Z3340" s="283"/>
      <c r="AA3340" s="283"/>
      <c r="AB3340" s="283"/>
      <c r="AC3340" s="283"/>
      <c r="AD3340" s="283"/>
      <c r="AE3340" s="49">
        <v>1</v>
      </c>
      <c r="AF3340" s="64"/>
      <c r="AG3340" s="283"/>
      <c r="AH3340" s="259">
        <v>0.06</v>
      </c>
      <c r="AI3340" s="259"/>
      <c r="AJ3340" s="259"/>
      <c r="AK3340" s="260">
        <v>0.5</v>
      </c>
      <c r="AL3340" s="260"/>
      <c r="AM3340" s="259">
        <v>0</v>
      </c>
      <c r="AN3340" s="18" t="s">
        <v>2250</v>
      </c>
      <c r="AO3340" s="18" t="s">
        <v>6271</v>
      </c>
      <c r="AP3340" s="18"/>
    </row>
    <row r="3341" spans="1:42" customFormat="1" x14ac:dyDescent="0.3">
      <c r="A3341" s="18" t="s">
        <v>1463</v>
      </c>
      <c r="B3341" s="18" t="s">
        <v>5664</v>
      </c>
      <c r="C3341" s="18">
        <v>145</v>
      </c>
      <c r="D3341" s="18" t="s">
        <v>6343</v>
      </c>
      <c r="E3341" s="18">
        <v>1455</v>
      </c>
      <c r="F3341" s="18" t="s">
        <v>6344</v>
      </c>
      <c r="G3341" s="18" t="s">
        <v>6387</v>
      </c>
      <c r="H3341" s="157" t="s">
        <v>6388</v>
      </c>
      <c r="I3341" s="18" t="s">
        <v>6412</v>
      </c>
      <c r="J3341" s="18" t="s">
        <v>6413</v>
      </c>
      <c r="K3341" s="18" t="s">
        <v>6430</v>
      </c>
      <c r="L3341" s="18" t="s">
        <v>6431</v>
      </c>
      <c r="M3341" s="18" t="s">
        <v>6434</v>
      </c>
      <c r="N3341" s="18"/>
      <c r="O3341" s="18">
        <v>4</v>
      </c>
      <c r="P3341" s="16">
        <v>4</v>
      </c>
      <c r="Q3341" s="16">
        <v>4</v>
      </c>
      <c r="R3341" s="16">
        <v>4</v>
      </c>
      <c r="S3341" s="16">
        <v>4</v>
      </c>
      <c r="T3341" s="18" t="s">
        <v>2250</v>
      </c>
      <c r="U3341" t="e">
        <v>#N/A</v>
      </c>
      <c r="V3341" s="18" t="s">
        <v>6435</v>
      </c>
      <c r="W3341" s="283"/>
      <c r="X3341" s="283"/>
      <c r="Y3341" s="283"/>
      <c r="Z3341" s="283"/>
      <c r="AA3341" s="283"/>
      <c r="AB3341" s="283"/>
      <c r="AC3341" s="283"/>
      <c r="AD3341" s="283"/>
      <c r="AE3341" s="49">
        <v>0.875</v>
      </c>
      <c r="AF3341" s="64"/>
      <c r="AG3341" s="283"/>
      <c r="AH3341" s="259">
        <v>0.05</v>
      </c>
      <c r="AI3341" s="259">
        <v>0.05</v>
      </c>
      <c r="AJ3341" s="259">
        <v>0.05</v>
      </c>
      <c r="AK3341" s="260">
        <v>0.32</v>
      </c>
      <c r="AL3341" s="260">
        <v>0.05</v>
      </c>
      <c r="AM3341" s="259">
        <v>0.1</v>
      </c>
      <c r="AN3341" s="18" t="s">
        <v>2250</v>
      </c>
      <c r="AO3341" s="18" t="s">
        <v>6271</v>
      </c>
      <c r="AP3341" s="18"/>
    </row>
    <row r="3342" spans="1:42" customFormat="1" x14ac:dyDescent="0.3">
      <c r="A3342" s="18" t="s">
        <v>1463</v>
      </c>
      <c r="B3342" s="18" t="s">
        <v>5664</v>
      </c>
      <c r="C3342" s="18">
        <v>145</v>
      </c>
      <c r="D3342" s="18" t="s">
        <v>6343</v>
      </c>
      <c r="E3342" s="18">
        <v>1455</v>
      </c>
      <c r="F3342" s="18" t="s">
        <v>6344</v>
      </c>
      <c r="G3342" s="18" t="s">
        <v>6387</v>
      </c>
      <c r="H3342" s="157" t="s">
        <v>6388</v>
      </c>
      <c r="I3342" s="18" t="s">
        <v>6412</v>
      </c>
      <c r="J3342" s="18" t="s">
        <v>6413</v>
      </c>
      <c r="K3342" s="18" t="s">
        <v>6430</v>
      </c>
      <c r="L3342" s="18" t="s">
        <v>6431</v>
      </c>
      <c r="M3342" s="18" t="s">
        <v>6436</v>
      </c>
      <c r="N3342" s="18"/>
      <c r="O3342" s="18">
        <v>1</v>
      </c>
      <c r="P3342" s="16">
        <v>1</v>
      </c>
      <c r="Q3342" s="16">
        <v>1</v>
      </c>
      <c r="R3342" s="16">
        <v>1</v>
      </c>
      <c r="S3342" s="16">
        <v>1</v>
      </c>
      <c r="T3342" s="18" t="s">
        <v>2250</v>
      </c>
      <c r="U3342" t="e">
        <v>#N/A</v>
      </c>
      <c r="V3342" s="18" t="s">
        <v>6437</v>
      </c>
      <c r="W3342" s="283"/>
      <c r="X3342" s="283"/>
      <c r="Y3342" s="283"/>
      <c r="Z3342" s="283"/>
      <c r="AA3342" s="283"/>
      <c r="AB3342" s="283"/>
      <c r="AC3342" s="283"/>
      <c r="AD3342" s="283"/>
      <c r="AE3342" s="49">
        <v>1</v>
      </c>
      <c r="AF3342" s="64"/>
      <c r="AG3342" s="283"/>
      <c r="AH3342" s="259">
        <v>0.5</v>
      </c>
      <c r="AI3342" s="259">
        <v>0.3</v>
      </c>
      <c r="AJ3342" s="259">
        <v>0.27</v>
      </c>
      <c r="AK3342" s="260">
        <v>0.27</v>
      </c>
      <c r="AL3342" s="260">
        <v>0.27</v>
      </c>
      <c r="AM3342" s="259">
        <v>0.54</v>
      </c>
      <c r="AN3342" s="18" t="s">
        <v>2250</v>
      </c>
      <c r="AO3342" s="18" t="s">
        <v>6271</v>
      </c>
      <c r="AP3342" s="18"/>
    </row>
    <row r="3343" spans="1:42" customFormat="1" x14ac:dyDescent="0.3">
      <c r="A3343" s="18" t="s">
        <v>1463</v>
      </c>
      <c r="B3343" s="18" t="s">
        <v>5664</v>
      </c>
      <c r="C3343" s="18">
        <v>145</v>
      </c>
      <c r="D3343" s="18" t="s">
        <v>6343</v>
      </c>
      <c r="E3343" s="18">
        <v>1455</v>
      </c>
      <c r="F3343" s="18" t="s">
        <v>6344</v>
      </c>
      <c r="G3343" s="18" t="s">
        <v>6387</v>
      </c>
      <c r="H3343" s="157" t="s">
        <v>6388</v>
      </c>
      <c r="I3343" s="18" t="s">
        <v>6412</v>
      </c>
      <c r="J3343" s="18" t="s">
        <v>6413</v>
      </c>
      <c r="K3343" s="18" t="s">
        <v>11709</v>
      </c>
      <c r="L3343" s="18" t="s">
        <v>11710</v>
      </c>
      <c r="M3343" s="18" t="s">
        <v>11711</v>
      </c>
      <c r="N3343" s="18"/>
      <c r="O3343" s="18">
        <v>3</v>
      </c>
      <c r="P3343" s="16">
        <v>3</v>
      </c>
      <c r="Q3343" s="16">
        <v>3</v>
      </c>
      <c r="R3343" s="16">
        <v>3</v>
      </c>
      <c r="S3343" s="16">
        <v>3</v>
      </c>
      <c r="T3343" s="18" t="s">
        <v>2250</v>
      </c>
      <c r="U3343" t="e">
        <v>#N/A</v>
      </c>
      <c r="V3343" s="18" t="s">
        <v>11712</v>
      </c>
      <c r="W3343" s="283"/>
      <c r="X3343" s="283"/>
      <c r="Y3343" s="283"/>
      <c r="Z3343" s="283"/>
      <c r="AA3343" s="283"/>
      <c r="AB3343" s="283"/>
      <c r="AC3343" s="283"/>
      <c r="AD3343" s="283"/>
      <c r="AE3343" s="49">
        <v>0.875</v>
      </c>
      <c r="AF3343" s="64"/>
      <c r="AG3343" s="283"/>
      <c r="AH3343" s="259">
        <v>6</v>
      </c>
      <c r="AI3343" s="259">
        <v>6.25</v>
      </c>
      <c r="AJ3343" s="259">
        <v>6.5119999999999996</v>
      </c>
      <c r="AK3343" s="260">
        <v>0</v>
      </c>
      <c r="AL3343" s="260">
        <v>7.077</v>
      </c>
      <c r="AM3343" s="259">
        <v>13.865</v>
      </c>
      <c r="AN3343" s="18" t="s">
        <v>2250</v>
      </c>
      <c r="AO3343" s="18" t="s">
        <v>6271</v>
      </c>
      <c r="AP3343" s="18"/>
    </row>
    <row r="3344" spans="1:42" customFormat="1" x14ac:dyDescent="0.3">
      <c r="A3344" s="386" t="s">
        <v>1463</v>
      </c>
      <c r="B3344" t="s">
        <v>5664</v>
      </c>
      <c r="C3344" s="200" t="s">
        <v>13160</v>
      </c>
      <c r="D3344" t="s">
        <v>6838</v>
      </c>
      <c r="E3344" s="200" t="s">
        <v>13161</v>
      </c>
      <c r="F3344" t="s">
        <v>12811</v>
      </c>
      <c r="G3344" s="200" t="s">
        <v>13162</v>
      </c>
      <c r="H3344" t="s">
        <v>12812</v>
      </c>
      <c r="K3344" s="200" t="s">
        <v>13163</v>
      </c>
      <c r="L3344" t="s">
        <v>12754</v>
      </c>
      <c r="M3344" s="1"/>
      <c r="N3344" s="423"/>
      <c r="O3344" s="1"/>
      <c r="P3344" s="3"/>
      <c r="Q3344" s="3"/>
      <c r="R3344" s="3"/>
      <c r="S3344" s="3"/>
      <c r="V3344" t="s">
        <v>12755</v>
      </c>
      <c r="AF3344" s="64"/>
      <c r="AH3344" s="4"/>
      <c r="AI3344" s="4"/>
      <c r="AJ3344" s="4"/>
      <c r="AK3344" s="398"/>
      <c r="AL3344" s="398"/>
      <c r="AM3344" s="4"/>
    </row>
    <row r="3345" spans="1:39" customFormat="1" x14ac:dyDescent="0.3">
      <c r="A3345" s="386" t="s">
        <v>1463</v>
      </c>
      <c r="B3345" t="s">
        <v>5664</v>
      </c>
      <c r="C3345" s="200" t="s">
        <v>13160</v>
      </c>
      <c r="D3345" t="s">
        <v>6838</v>
      </c>
      <c r="E3345" s="200" t="s">
        <v>13161</v>
      </c>
      <c r="F3345" t="s">
        <v>12811</v>
      </c>
      <c r="G3345" s="200" t="s">
        <v>13162</v>
      </c>
      <c r="H3345" t="s">
        <v>12812</v>
      </c>
      <c r="K3345" s="200" t="s">
        <v>13164</v>
      </c>
      <c r="L3345" t="s">
        <v>12808</v>
      </c>
      <c r="M3345" s="1"/>
      <c r="N3345" s="423"/>
      <c r="O3345" s="1"/>
      <c r="P3345" s="3"/>
      <c r="Q3345" s="3"/>
      <c r="R3345" s="3"/>
      <c r="S3345" s="3"/>
      <c r="V3345" t="s">
        <v>12809</v>
      </c>
      <c r="AF3345" s="64"/>
      <c r="AH3345" s="4"/>
      <c r="AI3345" s="4"/>
      <c r="AJ3345" s="4"/>
      <c r="AK3345" s="398"/>
      <c r="AL3345" s="398"/>
      <c r="AM3345" s="4"/>
    </row>
    <row r="3346" spans="1:39" customFormat="1" x14ac:dyDescent="0.3">
      <c r="A3346" s="386" t="s">
        <v>1463</v>
      </c>
      <c r="B3346" t="s">
        <v>5664</v>
      </c>
      <c r="C3346" s="200" t="s">
        <v>13160</v>
      </c>
      <c r="D3346" t="s">
        <v>6838</v>
      </c>
      <c r="E3346" s="200" t="s">
        <v>13161</v>
      </c>
      <c r="F3346" t="s">
        <v>12811</v>
      </c>
      <c r="G3346" s="200" t="s">
        <v>13162</v>
      </c>
      <c r="H3346" t="s">
        <v>12812</v>
      </c>
      <c r="K3346" s="200" t="s">
        <v>13165</v>
      </c>
      <c r="L3346" t="s">
        <v>12756</v>
      </c>
      <c r="M3346" s="1" t="s">
        <v>5766</v>
      </c>
      <c r="N3346" s="423"/>
      <c r="O3346" s="1"/>
      <c r="P3346" s="3"/>
      <c r="Q3346" s="3"/>
      <c r="R3346" s="3"/>
      <c r="S3346" s="3"/>
      <c r="V3346" t="s">
        <v>12792</v>
      </c>
      <c r="AF3346" s="64"/>
      <c r="AH3346" s="4"/>
      <c r="AI3346" s="4"/>
      <c r="AJ3346" s="4"/>
      <c r="AK3346" s="46"/>
      <c r="AL3346" s="46"/>
      <c r="AM3346" s="4"/>
    </row>
    <row r="3347" spans="1:39" customFormat="1" x14ac:dyDescent="0.3">
      <c r="A3347" s="386" t="s">
        <v>1463</v>
      </c>
      <c r="B3347" t="s">
        <v>5664</v>
      </c>
      <c r="C3347" s="200" t="s">
        <v>13160</v>
      </c>
      <c r="D3347" t="s">
        <v>6838</v>
      </c>
      <c r="E3347" s="200" t="s">
        <v>13161</v>
      </c>
      <c r="F3347" t="s">
        <v>12811</v>
      </c>
      <c r="G3347" s="200" t="s">
        <v>13162</v>
      </c>
      <c r="H3347" t="s">
        <v>12812</v>
      </c>
      <c r="K3347" s="200" t="s">
        <v>13166</v>
      </c>
      <c r="L3347" t="s">
        <v>12757</v>
      </c>
      <c r="M3347" s="1" t="s">
        <v>12758</v>
      </c>
      <c r="N3347" s="423"/>
      <c r="O3347" s="1"/>
      <c r="P3347" s="3"/>
      <c r="Q3347" s="3"/>
      <c r="R3347" s="3"/>
      <c r="S3347" s="3"/>
      <c r="V3347" t="s">
        <v>12793</v>
      </c>
      <c r="AF3347" s="64"/>
      <c r="AH3347" s="4"/>
      <c r="AI3347" s="4"/>
      <c r="AJ3347" s="4"/>
      <c r="AK3347" s="46"/>
      <c r="AL3347" s="46"/>
      <c r="AM3347" s="4"/>
    </row>
    <row r="3348" spans="1:39" customFormat="1" x14ac:dyDescent="0.3">
      <c r="A3348" s="386" t="s">
        <v>1463</v>
      </c>
      <c r="B3348" t="s">
        <v>5664</v>
      </c>
      <c r="C3348" s="200" t="s">
        <v>13160</v>
      </c>
      <c r="D3348" t="s">
        <v>6838</v>
      </c>
      <c r="E3348" s="200" t="s">
        <v>13161</v>
      </c>
      <c r="F3348" t="s">
        <v>12811</v>
      </c>
      <c r="G3348" s="200" t="s">
        <v>13162</v>
      </c>
      <c r="H3348" t="s">
        <v>12812</v>
      </c>
      <c r="K3348" s="200" t="s">
        <v>13167</v>
      </c>
      <c r="L3348" t="s">
        <v>12759</v>
      </c>
      <c r="M3348" s="1" t="s">
        <v>12760</v>
      </c>
      <c r="N3348" s="423"/>
      <c r="O3348" s="1"/>
      <c r="P3348" s="3"/>
      <c r="Q3348" s="3"/>
      <c r="R3348" s="3"/>
      <c r="S3348" s="3"/>
      <c r="V3348" t="s">
        <v>12794</v>
      </c>
      <c r="AF3348" s="64"/>
      <c r="AH3348" s="4"/>
      <c r="AI3348" s="4"/>
      <c r="AJ3348" s="4"/>
      <c r="AK3348" s="46"/>
      <c r="AL3348" s="46"/>
      <c r="AM3348" s="4"/>
    </row>
    <row r="3349" spans="1:39" customFormat="1" x14ac:dyDescent="0.3">
      <c r="A3349" s="386" t="s">
        <v>1463</v>
      </c>
      <c r="B3349" t="s">
        <v>5664</v>
      </c>
      <c r="C3349" s="200" t="s">
        <v>13160</v>
      </c>
      <c r="D3349" t="s">
        <v>6838</v>
      </c>
      <c r="E3349" s="200" t="s">
        <v>13161</v>
      </c>
      <c r="F3349" t="s">
        <v>12811</v>
      </c>
      <c r="G3349" s="200" t="s">
        <v>13162</v>
      </c>
      <c r="H3349" t="s">
        <v>12812</v>
      </c>
      <c r="K3349" s="200" t="s">
        <v>13168</v>
      </c>
      <c r="L3349" t="s">
        <v>12761</v>
      </c>
      <c r="M3349" s="1" t="s">
        <v>12762</v>
      </c>
      <c r="N3349" s="423"/>
      <c r="O3349" s="1"/>
      <c r="P3349" s="3"/>
      <c r="Q3349" s="3"/>
      <c r="R3349" s="3"/>
      <c r="S3349" s="3"/>
      <c r="V3349" t="s">
        <v>5782</v>
      </c>
      <c r="AF3349" s="64"/>
      <c r="AH3349" s="4"/>
      <c r="AI3349" s="4"/>
      <c r="AJ3349" s="4"/>
      <c r="AK3349" s="46"/>
      <c r="AL3349" s="46"/>
      <c r="AM3349" s="4"/>
    </row>
    <row r="3350" spans="1:39" customFormat="1" x14ac:dyDescent="0.3">
      <c r="A3350" s="386" t="s">
        <v>1463</v>
      </c>
      <c r="B3350" t="s">
        <v>5664</v>
      </c>
      <c r="C3350" s="200" t="s">
        <v>13160</v>
      </c>
      <c r="D3350" t="s">
        <v>6838</v>
      </c>
      <c r="E3350" s="200" t="s">
        <v>13161</v>
      </c>
      <c r="F3350" t="s">
        <v>12811</v>
      </c>
      <c r="G3350" s="200" t="s">
        <v>13162</v>
      </c>
      <c r="H3350" t="s">
        <v>12812</v>
      </c>
      <c r="K3350" s="200" t="s">
        <v>13169</v>
      </c>
      <c r="L3350" t="s">
        <v>12763</v>
      </c>
      <c r="M3350" s="1" t="s">
        <v>12764</v>
      </c>
      <c r="N3350" s="423"/>
      <c r="O3350" s="1"/>
      <c r="P3350" s="3"/>
      <c r="Q3350" s="3"/>
      <c r="R3350" s="3"/>
      <c r="S3350" s="3"/>
      <c r="V3350" t="s">
        <v>5783</v>
      </c>
      <c r="AF3350" s="64"/>
      <c r="AH3350" s="4"/>
      <c r="AI3350" s="4"/>
      <c r="AJ3350" s="4"/>
      <c r="AK3350" s="46"/>
      <c r="AL3350" s="46"/>
      <c r="AM3350" s="4"/>
    </row>
    <row r="3351" spans="1:39" customFormat="1" x14ac:dyDescent="0.3">
      <c r="A3351" s="386" t="s">
        <v>1463</v>
      </c>
      <c r="B3351" t="s">
        <v>5664</v>
      </c>
      <c r="C3351" s="200" t="s">
        <v>13160</v>
      </c>
      <c r="D3351" t="s">
        <v>6838</v>
      </c>
      <c r="E3351" s="200" t="s">
        <v>13161</v>
      </c>
      <c r="F3351" t="s">
        <v>12811</v>
      </c>
      <c r="G3351" s="200" t="s">
        <v>13162</v>
      </c>
      <c r="H3351" t="s">
        <v>12812</v>
      </c>
      <c r="K3351" s="200" t="s">
        <v>13170</v>
      </c>
      <c r="L3351" t="s">
        <v>12765</v>
      </c>
      <c r="M3351" s="1" t="s">
        <v>12766</v>
      </c>
      <c r="N3351" s="423"/>
      <c r="O3351" s="1"/>
      <c r="P3351" s="3"/>
      <c r="Q3351" s="3"/>
      <c r="R3351" s="3"/>
      <c r="S3351" s="3"/>
      <c r="V3351" t="s">
        <v>12795</v>
      </c>
      <c r="AF3351" s="64"/>
      <c r="AH3351" s="4"/>
      <c r="AI3351" s="4"/>
      <c r="AJ3351" s="4"/>
      <c r="AK3351" s="46"/>
      <c r="AL3351" s="46"/>
      <c r="AM3351" s="4"/>
    </row>
    <row r="3352" spans="1:39" customFormat="1" x14ac:dyDescent="0.3">
      <c r="A3352" s="386" t="s">
        <v>1463</v>
      </c>
      <c r="B3352" t="s">
        <v>5664</v>
      </c>
      <c r="C3352" s="200" t="s">
        <v>13160</v>
      </c>
      <c r="D3352" t="s">
        <v>6838</v>
      </c>
      <c r="E3352" s="200" t="s">
        <v>13161</v>
      </c>
      <c r="F3352" t="s">
        <v>12811</v>
      </c>
      <c r="G3352" s="200" t="s">
        <v>13162</v>
      </c>
      <c r="H3352" t="s">
        <v>12812</v>
      </c>
      <c r="K3352" s="200" t="s">
        <v>13171</v>
      </c>
      <c r="L3352" t="s">
        <v>12767</v>
      </c>
      <c r="M3352" s="1" t="s">
        <v>12768</v>
      </c>
      <c r="N3352" s="423"/>
      <c r="O3352" s="1"/>
      <c r="P3352" s="3"/>
      <c r="Q3352" s="3"/>
      <c r="R3352" s="3"/>
      <c r="S3352" s="3"/>
      <c r="V3352" t="s">
        <v>12796</v>
      </c>
      <c r="AF3352" s="64"/>
      <c r="AH3352" s="4"/>
      <c r="AI3352" s="4"/>
      <c r="AJ3352" s="4"/>
      <c r="AK3352" s="46"/>
      <c r="AL3352" s="46"/>
      <c r="AM3352" s="4"/>
    </row>
    <row r="3353" spans="1:39" customFormat="1" x14ac:dyDescent="0.3">
      <c r="A3353" s="386" t="s">
        <v>1463</v>
      </c>
      <c r="B3353" t="s">
        <v>5664</v>
      </c>
      <c r="C3353" s="200" t="s">
        <v>13160</v>
      </c>
      <c r="D3353" t="s">
        <v>6838</v>
      </c>
      <c r="E3353" s="200" t="s">
        <v>13161</v>
      </c>
      <c r="F3353" t="s">
        <v>12811</v>
      </c>
      <c r="G3353" s="200" t="s">
        <v>13162</v>
      </c>
      <c r="H3353" t="s">
        <v>12812</v>
      </c>
      <c r="K3353" s="200" t="s">
        <v>13172</v>
      </c>
      <c r="L3353" t="s">
        <v>12769</v>
      </c>
      <c r="M3353" s="1" t="s">
        <v>12770</v>
      </c>
      <c r="N3353" s="423"/>
      <c r="O3353" s="1"/>
      <c r="P3353" s="3"/>
      <c r="Q3353" s="3"/>
      <c r="R3353" s="3"/>
      <c r="S3353" s="3"/>
      <c r="V3353" t="s">
        <v>5786</v>
      </c>
      <c r="AF3353" s="64"/>
      <c r="AH3353" s="4"/>
      <c r="AI3353" s="4"/>
      <c r="AJ3353" s="4"/>
      <c r="AK3353" s="46"/>
      <c r="AL3353" s="46"/>
      <c r="AM3353" s="4"/>
    </row>
    <row r="3354" spans="1:39" customFormat="1" x14ac:dyDescent="0.3">
      <c r="A3354" s="386" t="s">
        <v>1463</v>
      </c>
      <c r="B3354" t="s">
        <v>5664</v>
      </c>
      <c r="C3354" s="200" t="s">
        <v>13160</v>
      </c>
      <c r="D3354" t="s">
        <v>6838</v>
      </c>
      <c r="E3354" s="200" t="s">
        <v>13161</v>
      </c>
      <c r="F3354" t="s">
        <v>12811</v>
      </c>
      <c r="G3354" s="200" t="s">
        <v>13162</v>
      </c>
      <c r="H3354" t="s">
        <v>12812</v>
      </c>
      <c r="K3354" s="200" t="s">
        <v>13173</v>
      </c>
      <c r="L3354" t="s">
        <v>12771</v>
      </c>
      <c r="M3354" s="1" t="s">
        <v>12772</v>
      </c>
      <c r="N3354" s="423"/>
      <c r="O3354" s="1"/>
      <c r="P3354" s="3"/>
      <c r="Q3354" s="3"/>
      <c r="R3354" s="3"/>
      <c r="S3354" s="3"/>
      <c r="V3354" t="s">
        <v>12800</v>
      </c>
      <c r="AF3354" s="64"/>
      <c r="AH3354" s="4"/>
      <c r="AI3354" s="4"/>
      <c r="AJ3354" s="4"/>
      <c r="AK3354" s="46"/>
      <c r="AL3354" s="46"/>
      <c r="AM3354" s="4"/>
    </row>
    <row r="3355" spans="1:39" customFormat="1" x14ac:dyDescent="0.3">
      <c r="A3355" s="386" t="s">
        <v>1463</v>
      </c>
      <c r="B3355" t="s">
        <v>5664</v>
      </c>
      <c r="C3355" s="200" t="s">
        <v>13160</v>
      </c>
      <c r="D3355" t="s">
        <v>6838</v>
      </c>
      <c r="E3355" s="200" t="s">
        <v>13161</v>
      </c>
      <c r="F3355" t="s">
        <v>12811</v>
      </c>
      <c r="G3355" s="200" t="s">
        <v>13162</v>
      </c>
      <c r="H3355" t="s">
        <v>12812</v>
      </c>
      <c r="K3355" s="200" t="s">
        <v>13174</v>
      </c>
      <c r="L3355" t="s">
        <v>12773</v>
      </c>
      <c r="M3355" s="1" t="s">
        <v>12774</v>
      </c>
      <c r="N3355" s="423"/>
      <c r="O3355" s="1"/>
      <c r="P3355" s="3"/>
      <c r="Q3355" s="3"/>
      <c r="R3355" s="3"/>
      <c r="S3355" s="3"/>
      <c r="V3355" t="s">
        <v>12797</v>
      </c>
      <c r="AF3355" s="64"/>
      <c r="AH3355" s="4"/>
      <c r="AI3355" s="4"/>
      <c r="AJ3355" s="4"/>
      <c r="AK3355" s="46"/>
      <c r="AL3355" s="46"/>
      <c r="AM3355" s="4"/>
    </row>
    <row r="3356" spans="1:39" customFormat="1" x14ac:dyDescent="0.3">
      <c r="A3356" s="386" t="s">
        <v>1463</v>
      </c>
      <c r="B3356" t="s">
        <v>5664</v>
      </c>
      <c r="C3356" s="200" t="s">
        <v>13160</v>
      </c>
      <c r="D3356" t="s">
        <v>6838</v>
      </c>
      <c r="E3356" s="200" t="s">
        <v>13161</v>
      </c>
      <c r="F3356" t="s">
        <v>12811</v>
      </c>
      <c r="G3356" s="200" t="s">
        <v>13162</v>
      </c>
      <c r="H3356" t="s">
        <v>12812</v>
      </c>
      <c r="K3356" s="200" t="s">
        <v>13175</v>
      </c>
      <c r="L3356" t="s">
        <v>12775</v>
      </c>
      <c r="M3356" s="1" t="s">
        <v>12776</v>
      </c>
      <c r="N3356" s="423"/>
      <c r="O3356" s="1"/>
      <c r="P3356" s="3"/>
      <c r="Q3356" s="3"/>
      <c r="R3356" s="3"/>
      <c r="S3356" s="3"/>
      <c r="V3356" t="s">
        <v>12798</v>
      </c>
      <c r="AF3356" s="64"/>
      <c r="AH3356" s="4"/>
      <c r="AI3356" s="4"/>
      <c r="AJ3356" s="4"/>
      <c r="AK3356" s="46"/>
      <c r="AL3356" s="46"/>
      <c r="AM3356" s="4"/>
    </row>
    <row r="3357" spans="1:39" customFormat="1" x14ac:dyDescent="0.3">
      <c r="A3357" s="386" t="s">
        <v>1463</v>
      </c>
      <c r="B3357" t="s">
        <v>5664</v>
      </c>
      <c r="C3357" s="200" t="s">
        <v>13160</v>
      </c>
      <c r="D3357" t="s">
        <v>6838</v>
      </c>
      <c r="E3357" s="200" t="s">
        <v>13161</v>
      </c>
      <c r="F3357" t="s">
        <v>12811</v>
      </c>
      <c r="G3357" s="200" t="s">
        <v>13162</v>
      </c>
      <c r="H3357" t="s">
        <v>12812</v>
      </c>
      <c r="K3357" s="200" t="s">
        <v>13176</v>
      </c>
      <c r="L3357" t="s">
        <v>12777</v>
      </c>
      <c r="M3357" s="1" t="s">
        <v>12778</v>
      </c>
      <c r="N3357" s="423"/>
      <c r="O3357" s="1"/>
      <c r="P3357" s="3"/>
      <c r="Q3357" s="3"/>
      <c r="R3357" s="3"/>
      <c r="S3357" s="3"/>
      <c r="V3357" t="s">
        <v>5789</v>
      </c>
      <c r="AF3357" s="64"/>
      <c r="AH3357" s="4"/>
      <c r="AI3357" s="4"/>
      <c r="AJ3357" s="4"/>
      <c r="AK3357" s="46"/>
      <c r="AL3357" s="46"/>
      <c r="AM3357" s="4"/>
    </row>
    <row r="3358" spans="1:39" customFormat="1" x14ac:dyDescent="0.3">
      <c r="A3358" s="386" t="s">
        <v>1463</v>
      </c>
      <c r="B3358" t="s">
        <v>5664</v>
      </c>
      <c r="C3358" s="200" t="s">
        <v>13160</v>
      </c>
      <c r="D3358" t="s">
        <v>6838</v>
      </c>
      <c r="E3358" s="200" t="s">
        <v>13161</v>
      </c>
      <c r="F3358" t="s">
        <v>12811</v>
      </c>
      <c r="G3358" s="200" t="s">
        <v>13162</v>
      </c>
      <c r="H3358" t="s">
        <v>12812</v>
      </c>
      <c r="K3358" s="200" t="s">
        <v>13177</v>
      </c>
      <c r="L3358" t="s">
        <v>12779</v>
      </c>
      <c r="M3358" s="1" t="s">
        <v>12780</v>
      </c>
      <c r="N3358" s="423"/>
      <c r="O3358" s="1"/>
      <c r="P3358" s="3"/>
      <c r="Q3358" s="3"/>
      <c r="R3358" s="3"/>
      <c r="S3358" s="3"/>
      <c r="V3358" t="s">
        <v>12799</v>
      </c>
      <c r="AF3358" s="64"/>
      <c r="AH3358" s="4"/>
      <c r="AI3358" s="4"/>
      <c r="AJ3358" s="4"/>
      <c r="AK3358" s="46"/>
      <c r="AL3358" s="46"/>
      <c r="AM3358" s="4"/>
    </row>
    <row r="3359" spans="1:39" customFormat="1" x14ac:dyDescent="0.3">
      <c r="A3359" s="386" t="s">
        <v>1463</v>
      </c>
      <c r="B3359" t="s">
        <v>5664</v>
      </c>
      <c r="C3359" s="200" t="s">
        <v>13160</v>
      </c>
      <c r="D3359" t="s">
        <v>6838</v>
      </c>
      <c r="E3359" s="200" t="s">
        <v>13161</v>
      </c>
      <c r="F3359" t="s">
        <v>12811</v>
      </c>
      <c r="G3359" s="200" t="s">
        <v>13162</v>
      </c>
      <c r="H3359" t="s">
        <v>12812</v>
      </c>
      <c r="K3359" s="200" t="s">
        <v>13178</v>
      </c>
      <c r="L3359" t="s">
        <v>12806</v>
      </c>
      <c r="M3359" s="1" t="s">
        <v>12781</v>
      </c>
      <c r="N3359" s="423"/>
      <c r="O3359" s="1"/>
      <c r="P3359" s="3"/>
      <c r="Q3359" s="3"/>
      <c r="R3359" s="3"/>
      <c r="S3359" s="3"/>
      <c r="V3359" t="s">
        <v>12805</v>
      </c>
      <c r="AF3359" s="64"/>
      <c r="AH3359" s="4"/>
      <c r="AI3359" s="4"/>
      <c r="AJ3359" s="4"/>
      <c r="AK3359" s="46"/>
      <c r="AL3359" s="46"/>
      <c r="AM3359" s="4"/>
    </row>
    <row r="3360" spans="1:39" customFormat="1" x14ac:dyDescent="0.3">
      <c r="A3360" s="386" t="s">
        <v>1463</v>
      </c>
      <c r="B3360" t="s">
        <v>5664</v>
      </c>
      <c r="C3360" s="200" t="s">
        <v>13160</v>
      </c>
      <c r="D3360" t="s">
        <v>6838</v>
      </c>
      <c r="E3360" s="200" t="s">
        <v>13161</v>
      </c>
      <c r="F3360" t="s">
        <v>12811</v>
      </c>
      <c r="G3360" s="200" t="s">
        <v>13162</v>
      </c>
      <c r="H3360" t="s">
        <v>12812</v>
      </c>
      <c r="K3360" s="200" t="s">
        <v>13179</v>
      </c>
      <c r="L3360" t="s">
        <v>12782</v>
      </c>
      <c r="M3360" s="1"/>
      <c r="N3360" s="423"/>
      <c r="O3360" s="1"/>
      <c r="P3360" s="3"/>
      <c r="Q3360" s="3"/>
      <c r="R3360" s="3"/>
      <c r="S3360" s="3"/>
      <c r="V3360" t="s">
        <v>12782</v>
      </c>
      <c r="AF3360" s="64"/>
      <c r="AH3360" s="4"/>
      <c r="AI3360" s="4"/>
      <c r="AJ3360" s="4"/>
      <c r="AK3360" s="46"/>
      <c r="AL3360" s="46"/>
      <c r="AM3360" s="4"/>
    </row>
    <row r="3361" spans="1:42" customFormat="1" x14ac:dyDescent="0.3">
      <c r="A3361" s="386" t="s">
        <v>1463</v>
      </c>
      <c r="B3361" t="s">
        <v>5664</v>
      </c>
      <c r="C3361" s="200" t="s">
        <v>13160</v>
      </c>
      <c r="D3361" t="s">
        <v>6838</v>
      </c>
      <c r="E3361" s="200" t="s">
        <v>13161</v>
      </c>
      <c r="F3361" t="s">
        <v>12811</v>
      </c>
      <c r="G3361" s="200" t="s">
        <v>13162</v>
      </c>
      <c r="H3361" t="s">
        <v>12812</v>
      </c>
      <c r="K3361" s="200" t="s">
        <v>13163</v>
      </c>
      <c r="L3361" t="s">
        <v>12783</v>
      </c>
      <c r="M3361" s="1" t="s">
        <v>12784</v>
      </c>
      <c r="N3361" s="423"/>
      <c r="O3361" s="1"/>
      <c r="P3361" s="3"/>
      <c r="Q3361" s="3"/>
      <c r="R3361" s="3"/>
      <c r="S3361" s="3"/>
      <c r="V3361" t="s">
        <v>12783</v>
      </c>
      <c r="AF3361" s="64"/>
      <c r="AH3361" s="4"/>
      <c r="AI3361" s="4"/>
      <c r="AJ3361" s="4"/>
      <c r="AK3361" s="46"/>
      <c r="AL3361" s="46"/>
      <c r="AM3361" s="4"/>
    </row>
    <row r="3362" spans="1:42" customFormat="1" x14ac:dyDescent="0.3">
      <c r="A3362" s="386" t="s">
        <v>1463</v>
      </c>
      <c r="B3362" t="s">
        <v>5664</v>
      </c>
      <c r="C3362" s="200" t="s">
        <v>13160</v>
      </c>
      <c r="D3362" t="s">
        <v>6838</v>
      </c>
      <c r="E3362" s="200" t="s">
        <v>13161</v>
      </c>
      <c r="F3362" t="s">
        <v>12811</v>
      </c>
      <c r="G3362" s="200" t="s">
        <v>13162</v>
      </c>
      <c r="H3362" t="s">
        <v>12812</v>
      </c>
      <c r="K3362" s="200" t="s">
        <v>13163</v>
      </c>
      <c r="L3362" t="s">
        <v>12785</v>
      </c>
      <c r="M3362" s="1" t="s">
        <v>12786</v>
      </c>
      <c r="N3362" s="423"/>
      <c r="O3362" s="1"/>
      <c r="P3362" s="3"/>
      <c r="Q3362" s="3"/>
      <c r="R3362" s="3"/>
      <c r="S3362" s="3"/>
      <c r="V3362" t="s">
        <v>12801</v>
      </c>
      <c r="AF3362" s="64"/>
      <c r="AH3362" s="4"/>
      <c r="AI3362" s="4"/>
      <c r="AJ3362" s="4"/>
      <c r="AK3362" s="46"/>
      <c r="AL3362" s="46"/>
      <c r="AM3362" s="4"/>
    </row>
    <row r="3363" spans="1:42" customFormat="1" x14ac:dyDescent="0.3">
      <c r="A3363" s="386" t="s">
        <v>1463</v>
      </c>
      <c r="B3363" t="s">
        <v>5664</v>
      </c>
      <c r="C3363" s="200" t="s">
        <v>13160</v>
      </c>
      <c r="D3363" t="s">
        <v>6838</v>
      </c>
      <c r="E3363" s="200" t="s">
        <v>13161</v>
      </c>
      <c r="F3363" t="s">
        <v>12811</v>
      </c>
      <c r="G3363" s="200" t="s">
        <v>13162</v>
      </c>
      <c r="H3363" t="s">
        <v>12812</v>
      </c>
      <c r="K3363" s="200" t="s">
        <v>13180</v>
      </c>
      <c r="L3363" t="s">
        <v>12787</v>
      </c>
      <c r="M3363" s="1" t="s">
        <v>12788</v>
      </c>
      <c r="N3363" s="423"/>
      <c r="O3363" s="1"/>
      <c r="P3363" s="3"/>
      <c r="Q3363" s="3"/>
      <c r="R3363" s="3"/>
      <c r="S3363" s="3"/>
      <c r="V3363" t="s">
        <v>12802</v>
      </c>
      <c r="AF3363" s="64"/>
      <c r="AH3363" s="4"/>
      <c r="AI3363" s="4"/>
      <c r="AJ3363" s="4"/>
      <c r="AK3363" s="46"/>
      <c r="AL3363" s="46"/>
      <c r="AM3363" s="4"/>
    </row>
    <row r="3364" spans="1:42" customFormat="1" x14ac:dyDescent="0.3">
      <c r="A3364" s="386" t="s">
        <v>1463</v>
      </c>
      <c r="B3364" t="s">
        <v>5664</v>
      </c>
      <c r="C3364" s="200" t="s">
        <v>13160</v>
      </c>
      <c r="D3364" t="s">
        <v>6838</v>
      </c>
      <c r="E3364" s="200" t="s">
        <v>13161</v>
      </c>
      <c r="F3364" t="s">
        <v>12811</v>
      </c>
      <c r="G3364" s="200" t="s">
        <v>13162</v>
      </c>
      <c r="H3364" t="s">
        <v>12812</v>
      </c>
      <c r="K3364" s="200" t="s">
        <v>13181</v>
      </c>
      <c r="L3364" t="s">
        <v>12789</v>
      </c>
      <c r="M3364" s="1" t="s">
        <v>12790</v>
      </c>
      <c r="N3364" s="423"/>
      <c r="O3364" s="1"/>
      <c r="P3364" s="3"/>
      <c r="Q3364" s="3"/>
      <c r="R3364" s="3"/>
      <c r="S3364" s="3"/>
      <c r="V3364" t="s">
        <v>12803</v>
      </c>
      <c r="AF3364" s="64"/>
      <c r="AH3364" s="4"/>
      <c r="AI3364" s="4"/>
      <c r="AJ3364" s="4"/>
      <c r="AK3364" s="46"/>
      <c r="AL3364" s="46"/>
      <c r="AM3364" s="4"/>
    </row>
    <row r="3365" spans="1:42" customFormat="1" x14ac:dyDescent="0.3">
      <c r="A3365" s="386" t="s">
        <v>1463</v>
      </c>
      <c r="B3365" t="s">
        <v>5664</v>
      </c>
      <c r="C3365" s="200" t="s">
        <v>13160</v>
      </c>
      <c r="D3365" t="s">
        <v>6838</v>
      </c>
      <c r="E3365" s="200" t="s">
        <v>13161</v>
      </c>
      <c r="F3365" t="s">
        <v>12811</v>
      </c>
      <c r="G3365" s="200" t="s">
        <v>13162</v>
      </c>
      <c r="H3365" t="s">
        <v>12812</v>
      </c>
      <c r="K3365" s="200" t="s">
        <v>13182</v>
      </c>
      <c r="L3365" t="s">
        <v>12791</v>
      </c>
      <c r="M3365" s="1" t="s">
        <v>12807</v>
      </c>
      <c r="N3365" s="423"/>
      <c r="O3365" s="1"/>
      <c r="P3365" s="3"/>
      <c r="Q3365" s="3"/>
      <c r="R3365" s="3"/>
      <c r="S3365" s="3"/>
      <c r="V3365" t="s">
        <v>12804</v>
      </c>
      <c r="AF3365" s="64"/>
      <c r="AH3365" s="4"/>
      <c r="AI3365" s="4"/>
      <c r="AJ3365" s="4"/>
      <c r="AK3365" s="46"/>
      <c r="AL3365" s="46"/>
      <c r="AM3365" s="4"/>
    </row>
    <row r="3366" spans="1:42" s="293" customFormat="1" x14ac:dyDescent="0.3">
      <c r="A3366" s="50" t="s">
        <v>1470</v>
      </c>
      <c r="B3366" s="51" t="s">
        <v>1502</v>
      </c>
      <c r="C3366" s="50" t="s">
        <v>1503</v>
      </c>
      <c r="D3366" s="51" t="s">
        <v>1491</v>
      </c>
      <c r="E3366" s="50" t="s">
        <v>1503</v>
      </c>
      <c r="F3366" s="51" t="s">
        <v>1493</v>
      </c>
      <c r="G3366" s="50" t="s">
        <v>1503</v>
      </c>
      <c r="H3366" s="51" t="s">
        <v>1491</v>
      </c>
      <c r="I3366" s="51"/>
      <c r="J3366" s="51"/>
      <c r="K3366" s="50" t="s">
        <v>1503</v>
      </c>
      <c r="L3366" s="51" t="s">
        <v>1491</v>
      </c>
      <c r="M3366" s="420" t="s">
        <v>271</v>
      </c>
      <c r="N3366" s="420" t="s">
        <v>271</v>
      </c>
      <c r="O3366" s="420" t="s">
        <v>271</v>
      </c>
      <c r="P3366" s="60" t="s">
        <v>271</v>
      </c>
      <c r="Q3366" s="60" t="s">
        <v>271</v>
      </c>
      <c r="R3366" s="60" t="s">
        <v>271</v>
      </c>
      <c r="S3366" s="60" t="s">
        <v>271</v>
      </c>
      <c r="T3366" s="60" t="s">
        <v>271</v>
      </c>
      <c r="U3366" s="60" t="s">
        <v>271</v>
      </c>
      <c r="V3366" s="51" t="s">
        <v>1489</v>
      </c>
      <c r="W3366" s="291"/>
      <c r="X3366" s="291"/>
      <c r="Y3366" s="291"/>
      <c r="Z3366" s="291"/>
      <c r="AA3366" s="291"/>
      <c r="AB3366" s="291"/>
      <c r="AC3366" s="291"/>
      <c r="AD3366" s="291"/>
      <c r="AE3366" s="292"/>
      <c r="AF3366" s="56"/>
      <c r="AG3366" s="292"/>
      <c r="AH3366" s="56"/>
      <c r="AI3366" s="56"/>
      <c r="AJ3366" s="56"/>
      <c r="AK3366" s="57">
        <v>4.0999999999999996</v>
      </c>
      <c r="AL3366" s="57">
        <v>4.0999999999999996</v>
      </c>
      <c r="AM3366" s="147">
        <f t="shared" ref="AM3366:AM3397" si="124">SUM(AK3366:AL3366)</f>
        <v>8.1999999999999993</v>
      </c>
      <c r="AN3366" s="52"/>
      <c r="AO3366" s="52"/>
      <c r="AP3366" s="51"/>
    </row>
    <row r="3367" spans="1:42" s="293" customFormat="1" x14ac:dyDescent="0.3">
      <c r="A3367" s="50" t="s">
        <v>1470</v>
      </c>
      <c r="B3367" s="51" t="s">
        <v>1502</v>
      </c>
      <c r="C3367" s="50" t="s">
        <v>1503</v>
      </c>
      <c r="D3367" s="51" t="s">
        <v>1491</v>
      </c>
      <c r="E3367" s="50" t="s">
        <v>1503</v>
      </c>
      <c r="F3367" s="51" t="s">
        <v>1493</v>
      </c>
      <c r="G3367" s="50" t="s">
        <v>1503</v>
      </c>
      <c r="H3367" s="51" t="s">
        <v>1491</v>
      </c>
      <c r="I3367" s="51"/>
      <c r="J3367" s="51"/>
      <c r="K3367" s="50" t="s">
        <v>1503</v>
      </c>
      <c r="L3367" s="51" t="s">
        <v>1491</v>
      </c>
      <c r="M3367" s="420" t="s">
        <v>271</v>
      </c>
      <c r="N3367" s="420" t="s">
        <v>271</v>
      </c>
      <c r="O3367" s="420" t="s">
        <v>271</v>
      </c>
      <c r="P3367" s="60" t="s">
        <v>271</v>
      </c>
      <c r="Q3367" s="60" t="s">
        <v>271</v>
      </c>
      <c r="R3367" s="60" t="s">
        <v>271</v>
      </c>
      <c r="S3367" s="60" t="s">
        <v>271</v>
      </c>
      <c r="T3367" s="60" t="s">
        <v>271</v>
      </c>
      <c r="U3367" s="60" t="s">
        <v>271</v>
      </c>
      <c r="V3367" s="51" t="s">
        <v>1490</v>
      </c>
      <c r="W3367" s="291"/>
      <c r="X3367" s="291"/>
      <c r="Y3367" s="291"/>
      <c r="Z3367" s="291"/>
      <c r="AA3367" s="291"/>
      <c r="AB3367" s="291"/>
      <c r="AC3367" s="291"/>
      <c r="AD3367" s="291"/>
      <c r="AE3367" s="292"/>
      <c r="AF3367" s="56"/>
      <c r="AG3367" s="292"/>
      <c r="AH3367" s="56"/>
      <c r="AI3367" s="56"/>
      <c r="AJ3367" s="56"/>
      <c r="AK3367" s="57">
        <v>1.64</v>
      </c>
      <c r="AL3367" s="57">
        <v>1.64</v>
      </c>
      <c r="AM3367" s="147">
        <f t="shared" si="124"/>
        <v>3.28</v>
      </c>
      <c r="AN3367" s="52"/>
      <c r="AO3367" s="52"/>
      <c r="AP3367" s="51"/>
    </row>
    <row r="3368" spans="1:42" s="293" customFormat="1" x14ac:dyDescent="0.3">
      <c r="A3368" s="50" t="s">
        <v>1470</v>
      </c>
      <c r="B3368" s="51" t="s">
        <v>1502</v>
      </c>
      <c r="C3368" s="50" t="s">
        <v>1503</v>
      </c>
      <c r="D3368" s="51" t="s">
        <v>1491</v>
      </c>
      <c r="E3368" s="50" t="s">
        <v>1503</v>
      </c>
      <c r="F3368" s="51" t="s">
        <v>1493</v>
      </c>
      <c r="G3368" s="50" t="s">
        <v>1503</v>
      </c>
      <c r="H3368" s="51" t="s">
        <v>1491</v>
      </c>
      <c r="I3368" s="51"/>
      <c r="J3368" s="51"/>
      <c r="K3368" s="50" t="s">
        <v>1503</v>
      </c>
      <c r="L3368" s="51" t="s">
        <v>1491</v>
      </c>
      <c r="M3368" s="420" t="s">
        <v>271</v>
      </c>
      <c r="N3368" s="420" t="s">
        <v>271</v>
      </c>
      <c r="O3368" s="420" t="s">
        <v>271</v>
      </c>
      <c r="P3368" s="60" t="s">
        <v>271</v>
      </c>
      <c r="Q3368" s="60" t="s">
        <v>271</v>
      </c>
      <c r="R3368" s="60" t="s">
        <v>271</v>
      </c>
      <c r="S3368" s="60" t="s">
        <v>271</v>
      </c>
      <c r="T3368" s="60" t="s">
        <v>271</v>
      </c>
      <c r="U3368" s="60" t="s">
        <v>271</v>
      </c>
      <c r="V3368" s="51" t="s">
        <v>1495</v>
      </c>
      <c r="W3368" s="291"/>
      <c r="X3368" s="291"/>
      <c r="Y3368" s="291"/>
      <c r="Z3368" s="291"/>
      <c r="AA3368" s="291"/>
      <c r="AB3368" s="291"/>
      <c r="AC3368" s="291"/>
      <c r="AD3368" s="291"/>
      <c r="AE3368" s="292"/>
      <c r="AF3368" s="56"/>
      <c r="AG3368" s="292"/>
      <c r="AH3368" s="56"/>
      <c r="AI3368" s="56"/>
      <c r="AJ3368" s="56"/>
      <c r="AK3368" s="57">
        <v>8.7322601160000008</v>
      </c>
      <c r="AL3368" s="57">
        <v>10.678712139</v>
      </c>
      <c r="AM3368" s="147">
        <f t="shared" si="124"/>
        <v>19.410972255000001</v>
      </c>
      <c r="AN3368" s="52"/>
      <c r="AO3368" s="52"/>
      <c r="AP3368" s="51"/>
    </row>
    <row r="3369" spans="1:42" x14ac:dyDescent="0.3">
      <c r="A3369" s="314" t="s">
        <v>1470</v>
      </c>
      <c r="B3369" s="283" t="s">
        <v>1502</v>
      </c>
      <c r="C3369" s="314" t="s">
        <v>1471</v>
      </c>
      <c r="D3369" s="283" t="s">
        <v>1504</v>
      </c>
      <c r="E3369" s="314" t="s">
        <v>1505</v>
      </c>
      <c r="F3369" s="283" t="s">
        <v>1506</v>
      </c>
      <c r="G3369" s="314" t="s">
        <v>1507</v>
      </c>
      <c r="H3369" s="283" t="s">
        <v>1508</v>
      </c>
      <c r="I3369" s="315" t="s">
        <v>1509</v>
      </c>
      <c r="J3369" s="315" t="s">
        <v>1510</v>
      </c>
      <c r="K3369" s="314" t="s">
        <v>1511</v>
      </c>
      <c r="L3369" s="283" t="s">
        <v>1512</v>
      </c>
      <c r="M3369" s="1" t="s">
        <v>1513</v>
      </c>
      <c r="N3369" s="442">
        <v>0</v>
      </c>
      <c r="O3369" s="442">
        <v>1</v>
      </c>
      <c r="P3369" s="149" t="s">
        <v>271</v>
      </c>
      <c r="Q3369" s="149" t="s">
        <v>271</v>
      </c>
      <c r="R3369" s="149" t="s">
        <v>271</v>
      </c>
      <c r="S3369" s="19" t="s">
        <v>271</v>
      </c>
      <c r="T3369" s="18" t="s">
        <v>1514</v>
      </c>
      <c r="U3369" s="283" t="e">
        <v>#N/A</v>
      </c>
      <c r="V3369" s="283" t="s">
        <v>1515</v>
      </c>
      <c r="W3369" s="283">
        <v>1</v>
      </c>
      <c r="X3369" s="283">
        <v>0</v>
      </c>
      <c r="Y3369" s="283">
        <v>0</v>
      </c>
      <c r="Z3369" s="283">
        <v>1</v>
      </c>
      <c r="AA3369" s="283">
        <v>1</v>
      </c>
      <c r="AB3369" s="283">
        <v>1</v>
      </c>
      <c r="AC3369" s="316">
        <v>1</v>
      </c>
      <c r="AD3369" s="316">
        <v>0</v>
      </c>
      <c r="AE3369" s="302">
        <f t="shared" ref="AE3369:AE3400" si="125">SUM(W3369:AD3369)/8</f>
        <v>0.625</v>
      </c>
      <c r="AF3369" s="310">
        <v>0</v>
      </c>
      <c r="AG3369" s="17">
        <v>0</v>
      </c>
      <c r="AH3369" s="310">
        <v>0.1</v>
      </c>
      <c r="AI3369" s="310">
        <v>0.1</v>
      </c>
      <c r="AJ3369" s="310">
        <v>0.03</v>
      </c>
      <c r="AK3369" s="317">
        <v>0</v>
      </c>
      <c r="AL3369" s="317"/>
      <c r="AM3369" s="147">
        <f t="shared" si="124"/>
        <v>0</v>
      </c>
      <c r="AN3369" s="18" t="s">
        <v>771</v>
      </c>
      <c r="AO3369" s="18" t="s">
        <v>773</v>
      </c>
      <c r="AP3369" s="283" t="s">
        <v>1516</v>
      </c>
    </row>
    <row r="3370" spans="1:42" x14ac:dyDescent="0.3">
      <c r="A3370" s="314" t="s">
        <v>1470</v>
      </c>
      <c r="B3370" s="283" t="s">
        <v>1502</v>
      </c>
      <c r="C3370" s="314" t="s">
        <v>1471</v>
      </c>
      <c r="D3370" s="283" t="s">
        <v>1504</v>
      </c>
      <c r="E3370" s="314" t="s">
        <v>1505</v>
      </c>
      <c r="F3370" s="283" t="s">
        <v>1506</v>
      </c>
      <c r="G3370" s="314" t="s">
        <v>1507</v>
      </c>
      <c r="H3370" s="283" t="s">
        <v>1508</v>
      </c>
      <c r="I3370" s="315" t="s">
        <v>1509</v>
      </c>
      <c r="J3370" s="315" t="s">
        <v>1510</v>
      </c>
      <c r="K3370" s="314" t="s">
        <v>1517</v>
      </c>
      <c r="L3370" s="283" t="s">
        <v>1518</v>
      </c>
      <c r="M3370" s="1" t="s">
        <v>1519</v>
      </c>
      <c r="N3370" s="442">
        <v>0</v>
      </c>
      <c r="O3370" s="442">
        <v>0</v>
      </c>
      <c r="P3370" s="149">
        <v>1</v>
      </c>
      <c r="Q3370" s="149" t="s">
        <v>271</v>
      </c>
      <c r="R3370" s="149">
        <v>1</v>
      </c>
      <c r="S3370" s="19">
        <v>1</v>
      </c>
      <c r="T3370" s="18" t="s">
        <v>1514</v>
      </c>
      <c r="U3370" s="283" t="e">
        <v>#N/A</v>
      </c>
      <c r="V3370" s="283" t="s">
        <v>1520</v>
      </c>
      <c r="W3370" s="283">
        <v>1</v>
      </c>
      <c r="X3370" s="283">
        <v>0</v>
      </c>
      <c r="Y3370" s="283">
        <v>0</v>
      </c>
      <c r="Z3370" s="283">
        <v>1</v>
      </c>
      <c r="AA3370" s="283">
        <v>1</v>
      </c>
      <c r="AB3370" s="283">
        <v>1</v>
      </c>
      <c r="AC3370" s="316">
        <v>1</v>
      </c>
      <c r="AD3370" s="316">
        <v>1</v>
      </c>
      <c r="AE3370" s="302">
        <f t="shared" si="125"/>
        <v>0.75</v>
      </c>
      <c r="AF3370" s="310">
        <v>0</v>
      </c>
      <c r="AG3370" s="17">
        <v>0</v>
      </c>
      <c r="AH3370" s="310">
        <v>0.91</v>
      </c>
      <c r="AI3370" s="310">
        <v>0.91</v>
      </c>
      <c r="AJ3370" s="310">
        <v>0.91</v>
      </c>
      <c r="AK3370" s="317">
        <v>0.51</v>
      </c>
      <c r="AL3370" s="317">
        <v>0.51</v>
      </c>
      <c r="AM3370" s="147">
        <f t="shared" si="124"/>
        <v>1.02</v>
      </c>
      <c r="AN3370" s="18" t="s">
        <v>771</v>
      </c>
      <c r="AO3370" s="18" t="s">
        <v>773</v>
      </c>
      <c r="AP3370" s="283" t="s">
        <v>1521</v>
      </c>
    </row>
    <row r="3371" spans="1:42" x14ac:dyDescent="0.3">
      <c r="A3371" s="314" t="s">
        <v>1470</v>
      </c>
      <c r="B3371" s="283" t="s">
        <v>1502</v>
      </c>
      <c r="C3371" s="314" t="s">
        <v>1471</v>
      </c>
      <c r="D3371" s="283" t="s">
        <v>1504</v>
      </c>
      <c r="E3371" s="314" t="s">
        <v>1505</v>
      </c>
      <c r="F3371" s="283" t="s">
        <v>1506</v>
      </c>
      <c r="G3371" s="314" t="s">
        <v>1507</v>
      </c>
      <c r="H3371" s="283" t="s">
        <v>1508</v>
      </c>
      <c r="I3371" s="315" t="s">
        <v>1509</v>
      </c>
      <c r="J3371" s="315" t="s">
        <v>1510</v>
      </c>
      <c r="K3371" s="314" t="s">
        <v>1522</v>
      </c>
      <c r="L3371" s="283" t="s">
        <v>1523</v>
      </c>
      <c r="M3371" s="1" t="s">
        <v>1524</v>
      </c>
      <c r="N3371" s="442">
        <v>0</v>
      </c>
      <c r="O3371" s="442">
        <v>4</v>
      </c>
      <c r="P3371" s="149">
        <v>4</v>
      </c>
      <c r="Q3371" s="149">
        <v>4</v>
      </c>
      <c r="R3371" s="149">
        <v>4</v>
      </c>
      <c r="S3371" s="19">
        <v>4</v>
      </c>
      <c r="T3371" s="18" t="s">
        <v>1525</v>
      </c>
      <c r="U3371" s="283" t="e">
        <v>#N/A</v>
      </c>
      <c r="V3371" s="283" t="s">
        <v>1526</v>
      </c>
      <c r="W3371" s="283">
        <v>0</v>
      </c>
      <c r="X3371" s="283">
        <v>0</v>
      </c>
      <c r="Y3371" s="283">
        <v>0</v>
      </c>
      <c r="Z3371" s="283">
        <v>0</v>
      </c>
      <c r="AA3371" s="283">
        <v>0</v>
      </c>
      <c r="AB3371" s="283">
        <v>0</v>
      </c>
      <c r="AC3371" s="316">
        <v>0</v>
      </c>
      <c r="AD3371" s="316">
        <v>0</v>
      </c>
      <c r="AE3371" s="302">
        <f t="shared" si="125"/>
        <v>0</v>
      </c>
      <c r="AF3371" s="310">
        <v>0</v>
      </c>
      <c r="AG3371" s="17">
        <v>0</v>
      </c>
      <c r="AH3371" s="310">
        <v>0</v>
      </c>
      <c r="AI3371" s="310">
        <v>0</v>
      </c>
      <c r="AJ3371" s="310">
        <v>0</v>
      </c>
      <c r="AK3371" s="317">
        <v>0</v>
      </c>
      <c r="AL3371" s="317">
        <v>0</v>
      </c>
      <c r="AM3371" s="147">
        <f t="shared" si="124"/>
        <v>0</v>
      </c>
      <c r="AN3371" s="18" t="s">
        <v>771</v>
      </c>
      <c r="AO3371" s="18" t="s">
        <v>773</v>
      </c>
      <c r="AP3371" s="283" t="s">
        <v>1516</v>
      </c>
    </row>
    <row r="3372" spans="1:42" x14ac:dyDescent="0.3">
      <c r="A3372" s="314" t="s">
        <v>1470</v>
      </c>
      <c r="B3372" s="283" t="s">
        <v>1502</v>
      </c>
      <c r="C3372" s="314" t="s">
        <v>1471</v>
      </c>
      <c r="D3372" s="283" t="s">
        <v>1504</v>
      </c>
      <c r="E3372" s="314" t="s">
        <v>1505</v>
      </c>
      <c r="F3372" s="283" t="s">
        <v>1506</v>
      </c>
      <c r="G3372" s="314" t="s">
        <v>1507</v>
      </c>
      <c r="H3372" s="283" t="s">
        <v>1508</v>
      </c>
      <c r="I3372" s="315" t="s">
        <v>1527</v>
      </c>
      <c r="J3372" s="315" t="s">
        <v>1528</v>
      </c>
      <c r="K3372" s="314" t="s">
        <v>1529</v>
      </c>
      <c r="L3372" s="283" t="s">
        <v>1530</v>
      </c>
      <c r="M3372" s="1" t="s">
        <v>1531</v>
      </c>
      <c r="N3372" s="442">
        <v>2</v>
      </c>
      <c r="O3372" s="442">
        <v>2</v>
      </c>
      <c r="P3372" s="149">
        <v>2</v>
      </c>
      <c r="Q3372" s="149">
        <v>2</v>
      </c>
      <c r="R3372" s="149">
        <v>2</v>
      </c>
      <c r="S3372" s="19">
        <v>2</v>
      </c>
      <c r="T3372" s="18" t="s">
        <v>1532</v>
      </c>
      <c r="U3372" s="283" t="e">
        <v>#N/A</v>
      </c>
      <c r="V3372" s="283" t="s">
        <v>1533</v>
      </c>
      <c r="W3372" s="283">
        <v>1</v>
      </c>
      <c r="X3372" s="283">
        <v>0</v>
      </c>
      <c r="Y3372" s="283">
        <v>0</v>
      </c>
      <c r="Z3372" s="283">
        <v>1</v>
      </c>
      <c r="AA3372" s="283">
        <v>1</v>
      </c>
      <c r="AB3372" s="283">
        <v>1</v>
      </c>
      <c r="AC3372" s="316">
        <v>1</v>
      </c>
      <c r="AD3372" s="316">
        <v>1</v>
      </c>
      <c r="AE3372" s="302">
        <f t="shared" si="125"/>
        <v>0.75</v>
      </c>
      <c r="AF3372" s="310">
        <v>1</v>
      </c>
      <c r="AG3372" s="17">
        <v>0</v>
      </c>
      <c r="AH3372" s="310">
        <v>32.39</v>
      </c>
      <c r="AI3372" s="310">
        <v>32.39</v>
      </c>
      <c r="AJ3372" s="310">
        <v>32.39</v>
      </c>
      <c r="AK3372" s="317">
        <v>13</v>
      </c>
      <c r="AL3372" s="317">
        <v>13</v>
      </c>
      <c r="AM3372" s="147">
        <f t="shared" si="124"/>
        <v>26</v>
      </c>
      <c r="AN3372" s="18" t="s">
        <v>255</v>
      </c>
      <c r="AO3372" s="18" t="s">
        <v>1045</v>
      </c>
      <c r="AP3372" s="283" t="s">
        <v>1534</v>
      </c>
    </row>
    <row r="3373" spans="1:42" x14ac:dyDescent="0.3">
      <c r="A3373" s="314" t="s">
        <v>1470</v>
      </c>
      <c r="B3373" s="283" t="s">
        <v>1502</v>
      </c>
      <c r="C3373" s="314" t="s">
        <v>1471</v>
      </c>
      <c r="D3373" s="283" t="s">
        <v>1504</v>
      </c>
      <c r="E3373" s="314" t="s">
        <v>1505</v>
      </c>
      <c r="F3373" s="283" t="s">
        <v>1506</v>
      </c>
      <c r="G3373" s="314" t="s">
        <v>1507</v>
      </c>
      <c r="H3373" s="283" t="s">
        <v>1508</v>
      </c>
      <c r="I3373" s="315" t="s">
        <v>1527</v>
      </c>
      <c r="J3373" s="315" t="s">
        <v>1528</v>
      </c>
      <c r="K3373" s="314" t="s">
        <v>1529</v>
      </c>
      <c r="L3373" s="283" t="s">
        <v>1530</v>
      </c>
      <c r="M3373" s="1" t="s">
        <v>1535</v>
      </c>
      <c r="N3373" s="442">
        <v>0</v>
      </c>
      <c r="O3373" s="442">
        <v>50</v>
      </c>
      <c r="P3373" s="149">
        <v>60</v>
      </c>
      <c r="Q3373" s="149">
        <v>70</v>
      </c>
      <c r="R3373" s="149">
        <v>80</v>
      </c>
      <c r="S3373" s="19">
        <v>90</v>
      </c>
      <c r="T3373" s="10" t="s">
        <v>1536</v>
      </c>
      <c r="U3373" s="283" t="e">
        <v>#N/A</v>
      </c>
      <c r="V3373" s="283" t="s">
        <v>1537</v>
      </c>
      <c r="W3373" s="283">
        <v>1</v>
      </c>
      <c r="X3373" s="283">
        <v>0</v>
      </c>
      <c r="Y3373" s="283">
        <v>0</v>
      </c>
      <c r="Z3373" s="283">
        <v>1</v>
      </c>
      <c r="AA3373" s="283">
        <v>1</v>
      </c>
      <c r="AB3373" s="283">
        <v>1</v>
      </c>
      <c r="AC3373" s="316">
        <v>1</v>
      </c>
      <c r="AD3373" s="316">
        <v>1</v>
      </c>
      <c r="AE3373" s="302">
        <f t="shared" si="125"/>
        <v>0.75</v>
      </c>
      <c r="AF3373" s="310">
        <v>0</v>
      </c>
      <c r="AG3373" s="17">
        <v>0</v>
      </c>
      <c r="AH3373" s="310">
        <v>10</v>
      </c>
      <c r="AI3373" s="310">
        <v>10</v>
      </c>
      <c r="AJ3373" s="310">
        <v>15</v>
      </c>
      <c r="AK3373" s="317">
        <v>0.5</v>
      </c>
      <c r="AL3373" s="317">
        <v>0.5</v>
      </c>
      <c r="AM3373" s="147">
        <f t="shared" si="124"/>
        <v>1</v>
      </c>
      <c r="AN3373" s="10" t="s">
        <v>239</v>
      </c>
      <c r="AO3373" s="18" t="s">
        <v>241</v>
      </c>
      <c r="AP3373" s="283" t="s">
        <v>1538</v>
      </c>
    </row>
    <row r="3374" spans="1:42" x14ac:dyDescent="0.3">
      <c r="A3374" s="314" t="s">
        <v>1470</v>
      </c>
      <c r="B3374" s="283" t="s">
        <v>1502</v>
      </c>
      <c r="C3374" s="314" t="s">
        <v>1471</v>
      </c>
      <c r="D3374" s="283" t="s">
        <v>1504</v>
      </c>
      <c r="E3374" s="314" t="s">
        <v>1505</v>
      </c>
      <c r="F3374" s="283" t="s">
        <v>1506</v>
      </c>
      <c r="G3374" s="314" t="s">
        <v>1507</v>
      </c>
      <c r="H3374" s="283" t="s">
        <v>1508</v>
      </c>
      <c r="I3374" s="315" t="s">
        <v>1527</v>
      </c>
      <c r="J3374" s="315" t="s">
        <v>1528</v>
      </c>
      <c r="K3374" s="314" t="s">
        <v>1529</v>
      </c>
      <c r="L3374" s="283" t="s">
        <v>1530</v>
      </c>
      <c r="M3374" s="1" t="s">
        <v>1539</v>
      </c>
      <c r="N3374" s="442">
        <v>0</v>
      </c>
      <c r="O3374" s="442">
        <v>4</v>
      </c>
      <c r="P3374" s="149">
        <v>4</v>
      </c>
      <c r="Q3374" s="149">
        <v>4</v>
      </c>
      <c r="R3374" s="149">
        <v>4</v>
      </c>
      <c r="S3374" s="19">
        <v>4</v>
      </c>
      <c r="T3374" s="10" t="s">
        <v>1540</v>
      </c>
      <c r="U3374" s="283" t="e">
        <v>#N/A</v>
      </c>
      <c r="AC3374" s="316">
        <v>0</v>
      </c>
      <c r="AD3374" s="316">
        <v>0</v>
      </c>
      <c r="AE3374" s="302">
        <f t="shared" si="125"/>
        <v>0</v>
      </c>
      <c r="AF3374" s="4"/>
      <c r="AG3374" s="17">
        <v>0</v>
      </c>
      <c r="AM3374" s="147">
        <f t="shared" si="124"/>
        <v>0</v>
      </c>
      <c r="AN3374" s="10"/>
      <c r="AO3374" s="18"/>
    </row>
    <row r="3375" spans="1:42" x14ac:dyDescent="0.3">
      <c r="A3375" s="314" t="s">
        <v>1470</v>
      </c>
      <c r="B3375" s="283" t="s">
        <v>1502</v>
      </c>
      <c r="C3375" s="314" t="s">
        <v>1471</v>
      </c>
      <c r="D3375" s="283" t="s">
        <v>1504</v>
      </c>
      <c r="E3375" s="314" t="s">
        <v>1505</v>
      </c>
      <c r="F3375" s="283" t="s">
        <v>1506</v>
      </c>
      <c r="G3375" s="314" t="s">
        <v>1507</v>
      </c>
      <c r="H3375" s="283" t="s">
        <v>1508</v>
      </c>
      <c r="I3375" s="315" t="s">
        <v>1541</v>
      </c>
      <c r="J3375" s="315" t="s">
        <v>1542</v>
      </c>
      <c r="K3375" s="314" t="s">
        <v>1543</v>
      </c>
      <c r="L3375" s="283" t="s">
        <v>1544</v>
      </c>
      <c r="M3375" s="1" t="s">
        <v>1545</v>
      </c>
      <c r="N3375" s="442">
        <v>30</v>
      </c>
      <c r="O3375" s="442">
        <v>35</v>
      </c>
      <c r="P3375" s="149">
        <v>40</v>
      </c>
      <c r="Q3375" s="149">
        <v>45</v>
      </c>
      <c r="R3375" s="149">
        <v>30</v>
      </c>
      <c r="S3375" s="19">
        <v>30</v>
      </c>
      <c r="T3375" s="10" t="s">
        <v>1167</v>
      </c>
      <c r="U3375" s="283" t="s">
        <v>1170</v>
      </c>
      <c r="V3375" s="283" t="s">
        <v>1542</v>
      </c>
      <c r="W3375" s="283">
        <v>1</v>
      </c>
      <c r="X3375" s="283">
        <v>0</v>
      </c>
      <c r="Y3375" s="283">
        <v>0</v>
      </c>
      <c r="Z3375" s="283">
        <v>1</v>
      </c>
      <c r="AA3375" s="283">
        <v>1</v>
      </c>
      <c r="AB3375" s="283">
        <v>1</v>
      </c>
      <c r="AC3375" s="316">
        <v>1</v>
      </c>
      <c r="AD3375" s="316">
        <v>1</v>
      </c>
      <c r="AE3375" s="302">
        <f t="shared" si="125"/>
        <v>0.75</v>
      </c>
      <c r="AF3375" s="310">
        <v>0</v>
      </c>
      <c r="AG3375" s="17">
        <v>0</v>
      </c>
      <c r="AH3375" s="310">
        <v>0.13</v>
      </c>
      <c r="AI3375" s="310">
        <v>0.13</v>
      </c>
      <c r="AJ3375" s="310">
        <v>0.13</v>
      </c>
      <c r="AK3375" s="317">
        <v>0.1</v>
      </c>
      <c r="AL3375" s="317">
        <v>0.1</v>
      </c>
      <c r="AM3375" s="147">
        <f t="shared" si="124"/>
        <v>0.2</v>
      </c>
      <c r="AN3375" s="10" t="s">
        <v>239</v>
      </c>
      <c r="AO3375" s="18" t="s">
        <v>241</v>
      </c>
      <c r="AP3375" s="283" t="s">
        <v>1538</v>
      </c>
    </row>
    <row r="3376" spans="1:42" x14ac:dyDescent="0.3">
      <c r="A3376" s="314" t="s">
        <v>1470</v>
      </c>
      <c r="B3376" s="283" t="s">
        <v>1502</v>
      </c>
      <c r="C3376" s="314" t="s">
        <v>1471</v>
      </c>
      <c r="D3376" s="283" t="s">
        <v>1504</v>
      </c>
      <c r="E3376" s="314" t="s">
        <v>1505</v>
      </c>
      <c r="F3376" s="283" t="s">
        <v>1506</v>
      </c>
      <c r="G3376" s="314" t="s">
        <v>1507</v>
      </c>
      <c r="H3376" s="283" t="s">
        <v>1508</v>
      </c>
      <c r="I3376" s="315" t="s">
        <v>1546</v>
      </c>
      <c r="J3376" s="315" t="s">
        <v>1547</v>
      </c>
      <c r="K3376" s="314" t="s">
        <v>1548</v>
      </c>
      <c r="L3376" s="283" t="s">
        <v>1549</v>
      </c>
      <c r="M3376" s="18" t="s">
        <v>1550</v>
      </c>
      <c r="N3376" s="442">
        <v>0</v>
      </c>
      <c r="O3376" s="430">
        <v>1370</v>
      </c>
      <c r="P3376" s="19">
        <v>1370</v>
      </c>
      <c r="Q3376" s="19">
        <v>1370</v>
      </c>
      <c r="R3376" s="19">
        <v>1370</v>
      </c>
      <c r="S3376" s="19">
        <v>1370</v>
      </c>
      <c r="T3376" s="18" t="s">
        <v>771</v>
      </c>
      <c r="U3376" s="283" t="s">
        <v>773</v>
      </c>
      <c r="V3376" s="283" t="s">
        <v>1551</v>
      </c>
      <c r="AC3376" s="316">
        <v>0</v>
      </c>
      <c r="AD3376" s="316">
        <v>0</v>
      </c>
      <c r="AE3376" s="302">
        <f t="shared" si="125"/>
        <v>0</v>
      </c>
      <c r="AF3376" s="310"/>
      <c r="AG3376" s="17">
        <v>0</v>
      </c>
      <c r="AH3376" s="310">
        <v>4.66</v>
      </c>
      <c r="AI3376" s="310">
        <v>4.58</v>
      </c>
      <c r="AJ3376" s="310">
        <v>4.41</v>
      </c>
      <c r="AK3376" s="317">
        <v>0</v>
      </c>
      <c r="AL3376" s="317">
        <v>0</v>
      </c>
      <c r="AM3376" s="147">
        <f t="shared" si="124"/>
        <v>0</v>
      </c>
      <c r="AN3376" s="18" t="s">
        <v>771</v>
      </c>
      <c r="AO3376" s="18" t="s">
        <v>773</v>
      </c>
      <c r="AP3376" s="283" t="s">
        <v>1552</v>
      </c>
    </row>
    <row r="3377" spans="1:42" x14ac:dyDescent="0.3">
      <c r="A3377" s="314" t="s">
        <v>1470</v>
      </c>
      <c r="B3377" s="283" t="s">
        <v>1502</v>
      </c>
      <c r="C3377" s="314" t="s">
        <v>1471</v>
      </c>
      <c r="D3377" s="283" t="s">
        <v>1504</v>
      </c>
      <c r="E3377" s="314" t="s">
        <v>1505</v>
      </c>
      <c r="F3377" s="283" t="s">
        <v>1506</v>
      </c>
      <c r="G3377" s="314" t="s">
        <v>1553</v>
      </c>
      <c r="H3377" s="283" t="s">
        <v>1554</v>
      </c>
      <c r="I3377" s="315">
        <v>0</v>
      </c>
      <c r="J3377" s="315">
        <v>0</v>
      </c>
      <c r="K3377" s="314" t="s">
        <v>1555</v>
      </c>
      <c r="L3377" s="283" t="s">
        <v>1556</v>
      </c>
      <c r="M3377" s="18" t="s">
        <v>1557</v>
      </c>
      <c r="N3377" s="442">
        <v>0</v>
      </c>
      <c r="O3377" s="430">
        <v>3</v>
      </c>
      <c r="P3377" s="19">
        <v>8</v>
      </c>
      <c r="Q3377" s="19">
        <v>15</v>
      </c>
      <c r="R3377" s="19">
        <v>20</v>
      </c>
      <c r="S3377" s="19">
        <v>25</v>
      </c>
      <c r="T3377" s="10" t="s">
        <v>239</v>
      </c>
      <c r="U3377" s="283" t="s">
        <v>241</v>
      </c>
      <c r="V3377" s="283" t="s">
        <v>1558</v>
      </c>
      <c r="AC3377" s="316">
        <v>0</v>
      </c>
      <c r="AD3377" s="316">
        <v>0</v>
      </c>
      <c r="AE3377" s="302">
        <f t="shared" si="125"/>
        <v>0</v>
      </c>
      <c r="AF3377" s="310"/>
      <c r="AG3377" s="17">
        <v>0</v>
      </c>
      <c r="AH3377" s="310">
        <v>0.2</v>
      </c>
      <c r="AI3377" s="310">
        <v>0.2</v>
      </c>
      <c r="AJ3377" s="310">
        <v>0.2</v>
      </c>
      <c r="AK3377" s="317">
        <v>0</v>
      </c>
      <c r="AL3377" s="317">
        <v>0</v>
      </c>
      <c r="AM3377" s="147">
        <f t="shared" si="124"/>
        <v>0</v>
      </c>
      <c r="AN3377" s="10" t="s">
        <v>239</v>
      </c>
      <c r="AO3377" s="18" t="s">
        <v>241</v>
      </c>
      <c r="AP3377" s="283" t="s">
        <v>1559</v>
      </c>
    </row>
    <row r="3378" spans="1:42" x14ac:dyDescent="0.3">
      <c r="A3378" s="314" t="s">
        <v>1470</v>
      </c>
      <c r="B3378" s="283" t="s">
        <v>1502</v>
      </c>
      <c r="C3378" s="314" t="s">
        <v>1471</v>
      </c>
      <c r="D3378" s="283" t="s">
        <v>1504</v>
      </c>
      <c r="E3378" s="314" t="s">
        <v>1505</v>
      </c>
      <c r="F3378" s="283" t="s">
        <v>1506</v>
      </c>
      <c r="G3378" s="314" t="s">
        <v>1553</v>
      </c>
      <c r="H3378" s="283" t="s">
        <v>1554</v>
      </c>
      <c r="I3378" s="315">
        <v>0</v>
      </c>
      <c r="J3378" s="315">
        <v>0</v>
      </c>
      <c r="K3378" s="314" t="s">
        <v>1560</v>
      </c>
      <c r="L3378" s="283" t="s">
        <v>1561</v>
      </c>
      <c r="M3378" s="1" t="s">
        <v>1562</v>
      </c>
      <c r="N3378" s="442">
        <v>0</v>
      </c>
      <c r="O3378" s="442"/>
      <c r="P3378" s="149"/>
      <c r="Q3378" s="149"/>
      <c r="R3378" s="149">
        <v>20</v>
      </c>
      <c r="S3378" s="19">
        <v>20</v>
      </c>
      <c r="T3378" s="10" t="s">
        <v>1563</v>
      </c>
      <c r="U3378" s="283" t="s">
        <v>1565</v>
      </c>
      <c r="V3378" s="283" t="s">
        <v>1564</v>
      </c>
      <c r="W3378" s="283">
        <v>1</v>
      </c>
      <c r="X3378" s="283">
        <v>0</v>
      </c>
      <c r="Y3378" s="283">
        <v>0</v>
      </c>
      <c r="Z3378" s="283">
        <v>1</v>
      </c>
      <c r="AA3378" s="283">
        <v>1</v>
      </c>
      <c r="AB3378" s="283">
        <v>1</v>
      </c>
      <c r="AC3378" s="316">
        <v>1</v>
      </c>
      <c r="AD3378" s="316">
        <v>1</v>
      </c>
      <c r="AE3378" s="302">
        <f t="shared" si="125"/>
        <v>0.75</v>
      </c>
      <c r="AF3378" s="310">
        <v>0</v>
      </c>
      <c r="AG3378" s="17">
        <v>0</v>
      </c>
      <c r="AH3378" s="310">
        <v>1.27</v>
      </c>
      <c r="AI3378" s="310">
        <v>1.27</v>
      </c>
      <c r="AJ3378" s="310">
        <v>1.27</v>
      </c>
      <c r="AK3378" s="317">
        <v>1.27</v>
      </c>
      <c r="AL3378" s="317">
        <v>1.27</v>
      </c>
      <c r="AM3378" s="147">
        <f t="shared" si="124"/>
        <v>2.54</v>
      </c>
      <c r="AN3378" s="283" t="s">
        <v>1563</v>
      </c>
      <c r="AO3378" s="18" t="s">
        <v>1565</v>
      </c>
      <c r="AP3378" s="283" t="s">
        <v>1566</v>
      </c>
    </row>
    <row r="3379" spans="1:42" x14ac:dyDescent="0.3">
      <c r="A3379" s="314" t="s">
        <v>1470</v>
      </c>
      <c r="B3379" s="283" t="s">
        <v>1502</v>
      </c>
      <c r="C3379" s="314" t="s">
        <v>1471</v>
      </c>
      <c r="D3379" s="283" t="s">
        <v>1504</v>
      </c>
      <c r="E3379" s="314" t="s">
        <v>1505</v>
      </c>
      <c r="F3379" s="283" t="s">
        <v>1506</v>
      </c>
      <c r="G3379" s="314" t="s">
        <v>1553</v>
      </c>
      <c r="H3379" s="283" t="s">
        <v>1554</v>
      </c>
      <c r="I3379" s="315">
        <v>0</v>
      </c>
      <c r="J3379" s="315">
        <v>0</v>
      </c>
      <c r="K3379" s="314" t="s">
        <v>1567</v>
      </c>
      <c r="L3379" s="283" t="s">
        <v>1568</v>
      </c>
      <c r="N3379" s="442">
        <v>0</v>
      </c>
      <c r="O3379" s="442">
        <v>17</v>
      </c>
      <c r="P3379" s="149">
        <v>17</v>
      </c>
      <c r="Q3379" s="149">
        <v>17</v>
      </c>
      <c r="R3379" s="149">
        <v>17</v>
      </c>
      <c r="S3379" s="19">
        <v>17</v>
      </c>
      <c r="T3379" s="283" t="s">
        <v>1563</v>
      </c>
      <c r="U3379" s="283" t="s">
        <v>1565</v>
      </c>
      <c r="V3379" s="283" t="s">
        <v>1569</v>
      </c>
      <c r="W3379" s="283">
        <v>0</v>
      </c>
      <c r="X3379" s="283">
        <v>0</v>
      </c>
      <c r="Y3379" s="283">
        <v>0</v>
      </c>
      <c r="Z3379" s="283">
        <v>0</v>
      </c>
      <c r="AA3379" s="283">
        <v>0</v>
      </c>
      <c r="AB3379" s="283">
        <v>0</v>
      </c>
      <c r="AC3379" s="316">
        <v>0</v>
      </c>
      <c r="AD3379" s="316">
        <v>0</v>
      </c>
      <c r="AE3379" s="302">
        <f t="shared" si="125"/>
        <v>0</v>
      </c>
      <c r="AF3379" s="310">
        <v>0</v>
      </c>
      <c r="AG3379" s="17">
        <v>0</v>
      </c>
      <c r="AH3379" s="310">
        <v>0</v>
      </c>
      <c r="AI3379" s="310">
        <v>0</v>
      </c>
      <c r="AJ3379" s="310">
        <v>0</v>
      </c>
      <c r="AK3379" s="317">
        <v>0</v>
      </c>
      <c r="AL3379" s="317">
        <v>0</v>
      </c>
      <c r="AM3379" s="147">
        <f t="shared" si="124"/>
        <v>0</v>
      </c>
      <c r="AN3379" s="283" t="s">
        <v>1563</v>
      </c>
      <c r="AO3379" s="18" t="s">
        <v>1565</v>
      </c>
      <c r="AP3379" s="283" t="s">
        <v>1570</v>
      </c>
    </row>
    <row r="3380" spans="1:42" x14ac:dyDescent="0.3">
      <c r="A3380" s="314" t="s">
        <v>1470</v>
      </c>
      <c r="B3380" s="283" t="s">
        <v>1502</v>
      </c>
      <c r="C3380" s="314" t="s">
        <v>1471</v>
      </c>
      <c r="D3380" s="283" t="s">
        <v>1504</v>
      </c>
      <c r="E3380" s="314" t="s">
        <v>1505</v>
      </c>
      <c r="F3380" s="283" t="s">
        <v>1506</v>
      </c>
      <c r="G3380" s="314" t="s">
        <v>1553</v>
      </c>
      <c r="H3380" s="283" t="s">
        <v>1554</v>
      </c>
      <c r="I3380" s="315">
        <v>0</v>
      </c>
      <c r="J3380" s="315">
        <v>0</v>
      </c>
      <c r="K3380" s="314" t="s">
        <v>1571</v>
      </c>
      <c r="L3380" s="283" t="s">
        <v>1572</v>
      </c>
      <c r="M3380" s="1" t="s">
        <v>1573</v>
      </c>
      <c r="N3380" s="442">
        <v>0</v>
      </c>
      <c r="O3380" s="442">
        <v>13</v>
      </c>
      <c r="P3380" s="149">
        <v>13</v>
      </c>
      <c r="Q3380" s="149">
        <v>13</v>
      </c>
      <c r="R3380" s="149">
        <v>13</v>
      </c>
      <c r="S3380" s="19">
        <v>13</v>
      </c>
      <c r="T3380" s="283" t="s">
        <v>1574</v>
      </c>
      <c r="U3380" s="283" t="e">
        <v>#N/A</v>
      </c>
      <c r="V3380" s="283" t="s">
        <v>1575</v>
      </c>
      <c r="W3380" s="283">
        <v>1</v>
      </c>
      <c r="X3380" s="283">
        <v>0</v>
      </c>
      <c r="Y3380" s="283">
        <v>0</v>
      </c>
      <c r="Z3380" s="283">
        <v>1</v>
      </c>
      <c r="AA3380" s="283">
        <v>1</v>
      </c>
      <c r="AB3380" s="283">
        <v>1</v>
      </c>
      <c r="AC3380" s="316">
        <v>1</v>
      </c>
      <c r="AD3380" s="316">
        <v>1</v>
      </c>
      <c r="AE3380" s="302">
        <f t="shared" si="125"/>
        <v>0.75</v>
      </c>
      <c r="AF3380" s="310">
        <v>0</v>
      </c>
      <c r="AG3380" s="17">
        <v>0</v>
      </c>
      <c r="AH3380" s="310">
        <v>4</v>
      </c>
      <c r="AI3380" s="310">
        <v>20</v>
      </c>
      <c r="AJ3380" s="310">
        <v>20</v>
      </c>
      <c r="AK3380" s="317">
        <v>10</v>
      </c>
      <c r="AL3380" s="317">
        <v>10</v>
      </c>
      <c r="AM3380" s="147">
        <f t="shared" si="124"/>
        <v>20</v>
      </c>
      <c r="AN3380" s="283" t="s">
        <v>1576</v>
      </c>
      <c r="AO3380" s="18" t="s">
        <v>241</v>
      </c>
      <c r="AP3380" s="283" t="s">
        <v>1577</v>
      </c>
    </row>
    <row r="3381" spans="1:42" x14ac:dyDescent="0.3">
      <c r="A3381" s="314" t="s">
        <v>1470</v>
      </c>
      <c r="B3381" s="283" t="s">
        <v>1502</v>
      </c>
      <c r="C3381" s="314" t="s">
        <v>1471</v>
      </c>
      <c r="D3381" s="283" t="s">
        <v>1504</v>
      </c>
      <c r="E3381" s="314" t="s">
        <v>1505</v>
      </c>
      <c r="F3381" s="283" t="s">
        <v>1506</v>
      </c>
      <c r="G3381" s="314" t="s">
        <v>1553</v>
      </c>
      <c r="H3381" s="283" t="s">
        <v>1554</v>
      </c>
      <c r="I3381" s="315">
        <v>0</v>
      </c>
      <c r="J3381" s="315">
        <v>0</v>
      </c>
      <c r="K3381" s="314" t="s">
        <v>1578</v>
      </c>
      <c r="L3381" s="283" t="s">
        <v>1579</v>
      </c>
      <c r="M3381" s="18" t="s">
        <v>1580</v>
      </c>
      <c r="N3381" s="442">
        <v>0</v>
      </c>
      <c r="O3381" s="430">
        <v>1</v>
      </c>
      <c r="P3381" s="19">
        <v>1</v>
      </c>
      <c r="Q3381" s="19">
        <v>1</v>
      </c>
      <c r="R3381" s="19">
        <v>1</v>
      </c>
      <c r="S3381" s="19">
        <v>1</v>
      </c>
      <c r="T3381" s="10" t="s">
        <v>1581</v>
      </c>
      <c r="U3381" s="283" t="s">
        <v>1583</v>
      </c>
      <c r="V3381" s="283" t="s">
        <v>1582</v>
      </c>
      <c r="W3381" s="283">
        <v>0</v>
      </c>
      <c r="X3381" s="283">
        <v>0</v>
      </c>
      <c r="Y3381" s="283">
        <v>0</v>
      </c>
      <c r="Z3381" s="283">
        <v>0</v>
      </c>
      <c r="AA3381" s="283">
        <v>0</v>
      </c>
      <c r="AB3381" s="283">
        <v>0</v>
      </c>
      <c r="AC3381" s="316">
        <v>0</v>
      </c>
      <c r="AD3381" s="316">
        <v>0</v>
      </c>
      <c r="AE3381" s="302">
        <f t="shared" si="125"/>
        <v>0</v>
      </c>
      <c r="AF3381" s="310"/>
      <c r="AG3381" s="17">
        <v>0</v>
      </c>
      <c r="AH3381" s="310">
        <v>0.1</v>
      </c>
      <c r="AI3381" s="310">
        <v>0.1</v>
      </c>
      <c r="AJ3381" s="310">
        <v>0.1</v>
      </c>
      <c r="AK3381" s="317">
        <v>0</v>
      </c>
      <c r="AL3381" s="317">
        <v>0</v>
      </c>
      <c r="AM3381" s="147">
        <f t="shared" si="124"/>
        <v>0</v>
      </c>
      <c r="AN3381" s="283" t="s">
        <v>1581</v>
      </c>
      <c r="AO3381" s="18" t="s">
        <v>1583</v>
      </c>
      <c r="AP3381" s="283" t="s">
        <v>1584</v>
      </c>
    </row>
    <row r="3382" spans="1:42" x14ac:dyDescent="0.3">
      <c r="A3382" s="314" t="s">
        <v>1470</v>
      </c>
      <c r="B3382" s="283" t="s">
        <v>1502</v>
      </c>
      <c r="C3382" s="314" t="s">
        <v>1471</v>
      </c>
      <c r="D3382" s="283" t="s">
        <v>1504</v>
      </c>
      <c r="E3382" s="314" t="s">
        <v>1505</v>
      </c>
      <c r="F3382" s="283" t="s">
        <v>1506</v>
      </c>
      <c r="G3382" s="314" t="s">
        <v>1553</v>
      </c>
      <c r="H3382" s="283" t="s">
        <v>1554</v>
      </c>
      <c r="I3382" s="315">
        <v>0</v>
      </c>
      <c r="J3382" s="315">
        <v>0</v>
      </c>
      <c r="K3382" s="314" t="s">
        <v>1585</v>
      </c>
      <c r="L3382" s="283" t="s">
        <v>1586</v>
      </c>
      <c r="M3382" s="18" t="s">
        <v>1587</v>
      </c>
      <c r="N3382" s="442">
        <v>0</v>
      </c>
      <c r="O3382" s="430">
        <v>192</v>
      </c>
      <c r="P3382" s="19">
        <v>230</v>
      </c>
      <c r="Q3382" s="19">
        <v>240</v>
      </c>
      <c r="R3382" s="19">
        <v>250</v>
      </c>
      <c r="S3382" s="19">
        <v>250</v>
      </c>
      <c r="T3382" s="10" t="s">
        <v>1588</v>
      </c>
      <c r="U3382" s="283" t="s">
        <v>1590</v>
      </c>
      <c r="V3382" s="283" t="s">
        <v>1589</v>
      </c>
      <c r="W3382" s="283">
        <v>0</v>
      </c>
      <c r="X3382" s="283">
        <v>0</v>
      </c>
      <c r="Y3382" s="283">
        <v>0</v>
      </c>
      <c r="Z3382" s="283">
        <v>0</v>
      </c>
      <c r="AA3382" s="283">
        <v>0</v>
      </c>
      <c r="AB3382" s="283">
        <v>0</v>
      </c>
      <c r="AC3382" s="316">
        <v>0</v>
      </c>
      <c r="AD3382" s="316">
        <v>0</v>
      </c>
      <c r="AE3382" s="302">
        <f t="shared" si="125"/>
        <v>0</v>
      </c>
      <c r="AF3382" s="310">
        <v>0</v>
      </c>
      <c r="AG3382" s="17">
        <v>0</v>
      </c>
      <c r="AH3382" s="310">
        <v>0.72</v>
      </c>
      <c r="AI3382" s="310">
        <v>1.86</v>
      </c>
      <c r="AJ3382" s="310">
        <v>2.5</v>
      </c>
      <c r="AK3382" s="317">
        <v>0</v>
      </c>
      <c r="AL3382" s="317">
        <v>0</v>
      </c>
      <c r="AM3382" s="147">
        <f t="shared" si="124"/>
        <v>0</v>
      </c>
      <c r="AN3382" s="283" t="s">
        <v>1588</v>
      </c>
      <c r="AO3382" s="18" t="s">
        <v>1590</v>
      </c>
      <c r="AP3382" s="283" t="s">
        <v>119</v>
      </c>
    </row>
    <row r="3383" spans="1:42" x14ac:dyDescent="0.3">
      <c r="A3383" s="314" t="s">
        <v>1470</v>
      </c>
      <c r="B3383" s="283" t="s">
        <v>1502</v>
      </c>
      <c r="C3383" s="314" t="s">
        <v>1471</v>
      </c>
      <c r="D3383" s="283" t="s">
        <v>1504</v>
      </c>
      <c r="E3383" s="314" t="s">
        <v>1505</v>
      </c>
      <c r="F3383" s="283" t="s">
        <v>1506</v>
      </c>
      <c r="G3383" s="314" t="s">
        <v>1553</v>
      </c>
      <c r="H3383" s="283" t="s">
        <v>1554</v>
      </c>
      <c r="I3383" s="315">
        <v>0</v>
      </c>
      <c r="J3383" s="315">
        <v>0</v>
      </c>
      <c r="K3383" s="314" t="s">
        <v>1591</v>
      </c>
      <c r="L3383" s="283" t="s">
        <v>1592</v>
      </c>
      <c r="M3383" s="18" t="s">
        <v>1593</v>
      </c>
      <c r="N3383" s="442">
        <v>0</v>
      </c>
      <c r="O3383" s="430">
        <v>22</v>
      </c>
      <c r="P3383" s="19">
        <v>28</v>
      </c>
      <c r="Q3383" s="19">
        <v>28</v>
      </c>
      <c r="R3383" s="19">
        <v>28</v>
      </c>
      <c r="S3383" s="19">
        <v>28</v>
      </c>
      <c r="T3383" s="10" t="s">
        <v>771</v>
      </c>
      <c r="U3383" s="283" t="s">
        <v>773</v>
      </c>
      <c r="V3383" s="283" t="s">
        <v>1594</v>
      </c>
      <c r="W3383" s="283">
        <v>1</v>
      </c>
      <c r="X3383" s="283">
        <v>0</v>
      </c>
      <c r="Y3383" s="283">
        <v>0</v>
      </c>
      <c r="Z3383" s="283">
        <v>1</v>
      </c>
      <c r="AA3383" s="283">
        <v>1</v>
      </c>
      <c r="AB3383" s="283">
        <v>1</v>
      </c>
      <c r="AC3383" s="316">
        <v>1</v>
      </c>
      <c r="AD3383" s="316">
        <v>1</v>
      </c>
      <c r="AE3383" s="302">
        <f t="shared" si="125"/>
        <v>0.75</v>
      </c>
      <c r="AF3383" s="310">
        <v>0</v>
      </c>
      <c r="AG3383" s="17">
        <v>0</v>
      </c>
      <c r="AH3383" s="310">
        <v>0.1</v>
      </c>
      <c r="AI3383" s="310">
        <v>0.2</v>
      </c>
      <c r="AJ3383" s="310">
        <v>0.2</v>
      </c>
      <c r="AK3383" s="317">
        <v>3</v>
      </c>
      <c r="AL3383" s="317">
        <v>3</v>
      </c>
      <c r="AM3383" s="147">
        <f t="shared" si="124"/>
        <v>6</v>
      </c>
      <c r="AN3383" s="283" t="s">
        <v>1588</v>
      </c>
      <c r="AO3383" s="18" t="s">
        <v>1590</v>
      </c>
      <c r="AP3383" s="283" t="s">
        <v>119</v>
      </c>
    </row>
    <row r="3384" spans="1:42" x14ac:dyDescent="0.3">
      <c r="A3384" s="314" t="s">
        <v>1470</v>
      </c>
      <c r="B3384" s="283" t="s">
        <v>1502</v>
      </c>
      <c r="C3384" s="314" t="s">
        <v>1471</v>
      </c>
      <c r="D3384" s="283" t="s">
        <v>1504</v>
      </c>
      <c r="E3384" s="314" t="s">
        <v>1505</v>
      </c>
      <c r="F3384" s="283" t="s">
        <v>1506</v>
      </c>
      <c r="G3384" s="314" t="s">
        <v>1553</v>
      </c>
      <c r="H3384" s="283" t="s">
        <v>1554</v>
      </c>
      <c r="I3384" s="315">
        <v>0</v>
      </c>
      <c r="J3384" s="315">
        <v>0</v>
      </c>
      <c r="K3384" s="314" t="s">
        <v>1595</v>
      </c>
      <c r="L3384" s="283" t="s">
        <v>1596</v>
      </c>
      <c r="M3384" s="18" t="s">
        <v>1597</v>
      </c>
      <c r="N3384" s="442">
        <v>0</v>
      </c>
      <c r="O3384" s="430"/>
      <c r="P3384" s="19">
        <v>2</v>
      </c>
      <c r="Q3384" s="19">
        <v>2</v>
      </c>
      <c r="R3384" s="19">
        <v>2</v>
      </c>
      <c r="S3384" s="19">
        <v>2</v>
      </c>
      <c r="T3384" s="10" t="s">
        <v>1588</v>
      </c>
      <c r="U3384" s="283" t="s">
        <v>1590</v>
      </c>
      <c r="V3384" s="283" t="s">
        <v>1598</v>
      </c>
      <c r="W3384" s="283">
        <v>0</v>
      </c>
      <c r="X3384" s="283">
        <v>0</v>
      </c>
      <c r="Y3384" s="283">
        <v>0</v>
      </c>
      <c r="Z3384" s="283">
        <v>0</v>
      </c>
      <c r="AA3384" s="283">
        <v>0</v>
      </c>
      <c r="AB3384" s="283">
        <v>0</v>
      </c>
      <c r="AC3384" s="316">
        <v>0</v>
      </c>
      <c r="AD3384" s="316">
        <v>0</v>
      </c>
      <c r="AE3384" s="302">
        <f t="shared" si="125"/>
        <v>0</v>
      </c>
      <c r="AF3384" s="17"/>
      <c r="AG3384" s="17">
        <v>0</v>
      </c>
      <c r="AH3384" s="17">
        <v>0</v>
      </c>
      <c r="AI3384" s="310">
        <v>0.5</v>
      </c>
      <c r="AJ3384" s="310">
        <v>0.5</v>
      </c>
      <c r="AK3384" s="317">
        <v>0</v>
      </c>
      <c r="AL3384" s="317">
        <v>0</v>
      </c>
      <c r="AM3384" s="147">
        <f t="shared" si="124"/>
        <v>0</v>
      </c>
      <c r="AN3384" s="283" t="s">
        <v>1588</v>
      </c>
      <c r="AO3384" s="18" t="s">
        <v>1590</v>
      </c>
      <c r="AP3384" s="283" t="s">
        <v>119</v>
      </c>
    </row>
    <row r="3385" spans="1:42" x14ac:dyDescent="0.3">
      <c r="A3385" s="314" t="s">
        <v>1470</v>
      </c>
      <c r="B3385" s="283" t="s">
        <v>1502</v>
      </c>
      <c r="C3385" s="314" t="s">
        <v>1471</v>
      </c>
      <c r="D3385" s="283" t="s">
        <v>1504</v>
      </c>
      <c r="E3385" s="314" t="s">
        <v>1505</v>
      </c>
      <c r="F3385" s="283" t="s">
        <v>1506</v>
      </c>
      <c r="G3385" s="314" t="s">
        <v>1553</v>
      </c>
      <c r="H3385" s="283" t="s">
        <v>1554</v>
      </c>
      <c r="I3385" s="315">
        <v>0</v>
      </c>
      <c r="J3385" s="315">
        <v>0</v>
      </c>
      <c r="K3385" s="314" t="s">
        <v>1599</v>
      </c>
      <c r="L3385" s="283" t="s">
        <v>1600</v>
      </c>
      <c r="M3385" s="18" t="s">
        <v>1601</v>
      </c>
      <c r="N3385" s="442">
        <v>0</v>
      </c>
      <c r="O3385" s="430">
        <v>53</v>
      </c>
      <c r="P3385" s="19">
        <v>65</v>
      </c>
      <c r="Q3385" s="19">
        <v>70</v>
      </c>
      <c r="R3385" s="19">
        <v>75</v>
      </c>
      <c r="S3385" s="19">
        <v>80</v>
      </c>
      <c r="T3385" s="10" t="s">
        <v>1588</v>
      </c>
      <c r="U3385" s="283" t="s">
        <v>1590</v>
      </c>
      <c r="V3385" s="283" t="s">
        <v>1602</v>
      </c>
      <c r="W3385" s="283">
        <v>0</v>
      </c>
      <c r="X3385" s="283">
        <v>0</v>
      </c>
      <c r="Y3385" s="283">
        <v>0</v>
      </c>
      <c r="Z3385" s="283">
        <v>0</v>
      </c>
      <c r="AA3385" s="283">
        <v>0</v>
      </c>
      <c r="AB3385" s="283">
        <v>0</v>
      </c>
      <c r="AC3385" s="316">
        <v>0</v>
      </c>
      <c r="AD3385" s="316">
        <v>0</v>
      </c>
      <c r="AE3385" s="302">
        <f t="shared" si="125"/>
        <v>0</v>
      </c>
      <c r="AF3385" s="310"/>
      <c r="AG3385" s="17">
        <v>0</v>
      </c>
      <c r="AH3385" s="310">
        <v>0.63</v>
      </c>
      <c r="AI3385" s="310">
        <v>1.1000000000000001</v>
      </c>
      <c r="AJ3385" s="310">
        <v>1.5</v>
      </c>
      <c r="AK3385" s="317">
        <v>0</v>
      </c>
      <c r="AL3385" s="317">
        <v>0</v>
      </c>
      <c r="AM3385" s="147">
        <f t="shared" si="124"/>
        <v>0</v>
      </c>
      <c r="AN3385" s="283" t="s">
        <v>1588</v>
      </c>
      <c r="AO3385" s="18" t="s">
        <v>1590</v>
      </c>
      <c r="AP3385" s="283" t="s">
        <v>119</v>
      </c>
    </row>
    <row r="3386" spans="1:42" x14ac:dyDescent="0.3">
      <c r="A3386" s="314" t="s">
        <v>1470</v>
      </c>
      <c r="B3386" s="283" t="s">
        <v>1502</v>
      </c>
      <c r="C3386" s="314" t="s">
        <v>1471</v>
      </c>
      <c r="D3386" s="283" t="s">
        <v>1504</v>
      </c>
      <c r="E3386" s="314" t="s">
        <v>1505</v>
      </c>
      <c r="F3386" s="283" t="s">
        <v>1506</v>
      </c>
      <c r="G3386" s="314" t="s">
        <v>1603</v>
      </c>
      <c r="H3386" s="283" t="s">
        <v>1604</v>
      </c>
      <c r="I3386" s="315">
        <v>0</v>
      </c>
      <c r="J3386" s="315">
        <v>0</v>
      </c>
      <c r="K3386" s="314" t="s">
        <v>1605</v>
      </c>
      <c r="L3386" s="283" t="s">
        <v>1606</v>
      </c>
      <c r="M3386" s="18" t="s">
        <v>1607</v>
      </c>
      <c r="N3386" s="442">
        <v>0</v>
      </c>
      <c r="O3386" s="430">
        <v>15</v>
      </c>
      <c r="P3386" s="19">
        <v>15</v>
      </c>
      <c r="Q3386" s="19">
        <v>15</v>
      </c>
      <c r="R3386" s="19">
        <v>10</v>
      </c>
      <c r="S3386" s="19">
        <v>12</v>
      </c>
      <c r="T3386" s="10" t="s">
        <v>1608</v>
      </c>
      <c r="U3386" s="283" t="e">
        <v>#N/A</v>
      </c>
      <c r="V3386" s="283" t="s">
        <v>1609</v>
      </c>
      <c r="W3386" s="283">
        <v>1</v>
      </c>
      <c r="X3386" s="283">
        <v>0</v>
      </c>
      <c r="Y3386" s="283">
        <v>0</v>
      </c>
      <c r="Z3386" s="283">
        <v>1</v>
      </c>
      <c r="AA3386" s="283">
        <v>1</v>
      </c>
      <c r="AB3386" s="283">
        <v>1</v>
      </c>
      <c r="AC3386" s="316">
        <v>1</v>
      </c>
      <c r="AD3386" s="316">
        <v>1</v>
      </c>
      <c r="AE3386" s="302">
        <f t="shared" si="125"/>
        <v>0.75</v>
      </c>
      <c r="AF3386" s="310"/>
      <c r="AG3386" s="17">
        <v>0</v>
      </c>
      <c r="AH3386" s="310">
        <v>0.5</v>
      </c>
      <c r="AI3386" s="310">
        <v>0.6</v>
      </c>
      <c r="AJ3386" s="310">
        <v>0.7</v>
      </c>
      <c r="AK3386" s="317">
        <v>0.4</v>
      </c>
      <c r="AL3386" s="317">
        <v>1</v>
      </c>
      <c r="AM3386" s="147">
        <f t="shared" si="124"/>
        <v>1.4</v>
      </c>
      <c r="AN3386" s="283" t="s">
        <v>1610</v>
      </c>
      <c r="AO3386" s="18" t="s">
        <v>773</v>
      </c>
      <c r="AP3386" s="283" t="s">
        <v>1611</v>
      </c>
    </row>
    <row r="3387" spans="1:42" x14ac:dyDescent="0.3">
      <c r="A3387" s="314" t="s">
        <v>1470</v>
      </c>
      <c r="B3387" s="283" t="s">
        <v>1502</v>
      </c>
      <c r="C3387" s="314" t="s">
        <v>1471</v>
      </c>
      <c r="D3387" s="283" t="s">
        <v>1504</v>
      </c>
      <c r="E3387" s="314" t="s">
        <v>1505</v>
      </c>
      <c r="F3387" s="283" t="s">
        <v>1506</v>
      </c>
      <c r="G3387" s="314" t="s">
        <v>1603</v>
      </c>
      <c r="H3387" s="283" t="s">
        <v>1604</v>
      </c>
      <c r="I3387" s="315">
        <v>0</v>
      </c>
      <c r="J3387" s="315">
        <v>0</v>
      </c>
      <c r="K3387" s="314" t="s">
        <v>1605</v>
      </c>
      <c r="L3387" s="283" t="s">
        <v>1606</v>
      </c>
      <c r="M3387" s="18" t="s">
        <v>1612</v>
      </c>
      <c r="N3387" s="442">
        <v>0</v>
      </c>
      <c r="O3387" s="430">
        <v>1</v>
      </c>
      <c r="P3387" s="19">
        <v>1</v>
      </c>
      <c r="Q3387" s="19">
        <v>1</v>
      </c>
      <c r="R3387" s="19">
        <v>1</v>
      </c>
      <c r="S3387" s="19">
        <v>1</v>
      </c>
      <c r="T3387" s="10" t="s">
        <v>1608</v>
      </c>
      <c r="U3387" s="283" t="e">
        <v>#N/A</v>
      </c>
      <c r="V3387" s="283" t="s">
        <v>1613</v>
      </c>
      <c r="W3387" s="283">
        <v>1</v>
      </c>
      <c r="X3387" s="283">
        <v>0</v>
      </c>
      <c r="Y3387" s="283">
        <v>1</v>
      </c>
      <c r="Z3387" s="283">
        <v>1</v>
      </c>
      <c r="AA3387" s="283">
        <v>1</v>
      </c>
      <c r="AB3387" s="283">
        <v>1</v>
      </c>
      <c r="AC3387" s="316">
        <v>1</v>
      </c>
      <c r="AD3387" s="316">
        <v>1</v>
      </c>
      <c r="AE3387" s="302">
        <f t="shared" si="125"/>
        <v>0.875</v>
      </c>
      <c r="AF3387" s="310">
        <v>1</v>
      </c>
      <c r="AG3387" s="17">
        <v>0</v>
      </c>
      <c r="AH3387" s="310">
        <v>0.7</v>
      </c>
      <c r="AI3387" s="310">
        <v>0.7</v>
      </c>
      <c r="AJ3387" s="310">
        <v>0.7</v>
      </c>
      <c r="AK3387" s="317">
        <v>0.3</v>
      </c>
      <c r="AL3387" s="317">
        <v>0.3</v>
      </c>
      <c r="AM3387" s="147">
        <f t="shared" si="124"/>
        <v>0.6</v>
      </c>
      <c r="AN3387" s="283" t="s">
        <v>1610</v>
      </c>
      <c r="AO3387" s="18" t="s">
        <v>773</v>
      </c>
      <c r="AP3387" s="283" t="s">
        <v>1614</v>
      </c>
    </row>
    <row r="3388" spans="1:42" x14ac:dyDescent="0.3">
      <c r="A3388" s="314" t="s">
        <v>1470</v>
      </c>
      <c r="B3388" s="283" t="s">
        <v>1502</v>
      </c>
      <c r="C3388" s="314" t="s">
        <v>1471</v>
      </c>
      <c r="D3388" s="283" t="s">
        <v>1504</v>
      </c>
      <c r="E3388" s="314" t="s">
        <v>1505</v>
      </c>
      <c r="F3388" s="283" t="s">
        <v>1506</v>
      </c>
      <c r="G3388" s="314" t="s">
        <v>1603</v>
      </c>
      <c r="H3388" s="283" t="s">
        <v>1604</v>
      </c>
      <c r="I3388" s="315">
        <v>0</v>
      </c>
      <c r="J3388" s="315">
        <v>0</v>
      </c>
      <c r="K3388" s="314" t="s">
        <v>1615</v>
      </c>
      <c r="L3388" s="283" t="s">
        <v>1616</v>
      </c>
      <c r="M3388" s="18" t="s">
        <v>1617</v>
      </c>
      <c r="N3388" s="442">
        <v>0</v>
      </c>
      <c r="O3388" s="430">
        <v>15</v>
      </c>
      <c r="P3388" s="19">
        <v>15</v>
      </c>
      <c r="Q3388" s="19">
        <v>15</v>
      </c>
      <c r="R3388" s="19">
        <v>15</v>
      </c>
      <c r="S3388" s="19">
        <v>15</v>
      </c>
      <c r="T3388" s="10" t="s">
        <v>1608</v>
      </c>
      <c r="U3388" s="283" t="e">
        <v>#N/A</v>
      </c>
      <c r="V3388" s="283" t="s">
        <v>1618</v>
      </c>
      <c r="W3388" s="283">
        <v>0</v>
      </c>
      <c r="X3388" s="283">
        <v>0</v>
      </c>
      <c r="Y3388" s="283">
        <v>0</v>
      </c>
      <c r="Z3388" s="283">
        <v>0</v>
      </c>
      <c r="AA3388" s="283">
        <v>0</v>
      </c>
      <c r="AB3388" s="283">
        <v>0</v>
      </c>
      <c r="AC3388" s="316">
        <v>0</v>
      </c>
      <c r="AD3388" s="316">
        <v>0</v>
      </c>
      <c r="AE3388" s="302">
        <f t="shared" si="125"/>
        <v>0</v>
      </c>
      <c r="AF3388" s="310">
        <v>0</v>
      </c>
      <c r="AG3388" s="17">
        <v>0</v>
      </c>
      <c r="AH3388" s="310">
        <v>0.78</v>
      </c>
      <c r="AI3388" s="310">
        <v>0.78</v>
      </c>
      <c r="AJ3388" s="310">
        <v>0.78</v>
      </c>
      <c r="AK3388" s="317">
        <v>0</v>
      </c>
      <c r="AL3388" s="317">
        <v>0</v>
      </c>
      <c r="AM3388" s="147">
        <f t="shared" si="124"/>
        <v>0</v>
      </c>
      <c r="AN3388" s="283" t="s">
        <v>1610</v>
      </c>
      <c r="AO3388" s="18" t="s">
        <v>773</v>
      </c>
      <c r="AP3388" s="283" t="s">
        <v>1619</v>
      </c>
    </row>
    <row r="3389" spans="1:42" x14ac:dyDescent="0.3">
      <c r="A3389" s="314" t="s">
        <v>1470</v>
      </c>
      <c r="B3389" s="283" t="s">
        <v>1502</v>
      </c>
      <c r="C3389" s="314" t="s">
        <v>1471</v>
      </c>
      <c r="D3389" s="283" t="s">
        <v>1504</v>
      </c>
      <c r="E3389" s="314" t="s">
        <v>1505</v>
      </c>
      <c r="F3389" s="283" t="s">
        <v>1506</v>
      </c>
      <c r="G3389" s="314" t="s">
        <v>1603</v>
      </c>
      <c r="H3389" s="283" t="s">
        <v>1604</v>
      </c>
      <c r="I3389" s="315">
        <v>0</v>
      </c>
      <c r="J3389" s="315">
        <v>0</v>
      </c>
      <c r="K3389" s="314" t="s">
        <v>1620</v>
      </c>
      <c r="L3389" s="283" t="s">
        <v>1621</v>
      </c>
      <c r="M3389" s="18" t="s">
        <v>1622</v>
      </c>
      <c r="N3389" s="442">
        <v>0</v>
      </c>
      <c r="O3389" s="430"/>
      <c r="P3389" s="19">
        <v>20</v>
      </c>
      <c r="Q3389" s="19">
        <v>20</v>
      </c>
      <c r="R3389" s="19">
        <v>13</v>
      </c>
      <c r="S3389" s="19">
        <v>13</v>
      </c>
      <c r="T3389" s="10" t="s">
        <v>1608</v>
      </c>
      <c r="U3389" s="283" t="e">
        <v>#N/A</v>
      </c>
      <c r="V3389" s="283" t="s">
        <v>1623</v>
      </c>
      <c r="W3389" s="283">
        <v>1</v>
      </c>
      <c r="X3389" s="283">
        <v>0</v>
      </c>
      <c r="Y3389" s="283">
        <v>0</v>
      </c>
      <c r="Z3389" s="283">
        <v>1</v>
      </c>
      <c r="AA3389" s="283">
        <v>1</v>
      </c>
      <c r="AB3389" s="283">
        <v>1</v>
      </c>
      <c r="AC3389" s="316">
        <v>1</v>
      </c>
      <c r="AD3389" s="316">
        <v>1</v>
      </c>
      <c r="AE3389" s="302">
        <f t="shared" si="125"/>
        <v>0.75</v>
      </c>
      <c r="AF3389" s="17"/>
      <c r="AG3389" s="17">
        <v>0</v>
      </c>
      <c r="AH3389" s="17">
        <v>0</v>
      </c>
      <c r="AI3389" s="310">
        <v>6.83</v>
      </c>
      <c r="AJ3389" s="310">
        <v>6.83</v>
      </c>
      <c r="AK3389" s="317">
        <v>2</v>
      </c>
      <c r="AL3389" s="317">
        <v>2</v>
      </c>
      <c r="AM3389" s="147">
        <f t="shared" si="124"/>
        <v>4</v>
      </c>
      <c r="AN3389" s="283" t="s">
        <v>1610</v>
      </c>
      <c r="AO3389" s="18" t="s">
        <v>773</v>
      </c>
      <c r="AP3389" s="283" t="s">
        <v>1624</v>
      </c>
    </row>
    <row r="3390" spans="1:42" x14ac:dyDescent="0.3">
      <c r="A3390" s="314" t="s">
        <v>1470</v>
      </c>
      <c r="B3390" s="283" t="s">
        <v>1502</v>
      </c>
      <c r="C3390" s="314" t="s">
        <v>1471</v>
      </c>
      <c r="D3390" s="283" t="s">
        <v>1504</v>
      </c>
      <c r="E3390" s="314" t="s">
        <v>1505</v>
      </c>
      <c r="F3390" s="283" t="s">
        <v>1506</v>
      </c>
      <c r="G3390" s="314" t="s">
        <v>1603</v>
      </c>
      <c r="H3390" s="283" t="s">
        <v>1604</v>
      </c>
      <c r="I3390" s="315">
        <v>0</v>
      </c>
      <c r="J3390" s="315">
        <v>0</v>
      </c>
      <c r="K3390" s="314" t="s">
        <v>1625</v>
      </c>
      <c r="L3390" s="283" t="s">
        <v>1626</v>
      </c>
      <c r="M3390" s="18" t="s">
        <v>1627</v>
      </c>
      <c r="N3390" s="442">
        <v>0</v>
      </c>
      <c r="O3390" s="430">
        <v>256</v>
      </c>
      <c r="P3390" s="19">
        <v>256</v>
      </c>
      <c r="Q3390" s="19">
        <v>256</v>
      </c>
      <c r="R3390" s="19">
        <v>256</v>
      </c>
      <c r="S3390" s="19">
        <v>256</v>
      </c>
      <c r="T3390" s="10" t="s">
        <v>1608</v>
      </c>
      <c r="U3390" s="283" t="e">
        <v>#N/A</v>
      </c>
      <c r="V3390" s="283" t="s">
        <v>1628</v>
      </c>
      <c r="W3390" s="283">
        <v>1</v>
      </c>
      <c r="X3390" s="283">
        <v>1</v>
      </c>
      <c r="Y3390" s="283">
        <v>1</v>
      </c>
      <c r="Z3390" s="283">
        <v>1</v>
      </c>
      <c r="AA3390" s="283">
        <v>1</v>
      </c>
      <c r="AB3390" s="283">
        <v>1</v>
      </c>
      <c r="AC3390" s="316">
        <v>1</v>
      </c>
      <c r="AD3390" s="316">
        <v>1</v>
      </c>
      <c r="AE3390" s="302">
        <f t="shared" si="125"/>
        <v>1</v>
      </c>
      <c r="AF3390" s="310"/>
      <c r="AG3390" s="17">
        <v>0</v>
      </c>
      <c r="AH3390" s="310">
        <v>2.46</v>
      </c>
      <c r="AI3390" s="310">
        <v>2.46</v>
      </c>
      <c r="AJ3390" s="310">
        <v>2.46</v>
      </c>
      <c r="AK3390" s="317">
        <v>1.8</v>
      </c>
      <c r="AL3390" s="317">
        <v>1.8</v>
      </c>
      <c r="AM3390" s="147">
        <f t="shared" si="124"/>
        <v>3.6</v>
      </c>
      <c r="AN3390" s="283" t="s">
        <v>1610</v>
      </c>
      <c r="AO3390" s="18" t="s">
        <v>773</v>
      </c>
      <c r="AP3390" s="283" t="s">
        <v>1629</v>
      </c>
    </row>
    <row r="3391" spans="1:42" x14ac:dyDescent="0.3">
      <c r="A3391" s="314" t="s">
        <v>1470</v>
      </c>
      <c r="B3391" s="283" t="s">
        <v>1502</v>
      </c>
      <c r="C3391" s="314" t="s">
        <v>1471</v>
      </c>
      <c r="D3391" s="283" t="s">
        <v>1504</v>
      </c>
      <c r="E3391" s="314" t="s">
        <v>1505</v>
      </c>
      <c r="F3391" s="283" t="s">
        <v>1506</v>
      </c>
      <c r="G3391" s="314" t="s">
        <v>1603</v>
      </c>
      <c r="H3391" s="283" t="s">
        <v>1604</v>
      </c>
      <c r="I3391" s="315">
        <v>0</v>
      </c>
      <c r="J3391" s="315">
        <v>0</v>
      </c>
      <c r="K3391" s="314" t="s">
        <v>1630</v>
      </c>
      <c r="L3391" s="283" t="s">
        <v>1631</v>
      </c>
      <c r="M3391" s="18" t="s">
        <v>1632</v>
      </c>
      <c r="N3391" s="442">
        <v>0</v>
      </c>
      <c r="O3391" s="430">
        <v>2058</v>
      </c>
      <c r="P3391" s="19">
        <v>2058</v>
      </c>
      <c r="Q3391" s="19">
        <v>2058</v>
      </c>
      <c r="R3391" s="19">
        <v>2058</v>
      </c>
      <c r="S3391" s="19">
        <v>2058</v>
      </c>
      <c r="T3391" s="10" t="s">
        <v>1608</v>
      </c>
      <c r="U3391" s="283" t="e">
        <v>#N/A</v>
      </c>
      <c r="V3391" s="283" t="s">
        <v>1633</v>
      </c>
      <c r="W3391" s="283">
        <v>1</v>
      </c>
      <c r="X3391" s="283">
        <v>0</v>
      </c>
      <c r="Y3391" s="283">
        <v>0</v>
      </c>
      <c r="Z3391" s="283">
        <v>1</v>
      </c>
      <c r="AA3391" s="283">
        <v>1</v>
      </c>
      <c r="AB3391" s="283">
        <v>0</v>
      </c>
      <c r="AC3391" s="316">
        <v>1</v>
      </c>
      <c r="AD3391" s="316">
        <v>0</v>
      </c>
      <c r="AE3391" s="302">
        <f t="shared" si="125"/>
        <v>0.5</v>
      </c>
      <c r="AF3391" s="310"/>
      <c r="AG3391" s="17">
        <v>0</v>
      </c>
      <c r="AH3391" s="310">
        <v>3.12</v>
      </c>
      <c r="AI3391" s="310">
        <v>3.12</v>
      </c>
      <c r="AJ3391" s="310">
        <v>3.12</v>
      </c>
      <c r="AK3391" s="317"/>
      <c r="AL3391" s="317"/>
      <c r="AM3391" s="147">
        <f t="shared" si="124"/>
        <v>0</v>
      </c>
      <c r="AN3391" s="283" t="s">
        <v>1610</v>
      </c>
      <c r="AO3391" s="18" t="s">
        <v>773</v>
      </c>
      <c r="AP3391" s="283" t="s">
        <v>1634</v>
      </c>
    </row>
    <row r="3392" spans="1:42" x14ac:dyDescent="0.3">
      <c r="A3392" s="314" t="s">
        <v>1470</v>
      </c>
      <c r="B3392" s="283" t="s">
        <v>1502</v>
      </c>
      <c r="C3392" s="314" t="s">
        <v>1471</v>
      </c>
      <c r="D3392" s="283" t="s">
        <v>1504</v>
      </c>
      <c r="E3392" s="314" t="s">
        <v>1505</v>
      </c>
      <c r="F3392" s="283" t="s">
        <v>1506</v>
      </c>
      <c r="G3392" s="314" t="s">
        <v>1603</v>
      </c>
      <c r="H3392" s="283" t="s">
        <v>1604</v>
      </c>
      <c r="I3392" s="315">
        <v>0</v>
      </c>
      <c r="J3392" s="315">
        <v>0</v>
      </c>
      <c r="K3392" s="314" t="s">
        <v>1635</v>
      </c>
      <c r="L3392" s="283" t="s">
        <v>1636</v>
      </c>
      <c r="M3392" s="18" t="s">
        <v>1637</v>
      </c>
      <c r="N3392" s="442">
        <v>0</v>
      </c>
      <c r="O3392" s="430">
        <v>1</v>
      </c>
      <c r="P3392" s="19"/>
      <c r="Q3392" s="152">
        <v>1</v>
      </c>
      <c r="R3392" s="19"/>
      <c r="S3392" s="19"/>
      <c r="T3392" s="10" t="s">
        <v>1608</v>
      </c>
      <c r="U3392" s="283" t="e">
        <v>#N/A</v>
      </c>
      <c r="V3392" s="283" t="s">
        <v>1638</v>
      </c>
      <c r="W3392" s="283">
        <v>0</v>
      </c>
      <c r="X3392" s="283">
        <v>0</v>
      </c>
      <c r="Y3392" s="283">
        <v>0</v>
      </c>
      <c r="Z3392" s="283">
        <v>0</v>
      </c>
      <c r="AA3392" s="283">
        <v>0</v>
      </c>
      <c r="AB3392" s="283">
        <v>0</v>
      </c>
      <c r="AC3392" s="316">
        <v>0</v>
      </c>
      <c r="AD3392" s="316">
        <v>0</v>
      </c>
      <c r="AE3392" s="302">
        <f t="shared" si="125"/>
        <v>0</v>
      </c>
      <c r="AF3392" s="310"/>
      <c r="AG3392" s="17">
        <v>0</v>
      </c>
      <c r="AH3392" s="310">
        <v>12.7</v>
      </c>
      <c r="AI3392" s="17">
        <v>0</v>
      </c>
      <c r="AJ3392" s="310">
        <v>12.7</v>
      </c>
      <c r="AK3392" s="153">
        <v>0</v>
      </c>
      <c r="AL3392" s="154">
        <v>0</v>
      </c>
      <c r="AM3392" s="147">
        <f t="shared" si="124"/>
        <v>0</v>
      </c>
      <c r="AN3392" s="283" t="s">
        <v>1610</v>
      </c>
      <c r="AO3392" s="18" t="s">
        <v>773</v>
      </c>
      <c r="AP3392" s="283" t="s">
        <v>1634</v>
      </c>
    </row>
    <row r="3393" spans="1:42" x14ac:dyDescent="0.3">
      <c r="A3393" s="314" t="s">
        <v>1470</v>
      </c>
      <c r="B3393" s="283" t="s">
        <v>1502</v>
      </c>
      <c r="C3393" s="314" t="s">
        <v>1471</v>
      </c>
      <c r="D3393" s="283" t="s">
        <v>1504</v>
      </c>
      <c r="E3393" s="314" t="s">
        <v>1505</v>
      </c>
      <c r="F3393" s="283" t="s">
        <v>1506</v>
      </c>
      <c r="G3393" s="314" t="s">
        <v>1603</v>
      </c>
      <c r="H3393" s="283" t="s">
        <v>1604</v>
      </c>
      <c r="I3393" s="315">
        <v>0</v>
      </c>
      <c r="J3393" s="315">
        <v>0</v>
      </c>
      <c r="K3393" s="314" t="s">
        <v>1639</v>
      </c>
      <c r="L3393" s="283" t="s">
        <v>1640</v>
      </c>
      <c r="M3393" s="18" t="s">
        <v>1641</v>
      </c>
      <c r="N3393" s="442">
        <v>0</v>
      </c>
      <c r="O3393" s="430">
        <v>5</v>
      </c>
      <c r="P3393" s="19">
        <v>8</v>
      </c>
      <c r="Q3393" s="19">
        <v>8</v>
      </c>
      <c r="R3393" s="19">
        <v>8</v>
      </c>
      <c r="S3393" s="19">
        <v>8</v>
      </c>
      <c r="T3393" s="10" t="s">
        <v>1581</v>
      </c>
      <c r="U3393" s="283" t="s">
        <v>1583</v>
      </c>
      <c r="V3393" s="283" t="s">
        <v>1642</v>
      </c>
      <c r="W3393" s="283">
        <v>0</v>
      </c>
      <c r="X3393" s="283">
        <v>0</v>
      </c>
      <c r="Y3393" s="283">
        <v>0</v>
      </c>
      <c r="Z3393" s="283">
        <v>0</v>
      </c>
      <c r="AA3393" s="283">
        <v>0</v>
      </c>
      <c r="AB3393" s="283">
        <v>0</v>
      </c>
      <c r="AC3393" s="316">
        <v>0</v>
      </c>
      <c r="AD3393" s="316">
        <v>0</v>
      </c>
      <c r="AE3393" s="302">
        <f t="shared" si="125"/>
        <v>0</v>
      </c>
      <c r="AF3393" s="310"/>
      <c r="AG3393" s="17">
        <v>0</v>
      </c>
      <c r="AH3393" s="310">
        <v>0.06</v>
      </c>
      <c r="AI3393" s="310">
        <v>0.06</v>
      </c>
      <c r="AJ3393" s="310">
        <v>0.06</v>
      </c>
      <c r="AK3393" s="317"/>
      <c r="AL3393" s="317"/>
      <c r="AM3393" s="147">
        <f t="shared" si="124"/>
        <v>0</v>
      </c>
      <c r="AN3393" s="283" t="s">
        <v>1581</v>
      </c>
      <c r="AO3393" s="18" t="s">
        <v>1583</v>
      </c>
      <c r="AP3393" s="283" t="s">
        <v>1643</v>
      </c>
    </row>
    <row r="3394" spans="1:42" x14ac:dyDescent="0.3">
      <c r="A3394" s="314" t="s">
        <v>1470</v>
      </c>
      <c r="B3394" s="283" t="s">
        <v>1502</v>
      </c>
      <c r="C3394" s="314" t="s">
        <v>1471</v>
      </c>
      <c r="D3394" s="283" t="s">
        <v>1504</v>
      </c>
      <c r="E3394" s="314" t="s">
        <v>1505</v>
      </c>
      <c r="F3394" s="283" t="s">
        <v>1506</v>
      </c>
      <c r="G3394" s="314" t="s">
        <v>1644</v>
      </c>
      <c r="H3394" s="283" t="s">
        <v>1645</v>
      </c>
      <c r="I3394" s="315">
        <v>0</v>
      </c>
      <c r="J3394" s="315">
        <v>0</v>
      </c>
      <c r="K3394" s="314" t="s">
        <v>1646</v>
      </c>
      <c r="L3394" s="283" t="s">
        <v>1647</v>
      </c>
      <c r="M3394" s="18" t="s">
        <v>1648</v>
      </c>
      <c r="N3394" s="442">
        <v>0</v>
      </c>
      <c r="O3394" s="430">
        <v>0</v>
      </c>
      <c r="P3394" s="19">
        <v>0</v>
      </c>
      <c r="Q3394" s="19">
        <v>1</v>
      </c>
      <c r="R3394" s="19">
        <v>0</v>
      </c>
      <c r="S3394" s="19">
        <v>0</v>
      </c>
      <c r="T3394" s="10" t="s">
        <v>1233</v>
      </c>
      <c r="U3394" s="283" t="s">
        <v>1650</v>
      </c>
      <c r="V3394" s="283" t="s">
        <v>1649</v>
      </c>
      <c r="AC3394" s="316">
        <v>0</v>
      </c>
      <c r="AD3394" s="316">
        <v>0</v>
      </c>
      <c r="AE3394" s="302">
        <f t="shared" si="125"/>
        <v>0</v>
      </c>
      <c r="AF3394" s="310"/>
      <c r="AG3394" s="17">
        <v>0</v>
      </c>
      <c r="AH3394" s="310">
        <v>0.1</v>
      </c>
      <c r="AI3394" s="310">
        <v>0.1</v>
      </c>
      <c r="AJ3394" s="310">
        <v>0.1</v>
      </c>
      <c r="AK3394" s="317"/>
      <c r="AL3394" s="317"/>
      <c r="AM3394" s="147">
        <f t="shared" si="124"/>
        <v>0</v>
      </c>
      <c r="AN3394" s="283" t="s">
        <v>1233</v>
      </c>
      <c r="AO3394" s="18" t="s">
        <v>1650</v>
      </c>
      <c r="AP3394" s="283" t="s">
        <v>1651</v>
      </c>
    </row>
    <row r="3395" spans="1:42" x14ac:dyDescent="0.3">
      <c r="A3395" s="314" t="s">
        <v>1470</v>
      </c>
      <c r="B3395" s="283" t="s">
        <v>1502</v>
      </c>
      <c r="C3395" s="314" t="s">
        <v>1471</v>
      </c>
      <c r="D3395" s="283" t="s">
        <v>1504</v>
      </c>
      <c r="E3395" s="314" t="s">
        <v>1505</v>
      </c>
      <c r="F3395" s="283" t="s">
        <v>1506</v>
      </c>
      <c r="G3395" s="314" t="s">
        <v>1644</v>
      </c>
      <c r="H3395" s="283" t="s">
        <v>1645</v>
      </c>
      <c r="I3395" s="315"/>
      <c r="J3395" s="315"/>
      <c r="K3395" s="314" t="s">
        <v>1646</v>
      </c>
      <c r="L3395" s="283" t="s">
        <v>1647</v>
      </c>
      <c r="M3395" s="18" t="s">
        <v>1652</v>
      </c>
      <c r="N3395" s="442">
        <v>0</v>
      </c>
      <c r="O3395" s="430"/>
      <c r="P3395" s="19"/>
      <c r="Q3395" s="19"/>
      <c r="R3395" s="19"/>
      <c r="S3395" s="19"/>
      <c r="T3395" s="10"/>
      <c r="U3395" s="283" t="e">
        <v>#N/A</v>
      </c>
      <c r="AC3395" s="316">
        <v>0</v>
      </c>
      <c r="AD3395" s="316">
        <v>0</v>
      </c>
      <c r="AE3395" s="302">
        <f t="shared" si="125"/>
        <v>0</v>
      </c>
      <c r="AF3395" s="4"/>
      <c r="AG3395" s="17">
        <v>0</v>
      </c>
      <c r="AM3395" s="147">
        <f t="shared" si="124"/>
        <v>0</v>
      </c>
      <c r="AO3395" s="18"/>
    </row>
    <row r="3396" spans="1:42" x14ac:dyDescent="0.3">
      <c r="A3396" s="314" t="s">
        <v>1470</v>
      </c>
      <c r="B3396" s="283" t="s">
        <v>1502</v>
      </c>
      <c r="C3396" s="314" t="s">
        <v>1471</v>
      </c>
      <c r="D3396" s="283" t="s">
        <v>1504</v>
      </c>
      <c r="E3396" s="314" t="s">
        <v>1505</v>
      </c>
      <c r="F3396" s="283" t="s">
        <v>1506</v>
      </c>
      <c r="G3396" s="314" t="s">
        <v>1653</v>
      </c>
      <c r="H3396" s="283" t="s">
        <v>1654</v>
      </c>
      <c r="I3396" s="315">
        <v>0</v>
      </c>
      <c r="J3396" s="315">
        <v>0</v>
      </c>
      <c r="K3396" s="314" t="s">
        <v>1655</v>
      </c>
      <c r="L3396" s="283" t="s">
        <v>1656</v>
      </c>
      <c r="M3396" s="1" t="s">
        <v>1657</v>
      </c>
      <c r="N3396" s="442">
        <v>0</v>
      </c>
      <c r="O3396" s="442">
        <v>1370</v>
      </c>
      <c r="P3396" s="149">
        <v>1370</v>
      </c>
      <c r="Q3396" s="149">
        <v>1370</v>
      </c>
      <c r="R3396" s="149">
        <v>1370</v>
      </c>
      <c r="S3396" s="19">
        <v>1370</v>
      </c>
      <c r="T3396" s="18" t="s">
        <v>1658</v>
      </c>
      <c r="U3396" s="283" t="e">
        <v>#N/A</v>
      </c>
      <c r="V3396" s="283" t="s">
        <v>1659</v>
      </c>
      <c r="W3396" s="283">
        <v>0</v>
      </c>
      <c r="X3396" s="283">
        <v>0</v>
      </c>
      <c r="Y3396" s="283">
        <v>0</v>
      </c>
      <c r="Z3396" s="283">
        <v>0</v>
      </c>
      <c r="AA3396" s="283">
        <v>0</v>
      </c>
      <c r="AB3396" s="283">
        <v>0</v>
      </c>
      <c r="AC3396" s="316">
        <v>0</v>
      </c>
      <c r="AD3396" s="316">
        <v>0</v>
      </c>
      <c r="AE3396" s="302">
        <f t="shared" si="125"/>
        <v>0</v>
      </c>
      <c r="AF3396" s="310"/>
      <c r="AG3396" s="17">
        <v>0</v>
      </c>
      <c r="AH3396" s="310">
        <v>0</v>
      </c>
      <c r="AI3396" s="310">
        <v>0</v>
      </c>
      <c r="AJ3396" s="310">
        <v>0</v>
      </c>
      <c r="AK3396" s="317">
        <v>0</v>
      </c>
      <c r="AL3396" s="317">
        <v>0</v>
      </c>
      <c r="AM3396" s="147">
        <f t="shared" si="124"/>
        <v>0</v>
      </c>
      <c r="AN3396" s="18" t="s">
        <v>255</v>
      </c>
      <c r="AO3396" s="18" t="s">
        <v>1045</v>
      </c>
      <c r="AP3396" s="283" t="s">
        <v>1660</v>
      </c>
    </row>
    <row r="3397" spans="1:42" x14ac:dyDescent="0.3">
      <c r="A3397" s="314" t="s">
        <v>1470</v>
      </c>
      <c r="B3397" s="283" t="s">
        <v>1502</v>
      </c>
      <c r="C3397" s="314" t="s">
        <v>1471</v>
      </c>
      <c r="D3397" s="283" t="s">
        <v>1504</v>
      </c>
      <c r="E3397" s="314" t="s">
        <v>1505</v>
      </c>
      <c r="F3397" s="283" t="s">
        <v>1506</v>
      </c>
      <c r="G3397" s="314" t="s">
        <v>1653</v>
      </c>
      <c r="H3397" s="283" t="s">
        <v>1654</v>
      </c>
      <c r="I3397" s="315">
        <v>0</v>
      </c>
      <c r="J3397" s="315">
        <v>0</v>
      </c>
      <c r="K3397" s="314" t="s">
        <v>1661</v>
      </c>
      <c r="L3397" s="283" t="s">
        <v>1662</v>
      </c>
      <c r="M3397" s="1" t="s">
        <v>1663</v>
      </c>
      <c r="N3397" s="442">
        <v>0</v>
      </c>
      <c r="O3397" s="442">
        <v>13700</v>
      </c>
      <c r="P3397" s="149">
        <v>13700</v>
      </c>
      <c r="Q3397" s="149">
        <v>13700</v>
      </c>
      <c r="R3397" s="149">
        <v>13700</v>
      </c>
      <c r="S3397" s="19">
        <v>13700</v>
      </c>
      <c r="T3397" s="18" t="s">
        <v>771</v>
      </c>
      <c r="U3397" s="283" t="s">
        <v>773</v>
      </c>
      <c r="V3397" s="283" t="s">
        <v>1664</v>
      </c>
      <c r="W3397" s="283">
        <v>0</v>
      </c>
      <c r="X3397" s="283">
        <v>0</v>
      </c>
      <c r="Y3397" s="283">
        <v>0</v>
      </c>
      <c r="Z3397" s="283">
        <v>0</v>
      </c>
      <c r="AA3397" s="283">
        <v>0</v>
      </c>
      <c r="AB3397" s="283">
        <v>0</v>
      </c>
      <c r="AC3397" s="316">
        <v>0</v>
      </c>
      <c r="AD3397" s="316">
        <v>0</v>
      </c>
      <c r="AE3397" s="302">
        <f t="shared" si="125"/>
        <v>0</v>
      </c>
      <c r="AF3397" s="310"/>
      <c r="AG3397" s="17">
        <v>0</v>
      </c>
      <c r="AH3397" s="310">
        <v>106.20144290583059</v>
      </c>
      <c r="AI3397" s="310">
        <v>17.692715479265161</v>
      </c>
      <c r="AJ3397" s="310">
        <v>45.71307921218159</v>
      </c>
      <c r="AK3397" s="317"/>
      <c r="AL3397" s="317"/>
      <c r="AM3397" s="147">
        <f t="shared" si="124"/>
        <v>0</v>
      </c>
      <c r="AN3397" s="18" t="s">
        <v>771</v>
      </c>
      <c r="AO3397" s="18" t="s">
        <v>773</v>
      </c>
      <c r="AP3397" s="283" t="s">
        <v>1665</v>
      </c>
    </row>
    <row r="3398" spans="1:42" x14ac:dyDescent="0.3">
      <c r="A3398" s="314" t="s">
        <v>1470</v>
      </c>
      <c r="B3398" s="283" t="s">
        <v>1502</v>
      </c>
      <c r="C3398" s="314" t="s">
        <v>1471</v>
      </c>
      <c r="D3398" s="283" t="s">
        <v>1504</v>
      </c>
      <c r="E3398" s="314" t="s">
        <v>1505</v>
      </c>
      <c r="F3398" s="283" t="s">
        <v>1506</v>
      </c>
      <c r="G3398" s="314" t="s">
        <v>1653</v>
      </c>
      <c r="H3398" s="283" t="s">
        <v>1654</v>
      </c>
      <c r="I3398" s="315">
        <v>0</v>
      </c>
      <c r="J3398" s="315">
        <v>0</v>
      </c>
      <c r="K3398" s="314" t="s">
        <v>1666</v>
      </c>
      <c r="L3398" s="283" t="s">
        <v>1667</v>
      </c>
      <c r="M3398" s="1" t="s">
        <v>1668</v>
      </c>
      <c r="N3398" s="442">
        <v>0</v>
      </c>
      <c r="O3398" s="442">
        <v>13</v>
      </c>
      <c r="P3398" s="149">
        <v>13</v>
      </c>
      <c r="Q3398" s="149">
        <v>13</v>
      </c>
      <c r="R3398" s="149">
        <v>13</v>
      </c>
      <c r="S3398" s="19">
        <v>13</v>
      </c>
      <c r="T3398" s="18" t="s">
        <v>771</v>
      </c>
      <c r="U3398" s="283" t="s">
        <v>773</v>
      </c>
      <c r="V3398" s="283" t="s">
        <v>1669</v>
      </c>
      <c r="W3398" s="283">
        <v>1</v>
      </c>
      <c r="X3398" s="283">
        <v>0</v>
      </c>
      <c r="Y3398" s="283">
        <v>0</v>
      </c>
      <c r="Z3398" s="283">
        <v>1</v>
      </c>
      <c r="AA3398" s="283">
        <v>1</v>
      </c>
      <c r="AB3398" s="283">
        <v>1</v>
      </c>
      <c r="AC3398" s="316">
        <v>1</v>
      </c>
      <c r="AD3398" s="316">
        <v>1</v>
      </c>
      <c r="AE3398" s="302">
        <f t="shared" si="125"/>
        <v>0.75</v>
      </c>
      <c r="AF3398" s="310">
        <v>0</v>
      </c>
      <c r="AG3398" s="17">
        <v>0</v>
      </c>
      <c r="AH3398" s="310">
        <v>0.37</v>
      </c>
      <c r="AI3398" s="310">
        <v>0.37</v>
      </c>
      <c r="AJ3398" s="310">
        <v>0.37</v>
      </c>
      <c r="AK3398" s="317">
        <v>0.37</v>
      </c>
      <c r="AL3398" s="317">
        <v>0.37</v>
      </c>
      <c r="AM3398" s="147">
        <f t="shared" ref="AM3398:AM3429" si="126">SUM(AK3398:AL3398)</f>
        <v>0.74</v>
      </c>
      <c r="AN3398" s="18" t="s">
        <v>771</v>
      </c>
      <c r="AO3398" s="18" t="s">
        <v>773</v>
      </c>
      <c r="AP3398" s="283" t="s">
        <v>1670</v>
      </c>
    </row>
    <row r="3399" spans="1:42" x14ac:dyDescent="0.3">
      <c r="A3399" s="314" t="s">
        <v>1470</v>
      </c>
      <c r="B3399" s="283" t="s">
        <v>1502</v>
      </c>
      <c r="C3399" s="314" t="s">
        <v>1471</v>
      </c>
      <c r="D3399" s="283" t="s">
        <v>1504</v>
      </c>
      <c r="E3399" s="314" t="s">
        <v>1505</v>
      </c>
      <c r="F3399" s="283" t="s">
        <v>1506</v>
      </c>
      <c r="G3399" s="314" t="s">
        <v>1653</v>
      </c>
      <c r="H3399" s="283" t="s">
        <v>1654</v>
      </c>
      <c r="I3399" s="315">
        <v>0</v>
      </c>
      <c r="J3399" s="315">
        <v>0</v>
      </c>
      <c r="K3399" s="314" t="s">
        <v>1666</v>
      </c>
      <c r="L3399" s="283" t="s">
        <v>1667</v>
      </c>
      <c r="M3399" s="1" t="s">
        <v>1671</v>
      </c>
      <c r="N3399" s="442">
        <v>0</v>
      </c>
      <c r="O3399" s="442">
        <v>1200</v>
      </c>
      <c r="P3399" s="149">
        <v>1200</v>
      </c>
      <c r="Q3399" s="149">
        <v>1200</v>
      </c>
      <c r="R3399" s="149">
        <v>800</v>
      </c>
      <c r="S3399" s="19">
        <v>800</v>
      </c>
      <c r="T3399" s="283" t="s">
        <v>1167</v>
      </c>
      <c r="U3399" s="283" t="s">
        <v>1170</v>
      </c>
      <c r="V3399" s="283" t="s">
        <v>1672</v>
      </c>
      <c r="W3399" s="283">
        <v>1</v>
      </c>
      <c r="X3399" s="283">
        <v>0</v>
      </c>
      <c r="Y3399" s="283">
        <v>0</v>
      </c>
      <c r="Z3399" s="283">
        <v>1</v>
      </c>
      <c r="AA3399" s="283">
        <v>1</v>
      </c>
      <c r="AB3399" s="283">
        <v>1</v>
      </c>
      <c r="AC3399" s="316">
        <v>1</v>
      </c>
      <c r="AD3399" s="316">
        <v>1</v>
      </c>
      <c r="AE3399" s="302">
        <f t="shared" si="125"/>
        <v>0.75</v>
      </c>
      <c r="AF3399" s="310">
        <v>0</v>
      </c>
      <c r="AG3399" s="17">
        <v>0</v>
      </c>
      <c r="AH3399" s="310">
        <v>2</v>
      </c>
      <c r="AI3399" s="310">
        <v>1</v>
      </c>
      <c r="AJ3399" s="310">
        <v>1</v>
      </c>
      <c r="AK3399" s="317">
        <v>1</v>
      </c>
      <c r="AL3399" s="317">
        <v>1</v>
      </c>
      <c r="AM3399" s="147">
        <f t="shared" si="126"/>
        <v>2</v>
      </c>
      <c r="AN3399" s="283" t="s">
        <v>1167</v>
      </c>
      <c r="AO3399" s="18" t="s">
        <v>1170</v>
      </c>
      <c r="AP3399" s="283" t="s">
        <v>1673</v>
      </c>
    </row>
    <row r="3400" spans="1:42" x14ac:dyDescent="0.3">
      <c r="A3400" s="314" t="s">
        <v>1470</v>
      </c>
      <c r="B3400" s="283" t="s">
        <v>1502</v>
      </c>
      <c r="C3400" s="314" t="s">
        <v>1472</v>
      </c>
      <c r="D3400" s="283" t="s">
        <v>1674</v>
      </c>
      <c r="E3400" s="314" t="s">
        <v>1473</v>
      </c>
      <c r="F3400" s="283" t="s">
        <v>1675</v>
      </c>
      <c r="G3400" s="314" t="s">
        <v>1676</v>
      </c>
      <c r="H3400" s="283" t="s">
        <v>1677</v>
      </c>
      <c r="I3400" s="315">
        <v>0</v>
      </c>
      <c r="J3400" s="315">
        <v>0</v>
      </c>
      <c r="K3400" s="314" t="s">
        <v>1678</v>
      </c>
      <c r="L3400" s="283" t="s">
        <v>1679</v>
      </c>
      <c r="M3400" s="1" t="s">
        <v>1680</v>
      </c>
      <c r="N3400" s="442">
        <v>0</v>
      </c>
      <c r="O3400" s="442" t="s">
        <v>271</v>
      </c>
      <c r="P3400" s="19">
        <v>1017</v>
      </c>
      <c r="Q3400" s="152">
        <v>1017</v>
      </c>
      <c r="R3400" s="19">
        <v>500</v>
      </c>
      <c r="S3400" s="19">
        <v>500</v>
      </c>
      <c r="T3400" s="18" t="s">
        <v>771</v>
      </c>
      <c r="U3400" s="283" t="s">
        <v>773</v>
      </c>
      <c r="V3400" s="283" t="s">
        <v>1681</v>
      </c>
      <c r="W3400" s="283">
        <v>1</v>
      </c>
      <c r="X3400" s="283">
        <v>0</v>
      </c>
      <c r="Y3400" s="283">
        <v>0</v>
      </c>
      <c r="Z3400" s="283">
        <v>1</v>
      </c>
      <c r="AA3400" s="283">
        <v>1</v>
      </c>
      <c r="AB3400" s="283">
        <v>1</v>
      </c>
      <c r="AC3400" s="316">
        <v>1</v>
      </c>
      <c r="AD3400" s="316">
        <v>1</v>
      </c>
      <c r="AE3400" s="302">
        <f t="shared" si="125"/>
        <v>0.75</v>
      </c>
      <c r="AF3400" s="310">
        <v>0</v>
      </c>
      <c r="AG3400" s="17">
        <v>0</v>
      </c>
      <c r="AH3400" s="310">
        <v>27.32</v>
      </c>
      <c r="AI3400" s="310">
        <v>27.32</v>
      </c>
      <c r="AJ3400" s="17">
        <v>0</v>
      </c>
      <c r="AK3400" s="153">
        <v>2</v>
      </c>
      <c r="AL3400" s="154">
        <v>2</v>
      </c>
      <c r="AM3400" s="147">
        <f t="shared" si="126"/>
        <v>4</v>
      </c>
      <c r="AN3400" s="18" t="s">
        <v>771</v>
      </c>
      <c r="AO3400" s="18" t="s">
        <v>773</v>
      </c>
      <c r="AP3400" s="283" t="s">
        <v>280</v>
      </c>
    </row>
    <row r="3401" spans="1:42" x14ac:dyDescent="0.3">
      <c r="A3401" s="314" t="s">
        <v>1470</v>
      </c>
      <c r="B3401" s="283" t="s">
        <v>1502</v>
      </c>
      <c r="C3401" s="314" t="s">
        <v>1472</v>
      </c>
      <c r="D3401" s="283" t="s">
        <v>1674</v>
      </c>
      <c r="E3401" s="314" t="s">
        <v>1473</v>
      </c>
      <c r="F3401" s="283" t="s">
        <v>1675</v>
      </c>
      <c r="G3401" s="314" t="s">
        <v>1676</v>
      </c>
      <c r="H3401" s="283" t="s">
        <v>1677</v>
      </c>
      <c r="I3401" s="315">
        <v>0</v>
      </c>
      <c r="J3401" s="315">
        <v>0</v>
      </c>
      <c r="K3401" s="314" t="s">
        <v>1682</v>
      </c>
      <c r="L3401" s="283" t="s">
        <v>1683</v>
      </c>
      <c r="M3401" s="1" t="s">
        <v>1684</v>
      </c>
      <c r="N3401" s="442">
        <v>0</v>
      </c>
      <c r="O3401" s="442">
        <v>3</v>
      </c>
      <c r="P3401" s="149">
        <v>3</v>
      </c>
      <c r="Q3401" s="149">
        <v>3</v>
      </c>
      <c r="R3401" s="149">
        <v>2</v>
      </c>
      <c r="S3401" s="19">
        <v>1</v>
      </c>
      <c r="T3401" s="18" t="s">
        <v>1685</v>
      </c>
      <c r="U3401" s="283" t="e">
        <v>#N/A</v>
      </c>
      <c r="V3401" s="283" t="s">
        <v>1686</v>
      </c>
      <c r="W3401" s="283">
        <v>1</v>
      </c>
      <c r="X3401" s="283">
        <v>0</v>
      </c>
      <c r="Y3401" s="283">
        <v>0</v>
      </c>
      <c r="Z3401" s="283">
        <v>1</v>
      </c>
      <c r="AA3401" s="283">
        <v>1</v>
      </c>
      <c r="AB3401" s="283">
        <v>1</v>
      </c>
      <c r="AC3401" s="316">
        <v>1</v>
      </c>
      <c r="AD3401" s="316">
        <v>0</v>
      </c>
      <c r="AE3401" s="302">
        <f t="shared" ref="AE3401:AE3432" si="127">SUM(W3401:AD3401)/8</f>
        <v>0.625</v>
      </c>
      <c r="AF3401" s="310"/>
      <c r="AG3401" s="17">
        <v>0</v>
      </c>
      <c r="AH3401" s="310">
        <v>4.96</v>
      </c>
      <c r="AI3401" s="310">
        <v>4.96</v>
      </c>
      <c r="AJ3401" s="310">
        <v>4.96</v>
      </c>
      <c r="AK3401" s="317">
        <v>1</v>
      </c>
      <c r="AL3401" s="317">
        <v>1</v>
      </c>
      <c r="AM3401" s="147">
        <f t="shared" si="126"/>
        <v>2</v>
      </c>
      <c r="AN3401" s="18" t="s">
        <v>771</v>
      </c>
      <c r="AO3401" s="18" t="s">
        <v>773</v>
      </c>
      <c r="AP3401" s="283" t="s">
        <v>1687</v>
      </c>
    </row>
    <row r="3402" spans="1:42" x14ac:dyDescent="0.3">
      <c r="A3402" s="314" t="s">
        <v>1470</v>
      </c>
      <c r="B3402" s="283" t="s">
        <v>1502</v>
      </c>
      <c r="C3402" s="314" t="s">
        <v>1472</v>
      </c>
      <c r="D3402" s="283" t="s">
        <v>1674</v>
      </c>
      <c r="E3402" s="314" t="s">
        <v>1473</v>
      </c>
      <c r="F3402" s="283" t="s">
        <v>1675</v>
      </c>
      <c r="G3402" s="314" t="s">
        <v>1676</v>
      </c>
      <c r="H3402" s="283" t="s">
        <v>1677</v>
      </c>
      <c r="I3402" s="315">
        <v>0</v>
      </c>
      <c r="J3402" s="315">
        <v>0</v>
      </c>
      <c r="K3402" s="314" t="s">
        <v>1688</v>
      </c>
      <c r="L3402" s="283" t="s">
        <v>1689</v>
      </c>
      <c r="M3402" s="1" t="s">
        <v>1690</v>
      </c>
      <c r="N3402" s="442">
        <v>0</v>
      </c>
      <c r="O3402" s="442">
        <v>5</v>
      </c>
      <c r="P3402" s="149">
        <v>5</v>
      </c>
      <c r="Q3402" s="149">
        <v>5</v>
      </c>
      <c r="R3402" s="149">
        <v>5</v>
      </c>
      <c r="S3402" s="19">
        <v>5</v>
      </c>
      <c r="T3402" s="18" t="s">
        <v>771</v>
      </c>
      <c r="U3402" s="283" t="s">
        <v>773</v>
      </c>
      <c r="V3402" s="283" t="s">
        <v>1691</v>
      </c>
      <c r="W3402" s="283">
        <v>1</v>
      </c>
      <c r="X3402" s="283">
        <v>0</v>
      </c>
      <c r="Y3402" s="283">
        <v>0</v>
      </c>
      <c r="Z3402" s="283">
        <v>1</v>
      </c>
      <c r="AA3402" s="283">
        <v>1</v>
      </c>
      <c r="AB3402" s="283">
        <v>1</v>
      </c>
      <c r="AC3402" s="316">
        <v>1</v>
      </c>
      <c r="AD3402" s="316">
        <v>0</v>
      </c>
      <c r="AE3402" s="302">
        <f t="shared" si="127"/>
        <v>0.625</v>
      </c>
      <c r="AF3402" s="310"/>
      <c r="AG3402" s="17">
        <v>0</v>
      </c>
      <c r="AH3402" s="310">
        <v>0</v>
      </c>
      <c r="AI3402" s="310">
        <v>0</v>
      </c>
      <c r="AJ3402" s="310">
        <v>5</v>
      </c>
      <c r="AK3402" s="317">
        <v>3</v>
      </c>
      <c r="AL3402" s="317">
        <v>3</v>
      </c>
      <c r="AM3402" s="147">
        <f t="shared" si="126"/>
        <v>6</v>
      </c>
      <c r="AN3402" s="18" t="s">
        <v>771</v>
      </c>
      <c r="AO3402" s="18" t="s">
        <v>773</v>
      </c>
      <c r="AP3402" s="283" t="s">
        <v>1687</v>
      </c>
    </row>
    <row r="3403" spans="1:42" x14ac:dyDescent="0.3">
      <c r="A3403" s="314" t="s">
        <v>1470</v>
      </c>
      <c r="B3403" s="283" t="s">
        <v>1502</v>
      </c>
      <c r="C3403" s="314" t="s">
        <v>1472</v>
      </c>
      <c r="D3403" s="283" t="s">
        <v>1674</v>
      </c>
      <c r="E3403" s="314" t="s">
        <v>1473</v>
      </c>
      <c r="F3403" s="283" t="s">
        <v>1675</v>
      </c>
      <c r="G3403" s="314" t="s">
        <v>1676</v>
      </c>
      <c r="H3403" s="283" t="s">
        <v>1677</v>
      </c>
      <c r="I3403" s="315">
        <v>0</v>
      </c>
      <c r="J3403" s="315">
        <v>0</v>
      </c>
      <c r="K3403" s="314" t="s">
        <v>1692</v>
      </c>
      <c r="L3403" s="283" t="s">
        <v>1693</v>
      </c>
      <c r="M3403" s="1" t="s">
        <v>1694</v>
      </c>
      <c r="N3403" s="442">
        <v>0</v>
      </c>
      <c r="O3403" s="442">
        <v>70</v>
      </c>
      <c r="P3403" s="149">
        <v>81</v>
      </c>
      <c r="Q3403" s="149">
        <v>63</v>
      </c>
      <c r="R3403" s="149">
        <v>10</v>
      </c>
      <c r="S3403" s="19">
        <v>10</v>
      </c>
      <c r="T3403" s="10" t="s">
        <v>1345</v>
      </c>
      <c r="U3403" s="283" t="s">
        <v>1334</v>
      </c>
      <c r="V3403" s="283" t="s">
        <v>1695</v>
      </c>
      <c r="W3403" s="283">
        <v>1</v>
      </c>
      <c r="X3403" s="283">
        <v>0</v>
      </c>
      <c r="Y3403" s="283">
        <v>0</v>
      </c>
      <c r="Z3403" s="283">
        <v>1</v>
      </c>
      <c r="AA3403" s="283">
        <v>1</v>
      </c>
      <c r="AB3403" s="283">
        <v>1</v>
      </c>
      <c r="AC3403" s="316">
        <v>1</v>
      </c>
      <c r="AD3403" s="316">
        <v>1</v>
      </c>
      <c r="AE3403" s="302">
        <f t="shared" si="127"/>
        <v>0.75</v>
      </c>
      <c r="AF3403" s="310">
        <v>0</v>
      </c>
      <c r="AG3403" s="17">
        <v>0</v>
      </c>
      <c r="AH3403" s="310">
        <v>11</v>
      </c>
      <c r="AI3403" s="310">
        <v>13</v>
      </c>
      <c r="AJ3403" s="310">
        <v>9</v>
      </c>
      <c r="AK3403" s="317">
        <v>5</v>
      </c>
      <c r="AL3403" s="317">
        <v>5</v>
      </c>
      <c r="AM3403" s="147">
        <f t="shared" si="126"/>
        <v>10</v>
      </c>
      <c r="AN3403" s="10" t="s">
        <v>1345</v>
      </c>
      <c r="AO3403" s="18" t="s">
        <v>1334</v>
      </c>
      <c r="AP3403" s="283" t="s">
        <v>255</v>
      </c>
    </row>
    <row r="3404" spans="1:42" x14ac:dyDescent="0.3">
      <c r="A3404" s="314" t="s">
        <v>1470</v>
      </c>
      <c r="B3404" s="283" t="s">
        <v>1502</v>
      </c>
      <c r="C3404" s="314" t="s">
        <v>1472</v>
      </c>
      <c r="D3404" s="283" t="s">
        <v>1674</v>
      </c>
      <c r="E3404" s="314" t="s">
        <v>1473</v>
      </c>
      <c r="F3404" s="283" t="s">
        <v>1675</v>
      </c>
      <c r="G3404" s="314" t="s">
        <v>1676</v>
      </c>
      <c r="H3404" s="283" t="s">
        <v>1677</v>
      </c>
      <c r="I3404" s="315">
        <v>0</v>
      </c>
      <c r="J3404" s="315">
        <v>0</v>
      </c>
      <c r="K3404" s="314" t="s">
        <v>1696</v>
      </c>
      <c r="L3404" s="283" t="s">
        <v>1697</v>
      </c>
      <c r="M3404" s="1" t="s">
        <v>1698</v>
      </c>
      <c r="N3404" s="442">
        <v>0</v>
      </c>
      <c r="O3404" s="442">
        <v>1</v>
      </c>
      <c r="P3404" s="149">
        <v>1</v>
      </c>
      <c r="Q3404" s="149">
        <v>1</v>
      </c>
      <c r="R3404" s="149">
        <v>1</v>
      </c>
      <c r="S3404" s="19">
        <v>1</v>
      </c>
      <c r="T3404" s="10" t="s">
        <v>1699</v>
      </c>
      <c r="U3404" s="283" t="e">
        <v>#N/A</v>
      </c>
      <c r="V3404" s="283" t="s">
        <v>1700</v>
      </c>
      <c r="W3404" s="283">
        <v>1</v>
      </c>
      <c r="X3404" s="283">
        <v>0</v>
      </c>
      <c r="Y3404" s="283">
        <v>0</v>
      </c>
      <c r="Z3404" s="283">
        <v>1</v>
      </c>
      <c r="AA3404" s="283">
        <v>1</v>
      </c>
      <c r="AB3404" s="283">
        <v>1</v>
      </c>
      <c r="AC3404" s="316">
        <v>1</v>
      </c>
      <c r="AD3404" s="316">
        <v>1</v>
      </c>
      <c r="AE3404" s="302">
        <f t="shared" si="127"/>
        <v>0.75</v>
      </c>
      <c r="AF3404" s="310"/>
      <c r="AG3404" s="17">
        <v>0</v>
      </c>
      <c r="AH3404" s="310">
        <v>0.2</v>
      </c>
      <c r="AI3404" s="310">
        <v>0.2</v>
      </c>
      <c r="AJ3404" s="310">
        <v>0.2</v>
      </c>
      <c r="AK3404" s="317">
        <v>0.2</v>
      </c>
      <c r="AL3404" s="317">
        <v>0.2</v>
      </c>
      <c r="AM3404" s="147">
        <f t="shared" si="126"/>
        <v>0.4</v>
      </c>
      <c r="AN3404" s="10" t="s">
        <v>239</v>
      </c>
      <c r="AO3404" s="18" t="s">
        <v>241</v>
      </c>
      <c r="AP3404" s="283" t="s">
        <v>1687</v>
      </c>
    </row>
    <row r="3405" spans="1:42" x14ac:dyDescent="0.3">
      <c r="A3405" s="314" t="s">
        <v>1470</v>
      </c>
      <c r="B3405" s="283" t="s">
        <v>1502</v>
      </c>
      <c r="C3405" s="314" t="s">
        <v>1472</v>
      </c>
      <c r="D3405" s="283" t="s">
        <v>1674</v>
      </c>
      <c r="E3405" s="314" t="s">
        <v>1473</v>
      </c>
      <c r="F3405" s="283" t="s">
        <v>1675</v>
      </c>
      <c r="G3405" s="314" t="s">
        <v>1676</v>
      </c>
      <c r="H3405" s="283" t="s">
        <v>1677</v>
      </c>
      <c r="I3405" s="315">
        <v>0</v>
      </c>
      <c r="J3405" s="315">
        <v>0</v>
      </c>
      <c r="K3405" s="314" t="s">
        <v>1701</v>
      </c>
      <c r="L3405" s="283" t="s">
        <v>1702</v>
      </c>
      <c r="M3405" s="1" t="s">
        <v>1703</v>
      </c>
      <c r="N3405" s="442">
        <v>0</v>
      </c>
      <c r="O3405" s="442">
        <v>4110</v>
      </c>
      <c r="P3405" s="149">
        <v>4110</v>
      </c>
      <c r="Q3405" s="149">
        <v>4110</v>
      </c>
      <c r="R3405" s="149">
        <v>4110</v>
      </c>
      <c r="S3405" s="19">
        <v>4110</v>
      </c>
      <c r="T3405" s="18" t="s">
        <v>1704</v>
      </c>
      <c r="U3405" s="283" t="e">
        <v>#N/A</v>
      </c>
      <c r="V3405" s="283" t="s">
        <v>1705</v>
      </c>
      <c r="W3405" s="283">
        <v>1</v>
      </c>
      <c r="X3405" s="283">
        <v>1</v>
      </c>
      <c r="Y3405" s="283">
        <v>1</v>
      </c>
      <c r="Z3405" s="283">
        <v>1</v>
      </c>
      <c r="AA3405" s="283">
        <v>1</v>
      </c>
      <c r="AB3405" s="283">
        <v>1</v>
      </c>
      <c r="AC3405" s="316">
        <v>1</v>
      </c>
      <c r="AD3405" s="316">
        <v>0</v>
      </c>
      <c r="AE3405" s="302">
        <f t="shared" si="127"/>
        <v>0.875</v>
      </c>
      <c r="AF3405" s="310"/>
      <c r="AG3405" s="17">
        <v>0</v>
      </c>
      <c r="AH3405" s="310">
        <v>52.1</v>
      </c>
      <c r="AI3405" s="310">
        <v>52.1</v>
      </c>
      <c r="AJ3405" s="310">
        <v>51.55</v>
      </c>
      <c r="AK3405" s="317">
        <f>20-0.95</f>
        <v>19.05</v>
      </c>
      <c r="AL3405" s="317">
        <f>12.86+0.18</f>
        <v>13.04</v>
      </c>
      <c r="AM3405" s="147">
        <f t="shared" si="126"/>
        <v>32.090000000000003</v>
      </c>
      <c r="AN3405" s="18" t="s">
        <v>771</v>
      </c>
      <c r="AO3405" s="18" t="s">
        <v>773</v>
      </c>
      <c r="AP3405" s="283" t="s">
        <v>1706</v>
      </c>
    </row>
    <row r="3406" spans="1:42" x14ac:dyDescent="0.3">
      <c r="A3406" s="314" t="s">
        <v>1470</v>
      </c>
      <c r="B3406" s="283" t="s">
        <v>1502</v>
      </c>
      <c r="C3406" s="314" t="s">
        <v>1472</v>
      </c>
      <c r="D3406" s="283" t="s">
        <v>1674</v>
      </c>
      <c r="E3406" s="314" t="s">
        <v>1473</v>
      </c>
      <c r="F3406" s="283" t="s">
        <v>1675</v>
      </c>
      <c r="G3406" s="314" t="s">
        <v>1676</v>
      </c>
      <c r="H3406" s="283" t="s">
        <v>1677</v>
      </c>
      <c r="I3406" s="315">
        <v>0</v>
      </c>
      <c r="J3406" s="315">
        <v>0</v>
      </c>
      <c r="K3406" s="314" t="s">
        <v>1707</v>
      </c>
      <c r="L3406" s="283" t="s">
        <v>1708</v>
      </c>
      <c r="M3406" s="1" t="s">
        <v>271</v>
      </c>
      <c r="N3406" s="442">
        <v>0</v>
      </c>
      <c r="O3406" s="442"/>
      <c r="P3406" s="149"/>
      <c r="Q3406" s="149"/>
      <c r="R3406" s="149"/>
      <c r="S3406" s="19"/>
      <c r="T3406" s="18"/>
      <c r="U3406" s="283" t="e">
        <v>#N/A</v>
      </c>
      <c r="V3406" s="283" t="s">
        <v>1709</v>
      </c>
      <c r="W3406" s="283">
        <v>1</v>
      </c>
      <c r="X3406" s="283">
        <v>1</v>
      </c>
      <c r="Y3406" s="283">
        <v>1</v>
      </c>
      <c r="Z3406" s="283">
        <v>1</v>
      </c>
      <c r="AA3406" s="283">
        <v>1</v>
      </c>
      <c r="AB3406" s="283">
        <v>1</v>
      </c>
      <c r="AC3406" s="316">
        <v>1</v>
      </c>
      <c r="AD3406" s="316">
        <v>0</v>
      </c>
      <c r="AE3406" s="302">
        <f t="shared" si="127"/>
        <v>0.875</v>
      </c>
      <c r="AF3406" s="17"/>
      <c r="AG3406" s="17">
        <v>0</v>
      </c>
      <c r="AH3406" s="17">
        <v>0</v>
      </c>
      <c r="AI3406" s="310">
        <v>15</v>
      </c>
      <c r="AJ3406" s="310">
        <v>15</v>
      </c>
      <c r="AK3406" s="317">
        <v>3</v>
      </c>
      <c r="AL3406" s="317">
        <v>3</v>
      </c>
      <c r="AM3406" s="147">
        <f t="shared" si="126"/>
        <v>6</v>
      </c>
      <c r="AN3406" s="18" t="s">
        <v>771</v>
      </c>
      <c r="AO3406" s="18" t="s">
        <v>773</v>
      </c>
      <c r="AP3406" s="283" t="s">
        <v>982</v>
      </c>
    </row>
    <row r="3407" spans="1:42" x14ac:dyDescent="0.3">
      <c r="A3407" s="314" t="s">
        <v>1470</v>
      </c>
      <c r="B3407" s="283" t="s">
        <v>1502</v>
      </c>
      <c r="C3407" s="314" t="s">
        <v>1472</v>
      </c>
      <c r="D3407" s="283" t="s">
        <v>1674</v>
      </c>
      <c r="E3407" s="314" t="s">
        <v>1473</v>
      </c>
      <c r="F3407" s="283" t="s">
        <v>1675</v>
      </c>
      <c r="G3407" s="314" t="s">
        <v>1676</v>
      </c>
      <c r="H3407" s="283" t="s">
        <v>1677</v>
      </c>
      <c r="I3407" s="315">
        <v>0</v>
      </c>
      <c r="J3407" s="315">
        <v>0</v>
      </c>
      <c r="K3407" s="314" t="s">
        <v>1710</v>
      </c>
      <c r="L3407" s="283" t="s">
        <v>1711</v>
      </c>
      <c r="M3407" s="1" t="s">
        <v>1712</v>
      </c>
      <c r="N3407" s="442">
        <v>0</v>
      </c>
      <c r="O3407" s="442">
        <v>137</v>
      </c>
      <c r="P3407" s="149">
        <v>137</v>
      </c>
      <c r="Q3407" s="149">
        <v>137</v>
      </c>
      <c r="R3407" s="149">
        <v>20</v>
      </c>
      <c r="S3407" s="19">
        <v>20</v>
      </c>
      <c r="T3407" s="283" t="s">
        <v>1704</v>
      </c>
      <c r="U3407" s="283" t="e">
        <v>#N/A</v>
      </c>
      <c r="V3407" s="283" t="s">
        <v>1713</v>
      </c>
      <c r="W3407" s="283">
        <v>1</v>
      </c>
      <c r="X3407" s="283">
        <v>0</v>
      </c>
      <c r="Y3407" s="283">
        <v>0</v>
      </c>
      <c r="Z3407" s="283">
        <v>1</v>
      </c>
      <c r="AA3407" s="283">
        <v>1</v>
      </c>
      <c r="AB3407" s="283">
        <v>1</v>
      </c>
      <c r="AC3407" s="316">
        <v>1</v>
      </c>
      <c r="AD3407" s="316">
        <v>0</v>
      </c>
      <c r="AE3407" s="302">
        <f t="shared" si="127"/>
        <v>0.625</v>
      </c>
      <c r="AF3407" s="310"/>
      <c r="AG3407" s="17">
        <v>0</v>
      </c>
      <c r="AH3407" s="310">
        <v>1.51</v>
      </c>
      <c r="AI3407" s="310">
        <v>1.51</v>
      </c>
      <c r="AJ3407" s="310">
        <v>1</v>
      </c>
      <c r="AK3407" s="317">
        <v>1</v>
      </c>
      <c r="AL3407" s="317">
        <v>1</v>
      </c>
      <c r="AM3407" s="147">
        <f t="shared" si="126"/>
        <v>2</v>
      </c>
      <c r="AN3407" s="283" t="s">
        <v>1714</v>
      </c>
      <c r="AO3407" s="18" t="s">
        <v>773</v>
      </c>
      <c r="AP3407" s="283" t="s">
        <v>1715</v>
      </c>
    </row>
    <row r="3408" spans="1:42" x14ac:dyDescent="0.3">
      <c r="A3408" s="314" t="s">
        <v>1470</v>
      </c>
      <c r="B3408" s="283" t="s">
        <v>1502</v>
      </c>
      <c r="C3408" s="314" t="s">
        <v>1472</v>
      </c>
      <c r="D3408" s="283" t="s">
        <v>1674</v>
      </c>
      <c r="E3408" s="314" t="s">
        <v>1473</v>
      </c>
      <c r="F3408" s="283" t="s">
        <v>1675</v>
      </c>
      <c r="G3408" s="314" t="s">
        <v>1676</v>
      </c>
      <c r="H3408" s="283" t="s">
        <v>1677</v>
      </c>
      <c r="I3408" s="315">
        <v>0</v>
      </c>
      <c r="J3408" s="315">
        <v>0</v>
      </c>
      <c r="K3408" s="314" t="s">
        <v>1716</v>
      </c>
      <c r="L3408" s="283" t="s">
        <v>1717</v>
      </c>
      <c r="M3408" s="1" t="s">
        <v>1718</v>
      </c>
      <c r="N3408" s="442">
        <v>0</v>
      </c>
      <c r="O3408" s="442">
        <v>1</v>
      </c>
      <c r="P3408" s="19">
        <v>1</v>
      </c>
      <c r="Q3408" s="152">
        <v>1</v>
      </c>
      <c r="R3408" s="19"/>
      <c r="S3408" s="19"/>
      <c r="T3408" s="283" t="s">
        <v>1704</v>
      </c>
      <c r="U3408" s="283" t="e">
        <v>#N/A</v>
      </c>
      <c r="V3408" s="283" t="s">
        <v>1719</v>
      </c>
      <c r="W3408" s="283">
        <v>0</v>
      </c>
      <c r="X3408" s="283">
        <v>0</v>
      </c>
      <c r="Y3408" s="283">
        <v>0</v>
      </c>
      <c r="Z3408" s="283">
        <v>0</v>
      </c>
      <c r="AA3408" s="283">
        <v>0</v>
      </c>
      <c r="AB3408" s="283">
        <v>0</v>
      </c>
      <c r="AC3408" s="316">
        <v>1</v>
      </c>
      <c r="AD3408" s="316">
        <v>0</v>
      </c>
      <c r="AE3408" s="302">
        <f t="shared" si="127"/>
        <v>0.125</v>
      </c>
      <c r="AF3408" s="310"/>
      <c r="AG3408" s="17">
        <v>0</v>
      </c>
      <c r="AH3408" s="310">
        <v>0.6</v>
      </c>
      <c r="AI3408" s="310">
        <v>0.4</v>
      </c>
      <c r="AJ3408" s="17">
        <v>0</v>
      </c>
      <c r="AK3408" s="153">
        <v>0</v>
      </c>
      <c r="AL3408" s="154">
        <v>0</v>
      </c>
      <c r="AM3408" s="147">
        <f t="shared" si="126"/>
        <v>0</v>
      </c>
      <c r="AN3408" s="283" t="s">
        <v>1714</v>
      </c>
      <c r="AO3408" s="18" t="s">
        <v>773</v>
      </c>
      <c r="AP3408" s="283" t="s">
        <v>1715</v>
      </c>
    </row>
    <row r="3409" spans="1:42" x14ac:dyDescent="0.3">
      <c r="A3409" s="314" t="s">
        <v>1470</v>
      </c>
      <c r="B3409" s="283" t="s">
        <v>1502</v>
      </c>
      <c r="C3409" s="314" t="s">
        <v>1472</v>
      </c>
      <c r="D3409" s="283" t="s">
        <v>1674</v>
      </c>
      <c r="E3409" s="314" t="s">
        <v>1473</v>
      </c>
      <c r="F3409" s="283" t="s">
        <v>1675</v>
      </c>
      <c r="G3409" s="314" t="s">
        <v>1676</v>
      </c>
      <c r="H3409" s="283" t="s">
        <v>1677</v>
      </c>
      <c r="I3409" s="315">
        <v>0</v>
      </c>
      <c r="J3409" s="315">
        <v>0</v>
      </c>
      <c r="K3409" s="314" t="s">
        <v>1720</v>
      </c>
      <c r="L3409" s="283" t="s">
        <v>1721</v>
      </c>
      <c r="M3409" s="1" t="s">
        <v>1722</v>
      </c>
      <c r="N3409" s="442">
        <v>0</v>
      </c>
      <c r="O3409" s="430">
        <v>1</v>
      </c>
      <c r="P3409" s="19">
        <v>1</v>
      </c>
      <c r="Q3409" s="152"/>
      <c r="R3409" s="19">
        <v>1</v>
      </c>
      <c r="S3409" s="19">
        <v>1</v>
      </c>
      <c r="T3409" s="283" t="s">
        <v>1704</v>
      </c>
      <c r="U3409" s="283" t="e">
        <v>#N/A</v>
      </c>
      <c r="V3409" s="283" t="s">
        <v>1723</v>
      </c>
      <c r="W3409" s="283">
        <v>1</v>
      </c>
      <c r="X3409" s="283">
        <v>0</v>
      </c>
      <c r="Y3409" s="283">
        <v>0</v>
      </c>
      <c r="Z3409" s="283">
        <v>1</v>
      </c>
      <c r="AA3409" s="283">
        <v>1</v>
      </c>
      <c r="AB3409" s="283">
        <v>0</v>
      </c>
      <c r="AC3409" s="316">
        <v>1</v>
      </c>
      <c r="AD3409" s="316">
        <v>0</v>
      </c>
      <c r="AE3409" s="302">
        <f t="shared" si="127"/>
        <v>0.5</v>
      </c>
      <c r="AF3409" s="310"/>
      <c r="AG3409" s="17">
        <v>0</v>
      </c>
      <c r="AH3409" s="310">
        <v>0.1</v>
      </c>
      <c r="AI3409" s="17">
        <v>0</v>
      </c>
      <c r="AJ3409" s="17">
        <v>0</v>
      </c>
      <c r="AK3409" s="153">
        <v>0</v>
      </c>
      <c r="AL3409" s="154">
        <v>0</v>
      </c>
      <c r="AM3409" s="147">
        <f t="shared" si="126"/>
        <v>0</v>
      </c>
      <c r="AN3409" s="283" t="s">
        <v>1714</v>
      </c>
      <c r="AO3409" s="18" t="s">
        <v>773</v>
      </c>
      <c r="AP3409" s="283" t="s">
        <v>1715</v>
      </c>
    </row>
    <row r="3410" spans="1:42" x14ac:dyDescent="0.3">
      <c r="A3410" s="314" t="s">
        <v>1470</v>
      </c>
      <c r="B3410" s="283" t="s">
        <v>1502</v>
      </c>
      <c r="C3410" s="314" t="s">
        <v>1472</v>
      </c>
      <c r="D3410" s="283" t="s">
        <v>1674</v>
      </c>
      <c r="E3410" s="314" t="s">
        <v>1473</v>
      </c>
      <c r="F3410" s="283" t="s">
        <v>1675</v>
      </c>
      <c r="G3410" s="314" t="s">
        <v>1676</v>
      </c>
      <c r="H3410" s="283" t="s">
        <v>1677</v>
      </c>
      <c r="I3410" s="315">
        <v>0</v>
      </c>
      <c r="J3410" s="315">
        <v>0</v>
      </c>
      <c r="K3410" s="314" t="s">
        <v>1724</v>
      </c>
      <c r="L3410" s="283" t="s">
        <v>1725</v>
      </c>
      <c r="M3410" s="1" t="s">
        <v>1726</v>
      </c>
      <c r="N3410" s="442">
        <v>0</v>
      </c>
      <c r="O3410" s="442">
        <v>60</v>
      </c>
      <c r="P3410" s="149">
        <v>60</v>
      </c>
      <c r="Q3410" s="149">
        <v>60</v>
      </c>
      <c r="R3410" s="149">
        <v>3</v>
      </c>
      <c r="S3410" s="19">
        <v>3</v>
      </c>
      <c r="T3410" s="283" t="s">
        <v>1727</v>
      </c>
      <c r="U3410" s="283" t="e">
        <v>#N/A</v>
      </c>
      <c r="V3410" s="283" t="s">
        <v>1728</v>
      </c>
      <c r="W3410" s="283">
        <v>0</v>
      </c>
      <c r="X3410" s="283">
        <v>0</v>
      </c>
      <c r="Y3410" s="283">
        <v>0</v>
      </c>
      <c r="Z3410" s="283">
        <v>0</v>
      </c>
      <c r="AA3410" s="283">
        <v>0</v>
      </c>
      <c r="AB3410" s="283">
        <v>0</v>
      </c>
      <c r="AC3410" s="316">
        <v>1</v>
      </c>
      <c r="AD3410" s="316">
        <v>0</v>
      </c>
      <c r="AE3410" s="302">
        <f t="shared" si="127"/>
        <v>0.125</v>
      </c>
      <c r="AF3410" s="310"/>
      <c r="AG3410" s="17">
        <v>0</v>
      </c>
      <c r="AH3410" s="310">
        <v>1</v>
      </c>
      <c r="AI3410" s="310">
        <v>1</v>
      </c>
      <c r="AJ3410" s="310">
        <v>1</v>
      </c>
      <c r="AK3410" s="317"/>
      <c r="AL3410" s="317"/>
      <c r="AM3410" s="147">
        <f t="shared" si="126"/>
        <v>0</v>
      </c>
      <c r="AN3410" s="283" t="s">
        <v>1714</v>
      </c>
      <c r="AO3410" s="18" t="s">
        <v>773</v>
      </c>
      <c r="AP3410" s="283" t="s">
        <v>1715</v>
      </c>
    </row>
    <row r="3411" spans="1:42" x14ac:dyDescent="0.3">
      <c r="A3411" s="314" t="s">
        <v>1470</v>
      </c>
      <c r="B3411" s="283" t="s">
        <v>1502</v>
      </c>
      <c r="C3411" s="314" t="s">
        <v>1472</v>
      </c>
      <c r="D3411" s="283" t="s">
        <v>1674</v>
      </c>
      <c r="E3411" s="314" t="s">
        <v>1473</v>
      </c>
      <c r="F3411" s="283" t="s">
        <v>1675</v>
      </c>
      <c r="G3411" s="314" t="s">
        <v>1676</v>
      </c>
      <c r="H3411" s="283" t="s">
        <v>1677</v>
      </c>
      <c r="I3411" s="315">
        <v>0</v>
      </c>
      <c r="J3411" s="315">
        <v>0</v>
      </c>
      <c r="K3411" s="314" t="s">
        <v>1729</v>
      </c>
      <c r="L3411" s="283" t="s">
        <v>1730</v>
      </c>
      <c r="M3411" s="1" t="s">
        <v>1731</v>
      </c>
      <c r="N3411" s="442">
        <v>0</v>
      </c>
      <c r="O3411" s="442">
        <v>147</v>
      </c>
      <c r="P3411" s="149">
        <v>147</v>
      </c>
      <c r="Q3411" s="149">
        <v>147</v>
      </c>
      <c r="R3411" s="149">
        <v>147</v>
      </c>
      <c r="S3411" s="19">
        <v>147</v>
      </c>
      <c r="T3411" s="283" t="s">
        <v>1727</v>
      </c>
      <c r="U3411" s="283" t="e">
        <v>#N/A</v>
      </c>
      <c r="V3411" s="283" t="s">
        <v>1732</v>
      </c>
      <c r="W3411" s="283">
        <v>0</v>
      </c>
      <c r="X3411" s="283">
        <v>0</v>
      </c>
      <c r="Y3411" s="283">
        <v>0</v>
      </c>
      <c r="Z3411" s="283">
        <v>0</v>
      </c>
      <c r="AA3411" s="283">
        <v>0</v>
      </c>
      <c r="AB3411" s="283">
        <v>0</v>
      </c>
      <c r="AC3411" s="316">
        <v>0</v>
      </c>
      <c r="AD3411" s="316">
        <v>0</v>
      </c>
      <c r="AE3411" s="302">
        <f t="shared" si="127"/>
        <v>0</v>
      </c>
      <c r="AF3411" s="310"/>
      <c r="AG3411" s="17">
        <v>0</v>
      </c>
      <c r="AH3411" s="310">
        <v>73.5</v>
      </c>
      <c r="AI3411" s="310">
        <v>36.75</v>
      </c>
      <c r="AJ3411" s="310">
        <v>73.5</v>
      </c>
      <c r="AK3411" s="317"/>
      <c r="AL3411" s="317"/>
      <c r="AM3411" s="147">
        <f t="shared" si="126"/>
        <v>0</v>
      </c>
      <c r="AN3411" s="283" t="s">
        <v>1610</v>
      </c>
      <c r="AO3411" s="18" t="s">
        <v>773</v>
      </c>
      <c r="AP3411" s="283" t="s">
        <v>1733</v>
      </c>
    </row>
    <row r="3412" spans="1:42" x14ac:dyDescent="0.3">
      <c r="A3412" s="314" t="s">
        <v>1470</v>
      </c>
      <c r="B3412" s="283" t="s">
        <v>1502</v>
      </c>
      <c r="C3412" s="314" t="s">
        <v>1472</v>
      </c>
      <c r="D3412" s="283" t="s">
        <v>1674</v>
      </c>
      <c r="E3412" s="314" t="s">
        <v>1473</v>
      </c>
      <c r="F3412" s="283" t="s">
        <v>1675</v>
      </c>
      <c r="G3412" s="314" t="s">
        <v>1676</v>
      </c>
      <c r="H3412" s="283" t="s">
        <v>1677</v>
      </c>
      <c r="I3412" s="315">
        <v>0</v>
      </c>
      <c r="J3412" s="315">
        <v>0</v>
      </c>
      <c r="K3412" s="314" t="s">
        <v>1734</v>
      </c>
      <c r="L3412" s="283" t="s">
        <v>1735</v>
      </c>
      <c r="M3412" s="1" t="s">
        <v>1736</v>
      </c>
      <c r="N3412" s="442">
        <v>0</v>
      </c>
      <c r="O3412" s="442">
        <v>3</v>
      </c>
      <c r="P3412" s="149">
        <v>3</v>
      </c>
      <c r="Q3412" s="149">
        <v>3</v>
      </c>
      <c r="R3412" s="149">
        <v>3</v>
      </c>
      <c r="S3412" s="19">
        <v>3</v>
      </c>
      <c r="T3412" s="283" t="s">
        <v>1727</v>
      </c>
      <c r="U3412" s="283" t="e">
        <v>#N/A</v>
      </c>
      <c r="V3412" s="283" t="s">
        <v>1737</v>
      </c>
      <c r="W3412" s="283">
        <v>0</v>
      </c>
      <c r="X3412" s="283">
        <v>0</v>
      </c>
      <c r="Y3412" s="283">
        <v>0</v>
      </c>
      <c r="Z3412" s="283">
        <v>0</v>
      </c>
      <c r="AA3412" s="283">
        <v>0</v>
      </c>
      <c r="AB3412" s="283">
        <v>0</v>
      </c>
      <c r="AC3412" s="316">
        <v>0</v>
      </c>
      <c r="AD3412" s="316">
        <v>0</v>
      </c>
      <c r="AE3412" s="302">
        <f t="shared" si="127"/>
        <v>0</v>
      </c>
      <c r="AF3412" s="310"/>
      <c r="AG3412" s="17">
        <v>0</v>
      </c>
      <c r="AH3412" s="310">
        <v>0</v>
      </c>
      <c r="AI3412" s="310">
        <v>0</v>
      </c>
      <c r="AJ3412" s="310">
        <v>0</v>
      </c>
      <c r="AK3412" s="317">
        <v>0</v>
      </c>
      <c r="AL3412" s="317">
        <v>0</v>
      </c>
      <c r="AM3412" s="147">
        <f t="shared" si="126"/>
        <v>0</v>
      </c>
      <c r="AN3412" s="283" t="s">
        <v>1610</v>
      </c>
      <c r="AO3412" s="18" t="s">
        <v>773</v>
      </c>
      <c r="AP3412" s="283" t="s">
        <v>1738</v>
      </c>
    </row>
    <row r="3413" spans="1:42" x14ac:dyDescent="0.3">
      <c r="A3413" s="314" t="s">
        <v>1470</v>
      </c>
      <c r="B3413" s="283" t="s">
        <v>1502</v>
      </c>
      <c r="C3413" s="314" t="s">
        <v>1472</v>
      </c>
      <c r="D3413" s="283" t="s">
        <v>1674</v>
      </c>
      <c r="E3413" s="314" t="s">
        <v>1473</v>
      </c>
      <c r="F3413" s="283" t="s">
        <v>1675</v>
      </c>
      <c r="G3413" s="314" t="s">
        <v>1676</v>
      </c>
      <c r="H3413" s="283" t="s">
        <v>1677</v>
      </c>
      <c r="I3413" s="315">
        <v>0</v>
      </c>
      <c r="J3413" s="315">
        <v>0</v>
      </c>
      <c r="K3413" s="314" t="s">
        <v>1734</v>
      </c>
      <c r="L3413" s="283" t="s">
        <v>1735</v>
      </c>
      <c r="M3413" s="1" t="s">
        <v>1739</v>
      </c>
      <c r="N3413" s="442">
        <v>0</v>
      </c>
      <c r="O3413" s="442">
        <v>294</v>
      </c>
      <c r="P3413" s="149">
        <v>294</v>
      </c>
      <c r="Q3413" s="149">
        <v>294</v>
      </c>
      <c r="R3413" s="149">
        <v>294</v>
      </c>
      <c r="S3413" s="19">
        <v>294</v>
      </c>
      <c r="T3413" s="283" t="s">
        <v>1727</v>
      </c>
      <c r="U3413" s="283" t="e">
        <v>#N/A</v>
      </c>
      <c r="AC3413" s="316">
        <v>0</v>
      </c>
      <c r="AD3413" s="316">
        <v>0</v>
      </c>
      <c r="AE3413" s="302">
        <f t="shared" si="127"/>
        <v>0</v>
      </c>
      <c r="AF3413" s="4"/>
      <c r="AG3413" s="17">
        <v>0</v>
      </c>
      <c r="AM3413" s="147">
        <f t="shared" si="126"/>
        <v>0</v>
      </c>
      <c r="AO3413" s="18"/>
    </row>
    <row r="3414" spans="1:42" x14ac:dyDescent="0.3">
      <c r="A3414" s="314" t="s">
        <v>1470</v>
      </c>
      <c r="B3414" s="283" t="s">
        <v>1502</v>
      </c>
      <c r="C3414" s="314" t="s">
        <v>1472</v>
      </c>
      <c r="D3414" s="283" t="s">
        <v>1674</v>
      </c>
      <c r="E3414" s="314" t="s">
        <v>1473</v>
      </c>
      <c r="F3414" s="283" t="s">
        <v>1675</v>
      </c>
      <c r="G3414" s="314" t="s">
        <v>1676</v>
      </c>
      <c r="H3414" s="283" t="s">
        <v>1677</v>
      </c>
      <c r="I3414" s="315">
        <v>0</v>
      </c>
      <c r="J3414" s="315">
        <v>0</v>
      </c>
      <c r="K3414" s="314" t="s">
        <v>1740</v>
      </c>
      <c r="L3414" s="283" t="s">
        <v>1741</v>
      </c>
      <c r="M3414" s="1" t="s">
        <v>1742</v>
      </c>
      <c r="N3414" s="442">
        <v>0</v>
      </c>
      <c r="O3414" s="442">
        <v>1</v>
      </c>
      <c r="P3414" s="149">
        <v>1</v>
      </c>
      <c r="Q3414" s="149">
        <v>1</v>
      </c>
      <c r="R3414" s="149">
        <v>1</v>
      </c>
      <c r="S3414" s="149">
        <v>1</v>
      </c>
      <c r="T3414" s="283" t="s">
        <v>1727</v>
      </c>
      <c r="U3414" s="283" t="e">
        <v>#N/A</v>
      </c>
      <c r="V3414" s="283" t="s">
        <v>1743</v>
      </c>
      <c r="W3414" s="283">
        <v>1</v>
      </c>
      <c r="X3414" s="283">
        <v>0</v>
      </c>
      <c r="Y3414" s="283">
        <v>0</v>
      </c>
      <c r="Z3414" s="283">
        <v>1</v>
      </c>
      <c r="AA3414" s="283">
        <v>1</v>
      </c>
      <c r="AB3414" s="283">
        <v>0</v>
      </c>
      <c r="AC3414" s="316">
        <v>1</v>
      </c>
      <c r="AD3414" s="316">
        <v>1</v>
      </c>
      <c r="AE3414" s="302">
        <f t="shared" si="127"/>
        <v>0.625</v>
      </c>
      <c r="AF3414" s="310"/>
      <c r="AG3414" s="17">
        <v>0</v>
      </c>
      <c r="AH3414" s="310">
        <v>1</v>
      </c>
      <c r="AI3414" s="310">
        <v>1</v>
      </c>
      <c r="AJ3414" s="310">
        <v>1</v>
      </c>
      <c r="AK3414" s="317">
        <v>1</v>
      </c>
      <c r="AL3414" s="317">
        <v>1</v>
      </c>
      <c r="AM3414" s="147">
        <f t="shared" si="126"/>
        <v>2</v>
      </c>
      <c r="AN3414" s="283" t="s">
        <v>1610</v>
      </c>
      <c r="AO3414" s="18" t="s">
        <v>773</v>
      </c>
      <c r="AP3414" s="283" t="s">
        <v>1744</v>
      </c>
    </row>
    <row r="3415" spans="1:42" x14ac:dyDescent="0.3">
      <c r="A3415" s="314" t="s">
        <v>1470</v>
      </c>
      <c r="B3415" s="283" t="s">
        <v>1502</v>
      </c>
      <c r="C3415" s="314" t="s">
        <v>1472</v>
      </c>
      <c r="D3415" s="283" t="s">
        <v>1674</v>
      </c>
      <c r="E3415" s="314" t="s">
        <v>1473</v>
      </c>
      <c r="F3415" s="283" t="s">
        <v>1675</v>
      </c>
      <c r="G3415" s="314" t="s">
        <v>1676</v>
      </c>
      <c r="H3415" s="283" t="s">
        <v>1677</v>
      </c>
      <c r="I3415" s="315">
        <v>0</v>
      </c>
      <c r="J3415" s="315">
        <v>0</v>
      </c>
      <c r="K3415" s="314" t="s">
        <v>1745</v>
      </c>
      <c r="L3415" s="283" t="s">
        <v>1746</v>
      </c>
      <c r="M3415" s="1" t="s">
        <v>1747</v>
      </c>
      <c r="N3415" s="442">
        <v>0</v>
      </c>
      <c r="O3415" s="442">
        <v>0</v>
      </c>
      <c r="P3415" s="149">
        <v>0</v>
      </c>
      <c r="Q3415" s="149">
        <v>0</v>
      </c>
      <c r="R3415" s="149">
        <v>1</v>
      </c>
      <c r="S3415" s="19">
        <v>1</v>
      </c>
      <c r="T3415" s="283" t="s">
        <v>1608</v>
      </c>
      <c r="U3415" s="283" t="e">
        <v>#N/A</v>
      </c>
      <c r="V3415" s="283" t="s">
        <v>1748</v>
      </c>
      <c r="W3415" s="283">
        <v>0</v>
      </c>
      <c r="X3415" s="283">
        <v>0</v>
      </c>
      <c r="Y3415" s="283">
        <v>0</v>
      </c>
      <c r="Z3415" s="283">
        <v>0</v>
      </c>
      <c r="AA3415" s="283">
        <v>0</v>
      </c>
      <c r="AB3415" s="283">
        <v>0</v>
      </c>
      <c r="AC3415" s="316">
        <v>0</v>
      </c>
      <c r="AD3415" s="316">
        <v>0</v>
      </c>
      <c r="AE3415" s="302">
        <f t="shared" si="127"/>
        <v>0</v>
      </c>
      <c r="AF3415" s="17"/>
      <c r="AG3415" s="17">
        <v>0</v>
      </c>
      <c r="AH3415" s="17">
        <v>0</v>
      </c>
      <c r="AI3415" s="310">
        <v>0</v>
      </c>
      <c r="AJ3415" s="310">
        <v>0</v>
      </c>
      <c r="AK3415" s="317"/>
      <c r="AL3415" s="317"/>
      <c r="AM3415" s="147">
        <f t="shared" si="126"/>
        <v>0</v>
      </c>
      <c r="AN3415" s="283" t="s">
        <v>1610</v>
      </c>
      <c r="AO3415" s="18" t="s">
        <v>773</v>
      </c>
      <c r="AP3415" s="283" t="s">
        <v>1749</v>
      </c>
    </row>
    <row r="3416" spans="1:42" x14ac:dyDescent="0.3">
      <c r="A3416" s="314" t="s">
        <v>1470</v>
      </c>
      <c r="B3416" s="283" t="s">
        <v>1502</v>
      </c>
      <c r="C3416" s="314" t="s">
        <v>1472</v>
      </c>
      <c r="D3416" s="283" t="s">
        <v>1674</v>
      </c>
      <c r="E3416" s="314" t="s">
        <v>1473</v>
      </c>
      <c r="F3416" s="283" t="s">
        <v>1675</v>
      </c>
      <c r="G3416" s="314" t="s">
        <v>1750</v>
      </c>
      <c r="H3416" s="283" t="s">
        <v>1751</v>
      </c>
      <c r="I3416" s="315">
        <v>0</v>
      </c>
      <c r="J3416" s="315">
        <v>0</v>
      </c>
      <c r="K3416" s="314" t="s">
        <v>1752</v>
      </c>
      <c r="L3416" s="283" t="s">
        <v>1753</v>
      </c>
      <c r="M3416" s="1" t="s">
        <v>1754</v>
      </c>
      <c r="N3416" s="442">
        <v>0</v>
      </c>
      <c r="O3416" s="442"/>
      <c r="P3416" s="149">
        <v>1</v>
      </c>
      <c r="Q3416" s="149">
        <v>1</v>
      </c>
      <c r="R3416" s="149"/>
      <c r="S3416" s="149"/>
      <c r="T3416" s="283" t="s">
        <v>1608</v>
      </c>
      <c r="U3416" s="283" t="e">
        <v>#N/A</v>
      </c>
      <c r="V3416" s="283" t="s">
        <v>1755</v>
      </c>
      <c r="W3416" s="283">
        <v>0</v>
      </c>
      <c r="X3416" s="283">
        <v>0</v>
      </c>
      <c r="Y3416" s="283">
        <v>0</v>
      </c>
      <c r="Z3416" s="283">
        <v>0</v>
      </c>
      <c r="AA3416" s="283">
        <v>0</v>
      </c>
      <c r="AB3416" s="283">
        <v>0</v>
      </c>
      <c r="AC3416" s="316">
        <v>1</v>
      </c>
      <c r="AD3416" s="316">
        <v>0</v>
      </c>
      <c r="AE3416" s="302">
        <f t="shared" si="127"/>
        <v>0.125</v>
      </c>
      <c r="AF3416" s="310"/>
      <c r="AG3416" s="17">
        <v>0</v>
      </c>
      <c r="AH3416" s="310">
        <v>0</v>
      </c>
      <c r="AI3416" s="310">
        <v>0.13</v>
      </c>
      <c r="AJ3416" s="310">
        <v>0</v>
      </c>
      <c r="AK3416" s="317">
        <v>0</v>
      </c>
      <c r="AL3416" s="317">
        <v>0</v>
      </c>
      <c r="AM3416" s="147">
        <f t="shared" si="126"/>
        <v>0</v>
      </c>
      <c r="AN3416" s="283" t="s">
        <v>771</v>
      </c>
      <c r="AO3416" s="18" t="s">
        <v>773</v>
      </c>
      <c r="AP3416" s="283" t="s">
        <v>1756</v>
      </c>
    </row>
    <row r="3417" spans="1:42" x14ac:dyDescent="0.3">
      <c r="A3417" s="314" t="s">
        <v>1470</v>
      </c>
      <c r="B3417" s="283" t="s">
        <v>1502</v>
      </c>
      <c r="C3417" s="314" t="s">
        <v>1472</v>
      </c>
      <c r="D3417" s="283" t="s">
        <v>1674</v>
      </c>
      <c r="E3417" s="314" t="s">
        <v>1473</v>
      </c>
      <c r="F3417" s="283" t="s">
        <v>1675</v>
      </c>
      <c r="G3417" s="314" t="s">
        <v>1757</v>
      </c>
      <c r="H3417" s="283" t="s">
        <v>1758</v>
      </c>
      <c r="I3417" s="315">
        <v>0</v>
      </c>
      <c r="J3417" s="315">
        <v>0</v>
      </c>
      <c r="K3417" s="314" t="s">
        <v>1759</v>
      </c>
      <c r="L3417" s="283" t="s">
        <v>1760</v>
      </c>
      <c r="M3417" s="1" t="s">
        <v>1761</v>
      </c>
      <c r="N3417" s="442">
        <v>0</v>
      </c>
      <c r="O3417" s="442">
        <v>200</v>
      </c>
      <c r="P3417" s="149">
        <v>200</v>
      </c>
      <c r="Q3417" s="149">
        <v>200</v>
      </c>
      <c r="R3417" s="149">
        <v>200</v>
      </c>
      <c r="S3417" s="19">
        <v>200</v>
      </c>
      <c r="T3417" s="18" t="s">
        <v>1762</v>
      </c>
      <c r="U3417" s="283" t="e">
        <v>#N/A</v>
      </c>
      <c r="V3417" s="283" t="s">
        <v>1763</v>
      </c>
      <c r="W3417" s="283">
        <v>1</v>
      </c>
      <c r="X3417" s="283">
        <v>0</v>
      </c>
      <c r="Y3417" s="283">
        <v>0</v>
      </c>
      <c r="Z3417" s="283">
        <v>1</v>
      </c>
      <c r="AA3417" s="283">
        <v>1</v>
      </c>
      <c r="AB3417" s="283">
        <v>1</v>
      </c>
      <c r="AC3417" s="316">
        <v>1</v>
      </c>
      <c r="AD3417" s="316">
        <v>1</v>
      </c>
      <c r="AE3417" s="302">
        <f t="shared" si="127"/>
        <v>0.75</v>
      </c>
      <c r="AF3417" s="310"/>
      <c r="AG3417" s="17">
        <v>0</v>
      </c>
      <c r="AH3417" s="310">
        <v>60</v>
      </c>
      <c r="AI3417" s="310">
        <v>50</v>
      </c>
      <c r="AJ3417" s="310">
        <v>50</v>
      </c>
      <c r="AK3417" s="317">
        <f>10-0.5</f>
        <v>9.5</v>
      </c>
      <c r="AL3417" s="317">
        <v>0.5</v>
      </c>
      <c r="AM3417" s="147">
        <f t="shared" si="126"/>
        <v>10</v>
      </c>
      <c r="AN3417" s="18" t="s">
        <v>771</v>
      </c>
      <c r="AO3417" s="18" t="s">
        <v>773</v>
      </c>
      <c r="AP3417" s="283" t="s">
        <v>1764</v>
      </c>
    </row>
    <row r="3418" spans="1:42" x14ac:dyDescent="0.3">
      <c r="A3418" s="314" t="s">
        <v>1470</v>
      </c>
      <c r="B3418" s="283" t="s">
        <v>1502</v>
      </c>
      <c r="C3418" s="314" t="s">
        <v>1472</v>
      </c>
      <c r="D3418" s="283" t="s">
        <v>1674</v>
      </c>
      <c r="E3418" s="314" t="s">
        <v>1473</v>
      </c>
      <c r="F3418" s="283" t="s">
        <v>1675</v>
      </c>
      <c r="G3418" s="314" t="s">
        <v>1757</v>
      </c>
      <c r="H3418" s="283" t="s">
        <v>1758</v>
      </c>
      <c r="I3418" s="315">
        <v>0</v>
      </c>
      <c r="J3418" s="315">
        <v>0</v>
      </c>
      <c r="K3418" s="314" t="s">
        <v>1765</v>
      </c>
      <c r="L3418" s="283" t="s">
        <v>1766</v>
      </c>
      <c r="M3418" s="1" t="s">
        <v>1767</v>
      </c>
      <c r="N3418" s="442">
        <v>0</v>
      </c>
      <c r="O3418" s="442">
        <v>1</v>
      </c>
      <c r="P3418" s="149">
        <v>1</v>
      </c>
      <c r="Q3418" s="149">
        <v>1</v>
      </c>
      <c r="R3418" s="149">
        <v>1</v>
      </c>
      <c r="S3418" s="19">
        <v>1</v>
      </c>
      <c r="T3418" s="18" t="s">
        <v>1768</v>
      </c>
      <c r="U3418" s="283" t="e">
        <v>#N/A</v>
      </c>
      <c r="V3418" s="283" t="s">
        <v>1769</v>
      </c>
      <c r="W3418" s="283">
        <v>1</v>
      </c>
      <c r="X3418" s="283">
        <v>0</v>
      </c>
      <c r="Y3418" s="283">
        <v>0</v>
      </c>
      <c r="Z3418" s="283">
        <v>1</v>
      </c>
      <c r="AA3418" s="283">
        <v>1</v>
      </c>
      <c r="AB3418" s="283">
        <v>1</v>
      </c>
      <c r="AC3418" s="316">
        <v>1</v>
      </c>
      <c r="AD3418" s="316">
        <v>0</v>
      </c>
      <c r="AE3418" s="302">
        <f t="shared" si="127"/>
        <v>0.625</v>
      </c>
      <c r="AF3418" s="310"/>
      <c r="AG3418" s="17">
        <v>0</v>
      </c>
      <c r="AH3418" s="310">
        <v>3</v>
      </c>
      <c r="AI3418" s="310">
        <v>3</v>
      </c>
      <c r="AJ3418" s="310">
        <v>1.49</v>
      </c>
      <c r="AK3418" s="317">
        <v>1.49</v>
      </c>
      <c r="AL3418" s="317">
        <v>1.49</v>
      </c>
      <c r="AM3418" s="147">
        <f t="shared" si="126"/>
        <v>2.98</v>
      </c>
      <c r="AN3418" s="18" t="s">
        <v>771</v>
      </c>
      <c r="AO3418" s="18" t="s">
        <v>773</v>
      </c>
      <c r="AP3418" s="283" t="s">
        <v>1770</v>
      </c>
    </row>
    <row r="3419" spans="1:42" x14ac:dyDescent="0.3">
      <c r="A3419" s="314" t="s">
        <v>1470</v>
      </c>
      <c r="B3419" s="283" t="s">
        <v>1502</v>
      </c>
      <c r="C3419" s="314" t="s">
        <v>1472</v>
      </c>
      <c r="D3419" s="283" t="s">
        <v>1674</v>
      </c>
      <c r="E3419" s="314" t="s">
        <v>1473</v>
      </c>
      <c r="F3419" s="283" t="s">
        <v>1675</v>
      </c>
      <c r="G3419" s="314" t="s">
        <v>1757</v>
      </c>
      <c r="H3419" s="283" t="s">
        <v>1758</v>
      </c>
      <c r="I3419" s="315">
        <v>0</v>
      </c>
      <c r="J3419" s="315">
        <v>0</v>
      </c>
      <c r="K3419" s="314" t="s">
        <v>1771</v>
      </c>
      <c r="L3419" s="283" t="s">
        <v>1772</v>
      </c>
      <c r="M3419" s="1" t="s">
        <v>1773</v>
      </c>
      <c r="N3419" s="442">
        <v>0</v>
      </c>
      <c r="O3419" s="442">
        <v>1</v>
      </c>
      <c r="P3419" s="149">
        <v>1</v>
      </c>
      <c r="Q3419" s="149"/>
      <c r="R3419" s="149"/>
      <c r="S3419" s="19"/>
      <c r="T3419" s="283" t="s">
        <v>1762</v>
      </c>
      <c r="U3419" s="283" t="e">
        <v>#N/A</v>
      </c>
      <c r="V3419" s="283" t="s">
        <v>1774</v>
      </c>
      <c r="W3419" s="283">
        <v>1</v>
      </c>
      <c r="X3419" s="283">
        <v>0</v>
      </c>
      <c r="Y3419" s="283">
        <v>0</v>
      </c>
      <c r="Z3419" s="283">
        <v>1</v>
      </c>
      <c r="AA3419" s="283">
        <v>1</v>
      </c>
      <c r="AB3419" s="283">
        <v>1</v>
      </c>
      <c r="AC3419" s="316">
        <v>1</v>
      </c>
      <c r="AD3419" s="316">
        <v>1</v>
      </c>
      <c r="AE3419" s="302">
        <f t="shared" si="127"/>
        <v>0.75</v>
      </c>
      <c r="AF3419" s="310">
        <v>0</v>
      </c>
      <c r="AG3419" s="17">
        <v>0</v>
      </c>
      <c r="AH3419" s="310">
        <v>0.9</v>
      </c>
      <c r="AI3419" s="310">
        <v>0.5</v>
      </c>
      <c r="AJ3419" s="310">
        <v>0.5</v>
      </c>
      <c r="AK3419" s="317">
        <v>0.5</v>
      </c>
      <c r="AL3419" s="317">
        <v>0.5</v>
      </c>
      <c r="AM3419" s="147">
        <f t="shared" si="126"/>
        <v>1</v>
      </c>
      <c r="AN3419" s="283" t="s">
        <v>1775</v>
      </c>
      <c r="AO3419" s="18" t="s">
        <v>1776</v>
      </c>
      <c r="AP3419" s="283" t="s">
        <v>1777</v>
      </c>
    </row>
    <row r="3420" spans="1:42" x14ac:dyDescent="0.3">
      <c r="A3420" s="314" t="s">
        <v>1470</v>
      </c>
      <c r="B3420" s="283" t="s">
        <v>1502</v>
      </c>
      <c r="C3420" s="314" t="s">
        <v>1472</v>
      </c>
      <c r="D3420" s="283" t="s">
        <v>1674</v>
      </c>
      <c r="E3420" s="314" t="s">
        <v>1473</v>
      </c>
      <c r="F3420" s="283" t="s">
        <v>1675</v>
      </c>
      <c r="G3420" s="314" t="s">
        <v>1757</v>
      </c>
      <c r="H3420" s="283" t="s">
        <v>1758</v>
      </c>
      <c r="I3420" s="315"/>
      <c r="J3420" s="315"/>
      <c r="K3420" s="314" t="s">
        <v>1771</v>
      </c>
      <c r="L3420" s="283" t="s">
        <v>1772</v>
      </c>
      <c r="M3420" s="1" t="s">
        <v>1778</v>
      </c>
      <c r="N3420" s="442">
        <v>0</v>
      </c>
      <c r="O3420" s="442">
        <v>0</v>
      </c>
      <c r="P3420" s="149">
        <v>1</v>
      </c>
      <c r="Q3420" s="149">
        <v>1</v>
      </c>
      <c r="R3420" s="149">
        <v>1</v>
      </c>
      <c r="S3420" s="19">
        <v>1</v>
      </c>
      <c r="T3420" s="283" t="s">
        <v>1762</v>
      </c>
      <c r="U3420" s="283" t="e">
        <v>#N/A</v>
      </c>
      <c r="AC3420" s="316">
        <v>0</v>
      </c>
      <c r="AD3420" s="316">
        <v>0</v>
      </c>
      <c r="AE3420" s="302">
        <f t="shared" si="127"/>
        <v>0</v>
      </c>
      <c r="AF3420" s="4"/>
      <c r="AG3420" s="17">
        <v>0</v>
      </c>
      <c r="AM3420" s="147">
        <f t="shared" si="126"/>
        <v>0</v>
      </c>
      <c r="AO3420" s="18"/>
    </row>
    <row r="3421" spans="1:42" x14ac:dyDescent="0.3">
      <c r="A3421" s="314" t="s">
        <v>1470</v>
      </c>
      <c r="B3421" s="283" t="s">
        <v>1502</v>
      </c>
      <c r="C3421" s="314" t="s">
        <v>1472</v>
      </c>
      <c r="D3421" s="283" t="s">
        <v>1674</v>
      </c>
      <c r="E3421" s="314" t="s">
        <v>1473</v>
      </c>
      <c r="F3421" s="283" t="s">
        <v>1675</v>
      </c>
      <c r="G3421" s="314" t="s">
        <v>1757</v>
      </c>
      <c r="H3421" s="283" t="s">
        <v>1758</v>
      </c>
      <c r="I3421" s="315">
        <v>0</v>
      </c>
      <c r="J3421" s="315">
        <v>0</v>
      </c>
      <c r="K3421" s="314" t="s">
        <v>1779</v>
      </c>
      <c r="L3421" s="283" t="s">
        <v>1780</v>
      </c>
      <c r="M3421" s="18" t="s">
        <v>1781</v>
      </c>
      <c r="N3421" s="442">
        <v>0</v>
      </c>
      <c r="O3421" s="430"/>
      <c r="P3421" s="19">
        <v>3</v>
      </c>
      <c r="Q3421" s="19">
        <v>3</v>
      </c>
      <c r="R3421" s="19">
        <v>3</v>
      </c>
      <c r="S3421" s="19">
        <v>3</v>
      </c>
      <c r="T3421" s="10" t="s">
        <v>1727</v>
      </c>
      <c r="U3421" s="283" t="e">
        <v>#N/A</v>
      </c>
      <c r="V3421" s="283" t="s">
        <v>1782</v>
      </c>
      <c r="W3421" s="283">
        <v>0</v>
      </c>
      <c r="X3421" s="283">
        <v>0</v>
      </c>
      <c r="Y3421" s="283">
        <v>0</v>
      </c>
      <c r="Z3421" s="283">
        <v>0</v>
      </c>
      <c r="AA3421" s="283">
        <v>0</v>
      </c>
      <c r="AB3421" s="283">
        <v>0</v>
      </c>
      <c r="AC3421" s="316">
        <v>0</v>
      </c>
      <c r="AD3421" s="316">
        <v>0</v>
      </c>
      <c r="AE3421" s="302">
        <f t="shared" si="127"/>
        <v>0</v>
      </c>
      <c r="AF3421" s="310">
        <v>0</v>
      </c>
      <c r="AG3421" s="17">
        <v>0</v>
      </c>
      <c r="AH3421" s="310">
        <v>1.2</v>
      </c>
      <c r="AI3421" s="310">
        <v>3</v>
      </c>
      <c r="AJ3421" s="310">
        <v>3</v>
      </c>
      <c r="AK3421" s="317"/>
      <c r="AL3421" s="317"/>
      <c r="AM3421" s="147">
        <f t="shared" si="126"/>
        <v>0</v>
      </c>
      <c r="AN3421" s="283" t="s">
        <v>1610</v>
      </c>
      <c r="AO3421" s="18" t="s">
        <v>773</v>
      </c>
      <c r="AP3421" s="283" t="s">
        <v>1783</v>
      </c>
    </row>
    <row r="3422" spans="1:42" x14ac:dyDescent="0.3">
      <c r="A3422" s="314" t="s">
        <v>1470</v>
      </c>
      <c r="B3422" s="283" t="s">
        <v>1502</v>
      </c>
      <c r="C3422" s="314" t="s">
        <v>1472</v>
      </c>
      <c r="D3422" s="283" t="s">
        <v>1674</v>
      </c>
      <c r="E3422" s="314" t="s">
        <v>1473</v>
      </c>
      <c r="F3422" s="283" t="s">
        <v>1675</v>
      </c>
      <c r="G3422" s="314" t="s">
        <v>1757</v>
      </c>
      <c r="H3422" s="283" t="s">
        <v>1758</v>
      </c>
      <c r="I3422" s="315">
        <v>0</v>
      </c>
      <c r="J3422" s="315">
        <v>0</v>
      </c>
      <c r="K3422" s="314" t="s">
        <v>1784</v>
      </c>
      <c r="L3422" s="283" t="s">
        <v>1785</v>
      </c>
      <c r="M3422" s="18" t="s">
        <v>1786</v>
      </c>
      <c r="N3422" s="442">
        <v>0</v>
      </c>
      <c r="O3422" s="430">
        <v>3</v>
      </c>
      <c r="P3422" s="19">
        <v>3</v>
      </c>
      <c r="Q3422" s="19">
        <v>3</v>
      </c>
      <c r="R3422" s="19">
        <v>3</v>
      </c>
      <c r="S3422" s="19">
        <v>3</v>
      </c>
      <c r="T3422" s="10" t="s">
        <v>1727</v>
      </c>
      <c r="U3422" s="283" t="e">
        <v>#N/A</v>
      </c>
      <c r="V3422" s="283" t="s">
        <v>1787</v>
      </c>
      <c r="W3422" s="283">
        <v>0</v>
      </c>
      <c r="X3422" s="283">
        <v>0</v>
      </c>
      <c r="Y3422" s="283">
        <v>0</v>
      </c>
      <c r="Z3422" s="283">
        <v>0</v>
      </c>
      <c r="AA3422" s="283">
        <v>0</v>
      </c>
      <c r="AB3422" s="283">
        <v>0</v>
      </c>
      <c r="AC3422" s="316">
        <v>0</v>
      </c>
      <c r="AD3422" s="316">
        <v>0</v>
      </c>
      <c r="AE3422" s="302">
        <f t="shared" si="127"/>
        <v>0</v>
      </c>
      <c r="AF3422" s="310">
        <v>0</v>
      </c>
      <c r="AG3422" s="17">
        <v>0</v>
      </c>
      <c r="AH3422" s="310">
        <v>0</v>
      </c>
      <c r="AI3422" s="310">
        <v>0.1</v>
      </c>
      <c r="AJ3422" s="310">
        <v>0.3</v>
      </c>
      <c r="AK3422" s="317">
        <v>0</v>
      </c>
      <c r="AL3422" s="317">
        <v>0</v>
      </c>
      <c r="AM3422" s="147">
        <f t="shared" si="126"/>
        <v>0</v>
      </c>
      <c r="AN3422" s="283" t="s">
        <v>1610</v>
      </c>
      <c r="AO3422" s="18" t="s">
        <v>773</v>
      </c>
      <c r="AP3422" s="283" t="s">
        <v>1788</v>
      </c>
    </row>
    <row r="3423" spans="1:42" x14ac:dyDescent="0.3">
      <c r="A3423" s="314" t="s">
        <v>1470</v>
      </c>
      <c r="B3423" s="283" t="s">
        <v>1502</v>
      </c>
      <c r="C3423" s="314" t="s">
        <v>1472</v>
      </c>
      <c r="D3423" s="283" t="s">
        <v>1674</v>
      </c>
      <c r="E3423" s="314" t="s">
        <v>1473</v>
      </c>
      <c r="F3423" s="283" t="s">
        <v>1675</v>
      </c>
      <c r="G3423" s="314" t="s">
        <v>1757</v>
      </c>
      <c r="H3423" s="283" t="s">
        <v>1758</v>
      </c>
      <c r="I3423" s="315">
        <v>0</v>
      </c>
      <c r="J3423" s="315">
        <v>0</v>
      </c>
      <c r="K3423" s="314" t="s">
        <v>1789</v>
      </c>
      <c r="L3423" s="283" t="s">
        <v>1790</v>
      </c>
      <c r="M3423" s="18" t="s">
        <v>1791</v>
      </c>
      <c r="N3423" s="442">
        <v>0</v>
      </c>
      <c r="O3423" s="430">
        <v>3</v>
      </c>
      <c r="P3423" s="19">
        <v>3</v>
      </c>
      <c r="Q3423" s="19">
        <v>3</v>
      </c>
      <c r="R3423" s="19">
        <v>3</v>
      </c>
      <c r="S3423" s="19">
        <v>3</v>
      </c>
      <c r="T3423" s="10" t="s">
        <v>1727</v>
      </c>
      <c r="U3423" s="283" t="e">
        <v>#N/A</v>
      </c>
      <c r="V3423" s="283" t="s">
        <v>1792</v>
      </c>
      <c r="W3423" s="283">
        <v>1</v>
      </c>
      <c r="X3423" s="283">
        <v>0</v>
      </c>
      <c r="Y3423" s="283">
        <v>0</v>
      </c>
      <c r="Z3423" s="283">
        <v>1</v>
      </c>
      <c r="AA3423" s="283">
        <v>1</v>
      </c>
      <c r="AB3423" s="283">
        <v>1</v>
      </c>
      <c r="AC3423" s="316">
        <v>1</v>
      </c>
      <c r="AD3423" s="316">
        <v>1</v>
      </c>
      <c r="AE3423" s="302">
        <f t="shared" si="127"/>
        <v>0.75</v>
      </c>
      <c r="AF3423" s="310">
        <v>0</v>
      </c>
      <c r="AG3423" s="17">
        <v>0</v>
      </c>
      <c r="AH3423" s="310">
        <v>0.5</v>
      </c>
      <c r="AI3423" s="310">
        <v>0.5</v>
      </c>
      <c r="AJ3423" s="310">
        <v>0.6</v>
      </c>
      <c r="AK3423" s="317">
        <v>0.2</v>
      </c>
      <c r="AL3423" s="317">
        <v>0.2</v>
      </c>
      <c r="AM3423" s="147">
        <f t="shared" si="126"/>
        <v>0.4</v>
      </c>
      <c r="AN3423" s="283" t="s">
        <v>1610</v>
      </c>
      <c r="AO3423" s="18" t="s">
        <v>773</v>
      </c>
      <c r="AP3423" s="283" t="s">
        <v>1793</v>
      </c>
    </row>
    <row r="3424" spans="1:42" x14ac:dyDescent="0.3">
      <c r="A3424" s="314" t="s">
        <v>1470</v>
      </c>
      <c r="B3424" s="283" t="s">
        <v>1502</v>
      </c>
      <c r="C3424" s="314" t="s">
        <v>1472</v>
      </c>
      <c r="D3424" s="283" t="s">
        <v>1674</v>
      </c>
      <c r="E3424" s="314" t="s">
        <v>1473</v>
      </c>
      <c r="F3424" s="283" t="s">
        <v>1675</v>
      </c>
      <c r="G3424" s="314" t="s">
        <v>1757</v>
      </c>
      <c r="H3424" s="283" t="s">
        <v>1758</v>
      </c>
      <c r="I3424" s="315">
        <v>0</v>
      </c>
      <c r="J3424" s="315">
        <v>0</v>
      </c>
      <c r="K3424" s="314" t="s">
        <v>1794</v>
      </c>
      <c r="L3424" s="283" t="s">
        <v>1795</v>
      </c>
      <c r="M3424" s="1" t="s">
        <v>1796</v>
      </c>
      <c r="N3424" s="442">
        <v>0</v>
      </c>
      <c r="O3424" s="442">
        <v>1</v>
      </c>
      <c r="P3424" s="149">
        <v>1</v>
      </c>
      <c r="Q3424" s="149">
        <v>1</v>
      </c>
      <c r="R3424" s="149">
        <v>1</v>
      </c>
      <c r="S3424" s="19">
        <v>1</v>
      </c>
      <c r="T3424" s="283" t="s">
        <v>1727</v>
      </c>
      <c r="U3424" s="283" t="e">
        <v>#N/A</v>
      </c>
      <c r="V3424" s="283" t="s">
        <v>1797</v>
      </c>
      <c r="W3424" s="283">
        <v>0</v>
      </c>
      <c r="X3424" s="283">
        <v>0</v>
      </c>
      <c r="Y3424" s="283">
        <v>0</v>
      </c>
      <c r="Z3424" s="283">
        <v>0</v>
      </c>
      <c r="AA3424" s="283">
        <v>0</v>
      </c>
      <c r="AB3424" s="283">
        <v>0</v>
      </c>
      <c r="AC3424" s="316">
        <v>0</v>
      </c>
      <c r="AD3424" s="316">
        <v>0</v>
      </c>
      <c r="AE3424" s="302">
        <f t="shared" si="127"/>
        <v>0</v>
      </c>
      <c r="AF3424" s="17">
        <v>0</v>
      </c>
      <c r="AG3424" s="17">
        <v>0</v>
      </c>
      <c r="AH3424" s="17">
        <v>0</v>
      </c>
      <c r="AI3424" s="310">
        <v>0</v>
      </c>
      <c r="AJ3424" s="310">
        <v>0</v>
      </c>
      <c r="AK3424" s="317"/>
      <c r="AL3424" s="317"/>
      <c r="AM3424" s="147">
        <f t="shared" si="126"/>
        <v>0</v>
      </c>
      <c r="AN3424" s="283" t="s">
        <v>1610</v>
      </c>
      <c r="AO3424" s="18" t="s">
        <v>773</v>
      </c>
      <c r="AP3424" s="283" t="s">
        <v>1798</v>
      </c>
    </row>
    <row r="3425" spans="1:42" x14ac:dyDescent="0.3">
      <c r="A3425" s="314" t="s">
        <v>1470</v>
      </c>
      <c r="B3425" s="283" t="s">
        <v>1502</v>
      </c>
      <c r="C3425" s="314" t="s">
        <v>1472</v>
      </c>
      <c r="D3425" s="283" t="s">
        <v>1674</v>
      </c>
      <c r="E3425" s="314" t="s">
        <v>1473</v>
      </c>
      <c r="F3425" s="283" t="s">
        <v>1675</v>
      </c>
      <c r="G3425" s="314" t="s">
        <v>1757</v>
      </c>
      <c r="H3425" s="283" t="s">
        <v>1758</v>
      </c>
      <c r="I3425" s="315">
        <v>0</v>
      </c>
      <c r="J3425" s="315">
        <v>0</v>
      </c>
      <c r="K3425" s="314" t="s">
        <v>1799</v>
      </c>
      <c r="L3425" s="283" t="s">
        <v>1800</v>
      </c>
      <c r="M3425" s="1" t="s">
        <v>1801</v>
      </c>
      <c r="N3425" s="442">
        <v>0</v>
      </c>
      <c r="O3425" s="442"/>
      <c r="P3425" s="149">
        <v>1</v>
      </c>
      <c r="Q3425" s="149">
        <v>1</v>
      </c>
      <c r="R3425" s="149">
        <v>1</v>
      </c>
      <c r="S3425" s="19">
        <v>1</v>
      </c>
      <c r="T3425" s="283" t="s">
        <v>1727</v>
      </c>
      <c r="U3425" s="283" t="e">
        <v>#N/A</v>
      </c>
      <c r="V3425" s="283" t="s">
        <v>1802</v>
      </c>
      <c r="W3425" s="283">
        <v>0</v>
      </c>
      <c r="X3425" s="283">
        <v>0</v>
      </c>
      <c r="Y3425" s="283">
        <v>0</v>
      </c>
      <c r="Z3425" s="283">
        <v>0</v>
      </c>
      <c r="AA3425" s="283">
        <v>0</v>
      </c>
      <c r="AB3425" s="283">
        <v>0</v>
      </c>
      <c r="AC3425" s="316">
        <v>0</v>
      </c>
      <c r="AD3425" s="316">
        <v>0</v>
      </c>
      <c r="AE3425" s="302">
        <f t="shared" si="127"/>
        <v>0</v>
      </c>
      <c r="AF3425" s="17">
        <v>0</v>
      </c>
      <c r="AG3425" s="17">
        <v>0</v>
      </c>
      <c r="AH3425" s="17">
        <v>0</v>
      </c>
      <c r="AI3425" s="310">
        <v>0</v>
      </c>
      <c r="AJ3425" s="310">
        <v>0</v>
      </c>
      <c r="AK3425" s="317"/>
      <c r="AL3425" s="317"/>
      <c r="AM3425" s="147">
        <f t="shared" si="126"/>
        <v>0</v>
      </c>
      <c r="AN3425" s="283" t="s">
        <v>1610</v>
      </c>
      <c r="AO3425" s="18" t="s">
        <v>773</v>
      </c>
      <c r="AP3425" s="283" t="s">
        <v>1803</v>
      </c>
    </row>
    <row r="3426" spans="1:42" x14ac:dyDescent="0.3">
      <c r="A3426" s="314" t="s">
        <v>1470</v>
      </c>
      <c r="B3426" s="283" t="s">
        <v>1502</v>
      </c>
      <c r="C3426" s="314" t="s">
        <v>1472</v>
      </c>
      <c r="D3426" s="283" t="s">
        <v>1674</v>
      </c>
      <c r="E3426" s="314" t="s">
        <v>1473</v>
      </c>
      <c r="F3426" s="283" t="s">
        <v>1675</v>
      </c>
      <c r="G3426" s="314" t="s">
        <v>1757</v>
      </c>
      <c r="H3426" s="283" t="s">
        <v>1758</v>
      </c>
      <c r="I3426" s="315">
        <v>0</v>
      </c>
      <c r="J3426" s="315">
        <v>0</v>
      </c>
      <c r="K3426" s="314" t="s">
        <v>1804</v>
      </c>
      <c r="L3426" s="283" t="s">
        <v>1805</v>
      </c>
      <c r="M3426" s="1" t="s">
        <v>1806</v>
      </c>
      <c r="N3426" s="442">
        <v>0</v>
      </c>
      <c r="O3426" s="442">
        <v>5</v>
      </c>
      <c r="P3426" s="149">
        <v>5</v>
      </c>
      <c r="Q3426" s="149">
        <v>5</v>
      </c>
      <c r="R3426" s="149">
        <v>5</v>
      </c>
      <c r="S3426" s="19">
        <v>5</v>
      </c>
      <c r="T3426" s="283" t="s">
        <v>1727</v>
      </c>
      <c r="U3426" s="283" t="e">
        <v>#N/A</v>
      </c>
      <c r="V3426" s="283" t="s">
        <v>1807</v>
      </c>
      <c r="W3426" s="283">
        <v>1</v>
      </c>
      <c r="X3426" s="283">
        <v>0</v>
      </c>
      <c r="Y3426" s="283">
        <v>0</v>
      </c>
      <c r="Z3426" s="283">
        <v>1</v>
      </c>
      <c r="AA3426" s="283">
        <v>1</v>
      </c>
      <c r="AB3426" s="283">
        <v>1</v>
      </c>
      <c r="AC3426" s="316">
        <v>1</v>
      </c>
      <c r="AD3426" s="316">
        <v>1</v>
      </c>
      <c r="AE3426" s="302">
        <f t="shared" si="127"/>
        <v>0.75</v>
      </c>
      <c r="AF3426" s="310">
        <v>0</v>
      </c>
      <c r="AG3426" s="17">
        <v>0</v>
      </c>
      <c r="AH3426" s="310">
        <v>0.3</v>
      </c>
      <c r="AI3426" s="310">
        <v>0.3</v>
      </c>
      <c r="AJ3426" s="310">
        <v>0.3</v>
      </c>
      <c r="AK3426" s="317">
        <v>0.1</v>
      </c>
      <c r="AL3426" s="317">
        <v>0.1</v>
      </c>
      <c r="AM3426" s="147">
        <f t="shared" si="126"/>
        <v>0.2</v>
      </c>
      <c r="AN3426" s="283" t="s">
        <v>1610</v>
      </c>
      <c r="AO3426" s="18" t="s">
        <v>773</v>
      </c>
      <c r="AP3426" s="283" t="s">
        <v>1803</v>
      </c>
    </row>
    <row r="3427" spans="1:42" x14ac:dyDescent="0.3">
      <c r="A3427" s="314" t="s">
        <v>1470</v>
      </c>
      <c r="B3427" s="283" t="s">
        <v>1502</v>
      </c>
      <c r="C3427" s="314" t="s">
        <v>1472</v>
      </c>
      <c r="D3427" s="283" t="s">
        <v>1674</v>
      </c>
      <c r="E3427" s="314" t="s">
        <v>1473</v>
      </c>
      <c r="F3427" s="283" t="s">
        <v>1675</v>
      </c>
      <c r="G3427" s="314" t="s">
        <v>1757</v>
      </c>
      <c r="H3427" s="283" t="s">
        <v>1758</v>
      </c>
      <c r="I3427" s="315">
        <v>0</v>
      </c>
      <c r="J3427" s="315">
        <v>0</v>
      </c>
      <c r="K3427" s="314" t="s">
        <v>1808</v>
      </c>
      <c r="L3427" s="283" t="s">
        <v>1809</v>
      </c>
      <c r="M3427" s="18" t="s">
        <v>1810</v>
      </c>
      <c r="N3427" s="442">
        <v>0</v>
      </c>
      <c r="O3427" s="430">
        <v>15</v>
      </c>
      <c r="P3427" s="19">
        <v>15</v>
      </c>
      <c r="Q3427" s="19">
        <v>15</v>
      </c>
      <c r="R3427" s="19">
        <v>15</v>
      </c>
      <c r="S3427" s="19">
        <v>15</v>
      </c>
      <c r="T3427" s="10" t="s">
        <v>1727</v>
      </c>
      <c r="U3427" s="283" t="e">
        <v>#N/A</v>
      </c>
      <c r="V3427" s="283" t="s">
        <v>1811</v>
      </c>
      <c r="W3427" s="283">
        <v>1</v>
      </c>
      <c r="X3427" s="283">
        <v>0</v>
      </c>
      <c r="Y3427" s="283">
        <v>0</v>
      </c>
      <c r="Z3427" s="283">
        <v>1</v>
      </c>
      <c r="AA3427" s="283">
        <v>1</v>
      </c>
      <c r="AB3427" s="283">
        <v>1</v>
      </c>
      <c r="AC3427" s="316">
        <v>1</v>
      </c>
      <c r="AD3427" s="316">
        <v>1</v>
      </c>
      <c r="AE3427" s="302">
        <f t="shared" si="127"/>
        <v>0.75</v>
      </c>
      <c r="AF3427" s="310">
        <v>0</v>
      </c>
      <c r="AG3427" s="17">
        <v>0</v>
      </c>
      <c r="AH3427" s="310">
        <v>1.1000000000000001</v>
      </c>
      <c r="AI3427" s="310">
        <v>1.1000000000000001</v>
      </c>
      <c r="AJ3427" s="310">
        <v>1.1000000000000001</v>
      </c>
      <c r="AK3427" s="317">
        <v>0.05</v>
      </c>
      <c r="AL3427" s="317">
        <v>0.05</v>
      </c>
      <c r="AM3427" s="147">
        <f t="shared" si="126"/>
        <v>0.1</v>
      </c>
      <c r="AN3427" s="283" t="s">
        <v>1610</v>
      </c>
      <c r="AO3427" s="18" t="s">
        <v>773</v>
      </c>
      <c r="AP3427" s="283" t="s">
        <v>1812</v>
      </c>
    </row>
    <row r="3428" spans="1:42" x14ac:dyDescent="0.3">
      <c r="A3428" s="314" t="s">
        <v>1470</v>
      </c>
      <c r="B3428" s="283" t="s">
        <v>1502</v>
      </c>
      <c r="C3428" s="314" t="s">
        <v>1472</v>
      </c>
      <c r="D3428" s="283" t="s">
        <v>1674</v>
      </c>
      <c r="E3428" s="314" t="s">
        <v>1473</v>
      </c>
      <c r="F3428" s="283" t="s">
        <v>1675</v>
      </c>
      <c r="G3428" s="314" t="s">
        <v>1757</v>
      </c>
      <c r="H3428" s="283" t="s">
        <v>1758</v>
      </c>
      <c r="I3428" s="315">
        <v>0</v>
      </c>
      <c r="J3428" s="315">
        <v>0</v>
      </c>
      <c r="K3428" s="314" t="s">
        <v>1813</v>
      </c>
      <c r="L3428" s="283" t="s">
        <v>1814</v>
      </c>
      <c r="M3428" s="1" t="s">
        <v>1815</v>
      </c>
      <c r="N3428" s="442">
        <v>0</v>
      </c>
      <c r="O3428" s="442"/>
      <c r="P3428" s="149">
        <v>56</v>
      </c>
      <c r="Q3428" s="149">
        <v>56</v>
      </c>
      <c r="R3428" s="149">
        <v>56</v>
      </c>
      <c r="S3428" s="19">
        <v>56</v>
      </c>
      <c r="T3428" s="283" t="s">
        <v>1727</v>
      </c>
      <c r="U3428" s="283" t="e">
        <v>#N/A</v>
      </c>
      <c r="V3428" s="283" t="s">
        <v>1816</v>
      </c>
      <c r="W3428" s="283">
        <v>0</v>
      </c>
      <c r="X3428" s="283">
        <v>0</v>
      </c>
      <c r="Y3428" s="283">
        <v>0</v>
      </c>
      <c r="Z3428" s="283">
        <v>0</v>
      </c>
      <c r="AA3428" s="283">
        <v>0</v>
      </c>
      <c r="AB3428" s="283">
        <v>0</v>
      </c>
      <c r="AC3428" s="316">
        <v>0</v>
      </c>
      <c r="AD3428" s="316">
        <v>0</v>
      </c>
      <c r="AE3428" s="302">
        <f t="shared" si="127"/>
        <v>0</v>
      </c>
      <c r="AF3428" s="17">
        <v>0</v>
      </c>
      <c r="AG3428" s="17">
        <v>0</v>
      </c>
      <c r="AH3428" s="17">
        <v>0</v>
      </c>
      <c r="AI3428" s="310">
        <v>0</v>
      </c>
      <c r="AJ3428" s="310">
        <v>0.3</v>
      </c>
      <c r="AK3428" s="317"/>
      <c r="AL3428" s="317"/>
      <c r="AM3428" s="147">
        <f t="shared" si="126"/>
        <v>0</v>
      </c>
      <c r="AN3428" s="283" t="s">
        <v>1610</v>
      </c>
      <c r="AO3428" s="18" t="s">
        <v>773</v>
      </c>
      <c r="AP3428" s="283" t="s">
        <v>1812</v>
      </c>
    </row>
    <row r="3429" spans="1:42" x14ac:dyDescent="0.3">
      <c r="A3429" s="314" t="s">
        <v>1470</v>
      </c>
      <c r="B3429" s="283" t="s">
        <v>1502</v>
      </c>
      <c r="C3429" s="314" t="s">
        <v>1472</v>
      </c>
      <c r="D3429" s="283" t="s">
        <v>1674</v>
      </c>
      <c r="E3429" s="314" t="s">
        <v>1473</v>
      </c>
      <c r="F3429" s="283" t="s">
        <v>1675</v>
      </c>
      <c r="G3429" s="314" t="s">
        <v>1757</v>
      </c>
      <c r="H3429" s="283" t="s">
        <v>1758</v>
      </c>
      <c r="I3429" s="315">
        <v>0</v>
      </c>
      <c r="J3429" s="315">
        <v>0</v>
      </c>
      <c r="K3429" s="314" t="s">
        <v>1817</v>
      </c>
      <c r="L3429" s="283" t="s">
        <v>1818</v>
      </c>
      <c r="M3429" s="18" t="s">
        <v>1819</v>
      </c>
      <c r="N3429" s="442">
        <v>0</v>
      </c>
      <c r="O3429" s="430">
        <v>200</v>
      </c>
      <c r="P3429" s="19">
        <v>500</v>
      </c>
      <c r="Q3429" s="19">
        <v>500</v>
      </c>
      <c r="R3429" s="19">
        <v>500</v>
      </c>
      <c r="S3429" s="19">
        <v>500</v>
      </c>
      <c r="T3429" s="10" t="s">
        <v>1727</v>
      </c>
      <c r="U3429" s="283" t="e">
        <v>#N/A</v>
      </c>
      <c r="V3429" s="283" t="s">
        <v>1820</v>
      </c>
      <c r="W3429" s="283">
        <v>0</v>
      </c>
      <c r="X3429" s="283">
        <v>0</v>
      </c>
      <c r="Y3429" s="283">
        <v>0</v>
      </c>
      <c r="Z3429" s="283">
        <v>0</v>
      </c>
      <c r="AA3429" s="283">
        <v>0</v>
      </c>
      <c r="AB3429" s="283">
        <v>0</v>
      </c>
      <c r="AC3429" s="316">
        <v>0</v>
      </c>
      <c r="AD3429" s="316">
        <v>0</v>
      </c>
      <c r="AE3429" s="302">
        <f t="shared" si="127"/>
        <v>0</v>
      </c>
      <c r="AF3429" s="310">
        <v>0</v>
      </c>
      <c r="AG3429" s="17">
        <v>0</v>
      </c>
      <c r="AH3429" s="310">
        <v>1</v>
      </c>
      <c r="AI3429" s="310">
        <v>1</v>
      </c>
      <c r="AJ3429" s="310">
        <v>1</v>
      </c>
      <c r="AK3429" s="317"/>
      <c r="AL3429" s="317"/>
      <c r="AM3429" s="147">
        <f t="shared" si="126"/>
        <v>0</v>
      </c>
      <c r="AN3429" s="283" t="s">
        <v>1610</v>
      </c>
      <c r="AO3429" s="18" t="s">
        <v>773</v>
      </c>
      <c r="AP3429" s="283" t="s">
        <v>1812</v>
      </c>
    </row>
    <row r="3430" spans="1:42" x14ac:dyDescent="0.3">
      <c r="A3430" s="314" t="s">
        <v>1470</v>
      </c>
      <c r="B3430" s="283" t="s">
        <v>1502</v>
      </c>
      <c r="C3430" s="314" t="s">
        <v>1474</v>
      </c>
      <c r="D3430" s="283" t="s">
        <v>1821</v>
      </c>
      <c r="E3430" s="314" t="s">
        <v>1475</v>
      </c>
      <c r="F3430" s="283" t="s">
        <v>1822</v>
      </c>
      <c r="G3430" s="314" t="s">
        <v>1823</v>
      </c>
      <c r="H3430" s="283" t="s">
        <v>1824</v>
      </c>
      <c r="I3430" s="315">
        <v>0</v>
      </c>
      <c r="J3430" s="315">
        <v>0</v>
      </c>
      <c r="K3430" s="314" t="s">
        <v>1825</v>
      </c>
      <c r="L3430" s="283" t="s">
        <v>1826</v>
      </c>
      <c r="M3430" s="1" t="s">
        <v>1827</v>
      </c>
      <c r="N3430" s="442">
        <v>0</v>
      </c>
      <c r="O3430" s="442">
        <v>1</v>
      </c>
      <c r="P3430" s="149">
        <v>1</v>
      </c>
      <c r="Q3430" s="149">
        <v>1</v>
      </c>
      <c r="R3430" s="149">
        <v>1</v>
      </c>
      <c r="S3430" s="19">
        <v>1</v>
      </c>
      <c r="T3430" s="10" t="s">
        <v>1727</v>
      </c>
      <c r="U3430" s="283" t="e">
        <v>#N/A</v>
      </c>
      <c r="V3430" s="283" t="s">
        <v>1828</v>
      </c>
      <c r="W3430" s="283">
        <v>1</v>
      </c>
      <c r="X3430" s="283">
        <v>0</v>
      </c>
      <c r="Y3430" s="283">
        <v>0</v>
      </c>
      <c r="Z3430" s="283">
        <v>1</v>
      </c>
      <c r="AA3430" s="283">
        <v>1</v>
      </c>
      <c r="AB3430" s="283">
        <v>1</v>
      </c>
      <c r="AC3430" s="316">
        <v>1</v>
      </c>
      <c r="AD3430" s="316">
        <v>1</v>
      </c>
      <c r="AE3430" s="302">
        <f t="shared" si="127"/>
        <v>0.75</v>
      </c>
      <c r="AF3430" s="310">
        <v>0</v>
      </c>
      <c r="AG3430" s="17">
        <v>0</v>
      </c>
      <c r="AH3430" s="310">
        <v>8.5</v>
      </c>
      <c r="AI3430" s="310">
        <v>8.5</v>
      </c>
      <c r="AJ3430" s="310">
        <v>9</v>
      </c>
      <c r="AK3430" s="317">
        <v>0.5</v>
      </c>
      <c r="AL3430" s="317">
        <v>0.5</v>
      </c>
      <c r="AM3430" s="147">
        <f t="shared" ref="AM3430:AM3461" si="128">SUM(AK3430:AL3430)</f>
        <v>1</v>
      </c>
      <c r="AN3430" s="283" t="s">
        <v>723</v>
      </c>
      <c r="AO3430" s="18" t="s">
        <v>729</v>
      </c>
      <c r="AP3430" s="283" t="s">
        <v>1829</v>
      </c>
    </row>
    <row r="3431" spans="1:42" x14ac:dyDescent="0.3">
      <c r="A3431" s="314" t="s">
        <v>1470</v>
      </c>
      <c r="B3431" s="283" t="s">
        <v>1502</v>
      </c>
      <c r="C3431" s="314" t="s">
        <v>1474</v>
      </c>
      <c r="D3431" s="283" t="s">
        <v>1821</v>
      </c>
      <c r="E3431" s="314" t="s">
        <v>1475</v>
      </c>
      <c r="F3431" s="283" t="s">
        <v>1822</v>
      </c>
      <c r="G3431" s="314" t="s">
        <v>1823</v>
      </c>
      <c r="H3431" s="283" t="s">
        <v>1824</v>
      </c>
      <c r="I3431" s="315">
        <v>0</v>
      </c>
      <c r="J3431" s="315">
        <v>0</v>
      </c>
      <c r="K3431" s="314" t="s">
        <v>1830</v>
      </c>
      <c r="L3431" s="283" t="s">
        <v>1831</v>
      </c>
      <c r="M3431" s="1" t="s">
        <v>1832</v>
      </c>
      <c r="N3431" s="442">
        <v>0</v>
      </c>
      <c r="O3431" s="442">
        <v>1</v>
      </c>
      <c r="P3431" s="149" t="s">
        <v>271</v>
      </c>
      <c r="Q3431" s="149" t="s">
        <v>271</v>
      </c>
      <c r="R3431" s="149">
        <v>1</v>
      </c>
      <c r="S3431" s="19">
        <v>1</v>
      </c>
      <c r="T3431" s="283" t="s">
        <v>1345</v>
      </c>
      <c r="U3431" s="283" t="s">
        <v>1334</v>
      </c>
      <c r="V3431" s="283" t="s">
        <v>1833</v>
      </c>
      <c r="W3431" s="283">
        <v>1</v>
      </c>
      <c r="X3431" s="283">
        <v>0</v>
      </c>
      <c r="Y3431" s="283">
        <v>0</v>
      </c>
      <c r="Z3431" s="283">
        <v>1</v>
      </c>
      <c r="AA3431" s="283">
        <v>1</v>
      </c>
      <c r="AB3431" s="283">
        <v>1</v>
      </c>
      <c r="AC3431" s="316">
        <v>1</v>
      </c>
      <c r="AD3431" s="316">
        <v>1</v>
      </c>
      <c r="AE3431" s="302">
        <f t="shared" si="127"/>
        <v>0.75</v>
      </c>
      <c r="AF3431" s="310">
        <v>1</v>
      </c>
      <c r="AG3431" s="17">
        <v>0</v>
      </c>
      <c r="AH3431" s="310">
        <v>5</v>
      </c>
      <c r="AI3431" s="310">
        <v>0</v>
      </c>
      <c r="AJ3431" s="310">
        <v>0</v>
      </c>
      <c r="AK3431" s="317">
        <v>3</v>
      </c>
      <c r="AL3431" s="317">
        <v>3</v>
      </c>
      <c r="AM3431" s="147">
        <f t="shared" si="128"/>
        <v>6</v>
      </c>
      <c r="AN3431" s="10" t="s">
        <v>1345</v>
      </c>
      <c r="AO3431" s="18" t="s">
        <v>1334</v>
      </c>
      <c r="AP3431" s="283" t="s">
        <v>1834</v>
      </c>
    </row>
    <row r="3432" spans="1:42" x14ac:dyDescent="0.3">
      <c r="A3432" s="314" t="s">
        <v>1470</v>
      </c>
      <c r="B3432" s="283" t="s">
        <v>1502</v>
      </c>
      <c r="C3432" s="314" t="s">
        <v>1474</v>
      </c>
      <c r="D3432" s="283" t="s">
        <v>1821</v>
      </c>
      <c r="E3432" s="314" t="s">
        <v>1475</v>
      </c>
      <c r="F3432" s="283" t="s">
        <v>1822</v>
      </c>
      <c r="G3432" s="314" t="s">
        <v>1823</v>
      </c>
      <c r="H3432" s="283" t="s">
        <v>1824</v>
      </c>
      <c r="I3432" s="315">
        <v>0</v>
      </c>
      <c r="J3432" s="315">
        <v>0</v>
      </c>
      <c r="K3432" s="314" t="s">
        <v>1835</v>
      </c>
      <c r="L3432" s="283" t="s">
        <v>1836</v>
      </c>
      <c r="M3432" s="1" t="s">
        <v>1837</v>
      </c>
      <c r="N3432" s="442">
        <v>0</v>
      </c>
      <c r="O3432" s="442"/>
      <c r="P3432" s="149"/>
      <c r="Q3432" s="149"/>
      <c r="R3432" s="149">
        <v>50000</v>
      </c>
      <c r="S3432" s="19">
        <v>50000</v>
      </c>
      <c r="T3432" s="10" t="s">
        <v>1345</v>
      </c>
      <c r="U3432" s="283" t="s">
        <v>1334</v>
      </c>
      <c r="V3432" s="283" t="s">
        <v>1838</v>
      </c>
      <c r="W3432" s="283">
        <v>1</v>
      </c>
      <c r="X3432" s="283">
        <v>0</v>
      </c>
      <c r="Y3432" s="283">
        <v>0</v>
      </c>
      <c r="Z3432" s="283">
        <v>1</v>
      </c>
      <c r="AA3432" s="283">
        <v>1</v>
      </c>
      <c r="AB3432" s="283">
        <v>1</v>
      </c>
      <c r="AC3432" s="316">
        <v>1</v>
      </c>
      <c r="AD3432" s="316">
        <v>1</v>
      </c>
      <c r="AE3432" s="302">
        <f t="shared" si="127"/>
        <v>0.75</v>
      </c>
      <c r="AF3432" s="310">
        <v>1</v>
      </c>
      <c r="AG3432" s="17">
        <v>0</v>
      </c>
      <c r="AH3432" s="310">
        <v>69.603750000000005</v>
      </c>
      <c r="AI3432" s="310">
        <v>73.083937500000005</v>
      </c>
      <c r="AJ3432" s="310">
        <v>76.738134375000001</v>
      </c>
      <c r="AK3432" s="317">
        <f>26.38-1.85</f>
        <v>24.529999999999998</v>
      </c>
      <c r="AL3432" s="317">
        <f>11.5-1.85</f>
        <v>9.65</v>
      </c>
      <c r="AM3432" s="147">
        <f t="shared" si="128"/>
        <v>34.18</v>
      </c>
      <c r="AN3432" s="10" t="s">
        <v>1345</v>
      </c>
      <c r="AO3432" s="18" t="s">
        <v>1334</v>
      </c>
      <c r="AP3432" s="283" t="s">
        <v>1839</v>
      </c>
    </row>
    <row r="3433" spans="1:42" x14ac:dyDescent="0.3">
      <c r="A3433" s="314" t="s">
        <v>1470</v>
      </c>
      <c r="B3433" s="283" t="s">
        <v>1502</v>
      </c>
      <c r="C3433" s="314" t="s">
        <v>1474</v>
      </c>
      <c r="D3433" s="283" t="s">
        <v>1821</v>
      </c>
      <c r="E3433" s="314" t="s">
        <v>1475</v>
      </c>
      <c r="F3433" s="283" t="s">
        <v>1822</v>
      </c>
      <c r="G3433" s="314" t="s">
        <v>1823</v>
      </c>
      <c r="H3433" s="283" t="s">
        <v>1824</v>
      </c>
      <c r="I3433" s="315">
        <v>0</v>
      </c>
      <c r="J3433" s="315">
        <v>0</v>
      </c>
      <c r="K3433" s="314" t="s">
        <v>1840</v>
      </c>
      <c r="L3433" s="283" t="s">
        <v>1841</v>
      </c>
      <c r="M3433" s="1" t="s">
        <v>1842</v>
      </c>
      <c r="N3433" s="442">
        <v>0</v>
      </c>
      <c r="O3433" s="442"/>
      <c r="P3433" s="149"/>
      <c r="Q3433" s="149"/>
      <c r="R3433" s="149">
        <v>500</v>
      </c>
      <c r="S3433" s="19">
        <v>500</v>
      </c>
      <c r="T3433" s="10" t="s">
        <v>1345</v>
      </c>
      <c r="U3433" s="283" t="s">
        <v>1334</v>
      </c>
      <c r="V3433" s="283" t="s">
        <v>1843</v>
      </c>
      <c r="W3433" s="283">
        <v>1</v>
      </c>
      <c r="X3433" s="283">
        <v>0</v>
      </c>
      <c r="Y3433" s="283">
        <v>0</v>
      </c>
      <c r="Z3433" s="283">
        <v>1</v>
      </c>
      <c r="AA3433" s="283">
        <v>1</v>
      </c>
      <c r="AB3433" s="283">
        <v>1</v>
      </c>
      <c r="AC3433" s="316">
        <v>1</v>
      </c>
      <c r="AD3433" s="316">
        <v>1</v>
      </c>
      <c r="AE3433" s="302">
        <f t="shared" ref="AE3433:AE3464" si="129">SUM(W3433:AD3433)/8</f>
        <v>0.75</v>
      </c>
      <c r="AF3433" s="17">
        <v>1</v>
      </c>
      <c r="AG3433" s="17">
        <v>0</v>
      </c>
      <c r="AH3433" s="17">
        <v>0</v>
      </c>
      <c r="AI3433" s="310">
        <v>1</v>
      </c>
      <c r="AJ3433" s="310">
        <v>1</v>
      </c>
      <c r="AK3433" s="317">
        <v>1</v>
      </c>
      <c r="AL3433" s="317">
        <v>1</v>
      </c>
      <c r="AM3433" s="147">
        <f t="shared" si="128"/>
        <v>2</v>
      </c>
      <c r="AN3433" s="10" t="s">
        <v>1345</v>
      </c>
      <c r="AO3433" s="18" t="s">
        <v>1334</v>
      </c>
      <c r="AP3433" s="283" t="s">
        <v>1839</v>
      </c>
    </row>
    <row r="3434" spans="1:42" x14ac:dyDescent="0.3">
      <c r="A3434" s="314" t="s">
        <v>1470</v>
      </c>
      <c r="B3434" s="283" t="s">
        <v>1502</v>
      </c>
      <c r="C3434" s="314" t="s">
        <v>1474</v>
      </c>
      <c r="D3434" s="283" t="s">
        <v>1821</v>
      </c>
      <c r="E3434" s="314" t="s">
        <v>1475</v>
      </c>
      <c r="F3434" s="283" t="s">
        <v>1822</v>
      </c>
      <c r="G3434" s="314" t="s">
        <v>1823</v>
      </c>
      <c r="H3434" s="283" t="s">
        <v>1824</v>
      </c>
      <c r="I3434" s="315">
        <v>0</v>
      </c>
      <c r="J3434" s="315">
        <v>0</v>
      </c>
      <c r="K3434" s="314" t="s">
        <v>1844</v>
      </c>
      <c r="L3434" s="283" t="s">
        <v>1845</v>
      </c>
      <c r="M3434" s="1" t="s">
        <v>1846</v>
      </c>
      <c r="N3434" s="442">
        <v>0</v>
      </c>
      <c r="O3434" s="442">
        <v>50000</v>
      </c>
      <c r="P3434" s="149">
        <v>50000</v>
      </c>
      <c r="Q3434" s="149">
        <v>50000</v>
      </c>
      <c r="R3434" s="149">
        <v>50000</v>
      </c>
      <c r="S3434" s="19">
        <v>50000</v>
      </c>
      <c r="T3434" s="283" t="s">
        <v>1847</v>
      </c>
      <c r="U3434" s="283" t="e">
        <v>#N/A</v>
      </c>
      <c r="AC3434" s="316">
        <v>0</v>
      </c>
      <c r="AD3434" s="316">
        <v>0</v>
      </c>
      <c r="AE3434" s="302">
        <f t="shared" si="129"/>
        <v>0</v>
      </c>
      <c r="AF3434" s="17"/>
      <c r="AG3434" s="17">
        <v>0</v>
      </c>
      <c r="AH3434" s="17"/>
      <c r="AM3434" s="147">
        <f t="shared" si="128"/>
        <v>0</v>
      </c>
      <c r="AN3434" s="10"/>
      <c r="AO3434" s="18"/>
    </row>
    <row r="3435" spans="1:42" x14ac:dyDescent="0.3">
      <c r="A3435" s="314" t="s">
        <v>1470</v>
      </c>
      <c r="B3435" s="283" t="s">
        <v>1502</v>
      </c>
      <c r="C3435" s="314" t="s">
        <v>1474</v>
      </c>
      <c r="D3435" s="283" t="s">
        <v>1821</v>
      </c>
      <c r="E3435" s="314" t="s">
        <v>1475</v>
      </c>
      <c r="F3435" s="283" t="s">
        <v>1822</v>
      </c>
      <c r="G3435" s="314" t="s">
        <v>1823</v>
      </c>
      <c r="H3435" s="283" t="s">
        <v>1824</v>
      </c>
      <c r="I3435" s="315">
        <v>0</v>
      </c>
      <c r="J3435" s="315">
        <v>0</v>
      </c>
      <c r="K3435" s="314" t="s">
        <v>1848</v>
      </c>
      <c r="L3435" s="283" t="s">
        <v>1849</v>
      </c>
      <c r="M3435" s="1" t="s">
        <v>271</v>
      </c>
      <c r="N3435" s="442">
        <v>0</v>
      </c>
      <c r="O3435" s="442"/>
      <c r="P3435" s="149"/>
      <c r="Q3435" s="149"/>
      <c r="R3435" s="149"/>
      <c r="S3435" s="19"/>
      <c r="T3435" s="10"/>
      <c r="U3435" s="283" t="e">
        <v>#N/A</v>
      </c>
      <c r="V3435" s="283" t="s">
        <v>1850</v>
      </c>
      <c r="W3435" s="283">
        <v>0</v>
      </c>
      <c r="X3435" s="283">
        <v>0</v>
      </c>
      <c r="Y3435" s="283">
        <v>0</v>
      </c>
      <c r="Z3435" s="283">
        <v>1</v>
      </c>
      <c r="AA3435" s="283">
        <v>1</v>
      </c>
      <c r="AB3435" s="283">
        <v>1</v>
      </c>
      <c r="AC3435" s="316">
        <v>0</v>
      </c>
      <c r="AD3435" s="316">
        <v>0</v>
      </c>
      <c r="AE3435" s="302">
        <f t="shared" si="129"/>
        <v>0.375</v>
      </c>
      <c r="AF3435" s="310">
        <v>0</v>
      </c>
      <c r="AG3435" s="17">
        <v>0</v>
      </c>
      <c r="AH3435" s="310">
        <v>0.2</v>
      </c>
      <c r="AI3435" s="310">
        <v>0.2</v>
      </c>
      <c r="AJ3435" s="310">
        <v>0.2</v>
      </c>
      <c r="AK3435" s="317"/>
      <c r="AL3435" s="317"/>
      <c r="AM3435" s="147">
        <f t="shared" si="128"/>
        <v>0</v>
      </c>
      <c r="AN3435" s="10" t="s">
        <v>1345</v>
      </c>
      <c r="AO3435" s="18" t="s">
        <v>1334</v>
      </c>
      <c r="AP3435" s="283" t="s">
        <v>1851</v>
      </c>
    </row>
    <row r="3436" spans="1:42" x14ac:dyDescent="0.3">
      <c r="A3436" s="314" t="s">
        <v>1470</v>
      </c>
      <c r="B3436" s="283" t="s">
        <v>1502</v>
      </c>
      <c r="C3436" s="314" t="s">
        <v>1474</v>
      </c>
      <c r="D3436" s="283" t="s">
        <v>1821</v>
      </c>
      <c r="E3436" s="314" t="s">
        <v>1475</v>
      </c>
      <c r="F3436" s="283" t="s">
        <v>1822</v>
      </c>
      <c r="G3436" s="314" t="s">
        <v>1823</v>
      </c>
      <c r="H3436" s="283" t="s">
        <v>1824</v>
      </c>
      <c r="I3436" s="315">
        <v>0</v>
      </c>
      <c r="J3436" s="315">
        <v>0</v>
      </c>
      <c r="K3436" s="314" t="s">
        <v>1852</v>
      </c>
      <c r="L3436" s="283" t="s">
        <v>1853</v>
      </c>
      <c r="M3436" s="1" t="s">
        <v>271</v>
      </c>
      <c r="N3436" s="442">
        <v>0</v>
      </c>
      <c r="O3436" s="442"/>
      <c r="P3436" s="149"/>
      <c r="Q3436" s="149"/>
      <c r="R3436" s="149"/>
      <c r="S3436" s="19"/>
      <c r="T3436" s="10"/>
      <c r="U3436" s="283" t="e">
        <v>#N/A</v>
      </c>
      <c r="V3436" s="283" t="s">
        <v>1854</v>
      </c>
      <c r="W3436" s="283">
        <v>0</v>
      </c>
      <c r="X3436" s="283">
        <v>0</v>
      </c>
      <c r="Y3436" s="283">
        <v>0</v>
      </c>
      <c r="Z3436" s="283">
        <v>0</v>
      </c>
      <c r="AA3436" s="283">
        <v>0</v>
      </c>
      <c r="AB3436" s="283">
        <v>0</v>
      </c>
      <c r="AC3436" s="316">
        <v>0</v>
      </c>
      <c r="AD3436" s="316">
        <v>0</v>
      </c>
      <c r="AE3436" s="302">
        <f t="shared" si="129"/>
        <v>0</v>
      </c>
      <c r="AF3436" s="310">
        <v>0</v>
      </c>
      <c r="AG3436" s="17">
        <v>0</v>
      </c>
      <c r="AH3436" s="310">
        <v>0</v>
      </c>
      <c r="AI3436" s="310">
        <v>0</v>
      </c>
      <c r="AJ3436" s="310">
        <v>0</v>
      </c>
      <c r="AK3436" s="317">
        <v>0</v>
      </c>
      <c r="AL3436" s="317">
        <v>0</v>
      </c>
      <c r="AM3436" s="147">
        <f t="shared" si="128"/>
        <v>0</v>
      </c>
      <c r="AN3436" s="10" t="s">
        <v>239</v>
      </c>
      <c r="AO3436" s="18" t="s">
        <v>241</v>
      </c>
      <c r="AP3436" s="283" t="s">
        <v>1855</v>
      </c>
    </row>
    <row r="3437" spans="1:42" x14ac:dyDescent="0.3">
      <c r="A3437" s="314" t="s">
        <v>1470</v>
      </c>
      <c r="B3437" s="283" t="s">
        <v>1502</v>
      </c>
      <c r="C3437" s="314" t="s">
        <v>1474</v>
      </c>
      <c r="D3437" s="283" t="s">
        <v>1821</v>
      </c>
      <c r="E3437" s="314" t="s">
        <v>1475</v>
      </c>
      <c r="F3437" s="283" t="s">
        <v>1822</v>
      </c>
      <c r="G3437" s="314" t="s">
        <v>1823</v>
      </c>
      <c r="H3437" s="283" t="s">
        <v>1824</v>
      </c>
      <c r="I3437" s="315">
        <v>0</v>
      </c>
      <c r="J3437" s="315">
        <v>0</v>
      </c>
      <c r="K3437" s="314" t="s">
        <v>1856</v>
      </c>
      <c r="L3437" s="283" t="s">
        <v>1857</v>
      </c>
      <c r="M3437" s="1" t="s">
        <v>271</v>
      </c>
      <c r="N3437" s="442">
        <v>0</v>
      </c>
      <c r="O3437" s="442"/>
      <c r="P3437" s="149"/>
      <c r="Q3437" s="149"/>
      <c r="R3437" s="149"/>
      <c r="S3437" s="19"/>
      <c r="U3437" s="283" t="e">
        <v>#N/A</v>
      </c>
      <c r="V3437" s="283" t="s">
        <v>1858</v>
      </c>
      <c r="W3437" s="283">
        <v>0</v>
      </c>
      <c r="X3437" s="283">
        <v>0</v>
      </c>
      <c r="Y3437" s="283">
        <v>0</v>
      </c>
      <c r="Z3437" s="283">
        <v>1</v>
      </c>
      <c r="AA3437" s="283">
        <v>0</v>
      </c>
      <c r="AB3437" s="283">
        <v>1</v>
      </c>
      <c r="AC3437" s="316">
        <v>1</v>
      </c>
      <c r="AD3437" s="316">
        <v>1</v>
      </c>
      <c r="AE3437" s="302">
        <f t="shared" si="129"/>
        <v>0.5</v>
      </c>
      <c r="AF3437" s="310">
        <v>0</v>
      </c>
      <c r="AG3437" s="17">
        <v>0</v>
      </c>
      <c r="AH3437" s="310">
        <v>5</v>
      </c>
      <c r="AI3437" s="310">
        <v>5</v>
      </c>
      <c r="AJ3437" s="310">
        <v>8</v>
      </c>
      <c r="AK3437" s="317"/>
      <c r="AL3437" s="317"/>
      <c r="AM3437" s="147">
        <f t="shared" si="128"/>
        <v>0</v>
      </c>
      <c r="AN3437" s="283" t="s">
        <v>1610</v>
      </c>
      <c r="AO3437" s="18" t="s">
        <v>773</v>
      </c>
      <c r="AP3437" s="283" t="s">
        <v>119</v>
      </c>
    </row>
    <row r="3438" spans="1:42" x14ac:dyDescent="0.3">
      <c r="A3438" s="314" t="s">
        <v>1470</v>
      </c>
      <c r="B3438" s="283" t="s">
        <v>1502</v>
      </c>
      <c r="C3438" s="314" t="s">
        <v>1474</v>
      </c>
      <c r="D3438" s="283" t="s">
        <v>1821</v>
      </c>
      <c r="E3438" s="314" t="s">
        <v>1475</v>
      </c>
      <c r="F3438" s="283" t="s">
        <v>1822</v>
      </c>
      <c r="G3438" s="314" t="s">
        <v>1823</v>
      </c>
      <c r="H3438" s="283" t="s">
        <v>1824</v>
      </c>
      <c r="I3438" s="315">
        <v>0</v>
      </c>
      <c r="J3438" s="315">
        <v>0</v>
      </c>
      <c r="K3438" s="314" t="s">
        <v>1859</v>
      </c>
      <c r="L3438" s="283" t="s">
        <v>1860</v>
      </c>
      <c r="M3438" s="1" t="s">
        <v>271</v>
      </c>
      <c r="N3438" s="442">
        <v>0</v>
      </c>
      <c r="O3438" s="442"/>
      <c r="P3438" s="149"/>
      <c r="Q3438" s="149"/>
      <c r="R3438" s="149"/>
      <c r="S3438" s="19"/>
      <c r="U3438" s="283" t="e">
        <v>#N/A</v>
      </c>
      <c r="V3438" s="283" t="s">
        <v>1861</v>
      </c>
      <c r="W3438" s="283">
        <v>0</v>
      </c>
      <c r="X3438" s="283">
        <v>0</v>
      </c>
      <c r="Y3438" s="283">
        <v>0</v>
      </c>
      <c r="Z3438" s="283">
        <v>0</v>
      </c>
      <c r="AA3438" s="283">
        <v>0</v>
      </c>
      <c r="AB3438" s="283">
        <v>0</v>
      </c>
      <c r="AC3438" s="316">
        <v>0</v>
      </c>
      <c r="AD3438" s="316">
        <v>0</v>
      </c>
      <c r="AE3438" s="302">
        <f t="shared" si="129"/>
        <v>0</v>
      </c>
      <c r="AF3438" s="310">
        <v>0</v>
      </c>
      <c r="AG3438" s="17">
        <v>0</v>
      </c>
      <c r="AH3438" s="310">
        <v>15.74</v>
      </c>
      <c r="AI3438" s="310">
        <v>15.74</v>
      </c>
      <c r="AJ3438" s="310">
        <v>15.74</v>
      </c>
      <c r="AK3438" s="317"/>
      <c r="AL3438" s="317"/>
      <c r="AM3438" s="147">
        <f t="shared" si="128"/>
        <v>0</v>
      </c>
      <c r="AN3438" s="283" t="s">
        <v>1610</v>
      </c>
      <c r="AO3438" s="18" t="s">
        <v>773</v>
      </c>
      <c r="AP3438" s="283" t="s">
        <v>119</v>
      </c>
    </row>
    <row r="3439" spans="1:42" x14ac:dyDescent="0.3">
      <c r="A3439" s="314" t="s">
        <v>1470</v>
      </c>
      <c r="B3439" s="283" t="s">
        <v>1502</v>
      </c>
      <c r="C3439" s="314" t="s">
        <v>1474</v>
      </c>
      <c r="D3439" s="283" t="s">
        <v>1821</v>
      </c>
      <c r="E3439" s="314" t="s">
        <v>1475</v>
      </c>
      <c r="F3439" s="283" t="s">
        <v>1822</v>
      </c>
      <c r="G3439" s="314" t="s">
        <v>1823</v>
      </c>
      <c r="H3439" s="283" t="s">
        <v>1824</v>
      </c>
      <c r="I3439" s="315">
        <v>0</v>
      </c>
      <c r="J3439" s="315">
        <v>0</v>
      </c>
      <c r="K3439" s="314" t="s">
        <v>1862</v>
      </c>
      <c r="L3439" s="283" t="s">
        <v>1863</v>
      </c>
      <c r="M3439" s="1" t="s">
        <v>1864</v>
      </c>
      <c r="N3439" s="442">
        <v>0</v>
      </c>
      <c r="O3439" s="442">
        <v>1</v>
      </c>
      <c r="P3439" s="149" t="s">
        <v>271</v>
      </c>
      <c r="Q3439" s="149" t="s">
        <v>271</v>
      </c>
      <c r="R3439" s="149" t="s">
        <v>271</v>
      </c>
      <c r="S3439" s="19" t="s">
        <v>271</v>
      </c>
      <c r="U3439" s="283" t="e">
        <v>#N/A</v>
      </c>
      <c r="AC3439" s="316">
        <v>0</v>
      </c>
      <c r="AD3439" s="316">
        <v>0</v>
      </c>
      <c r="AE3439" s="302">
        <f t="shared" si="129"/>
        <v>0</v>
      </c>
      <c r="AF3439" s="4"/>
      <c r="AG3439" s="17">
        <v>0</v>
      </c>
      <c r="AM3439" s="147">
        <f t="shared" si="128"/>
        <v>0</v>
      </c>
      <c r="AO3439" s="18"/>
    </row>
    <row r="3440" spans="1:42" x14ac:dyDescent="0.3">
      <c r="A3440" s="314" t="s">
        <v>1470</v>
      </c>
      <c r="B3440" s="283" t="s">
        <v>1502</v>
      </c>
      <c r="C3440" s="314" t="s">
        <v>1474</v>
      </c>
      <c r="D3440" s="283" t="s">
        <v>1821</v>
      </c>
      <c r="E3440" s="314" t="s">
        <v>1475</v>
      </c>
      <c r="F3440" s="283" t="s">
        <v>1822</v>
      </c>
      <c r="G3440" s="314" t="s">
        <v>1823</v>
      </c>
      <c r="H3440" s="283" t="s">
        <v>1824</v>
      </c>
      <c r="I3440" s="315">
        <v>0</v>
      </c>
      <c r="J3440" s="315">
        <v>0</v>
      </c>
      <c r="K3440" s="314" t="s">
        <v>1862</v>
      </c>
      <c r="L3440" s="283" t="s">
        <v>1863</v>
      </c>
      <c r="M3440" s="1" t="s">
        <v>1865</v>
      </c>
      <c r="N3440" s="442">
        <v>0</v>
      </c>
      <c r="O3440" s="442">
        <v>1</v>
      </c>
      <c r="P3440" s="149" t="s">
        <v>271</v>
      </c>
      <c r="Q3440" s="149" t="s">
        <v>271</v>
      </c>
      <c r="R3440" s="149" t="s">
        <v>271</v>
      </c>
      <c r="S3440" s="19" t="s">
        <v>271</v>
      </c>
      <c r="U3440" s="283" t="e">
        <v>#N/A</v>
      </c>
      <c r="AC3440" s="316">
        <v>0</v>
      </c>
      <c r="AD3440" s="316">
        <v>0</v>
      </c>
      <c r="AE3440" s="302">
        <f t="shared" si="129"/>
        <v>0</v>
      </c>
      <c r="AF3440" s="4"/>
      <c r="AG3440" s="17">
        <v>0</v>
      </c>
      <c r="AM3440" s="147">
        <f t="shared" si="128"/>
        <v>0</v>
      </c>
      <c r="AO3440" s="18"/>
    </row>
    <row r="3441" spans="1:42" x14ac:dyDescent="0.3">
      <c r="A3441" s="314" t="s">
        <v>1470</v>
      </c>
      <c r="B3441" s="283" t="s">
        <v>1502</v>
      </c>
      <c r="C3441" s="314" t="s">
        <v>1474</v>
      </c>
      <c r="D3441" s="283" t="s">
        <v>1821</v>
      </c>
      <c r="E3441" s="314" t="s">
        <v>1475</v>
      </c>
      <c r="F3441" s="283" t="s">
        <v>1822</v>
      </c>
      <c r="G3441" s="314" t="s">
        <v>1823</v>
      </c>
      <c r="H3441" s="283" t="s">
        <v>1824</v>
      </c>
      <c r="I3441" s="315">
        <v>0</v>
      </c>
      <c r="J3441" s="315">
        <v>0</v>
      </c>
      <c r="K3441" s="314" t="s">
        <v>1862</v>
      </c>
      <c r="L3441" s="283" t="s">
        <v>1863</v>
      </c>
      <c r="M3441" s="1" t="s">
        <v>1866</v>
      </c>
      <c r="N3441" s="442">
        <v>186</v>
      </c>
      <c r="O3441" s="442" t="s">
        <v>271</v>
      </c>
      <c r="P3441" s="149">
        <v>200</v>
      </c>
      <c r="Q3441" s="149">
        <v>250</v>
      </c>
      <c r="R3441" s="149">
        <v>300</v>
      </c>
      <c r="S3441" s="19">
        <v>350</v>
      </c>
      <c r="U3441" s="283" t="e">
        <v>#N/A</v>
      </c>
      <c r="AC3441" s="316">
        <v>0</v>
      </c>
      <c r="AD3441" s="316">
        <v>0</v>
      </c>
      <c r="AE3441" s="302">
        <f t="shared" si="129"/>
        <v>0</v>
      </c>
      <c r="AF3441" s="4"/>
      <c r="AG3441" s="17">
        <v>0</v>
      </c>
      <c r="AM3441" s="147">
        <f t="shared" si="128"/>
        <v>0</v>
      </c>
      <c r="AO3441" s="18"/>
    </row>
    <row r="3442" spans="1:42" x14ac:dyDescent="0.3">
      <c r="A3442" s="314" t="s">
        <v>1470</v>
      </c>
      <c r="B3442" s="283" t="s">
        <v>1502</v>
      </c>
      <c r="C3442" s="314" t="s">
        <v>1474</v>
      </c>
      <c r="D3442" s="283" t="s">
        <v>1821</v>
      </c>
      <c r="E3442" s="314" t="s">
        <v>1475</v>
      </c>
      <c r="F3442" s="283" t="s">
        <v>1822</v>
      </c>
      <c r="G3442" s="314" t="s">
        <v>1867</v>
      </c>
      <c r="H3442" s="283" t="s">
        <v>1868</v>
      </c>
      <c r="I3442" s="315">
        <v>0</v>
      </c>
      <c r="J3442" s="315">
        <v>0</v>
      </c>
      <c r="K3442" s="318" t="s">
        <v>1869</v>
      </c>
      <c r="L3442" s="283" t="s">
        <v>1870</v>
      </c>
      <c r="M3442" s="1" t="s">
        <v>1871</v>
      </c>
      <c r="N3442" s="442"/>
      <c r="O3442" s="442"/>
      <c r="P3442" s="149"/>
      <c r="Q3442" s="149"/>
      <c r="R3442" s="149"/>
      <c r="S3442" s="19"/>
      <c r="U3442" s="283" t="e">
        <v>#N/A</v>
      </c>
      <c r="AC3442" s="316">
        <v>0</v>
      </c>
      <c r="AD3442" s="316">
        <v>0</v>
      </c>
      <c r="AE3442" s="302">
        <f t="shared" si="129"/>
        <v>0</v>
      </c>
      <c r="AF3442" s="4"/>
      <c r="AG3442" s="17">
        <v>0</v>
      </c>
      <c r="AM3442" s="147">
        <f t="shared" si="128"/>
        <v>0</v>
      </c>
      <c r="AO3442" s="18"/>
    </row>
    <row r="3443" spans="1:42" x14ac:dyDescent="0.3">
      <c r="A3443" s="314" t="s">
        <v>1470</v>
      </c>
      <c r="B3443" s="283" t="s">
        <v>1502</v>
      </c>
      <c r="C3443" s="314" t="s">
        <v>1474</v>
      </c>
      <c r="D3443" s="283" t="s">
        <v>1821</v>
      </c>
      <c r="E3443" s="314" t="s">
        <v>1475</v>
      </c>
      <c r="F3443" s="283" t="s">
        <v>1822</v>
      </c>
      <c r="G3443" s="314" t="s">
        <v>1867</v>
      </c>
      <c r="H3443" s="283" t="s">
        <v>1868</v>
      </c>
      <c r="I3443" s="315">
        <v>0</v>
      </c>
      <c r="J3443" s="315">
        <v>0</v>
      </c>
      <c r="K3443" s="318" t="s">
        <v>1869</v>
      </c>
      <c r="L3443" s="283" t="s">
        <v>1870</v>
      </c>
      <c r="M3443" s="1" t="s">
        <v>1872</v>
      </c>
      <c r="N3443" s="442">
        <v>0</v>
      </c>
      <c r="O3443" s="442"/>
      <c r="P3443" s="149"/>
      <c r="Q3443" s="149"/>
      <c r="R3443" s="149"/>
      <c r="S3443" s="19"/>
      <c r="U3443" s="283" t="e">
        <v>#N/A</v>
      </c>
      <c r="AC3443" s="316">
        <v>0</v>
      </c>
      <c r="AD3443" s="316">
        <v>0</v>
      </c>
      <c r="AE3443" s="302">
        <f t="shared" si="129"/>
        <v>0</v>
      </c>
      <c r="AF3443" s="4"/>
      <c r="AG3443" s="17">
        <v>0</v>
      </c>
      <c r="AM3443" s="147">
        <f t="shared" si="128"/>
        <v>0</v>
      </c>
      <c r="AO3443" s="18"/>
    </row>
    <row r="3444" spans="1:42" x14ac:dyDescent="0.3">
      <c r="A3444" s="314" t="s">
        <v>1470</v>
      </c>
      <c r="B3444" s="283" t="s">
        <v>1502</v>
      </c>
      <c r="C3444" s="314" t="s">
        <v>1474</v>
      </c>
      <c r="D3444" s="283" t="s">
        <v>1821</v>
      </c>
      <c r="E3444" s="314" t="s">
        <v>1475</v>
      </c>
      <c r="F3444" s="283" t="s">
        <v>1822</v>
      </c>
      <c r="G3444" s="314" t="s">
        <v>1867</v>
      </c>
      <c r="H3444" s="283" t="s">
        <v>1868</v>
      </c>
      <c r="I3444" s="315">
        <v>0</v>
      </c>
      <c r="J3444" s="315">
        <v>0</v>
      </c>
      <c r="K3444" s="318" t="s">
        <v>1869</v>
      </c>
      <c r="L3444" s="283" t="s">
        <v>1870</v>
      </c>
      <c r="M3444" s="1" t="s">
        <v>1873</v>
      </c>
      <c r="N3444" s="442">
        <v>0</v>
      </c>
      <c r="O3444" s="442"/>
      <c r="P3444" s="149"/>
      <c r="Q3444" s="149"/>
      <c r="R3444" s="149"/>
      <c r="S3444" s="19"/>
      <c r="U3444" s="283" t="e">
        <v>#N/A</v>
      </c>
      <c r="AC3444" s="316">
        <v>0</v>
      </c>
      <c r="AD3444" s="316">
        <v>0</v>
      </c>
      <c r="AE3444" s="302">
        <f t="shared" si="129"/>
        <v>0</v>
      </c>
      <c r="AF3444" s="4"/>
      <c r="AG3444" s="17">
        <v>0</v>
      </c>
      <c r="AM3444" s="147">
        <f t="shared" si="128"/>
        <v>0</v>
      </c>
      <c r="AO3444" s="18"/>
    </row>
    <row r="3445" spans="1:42" x14ac:dyDescent="0.3">
      <c r="A3445" s="314" t="s">
        <v>1470</v>
      </c>
      <c r="B3445" s="283" t="s">
        <v>1502</v>
      </c>
      <c r="C3445" s="314" t="s">
        <v>1474</v>
      </c>
      <c r="D3445" s="283" t="s">
        <v>1821</v>
      </c>
      <c r="E3445" s="314" t="s">
        <v>1475</v>
      </c>
      <c r="F3445" s="283" t="s">
        <v>1822</v>
      </c>
      <c r="G3445" s="314" t="s">
        <v>1867</v>
      </c>
      <c r="H3445" s="283" t="s">
        <v>1868</v>
      </c>
      <c r="I3445" s="315">
        <v>0</v>
      </c>
      <c r="J3445" s="315">
        <v>0</v>
      </c>
      <c r="K3445" s="318" t="s">
        <v>1874</v>
      </c>
      <c r="L3445" s="283" t="s">
        <v>1875</v>
      </c>
      <c r="M3445" s="1" t="s">
        <v>271</v>
      </c>
      <c r="N3445" s="442">
        <v>0</v>
      </c>
      <c r="O3445" s="430"/>
      <c r="P3445" s="19"/>
      <c r="Q3445" s="152"/>
      <c r="R3445" s="19"/>
      <c r="S3445" s="19"/>
      <c r="T3445" s="10"/>
      <c r="U3445" s="283" t="e">
        <v>#N/A</v>
      </c>
      <c r="V3445" s="283" t="s">
        <v>1876</v>
      </c>
      <c r="AC3445" s="316">
        <v>0</v>
      </c>
      <c r="AD3445" s="316">
        <v>0</v>
      </c>
      <c r="AE3445" s="302">
        <f t="shared" si="129"/>
        <v>0</v>
      </c>
      <c r="AF3445" s="17"/>
      <c r="AG3445" s="17">
        <v>0</v>
      </c>
      <c r="AH3445" s="17">
        <v>0</v>
      </c>
      <c r="AI3445" s="17">
        <v>0</v>
      </c>
      <c r="AJ3445" s="17">
        <v>0</v>
      </c>
      <c r="AK3445" s="153">
        <v>0</v>
      </c>
      <c r="AL3445" s="154">
        <v>0</v>
      </c>
      <c r="AM3445" s="147">
        <f t="shared" si="128"/>
        <v>0</v>
      </c>
      <c r="AN3445" s="10" t="s">
        <v>239</v>
      </c>
      <c r="AO3445" s="18" t="s">
        <v>241</v>
      </c>
      <c r="AP3445" s="283" t="s">
        <v>1855</v>
      </c>
    </row>
    <row r="3446" spans="1:42" x14ac:dyDescent="0.3">
      <c r="A3446" s="314" t="s">
        <v>1470</v>
      </c>
      <c r="B3446" s="283" t="s">
        <v>1502</v>
      </c>
      <c r="C3446" s="314" t="s">
        <v>1474</v>
      </c>
      <c r="D3446" s="283" t="s">
        <v>1821</v>
      </c>
      <c r="E3446" s="314" t="s">
        <v>1475</v>
      </c>
      <c r="F3446" s="283" t="s">
        <v>1822</v>
      </c>
      <c r="G3446" s="314" t="s">
        <v>1867</v>
      </c>
      <c r="H3446" s="283" t="s">
        <v>1868</v>
      </c>
      <c r="I3446" s="315">
        <v>0</v>
      </c>
      <c r="J3446" s="315">
        <v>0</v>
      </c>
      <c r="K3446" s="318" t="s">
        <v>1877</v>
      </c>
      <c r="L3446" s="283" t="s">
        <v>1878</v>
      </c>
      <c r="M3446" s="1" t="s">
        <v>271</v>
      </c>
      <c r="N3446" s="442">
        <v>0</v>
      </c>
      <c r="O3446" s="430"/>
      <c r="P3446" s="19"/>
      <c r="Q3446" s="152"/>
      <c r="R3446" s="19"/>
      <c r="S3446" s="19"/>
      <c r="T3446" s="10"/>
      <c r="U3446" s="283" t="e">
        <v>#N/A</v>
      </c>
      <c r="V3446" s="283" t="s">
        <v>1879</v>
      </c>
      <c r="AC3446" s="316">
        <v>0</v>
      </c>
      <c r="AD3446" s="316">
        <v>0</v>
      </c>
      <c r="AE3446" s="302">
        <f t="shared" si="129"/>
        <v>0</v>
      </c>
      <c r="AF3446" s="17"/>
      <c r="AG3446" s="17">
        <v>0</v>
      </c>
      <c r="AH3446" s="17">
        <v>0</v>
      </c>
      <c r="AI3446" s="17">
        <v>0</v>
      </c>
      <c r="AJ3446" s="17">
        <v>0</v>
      </c>
      <c r="AK3446" s="153">
        <v>0</v>
      </c>
      <c r="AL3446" s="154">
        <v>0</v>
      </c>
      <c r="AM3446" s="147">
        <f t="shared" si="128"/>
        <v>0</v>
      </c>
      <c r="AN3446" s="10" t="s">
        <v>239</v>
      </c>
      <c r="AO3446" s="18" t="s">
        <v>241</v>
      </c>
      <c r="AP3446" s="283" t="s">
        <v>1880</v>
      </c>
    </row>
    <row r="3447" spans="1:42" x14ac:dyDescent="0.3">
      <c r="A3447" s="314" t="s">
        <v>1470</v>
      </c>
      <c r="B3447" s="283" t="s">
        <v>1502</v>
      </c>
      <c r="C3447" s="314" t="s">
        <v>1474</v>
      </c>
      <c r="D3447" s="283" t="s">
        <v>1821</v>
      </c>
      <c r="E3447" s="314" t="s">
        <v>1475</v>
      </c>
      <c r="F3447" s="283" t="s">
        <v>1822</v>
      </c>
      <c r="G3447" s="314" t="s">
        <v>1881</v>
      </c>
      <c r="H3447" s="283" t="s">
        <v>1882</v>
      </c>
      <c r="I3447" s="315">
        <v>0</v>
      </c>
      <c r="J3447" s="315">
        <v>0</v>
      </c>
      <c r="K3447" s="314" t="s">
        <v>1883</v>
      </c>
      <c r="L3447" s="283" t="s">
        <v>1884</v>
      </c>
      <c r="M3447" s="18" t="s">
        <v>1885</v>
      </c>
      <c r="N3447" s="442">
        <v>0</v>
      </c>
      <c r="O3447" s="430">
        <v>6</v>
      </c>
      <c r="P3447" s="19">
        <v>6</v>
      </c>
      <c r="Q3447" s="19">
        <v>6</v>
      </c>
      <c r="R3447" s="19">
        <v>6</v>
      </c>
      <c r="S3447" s="19">
        <v>6</v>
      </c>
      <c r="T3447" s="10" t="s">
        <v>1886</v>
      </c>
      <c r="U3447" s="283" t="e">
        <v>#N/A</v>
      </c>
      <c r="V3447" s="283" t="s">
        <v>1887</v>
      </c>
      <c r="W3447" s="283">
        <v>1</v>
      </c>
      <c r="X3447" s="283">
        <v>0</v>
      </c>
      <c r="Y3447" s="283">
        <v>1</v>
      </c>
      <c r="Z3447" s="283">
        <v>1</v>
      </c>
      <c r="AA3447" s="283">
        <v>1</v>
      </c>
      <c r="AB3447" s="283">
        <v>1</v>
      </c>
      <c r="AC3447" s="316">
        <v>0</v>
      </c>
      <c r="AD3447" s="316">
        <v>1</v>
      </c>
      <c r="AE3447" s="302">
        <f t="shared" si="129"/>
        <v>0.75</v>
      </c>
      <c r="AF3447" s="310">
        <v>0</v>
      </c>
      <c r="AG3447" s="17">
        <v>0</v>
      </c>
      <c r="AH3447" s="310" t="s">
        <v>1888</v>
      </c>
      <c r="AI3447" s="310">
        <v>0.15</v>
      </c>
      <c r="AJ3447" s="310">
        <v>0.15</v>
      </c>
      <c r="AK3447" s="317">
        <v>2</v>
      </c>
      <c r="AL3447" s="317">
        <v>2</v>
      </c>
      <c r="AM3447" s="147">
        <f t="shared" si="128"/>
        <v>4</v>
      </c>
      <c r="AN3447" s="10" t="s">
        <v>1345</v>
      </c>
      <c r="AO3447" s="18" t="s">
        <v>1334</v>
      </c>
      <c r="AP3447" s="283" t="s">
        <v>255</v>
      </c>
    </row>
    <row r="3448" spans="1:42" x14ac:dyDescent="0.3">
      <c r="A3448" s="314" t="s">
        <v>1470</v>
      </c>
      <c r="B3448" s="283" t="s">
        <v>1502</v>
      </c>
      <c r="C3448" s="314" t="s">
        <v>1474</v>
      </c>
      <c r="D3448" s="283" t="s">
        <v>1821</v>
      </c>
      <c r="E3448" s="314" t="s">
        <v>1475</v>
      </c>
      <c r="F3448" s="283" t="s">
        <v>1822</v>
      </c>
      <c r="G3448" s="314" t="s">
        <v>1881</v>
      </c>
      <c r="H3448" s="283" t="s">
        <v>1882</v>
      </c>
      <c r="I3448" s="315">
        <v>0</v>
      </c>
      <c r="J3448" s="315">
        <v>0</v>
      </c>
      <c r="K3448" s="314" t="s">
        <v>1889</v>
      </c>
      <c r="L3448" s="283" t="s">
        <v>1890</v>
      </c>
      <c r="M3448" s="18" t="s">
        <v>1891</v>
      </c>
      <c r="N3448" s="442">
        <v>0</v>
      </c>
      <c r="O3448" s="430">
        <v>139</v>
      </c>
      <c r="P3448" s="19">
        <v>139</v>
      </c>
      <c r="Q3448" s="19">
        <v>139</v>
      </c>
      <c r="R3448" s="19">
        <v>139</v>
      </c>
      <c r="S3448" s="19">
        <v>139</v>
      </c>
      <c r="T3448" s="10" t="s">
        <v>1886</v>
      </c>
      <c r="U3448" s="283" t="e">
        <v>#N/A</v>
      </c>
      <c r="V3448" s="283" t="s">
        <v>1892</v>
      </c>
      <c r="W3448" s="283">
        <v>0</v>
      </c>
      <c r="X3448" s="283">
        <v>0</v>
      </c>
      <c r="Y3448" s="283">
        <v>0</v>
      </c>
      <c r="Z3448" s="283">
        <v>1</v>
      </c>
      <c r="AA3448" s="283">
        <v>1</v>
      </c>
      <c r="AB3448" s="283">
        <v>1</v>
      </c>
      <c r="AC3448" s="316">
        <v>0</v>
      </c>
      <c r="AD3448" s="316">
        <v>1</v>
      </c>
      <c r="AE3448" s="302">
        <f t="shared" si="129"/>
        <v>0.5</v>
      </c>
      <c r="AF3448" s="310">
        <v>0</v>
      </c>
      <c r="AG3448" s="17">
        <v>0</v>
      </c>
      <c r="AH3448" s="310" t="s">
        <v>1888</v>
      </c>
      <c r="AI3448" s="310">
        <v>0.2</v>
      </c>
      <c r="AJ3448" s="310">
        <v>0.2</v>
      </c>
      <c r="AK3448" s="317"/>
      <c r="AL3448" s="317"/>
      <c r="AM3448" s="147">
        <f t="shared" si="128"/>
        <v>0</v>
      </c>
      <c r="AN3448" s="10" t="s">
        <v>1345</v>
      </c>
      <c r="AO3448" s="18" t="s">
        <v>1334</v>
      </c>
      <c r="AP3448" s="283" t="s">
        <v>1893</v>
      </c>
    </row>
    <row r="3449" spans="1:42" x14ac:dyDescent="0.3">
      <c r="A3449" s="314" t="s">
        <v>1470</v>
      </c>
      <c r="B3449" s="283" t="s">
        <v>1502</v>
      </c>
      <c r="C3449" s="314" t="s">
        <v>1474</v>
      </c>
      <c r="D3449" s="283" t="s">
        <v>1821</v>
      </c>
      <c r="E3449" s="314" t="s">
        <v>1475</v>
      </c>
      <c r="F3449" s="283" t="s">
        <v>1822</v>
      </c>
      <c r="G3449" s="314" t="s">
        <v>1881</v>
      </c>
      <c r="H3449" s="283" t="s">
        <v>1882</v>
      </c>
      <c r="I3449" s="315">
        <v>0</v>
      </c>
      <c r="J3449" s="315">
        <v>0</v>
      </c>
      <c r="K3449" s="314" t="s">
        <v>1894</v>
      </c>
      <c r="L3449" s="283" t="s">
        <v>1895</v>
      </c>
      <c r="M3449" s="18" t="s">
        <v>1896</v>
      </c>
      <c r="N3449" s="442">
        <v>0</v>
      </c>
      <c r="O3449" s="430">
        <v>6</v>
      </c>
      <c r="P3449" s="19">
        <v>6</v>
      </c>
      <c r="Q3449" s="19">
        <v>6</v>
      </c>
      <c r="R3449" s="19">
        <v>6</v>
      </c>
      <c r="S3449" s="19">
        <v>6</v>
      </c>
      <c r="T3449" s="10" t="s">
        <v>1886</v>
      </c>
      <c r="U3449" s="283" t="e">
        <v>#N/A</v>
      </c>
      <c r="V3449" s="283" t="s">
        <v>1897</v>
      </c>
      <c r="W3449" s="283">
        <v>0</v>
      </c>
      <c r="X3449" s="283">
        <v>0</v>
      </c>
      <c r="Y3449" s="283">
        <v>0</v>
      </c>
      <c r="Z3449" s="283">
        <v>0</v>
      </c>
      <c r="AA3449" s="283">
        <v>0</v>
      </c>
      <c r="AB3449" s="283">
        <v>0</v>
      </c>
      <c r="AC3449" s="316">
        <v>0</v>
      </c>
      <c r="AD3449" s="316">
        <v>0</v>
      </c>
      <c r="AE3449" s="302">
        <f t="shared" si="129"/>
        <v>0</v>
      </c>
      <c r="AF3449" s="310">
        <v>0</v>
      </c>
      <c r="AG3449" s="17">
        <v>0</v>
      </c>
      <c r="AH3449" s="310" t="s">
        <v>1888</v>
      </c>
      <c r="AI3449" s="310">
        <v>0.16</v>
      </c>
      <c r="AJ3449" s="310">
        <v>0.16</v>
      </c>
      <c r="AK3449" s="317"/>
      <c r="AL3449" s="317"/>
      <c r="AM3449" s="147">
        <f t="shared" si="128"/>
        <v>0</v>
      </c>
      <c r="AN3449" s="10" t="s">
        <v>1345</v>
      </c>
      <c r="AO3449" s="18" t="s">
        <v>1334</v>
      </c>
      <c r="AP3449" s="283" t="s">
        <v>1898</v>
      </c>
    </row>
    <row r="3450" spans="1:42" x14ac:dyDescent="0.3">
      <c r="A3450" s="314" t="s">
        <v>1470</v>
      </c>
      <c r="B3450" s="283" t="s">
        <v>1502</v>
      </c>
      <c r="C3450" s="314" t="s">
        <v>1474</v>
      </c>
      <c r="D3450" s="283" t="s">
        <v>1821</v>
      </c>
      <c r="E3450" s="314" t="s">
        <v>1475</v>
      </c>
      <c r="F3450" s="283" t="s">
        <v>1822</v>
      </c>
      <c r="G3450" s="314" t="s">
        <v>1881</v>
      </c>
      <c r="H3450" s="283" t="s">
        <v>1882</v>
      </c>
      <c r="I3450" s="315">
        <v>0</v>
      </c>
      <c r="J3450" s="315">
        <v>0</v>
      </c>
      <c r="K3450" s="314" t="s">
        <v>1899</v>
      </c>
      <c r="L3450" s="283" t="s">
        <v>1900</v>
      </c>
      <c r="M3450" s="18" t="s">
        <v>1901</v>
      </c>
      <c r="N3450" s="442">
        <v>0</v>
      </c>
      <c r="O3450" s="430" t="s">
        <v>271</v>
      </c>
      <c r="P3450" s="19" t="s">
        <v>271</v>
      </c>
      <c r="Q3450" s="19"/>
      <c r="R3450" s="19"/>
      <c r="S3450" s="19">
        <v>1</v>
      </c>
      <c r="T3450" s="10" t="s">
        <v>1886</v>
      </c>
      <c r="U3450" s="283" t="e">
        <v>#N/A</v>
      </c>
      <c r="V3450" s="283" t="s">
        <v>1902</v>
      </c>
      <c r="W3450" s="283">
        <v>1</v>
      </c>
      <c r="X3450" s="283">
        <v>0</v>
      </c>
      <c r="Y3450" s="283">
        <v>0</v>
      </c>
      <c r="Z3450" s="283">
        <v>1</v>
      </c>
      <c r="AA3450" s="283">
        <v>1</v>
      </c>
      <c r="AB3450" s="283">
        <v>1</v>
      </c>
      <c r="AC3450" s="316">
        <v>0</v>
      </c>
      <c r="AD3450" s="316">
        <v>1</v>
      </c>
      <c r="AE3450" s="302">
        <f t="shared" si="129"/>
        <v>0.625</v>
      </c>
      <c r="AF3450" s="310">
        <v>0</v>
      </c>
      <c r="AG3450" s="17">
        <v>0</v>
      </c>
      <c r="AH3450" s="310" t="s">
        <v>1888</v>
      </c>
      <c r="AI3450" s="310" t="s">
        <v>1903</v>
      </c>
      <c r="AJ3450" s="310">
        <v>1</v>
      </c>
      <c r="AK3450" s="317">
        <v>1</v>
      </c>
      <c r="AL3450" s="317">
        <v>1</v>
      </c>
      <c r="AM3450" s="147">
        <f t="shared" si="128"/>
        <v>2</v>
      </c>
      <c r="AN3450" s="10" t="s">
        <v>1345</v>
      </c>
      <c r="AO3450" s="18" t="s">
        <v>1334</v>
      </c>
      <c r="AP3450" s="283" t="s">
        <v>1898</v>
      </c>
    </row>
    <row r="3451" spans="1:42" x14ac:dyDescent="0.3">
      <c r="A3451" s="314" t="s">
        <v>1470</v>
      </c>
      <c r="B3451" s="283" t="s">
        <v>1502</v>
      </c>
      <c r="C3451" s="314" t="s">
        <v>1474</v>
      </c>
      <c r="D3451" s="283" t="s">
        <v>1821</v>
      </c>
      <c r="E3451" s="314" t="s">
        <v>1475</v>
      </c>
      <c r="F3451" s="283" t="s">
        <v>1822</v>
      </c>
      <c r="G3451" s="314" t="s">
        <v>1881</v>
      </c>
      <c r="H3451" s="283" t="s">
        <v>1882</v>
      </c>
      <c r="I3451" s="315">
        <v>0</v>
      </c>
      <c r="J3451" s="315">
        <v>0</v>
      </c>
      <c r="K3451" s="314" t="s">
        <v>1904</v>
      </c>
      <c r="L3451" s="283" t="s">
        <v>1905</v>
      </c>
      <c r="M3451" s="18" t="s">
        <v>1906</v>
      </c>
      <c r="N3451" s="442">
        <v>0</v>
      </c>
      <c r="O3451" s="430" t="s">
        <v>271</v>
      </c>
      <c r="P3451" s="19">
        <v>8</v>
      </c>
      <c r="Q3451" s="19">
        <v>8</v>
      </c>
      <c r="R3451" s="19">
        <v>8</v>
      </c>
      <c r="S3451" s="19">
        <v>10</v>
      </c>
      <c r="T3451" s="10" t="s">
        <v>1886</v>
      </c>
      <c r="U3451" s="283" t="e">
        <v>#N/A</v>
      </c>
      <c r="V3451" s="283" t="s">
        <v>1907</v>
      </c>
      <c r="W3451" s="283">
        <v>0</v>
      </c>
      <c r="X3451" s="283">
        <v>0</v>
      </c>
      <c r="Y3451" s="283">
        <v>0</v>
      </c>
      <c r="Z3451" s="283">
        <v>0</v>
      </c>
      <c r="AA3451" s="283">
        <v>0</v>
      </c>
      <c r="AB3451" s="283">
        <v>0</v>
      </c>
      <c r="AC3451" s="316">
        <v>0</v>
      </c>
      <c r="AD3451" s="316">
        <v>0</v>
      </c>
      <c r="AE3451" s="302">
        <f t="shared" si="129"/>
        <v>0</v>
      </c>
      <c r="AF3451" s="310">
        <v>0</v>
      </c>
      <c r="AG3451" s="17">
        <v>0</v>
      </c>
      <c r="AH3451" s="310" t="s">
        <v>1888</v>
      </c>
      <c r="AI3451" s="310">
        <v>0.08</v>
      </c>
      <c r="AJ3451" s="310">
        <v>0.08</v>
      </c>
      <c r="AK3451" s="317"/>
      <c r="AL3451" s="317"/>
      <c r="AM3451" s="147">
        <f t="shared" si="128"/>
        <v>0</v>
      </c>
      <c r="AN3451" s="10" t="s">
        <v>1345</v>
      </c>
      <c r="AO3451" s="18" t="s">
        <v>1334</v>
      </c>
      <c r="AP3451" s="283" t="s">
        <v>1898</v>
      </c>
    </row>
    <row r="3452" spans="1:42" x14ac:dyDescent="0.3">
      <c r="A3452" s="314" t="s">
        <v>1470</v>
      </c>
      <c r="B3452" s="283" t="s">
        <v>1502</v>
      </c>
      <c r="C3452" s="314" t="s">
        <v>1474</v>
      </c>
      <c r="D3452" s="283" t="s">
        <v>1821</v>
      </c>
      <c r="E3452" s="314" t="s">
        <v>1475</v>
      </c>
      <c r="F3452" s="283" t="s">
        <v>1822</v>
      </c>
      <c r="G3452" s="314" t="s">
        <v>1881</v>
      </c>
      <c r="H3452" s="283" t="s">
        <v>1882</v>
      </c>
      <c r="I3452" s="315">
        <v>0</v>
      </c>
      <c r="J3452" s="315">
        <v>0</v>
      </c>
      <c r="K3452" s="314" t="s">
        <v>1908</v>
      </c>
      <c r="L3452" s="283" t="s">
        <v>1909</v>
      </c>
      <c r="M3452" s="18" t="s">
        <v>1910</v>
      </c>
      <c r="N3452" s="442">
        <v>0</v>
      </c>
      <c r="O3452" s="430"/>
      <c r="P3452" s="19">
        <v>1</v>
      </c>
      <c r="Q3452" s="19" t="s">
        <v>271</v>
      </c>
      <c r="R3452" s="19" t="s">
        <v>271</v>
      </c>
      <c r="S3452" s="19" t="s">
        <v>271</v>
      </c>
      <c r="T3452" s="10" t="s">
        <v>1762</v>
      </c>
      <c r="U3452" s="283" t="e">
        <v>#N/A</v>
      </c>
      <c r="V3452" s="283" t="s">
        <v>1911</v>
      </c>
      <c r="W3452" s="283">
        <v>0</v>
      </c>
      <c r="X3452" s="283">
        <v>0</v>
      </c>
      <c r="Y3452" s="283">
        <v>0</v>
      </c>
      <c r="Z3452" s="283">
        <v>0</v>
      </c>
      <c r="AA3452" s="283">
        <v>0</v>
      </c>
      <c r="AB3452" s="283">
        <v>0</v>
      </c>
      <c r="AC3452" s="316">
        <v>0</v>
      </c>
      <c r="AD3452" s="316">
        <v>0</v>
      </c>
      <c r="AE3452" s="302">
        <f t="shared" si="129"/>
        <v>0</v>
      </c>
      <c r="AF3452" s="17">
        <v>0</v>
      </c>
      <c r="AG3452" s="17">
        <v>0</v>
      </c>
      <c r="AH3452" s="17">
        <v>0</v>
      </c>
      <c r="AI3452" s="310">
        <v>0.1</v>
      </c>
      <c r="AJ3452" s="310" t="s">
        <v>1903</v>
      </c>
      <c r="AK3452" s="317" t="s">
        <v>1903</v>
      </c>
      <c r="AL3452" s="317" t="s">
        <v>1903</v>
      </c>
      <c r="AM3452" s="147">
        <f t="shared" si="128"/>
        <v>0</v>
      </c>
      <c r="AN3452" s="283" t="s">
        <v>1775</v>
      </c>
      <c r="AO3452" s="18" t="s">
        <v>1776</v>
      </c>
      <c r="AP3452" s="283" t="s">
        <v>1912</v>
      </c>
    </row>
    <row r="3453" spans="1:42" x14ac:dyDescent="0.3">
      <c r="A3453" s="314" t="s">
        <v>1470</v>
      </c>
      <c r="B3453" s="283" t="s">
        <v>1502</v>
      </c>
      <c r="C3453" s="314" t="s">
        <v>1474</v>
      </c>
      <c r="D3453" s="283" t="s">
        <v>1821</v>
      </c>
      <c r="E3453" s="314" t="s">
        <v>1475</v>
      </c>
      <c r="F3453" s="283" t="s">
        <v>1822</v>
      </c>
      <c r="G3453" s="314" t="s">
        <v>1881</v>
      </c>
      <c r="H3453" s="283" t="s">
        <v>1882</v>
      </c>
      <c r="I3453" s="315">
        <v>0</v>
      </c>
      <c r="J3453" s="315">
        <v>0</v>
      </c>
      <c r="K3453" s="314" t="s">
        <v>1908</v>
      </c>
      <c r="L3453" s="283" t="s">
        <v>1909</v>
      </c>
      <c r="M3453" s="18" t="s">
        <v>1913</v>
      </c>
      <c r="N3453" s="442">
        <v>0</v>
      </c>
      <c r="O3453" s="430" t="s">
        <v>271</v>
      </c>
      <c r="P3453" s="19">
        <v>100</v>
      </c>
      <c r="Q3453" s="19">
        <v>100</v>
      </c>
      <c r="R3453" s="19">
        <v>100</v>
      </c>
      <c r="S3453" s="19">
        <v>100</v>
      </c>
      <c r="T3453" s="10" t="s">
        <v>1762</v>
      </c>
      <c r="U3453" s="283" t="e">
        <v>#N/A</v>
      </c>
      <c r="V3453" s="283" t="s">
        <v>1914</v>
      </c>
      <c r="W3453" s="283">
        <v>0</v>
      </c>
      <c r="X3453" s="283">
        <v>0</v>
      </c>
      <c r="Y3453" s="283">
        <v>0</v>
      </c>
      <c r="Z3453" s="283">
        <v>0</v>
      </c>
      <c r="AA3453" s="283">
        <v>0</v>
      </c>
      <c r="AB3453" s="283">
        <v>0</v>
      </c>
      <c r="AC3453" s="316">
        <v>0</v>
      </c>
      <c r="AD3453" s="316">
        <v>0</v>
      </c>
      <c r="AE3453" s="302">
        <f t="shared" si="129"/>
        <v>0</v>
      </c>
      <c r="AF3453" s="310">
        <v>0</v>
      </c>
      <c r="AG3453" s="17">
        <v>0</v>
      </c>
      <c r="AH3453" s="310" t="s">
        <v>1888</v>
      </c>
      <c r="AI3453" s="310">
        <v>0.2</v>
      </c>
      <c r="AJ3453" s="310">
        <v>0.2</v>
      </c>
      <c r="AK3453" s="317"/>
      <c r="AL3453" s="317"/>
      <c r="AM3453" s="147">
        <f t="shared" si="128"/>
        <v>0</v>
      </c>
      <c r="AN3453" s="283" t="s">
        <v>1775</v>
      </c>
      <c r="AO3453" s="18" t="s">
        <v>1776</v>
      </c>
      <c r="AP3453" s="283" t="s">
        <v>1915</v>
      </c>
    </row>
    <row r="3454" spans="1:42" x14ac:dyDescent="0.3">
      <c r="A3454" s="314" t="s">
        <v>1470</v>
      </c>
      <c r="B3454" s="283" t="s">
        <v>1502</v>
      </c>
      <c r="C3454" s="314" t="s">
        <v>1474</v>
      </c>
      <c r="D3454" s="283" t="s">
        <v>1821</v>
      </c>
      <c r="E3454" s="314" t="s">
        <v>1475</v>
      </c>
      <c r="F3454" s="283" t="s">
        <v>1822</v>
      </c>
      <c r="G3454" s="314" t="s">
        <v>1916</v>
      </c>
      <c r="H3454" s="283" t="s">
        <v>1917</v>
      </c>
      <c r="I3454" s="315">
        <v>0</v>
      </c>
      <c r="J3454" s="315">
        <v>0</v>
      </c>
      <c r="K3454" s="314" t="s">
        <v>1918</v>
      </c>
      <c r="L3454" s="283" t="s">
        <v>1919</v>
      </c>
      <c r="M3454" s="18" t="s">
        <v>1920</v>
      </c>
      <c r="N3454" s="442">
        <v>0</v>
      </c>
      <c r="O3454" s="430">
        <v>6</v>
      </c>
      <c r="P3454" s="19">
        <v>6</v>
      </c>
      <c r="Q3454" s="19">
        <v>6</v>
      </c>
      <c r="R3454" s="19">
        <v>6</v>
      </c>
      <c r="S3454" s="19">
        <v>6</v>
      </c>
      <c r="T3454" s="10" t="s">
        <v>1762</v>
      </c>
      <c r="U3454" s="283" t="e">
        <v>#N/A</v>
      </c>
      <c r="V3454" s="283" t="s">
        <v>1921</v>
      </c>
      <c r="W3454" s="283">
        <v>1</v>
      </c>
      <c r="X3454" s="283">
        <v>0</v>
      </c>
      <c r="Y3454" s="283">
        <v>0</v>
      </c>
      <c r="Z3454" s="283">
        <v>1</v>
      </c>
      <c r="AA3454" s="283">
        <v>1</v>
      </c>
      <c r="AB3454" s="283">
        <v>1</v>
      </c>
      <c r="AC3454" s="316">
        <v>1</v>
      </c>
      <c r="AD3454" s="316">
        <v>1</v>
      </c>
      <c r="AE3454" s="302">
        <f t="shared" si="129"/>
        <v>0.75</v>
      </c>
      <c r="AF3454" s="310">
        <v>0</v>
      </c>
      <c r="AG3454" s="17">
        <v>0</v>
      </c>
      <c r="AH3454" s="310">
        <v>0.1</v>
      </c>
      <c r="AI3454" s="310">
        <v>0.05</v>
      </c>
      <c r="AJ3454" s="310">
        <v>0.05</v>
      </c>
      <c r="AK3454" s="317">
        <v>0.05</v>
      </c>
      <c r="AL3454" s="317">
        <v>0.05</v>
      </c>
      <c r="AM3454" s="147">
        <f t="shared" si="128"/>
        <v>0.1</v>
      </c>
      <c r="AN3454" s="283" t="s">
        <v>1775</v>
      </c>
      <c r="AO3454" s="18" t="s">
        <v>1776</v>
      </c>
      <c r="AP3454" s="283" t="s">
        <v>1829</v>
      </c>
    </row>
    <row r="3455" spans="1:42" x14ac:dyDescent="0.3">
      <c r="A3455" s="314" t="s">
        <v>1470</v>
      </c>
      <c r="B3455" s="283" t="s">
        <v>1502</v>
      </c>
      <c r="C3455" s="314" t="s">
        <v>1474</v>
      </c>
      <c r="D3455" s="283" t="s">
        <v>1821</v>
      </c>
      <c r="E3455" s="314" t="s">
        <v>1475</v>
      </c>
      <c r="F3455" s="283" t="s">
        <v>1822</v>
      </c>
      <c r="G3455" s="314" t="s">
        <v>1916</v>
      </c>
      <c r="H3455" s="283" t="s">
        <v>1917</v>
      </c>
      <c r="I3455" s="315">
        <v>0</v>
      </c>
      <c r="J3455" s="315">
        <v>0</v>
      </c>
      <c r="K3455" s="314" t="s">
        <v>1922</v>
      </c>
      <c r="L3455" s="283" t="s">
        <v>1923</v>
      </c>
      <c r="M3455" s="18" t="s">
        <v>1924</v>
      </c>
      <c r="N3455" s="442">
        <v>0</v>
      </c>
      <c r="O3455" s="430">
        <v>20</v>
      </c>
      <c r="P3455" s="19">
        <v>20</v>
      </c>
      <c r="Q3455" s="19">
        <v>20</v>
      </c>
      <c r="R3455" s="19">
        <v>20</v>
      </c>
      <c r="S3455" s="19">
        <v>20</v>
      </c>
      <c r="T3455" s="10" t="s">
        <v>1762</v>
      </c>
      <c r="U3455" s="283" t="e">
        <v>#N/A</v>
      </c>
      <c r="V3455" s="283" t="s">
        <v>1925</v>
      </c>
      <c r="W3455" s="283">
        <v>1</v>
      </c>
      <c r="X3455" s="283">
        <v>0</v>
      </c>
      <c r="Y3455" s="283">
        <v>0</v>
      </c>
      <c r="Z3455" s="283">
        <v>1</v>
      </c>
      <c r="AA3455" s="283">
        <v>1</v>
      </c>
      <c r="AB3455" s="283">
        <v>1</v>
      </c>
      <c r="AC3455" s="316">
        <v>1</v>
      </c>
      <c r="AD3455" s="316">
        <v>1</v>
      </c>
      <c r="AE3455" s="302">
        <f t="shared" si="129"/>
        <v>0.75</v>
      </c>
      <c r="AF3455" s="310">
        <v>0</v>
      </c>
      <c r="AG3455" s="17">
        <v>0</v>
      </c>
      <c r="AH3455" s="310">
        <v>0</v>
      </c>
      <c r="AI3455" s="310">
        <v>0</v>
      </c>
      <c r="AJ3455" s="310">
        <v>0</v>
      </c>
      <c r="AK3455" s="317">
        <v>0</v>
      </c>
      <c r="AL3455" s="317">
        <v>0</v>
      </c>
      <c r="AM3455" s="147">
        <f t="shared" si="128"/>
        <v>0</v>
      </c>
      <c r="AN3455" s="283" t="s">
        <v>1775</v>
      </c>
      <c r="AO3455" s="18" t="s">
        <v>1776</v>
      </c>
      <c r="AP3455" s="283" t="s">
        <v>1926</v>
      </c>
    </row>
    <row r="3456" spans="1:42" x14ac:dyDescent="0.3">
      <c r="A3456" s="314" t="s">
        <v>1470</v>
      </c>
      <c r="B3456" s="283" t="s">
        <v>1502</v>
      </c>
      <c r="C3456" s="314" t="s">
        <v>1474</v>
      </c>
      <c r="D3456" s="283" t="s">
        <v>1821</v>
      </c>
      <c r="E3456" s="314" t="s">
        <v>1475</v>
      </c>
      <c r="F3456" s="283" t="s">
        <v>1822</v>
      </c>
      <c r="G3456" s="314" t="s">
        <v>1916</v>
      </c>
      <c r="H3456" s="283" t="s">
        <v>1917</v>
      </c>
      <c r="I3456" s="315">
        <v>0</v>
      </c>
      <c r="J3456" s="315">
        <v>0</v>
      </c>
      <c r="K3456" s="314" t="s">
        <v>1927</v>
      </c>
      <c r="L3456" s="283" t="s">
        <v>1928</v>
      </c>
      <c r="M3456" s="18" t="s">
        <v>1929</v>
      </c>
      <c r="N3456" s="442">
        <v>0</v>
      </c>
      <c r="O3456" s="430">
        <v>4</v>
      </c>
      <c r="P3456" s="19">
        <v>4</v>
      </c>
      <c r="Q3456" s="19">
        <v>4</v>
      </c>
      <c r="R3456" s="19">
        <v>4</v>
      </c>
      <c r="S3456" s="19">
        <v>4</v>
      </c>
      <c r="T3456" s="10" t="s">
        <v>1930</v>
      </c>
      <c r="U3456" s="283" t="e">
        <v>#N/A</v>
      </c>
      <c r="V3456" s="283" t="s">
        <v>1931</v>
      </c>
      <c r="W3456" s="283">
        <v>1</v>
      </c>
      <c r="X3456" s="283">
        <v>0</v>
      </c>
      <c r="Y3456" s="283">
        <v>0</v>
      </c>
      <c r="Z3456" s="283">
        <v>1</v>
      </c>
      <c r="AA3456" s="283">
        <v>1</v>
      </c>
      <c r="AB3456" s="283">
        <v>1</v>
      </c>
      <c r="AC3456" s="316">
        <v>1</v>
      </c>
      <c r="AD3456" s="316">
        <v>1</v>
      </c>
      <c r="AE3456" s="302">
        <f t="shared" si="129"/>
        <v>0.75</v>
      </c>
      <c r="AF3456" s="310">
        <v>0</v>
      </c>
      <c r="AG3456" s="17">
        <v>0</v>
      </c>
      <c r="AH3456" s="310">
        <v>0.2</v>
      </c>
      <c r="AI3456" s="310">
        <v>0.2</v>
      </c>
      <c r="AJ3456" s="310">
        <v>0.2</v>
      </c>
      <c r="AK3456" s="317">
        <v>0.2</v>
      </c>
      <c r="AL3456" s="317">
        <v>0.2</v>
      </c>
      <c r="AM3456" s="147">
        <f t="shared" si="128"/>
        <v>0.4</v>
      </c>
      <c r="AN3456" s="283" t="s">
        <v>723</v>
      </c>
      <c r="AO3456" s="18" t="s">
        <v>729</v>
      </c>
      <c r="AP3456" s="283" t="s">
        <v>1775</v>
      </c>
    </row>
    <row r="3457" spans="1:42" x14ac:dyDescent="0.3">
      <c r="A3457" s="314" t="s">
        <v>1470</v>
      </c>
      <c r="B3457" s="283" t="s">
        <v>1502</v>
      </c>
      <c r="C3457" s="314" t="s">
        <v>1474</v>
      </c>
      <c r="D3457" s="283" t="s">
        <v>1821</v>
      </c>
      <c r="E3457" s="314" t="s">
        <v>1475</v>
      </c>
      <c r="F3457" s="283" t="s">
        <v>1822</v>
      </c>
      <c r="G3457" s="314" t="s">
        <v>1916</v>
      </c>
      <c r="H3457" s="283" t="s">
        <v>1917</v>
      </c>
      <c r="I3457" s="315">
        <v>0</v>
      </c>
      <c r="J3457" s="315">
        <v>0</v>
      </c>
      <c r="K3457" s="314" t="s">
        <v>1932</v>
      </c>
      <c r="L3457" s="283" t="s">
        <v>1933</v>
      </c>
      <c r="M3457" s="18" t="s">
        <v>1934</v>
      </c>
      <c r="N3457" s="442">
        <v>0</v>
      </c>
      <c r="O3457" s="430">
        <v>114</v>
      </c>
      <c r="P3457" s="19">
        <v>114</v>
      </c>
      <c r="Q3457" s="19">
        <v>114</v>
      </c>
      <c r="R3457" s="19">
        <v>114</v>
      </c>
      <c r="S3457" s="19">
        <v>114</v>
      </c>
      <c r="T3457" s="10" t="s">
        <v>1727</v>
      </c>
      <c r="U3457" s="283" t="e">
        <v>#N/A</v>
      </c>
      <c r="V3457" s="283" t="s">
        <v>1935</v>
      </c>
      <c r="W3457" s="283">
        <v>1</v>
      </c>
      <c r="X3457" s="283">
        <v>0</v>
      </c>
      <c r="Y3457" s="283">
        <v>0</v>
      </c>
      <c r="Z3457" s="283">
        <v>1</v>
      </c>
      <c r="AA3457" s="283">
        <v>1</v>
      </c>
      <c r="AB3457" s="283">
        <v>1</v>
      </c>
      <c r="AC3457" s="316">
        <v>1</v>
      </c>
      <c r="AD3457" s="316">
        <v>1</v>
      </c>
      <c r="AE3457" s="302">
        <f t="shared" si="129"/>
        <v>0.75</v>
      </c>
      <c r="AF3457" s="310">
        <v>0</v>
      </c>
      <c r="AG3457" s="17">
        <v>0</v>
      </c>
      <c r="AH3457" s="310">
        <v>0</v>
      </c>
      <c r="AI3457" s="310">
        <v>0</v>
      </c>
      <c r="AJ3457" s="310">
        <v>3</v>
      </c>
      <c r="AK3457" s="317">
        <v>5</v>
      </c>
      <c r="AL3457" s="317">
        <v>5</v>
      </c>
      <c r="AM3457" s="147">
        <f t="shared" si="128"/>
        <v>10</v>
      </c>
      <c r="AN3457" s="283" t="s">
        <v>1610</v>
      </c>
      <c r="AO3457" s="18" t="s">
        <v>773</v>
      </c>
      <c r="AP3457" s="283" t="s">
        <v>119</v>
      </c>
    </row>
    <row r="3458" spans="1:42" x14ac:dyDescent="0.3">
      <c r="A3458" s="314" t="s">
        <v>1470</v>
      </c>
      <c r="B3458" s="283" t="s">
        <v>1502</v>
      </c>
      <c r="C3458" s="314" t="s">
        <v>1474</v>
      </c>
      <c r="D3458" s="283" t="s">
        <v>1821</v>
      </c>
      <c r="E3458" s="314" t="s">
        <v>1475</v>
      </c>
      <c r="F3458" s="283" t="s">
        <v>1822</v>
      </c>
      <c r="G3458" s="314" t="s">
        <v>1936</v>
      </c>
      <c r="H3458" s="283" t="s">
        <v>1937</v>
      </c>
      <c r="I3458" s="315">
        <v>0</v>
      </c>
      <c r="J3458" s="315">
        <v>0</v>
      </c>
      <c r="K3458" s="314" t="s">
        <v>1938</v>
      </c>
      <c r="L3458" s="283" t="s">
        <v>1939</v>
      </c>
      <c r="M3458" s="18" t="s">
        <v>1940</v>
      </c>
      <c r="N3458" s="442">
        <v>0</v>
      </c>
      <c r="O3458" s="430">
        <v>10</v>
      </c>
      <c r="P3458" s="19">
        <v>10</v>
      </c>
      <c r="Q3458" s="19">
        <v>10</v>
      </c>
      <c r="R3458" s="19">
        <v>10</v>
      </c>
      <c r="S3458" s="19">
        <v>10</v>
      </c>
      <c r="T3458" s="10" t="s">
        <v>1941</v>
      </c>
      <c r="U3458" s="283" t="e">
        <v>#N/A</v>
      </c>
      <c r="V3458" s="283" t="s">
        <v>1942</v>
      </c>
      <c r="AC3458" s="316">
        <v>0</v>
      </c>
      <c r="AD3458" s="316">
        <v>0</v>
      </c>
      <c r="AE3458" s="302">
        <f t="shared" si="129"/>
        <v>0</v>
      </c>
      <c r="AF3458" s="310"/>
      <c r="AG3458" s="17">
        <v>0</v>
      </c>
      <c r="AH3458" s="310">
        <v>0.2</v>
      </c>
      <c r="AI3458" s="310">
        <v>0.2</v>
      </c>
      <c r="AJ3458" s="310">
        <v>0.2</v>
      </c>
      <c r="AK3458" s="317"/>
      <c r="AL3458" s="317"/>
      <c r="AM3458" s="147">
        <f t="shared" si="128"/>
        <v>0</v>
      </c>
      <c r="AN3458" s="283" t="s">
        <v>280</v>
      </c>
      <c r="AO3458" s="18" t="s">
        <v>1151</v>
      </c>
      <c r="AP3458" s="283" t="s">
        <v>1943</v>
      </c>
    </row>
    <row r="3459" spans="1:42" x14ac:dyDescent="0.3">
      <c r="A3459" s="314" t="s">
        <v>1470</v>
      </c>
      <c r="B3459" s="283" t="s">
        <v>1502</v>
      </c>
      <c r="C3459" s="314" t="s">
        <v>1474</v>
      </c>
      <c r="D3459" s="283" t="s">
        <v>1821</v>
      </c>
      <c r="E3459" s="314" t="s">
        <v>1475</v>
      </c>
      <c r="F3459" s="283" t="s">
        <v>1822</v>
      </c>
      <c r="G3459" s="314" t="s">
        <v>1936</v>
      </c>
      <c r="H3459" s="283" t="s">
        <v>1937</v>
      </c>
      <c r="I3459" s="315">
        <v>0</v>
      </c>
      <c r="J3459" s="315">
        <v>0</v>
      </c>
      <c r="K3459" s="314" t="s">
        <v>1944</v>
      </c>
      <c r="L3459" s="283" t="s">
        <v>1945</v>
      </c>
      <c r="M3459" s="18" t="s">
        <v>1946</v>
      </c>
      <c r="N3459" s="442">
        <v>0</v>
      </c>
      <c r="O3459" s="430">
        <v>10</v>
      </c>
      <c r="P3459" s="19">
        <v>10</v>
      </c>
      <c r="Q3459" s="19">
        <v>10</v>
      </c>
      <c r="R3459" s="19">
        <v>10</v>
      </c>
      <c r="S3459" s="19">
        <v>10</v>
      </c>
      <c r="T3459" s="10" t="s">
        <v>1941</v>
      </c>
      <c r="U3459" s="283" t="e">
        <v>#N/A</v>
      </c>
      <c r="V3459" s="283" t="s">
        <v>1947</v>
      </c>
      <c r="AC3459" s="316">
        <v>0</v>
      </c>
      <c r="AD3459" s="316">
        <v>0</v>
      </c>
      <c r="AE3459" s="302">
        <f t="shared" si="129"/>
        <v>0</v>
      </c>
      <c r="AF3459" s="310"/>
      <c r="AG3459" s="17">
        <v>0</v>
      </c>
      <c r="AH3459" s="310">
        <v>0.4</v>
      </c>
      <c r="AI3459" s="310">
        <v>0.4</v>
      </c>
      <c r="AJ3459" s="310">
        <v>0.4</v>
      </c>
      <c r="AK3459" s="317"/>
      <c r="AL3459" s="317"/>
      <c r="AM3459" s="147">
        <f t="shared" si="128"/>
        <v>0</v>
      </c>
      <c r="AN3459" s="283" t="s">
        <v>280</v>
      </c>
      <c r="AO3459" s="18" t="s">
        <v>1151</v>
      </c>
      <c r="AP3459" s="283" t="s">
        <v>1943</v>
      </c>
    </row>
    <row r="3460" spans="1:42" x14ac:dyDescent="0.3">
      <c r="A3460" s="314" t="s">
        <v>1470</v>
      </c>
      <c r="B3460" s="283" t="s">
        <v>1502</v>
      </c>
      <c r="C3460" s="314" t="s">
        <v>1474</v>
      </c>
      <c r="D3460" s="283" t="s">
        <v>1821</v>
      </c>
      <c r="E3460" s="314" t="s">
        <v>1475</v>
      </c>
      <c r="F3460" s="283" t="s">
        <v>1822</v>
      </c>
      <c r="G3460" s="314" t="s">
        <v>1936</v>
      </c>
      <c r="H3460" s="283" t="s">
        <v>1937</v>
      </c>
      <c r="I3460" s="315">
        <v>0</v>
      </c>
      <c r="J3460" s="315">
        <v>0</v>
      </c>
      <c r="K3460" s="314" t="s">
        <v>1948</v>
      </c>
      <c r="L3460" s="283" t="s">
        <v>1949</v>
      </c>
      <c r="M3460" s="18" t="s">
        <v>1950</v>
      </c>
      <c r="N3460" s="442">
        <v>0</v>
      </c>
      <c r="O3460" s="430">
        <v>441</v>
      </c>
      <c r="P3460" s="19">
        <v>441</v>
      </c>
      <c r="Q3460" s="19">
        <v>441</v>
      </c>
      <c r="R3460" s="19">
        <v>441</v>
      </c>
      <c r="S3460" s="19">
        <v>441</v>
      </c>
      <c r="T3460" s="10" t="s">
        <v>1727</v>
      </c>
      <c r="U3460" s="283" t="e">
        <v>#N/A</v>
      </c>
      <c r="V3460" s="283" t="s">
        <v>1951</v>
      </c>
      <c r="W3460" s="283">
        <v>0</v>
      </c>
      <c r="X3460" s="283">
        <v>0</v>
      </c>
      <c r="Y3460" s="283">
        <v>0</v>
      </c>
      <c r="Z3460" s="283">
        <v>0</v>
      </c>
      <c r="AA3460" s="283">
        <v>0</v>
      </c>
      <c r="AB3460" s="283">
        <v>0</v>
      </c>
      <c r="AC3460" s="316">
        <v>0</v>
      </c>
      <c r="AD3460" s="316">
        <v>0</v>
      </c>
      <c r="AE3460" s="302">
        <f t="shared" si="129"/>
        <v>0</v>
      </c>
      <c r="AF3460" s="310">
        <v>0</v>
      </c>
      <c r="AG3460" s="17">
        <v>0</v>
      </c>
      <c r="AH3460" s="310">
        <v>0</v>
      </c>
      <c r="AI3460" s="310">
        <v>0</v>
      </c>
      <c r="AJ3460" s="310">
        <v>1</v>
      </c>
      <c r="AK3460" s="317"/>
      <c r="AL3460" s="317"/>
      <c r="AM3460" s="147">
        <f t="shared" si="128"/>
        <v>0</v>
      </c>
      <c r="AN3460" s="283" t="s">
        <v>1610</v>
      </c>
      <c r="AO3460" s="18" t="s">
        <v>773</v>
      </c>
      <c r="AP3460" s="283" t="s">
        <v>119</v>
      </c>
    </row>
    <row r="3461" spans="1:42" x14ac:dyDescent="0.3">
      <c r="A3461" s="314" t="s">
        <v>1470</v>
      </c>
      <c r="B3461" s="283" t="s">
        <v>1502</v>
      </c>
      <c r="C3461" s="314" t="s">
        <v>1474</v>
      </c>
      <c r="D3461" s="283" t="s">
        <v>1821</v>
      </c>
      <c r="E3461" s="314" t="s">
        <v>1476</v>
      </c>
      <c r="F3461" s="283" t="s">
        <v>1952</v>
      </c>
      <c r="G3461" s="314" t="s">
        <v>1953</v>
      </c>
      <c r="H3461" s="283" t="s">
        <v>1954</v>
      </c>
      <c r="I3461" s="315">
        <v>0</v>
      </c>
      <c r="J3461" s="315">
        <v>0</v>
      </c>
      <c r="K3461" s="314" t="s">
        <v>1955</v>
      </c>
      <c r="L3461" s="283" t="s">
        <v>1956</v>
      </c>
      <c r="M3461" s="1" t="s">
        <v>1957</v>
      </c>
      <c r="N3461" s="442">
        <v>0</v>
      </c>
      <c r="O3461" s="442"/>
      <c r="P3461" s="149"/>
      <c r="Q3461" s="149"/>
      <c r="R3461" s="149">
        <v>200</v>
      </c>
      <c r="S3461" s="19">
        <v>200</v>
      </c>
      <c r="T3461" s="18" t="s">
        <v>771</v>
      </c>
      <c r="U3461" s="283" t="s">
        <v>773</v>
      </c>
      <c r="V3461" s="283" t="s">
        <v>1958</v>
      </c>
      <c r="W3461" s="283">
        <v>1</v>
      </c>
      <c r="X3461" s="283">
        <v>0</v>
      </c>
      <c r="Y3461" s="283">
        <v>0</v>
      </c>
      <c r="Z3461" s="283">
        <v>1</v>
      </c>
      <c r="AA3461" s="283">
        <v>1</v>
      </c>
      <c r="AB3461" s="283">
        <v>1</v>
      </c>
      <c r="AC3461" s="316">
        <v>1</v>
      </c>
      <c r="AD3461" s="316">
        <v>1</v>
      </c>
      <c r="AE3461" s="302">
        <f t="shared" si="129"/>
        <v>0.75</v>
      </c>
      <c r="AF3461" s="310">
        <v>0</v>
      </c>
      <c r="AG3461" s="17">
        <v>0</v>
      </c>
      <c r="AH3461" s="310">
        <v>0.3</v>
      </c>
      <c r="AI3461" s="310">
        <v>0.3</v>
      </c>
      <c r="AJ3461" s="310">
        <v>0.3</v>
      </c>
      <c r="AK3461" s="317">
        <v>0.3</v>
      </c>
      <c r="AL3461" s="317">
        <v>0.3</v>
      </c>
      <c r="AM3461" s="147">
        <f t="shared" si="128"/>
        <v>0.6</v>
      </c>
      <c r="AN3461" s="18" t="s">
        <v>771</v>
      </c>
      <c r="AO3461" s="18" t="s">
        <v>773</v>
      </c>
      <c r="AP3461" s="283" t="s">
        <v>1959</v>
      </c>
    </row>
    <row r="3462" spans="1:42" x14ac:dyDescent="0.3">
      <c r="A3462" s="314" t="s">
        <v>1470</v>
      </c>
      <c r="B3462" s="283" t="s">
        <v>1502</v>
      </c>
      <c r="C3462" s="314" t="s">
        <v>1474</v>
      </c>
      <c r="D3462" s="283" t="s">
        <v>1821</v>
      </c>
      <c r="E3462" s="314" t="s">
        <v>1476</v>
      </c>
      <c r="F3462" s="283" t="s">
        <v>1952</v>
      </c>
      <c r="G3462" s="314" t="s">
        <v>1953</v>
      </c>
      <c r="H3462" s="283" t="s">
        <v>1954</v>
      </c>
      <c r="I3462" s="315">
        <v>0</v>
      </c>
      <c r="J3462" s="315">
        <v>0</v>
      </c>
      <c r="K3462" s="314" t="s">
        <v>1960</v>
      </c>
      <c r="L3462" s="283" t="s">
        <v>1961</v>
      </c>
      <c r="M3462" s="1" t="s">
        <v>1962</v>
      </c>
      <c r="N3462" s="442">
        <v>0</v>
      </c>
      <c r="O3462" s="442"/>
      <c r="P3462" s="149"/>
      <c r="Q3462" s="149"/>
      <c r="R3462" s="149">
        <v>16</v>
      </c>
      <c r="S3462" s="19">
        <v>16</v>
      </c>
      <c r="T3462" s="18" t="s">
        <v>1536</v>
      </c>
      <c r="U3462" s="283" t="e">
        <v>#N/A</v>
      </c>
      <c r="V3462" s="283" t="s">
        <v>1963</v>
      </c>
      <c r="W3462" s="283">
        <v>1</v>
      </c>
      <c r="X3462" s="283">
        <v>0</v>
      </c>
      <c r="Y3462" s="283">
        <v>0</v>
      </c>
      <c r="Z3462" s="283">
        <v>1</v>
      </c>
      <c r="AA3462" s="283">
        <v>1</v>
      </c>
      <c r="AB3462" s="283">
        <v>1</v>
      </c>
      <c r="AC3462" s="316">
        <v>1</v>
      </c>
      <c r="AD3462" s="316">
        <v>1</v>
      </c>
      <c r="AE3462" s="302">
        <f t="shared" si="129"/>
        <v>0.75</v>
      </c>
      <c r="AF3462" s="310">
        <v>0</v>
      </c>
      <c r="AG3462" s="17">
        <v>0</v>
      </c>
      <c r="AH3462" s="310">
        <v>0.84</v>
      </c>
      <c r="AI3462" s="310">
        <v>14.23</v>
      </c>
      <c r="AJ3462" s="310">
        <v>20</v>
      </c>
      <c r="AK3462" s="317">
        <v>0.5</v>
      </c>
      <c r="AL3462" s="317">
        <v>0.5</v>
      </c>
      <c r="AM3462" s="147">
        <f t="shared" ref="AM3462:AM3488" si="130">SUM(AK3462:AL3462)</f>
        <v>1</v>
      </c>
      <c r="AN3462" s="18" t="s">
        <v>771</v>
      </c>
      <c r="AO3462" s="18" t="s">
        <v>773</v>
      </c>
      <c r="AP3462" s="283" t="s">
        <v>1964</v>
      </c>
    </row>
    <row r="3463" spans="1:42" x14ac:dyDescent="0.3">
      <c r="A3463" s="314" t="s">
        <v>1470</v>
      </c>
      <c r="B3463" s="283" t="s">
        <v>1502</v>
      </c>
      <c r="C3463" s="314" t="s">
        <v>1474</v>
      </c>
      <c r="D3463" s="283" t="s">
        <v>1821</v>
      </c>
      <c r="E3463" s="314" t="s">
        <v>1476</v>
      </c>
      <c r="F3463" s="283" t="s">
        <v>1952</v>
      </c>
      <c r="G3463" s="314" t="s">
        <v>1953</v>
      </c>
      <c r="H3463" s="283" t="s">
        <v>1954</v>
      </c>
      <c r="I3463" s="315">
        <v>0</v>
      </c>
      <c r="J3463" s="315">
        <v>0</v>
      </c>
      <c r="K3463" s="314" t="s">
        <v>1965</v>
      </c>
      <c r="L3463" s="283" t="s">
        <v>1966</v>
      </c>
      <c r="M3463" s="1" t="s">
        <v>1967</v>
      </c>
      <c r="N3463" s="442">
        <v>0</v>
      </c>
      <c r="O3463" s="442"/>
      <c r="P3463" s="149"/>
      <c r="Q3463" s="149"/>
      <c r="R3463" s="149">
        <v>10</v>
      </c>
      <c r="S3463" s="19">
        <v>10</v>
      </c>
      <c r="U3463" s="283" t="e">
        <v>#N/A</v>
      </c>
      <c r="V3463" s="283" t="s">
        <v>1968</v>
      </c>
      <c r="W3463" s="283">
        <v>1</v>
      </c>
      <c r="X3463" s="283">
        <v>0</v>
      </c>
      <c r="Y3463" s="283">
        <v>0</v>
      </c>
      <c r="Z3463" s="283">
        <v>1</v>
      </c>
      <c r="AA3463" s="283">
        <v>1</v>
      </c>
      <c r="AB3463" s="283">
        <v>1</v>
      </c>
      <c r="AC3463" s="316">
        <v>1</v>
      </c>
      <c r="AD3463" s="316">
        <v>1</v>
      </c>
      <c r="AE3463" s="302">
        <f t="shared" si="129"/>
        <v>0.75</v>
      </c>
      <c r="AF3463" s="310">
        <v>0</v>
      </c>
      <c r="AG3463" s="17">
        <v>0</v>
      </c>
      <c r="AH3463" s="310">
        <v>0</v>
      </c>
      <c r="AI3463" s="310">
        <v>2</v>
      </c>
      <c r="AJ3463" s="310">
        <v>2</v>
      </c>
      <c r="AK3463" s="317">
        <v>2</v>
      </c>
      <c r="AL3463" s="317">
        <v>2</v>
      </c>
      <c r="AM3463" s="147">
        <f t="shared" si="130"/>
        <v>4</v>
      </c>
      <c r="AN3463" s="283" t="s">
        <v>1610</v>
      </c>
      <c r="AO3463" s="18" t="s">
        <v>773</v>
      </c>
      <c r="AP3463" s="283" t="s">
        <v>119</v>
      </c>
    </row>
    <row r="3464" spans="1:42" x14ac:dyDescent="0.3">
      <c r="A3464" s="314" t="s">
        <v>1470</v>
      </c>
      <c r="B3464" s="283" t="s">
        <v>1502</v>
      </c>
      <c r="C3464" s="314" t="s">
        <v>1474</v>
      </c>
      <c r="D3464" s="283" t="s">
        <v>1821</v>
      </c>
      <c r="E3464" s="314" t="s">
        <v>1476</v>
      </c>
      <c r="F3464" s="283" t="s">
        <v>1952</v>
      </c>
      <c r="G3464" s="314" t="s">
        <v>1953</v>
      </c>
      <c r="H3464" s="283" t="s">
        <v>1954</v>
      </c>
      <c r="I3464" s="315">
        <v>0</v>
      </c>
      <c r="J3464" s="315">
        <v>0</v>
      </c>
      <c r="K3464" s="314" t="s">
        <v>1969</v>
      </c>
      <c r="L3464" s="283" t="s">
        <v>1970</v>
      </c>
      <c r="M3464" s="1" t="s">
        <v>1971</v>
      </c>
      <c r="N3464" s="442">
        <v>0</v>
      </c>
      <c r="O3464" s="442"/>
      <c r="P3464" s="149"/>
      <c r="Q3464" s="149"/>
      <c r="R3464" s="149">
        <v>4</v>
      </c>
      <c r="S3464" s="19">
        <v>5</v>
      </c>
      <c r="U3464" s="283" t="e">
        <v>#N/A</v>
      </c>
      <c r="V3464" s="283" t="s">
        <v>1972</v>
      </c>
      <c r="W3464" s="283">
        <v>1</v>
      </c>
      <c r="X3464" s="283">
        <v>0</v>
      </c>
      <c r="Y3464" s="283">
        <v>0</v>
      </c>
      <c r="Z3464" s="283">
        <v>1</v>
      </c>
      <c r="AA3464" s="283">
        <v>1</v>
      </c>
      <c r="AB3464" s="283">
        <v>1</v>
      </c>
      <c r="AC3464" s="316">
        <v>1</v>
      </c>
      <c r="AD3464" s="316">
        <v>1</v>
      </c>
      <c r="AE3464" s="302">
        <f t="shared" si="129"/>
        <v>0.75</v>
      </c>
      <c r="AF3464" s="310">
        <v>0</v>
      </c>
      <c r="AG3464" s="17">
        <v>0</v>
      </c>
      <c r="AH3464" s="310">
        <v>4</v>
      </c>
      <c r="AI3464" s="310">
        <v>4</v>
      </c>
      <c r="AJ3464" s="310">
        <v>4</v>
      </c>
      <c r="AK3464" s="317">
        <v>4</v>
      </c>
      <c r="AL3464" s="317">
        <v>4</v>
      </c>
      <c r="AM3464" s="147">
        <f t="shared" si="130"/>
        <v>8</v>
      </c>
      <c r="AN3464" s="283" t="s">
        <v>1610</v>
      </c>
      <c r="AO3464" s="18" t="s">
        <v>773</v>
      </c>
      <c r="AP3464" s="283" t="s">
        <v>119</v>
      </c>
    </row>
    <row r="3465" spans="1:42" x14ac:dyDescent="0.3">
      <c r="A3465" s="314" t="s">
        <v>1470</v>
      </c>
      <c r="B3465" s="283" t="s">
        <v>1502</v>
      </c>
      <c r="C3465" s="314" t="s">
        <v>1474</v>
      </c>
      <c r="D3465" s="283" t="s">
        <v>1821</v>
      </c>
      <c r="E3465" s="314" t="s">
        <v>1476</v>
      </c>
      <c r="F3465" s="283" t="s">
        <v>1952</v>
      </c>
      <c r="G3465" s="314" t="s">
        <v>1953</v>
      </c>
      <c r="H3465" s="283" t="s">
        <v>1954</v>
      </c>
      <c r="I3465" s="315">
        <v>0</v>
      </c>
      <c r="J3465" s="315">
        <v>0</v>
      </c>
      <c r="K3465" s="314" t="s">
        <v>1973</v>
      </c>
      <c r="L3465" s="283" t="s">
        <v>1974</v>
      </c>
      <c r="M3465" s="1" t="s">
        <v>1975</v>
      </c>
      <c r="N3465" s="442">
        <v>0</v>
      </c>
      <c r="O3465" s="442"/>
      <c r="P3465" s="149"/>
      <c r="Q3465" s="149"/>
      <c r="R3465" s="149">
        <v>1</v>
      </c>
      <c r="S3465" s="19">
        <v>1</v>
      </c>
      <c r="U3465" s="283" t="e">
        <v>#N/A</v>
      </c>
      <c r="V3465" s="283" t="s">
        <v>1976</v>
      </c>
      <c r="W3465" s="283">
        <v>1</v>
      </c>
      <c r="X3465" s="283">
        <v>0</v>
      </c>
      <c r="Y3465" s="283">
        <v>0</v>
      </c>
      <c r="Z3465" s="283">
        <v>1</v>
      </c>
      <c r="AA3465" s="283">
        <v>1</v>
      </c>
      <c r="AB3465" s="283">
        <v>1</v>
      </c>
      <c r="AC3465" s="316">
        <v>1</v>
      </c>
      <c r="AD3465" s="316">
        <v>1</v>
      </c>
      <c r="AE3465" s="302">
        <f t="shared" ref="AE3465:AE3488" si="131">SUM(W3465:AD3465)/8</f>
        <v>0.75</v>
      </c>
      <c r="AF3465" s="310">
        <v>0</v>
      </c>
      <c r="AG3465" s="17">
        <v>0</v>
      </c>
      <c r="AH3465" s="310">
        <v>0.2</v>
      </c>
      <c r="AI3465" s="310">
        <v>0.2</v>
      </c>
      <c r="AJ3465" s="310">
        <v>0.2</v>
      </c>
      <c r="AK3465" s="317">
        <v>0.2</v>
      </c>
      <c r="AL3465" s="317">
        <v>0.2</v>
      </c>
      <c r="AM3465" s="147">
        <f t="shared" si="130"/>
        <v>0.4</v>
      </c>
      <c r="AN3465" s="283" t="s">
        <v>1610</v>
      </c>
      <c r="AO3465" s="18" t="s">
        <v>773</v>
      </c>
      <c r="AP3465" s="283" t="s">
        <v>1977</v>
      </c>
    </row>
    <row r="3466" spans="1:42" x14ac:dyDescent="0.3">
      <c r="A3466" s="314" t="s">
        <v>1470</v>
      </c>
      <c r="B3466" s="283" t="s">
        <v>1502</v>
      </c>
      <c r="C3466" s="314" t="s">
        <v>1474</v>
      </c>
      <c r="D3466" s="283" t="s">
        <v>1821</v>
      </c>
      <c r="E3466" s="314" t="s">
        <v>1476</v>
      </c>
      <c r="F3466" s="283" t="s">
        <v>1952</v>
      </c>
      <c r="G3466" s="314" t="s">
        <v>1953</v>
      </c>
      <c r="H3466" s="283" t="s">
        <v>1954</v>
      </c>
      <c r="I3466" s="315">
        <v>0</v>
      </c>
      <c r="J3466" s="315">
        <v>0</v>
      </c>
      <c r="K3466" s="314" t="s">
        <v>1978</v>
      </c>
      <c r="L3466" s="283" t="s">
        <v>1979</v>
      </c>
      <c r="M3466" s="1" t="s">
        <v>271</v>
      </c>
      <c r="N3466" s="442">
        <v>0</v>
      </c>
      <c r="O3466" s="442"/>
      <c r="P3466" s="149"/>
      <c r="Q3466" s="149"/>
      <c r="R3466" s="149"/>
      <c r="S3466" s="19"/>
      <c r="U3466" s="283" t="e">
        <v>#N/A</v>
      </c>
      <c r="V3466" s="283" t="s">
        <v>1980</v>
      </c>
      <c r="W3466" s="283">
        <v>1</v>
      </c>
      <c r="X3466" s="283">
        <v>0</v>
      </c>
      <c r="Y3466" s="283">
        <v>0</v>
      </c>
      <c r="Z3466" s="283">
        <v>1</v>
      </c>
      <c r="AA3466" s="283">
        <v>1</v>
      </c>
      <c r="AB3466" s="283">
        <v>1</v>
      </c>
      <c r="AC3466" s="316">
        <v>1</v>
      </c>
      <c r="AD3466" s="316">
        <v>1</v>
      </c>
      <c r="AE3466" s="302">
        <f t="shared" si="131"/>
        <v>0.75</v>
      </c>
      <c r="AF3466" s="310">
        <v>0</v>
      </c>
      <c r="AG3466" s="17">
        <v>0</v>
      </c>
      <c r="AH3466" s="310">
        <v>1</v>
      </c>
      <c r="AI3466" s="310">
        <v>0.2</v>
      </c>
      <c r="AJ3466" s="310">
        <v>0.2</v>
      </c>
      <c r="AK3466" s="317">
        <v>0</v>
      </c>
      <c r="AL3466" s="317">
        <v>0</v>
      </c>
      <c r="AM3466" s="147">
        <f t="shared" si="130"/>
        <v>0</v>
      </c>
      <c r="AN3466" s="283" t="s">
        <v>1610</v>
      </c>
      <c r="AO3466" s="18" t="s">
        <v>773</v>
      </c>
      <c r="AP3466" s="283" t="s">
        <v>119</v>
      </c>
    </row>
    <row r="3467" spans="1:42" x14ac:dyDescent="0.3">
      <c r="A3467" s="314" t="s">
        <v>1470</v>
      </c>
      <c r="B3467" s="283" t="s">
        <v>1502</v>
      </c>
      <c r="C3467" s="314" t="s">
        <v>1474</v>
      </c>
      <c r="D3467" s="283" t="s">
        <v>1821</v>
      </c>
      <c r="E3467" s="314" t="s">
        <v>1476</v>
      </c>
      <c r="F3467" s="283" t="s">
        <v>1952</v>
      </c>
      <c r="G3467" s="314" t="s">
        <v>1953</v>
      </c>
      <c r="H3467" s="283" t="s">
        <v>1954</v>
      </c>
      <c r="I3467" s="315">
        <v>0</v>
      </c>
      <c r="J3467" s="315">
        <v>0</v>
      </c>
      <c r="K3467" s="314" t="s">
        <v>1981</v>
      </c>
      <c r="L3467" s="283" t="s">
        <v>1982</v>
      </c>
      <c r="M3467" s="1" t="s">
        <v>1983</v>
      </c>
      <c r="N3467" s="442">
        <v>0</v>
      </c>
      <c r="O3467" s="442"/>
      <c r="P3467" s="149"/>
      <c r="Q3467" s="149"/>
      <c r="R3467" s="149">
        <v>5</v>
      </c>
      <c r="S3467" s="19">
        <v>5</v>
      </c>
      <c r="U3467" s="283" t="e">
        <v>#N/A</v>
      </c>
      <c r="V3467" s="283" t="s">
        <v>1984</v>
      </c>
      <c r="W3467" s="283">
        <v>1</v>
      </c>
      <c r="X3467" s="283">
        <v>0</v>
      </c>
      <c r="Y3467" s="283">
        <v>0</v>
      </c>
      <c r="Z3467" s="283">
        <v>1</v>
      </c>
      <c r="AA3467" s="283">
        <v>1</v>
      </c>
      <c r="AB3467" s="283">
        <v>1</v>
      </c>
      <c r="AC3467" s="316">
        <v>1</v>
      </c>
      <c r="AD3467" s="316">
        <v>1</v>
      </c>
      <c r="AE3467" s="302">
        <f t="shared" si="131"/>
        <v>0.75</v>
      </c>
      <c r="AF3467" s="310">
        <v>0</v>
      </c>
      <c r="AG3467" s="17">
        <v>0</v>
      </c>
      <c r="AH3467" s="310">
        <v>0.3</v>
      </c>
      <c r="AI3467" s="310">
        <v>0.3</v>
      </c>
      <c r="AJ3467" s="310">
        <v>0.3</v>
      </c>
      <c r="AK3467" s="317">
        <v>0.3</v>
      </c>
      <c r="AL3467" s="317">
        <v>0.3</v>
      </c>
      <c r="AM3467" s="147">
        <f t="shared" si="130"/>
        <v>0.6</v>
      </c>
      <c r="AN3467" s="283" t="s">
        <v>1610</v>
      </c>
      <c r="AO3467" s="18" t="s">
        <v>773</v>
      </c>
      <c r="AP3467" s="283" t="s">
        <v>119</v>
      </c>
    </row>
    <row r="3468" spans="1:42" x14ac:dyDescent="0.3">
      <c r="A3468" s="314" t="s">
        <v>1470</v>
      </c>
      <c r="B3468" s="283" t="s">
        <v>1502</v>
      </c>
      <c r="C3468" s="314" t="s">
        <v>1474</v>
      </c>
      <c r="D3468" s="283" t="s">
        <v>1821</v>
      </c>
      <c r="E3468" s="314" t="s">
        <v>1476</v>
      </c>
      <c r="F3468" s="283" t="s">
        <v>1952</v>
      </c>
      <c r="G3468" s="314" t="s">
        <v>1953</v>
      </c>
      <c r="H3468" s="283" t="s">
        <v>1954</v>
      </c>
      <c r="I3468" s="315">
        <v>0</v>
      </c>
      <c r="J3468" s="315">
        <v>0</v>
      </c>
      <c r="K3468" s="314" t="s">
        <v>1985</v>
      </c>
      <c r="L3468" s="283" t="s">
        <v>1986</v>
      </c>
      <c r="M3468" s="1" t="s">
        <v>271</v>
      </c>
      <c r="N3468" s="442">
        <v>0</v>
      </c>
      <c r="O3468" s="442"/>
      <c r="P3468" s="149"/>
      <c r="Q3468" s="149"/>
      <c r="R3468" s="149"/>
      <c r="S3468" s="19"/>
      <c r="U3468" s="283" t="e">
        <v>#N/A</v>
      </c>
      <c r="V3468" s="283" t="s">
        <v>1987</v>
      </c>
      <c r="W3468" s="283">
        <v>1</v>
      </c>
      <c r="X3468" s="283">
        <v>0</v>
      </c>
      <c r="Y3468" s="283">
        <v>0</v>
      </c>
      <c r="Z3468" s="283">
        <v>0</v>
      </c>
      <c r="AA3468" s="283">
        <v>0</v>
      </c>
      <c r="AB3468" s="283">
        <v>1</v>
      </c>
      <c r="AC3468" s="316">
        <v>1</v>
      </c>
      <c r="AD3468" s="316">
        <v>0</v>
      </c>
      <c r="AE3468" s="302">
        <f t="shared" si="131"/>
        <v>0.375</v>
      </c>
      <c r="AF3468" s="310">
        <v>0</v>
      </c>
      <c r="AG3468" s="17">
        <v>0</v>
      </c>
      <c r="AH3468" s="310">
        <v>5</v>
      </c>
      <c r="AI3468" s="310">
        <v>5</v>
      </c>
      <c r="AJ3468" s="310">
        <v>5</v>
      </c>
      <c r="AK3468" s="317"/>
      <c r="AL3468" s="317"/>
      <c r="AM3468" s="147">
        <f t="shared" si="130"/>
        <v>0</v>
      </c>
      <c r="AN3468" s="283" t="s">
        <v>1610</v>
      </c>
      <c r="AO3468" s="18" t="s">
        <v>773</v>
      </c>
      <c r="AP3468" s="283" t="s">
        <v>119</v>
      </c>
    </row>
    <row r="3469" spans="1:42" x14ac:dyDescent="0.3">
      <c r="A3469" s="314" t="s">
        <v>1470</v>
      </c>
      <c r="B3469" s="283" t="s">
        <v>1502</v>
      </c>
      <c r="C3469" s="314" t="s">
        <v>1474</v>
      </c>
      <c r="D3469" s="283" t="s">
        <v>1821</v>
      </c>
      <c r="E3469" s="314" t="s">
        <v>1476</v>
      </c>
      <c r="F3469" s="283" t="s">
        <v>1952</v>
      </c>
      <c r="G3469" s="314" t="s">
        <v>1953</v>
      </c>
      <c r="H3469" s="283" t="s">
        <v>1954</v>
      </c>
      <c r="I3469" s="315">
        <v>0</v>
      </c>
      <c r="J3469" s="315">
        <v>0</v>
      </c>
      <c r="K3469" s="314" t="s">
        <v>1988</v>
      </c>
      <c r="L3469" s="283" t="s">
        <v>1989</v>
      </c>
      <c r="M3469" s="1" t="s">
        <v>271</v>
      </c>
      <c r="N3469" s="442">
        <v>0</v>
      </c>
      <c r="O3469" s="442"/>
      <c r="P3469" s="149"/>
      <c r="Q3469" s="149"/>
      <c r="R3469" s="149"/>
      <c r="S3469" s="19"/>
      <c r="U3469" s="283" t="e">
        <v>#N/A</v>
      </c>
      <c r="V3469" s="283" t="s">
        <v>1990</v>
      </c>
      <c r="W3469" s="283">
        <v>1</v>
      </c>
      <c r="X3469" s="283">
        <v>0</v>
      </c>
      <c r="Y3469" s="283">
        <v>0</v>
      </c>
      <c r="Z3469" s="283">
        <v>0</v>
      </c>
      <c r="AA3469" s="283">
        <v>0</v>
      </c>
      <c r="AB3469" s="283">
        <v>1</v>
      </c>
      <c r="AC3469" s="316">
        <v>0</v>
      </c>
      <c r="AD3469" s="316">
        <v>1</v>
      </c>
      <c r="AE3469" s="302">
        <f t="shared" si="131"/>
        <v>0.375</v>
      </c>
      <c r="AF3469" s="310">
        <v>0</v>
      </c>
      <c r="AG3469" s="17">
        <v>0</v>
      </c>
      <c r="AH3469" s="310">
        <v>2</v>
      </c>
      <c r="AI3469" s="310">
        <v>2</v>
      </c>
      <c r="AJ3469" s="310">
        <v>2</v>
      </c>
      <c r="AK3469" s="317"/>
      <c r="AL3469" s="317"/>
      <c r="AM3469" s="147">
        <f t="shared" si="130"/>
        <v>0</v>
      </c>
      <c r="AN3469" s="283" t="s">
        <v>1610</v>
      </c>
      <c r="AO3469" s="18" t="s">
        <v>773</v>
      </c>
      <c r="AP3469" s="283" t="s">
        <v>119</v>
      </c>
    </row>
    <row r="3470" spans="1:42" x14ac:dyDescent="0.3">
      <c r="A3470" s="314" t="s">
        <v>1470</v>
      </c>
      <c r="B3470" s="283" t="s">
        <v>1502</v>
      </c>
      <c r="C3470" s="314" t="s">
        <v>1474</v>
      </c>
      <c r="D3470" s="283" t="s">
        <v>1821</v>
      </c>
      <c r="E3470" s="314" t="s">
        <v>1476</v>
      </c>
      <c r="F3470" s="283" t="s">
        <v>1952</v>
      </c>
      <c r="G3470" s="314" t="s">
        <v>1953</v>
      </c>
      <c r="H3470" s="283" t="s">
        <v>1954</v>
      </c>
      <c r="I3470" s="315">
        <v>0</v>
      </c>
      <c r="J3470" s="315">
        <v>0</v>
      </c>
      <c r="K3470" s="314" t="s">
        <v>1991</v>
      </c>
      <c r="L3470" s="283" t="s">
        <v>1992</v>
      </c>
      <c r="M3470" s="1" t="s">
        <v>271</v>
      </c>
      <c r="N3470" s="442">
        <v>0</v>
      </c>
      <c r="O3470" s="442"/>
      <c r="P3470" s="149"/>
      <c r="Q3470" s="149"/>
      <c r="R3470" s="149"/>
      <c r="S3470" s="19"/>
      <c r="U3470" s="283" t="e">
        <v>#N/A</v>
      </c>
      <c r="V3470" s="283" t="s">
        <v>1993</v>
      </c>
      <c r="W3470" s="283">
        <v>1</v>
      </c>
      <c r="X3470" s="283">
        <v>0</v>
      </c>
      <c r="Y3470" s="283">
        <v>0</v>
      </c>
      <c r="Z3470" s="283">
        <v>1</v>
      </c>
      <c r="AA3470" s="283">
        <v>1</v>
      </c>
      <c r="AB3470" s="283">
        <v>1</v>
      </c>
      <c r="AC3470" s="316">
        <v>1</v>
      </c>
      <c r="AD3470" s="316">
        <v>1</v>
      </c>
      <c r="AE3470" s="302">
        <f t="shared" si="131"/>
        <v>0.75</v>
      </c>
      <c r="AF3470" s="310">
        <v>0</v>
      </c>
      <c r="AG3470" s="17">
        <v>0</v>
      </c>
      <c r="AH3470" s="310">
        <v>0.24</v>
      </c>
      <c r="AI3470" s="310">
        <v>0.3</v>
      </c>
      <c r="AJ3470" s="310">
        <v>0.3</v>
      </c>
      <c r="AK3470" s="317"/>
      <c r="AL3470" s="317"/>
      <c r="AM3470" s="147">
        <f t="shared" si="130"/>
        <v>0</v>
      </c>
      <c r="AN3470" s="283" t="s">
        <v>1588</v>
      </c>
      <c r="AO3470" s="18" t="s">
        <v>1590</v>
      </c>
      <c r="AP3470" s="283" t="s">
        <v>119</v>
      </c>
    </row>
    <row r="3471" spans="1:42" x14ac:dyDescent="0.3">
      <c r="A3471" s="314" t="s">
        <v>1470</v>
      </c>
      <c r="B3471" s="283" t="s">
        <v>1502</v>
      </c>
      <c r="C3471" s="314" t="s">
        <v>1474</v>
      </c>
      <c r="D3471" s="283" t="s">
        <v>1821</v>
      </c>
      <c r="E3471" s="314" t="s">
        <v>1476</v>
      </c>
      <c r="F3471" s="283" t="s">
        <v>1952</v>
      </c>
      <c r="G3471" s="314" t="s">
        <v>1953</v>
      </c>
      <c r="H3471" s="283" t="s">
        <v>1954</v>
      </c>
      <c r="I3471" s="315">
        <v>0</v>
      </c>
      <c r="J3471" s="315">
        <v>0</v>
      </c>
      <c r="K3471" s="314" t="s">
        <v>1994</v>
      </c>
      <c r="L3471" s="283" t="s">
        <v>1995</v>
      </c>
      <c r="M3471" s="1" t="s">
        <v>1996</v>
      </c>
      <c r="N3471" s="442">
        <v>2</v>
      </c>
      <c r="O3471" s="442">
        <v>5</v>
      </c>
      <c r="P3471" s="149">
        <v>10</v>
      </c>
      <c r="Q3471" s="149">
        <v>15</v>
      </c>
      <c r="R3471" s="149">
        <v>20</v>
      </c>
      <c r="S3471" s="19">
        <v>30</v>
      </c>
      <c r="T3471" s="283" t="s">
        <v>1997</v>
      </c>
      <c r="U3471" s="283" t="e">
        <v>#N/A</v>
      </c>
      <c r="AC3471" s="316">
        <v>0</v>
      </c>
      <c r="AD3471" s="316">
        <v>0</v>
      </c>
      <c r="AE3471" s="302">
        <f t="shared" si="131"/>
        <v>0</v>
      </c>
      <c r="AF3471" s="4"/>
      <c r="AG3471" s="17">
        <v>0</v>
      </c>
      <c r="AM3471" s="147">
        <f t="shared" si="130"/>
        <v>0</v>
      </c>
      <c r="AO3471" s="18"/>
    </row>
    <row r="3472" spans="1:42" x14ac:dyDescent="0.3">
      <c r="A3472" s="314" t="s">
        <v>1470</v>
      </c>
      <c r="B3472" s="283" t="s">
        <v>1502</v>
      </c>
      <c r="C3472" s="314" t="s">
        <v>1474</v>
      </c>
      <c r="D3472" s="283" t="s">
        <v>1821</v>
      </c>
      <c r="E3472" s="314" t="s">
        <v>1476</v>
      </c>
      <c r="F3472" s="283" t="s">
        <v>1952</v>
      </c>
      <c r="G3472" s="314" t="s">
        <v>1953</v>
      </c>
      <c r="H3472" s="283" t="s">
        <v>1954</v>
      </c>
      <c r="I3472" s="315">
        <v>0</v>
      </c>
      <c r="J3472" s="315">
        <v>0</v>
      </c>
      <c r="K3472" s="314" t="s">
        <v>1994</v>
      </c>
      <c r="L3472" s="283" t="s">
        <v>1995</v>
      </c>
      <c r="M3472" s="1" t="s">
        <v>1998</v>
      </c>
      <c r="N3472" s="442"/>
      <c r="O3472" s="442"/>
      <c r="P3472" s="149"/>
      <c r="Q3472" s="149"/>
      <c r="R3472" s="149"/>
      <c r="S3472" s="19"/>
      <c r="T3472" s="283" t="s">
        <v>1997</v>
      </c>
      <c r="U3472" s="283" t="e">
        <v>#N/A</v>
      </c>
      <c r="AC3472" s="316">
        <v>0</v>
      </c>
      <c r="AD3472" s="316">
        <v>0</v>
      </c>
      <c r="AE3472" s="302">
        <f t="shared" si="131"/>
        <v>0</v>
      </c>
      <c r="AF3472" s="4"/>
      <c r="AG3472" s="17">
        <v>0</v>
      </c>
      <c r="AM3472" s="147">
        <f t="shared" si="130"/>
        <v>0</v>
      </c>
      <c r="AO3472" s="18"/>
    </row>
    <row r="3473" spans="1:42" x14ac:dyDescent="0.3">
      <c r="A3473" s="314" t="s">
        <v>1470</v>
      </c>
      <c r="B3473" s="283" t="s">
        <v>1502</v>
      </c>
      <c r="C3473" s="314" t="s">
        <v>1474</v>
      </c>
      <c r="D3473" s="283" t="s">
        <v>1821</v>
      </c>
      <c r="E3473" s="314" t="s">
        <v>1476</v>
      </c>
      <c r="F3473" s="283" t="s">
        <v>1952</v>
      </c>
      <c r="G3473" s="314" t="s">
        <v>1953</v>
      </c>
      <c r="H3473" s="283" t="s">
        <v>1954</v>
      </c>
      <c r="I3473" s="315">
        <v>0</v>
      </c>
      <c r="J3473" s="315">
        <v>0</v>
      </c>
      <c r="K3473" s="314" t="s">
        <v>1994</v>
      </c>
      <c r="L3473" s="283" t="s">
        <v>1995</v>
      </c>
      <c r="M3473" s="1" t="s">
        <v>1999</v>
      </c>
      <c r="N3473" s="442"/>
      <c r="O3473" s="442"/>
      <c r="P3473" s="149"/>
      <c r="Q3473" s="149"/>
      <c r="R3473" s="149"/>
      <c r="S3473" s="19"/>
      <c r="T3473" s="283" t="s">
        <v>1997</v>
      </c>
      <c r="U3473" s="283" t="e">
        <v>#N/A</v>
      </c>
      <c r="AC3473" s="316">
        <v>0</v>
      </c>
      <c r="AD3473" s="316">
        <v>0</v>
      </c>
      <c r="AE3473" s="302">
        <f t="shared" si="131"/>
        <v>0</v>
      </c>
      <c r="AF3473" s="4"/>
      <c r="AG3473" s="17">
        <v>0</v>
      </c>
      <c r="AM3473" s="147">
        <f t="shared" si="130"/>
        <v>0</v>
      </c>
      <c r="AO3473" s="18"/>
    </row>
    <row r="3474" spans="1:42" x14ac:dyDescent="0.3">
      <c r="A3474" s="314" t="s">
        <v>1470</v>
      </c>
      <c r="B3474" s="283" t="s">
        <v>1502</v>
      </c>
      <c r="C3474" s="314" t="s">
        <v>1474</v>
      </c>
      <c r="D3474" s="283" t="s">
        <v>1821</v>
      </c>
      <c r="E3474" s="314" t="s">
        <v>1476</v>
      </c>
      <c r="F3474" s="283" t="s">
        <v>1952</v>
      </c>
      <c r="G3474" s="314" t="s">
        <v>1953</v>
      </c>
      <c r="H3474" s="283" t="s">
        <v>1954</v>
      </c>
      <c r="I3474" s="315">
        <v>0</v>
      </c>
      <c r="J3474" s="315">
        <v>0</v>
      </c>
      <c r="K3474" s="314" t="s">
        <v>2000</v>
      </c>
      <c r="L3474" s="283" t="s">
        <v>2001</v>
      </c>
      <c r="M3474" s="1" t="s">
        <v>2002</v>
      </c>
      <c r="N3474" s="442">
        <v>2</v>
      </c>
      <c r="O3474" s="442">
        <v>2</v>
      </c>
      <c r="P3474" s="149">
        <v>3</v>
      </c>
      <c r="Q3474" s="149" t="s">
        <v>271</v>
      </c>
      <c r="R3474" s="149" t="s">
        <v>271</v>
      </c>
      <c r="S3474" s="19" t="s">
        <v>271</v>
      </c>
      <c r="T3474" s="283" t="s">
        <v>2003</v>
      </c>
      <c r="U3474" s="283" t="e">
        <v>#N/A</v>
      </c>
      <c r="AC3474" s="316">
        <v>0</v>
      </c>
      <c r="AD3474" s="316">
        <v>0</v>
      </c>
      <c r="AE3474" s="302">
        <f t="shared" si="131"/>
        <v>0</v>
      </c>
      <c r="AF3474" s="4"/>
      <c r="AG3474" s="17">
        <v>0</v>
      </c>
      <c r="AM3474" s="147">
        <f t="shared" si="130"/>
        <v>0</v>
      </c>
      <c r="AO3474" s="18"/>
    </row>
    <row r="3475" spans="1:42" x14ac:dyDescent="0.3">
      <c r="A3475" s="314" t="s">
        <v>1470</v>
      </c>
      <c r="B3475" s="283" t="s">
        <v>1502</v>
      </c>
      <c r="C3475" s="314" t="s">
        <v>1474</v>
      </c>
      <c r="D3475" s="283" t="s">
        <v>1821</v>
      </c>
      <c r="E3475" s="314" t="s">
        <v>1476</v>
      </c>
      <c r="F3475" s="283" t="s">
        <v>1952</v>
      </c>
      <c r="G3475" s="314" t="s">
        <v>1953</v>
      </c>
      <c r="H3475" s="283" t="s">
        <v>1954</v>
      </c>
      <c r="I3475" s="315">
        <v>0</v>
      </c>
      <c r="J3475" s="315">
        <v>0</v>
      </c>
      <c r="K3475" s="314" t="s">
        <v>2004</v>
      </c>
      <c r="L3475" s="283" t="s">
        <v>2005</v>
      </c>
      <c r="M3475" s="1" t="s">
        <v>2006</v>
      </c>
      <c r="N3475" s="442">
        <v>0</v>
      </c>
      <c r="O3475" s="442">
        <v>0</v>
      </c>
      <c r="P3475" s="149">
        <v>0</v>
      </c>
      <c r="Q3475" s="149">
        <v>10</v>
      </c>
      <c r="R3475" s="149">
        <v>0</v>
      </c>
      <c r="S3475" s="19">
        <v>0</v>
      </c>
      <c r="T3475" s="283" t="s">
        <v>2003</v>
      </c>
      <c r="U3475" s="283" t="e">
        <v>#N/A</v>
      </c>
      <c r="AC3475" s="316">
        <v>0</v>
      </c>
      <c r="AD3475" s="316">
        <v>0</v>
      </c>
      <c r="AE3475" s="302">
        <f t="shared" si="131"/>
        <v>0</v>
      </c>
      <c r="AF3475" s="4"/>
      <c r="AG3475" s="17">
        <v>0</v>
      </c>
      <c r="AM3475" s="147">
        <f t="shared" si="130"/>
        <v>0</v>
      </c>
      <c r="AO3475" s="18"/>
    </row>
    <row r="3476" spans="1:42" x14ac:dyDescent="0.3">
      <c r="A3476" s="314" t="s">
        <v>1470</v>
      </c>
      <c r="B3476" s="283" t="s">
        <v>1502</v>
      </c>
      <c r="C3476" s="314" t="s">
        <v>1474</v>
      </c>
      <c r="D3476" s="283" t="s">
        <v>1821</v>
      </c>
      <c r="E3476" s="314" t="s">
        <v>1476</v>
      </c>
      <c r="F3476" s="283" t="s">
        <v>1952</v>
      </c>
      <c r="G3476" s="314" t="s">
        <v>1953</v>
      </c>
      <c r="H3476" s="283" t="s">
        <v>1954</v>
      </c>
      <c r="I3476" s="315">
        <v>0</v>
      </c>
      <c r="J3476" s="315">
        <v>0</v>
      </c>
      <c r="K3476" s="314" t="s">
        <v>2007</v>
      </c>
      <c r="L3476" s="283" t="s">
        <v>2008</v>
      </c>
      <c r="M3476" s="1" t="s">
        <v>2009</v>
      </c>
      <c r="N3476" s="442">
        <v>0</v>
      </c>
      <c r="O3476" s="442">
        <v>2</v>
      </c>
      <c r="P3476" s="149">
        <v>5</v>
      </c>
      <c r="Q3476" s="149">
        <v>7</v>
      </c>
      <c r="R3476" s="149">
        <v>10</v>
      </c>
      <c r="S3476" s="19">
        <v>15</v>
      </c>
      <c r="T3476" s="283" t="s">
        <v>2010</v>
      </c>
      <c r="U3476" s="283" t="e">
        <v>#N/A</v>
      </c>
      <c r="AC3476" s="316">
        <v>0</v>
      </c>
      <c r="AD3476" s="316">
        <v>0</v>
      </c>
      <c r="AE3476" s="302">
        <f t="shared" si="131"/>
        <v>0</v>
      </c>
      <c r="AF3476" s="4"/>
      <c r="AG3476" s="17">
        <v>0</v>
      </c>
      <c r="AM3476" s="147">
        <f t="shared" si="130"/>
        <v>0</v>
      </c>
      <c r="AO3476" s="18"/>
    </row>
    <row r="3477" spans="1:42" x14ac:dyDescent="0.3">
      <c r="A3477" s="314" t="s">
        <v>1470</v>
      </c>
      <c r="B3477" s="283" t="s">
        <v>1502</v>
      </c>
      <c r="C3477" s="314" t="s">
        <v>1474</v>
      </c>
      <c r="D3477" s="283" t="s">
        <v>1821</v>
      </c>
      <c r="E3477" s="314" t="s">
        <v>1476</v>
      </c>
      <c r="F3477" s="283" t="s">
        <v>1952</v>
      </c>
      <c r="G3477" s="314" t="s">
        <v>2011</v>
      </c>
      <c r="H3477" s="283" t="s">
        <v>2012</v>
      </c>
      <c r="I3477" s="315">
        <v>0</v>
      </c>
      <c r="J3477" s="315">
        <v>0</v>
      </c>
      <c r="K3477" s="314" t="s">
        <v>2013</v>
      </c>
      <c r="L3477" s="283" t="s">
        <v>2014</v>
      </c>
      <c r="M3477" s="1" t="s">
        <v>2015</v>
      </c>
      <c r="N3477" s="442">
        <v>0</v>
      </c>
      <c r="O3477" s="430">
        <v>1</v>
      </c>
      <c r="P3477" s="19">
        <v>0</v>
      </c>
      <c r="Q3477" s="152">
        <v>0</v>
      </c>
      <c r="R3477" s="19">
        <v>3</v>
      </c>
      <c r="S3477" s="19">
        <v>3</v>
      </c>
      <c r="T3477" s="283" t="s">
        <v>2016</v>
      </c>
      <c r="U3477" s="283" t="e">
        <v>#N/A</v>
      </c>
      <c r="V3477" s="283" t="s">
        <v>2017</v>
      </c>
      <c r="W3477" s="283">
        <v>1</v>
      </c>
      <c r="X3477" s="283">
        <v>0</v>
      </c>
      <c r="Y3477" s="283">
        <v>0</v>
      </c>
      <c r="Z3477" s="283">
        <v>1</v>
      </c>
      <c r="AA3477" s="283">
        <v>1</v>
      </c>
      <c r="AB3477" s="283">
        <v>1</v>
      </c>
      <c r="AC3477" s="316">
        <v>1</v>
      </c>
      <c r="AD3477" s="316">
        <v>1</v>
      </c>
      <c r="AE3477" s="302">
        <f t="shared" si="131"/>
        <v>0.75</v>
      </c>
      <c r="AF3477" s="17">
        <v>0</v>
      </c>
      <c r="AG3477" s="17">
        <v>0</v>
      </c>
      <c r="AH3477" s="17">
        <v>0</v>
      </c>
      <c r="AI3477" s="17">
        <v>0</v>
      </c>
      <c r="AJ3477" s="17">
        <v>0</v>
      </c>
      <c r="AK3477" s="153">
        <v>0.3</v>
      </c>
      <c r="AL3477" s="154">
        <v>0.3</v>
      </c>
      <c r="AM3477" s="147">
        <f t="shared" si="130"/>
        <v>0.6</v>
      </c>
      <c r="AN3477" s="283" t="s">
        <v>2018</v>
      </c>
      <c r="AO3477" s="18" t="s">
        <v>2019</v>
      </c>
      <c r="AP3477" s="283" t="s">
        <v>1898</v>
      </c>
    </row>
    <row r="3478" spans="1:42" x14ac:dyDescent="0.3">
      <c r="A3478" s="314" t="s">
        <v>1470</v>
      </c>
      <c r="B3478" s="283" t="s">
        <v>1502</v>
      </c>
      <c r="C3478" s="314" t="s">
        <v>1474</v>
      </c>
      <c r="D3478" s="283" t="s">
        <v>1821</v>
      </c>
      <c r="E3478" s="314" t="s">
        <v>1476</v>
      </c>
      <c r="F3478" s="283" t="s">
        <v>1952</v>
      </c>
      <c r="G3478" s="314" t="s">
        <v>2011</v>
      </c>
      <c r="H3478" s="283" t="s">
        <v>2012</v>
      </c>
      <c r="I3478" s="315">
        <v>0</v>
      </c>
      <c r="J3478" s="315">
        <v>0</v>
      </c>
      <c r="K3478" s="314" t="s">
        <v>2020</v>
      </c>
      <c r="L3478" s="283" t="s">
        <v>2021</v>
      </c>
      <c r="M3478" s="1" t="s">
        <v>2022</v>
      </c>
      <c r="N3478" s="442">
        <v>0</v>
      </c>
      <c r="O3478" s="442"/>
      <c r="P3478" s="149"/>
      <c r="Q3478" s="149"/>
      <c r="R3478" s="149">
        <v>8</v>
      </c>
      <c r="S3478" s="19">
        <v>8</v>
      </c>
      <c r="T3478" s="283" t="s">
        <v>2016</v>
      </c>
      <c r="U3478" s="283" t="e">
        <v>#N/A</v>
      </c>
      <c r="V3478" s="283" t="s">
        <v>2023</v>
      </c>
      <c r="W3478" s="283">
        <v>1</v>
      </c>
      <c r="X3478" s="283">
        <v>1</v>
      </c>
      <c r="Y3478" s="283">
        <v>1</v>
      </c>
      <c r="Z3478" s="283">
        <v>1</v>
      </c>
      <c r="AA3478" s="283">
        <v>1</v>
      </c>
      <c r="AB3478" s="283">
        <v>1</v>
      </c>
      <c r="AC3478" s="316">
        <v>1</v>
      </c>
      <c r="AD3478" s="316">
        <v>1</v>
      </c>
      <c r="AE3478" s="302">
        <f t="shared" si="131"/>
        <v>1</v>
      </c>
      <c r="AF3478" s="310">
        <v>0</v>
      </c>
      <c r="AG3478" s="17">
        <v>0</v>
      </c>
      <c r="AH3478" s="310">
        <v>2.33</v>
      </c>
      <c r="AI3478" s="310">
        <v>2.44</v>
      </c>
      <c r="AJ3478" s="310">
        <v>2.81</v>
      </c>
      <c r="AK3478" s="317">
        <v>2.95</v>
      </c>
      <c r="AL3478" s="317">
        <v>2.39</v>
      </c>
      <c r="AM3478" s="147">
        <f t="shared" si="130"/>
        <v>5.34</v>
      </c>
      <c r="AN3478" s="283" t="s">
        <v>2018</v>
      </c>
      <c r="AO3478" s="18" t="s">
        <v>2019</v>
      </c>
      <c r="AP3478" s="283" t="s">
        <v>2024</v>
      </c>
    </row>
    <row r="3479" spans="1:42" x14ac:dyDescent="0.3">
      <c r="A3479" s="314" t="s">
        <v>1470</v>
      </c>
      <c r="B3479" s="283" t="s">
        <v>1502</v>
      </c>
      <c r="C3479" s="314" t="s">
        <v>1474</v>
      </c>
      <c r="D3479" s="283" t="s">
        <v>1821</v>
      </c>
      <c r="E3479" s="314" t="s">
        <v>1476</v>
      </c>
      <c r="F3479" s="283" t="s">
        <v>1952</v>
      </c>
      <c r="G3479" s="314" t="s">
        <v>2011</v>
      </c>
      <c r="H3479" s="283" t="s">
        <v>2012</v>
      </c>
      <c r="I3479" s="315">
        <v>0</v>
      </c>
      <c r="J3479" s="315">
        <v>0</v>
      </c>
      <c r="K3479" s="314" t="s">
        <v>2025</v>
      </c>
      <c r="L3479" s="283" t="s">
        <v>2026</v>
      </c>
      <c r="M3479" s="1" t="s">
        <v>2027</v>
      </c>
      <c r="N3479" s="442">
        <v>0</v>
      </c>
      <c r="O3479" s="442"/>
      <c r="P3479" s="149"/>
      <c r="Q3479" s="149"/>
      <c r="R3479" s="149">
        <v>4</v>
      </c>
      <c r="S3479" s="19">
        <v>4</v>
      </c>
      <c r="T3479" s="18" t="s">
        <v>1536</v>
      </c>
      <c r="U3479" s="283" t="e">
        <v>#N/A</v>
      </c>
      <c r="V3479" s="283" t="s">
        <v>2028</v>
      </c>
      <c r="W3479" s="283">
        <v>1</v>
      </c>
      <c r="X3479" s="283">
        <v>0</v>
      </c>
      <c r="Y3479" s="283">
        <v>0</v>
      </c>
      <c r="Z3479" s="283">
        <v>1</v>
      </c>
      <c r="AA3479" s="283">
        <v>1</v>
      </c>
      <c r="AB3479" s="283">
        <v>1</v>
      </c>
      <c r="AC3479" s="316">
        <v>1</v>
      </c>
      <c r="AD3479" s="316">
        <v>1</v>
      </c>
      <c r="AE3479" s="302">
        <f t="shared" si="131"/>
        <v>0.75</v>
      </c>
      <c r="AF3479" s="310">
        <v>0</v>
      </c>
      <c r="AG3479" s="17">
        <v>0</v>
      </c>
      <c r="AH3479" s="310">
        <v>0.2</v>
      </c>
      <c r="AI3479" s="310">
        <v>0.2</v>
      </c>
      <c r="AJ3479" s="310">
        <v>0.2</v>
      </c>
      <c r="AK3479" s="317">
        <v>0.2</v>
      </c>
      <c r="AL3479" s="317">
        <v>0.2</v>
      </c>
      <c r="AM3479" s="147">
        <f t="shared" si="130"/>
        <v>0.4</v>
      </c>
      <c r="AN3479" s="18" t="s">
        <v>771</v>
      </c>
      <c r="AO3479" s="18" t="s">
        <v>773</v>
      </c>
      <c r="AP3479" s="283" t="s">
        <v>2029</v>
      </c>
    </row>
    <row r="3480" spans="1:42" x14ac:dyDescent="0.3">
      <c r="A3480" s="314" t="s">
        <v>1470</v>
      </c>
      <c r="B3480" s="283" t="s">
        <v>1502</v>
      </c>
      <c r="C3480" s="314" t="s">
        <v>1474</v>
      </c>
      <c r="D3480" s="283" t="s">
        <v>1821</v>
      </c>
      <c r="E3480" s="314" t="s">
        <v>1476</v>
      </c>
      <c r="F3480" s="283" t="s">
        <v>1952</v>
      </c>
      <c r="G3480" s="314" t="s">
        <v>2011</v>
      </c>
      <c r="H3480" s="283" t="s">
        <v>2012</v>
      </c>
      <c r="I3480" s="315">
        <v>0</v>
      </c>
      <c r="J3480" s="315">
        <v>0</v>
      </c>
      <c r="K3480" s="314" t="s">
        <v>2030</v>
      </c>
      <c r="L3480" s="283" t="s">
        <v>2031</v>
      </c>
      <c r="M3480" s="1" t="s">
        <v>271</v>
      </c>
      <c r="N3480" s="442">
        <v>0</v>
      </c>
      <c r="O3480" s="442"/>
      <c r="P3480" s="149"/>
      <c r="Q3480" s="149"/>
      <c r="R3480" s="149"/>
      <c r="S3480" s="19"/>
      <c r="U3480" s="283" t="e">
        <v>#N/A</v>
      </c>
      <c r="V3480" s="283" t="s">
        <v>2032</v>
      </c>
      <c r="W3480" s="283">
        <v>0</v>
      </c>
      <c r="X3480" s="283">
        <v>0</v>
      </c>
      <c r="Y3480" s="283">
        <v>0</v>
      </c>
      <c r="Z3480" s="283">
        <v>0</v>
      </c>
      <c r="AA3480" s="283">
        <v>0</v>
      </c>
      <c r="AB3480" s="283">
        <v>0</v>
      </c>
      <c r="AC3480" s="316">
        <v>0</v>
      </c>
      <c r="AD3480" s="316">
        <v>0</v>
      </c>
      <c r="AE3480" s="302">
        <f t="shared" si="131"/>
        <v>0</v>
      </c>
      <c r="AF3480" s="310">
        <v>0</v>
      </c>
      <c r="AG3480" s="17">
        <v>0</v>
      </c>
      <c r="AH3480" s="310">
        <v>0.16</v>
      </c>
      <c r="AI3480" s="310">
        <v>0.16</v>
      </c>
      <c r="AJ3480" s="310">
        <v>0.16</v>
      </c>
      <c r="AK3480" s="317"/>
      <c r="AL3480" s="317"/>
      <c r="AM3480" s="147">
        <f t="shared" si="130"/>
        <v>0</v>
      </c>
      <c r="AN3480" s="283" t="s">
        <v>1581</v>
      </c>
      <c r="AO3480" s="18" t="s">
        <v>1583</v>
      </c>
      <c r="AP3480" s="283" t="s">
        <v>2033</v>
      </c>
    </row>
    <row r="3481" spans="1:42" x14ac:dyDescent="0.3">
      <c r="A3481" s="314" t="s">
        <v>1470</v>
      </c>
      <c r="B3481" s="283" t="s">
        <v>1502</v>
      </c>
      <c r="C3481" s="314" t="s">
        <v>1474</v>
      </c>
      <c r="D3481" s="283" t="s">
        <v>1821</v>
      </c>
      <c r="E3481" s="314" t="s">
        <v>1476</v>
      </c>
      <c r="F3481" s="283" t="s">
        <v>1952</v>
      </c>
      <c r="G3481" s="314" t="s">
        <v>2011</v>
      </c>
      <c r="H3481" s="283" t="s">
        <v>2012</v>
      </c>
      <c r="I3481" s="315">
        <v>0</v>
      </c>
      <c r="J3481" s="315">
        <v>0</v>
      </c>
      <c r="K3481" s="314" t="s">
        <v>2034</v>
      </c>
      <c r="L3481" s="283" t="s">
        <v>2035</v>
      </c>
      <c r="M3481" s="1" t="s">
        <v>271</v>
      </c>
      <c r="N3481" s="442">
        <v>0</v>
      </c>
      <c r="O3481" s="442"/>
      <c r="P3481" s="149"/>
      <c r="Q3481" s="149"/>
      <c r="R3481" s="149"/>
      <c r="S3481" s="19"/>
      <c r="U3481" s="283" t="e">
        <v>#N/A</v>
      </c>
      <c r="V3481" s="283" t="s">
        <v>2036</v>
      </c>
      <c r="W3481" s="283">
        <v>0</v>
      </c>
      <c r="X3481" s="283">
        <v>0</v>
      </c>
      <c r="Y3481" s="283">
        <v>0</v>
      </c>
      <c r="Z3481" s="283">
        <v>0</v>
      </c>
      <c r="AA3481" s="283">
        <v>0</v>
      </c>
      <c r="AB3481" s="283">
        <v>0</v>
      </c>
      <c r="AC3481" s="316">
        <v>0</v>
      </c>
      <c r="AD3481" s="316">
        <v>0</v>
      </c>
      <c r="AE3481" s="302">
        <f t="shared" si="131"/>
        <v>0</v>
      </c>
      <c r="AF3481" s="310"/>
      <c r="AG3481" s="17">
        <v>0</v>
      </c>
      <c r="AH3481" s="310">
        <v>0.02</v>
      </c>
      <c r="AI3481" s="310">
        <v>0.02</v>
      </c>
      <c r="AJ3481" s="310">
        <v>0.02</v>
      </c>
      <c r="AK3481" s="317"/>
      <c r="AL3481" s="317"/>
      <c r="AM3481" s="147">
        <f t="shared" si="130"/>
        <v>0</v>
      </c>
      <c r="AN3481" s="283" t="s">
        <v>1581</v>
      </c>
      <c r="AO3481" s="18" t="s">
        <v>1583</v>
      </c>
      <c r="AP3481" s="283" t="s">
        <v>1584</v>
      </c>
    </row>
    <row r="3482" spans="1:42" x14ac:dyDescent="0.3">
      <c r="A3482" s="314" t="s">
        <v>1470</v>
      </c>
      <c r="B3482" s="283" t="s">
        <v>1502</v>
      </c>
      <c r="C3482" s="314" t="s">
        <v>1474</v>
      </c>
      <c r="D3482" s="283" t="s">
        <v>1821</v>
      </c>
      <c r="E3482" s="314" t="s">
        <v>1476</v>
      </c>
      <c r="F3482" s="283" t="s">
        <v>1952</v>
      </c>
      <c r="G3482" s="314" t="s">
        <v>2011</v>
      </c>
      <c r="H3482" s="283" t="s">
        <v>2012</v>
      </c>
      <c r="I3482" s="315">
        <v>0</v>
      </c>
      <c r="J3482" s="315">
        <v>0</v>
      </c>
      <c r="K3482" s="314" t="s">
        <v>2037</v>
      </c>
      <c r="L3482" s="283" t="s">
        <v>2038</v>
      </c>
      <c r="M3482" s="1" t="s">
        <v>271</v>
      </c>
      <c r="N3482" s="442">
        <v>0</v>
      </c>
      <c r="O3482" s="442"/>
      <c r="P3482" s="149"/>
      <c r="Q3482" s="149"/>
      <c r="R3482" s="149"/>
      <c r="S3482" s="19"/>
      <c r="U3482" s="283" t="e">
        <v>#N/A</v>
      </c>
      <c r="V3482" s="283" t="s">
        <v>2039</v>
      </c>
      <c r="W3482" s="283">
        <v>0</v>
      </c>
      <c r="X3482" s="283">
        <v>0</v>
      </c>
      <c r="Y3482" s="283">
        <v>0</v>
      </c>
      <c r="Z3482" s="283">
        <v>0</v>
      </c>
      <c r="AA3482" s="283">
        <v>0</v>
      </c>
      <c r="AB3482" s="283">
        <v>0</v>
      </c>
      <c r="AC3482" s="316">
        <v>0</v>
      </c>
      <c r="AD3482" s="316">
        <v>0</v>
      </c>
      <c r="AE3482" s="302">
        <f t="shared" si="131"/>
        <v>0</v>
      </c>
      <c r="AF3482" s="310">
        <v>0</v>
      </c>
      <c r="AG3482" s="17">
        <v>0</v>
      </c>
      <c r="AH3482" s="310">
        <v>0.02</v>
      </c>
      <c r="AI3482" s="310">
        <v>0.02</v>
      </c>
      <c r="AJ3482" s="310">
        <v>0.02</v>
      </c>
      <c r="AK3482" s="317"/>
      <c r="AL3482" s="317"/>
      <c r="AM3482" s="147">
        <f t="shared" si="130"/>
        <v>0</v>
      </c>
      <c r="AN3482" s="283" t="s">
        <v>1581</v>
      </c>
      <c r="AO3482" s="18" t="s">
        <v>1583</v>
      </c>
      <c r="AP3482" s="283" t="s">
        <v>1584</v>
      </c>
    </row>
    <row r="3483" spans="1:42" x14ac:dyDescent="0.3">
      <c r="A3483" s="314" t="s">
        <v>1470</v>
      </c>
      <c r="B3483" s="283" t="s">
        <v>1502</v>
      </c>
      <c r="C3483" s="314" t="s">
        <v>1474</v>
      </c>
      <c r="D3483" s="283" t="s">
        <v>1821</v>
      </c>
      <c r="E3483" s="314" t="s">
        <v>1476</v>
      </c>
      <c r="F3483" s="283" t="s">
        <v>1952</v>
      </c>
      <c r="G3483" s="314" t="s">
        <v>2011</v>
      </c>
      <c r="H3483" s="283" t="s">
        <v>2012</v>
      </c>
      <c r="I3483" s="315">
        <v>0</v>
      </c>
      <c r="J3483" s="315">
        <v>0</v>
      </c>
      <c r="K3483" s="314" t="s">
        <v>2040</v>
      </c>
      <c r="L3483" s="283" t="s">
        <v>2041</v>
      </c>
      <c r="M3483" s="1" t="s">
        <v>271</v>
      </c>
      <c r="N3483" s="442">
        <v>0</v>
      </c>
      <c r="O3483" s="442"/>
      <c r="P3483" s="149"/>
      <c r="Q3483" s="149"/>
      <c r="R3483" s="149"/>
      <c r="S3483" s="19"/>
      <c r="U3483" s="283" t="e">
        <v>#N/A</v>
      </c>
      <c r="V3483" s="283" t="s">
        <v>2042</v>
      </c>
      <c r="W3483" s="283">
        <v>0</v>
      </c>
      <c r="X3483" s="283">
        <v>0</v>
      </c>
      <c r="Y3483" s="283">
        <v>0</v>
      </c>
      <c r="Z3483" s="283">
        <v>0</v>
      </c>
      <c r="AA3483" s="283">
        <v>0</v>
      </c>
      <c r="AB3483" s="283">
        <v>0</v>
      </c>
      <c r="AC3483" s="316">
        <v>0</v>
      </c>
      <c r="AD3483" s="316">
        <v>0</v>
      </c>
      <c r="AE3483" s="302">
        <f t="shared" si="131"/>
        <v>0</v>
      </c>
      <c r="AF3483" s="17">
        <v>0</v>
      </c>
      <c r="AG3483" s="17">
        <v>0</v>
      </c>
      <c r="AH3483" s="17">
        <v>0</v>
      </c>
      <c r="AI3483" s="310">
        <v>0.5</v>
      </c>
      <c r="AJ3483" s="310">
        <v>0.5</v>
      </c>
      <c r="AK3483" s="317"/>
      <c r="AL3483" s="317"/>
      <c r="AM3483" s="147">
        <f t="shared" si="130"/>
        <v>0</v>
      </c>
      <c r="AN3483" s="283" t="s">
        <v>723</v>
      </c>
      <c r="AO3483" s="18" t="s">
        <v>729</v>
      </c>
      <c r="AP3483" s="283" t="s">
        <v>2043</v>
      </c>
    </row>
    <row r="3484" spans="1:42" x14ac:dyDescent="0.3">
      <c r="A3484" s="314" t="s">
        <v>1470</v>
      </c>
      <c r="B3484" s="283" t="s">
        <v>1502</v>
      </c>
      <c r="C3484" s="314" t="s">
        <v>1474</v>
      </c>
      <c r="D3484" s="283" t="s">
        <v>1821</v>
      </c>
      <c r="E3484" s="314" t="s">
        <v>1476</v>
      </c>
      <c r="F3484" s="283" t="s">
        <v>1952</v>
      </c>
      <c r="G3484" s="314" t="s">
        <v>2011</v>
      </c>
      <c r="H3484" s="283" t="s">
        <v>2012</v>
      </c>
      <c r="I3484" s="315">
        <v>0</v>
      </c>
      <c r="J3484" s="315">
        <v>0</v>
      </c>
      <c r="K3484" s="314" t="s">
        <v>2044</v>
      </c>
      <c r="L3484" s="283" t="s">
        <v>2045</v>
      </c>
      <c r="M3484" s="1" t="s">
        <v>271</v>
      </c>
      <c r="N3484" s="442">
        <v>0</v>
      </c>
      <c r="O3484" s="430"/>
      <c r="P3484" s="19"/>
      <c r="Q3484" s="152"/>
      <c r="R3484" s="19"/>
      <c r="S3484" s="19"/>
      <c r="T3484" s="18"/>
      <c r="U3484" s="283" t="e">
        <v>#N/A</v>
      </c>
      <c r="V3484" s="283" t="s">
        <v>2046</v>
      </c>
      <c r="W3484" s="283">
        <v>1</v>
      </c>
      <c r="X3484" s="283">
        <v>0</v>
      </c>
      <c r="Y3484" s="283">
        <v>0</v>
      </c>
      <c r="Z3484" s="283">
        <v>1</v>
      </c>
      <c r="AA3484" s="283">
        <v>1</v>
      </c>
      <c r="AB3484" s="283">
        <v>1</v>
      </c>
      <c r="AC3484" s="316">
        <v>1</v>
      </c>
      <c r="AD3484" s="316">
        <v>1</v>
      </c>
      <c r="AE3484" s="302">
        <f t="shared" si="131"/>
        <v>0.75</v>
      </c>
      <c r="AF3484" s="17">
        <v>0</v>
      </c>
      <c r="AG3484" s="17">
        <v>0</v>
      </c>
      <c r="AH3484" s="17">
        <v>0</v>
      </c>
      <c r="AI3484" s="17">
        <v>0</v>
      </c>
      <c r="AJ3484" s="17">
        <v>0</v>
      </c>
      <c r="AK3484" s="153">
        <v>0</v>
      </c>
      <c r="AL3484" s="154">
        <v>0</v>
      </c>
      <c r="AM3484" s="147">
        <f t="shared" si="130"/>
        <v>0</v>
      </c>
      <c r="AN3484" s="18" t="s">
        <v>771</v>
      </c>
      <c r="AO3484" s="18" t="s">
        <v>773</v>
      </c>
      <c r="AP3484" s="283" t="s">
        <v>2047</v>
      </c>
    </row>
    <row r="3485" spans="1:42" x14ac:dyDescent="0.3">
      <c r="A3485" s="314" t="s">
        <v>1470</v>
      </c>
      <c r="B3485" s="283" t="s">
        <v>1502</v>
      </c>
      <c r="C3485" s="314" t="s">
        <v>1474</v>
      </c>
      <c r="D3485" s="283" t="s">
        <v>1821</v>
      </c>
      <c r="E3485" s="314" t="s">
        <v>1476</v>
      </c>
      <c r="F3485" s="283" t="s">
        <v>1952</v>
      </c>
      <c r="G3485" s="314" t="s">
        <v>2011</v>
      </c>
      <c r="H3485" s="283" t="s">
        <v>2012</v>
      </c>
      <c r="I3485" s="315">
        <v>0</v>
      </c>
      <c r="J3485" s="315">
        <v>0</v>
      </c>
      <c r="K3485" s="314" t="s">
        <v>2048</v>
      </c>
      <c r="L3485" s="283" t="s">
        <v>2049</v>
      </c>
      <c r="M3485" s="1" t="s">
        <v>2050</v>
      </c>
      <c r="N3485" s="442">
        <v>0</v>
      </c>
      <c r="O3485" s="442"/>
      <c r="P3485" s="149"/>
      <c r="Q3485" s="149"/>
      <c r="R3485" s="149"/>
      <c r="S3485" s="19"/>
      <c r="U3485" s="283" t="e">
        <v>#N/A</v>
      </c>
      <c r="V3485" s="283" t="s">
        <v>2051</v>
      </c>
      <c r="W3485" s="283">
        <v>1</v>
      </c>
      <c r="X3485" s="283">
        <v>0</v>
      </c>
      <c r="Y3485" s="283">
        <v>0</v>
      </c>
      <c r="Z3485" s="283">
        <v>1</v>
      </c>
      <c r="AA3485" s="283">
        <v>1</v>
      </c>
      <c r="AB3485" s="283">
        <v>1</v>
      </c>
      <c r="AC3485" s="316">
        <v>1</v>
      </c>
      <c r="AD3485" s="316">
        <v>1</v>
      </c>
      <c r="AE3485" s="302">
        <f t="shared" si="131"/>
        <v>0.75</v>
      </c>
      <c r="AF3485" s="310">
        <v>0</v>
      </c>
      <c r="AG3485" s="17">
        <v>0</v>
      </c>
      <c r="AH3485" s="310">
        <v>34.840000000000003</v>
      </c>
      <c r="AI3485" s="310">
        <v>36.1</v>
      </c>
      <c r="AJ3485" s="310">
        <v>34.840000000000003</v>
      </c>
      <c r="AK3485" s="317">
        <v>0.06</v>
      </c>
      <c r="AL3485" s="317">
        <v>0.6</v>
      </c>
      <c r="AM3485" s="147">
        <f t="shared" si="130"/>
        <v>0.65999999999999992</v>
      </c>
      <c r="AN3485" s="283" t="s">
        <v>255</v>
      </c>
      <c r="AO3485" s="18" t="s">
        <v>1045</v>
      </c>
      <c r="AP3485" s="283" t="s">
        <v>280</v>
      </c>
    </row>
    <row r="3486" spans="1:42" x14ac:dyDescent="0.3">
      <c r="A3486" s="314" t="s">
        <v>1470</v>
      </c>
      <c r="B3486" s="283" t="s">
        <v>1502</v>
      </c>
      <c r="C3486" s="314" t="s">
        <v>1474</v>
      </c>
      <c r="D3486" s="283" t="s">
        <v>1821</v>
      </c>
      <c r="E3486" s="314" t="s">
        <v>1476</v>
      </c>
      <c r="F3486" s="283" t="s">
        <v>1952</v>
      </c>
      <c r="G3486" s="314" t="s">
        <v>2011</v>
      </c>
      <c r="H3486" s="283" t="s">
        <v>2012</v>
      </c>
      <c r="I3486" s="315">
        <v>0</v>
      </c>
      <c r="J3486" s="315">
        <v>0</v>
      </c>
      <c r="K3486" s="314" t="s">
        <v>2052</v>
      </c>
      <c r="L3486" s="283" t="s">
        <v>2053</v>
      </c>
      <c r="M3486" s="1" t="s">
        <v>271</v>
      </c>
      <c r="N3486" s="442">
        <v>0</v>
      </c>
      <c r="O3486" s="442"/>
      <c r="P3486" s="149"/>
      <c r="Q3486" s="149"/>
      <c r="R3486" s="149"/>
      <c r="S3486" s="19"/>
      <c r="U3486" s="283" t="e">
        <v>#N/A</v>
      </c>
      <c r="V3486" s="283" t="s">
        <v>2054</v>
      </c>
      <c r="W3486" s="283">
        <v>0</v>
      </c>
      <c r="X3486" s="283">
        <v>0</v>
      </c>
      <c r="Y3486" s="283">
        <v>0</v>
      </c>
      <c r="Z3486" s="283">
        <v>0</v>
      </c>
      <c r="AA3486" s="283">
        <v>0</v>
      </c>
      <c r="AB3486" s="283">
        <v>0</v>
      </c>
      <c r="AC3486" s="316">
        <v>0</v>
      </c>
      <c r="AD3486" s="316">
        <v>0</v>
      </c>
      <c r="AE3486" s="302">
        <f t="shared" si="131"/>
        <v>0</v>
      </c>
      <c r="AF3486" s="310">
        <v>0</v>
      </c>
      <c r="AG3486" s="17">
        <v>0</v>
      </c>
      <c r="AH3486" s="310">
        <v>0</v>
      </c>
      <c r="AI3486" s="310">
        <v>0.2</v>
      </c>
      <c r="AJ3486" s="310">
        <v>0.2</v>
      </c>
      <c r="AK3486" s="317">
        <v>0</v>
      </c>
      <c r="AL3486" s="317">
        <v>0</v>
      </c>
      <c r="AM3486" s="147">
        <f t="shared" si="130"/>
        <v>0</v>
      </c>
      <c r="AN3486" s="283" t="s">
        <v>1610</v>
      </c>
      <c r="AO3486" s="18" t="s">
        <v>773</v>
      </c>
      <c r="AP3486" s="283" t="s">
        <v>119</v>
      </c>
    </row>
    <row r="3487" spans="1:42" x14ac:dyDescent="0.3">
      <c r="A3487" s="314" t="s">
        <v>1470</v>
      </c>
      <c r="B3487" s="283" t="s">
        <v>1502</v>
      </c>
      <c r="C3487" s="314" t="s">
        <v>1474</v>
      </c>
      <c r="D3487" s="283" t="s">
        <v>1821</v>
      </c>
      <c r="E3487" s="314" t="s">
        <v>1476</v>
      </c>
      <c r="F3487" s="283" t="s">
        <v>1952</v>
      </c>
      <c r="G3487" s="314" t="s">
        <v>2011</v>
      </c>
      <c r="H3487" s="283" t="s">
        <v>2012</v>
      </c>
      <c r="I3487" s="315">
        <v>0</v>
      </c>
      <c r="J3487" s="315">
        <v>0</v>
      </c>
      <c r="K3487" s="314" t="s">
        <v>2055</v>
      </c>
      <c r="L3487" s="283" t="s">
        <v>2056</v>
      </c>
      <c r="M3487" s="1" t="s">
        <v>2057</v>
      </c>
      <c r="N3487" s="442"/>
      <c r="O3487" s="442">
        <v>1</v>
      </c>
      <c r="P3487" s="149">
        <v>1</v>
      </c>
      <c r="Q3487" s="149">
        <v>1</v>
      </c>
      <c r="R3487" s="149">
        <v>1</v>
      </c>
      <c r="S3487" s="19">
        <v>1</v>
      </c>
      <c r="U3487" s="283" t="e">
        <v>#N/A</v>
      </c>
      <c r="AC3487" s="316">
        <v>0</v>
      </c>
      <c r="AD3487" s="316">
        <v>0</v>
      </c>
      <c r="AE3487" s="302">
        <f t="shared" si="131"/>
        <v>0</v>
      </c>
      <c r="AF3487" s="4"/>
      <c r="AG3487" s="17">
        <v>0</v>
      </c>
      <c r="AM3487" s="147">
        <f t="shared" si="130"/>
        <v>0</v>
      </c>
      <c r="AO3487" s="18"/>
    </row>
    <row r="3488" spans="1:42" x14ac:dyDescent="0.3">
      <c r="A3488" s="314" t="s">
        <v>1470</v>
      </c>
      <c r="B3488" s="283" t="s">
        <v>1502</v>
      </c>
      <c r="C3488" s="314" t="s">
        <v>1474</v>
      </c>
      <c r="D3488" s="283" t="s">
        <v>1821</v>
      </c>
      <c r="E3488" s="314" t="s">
        <v>1476</v>
      </c>
      <c r="F3488" s="283" t="s">
        <v>1952</v>
      </c>
      <c r="G3488" s="314" t="s">
        <v>2011</v>
      </c>
      <c r="H3488" s="283" t="s">
        <v>2012</v>
      </c>
      <c r="I3488" s="315">
        <v>0</v>
      </c>
      <c r="J3488" s="315">
        <v>0</v>
      </c>
      <c r="K3488" s="314" t="s">
        <v>2058</v>
      </c>
      <c r="L3488" s="283" t="s">
        <v>2059</v>
      </c>
      <c r="M3488" s="1" t="s">
        <v>271</v>
      </c>
      <c r="N3488" s="442">
        <v>0</v>
      </c>
      <c r="O3488" s="442"/>
      <c r="P3488" s="149"/>
      <c r="Q3488" s="149"/>
      <c r="R3488" s="149"/>
      <c r="S3488" s="19"/>
      <c r="U3488" s="283" t="e">
        <v>#N/A</v>
      </c>
      <c r="V3488" s="283" t="s">
        <v>2060</v>
      </c>
      <c r="W3488" s="283">
        <v>1</v>
      </c>
      <c r="X3488" s="283">
        <v>0</v>
      </c>
      <c r="Y3488" s="283">
        <v>0</v>
      </c>
      <c r="Z3488" s="283">
        <v>1</v>
      </c>
      <c r="AA3488" s="283">
        <v>1</v>
      </c>
      <c r="AB3488" s="283">
        <v>1</v>
      </c>
      <c r="AC3488" s="316">
        <v>1</v>
      </c>
      <c r="AD3488" s="316">
        <v>1</v>
      </c>
      <c r="AE3488" s="302">
        <f t="shared" si="131"/>
        <v>0.75</v>
      </c>
      <c r="AF3488" s="310">
        <v>0</v>
      </c>
      <c r="AG3488" s="17">
        <v>0</v>
      </c>
      <c r="AH3488" s="310">
        <v>6.58</v>
      </c>
      <c r="AI3488" s="310">
        <v>6.58</v>
      </c>
      <c r="AJ3488" s="310">
        <v>6.58</v>
      </c>
      <c r="AK3488" s="317">
        <v>0.2</v>
      </c>
      <c r="AL3488" s="317">
        <v>0.4</v>
      </c>
      <c r="AM3488" s="147">
        <f t="shared" si="130"/>
        <v>0.60000000000000009</v>
      </c>
      <c r="AN3488" s="283" t="s">
        <v>1610</v>
      </c>
      <c r="AO3488" s="18" t="s">
        <v>773</v>
      </c>
      <c r="AP3488" s="283" t="s">
        <v>119</v>
      </c>
    </row>
    <row r="3489" spans="1:39" customFormat="1" x14ac:dyDescent="0.3">
      <c r="A3489" s="386" t="s">
        <v>1470</v>
      </c>
      <c r="B3489" t="s">
        <v>1502</v>
      </c>
      <c r="C3489" s="200" t="s">
        <v>13183</v>
      </c>
      <c r="D3489" t="s">
        <v>6838</v>
      </c>
      <c r="E3489" s="200" t="s">
        <v>13184</v>
      </c>
      <c r="F3489" t="s">
        <v>12811</v>
      </c>
      <c r="G3489" s="200" t="s">
        <v>13185</v>
      </c>
      <c r="H3489" t="s">
        <v>12812</v>
      </c>
      <c r="K3489" s="200" t="s">
        <v>13186</v>
      </c>
      <c r="L3489" t="s">
        <v>12754</v>
      </c>
      <c r="M3489" s="1"/>
      <c r="N3489" s="423"/>
      <c r="O3489" s="1"/>
      <c r="P3489" s="3"/>
      <c r="Q3489" s="3"/>
      <c r="R3489" s="3"/>
      <c r="S3489" s="3"/>
      <c r="V3489" t="s">
        <v>12755</v>
      </c>
      <c r="AF3489" s="64"/>
      <c r="AH3489" s="4"/>
      <c r="AI3489" s="4"/>
      <c r="AJ3489" s="4"/>
      <c r="AK3489" s="398"/>
      <c r="AL3489" s="398"/>
      <c r="AM3489" s="4"/>
    </row>
    <row r="3490" spans="1:39" customFormat="1" x14ac:dyDescent="0.3">
      <c r="A3490" s="386" t="s">
        <v>1470</v>
      </c>
      <c r="B3490" t="s">
        <v>1502</v>
      </c>
      <c r="C3490" s="200" t="s">
        <v>13183</v>
      </c>
      <c r="D3490" t="s">
        <v>6838</v>
      </c>
      <c r="E3490" s="200" t="s">
        <v>13184</v>
      </c>
      <c r="F3490" t="s">
        <v>12811</v>
      </c>
      <c r="G3490" s="200" t="s">
        <v>13185</v>
      </c>
      <c r="H3490" t="s">
        <v>12812</v>
      </c>
      <c r="K3490" s="200" t="s">
        <v>13187</v>
      </c>
      <c r="L3490" t="s">
        <v>12808</v>
      </c>
      <c r="M3490" s="1"/>
      <c r="N3490" s="423"/>
      <c r="O3490" s="1"/>
      <c r="P3490" s="3"/>
      <c r="Q3490" s="3"/>
      <c r="R3490" s="3"/>
      <c r="S3490" s="3"/>
      <c r="V3490" t="s">
        <v>12809</v>
      </c>
      <c r="AF3490" s="64"/>
      <c r="AH3490" s="4"/>
      <c r="AI3490" s="4"/>
      <c r="AJ3490" s="4"/>
      <c r="AK3490" s="398"/>
      <c r="AL3490" s="398"/>
      <c r="AM3490" s="4"/>
    </row>
    <row r="3491" spans="1:39" customFormat="1" x14ac:dyDescent="0.3">
      <c r="A3491" s="386" t="s">
        <v>1470</v>
      </c>
      <c r="B3491" t="s">
        <v>1502</v>
      </c>
      <c r="C3491" s="200" t="s">
        <v>13183</v>
      </c>
      <c r="D3491" t="s">
        <v>6838</v>
      </c>
      <c r="E3491" s="200" t="s">
        <v>13184</v>
      </c>
      <c r="F3491" t="s">
        <v>12811</v>
      </c>
      <c r="G3491" s="200" t="s">
        <v>13185</v>
      </c>
      <c r="H3491" t="s">
        <v>12812</v>
      </c>
      <c r="K3491" s="200" t="s">
        <v>13188</v>
      </c>
      <c r="L3491" t="s">
        <v>12756</v>
      </c>
      <c r="M3491" s="1" t="s">
        <v>5766</v>
      </c>
      <c r="N3491" s="423"/>
      <c r="O3491" s="1"/>
      <c r="P3491" s="3"/>
      <c r="Q3491" s="3"/>
      <c r="R3491" s="3"/>
      <c r="S3491" s="3"/>
      <c r="V3491" t="s">
        <v>12792</v>
      </c>
      <c r="AF3491" s="64"/>
      <c r="AH3491" s="4"/>
      <c r="AI3491" s="4"/>
      <c r="AJ3491" s="4"/>
      <c r="AK3491" s="46"/>
      <c r="AL3491" s="46"/>
      <c r="AM3491" s="4"/>
    </row>
    <row r="3492" spans="1:39" customFormat="1" x14ac:dyDescent="0.3">
      <c r="A3492" s="386" t="s">
        <v>1470</v>
      </c>
      <c r="B3492" t="s">
        <v>1502</v>
      </c>
      <c r="C3492" s="200" t="s">
        <v>13183</v>
      </c>
      <c r="D3492" t="s">
        <v>6838</v>
      </c>
      <c r="E3492" s="200" t="s">
        <v>13184</v>
      </c>
      <c r="F3492" t="s">
        <v>12811</v>
      </c>
      <c r="G3492" s="200" t="s">
        <v>13185</v>
      </c>
      <c r="H3492" t="s">
        <v>12812</v>
      </c>
      <c r="K3492" s="200" t="s">
        <v>13189</v>
      </c>
      <c r="L3492" t="s">
        <v>12757</v>
      </c>
      <c r="M3492" s="1" t="s">
        <v>12758</v>
      </c>
      <c r="N3492" s="423"/>
      <c r="O3492" s="1"/>
      <c r="P3492" s="3"/>
      <c r="Q3492" s="3"/>
      <c r="R3492" s="3"/>
      <c r="S3492" s="3"/>
      <c r="V3492" t="s">
        <v>12793</v>
      </c>
      <c r="AF3492" s="64"/>
      <c r="AH3492" s="4"/>
      <c r="AI3492" s="4"/>
      <c r="AJ3492" s="4"/>
      <c r="AK3492" s="46"/>
      <c r="AL3492" s="46"/>
      <c r="AM3492" s="4"/>
    </row>
    <row r="3493" spans="1:39" customFormat="1" x14ac:dyDescent="0.3">
      <c r="A3493" s="386" t="s">
        <v>1470</v>
      </c>
      <c r="B3493" t="s">
        <v>1502</v>
      </c>
      <c r="C3493" s="200" t="s">
        <v>13183</v>
      </c>
      <c r="D3493" t="s">
        <v>6838</v>
      </c>
      <c r="E3493" s="200" t="s">
        <v>13184</v>
      </c>
      <c r="F3493" t="s">
        <v>12811</v>
      </c>
      <c r="G3493" s="200" t="s">
        <v>13185</v>
      </c>
      <c r="H3493" t="s">
        <v>12812</v>
      </c>
      <c r="K3493" s="200" t="s">
        <v>13190</v>
      </c>
      <c r="L3493" t="s">
        <v>12759</v>
      </c>
      <c r="M3493" s="1" t="s">
        <v>12760</v>
      </c>
      <c r="N3493" s="423"/>
      <c r="O3493" s="1"/>
      <c r="P3493" s="3"/>
      <c r="Q3493" s="3"/>
      <c r="R3493" s="3"/>
      <c r="S3493" s="3"/>
      <c r="V3493" t="s">
        <v>12794</v>
      </c>
      <c r="AF3493" s="64"/>
      <c r="AH3493" s="4"/>
      <c r="AI3493" s="4"/>
      <c r="AJ3493" s="4"/>
      <c r="AK3493" s="46"/>
      <c r="AL3493" s="46"/>
      <c r="AM3493" s="4"/>
    </row>
    <row r="3494" spans="1:39" customFormat="1" x14ac:dyDescent="0.3">
      <c r="A3494" s="386" t="s">
        <v>1470</v>
      </c>
      <c r="B3494" t="s">
        <v>1502</v>
      </c>
      <c r="C3494" s="200" t="s">
        <v>13183</v>
      </c>
      <c r="D3494" t="s">
        <v>6838</v>
      </c>
      <c r="E3494" s="200" t="s">
        <v>13184</v>
      </c>
      <c r="F3494" t="s">
        <v>12811</v>
      </c>
      <c r="G3494" s="200" t="s">
        <v>13185</v>
      </c>
      <c r="H3494" t="s">
        <v>12812</v>
      </c>
      <c r="K3494" s="200" t="s">
        <v>13191</v>
      </c>
      <c r="L3494" t="s">
        <v>12761</v>
      </c>
      <c r="M3494" s="1" t="s">
        <v>12762</v>
      </c>
      <c r="N3494" s="423"/>
      <c r="O3494" s="1"/>
      <c r="P3494" s="3"/>
      <c r="Q3494" s="3"/>
      <c r="R3494" s="3"/>
      <c r="S3494" s="3"/>
      <c r="V3494" t="s">
        <v>5782</v>
      </c>
      <c r="AF3494" s="64"/>
      <c r="AH3494" s="4"/>
      <c r="AI3494" s="4"/>
      <c r="AJ3494" s="4"/>
      <c r="AK3494" s="46"/>
      <c r="AL3494" s="46"/>
      <c r="AM3494" s="4"/>
    </row>
    <row r="3495" spans="1:39" customFormat="1" x14ac:dyDescent="0.3">
      <c r="A3495" s="386" t="s">
        <v>1470</v>
      </c>
      <c r="B3495" t="s">
        <v>1502</v>
      </c>
      <c r="C3495" s="200" t="s">
        <v>13183</v>
      </c>
      <c r="D3495" t="s">
        <v>6838</v>
      </c>
      <c r="E3495" s="200" t="s">
        <v>13184</v>
      </c>
      <c r="F3495" t="s">
        <v>12811</v>
      </c>
      <c r="G3495" s="200" t="s">
        <v>13185</v>
      </c>
      <c r="H3495" t="s">
        <v>12812</v>
      </c>
      <c r="K3495" s="200" t="s">
        <v>13192</v>
      </c>
      <c r="L3495" t="s">
        <v>12763</v>
      </c>
      <c r="M3495" s="1" t="s">
        <v>12764</v>
      </c>
      <c r="N3495" s="423"/>
      <c r="O3495" s="1"/>
      <c r="P3495" s="3"/>
      <c r="Q3495" s="3"/>
      <c r="R3495" s="3"/>
      <c r="S3495" s="3"/>
      <c r="V3495" t="s">
        <v>5783</v>
      </c>
      <c r="AF3495" s="64"/>
      <c r="AH3495" s="4"/>
      <c r="AI3495" s="4"/>
      <c r="AJ3495" s="4"/>
      <c r="AK3495" s="46"/>
      <c r="AL3495" s="46"/>
      <c r="AM3495" s="4"/>
    </row>
    <row r="3496" spans="1:39" customFormat="1" x14ac:dyDescent="0.3">
      <c r="A3496" s="386" t="s">
        <v>1470</v>
      </c>
      <c r="B3496" t="s">
        <v>1502</v>
      </c>
      <c r="C3496" s="200" t="s">
        <v>13183</v>
      </c>
      <c r="D3496" t="s">
        <v>6838</v>
      </c>
      <c r="E3496" s="200" t="s">
        <v>13184</v>
      </c>
      <c r="F3496" t="s">
        <v>12811</v>
      </c>
      <c r="G3496" s="200" t="s">
        <v>13185</v>
      </c>
      <c r="H3496" t="s">
        <v>12812</v>
      </c>
      <c r="K3496" s="200" t="s">
        <v>13193</v>
      </c>
      <c r="L3496" t="s">
        <v>12765</v>
      </c>
      <c r="M3496" s="1" t="s">
        <v>12766</v>
      </c>
      <c r="N3496" s="423"/>
      <c r="O3496" s="1"/>
      <c r="P3496" s="3"/>
      <c r="Q3496" s="3"/>
      <c r="R3496" s="3"/>
      <c r="S3496" s="3"/>
      <c r="V3496" t="s">
        <v>12795</v>
      </c>
      <c r="AF3496" s="64"/>
      <c r="AH3496" s="4"/>
      <c r="AI3496" s="4"/>
      <c r="AJ3496" s="4"/>
      <c r="AK3496" s="46"/>
      <c r="AL3496" s="46"/>
      <c r="AM3496" s="4"/>
    </row>
    <row r="3497" spans="1:39" customFormat="1" x14ac:dyDescent="0.3">
      <c r="A3497" s="386" t="s">
        <v>1470</v>
      </c>
      <c r="B3497" t="s">
        <v>1502</v>
      </c>
      <c r="C3497" s="200" t="s">
        <v>13183</v>
      </c>
      <c r="D3497" t="s">
        <v>6838</v>
      </c>
      <c r="E3497" s="200" t="s">
        <v>13184</v>
      </c>
      <c r="F3497" t="s">
        <v>12811</v>
      </c>
      <c r="G3497" s="200" t="s">
        <v>13185</v>
      </c>
      <c r="H3497" t="s">
        <v>12812</v>
      </c>
      <c r="K3497" s="200" t="s">
        <v>13194</v>
      </c>
      <c r="L3497" t="s">
        <v>12767</v>
      </c>
      <c r="M3497" s="1" t="s">
        <v>12768</v>
      </c>
      <c r="N3497" s="423"/>
      <c r="O3497" s="1"/>
      <c r="P3497" s="3"/>
      <c r="Q3497" s="3"/>
      <c r="R3497" s="3"/>
      <c r="S3497" s="3"/>
      <c r="V3497" t="s">
        <v>12796</v>
      </c>
      <c r="AF3497" s="64"/>
      <c r="AH3497" s="4"/>
      <c r="AI3497" s="4"/>
      <c r="AJ3497" s="4"/>
      <c r="AK3497" s="46"/>
      <c r="AL3497" s="46"/>
      <c r="AM3497" s="4"/>
    </row>
    <row r="3498" spans="1:39" customFormat="1" x14ac:dyDescent="0.3">
      <c r="A3498" s="386" t="s">
        <v>1470</v>
      </c>
      <c r="B3498" t="s">
        <v>1502</v>
      </c>
      <c r="C3498" s="200" t="s">
        <v>13183</v>
      </c>
      <c r="D3498" t="s">
        <v>6838</v>
      </c>
      <c r="E3498" s="200" t="s">
        <v>13184</v>
      </c>
      <c r="F3498" t="s">
        <v>12811</v>
      </c>
      <c r="G3498" s="200" t="s">
        <v>13185</v>
      </c>
      <c r="H3498" t="s">
        <v>12812</v>
      </c>
      <c r="K3498" s="200" t="s">
        <v>13195</v>
      </c>
      <c r="L3498" t="s">
        <v>12769</v>
      </c>
      <c r="M3498" s="1" t="s">
        <v>12770</v>
      </c>
      <c r="N3498" s="423"/>
      <c r="O3498" s="1"/>
      <c r="P3498" s="3"/>
      <c r="Q3498" s="3"/>
      <c r="R3498" s="3"/>
      <c r="S3498" s="3"/>
      <c r="V3498" t="s">
        <v>5786</v>
      </c>
      <c r="AF3498" s="64"/>
      <c r="AH3498" s="4"/>
      <c r="AI3498" s="4"/>
      <c r="AJ3498" s="4"/>
      <c r="AK3498" s="46"/>
      <c r="AL3498" s="46"/>
      <c r="AM3498" s="4"/>
    </row>
    <row r="3499" spans="1:39" customFormat="1" x14ac:dyDescent="0.3">
      <c r="A3499" s="386" t="s">
        <v>1470</v>
      </c>
      <c r="B3499" t="s">
        <v>1502</v>
      </c>
      <c r="C3499" s="200" t="s">
        <v>13183</v>
      </c>
      <c r="D3499" t="s">
        <v>6838</v>
      </c>
      <c r="E3499" s="200" t="s">
        <v>13184</v>
      </c>
      <c r="F3499" t="s">
        <v>12811</v>
      </c>
      <c r="G3499" s="200" t="s">
        <v>13185</v>
      </c>
      <c r="H3499" t="s">
        <v>12812</v>
      </c>
      <c r="K3499" s="200" t="s">
        <v>13196</v>
      </c>
      <c r="L3499" t="s">
        <v>12771</v>
      </c>
      <c r="M3499" s="1" t="s">
        <v>12772</v>
      </c>
      <c r="N3499" s="423"/>
      <c r="O3499" s="1"/>
      <c r="P3499" s="3"/>
      <c r="Q3499" s="3"/>
      <c r="R3499" s="3"/>
      <c r="S3499" s="3"/>
      <c r="V3499" t="s">
        <v>12800</v>
      </c>
      <c r="AF3499" s="64"/>
      <c r="AH3499" s="4"/>
      <c r="AI3499" s="4"/>
      <c r="AJ3499" s="4"/>
      <c r="AK3499" s="46"/>
      <c r="AL3499" s="46"/>
      <c r="AM3499" s="4"/>
    </row>
    <row r="3500" spans="1:39" customFormat="1" x14ac:dyDescent="0.3">
      <c r="A3500" s="386" t="s">
        <v>1470</v>
      </c>
      <c r="B3500" t="s">
        <v>1502</v>
      </c>
      <c r="C3500" s="200" t="s">
        <v>13183</v>
      </c>
      <c r="D3500" t="s">
        <v>6838</v>
      </c>
      <c r="E3500" s="200" t="s">
        <v>13184</v>
      </c>
      <c r="F3500" t="s">
        <v>12811</v>
      </c>
      <c r="G3500" s="200" t="s">
        <v>13185</v>
      </c>
      <c r="H3500" t="s">
        <v>12812</v>
      </c>
      <c r="K3500" s="200" t="s">
        <v>13197</v>
      </c>
      <c r="L3500" t="s">
        <v>12773</v>
      </c>
      <c r="M3500" s="1" t="s">
        <v>12774</v>
      </c>
      <c r="N3500" s="423"/>
      <c r="O3500" s="1"/>
      <c r="P3500" s="3"/>
      <c r="Q3500" s="3"/>
      <c r="R3500" s="3"/>
      <c r="S3500" s="3"/>
      <c r="V3500" t="s">
        <v>12797</v>
      </c>
      <c r="AF3500" s="64"/>
      <c r="AH3500" s="4"/>
      <c r="AI3500" s="4"/>
      <c r="AJ3500" s="4"/>
      <c r="AK3500" s="46"/>
      <c r="AL3500" s="46"/>
      <c r="AM3500" s="4"/>
    </row>
    <row r="3501" spans="1:39" customFormat="1" x14ac:dyDescent="0.3">
      <c r="A3501" s="386" t="s">
        <v>1470</v>
      </c>
      <c r="B3501" t="s">
        <v>1502</v>
      </c>
      <c r="C3501" s="200" t="s">
        <v>13183</v>
      </c>
      <c r="D3501" t="s">
        <v>6838</v>
      </c>
      <c r="E3501" s="200" t="s">
        <v>13184</v>
      </c>
      <c r="F3501" t="s">
        <v>12811</v>
      </c>
      <c r="G3501" s="200" t="s">
        <v>13185</v>
      </c>
      <c r="H3501" t="s">
        <v>12812</v>
      </c>
      <c r="K3501" s="200" t="s">
        <v>13198</v>
      </c>
      <c r="L3501" t="s">
        <v>12775</v>
      </c>
      <c r="M3501" s="1" t="s">
        <v>12776</v>
      </c>
      <c r="N3501" s="423"/>
      <c r="O3501" s="1"/>
      <c r="P3501" s="3"/>
      <c r="Q3501" s="3"/>
      <c r="R3501" s="3"/>
      <c r="S3501" s="3"/>
      <c r="V3501" t="s">
        <v>12798</v>
      </c>
      <c r="AF3501" s="64"/>
      <c r="AH3501" s="4"/>
      <c r="AI3501" s="4"/>
      <c r="AJ3501" s="4"/>
      <c r="AK3501" s="46"/>
      <c r="AL3501" s="46"/>
      <c r="AM3501" s="4"/>
    </row>
    <row r="3502" spans="1:39" customFormat="1" x14ac:dyDescent="0.3">
      <c r="A3502" s="386" t="s">
        <v>1470</v>
      </c>
      <c r="B3502" t="s">
        <v>1502</v>
      </c>
      <c r="C3502" s="200" t="s">
        <v>13183</v>
      </c>
      <c r="D3502" t="s">
        <v>6838</v>
      </c>
      <c r="E3502" s="200" t="s">
        <v>13184</v>
      </c>
      <c r="F3502" t="s">
        <v>12811</v>
      </c>
      <c r="G3502" s="200" t="s">
        <v>13185</v>
      </c>
      <c r="H3502" t="s">
        <v>12812</v>
      </c>
      <c r="K3502" s="200" t="s">
        <v>13199</v>
      </c>
      <c r="L3502" t="s">
        <v>12777</v>
      </c>
      <c r="M3502" s="1" t="s">
        <v>12778</v>
      </c>
      <c r="N3502" s="423"/>
      <c r="O3502" s="1"/>
      <c r="P3502" s="3"/>
      <c r="Q3502" s="3"/>
      <c r="R3502" s="3"/>
      <c r="S3502" s="3"/>
      <c r="V3502" t="s">
        <v>5789</v>
      </c>
      <c r="AF3502" s="64"/>
      <c r="AH3502" s="4"/>
      <c r="AI3502" s="4"/>
      <c r="AJ3502" s="4"/>
      <c r="AK3502" s="46"/>
      <c r="AL3502" s="46"/>
      <c r="AM3502" s="4"/>
    </row>
    <row r="3503" spans="1:39" customFormat="1" x14ac:dyDescent="0.3">
      <c r="A3503" s="386" t="s">
        <v>1470</v>
      </c>
      <c r="B3503" t="s">
        <v>1502</v>
      </c>
      <c r="C3503" s="200" t="s">
        <v>13183</v>
      </c>
      <c r="D3503" t="s">
        <v>6838</v>
      </c>
      <c r="E3503" s="200" t="s">
        <v>13184</v>
      </c>
      <c r="F3503" t="s">
        <v>12811</v>
      </c>
      <c r="G3503" s="200" t="s">
        <v>13185</v>
      </c>
      <c r="H3503" t="s">
        <v>12812</v>
      </c>
      <c r="K3503" s="200" t="s">
        <v>13200</v>
      </c>
      <c r="L3503" t="s">
        <v>12779</v>
      </c>
      <c r="M3503" s="1" t="s">
        <v>12780</v>
      </c>
      <c r="N3503" s="423"/>
      <c r="O3503" s="1"/>
      <c r="P3503" s="3"/>
      <c r="Q3503" s="3"/>
      <c r="R3503" s="3"/>
      <c r="S3503" s="3"/>
      <c r="V3503" t="s">
        <v>12799</v>
      </c>
      <c r="AF3503" s="64"/>
      <c r="AH3503" s="4"/>
      <c r="AI3503" s="4"/>
      <c r="AJ3503" s="4"/>
      <c r="AK3503" s="46"/>
      <c r="AL3503" s="46"/>
      <c r="AM3503" s="4"/>
    </row>
    <row r="3504" spans="1:39" customFormat="1" x14ac:dyDescent="0.3">
      <c r="A3504" s="386" t="s">
        <v>1470</v>
      </c>
      <c r="B3504" t="s">
        <v>1502</v>
      </c>
      <c r="C3504" s="200" t="s">
        <v>13183</v>
      </c>
      <c r="D3504" t="s">
        <v>6838</v>
      </c>
      <c r="E3504" s="200" t="s">
        <v>13184</v>
      </c>
      <c r="F3504" t="s">
        <v>12811</v>
      </c>
      <c r="G3504" s="200" t="s">
        <v>13185</v>
      </c>
      <c r="H3504" t="s">
        <v>12812</v>
      </c>
      <c r="K3504" s="200" t="s">
        <v>13201</v>
      </c>
      <c r="L3504" t="s">
        <v>12806</v>
      </c>
      <c r="M3504" s="1" t="s">
        <v>12781</v>
      </c>
      <c r="N3504" s="423"/>
      <c r="O3504" s="1"/>
      <c r="P3504" s="3"/>
      <c r="Q3504" s="3"/>
      <c r="R3504" s="3"/>
      <c r="S3504" s="3"/>
      <c r="V3504" t="s">
        <v>12805</v>
      </c>
      <c r="AF3504" s="64"/>
      <c r="AH3504" s="4"/>
      <c r="AI3504" s="4"/>
      <c r="AJ3504" s="4"/>
      <c r="AK3504" s="46"/>
      <c r="AL3504" s="46"/>
      <c r="AM3504" s="4"/>
    </row>
    <row r="3505" spans="1:42" customFormat="1" x14ac:dyDescent="0.3">
      <c r="A3505" s="386" t="s">
        <v>1470</v>
      </c>
      <c r="B3505" t="s">
        <v>1502</v>
      </c>
      <c r="C3505" s="200" t="s">
        <v>13183</v>
      </c>
      <c r="D3505" t="s">
        <v>6838</v>
      </c>
      <c r="E3505" s="200" t="s">
        <v>13184</v>
      </c>
      <c r="F3505" t="s">
        <v>12811</v>
      </c>
      <c r="G3505" s="200" t="s">
        <v>13185</v>
      </c>
      <c r="H3505" t="s">
        <v>12812</v>
      </c>
      <c r="K3505" s="200" t="s">
        <v>13202</v>
      </c>
      <c r="L3505" t="s">
        <v>12782</v>
      </c>
      <c r="M3505" s="1"/>
      <c r="N3505" s="423"/>
      <c r="O3505" s="1"/>
      <c r="P3505" s="3"/>
      <c r="Q3505" s="3"/>
      <c r="R3505" s="3"/>
      <c r="S3505" s="3"/>
      <c r="V3505" t="s">
        <v>12782</v>
      </c>
      <c r="AF3505" s="64"/>
      <c r="AH3505" s="4"/>
      <c r="AI3505" s="4"/>
      <c r="AJ3505" s="4"/>
      <c r="AK3505" s="46"/>
      <c r="AL3505" s="46"/>
      <c r="AM3505" s="4"/>
    </row>
    <row r="3506" spans="1:42" customFormat="1" x14ac:dyDescent="0.3">
      <c r="A3506" s="386" t="s">
        <v>1470</v>
      </c>
      <c r="B3506" t="s">
        <v>1502</v>
      </c>
      <c r="C3506" s="200" t="s">
        <v>13183</v>
      </c>
      <c r="D3506" t="s">
        <v>6838</v>
      </c>
      <c r="E3506" s="200" t="s">
        <v>13184</v>
      </c>
      <c r="F3506" t="s">
        <v>12811</v>
      </c>
      <c r="G3506" s="200" t="s">
        <v>13185</v>
      </c>
      <c r="H3506" t="s">
        <v>12812</v>
      </c>
      <c r="K3506" s="200" t="s">
        <v>13186</v>
      </c>
      <c r="L3506" t="s">
        <v>12783</v>
      </c>
      <c r="M3506" s="1" t="s">
        <v>12784</v>
      </c>
      <c r="N3506" s="423"/>
      <c r="O3506" s="1"/>
      <c r="P3506" s="3"/>
      <c r="Q3506" s="3"/>
      <c r="R3506" s="3"/>
      <c r="S3506" s="3"/>
      <c r="V3506" t="s">
        <v>12783</v>
      </c>
      <c r="AF3506" s="64"/>
      <c r="AH3506" s="4"/>
      <c r="AI3506" s="4"/>
      <c r="AJ3506" s="4"/>
      <c r="AK3506" s="46"/>
      <c r="AL3506" s="46"/>
      <c r="AM3506" s="4"/>
    </row>
    <row r="3507" spans="1:42" customFormat="1" x14ac:dyDescent="0.3">
      <c r="A3507" s="386" t="s">
        <v>1470</v>
      </c>
      <c r="B3507" t="s">
        <v>1502</v>
      </c>
      <c r="C3507" s="200" t="s">
        <v>13183</v>
      </c>
      <c r="D3507" t="s">
        <v>6838</v>
      </c>
      <c r="E3507" s="200" t="s">
        <v>13184</v>
      </c>
      <c r="F3507" t="s">
        <v>12811</v>
      </c>
      <c r="G3507" s="200" t="s">
        <v>13185</v>
      </c>
      <c r="H3507" t="s">
        <v>12812</v>
      </c>
      <c r="K3507" s="200" t="s">
        <v>13186</v>
      </c>
      <c r="L3507" t="s">
        <v>12785</v>
      </c>
      <c r="M3507" s="1" t="s">
        <v>12786</v>
      </c>
      <c r="N3507" s="423"/>
      <c r="O3507" s="1"/>
      <c r="P3507" s="3"/>
      <c r="Q3507" s="3"/>
      <c r="R3507" s="3"/>
      <c r="S3507" s="3"/>
      <c r="V3507" t="s">
        <v>12801</v>
      </c>
      <c r="AF3507" s="64"/>
      <c r="AH3507" s="4"/>
      <c r="AI3507" s="4"/>
      <c r="AJ3507" s="4"/>
      <c r="AK3507" s="46"/>
      <c r="AL3507" s="46"/>
      <c r="AM3507" s="4"/>
    </row>
    <row r="3508" spans="1:42" customFormat="1" x14ac:dyDescent="0.3">
      <c r="A3508" s="386" t="s">
        <v>1470</v>
      </c>
      <c r="B3508" t="s">
        <v>1502</v>
      </c>
      <c r="C3508" s="200" t="s">
        <v>13183</v>
      </c>
      <c r="D3508" t="s">
        <v>6838</v>
      </c>
      <c r="E3508" s="200" t="s">
        <v>13184</v>
      </c>
      <c r="F3508" t="s">
        <v>12811</v>
      </c>
      <c r="G3508" s="200" t="s">
        <v>13185</v>
      </c>
      <c r="H3508" t="s">
        <v>12812</v>
      </c>
      <c r="K3508" s="200" t="s">
        <v>13203</v>
      </c>
      <c r="L3508" t="s">
        <v>12787</v>
      </c>
      <c r="M3508" s="1" t="s">
        <v>12788</v>
      </c>
      <c r="N3508" s="423"/>
      <c r="O3508" s="1"/>
      <c r="P3508" s="3"/>
      <c r="Q3508" s="3"/>
      <c r="R3508" s="3"/>
      <c r="S3508" s="3"/>
      <c r="V3508" t="s">
        <v>12802</v>
      </c>
      <c r="AF3508" s="64"/>
      <c r="AH3508" s="4"/>
      <c r="AI3508" s="4"/>
      <c r="AJ3508" s="4"/>
      <c r="AK3508" s="46"/>
      <c r="AL3508" s="46"/>
      <c r="AM3508" s="4"/>
    </row>
    <row r="3509" spans="1:42" customFormat="1" x14ac:dyDescent="0.3">
      <c r="A3509" s="386" t="s">
        <v>1470</v>
      </c>
      <c r="B3509" t="s">
        <v>1502</v>
      </c>
      <c r="C3509" s="200" t="s">
        <v>13183</v>
      </c>
      <c r="D3509" t="s">
        <v>6838</v>
      </c>
      <c r="E3509" s="200" t="s">
        <v>13184</v>
      </c>
      <c r="F3509" t="s">
        <v>12811</v>
      </c>
      <c r="G3509" s="200" t="s">
        <v>13185</v>
      </c>
      <c r="H3509" t="s">
        <v>12812</v>
      </c>
      <c r="K3509" s="200" t="s">
        <v>13204</v>
      </c>
      <c r="L3509" t="s">
        <v>12789</v>
      </c>
      <c r="M3509" s="1" t="s">
        <v>12790</v>
      </c>
      <c r="N3509" s="423"/>
      <c r="O3509" s="1"/>
      <c r="P3509" s="3"/>
      <c r="Q3509" s="3"/>
      <c r="R3509" s="3"/>
      <c r="S3509" s="3"/>
      <c r="V3509" t="s">
        <v>12803</v>
      </c>
      <c r="AF3509" s="64"/>
      <c r="AH3509" s="4"/>
      <c r="AI3509" s="4"/>
      <c r="AJ3509" s="4"/>
      <c r="AK3509" s="46"/>
      <c r="AL3509" s="46"/>
      <c r="AM3509" s="4"/>
    </row>
    <row r="3510" spans="1:42" customFormat="1" x14ac:dyDescent="0.3">
      <c r="A3510" s="386" t="s">
        <v>1470</v>
      </c>
      <c r="B3510" t="s">
        <v>1502</v>
      </c>
      <c r="C3510" s="200" t="s">
        <v>13183</v>
      </c>
      <c r="D3510" t="s">
        <v>6838</v>
      </c>
      <c r="E3510" s="200" t="s">
        <v>13184</v>
      </c>
      <c r="F3510" t="s">
        <v>12811</v>
      </c>
      <c r="G3510" s="200" t="s">
        <v>13185</v>
      </c>
      <c r="H3510" t="s">
        <v>12812</v>
      </c>
      <c r="K3510" s="200" t="s">
        <v>13205</v>
      </c>
      <c r="L3510" t="s">
        <v>12791</v>
      </c>
      <c r="M3510" s="1" t="s">
        <v>12807</v>
      </c>
      <c r="N3510" s="423"/>
      <c r="O3510" s="1"/>
      <c r="P3510" s="3"/>
      <c r="Q3510" s="3"/>
      <c r="R3510" s="3"/>
      <c r="S3510" s="3"/>
      <c r="V3510" t="s">
        <v>12804</v>
      </c>
      <c r="AF3510" s="64"/>
      <c r="AH3510" s="4"/>
      <c r="AI3510" s="4"/>
      <c r="AJ3510" s="4"/>
      <c r="AK3510" s="46"/>
      <c r="AL3510" s="46"/>
      <c r="AM3510" s="4"/>
    </row>
    <row r="3511" spans="1:42" s="53" customFormat="1" x14ac:dyDescent="0.3">
      <c r="A3511" s="50" t="s">
        <v>8321</v>
      </c>
      <c r="B3511" s="51" t="s">
        <v>8322</v>
      </c>
      <c r="C3511" s="50" t="s">
        <v>13276</v>
      </c>
      <c r="D3511" s="51" t="s">
        <v>1491</v>
      </c>
      <c r="E3511" s="50" t="s">
        <v>13276</v>
      </c>
      <c r="F3511" s="51" t="s">
        <v>1493</v>
      </c>
      <c r="G3511" s="50" t="s">
        <v>13276</v>
      </c>
      <c r="H3511" s="51" t="s">
        <v>1491</v>
      </c>
      <c r="I3511" s="51"/>
      <c r="J3511" s="51"/>
      <c r="K3511" s="50" t="s">
        <v>13276</v>
      </c>
      <c r="L3511" s="51" t="s">
        <v>1491</v>
      </c>
      <c r="M3511" s="60" t="s">
        <v>271</v>
      </c>
      <c r="N3511" s="60" t="s">
        <v>271</v>
      </c>
      <c r="O3511" s="60" t="s">
        <v>271</v>
      </c>
      <c r="P3511" s="60" t="s">
        <v>271</v>
      </c>
      <c r="Q3511" s="60" t="s">
        <v>271</v>
      </c>
      <c r="R3511" s="60" t="s">
        <v>271</v>
      </c>
      <c r="S3511" s="60" t="s">
        <v>271</v>
      </c>
      <c r="T3511" s="60" t="s">
        <v>271</v>
      </c>
      <c r="U3511" s="60" t="s">
        <v>271</v>
      </c>
      <c r="V3511" s="51" t="s">
        <v>1489</v>
      </c>
      <c r="W3511" s="54"/>
      <c r="X3511" s="54"/>
      <c r="Y3511" s="54"/>
      <c r="Z3511" s="54"/>
      <c r="AA3511" s="54"/>
      <c r="AB3511" s="54"/>
      <c r="AC3511" s="54"/>
      <c r="AD3511" s="54"/>
      <c r="AE3511" s="55"/>
      <c r="AF3511" s="56"/>
      <c r="AG3511" s="55"/>
      <c r="AH3511" s="56"/>
      <c r="AI3511" s="56"/>
      <c r="AJ3511" s="56"/>
      <c r="AK3511" s="57">
        <v>1478.2</v>
      </c>
      <c r="AL3511" s="57">
        <v>1478.2</v>
      </c>
      <c r="AM3511" s="56">
        <f>SUM(AK3511:AL3511)</f>
        <v>2956.4</v>
      </c>
      <c r="AN3511" s="52"/>
      <c r="AO3511" s="52"/>
      <c r="AP3511" s="51"/>
    </row>
    <row r="3512" spans="1:42" s="53" customFormat="1" x14ac:dyDescent="0.3">
      <c r="A3512" s="50" t="s">
        <v>8321</v>
      </c>
      <c r="B3512" s="51" t="s">
        <v>8322</v>
      </c>
      <c r="C3512" s="50" t="s">
        <v>13276</v>
      </c>
      <c r="D3512" s="51" t="s">
        <v>1491</v>
      </c>
      <c r="E3512" s="50" t="s">
        <v>13276</v>
      </c>
      <c r="F3512" s="51" t="s">
        <v>1493</v>
      </c>
      <c r="G3512" s="50" t="s">
        <v>13276</v>
      </c>
      <c r="H3512" s="51" t="s">
        <v>1491</v>
      </c>
      <c r="I3512" s="51"/>
      <c r="J3512" s="51"/>
      <c r="K3512" s="50" t="s">
        <v>13276</v>
      </c>
      <c r="L3512" s="51" t="s">
        <v>1491</v>
      </c>
      <c r="M3512" s="60" t="s">
        <v>271</v>
      </c>
      <c r="N3512" s="60" t="s">
        <v>271</v>
      </c>
      <c r="O3512" s="60" t="s">
        <v>271</v>
      </c>
      <c r="P3512" s="60" t="s">
        <v>271</v>
      </c>
      <c r="Q3512" s="60" t="s">
        <v>271</v>
      </c>
      <c r="R3512" s="60" t="s">
        <v>271</v>
      </c>
      <c r="S3512" s="60" t="s">
        <v>271</v>
      </c>
      <c r="T3512" s="60" t="s">
        <v>271</v>
      </c>
      <c r="U3512" s="60" t="s">
        <v>271</v>
      </c>
      <c r="V3512" s="51" t="s">
        <v>1490</v>
      </c>
      <c r="W3512" s="54"/>
      <c r="X3512" s="54"/>
      <c r="Y3512" s="54"/>
      <c r="Z3512" s="54"/>
      <c r="AA3512" s="54"/>
      <c r="AB3512" s="54"/>
      <c r="AC3512" s="54"/>
      <c r="AD3512" s="54"/>
      <c r="AE3512" s="55"/>
      <c r="AF3512" s="56"/>
      <c r="AG3512" s="55"/>
      <c r="AH3512" s="56"/>
      <c r="AI3512" s="56"/>
      <c r="AJ3512" s="56"/>
      <c r="AK3512" s="57">
        <v>591.28000000000009</v>
      </c>
      <c r="AL3512" s="57">
        <v>591.28000000000009</v>
      </c>
      <c r="AM3512" s="56">
        <f>SUM(AK3512:AL3512)</f>
        <v>1182.5600000000002</v>
      </c>
      <c r="AN3512" s="52"/>
      <c r="AO3512" s="52"/>
      <c r="AP3512" s="51"/>
    </row>
    <row r="3513" spans="1:42" s="53" customFormat="1" x14ac:dyDescent="0.3">
      <c r="A3513" s="50" t="s">
        <v>8321</v>
      </c>
      <c r="B3513" s="51" t="s">
        <v>8322</v>
      </c>
      <c r="C3513" s="50" t="s">
        <v>13276</v>
      </c>
      <c r="D3513" s="51" t="s">
        <v>1491</v>
      </c>
      <c r="E3513" s="50" t="s">
        <v>13276</v>
      </c>
      <c r="F3513" s="51" t="s">
        <v>1493</v>
      </c>
      <c r="G3513" s="50" t="s">
        <v>13276</v>
      </c>
      <c r="H3513" s="51" t="s">
        <v>1491</v>
      </c>
      <c r="I3513" s="51"/>
      <c r="J3513" s="51"/>
      <c r="K3513" s="50" t="s">
        <v>13276</v>
      </c>
      <c r="L3513" s="51" t="s">
        <v>1491</v>
      </c>
      <c r="M3513" s="60" t="s">
        <v>271</v>
      </c>
      <c r="N3513" s="60" t="s">
        <v>271</v>
      </c>
      <c r="O3513" s="60" t="s">
        <v>271</v>
      </c>
      <c r="P3513" s="60" t="s">
        <v>271</v>
      </c>
      <c r="Q3513" s="60" t="s">
        <v>271</v>
      </c>
      <c r="R3513" s="60" t="s">
        <v>271</v>
      </c>
      <c r="S3513" s="60" t="s">
        <v>271</v>
      </c>
      <c r="T3513" s="60" t="s">
        <v>271</v>
      </c>
      <c r="U3513" s="60" t="s">
        <v>271</v>
      </c>
      <c r="V3513" s="51" t="s">
        <v>1495</v>
      </c>
      <c r="W3513" s="54"/>
      <c r="X3513" s="54"/>
      <c r="Y3513" s="54"/>
      <c r="Z3513" s="54"/>
      <c r="AA3513" s="54"/>
      <c r="AB3513" s="54"/>
      <c r="AC3513" s="54"/>
      <c r="AD3513" s="54"/>
      <c r="AE3513" s="55"/>
      <c r="AF3513" s="56"/>
      <c r="AG3513" s="55"/>
      <c r="AH3513" s="56"/>
      <c r="AI3513" s="56"/>
      <c r="AJ3513" s="56"/>
      <c r="AK3513" s="57">
        <v>4640.8974069665983</v>
      </c>
      <c r="AL3513" s="57">
        <v>2134.5432603080008</v>
      </c>
      <c r="AM3513" s="56">
        <f>SUM(AK3513:AL3513)</f>
        <v>6775.440667274599</v>
      </c>
      <c r="AN3513" s="52"/>
      <c r="AO3513" s="52"/>
      <c r="AP3513" s="51"/>
    </row>
    <row r="3514" spans="1:42" s="162" customFormat="1" x14ac:dyDescent="0.3">
      <c r="A3514" s="205" t="s">
        <v>8321</v>
      </c>
      <c r="B3514" s="162" t="s">
        <v>8322</v>
      </c>
      <c r="C3514" s="168" t="s">
        <v>13277</v>
      </c>
      <c r="D3514" s="168" t="s">
        <v>13278</v>
      </c>
      <c r="E3514" s="168" t="s">
        <v>13279</v>
      </c>
      <c r="F3514" s="168" t="s">
        <v>13280</v>
      </c>
      <c r="G3514" s="168" t="s">
        <v>13281</v>
      </c>
      <c r="H3514" s="168" t="s">
        <v>13282</v>
      </c>
      <c r="I3514" s="168"/>
      <c r="J3514" s="168"/>
      <c r="K3514" s="168" t="s">
        <v>13283</v>
      </c>
      <c r="L3514" s="168" t="s">
        <v>13284</v>
      </c>
      <c r="M3514" s="168" t="s">
        <v>13285</v>
      </c>
      <c r="N3514" s="479">
        <v>0.68406593406593408</v>
      </c>
      <c r="O3514" s="479">
        <v>0.72985347985347981</v>
      </c>
      <c r="P3514" s="479">
        <v>0.77564102564102566</v>
      </c>
      <c r="Q3514" s="479">
        <v>0.8214285714285714</v>
      </c>
      <c r="R3514" s="479">
        <v>0.86721611721611724</v>
      </c>
      <c r="S3514" s="479">
        <v>0.91300366300366298</v>
      </c>
      <c r="T3514" s="184" t="s">
        <v>7194</v>
      </c>
      <c r="U3514" t="str">
        <f>VLOOKUP(T3514,[8]Votes!$A$1:$E$234,3,FALSE)</f>
        <v>144 Uganda Police Force</v>
      </c>
      <c r="V3514" s="168" t="s">
        <v>13286</v>
      </c>
      <c r="W3514" s="416">
        <v>1</v>
      </c>
      <c r="X3514" s="416">
        <v>1</v>
      </c>
      <c r="Y3514" s="416">
        <v>1</v>
      </c>
      <c r="Z3514" s="416">
        <v>1</v>
      </c>
      <c r="AA3514" s="416">
        <v>1</v>
      </c>
      <c r="AB3514" s="416">
        <v>0</v>
      </c>
      <c r="AC3514" s="150">
        <v>1</v>
      </c>
      <c r="AD3514" s="150">
        <v>1</v>
      </c>
      <c r="AE3514" s="49">
        <f t="shared" ref="AE3514:AE3577" si="132">SUM(W3514:AD3514)/8</f>
        <v>0.875</v>
      </c>
      <c r="AF3514" s="190">
        <v>1</v>
      </c>
      <c r="AG3514" s="17">
        <v>1</v>
      </c>
      <c r="AH3514" s="190">
        <v>40.353000000000002</v>
      </c>
      <c r="AI3514" s="190">
        <v>40.353000000000002</v>
      </c>
      <c r="AJ3514" s="190">
        <v>40.353000000000002</v>
      </c>
      <c r="AK3514" s="191">
        <v>40.35</v>
      </c>
      <c r="AL3514" s="191">
        <v>40.35</v>
      </c>
      <c r="AM3514" s="17">
        <f t="shared" ref="AM3514:AM3577" si="133">SUM(AK3514:AL3514)</f>
        <v>80.7</v>
      </c>
      <c r="AN3514" s="162" t="s">
        <v>7194</v>
      </c>
      <c r="AO3514" s="162" t="s">
        <v>7396</v>
      </c>
    </row>
    <row r="3515" spans="1:42" s="162" customFormat="1" x14ac:dyDescent="0.3">
      <c r="A3515" s="205" t="s">
        <v>8321</v>
      </c>
      <c r="B3515" s="162" t="s">
        <v>8322</v>
      </c>
      <c r="C3515" s="168" t="s">
        <v>13277</v>
      </c>
      <c r="D3515" s="168" t="s">
        <v>13278</v>
      </c>
      <c r="E3515" s="168" t="s">
        <v>13279</v>
      </c>
      <c r="F3515" s="168" t="s">
        <v>13280</v>
      </c>
      <c r="G3515" s="168" t="s">
        <v>13281</v>
      </c>
      <c r="H3515" s="168" t="s">
        <v>13282</v>
      </c>
      <c r="I3515" s="168"/>
      <c r="J3515" s="168"/>
      <c r="K3515" s="168" t="s">
        <v>13287</v>
      </c>
      <c r="L3515" s="168" t="s">
        <v>13288</v>
      </c>
      <c r="M3515" s="168" t="s">
        <v>13289</v>
      </c>
      <c r="N3515" s="168">
        <v>20</v>
      </c>
      <c r="O3515" s="189">
        <v>40</v>
      </c>
      <c r="P3515" s="189">
        <v>80</v>
      </c>
      <c r="Q3515" s="189">
        <v>120</v>
      </c>
      <c r="R3515" s="189">
        <v>160</v>
      </c>
      <c r="S3515" s="189">
        <v>200</v>
      </c>
      <c r="T3515" s="184" t="s">
        <v>7194</v>
      </c>
      <c r="U3515" t="str">
        <f>VLOOKUP(T3515,[8]Votes!$A$1:$E$234,3,FALSE)</f>
        <v>144 Uganda Police Force</v>
      </c>
      <c r="V3515" s="168" t="s">
        <v>13290</v>
      </c>
      <c r="W3515" s="416">
        <v>1</v>
      </c>
      <c r="X3515" s="416">
        <v>1</v>
      </c>
      <c r="Y3515" s="416">
        <v>1</v>
      </c>
      <c r="Z3515" s="416">
        <v>1</v>
      </c>
      <c r="AA3515" s="416">
        <v>1</v>
      </c>
      <c r="AB3515" s="416">
        <v>0</v>
      </c>
      <c r="AC3515" s="150">
        <v>0</v>
      </c>
      <c r="AD3515" s="150">
        <v>1</v>
      </c>
      <c r="AE3515" s="49">
        <f t="shared" si="132"/>
        <v>0.75</v>
      </c>
      <c r="AF3515" s="190">
        <v>1</v>
      </c>
      <c r="AG3515" s="17">
        <v>0</v>
      </c>
      <c r="AH3515" s="190">
        <v>9.016</v>
      </c>
      <c r="AI3515" s="190">
        <v>9.016</v>
      </c>
      <c r="AJ3515" s="190">
        <v>9.016</v>
      </c>
      <c r="AK3515" s="191">
        <v>9.016</v>
      </c>
      <c r="AL3515" s="191">
        <v>9.016</v>
      </c>
      <c r="AM3515" s="17">
        <f t="shared" si="133"/>
        <v>18.032</v>
      </c>
      <c r="AN3515" s="162" t="s">
        <v>7194</v>
      </c>
      <c r="AO3515" s="162" t="s">
        <v>7396</v>
      </c>
    </row>
    <row r="3516" spans="1:42" s="162" customFormat="1" x14ac:dyDescent="0.3">
      <c r="A3516" s="205" t="s">
        <v>8321</v>
      </c>
      <c r="B3516" s="162" t="s">
        <v>8322</v>
      </c>
      <c r="C3516" s="168" t="s">
        <v>13277</v>
      </c>
      <c r="D3516" s="168" t="s">
        <v>13278</v>
      </c>
      <c r="E3516" s="168" t="s">
        <v>13279</v>
      </c>
      <c r="F3516" s="168" t="s">
        <v>13280</v>
      </c>
      <c r="G3516" s="168" t="s">
        <v>13281</v>
      </c>
      <c r="H3516" s="168" t="s">
        <v>13282</v>
      </c>
      <c r="I3516" s="168"/>
      <c r="J3516" s="168"/>
      <c r="K3516" s="168" t="s">
        <v>13287</v>
      </c>
      <c r="L3516" s="168" t="s">
        <v>13288</v>
      </c>
      <c r="M3516" s="168" t="s">
        <v>13289</v>
      </c>
      <c r="N3516" s="168">
        <v>20</v>
      </c>
      <c r="O3516" s="189">
        <v>40</v>
      </c>
      <c r="P3516" s="189">
        <v>80</v>
      </c>
      <c r="Q3516" s="189">
        <v>120</v>
      </c>
      <c r="R3516" s="189"/>
      <c r="S3516" s="189"/>
      <c r="T3516" s="184" t="s">
        <v>7194</v>
      </c>
      <c r="U3516" t="str">
        <f>VLOOKUP(T3516,[8]Votes!$A$1:$E$234,3,FALSE)</f>
        <v>144 Uganda Police Force</v>
      </c>
      <c r="V3516" s="168" t="s">
        <v>13291</v>
      </c>
      <c r="W3516" s="416">
        <v>1</v>
      </c>
      <c r="X3516" s="416">
        <v>1</v>
      </c>
      <c r="Y3516" s="416">
        <v>1</v>
      </c>
      <c r="Z3516" s="416">
        <v>1</v>
      </c>
      <c r="AA3516" s="416">
        <v>1</v>
      </c>
      <c r="AB3516" s="416">
        <v>0</v>
      </c>
      <c r="AC3516" s="150">
        <v>0</v>
      </c>
      <c r="AD3516" s="150">
        <v>1</v>
      </c>
      <c r="AE3516" s="49">
        <f t="shared" si="132"/>
        <v>0.75</v>
      </c>
      <c r="AF3516" s="190">
        <v>1</v>
      </c>
      <c r="AG3516" s="17">
        <v>0</v>
      </c>
      <c r="AH3516" s="190">
        <v>3</v>
      </c>
      <c r="AI3516" s="190">
        <v>6</v>
      </c>
      <c r="AJ3516" s="190">
        <v>6</v>
      </c>
      <c r="AK3516" s="191">
        <v>0</v>
      </c>
      <c r="AL3516" s="191">
        <v>0</v>
      </c>
      <c r="AM3516" s="17">
        <f t="shared" si="133"/>
        <v>0</v>
      </c>
      <c r="AN3516" s="162" t="s">
        <v>7194</v>
      </c>
      <c r="AO3516" s="162" t="s">
        <v>7396</v>
      </c>
    </row>
    <row r="3517" spans="1:42" s="162" customFormat="1" x14ac:dyDescent="0.3">
      <c r="A3517" s="205" t="s">
        <v>8321</v>
      </c>
      <c r="B3517" s="162" t="s">
        <v>8322</v>
      </c>
      <c r="C3517" s="168" t="s">
        <v>13277</v>
      </c>
      <c r="D3517" s="168" t="s">
        <v>13278</v>
      </c>
      <c r="E3517" s="168" t="s">
        <v>13279</v>
      </c>
      <c r="F3517" s="168" t="s">
        <v>13280</v>
      </c>
      <c r="G3517" s="168" t="s">
        <v>13281</v>
      </c>
      <c r="H3517" s="168" t="s">
        <v>13282</v>
      </c>
      <c r="I3517" s="168"/>
      <c r="J3517" s="168"/>
      <c r="K3517" s="168" t="s">
        <v>13287</v>
      </c>
      <c r="L3517" s="168" t="s">
        <v>13288</v>
      </c>
      <c r="M3517" s="168" t="s">
        <v>13289</v>
      </c>
      <c r="N3517" s="168">
        <v>20</v>
      </c>
      <c r="O3517" s="189">
        <v>40</v>
      </c>
      <c r="P3517" s="189">
        <v>80</v>
      </c>
      <c r="Q3517" s="189">
        <v>120</v>
      </c>
      <c r="R3517" s="189">
        <v>40</v>
      </c>
      <c r="S3517" s="189">
        <v>40</v>
      </c>
      <c r="T3517" s="184" t="s">
        <v>7194</v>
      </c>
      <c r="U3517" t="str">
        <f>VLOOKUP(T3517,[8]Votes!$A$1:$E$234,3,FALSE)</f>
        <v>144 Uganda Police Force</v>
      </c>
      <c r="V3517" s="168" t="s">
        <v>13292</v>
      </c>
      <c r="W3517" s="416">
        <v>1</v>
      </c>
      <c r="X3517" s="416">
        <v>1</v>
      </c>
      <c r="Y3517" s="416">
        <v>1</v>
      </c>
      <c r="Z3517" s="416">
        <v>1</v>
      </c>
      <c r="AA3517" s="416">
        <v>1</v>
      </c>
      <c r="AB3517" s="416">
        <v>0</v>
      </c>
      <c r="AC3517" s="150">
        <v>0</v>
      </c>
      <c r="AD3517" s="150">
        <v>1</v>
      </c>
      <c r="AE3517" s="49">
        <f t="shared" si="132"/>
        <v>0.75</v>
      </c>
      <c r="AF3517" s="190">
        <v>1</v>
      </c>
      <c r="AG3517" s="17">
        <v>0</v>
      </c>
      <c r="AH3517" s="190">
        <v>3</v>
      </c>
      <c r="AI3517" s="190">
        <v>6</v>
      </c>
      <c r="AJ3517" s="190">
        <v>6</v>
      </c>
      <c r="AK3517" s="191">
        <v>1.5</v>
      </c>
      <c r="AL3517" s="191">
        <v>1.5</v>
      </c>
      <c r="AM3517" s="17">
        <f t="shared" si="133"/>
        <v>3</v>
      </c>
      <c r="AN3517" s="162" t="s">
        <v>7194</v>
      </c>
      <c r="AO3517" s="162" t="s">
        <v>7396</v>
      </c>
    </row>
    <row r="3518" spans="1:42" s="162" customFormat="1" x14ac:dyDescent="0.3">
      <c r="A3518" s="205" t="s">
        <v>8321</v>
      </c>
      <c r="B3518" s="162" t="s">
        <v>8322</v>
      </c>
      <c r="C3518" s="168" t="s">
        <v>13277</v>
      </c>
      <c r="D3518" s="168" t="s">
        <v>13278</v>
      </c>
      <c r="E3518" s="168" t="s">
        <v>13279</v>
      </c>
      <c r="F3518" s="168" t="s">
        <v>13280</v>
      </c>
      <c r="G3518" s="168" t="s">
        <v>13281</v>
      </c>
      <c r="H3518" s="168" t="s">
        <v>13282</v>
      </c>
      <c r="I3518" s="168"/>
      <c r="J3518" s="168"/>
      <c r="K3518" s="168" t="s">
        <v>13287</v>
      </c>
      <c r="L3518" s="168" t="s">
        <v>13288</v>
      </c>
      <c r="M3518" s="168" t="s">
        <v>13289</v>
      </c>
      <c r="N3518" s="168">
        <v>20</v>
      </c>
      <c r="O3518" s="189">
        <v>40</v>
      </c>
      <c r="P3518" s="189">
        <v>80</v>
      </c>
      <c r="Q3518" s="189">
        <v>120</v>
      </c>
      <c r="R3518" s="189"/>
      <c r="S3518" s="189"/>
      <c r="T3518" s="184" t="s">
        <v>7194</v>
      </c>
      <c r="U3518" t="str">
        <f>VLOOKUP(T3518,[8]Votes!$A$1:$E$234,3,FALSE)</f>
        <v>144 Uganda Police Force</v>
      </c>
      <c r="V3518" s="168" t="s">
        <v>13293</v>
      </c>
      <c r="W3518" s="416">
        <v>1</v>
      </c>
      <c r="X3518" s="416">
        <v>1</v>
      </c>
      <c r="Y3518" s="416">
        <v>1</v>
      </c>
      <c r="Z3518" s="416">
        <v>1</v>
      </c>
      <c r="AA3518" s="416">
        <v>1</v>
      </c>
      <c r="AB3518" s="416">
        <v>0</v>
      </c>
      <c r="AC3518" s="150">
        <v>0</v>
      </c>
      <c r="AD3518" s="150">
        <v>1</v>
      </c>
      <c r="AE3518" s="49">
        <f t="shared" si="132"/>
        <v>0.75</v>
      </c>
      <c r="AF3518" s="190">
        <v>1</v>
      </c>
      <c r="AG3518" s="17">
        <v>0</v>
      </c>
      <c r="AH3518" s="190">
        <v>3</v>
      </c>
      <c r="AI3518" s="190">
        <v>6</v>
      </c>
      <c r="AJ3518" s="190">
        <v>6</v>
      </c>
      <c r="AK3518" s="191">
        <v>0</v>
      </c>
      <c r="AL3518" s="191">
        <v>0</v>
      </c>
      <c r="AM3518" s="17">
        <f t="shared" si="133"/>
        <v>0</v>
      </c>
      <c r="AN3518" s="162" t="s">
        <v>7194</v>
      </c>
      <c r="AO3518" s="162" t="s">
        <v>7396</v>
      </c>
    </row>
    <row r="3519" spans="1:42" s="162" customFormat="1" x14ac:dyDescent="0.3">
      <c r="A3519" s="205" t="s">
        <v>8321</v>
      </c>
      <c r="B3519" s="162" t="s">
        <v>8322</v>
      </c>
      <c r="C3519" s="168" t="s">
        <v>13277</v>
      </c>
      <c r="D3519" s="168" t="s">
        <v>13278</v>
      </c>
      <c r="E3519" s="168" t="s">
        <v>13279</v>
      </c>
      <c r="F3519" s="168" t="s">
        <v>13280</v>
      </c>
      <c r="G3519" s="168" t="s">
        <v>13281</v>
      </c>
      <c r="H3519" s="168" t="s">
        <v>13282</v>
      </c>
      <c r="I3519" s="168"/>
      <c r="J3519" s="168"/>
      <c r="K3519" s="168" t="s">
        <v>13294</v>
      </c>
      <c r="L3519" s="168" t="s">
        <v>13295</v>
      </c>
      <c r="M3519" s="168" t="s">
        <v>13296</v>
      </c>
      <c r="N3519" s="168">
        <v>92</v>
      </c>
      <c r="O3519" s="189">
        <v>102</v>
      </c>
      <c r="P3519" s="189">
        <v>200</v>
      </c>
      <c r="Q3519" s="189">
        <v>250</v>
      </c>
      <c r="R3519" s="189">
        <v>250</v>
      </c>
      <c r="S3519" s="189">
        <v>300</v>
      </c>
      <c r="T3519" s="184" t="s">
        <v>7194</v>
      </c>
      <c r="U3519" t="str">
        <f>VLOOKUP(T3519,[8]Votes!$A$1:$E$234,3,FALSE)</f>
        <v>144 Uganda Police Force</v>
      </c>
      <c r="V3519" s="168" t="s">
        <v>13297</v>
      </c>
      <c r="W3519" s="416">
        <v>1</v>
      </c>
      <c r="X3519" s="416">
        <v>1</v>
      </c>
      <c r="Y3519" s="416">
        <v>1</v>
      </c>
      <c r="Z3519" s="416">
        <v>1</v>
      </c>
      <c r="AA3519" s="416">
        <v>1</v>
      </c>
      <c r="AB3519" s="416">
        <v>0</v>
      </c>
      <c r="AC3519" s="150">
        <v>0</v>
      </c>
      <c r="AD3519" s="150">
        <v>1</v>
      </c>
      <c r="AE3519" s="49">
        <f t="shared" si="132"/>
        <v>0.75</v>
      </c>
      <c r="AF3519" s="190">
        <v>1</v>
      </c>
      <c r="AG3519" s="17">
        <v>0</v>
      </c>
      <c r="AH3519" s="190">
        <v>13.941000000000001</v>
      </c>
      <c r="AI3519" s="190">
        <v>23.946999999999999</v>
      </c>
      <c r="AJ3519" s="190">
        <v>43.451000000000001</v>
      </c>
      <c r="AK3519" s="191">
        <v>38.79</v>
      </c>
      <c r="AL3519" s="191">
        <v>38.79</v>
      </c>
      <c r="AM3519" s="17">
        <f t="shared" si="133"/>
        <v>77.58</v>
      </c>
      <c r="AN3519" s="162" t="s">
        <v>7194</v>
      </c>
      <c r="AO3519" s="162" t="s">
        <v>7396</v>
      </c>
    </row>
    <row r="3520" spans="1:42" s="162" customFormat="1" x14ac:dyDescent="0.3">
      <c r="A3520" s="205" t="s">
        <v>8321</v>
      </c>
      <c r="B3520" s="162" t="s">
        <v>8322</v>
      </c>
      <c r="C3520" s="168" t="s">
        <v>13277</v>
      </c>
      <c r="D3520" s="168" t="s">
        <v>13278</v>
      </c>
      <c r="E3520" s="168" t="s">
        <v>13279</v>
      </c>
      <c r="F3520" s="168" t="s">
        <v>13280</v>
      </c>
      <c r="G3520" s="168" t="s">
        <v>13281</v>
      </c>
      <c r="H3520" s="168" t="s">
        <v>13282</v>
      </c>
      <c r="I3520" s="168"/>
      <c r="J3520" s="168"/>
      <c r="K3520" s="168" t="s">
        <v>13298</v>
      </c>
      <c r="L3520" s="168" t="s">
        <v>13299</v>
      </c>
      <c r="M3520" s="168" t="s">
        <v>13300</v>
      </c>
      <c r="N3520" s="168">
        <v>0.9</v>
      </c>
      <c r="O3520" s="189">
        <v>0.9</v>
      </c>
      <c r="P3520" s="189">
        <v>0.9</v>
      </c>
      <c r="Q3520" s="189">
        <v>0.9</v>
      </c>
      <c r="R3520" s="189">
        <v>0.9</v>
      </c>
      <c r="S3520" s="189">
        <v>0.9</v>
      </c>
      <c r="T3520" s="184" t="s">
        <v>7194</v>
      </c>
      <c r="U3520" t="str">
        <f>VLOOKUP(T3520,[8]Votes!$A$1:$E$234,3,FALSE)</f>
        <v>144 Uganda Police Force</v>
      </c>
      <c r="V3520" s="168" t="s">
        <v>13301</v>
      </c>
      <c r="W3520" s="416">
        <v>1</v>
      </c>
      <c r="X3520" s="416">
        <v>1</v>
      </c>
      <c r="Y3520" s="416">
        <v>1</v>
      </c>
      <c r="Z3520" s="416">
        <v>1</v>
      </c>
      <c r="AA3520" s="416">
        <v>1</v>
      </c>
      <c r="AB3520" s="416">
        <v>0</v>
      </c>
      <c r="AC3520" s="150">
        <v>0</v>
      </c>
      <c r="AD3520" s="150">
        <v>1</v>
      </c>
      <c r="AE3520" s="49">
        <f t="shared" si="132"/>
        <v>0.75</v>
      </c>
      <c r="AF3520" s="190">
        <v>1</v>
      </c>
      <c r="AG3520" s="17">
        <v>0</v>
      </c>
      <c r="AH3520" s="190">
        <v>58.378</v>
      </c>
      <c r="AI3520" s="190">
        <v>58.378</v>
      </c>
      <c r="AJ3520" s="190">
        <v>58.378</v>
      </c>
      <c r="AK3520" s="191">
        <v>4</v>
      </c>
      <c r="AL3520" s="191">
        <v>4</v>
      </c>
      <c r="AM3520" s="17">
        <f t="shared" si="133"/>
        <v>8</v>
      </c>
      <c r="AN3520" s="162" t="s">
        <v>7194</v>
      </c>
      <c r="AO3520" s="162" t="s">
        <v>7396</v>
      </c>
    </row>
    <row r="3521" spans="1:41" s="162" customFormat="1" x14ac:dyDescent="0.3">
      <c r="A3521" s="205" t="s">
        <v>8321</v>
      </c>
      <c r="B3521" s="162" t="s">
        <v>8322</v>
      </c>
      <c r="C3521" s="168" t="s">
        <v>13277</v>
      </c>
      <c r="D3521" s="168" t="s">
        <v>13278</v>
      </c>
      <c r="E3521" s="168" t="s">
        <v>13279</v>
      </c>
      <c r="F3521" s="168" t="s">
        <v>13280</v>
      </c>
      <c r="G3521" s="168" t="s">
        <v>13281</v>
      </c>
      <c r="H3521" s="168" t="s">
        <v>13282</v>
      </c>
      <c r="I3521" s="168"/>
      <c r="J3521" s="168"/>
      <c r="K3521" s="168" t="s">
        <v>13298</v>
      </c>
      <c r="L3521" s="168" t="s">
        <v>13299</v>
      </c>
      <c r="M3521" s="168" t="s">
        <v>13300</v>
      </c>
      <c r="N3521" s="168">
        <v>0.9</v>
      </c>
      <c r="O3521" s="189">
        <v>0.9</v>
      </c>
      <c r="P3521" s="189">
        <v>0.9</v>
      </c>
      <c r="Q3521" s="189">
        <v>0.9</v>
      </c>
      <c r="R3521" s="189">
        <v>0.9</v>
      </c>
      <c r="S3521" s="189">
        <v>0.9</v>
      </c>
      <c r="T3521" s="184" t="s">
        <v>7194</v>
      </c>
      <c r="U3521" t="str">
        <f>VLOOKUP(T3521,[8]Votes!$A$1:$E$234,3,FALSE)</f>
        <v>144 Uganda Police Force</v>
      </c>
      <c r="V3521" s="168" t="s">
        <v>13302</v>
      </c>
      <c r="W3521" s="416">
        <v>1</v>
      </c>
      <c r="X3521" s="416">
        <v>1</v>
      </c>
      <c r="Y3521" s="416">
        <v>1</v>
      </c>
      <c r="Z3521" s="416">
        <v>1</v>
      </c>
      <c r="AA3521" s="416">
        <v>1</v>
      </c>
      <c r="AB3521" s="416">
        <v>0</v>
      </c>
      <c r="AC3521" s="150">
        <v>0</v>
      </c>
      <c r="AD3521" s="150">
        <v>1</v>
      </c>
      <c r="AE3521" s="49">
        <f t="shared" si="132"/>
        <v>0.75</v>
      </c>
      <c r="AF3521" s="190">
        <v>1</v>
      </c>
      <c r="AG3521" s="17">
        <v>0</v>
      </c>
      <c r="AH3521" s="190">
        <v>58.378</v>
      </c>
      <c r="AI3521" s="190">
        <v>58.378</v>
      </c>
      <c r="AJ3521" s="190">
        <v>58.378</v>
      </c>
      <c r="AK3521" s="191">
        <v>18</v>
      </c>
      <c r="AL3521" s="191">
        <v>18</v>
      </c>
      <c r="AM3521" s="17">
        <f t="shared" si="133"/>
        <v>36</v>
      </c>
      <c r="AN3521" s="162" t="s">
        <v>7194</v>
      </c>
      <c r="AO3521" s="162" t="s">
        <v>7396</v>
      </c>
    </row>
    <row r="3522" spans="1:41" s="162" customFormat="1" x14ac:dyDescent="0.3">
      <c r="A3522" s="205" t="s">
        <v>8321</v>
      </c>
      <c r="B3522" s="162" t="s">
        <v>8322</v>
      </c>
      <c r="C3522" s="168" t="s">
        <v>13277</v>
      </c>
      <c r="D3522" s="168" t="s">
        <v>13278</v>
      </c>
      <c r="E3522" s="168" t="s">
        <v>13279</v>
      </c>
      <c r="F3522" s="168" t="s">
        <v>13280</v>
      </c>
      <c r="G3522" s="168" t="s">
        <v>13281</v>
      </c>
      <c r="H3522" s="168" t="s">
        <v>13282</v>
      </c>
      <c r="I3522" s="168"/>
      <c r="J3522" s="168"/>
      <c r="K3522" s="168" t="s">
        <v>13298</v>
      </c>
      <c r="L3522" s="168" t="s">
        <v>13299</v>
      </c>
      <c r="M3522" s="168" t="s">
        <v>13300</v>
      </c>
      <c r="N3522" s="168">
        <v>0.9</v>
      </c>
      <c r="O3522" s="189">
        <v>0.9</v>
      </c>
      <c r="P3522" s="189">
        <v>0.9</v>
      </c>
      <c r="Q3522" s="189">
        <v>0.9</v>
      </c>
      <c r="R3522" s="189">
        <v>0.9</v>
      </c>
      <c r="S3522" s="189">
        <v>0.9</v>
      </c>
      <c r="T3522" s="184" t="s">
        <v>7194</v>
      </c>
      <c r="U3522" t="str">
        <f>VLOOKUP(T3522,[8]Votes!$A$1:$E$234,3,FALSE)</f>
        <v>144 Uganda Police Force</v>
      </c>
      <c r="V3522" s="168" t="s">
        <v>13303</v>
      </c>
      <c r="W3522" s="416">
        <v>1</v>
      </c>
      <c r="X3522" s="416">
        <v>1</v>
      </c>
      <c r="Y3522" s="416">
        <v>1</v>
      </c>
      <c r="Z3522" s="416">
        <v>1</v>
      </c>
      <c r="AA3522" s="416">
        <v>1</v>
      </c>
      <c r="AB3522" s="416">
        <v>0</v>
      </c>
      <c r="AC3522" s="150">
        <v>0</v>
      </c>
      <c r="AD3522" s="150">
        <v>1</v>
      </c>
      <c r="AE3522" s="49">
        <f t="shared" si="132"/>
        <v>0.75</v>
      </c>
      <c r="AF3522" s="190">
        <v>1</v>
      </c>
      <c r="AG3522" s="17">
        <v>0</v>
      </c>
      <c r="AH3522" s="190">
        <v>58.378</v>
      </c>
      <c r="AI3522" s="190">
        <v>58.378</v>
      </c>
      <c r="AJ3522" s="190">
        <v>58.378</v>
      </c>
      <c r="AK3522" s="191">
        <v>0.5</v>
      </c>
      <c r="AL3522" s="191">
        <v>0.5</v>
      </c>
      <c r="AM3522" s="17">
        <f t="shared" si="133"/>
        <v>1</v>
      </c>
      <c r="AN3522" s="162" t="s">
        <v>7194</v>
      </c>
      <c r="AO3522" s="162" t="s">
        <v>7396</v>
      </c>
    </row>
    <row r="3523" spans="1:41" s="162" customFormat="1" x14ac:dyDescent="0.3">
      <c r="A3523" s="205" t="s">
        <v>8321</v>
      </c>
      <c r="B3523" s="162" t="s">
        <v>8322</v>
      </c>
      <c r="C3523" s="168" t="s">
        <v>13277</v>
      </c>
      <c r="D3523" s="168" t="s">
        <v>13278</v>
      </c>
      <c r="E3523" s="168" t="s">
        <v>13279</v>
      </c>
      <c r="F3523" s="168" t="s">
        <v>13280</v>
      </c>
      <c r="G3523" s="168" t="s">
        <v>13281</v>
      </c>
      <c r="H3523" s="168" t="s">
        <v>13282</v>
      </c>
      <c r="I3523" s="168"/>
      <c r="J3523" s="168"/>
      <c r="K3523" s="168" t="s">
        <v>13304</v>
      </c>
      <c r="L3523" s="168" t="s">
        <v>13305</v>
      </c>
      <c r="M3523" s="168" t="s">
        <v>13306</v>
      </c>
      <c r="N3523" s="168"/>
      <c r="O3523" s="192">
        <v>1150</v>
      </c>
      <c r="P3523" s="192">
        <v>1352</v>
      </c>
      <c r="Q3523" s="192">
        <v>1350</v>
      </c>
      <c r="R3523" s="192">
        <v>1270</v>
      </c>
      <c r="S3523" s="192">
        <v>1269</v>
      </c>
      <c r="T3523" s="184" t="s">
        <v>7194</v>
      </c>
      <c r="U3523" t="str">
        <f>VLOOKUP(T3523,[8]Votes!$A$1:$E$234,3,FALSE)</f>
        <v>144 Uganda Police Force</v>
      </c>
      <c r="V3523" s="168" t="s">
        <v>13307</v>
      </c>
      <c r="W3523" s="416">
        <v>1</v>
      </c>
      <c r="X3523" s="416">
        <v>1</v>
      </c>
      <c r="Y3523" s="416">
        <v>1</v>
      </c>
      <c r="Z3523" s="416">
        <v>1</v>
      </c>
      <c r="AA3523" s="416">
        <v>1</v>
      </c>
      <c r="AB3523" s="416">
        <v>0</v>
      </c>
      <c r="AC3523" s="150">
        <v>0</v>
      </c>
      <c r="AD3523" s="150">
        <v>1</v>
      </c>
      <c r="AE3523" s="49">
        <f t="shared" si="132"/>
        <v>0.75</v>
      </c>
      <c r="AF3523" s="190">
        <v>1</v>
      </c>
      <c r="AG3523" s="17">
        <v>0</v>
      </c>
      <c r="AH3523" s="190">
        <v>2.56</v>
      </c>
      <c r="AI3523" s="190">
        <v>2.72</v>
      </c>
      <c r="AJ3523" s="190">
        <v>2.69</v>
      </c>
      <c r="AK3523" s="191">
        <v>2.68</v>
      </c>
      <c r="AL3523" s="191">
        <v>2.66</v>
      </c>
      <c r="AM3523" s="17">
        <f t="shared" si="133"/>
        <v>5.34</v>
      </c>
      <c r="AN3523" s="162" t="s">
        <v>7194</v>
      </c>
      <c r="AO3523" s="162" t="s">
        <v>7396</v>
      </c>
    </row>
    <row r="3524" spans="1:41" s="162" customFormat="1" x14ac:dyDescent="0.3">
      <c r="A3524" s="205" t="s">
        <v>8321</v>
      </c>
      <c r="B3524" s="162" t="s">
        <v>8322</v>
      </c>
      <c r="C3524" s="168" t="s">
        <v>13277</v>
      </c>
      <c r="D3524" s="168" t="s">
        <v>13278</v>
      </c>
      <c r="E3524" s="168" t="s">
        <v>13279</v>
      </c>
      <c r="F3524" s="168" t="s">
        <v>13280</v>
      </c>
      <c r="G3524" s="168" t="s">
        <v>13281</v>
      </c>
      <c r="H3524" s="168" t="s">
        <v>13282</v>
      </c>
      <c r="I3524" s="168"/>
      <c r="J3524" s="168"/>
      <c r="K3524" s="168" t="s">
        <v>13304</v>
      </c>
      <c r="L3524" s="168" t="s">
        <v>13305</v>
      </c>
      <c r="M3524" s="168" t="s">
        <v>13308</v>
      </c>
      <c r="N3524" s="168"/>
      <c r="O3524" s="192">
        <v>5000</v>
      </c>
      <c r="P3524" s="189">
        <v>9000</v>
      </c>
      <c r="Q3524" s="189">
        <v>9000</v>
      </c>
      <c r="R3524" s="189">
        <v>9000</v>
      </c>
      <c r="S3524" s="189">
        <v>9000</v>
      </c>
      <c r="T3524" s="184" t="s">
        <v>7194</v>
      </c>
      <c r="U3524" t="str">
        <f>VLOOKUP(T3524,[8]Votes!$A$1:$E$234,3,FALSE)</f>
        <v>144 Uganda Police Force</v>
      </c>
      <c r="V3524" s="168" t="s">
        <v>13309</v>
      </c>
      <c r="W3524" s="416">
        <v>1</v>
      </c>
      <c r="X3524" s="416">
        <v>1</v>
      </c>
      <c r="Y3524" s="416">
        <v>1</v>
      </c>
      <c r="Z3524" s="416">
        <v>1</v>
      </c>
      <c r="AA3524" s="416">
        <v>1</v>
      </c>
      <c r="AB3524" s="416">
        <v>0</v>
      </c>
      <c r="AC3524" s="150">
        <v>0</v>
      </c>
      <c r="AD3524" s="150">
        <v>1</v>
      </c>
      <c r="AE3524" s="49">
        <f t="shared" si="132"/>
        <v>0.75</v>
      </c>
      <c r="AF3524" s="190">
        <v>1</v>
      </c>
      <c r="AG3524" s="17">
        <v>0</v>
      </c>
      <c r="AH3524" s="190">
        <v>27.3</v>
      </c>
      <c r="AI3524" s="190">
        <v>16.43</v>
      </c>
      <c r="AJ3524" s="190">
        <v>16.425000000000001</v>
      </c>
      <c r="AK3524" s="191">
        <v>16.43</v>
      </c>
      <c r="AL3524" s="191">
        <v>16.43</v>
      </c>
      <c r="AM3524" s="17">
        <f t="shared" si="133"/>
        <v>32.86</v>
      </c>
      <c r="AN3524" s="162" t="s">
        <v>7194</v>
      </c>
      <c r="AO3524" s="162" t="s">
        <v>7396</v>
      </c>
    </row>
    <row r="3525" spans="1:41" s="162" customFormat="1" x14ac:dyDescent="0.3">
      <c r="A3525" s="205" t="s">
        <v>8321</v>
      </c>
      <c r="B3525" s="162" t="s">
        <v>8322</v>
      </c>
      <c r="C3525" s="168" t="s">
        <v>13277</v>
      </c>
      <c r="D3525" s="168" t="s">
        <v>13278</v>
      </c>
      <c r="E3525" s="168" t="s">
        <v>13279</v>
      </c>
      <c r="F3525" s="168" t="s">
        <v>13280</v>
      </c>
      <c r="G3525" s="168" t="s">
        <v>13281</v>
      </c>
      <c r="H3525" s="168" t="s">
        <v>13282</v>
      </c>
      <c r="I3525" s="168"/>
      <c r="J3525" s="168"/>
      <c r="K3525" s="168" t="s">
        <v>13304</v>
      </c>
      <c r="L3525" s="168" t="s">
        <v>13305</v>
      </c>
      <c r="M3525" s="168" t="s">
        <v>13306</v>
      </c>
      <c r="N3525" s="168"/>
      <c r="O3525" s="192">
        <v>6000</v>
      </c>
      <c r="P3525" s="192">
        <v>6000</v>
      </c>
      <c r="Q3525" s="192">
        <v>6000</v>
      </c>
      <c r="R3525" s="192">
        <v>6000</v>
      </c>
      <c r="S3525" s="192">
        <v>6000</v>
      </c>
      <c r="T3525" s="184" t="s">
        <v>7194</v>
      </c>
      <c r="U3525" t="str">
        <f>VLOOKUP(T3525,[8]Votes!$A$1:$E$234,3,FALSE)</f>
        <v>144 Uganda Police Force</v>
      </c>
      <c r="V3525" s="168" t="s">
        <v>13310</v>
      </c>
      <c r="W3525" s="416">
        <v>1</v>
      </c>
      <c r="X3525" s="416">
        <v>1</v>
      </c>
      <c r="Y3525" s="416">
        <v>1</v>
      </c>
      <c r="Z3525" s="416">
        <v>1</v>
      </c>
      <c r="AA3525" s="416">
        <v>1</v>
      </c>
      <c r="AB3525" s="416">
        <v>0</v>
      </c>
      <c r="AC3525" s="150">
        <v>0</v>
      </c>
      <c r="AD3525" s="150">
        <v>1</v>
      </c>
      <c r="AE3525" s="49">
        <f t="shared" si="132"/>
        <v>0.75</v>
      </c>
      <c r="AF3525" s="190">
        <v>1</v>
      </c>
      <c r="AG3525" s="17">
        <v>0</v>
      </c>
      <c r="AH3525" s="190">
        <v>18</v>
      </c>
      <c r="AI3525" s="190">
        <v>18</v>
      </c>
      <c r="AJ3525" s="190">
        <v>18</v>
      </c>
      <c r="AK3525" s="191">
        <v>18</v>
      </c>
      <c r="AL3525" s="191">
        <v>18</v>
      </c>
      <c r="AM3525" s="17">
        <f t="shared" si="133"/>
        <v>36</v>
      </c>
      <c r="AN3525" s="162" t="s">
        <v>7194</v>
      </c>
      <c r="AO3525" s="162" t="s">
        <v>7396</v>
      </c>
    </row>
    <row r="3526" spans="1:41" s="162" customFormat="1" x14ac:dyDescent="0.3">
      <c r="A3526" s="205" t="s">
        <v>8321</v>
      </c>
      <c r="B3526" s="162" t="s">
        <v>8322</v>
      </c>
      <c r="C3526" s="168" t="s">
        <v>13277</v>
      </c>
      <c r="D3526" s="168" t="s">
        <v>13278</v>
      </c>
      <c r="E3526" s="168" t="s">
        <v>13279</v>
      </c>
      <c r="F3526" s="168" t="s">
        <v>13280</v>
      </c>
      <c r="G3526" s="168" t="s">
        <v>13281</v>
      </c>
      <c r="H3526" s="168" t="s">
        <v>13282</v>
      </c>
      <c r="I3526" s="168"/>
      <c r="J3526" s="168"/>
      <c r="K3526" s="168" t="s">
        <v>13304</v>
      </c>
      <c r="L3526" s="168" t="s">
        <v>13305</v>
      </c>
      <c r="M3526" s="168" t="s">
        <v>13311</v>
      </c>
      <c r="N3526" s="168"/>
      <c r="O3526" s="189"/>
      <c r="P3526" s="189">
        <v>250</v>
      </c>
      <c r="Q3526" s="189">
        <v>250</v>
      </c>
      <c r="R3526" s="189">
        <v>500</v>
      </c>
      <c r="S3526" s="189">
        <v>500</v>
      </c>
      <c r="T3526" s="184" t="s">
        <v>7194</v>
      </c>
      <c r="U3526" t="str">
        <f>VLOOKUP(T3526,[8]Votes!$A$1:$E$234,3,FALSE)</f>
        <v>144 Uganda Police Force</v>
      </c>
      <c r="V3526" s="168" t="s">
        <v>13312</v>
      </c>
      <c r="W3526" s="416">
        <v>1</v>
      </c>
      <c r="X3526" s="416">
        <v>1</v>
      </c>
      <c r="Y3526" s="416">
        <v>1</v>
      </c>
      <c r="Z3526" s="416">
        <v>1</v>
      </c>
      <c r="AA3526" s="416">
        <v>1</v>
      </c>
      <c r="AB3526" s="416">
        <v>0</v>
      </c>
      <c r="AC3526" s="150">
        <v>0</v>
      </c>
      <c r="AD3526" s="150">
        <v>1</v>
      </c>
      <c r="AE3526" s="49">
        <f t="shared" si="132"/>
        <v>0.75</v>
      </c>
      <c r="AF3526" s="190">
        <v>1</v>
      </c>
      <c r="AG3526" s="17">
        <v>0</v>
      </c>
      <c r="AH3526" s="190">
        <v>0</v>
      </c>
      <c r="AI3526" s="190">
        <v>14.862</v>
      </c>
      <c r="AJ3526" s="190">
        <v>7.431</v>
      </c>
      <c r="AK3526" s="191">
        <v>1.1499999999999999</v>
      </c>
      <c r="AL3526" s="191">
        <v>1.1499999999999999</v>
      </c>
      <c r="AM3526" s="17">
        <f t="shared" si="133"/>
        <v>2.2999999999999998</v>
      </c>
      <c r="AN3526" s="162" t="s">
        <v>7194</v>
      </c>
      <c r="AO3526" s="162" t="s">
        <v>7396</v>
      </c>
    </row>
    <row r="3527" spans="1:41" s="162" customFormat="1" x14ac:dyDescent="0.3">
      <c r="A3527" s="205" t="s">
        <v>8321</v>
      </c>
      <c r="B3527" s="162" t="s">
        <v>8322</v>
      </c>
      <c r="C3527" s="168" t="s">
        <v>13277</v>
      </c>
      <c r="D3527" s="168" t="s">
        <v>13278</v>
      </c>
      <c r="E3527" s="168" t="s">
        <v>13279</v>
      </c>
      <c r="F3527" s="168" t="s">
        <v>13280</v>
      </c>
      <c r="G3527" s="168" t="s">
        <v>13313</v>
      </c>
      <c r="H3527" s="168" t="s">
        <v>13314</v>
      </c>
      <c r="I3527" s="168"/>
      <c r="J3527" s="168"/>
      <c r="K3527" s="168" t="s">
        <v>13315</v>
      </c>
      <c r="L3527" s="168" t="s">
        <v>13316</v>
      </c>
      <c r="M3527" s="168" t="s">
        <v>13317</v>
      </c>
      <c r="N3527" s="168"/>
      <c r="O3527" s="189">
        <v>1</v>
      </c>
      <c r="P3527" s="189">
        <v>1</v>
      </c>
      <c r="Q3527" s="189">
        <v>1</v>
      </c>
      <c r="R3527" s="413">
        <v>1</v>
      </c>
      <c r="S3527" s="413">
        <v>1</v>
      </c>
      <c r="T3527" s="184" t="s">
        <v>7194</v>
      </c>
      <c r="U3527" t="str">
        <f>VLOOKUP(T3527,[8]Votes!$A$1:$E$234,3,FALSE)</f>
        <v>144 Uganda Police Force</v>
      </c>
      <c r="V3527" s="168" t="s">
        <v>13318</v>
      </c>
      <c r="W3527" s="416">
        <v>1</v>
      </c>
      <c r="X3527" s="416">
        <v>1</v>
      </c>
      <c r="Y3527" s="416">
        <v>1</v>
      </c>
      <c r="Z3527" s="416">
        <v>1</v>
      </c>
      <c r="AA3527" s="416">
        <v>1</v>
      </c>
      <c r="AB3527" s="416">
        <v>0</v>
      </c>
      <c r="AC3527" s="150">
        <v>0</v>
      </c>
      <c r="AD3527" s="150">
        <v>1</v>
      </c>
      <c r="AE3527" s="49">
        <f t="shared" si="132"/>
        <v>0.75</v>
      </c>
      <c r="AF3527" s="190">
        <v>1</v>
      </c>
      <c r="AG3527" s="17">
        <v>0</v>
      </c>
      <c r="AH3527" s="190">
        <v>924.6</v>
      </c>
      <c r="AI3527" s="190">
        <v>1106.5999999999999</v>
      </c>
      <c r="AJ3527" s="190">
        <v>1046.5999999999999</v>
      </c>
      <c r="AK3527" s="191">
        <v>30</v>
      </c>
      <c r="AL3527" s="191">
        <v>30</v>
      </c>
      <c r="AM3527" s="17">
        <f t="shared" si="133"/>
        <v>60</v>
      </c>
      <c r="AN3527" s="162" t="s">
        <v>7194</v>
      </c>
      <c r="AO3527" s="162" t="s">
        <v>7396</v>
      </c>
    </row>
    <row r="3528" spans="1:41" s="162" customFormat="1" x14ac:dyDescent="0.3">
      <c r="A3528" s="205" t="s">
        <v>8321</v>
      </c>
      <c r="B3528" s="162" t="s">
        <v>8322</v>
      </c>
      <c r="C3528" s="168" t="s">
        <v>13277</v>
      </c>
      <c r="D3528" s="168" t="s">
        <v>13278</v>
      </c>
      <c r="E3528" s="168" t="s">
        <v>13279</v>
      </c>
      <c r="F3528" s="168" t="s">
        <v>13280</v>
      </c>
      <c r="G3528" s="168" t="s">
        <v>13313</v>
      </c>
      <c r="H3528" s="168" t="s">
        <v>13314</v>
      </c>
      <c r="I3528" s="168"/>
      <c r="J3528" s="168"/>
      <c r="K3528" s="168" t="s">
        <v>13319</v>
      </c>
      <c r="L3528" s="168" t="s">
        <v>13320</v>
      </c>
      <c r="M3528" s="277" t="s">
        <v>13321</v>
      </c>
      <c r="N3528" s="168"/>
      <c r="O3528" s="189"/>
      <c r="P3528" s="189"/>
      <c r="Q3528" s="413">
        <v>0.4</v>
      </c>
      <c r="R3528" s="413">
        <v>0.7</v>
      </c>
      <c r="S3528" s="413">
        <v>1</v>
      </c>
      <c r="T3528" s="184" t="s">
        <v>13322</v>
      </c>
      <c r="U3528" t="e">
        <f>VLOOKUP(T3528,[8]Votes!$A$1:$E$234,3,FALSE)</f>
        <v>#N/A</v>
      </c>
      <c r="V3528" s="168" t="s">
        <v>13323</v>
      </c>
      <c r="W3528" s="416">
        <v>1</v>
      </c>
      <c r="X3528" s="416">
        <v>1</v>
      </c>
      <c r="Y3528" s="416">
        <v>1</v>
      </c>
      <c r="Z3528" s="416">
        <v>1</v>
      </c>
      <c r="AA3528" s="416">
        <v>1</v>
      </c>
      <c r="AB3528" s="416">
        <v>0</v>
      </c>
      <c r="AC3528" s="150">
        <v>0</v>
      </c>
      <c r="AD3528" s="150">
        <v>1</v>
      </c>
      <c r="AE3528" s="49">
        <f t="shared" si="132"/>
        <v>0.75</v>
      </c>
      <c r="AF3528" s="190">
        <v>1</v>
      </c>
      <c r="AG3528" s="17">
        <v>0</v>
      </c>
      <c r="AH3528" s="190">
        <v>0</v>
      </c>
      <c r="AI3528" s="190">
        <v>0</v>
      </c>
      <c r="AJ3528" s="190">
        <v>65.8</v>
      </c>
      <c r="AK3528" s="191">
        <v>10</v>
      </c>
      <c r="AL3528" s="191">
        <v>10</v>
      </c>
      <c r="AM3528" s="17">
        <f t="shared" si="133"/>
        <v>20</v>
      </c>
      <c r="AN3528" s="162" t="s">
        <v>7194</v>
      </c>
      <c r="AO3528" s="162" t="s">
        <v>7396</v>
      </c>
    </row>
    <row r="3529" spans="1:41" s="162" customFormat="1" x14ac:dyDescent="0.3">
      <c r="A3529" s="205" t="s">
        <v>8321</v>
      </c>
      <c r="B3529" s="162" t="s">
        <v>8322</v>
      </c>
      <c r="C3529" s="168" t="s">
        <v>13277</v>
      </c>
      <c r="D3529" s="168" t="s">
        <v>13278</v>
      </c>
      <c r="E3529" s="168" t="s">
        <v>13279</v>
      </c>
      <c r="F3529" s="168" t="s">
        <v>13280</v>
      </c>
      <c r="G3529" s="168" t="s">
        <v>13313</v>
      </c>
      <c r="H3529" s="168" t="s">
        <v>13314</v>
      </c>
      <c r="I3529" s="168"/>
      <c r="J3529" s="168"/>
      <c r="K3529" s="168" t="s">
        <v>13324</v>
      </c>
      <c r="L3529" s="168" t="s">
        <v>13325</v>
      </c>
      <c r="M3529" s="168" t="s">
        <v>13326</v>
      </c>
      <c r="N3529" s="168"/>
      <c r="O3529" s="189">
        <v>0.25</v>
      </c>
      <c r="P3529" s="189">
        <v>0.3</v>
      </c>
      <c r="Q3529" s="189">
        <v>0.35</v>
      </c>
      <c r="R3529" s="189">
        <v>0.38</v>
      </c>
      <c r="S3529" s="189">
        <v>0.39</v>
      </c>
      <c r="T3529" s="184" t="s">
        <v>13322</v>
      </c>
      <c r="U3529" t="e">
        <f>VLOOKUP(T3529,[8]Votes!$A$1:$E$234,3,FALSE)</f>
        <v>#N/A</v>
      </c>
      <c r="V3529" s="168" t="s">
        <v>13327</v>
      </c>
      <c r="W3529" s="416">
        <v>1</v>
      </c>
      <c r="X3529" s="416">
        <v>1</v>
      </c>
      <c r="Y3529" s="416">
        <v>1</v>
      </c>
      <c r="Z3529" s="416">
        <v>1</v>
      </c>
      <c r="AA3529" s="416">
        <v>1</v>
      </c>
      <c r="AB3529" s="416">
        <v>0</v>
      </c>
      <c r="AC3529" s="150">
        <v>0</v>
      </c>
      <c r="AD3529" s="150">
        <v>1</v>
      </c>
      <c r="AE3529" s="49">
        <f t="shared" si="132"/>
        <v>0.75</v>
      </c>
      <c r="AF3529" s="190">
        <v>1</v>
      </c>
      <c r="AG3529" s="17">
        <v>0</v>
      </c>
      <c r="AH3529" s="190">
        <v>400.43099999999998</v>
      </c>
      <c r="AI3529" s="190">
        <v>352.56299999999999</v>
      </c>
      <c r="AJ3529" s="190">
        <v>352.56299999999999</v>
      </c>
      <c r="AK3529" s="191">
        <v>25</v>
      </c>
      <c r="AL3529" s="191">
        <v>28</v>
      </c>
      <c r="AM3529" s="17">
        <f t="shared" si="133"/>
        <v>53</v>
      </c>
      <c r="AN3529" s="162" t="s">
        <v>7194</v>
      </c>
      <c r="AO3529" s="162" t="s">
        <v>7396</v>
      </c>
    </row>
    <row r="3530" spans="1:41" s="162" customFormat="1" x14ac:dyDescent="0.3">
      <c r="A3530" s="205" t="s">
        <v>8321</v>
      </c>
      <c r="B3530" s="162" t="s">
        <v>8322</v>
      </c>
      <c r="C3530" s="168" t="s">
        <v>13277</v>
      </c>
      <c r="D3530" s="168" t="s">
        <v>13278</v>
      </c>
      <c r="E3530" s="168" t="s">
        <v>13279</v>
      </c>
      <c r="F3530" s="168" t="s">
        <v>13280</v>
      </c>
      <c r="G3530" s="168" t="s">
        <v>13313</v>
      </c>
      <c r="H3530" s="168" t="s">
        <v>13314</v>
      </c>
      <c r="I3530" s="168"/>
      <c r="J3530" s="168"/>
      <c r="K3530" s="168" t="s">
        <v>13328</v>
      </c>
      <c r="L3530" s="168" t="s">
        <v>13329</v>
      </c>
      <c r="M3530" s="168" t="s">
        <v>13330</v>
      </c>
      <c r="N3530" s="168"/>
      <c r="O3530" s="413">
        <v>0.5</v>
      </c>
      <c r="P3530" s="413">
        <v>0.7</v>
      </c>
      <c r="Q3530" s="413">
        <v>0.8</v>
      </c>
      <c r="R3530" s="413">
        <v>0.83</v>
      </c>
      <c r="S3530" s="413">
        <v>0.83</v>
      </c>
      <c r="T3530" s="184" t="s">
        <v>7194</v>
      </c>
      <c r="U3530" t="str">
        <f>VLOOKUP(T3530,[8]Votes!$A$1:$E$234,3,FALSE)</f>
        <v>144 Uganda Police Force</v>
      </c>
      <c r="V3530" s="168" t="s">
        <v>13331</v>
      </c>
      <c r="W3530" s="416">
        <v>1</v>
      </c>
      <c r="X3530" s="416">
        <v>1</v>
      </c>
      <c r="Y3530" s="416">
        <v>1</v>
      </c>
      <c r="Z3530" s="416">
        <v>1</v>
      </c>
      <c r="AA3530" s="416">
        <v>1</v>
      </c>
      <c r="AB3530" s="416">
        <v>0</v>
      </c>
      <c r="AC3530" s="150">
        <v>0</v>
      </c>
      <c r="AD3530" s="150">
        <v>1</v>
      </c>
      <c r="AE3530" s="49">
        <f t="shared" si="132"/>
        <v>0.75</v>
      </c>
      <c r="AF3530" s="190">
        <v>1</v>
      </c>
      <c r="AG3530" s="17">
        <v>0</v>
      </c>
      <c r="AH3530" s="190">
        <v>20.303000000000001</v>
      </c>
      <c r="AI3530" s="190">
        <v>40.302999999999997</v>
      </c>
      <c r="AJ3530" s="190">
        <v>30.303000000000001</v>
      </c>
      <c r="AK3530" s="191">
        <v>1</v>
      </c>
      <c r="AL3530" s="191">
        <v>1</v>
      </c>
      <c r="AM3530" s="17">
        <f t="shared" si="133"/>
        <v>2</v>
      </c>
      <c r="AN3530" s="162" t="s">
        <v>7194</v>
      </c>
      <c r="AO3530" s="162" t="s">
        <v>7396</v>
      </c>
    </row>
    <row r="3531" spans="1:41" s="162" customFormat="1" x14ac:dyDescent="0.3">
      <c r="A3531" s="205" t="s">
        <v>8321</v>
      </c>
      <c r="B3531" s="162" t="s">
        <v>8322</v>
      </c>
      <c r="C3531" s="168" t="s">
        <v>13277</v>
      </c>
      <c r="D3531" s="168" t="s">
        <v>13278</v>
      </c>
      <c r="E3531" s="168" t="s">
        <v>13279</v>
      </c>
      <c r="F3531" s="168" t="s">
        <v>13280</v>
      </c>
      <c r="G3531" s="168" t="s">
        <v>13313</v>
      </c>
      <c r="H3531" s="168" t="s">
        <v>13314</v>
      </c>
      <c r="I3531" s="168"/>
      <c r="J3531" s="168"/>
      <c r="K3531" s="168" t="s">
        <v>13332</v>
      </c>
      <c r="L3531" s="168" t="s">
        <v>13333</v>
      </c>
      <c r="M3531" s="168" t="s">
        <v>13334</v>
      </c>
      <c r="N3531" s="168"/>
      <c r="O3531" s="189">
        <v>12</v>
      </c>
      <c r="P3531" s="189">
        <v>12</v>
      </c>
      <c r="Q3531" s="189">
        <v>12</v>
      </c>
      <c r="R3531" s="189">
        <v>24</v>
      </c>
      <c r="S3531" s="189">
        <v>24</v>
      </c>
      <c r="T3531" s="184" t="s">
        <v>7194</v>
      </c>
      <c r="U3531" t="str">
        <f>VLOOKUP(T3531,[8]Votes!$A$1:$E$234,3,FALSE)</f>
        <v>144 Uganda Police Force</v>
      </c>
      <c r="V3531" s="168" t="s">
        <v>13335</v>
      </c>
      <c r="W3531" s="416">
        <v>1</v>
      </c>
      <c r="X3531" s="416">
        <v>1</v>
      </c>
      <c r="Y3531" s="416">
        <v>1</v>
      </c>
      <c r="Z3531" s="416">
        <v>1</v>
      </c>
      <c r="AA3531" s="416">
        <v>1</v>
      </c>
      <c r="AB3531" s="416">
        <v>0</v>
      </c>
      <c r="AC3531" s="150">
        <v>0</v>
      </c>
      <c r="AD3531" s="150">
        <v>1</v>
      </c>
      <c r="AE3531" s="49">
        <f t="shared" si="132"/>
        <v>0.75</v>
      </c>
      <c r="AF3531" s="190">
        <v>1</v>
      </c>
      <c r="AG3531" s="17">
        <v>0</v>
      </c>
      <c r="AH3531" s="190">
        <v>27.463999999999999</v>
      </c>
      <c r="AI3531" s="190">
        <v>27.463999999999999</v>
      </c>
      <c r="AJ3531" s="190">
        <v>27.463999999999999</v>
      </c>
      <c r="AK3531" s="191">
        <v>0</v>
      </c>
      <c r="AL3531" s="191">
        <v>0</v>
      </c>
      <c r="AM3531" s="17">
        <f t="shared" si="133"/>
        <v>0</v>
      </c>
      <c r="AN3531" s="162" t="s">
        <v>7194</v>
      </c>
      <c r="AO3531" s="162" t="s">
        <v>7396</v>
      </c>
    </row>
    <row r="3532" spans="1:41" s="162" customFormat="1" x14ac:dyDescent="0.3">
      <c r="A3532" s="205" t="s">
        <v>8321</v>
      </c>
      <c r="B3532" s="162" t="s">
        <v>8322</v>
      </c>
      <c r="C3532" s="168" t="s">
        <v>13277</v>
      </c>
      <c r="D3532" s="168" t="s">
        <v>13278</v>
      </c>
      <c r="E3532" s="168" t="s">
        <v>13279</v>
      </c>
      <c r="F3532" s="168" t="s">
        <v>13280</v>
      </c>
      <c r="G3532" s="168" t="s">
        <v>13313</v>
      </c>
      <c r="H3532" s="168" t="s">
        <v>13314</v>
      </c>
      <c r="I3532" s="168"/>
      <c r="J3532" s="168"/>
      <c r="K3532" s="168" t="s">
        <v>13336</v>
      </c>
      <c r="L3532" s="277" t="s">
        <v>13337</v>
      </c>
      <c r="M3532" s="168" t="s">
        <v>13338</v>
      </c>
      <c r="N3532" s="168"/>
      <c r="O3532" s="413">
        <v>0.45</v>
      </c>
      <c r="P3532" s="413">
        <v>0.46</v>
      </c>
      <c r="Q3532" s="413">
        <v>0.52</v>
      </c>
      <c r="R3532" s="413">
        <v>0.75</v>
      </c>
      <c r="S3532" s="413">
        <v>0.85</v>
      </c>
      <c r="T3532" s="184" t="s">
        <v>7194</v>
      </c>
      <c r="U3532" t="str">
        <f>VLOOKUP(T3532,[8]Votes!$A$1:$E$234,3,FALSE)</f>
        <v>144 Uganda Police Force</v>
      </c>
      <c r="V3532" s="168" t="s">
        <v>13339</v>
      </c>
      <c r="W3532" s="416">
        <v>1</v>
      </c>
      <c r="X3532" s="416">
        <v>1</v>
      </c>
      <c r="Y3532" s="416">
        <v>1</v>
      </c>
      <c r="Z3532" s="416">
        <v>1</v>
      </c>
      <c r="AA3532" s="416">
        <v>1</v>
      </c>
      <c r="AB3532" s="416">
        <v>0</v>
      </c>
      <c r="AC3532" s="150">
        <v>0</v>
      </c>
      <c r="AD3532" s="150">
        <v>1</v>
      </c>
      <c r="AE3532" s="49">
        <f t="shared" si="132"/>
        <v>0.75</v>
      </c>
      <c r="AF3532" s="190">
        <v>1</v>
      </c>
      <c r="AG3532" s="17">
        <v>0</v>
      </c>
      <c r="AH3532" s="190">
        <v>644.29999999999995</v>
      </c>
      <c r="AI3532" s="190">
        <v>986.9</v>
      </c>
      <c r="AJ3532" s="190">
        <v>1114</v>
      </c>
      <c r="AK3532" s="191">
        <v>200</v>
      </c>
      <c r="AL3532" s="191">
        <v>400</v>
      </c>
      <c r="AM3532" s="17">
        <f t="shared" si="133"/>
        <v>600</v>
      </c>
      <c r="AN3532" s="162" t="s">
        <v>7194</v>
      </c>
      <c r="AO3532" s="162" t="s">
        <v>7396</v>
      </c>
    </row>
    <row r="3533" spans="1:41" s="162" customFormat="1" x14ac:dyDescent="0.3">
      <c r="A3533" s="205" t="s">
        <v>8321</v>
      </c>
      <c r="B3533" s="162" t="s">
        <v>8322</v>
      </c>
      <c r="C3533" s="168" t="s">
        <v>13277</v>
      </c>
      <c r="D3533" s="168" t="s">
        <v>13278</v>
      </c>
      <c r="E3533" s="168" t="s">
        <v>13279</v>
      </c>
      <c r="F3533" s="168" t="s">
        <v>13280</v>
      </c>
      <c r="G3533" s="168" t="s">
        <v>13340</v>
      </c>
      <c r="H3533" s="168" t="s">
        <v>13341</v>
      </c>
      <c r="I3533" s="168"/>
      <c r="J3533" s="168"/>
      <c r="K3533" s="168" t="s">
        <v>13342</v>
      </c>
      <c r="L3533" s="168" t="s">
        <v>13343</v>
      </c>
      <c r="M3533" s="168" t="s">
        <v>13344</v>
      </c>
      <c r="N3533" s="168"/>
      <c r="O3533" s="192">
        <v>50000</v>
      </c>
      <c r="P3533" s="192">
        <v>52775</v>
      </c>
      <c r="Q3533" s="192">
        <v>57775</v>
      </c>
      <c r="R3533" s="192">
        <v>62775</v>
      </c>
      <c r="S3533" s="192">
        <v>67775</v>
      </c>
      <c r="T3533" s="184" t="s">
        <v>7194</v>
      </c>
      <c r="U3533" t="str">
        <f>VLOOKUP(T3533,[8]Votes!$A$1:$E$234,3,FALSE)</f>
        <v>144 Uganda Police Force</v>
      </c>
      <c r="V3533" s="159" t="s">
        <v>13345</v>
      </c>
      <c r="W3533" s="416">
        <v>1</v>
      </c>
      <c r="X3533" s="416">
        <v>1</v>
      </c>
      <c r="Y3533" s="416">
        <v>1</v>
      </c>
      <c r="Z3533" s="416">
        <v>1</v>
      </c>
      <c r="AA3533" s="416">
        <v>1</v>
      </c>
      <c r="AB3533" s="416">
        <v>0</v>
      </c>
      <c r="AC3533" s="150">
        <v>0</v>
      </c>
      <c r="AD3533" s="150">
        <v>1</v>
      </c>
      <c r="AE3533" s="49">
        <f t="shared" si="132"/>
        <v>0.75</v>
      </c>
      <c r="AF3533" s="190">
        <v>1</v>
      </c>
      <c r="AG3533" s="17">
        <v>0</v>
      </c>
      <c r="AH3533" s="190">
        <v>0</v>
      </c>
      <c r="AI3533" s="190">
        <v>370.6</v>
      </c>
      <c r="AJ3533" s="190">
        <v>482.25</v>
      </c>
      <c r="AK3533" s="191">
        <v>0</v>
      </c>
      <c r="AL3533" s="191">
        <v>0</v>
      </c>
      <c r="AM3533" s="17">
        <f t="shared" si="133"/>
        <v>0</v>
      </c>
      <c r="AN3533" s="162" t="s">
        <v>7194</v>
      </c>
      <c r="AO3533" s="162" t="s">
        <v>7396</v>
      </c>
    </row>
    <row r="3534" spans="1:41" s="162" customFormat="1" x14ac:dyDescent="0.3">
      <c r="A3534" s="205" t="s">
        <v>8321</v>
      </c>
      <c r="B3534" s="162" t="s">
        <v>8322</v>
      </c>
      <c r="C3534" s="168" t="s">
        <v>13277</v>
      </c>
      <c r="D3534" s="168" t="s">
        <v>13278</v>
      </c>
      <c r="E3534" s="168" t="s">
        <v>13279</v>
      </c>
      <c r="F3534" s="168" t="s">
        <v>13280</v>
      </c>
      <c r="G3534" s="168" t="s">
        <v>13340</v>
      </c>
      <c r="H3534" s="168" t="s">
        <v>13341</v>
      </c>
      <c r="I3534" s="168"/>
      <c r="J3534" s="168"/>
      <c r="K3534" s="168" t="s">
        <v>13342</v>
      </c>
      <c r="L3534" s="168" t="s">
        <v>13343</v>
      </c>
      <c r="M3534" s="168" t="s">
        <v>13346</v>
      </c>
      <c r="N3534" s="168"/>
      <c r="O3534" s="413">
        <v>0.35</v>
      </c>
      <c r="P3534" s="413">
        <v>0.49</v>
      </c>
      <c r="Q3534" s="413">
        <v>0.7</v>
      </c>
      <c r="R3534" s="413">
        <v>0.73499999999999999</v>
      </c>
      <c r="S3534" s="413">
        <v>0.73099999999999998</v>
      </c>
      <c r="T3534" s="184" t="s">
        <v>7194</v>
      </c>
      <c r="U3534" t="str">
        <f>VLOOKUP(T3534,[8]Votes!$A$1:$E$234,3,FALSE)</f>
        <v>144 Uganda Police Force</v>
      </c>
      <c r="V3534" s="168" t="s">
        <v>13347</v>
      </c>
      <c r="W3534" s="416">
        <v>1</v>
      </c>
      <c r="X3534" s="416">
        <v>1</v>
      </c>
      <c r="Y3534" s="416">
        <v>1</v>
      </c>
      <c r="Z3534" s="416">
        <v>1</v>
      </c>
      <c r="AA3534" s="416">
        <v>1</v>
      </c>
      <c r="AB3534" s="416">
        <v>0</v>
      </c>
      <c r="AC3534" s="150">
        <v>0</v>
      </c>
      <c r="AD3534" s="150">
        <v>1</v>
      </c>
      <c r="AE3534" s="49">
        <f t="shared" si="132"/>
        <v>0.75</v>
      </c>
      <c r="AF3534" s="190">
        <v>1</v>
      </c>
      <c r="AG3534" s="17">
        <v>0</v>
      </c>
      <c r="AH3534" s="190">
        <v>15</v>
      </c>
      <c r="AI3534" s="190">
        <v>15</v>
      </c>
      <c r="AJ3534" s="190">
        <v>15</v>
      </c>
      <c r="AK3534" s="191">
        <v>1</v>
      </c>
      <c r="AL3534" s="191">
        <v>1</v>
      </c>
      <c r="AM3534" s="17">
        <f t="shared" si="133"/>
        <v>2</v>
      </c>
      <c r="AN3534" s="162" t="s">
        <v>7194</v>
      </c>
      <c r="AO3534" s="162" t="s">
        <v>7396</v>
      </c>
    </row>
    <row r="3535" spans="1:41" s="162" customFormat="1" x14ac:dyDescent="0.3">
      <c r="A3535" s="205" t="s">
        <v>8321</v>
      </c>
      <c r="B3535" s="162" t="s">
        <v>8322</v>
      </c>
      <c r="C3535" s="168" t="s">
        <v>13277</v>
      </c>
      <c r="D3535" s="168" t="s">
        <v>13278</v>
      </c>
      <c r="E3535" s="168" t="s">
        <v>13279</v>
      </c>
      <c r="F3535" s="168" t="s">
        <v>13280</v>
      </c>
      <c r="G3535" s="168" t="s">
        <v>13340</v>
      </c>
      <c r="H3535" s="168" t="s">
        <v>13341</v>
      </c>
      <c r="I3535" s="168"/>
      <c r="J3535" s="168"/>
      <c r="K3535" s="168" t="s">
        <v>13342</v>
      </c>
      <c r="L3535" s="168" t="s">
        <v>13343</v>
      </c>
      <c r="M3535" s="277" t="s">
        <v>13348</v>
      </c>
      <c r="N3535" s="168">
        <v>75</v>
      </c>
      <c r="O3535" s="189">
        <v>80</v>
      </c>
      <c r="P3535" s="189">
        <v>80</v>
      </c>
      <c r="Q3535" s="189">
        <v>80</v>
      </c>
      <c r="R3535" s="189">
        <v>80</v>
      </c>
      <c r="S3535" s="189">
        <v>80</v>
      </c>
      <c r="T3535" s="184" t="s">
        <v>7194</v>
      </c>
      <c r="U3535" t="str">
        <f>VLOOKUP(T3535,[8]Votes!$A$1:$E$234,3,FALSE)</f>
        <v>144 Uganda Police Force</v>
      </c>
      <c r="V3535" s="168" t="s">
        <v>13349</v>
      </c>
      <c r="W3535" s="416">
        <v>1</v>
      </c>
      <c r="X3535" s="416">
        <v>1</v>
      </c>
      <c r="Y3535" s="416">
        <v>1</v>
      </c>
      <c r="Z3535" s="416">
        <v>1</v>
      </c>
      <c r="AA3535" s="416">
        <v>1</v>
      </c>
      <c r="AB3535" s="416">
        <v>0</v>
      </c>
      <c r="AC3535" s="150">
        <v>0</v>
      </c>
      <c r="AD3535" s="150">
        <v>1</v>
      </c>
      <c r="AE3535" s="49">
        <f t="shared" si="132"/>
        <v>0.75</v>
      </c>
      <c r="AF3535" s="190">
        <v>1</v>
      </c>
      <c r="AG3535" s="17">
        <v>0</v>
      </c>
      <c r="AH3535" s="190">
        <v>2.98</v>
      </c>
      <c r="AI3535" s="190">
        <v>2.98</v>
      </c>
      <c r="AJ3535" s="190">
        <v>2.98</v>
      </c>
      <c r="AK3535" s="191">
        <v>2.98</v>
      </c>
      <c r="AL3535" s="191">
        <v>2.98</v>
      </c>
      <c r="AM3535" s="17">
        <f t="shared" si="133"/>
        <v>5.96</v>
      </c>
      <c r="AN3535" s="162" t="s">
        <v>7194</v>
      </c>
      <c r="AO3535" s="162" t="s">
        <v>7396</v>
      </c>
    </row>
    <row r="3536" spans="1:41" s="162" customFormat="1" x14ac:dyDescent="0.3">
      <c r="A3536" s="205" t="s">
        <v>8321</v>
      </c>
      <c r="B3536" s="162" t="s">
        <v>8322</v>
      </c>
      <c r="C3536" s="168" t="s">
        <v>13277</v>
      </c>
      <c r="D3536" s="168" t="s">
        <v>13278</v>
      </c>
      <c r="E3536" s="168" t="s">
        <v>13279</v>
      </c>
      <c r="F3536" s="168" t="s">
        <v>13280</v>
      </c>
      <c r="G3536" s="168" t="s">
        <v>13340</v>
      </c>
      <c r="H3536" s="168" t="s">
        <v>13341</v>
      </c>
      <c r="I3536" s="168"/>
      <c r="J3536" s="168"/>
      <c r="K3536" s="168" t="s">
        <v>13342</v>
      </c>
      <c r="L3536" s="168" t="s">
        <v>13343</v>
      </c>
      <c r="M3536" s="168" t="s">
        <v>13350</v>
      </c>
      <c r="N3536" s="467">
        <v>0.18</v>
      </c>
      <c r="O3536" s="413">
        <v>0.19</v>
      </c>
      <c r="P3536" s="413">
        <v>0.21</v>
      </c>
      <c r="Q3536" s="413">
        <v>0.24</v>
      </c>
      <c r="R3536" s="413">
        <v>0.3</v>
      </c>
      <c r="S3536" s="413">
        <v>0.45</v>
      </c>
      <c r="T3536" s="184" t="s">
        <v>7194</v>
      </c>
      <c r="U3536" t="str">
        <f>VLOOKUP(T3536,[8]Votes!$A$1:$E$234,3,FALSE)</f>
        <v>144 Uganda Police Force</v>
      </c>
      <c r="V3536" s="168" t="s">
        <v>13351</v>
      </c>
      <c r="W3536" s="416">
        <v>1</v>
      </c>
      <c r="X3536" s="416">
        <v>1</v>
      </c>
      <c r="Y3536" s="416">
        <v>1</v>
      </c>
      <c r="Z3536" s="416">
        <v>1</v>
      </c>
      <c r="AA3536" s="416">
        <v>1</v>
      </c>
      <c r="AB3536" s="416">
        <v>0</v>
      </c>
      <c r="AC3536" s="150">
        <v>0</v>
      </c>
      <c r="AD3536" s="150">
        <v>1</v>
      </c>
      <c r="AE3536" s="49">
        <f t="shared" si="132"/>
        <v>0.75</v>
      </c>
      <c r="AF3536" s="190">
        <v>1</v>
      </c>
      <c r="AG3536" s="17">
        <v>0</v>
      </c>
      <c r="AH3536" s="190">
        <v>214.4</v>
      </c>
      <c r="AI3536" s="190">
        <v>214.4</v>
      </c>
      <c r="AJ3536" s="190">
        <v>214.4</v>
      </c>
      <c r="AK3536" s="191">
        <v>214.4</v>
      </c>
      <c r="AL3536" s="191">
        <v>286</v>
      </c>
      <c r="AM3536" s="17">
        <f t="shared" si="133"/>
        <v>500.4</v>
      </c>
      <c r="AN3536" s="162" t="s">
        <v>7194</v>
      </c>
      <c r="AO3536" s="162" t="s">
        <v>7396</v>
      </c>
    </row>
    <row r="3537" spans="1:41" s="162" customFormat="1" x14ac:dyDescent="0.3">
      <c r="A3537" s="205" t="s">
        <v>8321</v>
      </c>
      <c r="B3537" s="162" t="s">
        <v>8322</v>
      </c>
      <c r="C3537" s="168" t="s">
        <v>13277</v>
      </c>
      <c r="D3537" s="168" t="s">
        <v>13278</v>
      </c>
      <c r="E3537" s="168" t="s">
        <v>13279</v>
      </c>
      <c r="F3537" s="168" t="s">
        <v>13280</v>
      </c>
      <c r="G3537" s="168" t="s">
        <v>13340</v>
      </c>
      <c r="H3537" s="168" t="s">
        <v>13341</v>
      </c>
      <c r="I3537" s="168"/>
      <c r="J3537" s="168"/>
      <c r="K3537" s="168" t="s">
        <v>13342</v>
      </c>
      <c r="L3537" s="168" t="s">
        <v>13343</v>
      </c>
      <c r="M3537" s="168" t="s">
        <v>13352</v>
      </c>
      <c r="N3537" s="168"/>
      <c r="O3537" s="413">
        <v>0.5</v>
      </c>
      <c r="P3537" s="413">
        <v>0.6</v>
      </c>
      <c r="Q3537" s="413">
        <v>0.7</v>
      </c>
      <c r="R3537" s="413">
        <v>0.8</v>
      </c>
      <c r="S3537" s="413">
        <v>1</v>
      </c>
      <c r="T3537" s="184" t="s">
        <v>7194</v>
      </c>
      <c r="U3537" t="str">
        <f>VLOOKUP(T3537,[8]Votes!$A$1:$E$234,3,FALSE)</f>
        <v>144 Uganda Police Force</v>
      </c>
      <c r="V3537" s="159" t="s">
        <v>13353</v>
      </c>
      <c r="W3537" s="416">
        <v>1</v>
      </c>
      <c r="X3537" s="416">
        <v>1</v>
      </c>
      <c r="Y3537" s="416">
        <v>1</v>
      </c>
      <c r="Z3537" s="416">
        <v>1</v>
      </c>
      <c r="AA3537" s="416">
        <v>1</v>
      </c>
      <c r="AB3537" s="416">
        <v>0</v>
      </c>
      <c r="AC3537" s="150">
        <v>0</v>
      </c>
      <c r="AD3537" s="150">
        <v>1</v>
      </c>
      <c r="AE3537" s="49">
        <f t="shared" si="132"/>
        <v>0.75</v>
      </c>
      <c r="AF3537" s="190">
        <v>1</v>
      </c>
      <c r="AG3537" s="17">
        <v>0</v>
      </c>
      <c r="AH3537" s="190">
        <v>64.882000000000005</v>
      </c>
      <c r="AI3537" s="190">
        <v>64.882000000000005</v>
      </c>
      <c r="AJ3537" s="190">
        <v>64.882000000000005</v>
      </c>
      <c r="AK3537" s="191">
        <v>64.882000000000005</v>
      </c>
      <c r="AL3537" s="191">
        <v>64.882000000000005</v>
      </c>
      <c r="AM3537" s="17">
        <f t="shared" si="133"/>
        <v>129.76400000000001</v>
      </c>
      <c r="AN3537" s="162" t="s">
        <v>7194</v>
      </c>
      <c r="AO3537" s="162" t="s">
        <v>7396</v>
      </c>
    </row>
    <row r="3538" spans="1:41" s="162" customFormat="1" x14ac:dyDescent="0.3">
      <c r="A3538" s="205" t="s">
        <v>8321</v>
      </c>
      <c r="B3538" s="162" t="s">
        <v>8322</v>
      </c>
      <c r="C3538" s="168" t="s">
        <v>13277</v>
      </c>
      <c r="D3538" s="168" t="s">
        <v>13278</v>
      </c>
      <c r="E3538" s="168" t="s">
        <v>13279</v>
      </c>
      <c r="F3538" s="168" t="s">
        <v>13280</v>
      </c>
      <c r="G3538" s="168" t="s">
        <v>13340</v>
      </c>
      <c r="H3538" s="168" t="s">
        <v>13341</v>
      </c>
      <c r="I3538" s="168"/>
      <c r="J3538" s="168"/>
      <c r="K3538" s="168" t="s">
        <v>13342</v>
      </c>
      <c r="L3538" s="168" t="s">
        <v>13343</v>
      </c>
      <c r="M3538" s="277" t="s">
        <v>13354</v>
      </c>
      <c r="N3538" s="168"/>
      <c r="O3538" s="189">
        <v>250000</v>
      </c>
      <c r="P3538" s="189">
        <v>263875</v>
      </c>
      <c r="Q3538" s="189">
        <v>288875</v>
      </c>
      <c r="R3538" s="189">
        <v>313875</v>
      </c>
      <c r="S3538" s="189">
        <v>338875</v>
      </c>
      <c r="T3538" s="184" t="s">
        <v>13322</v>
      </c>
      <c r="U3538" t="e">
        <f>VLOOKUP(T3538,[8]Votes!$A$1:$E$234,3,FALSE)</f>
        <v>#N/A</v>
      </c>
      <c r="V3538" s="184" t="s">
        <v>13355</v>
      </c>
      <c r="W3538" s="416">
        <v>1</v>
      </c>
      <c r="X3538" s="416">
        <v>1</v>
      </c>
      <c r="Y3538" s="416">
        <v>1</v>
      </c>
      <c r="Z3538" s="416">
        <v>1</v>
      </c>
      <c r="AA3538" s="416">
        <v>1</v>
      </c>
      <c r="AB3538" s="416">
        <v>0</v>
      </c>
      <c r="AC3538" s="150">
        <v>0</v>
      </c>
      <c r="AD3538" s="150">
        <v>1</v>
      </c>
      <c r="AE3538" s="49">
        <f t="shared" si="132"/>
        <v>0.75</v>
      </c>
      <c r="AF3538" s="190">
        <v>1</v>
      </c>
      <c r="AG3538" s="17">
        <v>0</v>
      </c>
      <c r="AH3538" s="190">
        <v>4.5949999999999998</v>
      </c>
      <c r="AI3538" s="190">
        <v>4.5949999999999998</v>
      </c>
      <c r="AJ3538" s="190">
        <v>4.5949999999999998</v>
      </c>
      <c r="AK3538" s="191">
        <v>4.5949999999999998</v>
      </c>
      <c r="AL3538" s="191">
        <v>4.5949999999999998</v>
      </c>
      <c r="AM3538" s="17">
        <f t="shared" si="133"/>
        <v>9.19</v>
      </c>
      <c r="AN3538" s="162" t="s">
        <v>7194</v>
      </c>
      <c r="AO3538" s="162" t="s">
        <v>7396</v>
      </c>
    </row>
    <row r="3539" spans="1:41" s="162" customFormat="1" x14ac:dyDescent="0.3">
      <c r="A3539" s="205" t="s">
        <v>8321</v>
      </c>
      <c r="B3539" s="162" t="s">
        <v>8322</v>
      </c>
      <c r="C3539" s="168" t="s">
        <v>13277</v>
      </c>
      <c r="D3539" s="168" t="s">
        <v>13278</v>
      </c>
      <c r="E3539" s="168" t="s">
        <v>13279</v>
      </c>
      <c r="F3539" s="168" t="s">
        <v>13280</v>
      </c>
      <c r="G3539" s="168" t="s">
        <v>13356</v>
      </c>
      <c r="H3539" s="168" t="s">
        <v>13357</v>
      </c>
      <c r="I3539" s="168"/>
      <c r="J3539" s="168"/>
      <c r="K3539" s="168">
        <v>16110401</v>
      </c>
      <c r="L3539" s="168" t="s">
        <v>13358</v>
      </c>
      <c r="M3539" s="168" t="s">
        <v>13359</v>
      </c>
      <c r="N3539" s="168"/>
      <c r="O3539" s="189">
        <v>100</v>
      </c>
      <c r="P3539" s="189">
        <v>100</v>
      </c>
      <c r="Q3539" s="189">
        <v>100</v>
      </c>
      <c r="R3539" s="189">
        <v>100</v>
      </c>
      <c r="S3539" s="189">
        <v>100</v>
      </c>
      <c r="T3539" s="184" t="s">
        <v>7194</v>
      </c>
      <c r="U3539" t="str">
        <f>VLOOKUP(T3539,[8]Votes!$A$1:$E$234,3,FALSE)</f>
        <v>144 Uganda Police Force</v>
      </c>
      <c r="V3539" s="168" t="s">
        <v>13360</v>
      </c>
      <c r="W3539" s="416">
        <v>1</v>
      </c>
      <c r="X3539" s="416">
        <v>1</v>
      </c>
      <c r="Y3539" s="416">
        <v>1</v>
      </c>
      <c r="Z3539" s="416">
        <v>1</v>
      </c>
      <c r="AA3539" s="416">
        <v>1</v>
      </c>
      <c r="AB3539" s="416">
        <v>0</v>
      </c>
      <c r="AC3539" s="150">
        <v>0</v>
      </c>
      <c r="AD3539" s="150">
        <v>1</v>
      </c>
      <c r="AE3539" s="49">
        <f t="shared" si="132"/>
        <v>0.75</v>
      </c>
      <c r="AF3539" s="190">
        <v>1</v>
      </c>
      <c r="AG3539" s="17">
        <v>0</v>
      </c>
      <c r="AH3539" s="190">
        <v>25.751000000000001</v>
      </c>
      <c r="AI3539" s="190">
        <v>25.751000000000001</v>
      </c>
      <c r="AJ3539" s="190">
        <v>25.751000000000001</v>
      </c>
      <c r="AK3539" s="191">
        <v>1</v>
      </c>
      <c r="AL3539" s="191">
        <v>1</v>
      </c>
      <c r="AM3539" s="17">
        <f t="shared" si="133"/>
        <v>2</v>
      </c>
      <c r="AN3539" s="162" t="s">
        <v>7194</v>
      </c>
      <c r="AO3539" s="162" t="s">
        <v>7396</v>
      </c>
    </row>
    <row r="3540" spans="1:41" s="162" customFormat="1" x14ac:dyDescent="0.3">
      <c r="A3540" s="205" t="s">
        <v>8321</v>
      </c>
      <c r="B3540" s="162" t="s">
        <v>8322</v>
      </c>
      <c r="C3540" s="168" t="s">
        <v>13277</v>
      </c>
      <c r="D3540" s="168" t="s">
        <v>13278</v>
      </c>
      <c r="E3540" s="168" t="s">
        <v>13279</v>
      </c>
      <c r="F3540" s="168" t="s">
        <v>13280</v>
      </c>
      <c r="G3540" s="168" t="s">
        <v>13356</v>
      </c>
      <c r="H3540" s="168" t="s">
        <v>13357</v>
      </c>
      <c r="I3540" s="168"/>
      <c r="J3540" s="168"/>
      <c r="K3540" s="168">
        <v>16110401</v>
      </c>
      <c r="L3540" s="168" t="s">
        <v>13358</v>
      </c>
      <c r="M3540" s="277" t="s">
        <v>13361</v>
      </c>
      <c r="N3540" s="168"/>
      <c r="O3540" s="189"/>
      <c r="P3540" s="413">
        <v>0.5</v>
      </c>
      <c r="Q3540" s="413">
        <v>0.7</v>
      </c>
      <c r="R3540" s="413">
        <v>0.75</v>
      </c>
      <c r="S3540" s="413">
        <v>0.75</v>
      </c>
      <c r="T3540" s="184" t="s">
        <v>7194</v>
      </c>
      <c r="U3540" t="str">
        <f>VLOOKUP(T3540,[8]Votes!$A$1:$E$234,3,FALSE)</f>
        <v>144 Uganda Police Force</v>
      </c>
      <c r="V3540" s="168" t="s">
        <v>13362</v>
      </c>
      <c r="W3540" s="416">
        <v>1</v>
      </c>
      <c r="X3540" s="416">
        <v>1</v>
      </c>
      <c r="Y3540" s="416">
        <v>1</v>
      </c>
      <c r="Z3540" s="416">
        <v>1</v>
      </c>
      <c r="AA3540" s="416">
        <v>1</v>
      </c>
      <c r="AB3540" s="416">
        <v>0</v>
      </c>
      <c r="AC3540" s="150">
        <v>0</v>
      </c>
      <c r="AD3540" s="150">
        <v>1</v>
      </c>
      <c r="AE3540" s="49">
        <f t="shared" si="132"/>
        <v>0.75</v>
      </c>
      <c r="AF3540" s="190">
        <v>1</v>
      </c>
      <c r="AG3540" s="17">
        <v>0</v>
      </c>
      <c r="AH3540" s="190">
        <v>0</v>
      </c>
      <c r="AI3540" s="190">
        <v>8.25</v>
      </c>
      <c r="AJ3540" s="190">
        <v>8.25</v>
      </c>
      <c r="AK3540" s="191">
        <v>0.5</v>
      </c>
      <c r="AL3540" s="191">
        <v>0.5</v>
      </c>
      <c r="AM3540" s="17">
        <f t="shared" si="133"/>
        <v>1</v>
      </c>
      <c r="AN3540" s="162" t="s">
        <v>7194</v>
      </c>
      <c r="AO3540" s="162" t="s">
        <v>7396</v>
      </c>
    </row>
    <row r="3541" spans="1:41" s="162" customFormat="1" x14ac:dyDescent="0.3">
      <c r="A3541" s="205" t="s">
        <v>8321</v>
      </c>
      <c r="B3541" s="162" t="s">
        <v>8322</v>
      </c>
      <c r="C3541" s="168" t="s">
        <v>13277</v>
      </c>
      <c r="D3541" s="168" t="s">
        <v>13278</v>
      </c>
      <c r="E3541" s="168" t="s">
        <v>13279</v>
      </c>
      <c r="F3541" s="168" t="s">
        <v>13280</v>
      </c>
      <c r="G3541" s="168" t="s">
        <v>13356</v>
      </c>
      <c r="H3541" s="168" t="s">
        <v>13357</v>
      </c>
      <c r="I3541" s="168"/>
      <c r="J3541" s="168"/>
      <c r="K3541" s="168">
        <v>16110401</v>
      </c>
      <c r="L3541" s="168" t="s">
        <v>13358</v>
      </c>
      <c r="M3541" s="168" t="s">
        <v>13363</v>
      </c>
      <c r="N3541" s="168"/>
      <c r="O3541" s="189"/>
      <c r="P3541" s="413">
        <v>0.1</v>
      </c>
      <c r="Q3541" s="413">
        <v>0.2</v>
      </c>
      <c r="R3541" s="413">
        <v>0.3</v>
      </c>
      <c r="S3541" s="413">
        <v>0.4</v>
      </c>
      <c r="T3541" s="184" t="s">
        <v>7194</v>
      </c>
      <c r="U3541" t="str">
        <f>VLOOKUP(T3541,[8]Votes!$A$1:$E$234,3,FALSE)</f>
        <v>144 Uganda Police Force</v>
      </c>
      <c r="V3541" s="168" t="s">
        <v>13364</v>
      </c>
      <c r="W3541" s="416">
        <v>1</v>
      </c>
      <c r="X3541" s="416">
        <v>1</v>
      </c>
      <c r="Y3541" s="416">
        <v>1</v>
      </c>
      <c r="Z3541" s="416">
        <v>1</v>
      </c>
      <c r="AA3541" s="416">
        <v>1</v>
      </c>
      <c r="AB3541" s="416">
        <v>0</v>
      </c>
      <c r="AC3541" s="150">
        <v>0</v>
      </c>
      <c r="AD3541" s="150">
        <v>1</v>
      </c>
      <c r="AE3541" s="49">
        <f t="shared" si="132"/>
        <v>0.75</v>
      </c>
      <c r="AF3541" s="190">
        <v>1</v>
      </c>
      <c r="AG3541" s="17">
        <v>0</v>
      </c>
      <c r="AH3541" s="190">
        <v>0</v>
      </c>
      <c r="AI3541" s="190">
        <v>2</v>
      </c>
      <c r="AJ3541" s="190">
        <v>2</v>
      </c>
      <c r="AK3541" s="191">
        <v>2</v>
      </c>
      <c r="AL3541" s="191">
        <v>2</v>
      </c>
      <c r="AM3541" s="17">
        <f t="shared" si="133"/>
        <v>4</v>
      </c>
      <c r="AN3541" s="162" t="s">
        <v>7194</v>
      </c>
      <c r="AO3541" s="162" t="s">
        <v>7396</v>
      </c>
    </row>
    <row r="3542" spans="1:41" s="162" customFormat="1" x14ac:dyDescent="0.3">
      <c r="A3542" s="205" t="s">
        <v>8321</v>
      </c>
      <c r="B3542" s="162" t="s">
        <v>8322</v>
      </c>
      <c r="C3542" s="168" t="s">
        <v>13277</v>
      </c>
      <c r="D3542" s="168" t="s">
        <v>13278</v>
      </c>
      <c r="E3542" s="168" t="s">
        <v>13279</v>
      </c>
      <c r="F3542" s="168" t="s">
        <v>13280</v>
      </c>
      <c r="G3542" s="168" t="s">
        <v>13365</v>
      </c>
      <c r="H3542" s="168" t="s">
        <v>13366</v>
      </c>
      <c r="I3542" s="168"/>
      <c r="J3542" s="168"/>
      <c r="K3542" s="168">
        <v>16110501</v>
      </c>
      <c r="L3542" s="168" t="s">
        <v>13367</v>
      </c>
      <c r="M3542" s="168" t="s">
        <v>13368</v>
      </c>
      <c r="N3542" s="168"/>
      <c r="O3542" s="189">
        <v>5</v>
      </c>
      <c r="P3542" s="189">
        <v>10</v>
      </c>
      <c r="Q3542" s="189">
        <v>15</v>
      </c>
      <c r="R3542" s="189">
        <v>20</v>
      </c>
      <c r="S3542" s="189">
        <v>30</v>
      </c>
      <c r="T3542" s="184" t="s">
        <v>7194</v>
      </c>
      <c r="U3542" t="str">
        <f>VLOOKUP(T3542,[8]Votes!$A$1:$E$234,3,FALSE)</f>
        <v>144 Uganda Police Force</v>
      </c>
      <c r="V3542" s="168" t="s">
        <v>13369</v>
      </c>
      <c r="W3542" s="416">
        <v>1</v>
      </c>
      <c r="X3542" s="416">
        <v>1</v>
      </c>
      <c r="Y3542" s="416">
        <v>1</v>
      </c>
      <c r="Z3542" s="416">
        <v>1</v>
      </c>
      <c r="AA3542" s="416">
        <v>1</v>
      </c>
      <c r="AB3542" s="416">
        <v>0</v>
      </c>
      <c r="AC3542" s="150">
        <v>0</v>
      </c>
      <c r="AD3542" s="150">
        <v>1</v>
      </c>
      <c r="AE3542" s="49">
        <f t="shared" si="132"/>
        <v>0.75</v>
      </c>
      <c r="AF3542" s="190">
        <v>1</v>
      </c>
      <c r="AG3542" s="17">
        <v>0</v>
      </c>
      <c r="AH3542" s="190">
        <v>15</v>
      </c>
      <c r="AI3542" s="190">
        <v>15</v>
      </c>
      <c r="AJ3542" s="190">
        <v>15</v>
      </c>
      <c r="AK3542" s="191">
        <v>15</v>
      </c>
      <c r="AL3542" s="191">
        <v>15</v>
      </c>
      <c r="AM3542" s="17">
        <f t="shared" si="133"/>
        <v>30</v>
      </c>
      <c r="AN3542" s="162" t="s">
        <v>7194</v>
      </c>
      <c r="AO3542" s="162" t="s">
        <v>7396</v>
      </c>
    </row>
    <row r="3543" spans="1:41" s="162" customFormat="1" x14ac:dyDescent="0.3">
      <c r="A3543" s="205" t="s">
        <v>8321</v>
      </c>
      <c r="B3543" s="162" t="s">
        <v>8322</v>
      </c>
      <c r="C3543" s="168" t="s">
        <v>13277</v>
      </c>
      <c r="D3543" s="168" t="s">
        <v>13278</v>
      </c>
      <c r="E3543" s="168" t="s">
        <v>13279</v>
      </c>
      <c r="F3543" s="168" t="s">
        <v>13280</v>
      </c>
      <c r="G3543" s="168" t="s">
        <v>13365</v>
      </c>
      <c r="H3543" s="168" t="s">
        <v>13366</v>
      </c>
      <c r="I3543" s="168"/>
      <c r="J3543" s="168"/>
      <c r="K3543" s="168">
        <v>16110502</v>
      </c>
      <c r="L3543" s="168" t="s">
        <v>13370</v>
      </c>
      <c r="M3543" s="168" t="s">
        <v>13371</v>
      </c>
      <c r="N3543" s="168"/>
      <c r="O3543" s="189"/>
      <c r="P3543" s="189"/>
      <c r="Q3543" s="413">
        <v>0</v>
      </c>
      <c r="R3543" s="413">
        <v>0.05</v>
      </c>
      <c r="S3543" s="413">
        <v>0.13</v>
      </c>
      <c r="T3543" s="184" t="s">
        <v>7194</v>
      </c>
      <c r="U3543" t="str">
        <f>VLOOKUP(T3543,[8]Votes!$A$1:$E$234,3,FALSE)</f>
        <v>144 Uganda Police Force</v>
      </c>
      <c r="V3543" s="159" t="s">
        <v>13372</v>
      </c>
      <c r="W3543" s="416">
        <v>1</v>
      </c>
      <c r="X3543" s="416">
        <v>1</v>
      </c>
      <c r="Y3543" s="416">
        <v>1</v>
      </c>
      <c r="Z3543" s="416">
        <v>1</v>
      </c>
      <c r="AA3543" s="416">
        <v>1</v>
      </c>
      <c r="AB3543" s="416">
        <v>0</v>
      </c>
      <c r="AC3543" s="150">
        <v>0</v>
      </c>
      <c r="AD3543" s="150">
        <v>1</v>
      </c>
      <c r="AE3543" s="49">
        <f t="shared" si="132"/>
        <v>0.75</v>
      </c>
      <c r="AF3543" s="190">
        <v>1</v>
      </c>
      <c r="AG3543" s="17">
        <v>0</v>
      </c>
      <c r="AH3543" s="190">
        <v>0</v>
      </c>
      <c r="AI3543" s="190">
        <v>0</v>
      </c>
      <c r="AJ3543" s="190">
        <v>65.8</v>
      </c>
      <c r="AK3543" s="191">
        <v>5</v>
      </c>
      <c r="AL3543" s="191">
        <v>5</v>
      </c>
      <c r="AM3543" s="17">
        <f t="shared" si="133"/>
        <v>10</v>
      </c>
      <c r="AN3543" s="162" t="s">
        <v>7194</v>
      </c>
      <c r="AO3543" s="162" t="s">
        <v>7396</v>
      </c>
    </row>
    <row r="3544" spans="1:41" s="162" customFormat="1" x14ac:dyDescent="0.3">
      <c r="A3544" s="205" t="s">
        <v>8321</v>
      </c>
      <c r="B3544" s="162" t="s">
        <v>8322</v>
      </c>
      <c r="C3544" s="168" t="s">
        <v>13277</v>
      </c>
      <c r="D3544" s="168" t="s">
        <v>13278</v>
      </c>
      <c r="E3544" s="168" t="s">
        <v>13279</v>
      </c>
      <c r="F3544" s="168" t="s">
        <v>13280</v>
      </c>
      <c r="G3544" s="168" t="s">
        <v>13365</v>
      </c>
      <c r="H3544" s="168" t="s">
        <v>13366</v>
      </c>
      <c r="I3544" s="168"/>
      <c r="J3544" s="168"/>
      <c r="K3544" s="168">
        <v>16110502</v>
      </c>
      <c r="L3544" s="168" t="s">
        <v>13370</v>
      </c>
      <c r="M3544" s="168" t="s">
        <v>13373</v>
      </c>
      <c r="N3544" s="168"/>
      <c r="O3544" s="189"/>
      <c r="P3544" s="480">
        <v>2.3E-2</v>
      </c>
      <c r="Q3544" s="480">
        <v>2.3E-2</v>
      </c>
      <c r="R3544" s="480">
        <v>2.3E-2</v>
      </c>
      <c r="S3544" s="480">
        <v>2.3E-2</v>
      </c>
      <c r="T3544" s="184" t="s">
        <v>7194</v>
      </c>
      <c r="U3544" t="str">
        <f>VLOOKUP(T3544,[8]Votes!$A$1:$E$234,3,FALSE)</f>
        <v>144 Uganda Police Force</v>
      </c>
      <c r="V3544" s="168" t="s">
        <v>13374</v>
      </c>
      <c r="W3544" s="416">
        <v>1</v>
      </c>
      <c r="X3544" s="416">
        <v>1</v>
      </c>
      <c r="Y3544" s="416">
        <v>1</v>
      </c>
      <c r="Z3544" s="416">
        <v>1</v>
      </c>
      <c r="AA3544" s="416">
        <v>1</v>
      </c>
      <c r="AB3544" s="416">
        <v>0</v>
      </c>
      <c r="AC3544" s="150">
        <v>0</v>
      </c>
      <c r="AD3544" s="150">
        <v>1</v>
      </c>
      <c r="AE3544" s="49">
        <f t="shared" si="132"/>
        <v>0.75</v>
      </c>
      <c r="AF3544" s="190">
        <v>1</v>
      </c>
      <c r="AG3544" s="17">
        <v>0</v>
      </c>
      <c r="AH3544" s="190">
        <v>0</v>
      </c>
      <c r="AI3544" s="190">
        <v>0.69</v>
      </c>
      <c r="AJ3544" s="190">
        <v>0.69</v>
      </c>
      <c r="AK3544" s="191">
        <v>0.69</v>
      </c>
      <c r="AL3544" s="191">
        <v>0.69</v>
      </c>
      <c r="AM3544" s="17">
        <f t="shared" si="133"/>
        <v>1.38</v>
      </c>
      <c r="AN3544" s="162" t="s">
        <v>7194</v>
      </c>
      <c r="AO3544" s="162" t="s">
        <v>7396</v>
      </c>
    </row>
    <row r="3545" spans="1:41" s="162" customFormat="1" x14ac:dyDescent="0.3">
      <c r="A3545" s="205" t="s">
        <v>8321</v>
      </c>
      <c r="B3545" s="162" t="s">
        <v>8322</v>
      </c>
      <c r="C3545" s="168" t="s">
        <v>13277</v>
      </c>
      <c r="D3545" s="168" t="s">
        <v>13278</v>
      </c>
      <c r="E3545" s="168" t="s">
        <v>13279</v>
      </c>
      <c r="F3545" s="168" t="s">
        <v>13280</v>
      </c>
      <c r="G3545" s="168" t="s">
        <v>13365</v>
      </c>
      <c r="H3545" s="168" t="s">
        <v>13366</v>
      </c>
      <c r="I3545" s="168"/>
      <c r="J3545" s="168"/>
      <c r="K3545" s="168">
        <v>16110502</v>
      </c>
      <c r="L3545" s="168" t="s">
        <v>13370</v>
      </c>
      <c r="M3545" s="168" t="s">
        <v>13375</v>
      </c>
      <c r="N3545" s="168"/>
      <c r="O3545" s="189">
        <v>0</v>
      </c>
      <c r="P3545" s="189">
        <v>1</v>
      </c>
      <c r="Q3545" s="189">
        <v>2</v>
      </c>
      <c r="R3545" s="189">
        <v>2</v>
      </c>
      <c r="S3545" s="189">
        <v>2</v>
      </c>
      <c r="T3545" s="184" t="s">
        <v>7194</v>
      </c>
      <c r="U3545" t="str">
        <f>VLOOKUP(T3545,[8]Votes!$A$1:$E$234,3,FALSE)</f>
        <v>144 Uganda Police Force</v>
      </c>
      <c r="V3545" s="168" t="s">
        <v>13376</v>
      </c>
      <c r="W3545" s="416">
        <v>1</v>
      </c>
      <c r="X3545" s="416">
        <v>1</v>
      </c>
      <c r="Y3545" s="416">
        <v>1</v>
      </c>
      <c r="Z3545" s="416">
        <v>1</v>
      </c>
      <c r="AA3545" s="416">
        <v>1</v>
      </c>
      <c r="AB3545" s="416">
        <v>0</v>
      </c>
      <c r="AC3545" s="150">
        <v>0</v>
      </c>
      <c r="AD3545" s="150">
        <v>1</v>
      </c>
      <c r="AE3545" s="49">
        <f t="shared" si="132"/>
        <v>0.75</v>
      </c>
      <c r="AF3545" s="190">
        <v>1</v>
      </c>
      <c r="AG3545" s="17">
        <v>0</v>
      </c>
      <c r="AH3545" s="190">
        <v>0</v>
      </c>
      <c r="AI3545" s="190">
        <v>7.0709999999999997</v>
      </c>
      <c r="AJ3545" s="190">
        <v>7.0709999999999997</v>
      </c>
      <c r="AK3545" s="191">
        <v>7.0709999999999997</v>
      </c>
      <c r="AL3545" s="191">
        <v>7.0709999999999997</v>
      </c>
      <c r="AM3545" s="17">
        <f t="shared" si="133"/>
        <v>14.141999999999999</v>
      </c>
      <c r="AN3545" s="162" t="s">
        <v>7194</v>
      </c>
      <c r="AO3545" s="162" t="s">
        <v>7396</v>
      </c>
    </row>
    <row r="3546" spans="1:41" s="162" customFormat="1" x14ac:dyDescent="0.3">
      <c r="A3546" s="205" t="s">
        <v>8321</v>
      </c>
      <c r="B3546" s="162" t="s">
        <v>8322</v>
      </c>
      <c r="C3546" s="168" t="s">
        <v>13277</v>
      </c>
      <c r="D3546" s="168" t="s">
        <v>13278</v>
      </c>
      <c r="E3546" s="168" t="s">
        <v>13279</v>
      </c>
      <c r="F3546" s="168" t="s">
        <v>13280</v>
      </c>
      <c r="G3546" s="168" t="s">
        <v>13377</v>
      </c>
      <c r="H3546" s="168" t="s">
        <v>13378</v>
      </c>
      <c r="I3546" s="168"/>
      <c r="J3546" s="168"/>
      <c r="K3546" s="168">
        <v>16110601</v>
      </c>
      <c r="L3546" s="168" t="s">
        <v>13379</v>
      </c>
      <c r="M3546" s="168" t="s">
        <v>13380</v>
      </c>
      <c r="N3546" s="168"/>
      <c r="O3546" s="189">
        <v>0.4</v>
      </c>
      <c r="P3546" s="189">
        <v>0.8</v>
      </c>
      <c r="Q3546" s="189">
        <v>90</v>
      </c>
      <c r="R3546" s="189">
        <v>95</v>
      </c>
      <c r="S3546" s="189">
        <v>100</v>
      </c>
      <c r="T3546" s="184" t="s">
        <v>7194</v>
      </c>
      <c r="U3546" t="str">
        <f>VLOOKUP(T3546,[8]Votes!$A$1:$E$234,3,FALSE)</f>
        <v>144 Uganda Police Force</v>
      </c>
      <c r="V3546" s="159" t="s">
        <v>13381</v>
      </c>
      <c r="W3546" s="416">
        <v>1</v>
      </c>
      <c r="X3546" s="416">
        <v>1</v>
      </c>
      <c r="Y3546" s="416">
        <v>1</v>
      </c>
      <c r="Z3546" s="416">
        <v>1</v>
      </c>
      <c r="AA3546" s="416">
        <v>1</v>
      </c>
      <c r="AB3546" s="416">
        <v>1</v>
      </c>
      <c r="AC3546" s="150">
        <v>0</v>
      </c>
      <c r="AD3546" s="150">
        <v>1</v>
      </c>
      <c r="AE3546" s="49">
        <f t="shared" si="132"/>
        <v>0.875</v>
      </c>
      <c r="AF3546" s="190">
        <v>1</v>
      </c>
      <c r="AG3546" s="17">
        <v>0</v>
      </c>
      <c r="AH3546" s="190">
        <v>63</v>
      </c>
      <c r="AI3546" s="190">
        <v>120</v>
      </c>
      <c r="AJ3546" s="190">
        <v>38</v>
      </c>
      <c r="AK3546" s="191">
        <v>29</v>
      </c>
      <c r="AL3546" s="191">
        <v>29</v>
      </c>
      <c r="AM3546" s="17">
        <f t="shared" si="133"/>
        <v>58</v>
      </c>
      <c r="AN3546" s="162" t="s">
        <v>7194</v>
      </c>
      <c r="AO3546" s="162" t="s">
        <v>7396</v>
      </c>
    </row>
    <row r="3547" spans="1:41" s="162" customFormat="1" x14ac:dyDescent="0.3">
      <c r="A3547" s="205" t="s">
        <v>8321</v>
      </c>
      <c r="B3547" s="162" t="s">
        <v>8322</v>
      </c>
      <c r="C3547" s="168" t="s">
        <v>13277</v>
      </c>
      <c r="D3547" s="168" t="s">
        <v>13278</v>
      </c>
      <c r="E3547" s="168" t="s">
        <v>13279</v>
      </c>
      <c r="F3547" s="168" t="s">
        <v>13280</v>
      </c>
      <c r="G3547" s="168" t="s">
        <v>13377</v>
      </c>
      <c r="H3547" s="168" t="s">
        <v>13378</v>
      </c>
      <c r="I3547" s="168"/>
      <c r="J3547" s="168"/>
      <c r="K3547" s="168">
        <v>16110602</v>
      </c>
      <c r="L3547" s="168" t="s">
        <v>13382</v>
      </c>
      <c r="M3547" s="168" t="s">
        <v>13383</v>
      </c>
      <c r="N3547" s="168"/>
      <c r="O3547" s="413">
        <v>1</v>
      </c>
      <c r="P3547" s="413">
        <v>1</v>
      </c>
      <c r="Q3547" s="413">
        <v>1</v>
      </c>
      <c r="R3547" s="413">
        <v>1</v>
      </c>
      <c r="S3547" s="413">
        <v>1</v>
      </c>
      <c r="T3547" s="184" t="s">
        <v>7194</v>
      </c>
      <c r="U3547" t="str">
        <f>VLOOKUP(T3547,[8]Votes!$A$1:$E$234,3,FALSE)</f>
        <v>144 Uganda Police Force</v>
      </c>
      <c r="V3547" s="168" t="s">
        <v>13384</v>
      </c>
      <c r="W3547" s="416">
        <v>1</v>
      </c>
      <c r="X3547" s="416">
        <v>1</v>
      </c>
      <c r="Y3547" s="416">
        <v>1</v>
      </c>
      <c r="Z3547" s="416">
        <v>1</v>
      </c>
      <c r="AA3547" s="416">
        <v>1</v>
      </c>
      <c r="AB3547" s="416">
        <v>1</v>
      </c>
      <c r="AC3547" s="150">
        <v>0</v>
      </c>
      <c r="AD3547" s="150">
        <v>1</v>
      </c>
      <c r="AE3547" s="49">
        <f t="shared" si="132"/>
        <v>0.875</v>
      </c>
      <c r="AF3547" s="190">
        <v>1</v>
      </c>
      <c r="AG3547" s="17">
        <v>0</v>
      </c>
      <c r="AH3547" s="190">
        <v>29.71</v>
      </c>
      <c r="AI3547" s="190">
        <v>29.71</v>
      </c>
      <c r="AJ3547" s="190">
        <v>29.71</v>
      </c>
      <c r="AK3547" s="191">
        <v>29.71</v>
      </c>
      <c r="AL3547" s="191">
        <v>29.71</v>
      </c>
      <c r="AM3547" s="17">
        <f t="shared" si="133"/>
        <v>59.42</v>
      </c>
      <c r="AN3547" s="162" t="s">
        <v>7194</v>
      </c>
      <c r="AO3547" s="162" t="s">
        <v>7396</v>
      </c>
    </row>
    <row r="3548" spans="1:41" s="162" customFormat="1" x14ac:dyDescent="0.3">
      <c r="A3548" s="205" t="s">
        <v>8321</v>
      </c>
      <c r="B3548" s="162" t="s">
        <v>8322</v>
      </c>
      <c r="C3548" s="168" t="s">
        <v>13277</v>
      </c>
      <c r="D3548" s="168" t="s">
        <v>13278</v>
      </c>
      <c r="E3548" s="168" t="s">
        <v>13279</v>
      </c>
      <c r="F3548" s="168" t="s">
        <v>13280</v>
      </c>
      <c r="G3548" s="168" t="s">
        <v>13385</v>
      </c>
      <c r="H3548" s="168" t="s">
        <v>13386</v>
      </c>
      <c r="I3548" s="168"/>
      <c r="J3548" s="168"/>
      <c r="K3548" s="168">
        <v>16110701</v>
      </c>
      <c r="L3548" s="168" t="s">
        <v>13387</v>
      </c>
      <c r="M3548" s="168" t="s">
        <v>13388</v>
      </c>
      <c r="N3548" s="168"/>
      <c r="O3548" s="189">
        <v>0</v>
      </c>
      <c r="P3548" s="189">
        <v>11</v>
      </c>
      <c r="Q3548" s="189">
        <v>11</v>
      </c>
      <c r="R3548" s="189">
        <v>2</v>
      </c>
      <c r="S3548" s="189">
        <v>2</v>
      </c>
      <c r="T3548" s="184" t="s">
        <v>7194</v>
      </c>
      <c r="U3548" t="str">
        <f>VLOOKUP(T3548,[8]Votes!$A$1:$E$234,3,FALSE)</f>
        <v>144 Uganda Police Force</v>
      </c>
      <c r="V3548" s="168" t="s">
        <v>13389</v>
      </c>
      <c r="W3548" s="416">
        <v>1</v>
      </c>
      <c r="X3548" s="416">
        <v>1</v>
      </c>
      <c r="Y3548" s="416">
        <v>1</v>
      </c>
      <c r="Z3548" s="416">
        <v>1</v>
      </c>
      <c r="AA3548" s="416">
        <v>1</v>
      </c>
      <c r="AB3548" s="416">
        <v>0</v>
      </c>
      <c r="AC3548" s="150">
        <v>0</v>
      </c>
      <c r="AD3548" s="150">
        <v>1</v>
      </c>
      <c r="AE3548" s="49">
        <f t="shared" si="132"/>
        <v>0.75</v>
      </c>
      <c r="AF3548" s="190">
        <v>1</v>
      </c>
      <c r="AG3548" s="17">
        <v>0</v>
      </c>
      <c r="AH3548" s="190">
        <v>0</v>
      </c>
      <c r="AI3548" s="190">
        <v>3</v>
      </c>
      <c r="AJ3548" s="190">
        <v>3</v>
      </c>
      <c r="AK3548" s="191">
        <v>0.75</v>
      </c>
      <c r="AL3548" s="191">
        <v>0.75</v>
      </c>
      <c r="AM3548" s="17">
        <f t="shared" si="133"/>
        <v>1.5</v>
      </c>
      <c r="AN3548" s="162" t="s">
        <v>7194</v>
      </c>
      <c r="AO3548" s="162" t="s">
        <v>7396</v>
      </c>
    </row>
    <row r="3549" spans="1:41" s="162" customFormat="1" x14ac:dyDescent="0.3">
      <c r="A3549" s="205" t="s">
        <v>8321</v>
      </c>
      <c r="B3549" s="162" t="s">
        <v>8322</v>
      </c>
      <c r="C3549" s="168" t="s">
        <v>13277</v>
      </c>
      <c r="D3549" s="168" t="s">
        <v>13278</v>
      </c>
      <c r="E3549" s="168" t="s">
        <v>13279</v>
      </c>
      <c r="F3549" s="168" t="s">
        <v>13280</v>
      </c>
      <c r="G3549" s="168" t="s">
        <v>13385</v>
      </c>
      <c r="H3549" s="168" t="s">
        <v>13386</v>
      </c>
      <c r="I3549" s="168"/>
      <c r="J3549" s="168"/>
      <c r="K3549" s="168">
        <v>16110702</v>
      </c>
      <c r="L3549" s="168" t="s">
        <v>13390</v>
      </c>
      <c r="M3549" s="168" t="s">
        <v>13391</v>
      </c>
      <c r="N3549" s="168"/>
      <c r="O3549" s="189">
        <v>8</v>
      </c>
      <c r="P3549" s="189">
        <v>8</v>
      </c>
      <c r="Q3549" s="189">
        <v>8</v>
      </c>
      <c r="R3549" s="189">
        <v>8</v>
      </c>
      <c r="S3549" s="189">
        <v>8</v>
      </c>
      <c r="T3549" s="184" t="s">
        <v>7194</v>
      </c>
      <c r="U3549" t="str">
        <f>VLOOKUP(T3549,[8]Votes!$A$1:$E$234,3,FALSE)</f>
        <v>144 Uganda Police Force</v>
      </c>
      <c r="V3549" s="168" t="s">
        <v>13392</v>
      </c>
      <c r="W3549" s="416">
        <v>1</v>
      </c>
      <c r="X3549" s="416">
        <v>1</v>
      </c>
      <c r="Y3549" s="416">
        <v>1</v>
      </c>
      <c r="Z3549" s="416">
        <v>1</v>
      </c>
      <c r="AA3549" s="416">
        <v>1</v>
      </c>
      <c r="AB3549" s="416">
        <v>0</v>
      </c>
      <c r="AC3549" s="150">
        <v>0</v>
      </c>
      <c r="AD3549" s="150">
        <v>1</v>
      </c>
      <c r="AE3549" s="49">
        <f t="shared" si="132"/>
        <v>0.75</v>
      </c>
      <c r="AF3549" s="190">
        <v>1</v>
      </c>
      <c r="AG3549" s="17">
        <v>0</v>
      </c>
      <c r="AH3549" s="190">
        <v>1.2</v>
      </c>
      <c r="AI3549" s="190">
        <v>1.4</v>
      </c>
      <c r="AJ3549" s="190">
        <v>1.4</v>
      </c>
      <c r="AK3549" s="191">
        <v>0</v>
      </c>
      <c r="AL3549" s="191">
        <v>0</v>
      </c>
      <c r="AM3549" s="17">
        <f t="shared" si="133"/>
        <v>0</v>
      </c>
      <c r="AN3549" s="162" t="s">
        <v>7194</v>
      </c>
      <c r="AO3549" s="162" t="s">
        <v>7396</v>
      </c>
    </row>
    <row r="3550" spans="1:41" s="162" customFormat="1" x14ac:dyDescent="0.3">
      <c r="A3550" s="205" t="s">
        <v>8321</v>
      </c>
      <c r="B3550" s="162" t="s">
        <v>8322</v>
      </c>
      <c r="C3550" s="168" t="s">
        <v>13277</v>
      </c>
      <c r="D3550" s="168" t="s">
        <v>13278</v>
      </c>
      <c r="E3550" s="168" t="s">
        <v>13279</v>
      </c>
      <c r="F3550" s="168" t="s">
        <v>13280</v>
      </c>
      <c r="G3550" s="168" t="s">
        <v>13385</v>
      </c>
      <c r="H3550" s="168" t="s">
        <v>13386</v>
      </c>
      <c r="I3550" s="168"/>
      <c r="J3550" s="168"/>
      <c r="K3550" s="168">
        <v>16110703</v>
      </c>
      <c r="L3550" s="168" t="s">
        <v>13393</v>
      </c>
      <c r="M3550" s="168" t="s">
        <v>13394</v>
      </c>
      <c r="N3550" s="159">
        <v>0</v>
      </c>
      <c r="O3550" s="275">
        <v>0.28000000000000003</v>
      </c>
      <c r="P3550" s="275">
        <v>0.45</v>
      </c>
      <c r="Q3550" s="275">
        <v>0.65</v>
      </c>
      <c r="R3550" s="275">
        <v>0.8</v>
      </c>
      <c r="S3550" s="275">
        <v>1</v>
      </c>
      <c r="T3550" s="184" t="s">
        <v>7194</v>
      </c>
      <c r="U3550" t="str">
        <f>VLOOKUP(T3550,[8]Votes!$A$1:$E$234,3,FALSE)</f>
        <v>144 Uganda Police Force</v>
      </c>
      <c r="V3550" s="168" t="s">
        <v>13395</v>
      </c>
      <c r="W3550" s="416">
        <v>1</v>
      </c>
      <c r="X3550" s="416">
        <v>1</v>
      </c>
      <c r="Y3550" s="416">
        <v>1</v>
      </c>
      <c r="Z3550" s="416">
        <v>1</v>
      </c>
      <c r="AA3550" s="416">
        <v>1</v>
      </c>
      <c r="AB3550" s="416">
        <v>0</v>
      </c>
      <c r="AC3550" s="150">
        <v>0</v>
      </c>
      <c r="AD3550" s="150">
        <v>1</v>
      </c>
      <c r="AE3550" s="49">
        <f t="shared" si="132"/>
        <v>0.75</v>
      </c>
      <c r="AF3550" s="190">
        <v>1</v>
      </c>
      <c r="AG3550" s="17">
        <v>0</v>
      </c>
      <c r="AH3550" s="190">
        <v>0.25</v>
      </c>
      <c r="AI3550" s="190">
        <v>0.28999999999999998</v>
      </c>
      <c r="AJ3550" s="190">
        <v>0.35</v>
      </c>
      <c r="AK3550" s="191">
        <v>0.43</v>
      </c>
      <c r="AL3550" s="191">
        <v>0.55000000000000004</v>
      </c>
      <c r="AM3550" s="17">
        <f t="shared" si="133"/>
        <v>0.98</v>
      </c>
      <c r="AN3550" s="162" t="s">
        <v>7194</v>
      </c>
      <c r="AO3550" s="162" t="s">
        <v>7396</v>
      </c>
    </row>
    <row r="3551" spans="1:41" s="162" customFormat="1" x14ac:dyDescent="0.3">
      <c r="A3551" s="205" t="s">
        <v>8321</v>
      </c>
      <c r="B3551" s="162" t="s">
        <v>8322</v>
      </c>
      <c r="C3551" s="168" t="s">
        <v>13277</v>
      </c>
      <c r="D3551" s="168" t="s">
        <v>13278</v>
      </c>
      <c r="E3551" s="168" t="s">
        <v>13279</v>
      </c>
      <c r="F3551" s="168" t="s">
        <v>13280</v>
      </c>
      <c r="G3551" s="168" t="s">
        <v>13385</v>
      </c>
      <c r="H3551" s="168" t="s">
        <v>13386</v>
      </c>
      <c r="I3551" s="168"/>
      <c r="J3551" s="168"/>
      <c r="K3551" s="168">
        <v>16110703</v>
      </c>
      <c r="L3551" s="168" t="s">
        <v>13393</v>
      </c>
      <c r="M3551" s="168" t="s">
        <v>13396</v>
      </c>
      <c r="N3551" s="168"/>
      <c r="O3551" s="185"/>
      <c r="P3551" s="189">
        <v>11</v>
      </c>
      <c r="Q3551" s="189">
        <v>11</v>
      </c>
      <c r="R3551" s="189">
        <v>12</v>
      </c>
      <c r="S3551" s="189">
        <v>12</v>
      </c>
      <c r="T3551" s="184" t="s">
        <v>7194</v>
      </c>
      <c r="U3551" t="str">
        <f>VLOOKUP(T3551,[8]Votes!$A$1:$E$234,3,FALSE)</f>
        <v>144 Uganda Police Force</v>
      </c>
      <c r="V3551" s="168" t="s">
        <v>13397</v>
      </c>
      <c r="W3551" s="416">
        <v>1</v>
      </c>
      <c r="X3551" s="416">
        <v>1</v>
      </c>
      <c r="Y3551" s="416">
        <v>1</v>
      </c>
      <c r="Z3551" s="416">
        <v>1</v>
      </c>
      <c r="AA3551" s="416">
        <v>1</v>
      </c>
      <c r="AB3551" s="416">
        <v>0</v>
      </c>
      <c r="AC3551" s="150">
        <v>0</v>
      </c>
      <c r="AD3551" s="150">
        <v>1</v>
      </c>
      <c r="AE3551" s="49">
        <f t="shared" si="132"/>
        <v>0.75</v>
      </c>
      <c r="AF3551" s="190">
        <v>1</v>
      </c>
      <c r="AG3551" s="17">
        <v>0</v>
      </c>
      <c r="AH3551" s="190">
        <v>0</v>
      </c>
      <c r="AI3551" s="190">
        <v>1.121</v>
      </c>
      <c r="AJ3551" s="190">
        <v>1.121</v>
      </c>
      <c r="AK3551" s="191">
        <v>0</v>
      </c>
      <c r="AL3551" s="191">
        <v>0</v>
      </c>
      <c r="AM3551" s="17">
        <f t="shared" si="133"/>
        <v>0</v>
      </c>
      <c r="AN3551" s="162" t="s">
        <v>7194</v>
      </c>
      <c r="AO3551" s="162" t="s">
        <v>7396</v>
      </c>
    </row>
    <row r="3552" spans="1:41" s="162" customFormat="1" x14ac:dyDescent="0.3">
      <c r="A3552" s="205" t="s">
        <v>8321</v>
      </c>
      <c r="B3552" s="162" t="s">
        <v>8322</v>
      </c>
      <c r="C3552" s="168" t="s">
        <v>13277</v>
      </c>
      <c r="D3552" s="168" t="s">
        <v>13278</v>
      </c>
      <c r="E3552" s="168" t="s">
        <v>13279</v>
      </c>
      <c r="F3552" s="168" t="s">
        <v>13280</v>
      </c>
      <c r="G3552" s="168" t="s">
        <v>13398</v>
      </c>
      <c r="H3552" s="168" t="s">
        <v>13399</v>
      </c>
      <c r="I3552" s="168"/>
      <c r="J3552" s="168"/>
      <c r="K3552" s="168">
        <v>16110801</v>
      </c>
      <c r="L3552" s="168" t="s">
        <v>13400</v>
      </c>
      <c r="M3552" s="168" t="s">
        <v>13401</v>
      </c>
      <c r="N3552" s="168"/>
      <c r="O3552" s="189"/>
      <c r="P3552" s="189">
        <v>25</v>
      </c>
      <c r="Q3552" s="189">
        <v>25</v>
      </c>
      <c r="R3552" s="189">
        <v>25</v>
      </c>
      <c r="S3552" s="189">
        <v>25</v>
      </c>
      <c r="T3552" s="184" t="s">
        <v>7194</v>
      </c>
      <c r="U3552" t="str">
        <f>VLOOKUP(T3552,[8]Votes!$A$1:$E$234,3,FALSE)</f>
        <v>144 Uganda Police Force</v>
      </c>
      <c r="V3552" s="168" t="s">
        <v>13402</v>
      </c>
      <c r="W3552" s="416">
        <v>1</v>
      </c>
      <c r="X3552" s="416">
        <v>1</v>
      </c>
      <c r="Y3552" s="416">
        <v>1</v>
      </c>
      <c r="Z3552" s="416">
        <v>1</v>
      </c>
      <c r="AA3552" s="416">
        <v>1</v>
      </c>
      <c r="AB3552" s="416">
        <v>0</v>
      </c>
      <c r="AC3552" s="150">
        <v>0</v>
      </c>
      <c r="AD3552" s="150">
        <v>1</v>
      </c>
      <c r="AE3552" s="49">
        <f t="shared" si="132"/>
        <v>0.75</v>
      </c>
      <c r="AF3552" s="190">
        <v>1</v>
      </c>
      <c r="AG3552" s="17">
        <v>0</v>
      </c>
      <c r="AH3552" s="190">
        <v>0</v>
      </c>
      <c r="AI3552" s="190">
        <v>5.8000000000000003E-2</v>
      </c>
      <c r="AJ3552" s="190">
        <v>5.8000000000000003E-2</v>
      </c>
      <c r="AK3552" s="191">
        <v>0.16</v>
      </c>
      <c r="AL3552" s="191">
        <v>0.16</v>
      </c>
      <c r="AM3552" s="17">
        <f t="shared" si="133"/>
        <v>0.32</v>
      </c>
      <c r="AN3552" s="162" t="s">
        <v>7194</v>
      </c>
      <c r="AO3552" s="162" t="s">
        <v>7396</v>
      </c>
    </row>
    <row r="3553" spans="1:41" s="162" customFormat="1" x14ac:dyDescent="0.3">
      <c r="A3553" s="205" t="s">
        <v>8321</v>
      </c>
      <c r="B3553" s="162" t="s">
        <v>8322</v>
      </c>
      <c r="C3553" s="168" t="s">
        <v>13277</v>
      </c>
      <c r="D3553" s="168" t="s">
        <v>13278</v>
      </c>
      <c r="E3553" s="168" t="s">
        <v>13279</v>
      </c>
      <c r="F3553" s="168" t="s">
        <v>13280</v>
      </c>
      <c r="G3553" s="168" t="s">
        <v>13398</v>
      </c>
      <c r="H3553" s="168" t="s">
        <v>13399</v>
      </c>
      <c r="I3553" s="168"/>
      <c r="J3553" s="168"/>
      <c r="K3553" s="168">
        <v>16110801</v>
      </c>
      <c r="L3553" s="168" t="s">
        <v>13400</v>
      </c>
      <c r="M3553" s="277" t="s">
        <v>13403</v>
      </c>
      <c r="N3553" s="168"/>
      <c r="O3553" s="189"/>
      <c r="P3553" s="189">
        <v>20</v>
      </c>
      <c r="Q3553" s="189">
        <v>20</v>
      </c>
      <c r="R3553" s="189">
        <v>30</v>
      </c>
      <c r="S3553" s="189">
        <v>30</v>
      </c>
      <c r="T3553" s="184" t="s">
        <v>7194</v>
      </c>
      <c r="U3553" t="str">
        <f>VLOOKUP(T3553,[8]Votes!$A$1:$E$234,3,FALSE)</f>
        <v>144 Uganda Police Force</v>
      </c>
      <c r="V3553" s="168" t="s">
        <v>13404</v>
      </c>
      <c r="W3553" s="416">
        <v>1</v>
      </c>
      <c r="X3553" s="416">
        <v>1</v>
      </c>
      <c r="Y3553" s="416">
        <v>1</v>
      </c>
      <c r="Z3553" s="416">
        <v>1</v>
      </c>
      <c r="AA3553" s="416">
        <v>1</v>
      </c>
      <c r="AB3553" s="416">
        <v>0</v>
      </c>
      <c r="AC3553" s="150">
        <v>0</v>
      </c>
      <c r="AD3553" s="150">
        <v>1</v>
      </c>
      <c r="AE3553" s="49">
        <f t="shared" si="132"/>
        <v>0.75</v>
      </c>
      <c r="AF3553" s="190">
        <v>1</v>
      </c>
      <c r="AG3553" s="17">
        <v>0</v>
      </c>
      <c r="AH3553" s="190">
        <v>0</v>
      </c>
      <c r="AI3553" s="190">
        <v>4.7E-2</v>
      </c>
      <c r="AJ3553" s="190">
        <v>4.7E-2</v>
      </c>
      <c r="AK3553" s="191">
        <v>6.9000000000000006E-2</v>
      </c>
      <c r="AL3553" s="191">
        <v>6.9000000000000006E-2</v>
      </c>
      <c r="AM3553" s="17">
        <f t="shared" si="133"/>
        <v>0.13800000000000001</v>
      </c>
      <c r="AN3553" s="162" t="s">
        <v>7194</v>
      </c>
      <c r="AO3553" s="162" t="s">
        <v>7396</v>
      </c>
    </row>
    <row r="3554" spans="1:41" s="162" customFormat="1" x14ac:dyDescent="0.3">
      <c r="A3554" s="205" t="s">
        <v>8321</v>
      </c>
      <c r="B3554" s="162" t="s">
        <v>8322</v>
      </c>
      <c r="C3554" s="168" t="s">
        <v>13277</v>
      </c>
      <c r="D3554" s="168" t="s">
        <v>13278</v>
      </c>
      <c r="E3554" s="168" t="s">
        <v>13279</v>
      </c>
      <c r="F3554" s="168" t="s">
        <v>13280</v>
      </c>
      <c r="G3554" s="168" t="s">
        <v>13405</v>
      </c>
      <c r="H3554" s="168" t="s">
        <v>13406</v>
      </c>
      <c r="I3554" s="168"/>
      <c r="J3554" s="168"/>
      <c r="K3554" s="168">
        <v>16110901</v>
      </c>
      <c r="L3554" s="168" t="s">
        <v>13407</v>
      </c>
      <c r="M3554" s="168" t="s">
        <v>13408</v>
      </c>
      <c r="N3554" s="168"/>
      <c r="O3554" s="413">
        <v>1</v>
      </c>
      <c r="P3554" s="413">
        <v>1</v>
      </c>
      <c r="Q3554" s="413">
        <v>1</v>
      </c>
      <c r="R3554" s="413">
        <v>1</v>
      </c>
      <c r="S3554" s="413">
        <v>1</v>
      </c>
      <c r="T3554" s="184" t="s">
        <v>7194</v>
      </c>
      <c r="U3554" t="str">
        <f>VLOOKUP(T3554,[8]Votes!$A$1:$E$234,3,FALSE)</f>
        <v>144 Uganda Police Force</v>
      </c>
      <c r="V3554" s="168" t="s">
        <v>13409</v>
      </c>
      <c r="W3554" s="416">
        <v>1</v>
      </c>
      <c r="X3554" s="416">
        <v>1</v>
      </c>
      <c r="Y3554" s="416">
        <v>1</v>
      </c>
      <c r="Z3554" s="416">
        <v>1</v>
      </c>
      <c r="AA3554" s="416">
        <v>1</v>
      </c>
      <c r="AB3554" s="416">
        <v>0</v>
      </c>
      <c r="AC3554" s="150">
        <v>0</v>
      </c>
      <c r="AD3554" s="150">
        <v>1</v>
      </c>
      <c r="AE3554" s="49">
        <f t="shared" si="132"/>
        <v>0.75</v>
      </c>
      <c r="AF3554" s="190">
        <v>1</v>
      </c>
      <c r="AG3554" s="17">
        <v>0</v>
      </c>
      <c r="AH3554" s="190">
        <v>6.6</v>
      </c>
      <c r="AI3554" s="190">
        <v>6.6</v>
      </c>
      <c r="AJ3554" s="190">
        <v>6.6</v>
      </c>
      <c r="AK3554" s="191">
        <v>2</v>
      </c>
      <c r="AL3554" s="191">
        <v>2</v>
      </c>
      <c r="AM3554" s="17">
        <f t="shared" si="133"/>
        <v>4</v>
      </c>
      <c r="AN3554" s="162" t="s">
        <v>7194</v>
      </c>
      <c r="AO3554" s="162" t="s">
        <v>7396</v>
      </c>
    </row>
    <row r="3555" spans="1:41" s="162" customFormat="1" x14ac:dyDescent="0.3">
      <c r="A3555" s="205" t="s">
        <v>8321</v>
      </c>
      <c r="B3555" s="162" t="s">
        <v>8322</v>
      </c>
      <c r="C3555" s="168" t="s">
        <v>13277</v>
      </c>
      <c r="D3555" s="168" t="s">
        <v>13278</v>
      </c>
      <c r="E3555" s="168" t="s">
        <v>13279</v>
      </c>
      <c r="F3555" s="168" t="s">
        <v>13280</v>
      </c>
      <c r="G3555" s="168" t="s">
        <v>13410</v>
      </c>
      <c r="H3555" s="168" t="s">
        <v>13411</v>
      </c>
      <c r="I3555" s="168"/>
      <c r="J3555" s="168"/>
      <c r="K3555" s="168">
        <v>16111001</v>
      </c>
      <c r="L3555" s="168" t="s">
        <v>13412</v>
      </c>
      <c r="M3555" s="168" t="s">
        <v>13413</v>
      </c>
      <c r="N3555" s="168">
        <v>12</v>
      </c>
      <c r="O3555" s="189">
        <v>12</v>
      </c>
      <c r="P3555" s="189">
        <v>12</v>
      </c>
      <c r="Q3555" s="189">
        <v>12</v>
      </c>
      <c r="R3555" s="189">
        <v>12</v>
      </c>
      <c r="S3555" s="189">
        <v>12</v>
      </c>
      <c r="T3555" s="184" t="s">
        <v>7194</v>
      </c>
      <c r="U3555" t="str">
        <f>VLOOKUP(T3555,[8]Votes!$A$1:$E$234,3,FALSE)</f>
        <v>144 Uganda Police Force</v>
      </c>
      <c r="V3555" s="159" t="s">
        <v>13414</v>
      </c>
      <c r="W3555" s="416">
        <v>1</v>
      </c>
      <c r="X3555" s="416">
        <v>0</v>
      </c>
      <c r="Y3555" s="416">
        <v>0</v>
      </c>
      <c r="Z3555" s="416">
        <v>1</v>
      </c>
      <c r="AA3555" s="416">
        <v>1</v>
      </c>
      <c r="AB3555" s="416">
        <v>1</v>
      </c>
      <c r="AC3555" s="150">
        <v>1</v>
      </c>
      <c r="AD3555" s="150">
        <v>0</v>
      </c>
      <c r="AE3555" s="49">
        <f t="shared" si="132"/>
        <v>0.625</v>
      </c>
      <c r="AF3555" s="190">
        <v>1</v>
      </c>
      <c r="AG3555" s="17">
        <v>0</v>
      </c>
      <c r="AH3555" s="190">
        <v>8.1</v>
      </c>
      <c r="AI3555" s="190">
        <v>8.1</v>
      </c>
      <c r="AJ3555" s="190">
        <v>8.1</v>
      </c>
      <c r="AK3555" s="191">
        <v>0</v>
      </c>
      <c r="AL3555" s="191">
        <v>0</v>
      </c>
      <c r="AM3555" s="17">
        <f t="shared" si="133"/>
        <v>0</v>
      </c>
      <c r="AN3555" s="162" t="s">
        <v>7194</v>
      </c>
      <c r="AO3555" s="162" t="s">
        <v>7396</v>
      </c>
    </row>
    <row r="3556" spans="1:41" s="162" customFormat="1" x14ac:dyDescent="0.3">
      <c r="A3556" s="205" t="s">
        <v>8321</v>
      </c>
      <c r="B3556" s="162" t="s">
        <v>8322</v>
      </c>
      <c r="C3556" s="168" t="s">
        <v>13277</v>
      </c>
      <c r="D3556" s="168" t="s">
        <v>13278</v>
      </c>
      <c r="E3556" s="168" t="s">
        <v>13279</v>
      </c>
      <c r="F3556" s="168" t="s">
        <v>13280</v>
      </c>
      <c r="G3556" s="168" t="s">
        <v>13415</v>
      </c>
      <c r="H3556" s="168" t="s">
        <v>13416</v>
      </c>
      <c r="I3556" s="168"/>
      <c r="J3556" s="168"/>
      <c r="K3556" s="168">
        <v>16111101</v>
      </c>
      <c r="L3556" s="168" t="s">
        <v>13417</v>
      </c>
      <c r="M3556" s="168" t="s">
        <v>13418</v>
      </c>
      <c r="N3556" s="168"/>
      <c r="O3556" s="413">
        <v>0.15</v>
      </c>
      <c r="P3556" s="413">
        <v>0.36</v>
      </c>
      <c r="Q3556" s="413">
        <v>0.45</v>
      </c>
      <c r="R3556" s="413">
        <v>0.21</v>
      </c>
      <c r="S3556" s="413">
        <v>0.28000000000000003</v>
      </c>
      <c r="T3556" s="184" t="s">
        <v>7194</v>
      </c>
      <c r="U3556" t="str">
        <f>VLOOKUP(T3556,[8]Votes!$A$1:$E$234,3,FALSE)</f>
        <v>144 Uganda Police Force</v>
      </c>
      <c r="V3556" s="168" t="s">
        <v>13419</v>
      </c>
      <c r="W3556" s="416">
        <v>1</v>
      </c>
      <c r="X3556" s="416">
        <v>1</v>
      </c>
      <c r="Y3556" s="416">
        <v>1</v>
      </c>
      <c r="Z3556" s="416">
        <v>1</v>
      </c>
      <c r="AA3556" s="416">
        <v>1</v>
      </c>
      <c r="AB3556" s="416">
        <v>0</v>
      </c>
      <c r="AC3556" s="150">
        <v>0</v>
      </c>
      <c r="AD3556" s="150">
        <v>1</v>
      </c>
      <c r="AE3556" s="49">
        <f t="shared" si="132"/>
        <v>0.75</v>
      </c>
      <c r="AF3556" s="190">
        <v>1</v>
      </c>
      <c r="AG3556" s="17">
        <v>0</v>
      </c>
      <c r="AH3556" s="190">
        <v>8.2430000000000003</v>
      </c>
      <c r="AI3556" s="190">
        <v>8.2430000000000003</v>
      </c>
      <c r="AJ3556" s="190">
        <v>8.2430000000000003</v>
      </c>
      <c r="AK3556" s="191">
        <v>3</v>
      </c>
      <c r="AL3556" s="191">
        <v>3</v>
      </c>
      <c r="AM3556" s="17">
        <f t="shared" si="133"/>
        <v>6</v>
      </c>
      <c r="AN3556" s="162" t="s">
        <v>7194</v>
      </c>
      <c r="AO3556" s="162" t="s">
        <v>7396</v>
      </c>
    </row>
    <row r="3557" spans="1:41" s="162" customFormat="1" x14ac:dyDescent="0.3">
      <c r="A3557" s="205" t="s">
        <v>8321</v>
      </c>
      <c r="B3557" s="162" t="s">
        <v>8322</v>
      </c>
      <c r="C3557" s="168" t="s">
        <v>13277</v>
      </c>
      <c r="D3557" s="168" t="s">
        <v>13278</v>
      </c>
      <c r="E3557" s="168" t="s">
        <v>13279</v>
      </c>
      <c r="F3557" s="168" t="s">
        <v>13280</v>
      </c>
      <c r="G3557" s="168" t="s">
        <v>13420</v>
      </c>
      <c r="H3557" s="168" t="s">
        <v>13421</v>
      </c>
      <c r="I3557" s="168"/>
      <c r="J3557" s="168"/>
      <c r="K3557" s="168">
        <v>16111201</v>
      </c>
      <c r="L3557" s="277" t="s">
        <v>13422</v>
      </c>
      <c r="M3557" s="277" t="s">
        <v>13423</v>
      </c>
      <c r="N3557" s="189">
        <v>0.72</v>
      </c>
      <c r="O3557" s="189">
        <v>0.78</v>
      </c>
      <c r="P3557" s="189">
        <v>0.84</v>
      </c>
      <c r="Q3557" s="481">
        <v>0.9</v>
      </c>
      <c r="R3557" s="189">
        <v>0.96</v>
      </c>
      <c r="S3557" s="482">
        <v>1</v>
      </c>
      <c r="T3557" s="184" t="s">
        <v>7194</v>
      </c>
      <c r="U3557" t="str">
        <f>VLOOKUP(T3557,[8]Votes!$A$1:$E$234,3,FALSE)</f>
        <v>144 Uganda Police Force</v>
      </c>
      <c r="V3557" s="159" t="s">
        <v>13424</v>
      </c>
      <c r="W3557" s="416">
        <v>1</v>
      </c>
      <c r="X3557" s="416">
        <v>1</v>
      </c>
      <c r="Y3557" s="416">
        <v>1</v>
      </c>
      <c r="Z3557" s="416">
        <v>1</v>
      </c>
      <c r="AA3557" s="416">
        <v>1</v>
      </c>
      <c r="AB3557" s="416">
        <v>0</v>
      </c>
      <c r="AC3557" s="150">
        <v>0</v>
      </c>
      <c r="AD3557" s="150">
        <v>1</v>
      </c>
      <c r="AE3557" s="49">
        <f t="shared" si="132"/>
        <v>0.75</v>
      </c>
      <c r="AF3557" s="190">
        <v>1</v>
      </c>
      <c r="AG3557" s="17">
        <v>0</v>
      </c>
      <c r="AH3557" s="190">
        <v>1.1200000000000001</v>
      </c>
      <c r="AI3557" s="190">
        <v>1.1200000000000001</v>
      </c>
      <c r="AJ3557" s="190">
        <v>1.1200000000000001</v>
      </c>
      <c r="AK3557" s="191">
        <v>1.1200000000000001</v>
      </c>
      <c r="AL3557" s="191">
        <v>1.1200000000000001</v>
      </c>
      <c r="AM3557" s="17">
        <f t="shared" si="133"/>
        <v>2.2400000000000002</v>
      </c>
      <c r="AN3557" s="162" t="s">
        <v>7194</v>
      </c>
      <c r="AO3557" s="162" t="s">
        <v>7396</v>
      </c>
    </row>
    <row r="3558" spans="1:41" s="162" customFormat="1" x14ac:dyDescent="0.3">
      <c r="A3558" s="205" t="s">
        <v>8321</v>
      </c>
      <c r="B3558" s="162" t="s">
        <v>8322</v>
      </c>
      <c r="C3558" s="168" t="s">
        <v>13277</v>
      </c>
      <c r="D3558" s="168" t="s">
        <v>13278</v>
      </c>
      <c r="E3558" s="168" t="s">
        <v>13279</v>
      </c>
      <c r="F3558" s="168" t="s">
        <v>13280</v>
      </c>
      <c r="G3558" s="168" t="s">
        <v>13420</v>
      </c>
      <c r="H3558" s="168" t="s">
        <v>13421</v>
      </c>
      <c r="I3558" s="168"/>
      <c r="J3558" s="168"/>
      <c r="K3558" s="168">
        <v>16111202</v>
      </c>
      <c r="L3558" s="168" t="s">
        <v>13425</v>
      </c>
      <c r="M3558" s="277" t="s">
        <v>13426</v>
      </c>
      <c r="N3558" s="168">
        <v>0.78</v>
      </c>
      <c r="O3558" s="189">
        <v>0.82</v>
      </c>
      <c r="P3558" s="189">
        <v>0.88</v>
      </c>
      <c r="Q3558" s="189">
        <v>0.93</v>
      </c>
      <c r="R3558" s="189">
        <v>0.93700000000000006</v>
      </c>
      <c r="S3558" s="189">
        <v>0.94399999999999995</v>
      </c>
      <c r="T3558" s="184" t="s">
        <v>7194</v>
      </c>
      <c r="U3558" t="str">
        <f>VLOOKUP(T3558,[8]Votes!$A$1:$E$234,3,FALSE)</f>
        <v>144 Uganda Police Force</v>
      </c>
      <c r="V3558" s="168" t="s">
        <v>13427</v>
      </c>
      <c r="W3558" s="416">
        <v>1</v>
      </c>
      <c r="X3558" s="416">
        <v>1</v>
      </c>
      <c r="Y3558" s="416">
        <v>1</v>
      </c>
      <c r="Z3558" s="416">
        <v>1</v>
      </c>
      <c r="AA3558" s="416">
        <v>1</v>
      </c>
      <c r="AB3558" s="416">
        <v>0</v>
      </c>
      <c r="AC3558" s="150">
        <v>0</v>
      </c>
      <c r="AD3558" s="150">
        <v>1</v>
      </c>
      <c r="AE3558" s="49">
        <f t="shared" si="132"/>
        <v>0.75</v>
      </c>
      <c r="AF3558" s="190">
        <v>1</v>
      </c>
      <c r="AG3558" s="17">
        <v>0</v>
      </c>
      <c r="AH3558" s="190">
        <v>14.66</v>
      </c>
      <c r="AI3558" s="190">
        <v>14.66</v>
      </c>
      <c r="AJ3558" s="190">
        <v>14.66</v>
      </c>
      <c r="AK3558" s="191">
        <v>2</v>
      </c>
      <c r="AL3558" s="191">
        <v>2</v>
      </c>
      <c r="AM3558" s="17">
        <f t="shared" si="133"/>
        <v>4</v>
      </c>
      <c r="AN3558" s="162" t="s">
        <v>7194</v>
      </c>
      <c r="AO3558" s="162" t="s">
        <v>7396</v>
      </c>
    </row>
    <row r="3559" spans="1:41" s="162" customFormat="1" x14ac:dyDescent="0.3">
      <c r="A3559" s="205" t="s">
        <v>8321</v>
      </c>
      <c r="B3559" s="162" t="s">
        <v>8322</v>
      </c>
      <c r="C3559" s="168" t="s">
        <v>13277</v>
      </c>
      <c r="D3559" s="168" t="s">
        <v>13278</v>
      </c>
      <c r="E3559" s="168" t="s">
        <v>13279</v>
      </c>
      <c r="F3559" s="168" t="s">
        <v>13280</v>
      </c>
      <c r="G3559" s="168" t="s">
        <v>13420</v>
      </c>
      <c r="H3559" s="168" t="s">
        <v>13421</v>
      </c>
      <c r="I3559" s="168"/>
      <c r="J3559" s="168"/>
      <c r="K3559" s="168">
        <v>16111203</v>
      </c>
      <c r="L3559" s="168" t="s">
        <v>13428</v>
      </c>
      <c r="M3559" s="168" t="s">
        <v>13429</v>
      </c>
      <c r="N3559" s="168">
        <v>1</v>
      </c>
      <c r="O3559" s="189">
        <v>1</v>
      </c>
      <c r="P3559" s="189">
        <v>1</v>
      </c>
      <c r="Q3559" s="189">
        <v>1</v>
      </c>
      <c r="R3559" s="189">
        <v>1</v>
      </c>
      <c r="S3559" s="189">
        <v>1</v>
      </c>
      <c r="T3559" s="184" t="s">
        <v>7194</v>
      </c>
      <c r="U3559" t="str">
        <f>VLOOKUP(T3559,[8]Votes!$A$1:$E$234,3,FALSE)</f>
        <v>144 Uganda Police Force</v>
      </c>
      <c r="V3559" s="168" t="s">
        <v>13430</v>
      </c>
      <c r="W3559" s="416">
        <v>1</v>
      </c>
      <c r="X3559" s="416">
        <v>1</v>
      </c>
      <c r="Y3559" s="416">
        <v>1</v>
      </c>
      <c r="Z3559" s="416">
        <v>1</v>
      </c>
      <c r="AA3559" s="416">
        <v>1</v>
      </c>
      <c r="AB3559" s="416">
        <v>0</v>
      </c>
      <c r="AC3559" s="150">
        <v>0</v>
      </c>
      <c r="AD3559" s="150">
        <v>1</v>
      </c>
      <c r="AE3559" s="49">
        <f t="shared" si="132"/>
        <v>0.75</v>
      </c>
      <c r="AF3559" s="190">
        <v>1</v>
      </c>
      <c r="AG3559" s="17">
        <v>0</v>
      </c>
      <c r="AH3559" s="190">
        <v>1.2330000000000001</v>
      </c>
      <c r="AI3559" s="190">
        <v>1.2330000000000001</v>
      </c>
      <c r="AJ3559" s="190">
        <v>1.2330000000000001</v>
      </c>
      <c r="AK3559" s="191">
        <v>0.4</v>
      </c>
      <c r="AL3559" s="191">
        <v>0.4</v>
      </c>
      <c r="AM3559" s="17">
        <f t="shared" si="133"/>
        <v>0.8</v>
      </c>
      <c r="AN3559" s="162" t="s">
        <v>7194</v>
      </c>
      <c r="AO3559" s="162" t="s">
        <v>7396</v>
      </c>
    </row>
    <row r="3560" spans="1:41" s="162" customFormat="1" x14ac:dyDescent="0.3">
      <c r="A3560" s="205" t="s">
        <v>8321</v>
      </c>
      <c r="B3560" s="162" t="s">
        <v>8322</v>
      </c>
      <c r="C3560" s="168" t="s">
        <v>13277</v>
      </c>
      <c r="D3560" s="168" t="s">
        <v>13278</v>
      </c>
      <c r="E3560" s="168" t="s">
        <v>13279</v>
      </c>
      <c r="F3560" s="168" t="s">
        <v>13280</v>
      </c>
      <c r="G3560" s="168" t="s">
        <v>13420</v>
      </c>
      <c r="H3560" s="168" t="s">
        <v>13421</v>
      </c>
      <c r="I3560" s="168"/>
      <c r="J3560" s="168"/>
      <c r="K3560" s="168">
        <v>16111204</v>
      </c>
      <c r="L3560" s="168" t="s">
        <v>13431</v>
      </c>
      <c r="M3560" s="168" t="s">
        <v>13432</v>
      </c>
      <c r="N3560" s="168"/>
      <c r="O3560" s="413">
        <v>0.43</v>
      </c>
      <c r="P3560" s="413">
        <v>0.63</v>
      </c>
      <c r="Q3560" s="413">
        <v>0.84</v>
      </c>
      <c r="R3560" s="413">
        <v>0.86499999999999999</v>
      </c>
      <c r="S3560" s="413">
        <v>0.89</v>
      </c>
      <c r="T3560" s="184" t="s">
        <v>7194</v>
      </c>
      <c r="U3560" t="str">
        <f>VLOOKUP(T3560,[8]Votes!$A$1:$E$234,3,FALSE)</f>
        <v>144 Uganda Police Force</v>
      </c>
      <c r="V3560" s="168" t="s">
        <v>13433</v>
      </c>
      <c r="W3560" s="416">
        <v>1</v>
      </c>
      <c r="X3560" s="416">
        <v>1</v>
      </c>
      <c r="Y3560" s="416">
        <v>1</v>
      </c>
      <c r="Z3560" s="416">
        <v>1</v>
      </c>
      <c r="AA3560" s="416">
        <v>1</v>
      </c>
      <c r="AB3560" s="416">
        <v>0</v>
      </c>
      <c r="AC3560" s="150">
        <v>0</v>
      </c>
      <c r="AD3560" s="150">
        <v>1</v>
      </c>
      <c r="AE3560" s="49">
        <f t="shared" si="132"/>
        <v>0.75</v>
      </c>
      <c r="AF3560" s="190">
        <v>1</v>
      </c>
      <c r="AG3560" s="17">
        <v>0</v>
      </c>
      <c r="AH3560" s="190">
        <v>0.63300000000000001</v>
      </c>
      <c r="AI3560" s="190">
        <v>0.63300000000000001</v>
      </c>
      <c r="AJ3560" s="190">
        <v>0.63300000000000001</v>
      </c>
      <c r="AK3560" s="191">
        <v>0.2</v>
      </c>
      <c r="AL3560" s="191">
        <v>0.2</v>
      </c>
      <c r="AM3560" s="17">
        <f t="shared" si="133"/>
        <v>0.4</v>
      </c>
      <c r="AN3560" s="162" t="s">
        <v>7194</v>
      </c>
      <c r="AO3560" s="162" t="s">
        <v>7396</v>
      </c>
    </row>
    <row r="3561" spans="1:41" s="162" customFormat="1" x14ac:dyDescent="0.3">
      <c r="A3561" s="205" t="s">
        <v>8321</v>
      </c>
      <c r="B3561" s="162" t="s">
        <v>8322</v>
      </c>
      <c r="C3561" s="168" t="s">
        <v>13277</v>
      </c>
      <c r="D3561" s="168" t="s">
        <v>13278</v>
      </c>
      <c r="E3561" s="168" t="s">
        <v>13279</v>
      </c>
      <c r="F3561" s="168" t="s">
        <v>13280</v>
      </c>
      <c r="G3561" s="168" t="s">
        <v>13434</v>
      </c>
      <c r="H3561" s="168" t="s">
        <v>13435</v>
      </c>
      <c r="I3561" s="168"/>
      <c r="J3561" s="168"/>
      <c r="K3561" s="168">
        <v>16111301</v>
      </c>
      <c r="L3561" s="168" t="s">
        <v>13436</v>
      </c>
      <c r="M3561" s="168" t="s">
        <v>13437</v>
      </c>
      <c r="N3561" s="168"/>
      <c r="O3561" s="189">
        <v>200</v>
      </c>
      <c r="P3561" s="189">
        <v>200</v>
      </c>
      <c r="Q3561" s="189">
        <v>400</v>
      </c>
      <c r="R3561" s="189">
        <v>165</v>
      </c>
      <c r="S3561" s="189">
        <v>165</v>
      </c>
      <c r="T3561" s="184" t="s">
        <v>7194</v>
      </c>
      <c r="U3561" t="str">
        <f>VLOOKUP(T3561,[8]Votes!$A$1:$E$234,3,FALSE)</f>
        <v>144 Uganda Police Force</v>
      </c>
      <c r="V3561" s="168" t="s">
        <v>13438</v>
      </c>
      <c r="W3561" s="416">
        <v>1</v>
      </c>
      <c r="X3561" s="416">
        <v>1</v>
      </c>
      <c r="Y3561" s="416">
        <v>1</v>
      </c>
      <c r="Z3561" s="416">
        <v>1</v>
      </c>
      <c r="AA3561" s="416">
        <v>1</v>
      </c>
      <c r="AB3561" s="416">
        <v>0</v>
      </c>
      <c r="AC3561" s="150">
        <v>0</v>
      </c>
      <c r="AD3561" s="150">
        <v>1</v>
      </c>
      <c r="AE3561" s="49">
        <f t="shared" si="132"/>
        <v>0.75</v>
      </c>
      <c r="AF3561" s="190">
        <v>1</v>
      </c>
      <c r="AG3561" s="17">
        <v>0</v>
      </c>
      <c r="AH3561" s="190">
        <v>0.46</v>
      </c>
      <c r="AI3561" s="190">
        <v>0.46</v>
      </c>
      <c r="AJ3561" s="190">
        <v>0.92</v>
      </c>
      <c r="AK3561" s="191">
        <v>0.38</v>
      </c>
      <c r="AL3561" s="191">
        <v>0.38</v>
      </c>
      <c r="AM3561" s="17">
        <f t="shared" si="133"/>
        <v>0.76</v>
      </c>
      <c r="AN3561" s="162" t="s">
        <v>7194</v>
      </c>
      <c r="AO3561" s="162" t="s">
        <v>7396</v>
      </c>
    </row>
    <row r="3562" spans="1:41" s="162" customFormat="1" x14ac:dyDescent="0.3">
      <c r="A3562" s="205" t="s">
        <v>8321</v>
      </c>
      <c r="B3562" s="162" t="s">
        <v>8322</v>
      </c>
      <c r="C3562" s="168" t="s">
        <v>13277</v>
      </c>
      <c r="D3562" s="168" t="s">
        <v>13278</v>
      </c>
      <c r="E3562" s="168" t="s">
        <v>13279</v>
      </c>
      <c r="F3562" s="168" t="s">
        <v>13280</v>
      </c>
      <c r="G3562" s="168" t="s">
        <v>13439</v>
      </c>
      <c r="H3562" s="168" t="s">
        <v>13440</v>
      </c>
      <c r="I3562" s="168"/>
      <c r="J3562" s="168"/>
      <c r="K3562" s="168">
        <v>16111401</v>
      </c>
      <c r="L3562" s="168" t="s">
        <v>13441</v>
      </c>
      <c r="M3562" s="168" t="s">
        <v>13442</v>
      </c>
      <c r="N3562" s="483">
        <v>0.23030303030303031</v>
      </c>
      <c r="O3562" s="479">
        <v>0.26666666666666666</v>
      </c>
      <c r="P3562" s="479">
        <v>0.30303030303030304</v>
      </c>
      <c r="Q3562" s="479">
        <v>0.33939393939393941</v>
      </c>
      <c r="R3562" s="479">
        <v>0.37575757575757573</v>
      </c>
      <c r="S3562" s="479">
        <v>0.42424242424242425</v>
      </c>
      <c r="T3562" s="184" t="s">
        <v>7194</v>
      </c>
      <c r="U3562" t="str">
        <f>VLOOKUP(T3562,[8]Votes!$A$1:$E$234,3,FALSE)</f>
        <v>144 Uganda Police Force</v>
      </c>
      <c r="V3562" s="168" t="s">
        <v>13443</v>
      </c>
      <c r="W3562" s="416">
        <v>1</v>
      </c>
      <c r="X3562" s="416">
        <v>1</v>
      </c>
      <c r="Y3562" s="416">
        <v>1</v>
      </c>
      <c r="Z3562" s="416">
        <v>1</v>
      </c>
      <c r="AA3562" s="416">
        <v>1</v>
      </c>
      <c r="AB3562" s="416">
        <v>0</v>
      </c>
      <c r="AC3562" s="150">
        <v>0</v>
      </c>
      <c r="AD3562" s="150">
        <v>1</v>
      </c>
      <c r="AE3562" s="49">
        <f t="shared" si="132"/>
        <v>0.75</v>
      </c>
      <c r="AF3562" s="190">
        <v>1</v>
      </c>
      <c r="AG3562" s="17">
        <v>0</v>
      </c>
      <c r="AH3562" s="190">
        <v>35.246000000000002</v>
      </c>
      <c r="AI3562" s="190">
        <v>35.246000000000002</v>
      </c>
      <c r="AJ3562" s="190">
        <v>35.246000000000002</v>
      </c>
      <c r="AK3562" s="191">
        <v>5</v>
      </c>
      <c r="AL3562" s="191">
        <v>5</v>
      </c>
      <c r="AM3562" s="17">
        <f t="shared" si="133"/>
        <v>10</v>
      </c>
      <c r="AN3562" s="162" t="s">
        <v>7194</v>
      </c>
      <c r="AO3562" s="162" t="s">
        <v>7396</v>
      </c>
    </row>
    <row r="3563" spans="1:41" s="162" customFormat="1" x14ac:dyDescent="0.3">
      <c r="A3563" s="205" t="s">
        <v>8321</v>
      </c>
      <c r="B3563" s="162" t="s">
        <v>8322</v>
      </c>
      <c r="C3563" s="168" t="s">
        <v>13277</v>
      </c>
      <c r="D3563" s="168" t="s">
        <v>13278</v>
      </c>
      <c r="E3563" s="168" t="s">
        <v>13279</v>
      </c>
      <c r="F3563" s="168" t="s">
        <v>13280</v>
      </c>
      <c r="G3563" s="168" t="s">
        <v>13439</v>
      </c>
      <c r="H3563" s="168" t="s">
        <v>13440</v>
      </c>
      <c r="I3563" s="168"/>
      <c r="J3563" s="168"/>
      <c r="K3563" s="168">
        <v>16111402</v>
      </c>
      <c r="L3563" s="168" t="s">
        <v>13444</v>
      </c>
      <c r="M3563" s="168" t="s">
        <v>13445</v>
      </c>
      <c r="N3563" s="467">
        <v>0.32</v>
      </c>
      <c r="O3563" s="413">
        <v>0.44</v>
      </c>
      <c r="P3563" s="413">
        <v>0.51</v>
      </c>
      <c r="Q3563" s="413">
        <v>0.69</v>
      </c>
      <c r="R3563" s="413">
        <v>0.69</v>
      </c>
      <c r="S3563" s="413">
        <v>0.69</v>
      </c>
      <c r="T3563" s="184" t="s">
        <v>7194</v>
      </c>
      <c r="U3563" t="str">
        <f>VLOOKUP(T3563,[8]Votes!$A$1:$E$234,3,FALSE)</f>
        <v>144 Uganda Police Force</v>
      </c>
      <c r="V3563" s="168" t="s">
        <v>13444</v>
      </c>
      <c r="W3563" s="416">
        <v>1</v>
      </c>
      <c r="X3563" s="416">
        <v>1</v>
      </c>
      <c r="Y3563" s="416">
        <v>1</v>
      </c>
      <c r="Z3563" s="416">
        <v>1</v>
      </c>
      <c r="AA3563" s="416">
        <v>1</v>
      </c>
      <c r="AB3563" s="416">
        <v>0</v>
      </c>
      <c r="AC3563" s="150">
        <v>0</v>
      </c>
      <c r="AD3563" s="150">
        <v>1</v>
      </c>
      <c r="AE3563" s="49">
        <f t="shared" si="132"/>
        <v>0.75</v>
      </c>
      <c r="AF3563" s="190">
        <v>1</v>
      </c>
      <c r="AG3563" s="17">
        <v>0</v>
      </c>
      <c r="AH3563" s="190">
        <v>1.153</v>
      </c>
      <c r="AI3563" s="190">
        <v>1.153</v>
      </c>
      <c r="AJ3563" s="190">
        <v>1.153</v>
      </c>
      <c r="AK3563" s="191">
        <v>0</v>
      </c>
      <c r="AL3563" s="191">
        <v>0</v>
      </c>
      <c r="AM3563" s="17">
        <f t="shared" si="133"/>
        <v>0</v>
      </c>
      <c r="AN3563" s="162" t="s">
        <v>7194</v>
      </c>
      <c r="AO3563" s="162" t="s">
        <v>7396</v>
      </c>
    </row>
    <row r="3564" spans="1:41" s="162" customFormat="1" x14ac:dyDescent="0.3">
      <c r="A3564" s="205" t="s">
        <v>8321</v>
      </c>
      <c r="B3564" s="162" t="s">
        <v>8322</v>
      </c>
      <c r="C3564" s="168" t="s">
        <v>13277</v>
      </c>
      <c r="D3564" s="168" t="s">
        <v>13278</v>
      </c>
      <c r="E3564" s="168" t="s">
        <v>13279</v>
      </c>
      <c r="F3564" s="168" t="s">
        <v>13280</v>
      </c>
      <c r="G3564" s="168" t="s">
        <v>13439</v>
      </c>
      <c r="H3564" s="168" t="s">
        <v>13440</v>
      </c>
      <c r="I3564" s="168"/>
      <c r="J3564" s="168"/>
      <c r="K3564" s="168">
        <v>16111403</v>
      </c>
      <c r="L3564" s="168" t="s">
        <v>13446</v>
      </c>
      <c r="M3564" s="168" t="s">
        <v>13447</v>
      </c>
      <c r="N3564" s="168"/>
      <c r="O3564" s="189">
        <v>730</v>
      </c>
      <c r="P3564" s="189">
        <v>730</v>
      </c>
      <c r="Q3564" s="189">
        <v>730</v>
      </c>
      <c r="R3564" s="189">
        <v>730</v>
      </c>
      <c r="S3564" s="189">
        <v>730</v>
      </c>
      <c r="T3564" s="184" t="s">
        <v>7194</v>
      </c>
      <c r="U3564" t="str">
        <f>VLOOKUP(T3564,[8]Votes!$A$1:$E$234,3,FALSE)</f>
        <v>144 Uganda Police Force</v>
      </c>
      <c r="V3564" s="168" t="s">
        <v>13448</v>
      </c>
      <c r="W3564" s="416">
        <v>1</v>
      </c>
      <c r="X3564" s="416">
        <v>1</v>
      </c>
      <c r="Y3564" s="416">
        <v>1</v>
      </c>
      <c r="Z3564" s="416">
        <v>1</v>
      </c>
      <c r="AA3564" s="416">
        <v>1</v>
      </c>
      <c r="AB3564" s="416">
        <v>0</v>
      </c>
      <c r="AC3564" s="150">
        <v>0</v>
      </c>
      <c r="AD3564" s="150">
        <v>1</v>
      </c>
      <c r="AE3564" s="49">
        <f t="shared" si="132"/>
        <v>0.75</v>
      </c>
      <c r="AF3564" s="190">
        <v>1</v>
      </c>
      <c r="AG3564" s="17">
        <v>0</v>
      </c>
      <c r="AH3564" s="190">
        <v>54.124000000000002</v>
      </c>
      <c r="AI3564" s="190">
        <v>54.124000000000002</v>
      </c>
      <c r="AJ3564" s="190">
        <v>54.124000000000002</v>
      </c>
      <c r="AK3564" s="191">
        <v>0</v>
      </c>
      <c r="AL3564" s="191">
        <v>0</v>
      </c>
      <c r="AM3564" s="17">
        <f t="shared" si="133"/>
        <v>0</v>
      </c>
      <c r="AN3564" s="162" t="s">
        <v>7194</v>
      </c>
      <c r="AO3564" s="162" t="s">
        <v>7396</v>
      </c>
    </row>
    <row r="3565" spans="1:41" s="18" customFormat="1" x14ac:dyDescent="0.3">
      <c r="A3565" s="205" t="s">
        <v>8321</v>
      </c>
      <c r="B3565" s="162" t="s">
        <v>8322</v>
      </c>
      <c r="C3565" s="168" t="s">
        <v>13277</v>
      </c>
      <c r="D3565" s="406" t="s">
        <v>13278</v>
      </c>
      <c r="E3565" s="168" t="s">
        <v>13279</v>
      </c>
      <c r="F3565" s="406" t="s">
        <v>13280</v>
      </c>
      <c r="G3565" s="168" t="s">
        <v>13439</v>
      </c>
      <c r="H3565" s="406" t="s">
        <v>13440</v>
      </c>
      <c r="I3565" s="406"/>
      <c r="J3565" s="406"/>
      <c r="K3565" s="168">
        <v>16111404</v>
      </c>
      <c r="L3565" s="406" t="s">
        <v>13449</v>
      </c>
      <c r="M3565" s="406" t="s">
        <v>13450</v>
      </c>
      <c r="N3565" s="12">
        <v>12</v>
      </c>
      <c r="O3565" s="21">
        <v>10</v>
      </c>
      <c r="P3565" s="21">
        <v>9.8000000000000007</v>
      </c>
      <c r="Q3565" s="21">
        <v>8</v>
      </c>
      <c r="R3565" s="21">
        <v>8</v>
      </c>
      <c r="S3565" s="21">
        <v>7.8</v>
      </c>
      <c r="T3565" s="12" t="s">
        <v>7194</v>
      </c>
      <c r="U3565" t="str">
        <f>VLOOKUP(T3565,[8]Votes!$A$1:$E$234,3,FALSE)</f>
        <v>144 Uganda Police Force</v>
      </c>
      <c r="V3565" s="406" t="s">
        <v>13451</v>
      </c>
      <c r="W3565" s="416">
        <v>1</v>
      </c>
      <c r="X3565" s="416">
        <v>1</v>
      </c>
      <c r="Y3565" s="416">
        <v>1</v>
      </c>
      <c r="Z3565" s="416">
        <v>1</v>
      </c>
      <c r="AA3565" s="416">
        <v>1</v>
      </c>
      <c r="AB3565" s="416">
        <v>0</v>
      </c>
      <c r="AC3565" s="150">
        <v>0</v>
      </c>
      <c r="AD3565" s="150">
        <v>1</v>
      </c>
      <c r="AE3565" s="49">
        <f t="shared" si="132"/>
        <v>0.75</v>
      </c>
      <c r="AF3565" s="190">
        <v>1</v>
      </c>
      <c r="AG3565" s="17">
        <v>0</v>
      </c>
      <c r="AH3565" s="23">
        <v>5.125</v>
      </c>
      <c r="AI3565" s="23">
        <v>7.7649999999999997</v>
      </c>
      <c r="AJ3565" s="23">
        <v>11.904999999999999</v>
      </c>
      <c r="AK3565" s="153">
        <v>2</v>
      </c>
      <c r="AL3565" s="153">
        <v>2</v>
      </c>
      <c r="AM3565" s="17">
        <f t="shared" si="133"/>
        <v>4</v>
      </c>
      <c r="AN3565" s="18" t="s">
        <v>7194</v>
      </c>
      <c r="AO3565" s="162" t="s">
        <v>7396</v>
      </c>
    </row>
    <row r="3566" spans="1:41" s="18" customFormat="1" x14ac:dyDescent="0.3">
      <c r="A3566" s="205" t="s">
        <v>8321</v>
      </c>
      <c r="B3566" s="162" t="s">
        <v>8322</v>
      </c>
      <c r="C3566" s="168" t="s">
        <v>13452</v>
      </c>
      <c r="D3566" s="406" t="s">
        <v>13453</v>
      </c>
      <c r="E3566" s="406" t="s">
        <v>13454</v>
      </c>
      <c r="F3566" s="406" t="s">
        <v>13455</v>
      </c>
      <c r="G3566" s="406">
        <v>162201</v>
      </c>
      <c r="H3566" s="406" t="s">
        <v>13456</v>
      </c>
      <c r="I3566" s="406" t="s">
        <v>13457</v>
      </c>
      <c r="J3566" s="406" t="s">
        <v>13458</v>
      </c>
      <c r="K3566" s="406" t="s">
        <v>13459</v>
      </c>
      <c r="L3566" s="406" t="s">
        <v>13460</v>
      </c>
      <c r="M3566" s="406" t="s">
        <v>13461</v>
      </c>
      <c r="N3566" s="484"/>
      <c r="O3566" s="27">
        <v>7000</v>
      </c>
      <c r="P3566" s="27">
        <v>7350</v>
      </c>
      <c r="Q3566" s="27">
        <v>7710</v>
      </c>
      <c r="R3566" s="27">
        <v>8000</v>
      </c>
      <c r="S3566" s="27">
        <v>8400</v>
      </c>
      <c r="T3566" s="12" t="s">
        <v>7194</v>
      </c>
      <c r="U3566" t="str">
        <f>VLOOKUP(T3566,[8]Votes!$A$1:$E$234,3,FALSE)</f>
        <v>144 Uganda Police Force</v>
      </c>
      <c r="V3566" s="406" t="s">
        <v>13462</v>
      </c>
      <c r="W3566" s="388">
        <v>1</v>
      </c>
      <c r="X3566" s="388">
        <v>1</v>
      </c>
      <c r="Y3566" s="388">
        <v>1</v>
      </c>
      <c r="Z3566" s="388">
        <v>1</v>
      </c>
      <c r="AA3566" s="388">
        <v>1</v>
      </c>
      <c r="AB3566" s="388">
        <v>1</v>
      </c>
      <c r="AC3566" s="150">
        <v>1</v>
      </c>
      <c r="AD3566" s="150">
        <v>1</v>
      </c>
      <c r="AE3566" s="49">
        <f t="shared" si="132"/>
        <v>1</v>
      </c>
      <c r="AF3566" s="485">
        <v>0</v>
      </c>
      <c r="AG3566" s="17">
        <v>0</v>
      </c>
      <c r="AH3566" s="23">
        <v>16.100000000000001</v>
      </c>
      <c r="AI3566" s="23">
        <v>16.905000000000001</v>
      </c>
      <c r="AJ3566" s="23">
        <v>17.733000000000001</v>
      </c>
      <c r="AK3566" s="153">
        <v>18.399999999999999</v>
      </c>
      <c r="AL3566" s="153">
        <v>19.32</v>
      </c>
      <c r="AM3566" s="17">
        <f t="shared" si="133"/>
        <v>37.72</v>
      </c>
      <c r="AN3566" s="18" t="s">
        <v>7194</v>
      </c>
      <c r="AO3566" s="162" t="s">
        <v>7396</v>
      </c>
    </row>
    <row r="3567" spans="1:41" s="18" customFormat="1" x14ac:dyDescent="0.3">
      <c r="A3567" s="205" t="s">
        <v>8321</v>
      </c>
      <c r="B3567" s="162" t="s">
        <v>8322</v>
      </c>
      <c r="C3567" s="168" t="s">
        <v>13452</v>
      </c>
      <c r="D3567" s="406" t="s">
        <v>13453</v>
      </c>
      <c r="E3567" s="406" t="s">
        <v>13454</v>
      </c>
      <c r="F3567" s="406" t="s">
        <v>13455</v>
      </c>
      <c r="G3567" s="162">
        <v>162201</v>
      </c>
      <c r="H3567" s="406" t="s">
        <v>13456</v>
      </c>
      <c r="I3567" s="406" t="s">
        <v>13457</v>
      </c>
      <c r="J3567" s="406" t="s">
        <v>13458</v>
      </c>
      <c r="K3567" s="406" t="s">
        <v>13459</v>
      </c>
      <c r="L3567" s="406" t="s">
        <v>13460</v>
      </c>
      <c r="M3567" s="406" t="s">
        <v>13463</v>
      </c>
      <c r="N3567" s="406"/>
      <c r="O3567" s="27">
        <v>35000</v>
      </c>
      <c r="P3567" s="27">
        <v>8750</v>
      </c>
      <c r="Q3567" s="486">
        <v>70000</v>
      </c>
      <c r="R3567" s="486">
        <v>21000</v>
      </c>
      <c r="S3567" s="486">
        <v>35000</v>
      </c>
      <c r="T3567" s="12" t="s">
        <v>7194</v>
      </c>
      <c r="U3567" t="str">
        <f>VLOOKUP(T3567,[8]Votes!$A$1:$E$234,3,FALSE)</f>
        <v>144 Uganda Police Force</v>
      </c>
      <c r="V3567" s="406" t="s">
        <v>13464</v>
      </c>
      <c r="W3567" s="388">
        <v>1</v>
      </c>
      <c r="X3567" s="388">
        <v>1</v>
      </c>
      <c r="Y3567" s="388">
        <v>1</v>
      </c>
      <c r="Z3567" s="388">
        <v>1</v>
      </c>
      <c r="AA3567" s="388">
        <v>1</v>
      </c>
      <c r="AB3567" s="388">
        <v>1</v>
      </c>
      <c r="AC3567" s="150">
        <v>1</v>
      </c>
      <c r="AD3567" s="150">
        <v>1</v>
      </c>
      <c r="AE3567" s="49">
        <f t="shared" si="132"/>
        <v>1</v>
      </c>
      <c r="AF3567" s="485">
        <v>0</v>
      </c>
      <c r="AG3567" s="17">
        <v>0</v>
      </c>
      <c r="AH3567" s="23">
        <v>83.2</v>
      </c>
      <c r="AI3567" s="23">
        <v>83.2</v>
      </c>
      <c r="AJ3567" s="23">
        <v>83.2</v>
      </c>
      <c r="AK3567" s="153">
        <v>4</v>
      </c>
      <c r="AL3567" s="153">
        <v>100.748</v>
      </c>
      <c r="AM3567" s="17">
        <f t="shared" si="133"/>
        <v>104.748</v>
      </c>
      <c r="AN3567" s="18" t="s">
        <v>7194</v>
      </c>
      <c r="AO3567" s="162" t="s">
        <v>7396</v>
      </c>
    </row>
    <row r="3568" spans="1:41" s="18" customFormat="1" x14ac:dyDescent="0.3">
      <c r="A3568" s="205" t="s">
        <v>8321</v>
      </c>
      <c r="B3568" s="162" t="s">
        <v>8322</v>
      </c>
      <c r="C3568" s="168" t="s">
        <v>13452</v>
      </c>
      <c r="D3568" s="406" t="s">
        <v>13453</v>
      </c>
      <c r="E3568" s="406" t="s">
        <v>13454</v>
      </c>
      <c r="F3568" s="406" t="s">
        <v>13455</v>
      </c>
      <c r="G3568" s="162">
        <v>162201</v>
      </c>
      <c r="H3568" s="406" t="s">
        <v>13456</v>
      </c>
      <c r="I3568" s="406" t="s">
        <v>13457</v>
      </c>
      <c r="J3568" s="406" t="s">
        <v>13458</v>
      </c>
      <c r="K3568" s="406" t="s">
        <v>13465</v>
      </c>
      <c r="L3568" s="406" t="s">
        <v>13466</v>
      </c>
      <c r="M3568" s="406" t="s">
        <v>13467</v>
      </c>
      <c r="N3568" s="406">
        <v>1</v>
      </c>
      <c r="O3568" s="487">
        <v>1</v>
      </c>
      <c r="P3568" s="487">
        <v>1</v>
      </c>
      <c r="Q3568" s="487">
        <v>1</v>
      </c>
      <c r="R3568" s="487">
        <v>1</v>
      </c>
      <c r="S3568" s="487">
        <v>1</v>
      </c>
      <c r="T3568" s="12" t="s">
        <v>7194</v>
      </c>
      <c r="U3568" t="str">
        <f>VLOOKUP(T3568,[8]Votes!$A$1:$E$234,3,FALSE)</f>
        <v>144 Uganda Police Force</v>
      </c>
      <c r="V3568" s="406" t="s">
        <v>13468</v>
      </c>
      <c r="W3568" s="388">
        <v>0</v>
      </c>
      <c r="X3568" s="388">
        <v>0</v>
      </c>
      <c r="Y3568" s="388">
        <v>0</v>
      </c>
      <c r="Z3568" s="388">
        <v>0</v>
      </c>
      <c r="AA3568" s="388">
        <v>0</v>
      </c>
      <c r="AB3568" s="388">
        <v>0</v>
      </c>
      <c r="AC3568" s="150">
        <v>0</v>
      </c>
      <c r="AD3568" s="150">
        <v>0</v>
      </c>
      <c r="AE3568" s="49">
        <f t="shared" si="132"/>
        <v>0</v>
      </c>
      <c r="AF3568" s="485">
        <v>0</v>
      </c>
      <c r="AG3568" s="17">
        <v>0</v>
      </c>
      <c r="AH3568" s="190">
        <v>0</v>
      </c>
      <c r="AI3568" s="23">
        <v>80.671000000000006</v>
      </c>
      <c r="AJ3568" s="23">
        <v>80.671000000000006</v>
      </c>
      <c r="AK3568" s="153">
        <v>0</v>
      </c>
      <c r="AL3568" s="153">
        <v>0</v>
      </c>
      <c r="AM3568" s="17">
        <f t="shared" si="133"/>
        <v>0</v>
      </c>
      <c r="AN3568" s="18" t="s">
        <v>7194</v>
      </c>
      <c r="AO3568" s="162" t="s">
        <v>7396</v>
      </c>
    </row>
    <row r="3569" spans="1:41" s="18" customFormat="1" x14ac:dyDescent="0.3">
      <c r="A3569" s="205" t="s">
        <v>8321</v>
      </c>
      <c r="B3569" s="162" t="s">
        <v>8322</v>
      </c>
      <c r="C3569" s="168" t="s">
        <v>13469</v>
      </c>
      <c r="D3569" s="406" t="s">
        <v>13470</v>
      </c>
      <c r="E3569" s="406" t="s">
        <v>13471</v>
      </c>
      <c r="F3569" s="406" t="s">
        <v>13472</v>
      </c>
      <c r="G3569" s="406">
        <v>163301</v>
      </c>
      <c r="H3569" s="406" t="s">
        <v>13473</v>
      </c>
      <c r="I3569" s="406" t="s">
        <v>13474</v>
      </c>
      <c r="J3569" s="406" t="s">
        <v>13475</v>
      </c>
      <c r="K3569" s="406" t="s">
        <v>13476</v>
      </c>
      <c r="L3569" s="406" t="s">
        <v>13477</v>
      </c>
      <c r="M3569" s="406" t="s">
        <v>13478</v>
      </c>
      <c r="N3569" s="438">
        <v>0.5</v>
      </c>
      <c r="O3569" s="40">
        <v>0.6</v>
      </c>
      <c r="P3569" s="40">
        <v>0.8</v>
      </c>
      <c r="Q3569" s="40">
        <v>1</v>
      </c>
      <c r="R3569" s="40">
        <v>1</v>
      </c>
      <c r="S3569" s="40">
        <v>1</v>
      </c>
      <c r="T3569" s="12" t="s">
        <v>7194</v>
      </c>
      <c r="U3569" t="str">
        <f>VLOOKUP(T3569,[8]Votes!$A$1:$E$234,3,FALSE)</f>
        <v>144 Uganda Police Force</v>
      </c>
      <c r="V3569" s="406" t="s">
        <v>13479</v>
      </c>
      <c r="W3569" s="388">
        <v>1</v>
      </c>
      <c r="X3569" s="388">
        <v>0</v>
      </c>
      <c r="Y3569" s="388">
        <v>1</v>
      </c>
      <c r="Z3569" s="388">
        <v>1</v>
      </c>
      <c r="AA3569" s="388">
        <v>1</v>
      </c>
      <c r="AB3569" s="388">
        <v>0</v>
      </c>
      <c r="AC3569" s="150">
        <v>1</v>
      </c>
      <c r="AD3569" s="150">
        <v>0</v>
      </c>
      <c r="AE3569" s="49">
        <f t="shared" si="132"/>
        <v>0.625</v>
      </c>
      <c r="AF3569" s="488">
        <v>0</v>
      </c>
      <c r="AG3569" s="17">
        <v>0</v>
      </c>
      <c r="AH3569" s="488">
        <v>4.516</v>
      </c>
      <c r="AI3569" s="488">
        <v>9.016</v>
      </c>
      <c r="AJ3569" s="488">
        <v>16.091999999999999</v>
      </c>
      <c r="AK3569" s="489">
        <v>0.5</v>
      </c>
      <c r="AL3569" s="489">
        <v>0.5</v>
      </c>
      <c r="AM3569" s="17">
        <f t="shared" si="133"/>
        <v>1</v>
      </c>
      <c r="AN3569" s="18" t="s">
        <v>7194</v>
      </c>
      <c r="AO3569" s="162" t="s">
        <v>7396</v>
      </c>
    </row>
    <row r="3570" spans="1:41" s="18" customFormat="1" x14ac:dyDescent="0.3">
      <c r="A3570" s="205" t="s">
        <v>8321</v>
      </c>
      <c r="B3570" s="162" t="s">
        <v>8322</v>
      </c>
      <c r="C3570" s="168" t="s">
        <v>13469</v>
      </c>
      <c r="D3570" s="406" t="s">
        <v>13470</v>
      </c>
      <c r="E3570" s="406" t="s">
        <v>13471</v>
      </c>
      <c r="F3570" s="406" t="s">
        <v>13472</v>
      </c>
      <c r="G3570" s="406">
        <v>163301</v>
      </c>
      <c r="H3570" s="406" t="s">
        <v>13473</v>
      </c>
      <c r="I3570" s="162" t="s">
        <v>13480</v>
      </c>
      <c r="J3570" s="162" t="s">
        <v>13481</v>
      </c>
      <c r="K3570" s="406" t="s">
        <v>13482</v>
      </c>
      <c r="L3570" s="406" t="s">
        <v>13483</v>
      </c>
      <c r="M3570" s="406" t="s">
        <v>13484</v>
      </c>
      <c r="N3570" s="406"/>
      <c r="O3570" s="40">
        <v>0.15</v>
      </c>
      <c r="P3570" s="40">
        <v>0.42</v>
      </c>
      <c r="Q3570" s="40">
        <v>0.61</v>
      </c>
      <c r="R3570" s="40">
        <v>0.86</v>
      </c>
      <c r="S3570" s="40">
        <v>1</v>
      </c>
      <c r="T3570" s="12" t="s">
        <v>7194</v>
      </c>
      <c r="U3570" t="str">
        <f>VLOOKUP(T3570,[8]Votes!$A$1:$E$234,3,FALSE)</f>
        <v>144 Uganda Police Force</v>
      </c>
      <c r="V3570" s="406" t="s">
        <v>13485</v>
      </c>
      <c r="W3570" s="388">
        <v>1</v>
      </c>
      <c r="X3570" s="388">
        <v>0</v>
      </c>
      <c r="Y3570" s="388">
        <v>1</v>
      </c>
      <c r="Z3570" s="388">
        <v>1</v>
      </c>
      <c r="AA3570" s="388">
        <v>1</v>
      </c>
      <c r="AB3570" s="388">
        <v>0</v>
      </c>
      <c r="AC3570" s="150">
        <v>1</v>
      </c>
      <c r="AD3570" s="150">
        <v>0</v>
      </c>
      <c r="AE3570" s="49">
        <f t="shared" si="132"/>
        <v>0.625</v>
      </c>
      <c r="AF3570" s="488">
        <v>0</v>
      </c>
      <c r="AG3570" s="17">
        <v>0</v>
      </c>
      <c r="AH3570" s="23">
        <v>0.11</v>
      </c>
      <c r="AI3570" s="23">
        <v>0.192</v>
      </c>
      <c r="AJ3570" s="23">
        <v>0.28499999999999998</v>
      </c>
      <c r="AK3570" s="153">
        <v>0.3</v>
      </c>
      <c r="AL3570" s="153">
        <v>0.37</v>
      </c>
      <c r="AM3570" s="17">
        <f t="shared" si="133"/>
        <v>0.66999999999999993</v>
      </c>
      <c r="AN3570" s="18" t="s">
        <v>7194</v>
      </c>
      <c r="AO3570" s="162" t="s">
        <v>7396</v>
      </c>
    </row>
    <row r="3571" spans="1:41" s="18" customFormat="1" x14ac:dyDescent="0.3">
      <c r="A3571" s="205" t="s">
        <v>8321</v>
      </c>
      <c r="B3571" s="162" t="s">
        <v>8322</v>
      </c>
      <c r="C3571" s="168" t="s">
        <v>13469</v>
      </c>
      <c r="D3571" s="406" t="s">
        <v>13470</v>
      </c>
      <c r="E3571" s="406" t="s">
        <v>13471</v>
      </c>
      <c r="F3571" s="406" t="s">
        <v>13472</v>
      </c>
      <c r="G3571" s="406">
        <v>163301</v>
      </c>
      <c r="H3571" s="406" t="s">
        <v>13473</v>
      </c>
      <c r="I3571" s="406" t="s">
        <v>13474</v>
      </c>
      <c r="J3571" s="406" t="s">
        <v>13475</v>
      </c>
      <c r="K3571" s="406" t="s">
        <v>13486</v>
      </c>
      <c r="L3571" s="406" t="s">
        <v>13487</v>
      </c>
      <c r="M3571" s="406" t="s">
        <v>13488</v>
      </c>
      <c r="N3571" s="406"/>
      <c r="O3571" s="40">
        <v>0.65</v>
      </c>
      <c r="P3571" s="40">
        <v>0.7</v>
      </c>
      <c r="Q3571" s="40">
        <v>0.8</v>
      </c>
      <c r="R3571" s="40">
        <v>0.85</v>
      </c>
      <c r="S3571" s="40">
        <v>0.9</v>
      </c>
      <c r="T3571" s="12" t="s">
        <v>7194</v>
      </c>
      <c r="U3571" t="str">
        <f>VLOOKUP(T3571,[8]Votes!$A$1:$E$234,3,FALSE)</f>
        <v>144 Uganda Police Force</v>
      </c>
      <c r="V3571" s="406" t="s">
        <v>13489</v>
      </c>
      <c r="W3571" s="388">
        <v>1</v>
      </c>
      <c r="X3571" s="388">
        <v>0</v>
      </c>
      <c r="Y3571" s="388">
        <v>1</v>
      </c>
      <c r="Z3571" s="388">
        <v>1</v>
      </c>
      <c r="AA3571" s="388">
        <v>1</v>
      </c>
      <c r="AB3571" s="388">
        <v>0</v>
      </c>
      <c r="AC3571" s="150">
        <v>1</v>
      </c>
      <c r="AD3571" s="150">
        <v>0</v>
      </c>
      <c r="AE3571" s="49">
        <f t="shared" si="132"/>
        <v>0.625</v>
      </c>
      <c r="AF3571" s="488">
        <v>0</v>
      </c>
      <c r="AG3571" s="17">
        <v>0</v>
      </c>
      <c r="AH3571" s="23">
        <v>0.59799999999999998</v>
      </c>
      <c r="AI3571" s="23">
        <v>0.59799999999999998</v>
      </c>
      <c r="AJ3571" s="23">
        <v>0.59799999999999998</v>
      </c>
      <c r="AK3571" s="153">
        <v>0.16</v>
      </c>
      <c r="AL3571" s="153">
        <v>0.16</v>
      </c>
      <c r="AM3571" s="17">
        <f t="shared" si="133"/>
        <v>0.32</v>
      </c>
      <c r="AN3571" s="18" t="s">
        <v>7194</v>
      </c>
      <c r="AO3571" s="162" t="s">
        <v>7396</v>
      </c>
    </row>
    <row r="3572" spans="1:41" s="162" customFormat="1" x14ac:dyDescent="0.3">
      <c r="A3572" s="205" t="s">
        <v>8321</v>
      </c>
      <c r="B3572" s="162" t="s">
        <v>8322</v>
      </c>
      <c r="C3572" s="168" t="s">
        <v>13469</v>
      </c>
      <c r="D3572" s="168" t="s">
        <v>13470</v>
      </c>
      <c r="E3572" s="406" t="s">
        <v>13471</v>
      </c>
      <c r="F3572" s="168" t="s">
        <v>13472</v>
      </c>
      <c r="G3572" s="406">
        <v>163302</v>
      </c>
      <c r="H3572" s="168" t="s">
        <v>13490</v>
      </c>
      <c r="I3572" s="168"/>
      <c r="J3572" s="168"/>
      <c r="K3572" s="406">
        <v>16330101</v>
      </c>
      <c r="L3572" s="168" t="s">
        <v>13491</v>
      </c>
      <c r="M3572" s="168" t="s">
        <v>13492</v>
      </c>
      <c r="N3572" s="168"/>
      <c r="O3572" s="413">
        <v>0.47</v>
      </c>
      <c r="P3572" s="413">
        <v>0.52</v>
      </c>
      <c r="Q3572" s="413">
        <v>0.56999999999999995</v>
      </c>
      <c r="R3572" s="413">
        <v>0.65</v>
      </c>
      <c r="S3572" s="413">
        <v>0.79</v>
      </c>
      <c r="T3572" s="184" t="s">
        <v>7194</v>
      </c>
      <c r="U3572" t="str">
        <f>VLOOKUP(T3572,[8]Votes!$A$1:$E$234,3,FALSE)</f>
        <v>144 Uganda Police Force</v>
      </c>
      <c r="V3572" s="168" t="s">
        <v>13493</v>
      </c>
      <c r="W3572" s="416"/>
      <c r="X3572" s="416">
        <v>1</v>
      </c>
      <c r="Y3572" s="416">
        <v>1</v>
      </c>
      <c r="Z3572" s="416">
        <v>1</v>
      </c>
      <c r="AA3572" s="416">
        <v>1</v>
      </c>
      <c r="AB3572" s="416">
        <v>1</v>
      </c>
      <c r="AC3572" s="150">
        <v>0</v>
      </c>
      <c r="AD3572" s="150">
        <v>1</v>
      </c>
      <c r="AE3572" s="49">
        <f t="shared" si="132"/>
        <v>0.75</v>
      </c>
      <c r="AF3572" s="190"/>
      <c r="AG3572" s="17">
        <v>0</v>
      </c>
      <c r="AH3572" s="190">
        <v>0.55000000000000004</v>
      </c>
      <c r="AI3572" s="190">
        <v>1.72</v>
      </c>
      <c r="AJ3572" s="190">
        <v>2.85</v>
      </c>
      <c r="AK3572" s="191">
        <v>1</v>
      </c>
      <c r="AL3572" s="191">
        <v>1</v>
      </c>
      <c r="AM3572" s="17">
        <f t="shared" si="133"/>
        <v>2</v>
      </c>
      <c r="AN3572" s="162" t="s">
        <v>7194</v>
      </c>
      <c r="AO3572" s="162" t="s">
        <v>7396</v>
      </c>
    </row>
    <row r="3573" spans="1:41" s="18" customFormat="1" x14ac:dyDescent="0.3">
      <c r="A3573" s="205" t="s">
        <v>8321</v>
      </c>
      <c r="B3573" s="162" t="s">
        <v>8322</v>
      </c>
      <c r="C3573" s="168" t="s">
        <v>13469</v>
      </c>
      <c r="D3573" s="406" t="s">
        <v>13470</v>
      </c>
      <c r="E3573" s="406" t="s">
        <v>13471</v>
      </c>
      <c r="F3573" s="406" t="s">
        <v>13472</v>
      </c>
      <c r="G3573" s="406">
        <v>163302</v>
      </c>
      <c r="H3573" s="406" t="s">
        <v>13490</v>
      </c>
      <c r="I3573" s="406"/>
      <c r="J3573" s="406"/>
      <c r="K3573" s="406">
        <v>16330102</v>
      </c>
      <c r="L3573" s="406" t="s">
        <v>13494</v>
      </c>
      <c r="M3573" s="406" t="s">
        <v>13495</v>
      </c>
      <c r="N3573" s="406"/>
      <c r="O3573" s="490"/>
      <c r="P3573" s="490"/>
      <c r="Q3573" s="490"/>
      <c r="R3573" s="490"/>
      <c r="S3573" s="490"/>
      <c r="T3573" s="491" t="s">
        <v>7194</v>
      </c>
      <c r="U3573" t="str">
        <f>VLOOKUP(T3573,[8]Votes!$A$1:$E$234,3,FALSE)</f>
        <v>144 Uganda Police Force</v>
      </c>
      <c r="V3573" s="406" t="s">
        <v>13496</v>
      </c>
      <c r="W3573" s="388">
        <v>1</v>
      </c>
      <c r="X3573" s="388">
        <v>0</v>
      </c>
      <c r="Y3573" s="388">
        <v>0</v>
      </c>
      <c r="Z3573" s="388">
        <v>0</v>
      </c>
      <c r="AA3573" s="388">
        <v>0</v>
      </c>
      <c r="AB3573" s="388">
        <v>1</v>
      </c>
      <c r="AC3573" s="150">
        <v>1</v>
      </c>
      <c r="AD3573" s="150">
        <v>0</v>
      </c>
      <c r="AE3573" s="49">
        <f t="shared" si="132"/>
        <v>0.375</v>
      </c>
      <c r="AF3573" s="488"/>
      <c r="AG3573" s="17">
        <v>0</v>
      </c>
      <c r="AH3573" s="488">
        <v>7.3490000000000002</v>
      </c>
      <c r="AI3573" s="488">
        <v>7.3490000000000002</v>
      </c>
      <c r="AJ3573" s="488">
        <v>7.3490000000000002</v>
      </c>
      <c r="AK3573" s="489">
        <v>0</v>
      </c>
      <c r="AL3573" s="489">
        <v>0</v>
      </c>
      <c r="AM3573" s="17">
        <f t="shared" si="133"/>
        <v>0</v>
      </c>
      <c r="AN3573" s="18" t="s">
        <v>7194</v>
      </c>
      <c r="AO3573" s="162" t="s">
        <v>7396</v>
      </c>
    </row>
    <row r="3574" spans="1:41" s="162" customFormat="1" x14ac:dyDescent="0.3">
      <c r="A3574" s="205" t="s">
        <v>8321</v>
      </c>
      <c r="B3574" s="162" t="s">
        <v>8322</v>
      </c>
      <c r="C3574" s="168" t="s">
        <v>13497</v>
      </c>
      <c r="D3574" s="168" t="s">
        <v>13498</v>
      </c>
      <c r="E3574" s="168" t="s">
        <v>13499</v>
      </c>
      <c r="F3574" s="168" t="s">
        <v>13500</v>
      </c>
      <c r="G3574" s="168">
        <v>164401</v>
      </c>
      <c r="H3574" s="168" t="s">
        <v>13501</v>
      </c>
      <c r="I3574" s="168"/>
      <c r="J3574" s="168"/>
      <c r="K3574" s="168">
        <v>16440101</v>
      </c>
      <c r="L3574" s="168" t="s">
        <v>13502</v>
      </c>
      <c r="M3574" s="168" t="s">
        <v>13503</v>
      </c>
      <c r="N3574" s="168">
        <v>26</v>
      </c>
      <c r="O3574" s="189">
        <v>34</v>
      </c>
      <c r="P3574" s="189">
        <v>46</v>
      </c>
      <c r="Q3574" s="189">
        <v>46</v>
      </c>
      <c r="R3574" s="189">
        <v>52</v>
      </c>
      <c r="S3574" s="189">
        <v>52</v>
      </c>
      <c r="T3574" s="184" t="s">
        <v>7194</v>
      </c>
      <c r="U3574" t="str">
        <f>VLOOKUP(T3574,[8]Votes!$A$1:$E$234,3,FALSE)</f>
        <v>144 Uganda Police Force</v>
      </c>
      <c r="V3574" s="168" t="s">
        <v>13504</v>
      </c>
      <c r="W3574" s="416">
        <v>1</v>
      </c>
      <c r="X3574" s="416">
        <v>1</v>
      </c>
      <c r="Y3574" s="416">
        <v>1</v>
      </c>
      <c r="Z3574" s="416">
        <v>1</v>
      </c>
      <c r="AA3574" s="416">
        <v>1</v>
      </c>
      <c r="AB3574" s="416">
        <v>0</v>
      </c>
      <c r="AC3574" s="150">
        <v>1</v>
      </c>
      <c r="AD3574" s="150">
        <v>0</v>
      </c>
      <c r="AE3574" s="49">
        <f t="shared" si="132"/>
        <v>0.75</v>
      </c>
      <c r="AF3574" s="190">
        <v>1</v>
      </c>
      <c r="AG3574" s="17">
        <v>0</v>
      </c>
      <c r="AH3574" s="190">
        <v>98.730999999999995</v>
      </c>
      <c r="AI3574" s="190">
        <v>98.730999999999995</v>
      </c>
      <c r="AJ3574" s="190">
        <v>98.730999999999995</v>
      </c>
      <c r="AK3574" s="191">
        <v>8.7309999999999999</v>
      </c>
      <c r="AL3574" s="191">
        <v>8.7309999999999999</v>
      </c>
      <c r="AM3574" s="17">
        <f t="shared" si="133"/>
        <v>17.462</v>
      </c>
      <c r="AN3574" s="162" t="s">
        <v>7194</v>
      </c>
      <c r="AO3574" s="162" t="s">
        <v>7396</v>
      </c>
    </row>
    <row r="3575" spans="1:41" s="162" customFormat="1" x14ac:dyDescent="0.3">
      <c r="A3575" s="205" t="s">
        <v>8321</v>
      </c>
      <c r="B3575" s="162" t="s">
        <v>8322</v>
      </c>
      <c r="C3575" s="168" t="s">
        <v>13505</v>
      </c>
      <c r="D3575" s="168" t="s">
        <v>13506</v>
      </c>
      <c r="E3575" s="168" t="s">
        <v>13507</v>
      </c>
      <c r="F3575" s="168" t="s">
        <v>13508</v>
      </c>
      <c r="G3575" s="168">
        <v>165501</v>
      </c>
      <c r="H3575" s="168" t="s">
        <v>13509</v>
      </c>
      <c r="I3575" s="168"/>
      <c r="J3575" s="168"/>
      <c r="K3575" s="168">
        <v>16550101</v>
      </c>
      <c r="L3575" s="168" t="s">
        <v>13510</v>
      </c>
      <c r="M3575" s="168" t="s">
        <v>13511</v>
      </c>
      <c r="N3575" s="168"/>
      <c r="O3575" s="492">
        <v>1</v>
      </c>
      <c r="P3575" s="492">
        <v>1</v>
      </c>
      <c r="Q3575" s="492">
        <v>1</v>
      </c>
      <c r="R3575" s="492">
        <v>1</v>
      </c>
      <c r="S3575" s="492">
        <v>1</v>
      </c>
      <c r="T3575" s="184" t="s">
        <v>7194</v>
      </c>
      <c r="U3575" t="str">
        <f>VLOOKUP(T3575,[8]Votes!$A$1:$E$234,3,FALSE)</f>
        <v>144 Uganda Police Force</v>
      </c>
      <c r="V3575" s="168" t="s">
        <v>13512</v>
      </c>
      <c r="W3575" s="416">
        <v>1</v>
      </c>
      <c r="X3575" s="416">
        <v>1</v>
      </c>
      <c r="Y3575" s="416">
        <v>1</v>
      </c>
      <c r="Z3575" s="416">
        <v>1</v>
      </c>
      <c r="AA3575" s="416">
        <v>1</v>
      </c>
      <c r="AB3575" s="416">
        <v>0</v>
      </c>
      <c r="AC3575" s="150">
        <v>1</v>
      </c>
      <c r="AD3575" s="150">
        <v>1</v>
      </c>
      <c r="AE3575" s="49">
        <f t="shared" si="132"/>
        <v>0.875</v>
      </c>
      <c r="AF3575" s="485">
        <v>0</v>
      </c>
      <c r="AG3575" s="17">
        <v>0</v>
      </c>
      <c r="AH3575" s="485">
        <v>8.9269999999999996</v>
      </c>
      <c r="AI3575" s="485">
        <v>8.9269999999999996</v>
      </c>
      <c r="AJ3575" s="485">
        <v>8.9269999999999996</v>
      </c>
      <c r="AK3575" s="493">
        <v>0</v>
      </c>
      <c r="AL3575" s="493">
        <v>0</v>
      </c>
      <c r="AM3575" s="17">
        <f t="shared" si="133"/>
        <v>0</v>
      </c>
      <c r="AN3575" s="162" t="s">
        <v>7194</v>
      </c>
      <c r="AO3575" s="162" t="s">
        <v>7396</v>
      </c>
    </row>
    <row r="3576" spans="1:41" s="162" customFormat="1" x14ac:dyDescent="0.3">
      <c r="A3576" s="205" t="s">
        <v>8321</v>
      </c>
      <c r="B3576" s="162" t="s">
        <v>8322</v>
      </c>
      <c r="C3576" s="168" t="s">
        <v>13505</v>
      </c>
      <c r="D3576" s="168" t="s">
        <v>13506</v>
      </c>
      <c r="E3576" s="168" t="s">
        <v>13507</v>
      </c>
      <c r="F3576" s="168" t="s">
        <v>13508</v>
      </c>
      <c r="G3576" s="168">
        <v>165502</v>
      </c>
      <c r="H3576" s="168" t="s">
        <v>13513</v>
      </c>
      <c r="I3576" s="168"/>
      <c r="J3576" s="168"/>
      <c r="K3576" s="168" t="s">
        <v>13514</v>
      </c>
      <c r="L3576" s="168" t="s">
        <v>13515</v>
      </c>
      <c r="M3576" s="168" t="s">
        <v>13516</v>
      </c>
      <c r="N3576" s="168"/>
      <c r="O3576" s="192">
        <v>1000</v>
      </c>
      <c r="P3576" s="192">
        <v>1000</v>
      </c>
      <c r="Q3576" s="192">
        <v>1000</v>
      </c>
      <c r="R3576" s="192">
        <v>1000</v>
      </c>
      <c r="S3576" s="192">
        <v>1000</v>
      </c>
      <c r="T3576" s="184" t="s">
        <v>7194</v>
      </c>
      <c r="U3576" t="str">
        <f>VLOOKUP(T3576,[8]Votes!$A$1:$E$234,3,FALSE)</f>
        <v>144 Uganda Police Force</v>
      </c>
      <c r="V3576" s="168" t="s">
        <v>13517</v>
      </c>
      <c r="W3576" s="416">
        <v>1</v>
      </c>
      <c r="X3576" s="416">
        <v>1</v>
      </c>
      <c r="Y3576" s="416">
        <v>1</v>
      </c>
      <c r="Z3576" s="416">
        <v>1</v>
      </c>
      <c r="AA3576" s="416">
        <v>1</v>
      </c>
      <c r="AB3576" s="416">
        <v>0</v>
      </c>
      <c r="AC3576" s="150">
        <v>1</v>
      </c>
      <c r="AD3576" s="150">
        <v>1</v>
      </c>
      <c r="AE3576" s="49">
        <f t="shared" si="132"/>
        <v>0.875</v>
      </c>
      <c r="AF3576" s="485">
        <v>0</v>
      </c>
      <c r="AG3576" s="17">
        <v>0</v>
      </c>
      <c r="AH3576" s="190">
        <v>0.42</v>
      </c>
      <c r="AI3576" s="190">
        <v>0.42</v>
      </c>
      <c r="AJ3576" s="190">
        <v>0.42</v>
      </c>
      <c r="AK3576" s="191">
        <v>0.42</v>
      </c>
      <c r="AL3576" s="191">
        <v>0.42</v>
      </c>
      <c r="AM3576" s="17">
        <f t="shared" si="133"/>
        <v>0.84</v>
      </c>
      <c r="AN3576" s="162" t="s">
        <v>7194</v>
      </c>
      <c r="AO3576" s="162" t="s">
        <v>7396</v>
      </c>
    </row>
    <row r="3577" spans="1:41" s="18" customFormat="1" x14ac:dyDescent="0.3">
      <c r="A3577" s="205" t="s">
        <v>8321</v>
      </c>
      <c r="B3577" s="162" t="s">
        <v>8322</v>
      </c>
      <c r="C3577" s="168" t="s">
        <v>13505</v>
      </c>
      <c r="D3577" s="406" t="s">
        <v>13506</v>
      </c>
      <c r="E3577" s="168" t="s">
        <v>13507</v>
      </c>
      <c r="F3577" s="406" t="s">
        <v>13508</v>
      </c>
      <c r="G3577" s="168">
        <v>165502</v>
      </c>
      <c r="H3577" s="406" t="s">
        <v>13513</v>
      </c>
      <c r="I3577" s="406"/>
      <c r="J3577" s="406"/>
      <c r="K3577" s="168" t="s">
        <v>13518</v>
      </c>
      <c r="L3577" s="406" t="s">
        <v>13519</v>
      </c>
      <c r="M3577" s="406" t="s">
        <v>13520</v>
      </c>
      <c r="N3577" s="406"/>
      <c r="O3577" s="21">
        <v>64</v>
      </c>
      <c r="P3577" s="21">
        <v>44</v>
      </c>
      <c r="Q3577" s="21">
        <v>49</v>
      </c>
      <c r="R3577" s="21">
        <v>56</v>
      </c>
      <c r="S3577" s="21">
        <v>60</v>
      </c>
      <c r="T3577" s="12" t="s">
        <v>7194</v>
      </c>
      <c r="U3577" t="str">
        <f>VLOOKUP(T3577,[8]Votes!$A$1:$E$234,3,FALSE)</f>
        <v>144 Uganda Police Force</v>
      </c>
      <c r="V3577" s="406" t="s">
        <v>13521</v>
      </c>
      <c r="W3577" s="416">
        <v>1</v>
      </c>
      <c r="X3577" s="416">
        <v>1</v>
      </c>
      <c r="Y3577" s="416">
        <v>1</v>
      </c>
      <c r="Z3577" s="416">
        <v>1</v>
      </c>
      <c r="AA3577" s="416">
        <v>1</v>
      </c>
      <c r="AB3577" s="416">
        <v>0</v>
      </c>
      <c r="AC3577" s="150">
        <v>1</v>
      </c>
      <c r="AD3577" s="150">
        <v>1</v>
      </c>
      <c r="AE3577" s="49">
        <f t="shared" si="132"/>
        <v>0.875</v>
      </c>
      <c r="AF3577" s="485">
        <v>0</v>
      </c>
      <c r="AG3577" s="17">
        <v>0</v>
      </c>
      <c r="AH3577" s="23">
        <v>0.13439999999999999</v>
      </c>
      <c r="AI3577" s="23">
        <v>9.2399999999999996E-2</v>
      </c>
      <c r="AJ3577" s="23">
        <v>0.10289999999999999</v>
      </c>
      <c r="AK3577" s="153">
        <v>0.1176</v>
      </c>
      <c r="AL3577" s="153">
        <v>0.126</v>
      </c>
      <c r="AM3577" s="17">
        <f t="shared" si="133"/>
        <v>0.24359999999999998</v>
      </c>
      <c r="AN3577" s="18" t="s">
        <v>7194</v>
      </c>
      <c r="AO3577" s="162" t="s">
        <v>7396</v>
      </c>
    </row>
    <row r="3578" spans="1:41" s="18" customFormat="1" x14ac:dyDescent="0.3">
      <c r="A3578" s="205" t="s">
        <v>8321</v>
      </c>
      <c r="B3578" s="162" t="s">
        <v>8322</v>
      </c>
      <c r="C3578" s="168" t="s">
        <v>13505</v>
      </c>
      <c r="D3578" s="406" t="s">
        <v>13506</v>
      </c>
      <c r="E3578" s="168" t="s">
        <v>13507</v>
      </c>
      <c r="F3578" s="406" t="s">
        <v>13508</v>
      </c>
      <c r="G3578" s="168">
        <v>165502</v>
      </c>
      <c r="H3578" s="406" t="s">
        <v>13513</v>
      </c>
      <c r="I3578" s="406"/>
      <c r="J3578" s="406"/>
      <c r="K3578" s="168" t="s">
        <v>13522</v>
      </c>
      <c r="L3578" s="406" t="s">
        <v>13523</v>
      </c>
      <c r="M3578" s="406" t="s">
        <v>13524</v>
      </c>
      <c r="N3578" s="406"/>
      <c r="O3578" s="40">
        <v>0.3</v>
      </c>
      <c r="P3578" s="40">
        <v>0.7</v>
      </c>
      <c r="Q3578" s="40">
        <v>1</v>
      </c>
      <c r="R3578" s="21"/>
      <c r="S3578" s="21"/>
      <c r="T3578" s="12" t="s">
        <v>7194</v>
      </c>
      <c r="U3578" t="str">
        <f>VLOOKUP(T3578,[8]Votes!$A$1:$E$234,3,FALSE)</f>
        <v>144 Uganda Police Force</v>
      </c>
      <c r="V3578" s="406" t="s">
        <v>13525</v>
      </c>
      <c r="W3578" s="416">
        <v>1</v>
      </c>
      <c r="X3578" s="416">
        <v>1</v>
      </c>
      <c r="Y3578" s="416">
        <v>1</v>
      </c>
      <c r="Z3578" s="416">
        <v>1</v>
      </c>
      <c r="AA3578" s="416">
        <v>1</v>
      </c>
      <c r="AB3578" s="416">
        <v>0</v>
      </c>
      <c r="AC3578" s="150">
        <v>1</v>
      </c>
      <c r="AD3578" s="150">
        <v>1</v>
      </c>
      <c r="AE3578" s="49">
        <f t="shared" ref="AE3578:AE3641" si="134">SUM(W3578:AD3578)/8</f>
        <v>0.875</v>
      </c>
      <c r="AF3578" s="485">
        <v>0</v>
      </c>
      <c r="AG3578" s="17">
        <v>0</v>
      </c>
      <c r="AH3578" s="190">
        <v>0</v>
      </c>
      <c r="AI3578" s="23">
        <v>0.3</v>
      </c>
      <c r="AJ3578" s="23">
        <v>0.3</v>
      </c>
      <c r="AK3578" s="153">
        <v>0.4</v>
      </c>
      <c r="AL3578" s="191">
        <v>0</v>
      </c>
      <c r="AM3578" s="17">
        <f t="shared" ref="AM3578:AM3641" si="135">SUM(AK3578:AL3578)</f>
        <v>0.4</v>
      </c>
      <c r="AN3578" s="18" t="s">
        <v>7194</v>
      </c>
      <c r="AO3578" s="162" t="s">
        <v>7396</v>
      </c>
    </row>
    <row r="3579" spans="1:41" s="18" customFormat="1" x14ac:dyDescent="0.3">
      <c r="A3579" s="205" t="s">
        <v>8321</v>
      </c>
      <c r="B3579" s="162" t="s">
        <v>8322</v>
      </c>
      <c r="C3579" s="168" t="s">
        <v>13505</v>
      </c>
      <c r="D3579" s="406" t="s">
        <v>13506</v>
      </c>
      <c r="E3579" s="168" t="s">
        <v>13507</v>
      </c>
      <c r="F3579" s="406" t="s">
        <v>13508</v>
      </c>
      <c r="G3579" s="168">
        <v>165502</v>
      </c>
      <c r="H3579" s="406" t="s">
        <v>13513</v>
      </c>
      <c r="I3579" s="406"/>
      <c r="J3579" s="406"/>
      <c r="K3579" s="168" t="s">
        <v>13526</v>
      </c>
      <c r="L3579" s="406" t="s">
        <v>13527</v>
      </c>
      <c r="M3579" s="406" t="s">
        <v>13528</v>
      </c>
      <c r="N3579" s="406"/>
      <c r="O3579" s="21">
        <v>0.75</v>
      </c>
      <c r="P3579" s="21">
        <v>0.85</v>
      </c>
      <c r="Q3579" s="21">
        <v>0.94</v>
      </c>
      <c r="R3579" s="21">
        <v>1</v>
      </c>
      <c r="S3579" s="21"/>
      <c r="T3579" s="12" t="s">
        <v>7194</v>
      </c>
      <c r="U3579" t="str">
        <f>VLOOKUP(T3579,[8]Votes!$A$1:$E$234,3,FALSE)</f>
        <v>144 Uganda Police Force</v>
      </c>
      <c r="V3579" s="406" t="s">
        <v>13529</v>
      </c>
      <c r="W3579" s="416">
        <v>1</v>
      </c>
      <c r="X3579" s="416">
        <v>1</v>
      </c>
      <c r="Y3579" s="416">
        <v>1</v>
      </c>
      <c r="Z3579" s="416">
        <v>1</v>
      </c>
      <c r="AA3579" s="416">
        <v>1</v>
      </c>
      <c r="AB3579" s="416">
        <v>0</v>
      </c>
      <c r="AC3579" s="150">
        <v>1</v>
      </c>
      <c r="AD3579" s="150">
        <v>1</v>
      </c>
      <c r="AE3579" s="49">
        <f t="shared" si="134"/>
        <v>0.875</v>
      </c>
      <c r="AF3579" s="485">
        <v>0</v>
      </c>
      <c r="AG3579" s="17">
        <v>0</v>
      </c>
      <c r="AH3579" s="23">
        <v>0.28000000000000003</v>
      </c>
      <c r="AI3579" s="23">
        <v>0.28000000000000003</v>
      </c>
      <c r="AJ3579" s="23">
        <v>0.28000000000000003</v>
      </c>
      <c r="AK3579" s="153">
        <v>0.28000000000000003</v>
      </c>
      <c r="AL3579" s="153">
        <v>0.28000000000000003</v>
      </c>
      <c r="AM3579" s="17">
        <f t="shared" si="135"/>
        <v>0.56000000000000005</v>
      </c>
      <c r="AN3579" s="18" t="s">
        <v>7194</v>
      </c>
      <c r="AO3579" s="162" t="s">
        <v>7396</v>
      </c>
    </row>
    <row r="3580" spans="1:41" s="18" customFormat="1" x14ac:dyDescent="0.3">
      <c r="A3580" s="205" t="s">
        <v>8321</v>
      </c>
      <c r="B3580" s="162" t="s">
        <v>8322</v>
      </c>
      <c r="C3580" s="168" t="s">
        <v>13530</v>
      </c>
      <c r="D3580" s="406" t="s">
        <v>13531</v>
      </c>
      <c r="E3580" s="406" t="s">
        <v>13532</v>
      </c>
      <c r="F3580" s="406" t="s">
        <v>13533</v>
      </c>
      <c r="G3580" s="406">
        <v>166601</v>
      </c>
      <c r="H3580" s="406" t="s">
        <v>13534</v>
      </c>
      <c r="I3580" s="406"/>
      <c r="J3580" s="406"/>
      <c r="K3580" s="406">
        <v>16660101</v>
      </c>
      <c r="L3580" s="406" t="s">
        <v>13535</v>
      </c>
      <c r="M3580" s="406" t="s">
        <v>13536</v>
      </c>
      <c r="N3580" s="406"/>
      <c r="O3580" s="21">
        <v>0</v>
      </c>
      <c r="P3580" s="21">
        <v>1</v>
      </c>
      <c r="Q3580" s="21">
        <v>1</v>
      </c>
      <c r="R3580" s="21">
        <v>1</v>
      </c>
      <c r="S3580" s="21">
        <v>1</v>
      </c>
      <c r="T3580" s="12" t="s">
        <v>7194</v>
      </c>
      <c r="U3580" t="str">
        <f>VLOOKUP(T3580,[8]Votes!$A$1:$E$234,3,FALSE)</f>
        <v>144 Uganda Police Force</v>
      </c>
      <c r="V3580" s="406" t="s">
        <v>13537</v>
      </c>
      <c r="W3580" s="388">
        <v>1</v>
      </c>
      <c r="X3580" s="388">
        <v>1</v>
      </c>
      <c r="Y3580" s="388">
        <v>0</v>
      </c>
      <c r="Z3580" s="388">
        <v>1</v>
      </c>
      <c r="AA3580" s="388">
        <v>0</v>
      </c>
      <c r="AB3580" s="388">
        <v>1</v>
      </c>
      <c r="AC3580" s="150">
        <v>0</v>
      </c>
      <c r="AD3580" s="150">
        <v>0</v>
      </c>
      <c r="AE3580" s="49">
        <f t="shared" si="134"/>
        <v>0.5</v>
      </c>
      <c r="AF3580" s="23">
        <v>0</v>
      </c>
      <c r="AG3580" s="17">
        <v>0</v>
      </c>
      <c r="AH3580" s="23">
        <v>0.71</v>
      </c>
      <c r="AI3580" s="23">
        <v>0.15</v>
      </c>
      <c r="AJ3580" s="23">
        <v>0.45</v>
      </c>
      <c r="AK3580" s="153">
        <v>0.47</v>
      </c>
      <c r="AL3580" s="165">
        <v>0.2</v>
      </c>
      <c r="AM3580" s="17">
        <f t="shared" si="135"/>
        <v>0.66999999999999993</v>
      </c>
      <c r="AN3580" s="18" t="s">
        <v>7194</v>
      </c>
      <c r="AO3580" s="162" t="s">
        <v>7396</v>
      </c>
    </row>
    <row r="3581" spans="1:41" s="18" customFormat="1" x14ac:dyDescent="0.3">
      <c r="A3581" s="205" t="s">
        <v>8321</v>
      </c>
      <c r="B3581" s="162" t="s">
        <v>8322</v>
      </c>
      <c r="C3581" s="168" t="s">
        <v>13530</v>
      </c>
      <c r="D3581" s="406" t="s">
        <v>13531</v>
      </c>
      <c r="E3581" s="406" t="s">
        <v>13532</v>
      </c>
      <c r="F3581" s="406" t="s">
        <v>13533</v>
      </c>
      <c r="G3581" s="406">
        <v>166602</v>
      </c>
      <c r="H3581" s="406" t="s">
        <v>13538</v>
      </c>
      <c r="I3581" s="406"/>
      <c r="J3581" s="406"/>
      <c r="K3581" s="406">
        <v>16660201</v>
      </c>
      <c r="L3581" s="406" t="s">
        <v>13539</v>
      </c>
      <c r="M3581" s="406" t="s">
        <v>13540</v>
      </c>
      <c r="N3581" s="406"/>
      <c r="O3581" s="21">
        <v>4</v>
      </c>
      <c r="P3581" s="21">
        <v>4</v>
      </c>
      <c r="Q3581" s="21">
        <v>4</v>
      </c>
      <c r="R3581" s="21">
        <v>4</v>
      </c>
      <c r="S3581" s="21">
        <v>4</v>
      </c>
      <c r="T3581" s="12" t="s">
        <v>7194</v>
      </c>
      <c r="U3581" t="str">
        <f>VLOOKUP(T3581,[8]Votes!$A$1:$E$234,3,FALSE)</f>
        <v>144 Uganda Police Force</v>
      </c>
      <c r="V3581" s="406" t="s">
        <v>13541</v>
      </c>
      <c r="W3581" s="388">
        <v>1</v>
      </c>
      <c r="X3581" s="388">
        <v>1</v>
      </c>
      <c r="Y3581" s="388">
        <v>0</v>
      </c>
      <c r="Z3581" s="388">
        <v>0</v>
      </c>
      <c r="AA3581" s="388">
        <v>1</v>
      </c>
      <c r="AB3581" s="388">
        <v>0</v>
      </c>
      <c r="AC3581" s="150">
        <v>0</v>
      </c>
      <c r="AD3581" s="150">
        <v>1</v>
      </c>
      <c r="AE3581" s="49">
        <f t="shared" si="134"/>
        <v>0.5</v>
      </c>
      <c r="AF3581" s="23">
        <v>0</v>
      </c>
      <c r="AG3581" s="17">
        <v>0</v>
      </c>
      <c r="AH3581" s="23">
        <v>0.2</v>
      </c>
      <c r="AI3581" s="23">
        <v>0.2</v>
      </c>
      <c r="AJ3581" s="23">
        <v>0.2</v>
      </c>
      <c r="AK3581" s="153">
        <v>0.2</v>
      </c>
      <c r="AL3581" s="165">
        <v>0.2</v>
      </c>
      <c r="AM3581" s="17">
        <f t="shared" si="135"/>
        <v>0.4</v>
      </c>
      <c r="AN3581" s="18" t="s">
        <v>7194</v>
      </c>
      <c r="AO3581" s="162" t="s">
        <v>7396</v>
      </c>
    </row>
    <row r="3582" spans="1:41" s="18" customFormat="1" x14ac:dyDescent="0.3">
      <c r="A3582" s="205" t="s">
        <v>8321</v>
      </c>
      <c r="B3582" s="162" t="s">
        <v>8322</v>
      </c>
      <c r="C3582" s="168" t="s">
        <v>13530</v>
      </c>
      <c r="D3582" s="406" t="s">
        <v>13531</v>
      </c>
      <c r="E3582" s="406" t="s">
        <v>13532</v>
      </c>
      <c r="F3582" s="406" t="s">
        <v>13533</v>
      </c>
      <c r="G3582" s="406">
        <v>166602</v>
      </c>
      <c r="H3582" s="406" t="s">
        <v>13538</v>
      </c>
      <c r="I3582" s="406"/>
      <c r="J3582" s="406"/>
      <c r="K3582" s="406">
        <v>16660201</v>
      </c>
      <c r="L3582" s="406" t="s">
        <v>13539</v>
      </c>
      <c r="M3582" s="406" t="s">
        <v>13542</v>
      </c>
      <c r="N3582" s="406"/>
      <c r="O3582" s="40">
        <v>0.2</v>
      </c>
      <c r="P3582" s="40">
        <v>0.5</v>
      </c>
      <c r="Q3582" s="40">
        <v>1</v>
      </c>
      <c r="R3582" s="40">
        <v>1</v>
      </c>
      <c r="S3582" s="40">
        <v>1</v>
      </c>
      <c r="T3582" s="12" t="s">
        <v>7194</v>
      </c>
      <c r="U3582" t="str">
        <f>VLOOKUP(T3582,[8]Votes!$A$1:$E$234,3,FALSE)</f>
        <v>144 Uganda Police Force</v>
      </c>
      <c r="V3582" s="12" t="s">
        <v>13543</v>
      </c>
      <c r="W3582" s="388">
        <v>1</v>
      </c>
      <c r="X3582" s="388">
        <v>1</v>
      </c>
      <c r="Y3582" s="388">
        <v>0</v>
      </c>
      <c r="Z3582" s="388">
        <v>1</v>
      </c>
      <c r="AA3582" s="388">
        <v>1</v>
      </c>
      <c r="AB3582" s="388">
        <v>1</v>
      </c>
      <c r="AC3582" s="150">
        <v>0</v>
      </c>
      <c r="AD3582" s="150">
        <v>1</v>
      </c>
      <c r="AE3582" s="49">
        <f t="shared" si="134"/>
        <v>0.75</v>
      </c>
      <c r="AF3582" s="23">
        <v>0</v>
      </c>
      <c r="AG3582" s="17">
        <v>0</v>
      </c>
      <c r="AH3582" s="23">
        <v>0.1</v>
      </c>
      <c r="AI3582" s="23">
        <v>0.2</v>
      </c>
      <c r="AJ3582" s="23">
        <v>0.3</v>
      </c>
      <c r="AK3582" s="153">
        <v>0.1</v>
      </c>
      <c r="AL3582" s="165">
        <v>0.1</v>
      </c>
      <c r="AM3582" s="17">
        <f t="shared" si="135"/>
        <v>0.2</v>
      </c>
      <c r="AN3582" s="18" t="s">
        <v>7194</v>
      </c>
      <c r="AO3582" s="162" t="s">
        <v>7396</v>
      </c>
    </row>
    <row r="3583" spans="1:41" s="18" customFormat="1" x14ac:dyDescent="0.3">
      <c r="A3583" s="205" t="s">
        <v>8321</v>
      </c>
      <c r="B3583" s="162" t="s">
        <v>8322</v>
      </c>
      <c r="C3583" s="168" t="s">
        <v>13469</v>
      </c>
      <c r="D3583" s="406" t="s">
        <v>13544</v>
      </c>
      <c r="E3583" s="406" t="s">
        <v>13545</v>
      </c>
      <c r="F3583" s="406" t="s">
        <v>13546</v>
      </c>
      <c r="G3583" s="406">
        <v>163701</v>
      </c>
      <c r="H3583" s="406" t="s">
        <v>13547</v>
      </c>
      <c r="I3583" s="406"/>
      <c r="J3583" s="406"/>
      <c r="K3583" s="406">
        <v>16370101</v>
      </c>
      <c r="L3583" s="406" t="s">
        <v>13548</v>
      </c>
      <c r="M3583" s="406" t="s">
        <v>13549</v>
      </c>
      <c r="N3583" s="406"/>
      <c r="O3583" s="21">
        <v>0.43</v>
      </c>
      <c r="P3583" s="21">
        <v>0.54</v>
      </c>
      <c r="Q3583" s="21">
        <v>0.65</v>
      </c>
      <c r="R3583" s="21">
        <v>0.87</v>
      </c>
      <c r="S3583" s="21">
        <v>1</v>
      </c>
      <c r="T3583" s="12" t="s">
        <v>7194</v>
      </c>
      <c r="U3583" t="str">
        <f>VLOOKUP(T3583,[8]Votes!$A$1:$E$234,3,FALSE)</f>
        <v>144 Uganda Police Force</v>
      </c>
      <c r="V3583" s="406" t="s">
        <v>13550</v>
      </c>
      <c r="W3583" s="407">
        <v>1</v>
      </c>
      <c r="X3583" s="407">
        <v>1</v>
      </c>
      <c r="Y3583" s="407">
        <v>1</v>
      </c>
      <c r="Z3583" s="407">
        <v>1</v>
      </c>
      <c r="AA3583" s="407">
        <v>0</v>
      </c>
      <c r="AB3583" s="407">
        <v>0</v>
      </c>
      <c r="AC3583" s="150">
        <v>0</v>
      </c>
      <c r="AD3583" s="150">
        <v>1</v>
      </c>
      <c r="AE3583" s="49">
        <f t="shared" si="134"/>
        <v>0.625</v>
      </c>
      <c r="AF3583" s="23">
        <v>1</v>
      </c>
      <c r="AG3583" s="17">
        <v>1</v>
      </c>
      <c r="AH3583" s="23">
        <v>0.255</v>
      </c>
      <c r="AI3583" s="23">
        <v>0.56299999999999994</v>
      </c>
      <c r="AJ3583" s="23">
        <v>0.76500000000000001</v>
      </c>
      <c r="AK3583" s="153">
        <v>0.68</v>
      </c>
      <c r="AL3583" s="165">
        <v>0.68</v>
      </c>
      <c r="AM3583" s="17">
        <f t="shared" si="135"/>
        <v>1.36</v>
      </c>
      <c r="AN3583" s="18" t="s">
        <v>7194</v>
      </c>
      <c r="AO3583" s="162" t="s">
        <v>7396</v>
      </c>
    </row>
    <row r="3584" spans="1:41" s="18" customFormat="1" x14ac:dyDescent="0.3">
      <c r="A3584" s="205" t="s">
        <v>8321</v>
      </c>
      <c r="B3584" s="162" t="s">
        <v>8322</v>
      </c>
      <c r="C3584" s="168" t="s">
        <v>13469</v>
      </c>
      <c r="D3584" s="406" t="s">
        <v>13544</v>
      </c>
      <c r="E3584" s="406" t="s">
        <v>13545</v>
      </c>
      <c r="F3584" s="406" t="s">
        <v>13546</v>
      </c>
      <c r="G3584" s="406">
        <v>163701</v>
      </c>
      <c r="H3584" s="406" t="s">
        <v>13547</v>
      </c>
      <c r="I3584" s="406"/>
      <c r="J3584" s="406"/>
      <c r="K3584" s="406">
        <v>16370101</v>
      </c>
      <c r="L3584" s="406" t="s">
        <v>13548</v>
      </c>
      <c r="M3584" s="406" t="s">
        <v>13551</v>
      </c>
      <c r="N3584" s="494">
        <v>9.1575091575091579E-3</v>
      </c>
      <c r="O3584" s="495">
        <v>5.4945054945054944E-2</v>
      </c>
      <c r="P3584" s="495">
        <v>0.10073260073260074</v>
      </c>
      <c r="Q3584" s="495">
        <v>0.14652014652014653</v>
      </c>
      <c r="R3584" s="495">
        <v>0.1648</v>
      </c>
      <c r="S3584" s="495">
        <v>0.18310000000000001</v>
      </c>
      <c r="T3584" s="12" t="s">
        <v>7194</v>
      </c>
      <c r="U3584" t="str">
        <f>VLOOKUP(T3584,[8]Votes!$A$1:$E$234,3,FALSE)</f>
        <v>144 Uganda Police Force</v>
      </c>
      <c r="V3584" s="406" t="s">
        <v>13552</v>
      </c>
      <c r="W3584" s="407">
        <v>1</v>
      </c>
      <c r="X3584" s="407">
        <v>1</v>
      </c>
      <c r="Y3584" s="407">
        <v>1</v>
      </c>
      <c r="Z3584" s="407">
        <v>1</v>
      </c>
      <c r="AA3584" s="407">
        <v>0</v>
      </c>
      <c r="AB3584" s="407">
        <v>0</v>
      </c>
      <c r="AC3584" s="150">
        <v>0</v>
      </c>
      <c r="AD3584" s="150">
        <v>1</v>
      </c>
      <c r="AE3584" s="49">
        <f t="shared" si="134"/>
        <v>0.625</v>
      </c>
      <c r="AF3584" s="23">
        <v>1</v>
      </c>
      <c r="AG3584" s="17">
        <v>1</v>
      </c>
      <c r="AH3584" s="23">
        <v>200</v>
      </c>
      <c r="AI3584" s="23">
        <v>200</v>
      </c>
      <c r="AJ3584" s="23">
        <v>200</v>
      </c>
      <c r="AK3584" s="153">
        <v>18</v>
      </c>
      <c r="AL3584" s="153">
        <v>18</v>
      </c>
      <c r="AM3584" s="17">
        <f t="shared" si="135"/>
        <v>36</v>
      </c>
      <c r="AN3584" s="18" t="s">
        <v>7194</v>
      </c>
      <c r="AO3584" s="162" t="s">
        <v>7396</v>
      </c>
    </row>
    <row r="3585" spans="1:41" s="18" customFormat="1" x14ac:dyDescent="0.3">
      <c r="A3585" s="205" t="s">
        <v>8321</v>
      </c>
      <c r="B3585" s="162" t="s">
        <v>8322</v>
      </c>
      <c r="C3585" s="168" t="s">
        <v>13469</v>
      </c>
      <c r="D3585" s="406" t="s">
        <v>13544</v>
      </c>
      <c r="E3585" s="406" t="s">
        <v>13545</v>
      </c>
      <c r="F3585" s="406" t="s">
        <v>13546</v>
      </c>
      <c r="G3585" s="406">
        <v>163701</v>
      </c>
      <c r="H3585" s="406" t="s">
        <v>13547</v>
      </c>
      <c r="I3585" s="406"/>
      <c r="J3585" s="406"/>
      <c r="K3585" s="406">
        <v>16370101</v>
      </c>
      <c r="L3585" s="406" t="s">
        <v>13548</v>
      </c>
      <c r="M3585" s="406" t="s">
        <v>13352</v>
      </c>
      <c r="N3585" s="406"/>
      <c r="O3585" s="21">
        <v>0.2</v>
      </c>
      <c r="P3585" s="21">
        <v>0.55000000000000004</v>
      </c>
      <c r="Q3585" s="21">
        <v>0.76</v>
      </c>
      <c r="R3585" s="21">
        <v>0.77</v>
      </c>
      <c r="S3585" s="21">
        <v>0.79</v>
      </c>
      <c r="T3585" s="12" t="s">
        <v>7194</v>
      </c>
      <c r="U3585" t="str">
        <f>VLOOKUP(T3585,[8]Votes!$A$1:$E$234,3,FALSE)</f>
        <v>144 Uganda Police Force</v>
      </c>
      <c r="V3585" s="12" t="s">
        <v>13353</v>
      </c>
      <c r="W3585" s="407">
        <v>1</v>
      </c>
      <c r="X3585" s="407">
        <v>1</v>
      </c>
      <c r="Y3585" s="407">
        <v>1</v>
      </c>
      <c r="Z3585" s="407">
        <v>1</v>
      </c>
      <c r="AA3585" s="407">
        <v>0</v>
      </c>
      <c r="AB3585" s="407">
        <v>1</v>
      </c>
      <c r="AC3585" s="150">
        <v>0</v>
      </c>
      <c r="AD3585" s="150">
        <v>1</v>
      </c>
      <c r="AE3585" s="49">
        <f t="shared" si="134"/>
        <v>0.75</v>
      </c>
      <c r="AF3585" s="23">
        <v>1</v>
      </c>
      <c r="AG3585" s="17">
        <v>1</v>
      </c>
      <c r="AH3585" s="23">
        <v>320</v>
      </c>
      <c r="AI3585" s="23">
        <v>220</v>
      </c>
      <c r="AJ3585" s="23">
        <v>165</v>
      </c>
      <c r="AK3585" s="153">
        <v>20</v>
      </c>
      <c r="AL3585" s="165">
        <v>20</v>
      </c>
      <c r="AM3585" s="17">
        <f t="shared" si="135"/>
        <v>40</v>
      </c>
      <c r="AN3585" s="18" t="s">
        <v>7194</v>
      </c>
      <c r="AO3585" s="162" t="s">
        <v>7396</v>
      </c>
    </row>
    <row r="3586" spans="1:41" s="18" customFormat="1" x14ac:dyDescent="0.3">
      <c r="A3586" s="205" t="s">
        <v>8321</v>
      </c>
      <c r="B3586" s="162" t="s">
        <v>8322</v>
      </c>
      <c r="C3586" s="168" t="s">
        <v>13469</v>
      </c>
      <c r="D3586" s="406" t="s">
        <v>13544</v>
      </c>
      <c r="E3586" s="406" t="s">
        <v>13545</v>
      </c>
      <c r="F3586" s="406" t="s">
        <v>13546</v>
      </c>
      <c r="G3586" s="406">
        <v>163701</v>
      </c>
      <c r="H3586" s="406" t="s">
        <v>13547</v>
      </c>
      <c r="I3586" s="406"/>
      <c r="J3586" s="406"/>
      <c r="K3586" s="406">
        <v>16370101</v>
      </c>
      <c r="L3586" s="406" t="s">
        <v>13548</v>
      </c>
      <c r="M3586" s="406" t="s">
        <v>13553</v>
      </c>
      <c r="N3586" s="12">
        <v>8</v>
      </c>
      <c r="O3586" s="21">
        <v>15</v>
      </c>
      <c r="P3586" s="21">
        <v>15</v>
      </c>
      <c r="Q3586" s="21">
        <v>15</v>
      </c>
      <c r="R3586" s="21">
        <v>15</v>
      </c>
      <c r="S3586" s="21">
        <v>15</v>
      </c>
      <c r="T3586" s="12" t="s">
        <v>7194</v>
      </c>
      <c r="U3586" t="str">
        <f>VLOOKUP(T3586,[8]Votes!$A$1:$E$234,3,FALSE)</f>
        <v>144 Uganda Police Force</v>
      </c>
      <c r="V3586" s="12" t="s">
        <v>13554</v>
      </c>
      <c r="W3586" s="407">
        <v>1</v>
      </c>
      <c r="X3586" s="407">
        <v>1</v>
      </c>
      <c r="Y3586" s="407">
        <v>1</v>
      </c>
      <c r="Z3586" s="407">
        <v>1</v>
      </c>
      <c r="AA3586" s="407">
        <v>0</v>
      </c>
      <c r="AB3586" s="407">
        <v>0</v>
      </c>
      <c r="AC3586" s="150">
        <v>0</v>
      </c>
      <c r="AD3586" s="150">
        <v>1</v>
      </c>
      <c r="AE3586" s="49">
        <f t="shared" si="134"/>
        <v>0.625</v>
      </c>
      <c r="AF3586" s="23">
        <v>1</v>
      </c>
      <c r="AG3586" s="17">
        <v>1</v>
      </c>
      <c r="AH3586" s="23">
        <v>12</v>
      </c>
      <c r="AI3586" s="23">
        <v>12</v>
      </c>
      <c r="AJ3586" s="23">
        <v>12</v>
      </c>
      <c r="AK3586" s="153"/>
      <c r="AL3586" s="153"/>
      <c r="AM3586" s="17">
        <f t="shared" si="135"/>
        <v>0</v>
      </c>
      <c r="AN3586" s="18" t="s">
        <v>7194</v>
      </c>
      <c r="AO3586" s="162" t="s">
        <v>7396</v>
      </c>
    </row>
    <row r="3587" spans="1:41" s="18" customFormat="1" x14ac:dyDescent="0.3">
      <c r="A3587" s="205" t="s">
        <v>8321</v>
      </c>
      <c r="B3587" s="162" t="s">
        <v>8322</v>
      </c>
      <c r="C3587" s="168" t="s">
        <v>13469</v>
      </c>
      <c r="D3587" s="406" t="s">
        <v>13544</v>
      </c>
      <c r="E3587" s="406" t="s">
        <v>13545</v>
      </c>
      <c r="F3587" s="406" t="s">
        <v>13546</v>
      </c>
      <c r="G3587" s="406">
        <v>163701</v>
      </c>
      <c r="H3587" s="406" t="s">
        <v>13547</v>
      </c>
      <c r="I3587" s="406"/>
      <c r="J3587" s="406"/>
      <c r="K3587" s="406">
        <v>16370101</v>
      </c>
      <c r="L3587" s="406" t="s">
        <v>13548</v>
      </c>
      <c r="M3587" s="406" t="s">
        <v>13555</v>
      </c>
      <c r="N3587" s="406"/>
      <c r="O3587" s="21">
        <v>7</v>
      </c>
      <c r="P3587" s="21">
        <v>7</v>
      </c>
      <c r="Q3587" s="21">
        <v>7</v>
      </c>
      <c r="R3587" s="21">
        <v>3</v>
      </c>
      <c r="S3587" s="21">
        <v>3</v>
      </c>
      <c r="T3587" s="12" t="s">
        <v>7194</v>
      </c>
      <c r="U3587" t="str">
        <f>VLOOKUP(T3587,[8]Votes!$A$1:$E$234,3,FALSE)</f>
        <v>144 Uganda Police Force</v>
      </c>
      <c r="V3587" s="406" t="s">
        <v>13556</v>
      </c>
      <c r="W3587" s="407">
        <v>1</v>
      </c>
      <c r="X3587" s="407">
        <v>1</v>
      </c>
      <c r="Y3587" s="407">
        <v>1</v>
      </c>
      <c r="Z3587" s="407">
        <v>1</v>
      </c>
      <c r="AA3587" s="407">
        <v>0</v>
      </c>
      <c r="AB3587" s="407">
        <v>0</v>
      </c>
      <c r="AC3587" s="150">
        <v>0</v>
      </c>
      <c r="AD3587" s="150">
        <v>1</v>
      </c>
      <c r="AE3587" s="49">
        <f t="shared" si="134"/>
        <v>0.625</v>
      </c>
      <c r="AF3587" s="23">
        <v>1</v>
      </c>
      <c r="AG3587" s="17">
        <v>0</v>
      </c>
      <c r="AH3587" s="190">
        <v>0</v>
      </c>
      <c r="AI3587" s="23">
        <v>132.173</v>
      </c>
      <c r="AJ3587" s="23">
        <v>132.173</v>
      </c>
      <c r="AK3587" s="153">
        <v>20</v>
      </c>
      <c r="AL3587" s="153">
        <v>20</v>
      </c>
      <c r="AM3587" s="17">
        <f t="shared" si="135"/>
        <v>40</v>
      </c>
      <c r="AN3587" s="18" t="s">
        <v>7194</v>
      </c>
      <c r="AO3587" s="162" t="s">
        <v>7396</v>
      </c>
    </row>
    <row r="3588" spans="1:41" s="18" customFormat="1" x14ac:dyDescent="0.3">
      <c r="A3588" s="205" t="s">
        <v>8321</v>
      </c>
      <c r="B3588" s="162" t="s">
        <v>8322</v>
      </c>
      <c r="C3588" s="168" t="s">
        <v>13469</v>
      </c>
      <c r="D3588" s="406" t="s">
        <v>13544</v>
      </c>
      <c r="E3588" s="406" t="s">
        <v>13545</v>
      </c>
      <c r="F3588" s="406" t="s">
        <v>13546</v>
      </c>
      <c r="G3588" s="406">
        <v>163702</v>
      </c>
      <c r="H3588" s="406" t="s">
        <v>13557</v>
      </c>
      <c r="I3588" s="406"/>
      <c r="J3588" s="406"/>
      <c r="K3588" s="406">
        <v>16370201</v>
      </c>
      <c r="L3588" s="406" t="s">
        <v>13558</v>
      </c>
      <c r="M3588" s="406" t="s">
        <v>13559</v>
      </c>
      <c r="N3588" s="12">
        <v>551</v>
      </c>
      <c r="O3588" s="21">
        <v>524.57000000000005</v>
      </c>
      <c r="P3588" s="21">
        <v>476</v>
      </c>
      <c r="Q3588" s="21">
        <v>434</v>
      </c>
      <c r="R3588" s="21">
        <v>400</v>
      </c>
      <c r="S3588" s="21">
        <v>372</v>
      </c>
      <c r="T3588" s="12" t="s">
        <v>7194</v>
      </c>
      <c r="U3588" t="str">
        <f>VLOOKUP(T3588,[8]Votes!$A$1:$E$234,3,FALSE)</f>
        <v>144 Uganda Police Force</v>
      </c>
      <c r="V3588" s="406" t="s">
        <v>13560</v>
      </c>
      <c r="W3588" s="388">
        <v>1</v>
      </c>
      <c r="X3588" s="388">
        <v>1</v>
      </c>
      <c r="Y3588" s="388">
        <v>1</v>
      </c>
      <c r="Z3588" s="388">
        <v>1</v>
      </c>
      <c r="AA3588" s="388">
        <v>0</v>
      </c>
      <c r="AB3588" s="388">
        <v>0</v>
      </c>
      <c r="AC3588" s="150">
        <v>1</v>
      </c>
      <c r="AD3588" s="150">
        <v>1</v>
      </c>
      <c r="AE3588" s="49">
        <f t="shared" si="134"/>
        <v>0.75</v>
      </c>
      <c r="AF3588" s="496">
        <v>1</v>
      </c>
      <c r="AG3588" s="17">
        <v>0</v>
      </c>
      <c r="AH3588" s="496">
        <v>220.535</v>
      </c>
      <c r="AI3588" s="496">
        <v>220.535</v>
      </c>
      <c r="AJ3588" s="496">
        <v>220.535</v>
      </c>
      <c r="AK3588" s="497">
        <v>40</v>
      </c>
      <c r="AL3588" s="497">
        <v>40</v>
      </c>
      <c r="AM3588" s="17">
        <f t="shared" si="135"/>
        <v>80</v>
      </c>
      <c r="AN3588" s="18" t="s">
        <v>7194</v>
      </c>
      <c r="AO3588" s="162" t="s">
        <v>7396</v>
      </c>
    </row>
    <row r="3589" spans="1:41" s="18" customFormat="1" x14ac:dyDescent="0.3">
      <c r="A3589" s="205" t="s">
        <v>8321</v>
      </c>
      <c r="B3589" s="162" t="s">
        <v>8322</v>
      </c>
      <c r="C3589" s="168" t="s">
        <v>13469</v>
      </c>
      <c r="D3589" s="406" t="s">
        <v>13544</v>
      </c>
      <c r="E3589" s="406" t="s">
        <v>13545</v>
      </c>
      <c r="F3589" s="406" t="s">
        <v>13546</v>
      </c>
      <c r="G3589" s="406">
        <v>163702</v>
      </c>
      <c r="H3589" s="406" t="s">
        <v>13557</v>
      </c>
      <c r="I3589" s="406"/>
      <c r="J3589" s="406"/>
      <c r="K3589" s="406">
        <v>16370201</v>
      </c>
      <c r="L3589" s="406" t="s">
        <v>13558</v>
      </c>
      <c r="M3589" s="406" t="s">
        <v>13561</v>
      </c>
      <c r="N3589" s="406"/>
      <c r="O3589" s="495">
        <v>6.9900000000000004E-2</v>
      </c>
      <c r="P3589" s="495">
        <v>6.3899999999999998E-2</v>
      </c>
      <c r="Q3589" s="495">
        <v>5.9700000000000003E-2</v>
      </c>
      <c r="R3589" s="495">
        <v>4.9799999999999997E-2</v>
      </c>
      <c r="S3589" s="495">
        <v>4.1599999999999998E-2</v>
      </c>
      <c r="T3589" s="12" t="s">
        <v>7194</v>
      </c>
      <c r="U3589" t="str">
        <f>VLOOKUP(T3589,[8]Votes!$A$1:$E$234,3,FALSE)</f>
        <v>144 Uganda Police Force</v>
      </c>
      <c r="V3589" s="406" t="s">
        <v>13562</v>
      </c>
      <c r="W3589" s="388">
        <v>1</v>
      </c>
      <c r="X3589" s="388">
        <v>1</v>
      </c>
      <c r="Y3589" s="388">
        <v>1</v>
      </c>
      <c r="Z3589" s="388">
        <v>1</v>
      </c>
      <c r="AA3589" s="388">
        <v>0</v>
      </c>
      <c r="AB3589" s="388">
        <v>0</v>
      </c>
      <c r="AC3589" s="150">
        <v>1</v>
      </c>
      <c r="AD3589" s="150">
        <v>1</v>
      </c>
      <c r="AE3589" s="49">
        <f t="shared" si="134"/>
        <v>0.75</v>
      </c>
      <c r="AF3589" s="496">
        <v>1</v>
      </c>
      <c r="AG3589" s="17">
        <v>0</v>
      </c>
      <c r="AH3589" s="401">
        <v>102.81</v>
      </c>
      <c r="AI3589" s="401">
        <v>96.24</v>
      </c>
      <c r="AJ3589" s="401">
        <v>90.49</v>
      </c>
      <c r="AK3589" s="498">
        <v>5</v>
      </c>
      <c r="AL3589" s="498">
        <v>5</v>
      </c>
      <c r="AM3589" s="17">
        <f t="shared" si="135"/>
        <v>10</v>
      </c>
      <c r="AN3589" s="18" t="s">
        <v>7194</v>
      </c>
      <c r="AO3589" s="162" t="s">
        <v>7396</v>
      </c>
    </row>
    <row r="3590" spans="1:41" s="18" customFormat="1" x14ac:dyDescent="0.3">
      <c r="A3590" s="205" t="s">
        <v>8321</v>
      </c>
      <c r="B3590" s="162" t="s">
        <v>8322</v>
      </c>
      <c r="C3590" s="168" t="s">
        <v>13469</v>
      </c>
      <c r="D3590" s="406" t="s">
        <v>13544</v>
      </c>
      <c r="E3590" s="406" t="s">
        <v>13545</v>
      </c>
      <c r="F3590" s="406" t="s">
        <v>13546</v>
      </c>
      <c r="G3590" s="406">
        <v>163702</v>
      </c>
      <c r="H3590" s="406" t="s">
        <v>13557</v>
      </c>
      <c r="I3590" s="406"/>
      <c r="J3590" s="406"/>
      <c r="K3590" s="406">
        <v>16370202</v>
      </c>
      <c r="L3590" s="406" t="s">
        <v>13563</v>
      </c>
      <c r="M3590" s="406" t="s">
        <v>13564</v>
      </c>
      <c r="N3590" s="406"/>
      <c r="O3590" s="21">
        <v>42.33</v>
      </c>
      <c r="P3590" s="21">
        <v>42.33</v>
      </c>
      <c r="Q3590" s="21">
        <v>42.33</v>
      </c>
      <c r="R3590" s="21">
        <v>42.33</v>
      </c>
      <c r="S3590" s="21">
        <v>42.33</v>
      </c>
      <c r="T3590" s="12" t="s">
        <v>7194</v>
      </c>
      <c r="U3590" t="str">
        <f>VLOOKUP(T3590,[8]Votes!$A$1:$E$234,3,FALSE)</f>
        <v>144 Uganda Police Force</v>
      </c>
      <c r="V3590" s="406" t="s">
        <v>13565</v>
      </c>
      <c r="W3590" s="388">
        <v>1</v>
      </c>
      <c r="X3590" s="388">
        <v>1</v>
      </c>
      <c r="Y3590" s="388">
        <v>1</v>
      </c>
      <c r="Z3590" s="388">
        <v>1</v>
      </c>
      <c r="AA3590" s="388">
        <v>0</v>
      </c>
      <c r="AB3590" s="388">
        <v>0</v>
      </c>
      <c r="AC3590" s="150">
        <v>1</v>
      </c>
      <c r="AD3590" s="150">
        <v>1</v>
      </c>
      <c r="AE3590" s="49">
        <f t="shared" si="134"/>
        <v>0.75</v>
      </c>
      <c r="AF3590" s="496">
        <v>1</v>
      </c>
      <c r="AG3590" s="17">
        <v>0</v>
      </c>
      <c r="AH3590" s="23">
        <v>18.300999999999998</v>
      </c>
      <c r="AI3590" s="23">
        <v>18.300999999999998</v>
      </c>
      <c r="AJ3590" s="23">
        <v>18.300999999999998</v>
      </c>
      <c r="AK3590" s="153">
        <v>10</v>
      </c>
      <c r="AL3590" s="153">
        <v>10</v>
      </c>
      <c r="AM3590" s="17">
        <f t="shared" si="135"/>
        <v>20</v>
      </c>
      <c r="AN3590" s="18" t="s">
        <v>7194</v>
      </c>
      <c r="AO3590" s="162" t="s">
        <v>7396</v>
      </c>
    </row>
    <row r="3591" spans="1:41" s="18" customFormat="1" x14ac:dyDescent="0.3">
      <c r="A3591" s="205" t="s">
        <v>8321</v>
      </c>
      <c r="B3591" s="162" t="s">
        <v>8322</v>
      </c>
      <c r="C3591" s="168" t="s">
        <v>13469</v>
      </c>
      <c r="D3591" s="406" t="s">
        <v>13544</v>
      </c>
      <c r="E3591" s="406" t="s">
        <v>13545</v>
      </c>
      <c r="F3591" s="406" t="s">
        <v>13546</v>
      </c>
      <c r="G3591" s="406">
        <v>163702</v>
      </c>
      <c r="H3591" s="406" t="s">
        <v>13557</v>
      </c>
      <c r="I3591" s="406"/>
      <c r="J3591" s="406"/>
      <c r="K3591" s="406">
        <v>16370203</v>
      </c>
      <c r="L3591" s="406" t="s">
        <v>13566</v>
      </c>
      <c r="M3591" s="406" t="s">
        <v>13567</v>
      </c>
      <c r="N3591" s="168">
        <v>0.25</v>
      </c>
      <c r="O3591" s="189">
        <v>0.25</v>
      </c>
      <c r="P3591" s="189">
        <v>0.25</v>
      </c>
      <c r="Q3591" s="189">
        <v>0.25</v>
      </c>
      <c r="R3591" s="189">
        <v>0.25</v>
      </c>
      <c r="S3591" s="189">
        <v>0.25</v>
      </c>
      <c r="T3591" s="12" t="s">
        <v>7194</v>
      </c>
      <c r="U3591" t="str">
        <f>VLOOKUP(T3591,[8]Votes!$A$1:$E$234,3,FALSE)</f>
        <v>144 Uganda Police Force</v>
      </c>
      <c r="V3591" s="406" t="s">
        <v>13568</v>
      </c>
      <c r="W3591" s="388">
        <v>1</v>
      </c>
      <c r="X3591" s="388">
        <v>1</v>
      </c>
      <c r="Y3591" s="388">
        <v>1</v>
      </c>
      <c r="Z3591" s="388">
        <v>1</v>
      </c>
      <c r="AA3591" s="388">
        <v>0</v>
      </c>
      <c r="AB3591" s="388">
        <v>0</v>
      </c>
      <c r="AC3591" s="150">
        <v>1</v>
      </c>
      <c r="AD3591" s="150">
        <v>1</v>
      </c>
      <c r="AE3591" s="49">
        <f t="shared" si="134"/>
        <v>0.75</v>
      </c>
      <c r="AF3591" s="496">
        <v>1</v>
      </c>
      <c r="AG3591" s="17">
        <v>0</v>
      </c>
      <c r="AH3591" s="190">
        <v>27.465</v>
      </c>
      <c r="AI3591" s="190">
        <v>27.465</v>
      </c>
      <c r="AJ3591" s="190">
        <v>27.465</v>
      </c>
      <c r="AK3591" s="191">
        <v>2</v>
      </c>
      <c r="AL3591" s="191">
        <v>2</v>
      </c>
      <c r="AM3591" s="17">
        <f t="shared" si="135"/>
        <v>4</v>
      </c>
      <c r="AN3591" s="18" t="s">
        <v>7194</v>
      </c>
      <c r="AO3591" s="162" t="s">
        <v>7396</v>
      </c>
    </row>
    <row r="3592" spans="1:41" s="18" customFormat="1" x14ac:dyDescent="0.3">
      <c r="A3592" s="205" t="s">
        <v>8321</v>
      </c>
      <c r="B3592" s="162" t="s">
        <v>8322</v>
      </c>
      <c r="C3592" s="168" t="s">
        <v>13469</v>
      </c>
      <c r="D3592" s="406" t="s">
        <v>13544</v>
      </c>
      <c r="E3592" s="406" t="s">
        <v>13545</v>
      </c>
      <c r="F3592" s="406" t="s">
        <v>13546</v>
      </c>
      <c r="G3592" s="406">
        <v>163702</v>
      </c>
      <c r="H3592" s="406" t="s">
        <v>13557</v>
      </c>
      <c r="I3592" s="406"/>
      <c r="J3592" s="406"/>
      <c r="K3592" s="406">
        <v>16370204</v>
      </c>
      <c r="L3592" s="406" t="s">
        <v>13569</v>
      </c>
      <c r="M3592" s="406" t="s">
        <v>13570</v>
      </c>
      <c r="N3592" s="499">
        <v>7.0833333333333331E-2</v>
      </c>
      <c r="O3592" s="500">
        <v>6.8749999999999992E-2</v>
      </c>
      <c r="P3592" s="500">
        <v>6.6666666666666666E-2</v>
      </c>
      <c r="Q3592" s="500">
        <v>6.3888888888888884E-2</v>
      </c>
      <c r="R3592" s="500">
        <v>6.1805555555555558E-2</v>
      </c>
      <c r="S3592" s="500">
        <v>5.9027777777777783E-2</v>
      </c>
      <c r="T3592" s="12" t="s">
        <v>7194</v>
      </c>
      <c r="U3592" t="str">
        <f>VLOOKUP(T3592,[8]Votes!$A$1:$E$234,3,FALSE)</f>
        <v>144 Uganda Police Force</v>
      </c>
      <c r="V3592" s="406" t="s">
        <v>13571</v>
      </c>
      <c r="W3592" s="388">
        <v>1</v>
      </c>
      <c r="X3592" s="388">
        <v>1</v>
      </c>
      <c r="Y3592" s="388">
        <v>1</v>
      </c>
      <c r="Z3592" s="388">
        <v>1</v>
      </c>
      <c r="AA3592" s="388">
        <v>0</v>
      </c>
      <c r="AB3592" s="388">
        <v>0</v>
      </c>
      <c r="AC3592" s="150">
        <v>1</v>
      </c>
      <c r="AD3592" s="150">
        <v>1</v>
      </c>
      <c r="AE3592" s="49">
        <f t="shared" si="134"/>
        <v>0.75</v>
      </c>
      <c r="AF3592" s="496">
        <v>1</v>
      </c>
      <c r="AG3592" s="17">
        <v>0</v>
      </c>
      <c r="AH3592" s="401">
        <v>2.2309999999999999</v>
      </c>
      <c r="AI3592" s="401">
        <v>1.7749999999999999</v>
      </c>
      <c r="AJ3592" s="401">
        <v>2.2330000000000001</v>
      </c>
      <c r="AK3592" s="498">
        <v>2.8559999999999999</v>
      </c>
      <c r="AL3592" s="498">
        <v>1.0880000000000001</v>
      </c>
      <c r="AM3592" s="17">
        <f t="shared" si="135"/>
        <v>3.944</v>
      </c>
      <c r="AN3592" s="18" t="s">
        <v>7194</v>
      </c>
      <c r="AO3592" s="162" t="s">
        <v>7396</v>
      </c>
    </row>
    <row r="3593" spans="1:41" s="18" customFormat="1" x14ac:dyDescent="0.3">
      <c r="A3593" s="205" t="s">
        <v>8321</v>
      </c>
      <c r="B3593" s="162" t="s">
        <v>8322</v>
      </c>
      <c r="C3593" s="168" t="s">
        <v>13469</v>
      </c>
      <c r="D3593" s="406" t="s">
        <v>13544</v>
      </c>
      <c r="E3593" s="406" t="s">
        <v>13545</v>
      </c>
      <c r="F3593" s="406" t="s">
        <v>13546</v>
      </c>
      <c r="G3593" s="406">
        <v>163702</v>
      </c>
      <c r="H3593" s="406" t="s">
        <v>13557</v>
      </c>
      <c r="I3593" s="406"/>
      <c r="J3593" s="406"/>
      <c r="K3593" s="406">
        <v>16370205</v>
      </c>
      <c r="L3593" s="406" t="s">
        <v>13572</v>
      </c>
      <c r="M3593" s="406" t="s">
        <v>13573</v>
      </c>
      <c r="N3593" s="40">
        <v>0.4303030303030303</v>
      </c>
      <c r="O3593" s="40">
        <v>0.52121212121212124</v>
      </c>
      <c r="P3593" s="40">
        <v>0.64242424242424245</v>
      </c>
      <c r="Q3593" s="40">
        <v>0.76363636363636367</v>
      </c>
      <c r="R3593" s="40">
        <v>0.88484848484848488</v>
      </c>
      <c r="S3593" s="40">
        <v>0.9939393939393939</v>
      </c>
      <c r="T3593" s="12" t="s">
        <v>7194</v>
      </c>
      <c r="U3593" t="str">
        <f>VLOOKUP(T3593,[8]Votes!$A$1:$E$234,3,FALSE)</f>
        <v>144 Uganda Police Force</v>
      </c>
      <c r="V3593" s="406" t="s">
        <v>13574</v>
      </c>
      <c r="W3593" s="388">
        <v>1</v>
      </c>
      <c r="X3593" s="388">
        <v>1</v>
      </c>
      <c r="Y3593" s="388">
        <v>1</v>
      </c>
      <c r="Z3593" s="388">
        <v>1</v>
      </c>
      <c r="AA3593" s="388">
        <v>0</v>
      </c>
      <c r="AB3593" s="388">
        <v>0</v>
      </c>
      <c r="AC3593" s="150">
        <v>1</v>
      </c>
      <c r="AD3593" s="150">
        <v>1</v>
      </c>
      <c r="AE3593" s="49">
        <f t="shared" si="134"/>
        <v>0.75</v>
      </c>
      <c r="AF3593" s="496">
        <v>1</v>
      </c>
      <c r="AG3593" s="17">
        <v>0</v>
      </c>
      <c r="AH3593" s="401">
        <v>18.8</v>
      </c>
      <c r="AI3593" s="401">
        <v>18.8</v>
      </c>
      <c r="AJ3593" s="401">
        <v>18.8</v>
      </c>
      <c r="AK3593" s="498">
        <v>18.8</v>
      </c>
      <c r="AL3593" s="498">
        <v>18.8</v>
      </c>
      <c r="AM3593" s="17">
        <f t="shared" si="135"/>
        <v>37.6</v>
      </c>
      <c r="AN3593" s="18" t="s">
        <v>7194</v>
      </c>
      <c r="AO3593" s="162" t="s">
        <v>7396</v>
      </c>
    </row>
    <row r="3594" spans="1:41" s="18" customFormat="1" x14ac:dyDescent="0.3">
      <c r="A3594" s="205" t="s">
        <v>8321</v>
      </c>
      <c r="B3594" s="162" t="s">
        <v>8322</v>
      </c>
      <c r="C3594" s="168" t="s">
        <v>13469</v>
      </c>
      <c r="D3594" s="406" t="s">
        <v>13544</v>
      </c>
      <c r="E3594" s="406" t="s">
        <v>13545</v>
      </c>
      <c r="F3594" s="406" t="s">
        <v>13546</v>
      </c>
      <c r="G3594" s="406">
        <v>163702</v>
      </c>
      <c r="H3594" s="406" t="s">
        <v>13557</v>
      </c>
      <c r="I3594" s="406"/>
      <c r="J3594" s="406"/>
      <c r="K3594" s="406">
        <v>16370206</v>
      </c>
      <c r="L3594" s="406" t="s">
        <v>13575</v>
      </c>
      <c r="M3594" s="406" t="s">
        <v>13576</v>
      </c>
      <c r="N3594" s="438">
        <v>0.56000000000000005</v>
      </c>
      <c r="O3594" s="40">
        <v>0.65</v>
      </c>
      <c r="P3594" s="40">
        <v>0.85</v>
      </c>
      <c r="Q3594" s="21">
        <v>90</v>
      </c>
      <c r="R3594" s="21">
        <v>95</v>
      </c>
      <c r="S3594" s="21">
        <v>100</v>
      </c>
      <c r="T3594" s="12" t="s">
        <v>7194</v>
      </c>
      <c r="U3594" t="str">
        <f>VLOOKUP(T3594,[8]Votes!$A$1:$E$234,3,FALSE)</f>
        <v>144 Uganda Police Force</v>
      </c>
      <c r="V3594" s="12" t="s">
        <v>13577</v>
      </c>
      <c r="W3594" s="388">
        <v>1</v>
      </c>
      <c r="X3594" s="388">
        <v>1</v>
      </c>
      <c r="Y3594" s="388">
        <v>1</v>
      </c>
      <c r="Z3594" s="388">
        <v>1</v>
      </c>
      <c r="AA3594" s="388">
        <v>0</v>
      </c>
      <c r="AB3594" s="388">
        <v>0</v>
      </c>
      <c r="AC3594" s="150">
        <v>1</v>
      </c>
      <c r="AD3594" s="150">
        <v>1</v>
      </c>
      <c r="AE3594" s="49">
        <f t="shared" si="134"/>
        <v>0.75</v>
      </c>
      <c r="AF3594" s="496">
        <v>1</v>
      </c>
      <c r="AG3594" s="17">
        <v>0</v>
      </c>
      <c r="AH3594" s="23">
        <v>43.204000000000001</v>
      </c>
      <c r="AI3594" s="23">
        <v>55.106000000000002</v>
      </c>
      <c r="AJ3594" s="23">
        <v>55.106000000000002</v>
      </c>
      <c r="AK3594" s="153">
        <v>55.106000000000002</v>
      </c>
      <c r="AL3594" s="153">
        <v>55.106000000000002</v>
      </c>
      <c r="AM3594" s="17">
        <f t="shared" si="135"/>
        <v>110.212</v>
      </c>
      <c r="AN3594" s="18" t="s">
        <v>7194</v>
      </c>
      <c r="AO3594" s="162" t="s">
        <v>7396</v>
      </c>
    </row>
    <row r="3595" spans="1:41" s="18" customFormat="1" x14ac:dyDescent="0.3">
      <c r="A3595" s="205" t="s">
        <v>8321</v>
      </c>
      <c r="B3595" s="162" t="s">
        <v>8322</v>
      </c>
      <c r="C3595" s="168" t="s">
        <v>13469</v>
      </c>
      <c r="D3595" s="406" t="s">
        <v>13544</v>
      </c>
      <c r="E3595" s="406" t="s">
        <v>13545</v>
      </c>
      <c r="F3595" s="406" t="s">
        <v>13546</v>
      </c>
      <c r="G3595" s="406">
        <v>163702</v>
      </c>
      <c r="H3595" s="406" t="s">
        <v>13557</v>
      </c>
      <c r="I3595" s="406"/>
      <c r="J3595" s="406"/>
      <c r="K3595" s="406">
        <v>16370207</v>
      </c>
      <c r="L3595" s="406" t="s">
        <v>13578</v>
      </c>
      <c r="M3595" s="406" t="s">
        <v>13579</v>
      </c>
      <c r="N3595" s="406"/>
      <c r="O3595" s="21">
        <v>42</v>
      </c>
      <c r="P3595" s="21">
        <v>80</v>
      </c>
      <c r="Q3595" s="21">
        <v>125</v>
      </c>
      <c r="R3595" s="21">
        <v>172</v>
      </c>
      <c r="S3595" s="21">
        <v>200</v>
      </c>
      <c r="T3595" s="12" t="s">
        <v>7194</v>
      </c>
      <c r="U3595" t="str">
        <f>VLOOKUP(T3595,[8]Votes!$A$1:$E$234,3,FALSE)</f>
        <v>144 Uganda Police Force</v>
      </c>
      <c r="V3595" s="12" t="s">
        <v>13580</v>
      </c>
      <c r="W3595" s="388">
        <v>1</v>
      </c>
      <c r="X3595" s="388">
        <v>1</v>
      </c>
      <c r="Y3595" s="388">
        <v>1</v>
      </c>
      <c r="Z3595" s="388">
        <v>1</v>
      </c>
      <c r="AA3595" s="388">
        <v>0</v>
      </c>
      <c r="AB3595" s="388">
        <v>0</v>
      </c>
      <c r="AC3595" s="150">
        <v>1</v>
      </c>
      <c r="AD3595" s="150">
        <v>1</v>
      </c>
      <c r="AE3595" s="49">
        <f t="shared" si="134"/>
        <v>0.75</v>
      </c>
      <c r="AF3595" s="496">
        <v>1</v>
      </c>
      <c r="AG3595" s="17">
        <v>0</v>
      </c>
      <c r="AH3595" s="23">
        <v>9.66</v>
      </c>
      <c r="AI3595" s="23">
        <v>9.66</v>
      </c>
      <c r="AJ3595" s="23">
        <v>9.66</v>
      </c>
      <c r="AK3595" s="153">
        <v>9.66</v>
      </c>
      <c r="AL3595" s="153">
        <v>9.66</v>
      </c>
      <c r="AM3595" s="17">
        <f t="shared" si="135"/>
        <v>19.32</v>
      </c>
      <c r="AN3595" s="18" t="s">
        <v>7194</v>
      </c>
      <c r="AO3595" s="162" t="s">
        <v>7396</v>
      </c>
    </row>
    <row r="3596" spans="1:41" s="18" customFormat="1" x14ac:dyDescent="0.3">
      <c r="A3596" s="205" t="s">
        <v>8321</v>
      </c>
      <c r="B3596" s="162" t="s">
        <v>8322</v>
      </c>
      <c r="C3596" s="168" t="s">
        <v>13469</v>
      </c>
      <c r="D3596" s="406" t="s">
        <v>13544</v>
      </c>
      <c r="E3596" s="406" t="s">
        <v>13545</v>
      </c>
      <c r="F3596" s="406" t="s">
        <v>13546</v>
      </c>
      <c r="G3596" s="406">
        <v>163702</v>
      </c>
      <c r="H3596" s="406" t="s">
        <v>13557</v>
      </c>
      <c r="I3596" s="406"/>
      <c r="J3596" s="406"/>
      <c r="K3596" s="406">
        <v>16370208</v>
      </c>
      <c r="L3596" s="406" t="s">
        <v>13581</v>
      </c>
      <c r="M3596" s="168" t="s">
        <v>13582</v>
      </c>
      <c r="N3596" s="467">
        <v>0.62</v>
      </c>
      <c r="O3596" s="413">
        <v>0.65</v>
      </c>
      <c r="P3596" s="413">
        <v>0.72</v>
      </c>
      <c r="Q3596" s="413">
        <v>0.86</v>
      </c>
      <c r="R3596" s="413">
        <v>0.75</v>
      </c>
      <c r="S3596" s="413">
        <v>0.75</v>
      </c>
      <c r="T3596" s="12" t="s">
        <v>7194</v>
      </c>
      <c r="U3596" t="str">
        <f>VLOOKUP(T3596,[8]Votes!$A$1:$E$234,3,FALSE)</f>
        <v>144 Uganda Police Force</v>
      </c>
      <c r="V3596" s="406" t="s">
        <v>13583</v>
      </c>
      <c r="W3596" s="388">
        <v>1</v>
      </c>
      <c r="X3596" s="388">
        <v>1</v>
      </c>
      <c r="Y3596" s="388">
        <v>1</v>
      </c>
      <c r="Z3596" s="388">
        <v>1</v>
      </c>
      <c r="AA3596" s="388">
        <v>0</v>
      </c>
      <c r="AB3596" s="388">
        <v>0</v>
      </c>
      <c r="AC3596" s="150">
        <v>1</v>
      </c>
      <c r="AD3596" s="150">
        <v>1</v>
      </c>
      <c r="AE3596" s="49">
        <f t="shared" si="134"/>
        <v>0.75</v>
      </c>
      <c r="AF3596" s="496">
        <v>1</v>
      </c>
      <c r="AG3596" s="17">
        <v>0</v>
      </c>
      <c r="AH3596" s="190">
        <v>25.881</v>
      </c>
      <c r="AI3596" s="190">
        <v>25.881</v>
      </c>
      <c r="AJ3596" s="190">
        <v>25.881</v>
      </c>
      <c r="AK3596" s="191">
        <v>0</v>
      </c>
      <c r="AL3596" s="191">
        <v>0</v>
      </c>
      <c r="AM3596" s="17">
        <f t="shared" si="135"/>
        <v>0</v>
      </c>
      <c r="AN3596" s="18" t="s">
        <v>7194</v>
      </c>
      <c r="AO3596" s="162" t="s">
        <v>7396</v>
      </c>
    </row>
    <row r="3597" spans="1:41" s="18" customFormat="1" x14ac:dyDescent="0.3">
      <c r="A3597" s="205" t="s">
        <v>8321</v>
      </c>
      <c r="B3597" s="162" t="s">
        <v>8322</v>
      </c>
      <c r="C3597" s="168" t="s">
        <v>13469</v>
      </c>
      <c r="D3597" s="406" t="s">
        <v>13544</v>
      </c>
      <c r="E3597" s="406" t="s">
        <v>13545</v>
      </c>
      <c r="F3597" s="406" t="s">
        <v>13546</v>
      </c>
      <c r="G3597" s="406">
        <v>163703</v>
      </c>
      <c r="H3597" s="406" t="s">
        <v>13584</v>
      </c>
      <c r="I3597" s="406"/>
      <c r="J3597" s="406"/>
      <c r="K3597" s="406">
        <v>16370301</v>
      </c>
      <c r="L3597" s="406" t="s">
        <v>13585</v>
      </c>
      <c r="M3597" s="406" t="s">
        <v>13586</v>
      </c>
      <c r="N3597" s="406"/>
      <c r="O3597" s="21">
        <v>1</v>
      </c>
      <c r="P3597" s="21">
        <v>1</v>
      </c>
      <c r="Q3597" s="21">
        <v>1</v>
      </c>
      <c r="R3597" s="21">
        <v>1</v>
      </c>
      <c r="S3597" s="21">
        <v>1</v>
      </c>
      <c r="T3597" s="12" t="s">
        <v>7194</v>
      </c>
      <c r="U3597" t="str">
        <f>VLOOKUP(T3597,[8]Votes!$A$1:$E$234,3,FALSE)</f>
        <v>144 Uganda Police Force</v>
      </c>
      <c r="V3597" s="406" t="s">
        <v>13587</v>
      </c>
      <c r="W3597" s="388">
        <v>1</v>
      </c>
      <c r="X3597" s="388">
        <v>1</v>
      </c>
      <c r="Y3597" s="388">
        <v>1</v>
      </c>
      <c r="Z3597" s="388">
        <v>1</v>
      </c>
      <c r="AA3597" s="388">
        <v>1</v>
      </c>
      <c r="AB3597" s="388">
        <v>1</v>
      </c>
      <c r="AC3597" s="150">
        <v>1</v>
      </c>
      <c r="AD3597" s="150">
        <v>0</v>
      </c>
      <c r="AE3597" s="49">
        <f t="shared" si="134"/>
        <v>0.875</v>
      </c>
      <c r="AF3597" s="23">
        <v>1</v>
      </c>
      <c r="AG3597" s="17">
        <v>0</v>
      </c>
      <c r="AH3597" s="23">
        <v>18.8</v>
      </c>
      <c r="AI3597" s="23">
        <v>18.8</v>
      </c>
      <c r="AJ3597" s="23">
        <v>18.8</v>
      </c>
      <c r="AK3597" s="153">
        <v>18.8</v>
      </c>
      <c r="AL3597" s="165">
        <v>18.8</v>
      </c>
      <c r="AM3597" s="17">
        <f t="shared" si="135"/>
        <v>37.6</v>
      </c>
      <c r="AN3597" s="18" t="s">
        <v>7194</v>
      </c>
      <c r="AO3597" s="162" t="s">
        <v>7396</v>
      </c>
    </row>
    <row r="3598" spans="1:41" s="18" customFormat="1" x14ac:dyDescent="0.3">
      <c r="A3598" s="205" t="s">
        <v>8321</v>
      </c>
      <c r="B3598" s="162" t="s">
        <v>8322</v>
      </c>
      <c r="C3598" s="168" t="s">
        <v>13469</v>
      </c>
      <c r="D3598" s="406" t="s">
        <v>13544</v>
      </c>
      <c r="E3598" s="406" t="s">
        <v>13545</v>
      </c>
      <c r="F3598" s="406" t="s">
        <v>13546</v>
      </c>
      <c r="G3598" s="406">
        <v>163703</v>
      </c>
      <c r="H3598" s="406" t="s">
        <v>13584</v>
      </c>
      <c r="I3598" s="406"/>
      <c r="J3598" s="406"/>
      <c r="K3598" s="406">
        <v>16370301</v>
      </c>
      <c r="L3598" s="406" t="s">
        <v>13585</v>
      </c>
      <c r="M3598" s="406" t="s">
        <v>13586</v>
      </c>
      <c r="N3598" s="406"/>
      <c r="O3598" s="21">
        <v>1</v>
      </c>
      <c r="P3598" s="21">
        <v>1</v>
      </c>
      <c r="Q3598" s="21">
        <v>1</v>
      </c>
      <c r="R3598" s="21">
        <v>1</v>
      </c>
      <c r="S3598" s="21">
        <v>1</v>
      </c>
      <c r="T3598" s="12" t="s">
        <v>7194</v>
      </c>
      <c r="U3598" t="str">
        <f>VLOOKUP(T3598,[8]Votes!$A$1:$E$234,3,FALSE)</f>
        <v>144 Uganda Police Force</v>
      </c>
      <c r="V3598" s="406" t="s">
        <v>13588</v>
      </c>
      <c r="W3598" s="388">
        <v>1</v>
      </c>
      <c r="X3598" s="388">
        <v>0</v>
      </c>
      <c r="Y3598" s="388">
        <v>0</v>
      </c>
      <c r="Z3598" s="388">
        <v>1</v>
      </c>
      <c r="AA3598" s="388">
        <v>1</v>
      </c>
      <c r="AB3598" s="388">
        <v>0</v>
      </c>
      <c r="AC3598" s="150">
        <v>0</v>
      </c>
      <c r="AD3598" s="150">
        <v>0</v>
      </c>
      <c r="AE3598" s="49">
        <f t="shared" si="134"/>
        <v>0.375</v>
      </c>
      <c r="AF3598" s="23"/>
      <c r="AG3598" s="17">
        <v>0</v>
      </c>
      <c r="AH3598" s="23">
        <v>1.87</v>
      </c>
      <c r="AI3598" s="23">
        <v>1.94</v>
      </c>
      <c r="AJ3598" s="23">
        <v>1.88</v>
      </c>
      <c r="AK3598" s="153">
        <v>1.84</v>
      </c>
      <c r="AL3598" s="165">
        <v>1.86</v>
      </c>
      <c r="AM3598" s="17">
        <f t="shared" si="135"/>
        <v>3.7</v>
      </c>
      <c r="AN3598" s="18" t="s">
        <v>7194</v>
      </c>
      <c r="AO3598" s="162" t="s">
        <v>7396</v>
      </c>
    </row>
    <row r="3599" spans="1:41" s="18" customFormat="1" x14ac:dyDescent="0.3">
      <c r="A3599" s="205" t="s">
        <v>8321</v>
      </c>
      <c r="B3599" s="162" t="s">
        <v>8322</v>
      </c>
      <c r="C3599" s="168" t="s">
        <v>13469</v>
      </c>
      <c r="D3599" s="406" t="s">
        <v>13544</v>
      </c>
      <c r="E3599" s="406" t="s">
        <v>13545</v>
      </c>
      <c r="F3599" s="406" t="s">
        <v>13546</v>
      </c>
      <c r="G3599" s="406">
        <v>163704</v>
      </c>
      <c r="H3599" s="406" t="s">
        <v>13589</v>
      </c>
      <c r="I3599" s="406"/>
      <c r="J3599" s="406"/>
      <c r="K3599" s="406">
        <v>16370401</v>
      </c>
      <c r="L3599" s="406" t="s">
        <v>13590</v>
      </c>
      <c r="M3599" s="406" t="s">
        <v>13591</v>
      </c>
      <c r="N3599" s="406"/>
      <c r="O3599" s="40">
        <v>0.15</v>
      </c>
      <c r="P3599" s="40">
        <v>0.2</v>
      </c>
      <c r="Q3599" s="40">
        <v>0.26</v>
      </c>
      <c r="R3599" s="40">
        <v>0.33</v>
      </c>
      <c r="S3599" s="40">
        <v>0.4</v>
      </c>
      <c r="T3599" s="12" t="s">
        <v>7194</v>
      </c>
      <c r="U3599" t="str">
        <f>VLOOKUP(T3599,[8]Votes!$A$1:$E$234,3,FALSE)</f>
        <v>144 Uganda Police Force</v>
      </c>
      <c r="V3599" s="406" t="s">
        <v>13592</v>
      </c>
      <c r="W3599" s="388">
        <v>1</v>
      </c>
      <c r="X3599" s="388">
        <v>0</v>
      </c>
      <c r="Y3599" s="388">
        <v>0</v>
      </c>
      <c r="Z3599" s="388">
        <v>1</v>
      </c>
      <c r="AA3599" s="388">
        <v>1</v>
      </c>
      <c r="AB3599" s="388">
        <v>0</v>
      </c>
      <c r="AC3599" s="150">
        <v>1</v>
      </c>
      <c r="AD3599" s="150">
        <v>1</v>
      </c>
      <c r="AE3599" s="49">
        <f t="shared" si="134"/>
        <v>0.625</v>
      </c>
      <c r="AF3599" s="23">
        <v>1</v>
      </c>
      <c r="AG3599" s="17">
        <v>0</v>
      </c>
      <c r="AH3599" s="23">
        <v>18.2</v>
      </c>
      <c r="AI3599" s="23">
        <v>22</v>
      </c>
      <c r="AJ3599" s="23">
        <v>25</v>
      </c>
      <c r="AK3599" s="153">
        <v>27</v>
      </c>
      <c r="AL3599" s="165">
        <v>30</v>
      </c>
      <c r="AM3599" s="17">
        <f t="shared" si="135"/>
        <v>57</v>
      </c>
      <c r="AN3599" s="18" t="s">
        <v>7194</v>
      </c>
      <c r="AO3599" s="162" t="s">
        <v>7396</v>
      </c>
    </row>
    <row r="3600" spans="1:41" s="18" customFormat="1" x14ac:dyDescent="0.3">
      <c r="A3600" s="205" t="s">
        <v>8321</v>
      </c>
      <c r="B3600" s="162" t="s">
        <v>8322</v>
      </c>
      <c r="C3600" s="168" t="s">
        <v>13469</v>
      </c>
      <c r="D3600" s="406" t="s">
        <v>13544</v>
      </c>
      <c r="E3600" s="406" t="s">
        <v>13545</v>
      </c>
      <c r="F3600" s="406" t="s">
        <v>13546</v>
      </c>
      <c r="G3600" s="406">
        <v>163704</v>
      </c>
      <c r="H3600" s="406" t="s">
        <v>13589</v>
      </c>
      <c r="I3600" s="406"/>
      <c r="J3600" s="406"/>
      <c r="K3600" s="406">
        <v>16370402</v>
      </c>
      <c r="L3600" s="406" t="s">
        <v>13593</v>
      </c>
      <c r="M3600" s="406" t="s">
        <v>13594</v>
      </c>
      <c r="N3600" s="406"/>
      <c r="O3600" s="21">
        <v>50</v>
      </c>
      <c r="P3600" s="21">
        <v>50</v>
      </c>
      <c r="Q3600" s="21">
        <v>50</v>
      </c>
      <c r="R3600" s="21">
        <v>50</v>
      </c>
      <c r="S3600" s="21">
        <v>50</v>
      </c>
      <c r="T3600" s="12" t="s">
        <v>7194</v>
      </c>
      <c r="U3600" t="str">
        <f>VLOOKUP(T3600,[8]Votes!$A$1:$E$234,3,FALSE)</f>
        <v>144 Uganda Police Force</v>
      </c>
      <c r="V3600" s="406" t="s">
        <v>13595</v>
      </c>
      <c r="W3600" s="388">
        <v>1</v>
      </c>
      <c r="X3600" s="388">
        <v>0</v>
      </c>
      <c r="Y3600" s="388">
        <v>0</v>
      </c>
      <c r="Z3600" s="388">
        <v>1</v>
      </c>
      <c r="AA3600" s="388">
        <v>1</v>
      </c>
      <c r="AB3600" s="388">
        <v>0</v>
      </c>
      <c r="AC3600" s="150">
        <v>1</v>
      </c>
      <c r="AD3600" s="150">
        <v>1</v>
      </c>
      <c r="AE3600" s="49">
        <f t="shared" si="134"/>
        <v>0.625</v>
      </c>
      <c r="AF3600" s="23">
        <v>1</v>
      </c>
      <c r="AG3600" s="17">
        <v>0</v>
      </c>
      <c r="AH3600" s="23">
        <v>0.11499999999999999</v>
      </c>
      <c r="AI3600" s="23">
        <v>0.11499999999999999</v>
      </c>
      <c r="AJ3600" s="23">
        <v>0.11499999999999999</v>
      </c>
      <c r="AK3600" s="153">
        <v>0.11499999999999999</v>
      </c>
      <c r="AL3600" s="153">
        <v>0.11499999999999999</v>
      </c>
      <c r="AM3600" s="17">
        <f t="shared" si="135"/>
        <v>0.22999999999999998</v>
      </c>
      <c r="AN3600" s="18" t="s">
        <v>7194</v>
      </c>
      <c r="AO3600" s="162" t="s">
        <v>7396</v>
      </c>
    </row>
    <row r="3601" spans="1:41" s="18" customFormat="1" x14ac:dyDescent="0.3">
      <c r="A3601" s="205" t="s">
        <v>8321</v>
      </c>
      <c r="B3601" s="162" t="s">
        <v>8322</v>
      </c>
      <c r="C3601" s="168" t="s">
        <v>13469</v>
      </c>
      <c r="D3601" s="406" t="s">
        <v>13544</v>
      </c>
      <c r="E3601" s="406" t="s">
        <v>13545</v>
      </c>
      <c r="F3601" s="406" t="s">
        <v>13546</v>
      </c>
      <c r="G3601" s="406">
        <v>163703</v>
      </c>
      <c r="H3601" s="406" t="s">
        <v>13584</v>
      </c>
      <c r="I3601" s="406"/>
      <c r="J3601" s="406"/>
      <c r="K3601" s="406">
        <v>16370302</v>
      </c>
      <c r="L3601" s="406" t="s">
        <v>13596</v>
      </c>
      <c r="M3601" s="406" t="s">
        <v>13597</v>
      </c>
      <c r="N3601" s="406"/>
      <c r="O3601" s="21">
        <v>0.2</v>
      </c>
      <c r="P3601" s="21">
        <v>0.4</v>
      </c>
      <c r="Q3601" s="21">
        <v>0.6</v>
      </c>
      <c r="R3601" s="21">
        <v>0</v>
      </c>
      <c r="S3601" s="21">
        <v>0</v>
      </c>
      <c r="T3601" s="12" t="s">
        <v>7194</v>
      </c>
      <c r="U3601" t="str">
        <f>VLOOKUP(T3601,[8]Votes!$A$1:$E$234,3,FALSE)</f>
        <v>144 Uganda Police Force</v>
      </c>
      <c r="V3601" s="406" t="s">
        <v>13598</v>
      </c>
      <c r="W3601" s="388">
        <v>1</v>
      </c>
      <c r="X3601" s="388">
        <v>0</v>
      </c>
      <c r="Y3601" s="388">
        <v>0</v>
      </c>
      <c r="Z3601" s="388">
        <v>1</v>
      </c>
      <c r="AA3601" s="388">
        <v>1</v>
      </c>
      <c r="AB3601" s="388">
        <v>0</v>
      </c>
      <c r="AC3601" s="150">
        <v>0</v>
      </c>
      <c r="AD3601" s="150">
        <v>0</v>
      </c>
      <c r="AE3601" s="49">
        <f t="shared" si="134"/>
        <v>0.375</v>
      </c>
      <c r="AF3601" s="23"/>
      <c r="AG3601" s="17">
        <v>0</v>
      </c>
      <c r="AH3601" s="23">
        <v>0.4</v>
      </c>
      <c r="AI3601" s="23">
        <v>0.5</v>
      </c>
      <c r="AJ3601" s="23">
        <v>0.6</v>
      </c>
      <c r="AK3601" s="153">
        <v>0</v>
      </c>
      <c r="AL3601" s="165">
        <v>0</v>
      </c>
      <c r="AM3601" s="17">
        <f t="shared" si="135"/>
        <v>0</v>
      </c>
      <c r="AN3601" s="18" t="s">
        <v>7194</v>
      </c>
      <c r="AO3601" s="162" t="s">
        <v>7396</v>
      </c>
    </row>
    <row r="3602" spans="1:41" s="18" customFormat="1" x14ac:dyDescent="0.3">
      <c r="A3602" s="205" t="s">
        <v>8321</v>
      </c>
      <c r="B3602" s="162" t="s">
        <v>8322</v>
      </c>
      <c r="C3602" s="168" t="s">
        <v>13469</v>
      </c>
      <c r="D3602" s="406" t="s">
        <v>13544</v>
      </c>
      <c r="E3602" s="406" t="s">
        <v>13545</v>
      </c>
      <c r="F3602" s="406" t="s">
        <v>13546</v>
      </c>
      <c r="G3602" s="406">
        <v>163704</v>
      </c>
      <c r="H3602" s="406" t="s">
        <v>13589</v>
      </c>
      <c r="I3602" s="406"/>
      <c r="J3602" s="406"/>
      <c r="K3602" s="406">
        <v>16370403</v>
      </c>
      <c r="L3602" s="406" t="s">
        <v>13599</v>
      </c>
      <c r="M3602" s="406" t="s">
        <v>13600</v>
      </c>
      <c r="N3602" s="406"/>
      <c r="O3602" s="21">
        <v>0.2</v>
      </c>
      <c r="P3602" s="21">
        <v>0.2</v>
      </c>
      <c r="Q3602" s="21">
        <v>0.2</v>
      </c>
      <c r="R3602" s="21">
        <v>0</v>
      </c>
      <c r="S3602" s="21">
        <v>0</v>
      </c>
      <c r="T3602" s="12" t="s">
        <v>7194</v>
      </c>
      <c r="U3602" t="str">
        <f>VLOOKUP(T3602,[8]Votes!$A$1:$E$234,3,FALSE)</f>
        <v>144 Uganda Police Force</v>
      </c>
      <c r="V3602" s="406" t="s">
        <v>13601</v>
      </c>
      <c r="W3602" s="388">
        <v>1</v>
      </c>
      <c r="X3602" s="388">
        <v>0</v>
      </c>
      <c r="Y3602" s="388">
        <v>0</v>
      </c>
      <c r="Z3602" s="388">
        <v>1</v>
      </c>
      <c r="AA3602" s="388">
        <v>1</v>
      </c>
      <c r="AB3602" s="388">
        <v>0</v>
      </c>
      <c r="AC3602" s="150">
        <v>1</v>
      </c>
      <c r="AD3602" s="150">
        <v>1</v>
      </c>
      <c r="AE3602" s="49">
        <f t="shared" si="134"/>
        <v>0.625</v>
      </c>
      <c r="AF3602" s="23">
        <v>1</v>
      </c>
      <c r="AG3602" s="17">
        <v>0</v>
      </c>
      <c r="AH3602" s="23">
        <v>13.3</v>
      </c>
      <c r="AI3602" s="23">
        <v>13.3</v>
      </c>
      <c r="AJ3602" s="23">
        <v>13.3</v>
      </c>
      <c r="AK3602" s="153">
        <v>0</v>
      </c>
      <c r="AL3602" s="153">
        <v>0</v>
      </c>
      <c r="AM3602" s="17">
        <f t="shared" si="135"/>
        <v>0</v>
      </c>
      <c r="AN3602" s="18" t="s">
        <v>7194</v>
      </c>
      <c r="AO3602" s="162" t="s">
        <v>7396</v>
      </c>
    </row>
    <row r="3603" spans="1:41" s="18" customFormat="1" x14ac:dyDescent="0.3">
      <c r="A3603" s="205" t="s">
        <v>8321</v>
      </c>
      <c r="B3603" s="162" t="s">
        <v>8322</v>
      </c>
      <c r="C3603" s="168" t="s">
        <v>13469</v>
      </c>
      <c r="D3603" s="406" t="s">
        <v>13544</v>
      </c>
      <c r="E3603" s="406" t="s">
        <v>13545</v>
      </c>
      <c r="F3603" s="406" t="s">
        <v>13546</v>
      </c>
      <c r="G3603" s="406">
        <v>163704</v>
      </c>
      <c r="H3603" s="406" t="s">
        <v>13589</v>
      </c>
      <c r="I3603" s="406"/>
      <c r="J3603" s="406"/>
      <c r="K3603" s="406">
        <v>16370404</v>
      </c>
      <c r="L3603" s="406" t="s">
        <v>13602</v>
      </c>
      <c r="M3603" s="406" t="s">
        <v>13603</v>
      </c>
      <c r="N3603" s="406"/>
      <c r="O3603" s="21">
        <v>200</v>
      </c>
      <c r="P3603" s="21">
        <v>250</v>
      </c>
      <c r="Q3603" s="21">
        <v>250</v>
      </c>
      <c r="R3603" s="21">
        <v>87</v>
      </c>
      <c r="S3603" s="21">
        <v>87</v>
      </c>
      <c r="T3603" s="12" t="s">
        <v>7194</v>
      </c>
      <c r="U3603" t="str">
        <f>VLOOKUP(T3603,[8]Votes!$A$1:$E$234,3,FALSE)</f>
        <v>144 Uganda Police Force</v>
      </c>
      <c r="V3603" s="12" t="s">
        <v>13604</v>
      </c>
      <c r="W3603" s="388">
        <v>1</v>
      </c>
      <c r="X3603" s="388">
        <v>1</v>
      </c>
      <c r="Y3603" s="388">
        <v>0</v>
      </c>
      <c r="Z3603" s="388">
        <v>1</v>
      </c>
      <c r="AA3603" s="388">
        <v>1</v>
      </c>
      <c r="AB3603" s="388">
        <v>1</v>
      </c>
      <c r="AC3603" s="150">
        <v>1</v>
      </c>
      <c r="AD3603" s="150">
        <v>1</v>
      </c>
      <c r="AE3603" s="49">
        <f t="shared" si="134"/>
        <v>0.875</v>
      </c>
      <c r="AF3603" s="23">
        <v>1</v>
      </c>
      <c r="AG3603" s="17">
        <v>0</v>
      </c>
      <c r="AH3603" s="23">
        <v>4.5999999999999996</v>
      </c>
      <c r="AI3603" s="23">
        <v>5.75</v>
      </c>
      <c r="AJ3603" s="23">
        <v>5.75</v>
      </c>
      <c r="AK3603" s="153">
        <v>2</v>
      </c>
      <c r="AL3603" s="153">
        <v>2</v>
      </c>
      <c r="AM3603" s="17">
        <f t="shared" si="135"/>
        <v>4</v>
      </c>
      <c r="AN3603" s="18" t="s">
        <v>7194</v>
      </c>
      <c r="AO3603" s="162" t="s">
        <v>7396</v>
      </c>
    </row>
    <row r="3604" spans="1:41" s="18" customFormat="1" x14ac:dyDescent="0.3">
      <c r="A3604" s="205" t="s">
        <v>8321</v>
      </c>
      <c r="B3604" s="162" t="s">
        <v>8322</v>
      </c>
      <c r="C3604" s="168" t="s">
        <v>13469</v>
      </c>
      <c r="D3604" s="406" t="s">
        <v>13544</v>
      </c>
      <c r="E3604" s="406" t="s">
        <v>13545</v>
      </c>
      <c r="F3604" s="406" t="s">
        <v>13546</v>
      </c>
      <c r="G3604" s="406">
        <v>163705</v>
      </c>
      <c r="H3604" s="406" t="s">
        <v>13605</v>
      </c>
      <c r="I3604" s="386" t="s">
        <v>13606</v>
      </c>
      <c r="J3604" s="406" t="s">
        <v>13607</v>
      </c>
      <c r="K3604" s="406" t="s">
        <v>13608</v>
      </c>
      <c r="L3604" s="406" t="s">
        <v>13609</v>
      </c>
      <c r="M3604" s="406" t="s">
        <v>13610</v>
      </c>
      <c r="N3604" s="406"/>
      <c r="O3604" s="27">
        <v>14850</v>
      </c>
      <c r="P3604" s="27">
        <v>14850</v>
      </c>
      <c r="Q3604" s="27">
        <v>14850</v>
      </c>
      <c r="R3604" s="27">
        <v>14850</v>
      </c>
      <c r="S3604" s="27">
        <v>14850</v>
      </c>
      <c r="T3604" s="12" t="s">
        <v>7194</v>
      </c>
      <c r="U3604" t="str">
        <f>VLOOKUP(T3604,[8]Votes!$A$1:$E$234,3,FALSE)</f>
        <v>144 Uganda Police Force</v>
      </c>
      <c r="V3604" s="406" t="s">
        <v>13611</v>
      </c>
      <c r="W3604" s="501">
        <v>1</v>
      </c>
      <c r="X3604" s="501">
        <v>1</v>
      </c>
      <c r="Y3604" s="501">
        <v>1</v>
      </c>
      <c r="Z3604" s="501">
        <v>1</v>
      </c>
      <c r="AA3604" s="501">
        <v>1</v>
      </c>
      <c r="AB3604" s="501">
        <v>1</v>
      </c>
      <c r="AC3604" s="150">
        <v>1</v>
      </c>
      <c r="AD3604" s="150">
        <v>0</v>
      </c>
      <c r="AE3604" s="49">
        <f t="shared" si="134"/>
        <v>0.875</v>
      </c>
      <c r="AF3604" s="23">
        <v>0</v>
      </c>
      <c r="AG3604" s="17">
        <v>0</v>
      </c>
      <c r="AH3604" s="23">
        <v>20.553999999999998</v>
      </c>
      <c r="AI3604" s="23">
        <v>20.553999999999998</v>
      </c>
      <c r="AJ3604" s="23">
        <v>20.553999999999998</v>
      </c>
      <c r="AK3604" s="153">
        <v>0</v>
      </c>
      <c r="AL3604" s="153">
        <v>0</v>
      </c>
      <c r="AM3604" s="17">
        <f t="shared" si="135"/>
        <v>0</v>
      </c>
      <c r="AN3604" s="18" t="s">
        <v>7194</v>
      </c>
      <c r="AO3604" s="162" t="s">
        <v>7396</v>
      </c>
    </row>
    <row r="3605" spans="1:41" s="18" customFormat="1" x14ac:dyDescent="0.3">
      <c r="A3605" s="205" t="s">
        <v>8321</v>
      </c>
      <c r="B3605" s="162" t="s">
        <v>8322</v>
      </c>
      <c r="C3605" s="168" t="s">
        <v>13469</v>
      </c>
      <c r="D3605" s="406" t="s">
        <v>13544</v>
      </c>
      <c r="E3605" s="406" t="s">
        <v>13545</v>
      </c>
      <c r="F3605" s="406" t="s">
        <v>13546</v>
      </c>
      <c r="G3605" s="406">
        <v>163705</v>
      </c>
      <c r="H3605" s="406" t="s">
        <v>13605</v>
      </c>
      <c r="I3605" s="386" t="s">
        <v>13606</v>
      </c>
      <c r="J3605" s="406" t="s">
        <v>13607</v>
      </c>
      <c r="K3605" s="406" t="s">
        <v>13608</v>
      </c>
      <c r="L3605" s="406" t="s">
        <v>13609</v>
      </c>
      <c r="M3605" s="406" t="s">
        <v>13610</v>
      </c>
      <c r="N3605" s="406"/>
      <c r="O3605" s="27">
        <v>14850</v>
      </c>
      <c r="P3605" s="27">
        <v>14850</v>
      </c>
      <c r="Q3605" s="27">
        <v>14850</v>
      </c>
      <c r="R3605" s="27">
        <v>14850</v>
      </c>
      <c r="S3605" s="27">
        <v>14850</v>
      </c>
      <c r="T3605" s="12" t="s">
        <v>7194</v>
      </c>
      <c r="U3605" t="str">
        <f>VLOOKUP(T3605,[8]Votes!$A$1:$E$234,3,FALSE)</f>
        <v>144 Uganda Police Force</v>
      </c>
      <c r="V3605" s="12" t="s">
        <v>13611</v>
      </c>
      <c r="W3605" s="501">
        <v>1</v>
      </c>
      <c r="X3605" s="501">
        <v>1</v>
      </c>
      <c r="Y3605" s="501">
        <v>1</v>
      </c>
      <c r="Z3605" s="501">
        <v>1</v>
      </c>
      <c r="AA3605" s="501">
        <v>1</v>
      </c>
      <c r="AB3605" s="501">
        <v>1</v>
      </c>
      <c r="AC3605" s="150">
        <v>1</v>
      </c>
      <c r="AD3605" s="150">
        <v>0</v>
      </c>
      <c r="AE3605" s="49">
        <f t="shared" si="134"/>
        <v>0.875</v>
      </c>
      <c r="AF3605" s="23">
        <v>0</v>
      </c>
      <c r="AG3605" s="17">
        <v>0</v>
      </c>
      <c r="AH3605" s="190">
        <v>11.266</v>
      </c>
      <c r="AI3605" s="190">
        <v>11.266</v>
      </c>
      <c r="AJ3605" s="190">
        <v>11.266</v>
      </c>
      <c r="AK3605" s="191">
        <v>0</v>
      </c>
      <c r="AL3605" s="191">
        <v>0</v>
      </c>
      <c r="AM3605" s="17">
        <f t="shared" si="135"/>
        <v>0</v>
      </c>
      <c r="AN3605" s="18" t="s">
        <v>7194</v>
      </c>
      <c r="AO3605" s="162" t="s">
        <v>7396</v>
      </c>
    </row>
    <row r="3606" spans="1:41" s="18" customFormat="1" x14ac:dyDescent="0.3">
      <c r="A3606" s="205" t="s">
        <v>8321</v>
      </c>
      <c r="B3606" s="162" t="s">
        <v>8322</v>
      </c>
      <c r="C3606" s="168" t="s">
        <v>13469</v>
      </c>
      <c r="D3606" s="406" t="s">
        <v>13544</v>
      </c>
      <c r="E3606" s="406" t="s">
        <v>13545</v>
      </c>
      <c r="F3606" s="406" t="s">
        <v>13546</v>
      </c>
      <c r="G3606" s="406">
        <v>163705</v>
      </c>
      <c r="H3606" s="406" t="s">
        <v>13605</v>
      </c>
      <c r="I3606" s="386" t="s">
        <v>13606</v>
      </c>
      <c r="J3606" s="406" t="s">
        <v>13607</v>
      </c>
      <c r="K3606" s="406" t="s">
        <v>13612</v>
      </c>
      <c r="L3606" s="406" t="s">
        <v>13613</v>
      </c>
      <c r="M3606" s="406" t="s">
        <v>13614</v>
      </c>
      <c r="N3606" s="406"/>
      <c r="O3606" s="21">
        <v>20</v>
      </c>
      <c r="P3606" s="21">
        <v>40</v>
      </c>
      <c r="Q3606" s="21">
        <v>50</v>
      </c>
      <c r="R3606" s="21">
        <v>70</v>
      </c>
      <c r="S3606" s="21">
        <v>100</v>
      </c>
      <c r="T3606" s="12" t="s">
        <v>7194</v>
      </c>
      <c r="U3606" t="str">
        <f>VLOOKUP(T3606,[8]Votes!$A$1:$E$234,3,FALSE)</f>
        <v>144 Uganda Police Force</v>
      </c>
      <c r="V3606" s="406" t="s">
        <v>13615</v>
      </c>
      <c r="W3606" s="501">
        <v>1</v>
      </c>
      <c r="X3606" s="501">
        <v>1</v>
      </c>
      <c r="Y3606" s="501">
        <v>1</v>
      </c>
      <c r="Z3606" s="501">
        <v>1</v>
      </c>
      <c r="AA3606" s="501">
        <v>1</v>
      </c>
      <c r="AB3606" s="501">
        <v>1</v>
      </c>
      <c r="AC3606" s="150">
        <v>0</v>
      </c>
      <c r="AD3606" s="150">
        <v>0</v>
      </c>
      <c r="AE3606" s="49">
        <f t="shared" si="134"/>
        <v>0.75</v>
      </c>
      <c r="AF3606" s="23">
        <v>0</v>
      </c>
      <c r="AG3606" s="17">
        <v>0</v>
      </c>
      <c r="AH3606" s="23">
        <v>1.4000000000000001</v>
      </c>
      <c r="AI3606" s="23">
        <v>2.8000000000000003</v>
      </c>
      <c r="AJ3606" s="23">
        <v>3.5000000000000004</v>
      </c>
      <c r="AK3606" s="153">
        <v>4.9000000000000004</v>
      </c>
      <c r="AL3606" s="153">
        <v>7.0000000000000009</v>
      </c>
      <c r="AM3606" s="17">
        <f t="shared" si="135"/>
        <v>11.900000000000002</v>
      </c>
      <c r="AN3606" s="18" t="s">
        <v>7194</v>
      </c>
      <c r="AO3606" s="162" t="s">
        <v>7396</v>
      </c>
    </row>
    <row r="3607" spans="1:41" s="18" customFormat="1" x14ac:dyDescent="0.3">
      <c r="A3607" s="205" t="s">
        <v>8321</v>
      </c>
      <c r="B3607" s="162" t="s">
        <v>8322</v>
      </c>
      <c r="C3607" s="168" t="s">
        <v>13469</v>
      </c>
      <c r="D3607" s="406" t="s">
        <v>13544</v>
      </c>
      <c r="E3607" s="406" t="s">
        <v>13545</v>
      </c>
      <c r="F3607" s="406" t="s">
        <v>13546</v>
      </c>
      <c r="G3607" s="406">
        <v>163705</v>
      </c>
      <c r="H3607" s="406" t="s">
        <v>13605</v>
      </c>
      <c r="I3607" s="386" t="s">
        <v>13616</v>
      </c>
      <c r="J3607" s="406" t="s">
        <v>13617</v>
      </c>
      <c r="K3607" s="162" t="s">
        <v>13618</v>
      </c>
      <c r="L3607" s="406" t="s">
        <v>13619</v>
      </c>
      <c r="M3607" s="406" t="s">
        <v>13620</v>
      </c>
      <c r="N3607" s="406"/>
      <c r="O3607" s="21">
        <v>15</v>
      </c>
      <c r="P3607" s="21">
        <v>35</v>
      </c>
      <c r="Q3607" s="21">
        <v>70</v>
      </c>
      <c r="R3607" s="21">
        <v>72</v>
      </c>
      <c r="S3607" s="21">
        <v>78</v>
      </c>
      <c r="T3607" s="12" t="s">
        <v>7194</v>
      </c>
      <c r="U3607" t="str">
        <f>VLOOKUP(T3607,[8]Votes!$A$1:$E$234,3,FALSE)</f>
        <v>144 Uganda Police Force</v>
      </c>
      <c r="V3607" s="406" t="s">
        <v>13621</v>
      </c>
      <c r="W3607" s="501">
        <v>1</v>
      </c>
      <c r="X3607" s="501">
        <v>1</v>
      </c>
      <c r="Y3607" s="501">
        <v>1</v>
      </c>
      <c r="Z3607" s="501">
        <v>1</v>
      </c>
      <c r="AA3607" s="501">
        <v>1</v>
      </c>
      <c r="AB3607" s="501">
        <v>1</v>
      </c>
      <c r="AC3607" s="150">
        <v>0</v>
      </c>
      <c r="AD3607" s="150">
        <v>0</v>
      </c>
      <c r="AE3607" s="49">
        <f t="shared" si="134"/>
        <v>0.75</v>
      </c>
      <c r="AF3607" s="23">
        <v>0</v>
      </c>
      <c r="AG3607" s="17">
        <v>0</v>
      </c>
      <c r="AH3607" s="23">
        <v>2.25</v>
      </c>
      <c r="AI3607" s="23">
        <v>5.25</v>
      </c>
      <c r="AJ3607" s="23">
        <v>10.5</v>
      </c>
      <c r="AK3607" s="153">
        <v>18.75</v>
      </c>
      <c r="AL3607" s="153">
        <v>37.5</v>
      </c>
      <c r="AM3607" s="17">
        <f t="shared" si="135"/>
        <v>56.25</v>
      </c>
      <c r="AN3607" s="18" t="s">
        <v>7194</v>
      </c>
      <c r="AO3607" s="162" t="s">
        <v>7396</v>
      </c>
    </row>
    <row r="3608" spans="1:41" s="18" customFormat="1" x14ac:dyDescent="0.3">
      <c r="A3608" s="205" t="s">
        <v>8321</v>
      </c>
      <c r="B3608" s="162" t="s">
        <v>8322</v>
      </c>
      <c r="C3608" s="168" t="s">
        <v>13469</v>
      </c>
      <c r="D3608" s="406" t="s">
        <v>13544</v>
      </c>
      <c r="E3608" s="406" t="s">
        <v>13545</v>
      </c>
      <c r="F3608" s="406" t="s">
        <v>13546</v>
      </c>
      <c r="G3608" s="406">
        <v>163705</v>
      </c>
      <c r="H3608" s="406" t="s">
        <v>13605</v>
      </c>
      <c r="I3608" s="386" t="s">
        <v>13616</v>
      </c>
      <c r="J3608" s="406" t="s">
        <v>13617</v>
      </c>
      <c r="K3608" s="162" t="s">
        <v>13622</v>
      </c>
      <c r="L3608" s="406" t="s">
        <v>13623</v>
      </c>
      <c r="M3608" s="406" t="s">
        <v>13624</v>
      </c>
      <c r="N3608" s="406"/>
      <c r="O3608" s="21">
        <v>0.16</v>
      </c>
      <c r="P3608" s="21">
        <v>0.42</v>
      </c>
      <c r="Q3608" s="21">
        <v>0.66</v>
      </c>
      <c r="R3608" s="21">
        <v>0.72</v>
      </c>
      <c r="S3608" s="21">
        <v>0.75</v>
      </c>
      <c r="T3608" s="12" t="s">
        <v>7194</v>
      </c>
      <c r="U3608" t="str">
        <f>VLOOKUP(T3608,[8]Votes!$A$1:$E$234,3,FALSE)</f>
        <v>144 Uganda Police Force</v>
      </c>
      <c r="V3608" s="406" t="s">
        <v>13625</v>
      </c>
      <c r="W3608" s="501">
        <v>1</v>
      </c>
      <c r="X3608" s="501">
        <v>1</v>
      </c>
      <c r="Y3608" s="501">
        <v>1</v>
      </c>
      <c r="Z3608" s="501">
        <v>1</v>
      </c>
      <c r="AA3608" s="501">
        <v>1</v>
      </c>
      <c r="AB3608" s="501">
        <v>1</v>
      </c>
      <c r="AC3608" s="150">
        <v>0</v>
      </c>
      <c r="AD3608" s="150">
        <v>0</v>
      </c>
      <c r="AE3608" s="49">
        <f t="shared" si="134"/>
        <v>0.75</v>
      </c>
      <c r="AF3608" s="23">
        <v>0</v>
      </c>
      <c r="AG3608" s="17">
        <v>0</v>
      </c>
      <c r="AH3608" s="23">
        <v>0.11199999999999999</v>
      </c>
      <c r="AI3608" s="23">
        <v>0.29399999999999998</v>
      </c>
      <c r="AJ3608" s="23">
        <v>0.46199999999999997</v>
      </c>
      <c r="AK3608" s="153">
        <v>3.5880000000000001</v>
      </c>
      <c r="AL3608" s="153">
        <v>3.7</v>
      </c>
      <c r="AM3608" s="17">
        <f t="shared" si="135"/>
        <v>7.2880000000000003</v>
      </c>
      <c r="AN3608" s="18" t="s">
        <v>7194</v>
      </c>
      <c r="AO3608" s="162" t="s">
        <v>7396</v>
      </c>
    </row>
    <row r="3609" spans="1:41" s="18" customFormat="1" x14ac:dyDescent="0.3">
      <c r="A3609" s="205" t="s">
        <v>8321</v>
      </c>
      <c r="B3609" s="162" t="s">
        <v>8322</v>
      </c>
      <c r="C3609" s="168" t="s">
        <v>13469</v>
      </c>
      <c r="D3609" s="406" t="s">
        <v>13544</v>
      </c>
      <c r="E3609" s="406" t="s">
        <v>13545</v>
      </c>
      <c r="F3609" s="406" t="s">
        <v>13546</v>
      </c>
      <c r="G3609" s="406">
        <v>163705</v>
      </c>
      <c r="H3609" s="406" t="s">
        <v>13605</v>
      </c>
      <c r="I3609" s="406"/>
      <c r="J3609" s="406"/>
      <c r="K3609" s="406">
        <v>16370501</v>
      </c>
      <c r="L3609" s="406" t="s">
        <v>13626</v>
      </c>
      <c r="M3609" s="406" t="s">
        <v>13627</v>
      </c>
      <c r="N3609" s="406"/>
      <c r="O3609" s="40">
        <v>0.47</v>
      </c>
      <c r="P3609" s="40">
        <v>0.52</v>
      </c>
      <c r="Q3609" s="40">
        <v>0.62</v>
      </c>
      <c r="R3609" s="40">
        <v>0.67</v>
      </c>
      <c r="S3609" s="40">
        <v>0.76</v>
      </c>
      <c r="T3609" s="12" t="s">
        <v>7194</v>
      </c>
      <c r="U3609" t="str">
        <f>VLOOKUP(T3609,[8]Votes!$A$1:$E$234,3,FALSE)</f>
        <v>144 Uganda Police Force</v>
      </c>
      <c r="V3609" s="406" t="s">
        <v>13628</v>
      </c>
      <c r="W3609" s="501">
        <v>1</v>
      </c>
      <c r="X3609" s="501">
        <v>1</v>
      </c>
      <c r="Y3609" s="501">
        <v>1</v>
      </c>
      <c r="Z3609" s="501">
        <v>1</v>
      </c>
      <c r="AA3609" s="501">
        <v>1</v>
      </c>
      <c r="AB3609" s="501">
        <v>0</v>
      </c>
      <c r="AC3609" s="150">
        <v>1</v>
      </c>
      <c r="AD3609" s="150">
        <v>0</v>
      </c>
      <c r="AE3609" s="49">
        <f t="shared" si="134"/>
        <v>0.75</v>
      </c>
      <c r="AF3609" s="23">
        <v>0</v>
      </c>
      <c r="AG3609" s="17">
        <v>0</v>
      </c>
      <c r="AH3609" s="23">
        <v>0.5</v>
      </c>
      <c r="AI3609" s="23">
        <v>0.67</v>
      </c>
      <c r="AJ3609" s="23">
        <v>0.8</v>
      </c>
      <c r="AK3609" s="153">
        <v>1.43</v>
      </c>
      <c r="AL3609" s="165">
        <v>2.54</v>
      </c>
      <c r="AM3609" s="17">
        <f t="shared" si="135"/>
        <v>3.9699999999999998</v>
      </c>
      <c r="AN3609" s="18" t="s">
        <v>7194</v>
      </c>
      <c r="AO3609" s="162" t="s">
        <v>7396</v>
      </c>
    </row>
    <row r="3610" spans="1:41" s="18" customFormat="1" x14ac:dyDescent="0.3">
      <c r="A3610" s="205" t="s">
        <v>8321</v>
      </c>
      <c r="B3610" s="162" t="s">
        <v>8322</v>
      </c>
      <c r="C3610" s="168" t="s">
        <v>13469</v>
      </c>
      <c r="D3610" s="406" t="s">
        <v>13544</v>
      </c>
      <c r="E3610" s="406" t="s">
        <v>13629</v>
      </c>
      <c r="F3610" s="406" t="s">
        <v>13630</v>
      </c>
      <c r="G3610" s="406">
        <v>163801</v>
      </c>
      <c r="H3610" s="406" t="s">
        <v>13631</v>
      </c>
      <c r="I3610" s="386" t="s">
        <v>13632</v>
      </c>
      <c r="J3610" s="406" t="s">
        <v>12195</v>
      </c>
      <c r="K3610" s="406" t="s">
        <v>13633</v>
      </c>
      <c r="L3610" s="406" t="s">
        <v>13634</v>
      </c>
      <c r="M3610" s="406" t="s">
        <v>13635</v>
      </c>
      <c r="N3610" s="406"/>
      <c r="O3610" s="40">
        <v>0.37</v>
      </c>
      <c r="P3610" s="40">
        <v>0.5</v>
      </c>
      <c r="Q3610" s="40">
        <v>0.65</v>
      </c>
      <c r="R3610" s="40">
        <v>0.8</v>
      </c>
      <c r="S3610" s="40">
        <v>0.9</v>
      </c>
      <c r="T3610" s="12" t="s">
        <v>7194</v>
      </c>
      <c r="U3610" t="str">
        <f>VLOOKUP(T3610,[8]Votes!$A$1:$E$234,3,FALSE)</f>
        <v>144 Uganda Police Force</v>
      </c>
      <c r="V3610" s="406" t="s">
        <v>13636</v>
      </c>
      <c r="W3610" s="501">
        <v>1</v>
      </c>
      <c r="X3610" s="501">
        <v>1</v>
      </c>
      <c r="Y3610" s="501">
        <v>0</v>
      </c>
      <c r="Z3610" s="501">
        <v>1</v>
      </c>
      <c r="AA3610" s="501">
        <v>1</v>
      </c>
      <c r="AB3610" s="501">
        <v>0</v>
      </c>
      <c r="AC3610" s="150">
        <v>1</v>
      </c>
      <c r="AD3610" s="150">
        <v>1</v>
      </c>
      <c r="AE3610" s="49">
        <f t="shared" si="134"/>
        <v>0.75</v>
      </c>
      <c r="AF3610" s="23">
        <v>1</v>
      </c>
      <c r="AG3610" s="17">
        <v>0</v>
      </c>
      <c r="AH3610" s="23">
        <v>13</v>
      </c>
      <c r="AI3610" s="23">
        <v>19</v>
      </c>
      <c r="AJ3610" s="23">
        <v>23</v>
      </c>
      <c r="AK3610" s="153">
        <v>25</v>
      </c>
      <c r="AL3610" s="165">
        <v>30</v>
      </c>
      <c r="AM3610" s="17">
        <f t="shared" si="135"/>
        <v>55</v>
      </c>
      <c r="AN3610" s="18" t="s">
        <v>7194</v>
      </c>
      <c r="AO3610" s="162" t="s">
        <v>7396</v>
      </c>
    </row>
    <row r="3611" spans="1:41" s="18" customFormat="1" x14ac:dyDescent="0.3">
      <c r="A3611" s="205" t="s">
        <v>8321</v>
      </c>
      <c r="B3611" s="162" t="s">
        <v>8322</v>
      </c>
      <c r="C3611" s="168" t="s">
        <v>13637</v>
      </c>
      <c r="D3611" s="406" t="s">
        <v>6838</v>
      </c>
      <c r="E3611" s="406" t="s">
        <v>13638</v>
      </c>
      <c r="F3611" s="406" t="s">
        <v>13533</v>
      </c>
      <c r="G3611" s="386" t="s">
        <v>13639</v>
      </c>
      <c r="H3611" s="406" t="s">
        <v>13640</v>
      </c>
      <c r="I3611" s="406" t="s">
        <v>13641</v>
      </c>
      <c r="J3611" s="406" t="s">
        <v>13641</v>
      </c>
      <c r="K3611" s="386" t="s">
        <v>13642</v>
      </c>
      <c r="L3611" s="406" t="s">
        <v>13643</v>
      </c>
      <c r="M3611" s="406" t="s">
        <v>13644</v>
      </c>
      <c r="N3611" s="12" t="s">
        <v>13641</v>
      </c>
      <c r="O3611" s="21">
        <v>1</v>
      </c>
      <c r="P3611" s="21">
        <v>1</v>
      </c>
      <c r="Q3611" s="21">
        <v>1</v>
      </c>
      <c r="R3611" s="21">
        <v>1</v>
      </c>
      <c r="S3611" s="275">
        <v>1</v>
      </c>
      <c r="T3611" s="159" t="s">
        <v>7194</v>
      </c>
      <c r="U3611" t="str">
        <f>VLOOKUP(T3611,[8]Votes!$A$1:$E$234,3,FALSE)</f>
        <v>144 Uganda Police Force</v>
      </c>
      <c r="V3611" s="12" t="s">
        <v>13645</v>
      </c>
      <c r="W3611" s="407">
        <v>1</v>
      </c>
      <c r="X3611" s="407">
        <v>0</v>
      </c>
      <c r="Y3611" s="407">
        <v>0</v>
      </c>
      <c r="Z3611" s="407">
        <v>1</v>
      </c>
      <c r="AA3611" s="407">
        <v>1</v>
      </c>
      <c r="AB3611" s="407">
        <v>1</v>
      </c>
      <c r="AC3611" s="150">
        <v>0</v>
      </c>
      <c r="AD3611" s="150">
        <v>1</v>
      </c>
      <c r="AE3611" s="49">
        <f t="shared" si="134"/>
        <v>0.625</v>
      </c>
      <c r="AF3611" s="401">
        <v>0</v>
      </c>
      <c r="AG3611" s="17">
        <v>0</v>
      </c>
      <c r="AH3611" s="401">
        <v>5.7</v>
      </c>
      <c r="AI3611" s="401">
        <v>5.7</v>
      </c>
      <c r="AJ3611" s="401">
        <v>5.7</v>
      </c>
      <c r="AK3611" s="498">
        <v>25.7</v>
      </c>
      <c r="AL3611" s="498">
        <v>25.7</v>
      </c>
      <c r="AM3611" s="17">
        <f t="shared" si="135"/>
        <v>51.4</v>
      </c>
      <c r="AN3611" s="18" t="s">
        <v>7194</v>
      </c>
      <c r="AO3611" s="162" t="s">
        <v>7396</v>
      </c>
    </row>
    <row r="3612" spans="1:41" s="18" customFormat="1" x14ac:dyDescent="0.3">
      <c r="A3612" s="205" t="s">
        <v>8321</v>
      </c>
      <c r="B3612" s="162" t="s">
        <v>8322</v>
      </c>
      <c r="C3612" s="168" t="s">
        <v>13637</v>
      </c>
      <c r="D3612" s="406" t="s">
        <v>6838</v>
      </c>
      <c r="E3612" s="406" t="s">
        <v>13638</v>
      </c>
      <c r="F3612" s="406" t="s">
        <v>13533</v>
      </c>
      <c r="G3612" s="386" t="s">
        <v>13639</v>
      </c>
      <c r="H3612" s="406" t="s">
        <v>13640</v>
      </c>
      <c r="I3612" s="406" t="s">
        <v>13641</v>
      </c>
      <c r="J3612" s="406" t="s">
        <v>13641</v>
      </c>
      <c r="K3612" s="386" t="s">
        <v>13646</v>
      </c>
      <c r="L3612" s="406" t="s">
        <v>13647</v>
      </c>
      <c r="M3612" s="406" t="s">
        <v>13648</v>
      </c>
      <c r="N3612" s="12" t="s">
        <v>13641</v>
      </c>
      <c r="O3612" s="21">
        <v>1</v>
      </c>
      <c r="P3612" s="21">
        <v>1</v>
      </c>
      <c r="Q3612" s="21">
        <v>1</v>
      </c>
      <c r="R3612" s="21">
        <v>1</v>
      </c>
      <c r="S3612" s="275">
        <v>1</v>
      </c>
      <c r="T3612" s="159" t="s">
        <v>7194</v>
      </c>
      <c r="U3612" t="str">
        <f>VLOOKUP(T3612,[8]Votes!$A$1:$E$234,3,FALSE)</f>
        <v>144 Uganda Police Force</v>
      </c>
      <c r="V3612" s="12" t="s">
        <v>13649</v>
      </c>
      <c r="W3612" s="407">
        <v>1</v>
      </c>
      <c r="X3612" s="407">
        <v>1</v>
      </c>
      <c r="Y3612" s="407">
        <v>0</v>
      </c>
      <c r="Z3612" s="407">
        <v>1</v>
      </c>
      <c r="AA3612" s="407">
        <v>1</v>
      </c>
      <c r="AB3612" s="407">
        <v>0</v>
      </c>
      <c r="AC3612" s="150">
        <v>0</v>
      </c>
      <c r="AD3612" s="150">
        <v>1</v>
      </c>
      <c r="AE3612" s="49">
        <f t="shared" si="134"/>
        <v>0.625</v>
      </c>
      <c r="AF3612" s="401"/>
      <c r="AG3612" s="17">
        <v>0</v>
      </c>
      <c r="AH3612" s="401">
        <v>39.31</v>
      </c>
      <c r="AI3612" s="401">
        <v>39.31</v>
      </c>
      <c r="AJ3612" s="401">
        <v>39.31</v>
      </c>
      <c r="AK3612" s="498">
        <v>39.31</v>
      </c>
      <c r="AL3612" s="498">
        <v>39.31</v>
      </c>
      <c r="AM3612" s="17">
        <f t="shared" si="135"/>
        <v>78.62</v>
      </c>
      <c r="AN3612" s="18" t="s">
        <v>7194</v>
      </c>
      <c r="AO3612" s="162" t="s">
        <v>7396</v>
      </c>
    </row>
    <row r="3613" spans="1:41" s="162" customFormat="1" x14ac:dyDescent="0.3">
      <c r="A3613" s="205" t="s">
        <v>8321</v>
      </c>
      <c r="B3613" s="162" t="s">
        <v>8322</v>
      </c>
      <c r="C3613" s="168" t="s">
        <v>13637</v>
      </c>
      <c r="D3613" s="277" t="s">
        <v>6838</v>
      </c>
      <c r="E3613" s="406" t="s">
        <v>13638</v>
      </c>
      <c r="F3613" s="406" t="s">
        <v>13533</v>
      </c>
      <c r="G3613" s="386" t="s">
        <v>13639</v>
      </c>
      <c r="H3613" s="277" t="s">
        <v>13640</v>
      </c>
      <c r="I3613" s="277" t="s">
        <v>13641</v>
      </c>
      <c r="J3613" s="277" t="s">
        <v>13641</v>
      </c>
      <c r="K3613" s="386" t="s">
        <v>13650</v>
      </c>
      <c r="L3613" s="277" t="s">
        <v>13651</v>
      </c>
      <c r="M3613" s="277" t="s">
        <v>13652</v>
      </c>
      <c r="N3613" s="159" t="s">
        <v>13641</v>
      </c>
      <c r="O3613" s="275">
        <v>1200</v>
      </c>
      <c r="P3613" s="275">
        <v>2400</v>
      </c>
      <c r="Q3613" s="275">
        <v>3600</v>
      </c>
      <c r="R3613" s="275">
        <v>6000</v>
      </c>
      <c r="S3613" s="275">
        <v>9000</v>
      </c>
      <c r="T3613" s="159" t="s">
        <v>7194</v>
      </c>
      <c r="U3613" t="str">
        <f>VLOOKUP(T3613,[8]Votes!$A$1:$E$234,3,FALSE)</f>
        <v>144 Uganda Police Force</v>
      </c>
      <c r="V3613" s="159" t="s">
        <v>13653</v>
      </c>
      <c r="W3613" s="407">
        <v>1</v>
      </c>
      <c r="X3613" s="407">
        <v>1</v>
      </c>
      <c r="Y3613" s="407">
        <v>1</v>
      </c>
      <c r="Z3613" s="407">
        <v>1</v>
      </c>
      <c r="AA3613" s="407">
        <v>1</v>
      </c>
      <c r="AB3613" s="407">
        <v>0</v>
      </c>
      <c r="AC3613" s="150">
        <v>0</v>
      </c>
      <c r="AD3613" s="150">
        <v>1</v>
      </c>
      <c r="AE3613" s="49">
        <f t="shared" si="134"/>
        <v>0.75</v>
      </c>
      <c r="AF3613" s="276"/>
      <c r="AG3613" s="17">
        <v>0</v>
      </c>
      <c r="AH3613" s="276">
        <v>2.76</v>
      </c>
      <c r="AI3613" s="276">
        <v>5.52</v>
      </c>
      <c r="AJ3613" s="276">
        <v>8.2799999999999994</v>
      </c>
      <c r="AK3613" s="158">
        <v>13.799999999999999</v>
      </c>
      <c r="AL3613" s="158">
        <v>20.7</v>
      </c>
      <c r="AM3613" s="17">
        <f t="shared" si="135"/>
        <v>34.5</v>
      </c>
      <c r="AN3613" s="162" t="s">
        <v>7194</v>
      </c>
      <c r="AO3613" s="162" t="s">
        <v>7396</v>
      </c>
    </row>
    <row r="3614" spans="1:41" s="18" customFormat="1" x14ac:dyDescent="0.3">
      <c r="A3614" s="205" t="s">
        <v>8321</v>
      </c>
      <c r="B3614" s="162" t="s">
        <v>8322</v>
      </c>
      <c r="C3614" s="168" t="s">
        <v>13637</v>
      </c>
      <c r="D3614" s="406" t="s">
        <v>6838</v>
      </c>
      <c r="E3614" s="406" t="s">
        <v>13638</v>
      </c>
      <c r="F3614" s="406" t="s">
        <v>13533</v>
      </c>
      <c r="G3614" s="386" t="s">
        <v>13639</v>
      </c>
      <c r="H3614" s="406" t="s">
        <v>13640</v>
      </c>
      <c r="I3614" s="406" t="s">
        <v>13641</v>
      </c>
      <c r="J3614" s="406" t="s">
        <v>13641</v>
      </c>
      <c r="K3614" s="386" t="s">
        <v>13654</v>
      </c>
      <c r="L3614" s="406" t="s">
        <v>13655</v>
      </c>
      <c r="M3614" s="406" t="s">
        <v>13656</v>
      </c>
      <c r="N3614" s="12" t="s">
        <v>13641</v>
      </c>
      <c r="O3614" s="21">
        <v>0.2</v>
      </c>
      <c r="P3614" s="21">
        <v>0.55000000000000004</v>
      </c>
      <c r="Q3614" s="21">
        <v>0.76</v>
      </c>
      <c r="R3614" s="21">
        <v>0.89</v>
      </c>
      <c r="S3614" s="21">
        <v>1</v>
      </c>
      <c r="T3614" s="12" t="s">
        <v>7194</v>
      </c>
      <c r="U3614" t="str">
        <f>VLOOKUP(T3614,[8]Votes!$A$1:$E$234,3,FALSE)</f>
        <v>144 Uganda Police Force</v>
      </c>
      <c r="V3614" s="12" t="s">
        <v>13657</v>
      </c>
      <c r="W3614" s="407">
        <v>1</v>
      </c>
      <c r="X3614" s="407">
        <v>1</v>
      </c>
      <c r="Y3614" s="407">
        <v>0</v>
      </c>
      <c r="Z3614" s="407">
        <v>1</v>
      </c>
      <c r="AA3614" s="407">
        <v>1</v>
      </c>
      <c r="AB3614" s="407">
        <v>0</v>
      </c>
      <c r="AC3614" s="150">
        <v>0</v>
      </c>
      <c r="AD3614" s="150">
        <v>1</v>
      </c>
      <c r="AE3614" s="49">
        <f t="shared" si="134"/>
        <v>0.625</v>
      </c>
      <c r="AF3614" s="401"/>
      <c r="AG3614" s="17">
        <v>0</v>
      </c>
      <c r="AH3614" s="401">
        <v>2.036</v>
      </c>
      <c r="AI3614" s="401">
        <v>2.036</v>
      </c>
      <c r="AJ3614" s="401">
        <v>2.036</v>
      </c>
      <c r="AK3614" s="498">
        <v>2.036</v>
      </c>
      <c r="AL3614" s="498">
        <v>2.036</v>
      </c>
      <c r="AM3614" s="17">
        <f t="shared" si="135"/>
        <v>4.0720000000000001</v>
      </c>
      <c r="AN3614" s="18" t="s">
        <v>7194</v>
      </c>
      <c r="AO3614" s="162" t="s">
        <v>7396</v>
      </c>
    </row>
    <row r="3615" spans="1:41" s="18" customFormat="1" x14ac:dyDescent="0.3">
      <c r="A3615" s="205" t="s">
        <v>8321</v>
      </c>
      <c r="B3615" s="162" t="s">
        <v>8322</v>
      </c>
      <c r="C3615" s="168" t="s">
        <v>13637</v>
      </c>
      <c r="D3615" s="406" t="s">
        <v>6838</v>
      </c>
      <c r="E3615" s="406" t="s">
        <v>13638</v>
      </c>
      <c r="F3615" s="406" t="s">
        <v>13533</v>
      </c>
      <c r="G3615" s="386" t="s">
        <v>13658</v>
      </c>
      <c r="H3615" s="406" t="s">
        <v>13659</v>
      </c>
      <c r="I3615" s="406" t="s">
        <v>13641</v>
      </c>
      <c r="J3615" s="406" t="s">
        <v>13641</v>
      </c>
      <c r="K3615" s="386" t="s">
        <v>13660</v>
      </c>
      <c r="L3615" s="406" t="s">
        <v>13661</v>
      </c>
      <c r="M3615" s="406" t="s">
        <v>13662</v>
      </c>
      <c r="N3615" s="12" t="s">
        <v>13641</v>
      </c>
      <c r="O3615" s="21">
        <v>1</v>
      </c>
      <c r="P3615" s="21">
        <v>1</v>
      </c>
      <c r="Q3615" s="21">
        <v>1</v>
      </c>
      <c r="R3615" s="21">
        <v>1</v>
      </c>
      <c r="S3615" s="21">
        <v>1</v>
      </c>
      <c r="T3615" s="12" t="s">
        <v>7194</v>
      </c>
      <c r="U3615" t="str">
        <f>VLOOKUP(T3615,[8]Votes!$A$1:$E$234,3,FALSE)</f>
        <v>144 Uganda Police Force</v>
      </c>
      <c r="V3615" s="12" t="s">
        <v>13663</v>
      </c>
      <c r="W3615" s="407">
        <v>1</v>
      </c>
      <c r="X3615" s="407">
        <v>1</v>
      </c>
      <c r="Y3615" s="407">
        <v>1</v>
      </c>
      <c r="Z3615" s="407">
        <v>1</v>
      </c>
      <c r="AA3615" s="407">
        <v>1</v>
      </c>
      <c r="AB3615" s="407">
        <v>0</v>
      </c>
      <c r="AC3615" s="150">
        <v>1</v>
      </c>
      <c r="AD3615" s="150">
        <v>1</v>
      </c>
      <c r="AE3615" s="49">
        <f t="shared" si="134"/>
        <v>0.875</v>
      </c>
      <c r="AF3615" s="401">
        <v>0</v>
      </c>
      <c r="AG3615" s="17">
        <v>0</v>
      </c>
      <c r="AH3615" s="401">
        <v>2.0609999999999999</v>
      </c>
      <c r="AI3615" s="401">
        <v>2.0609999999999999</v>
      </c>
      <c r="AJ3615" s="401">
        <v>2.0609999999999999</v>
      </c>
      <c r="AK3615" s="498">
        <v>2.0609999999999999</v>
      </c>
      <c r="AL3615" s="498">
        <v>2.0609999999999999</v>
      </c>
      <c r="AM3615" s="17">
        <f t="shared" si="135"/>
        <v>4.1219999999999999</v>
      </c>
      <c r="AN3615" s="18" t="s">
        <v>7194</v>
      </c>
      <c r="AO3615" s="162" t="s">
        <v>7396</v>
      </c>
    </row>
    <row r="3616" spans="1:41" s="18" customFormat="1" x14ac:dyDescent="0.3">
      <c r="A3616" s="205" t="s">
        <v>8321</v>
      </c>
      <c r="B3616" s="162" t="s">
        <v>8322</v>
      </c>
      <c r="C3616" s="168" t="s">
        <v>13637</v>
      </c>
      <c r="D3616" s="406" t="s">
        <v>6838</v>
      </c>
      <c r="E3616" s="406" t="s">
        <v>13638</v>
      </c>
      <c r="F3616" s="406" t="s">
        <v>13533</v>
      </c>
      <c r="G3616" s="386" t="s">
        <v>13658</v>
      </c>
      <c r="H3616" s="406" t="s">
        <v>13659</v>
      </c>
      <c r="I3616" s="406" t="s">
        <v>13641</v>
      </c>
      <c r="J3616" s="406" t="s">
        <v>13641</v>
      </c>
      <c r="K3616" s="386" t="s">
        <v>13664</v>
      </c>
      <c r="L3616" s="406" t="s">
        <v>13665</v>
      </c>
      <c r="M3616" s="406" t="s">
        <v>13666</v>
      </c>
      <c r="N3616" s="12" t="s">
        <v>13641</v>
      </c>
      <c r="O3616" s="21">
        <v>1</v>
      </c>
      <c r="P3616" s="21">
        <v>1</v>
      </c>
      <c r="Q3616" s="21">
        <v>1</v>
      </c>
      <c r="R3616" s="21">
        <v>1</v>
      </c>
      <c r="S3616" s="21">
        <v>1</v>
      </c>
      <c r="T3616" s="12" t="s">
        <v>7194</v>
      </c>
      <c r="U3616" t="str">
        <f>VLOOKUP(T3616,[8]Votes!$A$1:$E$234,3,FALSE)</f>
        <v>144 Uganda Police Force</v>
      </c>
      <c r="V3616" s="12" t="s">
        <v>13667</v>
      </c>
      <c r="W3616" s="407">
        <v>1</v>
      </c>
      <c r="X3616" s="407">
        <v>1</v>
      </c>
      <c r="Y3616" s="407">
        <v>0</v>
      </c>
      <c r="Z3616" s="407">
        <v>1</v>
      </c>
      <c r="AA3616" s="407">
        <v>1</v>
      </c>
      <c r="AB3616" s="407">
        <v>0</v>
      </c>
      <c r="AC3616" s="150">
        <v>0</v>
      </c>
      <c r="AD3616" s="150">
        <v>1</v>
      </c>
      <c r="AE3616" s="49">
        <f t="shared" si="134"/>
        <v>0.625</v>
      </c>
      <c r="AF3616" s="401"/>
      <c r="AG3616" s="17">
        <v>0</v>
      </c>
      <c r="AH3616" s="401">
        <v>0.86399999999999999</v>
      </c>
      <c r="AI3616" s="401">
        <v>1.264</v>
      </c>
      <c r="AJ3616" s="401">
        <v>0.56399999999999995</v>
      </c>
      <c r="AK3616" s="498">
        <v>0.96399999999999997</v>
      </c>
      <c r="AL3616" s="498">
        <v>0.66400000000000003</v>
      </c>
      <c r="AM3616" s="17">
        <f t="shared" si="135"/>
        <v>1.6280000000000001</v>
      </c>
      <c r="AN3616" s="18" t="s">
        <v>7194</v>
      </c>
      <c r="AO3616" s="162" t="s">
        <v>7396</v>
      </c>
    </row>
    <row r="3617" spans="1:41" s="18" customFormat="1" x14ac:dyDescent="0.3">
      <c r="A3617" s="205" t="s">
        <v>8321</v>
      </c>
      <c r="B3617" s="162" t="s">
        <v>8322</v>
      </c>
      <c r="C3617" s="168" t="s">
        <v>13637</v>
      </c>
      <c r="D3617" s="406" t="s">
        <v>6838</v>
      </c>
      <c r="E3617" s="406" t="s">
        <v>13638</v>
      </c>
      <c r="F3617" s="406" t="s">
        <v>13533</v>
      </c>
      <c r="G3617" s="386" t="s">
        <v>13658</v>
      </c>
      <c r="H3617" s="406" t="s">
        <v>13659</v>
      </c>
      <c r="I3617" s="406" t="s">
        <v>13641</v>
      </c>
      <c r="J3617" s="406" t="s">
        <v>13641</v>
      </c>
      <c r="K3617" s="386" t="s">
        <v>13668</v>
      </c>
      <c r="L3617" s="406" t="s">
        <v>13669</v>
      </c>
      <c r="M3617" s="406" t="s">
        <v>13670</v>
      </c>
      <c r="N3617" s="12" t="s">
        <v>13641</v>
      </c>
      <c r="O3617" s="21">
        <v>4</v>
      </c>
      <c r="P3617" s="21">
        <v>4</v>
      </c>
      <c r="Q3617" s="21">
        <v>4</v>
      </c>
      <c r="R3617" s="21">
        <v>4</v>
      </c>
      <c r="S3617" s="21">
        <v>4</v>
      </c>
      <c r="T3617" s="12" t="s">
        <v>7194</v>
      </c>
      <c r="U3617" t="str">
        <f>VLOOKUP(T3617,[8]Votes!$A$1:$E$234,3,FALSE)</f>
        <v>144 Uganda Police Force</v>
      </c>
      <c r="V3617" s="12" t="s">
        <v>13671</v>
      </c>
      <c r="W3617" s="407">
        <v>1</v>
      </c>
      <c r="X3617" s="407">
        <v>1</v>
      </c>
      <c r="Y3617" s="407">
        <v>0</v>
      </c>
      <c r="Z3617" s="407">
        <v>1</v>
      </c>
      <c r="AA3617" s="407">
        <v>1</v>
      </c>
      <c r="AB3617" s="407">
        <v>0</v>
      </c>
      <c r="AC3617" s="150">
        <v>0</v>
      </c>
      <c r="AD3617" s="150">
        <v>1</v>
      </c>
      <c r="AE3617" s="49">
        <f t="shared" si="134"/>
        <v>0.625</v>
      </c>
      <c r="AF3617" s="401"/>
      <c r="AG3617" s="17">
        <v>0</v>
      </c>
      <c r="AH3617" s="401">
        <v>0.24</v>
      </c>
      <c r="AI3617" s="401">
        <v>0.24</v>
      </c>
      <c r="AJ3617" s="401">
        <v>0.24</v>
      </c>
      <c r="AK3617" s="498">
        <v>0.24</v>
      </c>
      <c r="AL3617" s="498">
        <v>0.24</v>
      </c>
      <c r="AM3617" s="17">
        <f t="shared" si="135"/>
        <v>0.48</v>
      </c>
      <c r="AN3617" s="18" t="s">
        <v>7194</v>
      </c>
      <c r="AO3617" s="162" t="s">
        <v>7396</v>
      </c>
    </row>
    <row r="3618" spans="1:41" s="18" customFormat="1" x14ac:dyDescent="0.3">
      <c r="A3618" s="205" t="s">
        <v>8321</v>
      </c>
      <c r="B3618" s="162" t="s">
        <v>8322</v>
      </c>
      <c r="C3618" s="168" t="s">
        <v>13637</v>
      </c>
      <c r="D3618" s="406" t="s">
        <v>6838</v>
      </c>
      <c r="E3618" s="406" t="s">
        <v>13638</v>
      </c>
      <c r="F3618" s="406" t="s">
        <v>13533</v>
      </c>
      <c r="G3618" s="386" t="s">
        <v>13639</v>
      </c>
      <c r="H3618" s="406" t="s">
        <v>13640</v>
      </c>
      <c r="I3618" s="406" t="s">
        <v>13641</v>
      </c>
      <c r="J3618" s="406" t="s">
        <v>13641</v>
      </c>
      <c r="K3618" s="386" t="s">
        <v>13672</v>
      </c>
      <c r="L3618" s="406" t="s">
        <v>13673</v>
      </c>
      <c r="M3618" s="406" t="s">
        <v>13674</v>
      </c>
      <c r="N3618" s="12" t="s">
        <v>13641</v>
      </c>
      <c r="O3618" s="21">
        <v>4</v>
      </c>
      <c r="P3618" s="21">
        <v>4</v>
      </c>
      <c r="Q3618" s="21">
        <v>4</v>
      </c>
      <c r="R3618" s="21">
        <v>4</v>
      </c>
      <c r="S3618" s="21">
        <v>4</v>
      </c>
      <c r="T3618" s="12" t="s">
        <v>7194</v>
      </c>
      <c r="U3618" t="str">
        <f>VLOOKUP(T3618,[8]Votes!$A$1:$E$234,3,FALSE)</f>
        <v>144 Uganda Police Force</v>
      </c>
      <c r="V3618" s="12" t="s">
        <v>13675</v>
      </c>
      <c r="W3618" s="407">
        <v>1</v>
      </c>
      <c r="X3618" s="407">
        <v>1</v>
      </c>
      <c r="Y3618" s="407">
        <v>0</v>
      </c>
      <c r="Z3618" s="407">
        <v>1</v>
      </c>
      <c r="AA3618" s="407">
        <v>1</v>
      </c>
      <c r="AB3618" s="407">
        <v>0</v>
      </c>
      <c r="AC3618" s="150">
        <v>0</v>
      </c>
      <c r="AD3618" s="150">
        <v>1</v>
      </c>
      <c r="AE3618" s="49">
        <f t="shared" si="134"/>
        <v>0.625</v>
      </c>
      <c r="AF3618" s="401"/>
      <c r="AG3618" s="17">
        <v>0</v>
      </c>
      <c r="AH3618" s="401">
        <v>2.4580000000000002</v>
      </c>
      <c r="AI3618" s="401">
        <v>2.4580000000000002</v>
      </c>
      <c r="AJ3618" s="401">
        <v>2.4580000000000002</v>
      </c>
      <c r="AK3618" s="498">
        <v>2.4580000000000002</v>
      </c>
      <c r="AL3618" s="498">
        <v>2.4580000000000002</v>
      </c>
      <c r="AM3618" s="17">
        <f t="shared" si="135"/>
        <v>4.9160000000000004</v>
      </c>
      <c r="AN3618" s="18" t="s">
        <v>7194</v>
      </c>
      <c r="AO3618" s="162" t="s">
        <v>7396</v>
      </c>
    </row>
    <row r="3619" spans="1:41" s="18" customFormat="1" x14ac:dyDescent="0.3">
      <c r="A3619" s="205" t="s">
        <v>8321</v>
      </c>
      <c r="B3619" s="162" t="s">
        <v>8322</v>
      </c>
      <c r="C3619" s="168" t="s">
        <v>13637</v>
      </c>
      <c r="D3619" s="406" t="s">
        <v>6838</v>
      </c>
      <c r="E3619" s="406" t="s">
        <v>13638</v>
      </c>
      <c r="F3619" s="406" t="s">
        <v>13533</v>
      </c>
      <c r="G3619" s="386" t="s">
        <v>13639</v>
      </c>
      <c r="H3619" s="406" t="s">
        <v>13640</v>
      </c>
      <c r="I3619" s="406" t="s">
        <v>13641</v>
      </c>
      <c r="J3619" s="406" t="s">
        <v>13641</v>
      </c>
      <c r="K3619" s="386" t="s">
        <v>13676</v>
      </c>
      <c r="L3619" s="406" t="s">
        <v>13677</v>
      </c>
      <c r="M3619" s="406" t="s">
        <v>13678</v>
      </c>
      <c r="N3619" s="12" t="s">
        <v>13641</v>
      </c>
      <c r="O3619" s="21">
        <v>4</v>
      </c>
      <c r="P3619" s="21">
        <v>4</v>
      </c>
      <c r="Q3619" s="21">
        <v>4</v>
      </c>
      <c r="R3619" s="21">
        <v>4</v>
      </c>
      <c r="S3619" s="21">
        <v>4</v>
      </c>
      <c r="T3619" s="12" t="s">
        <v>7194</v>
      </c>
      <c r="U3619" t="str">
        <f>VLOOKUP(T3619,[8]Votes!$A$1:$E$234,3,FALSE)</f>
        <v>144 Uganda Police Force</v>
      </c>
      <c r="V3619" s="12" t="s">
        <v>13679</v>
      </c>
      <c r="W3619" s="407">
        <v>1</v>
      </c>
      <c r="X3619" s="407">
        <v>1</v>
      </c>
      <c r="Y3619" s="407">
        <v>0</v>
      </c>
      <c r="Z3619" s="407">
        <v>1</v>
      </c>
      <c r="AA3619" s="407">
        <v>1</v>
      </c>
      <c r="AB3619" s="407">
        <v>1</v>
      </c>
      <c r="AC3619" s="150">
        <v>0</v>
      </c>
      <c r="AD3619" s="150">
        <v>1</v>
      </c>
      <c r="AE3619" s="49">
        <f t="shared" si="134"/>
        <v>0.75</v>
      </c>
      <c r="AF3619" s="401"/>
      <c r="AG3619" s="17">
        <v>0</v>
      </c>
      <c r="AH3619" s="401">
        <v>1.2989999999999999</v>
      </c>
      <c r="AI3619" s="401">
        <v>2.4990000000000001</v>
      </c>
      <c r="AJ3619" s="401">
        <v>2.601</v>
      </c>
      <c r="AK3619" s="498">
        <v>1.609</v>
      </c>
      <c r="AL3619" s="498">
        <v>1.1990000000000001</v>
      </c>
      <c r="AM3619" s="17">
        <f t="shared" si="135"/>
        <v>2.8079999999999998</v>
      </c>
      <c r="AN3619" s="18" t="s">
        <v>7194</v>
      </c>
      <c r="AO3619" s="162" t="s">
        <v>7396</v>
      </c>
    </row>
    <row r="3620" spans="1:41" s="18" customFormat="1" x14ac:dyDescent="0.3">
      <c r="A3620" s="205" t="s">
        <v>8321</v>
      </c>
      <c r="B3620" s="162" t="s">
        <v>8322</v>
      </c>
      <c r="C3620" s="168" t="s">
        <v>13637</v>
      </c>
      <c r="D3620" s="406" t="s">
        <v>6838</v>
      </c>
      <c r="E3620" s="406" t="s">
        <v>13638</v>
      </c>
      <c r="F3620" s="406" t="s">
        <v>13533</v>
      </c>
      <c r="G3620" s="386" t="s">
        <v>13639</v>
      </c>
      <c r="H3620" s="406" t="s">
        <v>13640</v>
      </c>
      <c r="I3620" s="406" t="s">
        <v>13641</v>
      </c>
      <c r="J3620" s="406" t="s">
        <v>13641</v>
      </c>
      <c r="K3620" s="386" t="s">
        <v>13680</v>
      </c>
      <c r="L3620" s="406" t="s">
        <v>13681</v>
      </c>
      <c r="M3620" s="406" t="s">
        <v>13682</v>
      </c>
      <c r="N3620" s="12" t="s">
        <v>13641</v>
      </c>
      <c r="O3620" s="21">
        <v>52</v>
      </c>
      <c r="P3620" s="21">
        <v>52</v>
      </c>
      <c r="Q3620" s="21">
        <v>52</v>
      </c>
      <c r="R3620" s="21">
        <v>52</v>
      </c>
      <c r="S3620" s="21">
        <v>52</v>
      </c>
      <c r="T3620" s="12" t="s">
        <v>7194</v>
      </c>
      <c r="U3620" t="str">
        <f>VLOOKUP(T3620,[8]Votes!$A$1:$E$234,3,FALSE)</f>
        <v>144 Uganda Police Force</v>
      </c>
      <c r="V3620" s="12" t="s">
        <v>13683</v>
      </c>
      <c r="W3620" s="407">
        <v>1</v>
      </c>
      <c r="X3620" s="407">
        <v>1</v>
      </c>
      <c r="Y3620" s="407">
        <v>1</v>
      </c>
      <c r="Z3620" s="407">
        <v>1</v>
      </c>
      <c r="AA3620" s="407">
        <v>1</v>
      </c>
      <c r="AB3620" s="407">
        <v>1</v>
      </c>
      <c r="AC3620" s="150">
        <v>0</v>
      </c>
      <c r="AD3620" s="150">
        <v>1</v>
      </c>
      <c r="AE3620" s="49">
        <f t="shared" si="134"/>
        <v>0.875</v>
      </c>
      <c r="AF3620" s="401"/>
      <c r="AG3620" s="17">
        <v>0</v>
      </c>
      <c r="AH3620" s="401">
        <v>2.08</v>
      </c>
      <c r="AI3620" s="401">
        <v>2.08</v>
      </c>
      <c r="AJ3620" s="401">
        <v>2.08</v>
      </c>
      <c r="AK3620" s="498">
        <v>2.08</v>
      </c>
      <c r="AL3620" s="498">
        <v>2.08</v>
      </c>
      <c r="AM3620" s="17">
        <f t="shared" si="135"/>
        <v>4.16</v>
      </c>
      <c r="AN3620" s="18" t="s">
        <v>7194</v>
      </c>
      <c r="AO3620" s="162" t="s">
        <v>7396</v>
      </c>
    </row>
    <row r="3621" spans="1:41" s="18" customFormat="1" x14ac:dyDescent="0.3">
      <c r="A3621" s="205" t="s">
        <v>8321</v>
      </c>
      <c r="B3621" s="162" t="s">
        <v>8322</v>
      </c>
      <c r="C3621" s="168" t="s">
        <v>13637</v>
      </c>
      <c r="D3621" s="406" t="s">
        <v>6838</v>
      </c>
      <c r="E3621" s="406" t="s">
        <v>13638</v>
      </c>
      <c r="F3621" s="406" t="s">
        <v>13533</v>
      </c>
      <c r="G3621" s="386" t="s">
        <v>13639</v>
      </c>
      <c r="H3621" s="406" t="s">
        <v>13640</v>
      </c>
      <c r="I3621" s="406" t="s">
        <v>13641</v>
      </c>
      <c r="J3621" s="406" t="s">
        <v>13641</v>
      </c>
      <c r="K3621" s="386" t="s">
        <v>13684</v>
      </c>
      <c r="L3621" s="406" t="s">
        <v>13685</v>
      </c>
      <c r="M3621" s="406" t="s">
        <v>13686</v>
      </c>
      <c r="N3621" s="12" t="s">
        <v>13641</v>
      </c>
      <c r="O3621" s="21">
        <v>52</v>
      </c>
      <c r="P3621" s="21">
        <v>52</v>
      </c>
      <c r="Q3621" s="21">
        <v>52</v>
      </c>
      <c r="R3621" s="21">
        <v>52</v>
      </c>
      <c r="S3621" s="21">
        <v>52</v>
      </c>
      <c r="T3621" s="12" t="s">
        <v>7194</v>
      </c>
      <c r="U3621" t="str">
        <f>VLOOKUP(T3621,[8]Votes!$A$1:$E$234,3,FALSE)</f>
        <v>144 Uganda Police Force</v>
      </c>
      <c r="V3621" s="12" t="s">
        <v>13687</v>
      </c>
      <c r="W3621" s="407">
        <v>1</v>
      </c>
      <c r="X3621" s="407">
        <v>1</v>
      </c>
      <c r="Y3621" s="407">
        <v>0</v>
      </c>
      <c r="Z3621" s="407">
        <v>1</v>
      </c>
      <c r="AA3621" s="407">
        <v>1</v>
      </c>
      <c r="AB3621" s="407">
        <v>0</v>
      </c>
      <c r="AC3621" s="150">
        <v>0</v>
      </c>
      <c r="AD3621" s="150">
        <v>1</v>
      </c>
      <c r="AE3621" s="49">
        <f t="shared" si="134"/>
        <v>0.625</v>
      </c>
      <c r="AF3621" s="401"/>
      <c r="AG3621" s="17">
        <v>0</v>
      </c>
      <c r="AH3621" s="401">
        <v>1.04</v>
      </c>
      <c r="AI3621" s="401">
        <v>1.04</v>
      </c>
      <c r="AJ3621" s="401">
        <v>1.04</v>
      </c>
      <c r="AK3621" s="498">
        <v>1.04</v>
      </c>
      <c r="AL3621" s="498">
        <v>1.04</v>
      </c>
      <c r="AM3621" s="17">
        <f t="shared" si="135"/>
        <v>2.08</v>
      </c>
      <c r="AN3621" s="18" t="s">
        <v>7194</v>
      </c>
      <c r="AO3621" s="162" t="s">
        <v>7396</v>
      </c>
    </row>
    <row r="3622" spans="1:41" s="18" customFormat="1" x14ac:dyDescent="0.3">
      <c r="A3622" s="205" t="s">
        <v>8321</v>
      </c>
      <c r="B3622" s="162" t="s">
        <v>8322</v>
      </c>
      <c r="C3622" s="168" t="s">
        <v>13637</v>
      </c>
      <c r="D3622" s="406" t="s">
        <v>6838</v>
      </c>
      <c r="E3622" s="406" t="s">
        <v>13638</v>
      </c>
      <c r="F3622" s="406" t="s">
        <v>13533</v>
      </c>
      <c r="G3622" s="386" t="s">
        <v>13639</v>
      </c>
      <c r="H3622" s="406" t="s">
        <v>13640</v>
      </c>
      <c r="I3622" s="406" t="s">
        <v>13641</v>
      </c>
      <c r="J3622" s="406" t="s">
        <v>13641</v>
      </c>
      <c r="K3622" s="386" t="s">
        <v>13688</v>
      </c>
      <c r="L3622" s="406" t="s">
        <v>13689</v>
      </c>
      <c r="M3622" s="406" t="s">
        <v>13690</v>
      </c>
      <c r="N3622" s="12" t="s">
        <v>13641</v>
      </c>
      <c r="O3622" s="21">
        <v>5</v>
      </c>
      <c r="P3622" s="21">
        <v>5</v>
      </c>
      <c r="Q3622" s="21">
        <v>5</v>
      </c>
      <c r="R3622" s="21">
        <v>5</v>
      </c>
      <c r="S3622" s="21">
        <v>5</v>
      </c>
      <c r="T3622" s="12" t="s">
        <v>7194</v>
      </c>
      <c r="U3622" t="str">
        <f>VLOOKUP(T3622,[8]Votes!$A$1:$E$234,3,FALSE)</f>
        <v>144 Uganda Police Force</v>
      </c>
      <c r="V3622" s="12" t="s">
        <v>13691</v>
      </c>
      <c r="W3622" s="407">
        <v>1</v>
      </c>
      <c r="X3622" s="407">
        <v>1</v>
      </c>
      <c r="Y3622" s="407">
        <v>0</v>
      </c>
      <c r="Z3622" s="407">
        <v>1</v>
      </c>
      <c r="AA3622" s="407">
        <v>1</v>
      </c>
      <c r="AB3622" s="407">
        <v>1</v>
      </c>
      <c r="AC3622" s="150">
        <v>0</v>
      </c>
      <c r="AD3622" s="150">
        <v>1</v>
      </c>
      <c r="AE3622" s="49">
        <f t="shared" si="134"/>
        <v>0.75</v>
      </c>
      <c r="AF3622" s="401"/>
      <c r="AG3622" s="17">
        <v>0</v>
      </c>
      <c r="AH3622" s="401">
        <v>2.754</v>
      </c>
      <c r="AI3622" s="401">
        <v>2.0510000000000002</v>
      </c>
      <c r="AJ3622" s="401">
        <v>2.355</v>
      </c>
      <c r="AK3622" s="498">
        <v>2.5790000000000002</v>
      </c>
      <c r="AL3622" s="498">
        <v>2.867</v>
      </c>
      <c r="AM3622" s="17">
        <f t="shared" si="135"/>
        <v>5.4459999999999997</v>
      </c>
      <c r="AN3622" s="18" t="s">
        <v>7194</v>
      </c>
      <c r="AO3622" s="162" t="s">
        <v>7396</v>
      </c>
    </row>
    <row r="3623" spans="1:41" s="18" customFormat="1" x14ac:dyDescent="0.3">
      <c r="A3623" s="205" t="s">
        <v>8321</v>
      </c>
      <c r="B3623" s="162" t="s">
        <v>8322</v>
      </c>
      <c r="C3623" s="168" t="s">
        <v>13637</v>
      </c>
      <c r="D3623" s="406" t="s">
        <v>6838</v>
      </c>
      <c r="E3623" s="406" t="s">
        <v>13638</v>
      </c>
      <c r="F3623" s="406" t="s">
        <v>13533</v>
      </c>
      <c r="G3623" s="386" t="s">
        <v>13658</v>
      </c>
      <c r="H3623" s="406" t="s">
        <v>13659</v>
      </c>
      <c r="I3623" s="406" t="s">
        <v>13641</v>
      </c>
      <c r="J3623" s="406" t="s">
        <v>13641</v>
      </c>
      <c r="K3623" s="386" t="s">
        <v>13692</v>
      </c>
      <c r="L3623" s="406" t="s">
        <v>13693</v>
      </c>
      <c r="M3623" s="406" t="s">
        <v>13694</v>
      </c>
      <c r="N3623" s="12" t="s">
        <v>13641</v>
      </c>
      <c r="O3623" s="21">
        <v>4</v>
      </c>
      <c r="P3623" s="21">
        <v>4</v>
      </c>
      <c r="Q3623" s="21">
        <v>4</v>
      </c>
      <c r="R3623" s="21">
        <v>4</v>
      </c>
      <c r="S3623" s="21">
        <v>4</v>
      </c>
      <c r="T3623" s="12" t="s">
        <v>7194</v>
      </c>
      <c r="U3623" t="str">
        <f>VLOOKUP(T3623,[8]Votes!$A$1:$E$234,3,FALSE)</f>
        <v>144 Uganda Police Force</v>
      </c>
      <c r="V3623" s="12" t="s">
        <v>13695</v>
      </c>
      <c r="W3623" s="407">
        <v>1</v>
      </c>
      <c r="X3623" s="407">
        <v>1</v>
      </c>
      <c r="Y3623" s="407">
        <v>0</v>
      </c>
      <c r="Z3623" s="407">
        <v>1</v>
      </c>
      <c r="AA3623" s="407">
        <v>1</v>
      </c>
      <c r="AB3623" s="407">
        <v>1</v>
      </c>
      <c r="AC3623" s="150">
        <v>0</v>
      </c>
      <c r="AD3623" s="150">
        <v>1</v>
      </c>
      <c r="AE3623" s="49">
        <f t="shared" si="134"/>
        <v>0.75</v>
      </c>
      <c r="AF3623" s="401"/>
      <c r="AG3623" s="17">
        <v>0</v>
      </c>
      <c r="AH3623" s="401">
        <v>2.0089999999999999</v>
      </c>
      <c r="AI3623" s="401">
        <v>2.0089999999999999</v>
      </c>
      <c r="AJ3623" s="401">
        <v>2.0089999999999999</v>
      </c>
      <c r="AK3623" s="498">
        <v>2.0089999999999999</v>
      </c>
      <c r="AL3623" s="498">
        <v>2.0089999999999999</v>
      </c>
      <c r="AM3623" s="17">
        <f t="shared" si="135"/>
        <v>4.0179999999999998</v>
      </c>
      <c r="AN3623" s="18" t="s">
        <v>7194</v>
      </c>
      <c r="AO3623" s="162" t="s">
        <v>7396</v>
      </c>
    </row>
    <row r="3624" spans="1:41" s="18" customFormat="1" x14ac:dyDescent="0.3">
      <c r="A3624" s="205" t="s">
        <v>8321</v>
      </c>
      <c r="B3624" s="162" t="s">
        <v>8322</v>
      </c>
      <c r="C3624" s="168" t="s">
        <v>13637</v>
      </c>
      <c r="D3624" s="406" t="s">
        <v>6838</v>
      </c>
      <c r="E3624" s="406" t="s">
        <v>13638</v>
      </c>
      <c r="F3624" s="406" t="s">
        <v>13533</v>
      </c>
      <c r="G3624" s="386" t="s">
        <v>13658</v>
      </c>
      <c r="H3624" s="406" t="s">
        <v>13659</v>
      </c>
      <c r="I3624" s="406" t="s">
        <v>13641</v>
      </c>
      <c r="J3624" s="406" t="s">
        <v>13641</v>
      </c>
      <c r="K3624" s="386" t="s">
        <v>13696</v>
      </c>
      <c r="L3624" s="406" t="s">
        <v>13697</v>
      </c>
      <c r="M3624" s="406" t="s">
        <v>13698</v>
      </c>
      <c r="N3624" s="12" t="s">
        <v>13641</v>
      </c>
      <c r="O3624" s="21">
        <v>5</v>
      </c>
      <c r="P3624" s="21">
        <v>5</v>
      </c>
      <c r="Q3624" s="21">
        <v>5</v>
      </c>
      <c r="R3624" s="21">
        <v>5</v>
      </c>
      <c r="S3624" s="21">
        <v>5</v>
      </c>
      <c r="T3624" s="12" t="s">
        <v>7194</v>
      </c>
      <c r="U3624" t="str">
        <f>VLOOKUP(T3624,[8]Votes!$A$1:$E$234,3,FALSE)</f>
        <v>144 Uganda Police Force</v>
      </c>
      <c r="V3624" s="12" t="s">
        <v>13699</v>
      </c>
      <c r="W3624" s="407">
        <v>0</v>
      </c>
      <c r="X3624" s="407">
        <v>0</v>
      </c>
      <c r="Y3624" s="407">
        <v>1</v>
      </c>
      <c r="Z3624" s="407">
        <v>1</v>
      </c>
      <c r="AA3624" s="407">
        <v>1</v>
      </c>
      <c r="AB3624" s="407">
        <v>0</v>
      </c>
      <c r="AC3624" s="150">
        <v>1</v>
      </c>
      <c r="AD3624" s="150">
        <v>0</v>
      </c>
      <c r="AE3624" s="49">
        <f t="shared" si="134"/>
        <v>0.5</v>
      </c>
      <c r="AF3624" s="401"/>
      <c r="AG3624" s="17">
        <v>0</v>
      </c>
      <c r="AH3624" s="401">
        <v>0.44600000000000001</v>
      </c>
      <c r="AI3624" s="401">
        <v>0.44600000000000001</v>
      </c>
      <c r="AJ3624" s="401">
        <v>0.44600000000000001</v>
      </c>
      <c r="AK3624" s="498">
        <v>0.44600000000000001</v>
      </c>
      <c r="AL3624" s="498">
        <v>0.44600000000000001</v>
      </c>
      <c r="AM3624" s="17">
        <f t="shared" si="135"/>
        <v>0.89200000000000002</v>
      </c>
      <c r="AN3624" s="18" t="s">
        <v>7194</v>
      </c>
      <c r="AO3624" s="162" t="s">
        <v>7396</v>
      </c>
    </row>
    <row r="3625" spans="1:41" s="18" customFormat="1" x14ac:dyDescent="0.3">
      <c r="A3625" s="205" t="s">
        <v>8321</v>
      </c>
      <c r="B3625" s="162" t="s">
        <v>8322</v>
      </c>
      <c r="C3625" s="168" t="s">
        <v>13637</v>
      </c>
      <c r="D3625" s="406" t="s">
        <v>6838</v>
      </c>
      <c r="E3625" s="406" t="s">
        <v>13638</v>
      </c>
      <c r="F3625" s="406" t="s">
        <v>13533</v>
      </c>
      <c r="G3625" s="386" t="s">
        <v>13639</v>
      </c>
      <c r="H3625" s="406" t="s">
        <v>13640</v>
      </c>
      <c r="I3625" s="406" t="s">
        <v>13641</v>
      </c>
      <c r="J3625" s="406" t="s">
        <v>13641</v>
      </c>
      <c r="K3625" s="386" t="s">
        <v>13700</v>
      </c>
      <c r="L3625" s="406" t="s">
        <v>13701</v>
      </c>
      <c r="M3625" s="406" t="s">
        <v>13702</v>
      </c>
      <c r="N3625" s="12" t="s">
        <v>13641</v>
      </c>
      <c r="O3625" s="21">
        <v>4</v>
      </c>
      <c r="P3625" s="21">
        <v>4</v>
      </c>
      <c r="Q3625" s="21">
        <v>4</v>
      </c>
      <c r="R3625" s="21">
        <v>4</v>
      </c>
      <c r="S3625" s="21">
        <v>4</v>
      </c>
      <c r="T3625" s="12" t="s">
        <v>7194</v>
      </c>
      <c r="U3625" t="str">
        <f>VLOOKUP(T3625,[8]Votes!$A$1:$E$234,3,FALSE)</f>
        <v>144 Uganda Police Force</v>
      </c>
      <c r="V3625" s="12" t="s">
        <v>13703</v>
      </c>
      <c r="W3625" s="407">
        <v>1</v>
      </c>
      <c r="X3625" s="407">
        <v>1</v>
      </c>
      <c r="Y3625" s="407">
        <v>0</v>
      </c>
      <c r="Z3625" s="407">
        <v>1</v>
      </c>
      <c r="AA3625" s="407">
        <v>1</v>
      </c>
      <c r="AB3625" s="407">
        <v>0</v>
      </c>
      <c r="AC3625" s="150">
        <v>0</v>
      </c>
      <c r="AD3625" s="150">
        <v>1</v>
      </c>
      <c r="AE3625" s="49">
        <f t="shared" si="134"/>
        <v>0.625</v>
      </c>
      <c r="AF3625" s="401"/>
      <c r="AG3625" s="17">
        <v>0</v>
      </c>
      <c r="AH3625" s="401">
        <v>0.99399999999999999</v>
      </c>
      <c r="AI3625" s="401">
        <v>0.99399999999999999</v>
      </c>
      <c r="AJ3625" s="401">
        <v>0.99399999999999999</v>
      </c>
      <c r="AK3625" s="498">
        <v>0.99399999999999999</v>
      </c>
      <c r="AL3625" s="498">
        <v>0.99399999999999999</v>
      </c>
      <c r="AM3625" s="17">
        <f t="shared" si="135"/>
        <v>1.988</v>
      </c>
      <c r="AN3625" s="18" t="s">
        <v>7194</v>
      </c>
      <c r="AO3625" s="162" t="s">
        <v>7396</v>
      </c>
    </row>
    <row r="3626" spans="1:41" s="18" customFormat="1" x14ac:dyDescent="0.3">
      <c r="A3626" s="205" t="s">
        <v>8321</v>
      </c>
      <c r="B3626" s="162" t="s">
        <v>8322</v>
      </c>
      <c r="C3626" s="168" t="s">
        <v>13637</v>
      </c>
      <c r="D3626" s="406" t="s">
        <v>6838</v>
      </c>
      <c r="E3626" s="406" t="s">
        <v>13638</v>
      </c>
      <c r="F3626" s="406" t="s">
        <v>13533</v>
      </c>
      <c r="G3626" s="386" t="s">
        <v>13639</v>
      </c>
      <c r="H3626" s="406" t="s">
        <v>13640</v>
      </c>
      <c r="I3626" s="406" t="s">
        <v>13641</v>
      </c>
      <c r="J3626" s="406" t="s">
        <v>13641</v>
      </c>
      <c r="K3626" s="386" t="s">
        <v>13704</v>
      </c>
      <c r="L3626" s="406" t="s">
        <v>13705</v>
      </c>
      <c r="M3626" s="406" t="s">
        <v>13706</v>
      </c>
      <c r="N3626" s="12" t="s">
        <v>13641</v>
      </c>
      <c r="O3626" s="21">
        <v>8</v>
      </c>
      <c r="P3626" s="21">
        <v>8</v>
      </c>
      <c r="Q3626" s="21">
        <v>8</v>
      </c>
      <c r="R3626" s="21">
        <v>8</v>
      </c>
      <c r="S3626" s="21">
        <v>8</v>
      </c>
      <c r="T3626" s="12" t="s">
        <v>7194</v>
      </c>
      <c r="U3626" t="str">
        <f>VLOOKUP(T3626,[8]Votes!$A$1:$E$234,3,FALSE)</f>
        <v>144 Uganda Police Force</v>
      </c>
      <c r="V3626" s="12" t="s">
        <v>13707</v>
      </c>
      <c r="W3626" s="407">
        <v>1</v>
      </c>
      <c r="X3626" s="407">
        <v>1</v>
      </c>
      <c r="Y3626" s="407">
        <v>0</v>
      </c>
      <c r="Z3626" s="407">
        <v>1</v>
      </c>
      <c r="AA3626" s="407">
        <v>1</v>
      </c>
      <c r="AB3626" s="407">
        <v>0</v>
      </c>
      <c r="AC3626" s="150">
        <v>0</v>
      </c>
      <c r="AD3626" s="150">
        <v>1</v>
      </c>
      <c r="AE3626" s="49">
        <f t="shared" si="134"/>
        <v>0.625</v>
      </c>
      <c r="AF3626" s="401"/>
      <c r="AG3626" s="17">
        <v>0</v>
      </c>
      <c r="AH3626" s="401">
        <v>0.92600000000000005</v>
      </c>
      <c r="AI3626" s="401">
        <v>0.92600000000000005</v>
      </c>
      <c r="AJ3626" s="401">
        <v>0.92600000000000005</v>
      </c>
      <c r="AK3626" s="498">
        <v>0.92600000000000005</v>
      </c>
      <c r="AL3626" s="498">
        <v>0.92600000000000005</v>
      </c>
      <c r="AM3626" s="17">
        <f t="shared" si="135"/>
        <v>1.8520000000000001</v>
      </c>
      <c r="AN3626" s="18" t="s">
        <v>7194</v>
      </c>
      <c r="AO3626" s="162" t="s">
        <v>7396</v>
      </c>
    </row>
    <row r="3627" spans="1:41" s="18" customFormat="1" x14ac:dyDescent="0.3">
      <c r="A3627" s="205" t="s">
        <v>8321</v>
      </c>
      <c r="B3627" s="162" t="s">
        <v>8322</v>
      </c>
      <c r="C3627" s="168" t="s">
        <v>13637</v>
      </c>
      <c r="D3627" s="406" t="s">
        <v>6838</v>
      </c>
      <c r="E3627" s="406" t="s">
        <v>13638</v>
      </c>
      <c r="F3627" s="406" t="s">
        <v>13533</v>
      </c>
      <c r="G3627" s="386" t="s">
        <v>13639</v>
      </c>
      <c r="H3627" s="406" t="s">
        <v>13640</v>
      </c>
      <c r="I3627" s="406" t="s">
        <v>13641</v>
      </c>
      <c r="J3627" s="406" t="s">
        <v>13641</v>
      </c>
      <c r="K3627" s="386" t="s">
        <v>13708</v>
      </c>
      <c r="L3627" s="406" t="s">
        <v>13709</v>
      </c>
      <c r="M3627" s="406" t="s">
        <v>13710</v>
      </c>
      <c r="N3627" s="12" t="s">
        <v>13641</v>
      </c>
      <c r="O3627" s="21">
        <v>4</v>
      </c>
      <c r="P3627" s="21">
        <v>4</v>
      </c>
      <c r="Q3627" s="21">
        <v>4</v>
      </c>
      <c r="R3627" s="21">
        <v>4</v>
      </c>
      <c r="S3627" s="21" t="s">
        <v>13641</v>
      </c>
      <c r="T3627" s="12" t="s">
        <v>7194</v>
      </c>
      <c r="U3627" t="str">
        <f>VLOOKUP(T3627,[8]Votes!$A$1:$E$234,3,FALSE)</f>
        <v>144 Uganda Police Force</v>
      </c>
      <c r="V3627" s="12" t="s">
        <v>13711</v>
      </c>
      <c r="W3627" s="407">
        <v>1</v>
      </c>
      <c r="X3627" s="407">
        <v>1</v>
      </c>
      <c r="Y3627" s="407">
        <v>0</v>
      </c>
      <c r="Z3627" s="407">
        <v>1</v>
      </c>
      <c r="AA3627" s="407">
        <v>1</v>
      </c>
      <c r="AB3627" s="407">
        <v>1</v>
      </c>
      <c r="AC3627" s="150">
        <v>0</v>
      </c>
      <c r="AD3627" s="150">
        <v>1</v>
      </c>
      <c r="AE3627" s="49">
        <f t="shared" si="134"/>
        <v>0.75</v>
      </c>
      <c r="AF3627" s="401"/>
      <c r="AG3627" s="17">
        <v>0</v>
      </c>
      <c r="AH3627" s="401">
        <v>0.626</v>
      </c>
      <c r="AI3627" s="401">
        <v>0.626</v>
      </c>
      <c r="AJ3627" s="401">
        <v>0.626</v>
      </c>
      <c r="AK3627" s="498">
        <v>0.626</v>
      </c>
      <c r="AL3627" s="498">
        <v>0.626</v>
      </c>
      <c r="AM3627" s="17">
        <f t="shared" si="135"/>
        <v>1.252</v>
      </c>
      <c r="AN3627" s="18" t="s">
        <v>7194</v>
      </c>
      <c r="AO3627" s="162" t="s">
        <v>7396</v>
      </c>
    </row>
    <row r="3628" spans="1:41" s="18" customFormat="1" x14ac:dyDescent="0.3">
      <c r="A3628" s="205" t="s">
        <v>8321</v>
      </c>
      <c r="B3628" s="162" t="s">
        <v>8322</v>
      </c>
      <c r="C3628" s="168" t="s">
        <v>13637</v>
      </c>
      <c r="D3628" s="406" t="s">
        <v>6838</v>
      </c>
      <c r="E3628" s="406" t="s">
        <v>13638</v>
      </c>
      <c r="F3628" s="406" t="s">
        <v>13533</v>
      </c>
      <c r="G3628" s="386" t="s">
        <v>13639</v>
      </c>
      <c r="H3628" s="406" t="s">
        <v>13640</v>
      </c>
      <c r="I3628" s="406" t="s">
        <v>13641</v>
      </c>
      <c r="J3628" s="406" t="s">
        <v>13641</v>
      </c>
      <c r="K3628" s="386" t="s">
        <v>13712</v>
      </c>
      <c r="L3628" s="406" t="s">
        <v>13713</v>
      </c>
      <c r="M3628" s="406" t="s">
        <v>13714</v>
      </c>
      <c r="N3628" s="12" t="s">
        <v>13641</v>
      </c>
      <c r="O3628" s="21">
        <v>4</v>
      </c>
      <c r="P3628" s="21">
        <v>4</v>
      </c>
      <c r="Q3628" s="21">
        <v>4</v>
      </c>
      <c r="R3628" s="21">
        <v>4</v>
      </c>
      <c r="S3628" s="21">
        <v>4</v>
      </c>
      <c r="T3628" s="12" t="s">
        <v>7194</v>
      </c>
      <c r="U3628" t="str">
        <f>VLOOKUP(T3628,[8]Votes!$A$1:$E$234,3,FALSE)</f>
        <v>144 Uganda Police Force</v>
      </c>
      <c r="V3628" s="12" t="s">
        <v>13715</v>
      </c>
      <c r="W3628" s="407">
        <v>1</v>
      </c>
      <c r="X3628" s="407">
        <v>1</v>
      </c>
      <c r="Y3628" s="407">
        <v>0</v>
      </c>
      <c r="Z3628" s="407">
        <v>1</v>
      </c>
      <c r="AA3628" s="407">
        <v>1</v>
      </c>
      <c r="AB3628" s="407">
        <v>0</v>
      </c>
      <c r="AC3628" s="150">
        <v>0</v>
      </c>
      <c r="AD3628" s="150">
        <v>1</v>
      </c>
      <c r="AE3628" s="49">
        <f t="shared" si="134"/>
        <v>0.625</v>
      </c>
      <c r="AF3628" s="401"/>
      <c r="AG3628" s="17">
        <v>0</v>
      </c>
      <c r="AH3628" s="401">
        <v>6.8000000000000005E-2</v>
      </c>
      <c r="AI3628" s="401">
        <v>6.8000000000000005E-2</v>
      </c>
      <c r="AJ3628" s="401">
        <v>6.8000000000000005E-2</v>
      </c>
      <c r="AK3628" s="498">
        <v>6.8000000000000005E-2</v>
      </c>
      <c r="AL3628" s="498">
        <v>6.8000000000000005E-2</v>
      </c>
      <c r="AM3628" s="17">
        <f t="shared" si="135"/>
        <v>0.13600000000000001</v>
      </c>
      <c r="AN3628" s="18" t="s">
        <v>7194</v>
      </c>
      <c r="AO3628" s="162" t="s">
        <v>7396</v>
      </c>
    </row>
    <row r="3629" spans="1:41" s="18" customFormat="1" x14ac:dyDescent="0.3">
      <c r="A3629" s="205" t="s">
        <v>8321</v>
      </c>
      <c r="B3629" s="162" t="s">
        <v>8322</v>
      </c>
      <c r="C3629" s="168" t="s">
        <v>13637</v>
      </c>
      <c r="D3629" s="406" t="s">
        <v>6838</v>
      </c>
      <c r="E3629" s="406" t="s">
        <v>13638</v>
      </c>
      <c r="F3629" s="406" t="s">
        <v>13533</v>
      </c>
      <c r="G3629" s="386" t="s">
        <v>13716</v>
      </c>
      <c r="H3629" s="406" t="s">
        <v>13717</v>
      </c>
      <c r="I3629" s="406" t="s">
        <v>13641</v>
      </c>
      <c r="J3629" s="406" t="s">
        <v>13641</v>
      </c>
      <c r="K3629" s="386" t="s">
        <v>13718</v>
      </c>
      <c r="L3629" s="406" t="s">
        <v>13719</v>
      </c>
      <c r="M3629" s="406" t="s">
        <v>13720</v>
      </c>
      <c r="N3629" s="12" t="s">
        <v>13641</v>
      </c>
      <c r="O3629" s="21">
        <v>400</v>
      </c>
      <c r="P3629" s="21">
        <v>425</v>
      </c>
      <c r="Q3629" s="21">
        <v>575</v>
      </c>
      <c r="R3629" s="21">
        <v>700</v>
      </c>
      <c r="S3629" s="21">
        <v>800</v>
      </c>
      <c r="T3629" s="12" t="s">
        <v>7194</v>
      </c>
      <c r="U3629" t="str">
        <f>VLOOKUP(T3629,[8]Votes!$A$1:$E$234,3,FALSE)</f>
        <v>144 Uganda Police Force</v>
      </c>
      <c r="V3629" s="12" t="s">
        <v>13721</v>
      </c>
      <c r="W3629" s="407">
        <v>1</v>
      </c>
      <c r="X3629" s="407">
        <v>1</v>
      </c>
      <c r="Y3629" s="407">
        <v>0</v>
      </c>
      <c r="Z3629" s="407">
        <v>1</v>
      </c>
      <c r="AA3629" s="407">
        <v>1</v>
      </c>
      <c r="AB3629" s="407">
        <v>1</v>
      </c>
      <c r="AC3629" s="150">
        <v>0</v>
      </c>
      <c r="AD3629" s="150">
        <v>1</v>
      </c>
      <c r="AE3629" s="49">
        <f t="shared" si="134"/>
        <v>0.75</v>
      </c>
      <c r="AF3629" s="401"/>
      <c r="AG3629" s="17">
        <v>0</v>
      </c>
      <c r="AH3629" s="401">
        <v>2</v>
      </c>
      <c r="AI3629" s="401">
        <v>2</v>
      </c>
      <c r="AJ3629" s="401">
        <v>2</v>
      </c>
      <c r="AK3629" s="498">
        <v>2</v>
      </c>
      <c r="AL3629" s="498">
        <v>2</v>
      </c>
      <c r="AM3629" s="17">
        <f t="shared" si="135"/>
        <v>4</v>
      </c>
      <c r="AN3629" s="18" t="s">
        <v>7194</v>
      </c>
      <c r="AO3629" s="162" t="s">
        <v>7396</v>
      </c>
    </row>
    <row r="3630" spans="1:41" s="18" customFormat="1" x14ac:dyDescent="0.3">
      <c r="A3630" s="205" t="s">
        <v>8321</v>
      </c>
      <c r="B3630" s="162" t="s">
        <v>8322</v>
      </c>
      <c r="C3630" s="168" t="s">
        <v>13637</v>
      </c>
      <c r="D3630" s="406" t="s">
        <v>6838</v>
      </c>
      <c r="E3630" s="406" t="s">
        <v>13638</v>
      </c>
      <c r="F3630" s="406" t="s">
        <v>13533</v>
      </c>
      <c r="G3630" s="386" t="s">
        <v>13716</v>
      </c>
      <c r="H3630" s="406" t="s">
        <v>13717</v>
      </c>
      <c r="I3630" s="406" t="s">
        <v>13641</v>
      </c>
      <c r="J3630" s="406" t="s">
        <v>13641</v>
      </c>
      <c r="K3630" s="386" t="s">
        <v>13722</v>
      </c>
      <c r="L3630" s="406" t="s">
        <v>13723</v>
      </c>
      <c r="M3630" s="406" t="s">
        <v>13724</v>
      </c>
      <c r="N3630" s="12" t="s">
        <v>13641</v>
      </c>
      <c r="O3630" s="21">
        <v>52775</v>
      </c>
      <c r="P3630" s="21">
        <v>57775</v>
      </c>
      <c r="Q3630" s="21">
        <v>62775</v>
      </c>
      <c r="R3630" s="21">
        <v>67775</v>
      </c>
      <c r="S3630" s="21">
        <v>72775</v>
      </c>
      <c r="T3630" s="12" t="s">
        <v>7194</v>
      </c>
      <c r="U3630" t="str">
        <f>VLOOKUP(T3630,[8]Votes!$A$1:$E$234,3,FALSE)</f>
        <v>144 Uganda Police Force</v>
      </c>
      <c r="V3630" s="12" t="s">
        <v>13725</v>
      </c>
      <c r="W3630" s="407">
        <v>1</v>
      </c>
      <c r="X3630" s="407">
        <v>1</v>
      </c>
      <c r="Y3630" s="407">
        <v>0</v>
      </c>
      <c r="Z3630" s="407">
        <v>1</v>
      </c>
      <c r="AA3630" s="407">
        <v>1</v>
      </c>
      <c r="AB3630" s="407">
        <v>1</v>
      </c>
      <c r="AC3630" s="150">
        <v>0</v>
      </c>
      <c r="AD3630" s="150">
        <v>1</v>
      </c>
      <c r="AE3630" s="49">
        <f t="shared" si="134"/>
        <v>0.75</v>
      </c>
      <c r="AF3630" s="401"/>
      <c r="AG3630" s="17">
        <v>0</v>
      </c>
      <c r="AH3630" s="401">
        <v>8.8000000000000007</v>
      </c>
      <c r="AI3630" s="401">
        <v>8.9700000000000006</v>
      </c>
      <c r="AJ3630" s="401">
        <v>9.34</v>
      </c>
      <c r="AK3630" s="498">
        <v>1</v>
      </c>
      <c r="AL3630" s="498">
        <v>1</v>
      </c>
      <c r="AM3630" s="17">
        <f t="shared" si="135"/>
        <v>2</v>
      </c>
      <c r="AN3630" s="18" t="s">
        <v>7194</v>
      </c>
      <c r="AO3630" s="162" t="s">
        <v>7396</v>
      </c>
    </row>
    <row r="3631" spans="1:41" s="18" customFormat="1" x14ac:dyDescent="0.3">
      <c r="A3631" s="205" t="s">
        <v>8321</v>
      </c>
      <c r="B3631" s="162" t="s">
        <v>8322</v>
      </c>
      <c r="C3631" s="168" t="s">
        <v>13637</v>
      </c>
      <c r="D3631" s="406" t="s">
        <v>6838</v>
      </c>
      <c r="E3631" s="406" t="s">
        <v>13638</v>
      </c>
      <c r="F3631" s="406" t="s">
        <v>13533</v>
      </c>
      <c r="G3631" s="386" t="s">
        <v>13716</v>
      </c>
      <c r="H3631" s="406" t="s">
        <v>13717</v>
      </c>
      <c r="I3631" s="406" t="s">
        <v>13641</v>
      </c>
      <c r="J3631" s="406" t="s">
        <v>13641</v>
      </c>
      <c r="K3631" s="386" t="s">
        <v>13726</v>
      </c>
      <c r="L3631" s="406" t="s">
        <v>13727</v>
      </c>
      <c r="M3631" s="406" t="s">
        <v>13728</v>
      </c>
      <c r="N3631" s="12" t="s">
        <v>13641</v>
      </c>
      <c r="O3631" s="21" t="s">
        <v>13729</v>
      </c>
      <c r="P3631" s="21" t="s">
        <v>13729</v>
      </c>
      <c r="Q3631" s="21" t="s">
        <v>13729</v>
      </c>
      <c r="R3631" s="21" t="s">
        <v>13730</v>
      </c>
      <c r="S3631" s="21" t="s">
        <v>13730</v>
      </c>
      <c r="T3631" s="12" t="s">
        <v>7194</v>
      </c>
      <c r="U3631" t="str">
        <f>VLOOKUP(T3631,[8]Votes!$A$1:$E$234,3,FALSE)</f>
        <v>144 Uganda Police Force</v>
      </c>
      <c r="V3631" s="12" t="s">
        <v>13731</v>
      </c>
      <c r="W3631" s="407">
        <v>1</v>
      </c>
      <c r="X3631" s="407">
        <v>0</v>
      </c>
      <c r="Y3631" s="407">
        <v>0</v>
      </c>
      <c r="Z3631" s="407">
        <v>1</v>
      </c>
      <c r="AA3631" s="407">
        <v>1</v>
      </c>
      <c r="AB3631" s="407">
        <v>1</v>
      </c>
      <c r="AC3631" s="150">
        <v>0</v>
      </c>
      <c r="AD3631" s="150">
        <v>1</v>
      </c>
      <c r="AE3631" s="49">
        <f t="shared" si="134"/>
        <v>0.625</v>
      </c>
      <c r="AF3631" s="401"/>
      <c r="AG3631" s="17">
        <v>0</v>
      </c>
      <c r="AH3631" s="401">
        <v>7.56</v>
      </c>
      <c r="AI3631" s="401">
        <v>12.8</v>
      </c>
      <c r="AJ3631" s="401">
        <v>16.88</v>
      </c>
      <c r="AK3631" s="498">
        <v>2</v>
      </c>
      <c r="AL3631" s="498">
        <v>2</v>
      </c>
      <c r="AM3631" s="17">
        <f t="shared" si="135"/>
        <v>4</v>
      </c>
      <c r="AN3631" s="18" t="s">
        <v>7194</v>
      </c>
      <c r="AO3631" s="162" t="s">
        <v>7396</v>
      </c>
    </row>
    <row r="3632" spans="1:41" s="18" customFormat="1" x14ac:dyDescent="0.3">
      <c r="A3632" s="205" t="s">
        <v>8321</v>
      </c>
      <c r="B3632" s="162" t="s">
        <v>8322</v>
      </c>
      <c r="C3632" s="168" t="s">
        <v>13637</v>
      </c>
      <c r="D3632" s="406" t="s">
        <v>6838</v>
      </c>
      <c r="E3632" s="406" t="s">
        <v>13638</v>
      </c>
      <c r="F3632" s="406" t="s">
        <v>13533</v>
      </c>
      <c r="G3632" s="386" t="s">
        <v>13716</v>
      </c>
      <c r="H3632" s="406" t="s">
        <v>13717</v>
      </c>
      <c r="I3632" s="406" t="s">
        <v>13641</v>
      </c>
      <c r="J3632" s="406" t="s">
        <v>13641</v>
      </c>
      <c r="K3632" s="386" t="s">
        <v>13732</v>
      </c>
      <c r="L3632" s="406" t="s">
        <v>13733</v>
      </c>
      <c r="M3632" s="406" t="s">
        <v>13734</v>
      </c>
      <c r="N3632" s="12" t="s">
        <v>13641</v>
      </c>
      <c r="O3632" s="21">
        <v>6000</v>
      </c>
      <c r="P3632" s="21">
        <v>8600</v>
      </c>
      <c r="Q3632" s="21">
        <v>8600</v>
      </c>
      <c r="R3632" s="21">
        <v>11100</v>
      </c>
      <c r="S3632" s="21">
        <v>16100</v>
      </c>
      <c r="T3632" s="12" t="s">
        <v>7194</v>
      </c>
      <c r="U3632" t="str">
        <f>VLOOKUP(T3632,[8]Votes!$A$1:$E$234,3,FALSE)</f>
        <v>144 Uganda Police Force</v>
      </c>
      <c r="V3632" s="12" t="s">
        <v>13735</v>
      </c>
      <c r="W3632" s="407"/>
      <c r="X3632" s="407"/>
      <c r="Y3632" s="407"/>
      <c r="Z3632" s="407"/>
      <c r="AA3632" s="407"/>
      <c r="AB3632" s="407"/>
      <c r="AC3632" s="150">
        <v>0</v>
      </c>
      <c r="AD3632" s="150">
        <v>0</v>
      </c>
      <c r="AE3632" s="49">
        <f t="shared" si="134"/>
        <v>0</v>
      </c>
      <c r="AF3632" s="401"/>
      <c r="AG3632" s="17">
        <v>0</v>
      </c>
      <c r="AH3632" s="401">
        <v>15.321</v>
      </c>
      <c r="AI3632" s="401">
        <v>21.222999999999999</v>
      </c>
      <c r="AJ3632" s="401">
        <v>25.443999999999999</v>
      </c>
      <c r="AK3632" s="498">
        <v>0</v>
      </c>
      <c r="AL3632" s="498">
        <v>0</v>
      </c>
      <c r="AM3632" s="17">
        <f t="shared" si="135"/>
        <v>0</v>
      </c>
      <c r="AN3632" s="18" t="s">
        <v>7194</v>
      </c>
      <c r="AO3632" s="162" t="s">
        <v>7396</v>
      </c>
    </row>
    <row r="3633" spans="1:42" s="162" customFormat="1" x14ac:dyDescent="0.3">
      <c r="A3633" s="205" t="s">
        <v>8321</v>
      </c>
      <c r="B3633" s="162" t="s">
        <v>8322</v>
      </c>
      <c r="C3633" s="168" t="s">
        <v>13277</v>
      </c>
      <c r="D3633" s="162" t="s">
        <v>13278</v>
      </c>
      <c r="E3633" s="168" t="s">
        <v>13279</v>
      </c>
      <c r="F3633" s="167" t="s">
        <v>13280</v>
      </c>
      <c r="G3633" s="168" t="s">
        <v>13281</v>
      </c>
      <c r="H3633" s="168" t="s">
        <v>13282</v>
      </c>
      <c r="K3633" s="168" t="s">
        <v>13736</v>
      </c>
      <c r="L3633" s="168" t="s">
        <v>13737</v>
      </c>
      <c r="M3633" s="162" t="s">
        <v>13738</v>
      </c>
      <c r="O3633" s="224">
        <v>0</v>
      </c>
      <c r="P3633" s="224">
        <v>100</v>
      </c>
      <c r="Q3633" s="224">
        <v>0</v>
      </c>
      <c r="R3633" s="224">
        <v>75</v>
      </c>
      <c r="S3633" s="224">
        <v>85</v>
      </c>
      <c r="T3633" s="223" t="s">
        <v>13739</v>
      </c>
      <c r="U3633" t="e">
        <f>VLOOKUP(T3633,[8]Votes!$A$1:$E$234,3,FALSE)</f>
        <v>#N/A</v>
      </c>
      <c r="V3633" s="162" t="s">
        <v>13740</v>
      </c>
      <c r="W3633" s="416">
        <v>1</v>
      </c>
      <c r="X3633" s="416">
        <v>1</v>
      </c>
      <c r="Y3633" s="416">
        <v>1</v>
      </c>
      <c r="Z3633" s="416">
        <v>1</v>
      </c>
      <c r="AA3633" s="416">
        <v>1</v>
      </c>
      <c r="AB3633" s="416">
        <v>0</v>
      </c>
      <c r="AC3633" s="150">
        <v>1</v>
      </c>
      <c r="AD3633" s="150">
        <v>1</v>
      </c>
      <c r="AE3633" s="49">
        <f t="shared" si="134"/>
        <v>0.875</v>
      </c>
      <c r="AF3633" s="190">
        <v>1</v>
      </c>
      <c r="AG3633" s="17">
        <v>0</v>
      </c>
      <c r="AH3633" s="190">
        <v>0</v>
      </c>
      <c r="AI3633" s="485">
        <v>0.08</v>
      </c>
      <c r="AJ3633" s="485">
        <v>8.6999999999999994E-2</v>
      </c>
      <c r="AK3633" s="493">
        <v>9.5000000000000001E-2</v>
      </c>
      <c r="AL3633" s="493">
        <v>0.104</v>
      </c>
      <c r="AM3633" s="17">
        <f t="shared" si="135"/>
        <v>0.19900000000000001</v>
      </c>
      <c r="AN3633" s="162" t="s">
        <v>13741</v>
      </c>
      <c r="AO3633" s="162" t="s">
        <v>13742</v>
      </c>
    </row>
    <row r="3634" spans="1:42" s="162" customFormat="1" x14ac:dyDescent="0.3">
      <c r="A3634" s="205" t="s">
        <v>8321</v>
      </c>
      <c r="B3634" s="162" t="s">
        <v>8322</v>
      </c>
      <c r="C3634" s="168" t="s">
        <v>13277</v>
      </c>
      <c r="D3634" s="162" t="s">
        <v>13278</v>
      </c>
      <c r="E3634" s="168" t="s">
        <v>13279</v>
      </c>
      <c r="F3634" s="162" t="s">
        <v>13280</v>
      </c>
      <c r="G3634" s="168" t="s">
        <v>13281</v>
      </c>
      <c r="H3634" s="162" t="s">
        <v>13282</v>
      </c>
      <c r="I3634" s="162" t="s">
        <v>13743</v>
      </c>
      <c r="J3634" s="162" t="s">
        <v>13744</v>
      </c>
      <c r="K3634" s="162" t="s">
        <v>13745</v>
      </c>
      <c r="L3634" s="162" t="s">
        <v>13746</v>
      </c>
      <c r="M3634" s="162" t="s">
        <v>13747</v>
      </c>
      <c r="O3634" s="224">
        <v>25</v>
      </c>
      <c r="P3634" s="224">
        <v>25</v>
      </c>
      <c r="Q3634" s="224">
        <v>25</v>
      </c>
      <c r="R3634" s="224">
        <v>25</v>
      </c>
      <c r="S3634" s="224">
        <v>25</v>
      </c>
      <c r="T3634" s="223" t="s">
        <v>180</v>
      </c>
      <c r="U3634" t="str">
        <f>VLOOKUP(T3634,[8]Votes!$A$1:$E$234,3,FALSE)</f>
        <v>145 Uganda Prisons</v>
      </c>
      <c r="V3634" s="162" t="s">
        <v>13744</v>
      </c>
      <c r="W3634" s="416">
        <v>1</v>
      </c>
      <c r="X3634" s="416">
        <v>1</v>
      </c>
      <c r="Y3634" s="416">
        <v>1</v>
      </c>
      <c r="Z3634" s="416">
        <v>1</v>
      </c>
      <c r="AA3634" s="416">
        <v>1</v>
      </c>
      <c r="AB3634" s="416">
        <v>0</v>
      </c>
      <c r="AC3634" s="150">
        <v>0</v>
      </c>
      <c r="AD3634" s="150">
        <v>1</v>
      </c>
      <c r="AE3634" s="49">
        <f t="shared" si="134"/>
        <v>0.75</v>
      </c>
      <c r="AF3634" s="190">
        <v>1</v>
      </c>
      <c r="AG3634" s="17">
        <v>0</v>
      </c>
      <c r="AH3634" s="485">
        <v>0.13</v>
      </c>
      <c r="AI3634" s="485">
        <v>0.13</v>
      </c>
      <c r="AJ3634" s="485">
        <v>0.13</v>
      </c>
      <c r="AK3634" s="493">
        <v>0.13</v>
      </c>
      <c r="AL3634" s="493">
        <v>0.13</v>
      </c>
      <c r="AM3634" s="17">
        <f t="shared" si="135"/>
        <v>0.26</v>
      </c>
      <c r="AN3634" s="162" t="s">
        <v>180</v>
      </c>
      <c r="AO3634" s="162" t="s">
        <v>182</v>
      </c>
    </row>
    <row r="3635" spans="1:42" s="162" customFormat="1" x14ac:dyDescent="0.3">
      <c r="A3635" s="205" t="s">
        <v>8321</v>
      </c>
      <c r="B3635" s="162" t="s">
        <v>8322</v>
      </c>
      <c r="C3635" s="168" t="s">
        <v>13277</v>
      </c>
      <c r="D3635" s="162" t="s">
        <v>13278</v>
      </c>
      <c r="E3635" s="168" t="s">
        <v>13279</v>
      </c>
      <c r="F3635" s="162" t="s">
        <v>13280</v>
      </c>
      <c r="G3635" s="168" t="s">
        <v>13281</v>
      </c>
      <c r="H3635" s="162" t="s">
        <v>13282</v>
      </c>
      <c r="I3635" s="162" t="s">
        <v>13748</v>
      </c>
      <c r="J3635" s="1" t="s">
        <v>13749</v>
      </c>
      <c r="K3635" s="162" t="s">
        <v>13750</v>
      </c>
      <c r="L3635" s="162" t="s">
        <v>13305</v>
      </c>
      <c r="M3635" s="162" t="s">
        <v>13751</v>
      </c>
      <c r="O3635" s="229">
        <v>2200</v>
      </c>
      <c r="P3635" s="224">
        <v>2000</v>
      </c>
      <c r="Q3635" s="224">
        <v>1500</v>
      </c>
      <c r="R3635" s="224">
        <v>0</v>
      </c>
      <c r="S3635" s="224">
        <v>1500</v>
      </c>
      <c r="T3635" s="223" t="s">
        <v>180</v>
      </c>
      <c r="U3635" t="str">
        <f>VLOOKUP(T3635,[8]Votes!$A$1:$E$234,3,FALSE)</f>
        <v>145 Uganda Prisons</v>
      </c>
      <c r="V3635" s="162" t="s">
        <v>13752</v>
      </c>
      <c r="W3635" s="416">
        <v>1</v>
      </c>
      <c r="X3635" s="416">
        <v>1</v>
      </c>
      <c r="Y3635" s="416">
        <v>1</v>
      </c>
      <c r="Z3635" s="416">
        <v>1</v>
      </c>
      <c r="AA3635" s="416">
        <v>1</v>
      </c>
      <c r="AB3635" s="416">
        <v>0</v>
      </c>
      <c r="AC3635" s="150">
        <v>0</v>
      </c>
      <c r="AD3635" s="150">
        <v>1</v>
      </c>
      <c r="AE3635" s="49">
        <f t="shared" si="134"/>
        <v>0.75</v>
      </c>
      <c r="AF3635" s="190">
        <v>1</v>
      </c>
      <c r="AG3635" s="17">
        <v>0</v>
      </c>
      <c r="AH3635" s="485">
        <v>11.6</v>
      </c>
      <c r="AI3635" s="485">
        <v>11.2</v>
      </c>
      <c r="AJ3635" s="485">
        <v>11.5</v>
      </c>
      <c r="AK3635" s="493">
        <v>0</v>
      </c>
      <c r="AL3635" s="493">
        <v>12.5</v>
      </c>
      <c r="AM3635" s="17">
        <f t="shared" si="135"/>
        <v>12.5</v>
      </c>
      <c r="AN3635" s="162" t="s">
        <v>180</v>
      </c>
      <c r="AO3635" s="162" t="s">
        <v>182</v>
      </c>
    </row>
    <row r="3636" spans="1:42" s="162" customFormat="1" x14ac:dyDescent="0.3">
      <c r="A3636" s="205" t="s">
        <v>8321</v>
      </c>
      <c r="B3636" s="162" t="s">
        <v>8322</v>
      </c>
      <c r="C3636" s="168" t="s">
        <v>13277</v>
      </c>
      <c r="D3636" s="162" t="s">
        <v>13278</v>
      </c>
      <c r="E3636" s="168" t="s">
        <v>13279</v>
      </c>
      <c r="F3636" s="167" t="s">
        <v>13280</v>
      </c>
      <c r="G3636" s="168" t="s">
        <v>13281</v>
      </c>
      <c r="H3636" s="168" t="s">
        <v>13282</v>
      </c>
      <c r="K3636" s="168" t="s">
        <v>13304</v>
      </c>
      <c r="L3636" s="168" t="s">
        <v>13305</v>
      </c>
      <c r="M3636" s="162" t="s">
        <v>13751</v>
      </c>
      <c r="O3636" s="229"/>
      <c r="P3636" s="229">
        <v>10500</v>
      </c>
      <c r="Q3636" s="229">
        <v>10500</v>
      </c>
      <c r="R3636" s="229">
        <v>4000</v>
      </c>
      <c r="S3636" s="229">
        <v>4000</v>
      </c>
      <c r="T3636" s="223" t="s">
        <v>4825</v>
      </c>
      <c r="U3636" t="str">
        <f>VLOOKUP(T3636,[8]Votes!$A$1:$E$234,3,FALSE)</f>
        <v>004 Ministry of Defence and Veteran Affairs</v>
      </c>
      <c r="V3636" s="162" t="s">
        <v>13753</v>
      </c>
      <c r="W3636" s="416">
        <v>1</v>
      </c>
      <c r="X3636" s="416">
        <v>1</v>
      </c>
      <c r="Y3636" s="416">
        <v>1</v>
      </c>
      <c r="Z3636" s="416">
        <v>1</v>
      </c>
      <c r="AA3636" s="416">
        <v>1</v>
      </c>
      <c r="AB3636" s="416">
        <v>0</v>
      </c>
      <c r="AC3636" s="150">
        <v>1</v>
      </c>
      <c r="AD3636" s="150">
        <v>0</v>
      </c>
      <c r="AE3636" s="49">
        <f t="shared" si="134"/>
        <v>0.75</v>
      </c>
      <c r="AF3636" s="190">
        <v>1</v>
      </c>
      <c r="AG3636" s="17">
        <v>0</v>
      </c>
      <c r="AH3636" s="190">
        <v>0</v>
      </c>
      <c r="AI3636" s="190">
        <v>0</v>
      </c>
      <c r="AJ3636" s="190">
        <v>0</v>
      </c>
      <c r="AK3636" s="191">
        <v>2.2999999999999998</v>
      </c>
      <c r="AL3636" s="191">
        <v>0</v>
      </c>
      <c r="AM3636" s="17">
        <f t="shared" si="135"/>
        <v>2.2999999999999998</v>
      </c>
      <c r="AN3636" s="162" t="s">
        <v>4825</v>
      </c>
      <c r="AO3636" s="162" t="s">
        <v>5931</v>
      </c>
    </row>
    <row r="3637" spans="1:42" s="162" customFormat="1" x14ac:dyDescent="0.3">
      <c r="A3637" s="205" t="s">
        <v>8321</v>
      </c>
      <c r="B3637" s="162" t="s">
        <v>8322</v>
      </c>
      <c r="C3637" s="168" t="s">
        <v>13277</v>
      </c>
      <c r="D3637" s="162" t="s">
        <v>13278</v>
      </c>
      <c r="E3637" s="168" t="s">
        <v>13279</v>
      </c>
      <c r="F3637" s="167" t="s">
        <v>13280</v>
      </c>
      <c r="G3637" s="168" t="s">
        <v>13281</v>
      </c>
      <c r="H3637" s="168" t="s">
        <v>13282</v>
      </c>
      <c r="K3637" s="168" t="s">
        <v>13304</v>
      </c>
      <c r="L3637" s="168" t="s">
        <v>13305</v>
      </c>
      <c r="M3637" s="168" t="s">
        <v>13751</v>
      </c>
      <c r="O3637" s="192"/>
      <c r="P3637" s="192">
        <v>30597</v>
      </c>
      <c r="Q3637" s="192">
        <v>31200</v>
      </c>
      <c r="R3637" s="192">
        <v>31800</v>
      </c>
      <c r="S3637" s="192">
        <v>32400</v>
      </c>
      <c r="T3637" s="184" t="s">
        <v>4825</v>
      </c>
      <c r="U3637" t="str">
        <f>VLOOKUP(T3637,[8]Votes!$A$1:$E$234,3,FALSE)</f>
        <v>004 Ministry of Defence and Veteran Affairs</v>
      </c>
      <c r="V3637" s="168" t="s">
        <v>13754</v>
      </c>
      <c r="W3637" s="416">
        <v>1</v>
      </c>
      <c r="X3637" s="416">
        <v>1</v>
      </c>
      <c r="Y3637" s="416">
        <v>1</v>
      </c>
      <c r="Z3637" s="416">
        <v>1</v>
      </c>
      <c r="AA3637" s="416">
        <v>1</v>
      </c>
      <c r="AB3637" s="416">
        <v>1</v>
      </c>
      <c r="AC3637" s="150">
        <v>1</v>
      </c>
      <c r="AD3637" s="150">
        <v>0</v>
      </c>
      <c r="AE3637" s="49">
        <f t="shared" si="134"/>
        <v>0.875</v>
      </c>
      <c r="AF3637" s="190">
        <v>1</v>
      </c>
      <c r="AG3637" s="17"/>
      <c r="AH3637" s="190">
        <v>0</v>
      </c>
      <c r="AI3637" s="190">
        <v>0</v>
      </c>
      <c r="AJ3637" s="190">
        <v>0</v>
      </c>
      <c r="AK3637" s="191">
        <v>10.688000000000001</v>
      </c>
      <c r="AL3637" s="191">
        <v>0</v>
      </c>
      <c r="AM3637" s="17">
        <f t="shared" si="135"/>
        <v>10.688000000000001</v>
      </c>
      <c r="AN3637" s="162" t="s">
        <v>4825</v>
      </c>
      <c r="AO3637" s="162" t="s">
        <v>5931</v>
      </c>
    </row>
    <row r="3638" spans="1:42" s="162" customFormat="1" x14ac:dyDescent="0.3">
      <c r="A3638" s="205" t="s">
        <v>8321</v>
      </c>
      <c r="B3638" s="162" t="s">
        <v>8322</v>
      </c>
      <c r="C3638" s="168" t="s">
        <v>13277</v>
      </c>
      <c r="D3638" s="162" t="s">
        <v>13278</v>
      </c>
      <c r="E3638" s="168" t="s">
        <v>13279</v>
      </c>
      <c r="F3638" s="167" t="s">
        <v>13280</v>
      </c>
      <c r="G3638" s="168" t="s">
        <v>13281</v>
      </c>
      <c r="H3638" s="168" t="s">
        <v>13282</v>
      </c>
      <c r="K3638" s="168" t="s">
        <v>13304</v>
      </c>
      <c r="L3638" s="168" t="s">
        <v>13305</v>
      </c>
      <c r="M3638" s="168" t="s">
        <v>13751</v>
      </c>
      <c r="O3638" s="413">
        <v>0.45</v>
      </c>
      <c r="P3638" s="413">
        <v>0.55000000000000004</v>
      </c>
      <c r="Q3638" s="413">
        <v>0.7</v>
      </c>
      <c r="R3638" s="413">
        <v>0.85</v>
      </c>
      <c r="S3638" s="413">
        <v>1</v>
      </c>
      <c r="T3638" s="184" t="s">
        <v>13755</v>
      </c>
      <c r="U3638" t="str">
        <f>VLOOKUP(T3638,[8]Votes!$A$1:$E$234,3,FALSE)</f>
        <v>159 External Security Organisation</v>
      </c>
      <c r="V3638" s="168" t="s">
        <v>13756</v>
      </c>
      <c r="W3638" s="416">
        <v>1</v>
      </c>
      <c r="X3638" s="416">
        <v>1</v>
      </c>
      <c r="Y3638" s="416">
        <v>1</v>
      </c>
      <c r="Z3638" s="416">
        <v>1</v>
      </c>
      <c r="AA3638" s="416">
        <v>1</v>
      </c>
      <c r="AB3638" s="416">
        <v>0</v>
      </c>
      <c r="AC3638" s="150">
        <v>0</v>
      </c>
      <c r="AD3638" s="150">
        <v>1</v>
      </c>
      <c r="AE3638" s="49">
        <f t="shared" si="134"/>
        <v>0.75</v>
      </c>
      <c r="AF3638" s="190">
        <v>1</v>
      </c>
      <c r="AG3638" s="17">
        <v>0</v>
      </c>
      <c r="AH3638" s="190">
        <v>0.19600000000000001</v>
      </c>
      <c r="AI3638" s="190">
        <v>2.1789999999999998</v>
      </c>
      <c r="AJ3638" s="190">
        <v>2.6150000000000002</v>
      </c>
      <c r="AK3638" s="191">
        <v>1.01</v>
      </c>
      <c r="AL3638" s="191">
        <v>1.458</v>
      </c>
      <c r="AM3638" s="17">
        <f t="shared" si="135"/>
        <v>2.468</v>
      </c>
      <c r="AN3638" s="162" t="s">
        <v>13755</v>
      </c>
      <c r="AO3638" s="162" t="s">
        <v>13757</v>
      </c>
    </row>
    <row r="3639" spans="1:42" s="162" customFormat="1" x14ac:dyDescent="0.3">
      <c r="A3639" s="205" t="s">
        <v>8321</v>
      </c>
      <c r="B3639" s="162" t="s">
        <v>8322</v>
      </c>
      <c r="C3639" s="168" t="s">
        <v>13277</v>
      </c>
      <c r="D3639" s="162" t="s">
        <v>13278</v>
      </c>
      <c r="E3639" s="168" t="s">
        <v>13279</v>
      </c>
      <c r="F3639" s="167" t="s">
        <v>13280</v>
      </c>
      <c r="G3639" s="168" t="s">
        <v>13281</v>
      </c>
      <c r="H3639" s="168" t="s">
        <v>13282</v>
      </c>
      <c r="K3639" s="168" t="s">
        <v>13304</v>
      </c>
      <c r="L3639" s="168" t="s">
        <v>13305</v>
      </c>
      <c r="M3639" s="168" t="s">
        <v>13758</v>
      </c>
      <c r="O3639" s="189"/>
      <c r="P3639" s="413">
        <v>0.2</v>
      </c>
      <c r="Q3639" s="413">
        <v>0.2</v>
      </c>
      <c r="R3639" s="413">
        <v>0.2</v>
      </c>
      <c r="S3639" s="413">
        <v>0.2</v>
      </c>
      <c r="T3639" s="184" t="s">
        <v>1345</v>
      </c>
      <c r="U3639" t="str">
        <f>VLOOKUP(T3639,[8]Votes!$A$1:$E$234,3,FALSE)</f>
        <v>001 Office of the President</v>
      </c>
      <c r="V3639" s="168" t="s">
        <v>13759</v>
      </c>
      <c r="W3639" s="416">
        <v>1</v>
      </c>
      <c r="X3639" s="416">
        <v>1</v>
      </c>
      <c r="Y3639" s="416">
        <v>1</v>
      </c>
      <c r="Z3639" s="416">
        <v>1</v>
      </c>
      <c r="AA3639" s="416">
        <v>1</v>
      </c>
      <c r="AB3639" s="416">
        <v>0</v>
      </c>
      <c r="AC3639" s="150">
        <v>0</v>
      </c>
      <c r="AD3639" s="150">
        <v>1</v>
      </c>
      <c r="AE3639" s="49">
        <f t="shared" si="134"/>
        <v>0.75</v>
      </c>
      <c r="AF3639" s="190">
        <v>1</v>
      </c>
      <c r="AG3639" s="17">
        <v>0</v>
      </c>
      <c r="AH3639" s="190">
        <v>0</v>
      </c>
      <c r="AI3639" s="190">
        <v>1</v>
      </c>
      <c r="AJ3639" s="190">
        <v>1.5</v>
      </c>
      <c r="AK3639" s="191">
        <v>2</v>
      </c>
      <c r="AL3639" s="191">
        <v>2.5</v>
      </c>
      <c r="AM3639" s="17">
        <f t="shared" si="135"/>
        <v>4.5</v>
      </c>
      <c r="AN3639" s="162" t="s">
        <v>1345</v>
      </c>
      <c r="AO3639" s="162" t="s">
        <v>1334</v>
      </c>
    </row>
    <row r="3640" spans="1:42" s="162" customFormat="1" x14ac:dyDescent="0.3">
      <c r="A3640" s="205" t="s">
        <v>8321</v>
      </c>
      <c r="B3640" s="162" t="s">
        <v>8322</v>
      </c>
      <c r="C3640" s="168" t="s">
        <v>13277</v>
      </c>
      <c r="D3640" s="162" t="s">
        <v>13278</v>
      </c>
      <c r="E3640" s="168" t="s">
        <v>13279</v>
      </c>
      <c r="F3640" s="167" t="s">
        <v>13280</v>
      </c>
      <c r="G3640" s="168" t="s">
        <v>13281</v>
      </c>
      <c r="H3640" s="168" t="s">
        <v>13282</v>
      </c>
      <c r="K3640" s="168" t="s">
        <v>13304</v>
      </c>
      <c r="L3640" s="168" t="s">
        <v>13305</v>
      </c>
      <c r="M3640" s="168" t="s">
        <v>13760</v>
      </c>
      <c r="O3640" s="189">
        <v>20</v>
      </c>
      <c r="P3640" s="189">
        <v>20</v>
      </c>
      <c r="Q3640" s="189">
        <v>20</v>
      </c>
      <c r="R3640" s="189">
        <v>30</v>
      </c>
      <c r="S3640" s="189">
        <v>10</v>
      </c>
      <c r="T3640" s="184" t="s">
        <v>13761</v>
      </c>
      <c r="U3640" t="str">
        <f>VLOOKUP(T3640,[8]Votes!$A$1:$E$234,3,FALSE)</f>
        <v>129 Financial Intelligence Authority (FIA)</v>
      </c>
      <c r="V3640" s="168" t="s">
        <v>13762</v>
      </c>
      <c r="W3640" s="416">
        <v>1</v>
      </c>
      <c r="X3640" s="416">
        <v>1</v>
      </c>
      <c r="Y3640" s="416">
        <v>1</v>
      </c>
      <c r="Z3640" s="416">
        <v>1</v>
      </c>
      <c r="AA3640" s="416">
        <v>1</v>
      </c>
      <c r="AB3640" s="416">
        <v>0</v>
      </c>
      <c r="AC3640" s="150">
        <v>0</v>
      </c>
      <c r="AD3640" s="150">
        <v>1</v>
      </c>
      <c r="AE3640" s="49">
        <f t="shared" si="134"/>
        <v>0.75</v>
      </c>
      <c r="AF3640" s="190">
        <v>1</v>
      </c>
      <c r="AG3640" s="17">
        <v>0</v>
      </c>
      <c r="AH3640" s="190">
        <v>0.55000000000000004</v>
      </c>
      <c r="AI3640" s="190">
        <v>0.68</v>
      </c>
      <c r="AJ3640" s="190">
        <v>0.84</v>
      </c>
      <c r="AK3640" s="191">
        <v>0.93</v>
      </c>
      <c r="AL3640" s="191">
        <v>1</v>
      </c>
      <c r="AM3640" s="17">
        <f t="shared" si="135"/>
        <v>1.9300000000000002</v>
      </c>
      <c r="AN3640" s="162" t="s">
        <v>13761</v>
      </c>
      <c r="AO3640" s="162" t="s">
        <v>13763</v>
      </c>
    </row>
    <row r="3641" spans="1:42" s="162" customFormat="1" x14ac:dyDescent="0.3">
      <c r="A3641" s="205" t="s">
        <v>8321</v>
      </c>
      <c r="B3641" s="162" t="s">
        <v>8322</v>
      </c>
      <c r="C3641" s="168" t="s">
        <v>13277</v>
      </c>
      <c r="D3641" s="162" t="s">
        <v>13278</v>
      </c>
      <c r="E3641" s="168" t="s">
        <v>13279</v>
      </c>
      <c r="F3641" s="167" t="s">
        <v>13280</v>
      </c>
      <c r="G3641" s="168" t="s">
        <v>13281</v>
      </c>
      <c r="H3641" s="168" t="s">
        <v>13282</v>
      </c>
      <c r="K3641" s="168" t="s">
        <v>13304</v>
      </c>
      <c r="L3641" s="168" t="s">
        <v>13305</v>
      </c>
      <c r="M3641" s="168" t="s">
        <v>13764</v>
      </c>
      <c r="O3641" s="189">
        <v>20</v>
      </c>
      <c r="P3641" s="189">
        <v>20</v>
      </c>
      <c r="Q3641" s="189">
        <v>20</v>
      </c>
      <c r="R3641" s="189">
        <v>25</v>
      </c>
      <c r="S3641" s="189">
        <v>30</v>
      </c>
      <c r="T3641" s="184" t="s">
        <v>13761</v>
      </c>
      <c r="U3641" t="str">
        <f>VLOOKUP(T3641,[8]Votes!$A$1:$E$234,3,FALSE)</f>
        <v>129 Financial Intelligence Authority (FIA)</v>
      </c>
      <c r="V3641" s="168" t="s">
        <v>13765</v>
      </c>
      <c r="W3641" s="416">
        <v>1</v>
      </c>
      <c r="X3641" s="416">
        <v>1</v>
      </c>
      <c r="Y3641" s="416">
        <v>1</v>
      </c>
      <c r="Z3641" s="416">
        <v>1</v>
      </c>
      <c r="AA3641" s="416">
        <v>1</v>
      </c>
      <c r="AB3641" s="416">
        <v>0</v>
      </c>
      <c r="AC3641" s="150">
        <v>0</v>
      </c>
      <c r="AD3641" s="150">
        <v>1</v>
      </c>
      <c r="AE3641" s="49">
        <f t="shared" si="134"/>
        <v>0.75</v>
      </c>
      <c r="AF3641" s="190">
        <v>1</v>
      </c>
      <c r="AG3641" s="17">
        <v>0</v>
      </c>
      <c r="AH3641" s="190">
        <v>0.3</v>
      </c>
      <c r="AI3641" s="190">
        <v>0.5</v>
      </c>
      <c r="AJ3641" s="190">
        <v>0.7</v>
      </c>
      <c r="AK3641" s="191">
        <v>0.85</v>
      </c>
      <c r="AL3641" s="191">
        <v>0.95</v>
      </c>
      <c r="AM3641" s="17">
        <f t="shared" si="135"/>
        <v>1.7999999999999998</v>
      </c>
      <c r="AN3641" s="162" t="s">
        <v>13761</v>
      </c>
      <c r="AO3641" s="162" t="s">
        <v>13763</v>
      </c>
    </row>
    <row r="3642" spans="1:42" s="162" customFormat="1" x14ac:dyDescent="0.3">
      <c r="A3642" s="205" t="s">
        <v>8321</v>
      </c>
      <c r="B3642" s="162" t="s">
        <v>8322</v>
      </c>
      <c r="C3642" s="168" t="s">
        <v>13277</v>
      </c>
      <c r="D3642" s="162" t="s">
        <v>13278</v>
      </c>
      <c r="E3642" s="168" t="s">
        <v>13279</v>
      </c>
      <c r="F3642" s="167" t="s">
        <v>13280</v>
      </c>
      <c r="G3642" s="168" t="s">
        <v>13281</v>
      </c>
      <c r="H3642" s="168" t="s">
        <v>13282</v>
      </c>
      <c r="K3642" s="168" t="s">
        <v>13304</v>
      </c>
      <c r="L3642" s="168" t="s">
        <v>13305</v>
      </c>
      <c r="M3642" s="168" t="s">
        <v>13751</v>
      </c>
      <c r="N3642" s="162" t="s">
        <v>119</v>
      </c>
      <c r="O3642" s="189"/>
      <c r="P3642" s="189">
        <v>400</v>
      </c>
      <c r="Q3642" s="189"/>
      <c r="R3642" s="189"/>
      <c r="S3642" s="189"/>
      <c r="T3642" s="184" t="s">
        <v>13766</v>
      </c>
      <c r="U3642" t="str">
        <f>VLOOKUP(T3642,[8]Votes!$A$1:$E$234,3,FALSE)</f>
        <v>120 National Citizenship and Immigration Control</v>
      </c>
      <c r="V3642" s="168" t="s">
        <v>13767</v>
      </c>
      <c r="W3642" s="416">
        <v>1</v>
      </c>
      <c r="X3642" s="416">
        <v>1</v>
      </c>
      <c r="Y3642" s="416">
        <v>1</v>
      </c>
      <c r="Z3642" s="416">
        <v>1</v>
      </c>
      <c r="AA3642" s="416">
        <v>1</v>
      </c>
      <c r="AB3642" s="416">
        <v>0</v>
      </c>
      <c r="AC3642" s="150">
        <v>0</v>
      </c>
      <c r="AD3642" s="150">
        <v>1</v>
      </c>
      <c r="AE3642" s="49">
        <f t="shared" ref="AE3642:AE3705" si="136">SUM(W3642:AD3642)/8</f>
        <v>0.75</v>
      </c>
      <c r="AF3642" s="190">
        <v>1</v>
      </c>
      <c r="AG3642" s="17">
        <v>0</v>
      </c>
      <c r="AH3642" s="190">
        <v>0</v>
      </c>
      <c r="AI3642" s="190">
        <v>2.109</v>
      </c>
      <c r="AJ3642" s="190">
        <v>0</v>
      </c>
      <c r="AK3642" s="191">
        <v>0</v>
      </c>
      <c r="AL3642" s="191">
        <v>0</v>
      </c>
      <c r="AM3642" s="17">
        <f t="shared" ref="AM3642:AM3705" si="137">SUM(AK3642:AL3642)</f>
        <v>0</v>
      </c>
      <c r="AN3642" s="162" t="s">
        <v>13766</v>
      </c>
      <c r="AO3642" s="162" t="s">
        <v>13768</v>
      </c>
    </row>
    <row r="3643" spans="1:42" s="162" customFormat="1" x14ac:dyDescent="0.3">
      <c r="A3643" s="205" t="s">
        <v>8321</v>
      </c>
      <c r="B3643" s="162" t="s">
        <v>8322</v>
      </c>
      <c r="C3643" s="168" t="s">
        <v>13277</v>
      </c>
      <c r="D3643" s="162" t="s">
        <v>13278</v>
      </c>
      <c r="E3643" s="168" t="s">
        <v>13279</v>
      </c>
      <c r="F3643" s="167" t="s">
        <v>13280</v>
      </c>
      <c r="G3643" s="168" t="s">
        <v>13281</v>
      </c>
      <c r="H3643" s="168" t="s">
        <v>13282</v>
      </c>
      <c r="K3643" s="168" t="s">
        <v>13304</v>
      </c>
      <c r="L3643" s="168" t="s">
        <v>13305</v>
      </c>
      <c r="M3643" s="168" t="s">
        <v>13751</v>
      </c>
      <c r="O3643" s="189">
        <v>2</v>
      </c>
      <c r="P3643" s="189">
        <v>2</v>
      </c>
      <c r="Q3643" s="189">
        <v>2</v>
      </c>
      <c r="R3643" s="189">
        <v>2</v>
      </c>
      <c r="S3643" s="189">
        <v>2</v>
      </c>
      <c r="T3643" s="184" t="s">
        <v>1233</v>
      </c>
      <c r="U3643" t="str">
        <f>VLOOKUP(T3643,[8]Votes!$A$1:$E$234,3,FALSE)</f>
        <v>006 Ministry of Foreign Affairs</v>
      </c>
      <c r="V3643" s="168" t="s">
        <v>13769</v>
      </c>
      <c r="W3643" s="416">
        <v>1</v>
      </c>
      <c r="X3643" s="416">
        <v>1</v>
      </c>
      <c r="Y3643" s="416">
        <v>1</v>
      </c>
      <c r="Z3643" s="416">
        <v>1</v>
      </c>
      <c r="AA3643" s="416">
        <v>1</v>
      </c>
      <c r="AB3643" s="416">
        <v>0</v>
      </c>
      <c r="AC3643" s="150">
        <v>1</v>
      </c>
      <c r="AD3643" s="150">
        <v>0</v>
      </c>
      <c r="AE3643" s="49">
        <f t="shared" si="136"/>
        <v>0.75</v>
      </c>
      <c r="AF3643" s="190">
        <v>1</v>
      </c>
      <c r="AG3643" s="17">
        <v>0</v>
      </c>
      <c r="AH3643" s="190">
        <v>0.3</v>
      </c>
      <c r="AI3643" s="190">
        <v>0.3</v>
      </c>
      <c r="AJ3643" s="190">
        <v>0.3</v>
      </c>
      <c r="AK3643" s="191">
        <v>0.3</v>
      </c>
      <c r="AL3643" s="191">
        <v>0.3</v>
      </c>
      <c r="AM3643" s="17">
        <f t="shared" si="137"/>
        <v>0.6</v>
      </c>
      <c r="AN3643" s="162" t="s">
        <v>1233</v>
      </c>
      <c r="AO3643" s="162" t="s">
        <v>1650</v>
      </c>
    </row>
    <row r="3644" spans="1:42" s="162" customFormat="1" x14ac:dyDescent="0.3">
      <c r="A3644" s="205" t="s">
        <v>8321</v>
      </c>
      <c r="B3644" s="162" t="s">
        <v>8322</v>
      </c>
      <c r="C3644" s="168" t="s">
        <v>13277</v>
      </c>
      <c r="D3644" s="162" t="s">
        <v>13278</v>
      </c>
      <c r="E3644" s="168" t="s">
        <v>13279</v>
      </c>
      <c r="F3644" s="167" t="s">
        <v>13280</v>
      </c>
      <c r="G3644" s="168" t="s">
        <v>13281</v>
      </c>
      <c r="H3644" s="168" t="s">
        <v>13282</v>
      </c>
      <c r="K3644" s="168" t="s">
        <v>13304</v>
      </c>
      <c r="L3644" s="168" t="s">
        <v>13305</v>
      </c>
      <c r="M3644" s="168" t="s">
        <v>13770</v>
      </c>
      <c r="O3644" s="413">
        <v>0.01</v>
      </c>
      <c r="P3644" s="413">
        <v>0.15</v>
      </c>
      <c r="Q3644" s="413">
        <v>0.2</v>
      </c>
      <c r="R3644" s="413">
        <v>0.25</v>
      </c>
      <c r="S3644" s="413">
        <v>0.35</v>
      </c>
      <c r="T3644" s="184" t="s">
        <v>13739</v>
      </c>
      <c r="U3644" t="e">
        <f>VLOOKUP(T3644,[8]Votes!$A$1:$E$234,3,FALSE)</f>
        <v>#N/A</v>
      </c>
      <c r="V3644" s="168" t="s">
        <v>13771</v>
      </c>
      <c r="W3644" s="416">
        <v>1</v>
      </c>
      <c r="X3644" s="416">
        <v>1</v>
      </c>
      <c r="Y3644" s="416">
        <v>1</v>
      </c>
      <c r="Z3644" s="416">
        <v>1</v>
      </c>
      <c r="AA3644" s="416">
        <v>1</v>
      </c>
      <c r="AB3644" s="416">
        <v>0</v>
      </c>
      <c r="AC3644" s="150">
        <v>1</v>
      </c>
      <c r="AD3644" s="150">
        <v>1</v>
      </c>
      <c r="AE3644" s="49">
        <f t="shared" si="136"/>
        <v>0.875</v>
      </c>
      <c r="AF3644" s="190">
        <v>1</v>
      </c>
      <c r="AG3644" s="17">
        <v>0</v>
      </c>
      <c r="AH3644" s="190">
        <v>0.01</v>
      </c>
      <c r="AI3644" s="190">
        <v>4.3600000000000003</v>
      </c>
      <c r="AJ3644" s="190">
        <v>5.39</v>
      </c>
      <c r="AK3644" s="191">
        <v>6.75</v>
      </c>
      <c r="AL3644" s="191">
        <v>8.75</v>
      </c>
      <c r="AM3644" s="17">
        <f t="shared" si="137"/>
        <v>15.5</v>
      </c>
      <c r="AN3644" s="162" t="s">
        <v>13741</v>
      </c>
      <c r="AO3644" s="162" t="s">
        <v>13742</v>
      </c>
    </row>
    <row r="3645" spans="1:42" s="162" customFormat="1" x14ac:dyDescent="0.3">
      <c r="A3645" s="205" t="s">
        <v>8321</v>
      </c>
      <c r="B3645" s="162" t="s">
        <v>8322</v>
      </c>
      <c r="C3645" s="168" t="s">
        <v>13277</v>
      </c>
      <c r="D3645" s="162" t="s">
        <v>13278</v>
      </c>
      <c r="E3645" s="168" t="s">
        <v>13279</v>
      </c>
      <c r="F3645" s="167" t="s">
        <v>13280</v>
      </c>
      <c r="G3645" s="168" t="s">
        <v>13281</v>
      </c>
      <c r="H3645" s="168" t="s">
        <v>13282</v>
      </c>
      <c r="K3645" s="168" t="s">
        <v>13304</v>
      </c>
      <c r="L3645" s="168" t="s">
        <v>13305</v>
      </c>
      <c r="M3645" s="168" t="s">
        <v>13772</v>
      </c>
      <c r="N3645" s="162">
        <v>70</v>
      </c>
      <c r="O3645" s="189">
        <v>120</v>
      </c>
      <c r="P3645" s="189">
        <v>500</v>
      </c>
      <c r="Q3645" s="189">
        <v>400</v>
      </c>
      <c r="R3645" s="189">
        <v>300</v>
      </c>
      <c r="S3645" s="189">
        <v>200</v>
      </c>
      <c r="T3645" s="184" t="s">
        <v>13766</v>
      </c>
      <c r="U3645" t="str">
        <f>VLOOKUP(T3645,[8]Votes!$A$1:$E$234,3,FALSE)</f>
        <v>120 National Citizenship and Immigration Control</v>
      </c>
      <c r="V3645" s="168" t="s">
        <v>13773</v>
      </c>
      <c r="W3645" s="416">
        <v>1</v>
      </c>
      <c r="X3645" s="416">
        <v>1</v>
      </c>
      <c r="Y3645" s="416">
        <v>1</v>
      </c>
      <c r="Z3645" s="416">
        <v>1</v>
      </c>
      <c r="AA3645" s="416">
        <v>1</v>
      </c>
      <c r="AB3645" s="416">
        <v>0</v>
      </c>
      <c r="AC3645" s="150">
        <v>0</v>
      </c>
      <c r="AD3645" s="150">
        <v>1</v>
      </c>
      <c r="AE3645" s="49">
        <f t="shared" si="136"/>
        <v>0.75</v>
      </c>
      <c r="AF3645" s="190">
        <v>1</v>
      </c>
      <c r="AG3645" s="17">
        <v>0</v>
      </c>
      <c r="AH3645" s="190">
        <v>0.46</v>
      </c>
      <c r="AI3645" s="190">
        <v>1.5</v>
      </c>
      <c r="AJ3645" s="190">
        <v>1.2</v>
      </c>
      <c r="AK3645" s="191">
        <v>0.9</v>
      </c>
      <c r="AL3645" s="191">
        <v>1</v>
      </c>
      <c r="AM3645" s="17">
        <f t="shared" si="137"/>
        <v>1.9</v>
      </c>
      <c r="AN3645" s="162" t="s">
        <v>13766</v>
      </c>
      <c r="AO3645" s="162" t="s">
        <v>13768</v>
      </c>
    </row>
    <row r="3646" spans="1:42" s="162" customFormat="1" x14ac:dyDescent="0.3">
      <c r="A3646" s="205" t="s">
        <v>8321</v>
      </c>
      <c r="B3646" s="162" t="s">
        <v>8322</v>
      </c>
      <c r="C3646" s="168" t="s">
        <v>13277</v>
      </c>
      <c r="D3646" s="162" t="s">
        <v>13278</v>
      </c>
      <c r="E3646" s="168" t="s">
        <v>13279</v>
      </c>
      <c r="F3646" s="162" t="s">
        <v>13280</v>
      </c>
      <c r="G3646" s="168" t="s">
        <v>13281</v>
      </c>
      <c r="H3646" s="162" t="s">
        <v>13282</v>
      </c>
      <c r="K3646" s="168" t="s">
        <v>13736</v>
      </c>
      <c r="L3646" s="162" t="s">
        <v>13774</v>
      </c>
      <c r="M3646" s="162" t="s">
        <v>13775</v>
      </c>
      <c r="N3646" s="162">
        <v>0</v>
      </c>
      <c r="O3646" s="224">
        <v>2</v>
      </c>
      <c r="P3646" s="224">
        <v>4</v>
      </c>
      <c r="Q3646" s="224">
        <v>4</v>
      </c>
      <c r="R3646" s="224">
        <v>4</v>
      </c>
      <c r="S3646" s="224">
        <v>4</v>
      </c>
      <c r="T3646" s="223" t="s">
        <v>13776</v>
      </c>
      <c r="U3646" t="str">
        <f>VLOOKUP(T3646,[8]Votes!$A$1:$E$234,3,FALSE)</f>
        <v>305 Directorate of Government Analytical Laboratory</v>
      </c>
      <c r="V3646" s="162" t="s">
        <v>13777</v>
      </c>
      <c r="W3646" s="416">
        <v>1</v>
      </c>
      <c r="X3646" s="416">
        <v>1</v>
      </c>
      <c r="Y3646" s="416">
        <v>1</v>
      </c>
      <c r="Z3646" s="416">
        <v>1</v>
      </c>
      <c r="AA3646" s="416">
        <v>0</v>
      </c>
      <c r="AB3646" s="416">
        <v>0</v>
      </c>
      <c r="AC3646" s="150">
        <v>0</v>
      </c>
      <c r="AD3646" s="150">
        <v>1</v>
      </c>
      <c r="AE3646" s="49">
        <f t="shared" si="136"/>
        <v>0.625</v>
      </c>
      <c r="AF3646" s="190">
        <v>1</v>
      </c>
      <c r="AG3646" s="17">
        <v>0</v>
      </c>
      <c r="AH3646" s="485">
        <v>0.15</v>
      </c>
      <c r="AI3646" s="485">
        <v>0.3</v>
      </c>
      <c r="AJ3646" s="485">
        <v>0.3</v>
      </c>
      <c r="AK3646" s="493">
        <v>0.3</v>
      </c>
      <c r="AL3646" s="493">
        <v>0.3</v>
      </c>
      <c r="AM3646" s="17">
        <f t="shared" si="137"/>
        <v>0.6</v>
      </c>
      <c r="AN3646" s="162" t="s">
        <v>13776</v>
      </c>
      <c r="AO3646" s="162" t="s">
        <v>13778</v>
      </c>
      <c r="AP3646" s="162" t="s">
        <v>271</v>
      </c>
    </row>
    <row r="3647" spans="1:42" s="162" customFormat="1" x14ac:dyDescent="0.3">
      <c r="A3647" s="205" t="s">
        <v>8321</v>
      </c>
      <c r="B3647" s="162" t="s">
        <v>8322</v>
      </c>
      <c r="C3647" s="168" t="s">
        <v>13277</v>
      </c>
      <c r="D3647" s="162" t="s">
        <v>13278</v>
      </c>
      <c r="E3647" s="168" t="s">
        <v>13279</v>
      </c>
      <c r="F3647" s="162" t="s">
        <v>13280</v>
      </c>
      <c r="G3647" s="168" t="s">
        <v>13281</v>
      </c>
      <c r="H3647" s="162" t="s">
        <v>13282</v>
      </c>
      <c r="K3647" s="168" t="s">
        <v>13304</v>
      </c>
      <c r="L3647" s="162" t="s">
        <v>13305</v>
      </c>
      <c r="M3647" s="162" t="s">
        <v>13772</v>
      </c>
      <c r="O3647" s="224">
        <v>160</v>
      </c>
      <c r="P3647" s="224">
        <v>100</v>
      </c>
      <c r="Q3647" s="224">
        <v>70</v>
      </c>
      <c r="R3647" s="224">
        <v>30</v>
      </c>
      <c r="S3647" s="224">
        <v>10</v>
      </c>
      <c r="T3647" s="223" t="s">
        <v>2571</v>
      </c>
      <c r="U3647" t="str">
        <f>VLOOKUP(T3647,[8]Votes!$A$1:$E$234,3,FALSE)</f>
        <v>122 Kampala Capital City Authority</v>
      </c>
      <c r="V3647" s="162" t="s">
        <v>13779</v>
      </c>
      <c r="W3647" s="416">
        <v>1</v>
      </c>
      <c r="X3647" s="416">
        <v>1</v>
      </c>
      <c r="Y3647" s="416">
        <v>1</v>
      </c>
      <c r="Z3647" s="416">
        <v>1</v>
      </c>
      <c r="AA3647" s="416">
        <v>1</v>
      </c>
      <c r="AB3647" s="416">
        <v>0</v>
      </c>
      <c r="AC3647" s="150">
        <v>0</v>
      </c>
      <c r="AD3647" s="150">
        <v>1</v>
      </c>
      <c r="AE3647" s="49">
        <f t="shared" si="136"/>
        <v>0.75</v>
      </c>
      <c r="AF3647" s="190">
        <v>1</v>
      </c>
      <c r="AG3647" s="17">
        <v>0</v>
      </c>
      <c r="AH3647" s="485">
        <v>3.2</v>
      </c>
      <c r="AI3647" s="485">
        <v>2</v>
      </c>
      <c r="AJ3647" s="485">
        <v>1.4</v>
      </c>
      <c r="AK3647" s="493">
        <v>0.6</v>
      </c>
      <c r="AL3647" s="493">
        <v>2</v>
      </c>
      <c r="AM3647" s="17">
        <f t="shared" si="137"/>
        <v>2.6</v>
      </c>
      <c r="AN3647" s="162" t="s">
        <v>2571</v>
      </c>
      <c r="AO3647" s="162" t="s">
        <v>2573</v>
      </c>
    </row>
    <row r="3648" spans="1:42" s="162" customFormat="1" x14ac:dyDescent="0.3">
      <c r="A3648" s="205" t="s">
        <v>8321</v>
      </c>
      <c r="B3648" s="162" t="s">
        <v>8322</v>
      </c>
      <c r="C3648" s="168" t="s">
        <v>13277</v>
      </c>
      <c r="D3648" s="162" t="s">
        <v>13278</v>
      </c>
      <c r="E3648" s="168" t="s">
        <v>13279</v>
      </c>
      <c r="F3648" s="162" t="s">
        <v>13280</v>
      </c>
      <c r="G3648" s="168" t="s">
        <v>13281</v>
      </c>
      <c r="H3648" s="162" t="s">
        <v>13282</v>
      </c>
      <c r="K3648" s="168" t="s">
        <v>13780</v>
      </c>
      <c r="L3648" s="162" t="s">
        <v>13781</v>
      </c>
      <c r="M3648" s="162" t="s">
        <v>13782</v>
      </c>
      <c r="N3648" s="462">
        <v>0.7</v>
      </c>
      <c r="O3648" s="492">
        <v>1</v>
      </c>
      <c r="P3648" s="492">
        <v>1</v>
      </c>
      <c r="Q3648" s="492">
        <v>1</v>
      </c>
      <c r="R3648" s="492">
        <v>1</v>
      </c>
      <c r="S3648" s="492">
        <v>1</v>
      </c>
      <c r="T3648" s="223" t="s">
        <v>3879</v>
      </c>
      <c r="U3648" t="str">
        <f>VLOOKUP(T3648,[8]Votes!$A$1:$E$234,3,FALSE)</f>
        <v>009 Ministry of Internal Affairs</v>
      </c>
      <c r="V3648" s="162" t="s">
        <v>13783</v>
      </c>
      <c r="W3648" s="416">
        <v>1</v>
      </c>
      <c r="X3648" s="416">
        <v>1</v>
      </c>
      <c r="Y3648" s="416">
        <v>1</v>
      </c>
      <c r="Z3648" s="416">
        <v>1</v>
      </c>
      <c r="AA3648" s="416">
        <v>1</v>
      </c>
      <c r="AB3648" s="416">
        <v>0</v>
      </c>
      <c r="AC3648" s="150">
        <v>1</v>
      </c>
      <c r="AD3648" s="150">
        <v>1</v>
      </c>
      <c r="AE3648" s="49">
        <f t="shared" si="136"/>
        <v>0.875</v>
      </c>
      <c r="AF3648" s="190">
        <v>0</v>
      </c>
      <c r="AG3648" s="17">
        <v>0</v>
      </c>
      <c r="AH3648" s="485">
        <v>1.5</v>
      </c>
      <c r="AI3648" s="485">
        <v>1.85</v>
      </c>
      <c r="AJ3648" s="485">
        <v>2</v>
      </c>
      <c r="AK3648" s="493">
        <v>1.5</v>
      </c>
      <c r="AL3648" s="493">
        <v>1.5</v>
      </c>
      <c r="AM3648" s="17">
        <f t="shared" si="137"/>
        <v>3</v>
      </c>
      <c r="AN3648" s="162" t="s">
        <v>3879</v>
      </c>
      <c r="AO3648" s="162" t="s">
        <v>3881</v>
      </c>
    </row>
    <row r="3649" spans="1:42" s="162" customFormat="1" x14ac:dyDescent="0.3">
      <c r="A3649" s="205" t="s">
        <v>8321</v>
      </c>
      <c r="B3649" s="162" t="s">
        <v>8322</v>
      </c>
      <c r="C3649" s="168" t="s">
        <v>13277</v>
      </c>
      <c r="D3649" s="162" t="s">
        <v>13278</v>
      </c>
      <c r="E3649" s="168" t="s">
        <v>13279</v>
      </c>
      <c r="F3649" s="162" t="s">
        <v>13280</v>
      </c>
      <c r="G3649" s="168" t="s">
        <v>13281</v>
      </c>
      <c r="H3649" s="162" t="s">
        <v>13282</v>
      </c>
      <c r="K3649" s="168" t="s">
        <v>13784</v>
      </c>
      <c r="L3649" s="162" t="s">
        <v>13785</v>
      </c>
      <c r="M3649" s="162" t="s">
        <v>13786</v>
      </c>
      <c r="O3649" s="224">
        <v>0</v>
      </c>
      <c r="P3649" s="224">
        <v>0</v>
      </c>
      <c r="Q3649" s="224">
        <v>0</v>
      </c>
      <c r="R3649" s="224">
        <v>0</v>
      </c>
      <c r="S3649" s="224">
        <v>0</v>
      </c>
      <c r="T3649" s="223" t="s">
        <v>3879</v>
      </c>
      <c r="U3649" t="str">
        <f>VLOOKUP(T3649,[8]Votes!$A$1:$E$234,3,FALSE)</f>
        <v>009 Ministry of Internal Affairs</v>
      </c>
      <c r="V3649" s="162" t="s">
        <v>13787</v>
      </c>
      <c r="W3649" s="416">
        <v>1</v>
      </c>
      <c r="X3649" s="416">
        <v>1</v>
      </c>
      <c r="Y3649" s="416">
        <v>1</v>
      </c>
      <c r="Z3649" s="416">
        <v>1</v>
      </c>
      <c r="AA3649" s="416">
        <v>1</v>
      </c>
      <c r="AB3649" s="416">
        <v>0</v>
      </c>
      <c r="AC3649" s="150">
        <v>1</v>
      </c>
      <c r="AD3649" s="150">
        <v>1</v>
      </c>
      <c r="AE3649" s="49">
        <f t="shared" si="136"/>
        <v>0.875</v>
      </c>
      <c r="AF3649" s="190">
        <v>0</v>
      </c>
      <c r="AG3649" s="17">
        <v>0</v>
      </c>
      <c r="AH3649" s="190">
        <v>0</v>
      </c>
      <c r="AI3649" s="190">
        <v>0</v>
      </c>
      <c r="AJ3649" s="485">
        <v>2</v>
      </c>
      <c r="AK3649" s="493"/>
      <c r="AL3649" s="493"/>
      <c r="AM3649" s="17">
        <f t="shared" si="137"/>
        <v>0</v>
      </c>
      <c r="AN3649" s="162" t="s">
        <v>3879</v>
      </c>
      <c r="AO3649" s="162" t="s">
        <v>3881</v>
      </c>
    </row>
    <row r="3650" spans="1:42" s="162" customFormat="1" x14ac:dyDescent="0.3">
      <c r="A3650" s="205" t="s">
        <v>8321</v>
      </c>
      <c r="B3650" s="162" t="s">
        <v>8322</v>
      </c>
      <c r="C3650" s="168" t="s">
        <v>13277</v>
      </c>
      <c r="D3650" s="162" t="s">
        <v>13278</v>
      </c>
      <c r="E3650" s="168" t="s">
        <v>13279</v>
      </c>
      <c r="F3650" s="162" t="s">
        <v>13280</v>
      </c>
      <c r="G3650" s="168" t="s">
        <v>13281</v>
      </c>
      <c r="H3650" s="162" t="s">
        <v>13282</v>
      </c>
      <c r="K3650" s="168" t="s">
        <v>13788</v>
      </c>
      <c r="L3650" s="162" t="s">
        <v>13789</v>
      </c>
      <c r="M3650" s="162" t="s">
        <v>13790</v>
      </c>
      <c r="O3650" s="224"/>
      <c r="P3650" s="224"/>
      <c r="Q3650" s="224">
        <v>1</v>
      </c>
      <c r="R3650" s="224">
        <v>1</v>
      </c>
      <c r="S3650" s="224">
        <v>1</v>
      </c>
      <c r="T3650" s="223" t="s">
        <v>3879</v>
      </c>
      <c r="U3650" t="str">
        <f>VLOOKUP(T3650,[8]Votes!$A$1:$E$234,3,FALSE)</f>
        <v>009 Ministry of Internal Affairs</v>
      </c>
      <c r="V3650" s="162" t="s">
        <v>13791</v>
      </c>
      <c r="W3650" s="416">
        <v>1</v>
      </c>
      <c r="X3650" s="416">
        <v>1</v>
      </c>
      <c r="Y3650" s="416">
        <v>1</v>
      </c>
      <c r="Z3650" s="416">
        <v>1</v>
      </c>
      <c r="AA3650" s="416">
        <v>1</v>
      </c>
      <c r="AB3650" s="416">
        <v>0</v>
      </c>
      <c r="AC3650" s="150">
        <v>1</v>
      </c>
      <c r="AD3650" s="150">
        <v>1</v>
      </c>
      <c r="AE3650" s="49">
        <f t="shared" si="136"/>
        <v>0.875</v>
      </c>
      <c r="AF3650" s="190">
        <v>0</v>
      </c>
      <c r="AG3650" s="17">
        <v>0</v>
      </c>
      <c r="AH3650" s="190">
        <v>0</v>
      </c>
      <c r="AI3650" s="190">
        <v>0</v>
      </c>
      <c r="AJ3650" s="485">
        <v>0.8</v>
      </c>
      <c r="AK3650" s="493">
        <v>0.5</v>
      </c>
      <c r="AL3650" s="493">
        <v>0.5</v>
      </c>
      <c r="AM3650" s="17">
        <f t="shared" si="137"/>
        <v>1</v>
      </c>
      <c r="AN3650" s="162" t="s">
        <v>3879</v>
      </c>
      <c r="AO3650" s="162" t="s">
        <v>3881</v>
      </c>
    </row>
    <row r="3651" spans="1:42" s="162" customFormat="1" x14ac:dyDescent="0.3">
      <c r="A3651" s="205" t="s">
        <v>8321</v>
      </c>
      <c r="B3651" s="162" t="s">
        <v>8322</v>
      </c>
      <c r="C3651" s="168" t="s">
        <v>13277</v>
      </c>
      <c r="D3651" s="162" t="s">
        <v>13278</v>
      </c>
      <c r="E3651" s="168" t="s">
        <v>13279</v>
      </c>
      <c r="F3651" s="162" t="s">
        <v>13280</v>
      </c>
      <c r="G3651" s="168" t="s">
        <v>13281</v>
      </c>
      <c r="H3651" s="162" t="s">
        <v>13282</v>
      </c>
      <c r="K3651" s="168" t="s">
        <v>13792</v>
      </c>
      <c r="L3651" s="162" t="s">
        <v>13793</v>
      </c>
      <c r="M3651" s="162" t="s">
        <v>13782</v>
      </c>
      <c r="N3651" s="462">
        <v>0.7</v>
      </c>
      <c r="O3651" s="492">
        <v>1</v>
      </c>
      <c r="P3651" s="492">
        <v>1</v>
      </c>
      <c r="Q3651" s="492">
        <v>1</v>
      </c>
      <c r="R3651" s="492">
        <v>1</v>
      </c>
      <c r="S3651" s="492">
        <v>1</v>
      </c>
      <c r="T3651" s="223" t="s">
        <v>3879</v>
      </c>
      <c r="U3651" t="str">
        <f>VLOOKUP(T3651,[8]Votes!$A$1:$E$234,3,FALSE)</f>
        <v>009 Ministry of Internal Affairs</v>
      </c>
      <c r="V3651" s="162" t="s">
        <v>13794</v>
      </c>
      <c r="W3651" s="416">
        <v>1</v>
      </c>
      <c r="X3651" s="416">
        <v>1</v>
      </c>
      <c r="Y3651" s="416">
        <v>1</v>
      </c>
      <c r="Z3651" s="416">
        <v>1</v>
      </c>
      <c r="AA3651" s="416">
        <v>1</v>
      </c>
      <c r="AB3651" s="416">
        <v>0</v>
      </c>
      <c r="AC3651" s="150">
        <v>1</v>
      </c>
      <c r="AD3651" s="150">
        <v>1</v>
      </c>
      <c r="AE3651" s="49">
        <f t="shared" si="136"/>
        <v>0.875</v>
      </c>
      <c r="AF3651" s="190">
        <v>0</v>
      </c>
      <c r="AG3651" s="17">
        <v>0</v>
      </c>
      <c r="AH3651" s="485">
        <v>1.45</v>
      </c>
      <c r="AI3651" s="485">
        <v>1.84</v>
      </c>
      <c r="AJ3651" s="485">
        <v>2</v>
      </c>
      <c r="AK3651" s="493">
        <v>1</v>
      </c>
      <c r="AL3651" s="493">
        <v>1</v>
      </c>
      <c r="AM3651" s="17">
        <f t="shared" si="137"/>
        <v>2</v>
      </c>
      <c r="AN3651" s="162" t="s">
        <v>3879</v>
      </c>
      <c r="AO3651" s="162" t="s">
        <v>3881</v>
      </c>
    </row>
    <row r="3652" spans="1:42" s="162" customFormat="1" x14ac:dyDescent="0.3">
      <c r="A3652" s="205" t="s">
        <v>8321</v>
      </c>
      <c r="B3652" s="162" t="s">
        <v>8322</v>
      </c>
      <c r="C3652" s="168" t="s">
        <v>13277</v>
      </c>
      <c r="D3652" s="162" t="s">
        <v>13278</v>
      </c>
      <c r="E3652" s="168" t="s">
        <v>13279</v>
      </c>
      <c r="F3652" s="162" t="s">
        <v>13280</v>
      </c>
      <c r="G3652" s="168" t="s">
        <v>13281</v>
      </c>
      <c r="H3652" s="162" t="s">
        <v>13282</v>
      </c>
      <c r="K3652" s="168" t="s">
        <v>13795</v>
      </c>
      <c r="L3652" s="162" t="s">
        <v>13796</v>
      </c>
      <c r="M3652" s="162" t="s">
        <v>13786</v>
      </c>
      <c r="O3652" s="224"/>
      <c r="P3652" s="224"/>
      <c r="Q3652" s="224">
        <v>0</v>
      </c>
      <c r="R3652" s="224">
        <v>0</v>
      </c>
      <c r="S3652" s="224">
        <v>0</v>
      </c>
      <c r="T3652" s="223" t="s">
        <v>3879</v>
      </c>
      <c r="U3652" t="str">
        <f>VLOOKUP(T3652,[8]Votes!$A$1:$E$234,3,FALSE)</f>
        <v>009 Ministry of Internal Affairs</v>
      </c>
      <c r="V3652" s="162" t="s">
        <v>13797</v>
      </c>
      <c r="W3652" s="416">
        <v>1</v>
      </c>
      <c r="X3652" s="416">
        <v>1</v>
      </c>
      <c r="Y3652" s="416">
        <v>1</v>
      </c>
      <c r="Z3652" s="416">
        <v>1</v>
      </c>
      <c r="AA3652" s="416">
        <v>1</v>
      </c>
      <c r="AB3652" s="416">
        <v>0</v>
      </c>
      <c r="AC3652" s="150">
        <v>1</v>
      </c>
      <c r="AD3652" s="150">
        <v>1</v>
      </c>
      <c r="AE3652" s="49">
        <f t="shared" si="136"/>
        <v>0.875</v>
      </c>
      <c r="AF3652" s="190">
        <v>0</v>
      </c>
      <c r="AG3652" s="17">
        <v>0</v>
      </c>
      <c r="AH3652" s="190">
        <v>0</v>
      </c>
      <c r="AI3652" s="190">
        <v>0</v>
      </c>
      <c r="AJ3652" s="485">
        <v>2</v>
      </c>
      <c r="AK3652" s="493"/>
      <c r="AL3652" s="493"/>
      <c r="AM3652" s="17">
        <f t="shared" si="137"/>
        <v>0</v>
      </c>
      <c r="AN3652" s="162" t="s">
        <v>3879</v>
      </c>
      <c r="AO3652" s="162" t="s">
        <v>3881</v>
      </c>
    </row>
    <row r="3653" spans="1:42" s="162" customFormat="1" x14ac:dyDescent="0.3">
      <c r="A3653" s="205" t="s">
        <v>8321</v>
      </c>
      <c r="B3653" s="162" t="s">
        <v>8322</v>
      </c>
      <c r="C3653" s="168" t="s">
        <v>13277</v>
      </c>
      <c r="D3653" s="162" t="s">
        <v>13278</v>
      </c>
      <c r="E3653" s="168" t="s">
        <v>13279</v>
      </c>
      <c r="F3653" s="162" t="s">
        <v>13280</v>
      </c>
      <c r="G3653" s="168" t="s">
        <v>13313</v>
      </c>
      <c r="H3653" s="162" t="s">
        <v>13314</v>
      </c>
      <c r="K3653" s="168" t="s">
        <v>13798</v>
      </c>
      <c r="L3653" s="162" t="s">
        <v>13799</v>
      </c>
      <c r="M3653" s="162" t="s">
        <v>13317</v>
      </c>
      <c r="O3653" s="224">
        <v>3.6</v>
      </c>
      <c r="P3653" s="224">
        <v>4.25</v>
      </c>
      <c r="Q3653" s="224">
        <v>4.84</v>
      </c>
      <c r="R3653" s="224">
        <v>6.11</v>
      </c>
      <c r="S3653" s="224">
        <v>8.09</v>
      </c>
      <c r="T3653" s="223" t="s">
        <v>13755</v>
      </c>
      <c r="U3653" t="str">
        <f>VLOOKUP(T3653,[8]Votes!$A$1:$E$234,3,FALSE)</f>
        <v>159 External Security Organisation</v>
      </c>
      <c r="V3653" s="162" t="s">
        <v>13800</v>
      </c>
      <c r="W3653" s="416">
        <v>1</v>
      </c>
      <c r="X3653" s="416">
        <v>1</v>
      </c>
      <c r="Y3653" s="416">
        <v>1</v>
      </c>
      <c r="Z3653" s="416">
        <v>1</v>
      </c>
      <c r="AA3653" s="416">
        <v>1</v>
      </c>
      <c r="AB3653" s="416">
        <v>0</v>
      </c>
      <c r="AC3653" s="150">
        <v>0</v>
      </c>
      <c r="AD3653" s="150">
        <v>1</v>
      </c>
      <c r="AE3653" s="49">
        <f t="shared" si="136"/>
        <v>0.75</v>
      </c>
      <c r="AF3653" s="190">
        <v>1</v>
      </c>
      <c r="AG3653" s="17">
        <v>0</v>
      </c>
      <c r="AH3653" s="485">
        <v>3.6</v>
      </c>
      <c r="AI3653" s="485">
        <v>4.25</v>
      </c>
      <c r="AJ3653" s="485">
        <v>4.84</v>
      </c>
      <c r="AK3653" s="493">
        <v>1.1100000000000001</v>
      </c>
      <c r="AL3653" s="493">
        <v>1.0900000000000001</v>
      </c>
      <c r="AM3653" s="17">
        <f t="shared" si="137"/>
        <v>2.2000000000000002</v>
      </c>
      <c r="AN3653" s="162" t="s">
        <v>13755</v>
      </c>
      <c r="AO3653" s="162" t="s">
        <v>13757</v>
      </c>
    </row>
    <row r="3654" spans="1:42" s="162" customFormat="1" x14ac:dyDescent="0.3">
      <c r="A3654" s="205" t="s">
        <v>8321</v>
      </c>
      <c r="B3654" s="162" t="s">
        <v>8322</v>
      </c>
      <c r="C3654" s="168" t="s">
        <v>13277</v>
      </c>
      <c r="D3654" s="162" t="s">
        <v>13278</v>
      </c>
      <c r="E3654" s="168" t="s">
        <v>13279</v>
      </c>
      <c r="F3654" s="162" t="s">
        <v>13280</v>
      </c>
      <c r="G3654" s="168" t="s">
        <v>13313</v>
      </c>
      <c r="H3654" s="162" t="s">
        <v>13314</v>
      </c>
      <c r="I3654" s="162" t="s">
        <v>13801</v>
      </c>
      <c r="J3654" s="162" t="s">
        <v>13802</v>
      </c>
      <c r="K3654" s="168" t="s">
        <v>13803</v>
      </c>
      <c r="L3654" s="162" t="s">
        <v>13804</v>
      </c>
      <c r="M3654" s="162" t="s">
        <v>13317</v>
      </c>
      <c r="O3654" s="224">
        <v>20</v>
      </c>
      <c r="P3654" s="224">
        <v>33</v>
      </c>
      <c r="Q3654" s="224">
        <v>34</v>
      </c>
      <c r="R3654" s="224">
        <v>20</v>
      </c>
      <c r="S3654" s="224">
        <v>15</v>
      </c>
      <c r="T3654" s="223" t="s">
        <v>180</v>
      </c>
      <c r="U3654" t="str">
        <f>VLOOKUP(T3654,[8]Votes!$A$1:$E$234,3,FALSE)</f>
        <v>145 Uganda Prisons</v>
      </c>
      <c r="V3654" s="162" t="s">
        <v>13805</v>
      </c>
      <c r="W3654" s="416">
        <v>1</v>
      </c>
      <c r="X3654" s="416">
        <v>1</v>
      </c>
      <c r="Y3654" s="416">
        <v>1</v>
      </c>
      <c r="Z3654" s="416">
        <v>1</v>
      </c>
      <c r="AA3654" s="416">
        <v>1</v>
      </c>
      <c r="AB3654" s="416">
        <v>0</v>
      </c>
      <c r="AC3654" s="150">
        <v>0</v>
      </c>
      <c r="AD3654" s="150">
        <v>1</v>
      </c>
      <c r="AE3654" s="49">
        <f t="shared" si="136"/>
        <v>0.75</v>
      </c>
      <c r="AF3654" s="190">
        <v>1</v>
      </c>
      <c r="AG3654" s="17">
        <v>0</v>
      </c>
      <c r="AH3654" s="485">
        <v>5.9889999999999999</v>
      </c>
      <c r="AI3654" s="485">
        <v>13.36</v>
      </c>
      <c r="AJ3654" s="485">
        <v>13.44</v>
      </c>
      <c r="AK3654" s="493">
        <v>0</v>
      </c>
      <c r="AL3654" s="493">
        <v>0</v>
      </c>
      <c r="AM3654" s="17">
        <f t="shared" si="137"/>
        <v>0</v>
      </c>
      <c r="AN3654" s="162" t="s">
        <v>180</v>
      </c>
      <c r="AO3654" s="162" t="s">
        <v>182</v>
      </c>
    </row>
    <row r="3655" spans="1:42" s="162" customFormat="1" x14ac:dyDescent="0.3">
      <c r="A3655" s="205" t="s">
        <v>8321</v>
      </c>
      <c r="B3655" s="162" t="s">
        <v>8322</v>
      </c>
      <c r="C3655" s="168" t="s">
        <v>13277</v>
      </c>
      <c r="D3655" s="162" t="s">
        <v>13278</v>
      </c>
      <c r="E3655" s="168" t="s">
        <v>13279</v>
      </c>
      <c r="F3655" s="162" t="s">
        <v>13280</v>
      </c>
      <c r="G3655" s="168" t="s">
        <v>13313</v>
      </c>
      <c r="H3655" s="162" t="s">
        <v>13314</v>
      </c>
      <c r="I3655" s="162" t="s">
        <v>13806</v>
      </c>
      <c r="J3655" s="162" t="s">
        <v>13807</v>
      </c>
      <c r="K3655" s="168" t="s">
        <v>13798</v>
      </c>
      <c r="L3655" s="162" t="s">
        <v>13799</v>
      </c>
      <c r="M3655" s="162" t="s">
        <v>13317</v>
      </c>
      <c r="O3655" s="224">
        <v>15</v>
      </c>
      <c r="P3655" s="224">
        <v>10</v>
      </c>
      <c r="Q3655" s="224">
        <v>10</v>
      </c>
      <c r="R3655" s="224">
        <v>2</v>
      </c>
      <c r="S3655" s="224">
        <v>2</v>
      </c>
      <c r="T3655" s="223" t="s">
        <v>180</v>
      </c>
      <c r="U3655" t="str">
        <f>VLOOKUP(T3655,[8]Votes!$A$1:$E$234,3,FALSE)</f>
        <v>145 Uganda Prisons</v>
      </c>
      <c r="V3655" s="162" t="s">
        <v>13808</v>
      </c>
      <c r="W3655" s="416">
        <v>1</v>
      </c>
      <c r="X3655" s="416">
        <v>1</v>
      </c>
      <c r="Y3655" s="416">
        <v>1</v>
      </c>
      <c r="Z3655" s="416">
        <v>1</v>
      </c>
      <c r="AA3655" s="416">
        <v>1</v>
      </c>
      <c r="AB3655" s="416">
        <v>0</v>
      </c>
      <c r="AC3655" s="150">
        <v>0</v>
      </c>
      <c r="AD3655" s="150">
        <v>1</v>
      </c>
      <c r="AE3655" s="49">
        <f t="shared" si="136"/>
        <v>0.75</v>
      </c>
      <c r="AF3655" s="190">
        <v>1</v>
      </c>
      <c r="AG3655" s="17">
        <v>0</v>
      </c>
      <c r="AH3655" s="485">
        <v>1.88</v>
      </c>
      <c r="AI3655" s="485">
        <v>1.25</v>
      </c>
      <c r="AJ3655" s="485">
        <v>1.25</v>
      </c>
      <c r="AK3655" s="493">
        <v>0</v>
      </c>
      <c r="AL3655" s="493">
        <v>0</v>
      </c>
      <c r="AM3655" s="17">
        <f t="shared" si="137"/>
        <v>0</v>
      </c>
      <c r="AN3655" s="162" t="s">
        <v>180</v>
      </c>
      <c r="AO3655" s="162" t="s">
        <v>182</v>
      </c>
    </row>
    <row r="3656" spans="1:42" s="162" customFormat="1" x14ac:dyDescent="0.3">
      <c r="A3656" s="205" t="s">
        <v>8321</v>
      </c>
      <c r="B3656" s="162" t="s">
        <v>8322</v>
      </c>
      <c r="C3656" s="168" t="s">
        <v>13277</v>
      </c>
      <c r="D3656" s="162" t="s">
        <v>13278</v>
      </c>
      <c r="E3656" s="168" t="s">
        <v>13279</v>
      </c>
      <c r="F3656" s="162" t="s">
        <v>13280</v>
      </c>
      <c r="G3656" s="168" t="s">
        <v>13313</v>
      </c>
      <c r="H3656" s="162" t="s">
        <v>13314</v>
      </c>
      <c r="K3656" s="168" t="s">
        <v>13798</v>
      </c>
      <c r="L3656" s="162" t="s">
        <v>13799</v>
      </c>
      <c r="M3656" s="162" t="s">
        <v>13317</v>
      </c>
      <c r="O3656" s="224">
        <v>2.4</v>
      </c>
      <c r="P3656" s="224">
        <v>1.5</v>
      </c>
      <c r="Q3656" s="224">
        <v>2</v>
      </c>
      <c r="R3656" s="224">
        <v>2</v>
      </c>
      <c r="S3656" s="224">
        <v>2</v>
      </c>
      <c r="T3656" s="223" t="s">
        <v>13761</v>
      </c>
      <c r="U3656" t="str">
        <f>VLOOKUP(T3656,[8]Votes!$A$1:$E$234,3,FALSE)</f>
        <v>129 Financial Intelligence Authority (FIA)</v>
      </c>
      <c r="V3656" s="162" t="s">
        <v>13809</v>
      </c>
      <c r="W3656" s="416">
        <v>1</v>
      </c>
      <c r="X3656" s="416">
        <v>1</v>
      </c>
      <c r="Y3656" s="416">
        <v>1</v>
      </c>
      <c r="Z3656" s="416">
        <v>1</v>
      </c>
      <c r="AA3656" s="416">
        <v>1</v>
      </c>
      <c r="AB3656" s="416">
        <v>1</v>
      </c>
      <c r="AC3656" s="150">
        <v>0</v>
      </c>
      <c r="AD3656" s="150">
        <v>1</v>
      </c>
      <c r="AE3656" s="49">
        <f t="shared" si="136"/>
        <v>0.875</v>
      </c>
      <c r="AF3656" s="190">
        <v>1</v>
      </c>
      <c r="AG3656" s="17">
        <v>0</v>
      </c>
      <c r="AH3656" s="485">
        <v>1.5</v>
      </c>
      <c r="AI3656" s="485">
        <v>6.31</v>
      </c>
      <c r="AJ3656" s="485">
        <v>7.56</v>
      </c>
      <c r="AK3656" s="493">
        <v>2</v>
      </c>
      <c r="AL3656" s="493">
        <v>2</v>
      </c>
      <c r="AM3656" s="17">
        <f t="shared" si="137"/>
        <v>4</v>
      </c>
      <c r="AN3656" s="162" t="s">
        <v>13761</v>
      </c>
      <c r="AO3656" s="162" t="s">
        <v>13763</v>
      </c>
    </row>
    <row r="3657" spans="1:42" s="162" customFormat="1" x14ac:dyDescent="0.3">
      <c r="A3657" s="205" t="s">
        <v>8321</v>
      </c>
      <c r="B3657" s="162" t="s">
        <v>8322</v>
      </c>
      <c r="C3657" s="168" t="s">
        <v>13277</v>
      </c>
      <c r="D3657" s="162" t="s">
        <v>13278</v>
      </c>
      <c r="E3657" s="168" t="s">
        <v>13279</v>
      </c>
      <c r="F3657" s="162" t="s">
        <v>13280</v>
      </c>
      <c r="G3657" s="168" t="s">
        <v>13313</v>
      </c>
      <c r="H3657" s="162" t="s">
        <v>13314</v>
      </c>
      <c r="K3657" s="168" t="s">
        <v>13798</v>
      </c>
      <c r="L3657" s="162" t="s">
        <v>13799</v>
      </c>
      <c r="M3657" s="162" t="s">
        <v>13317</v>
      </c>
      <c r="O3657" s="224"/>
      <c r="P3657" s="224"/>
      <c r="Q3657" s="224">
        <v>4</v>
      </c>
      <c r="R3657" s="224">
        <v>4</v>
      </c>
      <c r="S3657" s="224">
        <v>2</v>
      </c>
      <c r="T3657" s="223" t="s">
        <v>13761</v>
      </c>
      <c r="U3657" t="str">
        <f>VLOOKUP(T3657,[8]Votes!$A$1:$E$234,3,FALSE)</f>
        <v>129 Financial Intelligence Authority (FIA)</v>
      </c>
      <c r="V3657" s="162" t="s">
        <v>13810</v>
      </c>
      <c r="W3657" s="416">
        <v>1</v>
      </c>
      <c r="X3657" s="416">
        <v>1</v>
      </c>
      <c r="Y3657" s="416">
        <v>1</v>
      </c>
      <c r="Z3657" s="416">
        <v>1</v>
      </c>
      <c r="AA3657" s="416">
        <v>1</v>
      </c>
      <c r="AB3657" s="416">
        <v>0</v>
      </c>
      <c r="AC3657" s="150">
        <v>0</v>
      </c>
      <c r="AD3657" s="150">
        <v>1</v>
      </c>
      <c r="AE3657" s="49">
        <f t="shared" si="136"/>
        <v>0.75</v>
      </c>
      <c r="AF3657" s="190">
        <v>1</v>
      </c>
      <c r="AG3657" s="17">
        <v>0</v>
      </c>
      <c r="AH3657" s="190">
        <v>0</v>
      </c>
      <c r="AI3657" s="190">
        <v>0</v>
      </c>
      <c r="AJ3657" s="485">
        <v>0.8</v>
      </c>
      <c r="AK3657" s="493">
        <v>1.2</v>
      </c>
      <c r="AL3657" s="493">
        <v>0.5</v>
      </c>
      <c r="AM3657" s="17">
        <f t="shared" si="137"/>
        <v>1.7</v>
      </c>
      <c r="AN3657" s="162" t="s">
        <v>13761</v>
      </c>
      <c r="AO3657" s="162" t="s">
        <v>13763</v>
      </c>
    </row>
    <row r="3658" spans="1:42" s="162" customFormat="1" x14ac:dyDescent="0.3">
      <c r="A3658" s="205" t="s">
        <v>8321</v>
      </c>
      <c r="B3658" s="162" t="s">
        <v>8322</v>
      </c>
      <c r="C3658" s="168" t="s">
        <v>13277</v>
      </c>
      <c r="D3658" s="162" t="s">
        <v>13278</v>
      </c>
      <c r="E3658" s="168" t="s">
        <v>13279</v>
      </c>
      <c r="F3658" s="162" t="s">
        <v>13280</v>
      </c>
      <c r="G3658" s="168" t="s">
        <v>13313</v>
      </c>
      <c r="H3658" s="162" t="s">
        <v>13314</v>
      </c>
      <c r="K3658" s="168" t="s">
        <v>13798</v>
      </c>
      <c r="L3658" s="162" t="s">
        <v>13799</v>
      </c>
      <c r="M3658" s="162" t="s">
        <v>13317</v>
      </c>
      <c r="N3658" s="162" t="s">
        <v>119</v>
      </c>
      <c r="O3658" s="224"/>
      <c r="P3658" s="224">
        <v>30</v>
      </c>
      <c r="Q3658" s="224">
        <v>15</v>
      </c>
      <c r="R3658" s="224">
        <v>8</v>
      </c>
      <c r="S3658" s="224"/>
      <c r="T3658" s="223" t="s">
        <v>13766</v>
      </c>
      <c r="U3658" t="str">
        <f>VLOOKUP(T3658,[8]Votes!$A$1:$E$234,3,FALSE)</f>
        <v>120 National Citizenship and Immigration Control</v>
      </c>
      <c r="V3658" s="162" t="s">
        <v>13811</v>
      </c>
      <c r="W3658" s="416">
        <v>1</v>
      </c>
      <c r="X3658" s="416">
        <v>1</v>
      </c>
      <c r="Y3658" s="416">
        <v>1</v>
      </c>
      <c r="Z3658" s="416">
        <v>1</v>
      </c>
      <c r="AA3658" s="416">
        <v>1</v>
      </c>
      <c r="AB3658" s="416">
        <v>0</v>
      </c>
      <c r="AC3658" s="150">
        <v>0</v>
      </c>
      <c r="AD3658" s="150">
        <v>1</v>
      </c>
      <c r="AE3658" s="49">
        <f t="shared" si="136"/>
        <v>0.75</v>
      </c>
      <c r="AF3658" s="190">
        <v>1</v>
      </c>
      <c r="AG3658" s="17">
        <v>0</v>
      </c>
      <c r="AH3658" s="190">
        <v>0</v>
      </c>
      <c r="AI3658" s="485">
        <v>3.6</v>
      </c>
      <c r="AJ3658" s="485">
        <v>1.8</v>
      </c>
      <c r="AK3658" s="493">
        <v>0.96</v>
      </c>
      <c r="AL3658" s="493">
        <v>2.2000000000000002</v>
      </c>
      <c r="AM3658" s="17">
        <f t="shared" si="137"/>
        <v>3.16</v>
      </c>
      <c r="AN3658" s="162" t="s">
        <v>13766</v>
      </c>
      <c r="AO3658" s="162" t="s">
        <v>13768</v>
      </c>
    </row>
    <row r="3659" spans="1:42" s="162" customFormat="1" x14ac:dyDescent="0.3">
      <c r="A3659" s="205" t="s">
        <v>8321</v>
      </c>
      <c r="B3659" s="162" t="s">
        <v>8322</v>
      </c>
      <c r="C3659" s="168" t="s">
        <v>13277</v>
      </c>
      <c r="D3659" s="162" t="s">
        <v>13278</v>
      </c>
      <c r="E3659" s="168" t="s">
        <v>13279</v>
      </c>
      <c r="F3659" s="162" t="s">
        <v>13280</v>
      </c>
      <c r="G3659" s="168" t="s">
        <v>13313</v>
      </c>
      <c r="H3659" s="162" t="s">
        <v>13314</v>
      </c>
      <c r="K3659" s="168" t="s">
        <v>13798</v>
      </c>
      <c r="L3659" s="162" t="s">
        <v>13799</v>
      </c>
      <c r="M3659" s="162" t="s">
        <v>13812</v>
      </c>
      <c r="O3659" s="492">
        <v>0.15</v>
      </c>
      <c r="P3659" s="492">
        <v>0.3</v>
      </c>
      <c r="Q3659" s="492">
        <v>0.03</v>
      </c>
      <c r="R3659" s="492">
        <v>8.6999999999999994E-2</v>
      </c>
      <c r="S3659" s="492">
        <v>0.09</v>
      </c>
      <c r="T3659" s="223" t="s">
        <v>13741</v>
      </c>
      <c r="U3659" t="str">
        <f>VLOOKUP(T3659,[8]Votes!$A$1:$E$234,3,FALSE)</f>
        <v>158 Internal Security Organisation</v>
      </c>
      <c r="V3659" s="162" t="s">
        <v>13813</v>
      </c>
      <c r="W3659" s="416">
        <v>1</v>
      </c>
      <c r="X3659" s="416">
        <v>1</v>
      </c>
      <c r="Y3659" s="416">
        <v>1</v>
      </c>
      <c r="Z3659" s="416">
        <v>1</v>
      </c>
      <c r="AA3659" s="416">
        <v>1</v>
      </c>
      <c r="AB3659" s="416">
        <v>0</v>
      </c>
      <c r="AC3659" s="150">
        <v>1</v>
      </c>
      <c r="AD3659" s="150">
        <v>1</v>
      </c>
      <c r="AE3659" s="49">
        <f t="shared" si="136"/>
        <v>0.875</v>
      </c>
      <c r="AF3659" s="190">
        <v>1</v>
      </c>
      <c r="AG3659" s="17">
        <v>0</v>
      </c>
      <c r="AH3659" s="485">
        <v>81</v>
      </c>
      <c r="AI3659" s="485">
        <v>159</v>
      </c>
      <c r="AJ3659" s="485">
        <v>100</v>
      </c>
      <c r="AK3659" s="493">
        <v>40</v>
      </c>
      <c r="AL3659" s="493">
        <v>40</v>
      </c>
      <c r="AM3659" s="17">
        <f t="shared" si="137"/>
        <v>80</v>
      </c>
      <c r="AN3659" s="162" t="s">
        <v>13741</v>
      </c>
      <c r="AO3659" s="162" t="s">
        <v>13742</v>
      </c>
    </row>
    <row r="3660" spans="1:42" s="162" customFormat="1" x14ac:dyDescent="0.3">
      <c r="A3660" s="205" t="s">
        <v>8321</v>
      </c>
      <c r="B3660" s="162" t="s">
        <v>8322</v>
      </c>
      <c r="C3660" s="168" t="s">
        <v>13277</v>
      </c>
      <c r="D3660" s="162" t="s">
        <v>13278</v>
      </c>
      <c r="E3660" s="168" t="s">
        <v>13279</v>
      </c>
      <c r="F3660" s="162" t="s">
        <v>13280</v>
      </c>
      <c r="G3660" s="168" t="s">
        <v>13313</v>
      </c>
      <c r="H3660" s="162" t="s">
        <v>13314</v>
      </c>
      <c r="K3660" s="168" t="s">
        <v>13814</v>
      </c>
      <c r="L3660" s="162" t="s">
        <v>13815</v>
      </c>
      <c r="M3660" s="162" t="s">
        <v>13816</v>
      </c>
      <c r="N3660" s="162">
        <v>0</v>
      </c>
      <c r="O3660" s="224">
        <v>0</v>
      </c>
      <c r="P3660" s="224">
        <v>0</v>
      </c>
      <c r="Q3660" s="224">
        <v>2</v>
      </c>
      <c r="R3660" s="224">
        <v>2</v>
      </c>
      <c r="S3660" s="224">
        <v>0</v>
      </c>
      <c r="T3660" s="223" t="s">
        <v>13776</v>
      </c>
      <c r="U3660" t="str">
        <f>VLOOKUP(T3660,[8]Votes!$A$1:$E$234,3,FALSE)</f>
        <v>305 Directorate of Government Analytical Laboratory</v>
      </c>
      <c r="V3660" s="162" t="s">
        <v>13817</v>
      </c>
      <c r="W3660" s="416">
        <v>1</v>
      </c>
      <c r="X3660" s="416">
        <v>1</v>
      </c>
      <c r="Y3660" s="416">
        <v>1</v>
      </c>
      <c r="Z3660" s="416">
        <v>1</v>
      </c>
      <c r="AA3660" s="416">
        <v>0</v>
      </c>
      <c r="AB3660" s="416">
        <v>0</v>
      </c>
      <c r="AC3660" s="150">
        <v>0</v>
      </c>
      <c r="AD3660" s="150">
        <v>1</v>
      </c>
      <c r="AE3660" s="49">
        <f t="shared" si="136"/>
        <v>0.625</v>
      </c>
      <c r="AF3660" s="190">
        <v>1</v>
      </c>
      <c r="AG3660" s="17">
        <v>0</v>
      </c>
      <c r="AH3660" s="190">
        <v>0</v>
      </c>
      <c r="AI3660" s="190">
        <v>0</v>
      </c>
      <c r="AJ3660" s="485">
        <v>1.2</v>
      </c>
      <c r="AK3660" s="493">
        <v>1.6</v>
      </c>
      <c r="AL3660" s="191">
        <v>0</v>
      </c>
      <c r="AM3660" s="17">
        <f t="shared" si="137"/>
        <v>1.6</v>
      </c>
      <c r="AN3660" s="162" t="s">
        <v>13776</v>
      </c>
      <c r="AO3660" s="162" t="s">
        <v>13778</v>
      </c>
      <c r="AP3660" s="162" t="s">
        <v>13776</v>
      </c>
    </row>
    <row r="3661" spans="1:42" s="162" customFormat="1" x14ac:dyDescent="0.3">
      <c r="A3661" s="205" t="s">
        <v>8321</v>
      </c>
      <c r="B3661" s="162" t="s">
        <v>8322</v>
      </c>
      <c r="C3661" s="168" t="s">
        <v>13277</v>
      </c>
      <c r="D3661" s="162" t="s">
        <v>13278</v>
      </c>
      <c r="E3661" s="168" t="s">
        <v>13279</v>
      </c>
      <c r="F3661" s="162" t="s">
        <v>13280</v>
      </c>
      <c r="G3661" s="168" t="s">
        <v>13313</v>
      </c>
      <c r="H3661" s="162" t="s">
        <v>13314</v>
      </c>
      <c r="K3661" s="168" t="s">
        <v>13798</v>
      </c>
      <c r="L3661" s="162" t="s">
        <v>13799</v>
      </c>
      <c r="M3661" s="162" t="s">
        <v>13818</v>
      </c>
      <c r="O3661" s="224"/>
      <c r="P3661" s="224"/>
      <c r="Q3661" s="224"/>
      <c r="R3661" s="224"/>
      <c r="S3661" s="224"/>
      <c r="T3661" s="223" t="s">
        <v>4825</v>
      </c>
      <c r="U3661" t="str">
        <f>VLOOKUP(T3661,[8]Votes!$A$1:$E$234,3,FALSE)</f>
        <v>004 Ministry of Defence and Veteran Affairs</v>
      </c>
      <c r="V3661" s="162" t="s">
        <v>13819</v>
      </c>
      <c r="W3661" s="416">
        <v>1</v>
      </c>
      <c r="X3661" s="416">
        <v>1</v>
      </c>
      <c r="Y3661" s="416">
        <v>1</v>
      </c>
      <c r="Z3661" s="416">
        <v>1</v>
      </c>
      <c r="AA3661" s="416">
        <v>1</v>
      </c>
      <c r="AB3661" s="416">
        <v>1</v>
      </c>
      <c r="AC3661" s="150">
        <v>1</v>
      </c>
      <c r="AD3661" s="150">
        <v>0</v>
      </c>
      <c r="AE3661" s="49">
        <f t="shared" si="136"/>
        <v>0.875</v>
      </c>
      <c r="AF3661" s="190">
        <v>1</v>
      </c>
      <c r="AG3661" s="17">
        <v>1</v>
      </c>
      <c r="AH3661" s="485">
        <v>2770</v>
      </c>
      <c r="AI3661" s="485">
        <v>2246.4</v>
      </c>
      <c r="AJ3661" s="485">
        <v>2313.79</v>
      </c>
      <c r="AK3661" s="493">
        <v>230.066</v>
      </c>
      <c r="AL3661" s="493">
        <v>0</v>
      </c>
      <c r="AM3661" s="17">
        <f t="shared" si="137"/>
        <v>230.066</v>
      </c>
      <c r="AN3661" s="162" t="s">
        <v>4825</v>
      </c>
      <c r="AO3661" s="162" t="s">
        <v>5931</v>
      </c>
    </row>
    <row r="3662" spans="1:42" s="162" customFormat="1" x14ac:dyDescent="0.3">
      <c r="A3662" s="205" t="s">
        <v>8321</v>
      </c>
      <c r="B3662" s="162" t="s">
        <v>8322</v>
      </c>
      <c r="C3662" s="168" t="s">
        <v>13277</v>
      </c>
      <c r="D3662" s="162" t="s">
        <v>13278</v>
      </c>
      <c r="E3662" s="168" t="s">
        <v>13279</v>
      </c>
      <c r="F3662" s="162" t="s">
        <v>13280</v>
      </c>
      <c r="G3662" s="168" t="s">
        <v>13313</v>
      </c>
      <c r="H3662" s="162" t="s">
        <v>13314</v>
      </c>
      <c r="K3662" s="168" t="s">
        <v>13798</v>
      </c>
      <c r="L3662" s="162" t="s">
        <v>13799</v>
      </c>
      <c r="M3662" s="162" t="s">
        <v>13818</v>
      </c>
      <c r="O3662" s="224"/>
      <c r="P3662" s="224"/>
      <c r="Q3662" s="224"/>
      <c r="R3662" s="224"/>
      <c r="S3662" s="224"/>
      <c r="T3662" s="223" t="s">
        <v>4825</v>
      </c>
      <c r="U3662" t="str">
        <f>VLOOKUP(T3662,[8]Votes!$A$1:$E$234,3,FALSE)</f>
        <v>004 Ministry of Defence and Veteran Affairs</v>
      </c>
      <c r="V3662" s="162" t="s">
        <v>13820</v>
      </c>
      <c r="W3662" s="416">
        <v>1</v>
      </c>
      <c r="X3662" s="416">
        <v>1</v>
      </c>
      <c r="Y3662" s="416">
        <v>1</v>
      </c>
      <c r="Z3662" s="416">
        <v>1</v>
      </c>
      <c r="AA3662" s="416">
        <v>1</v>
      </c>
      <c r="AB3662" s="416">
        <v>0</v>
      </c>
      <c r="AC3662" s="150">
        <v>1</v>
      </c>
      <c r="AD3662" s="150">
        <v>0</v>
      </c>
      <c r="AE3662" s="49">
        <f t="shared" si="136"/>
        <v>0.75</v>
      </c>
      <c r="AF3662" s="190">
        <v>1</v>
      </c>
      <c r="AG3662" s="17"/>
      <c r="AH3662" s="190">
        <v>0</v>
      </c>
      <c r="AI3662" s="485">
        <v>5.2279999999999998</v>
      </c>
      <c r="AJ3662" s="485">
        <v>7.8029999999999999</v>
      </c>
      <c r="AK3662" s="493">
        <v>85.93</v>
      </c>
      <c r="AL3662" s="493">
        <v>8.4499999999999993</v>
      </c>
      <c r="AM3662" s="17">
        <f t="shared" si="137"/>
        <v>94.38000000000001</v>
      </c>
      <c r="AN3662" s="162" t="s">
        <v>4825</v>
      </c>
      <c r="AO3662" s="162" t="s">
        <v>5931</v>
      </c>
    </row>
    <row r="3663" spans="1:42" s="162" customFormat="1" x14ac:dyDescent="0.3">
      <c r="A3663" s="205" t="s">
        <v>8321</v>
      </c>
      <c r="B3663" s="162" t="s">
        <v>8322</v>
      </c>
      <c r="C3663" s="168" t="s">
        <v>13277</v>
      </c>
      <c r="D3663" s="162" t="s">
        <v>13278</v>
      </c>
      <c r="E3663" s="168" t="s">
        <v>13279</v>
      </c>
      <c r="F3663" s="162" t="s">
        <v>13280</v>
      </c>
      <c r="G3663" s="168" t="s">
        <v>13313</v>
      </c>
      <c r="H3663" s="162" t="s">
        <v>13314</v>
      </c>
      <c r="K3663" s="168" t="s">
        <v>13821</v>
      </c>
      <c r="L3663" s="162" t="s">
        <v>13822</v>
      </c>
      <c r="M3663" s="162" t="s">
        <v>13823</v>
      </c>
      <c r="O3663" s="224">
        <v>150</v>
      </c>
      <c r="P3663" s="224">
        <v>150</v>
      </c>
      <c r="Q3663" s="224">
        <v>150</v>
      </c>
      <c r="R3663" s="224">
        <v>150</v>
      </c>
      <c r="S3663" s="224">
        <v>130</v>
      </c>
      <c r="T3663" s="223" t="s">
        <v>11865</v>
      </c>
      <c r="U3663" t="str">
        <f>VLOOKUP(T3663,[8]Votes!$A$1:$E$234,3,FALSE)</f>
        <v>133 Office of the Director of Public Prosecutions</v>
      </c>
      <c r="V3663" s="162" t="s">
        <v>13824</v>
      </c>
      <c r="W3663" s="416">
        <v>1</v>
      </c>
      <c r="X3663" s="416">
        <v>1</v>
      </c>
      <c r="Y3663" s="416">
        <v>1</v>
      </c>
      <c r="Z3663" s="416">
        <v>1</v>
      </c>
      <c r="AA3663" s="416">
        <v>1</v>
      </c>
      <c r="AB3663" s="416">
        <v>0</v>
      </c>
      <c r="AC3663" s="150">
        <v>0</v>
      </c>
      <c r="AD3663" s="150">
        <v>1</v>
      </c>
      <c r="AE3663" s="49">
        <f t="shared" si="136"/>
        <v>0.75</v>
      </c>
      <c r="AF3663" s="190">
        <v>1</v>
      </c>
      <c r="AG3663" s="17">
        <v>0</v>
      </c>
      <c r="AH3663" s="485">
        <v>0.45</v>
      </c>
      <c r="AI3663" s="485">
        <v>0.45</v>
      </c>
      <c r="AJ3663" s="485">
        <v>0.6</v>
      </c>
      <c r="AK3663" s="493">
        <v>0.6</v>
      </c>
      <c r="AL3663" s="493">
        <v>0.6</v>
      </c>
      <c r="AM3663" s="17">
        <f t="shared" si="137"/>
        <v>1.2</v>
      </c>
      <c r="AN3663" s="162" t="s">
        <v>11865</v>
      </c>
      <c r="AO3663" s="162" t="s">
        <v>11866</v>
      </c>
    </row>
    <row r="3664" spans="1:42" s="162" customFormat="1" x14ac:dyDescent="0.3">
      <c r="A3664" s="205" t="s">
        <v>8321</v>
      </c>
      <c r="B3664" s="162" t="s">
        <v>8322</v>
      </c>
      <c r="C3664" s="168" t="s">
        <v>13277</v>
      </c>
      <c r="D3664" s="162" t="s">
        <v>13278</v>
      </c>
      <c r="E3664" s="168" t="s">
        <v>13279</v>
      </c>
      <c r="F3664" s="162" t="s">
        <v>13280</v>
      </c>
      <c r="G3664" s="168" t="s">
        <v>13313</v>
      </c>
      <c r="H3664" s="162" t="s">
        <v>13314</v>
      </c>
      <c r="K3664" s="168" t="s">
        <v>13825</v>
      </c>
      <c r="L3664" s="162" t="s">
        <v>13826</v>
      </c>
      <c r="M3664" s="162" t="s">
        <v>13827</v>
      </c>
      <c r="O3664" s="224">
        <v>30</v>
      </c>
      <c r="P3664" s="224">
        <v>30</v>
      </c>
      <c r="Q3664" s="224">
        <v>30</v>
      </c>
      <c r="R3664" s="224">
        <v>30</v>
      </c>
      <c r="S3664" s="224">
        <v>30</v>
      </c>
      <c r="T3664" s="223" t="s">
        <v>13828</v>
      </c>
      <c r="U3664" t="e">
        <f>VLOOKUP(T3664,[8]Votes!$A$1:$E$234,3,FALSE)</f>
        <v>#N/A</v>
      </c>
      <c r="V3664" s="162" t="s">
        <v>13829</v>
      </c>
      <c r="W3664" s="416">
        <v>1</v>
      </c>
      <c r="X3664" s="416">
        <v>1</v>
      </c>
      <c r="Y3664" s="416">
        <v>1</v>
      </c>
      <c r="Z3664" s="416">
        <v>1</v>
      </c>
      <c r="AA3664" s="416">
        <v>1</v>
      </c>
      <c r="AB3664" s="416">
        <v>0</v>
      </c>
      <c r="AC3664" s="150">
        <v>0</v>
      </c>
      <c r="AD3664" s="150">
        <v>1</v>
      </c>
      <c r="AE3664" s="49">
        <f t="shared" si="136"/>
        <v>0.75</v>
      </c>
      <c r="AF3664" s="190">
        <v>1</v>
      </c>
      <c r="AG3664" s="17">
        <v>0</v>
      </c>
      <c r="AH3664" s="485">
        <v>0.4</v>
      </c>
      <c r="AI3664" s="485">
        <v>0.5</v>
      </c>
      <c r="AJ3664" s="485">
        <v>0.5</v>
      </c>
      <c r="AK3664" s="493">
        <v>0.5</v>
      </c>
      <c r="AL3664" s="493">
        <v>0.5</v>
      </c>
      <c r="AM3664" s="17">
        <f t="shared" si="137"/>
        <v>1</v>
      </c>
      <c r="AN3664" s="162" t="s">
        <v>11865</v>
      </c>
      <c r="AO3664" s="162" t="s">
        <v>11866</v>
      </c>
    </row>
    <row r="3665" spans="1:41" s="162" customFormat="1" x14ac:dyDescent="0.3">
      <c r="A3665" s="205" t="s">
        <v>8321</v>
      </c>
      <c r="B3665" s="162" t="s">
        <v>8322</v>
      </c>
      <c r="C3665" s="168" t="s">
        <v>13277</v>
      </c>
      <c r="D3665" s="162" t="s">
        <v>13278</v>
      </c>
      <c r="E3665" s="168" t="s">
        <v>13279</v>
      </c>
      <c r="F3665" s="162" t="s">
        <v>13280</v>
      </c>
      <c r="G3665" s="168" t="s">
        <v>13313</v>
      </c>
      <c r="H3665" s="162" t="s">
        <v>13314</v>
      </c>
      <c r="K3665" s="168" t="s">
        <v>13830</v>
      </c>
      <c r="L3665" s="162" t="s">
        <v>13831</v>
      </c>
      <c r="M3665" s="162" t="s">
        <v>13832</v>
      </c>
      <c r="O3665" s="492">
        <v>0.75</v>
      </c>
      <c r="P3665" s="492">
        <v>0.8</v>
      </c>
      <c r="Q3665" s="492">
        <v>0.8</v>
      </c>
      <c r="R3665" s="492">
        <v>0.9</v>
      </c>
      <c r="S3665" s="492">
        <v>0.9</v>
      </c>
      <c r="T3665" s="223" t="s">
        <v>11865</v>
      </c>
      <c r="U3665" t="str">
        <f>VLOOKUP(T3665,[8]Votes!$A$1:$E$234,3,FALSE)</f>
        <v>133 Office of the Director of Public Prosecutions</v>
      </c>
      <c r="V3665" s="162" t="s">
        <v>13833</v>
      </c>
      <c r="W3665" s="416">
        <v>1</v>
      </c>
      <c r="X3665" s="416">
        <v>1</v>
      </c>
      <c r="Y3665" s="416">
        <v>1</v>
      </c>
      <c r="Z3665" s="416">
        <v>1</v>
      </c>
      <c r="AA3665" s="416">
        <v>1</v>
      </c>
      <c r="AB3665" s="416">
        <v>0</v>
      </c>
      <c r="AC3665" s="150">
        <v>0</v>
      </c>
      <c r="AD3665" s="150">
        <v>1</v>
      </c>
      <c r="AE3665" s="49">
        <f t="shared" si="136"/>
        <v>0.75</v>
      </c>
      <c r="AF3665" s="190">
        <v>1</v>
      </c>
      <c r="AG3665" s="17">
        <v>0</v>
      </c>
      <c r="AH3665" s="485">
        <v>0.4</v>
      </c>
      <c r="AI3665" s="485">
        <v>0.6</v>
      </c>
      <c r="AJ3665" s="485">
        <v>0.6</v>
      </c>
      <c r="AK3665" s="493">
        <v>0.6</v>
      </c>
      <c r="AL3665" s="493">
        <v>0.6</v>
      </c>
      <c r="AM3665" s="17">
        <f t="shared" si="137"/>
        <v>1.2</v>
      </c>
      <c r="AN3665" s="162" t="s">
        <v>11865</v>
      </c>
      <c r="AO3665" s="162" t="s">
        <v>11866</v>
      </c>
    </row>
    <row r="3666" spans="1:41" s="162" customFormat="1" x14ac:dyDescent="0.3">
      <c r="A3666" s="205" t="s">
        <v>8321</v>
      </c>
      <c r="B3666" s="162" t="s">
        <v>8322</v>
      </c>
      <c r="C3666" s="168" t="s">
        <v>13277</v>
      </c>
      <c r="D3666" s="162" t="s">
        <v>13278</v>
      </c>
      <c r="E3666" s="168" t="s">
        <v>13279</v>
      </c>
      <c r="F3666" s="162" t="s">
        <v>13280</v>
      </c>
      <c r="G3666" s="168" t="s">
        <v>13313</v>
      </c>
      <c r="H3666" s="162" t="s">
        <v>13314</v>
      </c>
      <c r="K3666" s="168" t="s">
        <v>13834</v>
      </c>
      <c r="L3666" s="162" t="s">
        <v>13835</v>
      </c>
      <c r="M3666" s="162" t="s">
        <v>13836</v>
      </c>
      <c r="O3666" s="224">
        <v>32</v>
      </c>
      <c r="P3666" s="224">
        <v>42</v>
      </c>
      <c r="Q3666" s="224">
        <v>47</v>
      </c>
      <c r="R3666" s="224">
        <v>52</v>
      </c>
      <c r="S3666" s="224">
        <v>56</v>
      </c>
      <c r="T3666" s="223" t="s">
        <v>13755</v>
      </c>
      <c r="U3666" t="str">
        <f>VLOOKUP(T3666,[8]Votes!$A$1:$E$234,3,FALSE)</f>
        <v>159 External Security Organisation</v>
      </c>
      <c r="V3666" s="162" t="s">
        <v>13837</v>
      </c>
      <c r="W3666" s="416">
        <v>1</v>
      </c>
      <c r="X3666" s="416">
        <v>1</v>
      </c>
      <c r="Y3666" s="416">
        <v>1</v>
      </c>
      <c r="Z3666" s="416">
        <v>1</v>
      </c>
      <c r="AA3666" s="416">
        <v>1</v>
      </c>
      <c r="AB3666" s="416">
        <v>0</v>
      </c>
      <c r="AC3666" s="150">
        <v>0</v>
      </c>
      <c r="AD3666" s="150">
        <v>1</v>
      </c>
      <c r="AE3666" s="49">
        <f t="shared" si="136"/>
        <v>0.75</v>
      </c>
      <c r="AF3666" s="190">
        <v>1</v>
      </c>
      <c r="AG3666" s="17">
        <v>0</v>
      </c>
      <c r="AH3666" s="485">
        <v>22.22</v>
      </c>
      <c r="AI3666" s="485">
        <v>26.17</v>
      </c>
      <c r="AJ3666" s="485">
        <v>29.2</v>
      </c>
      <c r="AK3666" s="493">
        <v>68.900000000000006</v>
      </c>
      <c r="AL3666" s="493">
        <v>66.394000000000005</v>
      </c>
      <c r="AM3666" s="17">
        <f t="shared" si="137"/>
        <v>135.29400000000001</v>
      </c>
      <c r="AN3666" s="162" t="s">
        <v>13755</v>
      </c>
      <c r="AO3666" s="162" t="s">
        <v>13757</v>
      </c>
    </row>
    <row r="3667" spans="1:41" s="162" customFormat="1" x14ac:dyDescent="0.3">
      <c r="A3667" s="205" t="s">
        <v>8321</v>
      </c>
      <c r="B3667" s="162" t="s">
        <v>8322</v>
      </c>
      <c r="C3667" s="168" t="s">
        <v>13277</v>
      </c>
      <c r="D3667" s="162" t="s">
        <v>13278</v>
      </c>
      <c r="E3667" s="168" t="s">
        <v>13279</v>
      </c>
      <c r="F3667" s="162" t="s">
        <v>13280</v>
      </c>
      <c r="G3667" s="168" t="s">
        <v>13313</v>
      </c>
      <c r="H3667" s="162" t="s">
        <v>13314</v>
      </c>
      <c r="K3667" s="168" t="s">
        <v>13838</v>
      </c>
      <c r="L3667" s="162" t="s">
        <v>13839</v>
      </c>
      <c r="M3667" s="162" t="s">
        <v>13840</v>
      </c>
      <c r="O3667" s="224">
        <v>0</v>
      </c>
      <c r="P3667" s="224">
        <v>15</v>
      </c>
      <c r="Q3667" s="224">
        <v>10</v>
      </c>
      <c r="R3667" s="224">
        <v>15</v>
      </c>
      <c r="S3667" s="224">
        <v>10</v>
      </c>
      <c r="T3667" s="223" t="s">
        <v>13755</v>
      </c>
      <c r="U3667" t="str">
        <f>VLOOKUP(T3667,[8]Votes!$A$1:$E$234,3,FALSE)</f>
        <v>159 External Security Organisation</v>
      </c>
      <c r="V3667" s="162" t="s">
        <v>13841</v>
      </c>
      <c r="W3667" s="416">
        <v>1</v>
      </c>
      <c r="X3667" s="416">
        <v>1</v>
      </c>
      <c r="Y3667" s="416">
        <v>1</v>
      </c>
      <c r="Z3667" s="416">
        <v>1</v>
      </c>
      <c r="AA3667" s="416">
        <v>1</v>
      </c>
      <c r="AB3667" s="416">
        <v>0</v>
      </c>
      <c r="AC3667" s="150">
        <v>0</v>
      </c>
      <c r="AD3667" s="150">
        <v>1</v>
      </c>
      <c r="AE3667" s="49">
        <f t="shared" si="136"/>
        <v>0.75</v>
      </c>
      <c r="AF3667" s="190">
        <v>1</v>
      </c>
      <c r="AG3667" s="17">
        <v>0</v>
      </c>
      <c r="AH3667" s="190">
        <v>0</v>
      </c>
      <c r="AI3667" s="485">
        <v>4.5</v>
      </c>
      <c r="AJ3667" s="485">
        <v>3</v>
      </c>
      <c r="AK3667" s="493">
        <v>1</v>
      </c>
      <c r="AL3667" s="493">
        <v>1</v>
      </c>
      <c r="AM3667" s="17">
        <f t="shared" si="137"/>
        <v>2</v>
      </c>
      <c r="AN3667" s="162" t="s">
        <v>13755</v>
      </c>
      <c r="AO3667" s="162" t="s">
        <v>13757</v>
      </c>
    </row>
    <row r="3668" spans="1:41" s="162" customFormat="1" x14ac:dyDescent="0.3">
      <c r="A3668" s="205" t="s">
        <v>8321</v>
      </c>
      <c r="B3668" s="162" t="s">
        <v>8322</v>
      </c>
      <c r="C3668" s="168" t="s">
        <v>13277</v>
      </c>
      <c r="D3668" s="162" t="s">
        <v>13278</v>
      </c>
      <c r="E3668" s="168" t="s">
        <v>13279</v>
      </c>
      <c r="F3668" s="162" t="s">
        <v>13280</v>
      </c>
      <c r="G3668" s="168" t="s">
        <v>13313</v>
      </c>
      <c r="H3668" s="162" t="s">
        <v>13314</v>
      </c>
      <c r="K3668" s="168" t="s">
        <v>13842</v>
      </c>
      <c r="L3668" s="162" t="s">
        <v>13843</v>
      </c>
      <c r="M3668" s="162" t="s">
        <v>13844</v>
      </c>
      <c r="O3668" s="224"/>
      <c r="P3668" s="224"/>
      <c r="Q3668" s="224">
        <v>10</v>
      </c>
      <c r="R3668" s="224">
        <v>10</v>
      </c>
      <c r="S3668" s="224">
        <v>10</v>
      </c>
      <c r="T3668" s="223" t="s">
        <v>13845</v>
      </c>
      <c r="U3668" t="e">
        <f>VLOOKUP(T3668,[8]Votes!$A$1:$E$234,3,FALSE)</f>
        <v>#N/A</v>
      </c>
      <c r="V3668" s="162" t="s">
        <v>13846</v>
      </c>
      <c r="W3668" s="416">
        <v>1</v>
      </c>
      <c r="X3668" s="416">
        <v>1</v>
      </c>
      <c r="Y3668" s="416">
        <v>1</v>
      </c>
      <c r="Z3668" s="416">
        <v>1</v>
      </c>
      <c r="AA3668" s="416">
        <v>1</v>
      </c>
      <c r="AB3668" s="416">
        <v>0</v>
      </c>
      <c r="AC3668" s="150">
        <v>1</v>
      </c>
      <c r="AD3668" s="150">
        <v>1</v>
      </c>
      <c r="AE3668" s="49">
        <f t="shared" si="136"/>
        <v>0.875</v>
      </c>
      <c r="AF3668" s="190">
        <v>0</v>
      </c>
      <c r="AG3668" s="17">
        <v>0</v>
      </c>
      <c r="AH3668" s="190">
        <v>0</v>
      </c>
      <c r="AI3668" s="190">
        <v>0</v>
      </c>
      <c r="AJ3668" s="485">
        <v>7.5</v>
      </c>
      <c r="AK3668" s="493">
        <v>0</v>
      </c>
      <c r="AL3668" s="493">
        <v>0</v>
      </c>
      <c r="AM3668" s="17">
        <f t="shared" si="137"/>
        <v>0</v>
      </c>
      <c r="AN3668" s="162" t="s">
        <v>3879</v>
      </c>
      <c r="AO3668" s="162" t="s">
        <v>3881</v>
      </c>
    </row>
    <row r="3669" spans="1:41" s="162" customFormat="1" x14ac:dyDescent="0.3">
      <c r="A3669" s="205" t="s">
        <v>8321</v>
      </c>
      <c r="B3669" s="162" t="s">
        <v>8322</v>
      </c>
      <c r="C3669" s="168" t="s">
        <v>13277</v>
      </c>
      <c r="D3669" s="162" t="s">
        <v>13278</v>
      </c>
      <c r="E3669" s="168" t="s">
        <v>13279</v>
      </c>
      <c r="F3669" s="162" t="s">
        <v>13280</v>
      </c>
      <c r="G3669" s="168" t="s">
        <v>13313</v>
      </c>
      <c r="H3669" s="162" t="s">
        <v>13314</v>
      </c>
      <c r="K3669" s="168" t="s">
        <v>13847</v>
      </c>
      <c r="L3669" s="162" t="s">
        <v>13548</v>
      </c>
      <c r="M3669" s="162" t="s">
        <v>13848</v>
      </c>
      <c r="O3669" s="224">
        <v>0</v>
      </c>
      <c r="P3669" s="224">
        <v>1</v>
      </c>
      <c r="Q3669" s="224">
        <v>1</v>
      </c>
      <c r="R3669" s="224">
        <v>1</v>
      </c>
      <c r="S3669" s="224">
        <v>1</v>
      </c>
      <c r="T3669" s="223" t="s">
        <v>13755</v>
      </c>
      <c r="U3669" t="str">
        <f>VLOOKUP(T3669,[8]Votes!$A$1:$E$234,3,FALSE)</f>
        <v>159 External Security Organisation</v>
      </c>
      <c r="V3669" s="162" t="s">
        <v>13849</v>
      </c>
      <c r="W3669" s="416">
        <v>1</v>
      </c>
      <c r="X3669" s="416">
        <v>1</v>
      </c>
      <c r="Y3669" s="416">
        <v>1</v>
      </c>
      <c r="Z3669" s="416">
        <v>1</v>
      </c>
      <c r="AA3669" s="416">
        <v>1</v>
      </c>
      <c r="AB3669" s="416">
        <v>0</v>
      </c>
      <c r="AC3669" s="150">
        <v>0</v>
      </c>
      <c r="AD3669" s="150">
        <v>1</v>
      </c>
      <c r="AE3669" s="49">
        <f t="shared" si="136"/>
        <v>0.75</v>
      </c>
      <c r="AF3669" s="190">
        <v>1</v>
      </c>
      <c r="AG3669" s="17">
        <v>0</v>
      </c>
      <c r="AH3669" s="190">
        <v>0</v>
      </c>
      <c r="AI3669" s="485">
        <v>40</v>
      </c>
      <c r="AJ3669" s="485">
        <v>25</v>
      </c>
      <c r="AK3669" s="493">
        <v>2</v>
      </c>
      <c r="AL3669" s="493">
        <v>1</v>
      </c>
      <c r="AM3669" s="17">
        <f t="shared" si="137"/>
        <v>3</v>
      </c>
      <c r="AN3669" s="162" t="s">
        <v>13755</v>
      </c>
      <c r="AO3669" s="162" t="s">
        <v>13757</v>
      </c>
    </row>
    <row r="3670" spans="1:41" s="162" customFormat="1" x14ac:dyDescent="0.3">
      <c r="A3670" s="205" t="s">
        <v>8321</v>
      </c>
      <c r="B3670" s="162" t="s">
        <v>8322</v>
      </c>
      <c r="C3670" s="168" t="s">
        <v>13277</v>
      </c>
      <c r="D3670" s="162" t="s">
        <v>13278</v>
      </c>
      <c r="E3670" s="168" t="s">
        <v>13279</v>
      </c>
      <c r="F3670" s="162" t="s">
        <v>13280</v>
      </c>
      <c r="G3670" s="168" t="s">
        <v>13313</v>
      </c>
      <c r="H3670" s="162" t="s">
        <v>13314</v>
      </c>
      <c r="K3670" s="168" t="s">
        <v>13847</v>
      </c>
      <c r="L3670" s="162" t="s">
        <v>13548</v>
      </c>
      <c r="M3670" s="162" t="s">
        <v>13850</v>
      </c>
      <c r="O3670" s="224">
        <v>0</v>
      </c>
      <c r="P3670" s="224">
        <v>1</v>
      </c>
      <c r="Q3670" s="224">
        <v>1</v>
      </c>
      <c r="R3670" s="224">
        <v>1</v>
      </c>
      <c r="S3670" s="224">
        <v>1</v>
      </c>
      <c r="T3670" s="223" t="s">
        <v>13755</v>
      </c>
      <c r="U3670" t="str">
        <f>VLOOKUP(T3670,[8]Votes!$A$1:$E$234,3,FALSE)</f>
        <v>159 External Security Organisation</v>
      </c>
      <c r="V3670" s="162" t="s">
        <v>13851</v>
      </c>
      <c r="W3670" s="416">
        <v>1</v>
      </c>
      <c r="X3670" s="416">
        <v>1</v>
      </c>
      <c r="Y3670" s="416">
        <v>1</v>
      </c>
      <c r="Z3670" s="416">
        <v>1</v>
      </c>
      <c r="AA3670" s="416">
        <v>1</v>
      </c>
      <c r="AB3670" s="416">
        <v>0</v>
      </c>
      <c r="AC3670" s="150">
        <v>0</v>
      </c>
      <c r="AD3670" s="150">
        <v>1</v>
      </c>
      <c r="AE3670" s="49">
        <f t="shared" si="136"/>
        <v>0.75</v>
      </c>
      <c r="AF3670" s="190">
        <v>1</v>
      </c>
      <c r="AG3670" s="17">
        <v>0</v>
      </c>
      <c r="AH3670" s="190">
        <v>0</v>
      </c>
      <c r="AI3670" s="485">
        <v>17.04</v>
      </c>
      <c r="AJ3670" s="485">
        <v>7.7759999999999998</v>
      </c>
      <c r="AK3670" s="493">
        <v>2</v>
      </c>
      <c r="AL3670" s="493">
        <v>1.264</v>
      </c>
      <c r="AM3670" s="17">
        <f t="shared" si="137"/>
        <v>3.2640000000000002</v>
      </c>
      <c r="AN3670" s="162" t="s">
        <v>13755</v>
      </c>
      <c r="AO3670" s="162" t="s">
        <v>13757</v>
      </c>
    </row>
    <row r="3671" spans="1:41" s="162" customFormat="1" x14ac:dyDescent="0.3">
      <c r="A3671" s="205" t="s">
        <v>8321</v>
      </c>
      <c r="B3671" s="162" t="s">
        <v>8322</v>
      </c>
      <c r="C3671" s="168" t="s">
        <v>13277</v>
      </c>
      <c r="D3671" s="162" t="s">
        <v>13278</v>
      </c>
      <c r="E3671" s="168" t="s">
        <v>13279</v>
      </c>
      <c r="F3671" s="162" t="s">
        <v>13280</v>
      </c>
      <c r="G3671" s="168" t="s">
        <v>13313</v>
      </c>
      <c r="H3671" s="162" t="s">
        <v>13314</v>
      </c>
      <c r="K3671" s="168" t="s">
        <v>13847</v>
      </c>
      <c r="L3671" s="162" t="s">
        <v>13548</v>
      </c>
      <c r="M3671" s="162" t="s">
        <v>13852</v>
      </c>
      <c r="O3671" s="492"/>
      <c r="P3671" s="492"/>
      <c r="Q3671" s="492">
        <v>0.5</v>
      </c>
      <c r="R3671" s="492">
        <v>1</v>
      </c>
      <c r="S3671" s="492"/>
      <c r="T3671" s="223" t="s">
        <v>1345</v>
      </c>
      <c r="U3671" t="str">
        <f>VLOOKUP(T3671,[8]Votes!$A$1:$E$234,3,FALSE)</f>
        <v>001 Office of the President</v>
      </c>
      <c r="V3671" s="162" t="s">
        <v>13853</v>
      </c>
      <c r="W3671" s="416">
        <v>1</v>
      </c>
      <c r="X3671" s="416">
        <v>1</v>
      </c>
      <c r="Y3671" s="416">
        <v>1</v>
      </c>
      <c r="Z3671" s="416">
        <v>1</v>
      </c>
      <c r="AA3671" s="416">
        <v>1</v>
      </c>
      <c r="AB3671" s="416">
        <v>0</v>
      </c>
      <c r="AC3671" s="150">
        <v>0</v>
      </c>
      <c r="AD3671" s="150">
        <v>1</v>
      </c>
      <c r="AE3671" s="49">
        <f t="shared" si="136"/>
        <v>0.75</v>
      </c>
      <c r="AF3671" s="190">
        <v>1</v>
      </c>
      <c r="AG3671" s="17">
        <v>0</v>
      </c>
      <c r="AH3671" s="190">
        <v>0</v>
      </c>
      <c r="AI3671" s="190">
        <v>0</v>
      </c>
      <c r="AJ3671" s="485">
        <v>25</v>
      </c>
      <c r="AK3671" s="493">
        <v>7</v>
      </c>
      <c r="AL3671" s="191">
        <v>7</v>
      </c>
      <c r="AM3671" s="17">
        <f t="shared" si="137"/>
        <v>14</v>
      </c>
      <c r="AN3671" s="162" t="s">
        <v>1345</v>
      </c>
      <c r="AO3671" s="162" t="s">
        <v>1334</v>
      </c>
    </row>
    <row r="3672" spans="1:41" s="162" customFormat="1" x14ac:dyDescent="0.3">
      <c r="A3672" s="205" t="s">
        <v>8321</v>
      </c>
      <c r="B3672" s="162" t="s">
        <v>8322</v>
      </c>
      <c r="C3672" s="168" t="s">
        <v>13277</v>
      </c>
      <c r="D3672" s="162" t="s">
        <v>13278</v>
      </c>
      <c r="E3672" s="168" t="s">
        <v>13279</v>
      </c>
      <c r="F3672" s="162" t="s">
        <v>13280</v>
      </c>
      <c r="G3672" s="168" t="s">
        <v>13313</v>
      </c>
      <c r="H3672" s="162" t="s">
        <v>13314</v>
      </c>
      <c r="K3672" s="168" t="s">
        <v>13847</v>
      </c>
      <c r="L3672" s="162" t="s">
        <v>13548</v>
      </c>
      <c r="M3672" s="162" t="s">
        <v>13854</v>
      </c>
      <c r="O3672" s="492">
        <v>0.1</v>
      </c>
      <c r="P3672" s="492">
        <v>0.4</v>
      </c>
      <c r="Q3672" s="492">
        <v>0.6</v>
      </c>
      <c r="R3672" s="492">
        <v>0.8</v>
      </c>
      <c r="S3672" s="492">
        <v>1</v>
      </c>
      <c r="T3672" s="223" t="s">
        <v>1345</v>
      </c>
      <c r="U3672" t="str">
        <f>VLOOKUP(T3672,[8]Votes!$A$1:$E$234,3,FALSE)</f>
        <v>001 Office of the President</v>
      </c>
      <c r="V3672" s="162" t="s">
        <v>13853</v>
      </c>
      <c r="W3672" s="416">
        <v>1</v>
      </c>
      <c r="X3672" s="416">
        <v>1</v>
      </c>
      <c r="Y3672" s="416">
        <v>1</v>
      </c>
      <c r="Z3672" s="416">
        <v>1</v>
      </c>
      <c r="AA3672" s="416">
        <v>1</v>
      </c>
      <c r="AB3672" s="416">
        <v>0</v>
      </c>
      <c r="AC3672" s="150">
        <v>0</v>
      </c>
      <c r="AD3672" s="150">
        <v>1</v>
      </c>
      <c r="AE3672" s="49">
        <f t="shared" si="136"/>
        <v>0.75</v>
      </c>
      <c r="AF3672" s="190">
        <v>1</v>
      </c>
      <c r="AG3672" s="17">
        <v>0</v>
      </c>
      <c r="AH3672" s="190">
        <v>0</v>
      </c>
      <c r="AI3672" s="485">
        <v>200</v>
      </c>
      <c r="AJ3672" s="485">
        <v>250</v>
      </c>
      <c r="AK3672" s="493">
        <v>15</v>
      </c>
      <c r="AL3672" s="493">
        <v>12</v>
      </c>
      <c r="AM3672" s="17">
        <f t="shared" si="137"/>
        <v>27</v>
      </c>
      <c r="AN3672" s="162" t="s">
        <v>1345</v>
      </c>
      <c r="AO3672" s="162" t="s">
        <v>1334</v>
      </c>
    </row>
    <row r="3673" spans="1:41" s="162" customFormat="1" x14ac:dyDescent="0.3">
      <c r="A3673" s="205" t="s">
        <v>8321</v>
      </c>
      <c r="B3673" s="162" t="s">
        <v>8322</v>
      </c>
      <c r="C3673" s="168" t="s">
        <v>13277</v>
      </c>
      <c r="D3673" s="162" t="s">
        <v>13278</v>
      </c>
      <c r="E3673" s="168" t="s">
        <v>13279</v>
      </c>
      <c r="F3673" s="162" t="s">
        <v>13280</v>
      </c>
      <c r="G3673" s="168" t="s">
        <v>13313</v>
      </c>
      <c r="H3673" s="162" t="s">
        <v>13314</v>
      </c>
      <c r="K3673" s="168" t="s">
        <v>13847</v>
      </c>
      <c r="L3673" s="162" t="s">
        <v>13548</v>
      </c>
      <c r="M3673" s="162" t="s">
        <v>13855</v>
      </c>
      <c r="O3673" s="224"/>
      <c r="P3673" s="224"/>
      <c r="Q3673" s="224">
        <v>0</v>
      </c>
      <c r="R3673" s="224">
        <v>0</v>
      </c>
      <c r="S3673" s="224">
        <v>0</v>
      </c>
      <c r="T3673" s="223" t="s">
        <v>3879</v>
      </c>
      <c r="U3673" t="str">
        <f>VLOOKUP(T3673,[8]Votes!$A$1:$E$234,3,FALSE)</f>
        <v>009 Ministry of Internal Affairs</v>
      </c>
      <c r="V3673" s="162" t="s">
        <v>13856</v>
      </c>
      <c r="W3673" s="416">
        <v>1</v>
      </c>
      <c r="X3673" s="416">
        <v>1</v>
      </c>
      <c r="Y3673" s="416">
        <v>1</v>
      </c>
      <c r="Z3673" s="416">
        <v>0</v>
      </c>
      <c r="AA3673" s="416">
        <v>0</v>
      </c>
      <c r="AB3673" s="416">
        <v>0</v>
      </c>
      <c r="AC3673" s="150">
        <v>0</v>
      </c>
      <c r="AD3673" s="150">
        <v>1</v>
      </c>
      <c r="AE3673" s="49">
        <f t="shared" si="136"/>
        <v>0.5</v>
      </c>
      <c r="AF3673" s="190">
        <v>0</v>
      </c>
      <c r="AG3673" s="17">
        <v>0</v>
      </c>
      <c r="AH3673" s="190">
        <v>0</v>
      </c>
      <c r="AI3673" s="190">
        <v>0</v>
      </c>
      <c r="AJ3673" s="485">
        <v>228.48</v>
      </c>
      <c r="AK3673" s="493">
        <v>0</v>
      </c>
      <c r="AL3673" s="493">
        <v>0</v>
      </c>
      <c r="AM3673" s="17">
        <f t="shared" si="137"/>
        <v>0</v>
      </c>
      <c r="AN3673" s="162" t="s">
        <v>3879</v>
      </c>
      <c r="AO3673" s="162" t="s">
        <v>3881</v>
      </c>
    </row>
    <row r="3674" spans="1:41" s="162" customFormat="1" x14ac:dyDescent="0.3">
      <c r="A3674" s="205" t="s">
        <v>8321</v>
      </c>
      <c r="B3674" s="162" t="s">
        <v>8322</v>
      </c>
      <c r="C3674" s="168" t="s">
        <v>13277</v>
      </c>
      <c r="D3674" s="162" t="s">
        <v>13278</v>
      </c>
      <c r="E3674" s="168" t="s">
        <v>13279</v>
      </c>
      <c r="F3674" s="162" t="s">
        <v>13280</v>
      </c>
      <c r="G3674" s="168" t="s">
        <v>13313</v>
      </c>
      <c r="H3674" s="162" t="s">
        <v>13314</v>
      </c>
      <c r="I3674" s="162" t="s">
        <v>13857</v>
      </c>
      <c r="J3674" s="162" t="s">
        <v>13858</v>
      </c>
      <c r="K3674" s="168" t="s">
        <v>13859</v>
      </c>
      <c r="L3674" s="162" t="s">
        <v>13860</v>
      </c>
      <c r="M3674" s="162" t="s">
        <v>13861</v>
      </c>
      <c r="O3674" s="224">
        <v>11821</v>
      </c>
      <c r="P3674" s="224">
        <v>12821</v>
      </c>
      <c r="Q3674" s="224">
        <v>13821</v>
      </c>
      <c r="R3674" s="229">
        <v>12789</v>
      </c>
      <c r="S3674" s="229">
        <v>14289</v>
      </c>
      <c r="T3674" s="223" t="s">
        <v>180</v>
      </c>
      <c r="U3674" t="str">
        <f>VLOOKUP(T3674,[8]Votes!$A$1:$E$234,3,FALSE)</f>
        <v>145 Uganda Prisons</v>
      </c>
      <c r="V3674" s="162" t="s">
        <v>13862</v>
      </c>
      <c r="W3674" s="416">
        <v>1</v>
      </c>
      <c r="X3674" s="416">
        <v>1</v>
      </c>
      <c r="Y3674" s="416">
        <v>1</v>
      </c>
      <c r="Z3674" s="416">
        <v>1</v>
      </c>
      <c r="AA3674" s="416">
        <v>1</v>
      </c>
      <c r="AB3674" s="416">
        <v>0</v>
      </c>
      <c r="AC3674" s="150">
        <v>0</v>
      </c>
      <c r="AD3674" s="150">
        <v>1</v>
      </c>
      <c r="AE3674" s="49">
        <f t="shared" si="136"/>
        <v>0.75</v>
      </c>
      <c r="AF3674" s="190">
        <v>1</v>
      </c>
      <c r="AG3674" s="17">
        <v>0</v>
      </c>
      <c r="AH3674" s="485">
        <v>11.38</v>
      </c>
      <c r="AI3674" s="485">
        <v>12.33</v>
      </c>
      <c r="AJ3674" s="485">
        <v>13.28</v>
      </c>
      <c r="AK3674" s="493">
        <v>12.23</v>
      </c>
      <c r="AL3674" s="493">
        <v>12.18</v>
      </c>
      <c r="AM3674" s="17">
        <f t="shared" si="137"/>
        <v>24.41</v>
      </c>
      <c r="AN3674" s="162" t="s">
        <v>180</v>
      </c>
      <c r="AO3674" s="162" t="s">
        <v>182</v>
      </c>
    </row>
    <row r="3675" spans="1:41" s="162" customFormat="1" x14ac:dyDescent="0.3">
      <c r="A3675" s="205" t="s">
        <v>8321</v>
      </c>
      <c r="B3675" s="162" t="s">
        <v>8322</v>
      </c>
      <c r="C3675" s="168" t="s">
        <v>13277</v>
      </c>
      <c r="D3675" s="162" t="s">
        <v>13278</v>
      </c>
      <c r="E3675" s="168" t="s">
        <v>13279</v>
      </c>
      <c r="F3675" s="162" t="s">
        <v>13280</v>
      </c>
      <c r="G3675" s="168" t="s">
        <v>13313</v>
      </c>
      <c r="H3675" s="162" t="s">
        <v>13314</v>
      </c>
      <c r="I3675" s="162" t="s">
        <v>13863</v>
      </c>
      <c r="J3675" s="162" t="s">
        <v>13864</v>
      </c>
      <c r="K3675" s="168" t="s">
        <v>13865</v>
      </c>
      <c r="L3675" s="162" t="s">
        <v>13866</v>
      </c>
      <c r="M3675" s="162" t="s">
        <v>13867</v>
      </c>
      <c r="O3675" s="224" t="s">
        <v>13641</v>
      </c>
      <c r="P3675" s="224" t="s">
        <v>13641</v>
      </c>
      <c r="Q3675" s="224">
        <v>1</v>
      </c>
      <c r="R3675" s="224" t="s">
        <v>13641</v>
      </c>
      <c r="S3675" s="224" t="s">
        <v>13641</v>
      </c>
      <c r="T3675" s="223" t="s">
        <v>180</v>
      </c>
      <c r="U3675" t="str">
        <f>VLOOKUP(T3675,[8]Votes!$A$1:$E$234,3,FALSE)</f>
        <v>145 Uganda Prisons</v>
      </c>
      <c r="V3675" s="162" t="s">
        <v>13868</v>
      </c>
      <c r="W3675" s="416">
        <v>1</v>
      </c>
      <c r="X3675" s="416">
        <v>1</v>
      </c>
      <c r="Y3675" s="416">
        <v>1</v>
      </c>
      <c r="Z3675" s="416">
        <v>1</v>
      </c>
      <c r="AA3675" s="416">
        <v>1</v>
      </c>
      <c r="AB3675" s="416">
        <v>0</v>
      </c>
      <c r="AC3675" s="150">
        <v>0</v>
      </c>
      <c r="AD3675" s="150">
        <v>1</v>
      </c>
      <c r="AE3675" s="49">
        <f t="shared" si="136"/>
        <v>0.75</v>
      </c>
      <c r="AF3675" s="190">
        <v>1</v>
      </c>
      <c r="AG3675" s="17">
        <v>0</v>
      </c>
      <c r="AH3675" s="190">
        <v>0</v>
      </c>
      <c r="AI3675" s="190">
        <v>0</v>
      </c>
      <c r="AJ3675" s="485">
        <v>96.5</v>
      </c>
      <c r="AK3675" s="191">
        <v>0</v>
      </c>
      <c r="AL3675" s="191">
        <v>0</v>
      </c>
      <c r="AM3675" s="17">
        <f t="shared" si="137"/>
        <v>0</v>
      </c>
      <c r="AN3675" s="162" t="s">
        <v>180</v>
      </c>
      <c r="AO3675" s="162" t="s">
        <v>182</v>
      </c>
    </row>
    <row r="3676" spans="1:41" s="162" customFormat="1" x14ac:dyDescent="0.3">
      <c r="A3676" s="205" t="s">
        <v>8321</v>
      </c>
      <c r="B3676" s="162" t="s">
        <v>8322</v>
      </c>
      <c r="C3676" s="168" t="s">
        <v>13277</v>
      </c>
      <c r="D3676" s="162" t="s">
        <v>13278</v>
      </c>
      <c r="E3676" s="168" t="s">
        <v>13279</v>
      </c>
      <c r="F3676" s="162" t="s">
        <v>13280</v>
      </c>
      <c r="G3676" s="168" t="s">
        <v>13313</v>
      </c>
      <c r="H3676" s="162" t="s">
        <v>13314</v>
      </c>
      <c r="K3676" s="168" t="s">
        <v>13869</v>
      </c>
      <c r="L3676" s="162" t="s">
        <v>13329</v>
      </c>
      <c r="M3676" s="162" t="s">
        <v>13870</v>
      </c>
      <c r="O3676" s="492">
        <v>0.25</v>
      </c>
      <c r="P3676" s="492">
        <v>0.35</v>
      </c>
      <c r="Q3676" s="492">
        <v>0.33</v>
      </c>
      <c r="R3676" s="492">
        <v>0.40400000000000003</v>
      </c>
      <c r="S3676" s="492">
        <v>0.371</v>
      </c>
      <c r="T3676" s="223" t="s">
        <v>13741</v>
      </c>
      <c r="U3676" t="str">
        <f>VLOOKUP(T3676,[8]Votes!$A$1:$E$234,3,FALSE)</f>
        <v>158 Internal Security Organisation</v>
      </c>
      <c r="V3676" s="162" t="s">
        <v>13871</v>
      </c>
      <c r="W3676" s="416">
        <v>1</v>
      </c>
      <c r="X3676" s="416">
        <v>1</v>
      </c>
      <c r="Y3676" s="416">
        <v>1</v>
      </c>
      <c r="Z3676" s="416">
        <v>1</v>
      </c>
      <c r="AA3676" s="416">
        <v>1</v>
      </c>
      <c r="AB3676" s="416">
        <v>0</v>
      </c>
      <c r="AC3676" s="150">
        <v>1</v>
      </c>
      <c r="AD3676" s="150">
        <v>1</v>
      </c>
      <c r="AE3676" s="49">
        <f t="shared" si="136"/>
        <v>0.875</v>
      </c>
      <c r="AF3676" s="190">
        <v>1</v>
      </c>
      <c r="AG3676" s="17">
        <v>0</v>
      </c>
      <c r="AH3676" s="485">
        <v>70</v>
      </c>
      <c r="AI3676" s="485">
        <v>86</v>
      </c>
      <c r="AJ3676" s="485">
        <v>101</v>
      </c>
      <c r="AK3676" s="493">
        <v>87.5</v>
      </c>
      <c r="AL3676" s="493">
        <v>87.5</v>
      </c>
      <c r="AM3676" s="17">
        <f t="shared" si="137"/>
        <v>175</v>
      </c>
      <c r="AN3676" s="162" t="s">
        <v>13741</v>
      </c>
      <c r="AO3676" s="162" t="s">
        <v>13742</v>
      </c>
    </row>
    <row r="3677" spans="1:41" s="162" customFormat="1" x14ac:dyDescent="0.3">
      <c r="A3677" s="205" t="s">
        <v>8321</v>
      </c>
      <c r="B3677" s="162" t="s">
        <v>8322</v>
      </c>
      <c r="C3677" s="168" t="s">
        <v>13277</v>
      </c>
      <c r="D3677" s="162" t="s">
        <v>13278</v>
      </c>
      <c r="E3677" s="168" t="s">
        <v>13279</v>
      </c>
      <c r="F3677" s="162" t="s">
        <v>13280</v>
      </c>
      <c r="G3677" s="168" t="s">
        <v>13313</v>
      </c>
      <c r="H3677" s="162" t="s">
        <v>13314</v>
      </c>
      <c r="K3677" s="168" t="s">
        <v>13872</v>
      </c>
      <c r="L3677" s="162" t="s">
        <v>13873</v>
      </c>
      <c r="M3677" s="162" t="s">
        <v>13874</v>
      </c>
      <c r="O3677" s="224">
        <v>130.6</v>
      </c>
      <c r="P3677" s="224">
        <v>136</v>
      </c>
      <c r="Q3677" s="224">
        <v>142</v>
      </c>
      <c r="R3677" s="224">
        <v>148</v>
      </c>
      <c r="S3677" s="224">
        <v>151</v>
      </c>
      <c r="T3677" s="223" t="s">
        <v>4825</v>
      </c>
      <c r="U3677" t="str">
        <f>VLOOKUP(T3677,[8]Votes!$A$1:$E$234,3,FALSE)</f>
        <v>004 Ministry of Defence and Veteran Affairs</v>
      </c>
      <c r="V3677" s="162" t="s">
        <v>13875</v>
      </c>
      <c r="W3677" s="416">
        <v>1</v>
      </c>
      <c r="X3677" s="416">
        <v>1</v>
      </c>
      <c r="Y3677" s="416">
        <v>1</v>
      </c>
      <c r="Z3677" s="416">
        <v>1</v>
      </c>
      <c r="AA3677" s="416">
        <v>1</v>
      </c>
      <c r="AB3677" s="416">
        <v>0</v>
      </c>
      <c r="AC3677" s="150">
        <v>1</v>
      </c>
      <c r="AD3677" s="150">
        <v>0</v>
      </c>
      <c r="AE3677" s="49">
        <f t="shared" si="136"/>
        <v>0.75</v>
      </c>
      <c r="AF3677" s="190">
        <v>1</v>
      </c>
      <c r="AG3677" s="17">
        <v>0</v>
      </c>
      <c r="AH3677" s="485">
        <v>130.6</v>
      </c>
      <c r="AI3677" s="485">
        <v>136</v>
      </c>
      <c r="AJ3677" s="485">
        <v>142</v>
      </c>
      <c r="AK3677" s="493">
        <v>130.96</v>
      </c>
      <c r="AL3677" s="493">
        <v>151</v>
      </c>
      <c r="AM3677" s="17">
        <f t="shared" si="137"/>
        <v>281.96000000000004</v>
      </c>
      <c r="AN3677" s="162" t="s">
        <v>4825</v>
      </c>
      <c r="AO3677" s="162" t="s">
        <v>5931</v>
      </c>
    </row>
    <row r="3678" spans="1:41" s="162" customFormat="1" x14ac:dyDescent="0.3">
      <c r="A3678" s="205" t="s">
        <v>8321</v>
      </c>
      <c r="B3678" s="162" t="s">
        <v>8322</v>
      </c>
      <c r="C3678" s="168" t="s">
        <v>13277</v>
      </c>
      <c r="D3678" s="162" t="s">
        <v>13278</v>
      </c>
      <c r="E3678" s="168" t="s">
        <v>13279</v>
      </c>
      <c r="F3678" s="162" t="s">
        <v>13280</v>
      </c>
      <c r="G3678" s="168" t="s">
        <v>13313</v>
      </c>
      <c r="H3678" s="162" t="s">
        <v>13314</v>
      </c>
      <c r="K3678" s="168" t="s">
        <v>13872</v>
      </c>
      <c r="L3678" s="162" t="s">
        <v>13873</v>
      </c>
      <c r="M3678" s="162" t="s">
        <v>13876</v>
      </c>
      <c r="O3678" s="224">
        <v>68.5</v>
      </c>
      <c r="P3678" s="224">
        <v>72</v>
      </c>
      <c r="Q3678" s="224">
        <v>75.5</v>
      </c>
      <c r="R3678" s="224">
        <v>79</v>
      </c>
      <c r="S3678" s="224">
        <v>82</v>
      </c>
      <c r="T3678" s="223" t="s">
        <v>4825</v>
      </c>
      <c r="U3678" t="str">
        <f>VLOOKUP(T3678,[8]Votes!$A$1:$E$234,3,FALSE)</f>
        <v>004 Ministry of Defence and Veteran Affairs</v>
      </c>
      <c r="V3678" s="162" t="s">
        <v>13877</v>
      </c>
      <c r="W3678" s="416">
        <v>1</v>
      </c>
      <c r="X3678" s="416">
        <v>1</v>
      </c>
      <c r="Y3678" s="416">
        <v>1</v>
      </c>
      <c r="Z3678" s="416">
        <v>1</v>
      </c>
      <c r="AA3678" s="416">
        <v>1</v>
      </c>
      <c r="AB3678" s="416">
        <v>0</v>
      </c>
      <c r="AC3678" s="150">
        <v>1</v>
      </c>
      <c r="AD3678" s="150">
        <v>0</v>
      </c>
      <c r="AE3678" s="49">
        <f t="shared" si="136"/>
        <v>0.75</v>
      </c>
      <c r="AF3678" s="190">
        <v>1</v>
      </c>
      <c r="AG3678" s="17">
        <v>0</v>
      </c>
      <c r="AH3678" s="485">
        <v>68.5</v>
      </c>
      <c r="AI3678" s="485">
        <v>72</v>
      </c>
      <c r="AJ3678" s="485">
        <v>75.5</v>
      </c>
      <c r="AK3678" s="493">
        <v>68.471999999999994</v>
      </c>
      <c r="AL3678" s="493">
        <v>82</v>
      </c>
      <c r="AM3678" s="17">
        <f t="shared" si="137"/>
        <v>150.47199999999998</v>
      </c>
      <c r="AN3678" s="162" t="s">
        <v>4825</v>
      </c>
      <c r="AO3678" s="162" t="s">
        <v>5931</v>
      </c>
    </row>
    <row r="3679" spans="1:41" s="162" customFormat="1" x14ac:dyDescent="0.3">
      <c r="A3679" s="205" t="s">
        <v>8321</v>
      </c>
      <c r="B3679" s="162" t="s">
        <v>8322</v>
      </c>
      <c r="C3679" s="168" t="s">
        <v>13277</v>
      </c>
      <c r="D3679" s="162" t="s">
        <v>13278</v>
      </c>
      <c r="E3679" s="168" t="s">
        <v>13279</v>
      </c>
      <c r="F3679" s="162" t="s">
        <v>13280</v>
      </c>
      <c r="G3679" s="168" t="s">
        <v>13313</v>
      </c>
      <c r="H3679" s="162" t="s">
        <v>13314</v>
      </c>
      <c r="K3679" s="168" t="s">
        <v>13872</v>
      </c>
      <c r="L3679" s="162" t="s">
        <v>13873</v>
      </c>
      <c r="M3679" s="162" t="s">
        <v>13878</v>
      </c>
      <c r="O3679" s="224">
        <v>82</v>
      </c>
      <c r="P3679" s="224">
        <v>84.5</v>
      </c>
      <c r="Q3679" s="224">
        <v>86</v>
      </c>
      <c r="R3679" s="224">
        <v>90.6</v>
      </c>
      <c r="S3679" s="224">
        <v>94</v>
      </c>
      <c r="T3679" s="223" t="s">
        <v>4825</v>
      </c>
      <c r="U3679" t="str">
        <f>VLOOKUP(T3679,[8]Votes!$A$1:$E$234,3,FALSE)</f>
        <v>004 Ministry of Defence and Veteran Affairs</v>
      </c>
      <c r="V3679" s="162" t="s">
        <v>13879</v>
      </c>
      <c r="W3679" s="416">
        <v>1</v>
      </c>
      <c r="X3679" s="416">
        <v>1</v>
      </c>
      <c r="Y3679" s="416">
        <v>1</v>
      </c>
      <c r="Z3679" s="416">
        <v>1</v>
      </c>
      <c r="AA3679" s="416">
        <v>1</v>
      </c>
      <c r="AB3679" s="416">
        <v>0</v>
      </c>
      <c r="AC3679" s="150">
        <v>1</v>
      </c>
      <c r="AD3679" s="150">
        <v>0</v>
      </c>
      <c r="AE3679" s="49">
        <f t="shared" si="136"/>
        <v>0.75</v>
      </c>
      <c r="AF3679" s="190">
        <v>1</v>
      </c>
      <c r="AG3679" s="17">
        <v>0</v>
      </c>
      <c r="AH3679" s="485">
        <v>82</v>
      </c>
      <c r="AI3679" s="485">
        <v>84.5</v>
      </c>
      <c r="AJ3679" s="485">
        <v>86</v>
      </c>
      <c r="AK3679" s="493">
        <v>82.072999999999993</v>
      </c>
      <c r="AL3679" s="493">
        <v>94</v>
      </c>
      <c r="AM3679" s="17">
        <f t="shared" si="137"/>
        <v>176.07299999999998</v>
      </c>
      <c r="AN3679" s="162" t="s">
        <v>4825</v>
      </c>
      <c r="AO3679" s="162" t="s">
        <v>5931</v>
      </c>
    </row>
    <row r="3680" spans="1:41" s="162" customFormat="1" x14ac:dyDescent="0.3">
      <c r="A3680" s="205" t="s">
        <v>8321</v>
      </c>
      <c r="B3680" s="162" t="s">
        <v>8322</v>
      </c>
      <c r="C3680" s="168" t="s">
        <v>13277</v>
      </c>
      <c r="D3680" s="162" t="s">
        <v>13278</v>
      </c>
      <c r="E3680" s="168" t="s">
        <v>13279</v>
      </c>
      <c r="F3680" s="162" t="s">
        <v>13280</v>
      </c>
      <c r="G3680" s="168" t="s">
        <v>13313</v>
      </c>
      <c r="H3680" s="162" t="s">
        <v>13314</v>
      </c>
      <c r="K3680" s="168" t="s">
        <v>13880</v>
      </c>
      <c r="L3680" s="162" t="s">
        <v>13881</v>
      </c>
      <c r="M3680" s="162" t="s">
        <v>13882</v>
      </c>
      <c r="O3680" s="224">
        <v>4</v>
      </c>
      <c r="P3680" s="224">
        <v>4</v>
      </c>
      <c r="Q3680" s="224">
        <v>4</v>
      </c>
      <c r="R3680" s="224">
        <v>4</v>
      </c>
      <c r="S3680" s="224">
        <v>4</v>
      </c>
      <c r="T3680" s="223" t="s">
        <v>1233</v>
      </c>
      <c r="U3680" t="str">
        <f>VLOOKUP(T3680,[8]Votes!$A$1:$E$234,3,FALSE)</f>
        <v>006 Ministry of Foreign Affairs</v>
      </c>
      <c r="V3680" s="162" t="s">
        <v>13883</v>
      </c>
      <c r="W3680" s="416">
        <v>1</v>
      </c>
      <c r="X3680" s="416">
        <v>1</v>
      </c>
      <c r="Y3680" s="416">
        <v>1</v>
      </c>
      <c r="Z3680" s="416">
        <v>1</v>
      </c>
      <c r="AA3680" s="416">
        <v>1</v>
      </c>
      <c r="AB3680" s="416">
        <v>0</v>
      </c>
      <c r="AC3680" s="150">
        <v>1</v>
      </c>
      <c r="AD3680" s="150">
        <v>0</v>
      </c>
      <c r="AE3680" s="49">
        <f t="shared" si="136"/>
        <v>0.75</v>
      </c>
      <c r="AF3680" s="190">
        <v>1</v>
      </c>
      <c r="AG3680" s="17">
        <v>0</v>
      </c>
      <c r="AH3680" s="485">
        <v>0.4</v>
      </c>
      <c r="AI3680" s="485">
        <v>0.4</v>
      </c>
      <c r="AJ3680" s="485">
        <v>0.4</v>
      </c>
      <c r="AK3680" s="493">
        <v>0.4</v>
      </c>
      <c r="AL3680" s="493">
        <v>0.4</v>
      </c>
      <c r="AM3680" s="17">
        <f t="shared" si="137"/>
        <v>0.8</v>
      </c>
      <c r="AN3680" s="162" t="s">
        <v>1233</v>
      </c>
      <c r="AO3680" s="162" t="s">
        <v>1650</v>
      </c>
    </row>
    <row r="3681" spans="1:41" s="162" customFormat="1" x14ac:dyDescent="0.3">
      <c r="A3681" s="205" t="s">
        <v>8321</v>
      </c>
      <c r="B3681" s="162" t="s">
        <v>8322</v>
      </c>
      <c r="C3681" s="168" t="s">
        <v>13277</v>
      </c>
      <c r="D3681" s="162" t="s">
        <v>13278</v>
      </c>
      <c r="E3681" s="168" t="s">
        <v>13279</v>
      </c>
      <c r="F3681" s="162" t="s">
        <v>13280</v>
      </c>
      <c r="G3681" s="168" t="s">
        <v>13313</v>
      </c>
      <c r="H3681" s="162" t="s">
        <v>13314</v>
      </c>
      <c r="K3681" s="168" t="s">
        <v>13884</v>
      </c>
      <c r="L3681" s="162" t="s">
        <v>13885</v>
      </c>
      <c r="M3681" s="162" t="s">
        <v>13886</v>
      </c>
      <c r="O3681" s="224">
        <v>4</v>
      </c>
      <c r="P3681" s="224">
        <v>4</v>
      </c>
      <c r="Q3681" s="224">
        <v>4</v>
      </c>
      <c r="R3681" s="224">
        <v>4</v>
      </c>
      <c r="S3681" s="224">
        <v>4</v>
      </c>
      <c r="T3681" s="223" t="s">
        <v>1233</v>
      </c>
      <c r="U3681" t="str">
        <f>VLOOKUP(T3681,[8]Votes!$A$1:$E$234,3,FALSE)</f>
        <v>006 Ministry of Foreign Affairs</v>
      </c>
      <c r="V3681" s="162" t="s">
        <v>13887</v>
      </c>
      <c r="W3681" s="416">
        <v>1</v>
      </c>
      <c r="X3681" s="416">
        <v>1</v>
      </c>
      <c r="Y3681" s="416">
        <v>1</v>
      </c>
      <c r="Z3681" s="416">
        <v>1</v>
      </c>
      <c r="AA3681" s="416">
        <v>1</v>
      </c>
      <c r="AB3681" s="416">
        <v>0</v>
      </c>
      <c r="AC3681" s="150">
        <v>1</v>
      </c>
      <c r="AD3681" s="150">
        <v>0</v>
      </c>
      <c r="AE3681" s="49">
        <f t="shared" si="136"/>
        <v>0.75</v>
      </c>
      <c r="AF3681" s="190">
        <v>1</v>
      </c>
      <c r="AG3681" s="17">
        <v>0</v>
      </c>
      <c r="AH3681" s="485">
        <v>0.4</v>
      </c>
      <c r="AI3681" s="485">
        <v>0.4</v>
      </c>
      <c r="AJ3681" s="485">
        <v>0.4</v>
      </c>
      <c r="AK3681" s="493">
        <v>0.4</v>
      </c>
      <c r="AL3681" s="493">
        <v>0.4</v>
      </c>
      <c r="AM3681" s="17">
        <f t="shared" si="137"/>
        <v>0.8</v>
      </c>
      <c r="AN3681" s="162" t="s">
        <v>1233</v>
      </c>
      <c r="AO3681" s="162" t="s">
        <v>1650</v>
      </c>
    </row>
    <row r="3682" spans="1:41" s="162" customFormat="1" x14ac:dyDescent="0.3">
      <c r="A3682" s="205" t="s">
        <v>8321</v>
      </c>
      <c r="B3682" s="162" t="s">
        <v>8322</v>
      </c>
      <c r="C3682" s="168" t="s">
        <v>13277</v>
      </c>
      <c r="D3682" s="162" t="s">
        <v>13278</v>
      </c>
      <c r="E3682" s="168" t="s">
        <v>13279</v>
      </c>
      <c r="F3682" s="162" t="s">
        <v>13280</v>
      </c>
      <c r="G3682" s="168" t="s">
        <v>13313</v>
      </c>
      <c r="H3682" s="162" t="s">
        <v>13314</v>
      </c>
      <c r="K3682" s="168" t="s">
        <v>13888</v>
      </c>
      <c r="L3682" s="162" t="s">
        <v>13889</v>
      </c>
      <c r="M3682" s="162" t="s">
        <v>13890</v>
      </c>
      <c r="O3682" s="224">
        <v>3</v>
      </c>
      <c r="P3682" s="224">
        <v>3</v>
      </c>
      <c r="Q3682" s="224">
        <v>3</v>
      </c>
      <c r="R3682" s="224">
        <v>3</v>
      </c>
      <c r="S3682" s="224">
        <v>3</v>
      </c>
      <c r="T3682" s="223" t="s">
        <v>1233</v>
      </c>
      <c r="U3682" t="str">
        <f>VLOOKUP(T3682,[8]Votes!$A$1:$E$234,3,FALSE)</f>
        <v>006 Ministry of Foreign Affairs</v>
      </c>
      <c r="V3682" s="162" t="s">
        <v>13891</v>
      </c>
      <c r="W3682" s="416">
        <v>1</v>
      </c>
      <c r="X3682" s="416">
        <v>1</v>
      </c>
      <c r="Y3682" s="416">
        <v>1</v>
      </c>
      <c r="Z3682" s="416">
        <v>1</v>
      </c>
      <c r="AA3682" s="416">
        <v>1</v>
      </c>
      <c r="AB3682" s="416">
        <v>0</v>
      </c>
      <c r="AC3682" s="150">
        <v>1</v>
      </c>
      <c r="AD3682" s="150">
        <v>0</v>
      </c>
      <c r="AE3682" s="49">
        <f t="shared" si="136"/>
        <v>0.75</v>
      </c>
      <c r="AF3682" s="190">
        <v>1</v>
      </c>
      <c r="AG3682" s="17">
        <v>0</v>
      </c>
      <c r="AH3682" s="485">
        <v>0.3</v>
      </c>
      <c r="AI3682" s="485">
        <v>0.3</v>
      </c>
      <c r="AJ3682" s="485">
        <v>0.3</v>
      </c>
      <c r="AK3682" s="493">
        <v>0.3</v>
      </c>
      <c r="AL3682" s="493">
        <v>0.3</v>
      </c>
      <c r="AM3682" s="17">
        <f t="shared" si="137"/>
        <v>0.6</v>
      </c>
      <c r="AN3682" s="162" t="s">
        <v>1233</v>
      </c>
      <c r="AO3682" s="162" t="s">
        <v>1650</v>
      </c>
    </row>
    <row r="3683" spans="1:41" s="162" customFormat="1" x14ac:dyDescent="0.3">
      <c r="A3683" s="205" t="s">
        <v>8321</v>
      </c>
      <c r="B3683" s="162" t="s">
        <v>8322</v>
      </c>
      <c r="C3683" s="168" t="s">
        <v>13277</v>
      </c>
      <c r="D3683" s="162" t="s">
        <v>13278</v>
      </c>
      <c r="E3683" s="168" t="s">
        <v>13279</v>
      </c>
      <c r="F3683" s="162" t="s">
        <v>13280</v>
      </c>
      <c r="G3683" s="168" t="s">
        <v>13313</v>
      </c>
      <c r="H3683" s="162" t="s">
        <v>13314</v>
      </c>
      <c r="K3683" s="168">
        <v>16110224</v>
      </c>
      <c r="L3683" s="162" t="s">
        <v>13892</v>
      </c>
      <c r="M3683" s="162" t="s">
        <v>13893</v>
      </c>
      <c r="O3683" s="224">
        <v>2</v>
      </c>
      <c r="P3683" s="224">
        <v>2</v>
      </c>
      <c r="Q3683" s="224">
        <v>2</v>
      </c>
      <c r="R3683" s="224">
        <v>2</v>
      </c>
      <c r="S3683" s="224">
        <v>2</v>
      </c>
      <c r="T3683" s="223" t="s">
        <v>1233</v>
      </c>
      <c r="U3683" t="str">
        <f>VLOOKUP(T3683,[8]Votes!$A$1:$E$234,3,FALSE)</f>
        <v>006 Ministry of Foreign Affairs</v>
      </c>
      <c r="V3683" s="162" t="s">
        <v>13894</v>
      </c>
      <c r="W3683" s="416">
        <v>1</v>
      </c>
      <c r="X3683" s="416">
        <v>1</v>
      </c>
      <c r="Y3683" s="416">
        <v>1</v>
      </c>
      <c r="Z3683" s="416">
        <v>1</v>
      </c>
      <c r="AA3683" s="416">
        <v>1</v>
      </c>
      <c r="AB3683" s="416">
        <v>0</v>
      </c>
      <c r="AC3683" s="150">
        <v>1</v>
      </c>
      <c r="AD3683" s="150">
        <v>0</v>
      </c>
      <c r="AE3683" s="49">
        <f t="shared" si="136"/>
        <v>0.75</v>
      </c>
      <c r="AF3683" s="190">
        <v>1</v>
      </c>
      <c r="AG3683" s="17">
        <v>0</v>
      </c>
      <c r="AH3683" s="485">
        <v>0.2</v>
      </c>
      <c r="AI3683" s="485">
        <v>0.2</v>
      </c>
      <c r="AJ3683" s="485">
        <v>0.2</v>
      </c>
      <c r="AK3683" s="493">
        <v>0.2</v>
      </c>
      <c r="AL3683" s="493">
        <v>0.2</v>
      </c>
      <c r="AM3683" s="17">
        <f t="shared" si="137"/>
        <v>0.4</v>
      </c>
      <c r="AN3683" s="162" t="s">
        <v>1233</v>
      </c>
      <c r="AO3683" s="162" t="s">
        <v>1650</v>
      </c>
    </row>
    <row r="3684" spans="1:41" s="162" customFormat="1" x14ac:dyDescent="0.3">
      <c r="A3684" s="205" t="s">
        <v>8321</v>
      </c>
      <c r="B3684" s="162" t="s">
        <v>8322</v>
      </c>
      <c r="C3684" s="168" t="s">
        <v>13277</v>
      </c>
      <c r="D3684" s="162" t="s">
        <v>13278</v>
      </c>
      <c r="E3684" s="168" t="s">
        <v>13279</v>
      </c>
      <c r="F3684" s="162" t="s">
        <v>13280</v>
      </c>
      <c r="G3684" s="168" t="s">
        <v>13313</v>
      </c>
      <c r="H3684" s="162" t="s">
        <v>13314</v>
      </c>
      <c r="K3684" s="168">
        <v>16110225</v>
      </c>
      <c r="L3684" s="162" t="s">
        <v>13895</v>
      </c>
      <c r="M3684" s="162" t="s">
        <v>13896</v>
      </c>
      <c r="O3684" s="224">
        <v>4</v>
      </c>
      <c r="P3684" s="224">
        <v>4</v>
      </c>
      <c r="Q3684" s="224">
        <v>4</v>
      </c>
      <c r="R3684" s="224">
        <v>4</v>
      </c>
      <c r="S3684" s="224">
        <v>4</v>
      </c>
      <c r="T3684" s="223" t="s">
        <v>1233</v>
      </c>
      <c r="U3684" t="str">
        <f>VLOOKUP(T3684,[8]Votes!$A$1:$E$234,3,FALSE)</f>
        <v>006 Ministry of Foreign Affairs</v>
      </c>
      <c r="V3684" s="162" t="s">
        <v>13897</v>
      </c>
      <c r="W3684" s="416">
        <v>1</v>
      </c>
      <c r="X3684" s="416">
        <v>1</v>
      </c>
      <c r="Y3684" s="416">
        <v>1</v>
      </c>
      <c r="Z3684" s="416">
        <v>1</v>
      </c>
      <c r="AA3684" s="416">
        <v>1</v>
      </c>
      <c r="AB3684" s="416">
        <v>0</v>
      </c>
      <c r="AC3684" s="150">
        <v>1</v>
      </c>
      <c r="AD3684" s="150">
        <v>0</v>
      </c>
      <c r="AE3684" s="49">
        <f t="shared" si="136"/>
        <v>0.75</v>
      </c>
      <c r="AF3684" s="190">
        <v>1</v>
      </c>
      <c r="AG3684" s="17">
        <v>0</v>
      </c>
      <c r="AH3684" s="485">
        <v>0.05</v>
      </c>
      <c r="AI3684" s="485">
        <v>0.05</v>
      </c>
      <c r="AJ3684" s="485">
        <v>0.05</v>
      </c>
      <c r="AK3684" s="493">
        <v>0.05</v>
      </c>
      <c r="AL3684" s="493">
        <v>0.05</v>
      </c>
      <c r="AM3684" s="17">
        <f t="shared" si="137"/>
        <v>0.1</v>
      </c>
      <c r="AN3684" s="162" t="s">
        <v>1233</v>
      </c>
      <c r="AO3684" s="162" t="s">
        <v>1650</v>
      </c>
    </row>
    <row r="3685" spans="1:41" s="162" customFormat="1" x14ac:dyDescent="0.3">
      <c r="A3685" s="205" t="s">
        <v>8321</v>
      </c>
      <c r="B3685" s="162" t="s">
        <v>8322</v>
      </c>
      <c r="C3685" s="168" t="s">
        <v>13277</v>
      </c>
      <c r="D3685" s="162" t="s">
        <v>13278</v>
      </c>
      <c r="E3685" s="168" t="s">
        <v>13279</v>
      </c>
      <c r="F3685" s="162" t="s">
        <v>13280</v>
      </c>
      <c r="G3685" s="168" t="s">
        <v>13313</v>
      </c>
      <c r="H3685" s="162" t="s">
        <v>13314</v>
      </c>
      <c r="K3685" s="168">
        <v>16110225</v>
      </c>
      <c r="L3685" s="162" t="s">
        <v>13895</v>
      </c>
      <c r="M3685" s="162" t="s">
        <v>13898</v>
      </c>
      <c r="O3685" s="224">
        <v>167.76</v>
      </c>
      <c r="P3685" s="224">
        <v>167.76</v>
      </c>
      <c r="Q3685" s="224">
        <v>167.76</v>
      </c>
      <c r="R3685" s="224">
        <v>167.76</v>
      </c>
      <c r="S3685" s="224">
        <v>167.76</v>
      </c>
      <c r="T3685" s="223" t="s">
        <v>1233</v>
      </c>
      <c r="U3685" t="str">
        <f>VLOOKUP(T3685,[8]Votes!$A$1:$E$234,3,FALSE)</f>
        <v>006 Ministry of Foreign Affairs</v>
      </c>
      <c r="V3685" s="162" t="s">
        <v>13899</v>
      </c>
      <c r="W3685" s="416">
        <v>1</v>
      </c>
      <c r="X3685" s="416">
        <v>1</v>
      </c>
      <c r="Y3685" s="416">
        <v>1</v>
      </c>
      <c r="Z3685" s="416">
        <v>1</v>
      </c>
      <c r="AA3685" s="416">
        <v>1</v>
      </c>
      <c r="AB3685" s="416">
        <v>0</v>
      </c>
      <c r="AC3685" s="150">
        <v>1</v>
      </c>
      <c r="AD3685" s="150">
        <v>0</v>
      </c>
      <c r="AE3685" s="49">
        <f t="shared" si="136"/>
        <v>0.75</v>
      </c>
      <c r="AF3685" s="190">
        <v>1</v>
      </c>
      <c r="AG3685" s="17">
        <v>0</v>
      </c>
      <c r="AH3685" s="485">
        <v>0.1</v>
      </c>
      <c r="AI3685" s="485">
        <v>0.1</v>
      </c>
      <c r="AJ3685" s="485">
        <v>0.1</v>
      </c>
      <c r="AK3685" s="493">
        <v>0.1</v>
      </c>
      <c r="AL3685" s="493">
        <v>0.1</v>
      </c>
      <c r="AM3685" s="17">
        <f t="shared" si="137"/>
        <v>0.2</v>
      </c>
      <c r="AN3685" s="162" t="s">
        <v>1233</v>
      </c>
      <c r="AO3685" s="162" t="s">
        <v>1650</v>
      </c>
    </row>
    <row r="3686" spans="1:41" s="162" customFormat="1" x14ac:dyDescent="0.3">
      <c r="A3686" s="205" t="s">
        <v>8321</v>
      </c>
      <c r="B3686" s="162" t="s">
        <v>8322</v>
      </c>
      <c r="C3686" s="168" t="s">
        <v>13277</v>
      </c>
      <c r="D3686" s="162" t="s">
        <v>13278</v>
      </c>
      <c r="E3686" s="168" t="s">
        <v>13279</v>
      </c>
      <c r="F3686" s="162" t="s">
        <v>13280</v>
      </c>
      <c r="G3686" s="168" t="s">
        <v>13313</v>
      </c>
      <c r="H3686" s="162" t="s">
        <v>13314</v>
      </c>
      <c r="K3686" s="168">
        <v>16110226</v>
      </c>
      <c r="L3686" s="162" t="s">
        <v>13900</v>
      </c>
      <c r="M3686" s="162" t="s">
        <v>13901</v>
      </c>
      <c r="O3686" s="224">
        <v>4</v>
      </c>
      <c r="P3686" s="224">
        <v>4</v>
      </c>
      <c r="Q3686" s="224">
        <v>4</v>
      </c>
      <c r="R3686" s="224">
        <v>4</v>
      </c>
      <c r="S3686" s="224">
        <v>4</v>
      </c>
      <c r="T3686" s="223" t="s">
        <v>1233</v>
      </c>
      <c r="U3686" t="str">
        <f>VLOOKUP(T3686,[8]Votes!$A$1:$E$234,3,FALSE)</f>
        <v>006 Ministry of Foreign Affairs</v>
      </c>
      <c r="V3686" s="162" t="s">
        <v>13902</v>
      </c>
      <c r="W3686" s="416">
        <v>1</v>
      </c>
      <c r="X3686" s="416">
        <v>1</v>
      </c>
      <c r="Y3686" s="416">
        <v>1</v>
      </c>
      <c r="Z3686" s="416">
        <v>1</v>
      </c>
      <c r="AA3686" s="416">
        <v>1</v>
      </c>
      <c r="AB3686" s="416">
        <v>0</v>
      </c>
      <c r="AC3686" s="150">
        <v>1</v>
      </c>
      <c r="AD3686" s="150">
        <v>0</v>
      </c>
      <c r="AE3686" s="49">
        <f t="shared" si="136"/>
        <v>0.75</v>
      </c>
      <c r="AF3686" s="190">
        <v>1</v>
      </c>
      <c r="AG3686" s="17">
        <v>0</v>
      </c>
      <c r="AH3686" s="485">
        <v>0.1</v>
      </c>
      <c r="AI3686" s="485">
        <v>0.1</v>
      </c>
      <c r="AJ3686" s="485">
        <v>0.1</v>
      </c>
      <c r="AK3686" s="493">
        <v>0.1</v>
      </c>
      <c r="AL3686" s="493">
        <v>0.1</v>
      </c>
      <c r="AM3686" s="17">
        <f t="shared" si="137"/>
        <v>0.2</v>
      </c>
      <c r="AN3686" s="162" t="s">
        <v>1233</v>
      </c>
      <c r="AO3686" s="162" t="s">
        <v>1650</v>
      </c>
    </row>
    <row r="3687" spans="1:41" s="162" customFormat="1" x14ac:dyDescent="0.3">
      <c r="A3687" s="205" t="s">
        <v>8321</v>
      </c>
      <c r="B3687" s="162" t="s">
        <v>8322</v>
      </c>
      <c r="C3687" s="168" t="s">
        <v>13277</v>
      </c>
      <c r="D3687" s="162" t="s">
        <v>13278</v>
      </c>
      <c r="E3687" s="168" t="s">
        <v>13279</v>
      </c>
      <c r="F3687" s="162" t="s">
        <v>13280</v>
      </c>
      <c r="G3687" s="168" t="s">
        <v>13313</v>
      </c>
      <c r="H3687" s="162" t="s">
        <v>13314</v>
      </c>
      <c r="K3687" s="168">
        <v>16110227</v>
      </c>
      <c r="L3687" s="162" t="s">
        <v>13903</v>
      </c>
      <c r="M3687" s="162" t="s">
        <v>13904</v>
      </c>
      <c r="O3687" s="224">
        <v>4</v>
      </c>
      <c r="P3687" s="224">
        <v>4</v>
      </c>
      <c r="Q3687" s="224">
        <v>4</v>
      </c>
      <c r="R3687" s="224">
        <v>4</v>
      </c>
      <c r="S3687" s="224">
        <v>4</v>
      </c>
      <c r="T3687" s="223" t="s">
        <v>1233</v>
      </c>
      <c r="U3687" t="str">
        <f>VLOOKUP(T3687,[8]Votes!$A$1:$E$234,3,FALSE)</f>
        <v>006 Ministry of Foreign Affairs</v>
      </c>
      <c r="V3687" s="162" t="s">
        <v>13905</v>
      </c>
      <c r="W3687" s="416">
        <v>1</v>
      </c>
      <c r="X3687" s="416">
        <v>1</v>
      </c>
      <c r="Y3687" s="416">
        <v>1</v>
      </c>
      <c r="Z3687" s="416">
        <v>1</v>
      </c>
      <c r="AA3687" s="416">
        <v>1</v>
      </c>
      <c r="AB3687" s="416">
        <v>0</v>
      </c>
      <c r="AC3687" s="150">
        <v>1</v>
      </c>
      <c r="AD3687" s="150">
        <v>0</v>
      </c>
      <c r="AE3687" s="49">
        <f t="shared" si="136"/>
        <v>0.75</v>
      </c>
      <c r="AF3687" s="190">
        <v>1</v>
      </c>
      <c r="AG3687" s="17">
        <v>0</v>
      </c>
      <c r="AH3687" s="485">
        <v>0.2</v>
      </c>
      <c r="AI3687" s="485">
        <v>0.2</v>
      </c>
      <c r="AJ3687" s="485">
        <v>0.2</v>
      </c>
      <c r="AK3687" s="493">
        <v>0.2</v>
      </c>
      <c r="AL3687" s="493">
        <v>0.2</v>
      </c>
      <c r="AM3687" s="17">
        <f t="shared" si="137"/>
        <v>0.4</v>
      </c>
      <c r="AN3687" s="162" t="s">
        <v>1233</v>
      </c>
      <c r="AO3687" s="162" t="s">
        <v>1650</v>
      </c>
    </row>
    <row r="3688" spans="1:41" s="162" customFormat="1" x14ac:dyDescent="0.3">
      <c r="A3688" s="205" t="s">
        <v>8321</v>
      </c>
      <c r="B3688" s="162" t="s">
        <v>8322</v>
      </c>
      <c r="C3688" s="168" t="s">
        <v>13277</v>
      </c>
      <c r="D3688" s="162" t="s">
        <v>13278</v>
      </c>
      <c r="E3688" s="168" t="s">
        <v>13279</v>
      </c>
      <c r="F3688" s="162" t="s">
        <v>13280</v>
      </c>
      <c r="G3688" s="168" t="s">
        <v>13313</v>
      </c>
      <c r="H3688" s="162" t="s">
        <v>13314</v>
      </c>
      <c r="K3688" s="168">
        <v>16110228</v>
      </c>
      <c r="L3688" s="162" t="s">
        <v>13906</v>
      </c>
      <c r="M3688" s="162" t="s">
        <v>13907</v>
      </c>
      <c r="O3688" s="224">
        <v>30</v>
      </c>
      <c r="P3688" s="224">
        <v>30</v>
      </c>
      <c r="Q3688" s="224">
        <v>30</v>
      </c>
      <c r="R3688" s="224">
        <v>30</v>
      </c>
      <c r="S3688" s="224">
        <v>30</v>
      </c>
      <c r="T3688" s="223" t="s">
        <v>1233</v>
      </c>
      <c r="U3688" t="str">
        <f>VLOOKUP(T3688,[8]Votes!$A$1:$E$234,3,FALSE)</f>
        <v>006 Ministry of Foreign Affairs</v>
      </c>
      <c r="V3688" s="162" t="s">
        <v>13908</v>
      </c>
      <c r="W3688" s="416">
        <v>1</v>
      </c>
      <c r="X3688" s="416">
        <v>1</v>
      </c>
      <c r="Y3688" s="416">
        <v>1</v>
      </c>
      <c r="Z3688" s="416">
        <v>1</v>
      </c>
      <c r="AA3688" s="416">
        <v>1</v>
      </c>
      <c r="AB3688" s="416">
        <v>0</v>
      </c>
      <c r="AC3688" s="150">
        <v>1</v>
      </c>
      <c r="AD3688" s="150">
        <v>0</v>
      </c>
      <c r="AE3688" s="49">
        <f t="shared" si="136"/>
        <v>0.75</v>
      </c>
      <c r="AF3688" s="190">
        <v>1</v>
      </c>
      <c r="AG3688" s="17">
        <v>0</v>
      </c>
      <c r="AH3688" s="485">
        <v>0.02</v>
      </c>
      <c r="AI3688" s="485">
        <v>0.02</v>
      </c>
      <c r="AJ3688" s="485">
        <v>0.02</v>
      </c>
      <c r="AK3688" s="493">
        <v>0.02</v>
      </c>
      <c r="AL3688" s="493">
        <v>0.02</v>
      </c>
      <c r="AM3688" s="17">
        <f t="shared" si="137"/>
        <v>0.04</v>
      </c>
      <c r="AN3688" s="162" t="s">
        <v>1233</v>
      </c>
      <c r="AO3688" s="162" t="s">
        <v>1650</v>
      </c>
    </row>
    <row r="3689" spans="1:41" s="162" customFormat="1" x14ac:dyDescent="0.3">
      <c r="A3689" s="205" t="s">
        <v>8321</v>
      </c>
      <c r="B3689" s="162" t="s">
        <v>8322</v>
      </c>
      <c r="C3689" s="168" t="s">
        <v>13277</v>
      </c>
      <c r="D3689" s="162" t="s">
        <v>13278</v>
      </c>
      <c r="E3689" s="168" t="s">
        <v>13279</v>
      </c>
      <c r="F3689" s="162" t="s">
        <v>13280</v>
      </c>
      <c r="G3689" s="168" t="s">
        <v>13313</v>
      </c>
      <c r="H3689" s="162" t="s">
        <v>13314</v>
      </c>
      <c r="K3689" s="168">
        <v>16110229</v>
      </c>
      <c r="L3689" s="162" t="s">
        <v>13909</v>
      </c>
      <c r="M3689" s="162" t="s">
        <v>13910</v>
      </c>
      <c r="O3689" s="492">
        <v>0</v>
      </c>
      <c r="P3689" s="492">
        <v>0.26</v>
      </c>
      <c r="Q3689" s="492">
        <v>0</v>
      </c>
      <c r="R3689" s="492">
        <v>0.26</v>
      </c>
      <c r="S3689" s="492">
        <v>0.26</v>
      </c>
      <c r="T3689" s="223" t="s">
        <v>13741</v>
      </c>
      <c r="U3689" t="str">
        <f>VLOOKUP(T3689,[8]Votes!$A$1:$E$234,3,FALSE)</f>
        <v>158 Internal Security Organisation</v>
      </c>
      <c r="V3689" s="162" t="s">
        <v>13911</v>
      </c>
      <c r="W3689" s="416">
        <v>1</v>
      </c>
      <c r="X3689" s="416">
        <v>1</v>
      </c>
      <c r="Y3689" s="416">
        <v>1</v>
      </c>
      <c r="Z3689" s="416">
        <v>1</v>
      </c>
      <c r="AA3689" s="416">
        <v>1</v>
      </c>
      <c r="AB3689" s="416">
        <v>0</v>
      </c>
      <c r="AC3689" s="150">
        <v>1</v>
      </c>
      <c r="AD3689" s="150">
        <v>1</v>
      </c>
      <c r="AE3689" s="49">
        <f t="shared" si="136"/>
        <v>0.875</v>
      </c>
      <c r="AF3689" s="190">
        <v>1</v>
      </c>
      <c r="AG3689" s="17">
        <v>0</v>
      </c>
      <c r="AH3689" s="190">
        <v>0</v>
      </c>
      <c r="AI3689" s="485">
        <v>6.5</v>
      </c>
      <c r="AJ3689" s="485">
        <v>4.3</v>
      </c>
      <c r="AK3689" s="493">
        <v>6.7</v>
      </c>
      <c r="AL3689" s="493">
        <v>6.7</v>
      </c>
      <c r="AM3689" s="17">
        <f t="shared" si="137"/>
        <v>13.4</v>
      </c>
      <c r="AN3689" s="162" t="s">
        <v>13741</v>
      </c>
      <c r="AO3689" s="162" t="s">
        <v>13742</v>
      </c>
    </row>
    <row r="3690" spans="1:41" s="162" customFormat="1" x14ac:dyDescent="0.3">
      <c r="A3690" s="205" t="s">
        <v>8321</v>
      </c>
      <c r="B3690" s="162" t="s">
        <v>8322</v>
      </c>
      <c r="C3690" s="168" t="s">
        <v>13277</v>
      </c>
      <c r="D3690" s="162" t="s">
        <v>13278</v>
      </c>
      <c r="E3690" s="168" t="s">
        <v>13279</v>
      </c>
      <c r="F3690" s="162" t="s">
        <v>13280</v>
      </c>
      <c r="G3690" s="168" t="s">
        <v>13313</v>
      </c>
      <c r="H3690" s="162" t="s">
        <v>13314</v>
      </c>
      <c r="K3690" s="168">
        <v>16110230</v>
      </c>
      <c r="L3690" s="162" t="s">
        <v>13912</v>
      </c>
      <c r="M3690" s="162" t="s">
        <v>13913</v>
      </c>
      <c r="O3690" s="492">
        <v>0</v>
      </c>
      <c r="P3690" s="502">
        <v>3.7999999999999999E-2</v>
      </c>
      <c r="Q3690" s="492">
        <v>0</v>
      </c>
      <c r="R3690" s="492">
        <v>0.33</v>
      </c>
      <c r="S3690" s="492">
        <v>0.33</v>
      </c>
      <c r="T3690" s="223" t="s">
        <v>13739</v>
      </c>
      <c r="U3690" t="e">
        <f>VLOOKUP(T3690,[8]Votes!$A$1:$E$234,3,FALSE)</f>
        <v>#N/A</v>
      </c>
      <c r="V3690" s="162" t="s">
        <v>13914</v>
      </c>
      <c r="W3690" s="416">
        <v>1</v>
      </c>
      <c r="X3690" s="416">
        <v>1</v>
      </c>
      <c r="Y3690" s="416">
        <v>1</v>
      </c>
      <c r="Z3690" s="416">
        <v>1</v>
      </c>
      <c r="AA3690" s="416">
        <v>1</v>
      </c>
      <c r="AB3690" s="416">
        <v>0</v>
      </c>
      <c r="AC3690" s="150">
        <v>1</v>
      </c>
      <c r="AD3690" s="150">
        <v>1</v>
      </c>
      <c r="AE3690" s="49">
        <f t="shared" si="136"/>
        <v>0.875</v>
      </c>
      <c r="AF3690" s="190">
        <v>1</v>
      </c>
      <c r="AG3690" s="17">
        <v>0</v>
      </c>
      <c r="AH3690" s="190">
        <v>0</v>
      </c>
      <c r="AI3690" s="485">
        <v>0.5</v>
      </c>
      <c r="AJ3690" s="485">
        <v>2.4</v>
      </c>
      <c r="AK3690" s="493">
        <v>4.2</v>
      </c>
      <c r="AL3690" s="493">
        <v>4.2</v>
      </c>
      <c r="AM3690" s="17">
        <f t="shared" si="137"/>
        <v>8.4</v>
      </c>
      <c r="AN3690" s="162" t="s">
        <v>13741</v>
      </c>
      <c r="AO3690" s="162" t="s">
        <v>13742</v>
      </c>
    </row>
    <row r="3691" spans="1:41" s="162" customFormat="1" x14ac:dyDescent="0.3">
      <c r="A3691" s="205" t="s">
        <v>8321</v>
      </c>
      <c r="B3691" s="162" t="s">
        <v>8322</v>
      </c>
      <c r="C3691" s="168" t="s">
        <v>13277</v>
      </c>
      <c r="D3691" s="162" t="s">
        <v>13278</v>
      </c>
      <c r="E3691" s="168" t="s">
        <v>13279</v>
      </c>
      <c r="F3691" s="162" t="s">
        <v>13280</v>
      </c>
      <c r="G3691" s="168" t="s">
        <v>13313</v>
      </c>
      <c r="H3691" s="162" t="s">
        <v>13314</v>
      </c>
      <c r="K3691" s="168">
        <v>16110231</v>
      </c>
      <c r="L3691" s="162" t="s">
        <v>13915</v>
      </c>
      <c r="M3691" s="162" t="s">
        <v>13916</v>
      </c>
      <c r="O3691" s="492">
        <v>0</v>
      </c>
      <c r="P3691" s="492">
        <v>0</v>
      </c>
      <c r="Q3691" s="492">
        <v>0</v>
      </c>
      <c r="R3691" s="492">
        <v>1.44E-2</v>
      </c>
      <c r="S3691" s="492">
        <v>6.1000000000000004E-3</v>
      </c>
      <c r="T3691" s="223" t="s">
        <v>13741</v>
      </c>
      <c r="U3691" t="str">
        <f>VLOOKUP(T3691,[8]Votes!$A$1:$E$234,3,FALSE)</f>
        <v>158 Internal Security Organisation</v>
      </c>
      <c r="V3691" s="162" t="s">
        <v>13917</v>
      </c>
      <c r="W3691" s="416">
        <v>1</v>
      </c>
      <c r="X3691" s="416">
        <v>1</v>
      </c>
      <c r="Y3691" s="416">
        <v>1</v>
      </c>
      <c r="Z3691" s="416">
        <v>1</v>
      </c>
      <c r="AA3691" s="416">
        <v>0</v>
      </c>
      <c r="AB3691" s="416">
        <v>0</v>
      </c>
      <c r="AC3691" s="150">
        <v>1</v>
      </c>
      <c r="AD3691" s="150">
        <v>1</v>
      </c>
      <c r="AE3691" s="49">
        <f t="shared" si="136"/>
        <v>0.75</v>
      </c>
      <c r="AF3691" s="190">
        <v>1</v>
      </c>
      <c r="AG3691" s="17">
        <v>0</v>
      </c>
      <c r="AH3691" s="190">
        <v>0</v>
      </c>
      <c r="AI3691" s="190">
        <v>0</v>
      </c>
      <c r="AJ3691" s="485">
        <v>69</v>
      </c>
      <c r="AK3691" s="493">
        <v>2</v>
      </c>
      <c r="AL3691" s="493">
        <v>2</v>
      </c>
      <c r="AM3691" s="17">
        <f t="shared" si="137"/>
        <v>4</v>
      </c>
      <c r="AN3691" s="162" t="s">
        <v>13741</v>
      </c>
      <c r="AO3691" s="162" t="s">
        <v>13742</v>
      </c>
    </row>
    <row r="3692" spans="1:41" s="162" customFormat="1" x14ac:dyDescent="0.3">
      <c r="A3692" s="205" t="s">
        <v>8321</v>
      </c>
      <c r="B3692" s="162" t="s">
        <v>8322</v>
      </c>
      <c r="C3692" s="168" t="s">
        <v>13277</v>
      </c>
      <c r="D3692" s="162" t="s">
        <v>13278</v>
      </c>
      <c r="E3692" s="168" t="s">
        <v>13279</v>
      </c>
      <c r="F3692" s="162" t="s">
        <v>13280</v>
      </c>
      <c r="G3692" s="168" t="s">
        <v>13313</v>
      </c>
      <c r="H3692" s="162" t="s">
        <v>13314</v>
      </c>
      <c r="K3692" s="168">
        <v>16110232</v>
      </c>
      <c r="L3692" s="162" t="s">
        <v>13918</v>
      </c>
      <c r="M3692" s="162" t="s">
        <v>13919</v>
      </c>
      <c r="O3692" s="492">
        <v>0</v>
      </c>
      <c r="P3692" s="492">
        <v>0</v>
      </c>
      <c r="Q3692" s="492">
        <v>0</v>
      </c>
      <c r="R3692" s="492">
        <v>9.7199999999999995E-3</v>
      </c>
      <c r="S3692" s="492">
        <v>1.538E-2</v>
      </c>
      <c r="T3692" s="223" t="s">
        <v>13741</v>
      </c>
      <c r="U3692" t="str">
        <f>VLOOKUP(T3692,[8]Votes!$A$1:$E$234,3,FALSE)</f>
        <v>158 Internal Security Organisation</v>
      </c>
      <c r="V3692" s="162" t="s">
        <v>13920</v>
      </c>
      <c r="W3692" s="416">
        <v>1</v>
      </c>
      <c r="X3692" s="416">
        <v>1</v>
      </c>
      <c r="Y3692" s="416">
        <v>1</v>
      </c>
      <c r="Z3692" s="416">
        <v>1</v>
      </c>
      <c r="AA3692" s="416">
        <v>0</v>
      </c>
      <c r="AB3692" s="416">
        <v>0</v>
      </c>
      <c r="AC3692" s="150">
        <v>1</v>
      </c>
      <c r="AD3692" s="150">
        <v>1</v>
      </c>
      <c r="AE3692" s="49">
        <f t="shared" si="136"/>
        <v>0.75</v>
      </c>
      <c r="AF3692" s="190">
        <v>1</v>
      </c>
      <c r="AG3692" s="17">
        <v>0</v>
      </c>
      <c r="AH3692" s="190">
        <v>0</v>
      </c>
      <c r="AI3692" s="190">
        <v>0</v>
      </c>
      <c r="AJ3692" s="485">
        <v>40</v>
      </c>
      <c r="AK3692" s="493">
        <v>1</v>
      </c>
      <c r="AL3692" s="493">
        <v>1</v>
      </c>
      <c r="AM3692" s="17">
        <f t="shared" si="137"/>
        <v>2</v>
      </c>
      <c r="AN3692" s="162" t="s">
        <v>13741</v>
      </c>
      <c r="AO3692" s="162" t="s">
        <v>13742</v>
      </c>
    </row>
    <row r="3693" spans="1:41" s="162" customFormat="1" x14ac:dyDescent="0.3">
      <c r="A3693" s="205" t="s">
        <v>8321</v>
      </c>
      <c r="B3693" s="162" t="s">
        <v>8322</v>
      </c>
      <c r="C3693" s="168" t="s">
        <v>13277</v>
      </c>
      <c r="D3693" s="162" t="s">
        <v>13278</v>
      </c>
      <c r="E3693" s="168" t="s">
        <v>13279</v>
      </c>
      <c r="F3693" s="162" t="s">
        <v>13280</v>
      </c>
      <c r="G3693" s="168" t="s">
        <v>13313</v>
      </c>
      <c r="H3693" s="162" t="s">
        <v>13314</v>
      </c>
      <c r="K3693" s="168">
        <v>16110233</v>
      </c>
      <c r="L3693" s="162" t="s">
        <v>13921</v>
      </c>
      <c r="M3693" s="162" t="s">
        <v>13922</v>
      </c>
      <c r="O3693" s="492">
        <v>0</v>
      </c>
      <c r="P3693" s="492">
        <v>0.05</v>
      </c>
      <c r="Q3693" s="492">
        <v>0</v>
      </c>
      <c r="R3693" s="492">
        <v>7.0000000000000001E-3</v>
      </c>
      <c r="S3693" s="492">
        <v>5.0000000000000001E-3</v>
      </c>
      <c r="T3693" s="223" t="s">
        <v>13741</v>
      </c>
      <c r="U3693" t="str">
        <f>VLOOKUP(T3693,[8]Votes!$A$1:$E$234,3,FALSE)</f>
        <v>158 Internal Security Organisation</v>
      </c>
      <c r="V3693" s="162" t="s">
        <v>13923</v>
      </c>
      <c r="W3693" s="416">
        <v>1</v>
      </c>
      <c r="X3693" s="416">
        <v>1</v>
      </c>
      <c r="Y3693" s="416">
        <v>1</v>
      </c>
      <c r="Z3693" s="416">
        <v>1</v>
      </c>
      <c r="AA3693" s="416">
        <v>0</v>
      </c>
      <c r="AB3693" s="416">
        <v>0</v>
      </c>
      <c r="AC3693" s="150">
        <v>1</v>
      </c>
      <c r="AD3693" s="150">
        <v>1</v>
      </c>
      <c r="AE3693" s="49">
        <f t="shared" si="136"/>
        <v>0.75</v>
      </c>
      <c r="AF3693" s="190">
        <v>1</v>
      </c>
      <c r="AG3693" s="17">
        <v>0</v>
      </c>
      <c r="AH3693" s="190">
        <v>0</v>
      </c>
      <c r="AI3693" s="485">
        <v>0.25</v>
      </c>
      <c r="AJ3693" s="485">
        <v>3.5</v>
      </c>
      <c r="AK3693" s="493">
        <v>0.3</v>
      </c>
      <c r="AL3693" s="493">
        <v>0.3</v>
      </c>
      <c r="AM3693" s="17">
        <f t="shared" si="137"/>
        <v>0.6</v>
      </c>
      <c r="AN3693" s="162" t="s">
        <v>13741</v>
      </c>
      <c r="AO3693" s="162" t="s">
        <v>13742</v>
      </c>
    </row>
    <row r="3694" spans="1:41" s="162" customFormat="1" x14ac:dyDescent="0.3">
      <c r="A3694" s="205" t="s">
        <v>8321</v>
      </c>
      <c r="B3694" s="162" t="s">
        <v>8322</v>
      </c>
      <c r="C3694" s="168" t="s">
        <v>13277</v>
      </c>
      <c r="D3694" s="162" t="s">
        <v>13278</v>
      </c>
      <c r="E3694" s="168" t="s">
        <v>13279</v>
      </c>
      <c r="F3694" s="162" t="s">
        <v>13280</v>
      </c>
      <c r="G3694" s="168" t="s">
        <v>13313</v>
      </c>
      <c r="H3694" s="162" t="s">
        <v>13314</v>
      </c>
      <c r="K3694" s="168">
        <v>16110234</v>
      </c>
      <c r="L3694" s="162" t="s">
        <v>13924</v>
      </c>
      <c r="M3694" s="162" t="s">
        <v>13925</v>
      </c>
      <c r="O3694" s="492">
        <v>0</v>
      </c>
      <c r="P3694" s="492">
        <v>0</v>
      </c>
      <c r="Q3694" s="492">
        <v>0</v>
      </c>
      <c r="R3694" s="492">
        <v>8.9999999999999993E-3</v>
      </c>
      <c r="S3694" s="492">
        <v>3.0000000000000001E-3</v>
      </c>
      <c r="T3694" s="223" t="s">
        <v>13739</v>
      </c>
      <c r="U3694" t="e">
        <f>VLOOKUP(T3694,[8]Votes!$A$1:$E$234,3,FALSE)</f>
        <v>#N/A</v>
      </c>
      <c r="V3694" s="162" t="s">
        <v>13926</v>
      </c>
      <c r="W3694" s="416">
        <v>1</v>
      </c>
      <c r="X3694" s="416">
        <v>1</v>
      </c>
      <c r="Y3694" s="416">
        <v>1</v>
      </c>
      <c r="Z3694" s="416">
        <v>1</v>
      </c>
      <c r="AA3694" s="416">
        <v>0</v>
      </c>
      <c r="AB3694" s="416">
        <v>0</v>
      </c>
      <c r="AC3694" s="150">
        <v>1</v>
      </c>
      <c r="AD3694" s="150">
        <v>1</v>
      </c>
      <c r="AE3694" s="49">
        <f t="shared" si="136"/>
        <v>0.75</v>
      </c>
      <c r="AF3694" s="190">
        <v>1</v>
      </c>
      <c r="AG3694" s="17">
        <v>0</v>
      </c>
      <c r="AH3694" s="190">
        <v>0</v>
      </c>
      <c r="AI3694" s="190">
        <v>0</v>
      </c>
      <c r="AJ3694" s="485">
        <v>28</v>
      </c>
      <c r="AK3694" s="493">
        <v>0.5</v>
      </c>
      <c r="AL3694" s="493">
        <v>0.5</v>
      </c>
      <c r="AM3694" s="17">
        <f t="shared" si="137"/>
        <v>1</v>
      </c>
      <c r="AN3694" s="162" t="s">
        <v>13741</v>
      </c>
      <c r="AO3694" s="162" t="s">
        <v>13742</v>
      </c>
    </row>
    <row r="3695" spans="1:41" s="162" customFormat="1" x14ac:dyDescent="0.3">
      <c r="A3695" s="205" t="s">
        <v>8321</v>
      </c>
      <c r="B3695" s="162" t="s">
        <v>8322</v>
      </c>
      <c r="C3695" s="168" t="s">
        <v>13277</v>
      </c>
      <c r="D3695" s="162" t="s">
        <v>13278</v>
      </c>
      <c r="E3695" s="168" t="s">
        <v>13279</v>
      </c>
      <c r="F3695" s="162" t="s">
        <v>13280</v>
      </c>
      <c r="G3695" s="168" t="s">
        <v>13313</v>
      </c>
      <c r="H3695" s="162" t="s">
        <v>13927</v>
      </c>
      <c r="K3695" s="168">
        <v>16110235</v>
      </c>
      <c r="L3695" s="162" t="s">
        <v>13928</v>
      </c>
      <c r="M3695" s="162" t="s">
        <v>13929</v>
      </c>
      <c r="O3695" s="492">
        <v>0</v>
      </c>
      <c r="P3695" s="492">
        <v>0.1</v>
      </c>
      <c r="Q3695" s="492">
        <v>0</v>
      </c>
      <c r="R3695" s="492">
        <v>1E-3</v>
      </c>
      <c r="S3695" s="492">
        <v>7.0000000000000001E-3</v>
      </c>
      <c r="T3695" s="223" t="s">
        <v>13741</v>
      </c>
      <c r="U3695" t="str">
        <f>VLOOKUP(T3695,[8]Votes!$A$1:$E$234,3,FALSE)</f>
        <v>158 Internal Security Organisation</v>
      </c>
      <c r="V3695" s="162" t="s">
        <v>13930</v>
      </c>
      <c r="W3695" s="416">
        <v>1</v>
      </c>
      <c r="X3695" s="416">
        <v>1</v>
      </c>
      <c r="Y3695" s="416">
        <v>1</v>
      </c>
      <c r="Z3695" s="416">
        <v>1</v>
      </c>
      <c r="AA3695" s="416">
        <v>0</v>
      </c>
      <c r="AB3695" s="416">
        <v>0</v>
      </c>
      <c r="AC3695" s="150">
        <v>1</v>
      </c>
      <c r="AD3695" s="150">
        <v>1</v>
      </c>
      <c r="AE3695" s="49">
        <f t="shared" si="136"/>
        <v>0.75</v>
      </c>
      <c r="AF3695" s="190">
        <v>1</v>
      </c>
      <c r="AG3695" s="17">
        <v>0</v>
      </c>
      <c r="AH3695" s="190">
        <v>0</v>
      </c>
      <c r="AI3695" s="485">
        <v>21</v>
      </c>
      <c r="AJ3695" s="485">
        <v>39</v>
      </c>
      <c r="AK3695" s="493">
        <v>0.5</v>
      </c>
      <c r="AL3695" s="493">
        <v>0.5</v>
      </c>
      <c r="AM3695" s="17">
        <f t="shared" si="137"/>
        <v>1</v>
      </c>
      <c r="AN3695" s="162" t="s">
        <v>13741</v>
      </c>
      <c r="AO3695" s="162" t="s">
        <v>13742</v>
      </c>
    </row>
    <row r="3696" spans="1:41" s="162" customFormat="1" x14ac:dyDescent="0.3">
      <c r="A3696" s="205" t="s">
        <v>8321</v>
      </c>
      <c r="B3696" s="162" t="s">
        <v>8322</v>
      </c>
      <c r="C3696" s="168" t="s">
        <v>13277</v>
      </c>
      <c r="D3696" s="162" t="s">
        <v>13278</v>
      </c>
      <c r="E3696" s="168" t="s">
        <v>13279</v>
      </c>
      <c r="F3696" s="162" t="s">
        <v>13280</v>
      </c>
      <c r="G3696" s="168" t="s">
        <v>13313</v>
      </c>
      <c r="H3696" s="162" t="s">
        <v>13314</v>
      </c>
      <c r="K3696" s="168" t="s">
        <v>13838</v>
      </c>
      <c r="L3696" s="162" t="s">
        <v>13839</v>
      </c>
      <c r="M3696" s="162" t="s">
        <v>13931</v>
      </c>
      <c r="O3696" s="224"/>
      <c r="P3696" s="224">
        <v>63</v>
      </c>
      <c r="Q3696" s="224">
        <v>63</v>
      </c>
      <c r="R3696" s="224">
        <v>110</v>
      </c>
      <c r="S3696" s="224">
        <v>100</v>
      </c>
      <c r="T3696" s="223" t="s">
        <v>1345</v>
      </c>
      <c r="U3696" t="str">
        <f>VLOOKUP(T3696,[8]Votes!$A$1:$E$234,3,FALSE)</f>
        <v>001 Office of the President</v>
      </c>
      <c r="V3696" s="162" t="s">
        <v>13932</v>
      </c>
      <c r="W3696" s="416">
        <v>1</v>
      </c>
      <c r="X3696" s="416">
        <v>1</v>
      </c>
      <c r="Y3696" s="416">
        <v>1</v>
      </c>
      <c r="Z3696" s="416">
        <v>1</v>
      </c>
      <c r="AA3696" s="416">
        <v>1</v>
      </c>
      <c r="AB3696" s="416">
        <v>0</v>
      </c>
      <c r="AC3696" s="150">
        <v>0</v>
      </c>
      <c r="AD3696" s="150">
        <v>1</v>
      </c>
      <c r="AE3696" s="49">
        <f t="shared" si="136"/>
        <v>0.75</v>
      </c>
      <c r="AF3696" s="190">
        <v>1</v>
      </c>
      <c r="AG3696" s="17">
        <v>0</v>
      </c>
      <c r="AH3696" s="190">
        <v>0</v>
      </c>
      <c r="AI3696" s="485">
        <v>12.6</v>
      </c>
      <c r="AJ3696" s="485">
        <v>12.6</v>
      </c>
      <c r="AK3696" s="493">
        <v>0</v>
      </c>
      <c r="AL3696" s="493">
        <v>0</v>
      </c>
      <c r="AM3696" s="17">
        <f t="shared" si="137"/>
        <v>0</v>
      </c>
      <c r="AN3696" s="162" t="s">
        <v>1345</v>
      </c>
      <c r="AO3696" s="162" t="s">
        <v>1334</v>
      </c>
    </row>
    <row r="3697" spans="1:41" s="162" customFormat="1" x14ac:dyDescent="0.3">
      <c r="A3697" s="205" t="s">
        <v>8321</v>
      </c>
      <c r="B3697" s="162" t="s">
        <v>8322</v>
      </c>
      <c r="C3697" s="168" t="s">
        <v>13277</v>
      </c>
      <c r="D3697" s="162" t="s">
        <v>13278</v>
      </c>
      <c r="E3697" s="168" t="s">
        <v>13279</v>
      </c>
      <c r="F3697" s="162" t="s">
        <v>13280</v>
      </c>
      <c r="G3697" s="168" t="s">
        <v>13313</v>
      </c>
      <c r="H3697" s="162" t="s">
        <v>13314</v>
      </c>
      <c r="K3697" s="168" t="s">
        <v>13838</v>
      </c>
      <c r="L3697" s="162" t="s">
        <v>13839</v>
      </c>
      <c r="M3697" s="162" t="s">
        <v>13933</v>
      </c>
      <c r="O3697" s="224">
        <v>156</v>
      </c>
      <c r="P3697" s="224">
        <v>242</v>
      </c>
      <c r="Q3697" s="224">
        <v>300</v>
      </c>
      <c r="R3697" s="224">
        <v>420</v>
      </c>
      <c r="S3697" s="224">
        <v>420</v>
      </c>
      <c r="T3697" s="223" t="s">
        <v>1345</v>
      </c>
      <c r="U3697" t="str">
        <f>VLOOKUP(T3697,[8]Votes!$A$1:$E$234,3,FALSE)</f>
        <v>001 Office of the President</v>
      </c>
      <c r="V3697" s="162" t="s">
        <v>13934</v>
      </c>
      <c r="W3697" s="416">
        <v>1</v>
      </c>
      <c r="X3697" s="416">
        <v>1</v>
      </c>
      <c r="Y3697" s="416">
        <v>1</v>
      </c>
      <c r="Z3697" s="416">
        <v>1</v>
      </c>
      <c r="AA3697" s="416">
        <v>1</v>
      </c>
      <c r="AB3697" s="416">
        <v>0</v>
      </c>
      <c r="AC3697" s="150">
        <v>0</v>
      </c>
      <c r="AD3697" s="150">
        <v>1</v>
      </c>
      <c r="AE3697" s="49">
        <f t="shared" si="136"/>
        <v>0.75</v>
      </c>
      <c r="AF3697" s="190">
        <v>1</v>
      </c>
      <c r="AG3697" s="17">
        <v>0</v>
      </c>
      <c r="AH3697" s="485">
        <v>0.8</v>
      </c>
      <c r="AI3697" s="485">
        <v>1.2</v>
      </c>
      <c r="AJ3697" s="485">
        <v>1</v>
      </c>
      <c r="AK3697" s="493">
        <v>0</v>
      </c>
      <c r="AL3697" s="493">
        <v>0</v>
      </c>
      <c r="AM3697" s="17">
        <f t="shared" si="137"/>
        <v>0</v>
      </c>
      <c r="AN3697" s="162" t="s">
        <v>1345</v>
      </c>
      <c r="AO3697" s="162" t="s">
        <v>1334</v>
      </c>
    </row>
    <row r="3698" spans="1:41" s="162" customFormat="1" x14ac:dyDescent="0.3">
      <c r="A3698" s="205" t="s">
        <v>8321</v>
      </c>
      <c r="B3698" s="162" t="s">
        <v>8322</v>
      </c>
      <c r="C3698" s="168" t="s">
        <v>13277</v>
      </c>
      <c r="D3698" s="162" t="s">
        <v>13935</v>
      </c>
      <c r="E3698" s="168" t="s">
        <v>13279</v>
      </c>
      <c r="F3698" s="162" t="s">
        <v>13936</v>
      </c>
      <c r="G3698" s="168" t="s">
        <v>13340</v>
      </c>
      <c r="H3698" s="162" t="s">
        <v>13341</v>
      </c>
      <c r="K3698" s="168" t="s">
        <v>13342</v>
      </c>
      <c r="L3698" s="162" t="s">
        <v>13937</v>
      </c>
      <c r="M3698" s="162" t="s">
        <v>13344</v>
      </c>
      <c r="O3698" s="224">
        <v>0</v>
      </c>
      <c r="P3698" s="224">
        <v>67.59</v>
      </c>
      <c r="Q3698" s="224">
        <v>6.07</v>
      </c>
      <c r="R3698" s="224"/>
      <c r="S3698" s="224"/>
      <c r="T3698" s="223" t="s">
        <v>13755</v>
      </c>
      <c r="U3698" t="str">
        <f>VLOOKUP(T3698,[8]Votes!$A$1:$E$234,3,FALSE)</f>
        <v>159 External Security Organisation</v>
      </c>
      <c r="V3698" s="162" t="s">
        <v>13938</v>
      </c>
      <c r="W3698" s="416">
        <v>1</v>
      </c>
      <c r="X3698" s="416">
        <v>1</v>
      </c>
      <c r="Y3698" s="416">
        <v>1</v>
      </c>
      <c r="Z3698" s="416">
        <v>1</v>
      </c>
      <c r="AA3698" s="416">
        <v>1</v>
      </c>
      <c r="AB3698" s="416">
        <v>0</v>
      </c>
      <c r="AC3698" s="150">
        <v>0</v>
      </c>
      <c r="AD3698" s="150">
        <v>1</v>
      </c>
      <c r="AE3698" s="49">
        <f t="shared" si="136"/>
        <v>0.75</v>
      </c>
      <c r="AF3698" s="190">
        <v>1</v>
      </c>
      <c r="AG3698" s="17">
        <v>0</v>
      </c>
      <c r="AH3698" s="485">
        <v>14.44</v>
      </c>
      <c r="AI3698" s="485">
        <v>24.2</v>
      </c>
      <c r="AJ3698" s="485">
        <v>25.67</v>
      </c>
      <c r="AK3698" s="493">
        <v>0</v>
      </c>
      <c r="AL3698" s="493">
        <v>0</v>
      </c>
      <c r="AM3698" s="17">
        <f t="shared" si="137"/>
        <v>0</v>
      </c>
      <c r="AN3698" s="162" t="s">
        <v>13755</v>
      </c>
      <c r="AO3698" s="162" t="s">
        <v>13757</v>
      </c>
    </row>
    <row r="3699" spans="1:41" s="162" customFormat="1" x14ac:dyDescent="0.3">
      <c r="A3699" s="205" t="s">
        <v>8321</v>
      </c>
      <c r="B3699" s="162" t="s">
        <v>8322</v>
      </c>
      <c r="C3699" s="168" t="s">
        <v>13277</v>
      </c>
      <c r="D3699" s="162" t="s">
        <v>13278</v>
      </c>
      <c r="E3699" s="168" t="s">
        <v>13279</v>
      </c>
      <c r="F3699" s="162" t="s">
        <v>13280</v>
      </c>
      <c r="G3699" s="168" t="s">
        <v>13340</v>
      </c>
      <c r="H3699" s="162" t="s">
        <v>13341</v>
      </c>
      <c r="K3699" s="168" t="s">
        <v>13342</v>
      </c>
      <c r="L3699" s="162" t="s">
        <v>13343</v>
      </c>
      <c r="M3699" s="162" t="s">
        <v>13344</v>
      </c>
      <c r="O3699" s="224">
        <v>0</v>
      </c>
      <c r="P3699" s="503">
        <v>0.84599999999999997</v>
      </c>
      <c r="Q3699" s="503">
        <v>0.183</v>
      </c>
      <c r="R3699" s="503">
        <v>0.151</v>
      </c>
      <c r="S3699" s="503">
        <v>7.9000000000000001E-2</v>
      </c>
      <c r="T3699" s="223" t="s">
        <v>13741</v>
      </c>
      <c r="U3699" t="str">
        <f>VLOOKUP(T3699,[8]Votes!$A$1:$E$234,3,FALSE)</f>
        <v>158 Internal Security Organisation</v>
      </c>
      <c r="V3699" s="162" t="s">
        <v>13939</v>
      </c>
      <c r="W3699" s="416">
        <v>1</v>
      </c>
      <c r="X3699" s="416">
        <v>1</v>
      </c>
      <c r="Y3699" s="416">
        <v>1</v>
      </c>
      <c r="Z3699" s="416">
        <v>1</v>
      </c>
      <c r="AA3699" s="416">
        <v>1</v>
      </c>
      <c r="AB3699" s="416">
        <v>0</v>
      </c>
      <c r="AC3699" s="150">
        <v>1</v>
      </c>
      <c r="AD3699" s="150">
        <v>1</v>
      </c>
      <c r="AE3699" s="49">
        <f t="shared" si="136"/>
        <v>0.875</v>
      </c>
      <c r="AF3699" s="190">
        <v>1</v>
      </c>
      <c r="AG3699" s="17">
        <v>0</v>
      </c>
      <c r="AH3699" s="485">
        <v>37.700000000000003</v>
      </c>
      <c r="AI3699" s="485">
        <v>69.599999999999994</v>
      </c>
      <c r="AJ3699" s="485">
        <v>92.05</v>
      </c>
      <c r="AK3699" s="493"/>
      <c r="AL3699" s="493"/>
      <c r="AM3699" s="17">
        <f t="shared" si="137"/>
        <v>0</v>
      </c>
      <c r="AN3699" s="162" t="s">
        <v>13741</v>
      </c>
      <c r="AO3699" s="162" t="s">
        <v>13742</v>
      </c>
    </row>
    <row r="3700" spans="1:41" s="162" customFormat="1" x14ac:dyDescent="0.3">
      <c r="A3700" s="205" t="s">
        <v>8321</v>
      </c>
      <c r="B3700" s="162" t="s">
        <v>8322</v>
      </c>
      <c r="C3700" s="168" t="s">
        <v>13277</v>
      </c>
      <c r="D3700" s="162" t="s">
        <v>13278</v>
      </c>
      <c r="E3700" s="168" t="s">
        <v>13279</v>
      </c>
      <c r="F3700" s="162" t="s">
        <v>13280</v>
      </c>
      <c r="G3700" s="168" t="s">
        <v>13340</v>
      </c>
      <c r="H3700" s="162" t="s">
        <v>13341</v>
      </c>
      <c r="I3700" s="162" t="s">
        <v>13940</v>
      </c>
      <c r="J3700" s="162" t="s">
        <v>13941</v>
      </c>
      <c r="K3700" s="168" t="s">
        <v>13342</v>
      </c>
      <c r="L3700" s="162" t="s">
        <v>13343</v>
      </c>
      <c r="M3700" s="162" t="s">
        <v>13344</v>
      </c>
      <c r="O3700" s="224">
        <v>0</v>
      </c>
      <c r="P3700" s="224">
        <v>0</v>
      </c>
      <c r="Q3700" s="224">
        <v>8</v>
      </c>
      <c r="R3700" s="224">
        <v>10</v>
      </c>
      <c r="S3700" s="224">
        <v>10</v>
      </c>
      <c r="T3700" s="223" t="s">
        <v>180</v>
      </c>
      <c r="U3700" t="str">
        <f>VLOOKUP(T3700,[8]Votes!$A$1:$E$234,3,FALSE)</f>
        <v>145 Uganda Prisons</v>
      </c>
      <c r="V3700" s="162" t="s">
        <v>13942</v>
      </c>
      <c r="W3700" s="416">
        <v>1</v>
      </c>
      <c r="X3700" s="416">
        <v>1</v>
      </c>
      <c r="Y3700" s="416">
        <v>1</v>
      </c>
      <c r="Z3700" s="416">
        <v>1</v>
      </c>
      <c r="AA3700" s="416">
        <v>1</v>
      </c>
      <c r="AB3700" s="416">
        <v>0</v>
      </c>
      <c r="AC3700" s="150">
        <v>0</v>
      </c>
      <c r="AD3700" s="150">
        <v>1</v>
      </c>
      <c r="AE3700" s="49">
        <f t="shared" si="136"/>
        <v>0.75</v>
      </c>
      <c r="AF3700" s="190">
        <v>1</v>
      </c>
      <c r="AG3700" s="17">
        <v>0</v>
      </c>
      <c r="AH3700" s="485">
        <v>16</v>
      </c>
      <c r="AI3700" s="485">
        <v>24.196999999999999</v>
      </c>
      <c r="AJ3700" s="485">
        <v>25.672000000000001</v>
      </c>
      <c r="AK3700" s="493">
        <v>0</v>
      </c>
      <c r="AL3700" s="493">
        <v>0</v>
      </c>
      <c r="AM3700" s="17">
        <f t="shared" si="137"/>
        <v>0</v>
      </c>
      <c r="AN3700" s="162" t="s">
        <v>180</v>
      </c>
      <c r="AO3700" s="162" t="s">
        <v>182</v>
      </c>
    </row>
    <row r="3701" spans="1:41" s="162" customFormat="1" x14ac:dyDescent="0.3">
      <c r="A3701" s="205" t="s">
        <v>8321</v>
      </c>
      <c r="B3701" s="162" t="s">
        <v>8322</v>
      </c>
      <c r="C3701" s="168" t="s">
        <v>13277</v>
      </c>
      <c r="D3701" s="162" t="s">
        <v>13278</v>
      </c>
      <c r="E3701" s="168" t="s">
        <v>13279</v>
      </c>
      <c r="F3701" s="162" t="s">
        <v>13280</v>
      </c>
      <c r="G3701" s="168" t="s">
        <v>13340</v>
      </c>
      <c r="H3701" s="162" t="s">
        <v>13341</v>
      </c>
      <c r="K3701" s="168" t="s">
        <v>13342</v>
      </c>
      <c r="L3701" s="162" t="s">
        <v>13343</v>
      </c>
      <c r="M3701" s="162" t="s">
        <v>13943</v>
      </c>
      <c r="O3701" s="492">
        <v>0.2</v>
      </c>
      <c r="P3701" s="492">
        <v>0.2</v>
      </c>
      <c r="Q3701" s="492">
        <v>3.7999999999999999E-2</v>
      </c>
      <c r="R3701" s="492">
        <v>3.7999999999999999E-2</v>
      </c>
      <c r="S3701" s="492">
        <v>3.7999999999999999E-2</v>
      </c>
      <c r="T3701" s="223" t="s">
        <v>13741</v>
      </c>
      <c r="U3701" t="str">
        <f>VLOOKUP(T3701,[8]Votes!$A$1:$E$234,3,FALSE)</f>
        <v>158 Internal Security Organisation</v>
      </c>
      <c r="V3701" s="162" t="s">
        <v>13944</v>
      </c>
      <c r="W3701" s="416">
        <v>1</v>
      </c>
      <c r="X3701" s="416">
        <v>1</v>
      </c>
      <c r="Y3701" s="416">
        <v>1</v>
      </c>
      <c r="Z3701" s="416">
        <v>1</v>
      </c>
      <c r="AA3701" s="416">
        <v>1</v>
      </c>
      <c r="AB3701" s="416">
        <v>0</v>
      </c>
      <c r="AC3701" s="150">
        <v>1</v>
      </c>
      <c r="AD3701" s="150">
        <v>1</v>
      </c>
      <c r="AE3701" s="49">
        <f t="shared" si="136"/>
        <v>0.875</v>
      </c>
      <c r="AF3701" s="190">
        <v>1</v>
      </c>
      <c r="AG3701" s="17">
        <v>0</v>
      </c>
      <c r="AH3701" s="485">
        <v>5</v>
      </c>
      <c r="AI3701" s="485">
        <v>5</v>
      </c>
      <c r="AJ3701" s="485">
        <v>5</v>
      </c>
      <c r="AK3701" s="493">
        <v>0.95</v>
      </c>
      <c r="AL3701" s="493">
        <v>0.95</v>
      </c>
      <c r="AM3701" s="17">
        <f t="shared" si="137"/>
        <v>1.9</v>
      </c>
      <c r="AN3701" s="162" t="s">
        <v>13741</v>
      </c>
      <c r="AO3701" s="162" t="s">
        <v>13742</v>
      </c>
    </row>
    <row r="3702" spans="1:41" s="162" customFormat="1" x14ac:dyDescent="0.3">
      <c r="A3702" s="205" t="s">
        <v>8321</v>
      </c>
      <c r="B3702" s="162" t="s">
        <v>8322</v>
      </c>
      <c r="C3702" s="168" t="s">
        <v>13277</v>
      </c>
      <c r="D3702" s="162" t="s">
        <v>13278</v>
      </c>
      <c r="E3702" s="168" t="s">
        <v>13279</v>
      </c>
      <c r="F3702" s="162" t="s">
        <v>13280</v>
      </c>
      <c r="G3702" s="168" t="s">
        <v>13340</v>
      </c>
      <c r="H3702" s="162" t="s">
        <v>13341</v>
      </c>
      <c r="I3702" s="162" t="s">
        <v>13945</v>
      </c>
      <c r="J3702" s="162" t="s">
        <v>13946</v>
      </c>
      <c r="K3702" s="168" t="s">
        <v>13342</v>
      </c>
      <c r="L3702" s="162" t="s">
        <v>13343</v>
      </c>
      <c r="M3702" s="162" t="s">
        <v>13947</v>
      </c>
      <c r="O3702" s="224">
        <v>12000</v>
      </c>
      <c r="P3702" s="224">
        <v>12000</v>
      </c>
      <c r="Q3702" s="224">
        <v>12000</v>
      </c>
      <c r="R3702" s="224">
        <v>1000</v>
      </c>
      <c r="S3702" s="224">
        <v>1000</v>
      </c>
      <c r="T3702" s="223" t="s">
        <v>180</v>
      </c>
      <c r="U3702" t="str">
        <f>VLOOKUP(T3702,[8]Votes!$A$1:$E$234,3,FALSE)</f>
        <v>145 Uganda Prisons</v>
      </c>
      <c r="V3702" s="162" t="s">
        <v>13948</v>
      </c>
      <c r="W3702" s="416">
        <v>1</v>
      </c>
      <c r="X3702" s="416">
        <v>1</v>
      </c>
      <c r="Y3702" s="416">
        <v>1</v>
      </c>
      <c r="Z3702" s="416">
        <v>1</v>
      </c>
      <c r="AA3702" s="416">
        <v>1</v>
      </c>
      <c r="AB3702" s="416">
        <v>0</v>
      </c>
      <c r="AC3702" s="150">
        <v>0</v>
      </c>
      <c r="AD3702" s="150">
        <v>1</v>
      </c>
      <c r="AE3702" s="49">
        <f t="shared" si="136"/>
        <v>0.75</v>
      </c>
      <c r="AF3702" s="190">
        <v>1</v>
      </c>
      <c r="AG3702" s="17">
        <v>0</v>
      </c>
      <c r="AH3702" s="485">
        <v>2.62</v>
      </c>
      <c r="AI3702" s="485">
        <v>4.62</v>
      </c>
      <c r="AJ3702" s="485">
        <v>5.62</v>
      </c>
      <c r="AK3702" s="493">
        <v>5.62</v>
      </c>
      <c r="AL3702" s="493">
        <v>5.62</v>
      </c>
      <c r="AM3702" s="17">
        <f t="shared" si="137"/>
        <v>11.24</v>
      </c>
      <c r="AN3702" s="162" t="s">
        <v>180</v>
      </c>
      <c r="AO3702" s="162" t="s">
        <v>182</v>
      </c>
    </row>
    <row r="3703" spans="1:41" s="162" customFormat="1" x14ac:dyDescent="0.3">
      <c r="A3703" s="205" t="s">
        <v>8321</v>
      </c>
      <c r="B3703" s="162" t="s">
        <v>8322</v>
      </c>
      <c r="C3703" s="168" t="s">
        <v>13277</v>
      </c>
      <c r="D3703" s="162" t="s">
        <v>13278</v>
      </c>
      <c r="E3703" s="168" t="s">
        <v>13279</v>
      </c>
      <c r="F3703" s="162" t="s">
        <v>13280</v>
      </c>
      <c r="G3703" s="168" t="s">
        <v>13340</v>
      </c>
      <c r="H3703" s="162" t="s">
        <v>13341</v>
      </c>
      <c r="I3703" s="162" t="s">
        <v>13949</v>
      </c>
      <c r="J3703" s="162" t="s">
        <v>13950</v>
      </c>
      <c r="K3703" s="168" t="s">
        <v>13342</v>
      </c>
      <c r="L3703" s="162" t="s">
        <v>13343</v>
      </c>
      <c r="M3703" s="162" t="s">
        <v>13951</v>
      </c>
      <c r="O3703" s="224">
        <v>200</v>
      </c>
      <c r="P3703" s="224">
        <v>1500</v>
      </c>
      <c r="Q3703" s="224">
        <v>1500</v>
      </c>
      <c r="R3703" s="224">
        <v>46</v>
      </c>
      <c r="S3703" s="224">
        <v>52</v>
      </c>
      <c r="T3703" s="223" t="s">
        <v>180</v>
      </c>
      <c r="U3703" t="str">
        <f>VLOOKUP(T3703,[8]Votes!$A$1:$E$234,3,FALSE)</f>
        <v>145 Uganda Prisons</v>
      </c>
      <c r="V3703" s="162" t="s">
        <v>13952</v>
      </c>
      <c r="W3703" s="416">
        <v>1</v>
      </c>
      <c r="X3703" s="416">
        <v>1</v>
      </c>
      <c r="Y3703" s="416">
        <v>1</v>
      </c>
      <c r="Z3703" s="416">
        <v>1</v>
      </c>
      <c r="AA3703" s="416">
        <v>1</v>
      </c>
      <c r="AB3703" s="416">
        <v>0</v>
      </c>
      <c r="AC3703" s="150">
        <v>0</v>
      </c>
      <c r="AD3703" s="150">
        <v>1</v>
      </c>
      <c r="AE3703" s="49">
        <f t="shared" si="136"/>
        <v>0.75</v>
      </c>
      <c r="AF3703" s="190">
        <v>1</v>
      </c>
      <c r="AG3703" s="17">
        <v>0</v>
      </c>
      <c r="AH3703" s="485">
        <v>53.46</v>
      </c>
      <c r="AI3703" s="485">
        <v>164.6</v>
      </c>
      <c r="AJ3703" s="485">
        <v>164.6</v>
      </c>
      <c r="AK3703" s="493">
        <v>0</v>
      </c>
      <c r="AL3703" s="493">
        <v>0</v>
      </c>
      <c r="AM3703" s="17">
        <f t="shared" si="137"/>
        <v>0</v>
      </c>
      <c r="AN3703" s="162" t="s">
        <v>180</v>
      </c>
      <c r="AO3703" s="162" t="s">
        <v>182</v>
      </c>
    </row>
    <row r="3704" spans="1:41" s="162" customFormat="1" x14ac:dyDescent="0.3">
      <c r="A3704" s="205" t="s">
        <v>8321</v>
      </c>
      <c r="B3704" s="162" t="s">
        <v>8322</v>
      </c>
      <c r="C3704" s="168" t="s">
        <v>13277</v>
      </c>
      <c r="D3704" s="162" t="s">
        <v>13278</v>
      </c>
      <c r="E3704" s="168" t="s">
        <v>13279</v>
      </c>
      <c r="F3704" s="162" t="s">
        <v>13280</v>
      </c>
      <c r="G3704" s="168" t="s">
        <v>13340</v>
      </c>
      <c r="H3704" s="162" t="s">
        <v>13341</v>
      </c>
      <c r="I3704" s="162" t="s">
        <v>13953</v>
      </c>
      <c r="J3704" s="162" t="s">
        <v>13954</v>
      </c>
      <c r="K3704" s="168" t="s">
        <v>13342</v>
      </c>
      <c r="L3704" s="162" t="s">
        <v>13343</v>
      </c>
      <c r="M3704" s="162" t="s">
        <v>13955</v>
      </c>
      <c r="O3704" s="224">
        <v>23</v>
      </c>
      <c r="P3704" s="224">
        <v>20</v>
      </c>
      <c r="Q3704" s="224">
        <v>20</v>
      </c>
      <c r="R3704" s="224">
        <v>4</v>
      </c>
      <c r="S3704" s="224">
        <v>4</v>
      </c>
      <c r="T3704" s="223" t="s">
        <v>180</v>
      </c>
      <c r="U3704" t="str">
        <f>VLOOKUP(T3704,[8]Votes!$A$1:$E$234,3,FALSE)</f>
        <v>145 Uganda Prisons</v>
      </c>
      <c r="V3704" s="162" t="s">
        <v>13956</v>
      </c>
      <c r="W3704" s="416">
        <v>1</v>
      </c>
      <c r="X3704" s="416">
        <v>1</v>
      </c>
      <c r="Y3704" s="416">
        <v>1</v>
      </c>
      <c r="Z3704" s="416">
        <v>1</v>
      </c>
      <c r="AA3704" s="416">
        <v>1</v>
      </c>
      <c r="AB3704" s="416">
        <v>0</v>
      </c>
      <c r="AC3704" s="150">
        <v>0</v>
      </c>
      <c r="AD3704" s="150">
        <v>1</v>
      </c>
      <c r="AE3704" s="49">
        <f t="shared" si="136"/>
        <v>0.75</v>
      </c>
      <c r="AF3704" s="190">
        <v>1</v>
      </c>
      <c r="AG3704" s="17">
        <v>0</v>
      </c>
      <c r="AH3704" s="485">
        <v>64.194999999999993</v>
      </c>
      <c r="AI3704" s="485">
        <v>61.25</v>
      </c>
      <c r="AJ3704" s="485">
        <v>57.8</v>
      </c>
      <c r="AK3704" s="493">
        <v>0</v>
      </c>
      <c r="AL3704" s="493">
        <v>0</v>
      </c>
      <c r="AM3704" s="17">
        <f t="shared" si="137"/>
        <v>0</v>
      </c>
      <c r="AN3704" s="162" t="s">
        <v>180</v>
      </c>
      <c r="AO3704" s="162" t="s">
        <v>182</v>
      </c>
    </row>
    <row r="3705" spans="1:41" s="162" customFormat="1" x14ac:dyDescent="0.3">
      <c r="A3705" s="205" t="s">
        <v>8321</v>
      </c>
      <c r="B3705" s="162" t="s">
        <v>8322</v>
      </c>
      <c r="C3705" s="168" t="s">
        <v>13277</v>
      </c>
      <c r="D3705" s="162" t="s">
        <v>13278</v>
      </c>
      <c r="E3705" s="168" t="s">
        <v>13279</v>
      </c>
      <c r="F3705" s="162" t="s">
        <v>13280</v>
      </c>
      <c r="G3705" s="168" t="s">
        <v>13340</v>
      </c>
      <c r="H3705" s="162" t="s">
        <v>13341</v>
      </c>
      <c r="I3705" s="162" t="s">
        <v>13957</v>
      </c>
      <c r="J3705" s="1" t="s">
        <v>13958</v>
      </c>
      <c r="K3705" s="168" t="s">
        <v>13342</v>
      </c>
      <c r="L3705" s="162" t="s">
        <v>13343</v>
      </c>
      <c r="M3705" s="162" t="s">
        <v>13959</v>
      </c>
      <c r="O3705" s="224">
        <v>0</v>
      </c>
      <c r="P3705" s="224">
        <v>1</v>
      </c>
      <c r="Q3705" s="224">
        <v>1</v>
      </c>
      <c r="R3705" s="224">
        <v>1</v>
      </c>
      <c r="S3705" s="224">
        <v>1</v>
      </c>
      <c r="T3705" s="223" t="s">
        <v>180</v>
      </c>
      <c r="U3705" t="str">
        <f>VLOOKUP(T3705,[8]Votes!$A$1:$E$234,3,FALSE)</f>
        <v>145 Uganda Prisons</v>
      </c>
      <c r="V3705" s="162" t="s">
        <v>13960</v>
      </c>
      <c r="W3705" s="416">
        <v>1</v>
      </c>
      <c r="X3705" s="416">
        <v>1</v>
      </c>
      <c r="Y3705" s="416">
        <v>1</v>
      </c>
      <c r="Z3705" s="416">
        <v>1</v>
      </c>
      <c r="AA3705" s="416">
        <v>1</v>
      </c>
      <c r="AB3705" s="416">
        <v>0</v>
      </c>
      <c r="AC3705" s="150">
        <v>0</v>
      </c>
      <c r="AD3705" s="150">
        <v>1</v>
      </c>
      <c r="AE3705" s="49">
        <f t="shared" si="136"/>
        <v>0.75</v>
      </c>
      <c r="AF3705" s="190">
        <v>1</v>
      </c>
      <c r="AG3705" s="17">
        <v>0</v>
      </c>
      <c r="AH3705" s="190">
        <v>0</v>
      </c>
      <c r="AI3705" s="485">
        <v>1.1000000000000001</v>
      </c>
      <c r="AJ3705" s="485">
        <v>2.2000000000000002</v>
      </c>
      <c r="AK3705" s="493">
        <v>4.3</v>
      </c>
      <c r="AL3705" s="493">
        <v>1.2</v>
      </c>
      <c r="AM3705" s="17">
        <f t="shared" si="137"/>
        <v>5.5</v>
      </c>
      <c r="AN3705" s="162" t="s">
        <v>180</v>
      </c>
      <c r="AO3705" s="162" t="s">
        <v>182</v>
      </c>
    </row>
    <row r="3706" spans="1:41" s="162" customFormat="1" x14ac:dyDescent="0.3">
      <c r="A3706" s="205" t="s">
        <v>8321</v>
      </c>
      <c r="B3706" s="162" t="s">
        <v>8322</v>
      </c>
      <c r="C3706" s="168" t="s">
        <v>13277</v>
      </c>
      <c r="D3706" s="162" t="s">
        <v>13278</v>
      </c>
      <c r="E3706" s="168" t="s">
        <v>13279</v>
      </c>
      <c r="F3706" s="162" t="s">
        <v>13280</v>
      </c>
      <c r="G3706" s="168" t="s">
        <v>13340</v>
      </c>
      <c r="H3706" s="162" t="s">
        <v>13341</v>
      </c>
      <c r="K3706" s="168" t="s">
        <v>13342</v>
      </c>
      <c r="L3706" s="162" t="s">
        <v>13343</v>
      </c>
      <c r="M3706" s="162" t="s">
        <v>13959</v>
      </c>
      <c r="O3706" s="224">
        <v>0</v>
      </c>
      <c r="P3706" s="224">
        <v>1</v>
      </c>
      <c r="Q3706" s="224">
        <v>1</v>
      </c>
      <c r="R3706" s="224">
        <v>1</v>
      </c>
      <c r="S3706" s="224">
        <v>1</v>
      </c>
      <c r="T3706" s="223" t="s">
        <v>13755</v>
      </c>
      <c r="U3706" t="str">
        <f>VLOOKUP(T3706,[8]Votes!$A$1:$E$234,3,FALSE)</f>
        <v>159 External Security Organisation</v>
      </c>
      <c r="V3706" s="162" t="s">
        <v>13961</v>
      </c>
      <c r="W3706" s="416">
        <v>1</v>
      </c>
      <c r="X3706" s="416">
        <v>1</v>
      </c>
      <c r="Y3706" s="416">
        <v>1</v>
      </c>
      <c r="Z3706" s="416">
        <v>1</v>
      </c>
      <c r="AA3706" s="416">
        <v>1</v>
      </c>
      <c r="AB3706" s="416">
        <v>0</v>
      </c>
      <c r="AC3706" s="150">
        <v>0</v>
      </c>
      <c r="AD3706" s="150">
        <v>1</v>
      </c>
      <c r="AE3706" s="49">
        <f t="shared" ref="AE3706:AE3769" si="138">SUM(W3706:AD3706)/8</f>
        <v>0.75</v>
      </c>
      <c r="AF3706" s="190">
        <v>1</v>
      </c>
      <c r="AG3706" s="17">
        <v>0</v>
      </c>
      <c r="AH3706" s="190">
        <v>0</v>
      </c>
      <c r="AI3706" s="485">
        <v>1.1000000000000001</v>
      </c>
      <c r="AJ3706" s="485">
        <v>0.2</v>
      </c>
      <c r="AK3706" s="493">
        <v>0.3</v>
      </c>
      <c r="AL3706" s="493">
        <v>0.2</v>
      </c>
      <c r="AM3706" s="17">
        <f t="shared" ref="AM3706:AM3769" si="139">SUM(AK3706:AL3706)</f>
        <v>0.5</v>
      </c>
      <c r="AN3706" s="162" t="s">
        <v>13755</v>
      </c>
      <c r="AO3706" s="162" t="s">
        <v>13757</v>
      </c>
    </row>
    <row r="3707" spans="1:41" s="162" customFormat="1" x14ac:dyDescent="0.3">
      <c r="A3707" s="205" t="s">
        <v>8321</v>
      </c>
      <c r="B3707" s="162" t="s">
        <v>8322</v>
      </c>
      <c r="C3707" s="168" t="s">
        <v>13277</v>
      </c>
      <c r="D3707" s="162" t="s">
        <v>13278</v>
      </c>
      <c r="E3707" s="168" t="s">
        <v>13279</v>
      </c>
      <c r="F3707" s="162" t="s">
        <v>13280</v>
      </c>
      <c r="G3707" s="168" t="s">
        <v>13340</v>
      </c>
      <c r="H3707" s="162" t="s">
        <v>13341</v>
      </c>
      <c r="I3707" s="162" t="s">
        <v>13962</v>
      </c>
      <c r="J3707" s="162" t="s">
        <v>13963</v>
      </c>
      <c r="K3707" s="168" t="s">
        <v>13342</v>
      </c>
      <c r="L3707" s="162" t="s">
        <v>13343</v>
      </c>
      <c r="M3707" s="162" t="s">
        <v>13964</v>
      </c>
      <c r="O3707" s="224">
        <v>1</v>
      </c>
      <c r="P3707" s="224">
        <v>1</v>
      </c>
      <c r="Q3707" s="224">
        <v>1</v>
      </c>
      <c r="R3707" s="224">
        <v>1</v>
      </c>
      <c r="S3707" s="224">
        <v>1</v>
      </c>
      <c r="T3707" s="223" t="s">
        <v>180</v>
      </c>
      <c r="U3707" t="str">
        <f>VLOOKUP(T3707,[8]Votes!$A$1:$E$234,3,FALSE)</f>
        <v>145 Uganda Prisons</v>
      </c>
      <c r="V3707" s="162" t="s">
        <v>13965</v>
      </c>
      <c r="W3707" s="416">
        <v>1</v>
      </c>
      <c r="X3707" s="416">
        <v>1</v>
      </c>
      <c r="Y3707" s="416">
        <v>1</v>
      </c>
      <c r="Z3707" s="416">
        <v>1</v>
      </c>
      <c r="AA3707" s="416">
        <v>1</v>
      </c>
      <c r="AB3707" s="416">
        <v>0</v>
      </c>
      <c r="AC3707" s="150">
        <v>0</v>
      </c>
      <c r="AD3707" s="150">
        <v>1</v>
      </c>
      <c r="AE3707" s="49">
        <f t="shared" si="138"/>
        <v>0.75</v>
      </c>
      <c r="AF3707" s="190">
        <v>1</v>
      </c>
      <c r="AG3707" s="17">
        <v>0</v>
      </c>
      <c r="AH3707" s="485">
        <v>18.686</v>
      </c>
      <c r="AI3707" s="485">
        <v>18.686</v>
      </c>
      <c r="AJ3707" s="485">
        <v>18.686</v>
      </c>
      <c r="AK3707" s="493">
        <v>9.6859999999999999</v>
      </c>
      <c r="AL3707" s="493">
        <v>9.6859999999999999</v>
      </c>
      <c r="AM3707" s="17">
        <f t="shared" si="139"/>
        <v>19.372</v>
      </c>
      <c r="AN3707" s="162" t="s">
        <v>180</v>
      </c>
      <c r="AO3707" s="162" t="s">
        <v>182</v>
      </c>
    </row>
    <row r="3708" spans="1:41" s="162" customFormat="1" x14ac:dyDescent="0.3">
      <c r="A3708" s="205" t="s">
        <v>8321</v>
      </c>
      <c r="B3708" s="162" t="s">
        <v>8322</v>
      </c>
      <c r="C3708" s="168" t="s">
        <v>13277</v>
      </c>
      <c r="D3708" s="162" t="s">
        <v>13278</v>
      </c>
      <c r="E3708" s="168" t="s">
        <v>13279</v>
      </c>
      <c r="F3708" s="162" t="s">
        <v>13280</v>
      </c>
      <c r="G3708" s="168" t="s">
        <v>13340</v>
      </c>
      <c r="H3708" s="162" t="s">
        <v>13341</v>
      </c>
      <c r="K3708" s="168" t="s">
        <v>13342</v>
      </c>
      <c r="L3708" s="162" t="s">
        <v>13343</v>
      </c>
      <c r="M3708" s="162" t="s">
        <v>13964</v>
      </c>
      <c r="O3708" s="492">
        <v>0.7</v>
      </c>
      <c r="P3708" s="492">
        <v>0.8</v>
      </c>
      <c r="Q3708" s="492">
        <v>0.85</v>
      </c>
      <c r="R3708" s="492">
        <v>0.9</v>
      </c>
      <c r="S3708" s="492">
        <v>1</v>
      </c>
      <c r="T3708" s="223" t="s">
        <v>13755</v>
      </c>
      <c r="U3708" t="str">
        <f>VLOOKUP(T3708,[8]Votes!$A$1:$E$234,3,FALSE)</f>
        <v>159 External Security Organisation</v>
      </c>
      <c r="V3708" s="162" t="s">
        <v>13966</v>
      </c>
      <c r="W3708" s="416">
        <v>1</v>
      </c>
      <c r="X3708" s="416">
        <v>1</v>
      </c>
      <c r="Y3708" s="416">
        <v>1</v>
      </c>
      <c r="Z3708" s="416">
        <v>1</v>
      </c>
      <c r="AA3708" s="416">
        <v>1</v>
      </c>
      <c r="AB3708" s="416">
        <v>0</v>
      </c>
      <c r="AC3708" s="150">
        <v>0</v>
      </c>
      <c r="AD3708" s="150">
        <v>1</v>
      </c>
      <c r="AE3708" s="49">
        <f t="shared" si="138"/>
        <v>0.75</v>
      </c>
      <c r="AF3708" s="190">
        <v>1</v>
      </c>
      <c r="AG3708" s="17">
        <v>0</v>
      </c>
      <c r="AH3708" s="485">
        <v>0.48099999999999998</v>
      </c>
      <c r="AI3708" s="485">
        <v>0.52900000000000003</v>
      </c>
      <c r="AJ3708" s="485">
        <v>0.60799999999999998</v>
      </c>
      <c r="AK3708" s="493">
        <v>1.7</v>
      </c>
      <c r="AL3708" s="493">
        <v>1.55</v>
      </c>
      <c r="AM3708" s="17">
        <f t="shared" si="139"/>
        <v>3.25</v>
      </c>
      <c r="AN3708" s="162" t="s">
        <v>13755</v>
      </c>
      <c r="AO3708" s="162" t="s">
        <v>13757</v>
      </c>
    </row>
    <row r="3709" spans="1:41" s="162" customFormat="1" x14ac:dyDescent="0.3">
      <c r="A3709" s="205" t="s">
        <v>8321</v>
      </c>
      <c r="B3709" s="162" t="s">
        <v>8322</v>
      </c>
      <c r="C3709" s="168" t="s">
        <v>13277</v>
      </c>
      <c r="D3709" s="162" t="s">
        <v>13278</v>
      </c>
      <c r="E3709" s="168" t="s">
        <v>13279</v>
      </c>
      <c r="F3709" s="162" t="s">
        <v>13280</v>
      </c>
      <c r="G3709" s="168" t="s">
        <v>13340</v>
      </c>
      <c r="H3709" s="162" t="s">
        <v>13341</v>
      </c>
      <c r="K3709" s="168" t="s">
        <v>13342</v>
      </c>
      <c r="L3709" s="162" t="s">
        <v>13343</v>
      </c>
      <c r="M3709" s="162" t="s">
        <v>13967</v>
      </c>
      <c r="O3709" s="224">
        <v>1</v>
      </c>
      <c r="P3709" s="224">
        <v>5</v>
      </c>
      <c r="Q3709" s="224">
        <v>3</v>
      </c>
      <c r="R3709" s="224">
        <v>1</v>
      </c>
      <c r="S3709" s="224">
        <v>1</v>
      </c>
      <c r="T3709" s="223" t="s">
        <v>13755</v>
      </c>
      <c r="U3709" t="str">
        <f>VLOOKUP(T3709,[8]Votes!$A$1:$E$234,3,FALSE)</f>
        <v>159 External Security Organisation</v>
      </c>
      <c r="V3709" s="162" t="s">
        <v>13968</v>
      </c>
      <c r="W3709" s="416">
        <v>1</v>
      </c>
      <c r="X3709" s="416">
        <v>1</v>
      </c>
      <c r="Y3709" s="416">
        <v>1</v>
      </c>
      <c r="Z3709" s="416">
        <v>1</v>
      </c>
      <c r="AA3709" s="416">
        <v>1</v>
      </c>
      <c r="AB3709" s="416">
        <v>0</v>
      </c>
      <c r="AC3709" s="150">
        <v>0</v>
      </c>
      <c r="AD3709" s="150">
        <v>1</v>
      </c>
      <c r="AE3709" s="49">
        <f t="shared" si="138"/>
        <v>0.75</v>
      </c>
      <c r="AF3709" s="190">
        <v>1</v>
      </c>
      <c r="AG3709" s="17">
        <v>0</v>
      </c>
      <c r="AH3709" s="485">
        <v>3.5000000000000003E-2</v>
      </c>
      <c r="AI3709" s="485">
        <v>7.0000000000000007E-2</v>
      </c>
      <c r="AJ3709" s="485">
        <v>0.05</v>
      </c>
      <c r="AK3709" s="493">
        <v>3.5000000000000003E-2</v>
      </c>
      <c r="AL3709" s="493">
        <v>0.04</v>
      </c>
      <c r="AM3709" s="17">
        <f t="shared" si="139"/>
        <v>7.5000000000000011E-2</v>
      </c>
      <c r="AN3709" s="162" t="s">
        <v>13755</v>
      </c>
      <c r="AO3709" s="162" t="s">
        <v>13757</v>
      </c>
    </row>
    <row r="3710" spans="1:41" s="162" customFormat="1" x14ac:dyDescent="0.3">
      <c r="A3710" s="205" t="s">
        <v>8321</v>
      </c>
      <c r="B3710" s="162" t="s">
        <v>8322</v>
      </c>
      <c r="C3710" s="168" t="s">
        <v>13277</v>
      </c>
      <c r="D3710" s="162" t="s">
        <v>13278</v>
      </c>
      <c r="E3710" s="168" t="s">
        <v>13279</v>
      </c>
      <c r="F3710" s="162" t="s">
        <v>13280</v>
      </c>
      <c r="G3710" s="168" t="s">
        <v>13340</v>
      </c>
      <c r="H3710" s="162" t="s">
        <v>13341</v>
      </c>
      <c r="K3710" s="168" t="s">
        <v>13342</v>
      </c>
      <c r="L3710" s="162" t="s">
        <v>13343</v>
      </c>
      <c r="M3710" s="162" t="s">
        <v>13969</v>
      </c>
      <c r="N3710" s="162">
        <v>5</v>
      </c>
      <c r="O3710" s="224">
        <v>8</v>
      </c>
      <c r="P3710" s="224">
        <v>8</v>
      </c>
      <c r="Q3710" s="224">
        <v>17</v>
      </c>
      <c r="R3710" s="224">
        <v>10</v>
      </c>
      <c r="S3710" s="224">
        <v>18</v>
      </c>
      <c r="T3710" s="223" t="s">
        <v>13766</v>
      </c>
      <c r="U3710" t="str">
        <f>VLOOKUP(T3710,[8]Votes!$A$1:$E$234,3,FALSE)</f>
        <v>120 National Citizenship and Immigration Control</v>
      </c>
      <c r="V3710" s="162" t="s">
        <v>13970</v>
      </c>
      <c r="W3710" s="416">
        <v>1</v>
      </c>
      <c r="X3710" s="416">
        <v>1</v>
      </c>
      <c r="Y3710" s="416">
        <v>1</v>
      </c>
      <c r="Z3710" s="416">
        <v>1</v>
      </c>
      <c r="AA3710" s="416">
        <v>1</v>
      </c>
      <c r="AB3710" s="416">
        <v>0</v>
      </c>
      <c r="AC3710" s="150">
        <v>0</v>
      </c>
      <c r="AD3710" s="150">
        <v>1</v>
      </c>
      <c r="AE3710" s="49">
        <f t="shared" si="138"/>
        <v>0.75</v>
      </c>
      <c r="AF3710" s="190">
        <v>1</v>
      </c>
      <c r="AG3710" s="17">
        <v>0</v>
      </c>
      <c r="AH3710" s="190">
        <v>0</v>
      </c>
      <c r="AI3710" s="190">
        <v>0</v>
      </c>
      <c r="AJ3710" s="485">
        <v>13.6</v>
      </c>
      <c r="AK3710" s="493">
        <v>0</v>
      </c>
      <c r="AL3710" s="493">
        <v>0</v>
      </c>
      <c r="AM3710" s="17">
        <f t="shared" si="139"/>
        <v>0</v>
      </c>
      <c r="AN3710" s="162" t="s">
        <v>13766</v>
      </c>
      <c r="AO3710" s="162" t="s">
        <v>13768</v>
      </c>
    </row>
    <row r="3711" spans="1:41" s="162" customFormat="1" x14ac:dyDescent="0.3">
      <c r="A3711" s="205" t="s">
        <v>8321</v>
      </c>
      <c r="B3711" s="162" t="s">
        <v>8322</v>
      </c>
      <c r="C3711" s="168" t="s">
        <v>13277</v>
      </c>
      <c r="D3711" s="162" t="s">
        <v>13278</v>
      </c>
      <c r="E3711" s="168" t="s">
        <v>13279</v>
      </c>
      <c r="F3711" s="162" t="s">
        <v>13280</v>
      </c>
      <c r="G3711" s="168" t="s">
        <v>13340</v>
      </c>
      <c r="H3711" s="162" t="s">
        <v>13341</v>
      </c>
      <c r="K3711" s="168" t="s">
        <v>13342</v>
      </c>
      <c r="L3711" s="162" t="s">
        <v>13343</v>
      </c>
      <c r="M3711" s="162" t="s">
        <v>13971</v>
      </c>
      <c r="N3711" s="162">
        <v>1</v>
      </c>
      <c r="O3711" s="224"/>
      <c r="P3711" s="224">
        <v>2</v>
      </c>
      <c r="Q3711" s="224"/>
      <c r="R3711" s="224"/>
      <c r="S3711" s="224"/>
      <c r="T3711" s="223" t="s">
        <v>13766</v>
      </c>
      <c r="U3711" t="str">
        <f>VLOOKUP(T3711,[8]Votes!$A$1:$E$234,3,FALSE)</f>
        <v>120 National Citizenship and Immigration Control</v>
      </c>
      <c r="V3711" s="162" t="s">
        <v>13972</v>
      </c>
      <c r="W3711" s="416">
        <v>1</v>
      </c>
      <c r="X3711" s="416">
        <v>1</v>
      </c>
      <c r="Y3711" s="416">
        <v>1</v>
      </c>
      <c r="Z3711" s="416">
        <v>1</v>
      </c>
      <c r="AA3711" s="416">
        <v>1</v>
      </c>
      <c r="AB3711" s="416">
        <v>0</v>
      </c>
      <c r="AC3711" s="150">
        <v>0</v>
      </c>
      <c r="AD3711" s="150">
        <v>1</v>
      </c>
      <c r="AE3711" s="49">
        <f t="shared" si="138"/>
        <v>0.75</v>
      </c>
      <c r="AF3711" s="190">
        <v>1</v>
      </c>
      <c r="AG3711" s="17">
        <v>0</v>
      </c>
      <c r="AH3711" s="190">
        <v>0</v>
      </c>
      <c r="AI3711" s="485">
        <v>2.4</v>
      </c>
      <c r="AJ3711" s="190">
        <v>0</v>
      </c>
      <c r="AK3711" s="191">
        <v>0</v>
      </c>
      <c r="AL3711" s="191">
        <v>0</v>
      </c>
      <c r="AM3711" s="17">
        <f t="shared" si="139"/>
        <v>0</v>
      </c>
      <c r="AN3711" s="162" t="s">
        <v>13766</v>
      </c>
      <c r="AO3711" s="162" t="s">
        <v>13768</v>
      </c>
    </row>
    <row r="3712" spans="1:41" s="162" customFormat="1" x14ac:dyDescent="0.3">
      <c r="A3712" s="205" t="s">
        <v>8321</v>
      </c>
      <c r="B3712" s="162" t="s">
        <v>8322</v>
      </c>
      <c r="C3712" s="168" t="s">
        <v>13277</v>
      </c>
      <c r="D3712" s="162" t="s">
        <v>13278</v>
      </c>
      <c r="E3712" s="168" t="s">
        <v>13279</v>
      </c>
      <c r="F3712" s="162" t="s">
        <v>13280</v>
      </c>
      <c r="G3712" s="168" t="s">
        <v>13340</v>
      </c>
      <c r="H3712" s="162" t="s">
        <v>13341</v>
      </c>
      <c r="K3712" s="168" t="s">
        <v>13342</v>
      </c>
      <c r="L3712" s="162" t="s">
        <v>13343</v>
      </c>
      <c r="M3712" s="162" t="s">
        <v>13971</v>
      </c>
      <c r="N3712" s="162">
        <v>2</v>
      </c>
      <c r="O3712" s="224"/>
      <c r="P3712" s="224"/>
      <c r="Q3712" s="224">
        <v>1</v>
      </c>
      <c r="R3712" s="224">
        <v>1</v>
      </c>
      <c r="S3712" s="224"/>
      <c r="T3712" s="223" t="s">
        <v>13766</v>
      </c>
      <c r="U3712" t="str">
        <f>VLOOKUP(T3712,[8]Votes!$A$1:$E$234,3,FALSE)</f>
        <v>120 National Citizenship and Immigration Control</v>
      </c>
      <c r="V3712" s="162" t="s">
        <v>13973</v>
      </c>
      <c r="W3712" s="416">
        <v>1</v>
      </c>
      <c r="X3712" s="416">
        <v>1</v>
      </c>
      <c r="Y3712" s="416">
        <v>1</v>
      </c>
      <c r="Z3712" s="416">
        <v>1</v>
      </c>
      <c r="AA3712" s="416">
        <v>1</v>
      </c>
      <c r="AB3712" s="416">
        <v>0</v>
      </c>
      <c r="AC3712" s="150">
        <v>0</v>
      </c>
      <c r="AD3712" s="150">
        <v>1</v>
      </c>
      <c r="AE3712" s="49">
        <f t="shared" si="138"/>
        <v>0.75</v>
      </c>
      <c r="AF3712" s="190">
        <v>1</v>
      </c>
      <c r="AG3712" s="17">
        <v>0</v>
      </c>
      <c r="AH3712" s="190">
        <v>0</v>
      </c>
      <c r="AI3712" s="190">
        <v>0</v>
      </c>
      <c r="AJ3712" s="485">
        <v>1.8</v>
      </c>
      <c r="AK3712" s="493">
        <v>0</v>
      </c>
      <c r="AL3712" s="191">
        <v>0</v>
      </c>
      <c r="AM3712" s="17">
        <f t="shared" si="139"/>
        <v>0</v>
      </c>
      <c r="AN3712" s="162" t="s">
        <v>13766</v>
      </c>
      <c r="AO3712" s="162" t="s">
        <v>13768</v>
      </c>
    </row>
    <row r="3713" spans="1:41" s="162" customFormat="1" x14ac:dyDescent="0.3">
      <c r="A3713" s="205" t="s">
        <v>8321</v>
      </c>
      <c r="B3713" s="162" t="s">
        <v>8322</v>
      </c>
      <c r="C3713" s="168" t="s">
        <v>13277</v>
      </c>
      <c r="D3713" s="162" t="s">
        <v>13278</v>
      </c>
      <c r="E3713" s="168" t="s">
        <v>13279</v>
      </c>
      <c r="F3713" s="162" t="s">
        <v>13280</v>
      </c>
      <c r="G3713" s="168" t="s">
        <v>13340</v>
      </c>
      <c r="H3713" s="162" t="s">
        <v>13341</v>
      </c>
      <c r="K3713" s="168" t="s">
        <v>13342</v>
      </c>
      <c r="L3713" s="162" t="s">
        <v>13343</v>
      </c>
      <c r="M3713" s="162" t="s">
        <v>13974</v>
      </c>
      <c r="N3713" s="162">
        <v>593</v>
      </c>
      <c r="O3713" s="224"/>
      <c r="P3713" s="224">
        <v>988</v>
      </c>
      <c r="Q3713" s="224">
        <v>988</v>
      </c>
      <c r="R3713" s="224">
        <v>988</v>
      </c>
      <c r="S3713" s="224">
        <v>988</v>
      </c>
      <c r="T3713" s="223" t="s">
        <v>13975</v>
      </c>
      <c r="U3713" t="e">
        <f>VLOOKUP(T3713,[8]Votes!$A$1:$E$234,3,FALSE)</f>
        <v>#N/A</v>
      </c>
      <c r="V3713" s="162" t="s">
        <v>13976</v>
      </c>
      <c r="W3713" s="416">
        <v>1</v>
      </c>
      <c r="X3713" s="416">
        <v>1</v>
      </c>
      <c r="Y3713" s="416">
        <v>1</v>
      </c>
      <c r="Z3713" s="416">
        <v>1</v>
      </c>
      <c r="AA3713" s="416">
        <v>1</v>
      </c>
      <c r="AB3713" s="416">
        <v>0</v>
      </c>
      <c r="AC3713" s="150">
        <v>0</v>
      </c>
      <c r="AD3713" s="150">
        <v>1</v>
      </c>
      <c r="AE3713" s="49">
        <f t="shared" si="138"/>
        <v>0.75</v>
      </c>
      <c r="AF3713" s="190">
        <v>1</v>
      </c>
      <c r="AG3713" s="17">
        <v>0</v>
      </c>
      <c r="AH3713" s="190">
        <v>0</v>
      </c>
      <c r="AI3713" s="485">
        <v>41.49</v>
      </c>
      <c r="AJ3713" s="485">
        <v>41.49</v>
      </c>
      <c r="AK3713" s="493">
        <v>0</v>
      </c>
      <c r="AL3713" s="493">
        <v>0</v>
      </c>
      <c r="AM3713" s="17">
        <f t="shared" si="139"/>
        <v>0</v>
      </c>
      <c r="AN3713" s="162" t="s">
        <v>13766</v>
      </c>
      <c r="AO3713" s="162" t="s">
        <v>13768</v>
      </c>
    </row>
    <row r="3714" spans="1:41" s="162" customFormat="1" x14ac:dyDescent="0.3">
      <c r="A3714" s="205" t="s">
        <v>8321</v>
      </c>
      <c r="B3714" s="162" t="s">
        <v>8322</v>
      </c>
      <c r="C3714" s="168" t="s">
        <v>13277</v>
      </c>
      <c r="D3714" s="162" t="s">
        <v>13278</v>
      </c>
      <c r="E3714" s="168" t="s">
        <v>13279</v>
      </c>
      <c r="F3714" s="162" t="s">
        <v>13280</v>
      </c>
      <c r="G3714" s="168" t="s">
        <v>13340</v>
      </c>
      <c r="H3714" s="162" t="s">
        <v>13341</v>
      </c>
      <c r="I3714" s="162" t="s">
        <v>13977</v>
      </c>
      <c r="J3714" s="162" t="s">
        <v>13978</v>
      </c>
      <c r="K3714" s="168">
        <v>16110301</v>
      </c>
      <c r="L3714" s="162" t="s">
        <v>13343</v>
      </c>
      <c r="M3714" s="162" t="s">
        <v>13979</v>
      </c>
      <c r="O3714" s="224">
        <v>800</v>
      </c>
      <c r="P3714" s="224">
        <v>800</v>
      </c>
      <c r="Q3714" s="224">
        <v>800</v>
      </c>
      <c r="R3714" s="224">
        <v>800</v>
      </c>
      <c r="S3714" s="224">
        <v>800</v>
      </c>
      <c r="T3714" s="223" t="s">
        <v>180</v>
      </c>
      <c r="U3714" t="str">
        <f>VLOOKUP(T3714,[8]Votes!$A$1:$E$234,3,FALSE)</f>
        <v>145 Uganda Prisons</v>
      </c>
      <c r="V3714" s="162" t="s">
        <v>13980</v>
      </c>
      <c r="W3714" s="416">
        <v>1</v>
      </c>
      <c r="X3714" s="416">
        <v>1</v>
      </c>
      <c r="Y3714" s="416">
        <v>1</v>
      </c>
      <c r="Z3714" s="416">
        <v>1</v>
      </c>
      <c r="AA3714" s="416">
        <v>1</v>
      </c>
      <c r="AB3714" s="416">
        <v>0</v>
      </c>
      <c r="AC3714" s="150">
        <v>0</v>
      </c>
      <c r="AD3714" s="150">
        <v>1</v>
      </c>
      <c r="AE3714" s="49">
        <f t="shared" si="138"/>
        <v>0.75</v>
      </c>
      <c r="AF3714" s="190">
        <v>1</v>
      </c>
      <c r="AG3714" s="17">
        <v>0</v>
      </c>
      <c r="AH3714" s="485">
        <v>0.32</v>
      </c>
      <c r="AI3714" s="485">
        <v>0.32</v>
      </c>
      <c r="AJ3714" s="485">
        <v>0.32</v>
      </c>
      <c r="AK3714" s="493">
        <v>0.32</v>
      </c>
      <c r="AL3714" s="493">
        <v>0.32</v>
      </c>
      <c r="AM3714" s="17">
        <f t="shared" si="139"/>
        <v>0.64</v>
      </c>
      <c r="AN3714" s="162" t="s">
        <v>180</v>
      </c>
      <c r="AO3714" s="162" t="s">
        <v>182</v>
      </c>
    </row>
    <row r="3715" spans="1:41" s="162" customFormat="1" x14ac:dyDescent="0.3">
      <c r="A3715" s="205" t="s">
        <v>8321</v>
      </c>
      <c r="B3715" s="162" t="s">
        <v>8322</v>
      </c>
      <c r="C3715" s="168" t="s">
        <v>13277</v>
      </c>
      <c r="D3715" s="162" t="s">
        <v>13278</v>
      </c>
      <c r="E3715" s="168" t="s">
        <v>13279</v>
      </c>
      <c r="F3715" s="162" t="s">
        <v>13280</v>
      </c>
      <c r="G3715" s="168" t="s">
        <v>13340</v>
      </c>
      <c r="H3715" s="162" t="s">
        <v>13341</v>
      </c>
      <c r="K3715" s="168" t="s">
        <v>13342</v>
      </c>
      <c r="L3715" s="162" t="s">
        <v>13343</v>
      </c>
      <c r="M3715" s="162" t="s">
        <v>13981</v>
      </c>
      <c r="O3715" s="224"/>
      <c r="P3715" s="224"/>
      <c r="Q3715" s="224"/>
      <c r="R3715" s="224"/>
      <c r="S3715" s="224"/>
      <c r="T3715" s="223" t="s">
        <v>4825</v>
      </c>
      <c r="U3715" t="str">
        <f>VLOOKUP(T3715,[8]Votes!$A$1:$E$234,3,FALSE)</f>
        <v>004 Ministry of Defence and Veteran Affairs</v>
      </c>
      <c r="V3715" s="162" t="s">
        <v>13982</v>
      </c>
      <c r="W3715" s="416">
        <v>1</v>
      </c>
      <c r="X3715" s="416">
        <v>1</v>
      </c>
      <c r="Y3715" s="416">
        <v>1</v>
      </c>
      <c r="Z3715" s="416">
        <v>1</v>
      </c>
      <c r="AA3715" s="416">
        <v>1</v>
      </c>
      <c r="AB3715" s="416">
        <v>1</v>
      </c>
      <c r="AC3715" s="150">
        <v>1</v>
      </c>
      <c r="AD3715" s="150">
        <v>0</v>
      </c>
      <c r="AE3715" s="49">
        <f t="shared" si="138"/>
        <v>0.875</v>
      </c>
      <c r="AF3715" s="190">
        <v>1</v>
      </c>
      <c r="AG3715" s="17">
        <v>0</v>
      </c>
      <c r="AH3715" s="190">
        <v>0</v>
      </c>
      <c r="AI3715" s="485">
        <v>616.32799999999997</v>
      </c>
      <c r="AJ3715" s="485">
        <v>640.84400000000005</v>
      </c>
      <c r="AK3715" s="493">
        <v>0</v>
      </c>
      <c r="AL3715" s="493">
        <v>0</v>
      </c>
      <c r="AM3715" s="17">
        <f t="shared" si="139"/>
        <v>0</v>
      </c>
      <c r="AN3715" s="162" t="s">
        <v>4825</v>
      </c>
      <c r="AO3715" s="162" t="s">
        <v>5931</v>
      </c>
    </row>
    <row r="3716" spans="1:41" s="162" customFormat="1" x14ac:dyDescent="0.3">
      <c r="A3716" s="205" t="s">
        <v>8321</v>
      </c>
      <c r="B3716" s="162" t="s">
        <v>8322</v>
      </c>
      <c r="C3716" s="168" t="s">
        <v>13277</v>
      </c>
      <c r="D3716" s="162" t="s">
        <v>13278</v>
      </c>
      <c r="E3716" s="168" t="s">
        <v>13279</v>
      </c>
      <c r="F3716" s="162" t="s">
        <v>13280</v>
      </c>
      <c r="G3716" s="168" t="s">
        <v>13340</v>
      </c>
      <c r="H3716" s="162" t="s">
        <v>13341</v>
      </c>
      <c r="K3716" s="168" t="s">
        <v>13342</v>
      </c>
      <c r="L3716" s="162" t="s">
        <v>13343</v>
      </c>
      <c r="M3716" s="162" t="s">
        <v>13983</v>
      </c>
      <c r="O3716" s="224">
        <v>100</v>
      </c>
      <c r="P3716" s="224">
        <v>100</v>
      </c>
      <c r="Q3716" s="224">
        <v>100</v>
      </c>
      <c r="R3716" s="224">
        <v>100</v>
      </c>
      <c r="S3716" s="224">
        <v>100</v>
      </c>
      <c r="T3716" s="223" t="s">
        <v>13984</v>
      </c>
      <c r="U3716" t="e">
        <f>VLOOKUP(T3716,[8]Votes!$A$1:$E$234,3,FALSE)</f>
        <v>#N/A</v>
      </c>
      <c r="V3716" s="162" t="s">
        <v>13985</v>
      </c>
      <c r="W3716" s="416">
        <v>1</v>
      </c>
      <c r="X3716" s="416">
        <v>1</v>
      </c>
      <c r="Y3716" s="416">
        <v>1</v>
      </c>
      <c r="Z3716" s="416">
        <v>1</v>
      </c>
      <c r="AA3716" s="416">
        <v>1</v>
      </c>
      <c r="AB3716" s="416">
        <v>0</v>
      </c>
      <c r="AC3716" s="150">
        <v>1</v>
      </c>
      <c r="AD3716" s="150">
        <v>0</v>
      </c>
      <c r="AE3716" s="49">
        <f t="shared" si="138"/>
        <v>0.75</v>
      </c>
      <c r="AF3716" s="190">
        <v>1</v>
      </c>
      <c r="AG3716" s="17">
        <v>0</v>
      </c>
      <c r="AH3716" s="190">
        <v>0</v>
      </c>
      <c r="AI3716" s="190">
        <v>0</v>
      </c>
      <c r="AJ3716" s="190">
        <v>0</v>
      </c>
      <c r="AK3716" s="191">
        <v>15.56</v>
      </c>
      <c r="AL3716" s="191">
        <v>0</v>
      </c>
      <c r="AM3716" s="17">
        <f t="shared" si="139"/>
        <v>15.56</v>
      </c>
      <c r="AN3716" s="162" t="s">
        <v>4825</v>
      </c>
      <c r="AO3716" s="162" t="s">
        <v>5931</v>
      </c>
    </row>
    <row r="3717" spans="1:41" s="162" customFormat="1" x14ac:dyDescent="0.3">
      <c r="A3717" s="205" t="s">
        <v>8321</v>
      </c>
      <c r="B3717" s="162" t="s">
        <v>8322</v>
      </c>
      <c r="C3717" s="168" t="s">
        <v>13277</v>
      </c>
      <c r="D3717" s="162" t="s">
        <v>13278</v>
      </c>
      <c r="E3717" s="168" t="s">
        <v>13279</v>
      </c>
      <c r="F3717" s="162" t="s">
        <v>13280</v>
      </c>
      <c r="G3717" s="168" t="s">
        <v>13340</v>
      </c>
      <c r="H3717" s="162" t="s">
        <v>13341</v>
      </c>
      <c r="K3717" s="168" t="s">
        <v>13342</v>
      </c>
      <c r="L3717" s="162" t="s">
        <v>13343</v>
      </c>
      <c r="M3717" s="162" t="s">
        <v>13986</v>
      </c>
      <c r="O3717" s="224"/>
      <c r="P3717" s="229">
        <v>3000</v>
      </c>
      <c r="Q3717" s="229">
        <v>700</v>
      </c>
      <c r="R3717" s="229">
        <v>700</v>
      </c>
      <c r="S3717" s="229">
        <v>700</v>
      </c>
      <c r="T3717" s="223" t="s">
        <v>13984</v>
      </c>
      <c r="U3717" t="e">
        <f>VLOOKUP(T3717,[8]Votes!$A$1:$E$234,3,FALSE)</f>
        <v>#N/A</v>
      </c>
      <c r="V3717" s="162" t="s">
        <v>13987</v>
      </c>
      <c r="W3717" s="416">
        <v>1</v>
      </c>
      <c r="X3717" s="416">
        <v>1</v>
      </c>
      <c r="Y3717" s="416">
        <v>1</v>
      </c>
      <c r="Z3717" s="416">
        <v>1</v>
      </c>
      <c r="AA3717" s="416">
        <v>1</v>
      </c>
      <c r="AB3717" s="416">
        <v>0</v>
      </c>
      <c r="AC3717" s="150">
        <v>1</v>
      </c>
      <c r="AD3717" s="150">
        <v>0</v>
      </c>
      <c r="AE3717" s="49">
        <f t="shared" si="138"/>
        <v>0.75</v>
      </c>
      <c r="AF3717" s="190">
        <v>1</v>
      </c>
      <c r="AG3717" s="17">
        <v>0</v>
      </c>
      <c r="AH3717" s="190">
        <v>0</v>
      </c>
      <c r="AI3717" s="190">
        <v>0</v>
      </c>
      <c r="AJ3717" s="190">
        <v>0</v>
      </c>
      <c r="AK3717" s="191">
        <v>0</v>
      </c>
      <c r="AL3717" s="191">
        <v>0</v>
      </c>
      <c r="AM3717" s="17">
        <f t="shared" si="139"/>
        <v>0</v>
      </c>
      <c r="AN3717" s="162" t="s">
        <v>4825</v>
      </c>
      <c r="AO3717" s="162" t="s">
        <v>5931</v>
      </c>
    </row>
    <row r="3718" spans="1:41" s="162" customFormat="1" x14ac:dyDescent="0.3">
      <c r="A3718" s="205" t="s">
        <v>8321</v>
      </c>
      <c r="B3718" s="162" t="s">
        <v>8322</v>
      </c>
      <c r="C3718" s="168" t="s">
        <v>13277</v>
      </c>
      <c r="D3718" s="162" t="s">
        <v>13278</v>
      </c>
      <c r="E3718" s="168" t="s">
        <v>13279</v>
      </c>
      <c r="F3718" s="162" t="s">
        <v>13280</v>
      </c>
      <c r="G3718" s="168" t="s">
        <v>13340</v>
      </c>
      <c r="H3718" s="162" t="s">
        <v>13341</v>
      </c>
      <c r="K3718" s="168" t="s">
        <v>13342</v>
      </c>
      <c r="L3718" s="162" t="s">
        <v>13343</v>
      </c>
      <c r="M3718" s="162" t="s">
        <v>13988</v>
      </c>
      <c r="O3718" s="504"/>
      <c r="P3718" s="504">
        <v>30200</v>
      </c>
      <c r="Q3718" s="504">
        <v>32300</v>
      </c>
      <c r="R3718" s="504">
        <v>34600</v>
      </c>
      <c r="S3718" s="504">
        <v>37000</v>
      </c>
      <c r="T3718" s="223" t="s">
        <v>13984</v>
      </c>
      <c r="U3718" t="e">
        <f>VLOOKUP(T3718,[8]Votes!$A$1:$E$234,3,FALSE)</f>
        <v>#N/A</v>
      </c>
      <c r="V3718" s="162" t="s">
        <v>13989</v>
      </c>
      <c r="W3718" s="416">
        <v>1</v>
      </c>
      <c r="X3718" s="416">
        <v>1</v>
      </c>
      <c r="Y3718" s="416">
        <v>1</v>
      </c>
      <c r="Z3718" s="416">
        <v>1</v>
      </c>
      <c r="AA3718" s="416">
        <v>1</v>
      </c>
      <c r="AB3718" s="416">
        <v>0</v>
      </c>
      <c r="AC3718" s="150">
        <v>1</v>
      </c>
      <c r="AD3718" s="150">
        <v>0</v>
      </c>
      <c r="AE3718" s="49">
        <f t="shared" si="138"/>
        <v>0.75</v>
      </c>
      <c r="AF3718" s="190">
        <v>1</v>
      </c>
      <c r="AG3718" s="17">
        <v>0</v>
      </c>
      <c r="AH3718" s="190">
        <v>0</v>
      </c>
      <c r="AI3718" s="190">
        <v>0</v>
      </c>
      <c r="AJ3718" s="190">
        <v>0</v>
      </c>
      <c r="AK3718" s="191">
        <v>8</v>
      </c>
      <c r="AL3718" s="191">
        <v>0</v>
      </c>
      <c r="AM3718" s="17">
        <f t="shared" si="139"/>
        <v>8</v>
      </c>
      <c r="AN3718" s="162" t="s">
        <v>4825</v>
      </c>
      <c r="AO3718" s="162" t="s">
        <v>5931</v>
      </c>
    </row>
    <row r="3719" spans="1:41" s="162" customFormat="1" x14ac:dyDescent="0.3">
      <c r="A3719" s="205" t="s">
        <v>8321</v>
      </c>
      <c r="B3719" s="162" t="s">
        <v>8322</v>
      </c>
      <c r="C3719" s="168" t="s">
        <v>13277</v>
      </c>
      <c r="D3719" s="162" t="s">
        <v>13278</v>
      </c>
      <c r="E3719" s="168" t="s">
        <v>13279</v>
      </c>
      <c r="F3719" s="162" t="s">
        <v>13280</v>
      </c>
      <c r="G3719" s="168" t="s">
        <v>13340</v>
      </c>
      <c r="H3719" s="162" t="s">
        <v>13341</v>
      </c>
      <c r="K3719" s="168" t="s">
        <v>13342</v>
      </c>
      <c r="L3719" s="162" t="s">
        <v>13343</v>
      </c>
      <c r="M3719" s="162" t="s">
        <v>13990</v>
      </c>
      <c r="O3719" s="224"/>
      <c r="P3719" s="224">
        <v>15</v>
      </c>
      <c r="Q3719" s="224">
        <v>2</v>
      </c>
      <c r="R3719" s="224">
        <v>2</v>
      </c>
      <c r="S3719" s="224">
        <v>2</v>
      </c>
      <c r="T3719" s="223" t="s">
        <v>13984</v>
      </c>
      <c r="U3719" t="e">
        <f>VLOOKUP(T3719,[8]Votes!$A$1:$E$234,3,FALSE)</f>
        <v>#N/A</v>
      </c>
      <c r="V3719" s="162" t="s">
        <v>13991</v>
      </c>
      <c r="W3719" s="416">
        <v>1</v>
      </c>
      <c r="X3719" s="416">
        <v>1</v>
      </c>
      <c r="Y3719" s="416">
        <v>1</v>
      </c>
      <c r="Z3719" s="416">
        <v>1</v>
      </c>
      <c r="AA3719" s="416">
        <v>1</v>
      </c>
      <c r="AB3719" s="416">
        <v>0</v>
      </c>
      <c r="AC3719" s="150">
        <v>1</v>
      </c>
      <c r="AD3719" s="150">
        <v>0</v>
      </c>
      <c r="AE3719" s="49">
        <f t="shared" si="138"/>
        <v>0.75</v>
      </c>
      <c r="AF3719" s="190">
        <v>1</v>
      </c>
      <c r="AG3719" s="17">
        <v>0</v>
      </c>
      <c r="AH3719" s="190">
        <v>0</v>
      </c>
      <c r="AI3719" s="190">
        <v>0</v>
      </c>
      <c r="AJ3719" s="190">
        <v>0</v>
      </c>
      <c r="AK3719" s="191">
        <v>0</v>
      </c>
      <c r="AL3719" s="191">
        <v>0</v>
      </c>
      <c r="AM3719" s="17">
        <f t="shared" si="139"/>
        <v>0</v>
      </c>
      <c r="AN3719" s="162" t="s">
        <v>4825</v>
      </c>
      <c r="AO3719" s="162" t="s">
        <v>5931</v>
      </c>
    </row>
    <row r="3720" spans="1:41" s="162" customFormat="1" x14ac:dyDescent="0.3">
      <c r="A3720" s="205" t="s">
        <v>8321</v>
      </c>
      <c r="B3720" s="162" t="s">
        <v>8322</v>
      </c>
      <c r="C3720" s="168" t="s">
        <v>13277</v>
      </c>
      <c r="D3720" s="162" t="s">
        <v>13278</v>
      </c>
      <c r="E3720" s="168" t="s">
        <v>13279</v>
      </c>
      <c r="F3720" s="162" t="s">
        <v>13280</v>
      </c>
      <c r="G3720" s="168" t="s">
        <v>13340</v>
      </c>
      <c r="H3720" s="162" t="s">
        <v>13341</v>
      </c>
      <c r="K3720" s="168" t="s">
        <v>13342</v>
      </c>
      <c r="L3720" s="162" t="s">
        <v>13343</v>
      </c>
      <c r="M3720" s="162" t="s">
        <v>13992</v>
      </c>
      <c r="O3720" s="504">
        <v>40874</v>
      </c>
      <c r="P3720" s="504">
        <v>40900</v>
      </c>
      <c r="Q3720" s="504">
        <v>41300</v>
      </c>
      <c r="R3720" s="504">
        <v>41700</v>
      </c>
      <c r="S3720" s="504">
        <v>42100</v>
      </c>
      <c r="T3720" s="223" t="s">
        <v>4825</v>
      </c>
      <c r="U3720" t="str">
        <f>VLOOKUP(T3720,[8]Votes!$A$1:$E$234,3,FALSE)</f>
        <v>004 Ministry of Defence and Veteran Affairs</v>
      </c>
      <c r="V3720" s="162" t="s">
        <v>13993</v>
      </c>
      <c r="W3720" s="416">
        <v>1</v>
      </c>
      <c r="X3720" s="416">
        <v>1</v>
      </c>
      <c r="Y3720" s="416">
        <v>1</v>
      </c>
      <c r="Z3720" s="416">
        <v>1</v>
      </c>
      <c r="AA3720" s="416">
        <v>1</v>
      </c>
      <c r="AB3720" s="416">
        <v>0</v>
      </c>
      <c r="AC3720" s="150">
        <v>1</v>
      </c>
      <c r="AD3720" s="150">
        <v>0</v>
      </c>
      <c r="AE3720" s="49">
        <f t="shared" si="138"/>
        <v>0.75</v>
      </c>
      <c r="AF3720" s="190">
        <v>1</v>
      </c>
      <c r="AG3720" s="17">
        <v>0</v>
      </c>
      <c r="AH3720" s="190">
        <v>0</v>
      </c>
      <c r="AI3720" s="190">
        <v>0</v>
      </c>
      <c r="AJ3720" s="190">
        <v>0</v>
      </c>
      <c r="AK3720" s="191">
        <v>0</v>
      </c>
      <c r="AL3720" s="191">
        <v>0</v>
      </c>
      <c r="AM3720" s="17">
        <f t="shared" si="139"/>
        <v>0</v>
      </c>
      <c r="AN3720" s="162" t="s">
        <v>4825</v>
      </c>
      <c r="AO3720" s="162" t="s">
        <v>5931</v>
      </c>
    </row>
    <row r="3721" spans="1:41" s="162" customFormat="1" x14ac:dyDescent="0.3">
      <c r="A3721" s="205" t="s">
        <v>8321</v>
      </c>
      <c r="B3721" s="162" t="s">
        <v>8322</v>
      </c>
      <c r="C3721" s="168" t="s">
        <v>13277</v>
      </c>
      <c r="D3721" s="162" t="s">
        <v>13278</v>
      </c>
      <c r="E3721" s="168" t="s">
        <v>13279</v>
      </c>
      <c r="F3721" s="162" t="s">
        <v>13280</v>
      </c>
      <c r="G3721" s="168" t="s">
        <v>13340</v>
      </c>
      <c r="H3721" s="162" t="s">
        <v>13341</v>
      </c>
      <c r="K3721" s="168">
        <v>16110302</v>
      </c>
      <c r="L3721" s="162" t="s">
        <v>13906</v>
      </c>
      <c r="M3721" s="162" t="s">
        <v>13994</v>
      </c>
      <c r="O3721" s="229">
        <v>12</v>
      </c>
      <c r="P3721" s="229">
        <v>12</v>
      </c>
      <c r="Q3721" s="229">
        <v>12</v>
      </c>
      <c r="R3721" s="229">
        <v>12</v>
      </c>
      <c r="S3721" s="229">
        <v>12</v>
      </c>
      <c r="T3721" s="223" t="s">
        <v>1233</v>
      </c>
      <c r="U3721" t="str">
        <f>VLOOKUP(T3721,[8]Votes!$A$1:$E$234,3,FALSE)</f>
        <v>006 Ministry of Foreign Affairs</v>
      </c>
      <c r="V3721" s="162" t="s">
        <v>13995</v>
      </c>
      <c r="W3721" s="416">
        <v>1</v>
      </c>
      <c r="X3721" s="416">
        <v>1</v>
      </c>
      <c r="Y3721" s="416">
        <v>1</v>
      </c>
      <c r="Z3721" s="416">
        <v>1</v>
      </c>
      <c r="AA3721" s="416">
        <v>1</v>
      </c>
      <c r="AB3721" s="416">
        <v>0</v>
      </c>
      <c r="AC3721" s="150">
        <v>1</v>
      </c>
      <c r="AD3721" s="150">
        <v>0</v>
      </c>
      <c r="AE3721" s="49">
        <f t="shared" si="138"/>
        <v>0.75</v>
      </c>
      <c r="AF3721" s="190">
        <v>1</v>
      </c>
      <c r="AG3721" s="17">
        <v>0</v>
      </c>
      <c r="AH3721" s="485">
        <v>0.5</v>
      </c>
      <c r="AI3721" s="485">
        <v>0.5</v>
      </c>
      <c r="AJ3721" s="485">
        <v>0.5</v>
      </c>
      <c r="AK3721" s="493">
        <v>0.5</v>
      </c>
      <c r="AL3721" s="493">
        <v>0.5</v>
      </c>
      <c r="AM3721" s="17">
        <f t="shared" si="139"/>
        <v>1</v>
      </c>
      <c r="AN3721" s="162" t="s">
        <v>1233</v>
      </c>
      <c r="AO3721" s="162" t="s">
        <v>1650</v>
      </c>
    </row>
    <row r="3722" spans="1:41" s="162" customFormat="1" x14ac:dyDescent="0.3">
      <c r="A3722" s="205" t="s">
        <v>8321</v>
      </c>
      <c r="B3722" s="162" t="s">
        <v>8322</v>
      </c>
      <c r="C3722" s="168" t="s">
        <v>13277</v>
      </c>
      <c r="D3722" s="162" t="s">
        <v>13278</v>
      </c>
      <c r="E3722" s="168" t="s">
        <v>13279</v>
      </c>
      <c r="F3722" s="162" t="s">
        <v>13280</v>
      </c>
      <c r="G3722" s="168" t="s">
        <v>13340</v>
      </c>
      <c r="H3722" s="162" t="s">
        <v>13341</v>
      </c>
      <c r="K3722" s="168">
        <v>16110303</v>
      </c>
      <c r="L3722" s="162" t="s">
        <v>13996</v>
      </c>
      <c r="M3722" s="162" t="s">
        <v>13997</v>
      </c>
      <c r="O3722" s="229">
        <v>21</v>
      </c>
      <c r="P3722" s="229">
        <v>22</v>
      </c>
      <c r="Q3722" s="229">
        <v>23</v>
      </c>
      <c r="R3722" s="229">
        <v>24</v>
      </c>
      <c r="S3722" s="229">
        <v>25</v>
      </c>
      <c r="T3722" s="223" t="s">
        <v>1233</v>
      </c>
      <c r="U3722" t="str">
        <f>VLOOKUP(T3722,[8]Votes!$A$1:$E$234,3,FALSE)</f>
        <v>006 Ministry of Foreign Affairs</v>
      </c>
      <c r="V3722" s="162" t="s">
        <v>13998</v>
      </c>
      <c r="W3722" s="416">
        <v>1</v>
      </c>
      <c r="X3722" s="416">
        <v>1</v>
      </c>
      <c r="Y3722" s="416">
        <v>1</v>
      </c>
      <c r="Z3722" s="416">
        <v>1</v>
      </c>
      <c r="AA3722" s="416">
        <v>1</v>
      </c>
      <c r="AB3722" s="416">
        <v>0</v>
      </c>
      <c r="AC3722" s="150">
        <v>1</v>
      </c>
      <c r="AD3722" s="150">
        <v>0</v>
      </c>
      <c r="AE3722" s="49">
        <f t="shared" si="138"/>
        <v>0.75</v>
      </c>
      <c r="AF3722" s="190">
        <v>1</v>
      </c>
      <c r="AG3722" s="17">
        <v>0</v>
      </c>
      <c r="AH3722" s="485">
        <v>0.2</v>
      </c>
      <c r="AI3722" s="485">
        <v>0.2</v>
      </c>
      <c r="AJ3722" s="485">
        <v>0.2</v>
      </c>
      <c r="AK3722" s="493">
        <v>0.2</v>
      </c>
      <c r="AL3722" s="493">
        <v>0.2</v>
      </c>
      <c r="AM3722" s="17">
        <f t="shared" si="139"/>
        <v>0.4</v>
      </c>
      <c r="AN3722" s="162" t="s">
        <v>1233</v>
      </c>
      <c r="AO3722" s="162" t="s">
        <v>1650</v>
      </c>
    </row>
    <row r="3723" spans="1:41" s="162" customFormat="1" x14ac:dyDescent="0.3">
      <c r="A3723" s="205" t="s">
        <v>8321</v>
      </c>
      <c r="B3723" s="162" t="s">
        <v>8322</v>
      </c>
      <c r="C3723" s="168" t="s">
        <v>13277</v>
      </c>
      <c r="D3723" s="162" t="s">
        <v>13278</v>
      </c>
      <c r="E3723" s="168" t="s">
        <v>13279</v>
      </c>
      <c r="F3723" s="162" t="s">
        <v>13280</v>
      </c>
      <c r="G3723" s="168" t="s">
        <v>13340</v>
      </c>
      <c r="H3723" s="162" t="s">
        <v>13341</v>
      </c>
      <c r="K3723" s="168">
        <v>16110304</v>
      </c>
      <c r="L3723" s="162" t="s">
        <v>13999</v>
      </c>
      <c r="M3723" s="162" t="s">
        <v>14000</v>
      </c>
      <c r="O3723" s="229">
        <v>325</v>
      </c>
      <c r="P3723" s="229">
        <v>350</v>
      </c>
      <c r="Q3723" s="229">
        <v>370</v>
      </c>
      <c r="R3723" s="229">
        <v>400</v>
      </c>
      <c r="S3723" s="229">
        <v>420</v>
      </c>
      <c r="T3723" s="223" t="s">
        <v>1233</v>
      </c>
      <c r="U3723" t="str">
        <f>VLOOKUP(T3723,[8]Votes!$A$1:$E$234,3,FALSE)</f>
        <v>006 Ministry of Foreign Affairs</v>
      </c>
      <c r="V3723" s="162" t="s">
        <v>14001</v>
      </c>
      <c r="W3723" s="416">
        <v>1</v>
      </c>
      <c r="X3723" s="416">
        <v>1</v>
      </c>
      <c r="Y3723" s="416">
        <v>1</v>
      </c>
      <c r="Z3723" s="416">
        <v>1</v>
      </c>
      <c r="AA3723" s="416">
        <v>1</v>
      </c>
      <c r="AB3723" s="416">
        <v>0</v>
      </c>
      <c r="AC3723" s="150">
        <v>1</v>
      </c>
      <c r="AD3723" s="150">
        <v>0</v>
      </c>
      <c r="AE3723" s="49">
        <f t="shared" si="138"/>
        <v>0.75</v>
      </c>
      <c r="AF3723" s="190">
        <v>1</v>
      </c>
      <c r="AG3723" s="17">
        <v>0</v>
      </c>
      <c r="AH3723" s="485">
        <v>0.02</v>
      </c>
      <c r="AI3723" s="485">
        <v>0.03</v>
      </c>
      <c r="AJ3723" s="485">
        <v>0.04</v>
      </c>
      <c r="AK3723" s="493">
        <v>0.05</v>
      </c>
      <c r="AL3723" s="493">
        <v>0.06</v>
      </c>
      <c r="AM3723" s="17">
        <f t="shared" si="139"/>
        <v>0.11</v>
      </c>
      <c r="AN3723" s="162" t="s">
        <v>1233</v>
      </c>
      <c r="AO3723" s="162" t="s">
        <v>1650</v>
      </c>
    </row>
    <row r="3724" spans="1:41" s="162" customFormat="1" x14ac:dyDescent="0.3">
      <c r="A3724" s="205" t="s">
        <v>8321</v>
      </c>
      <c r="B3724" s="162" t="s">
        <v>8322</v>
      </c>
      <c r="C3724" s="168" t="s">
        <v>13277</v>
      </c>
      <c r="D3724" s="162" t="s">
        <v>13278</v>
      </c>
      <c r="E3724" s="168" t="s">
        <v>13279</v>
      </c>
      <c r="F3724" s="162" t="s">
        <v>13280</v>
      </c>
      <c r="G3724" s="168" t="s">
        <v>13340</v>
      </c>
      <c r="H3724" s="162" t="s">
        <v>13341</v>
      </c>
      <c r="K3724" s="168">
        <v>16110304</v>
      </c>
      <c r="L3724" s="162" t="s">
        <v>13999</v>
      </c>
      <c r="M3724" s="162" t="s">
        <v>14002</v>
      </c>
      <c r="O3724" s="229">
        <v>2219</v>
      </c>
      <c r="P3724" s="229">
        <v>2300</v>
      </c>
      <c r="Q3724" s="229">
        <v>2400</v>
      </c>
      <c r="R3724" s="229">
        <v>2500</v>
      </c>
      <c r="S3724" s="229">
        <v>2600</v>
      </c>
      <c r="T3724" s="223" t="s">
        <v>1233</v>
      </c>
      <c r="U3724" t="str">
        <f>VLOOKUP(T3724,[8]Votes!$A$1:$E$234,3,FALSE)</f>
        <v>006 Ministry of Foreign Affairs</v>
      </c>
      <c r="V3724" s="162" t="s">
        <v>14003</v>
      </c>
      <c r="W3724" s="416">
        <v>1</v>
      </c>
      <c r="X3724" s="416">
        <v>1</v>
      </c>
      <c r="Y3724" s="416">
        <v>1</v>
      </c>
      <c r="Z3724" s="416">
        <v>1</v>
      </c>
      <c r="AA3724" s="416">
        <v>1</v>
      </c>
      <c r="AB3724" s="416">
        <v>0</v>
      </c>
      <c r="AC3724" s="150">
        <v>1</v>
      </c>
      <c r="AD3724" s="150">
        <v>0</v>
      </c>
      <c r="AE3724" s="49">
        <f t="shared" si="138"/>
        <v>0.75</v>
      </c>
      <c r="AF3724" s="190">
        <v>1</v>
      </c>
      <c r="AG3724" s="17">
        <v>0</v>
      </c>
      <c r="AH3724" s="190">
        <v>0</v>
      </c>
      <c r="AI3724" s="190">
        <v>0</v>
      </c>
      <c r="AJ3724" s="190">
        <v>0</v>
      </c>
      <c r="AK3724" s="191">
        <v>0</v>
      </c>
      <c r="AL3724" s="191">
        <v>0</v>
      </c>
      <c r="AM3724" s="17">
        <f t="shared" si="139"/>
        <v>0</v>
      </c>
      <c r="AN3724" s="162" t="s">
        <v>1233</v>
      </c>
      <c r="AO3724" s="162" t="s">
        <v>1650</v>
      </c>
    </row>
    <row r="3725" spans="1:41" s="162" customFormat="1" x14ac:dyDescent="0.3">
      <c r="A3725" s="205" t="s">
        <v>8321</v>
      </c>
      <c r="B3725" s="162" t="s">
        <v>8322</v>
      </c>
      <c r="C3725" s="168" t="s">
        <v>13277</v>
      </c>
      <c r="D3725" s="162" t="s">
        <v>13278</v>
      </c>
      <c r="E3725" s="168" t="s">
        <v>13279</v>
      </c>
      <c r="F3725" s="162" t="s">
        <v>13280</v>
      </c>
      <c r="G3725" s="168" t="s">
        <v>13340</v>
      </c>
      <c r="H3725" s="162" t="s">
        <v>13341</v>
      </c>
      <c r="K3725" s="168">
        <v>16110304</v>
      </c>
      <c r="L3725" s="162" t="s">
        <v>13999</v>
      </c>
      <c r="M3725" s="162" t="s">
        <v>14004</v>
      </c>
      <c r="O3725" s="229">
        <v>353</v>
      </c>
      <c r="P3725" s="229">
        <v>400</v>
      </c>
      <c r="Q3725" s="229">
        <v>450</v>
      </c>
      <c r="R3725" s="229">
        <v>500</v>
      </c>
      <c r="S3725" s="229">
        <v>550</v>
      </c>
      <c r="T3725" s="223" t="s">
        <v>1233</v>
      </c>
      <c r="U3725" t="str">
        <f>VLOOKUP(T3725,[8]Votes!$A$1:$E$234,3,FALSE)</f>
        <v>006 Ministry of Foreign Affairs</v>
      </c>
      <c r="V3725" s="162" t="s">
        <v>14005</v>
      </c>
      <c r="W3725" s="416">
        <v>1</v>
      </c>
      <c r="X3725" s="416">
        <v>1</v>
      </c>
      <c r="Y3725" s="416">
        <v>1</v>
      </c>
      <c r="Z3725" s="416">
        <v>1</v>
      </c>
      <c r="AA3725" s="416">
        <v>1</v>
      </c>
      <c r="AB3725" s="416">
        <v>0</v>
      </c>
      <c r="AC3725" s="150">
        <v>1</v>
      </c>
      <c r="AD3725" s="150">
        <v>0</v>
      </c>
      <c r="AE3725" s="49">
        <f t="shared" si="138"/>
        <v>0.75</v>
      </c>
      <c r="AF3725" s="190">
        <v>1</v>
      </c>
      <c r="AG3725" s="17">
        <v>0</v>
      </c>
      <c r="AH3725" s="485">
        <v>0.02</v>
      </c>
      <c r="AI3725" s="485">
        <v>0.03</v>
      </c>
      <c r="AJ3725" s="485">
        <v>0.04</v>
      </c>
      <c r="AK3725" s="493">
        <v>0.05</v>
      </c>
      <c r="AL3725" s="493">
        <v>0.06</v>
      </c>
      <c r="AM3725" s="17">
        <f t="shared" si="139"/>
        <v>0.11</v>
      </c>
      <c r="AN3725" s="162" t="s">
        <v>1233</v>
      </c>
      <c r="AO3725" s="162" t="s">
        <v>1650</v>
      </c>
    </row>
    <row r="3726" spans="1:41" s="162" customFormat="1" x14ac:dyDescent="0.3">
      <c r="A3726" s="205" t="s">
        <v>8321</v>
      </c>
      <c r="B3726" s="162" t="s">
        <v>8322</v>
      </c>
      <c r="C3726" s="168" t="s">
        <v>13277</v>
      </c>
      <c r="D3726" s="162" t="s">
        <v>13278</v>
      </c>
      <c r="E3726" s="168" t="s">
        <v>13279</v>
      </c>
      <c r="F3726" s="162" t="s">
        <v>13280</v>
      </c>
      <c r="G3726" s="168" t="s">
        <v>13340</v>
      </c>
      <c r="H3726" s="162" t="s">
        <v>13341</v>
      </c>
      <c r="K3726" s="168">
        <v>16110305</v>
      </c>
      <c r="L3726" s="162" t="s">
        <v>14006</v>
      </c>
      <c r="M3726" s="162" t="s">
        <v>14007</v>
      </c>
      <c r="O3726" s="229">
        <v>25</v>
      </c>
      <c r="P3726" s="229">
        <v>30</v>
      </c>
      <c r="Q3726" s="229">
        <v>32</v>
      </c>
      <c r="R3726" s="229">
        <v>34</v>
      </c>
      <c r="S3726" s="229">
        <v>35</v>
      </c>
      <c r="T3726" s="223" t="s">
        <v>1233</v>
      </c>
      <c r="U3726" t="str">
        <f>VLOOKUP(T3726,[8]Votes!$A$1:$E$234,3,FALSE)</f>
        <v>006 Ministry of Foreign Affairs</v>
      </c>
      <c r="V3726" s="162" t="s">
        <v>14008</v>
      </c>
      <c r="W3726" s="416">
        <v>1</v>
      </c>
      <c r="X3726" s="416">
        <v>1</v>
      </c>
      <c r="Y3726" s="416">
        <v>1</v>
      </c>
      <c r="Z3726" s="416">
        <v>1</v>
      </c>
      <c r="AA3726" s="416">
        <v>1</v>
      </c>
      <c r="AB3726" s="416">
        <v>0</v>
      </c>
      <c r="AC3726" s="150">
        <v>1</v>
      </c>
      <c r="AD3726" s="150">
        <v>0</v>
      </c>
      <c r="AE3726" s="49">
        <f t="shared" si="138"/>
        <v>0.75</v>
      </c>
      <c r="AF3726" s="190">
        <v>1</v>
      </c>
      <c r="AG3726" s="17">
        <v>0</v>
      </c>
      <c r="AH3726" s="485">
        <v>3.2000000000000001E-2</v>
      </c>
      <c r="AI3726" s="485">
        <v>3.2000000000000001E-2</v>
      </c>
      <c r="AJ3726" s="485">
        <v>3.2000000000000001E-2</v>
      </c>
      <c r="AK3726" s="493">
        <v>3.2000000000000001E-2</v>
      </c>
      <c r="AL3726" s="493">
        <v>3.2000000000000001E-2</v>
      </c>
      <c r="AM3726" s="17">
        <f t="shared" si="139"/>
        <v>6.4000000000000001E-2</v>
      </c>
      <c r="AN3726" s="162" t="s">
        <v>1233</v>
      </c>
      <c r="AO3726" s="162" t="s">
        <v>1650</v>
      </c>
    </row>
    <row r="3727" spans="1:41" s="162" customFormat="1" x14ac:dyDescent="0.3">
      <c r="A3727" s="205" t="s">
        <v>8321</v>
      </c>
      <c r="B3727" s="162" t="s">
        <v>8322</v>
      </c>
      <c r="C3727" s="168" t="s">
        <v>13277</v>
      </c>
      <c r="D3727" s="162" t="s">
        <v>13278</v>
      </c>
      <c r="E3727" s="168" t="s">
        <v>13279</v>
      </c>
      <c r="F3727" s="162" t="s">
        <v>13280</v>
      </c>
      <c r="G3727" s="168" t="s">
        <v>13340</v>
      </c>
      <c r="H3727" s="162" t="s">
        <v>13341</v>
      </c>
      <c r="K3727" s="168">
        <v>16110306</v>
      </c>
      <c r="L3727" s="162" t="s">
        <v>14009</v>
      </c>
      <c r="M3727" s="162" t="s">
        <v>14010</v>
      </c>
      <c r="O3727" s="229">
        <v>434</v>
      </c>
      <c r="P3727" s="229">
        <v>460</v>
      </c>
      <c r="Q3727" s="229">
        <v>480</v>
      </c>
      <c r="R3727" s="229">
        <v>500</v>
      </c>
      <c r="S3727" s="229">
        <v>520</v>
      </c>
      <c r="T3727" s="223" t="s">
        <v>1233</v>
      </c>
      <c r="U3727" t="str">
        <f>VLOOKUP(T3727,[8]Votes!$A$1:$E$234,3,FALSE)</f>
        <v>006 Ministry of Foreign Affairs</v>
      </c>
      <c r="V3727" s="162" t="s">
        <v>14011</v>
      </c>
      <c r="W3727" s="416">
        <v>1</v>
      </c>
      <c r="X3727" s="416">
        <v>1</v>
      </c>
      <c r="Y3727" s="416">
        <v>1</v>
      </c>
      <c r="Z3727" s="416">
        <v>1</v>
      </c>
      <c r="AA3727" s="416">
        <v>1</v>
      </c>
      <c r="AB3727" s="416">
        <v>0</v>
      </c>
      <c r="AC3727" s="150">
        <v>1</v>
      </c>
      <c r="AD3727" s="150">
        <v>0</v>
      </c>
      <c r="AE3727" s="49">
        <f t="shared" si="138"/>
        <v>0.75</v>
      </c>
      <c r="AF3727" s="190">
        <v>1</v>
      </c>
      <c r="AG3727" s="17">
        <v>0</v>
      </c>
      <c r="AH3727" s="485">
        <v>0.02</v>
      </c>
      <c r="AI3727" s="485">
        <v>0.03</v>
      </c>
      <c r="AJ3727" s="485">
        <v>0.04</v>
      </c>
      <c r="AK3727" s="493">
        <v>0.05</v>
      </c>
      <c r="AL3727" s="493">
        <v>0.06</v>
      </c>
      <c r="AM3727" s="17">
        <f t="shared" si="139"/>
        <v>0.11</v>
      </c>
      <c r="AN3727" s="162" t="s">
        <v>1233</v>
      </c>
      <c r="AO3727" s="162" t="s">
        <v>1650</v>
      </c>
    </row>
    <row r="3728" spans="1:41" s="162" customFormat="1" x14ac:dyDescent="0.3">
      <c r="A3728" s="205" t="s">
        <v>8321</v>
      </c>
      <c r="B3728" s="162" t="s">
        <v>8322</v>
      </c>
      <c r="C3728" s="168" t="s">
        <v>13277</v>
      </c>
      <c r="D3728" s="162" t="s">
        <v>13278</v>
      </c>
      <c r="E3728" s="168" t="s">
        <v>13279</v>
      </c>
      <c r="F3728" s="162" t="s">
        <v>13280</v>
      </c>
      <c r="G3728" s="168" t="s">
        <v>14012</v>
      </c>
      <c r="H3728" s="162" t="s">
        <v>14013</v>
      </c>
      <c r="K3728" s="162">
        <v>16111501</v>
      </c>
      <c r="L3728" s="162" t="s">
        <v>14014</v>
      </c>
      <c r="M3728" s="162" t="s">
        <v>14015</v>
      </c>
      <c r="O3728" s="224"/>
      <c r="P3728" s="224"/>
      <c r="Q3728" s="224"/>
      <c r="R3728" s="224"/>
      <c r="S3728" s="224"/>
      <c r="T3728" s="223" t="s">
        <v>4825</v>
      </c>
      <c r="U3728" t="str">
        <f>VLOOKUP(T3728,[8]Votes!$A$1:$E$234,3,FALSE)</f>
        <v>004 Ministry of Defence and Veteran Affairs</v>
      </c>
      <c r="V3728" s="162" t="s">
        <v>14016</v>
      </c>
      <c r="W3728" s="416">
        <v>1</v>
      </c>
      <c r="X3728" s="416">
        <v>1</v>
      </c>
      <c r="Y3728" s="416">
        <v>1</v>
      </c>
      <c r="Z3728" s="416">
        <v>1</v>
      </c>
      <c r="AA3728" s="416">
        <v>1</v>
      </c>
      <c r="AB3728" s="416">
        <v>0</v>
      </c>
      <c r="AC3728" s="150">
        <v>1</v>
      </c>
      <c r="AD3728" s="150">
        <v>0</v>
      </c>
      <c r="AE3728" s="49">
        <f t="shared" si="138"/>
        <v>0.75</v>
      </c>
      <c r="AF3728" s="190">
        <v>1</v>
      </c>
      <c r="AG3728" s="17">
        <v>0</v>
      </c>
      <c r="AH3728" s="485">
        <v>9</v>
      </c>
      <c r="AI3728" s="485">
        <v>10</v>
      </c>
      <c r="AJ3728" s="485">
        <v>10.3</v>
      </c>
      <c r="AK3728" s="493">
        <v>2</v>
      </c>
      <c r="AL3728" s="493">
        <v>10.92</v>
      </c>
      <c r="AM3728" s="17">
        <f t="shared" si="139"/>
        <v>12.92</v>
      </c>
      <c r="AN3728" s="162" t="s">
        <v>4825</v>
      </c>
      <c r="AO3728" s="162" t="s">
        <v>5931</v>
      </c>
    </row>
    <row r="3729" spans="1:42" s="162" customFormat="1" x14ac:dyDescent="0.3">
      <c r="A3729" s="205" t="s">
        <v>8321</v>
      </c>
      <c r="B3729" s="162" t="s">
        <v>8322</v>
      </c>
      <c r="C3729" s="168" t="s">
        <v>13277</v>
      </c>
      <c r="D3729" s="162" t="s">
        <v>13278</v>
      </c>
      <c r="E3729" s="168" t="s">
        <v>13279</v>
      </c>
      <c r="F3729" s="162" t="s">
        <v>13280</v>
      </c>
      <c r="G3729" s="168" t="s">
        <v>14012</v>
      </c>
      <c r="H3729" s="162" t="s">
        <v>14013</v>
      </c>
      <c r="K3729" s="162">
        <v>16111501</v>
      </c>
      <c r="L3729" s="162" t="s">
        <v>14014</v>
      </c>
      <c r="M3729" s="162" t="s">
        <v>14017</v>
      </c>
      <c r="O3729" s="224"/>
      <c r="P3729" s="224"/>
      <c r="Q3729" s="224"/>
      <c r="R3729" s="224"/>
      <c r="S3729" s="224"/>
      <c r="T3729" s="223" t="s">
        <v>4825</v>
      </c>
      <c r="U3729" t="str">
        <f>VLOOKUP(T3729,[8]Votes!$A$1:$E$234,3,FALSE)</f>
        <v>004 Ministry of Defence and Veteran Affairs</v>
      </c>
      <c r="V3729" s="162" t="s">
        <v>14018</v>
      </c>
      <c r="W3729" s="416">
        <v>1</v>
      </c>
      <c r="X3729" s="416">
        <v>1</v>
      </c>
      <c r="Y3729" s="416">
        <v>1</v>
      </c>
      <c r="Z3729" s="416">
        <v>1</v>
      </c>
      <c r="AA3729" s="416">
        <v>1</v>
      </c>
      <c r="AB3729" s="416">
        <v>0</v>
      </c>
      <c r="AC3729" s="150">
        <v>1</v>
      </c>
      <c r="AD3729" s="150">
        <v>0</v>
      </c>
      <c r="AE3729" s="49">
        <f t="shared" si="138"/>
        <v>0.75</v>
      </c>
      <c r="AF3729" s="190">
        <v>1</v>
      </c>
      <c r="AG3729" s="17">
        <v>0</v>
      </c>
      <c r="AH3729" s="190">
        <v>0</v>
      </c>
      <c r="AI3729" s="190">
        <v>0</v>
      </c>
      <c r="AJ3729" s="190">
        <v>0</v>
      </c>
      <c r="AK3729" s="191">
        <v>5.6180000000000003</v>
      </c>
      <c r="AL3729" s="191">
        <v>0</v>
      </c>
      <c r="AM3729" s="17">
        <f t="shared" si="139"/>
        <v>5.6180000000000003</v>
      </c>
      <c r="AN3729" s="162" t="s">
        <v>4825</v>
      </c>
      <c r="AO3729" s="162" t="s">
        <v>5931</v>
      </c>
    </row>
    <row r="3730" spans="1:42" s="162" customFormat="1" x14ac:dyDescent="0.3">
      <c r="A3730" s="205" t="s">
        <v>8321</v>
      </c>
      <c r="B3730" s="162" t="s">
        <v>8322</v>
      </c>
      <c r="C3730" s="168" t="s">
        <v>13277</v>
      </c>
      <c r="D3730" s="162" t="s">
        <v>13278</v>
      </c>
      <c r="E3730" s="168" t="s">
        <v>13279</v>
      </c>
      <c r="F3730" s="162" t="s">
        <v>13280</v>
      </c>
      <c r="G3730" s="168" t="s">
        <v>14012</v>
      </c>
      <c r="H3730" s="162" t="s">
        <v>14013</v>
      </c>
      <c r="K3730" s="162">
        <v>16111502</v>
      </c>
      <c r="L3730" s="162" t="s">
        <v>14019</v>
      </c>
      <c r="M3730" s="162" t="s">
        <v>14020</v>
      </c>
      <c r="O3730" s="224" t="s">
        <v>14021</v>
      </c>
      <c r="P3730" s="224" t="s">
        <v>14022</v>
      </c>
      <c r="Q3730" s="224" t="s">
        <v>14023</v>
      </c>
      <c r="R3730" s="224" t="s">
        <v>14023</v>
      </c>
      <c r="S3730" s="224" t="s">
        <v>14023</v>
      </c>
      <c r="T3730" s="223" t="s">
        <v>180</v>
      </c>
      <c r="U3730" t="str">
        <f>VLOOKUP(T3730,[8]Votes!$A$1:$E$234,3,FALSE)</f>
        <v>145 Uganda Prisons</v>
      </c>
      <c r="V3730" s="162" t="s">
        <v>14024</v>
      </c>
      <c r="W3730" s="416">
        <v>1</v>
      </c>
      <c r="X3730" s="416">
        <v>1</v>
      </c>
      <c r="Y3730" s="416">
        <v>0</v>
      </c>
      <c r="Z3730" s="416">
        <v>1</v>
      </c>
      <c r="AA3730" s="416">
        <v>1</v>
      </c>
      <c r="AB3730" s="416">
        <v>1</v>
      </c>
      <c r="AC3730" s="150">
        <v>1</v>
      </c>
      <c r="AD3730" s="150">
        <v>1</v>
      </c>
      <c r="AE3730" s="49">
        <f t="shared" si="138"/>
        <v>0.875</v>
      </c>
      <c r="AF3730" s="190"/>
      <c r="AG3730" s="17">
        <v>1</v>
      </c>
      <c r="AH3730" s="485">
        <v>51.29</v>
      </c>
      <c r="AI3730" s="485">
        <v>75.12</v>
      </c>
      <c r="AJ3730" s="485">
        <v>85.3</v>
      </c>
      <c r="AK3730" s="493">
        <v>0</v>
      </c>
      <c r="AL3730" s="493">
        <v>0</v>
      </c>
      <c r="AM3730" s="17">
        <f t="shared" si="139"/>
        <v>0</v>
      </c>
      <c r="AN3730" s="162" t="s">
        <v>180</v>
      </c>
      <c r="AO3730" s="162" t="s">
        <v>182</v>
      </c>
    </row>
    <row r="3731" spans="1:42" s="162" customFormat="1" x14ac:dyDescent="0.3">
      <c r="A3731" s="205" t="s">
        <v>8321</v>
      </c>
      <c r="B3731" s="162" t="s">
        <v>8322</v>
      </c>
      <c r="C3731" s="168" t="s">
        <v>13277</v>
      </c>
      <c r="D3731" s="162" t="s">
        <v>13278</v>
      </c>
      <c r="E3731" s="168" t="s">
        <v>13279</v>
      </c>
      <c r="F3731" s="162" t="s">
        <v>13280</v>
      </c>
      <c r="G3731" s="168" t="s">
        <v>14012</v>
      </c>
      <c r="H3731" s="162" t="s">
        <v>14013</v>
      </c>
      <c r="K3731" s="162">
        <v>16111502</v>
      </c>
      <c r="L3731" s="162" t="s">
        <v>14019</v>
      </c>
      <c r="M3731" s="162" t="s">
        <v>14020</v>
      </c>
      <c r="O3731" s="224" t="s">
        <v>14025</v>
      </c>
      <c r="P3731" s="224" t="s">
        <v>14026</v>
      </c>
      <c r="Q3731" s="224" t="s">
        <v>14027</v>
      </c>
      <c r="R3731" s="224" t="s">
        <v>14028</v>
      </c>
      <c r="S3731" s="224" t="s">
        <v>14028</v>
      </c>
      <c r="T3731" s="223" t="s">
        <v>180</v>
      </c>
      <c r="U3731" t="str">
        <f>VLOOKUP(T3731,[8]Votes!$A$1:$E$234,3,FALSE)</f>
        <v>145 Uganda Prisons</v>
      </c>
      <c r="V3731" s="162" t="s">
        <v>14029</v>
      </c>
      <c r="W3731" s="416">
        <v>1</v>
      </c>
      <c r="X3731" s="416">
        <v>1</v>
      </c>
      <c r="Y3731" s="416">
        <v>1</v>
      </c>
      <c r="Z3731" s="416">
        <v>1</v>
      </c>
      <c r="AA3731" s="416">
        <v>1</v>
      </c>
      <c r="AB3731" s="416">
        <v>0</v>
      </c>
      <c r="AC3731" s="150">
        <v>1</v>
      </c>
      <c r="AD3731" s="150">
        <v>1</v>
      </c>
      <c r="AE3731" s="49">
        <f t="shared" si="138"/>
        <v>0.875</v>
      </c>
      <c r="AF3731" s="190"/>
      <c r="AG3731" s="17">
        <v>1</v>
      </c>
      <c r="AH3731" s="485">
        <v>27.88</v>
      </c>
      <c r="AI3731" s="485">
        <v>62.42</v>
      </c>
      <c r="AJ3731" s="485">
        <v>81.11</v>
      </c>
      <c r="AK3731" s="493">
        <v>0</v>
      </c>
      <c r="AL3731" s="493">
        <v>0</v>
      </c>
      <c r="AM3731" s="17">
        <f t="shared" si="139"/>
        <v>0</v>
      </c>
      <c r="AN3731" s="162" t="s">
        <v>180</v>
      </c>
      <c r="AO3731" s="162" t="s">
        <v>182</v>
      </c>
    </row>
    <row r="3732" spans="1:42" s="162" customFormat="1" x14ac:dyDescent="0.3">
      <c r="A3732" s="205" t="s">
        <v>8321</v>
      </c>
      <c r="B3732" s="162" t="s">
        <v>8322</v>
      </c>
      <c r="C3732" s="168" t="s">
        <v>13277</v>
      </c>
      <c r="D3732" s="162" t="s">
        <v>13278</v>
      </c>
      <c r="E3732" s="168" t="s">
        <v>13279</v>
      </c>
      <c r="F3732" s="162" t="s">
        <v>13280</v>
      </c>
      <c r="G3732" s="168" t="s">
        <v>14012</v>
      </c>
      <c r="H3732" s="162" t="s">
        <v>14013</v>
      </c>
      <c r="K3732" s="162">
        <v>16111502</v>
      </c>
      <c r="L3732" s="162" t="s">
        <v>14019</v>
      </c>
      <c r="M3732" s="162" t="s">
        <v>14020</v>
      </c>
      <c r="O3732" s="224" t="s">
        <v>14030</v>
      </c>
      <c r="P3732" s="224" t="s">
        <v>14031</v>
      </c>
      <c r="Q3732" s="224" t="s">
        <v>14032</v>
      </c>
      <c r="R3732" s="224" t="s">
        <v>14032</v>
      </c>
      <c r="S3732" s="224" t="s">
        <v>14032</v>
      </c>
      <c r="T3732" s="223" t="s">
        <v>180</v>
      </c>
      <c r="U3732" t="str">
        <f>VLOOKUP(T3732,[8]Votes!$A$1:$E$234,3,FALSE)</f>
        <v>145 Uganda Prisons</v>
      </c>
      <c r="V3732" s="162" t="s">
        <v>14033</v>
      </c>
      <c r="W3732" s="416">
        <v>1</v>
      </c>
      <c r="X3732" s="416">
        <v>1</v>
      </c>
      <c r="Y3732" s="416">
        <v>1</v>
      </c>
      <c r="Z3732" s="416">
        <v>1</v>
      </c>
      <c r="AA3732" s="416">
        <v>1</v>
      </c>
      <c r="AB3732" s="416">
        <v>1</v>
      </c>
      <c r="AC3732" s="150">
        <v>0</v>
      </c>
      <c r="AD3732" s="150">
        <v>1</v>
      </c>
      <c r="AE3732" s="49">
        <f t="shared" si="138"/>
        <v>0.875</v>
      </c>
      <c r="AF3732" s="190"/>
      <c r="AG3732" s="17">
        <v>0</v>
      </c>
      <c r="AH3732" s="485">
        <v>18.096</v>
      </c>
      <c r="AI3732" s="485">
        <v>64.69</v>
      </c>
      <c r="AJ3732" s="485">
        <v>74.14</v>
      </c>
      <c r="AK3732" s="493">
        <v>26.12</v>
      </c>
      <c r="AL3732" s="493">
        <v>26.12</v>
      </c>
      <c r="AM3732" s="17">
        <f t="shared" si="139"/>
        <v>52.24</v>
      </c>
      <c r="AN3732" s="162" t="s">
        <v>180</v>
      </c>
      <c r="AO3732" s="162" t="s">
        <v>182</v>
      </c>
    </row>
    <row r="3733" spans="1:42" s="162" customFormat="1" x14ac:dyDescent="0.3">
      <c r="A3733" s="205" t="s">
        <v>8321</v>
      </c>
      <c r="B3733" s="162" t="s">
        <v>8322</v>
      </c>
      <c r="C3733" s="168" t="s">
        <v>13277</v>
      </c>
      <c r="D3733" s="162" t="s">
        <v>13278</v>
      </c>
      <c r="E3733" s="168" t="s">
        <v>13279</v>
      </c>
      <c r="F3733" s="162" t="s">
        <v>13280</v>
      </c>
      <c r="G3733" s="168" t="s">
        <v>14012</v>
      </c>
      <c r="H3733" s="162" t="s">
        <v>14013</v>
      </c>
      <c r="K3733" s="162">
        <v>16111502</v>
      </c>
      <c r="L3733" s="162" t="s">
        <v>14019</v>
      </c>
      <c r="M3733" s="162" t="s">
        <v>14020</v>
      </c>
      <c r="O3733" s="224">
        <v>3</v>
      </c>
      <c r="P3733" s="224">
        <v>3</v>
      </c>
      <c r="Q3733" s="224">
        <v>3</v>
      </c>
      <c r="R3733" s="224">
        <v>2</v>
      </c>
      <c r="S3733" s="224">
        <v>2</v>
      </c>
      <c r="T3733" s="223" t="s">
        <v>180</v>
      </c>
      <c r="U3733" t="str">
        <f>VLOOKUP(T3733,[8]Votes!$A$1:$E$234,3,FALSE)</f>
        <v>145 Uganda Prisons</v>
      </c>
      <c r="V3733" s="162" t="s">
        <v>14034</v>
      </c>
      <c r="W3733" s="416">
        <v>1</v>
      </c>
      <c r="X3733" s="416">
        <v>1</v>
      </c>
      <c r="Y3733" s="416">
        <v>0</v>
      </c>
      <c r="Z3733" s="416">
        <v>1</v>
      </c>
      <c r="AA3733" s="416">
        <v>1</v>
      </c>
      <c r="AB3733" s="416">
        <v>1</v>
      </c>
      <c r="AC3733" s="150">
        <v>0</v>
      </c>
      <c r="AD3733" s="150">
        <v>1</v>
      </c>
      <c r="AE3733" s="49">
        <f t="shared" si="138"/>
        <v>0.75</v>
      </c>
      <c r="AF3733" s="190"/>
      <c r="AG3733" s="17">
        <v>1</v>
      </c>
      <c r="AH3733" s="485">
        <v>15.88</v>
      </c>
      <c r="AI3733" s="485">
        <v>15.88</v>
      </c>
      <c r="AJ3733" s="485">
        <v>15.88</v>
      </c>
      <c r="AK3733" s="493"/>
      <c r="AL3733" s="493"/>
      <c r="AM3733" s="17">
        <f t="shared" si="139"/>
        <v>0</v>
      </c>
      <c r="AN3733" s="162" t="s">
        <v>180</v>
      </c>
      <c r="AO3733" s="162" t="s">
        <v>182</v>
      </c>
    </row>
    <row r="3734" spans="1:42" s="162" customFormat="1" x14ac:dyDescent="0.3">
      <c r="A3734" s="205" t="s">
        <v>8321</v>
      </c>
      <c r="B3734" s="162" t="s">
        <v>8322</v>
      </c>
      <c r="C3734" s="168" t="s">
        <v>13277</v>
      </c>
      <c r="D3734" s="162" t="s">
        <v>13278</v>
      </c>
      <c r="E3734" s="168" t="s">
        <v>13279</v>
      </c>
      <c r="F3734" s="162" t="s">
        <v>13280</v>
      </c>
      <c r="G3734" s="168" t="s">
        <v>13356</v>
      </c>
      <c r="H3734" s="162" t="s">
        <v>13357</v>
      </c>
      <c r="K3734" s="168">
        <v>16110401</v>
      </c>
      <c r="L3734" s="162" t="s">
        <v>13358</v>
      </c>
      <c r="M3734" s="162" t="s">
        <v>14035</v>
      </c>
      <c r="O3734" s="492">
        <v>1</v>
      </c>
      <c r="P3734" s="492">
        <v>1</v>
      </c>
      <c r="Q3734" s="492">
        <v>1</v>
      </c>
      <c r="R3734" s="492">
        <v>1</v>
      </c>
      <c r="S3734" s="492">
        <v>1</v>
      </c>
      <c r="T3734" s="223" t="s">
        <v>13741</v>
      </c>
      <c r="U3734" t="str">
        <f>VLOOKUP(T3734,[8]Votes!$A$1:$E$234,3,FALSE)</f>
        <v>158 Internal Security Organisation</v>
      </c>
      <c r="V3734" s="162" t="s">
        <v>14036</v>
      </c>
      <c r="W3734" s="416">
        <v>1</v>
      </c>
      <c r="X3734" s="416">
        <v>1</v>
      </c>
      <c r="Y3734" s="416">
        <v>1</v>
      </c>
      <c r="Z3734" s="416">
        <v>1</v>
      </c>
      <c r="AA3734" s="416">
        <v>1</v>
      </c>
      <c r="AB3734" s="416">
        <v>0</v>
      </c>
      <c r="AC3734" s="150">
        <v>1</v>
      </c>
      <c r="AD3734" s="150">
        <v>1</v>
      </c>
      <c r="AE3734" s="49">
        <f t="shared" si="138"/>
        <v>0.875</v>
      </c>
      <c r="AF3734" s="190">
        <v>1</v>
      </c>
      <c r="AG3734" s="17">
        <v>0</v>
      </c>
      <c r="AH3734" s="485">
        <v>0.8</v>
      </c>
      <c r="AI3734" s="485">
        <v>0.7</v>
      </c>
      <c r="AJ3734" s="485">
        <v>1.7</v>
      </c>
      <c r="AK3734" s="493">
        <v>0.2</v>
      </c>
      <c r="AL3734" s="493">
        <v>0.2</v>
      </c>
      <c r="AM3734" s="17">
        <f t="shared" si="139"/>
        <v>0.4</v>
      </c>
      <c r="AN3734" s="162" t="s">
        <v>13741</v>
      </c>
      <c r="AO3734" s="162" t="s">
        <v>13742</v>
      </c>
    </row>
    <row r="3735" spans="1:42" s="162" customFormat="1" x14ac:dyDescent="0.3">
      <c r="A3735" s="205" t="s">
        <v>8321</v>
      </c>
      <c r="B3735" s="162" t="s">
        <v>8322</v>
      </c>
      <c r="C3735" s="168" t="s">
        <v>13277</v>
      </c>
      <c r="D3735" s="162" t="s">
        <v>13278</v>
      </c>
      <c r="E3735" s="168" t="s">
        <v>13279</v>
      </c>
      <c r="F3735" s="162" t="s">
        <v>13280</v>
      </c>
      <c r="G3735" s="168" t="s">
        <v>13356</v>
      </c>
      <c r="H3735" s="162" t="s">
        <v>13357</v>
      </c>
      <c r="K3735" s="168">
        <v>16110401</v>
      </c>
      <c r="L3735" s="162" t="s">
        <v>13358</v>
      </c>
      <c r="M3735" s="162" t="s">
        <v>14037</v>
      </c>
      <c r="O3735" s="224"/>
      <c r="P3735" s="224"/>
      <c r="Q3735" s="224">
        <v>70</v>
      </c>
      <c r="R3735" s="224">
        <v>100</v>
      </c>
      <c r="S3735" s="224">
        <v>100</v>
      </c>
      <c r="T3735" s="223" t="s">
        <v>13755</v>
      </c>
      <c r="U3735" t="str">
        <f>VLOOKUP(T3735,[8]Votes!$A$1:$E$234,3,FALSE)</f>
        <v>159 External Security Organisation</v>
      </c>
      <c r="V3735" s="162" t="s">
        <v>14038</v>
      </c>
      <c r="W3735" s="416">
        <v>1</v>
      </c>
      <c r="X3735" s="416">
        <v>1</v>
      </c>
      <c r="Y3735" s="416">
        <v>1</v>
      </c>
      <c r="Z3735" s="416">
        <v>1</v>
      </c>
      <c r="AA3735" s="416">
        <v>1</v>
      </c>
      <c r="AB3735" s="416">
        <v>0</v>
      </c>
      <c r="AC3735" s="150">
        <v>0</v>
      </c>
      <c r="AD3735" s="150">
        <v>1</v>
      </c>
      <c r="AE3735" s="49">
        <f t="shared" si="138"/>
        <v>0.75</v>
      </c>
      <c r="AF3735" s="190">
        <v>1</v>
      </c>
      <c r="AG3735" s="17">
        <v>0</v>
      </c>
      <c r="AH3735" s="190">
        <v>0</v>
      </c>
      <c r="AI3735" s="190">
        <v>0</v>
      </c>
      <c r="AJ3735" s="485">
        <v>1.4</v>
      </c>
      <c r="AK3735" s="493">
        <v>1.4</v>
      </c>
      <c r="AL3735" s="493">
        <v>1.4</v>
      </c>
      <c r="AM3735" s="17">
        <f t="shared" si="139"/>
        <v>2.8</v>
      </c>
      <c r="AN3735" s="162" t="s">
        <v>13755</v>
      </c>
      <c r="AO3735" s="162" t="s">
        <v>13757</v>
      </c>
    </row>
    <row r="3736" spans="1:42" s="162" customFormat="1" x14ac:dyDescent="0.3">
      <c r="A3736" s="205" t="s">
        <v>8321</v>
      </c>
      <c r="B3736" s="162" t="s">
        <v>8322</v>
      </c>
      <c r="C3736" s="168" t="s">
        <v>13277</v>
      </c>
      <c r="D3736" s="162" t="s">
        <v>13278</v>
      </c>
      <c r="E3736" s="168" t="s">
        <v>13279</v>
      </c>
      <c r="F3736" s="162" t="s">
        <v>13280</v>
      </c>
      <c r="G3736" s="168" t="s">
        <v>13356</v>
      </c>
      <c r="H3736" s="162" t="s">
        <v>13357</v>
      </c>
      <c r="K3736" s="168">
        <v>16110401</v>
      </c>
      <c r="L3736" s="162" t="s">
        <v>13358</v>
      </c>
      <c r="M3736" s="162" t="s">
        <v>14039</v>
      </c>
      <c r="O3736" s="224"/>
      <c r="P3736" s="224">
        <v>63</v>
      </c>
      <c r="Q3736" s="224">
        <v>78</v>
      </c>
      <c r="R3736" s="224">
        <v>98</v>
      </c>
      <c r="S3736" s="224">
        <v>122</v>
      </c>
      <c r="T3736" s="223" t="s">
        <v>4825</v>
      </c>
      <c r="U3736" t="str">
        <f>VLOOKUP(T3736,[8]Votes!$A$1:$E$234,3,FALSE)</f>
        <v>004 Ministry of Defence and Veteran Affairs</v>
      </c>
      <c r="V3736" s="162" t="s">
        <v>14040</v>
      </c>
      <c r="W3736" s="416">
        <v>1</v>
      </c>
      <c r="X3736" s="416">
        <v>1</v>
      </c>
      <c r="Y3736" s="416">
        <v>1</v>
      </c>
      <c r="Z3736" s="416">
        <v>1</v>
      </c>
      <c r="AA3736" s="416">
        <v>1</v>
      </c>
      <c r="AB3736" s="416">
        <v>0</v>
      </c>
      <c r="AC3736" s="150">
        <v>0</v>
      </c>
      <c r="AD3736" s="150">
        <v>1</v>
      </c>
      <c r="AE3736" s="49">
        <f t="shared" si="138"/>
        <v>0.75</v>
      </c>
      <c r="AF3736" s="190">
        <v>1</v>
      </c>
      <c r="AG3736" s="17">
        <v>0</v>
      </c>
      <c r="AH3736" s="190">
        <v>0</v>
      </c>
      <c r="AI3736" s="190">
        <v>0</v>
      </c>
      <c r="AJ3736" s="190">
        <v>0</v>
      </c>
      <c r="AK3736" s="191">
        <v>2.0939999999999999</v>
      </c>
      <c r="AL3736" s="191">
        <v>0</v>
      </c>
      <c r="AM3736" s="17">
        <f t="shared" si="139"/>
        <v>2.0939999999999999</v>
      </c>
      <c r="AN3736" s="162" t="s">
        <v>4825</v>
      </c>
      <c r="AO3736" s="162" t="s">
        <v>5931</v>
      </c>
    </row>
    <row r="3737" spans="1:42" s="162" customFormat="1" x14ac:dyDescent="0.3">
      <c r="A3737" s="205" t="s">
        <v>8321</v>
      </c>
      <c r="B3737" s="162" t="s">
        <v>8322</v>
      </c>
      <c r="C3737" s="168" t="s">
        <v>13277</v>
      </c>
      <c r="D3737" s="162" t="s">
        <v>13278</v>
      </c>
      <c r="E3737" s="168" t="s">
        <v>13279</v>
      </c>
      <c r="F3737" s="162" t="s">
        <v>13280</v>
      </c>
      <c r="G3737" s="168" t="s">
        <v>13356</v>
      </c>
      <c r="H3737" s="162" t="s">
        <v>13357</v>
      </c>
      <c r="K3737" s="168">
        <v>16110401</v>
      </c>
      <c r="L3737" s="162" t="s">
        <v>13358</v>
      </c>
      <c r="M3737" s="162" t="s">
        <v>14041</v>
      </c>
      <c r="O3737" s="224"/>
      <c r="P3737" s="224"/>
      <c r="Q3737" s="224"/>
      <c r="R3737" s="224"/>
      <c r="S3737" s="224">
        <v>1</v>
      </c>
      <c r="T3737" s="223" t="s">
        <v>4825</v>
      </c>
      <c r="U3737" t="str">
        <f>VLOOKUP(T3737,[8]Votes!$A$1:$E$234,3,FALSE)</f>
        <v>004 Ministry of Defence and Veteran Affairs</v>
      </c>
      <c r="V3737" s="162" t="s">
        <v>14042</v>
      </c>
      <c r="W3737" s="416">
        <v>1</v>
      </c>
      <c r="X3737" s="416">
        <v>1</v>
      </c>
      <c r="Y3737" s="416">
        <v>1</v>
      </c>
      <c r="Z3737" s="416">
        <v>1</v>
      </c>
      <c r="AA3737" s="416">
        <v>1</v>
      </c>
      <c r="AB3737" s="416">
        <v>0</v>
      </c>
      <c r="AC3737" s="150">
        <v>0</v>
      </c>
      <c r="AD3737" s="150">
        <v>1</v>
      </c>
      <c r="AE3737" s="49">
        <f t="shared" si="138"/>
        <v>0.75</v>
      </c>
      <c r="AF3737" s="190">
        <v>1</v>
      </c>
      <c r="AG3737" s="17">
        <v>0</v>
      </c>
      <c r="AH3737" s="190">
        <v>0</v>
      </c>
      <c r="AI3737" s="190">
        <v>0</v>
      </c>
      <c r="AJ3737" s="190">
        <v>0</v>
      </c>
      <c r="AK3737" s="191">
        <v>0</v>
      </c>
      <c r="AL3737" s="191">
        <v>0</v>
      </c>
      <c r="AM3737" s="17">
        <f t="shared" si="139"/>
        <v>0</v>
      </c>
      <c r="AN3737" s="162" t="s">
        <v>4825</v>
      </c>
      <c r="AO3737" s="162" t="s">
        <v>5931</v>
      </c>
    </row>
    <row r="3738" spans="1:42" s="162" customFormat="1" x14ac:dyDescent="0.3">
      <c r="A3738" s="205" t="s">
        <v>8321</v>
      </c>
      <c r="B3738" s="162" t="s">
        <v>8322</v>
      </c>
      <c r="C3738" s="168" t="s">
        <v>13277</v>
      </c>
      <c r="D3738" s="162" t="s">
        <v>13278</v>
      </c>
      <c r="E3738" s="168" t="s">
        <v>13279</v>
      </c>
      <c r="F3738" s="162" t="s">
        <v>13280</v>
      </c>
      <c r="G3738" s="168" t="s">
        <v>13356</v>
      </c>
      <c r="H3738" s="162" t="s">
        <v>13357</v>
      </c>
      <c r="K3738" s="168">
        <v>16110401</v>
      </c>
      <c r="L3738" s="162" t="s">
        <v>13358</v>
      </c>
      <c r="M3738" s="162" t="s">
        <v>14043</v>
      </c>
      <c r="O3738" s="224"/>
      <c r="P3738" s="229">
        <v>11000</v>
      </c>
      <c r="Q3738" s="229">
        <v>14033</v>
      </c>
      <c r="R3738" s="229">
        <v>10000</v>
      </c>
      <c r="S3738" s="229">
        <v>15000</v>
      </c>
      <c r="T3738" s="223" t="s">
        <v>4825</v>
      </c>
      <c r="U3738" t="str">
        <f>VLOOKUP(T3738,[8]Votes!$A$1:$E$234,3,FALSE)</f>
        <v>004 Ministry of Defence and Veteran Affairs</v>
      </c>
      <c r="V3738" s="162" t="s">
        <v>14044</v>
      </c>
      <c r="W3738" s="416">
        <v>1</v>
      </c>
      <c r="X3738" s="416">
        <v>1</v>
      </c>
      <c r="Y3738" s="416">
        <v>1</v>
      </c>
      <c r="Z3738" s="416">
        <v>1</v>
      </c>
      <c r="AA3738" s="416">
        <v>1</v>
      </c>
      <c r="AB3738" s="416">
        <v>0</v>
      </c>
      <c r="AC3738" s="150">
        <v>0</v>
      </c>
      <c r="AD3738" s="150">
        <v>1</v>
      </c>
      <c r="AE3738" s="49">
        <f t="shared" si="138"/>
        <v>0.75</v>
      </c>
      <c r="AF3738" s="190">
        <v>1</v>
      </c>
      <c r="AG3738" s="17">
        <v>0</v>
      </c>
      <c r="AH3738" s="190">
        <v>0</v>
      </c>
      <c r="AI3738" s="190">
        <v>0</v>
      </c>
      <c r="AJ3738" s="190">
        <v>0</v>
      </c>
      <c r="AK3738" s="191">
        <v>0</v>
      </c>
      <c r="AL3738" s="191">
        <v>0</v>
      </c>
      <c r="AM3738" s="17">
        <f t="shared" si="139"/>
        <v>0</v>
      </c>
      <c r="AN3738" s="162" t="s">
        <v>4825</v>
      </c>
      <c r="AO3738" s="162" t="s">
        <v>5931</v>
      </c>
    </row>
    <row r="3739" spans="1:42" s="162" customFormat="1" x14ac:dyDescent="0.3">
      <c r="A3739" s="205" t="s">
        <v>8321</v>
      </c>
      <c r="B3739" s="162" t="s">
        <v>8322</v>
      </c>
      <c r="C3739" s="168" t="s">
        <v>13277</v>
      </c>
      <c r="D3739" s="162" t="s">
        <v>13278</v>
      </c>
      <c r="E3739" s="168" t="s">
        <v>13279</v>
      </c>
      <c r="F3739" s="162" t="s">
        <v>13280</v>
      </c>
      <c r="G3739" s="168" t="s">
        <v>13356</v>
      </c>
      <c r="H3739" s="162" t="s">
        <v>13357</v>
      </c>
      <c r="K3739" s="168">
        <v>16110401</v>
      </c>
      <c r="L3739" s="162" t="s">
        <v>13358</v>
      </c>
      <c r="M3739" s="162" t="s">
        <v>14045</v>
      </c>
      <c r="O3739" s="224"/>
      <c r="P3739" s="224"/>
      <c r="Q3739" s="226"/>
      <c r="R3739" s="226"/>
      <c r="S3739" s="226"/>
      <c r="T3739" s="223" t="s">
        <v>4825</v>
      </c>
      <c r="U3739" t="str">
        <f>VLOOKUP(T3739,[8]Votes!$A$1:$E$234,3,FALSE)</f>
        <v>004 Ministry of Defence and Veteran Affairs</v>
      </c>
      <c r="V3739" s="162" t="s">
        <v>14046</v>
      </c>
      <c r="W3739" s="416">
        <v>1</v>
      </c>
      <c r="X3739" s="416">
        <v>1</v>
      </c>
      <c r="Y3739" s="416">
        <v>1</v>
      </c>
      <c r="Z3739" s="416">
        <v>1</v>
      </c>
      <c r="AA3739" s="416">
        <v>1</v>
      </c>
      <c r="AB3739" s="416">
        <v>0</v>
      </c>
      <c r="AC3739" s="150">
        <v>0</v>
      </c>
      <c r="AD3739" s="150">
        <v>1</v>
      </c>
      <c r="AE3739" s="49">
        <f t="shared" si="138"/>
        <v>0.75</v>
      </c>
      <c r="AF3739" s="190">
        <v>1</v>
      </c>
      <c r="AG3739" s="17">
        <v>0</v>
      </c>
      <c r="AH3739" s="485">
        <v>90</v>
      </c>
      <c r="AI3739" s="485">
        <v>97</v>
      </c>
      <c r="AJ3739" s="485">
        <v>97</v>
      </c>
      <c r="AK3739" s="493">
        <v>126.93</v>
      </c>
      <c r="AL3739" s="493">
        <v>0</v>
      </c>
      <c r="AM3739" s="17">
        <f t="shared" si="139"/>
        <v>126.93</v>
      </c>
      <c r="AN3739" s="162" t="s">
        <v>4825</v>
      </c>
      <c r="AO3739" s="162" t="s">
        <v>5931</v>
      </c>
    </row>
    <row r="3740" spans="1:42" s="162" customFormat="1" x14ac:dyDescent="0.3">
      <c r="A3740" s="205" t="s">
        <v>8321</v>
      </c>
      <c r="B3740" s="162" t="s">
        <v>8322</v>
      </c>
      <c r="C3740" s="168" t="s">
        <v>13277</v>
      </c>
      <c r="D3740" s="162" t="s">
        <v>13278</v>
      </c>
      <c r="E3740" s="168" t="s">
        <v>13279</v>
      </c>
      <c r="F3740" s="162" t="s">
        <v>13280</v>
      </c>
      <c r="G3740" s="168" t="s">
        <v>13365</v>
      </c>
      <c r="H3740" s="162" t="s">
        <v>13366</v>
      </c>
      <c r="K3740" s="168">
        <v>16110503</v>
      </c>
      <c r="L3740" s="162" t="s">
        <v>14047</v>
      </c>
      <c r="M3740" s="162" t="s">
        <v>14048</v>
      </c>
      <c r="O3740" s="224">
        <v>0</v>
      </c>
      <c r="P3740" s="224">
        <v>2</v>
      </c>
      <c r="Q3740" s="224">
        <v>0</v>
      </c>
      <c r="R3740" s="224">
        <v>1</v>
      </c>
      <c r="S3740" s="224">
        <v>1</v>
      </c>
      <c r="T3740" s="223" t="s">
        <v>13741</v>
      </c>
      <c r="U3740" t="str">
        <f>VLOOKUP(T3740,[8]Votes!$A$1:$E$234,3,FALSE)</f>
        <v>158 Internal Security Organisation</v>
      </c>
      <c r="V3740" s="162" t="s">
        <v>14049</v>
      </c>
      <c r="W3740" s="416">
        <v>1</v>
      </c>
      <c r="X3740" s="416">
        <v>1</v>
      </c>
      <c r="Y3740" s="416">
        <v>1</v>
      </c>
      <c r="Z3740" s="416">
        <v>1</v>
      </c>
      <c r="AA3740" s="416">
        <v>1</v>
      </c>
      <c r="AB3740" s="416">
        <v>0</v>
      </c>
      <c r="AC3740" s="150">
        <v>1</v>
      </c>
      <c r="AD3740" s="150">
        <v>1</v>
      </c>
      <c r="AE3740" s="49">
        <f t="shared" si="138"/>
        <v>0.875</v>
      </c>
      <c r="AF3740" s="190">
        <v>1</v>
      </c>
      <c r="AG3740" s="17">
        <v>0</v>
      </c>
      <c r="AH3740" s="190">
        <v>0</v>
      </c>
      <c r="AI3740" s="485">
        <v>0.5</v>
      </c>
      <c r="AJ3740" s="485">
        <v>1.5</v>
      </c>
      <c r="AK3740" s="493">
        <v>0.5</v>
      </c>
      <c r="AL3740" s="493">
        <v>0.5</v>
      </c>
      <c r="AM3740" s="17">
        <f t="shared" si="139"/>
        <v>1</v>
      </c>
      <c r="AN3740" s="162" t="s">
        <v>13741</v>
      </c>
      <c r="AO3740" s="162" t="s">
        <v>13742</v>
      </c>
    </row>
    <row r="3741" spans="1:42" s="162" customFormat="1" x14ac:dyDescent="0.3">
      <c r="A3741" s="205" t="s">
        <v>8321</v>
      </c>
      <c r="B3741" s="162" t="s">
        <v>8322</v>
      </c>
      <c r="C3741" s="168" t="s">
        <v>13277</v>
      </c>
      <c r="D3741" s="162" t="s">
        <v>13278</v>
      </c>
      <c r="E3741" s="168" t="s">
        <v>13279</v>
      </c>
      <c r="F3741" s="162" t="s">
        <v>13280</v>
      </c>
      <c r="G3741" s="168" t="s">
        <v>13365</v>
      </c>
      <c r="H3741" s="162" t="s">
        <v>13366</v>
      </c>
      <c r="K3741" s="168">
        <v>16110502</v>
      </c>
      <c r="L3741" s="162" t="s">
        <v>13370</v>
      </c>
      <c r="M3741" s="162" t="s">
        <v>14050</v>
      </c>
      <c r="O3741" s="224"/>
      <c r="P3741" s="224"/>
      <c r="Q3741" s="224"/>
      <c r="R3741" s="224"/>
      <c r="S3741" s="224"/>
      <c r="T3741" s="223" t="s">
        <v>13984</v>
      </c>
      <c r="U3741" t="e">
        <f>VLOOKUP(T3741,[8]Votes!$A$1:$E$234,3,FALSE)</f>
        <v>#N/A</v>
      </c>
      <c r="V3741" s="162" t="s">
        <v>14051</v>
      </c>
      <c r="W3741" s="416">
        <v>1</v>
      </c>
      <c r="X3741" s="416">
        <v>1</v>
      </c>
      <c r="Y3741" s="416">
        <v>1</v>
      </c>
      <c r="Z3741" s="416">
        <v>1</v>
      </c>
      <c r="AA3741" s="416">
        <v>1</v>
      </c>
      <c r="AB3741" s="416">
        <v>0</v>
      </c>
      <c r="AC3741" s="150">
        <v>0</v>
      </c>
      <c r="AD3741" s="150">
        <v>1</v>
      </c>
      <c r="AE3741" s="49">
        <f t="shared" si="138"/>
        <v>0.75</v>
      </c>
      <c r="AF3741" s="190">
        <v>1</v>
      </c>
      <c r="AG3741" s="17">
        <v>0</v>
      </c>
      <c r="AH3741" s="190">
        <v>0</v>
      </c>
      <c r="AI3741" s="485">
        <v>7.6</v>
      </c>
      <c r="AJ3741" s="485">
        <v>8.1999999999999993</v>
      </c>
      <c r="AK3741" s="493">
        <v>7.36</v>
      </c>
      <c r="AL3741" s="493">
        <v>9.5</v>
      </c>
      <c r="AM3741" s="17">
        <f t="shared" si="139"/>
        <v>16.86</v>
      </c>
      <c r="AN3741" s="162" t="s">
        <v>4825</v>
      </c>
      <c r="AO3741" s="162" t="s">
        <v>5931</v>
      </c>
    </row>
    <row r="3742" spans="1:42" s="162" customFormat="1" x14ac:dyDescent="0.3">
      <c r="A3742" s="205" t="s">
        <v>8321</v>
      </c>
      <c r="B3742" s="162" t="s">
        <v>8322</v>
      </c>
      <c r="C3742" s="168" t="s">
        <v>13277</v>
      </c>
      <c r="D3742" s="162" t="s">
        <v>13278</v>
      </c>
      <c r="E3742" s="168" t="s">
        <v>13279</v>
      </c>
      <c r="F3742" s="162" t="s">
        <v>13280</v>
      </c>
      <c r="G3742" s="168" t="s">
        <v>13365</v>
      </c>
      <c r="H3742" s="162" t="s">
        <v>13366</v>
      </c>
      <c r="K3742" s="168">
        <v>16110502</v>
      </c>
      <c r="L3742" s="162" t="s">
        <v>13370</v>
      </c>
      <c r="M3742" s="162" t="s">
        <v>13373</v>
      </c>
      <c r="N3742" s="162">
        <v>0</v>
      </c>
      <c r="O3742" s="224">
        <v>0</v>
      </c>
      <c r="P3742" s="224">
        <v>0</v>
      </c>
      <c r="Q3742" s="224">
        <v>0</v>
      </c>
      <c r="R3742" s="503">
        <v>3.6999999999999998E-2</v>
      </c>
      <c r="S3742" s="503">
        <v>4.4400000000000002E-2</v>
      </c>
      <c r="T3742" s="223" t="s">
        <v>13776</v>
      </c>
      <c r="U3742" t="str">
        <f>VLOOKUP(T3742,[8]Votes!$A$1:$E$234,3,FALSE)</f>
        <v>305 Directorate of Government Analytical Laboratory</v>
      </c>
      <c r="V3742" s="162" t="s">
        <v>14052</v>
      </c>
      <c r="W3742" s="416">
        <v>1</v>
      </c>
      <c r="X3742" s="416">
        <v>1</v>
      </c>
      <c r="Y3742" s="416">
        <v>1</v>
      </c>
      <c r="Z3742" s="416">
        <v>1</v>
      </c>
      <c r="AA3742" s="416">
        <v>0</v>
      </c>
      <c r="AB3742" s="416">
        <v>0</v>
      </c>
      <c r="AC3742" s="150">
        <v>1</v>
      </c>
      <c r="AD3742" s="150">
        <v>1</v>
      </c>
      <c r="AE3742" s="49">
        <f t="shared" si="138"/>
        <v>0.75</v>
      </c>
      <c r="AF3742" s="190"/>
      <c r="AG3742" s="17">
        <v>0</v>
      </c>
      <c r="AH3742" s="190">
        <v>0</v>
      </c>
      <c r="AI3742" s="190">
        <v>0</v>
      </c>
      <c r="AJ3742" s="190">
        <v>0</v>
      </c>
      <c r="AK3742" s="493">
        <v>1</v>
      </c>
      <c r="AL3742" s="493">
        <v>1.2</v>
      </c>
      <c r="AM3742" s="17">
        <f t="shared" si="139"/>
        <v>2.2000000000000002</v>
      </c>
      <c r="AN3742" s="162" t="s">
        <v>13776</v>
      </c>
      <c r="AO3742" s="162" t="s">
        <v>13778</v>
      </c>
      <c r="AP3742" s="162" t="s">
        <v>13776</v>
      </c>
    </row>
    <row r="3743" spans="1:42" s="162" customFormat="1" x14ac:dyDescent="0.3">
      <c r="A3743" s="205" t="s">
        <v>8321</v>
      </c>
      <c r="B3743" s="162" t="s">
        <v>8322</v>
      </c>
      <c r="C3743" s="168" t="s">
        <v>13277</v>
      </c>
      <c r="D3743" s="162" t="s">
        <v>13278</v>
      </c>
      <c r="E3743" s="168" t="s">
        <v>13279</v>
      </c>
      <c r="F3743" s="162" t="s">
        <v>13280</v>
      </c>
      <c r="G3743" s="168" t="s">
        <v>13365</v>
      </c>
      <c r="H3743" s="162" t="s">
        <v>13366</v>
      </c>
      <c r="K3743" s="168">
        <v>16110502</v>
      </c>
      <c r="L3743" s="162" t="s">
        <v>13370</v>
      </c>
      <c r="M3743" s="162" t="s">
        <v>13373</v>
      </c>
      <c r="O3743" s="224">
        <v>0</v>
      </c>
      <c r="P3743" s="224">
        <v>1.6</v>
      </c>
      <c r="Q3743" s="224">
        <v>1.6</v>
      </c>
      <c r="R3743" s="224">
        <v>1.6</v>
      </c>
      <c r="S3743" s="224">
        <v>1.6</v>
      </c>
      <c r="T3743" s="223" t="s">
        <v>1446</v>
      </c>
      <c r="U3743" t="str">
        <f>VLOOKUP(T3743,[8]Votes!$A$1:$E$234,3,FALSE)</f>
        <v>141 Uganda Revenue Authority</v>
      </c>
      <c r="V3743" s="162" t="s">
        <v>14053</v>
      </c>
      <c r="W3743" s="416">
        <v>1</v>
      </c>
      <c r="X3743" s="416">
        <v>1</v>
      </c>
      <c r="Y3743" s="416">
        <v>1</v>
      </c>
      <c r="Z3743" s="416">
        <v>1</v>
      </c>
      <c r="AA3743" s="416">
        <v>1</v>
      </c>
      <c r="AB3743" s="416">
        <v>0</v>
      </c>
      <c r="AC3743" s="150">
        <v>0</v>
      </c>
      <c r="AD3743" s="150">
        <v>1</v>
      </c>
      <c r="AE3743" s="49">
        <f t="shared" si="138"/>
        <v>0.75</v>
      </c>
      <c r="AF3743" s="190">
        <v>1</v>
      </c>
      <c r="AG3743" s="17">
        <v>0</v>
      </c>
      <c r="AH3743" s="190">
        <v>0</v>
      </c>
      <c r="AI3743" s="485">
        <v>0.69199999999999995</v>
      </c>
      <c r="AJ3743" s="485">
        <v>0.69199999999999995</v>
      </c>
      <c r="AK3743" s="493">
        <v>0.69199999999999995</v>
      </c>
      <c r="AL3743" s="493">
        <v>0.69199999999999995</v>
      </c>
      <c r="AM3743" s="17">
        <f t="shared" si="139"/>
        <v>1.3839999999999999</v>
      </c>
      <c r="AN3743" s="162" t="s">
        <v>1446</v>
      </c>
      <c r="AO3743" s="162" t="s">
        <v>3715</v>
      </c>
    </row>
    <row r="3744" spans="1:42" s="162" customFormat="1" x14ac:dyDescent="0.3">
      <c r="A3744" s="205" t="s">
        <v>8321</v>
      </c>
      <c r="B3744" s="162" t="s">
        <v>8322</v>
      </c>
      <c r="C3744" s="168" t="s">
        <v>13277</v>
      </c>
      <c r="D3744" s="162" t="s">
        <v>13278</v>
      </c>
      <c r="E3744" s="168" t="s">
        <v>13279</v>
      </c>
      <c r="F3744" s="162" t="s">
        <v>13280</v>
      </c>
      <c r="G3744" s="168" t="s">
        <v>13365</v>
      </c>
      <c r="H3744" s="162" t="s">
        <v>13366</v>
      </c>
      <c r="K3744" s="168">
        <v>16110502</v>
      </c>
      <c r="L3744" s="162" t="s">
        <v>13370</v>
      </c>
      <c r="M3744" s="162" t="s">
        <v>13373</v>
      </c>
      <c r="O3744" s="224"/>
      <c r="P3744" s="224"/>
      <c r="Q3744" s="224"/>
      <c r="R3744" s="224"/>
      <c r="S3744" s="224"/>
      <c r="T3744" s="223" t="s">
        <v>14054</v>
      </c>
      <c r="U3744" t="e">
        <f>VLOOKUP(T3744,[8]Votes!$A$1:$E$234,3,FALSE)</f>
        <v>#N/A</v>
      </c>
      <c r="V3744" s="162" t="s">
        <v>14055</v>
      </c>
      <c r="W3744" s="416">
        <v>1</v>
      </c>
      <c r="X3744" s="416">
        <v>0</v>
      </c>
      <c r="Y3744" s="416">
        <v>0</v>
      </c>
      <c r="Z3744" s="416">
        <v>1</v>
      </c>
      <c r="AA3744" s="416">
        <v>1</v>
      </c>
      <c r="AB3744" s="416">
        <v>0</v>
      </c>
      <c r="AC3744" s="150">
        <v>0</v>
      </c>
      <c r="AD3744" s="150">
        <v>1</v>
      </c>
      <c r="AE3744" s="49">
        <f t="shared" si="138"/>
        <v>0.5</v>
      </c>
      <c r="AF3744" s="190">
        <v>1</v>
      </c>
      <c r="AG3744" s="17">
        <v>0</v>
      </c>
      <c r="AH3744" s="190">
        <v>0</v>
      </c>
      <c r="AI3744" s="190">
        <v>0</v>
      </c>
      <c r="AJ3744" s="190">
        <v>0</v>
      </c>
      <c r="AK3744" s="191">
        <v>0</v>
      </c>
      <c r="AL3744" s="191">
        <v>0</v>
      </c>
      <c r="AM3744" s="17">
        <f t="shared" si="139"/>
        <v>0</v>
      </c>
      <c r="AN3744" s="162" t="s">
        <v>13761</v>
      </c>
      <c r="AO3744" s="162" t="s">
        <v>13763</v>
      </c>
    </row>
    <row r="3745" spans="1:42" s="162" customFormat="1" x14ac:dyDescent="0.3">
      <c r="A3745" s="205" t="s">
        <v>8321</v>
      </c>
      <c r="B3745" s="162" t="s">
        <v>8322</v>
      </c>
      <c r="C3745" s="168" t="s">
        <v>13277</v>
      </c>
      <c r="D3745" s="162" t="s">
        <v>13278</v>
      </c>
      <c r="E3745" s="168" t="s">
        <v>13279</v>
      </c>
      <c r="F3745" s="162" t="s">
        <v>13280</v>
      </c>
      <c r="G3745" s="168" t="s">
        <v>13365</v>
      </c>
      <c r="H3745" s="162" t="s">
        <v>13366</v>
      </c>
      <c r="K3745" s="168">
        <v>16110502</v>
      </c>
      <c r="L3745" s="162" t="s">
        <v>13370</v>
      </c>
      <c r="M3745" s="162" t="s">
        <v>14056</v>
      </c>
      <c r="N3745" s="162">
        <v>0</v>
      </c>
      <c r="O3745" s="224">
        <v>0</v>
      </c>
      <c r="P3745" s="492">
        <v>0</v>
      </c>
      <c r="Q3745" s="492">
        <v>0</v>
      </c>
      <c r="R3745" s="492">
        <v>0.05</v>
      </c>
      <c r="S3745" s="492">
        <v>0.05</v>
      </c>
      <c r="T3745" s="223" t="s">
        <v>13776</v>
      </c>
      <c r="U3745" t="str">
        <f>VLOOKUP(T3745,[8]Votes!$A$1:$E$234,3,FALSE)</f>
        <v>305 Directorate of Government Analytical Laboratory</v>
      </c>
      <c r="V3745" s="162" t="s">
        <v>14057</v>
      </c>
      <c r="W3745" s="416">
        <v>1</v>
      </c>
      <c r="X3745" s="416">
        <v>1</v>
      </c>
      <c r="Y3745" s="416">
        <v>1</v>
      </c>
      <c r="Z3745" s="416">
        <v>1</v>
      </c>
      <c r="AA3745" s="416">
        <v>0</v>
      </c>
      <c r="AB3745" s="416">
        <v>0</v>
      </c>
      <c r="AC3745" s="150">
        <v>0</v>
      </c>
      <c r="AD3745" s="150">
        <v>1</v>
      </c>
      <c r="AE3745" s="49">
        <f t="shared" si="138"/>
        <v>0.625</v>
      </c>
      <c r="AF3745" s="190"/>
      <c r="AG3745" s="17">
        <v>0</v>
      </c>
      <c r="AH3745" s="190">
        <v>0</v>
      </c>
      <c r="AI3745" s="190">
        <v>0</v>
      </c>
      <c r="AJ3745" s="190">
        <v>0</v>
      </c>
      <c r="AK3745" s="493">
        <v>1.2</v>
      </c>
      <c r="AL3745" s="493">
        <v>1.2</v>
      </c>
      <c r="AM3745" s="17">
        <f t="shared" si="139"/>
        <v>2.4</v>
      </c>
      <c r="AN3745" s="162" t="s">
        <v>13776</v>
      </c>
      <c r="AO3745" s="162" t="s">
        <v>13778</v>
      </c>
      <c r="AP3745" s="162" t="s">
        <v>13776</v>
      </c>
    </row>
    <row r="3746" spans="1:42" s="162" customFormat="1" x14ac:dyDescent="0.3">
      <c r="A3746" s="205" t="s">
        <v>8321</v>
      </c>
      <c r="B3746" s="162" t="s">
        <v>8322</v>
      </c>
      <c r="C3746" s="168" t="s">
        <v>13277</v>
      </c>
      <c r="D3746" s="162" t="s">
        <v>13278</v>
      </c>
      <c r="E3746" s="168" t="s">
        <v>13279</v>
      </c>
      <c r="F3746" s="162" t="s">
        <v>13280</v>
      </c>
      <c r="G3746" s="168" t="s">
        <v>13365</v>
      </c>
      <c r="H3746" s="162" t="s">
        <v>13366</v>
      </c>
      <c r="K3746" s="168">
        <v>16110502</v>
      </c>
      <c r="L3746" s="162" t="s">
        <v>13370</v>
      </c>
      <c r="M3746" s="162" t="s">
        <v>14058</v>
      </c>
      <c r="N3746" s="162">
        <v>0</v>
      </c>
      <c r="O3746" s="224">
        <v>0</v>
      </c>
      <c r="P3746" s="224">
        <v>0</v>
      </c>
      <c r="Q3746" s="224">
        <v>0</v>
      </c>
      <c r="R3746" s="224">
        <v>1</v>
      </c>
      <c r="S3746" s="224">
        <v>0</v>
      </c>
      <c r="T3746" s="223" t="s">
        <v>13776</v>
      </c>
      <c r="U3746" t="str">
        <f>VLOOKUP(T3746,[8]Votes!$A$1:$E$234,3,FALSE)</f>
        <v>305 Directorate of Government Analytical Laboratory</v>
      </c>
      <c r="V3746" s="162" t="s">
        <v>14059</v>
      </c>
      <c r="W3746" s="416">
        <v>1</v>
      </c>
      <c r="X3746" s="416">
        <v>1</v>
      </c>
      <c r="Y3746" s="416">
        <v>1</v>
      </c>
      <c r="Z3746" s="416">
        <v>1</v>
      </c>
      <c r="AA3746" s="416">
        <v>0</v>
      </c>
      <c r="AB3746" s="416">
        <v>0</v>
      </c>
      <c r="AC3746" s="150">
        <v>0</v>
      </c>
      <c r="AD3746" s="150">
        <v>1</v>
      </c>
      <c r="AE3746" s="49">
        <f t="shared" si="138"/>
        <v>0.625</v>
      </c>
      <c r="AF3746" s="190"/>
      <c r="AG3746" s="17">
        <v>0</v>
      </c>
      <c r="AH3746" s="190">
        <v>0</v>
      </c>
      <c r="AI3746" s="190">
        <v>0</v>
      </c>
      <c r="AJ3746" s="190">
        <v>0</v>
      </c>
      <c r="AK3746" s="493">
        <v>0.08</v>
      </c>
      <c r="AL3746" s="191">
        <v>0</v>
      </c>
      <c r="AM3746" s="17">
        <f t="shared" si="139"/>
        <v>0.08</v>
      </c>
      <c r="AN3746" s="162" t="s">
        <v>13776</v>
      </c>
      <c r="AO3746" s="162" t="s">
        <v>13778</v>
      </c>
      <c r="AP3746" s="162" t="s">
        <v>13776</v>
      </c>
    </row>
    <row r="3747" spans="1:42" s="162" customFormat="1" x14ac:dyDescent="0.3">
      <c r="A3747" s="205" t="s">
        <v>8321</v>
      </c>
      <c r="B3747" s="162" t="s">
        <v>8322</v>
      </c>
      <c r="C3747" s="168" t="s">
        <v>13277</v>
      </c>
      <c r="D3747" s="162" t="s">
        <v>13278</v>
      </c>
      <c r="E3747" s="168" t="s">
        <v>13279</v>
      </c>
      <c r="F3747" s="162" t="s">
        <v>13280</v>
      </c>
      <c r="G3747" s="168" t="s">
        <v>13365</v>
      </c>
      <c r="H3747" s="162" t="s">
        <v>13366</v>
      </c>
      <c r="K3747" s="168">
        <v>16110502</v>
      </c>
      <c r="L3747" s="162" t="s">
        <v>13370</v>
      </c>
      <c r="M3747" s="162" t="s">
        <v>14060</v>
      </c>
      <c r="N3747" s="162">
        <v>0</v>
      </c>
      <c r="O3747" s="224">
        <v>0</v>
      </c>
      <c r="P3747" s="224">
        <v>0</v>
      </c>
      <c r="Q3747" s="224">
        <v>0</v>
      </c>
      <c r="R3747" s="224">
        <v>1</v>
      </c>
      <c r="S3747" s="224">
        <v>1</v>
      </c>
      <c r="T3747" s="223" t="s">
        <v>13776</v>
      </c>
      <c r="U3747" t="str">
        <f>VLOOKUP(T3747,[8]Votes!$A$1:$E$234,3,FALSE)</f>
        <v>305 Directorate of Government Analytical Laboratory</v>
      </c>
      <c r="V3747" s="162" t="s">
        <v>14061</v>
      </c>
      <c r="W3747" s="416">
        <v>1</v>
      </c>
      <c r="X3747" s="416">
        <v>1</v>
      </c>
      <c r="Y3747" s="416">
        <v>1</v>
      </c>
      <c r="Z3747" s="416">
        <v>1</v>
      </c>
      <c r="AA3747" s="416">
        <v>0</v>
      </c>
      <c r="AB3747" s="416">
        <v>0</v>
      </c>
      <c r="AC3747" s="150">
        <v>0</v>
      </c>
      <c r="AD3747" s="150">
        <v>1</v>
      </c>
      <c r="AE3747" s="49">
        <f t="shared" si="138"/>
        <v>0.625</v>
      </c>
      <c r="AF3747" s="190"/>
      <c r="AG3747" s="17">
        <v>0</v>
      </c>
      <c r="AH3747" s="190">
        <v>0</v>
      </c>
      <c r="AI3747" s="190">
        <v>0</v>
      </c>
      <c r="AJ3747" s="190">
        <v>0</v>
      </c>
      <c r="AK3747" s="493">
        <v>0.18</v>
      </c>
      <c r="AL3747" s="493">
        <v>0.2</v>
      </c>
      <c r="AM3747" s="17">
        <f t="shared" si="139"/>
        <v>0.38</v>
      </c>
      <c r="AN3747" s="162" t="s">
        <v>13776</v>
      </c>
      <c r="AO3747" s="162" t="s">
        <v>13778</v>
      </c>
      <c r="AP3747" s="162" t="s">
        <v>13776</v>
      </c>
    </row>
    <row r="3748" spans="1:42" s="162" customFormat="1" x14ac:dyDescent="0.3">
      <c r="A3748" s="205" t="s">
        <v>8321</v>
      </c>
      <c r="B3748" s="162" t="s">
        <v>8322</v>
      </c>
      <c r="C3748" s="168" t="s">
        <v>13277</v>
      </c>
      <c r="D3748" s="162" t="s">
        <v>13278</v>
      </c>
      <c r="E3748" s="168" t="s">
        <v>13279</v>
      </c>
      <c r="F3748" s="162" t="s">
        <v>13280</v>
      </c>
      <c r="G3748" s="168" t="s">
        <v>13365</v>
      </c>
      <c r="H3748" s="162" t="s">
        <v>13366</v>
      </c>
      <c r="K3748" s="168">
        <v>16110502</v>
      </c>
      <c r="L3748" s="162" t="s">
        <v>13370</v>
      </c>
      <c r="M3748" s="162" t="s">
        <v>14062</v>
      </c>
      <c r="N3748" s="162">
        <v>0</v>
      </c>
      <c r="O3748" s="224">
        <v>0</v>
      </c>
      <c r="P3748" s="224">
        <v>0</v>
      </c>
      <c r="Q3748" s="224">
        <v>0</v>
      </c>
      <c r="R3748" s="224">
        <v>0</v>
      </c>
      <c r="S3748" s="224">
        <v>1</v>
      </c>
      <c r="T3748" s="223" t="s">
        <v>13776</v>
      </c>
      <c r="U3748" t="str">
        <f>VLOOKUP(T3748,[8]Votes!$A$1:$E$234,3,FALSE)</f>
        <v>305 Directorate of Government Analytical Laboratory</v>
      </c>
      <c r="V3748" s="162" t="s">
        <v>14063</v>
      </c>
      <c r="W3748" s="416">
        <v>1</v>
      </c>
      <c r="X3748" s="416">
        <v>1</v>
      </c>
      <c r="Y3748" s="416">
        <v>1</v>
      </c>
      <c r="Z3748" s="416">
        <v>1</v>
      </c>
      <c r="AA3748" s="416">
        <v>0</v>
      </c>
      <c r="AB3748" s="416">
        <v>0</v>
      </c>
      <c r="AC3748" s="150">
        <v>0</v>
      </c>
      <c r="AD3748" s="150">
        <v>1</v>
      </c>
      <c r="AE3748" s="49">
        <f t="shared" si="138"/>
        <v>0.625</v>
      </c>
      <c r="AF3748" s="190"/>
      <c r="AG3748" s="17">
        <v>0</v>
      </c>
      <c r="AH3748" s="190">
        <v>0</v>
      </c>
      <c r="AI3748" s="190">
        <v>0</v>
      </c>
      <c r="AJ3748" s="190">
        <v>0</v>
      </c>
      <c r="AK3748" s="191">
        <v>0</v>
      </c>
      <c r="AL3748" s="493">
        <v>0.2</v>
      </c>
      <c r="AM3748" s="17">
        <f t="shared" si="139"/>
        <v>0.2</v>
      </c>
      <c r="AN3748" s="162" t="s">
        <v>13776</v>
      </c>
      <c r="AO3748" s="162" t="s">
        <v>13778</v>
      </c>
      <c r="AP3748" s="162" t="s">
        <v>13776</v>
      </c>
    </row>
    <row r="3749" spans="1:42" s="162" customFormat="1" x14ac:dyDescent="0.3">
      <c r="A3749" s="205" t="s">
        <v>8321</v>
      </c>
      <c r="B3749" s="162" t="s">
        <v>8322</v>
      </c>
      <c r="C3749" s="168" t="s">
        <v>13277</v>
      </c>
      <c r="D3749" s="162" t="s">
        <v>13278</v>
      </c>
      <c r="E3749" s="168" t="s">
        <v>13279</v>
      </c>
      <c r="F3749" s="162" t="s">
        <v>13280</v>
      </c>
      <c r="G3749" s="168" t="s">
        <v>13365</v>
      </c>
      <c r="H3749" s="162" t="s">
        <v>13366</v>
      </c>
      <c r="K3749" s="168">
        <v>16110502</v>
      </c>
      <c r="L3749" s="162" t="s">
        <v>13370</v>
      </c>
      <c r="M3749" s="162" t="s">
        <v>14064</v>
      </c>
      <c r="N3749" s="162">
        <v>0</v>
      </c>
      <c r="O3749" s="224">
        <v>0</v>
      </c>
      <c r="P3749" s="224">
        <v>0</v>
      </c>
      <c r="Q3749" s="224">
        <v>0</v>
      </c>
      <c r="R3749" s="224">
        <v>3</v>
      </c>
      <c r="S3749" s="224">
        <v>5</v>
      </c>
      <c r="T3749" s="223" t="s">
        <v>13776</v>
      </c>
      <c r="U3749" t="str">
        <f>VLOOKUP(T3749,[8]Votes!$A$1:$E$234,3,FALSE)</f>
        <v>305 Directorate of Government Analytical Laboratory</v>
      </c>
      <c r="V3749" s="162" t="s">
        <v>14065</v>
      </c>
      <c r="W3749" s="416">
        <v>1</v>
      </c>
      <c r="X3749" s="416">
        <v>1</v>
      </c>
      <c r="Y3749" s="416">
        <v>1</v>
      </c>
      <c r="Z3749" s="416">
        <v>1</v>
      </c>
      <c r="AA3749" s="416">
        <v>0</v>
      </c>
      <c r="AB3749" s="416">
        <v>0</v>
      </c>
      <c r="AC3749" s="150">
        <v>0</v>
      </c>
      <c r="AD3749" s="150">
        <v>1</v>
      </c>
      <c r="AE3749" s="49">
        <f t="shared" si="138"/>
        <v>0.625</v>
      </c>
      <c r="AF3749" s="190"/>
      <c r="AG3749" s="17">
        <v>0</v>
      </c>
      <c r="AH3749" s="190">
        <v>0</v>
      </c>
      <c r="AI3749" s="190">
        <v>0</v>
      </c>
      <c r="AJ3749" s="190">
        <v>0</v>
      </c>
      <c r="AK3749" s="493">
        <v>0.82499999999999996</v>
      </c>
      <c r="AL3749" s="493">
        <v>1.375</v>
      </c>
      <c r="AM3749" s="17">
        <f t="shared" si="139"/>
        <v>2.2000000000000002</v>
      </c>
      <c r="AN3749" s="162" t="s">
        <v>13776</v>
      </c>
      <c r="AO3749" s="162" t="s">
        <v>13778</v>
      </c>
      <c r="AP3749" s="162" t="s">
        <v>13776</v>
      </c>
    </row>
    <row r="3750" spans="1:42" s="162" customFormat="1" x14ac:dyDescent="0.3">
      <c r="A3750" s="205" t="s">
        <v>8321</v>
      </c>
      <c r="B3750" s="162" t="s">
        <v>8322</v>
      </c>
      <c r="C3750" s="168" t="s">
        <v>13277</v>
      </c>
      <c r="D3750" s="162" t="s">
        <v>13278</v>
      </c>
      <c r="E3750" s="168" t="s">
        <v>13279</v>
      </c>
      <c r="F3750" s="162" t="s">
        <v>13280</v>
      </c>
      <c r="G3750" s="168" t="s">
        <v>13365</v>
      </c>
      <c r="H3750" s="162" t="s">
        <v>13366</v>
      </c>
      <c r="K3750" s="168">
        <v>16110502</v>
      </c>
      <c r="L3750" s="162" t="s">
        <v>13370</v>
      </c>
      <c r="M3750" s="162" t="s">
        <v>14066</v>
      </c>
      <c r="N3750" s="162">
        <v>0</v>
      </c>
      <c r="O3750" s="224">
        <v>0</v>
      </c>
      <c r="P3750" s="224">
        <v>0</v>
      </c>
      <c r="Q3750" s="224">
        <v>0</v>
      </c>
      <c r="R3750" s="224">
        <v>6</v>
      </c>
      <c r="S3750" s="224">
        <v>6</v>
      </c>
      <c r="T3750" s="223" t="s">
        <v>13776</v>
      </c>
      <c r="U3750" t="str">
        <f>VLOOKUP(T3750,[8]Votes!$A$1:$E$234,3,FALSE)</f>
        <v>305 Directorate of Government Analytical Laboratory</v>
      </c>
      <c r="V3750" s="162" t="s">
        <v>14067</v>
      </c>
      <c r="W3750" s="416">
        <v>1</v>
      </c>
      <c r="X3750" s="416">
        <v>1</v>
      </c>
      <c r="Y3750" s="416">
        <v>1</v>
      </c>
      <c r="Z3750" s="416">
        <v>1</v>
      </c>
      <c r="AA3750" s="416">
        <v>1</v>
      </c>
      <c r="AB3750" s="416">
        <v>0</v>
      </c>
      <c r="AC3750" s="150">
        <v>0</v>
      </c>
      <c r="AD3750" s="150">
        <v>1</v>
      </c>
      <c r="AE3750" s="49">
        <f t="shared" si="138"/>
        <v>0.75</v>
      </c>
      <c r="AF3750" s="190"/>
      <c r="AG3750" s="17">
        <v>0</v>
      </c>
      <c r="AH3750" s="190">
        <v>0</v>
      </c>
      <c r="AI3750" s="190">
        <v>0</v>
      </c>
      <c r="AJ3750" s="190">
        <v>0</v>
      </c>
      <c r="AK3750" s="493">
        <v>0.3</v>
      </c>
      <c r="AL3750" s="493">
        <v>0.32</v>
      </c>
      <c r="AM3750" s="17">
        <f t="shared" si="139"/>
        <v>0.62</v>
      </c>
      <c r="AN3750" s="162" t="s">
        <v>13776</v>
      </c>
      <c r="AO3750" s="162" t="s">
        <v>13778</v>
      </c>
      <c r="AP3750" s="162" t="s">
        <v>13776</v>
      </c>
    </row>
    <row r="3751" spans="1:42" s="162" customFormat="1" x14ac:dyDescent="0.3">
      <c r="A3751" s="205" t="s">
        <v>8321</v>
      </c>
      <c r="B3751" s="162" t="s">
        <v>8322</v>
      </c>
      <c r="C3751" s="168" t="s">
        <v>13277</v>
      </c>
      <c r="D3751" s="162" t="s">
        <v>13278</v>
      </c>
      <c r="E3751" s="168" t="s">
        <v>13279</v>
      </c>
      <c r="F3751" s="162" t="s">
        <v>13280</v>
      </c>
      <c r="G3751" s="168" t="s">
        <v>13365</v>
      </c>
      <c r="H3751" s="162" t="s">
        <v>13366</v>
      </c>
      <c r="K3751" s="168">
        <v>16110503</v>
      </c>
      <c r="L3751" s="162" t="s">
        <v>14068</v>
      </c>
      <c r="M3751" s="162" t="s">
        <v>14069</v>
      </c>
      <c r="O3751" s="224">
        <v>2</v>
      </c>
      <c r="P3751" s="224">
        <v>2</v>
      </c>
      <c r="Q3751" s="224">
        <v>4</v>
      </c>
      <c r="R3751" s="224">
        <v>4</v>
      </c>
      <c r="S3751" s="224">
        <v>5</v>
      </c>
      <c r="T3751" s="223" t="s">
        <v>13761</v>
      </c>
      <c r="U3751" t="str">
        <f>VLOOKUP(T3751,[8]Votes!$A$1:$E$234,3,FALSE)</f>
        <v>129 Financial Intelligence Authority (FIA)</v>
      </c>
      <c r="V3751" s="162" t="s">
        <v>14070</v>
      </c>
      <c r="W3751" s="416">
        <v>1</v>
      </c>
      <c r="X3751" s="416">
        <v>1</v>
      </c>
      <c r="Y3751" s="416">
        <v>1</v>
      </c>
      <c r="Z3751" s="416">
        <v>1</v>
      </c>
      <c r="AA3751" s="416">
        <v>1</v>
      </c>
      <c r="AB3751" s="416">
        <v>1</v>
      </c>
      <c r="AC3751" s="150">
        <v>0</v>
      </c>
      <c r="AD3751" s="150">
        <v>1</v>
      </c>
      <c r="AE3751" s="49">
        <f t="shared" si="138"/>
        <v>0.875</v>
      </c>
      <c r="AF3751" s="190">
        <v>1</v>
      </c>
      <c r="AG3751" s="17">
        <v>0</v>
      </c>
      <c r="AH3751" s="485">
        <v>4</v>
      </c>
      <c r="AI3751" s="485">
        <v>4</v>
      </c>
      <c r="AJ3751" s="485">
        <v>4</v>
      </c>
      <c r="AK3751" s="493">
        <v>4</v>
      </c>
      <c r="AL3751" s="493">
        <v>4</v>
      </c>
      <c r="AM3751" s="17">
        <f t="shared" si="139"/>
        <v>8</v>
      </c>
      <c r="AN3751" s="162" t="s">
        <v>13761</v>
      </c>
      <c r="AO3751" s="162" t="s">
        <v>13763</v>
      </c>
    </row>
    <row r="3752" spans="1:42" s="162" customFormat="1" x14ac:dyDescent="0.3">
      <c r="A3752" s="205" t="s">
        <v>8321</v>
      </c>
      <c r="B3752" s="162" t="s">
        <v>8322</v>
      </c>
      <c r="C3752" s="168" t="s">
        <v>13277</v>
      </c>
      <c r="D3752" s="162" t="s">
        <v>13278</v>
      </c>
      <c r="E3752" s="168" t="s">
        <v>13279</v>
      </c>
      <c r="F3752" s="162" t="s">
        <v>13280</v>
      </c>
      <c r="G3752" s="168" t="s">
        <v>13365</v>
      </c>
      <c r="H3752" s="162" t="s">
        <v>13366</v>
      </c>
      <c r="I3752" s="162" t="s">
        <v>14071</v>
      </c>
      <c r="J3752" s="1" t="s">
        <v>14072</v>
      </c>
      <c r="K3752" s="168">
        <v>16110504</v>
      </c>
      <c r="L3752" s="162" t="s">
        <v>14073</v>
      </c>
      <c r="M3752" s="162" t="s">
        <v>14074</v>
      </c>
      <c r="O3752" s="224">
        <v>5</v>
      </c>
      <c r="P3752" s="224">
        <v>5</v>
      </c>
      <c r="Q3752" s="224">
        <v>5</v>
      </c>
      <c r="R3752" s="224">
        <v>2</v>
      </c>
      <c r="S3752" s="224">
        <v>2</v>
      </c>
      <c r="T3752" s="223" t="s">
        <v>180</v>
      </c>
      <c r="U3752" t="str">
        <f>VLOOKUP(T3752,[8]Votes!$A$1:$E$234,3,FALSE)</f>
        <v>145 Uganda Prisons</v>
      </c>
      <c r="V3752" s="162" t="s">
        <v>14075</v>
      </c>
      <c r="W3752" s="416">
        <v>1</v>
      </c>
      <c r="X3752" s="416">
        <v>1</v>
      </c>
      <c r="Y3752" s="416">
        <v>1</v>
      </c>
      <c r="Z3752" s="416">
        <v>1</v>
      </c>
      <c r="AA3752" s="416">
        <v>1</v>
      </c>
      <c r="AB3752" s="416">
        <v>0</v>
      </c>
      <c r="AC3752" s="150">
        <v>0</v>
      </c>
      <c r="AD3752" s="150">
        <v>1</v>
      </c>
      <c r="AE3752" s="49">
        <f t="shared" si="138"/>
        <v>0.75</v>
      </c>
      <c r="AF3752" s="190">
        <v>1</v>
      </c>
      <c r="AG3752" s="17">
        <v>0</v>
      </c>
      <c r="AH3752" s="485">
        <v>0.28000000000000003</v>
      </c>
      <c r="AI3752" s="485">
        <v>1.25</v>
      </c>
      <c r="AJ3752" s="485">
        <v>1.25</v>
      </c>
      <c r="AK3752" s="493">
        <v>0.25</v>
      </c>
      <c r="AL3752" s="493">
        <v>0.25</v>
      </c>
      <c r="AM3752" s="17">
        <f t="shared" si="139"/>
        <v>0.5</v>
      </c>
      <c r="AN3752" s="162" t="s">
        <v>180</v>
      </c>
      <c r="AO3752" s="162" t="s">
        <v>182</v>
      </c>
    </row>
    <row r="3753" spans="1:42" s="162" customFormat="1" x14ac:dyDescent="0.3">
      <c r="A3753" s="205" t="s">
        <v>8321</v>
      </c>
      <c r="B3753" s="162" t="s">
        <v>8322</v>
      </c>
      <c r="C3753" s="168" t="s">
        <v>13277</v>
      </c>
      <c r="D3753" s="162" t="s">
        <v>13278</v>
      </c>
      <c r="E3753" s="168" t="s">
        <v>13279</v>
      </c>
      <c r="F3753" s="162" t="s">
        <v>13280</v>
      </c>
      <c r="G3753" s="168" t="s">
        <v>13365</v>
      </c>
      <c r="H3753" s="162" t="s">
        <v>13366</v>
      </c>
      <c r="K3753" s="168">
        <v>16110504</v>
      </c>
      <c r="L3753" s="162" t="s">
        <v>14073</v>
      </c>
      <c r="M3753" s="162" t="s">
        <v>14076</v>
      </c>
      <c r="N3753" s="162">
        <v>0</v>
      </c>
      <c r="O3753" s="224">
        <v>0</v>
      </c>
      <c r="P3753" s="224">
        <v>0</v>
      </c>
      <c r="Q3753" s="224">
        <v>0</v>
      </c>
      <c r="R3753" s="224">
        <v>3</v>
      </c>
      <c r="S3753" s="224">
        <v>5</v>
      </c>
      <c r="T3753" s="223" t="s">
        <v>13776</v>
      </c>
      <c r="U3753" t="str">
        <f>VLOOKUP(T3753,[8]Votes!$A$1:$E$234,3,FALSE)</f>
        <v>305 Directorate of Government Analytical Laboratory</v>
      </c>
      <c r="V3753" s="162" t="s">
        <v>14077</v>
      </c>
      <c r="W3753" s="416">
        <v>1</v>
      </c>
      <c r="X3753" s="416">
        <v>1</v>
      </c>
      <c r="Y3753" s="416">
        <v>1</v>
      </c>
      <c r="Z3753" s="416">
        <v>1</v>
      </c>
      <c r="AA3753" s="416">
        <v>0</v>
      </c>
      <c r="AB3753" s="416">
        <v>0</v>
      </c>
      <c r="AC3753" s="150">
        <v>0</v>
      </c>
      <c r="AD3753" s="150">
        <v>1</v>
      </c>
      <c r="AE3753" s="49">
        <f t="shared" si="138"/>
        <v>0.625</v>
      </c>
      <c r="AF3753" s="190">
        <v>1</v>
      </c>
      <c r="AG3753" s="17">
        <v>0</v>
      </c>
      <c r="AH3753" s="190">
        <v>0</v>
      </c>
      <c r="AI3753" s="190">
        <v>0</v>
      </c>
      <c r="AJ3753" s="190">
        <v>0</v>
      </c>
      <c r="AK3753" s="493">
        <v>0.45</v>
      </c>
      <c r="AL3753" s="493">
        <v>0.54</v>
      </c>
      <c r="AM3753" s="17">
        <f t="shared" si="139"/>
        <v>0.99</v>
      </c>
      <c r="AN3753" s="162" t="s">
        <v>13776</v>
      </c>
      <c r="AO3753" s="162" t="s">
        <v>13778</v>
      </c>
      <c r="AP3753" s="162" t="s">
        <v>13776</v>
      </c>
    </row>
    <row r="3754" spans="1:42" s="162" customFormat="1" x14ac:dyDescent="0.3">
      <c r="A3754" s="205" t="s">
        <v>8321</v>
      </c>
      <c r="B3754" s="162" t="s">
        <v>8322</v>
      </c>
      <c r="C3754" s="168" t="s">
        <v>13277</v>
      </c>
      <c r="D3754" s="162" t="s">
        <v>13278</v>
      </c>
      <c r="E3754" s="168" t="s">
        <v>13279</v>
      </c>
      <c r="F3754" s="162" t="s">
        <v>13280</v>
      </c>
      <c r="G3754" s="168" t="s">
        <v>14078</v>
      </c>
      <c r="H3754" s="162" t="s">
        <v>14079</v>
      </c>
      <c r="K3754" s="162">
        <v>16111601</v>
      </c>
      <c r="L3754" s="162" t="s">
        <v>14080</v>
      </c>
      <c r="M3754" s="162" t="s">
        <v>14081</v>
      </c>
      <c r="O3754" s="224"/>
      <c r="P3754" s="224"/>
      <c r="Q3754" s="224">
        <v>1</v>
      </c>
      <c r="R3754" s="224" t="s">
        <v>271</v>
      </c>
      <c r="S3754" s="224" t="s">
        <v>271</v>
      </c>
      <c r="T3754" s="223" t="s">
        <v>1345</v>
      </c>
      <c r="U3754" t="str">
        <f>VLOOKUP(T3754,[8]Votes!$A$1:$E$234,3,FALSE)</f>
        <v>001 Office of the President</v>
      </c>
      <c r="V3754" s="162" t="s">
        <v>14082</v>
      </c>
      <c r="W3754" s="416">
        <v>1</v>
      </c>
      <c r="X3754" s="416">
        <v>1</v>
      </c>
      <c r="Y3754" s="416">
        <v>1</v>
      </c>
      <c r="Z3754" s="416">
        <v>1</v>
      </c>
      <c r="AA3754" s="416">
        <v>1</v>
      </c>
      <c r="AB3754" s="416">
        <v>0</v>
      </c>
      <c r="AC3754" s="150">
        <v>1</v>
      </c>
      <c r="AD3754" s="150">
        <v>1</v>
      </c>
      <c r="AE3754" s="49">
        <f t="shared" si="138"/>
        <v>0.875</v>
      </c>
      <c r="AF3754" s="190">
        <v>1</v>
      </c>
      <c r="AG3754" s="17">
        <v>0</v>
      </c>
      <c r="AH3754" s="190">
        <v>0</v>
      </c>
      <c r="AI3754" s="190">
        <v>0</v>
      </c>
      <c r="AJ3754" s="485">
        <v>1</v>
      </c>
      <c r="AK3754" s="191">
        <v>7</v>
      </c>
      <c r="AL3754" s="191">
        <v>7</v>
      </c>
      <c r="AM3754" s="17">
        <f t="shared" si="139"/>
        <v>14</v>
      </c>
      <c r="AN3754" s="162" t="s">
        <v>1345</v>
      </c>
      <c r="AO3754" s="162" t="s">
        <v>1334</v>
      </c>
    </row>
    <row r="3755" spans="1:42" s="162" customFormat="1" x14ac:dyDescent="0.3">
      <c r="A3755" s="205" t="s">
        <v>8321</v>
      </c>
      <c r="B3755" s="162" t="s">
        <v>8322</v>
      </c>
      <c r="C3755" s="168" t="s">
        <v>13277</v>
      </c>
      <c r="D3755" s="162" t="s">
        <v>13278</v>
      </c>
      <c r="E3755" s="168" t="s">
        <v>13279</v>
      </c>
      <c r="F3755" s="162" t="s">
        <v>13280</v>
      </c>
      <c r="G3755" s="168" t="s">
        <v>14078</v>
      </c>
      <c r="H3755" s="162" t="s">
        <v>14079</v>
      </c>
      <c r="K3755" s="162">
        <v>16111602</v>
      </c>
      <c r="L3755" s="162" t="s">
        <v>14083</v>
      </c>
      <c r="M3755" s="162" t="s">
        <v>14084</v>
      </c>
      <c r="O3755" s="224"/>
      <c r="P3755" s="224"/>
      <c r="Q3755" s="224"/>
      <c r="R3755" s="224">
        <v>20</v>
      </c>
      <c r="S3755" s="224">
        <v>25</v>
      </c>
      <c r="T3755" s="223" t="s">
        <v>1345</v>
      </c>
      <c r="U3755" t="str">
        <f>VLOOKUP(T3755,[8]Votes!$A$1:$E$234,3,FALSE)</f>
        <v>001 Office of the President</v>
      </c>
      <c r="V3755" s="162" t="s">
        <v>14085</v>
      </c>
      <c r="W3755" s="416">
        <v>1</v>
      </c>
      <c r="X3755" s="416">
        <v>1</v>
      </c>
      <c r="Y3755" s="416">
        <v>1</v>
      </c>
      <c r="Z3755" s="416">
        <v>1</v>
      </c>
      <c r="AA3755" s="416">
        <v>1</v>
      </c>
      <c r="AB3755" s="416">
        <v>1</v>
      </c>
      <c r="AC3755" s="150">
        <v>1</v>
      </c>
      <c r="AD3755" s="150">
        <v>0</v>
      </c>
      <c r="AE3755" s="49">
        <f t="shared" si="138"/>
        <v>0.875</v>
      </c>
      <c r="AF3755" s="190">
        <v>1</v>
      </c>
      <c r="AG3755" s="17">
        <v>0</v>
      </c>
      <c r="AH3755" s="190">
        <v>0</v>
      </c>
      <c r="AI3755" s="190">
        <v>0</v>
      </c>
      <c r="AJ3755" s="190">
        <v>0</v>
      </c>
      <c r="AK3755" s="493">
        <v>10</v>
      </c>
      <c r="AL3755" s="493">
        <v>12</v>
      </c>
      <c r="AM3755" s="17">
        <f t="shared" si="139"/>
        <v>22</v>
      </c>
      <c r="AN3755" s="162" t="s">
        <v>1345</v>
      </c>
      <c r="AO3755" s="162" t="s">
        <v>1334</v>
      </c>
    </row>
    <row r="3756" spans="1:42" s="162" customFormat="1" x14ac:dyDescent="0.3">
      <c r="A3756" s="205" t="s">
        <v>8321</v>
      </c>
      <c r="B3756" s="162" t="s">
        <v>8322</v>
      </c>
      <c r="C3756" s="168" t="s">
        <v>13277</v>
      </c>
      <c r="D3756" s="162" t="s">
        <v>13278</v>
      </c>
      <c r="E3756" s="168" t="s">
        <v>13279</v>
      </c>
      <c r="F3756" s="162" t="s">
        <v>13280</v>
      </c>
      <c r="G3756" s="168" t="s">
        <v>14078</v>
      </c>
      <c r="H3756" s="162" t="s">
        <v>14079</v>
      </c>
      <c r="K3756" s="162">
        <v>16111603</v>
      </c>
      <c r="L3756" s="162" t="s">
        <v>14086</v>
      </c>
      <c r="M3756" s="162" t="s">
        <v>14087</v>
      </c>
      <c r="O3756" s="224"/>
      <c r="P3756" s="224">
        <v>5</v>
      </c>
      <c r="Q3756" s="224">
        <v>7</v>
      </c>
      <c r="R3756" s="224">
        <v>9</v>
      </c>
      <c r="S3756" s="224">
        <v>12</v>
      </c>
      <c r="T3756" s="223" t="s">
        <v>14088</v>
      </c>
      <c r="U3756" t="e">
        <f>VLOOKUP(T3756,[8]Votes!$A$1:$E$234,3,FALSE)</f>
        <v>#N/A</v>
      </c>
      <c r="V3756" s="162" t="s">
        <v>14089</v>
      </c>
      <c r="W3756" s="416">
        <v>0</v>
      </c>
      <c r="X3756" s="416">
        <v>0</v>
      </c>
      <c r="Y3756" s="416">
        <v>0</v>
      </c>
      <c r="Z3756" s="416">
        <v>1</v>
      </c>
      <c r="AA3756" s="416">
        <v>1</v>
      </c>
      <c r="AB3756" s="416">
        <v>0</v>
      </c>
      <c r="AC3756" s="150">
        <v>0</v>
      </c>
      <c r="AD3756" s="150">
        <v>0</v>
      </c>
      <c r="AE3756" s="49">
        <f t="shared" si="138"/>
        <v>0.25</v>
      </c>
      <c r="AF3756" s="190">
        <v>0</v>
      </c>
      <c r="AG3756" s="17">
        <v>0</v>
      </c>
      <c r="AH3756" s="190">
        <v>0</v>
      </c>
      <c r="AI3756" s="485">
        <v>0.3</v>
      </c>
      <c r="AJ3756" s="485">
        <v>0.4</v>
      </c>
      <c r="AK3756" s="493">
        <v>0</v>
      </c>
      <c r="AL3756" s="493">
        <v>0</v>
      </c>
      <c r="AM3756" s="17">
        <f t="shared" si="139"/>
        <v>0</v>
      </c>
      <c r="AN3756" s="162" t="s">
        <v>1446</v>
      </c>
      <c r="AO3756" s="162" t="s">
        <v>3715</v>
      </c>
    </row>
    <row r="3757" spans="1:42" s="162" customFormat="1" x14ac:dyDescent="0.3">
      <c r="A3757" s="205" t="s">
        <v>8321</v>
      </c>
      <c r="B3757" s="162" t="s">
        <v>8322</v>
      </c>
      <c r="C3757" s="168" t="s">
        <v>13277</v>
      </c>
      <c r="D3757" s="162" t="s">
        <v>13278</v>
      </c>
      <c r="E3757" s="168" t="s">
        <v>13279</v>
      </c>
      <c r="F3757" s="162" t="s">
        <v>13280</v>
      </c>
      <c r="G3757" s="168" t="s">
        <v>14078</v>
      </c>
      <c r="H3757" s="162" t="s">
        <v>14079</v>
      </c>
      <c r="K3757" s="162">
        <v>16111602</v>
      </c>
      <c r="L3757" s="162" t="s">
        <v>14083</v>
      </c>
      <c r="M3757" s="162" t="s">
        <v>14090</v>
      </c>
      <c r="O3757" s="226" t="s">
        <v>271</v>
      </c>
      <c r="P3757" s="226" t="s">
        <v>271</v>
      </c>
      <c r="Q3757" s="226"/>
      <c r="R3757" s="224">
        <v>100</v>
      </c>
      <c r="S3757" s="224">
        <v>100</v>
      </c>
      <c r="T3757" s="223" t="s">
        <v>1345</v>
      </c>
      <c r="U3757" t="str">
        <f>VLOOKUP(T3757,[8]Votes!$A$1:$E$234,3,FALSE)</f>
        <v>001 Office of the President</v>
      </c>
      <c r="V3757" s="162" t="s">
        <v>14091</v>
      </c>
      <c r="W3757" s="416">
        <v>1</v>
      </c>
      <c r="X3757" s="416">
        <v>0</v>
      </c>
      <c r="Y3757" s="416">
        <v>0</v>
      </c>
      <c r="Z3757" s="416">
        <v>1</v>
      </c>
      <c r="AA3757" s="416">
        <v>1</v>
      </c>
      <c r="AB3757" s="416">
        <v>1</v>
      </c>
      <c r="AC3757" s="150">
        <v>1</v>
      </c>
      <c r="AD3757" s="150">
        <v>1</v>
      </c>
      <c r="AE3757" s="49">
        <f t="shared" si="138"/>
        <v>0.75</v>
      </c>
      <c r="AF3757" s="190">
        <v>1</v>
      </c>
      <c r="AG3757" s="17">
        <v>0</v>
      </c>
      <c r="AH3757" s="190">
        <v>0</v>
      </c>
      <c r="AI3757" s="190">
        <v>0</v>
      </c>
      <c r="AJ3757" s="190">
        <v>0</v>
      </c>
      <c r="AK3757" s="493">
        <v>1.3</v>
      </c>
      <c r="AL3757" s="493">
        <v>1.4</v>
      </c>
      <c r="AM3757" s="17">
        <f t="shared" si="139"/>
        <v>2.7</v>
      </c>
      <c r="AN3757" s="162" t="s">
        <v>1345</v>
      </c>
      <c r="AO3757" s="162" t="s">
        <v>1334</v>
      </c>
    </row>
    <row r="3758" spans="1:42" s="162" customFormat="1" x14ac:dyDescent="0.3">
      <c r="A3758" s="205" t="s">
        <v>8321</v>
      </c>
      <c r="B3758" s="162" t="s">
        <v>8322</v>
      </c>
      <c r="C3758" s="168" t="s">
        <v>13277</v>
      </c>
      <c r="D3758" s="162" t="s">
        <v>13278</v>
      </c>
      <c r="E3758" s="168" t="s">
        <v>13279</v>
      </c>
      <c r="F3758" s="162" t="s">
        <v>13280</v>
      </c>
      <c r="G3758" s="168" t="s">
        <v>13377</v>
      </c>
      <c r="H3758" s="162" t="s">
        <v>13378</v>
      </c>
      <c r="I3758" s="162" t="s">
        <v>14092</v>
      </c>
      <c r="J3758" s="1" t="s">
        <v>14093</v>
      </c>
      <c r="K3758" s="168">
        <v>16110603</v>
      </c>
      <c r="L3758" s="162" t="s">
        <v>14094</v>
      </c>
      <c r="M3758" s="162" t="s">
        <v>14095</v>
      </c>
      <c r="O3758" s="224"/>
      <c r="P3758" s="224">
        <v>2</v>
      </c>
      <c r="Q3758" s="224">
        <v>2</v>
      </c>
      <c r="R3758" s="224">
        <v>1</v>
      </c>
      <c r="S3758" s="224">
        <v>1</v>
      </c>
      <c r="T3758" s="223" t="s">
        <v>180</v>
      </c>
      <c r="U3758" t="str">
        <f>VLOOKUP(T3758,[8]Votes!$A$1:$E$234,3,FALSE)</f>
        <v>145 Uganda Prisons</v>
      </c>
      <c r="V3758" s="162" t="s">
        <v>14096</v>
      </c>
      <c r="W3758" s="416">
        <v>1</v>
      </c>
      <c r="X3758" s="416">
        <v>0</v>
      </c>
      <c r="Y3758" s="416">
        <v>0</v>
      </c>
      <c r="Z3758" s="416">
        <v>1</v>
      </c>
      <c r="AA3758" s="416">
        <v>1</v>
      </c>
      <c r="AB3758" s="416">
        <v>0</v>
      </c>
      <c r="AC3758" s="150">
        <v>0</v>
      </c>
      <c r="AD3758" s="150">
        <v>1</v>
      </c>
      <c r="AE3758" s="49">
        <f t="shared" si="138"/>
        <v>0.5</v>
      </c>
      <c r="AF3758" s="190">
        <v>1</v>
      </c>
      <c r="AG3758" s="17">
        <v>0</v>
      </c>
      <c r="AH3758" s="190">
        <v>0</v>
      </c>
      <c r="AI3758" s="485">
        <v>4</v>
      </c>
      <c r="AJ3758" s="485">
        <v>4</v>
      </c>
      <c r="AK3758" s="493">
        <v>0</v>
      </c>
      <c r="AL3758" s="493">
        <v>0</v>
      </c>
      <c r="AM3758" s="17">
        <f t="shared" si="139"/>
        <v>0</v>
      </c>
      <c r="AN3758" s="162" t="s">
        <v>180</v>
      </c>
      <c r="AO3758" s="162" t="s">
        <v>182</v>
      </c>
    </row>
    <row r="3759" spans="1:42" s="162" customFormat="1" x14ac:dyDescent="0.3">
      <c r="A3759" s="205" t="s">
        <v>8321</v>
      </c>
      <c r="B3759" s="162" t="s">
        <v>8322</v>
      </c>
      <c r="C3759" s="168" t="s">
        <v>13277</v>
      </c>
      <c r="D3759" s="162" t="s">
        <v>13278</v>
      </c>
      <c r="E3759" s="168" t="s">
        <v>13279</v>
      </c>
      <c r="F3759" s="162" t="s">
        <v>13280</v>
      </c>
      <c r="G3759" s="168" t="s">
        <v>13377</v>
      </c>
      <c r="H3759" s="162" t="s">
        <v>13378</v>
      </c>
      <c r="I3759" s="162" t="s">
        <v>14092</v>
      </c>
      <c r="J3759" s="1" t="s">
        <v>14093</v>
      </c>
      <c r="K3759" s="168">
        <v>16110603</v>
      </c>
      <c r="L3759" s="162" t="s">
        <v>14094</v>
      </c>
      <c r="M3759" s="162" t="s">
        <v>14097</v>
      </c>
      <c r="O3759" s="224">
        <v>3</v>
      </c>
      <c r="P3759" s="224">
        <v>3</v>
      </c>
      <c r="Q3759" s="224">
        <v>3</v>
      </c>
      <c r="R3759" s="224">
        <v>2</v>
      </c>
      <c r="S3759" s="224">
        <v>2</v>
      </c>
      <c r="T3759" s="223" t="s">
        <v>180</v>
      </c>
      <c r="U3759" t="str">
        <f>VLOOKUP(T3759,[8]Votes!$A$1:$E$234,3,FALSE)</f>
        <v>145 Uganda Prisons</v>
      </c>
      <c r="V3759" s="162" t="s">
        <v>14098</v>
      </c>
      <c r="W3759" s="416">
        <v>1</v>
      </c>
      <c r="X3759" s="416">
        <v>0</v>
      </c>
      <c r="Y3759" s="416">
        <v>0</v>
      </c>
      <c r="Z3759" s="416">
        <v>1</v>
      </c>
      <c r="AA3759" s="416">
        <v>1</v>
      </c>
      <c r="AB3759" s="416">
        <v>0</v>
      </c>
      <c r="AC3759" s="150">
        <v>0</v>
      </c>
      <c r="AD3759" s="150">
        <v>1</v>
      </c>
      <c r="AE3759" s="49">
        <f t="shared" si="138"/>
        <v>0.5</v>
      </c>
      <c r="AF3759" s="190">
        <v>1</v>
      </c>
      <c r="AG3759" s="17">
        <v>0</v>
      </c>
      <c r="AH3759" s="485">
        <v>4.2370000000000001</v>
      </c>
      <c r="AI3759" s="485">
        <v>5.8479999999999999</v>
      </c>
      <c r="AJ3759" s="485">
        <v>4.1029999999999998</v>
      </c>
      <c r="AK3759" s="493">
        <v>0</v>
      </c>
      <c r="AL3759" s="493">
        <v>0</v>
      </c>
      <c r="AM3759" s="17">
        <f t="shared" si="139"/>
        <v>0</v>
      </c>
      <c r="AN3759" s="162" t="s">
        <v>180</v>
      </c>
      <c r="AO3759" s="162" t="s">
        <v>182</v>
      </c>
    </row>
    <row r="3760" spans="1:42" s="162" customFormat="1" x14ac:dyDescent="0.3">
      <c r="A3760" s="205" t="s">
        <v>8321</v>
      </c>
      <c r="B3760" s="162" t="s">
        <v>8322</v>
      </c>
      <c r="C3760" s="168" t="s">
        <v>13277</v>
      </c>
      <c r="D3760" s="162" t="s">
        <v>13278</v>
      </c>
      <c r="E3760" s="168" t="s">
        <v>13279</v>
      </c>
      <c r="F3760" s="162" t="s">
        <v>13280</v>
      </c>
      <c r="G3760" s="168" t="s">
        <v>13377</v>
      </c>
      <c r="H3760" s="162" t="s">
        <v>13378</v>
      </c>
      <c r="I3760" s="162" t="s">
        <v>14092</v>
      </c>
      <c r="J3760" s="1" t="s">
        <v>14093</v>
      </c>
      <c r="K3760" s="168">
        <v>16110603</v>
      </c>
      <c r="L3760" s="162" t="s">
        <v>14094</v>
      </c>
      <c r="M3760" s="162" t="s">
        <v>14099</v>
      </c>
      <c r="O3760" s="224">
        <v>20</v>
      </c>
      <c r="P3760" s="224">
        <v>25</v>
      </c>
      <c r="Q3760" s="224">
        <v>20</v>
      </c>
      <c r="R3760" s="224">
        <v>5</v>
      </c>
      <c r="S3760" s="224">
        <v>5</v>
      </c>
      <c r="T3760" s="223" t="s">
        <v>180</v>
      </c>
      <c r="U3760" t="str">
        <f>VLOOKUP(T3760,[8]Votes!$A$1:$E$234,3,FALSE)</f>
        <v>145 Uganda Prisons</v>
      </c>
      <c r="V3760" s="162" t="s">
        <v>14100</v>
      </c>
      <c r="W3760" s="416">
        <v>1</v>
      </c>
      <c r="X3760" s="416">
        <v>0</v>
      </c>
      <c r="Y3760" s="416">
        <v>0</v>
      </c>
      <c r="Z3760" s="416">
        <v>1</v>
      </c>
      <c r="AA3760" s="416">
        <v>1</v>
      </c>
      <c r="AB3760" s="416">
        <v>0</v>
      </c>
      <c r="AC3760" s="150">
        <v>0</v>
      </c>
      <c r="AD3760" s="150">
        <v>1</v>
      </c>
      <c r="AE3760" s="49">
        <f t="shared" si="138"/>
        <v>0.5</v>
      </c>
      <c r="AF3760" s="190">
        <v>1</v>
      </c>
      <c r="AG3760" s="17">
        <v>0</v>
      </c>
      <c r="AH3760" s="485">
        <v>4.0149999999999997</v>
      </c>
      <c r="AI3760" s="485">
        <v>5.2949999999999999</v>
      </c>
      <c r="AJ3760" s="485">
        <v>4.34</v>
      </c>
      <c r="AK3760" s="493">
        <v>0</v>
      </c>
      <c r="AL3760" s="493">
        <v>0</v>
      </c>
      <c r="AM3760" s="17">
        <f t="shared" si="139"/>
        <v>0</v>
      </c>
      <c r="AN3760" s="162" t="s">
        <v>180</v>
      </c>
      <c r="AO3760" s="162" t="s">
        <v>182</v>
      </c>
    </row>
    <row r="3761" spans="1:41" s="162" customFormat="1" x14ac:dyDescent="0.3">
      <c r="A3761" s="205" t="s">
        <v>8321</v>
      </c>
      <c r="B3761" s="162" t="s">
        <v>8322</v>
      </c>
      <c r="C3761" s="168" t="s">
        <v>13277</v>
      </c>
      <c r="D3761" s="162" t="s">
        <v>13278</v>
      </c>
      <c r="E3761" s="168" t="s">
        <v>13279</v>
      </c>
      <c r="F3761" s="162" t="s">
        <v>13280</v>
      </c>
      <c r="G3761" s="168" t="s">
        <v>14101</v>
      </c>
      <c r="H3761" s="162" t="s">
        <v>14102</v>
      </c>
      <c r="K3761" s="162">
        <v>16111701</v>
      </c>
      <c r="L3761" s="162" t="s">
        <v>14103</v>
      </c>
      <c r="M3761" s="162" t="s">
        <v>14104</v>
      </c>
      <c r="O3761" s="492">
        <v>0.63</v>
      </c>
      <c r="P3761" s="492">
        <v>0.75</v>
      </c>
      <c r="Q3761" s="492">
        <v>0.9</v>
      </c>
      <c r="R3761" s="492">
        <v>0.95</v>
      </c>
      <c r="S3761" s="492">
        <v>1</v>
      </c>
      <c r="T3761" s="223" t="s">
        <v>14105</v>
      </c>
      <c r="U3761" t="e">
        <f>VLOOKUP(T3761,[8]Votes!$A$1:$E$234,3,FALSE)</f>
        <v>#N/A</v>
      </c>
      <c r="V3761" s="162" t="s">
        <v>14106</v>
      </c>
      <c r="W3761" s="416">
        <v>1</v>
      </c>
      <c r="X3761" s="416">
        <v>1</v>
      </c>
      <c r="Y3761" s="416">
        <v>1</v>
      </c>
      <c r="Z3761" s="416">
        <v>1</v>
      </c>
      <c r="AA3761" s="416">
        <v>1</v>
      </c>
      <c r="AB3761" s="416">
        <v>0</v>
      </c>
      <c r="AC3761" s="150">
        <v>0</v>
      </c>
      <c r="AD3761" s="150">
        <v>1</v>
      </c>
      <c r="AE3761" s="49">
        <f t="shared" si="138"/>
        <v>0.75</v>
      </c>
      <c r="AF3761" s="190">
        <v>1</v>
      </c>
      <c r="AG3761" s="17">
        <v>0</v>
      </c>
      <c r="AH3761" s="485">
        <v>33.1</v>
      </c>
      <c r="AI3761" s="485">
        <v>60</v>
      </c>
      <c r="AJ3761" s="485">
        <v>84</v>
      </c>
      <c r="AK3761" s="493">
        <v>20</v>
      </c>
      <c r="AL3761" s="493">
        <v>20</v>
      </c>
      <c r="AM3761" s="17">
        <f t="shared" si="139"/>
        <v>40</v>
      </c>
      <c r="AN3761" s="162" t="s">
        <v>4115</v>
      </c>
      <c r="AO3761" s="162" t="s">
        <v>4116</v>
      </c>
    </row>
    <row r="3762" spans="1:41" s="162" customFormat="1" x14ac:dyDescent="0.3">
      <c r="A3762" s="205" t="s">
        <v>8321</v>
      </c>
      <c r="B3762" s="162" t="s">
        <v>8322</v>
      </c>
      <c r="C3762" s="168" t="s">
        <v>13277</v>
      </c>
      <c r="D3762" s="162" t="s">
        <v>13278</v>
      </c>
      <c r="E3762" s="168" t="s">
        <v>13279</v>
      </c>
      <c r="F3762" s="162" t="s">
        <v>13280</v>
      </c>
      <c r="G3762" s="168" t="s">
        <v>14101</v>
      </c>
      <c r="H3762" s="162" t="s">
        <v>14102</v>
      </c>
      <c r="K3762" s="162">
        <v>16111701</v>
      </c>
      <c r="L3762" s="162" t="s">
        <v>14103</v>
      </c>
      <c r="M3762" s="162" t="s">
        <v>14107</v>
      </c>
      <c r="O3762" s="492"/>
      <c r="P3762" s="492"/>
      <c r="Q3762" s="492"/>
      <c r="R3762" s="492"/>
      <c r="S3762" s="492"/>
      <c r="T3762" s="223" t="s">
        <v>14105</v>
      </c>
      <c r="U3762" t="e">
        <f>VLOOKUP(T3762,[8]Votes!$A$1:$E$234,3,FALSE)</f>
        <v>#N/A</v>
      </c>
      <c r="V3762" s="162" t="s">
        <v>14108</v>
      </c>
      <c r="W3762" s="416">
        <v>1</v>
      </c>
      <c r="X3762" s="416">
        <v>1</v>
      </c>
      <c r="Y3762" s="416">
        <v>1</v>
      </c>
      <c r="Z3762" s="416">
        <v>1</v>
      </c>
      <c r="AA3762" s="416">
        <v>1</v>
      </c>
      <c r="AB3762" s="416">
        <v>0</v>
      </c>
      <c r="AC3762" s="150">
        <v>0</v>
      </c>
      <c r="AD3762" s="150">
        <v>1</v>
      </c>
      <c r="AE3762" s="49">
        <f t="shared" si="138"/>
        <v>0.75</v>
      </c>
      <c r="AF3762" s="190">
        <v>1</v>
      </c>
      <c r="AG3762" s="17">
        <v>0</v>
      </c>
      <c r="AH3762" s="190">
        <v>0</v>
      </c>
      <c r="AI3762" s="190">
        <v>0</v>
      </c>
      <c r="AJ3762" s="190">
        <v>0</v>
      </c>
      <c r="AK3762" s="191">
        <v>0</v>
      </c>
      <c r="AL3762" s="191">
        <v>0</v>
      </c>
      <c r="AM3762" s="17">
        <f t="shared" si="139"/>
        <v>0</v>
      </c>
      <c r="AN3762" s="162" t="s">
        <v>4115</v>
      </c>
      <c r="AO3762" s="162" t="s">
        <v>4116</v>
      </c>
    </row>
    <row r="3763" spans="1:41" s="162" customFormat="1" x14ac:dyDescent="0.3">
      <c r="A3763" s="205" t="s">
        <v>8321</v>
      </c>
      <c r="B3763" s="162" t="s">
        <v>8322</v>
      </c>
      <c r="C3763" s="168" t="s">
        <v>13277</v>
      </c>
      <c r="D3763" s="162" t="s">
        <v>13278</v>
      </c>
      <c r="E3763" s="168" t="s">
        <v>13279</v>
      </c>
      <c r="F3763" s="162" t="s">
        <v>13280</v>
      </c>
      <c r="G3763" s="168" t="s">
        <v>14101</v>
      </c>
      <c r="H3763" s="162" t="s">
        <v>14102</v>
      </c>
      <c r="K3763" s="162">
        <v>16111701</v>
      </c>
      <c r="L3763" s="162" t="s">
        <v>14103</v>
      </c>
      <c r="M3763" s="162" t="s">
        <v>14107</v>
      </c>
      <c r="O3763" s="492"/>
      <c r="P3763" s="492"/>
      <c r="Q3763" s="492"/>
      <c r="R3763" s="492"/>
      <c r="S3763" s="492"/>
      <c r="T3763" s="223" t="s">
        <v>14105</v>
      </c>
      <c r="U3763" t="e">
        <f>VLOOKUP(T3763,[8]Votes!$A$1:$E$234,3,FALSE)</f>
        <v>#N/A</v>
      </c>
      <c r="V3763" s="162" t="s">
        <v>14109</v>
      </c>
      <c r="W3763" s="416">
        <v>1</v>
      </c>
      <c r="X3763" s="416">
        <v>1</v>
      </c>
      <c r="Y3763" s="416">
        <v>1</v>
      </c>
      <c r="Z3763" s="416">
        <v>1</v>
      </c>
      <c r="AA3763" s="416">
        <v>1</v>
      </c>
      <c r="AB3763" s="416">
        <v>0</v>
      </c>
      <c r="AC3763" s="150">
        <v>0</v>
      </c>
      <c r="AD3763" s="150">
        <v>1</v>
      </c>
      <c r="AE3763" s="49">
        <f t="shared" si="138"/>
        <v>0.75</v>
      </c>
      <c r="AF3763" s="190">
        <v>1</v>
      </c>
      <c r="AG3763" s="17">
        <v>0</v>
      </c>
      <c r="AH3763" s="190">
        <v>0</v>
      </c>
      <c r="AI3763" s="190">
        <v>0</v>
      </c>
      <c r="AJ3763" s="190">
        <v>0</v>
      </c>
      <c r="AK3763" s="191">
        <v>0</v>
      </c>
      <c r="AL3763" s="191">
        <v>0</v>
      </c>
      <c r="AM3763" s="17">
        <f t="shared" si="139"/>
        <v>0</v>
      </c>
      <c r="AN3763" s="162" t="s">
        <v>4115</v>
      </c>
      <c r="AO3763" s="162" t="s">
        <v>4116</v>
      </c>
    </row>
    <row r="3764" spans="1:41" s="162" customFormat="1" x14ac:dyDescent="0.3">
      <c r="A3764" s="205" t="s">
        <v>8321</v>
      </c>
      <c r="B3764" s="162" t="s">
        <v>8322</v>
      </c>
      <c r="C3764" s="168" t="s">
        <v>13277</v>
      </c>
      <c r="D3764" s="162" t="s">
        <v>13278</v>
      </c>
      <c r="E3764" s="168" t="s">
        <v>13279</v>
      </c>
      <c r="F3764" s="162" t="s">
        <v>13280</v>
      </c>
      <c r="G3764" s="168" t="s">
        <v>14101</v>
      </c>
      <c r="H3764" s="162" t="s">
        <v>14102</v>
      </c>
      <c r="K3764" s="162">
        <v>16111701</v>
      </c>
      <c r="L3764" s="162" t="s">
        <v>14103</v>
      </c>
      <c r="M3764" s="162" t="s">
        <v>14104</v>
      </c>
      <c r="O3764" s="492"/>
      <c r="P3764" s="492"/>
      <c r="Q3764" s="492"/>
      <c r="R3764" s="492"/>
      <c r="S3764" s="492"/>
      <c r="T3764" s="223" t="s">
        <v>14105</v>
      </c>
      <c r="U3764" t="e">
        <f>VLOOKUP(T3764,[8]Votes!$A$1:$E$234,3,FALSE)</f>
        <v>#N/A</v>
      </c>
      <c r="V3764" s="162" t="s">
        <v>14110</v>
      </c>
      <c r="W3764" s="416">
        <v>1</v>
      </c>
      <c r="X3764" s="416">
        <v>1</v>
      </c>
      <c r="Y3764" s="416">
        <v>1</v>
      </c>
      <c r="Z3764" s="416">
        <v>1</v>
      </c>
      <c r="AA3764" s="416">
        <v>1</v>
      </c>
      <c r="AB3764" s="416">
        <v>0</v>
      </c>
      <c r="AC3764" s="150">
        <v>0</v>
      </c>
      <c r="AD3764" s="150">
        <v>1</v>
      </c>
      <c r="AE3764" s="49">
        <f t="shared" si="138"/>
        <v>0.75</v>
      </c>
      <c r="AF3764" s="190">
        <v>1</v>
      </c>
      <c r="AG3764" s="17">
        <v>0</v>
      </c>
      <c r="AH3764" s="190">
        <v>0</v>
      </c>
      <c r="AI3764" s="190">
        <v>0</v>
      </c>
      <c r="AJ3764" s="190">
        <v>0</v>
      </c>
      <c r="AK3764" s="191">
        <v>0</v>
      </c>
      <c r="AL3764" s="191">
        <v>0</v>
      </c>
      <c r="AM3764" s="17">
        <f t="shared" si="139"/>
        <v>0</v>
      </c>
      <c r="AN3764" s="162" t="s">
        <v>4115</v>
      </c>
      <c r="AO3764" s="162" t="s">
        <v>4116</v>
      </c>
    </row>
    <row r="3765" spans="1:41" s="162" customFormat="1" x14ac:dyDescent="0.3">
      <c r="A3765" s="205" t="s">
        <v>8321</v>
      </c>
      <c r="B3765" s="162" t="s">
        <v>8322</v>
      </c>
      <c r="C3765" s="168" t="s">
        <v>13277</v>
      </c>
      <c r="D3765" s="162" t="s">
        <v>13278</v>
      </c>
      <c r="E3765" s="168" t="s">
        <v>13279</v>
      </c>
      <c r="F3765" s="162" t="s">
        <v>13280</v>
      </c>
      <c r="G3765" s="168" t="s">
        <v>14101</v>
      </c>
      <c r="H3765" s="162" t="s">
        <v>14102</v>
      </c>
      <c r="K3765" s="162">
        <v>16111701</v>
      </c>
      <c r="L3765" s="162" t="s">
        <v>14103</v>
      </c>
      <c r="M3765" s="162" t="s">
        <v>14104</v>
      </c>
      <c r="O3765" s="492"/>
      <c r="P3765" s="492"/>
      <c r="Q3765" s="492"/>
      <c r="R3765" s="492"/>
      <c r="S3765" s="492"/>
      <c r="T3765" s="223" t="s">
        <v>14105</v>
      </c>
      <c r="U3765" t="e">
        <f>VLOOKUP(T3765,[8]Votes!$A$1:$E$234,3,FALSE)</f>
        <v>#N/A</v>
      </c>
      <c r="V3765" s="162" t="s">
        <v>14111</v>
      </c>
      <c r="W3765" s="416">
        <v>1</v>
      </c>
      <c r="X3765" s="416">
        <v>1</v>
      </c>
      <c r="Y3765" s="416">
        <v>1</v>
      </c>
      <c r="Z3765" s="416">
        <v>1</v>
      </c>
      <c r="AA3765" s="416">
        <v>1</v>
      </c>
      <c r="AB3765" s="416">
        <v>0</v>
      </c>
      <c r="AC3765" s="150">
        <v>0</v>
      </c>
      <c r="AD3765" s="150">
        <v>1</v>
      </c>
      <c r="AE3765" s="49">
        <f t="shared" si="138"/>
        <v>0.75</v>
      </c>
      <c r="AF3765" s="190">
        <v>1</v>
      </c>
      <c r="AG3765" s="17">
        <v>0</v>
      </c>
      <c r="AH3765" s="190">
        <v>0</v>
      </c>
      <c r="AI3765" s="190">
        <v>0</v>
      </c>
      <c r="AJ3765" s="190">
        <v>0</v>
      </c>
      <c r="AK3765" s="191">
        <v>0</v>
      </c>
      <c r="AL3765" s="191">
        <v>0</v>
      </c>
      <c r="AM3765" s="17">
        <f t="shared" si="139"/>
        <v>0</v>
      </c>
      <c r="AN3765" s="162" t="s">
        <v>4115</v>
      </c>
      <c r="AO3765" s="162" t="s">
        <v>4116</v>
      </c>
    </row>
    <row r="3766" spans="1:41" s="162" customFormat="1" x14ac:dyDescent="0.3">
      <c r="A3766" s="205" t="s">
        <v>8321</v>
      </c>
      <c r="B3766" s="162" t="s">
        <v>8322</v>
      </c>
      <c r="C3766" s="168" t="s">
        <v>13277</v>
      </c>
      <c r="D3766" s="162" t="s">
        <v>13278</v>
      </c>
      <c r="E3766" s="168" t="s">
        <v>13279</v>
      </c>
      <c r="F3766" s="162" t="s">
        <v>13280</v>
      </c>
      <c r="G3766" s="168" t="s">
        <v>14101</v>
      </c>
      <c r="H3766" s="162" t="s">
        <v>14102</v>
      </c>
      <c r="K3766" s="162">
        <v>16111701</v>
      </c>
      <c r="L3766" s="162" t="s">
        <v>14103</v>
      </c>
      <c r="M3766" s="162" t="s">
        <v>14104</v>
      </c>
      <c r="O3766" s="224" t="s">
        <v>271</v>
      </c>
      <c r="P3766" s="229">
        <v>2506</v>
      </c>
      <c r="Q3766" s="229">
        <v>2600</v>
      </c>
      <c r="R3766" s="229">
        <v>2700</v>
      </c>
      <c r="S3766" s="229">
        <v>2800</v>
      </c>
      <c r="T3766" s="223" t="s">
        <v>4115</v>
      </c>
      <c r="U3766" t="str">
        <f>VLOOKUP(T3766,[8]Votes!$A$1:$E$234,3,FALSE)</f>
        <v>309 National Identification and Registration Authority (NIRA)</v>
      </c>
      <c r="V3766" s="162" t="s">
        <v>14112</v>
      </c>
      <c r="W3766" s="416">
        <v>1</v>
      </c>
      <c r="X3766" s="416">
        <v>1</v>
      </c>
      <c r="Y3766" s="416">
        <v>1</v>
      </c>
      <c r="Z3766" s="416">
        <v>1</v>
      </c>
      <c r="AA3766" s="416">
        <v>1</v>
      </c>
      <c r="AB3766" s="416">
        <v>0</v>
      </c>
      <c r="AC3766" s="150">
        <v>0</v>
      </c>
      <c r="AD3766" s="150">
        <v>1</v>
      </c>
      <c r="AE3766" s="49">
        <f t="shared" si="138"/>
        <v>0.75</v>
      </c>
      <c r="AF3766" s="190">
        <v>1</v>
      </c>
      <c r="AG3766" s="17">
        <v>0</v>
      </c>
      <c r="AH3766" s="190">
        <v>0</v>
      </c>
      <c r="AI3766" s="485">
        <v>45.9</v>
      </c>
      <c r="AJ3766" s="485">
        <v>48.4</v>
      </c>
      <c r="AK3766" s="493">
        <v>15</v>
      </c>
      <c r="AL3766" s="493">
        <v>15</v>
      </c>
      <c r="AM3766" s="17">
        <f t="shared" si="139"/>
        <v>30</v>
      </c>
      <c r="AN3766" s="162" t="s">
        <v>4115</v>
      </c>
      <c r="AO3766" s="162" t="s">
        <v>4116</v>
      </c>
    </row>
    <row r="3767" spans="1:41" s="162" customFormat="1" x14ac:dyDescent="0.3">
      <c r="A3767" s="205" t="s">
        <v>8321</v>
      </c>
      <c r="B3767" s="162" t="s">
        <v>8322</v>
      </c>
      <c r="C3767" s="168" t="s">
        <v>13277</v>
      </c>
      <c r="D3767" s="162" t="s">
        <v>13278</v>
      </c>
      <c r="E3767" s="168" t="s">
        <v>13279</v>
      </c>
      <c r="F3767" s="162" t="s">
        <v>13280</v>
      </c>
      <c r="G3767" s="168" t="s">
        <v>14101</v>
      </c>
      <c r="H3767" s="162" t="s">
        <v>14102</v>
      </c>
      <c r="K3767" s="162">
        <v>16111702</v>
      </c>
      <c r="L3767" s="162" t="s">
        <v>14113</v>
      </c>
      <c r="M3767" s="162" t="s">
        <v>14114</v>
      </c>
      <c r="O3767" s="492">
        <v>0.3</v>
      </c>
      <c r="P3767" s="492">
        <v>1</v>
      </c>
      <c r="Q3767" s="492">
        <v>1</v>
      </c>
      <c r="R3767" s="492">
        <v>1</v>
      </c>
      <c r="S3767" s="492">
        <v>1</v>
      </c>
      <c r="T3767" s="223" t="s">
        <v>4115</v>
      </c>
      <c r="U3767" t="str">
        <f>VLOOKUP(T3767,[8]Votes!$A$1:$E$234,3,FALSE)</f>
        <v>309 National Identification and Registration Authority (NIRA)</v>
      </c>
      <c r="V3767" s="162" t="s">
        <v>14115</v>
      </c>
      <c r="W3767" s="416">
        <v>1</v>
      </c>
      <c r="X3767" s="416">
        <v>1</v>
      </c>
      <c r="Y3767" s="416">
        <v>1</v>
      </c>
      <c r="Z3767" s="416">
        <v>1</v>
      </c>
      <c r="AA3767" s="416">
        <v>1</v>
      </c>
      <c r="AB3767" s="416">
        <v>0</v>
      </c>
      <c r="AC3767" s="150">
        <v>0</v>
      </c>
      <c r="AD3767" s="150">
        <v>1</v>
      </c>
      <c r="AE3767" s="49">
        <f t="shared" si="138"/>
        <v>0.75</v>
      </c>
      <c r="AF3767" s="190">
        <v>1</v>
      </c>
      <c r="AG3767" s="17">
        <v>0</v>
      </c>
      <c r="AH3767" s="485">
        <v>0.27</v>
      </c>
      <c r="AI3767" s="485">
        <v>0.3</v>
      </c>
      <c r="AJ3767" s="485">
        <v>0.3</v>
      </c>
      <c r="AK3767" s="493">
        <v>0.3</v>
      </c>
      <c r="AL3767" s="493">
        <v>0.3</v>
      </c>
      <c r="AM3767" s="17">
        <f t="shared" si="139"/>
        <v>0.6</v>
      </c>
      <c r="AN3767" s="162" t="s">
        <v>4115</v>
      </c>
      <c r="AO3767" s="162" t="s">
        <v>4116</v>
      </c>
    </row>
    <row r="3768" spans="1:41" s="162" customFormat="1" x14ac:dyDescent="0.3">
      <c r="A3768" s="205" t="s">
        <v>8321</v>
      </c>
      <c r="B3768" s="162" t="s">
        <v>8322</v>
      </c>
      <c r="C3768" s="168" t="s">
        <v>13277</v>
      </c>
      <c r="D3768" s="162" t="s">
        <v>13278</v>
      </c>
      <c r="E3768" s="168" t="s">
        <v>13279</v>
      </c>
      <c r="F3768" s="162" t="s">
        <v>13280</v>
      </c>
      <c r="G3768" s="168" t="s">
        <v>14101</v>
      </c>
      <c r="H3768" s="162" t="s">
        <v>14102</v>
      </c>
      <c r="K3768" s="162">
        <v>16111703</v>
      </c>
      <c r="L3768" s="162" t="s">
        <v>14116</v>
      </c>
      <c r="M3768" s="162" t="s">
        <v>14117</v>
      </c>
      <c r="O3768" s="492">
        <v>1</v>
      </c>
      <c r="P3768" s="492">
        <v>1</v>
      </c>
      <c r="Q3768" s="492">
        <v>1</v>
      </c>
      <c r="R3768" s="492">
        <v>1</v>
      </c>
      <c r="S3768" s="492">
        <v>1</v>
      </c>
      <c r="T3768" s="223" t="s">
        <v>4115</v>
      </c>
      <c r="U3768" t="str">
        <f>VLOOKUP(T3768,[8]Votes!$A$1:$E$234,3,FALSE)</f>
        <v>309 National Identification and Registration Authority (NIRA)</v>
      </c>
      <c r="V3768" s="162" t="s">
        <v>14118</v>
      </c>
      <c r="W3768" s="416">
        <v>1</v>
      </c>
      <c r="X3768" s="416">
        <v>1</v>
      </c>
      <c r="Y3768" s="416">
        <v>1</v>
      </c>
      <c r="Z3768" s="416">
        <v>1</v>
      </c>
      <c r="AA3768" s="416">
        <v>1</v>
      </c>
      <c r="AB3768" s="416">
        <v>0</v>
      </c>
      <c r="AC3768" s="150">
        <v>0</v>
      </c>
      <c r="AD3768" s="150">
        <v>1</v>
      </c>
      <c r="AE3768" s="49">
        <f t="shared" si="138"/>
        <v>0.75</v>
      </c>
      <c r="AF3768" s="190">
        <v>1</v>
      </c>
      <c r="AG3768" s="17">
        <v>0</v>
      </c>
      <c r="AH3768" s="190">
        <v>0</v>
      </c>
      <c r="AI3768" s="190">
        <v>0</v>
      </c>
      <c r="AJ3768" s="190">
        <v>0</v>
      </c>
      <c r="AK3768" s="191">
        <v>0</v>
      </c>
      <c r="AL3768" s="191">
        <v>0</v>
      </c>
      <c r="AM3768" s="17">
        <f t="shared" si="139"/>
        <v>0</v>
      </c>
      <c r="AN3768" s="162" t="s">
        <v>4115</v>
      </c>
      <c r="AO3768" s="162" t="s">
        <v>4116</v>
      </c>
    </row>
    <row r="3769" spans="1:41" s="162" customFormat="1" x14ac:dyDescent="0.3">
      <c r="A3769" s="205" t="s">
        <v>8321</v>
      </c>
      <c r="B3769" s="162" t="s">
        <v>8322</v>
      </c>
      <c r="C3769" s="168" t="s">
        <v>13277</v>
      </c>
      <c r="D3769" s="162" t="s">
        <v>13278</v>
      </c>
      <c r="E3769" s="168" t="s">
        <v>13279</v>
      </c>
      <c r="F3769" s="162" t="s">
        <v>13280</v>
      </c>
      <c r="G3769" s="168" t="s">
        <v>14101</v>
      </c>
      <c r="H3769" s="162" t="s">
        <v>14102</v>
      </c>
      <c r="K3769" s="162">
        <v>16111704</v>
      </c>
      <c r="L3769" s="162" t="s">
        <v>14119</v>
      </c>
      <c r="M3769" s="162" t="s">
        <v>14120</v>
      </c>
      <c r="O3769" s="492">
        <v>0.8</v>
      </c>
      <c r="P3769" s="492">
        <v>1</v>
      </c>
      <c r="Q3769" s="224"/>
      <c r="R3769" s="224"/>
      <c r="S3769" s="224"/>
      <c r="T3769" s="223" t="s">
        <v>4115</v>
      </c>
      <c r="U3769" t="str">
        <f>VLOOKUP(T3769,[8]Votes!$A$1:$E$234,3,FALSE)</f>
        <v>309 National Identification and Registration Authority (NIRA)</v>
      </c>
      <c r="V3769" s="162" t="s">
        <v>14121</v>
      </c>
      <c r="W3769" s="416">
        <v>1</v>
      </c>
      <c r="X3769" s="416">
        <v>1</v>
      </c>
      <c r="Y3769" s="416">
        <v>1</v>
      </c>
      <c r="Z3769" s="416">
        <v>1</v>
      </c>
      <c r="AA3769" s="416">
        <v>1</v>
      </c>
      <c r="AB3769" s="416">
        <v>0</v>
      </c>
      <c r="AC3769" s="150">
        <v>0</v>
      </c>
      <c r="AD3769" s="150">
        <v>1</v>
      </c>
      <c r="AE3769" s="49">
        <f t="shared" si="138"/>
        <v>0.75</v>
      </c>
      <c r="AF3769" s="190">
        <v>1</v>
      </c>
      <c r="AG3769" s="17">
        <v>0</v>
      </c>
      <c r="AH3769" s="485">
        <v>13.06</v>
      </c>
      <c r="AI3769" s="485">
        <v>3.6</v>
      </c>
      <c r="AJ3769" s="190">
        <v>0</v>
      </c>
      <c r="AK3769" s="191">
        <v>0</v>
      </c>
      <c r="AL3769" s="191">
        <v>0</v>
      </c>
      <c r="AM3769" s="17">
        <f t="shared" si="139"/>
        <v>0</v>
      </c>
      <c r="AN3769" s="162" t="s">
        <v>4115</v>
      </c>
      <c r="AO3769" s="162" t="s">
        <v>4116</v>
      </c>
    </row>
    <row r="3770" spans="1:41" s="162" customFormat="1" x14ac:dyDescent="0.3">
      <c r="A3770" s="205" t="s">
        <v>8321</v>
      </c>
      <c r="B3770" s="162" t="s">
        <v>8322</v>
      </c>
      <c r="C3770" s="168" t="s">
        <v>13277</v>
      </c>
      <c r="D3770" s="162" t="s">
        <v>13278</v>
      </c>
      <c r="E3770" s="168" t="s">
        <v>13279</v>
      </c>
      <c r="F3770" s="162" t="s">
        <v>13280</v>
      </c>
      <c r="G3770" s="168" t="s">
        <v>14101</v>
      </c>
      <c r="H3770" s="162" t="s">
        <v>14102</v>
      </c>
      <c r="K3770" s="162">
        <v>16111705</v>
      </c>
      <c r="L3770" s="162" t="s">
        <v>14122</v>
      </c>
      <c r="M3770" s="162" t="s">
        <v>14123</v>
      </c>
      <c r="O3770" s="492"/>
      <c r="P3770" s="492"/>
      <c r="Q3770" s="224"/>
      <c r="R3770" s="224"/>
      <c r="S3770" s="224"/>
      <c r="T3770" s="223" t="s">
        <v>4115</v>
      </c>
      <c r="U3770" t="str">
        <f>VLOOKUP(T3770,[8]Votes!$A$1:$E$234,3,FALSE)</f>
        <v>309 National Identification and Registration Authority (NIRA)</v>
      </c>
      <c r="V3770" s="162" t="s">
        <v>14108</v>
      </c>
      <c r="W3770" s="416">
        <v>1</v>
      </c>
      <c r="X3770" s="416">
        <v>1</v>
      </c>
      <c r="Y3770" s="416">
        <v>1</v>
      </c>
      <c r="Z3770" s="416">
        <v>1</v>
      </c>
      <c r="AA3770" s="416">
        <v>1</v>
      </c>
      <c r="AB3770" s="416">
        <v>0</v>
      </c>
      <c r="AC3770" s="150">
        <v>0</v>
      </c>
      <c r="AD3770" s="150">
        <v>1</v>
      </c>
      <c r="AE3770" s="49">
        <f t="shared" ref="AE3770:AE3833" si="140">SUM(W3770:AD3770)/8</f>
        <v>0.75</v>
      </c>
      <c r="AF3770" s="190">
        <v>1</v>
      </c>
      <c r="AG3770" s="17">
        <v>0</v>
      </c>
      <c r="AH3770" s="190">
        <v>0</v>
      </c>
      <c r="AI3770" s="190">
        <v>0</v>
      </c>
      <c r="AJ3770" s="190">
        <v>0</v>
      </c>
      <c r="AK3770" s="191">
        <v>0</v>
      </c>
      <c r="AL3770" s="191">
        <v>0</v>
      </c>
      <c r="AM3770" s="17">
        <f t="shared" ref="AM3770:AM3833" si="141">SUM(AK3770:AL3770)</f>
        <v>0</v>
      </c>
      <c r="AN3770" s="162" t="s">
        <v>4115</v>
      </c>
      <c r="AO3770" s="162" t="s">
        <v>4116</v>
      </c>
    </row>
    <row r="3771" spans="1:41" s="162" customFormat="1" x14ac:dyDescent="0.3">
      <c r="A3771" s="205" t="s">
        <v>8321</v>
      </c>
      <c r="B3771" s="162" t="s">
        <v>8322</v>
      </c>
      <c r="C3771" s="168" t="s">
        <v>13452</v>
      </c>
      <c r="D3771" s="162" t="s">
        <v>13453</v>
      </c>
      <c r="E3771" s="406" t="s">
        <v>13454</v>
      </c>
      <c r="F3771" s="162" t="s">
        <v>13455</v>
      </c>
      <c r="G3771" s="162">
        <v>162201</v>
      </c>
      <c r="H3771" s="162" t="s">
        <v>13456</v>
      </c>
      <c r="K3771" s="406">
        <v>16220101</v>
      </c>
      <c r="L3771" s="1" t="s">
        <v>14124</v>
      </c>
      <c r="M3771" s="162" t="s">
        <v>14125</v>
      </c>
      <c r="O3771" s="492"/>
      <c r="P3771" s="492"/>
      <c r="Q3771" s="224"/>
      <c r="R3771" s="224"/>
      <c r="S3771" s="224"/>
      <c r="T3771" s="223" t="s">
        <v>4115</v>
      </c>
      <c r="U3771" t="str">
        <f>VLOOKUP(T3771,[8]Votes!$A$1:$E$234,3,FALSE)</f>
        <v>309 National Identification and Registration Authority (NIRA)</v>
      </c>
      <c r="V3771" s="162" t="s">
        <v>14126</v>
      </c>
      <c r="W3771" s="388">
        <v>0</v>
      </c>
      <c r="X3771" s="388">
        <v>0</v>
      </c>
      <c r="Y3771" s="388">
        <v>0</v>
      </c>
      <c r="Z3771" s="388">
        <v>0</v>
      </c>
      <c r="AA3771" s="388">
        <v>0</v>
      </c>
      <c r="AB3771" s="388">
        <v>0</v>
      </c>
      <c r="AC3771" s="150">
        <v>0</v>
      </c>
      <c r="AD3771" s="150">
        <v>0</v>
      </c>
      <c r="AE3771" s="49">
        <f t="shared" si="140"/>
        <v>0</v>
      </c>
      <c r="AF3771" s="485">
        <v>0</v>
      </c>
      <c r="AG3771" s="17">
        <v>0</v>
      </c>
      <c r="AH3771" s="190">
        <v>0</v>
      </c>
      <c r="AI3771" s="190">
        <v>0</v>
      </c>
      <c r="AJ3771" s="190">
        <v>0</v>
      </c>
      <c r="AK3771" s="191">
        <v>0</v>
      </c>
      <c r="AL3771" s="191">
        <v>0</v>
      </c>
      <c r="AM3771" s="17">
        <f t="shared" si="141"/>
        <v>0</v>
      </c>
      <c r="AN3771" s="162" t="s">
        <v>4115</v>
      </c>
      <c r="AO3771" s="162" t="s">
        <v>4116</v>
      </c>
    </row>
    <row r="3772" spans="1:41" s="162" customFormat="1" x14ac:dyDescent="0.3">
      <c r="A3772" s="205" t="s">
        <v>8321</v>
      </c>
      <c r="B3772" s="162" t="s">
        <v>8322</v>
      </c>
      <c r="C3772" s="168" t="s">
        <v>13277</v>
      </c>
      <c r="D3772" s="162" t="s">
        <v>13278</v>
      </c>
      <c r="E3772" s="168" t="s">
        <v>13279</v>
      </c>
      <c r="F3772" s="162" t="s">
        <v>13280</v>
      </c>
      <c r="G3772" s="168" t="s">
        <v>14101</v>
      </c>
      <c r="H3772" s="162" t="s">
        <v>14102</v>
      </c>
      <c r="K3772" s="162">
        <v>16111705</v>
      </c>
      <c r="L3772" s="1" t="s">
        <v>14122</v>
      </c>
      <c r="M3772" s="162" t="s">
        <v>14123</v>
      </c>
      <c r="O3772" s="492"/>
      <c r="P3772" s="492"/>
      <c r="Q3772" s="224"/>
      <c r="R3772" s="224"/>
      <c r="S3772" s="224"/>
      <c r="T3772" s="223" t="s">
        <v>4115</v>
      </c>
      <c r="U3772" t="str">
        <f>VLOOKUP(T3772,[8]Votes!$A$1:$E$234,3,FALSE)</f>
        <v>309 National Identification and Registration Authority (NIRA)</v>
      </c>
      <c r="V3772" s="162" t="s">
        <v>14127</v>
      </c>
      <c r="W3772" s="416">
        <v>1</v>
      </c>
      <c r="X3772" s="416">
        <v>1</v>
      </c>
      <c r="Y3772" s="416">
        <v>1</v>
      </c>
      <c r="Z3772" s="416">
        <v>1</v>
      </c>
      <c r="AA3772" s="416">
        <v>1</v>
      </c>
      <c r="AB3772" s="416">
        <v>0</v>
      </c>
      <c r="AC3772" s="150">
        <v>0</v>
      </c>
      <c r="AD3772" s="150">
        <v>1</v>
      </c>
      <c r="AE3772" s="49">
        <f t="shared" si="140"/>
        <v>0.75</v>
      </c>
      <c r="AF3772" s="190">
        <v>1</v>
      </c>
      <c r="AG3772" s="17">
        <v>0</v>
      </c>
      <c r="AH3772" s="190">
        <v>0</v>
      </c>
      <c r="AI3772" s="190">
        <v>0</v>
      </c>
      <c r="AJ3772" s="190">
        <v>0</v>
      </c>
      <c r="AK3772" s="191">
        <v>0</v>
      </c>
      <c r="AL3772" s="191">
        <v>0</v>
      </c>
      <c r="AM3772" s="17">
        <f t="shared" si="141"/>
        <v>0</v>
      </c>
      <c r="AN3772" s="162" t="s">
        <v>4115</v>
      </c>
      <c r="AO3772" s="162" t="s">
        <v>4116</v>
      </c>
    </row>
    <row r="3773" spans="1:41" s="162" customFormat="1" x14ac:dyDescent="0.3">
      <c r="A3773" s="205" t="s">
        <v>8321</v>
      </c>
      <c r="B3773" s="162" t="s">
        <v>8322</v>
      </c>
      <c r="C3773" s="168" t="s">
        <v>13277</v>
      </c>
      <c r="D3773" s="162" t="s">
        <v>13278</v>
      </c>
      <c r="E3773" s="168" t="s">
        <v>13279</v>
      </c>
      <c r="F3773" s="162" t="s">
        <v>13280</v>
      </c>
      <c r="G3773" s="168" t="s">
        <v>14101</v>
      </c>
      <c r="H3773" s="162" t="s">
        <v>14102</v>
      </c>
      <c r="K3773" s="162">
        <v>16111705</v>
      </c>
      <c r="L3773" s="1" t="s">
        <v>14122</v>
      </c>
      <c r="M3773" s="162" t="s">
        <v>14123</v>
      </c>
      <c r="O3773" s="492"/>
      <c r="P3773" s="492"/>
      <c r="Q3773" s="224"/>
      <c r="R3773" s="224"/>
      <c r="S3773" s="224"/>
      <c r="T3773" s="223" t="s">
        <v>4115</v>
      </c>
      <c r="U3773" t="str">
        <f>VLOOKUP(T3773,[8]Votes!$A$1:$E$234,3,FALSE)</f>
        <v>309 National Identification and Registration Authority (NIRA)</v>
      </c>
      <c r="V3773" s="162" t="s">
        <v>14128</v>
      </c>
      <c r="W3773" s="416">
        <v>1</v>
      </c>
      <c r="X3773" s="416">
        <v>1</v>
      </c>
      <c r="Y3773" s="416">
        <v>1</v>
      </c>
      <c r="Z3773" s="416">
        <v>1</v>
      </c>
      <c r="AA3773" s="416">
        <v>1</v>
      </c>
      <c r="AB3773" s="416">
        <v>0</v>
      </c>
      <c r="AC3773" s="150">
        <v>0</v>
      </c>
      <c r="AD3773" s="150">
        <v>1</v>
      </c>
      <c r="AE3773" s="49">
        <f t="shared" si="140"/>
        <v>0.75</v>
      </c>
      <c r="AF3773" s="190">
        <v>1</v>
      </c>
      <c r="AG3773" s="17">
        <v>0</v>
      </c>
      <c r="AH3773" s="190">
        <v>0</v>
      </c>
      <c r="AI3773" s="190">
        <v>0</v>
      </c>
      <c r="AJ3773" s="190">
        <v>0</v>
      </c>
      <c r="AK3773" s="191">
        <v>0</v>
      </c>
      <c r="AL3773" s="191">
        <v>0</v>
      </c>
      <c r="AM3773" s="17">
        <f t="shared" si="141"/>
        <v>0</v>
      </c>
      <c r="AN3773" s="162" t="s">
        <v>4115</v>
      </c>
      <c r="AO3773" s="162" t="s">
        <v>4116</v>
      </c>
    </row>
    <row r="3774" spans="1:41" s="162" customFormat="1" x14ac:dyDescent="0.3">
      <c r="A3774" s="205" t="s">
        <v>8321</v>
      </c>
      <c r="B3774" s="162" t="s">
        <v>8322</v>
      </c>
      <c r="C3774" s="168" t="s">
        <v>13277</v>
      </c>
      <c r="D3774" s="162" t="s">
        <v>13278</v>
      </c>
      <c r="E3774" s="168" t="s">
        <v>13279</v>
      </c>
      <c r="F3774" s="162" t="s">
        <v>13280</v>
      </c>
      <c r="G3774" s="168" t="s">
        <v>14101</v>
      </c>
      <c r="H3774" s="162" t="s">
        <v>14102</v>
      </c>
      <c r="K3774" s="162">
        <v>16111706</v>
      </c>
      <c r="L3774" s="162" t="s">
        <v>14129</v>
      </c>
      <c r="M3774" s="162" t="s">
        <v>14130</v>
      </c>
      <c r="O3774" s="492"/>
      <c r="P3774" s="492"/>
      <c r="Q3774" s="224"/>
      <c r="R3774" s="224"/>
      <c r="S3774" s="224"/>
      <c r="T3774" s="223" t="s">
        <v>4115</v>
      </c>
      <c r="U3774" t="str">
        <f>VLOOKUP(T3774,[8]Votes!$A$1:$E$234,3,FALSE)</f>
        <v>309 National Identification and Registration Authority (NIRA)</v>
      </c>
      <c r="V3774" s="162" t="s">
        <v>14111</v>
      </c>
      <c r="W3774" s="416">
        <v>1</v>
      </c>
      <c r="X3774" s="416">
        <v>1</v>
      </c>
      <c r="Y3774" s="416">
        <v>1</v>
      </c>
      <c r="Z3774" s="416">
        <v>1</v>
      </c>
      <c r="AA3774" s="416">
        <v>1</v>
      </c>
      <c r="AB3774" s="416">
        <v>0</v>
      </c>
      <c r="AC3774" s="150">
        <v>0</v>
      </c>
      <c r="AD3774" s="150">
        <v>1</v>
      </c>
      <c r="AE3774" s="49">
        <f t="shared" si="140"/>
        <v>0.75</v>
      </c>
      <c r="AF3774" s="190">
        <v>1</v>
      </c>
      <c r="AG3774" s="17">
        <v>0</v>
      </c>
      <c r="AH3774" s="190">
        <v>0</v>
      </c>
      <c r="AI3774" s="190">
        <v>0</v>
      </c>
      <c r="AJ3774" s="190">
        <v>0</v>
      </c>
      <c r="AK3774" s="191">
        <v>0</v>
      </c>
      <c r="AL3774" s="191">
        <v>0</v>
      </c>
      <c r="AM3774" s="17">
        <f t="shared" si="141"/>
        <v>0</v>
      </c>
      <c r="AN3774" s="162" t="s">
        <v>4115</v>
      </c>
      <c r="AO3774" s="162" t="s">
        <v>4116</v>
      </c>
    </row>
    <row r="3775" spans="1:41" s="162" customFormat="1" x14ac:dyDescent="0.3">
      <c r="A3775" s="205" t="s">
        <v>8321</v>
      </c>
      <c r="B3775" s="162" t="s">
        <v>8322</v>
      </c>
      <c r="C3775" s="168" t="s">
        <v>13452</v>
      </c>
      <c r="D3775" s="162" t="s">
        <v>13453</v>
      </c>
      <c r="E3775" s="406" t="s">
        <v>13454</v>
      </c>
      <c r="F3775" s="162" t="s">
        <v>13455</v>
      </c>
      <c r="G3775" s="162">
        <v>162201</v>
      </c>
      <c r="H3775" s="162" t="s">
        <v>13456</v>
      </c>
      <c r="K3775" s="406">
        <v>16220102</v>
      </c>
      <c r="L3775" s="162" t="s">
        <v>14131</v>
      </c>
      <c r="M3775" s="162" t="s">
        <v>14132</v>
      </c>
      <c r="O3775" s="492"/>
      <c r="P3775" s="492"/>
      <c r="Q3775" s="224"/>
      <c r="R3775" s="224"/>
      <c r="S3775" s="224"/>
      <c r="T3775" s="223" t="s">
        <v>4115</v>
      </c>
      <c r="U3775" t="str">
        <f>VLOOKUP(T3775,[8]Votes!$A$1:$E$234,3,FALSE)</f>
        <v>309 National Identification and Registration Authority (NIRA)</v>
      </c>
      <c r="V3775" s="162" t="s">
        <v>14133</v>
      </c>
      <c r="W3775" s="388">
        <v>0</v>
      </c>
      <c r="X3775" s="388">
        <v>0</v>
      </c>
      <c r="Y3775" s="388">
        <v>0</v>
      </c>
      <c r="Z3775" s="388">
        <v>0</v>
      </c>
      <c r="AA3775" s="388">
        <v>0</v>
      </c>
      <c r="AB3775" s="388">
        <v>0</v>
      </c>
      <c r="AC3775" s="150">
        <v>0</v>
      </c>
      <c r="AD3775" s="150">
        <v>0</v>
      </c>
      <c r="AE3775" s="49">
        <f t="shared" si="140"/>
        <v>0</v>
      </c>
      <c r="AF3775" s="485">
        <v>0</v>
      </c>
      <c r="AG3775" s="17">
        <v>0</v>
      </c>
      <c r="AH3775" s="190">
        <v>0</v>
      </c>
      <c r="AI3775" s="190">
        <v>0</v>
      </c>
      <c r="AJ3775" s="190">
        <v>0</v>
      </c>
      <c r="AK3775" s="191">
        <v>0</v>
      </c>
      <c r="AL3775" s="191">
        <v>0</v>
      </c>
      <c r="AM3775" s="17">
        <f t="shared" si="141"/>
        <v>0</v>
      </c>
      <c r="AN3775" s="162" t="s">
        <v>4115</v>
      </c>
      <c r="AO3775" s="162" t="s">
        <v>4116</v>
      </c>
    </row>
    <row r="3776" spans="1:41" s="162" customFormat="1" x14ac:dyDescent="0.3">
      <c r="A3776" s="205" t="s">
        <v>8321</v>
      </c>
      <c r="B3776" s="162" t="s">
        <v>8322</v>
      </c>
      <c r="C3776" s="168" t="s">
        <v>13277</v>
      </c>
      <c r="D3776" s="162" t="s">
        <v>13278</v>
      </c>
      <c r="E3776" s="168" t="s">
        <v>13279</v>
      </c>
      <c r="F3776" s="162" t="s">
        <v>13280</v>
      </c>
      <c r="G3776" s="168" t="s">
        <v>14101</v>
      </c>
      <c r="H3776" s="162" t="s">
        <v>14102</v>
      </c>
      <c r="K3776" s="162">
        <v>16111706</v>
      </c>
      <c r="L3776" s="162" t="s">
        <v>14129</v>
      </c>
      <c r="M3776" s="162" t="s">
        <v>14134</v>
      </c>
      <c r="O3776" s="492"/>
      <c r="P3776" s="492"/>
      <c r="Q3776" s="224"/>
      <c r="R3776" s="224"/>
      <c r="S3776" s="224"/>
      <c r="T3776" s="223" t="s">
        <v>4115</v>
      </c>
      <c r="U3776" t="str">
        <f>VLOOKUP(T3776,[8]Votes!$A$1:$E$234,3,FALSE)</f>
        <v>309 National Identification and Registration Authority (NIRA)</v>
      </c>
      <c r="V3776" s="162" t="s">
        <v>14112</v>
      </c>
      <c r="W3776" s="416">
        <v>1</v>
      </c>
      <c r="X3776" s="416">
        <v>1</v>
      </c>
      <c r="Y3776" s="416">
        <v>1</v>
      </c>
      <c r="Z3776" s="416">
        <v>1</v>
      </c>
      <c r="AA3776" s="416">
        <v>1</v>
      </c>
      <c r="AB3776" s="416">
        <v>0</v>
      </c>
      <c r="AC3776" s="150">
        <v>0</v>
      </c>
      <c r="AD3776" s="150">
        <v>1</v>
      </c>
      <c r="AE3776" s="49">
        <f t="shared" si="140"/>
        <v>0.75</v>
      </c>
      <c r="AF3776" s="190">
        <v>1</v>
      </c>
      <c r="AG3776" s="17">
        <v>0</v>
      </c>
      <c r="AH3776" s="190">
        <v>0</v>
      </c>
      <c r="AI3776" s="190">
        <v>0</v>
      </c>
      <c r="AJ3776" s="190">
        <v>0</v>
      </c>
      <c r="AK3776" s="191">
        <v>0</v>
      </c>
      <c r="AL3776" s="191">
        <v>0</v>
      </c>
      <c r="AM3776" s="17">
        <f t="shared" si="141"/>
        <v>0</v>
      </c>
      <c r="AN3776" s="162" t="s">
        <v>4115</v>
      </c>
      <c r="AO3776" s="162" t="s">
        <v>4116</v>
      </c>
    </row>
    <row r="3777" spans="1:41" s="162" customFormat="1" x14ac:dyDescent="0.3">
      <c r="A3777" s="205" t="s">
        <v>8321</v>
      </c>
      <c r="B3777" s="162" t="s">
        <v>8322</v>
      </c>
      <c r="C3777" s="168" t="s">
        <v>13452</v>
      </c>
      <c r="D3777" s="162" t="s">
        <v>13453</v>
      </c>
      <c r="E3777" s="406" t="s">
        <v>13454</v>
      </c>
      <c r="F3777" s="162" t="s">
        <v>13455</v>
      </c>
      <c r="G3777" s="162">
        <v>162201</v>
      </c>
      <c r="H3777" s="162" t="s">
        <v>13456</v>
      </c>
      <c r="K3777" s="406">
        <v>16220103</v>
      </c>
      <c r="L3777" s="162" t="s">
        <v>14129</v>
      </c>
      <c r="M3777" s="162" t="s">
        <v>14134</v>
      </c>
      <c r="O3777" s="492"/>
      <c r="P3777" s="492"/>
      <c r="Q3777" s="224"/>
      <c r="R3777" s="224"/>
      <c r="S3777" s="224"/>
      <c r="T3777" s="223" t="s">
        <v>4115</v>
      </c>
      <c r="U3777" t="str">
        <f>VLOOKUP(T3777,[8]Votes!$A$1:$E$234,3,FALSE)</f>
        <v>309 National Identification and Registration Authority (NIRA)</v>
      </c>
      <c r="V3777" s="162" t="s">
        <v>14135</v>
      </c>
      <c r="W3777" s="388">
        <v>0</v>
      </c>
      <c r="X3777" s="388">
        <v>0</v>
      </c>
      <c r="Y3777" s="388">
        <v>0</v>
      </c>
      <c r="Z3777" s="388">
        <v>0</v>
      </c>
      <c r="AA3777" s="388">
        <v>0</v>
      </c>
      <c r="AB3777" s="388">
        <v>0</v>
      </c>
      <c r="AC3777" s="150">
        <v>0</v>
      </c>
      <c r="AD3777" s="150">
        <v>0</v>
      </c>
      <c r="AE3777" s="49">
        <f t="shared" si="140"/>
        <v>0</v>
      </c>
      <c r="AF3777" s="485">
        <v>0</v>
      </c>
      <c r="AG3777" s="17">
        <v>0</v>
      </c>
      <c r="AH3777" s="190">
        <v>0</v>
      </c>
      <c r="AI3777" s="190">
        <v>0</v>
      </c>
      <c r="AJ3777" s="190">
        <v>0</v>
      </c>
      <c r="AK3777" s="191">
        <v>0</v>
      </c>
      <c r="AL3777" s="191">
        <v>0</v>
      </c>
      <c r="AM3777" s="17">
        <f t="shared" si="141"/>
        <v>0</v>
      </c>
      <c r="AN3777" s="162" t="s">
        <v>4115</v>
      </c>
      <c r="AO3777" s="162" t="s">
        <v>4116</v>
      </c>
    </row>
    <row r="3778" spans="1:41" s="162" customFormat="1" x14ac:dyDescent="0.3">
      <c r="A3778" s="205" t="s">
        <v>8321</v>
      </c>
      <c r="B3778" s="162" t="s">
        <v>8322</v>
      </c>
      <c r="C3778" s="168" t="s">
        <v>13277</v>
      </c>
      <c r="D3778" s="162" t="s">
        <v>13278</v>
      </c>
      <c r="E3778" s="168" t="s">
        <v>13279</v>
      </c>
      <c r="F3778" s="162" t="s">
        <v>13280</v>
      </c>
      <c r="G3778" s="168" t="s">
        <v>14101</v>
      </c>
      <c r="H3778" s="162" t="s">
        <v>14102</v>
      </c>
      <c r="K3778" s="162">
        <v>16111707</v>
      </c>
      <c r="L3778" s="162" t="s">
        <v>14136</v>
      </c>
      <c r="M3778" s="162" t="s">
        <v>14137</v>
      </c>
      <c r="O3778" s="492">
        <v>0</v>
      </c>
      <c r="P3778" s="492">
        <v>0</v>
      </c>
      <c r="Q3778" s="224">
        <v>1</v>
      </c>
      <c r="R3778" s="224">
        <v>0</v>
      </c>
      <c r="S3778" s="224">
        <v>0</v>
      </c>
      <c r="T3778" s="223" t="s">
        <v>4115</v>
      </c>
      <c r="U3778" t="str">
        <f>VLOOKUP(T3778,[8]Votes!$A$1:$E$234,3,FALSE)</f>
        <v>309 National Identification and Registration Authority (NIRA)</v>
      </c>
      <c r="V3778" s="162" t="s">
        <v>14138</v>
      </c>
      <c r="W3778" s="416">
        <v>1</v>
      </c>
      <c r="X3778" s="416">
        <v>1</v>
      </c>
      <c r="Y3778" s="416">
        <v>1</v>
      </c>
      <c r="Z3778" s="416">
        <v>1</v>
      </c>
      <c r="AA3778" s="416">
        <v>1</v>
      </c>
      <c r="AB3778" s="416">
        <v>0</v>
      </c>
      <c r="AC3778" s="150">
        <v>0</v>
      </c>
      <c r="AD3778" s="150">
        <v>1</v>
      </c>
      <c r="AE3778" s="49">
        <f t="shared" si="140"/>
        <v>0.75</v>
      </c>
      <c r="AF3778" s="190">
        <v>1</v>
      </c>
      <c r="AG3778" s="17">
        <v>0</v>
      </c>
      <c r="AH3778" s="190">
        <v>0</v>
      </c>
      <c r="AI3778" s="190">
        <v>0</v>
      </c>
      <c r="AJ3778" s="485">
        <v>140</v>
      </c>
      <c r="AK3778" s="191">
        <v>0</v>
      </c>
      <c r="AL3778" s="191">
        <v>0</v>
      </c>
      <c r="AM3778" s="17">
        <f t="shared" si="141"/>
        <v>0</v>
      </c>
      <c r="AN3778" s="162" t="s">
        <v>4115</v>
      </c>
      <c r="AO3778" s="162" t="s">
        <v>4116</v>
      </c>
    </row>
    <row r="3779" spans="1:41" s="162" customFormat="1" x14ac:dyDescent="0.3">
      <c r="A3779" s="205" t="s">
        <v>8321</v>
      </c>
      <c r="B3779" s="162" t="s">
        <v>8322</v>
      </c>
      <c r="C3779" s="168" t="s">
        <v>13277</v>
      </c>
      <c r="D3779" s="162" t="s">
        <v>13278</v>
      </c>
      <c r="E3779" s="168" t="s">
        <v>13279</v>
      </c>
      <c r="F3779" s="162" t="s">
        <v>13280</v>
      </c>
      <c r="G3779" s="168" t="s">
        <v>14101</v>
      </c>
      <c r="H3779" s="162" t="s">
        <v>14102</v>
      </c>
      <c r="K3779" s="162">
        <v>16111707</v>
      </c>
      <c r="L3779" s="162" t="s">
        <v>14136</v>
      </c>
      <c r="M3779" s="162" t="s">
        <v>14137</v>
      </c>
      <c r="O3779" s="492">
        <v>0</v>
      </c>
      <c r="P3779" s="492">
        <v>0</v>
      </c>
      <c r="Q3779" s="224"/>
      <c r="R3779" s="504">
        <v>10575</v>
      </c>
      <c r="S3779" s="224">
        <v>0</v>
      </c>
      <c r="T3779" s="223" t="s">
        <v>4115</v>
      </c>
      <c r="U3779" t="str">
        <f>VLOOKUP(T3779,[8]Votes!$A$1:$E$234,3,FALSE)</f>
        <v>309 National Identification and Registration Authority (NIRA)</v>
      </c>
      <c r="V3779" s="162" t="s">
        <v>14139</v>
      </c>
      <c r="W3779" s="416">
        <v>1</v>
      </c>
      <c r="X3779" s="416">
        <v>1</v>
      </c>
      <c r="Y3779" s="416">
        <v>1</v>
      </c>
      <c r="Z3779" s="416">
        <v>1</v>
      </c>
      <c r="AA3779" s="416">
        <v>1</v>
      </c>
      <c r="AB3779" s="416">
        <v>0</v>
      </c>
      <c r="AC3779" s="150">
        <v>0</v>
      </c>
      <c r="AD3779" s="150">
        <v>1</v>
      </c>
      <c r="AE3779" s="49">
        <f t="shared" si="140"/>
        <v>0.75</v>
      </c>
      <c r="AF3779" s="190">
        <v>1</v>
      </c>
      <c r="AG3779" s="17">
        <v>0</v>
      </c>
      <c r="AH3779" s="190">
        <v>0</v>
      </c>
      <c r="AI3779" s="190">
        <v>0</v>
      </c>
      <c r="AJ3779" s="190">
        <v>0</v>
      </c>
      <c r="AK3779" s="493">
        <v>0</v>
      </c>
      <c r="AL3779" s="191">
        <v>0</v>
      </c>
      <c r="AM3779" s="17">
        <f t="shared" si="141"/>
        <v>0</v>
      </c>
      <c r="AN3779" s="162" t="s">
        <v>4115</v>
      </c>
      <c r="AO3779" s="162" t="s">
        <v>4116</v>
      </c>
    </row>
    <row r="3780" spans="1:41" s="162" customFormat="1" x14ac:dyDescent="0.3">
      <c r="A3780" s="205" t="s">
        <v>8321</v>
      </c>
      <c r="B3780" s="162" t="s">
        <v>8322</v>
      </c>
      <c r="C3780" s="168" t="s">
        <v>13277</v>
      </c>
      <c r="D3780" s="162" t="s">
        <v>13278</v>
      </c>
      <c r="E3780" s="168" t="s">
        <v>13279</v>
      </c>
      <c r="F3780" s="162" t="s">
        <v>13280</v>
      </c>
      <c r="G3780" s="168" t="s">
        <v>14101</v>
      </c>
      <c r="H3780" s="162" t="s">
        <v>14102</v>
      </c>
      <c r="K3780" s="162">
        <v>16111707</v>
      </c>
      <c r="L3780" s="162" t="s">
        <v>14136</v>
      </c>
      <c r="M3780" s="162" t="s">
        <v>14137</v>
      </c>
      <c r="O3780" s="492">
        <v>0</v>
      </c>
      <c r="P3780" s="492">
        <v>0</v>
      </c>
      <c r="Q3780" s="224">
        <v>0</v>
      </c>
      <c r="R3780" s="224">
        <v>7.9</v>
      </c>
      <c r="S3780" s="224">
        <v>7.9</v>
      </c>
      <c r="T3780" s="223" t="s">
        <v>4115</v>
      </c>
      <c r="U3780" t="str">
        <f>VLOOKUP(T3780,[8]Votes!$A$1:$E$234,3,FALSE)</f>
        <v>309 National Identification and Registration Authority (NIRA)</v>
      </c>
      <c r="V3780" s="162" t="s">
        <v>14140</v>
      </c>
      <c r="W3780" s="416">
        <v>1</v>
      </c>
      <c r="X3780" s="416">
        <v>1</v>
      </c>
      <c r="Y3780" s="416">
        <v>1</v>
      </c>
      <c r="Z3780" s="416">
        <v>1</v>
      </c>
      <c r="AA3780" s="416">
        <v>1</v>
      </c>
      <c r="AB3780" s="416">
        <v>0</v>
      </c>
      <c r="AC3780" s="150">
        <v>0</v>
      </c>
      <c r="AD3780" s="150">
        <v>1</v>
      </c>
      <c r="AE3780" s="49">
        <f t="shared" si="140"/>
        <v>0.75</v>
      </c>
      <c r="AF3780" s="190">
        <v>1</v>
      </c>
      <c r="AG3780" s="17">
        <v>0</v>
      </c>
      <c r="AH3780" s="190">
        <v>0</v>
      </c>
      <c r="AI3780" s="190">
        <v>0</v>
      </c>
      <c r="AJ3780" s="190">
        <v>0</v>
      </c>
      <c r="AK3780" s="493">
        <v>400</v>
      </c>
      <c r="AL3780" s="493">
        <v>300</v>
      </c>
      <c r="AM3780" s="17">
        <f t="shared" si="141"/>
        <v>700</v>
      </c>
      <c r="AN3780" s="162" t="s">
        <v>4115</v>
      </c>
      <c r="AO3780" s="162" t="s">
        <v>4116</v>
      </c>
    </row>
    <row r="3781" spans="1:41" s="162" customFormat="1" x14ac:dyDescent="0.3">
      <c r="A3781" s="205" t="s">
        <v>8321</v>
      </c>
      <c r="B3781" s="162" t="s">
        <v>8322</v>
      </c>
      <c r="C3781" s="168" t="s">
        <v>13277</v>
      </c>
      <c r="D3781" s="162" t="s">
        <v>13278</v>
      </c>
      <c r="E3781" s="168" t="s">
        <v>13279</v>
      </c>
      <c r="F3781" s="162" t="s">
        <v>13280</v>
      </c>
      <c r="G3781" s="168" t="s">
        <v>14101</v>
      </c>
      <c r="H3781" s="162" t="s">
        <v>14102</v>
      </c>
      <c r="K3781" s="162">
        <v>16111708</v>
      </c>
      <c r="L3781" s="162" t="s">
        <v>14141</v>
      </c>
      <c r="M3781" s="162" t="s">
        <v>14142</v>
      </c>
      <c r="O3781" s="224"/>
      <c r="P3781" s="229"/>
      <c r="Q3781" s="229"/>
      <c r="R3781" s="224"/>
      <c r="S3781" s="229"/>
      <c r="T3781" s="223" t="s">
        <v>4115</v>
      </c>
      <c r="U3781" t="str">
        <f>VLOOKUP(T3781,[8]Votes!$A$1:$E$234,3,FALSE)</f>
        <v>309 National Identification and Registration Authority (NIRA)</v>
      </c>
      <c r="V3781" s="162" t="s">
        <v>14143</v>
      </c>
      <c r="W3781" s="416">
        <v>1</v>
      </c>
      <c r="X3781" s="416">
        <v>1</v>
      </c>
      <c r="Y3781" s="416">
        <v>1</v>
      </c>
      <c r="Z3781" s="416">
        <v>1</v>
      </c>
      <c r="AA3781" s="416">
        <v>1</v>
      </c>
      <c r="AB3781" s="416">
        <v>0</v>
      </c>
      <c r="AC3781" s="150">
        <v>0</v>
      </c>
      <c r="AD3781" s="150">
        <v>1</v>
      </c>
      <c r="AE3781" s="49">
        <f t="shared" si="140"/>
        <v>0.75</v>
      </c>
      <c r="AF3781" s="190">
        <v>1</v>
      </c>
      <c r="AG3781" s="17">
        <v>0</v>
      </c>
      <c r="AH3781" s="190">
        <v>0</v>
      </c>
      <c r="AI3781" s="190">
        <v>0</v>
      </c>
      <c r="AJ3781" s="190">
        <v>0</v>
      </c>
      <c r="AK3781" s="191">
        <v>0</v>
      </c>
      <c r="AL3781" s="191">
        <v>0</v>
      </c>
      <c r="AM3781" s="17">
        <f t="shared" si="141"/>
        <v>0</v>
      </c>
      <c r="AN3781" s="162" t="s">
        <v>4115</v>
      </c>
      <c r="AO3781" s="162" t="s">
        <v>4116</v>
      </c>
    </row>
    <row r="3782" spans="1:41" s="162" customFormat="1" x14ac:dyDescent="0.3">
      <c r="A3782" s="205" t="s">
        <v>8321</v>
      </c>
      <c r="B3782" s="162" t="s">
        <v>8322</v>
      </c>
      <c r="C3782" s="168" t="s">
        <v>13277</v>
      </c>
      <c r="D3782" s="162" t="s">
        <v>13278</v>
      </c>
      <c r="E3782" s="168" t="s">
        <v>13279</v>
      </c>
      <c r="F3782" s="162" t="s">
        <v>13280</v>
      </c>
      <c r="G3782" s="168" t="s">
        <v>14101</v>
      </c>
      <c r="H3782" s="162" t="s">
        <v>14102</v>
      </c>
      <c r="K3782" s="162">
        <v>16111709</v>
      </c>
      <c r="L3782" s="162" t="s">
        <v>14144</v>
      </c>
      <c r="M3782" s="162" t="s">
        <v>14145</v>
      </c>
      <c r="O3782" s="224">
        <v>0</v>
      </c>
      <c r="P3782" s="224">
        <v>0</v>
      </c>
      <c r="Q3782" s="229">
        <v>9</v>
      </c>
      <c r="R3782" s="224">
        <v>6.8</v>
      </c>
      <c r="S3782" s="224">
        <v>0</v>
      </c>
      <c r="T3782" s="223" t="s">
        <v>4115</v>
      </c>
      <c r="U3782" t="str">
        <f>VLOOKUP(T3782,[8]Votes!$A$1:$E$234,3,FALSE)</f>
        <v>309 National Identification and Registration Authority (NIRA)</v>
      </c>
      <c r="V3782" s="162" t="s">
        <v>14146</v>
      </c>
      <c r="W3782" s="416">
        <v>1</v>
      </c>
      <c r="X3782" s="416">
        <v>1</v>
      </c>
      <c r="Y3782" s="416">
        <v>1</v>
      </c>
      <c r="Z3782" s="416">
        <v>1</v>
      </c>
      <c r="AA3782" s="416">
        <v>1</v>
      </c>
      <c r="AB3782" s="416">
        <v>0</v>
      </c>
      <c r="AC3782" s="150">
        <v>0</v>
      </c>
      <c r="AD3782" s="150">
        <v>1</v>
      </c>
      <c r="AE3782" s="49">
        <f t="shared" si="140"/>
        <v>0.75</v>
      </c>
      <c r="AF3782" s="190">
        <v>1</v>
      </c>
      <c r="AG3782" s="17">
        <v>0</v>
      </c>
      <c r="AH3782" s="190">
        <v>0</v>
      </c>
      <c r="AI3782" s="190">
        <v>0</v>
      </c>
      <c r="AJ3782" s="485">
        <v>67</v>
      </c>
      <c r="AK3782" s="493">
        <v>0</v>
      </c>
      <c r="AL3782" s="191">
        <v>0</v>
      </c>
      <c r="AM3782" s="17">
        <f t="shared" si="141"/>
        <v>0</v>
      </c>
      <c r="AN3782" s="162" t="s">
        <v>4115</v>
      </c>
      <c r="AO3782" s="162" t="s">
        <v>4116</v>
      </c>
    </row>
    <row r="3783" spans="1:41" s="162" customFormat="1" x14ac:dyDescent="0.3">
      <c r="A3783" s="205" t="s">
        <v>8321</v>
      </c>
      <c r="B3783" s="162" t="s">
        <v>8322</v>
      </c>
      <c r="C3783" s="168" t="s">
        <v>13277</v>
      </c>
      <c r="D3783" s="162" t="s">
        <v>13278</v>
      </c>
      <c r="E3783" s="168" t="s">
        <v>13279</v>
      </c>
      <c r="F3783" s="162" t="s">
        <v>13280</v>
      </c>
      <c r="G3783" s="168" t="s">
        <v>14101</v>
      </c>
      <c r="H3783" s="162" t="s">
        <v>14102</v>
      </c>
      <c r="K3783" s="162">
        <v>16111709</v>
      </c>
      <c r="L3783" s="162" t="s">
        <v>14144</v>
      </c>
      <c r="M3783" s="162" t="s">
        <v>14147</v>
      </c>
      <c r="O3783" s="226"/>
      <c r="P3783" s="492">
        <v>0.15</v>
      </c>
      <c r="Q3783" s="492">
        <v>0.15</v>
      </c>
      <c r="R3783" s="492">
        <v>0.15</v>
      </c>
      <c r="S3783" s="492">
        <v>0.15</v>
      </c>
      <c r="T3783" s="223" t="s">
        <v>1446</v>
      </c>
      <c r="U3783" t="str">
        <f>VLOOKUP(T3783,[8]Votes!$A$1:$E$234,3,FALSE)</f>
        <v>141 Uganda Revenue Authority</v>
      </c>
      <c r="V3783" s="162" t="s">
        <v>14148</v>
      </c>
      <c r="W3783" s="416">
        <v>1</v>
      </c>
      <c r="X3783" s="416">
        <v>1</v>
      </c>
      <c r="Y3783" s="416">
        <v>1</v>
      </c>
      <c r="Z3783" s="416">
        <v>1</v>
      </c>
      <c r="AA3783" s="416">
        <v>1</v>
      </c>
      <c r="AB3783" s="416">
        <v>0</v>
      </c>
      <c r="AC3783" s="150">
        <v>0</v>
      </c>
      <c r="AD3783" s="150">
        <v>1</v>
      </c>
      <c r="AE3783" s="49">
        <f t="shared" si="140"/>
        <v>0.75</v>
      </c>
      <c r="AF3783" s="190">
        <v>1</v>
      </c>
      <c r="AG3783" s="17">
        <v>0</v>
      </c>
      <c r="AH3783" s="190">
        <v>0</v>
      </c>
      <c r="AI3783" s="485">
        <v>7.5</v>
      </c>
      <c r="AJ3783" s="485">
        <v>7.5</v>
      </c>
      <c r="AK3783" s="493">
        <v>7.5</v>
      </c>
      <c r="AL3783" s="191">
        <v>0</v>
      </c>
      <c r="AM3783" s="17">
        <f t="shared" si="141"/>
        <v>7.5</v>
      </c>
      <c r="AN3783" s="162" t="s">
        <v>1446</v>
      </c>
      <c r="AO3783" s="162" t="s">
        <v>3715</v>
      </c>
    </row>
    <row r="3784" spans="1:41" s="162" customFormat="1" x14ac:dyDescent="0.3">
      <c r="A3784" s="205" t="s">
        <v>8321</v>
      </c>
      <c r="B3784" s="162" t="s">
        <v>8322</v>
      </c>
      <c r="C3784" s="168" t="s">
        <v>13277</v>
      </c>
      <c r="D3784" s="162" t="s">
        <v>13278</v>
      </c>
      <c r="E3784" s="168" t="s">
        <v>13279</v>
      </c>
      <c r="F3784" s="162" t="s">
        <v>13280</v>
      </c>
      <c r="G3784" s="168" t="s">
        <v>14101</v>
      </c>
      <c r="H3784" s="162" t="s">
        <v>14102</v>
      </c>
      <c r="K3784" s="162">
        <v>16111710</v>
      </c>
      <c r="L3784" s="162" t="s">
        <v>14149</v>
      </c>
      <c r="M3784" s="162" t="s">
        <v>14150</v>
      </c>
      <c r="N3784" s="450">
        <v>156000</v>
      </c>
      <c r="O3784" s="224"/>
      <c r="P3784" s="229">
        <v>200000</v>
      </c>
      <c r="Q3784" s="229">
        <v>180000</v>
      </c>
      <c r="R3784" s="229">
        <v>160000</v>
      </c>
      <c r="S3784" s="229">
        <v>160000</v>
      </c>
      <c r="T3784" s="223" t="s">
        <v>13975</v>
      </c>
      <c r="U3784" t="e">
        <f>VLOOKUP(T3784,[8]Votes!$A$1:$E$234,3,FALSE)</f>
        <v>#N/A</v>
      </c>
      <c r="V3784" s="162" t="s">
        <v>14151</v>
      </c>
      <c r="W3784" s="416">
        <v>1</v>
      </c>
      <c r="X3784" s="416">
        <v>1</v>
      </c>
      <c r="Y3784" s="416">
        <v>1</v>
      </c>
      <c r="Z3784" s="416">
        <v>1</v>
      </c>
      <c r="AA3784" s="416">
        <v>1</v>
      </c>
      <c r="AB3784" s="416">
        <v>0</v>
      </c>
      <c r="AC3784" s="150">
        <v>0</v>
      </c>
      <c r="AD3784" s="150">
        <v>1</v>
      </c>
      <c r="AE3784" s="49">
        <f t="shared" si="140"/>
        <v>0.75</v>
      </c>
      <c r="AF3784" s="190">
        <v>1</v>
      </c>
      <c r="AG3784" s="17">
        <v>0</v>
      </c>
      <c r="AH3784" s="190">
        <v>0</v>
      </c>
      <c r="AI3784" s="485">
        <v>43.5</v>
      </c>
      <c r="AJ3784" s="485">
        <v>39.200000000000003</v>
      </c>
      <c r="AK3784" s="493">
        <v>50</v>
      </c>
      <c r="AL3784" s="493">
        <v>50</v>
      </c>
      <c r="AM3784" s="17">
        <f t="shared" si="141"/>
        <v>100</v>
      </c>
      <c r="AN3784" s="162" t="s">
        <v>13766</v>
      </c>
      <c r="AO3784" s="162" t="s">
        <v>13768</v>
      </c>
    </row>
    <row r="3785" spans="1:41" s="162" customFormat="1" x14ac:dyDescent="0.3">
      <c r="A3785" s="205" t="s">
        <v>8321</v>
      </c>
      <c r="B3785" s="162" t="s">
        <v>8322</v>
      </c>
      <c r="C3785" s="168" t="s">
        <v>13277</v>
      </c>
      <c r="D3785" s="162" t="s">
        <v>13278</v>
      </c>
      <c r="E3785" s="168" t="s">
        <v>13279</v>
      </c>
      <c r="F3785" s="162" t="s">
        <v>13280</v>
      </c>
      <c r="G3785" s="168" t="s">
        <v>14101</v>
      </c>
      <c r="H3785" s="162" t="s">
        <v>14102</v>
      </c>
      <c r="K3785" s="162">
        <v>16111711</v>
      </c>
      <c r="L3785" s="162" t="s">
        <v>14152</v>
      </c>
      <c r="M3785" s="162" t="s">
        <v>14153</v>
      </c>
      <c r="N3785" s="162" t="s">
        <v>119</v>
      </c>
      <c r="O3785" s="224"/>
      <c r="P3785" s="229"/>
      <c r="Q3785" s="229">
        <v>1</v>
      </c>
      <c r="R3785" s="229"/>
      <c r="S3785" s="229"/>
      <c r="T3785" s="223" t="s">
        <v>13766</v>
      </c>
      <c r="U3785" t="str">
        <f>VLOOKUP(T3785,[8]Votes!$A$1:$E$234,3,FALSE)</f>
        <v>120 National Citizenship and Immigration Control</v>
      </c>
      <c r="V3785" s="162" t="s">
        <v>14154</v>
      </c>
      <c r="W3785" s="416">
        <v>1</v>
      </c>
      <c r="X3785" s="416">
        <v>1</v>
      </c>
      <c r="Y3785" s="416">
        <v>1</v>
      </c>
      <c r="Z3785" s="416">
        <v>1</v>
      </c>
      <c r="AA3785" s="416">
        <v>1</v>
      </c>
      <c r="AB3785" s="416">
        <v>0</v>
      </c>
      <c r="AC3785" s="150">
        <v>0</v>
      </c>
      <c r="AD3785" s="150">
        <v>1</v>
      </c>
      <c r="AE3785" s="49">
        <f t="shared" si="140"/>
        <v>0.75</v>
      </c>
      <c r="AF3785" s="190">
        <v>1</v>
      </c>
      <c r="AG3785" s="17">
        <v>0</v>
      </c>
      <c r="AH3785" s="190">
        <v>0</v>
      </c>
      <c r="AI3785" s="190">
        <v>0</v>
      </c>
      <c r="AJ3785" s="485">
        <v>5.2</v>
      </c>
      <c r="AK3785" s="191">
        <v>0</v>
      </c>
      <c r="AL3785" s="191">
        <v>0</v>
      </c>
      <c r="AM3785" s="17">
        <f t="shared" si="141"/>
        <v>0</v>
      </c>
      <c r="AN3785" s="162" t="s">
        <v>13766</v>
      </c>
      <c r="AO3785" s="162" t="s">
        <v>13768</v>
      </c>
    </row>
    <row r="3786" spans="1:41" s="162" customFormat="1" x14ac:dyDescent="0.3">
      <c r="A3786" s="205" t="s">
        <v>8321</v>
      </c>
      <c r="B3786" s="162" t="s">
        <v>8322</v>
      </c>
      <c r="C3786" s="168" t="s">
        <v>13277</v>
      </c>
      <c r="D3786" s="162" t="s">
        <v>13278</v>
      </c>
      <c r="E3786" s="168" t="s">
        <v>13279</v>
      </c>
      <c r="F3786" s="162" t="s">
        <v>13280</v>
      </c>
      <c r="G3786" s="168" t="s">
        <v>14101</v>
      </c>
      <c r="H3786" s="162" t="s">
        <v>14102</v>
      </c>
      <c r="K3786" s="162">
        <v>16111712</v>
      </c>
      <c r="L3786" s="162" t="s">
        <v>14155</v>
      </c>
      <c r="M3786" s="162" t="s">
        <v>14156</v>
      </c>
      <c r="N3786" s="162" t="s">
        <v>119</v>
      </c>
      <c r="O3786" s="224">
        <v>2</v>
      </c>
      <c r="P3786" s="229">
        <v>3</v>
      </c>
      <c r="Q3786" s="229">
        <v>5</v>
      </c>
      <c r="R3786" s="229">
        <v>5</v>
      </c>
      <c r="S3786" s="229">
        <v>5</v>
      </c>
      <c r="T3786" s="223" t="s">
        <v>13766</v>
      </c>
      <c r="U3786" t="str">
        <f>VLOOKUP(T3786,[8]Votes!$A$1:$E$234,3,FALSE)</f>
        <v>120 National Citizenship and Immigration Control</v>
      </c>
      <c r="V3786" s="162" t="s">
        <v>14157</v>
      </c>
      <c r="W3786" s="416">
        <v>1</v>
      </c>
      <c r="X3786" s="416">
        <v>1</v>
      </c>
      <c r="Y3786" s="416">
        <v>1</v>
      </c>
      <c r="Z3786" s="416">
        <v>1</v>
      </c>
      <c r="AA3786" s="416">
        <v>1</v>
      </c>
      <c r="AB3786" s="416">
        <v>0</v>
      </c>
      <c r="AC3786" s="150">
        <v>0</v>
      </c>
      <c r="AD3786" s="150">
        <v>1</v>
      </c>
      <c r="AE3786" s="49">
        <f t="shared" si="140"/>
        <v>0.75</v>
      </c>
      <c r="AF3786" s="190">
        <v>1</v>
      </c>
      <c r="AG3786" s="17">
        <v>0</v>
      </c>
      <c r="AH3786" s="485">
        <v>2.25</v>
      </c>
      <c r="AI3786" s="485">
        <v>3.375</v>
      </c>
      <c r="AJ3786" s="485">
        <v>5.625</v>
      </c>
      <c r="AK3786" s="493">
        <v>4.8</v>
      </c>
      <c r="AL3786" s="493">
        <v>4.8</v>
      </c>
      <c r="AM3786" s="17">
        <f t="shared" si="141"/>
        <v>9.6</v>
      </c>
      <c r="AN3786" s="162" t="s">
        <v>13766</v>
      </c>
      <c r="AO3786" s="162" t="s">
        <v>13768</v>
      </c>
    </row>
    <row r="3787" spans="1:41" s="162" customFormat="1" x14ac:dyDescent="0.3">
      <c r="A3787" s="205" t="s">
        <v>8321</v>
      </c>
      <c r="B3787" s="162" t="s">
        <v>8322</v>
      </c>
      <c r="C3787" s="168" t="s">
        <v>13277</v>
      </c>
      <c r="D3787" s="162" t="s">
        <v>13278</v>
      </c>
      <c r="E3787" s="168" t="s">
        <v>13279</v>
      </c>
      <c r="F3787" s="162" t="s">
        <v>13280</v>
      </c>
      <c r="G3787" s="168" t="s">
        <v>14101</v>
      </c>
      <c r="H3787" s="162" t="s">
        <v>14102</v>
      </c>
      <c r="K3787" s="162">
        <v>16111713</v>
      </c>
      <c r="L3787" s="162" t="s">
        <v>14158</v>
      </c>
      <c r="M3787" s="162" t="s">
        <v>14159</v>
      </c>
      <c r="N3787" s="462">
        <v>0.95</v>
      </c>
      <c r="O3787" s="492">
        <v>1</v>
      </c>
      <c r="P3787" s="492">
        <v>1</v>
      </c>
      <c r="Q3787" s="492">
        <v>1</v>
      </c>
      <c r="R3787" s="492">
        <v>1</v>
      </c>
      <c r="S3787" s="492">
        <v>1</v>
      </c>
      <c r="T3787" s="223" t="s">
        <v>13766</v>
      </c>
      <c r="U3787" t="str">
        <f>VLOOKUP(T3787,[8]Votes!$A$1:$E$234,3,FALSE)</f>
        <v>120 National Citizenship and Immigration Control</v>
      </c>
      <c r="V3787" s="162" t="s">
        <v>14160</v>
      </c>
      <c r="W3787" s="416">
        <v>1</v>
      </c>
      <c r="X3787" s="416">
        <v>1</v>
      </c>
      <c r="Y3787" s="416">
        <v>1</v>
      </c>
      <c r="Z3787" s="416">
        <v>1</v>
      </c>
      <c r="AA3787" s="416">
        <v>1</v>
      </c>
      <c r="AB3787" s="416">
        <v>0</v>
      </c>
      <c r="AC3787" s="150">
        <v>0</v>
      </c>
      <c r="AD3787" s="150">
        <v>1</v>
      </c>
      <c r="AE3787" s="49">
        <f t="shared" si="140"/>
        <v>0.75</v>
      </c>
      <c r="AF3787" s="190">
        <v>1</v>
      </c>
      <c r="AG3787" s="17">
        <v>0</v>
      </c>
      <c r="AH3787" s="485">
        <v>12</v>
      </c>
      <c r="AI3787" s="485">
        <v>15.6</v>
      </c>
      <c r="AJ3787" s="485">
        <v>18.2</v>
      </c>
      <c r="AK3787" s="493">
        <v>7</v>
      </c>
      <c r="AL3787" s="493">
        <v>7</v>
      </c>
      <c r="AM3787" s="17">
        <f t="shared" si="141"/>
        <v>14</v>
      </c>
      <c r="AN3787" s="162" t="s">
        <v>13766</v>
      </c>
      <c r="AO3787" s="162" t="s">
        <v>13768</v>
      </c>
    </row>
    <row r="3788" spans="1:41" s="162" customFormat="1" x14ac:dyDescent="0.3">
      <c r="A3788" s="205" t="s">
        <v>8321</v>
      </c>
      <c r="B3788" s="162" t="s">
        <v>8322</v>
      </c>
      <c r="C3788" s="168" t="s">
        <v>13277</v>
      </c>
      <c r="D3788" s="162" t="s">
        <v>13278</v>
      </c>
      <c r="E3788" s="168" t="s">
        <v>13279</v>
      </c>
      <c r="F3788" s="162" t="s">
        <v>13280</v>
      </c>
      <c r="G3788" s="168" t="s">
        <v>14101</v>
      </c>
      <c r="H3788" s="162" t="s">
        <v>14102</v>
      </c>
      <c r="K3788" s="162">
        <v>16111714</v>
      </c>
      <c r="L3788" s="162" t="s">
        <v>14161</v>
      </c>
      <c r="M3788" s="162" t="s">
        <v>14162</v>
      </c>
      <c r="N3788" s="162">
        <v>0</v>
      </c>
      <c r="O3788" s="224">
        <v>6</v>
      </c>
      <c r="P3788" s="224">
        <v>10</v>
      </c>
      <c r="Q3788" s="224">
        <v>15</v>
      </c>
      <c r="R3788" s="224">
        <v>20</v>
      </c>
      <c r="S3788" s="224">
        <v>25</v>
      </c>
      <c r="T3788" s="223" t="s">
        <v>13766</v>
      </c>
      <c r="U3788" t="str">
        <f>VLOOKUP(T3788,[8]Votes!$A$1:$E$234,3,FALSE)</f>
        <v>120 National Citizenship and Immigration Control</v>
      </c>
      <c r="V3788" s="162" t="s">
        <v>14163</v>
      </c>
      <c r="W3788" s="416">
        <v>1</v>
      </c>
      <c r="X3788" s="416">
        <v>1</v>
      </c>
      <c r="Y3788" s="416">
        <v>1</v>
      </c>
      <c r="Z3788" s="416">
        <v>1</v>
      </c>
      <c r="AA3788" s="416">
        <v>1</v>
      </c>
      <c r="AB3788" s="416">
        <v>0</v>
      </c>
      <c r="AC3788" s="150">
        <v>0</v>
      </c>
      <c r="AD3788" s="150">
        <v>1</v>
      </c>
      <c r="AE3788" s="49">
        <f t="shared" si="140"/>
        <v>0.75</v>
      </c>
      <c r="AF3788" s="190">
        <v>1</v>
      </c>
      <c r="AG3788" s="17">
        <v>0</v>
      </c>
      <c r="AH3788" s="485">
        <v>0.39</v>
      </c>
      <c r="AI3788" s="485">
        <v>0.65</v>
      </c>
      <c r="AJ3788" s="485">
        <v>0.97499999999999998</v>
      </c>
      <c r="AK3788" s="493">
        <v>1.3</v>
      </c>
      <c r="AL3788" s="493">
        <v>1.625</v>
      </c>
      <c r="AM3788" s="17">
        <f t="shared" si="141"/>
        <v>2.9249999999999998</v>
      </c>
      <c r="AN3788" s="162" t="s">
        <v>13766</v>
      </c>
      <c r="AO3788" s="162" t="s">
        <v>13768</v>
      </c>
    </row>
    <row r="3789" spans="1:41" s="162" customFormat="1" x14ac:dyDescent="0.3">
      <c r="A3789" s="205" t="s">
        <v>8321</v>
      </c>
      <c r="B3789" s="162" t="s">
        <v>8322</v>
      </c>
      <c r="C3789" s="168" t="s">
        <v>13277</v>
      </c>
      <c r="D3789" s="162" t="s">
        <v>13278</v>
      </c>
      <c r="E3789" s="168" t="s">
        <v>13279</v>
      </c>
      <c r="F3789" s="162" t="s">
        <v>13280</v>
      </c>
      <c r="G3789" s="168" t="s">
        <v>14101</v>
      </c>
      <c r="H3789" s="162" t="s">
        <v>14102</v>
      </c>
      <c r="K3789" s="162">
        <v>16111715</v>
      </c>
      <c r="L3789" s="162" t="s">
        <v>14164</v>
      </c>
      <c r="M3789" s="162" t="s">
        <v>14165</v>
      </c>
      <c r="N3789" s="162">
        <v>15</v>
      </c>
      <c r="O3789" s="224">
        <v>6</v>
      </c>
      <c r="P3789" s="224">
        <v>10</v>
      </c>
      <c r="Q3789" s="224">
        <v>15</v>
      </c>
      <c r="R3789" s="224">
        <v>20</v>
      </c>
      <c r="S3789" s="224">
        <v>25</v>
      </c>
      <c r="T3789" s="223" t="s">
        <v>13766</v>
      </c>
      <c r="U3789" t="str">
        <f>VLOOKUP(T3789,[8]Votes!$A$1:$E$234,3,FALSE)</f>
        <v>120 National Citizenship and Immigration Control</v>
      </c>
      <c r="V3789" s="162" t="s">
        <v>14166</v>
      </c>
      <c r="W3789" s="416">
        <v>1</v>
      </c>
      <c r="X3789" s="416">
        <v>1</v>
      </c>
      <c r="Y3789" s="416">
        <v>1</v>
      </c>
      <c r="Z3789" s="416">
        <v>1</v>
      </c>
      <c r="AA3789" s="416">
        <v>1</v>
      </c>
      <c r="AB3789" s="416">
        <v>0</v>
      </c>
      <c r="AC3789" s="150">
        <v>0</v>
      </c>
      <c r="AD3789" s="150">
        <v>1</v>
      </c>
      <c r="AE3789" s="49">
        <f t="shared" si="140"/>
        <v>0.75</v>
      </c>
      <c r="AF3789" s="190">
        <v>1</v>
      </c>
      <c r="AG3789" s="17">
        <v>0</v>
      </c>
      <c r="AH3789" s="485">
        <v>4.5</v>
      </c>
      <c r="AI3789" s="485">
        <v>7.5</v>
      </c>
      <c r="AJ3789" s="485">
        <v>11.25</v>
      </c>
      <c r="AK3789" s="493">
        <v>5</v>
      </c>
      <c r="AL3789" s="493">
        <v>5.75</v>
      </c>
      <c r="AM3789" s="17">
        <f t="shared" si="141"/>
        <v>10.75</v>
      </c>
      <c r="AN3789" s="162" t="s">
        <v>13766</v>
      </c>
      <c r="AO3789" s="162" t="s">
        <v>13768</v>
      </c>
    </row>
    <row r="3790" spans="1:41" s="162" customFormat="1" x14ac:dyDescent="0.3">
      <c r="A3790" s="205" t="s">
        <v>8321</v>
      </c>
      <c r="B3790" s="162" t="s">
        <v>8322</v>
      </c>
      <c r="C3790" s="168" t="s">
        <v>13277</v>
      </c>
      <c r="D3790" s="162" t="s">
        <v>13278</v>
      </c>
      <c r="E3790" s="168" t="s">
        <v>13279</v>
      </c>
      <c r="F3790" s="162" t="s">
        <v>13280</v>
      </c>
      <c r="G3790" s="168" t="s">
        <v>13385</v>
      </c>
      <c r="H3790" s="168" t="s">
        <v>13386</v>
      </c>
      <c r="K3790" s="168">
        <v>16110702</v>
      </c>
      <c r="L3790" s="162" t="s">
        <v>13390</v>
      </c>
      <c r="M3790" s="162" t="s">
        <v>14167</v>
      </c>
      <c r="O3790" s="224"/>
      <c r="P3790" s="224">
        <v>5</v>
      </c>
      <c r="Q3790" s="224">
        <v>5</v>
      </c>
      <c r="R3790" s="224">
        <v>5</v>
      </c>
      <c r="S3790" s="224">
        <v>5</v>
      </c>
      <c r="T3790" s="223" t="s">
        <v>1446</v>
      </c>
      <c r="U3790" t="str">
        <f>VLOOKUP(T3790,[8]Votes!$A$1:$E$234,3,FALSE)</f>
        <v>141 Uganda Revenue Authority</v>
      </c>
      <c r="V3790" s="162" t="s">
        <v>14168</v>
      </c>
      <c r="W3790" s="416">
        <v>1</v>
      </c>
      <c r="X3790" s="416">
        <v>1</v>
      </c>
      <c r="Y3790" s="416">
        <v>1</v>
      </c>
      <c r="Z3790" s="416">
        <v>1</v>
      </c>
      <c r="AA3790" s="416">
        <v>1</v>
      </c>
      <c r="AB3790" s="416">
        <v>0</v>
      </c>
      <c r="AC3790" s="150">
        <v>0</v>
      </c>
      <c r="AD3790" s="150">
        <v>1</v>
      </c>
      <c r="AE3790" s="49">
        <f t="shared" si="140"/>
        <v>0.75</v>
      </c>
      <c r="AF3790" s="190">
        <v>1</v>
      </c>
      <c r="AG3790" s="17">
        <v>0</v>
      </c>
      <c r="AH3790" s="190">
        <v>0</v>
      </c>
      <c r="AI3790" s="485">
        <v>75</v>
      </c>
      <c r="AJ3790" s="485">
        <v>75</v>
      </c>
      <c r="AK3790" s="493">
        <v>0</v>
      </c>
      <c r="AL3790" s="493">
        <v>0</v>
      </c>
      <c r="AM3790" s="17">
        <f t="shared" si="141"/>
        <v>0</v>
      </c>
      <c r="AN3790" s="162" t="s">
        <v>1446</v>
      </c>
      <c r="AO3790" s="162" t="s">
        <v>3715</v>
      </c>
    </row>
    <row r="3791" spans="1:41" s="162" customFormat="1" x14ac:dyDescent="0.3">
      <c r="A3791" s="205" t="s">
        <v>8321</v>
      </c>
      <c r="B3791" s="162" t="s">
        <v>8322</v>
      </c>
      <c r="C3791" s="168" t="s">
        <v>13277</v>
      </c>
      <c r="D3791" s="162" t="s">
        <v>13278</v>
      </c>
      <c r="E3791" s="168" t="s">
        <v>13279</v>
      </c>
      <c r="F3791" s="162" t="s">
        <v>13280</v>
      </c>
      <c r="G3791" s="168" t="s">
        <v>13385</v>
      </c>
      <c r="H3791" s="168" t="s">
        <v>13386</v>
      </c>
      <c r="K3791" s="168">
        <v>16110704</v>
      </c>
      <c r="L3791" s="162" t="s">
        <v>14169</v>
      </c>
      <c r="M3791" s="162" t="s">
        <v>14170</v>
      </c>
      <c r="O3791" s="224">
        <v>45</v>
      </c>
      <c r="P3791" s="224">
        <v>45</v>
      </c>
      <c r="Q3791" s="224">
        <v>50</v>
      </c>
      <c r="R3791" s="224">
        <v>55</v>
      </c>
      <c r="S3791" s="224">
        <v>60</v>
      </c>
      <c r="T3791" s="223" t="s">
        <v>13741</v>
      </c>
      <c r="U3791" t="str">
        <f>VLOOKUP(T3791,[8]Votes!$A$1:$E$234,3,FALSE)</f>
        <v>158 Internal Security Organisation</v>
      </c>
      <c r="V3791" s="162" t="s">
        <v>14171</v>
      </c>
      <c r="W3791" s="416">
        <v>1</v>
      </c>
      <c r="X3791" s="416">
        <v>1</v>
      </c>
      <c r="Y3791" s="416">
        <v>1</v>
      </c>
      <c r="Z3791" s="416">
        <v>1</v>
      </c>
      <c r="AA3791" s="416">
        <v>1</v>
      </c>
      <c r="AB3791" s="416">
        <v>0</v>
      </c>
      <c r="AC3791" s="150">
        <v>0</v>
      </c>
      <c r="AD3791" s="150">
        <v>1</v>
      </c>
      <c r="AE3791" s="49">
        <f t="shared" si="140"/>
        <v>0.75</v>
      </c>
      <c r="AF3791" s="190">
        <v>1</v>
      </c>
      <c r="AG3791" s="17">
        <v>0</v>
      </c>
      <c r="AH3791" s="485">
        <v>0.2</v>
      </c>
      <c r="AI3791" s="485">
        <v>0.4</v>
      </c>
      <c r="AJ3791" s="485">
        <v>1.3</v>
      </c>
      <c r="AK3791" s="493">
        <v>5.8</v>
      </c>
      <c r="AL3791" s="493">
        <v>5.8</v>
      </c>
      <c r="AM3791" s="17">
        <f t="shared" si="141"/>
        <v>11.6</v>
      </c>
      <c r="AN3791" s="162" t="s">
        <v>13741</v>
      </c>
      <c r="AO3791" s="162" t="s">
        <v>13742</v>
      </c>
    </row>
    <row r="3792" spans="1:41" s="162" customFormat="1" x14ac:dyDescent="0.3">
      <c r="A3792" s="205" t="s">
        <v>8321</v>
      </c>
      <c r="B3792" s="162" t="s">
        <v>8322</v>
      </c>
      <c r="C3792" s="168" t="s">
        <v>13277</v>
      </c>
      <c r="D3792" s="162" t="s">
        <v>13278</v>
      </c>
      <c r="E3792" s="168" t="s">
        <v>13279</v>
      </c>
      <c r="F3792" s="162" t="s">
        <v>13280</v>
      </c>
      <c r="G3792" s="168" t="s">
        <v>13385</v>
      </c>
      <c r="H3792" s="168" t="s">
        <v>13386</v>
      </c>
      <c r="K3792" s="168">
        <v>16110704</v>
      </c>
      <c r="L3792" s="162" t="s">
        <v>14169</v>
      </c>
      <c r="M3792" s="162" t="s">
        <v>14172</v>
      </c>
      <c r="O3792" s="492">
        <v>0.52</v>
      </c>
      <c r="P3792" s="492">
        <v>0.68</v>
      </c>
      <c r="Q3792" s="492">
        <v>0.8</v>
      </c>
      <c r="R3792" s="492">
        <v>1</v>
      </c>
      <c r="S3792" s="492">
        <v>1</v>
      </c>
      <c r="T3792" s="223" t="s">
        <v>13755</v>
      </c>
      <c r="U3792" t="str">
        <f>VLOOKUP(T3792,[8]Votes!$A$1:$E$234,3,FALSE)</f>
        <v>159 External Security Organisation</v>
      </c>
      <c r="V3792" s="162" t="s">
        <v>14173</v>
      </c>
      <c r="W3792" s="416">
        <v>1</v>
      </c>
      <c r="X3792" s="416">
        <v>1</v>
      </c>
      <c r="Y3792" s="416">
        <v>1</v>
      </c>
      <c r="Z3792" s="416">
        <v>1</v>
      </c>
      <c r="AA3792" s="416">
        <v>1</v>
      </c>
      <c r="AB3792" s="416">
        <v>0</v>
      </c>
      <c r="AC3792" s="150">
        <v>0</v>
      </c>
      <c r="AD3792" s="150">
        <v>1</v>
      </c>
      <c r="AE3792" s="49">
        <f t="shared" si="140"/>
        <v>0.75</v>
      </c>
      <c r="AF3792" s="190">
        <v>1</v>
      </c>
      <c r="AG3792" s="17">
        <v>0</v>
      </c>
      <c r="AH3792" s="485">
        <v>0.72</v>
      </c>
      <c r="AI3792" s="485">
        <v>0.83499999999999996</v>
      </c>
      <c r="AJ3792" s="485">
        <v>0.93500000000000005</v>
      </c>
      <c r="AK3792" s="493">
        <v>1.8704000000000001</v>
      </c>
      <c r="AL3792" s="493">
        <v>1.37</v>
      </c>
      <c r="AM3792" s="17">
        <f t="shared" si="141"/>
        <v>3.2404000000000002</v>
      </c>
      <c r="AN3792" s="162" t="s">
        <v>13755</v>
      </c>
      <c r="AO3792" s="162" t="s">
        <v>13757</v>
      </c>
    </row>
    <row r="3793" spans="1:41" s="162" customFormat="1" x14ac:dyDescent="0.3">
      <c r="A3793" s="205" t="s">
        <v>8321</v>
      </c>
      <c r="B3793" s="162" t="s">
        <v>8322</v>
      </c>
      <c r="C3793" s="168" t="s">
        <v>13277</v>
      </c>
      <c r="D3793" s="162" t="s">
        <v>13278</v>
      </c>
      <c r="E3793" s="168" t="s">
        <v>13279</v>
      </c>
      <c r="F3793" s="162" t="s">
        <v>13280</v>
      </c>
      <c r="G3793" s="168" t="s">
        <v>13385</v>
      </c>
      <c r="H3793" s="168" t="s">
        <v>13386</v>
      </c>
      <c r="K3793" s="168">
        <v>16110705</v>
      </c>
      <c r="L3793" s="162" t="s">
        <v>14174</v>
      </c>
      <c r="M3793" s="162" t="s">
        <v>14175</v>
      </c>
      <c r="O3793" s="492">
        <v>0.5</v>
      </c>
      <c r="P3793" s="492">
        <v>0.75</v>
      </c>
      <c r="Q3793" s="492">
        <v>1</v>
      </c>
      <c r="R3793" s="492">
        <v>1</v>
      </c>
      <c r="S3793" s="492">
        <v>1</v>
      </c>
      <c r="T3793" s="223" t="s">
        <v>3879</v>
      </c>
      <c r="U3793" t="str">
        <f>VLOOKUP(T3793,[8]Votes!$A$1:$E$234,3,FALSE)</f>
        <v>009 Ministry of Internal Affairs</v>
      </c>
      <c r="V3793" s="162" t="s">
        <v>14176</v>
      </c>
      <c r="W3793" s="416">
        <v>1</v>
      </c>
      <c r="X3793" s="416">
        <v>1</v>
      </c>
      <c r="Y3793" s="416">
        <v>1</v>
      </c>
      <c r="Z3793" s="416">
        <v>1</v>
      </c>
      <c r="AA3793" s="416">
        <v>1</v>
      </c>
      <c r="AB3793" s="416">
        <v>0</v>
      </c>
      <c r="AC3793" s="150">
        <v>1</v>
      </c>
      <c r="AD3793" s="150">
        <v>1</v>
      </c>
      <c r="AE3793" s="49">
        <f t="shared" si="140"/>
        <v>0.875</v>
      </c>
      <c r="AF3793" s="190">
        <v>0</v>
      </c>
      <c r="AG3793" s="17">
        <v>0</v>
      </c>
      <c r="AH3793" s="485">
        <v>1.5</v>
      </c>
      <c r="AI3793" s="485">
        <v>3</v>
      </c>
      <c r="AJ3793" s="485">
        <v>5</v>
      </c>
      <c r="AK3793" s="493">
        <v>1.5</v>
      </c>
      <c r="AL3793" s="493">
        <v>1.5</v>
      </c>
      <c r="AM3793" s="17">
        <f t="shared" si="141"/>
        <v>3</v>
      </c>
      <c r="AN3793" s="162" t="s">
        <v>3879</v>
      </c>
      <c r="AO3793" s="162" t="s">
        <v>3881</v>
      </c>
    </row>
    <row r="3794" spans="1:41" s="162" customFormat="1" x14ac:dyDescent="0.3">
      <c r="A3794" s="205" t="s">
        <v>8321</v>
      </c>
      <c r="B3794" s="162" t="s">
        <v>8322</v>
      </c>
      <c r="C3794" s="168" t="s">
        <v>13277</v>
      </c>
      <c r="D3794" s="162" t="s">
        <v>13278</v>
      </c>
      <c r="E3794" s="168" t="s">
        <v>13279</v>
      </c>
      <c r="F3794" s="162" t="s">
        <v>13280</v>
      </c>
      <c r="G3794" s="168" t="s">
        <v>13385</v>
      </c>
      <c r="H3794" s="168" t="s">
        <v>13386</v>
      </c>
      <c r="K3794" s="168">
        <v>16110706</v>
      </c>
      <c r="L3794" s="162" t="s">
        <v>14177</v>
      </c>
      <c r="M3794" s="162" t="s">
        <v>14178</v>
      </c>
      <c r="O3794" s="224">
        <v>0.8</v>
      </c>
      <c r="P3794" s="224">
        <v>0.8</v>
      </c>
      <c r="Q3794" s="224">
        <v>0.85</v>
      </c>
      <c r="R3794" s="224">
        <v>0.9</v>
      </c>
      <c r="S3794" s="224">
        <v>1</v>
      </c>
      <c r="T3794" s="223" t="s">
        <v>13761</v>
      </c>
      <c r="U3794" t="str">
        <f>VLOOKUP(T3794,[8]Votes!$A$1:$E$234,3,FALSE)</f>
        <v>129 Financial Intelligence Authority (FIA)</v>
      </c>
      <c r="V3794" s="162" t="s">
        <v>14179</v>
      </c>
      <c r="W3794" s="416">
        <v>1</v>
      </c>
      <c r="X3794" s="416">
        <v>1</v>
      </c>
      <c r="Y3794" s="416">
        <v>1</v>
      </c>
      <c r="Z3794" s="416">
        <v>1</v>
      </c>
      <c r="AA3794" s="416">
        <v>1</v>
      </c>
      <c r="AB3794" s="416">
        <v>0</v>
      </c>
      <c r="AC3794" s="150">
        <v>0</v>
      </c>
      <c r="AD3794" s="150">
        <v>1</v>
      </c>
      <c r="AE3794" s="49">
        <f t="shared" si="140"/>
        <v>0.75</v>
      </c>
      <c r="AF3794" s="190">
        <v>1</v>
      </c>
      <c r="AG3794" s="17">
        <v>0</v>
      </c>
      <c r="AH3794" s="485">
        <v>0.1</v>
      </c>
      <c r="AI3794" s="485">
        <v>0.2</v>
      </c>
      <c r="AJ3794" s="485">
        <v>0.5</v>
      </c>
      <c r="AK3794" s="493">
        <v>0.7</v>
      </c>
      <c r="AL3794" s="493">
        <v>0.8</v>
      </c>
      <c r="AM3794" s="17">
        <f t="shared" si="141"/>
        <v>1.5</v>
      </c>
      <c r="AN3794" s="162" t="s">
        <v>13761</v>
      </c>
      <c r="AO3794" s="162" t="s">
        <v>13763</v>
      </c>
    </row>
    <row r="3795" spans="1:41" s="162" customFormat="1" x14ac:dyDescent="0.3">
      <c r="A3795" s="205" t="s">
        <v>8321</v>
      </c>
      <c r="B3795" s="162" t="s">
        <v>8322</v>
      </c>
      <c r="C3795" s="168" t="s">
        <v>13277</v>
      </c>
      <c r="D3795" s="162" t="s">
        <v>13278</v>
      </c>
      <c r="E3795" s="168" t="s">
        <v>13279</v>
      </c>
      <c r="F3795" s="162" t="s">
        <v>13280</v>
      </c>
      <c r="G3795" s="168" t="s">
        <v>13385</v>
      </c>
      <c r="H3795" s="168" t="s">
        <v>13386</v>
      </c>
      <c r="K3795" s="168">
        <v>16110707</v>
      </c>
      <c r="L3795" s="162" t="s">
        <v>14180</v>
      </c>
      <c r="M3795" s="162" t="s">
        <v>14181</v>
      </c>
      <c r="O3795" s="224">
        <v>4</v>
      </c>
      <c r="P3795" s="224">
        <v>4</v>
      </c>
      <c r="Q3795" s="224">
        <v>4</v>
      </c>
      <c r="R3795" s="224">
        <v>4</v>
      </c>
      <c r="S3795" s="224">
        <v>4</v>
      </c>
      <c r="T3795" s="223" t="s">
        <v>1233</v>
      </c>
      <c r="U3795" t="str">
        <f>VLOOKUP(T3795,[8]Votes!$A$1:$E$234,3,FALSE)</f>
        <v>006 Ministry of Foreign Affairs</v>
      </c>
      <c r="V3795" s="162" t="s">
        <v>14182</v>
      </c>
      <c r="W3795" s="416">
        <v>1</v>
      </c>
      <c r="X3795" s="416">
        <v>1</v>
      </c>
      <c r="Y3795" s="416">
        <v>1</v>
      </c>
      <c r="Z3795" s="416">
        <v>1</v>
      </c>
      <c r="AA3795" s="416">
        <v>1</v>
      </c>
      <c r="AB3795" s="416">
        <v>0</v>
      </c>
      <c r="AC3795" s="150">
        <v>1</v>
      </c>
      <c r="AD3795" s="150">
        <v>0</v>
      </c>
      <c r="AE3795" s="49">
        <f t="shared" si="140"/>
        <v>0.75</v>
      </c>
      <c r="AF3795" s="190">
        <v>1</v>
      </c>
      <c r="AG3795" s="17">
        <v>0</v>
      </c>
      <c r="AH3795" s="485">
        <v>0.8</v>
      </c>
      <c r="AI3795" s="485">
        <v>0.8</v>
      </c>
      <c r="AJ3795" s="485">
        <v>0.8</v>
      </c>
      <c r="AK3795" s="493">
        <v>0.8</v>
      </c>
      <c r="AL3795" s="493">
        <v>0.8</v>
      </c>
      <c r="AM3795" s="17">
        <f t="shared" si="141"/>
        <v>1.6</v>
      </c>
      <c r="AN3795" s="162" t="s">
        <v>1233</v>
      </c>
      <c r="AO3795" s="162" t="s">
        <v>1650</v>
      </c>
    </row>
    <row r="3796" spans="1:41" s="162" customFormat="1" x14ac:dyDescent="0.3">
      <c r="A3796" s="205" t="s">
        <v>8321</v>
      </c>
      <c r="B3796" s="162" t="s">
        <v>8322</v>
      </c>
      <c r="C3796" s="168" t="s">
        <v>13277</v>
      </c>
      <c r="D3796" s="162" t="s">
        <v>13278</v>
      </c>
      <c r="E3796" s="168" t="s">
        <v>13279</v>
      </c>
      <c r="F3796" s="162" t="s">
        <v>13280</v>
      </c>
      <c r="G3796" s="168" t="s">
        <v>13385</v>
      </c>
      <c r="H3796" s="168" t="s">
        <v>13386</v>
      </c>
      <c r="K3796" s="168">
        <v>16110707</v>
      </c>
      <c r="L3796" s="162" t="s">
        <v>14180</v>
      </c>
      <c r="M3796" s="162" t="s">
        <v>14183</v>
      </c>
      <c r="O3796" s="224">
        <v>20</v>
      </c>
      <c r="P3796" s="224">
        <v>20</v>
      </c>
      <c r="Q3796" s="224">
        <v>20</v>
      </c>
      <c r="R3796" s="224">
        <v>20</v>
      </c>
      <c r="S3796" s="224">
        <v>20</v>
      </c>
      <c r="T3796" s="223" t="s">
        <v>1233</v>
      </c>
      <c r="U3796" t="str">
        <f>VLOOKUP(T3796,[8]Votes!$A$1:$E$234,3,FALSE)</f>
        <v>006 Ministry of Foreign Affairs</v>
      </c>
      <c r="V3796" s="162" t="s">
        <v>14184</v>
      </c>
      <c r="W3796" s="416">
        <v>1</v>
      </c>
      <c r="X3796" s="416">
        <v>1</v>
      </c>
      <c r="Y3796" s="416">
        <v>1</v>
      </c>
      <c r="Z3796" s="416">
        <v>1</v>
      </c>
      <c r="AA3796" s="416">
        <v>1</v>
      </c>
      <c r="AB3796" s="416">
        <v>0</v>
      </c>
      <c r="AC3796" s="150">
        <v>1</v>
      </c>
      <c r="AD3796" s="150">
        <v>0</v>
      </c>
      <c r="AE3796" s="49">
        <f t="shared" si="140"/>
        <v>0.75</v>
      </c>
      <c r="AF3796" s="190">
        <v>1</v>
      </c>
      <c r="AG3796" s="17">
        <v>0</v>
      </c>
      <c r="AH3796" s="485">
        <v>0.3</v>
      </c>
      <c r="AI3796" s="485">
        <v>0.3</v>
      </c>
      <c r="AJ3796" s="485">
        <v>0.3</v>
      </c>
      <c r="AK3796" s="493">
        <v>0.3</v>
      </c>
      <c r="AL3796" s="493">
        <v>0.3</v>
      </c>
      <c r="AM3796" s="17">
        <f t="shared" si="141"/>
        <v>0.6</v>
      </c>
      <c r="AN3796" s="162" t="s">
        <v>1233</v>
      </c>
      <c r="AO3796" s="162" t="s">
        <v>1650</v>
      </c>
    </row>
    <row r="3797" spans="1:41" s="162" customFormat="1" x14ac:dyDescent="0.3">
      <c r="A3797" s="205" t="s">
        <v>8321</v>
      </c>
      <c r="B3797" s="162" t="s">
        <v>8322</v>
      </c>
      <c r="C3797" s="168" t="s">
        <v>13277</v>
      </c>
      <c r="D3797" s="162" t="s">
        <v>13278</v>
      </c>
      <c r="E3797" s="168" t="s">
        <v>13279</v>
      </c>
      <c r="F3797" s="162" t="s">
        <v>13280</v>
      </c>
      <c r="G3797" s="168" t="s">
        <v>13385</v>
      </c>
      <c r="H3797" s="168" t="s">
        <v>13386</v>
      </c>
      <c r="K3797" s="168">
        <v>16110707</v>
      </c>
      <c r="L3797" s="162" t="s">
        <v>14180</v>
      </c>
      <c r="M3797" s="162" t="s">
        <v>14185</v>
      </c>
      <c r="O3797" s="492">
        <v>0.2</v>
      </c>
      <c r="P3797" s="492">
        <v>0.2</v>
      </c>
      <c r="Q3797" s="492">
        <v>0.2</v>
      </c>
      <c r="R3797" s="492">
        <v>0.2</v>
      </c>
      <c r="S3797" s="492">
        <v>0.2</v>
      </c>
      <c r="T3797" s="223" t="s">
        <v>1233</v>
      </c>
      <c r="U3797" t="str">
        <f>VLOOKUP(T3797,[8]Votes!$A$1:$E$234,3,FALSE)</f>
        <v>006 Ministry of Foreign Affairs</v>
      </c>
      <c r="V3797" s="162" t="s">
        <v>14186</v>
      </c>
      <c r="W3797" s="416">
        <v>1</v>
      </c>
      <c r="X3797" s="416">
        <v>1</v>
      </c>
      <c r="Y3797" s="416">
        <v>1</v>
      </c>
      <c r="Z3797" s="416">
        <v>1</v>
      </c>
      <c r="AA3797" s="416">
        <v>1</v>
      </c>
      <c r="AB3797" s="416">
        <v>0</v>
      </c>
      <c r="AC3797" s="150">
        <v>1</v>
      </c>
      <c r="AD3797" s="150">
        <v>0</v>
      </c>
      <c r="AE3797" s="49">
        <f t="shared" si="140"/>
        <v>0.75</v>
      </c>
      <c r="AF3797" s="190">
        <v>1</v>
      </c>
      <c r="AG3797" s="17">
        <v>0</v>
      </c>
      <c r="AH3797" s="485">
        <v>0.5</v>
      </c>
      <c r="AI3797" s="485">
        <v>0.5</v>
      </c>
      <c r="AJ3797" s="485">
        <v>0.5</v>
      </c>
      <c r="AK3797" s="493">
        <v>0.5</v>
      </c>
      <c r="AL3797" s="493">
        <v>0.5</v>
      </c>
      <c r="AM3797" s="17">
        <f t="shared" si="141"/>
        <v>1</v>
      </c>
      <c r="AN3797" s="162" t="s">
        <v>1233</v>
      </c>
      <c r="AO3797" s="162" t="s">
        <v>1650</v>
      </c>
    </row>
    <row r="3798" spans="1:41" s="162" customFormat="1" x14ac:dyDescent="0.3">
      <c r="A3798" s="205" t="s">
        <v>8321</v>
      </c>
      <c r="B3798" s="162" t="s">
        <v>8322</v>
      </c>
      <c r="C3798" s="168" t="s">
        <v>13277</v>
      </c>
      <c r="D3798" s="162" t="s">
        <v>13278</v>
      </c>
      <c r="E3798" s="168" t="s">
        <v>13279</v>
      </c>
      <c r="F3798" s="162" t="s">
        <v>13280</v>
      </c>
      <c r="G3798" s="168" t="s">
        <v>13385</v>
      </c>
      <c r="H3798" s="168" t="s">
        <v>13386</v>
      </c>
      <c r="K3798" s="168">
        <v>16110708</v>
      </c>
      <c r="L3798" s="162" t="s">
        <v>14187</v>
      </c>
      <c r="M3798" s="162" t="s">
        <v>14188</v>
      </c>
      <c r="O3798" s="224">
        <v>0</v>
      </c>
      <c r="P3798" s="224">
        <v>2</v>
      </c>
      <c r="Q3798" s="224">
        <v>2</v>
      </c>
      <c r="R3798" s="224">
        <v>2</v>
      </c>
      <c r="S3798" s="224">
        <v>2</v>
      </c>
      <c r="T3798" s="223" t="s">
        <v>1345</v>
      </c>
      <c r="U3798" t="str">
        <f>VLOOKUP(T3798,[8]Votes!$A$1:$E$234,3,FALSE)</f>
        <v>001 Office of the President</v>
      </c>
      <c r="V3798" s="162" t="s">
        <v>14189</v>
      </c>
      <c r="W3798" s="416">
        <v>1</v>
      </c>
      <c r="X3798" s="416">
        <v>1</v>
      </c>
      <c r="Y3798" s="416">
        <v>1</v>
      </c>
      <c r="Z3798" s="416">
        <v>1</v>
      </c>
      <c r="AA3798" s="416">
        <v>1</v>
      </c>
      <c r="AB3798" s="416">
        <v>1</v>
      </c>
      <c r="AC3798" s="150">
        <v>0</v>
      </c>
      <c r="AD3798" s="150">
        <v>1</v>
      </c>
      <c r="AE3798" s="49">
        <f t="shared" si="140"/>
        <v>0.875</v>
      </c>
      <c r="AF3798" s="190">
        <v>1</v>
      </c>
      <c r="AG3798" s="17">
        <v>0</v>
      </c>
      <c r="AH3798" s="190">
        <v>0</v>
      </c>
      <c r="AI3798" s="485">
        <v>0.4</v>
      </c>
      <c r="AJ3798" s="485">
        <v>0.4</v>
      </c>
      <c r="AK3798" s="493">
        <v>3.4</v>
      </c>
      <c r="AL3798" s="493">
        <v>3.6</v>
      </c>
      <c r="AM3798" s="17">
        <f t="shared" si="141"/>
        <v>7</v>
      </c>
      <c r="AN3798" s="162" t="s">
        <v>1345</v>
      </c>
      <c r="AO3798" s="162" t="s">
        <v>1334</v>
      </c>
    </row>
    <row r="3799" spans="1:41" s="162" customFormat="1" x14ac:dyDescent="0.3">
      <c r="A3799" s="205" t="s">
        <v>8321</v>
      </c>
      <c r="B3799" s="162" t="s">
        <v>8322</v>
      </c>
      <c r="C3799" s="168" t="s">
        <v>13277</v>
      </c>
      <c r="D3799" s="162" t="s">
        <v>13278</v>
      </c>
      <c r="E3799" s="168" t="s">
        <v>13279</v>
      </c>
      <c r="F3799" s="162" t="s">
        <v>13280</v>
      </c>
      <c r="G3799" s="168" t="s">
        <v>13385</v>
      </c>
      <c r="H3799" s="168" t="s">
        <v>13386</v>
      </c>
      <c r="K3799" s="168">
        <v>16110709</v>
      </c>
      <c r="L3799" s="162" t="s">
        <v>14190</v>
      </c>
      <c r="M3799" s="162" t="s">
        <v>14191</v>
      </c>
      <c r="O3799" s="224">
        <v>32</v>
      </c>
      <c r="P3799" s="224">
        <v>51</v>
      </c>
      <c r="Q3799" s="224">
        <v>65</v>
      </c>
      <c r="R3799" s="224">
        <v>78</v>
      </c>
      <c r="S3799" s="224">
        <v>92</v>
      </c>
      <c r="T3799" s="223" t="s">
        <v>13766</v>
      </c>
      <c r="U3799" t="str">
        <f>VLOOKUP(T3799,[8]Votes!$A$1:$E$234,3,FALSE)</f>
        <v>120 National Citizenship and Immigration Control</v>
      </c>
      <c r="V3799" s="162" t="s">
        <v>14192</v>
      </c>
      <c r="W3799" s="416">
        <v>1</v>
      </c>
      <c r="X3799" s="416">
        <v>1</v>
      </c>
      <c r="Y3799" s="416">
        <v>1</v>
      </c>
      <c r="Z3799" s="416">
        <v>1</v>
      </c>
      <c r="AA3799" s="416">
        <v>1</v>
      </c>
      <c r="AB3799" s="416">
        <v>0</v>
      </c>
      <c r="AC3799" s="150">
        <v>0</v>
      </c>
      <c r="AD3799" s="150">
        <v>1</v>
      </c>
      <c r="AE3799" s="49">
        <f t="shared" si="140"/>
        <v>0.75</v>
      </c>
      <c r="AF3799" s="190">
        <v>1</v>
      </c>
      <c r="AG3799" s="17">
        <v>0</v>
      </c>
      <c r="AH3799" s="485">
        <v>5.4</v>
      </c>
      <c r="AI3799" s="485">
        <v>14.98</v>
      </c>
      <c r="AJ3799" s="485">
        <v>9.58</v>
      </c>
      <c r="AK3799" s="493">
        <v>10.56</v>
      </c>
      <c r="AL3799" s="493">
        <v>11.35</v>
      </c>
      <c r="AM3799" s="17">
        <f t="shared" si="141"/>
        <v>21.91</v>
      </c>
      <c r="AN3799" s="162" t="s">
        <v>13766</v>
      </c>
      <c r="AO3799" s="162" t="s">
        <v>13768</v>
      </c>
    </row>
    <row r="3800" spans="1:41" s="162" customFormat="1" x14ac:dyDescent="0.3">
      <c r="A3800" s="205" t="s">
        <v>8321</v>
      </c>
      <c r="B3800" s="162" t="s">
        <v>8322</v>
      </c>
      <c r="C3800" s="168" t="s">
        <v>13277</v>
      </c>
      <c r="D3800" s="162" t="s">
        <v>13278</v>
      </c>
      <c r="E3800" s="168" t="s">
        <v>13279</v>
      </c>
      <c r="F3800" s="162" t="s">
        <v>13280</v>
      </c>
      <c r="G3800" s="168" t="s">
        <v>13385</v>
      </c>
      <c r="H3800" s="168" t="s">
        <v>13386</v>
      </c>
      <c r="K3800" s="168">
        <v>16110709</v>
      </c>
      <c r="L3800" s="162" t="s">
        <v>14190</v>
      </c>
      <c r="M3800" s="162" t="s">
        <v>14191</v>
      </c>
      <c r="O3800" s="224">
        <v>1</v>
      </c>
      <c r="P3800" s="224">
        <v>1</v>
      </c>
      <c r="Q3800" s="224">
        <v>1</v>
      </c>
      <c r="R3800" s="224">
        <v>1</v>
      </c>
      <c r="S3800" s="224">
        <v>1</v>
      </c>
      <c r="T3800" s="223" t="s">
        <v>13766</v>
      </c>
      <c r="U3800" t="str">
        <f>VLOOKUP(T3800,[8]Votes!$A$1:$E$234,3,FALSE)</f>
        <v>120 National Citizenship and Immigration Control</v>
      </c>
      <c r="V3800" s="162" t="s">
        <v>14193</v>
      </c>
      <c r="W3800" s="416">
        <v>1</v>
      </c>
      <c r="X3800" s="416">
        <v>1</v>
      </c>
      <c r="Y3800" s="416">
        <v>1</v>
      </c>
      <c r="Z3800" s="416">
        <v>1</v>
      </c>
      <c r="AA3800" s="416">
        <v>1</v>
      </c>
      <c r="AB3800" s="416">
        <v>0</v>
      </c>
      <c r="AC3800" s="150">
        <v>0</v>
      </c>
      <c r="AD3800" s="150">
        <v>1</v>
      </c>
      <c r="AE3800" s="49">
        <f t="shared" si="140"/>
        <v>0.75</v>
      </c>
      <c r="AF3800" s="190">
        <v>1</v>
      </c>
      <c r="AG3800" s="17">
        <v>0</v>
      </c>
      <c r="AH3800" s="485">
        <v>2.31</v>
      </c>
      <c r="AI3800" s="485">
        <v>5.67</v>
      </c>
      <c r="AJ3800" s="485">
        <v>5.1749999999999998</v>
      </c>
      <c r="AK3800" s="493">
        <v>5.23</v>
      </c>
      <c r="AL3800" s="493">
        <v>5.28</v>
      </c>
      <c r="AM3800" s="17">
        <f t="shared" si="141"/>
        <v>10.510000000000002</v>
      </c>
      <c r="AN3800" s="162" t="s">
        <v>13766</v>
      </c>
      <c r="AO3800" s="162" t="s">
        <v>13768</v>
      </c>
    </row>
    <row r="3801" spans="1:41" s="162" customFormat="1" x14ac:dyDescent="0.3">
      <c r="A3801" s="205" t="s">
        <v>8321</v>
      </c>
      <c r="B3801" s="162" t="s">
        <v>8322</v>
      </c>
      <c r="C3801" s="168" t="s">
        <v>13277</v>
      </c>
      <c r="D3801" s="162" t="s">
        <v>13278</v>
      </c>
      <c r="E3801" s="168" t="s">
        <v>13279</v>
      </c>
      <c r="F3801" s="162" t="s">
        <v>13280</v>
      </c>
      <c r="G3801" s="168" t="s">
        <v>13385</v>
      </c>
      <c r="H3801" s="168" t="s">
        <v>13386</v>
      </c>
      <c r="K3801" s="168">
        <v>16110710</v>
      </c>
      <c r="L3801" s="162" t="s">
        <v>14194</v>
      </c>
      <c r="M3801" s="162" t="s">
        <v>14195</v>
      </c>
      <c r="O3801" s="224">
        <v>3</v>
      </c>
      <c r="P3801" s="224">
        <v>26</v>
      </c>
      <c r="Q3801" s="224">
        <v>26</v>
      </c>
      <c r="R3801" s="224">
        <v>26</v>
      </c>
      <c r="S3801" s="224">
        <v>25</v>
      </c>
      <c r="T3801" s="223" t="s">
        <v>13766</v>
      </c>
      <c r="U3801" t="str">
        <f>VLOOKUP(T3801,[8]Votes!$A$1:$E$234,3,FALSE)</f>
        <v>120 National Citizenship and Immigration Control</v>
      </c>
      <c r="V3801" s="162" t="s">
        <v>14196</v>
      </c>
      <c r="W3801" s="416">
        <v>1</v>
      </c>
      <c r="X3801" s="416">
        <v>1</v>
      </c>
      <c r="Y3801" s="416">
        <v>1</v>
      </c>
      <c r="Z3801" s="416">
        <v>1</v>
      </c>
      <c r="AA3801" s="416">
        <v>1</v>
      </c>
      <c r="AB3801" s="416">
        <v>0</v>
      </c>
      <c r="AC3801" s="150">
        <v>0</v>
      </c>
      <c r="AD3801" s="150">
        <v>1</v>
      </c>
      <c r="AE3801" s="49">
        <f t="shared" si="140"/>
        <v>0.75</v>
      </c>
      <c r="AF3801" s="190">
        <v>1</v>
      </c>
      <c r="AG3801" s="17">
        <v>0</v>
      </c>
      <c r="AH3801" s="485">
        <v>0.9</v>
      </c>
      <c r="AI3801" s="485">
        <v>11.7</v>
      </c>
      <c r="AJ3801" s="485">
        <v>11.7</v>
      </c>
      <c r="AK3801" s="493">
        <v>0</v>
      </c>
      <c r="AL3801" s="493">
        <v>0</v>
      </c>
      <c r="AM3801" s="17">
        <f t="shared" si="141"/>
        <v>0</v>
      </c>
      <c r="AN3801" s="162" t="s">
        <v>13766</v>
      </c>
      <c r="AO3801" s="162" t="s">
        <v>13768</v>
      </c>
    </row>
    <row r="3802" spans="1:41" s="162" customFormat="1" x14ac:dyDescent="0.3">
      <c r="A3802" s="205" t="s">
        <v>8321</v>
      </c>
      <c r="B3802" s="162" t="s">
        <v>8322</v>
      </c>
      <c r="C3802" s="168" t="s">
        <v>13277</v>
      </c>
      <c r="D3802" s="162" t="s">
        <v>13278</v>
      </c>
      <c r="E3802" s="168" t="s">
        <v>13279</v>
      </c>
      <c r="F3802" s="162" t="s">
        <v>13280</v>
      </c>
      <c r="G3802" s="168" t="s">
        <v>13385</v>
      </c>
      <c r="H3802" s="168" t="s">
        <v>13386</v>
      </c>
      <c r="K3802" s="168">
        <v>16110703</v>
      </c>
      <c r="L3802" s="162" t="s">
        <v>13393</v>
      </c>
      <c r="M3802" s="162" t="s">
        <v>14197</v>
      </c>
      <c r="O3802" s="224"/>
      <c r="P3802" s="224"/>
      <c r="Q3802" s="224">
        <v>4</v>
      </c>
      <c r="R3802" s="224">
        <v>3</v>
      </c>
      <c r="S3802" s="224"/>
      <c r="T3802" s="223" t="s">
        <v>13766</v>
      </c>
      <c r="U3802" t="str">
        <f>VLOOKUP(T3802,[8]Votes!$A$1:$E$234,3,FALSE)</f>
        <v>120 National Citizenship and Immigration Control</v>
      </c>
      <c r="V3802" s="162" t="s">
        <v>14198</v>
      </c>
      <c r="W3802" s="416">
        <v>1</v>
      </c>
      <c r="X3802" s="416">
        <v>1</v>
      </c>
      <c r="Y3802" s="416">
        <v>1</v>
      </c>
      <c r="Z3802" s="416">
        <v>1</v>
      </c>
      <c r="AA3802" s="416">
        <v>1</v>
      </c>
      <c r="AB3802" s="416">
        <v>0</v>
      </c>
      <c r="AC3802" s="150">
        <v>0</v>
      </c>
      <c r="AD3802" s="150">
        <v>1</v>
      </c>
      <c r="AE3802" s="49">
        <f t="shared" si="140"/>
        <v>0.75</v>
      </c>
      <c r="AF3802" s="190">
        <v>1</v>
      </c>
      <c r="AG3802" s="17">
        <v>0</v>
      </c>
      <c r="AH3802" s="190">
        <v>0</v>
      </c>
      <c r="AI3802" s="190">
        <v>0</v>
      </c>
      <c r="AJ3802" s="485">
        <v>0.8</v>
      </c>
      <c r="AK3802" s="493">
        <v>0.6</v>
      </c>
      <c r="AL3802" s="191">
        <v>0</v>
      </c>
      <c r="AM3802" s="17">
        <f t="shared" si="141"/>
        <v>0.6</v>
      </c>
      <c r="AN3802" s="162" t="s">
        <v>13766</v>
      </c>
      <c r="AO3802" s="162" t="s">
        <v>13768</v>
      </c>
    </row>
    <row r="3803" spans="1:41" s="162" customFormat="1" x14ac:dyDescent="0.3">
      <c r="A3803" s="205" t="s">
        <v>8321</v>
      </c>
      <c r="B3803" s="162" t="s">
        <v>8322</v>
      </c>
      <c r="C3803" s="168" t="s">
        <v>13277</v>
      </c>
      <c r="D3803" s="162" t="s">
        <v>13278</v>
      </c>
      <c r="E3803" s="168" t="s">
        <v>13279</v>
      </c>
      <c r="F3803" s="162" t="s">
        <v>13280</v>
      </c>
      <c r="G3803" s="168" t="s">
        <v>13385</v>
      </c>
      <c r="H3803" s="168" t="s">
        <v>13386</v>
      </c>
      <c r="K3803" s="168">
        <v>16110711</v>
      </c>
      <c r="L3803" s="162" t="s">
        <v>14199</v>
      </c>
      <c r="M3803" s="162" t="s">
        <v>14200</v>
      </c>
      <c r="N3803" s="452"/>
      <c r="O3803" s="492">
        <v>0.6</v>
      </c>
      <c r="P3803" s="505">
        <v>0.75</v>
      </c>
      <c r="Q3803" s="505">
        <v>0.75</v>
      </c>
      <c r="R3803" s="505">
        <v>0.8</v>
      </c>
      <c r="S3803" s="505">
        <v>0.85</v>
      </c>
      <c r="T3803" s="223" t="s">
        <v>13766</v>
      </c>
      <c r="U3803" t="str">
        <f>VLOOKUP(T3803,[8]Votes!$A$1:$E$234,3,FALSE)</f>
        <v>120 National Citizenship and Immigration Control</v>
      </c>
      <c r="V3803" s="162" t="s">
        <v>14201</v>
      </c>
      <c r="W3803" s="416">
        <v>1</v>
      </c>
      <c r="X3803" s="416">
        <v>1</v>
      </c>
      <c r="Y3803" s="416">
        <v>1</v>
      </c>
      <c r="Z3803" s="416">
        <v>1</v>
      </c>
      <c r="AA3803" s="416">
        <v>1</v>
      </c>
      <c r="AB3803" s="416">
        <v>0</v>
      </c>
      <c r="AC3803" s="150">
        <v>0</v>
      </c>
      <c r="AD3803" s="150">
        <v>1</v>
      </c>
      <c r="AE3803" s="49">
        <f t="shared" si="140"/>
        <v>0.75</v>
      </c>
      <c r="AF3803" s="190">
        <v>1</v>
      </c>
      <c r="AG3803" s="17">
        <v>0</v>
      </c>
      <c r="AH3803" s="485">
        <v>0.311</v>
      </c>
      <c r="AI3803" s="485">
        <v>0.42</v>
      </c>
      <c r="AJ3803" s="485">
        <v>0.45</v>
      </c>
      <c r="AK3803" s="493">
        <v>0.48</v>
      </c>
      <c r="AL3803" s="493">
        <v>0.5</v>
      </c>
      <c r="AM3803" s="17">
        <f t="shared" si="141"/>
        <v>0.98</v>
      </c>
      <c r="AN3803" s="162" t="s">
        <v>13766</v>
      </c>
      <c r="AO3803" s="162" t="s">
        <v>13768</v>
      </c>
    </row>
    <row r="3804" spans="1:41" s="162" customFormat="1" x14ac:dyDescent="0.3">
      <c r="A3804" s="205" t="s">
        <v>8321</v>
      </c>
      <c r="B3804" s="162" t="s">
        <v>8322</v>
      </c>
      <c r="C3804" s="168" t="s">
        <v>13277</v>
      </c>
      <c r="D3804" s="162" t="s">
        <v>13278</v>
      </c>
      <c r="E3804" s="168" t="s">
        <v>13279</v>
      </c>
      <c r="F3804" s="162" t="s">
        <v>13280</v>
      </c>
      <c r="G3804" s="168" t="s">
        <v>13385</v>
      </c>
      <c r="H3804" s="168" t="s">
        <v>13386</v>
      </c>
      <c r="K3804" s="168">
        <v>16110711</v>
      </c>
      <c r="L3804" s="162" t="s">
        <v>14199</v>
      </c>
      <c r="M3804" s="162" t="s">
        <v>14200</v>
      </c>
      <c r="N3804" s="452"/>
      <c r="O3804" s="492">
        <v>0.6</v>
      </c>
      <c r="P3804" s="505">
        <v>0.75</v>
      </c>
      <c r="Q3804" s="505">
        <v>0.75</v>
      </c>
      <c r="R3804" s="505">
        <v>0.8</v>
      </c>
      <c r="S3804" s="505">
        <v>0.85</v>
      </c>
      <c r="T3804" s="223" t="s">
        <v>13766</v>
      </c>
      <c r="U3804" t="str">
        <f>VLOOKUP(T3804,[8]Votes!$A$1:$E$234,3,FALSE)</f>
        <v>120 National Citizenship and Immigration Control</v>
      </c>
      <c r="V3804" s="162" t="s">
        <v>14202</v>
      </c>
      <c r="W3804" s="416">
        <v>1</v>
      </c>
      <c r="X3804" s="416">
        <v>1</v>
      </c>
      <c r="Y3804" s="416">
        <v>1</v>
      </c>
      <c r="Z3804" s="416">
        <v>1</v>
      </c>
      <c r="AA3804" s="416">
        <v>1</v>
      </c>
      <c r="AB3804" s="416">
        <v>0</v>
      </c>
      <c r="AC3804" s="150">
        <v>0</v>
      </c>
      <c r="AD3804" s="150">
        <v>1</v>
      </c>
      <c r="AE3804" s="49">
        <f t="shared" si="140"/>
        <v>0.75</v>
      </c>
      <c r="AF3804" s="190">
        <v>1</v>
      </c>
      <c r="AG3804" s="17">
        <v>0</v>
      </c>
      <c r="AH3804" s="485">
        <v>0.2</v>
      </c>
      <c r="AI3804" s="485">
        <v>0.23300000000000001</v>
      </c>
      <c r="AJ3804" s="485">
        <v>0.25</v>
      </c>
      <c r="AK3804" s="493">
        <v>0.26500000000000001</v>
      </c>
      <c r="AL3804" s="493">
        <v>0.28000000000000003</v>
      </c>
      <c r="AM3804" s="17">
        <f t="shared" si="141"/>
        <v>0.54500000000000004</v>
      </c>
      <c r="AN3804" s="162" t="s">
        <v>13766</v>
      </c>
      <c r="AO3804" s="162" t="s">
        <v>13768</v>
      </c>
    </row>
    <row r="3805" spans="1:41" s="162" customFormat="1" x14ac:dyDescent="0.3">
      <c r="A3805" s="205" t="s">
        <v>8321</v>
      </c>
      <c r="B3805" s="162" t="s">
        <v>8322</v>
      </c>
      <c r="C3805" s="168" t="s">
        <v>13277</v>
      </c>
      <c r="D3805" s="162" t="s">
        <v>13278</v>
      </c>
      <c r="E3805" s="168" t="s">
        <v>13279</v>
      </c>
      <c r="F3805" s="162" t="s">
        <v>13280</v>
      </c>
      <c r="G3805" s="168" t="s">
        <v>13385</v>
      </c>
      <c r="H3805" s="168" t="s">
        <v>13386</v>
      </c>
      <c r="K3805" s="168">
        <v>16110703</v>
      </c>
      <c r="L3805" s="162" t="s">
        <v>13393</v>
      </c>
      <c r="M3805" s="162" t="s">
        <v>14200</v>
      </c>
      <c r="N3805" s="452"/>
      <c r="O3805" s="492">
        <v>0.6</v>
      </c>
      <c r="P3805" s="505">
        <v>0.75</v>
      </c>
      <c r="Q3805" s="505">
        <v>0.75</v>
      </c>
      <c r="R3805" s="505">
        <v>0.8</v>
      </c>
      <c r="S3805" s="505">
        <v>0.85</v>
      </c>
      <c r="T3805" s="223" t="s">
        <v>13766</v>
      </c>
      <c r="U3805" t="str">
        <f>VLOOKUP(T3805,[8]Votes!$A$1:$E$234,3,FALSE)</f>
        <v>120 National Citizenship and Immigration Control</v>
      </c>
      <c r="V3805" s="162" t="s">
        <v>14203</v>
      </c>
      <c r="W3805" s="416">
        <v>1</v>
      </c>
      <c r="X3805" s="416">
        <v>1</v>
      </c>
      <c r="Y3805" s="416">
        <v>1</v>
      </c>
      <c r="Z3805" s="416">
        <v>1</v>
      </c>
      <c r="AA3805" s="416">
        <v>1</v>
      </c>
      <c r="AB3805" s="416">
        <v>0</v>
      </c>
      <c r="AC3805" s="150">
        <v>0</v>
      </c>
      <c r="AD3805" s="150">
        <v>1</v>
      </c>
      <c r="AE3805" s="49">
        <f t="shared" si="140"/>
        <v>0.75</v>
      </c>
      <c r="AF3805" s="190">
        <v>1</v>
      </c>
      <c r="AG3805" s="17">
        <v>0</v>
      </c>
      <c r="AH3805" s="485">
        <v>1.9</v>
      </c>
      <c r="AI3805" s="485">
        <v>2.0299999999999998</v>
      </c>
      <c r="AJ3805" s="485">
        <v>2.7</v>
      </c>
      <c r="AK3805" s="493">
        <v>2</v>
      </c>
      <c r="AL3805" s="493">
        <v>2</v>
      </c>
      <c r="AM3805" s="17">
        <f t="shared" si="141"/>
        <v>4</v>
      </c>
      <c r="AN3805" s="162" t="s">
        <v>13766</v>
      </c>
      <c r="AO3805" s="162" t="s">
        <v>13768</v>
      </c>
    </row>
    <row r="3806" spans="1:41" s="162" customFormat="1" x14ac:dyDescent="0.3">
      <c r="A3806" s="205" t="s">
        <v>8321</v>
      </c>
      <c r="B3806" s="162" t="s">
        <v>8322</v>
      </c>
      <c r="C3806" s="168" t="s">
        <v>13277</v>
      </c>
      <c r="D3806" s="162" t="s">
        <v>13278</v>
      </c>
      <c r="E3806" s="168" t="s">
        <v>13279</v>
      </c>
      <c r="F3806" s="162" t="s">
        <v>13280</v>
      </c>
      <c r="G3806" s="168" t="s">
        <v>13385</v>
      </c>
      <c r="H3806" s="168" t="s">
        <v>13386</v>
      </c>
      <c r="K3806" s="168">
        <v>16110711</v>
      </c>
      <c r="L3806" s="162" t="s">
        <v>14199</v>
      </c>
      <c r="M3806" s="162" t="s">
        <v>14200</v>
      </c>
      <c r="N3806" s="452"/>
      <c r="O3806" s="492">
        <v>0.6</v>
      </c>
      <c r="P3806" s="505">
        <v>0.75</v>
      </c>
      <c r="Q3806" s="505">
        <v>0.75</v>
      </c>
      <c r="R3806" s="505">
        <v>0.8</v>
      </c>
      <c r="S3806" s="505">
        <v>0.85</v>
      </c>
      <c r="T3806" s="223" t="s">
        <v>13975</v>
      </c>
      <c r="U3806" t="e">
        <f>VLOOKUP(T3806,[8]Votes!$A$1:$E$234,3,FALSE)</f>
        <v>#N/A</v>
      </c>
      <c r="V3806" s="162" t="s">
        <v>14204</v>
      </c>
      <c r="W3806" s="416">
        <v>1</v>
      </c>
      <c r="X3806" s="416">
        <v>1</v>
      </c>
      <c r="Y3806" s="416">
        <v>1</v>
      </c>
      <c r="Z3806" s="416">
        <v>1</v>
      </c>
      <c r="AA3806" s="416">
        <v>1</v>
      </c>
      <c r="AB3806" s="416">
        <v>0</v>
      </c>
      <c r="AC3806" s="150">
        <v>0</v>
      </c>
      <c r="AD3806" s="150">
        <v>1</v>
      </c>
      <c r="AE3806" s="49">
        <f t="shared" si="140"/>
        <v>0.75</v>
      </c>
      <c r="AF3806" s="190">
        <v>1</v>
      </c>
      <c r="AG3806" s="17">
        <v>0</v>
      </c>
      <c r="AH3806" s="485">
        <v>0.15</v>
      </c>
      <c r="AI3806" s="485">
        <v>0.19</v>
      </c>
      <c r="AJ3806" s="485">
        <v>0.25</v>
      </c>
      <c r="AK3806" s="493">
        <v>0.32</v>
      </c>
      <c r="AL3806" s="493">
        <v>0.35</v>
      </c>
      <c r="AM3806" s="17">
        <f t="shared" si="141"/>
        <v>0.66999999999999993</v>
      </c>
      <c r="AN3806" s="162" t="s">
        <v>13766</v>
      </c>
      <c r="AO3806" s="162" t="s">
        <v>13768</v>
      </c>
    </row>
    <row r="3807" spans="1:41" s="162" customFormat="1" x14ac:dyDescent="0.3">
      <c r="A3807" s="205" t="s">
        <v>8321</v>
      </c>
      <c r="B3807" s="162" t="s">
        <v>8322</v>
      </c>
      <c r="C3807" s="168" t="s">
        <v>13277</v>
      </c>
      <c r="D3807" s="162" t="s">
        <v>13278</v>
      </c>
      <c r="E3807" s="168" t="s">
        <v>13279</v>
      </c>
      <c r="F3807" s="162" t="s">
        <v>13280</v>
      </c>
      <c r="G3807" s="168" t="s">
        <v>13385</v>
      </c>
      <c r="H3807" s="168" t="s">
        <v>13386</v>
      </c>
      <c r="K3807" s="168">
        <v>16110712</v>
      </c>
      <c r="L3807" s="162" t="s">
        <v>14205</v>
      </c>
      <c r="M3807" s="162" t="s">
        <v>14206</v>
      </c>
      <c r="O3807" s="224">
        <v>2</v>
      </c>
      <c r="P3807" s="224">
        <v>5</v>
      </c>
      <c r="Q3807" s="224">
        <v>5</v>
      </c>
      <c r="R3807" s="224">
        <v>7</v>
      </c>
      <c r="S3807" s="224"/>
      <c r="T3807" s="223" t="s">
        <v>13766</v>
      </c>
      <c r="U3807" t="str">
        <f>VLOOKUP(T3807,[8]Votes!$A$1:$E$234,3,FALSE)</f>
        <v>120 National Citizenship and Immigration Control</v>
      </c>
      <c r="V3807" s="162" t="s">
        <v>14207</v>
      </c>
      <c r="W3807" s="416">
        <v>1</v>
      </c>
      <c r="X3807" s="416">
        <v>1</v>
      </c>
      <c r="Y3807" s="416">
        <v>1</v>
      </c>
      <c r="Z3807" s="416">
        <v>1</v>
      </c>
      <c r="AA3807" s="416">
        <v>1</v>
      </c>
      <c r="AB3807" s="416">
        <v>0</v>
      </c>
      <c r="AC3807" s="150">
        <v>0</v>
      </c>
      <c r="AD3807" s="150">
        <v>1</v>
      </c>
      <c r="AE3807" s="49">
        <f t="shared" si="140"/>
        <v>0.75</v>
      </c>
      <c r="AF3807" s="190">
        <v>1</v>
      </c>
      <c r="AG3807" s="17">
        <v>0</v>
      </c>
      <c r="AH3807" s="485">
        <v>0.13</v>
      </c>
      <c r="AI3807" s="485">
        <v>0.35</v>
      </c>
      <c r="AJ3807" s="485">
        <v>0.375</v>
      </c>
      <c r="AK3807" s="493">
        <v>0.56000000000000005</v>
      </c>
      <c r="AL3807" s="191">
        <v>0</v>
      </c>
      <c r="AM3807" s="17">
        <f t="shared" si="141"/>
        <v>0.56000000000000005</v>
      </c>
      <c r="AN3807" s="162" t="s">
        <v>13766</v>
      </c>
      <c r="AO3807" s="162" t="s">
        <v>13768</v>
      </c>
    </row>
    <row r="3808" spans="1:41" s="162" customFormat="1" x14ac:dyDescent="0.3">
      <c r="A3808" s="205" t="s">
        <v>8321</v>
      </c>
      <c r="B3808" s="162" t="s">
        <v>8322</v>
      </c>
      <c r="C3808" s="168" t="s">
        <v>13277</v>
      </c>
      <c r="D3808" s="162" t="s">
        <v>13278</v>
      </c>
      <c r="E3808" s="168" t="s">
        <v>13279</v>
      </c>
      <c r="F3808" s="162" t="s">
        <v>13936</v>
      </c>
      <c r="G3808" s="168" t="s">
        <v>13385</v>
      </c>
      <c r="H3808" s="168" t="s">
        <v>13386</v>
      </c>
      <c r="K3808" s="168">
        <v>16110703</v>
      </c>
      <c r="L3808" s="162" t="s">
        <v>14208</v>
      </c>
      <c r="M3808" s="162" t="s">
        <v>14209</v>
      </c>
      <c r="O3808" s="492">
        <v>0.9</v>
      </c>
      <c r="P3808" s="492">
        <v>0.95</v>
      </c>
      <c r="Q3808" s="492">
        <v>0.95</v>
      </c>
      <c r="R3808" s="492">
        <v>0.95</v>
      </c>
      <c r="S3808" s="492">
        <v>0.95</v>
      </c>
      <c r="T3808" s="223" t="s">
        <v>13975</v>
      </c>
      <c r="U3808" t="e">
        <f>VLOOKUP(T3808,[8]Votes!$A$1:$E$234,3,FALSE)</f>
        <v>#N/A</v>
      </c>
      <c r="V3808" s="162" t="s">
        <v>14210</v>
      </c>
      <c r="W3808" s="416">
        <v>1</v>
      </c>
      <c r="X3808" s="416">
        <v>1</v>
      </c>
      <c r="Y3808" s="416">
        <v>1</v>
      </c>
      <c r="Z3808" s="416">
        <v>1</v>
      </c>
      <c r="AA3808" s="416">
        <v>1</v>
      </c>
      <c r="AB3808" s="416">
        <v>0</v>
      </c>
      <c r="AC3808" s="150">
        <v>0</v>
      </c>
      <c r="AD3808" s="150">
        <v>1</v>
      </c>
      <c r="AE3808" s="49">
        <f t="shared" si="140"/>
        <v>0.75</v>
      </c>
      <c r="AF3808" s="190">
        <v>1</v>
      </c>
      <c r="AG3808" s="17">
        <v>0</v>
      </c>
      <c r="AH3808" s="485">
        <v>11.6</v>
      </c>
      <c r="AI3808" s="485">
        <v>12.5</v>
      </c>
      <c r="AJ3808" s="485">
        <v>13.9</v>
      </c>
      <c r="AK3808" s="493">
        <v>3</v>
      </c>
      <c r="AL3808" s="493">
        <v>3</v>
      </c>
      <c r="AM3808" s="17">
        <f t="shared" si="141"/>
        <v>6</v>
      </c>
      <c r="AN3808" s="162" t="s">
        <v>13766</v>
      </c>
      <c r="AO3808" s="162" t="s">
        <v>13768</v>
      </c>
    </row>
    <row r="3809" spans="1:41" s="162" customFormat="1" x14ac:dyDescent="0.3">
      <c r="A3809" s="205" t="s">
        <v>8321</v>
      </c>
      <c r="B3809" s="162" t="s">
        <v>8322</v>
      </c>
      <c r="C3809" s="168" t="s">
        <v>13277</v>
      </c>
      <c r="D3809" s="162" t="s">
        <v>13278</v>
      </c>
      <c r="E3809" s="168" t="s">
        <v>13279</v>
      </c>
      <c r="F3809" s="162" t="s">
        <v>13936</v>
      </c>
      <c r="G3809" s="168" t="s">
        <v>13385</v>
      </c>
      <c r="H3809" s="168" t="s">
        <v>13386</v>
      </c>
      <c r="K3809" s="168">
        <v>16110703</v>
      </c>
      <c r="L3809" s="162" t="s">
        <v>14208</v>
      </c>
      <c r="M3809" s="162" t="s">
        <v>14211</v>
      </c>
      <c r="O3809" s="506">
        <v>28</v>
      </c>
      <c r="P3809" s="506">
        <v>40</v>
      </c>
      <c r="Q3809" s="506">
        <v>100</v>
      </c>
      <c r="R3809" s="506">
        <v>120</v>
      </c>
      <c r="S3809" s="224">
        <v>140</v>
      </c>
      <c r="T3809" s="223" t="s">
        <v>13766</v>
      </c>
      <c r="U3809" t="str">
        <f>VLOOKUP(T3809,[8]Votes!$A$1:$E$234,3,FALSE)</f>
        <v>120 National Citizenship and Immigration Control</v>
      </c>
      <c r="V3809" s="162" t="s">
        <v>14212</v>
      </c>
      <c r="W3809" s="416">
        <v>1</v>
      </c>
      <c r="X3809" s="416">
        <v>1</v>
      </c>
      <c r="Y3809" s="416">
        <v>1</v>
      </c>
      <c r="Z3809" s="416">
        <v>1</v>
      </c>
      <c r="AA3809" s="416">
        <v>1</v>
      </c>
      <c r="AB3809" s="416">
        <v>0</v>
      </c>
      <c r="AC3809" s="150">
        <v>0</v>
      </c>
      <c r="AD3809" s="150">
        <v>1</v>
      </c>
      <c r="AE3809" s="49">
        <f t="shared" si="140"/>
        <v>0.75</v>
      </c>
      <c r="AF3809" s="190">
        <v>1</v>
      </c>
      <c r="AG3809" s="17">
        <v>0</v>
      </c>
      <c r="AH3809" s="485">
        <v>1.82</v>
      </c>
      <c r="AI3809" s="485">
        <v>2.6</v>
      </c>
      <c r="AJ3809" s="485">
        <v>6.5</v>
      </c>
      <c r="AK3809" s="493">
        <v>3.8</v>
      </c>
      <c r="AL3809" s="493">
        <v>3</v>
      </c>
      <c r="AM3809" s="17">
        <f t="shared" si="141"/>
        <v>6.8</v>
      </c>
      <c r="AN3809" s="162" t="s">
        <v>13766</v>
      </c>
      <c r="AO3809" s="162" t="s">
        <v>13768</v>
      </c>
    </row>
    <row r="3810" spans="1:41" s="162" customFormat="1" x14ac:dyDescent="0.3">
      <c r="A3810" s="205" t="s">
        <v>8321</v>
      </c>
      <c r="B3810" s="162" t="s">
        <v>8322</v>
      </c>
      <c r="C3810" s="168" t="s">
        <v>13277</v>
      </c>
      <c r="D3810" s="162" t="s">
        <v>13278</v>
      </c>
      <c r="E3810" s="168" t="s">
        <v>13279</v>
      </c>
      <c r="F3810" s="162" t="s">
        <v>13280</v>
      </c>
      <c r="G3810" s="168" t="s">
        <v>14101</v>
      </c>
      <c r="H3810" s="162" t="s">
        <v>14102</v>
      </c>
      <c r="K3810" s="162">
        <v>16111716</v>
      </c>
      <c r="L3810" s="162" t="s">
        <v>14213</v>
      </c>
      <c r="M3810" s="162" t="s">
        <v>14122</v>
      </c>
      <c r="O3810" s="224"/>
      <c r="P3810" s="224"/>
      <c r="Q3810" s="224"/>
      <c r="R3810" s="224"/>
      <c r="S3810" s="224"/>
      <c r="T3810" s="223" t="s">
        <v>14105</v>
      </c>
      <c r="U3810" t="e">
        <f>VLOOKUP(T3810,[8]Votes!$A$1:$E$234,3,FALSE)</f>
        <v>#N/A</v>
      </c>
      <c r="V3810" s="162" t="s">
        <v>14214</v>
      </c>
      <c r="W3810" s="416">
        <v>1</v>
      </c>
      <c r="X3810" s="416">
        <v>1</v>
      </c>
      <c r="Y3810" s="416">
        <v>1</v>
      </c>
      <c r="Z3810" s="416">
        <v>1</v>
      </c>
      <c r="AA3810" s="416">
        <v>1</v>
      </c>
      <c r="AB3810" s="416">
        <v>0</v>
      </c>
      <c r="AC3810" s="150">
        <v>0</v>
      </c>
      <c r="AD3810" s="150">
        <v>1</v>
      </c>
      <c r="AE3810" s="49">
        <f t="shared" si="140"/>
        <v>0.75</v>
      </c>
      <c r="AF3810" s="190">
        <v>1</v>
      </c>
      <c r="AG3810" s="17">
        <v>0</v>
      </c>
      <c r="AH3810" s="190">
        <v>0</v>
      </c>
      <c r="AI3810" s="190">
        <v>0</v>
      </c>
      <c r="AJ3810" s="190">
        <v>0</v>
      </c>
      <c r="AK3810" s="191">
        <v>0</v>
      </c>
      <c r="AL3810" s="191">
        <v>0</v>
      </c>
      <c r="AM3810" s="17">
        <f t="shared" si="141"/>
        <v>0</v>
      </c>
      <c r="AN3810" s="162" t="s">
        <v>4115</v>
      </c>
      <c r="AO3810" s="162" t="s">
        <v>4116</v>
      </c>
    </row>
    <row r="3811" spans="1:41" s="162" customFormat="1" x14ac:dyDescent="0.3">
      <c r="A3811" s="205" t="s">
        <v>8321</v>
      </c>
      <c r="B3811" s="162" t="s">
        <v>8322</v>
      </c>
      <c r="C3811" s="168" t="s">
        <v>13277</v>
      </c>
      <c r="D3811" s="162" t="s">
        <v>13278</v>
      </c>
      <c r="E3811" s="168" t="s">
        <v>13279</v>
      </c>
      <c r="F3811" s="162" t="s">
        <v>13280</v>
      </c>
      <c r="G3811" s="168" t="s">
        <v>14101</v>
      </c>
      <c r="H3811" s="1" t="s">
        <v>14102</v>
      </c>
      <c r="K3811" s="162">
        <v>16111716</v>
      </c>
      <c r="L3811" s="162" t="s">
        <v>14213</v>
      </c>
      <c r="M3811" s="162" t="s">
        <v>14129</v>
      </c>
      <c r="O3811" s="224"/>
      <c r="P3811" s="224"/>
      <c r="Q3811" s="224"/>
      <c r="R3811" s="224"/>
      <c r="S3811" s="224"/>
      <c r="T3811" s="223" t="s">
        <v>4115</v>
      </c>
      <c r="U3811" t="str">
        <f>VLOOKUP(T3811,[8]Votes!$A$1:$E$234,3,FALSE)</f>
        <v>309 National Identification and Registration Authority (NIRA)</v>
      </c>
      <c r="V3811" s="162" t="s">
        <v>14215</v>
      </c>
      <c r="W3811" s="416">
        <v>1</v>
      </c>
      <c r="X3811" s="416">
        <v>1</v>
      </c>
      <c r="Y3811" s="416">
        <v>1</v>
      </c>
      <c r="Z3811" s="416">
        <v>1</v>
      </c>
      <c r="AA3811" s="416">
        <v>1</v>
      </c>
      <c r="AB3811" s="416">
        <v>0</v>
      </c>
      <c r="AC3811" s="150">
        <v>0</v>
      </c>
      <c r="AD3811" s="150">
        <v>1</v>
      </c>
      <c r="AE3811" s="49">
        <f t="shared" si="140"/>
        <v>0.75</v>
      </c>
      <c r="AF3811" s="190">
        <v>1</v>
      </c>
      <c r="AG3811" s="17">
        <v>0</v>
      </c>
      <c r="AH3811" s="190">
        <v>0</v>
      </c>
      <c r="AI3811" s="190">
        <v>0</v>
      </c>
      <c r="AJ3811" s="190">
        <v>0</v>
      </c>
      <c r="AK3811" s="191">
        <v>0</v>
      </c>
      <c r="AL3811" s="191">
        <v>0</v>
      </c>
      <c r="AM3811" s="17">
        <f t="shared" si="141"/>
        <v>0</v>
      </c>
      <c r="AN3811" s="162" t="s">
        <v>4115</v>
      </c>
      <c r="AO3811" s="162" t="s">
        <v>4116</v>
      </c>
    </row>
    <row r="3812" spans="1:41" s="162" customFormat="1" x14ac:dyDescent="0.3">
      <c r="A3812" s="205" t="s">
        <v>8321</v>
      </c>
      <c r="B3812" s="162" t="s">
        <v>8322</v>
      </c>
      <c r="C3812" s="168" t="s">
        <v>13277</v>
      </c>
      <c r="D3812" s="162" t="s">
        <v>13278</v>
      </c>
      <c r="E3812" s="168" t="s">
        <v>13279</v>
      </c>
      <c r="F3812" s="162" t="s">
        <v>13280</v>
      </c>
      <c r="G3812" s="168" t="s">
        <v>14101</v>
      </c>
      <c r="H3812" s="1" t="s">
        <v>14102</v>
      </c>
      <c r="K3812" s="162">
        <v>16111717</v>
      </c>
      <c r="L3812" s="162" t="s">
        <v>14216</v>
      </c>
      <c r="M3812" s="162" t="s">
        <v>14217</v>
      </c>
      <c r="O3812" s="229">
        <v>1000</v>
      </c>
      <c r="P3812" s="229">
        <v>1200</v>
      </c>
      <c r="Q3812" s="229">
        <v>1300</v>
      </c>
      <c r="R3812" s="229">
        <v>1500</v>
      </c>
      <c r="S3812" s="229">
        <v>1500</v>
      </c>
      <c r="T3812" s="223" t="s">
        <v>13975</v>
      </c>
      <c r="U3812" t="e">
        <f>VLOOKUP(T3812,[8]Votes!$A$1:$E$234,3,FALSE)</f>
        <v>#N/A</v>
      </c>
      <c r="V3812" s="162" t="s">
        <v>14218</v>
      </c>
      <c r="W3812" s="416">
        <v>1</v>
      </c>
      <c r="X3812" s="416">
        <v>1</v>
      </c>
      <c r="Y3812" s="416">
        <v>1</v>
      </c>
      <c r="Z3812" s="416">
        <v>1</v>
      </c>
      <c r="AA3812" s="416">
        <v>1</v>
      </c>
      <c r="AB3812" s="416">
        <v>0</v>
      </c>
      <c r="AC3812" s="150">
        <v>0</v>
      </c>
      <c r="AD3812" s="150">
        <v>1</v>
      </c>
      <c r="AE3812" s="49">
        <f t="shared" si="140"/>
        <v>0.75</v>
      </c>
      <c r="AF3812" s="190">
        <v>1</v>
      </c>
      <c r="AG3812" s="17">
        <v>0</v>
      </c>
      <c r="AH3812" s="485">
        <v>4.2000000000000003E-2</v>
      </c>
      <c r="AI3812" s="485">
        <v>5.0999999999999997E-2</v>
      </c>
      <c r="AJ3812" s="485">
        <v>5.5E-2</v>
      </c>
      <c r="AK3812" s="493">
        <v>6.7000000000000004E-2</v>
      </c>
      <c r="AL3812" s="493">
        <v>6.7000000000000004E-2</v>
      </c>
      <c r="AM3812" s="17">
        <f t="shared" si="141"/>
        <v>0.13400000000000001</v>
      </c>
      <c r="AN3812" s="162" t="s">
        <v>13766</v>
      </c>
      <c r="AO3812" s="162" t="s">
        <v>13768</v>
      </c>
    </row>
    <row r="3813" spans="1:41" s="162" customFormat="1" x14ac:dyDescent="0.3">
      <c r="A3813" s="205" t="s">
        <v>8321</v>
      </c>
      <c r="B3813" s="162" t="s">
        <v>8322</v>
      </c>
      <c r="C3813" s="168" t="s">
        <v>13277</v>
      </c>
      <c r="D3813" s="162" t="s">
        <v>13278</v>
      </c>
      <c r="E3813" s="168" t="s">
        <v>13279</v>
      </c>
      <c r="F3813" s="162" t="s">
        <v>13280</v>
      </c>
      <c r="G3813" s="168" t="s">
        <v>14101</v>
      </c>
      <c r="H3813" s="1" t="s">
        <v>14102</v>
      </c>
      <c r="K3813" s="162">
        <v>16111718</v>
      </c>
      <c r="L3813" s="162" t="s">
        <v>14219</v>
      </c>
      <c r="M3813" s="162" t="s">
        <v>14220</v>
      </c>
      <c r="O3813" s="492">
        <v>0.5</v>
      </c>
      <c r="P3813" s="492">
        <v>0.6</v>
      </c>
      <c r="Q3813" s="492">
        <v>1</v>
      </c>
      <c r="R3813" s="492">
        <v>1</v>
      </c>
      <c r="S3813" s="492">
        <v>1</v>
      </c>
      <c r="T3813" s="223" t="s">
        <v>13739</v>
      </c>
      <c r="U3813" t="e">
        <f>VLOOKUP(T3813,[8]Votes!$A$1:$E$234,3,FALSE)</f>
        <v>#N/A</v>
      </c>
      <c r="V3813" s="162" t="s">
        <v>14221</v>
      </c>
      <c r="W3813" s="416">
        <v>1</v>
      </c>
      <c r="X3813" s="416">
        <v>1</v>
      </c>
      <c r="Y3813" s="416">
        <v>1</v>
      </c>
      <c r="Z3813" s="416">
        <v>1</v>
      </c>
      <c r="AA3813" s="416">
        <v>1</v>
      </c>
      <c r="AB3813" s="416">
        <v>0</v>
      </c>
      <c r="AC3813" s="150">
        <v>0</v>
      </c>
      <c r="AD3813" s="150">
        <v>1</v>
      </c>
      <c r="AE3813" s="49">
        <f t="shared" si="140"/>
        <v>0.75</v>
      </c>
      <c r="AF3813" s="190">
        <v>1</v>
      </c>
      <c r="AG3813" s="17">
        <v>0</v>
      </c>
      <c r="AH3813" s="485">
        <v>0.85</v>
      </c>
      <c r="AI3813" s="485">
        <v>1.2</v>
      </c>
      <c r="AJ3813" s="485">
        <v>1.35</v>
      </c>
      <c r="AK3813" s="493">
        <v>2.4</v>
      </c>
      <c r="AL3813" s="493">
        <v>2.4</v>
      </c>
      <c r="AM3813" s="17">
        <f t="shared" si="141"/>
        <v>4.8</v>
      </c>
      <c r="AN3813" s="162" t="s">
        <v>13741</v>
      </c>
      <c r="AO3813" s="162" t="s">
        <v>13742</v>
      </c>
    </row>
    <row r="3814" spans="1:41" s="162" customFormat="1" x14ac:dyDescent="0.3">
      <c r="A3814" s="205" t="s">
        <v>8321</v>
      </c>
      <c r="B3814" s="162" t="s">
        <v>8322</v>
      </c>
      <c r="C3814" s="168" t="s">
        <v>13277</v>
      </c>
      <c r="D3814" s="162" t="s">
        <v>13278</v>
      </c>
      <c r="E3814" s="168" t="s">
        <v>13279</v>
      </c>
      <c r="F3814" s="162" t="s">
        <v>13280</v>
      </c>
      <c r="G3814" s="168" t="s">
        <v>14101</v>
      </c>
      <c r="H3814" s="1" t="s">
        <v>14102</v>
      </c>
      <c r="K3814" s="162">
        <v>16111719</v>
      </c>
      <c r="L3814" s="162" t="s">
        <v>14222</v>
      </c>
      <c r="M3814" s="162" t="s">
        <v>14223</v>
      </c>
      <c r="O3814" s="226"/>
      <c r="P3814" s="224">
        <v>1</v>
      </c>
      <c r="Q3814" s="226"/>
      <c r="R3814" s="226"/>
      <c r="S3814" s="226"/>
      <c r="T3814" s="223" t="s">
        <v>13766</v>
      </c>
      <c r="U3814" t="str">
        <f>VLOOKUP(T3814,[8]Votes!$A$1:$E$234,3,FALSE)</f>
        <v>120 National Citizenship and Immigration Control</v>
      </c>
      <c r="V3814" s="162" t="s">
        <v>14224</v>
      </c>
      <c r="W3814" s="416">
        <v>1</v>
      </c>
      <c r="X3814" s="416">
        <v>1</v>
      </c>
      <c r="Y3814" s="416">
        <v>1</v>
      </c>
      <c r="Z3814" s="416">
        <v>1</v>
      </c>
      <c r="AA3814" s="416">
        <v>1</v>
      </c>
      <c r="AB3814" s="416">
        <v>0</v>
      </c>
      <c r="AC3814" s="150">
        <v>0</v>
      </c>
      <c r="AD3814" s="150">
        <v>1</v>
      </c>
      <c r="AE3814" s="49">
        <f t="shared" si="140"/>
        <v>0.75</v>
      </c>
      <c r="AF3814" s="190">
        <v>1</v>
      </c>
      <c r="AG3814" s="17">
        <v>0</v>
      </c>
      <c r="AH3814" s="190">
        <v>0</v>
      </c>
      <c r="AI3814" s="485">
        <v>0.2</v>
      </c>
      <c r="AJ3814" s="190">
        <v>0</v>
      </c>
      <c r="AK3814" s="191">
        <v>0</v>
      </c>
      <c r="AL3814" s="191">
        <v>0</v>
      </c>
      <c r="AM3814" s="17">
        <f t="shared" si="141"/>
        <v>0</v>
      </c>
      <c r="AN3814" s="162" t="s">
        <v>13766</v>
      </c>
      <c r="AO3814" s="162" t="s">
        <v>13768</v>
      </c>
    </row>
    <row r="3815" spans="1:41" s="162" customFormat="1" x14ac:dyDescent="0.3">
      <c r="A3815" s="205" t="s">
        <v>8321</v>
      </c>
      <c r="B3815" s="162" t="s">
        <v>8322</v>
      </c>
      <c r="C3815" s="168" t="s">
        <v>13277</v>
      </c>
      <c r="D3815" s="162" t="s">
        <v>13278</v>
      </c>
      <c r="E3815" s="168" t="s">
        <v>13279</v>
      </c>
      <c r="F3815" s="162" t="s">
        <v>13280</v>
      </c>
      <c r="G3815" s="168" t="s">
        <v>13398</v>
      </c>
      <c r="H3815" s="168" t="s">
        <v>13399</v>
      </c>
      <c r="K3815" s="168">
        <v>16110802</v>
      </c>
      <c r="L3815" s="162" t="s">
        <v>14225</v>
      </c>
      <c r="M3815" s="162" t="s">
        <v>14226</v>
      </c>
      <c r="O3815" s="224"/>
      <c r="P3815" s="224"/>
      <c r="Q3815" s="224">
        <v>1</v>
      </c>
      <c r="R3815" s="224">
        <v>1</v>
      </c>
      <c r="S3815" s="224">
        <v>1</v>
      </c>
      <c r="T3815" s="223" t="s">
        <v>3879</v>
      </c>
      <c r="U3815" t="str">
        <f>VLOOKUP(T3815,[8]Votes!$A$1:$E$234,3,FALSE)</f>
        <v>009 Ministry of Internal Affairs</v>
      </c>
      <c r="V3815" s="162" t="s">
        <v>14227</v>
      </c>
      <c r="W3815" s="416">
        <v>1</v>
      </c>
      <c r="X3815" s="416">
        <v>1</v>
      </c>
      <c r="Y3815" s="416">
        <v>1</v>
      </c>
      <c r="Z3815" s="416">
        <v>1</v>
      </c>
      <c r="AA3815" s="416">
        <v>1</v>
      </c>
      <c r="AB3815" s="416">
        <v>0</v>
      </c>
      <c r="AC3815" s="150">
        <v>1</v>
      </c>
      <c r="AD3815" s="150">
        <v>1</v>
      </c>
      <c r="AE3815" s="49">
        <f t="shared" si="140"/>
        <v>0.875</v>
      </c>
      <c r="AF3815" s="190">
        <v>0</v>
      </c>
      <c r="AG3815" s="17">
        <v>0</v>
      </c>
      <c r="AH3815" s="190">
        <v>0</v>
      </c>
      <c r="AI3815" s="190">
        <v>0</v>
      </c>
      <c r="AJ3815" s="485">
        <v>2.5</v>
      </c>
      <c r="AK3815" s="493">
        <v>0.5</v>
      </c>
      <c r="AL3815" s="493">
        <v>0.5</v>
      </c>
      <c r="AM3815" s="17">
        <f t="shared" si="141"/>
        <v>1</v>
      </c>
      <c r="AN3815" s="162" t="s">
        <v>3879</v>
      </c>
      <c r="AO3815" s="162" t="s">
        <v>3881</v>
      </c>
    </row>
    <row r="3816" spans="1:41" s="162" customFormat="1" x14ac:dyDescent="0.3">
      <c r="A3816" s="205" t="s">
        <v>8321</v>
      </c>
      <c r="B3816" s="162" t="s">
        <v>8322</v>
      </c>
      <c r="C3816" s="168" t="s">
        <v>13277</v>
      </c>
      <c r="D3816" s="162" t="s">
        <v>13278</v>
      </c>
      <c r="E3816" s="168" t="s">
        <v>13279</v>
      </c>
      <c r="F3816" s="162" t="s">
        <v>13280</v>
      </c>
      <c r="G3816" s="168" t="s">
        <v>13398</v>
      </c>
      <c r="H3816" s="168" t="s">
        <v>13399</v>
      </c>
      <c r="K3816" s="168">
        <v>16110803</v>
      </c>
      <c r="L3816" s="162" t="s">
        <v>14228</v>
      </c>
      <c r="M3816" s="162" t="s">
        <v>14229</v>
      </c>
      <c r="O3816" s="224">
        <v>160</v>
      </c>
      <c r="P3816" s="224">
        <v>165</v>
      </c>
      <c r="Q3816" s="224">
        <v>170</v>
      </c>
      <c r="R3816" s="224">
        <v>180</v>
      </c>
      <c r="S3816" s="224">
        <v>185</v>
      </c>
      <c r="T3816" s="223" t="s">
        <v>3879</v>
      </c>
      <c r="U3816" t="str">
        <f>VLOOKUP(T3816,[8]Votes!$A$1:$E$234,3,FALSE)</f>
        <v>009 Ministry of Internal Affairs</v>
      </c>
      <c r="V3816" s="162" t="s">
        <v>14230</v>
      </c>
      <c r="W3816" s="416">
        <v>1</v>
      </c>
      <c r="X3816" s="416">
        <v>1</v>
      </c>
      <c r="Y3816" s="416">
        <v>1</v>
      </c>
      <c r="Z3816" s="416">
        <v>1</v>
      </c>
      <c r="AA3816" s="416">
        <v>1</v>
      </c>
      <c r="AB3816" s="416">
        <v>0</v>
      </c>
      <c r="AC3816" s="150">
        <v>1</v>
      </c>
      <c r="AD3816" s="150">
        <v>1</v>
      </c>
      <c r="AE3816" s="49">
        <f t="shared" si="140"/>
        <v>0.875</v>
      </c>
      <c r="AF3816" s="190">
        <v>1</v>
      </c>
      <c r="AG3816" s="17">
        <v>0</v>
      </c>
      <c r="AH3816" s="485">
        <v>0.35</v>
      </c>
      <c r="AI3816" s="485">
        <v>0.5</v>
      </c>
      <c r="AJ3816" s="485">
        <v>1</v>
      </c>
      <c r="AK3816" s="493">
        <v>0.5</v>
      </c>
      <c r="AL3816" s="493">
        <v>0.5</v>
      </c>
      <c r="AM3816" s="17">
        <f t="shared" si="141"/>
        <v>1</v>
      </c>
      <c r="AN3816" s="162" t="s">
        <v>3879</v>
      </c>
      <c r="AO3816" s="162" t="s">
        <v>3881</v>
      </c>
    </row>
    <row r="3817" spans="1:41" s="162" customFormat="1" x14ac:dyDescent="0.3">
      <c r="A3817" s="205" t="s">
        <v>8321</v>
      </c>
      <c r="B3817" s="162" t="s">
        <v>8322</v>
      </c>
      <c r="C3817" s="168" t="s">
        <v>13277</v>
      </c>
      <c r="D3817" s="162" t="s">
        <v>13278</v>
      </c>
      <c r="E3817" s="168" t="s">
        <v>13279</v>
      </c>
      <c r="F3817" s="162" t="s">
        <v>13280</v>
      </c>
      <c r="G3817" s="168" t="s">
        <v>13398</v>
      </c>
      <c r="H3817" s="168" t="s">
        <v>13399</v>
      </c>
      <c r="K3817" s="168">
        <v>16110804</v>
      </c>
      <c r="L3817" s="162" t="s">
        <v>14231</v>
      </c>
      <c r="M3817" s="162" t="s">
        <v>14232</v>
      </c>
      <c r="O3817" s="224">
        <v>10</v>
      </c>
      <c r="P3817" s="224">
        <v>10</v>
      </c>
      <c r="Q3817" s="224">
        <v>10</v>
      </c>
      <c r="R3817" s="224">
        <v>10</v>
      </c>
      <c r="S3817" s="224">
        <v>10</v>
      </c>
      <c r="T3817" s="223" t="s">
        <v>3879</v>
      </c>
      <c r="U3817" t="str">
        <f>VLOOKUP(T3817,[8]Votes!$A$1:$E$234,3,FALSE)</f>
        <v>009 Ministry of Internal Affairs</v>
      </c>
      <c r="V3817" s="162" t="s">
        <v>14233</v>
      </c>
      <c r="W3817" s="416">
        <v>1</v>
      </c>
      <c r="X3817" s="416">
        <v>1</v>
      </c>
      <c r="Y3817" s="416">
        <v>1</v>
      </c>
      <c r="Z3817" s="416">
        <v>1</v>
      </c>
      <c r="AA3817" s="416">
        <v>1</v>
      </c>
      <c r="AB3817" s="416">
        <v>0</v>
      </c>
      <c r="AC3817" s="150">
        <v>1</v>
      </c>
      <c r="AD3817" s="150">
        <v>1</v>
      </c>
      <c r="AE3817" s="49">
        <f t="shared" si="140"/>
        <v>0.875</v>
      </c>
      <c r="AF3817" s="190">
        <v>1</v>
      </c>
      <c r="AG3817" s="17">
        <v>0</v>
      </c>
      <c r="AH3817" s="485">
        <v>0.5</v>
      </c>
      <c r="AI3817" s="485">
        <v>1</v>
      </c>
      <c r="AJ3817" s="485">
        <v>1.5</v>
      </c>
      <c r="AK3817" s="493">
        <v>1</v>
      </c>
      <c r="AL3817" s="493">
        <v>1</v>
      </c>
      <c r="AM3817" s="17">
        <f t="shared" si="141"/>
        <v>2</v>
      </c>
      <c r="AN3817" s="162" t="s">
        <v>3879</v>
      </c>
      <c r="AO3817" s="162" t="s">
        <v>3881</v>
      </c>
    </row>
    <row r="3818" spans="1:41" s="162" customFormat="1" x14ac:dyDescent="0.3">
      <c r="A3818" s="205" t="s">
        <v>8321</v>
      </c>
      <c r="B3818" s="162" t="s">
        <v>8322</v>
      </c>
      <c r="C3818" s="168" t="s">
        <v>13277</v>
      </c>
      <c r="D3818" s="162" t="s">
        <v>13278</v>
      </c>
      <c r="E3818" s="168" t="s">
        <v>13279</v>
      </c>
      <c r="F3818" s="162" t="s">
        <v>13280</v>
      </c>
      <c r="G3818" s="168" t="s">
        <v>13398</v>
      </c>
      <c r="H3818" s="168" t="s">
        <v>13399</v>
      </c>
      <c r="K3818" s="168">
        <v>16110805</v>
      </c>
      <c r="L3818" s="162" t="s">
        <v>14234</v>
      </c>
      <c r="M3818" s="162" t="s">
        <v>14235</v>
      </c>
      <c r="O3818" s="224"/>
      <c r="P3818" s="224"/>
      <c r="Q3818" s="224">
        <v>0</v>
      </c>
      <c r="R3818" s="224"/>
      <c r="S3818" s="224"/>
      <c r="T3818" s="223" t="s">
        <v>3879</v>
      </c>
      <c r="U3818" t="str">
        <f>VLOOKUP(T3818,[8]Votes!$A$1:$E$234,3,FALSE)</f>
        <v>009 Ministry of Internal Affairs</v>
      </c>
      <c r="V3818" s="162" t="s">
        <v>14236</v>
      </c>
      <c r="W3818" s="416">
        <v>1</v>
      </c>
      <c r="X3818" s="416">
        <v>1</v>
      </c>
      <c r="Y3818" s="416">
        <v>1</v>
      </c>
      <c r="Z3818" s="416">
        <v>1</v>
      </c>
      <c r="AA3818" s="416">
        <v>1</v>
      </c>
      <c r="AB3818" s="416">
        <v>0</v>
      </c>
      <c r="AC3818" s="150">
        <v>1</v>
      </c>
      <c r="AD3818" s="150">
        <v>1</v>
      </c>
      <c r="AE3818" s="49">
        <f t="shared" si="140"/>
        <v>0.875</v>
      </c>
      <c r="AF3818" s="190">
        <v>1</v>
      </c>
      <c r="AG3818" s="17">
        <v>0</v>
      </c>
      <c r="AH3818" s="190">
        <v>0</v>
      </c>
      <c r="AI3818" s="190">
        <v>0</v>
      </c>
      <c r="AJ3818" s="485">
        <v>3</v>
      </c>
      <c r="AK3818" s="493"/>
      <c r="AL3818" s="493"/>
      <c r="AM3818" s="17">
        <f t="shared" si="141"/>
        <v>0</v>
      </c>
      <c r="AN3818" s="162" t="s">
        <v>3879</v>
      </c>
      <c r="AO3818" s="162" t="s">
        <v>3881</v>
      </c>
    </row>
    <row r="3819" spans="1:41" s="162" customFormat="1" x14ac:dyDescent="0.3">
      <c r="A3819" s="205" t="s">
        <v>8321</v>
      </c>
      <c r="B3819" s="162" t="s">
        <v>8322</v>
      </c>
      <c r="C3819" s="168" t="s">
        <v>13277</v>
      </c>
      <c r="D3819" s="162" t="s">
        <v>13278</v>
      </c>
      <c r="E3819" s="168" t="s">
        <v>13279</v>
      </c>
      <c r="F3819" s="162" t="s">
        <v>13280</v>
      </c>
      <c r="G3819" s="168" t="s">
        <v>13398</v>
      </c>
      <c r="H3819" s="168" t="s">
        <v>13399</v>
      </c>
      <c r="K3819" s="168">
        <v>16110806</v>
      </c>
      <c r="L3819" s="162" t="s">
        <v>14237</v>
      </c>
      <c r="M3819" s="162" t="s">
        <v>14238</v>
      </c>
      <c r="O3819" s="224" t="s">
        <v>14239</v>
      </c>
      <c r="P3819" s="224" t="s">
        <v>14240</v>
      </c>
      <c r="Q3819" s="224" t="s">
        <v>14241</v>
      </c>
      <c r="R3819" s="224" t="s">
        <v>14242</v>
      </c>
      <c r="S3819" s="224" t="s">
        <v>14241</v>
      </c>
      <c r="T3819" s="223" t="s">
        <v>13755</v>
      </c>
      <c r="U3819" t="str">
        <f>VLOOKUP(T3819,[8]Votes!$A$1:$E$234,3,FALSE)</f>
        <v>159 External Security Organisation</v>
      </c>
      <c r="V3819" s="162" t="s">
        <v>14243</v>
      </c>
      <c r="W3819" s="416">
        <v>1</v>
      </c>
      <c r="X3819" s="416">
        <v>1</v>
      </c>
      <c r="Y3819" s="416">
        <v>1</v>
      </c>
      <c r="Z3819" s="416">
        <v>1</v>
      </c>
      <c r="AA3819" s="416">
        <v>1</v>
      </c>
      <c r="AB3819" s="416">
        <v>0</v>
      </c>
      <c r="AC3819" s="150">
        <v>0</v>
      </c>
      <c r="AD3819" s="150">
        <v>1</v>
      </c>
      <c r="AE3819" s="49">
        <f t="shared" si="140"/>
        <v>0.75</v>
      </c>
      <c r="AF3819" s="190">
        <v>1</v>
      </c>
      <c r="AG3819" s="17">
        <v>0</v>
      </c>
      <c r="AH3819" s="190">
        <v>0</v>
      </c>
      <c r="AI3819" s="485">
        <v>2.1</v>
      </c>
      <c r="AJ3819" s="485">
        <v>2.31</v>
      </c>
      <c r="AK3819" s="493">
        <v>1.54</v>
      </c>
      <c r="AL3819" s="493">
        <v>0.8</v>
      </c>
      <c r="AM3819" s="17">
        <f t="shared" si="141"/>
        <v>2.34</v>
      </c>
      <c r="AN3819" s="162" t="s">
        <v>13755</v>
      </c>
      <c r="AO3819" s="162" t="s">
        <v>13757</v>
      </c>
    </row>
    <row r="3820" spans="1:41" s="162" customFormat="1" x14ac:dyDescent="0.3">
      <c r="A3820" s="205" t="s">
        <v>8321</v>
      </c>
      <c r="B3820" s="162" t="s">
        <v>8322</v>
      </c>
      <c r="C3820" s="168" t="s">
        <v>13277</v>
      </c>
      <c r="D3820" s="162" t="s">
        <v>13278</v>
      </c>
      <c r="E3820" s="168" t="s">
        <v>13279</v>
      </c>
      <c r="F3820" s="162" t="s">
        <v>13280</v>
      </c>
      <c r="G3820" s="168" t="s">
        <v>13398</v>
      </c>
      <c r="H3820" s="168" t="s">
        <v>13399</v>
      </c>
      <c r="K3820" s="168">
        <v>16110807</v>
      </c>
      <c r="L3820" s="162" t="s">
        <v>14244</v>
      </c>
      <c r="M3820" s="162" t="s">
        <v>14245</v>
      </c>
      <c r="O3820" s="224">
        <v>40</v>
      </c>
      <c r="P3820" s="224">
        <v>100</v>
      </c>
      <c r="Q3820" s="224">
        <v>150</v>
      </c>
      <c r="R3820" s="224">
        <v>200</v>
      </c>
      <c r="S3820" s="224">
        <v>250</v>
      </c>
      <c r="T3820" s="223" t="s">
        <v>11865</v>
      </c>
      <c r="U3820" t="str">
        <f>VLOOKUP(T3820,[8]Votes!$A$1:$E$234,3,FALSE)</f>
        <v>133 Office of the Director of Public Prosecutions</v>
      </c>
      <c r="V3820" s="162" t="s">
        <v>14246</v>
      </c>
      <c r="W3820" s="416">
        <v>1</v>
      </c>
      <c r="X3820" s="416">
        <v>1</v>
      </c>
      <c r="Y3820" s="416">
        <v>1</v>
      </c>
      <c r="Z3820" s="416">
        <v>1</v>
      </c>
      <c r="AA3820" s="416">
        <v>1</v>
      </c>
      <c r="AB3820" s="416">
        <v>0</v>
      </c>
      <c r="AC3820" s="150">
        <v>0</v>
      </c>
      <c r="AD3820" s="150">
        <v>1</v>
      </c>
      <c r="AE3820" s="49">
        <f t="shared" si="140"/>
        <v>0.75</v>
      </c>
      <c r="AF3820" s="190">
        <v>1</v>
      </c>
      <c r="AG3820" s="17">
        <v>0</v>
      </c>
      <c r="AH3820" s="485">
        <v>0.25</v>
      </c>
      <c r="AI3820" s="485">
        <v>0.5</v>
      </c>
      <c r="AJ3820" s="485">
        <v>0.75</v>
      </c>
      <c r="AK3820" s="493">
        <v>0.85</v>
      </c>
      <c r="AL3820" s="493">
        <v>1</v>
      </c>
      <c r="AM3820" s="17">
        <f t="shared" si="141"/>
        <v>1.85</v>
      </c>
      <c r="AN3820" s="162" t="s">
        <v>11865</v>
      </c>
      <c r="AO3820" s="162" t="s">
        <v>11866</v>
      </c>
    </row>
    <row r="3821" spans="1:41" s="162" customFormat="1" x14ac:dyDescent="0.3">
      <c r="A3821" s="205" t="s">
        <v>8321</v>
      </c>
      <c r="B3821" s="162" t="s">
        <v>8322</v>
      </c>
      <c r="C3821" s="168" t="s">
        <v>13277</v>
      </c>
      <c r="D3821" s="162" t="s">
        <v>13278</v>
      </c>
      <c r="E3821" s="168" t="s">
        <v>13279</v>
      </c>
      <c r="F3821" s="162" t="s">
        <v>13280</v>
      </c>
      <c r="G3821" s="168" t="s">
        <v>13398</v>
      </c>
      <c r="H3821" s="168" t="s">
        <v>13399</v>
      </c>
      <c r="K3821" s="168">
        <v>16110808</v>
      </c>
      <c r="L3821" s="162" t="s">
        <v>14247</v>
      </c>
      <c r="M3821" s="162" t="s">
        <v>14248</v>
      </c>
      <c r="O3821" s="224">
        <v>30</v>
      </c>
      <c r="P3821" s="224">
        <v>30</v>
      </c>
      <c r="Q3821" s="224">
        <v>30</v>
      </c>
      <c r="R3821" s="224">
        <v>30</v>
      </c>
      <c r="S3821" s="224">
        <v>30</v>
      </c>
      <c r="T3821" s="223" t="s">
        <v>11865</v>
      </c>
      <c r="U3821" t="str">
        <f>VLOOKUP(T3821,[8]Votes!$A$1:$E$234,3,FALSE)</f>
        <v>133 Office of the Director of Public Prosecutions</v>
      </c>
      <c r="V3821" s="162" t="s">
        <v>14249</v>
      </c>
      <c r="W3821" s="416">
        <v>1</v>
      </c>
      <c r="X3821" s="416">
        <v>1</v>
      </c>
      <c r="Y3821" s="416">
        <v>1</v>
      </c>
      <c r="Z3821" s="416">
        <v>1</v>
      </c>
      <c r="AA3821" s="416">
        <v>1</v>
      </c>
      <c r="AB3821" s="416">
        <v>0</v>
      </c>
      <c r="AC3821" s="150">
        <v>0</v>
      </c>
      <c r="AD3821" s="150">
        <v>1</v>
      </c>
      <c r="AE3821" s="49">
        <f t="shared" si="140"/>
        <v>0.75</v>
      </c>
      <c r="AF3821" s="190">
        <v>1</v>
      </c>
      <c r="AG3821" s="17">
        <v>0</v>
      </c>
      <c r="AH3821" s="485">
        <v>0.4</v>
      </c>
      <c r="AI3821" s="485">
        <v>0.6</v>
      </c>
      <c r="AJ3821" s="485">
        <v>0.6</v>
      </c>
      <c r="AK3821" s="493">
        <v>0.6</v>
      </c>
      <c r="AL3821" s="493">
        <v>0.6</v>
      </c>
      <c r="AM3821" s="17">
        <f t="shared" si="141"/>
        <v>1.2</v>
      </c>
      <c r="AN3821" s="162" t="s">
        <v>11865</v>
      </c>
      <c r="AO3821" s="162" t="s">
        <v>11866</v>
      </c>
    </row>
    <row r="3822" spans="1:41" s="162" customFormat="1" x14ac:dyDescent="0.3">
      <c r="A3822" s="205" t="s">
        <v>8321</v>
      </c>
      <c r="B3822" s="162" t="s">
        <v>8322</v>
      </c>
      <c r="C3822" s="168" t="s">
        <v>13277</v>
      </c>
      <c r="D3822" s="162" t="s">
        <v>13278</v>
      </c>
      <c r="E3822" s="168" t="s">
        <v>13279</v>
      </c>
      <c r="F3822" s="162" t="s">
        <v>13280</v>
      </c>
      <c r="G3822" s="168" t="s">
        <v>13398</v>
      </c>
      <c r="H3822" s="168" t="s">
        <v>13399</v>
      </c>
      <c r="K3822" s="168">
        <v>16110809</v>
      </c>
      <c r="L3822" s="162" t="s">
        <v>14250</v>
      </c>
      <c r="M3822" s="162" t="s">
        <v>14251</v>
      </c>
      <c r="O3822" s="492">
        <v>0.75</v>
      </c>
      <c r="P3822" s="492">
        <v>0.8</v>
      </c>
      <c r="Q3822" s="492">
        <v>0.8</v>
      </c>
      <c r="R3822" s="492">
        <v>0.9</v>
      </c>
      <c r="S3822" s="492">
        <v>0.9</v>
      </c>
      <c r="T3822" s="223" t="s">
        <v>11865</v>
      </c>
      <c r="U3822" t="str">
        <f>VLOOKUP(T3822,[8]Votes!$A$1:$E$234,3,FALSE)</f>
        <v>133 Office of the Director of Public Prosecutions</v>
      </c>
      <c r="V3822" s="162" t="s">
        <v>14252</v>
      </c>
      <c r="W3822" s="416">
        <v>1</v>
      </c>
      <c r="X3822" s="416">
        <v>1</v>
      </c>
      <c r="Y3822" s="416">
        <v>1</v>
      </c>
      <c r="Z3822" s="416">
        <v>1</v>
      </c>
      <c r="AA3822" s="416">
        <v>1</v>
      </c>
      <c r="AB3822" s="416">
        <v>0</v>
      </c>
      <c r="AC3822" s="150">
        <v>0</v>
      </c>
      <c r="AD3822" s="150">
        <v>1</v>
      </c>
      <c r="AE3822" s="49">
        <f t="shared" si="140"/>
        <v>0.75</v>
      </c>
      <c r="AF3822" s="190">
        <v>1</v>
      </c>
      <c r="AG3822" s="17">
        <v>0</v>
      </c>
      <c r="AH3822" s="485">
        <v>0.4</v>
      </c>
      <c r="AI3822" s="485">
        <v>0.45</v>
      </c>
      <c r="AJ3822" s="485">
        <v>0.45</v>
      </c>
      <c r="AK3822" s="493">
        <v>0.5</v>
      </c>
      <c r="AL3822" s="493">
        <v>0.5</v>
      </c>
      <c r="AM3822" s="17">
        <f t="shared" si="141"/>
        <v>1</v>
      </c>
      <c r="AN3822" s="162" t="s">
        <v>11865</v>
      </c>
      <c r="AO3822" s="162" t="s">
        <v>11866</v>
      </c>
    </row>
    <row r="3823" spans="1:41" s="162" customFormat="1" x14ac:dyDescent="0.3">
      <c r="A3823" s="205" t="s">
        <v>8321</v>
      </c>
      <c r="B3823" s="162" t="s">
        <v>8322</v>
      </c>
      <c r="C3823" s="168" t="s">
        <v>13277</v>
      </c>
      <c r="D3823" s="162" t="s">
        <v>13278</v>
      </c>
      <c r="E3823" s="168" t="s">
        <v>13279</v>
      </c>
      <c r="F3823" s="162" t="s">
        <v>13280</v>
      </c>
      <c r="G3823" s="168" t="s">
        <v>13398</v>
      </c>
      <c r="H3823" s="168" t="s">
        <v>13399</v>
      </c>
      <c r="K3823" s="168">
        <v>16110810</v>
      </c>
      <c r="L3823" s="162" t="s">
        <v>14253</v>
      </c>
      <c r="M3823" s="162" t="s">
        <v>14254</v>
      </c>
      <c r="O3823" s="224">
        <v>2</v>
      </c>
      <c r="P3823" s="224">
        <v>4</v>
      </c>
      <c r="Q3823" s="224">
        <v>6</v>
      </c>
      <c r="R3823" s="224">
        <v>6</v>
      </c>
      <c r="S3823" s="224">
        <v>8</v>
      </c>
      <c r="T3823" s="223" t="s">
        <v>3879</v>
      </c>
      <c r="U3823" t="str">
        <f>VLOOKUP(T3823,[8]Votes!$A$1:$E$234,3,FALSE)</f>
        <v>009 Ministry of Internal Affairs</v>
      </c>
      <c r="V3823" s="162" t="s">
        <v>14255</v>
      </c>
      <c r="W3823" s="416">
        <v>1</v>
      </c>
      <c r="X3823" s="416">
        <v>1</v>
      </c>
      <c r="Y3823" s="416">
        <v>1</v>
      </c>
      <c r="Z3823" s="416">
        <v>1</v>
      </c>
      <c r="AA3823" s="416">
        <v>1</v>
      </c>
      <c r="AB3823" s="416">
        <v>0</v>
      </c>
      <c r="AC3823" s="150">
        <v>1</v>
      </c>
      <c r="AD3823" s="150">
        <v>1</v>
      </c>
      <c r="AE3823" s="49">
        <f t="shared" si="140"/>
        <v>0.875</v>
      </c>
      <c r="AF3823" s="190">
        <v>1</v>
      </c>
      <c r="AG3823" s="17">
        <v>0</v>
      </c>
      <c r="AH3823" s="485">
        <v>0.2</v>
      </c>
      <c r="AI3823" s="485">
        <v>0.4</v>
      </c>
      <c r="AJ3823" s="485">
        <v>0.6</v>
      </c>
      <c r="AK3823" s="493">
        <v>0.6</v>
      </c>
      <c r="AL3823" s="493">
        <v>0.8</v>
      </c>
      <c r="AM3823" s="17">
        <f t="shared" si="141"/>
        <v>1.4</v>
      </c>
      <c r="AN3823" s="162" t="s">
        <v>3879</v>
      </c>
      <c r="AO3823" s="162" t="s">
        <v>3881</v>
      </c>
    </row>
    <row r="3824" spans="1:41" s="162" customFormat="1" x14ac:dyDescent="0.3">
      <c r="A3824" s="205" t="s">
        <v>8321</v>
      </c>
      <c r="B3824" s="162" t="s">
        <v>8322</v>
      </c>
      <c r="C3824" s="168" t="s">
        <v>13277</v>
      </c>
      <c r="D3824" s="162" t="s">
        <v>13278</v>
      </c>
      <c r="E3824" s="168" t="s">
        <v>13279</v>
      </c>
      <c r="F3824" s="162" t="s">
        <v>13280</v>
      </c>
      <c r="G3824" s="168" t="s">
        <v>13398</v>
      </c>
      <c r="H3824" s="168" t="s">
        <v>13399</v>
      </c>
      <c r="K3824" s="168">
        <v>16110811</v>
      </c>
      <c r="L3824" s="162" t="s">
        <v>14256</v>
      </c>
      <c r="M3824" s="162" t="s">
        <v>14257</v>
      </c>
      <c r="O3824" s="224">
        <v>68</v>
      </c>
      <c r="P3824" s="224">
        <v>75</v>
      </c>
      <c r="Q3824" s="224">
        <v>80</v>
      </c>
      <c r="R3824" s="224">
        <v>85</v>
      </c>
      <c r="S3824" s="224">
        <v>90</v>
      </c>
      <c r="T3824" s="223" t="s">
        <v>1233</v>
      </c>
      <c r="U3824" t="str">
        <f>VLOOKUP(T3824,[8]Votes!$A$1:$E$234,3,FALSE)</f>
        <v>006 Ministry of Foreign Affairs</v>
      </c>
      <c r="V3824" s="162" t="s">
        <v>14258</v>
      </c>
      <c r="W3824" s="416">
        <v>1</v>
      </c>
      <c r="X3824" s="416">
        <v>1</v>
      </c>
      <c r="Y3824" s="416">
        <v>1</v>
      </c>
      <c r="Z3824" s="416">
        <v>1</v>
      </c>
      <c r="AA3824" s="416">
        <v>1</v>
      </c>
      <c r="AB3824" s="416">
        <v>0</v>
      </c>
      <c r="AC3824" s="150">
        <v>1</v>
      </c>
      <c r="AD3824" s="150">
        <v>0</v>
      </c>
      <c r="AE3824" s="49">
        <f t="shared" si="140"/>
        <v>0.75</v>
      </c>
      <c r="AF3824" s="190">
        <v>1</v>
      </c>
      <c r="AG3824" s="17">
        <v>0</v>
      </c>
      <c r="AH3824" s="485">
        <v>1.2</v>
      </c>
      <c r="AI3824" s="485">
        <v>1.5</v>
      </c>
      <c r="AJ3824" s="485">
        <v>1.7</v>
      </c>
      <c r="AK3824" s="493">
        <v>1.2</v>
      </c>
      <c r="AL3824" s="493">
        <v>1.2</v>
      </c>
      <c r="AM3824" s="17">
        <f t="shared" si="141"/>
        <v>2.4</v>
      </c>
      <c r="AN3824" s="162" t="s">
        <v>1233</v>
      </c>
      <c r="AO3824" s="162" t="s">
        <v>1650</v>
      </c>
    </row>
    <row r="3825" spans="1:41" s="162" customFormat="1" x14ac:dyDescent="0.3">
      <c r="A3825" s="205" t="s">
        <v>8321</v>
      </c>
      <c r="B3825" s="162" t="s">
        <v>8322</v>
      </c>
      <c r="C3825" s="168" t="s">
        <v>13277</v>
      </c>
      <c r="D3825" s="162" t="s">
        <v>13278</v>
      </c>
      <c r="E3825" s="168" t="s">
        <v>13279</v>
      </c>
      <c r="F3825" s="162" t="s">
        <v>13280</v>
      </c>
      <c r="G3825" s="168" t="s">
        <v>13398</v>
      </c>
      <c r="H3825" s="168" t="s">
        <v>13399</v>
      </c>
      <c r="K3825" s="168">
        <v>16110811</v>
      </c>
      <c r="L3825" s="162" t="s">
        <v>14256</v>
      </c>
      <c r="M3825" s="162" t="s">
        <v>14259</v>
      </c>
      <c r="O3825" s="224">
        <v>113</v>
      </c>
      <c r="P3825" s="224">
        <v>120</v>
      </c>
      <c r="Q3825" s="224">
        <v>130</v>
      </c>
      <c r="R3825" s="224">
        <v>140</v>
      </c>
      <c r="S3825" s="224">
        <v>150</v>
      </c>
      <c r="T3825" s="223" t="s">
        <v>1233</v>
      </c>
      <c r="U3825" t="str">
        <f>VLOOKUP(T3825,[8]Votes!$A$1:$E$234,3,FALSE)</f>
        <v>006 Ministry of Foreign Affairs</v>
      </c>
      <c r="V3825" s="162" t="s">
        <v>14260</v>
      </c>
      <c r="W3825" s="416">
        <v>1</v>
      </c>
      <c r="X3825" s="416">
        <v>1</v>
      </c>
      <c r="Y3825" s="416">
        <v>1</v>
      </c>
      <c r="Z3825" s="416">
        <v>1</v>
      </c>
      <c r="AA3825" s="416">
        <v>1</v>
      </c>
      <c r="AB3825" s="416">
        <v>0</v>
      </c>
      <c r="AC3825" s="150">
        <v>1</v>
      </c>
      <c r="AD3825" s="150">
        <v>0</v>
      </c>
      <c r="AE3825" s="49">
        <f t="shared" si="140"/>
        <v>0.75</v>
      </c>
      <c r="AF3825" s="190">
        <v>1</v>
      </c>
      <c r="AG3825" s="17">
        <v>0</v>
      </c>
      <c r="AH3825" s="485">
        <v>0.1</v>
      </c>
      <c r="AI3825" s="485">
        <v>0.1</v>
      </c>
      <c r="AJ3825" s="485">
        <v>0.1</v>
      </c>
      <c r="AK3825" s="493">
        <v>0.1</v>
      </c>
      <c r="AL3825" s="493">
        <v>0.1</v>
      </c>
      <c r="AM3825" s="17">
        <f t="shared" si="141"/>
        <v>0.2</v>
      </c>
      <c r="AN3825" s="162" t="s">
        <v>1233</v>
      </c>
      <c r="AO3825" s="162" t="s">
        <v>1650</v>
      </c>
    </row>
    <row r="3826" spans="1:41" s="162" customFormat="1" x14ac:dyDescent="0.3">
      <c r="A3826" s="205" t="s">
        <v>8321</v>
      </c>
      <c r="B3826" s="162" t="s">
        <v>8322</v>
      </c>
      <c r="C3826" s="168" t="s">
        <v>13277</v>
      </c>
      <c r="D3826" s="162" t="s">
        <v>13278</v>
      </c>
      <c r="E3826" s="168" t="s">
        <v>13279</v>
      </c>
      <c r="F3826" s="162" t="s">
        <v>13280</v>
      </c>
      <c r="G3826" s="168" t="s">
        <v>13398</v>
      </c>
      <c r="H3826" s="168" t="s">
        <v>13399</v>
      </c>
      <c r="K3826" s="168">
        <v>16110811</v>
      </c>
      <c r="L3826" s="162" t="s">
        <v>14256</v>
      </c>
      <c r="M3826" s="162" t="s">
        <v>14261</v>
      </c>
      <c r="O3826" s="224">
        <v>52</v>
      </c>
      <c r="P3826" s="224">
        <v>80</v>
      </c>
      <c r="Q3826" s="224">
        <v>60</v>
      </c>
      <c r="R3826" s="224">
        <v>70</v>
      </c>
      <c r="S3826" s="224">
        <v>80</v>
      </c>
      <c r="T3826" s="223" t="s">
        <v>1233</v>
      </c>
      <c r="U3826" t="str">
        <f>VLOOKUP(T3826,[8]Votes!$A$1:$E$234,3,FALSE)</f>
        <v>006 Ministry of Foreign Affairs</v>
      </c>
      <c r="V3826" s="162" t="s">
        <v>14262</v>
      </c>
      <c r="W3826" s="416">
        <v>1</v>
      </c>
      <c r="X3826" s="416">
        <v>1</v>
      </c>
      <c r="Y3826" s="416">
        <v>1</v>
      </c>
      <c r="Z3826" s="416">
        <v>1</v>
      </c>
      <c r="AA3826" s="416">
        <v>1</v>
      </c>
      <c r="AB3826" s="416">
        <v>0</v>
      </c>
      <c r="AC3826" s="150">
        <v>1</v>
      </c>
      <c r="AD3826" s="150">
        <v>0</v>
      </c>
      <c r="AE3826" s="49">
        <f t="shared" si="140"/>
        <v>0.75</v>
      </c>
      <c r="AF3826" s="190">
        <v>1</v>
      </c>
      <c r="AG3826" s="17">
        <v>0</v>
      </c>
      <c r="AH3826" s="485">
        <v>0.6</v>
      </c>
      <c r="AI3826" s="485">
        <v>1</v>
      </c>
      <c r="AJ3826" s="485">
        <v>0.6</v>
      </c>
      <c r="AK3826" s="493">
        <v>0.8</v>
      </c>
      <c r="AL3826" s="493">
        <v>1</v>
      </c>
      <c r="AM3826" s="17">
        <f t="shared" si="141"/>
        <v>1.8</v>
      </c>
      <c r="AN3826" s="162" t="s">
        <v>1233</v>
      </c>
      <c r="AO3826" s="162" t="s">
        <v>1650</v>
      </c>
    </row>
    <row r="3827" spans="1:41" s="162" customFormat="1" x14ac:dyDescent="0.3">
      <c r="A3827" s="205" t="s">
        <v>8321</v>
      </c>
      <c r="B3827" s="162" t="s">
        <v>8322</v>
      </c>
      <c r="C3827" s="168" t="s">
        <v>13277</v>
      </c>
      <c r="D3827" s="162" t="s">
        <v>13278</v>
      </c>
      <c r="E3827" s="168" t="s">
        <v>13279</v>
      </c>
      <c r="F3827" s="162" t="s">
        <v>13280</v>
      </c>
      <c r="G3827" s="168" t="s">
        <v>13398</v>
      </c>
      <c r="H3827" s="168" t="s">
        <v>13399</v>
      </c>
      <c r="K3827" s="168">
        <v>16110811</v>
      </c>
      <c r="L3827" s="162" t="s">
        <v>14256</v>
      </c>
      <c r="M3827" s="162" t="s">
        <v>14263</v>
      </c>
      <c r="O3827" s="224">
        <v>1</v>
      </c>
      <c r="P3827" s="224">
        <v>2</v>
      </c>
      <c r="Q3827" s="224">
        <v>2</v>
      </c>
      <c r="R3827" s="224">
        <v>2</v>
      </c>
      <c r="S3827" s="224">
        <v>2</v>
      </c>
      <c r="T3827" s="223" t="s">
        <v>1233</v>
      </c>
      <c r="U3827" t="str">
        <f>VLOOKUP(T3827,[8]Votes!$A$1:$E$234,3,FALSE)</f>
        <v>006 Ministry of Foreign Affairs</v>
      </c>
      <c r="V3827" s="162" t="s">
        <v>14264</v>
      </c>
      <c r="W3827" s="416">
        <v>1</v>
      </c>
      <c r="X3827" s="416">
        <v>1</v>
      </c>
      <c r="Y3827" s="416">
        <v>1</v>
      </c>
      <c r="Z3827" s="416">
        <v>1</v>
      </c>
      <c r="AA3827" s="416">
        <v>1</v>
      </c>
      <c r="AB3827" s="416">
        <v>0</v>
      </c>
      <c r="AC3827" s="150">
        <v>1</v>
      </c>
      <c r="AD3827" s="150">
        <v>0</v>
      </c>
      <c r="AE3827" s="49">
        <f t="shared" si="140"/>
        <v>0.75</v>
      </c>
      <c r="AF3827" s="190">
        <v>1</v>
      </c>
      <c r="AG3827" s="17">
        <v>0</v>
      </c>
      <c r="AH3827" s="485">
        <v>0.1</v>
      </c>
      <c r="AI3827" s="485">
        <v>0.1</v>
      </c>
      <c r="AJ3827" s="485">
        <v>0.1</v>
      </c>
      <c r="AK3827" s="493">
        <v>0.1</v>
      </c>
      <c r="AL3827" s="493">
        <v>0.1</v>
      </c>
      <c r="AM3827" s="17">
        <f t="shared" si="141"/>
        <v>0.2</v>
      </c>
      <c r="AN3827" s="162" t="s">
        <v>1233</v>
      </c>
      <c r="AO3827" s="162" t="s">
        <v>1650</v>
      </c>
    </row>
    <row r="3828" spans="1:41" s="162" customFormat="1" x14ac:dyDescent="0.3">
      <c r="A3828" s="205" t="s">
        <v>8321</v>
      </c>
      <c r="B3828" s="162" t="s">
        <v>8322</v>
      </c>
      <c r="C3828" s="168" t="s">
        <v>13277</v>
      </c>
      <c r="D3828" s="162" t="s">
        <v>13278</v>
      </c>
      <c r="E3828" s="168" t="s">
        <v>13279</v>
      </c>
      <c r="F3828" s="162" t="s">
        <v>13280</v>
      </c>
      <c r="G3828" s="168" t="s">
        <v>13398</v>
      </c>
      <c r="H3828" s="168" t="s">
        <v>13399</v>
      </c>
      <c r="K3828" s="168">
        <v>16110811</v>
      </c>
      <c r="L3828" s="162" t="s">
        <v>14256</v>
      </c>
      <c r="M3828" s="162" t="s">
        <v>14265</v>
      </c>
      <c r="O3828" s="229">
        <v>3706</v>
      </c>
      <c r="P3828" s="229">
        <v>4200</v>
      </c>
      <c r="Q3828" s="229">
        <v>4400</v>
      </c>
      <c r="R3828" s="229">
        <v>4600</v>
      </c>
      <c r="S3828" s="229">
        <v>4800</v>
      </c>
      <c r="T3828" s="223" t="s">
        <v>1233</v>
      </c>
      <c r="U3828" t="str">
        <f>VLOOKUP(T3828,[8]Votes!$A$1:$E$234,3,FALSE)</f>
        <v>006 Ministry of Foreign Affairs</v>
      </c>
      <c r="V3828" s="162" t="s">
        <v>14266</v>
      </c>
      <c r="W3828" s="416">
        <v>1</v>
      </c>
      <c r="X3828" s="416">
        <v>1</v>
      </c>
      <c r="Y3828" s="416">
        <v>1</v>
      </c>
      <c r="Z3828" s="416">
        <v>1</v>
      </c>
      <c r="AA3828" s="416">
        <v>1</v>
      </c>
      <c r="AB3828" s="416">
        <v>0</v>
      </c>
      <c r="AC3828" s="150">
        <v>1</v>
      </c>
      <c r="AD3828" s="150">
        <v>0</v>
      </c>
      <c r="AE3828" s="49">
        <f t="shared" si="140"/>
        <v>0.75</v>
      </c>
      <c r="AF3828" s="190">
        <v>1</v>
      </c>
      <c r="AG3828" s="17">
        <v>0</v>
      </c>
      <c r="AH3828" s="485">
        <v>0.5</v>
      </c>
      <c r="AI3828" s="485">
        <v>0.6</v>
      </c>
      <c r="AJ3828" s="485">
        <v>0.7</v>
      </c>
      <c r="AK3828" s="493">
        <v>0.8</v>
      </c>
      <c r="AL3828" s="493">
        <v>0.9</v>
      </c>
      <c r="AM3828" s="17">
        <f t="shared" si="141"/>
        <v>1.7000000000000002</v>
      </c>
      <c r="AN3828" s="162" t="s">
        <v>1233</v>
      </c>
      <c r="AO3828" s="162" t="s">
        <v>1650</v>
      </c>
    </row>
    <row r="3829" spans="1:41" s="162" customFormat="1" x14ac:dyDescent="0.3">
      <c r="A3829" s="205" t="s">
        <v>8321</v>
      </c>
      <c r="B3829" s="162" t="s">
        <v>8322</v>
      </c>
      <c r="C3829" s="168" t="s">
        <v>13277</v>
      </c>
      <c r="D3829" s="162" t="s">
        <v>13278</v>
      </c>
      <c r="E3829" s="168" t="s">
        <v>13279</v>
      </c>
      <c r="F3829" s="162" t="s">
        <v>13280</v>
      </c>
      <c r="G3829" s="168" t="s">
        <v>13398</v>
      </c>
      <c r="H3829" s="168" t="s">
        <v>13399</v>
      </c>
      <c r="K3829" s="168">
        <v>16110811</v>
      </c>
      <c r="L3829" s="162" t="s">
        <v>14256</v>
      </c>
      <c r="M3829" s="162" t="s">
        <v>14267</v>
      </c>
      <c r="O3829" s="229">
        <v>3301</v>
      </c>
      <c r="P3829" s="229">
        <v>3400</v>
      </c>
      <c r="Q3829" s="229">
        <v>3450</v>
      </c>
      <c r="R3829" s="229">
        <v>3500</v>
      </c>
      <c r="S3829" s="229">
        <v>3550</v>
      </c>
      <c r="T3829" s="223" t="s">
        <v>1233</v>
      </c>
      <c r="U3829" t="str">
        <f>VLOOKUP(T3829,[8]Votes!$A$1:$E$234,3,FALSE)</f>
        <v>006 Ministry of Foreign Affairs</v>
      </c>
      <c r="V3829" s="162" t="s">
        <v>14268</v>
      </c>
      <c r="W3829" s="416">
        <v>1</v>
      </c>
      <c r="X3829" s="416">
        <v>1</v>
      </c>
      <c r="Y3829" s="416">
        <v>1</v>
      </c>
      <c r="Z3829" s="416">
        <v>1</v>
      </c>
      <c r="AA3829" s="416">
        <v>1</v>
      </c>
      <c r="AB3829" s="416">
        <v>0</v>
      </c>
      <c r="AC3829" s="150">
        <v>1</v>
      </c>
      <c r="AD3829" s="150">
        <v>0</v>
      </c>
      <c r="AE3829" s="49">
        <f t="shared" si="140"/>
        <v>0.75</v>
      </c>
      <c r="AF3829" s="190">
        <v>1</v>
      </c>
      <c r="AG3829" s="17">
        <v>0</v>
      </c>
      <c r="AH3829" s="485">
        <v>0.1</v>
      </c>
      <c r="AI3829" s="485">
        <v>0.2</v>
      </c>
      <c r="AJ3829" s="485">
        <v>0.3</v>
      </c>
      <c r="AK3829" s="493">
        <v>0.4</v>
      </c>
      <c r="AL3829" s="493">
        <v>0.5</v>
      </c>
      <c r="AM3829" s="17">
        <f t="shared" si="141"/>
        <v>0.9</v>
      </c>
      <c r="AN3829" s="162" t="s">
        <v>1233</v>
      </c>
      <c r="AO3829" s="162" t="s">
        <v>1650</v>
      </c>
    </row>
    <row r="3830" spans="1:41" s="162" customFormat="1" x14ac:dyDescent="0.3">
      <c r="A3830" s="205" t="s">
        <v>8321</v>
      </c>
      <c r="B3830" s="162" t="s">
        <v>8322</v>
      </c>
      <c r="C3830" s="168" t="s">
        <v>13277</v>
      </c>
      <c r="D3830" s="162" t="s">
        <v>13278</v>
      </c>
      <c r="E3830" s="168" t="s">
        <v>13279</v>
      </c>
      <c r="F3830" s="162" t="s">
        <v>13280</v>
      </c>
      <c r="G3830" s="168" t="s">
        <v>13405</v>
      </c>
      <c r="H3830" s="168" t="s">
        <v>13406</v>
      </c>
      <c r="K3830" s="168">
        <v>16110902</v>
      </c>
      <c r="L3830" s="162" t="s">
        <v>14269</v>
      </c>
      <c r="M3830" s="162" t="s">
        <v>14270</v>
      </c>
      <c r="O3830" s="492">
        <v>1</v>
      </c>
      <c r="P3830" s="492">
        <v>1</v>
      </c>
      <c r="Q3830" s="492">
        <v>1</v>
      </c>
      <c r="R3830" s="492">
        <v>1</v>
      </c>
      <c r="S3830" s="492">
        <v>1</v>
      </c>
      <c r="T3830" s="223" t="s">
        <v>3879</v>
      </c>
      <c r="U3830" t="str">
        <f>VLOOKUP(T3830,[8]Votes!$A$1:$E$234,3,FALSE)</f>
        <v>009 Ministry of Internal Affairs</v>
      </c>
      <c r="V3830" s="162" t="s">
        <v>14271</v>
      </c>
      <c r="W3830" s="416">
        <v>1</v>
      </c>
      <c r="X3830" s="416">
        <v>1</v>
      </c>
      <c r="Y3830" s="416">
        <v>1</v>
      </c>
      <c r="Z3830" s="416">
        <v>1</v>
      </c>
      <c r="AA3830" s="416">
        <v>1</v>
      </c>
      <c r="AB3830" s="416">
        <v>0</v>
      </c>
      <c r="AC3830" s="150">
        <v>1</v>
      </c>
      <c r="AD3830" s="150">
        <v>1</v>
      </c>
      <c r="AE3830" s="49">
        <f t="shared" si="140"/>
        <v>0.875</v>
      </c>
      <c r="AF3830" s="190">
        <v>1</v>
      </c>
      <c r="AG3830" s="17">
        <v>0</v>
      </c>
      <c r="AH3830" s="485">
        <v>7.6</v>
      </c>
      <c r="AI3830" s="485">
        <v>8.6</v>
      </c>
      <c r="AJ3830" s="485">
        <v>9.6</v>
      </c>
      <c r="AK3830" s="493">
        <v>7.6</v>
      </c>
      <c r="AL3830" s="493">
        <v>7.6</v>
      </c>
      <c r="AM3830" s="17">
        <f t="shared" si="141"/>
        <v>15.2</v>
      </c>
      <c r="AN3830" s="162" t="s">
        <v>3879</v>
      </c>
      <c r="AO3830" s="162" t="s">
        <v>3881</v>
      </c>
    </row>
    <row r="3831" spans="1:41" s="162" customFormat="1" x14ac:dyDescent="0.3">
      <c r="A3831" s="205" t="s">
        <v>8321</v>
      </c>
      <c r="B3831" s="162" t="s">
        <v>8322</v>
      </c>
      <c r="C3831" s="168" t="s">
        <v>13277</v>
      </c>
      <c r="D3831" s="162" t="s">
        <v>13278</v>
      </c>
      <c r="E3831" s="168" t="s">
        <v>13279</v>
      </c>
      <c r="F3831" s="162" t="s">
        <v>13280</v>
      </c>
      <c r="G3831" s="168" t="s">
        <v>13405</v>
      </c>
      <c r="H3831" s="168" t="s">
        <v>13406</v>
      </c>
      <c r="K3831" s="168">
        <v>16110902</v>
      </c>
      <c r="L3831" s="162" t="s">
        <v>14269</v>
      </c>
      <c r="M3831" s="162" t="s">
        <v>14272</v>
      </c>
      <c r="O3831" s="224" t="s">
        <v>14240</v>
      </c>
      <c r="P3831" s="224" t="s">
        <v>14241</v>
      </c>
      <c r="Q3831" s="224" t="s">
        <v>14241</v>
      </c>
      <c r="R3831" s="224" t="s">
        <v>14241</v>
      </c>
      <c r="S3831" s="224" t="s">
        <v>14241</v>
      </c>
      <c r="T3831" s="223" t="s">
        <v>13755</v>
      </c>
      <c r="U3831" t="str">
        <f>VLOOKUP(T3831,[8]Votes!$A$1:$E$234,3,FALSE)</f>
        <v>159 External Security Organisation</v>
      </c>
      <c r="V3831" s="162" t="s">
        <v>14273</v>
      </c>
      <c r="W3831" s="416">
        <v>1</v>
      </c>
      <c r="X3831" s="416">
        <v>1</v>
      </c>
      <c r="Y3831" s="416">
        <v>1</v>
      </c>
      <c r="Z3831" s="416">
        <v>1</v>
      </c>
      <c r="AA3831" s="416">
        <v>1</v>
      </c>
      <c r="AB3831" s="416">
        <v>0</v>
      </c>
      <c r="AC3831" s="150">
        <v>0</v>
      </c>
      <c r="AD3831" s="150">
        <v>1</v>
      </c>
      <c r="AE3831" s="49">
        <f t="shared" si="140"/>
        <v>0.75</v>
      </c>
      <c r="AF3831" s="190">
        <v>1</v>
      </c>
      <c r="AG3831" s="17">
        <v>0</v>
      </c>
      <c r="AH3831" s="485">
        <v>0.1</v>
      </c>
      <c r="AI3831" s="485">
        <v>0.2</v>
      </c>
      <c r="AJ3831" s="485">
        <v>0.4</v>
      </c>
      <c r="AK3831" s="493">
        <v>0.5</v>
      </c>
      <c r="AL3831" s="493">
        <v>0.6</v>
      </c>
      <c r="AM3831" s="17">
        <f t="shared" si="141"/>
        <v>1.1000000000000001</v>
      </c>
      <c r="AN3831" s="162" t="s">
        <v>13755</v>
      </c>
      <c r="AO3831" s="162" t="s">
        <v>13757</v>
      </c>
    </row>
    <row r="3832" spans="1:41" s="162" customFormat="1" x14ac:dyDescent="0.3">
      <c r="A3832" s="205" t="s">
        <v>8321</v>
      </c>
      <c r="B3832" s="162" t="s">
        <v>8322</v>
      </c>
      <c r="C3832" s="168" t="s">
        <v>13277</v>
      </c>
      <c r="D3832" s="162" t="s">
        <v>13278</v>
      </c>
      <c r="E3832" s="168" t="s">
        <v>13279</v>
      </c>
      <c r="F3832" s="162" t="s">
        <v>13280</v>
      </c>
      <c r="G3832" s="168" t="s">
        <v>13405</v>
      </c>
      <c r="H3832" s="168" t="s">
        <v>13406</v>
      </c>
      <c r="K3832" s="168">
        <v>16110903</v>
      </c>
      <c r="L3832" s="162" t="s">
        <v>14274</v>
      </c>
      <c r="M3832" s="162" t="s">
        <v>14275</v>
      </c>
      <c r="O3832" s="224">
        <v>150</v>
      </c>
      <c r="P3832" s="224">
        <v>150</v>
      </c>
      <c r="Q3832" s="224">
        <v>150</v>
      </c>
      <c r="R3832" s="224">
        <v>150</v>
      </c>
      <c r="S3832" s="224">
        <v>130</v>
      </c>
      <c r="T3832" s="223" t="s">
        <v>11865</v>
      </c>
      <c r="U3832" t="str">
        <f>VLOOKUP(T3832,[8]Votes!$A$1:$E$234,3,FALSE)</f>
        <v>133 Office of the Director of Public Prosecutions</v>
      </c>
      <c r="V3832" s="162" t="s">
        <v>14276</v>
      </c>
      <c r="W3832" s="416">
        <v>1</v>
      </c>
      <c r="X3832" s="416">
        <v>1</v>
      </c>
      <c r="Y3832" s="416">
        <v>1</v>
      </c>
      <c r="Z3832" s="416">
        <v>1</v>
      </c>
      <c r="AA3832" s="416">
        <v>1</v>
      </c>
      <c r="AB3832" s="416">
        <v>0</v>
      </c>
      <c r="AC3832" s="150">
        <v>0</v>
      </c>
      <c r="AD3832" s="150">
        <v>1</v>
      </c>
      <c r="AE3832" s="49">
        <f t="shared" si="140"/>
        <v>0.75</v>
      </c>
      <c r="AF3832" s="190">
        <v>1</v>
      </c>
      <c r="AG3832" s="17">
        <v>0</v>
      </c>
      <c r="AH3832" s="485">
        <v>0.45</v>
      </c>
      <c r="AI3832" s="485">
        <v>1</v>
      </c>
      <c r="AJ3832" s="485">
        <v>1</v>
      </c>
      <c r="AK3832" s="493">
        <v>1</v>
      </c>
      <c r="AL3832" s="493">
        <v>1</v>
      </c>
      <c r="AM3832" s="17">
        <f t="shared" si="141"/>
        <v>2</v>
      </c>
      <c r="AN3832" s="162" t="s">
        <v>11865</v>
      </c>
      <c r="AO3832" s="162" t="s">
        <v>11866</v>
      </c>
    </row>
    <row r="3833" spans="1:41" s="162" customFormat="1" x14ac:dyDescent="0.3">
      <c r="A3833" s="205" t="s">
        <v>8321</v>
      </c>
      <c r="B3833" s="162" t="s">
        <v>8322</v>
      </c>
      <c r="C3833" s="168" t="s">
        <v>13277</v>
      </c>
      <c r="D3833" s="162" t="s">
        <v>13278</v>
      </c>
      <c r="E3833" s="168" t="s">
        <v>13279</v>
      </c>
      <c r="F3833" s="162" t="s">
        <v>13280</v>
      </c>
      <c r="G3833" s="168" t="s">
        <v>13405</v>
      </c>
      <c r="H3833" s="168" t="s">
        <v>13406</v>
      </c>
      <c r="K3833" s="168">
        <v>16110904</v>
      </c>
      <c r="L3833" s="162" t="s">
        <v>14277</v>
      </c>
      <c r="M3833" s="162" t="s">
        <v>14278</v>
      </c>
      <c r="O3833" s="224">
        <v>30</v>
      </c>
      <c r="P3833" s="224">
        <v>30</v>
      </c>
      <c r="Q3833" s="224">
        <v>30</v>
      </c>
      <c r="R3833" s="224">
        <v>30</v>
      </c>
      <c r="S3833" s="224">
        <v>30</v>
      </c>
      <c r="T3833" s="223" t="s">
        <v>11865</v>
      </c>
      <c r="U3833" t="str">
        <f>VLOOKUP(T3833,[8]Votes!$A$1:$E$234,3,FALSE)</f>
        <v>133 Office of the Director of Public Prosecutions</v>
      </c>
      <c r="V3833" s="162" t="s">
        <v>14279</v>
      </c>
      <c r="W3833" s="416">
        <v>1</v>
      </c>
      <c r="X3833" s="416">
        <v>1</v>
      </c>
      <c r="Y3833" s="416">
        <v>1</v>
      </c>
      <c r="Z3833" s="416">
        <v>1</v>
      </c>
      <c r="AA3833" s="416">
        <v>1</v>
      </c>
      <c r="AB3833" s="416">
        <v>0</v>
      </c>
      <c r="AC3833" s="150">
        <v>0</v>
      </c>
      <c r="AD3833" s="150">
        <v>1</v>
      </c>
      <c r="AE3833" s="49">
        <f t="shared" si="140"/>
        <v>0.75</v>
      </c>
      <c r="AF3833" s="190">
        <v>1</v>
      </c>
      <c r="AG3833" s="17">
        <v>0</v>
      </c>
      <c r="AH3833" s="485">
        <v>0.4</v>
      </c>
      <c r="AI3833" s="485">
        <v>0.8</v>
      </c>
      <c r="AJ3833" s="485">
        <v>0.8</v>
      </c>
      <c r="AK3833" s="493">
        <v>0.8</v>
      </c>
      <c r="AL3833" s="493">
        <v>0.8</v>
      </c>
      <c r="AM3833" s="17">
        <f t="shared" si="141"/>
        <v>1.6</v>
      </c>
      <c r="AN3833" s="162" t="s">
        <v>11865</v>
      </c>
      <c r="AO3833" s="162" t="s">
        <v>11866</v>
      </c>
    </row>
    <row r="3834" spans="1:41" s="162" customFormat="1" x14ac:dyDescent="0.3">
      <c r="A3834" s="205" t="s">
        <v>8321</v>
      </c>
      <c r="B3834" s="162" t="s">
        <v>8322</v>
      </c>
      <c r="C3834" s="168" t="s">
        <v>13277</v>
      </c>
      <c r="D3834" s="162" t="s">
        <v>13278</v>
      </c>
      <c r="E3834" s="168" t="s">
        <v>13279</v>
      </c>
      <c r="F3834" s="162" t="s">
        <v>13280</v>
      </c>
      <c r="G3834" s="168" t="s">
        <v>13405</v>
      </c>
      <c r="H3834" s="168" t="s">
        <v>13406</v>
      </c>
      <c r="K3834" s="168">
        <v>16110905</v>
      </c>
      <c r="L3834" s="162" t="s">
        <v>14280</v>
      </c>
      <c r="M3834" s="162" t="s">
        <v>14281</v>
      </c>
      <c r="O3834" s="224">
        <v>80</v>
      </c>
      <c r="P3834" s="224">
        <v>80</v>
      </c>
      <c r="Q3834" s="224">
        <v>90</v>
      </c>
      <c r="R3834" s="224">
        <v>90</v>
      </c>
      <c r="S3834" s="224">
        <v>100</v>
      </c>
      <c r="T3834" s="223" t="s">
        <v>3879</v>
      </c>
      <c r="U3834" t="str">
        <f>VLOOKUP(T3834,[8]Votes!$A$1:$E$234,3,FALSE)</f>
        <v>009 Ministry of Internal Affairs</v>
      </c>
      <c r="V3834" s="162" t="s">
        <v>14282</v>
      </c>
      <c r="W3834" s="416">
        <v>1</v>
      </c>
      <c r="X3834" s="416">
        <v>1</v>
      </c>
      <c r="Y3834" s="416">
        <v>1</v>
      </c>
      <c r="Z3834" s="416">
        <v>1</v>
      </c>
      <c r="AA3834" s="416">
        <v>1</v>
      </c>
      <c r="AB3834" s="416">
        <v>0</v>
      </c>
      <c r="AC3834" s="150">
        <v>1</v>
      </c>
      <c r="AD3834" s="150">
        <v>1</v>
      </c>
      <c r="AE3834" s="49">
        <f t="shared" ref="AE3834:AE3897" si="142">SUM(W3834:AD3834)/8</f>
        <v>0.875</v>
      </c>
      <c r="AF3834" s="190">
        <v>1</v>
      </c>
      <c r="AG3834" s="17">
        <v>0</v>
      </c>
      <c r="AH3834" s="485">
        <v>1</v>
      </c>
      <c r="AI3834" s="485">
        <v>1</v>
      </c>
      <c r="AJ3834" s="485">
        <v>1.1000000000000001</v>
      </c>
      <c r="AK3834" s="493">
        <v>2</v>
      </c>
      <c r="AL3834" s="493">
        <v>2</v>
      </c>
      <c r="AM3834" s="17">
        <f t="shared" ref="AM3834:AM3897" si="143">SUM(AK3834:AL3834)</f>
        <v>4</v>
      </c>
      <c r="AN3834" s="162" t="s">
        <v>3879</v>
      </c>
      <c r="AO3834" s="162" t="s">
        <v>3881</v>
      </c>
    </row>
    <row r="3835" spans="1:41" s="162" customFormat="1" x14ac:dyDescent="0.3">
      <c r="A3835" s="205" t="s">
        <v>8321</v>
      </c>
      <c r="B3835" s="162" t="s">
        <v>8322</v>
      </c>
      <c r="C3835" s="168" t="s">
        <v>13277</v>
      </c>
      <c r="D3835" s="162" t="s">
        <v>13278</v>
      </c>
      <c r="E3835" s="168" t="s">
        <v>13279</v>
      </c>
      <c r="F3835" s="162" t="s">
        <v>13280</v>
      </c>
      <c r="G3835" s="168" t="s">
        <v>13405</v>
      </c>
      <c r="H3835" s="168" t="s">
        <v>13406</v>
      </c>
      <c r="K3835" s="168">
        <v>16110906</v>
      </c>
      <c r="L3835" s="162" t="s">
        <v>14283</v>
      </c>
      <c r="M3835" s="162" t="s">
        <v>14284</v>
      </c>
      <c r="O3835" s="224">
        <v>100</v>
      </c>
      <c r="P3835" s="224">
        <v>100</v>
      </c>
      <c r="Q3835" s="224">
        <v>110</v>
      </c>
      <c r="R3835" s="224">
        <v>110</v>
      </c>
      <c r="S3835" s="224">
        <v>120</v>
      </c>
      <c r="T3835" s="223" t="s">
        <v>3879</v>
      </c>
      <c r="U3835" t="str">
        <f>VLOOKUP(T3835,[8]Votes!$A$1:$E$234,3,FALSE)</f>
        <v>009 Ministry of Internal Affairs</v>
      </c>
      <c r="V3835" s="162" t="s">
        <v>14285</v>
      </c>
      <c r="W3835" s="416">
        <v>1</v>
      </c>
      <c r="X3835" s="416">
        <v>1</v>
      </c>
      <c r="Y3835" s="416">
        <v>1</v>
      </c>
      <c r="Z3835" s="416">
        <v>1</v>
      </c>
      <c r="AA3835" s="416">
        <v>1</v>
      </c>
      <c r="AB3835" s="416">
        <v>0</v>
      </c>
      <c r="AC3835" s="150">
        <v>1</v>
      </c>
      <c r="AD3835" s="150">
        <v>1</v>
      </c>
      <c r="AE3835" s="49">
        <f t="shared" si="142"/>
        <v>0.875</v>
      </c>
      <c r="AF3835" s="190">
        <v>1</v>
      </c>
      <c r="AG3835" s="17">
        <v>0</v>
      </c>
      <c r="AH3835" s="485">
        <v>1</v>
      </c>
      <c r="AI3835" s="485">
        <v>1</v>
      </c>
      <c r="AJ3835" s="485">
        <v>1.1000000000000001</v>
      </c>
      <c r="AK3835" s="493">
        <v>2</v>
      </c>
      <c r="AL3835" s="493">
        <v>2</v>
      </c>
      <c r="AM3835" s="17">
        <f t="shared" si="143"/>
        <v>4</v>
      </c>
      <c r="AN3835" s="162" t="s">
        <v>3879</v>
      </c>
      <c r="AO3835" s="162" t="s">
        <v>3881</v>
      </c>
    </row>
    <row r="3836" spans="1:41" s="162" customFormat="1" x14ac:dyDescent="0.3">
      <c r="A3836" s="205" t="s">
        <v>8321</v>
      </c>
      <c r="B3836" s="162" t="s">
        <v>8322</v>
      </c>
      <c r="C3836" s="168" t="s">
        <v>13277</v>
      </c>
      <c r="D3836" s="162" t="s">
        <v>13278</v>
      </c>
      <c r="E3836" s="168" t="s">
        <v>13279</v>
      </c>
      <c r="F3836" s="162" t="s">
        <v>13280</v>
      </c>
      <c r="G3836" s="168" t="s">
        <v>13405</v>
      </c>
      <c r="H3836" s="168" t="s">
        <v>13406</v>
      </c>
      <c r="K3836" s="168">
        <v>16110907</v>
      </c>
      <c r="L3836" s="162" t="s">
        <v>14286</v>
      </c>
      <c r="M3836" s="162" t="s">
        <v>14287</v>
      </c>
      <c r="O3836" s="224"/>
      <c r="P3836" s="224"/>
      <c r="Q3836" s="492">
        <v>0</v>
      </c>
      <c r="R3836" s="492">
        <v>0</v>
      </c>
      <c r="S3836" s="492">
        <v>0</v>
      </c>
      <c r="T3836" s="223" t="s">
        <v>3879</v>
      </c>
      <c r="U3836" t="str">
        <f>VLOOKUP(T3836,[8]Votes!$A$1:$E$234,3,FALSE)</f>
        <v>009 Ministry of Internal Affairs</v>
      </c>
      <c r="V3836" s="162" t="s">
        <v>14288</v>
      </c>
      <c r="W3836" s="416">
        <v>1</v>
      </c>
      <c r="X3836" s="416">
        <v>1</v>
      </c>
      <c r="Y3836" s="416">
        <v>1</v>
      </c>
      <c r="Z3836" s="416">
        <v>1</v>
      </c>
      <c r="AA3836" s="416">
        <v>1</v>
      </c>
      <c r="AB3836" s="416">
        <v>0</v>
      </c>
      <c r="AC3836" s="150">
        <v>1</v>
      </c>
      <c r="AD3836" s="150">
        <v>1</v>
      </c>
      <c r="AE3836" s="49">
        <f t="shared" si="142"/>
        <v>0.875</v>
      </c>
      <c r="AF3836" s="190">
        <v>1</v>
      </c>
      <c r="AG3836" s="17">
        <v>0</v>
      </c>
      <c r="AH3836" s="190">
        <v>0</v>
      </c>
      <c r="AI3836" s="190">
        <v>0</v>
      </c>
      <c r="AJ3836" s="485">
        <v>2</v>
      </c>
      <c r="AK3836" s="493">
        <v>0.5</v>
      </c>
      <c r="AL3836" s="493">
        <v>0.5</v>
      </c>
      <c r="AM3836" s="17">
        <f t="shared" si="143"/>
        <v>1</v>
      </c>
      <c r="AN3836" s="162" t="s">
        <v>3879</v>
      </c>
      <c r="AO3836" s="162" t="s">
        <v>3881</v>
      </c>
    </row>
    <row r="3837" spans="1:41" s="162" customFormat="1" x14ac:dyDescent="0.3">
      <c r="A3837" s="205" t="s">
        <v>8321</v>
      </c>
      <c r="B3837" s="162" t="s">
        <v>8322</v>
      </c>
      <c r="C3837" s="168" t="s">
        <v>13277</v>
      </c>
      <c r="D3837" s="162" t="s">
        <v>13278</v>
      </c>
      <c r="E3837" s="168" t="s">
        <v>13279</v>
      </c>
      <c r="F3837" s="162" t="s">
        <v>13280</v>
      </c>
      <c r="G3837" s="168" t="s">
        <v>13405</v>
      </c>
      <c r="H3837" s="168" t="s">
        <v>13406</v>
      </c>
      <c r="K3837" s="168">
        <v>16110908</v>
      </c>
      <c r="L3837" s="162" t="s">
        <v>14289</v>
      </c>
      <c r="M3837" s="162" t="s">
        <v>14290</v>
      </c>
      <c r="O3837" s="224">
        <v>3</v>
      </c>
      <c r="P3837" s="224">
        <v>3</v>
      </c>
      <c r="Q3837" s="224">
        <v>5</v>
      </c>
      <c r="R3837" s="224">
        <v>7</v>
      </c>
      <c r="S3837" s="224">
        <v>10</v>
      </c>
      <c r="T3837" s="223" t="s">
        <v>13761</v>
      </c>
      <c r="U3837" t="str">
        <f>VLOOKUP(T3837,[8]Votes!$A$1:$E$234,3,FALSE)</f>
        <v>129 Financial Intelligence Authority (FIA)</v>
      </c>
      <c r="V3837" s="162" t="s">
        <v>14291</v>
      </c>
      <c r="W3837" s="416">
        <v>1</v>
      </c>
      <c r="X3837" s="416">
        <v>1</v>
      </c>
      <c r="Y3837" s="416">
        <v>1</v>
      </c>
      <c r="Z3837" s="416">
        <v>1</v>
      </c>
      <c r="AA3837" s="416">
        <v>1</v>
      </c>
      <c r="AB3837" s="416">
        <v>0</v>
      </c>
      <c r="AC3837" s="150">
        <v>0</v>
      </c>
      <c r="AD3837" s="150">
        <v>1</v>
      </c>
      <c r="AE3837" s="49">
        <f t="shared" si="142"/>
        <v>0.75</v>
      </c>
      <c r="AF3837" s="190">
        <v>1</v>
      </c>
      <c r="AG3837" s="17">
        <v>0</v>
      </c>
      <c r="AH3837" s="485">
        <v>0.1</v>
      </c>
      <c r="AI3837" s="485">
        <v>0.25</v>
      </c>
      <c r="AJ3837" s="485">
        <v>0.4</v>
      </c>
      <c r="AK3837" s="493">
        <v>0.5</v>
      </c>
      <c r="AL3837" s="493">
        <v>0.5</v>
      </c>
      <c r="AM3837" s="17">
        <f t="shared" si="143"/>
        <v>1</v>
      </c>
      <c r="AN3837" s="162" t="s">
        <v>13761</v>
      </c>
      <c r="AO3837" s="162" t="s">
        <v>13763</v>
      </c>
    </row>
    <row r="3838" spans="1:41" s="162" customFormat="1" x14ac:dyDescent="0.3">
      <c r="A3838" s="205" t="s">
        <v>8321</v>
      </c>
      <c r="B3838" s="162" t="s">
        <v>8322</v>
      </c>
      <c r="C3838" s="168" t="s">
        <v>13277</v>
      </c>
      <c r="D3838" s="162" t="s">
        <v>13278</v>
      </c>
      <c r="E3838" s="168" t="s">
        <v>13279</v>
      </c>
      <c r="F3838" s="162" t="s">
        <v>13280</v>
      </c>
      <c r="G3838" s="168" t="s">
        <v>13410</v>
      </c>
      <c r="H3838" s="162" t="s">
        <v>13411</v>
      </c>
      <c r="K3838" s="168">
        <v>16111002</v>
      </c>
      <c r="L3838" s="162" t="s">
        <v>14292</v>
      </c>
      <c r="M3838" s="162" t="s">
        <v>14293</v>
      </c>
      <c r="O3838" s="224"/>
      <c r="P3838" s="224"/>
      <c r="Q3838" s="224">
        <v>1</v>
      </c>
      <c r="R3838" s="224">
        <v>1</v>
      </c>
      <c r="S3838" s="224">
        <v>1</v>
      </c>
      <c r="T3838" s="223" t="s">
        <v>3879</v>
      </c>
      <c r="U3838" t="str">
        <f>VLOOKUP(T3838,[8]Votes!$A$1:$E$234,3,FALSE)</f>
        <v>009 Ministry of Internal Affairs</v>
      </c>
      <c r="V3838" s="162" t="s">
        <v>14294</v>
      </c>
      <c r="W3838" s="416">
        <v>1</v>
      </c>
      <c r="X3838" s="416">
        <v>1</v>
      </c>
      <c r="Y3838" s="416">
        <v>1</v>
      </c>
      <c r="Z3838" s="416">
        <v>1</v>
      </c>
      <c r="AA3838" s="416">
        <v>1</v>
      </c>
      <c r="AB3838" s="416">
        <v>0</v>
      </c>
      <c r="AC3838" s="150">
        <v>1</v>
      </c>
      <c r="AD3838" s="150">
        <v>0</v>
      </c>
      <c r="AE3838" s="49">
        <f t="shared" si="142"/>
        <v>0.75</v>
      </c>
      <c r="AF3838" s="190">
        <v>1</v>
      </c>
      <c r="AG3838" s="17">
        <v>0</v>
      </c>
      <c r="AH3838" s="190">
        <v>0</v>
      </c>
      <c r="AI3838" s="190">
        <v>0</v>
      </c>
      <c r="AJ3838" s="485">
        <v>2</v>
      </c>
      <c r="AK3838" s="493">
        <v>0.5</v>
      </c>
      <c r="AL3838" s="493">
        <v>0.5</v>
      </c>
      <c r="AM3838" s="17">
        <f t="shared" si="143"/>
        <v>1</v>
      </c>
      <c r="AN3838" s="162" t="s">
        <v>3879</v>
      </c>
      <c r="AO3838" s="162" t="s">
        <v>3881</v>
      </c>
    </row>
    <row r="3839" spans="1:41" s="162" customFormat="1" x14ac:dyDescent="0.3">
      <c r="A3839" s="205" t="s">
        <v>8321</v>
      </c>
      <c r="B3839" s="162" t="s">
        <v>8322</v>
      </c>
      <c r="C3839" s="168" t="s">
        <v>13277</v>
      </c>
      <c r="D3839" s="162" t="s">
        <v>13278</v>
      </c>
      <c r="E3839" s="168" t="s">
        <v>13279</v>
      </c>
      <c r="F3839" s="162" t="s">
        <v>13280</v>
      </c>
      <c r="G3839" s="168" t="s">
        <v>13410</v>
      </c>
      <c r="H3839" s="162" t="s">
        <v>13411</v>
      </c>
      <c r="K3839" s="168">
        <v>16111003</v>
      </c>
      <c r="L3839" s="162" t="s">
        <v>14295</v>
      </c>
      <c r="M3839" s="162" t="s">
        <v>14296</v>
      </c>
      <c r="O3839" s="224">
        <v>4</v>
      </c>
      <c r="P3839" s="224">
        <v>8</v>
      </c>
      <c r="Q3839" s="224">
        <v>42</v>
      </c>
      <c r="R3839" s="224">
        <v>46</v>
      </c>
      <c r="S3839" s="224">
        <v>5</v>
      </c>
      <c r="T3839" s="223" t="s">
        <v>3879</v>
      </c>
      <c r="U3839" t="str">
        <f>VLOOKUP(T3839,[8]Votes!$A$1:$E$234,3,FALSE)</f>
        <v>009 Ministry of Internal Affairs</v>
      </c>
      <c r="V3839" s="162" t="s">
        <v>14297</v>
      </c>
      <c r="W3839" s="416">
        <v>1</v>
      </c>
      <c r="X3839" s="416">
        <v>1</v>
      </c>
      <c r="Y3839" s="416">
        <v>1</v>
      </c>
      <c r="Z3839" s="416">
        <v>1</v>
      </c>
      <c r="AA3839" s="416">
        <v>1</v>
      </c>
      <c r="AB3839" s="416">
        <v>0</v>
      </c>
      <c r="AC3839" s="150">
        <v>1</v>
      </c>
      <c r="AD3839" s="150">
        <v>0</v>
      </c>
      <c r="AE3839" s="49">
        <f t="shared" si="142"/>
        <v>0.75</v>
      </c>
      <c r="AF3839" s="190">
        <v>1</v>
      </c>
      <c r="AG3839" s="17">
        <v>0</v>
      </c>
      <c r="AH3839" s="485">
        <v>0.5</v>
      </c>
      <c r="AI3839" s="485">
        <v>1</v>
      </c>
      <c r="AJ3839" s="485">
        <v>0.2</v>
      </c>
      <c r="AK3839" s="493">
        <v>0.5</v>
      </c>
      <c r="AL3839" s="493">
        <v>0.5</v>
      </c>
      <c r="AM3839" s="17">
        <f t="shared" si="143"/>
        <v>1</v>
      </c>
      <c r="AN3839" s="162" t="s">
        <v>3879</v>
      </c>
      <c r="AO3839" s="162" t="s">
        <v>3881</v>
      </c>
    </row>
    <row r="3840" spans="1:41" s="162" customFormat="1" x14ac:dyDescent="0.3">
      <c r="A3840" s="205" t="s">
        <v>8321</v>
      </c>
      <c r="B3840" s="162" t="s">
        <v>8322</v>
      </c>
      <c r="C3840" s="168" t="s">
        <v>13277</v>
      </c>
      <c r="D3840" s="162" t="s">
        <v>13278</v>
      </c>
      <c r="E3840" s="168" t="s">
        <v>13279</v>
      </c>
      <c r="F3840" s="162" t="s">
        <v>13280</v>
      </c>
      <c r="G3840" s="168" t="s">
        <v>13410</v>
      </c>
      <c r="H3840" s="162" t="s">
        <v>13411</v>
      </c>
      <c r="K3840" s="168">
        <v>16111004</v>
      </c>
      <c r="L3840" s="162" t="s">
        <v>14298</v>
      </c>
      <c r="M3840" s="162" t="s">
        <v>14226</v>
      </c>
      <c r="O3840" s="224"/>
      <c r="P3840" s="224"/>
      <c r="Q3840" s="224">
        <v>1</v>
      </c>
      <c r="R3840" s="224">
        <v>1</v>
      </c>
      <c r="S3840" s="224">
        <v>1</v>
      </c>
      <c r="T3840" s="223" t="s">
        <v>3879</v>
      </c>
      <c r="U3840" t="str">
        <f>VLOOKUP(T3840,[8]Votes!$A$1:$E$234,3,FALSE)</f>
        <v>009 Ministry of Internal Affairs</v>
      </c>
      <c r="V3840" s="162" t="s">
        <v>14299</v>
      </c>
      <c r="W3840" s="416">
        <v>1</v>
      </c>
      <c r="X3840" s="416">
        <v>1</v>
      </c>
      <c r="Y3840" s="416">
        <v>1</v>
      </c>
      <c r="Z3840" s="416">
        <v>1</v>
      </c>
      <c r="AA3840" s="416">
        <v>1</v>
      </c>
      <c r="AB3840" s="416">
        <v>0</v>
      </c>
      <c r="AC3840" s="150">
        <v>1</v>
      </c>
      <c r="AD3840" s="150">
        <v>0</v>
      </c>
      <c r="AE3840" s="49">
        <f t="shared" si="142"/>
        <v>0.75</v>
      </c>
      <c r="AF3840" s="190">
        <v>1</v>
      </c>
      <c r="AG3840" s="17">
        <v>0</v>
      </c>
      <c r="AH3840" s="190">
        <v>0</v>
      </c>
      <c r="AI3840" s="190">
        <v>0</v>
      </c>
      <c r="AJ3840" s="485">
        <v>2</v>
      </c>
      <c r="AK3840" s="493">
        <v>0.5</v>
      </c>
      <c r="AL3840" s="493">
        <v>0.5</v>
      </c>
      <c r="AM3840" s="17">
        <f t="shared" si="143"/>
        <v>1</v>
      </c>
      <c r="AN3840" s="162" t="s">
        <v>3879</v>
      </c>
      <c r="AO3840" s="162" t="s">
        <v>3881</v>
      </c>
    </row>
    <row r="3841" spans="1:41" s="162" customFormat="1" x14ac:dyDescent="0.3">
      <c r="A3841" s="205" t="s">
        <v>8321</v>
      </c>
      <c r="B3841" s="162" t="s">
        <v>8322</v>
      </c>
      <c r="C3841" s="168" t="s">
        <v>13277</v>
      </c>
      <c r="D3841" s="162" t="s">
        <v>13278</v>
      </c>
      <c r="E3841" s="168" t="s">
        <v>13279</v>
      </c>
      <c r="F3841" s="162" t="s">
        <v>13280</v>
      </c>
      <c r="G3841" s="168" t="s">
        <v>13410</v>
      </c>
      <c r="H3841" s="162" t="s">
        <v>13411</v>
      </c>
      <c r="K3841" s="168">
        <v>16111005</v>
      </c>
      <c r="L3841" s="162" t="s">
        <v>14300</v>
      </c>
      <c r="M3841" s="162" t="s">
        <v>14301</v>
      </c>
      <c r="O3841" s="224">
        <v>2</v>
      </c>
      <c r="P3841" s="224">
        <v>4</v>
      </c>
      <c r="Q3841" s="224">
        <v>6</v>
      </c>
      <c r="R3841" s="224">
        <v>8</v>
      </c>
      <c r="S3841" s="224">
        <v>10</v>
      </c>
      <c r="T3841" s="223" t="s">
        <v>3879</v>
      </c>
      <c r="U3841" t="str">
        <f>VLOOKUP(T3841,[8]Votes!$A$1:$E$234,3,FALSE)</f>
        <v>009 Ministry of Internal Affairs</v>
      </c>
      <c r="V3841" s="162" t="s">
        <v>14302</v>
      </c>
      <c r="W3841" s="416">
        <v>1</v>
      </c>
      <c r="X3841" s="416">
        <v>1</v>
      </c>
      <c r="Y3841" s="416">
        <v>1</v>
      </c>
      <c r="Z3841" s="416">
        <v>1</v>
      </c>
      <c r="AA3841" s="416">
        <v>1</v>
      </c>
      <c r="AB3841" s="416">
        <v>0</v>
      </c>
      <c r="AC3841" s="150">
        <v>1</v>
      </c>
      <c r="AD3841" s="150">
        <v>0</v>
      </c>
      <c r="AE3841" s="49">
        <f t="shared" si="142"/>
        <v>0.75</v>
      </c>
      <c r="AF3841" s="190">
        <v>1</v>
      </c>
      <c r="AG3841" s="17">
        <v>0</v>
      </c>
      <c r="AH3841" s="485">
        <v>0.2</v>
      </c>
      <c r="AI3841" s="485">
        <v>0.4</v>
      </c>
      <c r="AJ3841" s="485">
        <v>0.6</v>
      </c>
      <c r="AK3841" s="493">
        <v>0.5</v>
      </c>
      <c r="AL3841" s="493">
        <v>0.5</v>
      </c>
      <c r="AM3841" s="17">
        <f t="shared" si="143"/>
        <v>1</v>
      </c>
      <c r="AN3841" s="162" t="s">
        <v>3879</v>
      </c>
      <c r="AO3841" s="162" t="s">
        <v>3881</v>
      </c>
    </row>
    <row r="3842" spans="1:41" s="162" customFormat="1" x14ac:dyDescent="0.3">
      <c r="A3842" s="205" t="s">
        <v>8321</v>
      </c>
      <c r="B3842" s="162" t="s">
        <v>8322</v>
      </c>
      <c r="C3842" s="168" t="s">
        <v>13277</v>
      </c>
      <c r="D3842" s="162" t="s">
        <v>13278</v>
      </c>
      <c r="E3842" s="168" t="s">
        <v>13279</v>
      </c>
      <c r="F3842" s="162" t="s">
        <v>13280</v>
      </c>
      <c r="G3842" s="168" t="s">
        <v>13410</v>
      </c>
      <c r="H3842" s="162" t="s">
        <v>13411</v>
      </c>
      <c r="K3842" s="168">
        <v>16111006</v>
      </c>
      <c r="L3842" s="162" t="s">
        <v>14303</v>
      </c>
      <c r="M3842" s="162" t="s">
        <v>14293</v>
      </c>
      <c r="O3842" s="224"/>
      <c r="P3842" s="224"/>
      <c r="Q3842" s="224">
        <v>1</v>
      </c>
      <c r="R3842" s="224">
        <v>1</v>
      </c>
      <c r="S3842" s="224">
        <v>0</v>
      </c>
      <c r="T3842" s="223" t="s">
        <v>13755</v>
      </c>
      <c r="U3842" t="str">
        <f>VLOOKUP(T3842,[8]Votes!$A$1:$E$234,3,FALSE)</f>
        <v>159 External Security Organisation</v>
      </c>
      <c r="V3842" s="162" t="s">
        <v>14304</v>
      </c>
      <c r="W3842" s="416">
        <v>1</v>
      </c>
      <c r="X3842" s="416">
        <v>1</v>
      </c>
      <c r="Y3842" s="416">
        <v>1</v>
      </c>
      <c r="Z3842" s="416">
        <v>1</v>
      </c>
      <c r="AA3842" s="416">
        <v>0</v>
      </c>
      <c r="AB3842" s="416">
        <v>0</v>
      </c>
      <c r="AC3842" s="150">
        <v>1</v>
      </c>
      <c r="AD3842" s="150">
        <v>1</v>
      </c>
      <c r="AE3842" s="49">
        <f t="shared" si="142"/>
        <v>0.75</v>
      </c>
      <c r="AF3842" s="190">
        <v>1</v>
      </c>
      <c r="AG3842" s="17">
        <v>0</v>
      </c>
      <c r="AH3842" s="190">
        <v>0</v>
      </c>
      <c r="AI3842" s="190">
        <v>0</v>
      </c>
      <c r="AJ3842" s="485">
        <v>0.5</v>
      </c>
      <c r="AK3842" s="493">
        <v>0.7</v>
      </c>
      <c r="AL3842" s="191">
        <v>0.8</v>
      </c>
      <c r="AM3842" s="17">
        <f t="shared" si="143"/>
        <v>1.5</v>
      </c>
      <c r="AN3842" s="162" t="s">
        <v>13755</v>
      </c>
      <c r="AO3842" s="162" t="s">
        <v>13757</v>
      </c>
    </row>
    <row r="3843" spans="1:41" s="162" customFormat="1" x14ac:dyDescent="0.3">
      <c r="A3843" s="205" t="s">
        <v>8321</v>
      </c>
      <c r="B3843" s="162" t="s">
        <v>8322</v>
      </c>
      <c r="C3843" s="168" t="s">
        <v>13277</v>
      </c>
      <c r="D3843" s="162" t="s">
        <v>13278</v>
      </c>
      <c r="E3843" s="168" t="s">
        <v>13279</v>
      </c>
      <c r="F3843" s="162" t="s">
        <v>13280</v>
      </c>
      <c r="G3843" s="168" t="s">
        <v>13410</v>
      </c>
      <c r="H3843" s="162" t="s">
        <v>13411</v>
      </c>
      <c r="K3843" s="168">
        <v>16111007</v>
      </c>
      <c r="L3843" s="162" t="s">
        <v>14305</v>
      </c>
      <c r="M3843" s="162" t="s">
        <v>14306</v>
      </c>
      <c r="O3843" s="224"/>
      <c r="P3843" s="224"/>
      <c r="Q3843" s="224">
        <v>37</v>
      </c>
      <c r="R3843" s="224">
        <v>37</v>
      </c>
      <c r="S3843" s="224">
        <v>36</v>
      </c>
      <c r="T3843" s="223" t="s">
        <v>1345</v>
      </c>
      <c r="U3843" t="str">
        <f>VLOOKUP(T3843,[8]Votes!$A$1:$E$234,3,FALSE)</f>
        <v>001 Office of the President</v>
      </c>
      <c r="V3843" s="162" t="s">
        <v>14307</v>
      </c>
      <c r="W3843" s="416">
        <v>1</v>
      </c>
      <c r="X3843" s="416">
        <v>0</v>
      </c>
      <c r="Y3843" s="416">
        <v>0</v>
      </c>
      <c r="Z3843" s="416">
        <v>1</v>
      </c>
      <c r="AA3843" s="416">
        <v>1</v>
      </c>
      <c r="AB3843" s="416">
        <v>1</v>
      </c>
      <c r="AC3843" s="150">
        <v>1</v>
      </c>
      <c r="AD3843" s="150">
        <v>1</v>
      </c>
      <c r="AE3843" s="49">
        <f t="shared" si="142"/>
        <v>0.75</v>
      </c>
      <c r="AF3843" s="190">
        <v>1</v>
      </c>
      <c r="AG3843" s="17">
        <v>0</v>
      </c>
      <c r="AH3843" s="190">
        <v>0</v>
      </c>
      <c r="AI3843" s="190">
        <v>0</v>
      </c>
      <c r="AJ3843" s="485">
        <v>25.9</v>
      </c>
      <c r="AK3843" s="493">
        <v>0</v>
      </c>
      <c r="AL3843" s="493">
        <v>0</v>
      </c>
      <c r="AM3843" s="17">
        <f t="shared" si="143"/>
        <v>0</v>
      </c>
      <c r="AN3843" s="162" t="s">
        <v>1345</v>
      </c>
      <c r="AO3843" s="162" t="s">
        <v>1334</v>
      </c>
    </row>
    <row r="3844" spans="1:41" s="162" customFormat="1" x14ac:dyDescent="0.3">
      <c r="A3844" s="205" t="s">
        <v>8321</v>
      </c>
      <c r="B3844" s="162" t="s">
        <v>8322</v>
      </c>
      <c r="C3844" s="168" t="s">
        <v>13277</v>
      </c>
      <c r="D3844" s="162" t="s">
        <v>13278</v>
      </c>
      <c r="E3844" s="168" t="s">
        <v>13279</v>
      </c>
      <c r="F3844" s="162" t="s">
        <v>13280</v>
      </c>
      <c r="G3844" s="168" t="s">
        <v>13410</v>
      </c>
      <c r="H3844" s="162" t="s">
        <v>13411</v>
      </c>
      <c r="K3844" s="168">
        <v>16111008</v>
      </c>
      <c r="L3844" s="162" t="s">
        <v>13412</v>
      </c>
      <c r="M3844" s="162" t="s">
        <v>14308</v>
      </c>
      <c r="O3844" s="224">
        <v>146</v>
      </c>
      <c r="P3844" s="224">
        <v>146</v>
      </c>
      <c r="Q3844" s="224">
        <v>146</v>
      </c>
      <c r="R3844" s="224">
        <v>146</v>
      </c>
      <c r="S3844" s="224">
        <v>146</v>
      </c>
      <c r="T3844" s="223" t="s">
        <v>1345</v>
      </c>
      <c r="U3844" t="str">
        <f>VLOOKUP(T3844,[8]Votes!$A$1:$E$234,3,FALSE)</f>
        <v>001 Office of the President</v>
      </c>
      <c r="V3844" s="162" t="s">
        <v>14309</v>
      </c>
      <c r="W3844" s="416">
        <v>1</v>
      </c>
      <c r="X3844" s="416">
        <v>1</v>
      </c>
      <c r="Y3844" s="416">
        <v>0</v>
      </c>
      <c r="Z3844" s="416">
        <v>1</v>
      </c>
      <c r="AA3844" s="416">
        <v>1</v>
      </c>
      <c r="AB3844" s="416">
        <v>1</v>
      </c>
      <c r="AC3844" s="150">
        <v>1</v>
      </c>
      <c r="AD3844" s="150">
        <v>1</v>
      </c>
      <c r="AE3844" s="49">
        <f t="shared" si="142"/>
        <v>0.875</v>
      </c>
      <c r="AF3844" s="190">
        <v>1</v>
      </c>
      <c r="AG3844" s="17">
        <v>0</v>
      </c>
      <c r="AH3844" s="190">
        <v>0</v>
      </c>
      <c r="AI3844" s="485">
        <v>0.876</v>
      </c>
      <c r="AJ3844" s="485">
        <v>0.876</v>
      </c>
      <c r="AK3844" s="493">
        <v>26.58</v>
      </c>
      <c r="AL3844" s="493">
        <v>25.88</v>
      </c>
      <c r="AM3844" s="17">
        <f t="shared" si="143"/>
        <v>52.459999999999994</v>
      </c>
      <c r="AN3844" s="162" t="s">
        <v>1345</v>
      </c>
      <c r="AO3844" s="162" t="s">
        <v>1334</v>
      </c>
    </row>
    <row r="3845" spans="1:41" s="162" customFormat="1" x14ac:dyDescent="0.3">
      <c r="A3845" s="205" t="s">
        <v>8321</v>
      </c>
      <c r="B3845" s="162" t="s">
        <v>8322</v>
      </c>
      <c r="C3845" s="168" t="s">
        <v>13277</v>
      </c>
      <c r="D3845" s="162" t="s">
        <v>13278</v>
      </c>
      <c r="E3845" s="168" t="s">
        <v>13279</v>
      </c>
      <c r="F3845" s="162" t="s">
        <v>13280</v>
      </c>
      <c r="G3845" s="168" t="s">
        <v>13410</v>
      </c>
      <c r="H3845" s="162" t="s">
        <v>13411</v>
      </c>
      <c r="K3845" s="168">
        <v>16111008</v>
      </c>
      <c r="L3845" s="162" t="s">
        <v>13412</v>
      </c>
      <c r="M3845" s="162" t="s">
        <v>13413</v>
      </c>
      <c r="O3845" s="224"/>
      <c r="P3845" s="224">
        <v>1848</v>
      </c>
      <c r="Q3845" s="224">
        <v>1848</v>
      </c>
      <c r="R3845" s="224">
        <v>1848</v>
      </c>
      <c r="S3845" s="224">
        <v>1848</v>
      </c>
      <c r="T3845" s="223" t="s">
        <v>1345</v>
      </c>
      <c r="U3845" t="str">
        <f>VLOOKUP(T3845,[8]Votes!$A$1:$E$234,3,FALSE)</f>
        <v>001 Office of the President</v>
      </c>
      <c r="V3845" s="162" t="s">
        <v>14310</v>
      </c>
      <c r="W3845" s="416">
        <v>1</v>
      </c>
      <c r="X3845" s="416">
        <v>0</v>
      </c>
      <c r="Y3845" s="416">
        <v>0</v>
      </c>
      <c r="Z3845" s="416">
        <v>1</v>
      </c>
      <c r="AA3845" s="416">
        <v>1</v>
      </c>
      <c r="AB3845" s="416">
        <v>1</v>
      </c>
      <c r="AC3845" s="150">
        <v>1</v>
      </c>
      <c r="AD3845" s="150">
        <v>1</v>
      </c>
      <c r="AE3845" s="49">
        <f t="shared" si="142"/>
        <v>0.75</v>
      </c>
      <c r="AF3845" s="190">
        <v>1</v>
      </c>
      <c r="AG3845" s="17">
        <v>0</v>
      </c>
      <c r="AH3845" s="190">
        <v>0</v>
      </c>
      <c r="AI3845" s="485">
        <v>0.5</v>
      </c>
      <c r="AJ3845" s="485">
        <v>0.5</v>
      </c>
      <c r="AK3845" s="493">
        <v>1.8</v>
      </c>
      <c r="AL3845" s="493">
        <v>1.9</v>
      </c>
      <c r="AM3845" s="17">
        <f t="shared" si="143"/>
        <v>3.7</v>
      </c>
      <c r="AN3845" s="162" t="s">
        <v>1345</v>
      </c>
      <c r="AO3845" s="162" t="s">
        <v>1334</v>
      </c>
    </row>
    <row r="3846" spans="1:41" s="162" customFormat="1" x14ac:dyDescent="0.3">
      <c r="A3846" s="205" t="s">
        <v>8321</v>
      </c>
      <c r="B3846" s="162" t="s">
        <v>8322</v>
      </c>
      <c r="C3846" s="168" t="s">
        <v>13277</v>
      </c>
      <c r="D3846" s="162" t="s">
        <v>13278</v>
      </c>
      <c r="E3846" s="168" t="s">
        <v>13279</v>
      </c>
      <c r="F3846" s="162" t="s">
        <v>13280</v>
      </c>
      <c r="G3846" s="168" t="s">
        <v>13410</v>
      </c>
      <c r="H3846" s="162" t="s">
        <v>13411</v>
      </c>
      <c r="K3846" s="168">
        <v>16111009</v>
      </c>
      <c r="L3846" s="162" t="s">
        <v>14311</v>
      </c>
      <c r="M3846" s="162" t="s">
        <v>14312</v>
      </c>
      <c r="O3846" s="224"/>
      <c r="P3846" s="224">
        <v>2</v>
      </c>
      <c r="Q3846" s="224">
        <v>2</v>
      </c>
      <c r="R3846" s="224">
        <v>2</v>
      </c>
      <c r="S3846" s="224">
        <v>2</v>
      </c>
      <c r="T3846" s="223" t="s">
        <v>1345</v>
      </c>
      <c r="U3846" t="str">
        <f>VLOOKUP(T3846,[8]Votes!$A$1:$E$234,3,FALSE)</f>
        <v>001 Office of the President</v>
      </c>
      <c r="V3846" s="162" t="s">
        <v>14313</v>
      </c>
      <c r="W3846" s="416">
        <v>1</v>
      </c>
      <c r="X3846" s="416">
        <v>0</v>
      </c>
      <c r="Y3846" s="416">
        <v>1</v>
      </c>
      <c r="Z3846" s="416">
        <v>1</v>
      </c>
      <c r="AA3846" s="416">
        <v>1</v>
      </c>
      <c r="AB3846" s="416">
        <v>1</v>
      </c>
      <c r="AC3846" s="150">
        <v>1</v>
      </c>
      <c r="AD3846" s="150">
        <v>0</v>
      </c>
      <c r="AE3846" s="49">
        <f t="shared" si="142"/>
        <v>0.75</v>
      </c>
      <c r="AF3846" s="190">
        <v>1</v>
      </c>
      <c r="AG3846" s="17">
        <v>0</v>
      </c>
      <c r="AH3846" s="190">
        <v>0</v>
      </c>
      <c r="AI3846" s="507">
        <v>2.4</v>
      </c>
      <c r="AJ3846" s="507">
        <v>2.4</v>
      </c>
      <c r="AK3846" s="508">
        <v>2.6</v>
      </c>
      <c r="AL3846" s="508">
        <v>2.7</v>
      </c>
      <c r="AM3846" s="17">
        <f t="shared" si="143"/>
        <v>5.3000000000000007</v>
      </c>
      <c r="AN3846" s="162" t="s">
        <v>1345</v>
      </c>
      <c r="AO3846" s="162" t="s">
        <v>1334</v>
      </c>
    </row>
    <row r="3847" spans="1:41" s="162" customFormat="1" x14ac:dyDescent="0.3">
      <c r="A3847" s="205" t="s">
        <v>8321</v>
      </c>
      <c r="B3847" s="162" t="s">
        <v>8322</v>
      </c>
      <c r="C3847" s="168" t="s">
        <v>13277</v>
      </c>
      <c r="D3847" s="162" t="s">
        <v>13278</v>
      </c>
      <c r="E3847" s="168" t="s">
        <v>13279</v>
      </c>
      <c r="F3847" s="162" t="s">
        <v>13280</v>
      </c>
      <c r="G3847" s="168" t="s">
        <v>13410</v>
      </c>
      <c r="H3847" s="162" t="s">
        <v>13411</v>
      </c>
      <c r="K3847" s="168">
        <v>16111010</v>
      </c>
      <c r="L3847" s="162" t="s">
        <v>14314</v>
      </c>
      <c r="M3847" s="162" t="s">
        <v>14315</v>
      </c>
      <c r="O3847" s="224"/>
      <c r="P3847" s="224">
        <v>2</v>
      </c>
      <c r="Q3847" s="224">
        <v>2</v>
      </c>
      <c r="R3847" s="224">
        <v>2</v>
      </c>
      <c r="S3847" s="224">
        <v>2</v>
      </c>
      <c r="T3847" s="223" t="s">
        <v>1345</v>
      </c>
      <c r="U3847" t="str">
        <f>VLOOKUP(T3847,[8]Votes!$A$1:$E$234,3,FALSE)</f>
        <v>001 Office of the President</v>
      </c>
      <c r="V3847" s="162" t="s">
        <v>14316</v>
      </c>
      <c r="W3847" s="416">
        <v>1</v>
      </c>
      <c r="X3847" s="416">
        <v>0</v>
      </c>
      <c r="Y3847" s="416">
        <v>0</v>
      </c>
      <c r="Z3847" s="416">
        <v>1</v>
      </c>
      <c r="AA3847" s="416">
        <v>1</v>
      </c>
      <c r="AB3847" s="416">
        <v>1</v>
      </c>
      <c r="AC3847" s="150">
        <v>1</v>
      </c>
      <c r="AD3847" s="150">
        <v>1</v>
      </c>
      <c r="AE3847" s="49">
        <f t="shared" si="142"/>
        <v>0.75</v>
      </c>
      <c r="AF3847" s="190">
        <v>1</v>
      </c>
      <c r="AG3847" s="17">
        <v>0</v>
      </c>
      <c r="AH3847" s="190">
        <v>0</v>
      </c>
      <c r="AI3847" s="507">
        <v>2.5</v>
      </c>
      <c r="AJ3847" s="507">
        <v>2.5</v>
      </c>
      <c r="AK3847" s="508">
        <v>42.94</v>
      </c>
      <c r="AL3847" s="508">
        <v>48</v>
      </c>
      <c r="AM3847" s="17">
        <f t="shared" si="143"/>
        <v>90.94</v>
      </c>
      <c r="AN3847" s="162" t="s">
        <v>1345</v>
      </c>
      <c r="AO3847" s="162" t="s">
        <v>1334</v>
      </c>
    </row>
    <row r="3848" spans="1:41" s="162" customFormat="1" x14ac:dyDescent="0.3">
      <c r="A3848" s="205" t="s">
        <v>8321</v>
      </c>
      <c r="B3848" s="162" t="s">
        <v>8322</v>
      </c>
      <c r="C3848" s="168" t="s">
        <v>13277</v>
      </c>
      <c r="D3848" s="162" t="s">
        <v>13278</v>
      </c>
      <c r="E3848" s="168" t="s">
        <v>13279</v>
      </c>
      <c r="F3848" s="162" t="s">
        <v>13280</v>
      </c>
      <c r="G3848" s="168" t="s">
        <v>13415</v>
      </c>
      <c r="H3848" s="162" t="s">
        <v>13416</v>
      </c>
      <c r="K3848" s="168">
        <v>16111102</v>
      </c>
      <c r="L3848" s="162" t="s">
        <v>14317</v>
      </c>
      <c r="M3848" s="162" t="s">
        <v>14318</v>
      </c>
      <c r="O3848" s="224" t="s">
        <v>14240</v>
      </c>
      <c r="P3848" s="224" t="s">
        <v>14241</v>
      </c>
      <c r="Q3848" s="224" t="s">
        <v>14241</v>
      </c>
      <c r="R3848" s="224" t="s">
        <v>14241</v>
      </c>
      <c r="S3848" s="224" t="s">
        <v>14241</v>
      </c>
      <c r="T3848" s="223" t="s">
        <v>13755</v>
      </c>
      <c r="U3848" t="str">
        <f>VLOOKUP(T3848,[8]Votes!$A$1:$E$234,3,FALSE)</f>
        <v>159 External Security Organisation</v>
      </c>
      <c r="V3848" s="162" t="s">
        <v>14319</v>
      </c>
      <c r="W3848" s="416">
        <v>1</v>
      </c>
      <c r="X3848" s="416">
        <v>1</v>
      </c>
      <c r="Y3848" s="416">
        <v>1</v>
      </c>
      <c r="Z3848" s="416">
        <v>1</v>
      </c>
      <c r="AA3848" s="416">
        <v>1</v>
      </c>
      <c r="AB3848" s="416">
        <v>0</v>
      </c>
      <c r="AC3848" s="150">
        <v>0</v>
      </c>
      <c r="AD3848" s="150">
        <v>1</v>
      </c>
      <c r="AE3848" s="49">
        <f t="shared" si="142"/>
        <v>0.75</v>
      </c>
      <c r="AF3848" s="190">
        <v>1</v>
      </c>
      <c r="AG3848" s="17">
        <v>0</v>
      </c>
      <c r="AH3848" s="485">
        <v>0.4</v>
      </c>
      <c r="AI3848" s="485">
        <v>0.45</v>
      </c>
      <c r="AJ3848" s="485">
        <v>0.45</v>
      </c>
      <c r="AK3848" s="493">
        <v>0.45</v>
      </c>
      <c r="AL3848" s="493">
        <v>0.55000000000000004</v>
      </c>
      <c r="AM3848" s="17">
        <f t="shared" si="143"/>
        <v>1</v>
      </c>
      <c r="AN3848" s="162" t="s">
        <v>13755</v>
      </c>
      <c r="AO3848" s="162" t="s">
        <v>13757</v>
      </c>
    </row>
    <row r="3849" spans="1:41" s="162" customFormat="1" x14ac:dyDescent="0.3">
      <c r="A3849" s="205" t="s">
        <v>8321</v>
      </c>
      <c r="B3849" s="162" t="s">
        <v>8322</v>
      </c>
      <c r="C3849" s="168" t="s">
        <v>13277</v>
      </c>
      <c r="D3849" s="162" t="s">
        <v>13278</v>
      </c>
      <c r="E3849" s="168" t="s">
        <v>13279</v>
      </c>
      <c r="F3849" s="162" t="s">
        <v>13280</v>
      </c>
      <c r="G3849" s="168" t="s">
        <v>13415</v>
      </c>
      <c r="H3849" s="162" t="s">
        <v>13416</v>
      </c>
      <c r="K3849" s="168">
        <v>16111103</v>
      </c>
      <c r="L3849" s="162" t="s">
        <v>14320</v>
      </c>
      <c r="M3849" s="162" t="s">
        <v>14321</v>
      </c>
      <c r="O3849" s="224"/>
      <c r="P3849" s="224">
        <v>1</v>
      </c>
      <c r="Q3849" s="224">
        <v>1</v>
      </c>
      <c r="R3849" s="224"/>
      <c r="S3849" s="224"/>
      <c r="T3849" s="223" t="s">
        <v>3875</v>
      </c>
      <c r="U3849" t="str">
        <f>VLOOKUP(T3849,[8]Votes!$A$1:$E$234,3,FALSE)</f>
        <v>007 Ministry of Justice and Constitutional Affairs</v>
      </c>
      <c r="V3849" s="162" t="s">
        <v>14322</v>
      </c>
      <c r="W3849" s="416">
        <v>0</v>
      </c>
      <c r="X3849" s="416">
        <v>0</v>
      </c>
      <c r="Y3849" s="416">
        <v>0</v>
      </c>
      <c r="Z3849" s="416">
        <v>0</v>
      </c>
      <c r="AA3849" s="416">
        <v>0</v>
      </c>
      <c r="AB3849" s="416">
        <v>0</v>
      </c>
      <c r="AC3849" s="150">
        <v>0</v>
      </c>
      <c r="AD3849" s="150">
        <v>0</v>
      </c>
      <c r="AE3849" s="49">
        <f t="shared" si="142"/>
        <v>0</v>
      </c>
      <c r="AF3849" s="190">
        <v>1</v>
      </c>
      <c r="AG3849" s="17">
        <v>0</v>
      </c>
      <c r="AH3849" s="190">
        <v>0</v>
      </c>
      <c r="AI3849" s="485">
        <v>0.6</v>
      </c>
      <c r="AJ3849" s="485">
        <v>0.3</v>
      </c>
      <c r="AK3849" s="191">
        <v>0</v>
      </c>
      <c r="AL3849" s="191">
        <v>0</v>
      </c>
      <c r="AM3849" s="17">
        <f t="shared" si="143"/>
        <v>0</v>
      </c>
      <c r="AN3849" s="223" t="s">
        <v>3875</v>
      </c>
      <c r="AO3849" s="162" t="s">
        <v>3877</v>
      </c>
    </row>
    <row r="3850" spans="1:41" s="162" customFormat="1" x14ac:dyDescent="0.3">
      <c r="A3850" s="205" t="s">
        <v>8321</v>
      </c>
      <c r="B3850" s="162" t="s">
        <v>8322</v>
      </c>
      <c r="C3850" s="168" t="s">
        <v>13277</v>
      </c>
      <c r="D3850" s="162" t="s">
        <v>13278</v>
      </c>
      <c r="E3850" s="168" t="s">
        <v>13279</v>
      </c>
      <c r="F3850" s="162" t="s">
        <v>13280</v>
      </c>
      <c r="G3850" s="168" t="s">
        <v>13420</v>
      </c>
      <c r="H3850" s="162" t="s">
        <v>13421</v>
      </c>
      <c r="K3850" s="168">
        <v>16111205</v>
      </c>
      <c r="L3850" s="162" t="s">
        <v>14323</v>
      </c>
      <c r="M3850" s="162" t="s">
        <v>14324</v>
      </c>
      <c r="O3850" s="224"/>
      <c r="P3850" s="224">
        <v>1</v>
      </c>
      <c r="Q3850" s="224">
        <v>1</v>
      </c>
      <c r="R3850" s="224">
        <v>1</v>
      </c>
      <c r="S3850" s="224">
        <v>1</v>
      </c>
      <c r="T3850" s="223" t="s">
        <v>3879</v>
      </c>
      <c r="U3850" t="str">
        <f>VLOOKUP(T3850,[8]Votes!$A$1:$E$234,3,FALSE)</f>
        <v>009 Ministry of Internal Affairs</v>
      </c>
      <c r="V3850" s="162" t="s">
        <v>14325</v>
      </c>
      <c r="W3850" s="416">
        <v>1</v>
      </c>
      <c r="X3850" s="416">
        <v>1</v>
      </c>
      <c r="Y3850" s="416">
        <v>1</v>
      </c>
      <c r="Z3850" s="416">
        <v>1</v>
      </c>
      <c r="AA3850" s="416">
        <v>1</v>
      </c>
      <c r="AB3850" s="416">
        <v>0</v>
      </c>
      <c r="AC3850" s="150">
        <v>1</v>
      </c>
      <c r="AD3850" s="150">
        <v>1</v>
      </c>
      <c r="AE3850" s="49">
        <f t="shared" si="142"/>
        <v>0.875</v>
      </c>
      <c r="AF3850" s="190">
        <v>1</v>
      </c>
      <c r="AG3850" s="17">
        <v>0</v>
      </c>
      <c r="AH3850" s="485">
        <v>0.5</v>
      </c>
      <c r="AI3850" s="485">
        <v>0.5</v>
      </c>
      <c r="AJ3850" s="485">
        <v>2</v>
      </c>
      <c r="AK3850" s="493">
        <v>0.5</v>
      </c>
      <c r="AL3850" s="493">
        <v>0.5</v>
      </c>
      <c r="AM3850" s="17">
        <f t="shared" si="143"/>
        <v>1</v>
      </c>
      <c r="AN3850" s="162" t="s">
        <v>3879</v>
      </c>
      <c r="AO3850" s="162" t="s">
        <v>3881</v>
      </c>
    </row>
    <row r="3851" spans="1:41" s="162" customFormat="1" x14ac:dyDescent="0.3">
      <c r="A3851" s="205" t="s">
        <v>8321</v>
      </c>
      <c r="B3851" s="162" t="s">
        <v>8322</v>
      </c>
      <c r="C3851" s="168" t="s">
        <v>13277</v>
      </c>
      <c r="D3851" s="162" t="s">
        <v>13278</v>
      </c>
      <c r="E3851" s="168" t="s">
        <v>13279</v>
      </c>
      <c r="F3851" s="162" t="s">
        <v>13280</v>
      </c>
      <c r="G3851" s="168" t="s">
        <v>13420</v>
      </c>
      <c r="H3851" s="162" t="s">
        <v>13421</v>
      </c>
      <c r="K3851" s="168">
        <v>16111206</v>
      </c>
      <c r="L3851" s="162" t="s">
        <v>14326</v>
      </c>
      <c r="M3851" s="162" t="s">
        <v>14327</v>
      </c>
      <c r="O3851" s="224"/>
      <c r="P3851" s="224">
        <v>4</v>
      </c>
      <c r="Q3851" s="224">
        <v>5</v>
      </c>
      <c r="R3851" s="224">
        <v>6</v>
      </c>
      <c r="S3851" s="224">
        <v>7</v>
      </c>
      <c r="T3851" s="223" t="s">
        <v>3879</v>
      </c>
      <c r="U3851" t="str">
        <f>VLOOKUP(T3851,[8]Votes!$A$1:$E$234,3,FALSE)</f>
        <v>009 Ministry of Internal Affairs</v>
      </c>
      <c r="V3851" s="162" t="s">
        <v>14328</v>
      </c>
      <c r="W3851" s="416">
        <v>1</v>
      </c>
      <c r="X3851" s="416">
        <v>1</v>
      </c>
      <c r="Y3851" s="416">
        <v>1</v>
      </c>
      <c r="Z3851" s="416">
        <v>1</v>
      </c>
      <c r="AA3851" s="416">
        <v>1</v>
      </c>
      <c r="AB3851" s="416">
        <v>0</v>
      </c>
      <c r="AC3851" s="150">
        <v>1</v>
      </c>
      <c r="AD3851" s="150">
        <v>1</v>
      </c>
      <c r="AE3851" s="49">
        <f t="shared" si="142"/>
        <v>0.875</v>
      </c>
      <c r="AF3851" s="190">
        <v>1</v>
      </c>
      <c r="AG3851" s="17">
        <v>0</v>
      </c>
      <c r="AH3851" s="190">
        <v>0</v>
      </c>
      <c r="AI3851" s="485">
        <v>0.5</v>
      </c>
      <c r="AJ3851" s="485">
        <v>0.6</v>
      </c>
      <c r="AK3851" s="493">
        <v>0.7</v>
      </c>
      <c r="AL3851" s="493">
        <v>0.8</v>
      </c>
      <c r="AM3851" s="17">
        <f t="shared" si="143"/>
        <v>1.5</v>
      </c>
      <c r="AN3851" s="162" t="s">
        <v>3879</v>
      </c>
      <c r="AO3851" s="162" t="s">
        <v>3881</v>
      </c>
    </row>
    <row r="3852" spans="1:41" s="162" customFormat="1" x14ac:dyDescent="0.3">
      <c r="A3852" s="205" t="s">
        <v>8321</v>
      </c>
      <c r="B3852" s="162" t="s">
        <v>8322</v>
      </c>
      <c r="C3852" s="168" t="s">
        <v>13277</v>
      </c>
      <c r="D3852" s="162" t="s">
        <v>13278</v>
      </c>
      <c r="E3852" s="168" t="s">
        <v>13279</v>
      </c>
      <c r="F3852" s="162" t="s">
        <v>13280</v>
      </c>
      <c r="G3852" s="168" t="s">
        <v>13420</v>
      </c>
      <c r="H3852" s="162" t="s">
        <v>13421</v>
      </c>
      <c r="K3852" s="168">
        <v>16111207</v>
      </c>
      <c r="L3852" s="162" t="s">
        <v>14329</v>
      </c>
      <c r="M3852" s="162" t="s">
        <v>14330</v>
      </c>
      <c r="O3852" s="224">
        <v>4</v>
      </c>
      <c r="P3852" s="224">
        <v>8</v>
      </c>
      <c r="Q3852" s="224">
        <v>42</v>
      </c>
      <c r="R3852" s="224">
        <v>46</v>
      </c>
      <c r="S3852" s="224">
        <v>50</v>
      </c>
      <c r="T3852" s="223" t="s">
        <v>3879</v>
      </c>
      <c r="U3852" t="str">
        <f>VLOOKUP(T3852,[8]Votes!$A$1:$E$234,3,FALSE)</f>
        <v>009 Ministry of Internal Affairs</v>
      </c>
      <c r="V3852" s="162" t="s">
        <v>14331</v>
      </c>
      <c r="W3852" s="416">
        <v>1</v>
      </c>
      <c r="X3852" s="416">
        <v>1</v>
      </c>
      <c r="Y3852" s="416">
        <v>1</v>
      </c>
      <c r="Z3852" s="416">
        <v>1</v>
      </c>
      <c r="AA3852" s="416">
        <v>1</v>
      </c>
      <c r="AB3852" s="416">
        <v>0</v>
      </c>
      <c r="AC3852" s="150">
        <v>1</v>
      </c>
      <c r="AD3852" s="150">
        <v>1</v>
      </c>
      <c r="AE3852" s="49">
        <f t="shared" si="142"/>
        <v>0.875</v>
      </c>
      <c r="AF3852" s="190">
        <v>1</v>
      </c>
      <c r="AG3852" s="17">
        <v>0</v>
      </c>
      <c r="AH3852" s="485">
        <v>0.5</v>
      </c>
      <c r="AI3852" s="485">
        <v>1</v>
      </c>
      <c r="AJ3852" s="485">
        <v>0.2</v>
      </c>
      <c r="AK3852" s="493">
        <v>0.5</v>
      </c>
      <c r="AL3852" s="493">
        <v>0.5</v>
      </c>
      <c r="AM3852" s="17">
        <f t="shared" si="143"/>
        <v>1</v>
      </c>
      <c r="AN3852" s="162" t="s">
        <v>3879</v>
      </c>
      <c r="AO3852" s="162" t="s">
        <v>3881</v>
      </c>
    </row>
    <row r="3853" spans="1:41" s="162" customFormat="1" x14ac:dyDescent="0.3">
      <c r="A3853" s="205" t="s">
        <v>8321</v>
      </c>
      <c r="B3853" s="162" t="s">
        <v>8322</v>
      </c>
      <c r="C3853" s="168" t="s">
        <v>13277</v>
      </c>
      <c r="D3853" s="162" t="s">
        <v>13278</v>
      </c>
      <c r="E3853" s="168" t="s">
        <v>13279</v>
      </c>
      <c r="F3853" s="162" t="s">
        <v>13280</v>
      </c>
      <c r="G3853" s="168" t="s">
        <v>13420</v>
      </c>
      <c r="H3853" s="162" t="s">
        <v>13421</v>
      </c>
      <c r="K3853" s="168">
        <v>16111208</v>
      </c>
      <c r="L3853" s="162" t="s">
        <v>14332</v>
      </c>
      <c r="M3853" s="162" t="s">
        <v>14333</v>
      </c>
      <c r="O3853" s="224">
        <v>6</v>
      </c>
      <c r="P3853" s="224">
        <v>8</v>
      </c>
      <c r="Q3853" s="224">
        <v>10</v>
      </c>
      <c r="R3853" s="224">
        <v>12</v>
      </c>
      <c r="S3853" s="224">
        <v>14</v>
      </c>
      <c r="T3853" s="223" t="s">
        <v>3879</v>
      </c>
      <c r="U3853" t="str">
        <f>VLOOKUP(T3853,[8]Votes!$A$1:$E$234,3,FALSE)</f>
        <v>009 Ministry of Internal Affairs</v>
      </c>
      <c r="V3853" s="162" t="s">
        <v>14334</v>
      </c>
      <c r="W3853" s="416">
        <v>1</v>
      </c>
      <c r="X3853" s="416">
        <v>1</v>
      </c>
      <c r="Y3853" s="416">
        <v>1</v>
      </c>
      <c r="Z3853" s="416">
        <v>1</v>
      </c>
      <c r="AA3853" s="416">
        <v>1</v>
      </c>
      <c r="AB3853" s="416">
        <v>0</v>
      </c>
      <c r="AC3853" s="150">
        <v>1</v>
      </c>
      <c r="AD3853" s="150">
        <v>1</v>
      </c>
      <c r="AE3853" s="49">
        <f t="shared" si="142"/>
        <v>0.875</v>
      </c>
      <c r="AF3853" s="190">
        <v>1</v>
      </c>
      <c r="AG3853" s="17">
        <v>0</v>
      </c>
      <c r="AH3853" s="485">
        <v>0.443</v>
      </c>
      <c r="AI3853" s="485">
        <v>0.443</v>
      </c>
      <c r="AJ3853" s="485">
        <v>0.5</v>
      </c>
      <c r="AK3853" s="493">
        <v>0.5</v>
      </c>
      <c r="AL3853" s="493">
        <v>0.7</v>
      </c>
      <c r="AM3853" s="17">
        <f t="shared" si="143"/>
        <v>1.2</v>
      </c>
      <c r="AN3853" s="162" t="s">
        <v>3879</v>
      </c>
      <c r="AO3853" s="162" t="s">
        <v>3881</v>
      </c>
    </row>
    <row r="3854" spans="1:41" s="162" customFormat="1" x14ac:dyDescent="0.3">
      <c r="A3854" s="205" t="s">
        <v>8321</v>
      </c>
      <c r="B3854" s="162" t="s">
        <v>8322</v>
      </c>
      <c r="C3854" s="168" t="s">
        <v>13277</v>
      </c>
      <c r="D3854" s="162" t="s">
        <v>13278</v>
      </c>
      <c r="E3854" s="168" t="s">
        <v>13279</v>
      </c>
      <c r="F3854" s="162" t="s">
        <v>13280</v>
      </c>
      <c r="G3854" s="168" t="s">
        <v>13420</v>
      </c>
      <c r="H3854" s="162" t="s">
        <v>13421</v>
      </c>
      <c r="K3854" s="168">
        <v>16111209</v>
      </c>
      <c r="L3854" s="162" t="s">
        <v>14335</v>
      </c>
      <c r="M3854" s="162" t="s">
        <v>14336</v>
      </c>
      <c r="O3854" s="224">
        <v>100</v>
      </c>
      <c r="P3854" s="224">
        <v>110</v>
      </c>
      <c r="Q3854" s="224">
        <v>120</v>
      </c>
      <c r="R3854" s="224">
        <v>100</v>
      </c>
      <c r="S3854" s="224">
        <v>100</v>
      </c>
      <c r="T3854" s="223" t="s">
        <v>3879</v>
      </c>
      <c r="U3854" t="str">
        <f>VLOOKUP(T3854,[8]Votes!$A$1:$E$234,3,FALSE)</f>
        <v>009 Ministry of Internal Affairs</v>
      </c>
      <c r="V3854" s="162" t="s">
        <v>14337</v>
      </c>
      <c r="W3854" s="416">
        <v>1</v>
      </c>
      <c r="X3854" s="416">
        <v>1</v>
      </c>
      <c r="Y3854" s="416">
        <v>1</v>
      </c>
      <c r="Z3854" s="416">
        <v>1</v>
      </c>
      <c r="AA3854" s="416">
        <v>1</v>
      </c>
      <c r="AB3854" s="416">
        <v>0</v>
      </c>
      <c r="AC3854" s="150">
        <v>1</v>
      </c>
      <c r="AD3854" s="150">
        <v>1</v>
      </c>
      <c r="AE3854" s="49">
        <f t="shared" si="142"/>
        <v>0.875</v>
      </c>
      <c r="AF3854" s="190">
        <v>1</v>
      </c>
      <c r="AG3854" s="17">
        <v>0</v>
      </c>
      <c r="AH3854" s="485">
        <v>0.5</v>
      </c>
      <c r="AI3854" s="485">
        <v>0.7</v>
      </c>
      <c r="AJ3854" s="485">
        <v>0.8</v>
      </c>
      <c r="AK3854" s="493">
        <v>0.9</v>
      </c>
      <c r="AL3854" s="493">
        <v>1</v>
      </c>
      <c r="AM3854" s="17">
        <f t="shared" si="143"/>
        <v>1.9</v>
      </c>
      <c r="AN3854" s="162" t="s">
        <v>3879</v>
      </c>
      <c r="AO3854" s="162" t="s">
        <v>3881</v>
      </c>
    </row>
    <row r="3855" spans="1:41" s="162" customFormat="1" x14ac:dyDescent="0.3">
      <c r="A3855" s="205" t="s">
        <v>8321</v>
      </c>
      <c r="B3855" s="162" t="s">
        <v>8322</v>
      </c>
      <c r="C3855" s="168" t="s">
        <v>13277</v>
      </c>
      <c r="D3855" s="162" t="s">
        <v>13278</v>
      </c>
      <c r="E3855" s="168" t="s">
        <v>13279</v>
      </c>
      <c r="F3855" s="162" t="s">
        <v>13280</v>
      </c>
      <c r="G3855" s="168" t="s">
        <v>13420</v>
      </c>
      <c r="H3855" s="162" t="s">
        <v>13421</v>
      </c>
      <c r="K3855" s="168">
        <v>16111210</v>
      </c>
      <c r="L3855" s="162" t="s">
        <v>14338</v>
      </c>
      <c r="M3855" s="162" t="s">
        <v>14339</v>
      </c>
      <c r="O3855" s="224">
        <v>6</v>
      </c>
      <c r="P3855" s="224">
        <v>6</v>
      </c>
      <c r="Q3855" s="224">
        <v>6</v>
      </c>
      <c r="R3855" s="224">
        <v>6</v>
      </c>
      <c r="S3855" s="224">
        <v>6</v>
      </c>
      <c r="T3855" s="223" t="s">
        <v>1233</v>
      </c>
      <c r="U3855" t="str">
        <f>VLOOKUP(T3855,[8]Votes!$A$1:$E$234,3,FALSE)</f>
        <v>006 Ministry of Foreign Affairs</v>
      </c>
      <c r="V3855" s="162" t="s">
        <v>14340</v>
      </c>
      <c r="W3855" s="416">
        <v>1</v>
      </c>
      <c r="X3855" s="416">
        <v>1</v>
      </c>
      <c r="Y3855" s="416">
        <v>1</v>
      </c>
      <c r="Z3855" s="416">
        <v>1</v>
      </c>
      <c r="AA3855" s="416">
        <v>1</v>
      </c>
      <c r="AB3855" s="416">
        <v>0</v>
      </c>
      <c r="AC3855" s="150">
        <v>1</v>
      </c>
      <c r="AD3855" s="150">
        <v>0</v>
      </c>
      <c r="AE3855" s="49">
        <f t="shared" si="142"/>
        <v>0.75</v>
      </c>
      <c r="AF3855" s="190">
        <v>1</v>
      </c>
      <c r="AG3855" s="17">
        <v>0</v>
      </c>
      <c r="AH3855" s="485">
        <v>0.4</v>
      </c>
      <c r="AI3855" s="485">
        <v>0.4</v>
      </c>
      <c r="AJ3855" s="485">
        <v>0.4</v>
      </c>
      <c r="AK3855" s="493">
        <v>0.4</v>
      </c>
      <c r="AL3855" s="493">
        <v>0.4</v>
      </c>
      <c r="AM3855" s="17">
        <f t="shared" si="143"/>
        <v>0.8</v>
      </c>
      <c r="AN3855" s="162" t="s">
        <v>1233</v>
      </c>
      <c r="AO3855" s="162" t="s">
        <v>1650</v>
      </c>
    </row>
    <row r="3856" spans="1:41" s="162" customFormat="1" x14ac:dyDescent="0.3">
      <c r="A3856" s="205" t="s">
        <v>8321</v>
      </c>
      <c r="B3856" s="162" t="s">
        <v>8322</v>
      </c>
      <c r="C3856" s="168" t="s">
        <v>13277</v>
      </c>
      <c r="D3856" s="162" t="s">
        <v>13278</v>
      </c>
      <c r="E3856" s="168" t="s">
        <v>13279</v>
      </c>
      <c r="F3856" s="162" t="s">
        <v>13280</v>
      </c>
      <c r="G3856" s="168" t="s">
        <v>14341</v>
      </c>
      <c r="H3856" s="162" t="s">
        <v>14342</v>
      </c>
      <c r="K3856" s="162">
        <v>16111801</v>
      </c>
      <c r="L3856" s="162" t="s">
        <v>14343</v>
      </c>
      <c r="M3856" s="162" t="s">
        <v>14344</v>
      </c>
      <c r="O3856" s="224"/>
      <c r="P3856" s="224"/>
      <c r="Q3856" s="224"/>
      <c r="R3856" s="224"/>
      <c r="S3856" s="224"/>
      <c r="T3856" s="223" t="s">
        <v>3879</v>
      </c>
      <c r="U3856" t="str">
        <f>VLOOKUP(T3856,[8]Votes!$A$1:$E$234,3,FALSE)</f>
        <v>009 Ministry of Internal Affairs</v>
      </c>
      <c r="V3856" s="162" t="s">
        <v>14345</v>
      </c>
      <c r="W3856" s="416">
        <v>1</v>
      </c>
      <c r="X3856" s="416">
        <v>1</v>
      </c>
      <c r="Y3856" s="416">
        <v>1</v>
      </c>
      <c r="Z3856" s="416">
        <v>1</v>
      </c>
      <c r="AA3856" s="416">
        <v>1</v>
      </c>
      <c r="AB3856" s="416">
        <v>0</v>
      </c>
      <c r="AC3856" s="150">
        <v>1</v>
      </c>
      <c r="AD3856" s="150">
        <v>1</v>
      </c>
      <c r="AE3856" s="49">
        <f t="shared" si="142"/>
        <v>0.875</v>
      </c>
      <c r="AF3856" s="190">
        <v>1</v>
      </c>
      <c r="AG3856" s="17">
        <v>0</v>
      </c>
      <c r="AH3856" s="190">
        <v>0</v>
      </c>
      <c r="AI3856" s="190">
        <v>0</v>
      </c>
      <c r="AJ3856" s="485">
        <v>5</v>
      </c>
      <c r="AK3856" s="493">
        <v>1</v>
      </c>
      <c r="AL3856" s="493">
        <v>1</v>
      </c>
      <c r="AM3856" s="17">
        <f t="shared" si="143"/>
        <v>2</v>
      </c>
      <c r="AN3856" s="162" t="s">
        <v>3879</v>
      </c>
      <c r="AO3856" s="162" t="s">
        <v>3881</v>
      </c>
    </row>
    <row r="3857" spans="1:41" s="162" customFormat="1" x14ac:dyDescent="0.3">
      <c r="A3857" s="205" t="s">
        <v>8321</v>
      </c>
      <c r="B3857" s="162" t="s">
        <v>8322</v>
      </c>
      <c r="C3857" s="168" t="s">
        <v>13277</v>
      </c>
      <c r="D3857" s="162" t="s">
        <v>13278</v>
      </c>
      <c r="E3857" s="168" t="s">
        <v>13279</v>
      </c>
      <c r="F3857" s="162" t="s">
        <v>13280</v>
      </c>
      <c r="G3857" s="168" t="s">
        <v>14341</v>
      </c>
      <c r="H3857" s="162" t="s">
        <v>14342</v>
      </c>
      <c r="K3857" s="162">
        <v>16111802</v>
      </c>
      <c r="L3857" s="162" t="s">
        <v>14346</v>
      </c>
      <c r="M3857" s="162" t="s">
        <v>14347</v>
      </c>
      <c r="O3857" s="224"/>
      <c r="P3857" s="224"/>
      <c r="Q3857" s="224"/>
      <c r="R3857" s="224"/>
      <c r="S3857" s="224"/>
      <c r="T3857" s="223" t="s">
        <v>13845</v>
      </c>
      <c r="U3857" t="e">
        <f>VLOOKUP(T3857,[8]Votes!$A$1:$E$234,3,FALSE)</f>
        <v>#N/A</v>
      </c>
      <c r="V3857" s="162" t="s">
        <v>14348</v>
      </c>
      <c r="W3857" s="416">
        <v>1</v>
      </c>
      <c r="X3857" s="416">
        <v>1</v>
      </c>
      <c r="Y3857" s="416">
        <v>1</v>
      </c>
      <c r="Z3857" s="416">
        <v>1</v>
      </c>
      <c r="AA3857" s="416">
        <v>1</v>
      </c>
      <c r="AB3857" s="416">
        <v>0</v>
      </c>
      <c r="AC3857" s="150">
        <v>1</v>
      </c>
      <c r="AD3857" s="150">
        <v>1</v>
      </c>
      <c r="AE3857" s="49">
        <f t="shared" si="142"/>
        <v>0.875</v>
      </c>
      <c r="AF3857" s="190">
        <v>1</v>
      </c>
      <c r="AG3857" s="17">
        <v>0</v>
      </c>
      <c r="AH3857" s="190">
        <v>0</v>
      </c>
      <c r="AI3857" s="190">
        <v>0</v>
      </c>
      <c r="AJ3857" s="485">
        <v>0.5</v>
      </c>
      <c r="AK3857" s="493"/>
      <c r="AL3857" s="493"/>
      <c r="AM3857" s="17">
        <f t="shared" si="143"/>
        <v>0</v>
      </c>
      <c r="AN3857" s="162" t="s">
        <v>3879</v>
      </c>
      <c r="AO3857" s="162" t="s">
        <v>3881</v>
      </c>
    </row>
    <row r="3858" spans="1:41" s="162" customFormat="1" x14ac:dyDescent="0.3">
      <c r="A3858" s="205" t="s">
        <v>8321</v>
      </c>
      <c r="B3858" s="162" t="s">
        <v>8322</v>
      </c>
      <c r="C3858" s="168" t="s">
        <v>13277</v>
      </c>
      <c r="D3858" s="162" t="s">
        <v>13278</v>
      </c>
      <c r="E3858" s="168" t="s">
        <v>13279</v>
      </c>
      <c r="F3858" s="162" t="s">
        <v>13280</v>
      </c>
      <c r="G3858" s="168" t="s">
        <v>14341</v>
      </c>
      <c r="H3858" s="162" t="s">
        <v>14342</v>
      </c>
      <c r="K3858" s="162">
        <v>16111803</v>
      </c>
      <c r="L3858" s="162" t="s">
        <v>14349</v>
      </c>
      <c r="M3858" s="162" t="s">
        <v>14350</v>
      </c>
      <c r="O3858" s="224"/>
      <c r="P3858" s="224"/>
      <c r="Q3858" s="224"/>
      <c r="R3858" s="224"/>
      <c r="S3858" s="224"/>
      <c r="T3858" s="223" t="s">
        <v>3879</v>
      </c>
      <c r="U3858" t="str">
        <f>VLOOKUP(T3858,[8]Votes!$A$1:$E$234,3,FALSE)</f>
        <v>009 Ministry of Internal Affairs</v>
      </c>
      <c r="V3858" s="162" t="s">
        <v>14348</v>
      </c>
      <c r="W3858" s="416">
        <v>1</v>
      </c>
      <c r="X3858" s="416">
        <v>1</v>
      </c>
      <c r="Y3858" s="416">
        <v>1</v>
      </c>
      <c r="Z3858" s="416">
        <v>1</v>
      </c>
      <c r="AA3858" s="416">
        <v>1</v>
      </c>
      <c r="AB3858" s="416">
        <v>0</v>
      </c>
      <c r="AC3858" s="150">
        <v>1</v>
      </c>
      <c r="AD3858" s="150">
        <v>1</v>
      </c>
      <c r="AE3858" s="49">
        <f t="shared" si="142"/>
        <v>0.875</v>
      </c>
      <c r="AF3858" s="190">
        <v>1</v>
      </c>
      <c r="AG3858" s="17">
        <v>0</v>
      </c>
      <c r="AH3858" s="190">
        <v>0</v>
      </c>
      <c r="AI3858" s="190">
        <v>0</v>
      </c>
      <c r="AJ3858" s="485">
        <v>0.5</v>
      </c>
      <c r="AK3858" s="493"/>
      <c r="AL3858" s="493"/>
      <c r="AM3858" s="17">
        <f t="shared" si="143"/>
        <v>0</v>
      </c>
      <c r="AN3858" s="162" t="s">
        <v>3879</v>
      </c>
      <c r="AO3858" s="162" t="s">
        <v>3881</v>
      </c>
    </row>
    <row r="3859" spans="1:41" s="162" customFormat="1" x14ac:dyDescent="0.3">
      <c r="A3859" s="205" t="s">
        <v>8321</v>
      </c>
      <c r="B3859" s="162" t="s">
        <v>8322</v>
      </c>
      <c r="C3859" s="168" t="s">
        <v>13277</v>
      </c>
      <c r="D3859" s="162" t="s">
        <v>13278</v>
      </c>
      <c r="E3859" s="168" t="s">
        <v>13279</v>
      </c>
      <c r="F3859" s="162" t="s">
        <v>13280</v>
      </c>
      <c r="G3859" s="168" t="s">
        <v>14341</v>
      </c>
      <c r="H3859" s="162" t="s">
        <v>14342</v>
      </c>
      <c r="K3859" s="162">
        <v>16111804</v>
      </c>
      <c r="L3859" s="162" t="s">
        <v>14351</v>
      </c>
      <c r="M3859" s="162" t="s">
        <v>14352</v>
      </c>
      <c r="O3859" s="224"/>
      <c r="P3859" s="224"/>
      <c r="Q3859" s="224"/>
      <c r="R3859" s="224"/>
      <c r="S3859" s="224"/>
      <c r="T3859" s="223" t="s">
        <v>3879</v>
      </c>
      <c r="U3859" t="str">
        <f>VLOOKUP(T3859,[8]Votes!$A$1:$E$234,3,FALSE)</f>
        <v>009 Ministry of Internal Affairs</v>
      </c>
      <c r="V3859" s="162" t="s">
        <v>14353</v>
      </c>
      <c r="W3859" s="416">
        <v>1</v>
      </c>
      <c r="X3859" s="416">
        <v>1</v>
      </c>
      <c r="Y3859" s="416">
        <v>1</v>
      </c>
      <c r="Z3859" s="416">
        <v>1</v>
      </c>
      <c r="AA3859" s="416">
        <v>1</v>
      </c>
      <c r="AB3859" s="416">
        <v>0</v>
      </c>
      <c r="AC3859" s="150">
        <v>1</v>
      </c>
      <c r="AD3859" s="150">
        <v>1</v>
      </c>
      <c r="AE3859" s="49">
        <f t="shared" si="142"/>
        <v>0.875</v>
      </c>
      <c r="AF3859" s="190">
        <v>1</v>
      </c>
      <c r="AG3859" s="17">
        <v>0</v>
      </c>
      <c r="AH3859" s="190">
        <v>0</v>
      </c>
      <c r="AI3859" s="190">
        <v>0</v>
      </c>
      <c r="AJ3859" s="485">
        <v>5</v>
      </c>
      <c r="AK3859" s="493">
        <v>0</v>
      </c>
      <c r="AL3859" s="493">
        <v>0</v>
      </c>
      <c r="AM3859" s="17">
        <f t="shared" si="143"/>
        <v>0</v>
      </c>
      <c r="AN3859" s="162" t="s">
        <v>3879</v>
      </c>
      <c r="AO3859" s="162" t="s">
        <v>3881</v>
      </c>
    </row>
    <row r="3860" spans="1:41" s="162" customFormat="1" x14ac:dyDescent="0.3">
      <c r="A3860" s="205" t="s">
        <v>8321</v>
      </c>
      <c r="B3860" s="162" t="s">
        <v>8322</v>
      </c>
      <c r="C3860" s="168" t="s">
        <v>13277</v>
      </c>
      <c r="D3860" s="162" t="s">
        <v>13278</v>
      </c>
      <c r="E3860" s="168" t="s">
        <v>13279</v>
      </c>
      <c r="F3860" s="162" t="s">
        <v>13280</v>
      </c>
      <c r="G3860" s="168" t="s">
        <v>14341</v>
      </c>
      <c r="H3860" s="162" t="s">
        <v>14342</v>
      </c>
      <c r="K3860" s="162">
        <v>16111805</v>
      </c>
      <c r="L3860" s="162" t="s">
        <v>14354</v>
      </c>
      <c r="M3860" s="162" t="s">
        <v>14355</v>
      </c>
      <c r="O3860" s="224"/>
      <c r="P3860" s="224">
        <v>6</v>
      </c>
      <c r="Q3860" s="224">
        <v>10</v>
      </c>
      <c r="R3860" s="224">
        <v>14</v>
      </c>
      <c r="S3860" s="224">
        <v>20</v>
      </c>
      <c r="T3860" s="223" t="s">
        <v>3879</v>
      </c>
      <c r="U3860" t="str">
        <f>VLOOKUP(T3860,[8]Votes!$A$1:$E$234,3,FALSE)</f>
        <v>009 Ministry of Internal Affairs</v>
      </c>
      <c r="V3860" s="162" t="s">
        <v>14356</v>
      </c>
      <c r="W3860" s="416">
        <v>1</v>
      </c>
      <c r="X3860" s="416">
        <v>1</v>
      </c>
      <c r="Y3860" s="416">
        <v>1</v>
      </c>
      <c r="Z3860" s="416">
        <v>1</v>
      </c>
      <c r="AA3860" s="416">
        <v>1</v>
      </c>
      <c r="AB3860" s="416">
        <v>0</v>
      </c>
      <c r="AC3860" s="150">
        <v>1</v>
      </c>
      <c r="AD3860" s="150">
        <v>1</v>
      </c>
      <c r="AE3860" s="49">
        <f t="shared" si="142"/>
        <v>0.875</v>
      </c>
      <c r="AF3860" s="190">
        <v>1</v>
      </c>
      <c r="AG3860" s="17">
        <v>0</v>
      </c>
      <c r="AH3860" s="190">
        <v>0</v>
      </c>
      <c r="AI3860" s="485">
        <v>0.6</v>
      </c>
      <c r="AJ3860" s="485">
        <v>1</v>
      </c>
      <c r="AK3860" s="493">
        <v>1.4</v>
      </c>
      <c r="AL3860" s="493">
        <v>2</v>
      </c>
      <c r="AM3860" s="17">
        <f t="shared" si="143"/>
        <v>3.4</v>
      </c>
      <c r="AN3860" s="162" t="s">
        <v>3879</v>
      </c>
      <c r="AO3860" s="162" t="s">
        <v>3881</v>
      </c>
    </row>
    <row r="3861" spans="1:41" s="162" customFormat="1" x14ac:dyDescent="0.3">
      <c r="A3861" s="205" t="s">
        <v>8321</v>
      </c>
      <c r="B3861" s="162" t="s">
        <v>8322</v>
      </c>
      <c r="C3861" s="168" t="s">
        <v>13277</v>
      </c>
      <c r="D3861" s="162" t="s">
        <v>13278</v>
      </c>
      <c r="E3861" s="168" t="s">
        <v>13279</v>
      </c>
      <c r="F3861" s="162" t="s">
        <v>13280</v>
      </c>
      <c r="G3861" s="168" t="s">
        <v>14341</v>
      </c>
      <c r="H3861" s="162" t="s">
        <v>14342</v>
      </c>
      <c r="K3861" s="162">
        <v>16111806</v>
      </c>
      <c r="L3861" s="162" t="s">
        <v>14357</v>
      </c>
      <c r="M3861" s="162" t="s">
        <v>14358</v>
      </c>
      <c r="O3861" s="224"/>
      <c r="P3861" s="224">
        <v>4</v>
      </c>
      <c r="Q3861" s="224">
        <v>4</v>
      </c>
      <c r="R3861" s="224">
        <v>4</v>
      </c>
      <c r="S3861" s="224">
        <v>4</v>
      </c>
      <c r="T3861" s="223" t="s">
        <v>3879</v>
      </c>
      <c r="U3861" t="str">
        <f>VLOOKUP(T3861,[8]Votes!$A$1:$E$234,3,FALSE)</f>
        <v>009 Ministry of Internal Affairs</v>
      </c>
      <c r="V3861" s="162" t="s">
        <v>14359</v>
      </c>
      <c r="W3861" s="416">
        <v>1</v>
      </c>
      <c r="X3861" s="416">
        <v>1</v>
      </c>
      <c r="Y3861" s="416">
        <v>1</v>
      </c>
      <c r="Z3861" s="416">
        <v>1</v>
      </c>
      <c r="AA3861" s="416">
        <v>1</v>
      </c>
      <c r="AB3861" s="416">
        <v>0</v>
      </c>
      <c r="AC3861" s="150">
        <v>1</v>
      </c>
      <c r="AD3861" s="150">
        <v>1</v>
      </c>
      <c r="AE3861" s="49">
        <f t="shared" si="142"/>
        <v>0.875</v>
      </c>
      <c r="AF3861" s="190">
        <v>1</v>
      </c>
      <c r="AG3861" s="17">
        <v>0</v>
      </c>
      <c r="AH3861" s="190">
        <v>0</v>
      </c>
      <c r="AI3861" s="485">
        <v>0.32</v>
      </c>
      <c r="AJ3861" s="485">
        <v>0.35</v>
      </c>
      <c r="AK3861" s="493">
        <v>0.35</v>
      </c>
      <c r="AL3861" s="493">
        <v>0.35</v>
      </c>
      <c r="AM3861" s="17">
        <f t="shared" si="143"/>
        <v>0.7</v>
      </c>
      <c r="AN3861" s="162" t="s">
        <v>3879</v>
      </c>
      <c r="AO3861" s="162" t="s">
        <v>3881</v>
      </c>
    </row>
    <row r="3862" spans="1:41" s="162" customFormat="1" x14ac:dyDescent="0.3">
      <c r="A3862" s="205" t="s">
        <v>8321</v>
      </c>
      <c r="B3862" s="162" t="s">
        <v>8322</v>
      </c>
      <c r="C3862" s="168" t="s">
        <v>13277</v>
      </c>
      <c r="D3862" s="162" t="s">
        <v>13278</v>
      </c>
      <c r="E3862" s="168" t="s">
        <v>13279</v>
      </c>
      <c r="F3862" s="162" t="s">
        <v>13280</v>
      </c>
      <c r="G3862" s="168" t="s">
        <v>14341</v>
      </c>
      <c r="H3862" s="162" t="s">
        <v>14342</v>
      </c>
      <c r="K3862" s="162">
        <v>16111807</v>
      </c>
      <c r="L3862" s="162" t="s">
        <v>14360</v>
      </c>
      <c r="M3862" s="162" t="s">
        <v>14361</v>
      </c>
      <c r="O3862" s="224"/>
      <c r="P3862" s="224"/>
      <c r="Q3862" s="224">
        <v>1</v>
      </c>
      <c r="R3862" s="224">
        <v>1</v>
      </c>
      <c r="S3862" s="224">
        <v>1</v>
      </c>
      <c r="T3862" s="223" t="s">
        <v>3879</v>
      </c>
      <c r="U3862" t="str">
        <f>VLOOKUP(T3862,[8]Votes!$A$1:$E$234,3,FALSE)</f>
        <v>009 Ministry of Internal Affairs</v>
      </c>
      <c r="V3862" s="162" t="s">
        <v>14362</v>
      </c>
      <c r="W3862" s="416">
        <v>1</v>
      </c>
      <c r="X3862" s="416">
        <v>1</v>
      </c>
      <c r="Y3862" s="416">
        <v>1</v>
      </c>
      <c r="Z3862" s="416">
        <v>1</v>
      </c>
      <c r="AA3862" s="416">
        <v>1</v>
      </c>
      <c r="AB3862" s="416">
        <v>0</v>
      </c>
      <c r="AC3862" s="150">
        <v>1</v>
      </c>
      <c r="AD3862" s="150">
        <v>1</v>
      </c>
      <c r="AE3862" s="49">
        <f t="shared" si="142"/>
        <v>0.875</v>
      </c>
      <c r="AF3862" s="190">
        <v>1</v>
      </c>
      <c r="AG3862" s="17">
        <v>0</v>
      </c>
      <c r="AH3862" s="190">
        <v>0</v>
      </c>
      <c r="AI3862" s="190">
        <v>0</v>
      </c>
      <c r="AJ3862" s="485">
        <v>0.5</v>
      </c>
      <c r="AK3862" s="493">
        <v>0.5</v>
      </c>
      <c r="AL3862" s="493">
        <v>0.5</v>
      </c>
      <c r="AM3862" s="17">
        <f t="shared" si="143"/>
        <v>1</v>
      </c>
      <c r="AN3862" s="162" t="s">
        <v>3879</v>
      </c>
      <c r="AO3862" s="162" t="s">
        <v>3881</v>
      </c>
    </row>
    <row r="3863" spans="1:41" s="162" customFormat="1" x14ac:dyDescent="0.3">
      <c r="A3863" s="205" t="s">
        <v>8321</v>
      </c>
      <c r="B3863" s="162" t="s">
        <v>8322</v>
      </c>
      <c r="C3863" s="168" t="s">
        <v>13277</v>
      </c>
      <c r="D3863" s="162" t="s">
        <v>13278</v>
      </c>
      <c r="E3863" s="168" t="s">
        <v>13279</v>
      </c>
      <c r="F3863" s="162" t="s">
        <v>13280</v>
      </c>
      <c r="G3863" s="168" t="s">
        <v>14341</v>
      </c>
      <c r="H3863" s="162" t="s">
        <v>14342</v>
      </c>
      <c r="K3863" s="162">
        <v>16111808</v>
      </c>
      <c r="L3863" s="162" t="s">
        <v>14363</v>
      </c>
      <c r="M3863" s="162" t="s">
        <v>14364</v>
      </c>
      <c r="O3863" s="224"/>
      <c r="P3863" s="224"/>
      <c r="Q3863" s="224"/>
      <c r="R3863" s="224">
        <v>1</v>
      </c>
      <c r="S3863" s="224">
        <v>1</v>
      </c>
      <c r="T3863" s="223" t="s">
        <v>3879</v>
      </c>
      <c r="U3863" t="str">
        <f>VLOOKUP(T3863,[8]Votes!$A$1:$E$234,3,FALSE)</f>
        <v>009 Ministry of Internal Affairs</v>
      </c>
      <c r="V3863" s="162" t="s">
        <v>14362</v>
      </c>
      <c r="W3863" s="416">
        <v>1</v>
      </c>
      <c r="X3863" s="416">
        <v>1</v>
      </c>
      <c r="Y3863" s="416">
        <v>1</v>
      </c>
      <c r="Z3863" s="416">
        <v>1</v>
      </c>
      <c r="AA3863" s="416">
        <v>1</v>
      </c>
      <c r="AB3863" s="416">
        <v>0</v>
      </c>
      <c r="AC3863" s="150">
        <v>1</v>
      </c>
      <c r="AD3863" s="150">
        <v>1</v>
      </c>
      <c r="AE3863" s="49">
        <f t="shared" si="142"/>
        <v>0.875</v>
      </c>
      <c r="AF3863" s="190">
        <v>1</v>
      </c>
      <c r="AG3863" s="17">
        <v>0</v>
      </c>
      <c r="AH3863" s="190">
        <v>0</v>
      </c>
      <c r="AI3863" s="190">
        <v>0</v>
      </c>
      <c r="AJ3863" s="190">
        <v>0</v>
      </c>
      <c r="AK3863" s="493">
        <v>0.5</v>
      </c>
      <c r="AL3863" s="493">
        <v>0.5</v>
      </c>
      <c r="AM3863" s="17">
        <f t="shared" si="143"/>
        <v>1</v>
      </c>
      <c r="AN3863" s="162" t="s">
        <v>3879</v>
      </c>
      <c r="AO3863" s="162" t="s">
        <v>3881</v>
      </c>
    </row>
    <row r="3864" spans="1:41" s="162" customFormat="1" x14ac:dyDescent="0.3">
      <c r="A3864" s="205" t="s">
        <v>8321</v>
      </c>
      <c r="B3864" s="162" t="s">
        <v>8322</v>
      </c>
      <c r="C3864" s="168" t="s">
        <v>13277</v>
      </c>
      <c r="D3864" s="162" t="s">
        <v>13278</v>
      </c>
      <c r="E3864" s="168" t="s">
        <v>13279</v>
      </c>
      <c r="F3864" s="162" t="s">
        <v>13280</v>
      </c>
      <c r="G3864" s="168" t="s">
        <v>14341</v>
      </c>
      <c r="H3864" s="162" t="s">
        <v>14342</v>
      </c>
      <c r="K3864" s="162">
        <v>16111809</v>
      </c>
      <c r="L3864" s="162" t="s">
        <v>14365</v>
      </c>
      <c r="M3864" s="162" t="s">
        <v>14366</v>
      </c>
      <c r="O3864" s="492">
        <v>0.26</v>
      </c>
      <c r="P3864" s="492">
        <v>0.26</v>
      </c>
      <c r="Q3864" s="492">
        <v>0.46</v>
      </c>
      <c r="R3864" s="492"/>
      <c r="S3864" s="492"/>
      <c r="T3864" s="223" t="s">
        <v>3879</v>
      </c>
      <c r="U3864" t="str">
        <f>VLOOKUP(T3864,[8]Votes!$A$1:$E$234,3,FALSE)</f>
        <v>009 Ministry of Internal Affairs</v>
      </c>
      <c r="V3864" s="162" t="s">
        <v>14367</v>
      </c>
      <c r="W3864" s="416">
        <v>1</v>
      </c>
      <c r="X3864" s="416">
        <v>1</v>
      </c>
      <c r="Y3864" s="416">
        <v>1</v>
      </c>
      <c r="Z3864" s="416">
        <v>1</v>
      </c>
      <c r="AA3864" s="416">
        <v>1</v>
      </c>
      <c r="AB3864" s="416">
        <v>0</v>
      </c>
      <c r="AC3864" s="150">
        <v>1</v>
      </c>
      <c r="AD3864" s="150">
        <v>1</v>
      </c>
      <c r="AE3864" s="49">
        <f t="shared" si="142"/>
        <v>0.875</v>
      </c>
      <c r="AF3864" s="190">
        <v>1</v>
      </c>
      <c r="AG3864" s="17">
        <v>0</v>
      </c>
      <c r="AH3864" s="485">
        <v>1.3</v>
      </c>
      <c r="AI3864" s="485">
        <v>1.3</v>
      </c>
      <c r="AJ3864" s="485">
        <v>2.6</v>
      </c>
      <c r="AK3864" s="493" t="s">
        <v>14368</v>
      </c>
      <c r="AL3864" s="493" t="s">
        <v>14368</v>
      </c>
      <c r="AM3864" s="17">
        <f t="shared" si="143"/>
        <v>0</v>
      </c>
      <c r="AN3864" s="162" t="s">
        <v>3879</v>
      </c>
      <c r="AO3864" s="162" t="s">
        <v>3881</v>
      </c>
    </row>
    <row r="3865" spans="1:41" s="162" customFormat="1" x14ac:dyDescent="0.3">
      <c r="A3865" s="205" t="s">
        <v>8321</v>
      </c>
      <c r="B3865" s="162" t="s">
        <v>8322</v>
      </c>
      <c r="C3865" s="168" t="s">
        <v>13277</v>
      </c>
      <c r="D3865" s="162" t="s">
        <v>13278</v>
      </c>
      <c r="E3865" s="168" t="s">
        <v>13279</v>
      </c>
      <c r="F3865" s="162" t="s">
        <v>13280</v>
      </c>
      <c r="G3865" s="168" t="s">
        <v>14341</v>
      </c>
      <c r="H3865" s="162" t="s">
        <v>14342</v>
      </c>
      <c r="K3865" s="162">
        <v>16111810</v>
      </c>
      <c r="L3865" s="162" t="s">
        <v>14369</v>
      </c>
      <c r="M3865" s="162" t="s">
        <v>14370</v>
      </c>
      <c r="O3865" s="224"/>
      <c r="P3865" s="224"/>
      <c r="Q3865" s="224">
        <v>1</v>
      </c>
      <c r="R3865" s="224">
        <v>1</v>
      </c>
      <c r="S3865" s="224">
        <v>1</v>
      </c>
      <c r="T3865" s="223" t="s">
        <v>3879</v>
      </c>
      <c r="U3865" t="str">
        <f>VLOOKUP(T3865,[8]Votes!$A$1:$E$234,3,FALSE)</f>
        <v>009 Ministry of Internal Affairs</v>
      </c>
      <c r="V3865" s="162" t="s">
        <v>14371</v>
      </c>
      <c r="W3865" s="416">
        <v>1</v>
      </c>
      <c r="X3865" s="416">
        <v>1</v>
      </c>
      <c r="Y3865" s="416">
        <v>1</v>
      </c>
      <c r="Z3865" s="416">
        <v>1</v>
      </c>
      <c r="AA3865" s="416">
        <v>1</v>
      </c>
      <c r="AB3865" s="416">
        <v>0</v>
      </c>
      <c r="AC3865" s="150">
        <v>1</v>
      </c>
      <c r="AD3865" s="150">
        <v>1</v>
      </c>
      <c r="AE3865" s="49">
        <f t="shared" si="142"/>
        <v>0.875</v>
      </c>
      <c r="AF3865" s="190">
        <v>1</v>
      </c>
      <c r="AG3865" s="17">
        <v>0</v>
      </c>
      <c r="AH3865" s="190">
        <v>0</v>
      </c>
      <c r="AI3865" s="190">
        <v>0</v>
      </c>
      <c r="AJ3865" s="485">
        <v>0.3</v>
      </c>
      <c r="AK3865" s="493">
        <v>0.3</v>
      </c>
      <c r="AL3865" s="493">
        <v>0.3</v>
      </c>
      <c r="AM3865" s="17">
        <f t="shared" si="143"/>
        <v>0.6</v>
      </c>
      <c r="AN3865" s="162" t="s">
        <v>3879</v>
      </c>
      <c r="AO3865" s="162" t="s">
        <v>3881</v>
      </c>
    </row>
    <row r="3866" spans="1:41" s="162" customFormat="1" x14ac:dyDescent="0.3">
      <c r="A3866" s="205" t="s">
        <v>8321</v>
      </c>
      <c r="B3866" s="162" t="s">
        <v>8322</v>
      </c>
      <c r="C3866" s="168" t="s">
        <v>13277</v>
      </c>
      <c r="D3866" s="162" t="s">
        <v>13278</v>
      </c>
      <c r="E3866" s="168" t="s">
        <v>13279</v>
      </c>
      <c r="F3866" s="162" t="s">
        <v>13280</v>
      </c>
      <c r="G3866" s="168" t="s">
        <v>14341</v>
      </c>
      <c r="H3866" s="162" t="s">
        <v>14342</v>
      </c>
      <c r="K3866" s="162">
        <v>16111811</v>
      </c>
      <c r="L3866" s="162" t="s">
        <v>14372</v>
      </c>
      <c r="M3866" s="162" t="s">
        <v>14373</v>
      </c>
      <c r="O3866" s="224">
        <v>4</v>
      </c>
      <c r="P3866" s="224">
        <v>4</v>
      </c>
      <c r="Q3866" s="224">
        <v>4</v>
      </c>
      <c r="R3866" s="224">
        <v>4</v>
      </c>
      <c r="S3866" s="224">
        <v>4</v>
      </c>
      <c r="T3866" s="223" t="s">
        <v>3879</v>
      </c>
      <c r="U3866" t="str">
        <f>VLOOKUP(T3866,[8]Votes!$A$1:$E$234,3,FALSE)</f>
        <v>009 Ministry of Internal Affairs</v>
      </c>
      <c r="V3866" s="162" t="s">
        <v>14374</v>
      </c>
      <c r="W3866" s="416">
        <v>1</v>
      </c>
      <c r="X3866" s="416">
        <v>1</v>
      </c>
      <c r="Y3866" s="416">
        <v>1</v>
      </c>
      <c r="Z3866" s="416">
        <v>1</v>
      </c>
      <c r="AA3866" s="416">
        <v>1</v>
      </c>
      <c r="AB3866" s="416">
        <v>0</v>
      </c>
      <c r="AC3866" s="150">
        <v>1</v>
      </c>
      <c r="AD3866" s="150">
        <v>1</v>
      </c>
      <c r="AE3866" s="49">
        <f t="shared" si="142"/>
        <v>0.875</v>
      </c>
      <c r="AF3866" s="190">
        <v>1</v>
      </c>
      <c r="AG3866" s="17">
        <v>0</v>
      </c>
      <c r="AH3866" s="485">
        <v>0.56000000000000005</v>
      </c>
      <c r="AI3866" s="485">
        <v>0.56000000000000005</v>
      </c>
      <c r="AJ3866" s="485">
        <v>0.56000000000000005</v>
      </c>
      <c r="AK3866" s="493">
        <v>0.56000000000000005</v>
      </c>
      <c r="AL3866" s="493">
        <v>0.56000000000000005</v>
      </c>
      <c r="AM3866" s="17">
        <f t="shared" si="143"/>
        <v>1.1200000000000001</v>
      </c>
      <c r="AN3866" s="162" t="s">
        <v>3879</v>
      </c>
      <c r="AO3866" s="162" t="s">
        <v>3881</v>
      </c>
    </row>
    <row r="3867" spans="1:41" s="162" customFormat="1" x14ac:dyDescent="0.3">
      <c r="A3867" s="205" t="s">
        <v>8321</v>
      </c>
      <c r="B3867" s="162" t="s">
        <v>8322</v>
      </c>
      <c r="C3867" s="168" t="s">
        <v>13277</v>
      </c>
      <c r="D3867" s="162" t="s">
        <v>13278</v>
      </c>
      <c r="E3867" s="168" t="s">
        <v>13279</v>
      </c>
      <c r="F3867" s="162" t="s">
        <v>13280</v>
      </c>
      <c r="G3867" s="168" t="s">
        <v>13434</v>
      </c>
      <c r="H3867" s="1" t="s">
        <v>13435</v>
      </c>
      <c r="K3867" s="168">
        <v>16111302</v>
      </c>
      <c r="L3867" s="162" t="s">
        <v>14375</v>
      </c>
      <c r="M3867" s="162" t="s">
        <v>14376</v>
      </c>
      <c r="O3867" s="224"/>
      <c r="P3867" s="224" t="s">
        <v>14377</v>
      </c>
      <c r="Q3867" s="224" t="s">
        <v>14378</v>
      </c>
      <c r="R3867" s="224" t="s">
        <v>14378</v>
      </c>
      <c r="S3867" s="224" t="s">
        <v>14378</v>
      </c>
      <c r="T3867" s="223" t="s">
        <v>3879</v>
      </c>
      <c r="U3867" t="str">
        <f>VLOOKUP(T3867,[8]Votes!$A$1:$E$234,3,FALSE)</f>
        <v>009 Ministry of Internal Affairs</v>
      </c>
      <c r="V3867" s="162" t="s">
        <v>14379</v>
      </c>
      <c r="W3867" s="416">
        <v>1</v>
      </c>
      <c r="X3867" s="416">
        <v>1</v>
      </c>
      <c r="Y3867" s="416">
        <v>1</v>
      </c>
      <c r="Z3867" s="416">
        <v>1</v>
      </c>
      <c r="AA3867" s="416">
        <v>1</v>
      </c>
      <c r="AB3867" s="416">
        <v>0</v>
      </c>
      <c r="AC3867" s="150">
        <v>1</v>
      </c>
      <c r="AD3867" s="150">
        <v>1</v>
      </c>
      <c r="AE3867" s="49">
        <f t="shared" si="142"/>
        <v>0.875</v>
      </c>
      <c r="AF3867" s="190">
        <v>1</v>
      </c>
      <c r="AG3867" s="17">
        <v>0</v>
      </c>
      <c r="AH3867" s="190">
        <v>0</v>
      </c>
      <c r="AI3867" s="190">
        <v>0</v>
      </c>
      <c r="AJ3867" s="485">
        <v>5</v>
      </c>
      <c r="AK3867" s="493" t="s">
        <v>14368</v>
      </c>
      <c r="AL3867" s="493" t="s">
        <v>14368</v>
      </c>
      <c r="AM3867" s="17">
        <f t="shared" si="143"/>
        <v>0</v>
      </c>
      <c r="AN3867" s="162" t="s">
        <v>3879</v>
      </c>
      <c r="AO3867" s="162" t="s">
        <v>3881</v>
      </c>
    </row>
    <row r="3868" spans="1:41" s="162" customFormat="1" x14ac:dyDescent="0.3">
      <c r="A3868" s="205" t="s">
        <v>8321</v>
      </c>
      <c r="B3868" s="162" t="s">
        <v>8322</v>
      </c>
      <c r="C3868" s="168" t="s">
        <v>13277</v>
      </c>
      <c r="D3868" s="162" t="s">
        <v>13278</v>
      </c>
      <c r="E3868" s="168" t="s">
        <v>13279</v>
      </c>
      <c r="F3868" s="162" t="s">
        <v>13280</v>
      </c>
      <c r="G3868" s="168" t="s">
        <v>13434</v>
      </c>
      <c r="H3868" s="1" t="s">
        <v>13435</v>
      </c>
      <c r="K3868" s="168">
        <v>16111303</v>
      </c>
      <c r="L3868" s="162" t="s">
        <v>14380</v>
      </c>
      <c r="M3868" s="162" t="s">
        <v>14381</v>
      </c>
      <c r="O3868" s="224"/>
      <c r="P3868" s="492"/>
      <c r="Q3868" s="492"/>
      <c r="R3868" s="492"/>
      <c r="S3868" s="492"/>
      <c r="T3868" s="223" t="s">
        <v>3879</v>
      </c>
      <c r="U3868" t="str">
        <f>VLOOKUP(T3868,[8]Votes!$A$1:$E$234,3,FALSE)</f>
        <v>009 Ministry of Internal Affairs</v>
      </c>
      <c r="V3868" s="162" t="s">
        <v>14382</v>
      </c>
      <c r="W3868" s="416">
        <v>1</v>
      </c>
      <c r="X3868" s="416">
        <v>1</v>
      </c>
      <c r="Y3868" s="416">
        <v>1</v>
      </c>
      <c r="Z3868" s="416">
        <v>1</v>
      </c>
      <c r="AA3868" s="416">
        <v>1</v>
      </c>
      <c r="AB3868" s="416">
        <v>0</v>
      </c>
      <c r="AC3868" s="150">
        <v>1</v>
      </c>
      <c r="AD3868" s="150">
        <v>1</v>
      </c>
      <c r="AE3868" s="49">
        <f t="shared" si="142"/>
        <v>0.875</v>
      </c>
      <c r="AF3868" s="190">
        <v>1</v>
      </c>
      <c r="AG3868" s="17">
        <v>0</v>
      </c>
      <c r="AH3868" s="190">
        <v>0</v>
      </c>
      <c r="AI3868" s="190">
        <v>0</v>
      </c>
      <c r="AJ3868" s="485">
        <v>5</v>
      </c>
      <c r="AK3868" s="493" t="s">
        <v>14368</v>
      </c>
      <c r="AL3868" s="493" t="s">
        <v>14368</v>
      </c>
      <c r="AM3868" s="17">
        <f t="shared" si="143"/>
        <v>0</v>
      </c>
      <c r="AN3868" s="162" t="s">
        <v>3879</v>
      </c>
      <c r="AO3868" s="162" t="s">
        <v>3881</v>
      </c>
    </row>
    <row r="3869" spans="1:41" s="162" customFormat="1" x14ac:dyDescent="0.3">
      <c r="A3869" s="205" t="s">
        <v>8321</v>
      </c>
      <c r="B3869" s="162" t="s">
        <v>8322</v>
      </c>
      <c r="C3869" s="168" t="s">
        <v>13277</v>
      </c>
      <c r="D3869" s="162" t="s">
        <v>13278</v>
      </c>
      <c r="E3869" s="168" t="s">
        <v>13279</v>
      </c>
      <c r="F3869" s="162" t="s">
        <v>13280</v>
      </c>
      <c r="G3869" s="168" t="s">
        <v>13434</v>
      </c>
      <c r="H3869" s="1" t="s">
        <v>13435</v>
      </c>
      <c r="K3869" s="168">
        <v>16111304</v>
      </c>
      <c r="L3869" s="162" t="s">
        <v>14383</v>
      </c>
      <c r="M3869" s="162" t="s">
        <v>14384</v>
      </c>
      <c r="N3869" s="162">
        <v>21</v>
      </c>
      <c r="O3869" s="224">
        <v>21</v>
      </c>
      <c r="P3869" s="224">
        <v>14</v>
      </c>
      <c r="Q3869" s="224">
        <v>14</v>
      </c>
      <c r="R3869" s="224">
        <v>14</v>
      </c>
      <c r="S3869" s="224">
        <v>14</v>
      </c>
      <c r="T3869" s="223" t="s">
        <v>3879</v>
      </c>
      <c r="U3869" t="str">
        <f>VLOOKUP(T3869,[8]Votes!$A$1:$E$234,3,FALSE)</f>
        <v>009 Ministry of Internal Affairs</v>
      </c>
      <c r="V3869" s="162" t="s">
        <v>14385</v>
      </c>
      <c r="W3869" s="416">
        <v>1</v>
      </c>
      <c r="X3869" s="416">
        <v>1</v>
      </c>
      <c r="Y3869" s="416">
        <v>1</v>
      </c>
      <c r="Z3869" s="416">
        <v>1</v>
      </c>
      <c r="AA3869" s="416">
        <v>1</v>
      </c>
      <c r="AB3869" s="416">
        <v>0</v>
      </c>
      <c r="AC3869" s="150">
        <v>1</v>
      </c>
      <c r="AD3869" s="150">
        <v>1</v>
      </c>
      <c r="AE3869" s="49">
        <f t="shared" si="142"/>
        <v>0.875</v>
      </c>
      <c r="AF3869" s="190">
        <v>1</v>
      </c>
      <c r="AG3869" s="17">
        <v>0</v>
      </c>
      <c r="AH3869" s="485">
        <v>1</v>
      </c>
      <c r="AI3869" s="485">
        <v>2</v>
      </c>
      <c r="AJ3869" s="485">
        <v>2</v>
      </c>
      <c r="AK3869" s="493">
        <v>2</v>
      </c>
      <c r="AL3869" s="493">
        <v>2</v>
      </c>
      <c r="AM3869" s="17">
        <f t="shared" si="143"/>
        <v>4</v>
      </c>
      <c r="AN3869" s="162" t="s">
        <v>3879</v>
      </c>
      <c r="AO3869" s="162" t="s">
        <v>3881</v>
      </c>
    </row>
    <row r="3870" spans="1:41" s="162" customFormat="1" x14ac:dyDescent="0.3">
      <c r="A3870" s="205" t="s">
        <v>8321</v>
      </c>
      <c r="B3870" s="162" t="s">
        <v>8322</v>
      </c>
      <c r="C3870" s="168" t="s">
        <v>13452</v>
      </c>
      <c r="D3870" s="162" t="s">
        <v>13453</v>
      </c>
      <c r="E3870" s="406" t="s">
        <v>13454</v>
      </c>
      <c r="F3870" s="162" t="s">
        <v>13455</v>
      </c>
      <c r="G3870" s="162">
        <v>162201</v>
      </c>
      <c r="H3870" s="162" t="s">
        <v>13456</v>
      </c>
      <c r="I3870" s="162" t="s">
        <v>14386</v>
      </c>
      <c r="J3870" s="162" t="s">
        <v>14387</v>
      </c>
      <c r="K3870" s="406" t="s">
        <v>14388</v>
      </c>
      <c r="L3870" s="162" t="s">
        <v>14389</v>
      </c>
      <c r="M3870" s="162" t="s">
        <v>14390</v>
      </c>
      <c r="O3870" s="229">
        <v>2420</v>
      </c>
      <c r="P3870" s="229">
        <v>605</v>
      </c>
      <c r="Q3870" s="509">
        <v>907.5</v>
      </c>
      <c r="R3870" s="509">
        <v>1452</v>
      </c>
      <c r="S3870" s="509">
        <v>1669.8</v>
      </c>
      <c r="T3870" s="223" t="s">
        <v>14391</v>
      </c>
      <c r="U3870" t="str">
        <f>VLOOKUP(T3870,[8]Votes!$A$1:$E$234,3,FALSE)</f>
        <v>102 Electoral Commission</v>
      </c>
      <c r="V3870" s="162" t="s">
        <v>14392</v>
      </c>
      <c r="W3870" s="388">
        <v>1</v>
      </c>
      <c r="X3870" s="388">
        <v>1</v>
      </c>
      <c r="Y3870" s="388">
        <v>0</v>
      </c>
      <c r="Z3870" s="388">
        <v>1</v>
      </c>
      <c r="AA3870" s="388">
        <v>1</v>
      </c>
      <c r="AB3870" s="388">
        <v>1</v>
      </c>
      <c r="AC3870" s="150">
        <v>1</v>
      </c>
      <c r="AD3870" s="150">
        <v>1</v>
      </c>
      <c r="AE3870" s="49">
        <f t="shared" si="142"/>
        <v>0.875</v>
      </c>
      <c r="AF3870" s="485">
        <v>0</v>
      </c>
      <c r="AG3870" s="17">
        <v>0</v>
      </c>
      <c r="AH3870" s="485">
        <v>4.0999999999999996</v>
      </c>
      <c r="AI3870" s="485">
        <v>1.0249999999999999</v>
      </c>
      <c r="AJ3870" s="485">
        <v>1.5374999999999999</v>
      </c>
      <c r="AK3870" s="493">
        <v>2.46</v>
      </c>
      <c r="AL3870" s="493">
        <v>2.8289999999999997</v>
      </c>
      <c r="AM3870" s="17">
        <f t="shared" si="143"/>
        <v>5.2889999999999997</v>
      </c>
      <c r="AN3870" s="162" t="s">
        <v>14391</v>
      </c>
      <c r="AO3870" s="162" t="s">
        <v>14393</v>
      </c>
    </row>
    <row r="3871" spans="1:41" s="162" customFormat="1" x14ac:dyDescent="0.3">
      <c r="A3871" s="205" t="s">
        <v>8321</v>
      </c>
      <c r="B3871" s="162" t="s">
        <v>8322</v>
      </c>
      <c r="C3871" s="168" t="s">
        <v>13452</v>
      </c>
      <c r="D3871" s="162" t="s">
        <v>13453</v>
      </c>
      <c r="E3871" s="406" t="s">
        <v>13454</v>
      </c>
      <c r="F3871" s="162" t="s">
        <v>13455</v>
      </c>
      <c r="G3871" s="162">
        <v>162201</v>
      </c>
      <c r="H3871" s="162" t="s">
        <v>13456</v>
      </c>
      <c r="I3871" s="162" t="s">
        <v>14386</v>
      </c>
      <c r="J3871" s="162" t="s">
        <v>14387</v>
      </c>
      <c r="K3871" s="406" t="s">
        <v>14388</v>
      </c>
      <c r="L3871" s="162" t="s">
        <v>14389</v>
      </c>
      <c r="M3871" s="162" t="s">
        <v>14394</v>
      </c>
      <c r="O3871" s="229">
        <v>9098</v>
      </c>
      <c r="P3871" s="229">
        <v>2274.5</v>
      </c>
      <c r="Q3871" s="509">
        <v>3411.75</v>
      </c>
      <c r="R3871" s="509">
        <v>5458.8</v>
      </c>
      <c r="S3871" s="509">
        <v>6277.62</v>
      </c>
      <c r="T3871" s="223" t="s">
        <v>14391</v>
      </c>
      <c r="U3871" t="str">
        <f>VLOOKUP(T3871,[8]Votes!$A$1:$E$234,3,FALSE)</f>
        <v>102 Electoral Commission</v>
      </c>
      <c r="V3871" s="162" t="s">
        <v>14395</v>
      </c>
      <c r="W3871" s="388">
        <v>1</v>
      </c>
      <c r="X3871" s="388">
        <v>1</v>
      </c>
      <c r="Y3871" s="388">
        <v>0</v>
      </c>
      <c r="Z3871" s="388">
        <v>1</v>
      </c>
      <c r="AA3871" s="388">
        <v>1</v>
      </c>
      <c r="AB3871" s="388">
        <v>1</v>
      </c>
      <c r="AC3871" s="150">
        <v>1</v>
      </c>
      <c r="AD3871" s="150">
        <v>1</v>
      </c>
      <c r="AE3871" s="49">
        <f t="shared" si="142"/>
        <v>0.875</v>
      </c>
      <c r="AF3871" s="485">
        <v>0</v>
      </c>
      <c r="AG3871" s="17">
        <v>0</v>
      </c>
      <c r="AH3871" s="485">
        <v>2.33</v>
      </c>
      <c r="AI3871" s="485">
        <v>0.58250000000000002</v>
      </c>
      <c r="AJ3871" s="485">
        <v>0.87375000000000003</v>
      </c>
      <c r="AK3871" s="493">
        <v>1.3980000000000001</v>
      </c>
      <c r="AL3871" s="493">
        <v>1.6077000000000001</v>
      </c>
      <c r="AM3871" s="17">
        <f t="shared" si="143"/>
        <v>3.0057</v>
      </c>
      <c r="AN3871" s="162" t="s">
        <v>14391</v>
      </c>
      <c r="AO3871" s="162" t="s">
        <v>14393</v>
      </c>
    </row>
    <row r="3872" spans="1:41" s="162" customFormat="1" x14ac:dyDescent="0.3">
      <c r="A3872" s="205" t="s">
        <v>8321</v>
      </c>
      <c r="B3872" s="162" t="s">
        <v>8322</v>
      </c>
      <c r="C3872" s="168" t="s">
        <v>13452</v>
      </c>
      <c r="D3872" s="162" t="s">
        <v>13453</v>
      </c>
      <c r="E3872" s="406" t="s">
        <v>13454</v>
      </c>
      <c r="F3872" s="162" t="s">
        <v>13455</v>
      </c>
      <c r="G3872" s="162">
        <v>162201</v>
      </c>
      <c r="H3872" s="162" t="s">
        <v>13456</v>
      </c>
      <c r="I3872" s="162" t="s">
        <v>14386</v>
      </c>
      <c r="J3872" s="162" t="s">
        <v>14387</v>
      </c>
      <c r="K3872" s="406" t="s">
        <v>14388</v>
      </c>
      <c r="L3872" s="162" t="s">
        <v>14389</v>
      </c>
      <c r="M3872" s="162" t="s">
        <v>14396</v>
      </c>
      <c r="O3872" s="229">
        <v>18</v>
      </c>
      <c r="P3872" s="229">
        <v>4.5</v>
      </c>
      <c r="Q3872" s="509">
        <v>6.75</v>
      </c>
      <c r="R3872" s="509">
        <v>10.799999999999999</v>
      </c>
      <c r="S3872" s="509">
        <v>12.419999999999998</v>
      </c>
      <c r="T3872" s="223" t="s">
        <v>14391</v>
      </c>
      <c r="U3872" t="str">
        <f>VLOOKUP(T3872,[8]Votes!$A$1:$E$234,3,FALSE)</f>
        <v>102 Electoral Commission</v>
      </c>
      <c r="V3872" s="162" t="s">
        <v>14397</v>
      </c>
      <c r="W3872" s="388">
        <v>1</v>
      </c>
      <c r="X3872" s="388">
        <v>1</v>
      </c>
      <c r="Y3872" s="388">
        <v>0</v>
      </c>
      <c r="Z3872" s="388">
        <v>1</v>
      </c>
      <c r="AA3872" s="388">
        <v>1</v>
      </c>
      <c r="AB3872" s="388">
        <v>0</v>
      </c>
      <c r="AC3872" s="150">
        <v>1</v>
      </c>
      <c r="AD3872" s="150">
        <v>1</v>
      </c>
      <c r="AE3872" s="49">
        <f t="shared" si="142"/>
        <v>0.75</v>
      </c>
      <c r="AF3872" s="485">
        <v>0</v>
      </c>
      <c r="AG3872" s="17">
        <v>0</v>
      </c>
      <c r="AH3872" s="485">
        <v>4.26</v>
      </c>
      <c r="AI3872" s="485">
        <v>1.0649999999999999</v>
      </c>
      <c r="AJ3872" s="485">
        <v>1.5974999999999999</v>
      </c>
      <c r="AK3872" s="493">
        <v>2.5559999999999996</v>
      </c>
      <c r="AL3872" s="493">
        <v>2.9393999999999991</v>
      </c>
      <c r="AM3872" s="17">
        <f t="shared" si="143"/>
        <v>5.4953999999999983</v>
      </c>
      <c r="AN3872" s="162" t="s">
        <v>14391</v>
      </c>
      <c r="AO3872" s="162" t="s">
        <v>14393</v>
      </c>
    </row>
    <row r="3873" spans="1:42" s="162" customFormat="1" x14ac:dyDescent="0.3">
      <c r="A3873" s="205" t="s">
        <v>8321</v>
      </c>
      <c r="B3873" s="162" t="s">
        <v>8322</v>
      </c>
      <c r="C3873" s="168" t="s">
        <v>13452</v>
      </c>
      <c r="D3873" s="162" t="s">
        <v>13453</v>
      </c>
      <c r="E3873" s="406" t="s">
        <v>13454</v>
      </c>
      <c r="F3873" s="162" t="s">
        <v>13455</v>
      </c>
      <c r="G3873" s="162">
        <v>162201</v>
      </c>
      <c r="H3873" s="162" t="s">
        <v>13456</v>
      </c>
      <c r="I3873" s="162" t="s">
        <v>14386</v>
      </c>
      <c r="J3873" s="162" t="s">
        <v>14387</v>
      </c>
      <c r="K3873" s="406" t="s">
        <v>14388</v>
      </c>
      <c r="L3873" s="162" t="s">
        <v>14389</v>
      </c>
      <c r="M3873" s="162" t="s">
        <v>14398</v>
      </c>
      <c r="O3873" s="224">
        <v>440</v>
      </c>
      <c r="P3873" s="229">
        <v>110</v>
      </c>
      <c r="Q3873" s="509">
        <v>165</v>
      </c>
      <c r="R3873" s="509">
        <v>176</v>
      </c>
      <c r="S3873" s="509">
        <v>202.39999999999998</v>
      </c>
      <c r="T3873" s="223" t="s">
        <v>14391</v>
      </c>
      <c r="U3873" t="str">
        <f>VLOOKUP(T3873,[8]Votes!$A$1:$E$234,3,FALSE)</f>
        <v>102 Electoral Commission</v>
      </c>
      <c r="V3873" s="162" t="s">
        <v>14399</v>
      </c>
      <c r="W3873" s="388">
        <v>1</v>
      </c>
      <c r="X3873" s="388">
        <v>1</v>
      </c>
      <c r="Y3873" s="388">
        <v>0</v>
      </c>
      <c r="Z3873" s="388">
        <v>1</v>
      </c>
      <c r="AA3873" s="388">
        <v>1</v>
      </c>
      <c r="AB3873" s="388">
        <v>1</v>
      </c>
      <c r="AC3873" s="150">
        <v>1</v>
      </c>
      <c r="AD3873" s="150">
        <v>1</v>
      </c>
      <c r="AE3873" s="49">
        <f t="shared" si="142"/>
        <v>0.875</v>
      </c>
      <c r="AF3873" s="485">
        <v>0</v>
      </c>
      <c r="AG3873" s="17">
        <v>0</v>
      </c>
      <c r="AH3873" s="485">
        <v>1.62</v>
      </c>
      <c r="AI3873" s="485">
        <v>0.40500000000000003</v>
      </c>
      <c r="AJ3873" s="485">
        <v>0.60750000000000004</v>
      </c>
      <c r="AK3873" s="493">
        <v>0.64800000000000002</v>
      </c>
      <c r="AL3873" s="493">
        <v>0.74519999999999997</v>
      </c>
      <c r="AM3873" s="17">
        <f t="shared" si="143"/>
        <v>1.3932</v>
      </c>
      <c r="AN3873" s="162" t="s">
        <v>14391</v>
      </c>
      <c r="AO3873" s="162" t="s">
        <v>14393</v>
      </c>
    </row>
    <row r="3874" spans="1:42" s="162" customFormat="1" x14ac:dyDescent="0.3">
      <c r="A3874" s="205" t="s">
        <v>8321</v>
      </c>
      <c r="B3874" s="162" t="s">
        <v>8322</v>
      </c>
      <c r="C3874" s="168" t="s">
        <v>13452</v>
      </c>
      <c r="D3874" s="162" t="s">
        <v>13453</v>
      </c>
      <c r="E3874" s="406" t="s">
        <v>13454</v>
      </c>
      <c r="F3874" s="162" t="s">
        <v>13455</v>
      </c>
      <c r="G3874" s="162">
        <v>162201</v>
      </c>
      <c r="H3874" s="162" t="s">
        <v>13456</v>
      </c>
      <c r="I3874" s="162" t="s">
        <v>14386</v>
      </c>
      <c r="J3874" s="162" t="s">
        <v>14387</v>
      </c>
      <c r="K3874" s="406" t="s">
        <v>14388</v>
      </c>
      <c r="L3874" s="162" t="s">
        <v>14389</v>
      </c>
      <c r="M3874" s="162" t="s">
        <v>14400</v>
      </c>
      <c r="O3874" s="229">
        <v>10593</v>
      </c>
      <c r="P3874" s="229">
        <v>2648.25</v>
      </c>
      <c r="Q3874" s="509">
        <v>3972.375</v>
      </c>
      <c r="R3874" s="509">
        <v>6355.8</v>
      </c>
      <c r="S3874" s="509">
        <v>7309.17</v>
      </c>
      <c r="T3874" s="223" t="s">
        <v>14391</v>
      </c>
      <c r="U3874" t="str">
        <f>VLOOKUP(T3874,[8]Votes!$A$1:$E$234,3,FALSE)</f>
        <v>102 Electoral Commission</v>
      </c>
      <c r="V3874" s="162" t="s">
        <v>14401</v>
      </c>
      <c r="W3874" s="388">
        <v>1</v>
      </c>
      <c r="X3874" s="388">
        <v>1</v>
      </c>
      <c r="Y3874" s="388">
        <v>0</v>
      </c>
      <c r="Z3874" s="388">
        <v>1</v>
      </c>
      <c r="AA3874" s="388">
        <v>1</v>
      </c>
      <c r="AB3874" s="388">
        <v>0</v>
      </c>
      <c r="AC3874" s="150">
        <v>1</v>
      </c>
      <c r="AD3874" s="150">
        <v>1</v>
      </c>
      <c r="AE3874" s="49">
        <f t="shared" si="142"/>
        <v>0.75</v>
      </c>
      <c r="AF3874" s="485">
        <v>0</v>
      </c>
      <c r="AG3874" s="17">
        <v>0</v>
      </c>
      <c r="AH3874" s="485">
        <v>3.09</v>
      </c>
      <c r="AI3874" s="485">
        <v>0.77249999999999996</v>
      </c>
      <c r="AJ3874" s="485">
        <v>1.1587499999999999</v>
      </c>
      <c r="AK3874" s="493">
        <v>1.8540000000000001</v>
      </c>
      <c r="AL3874" s="493">
        <v>2.1320999999999999</v>
      </c>
      <c r="AM3874" s="17">
        <f t="shared" si="143"/>
        <v>3.9861</v>
      </c>
      <c r="AN3874" s="162" t="s">
        <v>14391</v>
      </c>
      <c r="AO3874" s="162" t="s">
        <v>14393</v>
      </c>
    </row>
    <row r="3875" spans="1:42" s="162" customFormat="1" x14ac:dyDescent="0.3">
      <c r="A3875" s="205" t="s">
        <v>8321</v>
      </c>
      <c r="B3875" s="162" t="s">
        <v>8322</v>
      </c>
      <c r="C3875" s="168" t="s">
        <v>13452</v>
      </c>
      <c r="D3875" s="162" t="s">
        <v>13453</v>
      </c>
      <c r="E3875" s="406" t="s">
        <v>13454</v>
      </c>
      <c r="F3875" s="162" t="s">
        <v>13455</v>
      </c>
      <c r="G3875" s="162">
        <v>162201</v>
      </c>
      <c r="H3875" s="162" t="s">
        <v>13456</v>
      </c>
      <c r="I3875" s="162" t="s">
        <v>14386</v>
      </c>
      <c r="J3875" s="162" t="s">
        <v>14387</v>
      </c>
      <c r="K3875" s="406" t="s">
        <v>14388</v>
      </c>
      <c r="L3875" s="162" t="s">
        <v>14389</v>
      </c>
      <c r="M3875" s="162" t="s">
        <v>14402</v>
      </c>
      <c r="O3875" s="229">
        <v>10593</v>
      </c>
      <c r="P3875" s="229">
        <v>2648.25</v>
      </c>
      <c r="Q3875" s="509">
        <v>3972.375</v>
      </c>
      <c r="R3875" s="509">
        <v>6355.8</v>
      </c>
      <c r="S3875" s="509">
        <v>7309.17</v>
      </c>
      <c r="T3875" s="223" t="s">
        <v>14391</v>
      </c>
      <c r="U3875" t="str">
        <f>VLOOKUP(T3875,[8]Votes!$A$1:$E$234,3,FALSE)</f>
        <v>102 Electoral Commission</v>
      </c>
      <c r="V3875" s="162" t="s">
        <v>14403</v>
      </c>
      <c r="W3875" s="388">
        <v>1</v>
      </c>
      <c r="X3875" s="388">
        <v>1</v>
      </c>
      <c r="Y3875" s="388">
        <v>0</v>
      </c>
      <c r="Z3875" s="388">
        <v>1</v>
      </c>
      <c r="AA3875" s="388">
        <v>1</v>
      </c>
      <c r="AB3875" s="388">
        <v>0</v>
      </c>
      <c r="AC3875" s="150">
        <v>1</v>
      </c>
      <c r="AD3875" s="150">
        <v>1</v>
      </c>
      <c r="AE3875" s="49">
        <f t="shared" si="142"/>
        <v>0.75</v>
      </c>
      <c r="AF3875" s="485">
        <v>0</v>
      </c>
      <c r="AG3875" s="17">
        <v>0</v>
      </c>
      <c r="AH3875" s="485">
        <v>1.377</v>
      </c>
      <c r="AI3875" s="485">
        <v>0.34425</v>
      </c>
      <c r="AJ3875" s="485">
        <v>0.51637500000000003</v>
      </c>
      <c r="AK3875" s="493">
        <v>0.82620000000000005</v>
      </c>
      <c r="AL3875" s="493">
        <v>0.95013000000000003</v>
      </c>
      <c r="AM3875" s="17">
        <f t="shared" si="143"/>
        <v>1.7763300000000002</v>
      </c>
      <c r="AN3875" s="162" t="s">
        <v>14391</v>
      </c>
      <c r="AO3875" s="162" t="s">
        <v>14393</v>
      </c>
    </row>
    <row r="3876" spans="1:42" s="162" customFormat="1" x14ac:dyDescent="0.3">
      <c r="A3876" s="205" t="s">
        <v>8321</v>
      </c>
      <c r="B3876" s="162" t="s">
        <v>8322</v>
      </c>
      <c r="C3876" s="168" t="s">
        <v>13452</v>
      </c>
      <c r="D3876" s="162" t="s">
        <v>13453</v>
      </c>
      <c r="E3876" s="406" t="s">
        <v>13454</v>
      </c>
      <c r="F3876" s="162" t="s">
        <v>13455</v>
      </c>
      <c r="G3876" s="162">
        <v>162201</v>
      </c>
      <c r="H3876" s="162" t="s">
        <v>13456</v>
      </c>
      <c r="I3876" s="162" t="s">
        <v>14386</v>
      </c>
      <c r="J3876" s="162" t="s">
        <v>14387</v>
      </c>
      <c r="K3876" s="406" t="s">
        <v>14388</v>
      </c>
      <c r="L3876" s="162" t="s">
        <v>14389</v>
      </c>
      <c r="M3876" s="162" t="s">
        <v>14404</v>
      </c>
      <c r="O3876" s="229">
        <v>423000</v>
      </c>
      <c r="P3876" s="229">
        <v>105750</v>
      </c>
      <c r="Q3876" s="509">
        <v>158625</v>
      </c>
      <c r="R3876" s="509">
        <v>253800</v>
      </c>
      <c r="S3876" s="509">
        <v>291870</v>
      </c>
      <c r="T3876" s="223" t="s">
        <v>14391</v>
      </c>
      <c r="U3876" t="str">
        <f>VLOOKUP(T3876,[8]Votes!$A$1:$E$234,3,FALSE)</f>
        <v>102 Electoral Commission</v>
      </c>
      <c r="V3876" s="162" t="s">
        <v>14405</v>
      </c>
      <c r="W3876" s="388">
        <v>1</v>
      </c>
      <c r="X3876" s="388">
        <v>1</v>
      </c>
      <c r="Y3876" s="388">
        <v>0</v>
      </c>
      <c r="Z3876" s="388">
        <v>1</v>
      </c>
      <c r="AA3876" s="388">
        <v>1</v>
      </c>
      <c r="AB3876" s="388">
        <v>1</v>
      </c>
      <c r="AC3876" s="150">
        <v>1</v>
      </c>
      <c r="AD3876" s="150">
        <v>1</v>
      </c>
      <c r="AE3876" s="49">
        <f t="shared" si="142"/>
        <v>0.875</v>
      </c>
      <c r="AF3876" s="485">
        <v>0</v>
      </c>
      <c r="AG3876" s="17">
        <v>0</v>
      </c>
      <c r="AH3876" s="485">
        <v>2.57</v>
      </c>
      <c r="AI3876" s="485">
        <v>0.64249999999999996</v>
      </c>
      <c r="AJ3876" s="485">
        <v>0.96374999999999988</v>
      </c>
      <c r="AK3876" s="493">
        <v>1.5419999999999998</v>
      </c>
      <c r="AL3876" s="493">
        <v>1.7732999999999997</v>
      </c>
      <c r="AM3876" s="17">
        <f t="shared" si="143"/>
        <v>3.3152999999999997</v>
      </c>
      <c r="AN3876" s="162" t="s">
        <v>14391</v>
      </c>
      <c r="AO3876" s="162" t="s">
        <v>14393</v>
      </c>
    </row>
    <row r="3877" spans="1:42" s="162" customFormat="1" x14ac:dyDescent="0.3">
      <c r="A3877" s="205" t="s">
        <v>8321</v>
      </c>
      <c r="B3877" s="162" t="s">
        <v>8322</v>
      </c>
      <c r="C3877" s="168" t="s">
        <v>13452</v>
      </c>
      <c r="D3877" s="162" t="s">
        <v>13453</v>
      </c>
      <c r="E3877" s="406" t="s">
        <v>13454</v>
      </c>
      <c r="F3877" s="162" t="s">
        <v>13455</v>
      </c>
      <c r="G3877" s="162">
        <v>162201</v>
      </c>
      <c r="H3877" s="162" t="s">
        <v>13456</v>
      </c>
      <c r="I3877" s="162" t="s">
        <v>14386</v>
      </c>
      <c r="J3877" s="162" t="s">
        <v>14387</v>
      </c>
      <c r="K3877" s="406" t="s">
        <v>14388</v>
      </c>
      <c r="L3877" s="162" t="s">
        <v>14389</v>
      </c>
      <c r="M3877" s="162" t="s">
        <v>14406</v>
      </c>
      <c r="O3877" s="229">
        <v>13</v>
      </c>
      <c r="P3877" s="229">
        <v>3.25</v>
      </c>
      <c r="Q3877" s="509">
        <v>4.875</v>
      </c>
      <c r="R3877" s="509">
        <v>7.8</v>
      </c>
      <c r="S3877" s="509">
        <v>8.9699999999999989</v>
      </c>
      <c r="T3877" s="223" t="s">
        <v>14391</v>
      </c>
      <c r="U3877" t="str">
        <f>VLOOKUP(T3877,[8]Votes!$A$1:$E$234,3,FALSE)</f>
        <v>102 Electoral Commission</v>
      </c>
      <c r="V3877" s="162" t="s">
        <v>14407</v>
      </c>
      <c r="W3877" s="388">
        <v>1</v>
      </c>
      <c r="X3877" s="388">
        <v>1</v>
      </c>
      <c r="Y3877" s="388">
        <v>0</v>
      </c>
      <c r="Z3877" s="388">
        <v>1</v>
      </c>
      <c r="AA3877" s="388">
        <v>1</v>
      </c>
      <c r="AB3877" s="388">
        <v>1</v>
      </c>
      <c r="AC3877" s="150">
        <v>1</v>
      </c>
      <c r="AD3877" s="150">
        <v>1</v>
      </c>
      <c r="AE3877" s="49">
        <f t="shared" si="142"/>
        <v>0.875</v>
      </c>
      <c r="AF3877" s="485">
        <v>0</v>
      </c>
      <c r="AG3877" s="17">
        <v>0</v>
      </c>
      <c r="AH3877" s="485">
        <v>1.97</v>
      </c>
      <c r="AI3877" s="485">
        <v>0.49249999999999999</v>
      </c>
      <c r="AJ3877" s="485">
        <v>0.73875000000000002</v>
      </c>
      <c r="AK3877" s="493">
        <v>1.1819999999999999</v>
      </c>
      <c r="AL3877" s="493">
        <v>1.3592999999999997</v>
      </c>
      <c r="AM3877" s="17">
        <f t="shared" si="143"/>
        <v>2.5412999999999997</v>
      </c>
      <c r="AN3877" s="162" t="s">
        <v>14391</v>
      </c>
      <c r="AO3877" s="162" t="s">
        <v>14393</v>
      </c>
    </row>
    <row r="3878" spans="1:42" s="162" customFormat="1" x14ac:dyDescent="0.3">
      <c r="A3878" s="205" t="s">
        <v>8321</v>
      </c>
      <c r="B3878" s="162" t="s">
        <v>8322</v>
      </c>
      <c r="C3878" s="168" t="s">
        <v>13452</v>
      </c>
      <c r="D3878" s="162" t="s">
        <v>13453</v>
      </c>
      <c r="E3878" s="406" t="s">
        <v>13454</v>
      </c>
      <c r="F3878" s="162" t="s">
        <v>13455</v>
      </c>
      <c r="G3878" s="162">
        <v>162201</v>
      </c>
      <c r="H3878" s="162" t="s">
        <v>13456</v>
      </c>
      <c r="I3878" s="162" t="s">
        <v>14386</v>
      </c>
      <c r="J3878" s="162" t="s">
        <v>14387</v>
      </c>
      <c r="K3878" s="406" t="s">
        <v>14388</v>
      </c>
      <c r="L3878" s="162" t="s">
        <v>14389</v>
      </c>
      <c r="M3878" s="162" t="s">
        <v>14408</v>
      </c>
      <c r="N3878" s="462">
        <v>0.75</v>
      </c>
      <c r="O3878" s="510">
        <v>0.8</v>
      </c>
      <c r="P3878" s="510">
        <v>0.85</v>
      </c>
      <c r="Q3878" s="510">
        <v>0.9</v>
      </c>
      <c r="R3878" s="510">
        <v>0.95</v>
      </c>
      <c r="S3878" s="510">
        <v>0.95</v>
      </c>
      <c r="T3878" s="223" t="s">
        <v>14391</v>
      </c>
      <c r="U3878" t="str">
        <f>VLOOKUP(T3878,[8]Votes!$A$1:$E$234,3,FALSE)</f>
        <v>102 Electoral Commission</v>
      </c>
      <c r="V3878" s="162" t="s">
        <v>14409</v>
      </c>
      <c r="W3878" s="388">
        <v>1</v>
      </c>
      <c r="X3878" s="388">
        <v>1</v>
      </c>
      <c r="Y3878" s="388">
        <v>0</v>
      </c>
      <c r="Z3878" s="388">
        <v>1</v>
      </c>
      <c r="AA3878" s="388">
        <v>1</v>
      </c>
      <c r="AB3878" s="388">
        <v>1</v>
      </c>
      <c r="AC3878" s="150">
        <v>1</v>
      </c>
      <c r="AD3878" s="150">
        <v>1</v>
      </c>
      <c r="AE3878" s="49">
        <f t="shared" si="142"/>
        <v>0.875</v>
      </c>
      <c r="AF3878" s="485">
        <v>0</v>
      </c>
      <c r="AG3878" s="17">
        <v>0</v>
      </c>
      <c r="AH3878" s="485">
        <v>3.71</v>
      </c>
      <c r="AI3878" s="485">
        <v>0.63070000000000004</v>
      </c>
      <c r="AJ3878" s="485">
        <v>0.66780000000000006</v>
      </c>
      <c r="AK3878" s="493">
        <v>1.4098000000000002</v>
      </c>
      <c r="AL3878" s="493">
        <v>1.62127</v>
      </c>
      <c r="AM3878" s="17">
        <f t="shared" si="143"/>
        <v>3.0310700000000002</v>
      </c>
      <c r="AN3878" s="162" t="s">
        <v>14391</v>
      </c>
      <c r="AO3878" s="162" t="s">
        <v>14393</v>
      </c>
    </row>
    <row r="3879" spans="1:42" s="162" customFormat="1" x14ac:dyDescent="0.3">
      <c r="A3879" s="205" t="s">
        <v>8321</v>
      </c>
      <c r="B3879" s="162" t="s">
        <v>8322</v>
      </c>
      <c r="C3879" s="168" t="s">
        <v>13452</v>
      </c>
      <c r="D3879" s="162" t="s">
        <v>13453</v>
      </c>
      <c r="E3879" s="406" t="s">
        <v>13454</v>
      </c>
      <c r="F3879" s="162" t="s">
        <v>13455</v>
      </c>
      <c r="G3879" s="162">
        <v>162201</v>
      </c>
      <c r="H3879" s="162" t="s">
        <v>13456</v>
      </c>
      <c r="I3879" s="162" t="s">
        <v>14386</v>
      </c>
      <c r="J3879" s="162" t="s">
        <v>14387</v>
      </c>
      <c r="K3879" s="406" t="s">
        <v>14410</v>
      </c>
      <c r="L3879" s="162" t="s">
        <v>14411</v>
      </c>
      <c r="M3879" s="162" t="s">
        <v>14412</v>
      </c>
      <c r="O3879" s="229">
        <v>22344</v>
      </c>
      <c r="P3879" s="229">
        <v>5586</v>
      </c>
      <c r="Q3879" s="509">
        <v>8379</v>
      </c>
      <c r="R3879" s="509">
        <v>13406.4</v>
      </c>
      <c r="S3879" s="509">
        <v>15417.359999999999</v>
      </c>
      <c r="T3879" s="223" t="s">
        <v>14391</v>
      </c>
      <c r="U3879" t="str">
        <f>VLOOKUP(T3879,[8]Votes!$A$1:$E$234,3,FALSE)</f>
        <v>102 Electoral Commission</v>
      </c>
      <c r="V3879" s="162" t="s">
        <v>14413</v>
      </c>
      <c r="W3879" s="388">
        <v>1</v>
      </c>
      <c r="X3879" s="388">
        <v>0</v>
      </c>
      <c r="Y3879" s="388">
        <v>0</v>
      </c>
      <c r="Z3879" s="388">
        <v>1</v>
      </c>
      <c r="AA3879" s="388">
        <v>1</v>
      </c>
      <c r="AB3879" s="388">
        <v>0</v>
      </c>
      <c r="AC3879" s="150">
        <v>1</v>
      </c>
      <c r="AD3879" s="150">
        <v>1</v>
      </c>
      <c r="AE3879" s="49">
        <f t="shared" si="142"/>
        <v>0.625</v>
      </c>
      <c r="AF3879" s="485">
        <v>0</v>
      </c>
      <c r="AG3879" s="17">
        <v>0</v>
      </c>
      <c r="AH3879" s="485">
        <v>0.71</v>
      </c>
      <c r="AI3879" s="485">
        <v>0.17749999999999999</v>
      </c>
      <c r="AJ3879" s="485">
        <v>0.26624999999999999</v>
      </c>
      <c r="AK3879" s="493">
        <v>0.42599999999999993</v>
      </c>
      <c r="AL3879" s="493">
        <v>0.48989999999999989</v>
      </c>
      <c r="AM3879" s="17">
        <f t="shared" si="143"/>
        <v>0.91589999999999983</v>
      </c>
      <c r="AN3879" s="162" t="s">
        <v>14391</v>
      </c>
      <c r="AO3879" s="162" t="s">
        <v>14393</v>
      </c>
    </row>
    <row r="3880" spans="1:42" s="162" customFormat="1" x14ac:dyDescent="0.3">
      <c r="A3880" s="205" t="s">
        <v>8321</v>
      </c>
      <c r="B3880" s="162" t="s">
        <v>8322</v>
      </c>
      <c r="C3880" s="168" t="s">
        <v>13452</v>
      </c>
      <c r="D3880" s="162" t="s">
        <v>13453</v>
      </c>
      <c r="E3880" s="406" t="s">
        <v>13454</v>
      </c>
      <c r="F3880" s="162" t="s">
        <v>13455</v>
      </c>
      <c r="G3880" s="162">
        <v>162201</v>
      </c>
      <c r="H3880" s="162" t="s">
        <v>13456</v>
      </c>
      <c r="I3880" s="162" t="s">
        <v>14386</v>
      </c>
      <c r="J3880" s="162" t="s">
        <v>14387</v>
      </c>
      <c r="K3880" s="406" t="s">
        <v>14410</v>
      </c>
      <c r="L3880" s="162" t="s">
        <v>14411</v>
      </c>
      <c r="M3880" s="162" t="s">
        <v>14414</v>
      </c>
      <c r="O3880" s="510">
        <v>1</v>
      </c>
      <c r="P3880" s="492">
        <v>0.25</v>
      </c>
      <c r="Q3880" s="511">
        <v>0.375</v>
      </c>
      <c r="R3880" s="511">
        <v>0.6</v>
      </c>
      <c r="S3880" s="511">
        <v>0.69</v>
      </c>
      <c r="T3880" s="223" t="s">
        <v>14391</v>
      </c>
      <c r="U3880" t="str">
        <f>VLOOKUP(T3880,[8]Votes!$A$1:$E$234,3,FALSE)</f>
        <v>102 Electoral Commission</v>
      </c>
      <c r="V3880" s="162" t="s">
        <v>14415</v>
      </c>
      <c r="W3880" s="388">
        <v>1</v>
      </c>
      <c r="X3880" s="388">
        <v>0</v>
      </c>
      <c r="Y3880" s="388">
        <v>0</v>
      </c>
      <c r="Z3880" s="388">
        <v>1</v>
      </c>
      <c r="AA3880" s="388">
        <v>0</v>
      </c>
      <c r="AB3880" s="388">
        <v>0</v>
      </c>
      <c r="AC3880" s="150">
        <v>1</v>
      </c>
      <c r="AD3880" s="150">
        <v>1</v>
      </c>
      <c r="AE3880" s="49">
        <f t="shared" si="142"/>
        <v>0.5</v>
      </c>
      <c r="AF3880" s="485">
        <v>0</v>
      </c>
      <c r="AG3880" s="17">
        <v>0</v>
      </c>
      <c r="AH3880" s="485">
        <v>0.09</v>
      </c>
      <c r="AI3880" s="485">
        <v>2.2499999999999999E-2</v>
      </c>
      <c r="AJ3880" s="485">
        <v>3.3750000000000002E-2</v>
      </c>
      <c r="AK3880" s="493">
        <v>5.3999999999999999E-2</v>
      </c>
      <c r="AL3880" s="493">
        <v>6.2099999999999995E-2</v>
      </c>
      <c r="AM3880" s="17">
        <f t="shared" si="143"/>
        <v>0.11609999999999999</v>
      </c>
      <c r="AN3880" s="162" t="s">
        <v>14391</v>
      </c>
      <c r="AO3880" s="162" t="s">
        <v>14393</v>
      </c>
    </row>
    <row r="3881" spans="1:42" s="162" customFormat="1" x14ac:dyDescent="0.3">
      <c r="A3881" s="205" t="s">
        <v>8321</v>
      </c>
      <c r="B3881" s="162" t="s">
        <v>8322</v>
      </c>
      <c r="C3881" s="168" t="s">
        <v>13452</v>
      </c>
      <c r="D3881" s="162" t="s">
        <v>13453</v>
      </c>
      <c r="E3881" s="406" t="s">
        <v>13454</v>
      </c>
      <c r="F3881" s="162" t="s">
        <v>13455</v>
      </c>
      <c r="G3881" s="162">
        <v>162201</v>
      </c>
      <c r="H3881" s="162" t="s">
        <v>13456</v>
      </c>
      <c r="I3881" s="162" t="s">
        <v>14386</v>
      </c>
      <c r="J3881" s="162" t="s">
        <v>14387</v>
      </c>
      <c r="K3881" s="406" t="s">
        <v>14410</v>
      </c>
      <c r="L3881" s="162" t="s">
        <v>14411</v>
      </c>
      <c r="M3881" s="162" t="s">
        <v>14398</v>
      </c>
      <c r="O3881" s="512">
        <v>156</v>
      </c>
      <c r="P3881" s="229">
        <v>39</v>
      </c>
      <c r="Q3881" s="509">
        <v>58.5</v>
      </c>
      <c r="R3881" s="509">
        <v>93.6</v>
      </c>
      <c r="S3881" s="509">
        <v>107.63999999999999</v>
      </c>
      <c r="T3881" s="223" t="s">
        <v>14391</v>
      </c>
      <c r="U3881" t="str">
        <f>VLOOKUP(T3881,[8]Votes!$A$1:$E$234,3,FALSE)</f>
        <v>102 Electoral Commission</v>
      </c>
      <c r="V3881" s="162" t="s">
        <v>14416</v>
      </c>
      <c r="W3881" s="388">
        <v>1</v>
      </c>
      <c r="X3881" s="388">
        <v>0</v>
      </c>
      <c r="Y3881" s="388">
        <v>0</v>
      </c>
      <c r="Z3881" s="388">
        <v>1</v>
      </c>
      <c r="AA3881" s="388">
        <v>1</v>
      </c>
      <c r="AB3881" s="388">
        <v>1</v>
      </c>
      <c r="AC3881" s="150">
        <v>1</v>
      </c>
      <c r="AD3881" s="150">
        <v>1</v>
      </c>
      <c r="AE3881" s="49">
        <f t="shared" si="142"/>
        <v>0.75</v>
      </c>
      <c r="AF3881" s="485">
        <v>0</v>
      </c>
      <c r="AG3881" s="17">
        <v>0</v>
      </c>
      <c r="AH3881" s="485">
        <v>3.3</v>
      </c>
      <c r="AI3881" s="485">
        <v>0.82499999999999996</v>
      </c>
      <c r="AJ3881" s="485">
        <v>1.2374999999999998</v>
      </c>
      <c r="AK3881" s="493">
        <v>1.9799999999999995</v>
      </c>
      <c r="AL3881" s="493">
        <v>2.2769999999999992</v>
      </c>
      <c r="AM3881" s="17">
        <f t="shared" si="143"/>
        <v>4.2569999999999988</v>
      </c>
      <c r="AN3881" s="162" t="s">
        <v>14391</v>
      </c>
      <c r="AO3881" s="162" t="s">
        <v>14393</v>
      </c>
    </row>
    <row r="3882" spans="1:42" s="162" customFormat="1" x14ac:dyDescent="0.3">
      <c r="A3882" s="205" t="s">
        <v>8321</v>
      </c>
      <c r="B3882" s="162" t="s">
        <v>8322</v>
      </c>
      <c r="C3882" s="168" t="s">
        <v>13452</v>
      </c>
      <c r="D3882" s="162" t="s">
        <v>13453</v>
      </c>
      <c r="E3882" s="406" t="s">
        <v>13454</v>
      </c>
      <c r="F3882" s="162" t="s">
        <v>13455</v>
      </c>
      <c r="G3882" s="162">
        <v>162201</v>
      </c>
      <c r="H3882" s="162" t="s">
        <v>13456</v>
      </c>
      <c r="I3882" s="162" t="s">
        <v>14386</v>
      </c>
      <c r="J3882" s="162" t="s">
        <v>14387</v>
      </c>
      <c r="K3882" s="406" t="s">
        <v>14410</v>
      </c>
      <c r="L3882" s="162" t="s">
        <v>14411</v>
      </c>
      <c r="M3882" s="162" t="s">
        <v>14417</v>
      </c>
      <c r="O3882" s="512">
        <v>1412</v>
      </c>
      <c r="P3882" s="229">
        <v>353</v>
      </c>
      <c r="Q3882" s="509">
        <v>529.5</v>
      </c>
      <c r="R3882" s="509">
        <v>847.19999999999993</v>
      </c>
      <c r="S3882" s="509">
        <v>974.27999999999986</v>
      </c>
      <c r="T3882" s="223" t="s">
        <v>14391</v>
      </c>
      <c r="U3882" t="str">
        <f>VLOOKUP(T3882,[8]Votes!$A$1:$E$234,3,FALSE)</f>
        <v>102 Electoral Commission</v>
      </c>
      <c r="V3882" s="162" t="s">
        <v>14418</v>
      </c>
      <c r="W3882" s="388">
        <v>1</v>
      </c>
      <c r="X3882" s="388">
        <v>0</v>
      </c>
      <c r="Y3882" s="388">
        <v>0</v>
      </c>
      <c r="Z3882" s="388">
        <v>1</v>
      </c>
      <c r="AA3882" s="388">
        <v>1</v>
      </c>
      <c r="AB3882" s="388">
        <v>1</v>
      </c>
      <c r="AC3882" s="150">
        <v>1</v>
      </c>
      <c r="AD3882" s="150">
        <v>1</v>
      </c>
      <c r="AE3882" s="49">
        <f t="shared" si="142"/>
        <v>0.75</v>
      </c>
      <c r="AF3882" s="485">
        <v>0</v>
      </c>
      <c r="AG3882" s="17">
        <v>0</v>
      </c>
      <c r="AH3882" s="485">
        <v>2.17</v>
      </c>
      <c r="AI3882" s="485">
        <v>0.54249999999999998</v>
      </c>
      <c r="AJ3882" s="485">
        <v>0.81374999999999997</v>
      </c>
      <c r="AK3882" s="493">
        <v>1.3019999999999998</v>
      </c>
      <c r="AL3882" s="493">
        <v>1.4972999999999996</v>
      </c>
      <c r="AM3882" s="17">
        <f t="shared" si="143"/>
        <v>2.7992999999999997</v>
      </c>
      <c r="AN3882" s="162" t="s">
        <v>14391</v>
      </c>
      <c r="AO3882" s="162" t="s">
        <v>14393</v>
      </c>
    </row>
    <row r="3883" spans="1:42" s="162" customFormat="1" x14ac:dyDescent="0.3">
      <c r="A3883" s="205" t="s">
        <v>8321</v>
      </c>
      <c r="B3883" s="162" t="s">
        <v>8322</v>
      </c>
      <c r="C3883" s="168" t="s">
        <v>13452</v>
      </c>
      <c r="D3883" s="162" t="s">
        <v>13453</v>
      </c>
      <c r="E3883" s="406" t="s">
        <v>13454</v>
      </c>
      <c r="F3883" s="162" t="s">
        <v>13455</v>
      </c>
      <c r="G3883" s="162">
        <v>162201</v>
      </c>
      <c r="H3883" s="162" t="s">
        <v>13456</v>
      </c>
      <c r="I3883" s="162" t="s">
        <v>14386</v>
      </c>
      <c r="J3883" s="162" t="s">
        <v>14387</v>
      </c>
      <c r="K3883" s="406" t="s">
        <v>14410</v>
      </c>
      <c r="L3883" s="162" t="s">
        <v>14411</v>
      </c>
      <c r="M3883" s="162" t="s">
        <v>14419</v>
      </c>
      <c r="O3883" s="513">
        <v>15.44</v>
      </c>
      <c r="P3883" s="514">
        <v>3.86</v>
      </c>
      <c r="Q3883" s="515">
        <v>5.79</v>
      </c>
      <c r="R3883" s="515">
        <v>9.2639999999999993</v>
      </c>
      <c r="S3883" s="515">
        <v>10.653599999999999</v>
      </c>
      <c r="T3883" s="223" t="s">
        <v>14391</v>
      </c>
      <c r="U3883" t="str">
        <f>VLOOKUP(T3883,[8]Votes!$A$1:$E$234,3,FALSE)</f>
        <v>102 Electoral Commission</v>
      </c>
      <c r="V3883" s="162" t="s">
        <v>14420</v>
      </c>
      <c r="W3883" s="388">
        <v>1</v>
      </c>
      <c r="X3883" s="388">
        <v>0</v>
      </c>
      <c r="Y3883" s="388">
        <v>0</v>
      </c>
      <c r="Z3883" s="388">
        <v>1</v>
      </c>
      <c r="AA3883" s="388">
        <v>1</v>
      </c>
      <c r="AB3883" s="388">
        <v>1</v>
      </c>
      <c r="AC3883" s="150">
        <v>1</v>
      </c>
      <c r="AD3883" s="150">
        <v>1</v>
      </c>
      <c r="AE3883" s="49">
        <f t="shared" si="142"/>
        <v>0.75</v>
      </c>
      <c r="AF3883" s="485">
        <v>0</v>
      </c>
      <c r="AG3883" s="17">
        <v>0</v>
      </c>
      <c r="AH3883" s="485">
        <v>0.61</v>
      </c>
      <c r="AI3883" s="485">
        <v>0.1525</v>
      </c>
      <c r="AJ3883" s="485">
        <v>0.22875000000000001</v>
      </c>
      <c r="AK3883" s="493">
        <v>0.36599999999999999</v>
      </c>
      <c r="AL3883" s="493">
        <v>0.42089999999999994</v>
      </c>
      <c r="AM3883" s="17">
        <f t="shared" si="143"/>
        <v>0.78689999999999993</v>
      </c>
      <c r="AN3883" s="162" t="s">
        <v>14391</v>
      </c>
      <c r="AO3883" s="162" t="s">
        <v>14393</v>
      </c>
    </row>
    <row r="3884" spans="1:42" s="162" customFormat="1" x14ac:dyDescent="0.3">
      <c r="A3884" s="205" t="s">
        <v>8321</v>
      </c>
      <c r="B3884" s="162" t="s">
        <v>8322</v>
      </c>
      <c r="C3884" s="168" t="s">
        <v>13452</v>
      </c>
      <c r="D3884" s="162" t="s">
        <v>13453</v>
      </c>
      <c r="E3884" s="406" t="s">
        <v>13454</v>
      </c>
      <c r="F3884" s="162" t="s">
        <v>13455</v>
      </c>
      <c r="G3884" s="162">
        <v>162201</v>
      </c>
      <c r="H3884" s="162" t="s">
        <v>13456</v>
      </c>
      <c r="I3884" s="162" t="s">
        <v>14386</v>
      </c>
      <c r="J3884" s="162" t="s">
        <v>14387</v>
      </c>
      <c r="K3884" s="406" t="s">
        <v>14410</v>
      </c>
      <c r="L3884" s="162" t="s">
        <v>14411</v>
      </c>
      <c r="M3884" s="162" t="s">
        <v>14421</v>
      </c>
      <c r="O3884" s="512">
        <v>2000</v>
      </c>
      <c r="P3884" s="229">
        <v>500</v>
      </c>
      <c r="Q3884" s="509">
        <v>750</v>
      </c>
      <c r="R3884" s="509">
        <v>1200</v>
      </c>
      <c r="S3884" s="509">
        <v>1380</v>
      </c>
      <c r="T3884" s="223" t="s">
        <v>14391</v>
      </c>
      <c r="U3884" t="str">
        <f>VLOOKUP(T3884,[8]Votes!$A$1:$E$234,3,FALSE)</f>
        <v>102 Electoral Commission</v>
      </c>
      <c r="V3884" s="162" t="s">
        <v>14422</v>
      </c>
      <c r="W3884" s="388">
        <v>1</v>
      </c>
      <c r="X3884" s="388">
        <v>0</v>
      </c>
      <c r="Y3884" s="388">
        <v>0</v>
      </c>
      <c r="Z3884" s="388">
        <v>1</v>
      </c>
      <c r="AA3884" s="388">
        <v>0</v>
      </c>
      <c r="AB3884" s="388">
        <v>0</v>
      </c>
      <c r="AC3884" s="150">
        <v>1</v>
      </c>
      <c r="AD3884" s="150">
        <v>1</v>
      </c>
      <c r="AE3884" s="49">
        <f t="shared" si="142"/>
        <v>0.5</v>
      </c>
      <c r="AF3884" s="485">
        <v>0</v>
      </c>
      <c r="AG3884" s="17">
        <v>0</v>
      </c>
      <c r="AH3884" s="485">
        <v>0.35</v>
      </c>
      <c r="AI3884" s="485">
        <v>8.7499999999999994E-2</v>
      </c>
      <c r="AJ3884" s="485">
        <v>0.13124999999999998</v>
      </c>
      <c r="AK3884" s="493">
        <v>0.20999999999999996</v>
      </c>
      <c r="AL3884" s="493">
        <v>0.24149999999999994</v>
      </c>
      <c r="AM3884" s="17">
        <f t="shared" si="143"/>
        <v>0.4514999999999999</v>
      </c>
      <c r="AN3884" s="162" t="s">
        <v>14391</v>
      </c>
      <c r="AO3884" s="162" t="s">
        <v>14393</v>
      </c>
    </row>
    <row r="3885" spans="1:42" s="162" customFormat="1" x14ac:dyDescent="0.3">
      <c r="A3885" s="205" t="s">
        <v>8321</v>
      </c>
      <c r="B3885" s="162" t="s">
        <v>8322</v>
      </c>
      <c r="C3885" s="168" t="s">
        <v>13452</v>
      </c>
      <c r="D3885" s="162" t="s">
        <v>13453</v>
      </c>
      <c r="E3885" s="406" t="s">
        <v>13454</v>
      </c>
      <c r="F3885" s="162" t="s">
        <v>13455</v>
      </c>
      <c r="G3885" s="162">
        <v>162201</v>
      </c>
      <c r="H3885" s="162" t="s">
        <v>13456</v>
      </c>
      <c r="I3885" s="162" t="s">
        <v>14386</v>
      </c>
      <c r="J3885" s="162" t="s">
        <v>14387</v>
      </c>
      <c r="K3885" s="406" t="s">
        <v>14410</v>
      </c>
      <c r="L3885" s="162" t="s">
        <v>14411</v>
      </c>
      <c r="M3885" s="162" t="s">
        <v>14423</v>
      </c>
      <c r="O3885" s="512">
        <v>14</v>
      </c>
      <c r="P3885" s="229">
        <v>3.5</v>
      </c>
      <c r="Q3885" s="509">
        <v>5.25</v>
      </c>
      <c r="R3885" s="509">
        <v>8.4</v>
      </c>
      <c r="S3885" s="509">
        <v>9.66</v>
      </c>
      <c r="T3885" s="223" t="s">
        <v>14391</v>
      </c>
      <c r="U3885" t="str">
        <f>VLOOKUP(T3885,[8]Votes!$A$1:$E$234,3,FALSE)</f>
        <v>102 Electoral Commission</v>
      </c>
      <c r="V3885" s="162" t="s">
        <v>14424</v>
      </c>
      <c r="W3885" s="388">
        <v>1</v>
      </c>
      <c r="X3885" s="388">
        <v>1</v>
      </c>
      <c r="Y3885" s="388">
        <v>0</v>
      </c>
      <c r="Z3885" s="388">
        <v>1</v>
      </c>
      <c r="AA3885" s="388">
        <v>0</v>
      </c>
      <c r="AB3885" s="388">
        <v>0</v>
      </c>
      <c r="AC3885" s="150">
        <v>1</v>
      </c>
      <c r="AD3885" s="150">
        <v>1</v>
      </c>
      <c r="AE3885" s="49">
        <f t="shared" si="142"/>
        <v>0.625</v>
      </c>
      <c r="AF3885" s="485">
        <v>0</v>
      </c>
      <c r="AG3885" s="17">
        <v>0</v>
      </c>
      <c r="AH3885" s="485">
        <v>1.26</v>
      </c>
      <c r="AI3885" s="485">
        <v>0.315</v>
      </c>
      <c r="AJ3885" s="485">
        <v>0.47250000000000003</v>
      </c>
      <c r="AK3885" s="493">
        <v>0.75600000000000012</v>
      </c>
      <c r="AL3885" s="493">
        <v>0.86940000000000006</v>
      </c>
      <c r="AM3885" s="17">
        <f t="shared" si="143"/>
        <v>1.6254000000000002</v>
      </c>
      <c r="AN3885" s="162" t="s">
        <v>14391</v>
      </c>
      <c r="AO3885" s="162" t="s">
        <v>14393</v>
      </c>
    </row>
    <row r="3886" spans="1:42" s="162" customFormat="1" x14ac:dyDescent="0.3">
      <c r="A3886" s="205" t="s">
        <v>8321</v>
      </c>
      <c r="B3886" s="162" t="s">
        <v>8322</v>
      </c>
      <c r="C3886" s="168" t="s">
        <v>13452</v>
      </c>
      <c r="D3886" s="162" t="s">
        <v>13453</v>
      </c>
      <c r="E3886" s="406" t="s">
        <v>13454</v>
      </c>
      <c r="F3886" s="162" t="s">
        <v>13455</v>
      </c>
      <c r="G3886" s="162">
        <v>162201</v>
      </c>
      <c r="H3886" s="162" t="s">
        <v>13456</v>
      </c>
      <c r="I3886" s="162" t="s">
        <v>14386</v>
      </c>
      <c r="J3886" s="162" t="s">
        <v>14387</v>
      </c>
      <c r="K3886" s="406" t="s">
        <v>14425</v>
      </c>
      <c r="L3886" s="162" t="s">
        <v>14426</v>
      </c>
      <c r="M3886" s="162" t="s">
        <v>14427</v>
      </c>
      <c r="O3886" s="510">
        <v>0.85</v>
      </c>
      <c r="P3886" s="510">
        <v>0.1</v>
      </c>
      <c r="Q3886" s="510">
        <v>0.14000000000000001</v>
      </c>
      <c r="R3886" s="510">
        <v>0.15</v>
      </c>
      <c r="S3886" s="510">
        <v>0.2</v>
      </c>
      <c r="T3886" s="223" t="s">
        <v>14391</v>
      </c>
      <c r="U3886" t="str">
        <f>VLOOKUP(T3886,[8]Votes!$A$1:$E$234,3,FALSE)</f>
        <v>102 Electoral Commission</v>
      </c>
      <c r="V3886" s="162" t="s">
        <v>14428</v>
      </c>
      <c r="W3886" s="388">
        <v>1</v>
      </c>
      <c r="X3886" s="388">
        <v>1</v>
      </c>
      <c r="Y3886" s="388">
        <v>0</v>
      </c>
      <c r="Z3886" s="388">
        <v>1</v>
      </c>
      <c r="AA3886" s="388">
        <v>1</v>
      </c>
      <c r="AB3886" s="388">
        <v>0</v>
      </c>
      <c r="AC3886" s="150">
        <v>1</v>
      </c>
      <c r="AD3886" s="150">
        <v>1</v>
      </c>
      <c r="AE3886" s="49">
        <f t="shared" si="142"/>
        <v>0.75</v>
      </c>
      <c r="AF3886" s="485">
        <v>0</v>
      </c>
      <c r="AG3886" s="17">
        <v>0</v>
      </c>
      <c r="AH3886" s="485">
        <v>13.53</v>
      </c>
      <c r="AI3886" s="485">
        <v>1.591764705882353</v>
      </c>
      <c r="AJ3886" s="485">
        <v>2.2284705882352944</v>
      </c>
      <c r="AK3886" s="493">
        <v>13.53</v>
      </c>
      <c r="AL3886" s="493">
        <v>1.591764705882353</v>
      </c>
      <c r="AM3886" s="17">
        <f t="shared" si="143"/>
        <v>15.121764705882352</v>
      </c>
      <c r="AN3886" s="162" t="s">
        <v>14391</v>
      </c>
      <c r="AO3886" s="162" t="s">
        <v>14393</v>
      </c>
      <c r="AP3886" t="s">
        <v>14429</v>
      </c>
    </row>
    <row r="3887" spans="1:42" s="162" customFormat="1" x14ac:dyDescent="0.3">
      <c r="A3887" s="205" t="s">
        <v>8321</v>
      </c>
      <c r="B3887" s="162" t="s">
        <v>8322</v>
      </c>
      <c r="C3887" s="168" t="s">
        <v>13452</v>
      </c>
      <c r="D3887" s="162" t="s">
        <v>13453</v>
      </c>
      <c r="E3887" s="406" t="s">
        <v>13454</v>
      </c>
      <c r="F3887" s="162" t="s">
        <v>13455</v>
      </c>
      <c r="G3887" s="162">
        <v>162201</v>
      </c>
      <c r="H3887" s="162" t="s">
        <v>13456</v>
      </c>
      <c r="I3887" s="162" t="s">
        <v>14386</v>
      </c>
      <c r="J3887" s="162" t="s">
        <v>14387</v>
      </c>
      <c r="K3887" s="406" t="s">
        <v>14425</v>
      </c>
      <c r="L3887" s="162" t="s">
        <v>14426</v>
      </c>
      <c r="M3887" s="162" t="s">
        <v>14430</v>
      </c>
      <c r="O3887" s="510">
        <v>1</v>
      </c>
      <c r="P3887" s="510">
        <v>1</v>
      </c>
      <c r="Q3887" s="510">
        <v>1</v>
      </c>
      <c r="R3887" s="510">
        <v>1</v>
      </c>
      <c r="S3887" s="510">
        <v>1</v>
      </c>
      <c r="T3887" s="223" t="s">
        <v>14391</v>
      </c>
      <c r="U3887" t="str">
        <f>VLOOKUP(T3887,[8]Votes!$A$1:$E$234,3,FALSE)</f>
        <v>102 Electoral Commission</v>
      </c>
      <c r="V3887" s="162" t="s">
        <v>14431</v>
      </c>
      <c r="W3887" s="388">
        <v>1</v>
      </c>
      <c r="X3887" s="388">
        <v>1</v>
      </c>
      <c r="Y3887" s="388">
        <v>0</v>
      </c>
      <c r="Z3887" s="388">
        <v>1</v>
      </c>
      <c r="AA3887" s="388">
        <v>1</v>
      </c>
      <c r="AB3887" s="388">
        <v>0</v>
      </c>
      <c r="AC3887" s="150">
        <v>1</v>
      </c>
      <c r="AD3887" s="150">
        <v>1</v>
      </c>
      <c r="AE3887" s="49">
        <f t="shared" si="142"/>
        <v>0.75</v>
      </c>
      <c r="AF3887" s="485">
        <v>0</v>
      </c>
      <c r="AG3887" s="17">
        <v>0</v>
      </c>
      <c r="AH3887" s="485">
        <v>63.5</v>
      </c>
      <c r="AI3887" s="485">
        <v>6.3500000000000005</v>
      </c>
      <c r="AJ3887" s="485">
        <v>6.3500000000000005</v>
      </c>
      <c r="AK3887" s="493">
        <v>6.3500000000000005</v>
      </c>
      <c r="AL3887" s="493">
        <v>63.5</v>
      </c>
      <c r="AM3887" s="17">
        <f t="shared" si="143"/>
        <v>69.849999999999994</v>
      </c>
      <c r="AN3887" s="162" t="s">
        <v>14391</v>
      </c>
      <c r="AO3887" s="162" t="s">
        <v>14393</v>
      </c>
      <c r="AP3887" t="s">
        <v>14429</v>
      </c>
    </row>
    <row r="3888" spans="1:42" s="162" customFormat="1" x14ac:dyDescent="0.3">
      <c r="A3888" s="205" t="s">
        <v>8321</v>
      </c>
      <c r="B3888" s="162" t="s">
        <v>8322</v>
      </c>
      <c r="C3888" s="168" t="s">
        <v>13452</v>
      </c>
      <c r="D3888" s="162" t="s">
        <v>13453</v>
      </c>
      <c r="E3888" s="406" t="s">
        <v>13454</v>
      </c>
      <c r="F3888" s="162" t="s">
        <v>13455</v>
      </c>
      <c r="G3888" s="162">
        <v>162201</v>
      </c>
      <c r="H3888" s="162" t="s">
        <v>13456</v>
      </c>
      <c r="I3888" s="162" t="s">
        <v>14386</v>
      </c>
      <c r="J3888" s="162" t="s">
        <v>14387</v>
      </c>
      <c r="K3888" s="406" t="s">
        <v>14425</v>
      </c>
      <c r="L3888" s="162" t="s">
        <v>14426</v>
      </c>
      <c r="M3888" s="162" t="s">
        <v>14432</v>
      </c>
      <c r="O3888" s="514">
        <v>18.103603</v>
      </c>
      <c r="P3888" s="514">
        <v>4.5259007499999999</v>
      </c>
      <c r="Q3888" s="515">
        <v>2.262950375</v>
      </c>
      <c r="R3888" s="515">
        <v>1.1314751875</v>
      </c>
      <c r="S3888" s="515">
        <v>0.56573759374999999</v>
      </c>
      <c r="T3888" s="223" t="s">
        <v>14391</v>
      </c>
      <c r="U3888" t="str">
        <f>VLOOKUP(T3888,[8]Votes!$A$1:$E$234,3,FALSE)</f>
        <v>102 Electoral Commission</v>
      </c>
      <c r="V3888" s="162" t="s">
        <v>14433</v>
      </c>
      <c r="W3888" s="388">
        <v>1</v>
      </c>
      <c r="X3888" s="388">
        <v>0</v>
      </c>
      <c r="Y3888" s="388">
        <v>0</v>
      </c>
      <c r="Z3888" s="388">
        <v>1</v>
      </c>
      <c r="AA3888" s="388">
        <v>1</v>
      </c>
      <c r="AB3888" s="388">
        <v>1</v>
      </c>
      <c r="AC3888" s="150">
        <v>1</v>
      </c>
      <c r="AD3888" s="150">
        <v>1</v>
      </c>
      <c r="AE3888" s="49">
        <f t="shared" si="142"/>
        <v>0.75</v>
      </c>
      <c r="AF3888" s="485">
        <v>0</v>
      </c>
      <c r="AG3888" s="17">
        <v>0</v>
      </c>
      <c r="AH3888" s="485">
        <v>5.38</v>
      </c>
      <c r="AI3888" s="485">
        <v>1.345</v>
      </c>
      <c r="AJ3888" s="485">
        <v>0.67249999999999999</v>
      </c>
      <c r="AK3888" s="493">
        <v>0.33624999999999999</v>
      </c>
      <c r="AL3888" s="493">
        <v>0.168125</v>
      </c>
      <c r="AM3888" s="17">
        <f t="shared" si="143"/>
        <v>0.50437500000000002</v>
      </c>
      <c r="AN3888" s="162" t="s">
        <v>14391</v>
      </c>
      <c r="AO3888" s="162" t="s">
        <v>14393</v>
      </c>
      <c r="AP3888"/>
    </row>
    <row r="3889" spans="1:42" s="162" customFormat="1" x14ac:dyDescent="0.3">
      <c r="A3889" s="205" t="s">
        <v>8321</v>
      </c>
      <c r="B3889" s="162" t="s">
        <v>8322</v>
      </c>
      <c r="C3889" s="168" t="s">
        <v>13452</v>
      </c>
      <c r="D3889" s="162" t="s">
        <v>13453</v>
      </c>
      <c r="E3889" s="406" t="s">
        <v>13454</v>
      </c>
      <c r="F3889" s="162" t="s">
        <v>13455</v>
      </c>
      <c r="G3889" s="162">
        <v>162201</v>
      </c>
      <c r="H3889" s="162" t="s">
        <v>13456</v>
      </c>
      <c r="I3889" s="162" t="s">
        <v>14386</v>
      </c>
      <c r="J3889" s="162" t="s">
        <v>14387</v>
      </c>
      <c r="K3889" s="406" t="s">
        <v>14434</v>
      </c>
      <c r="L3889" s="162" t="s">
        <v>14435</v>
      </c>
      <c r="M3889" s="162" t="s">
        <v>14436</v>
      </c>
      <c r="O3889" s="229">
        <v>12100</v>
      </c>
      <c r="P3889" s="229">
        <v>864.28571428571433</v>
      </c>
      <c r="Q3889" s="509">
        <v>2.262950375</v>
      </c>
      <c r="R3889" s="509">
        <v>864.28571428571433</v>
      </c>
      <c r="S3889" s="509">
        <v>432.14285714285717</v>
      </c>
      <c r="T3889" s="516" t="s">
        <v>14391</v>
      </c>
      <c r="U3889" t="str">
        <f>VLOOKUP(T3889,[8]Votes!$A$1:$E$234,3,FALSE)</f>
        <v>102 Electoral Commission</v>
      </c>
      <c r="V3889" s="162" t="s">
        <v>14437</v>
      </c>
      <c r="W3889" s="388">
        <v>1</v>
      </c>
      <c r="X3889" s="388">
        <v>0</v>
      </c>
      <c r="Y3889" s="388">
        <v>0</v>
      </c>
      <c r="Z3889" s="388">
        <v>1</v>
      </c>
      <c r="AA3889" s="388">
        <v>1</v>
      </c>
      <c r="AB3889" s="388">
        <v>1</v>
      </c>
      <c r="AC3889" s="150">
        <v>1</v>
      </c>
      <c r="AD3889" s="150">
        <v>1</v>
      </c>
      <c r="AE3889" s="49">
        <f t="shared" si="142"/>
        <v>0.75</v>
      </c>
      <c r="AF3889" s="485">
        <v>0</v>
      </c>
      <c r="AG3889" s="17">
        <v>0</v>
      </c>
      <c r="AH3889" s="485">
        <v>82.58</v>
      </c>
      <c r="AI3889" s="485">
        <v>5.8985714285714295</v>
      </c>
      <c r="AJ3889" s="485">
        <v>1.5444168757644629E-2</v>
      </c>
      <c r="AK3889" s="493">
        <v>5.8985714285714295</v>
      </c>
      <c r="AL3889" s="493">
        <v>27.526666666666667</v>
      </c>
      <c r="AM3889" s="17">
        <f t="shared" si="143"/>
        <v>33.4252380952381</v>
      </c>
      <c r="AN3889" s="162" t="s">
        <v>14391</v>
      </c>
      <c r="AO3889" s="162" t="s">
        <v>14393</v>
      </c>
      <c r="AP3889"/>
    </row>
    <row r="3890" spans="1:42" s="162" customFormat="1" x14ac:dyDescent="0.3">
      <c r="A3890" s="205" t="s">
        <v>8321</v>
      </c>
      <c r="B3890" s="162" t="s">
        <v>8322</v>
      </c>
      <c r="C3890" s="168" t="s">
        <v>13452</v>
      </c>
      <c r="D3890" s="162" t="s">
        <v>13453</v>
      </c>
      <c r="E3890" s="406" t="s">
        <v>13454</v>
      </c>
      <c r="F3890" s="162" t="s">
        <v>13455</v>
      </c>
      <c r="G3890" s="162">
        <v>162201</v>
      </c>
      <c r="H3890" s="162" t="s">
        <v>13456</v>
      </c>
      <c r="I3890" s="162" t="s">
        <v>14386</v>
      </c>
      <c r="J3890" s="162" t="s">
        <v>14387</v>
      </c>
      <c r="K3890" s="406" t="s">
        <v>14434</v>
      </c>
      <c r="L3890" s="162" t="s">
        <v>14435</v>
      </c>
      <c r="M3890" s="162" t="s">
        <v>14438</v>
      </c>
      <c r="O3890" s="229">
        <v>2817</v>
      </c>
      <c r="P3890" s="229">
        <v>704.25</v>
      </c>
      <c r="Q3890" s="509">
        <v>1056.375</v>
      </c>
      <c r="R3890" s="509">
        <v>1690.2</v>
      </c>
      <c r="S3890" s="509">
        <v>1943.7299999999998</v>
      </c>
      <c r="T3890" s="516" t="s">
        <v>14391</v>
      </c>
      <c r="U3890" t="str">
        <f>VLOOKUP(T3890,[8]Votes!$A$1:$E$234,3,FALSE)</f>
        <v>102 Electoral Commission</v>
      </c>
      <c r="V3890" s="162" t="s">
        <v>14439</v>
      </c>
      <c r="W3890" s="388">
        <v>1</v>
      </c>
      <c r="X3890" s="388">
        <v>1</v>
      </c>
      <c r="Y3890" s="388">
        <v>0</v>
      </c>
      <c r="Z3890" s="388">
        <v>1</v>
      </c>
      <c r="AA3890" s="388">
        <v>0</v>
      </c>
      <c r="AB3890" s="388">
        <v>0</v>
      </c>
      <c r="AC3890" s="150">
        <v>0</v>
      </c>
      <c r="AD3890" s="150">
        <v>1</v>
      </c>
      <c r="AE3890" s="49">
        <f t="shared" si="142"/>
        <v>0.5</v>
      </c>
      <c r="AF3890" s="485">
        <v>0</v>
      </c>
      <c r="AG3890" s="17">
        <v>0</v>
      </c>
      <c r="AH3890" s="485">
        <v>0.76</v>
      </c>
      <c r="AI3890" s="485">
        <v>0.19</v>
      </c>
      <c r="AJ3890" s="485">
        <v>0.28500000000000003</v>
      </c>
      <c r="AK3890" s="493">
        <v>0.45600000000000007</v>
      </c>
      <c r="AL3890" s="493">
        <v>0.52440000000000009</v>
      </c>
      <c r="AM3890" s="17">
        <f t="shared" si="143"/>
        <v>0.98040000000000016</v>
      </c>
      <c r="AN3890" s="162" t="s">
        <v>14391</v>
      </c>
      <c r="AO3890" s="162" t="s">
        <v>14393</v>
      </c>
      <c r="AP3890"/>
    </row>
    <row r="3891" spans="1:42" s="162" customFormat="1" x14ac:dyDescent="0.3">
      <c r="A3891" s="205" t="s">
        <v>8321</v>
      </c>
      <c r="B3891" s="162" t="s">
        <v>8322</v>
      </c>
      <c r="C3891" s="168" t="s">
        <v>13452</v>
      </c>
      <c r="D3891" s="162" t="s">
        <v>13453</v>
      </c>
      <c r="E3891" s="406" t="s">
        <v>13454</v>
      </c>
      <c r="F3891" s="162" t="s">
        <v>13455</v>
      </c>
      <c r="G3891" s="162">
        <v>162201</v>
      </c>
      <c r="H3891" s="162" t="s">
        <v>13456</v>
      </c>
      <c r="I3891" s="162" t="s">
        <v>14386</v>
      </c>
      <c r="J3891" s="162" t="s">
        <v>14387</v>
      </c>
      <c r="K3891" s="406" t="s">
        <v>14434</v>
      </c>
      <c r="L3891" s="162" t="s">
        <v>14435</v>
      </c>
      <c r="M3891" s="162" t="s">
        <v>14440</v>
      </c>
      <c r="N3891" s="450"/>
      <c r="O3891" s="229">
        <v>94277</v>
      </c>
      <c r="P3891" s="229">
        <v>23569.25</v>
      </c>
      <c r="Q3891" s="509">
        <v>35353.875</v>
      </c>
      <c r="R3891" s="509">
        <v>56566.2</v>
      </c>
      <c r="S3891" s="509">
        <v>65051.12999999999</v>
      </c>
      <c r="T3891" s="223" t="s">
        <v>14391</v>
      </c>
      <c r="U3891" t="str">
        <f>VLOOKUP(T3891,[8]Votes!$A$1:$E$234,3,FALSE)</f>
        <v>102 Electoral Commission</v>
      </c>
      <c r="V3891" s="162" t="s">
        <v>14441</v>
      </c>
      <c r="W3891" s="388">
        <v>1</v>
      </c>
      <c r="X3891" s="388">
        <v>1</v>
      </c>
      <c r="Y3891" s="388">
        <v>0</v>
      </c>
      <c r="Z3891" s="388">
        <v>1</v>
      </c>
      <c r="AA3891" s="388">
        <v>1</v>
      </c>
      <c r="AB3891" s="388">
        <v>1</v>
      </c>
      <c r="AC3891" s="150">
        <v>1</v>
      </c>
      <c r="AD3891" s="150">
        <v>1</v>
      </c>
      <c r="AE3891" s="49">
        <f t="shared" si="142"/>
        <v>0.875</v>
      </c>
      <c r="AF3891" s="485">
        <v>0</v>
      </c>
      <c r="AG3891" s="17">
        <v>0</v>
      </c>
      <c r="AH3891" s="485">
        <v>9.64</v>
      </c>
      <c r="AI3891" s="485">
        <v>2.41</v>
      </c>
      <c r="AJ3891" s="485">
        <v>3.6150000000000002</v>
      </c>
      <c r="AK3891" s="493">
        <v>5.7839999999999998</v>
      </c>
      <c r="AL3891" s="493">
        <v>6.6515999999999993</v>
      </c>
      <c r="AM3891" s="17">
        <f t="shared" si="143"/>
        <v>12.435599999999999</v>
      </c>
      <c r="AN3891" s="162" t="s">
        <v>14391</v>
      </c>
      <c r="AO3891" s="162" t="s">
        <v>14393</v>
      </c>
    </row>
    <row r="3892" spans="1:42" s="162" customFormat="1" x14ac:dyDescent="0.3">
      <c r="A3892" s="205" t="s">
        <v>8321</v>
      </c>
      <c r="B3892" s="162" t="s">
        <v>8322</v>
      </c>
      <c r="C3892" s="168" t="s">
        <v>13452</v>
      </c>
      <c r="D3892" s="162" t="s">
        <v>13453</v>
      </c>
      <c r="E3892" s="406" t="s">
        <v>13454</v>
      </c>
      <c r="F3892" s="162" t="s">
        <v>13455</v>
      </c>
      <c r="G3892" s="162">
        <v>162201</v>
      </c>
      <c r="H3892" s="162" t="s">
        <v>13456</v>
      </c>
      <c r="I3892" s="162" t="s">
        <v>14386</v>
      </c>
      <c r="J3892" s="162" t="s">
        <v>14387</v>
      </c>
      <c r="K3892" s="406" t="s">
        <v>14434</v>
      </c>
      <c r="L3892" s="162" t="s">
        <v>14435</v>
      </c>
      <c r="M3892" s="162" t="s">
        <v>14442</v>
      </c>
      <c r="O3892" s="229">
        <v>60</v>
      </c>
      <c r="P3892" s="229">
        <v>15</v>
      </c>
      <c r="Q3892" s="509">
        <v>22.5</v>
      </c>
      <c r="R3892" s="509">
        <v>36</v>
      </c>
      <c r="S3892" s="509">
        <v>41.4</v>
      </c>
      <c r="T3892" s="223" t="s">
        <v>14391</v>
      </c>
      <c r="U3892" t="str">
        <f>VLOOKUP(T3892,[8]Votes!$A$1:$E$234,3,FALSE)</f>
        <v>102 Electoral Commission</v>
      </c>
      <c r="V3892" s="162" t="s">
        <v>14443</v>
      </c>
      <c r="W3892" s="388">
        <v>1</v>
      </c>
      <c r="X3892" s="388">
        <v>1</v>
      </c>
      <c r="Y3892" s="388">
        <v>0</v>
      </c>
      <c r="Z3892" s="388">
        <v>1</v>
      </c>
      <c r="AA3892" s="388">
        <v>1</v>
      </c>
      <c r="AB3892" s="388">
        <v>1</v>
      </c>
      <c r="AC3892" s="150">
        <v>1</v>
      </c>
      <c r="AD3892" s="150">
        <v>1</v>
      </c>
      <c r="AE3892" s="49">
        <f t="shared" si="142"/>
        <v>0.875</v>
      </c>
      <c r="AF3892" s="485">
        <v>0</v>
      </c>
      <c r="AG3892" s="17">
        <v>0</v>
      </c>
      <c r="AH3892" s="485">
        <v>6.3</v>
      </c>
      <c r="AI3892" s="485">
        <v>1.575</v>
      </c>
      <c r="AJ3892" s="485">
        <v>2.3624999999999998</v>
      </c>
      <c r="AK3892" s="493">
        <v>3.78</v>
      </c>
      <c r="AL3892" s="493">
        <v>4.3469999999999995</v>
      </c>
      <c r="AM3892" s="17">
        <f t="shared" si="143"/>
        <v>8.1269999999999989</v>
      </c>
      <c r="AN3892" s="162" t="s">
        <v>14391</v>
      </c>
      <c r="AO3892" s="162" t="s">
        <v>14393</v>
      </c>
    </row>
    <row r="3893" spans="1:42" s="162" customFormat="1" x14ac:dyDescent="0.3">
      <c r="A3893" s="205" t="s">
        <v>8321</v>
      </c>
      <c r="B3893" s="162" t="s">
        <v>8322</v>
      </c>
      <c r="C3893" s="168" t="s">
        <v>13452</v>
      </c>
      <c r="D3893" s="162" t="s">
        <v>13453</v>
      </c>
      <c r="E3893" s="406" t="s">
        <v>13454</v>
      </c>
      <c r="F3893" s="162" t="s">
        <v>13455</v>
      </c>
      <c r="G3893" s="162">
        <v>162201</v>
      </c>
      <c r="H3893" s="162" t="s">
        <v>13456</v>
      </c>
      <c r="I3893" s="162" t="s">
        <v>14386</v>
      </c>
      <c r="J3893" s="162" t="s">
        <v>14387</v>
      </c>
      <c r="K3893" s="406" t="s">
        <v>14434</v>
      </c>
      <c r="L3893" s="162" t="s">
        <v>14435</v>
      </c>
      <c r="M3893" s="162" t="s">
        <v>14444</v>
      </c>
      <c r="O3893" s="229">
        <v>45000</v>
      </c>
      <c r="P3893" s="229">
        <v>11250</v>
      </c>
      <c r="Q3893" s="509">
        <v>16875</v>
      </c>
      <c r="R3893" s="509">
        <v>27000</v>
      </c>
      <c r="S3893" s="509">
        <v>31049.999999999996</v>
      </c>
      <c r="T3893" s="223" t="s">
        <v>14391</v>
      </c>
      <c r="U3893" t="str">
        <f>VLOOKUP(T3893,[8]Votes!$A$1:$E$234,3,FALSE)</f>
        <v>102 Electoral Commission</v>
      </c>
      <c r="V3893" s="162" t="s">
        <v>14445</v>
      </c>
      <c r="W3893" s="388">
        <v>1</v>
      </c>
      <c r="X3893" s="388">
        <v>1</v>
      </c>
      <c r="Y3893" s="388">
        <v>0</v>
      </c>
      <c r="Z3893" s="388">
        <v>1</v>
      </c>
      <c r="AA3893" s="388">
        <v>1</v>
      </c>
      <c r="AB3893" s="388">
        <v>1</v>
      </c>
      <c r="AC3893" s="150">
        <v>1</v>
      </c>
      <c r="AD3893" s="150">
        <v>1</v>
      </c>
      <c r="AE3893" s="49">
        <f t="shared" si="142"/>
        <v>0.875</v>
      </c>
      <c r="AF3893" s="485">
        <v>0</v>
      </c>
      <c r="AG3893" s="17">
        <v>0</v>
      </c>
      <c r="AH3893" s="485">
        <v>3.85</v>
      </c>
      <c r="AI3893" s="485">
        <v>0.96250000000000002</v>
      </c>
      <c r="AJ3893" s="485">
        <v>1.4437500000000001</v>
      </c>
      <c r="AK3893" s="493">
        <v>2.31</v>
      </c>
      <c r="AL3893" s="493">
        <v>2.6564999999999999</v>
      </c>
      <c r="AM3893" s="17">
        <f t="shared" si="143"/>
        <v>4.9664999999999999</v>
      </c>
      <c r="AN3893" s="162" t="s">
        <v>14391</v>
      </c>
      <c r="AO3893" s="162" t="s">
        <v>14393</v>
      </c>
    </row>
    <row r="3894" spans="1:42" s="162" customFormat="1" x14ac:dyDescent="0.3">
      <c r="A3894" s="205" t="s">
        <v>8321</v>
      </c>
      <c r="B3894" s="162" t="s">
        <v>8322</v>
      </c>
      <c r="C3894" s="168" t="s">
        <v>13452</v>
      </c>
      <c r="D3894" s="162" t="s">
        <v>13453</v>
      </c>
      <c r="E3894" s="406" t="s">
        <v>13454</v>
      </c>
      <c r="F3894" s="162" t="s">
        <v>13455</v>
      </c>
      <c r="G3894" s="162">
        <v>162201</v>
      </c>
      <c r="H3894" s="162" t="s">
        <v>13456</v>
      </c>
      <c r="I3894" s="162" t="s">
        <v>14386</v>
      </c>
      <c r="J3894" s="162" t="s">
        <v>14387</v>
      </c>
      <c r="K3894" s="406" t="s">
        <v>14434</v>
      </c>
      <c r="L3894" s="162" t="s">
        <v>14435</v>
      </c>
      <c r="M3894" s="162" t="s">
        <v>14446</v>
      </c>
      <c r="O3894" s="229">
        <v>209546</v>
      </c>
      <c r="P3894" s="229">
        <v>52386.5</v>
      </c>
      <c r="Q3894" s="509">
        <v>78579.75</v>
      </c>
      <c r="R3894" s="509">
        <v>125727.59999999999</v>
      </c>
      <c r="S3894" s="509">
        <v>144586.74</v>
      </c>
      <c r="T3894" s="223" t="s">
        <v>14391</v>
      </c>
      <c r="U3894" t="str">
        <f>VLOOKUP(T3894,[8]Votes!$A$1:$E$234,3,FALSE)</f>
        <v>102 Electoral Commission</v>
      </c>
      <c r="V3894" s="162" t="s">
        <v>14447</v>
      </c>
      <c r="W3894" s="388">
        <v>1</v>
      </c>
      <c r="X3894" s="388">
        <v>1</v>
      </c>
      <c r="Y3894" s="388">
        <v>0</v>
      </c>
      <c r="Z3894" s="388">
        <v>1</v>
      </c>
      <c r="AA3894" s="388">
        <v>1</v>
      </c>
      <c r="AB3894" s="388">
        <v>1</v>
      </c>
      <c r="AC3894" s="150">
        <v>1</v>
      </c>
      <c r="AD3894" s="150">
        <v>1</v>
      </c>
      <c r="AE3894" s="49">
        <f t="shared" si="142"/>
        <v>0.875</v>
      </c>
      <c r="AF3894" s="485">
        <v>0</v>
      </c>
      <c r="AG3894" s="17">
        <v>0</v>
      </c>
      <c r="AH3894" s="485">
        <v>0.34</v>
      </c>
      <c r="AI3894" s="485">
        <v>8.5000000000000006E-2</v>
      </c>
      <c r="AJ3894" s="485">
        <v>0.1275</v>
      </c>
      <c r="AK3894" s="493">
        <v>0.20399999999999999</v>
      </c>
      <c r="AL3894" s="493">
        <v>0.23459999999999998</v>
      </c>
      <c r="AM3894" s="17">
        <f t="shared" si="143"/>
        <v>0.43859999999999999</v>
      </c>
      <c r="AN3894" s="162" t="s">
        <v>14391</v>
      </c>
      <c r="AO3894" s="162" t="s">
        <v>14393</v>
      </c>
    </row>
    <row r="3895" spans="1:42" s="162" customFormat="1" x14ac:dyDescent="0.3">
      <c r="A3895" s="205" t="s">
        <v>8321</v>
      </c>
      <c r="B3895" s="162" t="s">
        <v>8322</v>
      </c>
      <c r="C3895" s="168" t="s">
        <v>13452</v>
      </c>
      <c r="D3895" s="162" t="s">
        <v>13453</v>
      </c>
      <c r="E3895" s="406" t="s">
        <v>13454</v>
      </c>
      <c r="F3895" s="162" t="s">
        <v>13455</v>
      </c>
      <c r="G3895" s="162">
        <v>162201</v>
      </c>
      <c r="H3895" s="162" t="s">
        <v>13456</v>
      </c>
      <c r="I3895" s="162" t="s">
        <v>14386</v>
      </c>
      <c r="J3895" s="162" t="s">
        <v>14387</v>
      </c>
      <c r="K3895" s="406" t="s">
        <v>14434</v>
      </c>
      <c r="L3895" s="162" t="s">
        <v>14435</v>
      </c>
      <c r="M3895" s="162" t="s">
        <v>14448</v>
      </c>
      <c r="O3895" s="229">
        <v>950360</v>
      </c>
      <c r="P3895" s="229">
        <v>67882.857142857145</v>
      </c>
      <c r="Q3895" s="509">
        <v>33941.428571428572</v>
      </c>
      <c r="R3895" s="509">
        <v>16970.714285714286</v>
      </c>
      <c r="S3895" s="509">
        <v>8485.3571428571431</v>
      </c>
      <c r="T3895" s="223" t="s">
        <v>14391</v>
      </c>
      <c r="U3895" t="str">
        <f>VLOOKUP(T3895,[8]Votes!$A$1:$E$234,3,FALSE)</f>
        <v>102 Electoral Commission</v>
      </c>
      <c r="V3895" s="162" t="s">
        <v>14449</v>
      </c>
      <c r="W3895" s="388">
        <v>1</v>
      </c>
      <c r="X3895" s="388">
        <v>1</v>
      </c>
      <c r="Y3895" s="388">
        <v>0</v>
      </c>
      <c r="Z3895" s="388">
        <v>1</v>
      </c>
      <c r="AA3895" s="388">
        <v>1</v>
      </c>
      <c r="AB3895" s="388">
        <v>0</v>
      </c>
      <c r="AC3895" s="150">
        <v>0</v>
      </c>
      <c r="AD3895" s="150">
        <v>0</v>
      </c>
      <c r="AE3895" s="49">
        <f t="shared" si="142"/>
        <v>0.5</v>
      </c>
      <c r="AF3895" s="485">
        <v>0</v>
      </c>
      <c r="AG3895" s="17">
        <v>0</v>
      </c>
      <c r="AH3895" s="485">
        <v>0.72</v>
      </c>
      <c r="AI3895" s="485">
        <v>5.1428571428571421E-2</v>
      </c>
      <c r="AJ3895" s="485">
        <v>2.571428571428571E-2</v>
      </c>
      <c r="AK3895" s="493">
        <v>1.2857142857142855E-2</v>
      </c>
      <c r="AL3895" s="493">
        <v>6.4285714285714276E-3</v>
      </c>
      <c r="AM3895" s="17">
        <f t="shared" si="143"/>
        <v>1.9285714285714281E-2</v>
      </c>
      <c r="AN3895" s="162" t="s">
        <v>14391</v>
      </c>
      <c r="AO3895" s="162" t="s">
        <v>14393</v>
      </c>
    </row>
    <row r="3896" spans="1:42" s="162" customFormat="1" x14ac:dyDescent="0.3">
      <c r="A3896" s="205" t="s">
        <v>8321</v>
      </c>
      <c r="B3896" s="162" t="s">
        <v>8322</v>
      </c>
      <c r="C3896" s="168" t="s">
        <v>13452</v>
      </c>
      <c r="D3896" s="162" t="s">
        <v>13453</v>
      </c>
      <c r="E3896" s="406" t="s">
        <v>13454</v>
      </c>
      <c r="F3896" s="162" t="s">
        <v>13455</v>
      </c>
      <c r="G3896" s="162">
        <v>162201</v>
      </c>
      <c r="H3896" s="162" t="s">
        <v>13456</v>
      </c>
      <c r="I3896" s="162" t="s">
        <v>14386</v>
      </c>
      <c r="J3896" s="162" t="s">
        <v>14387</v>
      </c>
      <c r="K3896" s="406" t="s">
        <v>14434</v>
      </c>
      <c r="L3896" s="162" t="s">
        <v>14435</v>
      </c>
      <c r="M3896" s="162" t="s">
        <v>14450</v>
      </c>
      <c r="O3896" s="229">
        <v>188.8</v>
      </c>
      <c r="P3896" s="229">
        <v>13.485714285714286</v>
      </c>
      <c r="Q3896" s="509">
        <v>6.7428571428571429</v>
      </c>
      <c r="R3896" s="509">
        <v>3.3714285714285714</v>
      </c>
      <c r="S3896" s="509">
        <v>1.6857142857142857</v>
      </c>
      <c r="T3896" s="223" t="s">
        <v>14391</v>
      </c>
      <c r="U3896" t="str">
        <f>VLOOKUP(T3896,[8]Votes!$A$1:$E$234,3,FALSE)</f>
        <v>102 Electoral Commission</v>
      </c>
      <c r="V3896" s="162" t="s">
        <v>14451</v>
      </c>
      <c r="W3896" s="388">
        <v>1</v>
      </c>
      <c r="X3896" s="388">
        <v>1</v>
      </c>
      <c r="Y3896" s="388">
        <v>0</v>
      </c>
      <c r="Z3896" s="388">
        <v>1</v>
      </c>
      <c r="AA3896" s="388">
        <v>1</v>
      </c>
      <c r="AB3896" s="388">
        <v>1</v>
      </c>
      <c r="AC3896" s="150">
        <v>1</v>
      </c>
      <c r="AD3896" s="150">
        <v>1</v>
      </c>
      <c r="AE3896" s="49">
        <f t="shared" si="142"/>
        <v>0.875</v>
      </c>
      <c r="AF3896" s="485">
        <v>0</v>
      </c>
      <c r="AG3896" s="17">
        <v>0</v>
      </c>
      <c r="AH3896" s="485">
        <v>121.26</v>
      </c>
      <c r="AI3896" s="485">
        <v>8.661428571428571</v>
      </c>
      <c r="AJ3896" s="485">
        <v>4.3307142857142855</v>
      </c>
      <c r="AK3896" s="493">
        <v>2.1653571428571428</v>
      </c>
      <c r="AL3896" s="493">
        <v>1.0826785714285714</v>
      </c>
      <c r="AM3896" s="17">
        <f t="shared" si="143"/>
        <v>3.2480357142857139</v>
      </c>
      <c r="AN3896" s="162" t="s">
        <v>14391</v>
      </c>
      <c r="AO3896" s="162" t="s">
        <v>14393</v>
      </c>
    </row>
    <row r="3897" spans="1:42" s="162" customFormat="1" x14ac:dyDescent="0.3">
      <c r="A3897" s="205" t="s">
        <v>8321</v>
      </c>
      <c r="B3897" s="162" t="s">
        <v>8322</v>
      </c>
      <c r="C3897" s="168" t="s">
        <v>13452</v>
      </c>
      <c r="D3897" s="162" t="s">
        <v>13453</v>
      </c>
      <c r="E3897" s="406" t="s">
        <v>13454</v>
      </c>
      <c r="F3897" s="162" t="s">
        <v>13455</v>
      </c>
      <c r="G3897" s="162">
        <v>162201</v>
      </c>
      <c r="H3897" s="162" t="s">
        <v>13456</v>
      </c>
      <c r="I3897" s="162" t="s">
        <v>14386</v>
      </c>
      <c r="J3897" s="162" t="s">
        <v>14387</v>
      </c>
      <c r="K3897" s="406" t="s">
        <v>14434</v>
      </c>
      <c r="L3897" s="162" t="s">
        <v>14435</v>
      </c>
      <c r="M3897" s="162" t="s">
        <v>14452</v>
      </c>
      <c r="O3897" s="229">
        <v>8.0324249999999999</v>
      </c>
      <c r="P3897" s="229">
        <v>2.00810625</v>
      </c>
      <c r="Q3897" s="509">
        <v>3.012159375</v>
      </c>
      <c r="R3897" s="509">
        <v>2</v>
      </c>
      <c r="S3897" s="509">
        <v>1</v>
      </c>
      <c r="T3897" s="223" t="s">
        <v>14391</v>
      </c>
      <c r="U3897" t="str">
        <f>VLOOKUP(T3897,[8]Votes!$A$1:$E$234,3,FALSE)</f>
        <v>102 Electoral Commission</v>
      </c>
      <c r="V3897" s="162" t="s">
        <v>14453</v>
      </c>
      <c r="W3897" s="388">
        <v>1</v>
      </c>
      <c r="X3897" s="388">
        <v>1</v>
      </c>
      <c r="Y3897" s="388">
        <v>0</v>
      </c>
      <c r="Z3897" s="388">
        <v>1</v>
      </c>
      <c r="AA3897" s="388">
        <v>1</v>
      </c>
      <c r="AB3897" s="388">
        <v>1</v>
      </c>
      <c r="AC3897" s="150">
        <v>1</v>
      </c>
      <c r="AD3897" s="150">
        <v>1</v>
      </c>
      <c r="AE3897" s="49">
        <f t="shared" si="142"/>
        <v>0.875</v>
      </c>
      <c r="AF3897" s="485">
        <v>0</v>
      </c>
      <c r="AG3897" s="17">
        <v>0</v>
      </c>
      <c r="AH3897" s="485">
        <v>46.22</v>
      </c>
      <c r="AI3897" s="485">
        <v>11.555</v>
      </c>
      <c r="AJ3897" s="485">
        <v>17.3325</v>
      </c>
      <c r="AK3897" s="493">
        <v>11.50835519783876</v>
      </c>
      <c r="AL3897" s="493">
        <v>5.7541775989193802</v>
      </c>
      <c r="AM3897" s="17">
        <f t="shared" si="143"/>
        <v>17.262532796758141</v>
      </c>
      <c r="AN3897" s="162" t="s">
        <v>14391</v>
      </c>
      <c r="AO3897" s="162" t="s">
        <v>14393</v>
      </c>
    </row>
    <row r="3898" spans="1:42" s="162" customFormat="1" x14ac:dyDescent="0.3">
      <c r="A3898" s="205" t="s">
        <v>8321</v>
      </c>
      <c r="B3898" s="162" t="s">
        <v>8322</v>
      </c>
      <c r="C3898" s="168" t="s">
        <v>13452</v>
      </c>
      <c r="D3898" s="162" t="s">
        <v>13453</v>
      </c>
      <c r="E3898" s="406" t="s">
        <v>13454</v>
      </c>
      <c r="F3898" s="162" t="s">
        <v>13455</v>
      </c>
      <c r="G3898" s="162">
        <v>162201</v>
      </c>
      <c r="H3898" s="162" t="s">
        <v>13456</v>
      </c>
      <c r="I3898" s="162" t="s">
        <v>14386</v>
      </c>
      <c r="J3898" s="162" t="s">
        <v>14387</v>
      </c>
      <c r="K3898" s="406" t="s">
        <v>14434</v>
      </c>
      <c r="L3898" s="162" t="s">
        <v>14435</v>
      </c>
      <c r="M3898" s="162" t="s">
        <v>14454</v>
      </c>
      <c r="O3898" s="229">
        <v>122500</v>
      </c>
      <c r="P3898" s="229">
        <v>30625</v>
      </c>
      <c r="Q3898" s="509">
        <v>12250</v>
      </c>
      <c r="R3898" s="509">
        <v>4900</v>
      </c>
      <c r="S3898" s="509">
        <v>980</v>
      </c>
      <c r="T3898" s="223" t="s">
        <v>14391</v>
      </c>
      <c r="U3898" t="str">
        <f>VLOOKUP(T3898,[8]Votes!$A$1:$E$234,3,FALSE)</f>
        <v>102 Electoral Commission</v>
      </c>
      <c r="V3898" s="162" t="s">
        <v>14455</v>
      </c>
      <c r="W3898" s="388">
        <v>1</v>
      </c>
      <c r="X3898" s="388">
        <v>1</v>
      </c>
      <c r="Y3898" s="388">
        <v>0</v>
      </c>
      <c r="Z3898" s="388">
        <v>1</v>
      </c>
      <c r="AA3898" s="388">
        <v>1</v>
      </c>
      <c r="AB3898" s="388">
        <v>0</v>
      </c>
      <c r="AC3898" s="150">
        <v>0</v>
      </c>
      <c r="AD3898" s="150">
        <v>0</v>
      </c>
      <c r="AE3898" s="49">
        <f t="shared" ref="AE3898:AE3961" si="144">SUM(W3898:AD3898)/8</f>
        <v>0.5</v>
      </c>
      <c r="AF3898" s="485">
        <v>0</v>
      </c>
      <c r="AG3898" s="17">
        <v>0</v>
      </c>
      <c r="AH3898" s="485">
        <v>9.15</v>
      </c>
      <c r="AI3898" s="485">
        <v>2.2875000000000001</v>
      </c>
      <c r="AJ3898" s="485">
        <v>0.91500000000000004</v>
      </c>
      <c r="AK3898" s="493">
        <v>0.36600000000000005</v>
      </c>
      <c r="AL3898" s="493">
        <v>7.3200000000000015E-2</v>
      </c>
      <c r="AM3898" s="17">
        <f t="shared" ref="AM3898:AM3961" si="145">SUM(AK3898:AL3898)</f>
        <v>0.43920000000000003</v>
      </c>
      <c r="AN3898" s="162" t="s">
        <v>14391</v>
      </c>
      <c r="AO3898" s="162" t="s">
        <v>14393</v>
      </c>
    </row>
    <row r="3899" spans="1:42" s="162" customFormat="1" x14ac:dyDescent="0.3">
      <c r="A3899" s="205" t="s">
        <v>8321</v>
      </c>
      <c r="B3899" s="162" t="s">
        <v>8322</v>
      </c>
      <c r="C3899" s="168" t="s">
        <v>13452</v>
      </c>
      <c r="D3899" s="162" t="s">
        <v>13453</v>
      </c>
      <c r="E3899" s="406" t="s">
        <v>13454</v>
      </c>
      <c r="F3899" s="162" t="s">
        <v>13455</v>
      </c>
      <c r="G3899" s="162">
        <v>162201</v>
      </c>
      <c r="H3899" s="162" t="s">
        <v>13456</v>
      </c>
      <c r="I3899" s="162" t="s">
        <v>14386</v>
      </c>
      <c r="J3899" s="162" t="s">
        <v>14387</v>
      </c>
      <c r="K3899" s="406" t="s">
        <v>14434</v>
      </c>
      <c r="L3899" s="162" t="s">
        <v>14435</v>
      </c>
      <c r="M3899" s="162" t="s">
        <v>14456</v>
      </c>
      <c r="N3899" s="517">
        <v>0.69199999999999995</v>
      </c>
      <c r="O3899" s="503">
        <v>0.59350000000000003</v>
      </c>
      <c r="P3899" s="510">
        <v>0.62</v>
      </c>
      <c r="Q3899" s="510">
        <v>0.67</v>
      </c>
      <c r="R3899" s="510">
        <v>0.65</v>
      </c>
      <c r="S3899" s="492">
        <v>0.65</v>
      </c>
      <c r="T3899" s="223" t="s">
        <v>14391</v>
      </c>
      <c r="U3899" t="str">
        <f>VLOOKUP(T3899,[8]Votes!$A$1:$E$234,3,FALSE)</f>
        <v>102 Electoral Commission</v>
      </c>
      <c r="V3899" s="162" t="s">
        <v>14457</v>
      </c>
      <c r="W3899" s="388">
        <v>1</v>
      </c>
      <c r="X3899" s="388">
        <v>1</v>
      </c>
      <c r="Y3899" s="388">
        <v>0</v>
      </c>
      <c r="Z3899" s="388">
        <v>1</v>
      </c>
      <c r="AA3899" s="388">
        <v>1</v>
      </c>
      <c r="AB3899" s="388">
        <v>1</v>
      </c>
      <c r="AC3899" s="150">
        <v>1</v>
      </c>
      <c r="AD3899" s="150">
        <v>0</v>
      </c>
      <c r="AE3899" s="49">
        <f t="shared" si="144"/>
        <v>0.75</v>
      </c>
      <c r="AF3899" s="485">
        <v>0</v>
      </c>
      <c r="AG3899" s="17">
        <v>0</v>
      </c>
      <c r="AH3899" s="485">
        <v>1.84</v>
      </c>
      <c r="AI3899" s="485">
        <v>1.922156697556866</v>
      </c>
      <c r="AJ3899" s="485">
        <v>2.0771693344566136</v>
      </c>
      <c r="AK3899" s="493">
        <v>2.0151642796967146</v>
      </c>
      <c r="AL3899" s="493">
        <v>2.0151642796967146</v>
      </c>
      <c r="AM3899" s="17">
        <f t="shared" si="145"/>
        <v>4.0303285593934293</v>
      </c>
      <c r="AN3899" s="162" t="s">
        <v>14391</v>
      </c>
      <c r="AO3899" s="162" t="s">
        <v>14393</v>
      </c>
    </row>
    <row r="3900" spans="1:42" s="162" customFormat="1" x14ac:dyDescent="0.3">
      <c r="A3900" s="205" t="s">
        <v>8321</v>
      </c>
      <c r="B3900" s="162" t="s">
        <v>8322</v>
      </c>
      <c r="C3900" s="168" t="s">
        <v>13452</v>
      </c>
      <c r="D3900" s="162" t="s">
        <v>13453</v>
      </c>
      <c r="E3900" s="406" t="s">
        <v>13454</v>
      </c>
      <c r="F3900" s="162" t="s">
        <v>13455</v>
      </c>
      <c r="G3900" s="162">
        <v>162201</v>
      </c>
      <c r="H3900" s="162" t="s">
        <v>13456</v>
      </c>
      <c r="I3900" s="162" t="s">
        <v>14386</v>
      </c>
      <c r="J3900" s="162" t="s">
        <v>14387</v>
      </c>
      <c r="K3900" s="406" t="s">
        <v>14434</v>
      </c>
      <c r="L3900" s="162" t="s">
        <v>14435</v>
      </c>
      <c r="M3900" s="162" t="s">
        <v>14458</v>
      </c>
      <c r="O3900" s="229">
        <v>1102500</v>
      </c>
      <c r="P3900" s="229">
        <v>110250</v>
      </c>
      <c r="Q3900" s="509">
        <v>661500</v>
      </c>
      <c r="R3900" s="509">
        <v>11025</v>
      </c>
      <c r="S3900" s="509">
        <v>1653.75</v>
      </c>
      <c r="T3900" s="223" t="s">
        <v>14391</v>
      </c>
      <c r="U3900" t="str">
        <f>VLOOKUP(T3900,[8]Votes!$A$1:$E$234,3,FALSE)</f>
        <v>102 Electoral Commission</v>
      </c>
      <c r="V3900" s="162" t="s">
        <v>14459</v>
      </c>
      <c r="W3900" s="388">
        <v>1</v>
      </c>
      <c r="X3900" s="388">
        <v>1</v>
      </c>
      <c r="Y3900" s="388">
        <v>0</v>
      </c>
      <c r="Z3900" s="388">
        <v>1</v>
      </c>
      <c r="AA3900" s="388">
        <v>1</v>
      </c>
      <c r="AB3900" s="388">
        <v>0</v>
      </c>
      <c r="AC3900" s="150">
        <v>0</v>
      </c>
      <c r="AD3900" s="150">
        <v>1</v>
      </c>
      <c r="AE3900" s="49">
        <f t="shared" si="144"/>
        <v>0.625</v>
      </c>
      <c r="AF3900" s="485">
        <v>0</v>
      </c>
      <c r="AG3900" s="17">
        <v>0</v>
      </c>
      <c r="AH3900" s="485">
        <v>33.32</v>
      </c>
      <c r="AI3900" s="485">
        <v>3.3320000000000003</v>
      </c>
      <c r="AJ3900" s="485">
        <v>19.992000000000001</v>
      </c>
      <c r="AK3900" s="493">
        <v>0.3332</v>
      </c>
      <c r="AL3900" s="493">
        <v>4.9979999999999997E-2</v>
      </c>
      <c r="AM3900" s="17">
        <f t="shared" si="145"/>
        <v>0.38317999999999997</v>
      </c>
      <c r="AN3900" s="162" t="s">
        <v>14391</v>
      </c>
      <c r="AO3900" s="162" t="s">
        <v>14393</v>
      </c>
    </row>
    <row r="3901" spans="1:42" s="162" customFormat="1" x14ac:dyDescent="0.3">
      <c r="A3901" s="205" t="s">
        <v>8321</v>
      </c>
      <c r="B3901" s="162" t="s">
        <v>8322</v>
      </c>
      <c r="C3901" s="168" t="s">
        <v>13452</v>
      </c>
      <c r="D3901" s="162" t="s">
        <v>13453</v>
      </c>
      <c r="E3901" s="406" t="s">
        <v>13454</v>
      </c>
      <c r="F3901" s="162" t="s">
        <v>13455</v>
      </c>
      <c r="G3901" s="162">
        <v>162201</v>
      </c>
      <c r="H3901" s="162" t="s">
        <v>13456</v>
      </c>
      <c r="I3901" s="162" t="s">
        <v>14386</v>
      </c>
      <c r="J3901" s="162" t="s">
        <v>14387</v>
      </c>
      <c r="K3901" s="406" t="s">
        <v>14434</v>
      </c>
      <c r="L3901" s="162" t="s">
        <v>14435</v>
      </c>
      <c r="M3901" s="162" t="s">
        <v>14460</v>
      </c>
      <c r="O3901" s="492">
        <v>0.85</v>
      </c>
      <c r="P3901" s="502">
        <v>0.90400000000000003</v>
      </c>
      <c r="Q3901" s="502">
        <v>0.90400000000000003</v>
      </c>
      <c r="R3901" s="502">
        <v>0.90400000000000003</v>
      </c>
      <c r="S3901" s="502">
        <v>0.90400000000000003</v>
      </c>
      <c r="T3901" s="223" t="s">
        <v>14391</v>
      </c>
      <c r="U3901" t="str">
        <f>VLOOKUP(T3901,[8]Votes!$A$1:$E$234,3,FALSE)</f>
        <v>102 Electoral Commission</v>
      </c>
      <c r="V3901" s="162" t="s">
        <v>14461</v>
      </c>
      <c r="W3901" s="388">
        <v>1</v>
      </c>
      <c r="X3901" s="388">
        <v>1</v>
      </c>
      <c r="Y3901" s="388">
        <v>0</v>
      </c>
      <c r="Z3901" s="388">
        <v>1</v>
      </c>
      <c r="AA3901" s="388">
        <v>1</v>
      </c>
      <c r="AB3901" s="388">
        <v>1</v>
      </c>
      <c r="AC3901" s="150">
        <v>1</v>
      </c>
      <c r="AD3901" s="150">
        <v>1</v>
      </c>
      <c r="AE3901" s="49">
        <f t="shared" si="144"/>
        <v>0.875</v>
      </c>
      <c r="AF3901" s="485">
        <v>0</v>
      </c>
      <c r="AG3901" s="17">
        <v>0</v>
      </c>
      <c r="AH3901" s="485">
        <v>0.39</v>
      </c>
      <c r="AI3901" s="485">
        <v>0.4147764705882353</v>
      </c>
      <c r="AJ3901" s="485">
        <v>0.4147764705882353</v>
      </c>
      <c r="AK3901" s="493">
        <v>0.4147764705882353</v>
      </c>
      <c r="AL3901" s="493">
        <v>0.4147764705882353</v>
      </c>
      <c r="AM3901" s="17">
        <f t="shared" si="145"/>
        <v>0.8295529411764706</v>
      </c>
      <c r="AN3901" s="162" t="s">
        <v>14391</v>
      </c>
      <c r="AO3901" s="162" t="s">
        <v>14393</v>
      </c>
    </row>
    <row r="3902" spans="1:42" s="162" customFormat="1" x14ac:dyDescent="0.3">
      <c r="A3902" s="205" t="s">
        <v>8321</v>
      </c>
      <c r="B3902" s="162" t="s">
        <v>8322</v>
      </c>
      <c r="C3902" s="168" t="s">
        <v>13452</v>
      </c>
      <c r="D3902" s="162" t="s">
        <v>13453</v>
      </c>
      <c r="E3902" s="406" t="s">
        <v>13454</v>
      </c>
      <c r="F3902" s="162" t="s">
        <v>13455</v>
      </c>
      <c r="G3902" s="162">
        <v>162201</v>
      </c>
      <c r="H3902" s="162" t="s">
        <v>13456</v>
      </c>
      <c r="I3902" s="162" t="s">
        <v>14386</v>
      </c>
      <c r="J3902" s="162" t="s">
        <v>14387</v>
      </c>
      <c r="K3902" s="406" t="s">
        <v>14434</v>
      </c>
      <c r="L3902" s="162" t="s">
        <v>14435</v>
      </c>
      <c r="M3902" s="162" t="s">
        <v>14462</v>
      </c>
      <c r="O3902" s="224">
        <v>10</v>
      </c>
      <c r="P3902" s="229">
        <v>2.5</v>
      </c>
      <c r="Q3902" s="509">
        <v>10</v>
      </c>
      <c r="R3902" s="509">
        <v>6</v>
      </c>
      <c r="S3902" s="509">
        <v>6.8999999999999995</v>
      </c>
      <c r="T3902" s="223" t="s">
        <v>14391</v>
      </c>
      <c r="U3902" t="str">
        <f>VLOOKUP(T3902,[8]Votes!$A$1:$E$234,3,FALSE)</f>
        <v>102 Electoral Commission</v>
      </c>
      <c r="V3902" s="162" t="s">
        <v>14463</v>
      </c>
      <c r="W3902" s="388">
        <v>1</v>
      </c>
      <c r="X3902" s="388">
        <v>1</v>
      </c>
      <c r="Y3902" s="388">
        <v>0</v>
      </c>
      <c r="Z3902" s="388">
        <v>1</v>
      </c>
      <c r="AA3902" s="388">
        <v>1</v>
      </c>
      <c r="AB3902" s="388">
        <v>1</v>
      </c>
      <c r="AC3902" s="150">
        <v>1</v>
      </c>
      <c r="AD3902" s="150">
        <v>1</v>
      </c>
      <c r="AE3902" s="49">
        <f t="shared" si="144"/>
        <v>0.875</v>
      </c>
      <c r="AF3902" s="485">
        <v>0</v>
      </c>
      <c r="AG3902" s="17">
        <v>0</v>
      </c>
      <c r="AH3902" s="485">
        <v>18.07</v>
      </c>
      <c r="AI3902" s="485">
        <v>4.5175000000000001</v>
      </c>
      <c r="AJ3902" s="485">
        <v>18.07</v>
      </c>
      <c r="AK3902" s="493">
        <v>10.842000000000001</v>
      </c>
      <c r="AL3902" s="493">
        <v>12.468299999999999</v>
      </c>
      <c r="AM3902" s="17">
        <f t="shared" si="145"/>
        <v>23.310299999999998</v>
      </c>
      <c r="AN3902" s="162" t="s">
        <v>14391</v>
      </c>
      <c r="AO3902" s="162" t="s">
        <v>14393</v>
      </c>
    </row>
    <row r="3903" spans="1:42" s="162" customFormat="1" x14ac:dyDescent="0.3">
      <c r="A3903" s="205" t="s">
        <v>8321</v>
      </c>
      <c r="B3903" s="162" t="s">
        <v>8322</v>
      </c>
      <c r="C3903" s="168" t="s">
        <v>13452</v>
      </c>
      <c r="D3903" s="162" t="s">
        <v>13453</v>
      </c>
      <c r="E3903" s="406" t="s">
        <v>13454</v>
      </c>
      <c r="F3903" s="162" t="s">
        <v>13455</v>
      </c>
      <c r="G3903" s="162">
        <v>162201</v>
      </c>
      <c r="H3903" s="162" t="s">
        <v>13456</v>
      </c>
      <c r="I3903" s="162" t="s">
        <v>14386</v>
      </c>
      <c r="J3903" s="162" t="s">
        <v>14387</v>
      </c>
      <c r="K3903" s="406" t="s">
        <v>14434</v>
      </c>
      <c r="L3903" s="162" t="s">
        <v>14435</v>
      </c>
      <c r="M3903" s="162" t="s">
        <v>14464</v>
      </c>
      <c r="N3903" s="518">
        <v>0.69199999999999995</v>
      </c>
      <c r="O3903" s="519">
        <v>0.996</v>
      </c>
      <c r="P3903" s="510">
        <v>1</v>
      </c>
      <c r="Q3903" s="492">
        <v>1</v>
      </c>
      <c r="R3903" s="492">
        <v>1</v>
      </c>
      <c r="S3903" s="492">
        <v>1</v>
      </c>
      <c r="T3903" s="223" t="s">
        <v>14391</v>
      </c>
      <c r="U3903" t="str">
        <f>VLOOKUP(T3903,[8]Votes!$A$1:$E$234,3,FALSE)</f>
        <v>102 Electoral Commission</v>
      </c>
      <c r="V3903" s="162" t="s">
        <v>14465</v>
      </c>
      <c r="W3903" s="388">
        <v>1</v>
      </c>
      <c r="X3903" s="388">
        <v>1</v>
      </c>
      <c r="Y3903" s="388">
        <v>0</v>
      </c>
      <c r="Z3903" s="388">
        <v>1</v>
      </c>
      <c r="AA3903" s="388">
        <v>1</v>
      </c>
      <c r="AB3903" s="388">
        <v>1</v>
      </c>
      <c r="AC3903" s="150">
        <v>1</v>
      </c>
      <c r="AD3903" s="150">
        <v>1</v>
      </c>
      <c r="AE3903" s="49">
        <f t="shared" si="144"/>
        <v>0.875</v>
      </c>
      <c r="AF3903" s="485">
        <v>0</v>
      </c>
      <c r="AG3903" s="17">
        <v>0</v>
      </c>
      <c r="AH3903" s="485">
        <v>31.2</v>
      </c>
      <c r="AI3903" s="485">
        <v>3.1325301204819279E-2</v>
      </c>
      <c r="AJ3903" s="485">
        <v>3.132530120481928</v>
      </c>
      <c r="AK3903" s="493">
        <v>3.132530120481928</v>
      </c>
      <c r="AL3903" s="493">
        <v>3.1325301204819279E-2</v>
      </c>
      <c r="AM3903" s="17">
        <f t="shared" si="145"/>
        <v>3.1638554216867472</v>
      </c>
      <c r="AN3903" s="162" t="s">
        <v>14391</v>
      </c>
      <c r="AO3903" s="162" t="s">
        <v>14393</v>
      </c>
    </row>
    <row r="3904" spans="1:42" s="162" customFormat="1" x14ac:dyDescent="0.3">
      <c r="A3904" s="205" t="s">
        <v>8321</v>
      </c>
      <c r="B3904" s="162" t="s">
        <v>8322</v>
      </c>
      <c r="C3904" s="168" t="s">
        <v>13452</v>
      </c>
      <c r="D3904" s="162" t="s">
        <v>13453</v>
      </c>
      <c r="E3904" s="406" t="s">
        <v>13454</v>
      </c>
      <c r="F3904" s="162" t="s">
        <v>13455</v>
      </c>
      <c r="G3904" s="162">
        <v>162201</v>
      </c>
      <c r="H3904" s="162" t="s">
        <v>13456</v>
      </c>
      <c r="I3904" s="162" t="s">
        <v>14386</v>
      </c>
      <c r="J3904" s="162" t="s">
        <v>14387</v>
      </c>
      <c r="K3904" s="406" t="s">
        <v>14434</v>
      </c>
      <c r="L3904" s="162" t="s">
        <v>14435</v>
      </c>
      <c r="M3904" s="162" t="s">
        <v>14466</v>
      </c>
      <c r="O3904" s="510">
        <v>1</v>
      </c>
      <c r="P3904" s="510">
        <v>1</v>
      </c>
      <c r="Q3904" s="492">
        <v>1</v>
      </c>
      <c r="R3904" s="492">
        <v>1</v>
      </c>
      <c r="S3904" s="492">
        <v>1</v>
      </c>
      <c r="T3904" s="223" t="s">
        <v>14391</v>
      </c>
      <c r="U3904" t="str">
        <f>VLOOKUP(T3904,[8]Votes!$A$1:$E$234,3,FALSE)</f>
        <v>102 Electoral Commission</v>
      </c>
      <c r="V3904" s="162" t="s">
        <v>14467</v>
      </c>
      <c r="W3904" s="388">
        <v>1</v>
      </c>
      <c r="X3904" s="388">
        <v>1</v>
      </c>
      <c r="Y3904" s="388">
        <v>0</v>
      </c>
      <c r="Z3904" s="388">
        <v>1</v>
      </c>
      <c r="AA3904" s="388">
        <v>1</v>
      </c>
      <c r="AB3904" s="388">
        <v>0</v>
      </c>
      <c r="AC3904" s="150">
        <v>1</v>
      </c>
      <c r="AD3904" s="150">
        <v>1</v>
      </c>
      <c r="AE3904" s="49">
        <f t="shared" si="144"/>
        <v>0.75</v>
      </c>
      <c r="AF3904" s="485">
        <v>0</v>
      </c>
      <c r="AG3904" s="17">
        <v>0</v>
      </c>
      <c r="AH3904" s="485">
        <v>92.2</v>
      </c>
      <c r="AI3904" s="485">
        <v>9.2200000000000006</v>
      </c>
      <c r="AJ3904" s="485">
        <v>9.2200000000000006</v>
      </c>
      <c r="AK3904" s="493">
        <v>9.2200000000000006</v>
      </c>
      <c r="AL3904" s="493">
        <v>30.733333333333334</v>
      </c>
      <c r="AM3904" s="17">
        <f t="shared" si="145"/>
        <v>39.953333333333333</v>
      </c>
      <c r="AN3904" s="162" t="s">
        <v>14391</v>
      </c>
      <c r="AO3904" s="162" t="s">
        <v>14393</v>
      </c>
    </row>
    <row r="3905" spans="1:41" s="162" customFormat="1" x14ac:dyDescent="0.3">
      <c r="A3905" s="205" t="s">
        <v>8321</v>
      </c>
      <c r="B3905" s="162" t="s">
        <v>8322</v>
      </c>
      <c r="C3905" s="168" t="s">
        <v>13452</v>
      </c>
      <c r="D3905" s="162" t="s">
        <v>13453</v>
      </c>
      <c r="E3905" s="406" t="s">
        <v>13454</v>
      </c>
      <c r="F3905" s="162" t="s">
        <v>13455</v>
      </c>
      <c r="G3905" s="162">
        <v>162201</v>
      </c>
      <c r="H3905" s="162" t="s">
        <v>13456</v>
      </c>
      <c r="I3905" s="162" t="s">
        <v>14386</v>
      </c>
      <c r="J3905" s="162" t="s">
        <v>14387</v>
      </c>
      <c r="K3905" s="406" t="s">
        <v>14434</v>
      </c>
      <c r="L3905" s="162" t="s">
        <v>14435</v>
      </c>
      <c r="M3905" s="162" t="s">
        <v>14468</v>
      </c>
      <c r="O3905" s="510">
        <v>0.85</v>
      </c>
      <c r="P3905" s="510">
        <v>0.75</v>
      </c>
      <c r="Q3905" s="492">
        <v>0.75</v>
      </c>
      <c r="R3905" s="492">
        <v>0.75</v>
      </c>
      <c r="S3905" s="492">
        <v>0.8</v>
      </c>
      <c r="T3905" s="223" t="s">
        <v>14391</v>
      </c>
      <c r="U3905" t="str">
        <f>VLOOKUP(T3905,[8]Votes!$A$1:$E$234,3,FALSE)</f>
        <v>102 Electoral Commission</v>
      </c>
      <c r="V3905" s="162" t="s">
        <v>14469</v>
      </c>
      <c r="W3905" s="388">
        <v>1</v>
      </c>
      <c r="X3905" s="388">
        <v>1</v>
      </c>
      <c r="Y3905" s="388">
        <v>0</v>
      </c>
      <c r="Z3905" s="388">
        <v>1</v>
      </c>
      <c r="AA3905" s="388">
        <v>1</v>
      </c>
      <c r="AB3905" s="388">
        <v>0</v>
      </c>
      <c r="AC3905" s="150">
        <v>1</v>
      </c>
      <c r="AD3905" s="150">
        <v>1</v>
      </c>
      <c r="AE3905" s="49">
        <f t="shared" si="144"/>
        <v>0.75</v>
      </c>
      <c r="AF3905" s="485">
        <v>0</v>
      </c>
      <c r="AG3905" s="17">
        <v>0</v>
      </c>
      <c r="AH3905" s="485">
        <v>9.7000000000000003E-2</v>
      </c>
      <c r="AI3905" s="485">
        <v>8.5588235294117646E-2</v>
      </c>
      <c r="AJ3905" s="485">
        <v>8.5588235294117646E-2</v>
      </c>
      <c r="AK3905" s="493">
        <v>8.5588235294117646E-2</v>
      </c>
      <c r="AL3905" s="493">
        <v>9.1294117647058817E-2</v>
      </c>
      <c r="AM3905" s="17">
        <f t="shared" si="145"/>
        <v>0.17688235294117646</v>
      </c>
      <c r="AN3905" s="162" t="s">
        <v>14391</v>
      </c>
      <c r="AO3905" s="162" t="s">
        <v>14393</v>
      </c>
    </row>
    <row r="3906" spans="1:41" s="162" customFormat="1" x14ac:dyDescent="0.3">
      <c r="A3906" s="205" t="s">
        <v>8321</v>
      </c>
      <c r="B3906" s="162" t="s">
        <v>8322</v>
      </c>
      <c r="C3906" s="168" t="s">
        <v>13452</v>
      </c>
      <c r="D3906" s="162" t="s">
        <v>13453</v>
      </c>
      <c r="E3906" s="406" t="s">
        <v>13454</v>
      </c>
      <c r="F3906" s="162" t="s">
        <v>13455</v>
      </c>
      <c r="G3906" s="162">
        <v>162201</v>
      </c>
      <c r="H3906" s="162" t="s">
        <v>13456</v>
      </c>
      <c r="I3906" s="162" t="s">
        <v>14386</v>
      </c>
      <c r="J3906" s="162" t="s">
        <v>14387</v>
      </c>
      <c r="K3906" s="406" t="s">
        <v>14434</v>
      </c>
      <c r="L3906" s="162" t="s">
        <v>14435</v>
      </c>
      <c r="M3906" s="162" t="s">
        <v>14470</v>
      </c>
      <c r="O3906" s="519">
        <v>0.85</v>
      </c>
      <c r="P3906" s="510">
        <v>1</v>
      </c>
      <c r="Q3906" s="492">
        <v>1</v>
      </c>
      <c r="R3906" s="492">
        <v>1</v>
      </c>
      <c r="S3906" s="492">
        <v>1</v>
      </c>
      <c r="T3906" s="223" t="s">
        <v>14391</v>
      </c>
      <c r="U3906" t="str">
        <f>VLOOKUP(T3906,[8]Votes!$A$1:$E$234,3,FALSE)</f>
        <v>102 Electoral Commission</v>
      </c>
      <c r="V3906" s="162" t="s">
        <v>14471</v>
      </c>
      <c r="W3906" s="388">
        <v>1</v>
      </c>
      <c r="X3906" s="388">
        <v>1</v>
      </c>
      <c r="Y3906" s="388">
        <v>0</v>
      </c>
      <c r="Z3906" s="388">
        <v>1</v>
      </c>
      <c r="AA3906" s="388">
        <v>1</v>
      </c>
      <c r="AB3906" s="388">
        <v>0</v>
      </c>
      <c r="AC3906" s="150">
        <v>1</v>
      </c>
      <c r="AD3906" s="150">
        <v>1</v>
      </c>
      <c r="AE3906" s="49">
        <f t="shared" si="144"/>
        <v>0.75</v>
      </c>
      <c r="AF3906" s="485">
        <v>0</v>
      </c>
      <c r="AG3906" s="17">
        <v>0</v>
      </c>
      <c r="AH3906" s="485">
        <v>407</v>
      </c>
      <c r="AI3906" s="485">
        <v>31.307692307692307</v>
      </c>
      <c r="AJ3906" s="485">
        <v>135.66666666666666</v>
      </c>
      <c r="AK3906" s="493">
        <v>0</v>
      </c>
      <c r="AL3906" s="493">
        <v>0</v>
      </c>
      <c r="AM3906" s="17">
        <f t="shared" si="145"/>
        <v>0</v>
      </c>
      <c r="AN3906" s="162" t="s">
        <v>14391</v>
      </c>
      <c r="AO3906" s="162" t="s">
        <v>14393</v>
      </c>
    </row>
    <row r="3907" spans="1:41" s="162" customFormat="1" x14ac:dyDescent="0.3">
      <c r="A3907" s="205" t="s">
        <v>8321</v>
      </c>
      <c r="B3907" s="162" t="s">
        <v>8322</v>
      </c>
      <c r="C3907" s="168" t="s">
        <v>13452</v>
      </c>
      <c r="D3907" s="162" t="s">
        <v>13453</v>
      </c>
      <c r="E3907" s="406" t="s">
        <v>13454</v>
      </c>
      <c r="F3907" s="162" t="s">
        <v>13455</v>
      </c>
      <c r="G3907" s="162">
        <v>162201</v>
      </c>
      <c r="H3907" s="162" t="s">
        <v>13456</v>
      </c>
      <c r="I3907" s="162" t="s">
        <v>14386</v>
      </c>
      <c r="J3907" s="162" t="s">
        <v>14387</v>
      </c>
      <c r="K3907" s="406" t="s">
        <v>14434</v>
      </c>
      <c r="L3907" s="162" t="s">
        <v>14435</v>
      </c>
      <c r="M3907" s="162" t="s">
        <v>14472</v>
      </c>
      <c r="O3907" s="510">
        <v>1</v>
      </c>
      <c r="P3907" s="510">
        <v>1</v>
      </c>
      <c r="Q3907" s="492">
        <v>1</v>
      </c>
      <c r="R3907" s="492">
        <v>1</v>
      </c>
      <c r="S3907" s="492">
        <v>1</v>
      </c>
      <c r="T3907" s="223" t="s">
        <v>14391</v>
      </c>
      <c r="U3907" t="str">
        <f>VLOOKUP(T3907,[8]Votes!$A$1:$E$234,3,FALSE)</f>
        <v>102 Electoral Commission</v>
      </c>
      <c r="V3907" s="162" t="s">
        <v>14473</v>
      </c>
      <c r="W3907" s="388">
        <v>1</v>
      </c>
      <c r="X3907" s="388">
        <v>1</v>
      </c>
      <c r="Y3907" s="388">
        <v>0</v>
      </c>
      <c r="Z3907" s="388">
        <v>1</v>
      </c>
      <c r="AA3907" s="388">
        <v>1</v>
      </c>
      <c r="AB3907" s="388">
        <v>1</v>
      </c>
      <c r="AC3907" s="150">
        <v>1</v>
      </c>
      <c r="AD3907" s="150">
        <v>1</v>
      </c>
      <c r="AE3907" s="49">
        <f t="shared" si="144"/>
        <v>0.875</v>
      </c>
      <c r="AF3907" s="485">
        <v>0</v>
      </c>
      <c r="AG3907" s="17">
        <v>0</v>
      </c>
      <c r="AH3907" s="485">
        <v>1</v>
      </c>
      <c r="AI3907" s="485">
        <v>1</v>
      </c>
      <c r="AJ3907" s="485">
        <v>1</v>
      </c>
      <c r="AK3907" s="493">
        <v>1</v>
      </c>
      <c r="AL3907" s="493">
        <v>1</v>
      </c>
      <c r="AM3907" s="17">
        <f t="shared" si="145"/>
        <v>2</v>
      </c>
      <c r="AN3907" s="162" t="s">
        <v>14391</v>
      </c>
      <c r="AO3907" s="162" t="s">
        <v>14393</v>
      </c>
    </row>
    <row r="3908" spans="1:41" s="162" customFormat="1" x14ac:dyDescent="0.3">
      <c r="A3908" s="205" t="s">
        <v>8321</v>
      </c>
      <c r="B3908" s="162" t="s">
        <v>8322</v>
      </c>
      <c r="C3908" s="168" t="s">
        <v>13452</v>
      </c>
      <c r="D3908" s="162" t="s">
        <v>13453</v>
      </c>
      <c r="E3908" s="406" t="s">
        <v>13454</v>
      </c>
      <c r="F3908" s="162" t="s">
        <v>13455</v>
      </c>
      <c r="G3908" s="162">
        <v>162201</v>
      </c>
      <c r="H3908" s="162" t="s">
        <v>13456</v>
      </c>
      <c r="I3908" s="162" t="s">
        <v>14386</v>
      </c>
      <c r="J3908" s="162" t="s">
        <v>14387</v>
      </c>
      <c r="K3908" s="406" t="s">
        <v>14434</v>
      </c>
      <c r="L3908" s="162" t="s">
        <v>14435</v>
      </c>
      <c r="M3908" s="162" t="s">
        <v>14474</v>
      </c>
      <c r="O3908" s="510">
        <v>1</v>
      </c>
      <c r="P3908" s="510">
        <v>1</v>
      </c>
      <c r="Q3908" s="510">
        <v>1</v>
      </c>
      <c r="R3908" s="510">
        <v>0.15</v>
      </c>
      <c r="S3908" s="510">
        <v>0.15</v>
      </c>
      <c r="T3908" s="223" t="s">
        <v>14391</v>
      </c>
      <c r="U3908" t="str">
        <f>VLOOKUP(T3908,[8]Votes!$A$1:$E$234,3,FALSE)</f>
        <v>102 Electoral Commission</v>
      </c>
      <c r="V3908" s="162" t="s">
        <v>14475</v>
      </c>
      <c r="W3908" s="388">
        <v>1</v>
      </c>
      <c r="X3908" s="388">
        <v>1</v>
      </c>
      <c r="Y3908" s="388">
        <v>1</v>
      </c>
      <c r="Z3908" s="388">
        <v>1</v>
      </c>
      <c r="AA3908" s="388">
        <v>1</v>
      </c>
      <c r="AB3908" s="388">
        <v>1</v>
      </c>
      <c r="AC3908" s="150">
        <v>1</v>
      </c>
      <c r="AD3908" s="150">
        <v>1</v>
      </c>
      <c r="AE3908" s="49">
        <f t="shared" si="144"/>
        <v>1</v>
      </c>
      <c r="AF3908" s="485">
        <v>0</v>
      </c>
      <c r="AG3908" s="17">
        <v>0</v>
      </c>
      <c r="AH3908" s="485">
        <v>91.3</v>
      </c>
      <c r="AI3908" s="485">
        <v>7.6083333333333334</v>
      </c>
      <c r="AJ3908" s="485">
        <v>7.6083333333333334</v>
      </c>
      <c r="AK3908" s="493">
        <v>1.1412499999999999</v>
      </c>
      <c r="AL3908" s="493">
        <v>1.1412499999999999</v>
      </c>
      <c r="AM3908" s="17">
        <f t="shared" si="145"/>
        <v>2.2824999999999998</v>
      </c>
      <c r="AN3908" s="162" t="s">
        <v>14391</v>
      </c>
      <c r="AO3908" s="162" t="s">
        <v>14393</v>
      </c>
    </row>
    <row r="3909" spans="1:41" s="162" customFormat="1" x14ac:dyDescent="0.3">
      <c r="A3909" s="205" t="s">
        <v>8321</v>
      </c>
      <c r="B3909" s="162" t="s">
        <v>8322</v>
      </c>
      <c r="C3909" s="168" t="s">
        <v>13452</v>
      </c>
      <c r="D3909" s="162" t="s">
        <v>13453</v>
      </c>
      <c r="E3909" s="406" t="s">
        <v>13454</v>
      </c>
      <c r="F3909" s="162" t="s">
        <v>13455</v>
      </c>
      <c r="G3909" s="162">
        <v>162201</v>
      </c>
      <c r="H3909" s="162" t="s">
        <v>13456</v>
      </c>
      <c r="I3909" s="162" t="s">
        <v>14386</v>
      </c>
      <c r="J3909" s="162" t="s">
        <v>14387</v>
      </c>
      <c r="K3909" s="406" t="s">
        <v>14434</v>
      </c>
      <c r="L3909" s="162" t="s">
        <v>14435</v>
      </c>
      <c r="M3909" s="162" t="s">
        <v>14476</v>
      </c>
      <c r="O3909" s="512">
        <v>1588329</v>
      </c>
      <c r="P3909" s="229">
        <v>397082.25</v>
      </c>
      <c r="Q3909" s="509">
        <v>1588329</v>
      </c>
      <c r="R3909" s="509">
        <v>15883.29</v>
      </c>
      <c r="S3909" s="509">
        <v>4764.9870000000001</v>
      </c>
      <c r="T3909" s="223" t="s">
        <v>14391</v>
      </c>
      <c r="U3909" t="str">
        <f>VLOOKUP(T3909,[8]Votes!$A$1:$E$234,3,FALSE)</f>
        <v>102 Electoral Commission</v>
      </c>
      <c r="V3909" s="162" t="s">
        <v>14477</v>
      </c>
      <c r="W3909" s="388">
        <v>1</v>
      </c>
      <c r="X3909" s="388">
        <v>1</v>
      </c>
      <c r="Y3909" s="388">
        <v>0</v>
      </c>
      <c r="Z3909" s="388">
        <v>1</v>
      </c>
      <c r="AA3909" s="388">
        <v>1</v>
      </c>
      <c r="AB3909" s="388">
        <v>0</v>
      </c>
      <c r="AC3909" s="150">
        <v>1</v>
      </c>
      <c r="AD3909" s="150">
        <v>1</v>
      </c>
      <c r="AE3909" s="49">
        <f t="shared" si="144"/>
        <v>0.75</v>
      </c>
      <c r="AF3909" s="485">
        <v>0</v>
      </c>
      <c r="AG3909" s="17">
        <v>0</v>
      </c>
      <c r="AH3909" s="485">
        <v>87.36</v>
      </c>
      <c r="AI3909" s="485">
        <v>21.84</v>
      </c>
      <c r="AJ3909" s="485">
        <v>87.36</v>
      </c>
      <c r="AK3909" s="493">
        <v>0.87360000000000004</v>
      </c>
      <c r="AL3909" s="493">
        <v>0.26207999999999998</v>
      </c>
      <c r="AM3909" s="17">
        <f t="shared" si="145"/>
        <v>1.13568</v>
      </c>
      <c r="AN3909" s="520" t="s">
        <v>14391</v>
      </c>
      <c r="AO3909" s="162" t="s">
        <v>14393</v>
      </c>
    </row>
    <row r="3910" spans="1:41" s="162" customFormat="1" x14ac:dyDescent="0.3">
      <c r="A3910" s="205" t="s">
        <v>8321</v>
      </c>
      <c r="B3910" s="162" t="s">
        <v>8322</v>
      </c>
      <c r="C3910" s="168" t="s">
        <v>13452</v>
      </c>
      <c r="D3910" s="162" t="s">
        <v>13453</v>
      </c>
      <c r="E3910" s="406" t="s">
        <v>13454</v>
      </c>
      <c r="F3910" s="162" t="s">
        <v>13455</v>
      </c>
      <c r="G3910" s="162">
        <v>162201</v>
      </c>
      <c r="H3910" s="162" t="s">
        <v>13456</v>
      </c>
      <c r="I3910" s="162" t="s">
        <v>14386</v>
      </c>
      <c r="J3910" s="162" t="s">
        <v>14387</v>
      </c>
      <c r="K3910" s="406" t="s">
        <v>14434</v>
      </c>
      <c r="L3910" s="162" t="s">
        <v>14435</v>
      </c>
      <c r="M3910" s="162" t="s">
        <v>14478</v>
      </c>
      <c r="N3910" s="512">
        <v>652730</v>
      </c>
      <c r="O3910" s="512">
        <v>811060</v>
      </c>
      <c r="P3910" s="512">
        <v>811060</v>
      </c>
      <c r="Q3910" s="229">
        <v>851613</v>
      </c>
      <c r="R3910" s="229">
        <v>851613</v>
      </c>
      <c r="S3910" s="510">
        <v>851613</v>
      </c>
      <c r="T3910" s="223" t="s">
        <v>14391</v>
      </c>
      <c r="U3910" t="str">
        <f>VLOOKUP(T3910,[8]Votes!$A$1:$E$234,3,FALSE)</f>
        <v>102 Electoral Commission</v>
      </c>
      <c r="V3910" s="162" t="s">
        <v>14479</v>
      </c>
      <c r="W3910" s="388">
        <v>1</v>
      </c>
      <c r="X3910" s="388">
        <v>1</v>
      </c>
      <c r="Y3910" s="388">
        <v>1</v>
      </c>
      <c r="Z3910" s="388">
        <v>1</v>
      </c>
      <c r="AA3910" s="388">
        <v>1</v>
      </c>
      <c r="AB3910" s="388">
        <v>1</v>
      </c>
      <c r="AC3910" s="150">
        <v>1</v>
      </c>
      <c r="AD3910" s="150">
        <v>1</v>
      </c>
      <c r="AE3910" s="49">
        <f t="shared" si="144"/>
        <v>1</v>
      </c>
      <c r="AF3910" s="485">
        <v>0</v>
      </c>
      <c r="AG3910" s="17">
        <v>0</v>
      </c>
      <c r="AH3910" s="190">
        <v>0</v>
      </c>
      <c r="AI3910" s="485">
        <v>11</v>
      </c>
      <c r="AJ3910" s="485">
        <v>59.12</v>
      </c>
      <c r="AK3910" s="191">
        <v>0</v>
      </c>
      <c r="AL3910" s="191">
        <v>0</v>
      </c>
      <c r="AM3910" s="17">
        <f t="shared" si="145"/>
        <v>0</v>
      </c>
      <c r="AN3910" s="162" t="s">
        <v>14391</v>
      </c>
      <c r="AO3910" s="162" t="s">
        <v>14393</v>
      </c>
    </row>
    <row r="3911" spans="1:41" s="162" customFormat="1" x14ac:dyDescent="0.3">
      <c r="A3911" s="205" t="s">
        <v>8321</v>
      </c>
      <c r="B3911" s="162" t="s">
        <v>8322</v>
      </c>
      <c r="C3911" s="168" t="s">
        <v>13452</v>
      </c>
      <c r="D3911" s="162" t="s">
        <v>13453</v>
      </c>
      <c r="E3911" s="406" t="s">
        <v>13454</v>
      </c>
      <c r="F3911" s="162" t="s">
        <v>13455</v>
      </c>
      <c r="G3911" s="162">
        <v>162201</v>
      </c>
      <c r="H3911" s="162" t="s">
        <v>13456</v>
      </c>
      <c r="I3911" s="162" t="s">
        <v>14386</v>
      </c>
      <c r="J3911" s="162" t="s">
        <v>14387</v>
      </c>
      <c r="K3911" s="406" t="s">
        <v>14434</v>
      </c>
      <c r="L3911" s="162" t="s">
        <v>14435</v>
      </c>
      <c r="M3911" s="162" t="s">
        <v>14478</v>
      </c>
      <c r="N3911" s="512">
        <v>334080</v>
      </c>
      <c r="O3911" s="512">
        <v>417325</v>
      </c>
      <c r="P3911" s="512">
        <v>417325</v>
      </c>
      <c r="Q3911" s="512">
        <v>438191.25</v>
      </c>
      <c r="R3911" s="512">
        <v>438191.25</v>
      </c>
      <c r="S3911" s="512">
        <v>438191.25</v>
      </c>
      <c r="T3911" s="223" t="s">
        <v>14391</v>
      </c>
      <c r="U3911" t="str">
        <f>VLOOKUP(T3911,[8]Votes!$A$1:$E$234,3,FALSE)</f>
        <v>102 Electoral Commission</v>
      </c>
      <c r="V3911" s="162" t="s">
        <v>14480</v>
      </c>
      <c r="W3911" s="388">
        <v>1</v>
      </c>
      <c r="X3911" s="388">
        <v>1</v>
      </c>
      <c r="Y3911" s="388">
        <v>1</v>
      </c>
      <c r="Z3911" s="388">
        <v>1</v>
      </c>
      <c r="AA3911" s="388">
        <v>1</v>
      </c>
      <c r="AB3911" s="388">
        <v>1</v>
      </c>
      <c r="AC3911" s="150">
        <v>1</v>
      </c>
      <c r="AD3911" s="150">
        <v>1</v>
      </c>
      <c r="AE3911" s="49">
        <f t="shared" si="144"/>
        <v>1</v>
      </c>
      <c r="AF3911" s="485">
        <v>0</v>
      </c>
      <c r="AG3911" s="17">
        <v>0</v>
      </c>
      <c r="AH3911" s="190">
        <v>0</v>
      </c>
      <c r="AI3911" s="485">
        <v>11</v>
      </c>
      <c r="AJ3911" s="485">
        <v>31.56</v>
      </c>
      <c r="AK3911" s="191">
        <v>0</v>
      </c>
      <c r="AL3911" s="191">
        <v>0</v>
      </c>
      <c r="AM3911" s="17">
        <f t="shared" si="145"/>
        <v>0</v>
      </c>
      <c r="AN3911" s="162" t="s">
        <v>14391</v>
      </c>
      <c r="AO3911" s="162" t="s">
        <v>14393</v>
      </c>
    </row>
    <row r="3912" spans="1:41" s="162" customFormat="1" x14ac:dyDescent="0.3">
      <c r="A3912" s="205" t="s">
        <v>8321</v>
      </c>
      <c r="B3912" s="162" t="s">
        <v>8322</v>
      </c>
      <c r="C3912" s="168" t="s">
        <v>13452</v>
      </c>
      <c r="D3912" s="162" t="s">
        <v>13453</v>
      </c>
      <c r="E3912" s="406" t="s">
        <v>13454</v>
      </c>
      <c r="F3912" s="162" t="s">
        <v>13455</v>
      </c>
      <c r="G3912" s="162">
        <v>162201</v>
      </c>
      <c r="H3912" s="162" t="s">
        <v>13456</v>
      </c>
      <c r="I3912" s="162" t="s">
        <v>14386</v>
      </c>
      <c r="J3912" s="162" t="s">
        <v>14387</v>
      </c>
      <c r="K3912" s="406" t="s">
        <v>14481</v>
      </c>
      <c r="L3912" s="162" t="s">
        <v>14482</v>
      </c>
      <c r="M3912" s="162" t="s">
        <v>14483</v>
      </c>
      <c r="O3912" s="510">
        <v>0.86</v>
      </c>
      <c r="P3912" s="510">
        <v>0.9</v>
      </c>
      <c r="Q3912" s="510">
        <v>0.95</v>
      </c>
      <c r="R3912" s="510">
        <v>1</v>
      </c>
      <c r="S3912" s="510">
        <v>1</v>
      </c>
      <c r="T3912" s="223" t="s">
        <v>14391</v>
      </c>
      <c r="U3912" t="str">
        <f>VLOOKUP(T3912,[8]Votes!$A$1:$E$234,3,FALSE)</f>
        <v>102 Electoral Commission</v>
      </c>
      <c r="V3912" s="162" t="s">
        <v>14484</v>
      </c>
      <c r="W3912" s="388">
        <v>1</v>
      </c>
      <c r="X3912" s="388">
        <v>1</v>
      </c>
      <c r="Y3912" s="388">
        <v>0</v>
      </c>
      <c r="Z3912" s="388">
        <v>1</v>
      </c>
      <c r="AA3912" s="388">
        <v>1</v>
      </c>
      <c r="AB3912" s="388">
        <v>0</v>
      </c>
      <c r="AC3912" s="150">
        <v>1</v>
      </c>
      <c r="AD3912" s="150">
        <v>1</v>
      </c>
      <c r="AE3912" s="49">
        <f t="shared" si="144"/>
        <v>0.75</v>
      </c>
      <c r="AF3912" s="485">
        <v>0</v>
      </c>
      <c r="AG3912" s="17">
        <v>0</v>
      </c>
      <c r="AH3912" s="485">
        <v>3.4</v>
      </c>
      <c r="AI3912" s="485">
        <v>2.4906976744186045</v>
      </c>
      <c r="AJ3912" s="485">
        <v>2.6290697674418602</v>
      </c>
      <c r="AK3912" s="493">
        <v>2.7674418604651159</v>
      </c>
      <c r="AL3912" s="493">
        <v>2.72</v>
      </c>
      <c r="AM3912" s="17">
        <f t="shared" si="145"/>
        <v>5.4874418604651165</v>
      </c>
      <c r="AN3912" s="162" t="s">
        <v>14391</v>
      </c>
      <c r="AO3912" s="162" t="s">
        <v>14393</v>
      </c>
    </row>
    <row r="3913" spans="1:41" s="162" customFormat="1" x14ac:dyDescent="0.3">
      <c r="A3913" s="205" t="s">
        <v>8321</v>
      </c>
      <c r="B3913" s="162" t="s">
        <v>8322</v>
      </c>
      <c r="C3913" s="168" t="s">
        <v>13452</v>
      </c>
      <c r="D3913" s="162" t="s">
        <v>13453</v>
      </c>
      <c r="E3913" s="406" t="s">
        <v>13454</v>
      </c>
      <c r="F3913" s="162" t="s">
        <v>13455</v>
      </c>
      <c r="G3913" s="162">
        <v>162201</v>
      </c>
      <c r="H3913" s="162" t="s">
        <v>13456</v>
      </c>
      <c r="I3913" s="162" t="s">
        <v>14386</v>
      </c>
      <c r="J3913" s="162" t="s">
        <v>14387</v>
      </c>
      <c r="K3913" s="406" t="s">
        <v>14481</v>
      </c>
      <c r="L3913" s="162" t="s">
        <v>14482</v>
      </c>
      <c r="M3913" s="162" t="s">
        <v>14485</v>
      </c>
      <c r="O3913" s="224">
        <v>1</v>
      </c>
      <c r="P3913" s="224">
        <v>1</v>
      </c>
      <c r="Q3913" s="224">
        <v>5</v>
      </c>
      <c r="R3913" s="224">
        <v>5</v>
      </c>
      <c r="S3913" s="224">
        <v>5</v>
      </c>
      <c r="T3913" s="223" t="s">
        <v>14391</v>
      </c>
      <c r="U3913" t="str">
        <f>VLOOKUP(T3913,[8]Votes!$A$1:$E$234,3,FALSE)</f>
        <v>102 Electoral Commission</v>
      </c>
      <c r="V3913" s="162" t="s">
        <v>14486</v>
      </c>
      <c r="W3913" s="388">
        <v>1</v>
      </c>
      <c r="X3913" s="388">
        <v>1</v>
      </c>
      <c r="Y3913" s="388">
        <v>0</v>
      </c>
      <c r="Z3913" s="388">
        <v>1</v>
      </c>
      <c r="AA3913" s="388">
        <v>1</v>
      </c>
      <c r="AB3913" s="388">
        <v>0</v>
      </c>
      <c r="AC3913" s="150">
        <v>1</v>
      </c>
      <c r="AD3913" s="150">
        <v>1</v>
      </c>
      <c r="AE3913" s="49">
        <f t="shared" si="144"/>
        <v>0.75</v>
      </c>
      <c r="AF3913" s="485">
        <v>0</v>
      </c>
      <c r="AG3913" s="17">
        <v>0</v>
      </c>
      <c r="AH3913" s="485">
        <v>4.875</v>
      </c>
      <c r="AI3913" s="485">
        <v>4.875</v>
      </c>
      <c r="AJ3913" s="485">
        <v>24.375</v>
      </c>
      <c r="AK3913" s="493">
        <v>24.375</v>
      </c>
      <c r="AL3913" s="493">
        <v>24.375</v>
      </c>
      <c r="AM3913" s="17">
        <f t="shared" si="145"/>
        <v>48.75</v>
      </c>
      <c r="AN3913" s="162" t="s">
        <v>14391</v>
      </c>
      <c r="AO3913" s="162" t="s">
        <v>14393</v>
      </c>
    </row>
    <row r="3914" spans="1:41" s="162" customFormat="1" x14ac:dyDescent="0.3">
      <c r="A3914" s="205" t="s">
        <v>8321</v>
      </c>
      <c r="B3914" s="162" t="s">
        <v>8322</v>
      </c>
      <c r="C3914" s="168" t="s">
        <v>13452</v>
      </c>
      <c r="D3914" s="162" t="s">
        <v>13453</v>
      </c>
      <c r="E3914" s="406" t="s">
        <v>13454</v>
      </c>
      <c r="F3914" s="162" t="s">
        <v>13455</v>
      </c>
      <c r="G3914" s="162">
        <v>162201</v>
      </c>
      <c r="H3914" s="162" t="s">
        <v>13456</v>
      </c>
      <c r="I3914" s="162" t="s">
        <v>14386</v>
      </c>
      <c r="J3914" s="162" t="s">
        <v>14387</v>
      </c>
      <c r="K3914" s="406" t="s">
        <v>14481</v>
      </c>
      <c r="L3914" s="162" t="s">
        <v>14482</v>
      </c>
      <c r="M3914" s="162" t="s">
        <v>14487</v>
      </c>
      <c r="O3914" s="229">
        <v>6980</v>
      </c>
      <c r="P3914" s="229">
        <v>1745</v>
      </c>
      <c r="Q3914" s="509">
        <v>6980</v>
      </c>
      <c r="R3914" s="509">
        <v>4188</v>
      </c>
      <c r="S3914" s="509">
        <v>4816.2</v>
      </c>
      <c r="T3914" s="223" t="s">
        <v>14391</v>
      </c>
      <c r="U3914" t="str">
        <f>VLOOKUP(T3914,[8]Votes!$A$1:$E$234,3,FALSE)</f>
        <v>102 Electoral Commission</v>
      </c>
      <c r="V3914" s="162" t="s">
        <v>14488</v>
      </c>
      <c r="W3914" s="388">
        <v>1</v>
      </c>
      <c r="X3914" s="388">
        <v>1</v>
      </c>
      <c r="Y3914" s="388">
        <v>0</v>
      </c>
      <c r="Z3914" s="388">
        <v>1</v>
      </c>
      <c r="AA3914" s="388">
        <v>1</v>
      </c>
      <c r="AB3914" s="388">
        <v>0</v>
      </c>
      <c r="AC3914" s="150">
        <v>1</v>
      </c>
      <c r="AD3914" s="150">
        <v>1</v>
      </c>
      <c r="AE3914" s="49">
        <f t="shared" si="144"/>
        <v>0.75</v>
      </c>
      <c r="AF3914" s="485">
        <v>0</v>
      </c>
      <c r="AG3914" s="17">
        <v>0</v>
      </c>
      <c r="AH3914" s="485">
        <v>37.839999999999996</v>
      </c>
      <c r="AI3914" s="485">
        <v>9.4599999999999991</v>
      </c>
      <c r="AJ3914" s="485">
        <v>37.839999999999996</v>
      </c>
      <c r="AK3914" s="493">
        <v>0</v>
      </c>
      <c r="AL3914" s="493">
        <v>0</v>
      </c>
      <c r="AM3914" s="17">
        <f t="shared" si="145"/>
        <v>0</v>
      </c>
      <c r="AN3914" s="162" t="s">
        <v>14391</v>
      </c>
      <c r="AO3914" s="162" t="s">
        <v>14393</v>
      </c>
    </row>
    <row r="3915" spans="1:41" s="162" customFormat="1" x14ac:dyDescent="0.3">
      <c r="A3915" s="205" t="s">
        <v>8321</v>
      </c>
      <c r="B3915" s="162" t="s">
        <v>8322</v>
      </c>
      <c r="C3915" s="168" t="s">
        <v>13452</v>
      </c>
      <c r="D3915" s="162" t="s">
        <v>13453</v>
      </c>
      <c r="E3915" s="406" t="s">
        <v>13454</v>
      </c>
      <c r="F3915" s="162" t="s">
        <v>13455</v>
      </c>
      <c r="G3915" s="162">
        <v>162201</v>
      </c>
      <c r="H3915" s="162" t="s">
        <v>13456</v>
      </c>
      <c r="I3915" s="162" t="s">
        <v>14386</v>
      </c>
      <c r="J3915" s="162" t="s">
        <v>14387</v>
      </c>
      <c r="K3915" s="406" t="s">
        <v>14481</v>
      </c>
      <c r="L3915" s="162" t="s">
        <v>14482</v>
      </c>
      <c r="M3915" s="162" t="s">
        <v>14489</v>
      </c>
      <c r="O3915" s="492">
        <v>1</v>
      </c>
      <c r="P3915" s="492">
        <v>0.6</v>
      </c>
      <c r="Q3915" s="492">
        <v>0.8</v>
      </c>
      <c r="R3915" s="492">
        <v>0.6</v>
      </c>
      <c r="S3915" s="492">
        <v>0.8</v>
      </c>
      <c r="T3915" s="223" t="s">
        <v>14391</v>
      </c>
      <c r="U3915" t="str">
        <f>VLOOKUP(T3915,[8]Votes!$A$1:$E$234,3,FALSE)</f>
        <v>102 Electoral Commission</v>
      </c>
      <c r="V3915" s="162" t="s">
        <v>14490</v>
      </c>
      <c r="W3915" s="388">
        <v>1</v>
      </c>
      <c r="X3915" s="388">
        <v>1</v>
      </c>
      <c r="Y3915" s="388">
        <v>0</v>
      </c>
      <c r="Z3915" s="388">
        <v>1</v>
      </c>
      <c r="AA3915" s="388">
        <v>1</v>
      </c>
      <c r="AB3915" s="388">
        <v>0</v>
      </c>
      <c r="AC3915" s="150">
        <v>1</v>
      </c>
      <c r="AD3915" s="150">
        <v>1</v>
      </c>
      <c r="AE3915" s="49">
        <f t="shared" si="144"/>
        <v>0.75</v>
      </c>
      <c r="AF3915" s="485">
        <v>0</v>
      </c>
      <c r="AG3915" s="17">
        <v>0</v>
      </c>
      <c r="AH3915" s="485">
        <v>123</v>
      </c>
      <c r="AI3915" s="485">
        <v>3.69</v>
      </c>
      <c r="AJ3915" s="485">
        <v>4.9200000000000008</v>
      </c>
      <c r="AK3915" s="493">
        <v>3.69</v>
      </c>
      <c r="AL3915" s="493">
        <v>4.9200000000000008</v>
      </c>
      <c r="AM3915" s="17">
        <f t="shared" si="145"/>
        <v>8.6100000000000012</v>
      </c>
      <c r="AN3915" s="162" t="s">
        <v>14391</v>
      </c>
      <c r="AO3915" s="162" t="s">
        <v>14393</v>
      </c>
    </row>
    <row r="3916" spans="1:41" s="162" customFormat="1" x14ac:dyDescent="0.3">
      <c r="A3916" s="205" t="s">
        <v>8321</v>
      </c>
      <c r="B3916" s="162" t="s">
        <v>8322</v>
      </c>
      <c r="C3916" s="168" t="s">
        <v>13452</v>
      </c>
      <c r="D3916" s="162" t="s">
        <v>13453</v>
      </c>
      <c r="E3916" s="406" t="s">
        <v>13454</v>
      </c>
      <c r="F3916" s="162" t="s">
        <v>13455</v>
      </c>
      <c r="G3916" s="162">
        <v>162201</v>
      </c>
      <c r="H3916" s="162" t="s">
        <v>13456</v>
      </c>
      <c r="I3916" s="162" t="s">
        <v>14386</v>
      </c>
      <c r="J3916" s="162" t="s">
        <v>14387</v>
      </c>
      <c r="K3916" s="406" t="s">
        <v>14481</v>
      </c>
      <c r="L3916" s="162" t="s">
        <v>14482</v>
      </c>
      <c r="M3916" s="162" t="s">
        <v>14491</v>
      </c>
      <c r="O3916" s="492">
        <v>0.69</v>
      </c>
      <c r="P3916" s="492">
        <v>0.7</v>
      </c>
      <c r="Q3916" s="492">
        <v>0.75</v>
      </c>
      <c r="R3916" s="492">
        <v>0.8</v>
      </c>
      <c r="S3916" s="492">
        <v>0.9</v>
      </c>
      <c r="T3916" s="223" t="s">
        <v>14391</v>
      </c>
      <c r="U3916" t="str">
        <f>VLOOKUP(T3916,[8]Votes!$A$1:$E$234,3,FALSE)</f>
        <v>102 Electoral Commission</v>
      </c>
      <c r="V3916" s="162" t="s">
        <v>14492</v>
      </c>
      <c r="W3916" s="388">
        <v>1</v>
      </c>
      <c r="X3916" s="388">
        <v>1</v>
      </c>
      <c r="Y3916" s="388">
        <v>0</v>
      </c>
      <c r="Z3916" s="388">
        <v>1</v>
      </c>
      <c r="AA3916" s="388">
        <v>0</v>
      </c>
      <c r="AB3916" s="388">
        <v>1</v>
      </c>
      <c r="AC3916" s="150">
        <v>1</v>
      </c>
      <c r="AD3916" s="150">
        <v>1</v>
      </c>
      <c r="AE3916" s="49">
        <f t="shared" si="144"/>
        <v>0.75</v>
      </c>
      <c r="AF3916" s="485">
        <v>0</v>
      </c>
      <c r="AG3916" s="17">
        <v>0</v>
      </c>
      <c r="AH3916" s="485">
        <v>0.2</v>
      </c>
      <c r="AI3916" s="485">
        <v>0.20289855072463769</v>
      </c>
      <c r="AJ3916" s="485">
        <v>0.21739130434782608</v>
      </c>
      <c r="AK3916" s="493">
        <v>0.2318840579710145</v>
      </c>
      <c r="AL3916" s="493">
        <v>0.2608695652173913</v>
      </c>
      <c r="AM3916" s="17">
        <f t="shared" si="145"/>
        <v>0.49275362318840576</v>
      </c>
      <c r="AN3916" s="520" t="s">
        <v>14391</v>
      </c>
      <c r="AO3916" s="162" t="s">
        <v>14393</v>
      </c>
    </row>
    <row r="3917" spans="1:41" s="162" customFormat="1" x14ac:dyDescent="0.3">
      <c r="A3917" s="205" t="s">
        <v>8321</v>
      </c>
      <c r="B3917" s="162" t="s">
        <v>8322</v>
      </c>
      <c r="C3917" s="168" t="s">
        <v>13452</v>
      </c>
      <c r="D3917" s="162" t="s">
        <v>13453</v>
      </c>
      <c r="E3917" s="406" t="s">
        <v>13454</v>
      </c>
      <c r="F3917" s="162" t="s">
        <v>13455</v>
      </c>
      <c r="G3917" s="162">
        <v>162201</v>
      </c>
      <c r="H3917" s="162" t="s">
        <v>13456</v>
      </c>
      <c r="I3917" s="162" t="s">
        <v>14386</v>
      </c>
      <c r="J3917" s="162" t="s">
        <v>14387</v>
      </c>
      <c r="K3917" s="406" t="s">
        <v>14481</v>
      </c>
      <c r="L3917" s="162" t="s">
        <v>14493</v>
      </c>
      <c r="M3917" s="162" t="s">
        <v>14494</v>
      </c>
      <c r="O3917" s="224">
        <v>4</v>
      </c>
      <c r="P3917" s="224">
        <v>4</v>
      </c>
      <c r="Q3917" s="224">
        <v>4</v>
      </c>
      <c r="R3917" s="224">
        <v>4</v>
      </c>
      <c r="S3917" s="224">
        <v>4</v>
      </c>
      <c r="T3917" s="223" t="s">
        <v>14391</v>
      </c>
      <c r="U3917" t="str">
        <f>VLOOKUP(T3917,[8]Votes!$A$1:$E$234,3,FALSE)</f>
        <v>102 Electoral Commission</v>
      </c>
      <c r="V3917" s="162" t="s">
        <v>14495</v>
      </c>
      <c r="W3917" s="388">
        <v>1</v>
      </c>
      <c r="X3917" s="388">
        <v>1</v>
      </c>
      <c r="Y3917" s="388">
        <v>0</v>
      </c>
      <c r="Z3917" s="388">
        <v>1</v>
      </c>
      <c r="AA3917" s="388">
        <v>0</v>
      </c>
      <c r="AB3917" s="388">
        <v>1</v>
      </c>
      <c r="AC3917" s="150">
        <v>1</v>
      </c>
      <c r="AD3917" s="150">
        <v>1</v>
      </c>
      <c r="AE3917" s="49">
        <f t="shared" si="144"/>
        <v>0.75</v>
      </c>
      <c r="AF3917" s="485">
        <v>0</v>
      </c>
      <c r="AG3917" s="17">
        <v>0</v>
      </c>
      <c r="AH3917" s="485">
        <v>0.65400000000000003</v>
      </c>
      <c r="AI3917" s="485">
        <v>0.65400000000000003</v>
      </c>
      <c r="AJ3917" s="485">
        <v>0.65400000000000003</v>
      </c>
      <c r="AK3917" s="493">
        <v>0.65400000000000003</v>
      </c>
      <c r="AL3917" s="493">
        <v>0.65400000000000003</v>
      </c>
      <c r="AM3917" s="17">
        <f t="shared" si="145"/>
        <v>1.3080000000000001</v>
      </c>
      <c r="AN3917" s="162" t="s">
        <v>14391</v>
      </c>
      <c r="AO3917" s="162" t="s">
        <v>14393</v>
      </c>
    </row>
    <row r="3918" spans="1:41" s="162" customFormat="1" x14ac:dyDescent="0.3">
      <c r="A3918" s="205" t="s">
        <v>8321</v>
      </c>
      <c r="B3918" s="162" t="s">
        <v>8322</v>
      </c>
      <c r="C3918" s="168" t="s">
        <v>13452</v>
      </c>
      <c r="D3918" s="162" t="s">
        <v>13453</v>
      </c>
      <c r="E3918" s="406" t="s">
        <v>13454</v>
      </c>
      <c r="F3918" s="162" t="s">
        <v>13455</v>
      </c>
      <c r="G3918" s="162">
        <v>162201</v>
      </c>
      <c r="H3918" s="162" t="s">
        <v>13456</v>
      </c>
      <c r="I3918" s="162" t="s">
        <v>14386</v>
      </c>
      <c r="J3918" s="162" t="s">
        <v>14387</v>
      </c>
      <c r="K3918" s="406" t="s">
        <v>14496</v>
      </c>
      <c r="L3918" s="162" t="s">
        <v>14497</v>
      </c>
      <c r="M3918" s="162" t="s">
        <v>14498</v>
      </c>
      <c r="O3918" s="224">
        <v>74</v>
      </c>
      <c r="P3918" s="224">
        <v>60</v>
      </c>
      <c r="Q3918" s="224">
        <v>40</v>
      </c>
      <c r="R3918" s="224">
        <v>40</v>
      </c>
      <c r="S3918" s="224">
        <v>60</v>
      </c>
      <c r="T3918" s="223" t="s">
        <v>14391</v>
      </c>
      <c r="U3918" t="str">
        <f>VLOOKUP(T3918,[8]Votes!$A$1:$E$234,3,FALSE)</f>
        <v>102 Electoral Commission</v>
      </c>
      <c r="V3918" s="162" t="s">
        <v>14499</v>
      </c>
      <c r="W3918" s="388">
        <v>1</v>
      </c>
      <c r="X3918" s="388">
        <v>1</v>
      </c>
      <c r="Y3918" s="388">
        <v>0</v>
      </c>
      <c r="Z3918" s="388">
        <v>1</v>
      </c>
      <c r="AA3918" s="388">
        <v>0</v>
      </c>
      <c r="AB3918" s="388">
        <v>1</v>
      </c>
      <c r="AC3918" s="150">
        <v>1</v>
      </c>
      <c r="AD3918" s="150">
        <v>1</v>
      </c>
      <c r="AE3918" s="49">
        <f t="shared" si="144"/>
        <v>0.75</v>
      </c>
      <c r="AF3918" s="485">
        <v>0</v>
      </c>
      <c r="AG3918" s="17">
        <v>0</v>
      </c>
      <c r="AH3918" s="485">
        <v>0.3</v>
      </c>
      <c r="AI3918" s="485">
        <v>0.24324324324324326</v>
      </c>
      <c r="AJ3918" s="485">
        <v>0.16216216216216217</v>
      </c>
      <c r="AK3918" s="493">
        <v>0.16216216216216217</v>
      </c>
      <c r="AL3918" s="493">
        <v>0.24324324324324326</v>
      </c>
      <c r="AM3918" s="17">
        <f t="shared" si="145"/>
        <v>0.40540540540540543</v>
      </c>
      <c r="AN3918" s="162" t="s">
        <v>14391</v>
      </c>
      <c r="AO3918" s="162" t="s">
        <v>14393</v>
      </c>
    </row>
    <row r="3919" spans="1:41" s="162" customFormat="1" x14ac:dyDescent="0.3">
      <c r="A3919" s="205" t="s">
        <v>8321</v>
      </c>
      <c r="B3919" s="162" t="s">
        <v>8322</v>
      </c>
      <c r="C3919" s="168" t="s">
        <v>13452</v>
      </c>
      <c r="D3919" s="162" t="s">
        <v>13453</v>
      </c>
      <c r="E3919" s="406" t="s">
        <v>13454</v>
      </c>
      <c r="F3919" s="162" t="s">
        <v>13455</v>
      </c>
      <c r="G3919" s="162">
        <v>162201</v>
      </c>
      <c r="H3919" s="162" t="s">
        <v>13456</v>
      </c>
      <c r="I3919" s="162" t="s">
        <v>14386</v>
      </c>
      <c r="J3919" s="162" t="s">
        <v>14387</v>
      </c>
      <c r="K3919" s="406" t="s">
        <v>14496</v>
      </c>
      <c r="L3919" s="162" t="s">
        <v>14497</v>
      </c>
      <c r="M3919" s="162" t="s">
        <v>14500</v>
      </c>
      <c r="O3919" s="224">
        <v>8</v>
      </c>
      <c r="P3919" s="224">
        <v>8</v>
      </c>
      <c r="Q3919" s="224">
        <v>8</v>
      </c>
      <c r="R3919" s="224">
        <v>8</v>
      </c>
      <c r="S3919" s="224">
        <v>8</v>
      </c>
      <c r="T3919" s="223" t="s">
        <v>14391</v>
      </c>
      <c r="U3919" t="str">
        <f>VLOOKUP(T3919,[8]Votes!$A$1:$E$234,3,FALSE)</f>
        <v>102 Electoral Commission</v>
      </c>
      <c r="V3919" s="162" t="s">
        <v>14501</v>
      </c>
      <c r="W3919" s="388">
        <v>1</v>
      </c>
      <c r="X3919" s="388">
        <v>1</v>
      </c>
      <c r="Y3919" s="388">
        <v>0</v>
      </c>
      <c r="Z3919" s="388">
        <v>1</v>
      </c>
      <c r="AA3919" s="388">
        <v>1</v>
      </c>
      <c r="AB3919" s="388">
        <v>0</v>
      </c>
      <c r="AC3919" s="150">
        <v>1</v>
      </c>
      <c r="AD3919" s="150">
        <v>1</v>
      </c>
      <c r="AE3919" s="49">
        <f t="shared" si="144"/>
        <v>0.75</v>
      </c>
      <c r="AF3919" s="485">
        <v>0</v>
      </c>
      <c r="AG3919" s="17">
        <v>0</v>
      </c>
      <c r="AH3919" s="485">
        <v>0.45</v>
      </c>
      <c r="AI3919" s="485">
        <v>0.45</v>
      </c>
      <c r="AJ3919" s="485">
        <v>0.45</v>
      </c>
      <c r="AK3919" s="493">
        <v>0.45</v>
      </c>
      <c r="AL3919" s="493">
        <v>0.45</v>
      </c>
      <c r="AM3919" s="17">
        <f t="shared" si="145"/>
        <v>0.9</v>
      </c>
      <c r="AN3919" s="162" t="s">
        <v>14391</v>
      </c>
      <c r="AO3919" s="162" t="s">
        <v>14393</v>
      </c>
    </row>
    <row r="3920" spans="1:41" s="162" customFormat="1" x14ac:dyDescent="0.3">
      <c r="A3920" s="205" t="s">
        <v>8321</v>
      </c>
      <c r="B3920" s="162" t="s">
        <v>8322</v>
      </c>
      <c r="C3920" s="168" t="s">
        <v>13452</v>
      </c>
      <c r="D3920" s="162" t="s">
        <v>13453</v>
      </c>
      <c r="E3920" s="406" t="s">
        <v>13454</v>
      </c>
      <c r="F3920" s="162" t="s">
        <v>13455</v>
      </c>
      <c r="G3920" s="162">
        <v>162201</v>
      </c>
      <c r="H3920" s="162" t="s">
        <v>13456</v>
      </c>
      <c r="I3920" s="162" t="s">
        <v>14386</v>
      </c>
      <c r="J3920" s="162" t="s">
        <v>14387</v>
      </c>
      <c r="K3920" s="406" t="s">
        <v>14502</v>
      </c>
      <c r="L3920" s="162" t="s">
        <v>14503</v>
      </c>
      <c r="M3920" s="162" t="s">
        <v>14504</v>
      </c>
      <c r="O3920" s="224">
        <v>7</v>
      </c>
      <c r="P3920" s="224">
        <v>7</v>
      </c>
      <c r="Q3920" s="224">
        <v>7</v>
      </c>
      <c r="R3920" s="224">
        <v>7</v>
      </c>
      <c r="S3920" s="224">
        <v>7</v>
      </c>
      <c r="T3920" s="223" t="s">
        <v>14391</v>
      </c>
      <c r="U3920" t="str">
        <f>VLOOKUP(T3920,[8]Votes!$A$1:$E$234,3,FALSE)</f>
        <v>102 Electoral Commission</v>
      </c>
      <c r="V3920" s="162" t="s">
        <v>14505</v>
      </c>
      <c r="W3920" s="388">
        <v>1</v>
      </c>
      <c r="X3920" s="388">
        <v>1</v>
      </c>
      <c r="Y3920" s="388">
        <v>0</v>
      </c>
      <c r="Z3920" s="388">
        <v>1</v>
      </c>
      <c r="AA3920" s="388">
        <v>1</v>
      </c>
      <c r="AB3920" s="388">
        <v>0</v>
      </c>
      <c r="AC3920" s="150">
        <v>1</v>
      </c>
      <c r="AD3920" s="150">
        <v>1</v>
      </c>
      <c r="AE3920" s="49">
        <f t="shared" si="144"/>
        <v>0.75</v>
      </c>
      <c r="AF3920" s="485">
        <v>0</v>
      </c>
      <c r="AG3920" s="17">
        <v>0</v>
      </c>
      <c r="AH3920" s="485">
        <v>20</v>
      </c>
      <c r="AI3920" s="485">
        <v>20</v>
      </c>
      <c r="AJ3920" s="485">
        <v>20</v>
      </c>
      <c r="AK3920" s="493">
        <v>0</v>
      </c>
      <c r="AL3920" s="493">
        <v>0</v>
      </c>
      <c r="AM3920" s="17">
        <f t="shared" si="145"/>
        <v>0</v>
      </c>
      <c r="AN3920" s="162" t="s">
        <v>14391</v>
      </c>
      <c r="AO3920" s="162" t="s">
        <v>14393</v>
      </c>
    </row>
    <row r="3921" spans="1:41" s="162" customFormat="1" x14ac:dyDescent="0.3">
      <c r="A3921" s="205" t="s">
        <v>8321</v>
      </c>
      <c r="B3921" s="162" t="s">
        <v>8322</v>
      </c>
      <c r="C3921" s="168" t="s">
        <v>13452</v>
      </c>
      <c r="D3921" s="162" t="s">
        <v>13453</v>
      </c>
      <c r="E3921" s="406" t="s">
        <v>13454</v>
      </c>
      <c r="F3921" s="162" t="s">
        <v>13455</v>
      </c>
      <c r="G3921" s="162">
        <v>162201</v>
      </c>
      <c r="H3921" s="162" t="s">
        <v>13456</v>
      </c>
      <c r="I3921" s="162" t="s">
        <v>14506</v>
      </c>
      <c r="J3921" s="162" t="s">
        <v>6838</v>
      </c>
      <c r="K3921" s="406" t="s">
        <v>14507</v>
      </c>
      <c r="L3921" s="162" t="s">
        <v>14508</v>
      </c>
      <c r="M3921" s="162" t="s">
        <v>14509</v>
      </c>
      <c r="O3921" s="224">
        <v>1</v>
      </c>
      <c r="P3921" s="224">
        <v>1</v>
      </c>
      <c r="Q3921" s="224">
        <v>1</v>
      </c>
      <c r="R3921" s="224">
        <v>1</v>
      </c>
      <c r="S3921" s="224">
        <v>1</v>
      </c>
      <c r="T3921" s="223" t="s">
        <v>14391</v>
      </c>
      <c r="U3921" t="str">
        <f>VLOOKUP(T3921,[8]Votes!$A$1:$E$234,3,FALSE)</f>
        <v>102 Electoral Commission</v>
      </c>
      <c r="V3921" s="162" t="s">
        <v>14510</v>
      </c>
      <c r="W3921" s="388">
        <v>1</v>
      </c>
      <c r="X3921" s="388">
        <v>1</v>
      </c>
      <c r="Y3921" s="388">
        <v>0</v>
      </c>
      <c r="Z3921" s="388">
        <v>1</v>
      </c>
      <c r="AA3921" s="388">
        <v>1</v>
      </c>
      <c r="AB3921" s="388">
        <v>0</v>
      </c>
      <c r="AC3921" s="150">
        <v>1</v>
      </c>
      <c r="AD3921" s="150">
        <v>1</v>
      </c>
      <c r="AE3921" s="49">
        <f t="shared" si="144"/>
        <v>0.75</v>
      </c>
      <c r="AF3921" s="485">
        <v>0</v>
      </c>
      <c r="AG3921" s="17">
        <v>0</v>
      </c>
      <c r="AH3921" s="485">
        <v>0.46</v>
      </c>
      <c r="AI3921" s="485">
        <v>0.46</v>
      </c>
      <c r="AJ3921" s="485">
        <v>0.46</v>
      </c>
      <c r="AK3921" s="493">
        <v>0.46</v>
      </c>
      <c r="AL3921" s="493">
        <v>0.46</v>
      </c>
      <c r="AM3921" s="17">
        <f t="shared" si="145"/>
        <v>0.92</v>
      </c>
      <c r="AN3921" s="162" t="s">
        <v>14391</v>
      </c>
      <c r="AO3921" s="162" t="s">
        <v>14393</v>
      </c>
    </row>
    <row r="3922" spans="1:41" s="162" customFormat="1" x14ac:dyDescent="0.3">
      <c r="A3922" s="205" t="s">
        <v>8321</v>
      </c>
      <c r="B3922" s="162" t="s">
        <v>8322</v>
      </c>
      <c r="C3922" s="168" t="s">
        <v>13452</v>
      </c>
      <c r="D3922" s="162" t="s">
        <v>13453</v>
      </c>
      <c r="E3922" s="406" t="s">
        <v>13454</v>
      </c>
      <c r="F3922" s="162" t="s">
        <v>13455</v>
      </c>
      <c r="G3922" s="162">
        <v>162201</v>
      </c>
      <c r="H3922" s="162" t="s">
        <v>13456</v>
      </c>
      <c r="I3922" s="162" t="s">
        <v>14506</v>
      </c>
      <c r="J3922" s="162" t="s">
        <v>14511</v>
      </c>
      <c r="K3922" s="406" t="s">
        <v>14512</v>
      </c>
      <c r="L3922" s="162" t="s">
        <v>14513</v>
      </c>
      <c r="M3922" s="162" t="s">
        <v>14514</v>
      </c>
      <c r="O3922" s="224">
        <v>4</v>
      </c>
      <c r="P3922" s="224">
        <v>4</v>
      </c>
      <c r="Q3922" s="224">
        <v>4</v>
      </c>
      <c r="R3922" s="224">
        <v>4</v>
      </c>
      <c r="S3922" s="224">
        <v>4</v>
      </c>
      <c r="T3922" s="223" t="s">
        <v>14391</v>
      </c>
      <c r="U3922" t="str">
        <f>VLOOKUP(T3922,[8]Votes!$A$1:$E$234,3,FALSE)</f>
        <v>102 Electoral Commission</v>
      </c>
      <c r="V3922" s="162" t="s">
        <v>14515</v>
      </c>
      <c r="W3922" s="388">
        <v>1</v>
      </c>
      <c r="X3922" s="388">
        <v>1</v>
      </c>
      <c r="Y3922" s="388">
        <v>0</v>
      </c>
      <c r="Z3922" s="388">
        <v>1</v>
      </c>
      <c r="AA3922" s="388">
        <v>1</v>
      </c>
      <c r="AB3922" s="388">
        <v>0</v>
      </c>
      <c r="AC3922" s="150">
        <v>1</v>
      </c>
      <c r="AD3922" s="150">
        <v>1</v>
      </c>
      <c r="AE3922" s="49">
        <f t="shared" si="144"/>
        <v>0.75</v>
      </c>
      <c r="AF3922" s="485">
        <v>0</v>
      </c>
      <c r="AG3922" s="17">
        <v>0</v>
      </c>
      <c r="AH3922" s="485">
        <v>1.2000000000000002</v>
      </c>
      <c r="AI3922" s="485">
        <v>1.2000000000000002</v>
      </c>
      <c r="AJ3922" s="485">
        <v>1.2000000000000002</v>
      </c>
      <c r="AK3922" s="493">
        <v>1.2000000000000002</v>
      </c>
      <c r="AL3922" s="493">
        <v>1.2000000000000002</v>
      </c>
      <c r="AM3922" s="17">
        <f t="shared" si="145"/>
        <v>2.4000000000000004</v>
      </c>
      <c r="AN3922" s="162" t="s">
        <v>14391</v>
      </c>
      <c r="AO3922" s="162" t="s">
        <v>14393</v>
      </c>
    </row>
    <row r="3923" spans="1:41" s="162" customFormat="1" x14ac:dyDescent="0.3">
      <c r="A3923" s="205" t="s">
        <v>8321</v>
      </c>
      <c r="B3923" s="162" t="s">
        <v>8322</v>
      </c>
      <c r="C3923" s="168" t="s">
        <v>13452</v>
      </c>
      <c r="D3923" s="162" t="s">
        <v>13453</v>
      </c>
      <c r="E3923" s="406" t="s">
        <v>13454</v>
      </c>
      <c r="F3923" s="162" t="s">
        <v>13455</v>
      </c>
      <c r="G3923" s="162">
        <v>162201</v>
      </c>
      <c r="H3923" s="162" t="s">
        <v>13456</v>
      </c>
      <c r="I3923" s="162" t="s">
        <v>14506</v>
      </c>
      <c r="J3923" s="162" t="s">
        <v>14511</v>
      </c>
      <c r="K3923" s="406" t="s">
        <v>14516</v>
      </c>
      <c r="L3923" s="162" t="s">
        <v>14517</v>
      </c>
      <c r="M3923" s="162" t="s">
        <v>14518</v>
      </c>
      <c r="N3923" s="162">
        <v>0</v>
      </c>
      <c r="O3923" s="521">
        <v>4.7</v>
      </c>
      <c r="P3923" s="521">
        <v>4.7</v>
      </c>
      <c r="Q3923" s="521">
        <v>1.175</v>
      </c>
      <c r="R3923" s="522">
        <v>4.7</v>
      </c>
      <c r="S3923" s="522">
        <v>2.82</v>
      </c>
      <c r="T3923" s="523" t="s">
        <v>14391</v>
      </c>
      <c r="U3923" t="str">
        <f>VLOOKUP(T3923,[8]Votes!$A$1:$E$234,3,FALSE)</f>
        <v>102 Electoral Commission</v>
      </c>
      <c r="V3923" s="162" t="s">
        <v>14519</v>
      </c>
      <c r="W3923" s="388">
        <v>1</v>
      </c>
      <c r="X3923" s="388">
        <v>1</v>
      </c>
      <c r="Y3923" s="388">
        <v>0</v>
      </c>
      <c r="Z3923" s="388">
        <v>1</v>
      </c>
      <c r="AA3923" s="388">
        <v>1</v>
      </c>
      <c r="AB3923" s="388">
        <v>0</v>
      </c>
      <c r="AC3923" s="150">
        <v>1</v>
      </c>
      <c r="AD3923" s="150">
        <v>1</v>
      </c>
      <c r="AE3923" s="49">
        <f t="shared" si="144"/>
        <v>0.75</v>
      </c>
      <c r="AF3923" s="485">
        <v>0</v>
      </c>
      <c r="AG3923" s="17">
        <v>0</v>
      </c>
      <c r="AH3923" s="485">
        <v>1.27</v>
      </c>
      <c r="AI3923" s="485">
        <v>1.27</v>
      </c>
      <c r="AJ3923" s="485">
        <v>0.3175</v>
      </c>
      <c r="AK3923" s="493">
        <v>1.27</v>
      </c>
      <c r="AL3923" s="493">
        <v>0.76200000000000001</v>
      </c>
      <c r="AM3923" s="17">
        <f t="shared" si="145"/>
        <v>2.032</v>
      </c>
      <c r="AN3923" s="162" t="s">
        <v>14391</v>
      </c>
      <c r="AO3923" s="162" t="s">
        <v>14393</v>
      </c>
    </row>
    <row r="3924" spans="1:41" s="162" customFormat="1" x14ac:dyDescent="0.3">
      <c r="A3924" s="205" t="s">
        <v>8321</v>
      </c>
      <c r="B3924" s="162" t="s">
        <v>8322</v>
      </c>
      <c r="C3924" s="168" t="s">
        <v>13452</v>
      </c>
      <c r="D3924" s="162" t="s">
        <v>13453</v>
      </c>
      <c r="E3924" s="406" t="s">
        <v>13454</v>
      </c>
      <c r="F3924" s="162" t="s">
        <v>13455</v>
      </c>
      <c r="G3924" s="162">
        <v>162201</v>
      </c>
      <c r="H3924" s="162" t="s">
        <v>13456</v>
      </c>
      <c r="I3924" s="162" t="s">
        <v>14506</v>
      </c>
      <c r="J3924" s="162" t="s">
        <v>14511</v>
      </c>
      <c r="K3924" s="406" t="s">
        <v>14520</v>
      </c>
      <c r="L3924" s="162" t="s">
        <v>14521</v>
      </c>
      <c r="M3924" s="162" t="s">
        <v>14522</v>
      </c>
      <c r="O3924" s="224">
        <v>4</v>
      </c>
      <c r="P3924" s="224">
        <v>4</v>
      </c>
      <c r="Q3924" s="224">
        <v>4</v>
      </c>
      <c r="R3924" s="224">
        <v>4</v>
      </c>
      <c r="S3924" s="224">
        <v>4</v>
      </c>
      <c r="T3924" s="223" t="s">
        <v>14391</v>
      </c>
      <c r="U3924" t="str">
        <f>VLOOKUP(T3924,[8]Votes!$A$1:$E$234,3,FALSE)</f>
        <v>102 Electoral Commission</v>
      </c>
      <c r="V3924" s="162" t="s">
        <v>14523</v>
      </c>
      <c r="W3924" s="388">
        <v>1</v>
      </c>
      <c r="X3924" s="388">
        <v>1</v>
      </c>
      <c r="Y3924" s="388">
        <v>0</v>
      </c>
      <c r="Z3924" s="388">
        <v>1</v>
      </c>
      <c r="AA3924" s="388">
        <v>1</v>
      </c>
      <c r="AB3924" s="388">
        <v>0</v>
      </c>
      <c r="AC3924" s="150">
        <v>1</v>
      </c>
      <c r="AD3924" s="150">
        <v>1</v>
      </c>
      <c r="AE3924" s="49">
        <f t="shared" si="144"/>
        <v>0.75</v>
      </c>
      <c r="AF3924" s="485">
        <v>0</v>
      </c>
      <c r="AG3924" s="17">
        <v>0</v>
      </c>
      <c r="AH3924" s="485">
        <v>0.2</v>
      </c>
      <c r="AI3924" s="485">
        <v>0.2</v>
      </c>
      <c r="AJ3924" s="485">
        <v>0.2</v>
      </c>
      <c r="AK3924" s="493">
        <v>0.2</v>
      </c>
      <c r="AL3924" s="493">
        <v>0.2</v>
      </c>
      <c r="AM3924" s="17">
        <f t="shared" si="145"/>
        <v>0.4</v>
      </c>
      <c r="AN3924" s="162" t="s">
        <v>14391</v>
      </c>
      <c r="AO3924" s="162" t="s">
        <v>14393</v>
      </c>
    </row>
    <row r="3925" spans="1:41" s="162" customFormat="1" x14ac:dyDescent="0.3">
      <c r="A3925" s="205" t="s">
        <v>8321</v>
      </c>
      <c r="B3925" s="162" t="s">
        <v>8322</v>
      </c>
      <c r="C3925" s="168" t="s">
        <v>13452</v>
      </c>
      <c r="D3925" s="162" t="s">
        <v>13453</v>
      </c>
      <c r="E3925" s="406" t="s">
        <v>13454</v>
      </c>
      <c r="F3925" s="162" t="s">
        <v>13455</v>
      </c>
      <c r="G3925" s="162">
        <v>162201</v>
      </c>
      <c r="H3925" s="162" t="s">
        <v>13456</v>
      </c>
      <c r="I3925" s="162" t="s">
        <v>14506</v>
      </c>
      <c r="J3925" s="162" t="s">
        <v>14511</v>
      </c>
      <c r="K3925" s="406" t="s">
        <v>14524</v>
      </c>
      <c r="L3925" s="162" t="s">
        <v>14525</v>
      </c>
      <c r="M3925" s="162" t="s">
        <v>14526</v>
      </c>
      <c r="O3925" s="224">
        <v>4</v>
      </c>
      <c r="P3925" s="224">
        <v>4</v>
      </c>
      <c r="Q3925" s="224">
        <v>4</v>
      </c>
      <c r="R3925" s="224">
        <v>4</v>
      </c>
      <c r="S3925" s="224">
        <v>4</v>
      </c>
      <c r="T3925" s="223" t="s">
        <v>14391</v>
      </c>
      <c r="U3925" t="str">
        <f>VLOOKUP(T3925,[8]Votes!$A$1:$E$234,3,FALSE)</f>
        <v>102 Electoral Commission</v>
      </c>
      <c r="V3925" s="162" t="s">
        <v>14527</v>
      </c>
      <c r="W3925" s="388">
        <v>1</v>
      </c>
      <c r="X3925" s="388">
        <v>1</v>
      </c>
      <c r="Y3925" s="388">
        <v>0</v>
      </c>
      <c r="Z3925" s="388">
        <v>1</v>
      </c>
      <c r="AA3925" s="388">
        <v>1</v>
      </c>
      <c r="AB3925" s="388">
        <v>1</v>
      </c>
      <c r="AC3925" s="150">
        <v>1</v>
      </c>
      <c r="AD3925" s="150">
        <v>1</v>
      </c>
      <c r="AE3925" s="49">
        <f t="shared" si="144"/>
        <v>0.875</v>
      </c>
      <c r="AF3925" s="485">
        <v>0</v>
      </c>
      <c r="AG3925" s="17">
        <v>0</v>
      </c>
      <c r="AH3925" s="485">
        <v>0.32</v>
      </c>
      <c r="AI3925" s="485">
        <v>0.32</v>
      </c>
      <c r="AJ3925" s="485">
        <v>0.32</v>
      </c>
      <c r="AK3925" s="493">
        <v>0.32</v>
      </c>
      <c r="AL3925" s="493">
        <v>0.32</v>
      </c>
      <c r="AM3925" s="17">
        <f t="shared" si="145"/>
        <v>0.64</v>
      </c>
      <c r="AN3925" s="162" t="s">
        <v>14391</v>
      </c>
      <c r="AO3925" s="162" t="s">
        <v>14393</v>
      </c>
    </row>
    <row r="3926" spans="1:41" s="162" customFormat="1" x14ac:dyDescent="0.3">
      <c r="A3926" s="205" t="s">
        <v>8321</v>
      </c>
      <c r="B3926" s="162" t="s">
        <v>8322</v>
      </c>
      <c r="C3926" s="168" t="s">
        <v>13452</v>
      </c>
      <c r="D3926" s="162" t="s">
        <v>13453</v>
      </c>
      <c r="E3926" s="406" t="s">
        <v>13454</v>
      </c>
      <c r="F3926" s="162" t="s">
        <v>13455</v>
      </c>
      <c r="G3926" s="162">
        <v>162201</v>
      </c>
      <c r="H3926" s="162" t="s">
        <v>13456</v>
      </c>
      <c r="I3926" s="162" t="s">
        <v>14506</v>
      </c>
      <c r="J3926" s="162" t="s">
        <v>14511</v>
      </c>
      <c r="K3926" s="406" t="s">
        <v>14528</v>
      </c>
      <c r="L3926" s="162" t="s">
        <v>14529</v>
      </c>
      <c r="M3926" s="162" t="s">
        <v>14530</v>
      </c>
      <c r="O3926" s="224">
        <v>4</v>
      </c>
      <c r="P3926" s="224">
        <v>4</v>
      </c>
      <c r="Q3926" s="224">
        <v>4</v>
      </c>
      <c r="R3926" s="224">
        <v>4</v>
      </c>
      <c r="S3926" s="224">
        <v>4</v>
      </c>
      <c r="T3926" s="223" t="s">
        <v>14391</v>
      </c>
      <c r="U3926" t="str">
        <f>VLOOKUP(T3926,[8]Votes!$A$1:$E$234,3,FALSE)</f>
        <v>102 Electoral Commission</v>
      </c>
      <c r="V3926" s="162" t="s">
        <v>14531</v>
      </c>
      <c r="W3926" s="388">
        <v>1</v>
      </c>
      <c r="X3926" s="388">
        <v>0</v>
      </c>
      <c r="Y3926" s="388">
        <v>0</v>
      </c>
      <c r="Z3926" s="388">
        <v>1</v>
      </c>
      <c r="AA3926" s="388">
        <v>1</v>
      </c>
      <c r="AB3926" s="388">
        <v>0</v>
      </c>
      <c r="AC3926" s="150">
        <v>1</v>
      </c>
      <c r="AD3926" s="150">
        <v>1</v>
      </c>
      <c r="AE3926" s="49">
        <f t="shared" si="144"/>
        <v>0.625</v>
      </c>
      <c r="AF3926" s="485">
        <v>0</v>
      </c>
      <c r="AG3926" s="17">
        <v>0</v>
      </c>
      <c r="AH3926" s="485">
        <v>0.52</v>
      </c>
      <c r="AI3926" s="485">
        <v>1.1200000000000001</v>
      </c>
      <c r="AJ3926" s="485">
        <v>1.1200000000000001</v>
      </c>
      <c r="AK3926" s="493">
        <v>1.1200000000000001</v>
      </c>
      <c r="AL3926" s="493">
        <v>1.1200000000000001</v>
      </c>
      <c r="AM3926" s="17">
        <f t="shared" si="145"/>
        <v>2.2400000000000002</v>
      </c>
      <c r="AN3926" s="162" t="s">
        <v>14391</v>
      </c>
      <c r="AO3926" s="162" t="s">
        <v>14393</v>
      </c>
    </row>
    <row r="3927" spans="1:41" s="162" customFormat="1" x14ac:dyDescent="0.3">
      <c r="A3927" s="205" t="s">
        <v>8321</v>
      </c>
      <c r="B3927" s="162" t="s">
        <v>8322</v>
      </c>
      <c r="C3927" s="168" t="s">
        <v>13452</v>
      </c>
      <c r="D3927" s="162" t="s">
        <v>13453</v>
      </c>
      <c r="E3927" s="406" t="s">
        <v>13454</v>
      </c>
      <c r="F3927" s="162" t="s">
        <v>13455</v>
      </c>
      <c r="G3927" s="162">
        <v>162201</v>
      </c>
      <c r="H3927" s="162" t="s">
        <v>13456</v>
      </c>
      <c r="I3927" s="162" t="s">
        <v>14506</v>
      </c>
      <c r="J3927" s="162" t="s">
        <v>14511</v>
      </c>
      <c r="K3927" s="406" t="s">
        <v>14532</v>
      </c>
      <c r="L3927" s="162" t="s">
        <v>14533</v>
      </c>
      <c r="M3927" s="162" t="s">
        <v>14534</v>
      </c>
      <c r="O3927" s="492">
        <v>1</v>
      </c>
      <c r="P3927" s="492">
        <v>1</v>
      </c>
      <c r="Q3927" s="492">
        <v>1</v>
      </c>
      <c r="R3927" s="492">
        <v>1</v>
      </c>
      <c r="S3927" s="492">
        <v>1</v>
      </c>
      <c r="T3927" s="223" t="s">
        <v>14391</v>
      </c>
      <c r="U3927" t="str">
        <f>VLOOKUP(T3927,[8]Votes!$A$1:$E$234,3,FALSE)</f>
        <v>102 Electoral Commission</v>
      </c>
      <c r="V3927" s="162" t="s">
        <v>14535</v>
      </c>
      <c r="W3927" s="388">
        <v>1</v>
      </c>
      <c r="X3927" s="388">
        <v>1</v>
      </c>
      <c r="Y3927" s="388">
        <v>0</v>
      </c>
      <c r="Z3927" s="388">
        <v>1</v>
      </c>
      <c r="AA3927" s="388">
        <v>1</v>
      </c>
      <c r="AB3927" s="388">
        <v>0</v>
      </c>
      <c r="AC3927" s="150">
        <v>1</v>
      </c>
      <c r="AD3927" s="150">
        <v>1</v>
      </c>
      <c r="AE3927" s="49">
        <f t="shared" si="144"/>
        <v>0.75</v>
      </c>
      <c r="AF3927" s="485">
        <v>0</v>
      </c>
      <c r="AG3927" s="17">
        <v>0</v>
      </c>
      <c r="AH3927" s="485">
        <v>54.09</v>
      </c>
      <c r="AI3927" s="485">
        <v>57.94</v>
      </c>
      <c r="AJ3927" s="485">
        <v>57.94</v>
      </c>
      <c r="AK3927" s="493">
        <v>0</v>
      </c>
      <c r="AL3927" s="493">
        <v>0</v>
      </c>
      <c r="AM3927" s="17">
        <f t="shared" si="145"/>
        <v>0</v>
      </c>
      <c r="AN3927" s="162" t="s">
        <v>14391</v>
      </c>
      <c r="AO3927" s="162" t="s">
        <v>14393</v>
      </c>
    </row>
    <row r="3928" spans="1:41" s="162" customFormat="1" x14ac:dyDescent="0.3">
      <c r="A3928" s="205" t="s">
        <v>8321</v>
      </c>
      <c r="B3928" s="162" t="s">
        <v>8322</v>
      </c>
      <c r="C3928" s="168" t="s">
        <v>13452</v>
      </c>
      <c r="D3928" s="162" t="s">
        <v>13453</v>
      </c>
      <c r="E3928" s="406" t="s">
        <v>13454</v>
      </c>
      <c r="F3928" s="162" t="s">
        <v>13455</v>
      </c>
      <c r="G3928" s="162">
        <v>162201</v>
      </c>
      <c r="H3928" s="162" t="s">
        <v>13456</v>
      </c>
      <c r="I3928" s="162" t="s">
        <v>14506</v>
      </c>
      <c r="J3928" s="162" t="s">
        <v>14511</v>
      </c>
      <c r="K3928" s="406" t="s">
        <v>14536</v>
      </c>
      <c r="L3928" s="162" t="s">
        <v>14537</v>
      </c>
      <c r="M3928" s="162" t="s">
        <v>14538</v>
      </c>
      <c r="O3928" s="492">
        <v>1</v>
      </c>
      <c r="P3928" s="492">
        <v>0.2</v>
      </c>
      <c r="Q3928" s="492">
        <v>0.5</v>
      </c>
      <c r="R3928" s="492">
        <v>0.75</v>
      </c>
      <c r="S3928" s="492">
        <v>0.8</v>
      </c>
      <c r="T3928" s="223" t="s">
        <v>14391</v>
      </c>
      <c r="U3928" t="str">
        <f>VLOOKUP(T3928,[8]Votes!$A$1:$E$234,3,FALSE)</f>
        <v>102 Electoral Commission</v>
      </c>
      <c r="V3928" s="162" t="s">
        <v>14539</v>
      </c>
      <c r="W3928" s="388">
        <v>1</v>
      </c>
      <c r="X3928" s="388">
        <v>1</v>
      </c>
      <c r="Y3928" s="388">
        <v>0</v>
      </c>
      <c r="Z3928" s="388">
        <v>1</v>
      </c>
      <c r="AA3928" s="388">
        <v>1</v>
      </c>
      <c r="AB3928" s="388">
        <v>0</v>
      </c>
      <c r="AC3928" s="150">
        <v>1</v>
      </c>
      <c r="AD3928" s="150">
        <v>1</v>
      </c>
      <c r="AE3928" s="49">
        <f t="shared" si="144"/>
        <v>0.75</v>
      </c>
      <c r="AF3928" s="485">
        <v>0</v>
      </c>
      <c r="AG3928" s="17">
        <v>0</v>
      </c>
      <c r="AH3928" s="485">
        <v>158.47</v>
      </c>
      <c r="AI3928" s="485">
        <v>0.54</v>
      </c>
      <c r="AJ3928" s="485">
        <v>1.35</v>
      </c>
      <c r="AK3928" s="493">
        <v>2.0250000000000004</v>
      </c>
      <c r="AL3928" s="493">
        <v>2.16</v>
      </c>
      <c r="AM3928" s="17">
        <f t="shared" si="145"/>
        <v>4.1850000000000005</v>
      </c>
      <c r="AN3928" s="162" t="s">
        <v>14391</v>
      </c>
      <c r="AO3928" s="162" t="s">
        <v>14393</v>
      </c>
    </row>
    <row r="3929" spans="1:41" s="162" customFormat="1" x14ac:dyDescent="0.3">
      <c r="A3929" s="205" t="s">
        <v>8321</v>
      </c>
      <c r="B3929" s="162" t="s">
        <v>8322</v>
      </c>
      <c r="C3929" s="168" t="s">
        <v>13452</v>
      </c>
      <c r="D3929" s="162" t="s">
        <v>13453</v>
      </c>
      <c r="E3929" s="406" t="s">
        <v>13454</v>
      </c>
      <c r="F3929" s="162" t="s">
        <v>13455</v>
      </c>
      <c r="G3929" s="162">
        <v>162201</v>
      </c>
      <c r="H3929" s="162" t="s">
        <v>13456</v>
      </c>
      <c r="I3929" s="162" t="s">
        <v>14506</v>
      </c>
      <c r="J3929" s="162" t="s">
        <v>14511</v>
      </c>
      <c r="K3929" s="406" t="s">
        <v>14540</v>
      </c>
      <c r="L3929" s="162" t="s">
        <v>14541</v>
      </c>
      <c r="M3929" s="162" t="s">
        <v>14542</v>
      </c>
      <c r="O3929" s="492">
        <v>0.05</v>
      </c>
      <c r="P3929" s="492">
        <v>0.2</v>
      </c>
      <c r="Q3929" s="492">
        <v>0.3</v>
      </c>
      <c r="R3929" s="492">
        <v>0.35</v>
      </c>
      <c r="S3929" s="492">
        <v>0.5</v>
      </c>
      <c r="T3929" s="223" t="s">
        <v>14391</v>
      </c>
      <c r="U3929" t="str">
        <f>VLOOKUP(T3929,[8]Votes!$A$1:$E$234,3,FALSE)</f>
        <v>102 Electoral Commission</v>
      </c>
      <c r="V3929" s="162" t="s">
        <v>14543</v>
      </c>
      <c r="W3929" s="388">
        <v>1</v>
      </c>
      <c r="X3929" s="388">
        <v>1</v>
      </c>
      <c r="Y3929" s="388">
        <v>0</v>
      </c>
      <c r="Z3929" s="388">
        <v>1</v>
      </c>
      <c r="AA3929" s="388">
        <v>1</v>
      </c>
      <c r="AB3929" s="388">
        <v>0</v>
      </c>
      <c r="AC3929" s="150">
        <v>1</v>
      </c>
      <c r="AD3929" s="150">
        <v>1</v>
      </c>
      <c r="AE3929" s="49">
        <f t="shared" si="144"/>
        <v>0.75</v>
      </c>
      <c r="AF3929" s="485">
        <v>0</v>
      </c>
      <c r="AG3929" s="17">
        <v>0</v>
      </c>
      <c r="AH3929" s="485">
        <v>20</v>
      </c>
      <c r="AI3929" s="485">
        <v>80</v>
      </c>
      <c r="AJ3929" s="485">
        <v>119.99999999999999</v>
      </c>
      <c r="AK3929" s="493">
        <v>0</v>
      </c>
      <c r="AL3929" s="493">
        <v>0</v>
      </c>
      <c r="AM3929" s="17">
        <f t="shared" si="145"/>
        <v>0</v>
      </c>
      <c r="AN3929" s="162" t="s">
        <v>14391</v>
      </c>
      <c r="AO3929" s="162" t="s">
        <v>14393</v>
      </c>
    </row>
    <row r="3930" spans="1:41" s="162" customFormat="1" x14ac:dyDescent="0.3">
      <c r="A3930" s="205" t="s">
        <v>8321</v>
      </c>
      <c r="B3930" s="162" t="s">
        <v>8322</v>
      </c>
      <c r="C3930" s="168" t="s">
        <v>13452</v>
      </c>
      <c r="D3930" s="162" t="s">
        <v>13453</v>
      </c>
      <c r="E3930" s="406" t="s">
        <v>13454</v>
      </c>
      <c r="F3930" s="162" t="s">
        <v>13455</v>
      </c>
      <c r="G3930" s="162">
        <v>162201</v>
      </c>
      <c r="H3930" s="162" t="s">
        <v>13456</v>
      </c>
      <c r="I3930" s="162" t="s">
        <v>14506</v>
      </c>
      <c r="J3930" s="162" t="s">
        <v>14511</v>
      </c>
      <c r="K3930" s="406" t="s">
        <v>14544</v>
      </c>
      <c r="L3930" s="162" t="s">
        <v>12747</v>
      </c>
      <c r="M3930" s="162" t="s">
        <v>14545</v>
      </c>
      <c r="O3930" s="229">
        <v>1200</v>
      </c>
      <c r="P3930" s="229">
        <v>300</v>
      </c>
      <c r="Q3930" s="509">
        <v>1200</v>
      </c>
      <c r="R3930" s="509">
        <v>720</v>
      </c>
      <c r="S3930" s="509">
        <v>827.99999999999989</v>
      </c>
      <c r="T3930" s="223" t="s">
        <v>14391</v>
      </c>
      <c r="U3930" t="str">
        <f>VLOOKUP(T3930,[8]Votes!$A$1:$E$234,3,FALSE)</f>
        <v>102 Electoral Commission</v>
      </c>
      <c r="V3930" s="162" t="s">
        <v>14546</v>
      </c>
      <c r="W3930" s="388">
        <v>1</v>
      </c>
      <c r="X3930" s="388">
        <v>1</v>
      </c>
      <c r="Y3930" s="388">
        <v>0</v>
      </c>
      <c r="Z3930" s="388">
        <v>1</v>
      </c>
      <c r="AA3930" s="388">
        <v>1</v>
      </c>
      <c r="AB3930" s="388">
        <v>0</v>
      </c>
      <c r="AC3930" s="150">
        <v>1</v>
      </c>
      <c r="AD3930" s="150">
        <v>1</v>
      </c>
      <c r="AE3930" s="49">
        <f t="shared" si="144"/>
        <v>0.75</v>
      </c>
      <c r="AF3930" s="485">
        <v>0</v>
      </c>
      <c r="AG3930" s="17">
        <v>0</v>
      </c>
      <c r="AH3930" s="485">
        <v>4.5</v>
      </c>
      <c r="AI3930" s="485">
        <v>1.125</v>
      </c>
      <c r="AJ3930" s="485">
        <v>4.5</v>
      </c>
      <c r="AK3930" s="493">
        <v>2.6999999999999997</v>
      </c>
      <c r="AL3930" s="493">
        <v>3.1049999999999995</v>
      </c>
      <c r="AM3930" s="17">
        <f t="shared" si="145"/>
        <v>5.8049999999999997</v>
      </c>
      <c r="AN3930" s="162" t="s">
        <v>14391</v>
      </c>
      <c r="AO3930" s="162" t="s">
        <v>14393</v>
      </c>
    </row>
    <row r="3931" spans="1:41" s="162" customFormat="1" x14ac:dyDescent="0.3">
      <c r="A3931" s="205" t="s">
        <v>8321</v>
      </c>
      <c r="B3931" s="162" t="s">
        <v>8322</v>
      </c>
      <c r="C3931" s="168" t="s">
        <v>13452</v>
      </c>
      <c r="D3931" s="162" t="s">
        <v>13453</v>
      </c>
      <c r="E3931" s="406" t="s">
        <v>13454</v>
      </c>
      <c r="F3931" s="162" t="s">
        <v>13455</v>
      </c>
      <c r="G3931" s="162">
        <v>162201</v>
      </c>
      <c r="H3931" s="162" t="s">
        <v>13456</v>
      </c>
      <c r="I3931" s="162" t="s">
        <v>14506</v>
      </c>
      <c r="J3931" s="162" t="s">
        <v>14511</v>
      </c>
      <c r="K3931" s="406" t="s">
        <v>14547</v>
      </c>
      <c r="L3931" s="162" t="s">
        <v>14548</v>
      </c>
      <c r="M3931" s="162" t="s">
        <v>14549</v>
      </c>
      <c r="O3931" s="224">
        <v>12</v>
      </c>
      <c r="P3931" s="224">
        <v>12</v>
      </c>
      <c r="Q3931" s="224">
        <v>12</v>
      </c>
      <c r="R3931" s="224">
        <v>12</v>
      </c>
      <c r="S3931" s="224">
        <v>12</v>
      </c>
      <c r="T3931" s="223" t="s">
        <v>14391</v>
      </c>
      <c r="U3931" t="str">
        <f>VLOOKUP(T3931,[8]Votes!$A$1:$E$234,3,FALSE)</f>
        <v>102 Electoral Commission</v>
      </c>
      <c r="V3931" s="162" t="s">
        <v>14550</v>
      </c>
      <c r="W3931" s="388">
        <v>1</v>
      </c>
      <c r="X3931" s="388">
        <v>1</v>
      </c>
      <c r="Y3931" s="388">
        <v>0</v>
      </c>
      <c r="Z3931" s="388">
        <v>1</v>
      </c>
      <c r="AA3931" s="388">
        <v>1</v>
      </c>
      <c r="AB3931" s="388">
        <v>0</v>
      </c>
      <c r="AC3931" s="150">
        <v>1</v>
      </c>
      <c r="AD3931" s="150">
        <v>1</v>
      </c>
      <c r="AE3931" s="49">
        <f t="shared" si="144"/>
        <v>0.75</v>
      </c>
      <c r="AF3931" s="485">
        <v>0</v>
      </c>
      <c r="AG3931" s="17">
        <v>0</v>
      </c>
      <c r="AH3931" s="485">
        <v>3.9099999999999997</v>
      </c>
      <c r="AI3931" s="485">
        <v>3.9099999999999997</v>
      </c>
      <c r="AJ3931" s="485">
        <v>3.9099999999999997</v>
      </c>
      <c r="AK3931" s="493">
        <v>3.9099999999999997</v>
      </c>
      <c r="AL3931" s="493">
        <v>3.9099999999999997</v>
      </c>
      <c r="AM3931" s="17">
        <f t="shared" si="145"/>
        <v>7.8199999999999994</v>
      </c>
      <c r="AN3931" s="162" t="s">
        <v>14391</v>
      </c>
      <c r="AO3931" s="162" t="s">
        <v>14393</v>
      </c>
    </row>
    <row r="3932" spans="1:41" s="162" customFormat="1" x14ac:dyDescent="0.3">
      <c r="A3932" s="205" t="s">
        <v>8321</v>
      </c>
      <c r="B3932" s="162" t="s">
        <v>8322</v>
      </c>
      <c r="C3932" s="168" t="s">
        <v>13452</v>
      </c>
      <c r="D3932" s="162" t="s">
        <v>13453</v>
      </c>
      <c r="E3932" s="406" t="s">
        <v>13454</v>
      </c>
      <c r="F3932" s="162" t="s">
        <v>13455</v>
      </c>
      <c r="G3932" s="162">
        <v>162201</v>
      </c>
      <c r="H3932" s="162" t="s">
        <v>13456</v>
      </c>
      <c r="I3932" s="162" t="s">
        <v>14506</v>
      </c>
      <c r="J3932" s="162" t="s">
        <v>14511</v>
      </c>
      <c r="K3932" s="406" t="s">
        <v>14551</v>
      </c>
      <c r="L3932" s="162" t="s">
        <v>14552</v>
      </c>
      <c r="M3932" s="162" t="s">
        <v>14553</v>
      </c>
      <c r="O3932" s="224">
        <v>154</v>
      </c>
      <c r="P3932" s="229">
        <v>38.5</v>
      </c>
      <c r="Q3932" s="509">
        <v>19.25</v>
      </c>
      <c r="R3932" s="509">
        <v>12.833333333333334</v>
      </c>
      <c r="S3932" s="509">
        <v>2.1388888888888888</v>
      </c>
      <c r="T3932" s="223" t="s">
        <v>14391</v>
      </c>
      <c r="U3932" t="str">
        <f>VLOOKUP(T3932,[8]Votes!$A$1:$E$234,3,FALSE)</f>
        <v>102 Electoral Commission</v>
      </c>
      <c r="V3932" s="162" t="s">
        <v>14554</v>
      </c>
      <c r="W3932" s="388">
        <v>1</v>
      </c>
      <c r="X3932" s="388">
        <v>1</v>
      </c>
      <c r="Y3932" s="388">
        <v>0</v>
      </c>
      <c r="Z3932" s="388">
        <v>1</v>
      </c>
      <c r="AA3932" s="388">
        <v>1</v>
      </c>
      <c r="AB3932" s="388">
        <v>0</v>
      </c>
      <c r="AC3932" s="150">
        <v>1</v>
      </c>
      <c r="AD3932" s="150">
        <v>1</v>
      </c>
      <c r="AE3932" s="49">
        <f t="shared" si="144"/>
        <v>0.75</v>
      </c>
      <c r="AF3932" s="485">
        <v>0</v>
      </c>
      <c r="AG3932" s="17">
        <v>0</v>
      </c>
      <c r="AH3932" s="485">
        <v>34.919999999999995</v>
      </c>
      <c r="AI3932" s="485">
        <v>8.7299999999999986</v>
      </c>
      <c r="AJ3932" s="485">
        <v>5.9149999999999991</v>
      </c>
      <c r="AK3932" s="493">
        <v>3.9433333333333334</v>
      </c>
      <c r="AL3932" s="493">
        <v>0.65722222222222215</v>
      </c>
      <c r="AM3932" s="17">
        <f t="shared" si="145"/>
        <v>4.6005555555555553</v>
      </c>
      <c r="AN3932" s="162" t="s">
        <v>14391</v>
      </c>
      <c r="AO3932" s="162" t="s">
        <v>14393</v>
      </c>
    </row>
    <row r="3933" spans="1:41" s="162" customFormat="1" x14ac:dyDescent="0.3">
      <c r="A3933" s="205" t="s">
        <v>8321</v>
      </c>
      <c r="B3933" s="162" t="s">
        <v>8322</v>
      </c>
      <c r="C3933" s="168" t="s">
        <v>13452</v>
      </c>
      <c r="D3933" s="162" t="s">
        <v>13453</v>
      </c>
      <c r="E3933" s="406" t="s">
        <v>13454</v>
      </c>
      <c r="F3933" s="162" t="s">
        <v>13455</v>
      </c>
      <c r="G3933" s="162">
        <v>162201</v>
      </c>
      <c r="H3933" s="162" t="s">
        <v>13456</v>
      </c>
      <c r="I3933" s="162" t="s">
        <v>14506</v>
      </c>
      <c r="J3933" s="162" t="s">
        <v>14511</v>
      </c>
      <c r="K3933" s="406" t="s">
        <v>14555</v>
      </c>
      <c r="L3933" s="162" t="s">
        <v>14556</v>
      </c>
      <c r="M3933" s="162" t="s">
        <v>14557</v>
      </c>
      <c r="O3933" s="224">
        <v>36</v>
      </c>
      <c r="P3933" s="224">
        <v>36</v>
      </c>
      <c r="Q3933" s="224">
        <v>36</v>
      </c>
      <c r="R3933" s="224">
        <v>36</v>
      </c>
      <c r="S3933" s="224">
        <v>36</v>
      </c>
      <c r="T3933" s="223" t="s">
        <v>14391</v>
      </c>
      <c r="U3933" t="str">
        <f>VLOOKUP(T3933,[8]Votes!$A$1:$E$234,3,FALSE)</f>
        <v>102 Electoral Commission</v>
      </c>
      <c r="V3933" s="162" t="s">
        <v>14558</v>
      </c>
      <c r="W3933" s="388">
        <v>1</v>
      </c>
      <c r="X3933" s="388">
        <v>1</v>
      </c>
      <c r="Y3933" s="388">
        <v>0</v>
      </c>
      <c r="Z3933" s="388">
        <v>1</v>
      </c>
      <c r="AA3933" s="388">
        <v>1</v>
      </c>
      <c r="AB3933" s="388">
        <v>0</v>
      </c>
      <c r="AC3933" s="150">
        <v>1</v>
      </c>
      <c r="AD3933" s="150">
        <v>1</v>
      </c>
      <c r="AE3933" s="49">
        <f t="shared" si="144"/>
        <v>0.75</v>
      </c>
      <c r="AF3933" s="485">
        <v>0</v>
      </c>
      <c r="AG3933" s="17">
        <v>0</v>
      </c>
      <c r="AH3933" s="485">
        <v>14.1</v>
      </c>
      <c r="AI3933" s="485">
        <v>14.88</v>
      </c>
      <c r="AJ3933" s="485">
        <v>14.88</v>
      </c>
      <c r="AK3933" s="493">
        <v>14.88</v>
      </c>
      <c r="AL3933" s="493">
        <v>14.88</v>
      </c>
      <c r="AM3933" s="17">
        <f t="shared" si="145"/>
        <v>29.76</v>
      </c>
      <c r="AN3933" s="162" t="s">
        <v>14391</v>
      </c>
      <c r="AO3933" s="162" t="s">
        <v>14393</v>
      </c>
    </row>
    <row r="3934" spans="1:41" s="162" customFormat="1" x14ac:dyDescent="0.3">
      <c r="A3934" s="205" t="s">
        <v>8321</v>
      </c>
      <c r="B3934" s="162" t="s">
        <v>8322</v>
      </c>
      <c r="C3934" s="168" t="s">
        <v>13452</v>
      </c>
      <c r="D3934" s="162" t="s">
        <v>13453</v>
      </c>
      <c r="E3934" s="406" t="s">
        <v>13454</v>
      </c>
      <c r="F3934" s="162" t="s">
        <v>13455</v>
      </c>
      <c r="G3934" s="162">
        <v>162201</v>
      </c>
      <c r="H3934" s="162" t="s">
        <v>13456</v>
      </c>
      <c r="I3934" s="406" t="s">
        <v>13457</v>
      </c>
      <c r="J3934" s="406" t="s">
        <v>13458</v>
      </c>
      <c r="K3934" s="406" t="s">
        <v>14559</v>
      </c>
      <c r="L3934" s="162" t="s">
        <v>14560</v>
      </c>
      <c r="M3934" s="162" t="s">
        <v>14561</v>
      </c>
      <c r="O3934" s="224"/>
      <c r="P3934" s="224"/>
      <c r="Q3934" s="224"/>
      <c r="R3934" s="224"/>
      <c r="S3934" s="224"/>
      <c r="T3934" s="223" t="s">
        <v>13761</v>
      </c>
      <c r="U3934" t="str">
        <f>VLOOKUP(T3934,[8]Votes!$A$1:$E$234,3,FALSE)</f>
        <v>129 Financial Intelligence Authority (FIA)</v>
      </c>
      <c r="V3934" s="162" t="s">
        <v>14562</v>
      </c>
      <c r="W3934" s="388">
        <v>0</v>
      </c>
      <c r="X3934" s="388">
        <v>0</v>
      </c>
      <c r="Y3934" s="388">
        <v>0</v>
      </c>
      <c r="Z3934" s="388">
        <v>0</v>
      </c>
      <c r="AA3934" s="388">
        <v>0</v>
      </c>
      <c r="AB3934" s="388">
        <v>0</v>
      </c>
      <c r="AC3934" s="150">
        <v>0</v>
      </c>
      <c r="AD3934" s="150">
        <v>0</v>
      </c>
      <c r="AE3934" s="49">
        <f t="shared" si="144"/>
        <v>0</v>
      </c>
      <c r="AF3934" s="485">
        <v>0</v>
      </c>
      <c r="AG3934" s="17">
        <v>0</v>
      </c>
      <c r="AH3934" s="190">
        <v>0</v>
      </c>
      <c r="AI3934" s="190">
        <v>0</v>
      </c>
      <c r="AJ3934" s="485">
        <v>2.5</v>
      </c>
      <c r="AK3934" s="493"/>
      <c r="AL3934" s="493"/>
      <c r="AM3934" s="17">
        <f t="shared" si="145"/>
        <v>0</v>
      </c>
      <c r="AN3934" s="162" t="s">
        <v>13761</v>
      </c>
      <c r="AO3934" s="162" t="s">
        <v>13763</v>
      </c>
    </row>
    <row r="3935" spans="1:41" s="162" customFormat="1" ht="28.8" x14ac:dyDescent="0.3">
      <c r="A3935" s="205" t="s">
        <v>8321</v>
      </c>
      <c r="B3935" s="162" t="s">
        <v>8322</v>
      </c>
      <c r="C3935" s="168" t="s">
        <v>13452</v>
      </c>
      <c r="D3935" s="162" t="s">
        <v>13453</v>
      </c>
      <c r="E3935" s="406" t="s">
        <v>13454</v>
      </c>
      <c r="F3935" s="162" t="s">
        <v>13455</v>
      </c>
      <c r="G3935" s="162">
        <v>162201</v>
      </c>
      <c r="H3935" s="162" t="s">
        <v>13456</v>
      </c>
      <c r="I3935" s="162" t="s">
        <v>14563</v>
      </c>
      <c r="J3935" s="162" t="s">
        <v>14564</v>
      </c>
      <c r="K3935" s="406" t="s">
        <v>14565</v>
      </c>
      <c r="L3935" s="162" t="s">
        <v>14566</v>
      </c>
      <c r="M3935" s="162" t="s">
        <v>14566</v>
      </c>
      <c r="N3935" s="162">
        <v>0</v>
      </c>
      <c r="O3935" s="224">
        <v>0</v>
      </c>
      <c r="P3935" s="224">
        <v>0</v>
      </c>
      <c r="Q3935" s="224">
        <v>1</v>
      </c>
      <c r="R3935" s="224">
        <v>0</v>
      </c>
      <c r="S3935" s="224">
        <v>0</v>
      </c>
      <c r="T3935" s="223" t="s">
        <v>14567</v>
      </c>
      <c r="U3935" t="str">
        <f>VLOOKUP(T3935,[8]Votes!$A$1:$E$234,3,FALSE)</f>
        <v>106 Uganda Human Rights Commission</v>
      </c>
      <c r="V3935" s="162" t="s">
        <v>14568</v>
      </c>
      <c r="W3935" s="388" t="s">
        <v>14569</v>
      </c>
      <c r="X3935" s="388">
        <v>0</v>
      </c>
      <c r="Y3935" s="388" t="s">
        <v>14569</v>
      </c>
      <c r="Z3935" s="388" t="s">
        <v>14569</v>
      </c>
      <c r="AA3935" s="388" t="s">
        <v>14569</v>
      </c>
      <c r="AB3935" s="388">
        <v>0</v>
      </c>
      <c r="AC3935" s="150" t="s">
        <v>14569</v>
      </c>
      <c r="AD3935" s="150">
        <v>0</v>
      </c>
      <c r="AE3935" s="49">
        <f t="shared" si="144"/>
        <v>0</v>
      </c>
      <c r="AF3935" s="485">
        <v>0</v>
      </c>
      <c r="AG3935" s="17">
        <v>0</v>
      </c>
      <c r="AH3935" s="190">
        <v>0</v>
      </c>
      <c r="AI3935" s="190">
        <v>0</v>
      </c>
      <c r="AJ3935" s="485">
        <v>0.51200000000000001</v>
      </c>
      <c r="AK3935" s="191">
        <v>0</v>
      </c>
      <c r="AL3935" s="191">
        <v>0</v>
      </c>
      <c r="AM3935" s="17">
        <f t="shared" si="145"/>
        <v>0</v>
      </c>
      <c r="AN3935" s="162" t="s">
        <v>14567</v>
      </c>
      <c r="AO3935" s="162" t="s">
        <v>14570</v>
      </c>
    </row>
    <row r="3936" spans="1:41" s="162" customFormat="1" x14ac:dyDescent="0.3">
      <c r="A3936" s="205" t="s">
        <v>8321</v>
      </c>
      <c r="B3936" s="162" t="s">
        <v>8322</v>
      </c>
      <c r="C3936" s="168" t="s">
        <v>13452</v>
      </c>
      <c r="D3936" s="162" t="s">
        <v>13453</v>
      </c>
      <c r="E3936" s="406" t="s">
        <v>13454</v>
      </c>
      <c r="F3936" s="162" t="s">
        <v>13455</v>
      </c>
      <c r="G3936" s="162">
        <v>162201</v>
      </c>
      <c r="H3936" s="162" t="s">
        <v>13456</v>
      </c>
      <c r="I3936" s="162" t="s">
        <v>14563</v>
      </c>
      <c r="J3936" s="162" t="s">
        <v>14564</v>
      </c>
      <c r="K3936" s="406" t="s">
        <v>14571</v>
      </c>
      <c r="L3936" s="162" t="s">
        <v>14572</v>
      </c>
      <c r="M3936" s="162" t="s">
        <v>14573</v>
      </c>
      <c r="N3936" s="450">
        <v>24469</v>
      </c>
      <c r="O3936" s="224">
        <v>25000</v>
      </c>
      <c r="P3936" s="224">
        <v>25000</v>
      </c>
      <c r="Q3936" s="224">
        <v>25000</v>
      </c>
      <c r="R3936" s="224">
        <v>15000</v>
      </c>
      <c r="S3936" s="224">
        <v>15000</v>
      </c>
      <c r="T3936" s="223" t="s">
        <v>14567</v>
      </c>
      <c r="U3936" t="str">
        <f>VLOOKUP(T3936,[8]Votes!$A$1:$E$234,3,FALSE)</f>
        <v>106 Uganda Human Rights Commission</v>
      </c>
      <c r="V3936" s="162" t="s">
        <v>14574</v>
      </c>
      <c r="W3936" s="388">
        <v>1</v>
      </c>
      <c r="X3936" s="388">
        <v>0</v>
      </c>
      <c r="Y3936" s="388">
        <v>1</v>
      </c>
      <c r="Z3936" s="388">
        <v>1</v>
      </c>
      <c r="AA3936" s="388">
        <v>1</v>
      </c>
      <c r="AB3936" s="388">
        <v>0</v>
      </c>
      <c r="AC3936" s="150">
        <v>1</v>
      </c>
      <c r="AD3936" s="150">
        <v>0</v>
      </c>
      <c r="AE3936" s="49">
        <f t="shared" si="144"/>
        <v>0.625</v>
      </c>
      <c r="AF3936" s="485">
        <v>0</v>
      </c>
      <c r="AG3936" s="17">
        <v>0</v>
      </c>
      <c r="AH3936" s="485">
        <v>0.754</v>
      </c>
      <c r="AI3936" s="485">
        <v>0.754</v>
      </c>
      <c r="AJ3936" s="485">
        <v>0.754</v>
      </c>
      <c r="AK3936" s="493">
        <v>0.2</v>
      </c>
      <c r="AL3936" s="493">
        <v>0.2</v>
      </c>
      <c r="AM3936" s="17">
        <f t="shared" si="145"/>
        <v>0.4</v>
      </c>
      <c r="AN3936" s="162" t="s">
        <v>14567</v>
      </c>
      <c r="AO3936" s="162" t="s">
        <v>14570</v>
      </c>
    </row>
    <row r="3937" spans="1:41" s="162" customFormat="1" x14ac:dyDescent="0.3">
      <c r="A3937" s="205" t="s">
        <v>8321</v>
      </c>
      <c r="B3937" s="162" t="s">
        <v>8322</v>
      </c>
      <c r="C3937" s="168" t="s">
        <v>13452</v>
      </c>
      <c r="D3937" s="162" t="s">
        <v>13453</v>
      </c>
      <c r="E3937" s="406" t="s">
        <v>13454</v>
      </c>
      <c r="F3937" s="162" t="s">
        <v>13455</v>
      </c>
      <c r="G3937" s="162">
        <v>162201</v>
      </c>
      <c r="H3937" s="162" t="s">
        <v>13456</v>
      </c>
      <c r="I3937" s="162" t="s">
        <v>14563</v>
      </c>
      <c r="J3937" s="162" t="s">
        <v>14564</v>
      </c>
      <c r="K3937" s="406" t="s">
        <v>14571</v>
      </c>
      <c r="L3937" s="162" t="s">
        <v>14572</v>
      </c>
      <c r="M3937" s="162" t="s">
        <v>14575</v>
      </c>
      <c r="N3937" s="450">
        <v>0</v>
      </c>
      <c r="O3937" s="224">
        <v>300</v>
      </c>
      <c r="P3937" s="224">
        <v>0</v>
      </c>
      <c r="Q3937" s="224">
        <v>0</v>
      </c>
      <c r="R3937" s="224">
        <v>300</v>
      </c>
      <c r="S3937" s="224">
        <v>300</v>
      </c>
      <c r="T3937" s="223" t="s">
        <v>14567</v>
      </c>
      <c r="U3937" t="str">
        <f>VLOOKUP(T3937,[8]Votes!$A$1:$E$234,3,FALSE)</f>
        <v>106 Uganda Human Rights Commission</v>
      </c>
      <c r="V3937" s="162" t="s">
        <v>14576</v>
      </c>
      <c r="W3937" s="388">
        <v>1</v>
      </c>
      <c r="X3937" s="388">
        <v>0</v>
      </c>
      <c r="Y3937" s="388">
        <v>1</v>
      </c>
      <c r="Z3937" s="388">
        <v>1</v>
      </c>
      <c r="AA3937" s="388">
        <v>1</v>
      </c>
      <c r="AB3937" s="388">
        <v>0</v>
      </c>
      <c r="AC3937" s="150">
        <v>1</v>
      </c>
      <c r="AD3937" s="150">
        <v>0</v>
      </c>
      <c r="AE3937" s="49">
        <f t="shared" si="144"/>
        <v>0.625</v>
      </c>
      <c r="AF3937" s="485">
        <v>0</v>
      </c>
      <c r="AG3937" s="17">
        <v>0</v>
      </c>
      <c r="AH3937" s="190">
        <v>0</v>
      </c>
      <c r="AI3937" s="485">
        <v>0.48499999999999999</v>
      </c>
      <c r="AJ3937" s="190">
        <v>0</v>
      </c>
      <c r="AK3937" s="191">
        <v>0.49</v>
      </c>
      <c r="AL3937" s="493">
        <v>0.48499999999999999</v>
      </c>
      <c r="AM3937" s="17">
        <f t="shared" si="145"/>
        <v>0.97499999999999998</v>
      </c>
      <c r="AN3937" s="162" t="s">
        <v>14567</v>
      </c>
      <c r="AO3937" s="162" t="s">
        <v>14570</v>
      </c>
    </row>
    <row r="3938" spans="1:41" s="162" customFormat="1" x14ac:dyDescent="0.3">
      <c r="A3938" s="205" t="s">
        <v>8321</v>
      </c>
      <c r="B3938" s="162" t="s">
        <v>8322</v>
      </c>
      <c r="C3938" s="168" t="s">
        <v>13452</v>
      </c>
      <c r="D3938" s="162" t="s">
        <v>13453</v>
      </c>
      <c r="E3938" s="406" t="s">
        <v>13454</v>
      </c>
      <c r="F3938" s="162" t="s">
        <v>13455</v>
      </c>
      <c r="G3938" s="162">
        <v>162201</v>
      </c>
      <c r="H3938" s="162" t="s">
        <v>13456</v>
      </c>
      <c r="I3938" s="162" t="s">
        <v>14563</v>
      </c>
      <c r="J3938" s="162" t="s">
        <v>14564</v>
      </c>
      <c r="K3938" s="406" t="s">
        <v>14577</v>
      </c>
      <c r="L3938" s="162" t="s">
        <v>14578</v>
      </c>
      <c r="M3938" s="162" t="s">
        <v>14579</v>
      </c>
      <c r="N3938" s="450">
        <v>5</v>
      </c>
      <c r="O3938" s="229">
        <v>5</v>
      </c>
      <c r="P3938" s="229">
        <v>5</v>
      </c>
      <c r="Q3938" s="229">
        <v>5</v>
      </c>
      <c r="R3938" s="229">
        <v>5</v>
      </c>
      <c r="S3938" s="229">
        <v>5</v>
      </c>
      <c r="T3938" s="223" t="s">
        <v>14567</v>
      </c>
      <c r="U3938" t="str">
        <f>VLOOKUP(T3938,[8]Votes!$A$1:$E$234,3,FALSE)</f>
        <v>106 Uganda Human Rights Commission</v>
      </c>
      <c r="V3938" s="162" t="s">
        <v>14580</v>
      </c>
      <c r="W3938" s="388">
        <v>1</v>
      </c>
      <c r="X3938" s="388">
        <v>0</v>
      </c>
      <c r="Y3938" s="388">
        <v>1</v>
      </c>
      <c r="Z3938" s="388">
        <v>1</v>
      </c>
      <c r="AA3938" s="388">
        <v>1</v>
      </c>
      <c r="AB3938" s="388">
        <v>0</v>
      </c>
      <c r="AC3938" s="150">
        <v>1</v>
      </c>
      <c r="AD3938" s="150">
        <v>0</v>
      </c>
      <c r="AE3938" s="49">
        <f t="shared" si="144"/>
        <v>0.625</v>
      </c>
      <c r="AF3938" s="485">
        <v>0</v>
      </c>
      <c r="AG3938" s="17">
        <v>0</v>
      </c>
      <c r="AH3938" s="485">
        <v>0.25</v>
      </c>
      <c r="AI3938" s="485">
        <v>0.25</v>
      </c>
      <c r="AJ3938" s="485">
        <v>0.25</v>
      </c>
      <c r="AK3938" s="493">
        <v>0.1</v>
      </c>
      <c r="AL3938" s="493">
        <v>0.1</v>
      </c>
      <c r="AM3938" s="17">
        <f t="shared" si="145"/>
        <v>0.2</v>
      </c>
      <c r="AN3938" s="162" t="s">
        <v>14567</v>
      </c>
      <c r="AO3938" s="162" t="s">
        <v>14570</v>
      </c>
    </row>
    <row r="3939" spans="1:41" s="162" customFormat="1" x14ac:dyDescent="0.3">
      <c r="A3939" s="205" t="s">
        <v>8321</v>
      </c>
      <c r="B3939" s="162" t="s">
        <v>8322</v>
      </c>
      <c r="C3939" s="168" t="s">
        <v>13452</v>
      </c>
      <c r="D3939" s="162" t="s">
        <v>13453</v>
      </c>
      <c r="E3939" s="406" t="s">
        <v>13454</v>
      </c>
      <c r="F3939" s="162" t="s">
        <v>13455</v>
      </c>
      <c r="G3939" s="162">
        <v>162201</v>
      </c>
      <c r="H3939" s="162" t="s">
        <v>13456</v>
      </c>
      <c r="I3939" s="162" t="s">
        <v>14563</v>
      </c>
      <c r="J3939" s="162" t="s">
        <v>14564</v>
      </c>
      <c r="K3939" s="406" t="s">
        <v>14577</v>
      </c>
      <c r="L3939" s="162" t="s">
        <v>14578</v>
      </c>
      <c r="M3939" s="162" t="s">
        <v>14581</v>
      </c>
      <c r="N3939" s="450">
        <v>0</v>
      </c>
      <c r="O3939" s="224">
        <v>1</v>
      </c>
      <c r="P3939" s="224">
        <v>1</v>
      </c>
      <c r="Q3939" s="224">
        <v>1</v>
      </c>
      <c r="R3939" s="224">
        <v>1</v>
      </c>
      <c r="S3939" s="224">
        <v>1</v>
      </c>
      <c r="T3939" s="223" t="s">
        <v>14567</v>
      </c>
      <c r="U3939" t="str">
        <f>VLOOKUP(T3939,[8]Votes!$A$1:$E$234,3,FALSE)</f>
        <v>106 Uganda Human Rights Commission</v>
      </c>
      <c r="V3939" s="162" t="s">
        <v>14582</v>
      </c>
      <c r="W3939" s="388">
        <v>1</v>
      </c>
      <c r="X3939" s="388">
        <v>0</v>
      </c>
      <c r="Y3939" s="388">
        <v>1</v>
      </c>
      <c r="Z3939" s="388">
        <v>1</v>
      </c>
      <c r="AA3939" s="388">
        <v>1</v>
      </c>
      <c r="AB3939" s="388">
        <v>0</v>
      </c>
      <c r="AC3939" s="150">
        <v>1</v>
      </c>
      <c r="AD3939" s="150">
        <v>0</v>
      </c>
      <c r="AE3939" s="49">
        <f t="shared" si="144"/>
        <v>0.625</v>
      </c>
      <c r="AF3939" s="485">
        <v>0</v>
      </c>
      <c r="AG3939" s="17">
        <v>0</v>
      </c>
      <c r="AH3939" s="485">
        <v>0.3</v>
      </c>
      <c r="AI3939" s="485">
        <v>0.3</v>
      </c>
      <c r="AJ3939" s="485">
        <v>0.3</v>
      </c>
      <c r="AK3939" s="493">
        <v>0.04</v>
      </c>
      <c r="AL3939" s="493">
        <v>0.04</v>
      </c>
      <c r="AM3939" s="17">
        <f t="shared" si="145"/>
        <v>0.08</v>
      </c>
      <c r="AN3939" s="162" t="s">
        <v>14567</v>
      </c>
      <c r="AO3939" s="162" t="s">
        <v>14570</v>
      </c>
    </row>
    <row r="3940" spans="1:41" s="162" customFormat="1" ht="28.8" x14ac:dyDescent="0.3">
      <c r="A3940" s="205" t="s">
        <v>8321</v>
      </c>
      <c r="B3940" s="162" t="s">
        <v>8322</v>
      </c>
      <c r="C3940" s="168" t="s">
        <v>13452</v>
      </c>
      <c r="D3940" s="162" t="s">
        <v>13453</v>
      </c>
      <c r="E3940" s="406" t="s">
        <v>13454</v>
      </c>
      <c r="F3940" s="162" t="s">
        <v>13455</v>
      </c>
      <c r="G3940" s="162">
        <v>162201</v>
      </c>
      <c r="H3940" s="162" t="s">
        <v>13456</v>
      </c>
      <c r="I3940" s="162" t="s">
        <v>14563</v>
      </c>
      <c r="J3940" s="162" t="s">
        <v>14564</v>
      </c>
      <c r="K3940" s="406" t="s">
        <v>14577</v>
      </c>
      <c r="L3940" s="162" t="s">
        <v>14578</v>
      </c>
      <c r="M3940" s="162" t="s">
        <v>14583</v>
      </c>
      <c r="N3940" s="450">
        <v>0</v>
      </c>
      <c r="O3940" s="224">
        <v>600</v>
      </c>
      <c r="P3940" s="224">
        <v>600</v>
      </c>
      <c r="Q3940" s="224">
        <v>600</v>
      </c>
      <c r="R3940" s="224">
        <v>600</v>
      </c>
      <c r="S3940" s="224">
        <v>600</v>
      </c>
      <c r="T3940" s="223" t="s">
        <v>14567</v>
      </c>
      <c r="U3940" t="str">
        <f>VLOOKUP(T3940,[8]Votes!$A$1:$E$234,3,FALSE)</f>
        <v>106 Uganda Human Rights Commission</v>
      </c>
      <c r="V3940" s="162" t="s">
        <v>14584</v>
      </c>
      <c r="W3940" s="388">
        <v>1</v>
      </c>
      <c r="X3940" s="388">
        <v>0</v>
      </c>
      <c r="Y3940" s="388">
        <v>1</v>
      </c>
      <c r="Z3940" s="388">
        <v>1</v>
      </c>
      <c r="AA3940" s="388">
        <v>1</v>
      </c>
      <c r="AB3940" s="388">
        <v>0</v>
      </c>
      <c r="AC3940" s="150">
        <v>1</v>
      </c>
      <c r="AD3940" s="150">
        <v>0</v>
      </c>
      <c r="AE3940" s="49">
        <f t="shared" si="144"/>
        <v>0.625</v>
      </c>
      <c r="AF3940" s="485">
        <v>0</v>
      </c>
      <c r="AG3940" s="17">
        <v>0</v>
      </c>
      <c r="AH3940" s="485">
        <v>0.4</v>
      </c>
      <c r="AI3940" s="485">
        <v>0.4</v>
      </c>
      <c r="AJ3940" s="485">
        <v>0.4</v>
      </c>
      <c r="AK3940" s="493">
        <v>0.3</v>
      </c>
      <c r="AL3940" s="524" t="s">
        <v>14585</v>
      </c>
      <c r="AM3940" s="17">
        <f t="shared" si="145"/>
        <v>0.3</v>
      </c>
      <c r="AN3940" s="162" t="s">
        <v>14567</v>
      </c>
      <c r="AO3940" s="162" t="s">
        <v>14570</v>
      </c>
    </row>
    <row r="3941" spans="1:41" s="162" customFormat="1" x14ac:dyDescent="0.3">
      <c r="A3941" s="205" t="s">
        <v>8321</v>
      </c>
      <c r="B3941" s="162" t="s">
        <v>8322</v>
      </c>
      <c r="C3941" s="168" t="s">
        <v>13452</v>
      </c>
      <c r="D3941" s="162" t="s">
        <v>13453</v>
      </c>
      <c r="E3941" s="406" t="s">
        <v>13454</v>
      </c>
      <c r="F3941" s="162" t="s">
        <v>13455</v>
      </c>
      <c r="G3941" s="162">
        <v>162201</v>
      </c>
      <c r="H3941" s="162" t="s">
        <v>13456</v>
      </c>
      <c r="I3941" s="162" t="s">
        <v>14563</v>
      </c>
      <c r="J3941" s="162" t="s">
        <v>14564</v>
      </c>
      <c r="K3941" s="406" t="s">
        <v>14577</v>
      </c>
      <c r="L3941" s="162" t="s">
        <v>14578</v>
      </c>
      <c r="M3941" s="162" t="s">
        <v>14586</v>
      </c>
      <c r="N3941" s="450">
        <v>214</v>
      </c>
      <c r="O3941" s="224">
        <v>100</v>
      </c>
      <c r="P3941" s="224">
        <v>150</v>
      </c>
      <c r="Q3941" s="224">
        <v>150</v>
      </c>
      <c r="R3941" s="224">
        <v>150</v>
      </c>
      <c r="S3941" s="224">
        <v>150</v>
      </c>
      <c r="T3941" s="223" t="s">
        <v>14567</v>
      </c>
      <c r="U3941" t="str">
        <f>VLOOKUP(T3941,[8]Votes!$A$1:$E$234,3,FALSE)</f>
        <v>106 Uganda Human Rights Commission</v>
      </c>
      <c r="V3941" s="162" t="s">
        <v>14587</v>
      </c>
      <c r="W3941" s="388">
        <v>1</v>
      </c>
      <c r="X3941" s="388">
        <v>0</v>
      </c>
      <c r="Y3941" s="388">
        <v>1</v>
      </c>
      <c r="Z3941" s="388">
        <v>1</v>
      </c>
      <c r="AA3941" s="388">
        <v>1</v>
      </c>
      <c r="AB3941" s="388">
        <v>0</v>
      </c>
      <c r="AC3941" s="150">
        <v>1</v>
      </c>
      <c r="AD3941" s="150">
        <v>0</v>
      </c>
      <c r="AE3941" s="49">
        <f t="shared" si="144"/>
        <v>0.625</v>
      </c>
      <c r="AF3941" s="485">
        <v>0</v>
      </c>
      <c r="AG3941" s="17">
        <v>0</v>
      </c>
      <c r="AH3941" s="485">
        <v>0.24</v>
      </c>
      <c r="AI3941" s="485">
        <v>0.24</v>
      </c>
      <c r="AJ3941" s="485">
        <v>0.24</v>
      </c>
      <c r="AK3941" s="493">
        <v>0.2</v>
      </c>
      <c r="AL3941" s="493">
        <v>0.2</v>
      </c>
      <c r="AM3941" s="17">
        <f t="shared" si="145"/>
        <v>0.4</v>
      </c>
      <c r="AN3941" s="162" t="s">
        <v>14567</v>
      </c>
      <c r="AO3941" s="162" t="s">
        <v>14570</v>
      </c>
    </row>
    <row r="3942" spans="1:41" s="162" customFormat="1" x14ac:dyDescent="0.3">
      <c r="A3942" s="205" t="s">
        <v>8321</v>
      </c>
      <c r="B3942" s="162" t="s">
        <v>8322</v>
      </c>
      <c r="C3942" s="168" t="s">
        <v>13452</v>
      </c>
      <c r="D3942" s="162" t="s">
        <v>13453</v>
      </c>
      <c r="E3942" s="406" t="s">
        <v>13454</v>
      </c>
      <c r="F3942" s="162" t="s">
        <v>13455</v>
      </c>
      <c r="G3942" s="162">
        <v>162201</v>
      </c>
      <c r="H3942" s="162" t="s">
        <v>13456</v>
      </c>
      <c r="I3942" s="162" t="s">
        <v>14563</v>
      </c>
      <c r="J3942" s="162" t="s">
        <v>14564</v>
      </c>
      <c r="K3942" s="406" t="s">
        <v>14577</v>
      </c>
      <c r="L3942" s="162" t="s">
        <v>14578</v>
      </c>
      <c r="M3942" s="162" t="s">
        <v>14588</v>
      </c>
      <c r="N3942" s="450">
        <v>7885</v>
      </c>
      <c r="O3942" s="224">
        <v>8000</v>
      </c>
      <c r="P3942" s="224">
        <v>8000</v>
      </c>
      <c r="Q3942" s="224">
        <v>8000</v>
      </c>
      <c r="R3942" s="224">
        <v>2000</v>
      </c>
      <c r="S3942" s="224">
        <v>2000</v>
      </c>
      <c r="T3942" s="223" t="s">
        <v>14567</v>
      </c>
      <c r="U3942" t="str">
        <f>VLOOKUP(T3942,[8]Votes!$A$1:$E$234,3,FALSE)</f>
        <v>106 Uganda Human Rights Commission</v>
      </c>
      <c r="V3942" s="162" t="s">
        <v>14589</v>
      </c>
      <c r="W3942" s="388">
        <v>1</v>
      </c>
      <c r="X3942" s="388">
        <v>0</v>
      </c>
      <c r="Y3942" s="388">
        <v>1</v>
      </c>
      <c r="Z3942" s="388">
        <v>1</v>
      </c>
      <c r="AA3942" s="388">
        <v>1</v>
      </c>
      <c r="AB3942" s="388">
        <v>0</v>
      </c>
      <c r="AC3942" s="150">
        <v>1</v>
      </c>
      <c r="AD3942" s="150">
        <v>0</v>
      </c>
      <c r="AE3942" s="49">
        <f t="shared" si="144"/>
        <v>0.625</v>
      </c>
      <c r="AF3942" s="485">
        <v>0</v>
      </c>
      <c r="AG3942" s="17">
        <v>0</v>
      </c>
      <c r="AH3942" s="485">
        <v>0.2</v>
      </c>
      <c r="AI3942" s="485">
        <v>0.2</v>
      </c>
      <c r="AJ3942" s="485">
        <v>0.2</v>
      </c>
      <c r="AK3942" s="493">
        <v>0.1</v>
      </c>
      <c r="AL3942" s="493">
        <v>0.1</v>
      </c>
      <c r="AM3942" s="17">
        <f t="shared" si="145"/>
        <v>0.2</v>
      </c>
      <c r="AN3942" s="162" t="s">
        <v>14567</v>
      </c>
      <c r="AO3942" s="162" t="s">
        <v>14570</v>
      </c>
    </row>
    <row r="3943" spans="1:41" s="162" customFormat="1" x14ac:dyDescent="0.3">
      <c r="A3943" s="205" t="s">
        <v>8321</v>
      </c>
      <c r="B3943" s="162" t="s">
        <v>8322</v>
      </c>
      <c r="C3943" s="168" t="s">
        <v>13452</v>
      </c>
      <c r="D3943" s="162" t="s">
        <v>13453</v>
      </c>
      <c r="E3943" s="406" t="s">
        <v>13454</v>
      </c>
      <c r="F3943" s="162" t="s">
        <v>13455</v>
      </c>
      <c r="G3943" s="162">
        <v>162201</v>
      </c>
      <c r="H3943" s="162" t="s">
        <v>13456</v>
      </c>
      <c r="I3943" s="162" t="s">
        <v>14563</v>
      </c>
      <c r="J3943" s="162" t="s">
        <v>14564</v>
      </c>
      <c r="K3943" s="406" t="s">
        <v>14590</v>
      </c>
      <c r="L3943" s="162" t="s">
        <v>14591</v>
      </c>
      <c r="M3943" s="162" t="s">
        <v>14592</v>
      </c>
      <c r="N3943" s="162">
        <v>0</v>
      </c>
      <c r="O3943" s="224">
        <v>0</v>
      </c>
      <c r="P3943" s="224">
        <v>0</v>
      </c>
      <c r="Q3943" s="224">
        <v>0</v>
      </c>
      <c r="R3943" s="224">
        <v>0</v>
      </c>
      <c r="S3943" s="224">
        <v>0</v>
      </c>
      <c r="T3943" s="223" t="s">
        <v>14567</v>
      </c>
      <c r="U3943" t="str">
        <f>VLOOKUP(T3943,[8]Votes!$A$1:$E$234,3,FALSE)</f>
        <v>106 Uganda Human Rights Commission</v>
      </c>
      <c r="V3943" s="162" t="s">
        <v>14593</v>
      </c>
      <c r="W3943" s="388">
        <v>1</v>
      </c>
      <c r="X3943" s="388">
        <v>0</v>
      </c>
      <c r="Y3943" s="388">
        <v>1</v>
      </c>
      <c r="Z3943" s="388">
        <v>1</v>
      </c>
      <c r="AA3943" s="388">
        <v>1</v>
      </c>
      <c r="AB3943" s="388">
        <v>0</v>
      </c>
      <c r="AC3943" s="150">
        <v>1</v>
      </c>
      <c r="AD3943" s="150">
        <v>0</v>
      </c>
      <c r="AE3943" s="49">
        <f t="shared" si="144"/>
        <v>0.625</v>
      </c>
      <c r="AF3943" s="485">
        <v>0</v>
      </c>
      <c r="AG3943" s="17">
        <v>0</v>
      </c>
      <c r="AH3943" s="190">
        <v>0</v>
      </c>
      <c r="AI3943" s="190">
        <v>0</v>
      </c>
      <c r="AJ3943" s="190">
        <v>0</v>
      </c>
      <c r="AK3943" s="493">
        <v>0</v>
      </c>
      <c r="AL3943" s="493">
        <v>0</v>
      </c>
      <c r="AM3943" s="17">
        <f t="shared" si="145"/>
        <v>0</v>
      </c>
      <c r="AN3943" s="162" t="s">
        <v>14567</v>
      </c>
      <c r="AO3943" s="162" t="s">
        <v>14570</v>
      </c>
    </row>
    <row r="3944" spans="1:41" s="162" customFormat="1" x14ac:dyDescent="0.3">
      <c r="A3944" s="205" t="s">
        <v>8321</v>
      </c>
      <c r="B3944" s="162" t="s">
        <v>8322</v>
      </c>
      <c r="C3944" s="168" t="s">
        <v>13452</v>
      </c>
      <c r="D3944" s="162" t="s">
        <v>13453</v>
      </c>
      <c r="E3944" s="406" t="s">
        <v>13454</v>
      </c>
      <c r="F3944" s="162" t="s">
        <v>13455</v>
      </c>
      <c r="G3944" s="162">
        <v>162201</v>
      </c>
      <c r="H3944" s="162" t="s">
        <v>13456</v>
      </c>
      <c r="I3944" s="162" t="s">
        <v>14563</v>
      </c>
      <c r="J3944" s="162" t="s">
        <v>14564</v>
      </c>
      <c r="K3944" s="406" t="s">
        <v>14594</v>
      </c>
      <c r="L3944" s="162" t="s">
        <v>14595</v>
      </c>
      <c r="M3944" s="162" t="s">
        <v>14596</v>
      </c>
      <c r="N3944" s="462">
        <v>0.46</v>
      </c>
      <c r="O3944" s="492">
        <v>0.7</v>
      </c>
      <c r="P3944" s="492">
        <v>0.7</v>
      </c>
      <c r="Q3944" s="492">
        <v>0.75</v>
      </c>
      <c r="R3944" s="525">
        <v>0.3</v>
      </c>
      <c r="S3944" s="525">
        <v>0.3</v>
      </c>
      <c r="T3944" s="223" t="s">
        <v>14567</v>
      </c>
      <c r="U3944" t="str">
        <f>VLOOKUP(T3944,[8]Votes!$A$1:$E$234,3,FALSE)</f>
        <v>106 Uganda Human Rights Commission</v>
      </c>
      <c r="V3944" s="162" t="s">
        <v>14597</v>
      </c>
      <c r="W3944" s="388">
        <v>1</v>
      </c>
      <c r="X3944" s="388">
        <v>0</v>
      </c>
      <c r="Y3944" s="388">
        <v>1</v>
      </c>
      <c r="Z3944" s="388">
        <v>1</v>
      </c>
      <c r="AA3944" s="388">
        <v>1</v>
      </c>
      <c r="AB3944" s="388">
        <v>0</v>
      </c>
      <c r="AC3944" s="150">
        <v>1</v>
      </c>
      <c r="AD3944" s="150">
        <v>0</v>
      </c>
      <c r="AE3944" s="49">
        <f t="shared" si="144"/>
        <v>0.625</v>
      </c>
      <c r="AF3944" s="485">
        <v>0</v>
      </c>
      <c r="AG3944" s="17">
        <v>0</v>
      </c>
      <c r="AH3944" s="485">
        <v>1.25</v>
      </c>
      <c r="AI3944" s="485">
        <v>1.25</v>
      </c>
      <c r="AJ3944" s="485">
        <v>1.25</v>
      </c>
      <c r="AK3944" s="493">
        <v>0.3</v>
      </c>
      <c r="AL3944" s="493">
        <v>0.3</v>
      </c>
      <c r="AM3944" s="17">
        <f t="shared" si="145"/>
        <v>0.6</v>
      </c>
      <c r="AN3944" s="162" t="s">
        <v>14567</v>
      </c>
      <c r="AO3944" s="162" t="s">
        <v>14570</v>
      </c>
    </row>
    <row r="3945" spans="1:41" s="162" customFormat="1" x14ac:dyDescent="0.3">
      <c r="A3945" s="205" t="s">
        <v>8321</v>
      </c>
      <c r="B3945" s="162" t="s">
        <v>8322</v>
      </c>
      <c r="C3945" s="168" t="s">
        <v>13452</v>
      </c>
      <c r="D3945" s="162" t="s">
        <v>13453</v>
      </c>
      <c r="E3945" s="406" t="s">
        <v>13454</v>
      </c>
      <c r="F3945" s="162" t="s">
        <v>13455</v>
      </c>
      <c r="G3945" s="162">
        <v>162201</v>
      </c>
      <c r="H3945" s="162" t="s">
        <v>13456</v>
      </c>
      <c r="I3945" s="162" t="s">
        <v>14563</v>
      </c>
      <c r="J3945" s="162" t="s">
        <v>14564</v>
      </c>
      <c r="K3945" s="406" t="s">
        <v>14598</v>
      </c>
      <c r="L3945" s="162" t="s">
        <v>14599</v>
      </c>
      <c r="M3945" s="162" t="s">
        <v>14600</v>
      </c>
      <c r="N3945" s="526">
        <v>2</v>
      </c>
      <c r="O3945" s="506">
        <v>3</v>
      </c>
      <c r="P3945" s="506">
        <v>3</v>
      </c>
      <c r="Q3945" s="506">
        <v>3</v>
      </c>
      <c r="R3945" s="506">
        <v>3</v>
      </c>
      <c r="S3945" s="506">
        <v>3</v>
      </c>
      <c r="T3945" s="223" t="s">
        <v>14567</v>
      </c>
      <c r="U3945" t="str">
        <f>VLOOKUP(T3945,[8]Votes!$A$1:$E$234,3,FALSE)</f>
        <v>106 Uganda Human Rights Commission</v>
      </c>
      <c r="V3945" s="162" t="s">
        <v>14601</v>
      </c>
      <c r="W3945" s="388">
        <v>1</v>
      </c>
      <c r="X3945" s="388">
        <v>0</v>
      </c>
      <c r="Y3945" s="388">
        <v>1</v>
      </c>
      <c r="Z3945" s="388">
        <v>1</v>
      </c>
      <c r="AA3945" s="388">
        <v>1</v>
      </c>
      <c r="AB3945" s="388">
        <v>0</v>
      </c>
      <c r="AC3945" s="150">
        <v>1</v>
      </c>
      <c r="AD3945" s="150">
        <v>0</v>
      </c>
      <c r="AE3945" s="49">
        <f t="shared" si="144"/>
        <v>0.625</v>
      </c>
      <c r="AF3945" s="485">
        <v>0</v>
      </c>
      <c r="AG3945" s="17">
        <v>0</v>
      </c>
      <c r="AH3945" s="485">
        <v>0.85199999999999998</v>
      </c>
      <c r="AI3945" s="485">
        <v>0.85199999999999998</v>
      </c>
      <c r="AJ3945" s="485">
        <v>0.85199999999999998</v>
      </c>
      <c r="AK3945" s="493">
        <v>0.3</v>
      </c>
      <c r="AL3945" s="493">
        <v>0.3</v>
      </c>
      <c r="AM3945" s="17">
        <f t="shared" si="145"/>
        <v>0.6</v>
      </c>
      <c r="AN3945" s="162" t="s">
        <v>14567</v>
      </c>
      <c r="AO3945" s="162" t="s">
        <v>14570</v>
      </c>
    </row>
    <row r="3946" spans="1:41" s="162" customFormat="1" x14ac:dyDescent="0.3">
      <c r="A3946" s="205" t="s">
        <v>8321</v>
      </c>
      <c r="B3946" s="162" t="s">
        <v>8322</v>
      </c>
      <c r="C3946" s="168" t="s">
        <v>13452</v>
      </c>
      <c r="D3946" s="162" t="s">
        <v>13453</v>
      </c>
      <c r="E3946" s="406" t="s">
        <v>13454</v>
      </c>
      <c r="F3946" s="162" t="s">
        <v>13455</v>
      </c>
      <c r="G3946" s="162">
        <v>162201</v>
      </c>
      <c r="H3946" s="162" t="s">
        <v>13456</v>
      </c>
      <c r="J3946" s="162" t="s">
        <v>14602</v>
      </c>
      <c r="K3946" s="406">
        <v>16220104</v>
      </c>
      <c r="L3946" s="162" t="s">
        <v>14603</v>
      </c>
      <c r="M3946" s="162" t="s">
        <v>14604</v>
      </c>
      <c r="N3946" s="162">
        <v>0</v>
      </c>
      <c r="O3946" s="224">
        <v>0</v>
      </c>
      <c r="P3946" s="224">
        <v>0</v>
      </c>
      <c r="Q3946" s="224">
        <v>0</v>
      </c>
      <c r="R3946" s="224">
        <v>0</v>
      </c>
      <c r="S3946" s="224">
        <v>0</v>
      </c>
      <c r="T3946" s="223" t="s">
        <v>14567</v>
      </c>
      <c r="U3946" t="str">
        <f>VLOOKUP(T3946,[8]Votes!$A$1:$E$234,3,FALSE)</f>
        <v>106 Uganda Human Rights Commission</v>
      </c>
      <c r="V3946" s="162" t="s">
        <v>14605</v>
      </c>
      <c r="W3946" s="388">
        <v>1</v>
      </c>
      <c r="X3946" s="388">
        <v>0</v>
      </c>
      <c r="Y3946" s="388">
        <v>1</v>
      </c>
      <c r="Z3946" s="388">
        <v>1</v>
      </c>
      <c r="AA3946" s="388">
        <v>1</v>
      </c>
      <c r="AB3946" s="388">
        <v>0</v>
      </c>
      <c r="AC3946" s="150">
        <v>1</v>
      </c>
      <c r="AD3946" s="150">
        <v>0</v>
      </c>
      <c r="AE3946" s="49">
        <f t="shared" si="144"/>
        <v>0.625</v>
      </c>
      <c r="AF3946" s="485">
        <v>0</v>
      </c>
      <c r="AG3946" s="17">
        <v>0</v>
      </c>
      <c r="AH3946" s="190">
        <v>0</v>
      </c>
      <c r="AI3946" s="190">
        <v>0</v>
      </c>
      <c r="AJ3946" s="190">
        <v>0</v>
      </c>
      <c r="AK3946" s="493">
        <v>0</v>
      </c>
      <c r="AL3946" s="493">
        <v>0</v>
      </c>
      <c r="AM3946" s="17">
        <f t="shared" si="145"/>
        <v>0</v>
      </c>
      <c r="AN3946" s="162" t="s">
        <v>14567</v>
      </c>
      <c r="AO3946" s="162" t="s">
        <v>14570</v>
      </c>
    </row>
    <row r="3947" spans="1:41" s="162" customFormat="1" x14ac:dyDescent="0.3">
      <c r="A3947" s="205" t="s">
        <v>8321</v>
      </c>
      <c r="B3947" s="162" t="s">
        <v>8322</v>
      </c>
      <c r="C3947" s="168" t="s">
        <v>13452</v>
      </c>
      <c r="D3947" s="162" t="s">
        <v>13453</v>
      </c>
      <c r="E3947" s="406" t="s">
        <v>13454</v>
      </c>
      <c r="F3947" s="162" t="s">
        <v>13455</v>
      </c>
      <c r="G3947" s="162">
        <v>162201</v>
      </c>
      <c r="H3947" s="162" t="s">
        <v>13456</v>
      </c>
      <c r="J3947" s="162" t="s">
        <v>14602</v>
      </c>
      <c r="K3947" s="406">
        <v>16220105</v>
      </c>
      <c r="L3947" s="162" t="s">
        <v>14606</v>
      </c>
      <c r="M3947" s="162" t="s">
        <v>14607</v>
      </c>
      <c r="N3947" s="162">
        <v>0</v>
      </c>
      <c r="O3947" s="224">
        <v>0</v>
      </c>
      <c r="P3947" s="224">
        <v>1</v>
      </c>
      <c r="Q3947" s="224">
        <v>1</v>
      </c>
      <c r="R3947" s="224">
        <v>1</v>
      </c>
      <c r="S3947" s="224">
        <v>1</v>
      </c>
      <c r="T3947" s="223" t="s">
        <v>14567</v>
      </c>
      <c r="U3947" t="str">
        <f>VLOOKUP(T3947,[8]Votes!$A$1:$E$234,3,FALSE)</f>
        <v>106 Uganda Human Rights Commission</v>
      </c>
      <c r="V3947" s="162" t="s">
        <v>14608</v>
      </c>
      <c r="W3947" s="388">
        <v>1</v>
      </c>
      <c r="X3947" s="388">
        <v>0</v>
      </c>
      <c r="Y3947" s="388">
        <v>1</v>
      </c>
      <c r="Z3947" s="388">
        <v>1</v>
      </c>
      <c r="AA3947" s="388">
        <v>1</v>
      </c>
      <c r="AB3947" s="388">
        <v>0</v>
      </c>
      <c r="AC3947" s="150">
        <v>1</v>
      </c>
      <c r="AD3947" s="150">
        <v>0</v>
      </c>
      <c r="AE3947" s="49">
        <f t="shared" si="144"/>
        <v>0.625</v>
      </c>
      <c r="AF3947" s="485">
        <v>0</v>
      </c>
      <c r="AG3947" s="17">
        <v>0</v>
      </c>
      <c r="AH3947" s="190">
        <v>0</v>
      </c>
      <c r="AI3947" s="485">
        <v>0.42599999999999999</v>
      </c>
      <c r="AJ3947" s="485">
        <v>0.42599999999999999</v>
      </c>
      <c r="AK3947" s="493">
        <v>0.15</v>
      </c>
      <c r="AL3947" s="493">
        <v>0.15</v>
      </c>
      <c r="AM3947" s="17">
        <f t="shared" si="145"/>
        <v>0.3</v>
      </c>
      <c r="AN3947" s="162" t="s">
        <v>14567</v>
      </c>
      <c r="AO3947" s="162" t="s">
        <v>14570</v>
      </c>
    </row>
    <row r="3948" spans="1:41" s="162" customFormat="1" x14ac:dyDescent="0.3">
      <c r="A3948" s="205" t="s">
        <v>8321</v>
      </c>
      <c r="B3948" s="162" t="s">
        <v>8322</v>
      </c>
      <c r="C3948" s="168" t="s">
        <v>13452</v>
      </c>
      <c r="D3948" s="162" t="s">
        <v>13453</v>
      </c>
      <c r="E3948" s="406" t="s">
        <v>13454</v>
      </c>
      <c r="F3948" s="162" t="s">
        <v>13455</v>
      </c>
      <c r="G3948" s="162">
        <v>162201</v>
      </c>
      <c r="H3948" s="162" t="s">
        <v>13456</v>
      </c>
      <c r="I3948" s="162" t="s">
        <v>14563</v>
      </c>
      <c r="J3948" s="162" t="s">
        <v>14564</v>
      </c>
      <c r="K3948" s="406" t="s">
        <v>14609</v>
      </c>
      <c r="L3948" s="162" t="s">
        <v>14610</v>
      </c>
      <c r="M3948" s="162" t="s">
        <v>14611</v>
      </c>
      <c r="N3948" s="162">
        <v>0</v>
      </c>
      <c r="O3948" s="224">
        <v>10</v>
      </c>
      <c r="P3948" s="224">
        <v>10</v>
      </c>
      <c r="Q3948" s="224">
        <v>10</v>
      </c>
      <c r="R3948" s="224">
        <v>10</v>
      </c>
      <c r="S3948" s="224">
        <v>10</v>
      </c>
      <c r="T3948" s="223" t="s">
        <v>14567</v>
      </c>
      <c r="U3948" t="str">
        <f>VLOOKUP(T3948,[8]Votes!$A$1:$E$234,3,FALSE)</f>
        <v>106 Uganda Human Rights Commission</v>
      </c>
      <c r="V3948" s="162" t="s">
        <v>14612</v>
      </c>
      <c r="W3948" s="388">
        <v>1</v>
      </c>
      <c r="X3948" s="388">
        <v>0</v>
      </c>
      <c r="Y3948" s="388">
        <v>1</v>
      </c>
      <c r="Z3948" s="388">
        <v>1</v>
      </c>
      <c r="AA3948" s="388">
        <v>1</v>
      </c>
      <c r="AB3948" s="388">
        <v>0</v>
      </c>
      <c r="AC3948" s="150">
        <v>1</v>
      </c>
      <c r="AD3948" s="150">
        <v>0</v>
      </c>
      <c r="AE3948" s="49">
        <f t="shared" si="144"/>
        <v>0.625</v>
      </c>
      <c r="AF3948" s="485">
        <v>0</v>
      </c>
      <c r="AG3948" s="17">
        <v>0</v>
      </c>
      <c r="AH3948" s="485">
        <v>0.154</v>
      </c>
      <c r="AI3948" s="485">
        <v>1.25</v>
      </c>
      <c r="AJ3948" s="485">
        <v>1.31</v>
      </c>
      <c r="AK3948" s="493">
        <v>0.01</v>
      </c>
      <c r="AL3948" s="493">
        <v>0.01</v>
      </c>
      <c r="AM3948" s="17">
        <f t="shared" si="145"/>
        <v>0.02</v>
      </c>
      <c r="AN3948" s="162" t="s">
        <v>14567</v>
      </c>
      <c r="AO3948" s="162" t="s">
        <v>14570</v>
      </c>
    </row>
    <row r="3949" spans="1:41" s="162" customFormat="1" x14ac:dyDescent="0.3">
      <c r="A3949" s="205" t="s">
        <v>8321</v>
      </c>
      <c r="B3949" s="162" t="s">
        <v>8322</v>
      </c>
      <c r="C3949" s="168" t="s">
        <v>13452</v>
      </c>
      <c r="D3949" s="162" t="s">
        <v>13453</v>
      </c>
      <c r="E3949" s="406" t="s">
        <v>13454</v>
      </c>
      <c r="F3949" s="162" t="s">
        <v>13455</v>
      </c>
      <c r="G3949" s="162">
        <v>162201</v>
      </c>
      <c r="H3949" s="162" t="s">
        <v>13456</v>
      </c>
      <c r="I3949" s="162" t="s">
        <v>14563</v>
      </c>
      <c r="J3949" s="162" t="s">
        <v>14564</v>
      </c>
      <c r="K3949" s="406" t="s">
        <v>14613</v>
      </c>
      <c r="L3949" s="162" t="s">
        <v>14614</v>
      </c>
      <c r="M3949" s="162" t="s">
        <v>14615</v>
      </c>
      <c r="N3949" s="162">
        <v>0</v>
      </c>
      <c r="O3949" s="224">
        <v>1</v>
      </c>
      <c r="P3949" s="224">
        <v>0</v>
      </c>
      <c r="Q3949" s="224">
        <v>0</v>
      </c>
      <c r="R3949" s="224">
        <v>0</v>
      </c>
      <c r="S3949" s="224">
        <v>0</v>
      </c>
      <c r="T3949" s="223" t="s">
        <v>14567</v>
      </c>
      <c r="U3949" t="str">
        <f>VLOOKUP(T3949,[8]Votes!$A$1:$E$234,3,FALSE)</f>
        <v>106 Uganda Human Rights Commission</v>
      </c>
      <c r="V3949" s="162" t="s">
        <v>14616</v>
      </c>
      <c r="W3949" s="388">
        <v>1</v>
      </c>
      <c r="X3949" s="388">
        <v>0</v>
      </c>
      <c r="Y3949" s="388">
        <v>1</v>
      </c>
      <c r="Z3949" s="388">
        <v>1</v>
      </c>
      <c r="AA3949" s="388">
        <v>1</v>
      </c>
      <c r="AB3949" s="388">
        <v>0</v>
      </c>
      <c r="AC3949" s="150">
        <v>1</v>
      </c>
      <c r="AD3949" s="150">
        <v>0</v>
      </c>
      <c r="AE3949" s="49">
        <f t="shared" si="144"/>
        <v>0.625</v>
      </c>
      <c r="AF3949" s="485">
        <v>0</v>
      </c>
      <c r="AG3949" s="17">
        <v>0</v>
      </c>
      <c r="AH3949" s="485">
        <v>0.5</v>
      </c>
      <c r="AI3949" s="190">
        <v>0</v>
      </c>
      <c r="AJ3949" s="190">
        <v>0</v>
      </c>
      <c r="AK3949" s="191">
        <v>0</v>
      </c>
      <c r="AL3949" s="191">
        <v>0</v>
      </c>
      <c r="AM3949" s="17">
        <f t="shared" si="145"/>
        <v>0</v>
      </c>
      <c r="AN3949" s="162" t="s">
        <v>14567</v>
      </c>
      <c r="AO3949" s="162" t="s">
        <v>14570</v>
      </c>
    </row>
    <row r="3950" spans="1:41" s="162" customFormat="1" x14ac:dyDescent="0.3">
      <c r="A3950" s="205" t="s">
        <v>8321</v>
      </c>
      <c r="B3950" s="162" t="s">
        <v>8322</v>
      </c>
      <c r="C3950" s="168" t="s">
        <v>13452</v>
      </c>
      <c r="D3950" s="162" t="s">
        <v>13453</v>
      </c>
      <c r="E3950" s="406" t="s">
        <v>13454</v>
      </c>
      <c r="F3950" s="162" t="s">
        <v>13455</v>
      </c>
      <c r="G3950" s="162">
        <v>162201</v>
      </c>
      <c r="H3950" s="162" t="s">
        <v>13456</v>
      </c>
      <c r="I3950" s="162" t="s">
        <v>14563</v>
      </c>
      <c r="J3950" s="162" t="s">
        <v>14564</v>
      </c>
      <c r="K3950" s="406" t="s">
        <v>14613</v>
      </c>
      <c r="L3950" s="162" t="s">
        <v>14614</v>
      </c>
      <c r="M3950" s="162" t="s">
        <v>14617</v>
      </c>
      <c r="N3950" s="162">
        <v>0</v>
      </c>
      <c r="O3950" s="224">
        <v>1</v>
      </c>
      <c r="P3950" s="224">
        <v>1</v>
      </c>
      <c r="Q3950" s="224">
        <v>0</v>
      </c>
      <c r="R3950" s="224">
        <v>0</v>
      </c>
      <c r="S3950" s="224">
        <v>0</v>
      </c>
      <c r="T3950" s="223" t="s">
        <v>14567</v>
      </c>
      <c r="U3950" t="str">
        <f>VLOOKUP(T3950,[8]Votes!$A$1:$E$234,3,FALSE)</f>
        <v>106 Uganda Human Rights Commission</v>
      </c>
      <c r="V3950" s="162" t="s">
        <v>14618</v>
      </c>
      <c r="W3950" s="388">
        <v>1</v>
      </c>
      <c r="X3950" s="388">
        <v>0</v>
      </c>
      <c r="Y3950" s="388">
        <v>1</v>
      </c>
      <c r="Z3950" s="388">
        <v>1</v>
      </c>
      <c r="AA3950" s="388">
        <v>1</v>
      </c>
      <c r="AB3950" s="388">
        <v>0</v>
      </c>
      <c r="AC3950" s="150">
        <v>1</v>
      </c>
      <c r="AD3950" s="150">
        <v>0</v>
      </c>
      <c r="AE3950" s="49">
        <f t="shared" si="144"/>
        <v>0.625</v>
      </c>
      <c r="AF3950" s="485">
        <v>0</v>
      </c>
      <c r="AG3950" s="17">
        <v>0</v>
      </c>
      <c r="AH3950" s="485">
        <v>0.65</v>
      </c>
      <c r="AI3950" s="485">
        <v>0.65</v>
      </c>
      <c r="AJ3950" s="190">
        <v>0</v>
      </c>
      <c r="AK3950" s="191">
        <v>0</v>
      </c>
      <c r="AL3950" s="191">
        <v>0</v>
      </c>
      <c r="AM3950" s="17">
        <f t="shared" si="145"/>
        <v>0</v>
      </c>
      <c r="AN3950" s="162" t="s">
        <v>14567</v>
      </c>
      <c r="AO3950" s="162" t="s">
        <v>14570</v>
      </c>
    </row>
    <row r="3951" spans="1:41" s="162" customFormat="1" x14ac:dyDescent="0.3">
      <c r="A3951" s="205" t="s">
        <v>8321</v>
      </c>
      <c r="B3951" s="162" t="s">
        <v>8322</v>
      </c>
      <c r="C3951" s="168" t="s">
        <v>13452</v>
      </c>
      <c r="D3951" s="162" t="s">
        <v>13453</v>
      </c>
      <c r="E3951" s="406" t="s">
        <v>13454</v>
      </c>
      <c r="F3951" s="162" t="s">
        <v>13455</v>
      </c>
      <c r="G3951" s="162">
        <v>162201</v>
      </c>
      <c r="H3951" s="162" t="s">
        <v>13456</v>
      </c>
      <c r="I3951" s="162" t="s">
        <v>14563</v>
      </c>
      <c r="J3951" s="162" t="s">
        <v>14564</v>
      </c>
      <c r="K3951" s="406" t="s">
        <v>14619</v>
      </c>
      <c r="L3951" s="162" t="s">
        <v>14620</v>
      </c>
      <c r="M3951" s="162" t="s">
        <v>14621</v>
      </c>
      <c r="N3951" s="162">
        <v>0</v>
      </c>
      <c r="O3951" s="224">
        <v>0</v>
      </c>
      <c r="P3951" s="224">
        <v>0</v>
      </c>
      <c r="Q3951" s="224">
        <v>0</v>
      </c>
      <c r="R3951" s="224">
        <v>0</v>
      </c>
      <c r="S3951" s="224">
        <v>0</v>
      </c>
      <c r="T3951" s="223" t="s">
        <v>14567</v>
      </c>
      <c r="U3951" t="str">
        <f>VLOOKUP(T3951,[8]Votes!$A$1:$E$234,3,FALSE)</f>
        <v>106 Uganda Human Rights Commission</v>
      </c>
      <c r="V3951" s="162" t="s">
        <v>14622</v>
      </c>
      <c r="W3951" s="388">
        <v>1</v>
      </c>
      <c r="X3951" s="388">
        <v>0</v>
      </c>
      <c r="Y3951" s="388">
        <v>1</v>
      </c>
      <c r="Z3951" s="388">
        <v>1</v>
      </c>
      <c r="AA3951" s="388">
        <v>1</v>
      </c>
      <c r="AB3951" s="388">
        <v>0</v>
      </c>
      <c r="AC3951" s="150">
        <v>1</v>
      </c>
      <c r="AD3951" s="150">
        <v>0</v>
      </c>
      <c r="AE3951" s="49">
        <f t="shared" si="144"/>
        <v>0.625</v>
      </c>
      <c r="AF3951" s="485">
        <v>0</v>
      </c>
      <c r="AG3951" s="17">
        <v>0</v>
      </c>
      <c r="AH3951" s="190">
        <v>0</v>
      </c>
      <c r="AI3951" s="190">
        <v>0</v>
      </c>
      <c r="AJ3951" s="190">
        <v>0</v>
      </c>
      <c r="AK3951" s="493">
        <v>0</v>
      </c>
      <c r="AL3951" s="191">
        <v>0</v>
      </c>
      <c r="AM3951" s="17">
        <f t="shared" si="145"/>
        <v>0</v>
      </c>
      <c r="AN3951" s="162" t="s">
        <v>14567</v>
      </c>
      <c r="AO3951" s="162" t="s">
        <v>14570</v>
      </c>
    </row>
    <row r="3952" spans="1:41" s="162" customFormat="1" x14ac:dyDescent="0.3">
      <c r="A3952" s="205" t="s">
        <v>8321</v>
      </c>
      <c r="B3952" s="162" t="s">
        <v>8322</v>
      </c>
      <c r="C3952" s="168" t="s">
        <v>13452</v>
      </c>
      <c r="D3952" s="162" t="s">
        <v>13453</v>
      </c>
      <c r="E3952" s="406" t="s">
        <v>13454</v>
      </c>
      <c r="F3952" s="162" t="s">
        <v>13455</v>
      </c>
      <c r="G3952" s="162">
        <v>162201</v>
      </c>
      <c r="H3952" s="162" t="s">
        <v>13456</v>
      </c>
      <c r="I3952" s="162" t="s">
        <v>14563</v>
      </c>
      <c r="J3952" s="162" t="s">
        <v>14564</v>
      </c>
      <c r="K3952" s="406" t="s">
        <v>14623</v>
      </c>
      <c r="L3952" s="162" t="s">
        <v>14624</v>
      </c>
      <c r="M3952" s="162" t="s">
        <v>14625</v>
      </c>
      <c r="N3952" s="162">
        <v>2</v>
      </c>
      <c r="O3952" s="224">
        <v>2</v>
      </c>
      <c r="P3952" s="224">
        <v>2</v>
      </c>
      <c r="Q3952" s="224">
        <v>2</v>
      </c>
      <c r="R3952" s="224">
        <v>2</v>
      </c>
      <c r="S3952" s="224">
        <v>2</v>
      </c>
      <c r="T3952" s="223" t="s">
        <v>14567</v>
      </c>
      <c r="U3952" t="str">
        <f>VLOOKUP(T3952,[8]Votes!$A$1:$E$234,3,FALSE)</f>
        <v>106 Uganda Human Rights Commission</v>
      </c>
      <c r="V3952" s="162" t="s">
        <v>14626</v>
      </c>
      <c r="W3952" s="388">
        <v>1</v>
      </c>
      <c r="X3952" s="388">
        <v>0</v>
      </c>
      <c r="Y3952" s="388">
        <v>1</v>
      </c>
      <c r="Z3952" s="388">
        <v>1</v>
      </c>
      <c r="AA3952" s="388">
        <v>1</v>
      </c>
      <c r="AB3952" s="388">
        <v>0</v>
      </c>
      <c r="AC3952" s="150">
        <v>1</v>
      </c>
      <c r="AD3952" s="150">
        <v>0</v>
      </c>
      <c r="AE3952" s="49">
        <f t="shared" si="144"/>
        <v>0.625</v>
      </c>
      <c r="AF3952" s="485">
        <v>0</v>
      </c>
      <c r="AG3952" s="17">
        <v>0</v>
      </c>
      <c r="AH3952" s="485">
        <v>1.8</v>
      </c>
      <c r="AI3952" s="485">
        <v>1.8</v>
      </c>
      <c r="AJ3952" s="485">
        <v>1.8</v>
      </c>
      <c r="AK3952" s="493">
        <v>0.2</v>
      </c>
      <c r="AL3952" s="493">
        <v>0.2</v>
      </c>
      <c r="AM3952" s="17">
        <f t="shared" si="145"/>
        <v>0.4</v>
      </c>
      <c r="AN3952" s="162" t="s">
        <v>14567</v>
      </c>
      <c r="AO3952" s="162" t="s">
        <v>14570</v>
      </c>
    </row>
    <row r="3953" spans="1:42" s="162" customFormat="1" x14ac:dyDescent="0.3">
      <c r="A3953" s="205" t="s">
        <v>8321</v>
      </c>
      <c r="B3953" s="162" t="s">
        <v>8322</v>
      </c>
      <c r="C3953" s="168" t="s">
        <v>13452</v>
      </c>
      <c r="D3953" s="162" t="s">
        <v>13453</v>
      </c>
      <c r="E3953" s="406" t="s">
        <v>13454</v>
      </c>
      <c r="F3953" s="162" t="s">
        <v>13455</v>
      </c>
      <c r="G3953" s="162">
        <v>162201</v>
      </c>
      <c r="H3953" s="162" t="s">
        <v>13456</v>
      </c>
      <c r="I3953" s="162" t="s">
        <v>14563</v>
      </c>
      <c r="J3953" s="162" t="s">
        <v>14564</v>
      </c>
      <c r="K3953" s="406" t="s">
        <v>14627</v>
      </c>
      <c r="L3953" s="162" t="s">
        <v>14628</v>
      </c>
      <c r="M3953" s="162" t="s">
        <v>14629</v>
      </c>
      <c r="N3953" s="162">
        <v>0</v>
      </c>
      <c r="O3953" s="224">
        <v>150</v>
      </c>
      <c r="P3953" s="224">
        <v>150</v>
      </c>
      <c r="Q3953" s="224">
        <v>150</v>
      </c>
      <c r="R3953" s="224">
        <v>150</v>
      </c>
      <c r="S3953" s="224">
        <v>0</v>
      </c>
      <c r="T3953" s="223" t="s">
        <v>14567</v>
      </c>
      <c r="U3953" t="str">
        <f>VLOOKUP(T3953,[8]Votes!$A$1:$E$234,3,FALSE)</f>
        <v>106 Uganda Human Rights Commission</v>
      </c>
      <c r="V3953" s="162" t="s">
        <v>14630</v>
      </c>
      <c r="W3953" s="388">
        <v>1</v>
      </c>
      <c r="X3953" s="388">
        <v>0</v>
      </c>
      <c r="Y3953" s="388">
        <v>1</v>
      </c>
      <c r="Z3953" s="388">
        <v>1</v>
      </c>
      <c r="AA3953" s="388">
        <v>1</v>
      </c>
      <c r="AB3953" s="388">
        <v>0</v>
      </c>
      <c r="AC3953" s="150">
        <v>1</v>
      </c>
      <c r="AD3953" s="150">
        <v>0</v>
      </c>
      <c r="AE3953" s="49">
        <f t="shared" si="144"/>
        <v>0.625</v>
      </c>
      <c r="AF3953" s="485">
        <v>0</v>
      </c>
      <c r="AG3953" s="17">
        <v>0</v>
      </c>
      <c r="AH3953" s="485">
        <v>0.9</v>
      </c>
      <c r="AI3953" s="485">
        <v>0.9</v>
      </c>
      <c r="AJ3953" s="485">
        <v>0.9</v>
      </c>
      <c r="AK3953" s="493">
        <v>0.2</v>
      </c>
      <c r="AL3953" s="191">
        <v>0</v>
      </c>
      <c r="AM3953" s="17">
        <f t="shared" si="145"/>
        <v>0.2</v>
      </c>
      <c r="AN3953" s="162" t="s">
        <v>14567</v>
      </c>
      <c r="AO3953" s="162" t="s">
        <v>14570</v>
      </c>
    </row>
    <row r="3954" spans="1:42" s="162" customFormat="1" x14ac:dyDescent="0.3">
      <c r="A3954" s="205" t="s">
        <v>8321</v>
      </c>
      <c r="B3954" s="162" t="s">
        <v>8322</v>
      </c>
      <c r="C3954" s="168" t="s">
        <v>13452</v>
      </c>
      <c r="D3954" s="162" t="s">
        <v>13453</v>
      </c>
      <c r="E3954" s="406" t="s">
        <v>13454</v>
      </c>
      <c r="F3954" s="162" t="s">
        <v>13455</v>
      </c>
      <c r="G3954" s="162">
        <v>162201</v>
      </c>
      <c r="H3954" s="162" t="s">
        <v>13456</v>
      </c>
      <c r="I3954" s="162" t="s">
        <v>14563</v>
      </c>
      <c r="J3954" s="162" t="s">
        <v>14564</v>
      </c>
      <c r="K3954" s="406" t="s">
        <v>14631</v>
      </c>
      <c r="L3954" s="162" t="s">
        <v>14632</v>
      </c>
      <c r="M3954" s="162" t="s">
        <v>14633</v>
      </c>
      <c r="N3954" s="162">
        <v>0</v>
      </c>
      <c r="O3954" s="224">
        <v>50</v>
      </c>
      <c r="P3954" s="224">
        <v>50</v>
      </c>
      <c r="Q3954" s="224">
        <v>50</v>
      </c>
      <c r="R3954" s="224">
        <v>0</v>
      </c>
      <c r="S3954" s="224">
        <v>0</v>
      </c>
      <c r="T3954" s="223" t="s">
        <v>14567</v>
      </c>
      <c r="U3954" t="str">
        <f>VLOOKUP(T3954,[8]Votes!$A$1:$E$234,3,FALSE)</f>
        <v>106 Uganda Human Rights Commission</v>
      </c>
      <c r="V3954" s="162" t="s">
        <v>14634</v>
      </c>
      <c r="W3954" s="388">
        <v>1</v>
      </c>
      <c r="X3954" s="388">
        <v>0</v>
      </c>
      <c r="Y3954" s="388">
        <v>1</v>
      </c>
      <c r="Z3954" s="388">
        <v>1</v>
      </c>
      <c r="AA3954" s="388">
        <v>1</v>
      </c>
      <c r="AB3954" s="388">
        <v>0</v>
      </c>
      <c r="AC3954" s="150">
        <v>1</v>
      </c>
      <c r="AD3954" s="150">
        <v>0</v>
      </c>
      <c r="AE3954" s="49">
        <f t="shared" si="144"/>
        <v>0.625</v>
      </c>
      <c r="AF3954" s="485">
        <v>0</v>
      </c>
      <c r="AG3954" s="17">
        <v>0</v>
      </c>
      <c r="AH3954" s="485">
        <v>0.15</v>
      </c>
      <c r="AI3954" s="485">
        <v>0.15</v>
      </c>
      <c r="AJ3954" s="485">
        <v>0.15</v>
      </c>
      <c r="AK3954" s="493">
        <v>0</v>
      </c>
      <c r="AL3954" s="493">
        <v>0</v>
      </c>
      <c r="AM3954" s="17">
        <f t="shared" si="145"/>
        <v>0</v>
      </c>
      <c r="AN3954" s="162" t="s">
        <v>14567</v>
      </c>
      <c r="AO3954" s="162" t="s">
        <v>14570</v>
      </c>
    </row>
    <row r="3955" spans="1:42" s="162" customFormat="1" x14ac:dyDescent="0.3">
      <c r="A3955" s="205" t="s">
        <v>8321</v>
      </c>
      <c r="B3955" s="162" t="s">
        <v>8322</v>
      </c>
      <c r="C3955" s="168" t="s">
        <v>13452</v>
      </c>
      <c r="D3955" s="162" t="s">
        <v>13453</v>
      </c>
      <c r="E3955" s="406" t="s">
        <v>13454</v>
      </c>
      <c r="F3955" s="162" t="s">
        <v>13455</v>
      </c>
      <c r="G3955" s="162">
        <v>162201</v>
      </c>
      <c r="H3955" s="162" t="s">
        <v>13456</v>
      </c>
      <c r="I3955" s="162" t="s">
        <v>14563</v>
      </c>
      <c r="J3955" s="162" t="s">
        <v>14564</v>
      </c>
      <c r="K3955" s="406" t="s">
        <v>14635</v>
      </c>
      <c r="L3955" s="162" t="s">
        <v>14636</v>
      </c>
      <c r="M3955" s="162" t="s">
        <v>14637</v>
      </c>
      <c r="N3955" s="162">
        <v>0</v>
      </c>
      <c r="O3955" s="229">
        <v>1000</v>
      </c>
      <c r="P3955" s="229">
        <v>1500</v>
      </c>
      <c r="Q3955" s="229">
        <v>2000</v>
      </c>
      <c r="R3955" s="229">
        <v>2500</v>
      </c>
      <c r="S3955" s="229">
        <v>2500</v>
      </c>
      <c r="T3955" s="223" t="s">
        <v>14567</v>
      </c>
      <c r="U3955" t="str">
        <f>VLOOKUP(T3955,[8]Votes!$A$1:$E$234,3,FALSE)</f>
        <v>106 Uganda Human Rights Commission</v>
      </c>
      <c r="V3955" s="162" t="s">
        <v>14638</v>
      </c>
      <c r="W3955" s="388">
        <v>1</v>
      </c>
      <c r="X3955" s="388">
        <v>0</v>
      </c>
      <c r="Y3955" s="388">
        <v>1</v>
      </c>
      <c r="Z3955" s="388">
        <v>1</v>
      </c>
      <c r="AA3955" s="388">
        <v>1</v>
      </c>
      <c r="AB3955" s="388">
        <v>0</v>
      </c>
      <c r="AC3955" s="150">
        <v>1</v>
      </c>
      <c r="AD3955" s="150">
        <v>0</v>
      </c>
      <c r="AE3955" s="49">
        <f t="shared" si="144"/>
        <v>0.625</v>
      </c>
      <c r="AF3955" s="485">
        <v>0</v>
      </c>
      <c r="AG3955" s="17">
        <v>0</v>
      </c>
      <c r="AH3955" s="485">
        <v>0.2</v>
      </c>
      <c r="AI3955" s="485">
        <v>0.3</v>
      </c>
      <c r="AJ3955" s="485">
        <v>0.4</v>
      </c>
      <c r="AK3955" s="493">
        <v>0.1</v>
      </c>
      <c r="AL3955" s="493">
        <v>0.1</v>
      </c>
      <c r="AM3955" s="17">
        <f t="shared" si="145"/>
        <v>0.2</v>
      </c>
      <c r="AN3955" s="162" t="s">
        <v>14567</v>
      </c>
      <c r="AO3955" s="162" t="s">
        <v>14570</v>
      </c>
      <c r="AP3955" s="162" t="s">
        <v>14639</v>
      </c>
    </row>
    <row r="3956" spans="1:42" s="162" customFormat="1" x14ac:dyDescent="0.3">
      <c r="A3956" s="205" t="s">
        <v>8321</v>
      </c>
      <c r="B3956" s="162" t="s">
        <v>8322</v>
      </c>
      <c r="C3956" s="168" t="s">
        <v>13452</v>
      </c>
      <c r="D3956" s="162" t="s">
        <v>13453</v>
      </c>
      <c r="E3956" s="406" t="s">
        <v>13454</v>
      </c>
      <c r="F3956" s="162" t="s">
        <v>13455</v>
      </c>
      <c r="G3956" s="162">
        <v>162201</v>
      </c>
      <c r="H3956" s="162" t="s">
        <v>13456</v>
      </c>
      <c r="I3956" s="162" t="s">
        <v>14563</v>
      </c>
      <c r="J3956" s="162" t="s">
        <v>14564</v>
      </c>
      <c r="K3956" s="406" t="s">
        <v>14640</v>
      </c>
      <c r="L3956" s="162" t="s">
        <v>14641</v>
      </c>
      <c r="M3956" s="162" t="s">
        <v>14642</v>
      </c>
      <c r="N3956" s="162">
        <v>0</v>
      </c>
      <c r="O3956" s="224">
        <v>10</v>
      </c>
      <c r="P3956" s="224">
        <v>5</v>
      </c>
      <c r="Q3956" s="224">
        <v>5</v>
      </c>
      <c r="R3956" s="224">
        <v>0</v>
      </c>
      <c r="S3956" s="224">
        <v>0</v>
      </c>
      <c r="T3956" s="223" t="s">
        <v>14567</v>
      </c>
      <c r="U3956" t="str">
        <f>VLOOKUP(T3956,[8]Votes!$A$1:$E$234,3,FALSE)</f>
        <v>106 Uganda Human Rights Commission</v>
      </c>
      <c r="V3956" s="162" t="s">
        <v>14643</v>
      </c>
      <c r="W3956" s="388">
        <v>1</v>
      </c>
      <c r="X3956" s="388">
        <v>0</v>
      </c>
      <c r="Y3956" s="388">
        <v>1</v>
      </c>
      <c r="Z3956" s="388">
        <v>1</v>
      </c>
      <c r="AA3956" s="388">
        <v>1</v>
      </c>
      <c r="AB3956" s="388">
        <v>0</v>
      </c>
      <c r="AC3956" s="150">
        <v>1</v>
      </c>
      <c r="AD3956" s="150">
        <v>0</v>
      </c>
      <c r="AE3956" s="49">
        <f t="shared" si="144"/>
        <v>0.625</v>
      </c>
      <c r="AF3956" s="485">
        <v>0</v>
      </c>
      <c r="AG3956" s="17">
        <v>0</v>
      </c>
      <c r="AH3956" s="485">
        <v>5.0000000000000001E-3</v>
      </c>
      <c r="AI3956" s="485">
        <v>2E-3</v>
      </c>
      <c r="AJ3956" s="485">
        <v>2E-3</v>
      </c>
      <c r="AK3956" s="191">
        <v>0</v>
      </c>
      <c r="AL3956" s="191">
        <v>0</v>
      </c>
      <c r="AM3956" s="17">
        <f t="shared" si="145"/>
        <v>0</v>
      </c>
      <c r="AN3956" s="162" t="s">
        <v>14567</v>
      </c>
      <c r="AO3956" s="162" t="s">
        <v>14570</v>
      </c>
    </row>
    <row r="3957" spans="1:42" s="162" customFormat="1" x14ac:dyDescent="0.3">
      <c r="A3957" s="205" t="s">
        <v>8321</v>
      </c>
      <c r="B3957" s="162" t="s">
        <v>8322</v>
      </c>
      <c r="C3957" s="168" t="s">
        <v>13452</v>
      </c>
      <c r="D3957" s="162" t="s">
        <v>13453</v>
      </c>
      <c r="E3957" s="406" t="s">
        <v>13454</v>
      </c>
      <c r="F3957" s="162" t="s">
        <v>13455</v>
      </c>
      <c r="G3957" s="162">
        <v>162202</v>
      </c>
      <c r="H3957" s="162" t="s">
        <v>14644</v>
      </c>
      <c r="I3957" s="162" t="s">
        <v>14645</v>
      </c>
      <c r="J3957" s="162" t="s">
        <v>14564</v>
      </c>
      <c r="K3957" s="162" t="s">
        <v>14646</v>
      </c>
      <c r="L3957" s="162" t="s">
        <v>14647</v>
      </c>
      <c r="M3957" s="162" t="s">
        <v>14648</v>
      </c>
      <c r="O3957" s="224">
        <v>2</v>
      </c>
      <c r="P3957" s="224">
        <v>12</v>
      </c>
      <c r="Q3957" s="224">
        <v>12</v>
      </c>
      <c r="R3957" s="224">
        <v>8</v>
      </c>
      <c r="S3957" s="224">
        <v>8</v>
      </c>
      <c r="T3957" s="223" t="s">
        <v>14649</v>
      </c>
      <c r="U3957" t="e">
        <f>VLOOKUP(T3957,[8]Votes!$A$1:$E$234,3,FALSE)</f>
        <v>#N/A</v>
      </c>
      <c r="V3957" s="162" t="s">
        <v>14597</v>
      </c>
      <c r="W3957" s="388">
        <v>1</v>
      </c>
      <c r="X3957" s="388">
        <v>1</v>
      </c>
      <c r="Y3957" s="388">
        <v>1</v>
      </c>
      <c r="Z3957" s="388">
        <v>1</v>
      </c>
      <c r="AA3957" s="388">
        <v>1</v>
      </c>
      <c r="AB3957" s="388">
        <v>1</v>
      </c>
      <c r="AC3957" s="150">
        <v>1</v>
      </c>
      <c r="AD3957" s="150">
        <v>1</v>
      </c>
      <c r="AE3957" s="49">
        <f t="shared" si="144"/>
        <v>1</v>
      </c>
      <c r="AF3957" s="485">
        <v>0</v>
      </c>
      <c r="AG3957" s="17">
        <v>0</v>
      </c>
      <c r="AH3957" s="485">
        <v>39</v>
      </c>
      <c r="AI3957" s="485">
        <v>42.9</v>
      </c>
      <c r="AJ3957" s="485">
        <v>50.1</v>
      </c>
      <c r="AK3957" s="493">
        <v>0</v>
      </c>
      <c r="AL3957" s="493">
        <v>0</v>
      </c>
      <c r="AM3957" s="17">
        <f t="shared" si="145"/>
        <v>0</v>
      </c>
      <c r="AN3957" s="162" t="s">
        <v>14391</v>
      </c>
      <c r="AO3957" s="162" t="s">
        <v>14393</v>
      </c>
      <c r="AP3957" s="162" t="s">
        <v>4195</v>
      </c>
    </row>
    <row r="3958" spans="1:42" s="162" customFormat="1" x14ac:dyDescent="0.3">
      <c r="A3958" s="205" t="s">
        <v>8321</v>
      </c>
      <c r="B3958" s="162" t="s">
        <v>8322</v>
      </c>
      <c r="C3958" s="168" t="s">
        <v>13452</v>
      </c>
      <c r="D3958" s="162" t="s">
        <v>13453</v>
      </c>
      <c r="E3958" s="406" t="s">
        <v>13454</v>
      </c>
      <c r="F3958" s="162" t="s">
        <v>13455</v>
      </c>
      <c r="G3958" s="162">
        <v>162202</v>
      </c>
      <c r="H3958" s="162" t="s">
        <v>14644</v>
      </c>
      <c r="I3958" s="162" t="s">
        <v>14645</v>
      </c>
      <c r="J3958" s="162" t="s">
        <v>14564</v>
      </c>
      <c r="K3958" s="162" t="s">
        <v>14646</v>
      </c>
      <c r="L3958" s="162" t="s">
        <v>14647</v>
      </c>
      <c r="M3958" s="162" t="s">
        <v>14648</v>
      </c>
      <c r="O3958" s="224"/>
      <c r="P3958" s="224"/>
      <c r="Q3958" s="224"/>
      <c r="R3958" s="224"/>
      <c r="S3958" s="224"/>
      <c r="T3958" s="223" t="s">
        <v>14391</v>
      </c>
      <c r="U3958" t="str">
        <f>VLOOKUP(T3958,[8]Votes!$A$1:$E$234,3,FALSE)</f>
        <v>102 Electoral Commission</v>
      </c>
      <c r="V3958" s="162" t="s">
        <v>14597</v>
      </c>
      <c r="W3958" s="388">
        <v>1</v>
      </c>
      <c r="X3958" s="388">
        <v>1</v>
      </c>
      <c r="Y3958" s="388">
        <v>0</v>
      </c>
      <c r="Z3958" s="388">
        <v>1</v>
      </c>
      <c r="AA3958" s="388">
        <v>0</v>
      </c>
      <c r="AB3958" s="388">
        <v>0</v>
      </c>
      <c r="AC3958" s="150">
        <v>0</v>
      </c>
      <c r="AD3958" s="150">
        <v>1</v>
      </c>
      <c r="AE3958" s="49">
        <f t="shared" si="144"/>
        <v>0.5</v>
      </c>
      <c r="AF3958" s="485">
        <v>0</v>
      </c>
      <c r="AG3958" s="17">
        <v>0</v>
      </c>
      <c r="AH3958" s="485">
        <v>0.5</v>
      </c>
      <c r="AI3958" s="485">
        <v>0.5</v>
      </c>
      <c r="AJ3958" s="485">
        <v>0.5</v>
      </c>
      <c r="AK3958" s="493">
        <v>0.5</v>
      </c>
      <c r="AL3958" s="493">
        <v>0.5</v>
      </c>
      <c r="AM3958" s="17">
        <f t="shared" si="145"/>
        <v>1</v>
      </c>
      <c r="AN3958" s="162" t="s">
        <v>14391</v>
      </c>
      <c r="AO3958" s="162" t="s">
        <v>14393</v>
      </c>
    </row>
    <row r="3959" spans="1:42" s="162" customFormat="1" x14ac:dyDescent="0.3">
      <c r="A3959" s="205" t="s">
        <v>8321</v>
      </c>
      <c r="B3959" s="162" t="s">
        <v>8322</v>
      </c>
      <c r="C3959" s="168" t="s">
        <v>13452</v>
      </c>
      <c r="D3959" s="162" t="s">
        <v>13453</v>
      </c>
      <c r="E3959" s="406" t="s">
        <v>13454</v>
      </c>
      <c r="F3959" s="162" t="s">
        <v>13455</v>
      </c>
      <c r="G3959" s="162">
        <v>162202</v>
      </c>
      <c r="H3959" s="162" t="s">
        <v>14644</v>
      </c>
      <c r="I3959" s="162" t="s">
        <v>14645</v>
      </c>
      <c r="J3959" s="162" t="s">
        <v>14564</v>
      </c>
      <c r="K3959" s="162" t="s">
        <v>14646</v>
      </c>
      <c r="L3959" s="162" t="s">
        <v>14647</v>
      </c>
      <c r="M3959" s="162" t="s">
        <v>14633</v>
      </c>
      <c r="N3959" s="162">
        <v>0</v>
      </c>
      <c r="O3959" s="224">
        <v>100</v>
      </c>
      <c r="P3959" s="224">
        <v>120</v>
      </c>
      <c r="Q3959" s="224">
        <v>120</v>
      </c>
      <c r="R3959" s="224">
        <v>0</v>
      </c>
      <c r="S3959" s="224">
        <v>0</v>
      </c>
      <c r="T3959" s="223" t="s">
        <v>14567</v>
      </c>
      <c r="U3959" t="str">
        <f>VLOOKUP(T3959,[8]Votes!$A$1:$E$234,3,FALSE)</f>
        <v>106 Uganda Human Rights Commission</v>
      </c>
      <c r="V3959" s="162" t="s">
        <v>14650</v>
      </c>
      <c r="W3959" s="388">
        <v>1</v>
      </c>
      <c r="X3959" s="388">
        <v>0</v>
      </c>
      <c r="Y3959" s="388">
        <v>1</v>
      </c>
      <c r="Z3959" s="388">
        <v>1</v>
      </c>
      <c r="AA3959" s="388">
        <v>1</v>
      </c>
      <c r="AB3959" s="388">
        <v>0</v>
      </c>
      <c r="AC3959" s="150">
        <v>1</v>
      </c>
      <c r="AD3959" s="150">
        <v>0</v>
      </c>
      <c r="AE3959" s="49">
        <f t="shared" si="144"/>
        <v>0.625</v>
      </c>
      <c r="AF3959" s="485">
        <v>0</v>
      </c>
      <c r="AG3959" s="17">
        <v>0</v>
      </c>
      <c r="AH3959" s="485">
        <v>0.78</v>
      </c>
      <c r="AI3959" s="485">
        <v>0.78</v>
      </c>
      <c r="AJ3959" s="485">
        <v>0.78</v>
      </c>
      <c r="AK3959" s="493">
        <v>0</v>
      </c>
      <c r="AL3959" s="493">
        <v>0</v>
      </c>
      <c r="AM3959" s="17">
        <f t="shared" si="145"/>
        <v>0</v>
      </c>
      <c r="AN3959" s="162" t="s">
        <v>14567</v>
      </c>
      <c r="AO3959" s="162" t="s">
        <v>14570</v>
      </c>
    </row>
    <row r="3960" spans="1:42" s="162" customFormat="1" x14ac:dyDescent="0.3">
      <c r="A3960" s="205" t="s">
        <v>8321</v>
      </c>
      <c r="B3960" s="162" t="s">
        <v>8322</v>
      </c>
      <c r="C3960" s="168" t="s">
        <v>13452</v>
      </c>
      <c r="D3960" s="162" t="s">
        <v>13453</v>
      </c>
      <c r="E3960" s="406" t="s">
        <v>13454</v>
      </c>
      <c r="F3960" s="162" t="s">
        <v>13455</v>
      </c>
      <c r="G3960" s="162">
        <v>162202</v>
      </c>
      <c r="H3960" s="162" t="s">
        <v>14644</v>
      </c>
      <c r="I3960" s="162" t="s">
        <v>14645</v>
      </c>
      <c r="J3960" s="162" t="s">
        <v>14564</v>
      </c>
      <c r="K3960" s="162" t="s">
        <v>14646</v>
      </c>
      <c r="L3960" s="162" t="s">
        <v>14647</v>
      </c>
      <c r="N3960" s="162">
        <v>0</v>
      </c>
      <c r="O3960" s="224">
        <v>270</v>
      </c>
      <c r="P3960" s="224">
        <v>270</v>
      </c>
      <c r="Q3960" s="224">
        <v>270</v>
      </c>
      <c r="R3960" s="224">
        <v>270</v>
      </c>
      <c r="S3960" s="224">
        <v>270</v>
      </c>
      <c r="T3960" s="223" t="s">
        <v>14567</v>
      </c>
      <c r="U3960" t="str">
        <f>VLOOKUP(T3960,[8]Votes!$A$1:$E$234,3,FALSE)</f>
        <v>106 Uganda Human Rights Commission</v>
      </c>
      <c r="V3960" s="162" t="s">
        <v>14651</v>
      </c>
      <c r="W3960" s="388">
        <v>1</v>
      </c>
      <c r="X3960" s="388">
        <v>1</v>
      </c>
      <c r="Y3960" s="388">
        <v>1</v>
      </c>
      <c r="Z3960" s="388">
        <v>1</v>
      </c>
      <c r="AA3960" s="388">
        <v>1</v>
      </c>
      <c r="AB3960" s="388">
        <v>1</v>
      </c>
      <c r="AC3960" s="150">
        <v>1</v>
      </c>
      <c r="AD3960" s="150">
        <v>0</v>
      </c>
      <c r="AE3960" s="49">
        <f t="shared" si="144"/>
        <v>0.875</v>
      </c>
      <c r="AF3960" s="485">
        <v>0</v>
      </c>
      <c r="AG3960" s="17">
        <v>0</v>
      </c>
      <c r="AH3960" s="485">
        <v>0.23</v>
      </c>
      <c r="AI3960" s="485">
        <v>0.23</v>
      </c>
      <c r="AJ3960" s="485">
        <v>0.23</v>
      </c>
      <c r="AK3960" s="493">
        <v>0.1</v>
      </c>
      <c r="AL3960" s="493">
        <v>0.1</v>
      </c>
      <c r="AM3960" s="17">
        <f t="shared" si="145"/>
        <v>0.2</v>
      </c>
      <c r="AN3960" s="162" t="s">
        <v>14567</v>
      </c>
      <c r="AO3960" s="162" t="s">
        <v>14570</v>
      </c>
    </row>
    <row r="3961" spans="1:42" s="162" customFormat="1" x14ac:dyDescent="0.3">
      <c r="A3961" s="205" t="s">
        <v>8321</v>
      </c>
      <c r="B3961" s="162" t="s">
        <v>8322</v>
      </c>
      <c r="C3961" s="168" t="s">
        <v>13469</v>
      </c>
      <c r="D3961" s="162" t="s">
        <v>13470</v>
      </c>
      <c r="E3961" s="406" t="s">
        <v>13471</v>
      </c>
      <c r="F3961" s="162" t="s">
        <v>13472</v>
      </c>
      <c r="G3961" s="406">
        <v>163301</v>
      </c>
      <c r="H3961" s="162" t="s">
        <v>13473</v>
      </c>
      <c r="I3961" s="162" t="s">
        <v>13474</v>
      </c>
      <c r="J3961" s="162" t="s">
        <v>13475</v>
      </c>
      <c r="K3961" s="406" t="s">
        <v>14652</v>
      </c>
      <c r="L3961" s="162" t="s">
        <v>14653</v>
      </c>
      <c r="M3961" s="162" t="s">
        <v>14654</v>
      </c>
      <c r="O3961" s="224"/>
      <c r="P3961" s="224"/>
      <c r="Q3961" s="224">
        <v>1</v>
      </c>
      <c r="R3961" s="224"/>
      <c r="S3961" s="224"/>
      <c r="T3961" s="223" t="s">
        <v>3875</v>
      </c>
      <c r="U3961" t="str">
        <f>VLOOKUP(T3961,[8]Votes!$A$1:$E$234,3,FALSE)</f>
        <v>007 Ministry of Justice and Constitutional Affairs</v>
      </c>
      <c r="V3961" s="162" t="s">
        <v>14655</v>
      </c>
      <c r="W3961" s="388">
        <v>1</v>
      </c>
      <c r="X3961" s="388">
        <v>0</v>
      </c>
      <c r="Y3961" s="388">
        <v>1</v>
      </c>
      <c r="Z3961" s="388">
        <v>1</v>
      </c>
      <c r="AA3961" s="388">
        <v>1</v>
      </c>
      <c r="AB3961" s="388">
        <v>0</v>
      </c>
      <c r="AC3961" s="150">
        <v>1</v>
      </c>
      <c r="AD3961" s="150">
        <v>0</v>
      </c>
      <c r="AE3961" s="49">
        <f t="shared" si="144"/>
        <v>0.625</v>
      </c>
      <c r="AF3961" s="488">
        <v>0</v>
      </c>
      <c r="AG3961" s="17">
        <v>0</v>
      </c>
      <c r="AH3961" s="190">
        <v>0</v>
      </c>
      <c r="AI3961" s="190">
        <v>0</v>
      </c>
      <c r="AJ3961" s="360">
        <v>0.8</v>
      </c>
      <c r="AK3961" s="191">
        <v>0</v>
      </c>
      <c r="AL3961" s="191">
        <v>0</v>
      </c>
      <c r="AM3961" s="17">
        <f t="shared" si="145"/>
        <v>0</v>
      </c>
      <c r="AN3961" s="223" t="s">
        <v>3875</v>
      </c>
      <c r="AO3961" s="162" t="s">
        <v>3877</v>
      </c>
    </row>
    <row r="3962" spans="1:42" s="162" customFormat="1" x14ac:dyDescent="0.3">
      <c r="A3962" s="205" t="s">
        <v>8321</v>
      </c>
      <c r="B3962" s="162" t="s">
        <v>8322</v>
      </c>
      <c r="C3962" s="168" t="s">
        <v>13469</v>
      </c>
      <c r="D3962" s="1" t="s">
        <v>13470</v>
      </c>
      <c r="E3962" s="406" t="s">
        <v>13545</v>
      </c>
      <c r="F3962" s="162" t="s">
        <v>13546</v>
      </c>
      <c r="G3962" s="406">
        <v>163701</v>
      </c>
      <c r="H3962" s="162" t="s">
        <v>13547</v>
      </c>
      <c r="K3962" s="406">
        <v>16370102</v>
      </c>
      <c r="L3962" s="162" t="s">
        <v>14656</v>
      </c>
      <c r="M3962" s="162" t="s">
        <v>14657</v>
      </c>
      <c r="O3962" s="224">
        <v>0</v>
      </c>
      <c r="P3962" s="224">
        <v>0</v>
      </c>
      <c r="Q3962" s="224">
        <v>10</v>
      </c>
      <c r="R3962" s="224">
        <v>15</v>
      </c>
      <c r="S3962" s="224">
        <v>20</v>
      </c>
      <c r="T3962" s="223" t="s">
        <v>3875</v>
      </c>
      <c r="U3962" t="str">
        <f>VLOOKUP(T3962,[8]Votes!$A$1:$E$234,3,FALSE)</f>
        <v>007 Ministry of Justice and Constitutional Affairs</v>
      </c>
      <c r="V3962" s="162" t="s">
        <v>14658</v>
      </c>
      <c r="W3962" s="407">
        <v>1</v>
      </c>
      <c r="X3962" s="407">
        <v>1</v>
      </c>
      <c r="Y3962" s="407">
        <v>1</v>
      </c>
      <c r="Z3962" s="407">
        <v>1</v>
      </c>
      <c r="AA3962" s="407">
        <v>1</v>
      </c>
      <c r="AB3962" s="407">
        <v>0</v>
      </c>
      <c r="AC3962" s="150">
        <v>1</v>
      </c>
      <c r="AD3962" s="150">
        <v>1</v>
      </c>
      <c r="AE3962" s="49">
        <f t="shared" ref="AE3962:AE4025" si="146">SUM(W3962:AD3962)/8</f>
        <v>0.875</v>
      </c>
      <c r="AF3962" s="23">
        <v>1</v>
      </c>
      <c r="AG3962" s="17">
        <v>0</v>
      </c>
      <c r="AH3962" s="190">
        <v>0</v>
      </c>
      <c r="AI3962" s="190">
        <v>0</v>
      </c>
      <c r="AJ3962" s="190">
        <v>0</v>
      </c>
      <c r="AK3962" s="361">
        <v>0.7</v>
      </c>
      <c r="AL3962" s="361">
        <v>1</v>
      </c>
      <c r="AM3962" s="17">
        <f t="shared" ref="AM3962:AM4025" si="147">SUM(AK3962:AL3962)</f>
        <v>1.7</v>
      </c>
      <c r="AN3962" s="223" t="s">
        <v>3875</v>
      </c>
      <c r="AO3962" s="162" t="s">
        <v>3877</v>
      </c>
    </row>
    <row r="3963" spans="1:42" s="162" customFormat="1" x14ac:dyDescent="0.3">
      <c r="A3963" s="205" t="s">
        <v>8321</v>
      </c>
      <c r="B3963" s="162" t="s">
        <v>8322</v>
      </c>
      <c r="C3963" s="168" t="s">
        <v>13469</v>
      </c>
      <c r="D3963" s="1" t="s">
        <v>13470</v>
      </c>
      <c r="E3963" s="406" t="s">
        <v>13545</v>
      </c>
      <c r="F3963" s="162" t="s">
        <v>13546</v>
      </c>
      <c r="G3963" s="406">
        <v>163701</v>
      </c>
      <c r="H3963" s="162" t="s">
        <v>13547</v>
      </c>
      <c r="K3963" s="406">
        <v>16370103</v>
      </c>
      <c r="L3963" s="162" t="s">
        <v>14659</v>
      </c>
      <c r="M3963" s="162" t="s">
        <v>14659</v>
      </c>
      <c r="N3963" s="224"/>
      <c r="O3963" s="224">
        <v>4</v>
      </c>
      <c r="P3963" s="224">
        <v>4</v>
      </c>
      <c r="Q3963" s="224">
        <v>10</v>
      </c>
      <c r="R3963" s="224">
        <v>10</v>
      </c>
      <c r="S3963" s="224">
        <v>10</v>
      </c>
      <c r="T3963" s="223" t="s">
        <v>3875</v>
      </c>
      <c r="U3963" t="str">
        <f>VLOOKUP(T3963,[8]Votes!$A$1:$E$234,3,FALSE)</f>
        <v>007 Ministry of Justice and Constitutional Affairs</v>
      </c>
      <c r="V3963" s="162" t="s">
        <v>14660</v>
      </c>
      <c r="W3963" s="407">
        <v>1</v>
      </c>
      <c r="X3963" s="407">
        <v>1</v>
      </c>
      <c r="Y3963" s="407">
        <v>1</v>
      </c>
      <c r="Z3963" s="407">
        <v>1</v>
      </c>
      <c r="AA3963" s="407">
        <v>1</v>
      </c>
      <c r="AB3963" s="407">
        <v>0</v>
      </c>
      <c r="AC3963" s="150">
        <v>1</v>
      </c>
      <c r="AD3963" s="150">
        <v>1</v>
      </c>
      <c r="AE3963" s="49">
        <f t="shared" si="146"/>
        <v>0.875</v>
      </c>
      <c r="AF3963" s="23">
        <v>1</v>
      </c>
      <c r="AG3963" s="17">
        <v>0</v>
      </c>
      <c r="AH3963" s="360">
        <v>0.1</v>
      </c>
      <c r="AI3963" s="360">
        <v>0.23</v>
      </c>
      <c r="AJ3963" s="360">
        <v>0.5</v>
      </c>
      <c r="AK3963" s="361">
        <v>0.6</v>
      </c>
      <c r="AL3963" s="361">
        <v>0.6</v>
      </c>
      <c r="AM3963" s="17">
        <f t="shared" si="147"/>
        <v>1.2</v>
      </c>
      <c r="AN3963" s="223" t="s">
        <v>3875</v>
      </c>
      <c r="AO3963" s="162" t="s">
        <v>3877</v>
      </c>
    </row>
    <row r="3964" spans="1:42" s="162" customFormat="1" x14ac:dyDescent="0.3">
      <c r="A3964" s="205" t="s">
        <v>8321</v>
      </c>
      <c r="B3964" s="162" t="s">
        <v>8322</v>
      </c>
      <c r="C3964" s="168" t="s">
        <v>13637</v>
      </c>
      <c r="D3964" s="162" t="s">
        <v>6838</v>
      </c>
      <c r="E3964" s="406" t="s">
        <v>13638</v>
      </c>
      <c r="F3964" s="406" t="s">
        <v>13533</v>
      </c>
      <c r="G3964" s="386" t="s">
        <v>13658</v>
      </c>
      <c r="H3964" s="162" t="s">
        <v>13659</v>
      </c>
      <c r="K3964" s="386" t="s">
        <v>14661</v>
      </c>
      <c r="L3964" s="162" t="s">
        <v>14508</v>
      </c>
      <c r="M3964" s="162" t="s">
        <v>14662</v>
      </c>
      <c r="O3964" s="224"/>
      <c r="P3964" s="224"/>
      <c r="Q3964" s="224">
        <v>12</v>
      </c>
      <c r="R3964" s="224">
        <v>2</v>
      </c>
      <c r="S3964" s="224">
        <v>3</v>
      </c>
      <c r="T3964" s="223" t="s">
        <v>3875</v>
      </c>
      <c r="U3964" t="str">
        <f>VLOOKUP(T3964,[8]Votes!$A$1:$E$234,3,FALSE)</f>
        <v>007 Ministry of Justice and Constitutional Affairs</v>
      </c>
      <c r="V3964" s="162" t="s">
        <v>14663</v>
      </c>
      <c r="W3964" s="407">
        <v>0</v>
      </c>
      <c r="X3964" s="407">
        <v>0</v>
      </c>
      <c r="Y3964" s="407">
        <v>1</v>
      </c>
      <c r="Z3964" s="407">
        <v>1</v>
      </c>
      <c r="AA3964" s="407">
        <v>1</v>
      </c>
      <c r="AB3964" s="407">
        <v>0</v>
      </c>
      <c r="AC3964" s="150">
        <v>1</v>
      </c>
      <c r="AD3964" s="150">
        <v>0</v>
      </c>
      <c r="AE3964" s="49">
        <f t="shared" si="146"/>
        <v>0.5</v>
      </c>
      <c r="AF3964" s="190"/>
      <c r="AG3964" s="17">
        <v>0</v>
      </c>
      <c r="AH3964" s="190">
        <v>0</v>
      </c>
      <c r="AI3964" s="190">
        <v>0</v>
      </c>
      <c r="AJ3964" s="485">
        <v>6.5000000000000002E-2</v>
      </c>
      <c r="AK3964" s="493">
        <v>0.01</v>
      </c>
      <c r="AL3964" s="493">
        <v>1.4999999999999999E-2</v>
      </c>
      <c r="AM3964" s="17">
        <f t="shared" si="147"/>
        <v>2.5000000000000001E-2</v>
      </c>
      <c r="AN3964" s="223" t="s">
        <v>3875</v>
      </c>
      <c r="AO3964" s="162" t="s">
        <v>3877</v>
      </c>
    </row>
    <row r="3965" spans="1:42" s="162" customFormat="1" x14ac:dyDescent="0.3">
      <c r="A3965" s="205" t="s">
        <v>8321</v>
      </c>
      <c r="B3965" s="162" t="s">
        <v>8322</v>
      </c>
      <c r="C3965" s="168" t="s">
        <v>13469</v>
      </c>
      <c r="D3965" s="1" t="s">
        <v>13470</v>
      </c>
      <c r="E3965" s="406" t="s">
        <v>13545</v>
      </c>
      <c r="F3965" s="162" t="s">
        <v>13546</v>
      </c>
      <c r="G3965" s="406">
        <v>163701</v>
      </c>
      <c r="H3965" s="162" t="s">
        <v>13547</v>
      </c>
      <c r="K3965" s="406">
        <v>16370104</v>
      </c>
      <c r="L3965" s="162" t="s">
        <v>14664</v>
      </c>
      <c r="M3965" s="162" t="s">
        <v>14665</v>
      </c>
      <c r="N3965" s="224"/>
      <c r="O3965" s="224"/>
      <c r="P3965" s="224"/>
      <c r="Q3965" s="224"/>
      <c r="R3965" s="224"/>
      <c r="S3965" s="224"/>
      <c r="T3965" s="223" t="s">
        <v>3875</v>
      </c>
      <c r="U3965" t="str">
        <f>VLOOKUP(T3965,[8]Votes!$A$1:$E$234,3,FALSE)</f>
        <v>007 Ministry of Justice and Constitutional Affairs</v>
      </c>
      <c r="V3965" s="162" t="s">
        <v>14666</v>
      </c>
      <c r="W3965" s="407">
        <v>1</v>
      </c>
      <c r="X3965" s="407">
        <v>1</v>
      </c>
      <c r="Y3965" s="407">
        <v>1</v>
      </c>
      <c r="Z3965" s="407">
        <v>1</v>
      </c>
      <c r="AA3965" s="407">
        <v>1</v>
      </c>
      <c r="AB3965" s="407">
        <v>0</v>
      </c>
      <c r="AC3965" s="150">
        <v>1</v>
      </c>
      <c r="AD3965" s="150">
        <v>1</v>
      </c>
      <c r="AE3965" s="49">
        <f t="shared" si="146"/>
        <v>0.875</v>
      </c>
      <c r="AF3965" s="23">
        <v>1</v>
      </c>
      <c r="AG3965" s="17">
        <v>0</v>
      </c>
      <c r="AH3965" s="190">
        <v>0</v>
      </c>
      <c r="AI3965" s="360">
        <v>28</v>
      </c>
      <c r="AJ3965" s="360">
        <v>54</v>
      </c>
      <c r="AK3965" s="361">
        <v>54</v>
      </c>
      <c r="AL3965" s="361">
        <v>54</v>
      </c>
      <c r="AM3965" s="17">
        <f t="shared" si="147"/>
        <v>108</v>
      </c>
      <c r="AN3965" s="223" t="s">
        <v>3875</v>
      </c>
      <c r="AO3965" s="162" t="s">
        <v>3877</v>
      </c>
    </row>
    <row r="3966" spans="1:42" s="162" customFormat="1" x14ac:dyDescent="0.3">
      <c r="A3966" s="205" t="s">
        <v>8321</v>
      </c>
      <c r="B3966" s="162" t="s">
        <v>8322</v>
      </c>
      <c r="C3966" s="168" t="s">
        <v>13469</v>
      </c>
      <c r="D3966" s="162" t="s">
        <v>13470</v>
      </c>
      <c r="E3966" s="406" t="s">
        <v>13471</v>
      </c>
      <c r="F3966" s="162" t="s">
        <v>13472</v>
      </c>
      <c r="G3966" s="406">
        <v>163301</v>
      </c>
      <c r="H3966" s="162" t="s">
        <v>13473</v>
      </c>
      <c r="I3966" s="162" t="s">
        <v>13474</v>
      </c>
      <c r="J3966" s="162" t="s">
        <v>13475</v>
      </c>
      <c r="K3966" s="406" t="s">
        <v>14652</v>
      </c>
      <c r="L3966" s="162" t="s">
        <v>14653</v>
      </c>
      <c r="M3966" s="162" t="s">
        <v>14667</v>
      </c>
      <c r="O3966" s="224"/>
      <c r="P3966" s="224"/>
      <c r="Q3966" s="224"/>
      <c r="R3966" s="224">
        <v>13</v>
      </c>
      <c r="S3966" s="224"/>
      <c r="T3966" s="223" t="s">
        <v>3875</v>
      </c>
      <c r="U3966" t="str">
        <f>VLOOKUP(T3966,[8]Votes!$A$1:$E$234,3,FALSE)</f>
        <v>007 Ministry of Justice and Constitutional Affairs</v>
      </c>
      <c r="V3966" s="162" t="s">
        <v>14668</v>
      </c>
      <c r="W3966" s="388">
        <v>1</v>
      </c>
      <c r="X3966" s="388">
        <v>0</v>
      </c>
      <c r="Y3966" s="388">
        <v>1</v>
      </c>
      <c r="Z3966" s="388">
        <v>1</v>
      </c>
      <c r="AA3966" s="388">
        <v>1</v>
      </c>
      <c r="AB3966" s="388">
        <v>0</v>
      </c>
      <c r="AC3966" s="150">
        <v>1</v>
      </c>
      <c r="AD3966" s="150">
        <v>0</v>
      </c>
      <c r="AE3966" s="49">
        <f t="shared" si="146"/>
        <v>0.625</v>
      </c>
      <c r="AF3966" s="488">
        <v>0</v>
      </c>
      <c r="AG3966" s="17">
        <v>0</v>
      </c>
      <c r="AH3966" s="190">
        <v>0</v>
      </c>
      <c r="AI3966" s="190">
        <v>0</v>
      </c>
      <c r="AJ3966" s="190">
        <v>0</v>
      </c>
      <c r="AK3966" s="361">
        <v>0</v>
      </c>
      <c r="AL3966" s="191">
        <v>0</v>
      </c>
      <c r="AM3966" s="17">
        <f t="shared" si="147"/>
        <v>0</v>
      </c>
      <c r="AN3966" s="223" t="s">
        <v>3875</v>
      </c>
      <c r="AO3966" s="162" t="s">
        <v>3877</v>
      </c>
    </row>
    <row r="3967" spans="1:42" s="162" customFormat="1" x14ac:dyDescent="0.3">
      <c r="A3967" s="205" t="s">
        <v>8321</v>
      </c>
      <c r="B3967" s="162" t="s">
        <v>8322</v>
      </c>
      <c r="C3967" s="168" t="s">
        <v>13469</v>
      </c>
      <c r="D3967" s="162" t="s">
        <v>13470</v>
      </c>
      <c r="E3967" s="406" t="s">
        <v>13471</v>
      </c>
      <c r="F3967" s="162" t="s">
        <v>13472</v>
      </c>
      <c r="G3967" s="406">
        <v>163301</v>
      </c>
      <c r="H3967" s="162" t="s">
        <v>13473</v>
      </c>
      <c r="I3967" s="162" t="s">
        <v>13474</v>
      </c>
      <c r="J3967" s="162" t="s">
        <v>13475</v>
      </c>
      <c r="K3967" s="406" t="s">
        <v>14669</v>
      </c>
      <c r="L3967" s="162" t="s">
        <v>13477</v>
      </c>
      <c r="M3967" s="162" t="s">
        <v>14670</v>
      </c>
      <c r="N3967" s="162">
        <v>0</v>
      </c>
      <c r="O3967" s="224">
        <v>0</v>
      </c>
      <c r="P3967" s="224">
        <v>2</v>
      </c>
      <c r="Q3967" s="224">
        <v>10</v>
      </c>
      <c r="R3967" s="224">
        <v>10</v>
      </c>
      <c r="S3967" s="224">
        <v>15</v>
      </c>
      <c r="T3967" s="223" t="s">
        <v>3875</v>
      </c>
      <c r="U3967" t="str">
        <f>VLOOKUP(T3967,[8]Votes!$A$1:$E$234,3,FALSE)</f>
        <v>007 Ministry of Justice and Constitutional Affairs</v>
      </c>
      <c r="V3967" s="162" t="s">
        <v>14671</v>
      </c>
      <c r="W3967" s="388">
        <v>1</v>
      </c>
      <c r="X3967" s="388">
        <v>0</v>
      </c>
      <c r="Y3967" s="388">
        <v>1</v>
      </c>
      <c r="Z3967" s="388">
        <v>1</v>
      </c>
      <c r="AA3967" s="388">
        <v>1</v>
      </c>
      <c r="AB3967" s="388">
        <v>0</v>
      </c>
      <c r="AC3967" s="150">
        <v>1</v>
      </c>
      <c r="AD3967" s="150">
        <v>0</v>
      </c>
      <c r="AE3967" s="49">
        <f t="shared" si="146"/>
        <v>0.625</v>
      </c>
      <c r="AF3967" s="488">
        <v>0</v>
      </c>
      <c r="AG3967" s="17">
        <v>0</v>
      </c>
      <c r="AH3967" s="360">
        <v>0.1</v>
      </c>
      <c r="AI3967" s="360">
        <v>0.2</v>
      </c>
      <c r="AJ3967" s="360">
        <v>0.23</v>
      </c>
      <c r="AK3967" s="361">
        <v>0.3</v>
      </c>
      <c r="AL3967" s="361">
        <v>0.5</v>
      </c>
      <c r="AM3967" s="17">
        <f t="shared" si="147"/>
        <v>0.8</v>
      </c>
      <c r="AN3967" s="223" t="s">
        <v>3875</v>
      </c>
      <c r="AO3967" s="162" t="s">
        <v>3877</v>
      </c>
    </row>
    <row r="3968" spans="1:42" s="162" customFormat="1" x14ac:dyDescent="0.3">
      <c r="A3968" s="205" t="s">
        <v>8321</v>
      </c>
      <c r="B3968" s="162" t="s">
        <v>8322</v>
      </c>
      <c r="C3968" s="168" t="s">
        <v>13469</v>
      </c>
      <c r="D3968" s="162" t="s">
        <v>13470</v>
      </c>
      <c r="E3968" s="406" t="s">
        <v>13471</v>
      </c>
      <c r="F3968" s="162" t="s">
        <v>13472</v>
      </c>
      <c r="G3968" s="406">
        <v>163301</v>
      </c>
      <c r="H3968" s="162" t="s">
        <v>13473</v>
      </c>
      <c r="I3968" s="162" t="s">
        <v>13474</v>
      </c>
      <c r="J3968" s="162" t="s">
        <v>13475</v>
      </c>
      <c r="K3968" s="406" t="s">
        <v>14672</v>
      </c>
      <c r="L3968" s="162" t="s">
        <v>14673</v>
      </c>
      <c r="M3968" s="162" t="s">
        <v>14674</v>
      </c>
      <c r="N3968" s="162">
        <v>1</v>
      </c>
      <c r="O3968" s="224">
        <v>10</v>
      </c>
      <c r="P3968" s="224">
        <v>10</v>
      </c>
      <c r="Q3968" s="224">
        <v>10</v>
      </c>
      <c r="R3968" s="224">
        <v>10</v>
      </c>
      <c r="S3968" s="224">
        <v>10</v>
      </c>
      <c r="T3968" s="223" t="s">
        <v>14567</v>
      </c>
      <c r="U3968" t="str">
        <f>VLOOKUP(T3968,[8]Votes!$A$1:$E$234,3,FALSE)</f>
        <v>106 Uganda Human Rights Commission</v>
      </c>
      <c r="V3968" s="162" t="s">
        <v>14675</v>
      </c>
      <c r="W3968" s="388">
        <v>1</v>
      </c>
      <c r="X3968" s="388">
        <v>1</v>
      </c>
      <c r="Y3968" s="388">
        <v>1</v>
      </c>
      <c r="Z3968" s="388">
        <v>1</v>
      </c>
      <c r="AA3968" s="388">
        <v>1</v>
      </c>
      <c r="AB3968" s="388">
        <v>0</v>
      </c>
      <c r="AC3968" s="150">
        <v>1</v>
      </c>
      <c r="AD3968" s="150">
        <v>0</v>
      </c>
      <c r="AE3968" s="49">
        <f t="shared" si="146"/>
        <v>0.75</v>
      </c>
      <c r="AF3968" s="488">
        <v>0</v>
      </c>
      <c r="AG3968" s="17">
        <v>0</v>
      </c>
      <c r="AH3968" s="360">
        <v>0.3</v>
      </c>
      <c r="AI3968" s="360">
        <v>0.3</v>
      </c>
      <c r="AJ3968" s="360">
        <v>0.3</v>
      </c>
      <c r="AK3968" s="361">
        <v>0.3</v>
      </c>
      <c r="AL3968" s="361">
        <v>0.3</v>
      </c>
      <c r="AM3968" s="17">
        <f t="shared" si="147"/>
        <v>0.6</v>
      </c>
      <c r="AN3968" s="162" t="s">
        <v>14567</v>
      </c>
      <c r="AO3968" s="162" t="s">
        <v>14570</v>
      </c>
    </row>
    <row r="3969" spans="1:41" s="162" customFormat="1" x14ac:dyDescent="0.3">
      <c r="A3969" s="205" t="s">
        <v>8321</v>
      </c>
      <c r="B3969" s="162" t="s">
        <v>8322</v>
      </c>
      <c r="C3969" s="168" t="s">
        <v>13469</v>
      </c>
      <c r="D3969" s="162" t="s">
        <v>13470</v>
      </c>
      <c r="E3969" s="406" t="s">
        <v>13471</v>
      </c>
      <c r="F3969" s="162" t="s">
        <v>13472</v>
      </c>
      <c r="G3969" s="406">
        <v>163301</v>
      </c>
      <c r="H3969" s="162" t="s">
        <v>13473</v>
      </c>
      <c r="I3969" s="162" t="s">
        <v>13474</v>
      </c>
      <c r="J3969" s="162" t="s">
        <v>13475</v>
      </c>
      <c r="K3969" s="406" t="s">
        <v>14676</v>
      </c>
      <c r="L3969" s="162" t="s">
        <v>14677</v>
      </c>
      <c r="M3969" s="162" t="s">
        <v>14678</v>
      </c>
      <c r="N3969" s="162">
        <v>0</v>
      </c>
      <c r="O3969" s="224">
        <v>0</v>
      </c>
      <c r="P3969" s="224">
        <v>0</v>
      </c>
      <c r="Q3969" s="224">
        <v>0</v>
      </c>
      <c r="R3969" s="224">
        <v>0</v>
      </c>
      <c r="S3969" s="224">
        <v>0</v>
      </c>
      <c r="T3969" s="223" t="s">
        <v>14567</v>
      </c>
      <c r="U3969" t="str">
        <f>VLOOKUP(T3969,[8]Votes!$A$1:$E$234,3,FALSE)</f>
        <v>106 Uganda Human Rights Commission</v>
      </c>
      <c r="V3969" s="162" t="s">
        <v>14679</v>
      </c>
      <c r="W3969" s="388">
        <v>1</v>
      </c>
      <c r="X3969" s="388">
        <v>1</v>
      </c>
      <c r="Y3969" s="388">
        <v>1</v>
      </c>
      <c r="Z3969" s="388">
        <v>1</v>
      </c>
      <c r="AA3969" s="388">
        <v>1</v>
      </c>
      <c r="AB3969" s="388">
        <v>0</v>
      </c>
      <c r="AC3969" s="150">
        <v>1</v>
      </c>
      <c r="AD3969" s="150">
        <v>0</v>
      </c>
      <c r="AE3969" s="49">
        <f t="shared" si="146"/>
        <v>0.75</v>
      </c>
      <c r="AF3969" s="488">
        <v>0</v>
      </c>
      <c r="AG3969" s="17">
        <v>0</v>
      </c>
      <c r="AH3969" s="190">
        <v>0</v>
      </c>
      <c r="AI3969" s="190">
        <v>0</v>
      </c>
      <c r="AJ3969" s="190">
        <v>0</v>
      </c>
      <c r="AK3969" s="361">
        <v>0</v>
      </c>
      <c r="AL3969" s="361">
        <v>0</v>
      </c>
      <c r="AM3969" s="17">
        <f t="shared" si="147"/>
        <v>0</v>
      </c>
      <c r="AN3969" s="162" t="s">
        <v>14567</v>
      </c>
      <c r="AO3969" s="162" t="s">
        <v>14570</v>
      </c>
    </row>
    <row r="3970" spans="1:41" s="162" customFormat="1" x14ac:dyDescent="0.3">
      <c r="A3970" s="205" t="s">
        <v>8321</v>
      </c>
      <c r="B3970" s="162" t="s">
        <v>8322</v>
      </c>
      <c r="C3970" s="168" t="s">
        <v>13469</v>
      </c>
      <c r="D3970" s="162" t="s">
        <v>13470</v>
      </c>
      <c r="E3970" s="406" t="s">
        <v>13471</v>
      </c>
      <c r="F3970" s="162" t="s">
        <v>13472</v>
      </c>
      <c r="G3970" s="406">
        <v>163301</v>
      </c>
      <c r="H3970" s="162" t="s">
        <v>13473</v>
      </c>
      <c r="I3970" s="162" t="s">
        <v>13474</v>
      </c>
      <c r="J3970" s="162" t="s">
        <v>13475</v>
      </c>
      <c r="K3970" s="406" t="s">
        <v>14680</v>
      </c>
      <c r="L3970" s="162" t="s">
        <v>14681</v>
      </c>
      <c r="M3970" s="162" t="s">
        <v>14682</v>
      </c>
      <c r="N3970" s="162">
        <v>0</v>
      </c>
      <c r="O3970" s="224">
        <v>0</v>
      </c>
      <c r="P3970" s="224">
        <v>100</v>
      </c>
      <c r="Q3970" s="224">
        <v>100</v>
      </c>
      <c r="R3970" s="224">
        <v>100</v>
      </c>
      <c r="S3970" s="224">
        <v>100</v>
      </c>
      <c r="T3970" s="223" t="s">
        <v>14567</v>
      </c>
      <c r="U3970" t="str">
        <f>VLOOKUP(T3970,[8]Votes!$A$1:$E$234,3,FALSE)</f>
        <v>106 Uganda Human Rights Commission</v>
      </c>
      <c r="V3970" s="162" t="s">
        <v>14337</v>
      </c>
      <c r="W3970" s="388">
        <v>1</v>
      </c>
      <c r="X3970" s="388">
        <v>0</v>
      </c>
      <c r="Y3970" s="388">
        <v>1</v>
      </c>
      <c r="Z3970" s="388">
        <v>1</v>
      </c>
      <c r="AA3970" s="388">
        <v>1</v>
      </c>
      <c r="AB3970" s="388">
        <v>0</v>
      </c>
      <c r="AC3970" s="150">
        <v>1</v>
      </c>
      <c r="AD3970" s="150">
        <v>0</v>
      </c>
      <c r="AE3970" s="49">
        <f t="shared" si="146"/>
        <v>0.625</v>
      </c>
      <c r="AF3970" s="488">
        <v>0</v>
      </c>
      <c r="AG3970" s="17">
        <v>0</v>
      </c>
      <c r="AH3970" s="190">
        <v>0</v>
      </c>
      <c r="AI3970" s="360">
        <v>6.2E-2</v>
      </c>
      <c r="AJ3970" s="360">
        <v>6.2E-2</v>
      </c>
      <c r="AK3970" s="361">
        <v>6.2E-2</v>
      </c>
      <c r="AL3970" s="361">
        <v>6.2E-2</v>
      </c>
      <c r="AM3970" s="17">
        <f t="shared" si="147"/>
        <v>0.124</v>
      </c>
      <c r="AN3970" s="162" t="s">
        <v>14567</v>
      </c>
      <c r="AO3970" s="162" t="s">
        <v>14570</v>
      </c>
    </row>
    <row r="3971" spans="1:41" s="162" customFormat="1" x14ac:dyDescent="0.3">
      <c r="A3971" s="205" t="s">
        <v>8321</v>
      </c>
      <c r="B3971" s="162" t="s">
        <v>8322</v>
      </c>
      <c r="C3971" s="168" t="s">
        <v>13469</v>
      </c>
      <c r="D3971" s="162" t="s">
        <v>13470</v>
      </c>
      <c r="E3971" s="406" t="s">
        <v>13471</v>
      </c>
      <c r="F3971" s="162" t="s">
        <v>13472</v>
      </c>
      <c r="G3971" s="406">
        <v>163301</v>
      </c>
      <c r="H3971" s="162" t="s">
        <v>13473</v>
      </c>
      <c r="I3971" s="162" t="s">
        <v>13474</v>
      </c>
      <c r="J3971" s="162" t="s">
        <v>13475</v>
      </c>
      <c r="K3971" s="406" t="s">
        <v>14683</v>
      </c>
      <c r="L3971" s="162" t="s">
        <v>14684</v>
      </c>
      <c r="M3971" s="162" t="s">
        <v>14685</v>
      </c>
      <c r="N3971" s="162">
        <v>0</v>
      </c>
      <c r="O3971" s="224">
        <v>0</v>
      </c>
      <c r="P3971" s="224">
        <v>1</v>
      </c>
      <c r="Q3971" s="224">
        <v>0</v>
      </c>
      <c r="R3971" s="224">
        <v>0</v>
      </c>
      <c r="S3971" s="224">
        <v>0</v>
      </c>
      <c r="T3971" s="223" t="s">
        <v>14567</v>
      </c>
      <c r="U3971" t="str">
        <f>VLOOKUP(T3971,[8]Votes!$A$1:$E$234,3,FALSE)</f>
        <v>106 Uganda Human Rights Commission</v>
      </c>
      <c r="V3971" s="162" t="s">
        <v>14686</v>
      </c>
      <c r="W3971" s="388">
        <v>1</v>
      </c>
      <c r="X3971" s="388">
        <v>0</v>
      </c>
      <c r="Y3971" s="388">
        <v>1</v>
      </c>
      <c r="Z3971" s="388">
        <v>1</v>
      </c>
      <c r="AA3971" s="388">
        <v>1</v>
      </c>
      <c r="AB3971" s="388">
        <v>0</v>
      </c>
      <c r="AC3971" s="150">
        <v>1</v>
      </c>
      <c r="AD3971" s="150">
        <v>0</v>
      </c>
      <c r="AE3971" s="49">
        <f t="shared" si="146"/>
        <v>0.625</v>
      </c>
      <c r="AF3971" s="488">
        <v>0</v>
      </c>
      <c r="AG3971" s="17">
        <v>0</v>
      </c>
      <c r="AH3971" s="190">
        <v>0</v>
      </c>
      <c r="AI3971" s="360">
        <v>0.02</v>
      </c>
      <c r="AJ3971" s="360">
        <v>0.02</v>
      </c>
      <c r="AK3971" s="361">
        <v>0.05</v>
      </c>
      <c r="AL3971" s="361">
        <v>0.05</v>
      </c>
      <c r="AM3971" s="17">
        <f t="shared" si="147"/>
        <v>0.1</v>
      </c>
      <c r="AN3971" s="162" t="s">
        <v>14567</v>
      </c>
      <c r="AO3971" s="162" t="s">
        <v>14570</v>
      </c>
    </row>
    <row r="3972" spans="1:41" s="162" customFormat="1" x14ac:dyDescent="0.3">
      <c r="A3972" s="205" t="s">
        <v>8321</v>
      </c>
      <c r="B3972" s="162" t="s">
        <v>8322</v>
      </c>
      <c r="C3972" s="168" t="s">
        <v>13469</v>
      </c>
      <c r="D3972" s="162" t="s">
        <v>13470</v>
      </c>
      <c r="E3972" s="406" t="s">
        <v>13471</v>
      </c>
      <c r="F3972" s="162" t="s">
        <v>13472</v>
      </c>
      <c r="G3972" s="406">
        <v>163301</v>
      </c>
      <c r="H3972" s="162" t="s">
        <v>13473</v>
      </c>
      <c r="I3972" s="162" t="s">
        <v>13474</v>
      </c>
      <c r="J3972" s="162" t="s">
        <v>13475</v>
      </c>
      <c r="K3972" s="406" t="s">
        <v>14683</v>
      </c>
      <c r="L3972" s="162" t="s">
        <v>14684</v>
      </c>
      <c r="M3972" s="162" t="s">
        <v>14687</v>
      </c>
      <c r="N3972" s="162">
        <v>0</v>
      </c>
      <c r="O3972" s="224">
        <v>0</v>
      </c>
      <c r="P3972" s="224">
        <v>10</v>
      </c>
      <c r="Q3972" s="224">
        <v>10</v>
      </c>
      <c r="R3972" s="224">
        <v>10</v>
      </c>
      <c r="S3972" s="224">
        <v>10</v>
      </c>
      <c r="T3972" s="223" t="s">
        <v>14567</v>
      </c>
      <c r="U3972" t="str">
        <f>VLOOKUP(T3972,[8]Votes!$A$1:$E$234,3,FALSE)</f>
        <v>106 Uganda Human Rights Commission</v>
      </c>
      <c r="V3972" s="162" t="s">
        <v>14688</v>
      </c>
      <c r="W3972" s="388">
        <v>1</v>
      </c>
      <c r="X3972" s="388">
        <v>0</v>
      </c>
      <c r="Y3972" s="388">
        <v>1</v>
      </c>
      <c r="Z3972" s="388">
        <v>1</v>
      </c>
      <c r="AA3972" s="388">
        <v>1</v>
      </c>
      <c r="AB3972" s="388">
        <v>0</v>
      </c>
      <c r="AC3972" s="150">
        <v>1</v>
      </c>
      <c r="AD3972" s="150">
        <v>0</v>
      </c>
      <c r="AE3972" s="49">
        <f t="shared" si="146"/>
        <v>0.625</v>
      </c>
      <c r="AF3972" s="488">
        <v>0</v>
      </c>
      <c r="AG3972" s="17">
        <v>0</v>
      </c>
      <c r="AH3972" s="190">
        <v>0</v>
      </c>
      <c r="AI3972" s="360">
        <v>0.02</v>
      </c>
      <c r="AJ3972" s="360">
        <v>0.02</v>
      </c>
      <c r="AK3972" s="361">
        <v>0.02</v>
      </c>
      <c r="AL3972" s="361">
        <v>0.02</v>
      </c>
      <c r="AM3972" s="17">
        <f t="shared" si="147"/>
        <v>0.04</v>
      </c>
      <c r="AN3972" s="162" t="s">
        <v>14567</v>
      </c>
      <c r="AO3972" s="162" t="s">
        <v>14570</v>
      </c>
    </row>
    <row r="3973" spans="1:41" s="162" customFormat="1" x14ac:dyDescent="0.3">
      <c r="A3973" s="205" t="s">
        <v>8321</v>
      </c>
      <c r="B3973" s="162" t="s">
        <v>8322</v>
      </c>
      <c r="C3973" s="168" t="s">
        <v>13469</v>
      </c>
      <c r="D3973" s="162" t="s">
        <v>13470</v>
      </c>
      <c r="E3973" s="406" t="s">
        <v>13471</v>
      </c>
      <c r="F3973" s="162" t="s">
        <v>13472</v>
      </c>
      <c r="G3973" s="406">
        <v>163301</v>
      </c>
      <c r="H3973" s="162" t="s">
        <v>13473</v>
      </c>
      <c r="I3973" s="162" t="s">
        <v>13474</v>
      </c>
      <c r="J3973" s="162" t="s">
        <v>13475</v>
      </c>
      <c r="K3973" s="406" t="s">
        <v>14689</v>
      </c>
      <c r="L3973" s="162" t="s">
        <v>14690</v>
      </c>
      <c r="M3973" s="162" t="s">
        <v>14691</v>
      </c>
      <c r="N3973" s="162">
        <v>50</v>
      </c>
      <c r="O3973" s="224">
        <v>150</v>
      </c>
      <c r="P3973" s="224">
        <v>150</v>
      </c>
      <c r="Q3973" s="224">
        <v>150</v>
      </c>
      <c r="R3973" s="224">
        <v>150</v>
      </c>
      <c r="S3973" s="224">
        <v>150</v>
      </c>
      <c r="T3973" s="223" t="s">
        <v>14567</v>
      </c>
      <c r="U3973" t="str">
        <f>VLOOKUP(T3973,[8]Votes!$A$1:$E$234,3,FALSE)</f>
        <v>106 Uganda Human Rights Commission</v>
      </c>
      <c r="V3973" s="162" t="s">
        <v>14692</v>
      </c>
      <c r="W3973" s="388">
        <v>1</v>
      </c>
      <c r="X3973" s="388">
        <v>0</v>
      </c>
      <c r="Y3973" s="388">
        <v>1</v>
      </c>
      <c r="Z3973" s="388">
        <v>1</v>
      </c>
      <c r="AA3973" s="388">
        <v>1</v>
      </c>
      <c r="AB3973" s="388">
        <v>0</v>
      </c>
      <c r="AC3973" s="150">
        <v>1</v>
      </c>
      <c r="AD3973" s="150">
        <v>0</v>
      </c>
      <c r="AE3973" s="49">
        <f t="shared" si="146"/>
        <v>0.625</v>
      </c>
      <c r="AF3973" s="488">
        <v>0</v>
      </c>
      <c r="AG3973" s="17">
        <v>0</v>
      </c>
      <c r="AH3973" s="360">
        <v>0.25</v>
      </c>
      <c r="AI3973" s="360">
        <v>0.25</v>
      </c>
      <c r="AJ3973" s="360">
        <v>0.25</v>
      </c>
      <c r="AK3973" s="361">
        <v>0.05</v>
      </c>
      <c r="AL3973" s="361">
        <v>0.05</v>
      </c>
      <c r="AM3973" s="17">
        <f t="shared" si="147"/>
        <v>0.1</v>
      </c>
      <c r="AN3973" s="162" t="s">
        <v>14567</v>
      </c>
      <c r="AO3973" s="162" t="s">
        <v>14570</v>
      </c>
    </row>
    <row r="3974" spans="1:41" s="162" customFormat="1" ht="28.8" x14ac:dyDescent="0.3">
      <c r="A3974" s="205" t="s">
        <v>8321</v>
      </c>
      <c r="B3974" s="162" t="s">
        <v>8322</v>
      </c>
      <c r="C3974" s="168" t="s">
        <v>13469</v>
      </c>
      <c r="D3974" s="162" t="s">
        <v>13470</v>
      </c>
      <c r="E3974" s="406" t="s">
        <v>13471</v>
      </c>
      <c r="F3974" s="162" t="s">
        <v>13472</v>
      </c>
      <c r="G3974" s="406">
        <v>163301</v>
      </c>
      <c r="H3974" s="162" t="s">
        <v>13473</v>
      </c>
      <c r="I3974" s="162" t="s">
        <v>13474</v>
      </c>
      <c r="J3974" s="162" t="s">
        <v>13475</v>
      </c>
      <c r="K3974" s="406" t="s">
        <v>14693</v>
      </c>
      <c r="L3974" s="162" t="s">
        <v>14694</v>
      </c>
      <c r="M3974" s="162" t="s">
        <v>14695</v>
      </c>
      <c r="N3974" s="162">
        <v>0</v>
      </c>
      <c r="O3974" s="224">
        <v>100</v>
      </c>
      <c r="P3974" s="224">
        <v>100</v>
      </c>
      <c r="Q3974" s="525"/>
      <c r="R3974" s="525" t="s">
        <v>14696</v>
      </c>
      <c r="S3974" s="525" t="s">
        <v>14696</v>
      </c>
      <c r="T3974" s="223" t="s">
        <v>14567</v>
      </c>
      <c r="U3974" t="str">
        <f>VLOOKUP(T3974,[8]Votes!$A$1:$E$234,3,FALSE)</f>
        <v>106 Uganda Human Rights Commission</v>
      </c>
      <c r="V3974" s="162" t="s">
        <v>14337</v>
      </c>
      <c r="W3974" s="388">
        <v>1</v>
      </c>
      <c r="X3974" s="388">
        <v>1</v>
      </c>
      <c r="Y3974" s="388">
        <v>1</v>
      </c>
      <c r="Z3974" s="388">
        <v>1</v>
      </c>
      <c r="AA3974" s="388">
        <v>1</v>
      </c>
      <c r="AB3974" s="388">
        <v>0</v>
      </c>
      <c r="AC3974" s="150">
        <v>1</v>
      </c>
      <c r="AD3974" s="150">
        <v>0</v>
      </c>
      <c r="AE3974" s="49">
        <f t="shared" si="146"/>
        <v>0.75</v>
      </c>
      <c r="AF3974" s="488">
        <v>0</v>
      </c>
      <c r="AG3974" s="17">
        <v>0</v>
      </c>
      <c r="AH3974" s="360">
        <v>0.1</v>
      </c>
      <c r="AI3974" s="360">
        <v>0.1</v>
      </c>
      <c r="AJ3974" s="360">
        <v>0.1</v>
      </c>
      <c r="AK3974" s="361">
        <v>0</v>
      </c>
      <c r="AL3974" s="361">
        <v>0</v>
      </c>
      <c r="AM3974" s="17">
        <f t="shared" si="147"/>
        <v>0</v>
      </c>
      <c r="AN3974" s="162" t="s">
        <v>14567</v>
      </c>
      <c r="AO3974" s="162" t="s">
        <v>14570</v>
      </c>
    </row>
    <row r="3975" spans="1:41" s="162" customFormat="1" x14ac:dyDescent="0.3">
      <c r="A3975" s="205" t="s">
        <v>8321</v>
      </c>
      <c r="B3975" s="162" t="s">
        <v>8322</v>
      </c>
      <c r="C3975" s="168" t="s">
        <v>13469</v>
      </c>
      <c r="D3975" s="162" t="s">
        <v>13470</v>
      </c>
      <c r="E3975" s="406" t="s">
        <v>13471</v>
      </c>
      <c r="F3975" s="162" t="s">
        <v>13472</v>
      </c>
      <c r="G3975" s="406">
        <v>163301</v>
      </c>
      <c r="H3975" s="162" t="s">
        <v>13473</v>
      </c>
      <c r="I3975" s="162" t="s">
        <v>13474</v>
      </c>
      <c r="J3975" s="162" t="s">
        <v>13475</v>
      </c>
      <c r="K3975" s="406" t="s">
        <v>14697</v>
      </c>
      <c r="L3975" s="162" t="s">
        <v>14698</v>
      </c>
      <c r="M3975" s="162" t="s">
        <v>14699</v>
      </c>
      <c r="N3975" s="162">
        <v>39</v>
      </c>
      <c r="O3975" s="224">
        <v>10</v>
      </c>
      <c r="P3975" s="224">
        <v>10</v>
      </c>
      <c r="Q3975" s="224">
        <v>10</v>
      </c>
      <c r="R3975" s="224">
        <v>50</v>
      </c>
      <c r="S3975" s="224">
        <v>50</v>
      </c>
      <c r="T3975" s="223" t="s">
        <v>14567</v>
      </c>
      <c r="U3975" t="str">
        <f>VLOOKUP(T3975,[8]Votes!$A$1:$E$234,3,FALSE)</f>
        <v>106 Uganda Human Rights Commission</v>
      </c>
      <c r="V3975" s="162" t="s">
        <v>14700</v>
      </c>
      <c r="W3975" s="388">
        <v>1</v>
      </c>
      <c r="X3975" s="388">
        <v>0</v>
      </c>
      <c r="Y3975" s="388">
        <v>1</v>
      </c>
      <c r="Z3975" s="388">
        <v>1</v>
      </c>
      <c r="AA3975" s="388">
        <v>1</v>
      </c>
      <c r="AB3975" s="388">
        <v>0</v>
      </c>
      <c r="AC3975" s="150">
        <v>1</v>
      </c>
      <c r="AD3975" s="150">
        <v>0</v>
      </c>
      <c r="AE3975" s="49">
        <f t="shared" si="146"/>
        <v>0.625</v>
      </c>
      <c r="AF3975" s="488">
        <v>0</v>
      </c>
      <c r="AG3975" s="17">
        <v>0</v>
      </c>
      <c r="AH3975" s="360">
        <v>0.05</v>
      </c>
      <c r="AI3975" s="360">
        <v>0.05</v>
      </c>
      <c r="AJ3975" s="360">
        <v>0.05</v>
      </c>
      <c r="AK3975" s="361">
        <v>0.05</v>
      </c>
      <c r="AL3975" s="361">
        <v>0.05</v>
      </c>
      <c r="AM3975" s="17">
        <f t="shared" si="147"/>
        <v>0.1</v>
      </c>
      <c r="AN3975" s="162" t="s">
        <v>14567</v>
      </c>
      <c r="AO3975" s="162" t="s">
        <v>14570</v>
      </c>
    </row>
    <row r="3976" spans="1:41" s="162" customFormat="1" x14ac:dyDescent="0.3">
      <c r="A3976" s="205" t="s">
        <v>8321</v>
      </c>
      <c r="B3976" s="162" t="s">
        <v>8322</v>
      </c>
      <c r="C3976" s="168" t="s">
        <v>13469</v>
      </c>
      <c r="D3976" s="162" t="s">
        <v>13470</v>
      </c>
      <c r="E3976" s="406" t="s">
        <v>13471</v>
      </c>
      <c r="F3976" s="162" t="s">
        <v>13472</v>
      </c>
      <c r="G3976" s="406">
        <v>163301</v>
      </c>
      <c r="H3976" s="162" t="s">
        <v>13473</v>
      </c>
      <c r="I3976" s="162" t="s">
        <v>13474</v>
      </c>
      <c r="J3976" s="162" t="s">
        <v>13475</v>
      </c>
      <c r="K3976" s="406" t="s">
        <v>14701</v>
      </c>
      <c r="L3976" s="162" t="s">
        <v>14702</v>
      </c>
      <c r="M3976" s="162" t="s">
        <v>14703</v>
      </c>
      <c r="N3976" s="162">
        <v>460</v>
      </c>
      <c r="O3976" s="224">
        <v>500</v>
      </c>
      <c r="P3976" s="224">
        <v>500</v>
      </c>
      <c r="Q3976" s="224">
        <v>500</v>
      </c>
      <c r="R3976" s="224">
        <v>400</v>
      </c>
      <c r="S3976" s="224">
        <v>400</v>
      </c>
      <c r="T3976" s="223" t="s">
        <v>14567</v>
      </c>
      <c r="U3976" t="str">
        <f>VLOOKUP(T3976,[8]Votes!$A$1:$E$234,3,FALSE)</f>
        <v>106 Uganda Human Rights Commission</v>
      </c>
      <c r="V3976" s="162" t="s">
        <v>14704</v>
      </c>
      <c r="W3976" s="388">
        <v>1</v>
      </c>
      <c r="X3976" s="388">
        <v>0</v>
      </c>
      <c r="Y3976" s="388">
        <v>1</v>
      </c>
      <c r="Z3976" s="388">
        <v>1</v>
      </c>
      <c r="AA3976" s="388">
        <v>1</v>
      </c>
      <c r="AB3976" s="388">
        <v>0</v>
      </c>
      <c r="AC3976" s="150">
        <v>1</v>
      </c>
      <c r="AD3976" s="150">
        <v>0</v>
      </c>
      <c r="AE3976" s="49">
        <f t="shared" si="146"/>
        <v>0.625</v>
      </c>
      <c r="AF3976" s="488">
        <v>0</v>
      </c>
      <c r="AG3976" s="17">
        <v>0</v>
      </c>
      <c r="AH3976" s="360">
        <v>0.64</v>
      </c>
      <c r="AI3976" s="360">
        <v>0.64</v>
      </c>
      <c r="AJ3976" s="360">
        <v>0.64</v>
      </c>
      <c r="AK3976" s="361">
        <v>0.3</v>
      </c>
      <c r="AL3976" s="361">
        <v>0.3</v>
      </c>
      <c r="AM3976" s="17">
        <f t="shared" si="147"/>
        <v>0.6</v>
      </c>
      <c r="AN3976" s="162" t="s">
        <v>14567</v>
      </c>
      <c r="AO3976" s="162" t="s">
        <v>14570</v>
      </c>
    </row>
    <row r="3977" spans="1:41" s="162" customFormat="1" x14ac:dyDescent="0.3">
      <c r="A3977" s="205" t="s">
        <v>8321</v>
      </c>
      <c r="B3977" s="162" t="s">
        <v>8322</v>
      </c>
      <c r="C3977" s="168" t="s">
        <v>13469</v>
      </c>
      <c r="D3977" s="162" t="s">
        <v>13470</v>
      </c>
      <c r="E3977" s="406" t="s">
        <v>13471</v>
      </c>
      <c r="F3977" s="162" t="s">
        <v>13472</v>
      </c>
      <c r="G3977" s="406">
        <v>163301</v>
      </c>
      <c r="H3977" s="162" t="s">
        <v>13473</v>
      </c>
      <c r="I3977" s="162" t="s">
        <v>13474</v>
      </c>
      <c r="J3977" s="162" t="s">
        <v>13475</v>
      </c>
      <c r="K3977" s="406" t="s">
        <v>14701</v>
      </c>
      <c r="L3977" s="162" t="s">
        <v>14702</v>
      </c>
      <c r="M3977" s="162" t="s">
        <v>14705</v>
      </c>
      <c r="N3977" s="162">
        <v>560</v>
      </c>
      <c r="O3977" s="224">
        <v>600</v>
      </c>
      <c r="P3977" s="224">
        <v>600</v>
      </c>
      <c r="Q3977" s="224">
        <v>600</v>
      </c>
      <c r="R3977" s="224">
        <v>600</v>
      </c>
      <c r="S3977" s="224">
        <v>600</v>
      </c>
      <c r="T3977" s="223" t="s">
        <v>14567</v>
      </c>
      <c r="U3977" t="str">
        <f>VLOOKUP(T3977,[8]Votes!$A$1:$E$234,3,FALSE)</f>
        <v>106 Uganda Human Rights Commission</v>
      </c>
      <c r="V3977" s="162" t="s">
        <v>14706</v>
      </c>
      <c r="W3977" s="388">
        <v>1</v>
      </c>
      <c r="X3977" s="388">
        <v>0</v>
      </c>
      <c r="Y3977" s="388">
        <v>1</v>
      </c>
      <c r="Z3977" s="388">
        <v>1</v>
      </c>
      <c r="AA3977" s="388">
        <v>1</v>
      </c>
      <c r="AB3977" s="388">
        <v>0</v>
      </c>
      <c r="AC3977" s="150">
        <v>1</v>
      </c>
      <c r="AD3977" s="150">
        <v>0</v>
      </c>
      <c r="AE3977" s="49">
        <f t="shared" si="146"/>
        <v>0.625</v>
      </c>
      <c r="AF3977" s="488">
        <v>0</v>
      </c>
      <c r="AG3977" s="17">
        <v>0</v>
      </c>
      <c r="AH3977" s="360">
        <v>0.3</v>
      </c>
      <c r="AI3977" s="360">
        <v>0.3</v>
      </c>
      <c r="AJ3977" s="360">
        <v>0.3</v>
      </c>
      <c r="AK3977" s="361">
        <v>0.1</v>
      </c>
      <c r="AL3977" s="361">
        <v>0.1</v>
      </c>
      <c r="AM3977" s="17">
        <f t="shared" si="147"/>
        <v>0.2</v>
      </c>
      <c r="AN3977" s="162" t="s">
        <v>14567</v>
      </c>
      <c r="AO3977" s="162" t="s">
        <v>14570</v>
      </c>
    </row>
    <row r="3978" spans="1:41" s="162" customFormat="1" x14ac:dyDescent="0.3">
      <c r="A3978" s="205" t="s">
        <v>8321</v>
      </c>
      <c r="B3978" s="162" t="s">
        <v>8322</v>
      </c>
      <c r="C3978" s="168" t="s">
        <v>13469</v>
      </c>
      <c r="D3978" s="162" t="s">
        <v>13470</v>
      </c>
      <c r="E3978" s="406" t="s">
        <v>13471</v>
      </c>
      <c r="F3978" s="162" t="s">
        <v>13472</v>
      </c>
      <c r="G3978" s="406">
        <v>163301</v>
      </c>
      <c r="H3978" s="162" t="s">
        <v>13473</v>
      </c>
      <c r="I3978" s="162" t="s">
        <v>13474</v>
      </c>
      <c r="J3978" s="162" t="s">
        <v>13475</v>
      </c>
      <c r="K3978" s="406" t="s">
        <v>14707</v>
      </c>
      <c r="L3978" s="162" t="s">
        <v>14708</v>
      </c>
      <c r="M3978" s="162" t="s">
        <v>14709</v>
      </c>
      <c r="N3978" s="462">
        <v>0.2</v>
      </c>
      <c r="O3978" s="492">
        <v>0.25</v>
      </c>
      <c r="P3978" s="492">
        <v>0.3</v>
      </c>
      <c r="Q3978" s="492">
        <v>0.35</v>
      </c>
      <c r="R3978" s="492">
        <v>0.4</v>
      </c>
      <c r="S3978" s="492">
        <v>0.45</v>
      </c>
      <c r="T3978" s="223" t="s">
        <v>14567</v>
      </c>
      <c r="U3978" t="str">
        <f>VLOOKUP(T3978,[8]Votes!$A$1:$E$234,3,FALSE)</f>
        <v>106 Uganda Human Rights Commission</v>
      </c>
      <c r="V3978" s="162" t="s">
        <v>14710</v>
      </c>
      <c r="W3978" s="388">
        <v>1</v>
      </c>
      <c r="X3978" s="388">
        <v>0</v>
      </c>
      <c r="Y3978" s="388">
        <v>1</v>
      </c>
      <c r="Z3978" s="388">
        <v>1</v>
      </c>
      <c r="AA3978" s="388">
        <v>1</v>
      </c>
      <c r="AB3978" s="388">
        <v>0</v>
      </c>
      <c r="AC3978" s="150">
        <v>1</v>
      </c>
      <c r="AD3978" s="150">
        <v>0</v>
      </c>
      <c r="AE3978" s="49">
        <f t="shared" si="146"/>
        <v>0.625</v>
      </c>
      <c r="AF3978" s="488">
        <v>0</v>
      </c>
      <c r="AG3978" s="17">
        <v>0</v>
      </c>
      <c r="AH3978" s="360">
        <v>0.05</v>
      </c>
      <c r="AI3978" s="360">
        <v>0.08</v>
      </c>
      <c r="AJ3978" s="360">
        <v>0.1</v>
      </c>
      <c r="AK3978" s="361">
        <v>0.12</v>
      </c>
      <c r="AL3978" s="361">
        <v>0.15</v>
      </c>
      <c r="AM3978" s="17">
        <f t="shared" si="147"/>
        <v>0.27</v>
      </c>
      <c r="AN3978" s="162" t="s">
        <v>14567</v>
      </c>
      <c r="AO3978" s="162" t="s">
        <v>14570</v>
      </c>
    </row>
    <row r="3979" spans="1:41" s="162" customFormat="1" x14ac:dyDescent="0.3">
      <c r="A3979" s="205" t="s">
        <v>8321</v>
      </c>
      <c r="B3979" s="162" t="s">
        <v>8322</v>
      </c>
      <c r="C3979" s="168" t="s">
        <v>13469</v>
      </c>
      <c r="D3979" s="162" t="s">
        <v>13470</v>
      </c>
      <c r="E3979" s="406" t="s">
        <v>13471</v>
      </c>
      <c r="F3979" s="162" t="s">
        <v>13472</v>
      </c>
      <c r="G3979" s="406">
        <v>163301</v>
      </c>
      <c r="H3979" s="162" t="s">
        <v>13473</v>
      </c>
      <c r="I3979" s="162" t="s">
        <v>13474</v>
      </c>
      <c r="J3979" s="162" t="s">
        <v>13475</v>
      </c>
      <c r="K3979" s="406" t="s">
        <v>14711</v>
      </c>
      <c r="L3979" s="162" t="s">
        <v>14712</v>
      </c>
      <c r="M3979" s="162" t="s">
        <v>14713</v>
      </c>
      <c r="N3979" s="162">
        <v>240</v>
      </c>
      <c r="O3979" s="224">
        <v>200</v>
      </c>
      <c r="P3979" s="224">
        <v>200</v>
      </c>
      <c r="Q3979" s="224">
        <v>200</v>
      </c>
      <c r="R3979" s="224">
        <v>50</v>
      </c>
      <c r="S3979" s="224">
        <v>50</v>
      </c>
      <c r="T3979" s="223" t="s">
        <v>14567</v>
      </c>
      <c r="U3979" t="str">
        <f>VLOOKUP(T3979,[8]Votes!$A$1:$E$234,3,FALSE)</f>
        <v>106 Uganda Human Rights Commission</v>
      </c>
      <c r="V3979" s="162" t="s">
        <v>14714</v>
      </c>
      <c r="W3979" s="388">
        <v>1</v>
      </c>
      <c r="X3979" s="388">
        <v>0</v>
      </c>
      <c r="Y3979" s="388">
        <v>1</v>
      </c>
      <c r="Z3979" s="388">
        <v>1</v>
      </c>
      <c r="AA3979" s="388">
        <v>1</v>
      </c>
      <c r="AB3979" s="388">
        <v>0</v>
      </c>
      <c r="AC3979" s="150">
        <v>1</v>
      </c>
      <c r="AD3979" s="150">
        <v>0</v>
      </c>
      <c r="AE3979" s="49">
        <f t="shared" si="146"/>
        <v>0.625</v>
      </c>
      <c r="AF3979" s="488">
        <v>0</v>
      </c>
      <c r="AG3979" s="17">
        <v>0</v>
      </c>
      <c r="AH3979" s="360">
        <v>0.1</v>
      </c>
      <c r="AI3979" s="360">
        <v>0.1</v>
      </c>
      <c r="AJ3979" s="360">
        <v>0.1</v>
      </c>
      <c r="AK3979" s="361">
        <v>0.1</v>
      </c>
      <c r="AL3979" s="361">
        <v>0.1</v>
      </c>
      <c r="AM3979" s="17">
        <f t="shared" si="147"/>
        <v>0.2</v>
      </c>
      <c r="AN3979" s="162" t="s">
        <v>14567</v>
      </c>
      <c r="AO3979" s="162" t="s">
        <v>14570</v>
      </c>
    </row>
    <row r="3980" spans="1:41" s="162" customFormat="1" x14ac:dyDescent="0.3">
      <c r="A3980" s="205" t="s">
        <v>8321</v>
      </c>
      <c r="B3980" s="162" t="s">
        <v>8322</v>
      </c>
      <c r="C3980" s="168" t="s">
        <v>13469</v>
      </c>
      <c r="D3980" s="162" t="s">
        <v>13470</v>
      </c>
      <c r="E3980" s="406" t="s">
        <v>13471</v>
      </c>
      <c r="F3980" s="162" t="s">
        <v>13472</v>
      </c>
      <c r="G3980" s="406">
        <v>163301</v>
      </c>
      <c r="H3980" s="162" t="s">
        <v>13473</v>
      </c>
      <c r="I3980" s="162" t="s">
        <v>13474</v>
      </c>
      <c r="J3980" s="162" t="s">
        <v>13475</v>
      </c>
      <c r="K3980" s="406" t="s">
        <v>14711</v>
      </c>
      <c r="L3980" s="162" t="s">
        <v>14712</v>
      </c>
      <c r="M3980" s="162" t="s">
        <v>14713</v>
      </c>
      <c r="O3980" s="224">
        <v>2</v>
      </c>
      <c r="P3980" s="224">
        <v>2</v>
      </c>
      <c r="Q3980" s="224">
        <v>2</v>
      </c>
      <c r="R3980" s="224">
        <v>2</v>
      </c>
      <c r="S3980" s="224">
        <v>2</v>
      </c>
      <c r="T3980" s="223" t="s">
        <v>14567</v>
      </c>
      <c r="U3980" t="str">
        <f>VLOOKUP(T3980,[8]Votes!$A$1:$E$234,3,FALSE)</f>
        <v>106 Uganda Human Rights Commission</v>
      </c>
      <c r="V3980" s="162" t="s">
        <v>14715</v>
      </c>
      <c r="W3980" s="388">
        <v>1</v>
      </c>
      <c r="X3980" s="388">
        <v>1</v>
      </c>
      <c r="Y3980" s="388">
        <v>1</v>
      </c>
      <c r="Z3980" s="388">
        <v>1</v>
      </c>
      <c r="AA3980" s="388">
        <v>1</v>
      </c>
      <c r="AB3980" s="388">
        <v>1</v>
      </c>
      <c r="AC3980" s="150">
        <v>1</v>
      </c>
      <c r="AD3980" s="150">
        <v>0</v>
      </c>
      <c r="AE3980" s="49">
        <f t="shared" si="146"/>
        <v>0.875</v>
      </c>
      <c r="AF3980" s="488">
        <v>0</v>
      </c>
      <c r="AG3980" s="17">
        <v>0</v>
      </c>
      <c r="AH3980" s="360">
        <v>0.2</v>
      </c>
      <c r="AI3980" s="360">
        <v>0.2</v>
      </c>
      <c r="AJ3980" s="360">
        <v>0.2</v>
      </c>
      <c r="AK3980" s="361">
        <v>0.2</v>
      </c>
      <c r="AL3980" s="361">
        <v>0.2</v>
      </c>
      <c r="AM3980" s="17">
        <f t="shared" si="147"/>
        <v>0.4</v>
      </c>
      <c r="AN3980" s="162" t="s">
        <v>14567</v>
      </c>
      <c r="AO3980" s="162" t="s">
        <v>14570</v>
      </c>
    </row>
    <row r="3981" spans="1:41" s="162" customFormat="1" x14ac:dyDescent="0.3">
      <c r="A3981" s="205" t="s">
        <v>8321</v>
      </c>
      <c r="B3981" s="162" t="s">
        <v>8322</v>
      </c>
      <c r="C3981" s="168" t="s">
        <v>13469</v>
      </c>
      <c r="D3981" s="162" t="s">
        <v>13470</v>
      </c>
      <c r="E3981" s="406" t="s">
        <v>13471</v>
      </c>
      <c r="F3981" s="162" t="s">
        <v>13472</v>
      </c>
      <c r="G3981" s="406">
        <v>163301</v>
      </c>
      <c r="H3981" s="162" t="s">
        <v>13473</v>
      </c>
      <c r="I3981" s="162" t="s">
        <v>13474</v>
      </c>
      <c r="J3981" s="162" t="s">
        <v>13475</v>
      </c>
      <c r="K3981" s="406" t="s">
        <v>14716</v>
      </c>
      <c r="L3981" s="162" t="s">
        <v>14717</v>
      </c>
      <c r="M3981" s="162" t="s">
        <v>14718</v>
      </c>
      <c r="O3981" s="224">
        <v>0</v>
      </c>
      <c r="P3981" s="224">
        <v>1</v>
      </c>
      <c r="Q3981" s="224">
        <v>1</v>
      </c>
      <c r="R3981" s="224">
        <v>1</v>
      </c>
      <c r="S3981" s="224">
        <v>1</v>
      </c>
      <c r="T3981" s="223" t="s">
        <v>3875</v>
      </c>
      <c r="U3981" t="str">
        <f>VLOOKUP(T3981,[8]Votes!$A$1:$E$234,3,FALSE)</f>
        <v>007 Ministry of Justice and Constitutional Affairs</v>
      </c>
      <c r="V3981" s="162" t="s">
        <v>14719</v>
      </c>
      <c r="W3981" s="388">
        <v>1</v>
      </c>
      <c r="X3981" s="388">
        <v>0</v>
      </c>
      <c r="Y3981" s="388">
        <v>1</v>
      </c>
      <c r="Z3981" s="388">
        <v>1</v>
      </c>
      <c r="AA3981" s="388">
        <v>1</v>
      </c>
      <c r="AB3981" s="388">
        <v>0</v>
      </c>
      <c r="AC3981" s="150">
        <v>1</v>
      </c>
      <c r="AD3981" s="150">
        <v>0</v>
      </c>
      <c r="AE3981" s="49">
        <f t="shared" si="146"/>
        <v>0.625</v>
      </c>
      <c r="AF3981" s="488">
        <v>0</v>
      </c>
      <c r="AG3981" s="17">
        <v>0</v>
      </c>
      <c r="AH3981" s="190">
        <v>0</v>
      </c>
      <c r="AI3981" s="360">
        <v>0.15</v>
      </c>
      <c r="AJ3981" s="360">
        <v>0.16</v>
      </c>
      <c r="AK3981" s="361">
        <v>0.17</v>
      </c>
      <c r="AL3981" s="361">
        <v>0.18</v>
      </c>
      <c r="AM3981" s="17">
        <f t="shared" si="147"/>
        <v>0.35</v>
      </c>
      <c r="AN3981" s="223" t="s">
        <v>3875</v>
      </c>
      <c r="AO3981" s="162" t="s">
        <v>3877</v>
      </c>
    </row>
    <row r="3982" spans="1:41" s="162" customFormat="1" x14ac:dyDescent="0.3">
      <c r="A3982" s="205" t="s">
        <v>8321</v>
      </c>
      <c r="B3982" s="162" t="s">
        <v>8322</v>
      </c>
      <c r="C3982" s="168" t="s">
        <v>13469</v>
      </c>
      <c r="D3982" s="162" t="s">
        <v>13470</v>
      </c>
      <c r="E3982" s="406" t="s">
        <v>13471</v>
      </c>
      <c r="F3982" s="162" t="s">
        <v>13472</v>
      </c>
      <c r="G3982" s="406">
        <v>163301</v>
      </c>
      <c r="H3982" s="162" t="s">
        <v>13473</v>
      </c>
      <c r="I3982" s="162" t="s">
        <v>13474</v>
      </c>
      <c r="J3982" s="162" t="s">
        <v>13475</v>
      </c>
      <c r="K3982" s="406" t="s">
        <v>14720</v>
      </c>
      <c r="L3982" s="162" t="s">
        <v>14721</v>
      </c>
      <c r="M3982" s="162" t="s">
        <v>14722</v>
      </c>
      <c r="O3982" s="224">
        <v>30</v>
      </c>
      <c r="P3982" s="224">
        <v>40</v>
      </c>
      <c r="Q3982" s="224">
        <v>50</v>
      </c>
      <c r="R3982" s="224">
        <v>60</v>
      </c>
      <c r="S3982" s="224">
        <v>60</v>
      </c>
      <c r="T3982" s="223" t="s">
        <v>3875</v>
      </c>
      <c r="U3982" t="str">
        <f>VLOOKUP(T3982,[8]Votes!$A$1:$E$234,3,FALSE)</f>
        <v>007 Ministry of Justice and Constitutional Affairs</v>
      </c>
      <c r="V3982" s="162" t="s">
        <v>14723</v>
      </c>
      <c r="W3982" s="388">
        <v>1</v>
      </c>
      <c r="X3982" s="388">
        <v>0</v>
      </c>
      <c r="Y3982" s="388">
        <v>1</v>
      </c>
      <c r="Z3982" s="388">
        <v>1</v>
      </c>
      <c r="AA3982" s="388">
        <v>1</v>
      </c>
      <c r="AB3982" s="388">
        <v>0</v>
      </c>
      <c r="AC3982" s="150">
        <v>1</v>
      </c>
      <c r="AD3982" s="150">
        <v>0</v>
      </c>
      <c r="AE3982" s="49">
        <f t="shared" si="146"/>
        <v>0.625</v>
      </c>
      <c r="AF3982" s="488">
        <v>0</v>
      </c>
      <c r="AG3982" s="17">
        <v>0</v>
      </c>
      <c r="AH3982" s="360">
        <v>0.2</v>
      </c>
      <c r="AI3982" s="360">
        <v>0.32500000000000001</v>
      </c>
      <c r="AJ3982" s="360">
        <v>0.76900000000000002</v>
      </c>
      <c r="AK3982" s="361">
        <v>0.9</v>
      </c>
      <c r="AL3982" s="361">
        <v>0.95</v>
      </c>
      <c r="AM3982" s="17">
        <f t="shared" si="147"/>
        <v>1.85</v>
      </c>
      <c r="AN3982" s="223" t="s">
        <v>3875</v>
      </c>
      <c r="AO3982" s="162" t="s">
        <v>3877</v>
      </c>
    </row>
    <row r="3983" spans="1:41" s="162" customFormat="1" x14ac:dyDescent="0.3">
      <c r="A3983" s="205" t="s">
        <v>8321</v>
      </c>
      <c r="B3983" s="162" t="s">
        <v>8322</v>
      </c>
      <c r="C3983" s="168" t="s">
        <v>13469</v>
      </c>
      <c r="D3983" s="162" t="s">
        <v>13470</v>
      </c>
      <c r="E3983" s="406" t="s">
        <v>13471</v>
      </c>
      <c r="F3983" s="162" t="s">
        <v>13472</v>
      </c>
      <c r="G3983" s="406">
        <v>163301</v>
      </c>
      <c r="H3983" s="162" t="s">
        <v>13473</v>
      </c>
      <c r="I3983" s="162" t="s">
        <v>13474</v>
      </c>
      <c r="J3983" s="162" t="s">
        <v>13475</v>
      </c>
      <c r="K3983" s="406" t="s">
        <v>14724</v>
      </c>
      <c r="L3983" s="162" t="s">
        <v>14725</v>
      </c>
      <c r="M3983" s="162" t="s">
        <v>14726</v>
      </c>
      <c r="O3983" s="224">
        <v>0</v>
      </c>
      <c r="P3983" s="224">
        <v>4</v>
      </c>
      <c r="Q3983" s="224">
        <v>4</v>
      </c>
      <c r="R3983" s="224">
        <v>4</v>
      </c>
      <c r="S3983" s="224">
        <v>4</v>
      </c>
      <c r="T3983" s="223" t="s">
        <v>4932</v>
      </c>
      <c r="U3983" t="str">
        <f>VLOOKUP(T3983,[8]Votes!$A$1:$E$234,3,FALSE)</f>
        <v>007 Ministry of Justice and Constitutional Affairs</v>
      </c>
      <c r="V3983" s="162" t="s">
        <v>14727</v>
      </c>
      <c r="W3983" s="388">
        <v>1</v>
      </c>
      <c r="X3983" s="388">
        <v>0</v>
      </c>
      <c r="Y3983" s="388">
        <v>1</v>
      </c>
      <c r="Z3983" s="388">
        <v>1</v>
      </c>
      <c r="AA3983" s="388">
        <v>1</v>
      </c>
      <c r="AB3983" s="388">
        <v>0</v>
      </c>
      <c r="AC3983" s="150">
        <v>1</v>
      </c>
      <c r="AD3983" s="150">
        <v>0</v>
      </c>
      <c r="AE3983" s="49">
        <f t="shared" si="146"/>
        <v>0.625</v>
      </c>
      <c r="AF3983" s="488">
        <v>0</v>
      </c>
      <c r="AG3983" s="17">
        <v>0</v>
      </c>
      <c r="AH3983" s="190">
        <v>0</v>
      </c>
      <c r="AI3983" s="360">
        <v>0.3</v>
      </c>
      <c r="AJ3983" s="360">
        <v>0.35</v>
      </c>
      <c r="AK3983" s="361">
        <v>0.36</v>
      </c>
      <c r="AL3983" s="361">
        <v>0.4</v>
      </c>
      <c r="AM3983" s="17">
        <f t="shared" si="147"/>
        <v>0.76</v>
      </c>
      <c r="AN3983" s="223" t="s">
        <v>4932</v>
      </c>
      <c r="AO3983" s="162" t="s">
        <v>3877</v>
      </c>
    </row>
    <row r="3984" spans="1:41" s="162" customFormat="1" x14ac:dyDescent="0.3">
      <c r="A3984" s="205" t="s">
        <v>8321</v>
      </c>
      <c r="B3984" s="162" t="s">
        <v>8322</v>
      </c>
      <c r="C3984" s="168" t="s">
        <v>13469</v>
      </c>
      <c r="D3984" s="162" t="s">
        <v>13470</v>
      </c>
      <c r="E3984" s="406" t="s">
        <v>13471</v>
      </c>
      <c r="F3984" s="162" t="s">
        <v>13472</v>
      </c>
      <c r="G3984" s="406">
        <v>163301</v>
      </c>
      <c r="H3984" s="162" t="s">
        <v>13473</v>
      </c>
      <c r="I3984" s="162" t="s">
        <v>13474</v>
      </c>
      <c r="J3984" s="162" t="s">
        <v>13475</v>
      </c>
      <c r="K3984" s="406" t="s">
        <v>14728</v>
      </c>
      <c r="L3984" s="162" t="s">
        <v>14729</v>
      </c>
      <c r="M3984" s="162" t="s">
        <v>14730</v>
      </c>
      <c r="O3984" s="224"/>
      <c r="P3984" s="224"/>
      <c r="Q3984" s="224">
        <v>1</v>
      </c>
      <c r="R3984" s="224"/>
      <c r="S3984" s="224"/>
      <c r="T3984" s="223" t="s">
        <v>3875</v>
      </c>
      <c r="U3984" t="str">
        <f>VLOOKUP(T3984,[8]Votes!$A$1:$E$234,3,FALSE)</f>
        <v>007 Ministry of Justice and Constitutional Affairs</v>
      </c>
      <c r="V3984" s="162" t="s">
        <v>14731</v>
      </c>
      <c r="W3984" s="388">
        <v>1</v>
      </c>
      <c r="X3984" s="388">
        <v>0</v>
      </c>
      <c r="Y3984" s="388">
        <v>1</v>
      </c>
      <c r="Z3984" s="388">
        <v>1</v>
      </c>
      <c r="AA3984" s="388">
        <v>1</v>
      </c>
      <c r="AB3984" s="388">
        <v>0</v>
      </c>
      <c r="AC3984" s="150">
        <v>1</v>
      </c>
      <c r="AD3984" s="150">
        <v>0</v>
      </c>
      <c r="AE3984" s="49">
        <f t="shared" si="146"/>
        <v>0.625</v>
      </c>
      <c r="AF3984" s="488">
        <v>0</v>
      </c>
      <c r="AG3984" s="17">
        <v>0</v>
      </c>
      <c r="AH3984" s="190">
        <v>0</v>
      </c>
      <c r="AI3984" s="190">
        <v>0</v>
      </c>
      <c r="AJ3984" s="360">
        <v>0.4</v>
      </c>
      <c r="AK3984" s="191">
        <v>0</v>
      </c>
      <c r="AL3984" s="191">
        <v>0</v>
      </c>
      <c r="AM3984" s="17">
        <f t="shared" si="147"/>
        <v>0</v>
      </c>
      <c r="AN3984" s="223" t="s">
        <v>3875</v>
      </c>
      <c r="AO3984" s="162" t="s">
        <v>3877</v>
      </c>
    </row>
    <row r="3985" spans="1:41" s="162" customFormat="1" x14ac:dyDescent="0.3">
      <c r="A3985" s="205" t="s">
        <v>8321</v>
      </c>
      <c r="B3985" s="162" t="s">
        <v>8322</v>
      </c>
      <c r="C3985" s="168" t="s">
        <v>13469</v>
      </c>
      <c r="D3985" s="162" t="s">
        <v>13470</v>
      </c>
      <c r="E3985" s="406" t="s">
        <v>13471</v>
      </c>
      <c r="F3985" s="162" t="s">
        <v>13472</v>
      </c>
      <c r="G3985" s="406">
        <v>163301</v>
      </c>
      <c r="H3985" s="162" t="s">
        <v>13473</v>
      </c>
      <c r="I3985" s="162" t="s">
        <v>13474</v>
      </c>
      <c r="J3985" s="162" t="s">
        <v>13475</v>
      </c>
      <c r="K3985" s="406" t="s">
        <v>14732</v>
      </c>
      <c r="L3985" s="162" t="s">
        <v>12742</v>
      </c>
      <c r="M3985" s="162" t="s">
        <v>12743</v>
      </c>
      <c r="O3985" s="224">
        <v>76</v>
      </c>
      <c r="P3985" s="224">
        <v>46</v>
      </c>
      <c r="Q3985" s="224">
        <v>46</v>
      </c>
      <c r="R3985" s="224">
        <v>349</v>
      </c>
      <c r="S3985" s="224">
        <v>349</v>
      </c>
      <c r="T3985" s="223" t="s">
        <v>180</v>
      </c>
      <c r="U3985" t="str">
        <f>VLOOKUP(T3985,[8]Votes!$A$1:$E$234,3,FALSE)</f>
        <v>145 Uganda Prisons</v>
      </c>
      <c r="V3985" s="162" t="s">
        <v>12744</v>
      </c>
      <c r="W3985" s="388">
        <v>1</v>
      </c>
      <c r="X3985" s="388">
        <v>0</v>
      </c>
      <c r="Y3985" s="388">
        <v>1</v>
      </c>
      <c r="Z3985" s="388">
        <v>1</v>
      </c>
      <c r="AA3985" s="388">
        <v>1</v>
      </c>
      <c r="AB3985" s="388">
        <v>0</v>
      </c>
      <c r="AC3985" s="150">
        <v>1</v>
      </c>
      <c r="AD3985" s="150">
        <v>1</v>
      </c>
      <c r="AE3985" s="49">
        <f t="shared" si="146"/>
        <v>0.75</v>
      </c>
      <c r="AF3985" s="488">
        <v>0</v>
      </c>
      <c r="AG3985" s="17">
        <v>0</v>
      </c>
      <c r="AH3985" s="360">
        <v>0.2</v>
      </c>
      <c r="AI3985" s="360">
        <v>0.15</v>
      </c>
      <c r="AJ3985" s="360">
        <v>0.15</v>
      </c>
      <c r="AK3985" s="361">
        <v>0.15</v>
      </c>
      <c r="AL3985" s="361">
        <v>0.15</v>
      </c>
      <c r="AM3985" s="17">
        <f t="shared" si="147"/>
        <v>0.3</v>
      </c>
      <c r="AN3985" s="162" t="s">
        <v>180</v>
      </c>
      <c r="AO3985" s="162" t="s">
        <v>182</v>
      </c>
    </row>
    <row r="3986" spans="1:41" s="162" customFormat="1" x14ac:dyDescent="0.3">
      <c r="A3986" s="205" t="s">
        <v>8321</v>
      </c>
      <c r="B3986" s="162" t="s">
        <v>8322</v>
      </c>
      <c r="C3986" s="168" t="s">
        <v>13469</v>
      </c>
      <c r="D3986" s="162" t="s">
        <v>13470</v>
      </c>
      <c r="E3986" s="406" t="s">
        <v>13471</v>
      </c>
      <c r="F3986" s="162" t="s">
        <v>13472</v>
      </c>
      <c r="G3986" s="406">
        <v>163301</v>
      </c>
      <c r="H3986" s="162" t="s">
        <v>13473</v>
      </c>
      <c r="I3986" s="162" t="s">
        <v>13474</v>
      </c>
      <c r="J3986" s="162" t="s">
        <v>13475</v>
      </c>
      <c r="K3986" s="406" t="s">
        <v>14732</v>
      </c>
      <c r="L3986" s="162" t="s">
        <v>12742</v>
      </c>
      <c r="M3986" s="162" t="s">
        <v>12745</v>
      </c>
      <c r="N3986" s="517"/>
      <c r="O3986" s="503">
        <v>0.505</v>
      </c>
      <c r="P3986" s="503">
        <v>0.48499999999999999</v>
      </c>
      <c r="Q3986" s="503">
        <v>0.47299999999999998</v>
      </c>
      <c r="R3986" s="503" t="s">
        <v>14733</v>
      </c>
      <c r="S3986" s="503" t="s">
        <v>14733</v>
      </c>
      <c r="T3986" s="223" t="s">
        <v>180</v>
      </c>
      <c r="U3986" t="str">
        <f>VLOOKUP(T3986,[8]Votes!$A$1:$E$234,3,FALSE)</f>
        <v>145 Uganda Prisons</v>
      </c>
      <c r="V3986" s="162" t="s">
        <v>12746</v>
      </c>
      <c r="W3986" s="388">
        <v>1</v>
      </c>
      <c r="X3986" s="388">
        <v>0</v>
      </c>
      <c r="Y3986" s="388">
        <v>1</v>
      </c>
      <c r="Z3986" s="388">
        <v>1</v>
      </c>
      <c r="AA3986" s="388">
        <v>1</v>
      </c>
      <c r="AB3986" s="388">
        <v>0</v>
      </c>
      <c r="AC3986" s="150">
        <v>1</v>
      </c>
      <c r="AD3986" s="150">
        <v>1</v>
      </c>
      <c r="AE3986" s="49">
        <f t="shared" si="146"/>
        <v>0.75</v>
      </c>
      <c r="AF3986" s="488">
        <v>0</v>
      </c>
      <c r="AG3986" s="17">
        <v>0</v>
      </c>
      <c r="AH3986" s="360">
        <v>13.099</v>
      </c>
      <c r="AI3986" s="360">
        <v>13.353999999999999</v>
      </c>
      <c r="AJ3986" s="360">
        <v>13.474</v>
      </c>
      <c r="AK3986" s="361">
        <v>13.624000000000001</v>
      </c>
      <c r="AL3986" s="361">
        <v>13.699</v>
      </c>
      <c r="AM3986" s="17">
        <f t="shared" si="147"/>
        <v>27.323</v>
      </c>
      <c r="AN3986" s="162" t="s">
        <v>180</v>
      </c>
      <c r="AO3986" s="162" t="s">
        <v>182</v>
      </c>
    </row>
    <row r="3987" spans="1:41" s="162" customFormat="1" x14ac:dyDescent="0.3">
      <c r="A3987" s="205" t="s">
        <v>8321</v>
      </c>
      <c r="B3987" s="162" t="s">
        <v>8322</v>
      </c>
      <c r="C3987" s="168" t="s">
        <v>13469</v>
      </c>
      <c r="D3987" s="162" t="s">
        <v>13470</v>
      </c>
      <c r="E3987" s="406" t="s">
        <v>13471</v>
      </c>
      <c r="F3987" s="162" t="s">
        <v>13472</v>
      </c>
      <c r="G3987" s="406">
        <v>163301</v>
      </c>
      <c r="H3987" s="162" t="s">
        <v>13473</v>
      </c>
      <c r="I3987" s="162" t="s">
        <v>13480</v>
      </c>
      <c r="J3987" s="162" t="s">
        <v>13481</v>
      </c>
      <c r="K3987" s="406" t="s">
        <v>14734</v>
      </c>
      <c r="L3987" s="162" t="s">
        <v>13483</v>
      </c>
      <c r="M3987" s="162" t="s">
        <v>13484</v>
      </c>
      <c r="O3987" s="492">
        <v>0.35</v>
      </c>
      <c r="P3987" s="492">
        <v>0.5</v>
      </c>
      <c r="Q3987" s="492">
        <v>0.6</v>
      </c>
      <c r="R3987" s="492">
        <v>0.65</v>
      </c>
      <c r="S3987" s="492">
        <v>0.7</v>
      </c>
      <c r="T3987" s="223" t="s">
        <v>180</v>
      </c>
      <c r="U3987" t="str">
        <f>VLOOKUP(T3987,[8]Votes!$A$1:$E$234,3,FALSE)</f>
        <v>145 Uganda Prisons</v>
      </c>
      <c r="V3987" s="162" t="s">
        <v>14735</v>
      </c>
      <c r="W3987" s="388">
        <v>1</v>
      </c>
      <c r="X3987" s="388">
        <v>0</v>
      </c>
      <c r="Y3987" s="388">
        <v>1</v>
      </c>
      <c r="Z3987" s="388">
        <v>1</v>
      </c>
      <c r="AA3987" s="388">
        <v>1</v>
      </c>
      <c r="AB3987" s="388">
        <v>0</v>
      </c>
      <c r="AC3987" s="150">
        <v>1</v>
      </c>
      <c r="AD3987" s="150">
        <v>0</v>
      </c>
      <c r="AE3987" s="49">
        <f t="shared" si="146"/>
        <v>0.625</v>
      </c>
      <c r="AF3987" s="488">
        <v>0</v>
      </c>
      <c r="AG3987" s="17">
        <v>0</v>
      </c>
      <c r="AH3987" s="360">
        <v>0.14699999999999999</v>
      </c>
      <c r="AI3987" s="360">
        <v>2.242</v>
      </c>
      <c r="AJ3987" s="360">
        <v>2.0579999999999998</v>
      </c>
      <c r="AK3987" s="361">
        <v>0</v>
      </c>
      <c r="AL3987" s="361">
        <v>0</v>
      </c>
      <c r="AM3987" s="17">
        <f t="shared" si="147"/>
        <v>0</v>
      </c>
      <c r="AN3987" s="162" t="s">
        <v>180</v>
      </c>
      <c r="AO3987" s="162" t="s">
        <v>182</v>
      </c>
    </row>
    <row r="3988" spans="1:41" s="162" customFormat="1" x14ac:dyDescent="0.3">
      <c r="A3988" s="205" t="s">
        <v>8321</v>
      </c>
      <c r="B3988" s="162" t="s">
        <v>8322</v>
      </c>
      <c r="C3988" s="168" t="s">
        <v>13469</v>
      </c>
      <c r="D3988" s="162" t="s">
        <v>13470</v>
      </c>
      <c r="E3988" s="406" t="s">
        <v>13471</v>
      </c>
      <c r="F3988" s="162" t="s">
        <v>13472</v>
      </c>
      <c r="G3988" s="406">
        <v>163301</v>
      </c>
      <c r="H3988" s="162" t="s">
        <v>13473</v>
      </c>
      <c r="I3988" s="162" t="s">
        <v>13480</v>
      </c>
      <c r="J3988" s="162" t="s">
        <v>13481</v>
      </c>
      <c r="K3988" s="406" t="s">
        <v>14734</v>
      </c>
      <c r="L3988" s="162" t="s">
        <v>13483</v>
      </c>
      <c r="M3988" s="162" t="s">
        <v>14736</v>
      </c>
      <c r="O3988" s="492">
        <v>0.62</v>
      </c>
      <c r="P3988" s="492">
        <v>0.75</v>
      </c>
      <c r="Q3988" s="492">
        <v>0.84</v>
      </c>
      <c r="R3988" s="492">
        <v>0.9</v>
      </c>
      <c r="S3988" s="492">
        <v>1</v>
      </c>
      <c r="T3988" s="223" t="s">
        <v>180</v>
      </c>
      <c r="U3988" t="str">
        <f>VLOOKUP(T3988,[8]Votes!$A$1:$E$234,3,FALSE)</f>
        <v>145 Uganda Prisons</v>
      </c>
      <c r="V3988" s="162" t="s">
        <v>14737</v>
      </c>
      <c r="W3988" s="388">
        <v>1</v>
      </c>
      <c r="X3988" s="388">
        <v>0</v>
      </c>
      <c r="Y3988" s="388">
        <v>1</v>
      </c>
      <c r="Z3988" s="388">
        <v>1</v>
      </c>
      <c r="AA3988" s="388">
        <v>1</v>
      </c>
      <c r="AB3988" s="388">
        <v>0</v>
      </c>
      <c r="AC3988" s="150">
        <v>1</v>
      </c>
      <c r="AD3988" s="150">
        <v>1</v>
      </c>
      <c r="AE3988" s="49">
        <f t="shared" si="146"/>
        <v>0.75</v>
      </c>
      <c r="AF3988" s="488">
        <v>0</v>
      </c>
      <c r="AG3988" s="17">
        <v>0</v>
      </c>
      <c r="AH3988" s="360">
        <v>0.02</v>
      </c>
      <c r="AI3988" s="360">
        <v>0.72</v>
      </c>
      <c r="AJ3988" s="360">
        <v>0.72</v>
      </c>
      <c r="AK3988" s="361">
        <v>1.02</v>
      </c>
      <c r="AL3988" s="361">
        <v>1.02</v>
      </c>
      <c r="AM3988" s="17">
        <f t="shared" si="147"/>
        <v>2.04</v>
      </c>
      <c r="AN3988" s="162" t="s">
        <v>180</v>
      </c>
      <c r="AO3988" s="162" t="s">
        <v>182</v>
      </c>
    </row>
    <row r="3989" spans="1:41" s="162" customFormat="1" x14ac:dyDescent="0.3">
      <c r="A3989" s="205" t="s">
        <v>8321</v>
      </c>
      <c r="B3989" s="162" t="s">
        <v>8322</v>
      </c>
      <c r="C3989" s="168" t="s">
        <v>13469</v>
      </c>
      <c r="D3989" s="162" t="s">
        <v>13470</v>
      </c>
      <c r="E3989" s="406" t="s">
        <v>13471</v>
      </c>
      <c r="F3989" s="162" t="s">
        <v>13472</v>
      </c>
      <c r="G3989" s="406">
        <v>163301</v>
      </c>
      <c r="H3989" s="162" t="s">
        <v>13473</v>
      </c>
      <c r="I3989" s="162" t="s">
        <v>13480</v>
      </c>
      <c r="J3989" s="162" t="s">
        <v>13481</v>
      </c>
      <c r="K3989" s="406" t="s">
        <v>14734</v>
      </c>
      <c r="L3989" s="162" t="s">
        <v>13483</v>
      </c>
      <c r="M3989" s="162" t="s">
        <v>13484</v>
      </c>
      <c r="O3989" s="492">
        <v>0</v>
      </c>
      <c r="P3989" s="492">
        <v>0</v>
      </c>
      <c r="Q3989" s="492">
        <v>0</v>
      </c>
      <c r="R3989" s="492">
        <v>0</v>
      </c>
      <c r="S3989" s="492">
        <v>0</v>
      </c>
      <c r="T3989" s="223" t="s">
        <v>180</v>
      </c>
      <c r="U3989" t="str">
        <f>VLOOKUP(T3989,[8]Votes!$A$1:$E$234,3,FALSE)</f>
        <v>145 Uganda Prisons</v>
      </c>
      <c r="V3989" s="162" t="s">
        <v>14738</v>
      </c>
      <c r="W3989" s="388">
        <v>1</v>
      </c>
      <c r="X3989" s="388">
        <v>0</v>
      </c>
      <c r="Y3989" s="388">
        <v>1</v>
      </c>
      <c r="Z3989" s="388">
        <v>1</v>
      </c>
      <c r="AA3989" s="388">
        <v>1</v>
      </c>
      <c r="AB3989" s="388">
        <v>0</v>
      </c>
      <c r="AC3989" s="150">
        <v>1</v>
      </c>
      <c r="AD3989" s="150">
        <v>1</v>
      </c>
      <c r="AE3989" s="49">
        <f t="shared" si="146"/>
        <v>0.75</v>
      </c>
      <c r="AF3989" s="488">
        <v>0</v>
      </c>
      <c r="AG3989" s="17">
        <v>0</v>
      </c>
      <c r="AH3989" s="360">
        <v>0.3</v>
      </c>
      <c r="AI3989" s="360">
        <v>0.3</v>
      </c>
      <c r="AJ3989" s="360">
        <v>0.3</v>
      </c>
      <c r="AK3989" s="361">
        <v>0.3</v>
      </c>
      <c r="AL3989" s="361">
        <v>0.3</v>
      </c>
      <c r="AM3989" s="17">
        <f t="shared" si="147"/>
        <v>0.6</v>
      </c>
      <c r="AN3989" s="162" t="s">
        <v>180</v>
      </c>
      <c r="AO3989" s="162" t="s">
        <v>182</v>
      </c>
    </row>
    <row r="3990" spans="1:41" s="162" customFormat="1" x14ac:dyDescent="0.3">
      <c r="A3990" s="205" t="s">
        <v>8321</v>
      </c>
      <c r="B3990" s="162" t="s">
        <v>8322</v>
      </c>
      <c r="C3990" s="168" t="s">
        <v>13469</v>
      </c>
      <c r="D3990" s="162" t="s">
        <v>13470</v>
      </c>
      <c r="E3990" s="406" t="s">
        <v>13471</v>
      </c>
      <c r="F3990" s="162" t="s">
        <v>13472</v>
      </c>
      <c r="G3990" s="406">
        <v>163301</v>
      </c>
      <c r="H3990" s="162" t="s">
        <v>13473</v>
      </c>
      <c r="I3990" s="162" t="s">
        <v>13480</v>
      </c>
      <c r="J3990" s="162" t="s">
        <v>13481</v>
      </c>
      <c r="K3990" s="406" t="s">
        <v>14734</v>
      </c>
      <c r="L3990" s="162" t="s">
        <v>13483</v>
      </c>
      <c r="M3990" s="162" t="s">
        <v>14739</v>
      </c>
      <c r="O3990" s="492">
        <v>0.2</v>
      </c>
      <c r="P3990" s="492">
        <v>0.5</v>
      </c>
      <c r="Q3990" s="492">
        <v>0.6</v>
      </c>
      <c r="R3990" s="492">
        <v>0.4</v>
      </c>
      <c r="S3990" s="492">
        <v>0.5</v>
      </c>
      <c r="T3990" s="223" t="s">
        <v>180</v>
      </c>
      <c r="U3990" t="str">
        <f>VLOOKUP(T3990,[8]Votes!$A$1:$E$234,3,FALSE)</f>
        <v>145 Uganda Prisons</v>
      </c>
      <c r="V3990" s="162" t="s">
        <v>14740</v>
      </c>
      <c r="W3990" s="388">
        <v>1</v>
      </c>
      <c r="X3990" s="388">
        <v>1</v>
      </c>
      <c r="Y3990" s="388">
        <v>1</v>
      </c>
      <c r="Z3990" s="388">
        <v>1</v>
      </c>
      <c r="AA3990" s="388">
        <v>1</v>
      </c>
      <c r="AB3990" s="388">
        <v>0</v>
      </c>
      <c r="AC3990" s="150">
        <v>1</v>
      </c>
      <c r="AD3990" s="150">
        <v>0</v>
      </c>
      <c r="AE3990" s="49">
        <f t="shared" si="146"/>
        <v>0.75</v>
      </c>
      <c r="AF3990" s="488">
        <v>0</v>
      </c>
      <c r="AG3990" s="17">
        <v>0</v>
      </c>
      <c r="AH3990" s="360">
        <v>0.6</v>
      </c>
      <c r="AI3990" s="360">
        <v>1.5</v>
      </c>
      <c r="AJ3990" s="360">
        <v>1.5</v>
      </c>
      <c r="AK3990" s="361">
        <v>1.5</v>
      </c>
      <c r="AL3990" s="361">
        <v>0.9</v>
      </c>
      <c r="AM3990" s="17">
        <f t="shared" si="147"/>
        <v>2.4</v>
      </c>
      <c r="AN3990" s="162" t="s">
        <v>180</v>
      </c>
      <c r="AO3990" s="162" t="s">
        <v>182</v>
      </c>
    </row>
    <row r="3991" spans="1:41" s="162" customFormat="1" x14ac:dyDescent="0.3">
      <c r="A3991" s="205" t="s">
        <v>8321</v>
      </c>
      <c r="B3991" s="162" t="s">
        <v>8322</v>
      </c>
      <c r="C3991" s="168" t="s">
        <v>13469</v>
      </c>
      <c r="D3991" s="162" t="s">
        <v>13470</v>
      </c>
      <c r="E3991" s="406" t="s">
        <v>13471</v>
      </c>
      <c r="F3991" s="162" t="s">
        <v>13472</v>
      </c>
      <c r="G3991" s="406">
        <v>163301</v>
      </c>
      <c r="H3991" s="162" t="s">
        <v>13473</v>
      </c>
      <c r="I3991" s="162" t="s">
        <v>14741</v>
      </c>
      <c r="J3991" s="162" t="s">
        <v>14742</v>
      </c>
      <c r="K3991" s="406" t="s">
        <v>14743</v>
      </c>
      <c r="L3991" s="162" t="s">
        <v>13491</v>
      </c>
      <c r="M3991" s="162" t="s">
        <v>14744</v>
      </c>
      <c r="N3991" s="162">
        <v>259</v>
      </c>
      <c r="O3991" s="224">
        <v>259</v>
      </c>
      <c r="P3991" s="224">
        <v>259</v>
      </c>
      <c r="Q3991" s="224">
        <v>259</v>
      </c>
      <c r="R3991" s="224">
        <v>261</v>
      </c>
      <c r="S3991" s="224">
        <v>261</v>
      </c>
      <c r="T3991" s="223" t="s">
        <v>180</v>
      </c>
      <c r="U3991" t="str">
        <f>VLOOKUP(T3991,[8]Votes!$A$1:$E$234,3,FALSE)</f>
        <v>145 Uganda Prisons</v>
      </c>
      <c r="V3991" s="162" t="s">
        <v>14745</v>
      </c>
      <c r="W3991" s="388">
        <v>1</v>
      </c>
      <c r="X3991" s="388">
        <v>0</v>
      </c>
      <c r="Y3991" s="388">
        <v>1</v>
      </c>
      <c r="Z3991" s="388">
        <v>1</v>
      </c>
      <c r="AA3991" s="388">
        <v>1</v>
      </c>
      <c r="AB3991" s="388">
        <v>0</v>
      </c>
      <c r="AC3991" s="150">
        <v>1</v>
      </c>
      <c r="AD3991" s="150">
        <v>1</v>
      </c>
      <c r="AE3991" s="49">
        <f t="shared" si="146"/>
        <v>0.75</v>
      </c>
      <c r="AF3991" s="488">
        <v>0</v>
      </c>
      <c r="AG3991" s="17">
        <v>0</v>
      </c>
      <c r="AH3991" s="360">
        <v>0.55000000000000004</v>
      </c>
      <c r="AI3991" s="360">
        <v>0.52</v>
      </c>
      <c r="AJ3991" s="360">
        <v>0.52</v>
      </c>
      <c r="AK3991" s="361">
        <v>0.52</v>
      </c>
      <c r="AL3991" s="361">
        <v>0.52</v>
      </c>
      <c r="AM3991" s="17">
        <f t="shared" si="147"/>
        <v>1.04</v>
      </c>
      <c r="AN3991" s="162" t="s">
        <v>180</v>
      </c>
      <c r="AO3991" s="162" t="s">
        <v>182</v>
      </c>
    </row>
    <row r="3992" spans="1:41" s="162" customFormat="1" x14ac:dyDescent="0.3">
      <c r="A3992" s="205" t="s">
        <v>8321</v>
      </c>
      <c r="B3992" s="162" t="s">
        <v>8322</v>
      </c>
      <c r="C3992" s="168" t="s">
        <v>13469</v>
      </c>
      <c r="D3992" s="162" t="s">
        <v>13470</v>
      </c>
      <c r="E3992" s="406" t="s">
        <v>13471</v>
      </c>
      <c r="F3992" s="162" t="s">
        <v>13472</v>
      </c>
      <c r="G3992" s="406">
        <v>163301</v>
      </c>
      <c r="H3992" s="162" t="s">
        <v>13473</v>
      </c>
      <c r="I3992" s="162" t="s">
        <v>14741</v>
      </c>
      <c r="J3992" s="162" t="s">
        <v>14742</v>
      </c>
      <c r="K3992" s="406" t="s">
        <v>14743</v>
      </c>
      <c r="L3992" s="162" t="s">
        <v>13491</v>
      </c>
      <c r="M3992" s="162" t="s">
        <v>14746</v>
      </c>
      <c r="O3992" s="224"/>
      <c r="P3992" s="224">
        <v>200</v>
      </c>
      <c r="Q3992" s="224">
        <v>200</v>
      </c>
      <c r="R3992" s="224">
        <v>200</v>
      </c>
      <c r="S3992" s="224">
        <v>200</v>
      </c>
      <c r="T3992" s="223" t="s">
        <v>180</v>
      </c>
      <c r="U3992" t="str">
        <f>VLOOKUP(T3992,[8]Votes!$A$1:$E$234,3,FALSE)</f>
        <v>145 Uganda Prisons</v>
      </c>
      <c r="V3992" s="162" t="s">
        <v>14747</v>
      </c>
      <c r="W3992" s="388">
        <v>1</v>
      </c>
      <c r="X3992" s="388">
        <v>0</v>
      </c>
      <c r="Y3992" s="388">
        <v>1</v>
      </c>
      <c r="Z3992" s="388">
        <v>1</v>
      </c>
      <c r="AA3992" s="388">
        <v>1</v>
      </c>
      <c r="AB3992" s="388">
        <v>0</v>
      </c>
      <c r="AC3992" s="150">
        <v>1</v>
      </c>
      <c r="AD3992" s="150">
        <v>0</v>
      </c>
      <c r="AE3992" s="49">
        <f t="shared" si="146"/>
        <v>0.625</v>
      </c>
      <c r="AF3992" s="488">
        <v>0</v>
      </c>
      <c r="AG3992" s="17">
        <v>0</v>
      </c>
      <c r="AH3992" s="190">
        <v>0</v>
      </c>
      <c r="AI3992" s="360">
        <v>0.5</v>
      </c>
      <c r="AJ3992" s="360">
        <v>0.5</v>
      </c>
      <c r="AK3992" s="361">
        <v>0.5</v>
      </c>
      <c r="AL3992" s="361">
        <v>0.5</v>
      </c>
      <c r="AM3992" s="17">
        <f t="shared" si="147"/>
        <v>1</v>
      </c>
      <c r="AN3992" s="162" t="s">
        <v>180</v>
      </c>
      <c r="AO3992" s="162" t="s">
        <v>182</v>
      </c>
    </row>
    <row r="3993" spans="1:41" s="162" customFormat="1" x14ac:dyDescent="0.3">
      <c r="A3993" s="205" t="s">
        <v>8321</v>
      </c>
      <c r="B3993" s="162" t="s">
        <v>8322</v>
      </c>
      <c r="C3993" s="168" t="s">
        <v>13469</v>
      </c>
      <c r="D3993" s="162" t="s">
        <v>13470</v>
      </c>
      <c r="E3993" s="406" t="s">
        <v>13471</v>
      </c>
      <c r="F3993" s="162" t="s">
        <v>13472</v>
      </c>
      <c r="G3993" s="406">
        <v>163301</v>
      </c>
      <c r="H3993" s="162" t="s">
        <v>13473</v>
      </c>
      <c r="I3993" s="162" t="s">
        <v>14741</v>
      </c>
      <c r="J3993" s="162" t="s">
        <v>14742</v>
      </c>
      <c r="K3993" s="406" t="s">
        <v>14743</v>
      </c>
      <c r="L3993" s="162" t="s">
        <v>13491</v>
      </c>
      <c r="M3993" s="162" t="s">
        <v>14748</v>
      </c>
      <c r="N3993" s="162">
        <v>0</v>
      </c>
      <c r="O3993" s="224">
        <v>0</v>
      </c>
      <c r="P3993" s="224">
        <v>0</v>
      </c>
      <c r="Q3993" s="224">
        <v>1</v>
      </c>
      <c r="R3993" s="224">
        <v>1</v>
      </c>
      <c r="S3993" s="224">
        <v>1</v>
      </c>
      <c r="T3993" s="223" t="s">
        <v>13776</v>
      </c>
      <c r="U3993" t="str">
        <f>VLOOKUP(T3993,[8]Votes!$A$1:$E$234,3,FALSE)</f>
        <v>305 Directorate of Government Analytical Laboratory</v>
      </c>
      <c r="V3993" s="162" t="s">
        <v>14749</v>
      </c>
      <c r="W3993" s="388">
        <v>1</v>
      </c>
      <c r="X3993" s="388">
        <v>0</v>
      </c>
      <c r="Y3993" s="388">
        <v>1</v>
      </c>
      <c r="Z3993" s="388">
        <v>1</v>
      </c>
      <c r="AA3993" s="388">
        <v>0</v>
      </c>
      <c r="AB3993" s="388">
        <v>0</v>
      </c>
      <c r="AC3993" s="150">
        <v>1</v>
      </c>
      <c r="AD3993" s="150">
        <v>1</v>
      </c>
      <c r="AE3993" s="49">
        <f t="shared" si="146"/>
        <v>0.625</v>
      </c>
      <c r="AF3993" s="488">
        <v>0</v>
      </c>
      <c r="AG3993" s="17">
        <v>0</v>
      </c>
      <c r="AH3993" s="190">
        <v>0</v>
      </c>
      <c r="AI3993" s="190">
        <v>0</v>
      </c>
      <c r="AJ3993" s="360">
        <v>2</v>
      </c>
      <c r="AK3993" s="361">
        <v>2</v>
      </c>
      <c r="AL3993" s="361">
        <v>4</v>
      </c>
      <c r="AM3993" s="17">
        <f t="shared" si="147"/>
        <v>6</v>
      </c>
      <c r="AN3993" s="162" t="s">
        <v>13776</v>
      </c>
      <c r="AO3993" s="162" t="s">
        <v>13778</v>
      </c>
    </row>
    <row r="3994" spans="1:41" s="162" customFormat="1" x14ac:dyDescent="0.3">
      <c r="A3994" s="205" t="s">
        <v>8321</v>
      </c>
      <c r="B3994" s="162" t="s">
        <v>8322</v>
      </c>
      <c r="C3994" s="168" t="s">
        <v>13469</v>
      </c>
      <c r="D3994" s="162" t="s">
        <v>13470</v>
      </c>
      <c r="E3994" s="406" t="s">
        <v>13471</v>
      </c>
      <c r="F3994" s="162" t="s">
        <v>13472</v>
      </c>
      <c r="G3994" s="406">
        <v>163301</v>
      </c>
      <c r="H3994" s="162" t="s">
        <v>13473</v>
      </c>
      <c r="I3994" s="162" t="s">
        <v>14741</v>
      </c>
      <c r="J3994" s="162" t="s">
        <v>14742</v>
      </c>
      <c r="K3994" s="406" t="s">
        <v>14743</v>
      </c>
      <c r="L3994" s="162" t="s">
        <v>13491</v>
      </c>
      <c r="M3994" s="162" t="s">
        <v>14750</v>
      </c>
      <c r="N3994" s="162">
        <v>0</v>
      </c>
      <c r="O3994" s="224">
        <v>0</v>
      </c>
      <c r="P3994" s="224">
        <v>0</v>
      </c>
      <c r="Q3994" s="224">
        <v>0</v>
      </c>
      <c r="R3994" s="224">
        <v>1</v>
      </c>
      <c r="S3994" s="224">
        <v>1</v>
      </c>
      <c r="T3994" s="223" t="s">
        <v>13776</v>
      </c>
      <c r="U3994" t="str">
        <f>VLOOKUP(T3994,[8]Votes!$A$1:$E$234,3,FALSE)</f>
        <v>305 Directorate of Government Analytical Laboratory</v>
      </c>
      <c r="V3994" s="162" t="s">
        <v>14751</v>
      </c>
      <c r="W3994" s="388">
        <v>1</v>
      </c>
      <c r="X3994" s="388">
        <v>0</v>
      </c>
      <c r="Y3994" s="388">
        <v>1</v>
      </c>
      <c r="Z3994" s="388">
        <v>1</v>
      </c>
      <c r="AA3994" s="388">
        <v>0</v>
      </c>
      <c r="AB3994" s="388">
        <v>0</v>
      </c>
      <c r="AC3994" s="150">
        <v>1</v>
      </c>
      <c r="AD3994" s="150">
        <v>1</v>
      </c>
      <c r="AE3994" s="49">
        <f t="shared" si="146"/>
        <v>0.625</v>
      </c>
      <c r="AF3994" s="488">
        <v>0</v>
      </c>
      <c r="AG3994" s="17">
        <v>0</v>
      </c>
      <c r="AH3994" s="190">
        <v>0</v>
      </c>
      <c r="AI3994" s="190">
        <v>0</v>
      </c>
      <c r="AJ3994" s="190">
        <v>0</v>
      </c>
      <c r="AK3994" s="361">
        <v>0.23</v>
      </c>
      <c r="AL3994" s="361">
        <v>0.33</v>
      </c>
      <c r="AM3994" s="17">
        <f t="shared" si="147"/>
        <v>0.56000000000000005</v>
      </c>
      <c r="AN3994" s="162" t="s">
        <v>13776</v>
      </c>
      <c r="AO3994" s="162" t="s">
        <v>13778</v>
      </c>
    </row>
    <row r="3995" spans="1:41" s="162" customFormat="1" x14ac:dyDescent="0.3">
      <c r="A3995" s="205" t="s">
        <v>8321</v>
      </c>
      <c r="B3995" s="162" t="s">
        <v>8322</v>
      </c>
      <c r="C3995" s="168" t="s">
        <v>13469</v>
      </c>
      <c r="D3995" s="162" t="s">
        <v>13470</v>
      </c>
      <c r="E3995" s="406" t="s">
        <v>13471</v>
      </c>
      <c r="F3995" s="162" t="s">
        <v>13472</v>
      </c>
      <c r="G3995" s="406">
        <v>163302</v>
      </c>
      <c r="H3995" s="162" t="s">
        <v>13490</v>
      </c>
      <c r="I3995" s="162" t="s">
        <v>14752</v>
      </c>
      <c r="J3995" s="1" t="s">
        <v>14753</v>
      </c>
      <c r="K3995" s="406" t="s">
        <v>14743</v>
      </c>
      <c r="L3995" s="162" t="s">
        <v>13491</v>
      </c>
      <c r="M3995" s="162" t="s">
        <v>14754</v>
      </c>
      <c r="O3995" s="229">
        <v>67002</v>
      </c>
      <c r="P3995" s="229">
        <v>72852</v>
      </c>
      <c r="Q3995" s="229">
        <v>79213</v>
      </c>
      <c r="R3995" s="229">
        <v>86129</v>
      </c>
      <c r="S3995" s="229">
        <v>93649</v>
      </c>
      <c r="T3995" s="223" t="s">
        <v>180</v>
      </c>
      <c r="U3995" t="str">
        <f>VLOOKUP(T3995,[8]Votes!$A$1:$E$234,3,FALSE)</f>
        <v>145 Uganda Prisons</v>
      </c>
      <c r="V3995" s="162" t="s">
        <v>14755</v>
      </c>
      <c r="W3995" s="501">
        <v>1</v>
      </c>
      <c r="X3995" s="501"/>
      <c r="Y3995" s="501">
        <v>1</v>
      </c>
      <c r="Z3995" s="501">
        <v>1</v>
      </c>
      <c r="AA3995" s="501">
        <v>1</v>
      </c>
      <c r="AB3995" s="501">
        <v>1</v>
      </c>
      <c r="AC3995" s="150">
        <v>1</v>
      </c>
      <c r="AD3995" s="150">
        <v>1</v>
      </c>
      <c r="AE3995" s="49">
        <f t="shared" si="146"/>
        <v>0.875</v>
      </c>
      <c r="AF3995" s="360"/>
      <c r="AG3995" s="17">
        <v>0</v>
      </c>
      <c r="AH3995" s="360">
        <v>163.02000000000001</v>
      </c>
      <c r="AI3995" s="360">
        <v>163.32</v>
      </c>
      <c r="AJ3995" s="360">
        <v>177.02</v>
      </c>
      <c r="AK3995" s="361">
        <v>90</v>
      </c>
      <c r="AL3995" s="361">
        <v>90</v>
      </c>
      <c r="AM3995" s="17">
        <f t="shared" si="147"/>
        <v>180</v>
      </c>
      <c r="AN3995" s="162" t="s">
        <v>180</v>
      </c>
      <c r="AO3995" s="162" t="s">
        <v>182</v>
      </c>
    </row>
    <row r="3996" spans="1:41" s="162" customFormat="1" x14ac:dyDescent="0.3">
      <c r="A3996" s="205" t="s">
        <v>8321</v>
      </c>
      <c r="B3996" s="162" t="s">
        <v>8322</v>
      </c>
      <c r="C3996" s="168" t="s">
        <v>13469</v>
      </c>
      <c r="D3996" s="162" t="s">
        <v>13470</v>
      </c>
      <c r="E3996" s="406" t="s">
        <v>13471</v>
      </c>
      <c r="F3996" s="162" t="s">
        <v>13472</v>
      </c>
      <c r="G3996" s="406">
        <v>163302</v>
      </c>
      <c r="H3996" s="162" t="s">
        <v>13490</v>
      </c>
      <c r="I3996" s="162" t="s">
        <v>14756</v>
      </c>
      <c r="J3996" s="162" t="s">
        <v>14757</v>
      </c>
      <c r="K3996" s="406" t="s">
        <v>14743</v>
      </c>
      <c r="L3996" s="162" t="s">
        <v>13491</v>
      </c>
      <c r="M3996" s="162" t="s">
        <v>14758</v>
      </c>
      <c r="O3996" s="492">
        <v>0.3</v>
      </c>
      <c r="P3996" s="492">
        <v>0.4</v>
      </c>
      <c r="Q3996" s="492">
        <v>0.6</v>
      </c>
      <c r="R3996" s="492">
        <v>0.8</v>
      </c>
      <c r="S3996" s="492">
        <v>1</v>
      </c>
      <c r="T3996" s="223" t="s">
        <v>180</v>
      </c>
      <c r="U3996" t="str">
        <f>VLOOKUP(T3996,[8]Votes!$A$1:$E$234,3,FALSE)</f>
        <v>145 Uganda Prisons</v>
      </c>
      <c r="V3996" s="162" t="s">
        <v>14759</v>
      </c>
      <c r="W3996" s="501">
        <v>1</v>
      </c>
      <c r="X3996" s="501">
        <v>1</v>
      </c>
      <c r="Y3996" s="501">
        <v>1</v>
      </c>
      <c r="Z3996" s="501">
        <v>1</v>
      </c>
      <c r="AA3996" s="501">
        <v>0</v>
      </c>
      <c r="AB3996" s="501">
        <v>1</v>
      </c>
      <c r="AC3996" s="150">
        <v>1</v>
      </c>
      <c r="AD3996" s="150">
        <v>1</v>
      </c>
      <c r="AE3996" s="49">
        <f t="shared" si="146"/>
        <v>0.875</v>
      </c>
      <c r="AF3996" s="360"/>
      <c r="AG3996" s="17">
        <v>0</v>
      </c>
      <c r="AH3996" s="360">
        <v>0.16</v>
      </c>
      <c r="AI3996" s="360">
        <v>0.16</v>
      </c>
      <c r="AJ3996" s="360">
        <v>0.16</v>
      </c>
      <c r="AK3996" s="361">
        <v>0.16</v>
      </c>
      <c r="AL3996" s="361">
        <v>0.6</v>
      </c>
      <c r="AM3996" s="17">
        <f t="shared" si="147"/>
        <v>0.76</v>
      </c>
      <c r="AN3996" s="162" t="s">
        <v>180</v>
      </c>
      <c r="AO3996" s="162" t="s">
        <v>182</v>
      </c>
    </row>
    <row r="3997" spans="1:41" s="162" customFormat="1" x14ac:dyDescent="0.3">
      <c r="A3997" s="205" t="s">
        <v>8321</v>
      </c>
      <c r="B3997" s="162" t="s">
        <v>8322</v>
      </c>
      <c r="C3997" s="168" t="s">
        <v>13469</v>
      </c>
      <c r="D3997" s="162" t="s">
        <v>13470</v>
      </c>
      <c r="E3997" s="406" t="s">
        <v>13471</v>
      </c>
      <c r="F3997" s="162" t="s">
        <v>13472</v>
      </c>
      <c r="G3997" s="406">
        <v>163302</v>
      </c>
      <c r="H3997" s="162" t="s">
        <v>13490</v>
      </c>
      <c r="K3997" s="406">
        <v>16330103</v>
      </c>
      <c r="L3997" s="162" t="s">
        <v>13491</v>
      </c>
      <c r="M3997" s="162" t="s">
        <v>14760</v>
      </c>
      <c r="O3997" s="224">
        <v>82</v>
      </c>
      <c r="P3997" s="224">
        <v>82</v>
      </c>
      <c r="Q3997" s="224">
        <v>82</v>
      </c>
      <c r="R3997" s="224">
        <v>0</v>
      </c>
      <c r="S3997" s="224">
        <v>0</v>
      </c>
      <c r="T3997" s="223" t="s">
        <v>14567</v>
      </c>
      <c r="U3997" t="str">
        <f>VLOOKUP(T3997,[8]Votes!$A$1:$E$234,3,FALSE)</f>
        <v>106 Uganda Human Rights Commission</v>
      </c>
      <c r="V3997" s="162" t="s">
        <v>14761</v>
      </c>
      <c r="W3997" s="501">
        <v>0</v>
      </c>
      <c r="X3997" s="501">
        <v>1</v>
      </c>
      <c r="Y3997" s="501">
        <v>1</v>
      </c>
      <c r="Z3997" s="501">
        <v>0</v>
      </c>
      <c r="AA3997" s="501">
        <v>1</v>
      </c>
      <c r="AB3997" s="501">
        <v>1</v>
      </c>
      <c r="AC3997" s="150">
        <v>0</v>
      </c>
      <c r="AD3997" s="150">
        <v>0</v>
      </c>
      <c r="AE3997" s="49">
        <f t="shared" si="146"/>
        <v>0.5</v>
      </c>
      <c r="AF3997" s="360"/>
      <c r="AG3997" s="17">
        <v>0</v>
      </c>
      <c r="AH3997" s="360">
        <v>0.1</v>
      </c>
      <c r="AI3997" s="360">
        <v>0.1</v>
      </c>
      <c r="AJ3997" s="360">
        <v>0.2</v>
      </c>
      <c r="AK3997" s="361">
        <v>0</v>
      </c>
      <c r="AL3997" s="361">
        <v>0</v>
      </c>
      <c r="AM3997" s="17">
        <f t="shared" si="147"/>
        <v>0</v>
      </c>
      <c r="AN3997" s="162" t="s">
        <v>14567</v>
      </c>
      <c r="AO3997" s="162" t="s">
        <v>14570</v>
      </c>
    </row>
    <row r="3998" spans="1:41" s="162" customFormat="1" x14ac:dyDescent="0.3">
      <c r="A3998" s="205" t="s">
        <v>8321</v>
      </c>
      <c r="B3998" s="162" t="s">
        <v>8322</v>
      </c>
      <c r="C3998" s="168" t="s">
        <v>13469</v>
      </c>
      <c r="D3998" s="162" t="s">
        <v>13470</v>
      </c>
      <c r="E3998" s="406" t="s">
        <v>13471</v>
      </c>
      <c r="F3998" s="162" t="s">
        <v>13472</v>
      </c>
      <c r="G3998" s="406">
        <v>163302</v>
      </c>
      <c r="H3998" s="162" t="s">
        <v>13490</v>
      </c>
      <c r="K3998" s="406">
        <v>16330104</v>
      </c>
      <c r="L3998" s="162" t="s">
        <v>14762</v>
      </c>
      <c r="M3998" s="162" t="s">
        <v>14763</v>
      </c>
      <c r="O3998" s="224">
        <v>5</v>
      </c>
      <c r="P3998" s="224">
        <v>5</v>
      </c>
      <c r="Q3998" s="224">
        <v>5</v>
      </c>
      <c r="R3998" s="224">
        <v>6</v>
      </c>
      <c r="S3998" s="224">
        <v>6</v>
      </c>
      <c r="T3998" s="223" t="s">
        <v>1233</v>
      </c>
      <c r="U3998" t="str">
        <f>VLOOKUP(T3998,[8]Votes!$A$1:$E$234,3,FALSE)</f>
        <v>006 Ministry of Foreign Affairs</v>
      </c>
      <c r="V3998" s="162" t="s">
        <v>14764</v>
      </c>
      <c r="W3998" s="501">
        <v>0</v>
      </c>
      <c r="X3998" s="501">
        <v>0</v>
      </c>
      <c r="Y3998" s="501">
        <v>0</v>
      </c>
      <c r="Z3998" s="501">
        <v>0</v>
      </c>
      <c r="AA3998" s="501">
        <v>0</v>
      </c>
      <c r="AB3998" s="501">
        <v>0</v>
      </c>
      <c r="AC3998" s="150">
        <v>0</v>
      </c>
      <c r="AD3998" s="150">
        <v>0</v>
      </c>
      <c r="AE3998" s="49">
        <f t="shared" si="146"/>
        <v>0</v>
      </c>
      <c r="AF3998" s="360"/>
      <c r="AG3998" s="17">
        <v>0</v>
      </c>
      <c r="AH3998" s="360">
        <v>0.08</v>
      </c>
      <c r="AI3998" s="360">
        <v>0.08</v>
      </c>
      <c r="AJ3998" s="360">
        <v>0.08</v>
      </c>
      <c r="AK3998" s="361">
        <v>0.08</v>
      </c>
      <c r="AL3998" s="361">
        <v>0.08</v>
      </c>
      <c r="AM3998" s="17">
        <f t="shared" si="147"/>
        <v>0.16</v>
      </c>
      <c r="AN3998" s="162" t="s">
        <v>1233</v>
      </c>
      <c r="AO3998" s="162" t="s">
        <v>1650</v>
      </c>
    </row>
    <row r="3999" spans="1:41" s="162" customFormat="1" x14ac:dyDescent="0.3">
      <c r="A3999" s="205" t="s">
        <v>8321</v>
      </c>
      <c r="B3999" s="162" t="s">
        <v>8322</v>
      </c>
      <c r="C3999" s="168" t="s">
        <v>13469</v>
      </c>
      <c r="D3999" s="162" t="s">
        <v>13470</v>
      </c>
      <c r="E3999" s="406" t="s">
        <v>13471</v>
      </c>
      <c r="F3999" s="162" t="s">
        <v>13472</v>
      </c>
      <c r="G3999" s="406">
        <v>163302</v>
      </c>
      <c r="H3999" s="162" t="s">
        <v>13490</v>
      </c>
      <c r="K3999" s="406">
        <v>16330105</v>
      </c>
      <c r="L3999" s="162" t="s">
        <v>14765</v>
      </c>
      <c r="M3999" s="162" t="s">
        <v>14766</v>
      </c>
      <c r="O3999" s="229">
        <v>70000</v>
      </c>
      <c r="P3999" s="229">
        <v>80000</v>
      </c>
      <c r="Q3999" s="229">
        <v>90000</v>
      </c>
      <c r="R3999" s="229">
        <v>95000</v>
      </c>
      <c r="S3999" s="229">
        <v>100000</v>
      </c>
      <c r="T3999" s="223" t="s">
        <v>1167</v>
      </c>
      <c r="U3999" t="str">
        <f>VLOOKUP(T3999,[8]Votes!$A$1:$E$234,3,FALSE)</f>
        <v>003 Office of the Prime Minister</v>
      </c>
      <c r="V3999" s="162" t="s">
        <v>14767</v>
      </c>
      <c r="W3999" s="501"/>
      <c r="X3999" s="501"/>
      <c r="Y3999" s="501"/>
      <c r="Z3999" s="501"/>
      <c r="AA3999" s="501"/>
      <c r="AB3999" s="501"/>
      <c r="AC3999" s="150">
        <v>0</v>
      </c>
      <c r="AD3999" s="150">
        <v>0</v>
      </c>
      <c r="AE3999" s="49">
        <f t="shared" si="146"/>
        <v>0</v>
      </c>
      <c r="AF3999" s="360"/>
      <c r="AG3999" s="17">
        <v>0</v>
      </c>
      <c r="AH3999" s="360">
        <v>40</v>
      </c>
      <c r="AI3999" s="360">
        <v>45</v>
      </c>
      <c r="AJ3999" s="360">
        <v>50</v>
      </c>
      <c r="AK3999" s="361">
        <v>55</v>
      </c>
      <c r="AL3999" s="361">
        <v>60</v>
      </c>
      <c r="AM3999" s="17">
        <f t="shared" si="147"/>
        <v>115</v>
      </c>
      <c r="AN3999" s="162" t="s">
        <v>1167</v>
      </c>
      <c r="AO3999" s="162" t="s">
        <v>1170</v>
      </c>
    </row>
    <row r="4000" spans="1:41" s="162" customFormat="1" x14ac:dyDescent="0.3">
      <c r="A4000" s="205" t="s">
        <v>8321</v>
      </c>
      <c r="B4000" s="162" t="s">
        <v>8322</v>
      </c>
      <c r="C4000" s="168" t="s">
        <v>13469</v>
      </c>
      <c r="D4000" s="162" t="s">
        <v>13470</v>
      </c>
      <c r="E4000" s="406" t="s">
        <v>13471</v>
      </c>
      <c r="F4000" s="162" t="s">
        <v>13472</v>
      </c>
      <c r="G4000" s="406">
        <v>163302</v>
      </c>
      <c r="H4000" s="162" t="s">
        <v>13490</v>
      </c>
      <c r="K4000" s="406">
        <v>16330105</v>
      </c>
      <c r="L4000" s="162" t="s">
        <v>14765</v>
      </c>
      <c r="M4000" s="162" t="s">
        <v>14766</v>
      </c>
      <c r="O4000" s="229"/>
      <c r="P4000" s="229"/>
      <c r="Q4000" s="229"/>
      <c r="R4000" s="229"/>
      <c r="S4000" s="229"/>
      <c r="T4000" s="223" t="s">
        <v>1167</v>
      </c>
      <c r="U4000" t="str">
        <f>VLOOKUP(T4000,[8]Votes!$A$1:$E$234,3,FALSE)</f>
        <v>003 Office of the Prime Minister</v>
      </c>
      <c r="V4000" s="162" t="s">
        <v>14768</v>
      </c>
      <c r="W4000" s="501"/>
      <c r="X4000" s="501"/>
      <c r="Y4000" s="501"/>
      <c r="Z4000" s="501"/>
      <c r="AA4000" s="501"/>
      <c r="AB4000" s="501"/>
      <c r="AC4000" s="150">
        <v>0</v>
      </c>
      <c r="AD4000" s="150">
        <v>0</v>
      </c>
      <c r="AE4000" s="49">
        <f t="shared" si="146"/>
        <v>0</v>
      </c>
      <c r="AF4000" s="190"/>
      <c r="AG4000" s="17">
        <v>0</v>
      </c>
      <c r="AH4000" s="190">
        <v>0</v>
      </c>
      <c r="AI4000" s="190">
        <v>0</v>
      </c>
      <c r="AJ4000" s="190">
        <v>0</v>
      </c>
      <c r="AK4000" s="191">
        <v>0</v>
      </c>
      <c r="AL4000" s="191">
        <v>0</v>
      </c>
      <c r="AM4000" s="17">
        <f t="shared" si="147"/>
        <v>0</v>
      </c>
      <c r="AN4000" s="162" t="s">
        <v>1167</v>
      </c>
      <c r="AO4000" s="162" t="s">
        <v>1170</v>
      </c>
    </row>
    <row r="4001" spans="1:41" s="162" customFormat="1" x14ac:dyDescent="0.3">
      <c r="A4001" s="205" t="s">
        <v>8321</v>
      </c>
      <c r="B4001" s="162" t="s">
        <v>8322</v>
      </c>
      <c r="C4001" s="168" t="s">
        <v>13469</v>
      </c>
      <c r="D4001" s="162" t="s">
        <v>13470</v>
      </c>
      <c r="E4001" s="406" t="s">
        <v>13471</v>
      </c>
      <c r="F4001" s="162" t="s">
        <v>13472</v>
      </c>
      <c r="G4001" s="406">
        <v>163302</v>
      </c>
      <c r="H4001" s="162" t="s">
        <v>13490</v>
      </c>
      <c r="K4001" s="406">
        <v>16330105</v>
      </c>
      <c r="L4001" s="162" t="s">
        <v>14765</v>
      </c>
      <c r="M4001" s="162" t="s">
        <v>14766</v>
      </c>
      <c r="O4001" s="224" t="s">
        <v>271</v>
      </c>
      <c r="P4001" s="224">
        <v>1</v>
      </c>
      <c r="Q4001" s="224"/>
      <c r="R4001" s="224"/>
      <c r="S4001" s="224"/>
      <c r="T4001" s="223" t="s">
        <v>1167</v>
      </c>
      <c r="U4001" t="str">
        <f>VLOOKUP(T4001,[8]Votes!$A$1:$E$234,3,FALSE)</f>
        <v>003 Office of the Prime Minister</v>
      </c>
      <c r="V4001" s="162" t="s">
        <v>14769</v>
      </c>
      <c r="W4001" s="501"/>
      <c r="X4001" s="501"/>
      <c r="Y4001" s="501"/>
      <c r="Z4001" s="501"/>
      <c r="AA4001" s="501"/>
      <c r="AB4001" s="501"/>
      <c r="AC4001" s="150">
        <v>0</v>
      </c>
      <c r="AD4001" s="150">
        <v>0</v>
      </c>
      <c r="AE4001" s="49">
        <f t="shared" si="146"/>
        <v>0</v>
      </c>
      <c r="AF4001" s="190"/>
      <c r="AG4001" s="17">
        <v>0</v>
      </c>
      <c r="AH4001" s="190">
        <v>0</v>
      </c>
      <c r="AI4001" s="360">
        <v>0.2</v>
      </c>
      <c r="AJ4001" s="190">
        <v>0</v>
      </c>
      <c r="AK4001" s="191">
        <v>0</v>
      </c>
      <c r="AL4001" s="191">
        <v>0</v>
      </c>
      <c r="AM4001" s="17">
        <f t="shared" si="147"/>
        <v>0</v>
      </c>
      <c r="AN4001" s="162" t="s">
        <v>1167</v>
      </c>
      <c r="AO4001" s="162" t="s">
        <v>1170</v>
      </c>
    </row>
    <row r="4002" spans="1:41" s="162" customFormat="1" x14ac:dyDescent="0.3">
      <c r="A4002" s="205" t="s">
        <v>8321</v>
      </c>
      <c r="B4002" s="162" t="s">
        <v>8322</v>
      </c>
      <c r="C4002" s="168" t="s">
        <v>13469</v>
      </c>
      <c r="D4002" s="162" t="s">
        <v>13470</v>
      </c>
      <c r="E4002" s="406" t="s">
        <v>13471</v>
      </c>
      <c r="F4002" s="162" t="s">
        <v>13472</v>
      </c>
      <c r="G4002" s="406">
        <v>163302</v>
      </c>
      <c r="H4002" s="162" t="s">
        <v>13490</v>
      </c>
      <c r="K4002" s="406">
        <v>16330105</v>
      </c>
      <c r="L4002" s="162" t="s">
        <v>14765</v>
      </c>
      <c r="M4002" s="162" t="s">
        <v>14766</v>
      </c>
      <c r="O4002" s="224"/>
      <c r="P4002" s="224"/>
      <c r="Q4002" s="224"/>
      <c r="R4002" s="224"/>
      <c r="S4002" s="224"/>
      <c r="T4002" s="223" t="s">
        <v>1167</v>
      </c>
      <c r="U4002" t="str">
        <f>VLOOKUP(T4002,[8]Votes!$A$1:$E$234,3,FALSE)</f>
        <v>003 Office of the Prime Minister</v>
      </c>
      <c r="V4002" s="162" t="s">
        <v>14770</v>
      </c>
      <c r="W4002" s="501"/>
      <c r="X4002" s="501"/>
      <c r="Y4002" s="501"/>
      <c r="Z4002" s="501"/>
      <c r="AA4002" s="501"/>
      <c r="AB4002" s="501"/>
      <c r="AC4002" s="150">
        <v>0</v>
      </c>
      <c r="AD4002" s="150">
        <v>0</v>
      </c>
      <c r="AE4002" s="49">
        <f t="shared" si="146"/>
        <v>0</v>
      </c>
      <c r="AF4002" s="190"/>
      <c r="AG4002" s="17">
        <v>0</v>
      </c>
      <c r="AH4002" s="190">
        <v>0</v>
      </c>
      <c r="AI4002" s="190">
        <v>0</v>
      </c>
      <c r="AJ4002" s="190">
        <v>0</v>
      </c>
      <c r="AK4002" s="191">
        <v>0</v>
      </c>
      <c r="AL4002" s="191">
        <v>0</v>
      </c>
      <c r="AM4002" s="17">
        <f t="shared" si="147"/>
        <v>0</v>
      </c>
      <c r="AN4002" s="162" t="s">
        <v>1167</v>
      </c>
      <c r="AO4002" s="162" t="s">
        <v>1170</v>
      </c>
    </row>
    <row r="4003" spans="1:41" s="162" customFormat="1" x14ac:dyDescent="0.3">
      <c r="A4003" s="205" t="s">
        <v>8321</v>
      </c>
      <c r="B4003" s="162" t="s">
        <v>8322</v>
      </c>
      <c r="C4003" s="168" t="s">
        <v>13469</v>
      </c>
      <c r="D4003" s="162" t="s">
        <v>13470</v>
      </c>
      <c r="E4003" s="406" t="s">
        <v>13471</v>
      </c>
      <c r="F4003" s="162" t="s">
        <v>13472</v>
      </c>
      <c r="G4003" s="406">
        <v>163302</v>
      </c>
      <c r="H4003" s="162" t="s">
        <v>13490</v>
      </c>
      <c r="K4003" s="406">
        <v>16330105</v>
      </c>
      <c r="L4003" s="162" t="s">
        <v>14765</v>
      </c>
      <c r="M4003" s="162" t="s">
        <v>14766</v>
      </c>
      <c r="O4003" s="224"/>
      <c r="P4003" s="224"/>
      <c r="Q4003" s="224"/>
      <c r="R4003" s="224"/>
      <c r="S4003" s="224"/>
      <c r="T4003" s="223" t="s">
        <v>1167</v>
      </c>
      <c r="U4003" t="str">
        <f>VLOOKUP(T4003,[8]Votes!$A$1:$E$234,3,FALSE)</f>
        <v>003 Office of the Prime Minister</v>
      </c>
      <c r="V4003" s="162" t="s">
        <v>14771</v>
      </c>
      <c r="W4003" s="501"/>
      <c r="X4003" s="501"/>
      <c r="Y4003" s="501"/>
      <c r="Z4003" s="501"/>
      <c r="AA4003" s="501"/>
      <c r="AB4003" s="501"/>
      <c r="AC4003" s="150">
        <v>0</v>
      </c>
      <c r="AD4003" s="150">
        <v>0</v>
      </c>
      <c r="AE4003" s="49">
        <f t="shared" si="146"/>
        <v>0</v>
      </c>
      <c r="AF4003" s="190"/>
      <c r="AG4003" s="17">
        <v>0</v>
      </c>
      <c r="AH4003" s="190">
        <v>0</v>
      </c>
      <c r="AI4003" s="190">
        <v>0</v>
      </c>
      <c r="AJ4003" s="190">
        <v>0</v>
      </c>
      <c r="AK4003" s="191">
        <v>0</v>
      </c>
      <c r="AL4003" s="191">
        <v>0</v>
      </c>
      <c r="AM4003" s="17">
        <f t="shared" si="147"/>
        <v>0</v>
      </c>
      <c r="AN4003" s="162" t="s">
        <v>1167</v>
      </c>
      <c r="AO4003" s="162" t="s">
        <v>1170</v>
      </c>
    </row>
    <row r="4004" spans="1:41" s="162" customFormat="1" x14ac:dyDescent="0.3">
      <c r="A4004" s="205" t="s">
        <v>8321</v>
      </c>
      <c r="B4004" s="162" t="s">
        <v>8322</v>
      </c>
      <c r="C4004" s="168" t="s">
        <v>13469</v>
      </c>
      <c r="D4004" s="162" t="s">
        <v>13470</v>
      </c>
      <c r="E4004" s="406" t="s">
        <v>13471</v>
      </c>
      <c r="F4004" s="162" t="s">
        <v>13472</v>
      </c>
      <c r="G4004" s="406">
        <v>163302</v>
      </c>
      <c r="H4004" s="162" t="s">
        <v>13490</v>
      </c>
      <c r="K4004" s="406">
        <v>16330105</v>
      </c>
      <c r="L4004" s="162" t="s">
        <v>14765</v>
      </c>
      <c r="M4004" s="162" t="s">
        <v>14766</v>
      </c>
      <c r="O4004" s="224"/>
      <c r="P4004" s="224"/>
      <c r="Q4004" s="224"/>
      <c r="R4004" s="224"/>
      <c r="S4004" s="224"/>
      <c r="T4004" s="223" t="s">
        <v>1167</v>
      </c>
      <c r="U4004" t="str">
        <f>VLOOKUP(T4004,[8]Votes!$A$1:$E$234,3,FALSE)</f>
        <v>003 Office of the Prime Minister</v>
      </c>
      <c r="V4004" s="162" t="s">
        <v>14772</v>
      </c>
      <c r="W4004" s="501"/>
      <c r="X4004" s="501"/>
      <c r="Y4004" s="501"/>
      <c r="Z4004" s="501"/>
      <c r="AA4004" s="501"/>
      <c r="AB4004" s="501"/>
      <c r="AC4004" s="150">
        <v>0</v>
      </c>
      <c r="AD4004" s="150">
        <v>0</v>
      </c>
      <c r="AE4004" s="49">
        <f t="shared" si="146"/>
        <v>0</v>
      </c>
      <c r="AF4004" s="190"/>
      <c r="AG4004" s="17">
        <v>0</v>
      </c>
      <c r="AH4004" s="190">
        <v>0</v>
      </c>
      <c r="AI4004" s="190">
        <v>0</v>
      </c>
      <c r="AJ4004" s="190">
        <v>0</v>
      </c>
      <c r="AK4004" s="191">
        <v>0</v>
      </c>
      <c r="AL4004" s="191">
        <v>0</v>
      </c>
      <c r="AM4004" s="17">
        <f t="shared" si="147"/>
        <v>0</v>
      </c>
      <c r="AN4004" s="162" t="s">
        <v>1167</v>
      </c>
      <c r="AO4004" s="162" t="s">
        <v>1170</v>
      </c>
    </row>
    <row r="4005" spans="1:41" s="162" customFormat="1" x14ac:dyDescent="0.3">
      <c r="A4005" s="205" t="s">
        <v>8321</v>
      </c>
      <c r="B4005" s="162" t="s">
        <v>8322</v>
      </c>
      <c r="C4005" s="168" t="s">
        <v>13469</v>
      </c>
      <c r="D4005" s="162" t="s">
        <v>13470</v>
      </c>
      <c r="E4005" s="406" t="s">
        <v>13471</v>
      </c>
      <c r="F4005" s="162" t="s">
        <v>13472</v>
      </c>
      <c r="G4005" s="406">
        <v>163302</v>
      </c>
      <c r="H4005" s="162" t="s">
        <v>13490</v>
      </c>
      <c r="K4005" s="406">
        <v>16330106</v>
      </c>
      <c r="L4005" s="162" t="s">
        <v>14773</v>
      </c>
      <c r="M4005" s="162" t="s">
        <v>14774</v>
      </c>
      <c r="N4005" s="162">
        <v>0</v>
      </c>
      <c r="O4005" s="224">
        <v>10</v>
      </c>
      <c r="P4005" s="224">
        <v>10</v>
      </c>
      <c r="Q4005" s="224">
        <v>10</v>
      </c>
      <c r="R4005" s="224">
        <v>10</v>
      </c>
      <c r="S4005" s="224">
        <v>10</v>
      </c>
      <c r="T4005" s="223" t="s">
        <v>14567</v>
      </c>
      <c r="U4005" t="str">
        <f>VLOOKUP(T4005,[8]Votes!$A$1:$E$234,3,FALSE)</f>
        <v>106 Uganda Human Rights Commission</v>
      </c>
      <c r="V4005" s="162" t="s">
        <v>14775</v>
      </c>
      <c r="W4005" s="501">
        <v>1</v>
      </c>
      <c r="X4005" s="501">
        <v>1</v>
      </c>
      <c r="Y4005" s="501">
        <v>1</v>
      </c>
      <c r="Z4005" s="501">
        <v>1</v>
      </c>
      <c r="AA4005" s="501">
        <v>1</v>
      </c>
      <c r="AB4005" s="501">
        <v>1</v>
      </c>
      <c r="AC4005" s="150">
        <v>1</v>
      </c>
      <c r="AD4005" s="150">
        <v>0</v>
      </c>
      <c r="AE4005" s="49">
        <f t="shared" si="146"/>
        <v>0.875</v>
      </c>
      <c r="AF4005" s="360"/>
      <c r="AG4005" s="17">
        <v>0</v>
      </c>
      <c r="AH4005" s="360">
        <v>0.3</v>
      </c>
      <c r="AI4005" s="360">
        <v>0.3</v>
      </c>
      <c r="AJ4005" s="360">
        <v>0.3</v>
      </c>
      <c r="AK4005" s="361">
        <v>0.3</v>
      </c>
      <c r="AL4005" s="361">
        <v>0.3</v>
      </c>
      <c r="AM4005" s="17">
        <f t="shared" si="147"/>
        <v>0.6</v>
      </c>
      <c r="AN4005" s="162" t="s">
        <v>14567</v>
      </c>
      <c r="AO4005" s="162" t="s">
        <v>14570</v>
      </c>
    </row>
    <row r="4006" spans="1:41" s="162" customFormat="1" x14ac:dyDescent="0.3">
      <c r="A4006" s="205" t="s">
        <v>8321</v>
      </c>
      <c r="B4006" s="162" t="s">
        <v>8322</v>
      </c>
      <c r="C4006" s="168" t="s">
        <v>13469</v>
      </c>
      <c r="D4006" s="162" t="s">
        <v>13470</v>
      </c>
      <c r="E4006" s="406" t="s">
        <v>13471</v>
      </c>
      <c r="F4006" s="162" t="s">
        <v>13472</v>
      </c>
      <c r="G4006" s="406">
        <v>163303</v>
      </c>
      <c r="H4006" s="162" t="s">
        <v>14776</v>
      </c>
      <c r="K4006" s="406">
        <v>16330107</v>
      </c>
      <c r="L4006" s="162" t="s">
        <v>13477</v>
      </c>
      <c r="M4006" s="162" t="s">
        <v>14777</v>
      </c>
      <c r="N4006" s="162">
        <v>500</v>
      </c>
      <c r="O4006" s="229">
        <v>20000</v>
      </c>
      <c r="P4006" s="229">
        <v>20000</v>
      </c>
      <c r="Q4006" s="229">
        <v>20000</v>
      </c>
      <c r="R4006" s="229">
        <v>20000</v>
      </c>
      <c r="S4006" s="229">
        <v>20000</v>
      </c>
      <c r="T4006" s="223" t="s">
        <v>14567</v>
      </c>
      <c r="U4006" t="str">
        <f>VLOOKUP(T4006,[8]Votes!$A$1:$E$234,3,FALSE)</f>
        <v>106 Uganda Human Rights Commission</v>
      </c>
      <c r="V4006" s="162" t="s">
        <v>14778</v>
      </c>
      <c r="W4006" s="501">
        <v>1</v>
      </c>
      <c r="X4006" s="501">
        <v>1</v>
      </c>
      <c r="Y4006" s="501">
        <v>1</v>
      </c>
      <c r="Z4006" s="501">
        <v>1</v>
      </c>
      <c r="AA4006" s="501">
        <v>1</v>
      </c>
      <c r="AB4006" s="501">
        <v>1</v>
      </c>
      <c r="AC4006" s="150">
        <v>1</v>
      </c>
      <c r="AD4006" s="150">
        <v>0</v>
      </c>
      <c r="AE4006" s="49">
        <f t="shared" si="146"/>
        <v>0.875</v>
      </c>
      <c r="AF4006" s="360"/>
      <c r="AG4006" s="17">
        <v>0</v>
      </c>
      <c r="AH4006" s="360">
        <v>0.32</v>
      </c>
      <c r="AI4006" s="360">
        <v>0.32</v>
      </c>
      <c r="AJ4006" s="360">
        <v>0.32</v>
      </c>
      <c r="AK4006" s="361">
        <v>0.32</v>
      </c>
      <c r="AL4006" s="361">
        <v>0.32</v>
      </c>
      <c r="AM4006" s="17">
        <f t="shared" si="147"/>
        <v>0.64</v>
      </c>
      <c r="AN4006" s="162" t="s">
        <v>14567</v>
      </c>
      <c r="AO4006" s="162" t="s">
        <v>14570</v>
      </c>
    </row>
    <row r="4007" spans="1:41" s="162" customFormat="1" x14ac:dyDescent="0.3">
      <c r="A4007" s="205" t="s">
        <v>8321</v>
      </c>
      <c r="B4007" s="162" t="s">
        <v>8322</v>
      </c>
      <c r="C4007" s="168" t="s">
        <v>13469</v>
      </c>
      <c r="D4007" s="162" t="s">
        <v>13470</v>
      </c>
      <c r="E4007" s="406" t="s">
        <v>13471</v>
      </c>
      <c r="F4007" s="162" t="s">
        <v>13472</v>
      </c>
      <c r="G4007" s="406">
        <v>163303</v>
      </c>
      <c r="H4007" s="162" t="s">
        <v>14776</v>
      </c>
      <c r="K4007" s="406">
        <v>16330108</v>
      </c>
      <c r="L4007" s="162" t="s">
        <v>14779</v>
      </c>
      <c r="M4007" s="162" t="s">
        <v>14780</v>
      </c>
      <c r="N4007" s="162">
        <v>1</v>
      </c>
      <c r="O4007" s="224">
        <v>1</v>
      </c>
      <c r="P4007" s="224">
        <v>1</v>
      </c>
      <c r="Q4007" s="224">
        <v>1</v>
      </c>
      <c r="R4007" s="224">
        <v>1</v>
      </c>
      <c r="S4007" s="224">
        <v>1</v>
      </c>
      <c r="T4007" s="223" t="s">
        <v>14567</v>
      </c>
      <c r="U4007" t="str">
        <f>VLOOKUP(T4007,[8]Votes!$A$1:$E$234,3,FALSE)</f>
        <v>106 Uganda Human Rights Commission</v>
      </c>
      <c r="V4007" s="162" t="s">
        <v>14781</v>
      </c>
      <c r="W4007" s="501">
        <v>1</v>
      </c>
      <c r="X4007" s="501">
        <v>1</v>
      </c>
      <c r="Y4007" s="501">
        <v>1</v>
      </c>
      <c r="Z4007" s="501">
        <v>1</v>
      </c>
      <c r="AA4007" s="501">
        <v>1</v>
      </c>
      <c r="AB4007" s="501">
        <v>1</v>
      </c>
      <c r="AC4007" s="150">
        <v>1</v>
      </c>
      <c r="AD4007" s="150">
        <v>0</v>
      </c>
      <c r="AE4007" s="49">
        <f t="shared" si="146"/>
        <v>0.875</v>
      </c>
      <c r="AF4007" s="360"/>
      <c r="AG4007" s="17">
        <v>0</v>
      </c>
      <c r="AH4007" s="360">
        <v>0.8</v>
      </c>
      <c r="AI4007" s="360">
        <v>0.8</v>
      </c>
      <c r="AJ4007" s="360">
        <v>0.8</v>
      </c>
      <c r="AK4007" s="361">
        <v>0.4</v>
      </c>
      <c r="AL4007" s="361">
        <v>0.4</v>
      </c>
      <c r="AM4007" s="17">
        <f t="shared" si="147"/>
        <v>0.8</v>
      </c>
      <c r="AN4007" s="162" t="s">
        <v>14567</v>
      </c>
      <c r="AO4007" s="162" t="s">
        <v>14570</v>
      </c>
    </row>
    <row r="4008" spans="1:41" s="162" customFormat="1" x14ac:dyDescent="0.3">
      <c r="A4008" s="205" t="s">
        <v>8321</v>
      </c>
      <c r="B4008" s="162" t="s">
        <v>8322</v>
      </c>
      <c r="C4008" s="168" t="s">
        <v>13469</v>
      </c>
      <c r="D4008" s="162" t="s">
        <v>13470</v>
      </c>
      <c r="E4008" s="406" t="s">
        <v>13471</v>
      </c>
      <c r="F4008" s="162" t="s">
        <v>13472</v>
      </c>
      <c r="G4008" s="406">
        <v>163303</v>
      </c>
      <c r="H4008" s="162" t="s">
        <v>14776</v>
      </c>
      <c r="K4008" s="406">
        <v>16330108</v>
      </c>
      <c r="L4008" s="162" t="s">
        <v>14779</v>
      </c>
      <c r="M4008" s="162" t="s">
        <v>14782</v>
      </c>
      <c r="N4008" s="162">
        <v>2500</v>
      </c>
      <c r="O4008" s="224">
        <v>2000</v>
      </c>
      <c r="P4008" s="224">
        <v>2000</v>
      </c>
      <c r="Q4008" s="224">
        <v>2000</v>
      </c>
      <c r="R4008" s="224">
        <v>2000</v>
      </c>
      <c r="S4008" s="224">
        <v>2000</v>
      </c>
      <c r="T4008" s="223" t="s">
        <v>14567</v>
      </c>
      <c r="U4008" t="str">
        <f>VLOOKUP(T4008,[8]Votes!$A$1:$E$234,3,FALSE)</f>
        <v>106 Uganda Human Rights Commission</v>
      </c>
      <c r="V4008" s="162" t="s">
        <v>14783</v>
      </c>
      <c r="W4008" s="501">
        <v>1</v>
      </c>
      <c r="X4008" s="501">
        <v>1</v>
      </c>
      <c r="Y4008" s="501">
        <v>1</v>
      </c>
      <c r="Z4008" s="501">
        <v>1</v>
      </c>
      <c r="AA4008" s="501">
        <v>1</v>
      </c>
      <c r="AB4008" s="501">
        <v>1</v>
      </c>
      <c r="AC4008" s="150">
        <v>1</v>
      </c>
      <c r="AD4008" s="150">
        <v>0</v>
      </c>
      <c r="AE4008" s="49">
        <f t="shared" si="146"/>
        <v>0.875</v>
      </c>
      <c r="AF4008" s="360"/>
      <c r="AG4008" s="17">
        <v>0</v>
      </c>
      <c r="AH4008" s="360">
        <v>0.7</v>
      </c>
      <c r="AI4008" s="360">
        <v>0.7</v>
      </c>
      <c r="AJ4008" s="360">
        <v>0.7</v>
      </c>
      <c r="AK4008" s="361">
        <v>0.4</v>
      </c>
      <c r="AL4008" s="361">
        <v>0.4</v>
      </c>
      <c r="AM4008" s="17">
        <f t="shared" si="147"/>
        <v>0.8</v>
      </c>
      <c r="AN4008" s="162" t="s">
        <v>14567</v>
      </c>
      <c r="AO4008" s="162" t="s">
        <v>14570</v>
      </c>
    </row>
    <row r="4009" spans="1:41" s="162" customFormat="1" x14ac:dyDescent="0.3">
      <c r="A4009" s="205" t="s">
        <v>8321</v>
      </c>
      <c r="B4009" s="162" t="s">
        <v>8322</v>
      </c>
      <c r="C4009" s="168" t="s">
        <v>13469</v>
      </c>
      <c r="D4009" s="162" t="s">
        <v>13470</v>
      </c>
      <c r="E4009" s="406" t="s">
        <v>13471</v>
      </c>
      <c r="F4009" s="162" t="s">
        <v>13472</v>
      </c>
      <c r="G4009" s="406">
        <v>163303</v>
      </c>
      <c r="H4009" s="162" t="s">
        <v>14776</v>
      </c>
      <c r="K4009" s="406">
        <v>16330108</v>
      </c>
      <c r="L4009" s="162" t="s">
        <v>14779</v>
      </c>
      <c r="M4009" s="162" t="s">
        <v>14784</v>
      </c>
      <c r="N4009" s="162">
        <v>0</v>
      </c>
      <c r="O4009" s="224">
        <v>150</v>
      </c>
      <c r="P4009" s="224">
        <v>200</v>
      </c>
      <c r="Q4009" s="224">
        <v>200</v>
      </c>
      <c r="R4009" s="224">
        <v>200</v>
      </c>
      <c r="S4009" s="224">
        <v>200</v>
      </c>
      <c r="T4009" s="223" t="s">
        <v>14567</v>
      </c>
      <c r="U4009" t="str">
        <f>VLOOKUP(T4009,[8]Votes!$A$1:$E$234,3,FALSE)</f>
        <v>106 Uganda Human Rights Commission</v>
      </c>
      <c r="V4009" s="162" t="s">
        <v>14785</v>
      </c>
      <c r="W4009" s="501">
        <v>1</v>
      </c>
      <c r="X4009" s="501">
        <v>1</v>
      </c>
      <c r="Y4009" s="501">
        <v>1</v>
      </c>
      <c r="Z4009" s="501">
        <v>1</v>
      </c>
      <c r="AA4009" s="501">
        <v>1</v>
      </c>
      <c r="AB4009" s="501">
        <v>1</v>
      </c>
      <c r="AC4009" s="150">
        <v>1</v>
      </c>
      <c r="AD4009" s="150">
        <v>0</v>
      </c>
      <c r="AE4009" s="49">
        <f t="shared" si="146"/>
        <v>0.875</v>
      </c>
      <c r="AF4009" s="360"/>
      <c r="AG4009" s="17">
        <v>0</v>
      </c>
      <c r="AH4009" s="360">
        <v>0.5</v>
      </c>
      <c r="AI4009" s="360">
        <v>0.5</v>
      </c>
      <c r="AJ4009" s="360">
        <v>0.5</v>
      </c>
      <c r="AK4009" s="361">
        <v>0.2</v>
      </c>
      <c r="AL4009" s="361">
        <v>0.2</v>
      </c>
      <c r="AM4009" s="17">
        <f t="shared" si="147"/>
        <v>0.4</v>
      </c>
      <c r="AN4009" s="162" t="s">
        <v>14567</v>
      </c>
      <c r="AO4009" s="162" t="s">
        <v>14570</v>
      </c>
    </row>
    <row r="4010" spans="1:41" s="162" customFormat="1" x14ac:dyDescent="0.3">
      <c r="A4010" s="205" t="s">
        <v>8321</v>
      </c>
      <c r="B4010" s="162" t="s">
        <v>8322</v>
      </c>
      <c r="C4010" s="168" t="s">
        <v>13469</v>
      </c>
      <c r="D4010" s="162" t="s">
        <v>13470</v>
      </c>
      <c r="E4010" s="406" t="s">
        <v>13471</v>
      </c>
      <c r="F4010" s="162" t="s">
        <v>13472</v>
      </c>
      <c r="G4010" s="406">
        <v>163303</v>
      </c>
      <c r="H4010" s="162" t="s">
        <v>14776</v>
      </c>
      <c r="K4010" s="406">
        <v>16330108</v>
      </c>
      <c r="L4010" s="162" t="s">
        <v>14779</v>
      </c>
      <c r="M4010" s="162" t="s">
        <v>14786</v>
      </c>
      <c r="N4010" s="162">
        <v>10</v>
      </c>
      <c r="O4010" s="224">
        <v>10</v>
      </c>
      <c r="P4010" s="224">
        <v>12</v>
      </c>
      <c r="Q4010" s="224">
        <v>13</v>
      </c>
      <c r="R4010" s="224">
        <v>14</v>
      </c>
      <c r="S4010" s="224">
        <v>14</v>
      </c>
      <c r="T4010" s="223" t="s">
        <v>14567</v>
      </c>
      <c r="U4010" t="str">
        <f>VLOOKUP(T4010,[8]Votes!$A$1:$E$234,3,FALSE)</f>
        <v>106 Uganda Human Rights Commission</v>
      </c>
      <c r="V4010" s="162" t="s">
        <v>14787</v>
      </c>
      <c r="W4010" s="501">
        <v>1</v>
      </c>
      <c r="X4010" s="501">
        <v>1</v>
      </c>
      <c r="Y4010" s="501">
        <v>1</v>
      </c>
      <c r="Z4010" s="501">
        <v>1</v>
      </c>
      <c r="AA4010" s="501">
        <v>1</v>
      </c>
      <c r="AB4010" s="501">
        <v>1</v>
      </c>
      <c r="AC4010" s="150">
        <v>1</v>
      </c>
      <c r="AD4010" s="150">
        <v>0</v>
      </c>
      <c r="AE4010" s="49">
        <f t="shared" si="146"/>
        <v>0.875</v>
      </c>
      <c r="AF4010" s="360"/>
      <c r="AG4010" s="17">
        <v>0</v>
      </c>
      <c r="AH4010" s="360">
        <v>0.2</v>
      </c>
      <c r="AI4010" s="360">
        <v>0.2</v>
      </c>
      <c r="AJ4010" s="360">
        <v>0.2</v>
      </c>
      <c r="AK4010" s="361">
        <v>0.2</v>
      </c>
      <c r="AL4010" s="361">
        <v>0.2</v>
      </c>
      <c r="AM4010" s="17">
        <f t="shared" si="147"/>
        <v>0.4</v>
      </c>
      <c r="AN4010" s="162" t="s">
        <v>14567</v>
      </c>
      <c r="AO4010" s="162" t="s">
        <v>14570</v>
      </c>
    </row>
    <row r="4011" spans="1:41" s="162" customFormat="1" x14ac:dyDescent="0.3">
      <c r="A4011" s="205" t="s">
        <v>8321</v>
      </c>
      <c r="B4011" s="162" t="s">
        <v>8322</v>
      </c>
      <c r="C4011" s="168" t="s">
        <v>13469</v>
      </c>
      <c r="D4011" s="162" t="s">
        <v>13470</v>
      </c>
      <c r="E4011" s="406" t="s">
        <v>13471</v>
      </c>
      <c r="F4011" s="162" t="s">
        <v>13472</v>
      </c>
      <c r="G4011" s="406">
        <v>163303</v>
      </c>
      <c r="H4011" s="162" t="s">
        <v>14776</v>
      </c>
      <c r="K4011" s="406">
        <v>16330108</v>
      </c>
      <c r="L4011" s="162" t="s">
        <v>14779</v>
      </c>
      <c r="M4011" s="162" t="s">
        <v>14788</v>
      </c>
      <c r="N4011" s="162">
        <v>250</v>
      </c>
      <c r="O4011" s="224">
        <v>3000</v>
      </c>
      <c r="P4011" s="224">
        <v>3000</v>
      </c>
      <c r="Q4011" s="224">
        <v>3000</v>
      </c>
      <c r="R4011" s="224">
        <v>3000</v>
      </c>
      <c r="S4011" s="224">
        <v>3000</v>
      </c>
      <c r="T4011" s="223" t="s">
        <v>14567</v>
      </c>
      <c r="U4011" t="str">
        <f>VLOOKUP(T4011,[8]Votes!$A$1:$E$234,3,FALSE)</f>
        <v>106 Uganda Human Rights Commission</v>
      </c>
      <c r="V4011" s="162" t="s">
        <v>14789</v>
      </c>
      <c r="W4011" s="501">
        <v>1</v>
      </c>
      <c r="X4011" s="501">
        <v>1</v>
      </c>
      <c r="Y4011" s="501">
        <v>1</v>
      </c>
      <c r="Z4011" s="501">
        <v>1</v>
      </c>
      <c r="AA4011" s="501">
        <v>1</v>
      </c>
      <c r="AB4011" s="501">
        <v>1</v>
      </c>
      <c r="AC4011" s="150">
        <v>1</v>
      </c>
      <c r="AD4011" s="150">
        <v>0</v>
      </c>
      <c r="AE4011" s="49">
        <f t="shared" si="146"/>
        <v>0.875</v>
      </c>
      <c r="AF4011" s="360"/>
      <c r="AG4011" s="17">
        <v>0</v>
      </c>
      <c r="AH4011" s="360">
        <v>0.3</v>
      </c>
      <c r="AI4011" s="360">
        <v>0.3</v>
      </c>
      <c r="AJ4011" s="360">
        <v>0.3</v>
      </c>
      <c r="AK4011" s="361">
        <v>0.1</v>
      </c>
      <c r="AL4011" s="361">
        <v>0.1</v>
      </c>
      <c r="AM4011" s="17">
        <f t="shared" si="147"/>
        <v>0.2</v>
      </c>
      <c r="AN4011" s="162" t="s">
        <v>14567</v>
      </c>
      <c r="AO4011" s="162" t="s">
        <v>14570</v>
      </c>
    </row>
    <row r="4012" spans="1:41" s="162" customFormat="1" x14ac:dyDescent="0.3">
      <c r="A4012" s="205" t="s">
        <v>8321</v>
      </c>
      <c r="B4012" s="162" t="s">
        <v>8322</v>
      </c>
      <c r="C4012" s="168" t="s">
        <v>13469</v>
      </c>
      <c r="D4012" s="162" t="s">
        <v>13470</v>
      </c>
      <c r="E4012" s="406" t="s">
        <v>13471</v>
      </c>
      <c r="F4012" s="162" t="s">
        <v>13472</v>
      </c>
      <c r="G4012" s="406">
        <v>163303</v>
      </c>
      <c r="H4012" s="162" t="s">
        <v>14776</v>
      </c>
      <c r="K4012" s="406">
        <v>16330108</v>
      </c>
      <c r="L4012" s="162" t="s">
        <v>14779</v>
      </c>
      <c r="M4012" s="162" t="s">
        <v>14790</v>
      </c>
      <c r="N4012" s="162">
        <v>250</v>
      </c>
      <c r="O4012" s="224">
        <v>200</v>
      </c>
      <c r="P4012" s="224">
        <v>200</v>
      </c>
      <c r="Q4012" s="224">
        <v>200</v>
      </c>
      <c r="R4012" s="224">
        <v>200</v>
      </c>
      <c r="S4012" s="224">
        <v>200</v>
      </c>
      <c r="T4012" s="223" t="s">
        <v>14567</v>
      </c>
      <c r="U4012" t="str">
        <f>VLOOKUP(T4012,[8]Votes!$A$1:$E$234,3,FALSE)</f>
        <v>106 Uganda Human Rights Commission</v>
      </c>
      <c r="V4012" s="162" t="s">
        <v>14791</v>
      </c>
      <c r="W4012" s="501">
        <v>1</v>
      </c>
      <c r="X4012" s="501">
        <v>1</v>
      </c>
      <c r="Y4012" s="501">
        <v>1</v>
      </c>
      <c r="Z4012" s="501">
        <v>1</v>
      </c>
      <c r="AA4012" s="501">
        <v>1</v>
      </c>
      <c r="AB4012" s="501">
        <v>1</v>
      </c>
      <c r="AC4012" s="150">
        <v>1</v>
      </c>
      <c r="AD4012" s="150">
        <v>0</v>
      </c>
      <c r="AE4012" s="49">
        <f t="shared" si="146"/>
        <v>0.875</v>
      </c>
      <c r="AF4012" s="360"/>
      <c r="AG4012" s="17">
        <v>0</v>
      </c>
      <c r="AH4012" s="360">
        <v>0.5</v>
      </c>
      <c r="AI4012" s="360">
        <v>0.5</v>
      </c>
      <c r="AJ4012" s="360">
        <v>0.5</v>
      </c>
      <c r="AK4012" s="361">
        <v>0.5</v>
      </c>
      <c r="AL4012" s="361">
        <v>0.5</v>
      </c>
      <c r="AM4012" s="17">
        <f t="shared" si="147"/>
        <v>1</v>
      </c>
      <c r="AN4012" s="162" t="s">
        <v>14567</v>
      </c>
      <c r="AO4012" s="162" t="s">
        <v>14570</v>
      </c>
    </row>
    <row r="4013" spans="1:41" s="162" customFormat="1" x14ac:dyDescent="0.3">
      <c r="A4013" s="205" t="s">
        <v>8321</v>
      </c>
      <c r="B4013" s="162" t="s">
        <v>8322</v>
      </c>
      <c r="C4013" s="168" t="s">
        <v>13469</v>
      </c>
      <c r="D4013" s="162" t="s">
        <v>13470</v>
      </c>
      <c r="E4013" s="406" t="s">
        <v>13471</v>
      </c>
      <c r="F4013" s="162" t="s">
        <v>13472</v>
      </c>
      <c r="G4013" s="406">
        <v>163303</v>
      </c>
      <c r="H4013" s="162" t="s">
        <v>14776</v>
      </c>
      <c r="K4013" s="406">
        <v>16330109</v>
      </c>
      <c r="L4013" s="162" t="s">
        <v>14786</v>
      </c>
      <c r="M4013" s="162" t="s">
        <v>14792</v>
      </c>
      <c r="O4013" s="224">
        <v>50</v>
      </c>
      <c r="P4013" s="224">
        <v>50</v>
      </c>
      <c r="Q4013" s="224">
        <v>50</v>
      </c>
      <c r="R4013" s="224">
        <v>50</v>
      </c>
      <c r="S4013" s="224">
        <v>50</v>
      </c>
      <c r="T4013" s="223" t="s">
        <v>14567</v>
      </c>
      <c r="U4013" t="str">
        <f>VLOOKUP(T4013,[8]Votes!$A$1:$E$234,3,FALSE)</f>
        <v>106 Uganda Human Rights Commission</v>
      </c>
      <c r="V4013" s="162" t="s">
        <v>14793</v>
      </c>
      <c r="W4013" s="501">
        <v>1</v>
      </c>
      <c r="X4013" s="501">
        <v>1</v>
      </c>
      <c r="Y4013" s="501">
        <v>1</v>
      </c>
      <c r="Z4013" s="501">
        <v>1</v>
      </c>
      <c r="AA4013" s="501">
        <v>1</v>
      </c>
      <c r="AB4013" s="501">
        <v>1</v>
      </c>
      <c r="AC4013" s="150">
        <v>1</v>
      </c>
      <c r="AD4013" s="150">
        <v>0</v>
      </c>
      <c r="AE4013" s="49">
        <f t="shared" si="146"/>
        <v>0.875</v>
      </c>
      <c r="AF4013" s="360"/>
      <c r="AG4013" s="17">
        <v>0</v>
      </c>
      <c r="AH4013" s="360">
        <v>0.08</v>
      </c>
      <c r="AI4013" s="360">
        <v>0.08</v>
      </c>
      <c r="AJ4013" s="360">
        <v>0.08</v>
      </c>
      <c r="AK4013" s="527">
        <v>0.1</v>
      </c>
      <c r="AL4013" s="361">
        <v>0.08</v>
      </c>
      <c r="AM4013" s="17">
        <f t="shared" si="147"/>
        <v>0.18</v>
      </c>
      <c r="AN4013" s="162" t="s">
        <v>14567</v>
      </c>
      <c r="AO4013" s="162" t="s">
        <v>14570</v>
      </c>
    </row>
    <row r="4014" spans="1:41" s="162" customFormat="1" x14ac:dyDescent="0.3">
      <c r="A4014" s="205" t="s">
        <v>8321</v>
      </c>
      <c r="B4014" s="162" t="s">
        <v>8322</v>
      </c>
      <c r="C4014" s="168" t="s">
        <v>13469</v>
      </c>
      <c r="D4014" s="162" t="s">
        <v>13470</v>
      </c>
      <c r="E4014" s="406" t="s">
        <v>13471</v>
      </c>
      <c r="F4014" s="162" t="s">
        <v>13472</v>
      </c>
      <c r="G4014" s="406">
        <v>163303</v>
      </c>
      <c r="H4014" s="162" t="s">
        <v>14776</v>
      </c>
      <c r="K4014" s="406">
        <v>16330110</v>
      </c>
      <c r="L4014" s="162" t="s">
        <v>14794</v>
      </c>
      <c r="M4014" s="162" t="s">
        <v>14795</v>
      </c>
      <c r="N4014" s="162">
        <v>0</v>
      </c>
      <c r="O4014" s="224">
        <v>0</v>
      </c>
      <c r="P4014" s="224">
        <v>1</v>
      </c>
      <c r="Q4014" s="224">
        <v>0</v>
      </c>
      <c r="R4014" s="224">
        <v>0</v>
      </c>
      <c r="S4014" s="224">
        <v>0</v>
      </c>
      <c r="T4014" s="223" t="s">
        <v>14567</v>
      </c>
      <c r="U4014" t="str">
        <f>VLOOKUP(T4014,[8]Votes!$A$1:$E$234,3,FALSE)</f>
        <v>106 Uganda Human Rights Commission</v>
      </c>
      <c r="V4014" s="162" t="s">
        <v>14796</v>
      </c>
      <c r="W4014" s="501">
        <v>1</v>
      </c>
      <c r="X4014" s="501">
        <v>1</v>
      </c>
      <c r="Y4014" s="501">
        <v>1</v>
      </c>
      <c r="Z4014" s="501">
        <v>1</v>
      </c>
      <c r="AA4014" s="501">
        <v>1</v>
      </c>
      <c r="AB4014" s="501">
        <v>1</v>
      </c>
      <c r="AC4014" s="150">
        <v>1</v>
      </c>
      <c r="AD4014" s="150">
        <v>0</v>
      </c>
      <c r="AE4014" s="49">
        <f t="shared" si="146"/>
        <v>0.875</v>
      </c>
      <c r="AF4014" s="190"/>
      <c r="AG4014" s="17">
        <v>0</v>
      </c>
      <c r="AH4014" s="190">
        <v>0</v>
      </c>
      <c r="AI4014" s="360">
        <v>0.05</v>
      </c>
      <c r="AJ4014" s="190">
        <v>0</v>
      </c>
      <c r="AK4014" s="191">
        <v>0.03</v>
      </c>
      <c r="AL4014" s="191">
        <v>0.03</v>
      </c>
      <c r="AM4014" s="17">
        <f t="shared" si="147"/>
        <v>0.06</v>
      </c>
      <c r="AN4014" s="162" t="s">
        <v>14567</v>
      </c>
      <c r="AO4014" s="162" t="s">
        <v>14570</v>
      </c>
    </row>
    <row r="4015" spans="1:41" s="162" customFormat="1" x14ac:dyDescent="0.3">
      <c r="A4015" s="205" t="s">
        <v>8321</v>
      </c>
      <c r="B4015" s="162" t="s">
        <v>8322</v>
      </c>
      <c r="C4015" s="168" t="s">
        <v>13469</v>
      </c>
      <c r="D4015" s="162" t="s">
        <v>13470</v>
      </c>
      <c r="E4015" s="406" t="s">
        <v>13471</v>
      </c>
      <c r="F4015" s="162" t="s">
        <v>13472</v>
      </c>
      <c r="G4015" s="406">
        <v>163303</v>
      </c>
      <c r="H4015" s="162" t="s">
        <v>14776</v>
      </c>
      <c r="K4015" s="406">
        <v>16330111</v>
      </c>
      <c r="L4015" s="162" t="s">
        <v>14797</v>
      </c>
      <c r="M4015" s="162" t="s">
        <v>14798</v>
      </c>
      <c r="O4015" s="224">
        <v>4</v>
      </c>
      <c r="P4015" s="224">
        <v>4</v>
      </c>
      <c r="Q4015" s="224">
        <v>4</v>
      </c>
      <c r="R4015" s="224">
        <v>4</v>
      </c>
      <c r="S4015" s="224">
        <v>4</v>
      </c>
      <c r="T4015" s="223" t="s">
        <v>1233</v>
      </c>
      <c r="U4015" t="str">
        <f>VLOOKUP(T4015,[8]Votes!$A$1:$E$234,3,FALSE)</f>
        <v>006 Ministry of Foreign Affairs</v>
      </c>
      <c r="V4015" s="162" t="s">
        <v>14799</v>
      </c>
      <c r="W4015" s="501">
        <v>1</v>
      </c>
      <c r="X4015" s="501">
        <v>1</v>
      </c>
      <c r="Y4015" s="501">
        <v>0</v>
      </c>
      <c r="Z4015" s="501">
        <v>1</v>
      </c>
      <c r="AA4015" s="501">
        <v>1</v>
      </c>
      <c r="AB4015" s="501">
        <v>0</v>
      </c>
      <c r="AC4015" s="150">
        <v>1</v>
      </c>
      <c r="AD4015" s="150">
        <v>0</v>
      </c>
      <c r="AE4015" s="49">
        <f t="shared" si="146"/>
        <v>0.625</v>
      </c>
      <c r="AF4015" s="360"/>
      <c r="AG4015" s="17">
        <v>0</v>
      </c>
      <c r="AH4015" s="360">
        <v>0.2</v>
      </c>
      <c r="AI4015" s="360">
        <v>0.2</v>
      </c>
      <c r="AJ4015" s="360">
        <v>0.2</v>
      </c>
      <c r="AK4015" s="361">
        <v>0.2</v>
      </c>
      <c r="AL4015" s="361">
        <v>0.2</v>
      </c>
      <c r="AM4015" s="17">
        <f t="shared" si="147"/>
        <v>0.4</v>
      </c>
      <c r="AN4015" s="162" t="s">
        <v>1233</v>
      </c>
      <c r="AO4015" s="162" t="s">
        <v>1650</v>
      </c>
    </row>
    <row r="4016" spans="1:41" s="162" customFormat="1" x14ac:dyDescent="0.3">
      <c r="A4016" s="205" t="s">
        <v>8321</v>
      </c>
      <c r="B4016" s="162" t="s">
        <v>8322</v>
      </c>
      <c r="C4016" s="168" t="s">
        <v>13469</v>
      </c>
      <c r="D4016" s="162" t="s">
        <v>13470</v>
      </c>
      <c r="E4016" s="406" t="s">
        <v>13471</v>
      </c>
      <c r="F4016" s="162" t="s">
        <v>13472</v>
      </c>
      <c r="G4016" s="406">
        <v>163303</v>
      </c>
      <c r="H4016" s="162" t="s">
        <v>14776</v>
      </c>
      <c r="K4016" s="406">
        <v>16330112</v>
      </c>
      <c r="L4016" s="162" t="s">
        <v>14800</v>
      </c>
      <c r="M4016" s="162" t="s">
        <v>14801</v>
      </c>
      <c r="N4016" s="162">
        <v>12</v>
      </c>
      <c r="O4016" s="224">
        <v>15</v>
      </c>
      <c r="P4016" s="224">
        <v>15</v>
      </c>
      <c r="Q4016" s="224">
        <v>15</v>
      </c>
      <c r="R4016" s="224">
        <v>15</v>
      </c>
      <c r="S4016" s="224">
        <v>15</v>
      </c>
      <c r="T4016" s="223" t="s">
        <v>14567</v>
      </c>
      <c r="U4016" t="str">
        <f>VLOOKUP(T4016,[8]Votes!$A$1:$E$234,3,FALSE)</f>
        <v>106 Uganda Human Rights Commission</v>
      </c>
      <c r="V4016" s="162" t="s">
        <v>14802</v>
      </c>
      <c r="W4016" s="501">
        <v>1</v>
      </c>
      <c r="X4016" s="501">
        <v>1</v>
      </c>
      <c r="Y4016" s="501">
        <v>1</v>
      </c>
      <c r="Z4016" s="501">
        <v>1</v>
      </c>
      <c r="AA4016" s="501">
        <v>1</v>
      </c>
      <c r="AB4016" s="501">
        <v>1</v>
      </c>
      <c r="AC4016" s="150">
        <v>1</v>
      </c>
      <c r="AD4016" s="150">
        <v>0</v>
      </c>
      <c r="AE4016" s="49">
        <f t="shared" si="146"/>
        <v>0.875</v>
      </c>
      <c r="AF4016" s="360"/>
      <c r="AG4016" s="17">
        <v>0</v>
      </c>
      <c r="AH4016" s="360">
        <v>0.03</v>
      </c>
      <c r="AI4016" s="360">
        <v>0.03</v>
      </c>
      <c r="AJ4016" s="360">
        <v>0.03</v>
      </c>
      <c r="AK4016" s="361">
        <v>0.03</v>
      </c>
      <c r="AL4016" s="361">
        <v>0.03</v>
      </c>
      <c r="AM4016" s="17">
        <f t="shared" si="147"/>
        <v>0.06</v>
      </c>
      <c r="AN4016" s="162" t="s">
        <v>14567</v>
      </c>
      <c r="AO4016" s="162" t="s">
        <v>14570</v>
      </c>
    </row>
    <row r="4017" spans="1:41" s="162" customFormat="1" x14ac:dyDescent="0.3">
      <c r="A4017" s="205" t="s">
        <v>8321</v>
      </c>
      <c r="B4017" s="162" t="s">
        <v>8322</v>
      </c>
      <c r="C4017" s="168" t="s">
        <v>13497</v>
      </c>
      <c r="D4017" s="162" t="s">
        <v>13498</v>
      </c>
      <c r="E4017" s="168" t="s">
        <v>13499</v>
      </c>
      <c r="F4017" s="162" t="s">
        <v>13500</v>
      </c>
      <c r="G4017" s="168">
        <v>164401</v>
      </c>
      <c r="H4017" s="168" t="s">
        <v>13501</v>
      </c>
      <c r="K4017" s="168">
        <v>16440102</v>
      </c>
      <c r="L4017" s="162" t="s">
        <v>14803</v>
      </c>
      <c r="M4017" s="162" t="s">
        <v>14804</v>
      </c>
      <c r="O4017" s="528"/>
      <c r="P4017" s="528"/>
      <c r="Q4017" s="528"/>
      <c r="R4017" s="528"/>
      <c r="S4017" s="528"/>
      <c r="T4017" s="223" t="s">
        <v>1167</v>
      </c>
      <c r="U4017" t="str">
        <f>VLOOKUP(T4017,[8]Votes!$A$1:$E$234,3,FALSE)</f>
        <v>003 Office of the Prime Minister</v>
      </c>
      <c r="V4017" s="162" t="s">
        <v>14805</v>
      </c>
      <c r="W4017" s="501">
        <v>1</v>
      </c>
      <c r="X4017" s="501">
        <v>0</v>
      </c>
      <c r="Y4017" s="501">
        <v>0</v>
      </c>
      <c r="Z4017" s="501">
        <v>1</v>
      </c>
      <c r="AA4017" s="501">
        <v>1</v>
      </c>
      <c r="AB4017" s="501">
        <v>0</v>
      </c>
      <c r="AC4017" s="150">
        <v>0</v>
      </c>
      <c r="AD4017" s="150">
        <v>0</v>
      </c>
      <c r="AE4017" s="49">
        <f t="shared" si="146"/>
        <v>0.375</v>
      </c>
      <c r="AF4017" s="190">
        <v>0</v>
      </c>
      <c r="AG4017" s="17">
        <v>0</v>
      </c>
      <c r="AH4017" s="190">
        <v>0</v>
      </c>
      <c r="AI4017" s="190">
        <v>0</v>
      </c>
      <c r="AJ4017" s="190">
        <v>0</v>
      </c>
      <c r="AK4017" s="191">
        <v>0</v>
      </c>
      <c r="AL4017" s="191">
        <v>0</v>
      </c>
      <c r="AM4017" s="17">
        <f t="shared" si="147"/>
        <v>0</v>
      </c>
      <c r="AN4017" s="162" t="s">
        <v>1167</v>
      </c>
      <c r="AO4017" s="162" t="s">
        <v>1170</v>
      </c>
    </row>
    <row r="4018" spans="1:41" s="162" customFormat="1" x14ac:dyDescent="0.3">
      <c r="A4018" s="205" t="s">
        <v>8321</v>
      </c>
      <c r="B4018" s="162" t="s">
        <v>8322</v>
      </c>
      <c r="C4018" s="168" t="s">
        <v>13497</v>
      </c>
      <c r="D4018" s="162" t="s">
        <v>13498</v>
      </c>
      <c r="E4018" s="168" t="s">
        <v>13499</v>
      </c>
      <c r="F4018" s="162" t="s">
        <v>13500</v>
      </c>
      <c r="G4018" s="168">
        <v>164401</v>
      </c>
      <c r="H4018" s="168" t="s">
        <v>13501</v>
      </c>
      <c r="K4018" s="168">
        <v>16440103</v>
      </c>
      <c r="L4018" s="162" t="s">
        <v>14806</v>
      </c>
      <c r="M4018" s="162" t="s">
        <v>14807</v>
      </c>
      <c r="O4018" s="224">
        <v>120</v>
      </c>
      <c r="P4018" s="224">
        <v>120</v>
      </c>
      <c r="Q4018" s="224">
        <v>120</v>
      </c>
      <c r="R4018" s="224">
        <v>120</v>
      </c>
      <c r="S4018" s="224">
        <v>120</v>
      </c>
      <c r="T4018" s="223" t="s">
        <v>13755</v>
      </c>
      <c r="U4018" t="str">
        <f>VLOOKUP(T4018,[8]Votes!$A$1:$E$234,3,FALSE)</f>
        <v>159 External Security Organisation</v>
      </c>
      <c r="V4018" s="162" t="s">
        <v>14808</v>
      </c>
      <c r="W4018" s="501">
        <v>1</v>
      </c>
      <c r="X4018" s="501">
        <v>0</v>
      </c>
      <c r="Y4018" s="501">
        <v>1</v>
      </c>
      <c r="Z4018" s="501">
        <v>1</v>
      </c>
      <c r="AA4018" s="501">
        <v>1</v>
      </c>
      <c r="AB4018" s="501">
        <v>0</v>
      </c>
      <c r="AC4018" s="150">
        <v>1</v>
      </c>
      <c r="AD4018" s="150">
        <v>1</v>
      </c>
      <c r="AE4018" s="49">
        <f t="shared" si="146"/>
        <v>0.75</v>
      </c>
      <c r="AF4018" s="485">
        <v>0</v>
      </c>
      <c r="AG4018" s="17">
        <v>0</v>
      </c>
      <c r="AH4018" s="485">
        <v>9.4E-2</v>
      </c>
      <c r="AI4018" s="485">
        <v>0.15</v>
      </c>
      <c r="AJ4018" s="485">
        <v>0.18</v>
      </c>
      <c r="AK4018" s="493">
        <v>0.21</v>
      </c>
      <c r="AL4018" s="493">
        <v>0.25</v>
      </c>
      <c r="AM4018" s="17">
        <f t="shared" si="147"/>
        <v>0.45999999999999996</v>
      </c>
      <c r="AN4018" s="162" t="s">
        <v>13755</v>
      </c>
      <c r="AO4018" s="162" t="s">
        <v>13757</v>
      </c>
    </row>
    <row r="4019" spans="1:41" s="162" customFormat="1" x14ac:dyDescent="0.3">
      <c r="A4019" s="205" t="s">
        <v>8321</v>
      </c>
      <c r="B4019" s="162" t="s">
        <v>8322</v>
      </c>
      <c r="C4019" s="168" t="s">
        <v>13497</v>
      </c>
      <c r="D4019" s="162" t="s">
        <v>13498</v>
      </c>
      <c r="E4019" s="168" t="s">
        <v>13499</v>
      </c>
      <c r="F4019" s="162" t="s">
        <v>13500</v>
      </c>
      <c r="G4019" s="168">
        <v>164401</v>
      </c>
      <c r="H4019" s="168" t="s">
        <v>13501</v>
      </c>
      <c r="K4019" s="168">
        <v>16440102</v>
      </c>
      <c r="L4019" s="162" t="s">
        <v>14803</v>
      </c>
      <c r="M4019" s="162" t="s">
        <v>14809</v>
      </c>
      <c r="O4019" s="224">
        <v>1</v>
      </c>
      <c r="P4019" s="224">
        <v>1</v>
      </c>
      <c r="Q4019" s="224"/>
      <c r="R4019" s="224"/>
      <c r="S4019" s="224"/>
      <c r="T4019" s="223" t="s">
        <v>1167</v>
      </c>
      <c r="U4019" t="str">
        <f>VLOOKUP(T4019,[8]Votes!$A$1:$E$234,3,FALSE)</f>
        <v>003 Office of the Prime Minister</v>
      </c>
      <c r="V4019" s="162" t="s">
        <v>14810</v>
      </c>
      <c r="W4019" s="501">
        <v>1</v>
      </c>
      <c r="X4019" s="501">
        <v>0</v>
      </c>
      <c r="Y4019" s="501">
        <v>0</v>
      </c>
      <c r="Z4019" s="501">
        <v>1</v>
      </c>
      <c r="AA4019" s="501">
        <v>1</v>
      </c>
      <c r="AB4019" s="501">
        <v>0</v>
      </c>
      <c r="AC4019" s="150">
        <v>0</v>
      </c>
      <c r="AD4019" s="150">
        <v>0</v>
      </c>
      <c r="AE4019" s="49">
        <f t="shared" si="146"/>
        <v>0.375</v>
      </c>
      <c r="AF4019" s="485">
        <v>0</v>
      </c>
      <c r="AG4019" s="17">
        <v>0</v>
      </c>
      <c r="AH4019" s="485">
        <v>200</v>
      </c>
      <c r="AI4019" s="485">
        <v>600</v>
      </c>
      <c r="AJ4019" s="190">
        <v>0</v>
      </c>
      <c r="AK4019" s="191">
        <v>0</v>
      </c>
      <c r="AL4019" s="191">
        <v>0</v>
      </c>
      <c r="AM4019" s="17">
        <f t="shared" si="147"/>
        <v>0</v>
      </c>
      <c r="AN4019" s="162" t="s">
        <v>1167</v>
      </c>
      <c r="AO4019" s="162" t="s">
        <v>1170</v>
      </c>
    </row>
    <row r="4020" spans="1:41" s="162" customFormat="1" x14ac:dyDescent="0.3">
      <c r="A4020" s="205" t="s">
        <v>8321</v>
      </c>
      <c r="B4020" s="162" t="s">
        <v>8322</v>
      </c>
      <c r="C4020" s="168" t="s">
        <v>13505</v>
      </c>
      <c r="D4020" s="162" t="s">
        <v>13506</v>
      </c>
      <c r="E4020" s="168" t="s">
        <v>13507</v>
      </c>
      <c r="F4020" s="162" t="s">
        <v>13508</v>
      </c>
      <c r="G4020" s="168">
        <v>165503</v>
      </c>
      <c r="H4020" s="162" t="s">
        <v>14811</v>
      </c>
      <c r="K4020" s="168" t="s">
        <v>14812</v>
      </c>
      <c r="L4020" s="162" t="s">
        <v>13510</v>
      </c>
      <c r="M4020" s="162" t="s">
        <v>14813</v>
      </c>
      <c r="O4020" s="224">
        <v>1</v>
      </c>
      <c r="P4020" s="224">
        <v>0.12</v>
      </c>
      <c r="Q4020" s="224">
        <v>1</v>
      </c>
      <c r="R4020" s="224">
        <v>1</v>
      </c>
      <c r="S4020" s="224">
        <v>1</v>
      </c>
      <c r="T4020" s="223" t="s">
        <v>3875</v>
      </c>
      <c r="U4020" t="str">
        <f>VLOOKUP(T4020,[8]Votes!$A$1:$E$234,3,FALSE)</f>
        <v>007 Ministry of Justice and Constitutional Affairs</v>
      </c>
      <c r="V4020" s="162" t="s">
        <v>14814</v>
      </c>
      <c r="W4020" s="416">
        <v>0</v>
      </c>
      <c r="X4020" s="416">
        <v>0</v>
      </c>
      <c r="Y4020" s="416">
        <v>0</v>
      </c>
      <c r="Z4020" s="416">
        <v>1</v>
      </c>
      <c r="AA4020" s="416">
        <v>0</v>
      </c>
      <c r="AB4020" s="416">
        <v>0</v>
      </c>
      <c r="AC4020" s="150">
        <v>0</v>
      </c>
      <c r="AD4020" s="150">
        <v>0</v>
      </c>
      <c r="AE4020" s="49">
        <f t="shared" si="146"/>
        <v>0.125</v>
      </c>
      <c r="AF4020" s="485">
        <v>0</v>
      </c>
      <c r="AG4020" s="17">
        <v>0</v>
      </c>
      <c r="AH4020" s="485">
        <v>0.1</v>
      </c>
      <c r="AI4020" s="485">
        <v>0.13</v>
      </c>
      <c r="AJ4020" s="485">
        <v>0.14000000000000001</v>
      </c>
      <c r="AK4020" s="493">
        <v>0</v>
      </c>
      <c r="AL4020" s="493">
        <v>0</v>
      </c>
      <c r="AM4020" s="17">
        <f t="shared" si="147"/>
        <v>0</v>
      </c>
      <c r="AN4020" s="223" t="s">
        <v>3875</v>
      </c>
      <c r="AO4020" s="162" t="s">
        <v>3877</v>
      </c>
    </row>
    <row r="4021" spans="1:41" s="162" customFormat="1" x14ac:dyDescent="0.3">
      <c r="A4021" s="205" t="s">
        <v>8321</v>
      </c>
      <c r="B4021" s="162" t="s">
        <v>8322</v>
      </c>
      <c r="C4021" s="168" t="s">
        <v>13505</v>
      </c>
      <c r="D4021" s="162" t="s">
        <v>13506</v>
      </c>
      <c r="E4021" s="168" t="s">
        <v>13507</v>
      </c>
      <c r="F4021" s="162" t="s">
        <v>13508</v>
      </c>
      <c r="G4021" s="168">
        <v>165503</v>
      </c>
      <c r="H4021" s="162" t="s">
        <v>14811</v>
      </c>
      <c r="K4021" s="168" t="s">
        <v>14812</v>
      </c>
      <c r="L4021" s="162" t="s">
        <v>13510</v>
      </c>
      <c r="M4021" s="162" t="s">
        <v>14815</v>
      </c>
      <c r="O4021" s="224"/>
      <c r="P4021" s="224">
        <v>0.75</v>
      </c>
      <c r="Q4021" s="224">
        <v>0.12</v>
      </c>
      <c r="R4021" s="224">
        <v>0.3</v>
      </c>
      <c r="S4021" s="224">
        <v>0.15</v>
      </c>
      <c r="T4021" s="223" t="s">
        <v>3875</v>
      </c>
      <c r="U4021" t="str">
        <f>VLOOKUP(T4021,[8]Votes!$A$1:$E$234,3,FALSE)</f>
        <v>007 Ministry of Justice and Constitutional Affairs</v>
      </c>
      <c r="V4021" s="162" t="s">
        <v>14816</v>
      </c>
      <c r="W4021" s="416">
        <v>0</v>
      </c>
      <c r="X4021" s="416">
        <v>0</v>
      </c>
      <c r="Y4021" s="416">
        <v>0</v>
      </c>
      <c r="Z4021" s="416">
        <v>1</v>
      </c>
      <c r="AA4021" s="416">
        <v>0</v>
      </c>
      <c r="AB4021" s="416">
        <v>0</v>
      </c>
      <c r="AC4021" s="150">
        <v>0</v>
      </c>
      <c r="AD4021" s="150">
        <v>0</v>
      </c>
      <c r="AE4021" s="49">
        <f t="shared" si="146"/>
        <v>0.125</v>
      </c>
      <c r="AF4021" s="485">
        <v>0</v>
      </c>
      <c r="AG4021" s="17">
        <v>0</v>
      </c>
      <c r="AH4021" s="485">
        <v>0.1</v>
      </c>
      <c r="AI4021" s="485">
        <v>0.3</v>
      </c>
      <c r="AJ4021" s="485">
        <v>0.6</v>
      </c>
      <c r="AK4021" s="493">
        <v>0.3</v>
      </c>
      <c r="AL4021" s="191">
        <v>0</v>
      </c>
      <c r="AM4021" s="17">
        <f t="shared" si="147"/>
        <v>0.3</v>
      </c>
      <c r="AN4021" s="223" t="s">
        <v>3875</v>
      </c>
      <c r="AO4021" s="162" t="s">
        <v>3877</v>
      </c>
    </row>
    <row r="4022" spans="1:41" s="162" customFormat="1" x14ac:dyDescent="0.3">
      <c r="A4022" s="205" t="s">
        <v>8321</v>
      </c>
      <c r="B4022" s="162" t="s">
        <v>8322</v>
      </c>
      <c r="C4022" s="168" t="s">
        <v>13505</v>
      </c>
      <c r="D4022" s="162" t="s">
        <v>13506</v>
      </c>
      <c r="E4022" s="168" t="s">
        <v>13507</v>
      </c>
      <c r="F4022" s="162" t="s">
        <v>13508</v>
      </c>
      <c r="G4022" s="168">
        <v>165503</v>
      </c>
      <c r="H4022" s="162" t="s">
        <v>14811</v>
      </c>
      <c r="K4022" s="168" t="s">
        <v>14812</v>
      </c>
      <c r="L4022" s="162" t="s">
        <v>13510</v>
      </c>
      <c r="M4022" s="162" t="s">
        <v>14815</v>
      </c>
      <c r="O4022" s="224"/>
      <c r="P4022" s="224"/>
      <c r="Q4022" s="224"/>
      <c r="R4022" s="224"/>
      <c r="S4022" s="224"/>
      <c r="T4022" s="223" t="s">
        <v>1446</v>
      </c>
      <c r="U4022" t="str">
        <f>VLOOKUP(T4022,[8]Votes!$A$1:$E$234,3,FALSE)</f>
        <v>141 Uganda Revenue Authority</v>
      </c>
      <c r="V4022" s="162" t="s">
        <v>14817</v>
      </c>
      <c r="W4022" s="416">
        <v>1</v>
      </c>
      <c r="X4022" s="416">
        <v>1</v>
      </c>
      <c r="Y4022" s="416">
        <v>0</v>
      </c>
      <c r="Z4022" s="416">
        <v>1</v>
      </c>
      <c r="AA4022" s="416">
        <v>0</v>
      </c>
      <c r="AB4022" s="416">
        <v>0</v>
      </c>
      <c r="AC4022" s="150">
        <v>0</v>
      </c>
      <c r="AD4022" s="150">
        <v>1</v>
      </c>
      <c r="AE4022" s="49">
        <f t="shared" si="146"/>
        <v>0.5</v>
      </c>
      <c r="AF4022" s="485">
        <v>0</v>
      </c>
      <c r="AG4022" s="17">
        <v>0</v>
      </c>
      <c r="AH4022" s="190">
        <v>0</v>
      </c>
      <c r="AI4022" s="485">
        <v>2.7</v>
      </c>
      <c r="AJ4022" s="485">
        <v>2.7</v>
      </c>
      <c r="AK4022" s="493">
        <v>0</v>
      </c>
      <c r="AL4022" s="493">
        <v>0</v>
      </c>
      <c r="AM4022" s="17">
        <f t="shared" si="147"/>
        <v>0</v>
      </c>
      <c r="AN4022" s="162" t="s">
        <v>1446</v>
      </c>
      <c r="AO4022" s="162" t="s">
        <v>3715</v>
      </c>
    </row>
    <row r="4023" spans="1:41" s="168" customFormat="1" x14ac:dyDescent="0.3">
      <c r="A4023" s="205" t="s">
        <v>8321</v>
      </c>
      <c r="B4023" s="162" t="s">
        <v>8322</v>
      </c>
      <c r="C4023" s="168" t="s">
        <v>13505</v>
      </c>
      <c r="D4023" s="168" t="s">
        <v>13506</v>
      </c>
      <c r="E4023" s="168" t="s">
        <v>13507</v>
      </c>
      <c r="F4023" s="168" t="s">
        <v>13508</v>
      </c>
      <c r="G4023" s="168">
        <v>165504</v>
      </c>
      <c r="H4023" s="168" t="s">
        <v>14818</v>
      </c>
      <c r="K4023" s="168" t="s">
        <v>14819</v>
      </c>
      <c r="L4023" s="168" t="s">
        <v>14820</v>
      </c>
      <c r="M4023" s="168" t="s">
        <v>14821</v>
      </c>
      <c r="O4023" s="189"/>
      <c r="P4023" s="189" t="s">
        <v>14822</v>
      </c>
      <c r="Q4023" s="189" t="s">
        <v>14822</v>
      </c>
      <c r="R4023" s="189" t="s">
        <v>14822</v>
      </c>
      <c r="S4023" s="189" t="s">
        <v>14822</v>
      </c>
      <c r="T4023" s="184" t="s">
        <v>1345</v>
      </c>
      <c r="U4023" t="str">
        <f>VLOOKUP(T4023,[8]Votes!$A$1:$E$234,3,FALSE)</f>
        <v>001 Office of the President</v>
      </c>
      <c r="V4023" s="168" t="s">
        <v>14823</v>
      </c>
      <c r="W4023" s="416">
        <v>1</v>
      </c>
      <c r="X4023" s="416">
        <v>1</v>
      </c>
      <c r="Y4023" s="416">
        <v>1</v>
      </c>
      <c r="Z4023" s="416">
        <v>1</v>
      </c>
      <c r="AA4023" s="416">
        <v>1</v>
      </c>
      <c r="AB4023" s="416">
        <v>0</v>
      </c>
      <c r="AC4023" s="150">
        <v>1</v>
      </c>
      <c r="AD4023" s="150">
        <v>1</v>
      </c>
      <c r="AE4023" s="49">
        <f t="shared" si="146"/>
        <v>0.875</v>
      </c>
      <c r="AF4023" s="485">
        <v>1</v>
      </c>
      <c r="AG4023" s="17">
        <v>0</v>
      </c>
      <c r="AH4023" s="190">
        <v>0</v>
      </c>
      <c r="AI4023" s="190">
        <v>3.5</v>
      </c>
      <c r="AJ4023" s="190">
        <v>3.5</v>
      </c>
      <c r="AK4023" s="191">
        <v>3.5</v>
      </c>
      <c r="AL4023" s="191">
        <v>3.5</v>
      </c>
      <c r="AM4023" s="17">
        <f t="shared" si="147"/>
        <v>7</v>
      </c>
      <c r="AN4023" s="168" t="s">
        <v>1345</v>
      </c>
      <c r="AO4023" s="162" t="s">
        <v>1334</v>
      </c>
    </row>
    <row r="4024" spans="1:41" s="162" customFormat="1" x14ac:dyDescent="0.3">
      <c r="A4024" s="205" t="s">
        <v>8321</v>
      </c>
      <c r="B4024" s="162" t="s">
        <v>8322</v>
      </c>
      <c r="C4024" s="168" t="s">
        <v>13505</v>
      </c>
      <c r="D4024" s="162" t="s">
        <v>13506</v>
      </c>
      <c r="E4024" s="168" t="s">
        <v>13507</v>
      </c>
      <c r="F4024" s="162" t="s">
        <v>13508</v>
      </c>
      <c r="G4024" s="168">
        <v>165505</v>
      </c>
      <c r="H4024" s="162" t="s">
        <v>14824</v>
      </c>
      <c r="K4024" s="168" t="s">
        <v>14825</v>
      </c>
      <c r="L4024" s="162" t="s">
        <v>14826</v>
      </c>
      <c r="M4024" s="162" t="s">
        <v>14827</v>
      </c>
      <c r="O4024" s="492">
        <v>0.7</v>
      </c>
      <c r="P4024" s="492">
        <v>0.75</v>
      </c>
      <c r="Q4024" s="492">
        <v>0.75</v>
      </c>
      <c r="R4024" s="224"/>
      <c r="S4024" s="492">
        <v>0.8</v>
      </c>
      <c r="T4024" s="223" t="s">
        <v>7852</v>
      </c>
      <c r="U4024" t="str">
        <f>VLOOKUP(T4024,[8]Votes!$A$1:$E$234,3,FALSE)</f>
        <v>131 Auditor General</v>
      </c>
      <c r="V4024" s="162" t="s">
        <v>14828</v>
      </c>
      <c r="W4024" s="416">
        <v>0</v>
      </c>
      <c r="X4024" s="416">
        <v>0</v>
      </c>
      <c r="Y4024" s="416">
        <v>0</v>
      </c>
      <c r="Z4024" s="416">
        <v>1</v>
      </c>
      <c r="AA4024" s="416">
        <v>1</v>
      </c>
      <c r="AB4024" s="416">
        <v>0</v>
      </c>
      <c r="AC4024" s="150">
        <v>0.7</v>
      </c>
      <c r="AD4024" s="150">
        <v>0.8</v>
      </c>
      <c r="AE4024" s="49">
        <f t="shared" si="146"/>
        <v>0.4375</v>
      </c>
      <c r="AF4024" s="485">
        <v>0</v>
      </c>
      <c r="AG4024" s="17">
        <v>0</v>
      </c>
      <c r="AH4024" s="485">
        <v>1.1000000000000001</v>
      </c>
      <c r="AI4024" s="485">
        <v>1.2</v>
      </c>
      <c r="AJ4024" s="190">
        <v>0</v>
      </c>
      <c r="AK4024" s="191">
        <v>0</v>
      </c>
      <c r="AL4024" s="191">
        <v>0</v>
      </c>
      <c r="AM4024" s="17">
        <f t="shared" si="147"/>
        <v>0</v>
      </c>
      <c r="AN4024" s="162" t="s">
        <v>7852</v>
      </c>
      <c r="AO4024" s="162" t="s">
        <v>7854</v>
      </c>
    </row>
    <row r="4025" spans="1:41" s="162" customFormat="1" x14ac:dyDescent="0.3">
      <c r="A4025" s="205" t="s">
        <v>8321</v>
      </c>
      <c r="B4025" s="162" t="s">
        <v>8322</v>
      </c>
      <c r="C4025" s="168" t="s">
        <v>13505</v>
      </c>
      <c r="D4025" s="162" t="s">
        <v>13506</v>
      </c>
      <c r="E4025" s="168" t="s">
        <v>13507</v>
      </c>
      <c r="F4025" s="162" t="s">
        <v>13508</v>
      </c>
      <c r="G4025" s="168">
        <v>165505</v>
      </c>
      <c r="H4025" s="162" t="s">
        <v>14824</v>
      </c>
      <c r="K4025" s="168" t="s">
        <v>14825</v>
      </c>
      <c r="L4025" s="162" t="s">
        <v>14826</v>
      </c>
      <c r="M4025" s="162" t="s">
        <v>14829</v>
      </c>
      <c r="O4025" s="492">
        <v>0.6</v>
      </c>
      <c r="P4025" s="492">
        <v>0.7</v>
      </c>
      <c r="Q4025" s="492">
        <v>0.75</v>
      </c>
      <c r="R4025" s="492">
        <v>0.8</v>
      </c>
      <c r="S4025" s="492">
        <v>0.8</v>
      </c>
      <c r="T4025" s="223" t="s">
        <v>7852</v>
      </c>
      <c r="U4025" t="str">
        <f>VLOOKUP(T4025,[8]Votes!$A$1:$E$234,3,FALSE)</f>
        <v>131 Auditor General</v>
      </c>
      <c r="V4025" s="162" t="s">
        <v>14828</v>
      </c>
      <c r="W4025" s="416">
        <v>0</v>
      </c>
      <c r="X4025" s="416">
        <v>0</v>
      </c>
      <c r="Y4025" s="416">
        <v>0</v>
      </c>
      <c r="Z4025" s="416">
        <v>1</v>
      </c>
      <c r="AA4025" s="416">
        <v>1</v>
      </c>
      <c r="AB4025" s="416">
        <v>0</v>
      </c>
      <c r="AC4025" s="150">
        <v>0.8</v>
      </c>
      <c r="AD4025" s="150">
        <v>1</v>
      </c>
      <c r="AE4025" s="49">
        <f t="shared" si="146"/>
        <v>0.47499999999999998</v>
      </c>
      <c r="AF4025" s="485">
        <v>0</v>
      </c>
      <c r="AG4025" s="17">
        <v>0</v>
      </c>
      <c r="AH4025" s="190">
        <v>0</v>
      </c>
      <c r="AI4025" s="190">
        <v>0</v>
      </c>
      <c r="AJ4025" s="485">
        <v>1.4</v>
      </c>
      <c r="AK4025" s="493">
        <v>1.2</v>
      </c>
      <c r="AL4025" s="493">
        <v>1.2</v>
      </c>
      <c r="AM4025" s="17">
        <f t="shared" si="147"/>
        <v>2.4</v>
      </c>
      <c r="AN4025" s="162" t="s">
        <v>7852</v>
      </c>
      <c r="AO4025" s="162" t="s">
        <v>7854</v>
      </c>
    </row>
    <row r="4026" spans="1:41" s="162" customFormat="1" x14ac:dyDescent="0.3">
      <c r="A4026" s="205" t="s">
        <v>8321</v>
      </c>
      <c r="B4026" s="162" t="s">
        <v>8322</v>
      </c>
      <c r="C4026" s="168" t="s">
        <v>13505</v>
      </c>
      <c r="D4026" s="162" t="s">
        <v>13506</v>
      </c>
      <c r="E4026" s="168" t="s">
        <v>13507</v>
      </c>
      <c r="F4026" s="162" t="s">
        <v>13508</v>
      </c>
      <c r="G4026" s="168">
        <v>165505</v>
      </c>
      <c r="H4026" s="162" t="s">
        <v>14824</v>
      </c>
      <c r="K4026" s="168" t="s">
        <v>14825</v>
      </c>
      <c r="L4026" s="162" t="s">
        <v>14826</v>
      </c>
      <c r="M4026" s="162" t="s">
        <v>14830</v>
      </c>
      <c r="O4026" s="224">
        <v>25</v>
      </c>
      <c r="P4026" s="224">
        <v>25</v>
      </c>
      <c r="Q4026" s="224">
        <v>25</v>
      </c>
      <c r="R4026" s="492">
        <v>0.8</v>
      </c>
      <c r="S4026" s="224">
        <v>25</v>
      </c>
      <c r="T4026" s="223" t="s">
        <v>7852</v>
      </c>
      <c r="U4026" t="str">
        <f>VLOOKUP(T4026,[8]Votes!$A$1:$E$234,3,FALSE)</f>
        <v>131 Auditor General</v>
      </c>
      <c r="V4026" s="162" t="s">
        <v>14828</v>
      </c>
      <c r="W4026" s="416">
        <v>0</v>
      </c>
      <c r="X4026" s="416">
        <v>0</v>
      </c>
      <c r="Y4026" s="416">
        <v>0</v>
      </c>
      <c r="Z4026" s="416">
        <v>1</v>
      </c>
      <c r="AA4026" s="416">
        <v>1</v>
      </c>
      <c r="AB4026" s="416">
        <v>0</v>
      </c>
      <c r="AC4026" s="150">
        <v>0.8</v>
      </c>
      <c r="AD4026" s="150">
        <v>1</v>
      </c>
      <c r="AE4026" s="49">
        <f t="shared" ref="AE4026:AE4089" si="148">SUM(W4026:AD4026)/8</f>
        <v>0.47499999999999998</v>
      </c>
      <c r="AF4026" s="485">
        <v>0</v>
      </c>
      <c r="AG4026" s="17">
        <v>0</v>
      </c>
      <c r="AH4026" s="190">
        <v>0</v>
      </c>
      <c r="AI4026" s="190">
        <v>0</v>
      </c>
      <c r="AJ4026" s="190">
        <v>0</v>
      </c>
      <c r="AK4026" s="493">
        <v>20</v>
      </c>
      <c r="AL4026" s="191">
        <v>22</v>
      </c>
      <c r="AM4026" s="17">
        <f t="shared" ref="AM4026:AM4089" si="149">SUM(AK4026:AL4026)</f>
        <v>42</v>
      </c>
      <c r="AN4026" s="162" t="s">
        <v>7852</v>
      </c>
      <c r="AO4026" s="162" t="s">
        <v>7854</v>
      </c>
    </row>
    <row r="4027" spans="1:41" s="162" customFormat="1" x14ac:dyDescent="0.3">
      <c r="A4027" s="205" t="s">
        <v>8321</v>
      </c>
      <c r="B4027" s="162" t="s">
        <v>8322</v>
      </c>
      <c r="C4027" s="168" t="s">
        <v>13505</v>
      </c>
      <c r="D4027" s="162" t="s">
        <v>13506</v>
      </c>
      <c r="E4027" s="168" t="s">
        <v>13507</v>
      </c>
      <c r="F4027" s="162" t="s">
        <v>13508</v>
      </c>
      <c r="G4027" s="168">
        <v>165505</v>
      </c>
      <c r="H4027" s="162" t="s">
        <v>14824</v>
      </c>
      <c r="K4027" s="168" t="s">
        <v>14831</v>
      </c>
      <c r="L4027" s="203" t="s">
        <v>14832</v>
      </c>
      <c r="M4027" s="162" t="s">
        <v>14833</v>
      </c>
      <c r="O4027" s="224"/>
      <c r="P4027" s="224">
        <v>146</v>
      </c>
      <c r="Q4027" s="224">
        <v>146</v>
      </c>
      <c r="R4027" s="224">
        <v>146</v>
      </c>
      <c r="S4027" s="224">
        <v>146</v>
      </c>
      <c r="T4027" s="529" t="s">
        <v>1345</v>
      </c>
      <c r="U4027" t="str">
        <f>VLOOKUP(T4027,[8]Votes!$A$1:$E$234,3,FALSE)</f>
        <v>001 Office of the President</v>
      </c>
      <c r="V4027" s="203" t="s">
        <v>14834</v>
      </c>
      <c r="W4027" s="416">
        <v>1</v>
      </c>
      <c r="X4027" s="416">
        <v>0</v>
      </c>
      <c r="Y4027" s="416">
        <v>0</v>
      </c>
      <c r="Z4027" s="416">
        <v>1</v>
      </c>
      <c r="AA4027" s="416">
        <v>1</v>
      </c>
      <c r="AB4027" s="416">
        <v>1</v>
      </c>
      <c r="AC4027" s="150">
        <v>1</v>
      </c>
      <c r="AD4027" s="150">
        <v>1</v>
      </c>
      <c r="AE4027" s="49">
        <f t="shared" si="148"/>
        <v>0.75</v>
      </c>
      <c r="AF4027" s="485">
        <v>1</v>
      </c>
      <c r="AG4027" s="17">
        <v>0</v>
      </c>
      <c r="AH4027" s="190">
        <v>0</v>
      </c>
      <c r="AI4027" s="485">
        <v>7.8</v>
      </c>
      <c r="AJ4027" s="485">
        <v>7.8</v>
      </c>
      <c r="AK4027" s="493">
        <v>5.3</v>
      </c>
      <c r="AL4027" s="493">
        <v>5.3</v>
      </c>
      <c r="AM4027" s="17">
        <f t="shared" si="149"/>
        <v>10.6</v>
      </c>
      <c r="AN4027" s="162" t="s">
        <v>1345</v>
      </c>
      <c r="AO4027" s="162" t="s">
        <v>1334</v>
      </c>
    </row>
    <row r="4028" spans="1:41" s="162" customFormat="1" x14ac:dyDescent="0.3">
      <c r="A4028" s="205" t="s">
        <v>8321</v>
      </c>
      <c r="B4028" s="162" t="s">
        <v>8322</v>
      </c>
      <c r="C4028" s="168" t="s">
        <v>13505</v>
      </c>
      <c r="D4028" s="162" t="s">
        <v>13506</v>
      </c>
      <c r="E4028" s="168" t="s">
        <v>13507</v>
      </c>
      <c r="F4028" s="162" t="s">
        <v>13508</v>
      </c>
      <c r="G4028" s="168">
        <v>165505</v>
      </c>
      <c r="H4028" s="162" t="s">
        <v>14824</v>
      </c>
      <c r="K4028" s="168" t="s">
        <v>14835</v>
      </c>
      <c r="L4028" s="203" t="s">
        <v>14836</v>
      </c>
      <c r="M4028" s="162" t="s">
        <v>14837</v>
      </c>
      <c r="O4028" s="224"/>
      <c r="P4028" s="224">
        <v>7008</v>
      </c>
      <c r="Q4028" s="224">
        <v>7008</v>
      </c>
      <c r="R4028" s="224">
        <v>7008</v>
      </c>
      <c r="S4028" s="224">
        <v>7008</v>
      </c>
      <c r="T4028" s="529" t="s">
        <v>1345</v>
      </c>
      <c r="U4028" t="str">
        <f>VLOOKUP(T4028,[8]Votes!$A$1:$E$234,3,FALSE)</f>
        <v>001 Office of the President</v>
      </c>
      <c r="V4028" s="203" t="s">
        <v>14838</v>
      </c>
      <c r="W4028" s="416">
        <v>1</v>
      </c>
      <c r="X4028" s="416">
        <v>1</v>
      </c>
      <c r="Y4028" s="416">
        <v>1</v>
      </c>
      <c r="Z4028" s="416">
        <v>1</v>
      </c>
      <c r="AA4028" s="416">
        <v>1</v>
      </c>
      <c r="AB4028" s="416">
        <v>0</v>
      </c>
      <c r="AC4028" s="150">
        <v>1</v>
      </c>
      <c r="AD4028" s="150">
        <v>1</v>
      </c>
      <c r="AE4028" s="49">
        <f t="shared" si="148"/>
        <v>0.875</v>
      </c>
      <c r="AF4028" s="485">
        <v>1</v>
      </c>
      <c r="AG4028" s="17">
        <v>0</v>
      </c>
      <c r="AH4028" s="190">
        <v>0</v>
      </c>
      <c r="AI4028" s="485">
        <v>0.438</v>
      </c>
      <c r="AJ4028" s="485">
        <v>0.438</v>
      </c>
      <c r="AK4028" s="493">
        <v>0.44</v>
      </c>
      <c r="AL4028" s="493">
        <v>0.438</v>
      </c>
      <c r="AM4028" s="17">
        <f t="shared" si="149"/>
        <v>0.878</v>
      </c>
      <c r="AN4028" s="162" t="s">
        <v>1345</v>
      </c>
      <c r="AO4028" s="162" t="s">
        <v>1334</v>
      </c>
    </row>
    <row r="4029" spans="1:41" s="162" customFormat="1" x14ac:dyDescent="0.3">
      <c r="A4029" s="205" t="s">
        <v>8321</v>
      </c>
      <c r="B4029" s="162" t="s">
        <v>8322</v>
      </c>
      <c r="C4029" s="168" t="s">
        <v>13505</v>
      </c>
      <c r="D4029" s="162" t="s">
        <v>13506</v>
      </c>
      <c r="E4029" s="168" t="s">
        <v>13507</v>
      </c>
      <c r="F4029" s="162" t="s">
        <v>13508</v>
      </c>
      <c r="G4029" s="168">
        <v>165505</v>
      </c>
      <c r="H4029" s="162" t="s">
        <v>14824</v>
      </c>
      <c r="K4029" s="168" t="s">
        <v>14825</v>
      </c>
      <c r="L4029" s="162" t="s">
        <v>14826</v>
      </c>
      <c r="M4029" s="162" t="s">
        <v>14839</v>
      </c>
      <c r="O4029" s="492">
        <v>0.5</v>
      </c>
      <c r="P4029" s="492">
        <v>0.6</v>
      </c>
      <c r="Q4029" s="492">
        <v>0.65</v>
      </c>
      <c r="R4029" s="492">
        <v>0.7</v>
      </c>
      <c r="S4029" s="492">
        <v>0.75</v>
      </c>
      <c r="T4029" s="223" t="s">
        <v>7852</v>
      </c>
      <c r="U4029" t="str">
        <f>VLOOKUP(T4029,[8]Votes!$A$1:$E$234,3,FALSE)</f>
        <v>131 Auditor General</v>
      </c>
      <c r="V4029" s="162" t="s">
        <v>14828</v>
      </c>
      <c r="W4029" s="416">
        <v>0</v>
      </c>
      <c r="X4029" s="416">
        <v>0</v>
      </c>
      <c r="Y4029" s="416">
        <v>0</v>
      </c>
      <c r="Z4029" s="416">
        <v>1</v>
      </c>
      <c r="AA4029" s="416">
        <v>1</v>
      </c>
      <c r="AB4029" s="416">
        <v>0</v>
      </c>
      <c r="AC4029" s="150">
        <v>0.8</v>
      </c>
      <c r="AD4029" s="150">
        <v>1</v>
      </c>
      <c r="AE4029" s="49">
        <f t="shared" si="148"/>
        <v>0.47499999999999998</v>
      </c>
      <c r="AF4029" s="485">
        <v>0</v>
      </c>
      <c r="AG4029" s="17">
        <v>0</v>
      </c>
      <c r="AH4029" s="190">
        <v>0</v>
      </c>
      <c r="AI4029" s="190">
        <v>0</v>
      </c>
      <c r="AJ4029" s="190">
        <v>0</v>
      </c>
      <c r="AK4029" s="191">
        <v>0</v>
      </c>
      <c r="AL4029" s="191">
        <v>0</v>
      </c>
      <c r="AM4029" s="17">
        <f t="shared" si="149"/>
        <v>0</v>
      </c>
      <c r="AN4029" s="162" t="s">
        <v>7852</v>
      </c>
      <c r="AO4029" s="162" t="s">
        <v>7854</v>
      </c>
    </row>
    <row r="4030" spans="1:41" s="162" customFormat="1" x14ac:dyDescent="0.3">
      <c r="A4030" s="205" t="s">
        <v>8321</v>
      </c>
      <c r="B4030" s="162" t="s">
        <v>8322</v>
      </c>
      <c r="C4030" s="168" t="s">
        <v>13505</v>
      </c>
      <c r="D4030" s="162" t="s">
        <v>13506</v>
      </c>
      <c r="E4030" s="168" t="s">
        <v>13507</v>
      </c>
      <c r="F4030" s="162" t="s">
        <v>13508</v>
      </c>
      <c r="G4030" s="168">
        <v>165505</v>
      </c>
      <c r="H4030" s="162" t="s">
        <v>14824</v>
      </c>
      <c r="K4030" s="168" t="s">
        <v>14840</v>
      </c>
      <c r="L4030" s="203" t="s">
        <v>14841</v>
      </c>
      <c r="M4030" s="162" t="s">
        <v>14842</v>
      </c>
      <c r="O4030" s="224"/>
      <c r="P4030" s="224">
        <v>2184</v>
      </c>
      <c r="Q4030" s="224">
        <v>2184</v>
      </c>
      <c r="R4030" s="224">
        <v>2184</v>
      </c>
      <c r="S4030" s="224">
        <v>2184</v>
      </c>
      <c r="T4030" s="529" t="s">
        <v>1345</v>
      </c>
      <c r="U4030" t="str">
        <f>VLOOKUP(T4030,[8]Votes!$A$1:$E$234,3,FALSE)</f>
        <v>001 Office of the President</v>
      </c>
      <c r="V4030" s="162" t="s">
        <v>14843</v>
      </c>
      <c r="W4030" s="416">
        <v>1</v>
      </c>
      <c r="X4030" s="416">
        <v>0</v>
      </c>
      <c r="Y4030" s="416">
        <v>0</v>
      </c>
      <c r="Z4030" s="416">
        <v>1</v>
      </c>
      <c r="AA4030" s="416">
        <v>1</v>
      </c>
      <c r="AB4030" s="416">
        <v>1</v>
      </c>
      <c r="AC4030" s="150">
        <v>1</v>
      </c>
      <c r="AD4030" s="150">
        <v>1</v>
      </c>
      <c r="AE4030" s="49">
        <f t="shared" si="148"/>
        <v>0.75</v>
      </c>
      <c r="AF4030" s="485">
        <v>1</v>
      </c>
      <c r="AG4030" s="17">
        <v>0</v>
      </c>
      <c r="AH4030" s="190">
        <v>0</v>
      </c>
      <c r="AI4030" s="485">
        <v>0.438</v>
      </c>
      <c r="AJ4030" s="485">
        <v>0.438</v>
      </c>
      <c r="AK4030" s="493">
        <v>20</v>
      </c>
      <c r="AL4030" s="493">
        <v>5.44</v>
      </c>
      <c r="AM4030" s="17">
        <f t="shared" si="149"/>
        <v>25.44</v>
      </c>
      <c r="AN4030" s="162" t="s">
        <v>1345</v>
      </c>
      <c r="AO4030" s="162" t="s">
        <v>1334</v>
      </c>
    </row>
    <row r="4031" spans="1:41" s="162" customFormat="1" x14ac:dyDescent="0.3">
      <c r="A4031" s="205" t="s">
        <v>8321</v>
      </c>
      <c r="B4031" s="162" t="s">
        <v>8322</v>
      </c>
      <c r="C4031" s="168" t="s">
        <v>13505</v>
      </c>
      <c r="D4031" s="162" t="s">
        <v>13506</v>
      </c>
      <c r="E4031" s="168" t="s">
        <v>13507</v>
      </c>
      <c r="F4031" s="162" t="s">
        <v>13508</v>
      </c>
      <c r="G4031" s="168">
        <v>165505</v>
      </c>
      <c r="H4031" s="162" t="s">
        <v>14824</v>
      </c>
      <c r="K4031" s="168" t="s">
        <v>14844</v>
      </c>
      <c r="L4031" s="203" t="s">
        <v>14845</v>
      </c>
      <c r="M4031" s="162" t="s">
        <v>14846</v>
      </c>
      <c r="O4031" s="224"/>
      <c r="P4031" s="224">
        <v>10595</v>
      </c>
      <c r="Q4031" s="224">
        <v>10595</v>
      </c>
      <c r="R4031" s="224">
        <v>10595</v>
      </c>
      <c r="S4031" s="224">
        <v>10595</v>
      </c>
      <c r="T4031" s="529" t="s">
        <v>1345</v>
      </c>
      <c r="U4031" t="str">
        <f>VLOOKUP(T4031,[8]Votes!$A$1:$E$234,3,FALSE)</f>
        <v>001 Office of the President</v>
      </c>
      <c r="V4031" s="162" t="s">
        <v>14847</v>
      </c>
      <c r="W4031" s="416">
        <v>1</v>
      </c>
      <c r="X4031" s="416">
        <v>0</v>
      </c>
      <c r="Y4031" s="416">
        <v>1</v>
      </c>
      <c r="Z4031" s="416">
        <v>1</v>
      </c>
      <c r="AA4031" s="416">
        <v>1</v>
      </c>
      <c r="AB4031" s="416">
        <v>0</v>
      </c>
      <c r="AC4031" s="150">
        <v>1</v>
      </c>
      <c r="AD4031" s="150">
        <v>1</v>
      </c>
      <c r="AE4031" s="49">
        <f t="shared" si="148"/>
        <v>0.75</v>
      </c>
      <c r="AF4031" s="485">
        <v>1</v>
      </c>
      <c r="AG4031" s="17">
        <v>0</v>
      </c>
      <c r="AH4031" s="190">
        <v>0</v>
      </c>
      <c r="AI4031" s="485">
        <v>0.876</v>
      </c>
      <c r="AJ4031" s="485">
        <v>0.876</v>
      </c>
      <c r="AK4031" s="493">
        <v>7.18</v>
      </c>
      <c r="AL4031" s="493">
        <v>7.18</v>
      </c>
      <c r="AM4031" s="17">
        <f t="shared" si="149"/>
        <v>14.36</v>
      </c>
      <c r="AN4031" s="162" t="s">
        <v>1345</v>
      </c>
      <c r="AO4031" s="162" t="s">
        <v>1334</v>
      </c>
    </row>
    <row r="4032" spans="1:41" s="162" customFormat="1" x14ac:dyDescent="0.3">
      <c r="A4032" s="205" t="s">
        <v>8321</v>
      </c>
      <c r="B4032" s="162" t="s">
        <v>8322</v>
      </c>
      <c r="C4032" s="168" t="s">
        <v>13505</v>
      </c>
      <c r="D4032" s="162" t="s">
        <v>13506</v>
      </c>
      <c r="E4032" s="168" t="s">
        <v>13507</v>
      </c>
      <c r="F4032" s="162" t="s">
        <v>13508</v>
      </c>
      <c r="G4032" s="168">
        <v>165505</v>
      </c>
      <c r="H4032" s="162" t="s">
        <v>14824</v>
      </c>
      <c r="K4032" s="168" t="s">
        <v>14825</v>
      </c>
      <c r="L4032" s="162" t="s">
        <v>14826</v>
      </c>
      <c r="M4032" s="162" t="s">
        <v>14848</v>
      </c>
      <c r="O4032" s="492">
        <v>0.7</v>
      </c>
      <c r="P4032" s="492">
        <v>0.75</v>
      </c>
      <c r="Q4032" s="492">
        <v>0.8</v>
      </c>
      <c r="R4032" s="492">
        <v>0.85</v>
      </c>
      <c r="S4032" s="492">
        <v>0.85</v>
      </c>
      <c r="T4032" s="223" t="s">
        <v>7852</v>
      </c>
      <c r="U4032" t="str">
        <f>VLOOKUP(T4032,[8]Votes!$A$1:$E$234,3,FALSE)</f>
        <v>131 Auditor General</v>
      </c>
      <c r="V4032" s="162" t="s">
        <v>14849</v>
      </c>
      <c r="W4032" s="416">
        <v>1</v>
      </c>
      <c r="X4032" s="416">
        <v>0</v>
      </c>
      <c r="Y4032" s="416">
        <v>0</v>
      </c>
      <c r="Z4032" s="416">
        <v>1</v>
      </c>
      <c r="AA4032" s="416">
        <v>1</v>
      </c>
      <c r="AB4032" s="416">
        <v>0</v>
      </c>
      <c r="AC4032" s="150">
        <v>0.9</v>
      </c>
      <c r="AD4032" s="150">
        <v>1</v>
      </c>
      <c r="AE4032" s="49">
        <f t="shared" si="148"/>
        <v>0.61250000000000004</v>
      </c>
      <c r="AF4032" s="485">
        <v>0</v>
      </c>
      <c r="AG4032" s="17">
        <v>0</v>
      </c>
      <c r="AH4032" s="485">
        <v>0.35</v>
      </c>
      <c r="AI4032" s="485">
        <v>0.5</v>
      </c>
      <c r="AJ4032" s="485">
        <v>0.7</v>
      </c>
      <c r="AK4032" s="493">
        <v>0.25</v>
      </c>
      <c r="AL4032" s="493">
        <v>0.1</v>
      </c>
      <c r="AM4032" s="17">
        <f t="shared" si="149"/>
        <v>0.35</v>
      </c>
      <c r="AN4032" s="162" t="s">
        <v>7852</v>
      </c>
      <c r="AO4032" s="162" t="s">
        <v>7854</v>
      </c>
    </row>
    <row r="4033" spans="1:41" s="162" customFormat="1" x14ac:dyDescent="0.3">
      <c r="A4033" s="205" t="s">
        <v>8321</v>
      </c>
      <c r="B4033" s="162" t="s">
        <v>8322</v>
      </c>
      <c r="C4033" s="168" t="s">
        <v>13505</v>
      </c>
      <c r="D4033" s="162" t="s">
        <v>13506</v>
      </c>
      <c r="E4033" s="168" t="s">
        <v>13507</v>
      </c>
      <c r="F4033" s="162" t="s">
        <v>13508</v>
      </c>
      <c r="G4033" s="168">
        <v>165505</v>
      </c>
      <c r="H4033" s="162" t="s">
        <v>14824</v>
      </c>
      <c r="K4033" s="168" t="s">
        <v>14850</v>
      </c>
      <c r="L4033" s="203" t="s">
        <v>14851</v>
      </c>
      <c r="M4033" s="162" t="s">
        <v>14852</v>
      </c>
      <c r="O4033" s="224"/>
      <c r="P4033" s="224">
        <v>7008</v>
      </c>
      <c r="Q4033" s="224">
        <v>7008</v>
      </c>
      <c r="R4033" s="224">
        <v>7008</v>
      </c>
      <c r="S4033" s="224">
        <v>7008</v>
      </c>
      <c r="T4033" s="529" t="s">
        <v>1345</v>
      </c>
      <c r="U4033" t="str">
        <f>VLOOKUP(T4033,[8]Votes!$A$1:$E$234,3,FALSE)</f>
        <v>001 Office of the President</v>
      </c>
      <c r="V4033" s="162" t="s">
        <v>14853</v>
      </c>
      <c r="W4033" s="416">
        <v>1</v>
      </c>
      <c r="X4033" s="416">
        <v>1</v>
      </c>
      <c r="Y4033" s="416">
        <v>1</v>
      </c>
      <c r="Z4033" s="416">
        <v>1</v>
      </c>
      <c r="AA4033" s="416">
        <v>1</v>
      </c>
      <c r="AB4033" s="416">
        <v>0</v>
      </c>
      <c r="AC4033" s="150">
        <v>1</v>
      </c>
      <c r="AD4033" s="150">
        <v>1</v>
      </c>
      <c r="AE4033" s="49">
        <f t="shared" si="148"/>
        <v>0.875</v>
      </c>
      <c r="AF4033" s="485">
        <v>1</v>
      </c>
      <c r="AG4033" s="17">
        <v>0</v>
      </c>
      <c r="AH4033" s="190">
        <v>0</v>
      </c>
      <c r="AI4033" s="485">
        <v>0.70099999999999996</v>
      </c>
      <c r="AJ4033" s="485">
        <v>0.70099999999999996</v>
      </c>
      <c r="AK4033" s="493">
        <v>4.7</v>
      </c>
      <c r="AL4033" s="493">
        <v>4.7</v>
      </c>
      <c r="AM4033" s="17">
        <f t="shared" si="149"/>
        <v>9.4</v>
      </c>
      <c r="AN4033" s="162" t="s">
        <v>1345</v>
      </c>
      <c r="AO4033" s="162" t="s">
        <v>1334</v>
      </c>
    </row>
    <row r="4034" spans="1:41" s="162" customFormat="1" x14ac:dyDescent="0.3">
      <c r="A4034" s="205" t="s">
        <v>8321</v>
      </c>
      <c r="B4034" s="162" t="s">
        <v>8322</v>
      </c>
      <c r="C4034" s="168" t="s">
        <v>13505</v>
      </c>
      <c r="D4034" s="162" t="s">
        <v>13506</v>
      </c>
      <c r="E4034" s="168" t="s">
        <v>13507</v>
      </c>
      <c r="F4034" s="162" t="s">
        <v>13508</v>
      </c>
      <c r="G4034" s="168">
        <v>165505</v>
      </c>
      <c r="H4034" s="162" t="s">
        <v>14824</v>
      </c>
      <c r="K4034" s="168" t="s">
        <v>14854</v>
      </c>
      <c r="L4034" s="203" t="s">
        <v>14820</v>
      </c>
      <c r="M4034" s="162" t="s">
        <v>14855</v>
      </c>
      <c r="O4034" s="492"/>
      <c r="P4034" s="189" t="s">
        <v>14822</v>
      </c>
      <c r="Q4034" s="189" t="s">
        <v>14822</v>
      </c>
      <c r="R4034" s="189" t="s">
        <v>14822</v>
      </c>
      <c r="S4034" s="189" t="s">
        <v>14822</v>
      </c>
      <c r="T4034" s="529" t="s">
        <v>1345</v>
      </c>
      <c r="U4034" t="str">
        <f>VLOOKUP(T4034,[8]Votes!$A$1:$E$234,3,FALSE)</f>
        <v>001 Office of the President</v>
      </c>
      <c r="V4034" s="162" t="s">
        <v>14856</v>
      </c>
      <c r="W4034" s="416">
        <v>1</v>
      </c>
      <c r="X4034" s="416">
        <v>1</v>
      </c>
      <c r="Y4034" s="416">
        <v>1</v>
      </c>
      <c r="Z4034" s="416">
        <v>1</v>
      </c>
      <c r="AA4034" s="416">
        <v>1</v>
      </c>
      <c r="AB4034" s="416">
        <v>0</v>
      </c>
      <c r="AC4034" s="150">
        <v>1</v>
      </c>
      <c r="AD4034" s="150">
        <v>1</v>
      </c>
      <c r="AE4034" s="49">
        <f t="shared" si="148"/>
        <v>0.875</v>
      </c>
      <c r="AF4034" s="485">
        <v>1</v>
      </c>
      <c r="AG4034" s="17">
        <v>0</v>
      </c>
      <c r="AH4034" s="190">
        <v>0</v>
      </c>
      <c r="AI4034" s="485">
        <v>23</v>
      </c>
      <c r="AJ4034" s="485">
        <v>23</v>
      </c>
      <c r="AK4034" s="493">
        <v>23</v>
      </c>
      <c r="AL4034" s="493">
        <v>23</v>
      </c>
      <c r="AM4034" s="17">
        <f t="shared" si="149"/>
        <v>46</v>
      </c>
      <c r="AN4034" s="162" t="s">
        <v>1345</v>
      </c>
      <c r="AO4034" s="162" t="s">
        <v>1334</v>
      </c>
    </row>
    <row r="4035" spans="1:41" s="162" customFormat="1" x14ac:dyDescent="0.3">
      <c r="A4035" s="205" t="s">
        <v>8321</v>
      </c>
      <c r="B4035" s="162" t="s">
        <v>8322</v>
      </c>
      <c r="C4035" s="168" t="s">
        <v>13505</v>
      </c>
      <c r="D4035" s="162" t="s">
        <v>13506</v>
      </c>
      <c r="E4035" s="168" t="s">
        <v>13507</v>
      </c>
      <c r="F4035" s="162" t="s">
        <v>13508</v>
      </c>
      <c r="G4035" s="168">
        <v>165505</v>
      </c>
      <c r="H4035" s="162" t="s">
        <v>14824</v>
      </c>
      <c r="K4035" s="168" t="s">
        <v>14825</v>
      </c>
      <c r="L4035" s="162" t="s">
        <v>14826</v>
      </c>
      <c r="M4035" s="162" t="s">
        <v>14857</v>
      </c>
      <c r="O4035" s="224"/>
      <c r="P4035" s="224"/>
      <c r="Q4035" s="492">
        <v>0.2</v>
      </c>
      <c r="R4035" s="492">
        <v>0.4</v>
      </c>
      <c r="S4035" s="492">
        <v>0.5</v>
      </c>
      <c r="T4035" s="223" t="s">
        <v>7852</v>
      </c>
      <c r="U4035" t="str">
        <f>VLOOKUP(T4035,[8]Votes!$A$1:$E$234,3,FALSE)</f>
        <v>131 Auditor General</v>
      </c>
      <c r="V4035" s="162" t="s">
        <v>14849</v>
      </c>
      <c r="W4035" s="416">
        <v>1</v>
      </c>
      <c r="X4035" s="416">
        <v>0</v>
      </c>
      <c r="Y4035" s="416">
        <v>0</v>
      </c>
      <c r="Z4035" s="416">
        <v>1</v>
      </c>
      <c r="AA4035" s="416">
        <v>1</v>
      </c>
      <c r="AB4035" s="416">
        <v>0</v>
      </c>
      <c r="AC4035" s="150">
        <v>0.9</v>
      </c>
      <c r="AD4035" s="150">
        <v>1</v>
      </c>
      <c r="AE4035" s="49">
        <f t="shared" si="148"/>
        <v>0.61250000000000004</v>
      </c>
      <c r="AF4035" s="485">
        <v>0</v>
      </c>
      <c r="AG4035" s="17">
        <v>0</v>
      </c>
      <c r="AH4035" s="190">
        <v>0</v>
      </c>
      <c r="AI4035" s="190">
        <v>0</v>
      </c>
      <c r="AJ4035" s="190">
        <v>0</v>
      </c>
      <c r="AK4035" s="191">
        <v>0</v>
      </c>
      <c r="AL4035" s="191">
        <v>0</v>
      </c>
      <c r="AM4035" s="17">
        <f t="shared" si="149"/>
        <v>0</v>
      </c>
      <c r="AN4035" s="162" t="s">
        <v>7852</v>
      </c>
      <c r="AO4035" s="162" t="s">
        <v>7854</v>
      </c>
    </row>
    <row r="4036" spans="1:41" s="162" customFormat="1" x14ac:dyDescent="0.3">
      <c r="A4036" s="205" t="s">
        <v>8321</v>
      </c>
      <c r="B4036" s="162" t="s">
        <v>8322</v>
      </c>
      <c r="C4036" s="168" t="s">
        <v>13505</v>
      </c>
      <c r="D4036" s="162" t="s">
        <v>13506</v>
      </c>
      <c r="E4036" s="168" t="s">
        <v>13507</v>
      </c>
      <c r="F4036" s="162" t="s">
        <v>13508</v>
      </c>
      <c r="G4036" s="168">
        <v>165505</v>
      </c>
      <c r="H4036" s="162" t="s">
        <v>14824</v>
      </c>
      <c r="K4036" s="168" t="s">
        <v>14825</v>
      </c>
      <c r="L4036" s="162" t="s">
        <v>14826</v>
      </c>
      <c r="M4036" s="162" t="s">
        <v>14858</v>
      </c>
      <c r="O4036" s="492">
        <v>0.9</v>
      </c>
      <c r="P4036" s="492">
        <v>0.9</v>
      </c>
      <c r="Q4036" s="492">
        <v>0.9</v>
      </c>
      <c r="R4036" s="492">
        <v>0.9</v>
      </c>
      <c r="S4036" s="492">
        <v>0.9</v>
      </c>
      <c r="T4036" s="223" t="s">
        <v>7852</v>
      </c>
      <c r="U4036" t="str">
        <f>VLOOKUP(T4036,[8]Votes!$A$1:$E$234,3,FALSE)</f>
        <v>131 Auditor General</v>
      </c>
      <c r="V4036" s="162" t="s">
        <v>14859</v>
      </c>
      <c r="W4036" s="416">
        <v>0</v>
      </c>
      <c r="X4036" s="416">
        <v>0</v>
      </c>
      <c r="Y4036" s="416">
        <v>0</v>
      </c>
      <c r="Z4036" s="416">
        <v>1</v>
      </c>
      <c r="AA4036" s="416">
        <v>1</v>
      </c>
      <c r="AB4036" s="416">
        <v>0</v>
      </c>
      <c r="AC4036" s="150">
        <v>0.9</v>
      </c>
      <c r="AD4036" s="150">
        <v>1</v>
      </c>
      <c r="AE4036" s="49">
        <f t="shared" si="148"/>
        <v>0.48749999999999999</v>
      </c>
      <c r="AF4036" s="485">
        <v>0</v>
      </c>
      <c r="AG4036" s="17">
        <v>0</v>
      </c>
      <c r="AH4036" s="485">
        <v>0.1</v>
      </c>
      <c r="AI4036" s="485">
        <v>0.1</v>
      </c>
      <c r="AJ4036" s="485">
        <v>0.1</v>
      </c>
      <c r="AK4036" s="493">
        <v>0.1</v>
      </c>
      <c r="AL4036" s="493">
        <v>0.1</v>
      </c>
      <c r="AM4036" s="17">
        <f t="shared" si="149"/>
        <v>0.2</v>
      </c>
      <c r="AN4036" s="162" t="s">
        <v>7852</v>
      </c>
      <c r="AO4036" s="162" t="s">
        <v>7854</v>
      </c>
    </row>
    <row r="4037" spans="1:41" s="162" customFormat="1" x14ac:dyDescent="0.3">
      <c r="A4037" s="205" t="s">
        <v>8321</v>
      </c>
      <c r="B4037" s="162" t="s">
        <v>8322</v>
      </c>
      <c r="C4037" s="168" t="s">
        <v>13505</v>
      </c>
      <c r="D4037" s="162" t="s">
        <v>13506</v>
      </c>
      <c r="E4037" s="168" t="s">
        <v>13507</v>
      </c>
      <c r="F4037" s="162" t="s">
        <v>13508</v>
      </c>
      <c r="G4037" s="168">
        <v>165505</v>
      </c>
      <c r="H4037" s="162" t="s">
        <v>14824</v>
      </c>
      <c r="K4037" s="168" t="s">
        <v>14860</v>
      </c>
      <c r="L4037" s="162" t="s">
        <v>14861</v>
      </c>
      <c r="M4037" s="162" t="s">
        <v>14862</v>
      </c>
      <c r="O4037" s="492">
        <v>0.5</v>
      </c>
      <c r="P4037" s="492">
        <v>0.55000000000000004</v>
      </c>
      <c r="Q4037" s="492">
        <v>0.6</v>
      </c>
      <c r="R4037" s="492">
        <v>0.65</v>
      </c>
      <c r="S4037" s="492">
        <v>0.7</v>
      </c>
      <c r="T4037" s="223" t="s">
        <v>7852</v>
      </c>
      <c r="U4037" t="str">
        <f>VLOOKUP(T4037,[8]Votes!$A$1:$E$234,3,FALSE)</f>
        <v>131 Auditor General</v>
      </c>
      <c r="V4037" s="162" t="s">
        <v>14863</v>
      </c>
      <c r="W4037" s="416">
        <v>1</v>
      </c>
      <c r="X4037" s="416">
        <v>1</v>
      </c>
      <c r="Y4037" s="416">
        <v>0</v>
      </c>
      <c r="Z4037" s="416">
        <v>1</v>
      </c>
      <c r="AA4037" s="416">
        <v>1</v>
      </c>
      <c r="AB4037" s="416">
        <v>0</v>
      </c>
      <c r="AC4037" s="150">
        <v>1</v>
      </c>
      <c r="AD4037" s="150">
        <v>1</v>
      </c>
      <c r="AE4037" s="49">
        <f t="shared" si="148"/>
        <v>0.75</v>
      </c>
      <c r="AF4037" s="485">
        <v>0</v>
      </c>
      <c r="AG4037" s="17">
        <v>0</v>
      </c>
      <c r="AH4037" s="485">
        <v>0.6</v>
      </c>
      <c r="AI4037" s="485">
        <v>0.7</v>
      </c>
      <c r="AJ4037" s="485">
        <v>0.75</v>
      </c>
      <c r="AK4037" s="493">
        <v>0.8</v>
      </c>
      <c r="AL4037" s="493">
        <v>0.8</v>
      </c>
      <c r="AM4037" s="17">
        <f t="shared" si="149"/>
        <v>1.6</v>
      </c>
      <c r="AN4037" s="162" t="s">
        <v>7852</v>
      </c>
      <c r="AO4037" s="162" t="s">
        <v>7854</v>
      </c>
    </row>
    <row r="4038" spans="1:41" s="162" customFormat="1" x14ac:dyDescent="0.3">
      <c r="A4038" s="205" t="s">
        <v>8321</v>
      </c>
      <c r="B4038" s="162" t="s">
        <v>8322</v>
      </c>
      <c r="C4038" s="168" t="s">
        <v>13505</v>
      </c>
      <c r="D4038" s="162" t="s">
        <v>13506</v>
      </c>
      <c r="E4038" s="168" t="s">
        <v>13507</v>
      </c>
      <c r="F4038" s="162" t="s">
        <v>13508</v>
      </c>
      <c r="G4038" s="168">
        <v>165505</v>
      </c>
      <c r="H4038" s="162" t="s">
        <v>14824</v>
      </c>
      <c r="K4038" s="168" t="s">
        <v>14860</v>
      </c>
      <c r="L4038" s="162" t="s">
        <v>14861</v>
      </c>
      <c r="M4038" s="162" t="s">
        <v>14864</v>
      </c>
      <c r="O4038" s="224">
        <v>250</v>
      </c>
      <c r="P4038" s="224">
        <v>400</v>
      </c>
      <c r="Q4038" s="224">
        <v>450</v>
      </c>
      <c r="R4038" s="224">
        <v>400</v>
      </c>
      <c r="S4038" s="224">
        <v>450</v>
      </c>
      <c r="T4038" s="223" t="s">
        <v>7852</v>
      </c>
      <c r="U4038" t="str">
        <f>VLOOKUP(T4038,[8]Votes!$A$1:$E$234,3,FALSE)</f>
        <v>131 Auditor General</v>
      </c>
      <c r="V4038" s="162" t="s">
        <v>14863</v>
      </c>
      <c r="W4038" s="416">
        <v>1</v>
      </c>
      <c r="X4038" s="416">
        <v>1</v>
      </c>
      <c r="Y4038" s="416">
        <v>0</v>
      </c>
      <c r="Z4038" s="416">
        <v>1</v>
      </c>
      <c r="AA4038" s="416">
        <v>1</v>
      </c>
      <c r="AB4038" s="416">
        <v>0</v>
      </c>
      <c r="AC4038" s="150">
        <v>1</v>
      </c>
      <c r="AD4038" s="150">
        <v>1</v>
      </c>
      <c r="AE4038" s="49">
        <f t="shared" si="148"/>
        <v>0.75</v>
      </c>
      <c r="AF4038" s="485">
        <v>0</v>
      </c>
      <c r="AG4038" s="17">
        <v>0</v>
      </c>
      <c r="AH4038" s="190">
        <v>0</v>
      </c>
      <c r="AI4038" s="190">
        <v>0</v>
      </c>
      <c r="AJ4038" s="190">
        <v>0</v>
      </c>
      <c r="AK4038" s="191">
        <v>0</v>
      </c>
      <c r="AL4038" s="191">
        <v>0</v>
      </c>
      <c r="AM4038" s="17">
        <f t="shared" si="149"/>
        <v>0</v>
      </c>
      <c r="AN4038" s="162" t="s">
        <v>7852</v>
      </c>
      <c r="AO4038" s="162" t="s">
        <v>7854</v>
      </c>
    </row>
    <row r="4039" spans="1:41" s="162" customFormat="1" x14ac:dyDescent="0.3">
      <c r="A4039" s="205" t="s">
        <v>8321</v>
      </c>
      <c r="B4039" s="162" t="s">
        <v>8322</v>
      </c>
      <c r="C4039" s="168" t="s">
        <v>13505</v>
      </c>
      <c r="D4039" s="162" t="s">
        <v>13506</v>
      </c>
      <c r="E4039" s="168" t="s">
        <v>13507</v>
      </c>
      <c r="F4039" s="162" t="s">
        <v>13508</v>
      </c>
      <c r="G4039" s="168">
        <v>165505</v>
      </c>
      <c r="H4039" s="162" t="s">
        <v>14824</v>
      </c>
      <c r="K4039" s="168" t="s">
        <v>14865</v>
      </c>
      <c r="L4039" s="162" t="s">
        <v>14866</v>
      </c>
      <c r="M4039" s="162" t="s">
        <v>14867</v>
      </c>
      <c r="O4039" s="224">
        <v>22</v>
      </c>
      <c r="P4039" s="224">
        <v>22</v>
      </c>
      <c r="Q4039" s="224">
        <v>22</v>
      </c>
      <c r="R4039" s="224">
        <v>22</v>
      </c>
      <c r="S4039" s="224">
        <v>22</v>
      </c>
      <c r="T4039" s="223" t="s">
        <v>1775</v>
      </c>
      <c r="U4039" t="str">
        <f>VLOOKUP(T4039,[8]Votes!$A$1:$E$234,3,FALSE)</f>
        <v>112 Ethics and Integrity</v>
      </c>
      <c r="V4039" s="162" t="s">
        <v>14868</v>
      </c>
      <c r="W4039" s="416">
        <v>1</v>
      </c>
      <c r="X4039" s="416">
        <v>1</v>
      </c>
      <c r="Y4039" s="416">
        <v>0</v>
      </c>
      <c r="Z4039" s="416">
        <v>1</v>
      </c>
      <c r="AA4039" s="416">
        <v>1</v>
      </c>
      <c r="AB4039" s="416">
        <v>1</v>
      </c>
      <c r="AC4039" s="150">
        <v>1</v>
      </c>
      <c r="AD4039" s="150">
        <v>1</v>
      </c>
      <c r="AE4039" s="49">
        <f t="shared" si="148"/>
        <v>0.875</v>
      </c>
      <c r="AF4039" s="485">
        <v>0</v>
      </c>
      <c r="AG4039" s="17">
        <v>0</v>
      </c>
      <c r="AH4039" s="485">
        <v>0.4</v>
      </c>
      <c r="AI4039" s="485">
        <v>0.86</v>
      </c>
      <c r="AJ4039" s="485">
        <v>0.86</v>
      </c>
      <c r="AK4039" s="493">
        <v>0.2</v>
      </c>
      <c r="AL4039" s="493">
        <v>0.28999999999999998</v>
      </c>
      <c r="AM4039" s="17">
        <f t="shared" si="149"/>
        <v>0.49</v>
      </c>
      <c r="AN4039" s="162" t="s">
        <v>1775</v>
      </c>
      <c r="AO4039" s="162" t="s">
        <v>1776</v>
      </c>
    </row>
    <row r="4040" spans="1:41" s="162" customFormat="1" x14ac:dyDescent="0.3">
      <c r="A4040" s="205" t="s">
        <v>8321</v>
      </c>
      <c r="B4040" s="162" t="s">
        <v>8322</v>
      </c>
      <c r="C4040" s="168" t="s">
        <v>13505</v>
      </c>
      <c r="D4040" s="162" t="s">
        <v>13506</v>
      </c>
      <c r="E4040" s="168" t="s">
        <v>13507</v>
      </c>
      <c r="F4040" s="162" t="s">
        <v>13508</v>
      </c>
      <c r="G4040" s="168">
        <v>165505</v>
      </c>
      <c r="H4040" s="162" t="s">
        <v>14824</v>
      </c>
      <c r="K4040" s="168" t="s">
        <v>14869</v>
      </c>
      <c r="L4040" s="162" t="s">
        <v>14870</v>
      </c>
      <c r="M4040" s="162" t="s">
        <v>14871</v>
      </c>
      <c r="O4040" s="224">
        <v>5</v>
      </c>
      <c r="P4040" s="224">
        <v>5</v>
      </c>
      <c r="Q4040" s="224">
        <v>6</v>
      </c>
      <c r="R4040" s="224">
        <v>8</v>
      </c>
      <c r="S4040" s="224">
        <v>10</v>
      </c>
      <c r="T4040" s="223" t="s">
        <v>1775</v>
      </c>
      <c r="U4040" t="str">
        <f>VLOOKUP(T4040,[8]Votes!$A$1:$E$234,3,FALSE)</f>
        <v>112 Ethics and Integrity</v>
      </c>
      <c r="V4040" s="162" t="s">
        <v>14872</v>
      </c>
      <c r="W4040" s="416">
        <v>1</v>
      </c>
      <c r="X4040" s="416">
        <v>1</v>
      </c>
      <c r="Y4040" s="416">
        <v>0</v>
      </c>
      <c r="Z4040" s="416">
        <v>1</v>
      </c>
      <c r="AA4040" s="416">
        <v>1</v>
      </c>
      <c r="AB4040" s="416">
        <v>1</v>
      </c>
      <c r="AC4040" s="150">
        <v>1</v>
      </c>
      <c r="AD4040" s="150">
        <v>1</v>
      </c>
      <c r="AE4040" s="49">
        <f t="shared" si="148"/>
        <v>0.875</v>
      </c>
      <c r="AF4040" s="485">
        <v>0</v>
      </c>
      <c r="AG4040" s="17">
        <v>0</v>
      </c>
      <c r="AH4040" s="485">
        <v>0.4</v>
      </c>
      <c r="AI4040" s="485">
        <v>1</v>
      </c>
      <c r="AJ4040" s="485">
        <v>1.4</v>
      </c>
      <c r="AK4040" s="493">
        <v>0.4</v>
      </c>
      <c r="AL4040" s="493">
        <v>0.7</v>
      </c>
      <c r="AM4040" s="17">
        <f t="shared" si="149"/>
        <v>1.1000000000000001</v>
      </c>
      <c r="AN4040" s="162" t="s">
        <v>1775</v>
      </c>
      <c r="AO4040" s="162" t="s">
        <v>1776</v>
      </c>
    </row>
    <row r="4041" spans="1:41" s="162" customFormat="1" x14ac:dyDescent="0.3">
      <c r="A4041" s="205" t="s">
        <v>8321</v>
      </c>
      <c r="B4041" s="162" t="s">
        <v>8322</v>
      </c>
      <c r="C4041" s="168" t="s">
        <v>13505</v>
      </c>
      <c r="D4041" s="162" t="s">
        <v>13506</v>
      </c>
      <c r="E4041" s="168" t="s">
        <v>13507</v>
      </c>
      <c r="F4041" s="162" t="s">
        <v>13508</v>
      </c>
      <c r="G4041" s="168">
        <v>165505</v>
      </c>
      <c r="H4041" s="162" t="s">
        <v>14824</v>
      </c>
      <c r="K4041" s="168" t="s">
        <v>14873</v>
      </c>
      <c r="L4041" s="162" t="s">
        <v>14874</v>
      </c>
      <c r="M4041" s="162" t="s">
        <v>14875</v>
      </c>
      <c r="O4041" s="224">
        <v>40</v>
      </c>
      <c r="P4041" s="224">
        <v>60</v>
      </c>
      <c r="Q4041" s="224">
        <v>80</v>
      </c>
      <c r="R4041" s="224">
        <v>90</v>
      </c>
      <c r="S4041" s="224">
        <v>100</v>
      </c>
      <c r="T4041" s="223" t="s">
        <v>1775</v>
      </c>
      <c r="U4041" t="str">
        <f>VLOOKUP(T4041,[8]Votes!$A$1:$E$234,3,FALSE)</f>
        <v>112 Ethics and Integrity</v>
      </c>
      <c r="V4041" s="162" t="s">
        <v>14876</v>
      </c>
      <c r="W4041" s="416">
        <v>1</v>
      </c>
      <c r="X4041" s="416">
        <v>1</v>
      </c>
      <c r="Y4041" s="416">
        <v>0</v>
      </c>
      <c r="Z4041" s="416">
        <v>1</v>
      </c>
      <c r="AA4041" s="416">
        <v>1</v>
      </c>
      <c r="AB4041" s="416">
        <v>1</v>
      </c>
      <c r="AC4041" s="150">
        <v>1</v>
      </c>
      <c r="AD4041" s="150">
        <v>1</v>
      </c>
      <c r="AE4041" s="49">
        <f t="shared" si="148"/>
        <v>0.875</v>
      </c>
      <c r="AF4041" s="485">
        <v>0</v>
      </c>
      <c r="AG4041" s="17">
        <v>0</v>
      </c>
      <c r="AH4041" s="485">
        <v>0.2</v>
      </c>
      <c r="AI4041" s="485">
        <v>0.8</v>
      </c>
      <c r="AJ4041" s="485">
        <v>0.8</v>
      </c>
      <c r="AK4041" s="493">
        <v>0.4</v>
      </c>
      <c r="AL4041" s="493">
        <v>0.22</v>
      </c>
      <c r="AM4041" s="17">
        <f t="shared" si="149"/>
        <v>0.62</v>
      </c>
      <c r="AN4041" s="162" t="s">
        <v>1775</v>
      </c>
      <c r="AO4041" s="162" t="s">
        <v>1776</v>
      </c>
    </row>
    <row r="4042" spans="1:41" s="162" customFormat="1" x14ac:dyDescent="0.3">
      <c r="A4042" s="205" t="s">
        <v>8321</v>
      </c>
      <c r="B4042" s="162" t="s">
        <v>8322</v>
      </c>
      <c r="C4042" s="168" t="s">
        <v>13505</v>
      </c>
      <c r="D4042" s="162" t="s">
        <v>13506</v>
      </c>
      <c r="E4042" s="168" t="s">
        <v>13507</v>
      </c>
      <c r="F4042" s="162" t="s">
        <v>13508</v>
      </c>
      <c r="G4042" s="168">
        <v>165505</v>
      </c>
      <c r="H4042" s="162" t="s">
        <v>14824</v>
      </c>
      <c r="K4042" s="168" t="s">
        <v>14877</v>
      </c>
      <c r="L4042" s="162" t="s">
        <v>14878</v>
      </c>
      <c r="M4042" s="162" t="s">
        <v>14879</v>
      </c>
      <c r="O4042" s="224">
        <v>15</v>
      </c>
      <c r="P4042" s="224">
        <v>20</v>
      </c>
      <c r="Q4042" s="224">
        <v>25</v>
      </c>
      <c r="R4042" s="224">
        <v>30</v>
      </c>
      <c r="S4042" s="224">
        <v>35</v>
      </c>
      <c r="T4042" s="223" t="s">
        <v>13761</v>
      </c>
      <c r="U4042" t="str">
        <f>VLOOKUP(T4042,[8]Votes!$A$1:$E$234,3,FALSE)</f>
        <v>129 Financial Intelligence Authority (FIA)</v>
      </c>
      <c r="V4042" s="162" t="s">
        <v>14880</v>
      </c>
      <c r="W4042" s="416">
        <v>1</v>
      </c>
      <c r="X4042" s="416">
        <v>1</v>
      </c>
      <c r="Y4042" s="416">
        <v>1</v>
      </c>
      <c r="Z4042" s="416">
        <v>1</v>
      </c>
      <c r="AA4042" s="416">
        <v>1</v>
      </c>
      <c r="AB4042" s="416">
        <v>0</v>
      </c>
      <c r="AC4042" s="150">
        <v>0</v>
      </c>
      <c r="AD4042" s="150">
        <v>1</v>
      </c>
      <c r="AE4042" s="49">
        <f t="shared" si="148"/>
        <v>0.75</v>
      </c>
      <c r="AF4042" s="485">
        <v>0</v>
      </c>
      <c r="AG4042" s="17">
        <v>0</v>
      </c>
      <c r="AH4042" s="485">
        <v>0.3</v>
      </c>
      <c r="AI4042" s="485">
        <v>0.5</v>
      </c>
      <c r="AJ4042" s="485">
        <v>0.7</v>
      </c>
      <c r="AK4042" s="493">
        <v>0.9</v>
      </c>
      <c r="AL4042" s="493">
        <v>1.1000000000000001</v>
      </c>
      <c r="AM4042" s="17">
        <f t="shared" si="149"/>
        <v>2</v>
      </c>
      <c r="AN4042" s="162" t="s">
        <v>13761</v>
      </c>
      <c r="AO4042" s="162" t="s">
        <v>13763</v>
      </c>
    </row>
    <row r="4043" spans="1:41" s="162" customFormat="1" x14ac:dyDescent="0.3">
      <c r="A4043" s="205" t="s">
        <v>8321</v>
      </c>
      <c r="B4043" s="162" t="s">
        <v>8322</v>
      </c>
      <c r="C4043" s="168" t="s">
        <v>13505</v>
      </c>
      <c r="D4043" s="162" t="s">
        <v>13506</v>
      </c>
      <c r="E4043" s="168" t="s">
        <v>13507</v>
      </c>
      <c r="F4043" s="162" t="s">
        <v>13508</v>
      </c>
      <c r="G4043" s="168">
        <v>165505</v>
      </c>
      <c r="H4043" s="162" t="s">
        <v>14824</v>
      </c>
      <c r="K4043" s="168" t="s">
        <v>14881</v>
      </c>
      <c r="L4043" s="162" t="s">
        <v>14882</v>
      </c>
      <c r="M4043" s="162" t="s">
        <v>14883</v>
      </c>
      <c r="N4043" s="162">
        <v>4</v>
      </c>
      <c r="O4043" s="224">
        <v>4</v>
      </c>
      <c r="P4043" s="224">
        <v>4</v>
      </c>
      <c r="Q4043" s="224">
        <v>4</v>
      </c>
      <c r="R4043" s="224">
        <v>4</v>
      </c>
      <c r="S4043" s="224">
        <v>4</v>
      </c>
      <c r="T4043" s="223" t="s">
        <v>1775</v>
      </c>
      <c r="U4043" t="str">
        <f>VLOOKUP(T4043,[8]Votes!$A$1:$E$234,3,FALSE)</f>
        <v>112 Ethics and Integrity</v>
      </c>
      <c r="V4043" s="162" t="s">
        <v>14884</v>
      </c>
      <c r="W4043" s="416">
        <v>1</v>
      </c>
      <c r="X4043" s="416">
        <v>1</v>
      </c>
      <c r="Y4043" s="416">
        <v>0</v>
      </c>
      <c r="Z4043" s="416">
        <v>1</v>
      </c>
      <c r="AA4043" s="416">
        <v>1</v>
      </c>
      <c r="AB4043" s="416">
        <v>1</v>
      </c>
      <c r="AC4043" s="150">
        <v>1</v>
      </c>
      <c r="AD4043" s="150">
        <v>1</v>
      </c>
      <c r="AE4043" s="49">
        <f t="shared" si="148"/>
        <v>0.875</v>
      </c>
      <c r="AF4043" s="485">
        <v>0</v>
      </c>
      <c r="AG4043" s="17">
        <v>0</v>
      </c>
      <c r="AH4043" s="485">
        <v>0.2</v>
      </c>
      <c r="AI4043" s="485">
        <v>0.8</v>
      </c>
      <c r="AJ4043" s="485">
        <v>1</v>
      </c>
      <c r="AK4043" s="493">
        <v>0.5</v>
      </c>
      <c r="AL4043" s="493">
        <v>0.33</v>
      </c>
      <c r="AM4043" s="17">
        <f t="shared" si="149"/>
        <v>0.83000000000000007</v>
      </c>
      <c r="AN4043" s="162" t="s">
        <v>1775</v>
      </c>
      <c r="AO4043" s="162" t="s">
        <v>1776</v>
      </c>
    </row>
    <row r="4044" spans="1:41" s="162" customFormat="1" ht="28.8" x14ac:dyDescent="0.3">
      <c r="A4044" s="205" t="s">
        <v>8321</v>
      </c>
      <c r="B4044" s="162" t="s">
        <v>8322</v>
      </c>
      <c r="C4044" s="168" t="s">
        <v>13505</v>
      </c>
      <c r="D4044" s="162" t="s">
        <v>13506</v>
      </c>
      <c r="E4044" s="168" t="s">
        <v>13507</v>
      </c>
      <c r="F4044" s="162" t="s">
        <v>13508</v>
      </c>
      <c r="G4044" s="168">
        <v>165505</v>
      </c>
      <c r="H4044" s="162" t="s">
        <v>14824</v>
      </c>
      <c r="K4044" s="168" t="s">
        <v>14885</v>
      </c>
      <c r="L4044" s="162" t="s">
        <v>14886</v>
      </c>
      <c r="M4044" s="162" t="s">
        <v>14887</v>
      </c>
      <c r="O4044" s="224">
        <v>10</v>
      </c>
      <c r="P4044" s="224">
        <v>12</v>
      </c>
      <c r="Q4044" s="224">
        <v>15</v>
      </c>
      <c r="R4044" s="224">
        <v>18</v>
      </c>
      <c r="S4044" s="224">
        <v>20</v>
      </c>
      <c r="T4044" s="223" t="s">
        <v>1452</v>
      </c>
      <c r="U4044" t="str">
        <f>VLOOKUP(T4044,[8]Votes!$A$1:$E$234,3,FALSE)</f>
        <v>153 Public Procurement and Disposal of Public Assets Authority</v>
      </c>
      <c r="V4044" s="162" t="s">
        <v>14888</v>
      </c>
      <c r="W4044" s="416">
        <v>1</v>
      </c>
      <c r="X4044" s="416">
        <v>1</v>
      </c>
      <c r="Y4044" s="416">
        <v>1</v>
      </c>
      <c r="Z4044" s="416">
        <v>1</v>
      </c>
      <c r="AA4044" s="416">
        <v>1</v>
      </c>
      <c r="AB4044" s="416">
        <v>0</v>
      </c>
      <c r="AC4044" s="150" t="s">
        <v>14569</v>
      </c>
      <c r="AD4044" s="150">
        <v>1</v>
      </c>
      <c r="AE4044" s="49">
        <f t="shared" si="148"/>
        <v>0.75</v>
      </c>
      <c r="AF4044" s="485">
        <v>0</v>
      </c>
      <c r="AG4044" s="17">
        <v>0</v>
      </c>
      <c r="AH4044" s="485">
        <v>0.27</v>
      </c>
      <c r="AI4044" s="485">
        <v>0.32</v>
      </c>
      <c r="AJ4044" s="485">
        <v>0.41</v>
      </c>
      <c r="AK4044" s="493">
        <v>0.49</v>
      </c>
      <c r="AL4044" s="493">
        <v>0.54</v>
      </c>
      <c r="AM4044" s="17">
        <f t="shared" si="149"/>
        <v>1.03</v>
      </c>
      <c r="AN4044" s="162" t="s">
        <v>1452</v>
      </c>
      <c r="AO4044" s="162" t="s">
        <v>5363</v>
      </c>
    </row>
    <row r="4045" spans="1:41" s="162" customFormat="1" x14ac:dyDescent="0.3">
      <c r="A4045" s="205" t="s">
        <v>8321</v>
      </c>
      <c r="B4045" s="162" t="s">
        <v>8322</v>
      </c>
      <c r="C4045" s="168" t="s">
        <v>13505</v>
      </c>
      <c r="D4045" s="162" t="s">
        <v>13506</v>
      </c>
      <c r="E4045" s="168" t="s">
        <v>13507</v>
      </c>
      <c r="F4045" s="162" t="s">
        <v>13508</v>
      </c>
      <c r="G4045" s="168">
        <v>165505</v>
      </c>
      <c r="H4045" s="162" t="s">
        <v>14824</v>
      </c>
      <c r="K4045" s="168" t="s">
        <v>14885</v>
      </c>
      <c r="L4045" s="162" t="s">
        <v>14886</v>
      </c>
      <c r="M4045" s="162" t="s">
        <v>14889</v>
      </c>
      <c r="O4045" s="224">
        <v>50</v>
      </c>
      <c r="P4045" s="224">
        <v>60</v>
      </c>
      <c r="Q4045" s="224">
        <v>70</v>
      </c>
      <c r="R4045" s="224">
        <v>80</v>
      </c>
      <c r="S4045" s="224">
        <v>90</v>
      </c>
      <c r="T4045" s="223" t="s">
        <v>1452</v>
      </c>
      <c r="U4045" t="str">
        <f>VLOOKUP(T4045,[8]Votes!$A$1:$E$234,3,FALSE)</f>
        <v>153 Public Procurement and Disposal of Public Assets Authority</v>
      </c>
      <c r="V4045" s="162" t="s">
        <v>14890</v>
      </c>
      <c r="W4045" s="416">
        <v>1</v>
      </c>
      <c r="X4045" s="416">
        <v>1</v>
      </c>
      <c r="Y4045" s="416">
        <v>1</v>
      </c>
      <c r="Z4045" s="416">
        <v>1</v>
      </c>
      <c r="AA4045" s="416">
        <v>1</v>
      </c>
      <c r="AB4045" s="416">
        <v>0</v>
      </c>
      <c r="AC4045" s="150">
        <v>1</v>
      </c>
      <c r="AD4045" s="150">
        <v>1</v>
      </c>
      <c r="AE4045" s="49">
        <f t="shared" si="148"/>
        <v>0.875</v>
      </c>
      <c r="AF4045" s="485">
        <v>0</v>
      </c>
      <c r="AG4045" s="17">
        <v>0</v>
      </c>
      <c r="AH4045" s="485">
        <v>0.52</v>
      </c>
      <c r="AI4045" s="485">
        <v>0.57999999999999996</v>
      </c>
      <c r="AJ4045" s="485">
        <v>0.7</v>
      </c>
      <c r="AK4045" s="493">
        <v>0.75</v>
      </c>
      <c r="AL4045" s="493">
        <v>0.87</v>
      </c>
      <c r="AM4045" s="17">
        <f t="shared" si="149"/>
        <v>1.62</v>
      </c>
      <c r="AN4045" s="162" t="s">
        <v>1452</v>
      </c>
      <c r="AO4045" s="162" t="s">
        <v>5363</v>
      </c>
    </row>
    <row r="4046" spans="1:41" s="162" customFormat="1" x14ac:dyDescent="0.3">
      <c r="A4046" s="205" t="s">
        <v>8321</v>
      </c>
      <c r="B4046" s="162" t="s">
        <v>8322</v>
      </c>
      <c r="C4046" s="168" t="s">
        <v>13505</v>
      </c>
      <c r="D4046" s="162" t="s">
        <v>13506</v>
      </c>
      <c r="E4046" s="168" t="s">
        <v>13507</v>
      </c>
      <c r="F4046" s="162" t="s">
        <v>13508</v>
      </c>
      <c r="G4046" s="168">
        <v>165505</v>
      </c>
      <c r="H4046" s="162" t="s">
        <v>14824</v>
      </c>
      <c r="K4046" s="168" t="s">
        <v>14885</v>
      </c>
      <c r="L4046" s="162" t="s">
        <v>14886</v>
      </c>
      <c r="M4046" s="162" t="s">
        <v>14891</v>
      </c>
      <c r="O4046" s="224">
        <v>30</v>
      </c>
      <c r="P4046" s="224">
        <v>35</v>
      </c>
      <c r="Q4046" s="224">
        <v>40</v>
      </c>
      <c r="R4046" s="224">
        <v>45</v>
      </c>
      <c r="S4046" s="224">
        <v>40</v>
      </c>
      <c r="T4046" s="223" t="s">
        <v>1452</v>
      </c>
      <c r="U4046" t="str">
        <f>VLOOKUP(T4046,[8]Votes!$A$1:$E$234,3,FALSE)</f>
        <v>153 Public Procurement and Disposal of Public Assets Authority</v>
      </c>
      <c r="V4046" s="162" t="s">
        <v>14892</v>
      </c>
      <c r="W4046" s="416">
        <v>1</v>
      </c>
      <c r="X4046" s="416">
        <v>1</v>
      </c>
      <c r="Y4046" s="416">
        <v>1</v>
      </c>
      <c r="Z4046" s="416">
        <v>1</v>
      </c>
      <c r="AA4046" s="416">
        <v>1</v>
      </c>
      <c r="AB4046" s="416">
        <v>0</v>
      </c>
      <c r="AC4046" s="150">
        <v>1</v>
      </c>
      <c r="AD4046" s="150">
        <v>1</v>
      </c>
      <c r="AE4046" s="49">
        <f t="shared" si="148"/>
        <v>0.875</v>
      </c>
      <c r="AF4046" s="485">
        <v>0</v>
      </c>
      <c r="AG4046" s="17">
        <v>0</v>
      </c>
      <c r="AH4046" s="485">
        <v>1</v>
      </c>
      <c r="AI4046" s="485">
        <v>1.17</v>
      </c>
      <c r="AJ4046" s="485">
        <v>1.33</v>
      </c>
      <c r="AK4046" s="493">
        <v>1.5</v>
      </c>
      <c r="AL4046" s="493">
        <v>1.33</v>
      </c>
      <c r="AM4046" s="17">
        <f t="shared" si="149"/>
        <v>2.83</v>
      </c>
      <c r="AN4046" s="162" t="s">
        <v>1452</v>
      </c>
      <c r="AO4046" s="162" t="s">
        <v>5363</v>
      </c>
    </row>
    <row r="4047" spans="1:41" s="162" customFormat="1" x14ac:dyDescent="0.3">
      <c r="A4047" s="205" t="s">
        <v>8321</v>
      </c>
      <c r="B4047" s="162" t="s">
        <v>8322</v>
      </c>
      <c r="C4047" s="168" t="s">
        <v>13505</v>
      </c>
      <c r="D4047" s="162" t="s">
        <v>13506</v>
      </c>
      <c r="E4047" s="168" t="s">
        <v>13507</v>
      </c>
      <c r="F4047" s="162" t="s">
        <v>13508</v>
      </c>
      <c r="G4047" s="168">
        <v>165505</v>
      </c>
      <c r="H4047" s="162" t="s">
        <v>14824</v>
      </c>
      <c r="K4047" s="168" t="s">
        <v>14885</v>
      </c>
      <c r="L4047" s="162" t="s">
        <v>14886</v>
      </c>
      <c r="M4047" s="162" t="s">
        <v>14893</v>
      </c>
      <c r="O4047" s="224">
        <v>70</v>
      </c>
      <c r="P4047" s="224">
        <v>100</v>
      </c>
      <c r="Q4047" s="224">
        <v>120</v>
      </c>
      <c r="R4047" s="224">
        <v>150</v>
      </c>
      <c r="S4047" s="224">
        <v>180</v>
      </c>
      <c r="T4047" s="223" t="s">
        <v>1452</v>
      </c>
      <c r="U4047" t="str">
        <f>VLOOKUP(T4047,[8]Votes!$A$1:$E$234,3,FALSE)</f>
        <v>153 Public Procurement and Disposal of Public Assets Authority</v>
      </c>
      <c r="V4047" s="162" t="s">
        <v>14894</v>
      </c>
      <c r="W4047" s="416">
        <v>1</v>
      </c>
      <c r="X4047" s="416">
        <v>0</v>
      </c>
      <c r="Y4047" s="416">
        <v>1</v>
      </c>
      <c r="Z4047" s="416">
        <v>1</v>
      </c>
      <c r="AA4047" s="416">
        <v>1</v>
      </c>
      <c r="AB4047" s="416">
        <v>0</v>
      </c>
      <c r="AC4047" s="150">
        <v>1</v>
      </c>
      <c r="AD4047" s="150">
        <v>1</v>
      </c>
      <c r="AE4047" s="49">
        <f t="shared" si="148"/>
        <v>0.75</v>
      </c>
      <c r="AF4047" s="485">
        <v>0</v>
      </c>
      <c r="AG4047" s="17">
        <v>0</v>
      </c>
      <c r="AH4047" s="485">
        <v>1.71</v>
      </c>
      <c r="AI4047" s="485">
        <v>2.44</v>
      </c>
      <c r="AJ4047" s="485">
        <v>2.93</v>
      </c>
      <c r="AK4047" s="493">
        <v>3.66</v>
      </c>
      <c r="AL4047" s="493">
        <v>4.3899999999999997</v>
      </c>
      <c r="AM4047" s="17">
        <f t="shared" si="149"/>
        <v>8.0500000000000007</v>
      </c>
      <c r="AN4047" s="162" t="s">
        <v>1452</v>
      </c>
      <c r="AO4047" s="162" t="s">
        <v>5363</v>
      </c>
    </row>
    <row r="4048" spans="1:41" s="162" customFormat="1" x14ac:dyDescent="0.3">
      <c r="A4048" s="205" t="s">
        <v>8321</v>
      </c>
      <c r="B4048" s="162" t="s">
        <v>8322</v>
      </c>
      <c r="C4048" s="168" t="s">
        <v>13505</v>
      </c>
      <c r="D4048" s="162" t="s">
        <v>13506</v>
      </c>
      <c r="E4048" s="168" t="s">
        <v>13507</v>
      </c>
      <c r="F4048" s="162" t="s">
        <v>13508</v>
      </c>
      <c r="G4048" s="168">
        <v>165505</v>
      </c>
      <c r="H4048" s="162" t="s">
        <v>14824</v>
      </c>
      <c r="K4048" s="168" t="s">
        <v>14885</v>
      </c>
      <c r="L4048" s="162" t="s">
        <v>14886</v>
      </c>
      <c r="M4048" s="162" t="s">
        <v>14895</v>
      </c>
      <c r="O4048" s="224">
        <v>30</v>
      </c>
      <c r="P4048" s="224">
        <v>40</v>
      </c>
      <c r="Q4048" s="224">
        <v>40</v>
      </c>
      <c r="R4048" s="224">
        <v>45</v>
      </c>
      <c r="S4048" s="224">
        <v>50</v>
      </c>
      <c r="T4048" s="223" t="s">
        <v>1452</v>
      </c>
      <c r="U4048" t="str">
        <f>VLOOKUP(T4048,[8]Votes!$A$1:$E$234,3,FALSE)</f>
        <v>153 Public Procurement and Disposal of Public Assets Authority</v>
      </c>
      <c r="V4048" s="162" t="s">
        <v>14896</v>
      </c>
      <c r="W4048" s="416">
        <v>0</v>
      </c>
      <c r="X4048" s="416">
        <v>0</v>
      </c>
      <c r="Y4048" s="416">
        <v>0</v>
      </c>
      <c r="Z4048" s="416">
        <v>1</v>
      </c>
      <c r="AA4048" s="416">
        <v>1</v>
      </c>
      <c r="AB4048" s="416">
        <v>0</v>
      </c>
      <c r="AC4048" s="150">
        <v>1</v>
      </c>
      <c r="AD4048" s="150">
        <v>1</v>
      </c>
      <c r="AE4048" s="49">
        <f t="shared" si="148"/>
        <v>0.5</v>
      </c>
      <c r="AF4048" s="485">
        <v>0</v>
      </c>
      <c r="AG4048" s="17">
        <v>0</v>
      </c>
      <c r="AH4048" s="485">
        <v>0.62</v>
      </c>
      <c r="AI4048" s="485">
        <v>0.82</v>
      </c>
      <c r="AJ4048" s="485">
        <v>0.82</v>
      </c>
      <c r="AK4048" s="493">
        <v>0.93</v>
      </c>
      <c r="AL4048" s="493">
        <v>1.03</v>
      </c>
      <c r="AM4048" s="17">
        <f t="shared" si="149"/>
        <v>1.96</v>
      </c>
      <c r="AN4048" s="162" t="s">
        <v>1452</v>
      </c>
      <c r="AO4048" s="162" t="s">
        <v>5363</v>
      </c>
    </row>
    <row r="4049" spans="1:41" s="162" customFormat="1" x14ac:dyDescent="0.3">
      <c r="A4049" s="205" t="s">
        <v>8321</v>
      </c>
      <c r="B4049" s="162" t="s">
        <v>8322</v>
      </c>
      <c r="C4049" s="168" t="s">
        <v>13505</v>
      </c>
      <c r="D4049" s="162" t="s">
        <v>13506</v>
      </c>
      <c r="E4049" s="168" t="s">
        <v>13507</v>
      </c>
      <c r="F4049" s="162" t="s">
        <v>13508</v>
      </c>
      <c r="G4049" s="168">
        <v>165505</v>
      </c>
      <c r="H4049" s="162" t="s">
        <v>14824</v>
      </c>
      <c r="K4049" s="168" t="s">
        <v>14885</v>
      </c>
      <c r="L4049" s="162" t="s">
        <v>14886</v>
      </c>
      <c r="M4049" s="162" t="s">
        <v>14897</v>
      </c>
      <c r="O4049" s="224">
        <v>90</v>
      </c>
      <c r="P4049" s="224">
        <v>100</v>
      </c>
      <c r="Q4049" s="224">
        <v>120</v>
      </c>
      <c r="R4049" s="224">
        <v>140</v>
      </c>
      <c r="S4049" s="224">
        <v>150</v>
      </c>
      <c r="T4049" s="223" t="s">
        <v>1452</v>
      </c>
      <c r="U4049" t="str">
        <f>VLOOKUP(T4049,[8]Votes!$A$1:$E$234,3,FALSE)</f>
        <v>153 Public Procurement and Disposal of Public Assets Authority</v>
      </c>
      <c r="V4049" s="162" t="s">
        <v>14898</v>
      </c>
      <c r="W4049" s="416">
        <v>1</v>
      </c>
      <c r="X4049" s="416">
        <v>0</v>
      </c>
      <c r="Y4049" s="416">
        <v>1</v>
      </c>
      <c r="Z4049" s="416">
        <v>1</v>
      </c>
      <c r="AA4049" s="416">
        <v>1</v>
      </c>
      <c r="AB4049" s="416">
        <v>0</v>
      </c>
      <c r="AC4049" s="150">
        <v>1</v>
      </c>
      <c r="AD4049" s="150">
        <v>1</v>
      </c>
      <c r="AE4049" s="49">
        <f t="shared" si="148"/>
        <v>0.75</v>
      </c>
      <c r="AF4049" s="485">
        <v>0</v>
      </c>
      <c r="AG4049" s="17">
        <v>0</v>
      </c>
      <c r="AH4049" s="485">
        <v>0.79</v>
      </c>
      <c r="AI4049" s="485">
        <v>0.88</v>
      </c>
      <c r="AJ4049" s="485">
        <v>1.05</v>
      </c>
      <c r="AK4049" s="493">
        <v>1.23</v>
      </c>
      <c r="AL4049" s="493">
        <v>1.32</v>
      </c>
      <c r="AM4049" s="17">
        <f t="shared" si="149"/>
        <v>2.5499999999999998</v>
      </c>
      <c r="AN4049" s="162" t="s">
        <v>1452</v>
      </c>
      <c r="AO4049" s="162" t="s">
        <v>5363</v>
      </c>
    </row>
    <row r="4050" spans="1:41" s="162" customFormat="1" x14ac:dyDescent="0.3">
      <c r="A4050" s="205" t="s">
        <v>8321</v>
      </c>
      <c r="B4050" s="162" t="s">
        <v>8322</v>
      </c>
      <c r="C4050" s="168" t="s">
        <v>13505</v>
      </c>
      <c r="D4050" s="162" t="s">
        <v>13506</v>
      </c>
      <c r="E4050" s="168" t="s">
        <v>13507</v>
      </c>
      <c r="F4050" s="162" t="s">
        <v>13508</v>
      </c>
      <c r="G4050" s="168">
        <v>165505</v>
      </c>
      <c r="H4050" s="162" t="s">
        <v>14824</v>
      </c>
      <c r="K4050" s="168" t="s">
        <v>14885</v>
      </c>
      <c r="L4050" s="162" t="s">
        <v>14886</v>
      </c>
      <c r="M4050" s="162" t="s">
        <v>14899</v>
      </c>
      <c r="O4050" s="224">
        <v>80</v>
      </c>
      <c r="P4050" s="224">
        <v>90</v>
      </c>
      <c r="Q4050" s="224">
        <v>100</v>
      </c>
      <c r="R4050" s="224">
        <v>110</v>
      </c>
      <c r="S4050" s="224">
        <v>120</v>
      </c>
      <c r="T4050" s="223" t="s">
        <v>1452</v>
      </c>
      <c r="U4050" t="str">
        <f>VLOOKUP(T4050,[8]Votes!$A$1:$E$234,3,FALSE)</f>
        <v>153 Public Procurement and Disposal of Public Assets Authority</v>
      </c>
      <c r="V4050" s="162" t="s">
        <v>14900</v>
      </c>
      <c r="W4050" s="416">
        <v>0</v>
      </c>
      <c r="X4050" s="416">
        <v>0</v>
      </c>
      <c r="Y4050" s="416">
        <v>1</v>
      </c>
      <c r="Z4050" s="416">
        <v>1</v>
      </c>
      <c r="AA4050" s="416">
        <v>1</v>
      </c>
      <c r="AB4050" s="416">
        <v>0</v>
      </c>
      <c r="AC4050" s="150">
        <v>1</v>
      </c>
      <c r="AD4050" s="150">
        <v>1</v>
      </c>
      <c r="AE4050" s="49">
        <f t="shared" si="148"/>
        <v>0.625</v>
      </c>
      <c r="AF4050" s="485">
        <v>0</v>
      </c>
      <c r="AG4050" s="17">
        <v>0</v>
      </c>
      <c r="AH4050" s="485">
        <v>0.25</v>
      </c>
      <c r="AI4050" s="485">
        <v>0.28000000000000003</v>
      </c>
      <c r="AJ4050" s="485">
        <v>0.31</v>
      </c>
      <c r="AK4050" s="493">
        <v>0.34</v>
      </c>
      <c r="AL4050" s="493">
        <v>0.38</v>
      </c>
      <c r="AM4050" s="17">
        <f t="shared" si="149"/>
        <v>0.72</v>
      </c>
      <c r="AN4050" s="162" t="s">
        <v>1452</v>
      </c>
      <c r="AO4050" s="162" t="s">
        <v>5363</v>
      </c>
    </row>
    <row r="4051" spans="1:41" s="162" customFormat="1" x14ac:dyDescent="0.3">
      <c r="A4051" s="205" t="s">
        <v>8321</v>
      </c>
      <c r="B4051" s="162" t="s">
        <v>8322</v>
      </c>
      <c r="C4051" s="168" t="s">
        <v>13505</v>
      </c>
      <c r="D4051" s="162" t="s">
        <v>13506</v>
      </c>
      <c r="E4051" s="168" t="s">
        <v>13507</v>
      </c>
      <c r="F4051" s="162" t="s">
        <v>13508</v>
      </c>
      <c r="G4051" s="168">
        <v>165505</v>
      </c>
      <c r="H4051" s="162" t="s">
        <v>14824</v>
      </c>
      <c r="K4051" s="168" t="s">
        <v>14901</v>
      </c>
      <c r="L4051" s="162" t="s">
        <v>14902</v>
      </c>
      <c r="M4051" s="162" t="s">
        <v>14903</v>
      </c>
      <c r="O4051" s="224">
        <v>4</v>
      </c>
      <c r="P4051" s="224">
        <v>4</v>
      </c>
      <c r="Q4051" s="224">
        <v>4</v>
      </c>
      <c r="R4051" s="224">
        <v>4</v>
      </c>
      <c r="S4051" s="224">
        <v>4</v>
      </c>
      <c r="T4051" s="223" t="s">
        <v>1452</v>
      </c>
      <c r="U4051" t="str">
        <f>VLOOKUP(T4051,[8]Votes!$A$1:$E$234,3,FALSE)</f>
        <v>153 Public Procurement and Disposal of Public Assets Authority</v>
      </c>
      <c r="V4051" s="162" t="s">
        <v>14904</v>
      </c>
      <c r="W4051" s="416">
        <v>1</v>
      </c>
      <c r="X4051" s="416">
        <v>0</v>
      </c>
      <c r="Y4051" s="416">
        <v>1</v>
      </c>
      <c r="Z4051" s="416">
        <v>1</v>
      </c>
      <c r="AA4051" s="416">
        <v>1</v>
      </c>
      <c r="AB4051" s="416">
        <v>0</v>
      </c>
      <c r="AC4051" s="150">
        <v>1</v>
      </c>
      <c r="AD4051" s="150">
        <v>1</v>
      </c>
      <c r="AE4051" s="49">
        <f t="shared" si="148"/>
        <v>0.75</v>
      </c>
      <c r="AF4051" s="485">
        <v>0</v>
      </c>
      <c r="AG4051" s="17">
        <v>0</v>
      </c>
      <c r="AH4051" s="485">
        <v>0.16</v>
      </c>
      <c r="AI4051" s="485">
        <v>0.19</v>
      </c>
      <c r="AJ4051" s="485">
        <v>0.24</v>
      </c>
      <c r="AK4051" s="493">
        <v>0.19</v>
      </c>
      <c r="AL4051" s="493">
        <v>0.19</v>
      </c>
      <c r="AM4051" s="17">
        <f t="shared" si="149"/>
        <v>0.38</v>
      </c>
      <c r="AN4051" s="162" t="s">
        <v>1452</v>
      </c>
      <c r="AO4051" s="162" t="s">
        <v>5363</v>
      </c>
    </row>
    <row r="4052" spans="1:41" s="162" customFormat="1" x14ac:dyDescent="0.3">
      <c r="A4052" s="205" t="s">
        <v>8321</v>
      </c>
      <c r="B4052" s="162" t="s">
        <v>8322</v>
      </c>
      <c r="C4052" s="168" t="s">
        <v>13505</v>
      </c>
      <c r="D4052" s="162" t="s">
        <v>13506</v>
      </c>
      <c r="E4052" s="168" t="s">
        <v>13507</v>
      </c>
      <c r="F4052" s="162" t="s">
        <v>13508</v>
      </c>
      <c r="G4052" s="168">
        <v>165505</v>
      </c>
      <c r="H4052" s="162" t="s">
        <v>14824</v>
      </c>
      <c r="K4052" s="168" t="s">
        <v>14901</v>
      </c>
      <c r="L4052" s="162" t="s">
        <v>14902</v>
      </c>
      <c r="M4052" s="162" t="s">
        <v>14905</v>
      </c>
      <c r="O4052" s="224">
        <v>3500</v>
      </c>
      <c r="P4052" s="224">
        <v>5000</v>
      </c>
      <c r="Q4052" s="224">
        <v>3500</v>
      </c>
      <c r="R4052" s="224">
        <v>3500</v>
      </c>
      <c r="S4052" s="224">
        <v>3500</v>
      </c>
      <c r="T4052" s="223" t="s">
        <v>1452</v>
      </c>
      <c r="U4052" t="str">
        <f>VLOOKUP(T4052,[8]Votes!$A$1:$E$234,3,FALSE)</f>
        <v>153 Public Procurement and Disposal of Public Assets Authority</v>
      </c>
      <c r="V4052" s="162" t="s">
        <v>14906</v>
      </c>
      <c r="W4052" s="416">
        <v>1</v>
      </c>
      <c r="X4052" s="416">
        <v>0</v>
      </c>
      <c r="Y4052" s="416">
        <v>1</v>
      </c>
      <c r="Z4052" s="416">
        <v>1</v>
      </c>
      <c r="AA4052" s="416">
        <v>1</v>
      </c>
      <c r="AB4052" s="416">
        <v>0</v>
      </c>
      <c r="AC4052" s="150">
        <v>1</v>
      </c>
      <c r="AD4052" s="150">
        <v>1</v>
      </c>
      <c r="AE4052" s="49">
        <f t="shared" si="148"/>
        <v>0.75</v>
      </c>
      <c r="AF4052" s="485">
        <v>0</v>
      </c>
      <c r="AG4052" s="17">
        <v>0</v>
      </c>
      <c r="AH4052" s="485">
        <v>1.36</v>
      </c>
      <c r="AI4052" s="485">
        <v>2.73</v>
      </c>
      <c r="AJ4052" s="485">
        <v>1.43</v>
      </c>
      <c r="AK4052" s="493">
        <v>1.43</v>
      </c>
      <c r="AL4052" s="493">
        <v>1.43</v>
      </c>
      <c r="AM4052" s="17">
        <f t="shared" si="149"/>
        <v>2.86</v>
      </c>
      <c r="AN4052" s="162" t="s">
        <v>1452</v>
      </c>
      <c r="AO4052" s="162" t="s">
        <v>5363</v>
      </c>
    </row>
    <row r="4053" spans="1:41" s="162" customFormat="1" x14ac:dyDescent="0.3">
      <c r="A4053" s="205" t="s">
        <v>8321</v>
      </c>
      <c r="B4053" s="162" t="s">
        <v>8322</v>
      </c>
      <c r="C4053" s="168" t="s">
        <v>13505</v>
      </c>
      <c r="D4053" s="162" t="s">
        <v>13506</v>
      </c>
      <c r="E4053" s="168" t="s">
        <v>13507</v>
      </c>
      <c r="F4053" s="162" t="s">
        <v>13508</v>
      </c>
      <c r="G4053" s="168">
        <v>165505</v>
      </c>
      <c r="H4053" s="162" t="s">
        <v>14824</v>
      </c>
      <c r="K4053" s="168" t="s">
        <v>14907</v>
      </c>
      <c r="L4053" s="162" t="s">
        <v>14908</v>
      </c>
      <c r="M4053" s="162" t="s">
        <v>14909</v>
      </c>
      <c r="O4053" s="224"/>
      <c r="P4053" s="224">
        <v>300</v>
      </c>
      <c r="Q4053" s="224">
        <v>400</v>
      </c>
      <c r="R4053" s="224">
        <v>800</v>
      </c>
      <c r="S4053" s="224">
        <v>900</v>
      </c>
      <c r="T4053" s="529" t="s">
        <v>1345</v>
      </c>
      <c r="U4053" t="str">
        <f>VLOOKUP(T4053,[8]Votes!$A$1:$E$234,3,FALSE)</f>
        <v>001 Office of the President</v>
      </c>
      <c r="V4053" s="162" t="s">
        <v>14910</v>
      </c>
      <c r="W4053" s="416">
        <v>1</v>
      </c>
      <c r="X4053" s="416">
        <v>1</v>
      </c>
      <c r="Y4053" s="416">
        <v>1</v>
      </c>
      <c r="Z4053" s="416">
        <v>1</v>
      </c>
      <c r="AA4053" s="416">
        <v>1</v>
      </c>
      <c r="AB4053" s="416">
        <v>0</v>
      </c>
      <c r="AC4053" s="150">
        <v>1</v>
      </c>
      <c r="AD4053" s="150">
        <v>1</v>
      </c>
      <c r="AE4053" s="49">
        <f t="shared" si="148"/>
        <v>0.875</v>
      </c>
      <c r="AF4053" s="485">
        <v>1</v>
      </c>
      <c r="AG4053" s="17">
        <v>0</v>
      </c>
      <c r="AH4053" s="190">
        <v>0</v>
      </c>
      <c r="AI4053" s="485">
        <v>0.36</v>
      </c>
      <c r="AJ4053" s="485">
        <v>2</v>
      </c>
      <c r="AK4053" s="493">
        <v>2</v>
      </c>
      <c r="AL4053" s="493">
        <v>2.5</v>
      </c>
      <c r="AM4053" s="17">
        <f t="shared" si="149"/>
        <v>4.5</v>
      </c>
      <c r="AN4053" s="162" t="s">
        <v>1345</v>
      </c>
      <c r="AO4053" s="162" t="s">
        <v>1334</v>
      </c>
    </row>
    <row r="4054" spans="1:41" s="162" customFormat="1" x14ac:dyDescent="0.3">
      <c r="A4054" s="205" t="s">
        <v>8321</v>
      </c>
      <c r="B4054" s="162" t="s">
        <v>8322</v>
      </c>
      <c r="C4054" s="168" t="s">
        <v>13505</v>
      </c>
      <c r="D4054" s="162" t="s">
        <v>13506</v>
      </c>
      <c r="E4054" s="168" t="s">
        <v>13507</v>
      </c>
      <c r="F4054" s="162" t="s">
        <v>13508</v>
      </c>
      <c r="G4054" s="168">
        <v>165505</v>
      </c>
      <c r="H4054" s="162" t="s">
        <v>14824</v>
      </c>
      <c r="K4054" s="168" t="s">
        <v>14911</v>
      </c>
      <c r="L4054" s="162" t="s">
        <v>14912</v>
      </c>
      <c r="M4054" s="162" t="s">
        <v>14913</v>
      </c>
      <c r="O4054" s="224"/>
      <c r="P4054" s="224">
        <v>300</v>
      </c>
      <c r="Q4054" s="224">
        <v>400</v>
      </c>
      <c r="R4054" s="224">
        <v>800</v>
      </c>
      <c r="S4054" s="224">
        <v>900</v>
      </c>
      <c r="T4054" s="529" t="s">
        <v>1345</v>
      </c>
      <c r="U4054" t="str">
        <f>VLOOKUP(T4054,[8]Votes!$A$1:$E$234,3,FALSE)</f>
        <v>001 Office of the President</v>
      </c>
      <c r="V4054" s="162" t="s">
        <v>14914</v>
      </c>
      <c r="W4054" s="416">
        <v>1</v>
      </c>
      <c r="X4054" s="416">
        <v>1</v>
      </c>
      <c r="Y4054" s="416">
        <v>1</v>
      </c>
      <c r="Z4054" s="416">
        <v>1</v>
      </c>
      <c r="AA4054" s="416">
        <v>1</v>
      </c>
      <c r="AB4054" s="416">
        <v>0</v>
      </c>
      <c r="AC4054" s="150">
        <v>1</v>
      </c>
      <c r="AD4054" s="150">
        <v>1</v>
      </c>
      <c r="AE4054" s="49">
        <f t="shared" si="148"/>
        <v>0.875</v>
      </c>
      <c r="AF4054" s="485">
        <v>1</v>
      </c>
      <c r="AG4054" s="17">
        <v>0</v>
      </c>
      <c r="AH4054" s="190">
        <v>0</v>
      </c>
      <c r="AI4054" s="485">
        <v>0.05</v>
      </c>
      <c r="AJ4054" s="485">
        <v>0.4</v>
      </c>
      <c r="AK4054" s="493">
        <v>0.7</v>
      </c>
      <c r="AL4054" s="493">
        <v>0.7</v>
      </c>
      <c r="AM4054" s="17">
        <f t="shared" si="149"/>
        <v>1.4</v>
      </c>
      <c r="AN4054" s="162" t="s">
        <v>1345</v>
      </c>
      <c r="AO4054" s="162" t="s">
        <v>1334</v>
      </c>
    </row>
    <row r="4055" spans="1:41" s="162" customFormat="1" x14ac:dyDescent="0.3">
      <c r="A4055" s="205" t="s">
        <v>8321</v>
      </c>
      <c r="B4055" s="162" t="s">
        <v>8322</v>
      </c>
      <c r="C4055" s="168" t="s">
        <v>13505</v>
      </c>
      <c r="D4055" s="162" t="s">
        <v>13506</v>
      </c>
      <c r="E4055" s="168" t="s">
        <v>13507</v>
      </c>
      <c r="F4055" s="162" t="s">
        <v>13508</v>
      </c>
      <c r="G4055" s="168">
        <v>165506</v>
      </c>
      <c r="H4055" s="162" t="s">
        <v>13509</v>
      </c>
      <c r="K4055" s="168" t="s">
        <v>14915</v>
      </c>
      <c r="L4055" s="162" t="s">
        <v>14916</v>
      </c>
      <c r="M4055" s="162" t="s">
        <v>14917</v>
      </c>
      <c r="O4055" s="224">
        <v>20</v>
      </c>
      <c r="P4055" s="224">
        <v>40</v>
      </c>
      <c r="Q4055" s="224">
        <v>50</v>
      </c>
      <c r="R4055" s="224">
        <v>60</v>
      </c>
      <c r="S4055" s="224">
        <v>70</v>
      </c>
      <c r="T4055" s="223" t="s">
        <v>1345</v>
      </c>
      <c r="U4055" t="str">
        <f>VLOOKUP(T4055,[8]Votes!$A$1:$E$234,3,FALSE)</f>
        <v>001 Office of the President</v>
      </c>
      <c r="V4055" s="162" t="s">
        <v>14918</v>
      </c>
      <c r="W4055" s="416">
        <v>1</v>
      </c>
      <c r="X4055" s="416">
        <v>1</v>
      </c>
      <c r="Y4055" s="416">
        <v>1</v>
      </c>
      <c r="Z4055" s="416">
        <v>1</v>
      </c>
      <c r="AA4055" s="416">
        <v>1</v>
      </c>
      <c r="AB4055" s="416">
        <v>0</v>
      </c>
      <c r="AC4055" s="150">
        <v>1</v>
      </c>
      <c r="AD4055" s="150">
        <v>1</v>
      </c>
      <c r="AE4055" s="49">
        <f t="shared" si="148"/>
        <v>0.875</v>
      </c>
      <c r="AF4055" s="485">
        <v>1</v>
      </c>
      <c r="AG4055" s="17">
        <v>0</v>
      </c>
      <c r="AH4055" s="190">
        <v>0</v>
      </c>
      <c r="AI4055" s="190">
        <v>0</v>
      </c>
      <c r="AJ4055" s="190">
        <v>0</v>
      </c>
      <c r="AK4055" s="191">
        <v>1</v>
      </c>
      <c r="AL4055" s="191">
        <v>1</v>
      </c>
      <c r="AM4055" s="17">
        <f t="shared" si="149"/>
        <v>2</v>
      </c>
      <c r="AN4055" s="162" t="s">
        <v>1345</v>
      </c>
      <c r="AO4055" s="162" t="s">
        <v>1334</v>
      </c>
    </row>
    <row r="4056" spans="1:41" s="162" customFormat="1" x14ac:dyDescent="0.3">
      <c r="A4056" s="205" t="s">
        <v>8321</v>
      </c>
      <c r="B4056" s="162" t="s">
        <v>8322</v>
      </c>
      <c r="C4056" s="168" t="s">
        <v>13505</v>
      </c>
      <c r="D4056" s="162" t="s">
        <v>13506</v>
      </c>
      <c r="E4056" s="168" t="s">
        <v>13507</v>
      </c>
      <c r="F4056" s="162" t="s">
        <v>13508</v>
      </c>
      <c r="G4056" s="168">
        <v>165506</v>
      </c>
      <c r="H4056" s="162" t="s">
        <v>13509</v>
      </c>
      <c r="K4056" s="168" t="s">
        <v>14919</v>
      </c>
      <c r="L4056" s="162" t="s">
        <v>14920</v>
      </c>
      <c r="M4056" s="162" t="s">
        <v>14921</v>
      </c>
      <c r="O4056" s="224">
        <v>584</v>
      </c>
      <c r="P4056" s="224">
        <v>584</v>
      </c>
      <c r="Q4056" s="224">
        <v>584</v>
      </c>
      <c r="R4056" s="224">
        <v>584</v>
      </c>
      <c r="S4056" s="224">
        <v>584</v>
      </c>
      <c r="T4056" s="223" t="s">
        <v>1345</v>
      </c>
      <c r="U4056" t="str">
        <f>VLOOKUP(T4056,[8]Votes!$A$1:$E$234,3,FALSE)</f>
        <v>001 Office of the President</v>
      </c>
      <c r="V4056" s="162" t="s">
        <v>14922</v>
      </c>
      <c r="W4056" s="416">
        <v>1</v>
      </c>
      <c r="X4056" s="416">
        <v>1</v>
      </c>
      <c r="Y4056" s="416">
        <v>1</v>
      </c>
      <c r="Z4056" s="416">
        <v>1</v>
      </c>
      <c r="AA4056" s="416">
        <v>1</v>
      </c>
      <c r="AB4056" s="416">
        <v>0</v>
      </c>
      <c r="AC4056" s="150">
        <v>1</v>
      </c>
      <c r="AD4056" s="150">
        <v>1</v>
      </c>
      <c r="AE4056" s="49">
        <f t="shared" si="148"/>
        <v>0.875</v>
      </c>
      <c r="AF4056" s="485">
        <v>1</v>
      </c>
      <c r="AG4056" s="17">
        <v>0</v>
      </c>
      <c r="AH4056" s="190">
        <v>0</v>
      </c>
      <c r="AI4056" s="190">
        <v>0</v>
      </c>
      <c r="AJ4056" s="190">
        <v>0</v>
      </c>
      <c r="AK4056" s="191">
        <v>1.5</v>
      </c>
      <c r="AL4056" s="191">
        <v>1.5</v>
      </c>
      <c r="AM4056" s="17">
        <f t="shared" si="149"/>
        <v>3</v>
      </c>
      <c r="AN4056" s="162" t="s">
        <v>1345</v>
      </c>
      <c r="AO4056" s="162" t="s">
        <v>1334</v>
      </c>
    </row>
    <row r="4057" spans="1:41" s="162" customFormat="1" x14ac:dyDescent="0.3">
      <c r="A4057" s="205" t="s">
        <v>8321</v>
      </c>
      <c r="B4057" s="162" t="s">
        <v>8322</v>
      </c>
      <c r="C4057" s="168" t="s">
        <v>13505</v>
      </c>
      <c r="D4057" s="162" t="s">
        <v>13506</v>
      </c>
      <c r="E4057" s="168" t="s">
        <v>13507</v>
      </c>
      <c r="F4057" s="162" t="s">
        <v>13508</v>
      </c>
      <c r="G4057" s="168">
        <v>165506</v>
      </c>
      <c r="H4057" s="162" t="s">
        <v>13509</v>
      </c>
      <c r="K4057" s="168" t="s">
        <v>14923</v>
      </c>
      <c r="L4057" s="162" t="s">
        <v>14924</v>
      </c>
      <c r="M4057" s="162" t="s">
        <v>14925</v>
      </c>
      <c r="O4057" s="224">
        <v>20</v>
      </c>
      <c r="P4057" s="224">
        <v>40</v>
      </c>
      <c r="Q4057" s="224">
        <v>50</v>
      </c>
      <c r="R4057" s="224">
        <v>60</v>
      </c>
      <c r="S4057" s="224">
        <v>70</v>
      </c>
      <c r="T4057" s="223" t="s">
        <v>1345</v>
      </c>
      <c r="U4057" t="str">
        <f>VLOOKUP(T4057,[8]Votes!$A$1:$E$234,3,FALSE)</f>
        <v>001 Office of the President</v>
      </c>
      <c r="V4057" s="162" t="s">
        <v>14926</v>
      </c>
      <c r="W4057" s="416">
        <v>1</v>
      </c>
      <c r="X4057" s="416">
        <v>1</v>
      </c>
      <c r="Y4057" s="416">
        <v>1</v>
      </c>
      <c r="Z4057" s="416">
        <v>1</v>
      </c>
      <c r="AA4057" s="416">
        <v>1</v>
      </c>
      <c r="AB4057" s="416">
        <v>0</v>
      </c>
      <c r="AC4057" s="150">
        <v>1</v>
      </c>
      <c r="AD4057" s="150">
        <v>1</v>
      </c>
      <c r="AE4057" s="49">
        <f t="shared" si="148"/>
        <v>0.875</v>
      </c>
      <c r="AF4057" s="485">
        <v>1</v>
      </c>
      <c r="AG4057" s="17">
        <v>0</v>
      </c>
      <c r="AH4057" s="190">
        <v>0</v>
      </c>
      <c r="AI4057" s="190">
        <v>0</v>
      </c>
      <c r="AJ4057" s="190">
        <v>0</v>
      </c>
      <c r="AK4057" s="191">
        <v>0.8</v>
      </c>
      <c r="AL4057" s="191">
        <v>0.8</v>
      </c>
      <c r="AM4057" s="17">
        <f t="shared" si="149"/>
        <v>1.6</v>
      </c>
      <c r="AN4057" s="162" t="s">
        <v>1345</v>
      </c>
      <c r="AO4057" s="162" t="s">
        <v>1334</v>
      </c>
    </row>
    <row r="4058" spans="1:41" s="162" customFormat="1" x14ac:dyDescent="0.3">
      <c r="A4058" s="205" t="s">
        <v>8321</v>
      </c>
      <c r="B4058" s="162" t="s">
        <v>8322</v>
      </c>
      <c r="C4058" s="168" t="s">
        <v>13505</v>
      </c>
      <c r="D4058" s="162" t="s">
        <v>13506</v>
      </c>
      <c r="E4058" s="168" t="s">
        <v>13507</v>
      </c>
      <c r="F4058" s="162" t="s">
        <v>13508</v>
      </c>
      <c r="G4058" s="168">
        <v>165506</v>
      </c>
      <c r="H4058" s="162" t="s">
        <v>13509</v>
      </c>
      <c r="K4058" s="168" t="s">
        <v>14927</v>
      </c>
      <c r="L4058" s="162" t="s">
        <v>14928</v>
      </c>
      <c r="M4058" s="162" t="s">
        <v>14929</v>
      </c>
      <c r="O4058" s="224">
        <v>50</v>
      </c>
      <c r="P4058" s="224">
        <v>65</v>
      </c>
      <c r="Q4058" s="224">
        <v>80</v>
      </c>
      <c r="R4058" s="224">
        <v>90</v>
      </c>
      <c r="S4058" s="224">
        <v>110</v>
      </c>
      <c r="T4058" s="529" t="s">
        <v>1775</v>
      </c>
      <c r="U4058" t="str">
        <f>VLOOKUP(T4058,[8]Votes!$A$1:$E$234,3,FALSE)</f>
        <v>112 Ethics and Integrity</v>
      </c>
      <c r="V4058" s="162" t="s">
        <v>14930</v>
      </c>
      <c r="W4058" s="416">
        <v>0</v>
      </c>
      <c r="X4058" s="416">
        <v>0</v>
      </c>
      <c r="Y4058" s="416">
        <v>0</v>
      </c>
      <c r="Z4058" s="416">
        <v>0</v>
      </c>
      <c r="AA4058" s="416">
        <v>0</v>
      </c>
      <c r="AB4058" s="416">
        <v>0</v>
      </c>
      <c r="AC4058" s="150">
        <v>0</v>
      </c>
      <c r="AD4058" s="150">
        <v>0</v>
      </c>
      <c r="AE4058" s="49">
        <f t="shared" si="148"/>
        <v>0</v>
      </c>
      <c r="AF4058" s="485">
        <v>0</v>
      </c>
      <c r="AG4058" s="17">
        <v>0</v>
      </c>
      <c r="AH4058" s="190">
        <v>0</v>
      </c>
      <c r="AI4058" s="190">
        <v>0</v>
      </c>
      <c r="AJ4058" s="190">
        <v>0</v>
      </c>
      <c r="AK4058" s="191">
        <v>0</v>
      </c>
      <c r="AL4058" s="191">
        <v>0</v>
      </c>
      <c r="AM4058" s="17">
        <f t="shared" si="149"/>
        <v>0</v>
      </c>
      <c r="AN4058" s="162" t="s">
        <v>1775</v>
      </c>
      <c r="AO4058" s="162" t="s">
        <v>1776</v>
      </c>
    </row>
    <row r="4059" spans="1:41" s="162" customFormat="1" x14ac:dyDescent="0.3">
      <c r="A4059" s="205" t="s">
        <v>8321</v>
      </c>
      <c r="B4059" s="162" t="s">
        <v>8322</v>
      </c>
      <c r="C4059" s="168" t="s">
        <v>13505</v>
      </c>
      <c r="D4059" s="162" t="s">
        <v>13506</v>
      </c>
      <c r="E4059" s="168" t="s">
        <v>13507</v>
      </c>
      <c r="F4059" s="162" t="s">
        <v>13508</v>
      </c>
      <c r="G4059" s="168">
        <v>165506</v>
      </c>
      <c r="H4059" s="162" t="s">
        <v>13509</v>
      </c>
      <c r="K4059" s="168" t="s">
        <v>14931</v>
      </c>
      <c r="L4059" s="162" t="s">
        <v>14932</v>
      </c>
      <c r="M4059" s="162" t="s">
        <v>14933</v>
      </c>
      <c r="O4059" s="224">
        <v>70</v>
      </c>
      <c r="P4059" s="224">
        <v>80</v>
      </c>
      <c r="Q4059" s="224">
        <v>85</v>
      </c>
      <c r="R4059" s="224">
        <v>90</v>
      </c>
      <c r="S4059" s="224">
        <v>100</v>
      </c>
      <c r="T4059" s="223" t="s">
        <v>1345</v>
      </c>
      <c r="U4059" t="str">
        <f>VLOOKUP(T4059,[8]Votes!$A$1:$E$234,3,FALSE)</f>
        <v>001 Office of the President</v>
      </c>
      <c r="V4059" s="162" t="s">
        <v>14934</v>
      </c>
      <c r="W4059" s="416">
        <v>1</v>
      </c>
      <c r="X4059" s="416">
        <v>1</v>
      </c>
      <c r="Y4059" s="416">
        <v>1</v>
      </c>
      <c r="Z4059" s="416">
        <v>1</v>
      </c>
      <c r="AA4059" s="416">
        <v>1</v>
      </c>
      <c r="AB4059" s="416">
        <v>0</v>
      </c>
      <c r="AC4059" s="150">
        <v>1</v>
      </c>
      <c r="AD4059" s="150">
        <v>1</v>
      </c>
      <c r="AE4059" s="49">
        <f t="shared" si="148"/>
        <v>0.875</v>
      </c>
      <c r="AF4059" s="485">
        <v>1</v>
      </c>
      <c r="AG4059" s="17">
        <v>0</v>
      </c>
      <c r="AH4059" s="190">
        <v>0</v>
      </c>
      <c r="AI4059" s="190">
        <v>0</v>
      </c>
      <c r="AJ4059" s="485">
        <v>7</v>
      </c>
      <c r="AK4059" s="493">
        <v>1</v>
      </c>
      <c r="AL4059" s="493">
        <v>1</v>
      </c>
      <c r="AM4059" s="17">
        <f t="shared" si="149"/>
        <v>2</v>
      </c>
      <c r="AN4059" s="162" t="s">
        <v>1345</v>
      </c>
      <c r="AO4059" s="162" t="s">
        <v>1334</v>
      </c>
    </row>
    <row r="4060" spans="1:41" s="162" customFormat="1" x14ac:dyDescent="0.3">
      <c r="A4060" s="205" t="s">
        <v>8321</v>
      </c>
      <c r="B4060" s="162" t="s">
        <v>8322</v>
      </c>
      <c r="C4060" s="168" t="s">
        <v>13505</v>
      </c>
      <c r="D4060" s="162" t="s">
        <v>13506</v>
      </c>
      <c r="E4060" s="168" t="s">
        <v>13507</v>
      </c>
      <c r="F4060" s="162" t="s">
        <v>13508</v>
      </c>
      <c r="G4060" s="168">
        <v>165506</v>
      </c>
      <c r="H4060" s="162" t="s">
        <v>13509</v>
      </c>
      <c r="K4060" s="168" t="s">
        <v>14935</v>
      </c>
      <c r="L4060" s="162" t="s">
        <v>14936</v>
      </c>
      <c r="M4060" s="162" t="s">
        <v>14937</v>
      </c>
      <c r="O4060" s="224">
        <v>584</v>
      </c>
      <c r="P4060" s="224">
        <v>584</v>
      </c>
      <c r="Q4060" s="224">
        <v>584</v>
      </c>
      <c r="R4060" s="224">
        <v>584</v>
      </c>
      <c r="S4060" s="224">
        <v>584</v>
      </c>
      <c r="T4060" s="223" t="s">
        <v>1345</v>
      </c>
      <c r="U4060" t="str">
        <f>VLOOKUP(T4060,[8]Votes!$A$1:$E$234,3,FALSE)</f>
        <v>001 Office of the President</v>
      </c>
      <c r="V4060" s="162" t="s">
        <v>14938</v>
      </c>
      <c r="W4060" s="416">
        <v>1</v>
      </c>
      <c r="X4060" s="416">
        <v>1</v>
      </c>
      <c r="Y4060" s="416">
        <v>1</v>
      </c>
      <c r="Z4060" s="416">
        <v>1</v>
      </c>
      <c r="AA4060" s="416">
        <v>1</v>
      </c>
      <c r="AB4060" s="416">
        <v>0</v>
      </c>
      <c r="AC4060" s="150">
        <v>1</v>
      </c>
      <c r="AD4060" s="150">
        <v>1</v>
      </c>
      <c r="AE4060" s="49">
        <f t="shared" si="148"/>
        <v>0.875</v>
      </c>
      <c r="AF4060" s="485">
        <v>1</v>
      </c>
      <c r="AG4060" s="17">
        <v>0</v>
      </c>
      <c r="AH4060" s="190">
        <v>0</v>
      </c>
      <c r="AI4060" s="485">
        <v>6</v>
      </c>
      <c r="AJ4060" s="485">
        <v>9</v>
      </c>
      <c r="AK4060" s="493">
        <v>5.65</v>
      </c>
      <c r="AL4060" s="493">
        <v>5.7</v>
      </c>
      <c r="AM4060" s="17">
        <f t="shared" si="149"/>
        <v>11.350000000000001</v>
      </c>
      <c r="AN4060" s="162" t="s">
        <v>1345</v>
      </c>
      <c r="AO4060" s="162" t="s">
        <v>1334</v>
      </c>
    </row>
    <row r="4061" spans="1:41" s="162" customFormat="1" x14ac:dyDescent="0.3">
      <c r="A4061" s="205" t="s">
        <v>8321</v>
      </c>
      <c r="B4061" s="162" t="s">
        <v>8322</v>
      </c>
      <c r="C4061" s="168" t="s">
        <v>13505</v>
      </c>
      <c r="D4061" s="162" t="s">
        <v>13506</v>
      </c>
      <c r="E4061" s="168" t="s">
        <v>13507</v>
      </c>
      <c r="F4061" s="162" t="s">
        <v>13508</v>
      </c>
      <c r="G4061" s="168">
        <v>165506</v>
      </c>
      <c r="H4061" s="162" t="s">
        <v>13509</v>
      </c>
      <c r="K4061" s="168" t="s">
        <v>14939</v>
      </c>
      <c r="L4061" s="162" t="s">
        <v>14940</v>
      </c>
      <c r="M4061" s="162" t="s">
        <v>14941</v>
      </c>
      <c r="O4061" s="224">
        <v>40</v>
      </c>
      <c r="P4061" s="224">
        <v>50</v>
      </c>
      <c r="Q4061" s="224">
        <v>60</v>
      </c>
      <c r="R4061" s="224">
        <v>70</v>
      </c>
      <c r="S4061" s="224">
        <v>80</v>
      </c>
      <c r="T4061" s="223" t="s">
        <v>1345</v>
      </c>
      <c r="U4061" t="str">
        <f>VLOOKUP(T4061,[8]Votes!$A$1:$E$234,3,FALSE)</f>
        <v>001 Office of the President</v>
      </c>
      <c r="V4061" s="162" t="s">
        <v>14942</v>
      </c>
      <c r="W4061" s="416">
        <v>1</v>
      </c>
      <c r="X4061" s="416">
        <v>0</v>
      </c>
      <c r="Y4061" s="416">
        <v>1</v>
      </c>
      <c r="Z4061" s="416">
        <v>1</v>
      </c>
      <c r="AA4061" s="416">
        <v>1</v>
      </c>
      <c r="AB4061" s="416">
        <v>0</v>
      </c>
      <c r="AC4061" s="150">
        <v>1</v>
      </c>
      <c r="AD4061" s="150">
        <v>1</v>
      </c>
      <c r="AE4061" s="49">
        <f t="shared" si="148"/>
        <v>0.75</v>
      </c>
      <c r="AF4061" s="485">
        <v>1</v>
      </c>
      <c r="AG4061" s="17">
        <v>0</v>
      </c>
      <c r="AH4061" s="190">
        <v>0</v>
      </c>
      <c r="AI4061" s="485">
        <v>0.6</v>
      </c>
      <c r="AJ4061" s="485">
        <v>0.6</v>
      </c>
      <c r="AK4061" s="493">
        <v>0.6</v>
      </c>
      <c r="AL4061" s="493">
        <v>0.6</v>
      </c>
      <c r="AM4061" s="17">
        <f t="shared" si="149"/>
        <v>1.2</v>
      </c>
      <c r="AN4061" s="162" t="s">
        <v>1345</v>
      </c>
      <c r="AO4061" s="162" t="s">
        <v>1334</v>
      </c>
    </row>
    <row r="4062" spans="1:41" s="162" customFormat="1" x14ac:dyDescent="0.3">
      <c r="A4062" s="205" t="s">
        <v>8321</v>
      </c>
      <c r="B4062" s="162" t="s">
        <v>8322</v>
      </c>
      <c r="C4062" s="168" t="s">
        <v>13505</v>
      </c>
      <c r="D4062" s="162" t="s">
        <v>13506</v>
      </c>
      <c r="E4062" s="168" t="s">
        <v>13507</v>
      </c>
      <c r="F4062" s="162" t="s">
        <v>13508</v>
      </c>
      <c r="G4062" s="168">
        <v>165506</v>
      </c>
      <c r="H4062" s="162" t="s">
        <v>13509</v>
      </c>
      <c r="K4062" s="168" t="s">
        <v>14939</v>
      </c>
      <c r="L4062" s="162" t="s">
        <v>14940</v>
      </c>
      <c r="M4062" s="162" t="s">
        <v>14943</v>
      </c>
      <c r="O4062" s="224">
        <v>7008</v>
      </c>
      <c r="P4062" s="224">
        <v>7008</v>
      </c>
      <c r="Q4062" s="224">
        <v>7008</v>
      </c>
      <c r="R4062" s="224">
        <v>7008</v>
      </c>
      <c r="S4062" s="224">
        <v>7008</v>
      </c>
      <c r="T4062" s="223" t="s">
        <v>1345</v>
      </c>
      <c r="U4062" t="str">
        <f>VLOOKUP(T4062,[8]Votes!$A$1:$E$234,3,FALSE)</f>
        <v>001 Office of the President</v>
      </c>
      <c r="V4062" s="162" t="s">
        <v>14944</v>
      </c>
      <c r="W4062" s="416">
        <v>1</v>
      </c>
      <c r="X4062" s="416">
        <v>1</v>
      </c>
      <c r="Y4062" s="416">
        <v>1</v>
      </c>
      <c r="Z4062" s="416">
        <v>1</v>
      </c>
      <c r="AA4062" s="416">
        <v>1</v>
      </c>
      <c r="AB4062" s="416">
        <v>0</v>
      </c>
      <c r="AC4062" s="150">
        <v>1</v>
      </c>
      <c r="AD4062" s="150">
        <v>1</v>
      </c>
      <c r="AE4062" s="49">
        <f t="shared" si="148"/>
        <v>0.875</v>
      </c>
      <c r="AF4062" s="485">
        <v>1</v>
      </c>
      <c r="AG4062" s="17">
        <v>0</v>
      </c>
      <c r="AH4062" s="190">
        <v>0</v>
      </c>
      <c r="AI4062" s="485">
        <v>0.5</v>
      </c>
      <c r="AJ4062" s="485">
        <v>0.5</v>
      </c>
      <c r="AK4062" s="493">
        <v>0.5</v>
      </c>
      <c r="AL4062" s="493">
        <v>0.5</v>
      </c>
      <c r="AM4062" s="17">
        <f t="shared" si="149"/>
        <v>1</v>
      </c>
      <c r="AN4062" s="162" t="s">
        <v>1345</v>
      </c>
      <c r="AO4062" s="162" t="s">
        <v>1334</v>
      </c>
    </row>
    <row r="4063" spans="1:41" s="162" customFormat="1" x14ac:dyDescent="0.3">
      <c r="A4063" s="205" t="s">
        <v>8321</v>
      </c>
      <c r="B4063" s="162" t="s">
        <v>8322</v>
      </c>
      <c r="C4063" s="168" t="s">
        <v>13505</v>
      </c>
      <c r="D4063" s="162" t="s">
        <v>13506</v>
      </c>
      <c r="E4063" s="168" t="s">
        <v>13507</v>
      </c>
      <c r="F4063" s="162" t="s">
        <v>13508</v>
      </c>
      <c r="G4063" s="168">
        <v>165506</v>
      </c>
      <c r="H4063" s="162" t="s">
        <v>13509</v>
      </c>
      <c r="K4063" s="168" t="s">
        <v>14945</v>
      </c>
      <c r="L4063" s="162" t="s">
        <v>13510</v>
      </c>
      <c r="O4063" s="224"/>
      <c r="P4063" s="224">
        <v>1</v>
      </c>
      <c r="Q4063" s="224"/>
      <c r="R4063" s="224">
        <v>1</v>
      </c>
      <c r="S4063" s="224"/>
      <c r="T4063" s="223" t="s">
        <v>4932</v>
      </c>
      <c r="U4063" t="str">
        <f>VLOOKUP(T4063,[8]Votes!$A$1:$E$234,3,FALSE)</f>
        <v>007 Ministry of Justice and Constitutional Affairs</v>
      </c>
      <c r="V4063" s="162" t="s">
        <v>14946</v>
      </c>
      <c r="W4063" s="416">
        <v>1</v>
      </c>
      <c r="X4063" s="416">
        <v>1</v>
      </c>
      <c r="Y4063" s="416">
        <v>1</v>
      </c>
      <c r="Z4063" s="416">
        <v>1</v>
      </c>
      <c r="AA4063" s="416">
        <v>1</v>
      </c>
      <c r="AB4063" s="416">
        <v>0</v>
      </c>
      <c r="AC4063" s="150">
        <v>1</v>
      </c>
      <c r="AD4063" s="150">
        <v>1</v>
      </c>
      <c r="AE4063" s="49">
        <f t="shared" si="148"/>
        <v>0.875</v>
      </c>
      <c r="AF4063" s="485">
        <v>0</v>
      </c>
      <c r="AG4063" s="17">
        <v>0</v>
      </c>
      <c r="AH4063" s="190">
        <v>0</v>
      </c>
      <c r="AI4063" s="485">
        <v>0.3</v>
      </c>
      <c r="AJ4063" s="190">
        <v>0</v>
      </c>
      <c r="AK4063" s="493">
        <v>0.3</v>
      </c>
      <c r="AL4063" s="191">
        <v>0</v>
      </c>
      <c r="AM4063" s="17">
        <f t="shared" si="149"/>
        <v>0.3</v>
      </c>
      <c r="AN4063" s="223" t="s">
        <v>4932</v>
      </c>
      <c r="AO4063" s="162" t="s">
        <v>3877</v>
      </c>
    </row>
    <row r="4064" spans="1:41" s="162" customFormat="1" x14ac:dyDescent="0.3">
      <c r="A4064" s="205" t="s">
        <v>8321</v>
      </c>
      <c r="B4064" s="162" t="s">
        <v>8322</v>
      </c>
      <c r="C4064" s="168" t="s">
        <v>13505</v>
      </c>
      <c r="D4064" s="162" t="s">
        <v>13506</v>
      </c>
      <c r="E4064" s="168" t="s">
        <v>13507</v>
      </c>
      <c r="F4064" s="162" t="s">
        <v>13508</v>
      </c>
      <c r="G4064" s="168">
        <v>165506</v>
      </c>
      <c r="H4064" s="162" t="s">
        <v>13509</v>
      </c>
      <c r="K4064" s="168" t="s">
        <v>14947</v>
      </c>
      <c r="L4064" s="162" t="s">
        <v>14948</v>
      </c>
      <c r="M4064" s="162" t="s">
        <v>14949</v>
      </c>
      <c r="O4064" s="224">
        <v>1</v>
      </c>
      <c r="P4064" s="224">
        <v>1</v>
      </c>
      <c r="Q4064" s="224">
        <v>1</v>
      </c>
      <c r="R4064" s="224">
        <v>1</v>
      </c>
      <c r="S4064" s="224">
        <v>1</v>
      </c>
      <c r="T4064" s="223" t="s">
        <v>5829</v>
      </c>
      <c r="U4064" t="str">
        <f>VLOOKUP(T4064,[8]Votes!$A$1:$E$234,3,FALSE)</f>
        <v>103 Inspectorate of Government (IG)</v>
      </c>
      <c r="V4064" s="162" t="s">
        <v>14950</v>
      </c>
      <c r="W4064" s="416">
        <v>1</v>
      </c>
      <c r="X4064" s="416">
        <v>0</v>
      </c>
      <c r="Y4064" s="416">
        <v>0</v>
      </c>
      <c r="Z4064" s="416">
        <v>1</v>
      </c>
      <c r="AA4064" s="416">
        <v>1</v>
      </c>
      <c r="AB4064" s="416">
        <v>1</v>
      </c>
      <c r="AC4064" s="150">
        <v>0</v>
      </c>
      <c r="AD4064" s="150">
        <v>1</v>
      </c>
      <c r="AE4064" s="49">
        <f t="shared" si="148"/>
        <v>0.625</v>
      </c>
      <c r="AF4064" s="485">
        <v>0</v>
      </c>
      <c r="AG4064" s="17">
        <v>0</v>
      </c>
      <c r="AH4064" s="485">
        <v>0.1</v>
      </c>
      <c r="AI4064" s="485">
        <v>0.1</v>
      </c>
      <c r="AJ4064" s="485">
        <v>0.1</v>
      </c>
      <c r="AK4064" s="493">
        <v>0.3</v>
      </c>
      <c r="AL4064" s="493">
        <v>0.3</v>
      </c>
      <c r="AM4064" s="17">
        <f t="shared" si="149"/>
        <v>0.6</v>
      </c>
      <c r="AN4064" s="162" t="s">
        <v>5829</v>
      </c>
      <c r="AO4064" s="162" t="s">
        <v>5839</v>
      </c>
    </row>
    <row r="4065" spans="1:41" s="162" customFormat="1" x14ac:dyDescent="0.3">
      <c r="A4065" s="205" t="s">
        <v>8321</v>
      </c>
      <c r="B4065" s="162" t="s">
        <v>8322</v>
      </c>
      <c r="C4065" s="168" t="s">
        <v>13505</v>
      </c>
      <c r="D4065" s="162" t="s">
        <v>13506</v>
      </c>
      <c r="E4065" s="168" t="s">
        <v>13507</v>
      </c>
      <c r="F4065" s="162" t="s">
        <v>13508</v>
      </c>
      <c r="G4065" s="168">
        <v>165506</v>
      </c>
      <c r="H4065" s="162" t="s">
        <v>13509</v>
      </c>
      <c r="K4065" s="168" t="s">
        <v>14947</v>
      </c>
      <c r="L4065" s="162" t="s">
        <v>14948</v>
      </c>
      <c r="M4065" s="162" t="s">
        <v>14951</v>
      </c>
      <c r="O4065" s="224">
        <v>10</v>
      </c>
      <c r="P4065" s="224">
        <v>10</v>
      </c>
      <c r="Q4065" s="224">
        <v>10</v>
      </c>
      <c r="R4065" s="224">
        <v>10</v>
      </c>
      <c r="S4065" s="224">
        <v>10</v>
      </c>
      <c r="T4065" s="223" t="s">
        <v>5829</v>
      </c>
      <c r="U4065" t="str">
        <f>VLOOKUP(T4065,[8]Votes!$A$1:$E$234,3,FALSE)</f>
        <v>103 Inspectorate of Government (IG)</v>
      </c>
      <c r="V4065" s="162" t="s">
        <v>14952</v>
      </c>
      <c r="W4065" s="416">
        <v>1</v>
      </c>
      <c r="X4065" s="416">
        <v>1</v>
      </c>
      <c r="Y4065" s="416">
        <v>1</v>
      </c>
      <c r="Z4065" s="416">
        <v>1</v>
      </c>
      <c r="AA4065" s="416">
        <v>1</v>
      </c>
      <c r="AB4065" s="416">
        <v>0</v>
      </c>
      <c r="AC4065" s="150">
        <v>1</v>
      </c>
      <c r="AD4065" s="150">
        <v>1</v>
      </c>
      <c r="AE4065" s="49">
        <f t="shared" si="148"/>
        <v>0.875</v>
      </c>
      <c r="AF4065" s="485">
        <v>0</v>
      </c>
      <c r="AG4065" s="17">
        <v>0</v>
      </c>
      <c r="AH4065" s="485">
        <v>0.2</v>
      </c>
      <c r="AI4065" s="485">
        <v>0.2</v>
      </c>
      <c r="AJ4065" s="485">
        <v>0.2</v>
      </c>
      <c r="AK4065" s="493">
        <v>0.2</v>
      </c>
      <c r="AL4065" s="493">
        <v>0.2</v>
      </c>
      <c r="AM4065" s="17">
        <f t="shared" si="149"/>
        <v>0.4</v>
      </c>
      <c r="AN4065" s="162" t="s">
        <v>5829</v>
      </c>
      <c r="AO4065" s="162" t="s">
        <v>5839</v>
      </c>
    </row>
    <row r="4066" spans="1:41" s="162" customFormat="1" x14ac:dyDescent="0.3">
      <c r="A4066" s="205" t="s">
        <v>8321</v>
      </c>
      <c r="B4066" s="162" t="s">
        <v>8322</v>
      </c>
      <c r="C4066" s="168" t="s">
        <v>13505</v>
      </c>
      <c r="D4066" s="162" t="s">
        <v>13506</v>
      </c>
      <c r="E4066" s="168" t="s">
        <v>13507</v>
      </c>
      <c r="F4066" s="162" t="s">
        <v>13508</v>
      </c>
      <c r="G4066" s="168">
        <v>165506</v>
      </c>
      <c r="H4066" s="162" t="s">
        <v>13509</v>
      </c>
      <c r="K4066" s="168" t="s">
        <v>14947</v>
      </c>
      <c r="L4066" s="162" t="s">
        <v>14948</v>
      </c>
      <c r="M4066" s="162" t="s">
        <v>14953</v>
      </c>
      <c r="O4066" s="224">
        <v>8</v>
      </c>
      <c r="P4066" s="224">
        <v>8</v>
      </c>
      <c r="Q4066" s="224">
        <v>8</v>
      </c>
      <c r="R4066" s="224">
        <v>8</v>
      </c>
      <c r="S4066" s="224">
        <v>8</v>
      </c>
      <c r="T4066" s="223" t="s">
        <v>5829</v>
      </c>
      <c r="U4066" t="str">
        <f>VLOOKUP(T4066,[8]Votes!$A$1:$E$234,3,FALSE)</f>
        <v>103 Inspectorate of Government (IG)</v>
      </c>
      <c r="V4066" s="162" t="s">
        <v>14954</v>
      </c>
      <c r="W4066" s="416">
        <v>1</v>
      </c>
      <c r="X4066" s="416">
        <v>1</v>
      </c>
      <c r="Y4066" s="416">
        <v>1</v>
      </c>
      <c r="Z4066" s="416">
        <v>1</v>
      </c>
      <c r="AA4066" s="416">
        <v>1</v>
      </c>
      <c r="AB4066" s="416">
        <v>0</v>
      </c>
      <c r="AC4066" s="150">
        <v>1</v>
      </c>
      <c r="AD4066" s="150">
        <v>1</v>
      </c>
      <c r="AE4066" s="49">
        <f t="shared" si="148"/>
        <v>0.875</v>
      </c>
      <c r="AF4066" s="485">
        <v>0</v>
      </c>
      <c r="AG4066" s="17">
        <v>0</v>
      </c>
      <c r="AH4066" s="485">
        <v>0.1</v>
      </c>
      <c r="AI4066" s="485">
        <v>0.1</v>
      </c>
      <c r="AJ4066" s="485">
        <v>0.1</v>
      </c>
      <c r="AK4066" s="493">
        <v>0.1</v>
      </c>
      <c r="AL4066" s="493">
        <v>0.1</v>
      </c>
      <c r="AM4066" s="17">
        <f t="shared" si="149"/>
        <v>0.2</v>
      </c>
      <c r="AN4066" s="162" t="s">
        <v>5829</v>
      </c>
      <c r="AO4066" s="162" t="s">
        <v>5839</v>
      </c>
    </row>
    <row r="4067" spans="1:41" s="162" customFormat="1" x14ac:dyDescent="0.3">
      <c r="A4067" s="205" t="s">
        <v>8321</v>
      </c>
      <c r="B4067" s="162" t="s">
        <v>8322</v>
      </c>
      <c r="C4067" s="168" t="s">
        <v>13505</v>
      </c>
      <c r="D4067" s="162" t="s">
        <v>13506</v>
      </c>
      <c r="E4067" s="168" t="s">
        <v>13507</v>
      </c>
      <c r="F4067" s="162" t="s">
        <v>13508</v>
      </c>
      <c r="G4067" s="168">
        <v>165506</v>
      </c>
      <c r="H4067" s="162" t="s">
        <v>13509</v>
      </c>
      <c r="K4067" s="168" t="s">
        <v>14955</v>
      </c>
      <c r="L4067" s="162" t="s">
        <v>14956</v>
      </c>
      <c r="M4067" s="162" t="s">
        <v>14957</v>
      </c>
      <c r="O4067" s="224">
        <v>12</v>
      </c>
      <c r="P4067" s="224">
        <v>12</v>
      </c>
      <c r="Q4067" s="224">
        <v>12</v>
      </c>
      <c r="R4067" s="224">
        <v>12</v>
      </c>
      <c r="S4067" s="224">
        <v>12</v>
      </c>
      <c r="T4067" s="223" t="s">
        <v>5829</v>
      </c>
      <c r="U4067" t="str">
        <f>VLOOKUP(T4067,[8]Votes!$A$1:$E$234,3,FALSE)</f>
        <v>103 Inspectorate of Government (IG)</v>
      </c>
      <c r="V4067" s="162" t="s">
        <v>14958</v>
      </c>
      <c r="W4067" s="416">
        <v>0</v>
      </c>
      <c r="X4067" s="416">
        <v>0</v>
      </c>
      <c r="Y4067" s="416">
        <v>1</v>
      </c>
      <c r="Z4067" s="416">
        <v>1</v>
      </c>
      <c r="AA4067" s="416">
        <v>1</v>
      </c>
      <c r="AB4067" s="416">
        <v>0</v>
      </c>
      <c r="AC4067" s="150">
        <v>1</v>
      </c>
      <c r="AD4067" s="150">
        <v>1</v>
      </c>
      <c r="AE4067" s="49">
        <f t="shared" si="148"/>
        <v>0.625</v>
      </c>
      <c r="AF4067" s="485">
        <v>0</v>
      </c>
      <c r="AG4067" s="17">
        <v>0</v>
      </c>
      <c r="AH4067" s="485">
        <v>0.45</v>
      </c>
      <c r="AI4067" s="485">
        <v>0.45</v>
      </c>
      <c r="AJ4067" s="485">
        <v>0.45</v>
      </c>
      <c r="AK4067" s="493">
        <v>0.45</v>
      </c>
      <c r="AL4067" s="493">
        <v>0.45</v>
      </c>
      <c r="AM4067" s="17">
        <f t="shared" si="149"/>
        <v>0.9</v>
      </c>
      <c r="AN4067" s="162" t="s">
        <v>5829</v>
      </c>
      <c r="AO4067" s="162" t="s">
        <v>5839</v>
      </c>
    </row>
    <row r="4068" spans="1:41" s="162" customFormat="1" x14ac:dyDescent="0.3">
      <c r="A4068" s="205" t="s">
        <v>8321</v>
      </c>
      <c r="B4068" s="162" t="s">
        <v>8322</v>
      </c>
      <c r="C4068" s="168" t="s">
        <v>13505</v>
      </c>
      <c r="D4068" s="162" t="s">
        <v>13506</v>
      </c>
      <c r="E4068" s="168" t="s">
        <v>13507</v>
      </c>
      <c r="F4068" s="162" t="s">
        <v>13508</v>
      </c>
      <c r="G4068" s="168">
        <v>165506</v>
      </c>
      <c r="H4068" s="162" t="s">
        <v>13509</v>
      </c>
      <c r="K4068" s="168" t="s">
        <v>14955</v>
      </c>
      <c r="L4068" s="162" t="s">
        <v>14956</v>
      </c>
      <c r="M4068" s="162" t="s">
        <v>14959</v>
      </c>
      <c r="O4068" s="224">
        <v>1</v>
      </c>
      <c r="P4068" s="224">
        <v>1</v>
      </c>
      <c r="Q4068" s="224">
        <v>1</v>
      </c>
      <c r="R4068" s="224">
        <v>1</v>
      </c>
      <c r="S4068" s="224">
        <v>1</v>
      </c>
      <c r="T4068" s="223" t="s">
        <v>5829</v>
      </c>
      <c r="U4068" t="str">
        <f>VLOOKUP(T4068,[8]Votes!$A$1:$E$234,3,FALSE)</f>
        <v>103 Inspectorate of Government (IG)</v>
      </c>
      <c r="V4068" s="162" t="s">
        <v>14960</v>
      </c>
      <c r="W4068" s="416">
        <v>1</v>
      </c>
      <c r="X4068" s="416">
        <v>1</v>
      </c>
      <c r="Y4068" s="416">
        <v>1</v>
      </c>
      <c r="Z4068" s="416">
        <v>1</v>
      </c>
      <c r="AA4068" s="416">
        <v>1</v>
      </c>
      <c r="AB4068" s="416">
        <v>0</v>
      </c>
      <c r="AC4068" s="150">
        <v>1</v>
      </c>
      <c r="AD4068" s="150">
        <v>1</v>
      </c>
      <c r="AE4068" s="49">
        <f t="shared" si="148"/>
        <v>0.875</v>
      </c>
      <c r="AF4068" s="485">
        <v>0</v>
      </c>
      <c r="AG4068" s="17">
        <v>0</v>
      </c>
      <c r="AH4068" s="190">
        <v>0</v>
      </c>
      <c r="AI4068" s="190">
        <v>0</v>
      </c>
      <c r="AJ4068" s="190">
        <v>0</v>
      </c>
      <c r="AK4068" s="191">
        <v>1.3</v>
      </c>
      <c r="AL4068" s="191">
        <v>1.3</v>
      </c>
      <c r="AM4068" s="17">
        <f t="shared" si="149"/>
        <v>2.6</v>
      </c>
      <c r="AN4068" s="162" t="s">
        <v>5829</v>
      </c>
      <c r="AO4068" s="162" t="s">
        <v>5839</v>
      </c>
    </row>
    <row r="4069" spans="1:41" s="162" customFormat="1" x14ac:dyDescent="0.3">
      <c r="A4069" s="205" t="s">
        <v>8321</v>
      </c>
      <c r="B4069" s="162" t="s">
        <v>8322</v>
      </c>
      <c r="C4069" s="168" t="s">
        <v>13505</v>
      </c>
      <c r="D4069" s="162" t="s">
        <v>13506</v>
      </c>
      <c r="E4069" s="168" t="s">
        <v>13507</v>
      </c>
      <c r="F4069" s="162" t="s">
        <v>13508</v>
      </c>
      <c r="G4069" s="168">
        <v>165506</v>
      </c>
      <c r="H4069" s="162" t="s">
        <v>13509</v>
      </c>
      <c r="K4069" s="168" t="s">
        <v>14955</v>
      </c>
      <c r="L4069" s="162" t="s">
        <v>14956</v>
      </c>
      <c r="M4069" s="162" t="s">
        <v>14961</v>
      </c>
      <c r="O4069" s="492">
        <v>0.7</v>
      </c>
      <c r="P4069" s="492">
        <v>0.7</v>
      </c>
      <c r="Q4069" s="492">
        <v>0.8</v>
      </c>
      <c r="R4069" s="492">
        <v>0.8</v>
      </c>
      <c r="S4069" s="492">
        <v>0.9</v>
      </c>
      <c r="T4069" s="223" t="s">
        <v>5829</v>
      </c>
      <c r="U4069" t="str">
        <f>VLOOKUP(T4069,[8]Votes!$A$1:$E$234,3,FALSE)</f>
        <v>103 Inspectorate of Government (IG)</v>
      </c>
      <c r="V4069" s="162" t="s">
        <v>14962</v>
      </c>
      <c r="W4069" s="416">
        <v>1</v>
      </c>
      <c r="X4069" s="416">
        <v>0</v>
      </c>
      <c r="Y4069" s="416">
        <v>0</v>
      </c>
      <c r="Z4069" s="416">
        <v>1</v>
      </c>
      <c r="AA4069" s="416">
        <v>1</v>
      </c>
      <c r="AB4069" s="416">
        <v>0</v>
      </c>
      <c r="AC4069" s="150">
        <v>1</v>
      </c>
      <c r="AD4069" s="150">
        <v>1</v>
      </c>
      <c r="AE4069" s="49">
        <f t="shared" si="148"/>
        <v>0.625</v>
      </c>
      <c r="AF4069" s="485">
        <v>0</v>
      </c>
      <c r="AG4069" s="17">
        <v>0</v>
      </c>
      <c r="AH4069" s="485">
        <v>0.4</v>
      </c>
      <c r="AI4069" s="485">
        <v>0.4</v>
      </c>
      <c r="AJ4069" s="485">
        <v>0.4</v>
      </c>
      <c r="AK4069" s="493">
        <v>0.4</v>
      </c>
      <c r="AL4069" s="493">
        <v>0.4</v>
      </c>
      <c r="AM4069" s="17">
        <f t="shared" si="149"/>
        <v>0.8</v>
      </c>
      <c r="AN4069" s="162" t="s">
        <v>5829</v>
      </c>
      <c r="AO4069" s="162" t="s">
        <v>5839</v>
      </c>
    </row>
    <row r="4070" spans="1:41" s="162" customFormat="1" x14ac:dyDescent="0.3">
      <c r="A4070" s="205" t="s">
        <v>8321</v>
      </c>
      <c r="B4070" s="162" t="s">
        <v>8322</v>
      </c>
      <c r="C4070" s="168" t="s">
        <v>13505</v>
      </c>
      <c r="D4070" s="162" t="s">
        <v>13506</v>
      </c>
      <c r="E4070" s="168" t="s">
        <v>13507</v>
      </c>
      <c r="F4070" s="162" t="s">
        <v>13508</v>
      </c>
      <c r="G4070" s="168">
        <v>165506</v>
      </c>
      <c r="H4070" s="162" t="s">
        <v>13509</v>
      </c>
      <c r="K4070" s="168" t="s">
        <v>14963</v>
      </c>
      <c r="L4070" s="162" t="s">
        <v>14964</v>
      </c>
      <c r="M4070" s="162" t="s">
        <v>14965</v>
      </c>
      <c r="O4070" s="492">
        <v>1</v>
      </c>
      <c r="P4070" s="492">
        <v>1</v>
      </c>
      <c r="Q4070" s="492">
        <v>1</v>
      </c>
      <c r="R4070" s="492">
        <v>0.3</v>
      </c>
      <c r="S4070" s="492">
        <v>0.4</v>
      </c>
      <c r="T4070" s="223" t="s">
        <v>5829</v>
      </c>
      <c r="U4070" t="str">
        <f>VLOOKUP(T4070,[8]Votes!$A$1:$E$234,3,FALSE)</f>
        <v>103 Inspectorate of Government (IG)</v>
      </c>
      <c r="V4070" s="162" t="s">
        <v>14966</v>
      </c>
      <c r="W4070" s="416">
        <v>1</v>
      </c>
      <c r="X4070" s="416">
        <v>1</v>
      </c>
      <c r="Y4070" s="416">
        <v>1</v>
      </c>
      <c r="Z4070" s="416">
        <v>1</v>
      </c>
      <c r="AA4070" s="416">
        <v>1</v>
      </c>
      <c r="AB4070" s="416">
        <v>0</v>
      </c>
      <c r="AC4070" s="150">
        <v>1</v>
      </c>
      <c r="AD4070" s="150">
        <v>1</v>
      </c>
      <c r="AE4070" s="49">
        <f t="shared" si="148"/>
        <v>0.875</v>
      </c>
      <c r="AF4070" s="485">
        <v>0</v>
      </c>
      <c r="AG4070" s="17">
        <v>0</v>
      </c>
      <c r="AH4070" s="485">
        <v>0.3</v>
      </c>
      <c r="AI4070" s="485">
        <v>0.3</v>
      </c>
      <c r="AJ4070" s="485">
        <v>0.3</v>
      </c>
      <c r="AK4070" s="493">
        <v>0.3</v>
      </c>
      <c r="AL4070" s="493">
        <v>0.3</v>
      </c>
      <c r="AM4070" s="17">
        <f t="shared" si="149"/>
        <v>0.6</v>
      </c>
      <c r="AN4070" s="162" t="s">
        <v>5829</v>
      </c>
      <c r="AO4070" s="162" t="s">
        <v>5839</v>
      </c>
    </row>
    <row r="4071" spans="1:41" s="162" customFormat="1" x14ac:dyDescent="0.3">
      <c r="A4071" s="205" t="s">
        <v>8321</v>
      </c>
      <c r="B4071" s="162" t="s">
        <v>8322</v>
      </c>
      <c r="C4071" s="168" t="s">
        <v>13505</v>
      </c>
      <c r="D4071" s="162" t="s">
        <v>13506</v>
      </c>
      <c r="E4071" s="168" t="s">
        <v>13507</v>
      </c>
      <c r="F4071" s="162" t="s">
        <v>13508</v>
      </c>
      <c r="G4071" s="168">
        <v>165506</v>
      </c>
      <c r="H4071" s="162" t="s">
        <v>13509</v>
      </c>
      <c r="K4071" s="168" t="s">
        <v>14963</v>
      </c>
      <c r="L4071" s="162" t="s">
        <v>14964</v>
      </c>
      <c r="M4071" s="162" t="s">
        <v>14967</v>
      </c>
      <c r="O4071" s="492">
        <v>0.1</v>
      </c>
      <c r="P4071" s="492">
        <v>0.3</v>
      </c>
      <c r="Q4071" s="492">
        <v>0.5</v>
      </c>
      <c r="R4071" s="492">
        <v>0.5</v>
      </c>
      <c r="S4071" s="492">
        <v>0.5</v>
      </c>
      <c r="T4071" s="223" t="s">
        <v>5829</v>
      </c>
      <c r="U4071" t="str">
        <f>VLOOKUP(T4071,[8]Votes!$A$1:$E$234,3,FALSE)</f>
        <v>103 Inspectorate of Government (IG)</v>
      </c>
      <c r="V4071" s="162" t="s">
        <v>14968</v>
      </c>
      <c r="W4071" s="416">
        <v>0</v>
      </c>
      <c r="X4071" s="416">
        <v>0</v>
      </c>
      <c r="Y4071" s="416">
        <v>0</v>
      </c>
      <c r="Z4071" s="416">
        <v>0</v>
      </c>
      <c r="AA4071" s="416">
        <v>0</v>
      </c>
      <c r="AB4071" s="416">
        <v>0</v>
      </c>
      <c r="AC4071" s="150">
        <v>1</v>
      </c>
      <c r="AD4071" s="150">
        <v>1</v>
      </c>
      <c r="AE4071" s="49">
        <f t="shared" si="148"/>
        <v>0.25</v>
      </c>
      <c r="AF4071" s="485">
        <v>0</v>
      </c>
      <c r="AG4071" s="17">
        <v>0</v>
      </c>
      <c r="AH4071" s="485">
        <v>0.5</v>
      </c>
      <c r="AI4071" s="485">
        <v>0.5</v>
      </c>
      <c r="AJ4071" s="485">
        <v>0.5</v>
      </c>
      <c r="AK4071" s="493">
        <v>0.2</v>
      </c>
      <c r="AL4071" s="493">
        <v>0.2</v>
      </c>
      <c r="AM4071" s="17">
        <f t="shared" si="149"/>
        <v>0.4</v>
      </c>
      <c r="AN4071" s="162" t="s">
        <v>5829</v>
      </c>
      <c r="AO4071" s="162" t="s">
        <v>5839</v>
      </c>
    </row>
    <row r="4072" spans="1:41" s="162" customFormat="1" x14ac:dyDescent="0.3">
      <c r="A4072" s="205" t="s">
        <v>8321</v>
      </c>
      <c r="B4072" s="162" t="s">
        <v>8322</v>
      </c>
      <c r="C4072" s="168" t="s">
        <v>13505</v>
      </c>
      <c r="D4072" s="162" t="s">
        <v>13506</v>
      </c>
      <c r="E4072" s="168" t="s">
        <v>13507</v>
      </c>
      <c r="F4072" s="162" t="s">
        <v>13508</v>
      </c>
      <c r="G4072" s="168">
        <v>165506</v>
      </c>
      <c r="H4072" s="162" t="s">
        <v>13509</v>
      </c>
      <c r="K4072" s="168" t="s">
        <v>14969</v>
      </c>
      <c r="L4072" s="162" t="s">
        <v>14970</v>
      </c>
      <c r="M4072" s="162" t="s">
        <v>14971</v>
      </c>
      <c r="O4072" s="492">
        <v>0.55000000000000004</v>
      </c>
      <c r="P4072" s="492">
        <v>0.6</v>
      </c>
      <c r="Q4072" s="492">
        <v>0.7</v>
      </c>
      <c r="R4072" s="492">
        <v>0.8</v>
      </c>
      <c r="S4072" s="492">
        <v>1</v>
      </c>
      <c r="T4072" s="223" t="s">
        <v>5829</v>
      </c>
      <c r="U4072" t="str">
        <f>VLOOKUP(T4072,[8]Votes!$A$1:$E$234,3,FALSE)</f>
        <v>103 Inspectorate of Government (IG)</v>
      </c>
      <c r="V4072" s="162" t="s">
        <v>14972</v>
      </c>
      <c r="W4072" s="416">
        <v>1</v>
      </c>
      <c r="X4072" s="416">
        <v>1</v>
      </c>
      <c r="Y4072" s="416">
        <v>1</v>
      </c>
      <c r="Z4072" s="416">
        <v>1</v>
      </c>
      <c r="AA4072" s="416">
        <v>1</v>
      </c>
      <c r="AB4072" s="416">
        <v>0</v>
      </c>
      <c r="AC4072" s="150">
        <v>1</v>
      </c>
      <c r="AD4072" s="150">
        <v>1</v>
      </c>
      <c r="AE4072" s="49">
        <f t="shared" si="148"/>
        <v>0.875</v>
      </c>
      <c r="AF4072" s="485">
        <v>0</v>
      </c>
      <c r="AG4072" s="17">
        <v>0</v>
      </c>
      <c r="AH4072" s="485">
        <v>0.6</v>
      </c>
      <c r="AI4072" s="485">
        <v>0.6</v>
      </c>
      <c r="AJ4072" s="485">
        <v>0.7</v>
      </c>
      <c r="AK4072" s="493">
        <v>0.8</v>
      </c>
      <c r="AL4072" s="493">
        <v>1</v>
      </c>
      <c r="AM4072" s="17">
        <f t="shared" si="149"/>
        <v>1.8</v>
      </c>
      <c r="AN4072" s="162" t="s">
        <v>5829</v>
      </c>
      <c r="AO4072" s="162" t="s">
        <v>5839</v>
      </c>
    </row>
    <row r="4073" spans="1:41" s="162" customFormat="1" x14ac:dyDescent="0.3">
      <c r="A4073" s="205" t="s">
        <v>8321</v>
      </c>
      <c r="B4073" s="162" t="s">
        <v>8322</v>
      </c>
      <c r="C4073" s="168" t="s">
        <v>13505</v>
      </c>
      <c r="D4073" s="162" t="s">
        <v>13506</v>
      </c>
      <c r="E4073" s="168" t="s">
        <v>13507</v>
      </c>
      <c r="F4073" s="162" t="s">
        <v>13508</v>
      </c>
      <c r="G4073" s="168">
        <v>165506</v>
      </c>
      <c r="H4073" s="162" t="s">
        <v>13509</v>
      </c>
      <c r="K4073" s="168" t="s">
        <v>14969</v>
      </c>
      <c r="L4073" s="162" t="s">
        <v>14970</v>
      </c>
      <c r="M4073" s="162" t="s">
        <v>14973</v>
      </c>
      <c r="O4073" s="492">
        <v>0.55000000000000004</v>
      </c>
      <c r="P4073" s="492">
        <v>0.6</v>
      </c>
      <c r="Q4073" s="492">
        <v>0.7</v>
      </c>
      <c r="R4073" s="492">
        <v>0.55000000000000004</v>
      </c>
      <c r="S4073" s="492">
        <v>0.55000000000000004</v>
      </c>
      <c r="T4073" s="223" t="s">
        <v>5829</v>
      </c>
      <c r="U4073" t="str">
        <f>VLOOKUP(T4073,[8]Votes!$A$1:$E$234,3,FALSE)</f>
        <v>103 Inspectorate of Government (IG)</v>
      </c>
      <c r="V4073" s="162" t="s">
        <v>14974</v>
      </c>
      <c r="W4073" s="416">
        <v>1</v>
      </c>
      <c r="X4073" s="416">
        <v>1</v>
      </c>
      <c r="Y4073" s="416">
        <v>1</v>
      </c>
      <c r="Z4073" s="416">
        <v>1</v>
      </c>
      <c r="AA4073" s="416">
        <v>1</v>
      </c>
      <c r="AB4073" s="416">
        <v>0</v>
      </c>
      <c r="AC4073" s="150">
        <v>1</v>
      </c>
      <c r="AD4073" s="150">
        <v>1</v>
      </c>
      <c r="AE4073" s="49">
        <f t="shared" si="148"/>
        <v>0.875</v>
      </c>
      <c r="AF4073" s="485">
        <v>0</v>
      </c>
      <c r="AG4073" s="17">
        <v>0</v>
      </c>
      <c r="AH4073" s="485">
        <v>0.5</v>
      </c>
      <c r="AI4073" s="485">
        <v>0.5</v>
      </c>
      <c r="AJ4073" s="485">
        <v>0.5</v>
      </c>
      <c r="AK4073" s="493">
        <v>0.3</v>
      </c>
      <c r="AL4073" s="493">
        <v>0.3</v>
      </c>
      <c r="AM4073" s="17">
        <f t="shared" si="149"/>
        <v>0.6</v>
      </c>
      <c r="AN4073" s="162" t="s">
        <v>5829</v>
      </c>
      <c r="AO4073" s="162" t="s">
        <v>5839</v>
      </c>
    </row>
    <row r="4074" spans="1:41" s="162" customFormat="1" x14ac:dyDescent="0.3">
      <c r="A4074" s="205" t="s">
        <v>8321</v>
      </c>
      <c r="B4074" s="162" t="s">
        <v>8322</v>
      </c>
      <c r="C4074" s="168" t="s">
        <v>13505</v>
      </c>
      <c r="D4074" s="162" t="s">
        <v>13506</v>
      </c>
      <c r="E4074" s="168" t="s">
        <v>13507</v>
      </c>
      <c r="F4074" s="162" t="s">
        <v>13508</v>
      </c>
      <c r="G4074" s="168">
        <v>165506</v>
      </c>
      <c r="H4074" s="162" t="s">
        <v>13509</v>
      </c>
      <c r="K4074" s="168" t="s">
        <v>14969</v>
      </c>
      <c r="L4074" s="162" t="s">
        <v>14970</v>
      </c>
      <c r="M4074" s="162" t="s">
        <v>14975</v>
      </c>
      <c r="O4074" s="492">
        <v>0.55000000000000004</v>
      </c>
      <c r="P4074" s="492">
        <v>0.6</v>
      </c>
      <c r="Q4074" s="492">
        <v>0.7</v>
      </c>
      <c r="R4074" s="492">
        <v>0.7</v>
      </c>
      <c r="S4074" s="492">
        <v>0.7</v>
      </c>
      <c r="T4074" s="223" t="s">
        <v>5829</v>
      </c>
      <c r="U4074" t="str">
        <f>VLOOKUP(T4074,[8]Votes!$A$1:$E$234,3,FALSE)</f>
        <v>103 Inspectorate of Government (IG)</v>
      </c>
      <c r="V4074" s="162" t="s">
        <v>14976</v>
      </c>
      <c r="W4074" s="416">
        <v>1</v>
      </c>
      <c r="X4074" s="416">
        <v>1</v>
      </c>
      <c r="Y4074" s="416">
        <v>1</v>
      </c>
      <c r="Z4074" s="416">
        <v>1</v>
      </c>
      <c r="AA4074" s="416">
        <v>1</v>
      </c>
      <c r="AB4074" s="416">
        <v>0</v>
      </c>
      <c r="AC4074" s="150">
        <v>1</v>
      </c>
      <c r="AD4074" s="150">
        <v>1</v>
      </c>
      <c r="AE4074" s="49">
        <f t="shared" si="148"/>
        <v>0.875</v>
      </c>
      <c r="AF4074" s="485">
        <v>0</v>
      </c>
      <c r="AG4074" s="17">
        <v>0</v>
      </c>
      <c r="AH4074" s="485">
        <v>0.6</v>
      </c>
      <c r="AI4074" s="485">
        <v>0.6</v>
      </c>
      <c r="AJ4074" s="485">
        <v>0.7</v>
      </c>
      <c r="AK4074" s="493">
        <v>0.8</v>
      </c>
      <c r="AL4074" s="493">
        <v>1</v>
      </c>
      <c r="AM4074" s="17">
        <f t="shared" si="149"/>
        <v>1.8</v>
      </c>
      <c r="AN4074" s="162" t="s">
        <v>5829</v>
      </c>
      <c r="AO4074" s="162" t="s">
        <v>5839</v>
      </c>
    </row>
    <row r="4075" spans="1:41" s="162" customFormat="1" x14ac:dyDescent="0.3">
      <c r="A4075" s="205" t="s">
        <v>8321</v>
      </c>
      <c r="B4075" s="162" t="s">
        <v>8322</v>
      </c>
      <c r="C4075" s="168" t="s">
        <v>13505</v>
      </c>
      <c r="D4075" s="162" t="s">
        <v>13506</v>
      </c>
      <c r="E4075" s="168" t="s">
        <v>13507</v>
      </c>
      <c r="F4075" s="162" t="s">
        <v>13508</v>
      </c>
      <c r="G4075" s="168">
        <v>165506</v>
      </c>
      <c r="H4075" s="162" t="s">
        <v>13509</v>
      </c>
      <c r="K4075" s="168" t="s">
        <v>14977</v>
      </c>
      <c r="L4075" s="162" t="s">
        <v>14978</v>
      </c>
      <c r="M4075" s="162" t="s">
        <v>14979</v>
      </c>
      <c r="O4075" s="224"/>
      <c r="P4075" s="492">
        <v>0.82</v>
      </c>
      <c r="Q4075" s="492">
        <v>0.84</v>
      </c>
      <c r="R4075" s="492">
        <v>0.86</v>
      </c>
      <c r="S4075" s="492">
        <v>0.88</v>
      </c>
      <c r="T4075" s="223" t="s">
        <v>1588</v>
      </c>
      <c r="U4075" t="str">
        <f>VLOOKUP(T4075,[8]Votes!$A$1:$E$234,3,FALSE)</f>
        <v>148 Judicial Service Commission</v>
      </c>
      <c r="V4075" s="162" t="s">
        <v>14980</v>
      </c>
      <c r="W4075" s="416">
        <v>1</v>
      </c>
      <c r="X4075" s="416">
        <v>1</v>
      </c>
      <c r="Y4075" s="416">
        <v>1</v>
      </c>
      <c r="Z4075" s="416">
        <v>1</v>
      </c>
      <c r="AA4075" s="416">
        <v>1</v>
      </c>
      <c r="AB4075" s="416">
        <v>0</v>
      </c>
      <c r="AC4075" s="150">
        <v>1</v>
      </c>
      <c r="AD4075" s="150">
        <v>1</v>
      </c>
      <c r="AE4075" s="49">
        <f t="shared" si="148"/>
        <v>0.875</v>
      </c>
      <c r="AF4075" s="485">
        <v>0</v>
      </c>
      <c r="AG4075" s="17">
        <v>0</v>
      </c>
      <c r="AH4075" s="190">
        <v>0</v>
      </c>
      <c r="AI4075" s="190">
        <v>0</v>
      </c>
      <c r="AJ4075" s="190">
        <v>0</v>
      </c>
      <c r="AK4075" s="191">
        <v>0</v>
      </c>
      <c r="AL4075" s="191">
        <v>0</v>
      </c>
      <c r="AM4075" s="17">
        <f t="shared" si="149"/>
        <v>0</v>
      </c>
      <c r="AN4075" s="162" t="s">
        <v>1588</v>
      </c>
      <c r="AO4075" s="162" t="s">
        <v>1590</v>
      </c>
    </row>
    <row r="4076" spans="1:41" s="162" customFormat="1" x14ac:dyDescent="0.3">
      <c r="A4076" s="205" t="s">
        <v>8321</v>
      </c>
      <c r="B4076" s="162" t="s">
        <v>8322</v>
      </c>
      <c r="C4076" s="168" t="s">
        <v>13505</v>
      </c>
      <c r="D4076" s="162" t="s">
        <v>13506</v>
      </c>
      <c r="E4076" s="168" t="s">
        <v>13507</v>
      </c>
      <c r="F4076" s="162" t="s">
        <v>13508</v>
      </c>
      <c r="G4076" s="168">
        <v>165506</v>
      </c>
      <c r="H4076" s="162" t="s">
        <v>13509</v>
      </c>
      <c r="K4076" s="168" t="s">
        <v>14977</v>
      </c>
      <c r="L4076" s="162" t="s">
        <v>14978</v>
      </c>
      <c r="M4076" s="162" t="s">
        <v>14979</v>
      </c>
      <c r="O4076" s="224"/>
      <c r="P4076" s="492"/>
      <c r="Q4076" s="492"/>
      <c r="R4076" s="492"/>
      <c r="S4076" s="492"/>
      <c r="T4076" s="162" t="s">
        <v>1446</v>
      </c>
      <c r="U4076" t="str">
        <f>VLOOKUP(T4076,[8]Votes!$A$1:$E$234,3,FALSE)</f>
        <v>141 Uganda Revenue Authority</v>
      </c>
      <c r="V4076" s="162" t="s">
        <v>14981</v>
      </c>
      <c r="W4076" s="416">
        <v>1</v>
      </c>
      <c r="X4076" s="416">
        <v>1</v>
      </c>
      <c r="Y4076" s="416">
        <v>1</v>
      </c>
      <c r="Z4076" s="416">
        <v>1</v>
      </c>
      <c r="AA4076" s="416">
        <v>1</v>
      </c>
      <c r="AB4076" s="416">
        <v>0</v>
      </c>
      <c r="AC4076" s="150">
        <v>1</v>
      </c>
      <c r="AD4076" s="150">
        <v>1</v>
      </c>
      <c r="AE4076" s="49">
        <f t="shared" si="148"/>
        <v>0.875</v>
      </c>
      <c r="AF4076" s="485">
        <v>0</v>
      </c>
      <c r="AG4076" s="17">
        <v>0</v>
      </c>
      <c r="AH4076" s="190">
        <v>0</v>
      </c>
      <c r="AI4076" s="190">
        <v>0</v>
      </c>
      <c r="AJ4076" s="190">
        <v>0</v>
      </c>
      <c r="AK4076" s="191">
        <v>0</v>
      </c>
      <c r="AL4076" s="191">
        <v>0</v>
      </c>
      <c r="AM4076" s="17">
        <f t="shared" si="149"/>
        <v>0</v>
      </c>
      <c r="AN4076" s="162" t="s">
        <v>1446</v>
      </c>
      <c r="AO4076" s="162" t="s">
        <v>3715</v>
      </c>
    </row>
    <row r="4077" spans="1:41" s="162" customFormat="1" x14ac:dyDescent="0.3">
      <c r="A4077" s="205" t="s">
        <v>8321</v>
      </c>
      <c r="B4077" s="162" t="s">
        <v>8322</v>
      </c>
      <c r="C4077" s="168" t="s">
        <v>13505</v>
      </c>
      <c r="D4077" s="162" t="s">
        <v>13506</v>
      </c>
      <c r="E4077" s="168" t="s">
        <v>13507</v>
      </c>
      <c r="F4077" s="162" t="s">
        <v>13508</v>
      </c>
      <c r="G4077" s="168">
        <v>165506</v>
      </c>
      <c r="H4077" s="162" t="s">
        <v>13509</v>
      </c>
      <c r="K4077" s="168" t="s">
        <v>14977</v>
      </c>
      <c r="L4077" s="162" t="s">
        <v>14978</v>
      </c>
      <c r="M4077" s="162" t="s">
        <v>14979</v>
      </c>
      <c r="O4077" s="224"/>
      <c r="P4077" s="492"/>
      <c r="Q4077" s="492"/>
      <c r="R4077" s="492"/>
      <c r="S4077" s="492"/>
      <c r="T4077" s="223" t="s">
        <v>1446</v>
      </c>
      <c r="U4077" t="str">
        <f>VLOOKUP(T4077,[8]Votes!$A$1:$E$234,3,FALSE)</f>
        <v>141 Uganda Revenue Authority</v>
      </c>
      <c r="V4077" s="162" t="s">
        <v>14817</v>
      </c>
      <c r="W4077" s="416">
        <v>1</v>
      </c>
      <c r="X4077" s="416">
        <v>1</v>
      </c>
      <c r="Y4077" s="416">
        <v>1</v>
      </c>
      <c r="Z4077" s="416">
        <v>1</v>
      </c>
      <c r="AA4077" s="416">
        <v>1</v>
      </c>
      <c r="AB4077" s="416">
        <v>0</v>
      </c>
      <c r="AC4077" s="150">
        <v>1</v>
      </c>
      <c r="AD4077" s="150">
        <v>1</v>
      </c>
      <c r="AE4077" s="49">
        <f t="shared" si="148"/>
        <v>0.875</v>
      </c>
      <c r="AF4077" s="485">
        <v>0</v>
      </c>
      <c r="AG4077" s="17">
        <v>0</v>
      </c>
      <c r="AH4077" s="190">
        <v>0</v>
      </c>
      <c r="AI4077" s="190">
        <v>0</v>
      </c>
      <c r="AJ4077" s="190">
        <v>0</v>
      </c>
      <c r="AK4077" s="191">
        <v>0</v>
      </c>
      <c r="AL4077" s="191">
        <v>0</v>
      </c>
      <c r="AM4077" s="17">
        <f t="shared" si="149"/>
        <v>0</v>
      </c>
      <c r="AN4077" s="162" t="s">
        <v>1446</v>
      </c>
      <c r="AO4077" s="162" t="s">
        <v>3715</v>
      </c>
    </row>
    <row r="4078" spans="1:41" s="162" customFormat="1" x14ac:dyDescent="0.3">
      <c r="A4078" s="205" t="s">
        <v>8321</v>
      </c>
      <c r="B4078" s="162" t="s">
        <v>8322</v>
      </c>
      <c r="C4078" s="168" t="s">
        <v>13505</v>
      </c>
      <c r="D4078" s="162" t="s">
        <v>13506</v>
      </c>
      <c r="E4078" s="168" t="s">
        <v>13507</v>
      </c>
      <c r="F4078" s="162" t="s">
        <v>13508</v>
      </c>
      <c r="G4078" s="168">
        <v>165506</v>
      </c>
      <c r="H4078" s="162" t="s">
        <v>13509</v>
      </c>
      <c r="K4078" s="168" t="s">
        <v>14977</v>
      </c>
      <c r="L4078" s="162" t="s">
        <v>14978</v>
      </c>
      <c r="M4078" s="162" t="s">
        <v>14979</v>
      </c>
      <c r="O4078" s="224"/>
      <c r="P4078" s="492"/>
      <c r="Q4078" s="492"/>
      <c r="R4078" s="492"/>
      <c r="S4078" s="492"/>
      <c r="T4078" s="223" t="s">
        <v>1446</v>
      </c>
      <c r="U4078" t="str">
        <f>VLOOKUP(T4078,[8]Votes!$A$1:$E$234,3,FALSE)</f>
        <v>141 Uganda Revenue Authority</v>
      </c>
      <c r="V4078" s="162" t="s">
        <v>14982</v>
      </c>
      <c r="W4078" s="416">
        <v>1</v>
      </c>
      <c r="X4078" s="416">
        <v>1</v>
      </c>
      <c r="Y4078" s="416">
        <v>1</v>
      </c>
      <c r="Z4078" s="416">
        <v>1</v>
      </c>
      <c r="AA4078" s="416">
        <v>1</v>
      </c>
      <c r="AB4078" s="416">
        <v>0</v>
      </c>
      <c r="AC4078" s="150">
        <v>1</v>
      </c>
      <c r="AD4078" s="150">
        <v>1</v>
      </c>
      <c r="AE4078" s="49">
        <f t="shared" si="148"/>
        <v>0.875</v>
      </c>
      <c r="AF4078" s="485">
        <v>0</v>
      </c>
      <c r="AG4078" s="17">
        <v>0</v>
      </c>
      <c r="AH4078" s="190">
        <v>0</v>
      </c>
      <c r="AI4078" s="190">
        <v>0</v>
      </c>
      <c r="AJ4078" s="190">
        <v>0</v>
      </c>
      <c r="AK4078" s="191">
        <v>0</v>
      </c>
      <c r="AL4078" s="191">
        <v>0</v>
      </c>
      <c r="AM4078" s="17">
        <f t="shared" si="149"/>
        <v>0</v>
      </c>
      <c r="AN4078" s="162" t="s">
        <v>1446</v>
      </c>
      <c r="AO4078" s="162" t="s">
        <v>3715</v>
      </c>
    </row>
    <row r="4079" spans="1:41" s="162" customFormat="1" x14ac:dyDescent="0.3">
      <c r="A4079" s="205" t="s">
        <v>8321</v>
      </c>
      <c r="B4079" s="162" t="s">
        <v>8322</v>
      </c>
      <c r="C4079" s="168" t="s">
        <v>13505</v>
      </c>
      <c r="D4079" s="162" t="s">
        <v>13506</v>
      </c>
      <c r="E4079" s="168" t="s">
        <v>13507</v>
      </c>
      <c r="F4079" s="162" t="s">
        <v>13508</v>
      </c>
      <c r="G4079" s="168">
        <v>165506</v>
      </c>
      <c r="H4079" s="162" t="s">
        <v>13509</v>
      </c>
      <c r="K4079" s="168" t="s">
        <v>14977</v>
      </c>
      <c r="L4079" s="162" t="s">
        <v>14978</v>
      </c>
      <c r="M4079" s="162" t="s">
        <v>14979</v>
      </c>
      <c r="O4079" s="224"/>
      <c r="P4079" s="492"/>
      <c r="Q4079" s="492"/>
      <c r="R4079" s="492"/>
      <c r="S4079" s="492"/>
      <c r="T4079" s="223" t="s">
        <v>1446</v>
      </c>
      <c r="U4079" t="str">
        <f>VLOOKUP(T4079,[8]Votes!$A$1:$E$234,3,FALSE)</f>
        <v>141 Uganda Revenue Authority</v>
      </c>
      <c r="V4079" s="162" t="s">
        <v>14983</v>
      </c>
      <c r="W4079" s="416">
        <v>1</v>
      </c>
      <c r="X4079" s="416">
        <v>1</v>
      </c>
      <c r="Y4079" s="416">
        <v>1</v>
      </c>
      <c r="Z4079" s="416">
        <v>1</v>
      </c>
      <c r="AA4079" s="416">
        <v>1</v>
      </c>
      <c r="AB4079" s="416">
        <v>0</v>
      </c>
      <c r="AC4079" s="150">
        <v>1</v>
      </c>
      <c r="AD4079" s="150">
        <v>1</v>
      </c>
      <c r="AE4079" s="49">
        <f t="shared" si="148"/>
        <v>0.875</v>
      </c>
      <c r="AF4079" s="485">
        <v>0</v>
      </c>
      <c r="AG4079" s="17">
        <v>0</v>
      </c>
      <c r="AH4079" s="190">
        <v>0</v>
      </c>
      <c r="AI4079" s="190">
        <v>0</v>
      </c>
      <c r="AJ4079" s="190">
        <v>0</v>
      </c>
      <c r="AK4079" s="191">
        <v>0</v>
      </c>
      <c r="AL4079" s="191">
        <v>0</v>
      </c>
      <c r="AM4079" s="17">
        <f t="shared" si="149"/>
        <v>0</v>
      </c>
      <c r="AN4079" s="162" t="s">
        <v>1446</v>
      </c>
      <c r="AO4079" s="162" t="s">
        <v>3715</v>
      </c>
    </row>
    <row r="4080" spans="1:41" s="162" customFormat="1" x14ac:dyDescent="0.3">
      <c r="A4080" s="205" t="s">
        <v>8321</v>
      </c>
      <c r="B4080" s="162" t="s">
        <v>8322</v>
      </c>
      <c r="C4080" s="168" t="s">
        <v>13505</v>
      </c>
      <c r="D4080" s="162" t="s">
        <v>13506</v>
      </c>
      <c r="E4080" s="168" t="s">
        <v>13507</v>
      </c>
      <c r="F4080" s="162" t="s">
        <v>13508</v>
      </c>
      <c r="G4080" s="168">
        <v>165506</v>
      </c>
      <c r="H4080" s="162" t="s">
        <v>13509</v>
      </c>
      <c r="K4080" s="168" t="s">
        <v>14984</v>
      </c>
      <c r="L4080" s="162" t="s">
        <v>14985</v>
      </c>
      <c r="M4080" s="162" t="s">
        <v>14979</v>
      </c>
      <c r="O4080" s="224">
        <v>1</v>
      </c>
      <c r="P4080" s="224">
        <v>1</v>
      </c>
      <c r="Q4080" s="224">
        <v>1</v>
      </c>
      <c r="R4080" s="224">
        <v>1</v>
      </c>
      <c r="S4080" s="224">
        <v>1</v>
      </c>
      <c r="T4080" s="223" t="s">
        <v>7852</v>
      </c>
      <c r="U4080" t="str">
        <f>VLOOKUP(T4080,[8]Votes!$A$1:$E$234,3,FALSE)</f>
        <v>131 Auditor General</v>
      </c>
      <c r="V4080" s="162" t="s">
        <v>14986</v>
      </c>
      <c r="W4080" s="416">
        <v>1</v>
      </c>
      <c r="X4080" s="416">
        <v>1</v>
      </c>
      <c r="Y4080" s="416">
        <v>1</v>
      </c>
      <c r="Z4080" s="416">
        <v>1</v>
      </c>
      <c r="AA4080" s="416">
        <v>1</v>
      </c>
      <c r="AB4080" s="416">
        <v>0</v>
      </c>
      <c r="AC4080" s="150">
        <v>1</v>
      </c>
      <c r="AD4080" s="150">
        <v>1</v>
      </c>
      <c r="AE4080" s="49">
        <f t="shared" si="148"/>
        <v>0.875</v>
      </c>
      <c r="AF4080" s="485">
        <v>0</v>
      </c>
      <c r="AG4080" s="17">
        <v>0</v>
      </c>
      <c r="AH4080" s="485">
        <v>0.2</v>
      </c>
      <c r="AI4080" s="485">
        <v>0.2</v>
      </c>
      <c r="AJ4080" s="485">
        <v>0.2</v>
      </c>
      <c r="AK4080" s="493">
        <v>0.2</v>
      </c>
      <c r="AL4080" s="493">
        <v>0.2</v>
      </c>
      <c r="AM4080" s="17">
        <f t="shared" si="149"/>
        <v>0.4</v>
      </c>
      <c r="AN4080" s="162" t="s">
        <v>7852</v>
      </c>
      <c r="AO4080" s="162" t="s">
        <v>7854</v>
      </c>
    </row>
    <row r="4081" spans="1:41" s="162" customFormat="1" x14ac:dyDescent="0.3">
      <c r="A4081" s="205" t="s">
        <v>8321</v>
      </c>
      <c r="B4081" s="162" t="s">
        <v>8322</v>
      </c>
      <c r="C4081" s="168" t="s">
        <v>13505</v>
      </c>
      <c r="D4081" s="162" t="s">
        <v>13506</v>
      </c>
      <c r="E4081" s="168" t="s">
        <v>13507</v>
      </c>
      <c r="F4081" s="162" t="s">
        <v>13508</v>
      </c>
      <c r="G4081" s="168">
        <v>165506</v>
      </c>
      <c r="H4081" s="162" t="s">
        <v>13509</v>
      </c>
      <c r="K4081" s="168" t="s">
        <v>14987</v>
      </c>
      <c r="L4081" s="162" t="s">
        <v>13510</v>
      </c>
      <c r="M4081" s="162" t="s">
        <v>14988</v>
      </c>
      <c r="O4081" s="226"/>
      <c r="P4081" s="224">
        <v>1</v>
      </c>
      <c r="Q4081" s="224">
        <v>1</v>
      </c>
      <c r="R4081" s="226"/>
      <c r="S4081" s="226"/>
      <c r="T4081" s="223" t="s">
        <v>180</v>
      </c>
      <c r="U4081" t="str">
        <f>VLOOKUP(T4081,[8]Votes!$A$1:$E$234,3,FALSE)</f>
        <v>145 Uganda Prisons</v>
      </c>
      <c r="V4081" s="162" t="s">
        <v>14989</v>
      </c>
      <c r="W4081" s="416">
        <v>1</v>
      </c>
      <c r="X4081" s="416">
        <v>1</v>
      </c>
      <c r="Y4081" s="416">
        <v>1</v>
      </c>
      <c r="Z4081" s="416">
        <v>1</v>
      </c>
      <c r="AA4081" s="416">
        <v>1</v>
      </c>
      <c r="AB4081" s="416">
        <v>0</v>
      </c>
      <c r="AC4081" s="150">
        <v>1</v>
      </c>
      <c r="AD4081" s="150">
        <v>1</v>
      </c>
      <c r="AE4081" s="49">
        <f t="shared" si="148"/>
        <v>0.875</v>
      </c>
      <c r="AF4081" s="485">
        <v>0</v>
      </c>
      <c r="AG4081" s="17">
        <v>0</v>
      </c>
      <c r="AH4081" s="190">
        <v>0</v>
      </c>
      <c r="AI4081" s="485">
        <v>0.33</v>
      </c>
      <c r="AJ4081" s="485">
        <v>0.3</v>
      </c>
      <c r="AK4081" s="191">
        <v>0</v>
      </c>
      <c r="AL4081" s="191">
        <v>0</v>
      </c>
      <c r="AM4081" s="17">
        <f t="shared" si="149"/>
        <v>0</v>
      </c>
      <c r="AN4081" s="162" t="s">
        <v>180</v>
      </c>
      <c r="AO4081" s="162" t="s">
        <v>182</v>
      </c>
    </row>
    <row r="4082" spans="1:41" s="162" customFormat="1" x14ac:dyDescent="0.3">
      <c r="A4082" s="205" t="s">
        <v>8321</v>
      </c>
      <c r="B4082" s="162" t="s">
        <v>8322</v>
      </c>
      <c r="C4082" s="168" t="s">
        <v>13505</v>
      </c>
      <c r="D4082" s="162" t="s">
        <v>13506</v>
      </c>
      <c r="E4082" s="168" t="s">
        <v>13507</v>
      </c>
      <c r="F4082" s="162" t="s">
        <v>13508</v>
      </c>
      <c r="G4082" s="168">
        <v>165506</v>
      </c>
      <c r="H4082" s="162" t="s">
        <v>13509</v>
      </c>
      <c r="K4082" s="168" t="s">
        <v>14987</v>
      </c>
      <c r="L4082" s="162" t="s">
        <v>13510</v>
      </c>
      <c r="M4082" s="162" t="s">
        <v>14990</v>
      </c>
      <c r="O4082" s="492">
        <v>0.95</v>
      </c>
      <c r="P4082" s="492">
        <v>0.96</v>
      </c>
      <c r="Q4082" s="492">
        <v>0.97</v>
      </c>
      <c r="R4082" s="492">
        <v>0.98</v>
      </c>
      <c r="S4082" s="492">
        <v>0.98</v>
      </c>
      <c r="T4082" s="223" t="s">
        <v>11865</v>
      </c>
      <c r="U4082" t="str">
        <f>VLOOKUP(T4082,[8]Votes!$A$1:$E$234,3,FALSE)</f>
        <v>133 Office of the Director of Public Prosecutions</v>
      </c>
      <c r="V4082" s="162" t="s">
        <v>14991</v>
      </c>
      <c r="W4082" s="416">
        <v>1</v>
      </c>
      <c r="X4082" s="416">
        <v>1</v>
      </c>
      <c r="Y4082" s="416">
        <v>1</v>
      </c>
      <c r="Z4082" s="416">
        <v>1</v>
      </c>
      <c r="AA4082" s="416">
        <v>1</v>
      </c>
      <c r="AB4082" s="416">
        <v>0</v>
      </c>
      <c r="AC4082" s="150">
        <v>1</v>
      </c>
      <c r="AD4082" s="150">
        <v>1</v>
      </c>
      <c r="AE4082" s="49">
        <f t="shared" si="148"/>
        <v>0.875</v>
      </c>
      <c r="AF4082" s="485">
        <v>0</v>
      </c>
      <c r="AG4082" s="17">
        <v>0</v>
      </c>
      <c r="AH4082" s="485">
        <v>0.6</v>
      </c>
      <c r="AI4082" s="485">
        <v>0.8</v>
      </c>
      <c r="AJ4082" s="485">
        <v>0.9</v>
      </c>
      <c r="AK4082" s="493">
        <v>0.9</v>
      </c>
      <c r="AL4082" s="493">
        <v>0.9</v>
      </c>
      <c r="AM4082" s="17">
        <f t="shared" si="149"/>
        <v>1.8</v>
      </c>
      <c r="AN4082" s="162" t="s">
        <v>11865</v>
      </c>
      <c r="AO4082" s="162" t="s">
        <v>11866</v>
      </c>
    </row>
    <row r="4083" spans="1:41" s="162" customFormat="1" x14ac:dyDescent="0.3">
      <c r="A4083" s="205" t="s">
        <v>8321</v>
      </c>
      <c r="B4083" s="162" t="s">
        <v>8322</v>
      </c>
      <c r="C4083" s="168" t="s">
        <v>13505</v>
      </c>
      <c r="D4083" s="162" t="s">
        <v>13506</v>
      </c>
      <c r="E4083" s="168" t="s">
        <v>13507</v>
      </c>
      <c r="F4083" s="162" t="s">
        <v>13508</v>
      </c>
      <c r="G4083" s="168">
        <v>165506</v>
      </c>
      <c r="H4083" s="162" t="s">
        <v>13509</v>
      </c>
      <c r="K4083" s="168" t="s">
        <v>14992</v>
      </c>
      <c r="L4083" s="162" t="s">
        <v>14993</v>
      </c>
      <c r="M4083" s="162" t="s">
        <v>14994</v>
      </c>
      <c r="O4083" s="224">
        <v>1</v>
      </c>
      <c r="P4083" s="224">
        <v>1</v>
      </c>
      <c r="Q4083" s="224">
        <v>1</v>
      </c>
      <c r="R4083" s="492">
        <v>1</v>
      </c>
      <c r="S4083" s="492">
        <v>1</v>
      </c>
      <c r="T4083" s="223" t="s">
        <v>180</v>
      </c>
      <c r="U4083" t="str">
        <f>VLOOKUP(T4083,[8]Votes!$A$1:$E$234,3,FALSE)</f>
        <v>145 Uganda Prisons</v>
      </c>
      <c r="V4083" s="162" t="s">
        <v>14995</v>
      </c>
      <c r="W4083" s="416">
        <v>1</v>
      </c>
      <c r="X4083" s="416">
        <v>1</v>
      </c>
      <c r="Y4083" s="416">
        <v>1</v>
      </c>
      <c r="Z4083" s="416">
        <v>1</v>
      </c>
      <c r="AA4083" s="416">
        <v>1</v>
      </c>
      <c r="AB4083" s="416">
        <v>0</v>
      </c>
      <c r="AC4083" s="150">
        <v>1</v>
      </c>
      <c r="AD4083" s="150">
        <v>1</v>
      </c>
      <c r="AE4083" s="49">
        <f t="shared" si="148"/>
        <v>0.875</v>
      </c>
      <c r="AF4083" s="485">
        <v>0</v>
      </c>
      <c r="AG4083" s="17">
        <v>0</v>
      </c>
      <c r="AH4083" s="485">
        <v>0.25</v>
      </c>
      <c r="AI4083" s="485">
        <v>0.97</v>
      </c>
      <c r="AJ4083" s="485">
        <v>1.17</v>
      </c>
      <c r="AK4083" s="493">
        <v>0.3</v>
      </c>
      <c r="AL4083" s="493">
        <v>0.3</v>
      </c>
      <c r="AM4083" s="17">
        <f t="shared" si="149"/>
        <v>0.6</v>
      </c>
      <c r="AN4083" s="162" t="s">
        <v>180</v>
      </c>
      <c r="AO4083" s="162" t="s">
        <v>182</v>
      </c>
    </row>
    <row r="4084" spans="1:41" s="162" customFormat="1" x14ac:dyDescent="0.3">
      <c r="A4084" s="205" t="s">
        <v>8321</v>
      </c>
      <c r="B4084" s="162" t="s">
        <v>8322</v>
      </c>
      <c r="C4084" s="168" t="s">
        <v>13505</v>
      </c>
      <c r="D4084" s="162" t="s">
        <v>13506</v>
      </c>
      <c r="E4084" s="168" t="s">
        <v>13507</v>
      </c>
      <c r="F4084" s="162" t="s">
        <v>13508</v>
      </c>
      <c r="G4084" s="168">
        <v>165506</v>
      </c>
      <c r="H4084" s="162" t="s">
        <v>13509</v>
      </c>
      <c r="K4084" s="168" t="s">
        <v>14996</v>
      </c>
      <c r="L4084" s="162" t="s">
        <v>14997</v>
      </c>
      <c r="M4084" s="162" t="s">
        <v>14998</v>
      </c>
      <c r="O4084" s="224"/>
      <c r="P4084" s="530">
        <v>0.2</v>
      </c>
      <c r="Q4084" s="530">
        <v>0.4</v>
      </c>
      <c r="R4084" s="530">
        <v>0.6</v>
      </c>
      <c r="S4084" s="530">
        <v>0.8</v>
      </c>
      <c r="T4084" s="529" t="s">
        <v>1345</v>
      </c>
      <c r="U4084" t="str">
        <f>VLOOKUP(T4084,[8]Votes!$A$1:$E$234,3,FALSE)</f>
        <v>001 Office of the President</v>
      </c>
      <c r="V4084" s="162" t="s">
        <v>14999</v>
      </c>
      <c r="W4084" s="416">
        <v>1</v>
      </c>
      <c r="X4084" s="416">
        <v>1</v>
      </c>
      <c r="Y4084" s="416">
        <v>1</v>
      </c>
      <c r="Z4084" s="416">
        <v>1</v>
      </c>
      <c r="AA4084" s="416">
        <v>1</v>
      </c>
      <c r="AB4084" s="416">
        <v>0</v>
      </c>
      <c r="AC4084" s="150">
        <v>1</v>
      </c>
      <c r="AD4084" s="150">
        <v>1</v>
      </c>
      <c r="AE4084" s="49">
        <f t="shared" si="148"/>
        <v>0.875</v>
      </c>
      <c r="AF4084" s="485">
        <v>1</v>
      </c>
      <c r="AG4084" s="17">
        <v>0</v>
      </c>
      <c r="AH4084" s="190">
        <v>0</v>
      </c>
      <c r="AI4084" s="485">
        <v>0.6</v>
      </c>
      <c r="AJ4084" s="485">
        <v>0.6</v>
      </c>
      <c r="AK4084" s="493">
        <v>0.6</v>
      </c>
      <c r="AL4084" s="493">
        <v>0.6</v>
      </c>
      <c r="AM4084" s="17">
        <f t="shared" si="149"/>
        <v>1.2</v>
      </c>
      <c r="AN4084" s="162" t="s">
        <v>1345</v>
      </c>
      <c r="AO4084" s="162" t="s">
        <v>1334</v>
      </c>
    </row>
    <row r="4085" spans="1:41" s="162" customFormat="1" x14ac:dyDescent="0.3">
      <c r="A4085" s="205" t="s">
        <v>8321</v>
      </c>
      <c r="B4085" s="162" t="s">
        <v>8322</v>
      </c>
      <c r="C4085" s="168" t="s">
        <v>13505</v>
      </c>
      <c r="D4085" s="162" t="s">
        <v>13506</v>
      </c>
      <c r="E4085" s="168" t="s">
        <v>13507</v>
      </c>
      <c r="F4085" s="162" t="s">
        <v>13508</v>
      </c>
      <c r="G4085" s="168">
        <v>165506</v>
      </c>
      <c r="H4085" s="162" t="s">
        <v>13509</v>
      </c>
      <c r="K4085" s="168" t="s">
        <v>15000</v>
      </c>
      <c r="L4085" s="203" t="s">
        <v>15001</v>
      </c>
      <c r="M4085" s="162" t="s">
        <v>15002</v>
      </c>
      <c r="O4085" s="224"/>
      <c r="P4085" s="530">
        <v>0.2</v>
      </c>
      <c r="Q4085" s="530">
        <v>0.4</v>
      </c>
      <c r="R4085" s="530">
        <v>0.6</v>
      </c>
      <c r="S4085" s="530">
        <v>0.8</v>
      </c>
      <c r="T4085" s="529" t="s">
        <v>1345</v>
      </c>
      <c r="U4085" t="str">
        <f>VLOOKUP(T4085,[8]Votes!$A$1:$E$234,3,FALSE)</f>
        <v>001 Office of the President</v>
      </c>
      <c r="V4085" s="162" t="s">
        <v>15003</v>
      </c>
      <c r="W4085" s="416">
        <v>1</v>
      </c>
      <c r="X4085" s="416">
        <v>0</v>
      </c>
      <c r="Y4085" s="416">
        <v>0</v>
      </c>
      <c r="Z4085" s="416">
        <v>1</v>
      </c>
      <c r="AA4085" s="416">
        <v>1</v>
      </c>
      <c r="AB4085" s="416">
        <v>1</v>
      </c>
      <c r="AC4085" s="150">
        <v>1</v>
      </c>
      <c r="AD4085" s="150">
        <v>1</v>
      </c>
      <c r="AE4085" s="49">
        <f t="shared" si="148"/>
        <v>0.75</v>
      </c>
      <c r="AF4085" s="485">
        <v>1</v>
      </c>
      <c r="AG4085" s="17">
        <v>0</v>
      </c>
      <c r="AH4085" s="190">
        <v>0</v>
      </c>
      <c r="AI4085" s="485">
        <v>0.4</v>
      </c>
      <c r="AJ4085" s="485">
        <v>0.45</v>
      </c>
      <c r="AK4085" s="493">
        <v>0.6</v>
      </c>
      <c r="AL4085" s="493">
        <v>0.6</v>
      </c>
      <c r="AM4085" s="17">
        <f t="shared" si="149"/>
        <v>1.2</v>
      </c>
      <c r="AN4085" s="162" t="s">
        <v>1345</v>
      </c>
      <c r="AO4085" s="162" t="s">
        <v>1334</v>
      </c>
    </row>
    <row r="4086" spans="1:41" s="162" customFormat="1" x14ac:dyDescent="0.3">
      <c r="A4086" s="205" t="s">
        <v>8321</v>
      </c>
      <c r="B4086" s="162" t="s">
        <v>8322</v>
      </c>
      <c r="C4086" s="168" t="s">
        <v>13505</v>
      </c>
      <c r="D4086" s="162" t="s">
        <v>13506</v>
      </c>
      <c r="E4086" s="168" t="s">
        <v>13507</v>
      </c>
      <c r="F4086" s="162" t="s">
        <v>13508</v>
      </c>
      <c r="G4086" s="168">
        <v>165506</v>
      </c>
      <c r="H4086" s="162" t="s">
        <v>13509</v>
      </c>
      <c r="K4086" s="168" t="s">
        <v>15004</v>
      </c>
      <c r="L4086" s="162" t="s">
        <v>14997</v>
      </c>
      <c r="M4086" s="162" t="s">
        <v>14998</v>
      </c>
      <c r="O4086" s="492">
        <v>0.25</v>
      </c>
      <c r="P4086" s="492">
        <v>0.35</v>
      </c>
      <c r="Q4086" s="492">
        <v>0.45</v>
      </c>
      <c r="R4086" s="492">
        <v>0.55000000000000004</v>
      </c>
      <c r="S4086" s="492">
        <v>0.65</v>
      </c>
      <c r="T4086" s="223" t="s">
        <v>1775</v>
      </c>
      <c r="U4086" t="str">
        <f>VLOOKUP(T4086,[8]Votes!$A$1:$E$234,3,FALSE)</f>
        <v>112 Ethics and Integrity</v>
      </c>
      <c r="V4086" s="162" t="s">
        <v>15005</v>
      </c>
      <c r="W4086" s="416">
        <v>1</v>
      </c>
      <c r="X4086" s="416">
        <v>1</v>
      </c>
      <c r="Y4086" s="416">
        <v>0</v>
      </c>
      <c r="Z4086" s="416">
        <v>1</v>
      </c>
      <c r="AA4086" s="416">
        <v>1</v>
      </c>
      <c r="AB4086" s="416">
        <v>1</v>
      </c>
      <c r="AC4086" s="150">
        <v>1</v>
      </c>
      <c r="AD4086" s="150">
        <v>1</v>
      </c>
      <c r="AE4086" s="49">
        <f t="shared" si="148"/>
        <v>0.875</v>
      </c>
      <c r="AF4086" s="485">
        <v>0</v>
      </c>
      <c r="AG4086" s="17">
        <v>0</v>
      </c>
      <c r="AH4086" s="485">
        <v>0.4</v>
      </c>
      <c r="AI4086" s="485">
        <v>0.52</v>
      </c>
      <c r="AJ4086" s="485">
        <v>0.6</v>
      </c>
      <c r="AK4086" s="493">
        <v>0.33</v>
      </c>
      <c r="AL4086" s="493">
        <v>0.27</v>
      </c>
      <c r="AM4086" s="17">
        <f t="shared" si="149"/>
        <v>0.60000000000000009</v>
      </c>
      <c r="AN4086" s="162" t="s">
        <v>1775</v>
      </c>
      <c r="AO4086" s="162" t="s">
        <v>1776</v>
      </c>
    </row>
    <row r="4087" spans="1:41" s="162" customFormat="1" x14ac:dyDescent="0.3">
      <c r="A4087" s="205" t="s">
        <v>8321</v>
      </c>
      <c r="B4087" s="162" t="s">
        <v>8322</v>
      </c>
      <c r="C4087" s="168" t="s">
        <v>13505</v>
      </c>
      <c r="D4087" s="162" t="s">
        <v>13506</v>
      </c>
      <c r="E4087" s="168" t="s">
        <v>13507</v>
      </c>
      <c r="F4087" s="162" t="s">
        <v>13508</v>
      </c>
      <c r="G4087" s="168">
        <v>165506</v>
      </c>
      <c r="H4087" s="162" t="s">
        <v>13509</v>
      </c>
      <c r="K4087" s="168" t="s">
        <v>15006</v>
      </c>
      <c r="L4087" s="162" t="s">
        <v>15007</v>
      </c>
      <c r="M4087" s="162" t="s">
        <v>15008</v>
      </c>
      <c r="O4087" s="224">
        <v>40</v>
      </c>
      <c r="P4087" s="224">
        <v>80</v>
      </c>
      <c r="Q4087" s="224">
        <v>110</v>
      </c>
      <c r="R4087" s="224">
        <v>120</v>
      </c>
      <c r="S4087" s="224">
        <v>130</v>
      </c>
      <c r="T4087" s="223" t="s">
        <v>1775</v>
      </c>
      <c r="U4087" t="str">
        <f>VLOOKUP(T4087,[8]Votes!$A$1:$E$234,3,FALSE)</f>
        <v>112 Ethics and Integrity</v>
      </c>
      <c r="V4087" s="162" t="s">
        <v>15009</v>
      </c>
      <c r="W4087" s="416">
        <v>0</v>
      </c>
      <c r="X4087" s="416">
        <v>0</v>
      </c>
      <c r="Y4087" s="416">
        <v>0</v>
      </c>
      <c r="Z4087" s="416">
        <v>0</v>
      </c>
      <c r="AA4087" s="416">
        <v>0</v>
      </c>
      <c r="AB4087" s="416">
        <v>0</v>
      </c>
      <c r="AC4087" s="150">
        <v>0</v>
      </c>
      <c r="AD4087" s="150">
        <v>0</v>
      </c>
      <c r="AE4087" s="49">
        <f t="shared" si="148"/>
        <v>0</v>
      </c>
      <c r="AF4087" s="485">
        <v>0</v>
      </c>
      <c r="AG4087" s="17">
        <v>0</v>
      </c>
      <c r="AH4087" s="485">
        <v>0.4</v>
      </c>
      <c r="AI4087" s="485">
        <v>1</v>
      </c>
      <c r="AJ4087" s="485">
        <v>1</v>
      </c>
      <c r="AK4087" s="493"/>
      <c r="AL4087" s="493">
        <v>0</v>
      </c>
      <c r="AM4087" s="17">
        <f t="shared" si="149"/>
        <v>0</v>
      </c>
      <c r="AN4087" s="162" t="s">
        <v>1775</v>
      </c>
      <c r="AO4087" s="162" t="s">
        <v>1776</v>
      </c>
    </row>
    <row r="4088" spans="1:41" s="162" customFormat="1" x14ac:dyDescent="0.3">
      <c r="A4088" s="205" t="s">
        <v>8321</v>
      </c>
      <c r="B4088" s="162" t="s">
        <v>8322</v>
      </c>
      <c r="C4088" s="168" t="s">
        <v>13505</v>
      </c>
      <c r="D4088" s="162" t="s">
        <v>13506</v>
      </c>
      <c r="E4088" s="168" t="s">
        <v>13507</v>
      </c>
      <c r="F4088" s="162" t="s">
        <v>13508</v>
      </c>
      <c r="G4088" s="168">
        <v>165506</v>
      </c>
      <c r="H4088" s="162" t="s">
        <v>13509</v>
      </c>
      <c r="K4088" s="168" t="s">
        <v>15010</v>
      </c>
      <c r="L4088" s="162" t="s">
        <v>15011</v>
      </c>
      <c r="M4088" s="162" t="s">
        <v>15012</v>
      </c>
      <c r="O4088" s="224">
        <v>3</v>
      </c>
      <c r="P4088" s="224">
        <v>16</v>
      </c>
      <c r="Q4088" s="224">
        <v>16</v>
      </c>
      <c r="R4088" s="224">
        <v>16</v>
      </c>
      <c r="S4088" s="224">
        <v>16</v>
      </c>
      <c r="T4088" s="223" t="s">
        <v>1775</v>
      </c>
      <c r="U4088" t="str">
        <f>VLOOKUP(T4088,[8]Votes!$A$1:$E$234,3,FALSE)</f>
        <v>112 Ethics and Integrity</v>
      </c>
      <c r="V4088" s="162" t="s">
        <v>15013</v>
      </c>
      <c r="W4088" s="416">
        <v>1</v>
      </c>
      <c r="X4088" s="416">
        <v>1</v>
      </c>
      <c r="Y4088" s="416">
        <v>0</v>
      </c>
      <c r="Z4088" s="416">
        <v>1</v>
      </c>
      <c r="AA4088" s="416">
        <v>1</v>
      </c>
      <c r="AB4088" s="416">
        <v>1</v>
      </c>
      <c r="AC4088" s="150">
        <v>1</v>
      </c>
      <c r="AD4088" s="150">
        <v>1</v>
      </c>
      <c r="AE4088" s="49">
        <f t="shared" si="148"/>
        <v>0.875</v>
      </c>
      <c r="AF4088" s="485">
        <v>0</v>
      </c>
      <c r="AG4088" s="17">
        <v>0</v>
      </c>
      <c r="AH4088" s="485">
        <v>0.42</v>
      </c>
      <c r="AI4088" s="485">
        <v>0.35</v>
      </c>
      <c r="AJ4088" s="485">
        <v>1.2</v>
      </c>
      <c r="AK4088" s="493">
        <v>0.62</v>
      </c>
      <c r="AL4088" s="493">
        <v>0.44</v>
      </c>
      <c r="AM4088" s="17">
        <f t="shared" si="149"/>
        <v>1.06</v>
      </c>
      <c r="AN4088" s="162" t="s">
        <v>1775</v>
      </c>
      <c r="AO4088" s="162" t="s">
        <v>1776</v>
      </c>
    </row>
    <row r="4089" spans="1:41" s="162" customFormat="1" x14ac:dyDescent="0.3">
      <c r="A4089" s="205" t="s">
        <v>8321</v>
      </c>
      <c r="B4089" s="162" t="s">
        <v>8322</v>
      </c>
      <c r="C4089" s="168" t="s">
        <v>13505</v>
      </c>
      <c r="D4089" s="162" t="s">
        <v>13506</v>
      </c>
      <c r="E4089" s="168" t="s">
        <v>13507</v>
      </c>
      <c r="F4089" s="162" t="s">
        <v>13508</v>
      </c>
      <c r="G4089" s="168">
        <v>165506</v>
      </c>
      <c r="H4089" s="162" t="s">
        <v>13509</v>
      </c>
      <c r="K4089" s="168" t="s">
        <v>15014</v>
      </c>
      <c r="L4089" s="162" t="s">
        <v>15015</v>
      </c>
      <c r="M4089" s="162" t="s">
        <v>15016</v>
      </c>
      <c r="O4089" s="224">
        <v>45</v>
      </c>
      <c r="P4089" s="224">
        <v>45</v>
      </c>
      <c r="Q4089" s="224">
        <v>50</v>
      </c>
      <c r="R4089" s="224">
        <v>55</v>
      </c>
      <c r="S4089" s="224">
        <v>60</v>
      </c>
      <c r="T4089" s="223" t="s">
        <v>1775</v>
      </c>
      <c r="U4089" t="str">
        <f>VLOOKUP(T4089,[8]Votes!$A$1:$E$234,3,FALSE)</f>
        <v>112 Ethics and Integrity</v>
      </c>
      <c r="V4089" s="162" t="s">
        <v>15017</v>
      </c>
      <c r="W4089" s="416">
        <v>1</v>
      </c>
      <c r="X4089" s="416">
        <v>1</v>
      </c>
      <c r="Y4089" s="416">
        <v>0</v>
      </c>
      <c r="Z4089" s="416">
        <v>1</v>
      </c>
      <c r="AA4089" s="416">
        <v>1</v>
      </c>
      <c r="AB4089" s="416">
        <v>1</v>
      </c>
      <c r="AC4089" s="150">
        <v>1</v>
      </c>
      <c r="AD4089" s="150">
        <v>1</v>
      </c>
      <c r="AE4089" s="49">
        <f t="shared" si="148"/>
        <v>0.875</v>
      </c>
      <c r="AF4089" s="485">
        <v>0</v>
      </c>
      <c r="AG4089" s="17">
        <v>0</v>
      </c>
      <c r="AH4089" s="485">
        <v>0.05</v>
      </c>
      <c r="AI4089" s="485">
        <v>25</v>
      </c>
      <c r="AJ4089" s="485">
        <v>0.08</v>
      </c>
      <c r="AK4089" s="493">
        <v>0.06</v>
      </c>
      <c r="AL4089" s="493">
        <v>0.03</v>
      </c>
      <c r="AM4089" s="17">
        <f t="shared" si="149"/>
        <v>0.09</v>
      </c>
      <c r="AN4089" s="162" t="s">
        <v>1775</v>
      </c>
      <c r="AO4089" s="162" t="s">
        <v>1776</v>
      </c>
    </row>
    <row r="4090" spans="1:41" s="162" customFormat="1" x14ac:dyDescent="0.3">
      <c r="A4090" s="205" t="s">
        <v>8321</v>
      </c>
      <c r="B4090" s="162" t="s">
        <v>8322</v>
      </c>
      <c r="C4090" s="168" t="s">
        <v>13505</v>
      </c>
      <c r="D4090" s="162" t="s">
        <v>13506</v>
      </c>
      <c r="E4090" s="168" t="s">
        <v>13507</v>
      </c>
      <c r="F4090" s="162" t="s">
        <v>13508</v>
      </c>
      <c r="G4090" s="168">
        <v>165506</v>
      </c>
      <c r="H4090" s="162" t="s">
        <v>13509</v>
      </c>
      <c r="K4090" s="168" t="s">
        <v>15018</v>
      </c>
      <c r="L4090" s="162" t="s">
        <v>15019</v>
      </c>
      <c r="M4090" s="162" t="s">
        <v>15020</v>
      </c>
      <c r="O4090" s="224">
        <v>4</v>
      </c>
      <c r="P4090" s="224">
        <v>4</v>
      </c>
      <c r="Q4090" s="224">
        <v>4</v>
      </c>
      <c r="R4090" s="224">
        <v>4</v>
      </c>
      <c r="S4090" s="224">
        <v>4</v>
      </c>
      <c r="T4090" s="223" t="s">
        <v>1775</v>
      </c>
      <c r="U4090" t="str">
        <f>VLOOKUP(T4090,[8]Votes!$A$1:$E$234,3,FALSE)</f>
        <v>112 Ethics and Integrity</v>
      </c>
      <c r="V4090" s="162" t="s">
        <v>15021</v>
      </c>
      <c r="W4090" s="416">
        <v>0</v>
      </c>
      <c r="X4090" s="416">
        <v>0</v>
      </c>
      <c r="Y4090" s="416">
        <v>0</v>
      </c>
      <c r="Z4090" s="416">
        <v>0</v>
      </c>
      <c r="AA4090" s="416">
        <v>0</v>
      </c>
      <c r="AB4090" s="416">
        <v>0</v>
      </c>
      <c r="AC4090" s="150">
        <v>0</v>
      </c>
      <c r="AD4090" s="150">
        <v>0</v>
      </c>
      <c r="AE4090" s="49">
        <f t="shared" ref="AE4090:AE4153" si="150">SUM(W4090:AD4090)/8</f>
        <v>0</v>
      </c>
      <c r="AF4090" s="485">
        <v>0</v>
      </c>
      <c r="AG4090" s="17">
        <v>0</v>
      </c>
      <c r="AH4090" s="485">
        <v>0.95</v>
      </c>
      <c r="AI4090" s="485">
        <v>0.9</v>
      </c>
      <c r="AJ4090" s="485">
        <v>0.95</v>
      </c>
      <c r="AK4090" s="493">
        <v>0</v>
      </c>
      <c r="AL4090" s="493">
        <v>0</v>
      </c>
      <c r="AM4090" s="17">
        <f t="shared" ref="AM4090:AM4153" si="151">SUM(AK4090:AL4090)</f>
        <v>0</v>
      </c>
      <c r="AN4090" s="162" t="s">
        <v>1775</v>
      </c>
      <c r="AO4090" s="162" t="s">
        <v>1776</v>
      </c>
    </row>
    <row r="4091" spans="1:41" s="162" customFormat="1" x14ac:dyDescent="0.3">
      <c r="A4091" s="205" t="s">
        <v>8321</v>
      </c>
      <c r="B4091" s="162" t="s">
        <v>8322</v>
      </c>
      <c r="C4091" s="168" t="s">
        <v>13505</v>
      </c>
      <c r="D4091" s="162" t="s">
        <v>13506</v>
      </c>
      <c r="E4091" s="168" t="s">
        <v>13507</v>
      </c>
      <c r="F4091" s="162" t="s">
        <v>13508</v>
      </c>
      <c r="G4091" s="168">
        <v>165506</v>
      </c>
      <c r="H4091" s="162" t="s">
        <v>13509</v>
      </c>
      <c r="K4091" s="168" t="s">
        <v>15022</v>
      </c>
      <c r="L4091" s="162" t="s">
        <v>15023</v>
      </c>
      <c r="M4091" s="162" t="s">
        <v>15024</v>
      </c>
      <c r="O4091" s="224">
        <v>4</v>
      </c>
      <c r="P4091" s="224">
        <v>4</v>
      </c>
      <c r="Q4091" s="224">
        <v>4</v>
      </c>
      <c r="R4091" s="224">
        <v>4</v>
      </c>
      <c r="S4091" s="224">
        <v>4</v>
      </c>
      <c r="T4091" s="223" t="s">
        <v>1775</v>
      </c>
      <c r="U4091" t="str">
        <f>VLOOKUP(T4091,[8]Votes!$A$1:$E$234,3,FALSE)</f>
        <v>112 Ethics and Integrity</v>
      </c>
      <c r="V4091" s="162" t="s">
        <v>15025</v>
      </c>
      <c r="W4091" s="416">
        <v>0</v>
      </c>
      <c r="X4091" s="416">
        <v>0</v>
      </c>
      <c r="Y4091" s="416">
        <v>0</v>
      </c>
      <c r="Z4091" s="416">
        <v>0</v>
      </c>
      <c r="AA4091" s="416">
        <v>0</v>
      </c>
      <c r="AB4091" s="416">
        <v>0</v>
      </c>
      <c r="AC4091" s="150">
        <v>0</v>
      </c>
      <c r="AD4091" s="150">
        <v>0</v>
      </c>
      <c r="AE4091" s="49">
        <f t="shared" si="150"/>
        <v>0</v>
      </c>
      <c r="AF4091" s="485">
        <v>0</v>
      </c>
      <c r="AG4091" s="17">
        <v>0</v>
      </c>
      <c r="AH4091" s="485">
        <v>0.65</v>
      </c>
      <c r="AI4091" s="485">
        <v>0.05</v>
      </c>
      <c r="AJ4091" s="485">
        <v>0.65</v>
      </c>
      <c r="AK4091" s="493">
        <v>0</v>
      </c>
      <c r="AL4091" s="493">
        <v>0</v>
      </c>
      <c r="AM4091" s="17">
        <f t="shared" si="151"/>
        <v>0</v>
      </c>
      <c r="AN4091" s="162" t="s">
        <v>1775</v>
      </c>
      <c r="AO4091" s="162" t="s">
        <v>1776</v>
      </c>
    </row>
    <row r="4092" spans="1:41" s="162" customFormat="1" x14ac:dyDescent="0.3">
      <c r="A4092" s="205" t="s">
        <v>8321</v>
      </c>
      <c r="B4092" s="162" t="s">
        <v>8322</v>
      </c>
      <c r="C4092" s="168" t="s">
        <v>13505</v>
      </c>
      <c r="D4092" s="162" t="s">
        <v>13506</v>
      </c>
      <c r="E4092" s="168" t="s">
        <v>13507</v>
      </c>
      <c r="F4092" s="162" t="s">
        <v>13508</v>
      </c>
      <c r="G4092" s="168">
        <v>165506</v>
      </c>
      <c r="H4092" s="162" t="s">
        <v>13509</v>
      </c>
      <c r="K4092" s="168" t="s">
        <v>15026</v>
      </c>
      <c r="L4092" s="162" t="s">
        <v>15027</v>
      </c>
      <c r="M4092" s="162" t="s">
        <v>15028</v>
      </c>
      <c r="O4092" s="224">
        <v>2</v>
      </c>
      <c r="P4092" s="224">
        <v>2</v>
      </c>
      <c r="Q4092" s="224">
        <v>2</v>
      </c>
      <c r="R4092" s="224">
        <v>2</v>
      </c>
      <c r="S4092" s="224">
        <v>2</v>
      </c>
      <c r="T4092" s="223" t="s">
        <v>1775</v>
      </c>
      <c r="U4092" t="str">
        <f>VLOOKUP(T4092,[8]Votes!$A$1:$E$234,3,FALSE)</f>
        <v>112 Ethics and Integrity</v>
      </c>
      <c r="V4092" s="162" t="s">
        <v>15029</v>
      </c>
      <c r="W4092" s="416">
        <v>1</v>
      </c>
      <c r="X4092" s="416">
        <v>1</v>
      </c>
      <c r="Y4092" s="416">
        <v>0</v>
      </c>
      <c r="Z4092" s="416">
        <v>1</v>
      </c>
      <c r="AA4092" s="416">
        <v>1</v>
      </c>
      <c r="AB4092" s="416">
        <v>1</v>
      </c>
      <c r="AC4092" s="150">
        <v>1</v>
      </c>
      <c r="AD4092" s="150">
        <v>1</v>
      </c>
      <c r="AE4092" s="49">
        <f t="shared" si="150"/>
        <v>0.875</v>
      </c>
      <c r="AF4092" s="485">
        <v>0</v>
      </c>
      <c r="AG4092" s="17">
        <v>0</v>
      </c>
      <c r="AH4092" s="485">
        <v>0.3</v>
      </c>
      <c r="AI4092" s="485">
        <v>0.3</v>
      </c>
      <c r="AJ4092" s="485">
        <v>0.3</v>
      </c>
      <c r="AK4092" s="493">
        <v>0.15</v>
      </c>
      <c r="AL4092" s="493">
        <v>0.1</v>
      </c>
      <c r="AM4092" s="17">
        <f t="shared" si="151"/>
        <v>0.25</v>
      </c>
      <c r="AN4092" s="162" t="s">
        <v>1775</v>
      </c>
      <c r="AO4092" s="162" t="s">
        <v>1776</v>
      </c>
    </row>
    <row r="4093" spans="1:41" s="162" customFormat="1" x14ac:dyDescent="0.3">
      <c r="A4093" s="205" t="s">
        <v>8321</v>
      </c>
      <c r="B4093" s="162" t="s">
        <v>8322</v>
      </c>
      <c r="C4093" s="168" t="s">
        <v>13505</v>
      </c>
      <c r="D4093" s="162" t="s">
        <v>13506</v>
      </c>
      <c r="E4093" s="168" t="s">
        <v>13507</v>
      </c>
      <c r="F4093" s="162" t="s">
        <v>13508</v>
      </c>
      <c r="G4093" s="168">
        <v>165506</v>
      </c>
      <c r="H4093" s="162" t="s">
        <v>13509</v>
      </c>
      <c r="K4093" s="168" t="s">
        <v>15030</v>
      </c>
      <c r="L4093" s="162" t="s">
        <v>15031</v>
      </c>
      <c r="M4093" s="162" t="s">
        <v>15032</v>
      </c>
      <c r="O4093" s="224" t="s">
        <v>271</v>
      </c>
      <c r="P4093" s="229">
        <v>10</v>
      </c>
      <c r="Q4093" s="229">
        <v>12</v>
      </c>
      <c r="R4093" s="229">
        <v>20</v>
      </c>
      <c r="S4093" s="229">
        <v>30</v>
      </c>
      <c r="T4093" s="223" t="s">
        <v>1775</v>
      </c>
      <c r="U4093" t="str">
        <f>VLOOKUP(T4093,[8]Votes!$A$1:$E$234,3,FALSE)</f>
        <v>112 Ethics and Integrity</v>
      </c>
      <c r="V4093" s="162" t="s">
        <v>15033</v>
      </c>
      <c r="W4093" s="416">
        <v>0</v>
      </c>
      <c r="X4093" s="416">
        <v>0</v>
      </c>
      <c r="Y4093" s="416">
        <v>0</v>
      </c>
      <c r="Z4093" s="416">
        <v>0</v>
      </c>
      <c r="AA4093" s="416">
        <v>0</v>
      </c>
      <c r="AB4093" s="416">
        <v>0</v>
      </c>
      <c r="AC4093" s="150">
        <v>0</v>
      </c>
      <c r="AD4093" s="150">
        <v>0</v>
      </c>
      <c r="AE4093" s="49">
        <f t="shared" si="150"/>
        <v>0</v>
      </c>
      <c r="AF4093" s="485">
        <v>0</v>
      </c>
      <c r="AG4093" s="17">
        <v>0</v>
      </c>
      <c r="AH4093" s="190">
        <v>0</v>
      </c>
      <c r="AI4093" s="485">
        <v>0.9</v>
      </c>
      <c r="AJ4093" s="485">
        <v>0.9</v>
      </c>
      <c r="AK4093" s="493">
        <v>0</v>
      </c>
      <c r="AL4093" s="493">
        <v>0</v>
      </c>
      <c r="AM4093" s="17">
        <f t="shared" si="151"/>
        <v>0</v>
      </c>
      <c r="AN4093" s="162" t="s">
        <v>1775</v>
      </c>
      <c r="AO4093" s="162" t="s">
        <v>1776</v>
      </c>
    </row>
    <row r="4094" spans="1:41" s="162" customFormat="1" x14ac:dyDescent="0.3">
      <c r="A4094" s="205" t="s">
        <v>8321</v>
      </c>
      <c r="B4094" s="162" t="s">
        <v>8322</v>
      </c>
      <c r="C4094" s="168" t="s">
        <v>13505</v>
      </c>
      <c r="D4094" s="162" t="s">
        <v>13506</v>
      </c>
      <c r="E4094" s="168" t="s">
        <v>13507</v>
      </c>
      <c r="F4094" s="162" t="s">
        <v>13508</v>
      </c>
      <c r="G4094" s="168">
        <v>165506</v>
      </c>
      <c r="H4094" s="162" t="s">
        <v>13509</v>
      </c>
      <c r="K4094" s="168" t="s">
        <v>15030</v>
      </c>
      <c r="L4094" s="162" t="s">
        <v>15031</v>
      </c>
      <c r="M4094" s="162" t="s">
        <v>15034</v>
      </c>
      <c r="O4094" s="224">
        <v>50</v>
      </c>
      <c r="P4094" s="224">
        <v>70</v>
      </c>
      <c r="Q4094" s="224">
        <v>80</v>
      </c>
      <c r="R4094" s="224">
        <v>100</v>
      </c>
      <c r="S4094" s="224">
        <v>150</v>
      </c>
      <c r="T4094" s="223" t="s">
        <v>1775</v>
      </c>
      <c r="U4094" t="str">
        <f>VLOOKUP(T4094,[8]Votes!$A$1:$E$234,3,FALSE)</f>
        <v>112 Ethics and Integrity</v>
      </c>
      <c r="V4094" s="162" t="s">
        <v>15035</v>
      </c>
      <c r="W4094" s="416">
        <v>1</v>
      </c>
      <c r="X4094" s="416">
        <v>1</v>
      </c>
      <c r="Y4094" s="416">
        <v>0</v>
      </c>
      <c r="Z4094" s="416">
        <v>1</v>
      </c>
      <c r="AA4094" s="416">
        <v>1</v>
      </c>
      <c r="AB4094" s="416">
        <v>1</v>
      </c>
      <c r="AC4094" s="150">
        <v>1</v>
      </c>
      <c r="AD4094" s="150">
        <v>1</v>
      </c>
      <c r="AE4094" s="49">
        <f t="shared" si="150"/>
        <v>0.875</v>
      </c>
      <c r="AF4094" s="485">
        <v>0</v>
      </c>
      <c r="AG4094" s="17">
        <v>0</v>
      </c>
      <c r="AH4094" s="485">
        <v>0.45</v>
      </c>
      <c r="AI4094" s="485">
        <v>0.45</v>
      </c>
      <c r="AJ4094" s="485">
        <v>0.45</v>
      </c>
      <c r="AK4094" s="493">
        <v>0</v>
      </c>
      <c r="AL4094" s="493">
        <v>0</v>
      </c>
      <c r="AM4094" s="17">
        <f t="shared" si="151"/>
        <v>0</v>
      </c>
      <c r="AN4094" s="162" t="s">
        <v>1775</v>
      </c>
      <c r="AO4094" s="162" t="s">
        <v>1776</v>
      </c>
    </row>
    <row r="4095" spans="1:41" s="162" customFormat="1" x14ac:dyDescent="0.3">
      <c r="A4095" s="205" t="s">
        <v>8321</v>
      </c>
      <c r="B4095" s="162" t="s">
        <v>8322</v>
      </c>
      <c r="C4095" s="168" t="s">
        <v>13505</v>
      </c>
      <c r="D4095" s="162" t="s">
        <v>13506</v>
      </c>
      <c r="E4095" s="168" t="s">
        <v>13507</v>
      </c>
      <c r="F4095" s="162" t="s">
        <v>13508</v>
      </c>
      <c r="G4095" s="168">
        <v>165506</v>
      </c>
      <c r="H4095" s="162" t="s">
        <v>13509</v>
      </c>
      <c r="K4095" s="168" t="s">
        <v>15036</v>
      </c>
      <c r="L4095" s="162" t="s">
        <v>15037</v>
      </c>
      <c r="M4095" s="162" t="s">
        <v>15038</v>
      </c>
      <c r="O4095" s="224">
        <v>10</v>
      </c>
      <c r="P4095" s="224">
        <v>20</v>
      </c>
      <c r="Q4095" s="224">
        <v>20</v>
      </c>
      <c r="R4095" s="224">
        <v>20</v>
      </c>
      <c r="S4095" s="224">
        <v>30</v>
      </c>
      <c r="T4095" s="223" t="s">
        <v>1775</v>
      </c>
      <c r="U4095" t="str">
        <f>VLOOKUP(T4095,[8]Votes!$A$1:$E$234,3,FALSE)</f>
        <v>112 Ethics and Integrity</v>
      </c>
      <c r="V4095" s="162" t="s">
        <v>15039</v>
      </c>
      <c r="W4095" s="416">
        <v>1</v>
      </c>
      <c r="X4095" s="416">
        <v>0</v>
      </c>
      <c r="Y4095" s="416">
        <v>0</v>
      </c>
      <c r="Z4095" s="416">
        <v>0</v>
      </c>
      <c r="AA4095" s="416">
        <v>0</v>
      </c>
      <c r="AB4095" s="416">
        <v>0</v>
      </c>
      <c r="AC4095" s="150">
        <v>0</v>
      </c>
      <c r="AD4095" s="150">
        <v>0</v>
      </c>
      <c r="AE4095" s="49">
        <f t="shared" si="150"/>
        <v>0.125</v>
      </c>
      <c r="AF4095" s="485">
        <v>0</v>
      </c>
      <c r="AG4095" s="17">
        <v>0</v>
      </c>
      <c r="AH4095" s="485">
        <v>0.3</v>
      </c>
      <c r="AI4095" s="485">
        <v>0.6</v>
      </c>
      <c r="AJ4095" s="485">
        <v>0.6</v>
      </c>
      <c r="AK4095" s="493">
        <v>0.3</v>
      </c>
      <c r="AL4095" s="493">
        <v>0.3</v>
      </c>
      <c r="AM4095" s="17">
        <f t="shared" si="151"/>
        <v>0.6</v>
      </c>
      <c r="AN4095" s="162" t="s">
        <v>1775</v>
      </c>
      <c r="AO4095" s="162" t="s">
        <v>1776</v>
      </c>
    </row>
    <row r="4096" spans="1:41" s="162" customFormat="1" x14ac:dyDescent="0.3">
      <c r="A4096" s="205" t="s">
        <v>8321</v>
      </c>
      <c r="B4096" s="162" t="s">
        <v>8322</v>
      </c>
      <c r="C4096" s="168" t="s">
        <v>13505</v>
      </c>
      <c r="D4096" s="162" t="s">
        <v>13506</v>
      </c>
      <c r="E4096" s="168" t="s">
        <v>13507</v>
      </c>
      <c r="F4096" s="162" t="s">
        <v>13508</v>
      </c>
      <c r="G4096" s="168">
        <v>165506</v>
      </c>
      <c r="H4096" s="162" t="s">
        <v>13509</v>
      </c>
      <c r="K4096" s="168" t="s">
        <v>15036</v>
      </c>
      <c r="L4096" s="162" t="s">
        <v>15037</v>
      </c>
      <c r="M4096" s="162" t="s">
        <v>15038</v>
      </c>
      <c r="O4096" s="224">
        <v>5</v>
      </c>
      <c r="P4096" s="224">
        <v>16</v>
      </c>
      <c r="Q4096" s="224">
        <v>24</v>
      </c>
      <c r="R4096" s="224">
        <v>11</v>
      </c>
      <c r="S4096" s="224" t="s">
        <v>271</v>
      </c>
      <c r="T4096" s="223" t="s">
        <v>1775</v>
      </c>
      <c r="U4096" t="str">
        <f>VLOOKUP(T4096,[8]Votes!$A$1:$E$234,3,FALSE)</f>
        <v>112 Ethics and Integrity</v>
      </c>
      <c r="V4096" s="162" t="s">
        <v>15040</v>
      </c>
      <c r="W4096" s="416">
        <v>0</v>
      </c>
      <c r="X4096" s="416">
        <v>0</v>
      </c>
      <c r="Y4096" s="416">
        <v>0</v>
      </c>
      <c r="Z4096" s="416">
        <v>0</v>
      </c>
      <c r="AA4096" s="416">
        <v>0</v>
      </c>
      <c r="AB4096" s="416">
        <v>0</v>
      </c>
      <c r="AC4096" s="150">
        <v>0</v>
      </c>
      <c r="AD4096" s="150">
        <v>0</v>
      </c>
      <c r="AE4096" s="49">
        <f t="shared" si="150"/>
        <v>0</v>
      </c>
      <c r="AF4096" s="485">
        <v>0</v>
      </c>
      <c r="AG4096" s="17">
        <v>0</v>
      </c>
      <c r="AH4096" s="485">
        <v>0.05</v>
      </c>
      <c r="AI4096" s="485">
        <v>0.16</v>
      </c>
      <c r="AJ4096" s="485">
        <v>0.24</v>
      </c>
      <c r="AK4096" s="493">
        <v>0</v>
      </c>
      <c r="AL4096" s="191">
        <v>0</v>
      </c>
      <c r="AM4096" s="17">
        <f t="shared" si="151"/>
        <v>0</v>
      </c>
      <c r="AN4096" s="162" t="s">
        <v>1775</v>
      </c>
      <c r="AO4096" s="162" t="s">
        <v>1776</v>
      </c>
    </row>
    <row r="4097" spans="1:41" s="162" customFormat="1" x14ac:dyDescent="0.3">
      <c r="A4097" s="205" t="s">
        <v>8321</v>
      </c>
      <c r="B4097" s="162" t="s">
        <v>8322</v>
      </c>
      <c r="C4097" s="168" t="s">
        <v>13505</v>
      </c>
      <c r="D4097" s="162" t="s">
        <v>13506</v>
      </c>
      <c r="E4097" s="168" t="s">
        <v>13507</v>
      </c>
      <c r="F4097" s="162" t="s">
        <v>13508</v>
      </c>
      <c r="G4097" s="168">
        <v>165507</v>
      </c>
      <c r="H4097" s="162" t="s">
        <v>13513</v>
      </c>
      <c r="K4097" s="168" t="s">
        <v>15041</v>
      </c>
      <c r="L4097" s="162" t="s">
        <v>15042</v>
      </c>
      <c r="M4097" s="162" t="s">
        <v>15043</v>
      </c>
      <c r="O4097" s="224">
        <v>1</v>
      </c>
      <c r="P4097" s="224">
        <v>1</v>
      </c>
      <c r="Q4097" s="224">
        <v>1</v>
      </c>
      <c r="R4097" s="224" t="s">
        <v>271</v>
      </c>
      <c r="S4097" s="224" t="s">
        <v>271</v>
      </c>
      <c r="T4097" s="223" t="s">
        <v>1775</v>
      </c>
      <c r="U4097" t="str">
        <f>VLOOKUP(T4097,[8]Votes!$A$1:$E$234,3,FALSE)</f>
        <v>112 Ethics and Integrity</v>
      </c>
      <c r="V4097" s="162" t="s">
        <v>15044</v>
      </c>
      <c r="W4097" s="416">
        <v>1</v>
      </c>
      <c r="X4097" s="416">
        <v>1</v>
      </c>
      <c r="Y4097" s="416">
        <v>0</v>
      </c>
      <c r="Z4097" s="416">
        <v>1</v>
      </c>
      <c r="AA4097" s="416">
        <v>1</v>
      </c>
      <c r="AB4097" s="416">
        <v>1</v>
      </c>
      <c r="AC4097" s="150">
        <v>1</v>
      </c>
      <c r="AD4097" s="150">
        <v>1</v>
      </c>
      <c r="AE4097" s="49">
        <f t="shared" si="150"/>
        <v>0.875</v>
      </c>
      <c r="AF4097" s="485">
        <v>0</v>
      </c>
      <c r="AG4097" s="17">
        <v>0</v>
      </c>
      <c r="AH4097" s="485">
        <v>0.5</v>
      </c>
      <c r="AI4097" s="485">
        <v>0.5</v>
      </c>
      <c r="AJ4097" s="485">
        <v>0.5</v>
      </c>
      <c r="AK4097" s="191">
        <v>0</v>
      </c>
      <c r="AL4097" s="191">
        <v>0</v>
      </c>
      <c r="AM4097" s="17">
        <f t="shared" si="151"/>
        <v>0</v>
      </c>
      <c r="AN4097" s="162" t="s">
        <v>1775</v>
      </c>
      <c r="AO4097" s="162" t="s">
        <v>1776</v>
      </c>
    </row>
    <row r="4098" spans="1:41" s="162" customFormat="1" x14ac:dyDescent="0.3">
      <c r="A4098" s="205" t="s">
        <v>8321</v>
      </c>
      <c r="B4098" s="162" t="s">
        <v>8322</v>
      </c>
      <c r="C4098" s="168" t="s">
        <v>13505</v>
      </c>
      <c r="D4098" s="162" t="s">
        <v>13506</v>
      </c>
      <c r="E4098" s="168" t="s">
        <v>13507</v>
      </c>
      <c r="F4098" s="162" t="s">
        <v>13508</v>
      </c>
      <c r="G4098" s="168">
        <v>165507</v>
      </c>
      <c r="H4098" s="162" t="s">
        <v>13513</v>
      </c>
      <c r="K4098" s="168" t="s">
        <v>15045</v>
      </c>
      <c r="L4098" s="162" t="s">
        <v>15046</v>
      </c>
      <c r="M4098" s="162" t="s">
        <v>15047</v>
      </c>
      <c r="O4098" s="224">
        <v>80</v>
      </c>
      <c r="P4098" s="224">
        <v>80</v>
      </c>
      <c r="Q4098" s="224">
        <v>100</v>
      </c>
      <c r="R4098" s="224">
        <v>120</v>
      </c>
      <c r="S4098" s="224">
        <v>140</v>
      </c>
      <c r="T4098" s="223" t="s">
        <v>1775</v>
      </c>
      <c r="U4098" t="str">
        <f>VLOOKUP(T4098,[8]Votes!$A$1:$E$234,3,FALSE)</f>
        <v>112 Ethics and Integrity</v>
      </c>
      <c r="V4098" s="162" t="s">
        <v>15048</v>
      </c>
      <c r="W4098" s="416">
        <v>1</v>
      </c>
      <c r="X4098" s="416">
        <v>1</v>
      </c>
      <c r="Y4098" s="416">
        <v>0</v>
      </c>
      <c r="Z4098" s="416">
        <v>1</v>
      </c>
      <c r="AA4098" s="416">
        <v>1</v>
      </c>
      <c r="AB4098" s="416">
        <v>1</v>
      </c>
      <c r="AC4098" s="150">
        <v>1</v>
      </c>
      <c r="AD4098" s="150">
        <v>1</v>
      </c>
      <c r="AE4098" s="49">
        <f t="shared" si="150"/>
        <v>0.875</v>
      </c>
      <c r="AF4098" s="485">
        <v>0</v>
      </c>
      <c r="AG4098" s="17">
        <v>0</v>
      </c>
      <c r="AH4098" s="485">
        <v>0.08</v>
      </c>
      <c r="AI4098" s="485">
        <v>0.08</v>
      </c>
      <c r="AJ4098" s="485">
        <v>0.1</v>
      </c>
      <c r="AK4098" s="493">
        <v>0.06</v>
      </c>
      <c r="AL4098" s="493">
        <v>0.05</v>
      </c>
      <c r="AM4098" s="17">
        <f t="shared" si="151"/>
        <v>0.11</v>
      </c>
      <c r="AN4098" s="162" t="s">
        <v>1775</v>
      </c>
      <c r="AO4098" s="162" t="s">
        <v>1776</v>
      </c>
    </row>
    <row r="4099" spans="1:41" s="162" customFormat="1" x14ac:dyDescent="0.3">
      <c r="A4099" s="205" t="s">
        <v>8321</v>
      </c>
      <c r="B4099" s="162" t="s">
        <v>8322</v>
      </c>
      <c r="C4099" s="168" t="s">
        <v>13505</v>
      </c>
      <c r="D4099" s="162" t="s">
        <v>13506</v>
      </c>
      <c r="E4099" s="168" t="s">
        <v>13507</v>
      </c>
      <c r="F4099" s="162" t="s">
        <v>13508</v>
      </c>
      <c r="G4099" s="168">
        <v>165507</v>
      </c>
      <c r="H4099" s="162" t="s">
        <v>13513</v>
      </c>
      <c r="K4099" s="168" t="s">
        <v>15045</v>
      </c>
      <c r="L4099" s="162" t="s">
        <v>15046</v>
      </c>
      <c r="M4099" s="162" t="s">
        <v>15049</v>
      </c>
      <c r="O4099" s="224">
        <v>20</v>
      </c>
      <c r="P4099" s="224">
        <v>20</v>
      </c>
      <c r="Q4099" s="224">
        <v>40</v>
      </c>
      <c r="R4099" s="224">
        <v>50</v>
      </c>
      <c r="S4099" s="224">
        <v>60</v>
      </c>
      <c r="T4099" s="223" t="s">
        <v>1775</v>
      </c>
      <c r="U4099" t="str">
        <f>VLOOKUP(T4099,[8]Votes!$A$1:$E$234,3,FALSE)</f>
        <v>112 Ethics and Integrity</v>
      </c>
      <c r="V4099" s="162" t="s">
        <v>15050</v>
      </c>
      <c r="W4099" s="416">
        <v>0</v>
      </c>
      <c r="X4099" s="416">
        <v>0</v>
      </c>
      <c r="Y4099" s="416">
        <v>0</v>
      </c>
      <c r="Z4099" s="416">
        <v>0</v>
      </c>
      <c r="AA4099" s="416">
        <v>0</v>
      </c>
      <c r="AB4099" s="416">
        <v>0</v>
      </c>
      <c r="AC4099" s="150">
        <v>0</v>
      </c>
      <c r="AD4099" s="150">
        <v>0</v>
      </c>
      <c r="AE4099" s="49">
        <f t="shared" si="150"/>
        <v>0</v>
      </c>
      <c r="AF4099" s="485">
        <v>0</v>
      </c>
      <c r="AG4099" s="17">
        <v>0</v>
      </c>
      <c r="AH4099" s="485">
        <v>0.04</v>
      </c>
      <c r="AI4099" s="485">
        <v>0.04</v>
      </c>
      <c r="AJ4099" s="485">
        <v>0.08</v>
      </c>
      <c r="AK4099" s="493">
        <v>0</v>
      </c>
      <c r="AL4099" s="493">
        <v>0</v>
      </c>
      <c r="AM4099" s="17">
        <f t="shared" si="151"/>
        <v>0</v>
      </c>
      <c r="AN4099" s="162" t="s">
        <v>1775</v>
      </c>
      <c r="AO4099" s="162" t="s">
        <v>1776</v>
      </c>
    </row>
    <row r="4100" spans="1:41" s="162" customFormat="1" x14ac:dyDescent="0.3">
      <c r="A4100" s="205" t="s">
        <v>8321</v>
      </c>
      <c r="B4100" s="162" t="s">
        <v>8322</v>
      </c>
      <c r="C4100" s="168" t="s">
        <v>13505</v>
      </c>
      <c r="D4100" s="162" t="s">
        <v>13506</v>
      </c>
      <c r="E4100" s="168" t="s">
        <v>13507</v>
      </c>
      <c r="F4100" s="162" t="s">
        <v>13508</v>
      </c>
      <c r="G4100" s="168">
        <v>165507</v>
      </c>
      <c r="H4100" s="162" t="s">
        <v>13513</v>
      </c>
      <c r="K4100" s="168" t="s">
        <v>15045</v>
      </c>
      <c r="L4100" s="162" t="s">
        <v>15046</v>
      </c>
      <c r="M4100" s="162" t="s">
        <v>15051</v>
      </c>
      <c r="O4100" s="224">
        <v>20</v>
      </c>
      <c r="P4100" s="224">
        <v>20</v>
      </c>
      <c r="Q4100" s="224">
        <v>20</v>
      </c>
      <c r="R4100" s="224">
        <v>25</v>
      </c>
      <c r="S4100" s="224">
        <v>35</v>
      </c>
      <c r="T4100" s="223" t="s">
        <v>1775</v>
      </c>
      <c r="U4100" t="str">
        <f>VLOOKUP(T4100,[8]Votes!$A$1:$E$234,3,FALSE)</f>
        <v>112 Ethics and Integrity</v>
      </c>
      <c r="V4100" s="162" t="s">
        <v>15052</v>
      </c>
      <c r="W4100" s="416">
        <v>0</v>
      </c>
      <c r="X4100" s="416">
        <v>0</v>
      </c>
      <c r="Y4100" s="416">
        <v>0</v>
      </c>
      <c r="Z4100" s="416">
        <v>0</v>
      </c>
      <c r="AA4100" s="416">
        <v>0</v>
      </c>
      <c r="AB4100" s="416">
        <v>0</v>
      </c>
      <c r="AC4100" s="150">
        <v>0</v>
      </c>
      <c r="AD4100" s="150">
        <v>0</v>
      </c>
      <c r="AE4100" s="49">
        <f t="shared" si="150"/>
        <v>0</v>
      </c>
      <c r="AF4100" s="485">
        <v>0</v>
      </c>
      <c r="AG4100" s="17">
        <v>0</v>
      </c>
      <c r="AH4100" s="485">
        <v>0.03</v>
      </c>
      <c r="AI4100" s="485">
        <v>0.03</v>
      </c>
      <c r="AJ4100" s="485">
        <v>0.03</v>
      </c>
      <c r="AK4100" s="493">
        <v>0</v>
      </c>
      <c r="AL4100" s="493">
        <v>0</v>
      </c>
      <c r="AM4100" s="17">
        <f t="shared" si="151"/>
        <v>0</v>
      </c>
      <c r="AN4100" s="162" t="s">
        <v>1775</v>
      </c>
      <c r="AO4100" s="162" t="s">
        <v>1776</v>
      </c>
    </row>
    <row r="4101" spans="1:41" s="162" customFormat="1" x14ac:dyDescent="0.3">
      <c r="A4101" s="205" t="s">
        <v>8321</v>
      </c>
      <c r="B4101" s="162" t="s">
        <v>8322</v>
      </c>
      <c r="C4101" s="168" t="s">
        <v>13505</v>
      </c>
      <c r="D4101" s="162" t="s">
        <v>13506</v>
      </c>
      <c r="E4101" s="168" t="s">
        <v>13507</v>
      </c>
      <c r="F4101" s="162" t="s">
        <v>13508</v>
      </c>
      <c r="G4101" s="168">
        <v>165507</v>
      </c>
      <c r="H4101" s="162" t="s">
        <v>13513</v>
      </c>
      <c r="K4101" s="168" t="s">
        <v>15053</v>
      </c>
      <c r="L4101" s="162" t="s">
        <v>15054</v>
      </c>
      <c r="M4101" s="162" t="s">
        <v>15055</v>
      </c>
      <c r="O4101" s="224">
        <v>25</v>
      </c>
      <c r="P4101" s="224">
        <v>25</v>
      </c>
      <c r="Q4101" s="224">
        <v>25</v>
      </c>
      <c r="R4101" s="224">
        <v>25</v>
      </c>
      <c r="S4101" s="224">
        <v>25</v>
      </c>
      <c r="T4101" s="223" t="s">
        <v>1775</v>
      </c>
      <c r="U4101" t="str">
        <f>VLOOKUP(T4101,[8]Votes!$A$1:$E$234,3,FALSE)</f>
        <v>112 Ethics and Integrity</v>
      </c>
      <c r="V4101" s="162" t="s">
        <v>15056</v>
      </c>
      <c r="W4101" s="416">
        <v>1</v>
      </c>
      <c r="X4101" s="416">
        <v>1</v>
      </c>
      <c r="Y4101" s="416">
        <v>0</v>
      </c>
      <c r="Z4101" s="416">
        <v>1</v>
      </c>
      <c r="AA4101" s="416">
        <v>1</v>
      </c>
      <c r="AB4101" s="416">
        <v>1</v>
      </c>
      <c r="AC4101" s="150">
        <v>1</v>
      </c>
      <c r="AD4101" s="150">
        <v>1</v>
      </c>
      <c r="AE4101" s="49">
        <f t="shared" si="150"/>
        <v>0.875</v>
      </c>
      <c r="AF4101" s="485">
        <v>0</v>
      </c>
      <c r="AG4101" s="17">
        <v>0</v>
      </c>
      <c r="AH4101" s="485">
        <v>0.1</v>
      </c>
      <c r="AI4101" s="485">
        <v>0.1</v>
      </c>
      <c r="AJ4101" s="485">
        <v>0.1</v>
      </c>
      <c r="AK4101" s="493">
        <v>0.05</v>
      </c>
      <c r="AL4101" s="493">
        <v>0.03</v>
      </c>
      <c r="AM4101" s="17">
        <f t="shared" si="151"/>
        <v>0.08</v>
      </c>
      <c r="AN4101" s="162" t="s">
        <v>1775</v>
      </c>
      <c r="AO4101" s="162" t="s">
        <v>1776</v>
      </c>
    </row>
    <row r="4102" spans="1:41" s="162" customFormat="1" x14ac:dyDescent="0.3">
      <c r="A4102" s="205" t="s">
        <v>8321</v>
      </c>
      <c r="B4102" s="162" t="s">
        <v>8322</v>
      </c>
      <c r="C4102" s="168" t="s">
        <v>13505</v>
      </c>
      <c r="D4102" s="162" t="s">
        <v>13506</v>
      </c>
      <c r="E4102" s="168" t="s">
        <v>13507</v>
      </c>
      <c r="F4102" s="162" t="s">
        <v>13508</v>
      </c>
      <c r="G4102" s="168">
        <v>165507</v>
      </c>
      <c r="H4102" s="162" t="s">
        <v>13513</v>
      </c>
      <c r="K4102" s="168" t="s">
        <v>15057</v>
      </c>
      <c r="L4102" s="162" t="s">
        <v>15058</v>
      </c>
      <c r="M4102" s="162" t="s">
        <v>15059</v>
      </c>
      <c r="O4102" s="224" t="s">
        <v>271</v>
      </c>
      <c r="P4102" s="224">
        <v>1</v>
      </c>
      <c r="Q4102" s="224">
        <v>1</v>
      </c>
      <c r="R4102" s="224">
        <v>1</v>
      </c>
      <c r="S4102" s="224">
        <v>1</v>
      </c>
      <c r="T4102" s="223" t="s">
        <v>1775</v>
      </c>
      <c r="U4102" t="str">
        <f>VLOOKUP(T4102,[8]Votes!$A$1:$E$234,3,FALSE)</f>
        <v>112 Ethics and Integrity</v>
      </c>
      <c r="V4102" s="162" t="s">
        <v>15060</v>
      </c>
      <c r="W4102" s="416">
        <v>0</v>
      </c>
      <c r="X4102" s="416">
        <v>0</v>
      </c>
      <c r="Y4102" s="416">
        <v>0</v>
      </c>
      <c r="Z4102" s="416">
        <v>0</v>
      </c>
      <c r="AA4102" s="416">
        <v>0</v>
      </c>
      <c r="AB4102" s="416">
        <v>0</v>
      </c>
      <c r="AC4102" s="150">
        <v>0</v>
      </c>
      <c r="AD4102" s="150">
        <v>0</v>
      </c>
      <c r="AE4102" s="49">
        <f t="shared" si="150"/>
        <v>0</v>
      </c>
      <c r="AF4102" s="485">
        <v>0</v>
      </c>
      <c r="AG4102" s="17">
        <v>0</v>
      </c>
      <c r="AH4102" s="190">
        <v>0</v>
      </c>
      <c r="AI4102" s="485">
        <v>0.5</v>
      </c>
      <c r="AJ4102" s="485">
        <v>0.5</v>
      </c>
      <c r="AK4102" s="493">
        <v>0</v>
      </c>
      <c r="AL4102" s="493">
        <v>0</v>
      </c>
      <c r="AM4102" s="17">
        <f t="shared" si="151"/>
        <v>0</v>
      </c>
      <c r="AN4102" s="162" t="s">
        <v>1775</v>
      </c>
      <c r="AO4102" s="162" t="s">
        <v>1776</v>
      </c>
    </row>
    <row r="4103" spans="1:41" s="162" customFormat="1" x14ac:dyDescent="0.3">
      <c r="A4103" s="205" t="s">
        <v>8321</v>
      </c>
      <c r="B4103" s="162" t="s">
        <v>8322</v>
      </c>
      <c r="C4103" s="168" t="s">
        <v>13505</v>
      </c>
      <c r="D4103" s="162" t="s">
        <v>13506</v>
      </c>
      <c r="E4103" s="168" t="s">
        <v>13507</v>
      </c>
      <c r="F4103" s="162" t="s">
        <v>13508</v>
      </c>
      <c r="G4103" s="168">
        <v>165507</v>
      </c>
      <c r="H4103" s="162" t="s">
        <v>13513</v>
      </c>
      <c r="K4103" s="168" t="s">
        <v>15061</v>
      </c>
      <c r="L4103" s="162" t="s">
        <v>15062</v>
      </c>
      <c r="M4103" s="162" t="s">
        <v>15063</v>
      </c>
      <c r="O4103" s="224">
        <v>20</v>
      </c>
      <c r="P4103" s="224">
        <v>20</v>
      </c>
      <c r="Q4103" s="224">
        <v>20</v>
      </c>
      <c r="R4103" s="224">
        <v>20</v>
      </c>
      <c r="S4103" s="224">
        <v>20</v>
      </c>
      <c r="T4103" s="223" t="s">
        <v>1775</v>
      </c>
      <c r="U4103" t="str">
        <f>VLOOKUP(T4103,[8]Votes!$A$1:$E$234,3,FALSE)</f>
        <v>112 Ethics and Integrity</v>
      </c>
      <c r="V4103" s="162" t="s">
        <v>15064</v>
      </c>
      <c r="W4103" s="416">
        <v>1</v>
      </c>
      <c r="X4103" s="416">
        <v>1</v>
      </c>
      <c r="Y4103" s="416">
        <v>0</v>
      </c>
      <c r="Z4103" s="416">
        <v>1</v>
      </c>
      <c r="AA4103" s="416">
        <v>1</v>
      </c>
      <c r="AB4103" s="416">
        <v>1</v>
      </c>
      <c r="AC4103" s="150">
        <v>1</v>
      </c>
      <c r="AD4103" s="150">
        <v>1</v>
      </c>
      <c r="AE4103" s="49">
        <f t="shared" si="150"/>
        <v>0.875</v>
      </c>
      <c r="AF4103" s="485">
        <v>0</v>
      </c>
      <c r="AG4103" s="17">
        <v>0</v>
      </c>
      <c r="AH4103" s="485">
        <v>0.1</v>
      </c>
      <c r="AI4103" s="485">
        <v>0.1</v>
      </c>
      <c r="AJ4103" s="485">
        <v>0.1</v>
      </c>
      <c r="AK4103" s="493">
        <v>0.05</v>
      </c>
      <c r="AL4103" s="493">
        <v>0.03</v>
      </c>
      <c r="AM4103" s="17">
        <f t="shared" si="151"/>
        <v>0.08</v>
      </c>
      <c r="AN4103" s="162" t="s">
        <v>1775</v>
      </c>
      <c r="AO4103" s="162" t="s">
        <v>1776</v>
      </c>
    </row>
    <row r="4104" spans="1:41" s="162" customFormat="1" x14ac:dyDescent="0.3">
      <c r="A4104" s="205" t="s">
        <v>8321</v>
      </c>
      <c r="B4104" s="162" t="s">
        <v>8322</v>
      </c>
      <c r="C4104" s="168" t="s">
        <v>13505</v>
      </c>
      <c r="D4104" s="162" t="s">
        <v>13506</v>
      </c>
      <c r="E4104" s="168" t="s">
        <v>13507</v>
      </c>
      <c r="F4104" s="162" t="s">
        <v>13508</v>
      </c>
      <c r="G4104" s="168">
        <v>165507</v>
      </c>
      <c r="H4104" s="162" t="s">
        <v>13513</v>
      </c>
      <c r="K4104" s="168" t="s">
        <v>15065</v>
      </c>
      <c r="L4104" s="162" t="s">
        <v>15066</v>
      </c>
      <c r="M4104" s="162" t="s">
        <v>15067</v>
      </c>
      <c r="O4104" s="224">
        <v>3</v>
      </c>
      <c r="P4104" s="224">
        <v>5</v>
      </c>
      <c r="Q4104" s="224">
        <v>20</v>
      </c>
      <c r="R4104" s="224">
        <v>20</v>
      </c>
      <c r="S4104" s="224">
        <v>20</v>
      </c>
      <c r="T4104" s="223" t="s">
        <v>1775</v>
      </c>
      <c r="U4104" t="str">
        <f>VLOOKUP(T4104,[8]Votes!$A$1:$E$234,3,FALSE)</f>
        <v>112 Ethics and Integrity</v>
      </c>
      <c r="V4104" s="162" t="s">
        <v>15068</v>
      </c>
      <c r="W4104" s="416">
        <v>0</v>
      </c>
      <c r="X4104" s="416">
        <v>0</v>
      </c>
      <c r="Y4104" s="416">
        <v>0</v>
      </c>
      <c r="Z4104" s="416">
        <v>0</v>
      </c>
      <c r="AA4104" s="416">
        <v>0</v>
      </c>
      <c r="AB4104" s="416">
        <v>0</v>
      </c>
      <c r="AC4104" s="150">
        <v>0</v>
      </c>
      <c r="AD4104" s="150">
        <v>0</v>
      </c>
      <c r="AE4104" s="49">
        <f t="shared" si="150"/>
        <v>0</v>
      </c>
      <c r="AF4104" s="485">
        <v>0</v>
      </c>
      <c r="AG4104" s="17">
        <v>0</v>
      </c>
      <c r="AH4104" s="485">
        <v>0.8</v>
      </c>
      <c r="AI4104" s="485">
        <v>1</v>
      </c>
      <c r="AJ4104" s="485">
        <v>1</v>
      </c>
      <c r="AK4104" s="493">
        <v>0</v>
      </c>
      <c r="AL4104" s="493">
        <v>0</v>
      </c>
      <c r="AM4104" s="17">
        <f t="shared" si="151"/>
        <v>0</v>
      </c>
      <c r="AN4104" s="162" t="s">
        <v>1775</v>
      </c>
      <c r="AO4104" s="162" t="s">
        <v>1776</v>
      </c>
    </row>
    <row r="4105" spans="1:41" s="162" customFormat="1" x14ac:dyDescent="0.3">
      <c r="A4105" s="205" t="s">
        <v>8321</v>
      </c>
      <c r="B4105" s="162" t="s">
        <v>8322</v>
      </c>
      <c r="C4105" s="168" t="s">
        <v>13505</v>
      </c>
      <c r="D4105" s="162" t="s">
        <v>13506</v>
      </c>
      <c r="E4105" s="168" t="s">
        <v>13507</v>
      </c>
      <c r="F4105" s="162" t="s">
        <v>13508</v>
      </c>
      <c r="G4105" s="168">
        <v>165507</v>
      </c>
      <c r="H4105" s="162" t="s">
        <v>13513</v>
      </c>
      <c r="K4105" s="168" t="s">
        <v>15069</v>
      </c>
      <c r="L4105" s="1" t="s">
        <v>15070</v>
      </c>
      <c r="M4105" s="162" t="s">
        <v>15071</v>
      </c>
      <c r="N4105" s="162" t="s">
        <v>271</v>
      </c>
      <c r="O4105" s="224">
        <v>0</v>
      </c>
      <c r="P4105" s="224">
        <v>0</v>
      </c>
      <c r="Q4105" s="224">
        <v>50</v>
      </c>
      <c r="R4105" s="224">
        <v>80</v>
      </c>
      <c r="S4105" s="224">
        <v>100</v>
      </c>
      <c r="T4105" s="223" t="s">
        <v>15072</v>
      </c>
      <c r="U4105" t="e">
        <f>VLOOKUP(T4105,[8]Votes!$A$1:$E$234,3,FALSE)</f>
        <v>#N/A</v>
      </c>
      <c r="V4105" s="162" t="s">
        <v>15073</v>
      </c>
      <c r="W4105" s="416">
        <v>1</v>
      </c>
      <c r="X4105" s="416">
        <v>1</v>
      </c>
      <c r="Y4105" s="416">
        <v>0</v>
      </c>
      <c r="Z4105" s="416">
        <v>1</v>
      </c>
      <c r="AA4105" s="416">
        <v>1</v>
      </c>
      <c r="AB4105" s="416">
        <v>1</v>
      </c>
      <c r="AC4105" s="150">
        <v>1</v>
      </c>
      <c r="AD4105" s="150">
        <v>1</v>
      </c>
      <c r="AE4105" s="49">
        <f t="shared" si="150"/>
        <v>0.875</v>
      </c>
      <c r="AF4105" s="485">
        <v>0</v>
      </c>
      <c r="AG4105" s="17">
        <v>0</v>
      </c>
      <c r="AH4105" s="190">
        <v>0</v>
      </c>
      <c r="AI4105" s="190">
        <v>0</v>
      </c>
      <c r="AJ4105" s="485">
        <v>3.085</v>
      </c>
      <c r="AK4105" s="493">
        <v>1.85</v>
      </c>
      <c r="AL4105" s="493">
        <v>1.47</v>
      </c>
      <c r="AM4105" s="17">
        <f t="shared" si="151"/>
        <v>3.3200000000000003</v>
      </c>
      <c r="AN4105" s="162" t="s">
        <v>15072</v>
      </c>
      <c r="AO4105" s="162" t="s">
        <v>1776</v>
      </c>
    </row>
    <row r="4106" spans="1:41" s="162" customFormat="1" x14ac:dyDescent="0.3">
      <c r="A4106" s="205" t="s">
        <v>8321</v>
      </c>
      <c r="B4106" s="162" t="s">
        <v>8322</v>
      </c>
      <c r="C4106" s="168" t="s">
        <v>13505</v>
      </c>
      <c r="D4106" s="162" t="s">
        <v>13506</v>
      </c>
      <c r="E4106" s="168" t="s">
        <v>13507</v>
      </c>
      <c r="F4106" s="162" t="s">
        <v>13508</v>
      </c>
      <c r="G4106" s="168">
        <v>165507</v>
      </c>
      <c r="H4106" s="162" t="s">
        <v>13513</v>
      </c>
      <c r="K4106" s="168" t="s">
        <v>15074</v>
      </c>
      <c r="L4106" s="1" t="s">
        <v>15075</v>
      </c>
      <c r="M4106" s="162" t="s">
        <v>15076</v>
      </c>
      <c r="N4106" s="162" t="s">
        <v>271</v>
      </c>
      <c r="O4106" s="224">
        <v>0</v>
      </c>
      <c r="P4106" s="224">
        <v>0</v>
      </c>
      <c r="Q4106" s="224">
        <v>0</v>
      </c>
      <c r="R4106" s="224">
        <v>2</v>
      </c>
      <c r="S4106" s="224">
        <v>2</v>
      </c>
      <c r="T4106" s="162" t="s">
        <v>1775</v>
      </c>
      <c r="U4106" t="str">
        <f>VLOOKUP(T4106,[8]Votes!$A$1:$E$234,3,FALSE)</f>
        <v>112 Ethics and Integrity</v>
      </c>
      <c r="V4106" t="s">
        <v>15077</v>
      </c>
      <c r="W4106" s="416">
        <v>0</v>
      </c>
      <c r="X4106" s="416">
        <v>0</v>
      </c>
      <c r="Y4106" s="416">
        <v>0</v>
      </c>
      <c r="Z4106" s="416">
        <v>0</v>
      </c>
      <c r="AA4106" s="416">
        <v>0</v>
      </c>
      <c r="AB4106" s="416">
        <v>0</v>
      </c>
      <c r="AC4106" s="150">
        <v>0</v>
      </c>
      <c r="AD4106" s="150">
        <v>0</v>
      </c>
      <c r="AE4106" s="49">
        <f t="shared" si="150"/>
        <v>0</v>
      </c>
      <c r="AF4106" s="485">
        <v>0</v>
      </c>
      <c r="AG4106" s="17">
        <v>0</v>
      </c>
      <c r="AH4106" s="190">
        <v>0</v>
      </c>
      <c r="AI4106" s="190">
        <v>0</v>
      </c>
      <c r="AJ4106" s="190">
        <v>0</v>
      </c>
      <c r="AK4106" s="493">
        <v>0</v>
      </c>
      <c r="AL4106" s="493">
        <v>0</v>
      </c>
      <c r="AM4106" s="17">
        <f t="shared" si="151"/>
        <v>0</v>
      </c>
      <c r="AN4106" s="162" t="s">
        <v>1775</v>
      </c>
      <c r="AO4106" s="162" t="s">
        <v>1776</v>
      </c>
    </row>
    <row r="4107" spans="1:41" s="162" customFormat="1" x14ac:dyDescent="0.3">
      <c r="A4107" s="205" t="s">
        <v>8321</v>
      </c>
      <c r="B4107" s="162" t="s">
        <v>8322</v>
      </c>
      <c r="C4107" s="168" t="s">
        <v>13505</v>
      </c>
      <c r="D4107" s="162" t="s">
        <v>13506</v>
      </c>
      <c r="E4107" s="168" t="s">
        <v>13507</v>
      </c>
      <c r="F4107" s="162" t="s">
        <v>13508</v>
      </c>
      <c r="G4107" s="168">
        <v>165507</v>
      </c>
      <c r="H4107" s="162" t="s">
        <v>13513</v>
      </c>
      <c r="K4107" s="168" t="s">
        <v>15078</v>
      </c>
      <c r="L4107" s="162" t="s">
        <v>15079</v>
      </c>
      <c r="M4107" s="162" t="s">
        <v>15080</v>
      </c>
      <c r="N4107" s="162" t="s">
        <v>271</v>
      </c>
      <c r="O4107" s="224">
        <v>0</v>
      </c>
      <c r="P4107" s="224">
        <v>0</v>
      </c>
      <c r="Q4107" s="224">
        <v>15</v>
      </c>
      <c r="R4107" s="224">
        <v>20</v>
      </c>
      <c r="S4107" s="224">
        <v>25</v>
      </c>
      <c r="T4107" s="223" t="s">
        <v>15072</v>
      </c>
      <c r="U4107" t="e">
        <f>VLOOKUP(T4107,[8]Votes!$A$1:$E$234,3,FALSE)</f>
        <v>#N/A</v>
      </c>
      <c r="V4107" t="s">
        <v>15081</v>
      </c>
      <c r="W4107" s="416">
        <v>1</v>
      </c>
      <c r="X4107" s="416">
        <v>1</v>
      </c>
      <c r="Y4107" s="416">
        <v>0</v>
      </c>
      <c r="Z4107" s="416">
        <v>1</v>
      </c>
      <c r="AA4107" s="416">
        <v>1</v>
      </c>
      <c r="AB4107" s="416">
        <v>1</v>
      </c>
      <c r="AC4107" s="150">
        <v>1</v>
      </c>
      <c r="AD4107" s="150">
        <v>1</v>
      </c>
      <c r="AE4107" s="49">
        <f t="shared" si="150"/>
        <v>0.875</v>
      </c>
      <c r="AF4107" s="485">
        <v>0</v>
      </c>
      <c r="AG4107" s="17">
        <v>0</v>
      </c>
      <c r="AH4107" s="190">
        <v>0</v>
      </c>
      <c r="AI4107" s="190">
        <v>0</v>
      </c>
      <c r="AJ4107" s="485">
        <v>0.1</v>
      </c>
      <c r="AK4107" s="493">
        <v>0.32</v>
      </c>
      <c r="AL4107" s="493">
        <v>0.15</v>
      </c>
      <c r="AM4107" s="17">
        <f t="shared" si="151"/>
        <v>0.47</v>
      </c>
      <c r="AN4107" s="162" t="s">
        <v>15072</v>
      </c>
      <c r="AO4107" s="162" t="s">
        <v>1776</v>
      </c>
    </row>
    <row r="4108" spans="1:41" s="162" customFormat="1" x14ac:dyDescent="0.3">
      <c r="A4108" s="205" t="s">
        <v>8321</v>
      </c>
      <c r="B4108" s="162" t="s">
        <v>8322</v>
      </c>
      <c r="C4108" s="168" t="s">
        <v>13505</v>
      </c>
      <c r="D4108" s="162" t="s">
        <v>13506</v>
      </c>
      <c r="E4108" s="168" t="s">
        <v>13507</v>
      </c>
      <c r="F4108" s="162" t="s">
        <v>13508</v>
      </c>
      <c r="G4108" s="168">
        <v>165507</v>
      </c>
      <c r="H4108" s="162" t="s">
        <v>13513</v>
      </c>
      <c r="K4108" s="168" t="s">
        <v>15082</v>
      </c>
      <c r="L4108" s="162" t="s">
        <v>15083</v>
      </c>
      <c r="M4108" s="162" t="s">
        <v>15084</v>
      </c>
      <c r="N4108" s="162" t="s">
        <v>271</v>
      </c>
      <c r="O4108" s="224">
        <v>0</v>
      </c>
      <c r="P4108" s="224">
        <v>10</v>
      </c>
      <c r="Q4108" s="224">
        <v>20</v>
      </c>
      <c r="R4108" s="224">
        <v>25</v>
      </c>
      <c r="S4108" s="224">
        <v>30</v>
      </c>
      <c r="T4108" s="223" t="s">
        <v>15085</v>
      </c>
      <c r="U4108" t="e">
        <f>VLOOKUP(T4108,[8]Votes!$A$1:$E$234,3,FALSE)</f>
        <v>#N/A</v>
      </c>
      <c r="V4108" s="162" t="s">
        <v>15086</v>
      </c>
      <c r="W4108" s="416">
        <v>1</v>
      </c>
      <c r="X4108" s="416">
        <v>1</v>
      </c>
      <c r="Y4108" s="416">
        <v>0</v>
      </c>
      <c r="Z4108" s="416">
        <v>1</v>
      </c>
      <c r="AA4108" s="416">
        <v>1</v>
      </c>
      <c r="AB4108" s="416">
        <v>1</v>
      </c>
      <c r="AC4108" s="150">
        <v>1</v>
      </c>
      <c r="AD4108" s="150">
        <v>1</v>
      </c>
      <c r="AE4108" s="49">
        <f t="shared" si="150"/>
        <v>0.875</v>
      </c>
      <c r="AF4108" s="485">
        <v>0</v>
      </c>
      <c r="AG4108" s="17">
        <v>0</v>
      </c>
      <c r="AH4108" s="190">
        <v>0</v>
      </c>
      <c r="AI4108" s="190">
        <v>0</v>
      </c>
      <c r="AJ4108" s="190">
        <v>0</v>
      </c>
      <c r="AK4108" s="493">
        <v>0.3</v>
      </c>
      <c r="AL4108" s="493">
        <v>0.27</v>
      </c>
      <c r="AM4108" s="17">
        <f t="shared" si="151"/>
        <v>0.57000000000000006</v>
      </c>
      <c r="AN4108" s="162" t="s">
        <v>15072</v>
      </c>
      <c r="AO4108" s="162" t="s">
        <v>1776</v>
      </c>
    </row>
    <row r="4109" spans="1:41" s="162" customFormat="1" x14ac:dyDescent="0.3">
      <c r="A4109" s="205" t="s">
        <v>8321</v>
      </c>
      <c r="B4109" s="162" t="s">
        <v>8322</v>
      </c>
      <c r="C4109" s="168" t="s">
        <v>13505</v>
      </c>
      <c r="D4109" s="162" t="s">
        <v>13506</v>
      </c>
      <c r="E4109" s="168" t="s">
        <v>13507</v>
      </c>
      <c r="F4109" s="162" t="s">
        <v>13508</v>
      </c>
      <c r="G4109" s="168">
        <v>165507</v>
      </c>
      <c r="H4109" s="162" t="s">
        <v>13513</v>
      </c>
      <c r="K4109" s="168" t="s">
        <v>15087</v>
      </c>
      <c r="L4109" s="162" t="s">
        <v>15088</v>
      </c>
      <c r="M4109" s="162" t="s">
        <v>15089</v>
      </c>
      <c r="N4109" s="162" t="s">
        <v>271</v>
      </c>
      <c r="O4109" s="224">
        <v>3</v>
      </c>
      <c r="P4109" s="224">
        <v>5</v>
      </c>
      <c r="Q4109" s="224">
        <v>5</v>
      </c>
      <c r="R4109" s="224">
        <v>5</v>
      </c>
      <c r="S4109" s="224">
        <v>5</v>
      </c>
      <c r="T4109" s="223" t="s">
        <v>1775</v>
      </c>
      <c r="U4109" t="str">
        <f>VLOOKUP(T4109,[8]Votes!$A$1:$E$234,3,FALSE)</f>
        <v>112 Ethics and Integrity</v>
      </c>
      <c r="V4109" s="162" t="s">
        <v>15090</v>
      </c>
      <c r="W4109" s="416">
        <v>1</v>
      </c>
      <c r="X4109" s="416">
        <v>1</v>
      </c>
      <c r="Y4109" s="416">
        <v>0</v>
      </c>
      <c r="Z4109" s="416">
        <v>1</v>
      </c>
      <c r="AA4109" s="416">
        <v>1</v>
      </c>
      <c r="AB4109" s="416">
        <v>1</v>
      </c>
      <c r="AC4109" s="150">
        <v>1</v>
      </c>
      <c r="AD4109" s="150">
        <v>1</v>
      </c>
      <c r="AE4109" s="49">
        <f t="shared" si="150"/>
        <v>0.875</v>
      </c>
      <c r="AF4109" s="485">
        <v>0</v>
      </c>
      <c r="AG4109" s="17">
        <v>0</v>
      </c>
      <c r="AH4109" s="485">
        <v>0.06</v>
      </c>
      <c r="AI4109" s="485">
        <v>0.4</v>
      </c>
      <c r="AJ4109" s="485">
        <v>0.6</v>
      </c>
      <c r="AK4109" s="493">
        <v>0.4</v>
      </c>
      <c r="AL4109" s="493">
        <v>0.33</v>
      </c>
      <c r="AM4109" s="17">
        <f t="shared" si="151"/>
        <v>0.73</v>
      </c>
      <c r="AN4109" s="162" t="s">
        <v>1775</v>
      </c>
      <c r="AO4109" s="162" t="s">
        <v>1776</v>
      </c>
    </row>
    <row r="4110" spans="1:41" s="162" customFormat="1" x14ac:dyDescent="0.3">
      <c r="A4110" s="205" t="s">
        <v>8321</v>
      </c>
      <c r="B4110" s="162" t="s">
        <v>8322</v>
      </c>
      <c r="C4110" s="168" t="s">
        <v>13505</v>
      </c>
      <c r="D4110" s="162" t="s">
        <v>13506</v>
      </c>
      <c r="E4110" s="168" t="s">
        <v>13507</v>
      </c>
      <c r="F4110" s="162" t="s">
        <v>13508</v>
      </c>
      <c r="G4110" s="168">
        <v>165507</v>
      </c>
      <c r="H4110" s="162" t="s">
        <v>13513</v>
      </c>
      <c r="K4110" s="168" t="s">
        <v>15087</v>
      </c>
      <c r="L4110" s="162" t="s">
        <v>15088</v>
      </c>
      <c r="M4110" s="162" t="s">
        <v>15091</v>
      </c>
      <c r="O4110" s="224">
        <v>2</v>
      </c>
      <c r="P4110" s="224">
        <v>2</v>
      </c>
      <c r="Q4110" s="224">
        <v>2</v>
      </c>
      <c r="R4110" s="224">
        <v>2</v>
      </c>
      <c r="S4110" s="224">
        <v>2</v>
      </c>
      <c r="T4110" s="223" t="s">
        <v>1775</v>
      </c>
      <c r="U4110" t="str">
        <f>VLOOKUP(T4110,[8]Votes!$A$1:$E$234,3,FALSE)</f>
        <v>112 Ethics and Integrity</v>
      </c>
      <c r="V4110" s="162" t="s">
        <v>15092</v>
      </c>
      <c r="W4110" s="416">
        <v>0</v>
      </c>
      <c r="X4110" s="416">
        <v>0</v>
      </c>
      <c r="Y4110" s="416">
        <v>0</v>
      </c>
      <c r="Z4110" s="416">
        <v>0</v>
      </c>
      <c r="AA4110" s="416">
        <v>0</v>
      </c>
      <c r="AB4110" s="416">
        <v>0</v>
      </c>
      <c r="AC4110" s="150">
        <v>0</v>
      </c>
      <c r="AD4110" s="150">
        <v>0</v>
      </c>
      <c r="AE4110" s="49">
        <f t="shared" si="150"/>
        <v>0</v>
      </c>
      <c r="AF4110" s="485">
        <v>0</v>
      </c>
      <c r="AG4110" s="17">
        <v>0</v>
      </c>
      <c r="AH4110" s="485">
        <v>0.4</v>
      </c>
      <c r="AI4110" s="485">
        <v>0.4</v>
      </c>
      <c r="AJ4110" s="485">
        <v>0.4</v>
      </c>
      <c r="AK4110" s="493">
        <v>0</v>
      </c>
      <c r="AL4110" s="493">
        <v>0</v>
      </c>
      <c r="AM4110" s="17">
        <f t="shared" si="151"/>
        <v>0</v>
      </c>
      <c r="AN4110" s="162" t="s">
        <v>1775</v>
      </c>
      <c r="AO4110" s="162" t="s">
        <v>1776</v>
      </c>
    </row>
    <row r="4111" spans="1:41" s="162" customFormat="1" x14ac:dyDescent="0.3">
      <c r="A4111" s="205" t="s">
        <v>8321</v>
      </c>
      <c r="B4111" s="162" t="s">
        <v>8322</v>
      </c>
      <c r="C4111" s="168" t="s">
        <v>13505</v>
      </c>
      <c r="D4111" s="162" t="s">
        <v>13506</v>
      </c>
      <c r="E4111" s="168" t="s">
        <v>13507</v>
      </c>
      <c r="F4111" s="162" t="s">
        <v>13508</v>
      </c>
      <c r="G4111" s="168">
        <v>165507</v>
      </c>
      <c r="H4111" s="162" t="s">
        <v>13513</v>
      </c>
      <c r="K4111" s="168" t="s">
        <v>15087</v>
      </c>
      <c r="L4111" s="162" t="s">
        <v>15088</v>
      </c>
      <c r="M4111" s="162" t="s">
        <v>15091</v>
      </c>
      <c r="O4111" s="224">
        <v>120</v>
      </c>
      <c r="P4111" s="224">
        <v>120</v>
      </c>
      <c r="Q4111" s="224">
        <v>120</v>
      </c>
      <c r="R4111" s="224">
        <v>120</v>
      </c>
      <c r="S4111" s="224">
        <v>120</v>
      </c>
      <c r="T4111" s="223" t="s">
        <v>1588</v>
      </c>
      <c r="U4111" t="str">
        <f>VLOOKUP(T4111,[8]Votes!$A$1:$E$234,3,FALSE)</f>
        <v>148 Judicial Service Commission</v>
      </c>
      <c r="V4111" s="162" t="s">
        <v>15093</v>
      </c>
      <c r="W4111" s="416">
        <v>1</v>
      </c>
      <c r="X4111" s="416">
        <v>1</v>
      </c>
      <c r="Y4111" s="416">
        <v>1</v>
      </c>
      <c r="Z4111" s="416">
        <v>1</v>
      </c>
      <c r="AA4111" s="416">
        <v>1</v>
      </c>
      <c r="AB4111" s="416">
        <v>0</v>
      </c>
      <c r="AC4111" s="150">
        <v>1</v>
      </c>
      <c r="AD4111" s="150">
        <v>1</v>
      </c>
      <c r="AE4111" s="49">
        <f t="shared" si="150"/>
        <v>0.875</v>
      </c>
      <c r="AF4111" s="485">
        <v>0</v>
      </c>
      <c r="AG4111" s="17">
        <v>0</v>
      </c>
      <c r="AH4111" s="190">
        <v>0</v>
      </c>
      <c r="AI4111" s="190">
        <v>0</v>
      </c>
      <c r="AJ4111" s="190">
        <v>0</v>
      </c>
      <c r="AK4111" s="191">
        <v>0</v>
      </c>
      <c r="AL4111" s="191">
        <v>0</v>
      </c>
      <c r="AM4111" s="17">
        <f t="shared" si="151"/>
        <v>0</v>
      </c>
      <c r="AN4111" s="162" t="s">
        <v>1588</v>
      </c>
      <c r="AO4111" s="162" t="s">
        <v>1590</v>
      </c>
    </row>
    <row r="4112" spans="1:41" s="162" customFormat="1" x14ac:dyDescent="0.3">
      <c r="A4112" s="205" t="s">
        <v>8321</v>
      </c>
      <c r="B4112" s="162" t="s">
        <v>8322</v>
      </c>
      <c r="C4112" s="168" t="s">
        <v>13505</v>
      </c>
      <c r="D4112" s="162" t="s">
        <v>13506</v>
      </c>
      <c r="E4112" s="168" t="s">
        <v>13507</v>
      </c>
      <c r="F4112" s="162" t="s">
        <v>13508</v>
      </c>
      <c r="G4112" s="168">
        <v>165507</v>
      </c>
      <c r="H4112" s="162" t="s">
        <v>13513</v>
      </c>
      <c r="K4112" s="168" t="s">
        <v>15094</v>
      </c>
      <c r="L4112" s="162" t="s">
        <v>15095</v>
      </c>
      <c r="M4112" s="162" t="s">
        <v>15096</v>
      </c>
      <c r="O4112" s="492">
        <v>0.7</v>
      </c>
      <c r="P4112" s="492">
        <v>0.7</v>
      </c>
      <c r="Q4112" s="492">
        <v>0.7</v>
      </c>
      <c r="R4112" s="492">
        <v>0.7</v>
      </c>
      <c r="S4112" s="492">
        <v>0.7</v>
      </c>
      <c r="T4112" s="223" t="s">
        <v>3705</v>
      </c>
      <c r="U4112" t="str">
        <f>VLOOKUP(T4112,[8]Votes!$A$1:$E$234,3,FALSE)</f>
        <v>008 Ministry of Finance, Planning &amp; Economic Dev.</v>
      </c>
      <c r="V4112" s="162" t="s">
        <v>15097</v>
      </c>
      <c r="W4112" s="416">
        <v>1</v>
      </c>
      <c r="X4112" s="416">
        <v>1</v>
      </c>
      <c r="Y4112" s="416">
        <v>1</v>
      </c>
      <c r="Z4112" s="416">
        <v>1</v>
      </c>
      <c r="AA4112" s="416">
        <v>1</v>
      </c>
      <c r="AB4112" s="416">
        <v>0</v>
      </c>
      <c r="AC4112" s="150">
        <v>1</v>
      </c>
      <c r="AD4112" s="150">
        <v>1</v>
      </c>
      <c r="AE4112" s="49">
        <f t="shared" si="150"/>
        <v>0.875</v>
      </c>
      <c r="AF4112" s="485">
        <v>0</v>
      </c>
      <c r="AG4112" s="17">
        <v>0</v>
      </c>
      <c r="AH4112" s="485">
        <v>0.09</v>
      </c>
      <c r="AI4112" s="485">
        <v>0.09</v>
      </c>
      <c r="AJ4112" s="485">
        <v>0.09</v>
      </c>
      <c r="AK4112" s="493">
        <v>0.09</v>
      </c>
      <c r="AL4112" s="493">
        <v>8.9999999999999998E-4</v>
      </c>
      <c r="AM4112" s="17">
        <f t="shared" si="151"/>
        <v>9.0899999999999995E-2</v>
      </c>
      <c r="AN4112" s="162" t="s">
        <v>3705</v>
      </c>
      <c r="AO4112" s="162" t="s">
        <v>880</v>
      </c>
    </row>
    <row r="4113" spans="1:41" s="162" customFormat="1" x14ac:dyDescent="0.3">
      <c r="A4113" s="205" t="s">
        <v>8321</v>
      </c>
      <c r="B4113" s="162" t="s">
        <v>8322</v>
      </c>
      <c r="C4113" s="168" t="s">
        <v>13505</v>
      </c>
      <c r="D4113" s="162" t="s">
        <v>13506</v>
      </c>
      <c r="E4113" s="168" t="s">
        <v>13507</v>
      </c>
      <c r="F4113" s="162" t="s">
        <v>13508</v>
      </c>
      <c r="G4113" s="168">
        <v>165507</v>
      </c>
      <c r="H4113" s="162" t="s">
        <v>13513</v>
      </c>
      <c r="K4113" s="168" t="s">
        <v>15098</v>
      </c>
      <c r="L4113" s="162" t="s">
        <v>15099</v>
      </c>
      <c r="M4113" s="162" t="s">
        <v>15100</v>
      </c>
      <c r="O4113" s="224">
        <v>135</v>
      </c>
      <c r="P4113" s="224">
        <v>210</v>
      </c>
      <c r="Q4113" s="224">
        <v>210</v>
      </c>
      <c r="R4113" s="224">
        <v>210</v>
      </c>
      <c r="S4113" s="224">
        <v>210</v>
      </c>
      <c r="T4113" s="223" t="s">
        <v>3705</v>
      </c>
      <c r="U4113" t="str">
        <f>VLOOKUP(T4113,[8]Votes!$A$1:$E$234,3,FALSE)</f>
        <v>008 Ministry of Finance, Planning &amp; Economic Dev.</v>
      </c>
      <c r="V4113" s="162" t="s">
        <v>15101</v>
      </c>
      <c r="W4113" s="416">
        <v>1</v>
      </c>
      <c r="X4113" s="416">
        <v>1</v>
      </c>
      <c r="Y4113" s="416">
        <v>1</v>
      </c>
      <c r="Z4113" s="416">
        <v>1</v>
      </c>
      <c r="AA4113" s="416">
        <v>1</v>
      </c>
      <c r="AB4113" s="416">
        <v>0</v>
      </c>
      <c r="AC4113" s="150">
        <v>1</v>
      </c>
      <c r="AD4113" s="150">
        <v>1</v>
      </c>
      <c r="AE4113" s="49">
        <f t="shared" si="150"/>
        <v>0.875</v>
      </c>
      <c r="AF4113" s="485">
        <v>0</v>
      </c>
      <c r="AG4113" s="17">
        <v>0</v>
      </c>
      <c r="AH4113" s="190">
        <v>0</v>
      </c>
      <c r="AI4113" s="485">
        <v>0.61599999999999999</v>
      </c>
      <c r="AJ4113" s="485">
        <v>0.46200000000000002</v>
      </c>
      <c r="AK4113" s="493">
        <v>0.308</v>
      </c>
      <c r="AL4113" s="493">
        <v>0.245</v>
      </c>
      <c r="AM4113" s="17">
        <f t="shared" si="151"/>
        <v>0.55299999999999994</v>
      </c>
      <c r="AN4113" s="162" t="s">
        <v>3705</v>
      </c>
      <c r="AO4113" s="162" t="s">
        <v>880</v>
      </c>
    </row>
    <row r="4114" spans="1:41" s="162" customFormat="1" x14ac:dyDescent="0.3">
      <c r="A4114" s="205" t="s">
        <v>8321</v>
      </c>
      <c r="B4114" s="162" t="s">
        <v>8322</v>
      </c>
      <c r="C4114" s="168" t="s">
        <v>13505</v>
      </c>
      <c r="D4114" s="162" t="s">
        <v>13506</v>
      </c>
      <c r="E4114" s="168" t="s">
        <v>13507</v>
      </c>
      <c r="F4114" s="162" t="s">
        <v>13508</v>
      </c>
      <c r="G4114" s="168">
        <v>165507</v>
      </c>
      <c r="H4114" s="162" t="s">
        <v>13513</v>
      </c>
      <c r="K4114" s="168" t="s">
        <v>15098</v>
      </c>
      <c r="L4114" s="162" t="s">
        <v>15099</v>
      </c>
      <c r="O4114" s="224"/>
      <c r="P4114" s="224"/>
      <c r="Q4114" s="224"/>
      <c r="R4114" s="224"/>
      <c r="S4114" s="224"/>
      <c r="T4114" s="223" t="s">
        <v>3705</v>
      </c>
      <c r="U4114" t="str">
        <f>VLOOKUP(T4114,[8]Votes!$A$1:$E$234,3,FALSE)</f>
        <v>008 Ministry of Finance, Planning &amp; Economic Dev.</v>
      </c>
      <c r="V4114" s="162" t="s">
        <v>15102</v>
      </c>
      <c r="W4114" s="416">
        <v>1</v>
      </c>
      <c r="X4114" s="416">
        <v>1</v>
      </c>
      <c r="Y4114" s="416">
        <v>1</v>
      </c>
      <c r="Z4114" s="416">
        <v>1</v>
      </c>
      <c r="AA4114" s="416">
        <v>1</v>
      </c>
      <c r="AB4114" s="416">
        <v>0</v>
      </c>
      <c r="AC4114" s="150">
        <v>1</v>
      </c>
      <c r="AD4114" s="150">
        <v>1</v>
      </c>
      <c r="AE4114" s="49">
        <f t="shared" si="150"/>
        <v>0.875</v>
      </c>
      <c r="AF4114" s="485">
        <v>0</v>
      </c>
      <c r="AG4114" s="17">
        <v>0</v>
      </c>
      <c r="AH4114" s="485">
        <v>0.184</v>
      </c>
      <c r="AI4114" s="485">
        <v>0.68600000000000005</v>
      </c>
      <c r="AJ4114" s="485">
        <v>0.54900000000000004</v>
      </c>
      <c r="AK4114" s="493">
        <v>0.44500000000000001</v>
      </c>
      <c r="AL4114" s="493">
        <v>0.308</v>
      </c>
      <c r="AM4114" s="17">
        <f t="shared" si="151"/>
        <v>0.753</v>
      </c>
      <c r="AN4114" s="162" t="s">
        <v>3705</v>
      </c>
      <c r="AO4114" s="162" t="s">
        <v>880</v>
      </c>
    </row>
    <row r="4115" spans="1:41" s="162" customFormat="1" x14ac:dyDescent="0.3">
      <c r="A4115" s="205" t="s">
        <v>8321</v>
      </c>
      <c r="B4115" s="162" t="s">
        <v>8322</v>
      </c>
      <c r="C4115" s="168" t="s">
        <v>13505</v>
      </c>
      <c r="D4115" s="162" t="s">
        <v>13506</v>
      </c>
      <c r="E4115" s="168" t="s">
        <v>13507</v>
      </c>
      <c r="F4115" s="162" t="s">
        <v>13508</v>
      </c>
      <c r="G4115" s="168">
        <v>165507</v>
      </c>
      <c r="H4115" s="162" t="s">
        <v>13513</v>
      </c>
      <c r="K4115" s="168" t="s">
        <v>15103</v>
      </c>
      <c r="L4115" s="162" t="s">
        <v>15104</v>
      </c>
      <c r="M4115" s="162" t="s">
        <v>15105</v>
      </c>
      <c r="O4115" s="224">
        <v>4</v>
      </c>
      <c r="P4115" s="224">
        <v>4</v>
      </c>
      <c r="Q4115" s="224">
        <v>4</v>
      </c>
      <c r="R4115" s="224">
        <v>3</v>
      </c>
      <c r="S4115" s="224">
        <v>3</v>
      </c>
      <c r="T4115" s="223" t="s">
        <v>3705</v>
      </c>
      <c r="U4115" t="str">
        <f>VLOOKUP(T4115,[8]Votes!$A$1:$E$234,3,FALSE)</f>
        <v>008 Ministry of Finance, Planning &amp; Economic Dev.</v>
      </c>
      <c r="V4115" s="162" t="s">
        <v>15106</v>
      </c>
      <c r="W4115" s="416">
        <v>1</v>
      </c>
      <c r="X4115" s="416">
        <v>1</v>
      </c>
      <c r="Y4115" s="416">
        <v>1</v>
      </c>
      <c r="Z4115" s="416">
        <v>1</v>
      </c>
      <c r="AA4115" s="416">
        <v>1</v>
      </c>
      <c r="AB4115" s="416">
        <v>0</v>
      </c>
      <c r="AC4115" s="150">
        <v>1</v>
      </c>
      <c r="AD4115" s="150">
        <v>1</v>
      </c>
      <c r="AE4115" s="49">
        <f t="shared" si="150"/>
        <v>0.875</v>
      </c>
      <c r="AF4115" s="485">
        <v>0</v>
      </c>
      <c r="AG4115" s="17">
        <v>0</v>
      </c>
      <c r="AH4115" s="485">
        <v>0.28000000000000003</v>
      </c>
      <c r="AI4115" s="485">
        <v>0.86</v>
      </c>
      <c r="AJ4115" s="485">
        <v>0.81699999999999995</v>
      </c>
      <c r="AK4115" s="493">
        <v>0.78</v>
      </c>
      <c r="AL4115" s="493">
        <v>0.73</v>
      </c>
      <c r="AM4115" s="17">
        <f t="shared" si="151"/>
        <v>1.51</v>
      </c>
      <c r="AN4115" s="162" t="s">
        <v>3705</v>
      </c>
      <c r="AO4115" s="162" t="s">
        <v>880</v>
      </c>
    </row>
    <row r="4116" spans="1:41" s="162" customFormat="1" x14ac:dyDescent="0.3">
      <c r="A4116" s="205" t="s">
        <v>8321</v>
      </c>
      <c r="B4116" s="162" t="s">
        <v>8322</v>
      </c>
      <c r="C4116" s="168" t="s">
        <v>13505</v>
      </c>
      <c r="D4116" s="162" t="s">
        <v>13506</v>
      </c>
      <c r="E4116" s="168" t="s">
        <v>13507</v>
      </c>
      <c r="F4116" s="162" t="s">
        <v>13508</v>
      </c>
      <c r="G4116" s="168">
        <v>165507</v>
      </c>
      <c r="H4116" s="162" t="s">
        <v>13513</v>
      </c>
      <c r="K4116" s="168" t="s">
        <v>15107</v>
      </c>
      <c r="L4116" s="162" t="s">
        <v>15108</v>
      </c>
      <c r="M4116" s="162" t="s">
        <v>15109</v>
      </c>
      <c r="O4116" s="492">
        <v>0.68</v>
      </c>
      <c r="P4116" s="492">
        <v>0.7</v>
      </c>
      <c r="Q4116" s="492">
        <v>0.72</v>
      </c>
      <c r="R4116" s="492">
        <v>0.74</v>
      </c>
      <c r="S4116" s="492">
        <v>0.76</v>
      </c>
      <c r="T4116" s="223" t="s">
        <v>7852</v>
      </c>
      <c r="U4116" t="str">
        <f>VLOOKUP(T4116,[8]Votes!$A$1:$E$234,3,FALSE)</f>
        <v>131 Auditor General</v>
      </c>
      <c r="V4116" s="162" t="s">
        <v>15110</v>
      </c>
      <c r="W4116" s="416">
        <v>1</v>
      </c>
      <c r="X4116" s="416">
        <v>1</v>
      </c>
      <c r="Y4116" s="416">
        <v>1</v>
      </c>
      <c r="Z4116" s="416">
        <v>1</v>
      </c>
      <c r="AA4116" s="416">
        <v>1</v>
      </c>
      <c r="AB4116" s="416">
        <v>0</v>
      </c>
      <c r="AC4116" s="150">
        <v>1</v>
      </c>
      <c r="AD4116" s="150">
        <v>1</v>
      </c>
      <c r="AE4116" s="49">
        <f t="shared" si="150"/>
        <v>0.875</v>
      </c>
      <c r="AF4116" s="485">
        <v>0</v>
      </c>
      <c r="AG4116" s="17">
        <v>0</v>
      </c>
      <c r="AH4116" s="485">
        <v>0.54</v>
      </c>
      <c r="AI4116" s="485">
        <v>0.61</v>
      </c>
      <c r="AJ4116" s="485">
        <v>0.62</v>
      </c>
      <c r="AK4116" s="493">
        <v>0.65</v>
      </c>
      <c r="AL4116" s="493">
        <v>0.7</v>
      </c>
      <c r="AM4116" s="17">
        <f t="shared" si="151"/>
        <v>1.35</v>
      </c>
      <c r="AN4116" s="162" t="s">
        <v>7852</v>
      </c>
      <c r="AO4116" s="162" t="s">
        <v>7854</v>
      </c>
    </row>
    <row r="4117" spans="1:41" s="162" customFormat="1" x14ac:dyDescent="0.3">
      <c r="A4117" s="205" t="s">
        <v>8321</v>
      </c>
      <c r="B4117" s="162" t="s">
        <v>8322</v>
      </c>
      <c r="C4117" s="168" t="s">
        <v>13505</v>
      </c>
      <c r="D4117" s="162" t="s">
        <v>13506</v>
      </c>
      <c r="E4117" s="168" t="s">
        <v>13507</v>
      </c>
      <c r="F4117" s="162" t="s">
        <v>13508</v>
      </c>
      <c r="G4117" s="168">
        <v>165507</v>
      </c>
      <c r="H4117" s="162" t="s">
        <v>13513</v>
      </c>
      <c r="K4117" s="168" t="s">
        <v>15107</v>
      </c>
      <c r="L4117" s="162" t="s">
        <v>15108</v>
      </c>
      <c r="M4117" s="162" t="s">
        <v>15111</v>
      </c>
      <c r="O4117" s="492">
        <v>0.9</v>
      </c>
      <c r="P4117" s="492">
        <v>0.92</v>
      </c>
      <c r="Q4117" s="492">
        <v>0.95</v>
      </c>
      <c r="R4117" s="492">
        <v>0.98</v>
      </c>
      <c r="S4117" s="492">
        <v>1</v>
      </c>
      <c r="T4117" s="223" t="s">
        <v>7852</v>
      </c>
      <c r="U4117" t="str">
        <f>VLOOKUP(T4117,[8]Votes!$A$1:$E$234,3,FALSE)</f>
        <v>131 Auditor General</v>
      </c>
      <c r="V4117" s="162" t="s">
        <v>15112</v>
      </c>
      <c r="W4117" s="416">
        <v>1</v>
      </c>
      <c r="X4117" s="416">
        <v>1</v>
      </c>
      <c r="Y4117" s="416">
        <v>1</v>
      </c>
      <c r="Z4117" s="416">
        <v>1</v>
      </c>
      <c r="AA4117" s="416">
        <v>1</v>
      </c>
      <c r="AB4117" s="416">
        <v>1</v>
      </c>
      <c r="AC4117" s="150">
        <v>1</v>
      </c>
      <c r="AD4117" s="150">
        <v>1</v>
      </c>
      <c r="AE4117" s="49">
        <f t="shared" si="150"/>
        <v>1</v>
      </c>
      <c r="AF4117" s="485">
        <v>0</v>
      </c>
      <c r="AG4117" s="17">
        <v>0</v>
      </c>
      <c r="AH4117" s="485">
        <v>9.4</v>
      </c>
      <c r="AI4117" s="485">
        <v>9.84</v>
      </c>
      <c r="AJ4117" s="485">
        <v>10.33</v>
      </c>
      <c r="AK4117" s="493">
        <v>11</v>
      </c>
      <c r="AL4117" s="493">
        <v>11.8</v>
      </c>
      <c r="AM4117" s="17">
        <f t="shared" si="151"/>
        <v>22.8</v>
      </c>
      <c r="AN4117" s="162" t="s">
        <v>7852</v>
      </c>
      <c r="AO4117" s="162" t="s">
        <v>7854</v>
      </c>
    </row>
    <row r="4118" spans="1:41" s="162" customFormat="1" x14ac:dyDescent="0.3">
      <c r="A4118" s="205" t="s">
        <v>8321</v>
      </c>
      <c r="B4118" s="162" t="s">
        <v>8322</v>
      </c>
      <c r="C4118" s="168" t="s">
        <v>13505</v>
      </c>
      <c r="D4118" s="162" t="s">
        <v>13506</v>
      </c>
      <c r="E4118" s="168" t="s">
        <v>13507</v>
      </c>
      <c r="F4118" s="162" t="s">
        <v>13508</v>
      </c>
      <c r="G4118" s="168">
        <v>165507</v>
      </c>
      <c r="H4118" s="162" t="s">
        <v>13513</v>
      </c>
      <c r="K4118" s="168" t="s">
        <v>15107</v>
      </c>
      <c r="L4118" s="162" t="s">
        <v>15108</v>
      </c>
      <c r="M4118" s="162" t="s">
        <v>15113</v>
      </c>
      <c r="O4118" s="492">
        <v>0.1</v>
      </c>
      <c r="P4118" s="492">
        <v>0.12</v>
      </c>
      <c r="Q4118" s="492">
        <v>0.5</v>
      </c>
      <c r="R4118" s="492">
        <v>0.75</v>
      </c>
      <c r="S4118" s="492">
        <v>0.8</v>
      </c>
      <c r="T4118" s="223" t="s">
        <v>7852</v>
      </c>
      <c r="U4118" t="str">
        <f>VLOOKUP(T4118,[8]Votes!$A$1:$E$234,3,FALSE)</f>
        <v>131 Auditor General</v>
      </c>
      <c r="V4118" s="162" t="s">
        <v>15112</v>
      </c>
      <c r="W4118" s="416">
        <v>1</v>
      </c>
      <c r="X4118" s="416">
        <v>1</v>
      </c>
      <c r="Y4118" s="416">
        <v>1</v>
      </c>
      <c r="Z4118" s="416">
        <v>1</v>
      </c>
      <c r="AA4118" s="416">
        <v>1</v>
      </c>
      <c r="AB4118" s="416">
        <v>1</v>
      </c>
      <c r="AC4118" s="150">
        <v>1</v>
      </c>
      <c r="AD4118" s="150">
        <v>1</v>
      </c>
      <c r="AE4118" s="49">
        <f t="shared" si="150"/>
        <v>1</v>
      </c>
      <c r="AF4118" s="485">
        <v>0</v>
      </c>
      <c r="AG4118" s="17">
        <v>0</v>
      </c>
      <c r="AH4118" s="190">
        <v>0</v>
      </c>
      <c r="AI4118" s="190">
        <v>0</v>
      </c>
      <c r="AJ4118" s="190">
        <v>0</v>
      </c>
      <c r="AK4118" s="191">
        <v>0</v>
      </c>
      <c r="AL4118" s="191">
        <v>0</v>
      </c>
      <c r="AM4118" s="17">
        <f t="shared" si="151"/>
        <v>0</v>
      </c>
      <c r="AN4118" s="162" t="s">
        <v>7852</v>
      </c>
      <c r="AO4118" s="162" t="s">
        <v>7854</v>
      </c>
    </row>
    <row r="4119" spans="1:41" s="162" customFormat="1" x14ac:dyDescent="0.3">
      <c r="A4119" s="205" t="s">
        <v>8321</v>
      </c>
      <c r="B4119" s="162" t="s">
        <v>8322</v>
      </c>
      <c r="C4119" s="168" t="s">
        <v>13505</v>
      </c>
      <c r="D4119" s="162" t="s">
        <v>13506</v>
      </c>
      <c r="E4119" s="168" t="s">
        <v>13507</v>
      </c>
      <c r="F4119" s="162" t="s">
        <v>13508</v>
      </c>
      <c r="G4119" s="168">
        <v>165507</v>
      </c>
      <c r="H4119" s="162" t="s">
        <v>13513</v>
      </c>
      <c r="K4119" s="168" t="s">
        <v>15107</v>
      </c>
      <c r="L4119" s="162" t="s">
        <v>15108</v>
      </c>
      <c r="M4119" s="162" t="s">
        <v>15114</v>
      </c>
      <c r="O4119" s="492">
        <v>0.65</v>
      </c>
      <c r="P4119" s="492">
        <v>0.7</v>
      </c>
      <c r="Q4119" s="492">
        <v>0.8</v>
      </c>
      <c r="R4119" s="492">
        <v>0.9</v>
      </c>
      <c r="S4119" s="492">
        <v>0.9</v>
      </c>
      <c r="T4119" s="223" t="s">
        <v>7852</v>
      </c>
      <c r="U4119" t="str">
        <f>VLOOKUP(T4119,[8]Votes!$A$1:$E$234,3,FALSE)</f>
        <v>131 Auditor General</v>
      </c>
      <c r="V4119" s="162" t="s">
        <v>15115</v>
      </c>
      <c r="W4119" s="416">
        <v>1</v>
      </c>
      <c r="X4119" s="416">
        <v>1</v>
      </c>
      <c r="Y4119" s="416">
        <v>1</v>
      </c>
      <c r="Z4119" s="416">
        <v>1</v>
      </c>
      <c r="AA4119" s="416">
        <v>1</v>
      </c>
      <c r="AB4119" s="416">
        <v>0</v>
      </c>
      <c r="AC4119" s="150">
        <v>1</v>
      </c>
      <c r="AD4119" s="150">
        <v>1</v>
      </c>
      <c r="AE4119" s="49">
        <f t="shared" si="150"/>
        <v>0.875</v>
      </c>
      <c r="AF4119" s="485">
        <v>0</v>
      </c>
      <c r="AG4119" s="17">
        <v>0</v>
      </c>
      <c r="AH4119" s="485">
        <v>0.54</v>
      </c>
      <c r="AI4119" s="485">
        <v>0.78</v>
      </c>
      <c r="AJ4119" s="485">
        <v>0.91</v>
      </c>
      <c r="AK4119" s="493">
        <v>0.53</v>
      </c>
      <c r="AL4119" s="493">
        <v>0.33</v>
      </c>
      <c r="AM4119" s="17">
        <f t="shared" si="151"/>
        <v>0.8600000000000001</v>
      </c>
      <c r="AN4119" s="162" t="s">
        <v>7852</v>
      </c>
      <c r="AO4119" s="162" t="s">
        <v>7854</v>
      </c>
    </row>
    <row r="4120" spans="1:41" s="162" customFormat="1" x14ac:dyDescent="0.3">
      <c r="A4120" s="205" t="s">
        <v>8321</v>
      </c>
      <c r="B4120" s="162" t="s">
        <v>8322</v>
      </c>
      <c r="C4120" s="168" t="s">
        <v>13505</v>
      </c>
      <c r="D4120" s="162" t="s">
        <v>13506</v>
      </c>
      <c r="E4120" s="168" t="s">
        <v>13507</v>
      </c>
      <c r="F4120" s="162" t="s">
        <v>13508</v>
      </c>
      <c r="G4120" s="168">
        <v>165507</v>
      </c>
      <c r="H4120" s="162" t="s">
        <v>13513</v>
      </c>
      <c r="K4120" s="168" t="s">
        <v>15107</v>
      </c>
      <c r="L4120" s="162" t="s">
        <v>15108</v>
      </c>
      <c r="M4120" s="162" t="s">
        <v>15116</v>
      </c>
      <c r="O4120" s="492">
        <v>0.25</v>
      </c>
      <c r="P4120" s="492">
        <v>0.3</v>
      </c>
      <c r="Q4120" s="492">
        <v>0.35</v>
      </c>
      <c r="R4120" s="492">
        <v>0.4</v>
      </c>
      <c r="S4120" s="492">
        <v>0.45</v>
      </c>
      <c r="T4120" s="223" t="s">
        <v>7852</v>
      </c>
      <c r="U4120" t="str">
        <f>VLOOKUP(T4120,[8]Votes!$A$1:$E$234,3,FALSE)</f>
        <v>131 Auditor General</v>
      </c>
      <c r="V4120" s="162" t="s">
        <v>15115</v>
      </c>
      <c r="W4120" s="416">
        <v>1</v>
      </c>
      <c r="X4120" s="416">
        <v>1</v>
      </c>
      <c r="Y4120" s="416">
        <v>1</v>
      </c>
      <c r="Z4120" s="416">
        <v>1</v>
      </c>
      <c r="AA4120" s="416">
        <v>1</v>
      </c>
      <c r="AB4120" s="416">
        <v>0</v>
      </c>
      <c r="AC4120" s="150">
        <v>1</v>
      </c>
      <c r="AD4120" s="150">
        <v>1</v>
      </c>
      <c r="AE4120" s="49">
        <f t="shared" si="150"/>
        <v>0.875</v>
      </c>
      <c r="AF4120" s="485">
        <v>0</v>
      </c>
      <c r="AG4120" s="17">
        <v>0</v>
      </c>
      <c r="AH4120" s="190">
        <v>0</v>
      </c>
      <c r="AI4120" s="190">
        <v>0</v>
      </c>
      <c r="AJ4120" s="190">
        <v>0</v>
      </c>
      <c r="AK4120" s="191">
        <v>0</v>
      </c>
      <c r="AL4120" s="191">
        <v>0</v>
      </c>
      <c r="AM4120" s="17">
        <f t="shared" si="151"/>
        <v>0</v>
      </c>
      <c r="AN4120" s="162" t="s">
        <v>7852</v>
      </c>
      <c r="AO4120" s="162" t="s">
        <v>7854</v>
      </c>
    </row>
    <row r="4121" spans="1:41" s="162" customFormat="1" x14ac:dyDescent="0.3">
      <c r="A4121" s="205" t="s">
        <v>8321</v>
      </c>
      <c r="B4121" s="162" t="s">
        <v>8322</v>
      </c>
      <c r="C4121" s="168" t="s">
        <v>13505</v>
      </c>
      <c r="D4121" s="162" t="s">
        <v>13506</v>
      </c>
      <c r="E4121" s="168" t="s">
        <v>13507</v>
      </c>
      <c r="F4121" s="162" t="s">
        <v>13508</v>
      </c>
      <c r="G4121" s="168">
        <v>165507</v>
      </c>
      <c r="H4121" s="162" t="s">
        <v>13513</v>
      </c>
      <c r="K4121" s="168" t="s">
        <v>15107</v>
      </c>
      <c r="L4121" s="162" t="s">
        <v>15108</v>
      </c>
      <c r="M4121" s="162" t="s">
        <v>15117</v>
      </c>
      <c r="O4121" s="492">
        <v>0.35</v>
      </c>
      <c r="P4121" s="492">
        <v>0.4</v>
      </c>
      <c r="Q4121" s="492">
        <v>0.45</v>
      </c>
      <c r="R4121" s="492">
        <v>0.5</v>
      </c>
      <c r="S4121" s="492">
        <v>0.6</v>
      </c>
      <c r="T4121" s="223" t="s">
        <v>7852</v>
      </c>
      <c r="U4121" t="str">
        <f>VLOOKUP(T4121,[8]Votes!$A$1:$E$234,3,FALSE)</f>
        <v>131 Auditor General</v>
      </c>
      <c r="V4121" s="162" t="s">
        <v>15115</v>
      </c>
      <c r="W4121" s="416">
        <v>1</v>
      </c>
      <c r="X4121" s="416">
        <v>1</v>
      </c>
      <c r="Y4121" s="416">
        <v>1</v>
      </c>
      <c r="Z4121" s="416">
        <v>1</v>
      </c>
      <c r="AA4121" s="416">
        <v>1</v>
      </c>
      <c r="AB4121" s="416">
        <v>0</v>
      </c>
      <c r="AC4121" s="150">
        <v>1</v>
      </c>
      <c r="AD4121" s="150">
        <v>1</v>
      </c>
      <c r="AE4121" s="49">
        <f t="shared" si="150"/>
        <v>0.875</v>
      </c>
      <c r="AF4121" s="485">
        <v>0</v>
      </c>
      <c r="AG4121" s="17">
        <v>0</v>
      </c>
      <c r="AH4121" s="190">
        <v>0</v>
      </c>
      <c r="AI4121" s="190">
        <v>0</v>
      </c>
      <c r="AJ4121" s="190">
        <v>0</v>
      </c>
      <c r="AK4121" s="191">
        <v>0</v>
      </c>
      <c r="AL4121" s="191">
        <v>0</v>
      </c>
      <c r="AM4121" s="17">
        <f t="shared" si="151"/>
        <v>0</v>
      </c>
      <c r="AN4121" s="162" t="s">
        <v>7852</v>
      </c>
      <c r="AO4121" s="162" t="s">
        <v>7854</v>
      </c>
    </row>
    <row r="4122" spans="1:41" s="162" customFormat="1" x14ac:dyDescent="0.3">
      <c r="A4122" s="205" t="s">
        <v>8321</v>
      </c>
      <c r="B4122" s="162" t="s">
        <v>8322</v>
      </c>
      <c r="C4122" s="168" t="s">
        <v>13505</v>
      </c>
      <c r="D4122" s="162" t="s">
        <v>13506</v>
      </c>
      <c r="E4122" s="168" t="s">
        <v>13507</v>
      </c>
      <c r="F4122" s="162" t="s">
        <v>13508</v>
      </c>
      <c r="G4122" s="168">
        <v>165507</v>
      </c>
      <c r="H4122" s="162" t="s">
        <v>13513</v>
      </c>
      <c r="K4122" s="168" t="s">
        <v>15107</v>
      </c>
      <c r="L4122" s="162" t="s">
        <v>15108</v>
      </c>
      <c r="M4122" s="162" t="s">
        <v>15118</v>
      </c>
      <c r="O4122" s="224">
        <v>42</v>
      </c>
      <c r="P4122" s="224">
        <v>46</v>
      </c>
      <c r="Q4122" s="224">
        <v>55</v>
      </c>
      <c r="R4122" s="224">
        <v>60</v>
      </c>
      <c r="S4122" s="224">
        <v>63</v>
      </c>
      <c r="T4122" s="223" t="s">
        <v>7852</v>
      </c>
      <c r="U4122" t="str">
        <f>VLOOKUP(T4122,[8]Votes!$A$1:$E$234,3,FALSE)</f>
        <v>131 Auditor General</v>
      </c>
      <c r="V4122" s="162" t="s">
        <v>15119</v>
      </c>
      <c r="W4122" s="416">
        <v>1</v>
      </c>
      <c r="X4122" s="416">
        <v>1</v>
      </c>
      <c r="Y4122" s="416">
        <v>1</v>
      </c>
      <c r="Z4122" s="416">
        <v>1</v>
      </c>
      <c r="AA4122" s="416">
        <v>1</v>
      </c>
      <c r="AB4122" s="416">
        <v>0</v>
      </c>
      <c r="AC4122" s="150">
        <v>1</v>
      </c>
      <c r="AD4122" s="150">
        <v>1</v>
      </c>
      <c r="AE4122" s="49">
        <f t="shared" si="150"/>
        <v>0.875</v>
      </c>
      <c r="AF4122" s="485">
        <v>0</v>
      </c>
      <c r="AG4122" s="17">
        <v>0</v>
      </c>
      <c r="AH4122" s="485">
        <v>4.2</v>
      </c>
      <c r="AI4122" s="485">
        <v>4.4000000000000004</v>
      </c>
      <c r="AJ4122" s="485">
        <v>4.8</v>
      </c>
      <c r="AK4122" s="493">
        <v>5.2</v>
      </c>
      <c r="AL4122" s="493">
        <v>5.5</v>
      </c>
      <c r="AM4122" s="17">
        <f t="shared" si="151"/>
        <v>10.7</v>
      </c>
      <c r="AN4122" s="162" t="s">
        <v>7852</v>
      </c>
      <c r="AO4122" s="162" t="s">
        <v>7854</v>
      </c>
    </row>
    <row r="4123" spans="1:41" s="162" customFormat="1" x14ac:dyDescent="0.3">
      <c r="A4123" s="205" t="s">
        <v>8321</v>
      </c>
      <c r="B4123" s="162" t="s">
        <v>8322</v>
      </c>
      <c r="C4123" s="168" t="s">
        <v>13505</v>
      </c>
      <c r="D4123" s="162" t="s">
        <v>13506</v>
      </c>
      <c r="E4123" s="168" t="s">
        <v>13507</v>
      </c>
      <c r="F4123" s="162" t="s">
        <v>13508</v>
      </c>
      <c r="G4123" s="168">
        <v>165507</v>
      </c>
      <c r="H4123" s="162" t="s">
        <v>13513</v>
      </c>
      <c r="K4123" s="168" t="s">
        <v>15107</v>
      </c>
      <c r="L4123" s="162" t="s">
        <v>15108</v>
      </c>
      <c r="M4123" s="162" t="s">
        <v>15120</v>
      </c>
      <c r="O4123" s="226"/>
      <c r="P4123" s="492">
        <v>0.4</v>
      </c>
      <c r="Q4123" s="224"/>
      <c r="R4123" s="224"/>
      <c r="S4123" s="492">
        <v>0.5</v>
      </c>
      <c r="T4123" s="223" t="s">
        <v>7852</v>
      </c>
      <c r="U4123" t="str">
        <f>VLOOKUP(T4123,[8]Votes!$A$1:$E$234,3,FALSE)</f>
        <v>131 Auditor General</v>
      </c>
      <c r="V4123" s="162" t="s">
        <v>15119</v>
      </c>
      <c r="W4123" s="416">
        <v>1</v>
      </c>
      <c r="X4123" s="416">
        <v>1</v>
      </c>
      <c r="Y4123" s="416">
        <v>1</v>
      </c>
      <c r="Z4123" s="416">
        <v>1</v>
      </c>
      <c r="AA4123" s="416">
        <v>1</v>
      </c>
      <c r="AB4123" s="416">
        <v>0</v>
      </c>
      <c r="AC4123" s="150">
        <v>1</v>
      </c>
      <c r="AD4123" s="150">
        <v>1</v>
      </c>
      <c r="AE4123" s="49">
        <f t="shared" si="150"/>
        <v>0.875</v>
      </c>
      <c r="AF4123" s="485">
        <v>0</v>
      </c>
      <c r="AG4123" s="17">
        <v>0</v>
      </c>
      <c r="AH4123" s="190">
        <v>0</v>
      </c>
      <c r="AI4123" s="190">
        <v>0</v>
      </c>
      <c r="AJ4123" s="190">
        <v>0</v>
      </c>
      <c r="AK4123" s="191">
        <v>0</v>
      </c>
      <c r="AL4123" s="191">
        <v>0</v>
      </c>
      <c r="AM4123" s="17">
        <f t="shared" si="151"/>
        <v>0</v>
      </c>
      <c r="AN4123" s="162" t="s">
        <v>7852</v>
      </c>
      <c r="AO4123" s="162" t="s">
        <v>7854</v>
      </c>
    </row>
    <row r="4124" spans="1:41" s="162" customFormat="1" x14ac:dyDescent="0.3">
      <c r="A4124" s="205" t="s">
        <v>8321</v>
      </c>
      <c r="B4124" s="162" t="s">
        <v>8322</v>
      </c>
      <c r="C4124" s="168" t="s">
        <v>13505</v>
      </c>
      <c r="D4124" s="162" t="s">
        <v>13506</v>
      </c>
      <c r="E4124" s="168" t="s">
        <v>13507</v>
      </c>
      <c r="F4124" s="162" t="s">
        <v>13508</v>
      </c>
      <c r="G4124" s="168">
        <v>165507</v>
      </c>
      <c r="H4124" s="162" t="s">
        <v>13513</v>
      </c>
      <c r="K4124" s="168" t="s">
        <v>15107</v>
      </c>
      <c r="L4124" s="162" t="s">
        <v>15108</v>
      </c>
      <c r="M4124" s="162" t="s">
        <v>15121</v>
      </c>
      <c r="O4124" s="224">
        <v>4</v>
      </c>
      <c r="P4124" s="224">
        <v>6</v>
      </c>
      <c r="Q4124" s="224">
        <v>8</v>
      </c>
      <c r="R4124" s="224">
        <v>8</v>
      </c>
      <c r="S4124" s="224">
        <v>8</v>
      </c>
      <c r="T4124" s="223" t="s">
        <v>7852</v>
      </c>
      <c r="U4124" t="str">
        <f>VLOOKUP(T4124,[8]Votes!$A$1:$E$234,3,FALSE)</f>
        <v>131 Auditor General</v>
      </c>
      <c r="V4124" s="162" t="s">
        <v>15122</v>
      </c>
      <c r="W4124" s="416">
        <v>1</v>
      </c>
      <c r="X4124" s="416">
        <v>1</v>
      </c>
      <c r="Y4124" s="416">
        <v>1</v>
      </c>
      <c r="Z4124" s="416">
        <v>1</v>
      </c>
      <c r="AA4124" s="416">
        <v>1</v>
      </c>
      <c r="AB4124" s="416">
        <v>0</v>
      </c>
      <c r="AC4124" s="150">
        <v>1</v>
      </c>
      <c r="AD4124" s="150">
        <v>1</v>
      </c>
      <c r="AE4124" s="49">
        <f t="shared" si="150"/>
        <v>0.875</v>
      </c>
      <c r="AF4124" s="485">
        <v>0</v>
      </c>
      <c r="AG4124" s="17">
        <v>0</v>
      </c>
      <c r="AH4124" s="485">
        <v>0.22</v>
      </c>
      <c r="AI4124" s="485">
        <v>0.35</v>
      </c>
      <c r="AJ4124" s="485">
        <v>0.44</v>
      </c>
      <c r="AK4124" s="493">
        <v>0.47</v>
      </c>
      <c r="AL4124" s="493">
        <v>0.52</v>
      </c>
      <c r="AM4124" s="17">
        <f t="shared" si="151"/>
        <v>0.99</v>
      </c>
      <c r="AN4124" s="162" t="s">
        <v>7852</v>
      </c>
      <c r="AO4124" s="162" t="s">
        <v>7854</v>
      </c>
    </row>
    <row r="4125" spans="1:41" s="162" customFormat="1" x14ac:dyDescent="0.3">
      <c r="A4125" s="205" t="s">
        <v>8321</v>
      </c>
      <c r="B4125" s="162" t="s">
        <v>8322</v>
      </c>
      <c r="C4125" s="168" t="s">
        <v>13505</v>
      </c>
      <c r="D4125" s="162" t="s">
        <v>13506</v>
      </c>
      <c r="E4125" s="168" t="s">
        <v>13507</v>
      </c>
      <c r="F4125" s="162" t="s">
        <v>13508</v>
      </c>
      <c r="G4125" s="168">
        <v>165507</v>
      </c>
      <c r="H4125" s="162" t="s">
        <v>13513</v>
      </c>
      <c r="K4125" s="168" t="s">
        <v>15107</v>
      </c>
      <c r="L4125" s="162" t="s">
        <v>15108</v>
      </c>
      <c r="M4125" s="162" t="s">
        <v>15123</v>
      </c>
      <c r="O4125" s="224">
        <v>2</v>
      </c>
      <c r="P4125" s="224">
        <v>2</v>
      </c>
      <c r="Q4125" s="224">
        <v>3</v>
      </c>
      <c r="R4125" s="224">
        <v>4</v>
      </c>
      <c r="S4125" s="224">
        <v>6</v>
      </c>
      <c r="T4125" s="223" t="s">
        <v>7852</v>
      </c>
      <c r="U4125" t="str">
        <f>VLOOKUP(T4125,[8]Votes!$A$1:$E$234,3,FALSE)</f>
        <v>131 Auditor General</v>
      </c>
      <c r="V4125" s="162" t="s">
        <v>15122</v>
      </c>
      <c r="W4125" s="416">
        <v>1</v>
      </c>
      <c r="X4125" s="416">
        <v>1</v>
      </c>
      <c r="Y4125" s="416">
        <v>1</v>
      </c>
      <c r="Z4125" s="416">
        <v>1</v>
      </c>
      <c r="AA4125" s="416">
        <v>1</v>
      </c>
      <c r="AB4125" s="416">
        <v>0</v>
      </c>
      <c r="AC4125" s="150">
        <v>1</v>
      </c>
      <c r="AD4125" s="150">
        <v>1</v>
      </c>
      <c r="AE4125" s="49">
        <f t="shared" si="150"/>
        <v>0.875</v>
      </c>
      <c r="AF4125" s="485">
        <v>0</v>
      </c>
      <c r="AG4125" s="17">
        <v>0</v>
      </c>
      <c r="AH4125" s="190">
        <v>0</v>
      </c>
      <c r="AI4125" s="190">
        <v>0</v>
      </c>
      <c r="AJ4125" s="190">
        <v>0</v>
      </c>
      <c r="AK4125" s="191">
        <v>0</v>
      </c>
      <c r="AL4125" s="191">
        <v>0</v>
      </c>
      <c r="AM4125" s="17">
        <f t="shared" si="151"/>
        <v>0</v>
      </c>
      <c r="AN4125" s="162" t="s">
        <v>7852</v>
      </c>
      <c r="AO4125" s="162" t="s">
        <v>7854</v>
      </c>
    </row>
    <row r="4126" spans="1:41" s="162" customFormat="1" x14ac:dyDescent="0.3">
      <c r="A4126" s="205" t="s">
        <v>8321</v>
      </c>
      <c r="B4126" s="162" t="s">
        <v>8322</v>
      </c>
      <c r="C4126" s="168" t="s">
        <v>13505</v>
      </c>
      <c r="D4126" s="162" t="s">
        <v>13506</v>
      </c>
      <c r="E4126" s="168" t="s">
        <v>13507</v>
      </c>
      <c r="F4126" s="162" t="s">
        <v>13508</v>
      </c>
      <c r="G4126" s="168">
        <v>165507</v>
      </c>
      <c r="H4126" s="162" t="s">
        <v>13513</v>
      </c>
      <c r="K4126" s="168" t="s">
        <v>15107</v>
      </c>
      <c r="L4126" s="162" t="s">
        <v>15108</v>
      </c>
      <c r="M4126" s="162" t="s">
        <v>15124</v>
      </c>
      <c r="O4126" s="226"/>
      <c r="P4126" s="224"/>
      <c r="Q4126" s="224">
        <v>1</v>
      </c>
      <c r="R4126" s="224">
        <v>2</v>
      </c>
      <c r="S4126" s="224">
        <v>3</v>
      </c>
      <c r="T4126" s="223" t="s">
        <v>7852</v>
      </c>
      <c r="U4126" t="str">
        <f>VLOOKUP(T4126,[8]Votes!$A$1:$E$234,3,FALSE)</f>
        <v>131 Auditor General</v>
      </c>
      <c r="V4126" s="162" t="s">
        <v>15122</v>
      </c>
      <c r="W4126" s="416">
        <v>1</v>
      </c>
      <c r="X4126" s="416">
        <v>1</v>
      </c>
      <c r="Y4126" s="416">
        <v>1</v>
      </c>
      <c r="Z4126" s="416">
        <v>1</v>
      </c>
      <c r="AA4126" s="416">
        <v>1</v>
      </c>
      <c r="AB4126" s="416">
        <v>0</v>
      </c>
      <c r="AC4126" s="150">
        <v>1</v>
      </c>
      <c r="AD4126" s="150">
        <v>1</v>
      </c>
      <c r="AE4126" s="49">
        <f t="shared" si="150"/>
        <v>0.875</v>
      </c>
      <c r="AF4126" s="485">
        <v>0</v>
      </c>
      <c r="AG4126" s="17">
        <v>0</v>
      </c>
      <c r="AH4126" s="190">
        <v>0</v>
      </c>
      <c r="AI4126" s="190">
        <v>0</v>
      </c>
      <c r="AJ4126" s="190">
        <v>0</v>
      </c>
      <c r="AK4126" s="191">
        <v>0</v>
      </c>
      <c r="AL4126" s="191">
        <v>0</v>
      </c>
      <c r="AM4126" s="17">
        <f t="shared" si="151"/>
        <v>0</v>
      </c>
      <c r="AN4126" s="162" t="s">
        <v>7852</v>
      </c>
      <c r="AO4126" s="162" t="s">
        <v>7854</v>
      </c>
    </row>
    <row r="4127" spans="1:41" s="162" customFormat="1" x14ac:dyDescent="0.3">
      <c r="A4127" s="205" t="s">
        <v>8321</v>
      </c>
      <c r="B4127" s="162" t="s">
        <v>8322</v>
      </c>
      <c r="C4127" s="168" t="s">
        <v>13505</v>
      </c>
      <c r="D4127" s="162" t="s">
        <v>13506</v>
      </c>
      <c r="E4127" s="168" t="s">
        <v>13507</v>
      </c>
      <c r="F4127" s="162" t="s">
        <v>13508</v>
      </c>
      <c r="G4127" s="168">
        <v>165507</v>
      </c>
      <c r="H4127" s="162" t="s">
        <v>13513</v>
      </c>
      <c r="K4127" s="168" t="s">
        <v>15107</v>
      </c>
      <c r="L4127" s="162" t="s">
        <v>15108</v>
      </c>
      <c r="M4127" s="162" t="s">
        <v>15125</v>
      </c>
      <c r="O4127" s="224">
        <v>12</v>
      </c>
      <c r="P4127" s="224">
        <v>12</v>
      </c>
      <c r="Q4127" s="224">
        <v>16</v>
      </c>
      <c r="R4127" s="224">
        <v>18</v>
      </c>
      <c r="S4127" s="224">
        <v>20</v>
      </c>
      <c r="T4127" s="223" t="s">
        <v>7852</v>
      </c>
      <c r="U4127" t="str">
        <f>VLOOKUP(T4127,[8]Votes!$A$1:$E$234,3,FALSE)</f>
        <v>131 Auditor General</v>
      </c>
      <c r="V4127" s="162" t="s">
        <v>15126</v>
      </c>
      <c r="W4127" s="416">
        <v>1</v>
      </c>
      <c r="X4127" s="416">
        <v>1</v>
      </c>
      <c r="Y4127" s="416">
        <v>1</v>
      </c>
      <c r="Z4127" s="416">
        <v>1</v>
      </c>
      <c r="AA4127" s="416">
        <v>1</v>
      </c>
      <c r="AB4127" s="416">
        <v>0</v>
      </c>
      <c r="AC4127" s="150">
        <v>1</v>
      </c>
      <c r="AD4127" s="150">
        <v>1</v>
      </c>
      <c r="AE4127" s="49">
        <f t="shared" si="150"/>
        <v>0.875</v>
      </c>
      <c r="AF4127" s="485">
        <v>0</v>
      </c>
      <c r="AG4127" s="17">
        <v>0</v>
      </c>
      <c r="AH4127" s="485">
        <v>1.3</v>
      </c>
      <c r="AI4127" s="485">
        <v>3.1</v>
      </c>
      <c r="AJ4127" s="485">
        <v>1.8</v>
      </c>
      <c r="AK4127" s="493">
        <v>2</v>
      </c>
      <c r="AL4127" s="493">
        <v>2.2000000000000002</v>
      </c>
      <c r="AM4127" s="17">
        <f t="shared" si="151"/>
        <v>4.2</v>
      </c>
      <c r="AN4127" s="162" t="s">
        <v>7852</v>
      </c>
      <c r="AO4127" s="162" t="s">
        <v>7854</v>
      </c>
    </row>
    <row r="4128" spans="1:41" s="162" customFormat="1" x14ac:dyDescent="0.3">
      <c r="A4128" s="205" t="s">
        <v>8321</v>
      </c>
      <c r="B4128" s="162" t="s">
        <v>8322</v>
      </c>
      <c r="C4128" s="168" t="s">
        <v>13505</v>
      </c>
      <c r="D4128" s="162" t="s">
        <v>13506</v>
      </c>
      <c r="E4128" s="168" t="s">
        <v>13507</v>
      </c>
      <c r="F4128" s="162" t="s">
        <v>13508</v>
      </c>
      <c r="G4128" s="168">
        <v>165507</v>
      </c>
      <c r="H4128" s="162" t="s">
        <v>13513</v>
      </c>
      <c r="K4128" s="168" t="s">
        <v>15107</v>
      </c>
      <c r="L4128" s="162" t="s">
        <v>15108</v>
      </c>
      <c r="M4128" s="162" t="s">
        <v>15127</v>
      </c>
      <c r="O4128" s="224"/>
      <c r="P4128" s="224"/>
      <c r="Q4128" s="492">
        <v>0.7</v>
      </c>
      <c r="R4128" s="492">
        <v>0.75</v>
      </c>
      <c r="S4128" s="492">
        <v>0.8</v>
      </c>
      <c r="T4128" s="223" t="s">
        <v>7852</v>
      </c>
      <c r="U4128" t="str">
        <f>VLOOKUP(T4128,[8]Votes!$A$1:$E$234,3,FALSE)</f>
        <v>131 Auditor General</v>
      </c>
      <c r="V4128" s="162" t="s">
        <v>15126</v>
      </c>
      <c r="W4128" s="416">
        <v>1</v>
      </c>
      <c r="X4128" s="416">
        <v>1</v>
      </c>
      <c r="Y4128" s="416">
        <v>1</v>
      </c>
      <c r="Z4128" s="416">
        <v>1</v>
      </c>
      <c r="AA4128" s="416">
        <v>1</v>
      </c>
      <c r="AB4128" s="416">
        <v>0</v>
      </c>
      <c r="AC4128" s="150">
        <v>1</v>
      </c>
      <c r="AD4128" s="150">
        <v>1</v>
      </c>
      <c r="AE4128" s="49">
        <f t="shared" si="150"/>
        <v>0.875</v>
      </c>
      <c r="AF4128" s="485">
        <v>0</v>
      </c>
      <c r="AG4128" s="17">
        <v>0</v>
      </c>
      <c r="AH4128" s="190">
        <v>0</v>
      </c>
      <c r="AI4128" s="190">
        <v>0</v>
      </c>
      <c r="AJ4128" s="190">
        <v>0</v>
      </c>
      <c r="AK4128" s="191">
        <v>0</v>
      </c>
      <c r="AL4128" s="191">
        <v>0</v>
      </c>
      <c r="AM4128" s="17">
        <f t="shared" si="151"/>
        <v>0</v>
      </c>
      <c r="AN4128" s="162" t="s">
        <v>7852</v>
      </c>
      <c r="AO4128" s="162" t="s">
        <v>7854</v>
      </c>
    </row>
    <row r="4129" spans="1:41" s="162" customFormat="1" x14ac:dyDescent="0.3">
      <c r="A4129" s="205" t="s">
        <v>8321</v>
      </c>
      <c r="B4129" s="162" t="s">
        <v>8322</v>
      </c>
      <c r="C4129" s="168" t="s">
        <v>13505</v>
      </c>
      <c r="D4129" s="162" t="s">
        <v>13506</v>
      </c>
      <c r="E4129" s="168" t="s">
        <v>13507</v>
      </c>
      <c r="F4129" s="162" t="s">
        <v>13508</v>
      </c>
      <c r="G4129" s="168">
        <v>165507</v>
      </c>
      <c r="H4129" s="162" t="s">
        <v>13513</v>
      </c>
      <c r="K4129" s="168" t="s">
        <v>15107</v>
      </c>
      <c r="L4129" s="162" t="s">
        <v>15108</v>
      </c>
      <c r="M4129" s="162" t="s">
        <v>15128</v>
      </c>
      <c r="O4129" s="492">
        <v>0.5</v>
      </c>
      <c r="P4129" s="492">
        <v>0.55000000000000004</v>
      </c>
      <c r="Q4129" s="492">
        <v>0.6</v>
      </c>
      <c r="R4129" s="492">
        <v>0.65</v>
      </c>
      <c r="S4129" s="492">
        <v>0.7</v>
      </c>
      <c r="T4129" s="223" t="s">
        <v>7852</v>
      </c>
      <c r="U4129" t="str">
        <f>VLOOKUP(T4129,[8]Votes!$A$1:$E$234,3,FALSE)</f>
        <v>131 Auditor General</v>
      </c>
      <c r="V4129" s="162" t="s">
        <v>15126</v>
      </c>
      <c r="W4129" s="416">
        <v>1</v>
      </c>
      <c r="X4129" s="416">
        <v>1</v>
      </c>
      <c r="Y4129" s="416">
        <v>1</v>
      </c>
      <c r="Z4129" s="416">
        <v>1</v>
      </c>
      <c r="AA4129" s="416">
        <v>1</v>
      </c>
      <c r="AB4129" s="416">
        <v>0</v>
      </c>
      <c r="AC4129" s="150">
        <v>1</v>
      </c>
      <c r="AD4129" s="150">
        <v>1</v>
      </c>
      <c r="AE4129" s="49">
        <f t="shared" si="150"/>
        <v>0.875</v>
      </c>
      <c r="AF4129" s="485">
        <v>0</v>
      </c>
      <c r="AG4129" s="17">
        <v>0</v>
      </c>
      <c r="AH4129" s="190">
        <v>0</v>
      </c>
      <c r="AI4129" s="190">
        <v>0</v>
      </c>
      <c r="AJ4129" s="190">
        <v>0</v>
      </c>
      <c r="AK4129" s="191">
        <v>0</v>
      </c>
      <c r="AL4129" s="191">
        <v>0</v>
      </c>
      <c r="AM4129" s="17">
        <f t="shared" si="151"/>
        <v>0</v>
      </c>
      <c r="AN4129" s="162" t="s">
        <v>7852</v>
      </c>
      <c r="AO4129" s="162" t="s">
        <v>7854</v>
      </c>
    </row>
    <row r="4130" spans="1:41" s="162" customFormat="1" x14ac:dyDescent="0.3">
      <c r="A4130" s="205" t="s">
        <v>8321</v>
      </c>
      <c r="B4130" s="162" t="s">
        <v>8322</v>
      </c>
      <c r="C4130" s="168" t="s">
        <v>13505</v>
      </c>
      <c r="D4130" s="162" t="s">
        <v>13506</v>
      </c>
      <c r="E4130" s="168" t="s">
        <v>13507</v>
      </c>
      <c r="F4130" s="162" t="s">
        <v>13508</v>
      </c>
      <c r="G4130" s="168">
        <v>165507</v>
      </c>
      <c r="H4130" s="162" t="s">
        <v>13513</v>
      </c>
      <c r="K4130" s="168" t="s">
        <v>15107</v>
      </c>
      <c r="L4130" s="162" t="s">
        <v>15108</v>
      </c>
      <c r="M4130" s="162" t="s">
        <v>15129</v>
      </c>
      <c r="O4130" s="224">
        <v>24</v>
      </c>
      <c r="P4130" s="224">
        <v>13</v>
      </c>
      <c r="Q4130" s="224">
        <v>6</v>
      </c>
      <c r="R4130" s="224">
        <v>5</v>
      </c>
      <c r="S4130" s="224">
        <v>5</v>
      </c>
      <c r="T4130" s="223" t="s">
        <v>7852</v>
      </c>
      <c r="U4130" t="str">
        <f>VLOOKUP(T4130,[8]Votes!$A$1:$E$234,3,FALSE)</f>
        <v>131 Auditor General</v>
      </c>
      <c r="V4130" s="162" t="s">
        <v>15126</v>
      </c>
      <c r="W4130" s="416">
        <v>1</v>
      </c>
      <c r="X4130" s="416">
        <v>1</v>
      </c>
      <c r="Y4130" s="416">
        <v>1</v>
      </c>
      <c r="Z4130" s="416">
        <v>1</v>
      </c>
      <c r="AA4130" s="416">
        <v>1</v>
      </c>
      <c r="AB4130" s="416">
        <v>0</v>
      </c>
      <c r="AC4130" s="150">
        <v>1</v>
      </c>
      <c r="AD4130" s="150">
        <v>1</v>
      </c>
      <c r="AE4130" s="49">
        <f t="shared" si="150"/>
        <v>0.875</v>
      </c>
      <c r="AF4130" s="485">
        <v>0</v>
      </c>
      <c r="AG4130" s="17">
        <v>0</v>
      </c>
      <c r="AH4130" s="190">
        <v>0</v>
      </c>
      <c r="AI4130" s="190">
        <v>0</v>
      </c>
      <c r="AJ4130" s="190">
        <v>0</v>
      </c>
      <c r="AK4130" s="191">
        <v>0</v>
      </c>
      <c r="AL4130" s="191">
        <v>0</v>
      </c>
      <c r="AM4130" s="17">
        <f t="shared" si="151"/>
        <v>0</v>
      </c>
      <c r="AN4130" s="162" t="s">
        <v>7852</v>
      </c>
      <c r="AO4130" s="162" t="s">
        <v>7854</v>
      </c>
    </row>
    <row r="4131" spans="1:41" s="162" customFormat="1" x14ac:dyDescent="0.3">
      <c r="A4131" s="205" t="s">
        <v>8321</v>
      </c>
      <c r="B4131" s="162" t="s">
        <v>8322</v>
      </c>
      <c r="C4131" s="168" t="s">
        <v>13505</v>
      </c>
      <c r="D4131" s="162" t="s">
        <v>13506</v>
      </c>
      <c r="E4131" s="168" t="s">
        <v>13507</v>
      </c>
      <c r="F4131" s="162" t="s">
        <v>13508</v>
      </c>
      <c r="G4131" s="168">
        <v>165507</v>
      </c>
      <c r="H4131" s="162" t="s">
        <v>13513</v>
      </c>
      <c r="K4131" s="168" t="s">
        <v>15107</v>
      </c>
      <c r="L4131" s="162" t="s">
        <v>15108</v>
      </c>
      <c r="M4131" s="162" t="s">
        <v>15130</v>
      </c>
      <c r="O4131" s="492">
        <v>1</v>
      </c>
      <c r="P4131" s="492">
        <v>1</v>
      </c>
      <c r="Q4131" s="492">
        <v>1</v>
      </c>
      <c r="R4131" s="492">
        <v>1</v>
      </c>
      <c r="S4131" s="492">
        <v>1</v>
      </c>
      <c r="T4131" s="223" t="s">
        <v>7852</v>
      </c>
      <c r="U4131" t="str">
        <f>VLOOKUP(T4131,[8]Votes!$A$1:$E$234,3,FALSE)</f>
        <v>131 Auditor General</v>
      </c>
      <c r="V4131" s="162" t="s">
        <v>15126</v>
      </c>
      <c r="W4131" s="416">
        <v>1</v>
      </c>
      <c r="X4131" s="416">
        <v>1</v>
      </c>
      <c r="Y4131" s="416">
        <v>1</v>
      </c>
      <c r="Z4131" s="416">
        <v>1</v>
      </c>
      <c r="AA4131" s="416">
        <v>1</v>
      </c>
      <c r="AB4131" s="416">
        <v>0</v>
      </c>
      <c r="AC4131" s="150">
        <v>1</v>
      </c>
      <c r="AD4131" s="150">
        <v>1</v>
      </c>
      <c r="AE4131" s="49">
        <f t="shared" si="150"/>
        <v>0.875</v>
      </c>
      <c r="AF4131" s="485">
        <v>0</v>
      </c>
      <c r="AG4131" s="17">
        <v>0</v>
      </c>
      <c r="AH4131" s="190">
        <v>0</v>
      </c>
      <c r="AI4131" s="190">
        <v>0</v>
      </c>
      <c r="AJ4131" s="190">
        <v>0</v>
      </c>
      <c r="AK4131" s="191">
        <v>0</v>
      </c>
      <c r="AL4131" s="191">
        <v>0</v>
      </c>
      <c r="AM4131" s="17">
        <f t="shared" si="151"/>
        <v>0</v>
      </c>
      <c r="AN4131" s="162" t="s">
        <v>7852</v>
      </c>
      <c r="AO4131" s="162" t="s">
        <v>7854</v>
      </c>
    </row>
    <row r="4132" spans="1:41" s="162" customFormat="1" x14ac:dyDescent="0.3">
      <c r="A4132" s="205" t="s">
        <v>8321</v>
      </c>
      <c r="B4132" s="162" t="s">
        <v>8322</v>
      </c>
      <c r="C4132" s="168" t="s">
        <v>13505</v>
      </c>
      <c r="D4132" s="162" t="s">
        <v>13506</v>
      </c>
      <c r="E4132" s="168" t="s">
        <v>13507</v>
      </c>
      <c r="F4132" s="162" t="s">
        <v>13508</v>
      </c>
      <c r="G4132" s="168">
        <v>165507</v>
      </c>
      <c r="H4132" s="162" t="s">
        <v>13513</v>
      </c>
      <c r="K4132" s="168" t="s">
        <v>15107</v>
      </c>
      <c r="L4132" s="162" t="s">
        <v>15108</v>
      </c>
      <c r="M4132" s="162" t="s">
        <v>15131</v>
      </c>
      <c r="O4132" s="492">
        <v>0.92</v>
      </c>
      <c r="P4132" s="492">
        <v>0.92</v>
      </c>
      <c r="Q4132" s="492">
        <v>0.92</v>
      </c>
      <c r="R4132" s="492">
        <v>0.92</v>
      </c>
      <c r="S4132" s="492">
        <v>0.92</v>
      </c>
      <c r="T4132" s="223" t="s">
        <v>7852</v>
      </c>
      <c r="U4132" t="str">
        <f>VLOOKUP(T4132,[8]Votes!$A$1:$E$234,3,FALSE)</f>
        <v>131 Auditor General</v>
      </c>
      <c r="V4132" s="162" t="s">
        <v>15126</v>
      </c>
      <c r="W4132" s="416">
        <v>1</v>
      </c>
      <c r="X4132" s="416">
        <v>1</v>
      </c>
      <c r="Y4132" s="416">
        <v>1</v>
      </c>
      <c r="Z4132" s="416">
        <v>1</v>
      </c>
      <c r="AA4132" s="416">
        <v>1</v>
      </c>
      <c r="AB4132" s="416">
        <v>0</v>
      </c>
      <c r="AC4132" s="150">
        <v>1</v>
      </c>
      <c r="AD4132" s="150">
        <v>1</v>
      </c>
      <c r="AE4132" s="49">
        <f t="shared" si="150"/>
        <v>0.875</v>
      </c>
      <c r="AF4132" s="485">
        <v>0</v>
      </c>
      <c r="AG4132" s="17">
        <v>0</v>
      </c>
      <c r="AH4132" s="190">
        <v>0</v>
      </c>
      <c r="AI4132" s="190">
        <v>0</v>
      </c>
      <c r="AJ4132" s="190">
        <v>0</v>
      </c>
      <c r="AK4132" s="191">
        <v>0</v>
      </c>
      <c r="AL4132" s="191">
        <v>0</v>
      </c>
      <c r="AM4132" s="17">
        <f t="shared" si="151"/>
        <v>0</v>
      </c>
      <c r="AN4132" s="162" t="s">
        <v>7852</v>
      </c>
      <c r="AO4132" s="162" t="s">
        <v>7854</v>
      </c>
    </row>
    <row r="4133" spans="1:41" s="162" customFormat="1" x14ac:dyDescent="0.3">
      <c r="A4133" s="205" t="s">
        <v>8321</v>
      </c>
      <c r="B4133" s="162" t="s">
        <v>8322</v>
      </c>
      <c r="C4133" s="168" t="s">
        <v>13505</v>
      </c>
      <c r="D4133" s="162" t="s">
        <v>13506</v>
      </c>
      <c r="E4133" s="168" t="s">
        <v>13507</v>
      </c>
      <c r="F4133" s="162" t="s">
        <v>13508</v>
      </c>
      <c r="G4133" s="168">
        <v>165507</v>
      </c>
      <c r="H4133" s="162" t="s">
        <v>13513</v>
      </c>
      <c r="K4133" s="168" t="s">
        <v>15107</v>
      </c>
      <c r="L4133" s="162" t="s">
        <v>15108</v>
      </c>
      <c r="M4133" s="162" t="s">
        <v>15132</v>
      </c>
      <c r="O4133" s="492">
        <v>0.9</v>
      </c>
      <c r="P4133" s="492">
        <v>0.9</v>
      </c>
      <c r="Q4133" s="492">
        <v>0.9</v>
      </c>
      <c r="R4133" s="492">
        <v>0.9</v>
      </c>
      <c r="S4133" s="492">
        <v>0.9</v>
      </c>
      <c r="T4133" s="223" t="s">
        <v>7852</v>
      </c>
      <c r="U4133" t="str">
        <f>VLOOKUP(T4133,[8]Votes!$A$1:$E$234,3,FALSE)</f>
        <v>131 Auditor General</v>
      </c>
      <c r="V4133" s="162" t="s">
        <v>15133</v>
      </c>
      <c r="W4133" s="416">
        <v>1</v>
      </c>
      <c r="X4133" s="416">
        <v>1</v>
      </c>
      <c r="Y4133" s="416">
        <v>1</v>
      </c>
      <c r="Z4133" s="416">
        <v>1</v>
      </c>
      <c r="AA4133" s="416">
        <v>1</v>
      </c>
      <c r="AB4133" s="416">
        <v>0</v>
      </c>
      <c r="AC4133" s="150">
        <v>1</v>
      </c>
      <c r="AD4133" s="150">
        <v>1</v>
      </c>
      <c r="AE4133" s="49">
        <f t="shared" si="150"/>
        <v>0.875</v>
      </c>
      <c r="AF4133" s="485">
        <v>0</v>
      </c>
      <c r="AG4133" s="17">
        <v>0</v>
      </c>
      <c r="AH4133" s="485">
        <v>0.3</v>
      </c>
      <c r="AI4133" s="485">
        <v>0.35</v>
      </c>
      <c r="AJ4133" s="485">
        <v>0.42</v>
      </c>
      <c r="AK4133" s="493">
        <v>0.55000000000000004</v>
      </c>
      <c r="AL4133" s="493">
        <v>0.6</v>
      </c>
      <c r="AM4133" s="17">
        <f t="shared" si="151"/>
        <v>1.1499999999999999</v>
      </c>
      <c r="AN4133" s="162" t="s">
        <v>7852</v>
      </c>
      <c r="AO4133" s="162" t="s">
        <v>7854</v>
      </c>
    </row>
    <row r="4134" spans="1:41" s="162" customFormat="1" x14ac:dyDescent="0.3">
      <c r="A4134" s="205" t="s">
        <v>8321</v>
      </c>
      <c r="B4134" s="162" t="s">
        <v>8322</v>
      </c>
      <c r="C4134" s="168" t="s">
        <v>13505</v>
      </c>
      <c r="D4134" s="162" t="s">
        <v>13506</v>
      </c>
      <c r="E4134" s="168" t="s">
        <v>13507</v>
      </c>
      <c r="F4134" s="162" t="s">
        <v>13508</v>
      </c>
      <c r="G4134" s="168">
        <v>165507</v>
      </c>
      <c r="H4134" s="162" t="s">
        <v>13513</v>
      </c>
      <c r="K4134" s="168" t="s">
        <v>15134</v>
      </c>
      <c r="L4134" s="162" t="s">
        <v>15135</v>
      </c>
      <c r="M4134" s="162" t="s">
        <v>15136</v>
      </c>
      <c r="O4134" s="224">
        <v>160</v>
      </c>
      <c r="P4134" s="224">
        <v>160</v>
      </c>
      <c r="Q4134" s="224">
        <v>160</v>
      </c>
      <c r="R4134" s="224">
        <v>160</v>
      </c>
      <c r="S4134" s="224">
        <v>160</v>
      </c>
      <c r="T4134" s="223" t="s">
        <v>11865</v>
      </c>
      <c r="U4134" t="str">
        <f>VLOOKUP(T4134,[8]Votes!$A$1:$E$234,3,FALSE)</f>
        <v>133 Office of the Director of Public Prosecutions</v>
      </c>
      <c r="V4134" s="162" t="s">
        <v>15137</v>
      </c>
      <c r="W4134" s="416">
        <v>1</v>
      </c>
      <c r="X4134" s="416">
        <v>1</v>
      </c>
      <c r="Y4134" s="416">
        <v>0</v>
      </c>
      <c r="Z4134" s="416">
        <v>1</v>
      </c>
      <c r="AA4134" s="416">
        <v>1</v>
      </c>
      <c r="AB4134" s="416">
        <v>0</v>
      </c>
      <c r="AC4134" s="416">
        <v>0</v>
      </c>
      <c r="AD4134" s="416">
        <v>0</v>
      </c>
      <c r="AE4134" s="49">
        <f t="shared" si="150"/>
        <v>0.5</v>
      </c>
      <c r="AF4134" s="485">
        <v>0</v>
      </c>
      <c r="AG4134" s="17">
        <v>0</v>
      </c>
      <c r="AH4134" s="190">
        <v>0</v>
      </c>
      <c r="AI4134" s="190">
        <v>0</v>
      </c>
      <c r="AJ4134" s="190">
        <v>0</v>
      </c>
      <c r="AK4134" s="191">
        <v>0</v>
      </c>
      <c r="AL4134" s="191">
        <v>0</v>
      </c>
      <c r="AM4134" s="17">
        <f t="shared" si="151"/>
        <v>0</v>
      </c>
      <c r="AN4134" s="162" t="s">
        <v>11865</v>
      </c>
      <c r="AO4134" s="162" t="s">
        <v>11866</v>
      </c>
    </row>
    <row r="4135" spans="1:41" s="162" customFormat="1" x14ac:dyDescent="0.3">
      <c r="A4135" s="205" t="s">
        <v>8321</v>
      </c>
      <c r="B4135" s="162" t="s">
        <v>8322</v>
      </c>
      <c r="C4135" s="168" t="s">
        <v>13505</v>
      </c>
      <c r="D4135" s="162" t="s">
        <v>13506</v>
      </c>
      <c r="E4135" s="168" t="s">
        <v>13507</v>
      </c>
      <c r="F4135" s="162" t="s">
        <v>13508</v>
      </c>
      <c r="G4135" s="168">
        <v>165507</v>
      </c>
      <c r="H4135" s="162" t="s">
        <v>13513</v>
      </c>
      <c r="K4135" s="168" t="s">
        <v>15138</v>
      </c>
      <c r="L4135" s="162" t="s">
        <v>15139</v>
      </c>
      <c r="M4135" s="162" t="s">
        <v>15140</v>
      </c>
      <c r="O4135" s="224">
        <v>20</v>
      </c>
      <c r="P4135" s="224">
        <v>30</v>
      </c>
      <c r="Q4135" s="224">
        <v>50</v>
      </c>
      <c r="R4135" s="224">
        <v>60</v>
      </c>
      <c r="S4135" s="224">
        <v>80</v>
      </c>
      <c r="T4135" s="223" t="s">
        <v>13761</v>
      </c>
      <c r="U4135" t="str">
        <f>VLOOKUP(T4135,[8]Votes!$A$1:$E$234,3,FALSE)</f>
        <v>129 Financial Intelligence Authority (FIA)</v>
      </c>
      <c r="V4135" s="162" t="s">
        <v>15141</v>
      </c>
      <c r="W4135" s="416">
        <v>1</v>
      </c>
      <c r="X4135" s="416">
        <v>1</v>
      </c>
      <c r="Y4135" s="416">
        <v>1</v>
      </c>
      <c r="Z4135" s="416">
        <v>1</v>
      </c>
      <c r="AA4135" s="416">
        <v>1</v>
      </c>
      <c r="AB4135" s="416">
        <v>1</v>
      </c>
      <c r="AC4135" s="150">
        <v>1</v>
      </c>
      <c r="AD4135" s="150">
        <v>1</v>
      </c>
      <c r="AE4135" s="49">
        <f t="shared" si="150"/>
        <v>1</v>
      </c>
      <c r="AF4135" s="485">
        <v>1</v>
      </c>
      <c r="AG4135" s="17">
        <v>0</v>
      </c>
      <c r="AH4135" s="485">
        <v>2</v>
      </c>
      <c r="AI4135" s="485">
        <v>3</v>
      </c>
      <c r="AJ4135" s="485">
        <v>5</v>
      </c>
      <c r="AK4135" s="493">
        <v>6</v>
      </c>
      <c r="AL4135" s="493">
        <v>7</v>
      </c>
      <c r="AM4135" s="17">
        <f t="shared" si="151"/>
        <v>13</v>
      </c>
      <c r="AN4135" s="162" t="s">
        <v>13761</v>
      </c>
      <c r="AO4135" s="162" t="s">
        <v>13763</v>
      </c>
    </row>
    <row r="4136" spans="1:41" s="162" customFormat="1" x14ac:dyDescent="0.3">
      <c r="A4136" s="205" t="s">
        <v>8321</v>
      </c>
      <c r="B4136" s="162" t="s">
        <v>8322</v>
      </c>
      <c r="C4136" s="168" t="s">
        <v>13505</v>
      </c>
      <c r="D4136" s="162" t="s">
        <v>13506</v>
      </c>
      <c r="E4136" s="168" t="s">
        <v>13507</v>
      </c>
      <c r="F4136" s="162" t="s">
        <v>13508</v>
      </c>
      <c r="G4136" s="168">
        <v>165507</v>
      </c>
      <c r="H4136" s="162" t="s">
        <v>13513</v>
      </c>
      <c r="K4136" s="168" t="s">
        <v>15142</v>
      </c>
      <c r="L4136" s="162" t="s">
        <v>15143</v>
      </c>
      <c r="M4136" s="162" t="s">
        <v>15144</v>
      </c>
      <c r="O4136" s="224">
        <v>80</v>
      </c>
      <c r="P4136" s="224">
        <v>85</v>
      </c>
      <c r="Q4136" s="224">
        <v>90</v>
      </c>
      <c r="R4136" s="224">
        <v>100</v>
      </c>
      <c r="S4136" s="224">
        <v>120</v>
      </c>
      <c r="T4136" s="223" t="s">
        <v>13761</v>
      </c>
      <c r="U4136" t="str">
        <f>VLOOKUP(T4136,[8]Votes!$A$1:$E$234,3,FALSE)</f>
        <v>129 Financial Intelligence Authority (FIA)</v>
      </c>
      <c r="V4136" s="162" t="s">
        <v>15145</v>
      </c>
      <c r="W4136" s="416">
        <v>1</v>
      </c>
      <c r="X4136" s="416">
        <v>1</v>
      </c>
      <c r="Y4136" s="416">
        <v>1</v>
      </c>
      <c r="Z4136" s="416">
        <v>1</v>
      </c>
      <c r="AA4136" s="416">
        <v>1</v>
      </c>
      <c r="AB4136" s="416">
        <v>0</v>
      </c>
      <c r="AC4136" s="150">
        <v>1</v>
      </c>
      <c r="AD4136" s="150">
        <v>1</v>
      </c>
      <c r="AE4136" s="49">
        <f t="shared" si="150"/>
        <v>0.875</v>
      </c>
      <c r="AF4136" s="485">
        <v>0</v>
      </c>
      <c r="AG4136" s="17">
        <v>0</v>
      </c>
      <c r="AH4136" s="485">
        <v>1.5</v>
      </c>
      <c r="AI4136" s="485">
        <v>2</v>
      </c>
      <c r="AJ4136" s="485">
        <v>2.5</v>
      </c>
      <c r="AK4136" s="493">
        <v>4.3</v>
      </c>
      <c r="AL4136" s="493">
        <v>5.5</v>
      </c>
      <c r="AM4136" s="17">
        <f t="shared" si="151"/>
        <v>9.8000000000000007</v>
      </c>
      <c r="AN4136" s="162" t="s">
        <v>13761</v>
      </c>
      <c r="AO4136" s="162" t="s">
        <v>13763</v>
      </c>
    </row>
    <row r="4137" spans="1:41" s="162" customFormat="1" x14ac:dyDescent="0.3">
      <c r="A4137" s="205" t="s">
        <v>8321</v>
      </c>
      <c r="B4137" s="162" t="s">
        <v>8322</v>
      </c>
      <c r="C4137" s="168" t="s">
        <v>13505</v>
      </c>
      <c r="D4137" s="162" t="s">
        <v>13506</v>
      </c>
      <c r="E4137" s="168" t="s">
        <v>13507</v>
      </c>
      <c r="F4137" s="162" t="s">
        <v>13508</v>
      </c>
      <c r="G4137" s="168">
        <v>165507</v>
      </c>
      <c r="H4137" s="162" t="s">
        <v>13513</v>
      </c>
      <c r="K4137" s="168" t="s">
        <v>15146</v>
      </c>
      <c r="L4137" s="162" t="s">
        <v>15147</v>
      </c>
      <c r="M4137" s="162" t="s">
        <v>15148</v>
      </c>
      <c r="O4137" s="229">
        <v>22</v>
      </c>
      <c r="P4137" s="229">
        <v>27</v>
      </c>
      <c r="Q4137" s="229">
        <v>32</v>
      </c>
      <c r="R4137" s="229">
        <v>22</v>
      </c>
      <c r="S4137" s="229">
        <v>25</v>
      </c>
      <c r="T4137" s="223" t="s">
        <v>5829</v>
      </c>
      <c r="U4137" t="str">
        <f>VLOOKUP(T4137,[8]Votes!$A$1:$E$234,3,FALSE)</f>
        <v>103 Inspectorate of Government (IG)</v>
      </c>
      <c r="V4137" s="162" t="s">
        <v>15149</v>
      </c>
      <c r="W4137" s="416">
        <v>1</v>
      </c>
      <c r="X4137" s="416">
        <v>1</v>
      </c>
      <c r="Y4137" s="416">
        <v>1</v>
      </c>
      <c r="Z4137" s="416">
        <v>1</v>
      </c>
      <c r="AA4137" s="416">
        <v>1</v>
      </c>
      <c r="AB4137" s="416">
        <v>0</v>
      </c>
      <c r="AC4137" s="150">
        <v>1</v>
      </c>
      <c r="AD4137" s="150">
        <v>1</v>
      </c>
      <c r="AE4137" s="49">
        <f t="shared" si="150"/>
        <v>0.875</v>
      </c>
      <c r="AF4137" s="485">
        <v>0</v>
      </c>
      <c r="AG4137" s="17">
        <v>0</v>
      </c>
      <c r="AH4137" s="485">
        <v>2</v>
      </c>
      <c r="AI4137" s="485">
        <v>2</v>
      </c>
      <c r="AJ4137" s="485">
        <v>2</v>
      </c>
      <c r="AK4137" s="493">
        <v>2</v>
      </c>
      <c r="AL4137" s="493">
        <v>2</v>
      </c>
      <c r="AM4137" s="17">
        <f t="shared" si="151"/>
        <v>4</v>
      </c>
      <c r="AN4137" s="162" t="s">
        <v>5829</v>
      </c>
      <c r="AO4137" s="162" t="s">
        <v>5839</v>
      </c>
    </row>
    <row r="4138" spans="1:41" s="162" customFormat="1" x14ac:dyDescent="0.3">
      <c r="A4138" s="205" t="s">
        <v>8321</v>
      </c>
      <c r="B4138" s="162" t="s">
        <v>8322</v>
      </c>
      <c r="C4138" s="168" t="s">
        <v>13505</v>
      </c>
      <c r="D4138" s="162" t="s">
        <v>13506</v>
      </c>
      <c r="E4138" s="168" t="s">
        <v>13507</v>
      </c>
      <c r="F4138" s="162" t="s">
        <v>13508</v>
      </c>
      <c r="G4138" s="168">
        <v>165507</v>
      </c>
      <c r="H4138" s="162" t="s">
        <v>13513</v>
      </c>
      <c r="K4138" s="168" t="s">
        <v>15146</v>
      </c>
      <c r="L4138" s="162" t="s">
        <v>15147</v>
      </c>
      <c r="M4138" s="162" t="s">
        <v>15150</v>
      </c>
      <c r="O4138" s="229">
        <v>720</v>
      </c>
      <c r="P4138" s="229">
        <v>780</v>
      </c>
      <c r="Q4138" s="229">
        <v>820</v>
      </c>
      <c r="R4138" s="229">
        <v>870</v>
      </c>
      <c r="S4138" s="229">
        <v>920</v>
      </c>
      <c r="T4138" s="223" t="s">
        <v>5829</v>
      </c>
      <c r="U4138" t="str">
        <f>VLOOKUP(T4138,[8]Votes!$A$1:$E$234,3,FALSE)</f>
        <v>103 Inspectorate of Government (IG)</v>
      </c>
      <c r="V4138" s="162" t="s">
        <v>15151</v>
      </c>
      <c r="W4138" s="416">
        <v>1</v>
      </c>
      <c r="X4138" s="416">
        <v>1</v>
      </c>
      <c r="Y4138" s="416">
        <v>1</v>
      </c>
      <c r="Z4138" s="416">
        <v>1</v>
      </c>
      <c r="AA4138" s="416">
        <v>1</v>
      </c>
      <c r="AB4138" s="416">
        <v>0</v>
      </c>
      <c r="AC4138" s="150">
        <v>1</v>
      </c>
      <c r="AD4138" s="150">
        <v>1</v>
      </c>
      <c r="AE4138" s="49">
        <f t="shared" si="150"/>
        <v>0.875</v>
      </c>
      <c r="AF4138" s="485">
        <v>0</v>
      </c>
      <c r="AG4138" s="17">
        <v>0</v>
      </c>
      <c r="AH4138" s="485">
        <v>1</v>
      </c>
      <c r="AI4138" s="485">
        <v>1</v>
      </c>
      <c r="AJ4138" s="485">
        <v>1</v>
      </c>
      <c r="AK4138" s="493">
        <v>1</v>
      </c>
      <c r="AL4138" s="493">
        <v>1</v>
      </c>
      <c r="AM4138" s="17">
        <f t="shared" si="151"/>
        <v>2</v>
      </c>
      <c r="AN4138" s="162" t="s">
        <v>5829</v>
      </c>
      <c r="AO4138" s="162" t="s">
        <v>5839</v>
      </c>
    </row>
    <row r="4139" spans="1:41" s="162" customFormat="1" x14ac:dyDescent="0.3">
      <c r="A4139" s="205" t="s">
        <v>8321</v>
      </c>
      <c r="B4139" s="162" t="s">
        <v>8322</v>
      </c>
      <c r="C4139" s="168" t="s">
        <v>13505</v>
      </c>
      <c r="D4139" s="162" t="s">
        <v>13506</v>
      </c>
      <c r="E4139" s="168" t="s">
        <v>13507</v>
      </c>
      <c r="F4139" s="162" t="s">
        <v>13508</v>
      </c>
      <c r="G4139" s="168">
        <v>165507</v>
      </c>
      <c r="H4139" s="162" t="s">
        <v>13513</v>
      </c>
      <c r="K4139" s="168" t="s">
        <v>15146</v>
      </c>
      <c r="L4139" s="162" t="s">
        <v>15147</v>
      </c>
      <c r="M4139" s="162" t="s">
        <v>15152</v>
      </c>
      <c r="O4139" s="229">
        <v>0.4</v>
      </c>
      <c r="P4139" s="492">
        <v>0.5</v>
      </c>
      <c r="Q4139" s="229">
        <v>0.7</v>
      </c>
      <c r="R4139" s="229">
        <v>0.75</v>
      </c>
      <c r="S4139" s="229">
        <v>0.8</v>
      </c>
      <c r="T4139" s="223" t="s">
        <v>5829</v>
      </c>
      <c r="U4139" t="str">
        <f>VLOOKUP(T4139,[8]Votes!$A$1:$E$234,3,FALSE)</f>
        <v>103 Inspectorate of Government (IG)</v>
      </c>
      <c r="V4139" s="162" t="s">
        <v>15153</v>
      </c>
      <c r="W4139" s="416">
        <v>1</v>
      </c>
      <c r="X4139" s="416">
        <v>1</v>
      </c>
      <c r="Y4139" s="416">
        <v>1</v>
      </c>
      <c r="Z4139" s="416">
        <v>1</v>
      </c>
      <c r="AA4139" s="416">
        <v>1</v>
      </c>
      <c r="AB4139" s="416">
        <v>0</v>
      </c>
      <c r="AC4139" s="150">
        <v>1</v>
      </c>
      <c r="AD4139" s="150">
        <v>1</v>
      </c>
      <c r="AE4139" s="49">
        <f t="shared" si="150"/>
        <v>0.875</v>
      </c>
      <c r="AF4139" s="485">
        <v>0</v>
      </c>
      <c r="AG4139" s="17">
        <v>0</v>
      </c>
      <c r="AH4139" s="190">
        <v>0</v>
      </c>
      <c r="AI4139" s="190">
        <v>0</v>
      </c>
      <c r="AJ4139" s="190">
        <v>0</v>
      </c>
      <c r="AK4139" s="191">
        <v>0</v>
      </c>
      <c r="AL4139" s="191">
        <v>0</v>
      </c>
      <c r="AM4139" s="17">
        <f t="shared" si="151"/>
        <v>0</v>
      </c>
      <c r="AN4139" s="162" t="s">
        <v>5829</v>
      </c>
      <c r="AO4139" s="162" t="s">
        <v>5839</v>
      </c>
    </row>
    <row r="4140" spans="1:41" s="162" customFormat="1" x14ac:dyDescent="0.3">
      <c r="A4140" s="205" t="s">
        <v>8321</v>
      </c>
      <c r="B4140" s="162" t="s">
        <v>8322</v>
      </c>
      <c r="C4140" s="168" t="s">
        <v>13505</v>
      </c>
      <c r="D4140" s="162" t="s">
        <v>13506</v>
      </c>
      <c r="E4140" s="168" t="s">
        <v>13507</v>
      </c>
      <c r="F4140" s="162" t="s">
        <v>13508</v>
      </c>
      <c r="G4140" s="168">
        <v>165507</v>
      </c>
      <c r="H4140" s="162" t="s">
        <v>13513</v>
      </c>
      <c r="K4140" s="168" t="s">
        <v>15146</v>
      </c>
      <c r="L4140" s="162" t="s">
        <v>15147</v>
      </c>
      <c r="M4140" s="162" t="s">
        <v>15154</v>
      </c>
      <c r="O4140" s="229">
        <v>2</v>
      </c>
      <c r="P4140" s="229">
        <v>2</v>
      </c>
      <c r="Q4140" s="229">
        <v>2</v>
      </c>
      <c r="R4140" s="229">
        <v>2</v>
      </c>
      <c r="S4140" s="229">
        <v>2</v>
      </c>
      <c r="T4140" s="223" t="s">
        <v>5829</v>
      </c>
      <c r="U4140" t="str">
        <f>VLOOKUP(T4140,[8]Votes!$A$1:$E$234,3,FALSE)</f>
        <v>103 Inspectorate of Government (IG)</v>
      </c>
      <c r="V4140" s="162" t="s">
        <v>15155</v>
      </c>
      <c r="W4140" s="416">
        <v>1</v>
      </c>
      <c r="X4140" s="416">
        <v>1</v>
      </c>
      <c r="Y4140" s="416">
        <v>1</v>
      </c>
      <c r="Z4140" s="416">
        <v>1</v>
      </c>
      <c r="AA4140" s="416">
        <v>1</v>
      </c>
      <c r="AB4140" s="416">
        <v>0</v>
      </c>
      <c r="AC4140" s="150">
        <v>1</v>
      </c>
      <c r="AD4140" s="150">
        <v>1</v>
      </c>
      <c r="AE4140" s="49">
        <f t="shared" si="150"/>
        <v>0.875</v>
      </c>
      <c r="AF4140" s="485">
        <v>0</v>
      </c>
      <c r="AG4140" s="17">
        <v>0</v>
      </c>
      <c r="AH4140" s="485">
        <v>0.2</v>
      </c>
      <c r="AI4140" s="485">
        <v>0.2</v>
      </c>
      <c r="AJ4140" s="485">
        <v>0.2</v>
      </c>
      <c r="AK4140" s="493">
        <v>0.2</v>
      </c>
      <c r="AL4140" s="493">
        <v>0.2</v>
      </c>
      <c r="AM4140" s="17">
        <f t="shared" si="151"/>
        <v>0.4</v>
      </c>
      <c r="AN4140" s="162" t="s">
        <v>5829</v>
      </c>
      <c r="AO4140" s="162" t="s">
        <v>5839</v>
      </c>
    </row>
    <row r="4141" spans="1:41" s="162" customFormat="1" x14ac:dyDescent="0.3">
      <c r="A4141" s="205" t="s">
        <v>8321</v>
      </c>
      <c r="B4141" s="162" t="s">
        <v>8322</v>
      </c>
      <c r="C4141" s="168" t="s">
        <v>13505</v>
      </c>
      <c r="D4141" s="162" t="s">
        <v>13506</v>
      </c>
      <c r="E4141" s="168" t="s">
        <v>13507</v>
      </c>
      <c r="F4141" s="162" t="s">
        <v>13508</v>
      </c>
      <c r="G4141" s="168">
        <v>165507</v>
      </c>
      <c r="H4141" s="162" t="s">
        <v>13513</v>
      </c>
      <c r="K4141" s="168" t="s">
        <v>15146</v>
      </c>
      <c r="L4141" s="162" t="s">
        <v>15147</v>
      </c>
      <c r="M4141" s="162" t="s">
        <v>15156</v>
      </c>
      <c r="O4141" s="229">
        <v>0.5</v>
      </c>
      <c r="P4141" s="229">
        <v>0.55000000000000004</v>
      </c>
      <c r="Q4141" s="229">
        <v>0.6</v>
      </c>
      <c r="R4141" s="229">
        <v>0.65</v>
      </c>
      <c r="S4141" s="229">
        <v>0.7</v>
      </c>
      <c r="T4141" s="223" t="s">
        <v>5829</v>
      </c>
      <c r="U4141" t="str">
        <f>VLOOKUP(T4141,[8]Votes!$A$1:$E$234,3,FALSE)</f>
        <v>103 Inspectorate of Government (IG)</v>
      </c>
      <c r="V4141" s="162" t="s">
        <v>15157</v>
      </c>
      <c r="W4141" s="416">
        <v>1</v>
      </c>
      <c r="X4141" s="416">
        <v>1</v>
      </c>
      <c r="Y4141" s="416">
        <v>1</v>
      </c>
      <c r="Z4141" s="416">
        <v>1</v>
      </c>
      <c r="AA4141" s="416">
        <v>1</v>
      </c>
      <c r="AB4141" s="416">
        <v>0</v>
      </c>
      <c r="AC4141" s="150">
        <v>1</v>
      </c>
      <c r="AD4141" s="150">
        <v>1</v>
      </c>
      <c r="AE4141" s="49">
        <f t="shared" si="150"/>
        <v>0.875</v>
      </c>
      <c r="AF4141" s="485">
        <v>0</v>
      </c>
      <c r="AG4141" s="17">
        <v>0</v>
      </c>
      <c r="AH4141" s="485">
        <v>0.2</v>
      </c>
      <c r="AI4141" s="485">
        <v>0.2</v>
      </c>
      <c r="AJ4141" s="485">
        <v>0.2</v>
      </c>
      <c r="AK4141" s="493">
        <v>0.2</v>
      </c>
      <c r="AL4141" s="493">
        <v>0.2</v>
      </c>
      <c r="AM4141" s="17">
        <f t="shared" si="151"/>
        <v>0.4</v>
      </c>
      <c r="AN4141" s="162" t="s">
        <v>5829</v>
      </c>
      <c r="AO4141" s="162" t="s">
        <v>5839</v>
      </c>
    </row>
    <row r="4142" spans="1:41" s="162" customFormat="1" x14ac:dyDescent="0.3">
      <c r="A4142" s="205" t="s">
        <v>8321</v>
      </c>
      <c r="B4142" s="162" t="s">
        <v>8322</v>
      </c>
      <c r="C4142" s="168" t="s">
        <v>13505</v>
      </c>
      <c r="D4142" s="162" t="s">
        <v>13506</v>
      </c>
      <c r="E4142" s="168" t="s">
        <v>13507</v>
      </c>
      <c r="F4142" s="162" t="s">
        <v>13508</v>
      </c>
      <c r="G4142" s="168">
        <v>165507</v>
      </c>
      <c r="H4142" s="162" t="s">
        <v>13513</v>
      </c>
      <c r="K4142" s="168" t="s">
        <v>15158</v>
      </c>
      <c r="L4142" s="162" t="s">
        <v>15159</v>
      </c>
      <c r="M4142" s="162" t="s">
        <v>15160</v>
      </c>
      <c r="O4142" s="229">
        <v>3</v>
      </c>
      <c r="P4142" s="229">
        <v>3</v>
      </c>
      <c r="Q4142" s="229">
        <v>3</v>
      </c>
      <c r="R4142" s="229">
        <v>3</v>
      </c>
      <c r="S4142" s="229">
        <v>3</v>
      </c>
      <c r="T4142" s="223" t="s">
        <v>5829</v>
      </c>
      <c r="U4142" t="str">
        <f>VLOOKUP(T4142,[8]Votes!$A$1:$E$234,3,FALSE)</f>
        <v>103 Inspectorate of Government (IG)</v>
      </c>
      <c r="V4142" s="162" t="s">
        <v>15161</v>
      </c>
      <c r="W4142" s="416">
        <v>1</v>
      </c>
      <c r="X4142" s="416">
        <v>1</v>
      </c>
      <c r="Y4142" s="416">
        <v>1</v>
      </c>
      <c r="Z4142" s="416">
        <v>1</v>
      </c>
      <c r="AA4142" s="416">
        <v>1</v>
      </c>
      <c r="AB4142" s="416">
        <v>0</v>
      </c>
      <c r="AC4142" s="150">
        <v>1</v>
      </c>
      <c r="AD4142" s="150">
        <v>1</v>
      </c>
      <c r="AE4142" s="49">
        <f t="shared" si="150"/>
        <v>0.875</v>
      </c>
      <c r="AF4142" s="485">
        <v>0</v>
      </c>
      <c r="AG4142" s="17">
        <v>0</v>
      </c>
      <c r="AH4142" s="485">
        <v>0.6</v>
      </c>
      <c r="AI4142" s="485">
        <v>0.6</v>
      </c>
      <c r="AJ4142" s="485">
        <v>0.6</v>
      </c>
      <c r="AK4142" s="493">
        <v>0.5</v>
      </c>
      <c r="AL4142" s="493">
        <v>1.5</v>
      </c>
      <c r="AM4142" s="17">
        <f t="shared" si="151"/>
        <v>2</v>
      </c>
      <c r="AN4142" s="162" t="s">
        <v>5829</v>
      </c>
      <c r="AO4142" s="162" t="s">
        <v>5839</v>
      </c>
    </row>
    <row r="4143" spans="1:41" s="162" customFormat="1" x14ac:dyDescent="0.3">
      <c r="A4143" s="205" t="s">
        <v>8321</v>
      </c>
      <c r="B4143" s="162" t="s">
        <v>8322</v>
      </c>
      <c r="C4143" s="168" t="s">
        <v>13505</v>
      </c>
      <c r="D4143" s="162" t="s">
        <v>13506</v>
      </c>
      <c r="E4143" s="168" t="s">
        <v>13507</v>
      </c>
      <c r="F4143" s="162" t="s">
        <v>13508</v>
      </c>
      <c r="G4143" s="168">
        <v>165507</v>
      </c>
      <c r="H4143" s="162" t="s">
        <v>13513</v>
      </c>
      <c r="K4143" s="168" t="s">
        <v>15158</v>
      </c>
      <c r="L4143" s="162" t="s">
        <v>15159</v>
      </c>
      <c r="M4143" s="162" t="s">
        <v>15162</v>
      </c>
      <c r="O4143" s="229">
        <v>2</v>
      </c>
      <c r="P4143" s="229">
        <v>2</v>
      </c>
      <c r="Q4143" s="229">
        <v>2</v>
      </c>
      <c r="R4143" s="229">
        <v>2</v>
      </c>
      <c r="S4143" s="229">
        <v>2</v>
      </c>
      <c r="T4143" s="223" t="s">
        <v>5829</v>
      </c>
      <c r="U4143" t="str">
        <f>VLOOKUP(T4143,[8]Votes!$A$1:$E$234,3,FALSE)</f>
        <v>103 Inspectorate of Government (IG)</v>
      </c>
      <c r="V4143" s="162" t="s">
        <v>15163</v>
      </c>
      <c r="W4143" s="416">
        <v>1</v>
      </c>
      <c r="X4143" s="416">
        <v>1</v>
      </c>
      <c r="Y4143" s="416">
        <v>1</v>
      </c>
      <c r="Z4143" s="416">
        <v>1</v>
      </c>
      <c r="AA4143" s="416">
        <v>1</v>
      </c>
      <c r="AB4143" s="416">
        <v>0</v>
      </c>
      <c r="AC4143" s="150">
        <v>1</v>
      </c>
      <c r="AD4143" s="150">
        <v>1</v>
      </c>
      <c r="AE4143" s="49">
        <f t="shared" si="150"/>
        <v>0.875</v>
      </c>
      <c r="AF4143" s="485">
        <v>0</v>
      </c>
      <c r="AG4143" s="17">
        <v>0</v>
      </c>
      <c r="AH4143" s="485">
        <v>2</v>
      </c>
      <c r="AI4143" s="485">
        <v>2</v>
      </c>
      <c r="AJ4143" s="485">
        <v>2</v>
      </c>
      <c r="AK4143" s="493">
        <v>2</v>
      </c>
      <c r="AL4143" s="493">
        <v>2</v>
      </c>
      <c r="AM4143" s="17">
        <f t="shared" si="151"/>
        <v>4</v>
      </c>
      <c r="AN4143" s="162" t="s">
        <v>5829</v>
      </c>
      <c r="AO4143" s="162" t="s">
        <v>5839</v>
      </c>
    </row>
    <row r="4144" spans="1:41" s="162" customFormat="1" x14ac:dyDescent="0.3">
      <c r="A4144" s="205" t="s">
        <v>8321</v>
      </c>
      <c r="B4144" s="162" t="s">
        <v>8322</v>
      </c>
      <c r="C4144" s="168" t="s">
        <v>13505</v>
      </c>
      <c r="D4144" s="162" t="s">
        <v>13506</v>
      </c>
      <c r="E4144" s="168" t="s">
        <v>13507</v>
      </c>
      <c r="F4144" s="162" t="s">
        <v>13508</v>
      </c>
      <c r="G4144" s="168">
        <v>165507</v>
      </c>
      <c r="H4144" s="162" t="s">
        <v>13513</v>
      </c>
      <c r="K4144" s="168" t="s">
        <v>15158</v>
      </c>
      <c r="L4144" s="162" t="s">
        <v>15159</v>
      </c>
      <c r="M4144" s="162" t="s">
        <v>15164</v>
      </c>
      <c r="O4144" s="229">
        <v>2</v>
      </c>
      <c r="P4144" s="229">
        <v>2</v>
      </c>
      <c r="Q4144" s="229">
        <v>2</v>
      </c>
      <c r="R4144" s="229">
        <v>2</v>
      </c>
      <c r="S4144" s="229">
        <v>2</v>
      </c>
      <c r="T4144" s="223" t="s">
        <v>5829</v>
      </c>
      <c r="U4144" t="str">
        <f>VLOOKUP(T4144,[8]Votes!$A$1:$E$234,3,FALSE)</f>
        <v>103 Inspectorate of Government (IG)</v>
      </c>
      <c r="W4144" s="501"/>
      <c r="X4144" s="501"/>
      <c r="Y4144" s="501"/>
      <c r="Z4144" s="501"/>
      <c r="AA4144" s="501"/>
      <c r="AB4144" s="501"/>
      <c r="AC4144" s="150">
        <v>0</v>
      </c>
      <c r="AD4144" s="150">
        <v>0</v>
      </c>
      <c r="AE4144" s="49">
        <f t="shared" si="150"/>
        <v>0</v>
      </c>
      <c r="AF4144" s="485"/>
      <c r="AG4144" s="17">
        <v>0</v>
      </c>
      <c r="AH4144" s="485">
        <v>2</v>
      </c>
      <c r="AI4144" s="485">
        <v>2</v>
      </c>
      <c r="AJ4144" s="485">
        <v>2</v>
      </c>
      <c r="AK4144" s="493">
        <v>2</v>
      </c>
      <c r="AL4144" s="493">
        <v>2</v>
      </c>
      <c r="AM4144" s="17">
        <f t="shared" si="151"/>
        <v>4</v>
      </c>
      <c r="AN4144" s="162" t="s">
        <v>5829</v>
      </c>
      <c r="AO4144" s="162" t="s">
        <v>5839</v>
      </c>
    </row>
    <row r="4145" spans="1:41" s="162" customFormat="1" x14ac:dyDescent="0.3">
      <c r="A4145" s="205" t="s">
        <v>8321</v>
      </c>
      <c r="B4145" s="162" t="s">
        <v>8322</v>
      </c>
      <c r="C4145" s="168" t="s">
        <v>13505</v>
      </c>
      <c r="D4145" s="162" t="s">
        <v>13506</v>
      </c>
      <c r="E4145" s="168" t="s">
        <v>13507</v>
      </c>
      <c r="F4145" s="162" t="s">
        <v>13508</v>
      </c>
      <c r="G4145" s="168">
        <v>165507</v>
      </c>
      <c r="H4145" s="162" t="s">
        <v>13513</v>
      </c>
      <c r="K4145" s="168" t="s">
        <v>15165</v>
      </c>
      <c r="L4145" s="162" t="s">
        <v>15166</v>
      </c>
      <c r="M4145" s="162" t="s">
        <v>15167</v>
      </c>
      <c r="O4145" s="224">
        <v>0.55000000000000004</v>
      </c>
      <c r="P4145" s="224">
        <v>0.55000000000000004</v>
      </c>
      <c r="Q4145" s="224">
        <v>0.6</v>
      </c>
      <c r="R4145" s="224">
        <v>0.6</v>
      </c>
      <c r="S4145" s="224">
        <v>0.65</v>
      </c>
      <c r="T4145" s="223" t="s">
        <v>5829</v>
      </c>
      <c r="U4145" t="str">
        <f>VLOOKUP(T4145,[8]Votes!$A$1:$E$234,3,FALSE)</f>
        <v>103 Inspectorate of Government (IG)</v>
      </c>
      <c r="V4145" s="162" t="s">
        <v>15168</v>
      </c>
      <c r="W4145" s="416">
        <v>1</v>
      </c>
      <c r="X4145" s="416">
        <v>1</v>
      </c>
      <c r="Y4145" s="416">
        <v>1</v>
      </c>
      <c r="Z4145" s="416">
        <v>1</v>
      </c>
      <c r="AA4145" s="416">
        <v>1</v>
      </c>
      <c r="AB4145" s="416">
        <v>0</v>
      </c>
      <c r="AC4145" s="150">
        <v>1</v>
      </c>
      <c r="AD4145" s="150">
        <v>1</v>
      </c>
      <c r="AE4145" s="49">
        <f t="shared" si="150"/>
        <v>0.875</v>
      </c>
      <c r="AF4145" s="485">
        <v>0</v>
      </c>
      <c r="AG4145" s="17">
        <v>0</v>
      </c>
      <c r="AH4145" s="485">
        <v>0.1</v>
      </c>
      <c r="AI4145" s="485">
        <v>0.1</v>
      </c>
      <c r="AJ4145" s="485">
        <v>0.1</v>
      </c>
      <c r="AK4145" s="493">
        <v>0.1</v>
      </c>
      <c r="AL4145" s="493">
        <v>0.1</v>
      </c>
      <c r="AM4145" s="17">
        <f t="shared" si="151"/>
        <v>0.2</v>
      </c>
      <c r="AN4145" s="162" t="s">
        <v>5829</v>
      </c>
      <c r="AO4145" s="162" t="s">
        <v>5839</v>
      </c>
    </row>
    <row r="4146" spans="1:41" s="162" customFormat="1" x14ac:dyDescent="0.3">
      <c r="A4146" s="205" t="s">
        <v>8321</v>
      </c>
      <c r="B4146" s="162" t="s">
        <v>8322</v>
      </c>
      <c r="C4146" s="168" t="s">
        <v>13505</v>
      </c>
      <c r="D4146" s="162" t="s">
        <v>13506</v>
      </c>
      <c r="E4146" s="168" t="s">
        <v>13507</v>
      </c>
      <c r="F4146" s="162" t="s">
        <v>13508</v>
      </c>
      <c r="G4146" s="168">
        <v>165507</v>
      </c>
      <c r="H4146" s="162" t="s">
        <v>13513</v>
      </c>
      <c r="K4146" s="168" t="s">
        <v>15165</v>
      </c>
      <c r="L4146" s="162" t="s">
        <v>15166</v>
      </c>
      <c r="M4146" s="162" t="s">
        <v>15169</v>
      </c>
      <c r="O4146" s="492">
        <v>0.6</v>
      </c>
      <c r="P4146" s="492">
        <v>0.65</v>
      </c>
      <c r="Q4146" s="492">
        <v>0.7</v>
      </c>
      <c r="R4146" s="492">
        <v>0.75</v>
      </c>
      <c r="S4146" s="492">
        <v>0.8</v>
      </c>
      <c r="T4146" s="223" t="s">
        <v>5829</v>
      </c>
      <c r="U4146" t="str">
        <f>VLOOKUP(T4146,[8]Votes!$A$1:$E$234,3,FALSE)</f>
        <v>103 Inspectorate of Government (IG)</v>
      </c>
      <c r="V4146" s="162" t="s">
        <v>15168</v>
      </c>
      <c r="W4146" s="416">
        <v>1</v>
      </c>
      <c r="X4146" s="416">
        <v>1</v>
      </c>
      <c r="Y4146" s="416">
        <v>1</v>
      </c>
      <c r="Z4146" s="416">
        <v>1</v>
      </c>
      <c r="AA4146" s="416">
        <v>1</v>
      </c>
      <c r="AB4146" s="416">
        <v>0</v>
      </c>
      <c r="AC4146" s="150">
        <v>1</v>
      </c>
      <c r="AD4146" s="150">
        <v>1</v>
      </c>
      <c r="AE4146" s="49">
        <f t="shared" si="150"/>
        <v>0.875</v>
      </c>
      <c r="AF4146" s="485">
        <v>0</v>
      </c>
      <c r="AG4146" s="17">
        <v>0</v>
      </c>
      <c r="AH4146" s="485">
        <v>0.1</v>
      </c>
      <c r="AI4146" s="485">
        <v>0.1</v>
      </c>
      <c r="AJ4146" s="485">
        <v>0.1</v>
      </c>
      <c r="AK4146" s="493"/>
      <c r="AL4146" s="493"/>
      <c r="AM4146" s="17">
        <f t="shared" si="151"/>
        <v>0</v>
      </c>
      <c r="AN4146" s="162" t="s">
        <v>5829</v>
      </c>
      <c r="AO4146" s="162" t="s">
        <v>5839</v>
      </c>
    </row>
    <row r="4147" spans="1:41" s="162" customFormat="1" x14ac:dyDescent="0.3">
      <c r="A4147" s="205" t="s">
        <v>8321</v>
      </c>
      <c r="B4147" s="162" t="s">
        <v>8322</v>
      </c>
      <c r="C4147" s="168" t="s">
        <v>13505</v>
      </c>
      <c r="D4147" s="162" t="s">
        <v>13506</v>
      </c>
      <c r="E4147" s="168" t="s">
        <v>13507</v>
      </c>
      <c r="F4147" s="162" t="s">
        <v>13508</v>
      </c>
      <c r="G4147" s="168">
        <v>165507</v>
      </c>
      <c r="H4147" s="162" t="s">
        <v>13513</v>
      </c>
      <c r="K4147" s="168" t="s">
        <v>15170</v>
      </c>
      <c r="L4147" s="162" t="s">
        <v>15171</v>
      </c>
      <c r="M4147" s="162" t="s">
        <v>15172</v>
      </c>
      <c r="O4147" s="224">
        <v>150</v>
      </c>
      <c r="P4147" s="224">
        <v>150</v>
      </c>
      <c r="Q4147" s="224">
        <v>150</v>
      </c>
      <c r="R4147" s="224">
        <v>150</v>
      </c>
      <c r="S4147" s="224">
        <v>150</v>
      </c>
      <c r="T4147" s="223" t="s">
        <v>11865</v>
      </c>
      <c r="U4147" t="str">
        <f>VLOOKUP(T4147,[8]Votes!$A$1:$E$234,3,FALSE)</f>
        <v>133 Office of the Director of Public Prosecutions</v>
      </c>
      <c r="V4147" s="162" t="s">
        <v>15173</v>
      </c>
      <c r="W4147" s="416">
        <v>1</v>
      </c>
      <c r="X4147" s="416">
        <v>1</v>
      </c>
      <c r="Y4147" s="416">
        <v>0</v>
      </c>
      <c r="Z4147" s="416">
        <v>1</v>
      </c>
      <c r="AA4147" s="416">
        <v>1</v>
      </c>
      <c r="AB4147" s="416">
        <v>0</v>
      </c>
      <c r="AC4147" s="416">
        <v>0</v>
      </c>
      <c r="AD4147" s="416">
        <v>0</v>
      </c>
      <c r="AE4147" s="49">
        <f t="shared" si="150"/>
        <v>0.5</v>
      </c>
      <c r="AF4147" s="485">
        <v>0</v>
      </c>
      <c r="AG4147" s="17">
        <v>0</v>
      </c>
      <c r="AH4147" s="190">
        <v>0</v>
      </c>
      <c r="AI4147" s="190">
        <v>0</v>
      </c>
      <c r="AJ4147" s="190">
        <v>0</v>
      </c>
      <c r="AK4147" s="191">
        <v>0</v>
      </c>
      <c r="AL4147" s="191">
        <v>0</v>
      </c>
      <c r="AM4147" s="17">
        <f t="shared" si="151"/>
        <v>0</v>
      </c>
      <c r="AN4147" s="162" t="s">
        <v>11865</v>
      </c>
      <c r="AO4147" s="162" t="s">
        <v>11866</v>
      </c>
    </row>
    <row r="4148" spans="1:41" s="162" customFormat="1" x14ac:dyDescent="0.3">
      <c r="A4148" s="205" t="s">
        <v>8321</v>
      </c>
      <c r="B4148" s="162" t="s">
        <v>8322</v>
      </c>
      <c r="C4148" s="168" t="s">
        <v>13505</v>
      </c>
      <c r="D4148" s="162" t="s">
        <v>13506</v>
      </c>
      <c r="E4148" s="168" t="s">
        <v>13507</v>
      </c>
      <c r="F4148" s="162" t="s">
        <v>13508</v>
      </c>
      <c r="G4148" s="168">
        <v>165507</v>
      </c>
      <c r="H4148" s="162" t="s">
        <v>13513</v>
      </c>
      <c r="K4148" s="168" t="s">
        <v>15174</v>
      </c>
      <c r="L4148" s="162" t="s">
        <v>15175</v>
      </c>
      <c r="M4148" s="162" t="s">
        <v>15176</v>
      </c>
      <c r="O4148" s="224">
        <v>20</v>
      </c>
      <c r="P4148" s="224">
        <v>20</v>
      </c>
      <c r="Q4148" s="224">
        <v>20</v>
      </c>
      <c r="R4148" s="224">
        <v>20</v>
      </c>
      <c r="S4148" s="224">
        <v>20</v>
      </c>
      <c r="T4148" s="223" t="s">
        <v>11865</v>
      </c>
      <c r="U4148" t="str">
        <f>VLOOKUP(T4148,[8]Votes!$A$1:$E$234,3,FALSE)</f>
        <v>133 Office of the Director of Public Prosecutions</v>
      </c>
      <c r="V4148" s="162" t="s">
        <v>15177</v>
      </c>
      <c r="W4148" s="416">
        <v>1</v>
      </c>
      <c r="X4148" s="416">
        <v>1</v>
      </c>
      <c r="Y4148" s="416">
        <v>0</v>
      </c>
      <c r="Z4148" s="416">
        <v>1</v>
      </c>
      <c r="AA4148" s="416">
        <v>1</v>
      </c>
      <c r="AB4148" s="416">
        <v>0</v>
      </c>
      <c r="AC4148" s="416">
        <v>0</v>
      </c>
      <c r="AD4148" s="416">
        <v>0</v>
      </c>
      <c r="AE4148" s="49">
        <f t="shared" si="150"/>
        <v>0.5</v>
      </c>
      <c r="AF4148" s="485">
        <v>0</v>
      </c>
      <c r="AG4148" s="17">
        <v>0</v>
      </c>
      <c r="AH4148" s="190">
        <v>0</v>
      </c>
      <c r="AI4148" s="190">
        <v>0</v>
      </c>
      <c r="AJ4148" s="190">
        <v>0</v>
      </c>
      <c r="AK4148" s="191">
        <v>0</v>
      </c>
      <c r="AL4148" s="191">
        <v>0</v>
      </c>
      <c r="AM4148" s="17">
        <f t="shared" si="151"/>
        <v>0</v>
      </c>
      <c r="AN4148" s="162" t="s">
        <v>11865</v>
      </c>
      <c r="AO4148" s="162" t="s">
        <v>11866</v>
      </c>
    </row>
    <row r="4149" spans="1:41" s="162" customFormat="1" x14ac:dyDescent="0.3">
      <c r="A4149" s="205" t="s">
        <v>8321</v>
      </c>
      <c r="B4149" s="162" t="s">
        <v>8322</v>
      </c>
      <c r="C4149" s="168" t="s">
        <v>13505</v>
      </c>
      <c r="D4149" s="162" t="s">
        <v>13506</v>
      </c>
      <c r="E4149" s="168" t="s">
        <v>13507</v>
      </c>
      <c r="F4149" s="162" t="s">
        <v>13508</v>
      </c>
      <c r="G4149" s="168">
        <v>165507</v>
      </c>
      <c r="H4149" s="162" t="s">
        <v>13513</v>
      </c>
      <c r="K4149" s="168" t="s">
        <v>15178</v>
      </c>
      <c r="L4149" s="162" t="s">
        <v>15179</v>
      </c>
      <c r="M4149" s="162" t="s">
        <v>15180</v>
      </c>
      <c r="O4149" s="226"/>
      <c r="P4149" s="229">
        <v>39262</v>
      </c>
      <c r="Q4149" s="229">
        <v>47114</v>
      </c>
      <c r="R4149" s="229">
        <v>56537</v>
      </c>
      <c r="S4149" s="229">
        <v>67844</v>
      </c>
      <c r="T4149" s="223" t="s">
        <v>11865</v>
      </c>
      <c r="U4149" t="str">
        <f>VLOOKUP(T4149,[8]Votes!$A$1:$E$234,3,FALSE)</f>
        <v>133 Office of the Director of Public Prosecutions</v>
      </c>
      <c r="V4149" s="162" t="s">
        <v>15181</v>
      </c>
      <c r="W4149" s="416">
        <v>1</v>
      </c>
      <c r="X4149" s="416">
        <v>1</v>
      </c>
      <c r="Y4149" s="416">
        <v>0</v>
      </c>
      <c r="Z4149" s="416">
        <v>1</v>
      </c>
      <c r="AA4149" s="416">
        <v>1</v>
      </c>
      <c r="AB4149" s="416">
        <v>0</v>
      </c>
      <c r="AC4149" s="416">
        <v>0</v>
      </c>
      <c r="AD4149" s="416">
        <v>0</v>
      </c>
      <c r="AE4149" s="49">
        <f t="shared" si="150"/>
        <v>0.5</v>
      </c>
      <c r="AF4149" s="485">
        <v>0</v>
      </c>
      <c r="AG4149" s="17">
        <v>0</v>
      </c>
      <c r="AH4149" s="190">
        <v>0</v>
      </c>
      <c r="AI4149" s="190">
        <v>0</v>
      </c>
      <c r="AJ4149" s="190">
        <v>0</v>
      </c>
      <c r="AK4149" s="191">
        <v>0</v>
      </c>
      <c r="AL4149" s="191">
        <v>0</v>
      </c>
      <c r="AM4149" s="17">
        <f t="shared" si="151"/>
        <v>0</v>
      </c>
      <c r="AN4149" s="162" t="s">
        <v>11865</v>
      </c>
      <c r="AO4149" s="162" t="s">
        <v>11866</v>
      </c>
    </row>
    <row r="4150" spans="1:41" s="162" customFormat="1" x14ac:dyDescent="0.3">
      <c r="A4150" s="205" t="s">
        <v>8321</v>
      </c>
      <c r="B4150" s="162" t="s">
        <v>8322</v>
      </c>
      <c r="C4150" s="168" t="s">
        <v>13505</v>
      </c>
      <c r="D4150" s="162" t="s">
        <v>13506</v>
      </c>
      <c r="E4150" s="168" t="s">
        <v>13507</v>
      </c>
      <c r="F4150" s="162" t="s">
        <v>13508</v>
      </c>
      <c r="G4150" s="168">
        <v>165507</v>
      </c>
      <c r="H4150" s="162" t="s">
        <v>13513</v>
      </c>
      <c r="K4150" s="168" t="s">
        <v>15182</v>
      </c>
      <c r="L4150" s="162" t="s">
        <v>15183</v>
      </c>
      <c r="M4150" s="162" t="s">
        <v>15184</v>
      </c>
      <c r="O4150" s="226"/>
      <c r="P4150" s="229"/>
      <c r="Q4150" s="229">
        <v>1</v>
      </c>
      <c r="R4150" s="229"/>
      <c r="S4150" s="229"/>
      <c r="T4150" s="223" t="s">
        <v>11865</v>
      </c>
      <c r="U4150" t="str">
        <f>VLOOKUP(T4150,[8]Votes!$A$1:$E$234,3,FALSE)</f>
        <v>133 Office of the Director of Public Prosecutions</v>
      </c>
      <c r="V4150" s="162" t="s">
        <v>15185</v>
      </c>
      <c r="W4150" s="416">
        <v>1</v>
      </c>
      <c r="X4150" s="416">
        <v>1</v>
      </c>
      <c r="Y4150" s="416">
        <v>0</v>
      </c>
      <c r="Z4150" s="416">
        <v>1</v>
      </c>
      <c r="AA4150" s="416">
        <v>1</v>
      </c>
      <c r="AB4150" s="416">
        <v>0</v>
      </c>
      <c r="AC4150" s="416">
        <v>0</v>
      </c>
      <c r="AD4150" s="416">
        <v>0</v>
      </c>
      <c r="AE4150" s="49">
        <f t="shared" si="150"/>
        <v>0.5</v>
      </c>
      <c r="AF4150" s="485">
        <v>0</v>
      </c>
      <c r="AG4150" s="17">
        <v>0</v>
      </c>
      <c r="AH4150" s="190">
        <v>0</v>
      </c>
      <c r="AI4150" s="190">
        <v>0</v>
      </c>
      <c r="AJ4150" s="485">
        <v>0.3</v>
      </c>
      <c r="AK4150" s="191">
        <v>0</v>
      </c>
      <c r="AL4150" s="191">
        <v>0</v>
      </c>
      <c r="AM4150" s="17">
        <f t="shared" si="151"/>
        <v>0</v>
      </c>
      <c r="AN4150" s="162" t="s">
        <v>11865</v>
      </c>
      <c r="AO4150" s="162" t="s">
        <v>11866</v>
      </c>
    </row>
    <row r="4151" spans="1:41" s="162" customFormat="1" x14ac:dyDescent="0.3">
      <c r="A4151" s="205" t="s">
        <v>8321</v>
      </c>
      <c r="B4151" s="162" t="s">
        <v>8322</v>
      </c>
      <c r="C4151" s="168" t="s">
        <v>13505</v>
      </c>
      <c r="D4151" s="162" t="s">
        <v>13506</v>
      </c>
      <c r="E4151" s="168" t="s">
        <v>13507</v>
      </c>
      <c r="F4151" s="162" t="s">
        <v>13508</v>
      </c>
      <c r="G4151" s="168">
        <v>165507</v>
      </c>
      <c r="H4151" s="162" t="s">
        <v>13513</v>
      </c>
      <c r="K4151" s="168" t="s">
        <v>15182</v>
      </c>
      <c r="L4151" s="162" t="s">
        <v>15183</v>
      </c>
      <c r="O4151" s="226"/>
      <c r="P4151" s="229"/>
      <c r="Q4151" s="229">
        <v>1</v>
      </c>
      <c r="R4151" s="229"/>
      <c r="S4151" s="229"/>
      <c r="T4151" s="223" t="s">
        <v>11865</v>
      </c>
      <c r="U4151" t="str">
        <f>VLOOKUP(T4151,[8]Votes!$A$1:$E$234,3,FALSE)</f>
        <v>133 Office of the Director of Public Prosecutions</v>
      </c>
      <c r="V4151" s="162" t="s">
        <v>15186</v>
      </c>
      <c r="W4151" s="416">
        <v>1</v>
      </c>
      <c r="X4151" s="416">
        <v>1</v>
      </c>
      <c r="Y4151" s="416">
        <v>0</v>
      </c>
      <c r="Z4151" s="416">
        <v>1</v>
      </c>
      <c r="AA4151" s="416">
        <v>1</v>
      </c>
      <c r="AB4151" s="416">
        <v>0</v>
      </c>
      <c r="AC4151" s="416">
        <v>0</v>
      </c>
      <c r="AD4151" s="416">
        <v>0</v>
      </c>
      <c r="AE4151" s="49">
        <f t="shared" si="150"/>
        <v>0.5</v>
      </c>
      <c r="AF4151" s="485">
        <v>0</v>
      </c>
      <c r="AG4151" s="17">
        <v>0</v>
      </c>
      <c r="AH4151" s="190">
        <v>0</v>
      </c>
      <c r="AI4151" s="190">
        <v>0</v>
      </c>
      <c r="AJ4151" s="531">
        <v>0.4</v>
      </c>
      <c r="AK4151" s="191">
        <v>0</v>
      </c>
      <c r="AL4151" s="191">
        <v>0</v>
      </c>
      <c r="AM4151" s="17">
        <f t="shared" si="151"/>
        <v>0</v>
      </c>
      <c r="AN4151" s="162" t="s">
        <v>11865</v>
      </c>
      <c r="AO4151" s="162" t="s">
        <v>11866</v>
      </c>
    </row>
    <row r="4152" spans="1:41" s="162" customFormat="1" x14ac:dyDescent="0.3">
      <c r="A4152" s="205" t="s">
        <v>8321</v>
      </c>
      <c r="B4152" s="162" t="s">
        <v>8322</v>
      </c>
      <c r="C4152" s="168" t="s">
        <v>13505</v>
      </c>
      <c r="D4152" s="162" t="s">
        <v>13506</v>
      </c>
      <c r="E4152" s="168" t="s">
        <v>13507</v>
      </c>
      <c r="F4152" s="162" t="s">
        <v>13508</v>
      </c>
      <c r="G4152" s="168">
        <v>165507</v>
      </c>
      <c r="H4152" s="162" t="s">
        <v>13513</v>
      </c>
      <c r="K4152" s="168" t="s">
        <v>15182</v>
      </c>
      <c r="L4152" s="162" t="s">
        <v>15183</v>
      </c>
      <c r="M4152" s="162" t="s">
        <v>15187</v>
      </c>
      <c r="O4152" s="226"/>
      <c r="P4152" s="229"/>
      <c r="Q4152" s="510">
        <v>0.2</v>
      </c>
      <c r="R4152" s="510">
        <v>0.25</v>
      </c>
      <c r="S4152" s="510">
        <v>0.3</v>
      </c>
      <c r="T4152" s="223" t="s">
        <v>11865</v>
      </c>
      <c r="U4152" t="str">
        <f>VLOOKUP(T4152,[8]Votes!$A$1:$E$234,3,FALSE)</f>
        <v>133 Office of the Director of Public Prosecutions</v>
      </c>
      <c r="V4152" s="162" t="s">
        <v>15188</v>
      </c>
      <c r="W4152" s="416">
        <v>1</v>
      </c>
      <c r="X4152" s="416">
        <v>1</v>
      </c>
      <c r="Y4152" s="416">
        <v>1</v>
      </c>
      <c r="Z4152" s="416">
        <v>1</v>
      </c>
      <c r="AA4152" s="416">
        <v>1</v>
      </c>
      <c r="AB4152" s="416">
        <v>0</v>
      </c>
      <c r="AC4152" s="150">
        <v>1</v>
      </c>
      <c r="AD4152" s="150">
        <v>1</v>
      </c>
      <c r="AE4152" s="49">
        <f t="shared" si="150"/>
        <v>0.875</v>
      </c>
      <c r="AF4152" s="485">
        <v>0</v>
      </c>
      <c r="AG4152" s="17">
        <v>0</v>
      </c>
      <c r="AH4152" s="190">
        <v>0</v>
      </c>
      <c r="AI4152" s="190">
        <v>0</v>
      </c>
      <c r="AJ4152" s="531">
        <v>0.5</v>
      </c>
      <c r="AK4152" s="532">
        <v>0.6</v>
      </c>
      <c r="AL4152" s="493">
        <v>0.8</v>
      </c>
      <c r="AM4152" s="17">
        <f t="shared" si="151"/>
        <v>1.4</v>
      </c>
      <c r="AN4152" s="162" t="s">
        <v>11865</v>
      </c>
      <c r="AO4152" s="162" t="s">
        <v>11866</v>
      </c>
    </row>
    <row r="4153" spans="1:41" s="162" customFormat="1" x14ac:dyDescent="0.3">
      <c r="A4153" s="205" t="s">
        <v>8321</v>
      </c>
      <c r="B4153" s="162" t="s">
        <v>8322</v>
      </c>
      <c r="C4153" s="168" t="s">
        <v>13505</v>
      </c>
      <c r="D4153" s="162" t="s">
        <v>13506</v>
      </c>
      <c r="E4153" s="168" t="s">
        <v>13507</v>
      </c>
      <c r="F4153" s="162" t="s">
        <v>13508</v>
      </c>
      <c r="G4153" s="168">
        <v>165507</v>
      </c>
      <c r="H4153" s="162" t="s">
        <v>13513</v>
      </c>
      <c r="K4153" s="168" t="s">
        <v>15182</v>
      </c>
      <c r="L4153" s="162" t="s">
        <v>15183</v>
      </c>
      <c r="M4153" s="162" t="s">
        <v>15189</v>
      </c>
      <c r="O4153" s="226"/>
      <c r="P4153" s="229"/>
      <c r="Q4153" s="229"/>
      <c r="R4153" s="229"/>
      <c r="S4153" s="229"/>
      <c r="T4153" s="223" t="s">
        <v>11865</v>
      </c>
      <c r="U4153" t="str">
        <f>VLOOKUP(T4153,[8]Votes!$A$1:$E$234,3,FALSE)</f>
        <v>133 Office of the Director of Public Prosecutions</v>
      </c>
      <c r="V4153" s="162" t="s">
        <v>15190</v>
      </c>
      <c r="W4153" s="416">
        <v>1</v>
      </c>
      <c r="X4153" s="416">
        <v>1</v>
      </c>
      <c r="Y4153" s="416">
        <v>1</v>
      </c>
      <c r="Z4153" s="416">
        <v>1</v>
      </c>
      <c r="AA4153" s="416">
        <v>1</v>
      </c>
      <c r="AB4153" s="416">
        <v>0</v>
      </c>
      <c r="AC4153" s="150"/>
      <c r="AD4153" s="150"/>
      <c r="AE4153" s="49">
        <f t="shared" si="150"/>
        <v>0.625</v>
      </c>
      <c r="AF4153" s="485">
        <v>0</v>
      </c>
      <c r="AG4153" s="17">
        <v>0</v>
      </c>
      <c r="AH4153" s="190">
        <v>0</v>
      </c>
      <c r="AI4153" s="190">
        <v>0</v>
      </c>
      <c r="AJ4153" s="190">
        <v>0</v>
      </c>
      <c r="AK4153" s="191">
        <v>0</v>
      </c>
      <c r="AL4153" s="191">
        <v>0</v>
      </c>
      <c r="AM4153" s="17">
        <f t="shared" si="151"/>
        <v>0</v>
      </c>
      <c r="AN4153" s="162" t="s">
        <v>11865</v>
      </c>
      <c r="AO4153" s="162" t="s">
        <v>11866</v>
      </c>
    </row>
    <row r="4154" spans="1:41" s="162" customFormat="1" x14ac:dyDescent="0.3">
      <c r="A4154" s="205" t="s">
        <v>8321</v>
      </c>
      <c r="B4154" s="162" t="s">
        <v>8322</v>
      </c>
      <c r="C4154" s="168" t="s">
        <v>13505</v>
      </c>
      <c r="D4154" s="162" t="s">
        <v>13506</v>
      </c>
      <c r="E4154" s="168" t="s">
        <v>13507</v>
      </c>
      <c r="F4154" s="162" t="s">
        <v>13508</v>
      </c>
      <c r="G4154" s="168">
        <v>165507</v>
      </c>
      <c r="H4154" s="162" t="s">
        <v>13513</v>
      </c>
      <c r="K4154" s="168" t="s">
        <v>15182</v>
      </c>
      <c r="L4154" s="162" t="s">
        <v>15183</v>
      </c>
      <c r="M4154" s="162" t="s">
        <v>15189</v>
      </c>
      <c r="O4154" s="226"/>
      <c r="P4154" s="229"/>
      <c r="Q4154" s="510">
        <v>0.4</v>
      </c>
      <c r="R4154" s="510">
        <v>0.45</v>
      </c>
      <c r="S4154" s="510">
        <v>0.5</v>
      </c>
      <c r="T4154" s="223" t="s">
        <v>11865</v>
      </c>
      <c r="U4154" t="str">
        <f>VLOOKUP(T4154,[8]Votes!$A$1:$E$234,3,FALSE)</f>
        <v>133 Office of the Director of Public Prosecutions</v>
      </c>
      <c r="V4154" s="162" t="s">
        <v>15191</v>
      </c>
      <c r="W4154" s="416">
        <v>1</v>
      </c>
      <c r="X4154" s="416">
        <v>1</v>
      </c>
      <c r="Y4154" s="416">
        <v>1</v>
      </c>
      <c r="Z4154" s="416">
        <v>1</v>
      </c>
      <c r="AA4154" s="416">
        <v>1</v>
      </c>
      <c r="AB4154" s="416">
        <v>0</v>
      </c>
      <c r="AC4154" s="150">
        <v>1</v>
      </c>
      <c r="AD4154" s="150">
        <v>1</v>
      </c>
      <c r="AE4154" s="49">
        <f t="shared" ref="AE4154:AE4217" si="152">SUM(W4154:AD4154)/8</f>
        <v>0.875</v>
      </c>
      <c r="AF4154" s="485">
        <v>0</v>
      </c>
      <c r="AG4154" s="17">
        <v>0</v>
      </c>
      <c r="AH4154" s="190">
        <v>0</v>
      </c>
      <c r="AI4154" s="190">
        <v>0</v>
      </c>
      <c r="AJ4154" s="531">
        <v>0.4</v>
      </c>
      <c r="AK4154" s="532">
        <v>0.5</v>
      </c>
      <c r="AL4154" s="493">
        <v>0.7</v>
      </c>
      <c r="AM4154" s="17">
        <f t="shared" ref="AM4154:AM4217" si="153">SUM(AK4154:AL4154)</f>
        <v>1.2</v>
      </c>
      <c r="AN4154" s="162" t="s">
        <v>11865</v>
      </c>
      <c r="AO4154" s="162" t="s">
        <v>11866</v>
      </c>
    </row>
    <row r="4155" spans="1:41" s="162" customFormat="1" x14ac:dyDescent="0.3">
      <c r="A4155" s="205" t="s">
        <v>8321</v>
      </c>
      <c r="B4155" s="162" t="s">
        <v>8322</v>
      </c>
      <c r="C4155" s="168" t="s">
        <v>13505</v>
      </c>
      <c r="D4155" s="162" t="s">
        <v>13506</v>
      </c>
      <c r="E4155" s="168" t="s">
        <v>13507</v>
      </c>
      <c r="F4155" s="162" t="s">
        <v>13508</v>
      </c>
      <c r="G4155" s="168">
        <v>165507</v>
      </c>
      <c r="H4155" s="162" t="s">
        <v>13513</v>
      </c>
      <c r="K4155" s="168" t="s">
        <v>15182</v>
      </c>
      <c r="L4155" s="162" t="s">
        <v>15183</v>
      </c>
      <c r="M4155" s="162" t="s">
        <v>15192</v>
      </c>
      <c r="O4155" s="226"/>
      <c r="P4155" s="492">
        <v>0.5</v>
      </c>
      <c r="Q4155" s="492">
        <v>0.5</v>
      </c>
      <c r="R4155" s="492">
        <v>0.5</v>
      </c>
      <c r="S4155" s="492">
        <v>0.5</v>
      </c>
      <c r="T4155" s="223" t="s">
        <v>11865</v>
      </c>
      <c r="U4155" t="str">
        <f>VLOOKUP(T4155,[8]Votes!$A$1:$E$234,3,FALSE)</f>
        <v>133 Office of the Director of Public Prosecutions</v>
      </c>
      <c r="V4155" s="162" t="s">
        <v>15193</v>
      </c>
      <c r="W4155" s="416">
        <v>1</v>
      </c>
      <c r="X4155" s="416">
        <v>1</v>
      </c>
      <c r="Y4155" s="416">
        <v>1</v>
      </c>
      <c r="Z4155" s="416">
        <v>1</v>
      </c>
      <c r="AA4155" s="416">
        <v>1</v>
      </c>
      <c r="AB4155" s="416">
        <v>0</v>
      </c>
      <c r="AC4155" s="150"/>
      <c r="AD4155" s="150"/>
      <c r="AE4155" s="49">
        <f t="shared" si="152"/>
        <v>0.625</v>
      </c>
      <c r="AF4155" s="485">
        <v>0</v>
      </c>
      <c r="AG4155" s="17">
        <v>0</v>
      </c>
      <c r="AH4155" s="190">
        <v>0</v>
      </c>
      <c r="AI4155" s="190">
        <v>0</v>
      </c>
      <c r="AJ4155" s="190">
        <v>0</v>
      </c>
      <c r="AK4155" s="191">
        <v>0</v>
      </c>
      <c r="AL4155" s="191">
        <v>0</v>
      </c>
      <c r="AM4155" s="17">
        <f t="shared" si="153"/>
        <v>0</v>
      </c>
      <c r="AN4155" s="162" t="s">
        <v>11865</v>
      </c>
      <c r="AO4155" s="162" t="s">
        <v>11866</v>
      </c>
    </row>
    <row r="4156" spans="1:41" s="162" customFormat="1" x14ac:dyDescent="0.3">
      <c r="A4156" s="205" t="s">
        <v>8321</v>
      </c>
      <c r="B4156" s="162" t="s">
        <v>8322</v>
      </c>
      <c r="C4156" s="168" t="s">
        <v>13505</v>
      </c>
      <c r="D4156" s="162" t="s">
        <v>13506</v>
      </c>
      <c r="E4156" s="168" t="s">
        <v>13507</v>
      </c>
      <c r="F4156" s="162" t="s">
        <v>13508</v>
      </c>
      <c r="G4156" s="168">
        <v>165507</v>
      </c>
      <c r="H4156" s="162" t="s">
        <v>13513</v>
      </c>
      <c r="K4156" s="168" t="s">
        <v>15182</v>
      </c>
      <c r="L4156" s="162" t="s">
        <v>15183</v>
      </c>
      <c r="M4156" s="162" t="s">
        <v>15192</v>
      </c>
      <c r="O4156" s="226"/>
      <c r="P4156" s="229"/>
      <c r="Q4156" s="229">
        <v>4</v>
      </c>
      <c r="R4156" s="229">
        <v>4</v>
      </c>
      <c r="S4156" s="229">
        <v>4</v>
      </c>
      <c r="T4156" s="223" t="s">
        <v>11865</v>
      </c>
      <c r="U4156" t="str">
        <f>VLOOKUP(T4156,[8]Votes!$A$1:$E$234,3,FALSE)</f>
        <v>133 Office of the Director of Public Prosecutions</v>
      </c>
      <c r="V4156" s="162" t="s">
        <v>15194</v>
      </c>
      <c r="W4156" s="416">
        <v>1</v>
      </c>
      <c r="X4156" s="416">
        <v>1</v>
      </c>
      <c r="Y4156" s="416">
        <v>1</v>
      </c>
      <c r="Z4156" s="416">
        <v>1</v>
      </c>
      <c r="AA4156" s="416">
        <v>1</v>
      </c>
      <c r="AB4156" s="416">
        <v>0</v>
      </c>
      <c r="AC4156" s="150">
        <v>1</v>
      </c>
      <c r="AD4156" s="150">
        <v>1</v>
      </c>
      <c r="AE4156" s="49">
        <f t="shared" si="152"/>
        <v>0.875</v>
      </c>
      <c r="AF4156" s="485">
        <v>0</v>
      </c>
      <c r="AG4156" s="17">
        <v>0</v>
      </c>
      <c r="AH4156" s="190">
        <v>0</v>
      </c>
      <c r="AI4156" s="190">
        <v>0</v>
      </c>
      <c r="AJ4156" s="531">
        <v>0.5</v>
      </c>
      <c r="AK4156" s="532">
        <v>0.5</v>
      </c>
      <c r="AL4156" s="493">
        <v>0.5</v>
      </c>
      <c r="AM4156" s="17">
        <f t="shared" si="153"/>
        <v>1</v>
      </c>
      <c r="AN4156" s="162" t="s">
        <v>11865</v>
      </c>
      <c r="AO4156" s="162" t="s">
        <v>11866</v>
      </c>
    </row>
    <row r="4157" spans="1:41" s="162" customFormat="1" x14ac:dyDescent="0.3">
      <c r="A4157" s="205" t="s">
        <v>8321</v>
      </c>
      <c r="B4157" s="162" t="s">
        <v>8322</v>
      </c>
      <c r="C4157" s="168" t="s">
        <v>13505</v>
      </c>
      <c r="D4157" s="162" t="s">
        <v>13506</v>
      </c>
      <c r="E4157" s="168" t="s">
        <v>13507</v>
      </c>
      <c r="F4157" s="162" t="s">
        <v>13508</v>
      </c>
      <c r="G4157" s="168">
        <v>165507</v>
      </c>
      <c r="H4157" s="162" t="s">
        <v>13513</v>
      </c>
      <c r="K4157" s="168" t="s">
        <v>15182</v>
      </c>
      <c r="L4157" s="162" t="s">
        <v>15183</v>
      </c>
      <c r="M4157" s="162" t="s">
        <v>15195</v>
      </c>
      <c r="O4157" s="226"/>
      <c r="P4157" s="229"/>
      <c r="Q4157" s="229">
        <v>4</v>
      </c>
      <c r="R4157" s="229">
        <v>4</v>
      </c>
      <c r="S4157" s="229">
        <v>4</v>
      </c>
      <c r="T4157" s="223" t="s">
        <v>11865</v>
      </c>
      <c r="U4157" t="str">
        <f>VLOOKUP(T4157,[8]Votes!$A$1:$E$234,3,FALSE)</f>
        <v>133 Office of the Director of Public Prosecutions</v>
      </c>
      <c r="V4157" s="162" t="s">
        <v>15196</v>
      </c>
      <c r="W4157" s="416">
        <v>1</v>
      </c>
      <c r="X4157" s="416">
        <v>1</v>
      </c>
      <c r="Y4157" s="416">
        <v>1</v>
      </c>
      <c r="Z4157" s="416">
        <v>1</v>
      </c>
      <c r="AA4157" s="416">
        <v>1</v>
      </c>
      <c r="AB4157" s="416">
        <v>0</v>
      </c>
      <c r="AC4157" s="150">
        <v>1</v>
      </c>
      <c r="AD4157" s="150">
        <v>1</v>
      </c>
      <c r="AE4157" s="49">
        <f t="shared" si="152"/>
        <v>0.875</v>
      </c>
      <c r="AF4157" s="485">
        <v>0</v>
      </c>
      <c r="AG4157" s="17">
        <v>0</v>
      </c>
      <c r="AH4157" s="190">
        <v>0</v>
      </c>
      <c r="AI4157" s="190">
        <v>0</v>
      </c>
      <c r="AJ4157" s="531">
        <v>0.2</v>
      </c>
      <c r="AK4157" s="532">
        <v>0.2</v>
      </c>
      <c r="AL4157" s="493">
        <v>0.2</v>
      </c>
      <c r="AM4157" s="17">
        <f t="shared" si="153"/>
        <v>0.4</v>
      </c>
      <c r="AN4157" s="162" t="s">
        <v>11865</v>
      </c>
      <c r="AO4157" s="162" t="s">
        <v>11866</v>
      </c>
    </row>
    <row r="4158" spans="1:41" s="162" customFormat="1" x14ac:dyDescent="0.3">
      <c r="A4158" s="205" t="s">
        <v>8321</v>
      </c>
      <c r="B4158" s="162" t="s">
        <v>8322</v>
      </c>
      <c r="C4158" s="168" t="s">
        <v>13505</v>
      </c>
      <c r="D4158" s="162" t="s">
        <v>13506</v>
      </c>
      <c r="E4158" s="168" t="s">
        <v>13507</v>
      </c>
      <c r="F4158" s="162" t="s">
        <v>13508</v>
      </c>
      <c r="G4158" s="168">
        <v>165507</v>
      </c>
      <c r="H4158" s="162" t="s">
        <v>13513</v>
      </c>
      <c r="K4158" s="168" t="s">
        <v>15182</v>
      </c>
      <c r="L4158" s="162" t="s">
        <v>15183</v>
      </c>
      <c r="M4158" s="162" t="s">
        <v>15197</v>
      </c>
      <c r="O4158" s="226">
        <v>4</v>
      </c>
      <c r="P4158" s="229">
        <v>4</v>
      </c>
      <c r="Q4158" s="229">
        <v>4</v>
      </c>
      <c r="R4158" s="229">
        <v>4</v>
      </c>
      <c r="S4158" s="229">
        <v>4</v>
      </c>
      <c r="T4158" s="223" t="s">
        <v>11865</v>
      </c>
      <c r="U4158" t="str">
        <f>VLOOKUP(T4158,[8]Votes!$A$1:$E$234,3,FALSE)</f>
        <v>133 Office of the Director of Public Prosecutions</v>
      </c>
      <c r="V4158" s="162" t="s">
        <v>15198</v>
      </c>
      <c r="W4158" s="416">
        <v>1</v>
      </c>
      <c r="X4158" s="416">
        <v>1</v>
      </c>
      <c r="Y4158" s="416">
        <v>1</v>
      </c>
      <c r="Z4158" s="416">
        <v>1</v>
      </c>
      <c r="AA4158" s="416">
        <v>1</v>
      </c>
      <c r="AB4158" s="416">
        <v>0</v>
      </c>
      <c r="AC4158" s="150">
        <v>1</v>
      </c>
      <c r="AD4158" s="150">
        <v>1</v>
      </c>
      <c r="AE4158" s="49">
        <f t="shared" si="152"/>
        <v>0.875</v>
      </c>
      <c r="AF4158" s="485">
        <v>0</v>
      </c>
      <c r="AG4158" s="17">
        <v>0</v>
      </c>
      <c r="AH4158" s="190">
        <v>0</v>
      </c>
      <c r="AI4158" s="190">
        <v>0</v>
      </c>
      <c r="AJ4158" s="531">
        <v>0.3</v>
      </c>
      <c r="AK4158" s="532">
        <v>0.3</v>
      </c>
      <c r="AL4158" s="493">
        <v>0.3</v>
      </c>
      <c r="AM4158" s="17">
        <f t="shared" si="153"/>
        <v>0.6</v>
      </c>
      <c r="AN4158" s="162" t="s">
        <v>11865</v>
      </c>
      <c r="AO4158" s="162" t="s">
        <v>11866</v>
      </c>
    </row>
    <row r="4159" spans="1:41" s="162" customFormat="1" x14ac:dyDescent="0.3">
      <c r="A4159" s="205" t="s">
        <v>8321</v>
      </c>
      <c r="B4159" s="162" t="s">
        <v>8322</v>
      </c>
      <c r="C4159" s="168" t="s">
        <v>13505</v>
      </c>
      <c r="D4159" s="162" t="s">
        <v>13506</v>
      </c>
      <c r="E4159" s="168" t="s">
        <v>13507</v>
      </c>
      <c r="F4159" s="162" t="s">
        <v>13508</v>
      </c>
      <c r="G4159" s="168">
        <v>165507</v>
      </c>
      <c r="H4159" s="162" t="s">
        <v>13513</v>
      </c>
      <c r="K4159" s="168" t="s">
        <v>15182</v>
      </c>
      <c r="L4159" s="162" t="s">
        <v>15183</v>
      </c>
      <c r="M4159" s="162" t="s">
        <v>15197</v>
      </c>
      <c r="O4159" s="226">
        <v>4</v>
      </c>
      <c r="P4159" s="229">
        <v>4</v>
      </c>
      <c r="Q4159" s="229">
        <v>4</v>
      </c>
      <c r="R4159" s="229">
        <v>4</v>
      </c>
      <c r="S4159" s="229">
        <v>4</v>
      </c>
      <c r="T4159" s="223" t="s">
        <v>11865</v>
      </c>
      <c r="U4159" t="str">
        <f>VLOOKUP(T4159,[8]Votes!$A$1:$E$234,3,FALSE)</f>
        <v>133 Office of the Director of Public Prosecutions</v>
      </c>
      <c r="V4159" s="162" t="s">
        <v>15199</v>
      </c>
      <c r="W4159" s="416">
        <v>1</v>
      </c>
      <c r="X4159" s="416">
        <v>1</v>
      </c>
      <c r="Y4159" s="416">
        <v>1</v>
      </c>
      <c r="Z4159" s="416">
        <v>1</v>
      </c>
      <c r="AA4159" s="416">
        <v>1</v>
      </c>
      <c r="AB4159" s="416">
        <v>0</v>
      </c>
      <c r="AC4159" s="150">
        <v>1</v>
      </c>
      <c r="AD4159" s="150">
        <v>1</v>
      </c>
      <c r="AE4159" s="49">
        <f t="shared" si="152"/>
        <v>0.875</v>
      </c>
      <c r="AF4159" s="485">
        <v>0</v>
      </c>
      <c r="AG4159" s="17">
        <v>0</v>
      </c>
      <c r="AH4159" s="190">
        <v>0</v>
      </c>
      <c r="AI4159" s="190">
        <v>0</v>
      </c>
      <c r="AJ4159" s="531">
        <v>0.3</v>
      </c>
      <c r="AK4159" s="532">
        <v>0.3</v>
      </c>
      <c r="AL4159" s="493">
        <v>0.3</v>
      </c>
      <c r="AM4159" s="17">
        <f t="shared" si="153"/>
        <v>0.6</v>
      </c>
      <c r="AN4159" s="162" t="s">
        <v>11865</v>
      </c>
      <c r="AO4159" s="162" t="s">
        <v>11866</v>
      </c>
    </row>
    <row r="4160" spans="1:41" s="162" customFormat="1" x14ac:dyDescent="0.3">
      <c r="A4160" s="205" t="s">
        <v>8321</v>
      </c>
      <c r="B4160" s="162" t="s">
        <v>8322</v>
      </c>
      <c r="C4160" s="168" t="s">
        <v>13505</v>
      </c>
      <c r="D4160" s="162" t="s">
        <v>13506</v>
      </c>
      <c r="E4160" s="168" t="s">
        <v>13507</v>
      </c>
      <c r="F4160" s="162" t="s">
        <v>13508</v>
      </c>
      <c r="G4160" s="168">
        <v>165507</v>
      </c>
      <c r="H4160" s="162" t="s">
        <v>13513</v>
      </c>
      <c r="K4160" s="168" t="s">
        <v>15200</v>
      </c>
      <c r="L4160" s="162" t="s">
        <v>15201</v>
      </c>
      <c r="M4160" s="162" t="s">
        <v>15202</v>
      </c>
      <c r="O4160" s="224">
        <v>50</v>
      </c>
      <c r="P4160" s="224">
        <v>60</v>
      </c>
      <c r="Q4160" s="224">
        <v>80</v>
      </c>
      <c r="R4160" s="224">
        <v>100</v>
      </c>
      <c r="S4160" s="224">
        <v>120</v>
      </c>
      <c r="T4160" s="223" t="s">
        <v>13761</v>
      </c>
      <c r="U4160" t="str">
        <f>VLOOKUP(T4160,[8]Votes!$A$1:$E$234,3,FALSE)</f>
        <v>129 Financial Intelligence Authority (FIA)</v>
      </c>
      <c r="V4160" s="162" t="s">
        <v>15203</v>
      </c>
      <c r="W4160" s="416">
        <v>1</v>
      </c>
      <c r="X4160" s="416">
        <v>1</v>
      </c>
      <c r="Y4160" s="416">
        <v>1</v>
      </c>
      <c r="Z4160" s="416">
        <v>1</v>
      </c>
      <c r="AA4160" s="416">
        <v>1</v>
      </c>
      <c r="AB4160" s="416">
        <v>0</v>
      </c>
      <c r="AC4160" s="150">
        <v>1</v>
      </c>
      <c r="AD4160" s="150">
        <v>1</v>
      </c>
      <c r="AE4160" s="49">
        <f t="shared" si="152"/>
        <v>0.875</v>
      </c>
      <c r="AF4160" s="485">
        <v>0</v>
      </c>
      <c r="AG4160" s="17">
        <v>0</v>
      </c>
      <c r="AH4160" s="485">
        <v>0.5</v>
      </c>
      <c r="AI4160" s="485">
        <v>0.6</v>
      </c>
      <c r="AJ4160" s="485">
        <v>0.8</v>
      </c>
      <c r="AK4160" s="493">
        <v>1</v>
      </c>
      <c r="AL4160" s="493">
        <v>1.2</v>
      </c>
      <c r="AM4160" s="17">
        <f t="shared" si="153"/>
        <v>2.2000000000000002</v>
      </c>
      <c r="AN4160" s="162" t="s">
        <v>13761</v>
      </c>
      <c r="AO4160" s="162" t="s">
        <v>13763</v>
      </c>
    </row>
    <row r="4161" spans="1:41" s="162" customFormat="1" x14ac:dyDescent="0.3">
      <c r="A4161" s="205" t="s">
        <v>8321</v>
      </c>
      <c r="B4161" s="162" t="s">
        <v>8322</v>
      </c>
      <c r="C4161" s="168" t="s">
        <v>13505</v>
      </c>
      <c r="D4161" s="162" t="s">
        <v>13506</v>
      </c>
      <c r="E4161" s="168" t="s">
        <v>13507</v>
      </c>
      <c r="F4161" s="162" t="s">
        <v>13508</v>
      </c>
      <c r="G4161" s="168">
        <v>165507</v>
      </c>
      <c r="H4161" s="162" t="s">
        <v>13513</v>
      </c>
      <c r="K4161" s="168" t="s">
        <v>15204</v>
      </c>
      <c r="L4161" s="162" t="s">
        <v>15205</v>
      </c>
      <c r="M4161" s="162" t="s">
        <v>15206</v>
      </c>
      <c r="O4161" s="224">
        <v>1</v>
      </c>
      <c r="P4161" s="224">
        <v>1</v>
      </c>
      <c r="Q4161" s="224"/>
      <c r="R4161" s="224"/>
      <c r="S4161" s="224"/>
      <c r="T4161" s="223" t="s">
        <v>1775</v>
      </c>
      <c r="U4161" t="str">
        <f>VLOOKUP(T4161,[8]Votes!$A$1:$E$234,3,FALSE)</f>
        <v>112 Ethics and Integrity</v>
      </c>
      <c r="V4161" s="162" t="s">
        <v>15207</v>
      </c>
      <c r="W4161" s="416">
        <v>1</v>
      </c>
      <c r="X4161" s="416">
        <v>1</v>
      </c>
      <c r="Y4161" s="416">
        <v>0</v>
      </c>
      <c r="Z4161" s="416">
        <v>1</v>
      </c>
      <c r="AA4161" s="416">
        <v>1</v>
      </c>
      <c r="AB4161" s="416">
        <v>1</v>
      </c>
      <c r="AC4161" s="150">
        <v>1</v>
      </c>
      <c r="AD4161" s="150">
        <v>1</v>
      </c>
      <c r="AE4161" s="49">
        <f t="shared" si="152"/>
        <v>0.875</v>
      </c>
      <c r="AF4161" s="485">
        <v>0</v>
      </c>
      <c r="AG4161" s="17">
        <v>0</v>
      </c>
      <c r="AH4161" s="485">
        <v>0.3</v>
      </c>
      <c r="AI4161" s="485">
        <v>0.8</v>
      </c>
      <c r="AJ4161" s="190">
        <v>0</v>
      </c>
      <c r="AK4161" s="191">
        <v>0</v>
      </c>
      <c r="AL4161" s="191">
        <v>0</v>
      </c>
      <c r="AM4161" s="17">
        <f t="shared" si="153"/>
        <v>0</v>
      </c>
      <c r="AN4161" s="162" t="s">
        <v>1775</v>
      </c>
      <c r="AO4161" s="162" t="s">
        <v>1776</v>
      </c>
    </row>
    <row r="4162" spans="1:41" s="162" customFormat="1" x14ac:dyDescent="0.3">
      <c r="A4162" s="205" t="s">
        <v>8321</v>
      </c>
      <c r="B4162" s="162" t="s">
        <v>8322</v>
      </c>
      <c r="C4162" s="168" t="s">
        <v>13505</v>
      </c>
      <c r="D4162" s="162" t="s">
        <v>13506</v>
      </c>
      <c r="E4162" s="168" t="s">
        <v>13507</v>
      </c>
      <c r="F4162" s="162" t="s">
        <v>13508</v>
      </c>
      <c r="G4162" s="168">
        <v>165507</v>
      </c>
      <c r="H4162" s="162" t="s">
        <v>13513</v>
      </c>
      <c r="K4162" s="168" t="s">
        <v>15204</v>
      </c>
      <c r="L4162" s="162" t="s">
        <v>15205</v>
      </c>
      <c r="O4162" s="224"/>
      <c r="P4162" s="224"/>
      <c r="Q4162" s="224"/>
      <c r="R4162" s="224"/>
      <c r="S4162" s="224"/>
      <c r="T4162" s="223" t="s">
        <v>7852</v>
      </c>
      <c r="U4162" t="str">
        <f>VLOOKUP(T4162,[8]Votes!$A$1:$E$234,3,FALSE)</f>
        <v>131 Auditor General</v>
      </c>
      <c r="V4162" s="162" t="s">
        <v>15208</v>
      </c>
      <c r="W4162" s="416">
        <v>1</v>
      </c>
      <c r="X4162" s="416">
        <v>1</v>
      </c>
      <c r="Y4162" s="416">
        <v>1</v>
      </c>
      <c r="Z4162" s="416">
        <v>1</v>
      </c>
      <c r="AA4162" s="416">
        <v>1</v>
      </c>
      <c r="AB4162" s="416">
        <v>0</v>
      </c>
      <c r="AC4162" s="150">
        <v>1</v>
      </c>
      <c r="AD4162" s="150">
        <v>1</v>
      </c>
      <c r="AE4162" s="49">
        <f t="shared" si="152"/>
        <v>0.875</v>
      </c>
      <c r="AF4162" s="485">
        <v>0</v>
      </c>
      <c r="AG4162" s="17">
        <v>0</v>
      </c>
      <c r="AH4162" s="485">
        <v>0.2</v>
      </c>
      <c r="AI4162" s="485">
        <v>0.2</v>
      </c>
      <c r="AJ4162" s="485">
        <v>0.2</v>
      </c>
      <c r="AK4162" s="493">
        <v>0.2</v>
      </c>
      <c r="AL4162" s="493">
        <v>0.2</v>
      </c>
      <c r="AM4162" s="17">
        <f t="shared" si="153"/>
        <v>0.4</v>
      </c>
      <c r="AN4162" s="162" t="s">
        <v>7852</v>
      </c>
      <c r="AO4162" s="162" t="s">
        <v>7854</v>
      </c>
    </row>
    <row r="4163" spans="1:41" s="162" customFormat="1" x14ac:dyDescent="0.3">
      <c r="A4163" s="205" t="s">
        <v>8321</v>
      </c>
      <c r="B4163" s="162" t="s">
        <v>8322</v>
      </c>
      <c r="C4163" s="168" t="s">
        <v>13505</v>
      </c>
      <c r="D4163" s="162" t="s">
        <v>13506</v>
      </c>
      <c r="E4163" s="168" t="s">
        <v>13507</v>
      </c>
      <c r="F4163" s="162" t="s">
        <v>13508</v>
      </c>
      <c r="G4163" s="168">
        <v>165507</v>
      </c>
      <c r="H4163" s="162" t="s">
        <v>13513</v>
      </c>
      <c r="K4163" s="168" t="s">
        <v>15204</v>
      </c>
      <c r="L4163" s="162" t="s">
        <v>15205</v>
      </c>
      <c r="M4163" s="162" t="s">
        <v>15209</v>
      </c>
      <c r="N4163" s="162">
        <v>0</v>
      </c>
      <c r="O4163" s="224">
        <v>0</v>
      </c>
      <c r="P4163" s="224">
        <v>1</v>
      </c>
      <c r="Q4163" s="224">
        <v>1</v>
      </c>
      <c r="R4163" s="224">
        <v>1</v>
      </c>
      <c r="S4163" s="224">
        <v>1</v>
      </c>
      <c r="T4163" s="223" t="s">
        <v>13776</v>
      </c>
      <c r="U4163" t="str">
        <f>VLOOKUP(T4163,[8]Votes!$A$1:$E$234,3,FALSE)</f>
        <v>305 Directorate of Government Analytical Laboratory</v>
      </c>
      <c r="V4163" s="162" t="s">
        <v>15210</v>
      </c>
      <c r="W4163" s="416">
        <v>1</v>
      </c>
      <c r="X4163" s="416">
        <v>1</v>
      </c>
      <c r="Y4163" s="416">
        <v>1</v>
      </c>
      <c r="Z4163" s="416">
        <v>1</v>
      </c>
      <c r="AA4163" s="416">
        <v>0</v>
      </c>
      <c r="AB4163" s="416">
        <v>0</v>
      </c>
      <c r="AC4163" s="150">
        <v>1</v>
      </c>
      <c r="AD4163" s="150">
        <v>1</v>
      </c>
      <c r="AE4163" s="49">
        <f t="shared" si="152"/>
        <v>0.75</v>
      </c>
      <c r="AF4163" s="485">
        <v>0</v>
      </c>
      <c r="AG4163" s="17">
        <v>0</v>
      </c>
      <c r="AH4163" s="190">
        <v>0</v>
      </c>
      <c r="AI4163" s="485">
        <v>0.15</v>
      </c>
      <c r="AJ4163" s="485">
        <v>0.2</v>
      </c>
      <c r="AK4163" s="493">
        <v>0.2</v>
      </c>
      <c r="AL4163" s="493">
        <v>0.2</v>
      </c>
      <c r="AM4163" s="17">
        <f t="shared" si="153"/>
        <v>0.4</v>
      </c>
      <c r="AN4163" s="162" t="s">
        <v>13776</v>
      </c>
      <c r="AO4163" s="162" t="s">
        <v>13778</v>
      </c>
    </row>
    <row r="4164" spans="1:41" s="162" customFormat="1" x14ac:dyDescent="0.3">
      <c r="A4164" s="205" t="s">
        <v>8321</v>
      </c>
      <c r="B4164" s="162" t="s">
        <v>8322</v>
      </c>
      <c r="C4164" s="168" t="s">
        <v>13505</v>
      </c>
      <c r="D4164" s="162" t="s">
        <v>13506</v>
      </c>
      <c r="E4164" s="168" t="s">
        <v>13507</v>
      </c>
      <c r="F4164" s="162" t="s">
        <v>13508</v>
      </c>
      <c r="G4164" s="168">
        <v>165507</v>
      </c>
      <c r="H4164" s="162" t="s">
        <v>13513</v>
      </c>
      <c r="K4164" s="168" t="s">
        <v>15211</v>
      </c>
      <c r="L4164" s="162" t="s">
        <v>15212</v>
      </c>
      <c r="O4164" s="224"/>
      <c r="P4164" s="224"/>
      <c r="Q4164" s="224"/>
      <c r="R4164" s="224"/>
      <c r="S4164" s="224"/>
      <c r="T4164" s="223" t="s">
        <v>3705</v>
      </c>
      <c r="U4164" t="str">
        <f>VLOOKUP(T4164,[8]Votes!$A$1:$E$234,3,FALSE)</f>
        <v>008 Ministry of Finance, Planning &amp; Economic Dev.</v>
      </c>
      <c r="V4164" s="162" t="s">
        <v>15213</v>
      </c>
      <c r="W4164" s="416">
        <v>1</v>
      </c>
      <c r="X4164" s="416">
        <v>1</v>
      </c>
      <c r="Y4164" s="416">
        <v>1</v>
      </c>
      <c r="Z4164" s="416">
        <v>1</v>
      </c>
      <c r="AA4164" s="416">
        <v>1</v>
      </c>
      <c r="AB4164" s="416">
        <v>0</v>
      </c>
      <c r="AC4164" s="150">
        <v>1</v>
      </c>
      <c r="AD4164" s="150">
        <v>1</v>
      </c>
      <c r="AE4164" s="49">
        <f t="shared" si="152"/>
        <v>0.875</v>
      </c>
      <c r="AF4164" s="485">
        <v>0</v>
      </c>
      <c r="AG4164" s="17">
        <v>0</v>
      </c>
      <c r="AH4164" s="485">
        <v>0.1</v>
      </c>
      <c r="AI4164" s="190">
        <v>0</v>
      </c>
      <c r="AJ4164" s="190">
        <v>0</v>
      </c>
      <c r="AK4164" s="191">
        <v>0</v>
      </c>
      <c r="AL4164" s="191">
        <v>0</v>
      </c>
      <c r="AM4164" s="17">
        <f t="shared" si="153"/>
        <v>0</v>
      </c>
      <c r="AN4164" s="162" t="s">
        <v>3705</v>
      </c>
      <c r="AO4164" s="162" t="s">
        <v>880</v>
      </c>
    </row>
    <row r="4165" spans="1:41" s="162" customFormat="1" x14ac:dyDescent="0.3">
      <c r="A4165" s="205" t="s">
        <v>8321</v>
      </c>
      <c r="B4165" s="162" t="s">
        <v>8322</v>
      </c>
      <c r="C4165" s="168" t="s">
        <v>13505</v>
      </c>
      <c r="D4165" s="162" t="s">
        <v>13506</v>
      </c>
      <c r="E4165" s="168" t="s">
        <v>13507</v>
      </c>
      <c r="F4165" s="162" t="s">
        <v>13508</v>
      </c>
      <c r="G4165" s="168">
        <v>165507</v>
      </c>
      <c r="H4165" s="162" t="s">
        <v>13513</v>
      </c>
      <c r="K4165" s="168" t="s">
        <v>15214</v>
      </c>
      <c r="L4165" s="162" t="s">
        <v>15215</v>
      </c>
      <c r="O4165" s="224"/>
      <c r="P4165" s="224"/>
      <c r="Q4165" s="224"/>
      <c r="R4165" s="224"/>
      <c r="S4165" s="224"/>
      <c r="T4165" s="223" t="s">
        <v>3705</v>
      </c>
      <c r="U4165" t="str">
        <f>VLOOKUP(T4165,[8]Votes!$A$1:$E$234,3,FALSE)</f>
        <v>008 Ministry of Finance, Planning &amp; Economic Dev.</v>
      </c>
      <c r="V4165" s="162" t="s">
        <v>15216</v>
      </c>
      <c r="W4165" s="416">
        <v>1</v>
      </c>
      <c r="X4165" s="416">
        <v>1</v>
      </c>
      <c r="Y4165" s="416">
        <v>1</v>
      </c>
      <c r="Z4165" s="416">
        <v>1</v>
      </c>
      <c r="AA4165" s="416">
        <v>1</v>
      </c>
      <c r="AB4165" s="416">
        <v>0</v>
      </c>
      <c r="AC4165" s="150">
        <v>1</v>
      </c>
      <c r="AD4165" s="150">
        <v>1</v>
      </c>
      <c r="AE4165" s="49">
        <f t="shared" si="152"/>
        <v>0.875</v>
      </c>
      <c r="AF4165" s="485">
        <v>0</v>
      </c>
      <c r="AG4165" s="17">
        <v>0</v>
      </c>
      <c r="AH4165" s="485">
        <v>0.1</v>
      </c>
      <c r="AI4165" s="190">
        <v>0</v>
      </c>
      <c r="AJ4165" s="190">
        <v>0</v>
      </c>
      <c r="AK4165" s="191">
        <v>0</v>
      </c>
      <c r="AL4165" s="191">
        <v>0</v>
      </c>
      <c r="AM4165" s="17">
        <f t="shared" si="153"/>
        <v>0</v>
      </c>
      <c r="AN4165" s="162" t="s">
        <v>3705</v>
      </c>
      <c r="AO4165" s="162" t="s">
        <v>880</v>
      </c>
    </row>
    <row r="4166" spans="1:41" s="162" customFormat="1" x14ac:dyDescent="0.3">
      <c r="A4166" s="205" t="s">
        <v>8321</v>
      </c>
      <c r="B4166" s="162" t="s">
        <v>8322</v>
      </c>
      <c r="C4166" s="168" t="s">
        <v>13505</v>
      </c>
      <c r="D4166" s="162" t="s">
        <v>13506</v>
      </c>
      <c r="E4166" s="168" t="s">
        <v>13507</v>
      </c>
      <c r="F4166" s="162" t="s">
        <v>13508</v>
      </c>
      <c r="G4166" s="168">
        <v>165507</v>
      </c>
      <c r="H4166" s="162" t="s">
        <v>13513</v>
      </c>
      <c r="K4166" s="168" t="s">
        <v>15214</v>
      </c>
      <c r="L4166" s="162" t="s">
        <v>15215</v>
      </c>
      <c r="O4166" s="224"/>
      <c r="P4166" s="224"/>
      <c r="Q4166" s="224"/>
      <c r="R4166" s="224"/>
      <c r="S4166" s="224"/>
      <c r="T4166" s="223" t="s">
        <v>3705</v>
      </c>
      <c r="U4166" t="str">
        <f>VLOOKUP(T4166,[8]Votes!$A$1:$E$234,3,FALSE)</f>
        <v>008 Ministry of Finance, Planning &amp; Economic Dev.</v>
      </c>
      <c r="V4166" s="162" t="s">
        <v>15217</v>
      </c>
      <c r="W4166" s="416">
        <v>1</v>
      </c>
      <c r="X4166" s="416">
        <v>1</v>
      </c>
      <c r="Y4166" s="416">
        <v>1</v>
      </c>
      <c r="Z4166" s="416">
        <v>1</v>
      </c>
      <c r="AA4166" s="416">
        <v>1</v>
      </c>
      <c r="AB4166" s="416">
        <v>0</v>
      </c>
      <c r="AC4166" s="150">
        <v>1</v>
      </c>
      <c r="AD4166" s="150">
        <v>1</v>
      </c>
      <c r="AE4166" s="49">
        <f t="shared" si="152"/>
        <v>0.875</v>
      </c>
      <c r="AF4166" s="485">
        <v>0</v>
      </c>
      <c r="AG4166" s="17">
        <v>0</v>
      </c>
      <c r="AH4166" s="485">
        <v>0.1</v>
      </c>
      <c r="AI4166" s="190">
        <v>0</v>
      </c>
      <c r="AJ4166" s="190">
        <v>0</v>
      </c>
      <c r="AK4166" s="191">
        <v>0</v>
      </c>
      <c r="AL4166" s="191">
        <v>0</v>
      </c>
      <c r="AM4166" s="17">
        <f t="shared" si="153"/>
        <v>0</v>
      </c>
      <c r="AN4166" s="162" t="s">
        <v>3705</v>
      </c>
      <c r="AO4166" s="162" t="s">
        <v>880</v>
      </c>
    </row>
    <row r="4167" spans="1:41" s="162" customFormat="1" x14ac:dyDescent="0.3">
      <c r="A4167" s="205" t="s">
        <v>8321</v>
      </c>
      <c r="B4167" s="162" t="s">
        <v>8322</v>
      </c>
      <c r="C4167" s="168" t="s">
        <v>13505</v>
      </c>
      <c r="D4167" s="162" t="s">
        <v>13506</v>
      </c>
      <c r="E4167" s="168" t="s">
        <v>13507</v>
      </c>
      <c r="F4167" s="162" t="s">
        <v>13508</v>
      </c>
      <c r="G4167" s="168">
        <v>165508</v>
      </c>
      <c r="H4167" s="162" t="s">
        <v>15218</v>
      </c>
      <c r="K4167" s="168" t="s">
        <v>15219</v>
      </c>
      <c r="L4167" s="162" t="s">
        <v>15108</v>
      </c>
      <c r="M4167" s="162" t="s">
        <v>15109</v>
      </c>
      <c r="O4167" s="492">
        <v>0.68</v>
      </c>
      <c r="P4167" s="492">
        <v>0.7</v>
      </c>
      <c r="Q4167" s="492">
        <v>0.72</v>
      </c>
      <c r="R4167" s="492">
        <v>0.74</v>
      </c>
      <c r="S4167" s="492">
        <v>0.76</v>
      </c>
      <c r="T4167" s="223" t="s">
        <v>7852</v>
      </c>
      <c r="U4167" t="str">
        <f>VLOOKUP(T4167,[8]Votes!$A$1:$E$234,3,FALSE)</f>
        <v>131 Auditor General</v>
      </c>
      <c r="V4167" s="162" t="s">
        <v>15110</v>
      </c>
      <c r="W4167" s="416">
        <v>1</v>
      </c>
      <c r="X4167" s="416">
        <v>1</v>
      </c>
      <c r="Y4167" s="416">
        <v>1</v>
      </c>
      <c r="Z4167" s="416">
        <v>1</v>
      </c>
      <c r="AA4167" s="416">
        <v>1</v>
      </c>
      <c r="AB4167" s="416">
        <v>0</v>
      </c>
      <c r="AC4167" s="150">
        <v>1</v>
      </c>
      <c r="AD4167" s="150">
        <v>1</v>
      </c>
      <c r="AE4167" s="49">
        <f t="shared" si="152"/>
        <v>0.875</v>
      </c>
      <c r="AF4167" s="485">
        <v>0</v>
      </c>
      <c r="AG4167" s="17">
        <v>0</v>
      </c>
      <c r="AH4167" s="485">
        <v>0.54</v>
      </c>
      <c r="AI4167" s="485">
        <v>0.61</v>
      </c>
      <c r="AJ4167" s="485">
        <v>0.62</v>
      </c>
      <c r="AK4167" s="493">
        <v>0.65</v>
      </c>
      <c r="AL4167" s="493">
        <v>0.7</v>
      </c>
      <c r="AM4167" s="17">
        <f t="shared" si="153"/>
        <v>1.35</v>
      </c>
      <c r="AN4167" s="162" t="s">
        <v>7852</v>
      </c>
      <c r="AO4167" s="162" t="s">
        <v>7854</v>
      </c>
    </row>
    <row r="4168" spans="1:41" s="162" customFormat="1" x14ac:dyDescent="0.3">
      <c r="A4168" s="205" t="s">
        <v>8321</v>
      </c>
      <c r="B4168" s="162" t="s">
        <v>8322</v>
      </c>
      <c r="C4168" s="168" t="s">
        <v>13505</v>
      </c>
      <c r="D4168" s="162" t="s">
        <v>13506</v>
      </c>
      <c r="E4168" s="168" t="s">
        <v>13507</v>
      </c>
      <c r="F4168" s="162" t="s">
        <v>13508</v>
      </c>
      <c r="G4168" s="168">
        <v>165508</v>
      </c>
      <c r="H4168" s="162" t="s">
        <v>15218</v>
      </c>
      <c r="K4168" s="168" t="s">
        <v>15219</v>
      </c>
      <c r="L4168" s="162" t="s">
        <v>15108</v>
      </c>
      <c r="M4168" s="162" t="s">
        <v>15111</v>
      </c>
      <c r="O4168" s="492">
        <v>0.9</v>
      </c>
      <c r="P4168" s="492">
        <v>0.92</v>
      </c>
      <c r="Q4168" s="492">
        <v>0.95</v>
      </c>
      <c r="R4168" s="492">
        <v>0.98</v>
      </c>
      <c r="S4168" s="492">
        <v>1</v>
      </c>
      <c r="T4168" s="223" t="s">
        <v>7852</v>
      </c>
      <c r="U4168" t="str">
        <f>VLOOKUP(T4168,[8]Votes!$A$1:$E$234,3,FALSE)</f>
        <v>131 Auditor General</v>
      </c>
      <c r="V4168" s="162" t="s">
        <v>15112</v>
      </c>
      <c r="W4168" s="416">
        <v>1</v>
      </c>
      <c r="X4168" s="416">
        <v>1</v>
      </c>
      <c r="Y4168" s="416">
        <v>1</v>
      </c>
      <c r="Z4168" s="416">
        <v>1</v>
      </c>
      <c r="AA4168" s="416">
        <v>1</v>
      </c>
      <c r="AB4168" s="416">
        <v>0</v>
      </c>
      <c r="AC4168" s="150">
        <v>1</v>
      </c>
      <c r="AD4168" s="150">
        <v>1</v>
      </c>
      <c r="AE4168" s="49">
        <f t="shared" si="152"/>
        <v>0.875</v>
      </c>
      <c r="AF4168" s="485">
        <v>0</v>
      </c>
      <c r="AG4168" s="17">
        <v>0</v>
      </c>
      <c r="AH4168" s="485">
        <v>9.4</v>
      </c>
      <c r="AI4168" s="485">
        <v>9.84</v>
      </c>
      <c r="AJ4168" s="485">
        <v>10.33</v>
      </c>
      <c r="AK4168" s="493">
        <v>11.5</v>
      </c>
      <c r="AL4168" s="493">
        <v>11.8</v>
      </c>
      <c r="AM4168" s="17">
        <f t="shared" si="153"/>
        <v>23.3</v>
      </c>
      <c r="AN4168" s="162" t="s">
        <v>7852</v>
      </c>
      <c r="AO4168" s="162" t="s">
        <v>7854</v>
      </c>
    </row>
    <row r="4169" spans="1:41" s="162" customFormat="1" x14ac:dyDescent="0.3">
      <c r="A4169" s="205" t="s">
        <v>8321</v>
      </c>
      <c r="B4169" s="162" t="s">
        <v>8322</v>
      </c>
      <c r="C4169" s="168" t="s">
        <v>13505</v>
      </c>
      <c r="D4169" s="162" t="s">
        <v>13506</v>
      </c>
      <c r="E4169" s="168" t="s">
        <v>13507</v>
      </c>
      <c r="F4169" s="162" t="s">
        <v>13508</v>
      </c>
      <c r="G4169" s="168">
        <v>165508</v>
      </c>
      <c r="H4169" s="162" t="s">
        <v>15218</v>
      </c>
      <c r="K4169" s="168" t="s">
        <v>15219</v>
      </c>
      <c r="L4169" s="162" t="s">
        <v>15108</v>
      </c>
      <c r="M4169" s="162" t="s">
        <v>15113</v>
      </c>
      <c r="O4169" s="492">
        <v>0.1</v>
      </c>
      <c r="P4169" s="492">
        <v>0.12</v>
      </c>
      <c r="Q4169" s="492">
        <v>0.5</v>
      </c>
      <c r="R4169" s="492">
        <v>0.75</v>
      </c>
      <c r="S4169" s="492">
        <v>0.8</v>
      </c>
      <c r="T4169" s="223" t="s">
        <v>7852</v>
      </c>
      <c r="U4169" t="str">
        <f>VLOOKUP(T4169,[8]Votes!$A$1:$E$234,3,FALSE)</f>
        <v>131 Auditor General</v>
      </c>
      <c r="V4169" s="162" t="s">
        <v>15112</v>
      </c>
      <c r="W4169" s="416">
        <v>1</v>
      </c>
      <c r="X4169" s="416">
        <v>1</v>
      </c>
      <c r="Y4169" s="416">
        <v>1</v>
      </c>
      <c r="Z4169" s="416">
        <v>1</v>
      </c>
      <c r="AA4169" s="416">
        <v>1</v>
      </c>
      <c r="AB4169" s="416">
        <v>0</v>
      </c>
      <c r="AC4169" s="150">
        <v>1</v>
      </c>
      <c r="AD4169" s="150">
        <v>1</v>
      </c>
      <c r="AE4169" s="49">
        <f t="shared" si="152"/>
        <v>0.875</v>
      </c>
      <c r="AF4169" s="485">
        <v>0</v>
      </c>
      <c r="AG4169" s="17">
        <v>0</v>
      </c>
      <c r="AH4169" s="190">
        <v>0</v>
      </c>
      <c r="AI4169" s="190">
        <v>0</v>
      </c>
      <c r="AJ4169" s="190">
        <v>0</v>
      </c>
      <c r="AK4169" s="191">
        <v>0</v>
      </c>
      <c r="AL4169" s="191">
        <v>0</v>
      </c>
      <c r="AM4169" s="17">
        <f t="shared" si="153"/>
        <v>0</v>
      </c>
      <c r="AN4169" s="162" t="s">
        <v>7852</v>
      </c>
      <c r="AO4169" s="162" t="s">
        <v>7854</v>
      </c>
    </row>
    <row r="4170" spans="1:41" s="162" customFormat="1" x14ac:dyDescent="0.3">
      <c r="A4170" s="205" t="s">
        <v>8321</v>
      </c>
      <c r="B4170" s="162" t="s">
        <v>8322</v>
      </c>
      <c r="C4170" s="168" t="s">
        <v>13505</v>
      </c>
      <c r="D4170" s="162" t="s">
        <v>13506</v>
      </c>
      <c r="E4170" s="168" t="s">
        <v>13507</v>
      </c>
      <c r="F4170" s="162" t="s">
        <v>13508</v>
      </c>
      <c r="G4170" s="168">
        <v>165508</v>
      </c>
      <c r="H4170" s="162" t="s">
        <v>15218</v>
      </c>
      <c r="K4170" s="168" t="s">
        <v>15219</v>
      </c>
      <c r="L4170" s="162" t="s">
        <v>15108</v>
      </c>
      <c r="M4170" s="162" t="s">
        <v>15114</v>
      </c>
      <c r="O4170" s="492">
        <v>0.65</v>
      </c>
      <c r="P4170" s="492">
        <v>0.7</v>
      </c>
      <c r="Q4170" s="492">
        <v>0.8</v>
      </c>
      <c r="R4170" s="492">
        <v>0.9</v>
      </c>
      <c r="S4170" s="492">
        <v>0.9</v>
      </c>
      <c r="T4170" s="223" t="s">
        <v>7852</v>
      </c>
      <c r="U4170" t="str">
        <f>VLOOKUP(T4170,[8]Votes!$A$1:$E$234,3,FALSE)</f>
        <v>131 Auditor General</v>
      </c>
      <c r="V4170" s="162" t="s">
        <v>15115</v>
      </c>
      <c r="W4170" s="416">
        <v>1</v>
      </c>
      <c r="X4170" s="416">
        <v>1</v>
      </c>
      <c r="Y4170" s="416">
        <v>1</v>
      </c>
      <c r="Z4170" s="416">
        <v>1</v>
      </c>
      <c r="AA4170" s="416">
        <v>1</v>
      </c>
      <c r="AB4170" s="416">
        <v>0</v>
      </c>
      <c r="AC4170" s="150">
        <v>1</v>
      </c>
      <c r="AD4170" s="150">
        <v>1</v>
      </c>
      <c r="AE4170" s="49">
        <f t="shared" si="152"/>
        <v>0.875</v>
      </c>
      <c r="AF4170" s="485">
        <v>0</v>
      </c>
      <c r="AG4170" s="17">
        <v>0</v>
      </c>
      <c r="AH4170" s="485">
        <v>0.54</v>
      </c>
      <c r="AI4170" s="485">
        <v>0.78</v>
      </c>
      <c r="AJ4170" s="485">
        <v>0.91</v>
      </c>
      <c r="AK4170" s="493">
        <v>0.53</v>
      </c>
      <c r="AL4170" s="493">
        <v>0.33</v>
      </c>
      <c r="AM4170" s="17">
        <f t="shared" si="153"/>
        <v>0.8600000000000001</v>
      </c>
      <c r="AN4170" s="162" t="s">
        <v>7852</v>
      </c>
      <c r="AO4170" s="162" t="s">
        <v>7854</v>
      </c>
    </row>
    <row r="4171" spans="1:41" s="162" customFormat="1" x14ac:dyDescent="0.3">
      <c r="A4171" s="205" t="s">
        <v>8321</v>
      </c>
      <c r="B4171" s="162" t="s">
        <v>8322</v>
      </c>
      <c r="C4171" s="168" t="s">
        <v>13505</v>
      </c>
      <c r="D4171" s="162" t="s">
        <v>13506</v>
      </c>
      <c r="E4171" s="168" t="s">
        <v>13507</v>
      </c>
      <c r="F4171" s="162" t="s">
        <v>13508</v>
      </c>
      <c r="G4171" s="168">
        <v>165508</v>
      </c>
      <c r="H4171" s="162" t="s">
        <v>15218</v>
      </c>
      <c r="K4171" s="168" t="s">
        <v>15219</v>
      </c>
      <c r="L4171" s="162" t="s">
        <v>15108</v>
      </c>
      <c r="M4171" s="162" t="s">
        <v>15116</v>
      </c>
      <c r="O4171" s="492">
        <v>0.25</v>
      </c>
      <c r="P4171" s="492">
        <v>0.3</v>
      </c>
      <c r="Q4171" s="492">
        <v>0.35</v>
      </c>
      <c r="R4171" s="492">
        <v>0.4</v>
      </c>
      <c r="S4171" s="492">
        <v>0.45</v>
      </c>
      <c r="T4171" s="223" t="s">
        <v>7852</v>
      </c>
      <c r="U4171" t="str">
        <f>VLOOKUP(T4171,[8]Votes!$A$1:$E$234,3,FALSE)</f>
        <v>131 Auditor General</v>
      </c>
      <c r="V4171" s="162" t="s">
        <v>15115</v>
      </c>
      <c r="W4171" s="416">
        <v>1</v>
      </c>
      <c r="X4171" s="416">
        <v>1</v>
      </c>
      <c r="Y4171" s="416">
        <v>1</v>
      </c>
      <c r="Z4171" s="416">
        <v>1</v>
      </c>
      <c r="AA4171" s="416">
        <v>1</v>
      </c>
      <c r="AB4171" s="416">
        <v>0</v>
      </c>
      <c r="AC4171" s="150">
        <v>1</v>
      </c>
      <c r="AD4171" s="150">
        <v>1</v>
      </c>
      <c r="AE4171" s="49">
        <f t="shared" si="152"/>
        <v>0.875</v>
      </c>
      <c r="AF4171" s="485">
        <v>0</v>
      </c>
      <c r="AG4171" s="17">
        <v>0</v>
      </c>
      <c r="AH4171" s="190">
        <v>0</v>
      </c>
      <c r="AI4171" s="190">
        <v>0</v>
      </c>
      <c r="AJ4171" s="190">
        <v>0</v>
      </c>
      <c r="AK4171" s="191">
        <v>0</v>
      </c>
      <c r="AL4171" s="191">
        <v>0</v>
      </c>
      <c r="AM4171" s="17">
        <f t="shared" si="153"/>
        <v>0</v>
      </c>
      <c r="AN4171" s="162" t="s">
        <v>7852</v>
      </c>
      <c r="AO4171" s="162" t="s">
        <v>7854</v>
      </c>
    </row>
    <row r="4172" spans="1:41" s="162" customFormat="1" x14ac:dyDescent="0.3">
      <c r="A4172" s="205" t="s">
        <v>8321</v>
      </c>
      <c r="B4172" s="162" t="s">
        <v>8322</v>
      </c>
      <c r="C4172" s="168" t="s">
        <v>13505</v>
      </c>
      <c r="D4172" s="162" t="s">
        <v>13506</v>
      </c>
      <c r="E4172" s="168" t="s">
        <v>13507</v>
      </c>
      <c r="F4172" s="162" t="s">
        <v>13508</v>
      </c>
      <c r="G4172" s="168">
        <v>165508</v>
      </c>
      <c r="H4172" s="162" t="s">
        <v>15218</v>
      </c>
      <c r="K4172" s="168" t="s">
        <v>15219</v>
      </c>
      <c r="L4172" s="162" t="s">
        <v>15108</v>
      </c>
      <c r="M4172" s="162" t="s">
        <v>15117</v>
      </c>
      <c r="O4172" s="492">
        <v>0.35</v>
      </c>
      <c r="P4172" s="492">
        <v>0.4</v>
      </c>
      <c r="Q4172" s="492">
        <v>0.45</v>
      </c>
      <c r="R4172" s="492">
        <v>0.5</v>
      </c>
      <c r="S4172" s="492">
        <v>0.6</v>
      </c>
      <c r="T4172" s="223" t="s">
        <v>7852</v>
      </c>
      <c r="U4172" t="str">
        <f>VLOOKUP(T4172,[8]Votes!$A$1:$E$234,3,FALSE)</f>
        <v>131 Auditor General</v>
      </c>
      <c r="V4172" s="162" t="s">
        <v>15115</v>
      </c>
      <c r="W4172" s="416">
        <v>1</v>
      </c>
      <c r="X4172" s="416">
        <v>1</v>
      </c>
      <c r="Y4172" s="416">
        <v>1</v>
      </c>
      <c r="Z4172" s="416">
        <v>1</v>
      </c>
      <c r="AA4172" s="416">
        <v>1</v>
      </c>
      <c r="AB4172" s="416">
        <v>0</v>
      </c>
      <c r="AC4172" s="150">
        <v>1</v>
      </c>
      <c r="AD4172" s="150">
        <v>1</v>
      </c>
      <c r="AE4172" s="49">
        <f t="shared" si="152"/>
        <v>0.875</v>
      </c>
      <c r="AF4172" s="485">
        <v>0</v>
      </c>
      <c r="AG4172" s="17">
        <v>0</v>
      </c>
      <c r="AH4172" s="190">
        <v>0</v>
      </c>
      <c r="AI4172" s="190">
        <v>0</v>
      </c>
      <c r="AJ4172" s="190">
        <v>0</v>
      </c>
      <c r="AK4172" s="191">
        <v>0</v>
      </c>
      <c r="AL4172" s="191">
        <v>0</v>
      </c>
      <c r="AM4172" s="17">
        <f t="shared" si="153"/>
        <v>0</v>
      </c>
      <c r="AN4172" s="162" t="s">
        <v>7852</v>
      </c>
      <c r="AO4172" s="162" t="s">
        <v>7854</v>
      </c>
    </row>
    <row r="4173" spans="1:41" s="162" customFormat="1" x14ac:dyDescent="0.3">
      <c r="A4173" s="205" t="s">
        <v>8321</v>
      </c>
      <c r="B4173" s="162" t="s">
        <v>8322</v>
      </c>
      <c r="C4173" s="168" t="s">
        <v>13505</v>
      </c>
      <c r="D4173" s="162" t="s">
        <v>13506</v>
      </c>
      <c r="E4173" s="168" t="s">
        <v>13507</v>
      </c>
      <c r="F4173" s="162" t="s">
        <v>13508</v>
      </c>
      <c r="G4173" s="168">
        <v>165508</v>
      </c>
      <c r="H4173" s="162" t="s">
        <v>15218</v>
      </c>
      <c r="K4173" s="168" t="s">
        <v>15219</v>
      </c>
      <c r="L4173" s="162" t="s">
        <v>15108</v>
      </c>
      <c r="M4173" s="162" t="s">
        <v>15118</v>
      </c>
      <c r="O4173" s="224">
        <v>42</v>
      </c>
      <c r="P4173" s="224">
        <v>46</v>
      </c>
      <c r="Q4173" s="224">
        <v>55</v>
      </c>
      <c r="R4173" s="224">
        <v>60</v>
      </c>
      <c r="S4173" s="224">
        <v>63</v>
      </c>
      <c r="T4173" s="223" t="s">
        <v>7852</v>
      </c>
      <c r="U4173" t="str">
        <f>VLOOKUP(T4173,[8]Votes!$A$1:$E$234,3,FALSE)</f>
        <v>131 Auditor General</v>
      </c>
      <c r="V4173" s="162" t="s">
        <v>15119</v>
      </c>
      <c r="W4173" s="416">
        <v>1</v>
      </c>
      <c r="X4173" s="416">
        <v>1</v>
      </c>
      <c r="Y4173" s="416">
        <v>1</v>
      </c>
      <c r="Z4173" s="416">
        <v>1</v>
      </c>
      <c r="AA4173" s="416">
        <v>1</v>
      </c>
      <c r="AB4173" s="416">
        <v>0</v>
      </c>
      <c r="AC4173" s="150">
        <v>1</v>
      </c>
      <c r="AD4173" s="150">
        <v>1</v>
      </c>
      <c r="AE4173" s="49">
        <f t="shared" si="152"/>
        <v>0.875</v>
      </c>
      <c r="AF4173" s="485">
        <v>0</v>
      </c>
      <c r="AG4173" s="17">
        <v>0</v>
      </c>
      <c r="AH4173" s="485">
        <v>4.2</v>
      </c>
      <c r="AI4173" s="485">
        <v>4.4000000000000004</v>
      </c>
      <c r="AJ4173" s="485">
        <v>4.8</v>
      </c>
      <c r="AK4173" s="493">
        <v>5.2</v>
      </c>
      <c r="AL4173" s="493">
        <v>5.5</v>
      </c>
      <c r="AM4173" s="17">
        <f t="shared" si="153"/>
        <v>10.7</v>
      </c>
      <c r="AN4173" s="162" t="s">
        <v>7852</v>
      </c>
      <c r="AO4173" s="162" t="s">
        <v>7854</v>
      </c>
    </row>
    <row r="4174" spans="1:41" s="162" customFormat="1" x14ac:dyDescent="0.3">
      <c r="A4174" s="205" t="s">
        <v>8321</v>
      </c>
      <c r="B4174" s="162" t="s">
        <v>8322</v>
      </c>
      <c r="C4174" s="168" t="s">
        <v>13505</v>
      </c>
      <c r="D4174" s="162" t="s">
        <v>13506</v>
      </c>
      <c r="E4174" s="168" t="s">
        <v>13507</v>
      </c>
      <c r="F4174" s="162" t="s">
        <v>13508</v>
      </c>
      <c r="G4174" s="168">
        <v>165508</v>
      </c>
      <c r="H4174" s="162" t="s">
        <v>15218</v>
      </c>
      <c r="K4174" s="168" t="s">
        <v>15219</v>
      </c>
      <c r="L4174" s="162" t="s">
        <v>15108</v>
      </c>
      <c r="M4174" s="162" t="s">
        <v>15120</v>
      </c>
      <c r="O4174" s="226"/>
      <c r="P4174" s="492">
        <v>0.4</v>
      </c>
      <c r="Q4174" s="224"/>
      <c r="R4174" s="224"/>
      <c r="S4174" s="492">
        <v>0.5</v>
      </c>
      <c r="T4174" s="223" t="s">
        <v>7852</v>
      </c>
      <c r="U4174" t="str">
        <f>VLOOKUP(T4174,[8]Votes!$A$1:$E$234,3,FALSE)</f>
        <v>131 Auditor General</v>
      </c>
      <c r="V4174" s="162" t="s">
        <v>15119</v>
      </c>
      <c r="W4174" s="416">
        <v>1</v>
      </c>
      <c r="X4174" s="416">
        <v>1</v>
      </c>
      <c r="Y4174" s="416">
        <v>1</v>
      </c>
      <c r="Z4174" s="416">
        <v>1</v>
      </c>
      <c r="AA4174" s="416">
        <v>1</v>
      </c>
      <c r="AB4174" s="416">
        <v>0</v>
      </c>
      <c r="AC4174" s="150">
        <v>1</v>
      </c>
      <c r="AD4174" s="150">
        <v>1</v>
      </c>
      <c r="AE4174" s="49">
        <f t="shared" si="152"/>
        <v>0.875</v>
      </c>
      <c r="AF4174" s="485">
        <v>0</v>
      </c>
      <c r="AG4174" s="17">
        <v>0</v>
      </c>
      <c r="AH4174" s="190">
        <v>0</v>
      </c>
      <c r="AI4174" s="190">
        <v>0</v>
      </c>
      <c r="AJ4174" s="190">
        <v>0</v>
      </c>
      <c r="AK4174" s="191">
        <v>0</v>
      </c>
      <c r="AL4174" s="191">
        <v>0</v>
      </c>
      <c r="AM4174" s="17">
        <f t="shared" si="153"/>
        <v>0</v>
      </c>
      <c r="AN4174" s="162" t="s">
        <v>7852</v>
      </c>
      <c r="AO4174" s="162" t="s">
        <v>7854</v>
      </c>
    </row>
    <row r="4175" spans="1:41" s="162" customFormat="1" x14ac:dyDescent="0.3">
      <c r="A4175" s="205" t="s">
        <v>8321</v>
      </c>
      <c r="B4175" s="162" t="s">
        <v>8322</v>
      </c>
      <c r="C4175" s="168" t="s">
        <v>13505</v>
      </c>
      <c r="D4175" s="162" t="s">
        <v>13506</v>
      </c>
      <c r="E4175" s="168" t="s">
        <v>13507</v>
      </c>
      <c r="F4175" s="162" t="s">
        <v>13508</v>
      </c>
      <c r="G4175" s="168">
        <v>165508</v>
      </c>
      <c r="H4175" s="162" t="s">
        <v>15218</v>
      </c>
      <c r="K4175" s="168" t="s">
        <v>15219</v>
      </c>
      <c r="L4175" s="162" t="s">
        <v>15108</v>
      </c>
      <c r="M4175" s="162" t="s">
        <v>15121</v>
      </c>
      <c r="O4175" s="224">
        <v>4</v>
      </c>
      <c r="P4175" s="224">
        <v>6</v>
      </c>
      <c r="Q4175" s="224">
        <v>8</v>
      </c>
      <c r="R4175" s="224">
        <v>8</v>
      </c>
      <c r="S4175" s="224">
        <v>8</v>
      </c>
      <c r="T4175" s="223" t="s">
        <v>7852</v>
      </c>
      <c r="U4175" t="str">
        <f>VLOOKUP(T4175,[8]Votes!$A$1:$E$234,3,FALSE)</f>
        <v>131 Auditor General</v>
      </c>
      <c r="V4175" s="162" t="s">
        <v>15122</v>
      </c>
      <c r="W4175" s="416">
        <v>1</v>
      </c>
      <c r="X4175" s="416">
        <v>1</v>
      </c>
      <c r="Y4175" s="416">
        <v>1</v>
      </c>
      <c r="Z4175" s="416">
        <v>1</v>
      </c>
      <c r="AA4175" s="416">
        <v>1</v>
      </c>
      <c r="AB4175" s="416">
        <v>0</v>
      </c>
      <c r="AC4175" s="150">
        <v>1</v>
      </c>
      <c r="AD4175" s="150">
        <v>1</v>
      </c>
      <c r="AE4175" s="49">
        <f t="shared" si="152"/>
        <v>0.875</v>
      </c>
      <c r="AF4175" s="485">
        <v>0</v>
      </c>
      <c r="AG4175" s="17">
        <v>0</v>
      </c>
      <c r="AH4175" s="485">
        <v>0.22</v>
      </c>
      <c r="AI4175" s="485">
        <v>0.35</v>
      </c>
      <c r="AJ4175" s="485">
        <v>0.44</v>
      </c>
      <c r="AK4175" s="493">
        <v>0.47</v>
      </c>
      <c r="AL4175" s="493">
        <v>0.52</v>
      </c>
      <c r="AM4175" s="17">
        <f t="shared" si="153"/>
        <v>0.99</v>
      </c>
      <c r="AN4175" s="162" t="s">
        <v>7852</v>
      </c>
      <c r="AO4175" s="162" t="s">
        <v>7854</v>
      </c>
    </row>
    <row r="4176" spans="1:41" s="162" customFormat="1" x14ac:dyDescent="0.3">
      <c r="A4176" s="205" t="s">
        <v>8321</v>
      </c>
      <c r="B4176" s="162" t="s">
        <v>8322</v>
      </c>
      <c r="C4176" s="168" t="s">
        <v>13505</v>
      </c>
      <c r="D4176" s="162" t="s">
        <v>13506</v>
      </c>
      <c r="E4176" s="168" t="s">
        <v>13507</v>
      </c>
      <c r="F4176" s="162" t="s">
        <v>13508</v>
      </c>
      <c r="G4176" s="168">
        <v>165508</v>
      </c>
      <c r="H4176" s="162" t="s">
        <v>15218</v>
      </c>
      <c r="K4176" s="168" t="s">
        <v>15219</v>
      </c>
      <c r="L4176" s="162" t="s">
        <v>15108</v>
      </c>
      <c r="M4176" s="162" t="s">
        <v>15123</v>
      </c>
      <c r="O4176" s="224">
        <v>2</v>
      </c>
      <c r="P4176" s="224">
        <v>2</v>
      </c>
      <c r="Q4176" s="224">
        <v>3</v>
      </c>
      <c r="R4176" s="224">
        <v>4</v>
      </c>
      <c r="S4176" s="224">
        <v>6</v>
      </c>
      <c r="T4176" s="223" t="s">
        <v>7852</v>
      </c>
      <c r="U4176" t="str">
        <f>VLOOKUP(T4176,[8]Votes!$A$1:$E$234,3,FALSE)</f>
        <v>131 Auditor General</v>
      </c>
      <c r="V4176" s="162" t="s">
        <v>15122</v>
      </c>
      <c r="W4176" s="416">
        <v>1</v>
      </c>
      <c r="X4176" s="416">
        <v>1</v>
      </c>
      <c r="Y4176" s="416">
        <v>1</v>
      </c>
      <c r="Z4176" s="416">
        <v>1</v>
      </c>
      <c r="AA4176" s="416">
        <v>1</v>
      </c>
      <c r="AB4176" s="416">
        <v>0</v>
      </c>
      <c r="AC4176" s="150">
        <v>1</v>
      </c>
      <c r="AD4176" s="150">
        <v>1</v>
      </c>
      <c r="AE4176" s="49">
        <f t="shared" si="152"/>
        <v>0.875</v>
      </c>
      <c r="AF4176" s="485">
        <v>0</v>
      </c>
      <c r="AG4176" s="17">
        <v>0</v>
      </c>
      <c r="AH4176" s="190">
        <v>0</v>
      </c>
      <c r="AI4176" s="190">
        <v>0</v>
      </c>
      <c r="AJ4176" s="190">
        <v>0</v>
      </c>
      <c r="AK4176" s="191">
        <v>0</v>
      </c>
      <c r="AL4176" s="191">
        <v>0</v>
      </c>
      <c r="AM4176" s="17">
        <f t="shared" si="153"/>
        <v>0</v>
      </c>
      <c r="AN4176" s="162" t="s">
        <v>7852</v>
      </c>
      <c r="AO4176" s="162" t="s">
        <v>7854</v>
      </c>
    </row>
    <row r="4177" spans="1:42" s="162" customFormat="1" x14ac:dyDescent="0.3">
      <c r="A4177" s="205" t="s">
        <v>8321</v>
      </c>
      <c r="B4177" s="162" t="s">
        <v>8322</v>
      </c>
      <c r="C4177" s="168" t="s">
        <v>13505</v>
      </c>
      <c r="D4177" s="162" t="s">
        <v>13506</v>
      </c>
      <c r="E4177" s="168" t="s">
        <v>13507</v>
      </c>
      <c r="F4177" s="162" t="s">
        <v>13508</v>
      </c>
      <c r="G4177" s="168">
        <v>165508</v>
      </c>
      <c r="H4177" s="162" t="s">
        <v>15218</v>
      </c>
      <c r="K4177" s="168" t="s">
        <v>15219</v>
      </c>
      <c r="L4177" s="162" t="s">
        <v>15108</v>
      </c>
      <c r="M4177" s="162" t="s">
        <v>15124</v>
      </c>
      <c r="O4177" s="226"/>
      <c r="P4177" s="224"/>
      <c r="Q4177" s="224">
        <v>1</v>
      </c>
      <c r="R4177" s="224">
        <v>2</v>
      </c>
      <c r="S4177" s="224">
        <v>3</v>
      </c>
      <c r="T4177" s="223" t="s">
        <v>7852</v>
      </c>
      <c r="U4177" t="str">
        <f>VLOOKUP(T4177,[8]Votes!$A$1:$E$234,3,FALSE)</f>
        <v>131 Auditor General</v>
      </c>
      <c r="V4177" s="162" t="s">
        <v>15122</v>
      </c>
      <c r="W4177" s="416">
        <v>1</v>
      </c>
      <c r="X4177" s="416">
        <v>1</v>
      </c>
      <c r="Y4177" s="416">
        <v>1</v>
      </c>
      <c r="Z4177" s="416">
        <v>1</v>
      </c>
      <c r="AA4177" s="416">
        <v>1</v>
      </c>
      <c r="AB4177" s="416">
        <v>0</v>
      </c>
      <c r="AC4177" s="150">
        <v>1</v>
      </c>
      <c r="AD4177" s="150">
        <v>1</v>
      </c>
      <c r="AE4177" s="49">
        <f t="shared" si="152"/>
        <v>0.875</v>
      </c>
      <c r="AF4177" s="485">
        <v>0</v>
      </c>
      <c r="AG4177" s="17">
        <v>0</v>
      </c>
      <c r="AH4177" s="190">
        <v>0</v>
      </c>
      <c r="AI4177" s="190">
        <v>0</v>
      </c>
      <c r="AJ4177" s="190">
        <v>0</v>
      </c>
      <c r="AK4177" s="191">
        <v>0</v>
      </c>
      <c r="AL4177" s="191">
        <v>0</v>
      </c>
      <c r="AM4177" s="17">
        <f t="shared" si="153"/>
        <v>0</v>
      </c>
      <c r="AN4177" s="162" t="s">
        <v>7852</v>
      </c>
      <c r="AO4177" s="162" t="s">
        <v>7854</v>
      </c>
    </row>
    <row r="4178" spans="1:42" s="162" customFormat="1" x14ac:dyDescent="0.3">
      <c r="A4178" s="205" t="s">
        <v>8321</v>
      </c>
      <c r="B4178" s="162" t="s">
        <v>8322</v>
      </c>
      <c r="C4178" s="168" t="s">
        <v>13505</v>
      </c>
      <c r="D4178" s="162" t="s">
        <v>13506</v>
      </c>
      <c r="E4178" s="168" t="s">
        <v>13507</v>
      </c>
      <c r="F4178" s="162" t="s">
        <v>13508</v>
      </c>
      <c r="G4178" s="168">
        <v>165508</v>
      </c>
      <c r="H4178" s="162" t="s">
        <v>15218</v>
      </c>
      <c r="K4178" s="168" t="s">
        <v>15219</v>
      </c>
      <c r="L4178" s="162" t="s">
        <v>15108</v>
      </c>
      <c r="M4178" s="162" t="s">
        <v>15125</v>
      </c>
      <c r="O4178" s="224">
        <v>12</v>
      </c>
      <c r="P4178" s="224">
        <v>12</v>
      </c>
      <c r="Q4178" s="224">
        <v>16</v>
      </c>
      <c r="R4178" s="224">
        <v>18</v>
      </c>
      <c r="S4178" s="224">
        <v>20</v>
      </c>
      <c r="T4178" s="223" t="s">
        <v>7852</v>
      </c>
      <c r="U4178" t="str">
        <f>VLOOKUP(T4178,[8]Votes!$A$1:$E$234,3,FALSE)</f>
        <v>131 Auditor General</v>
      </c>
      <c r="V4178" s="162" t="s">
        <v>15126</v>
      </c>
      <c r="W4178" s="416">
        <v>1</v>
      </c>
      <c r="X4178" s="416">
        <v>1</v>
      </c>
      <c r="Y4178" s="416">
        <v>1</v>
      </c>
      <c r="Z4178" s="416">
        <v>1</v>
      </c>
      <c r="AA4178" s="416">
        <v>1</v>
      </c>
      <c r="AB4178" s="416">
        <v>0</v>
      </c>
      <c r="AC4178" s="150">
        <v>1</v>
      </c>
      <c r="AD4178" s="150">
        <v>1</v>
      </c>
      <c r="AE4178" s="49">
        <f t="shared" si="152"/>
        <v>0.875</v>
      </c>
      <c r="AF4178" s="485">
        <v>0</v>
      </c>
      <c r="AG4178" s="17">
        <v>0</v>
      </c>
      <c r="AH4178" s="485">
        <v>1.3</v>
      </c>
      <c r="AI4178" s="485">
        <v>3.1</v>
      </c>
      <c r="AJ4178" s="485">
        <v>1.8</v>
      </c>
      <c r="AK4178" s="493">
        <v>2</v>
      </c>
      <c r="AL4178" s="493">
        <v>2.2000000000000002</v>
      </c>
      <c r="AM4178" s="17">
        <f t="shared" si="153"/>
        <v>4.2</v>
      </c>
      <c r="AN4178" s="162" t="s">
        <v>7852</v>
      </c>
      <c r="AO4178" s="162" t="s">
        <v>7854</v>
      </c>
    </row>
    <row r="4179" spans="1:42" s="162" customFormat="1" x14ac:dyDescent="0.3">
      <c r="A4179" s="205" t="s">
        <v>8321</v>
      </c>
      <c r="B4179" s="162" t="s">
        <v>8322</v>
      </c>
      <c r="C4179" s="168" t="s">
        <v>13505</v>
      </c>
      <c r="D4179" s="162" t="s">
        <v>13506</v>
      </c>
      <c r="E4179" s="168" t="s">
        <v>13507</v>
      </c>
      <c r="F4179" s="162" t="s">
        <v>13508</v>
      </c>
      <c r="G4179" s="168">
        <v>165508</v>
      </c>
      <c r="H4179" s="162" t="s">
        <v>15218</v>
      </c>
      <c r="K4179" s="168" t="s">
        <v>15219</v>
      </c>
      <c r="L4179" s="162" t="s">
        <v>15108</v>
      </c>
      <c r="M4179" s="162" t="s">
        <v>15127</v>
      </c>
      <c r="O4179" s="224"/>
      <c r="P4179" s="224"/>
      <c r="Q4179" s="492">
        <v>0.7</v>
      </c>
      <c r="R4179" s="492">
        <v>0.75</v>
      </c>
      <c r="S4179" s="492">
        <v>0.8</v>
      </c>
      <c r="T4179" s="223" t="s">
        <v>7852</v>
      </c>
      <c r="U4179" t="str">
        <f>VLOOKUP(T4179,[8]Votes!$A$1:$E$234,3,FALSE)</f>
        <v>131 Auditor General</v>
      </c>
      <c r="V4179" s="162" t="s">
        <v>15126</v>
      </c>
      <c r="W4179" s="416">
        <v>1</v>
      </c>
      <c r="X4179" s="416">
        <v>1</v>
      </c>
      <c r="Y4179" s="416">
        <v>1</v>
      </c>
      <c r="Z4179" s="416">
        <v>1</v>
      </c>
      <c r="AA4179" s="416">
        <v>1</v>
      </c>
      <c r="AB4179" s="416">
        <v>0</v>
      </c>
      <c r="AC4179" s="150">
        <v>1</v>
      </c>
      <c r="AD4179" s="150">
        <v>1</v>
      </c>
      <c r="AE4179" s="49">
        <f t="shared" si="152"/>
        <v>0.875</v>
      </c>
      <c r="AF4179" s="485">
        <v>0</v>
      </c>
      <c r="AG4179" s="17">
        <v>0</v>
      </c>
      <c r="AH4179" s="190">
        <v>0</v>
      </c>
      <c r="AI4179" s="190">
        <v>0</v>
      </c>
      <c r="AJ4179" s="190">
        <v>0</v>
      </c>
      <c r="AK4179" s="191">
        <v>0</v>
      </c>
      <c r="AL4179" s="191">
        <v>0</v>
      </c>
      <c r="AM4179" s="17">
        <f t="shared" si="153"/>
        <v>0</v>
      </c>
      <c r="AN4179" s="162" t="s">
        <v>7852</v>
      </c>
      <c r="AO4179" s="162" t="s">
        <v>7854</v>
      </c>
    </row>
    <row r="4180" spans="1:42" s="162" customFormat="1" x14ac:dyDescent="0.3">
      <c r="A4180" s="205" t="s">
        <v>8321</v>
      </c>
      <c r="B4180" s="162" t="s">
        <v>8322</v>
      </c>
      <c r="C4180" s="168" t="s">
        <v>13505</v>
      </c>
      <c r="D4180" s="162" t="s">
        <v>13506</v>
      </c>
      <c r="E4180" s="168" t="s">
        <v>13507</v>
      </c>
      <c r="F4180" s="162" t="s">
        <v>13508</v>
      </c>
      <c r="G4180" s="168">
        <v>165508</v>
      </c>
      <c r="H4180" s="162" t="s">
        <v>15218</v>
      </c>
      <c r="K4180" s="168" t="s">
        <v>15219</v>
      </c>
      <c r="L4180" s="162" t="s">
        <v>15108</v>
      </c>
      <c r="M4180" s="162" t="s">
        <v>15128</v>
      </c>
      <c r="O4180" s="492">
        <v>0.5</v>
      </c>
      <c r="P4180" s="492">
        <v>0.55000000000000004</v>
      </c>
      <c r="Q4180" s="492">
        <v>0.6</v>
      </c>
      <c r="R4180" s="492">
        <v>0.65</v>
      </c>
      <c r="S4180" s="492">
        <v>0.7</v>
      </c>
      <c r="T4180" s="223" t="s">
        <v>7852</v>
      </c>
      <c r="U4180" t="str">
        <f>VLOOKUP(T4180,[8]Votes!$A$1:$E$234,3,FALSE)</f>
        <v>131 Auditor General</v>
      </c>
      <c r="V4180" s="162" t="s">
        <v>15126</v>
      </c>
      <c r="W4180" s="416">
        <v>1</v>
      </c>
      <c r="X4180" s="416">
        <v>1</v>
      </c>
      <c r="Y4180" s="416">
        <v>1</v>
      </c>
      <c r="Z4180" s="416">
        <v>1</v>
      </c>
      <c r="AA4180" s="416">
        <v>1</v>
      </c>
      <c r="AB4180" s="416">
        <v>0</v>
      </c>
      <c r="AC4180" s="150">
        <v>1</v>
      </c>
      <c r="AD4180" s="150">
        <v>1</v>
      </c>
      <c r="AE4180" s="49">
        <f t="shared" si="152"/>
        <v>0.875</v>
      </c>
      <c r="AF4180" s="485">
        <v>0</v>
      </c>
      <c r="AG4180" s="17">
        <v>0</v>
      </c>
      <c r="AH4180" s="190">
        <v>0</v>
      </c>
      <c r="AI4180" s="190">
        <v>0</v>
      </c>
      <c r="AJ4180" s="190">
        <v>0</v>
      </c>
      <c r="AK4180" s="191">
        <v>0</v>
      </c>
      <c r="AL4180" s="191">
        <v>0</v>
      </c>
      <c r="AM4180" s="17">
        <f t="shared" si="153"/>
        <v>0</v>
      </c>
      <c r="AN4180" s="162" t="s">
        <v>7852</v>
      </c>
      <c r="AO4180" s="162" t="s">
        <v>7854</v>
      </c>
    </row>
    <row r="4181" spans="1:42" s="162" customFormat="1" x14ac:dyDescent="0.3">
      <c r="A4181" s="205" t="s">
        <v>8321</v>
      </c>
      <c r="B4181" s="162" t="s">
        <v>8322</v>
      </c>
      <c r="C4181" s="168" t="s">
        <v>13505</v>
      </c>
      <c r="D4181" s="162" t="s">
        <v>13506</v>
      </c>
      <c r="E4181" s="168" t="s">
        <v>13507</v>
      </c>
      <c r="F4181" s="162" t="s">
        <v>13508</v>
      </c>
      <c r="G4181" s="168">
        <v>165508</v>
      </c>
      <c r="H4181" s="162" t="s">
        <v>15218</v>
      </c>
      <c r="K4181" s="168" t="s">
        <v>15219</v>
      </c>
      <c r="L4181" s="162" t="s">
        <v>15108</v>
      </c>
      <c r="M4181" s="162" t="s">
        <v>15129</v>
      </c>
      <c r="O4181" s="224">
        <v>24</v>
      </c>
      <c r="P4181" s="224">
        <v>13</v>
      </c>
      <c r="Q4181" s="224">
        <v>6</v>
      </c>
      <c r="R4181" s="224">
        <v>5</v>
      </c>
      <c r="S4181" s="224">
        <v>5</v>
      </c>
      <c r="T4181" s="223" t="s">
        <v>7852</v>
      </c>
      <c r="U4181" t="str">
        <f>VLOOKUP(T4181,[8]Votes!$A$1:$E$234,3,FALSE)</f>
        <v>131 Auditor General</v>
      </c>
      <c r="V4181" s="162" t="s">
        <v>15126</v>
      </c>
      <c r="W4181" s="416">
        <v>1</v>
      </c>
      <c r="X4181" s="416">
        <v>1</v>
      </c>
      <c r="Y4181" s="416">
        <v>1</v>
      </c>
      <c r="Z4181" s="416">
        <v>1</v>
      </c>
      <c r="AA4181" s="416">
        <v>1</v>
      </c>
      <c r="AB4181" s="416">
        <v>0</v>
      </c>
      <c r="AC4181" s="150">
        <v>1</v>
      </c>
      <c r="AD4181" s="150">
        <v>1</v>
      </c>
      <c r="AE4181" s="49">
        <f t="shared" si="152"/>
        <v>0.875</v>
      </c>
      <c r="AF4181" s="485">
        <v>0</v>
      </c>
      <c r="AG4181" s="17">
        <v>0</v>
      </c>
      <c r="AH4181" s="190">
        <v>0</v>
      </c>
      <c r="AI4181" s="190">
        <v>0</v>
      </c>
      <c r="AJ4181" s="190">
        <v>0</v>
      </c>
      <c r="AK4181" s="191">
        <v>0</v>
      </c>
      <c r="AL4181" s="191">
        <v>0</v>
      </c>
      <c r="AM4181" s="17">
        <f t="shared" si="153"/>
        <v>0</v>
      </c>
      <c r="AN4181" s="162" t="s">
        <v>7852</v>
      </c>
      <c r="AO4181" s="162" t="s">
        <v>7854</v>
      </c>
    </row>
    <row r="4182" spans="1:42" s="162" customFormat="1" x14ac:dyDescent="0.3">
      <c r="A4182" s="205" t="s">
        <v>8321</v>
      </c>
      <c r="B4182" s="162" t="s">
        <v>8322</v>
      </c>
      <c r="C4182" s="168" t="s">
        <v>13505</v>
      </c>
      <c r="D4182" s="162" t="s">
        <v>13506</v>
      </c>
      <c r="E4182" s="168" t="s">
        <v>13507</v>
      </c>
      <c r="F4182" s="162" t="s">
        <v>13508</v>
      </c>
      <c r="G4182" s="168">
        <v>165508</v>
      </c>
      <c r="H4182" s="162" t="s">
        <v>15218</v>
      </c>
      <c r="K4182" s="168" t="s">
        <v>15219</v>
      </c>
      <c r="L4182" s="162" t="s">
        <v>15108</v>
      </c>
      <c r="M4182" s="162" t="s">
        <v>15130</v>
      </c>
      <c r="O4182" s="492">
        <v>1</v>
      </c>
      <c r="P4182" s="492">
        <v>1</v>
      </c>
      <c r="Q4182" s="492">
        <v>1</v>
      </c>
      <c r="R4182" s="492">
        <v>1</v>
      </c>
      <c r="S4182" s="492">
        <v>1</v>
      </c>
      <c r="T4182" s="223" t="s">
        <v>7852</v>
      </c>
      <c r="U4182" t="str">
        <f>VLOOKUP(T4182,[8]Votes!$A$1:$E$234,3,FALSE)</f>
        <v>131 Auditor General</v>
      </c>
      <c r="V4182" s="162" t="s">
        <v>15126</v>
      </c>
      <c r="W4182" s="416">
        <v>1</v>
      </c>
      <c r="X4182" s="416">
        <v>1</v>
      </c>
      <c r="Y4182" s="416">
        <v>1</v>
      </c>
      <c r="Z4182" s="416">
        <v>1</v>
      </c>
      <c r="AA4182" s="416">
        <v>1</v>
      </c>
      <c r="AB4182" s="416">
        <v>0</v>
      </c>
      <c r="AC4182" s="150">
        <v>1</v>
      </c>
      <c r="AD4182" s="150">
        <v>1</v>
      </c>
      <c r="AE4182" s="49">
        <f t="shared" si="152"/>
        <v>0.875</v>
      </c>
      <c r="AF4182" s="485">
        <v>0</v>
      </c>
      <c r="AG4182" s="17">
        <v>0</v>
      </c>
      <c r="AH4182" s="190">
        <v>0</v>
      </c>
      <c r="AI4182" s="190">
        <v>0</v>
      </c>
      <c r="AJ4182" s="190">
        <v>0</v>
      </c>
      <c r="AK4182" s="191">
        <v>0</v>
      </c>
      <c r="AL4182" s="191">
        <v>0</v>
      </c>
      <c r="AM4182" s="17">
        <f t="shared" si="153"/>
        <v>0</v>
      </c>
      <c r="AN4182" s="162" t="s">
        <v>7852</v>
      </c>
      <c r="AO4182" s="162" t="s">
        <v>7854</v>
      </c>
    </row>
    <row r="4183" spans="1:42" s="162" customFormat="1" x14ac:dyDescent="0.3">
      <c r="A4183" s="205" t="s">
        <v>8321</v>
      </c>
      <c r="B4183" s="162" t="s">
        <v>8322</v>
      </c>
      <c r="C4183" s="168" t="s">
        <v>13505</v>
      </c>
      <c r="D4183" s="162" t="s">
        <v>13506</v>
      </c>
      <c r="E4183" s="168" t="s">
        <v>13507</v>
      </c>
      <c r="F4183" s="162" t="s">
        <v>13508</v>
      </c>
      <c r="G4183" s="168">
        <v>165508</v>
      </c>
      <c r="H4183" s="162" t="s">
        <v>15218</v>
      </c>
      <c r="K4183" s="168" t="s">
        <v>15219</v>
      </c>
      <c r="L4183" s="162" t="s">
        <v>15108</v>
      </c>
      <c r="M4183" s="162" t="s">
        <v>15131</v>
      </c>
      <c r="O4183" s="492">
        <v>0.92</v>
      </c>
      <c r="P4183" s="492">
        <v>0.92</v>
      </c>
      <c r="Q4183" s="492">
        <v>0.92</v>
      </c>
      <c r="R4183" s="492">
        <v>0.92</v>
      </c>
      <c r="S4183" s="492">
        <v>0.92</v>
      </c>
      <c r="T4183" s="223" t="s">
        <v>7852</v>
      </c>
      <c r="U4183" t="str">
        <f>VLOOKUP(T4183,[8]Votes!$A$1:$E$234,3,FALSE)</f>
        <v>131 Auditor General</v>
      </c>
      <c r="V4183" s="162" t="s">
        <v>15126</v>
      </c>
      <c r="W4183" s="416">
        <v>1</v>
      </c>
      <c r="X4183" s="416">
        <v>1</v>
      </c>
      <c r="Y4183" s="416">
        <v>1</v>
      </c>
      <c r="Z4183" s="416">
        <v>1</v>
      </c>
      <c r="AA4183" s="416">
        <v>1</v>
      </c>
      <c r="AB4183" s="416">
        <v>0</v>
      </c>
      <c r="AC4183" s="150">
        <v>1</v>
      </c>
      <c r="AD4183" s="150">
        <v>1</v>
      </c>
      <c r="AE4183" s="49">
        <f t="shared" si="152"/>
        <v>0.875</v>
      </c>
      <c r="AF4183" s="485">
        <v>0</v>
      </c>
      <c r="AG4183" s="17">
        <v>0</v>
      </c>
      <c r="AH4183" s="190">
        <v>0</v>
      </c>
      <c r="AI4183" s="190">
        <v>0</v>
      </c>
      <c r="AJ4183" s="190">
        <v>0</v>
      </c>
      <c r="AK4183" s="191">
        <v>0</v>
      </c>
      <c r="AL4183" s="191">
        <v>0</v>
      </c>
      <c r="AM4183" s="17">
        <f t="shared" si="153"/>
        <v>0</v>
      </c>
      <c r="AN4183" s="162" t="s">
        <v>7852</v>
      </c>
      <c r="AO4183" s="162" t="s">
        <v>7854</v>
      </c>
    </row>
    <row r="4184" spans="1:42" s="162" customFormat="1" x14ac:dyDescent="0.3">
      <c r="A4184" s="205" t="s">
        <v>8321</v>
      </c>
      <c r="B4184" s="162" t="s">
        <v>8322</v>
      </c>
      <c r="C4184" s="168" t="s">
        <v>13505</v>
      </c>
      <c r="D4184" s="162" t="s">
        <v>13506</v>
      </c>
      <c r="E4184" s="168" t="s">
        <v>13507</v>
      </c>
      <c r="F4184" s="162" t="s">
        <v>13508</v>
      </c>
      <c r="G4184" s="168">
        <v>165508</v>
      </c>
      <c r="H4184" s="162" t="s">
        <v>15218</v>
      </c>
      <c r="K4184" s="168" t="s">
        <v>15220</v>
      </c>
      <c r="L4184" s="162" t="s">
        <v>15221</v>
      </c>
      <c r="M4184" s="162" t="s">
        <v>15222</v>
      </c>
      <c r="O4184" s="224">
        <v>1400</v>
      </c>
      <c r="P4184" s="224">
        <v>1500</v>
      </c>
      <c r="Q4184" s="224">
        <v>1600</v>
      </c>
      <c r="R4184" s="224">
        <v>1700</v>
      </c>
      <c r="S4184" s="224">
        <v>1800</v>
      </c>
      <c r="T4184" s="223" t="s">
        <v>15223</v>
      </c>
      <c r="U4184" t="e">
        <f>VLOOKUP(T4184,[8]Votes!$A$1:$E$234,3,FALSE)</f>
        <v>#N/A</v>
      </c>
      <c r="V4184" s="162" t="s">
        <v>15224</v>
      </c>
      <c r="W4184" s="416">
        <v>1</v>
      </c>
      <c r="X4184" s="416">
        <v>1</v>
      </c>
      <c r="Y4184" s="416">
        <v>1</v>
      </c>
      <c r="Z4184" s="416">
        <v>1</v>
      </c>
      <c r="AA4184" s="416">
        <v>1</v>
      </c>
      <c r="AB4184" s="416">
        <v>1</v>
      </c>
      <c r="AC4184" s="150">
        <v>1</v>
      </c>
      <c r="AD4184" s="150">
        <v>1</v>
      </c>
      <c r="AE4184" s="49">
        <f t="shared" si="152"/>
        <v>1</v>
      </c>
      <c r="AF4184" s="485">
        <v>0</v>
      </c>
      <c r="AG4184" s="17">
        <v>0</v>
      </c>
      <c r="AH4184" s="485">
        <v>0.2</v>
      </c>
      <c r="AI4184" s="485">
        <v>0.3</v>
      </c>
      <c r="AJ4184" s="485">
        <v>0.4</v>
      </c>
      <c r="AK4184" s="493">
        <v>1.5</v>
      </c>
      <c r="AL4184" s="493">
        <v>1.7</v>
      </c>
      <c r="AM4184" s="17">
        <f t="shared" si="153"/>
        <v>3.2</v>
      </c>
      <c r="AN4184" s="162" t="s">
        <v>3875</v>
      </c>
      <c r="AO4184" s="162" t="s">
        <v>3877</v>
      </c>
      <c r="AP4184" s="162" t="s">
        <v>15225</v>
      </c>
    </row>
    <row r="4185" spans="1:42" s="162" customFormat="1" x14ac:dyDescent="0.3">
      <c r="A4185" s="205" t="s">
        <v>8321</v>
      </c>
      <c r="B4185" s="162" t="s">
        <v>8322</v>
      </c>
      <c r="C4185" s="168" t="s">
        <v>13505</v>
      </c>
      <c r="D4185" s="162" t="s">
        <v>13506</v>
      </c>
      <c r="E4185" s="168" t="s">
        <v>13507</v>
      </c>
      <c r="F4185" s="162" t="s">
        <v>13508</v>
      </c>
      <c r="G4185" s="168">
        <v>165508</v>
      </c>
      <c r="H4185" s="162" t="s">
        <v>15218</v>
      </c>
      <c r="K4185" s="168" t="s">
        <v>15220</v>
      </c>
      <c r="L4185" s="162" t="s">
        <v>15221</v>
      </c>
      <c r="M4185" s="162" t="s">
        <v>15206</v>
      </c>
      <c r="O4185" s="224">
        <v>1</v>
      </c>
      <c r="P4185" s="224">
        <v>1</v>
      </c>
      <c r="Q4185" s="224"/>
      <c r="R4185" s="224"/>
      <c r="S4185" s="224"/>
      <c r="T4185" s="223" t="s">
        <v>3875</v>
      </c>
      <c r="U4185" t="str">
        <f>VLOOKUP(T4185,[8]Votes!$A$1:$E$234,3,FALSE)</f>
        <v>007 Ministry of Justice and Constitutional Affairs</v>
      </c>
      <c r="V4185" s="162" t="s">
        <v>15226</v>
      </c>
      <c r="W4185" s="416">
        <v>1</v>
      </c>
      <c r="X4185" s="416">
        <v>1</v>
      </c>
      <c r="Y4185" s="416">
        <v>1</v>
      </c>
      <c r="Z4185" s="416">
        <v>1</v>
      </c>
      <c r="AA4185" s="416">
        <v>1</v>
      </c>
      <c r="AB4185" s="416">
        <v>1</v>
      </c>
      <c r="AC4185" s="150">
        <v>1</v>
      </c>
      <c r="AD4185" s="150">
        <v>1</v>
      </c>
      <c r="AE4185" s="49">
        <f t="shared" si="152"/>
        <v>1</v>
      </c>
      <c r="AF4185" s="485">
        <v>0</v>
      </c>
      <c r="AG4185" s="17">
        <v>0</v>
      </c>
      <c r="AH4185" s="485">
        <v>0.3</v>
      </c>
      <c r="AI4185" s="485">
        <v>0.5</v>
      </c>
      <c r="AJ4185" s="190">
        <v>0</v>
      </c>
      <c r="AK4185" s="191">
        <v>0.4</v>
      </c>
      <c r="AL4185" s="191">
        <v>0.4</v>
      </c>
      <c r="AM4185" s="17">
        <f t="shared" si="153"/>
        <v>0.8</v>
      </c>
      <c r="AN4185" s="223" t="s">
        <v>3875</v>
      </c>
      <c r="AO4185" s="162" t="s">
        <v>3877</v>
      </c>
    </row>
    <row r="4186" spans="1:42" s="162" customFormat="1" x14ac:dyDescent="0.3">
      <c r="A4186" s="205" t="s">
        <v>8321</v>
      </c>
      <c r="B4186" s="162" t="s">
        <v>8322</v>
      </c>
      <c r="C4186" s="168" t="s">
        <v>13505</v>
      </c>
      <c r="D4186" s="162" t="s">
        <v>13506</v>
      </c>
      <c r="E4186" s="168" t="s">
        <v>13507</v>
      </c>
      <c r="F4186" s="162" t="s">
        <v>13508</v>
      </c>
      <c r="G4186" s="168">
        <v>165508</v>
      </c>
      <c r="H4186" s="162" t="s">
        <v>15218</v>
      </c>
      <c r="K4186" s="168" t="s">
        <v>15220</v>
      </c>
      <c r="L4186" s="162" t="s">
        <v>15221</v>
      </c>
      <c r="M4186" s="162" t="s">
        <v>15227</v>
      </c>
      <c r="O4186" s="224">
        <v>1005</v>
      </c>
      <c r="P4186" s="224">
        <v>1036</v>
      </c>
      <c r="Q4186" s="224">
        <v>1134</v>
      </c>
      <c r="R4186" s="224">
        <v>1237</v>
      </c>
      <c r="S4186" s="224">
        <v>1297</v>
      </c>
      <c r="T4186" s="223" t="s">
        <v>3875</v>
      </c>
      <c r="U4186" t="str">
        <f>VLOOKUP(T4186,[8]Votes!$A$1:$E$234,3,FALSE)</f>
        <v>007 Ministry of Justice and Constitutional Affairs</v>
      </c>
      <c r="V4186" s="162" t="s">
        <v>15228</v>
      </c>
      <c r="W4186" s="416">
        <v>1</v>
      </c>
      <c r="X4186" s="416">
        <v>1</v>
      </c>
      <c r="Y4186" s="416">
        <v>1</v>
      </c>
      <c r="Z4186" s="416">
        <v>1</v>
      </c>
      <c r="AA4186" s="416">
        <v>1</v>
      </c>
      <c r="AB4186" s="416">
        <v>1</v>
      </c>
      <c r="AC4186" s="150">
        <v>1</v>
      </c>
      <c r="AD4186" s="150">
        <v>1</v>
      </c>
      <c r="AE4186" s="49">
        <f t="shared" si="152"/>
        <v>1</v>
      </c>
      <c r="AF4186" s="485">
        <v>0</v>
      </c>
      <c r="AG4186" s="17">
        <v>0</v>
      </c>
      <c r="AH4186" s="485">
        <v>0.13</v>
      </c>
      <c r="AI4186" s="485">
        <v>0.2</v>
      </c>
      <c r="AJ4186" s="485">
        <v>0.22</v>
      </c>
      <c r="AK4186" s="493">
        <v>0.32</v>
      </c>
      <c r="AL4186" s="493">
        <v>0.35</v>
      </c>
      <c r="AM4186" s="17">
        <f t="shared" si="153"/>
        <v>0.66999999999999993</v>
      </c>
      <c r="AN4186" s="223" t="s">
        <v>3875</v>
      </c>
      <c r="AO4186" s="162" t="s">
        <v>3877</v>
      </c>
    </row>
    <row r="4187" spans="1:42" s="162" customFormat="1" x14ac:dyDescent="0.3">
      <c r="A4187" s="205" t="s">
        <v>8321</v>
      </c>
      <c r="B4187" s="162" t="s">
        <v>8322</v>
      </c>
      <c r="C4187" s="168" t="s">
        <v>13505</v>
      </c>
      <c r="D4187" s="162" t="s">
        <v>13506</v>
      </c>
      <c r="E4187" s="168" t="s">
        <v>13507</v>
      </c>
      <c r="F4187" s="162" t="s">
        <v>13508</v>
      </c>
      <c r="G4187" s="168">
        <v>165508</v>
      </c>
      <c r="H4187" s="162" t="s">
        <v>15218</v>
      </c>
      <c r="K4187" s="168" t="s">
        <v>15229</v>
      </c>
      <c r="L4187" s="162" t="s">
        <v>15230</v>
      </c>
      <c r="M4187" s="162" t="s">
        <v>15231</v>
      </c>
      <c r="O4187" s="224">
        <v>1</v>
      </c>
      <c r="P4187" s="224">
        <v>1</v>
      </c>
      <c r="Q4187" s="224">
        <v>1</v>
      </c>
      <c r="R4187" s="224">
        <v>1</v>
      </c>
      <c r="S4187" s="224">
        <v>1</v>
      </c>
      <c r="T4187" s="223" t="s">
        <v>3875</v>
      </c>
      <c r="U4187" t="str">
        <f>VLOOKUP(T4187,[8]Votes!$A$1:$E$234,3,FALSE)</f>
        <v>007 Ministry of Justice and Constitutional Affairs</v>
      </c>
      <c r="V4187" s="162" t="s">
        <v>15232</v>
      </c>
      <c r="W4187" s="416">
        <v>1</v>
      </c>
      <c r="X4187" s="416">
        <v>1</v>
      </c>
      <c r="Y4187" s="416">
        <v>1</v>
      </c>
      <c r="Z4187" s="416">
        <v>1</v>
      </c>
      <c r="AA4187" s="416">
        <v>1</v>
      </c>
      <c r="AB4187" s="416">
        <v>0</v>
      </c>
      <c r="AC4187" s="150">
        <v>1</v>
      </c>
      <c r="AD4187" s="150">
        <v>1</v>
      </c>
      <c r="AE4187" s="49">
        <f t="shared" si="152"/>
        <v>0.875</v>
      </c>
      <c r="AF4187" s="485">
        <v>0</v>
      </c>
      <c r="AG4187" s="17">
        <v>0</v>
      </c>
      <c r="AH4187" s="485">
        <v>0.06</v>
      </c>
      <c r="AI4187" s="485">
        <v>0.1</v>
      </c>
      <c r="AJ4187" s="485">
        <v>0.15</v>
      </c>
      <c r="AK4187" s="493">
        <v>0.2</v>
      </c>
      <c r="AL4187" s="493">
        <v>0.25</v>
      </c>
      <c r="AM4187" s="17">
        <f t="shared" si="153"/>
        <v>0.45</v>
      </c>
      <c r="AN4187" s="223" t="s">
        <v>3875</v>
      </c>
      <c r="AO4187" s="162" t="s">
        <v>3877</v>
      </c>
    </row>
    <row r="4188" spans="1:42" s="162" customFormat="1" x14ac:dyDescent="0.3">
      <c r="A4188" s="205" t="s">
        <v>8321</v>
      </c>
      <c r="B4188" s="162" t="s">
        <v>8322</v>
      </c>
      <c r="C4188" s="168" t="s">
        <v>13505</v>
      </c>
      <c r="D4188" s="162" t="s">
        <v>13506</v>
      </c>
      <c r="E4188" s="168" t="s">
        <v>13507</v>
      </c>
      <c r="F4188" s="162" t="s">
        <v>13508</v>
      </c>
      <c r="G4188" s="168">
        <v>165508</v>
      </c>
      <c r="H4188" s="162" t="s">
        <v>15218</v>
      </c>
      <c r="K4188" s="168" t="s">
        <v>15233</v>
      </c>
      <c r="L4188" s="162" t="s">
        <v>15234</v>
      </c>
      <c r="M4188" s="162" t="s">
        <v>15235</v>
      </c>
      <c r="O4188" s="224">
        <v>12</v>
      </c>
      <c r="P4188" s="224">
        <v>12</v>
      </c>
      <c r="Q4188" s="224">
        <v>12</v>
      </c>
      <c r="R4188" s="224">
        <v>12</v>
      </c>
      <c r="S4188" s="224">
        <v>12</v>
      </c>
      <c r="T4188" s="223" t="s">
        <v>3705</v>
      </c>
      <c r="U4188" t="str">
        <f>VLOOKUP(T4188,[8]Votes!$A$1:$E$234,3,FALSE)</f>
        <v>008 Ministry of Finance, Planning &amp; Economic Dev.</v>
      </c>
      <c r="V4188" s="162" t="s">
        <v>15236</v>
      </c>
      <c r="W4188" s="416">
        <v>1</v>
      </c>
      <c r="X4188" s="416">
        <v>1</v>
      </c>
      <c r="Y4188" s="416">
        <v>1</v>
      </c>
      <c r="Z4188" s="416">
        <v>1</v>
      </c>
      <c r="AA4188" s="416">
        <v>1</v>
      </c>
      <c r="AB4188" s="416">
        <v>0</v>
      </c>
      <c r="AC4188" s="150">
        <v>1</v>
      </c>
      <c r="AD4188" s="150">
        <v>1</v>
      </c>
      <c r="AE4188" s="49">
        <f t="shared" si="152"/>
        <v>0.875</v>
      </c>
      <c r="AF4188" s="485">
        <v>0</v>
      </c>
      <c r="AG4188" s="17">
        <v>0</v>
      </c>
      <c r="AH4188" s="485">
        <v>0.05</v>
      </c>
      <c r="AI4188" s="485">
        <v>0.05</v>
      </c>
      <c r="AJ4188" s="485">
        <v>0.05</v>
      </c>
      <c r="AK4188" s="493">
        <v>0.05</v>
      </c>
      <c r="AL4188" s="493">
        <v>0.05</v>
      </c>
      <c r="AM4188" s="17">
        <f t="shared" si="153"/>
        <v>0.1</v>
      </c>
      <c r="AN4188" s="162" t="s">
        <v>3705</v>
      </c>
      <c r="AO4188" s="162" t="s">
        <v>880</v>
      </c>
    </row>
    <row r="4189" spans="1:42" s="162" customFormat="1" x14ac:dyDescent="0.3">
      <c r="A4189" s="205" t="s">
        <v>8321</v>
      </c>
      <c r="B4189" s="162" t="s">
        <v>8322</v>
      </c>
      <c r="C4189" s="168" t="s">
        <v>13505</v>
      </c>
      <c r="D4189" s="162" t="s">
        <v>13506</v>
      </c>
      <c r="E4189" s="168" t="s">
        <v>13507</v>
      </c>
      <c r="F4189" s="162" t="s">
        <v>13508</v>
      </c>
      <c r="G4189" s="168">
        <v>165508</v>
      </c>
      <c r="H4189" s="162" t="s">
        <v>15218</v>
      </c>
      <c r="K4189" s="168" t="s">
        <v>15233</v>
      </c>
      <c r="L4189" s="162" t="s">
        <v>15234</v>
      </c>
      <c r="M4189" s="162" t="s">
        <v>15235</v>
      </c>
      <c r="O4189" s="224"/>
      <c r="P4189" s="224"/>
      <c r="Q4189" s="224"/>
      <c r="R4189" s="224"/>
      <c r="S4189" s="224"/>
      <c r="T4189" s="223" t="s">
        <v>3705</v>
      </c>
      <c r="U4189" t="str">
        <f>VLOOKUP(T4189,[8]Votes!$A$1:$E$234,3,FALSE)</f>
        <v>008 Ministry of Finance, Planning &amp; Economic Dev.</v>
      </c>
      <c r="V4189" s="162" t="s">
        <v>15237</v>
      </c>
      <c r="W4189" s="416">
        <v>1</v>
      </c>
      <c r="X4189" s="416">
        <v>1</v>
      </c>
      <c r="Y4189" s="416">
        <v>1</v>
      </c>
      <c r="Z4189" s="416">
        <v>1</v>
      </c>
      <c r="AA4189" s="416">
        <v>1</v>
      </c>
      <c r="AB4189" s="416">
        <v>0</v>
      </c>
      <c r="AC4189" s="150">
        <v>1</v>
      </c>
      <c r="AD4189" s="150">
        <v>1</v>
      </c>
      <c r="AE4189" s="49">
        <f t="shared" si="152"/>
        <v>0.875</v>
      </c>
      <c r="AF4189" s="485">
        <v>0</v>
      </c>
      <c r="AG4189" s="17">
        <v>0</v>
      </c>
      <c r="AH4189" s="485">
        <v>0.15</v>
      </c>
      <c r="AI4189" s="485">
        <v>0.15</v>
      </c>
      <c r="AJ4189" s="485">
        <v>0.15</v>
      </c>
      <c r="AK4189" s="493">
        <v>0.15</v>
      </c>
      <c r="AL4189" s="493">
        <v>0.15</v>
      </c>
      <c r="AM4189" s="17">
        <f t="shared" si="153"/>
        <v>0.3</v>
      </c>
      <c r="AN4189" s="162" t="s">
        <v>3705</v>
      </c>
      <c r="AO4189" s="162" t="s">
        <v>880</v>
      </c>
    </row>
    <row r="4190" spans="1:42" s="162" customFormat="1" x14ac:dyDescent="0.3">
      <c r="A4190" s="205" t="s">
        <v>8321</v>
      </c>
      <c r="B4190" s="162" t="s">
        <v>8322</v>
      </c>
      <c r="C4190" s="168" t="s">
        <v>13505</v>
      </c>
      <c r="D4190" s="162" t="s">
        <v>13506</v>
      </c>
      <c r="E4190" s="168" t="s">
        <v>13507</v>
      </c>
      <c r="F4190" s="162" t="s">
        <v>13508</v>
      </c>
      <c r="G4190" s="168">
        <v>165508</v>
      </c>
      <c r="H4190" s="162" t="s">
        <v>15218</v>
      </c>
      <c r="K4190" s="168" t="s">
        <v>15238</v>
      </c>
      <c r="L4190" s="162" t="s">
        <v>15239</v>
      </c>
      <c r="M4190" s="162" t="s">
        <v>15240</v>
      </c>
      <c r="O4190" s="224">
        <v>25</v>
      </c>
      <c r="P4190" s="224">
        <v>18</v>
      </c>
      <c r="Q4190" s="224">
        <v>29</v>
      </c>
      <c r="R4190" s="224">
        <v>35</v>
      </c>
      <c r="S4190" s="224">
        <v>40</v>
      </c>
      <c r="T4190" s="223" t="s">
        <v>3705</v>
      </c>
      <c r="U4190" t="str">
        <f>VLOOKUP(T4190,[8]Votes!$A$1:$E$234,3,FALSE)</f>
        <v>008 Ministry of Finance, Planning &amp; Economic Dev.</v>
      </c>
      <c r="V4190" s="162" t="s">
        <v>15241</v>
      </c>
      <c r="W4190" s="416">
        <v>1</v>
      </c>
      <c r="X4190" s="416">
        <v>1</v>
      </c>
      <c r="Y4190" s="416">
        <v>1</v>
      </c>
      <c r="Z4190" s="416">
        <v>1</v>
      </c>
      <c r="AA4190" s="416">
        <v>1</v>
      </c>
      <c r="AB4190" s="416">
        <v>0</v>
      </c>
      <c r="AC4190" s="150">
        <v>1</v>
      </c>
      <c r="AD4190" s="150">
        <v>1</v>
      </c>
      <c r="AE4190" s="49">
        <f t="shared" si="152"/>
        <v>0.875</v>
      </c>
      <c r="AF4190" s="485">
        <v>0</v>
      </c>
      <c r="AG4190" s="17">
        <v>0</v>
      </c>
      <c r="AH4190" s="485">
        <v>0.05</v>
      </c>
      <c r="AI4190" s="485">
        <v>0.05</v>
      </c>
      <c r="AJ4190" s="485">
        <v>0.05</v>
      </c>
      <c r="AK4190" s="493">
        <v>0.05</v>
      </c>
      <c r="AL4190" s="493">
        <v>0.05</v>
      </c>
      <c r="AM4190" s="17">
        <f t="shared" si="153"/>
        <v>0.1</v>
      </c>
      <c r="AN4190" s="162" t="s">
        <v>3705</v>
      </c>
      <c r="AO4190" s="162" t="s">
        <v>880</v>
      </c>
    </row>
    <row r="4191" spans="1:42" s="162" customFormat="1" x14ac:dyDescent="0.3">
      <c r="A4191" s="205" t="s">
        <v>8321</v>
      </c>
      <c r="B4191" s="162" t="s">
        <v>8322</v>
      </c>
      <c r="C4191" s="168" t="s">
        <v>13505</v>
      </c>
      <c r="D4191" s="162" t="s">
        <v>13506</v>
      </c>
      <c r="E4191" s="168" t="s">
        <v>13507</v>
      </c>
      <c r="F4191" s="162" t="s">
        <v>13508</v>
      </c>
      <c r="G4191" s="168">
        <v>165508</v>
      </c>
      <c r="H4191" s="162" t="s">
        <v>15218</v>
      </c>
      <c r="K4191" s="168" t="s">
        <v>15242</v>
      </c>
      <c r="L4191" s="162" t="s">
        <v>15243</v>
      </c>
      <c r="M4191" s="162" t="s">
        <v>15244</v>
      </c>
      <c r="O4191" s="492"/>
      <c r="P4191" s="492"/>
      <c r="Q4191" s="492"/>
      <c r="R4191" s="492"/>
      <c r="S4191" s="492"/>
      <c r="T4191" s="223" t="s">
        <v>3705</v>
      </c>
      <c r="U4191" t="str">
        <f>VLOOKUP(T4191,[8]Votes!$A$1:$E$234,3,FALSE)</f>
        <v>008 Ministry of Finance, Planning &amp; Economic Dev.</v>
      </c>
      <c r="V4191" s="162" t="s">
        <v>15245</v>
      </c>
      <c r="W4191" s="416">
        <v>1</v>
      </c>
      <c r="X4191" s="416">
        <v>1</v>
      </c>
      <c r="Y4191" s="416">
        <v>1</v>
      </c>
      <c r="Z4191" s="416">
        <v>1</v>
      </c>
      <c r="AA4191" s="416">
        <v>1</v>
      </c>
      <c r="AB4191" s="416">
        <v>0</v>
      </c>
      <c r="AC4191" s="150">
        <v>1</v>
      </c>
      <c r="AD4191" s="150">
        <v>1</v>
      </c>
      <c r="AE4191" s="49">
        <f t="shared" si="152"/>
        <v>0.875</v>
      </c>
      <c r="AF4191" s="485">
        <v>0</v>
      </c>
      <c r="AG4191" s="17">
        <v>0</v>
      </c>
      <c r="AH4191" s="485">
        <v>0.1</v>
      </c>
      <c r="AI4191" s="485">
        <v>0.1</v>
      </c>
      <c r="AJ4191" s="485">
        <v>0.1</v>
      </c>
      <c r="AK4191" s="493">
        <v>0.1</v>
      </c>
      <c r="AL4191" s="493">
        <v>0.1</v>
      </c>
      <c r="AM4191" s="17">
        <f t="shared" si="153"/>
        <v>0.2</v>
      </c>
      <c r="AN4191" s="162" t="s">
        <v>3705</v>
      </c>
      <c r="AO4191" s="162" t="s">
        <v>880</v>
      </c>
    </row>
    <row r="4192" spans="1:42" s="162" customFormat="1" x14ac:dyDescent="0.3">
      <c r="A4192" s="205" t="s">
        <v>8321</v>
      </c>
      <c r="B4192" s="162" t="s">
        <v>8322</v>
      </c>
      <c r="C4192" s="168" t="s">
        <v>13505</v>
      </c>
      <c r="D4192" s="162" t="s">
        <v>13506</v>
      </c>
      <c r="E4192" s="168" t="s">
        <v>13507</v>
      </c>
      <c r="F4192" s="162" t="s">
        <v>13508</v>
      </c>
      <c r="G4192" s="168">
        <v>165508</v>
      </c>
      <c r="H4192" s="162" t="s">
        <v>15218</v>
      </c>
      <c r="K4192" s="168" t="s">
        <v>15242</v>
      </c>
      <c r="L4192" s="162" t="s">
        <v>15243</v>
      </c>
      <c r="M4192" s="162" t="s">
        <v>15244</v>
      </c>
      <c r="O4192" s="492"/>
      <c r="P4192" s="492"/>
      <c r="Q4192" s="492"/>
      <c r="R4192" s="492"/>
      <c r="S4192" s="492"/>
      <c r="T4192" s="223" t="s">
        <v>3705</v>
      </c>
      <c r="U4192" t="str">
        <f>VLOOKUP(T4192,[8]Votes!$A$1:$E$234,3,FALSE)</f>
        <v>008 Ministry of Finance, Planning &amp; Economic Dev.</v>
      </c>
      <c r="V4192" s="162" t="s">
        <v>15246</v>
      </c>
      <c r="W4192" s="416">
        <v>1</v>
      </c>
      <c r="X4192" s="416">
        <v>1</v>
      </c>
      <c r="Y4192" s="416">
        <v>1</v>
      </c>
      <c r="Z4192" s="416">
        <v>1</v>
      </c>
      <c r="AA4192" s="416">
        <v>1</v>
      </c>
      <c r="AB4192" s="416">
        <v>0</v>
      </c>
      <c r="AC4192" s="150">
        <v>1</v>
      </c>
      <c r="AD4192" s="150">
        <v>1</v>
      </c>
      <c r="AE4192" s="49">
        <f t="shared" si="152"/>
        <v>0.875</v>
      </c>
      <c r="AF4192" s="485">
        <v>0</v>
      </c>
      <c r="AG4192" s="17">
        <v>0</v>
      </c>
      <c r="AH4192" s="485">
        <v>0.05</v>
      </c>
      <c r="AI4192" s="485">
        <v>0.05</v>
      </c>
      <c r="AJ4192" s="485">
        <v>0.05</v>
      </c>
      <c r="AK4192" s="493">
        <v>0.05</v>
      </c>
      <c r="AL4192" s="493">
        <v>0.05</v>
      </c>
      <c r="AM4192" s="17">
        <f t="shared" si="153"/>
        <v>0.1</v>
      </c>
      <c r="AN4192" s="162" t="s">
        <v>3705</v>
      </c>
      <c r="AO4192" s="162" t="s">
        <v>880</v>
      </c>
    </row>
    <row r="4193" spans="1:41" s="162" customFormat="1" x14ac:dyDescent="0.3">
      <c r="A4193" s="205" t="s">
        <v>8321</v>
      </c>
      <c r="B4193" s="162" t="s">
        <v>8322</v>
      </c>
      <c r="C4193" s="168" t="s">
        <v>13505</v>
      </c>
      <c r="D4193" s="162" t="s">
        <v>13506</v>
      </c>
      <c r="E4193" s="168" t="s">
        <v>13507</v>
      </c>
      <c r="F4193" s="162" t="s">
        <v>13508</v>
      </c>
      <c r="G4193" s="168">
        <v>165508</v>
      </c>
      <c r="H4193" s="162" t="s">
        <v>15218</v>
      </c>
      <c r="K4193" s="168" t="s">
        <v>15242</v>
      </c>
      <c r="L4193" s="162" t="s">
        <v>15243</v>
      </c>
      <c r="M4193" s="162" t="s">
        <v>15244</v>
      </c>
      <c r="O4193" s="492"/>
      <c r="P4193" s="492"/>
      <c r="Q4193" s="492"/>
      <c r="R4193" s="492"/>
      <c r="S4193" s="492"/>
      <c r="T4193" s="223" t="s">
        <v>3705</v>
      </c>
      <c r="U4193" t="str">
        <f>VLOOKUP(T4193,[8]Votes!$A$1:$E$234,3,FALSE)</f>
        <v>008 Ministry of Finance, Planning &amp; Economic Dev.</v>
      </c>
      <c r="V4193" s="162" t="s">
        <v>15247</v>
      </c>
      <c r="W4193" s="416">
        <v>1</v>
      </c>
      <c r="X4193" s="416">
        <v>1</v>
      </c>
      <c r="Y4193" s="416">
        <v>1</v>
      </c>
      <c r="Z4193" s="416">
        <v>1</v>
      </c>
      <c r="AA4193" s="416">
        <v>1</v>
      </c>
      <c r="AB4193" s="416">
        <v>0</v>
      </c>
      <c r="AC4193" s="150">
        <v>1</v>
      </c>
      <c r="AD4193" s="150">
        <v>1</v>
      </c>
      <c r="AE4193" s="49">
        <f t="shared" si="152"/>
        <v>0.875</v>
      </c>
      <c r="AF4193" s="485">
        <v>0</v>
      </c>
      <c r="AG4193" s="17">
        <v>0</v>
      </c>
      <c r="AH4193" s="485">
        <v>0.1</v>
      </c>
      <c r="AI4193" s="485">
        <v>0.1</v>
      </c>
      <c r="AJ4193" s="485">
        <v>0.1</v>
      </c>
      <c r="AK4193" s="493">
        <v>0.1</v>
      </c>
      <c r="AL4193" s="493">
        <v>0.1</v>
      </c>
      <c r="AM4193" s="17">
        <f t="shared" si="153"/>
        <v>0.2</v>
      </c>
      <c r="AN4193" s="162" t="s">
        <v>3705</v>
      </c>
      <c r="AO4193" s="162" t="s">
        <v>880</v>
      </c>
    </row>
    <row r="4194" spans="1:41" s="162" customFormat="1" x14ac:dyDescent="0.3">
      <c r="A4194" s="205" t="s">
        <v>8321</v>
      </c>
      <c r="B4194" s="162" t="s">
        <v>8322</v>
      </c>
      <c r="C4194" s="168" t="s">
        <v>13505</v>
      </c>
      <c r="D4194" s="162" t="s">
        <v>13506</v>
      </c>
      <c r="E4194" s="168" t="s">
        <v>13507</v>
      </c>
      <c r="F4194" s="162" t="s">
        <v>13508</v>
      </c>
      <c r="G4194" s="168">
        <v>165508</v>
      </c>
      <c r="H4194" s="162" t="s">
        <v>15218</v>
      </c>
      <c r="K4194" s="168" t="s">
        <v>15248</v>
      </c>
      <c r="L4194" s="162" t="s">
        <v>15249</v>
      </c>
      <c r="O4194" s="492"/>
      <c r="P4194" s="492"/>
      <c r="Q4194" s="492"/>
      <c r="R4194" s="492"/>
      <c r="S4194" s="492"/>
      <c r="T4194" s="223" t="s">
        <v>3705</v>
      </c>
      <c r="U4194" t="str">
        <f>VLOOKUP(T4194,[8]Votes!$A$1:$E$234,3,FALSE)</f>
        <v>008 Ministry of Finance, Planning &amp; Economic Dev.</v>
      </c>
      <c r="V4194" s="162" t="s">
        <v>15250</v>
      </c>
      <c r="W4194" s="416">
        <v>1</v>
      </c>
      <c r="X4194" s="416">
        <v>1</v>
      </c>
      <c r="Y4194" s="416">
        <v>1</v>
      </c>
      <c r="Z4194" s="416">
        <v>1</v>
      </c>
      <c r="AA4194" s="416">
        <v>1</v>
      </c>
      <c r="AB4194" s="416">
        <v>0</v>
      </c>
      <c r="AC4194" s="150">
        <v>1</v>
      </c>
      <c r="AD4194" s="150">
        <v>1</v>
      </c>
      <c r="AE4194" s="49">
        <f t="shared" si="152"/>
        <v>0.875</v>
      </c>
      <c r="AF4194" s="485">
        <v>0</v>
      </c>
      <c r="AG4194" s="17">
        <v>0</v>
      </c>
      <c r="AH4194" s="485">
        <v>0.3</v>
      </c>
      <c r="AI4194" s="485">
        <v>0.3</v>
      </c>
      <c r="AJ4194" s="485">
        <v>0.3</v>
      </c>
      <c r="AK4194" s="493">
        <v>0.3</v>
      </c>
      <c r="AL4194" s="493">
        <v>0.3</v>
      </c>
      <c r="AM4194" s="17">
        <f t="shared" si="153"/>
        <v>0.6</v>
      </c>
      <c r="AN4194" s="162" t="s">
        <v>3705</v>
      </c>
      <c r="AO4194" s="162" t="s">
        <v>880</v>
      </c>
    </row>
    <row r="4195" spans="1:41" s="162" customFormat="1" x14ac:dyDescent="0.3">
      <c r="A4195" s="205" t="s">
        <v>8321</v>
      </c>
      <c r="B4195" s="162" t="s">
        <v>8322</v>
      </c>
      <c r="C4195" s="168" t="s">
        <v>13505</v>
      </c>
      <c r="D4195" s="162" t="s">
        <v>13506</v>
      </c>
      <c r="E4195" s="168" t="s">
        <v>13507</v>
      </c>
      <c r="F4195" s="162" t="s">
        <v>13508</v>
      </c>
      <c r="G4195" s="168">
        <v>165508</v>
      </c>
      <c r="H4195" s="162" t="s">
        <v>15218</v>
      </c>
      <c r="K4195" s="168" t="s">
        <v>15251</v>
      </c>
      <c r="L4195" s="162" t="s">
        <v>15252</v>
      </c>
      <c r="M4195" s="162" t="s">
        <v>15253</v>
      </c>
      <c r="O4195" s="492"/>
      <c r="P4195" s="492"/>
      <c r="Q4195" s="492"/>
      <c r="R4195" s="492"/>
      <c r="S4195" s="492"/>
      <c r="T4195" s="223" t="s">
        <v>3705</v>
      </c>
      <c r="U4195" t="str">
        <f>VLOOKUP(T4195,[8]Votes!$A$1:$E$234,3,FALSE)</f>
        <v>008 Ministry of Finance, Planning &amp; Economic Dev.</v>
      </c>
      <c r="V4195" s="162" t="s">
        <v>15254</v>
      </c>
      <c r="W4195" s="416">
        <v>1</v>
      </c>
      <c r="X4195" s="416">
        <v>1</v>
      </c>
      <c r="Y4195" s="416">
        <v>1</v>
      </c>
      <c r="Z4195" s="416">
        <v>1</v>
      </c>
      <c r="AA4195" s="416">
        <v>1</v>
      </c>
      <c r="AB4195" s="416">
        <v>0</v>
      </c>
      <c r="AC4195" s="150">
        <v>1</v>
      </c>
      <c r="AD4195" s="150">
        <v>1</v>
      </c>
      <c r="AE4195" s="49">
        <f t="shared" si="152"/>
        <v>0.875</v>
      </c>
      <c r="AF4195" s="485">
        <v>0</v>
      </c>
      <c r="AG4195" s="17">
        <v>0</v>
      </c>
      <c r="AH4195" s="485">
        <v>0.05</v>
      </c>
      <c r="AI4195" s="485">
        <v>0.05</v>
      </c>
      <c r="AJ4195" s="485">
        <v>0.05</v>
      </c>
      <c r="AK4195" s="493">
        <v>0.05</v>
      </c>
      <c r="AL4195" s="493">
        <v>0.05</v>
      </c>
      <c r="AM4195" s="17">
        <f t="shared" si="153"/>
        <v>0.1</v>
      </c>
      <c r="AN4195" s="162" t="s">
        <v>3705</v>
      </c>
      <c r="AO4195" s="162" t="s">
        <v>880</v>
      </c>
    </row>
    <row r="4196" spans="1:41" s="162" customFormat="1" x14ac:dyDescent="0.3">
      <c r="A4196" s="205" t="s">
        <v>8321</v>
      </c>
      <c r="B4196" s="162" t="s">
        <v>8322</v>
      </c>
      <c r="C4196" s="168" t="s">
        <v>13505</v>
      </c>
      <c r="D4196" s="162" t="s">
        <v>13506</v>
      </c>
      <c r="E4196" s="168" t="s">
        <v>13507</v>
      </c>
      <c r="F4196" s="162" t="s">
        <v>13508</v>
      </c>
      <c r="G4196" s="168">
        <v>165508</v>
      </c>
      <c r="H4196" s="162" t="s">
        <v>15218</v>
      </c>
      <c r="K4196" s="168" t="s">
        <v>15255</v>
      </c>
      <c r="L4196" s="162" t="s">
        <v>15256</v>
      </c>
      <c r="M4196" s="162" t="s">
        <v>15257</v>
      </c>
      <c r="O4196" s="492">
        <v>1</v>
      </c>
      <c r="P4196" s="492">
        <v>1</v>
      </c>
      <c r="Q4196" s="492">
        <v>1</v>
      </c>
      <c r="R4196" s="492">
        <v>1</v>
      </c>
      <c r="S4196" s="492">
        <v>1</v>
      </c>
      <c r="T4196" s="223" t="s">
        <v>3705</v>
      </c>
      <c r="U4196" t="str">
        <f>VLOOKUP(T4196,[8]Votes!$A$1:$E$234,3,FALSE)</f>
        <v>008 Ministry of Finance, Planning &amp; Economic Dev.</v>
      </c>
      <c r="V4196" s="162" t="s">
        <v>15258</v>
      </c>
      <c r="W4196" s="416">
        <v>1</v>
      </c>
      <c r="X4196" s="416">
        <v>1</v>
      </c>
      <c r="Y4196" s="416">
        <v>1</v>
      </c>
      <c r="Z4196" s="416">
        <v>1</v>
      </c>
      <c r="AA4196" s="416">
        <v>1</v>
      </c>
      <c r="AB4196" s="416">
        <v>0</v>
      </c>
      <c r="AC4196" s="150">
        <v>1</v>
      </c>
      <c r="AD4196" s="150">
        <v>1</v>
      </c>
      <c r="AE4196" s="49">
        <f t="shared" si="152"/>
        <v>0.875</v>
      </c>
      <c r="AF4196" s="485">
        <v>0</v>
      </c>
      <c r="AG4196" s="17">
        <v>0</v>
      </c>
      <c r="AH4196" s="485">
        <v>0.06</v>
      </c>
      <c r="AI4196" s="485">
        <v>0.13</v>
      </c>
      <c r="AJ4196" s="485">
        <v>0.18</v>
      </c>
      <c r="AK4196" s="493">
        <v>0.23</v>
      </c>
      <c r="AL4196" s="493">
        <v>0.26</v>
      </c>
      <c r="AM4196" s="17">
        <f t="shared" si="153"/>
        <v>0.49</v>
      </c>
      <c r="AN4196" s="162" t="s">
        <v>3705</v>
      </c>
      <c r="AO4196" s="162" t="s">
        <v>880</v>
      </c>
    </row>
    <row r="4197" spans="1:41" s="162" customFormat="1" x14ac:dyDescent="0.3">
      <c r="A4197" s="205" t="s">
        <v>8321</v>
      </c>
      <c r="B4197" s="162" t="s">
        <v>8322</v>
      </c>
      <c r="C4197" s="168" t="s">
        <v>13505</v>
      </c>
      <c r="D4197" s="162" t="s">
        <v>13506</v>
      </c>
      <c r="E4197" s="168" t="s">
        <v>13507</v>
      </c>
      <c r="F4197" s="162" t="s">
        <v>13508</v>
      </c>
      <c r="G4197" s="168">
        <v>165508</v>
      </c>
      <c r="H4197" s="162" t="s">
        <v>15218</v>
      </c>
      <c r="K4197" s="168" t="s">
        <v>15259</v>
      </c>
      <c r="L4197" s="162" t="s">
        <v>15260</v>
      </c>
      <c r="M4197" s="162" t="s">
        <v>15261</v>
      </c>
      <c r="O4197" s="492"/>
      <c r="P4197" s="492">
        <v>0.3</v>
      </c>
      <c r="Q4197" s="492">
        <v>0.3</v>
      </c>
      <c r="R4197" s="492">
        <v>0.3</v>
      </c>
      <c r="S4197" s="492">
        <v>0.3</v>
      </c>
      <c r="T4197" s="223" t="s">
        <v>3705</v>
      </c>
      <c r="U4197" t="str">
        <f>VLOOKUP(T4197,[8]Votes!$A$1:$E$234,3,FALSE)</f>
        <v>008 Ministry of Finance, Planning &amp; Economic Dev.</v>
      </c>
      <c r="V4197" s="162" t="s">
        <v>15262</v>
      </c>
      <c r="W4197" s="416">
        <v>1</v>
      </c>
      <c r="X4197" s="416">
        <v>1</v>
      </c>
      <c r="Y4197" s="416">
        <v>1</v>
      </c>
      <c r="Z4197" s="416">
        <v>1</v>
      </c>
      <c r="AA4197" s="416">
        <v>1</v>
      </c>
      <c r="AB4197" s="416">
        <v>0</v>
      </c>
      <c r="AC4197" s="150">
        <v>1</v>
      </c>
      <c r="AD4197" s="150">
        <v>1</v>
      </c>
      <c r="AE4197" s="49">
        <f t="shared" si="152"/>
        <v>0.875</v>
      </c>
      <c r="AF4197" s="485">
        <v>0</v>
      </c>
      <c r="AG4197" s="17">
        <v>0</v>
      </c>
      <c r="AH4197" s="485">
        <v>7.0000000000000007E-2</v>
      </c>
      <c r="AI4197" s="485">
        <v>7.0000000000000007E-2</v>
      </c>
      <c r="AJ4197" s="485">
        <v>7.0000000000000007E-2</v>
      </c>
      <c r="AK4197" s="493">
        <v>7.0000000000000007E-2</v>
      </c>
      <c r="AL4197" s="493">
        <v>7.0000000000000007E-2</v>
      </c>
      <c r="AM4197" s="17">
        <f t="shared" si="153"/>
        <v>0.14000000000000001</v>
      </c>
      <c r="AN4197" s="162" t="s">
        <v>3705</v>
      </c>
      <c r="AO4197" s="162" t="s">
        <v>880</v>
      </c>
    </row>
    <row r="4198" spans="1:41" s="162" customFormat="1" ht="16.2" x14ac:dyDescent="0.3">
      <c r="A4198" s="205" t="s">
        <v>8321</v>
      </c>
      <c r="B4198" s="162" t="s">
        <v>8322</v>
      </c>
      <c r="C4198" s="168" t="s">
        <v>13505</v>
      </c>
      <c r="D4198" s="162" t="s">
        <v>13506</v>
      </c>
      <c r="E4198" s="168" t="s">
        <v>13507</v>
      </c>
      <c r="F4198" s="162" t="s">
        <v>13508</v>
      </c>
      <c r="G4198" s="168">
        <v>165508</v>
      </c>
      <c r="H4198" s="162" t="s">
        <v>15218</v>
      </c>
      <c r="K4198" s="168" t="s">
        <v>15259</v>
      </c>
      <c r="L4198" s="162" t="s">
        <v>15260</v>
      </c>
      <c r="M4198" s="162" t="s">
        <v>15263</v>
      </c>
      <c r="O4198" s="492">
        <v>1</v>
      </c>
      <c r="P4198" s="492">
        <v>1</v>
      </c>
      <c r="Q4198" s="492">
        <v>1</v>
      </c>
      <c r="R4198" s="492">
        <v>1</v>
      </c>
      <c r="S4198" s="492">
        <v>1</v>
      </c>
      <c r="T4198" s="223" t="s">
        <v>3705</v>
      </c>
      <c r="U4198" t="str">
        <f>VLOOKUP(T4198,[8]Votes!$A$1:$E$234,3,FALSE)</f>
        <v>008 Ministry of Finance, Planning &amp; Economic Dev.</v>
      </c>
      <c r="V4198" s="162" t="s">
        <v>15264</v>
      </c>
      <c r="W4198" s="416">
        <v>1</v>
      </c>
      <c r="X4198" s="416">
        <v>1</v>
      </c>
      <c r="Y4198" s="416">
        <v>1</v>
      </c>
      <c r="Z4198" s="416">
        <v>1</v>
      </c>
      <c r="AA4198" s="416">
        <v>1</v>
      </c>
      <c r="AB4198" s="416">
        <v>0</v>
      </c>
      <c r="AC4198" s="150">
        <v>1</v>
      </c>
      <c r="AD4198" s="150">
        <v>1</v>
      </c>
      <c r="AE4198" s="49">
        <f t="shared" si="152"/>
        <v>0.875</v>
      </c>
      <c r="AF4198" s="485">
        <v>0</v>
      </c>
      <c r="AG4198" s="17">
        <v>0</v>
      </c>
      <c r="AH4198" s="485">
        <v>5.0000000000000001E-3</v>
      </c>
      <c r="AI4198" s="485">
        <v>5.0000000000000001E-3</v>
      </c>
      <c r="AJ4198" s="485">
        <v>5.0000000000000001E-3</v>
      </c>
      <c r="AK4198" s="493">
        <v>5.0000000000000001E-3</v>
      </c>
      <c r="AL4198" s="493">
        <v>5.0000000000000001E-3</v>
      </c>
      <c r="AM4198" s="17">
        <f t="shared" si="153"/>
        <v>0.01</v>
      </c>
      <c r="AN4198" s="162" t="s">
        <v>3705</v>
      </c>
      <c r="AO4198" s="162" t="s">
        <v>880</v>
      </c>
    </row>
    <row r="4199" spans="1:41" s="162" customFormat="1" ht="16.2" x14ac:dyDescent="0.3">
      <c r="A4199" s="205" t="s">
        <v>8321</v>
      </c>
      <c r="B4199" s="162" t="s">
        <v>8322</v>
      </c>
      <c r="C4199" s="168" t="s">
        <v>13505</v>
      </c>
      <c r="D4199" s="162" t="s">
        <v>13506</v>
      </c>
      <c r="E4199" s="168" t="s">
        <v>13507</v>
      </c>
      <c r="F4199" s="162" t="s">
        <v>13508</v>
      </c>
      <c r="G4199" s="168">
        <v>165508</v>
      </c>
      <c r="H4199" s="162" t="s">
        <v>15218</v>
      </c>
      <c r="K4199" s="168" t="s">
        <v>15259</v>
      </c>
      <c r="L4199" s="162" t="s">
        <v>15260</v>
      </c>
      <c r="M4199" s="162" t="s">
        <v>15263</v>
      </c>
      <c r="O4199" s="492"/>
      <c r="P4199" s="492"/>
      <c r="Q4199" s="492"/>
      <c r="R4199" s="492"/>
      <c r="S4199" s="492"/>
      <c r="T4199" s="223" t="s">
        <v>3705</v>
      </c>
      <c r="U4199" t="str">
        <f>VLOOKUP(T4199,[8]Votes!$A$1:$E$234,3,FALSE)</f>
        <v>008 Ministry of Finance, Planning &amp; Economic Dev.</v>
      </c>
      <c r="V4199" s="162" t="s">
        <v>15265</v>
      </c>
      <c r="W4199" s="416">
        <v>1</v>
      </c>
      <c r="X4199" s="416">
        <v>1</v>
      </c>
      <c r="Y4199" s="416">
        <v>1</v>
      </c>
      <c r="Z4199" s="416">
        <v>1</v>
      </c>
      <c r="AA4199" s="416">
        <v>1</v>
      </c>
      <c r="AB4199" s="416">
        <v>0</v>
      </c>
      <c r="AC4199" s="150">
        <v>1</v>
      </c>
      <c r="AD4199" s="150">
        <v>1</v>
      </c>
      <c r="AE4199" s="49">
        <f t="shared" si="152"/>
        <v>0.875</v>
      </c>
      <c r="AF4199" s="485">
        <v>0</v>
      </c>
      <c r="AG4199" s="17">
        <v>0</v>
      </c>
      <c r="AH4199" s="485">
        <v>0.05</v>
      </c>
      <c r="AI4199" s="485">
        <v>0.05</v>
      </c>
      <c r="AJ4199" s="485">
        <v>0.05</v>
      </c>
      <c r="AK4199" s="493">
        <v>0.05</v>
      </c>
      <c r="AL4199" s="493">
        <v>0.05</v>
      </c>
      <c r="AM4199" s="17">
        <f t="shared" si="153"/>
        <v>0.1</v>
      </c>
      <c r="AN4199" s="162" t="s">
        <v>3705</v>
      </c>
      <c r="AO4199" s="162" t="s">
        <v>880</v>
      </c>
    </row>
    <row r="4200" spans="1:41" s="162" customFormat="1" ht="16.2" x14ac:dyDescent="0.3">
      <c r="A4200" s="205" t="s">
        <v>8321</v>
      </c>
      <c r="B4200" s="162" t="s">
        <v>8322</v>
      </c>
      <c r="C4200" s="168" t="s">
        <v>13505</v>
      </c>
      <c r="D4200" s="162" t="s">
        <v>13506</v>
      </c>
      <c r="E4200" s="168" t="s">
        <v>13507</v>
      </c>
      <c r="F4200" s="162" t="s">
        <v>13508</v>
      </c>
      <c r="G4200" s="168">
        <v>165508</v>
      </c>
      <c r="H4200" s="162" t="s">
        <v>15218</v>
      </c>
      <c r="K4200" s="168" t="s">
        <v>15259</v>
      </c>
      <c r="L4200" s="162" t="s">
        <v>15260</v>
      </c>
      <c r="M4200" s="162" t="s">
        <v>15263</v>
      </c>
      <c r="O4200" s="492"/>
      <c r="P4200" s="492">
        <v>1</v>
      </c>
      <c r="Q4200" s="492">
        <v>1</v>
      </c>
      <c r="R4200" s="492">
        <v>1</v>
      </c>
      <c r="S4200" s="492">
        <v>1</v>
      </c>
      <c r="T4200" s="223" t="s">
        <v>3705</v>
      </c>
      <c r="U4200" t="str">
        <f>VLOOKUP(T4200,[8]Votes!$A$1:$E$234,3,FALSE)</f>
        <v>008 Ministry of Finance, Planning &amp; Economic Dev.</v>
      </c>
      <c r="V4200" s="162" t="s">
        <v>15266</v>
      </c>
      <c r="W4200" s="416">
        <v>1</v>
      </c>
      <c r="X4200" s="416">
        <v>1</v>
      </c>
      <c r="Y4200" s="416">
        <v>1</v>
      </c>
      <c r="Z4200" s="416">
        <v>1</v>
      </c>
      <c r="AA4200" s="416">
        <v>1</v>
      </c>
      <c r="AB4200" s="416">
        <v>0</v>
      </c>
      <c r="AC4200" s="150">
        <v>1</v>
      </c>
      <c r="AD4200" s="150">
        <v>1</v>
      </c>
      <c r="AE4200" s="49">
        <f t="shared" si="152"/>
        <v>0.875</v>
      </c>
      <c r="AF4200" s="485">
        <v>0</v>
      </c>
      <c r="AG4200" s="17">
        <v>0</v>
      </c>
      <c r="AH4200" s="485">
        <v>0.05</v>
      </c>
      <c r="AI4200" s="485">
        <v>0.05</v>
      </c>
      <c r="AJ4200" s="485">
        <v>0.05</v>
      </c>
      <c r="AK4200" s="493">
        <v>0.05</v>
      </c>
      <c r="AL4200" s="493">
        <v>0.05</v>
      </c>
      <c r="AM4200" s="17">
        <f t="shared" si="153"/>
        <v>0.1</v>
      </c>
      <c r="AN4200" s="162" t="s">
        <v>3705</v>
      </c>
      <c r="AO4200" s="162" t="s">
        <v>880</v>
      </c>
    </row>
    <row r="4201" spans="1:41" s="162" customFormat="1" ht="16.2" x14ac:dyDescent="0.3">
      <c r="A4201" s="205" t="s">
        <v>8321</v>
      </c>
      <c r="B4201" s="162" t="s">
        <v>8322</v>
      </c>
      <c r="C4201" s="168" t="s">
        <v>13505</v>
      </c>
      <c r="D4201" s="162" t="s">
        <v>13506</v>
      </c>
      <c r="E4201" s="168" t="s">
        <v>13507</v>
      </c>
      <c r="F4201" s="162" t="s">
        <v>13508</v>
      </c>
      <c r="G4201" s="168">
        <v>165508</v>
      </c>
      <c r="H4201" s="162" t="s">
        <v>15218</v>
      </c>
      <c r="K4201" s="168" t="s">
        <v>15259</v>
      </c>
      <c r="L4201" s="162" t="s">
        <v>15260</v>
      </c>
      <c r="M4201" s="162" t="s">
        <v>15263</v>
      </c>
      <c r="O4201" s="492"/>
      <c r="P4201" s="492">
        <v>0.3</v>
      </c>
      <c r="Q4201" s="224">
        <v>30</v>
      </c>
      <c r="R4201" s="492">
        <v>0.3</v>
      </c>
      <c r="S4201" s="492">
        <v>0.3</v>
      </c>
      <c r="T4201" s="223" t="s">
        <v>3705</v>
      </c>
      <c r="U4201" t="str">
        <f>VLOOKUP(T4201,[8]Votes!$A$1:$E$234,3,FALSE)</f>
        <v>008 Ministry of Finance, Planning &amp; Economic Dev.</v>
      </c>
      <c r="V4201" s="162" t="s">
        <v>15267</v>
      </c>
      <c r="W4201" s="416">
        <v>1</v>
      </c>
      <c r="X4201" s="416">
        <v>1</v>
      </c>
      <c r="Y4201" s="416">
        <v>1</v>
      </c>
      <c r="Z4201" s="416">
        <v>1</v>
      </c>
      <c r="AA4201" s="416">
        <v>1</v>
      </c>
      <c r="AB4201" s="416">
        <v>0</v>
      </c>
      <c r="AC4201" s="150">
        <v>1</v>
      </c>
      <c r="AD4201" s="150">
        <v>1</v>
      </c>
      <c r="AE4201" s="49">
        <f t="shared" si="152"/>
        <v>0.875</v>
      </c>
      <c r="AF4201" s="485">
        <v>0</v>
      </c>
      <c r="AG4201" s="17">
        <v>0</v>
      </c>
      <c r="AH4201" s="485">
        <v>0.02</v>
      </c>
      <c r="AI4201" s="485">
        <v>0.02</v>
      </c>
      <c r="AJ4201" s="485">
        <v>0.02</v>
      </c>
      <c r="AK4201" s="493">
        <v>0.02</v>
      </c>
      <c r="AL4201" s="493">
        <v>0.02</v>
      </c>
      <c r="AM4201" s="17">
        <f t="shared" si="153"/>
        <v>0.04</v>
      </c>
      <c r="AN4201" s="162" t="s">
        <v>3705</v>
      </c>
      <c r="AO4201" s="162" t="s">
        <v>880</v>
      </c>
    </row>
    <row r="4202" spans="1:41" s="162" customFormat="1" ht="16.2" x14ac:dyDescent="0.3">
      <c r="A4202" s="205" t="s">
        <v>8321</v>
      </c>
      <c r="B4202" s="162" t="s">
        <v>8322</v>
      </c>
      <c r="C4202" s="168" t="s">
        <v>13505</v>
      </c>
      <c r="D4202" s="162" t="s">
        <v>13506</v>
      </c>
      <c r="E4202" s="168" t="s">
        <v>13507</v>
      </c>
      <c r="F4202" s="162" t="s">
        <v>13508</v>
      </c>
      <c r="G4202" s="168">
        <v>165508</v>
      </c>
      <c r="H4202" s="162" t="s">
        <v>15218</v>
      </c>
      <c r="K4202" s="168" t="s">
        <v>15259</v>
      </c>
      <c r="L4202" s="162" t="s">
        <v>15260</v>
      </c>
      <c r="M4202" s="162" t="s">
        <v>15263</v>
      </c>
      <c r="O4202" s="224"/>
      <c r="P4202" s="224" t="s">
        <v>15268</v>
      </c>
      <c r="Q4202" s="224" t="s">
        <v>15268</v>
      </c>
      <c r="R4202" s="224" t="s">
        <v>15268</v>
      </c>
      <c r="S4202" s="224" t="s">
        <v>15268</v>
      </c>
      <c r="T4202" s="223" t="s">
        <v>3705</v>
      </c>
      <c r="U4202" t="str">
        <f>VLOOKUP(T4202,[8]Votes!$A$1:$E$234,3,FALSE)</f>
        <v>008 Ministry of Finance, Planning &amp; Economic Dev.</v>
      </c>
      <c r="V4202" s="162" t="s">
        <v>15269</v>
      </c>
      <c r="W4202" s="416">
        <v>1</v>
      </c>
      <c r="X4202" s="416">
        <v>1</v>
      </c>
      <c r="Y4202" s="416">
        <v>1</v>
      </c>
      <c r="Z4202" s="416">
        <v>1</v>
      </c>
      <c r="AA4202" s="416">
        <v>1</v>
      </c>
      <c r="AB4202" s="416">
        <v>0</v>
      </c>
      <c r="AC4202" s="150">
        <v>1</v>
      </c>
      <c r="AD4202" s="150">
        <v>1</v>
      </c>
      <c r="AE4202" s="49">
        <f t="shared" si="152"/>
        <v>0.875</v>
      </c>
      <c r="AF4202" s="485">
        <v>0</v>
      </c>
      <c r="AG4202" s="17">
        <v>0</v>
      </c>
      <c r="AH4202" s="485">
        <v>0.02</v>
      </c>
      <c r="AI4202" s="485">
        <v>0.02</v>
      </c>
      <c r="AJ4202" s="485">
        <v>0.02</v>
      </c>
      <c r="AK4202" s="493">
        <v>0.02</v>
      </c>
      <c r="AL4202" s="493">
        <v>0.02</v>
      </c>
      <c r="AM4202" s="17">
        <f t="shared" si="153"/>
        <v>0.04</v>
      </c>
      <c r="AN4202" s="162" t="s">
        <v>3705</v>
      </c>
      <c r="AO4202" s="162" t="s">
        <v>880</v>
      </c>
    </row>
    <row r="4203" spans="1:41" s="162" customFormat="1" x14ac:dyDescent="0.3">
      <c r="A4203" s="205" t="s">
        <v>8321</v>
      </c>
      <c r="B4203" s="162" t="s">
        <v>8322</v>
      </c>
      <c r="C4203" s="168" t="s">
        <v>13505</v>
      </c>
      <c r="D4203" s="162" t="s">
        <v>13506</v>
      </c>
      <c r="E4203" s="168" t="s">
        <v>13507</v>
      </c>
      <c r="F4203" s="162" t="s">
        <v>13508</v>
      </c>
      <c r="G4203" s="168">
        <v>165508</v>
      </c>
      <c r="H4203" s="162" t="s">
        <v>15218</v>
      </c>
      <c r="K4203" s="168" t="s">
        <v>15270</v>
      </c>
      <c r="L4203" s="162" t="s">
        <v>15271</v>
      </c>
      <c r="M4203" s="162" t="s">
        <v>15272</v>
      </c>
      <c r="O4203" s="224">
        <v>1</v>
      </c>
      <c r="P4203" s="224">
        <v>1</v>
      </c>
      <c r="Q4203" s="224">
        <v>1</v>
      </c>
      <c r="R4203" s="224">
        <v>1</v>
      </c>
      <c r="S4203" s="224">
        <v>1</v>
      </c>
      <c r="T4203" s="223" t="s">
        <v>3705</v>
      </c>
      <c r="U4203" t="str">
        <f>VLOOKUP(T4203,[8]Votes!$A$1:$E$234,3,FALSE)</f>
        <v>008 Ministry of Finance, Planning &amp; Economic Dev.</v>
      </c>
      <c r="V4203" s="162" t="s">
        <v>15273</v>
      </c>
      <c r="W4203" s="416">
        <v>1</v>
      </c>
      <c r="X4203" s="416">
        <v>1</v>
      </c>
      <c r="Y4203" s="416">
        <v>1</v>
      </c>
      <c r="Z4203" s="416">
        <v>1</v>
      </c>
      <c r="AA4203" s="416">
        <v>1</v>
      </c>
      <c r="AB4203" s="416">
        <v>0</v>
      </c>
      <c r="AC4203" s="150">
        <v>1</v>
      </c>
      <c r="AD4203" s="150">
        <v>1</v>
      </c>
      <c r="AE4203" s="49">
        <f t="shared" si="152"/>
        <v>0.875</v>
      </c>
      <c r="AF4203" s="485">
        <v>0</v>
      </c>
      <c r="AG4203" s="17">
        <v>0</v>
      </c>
      <c r="AH4203" s="485">
        <v>2.5000000000000001E-2</v>
      </c>
      <c r="AI4203" s="485">
        <v>2.5000000000000001E-2</v>
      </c>
      <c r="AJ4203" s="485">
        <v>2.5000000000000001E-2</v>
      </c>
      <c r="AK4203" s="493">
        <v>2.5000000000000001E-2</v>
      </c>
      <c r="AL4203" s="493">
        <v>2.5000000000000001E-2</v>
      </c>
      <c r="AM4203" s="17">
        <f t="shared" si="153"/>
        <v>0.05</v>
      </c>
      <c r="AN4203" s="162" t="s">
        <v>3705</v>
      </c>
      <c r="AO4203" s="162" t="s">
        <v>880</v>
      </c>
    </row>
    <row r="4204" spans="1:41" s="162" customFormat="1" x14ac:dyDescent="0.3">
      <c r="A4204" s="205" t="s">
        <v>8321</v>
      </c>
      <c r="B4204" s="162" t="s">
        <v>8322</v>
      </c>
      <c r="C4204" s="168" t="s">
        <v>13505</v>
      </c>
      <c r="D4204" s="162" t="s">
        <v>13506</v>
      </c>
      <c r="E4204" s="168" t="s">
        <v>13507</v>
      </c>
      <c r="F4204" s="162" t="s">
        <v>13508</v>
      </c>
      <c r="G4204" s="168">
        <v>165508</v>
      </c>
      <c r="H4204" s="162" t="s">
        <v>15218</v>
      </c>
      <c r="K4204" s="168" t="s">
        <v>15270</v>
      </c>
      <c r="L4204" s="162" t="s">
        <v>15271</v>
      </c>
      <c r="M4204" s="162" t="s">
        <v>15272</v>
      </c>
      <c r="O4204" s="224">
        <v>1</v>
      </c>
      <c r="P4204" s="224">
        <v>1</v>
      </c>
      <c r="Q4204" s="224">
        <v>1</v>
      </c>
      <c r="R4204" s="224">
        <v>1</v>
      </c>
      <c r="S4204" s="224">
        <v>1</v>
      </c>
      <c r="T4204" s="223" t="s">
        <v>3705</v>
      </c>
      <c r="U4204" t="str">
        <f>VLOOKUP(T4204,[8]Votes!$A$1:$E$234,3,FALSE)</f>
        <v>008 Ministry of Finance, Planning &amp; Economic Dev.</v>
      </c>
      <c r="V4204" s="162" t="s">
        <v>15274</v>
      </c>
      <c r="W4204" s="416">
        <v>1</v>
      </c>
      <c r="X4204" s="416">
        <v>1</v>
      </c>
      <c r="Y4204" s="416">
        <v>1</v>
      </c>
      <c r="Z4204" s="416">
        <v>1</v>
      </c>
      <c r="AA4204" s="416">
        <v>1</v>
      </c>
      <c r="AB4204" s="416">
        <v>0</v>
      </c>
      <c r="AC4204" s="150">
        <v>1</v>
      </c>
      <c r="AD4204" s="150">
        <v>1</v>
      </c>
      <c r="AE4204" s="49">
        <f t="shared" si="152"/>
        <v>0.875</v>
      </c>
      <c r="AF4204" s="485">
        <v>0</v>
      </c>
      <c r="AG4204" s="17">
        <v>0</v>
      </c>
      <c r="AH4204" s="485">
        <v>0.05</v>
      </c>
      <c r="AI4204" s="485">
        <v>0.05</v>
      </c>
      <c r="AJ4204" s="485">
        <v>0.05</v>
      </c>
      <c r="AK4204" s="493">
        <v>0.05</v>
      </c>
      <c r="AL4204" s="493">
        <v>0.05</v>
      </c>
      <c r="AM4204" s="17">
        <f t="shared" si="153"/>
        <v>0.1</v>
      </c>
      <c r="AN4204" s="162" t="s">
        <v>3705</v>
      </c>
      <c r="AO4204" s="162" t="s">
        <v>880</v>
      </c>
    </row>
    <row r="4205" spans="1:41" s="162" customFormat="1" x14ac:dyDescent="0.3">
      <c r="A4205" s="205" t="s">
        <v>8321</v>
      </c>
      <c r="B4205" s="162" t="s">
        <v>8322</v>
      </c>
      <c r="C4205" s="168" t="s">
        <v>13505</v>
      </c>
      <c r="D4205" s="162" t="s">
        <v>13506</v>
      </c>
      <c r="E4205" s="168" t="s">
        <v>13507</v>
      </c>
      <c r="F4205" s="162" t="s">
        <v>13508</v>
      </c>
      <c r="G4205" s="168">
        <v>165508</v>
      </c>
      <c r="H4205" s="162" t="s">
        <v>15218</v>
      </c>
      <c r="K4205" s="168" t="s">
        <v>15270</v>
      </c>
      <c r="L4205" s="162" t="s">
        <v>15271</v>
      </c>
      <c r="M4205" s="162" t="s">
        <v>15272</v>
      </c>
      <c r="O4205" s="224"/>
      <c r="P4205" s="224"/>
      <c r="Q4205" s="224"/>
      <c r="R4205" s="224"/>
      <c r="S4205" s="224"/>
      <c r="T4205" s="223" t="s">
        <v>3705</v>
      </c>
      <c r="U4205" t="str">
        <f>VLOOKUP(T4205,[8]Votes!$A$1:$E$234,3,FALSE)</f>
        <v>008 Ministry of Finance, Planning &amp; Economic Dev.</v>
      </c>
      <c r="V4205" s="162" t="s">
        <v>15275</v>
      </c>
      <c r="W4205" s="416">
        <v>1</v>
      </c>
      <c r="X4205" s="416">
        <v>1</v>
      </c>
      <c r="Y4205" s="416">
        <v>1</v>
      </c>
      <c r="Z4205" s="416">
        <v>1</v>
      </c>
      <c r="AA4205" s="416">
        <v>1</v>
      </c>
      <c r="AB4205" s="416">
        <v>0</v>
      </c>
      <c r="AC4205" s="150">
        <v>1</v>
      </c>
      <c r="AD4205" s="150">
        <v>1</v>
      </c>
      <c r="AE4205" s="49">
        <f t="shared" si="152"/>
        <v>0.875</v>
      </c>
      <c r="AF4205" s="485">
        <v>0</v>
      </c>
      <c r="AG4205" s="17">
        <v>0</v>
      </c>
      <c r="AH4205" s="485">
        <v>0.05</v>
      </c>
      <c r="AI4205" s="485">
        <v>0.1</v>
      </c>
      <c r="AJ4205" s="485">
        <v>0.1</v>
      </c>
      <c r="AK4205" s="493">
        <v>0.1</v>
      </c>
      <c r="AL4205" s="493">
        <v>0.1</v>
      </c>
      <c r="AM4205" s="17">
        <f t="shared" si="153"/>
        <v>0.2</v>
      </c>
      <c r="AN4205" s="162" t="s">
        <v>3705</v>
      </c>
      <c r="AO4205" s="162" t="s">
        <v>880</v>
      </c>
    </row>
    <row r="4206" spans="1:41" s="162" customFormat="1" x14ac:dyDescent="0.3">
      <c r="A4206" s="205" t="s">
        <v>8321</v>
      </c>
      <c r="B4206" s="162" t="s">
        <v>8322</v>
      </c>
      <c r="C4206" s="168" t="s">
        <v>13505</v>
      </c>
      <c r="D4206" s="162" t="s">
        <v>13506</v>
      </c>
      <c r="E4206" s="168" t="s">
        <v>13507</v>
      </c>
      <c r="F4206" s="162" t="s">
        <v>13508</v>
      </c>
      <c r="G4206" s="168">
        <v>165508</v>
      </c>
      <c r="H4206" s="162" t="s">
        <v>15218</v>
      </c>
      <c r="K4206" s="168" t="s">
        <v>15270</v>
      </c>
      <c r="L4206" s="162" t="s">
        <v>15271</v>
      </c>
      <c r="M4206" s="162" t="s">
        <v>15272</v>
      </c>
      <c r="O4206" s="224"/>
      <c r="P4206" s="224"/>
      <c r="Q4206" s="224"/>
      <c r="R4206" s="224"/>
      <c r="S4206" s="224"/>
      <c r="T4206" s="223" t="s">
        <v>3705</v>
      </c>
      <c r="U4206" t="str">
        <f>VLOOKUP(T4206,[8]Votes!$A$1:$E$234,3,FALSE)</f>
        <v>008 Ministry of Finance, Planning &amp; Economic Dev.</v>
      </c>
      <c r="V4206" s="162" t="s">
        <v>15276</v>
      </c>
      <c r="W4206" s="416">
        <v>1</v>
      </c>
      <c r="X4206" s="416">
        <v>1</v>
      </c>
      <c r="Y4206" s="416">
        <v>1</v>
      </c>
      <c r="Z4206" s="416">
        <v>1</v>
      </c>
      <c r="AA4206" s="416">
        <v>1</v>
      </c>
      <c r="AB4206" s="416">
        <v>0</v>
      </c>
      <c r="AC4206" s="150">
        <v>1</v>
      </c>
      <c r="AD4206" s="150">
        <v>1</v>
      </c>
      <c r="AE4206" s="49">
        <f t="shared" si="152"/>
        <v>0.875</v>
      </c>
      <c r="AF4206" s="485">
        <v>0</v>
      </c>
      <c r="AG4206" s="17">
        <v>0</v>
      </c>
      <c r="AH4206" s="485">
        <v>0.125</v>
      </c>
      <c r="AI4206" s="485">
        <v>0.17499999999999999</v>
      </c>
      <c r="AJ4206" s="485">
        <v>0.17499999999999999</v>
      </c>
      <c r="AK4206" s="493">
        <v>0.17499999999999999</v>
      </c>
      <c r="AL4206" s="493">
        <v>0.17499999999999999</v>
      </c>
      <c r="AM4206" s="17">
        <f t="shared" si="153"/>
        <v>0.35</v>
      </c>
      <c r="AN4206" s="162" t="s">
        <v>3705</v>
      </c>
      <c r="AO4206" s="162" t="s">
        <v>880</v>
      </c>
    </row>
    <row r="4207" spans="1:41" s="162" customFormat="1" x14ac:dyDescent="0.3">
      <c r="A4207" s="205" t="s">
        <v>8321</v>
      </c>
      <c r="B4207" s="162" t="s">
        <v>8322</v>
      </c>
      <c r="C4207" s="168" t="s">
        <v>13505</v>
      </c>
      <c r="D4207" s="162" t="s">
        <v>13506</v>
      </c>
      <c r="E4207" s="168" t="s">
        <v>13507</v>
      </c>
      <c r="F4207" s="162" t="s">
        <v>13508</v>
      </c>
      <c r="G4207" s="168">
        <v>165508</v>
      </c>
      <c r="H4207" s="162" t="s">
        <v>15218</v>
      </c>
      <c r="K4207" s="168" t="s">
        <v>15277</v>
      </c>
      <c r="L4207" s="162" t="s">
        <v>15278</v>
      </c>
      <c r="M4207" s="162" t="s">
        <v>15279</v>
      </c>
      <c r="O4207" s="224">
        <v>0</v>
      </c>
      <c r="P4207" s="224">
        <v>0.25</v>
      </c>
      <c r="Q4207" s="224">
        <v>0.25</v>
      </c>
      <c r="R4207" s="224">
        <v>0.25</v>
      </c>
      <c r="S4207" s="224">
        <v>0.25</v>
      </c>
      <c r="T4207" s="223" t="s">
        <v>3705</v>
      </c>
      <c r="U4207" t="str">
        <f>VLOOKUP(T4207,[8]Votes!$A$1:$E$234,3,FALSE)</f>
        <v>008 Ministry of Finance, Planning &amp; Economic Dev.</v>
      </c>
      <c r="V4207" s="162" t="s">
        <v>15280</v>
      </c>
      <c r="W4207" s="416">
        <v>1</v>
      </c>
      <c r="X4207" s="416">
        <v>1</v>
      </c>
      <c r="Y4207" s="416">
        <v>1</v>
      </c>
      <c r="Z4207" s="416">
        <v>1</v>
      </c>
      <c r="AA4207" s="416">
        <v>1</v>
      </c>
      <c r="AB4207" s="416">
        <v>0</v>
      </c>
      <c r="AC4207" s="150">
        <v>1</v>
      </c>
      <c r="AD4207" s="150">
        <v>1</v>
      </c>
      <c r="AE4207" s="49">
        <f t="shared" si="152"/>
        <v>0.875</v>
      </c>
      <c r="AF4207" s="485">
        <v>0</v>
      </c>
      <c r="AG4207" s="17">
        <v>0</v>
      </c>
      <c r="AH4207" s="485">
        <v>2.5000000000000001E-2</v>
      </c>
      <c r="AI4207" s="485">
        <v>2.5000000000000001E-2</v>
      </c>
      <c r="AJ4207" s="485">
        <v>2.5000000000000001E-2</v>
      </c>
      <c r="AK4207" s="493">
        <v>2.5000000000000001E-2</v>
      </c>
      <c r="AL4207" s="493">
        <v>2.5000000000000001E-2</v>
      </c>
      <c r="AM4207" s="17">
        <f t="shared" si="153"/>
        <v>0.05</v>
      </c>
      <c r="AN4207" s="162" t="s">
        <v>3705</v>
      </c>
      <c r="AO4207" s="162" t="s">
        <v>880</v>
      </c>
    </row>
    <row r="4208" spans="1:41" s="162" customFormat="1" x14ac:dyDescent="0.3">
      <c r="A4208" s="205" t="s">
        <v>8321</v>
      </c>
      <c r="B4208" s="162" t="s">
        <v>8322</v>
      </c>
      <c r="C4208" s="168" t="s">
        <v>13505</v>
      </c>
      <c r="D4208" s="162" t="s">
        <v>13506</v>
      </c>
      <c r="E4208" s="168" t="s">
        <v>13507</v>
      </c>
      <c r="F4208" s="162" t="s">
        <v>13508</v>
      </c>
      <c r="G4208" s="168">
        <v>165508</v>
      </c>
      <c r="H4208" s="162" t="s">
        <v>15218</v>
      </c>
      <c r="K4208" s="168" t="s">
        <v>15277</v>
      </c>
      <c r="L4208" s="162" t="s">
        <v>15278</v>
      </c>
      <c r="M4208" s="162" t="s">
        <v>15281</v>
      </c>
      <c r="O4208" s="224"/>
      <c r="P4208" s="224"/>
      <c r="Q4208" s="224"/>
      <c r="R4208" s="224"/>
      <c r="S4208" s="224"/>
      <c r="T4208" s="223" t="s">
        <v>3705</v>
      </c>
      <c r="U4208" t="str">
        <f>VLOOKUP(T4208,[8]Votes!$A$1:$E$234,3,FALSE)</f>
        <v>008 Ministry of Finance, Planning &amp; Economic Dev.</v>
      </c>
      <c r="V4208" s="162" t="s">
        <v>15282</v>
      </c>
      <c r="W4208" s="416">
        <v>1</v>
      </c>
      <c r="X4208" s="416">
        <v>1</v>
      </c>
      <c r="Y4208" s="416">
        <v>1</v>
      </c>
      <c r="Z4208" s="416">
        <v>1</v>
      </c>
      <c r="AA4208" s="416">
        <v>1</v>
      </c>
      <c r="AB4208" s="416">
        <v>0</v>
      </c>
      <c r="AC4208" s="150">
        <v>1</v>
      </c>
      <c r="AD4208" s="150">
        <v>1</v>
      </c>
      <c r="AE4208" s="49">
        <f t="shared" si="152"/>
        <v>0.875</v>
      </c>
      <c r="AF4208" s="485">
        <v>0</v>
      </c>
      <c r="AG4208" s="17">
        <v>0</v>
      </c>
      <c r="AH4208" s="485">
        <v>0.05</v>
      </c>
      <c r="AI4208" s="485">
        <v>0.05</v>
      </c>
      <c r="AJ4208" s="485">
        <v>0.05</v>
      </c>
      <c r="AK4208" s="493">
        <v>0.05</v>
      </c>
      <c r="AL4208" s="493">
        <v>0.05</v>
      </c>
      <c r="AM4208" s="17">
        <f t="shared" si="153"/>
        <v>0.1</v>
      </c>
      <c r="AN4208" s="162" t="s">
        <v>3705</v>
      </c>
      <c r="AO4208" s="162" t="s">
        <v>880</v>
      </c>
    </row>
    <row r="4209" spans="1:41" s="162" customFormat="1" x14ac:dyDescent="0.3">
      <c r="A4209" s="205" t="s">
        <v>8321</v>
      </c>
      <c r="B4209" s="162" t="s">
        <v>8322</v>
      </c>
      <c r="C4209" s="168" t="s">
        <v>13505</v>
      </c>
      <c r="D4209" s="162" t="s">
        <v>13506</v>
      </c>
      <c r="E4209" s="168" t="s">
        <v>13507</v>
      </c>
      <c r="F4209" s="162" t="s">
        <v>13508</v>
      </c>
      <c r="G4209" s="168">
        <v>165508</v>
      </c>
      <c r="H4209" s="162" t="s">
        <v>15218</v>
      </c>
      <c r="K4209" s="168" t="s">
        <v>15277</v>
      </c>
      <c r="L4209" s="162" t="s">
        <v>15278</v>
      </c>
      <c r="M4209" s="162" t="s">
        <v>15281</v>
      </c>
      <c r="O4209" s="224"/>
      <c r="P4209" s="224"/>
      <c r="Q4209" s="224"/>
      <c r="R4209" s="224"/>
      <c r="S4209" s="224"/>
      <c r="T4209" s="223" t="s">
        <v>3705</v>
      </c>
      <c r="U4209" t="str">
        <f>VLOOKUP(T4209,[8]Votes!$A$1:$E$234,3,FALSE)</f>
        <v>008 Ministry of Finance, Planning &amp; Economic Dev.</v>
      </c>
      <c r="V4209" s="162" t="s">
        <v>15283</v>
      </c>
      <c r="W4209" s="416">
        <v>1</v>
      </c>
      <c r="X4209" s="416">
        <v>1</v>
      </c>
      <c r="Y4209" s="416">
        <v>1</v>
      </c>
      <c r="Z4209" s="416">
        <v>1</v>
      </c>
      <c r="AA4209" s="416">
        <v>1</v>
      </c>
      <c r="AB4209" s="416">
        <v>0</v>
      </c>
      <c r="AC4209" s="150">
        <v>1</v>
      </c>
      <c r="AD4209" s="150">
        <v>1</v>
      </c>
      <c r="AE4209" s="49">
        <f t="shared" si="152"/>
        <v>0.875</v>
      </c>
      <c r="AF4209" s="485">
        <v>0</v>
      </c>
      <c r="AG4209" s="17">
        <v>0</v>
      </c>
      <c r="AH4209" s="485">
        <v>2.5000000000000001E-2</v>
      </c>
      <c r="AI4209" s="485">
        <v>2.5000000000000001E-2</v>
      </c>
      <c r="AJ4209" s="485">
        <v>2.5000000000000001E-2</v>
      </c>
      <c r="AK4209" s="493">
        <v>2.5000000000000001E-2</v>
      </c>
      <c r="AL4209" s="493">
        <v>2.5000000000000001E-2</v>
      </c>
      <c r="AM4209" s="17">
        <f t="shared" si="153"/>
        <v>0.05</v>
      </c>
      <c r="AN4209" s="162" t="s">
        <v>3705</v>
      </c>
      <c r="AO4209" s="162" t="s">
        <v>880</v>
      </c>
    </row>
    <row r="4210" spans="1:41" s="162" customFormat="1" x14ac:dyDescent="0.3">
      <c r="A4210" s="205" t="s">
        <v>8321</v>
      </c>
      <c r="B4210" s="162" t="s">
        <v>8322</v>
      </c>
      <c r="C4210" s="168" t="s">
        <v>13505</v>
      </c>
      <c r="D4210" s="162" t="s">
        <v>13506</v>
      </c>
      <c r="E4210" s="168" t="s">
        <v>13507</v>
      </c>
      <c r="F4210" s="162" t="s">
        <v>13508</v>
      </c>
      <c r="G4210" s="168">
        <v>165508</v>
      </c>
      <c r="H4210" s="162" t="s">
        <v>15218</v>
      </c>
      <c r="K4210" s="168" t="s">
        <v>15284</v>
      </c>
      <c r="L4210" s="162" t="s">
        <v>15285</v>
      </c>
      <c r="M4210" s="162" t="s">
        <v>15286</v>
      </c>
      <c r="O4210" s="224">
        <v>1</v>
      </c>
      <c r="P4210" s="224">
        <v>1</v>
      </c>
      <c r="Q4210" s="224">
        <v>1</v>
      </c>
      <c r="R4210" s="224">
        <v>1</v>
      </c>
      <c r="S4210" s="224">
        <v>1</v>
      </c>
      <c r="T4210" s="223" t="s">
        <v>3705</v>
      </c>
      <c r="U4210" t="str">
        <f>VLOOKUP(T4210,[8]Votes!$A$1:$E$234,3,FALSE)</f>
        <v>008 Ministry of Finance, Planning &amp; Economic Dev.</v>
      </c>
      <c r="V4210" s="162" t="s">
        <v>15287</v>
      </c>
      <c r="W4210" s="416">
        <v>1</v>
      </c>
      <c r="X4210" s="416">
        <v>1</v>
      </c>
      <c r="Y4210" s="416">
        <v>1</v>
      </c>
      <c r="Z4210" s="416">
        <v>1</v>
      </c>
      <c r="AA4210" s="416">
        <v>1</v>
      </c>
      <c r="AB4210" s="416">
        <v>0</v>
      </c>
      <c r="AC4210" s="150">
        <v>1</v>
      </c>
      <c r="AD4210" s="150">
        <v>1</v>
      </c>
      <c r="AE4210" s="49">
        <f t="shared" si="152"/>
        <v>0.875</v>
      </c>
      <c r="AF4210" s="485">
        <v>0</v>
      </c>
      <c r="AG4210" s="17">
        <v>0</v>
      </c>
      <c r="AH4210" s="485">
        <v>0.1</v>
      </c>
      <c r="AI4210" s="485">
        <v>0.1</v>
      </c>
      <c r="AJ4210" s="485">
        <v>0.1</v>
      </c>
      <c r="AK4210" s="493">
        <v>0.1</v>
      </c>
      <c r="AL4210" s="493">
        <v>0.1</v>
      </c>
      <c r="AM4210" s="17">
        <f t="shared" si="153"/>
        <v>0.2</v>
      </c>
      <c r="AN4210" s="162" t="s">
        <v>3705</v>
      </c>
      <c r="AO4210" s="162" t="s">
        <v>880</v>
      </c>
    </row>
    <row r="4211" spans="1:41" s="162" customFormat="1" x14ac:dyDescent="0.3">
      <c r="A4211" s="205" t="s">
        <v>8321</v>
      </c>
      <c r="B4211" s="162" t="s">
        <v>8322</v>
      </c>
      <c r="C4211" s="168" t="s">
        <v>13505</v>
      </c>
      <c r="D4211" s="162" t="s">
        <v>13506</v>
      </c>
      <c r="E4211" s="168" t="s">
        <v>13507</v>
      </c>
      <c r="F4211" s="162" t="s">
        <v>13508</v>
      </c>
      <c r="G4211" s="168">
        <v>165508</v>
      </c>
      <c r="H4211" s="162" t="s">
        <v>15218</v>
      </c>
      <c r="K4211" s="168" t="s">
        <v>15288</v>
      </c>
      <c r="L4211" s="162" t="s">
        <v>15289</v>
      </c>
      <c r="M4211" s="162" t="s">
        <v>15290</v>
      </c>
      <c r="O4211" s="224">
        <v>18</v>
      </c>
      <c r="P4211" s="224">
        <v>4</v>
      </c>
      <c r="Q4211" s="224"/>
      <c r="R4211" s="224"/>
      <c r="S4211" s="224"/>
      <c r="T4211" s="223" t="s">
        <v>3705</v>
      </c>
      <c r="U4211" t="str">
        <f>VLOOKUP(T4211,[8]Votes!$A$1:$E$234,3,FALSE)</f>
        <v>008 Ministry of Finance, Planning &amp; Economic Dev.</v>
      </c>
      <c r="V4211" s="162" t="s">
        <v>15291</v>
      </c>
      <c r="W4211" s="416">
        <v>1</v>
      </c>
      <c r="X4211" s="416">
        <v>1</v>
      </c>
      <c r="Y4211" s="416">
        <v>1</v>
      </c>
      <c r="Z4211" s="416">
        <v>1</v>
      </c>
      <c r="AA4211" s="416">
        <v>1</v>
      </c>
      <c r="AB4211" s="416">
        <v>0</v>
      </c>
      <c r="AC4211" s="150">
        <v>1</v>
      </c>
      <c r="AD4211" s="150">
        <v>1</v>
      </c>
      <c r="AE4211" s="49">
        <f t="shared" si="152"/>
        <v>0.875</v>
      </c>
      <c r="AF4211" s="485">
        <v>0</v>
      </c>
      <c r="AG4211" s="17">
        <v>0</v>
      </c>
      <c r="AH4211" s="485">
        <v>0.05</v>
      </c>
      <c r="AI4211" s="485">
        <v>0.05</v>
      </c>
      <c r="AJ4211" s="485">
        <v>0.05</v>
      </c>
      <c r="AK4211" s="493">
        <v>0.05</v>
      </c>
      <c r="AL4211" s="493">
        <v>0.05</v>
      </c>
      <c r="AM4211" s="17">
        <f t="shared" si="153"/>
        <v>0.1</v>
      </c>
      <c r="AN4211" s="162" t="s">
        <v>3705</v>
      </c>
      <c r="AO4211" s="162" t="s">
        <v>880</v>
      </c>
    </row>
    <row r="4212" spans="1:41" s="162" customFormat="1" x14ac:dyDescent="0.3">
      <c r="A4212" s="205" t="s">
        <v>8321</v>
      </c>
      <c r="B4212" s="162" t="s">
        <v>8322</v>
      </c>
      <c r="C4212" s="168" t="s">
        <v>13505</v>
      </c>
      <c r="D4212" s="162" t="s">
        <v>13506</v>
      </c>
      <c r="E4212" s="168" t="s">
        <v>13507</v>
      </c>
      <c r="F4212" s="162" t="s">
        <v>13508</v>
      </c>
      <c r="G4212" s="168">
        <v>165508</v>
      </c>
      <c r="H4212" s="162" t="s">
        <v>15218</v>
      </c>
      <c r="K4212" s="168" t="s">
        <v>15288</v>
      </c>
      <c r="L4212" s="162" t="s">
        <v>15289</v>
      </c>
      <c r="M4212" s="162" t="s">
        <v>15292</v>
      </c>
      <c r="O4212" s="224"/>
      <c r="P4212" s="224">
        <v>14</v>
      </c>
      <c r="Q4212" s="224">
        <v>18</v>
      </c>
      <c r="R4212" s="224">
        <v>18</v>
      </c>
      <c r="S4212" s="224">
        <v>18</v>
      </c>
      <c r="T4212" s="223" t="s">
        <v>3705</v>
      </c>
      <c r="U4212" t="str">
        <f>VLOOKUP(T4212,[8]Votes!$A$1:$E$234,3,FALSE)</f>
        <v>008 Ministry of Finance, Planning &amp; Economic Dev.</v>
      </c>
      <c r="V4212" s="162" t="s">
        <v>15293</v>
      </c>
      <c r="W4212" s="416">
        <v>1</v>
      </c>
      <c r="X4212" s="416">
        <v>1</v>
      </c>
      <c r="Y4212" s="416">
        <v>1</v>
      </c>
      <c r="Z4212" s="416">
        <v>1</v>
      </c>
      <c r="AA4212" s="416">
        <v>1</v>
      </c>
      <c r="AB4212" s="416">
        <v>0</v>
      </c>
      <c r="AC4212" s="150">
        <v>1</v>
      </c>
      <c r="AD4212" s="150">
        <v>1</v>
      </c>
      <c r="AE4212" s="49">
        <f t="shared" si="152"/>
        <v>0.875</v>
      </c>
      <c r="AF4212" s="485">
        <v>0</v>
      </c>
      <c r="AG4212" s="17">
        <v>0</v>
      </c>
      <c r="AH4212" s="485">
        <v>0.05</v>
      </c>
      <c r="AI4212" s="485">
        <v>0.05</v>
      </c>
      <c r="AJ4212" s="485">
        <v>0.05</v>
      </c>
      <c r="AK4212" s="493">
        <v>0.05</v>
      </c>
      <c r="AL4212" s="493">
        <v>0.05</v>
      </c>
      <c r="AM4212" s="17">
        <f t="shared" si="153"/>
        <v>0.1</v>
      </c>
      <c r="AN4212" s="162" t="s">
        <v>3705</v>
      </c>
      <c r="AO4212" s="162" t="s">
        <v>880</v>
      </c>
    </row>
    <row r="4213" spans="1:41" s="162" customFormat="1" x14ac:dyDescent="0.3">
      <c r="A4213" s="205" t="s">
        <v>8321</v>
      </c>
      <c r="B4213" s="162" t="s">
        <v>8322</v>
      </c>
      <c r="C4213" s="168" t="s">
        <v>13505</v>
      </c>
      <c r="D4213" s="162" t="s">
        <v>13506</v>
      </c>
      <c r="E4213" s="168" t="s">
        <v>13507</v>
      </c>
      <c r="F4213" s="162" t="s">
        <v>13508</v>
      </c>
      <c r="G4213" s="168">
        <v>165508</v>
      </c>
      <c r="H4213" s="162" t="s">
        <v>15218</v>
      </c>
      <c r="K4213" s="168" t="s">
        <v>15288</v>
      </c>
      <c r="L4213" s="162" t="s">
        <v>15289</v>
      </c>
      <c r="M4213" s="162" t="s">
        <v>15294</v>
      </c>
      <c r="O4213" s="224">
        <v>336</v>
      </c>
      <c r="P4213" s="224">
        <v>432</v>
      </c>
      <c r="Q4213" s="224">
        <v>432</v>
      </c>
      <c r="R4213" s="224">
        <v>432</v>
      </c>
      <c r="S4213" s="224">
        <v>432</v>
      </c>
      <c r="T4213" s="223" t="s">
        <v>15295</v>
      </c>
      <c r="U4213" t="e">
        <f>VLOOKUP(T4213,[8]Votes!$A$1:$E$234,3,FALSE)</f>
        <v>#N/A</v>
      </c>
      <c r="V4213" s="162" t="s">
        <v>15296</v>
      </c>
      <c r="W4213" s="416">
        <v>1</v>
      </c>
      <c r="X4213" s="416">
        <v>1</v>
      </c>
      <c r="Y4213" s="416">
        <v>1</v>
      </c>
      <c r="Z4213" s="416">
        <v>1</v>
      </c>
      <c r="AA4213" s="416">
        <v>1</v>
      </c>
      <c r="AB4213" s="416">
        <v>0</v>
      </c>
      <c r="AC4213" s="150">
        <v>1</v>
      </c>
      <c r="AD4213" s="150">
        <v>1</v>
      </c>
      <c r="AE4213" s="49">
        <f t="shared" si="152"/>
        <v>0.875</v>
      </c>
      <c r="AF4213" s="485">
        <v>0</v>
      </c>
      <c r="AG4213" s="17">
        <v>0</v>
      </c>
      <c r="AH4213" s="485">
        <v>0.05</v>
      </c>
      <c r="AI4213" s="485">
        <v>0.05</v>
      </c>
      <c r="AJ4213" s="485">
        <v>0.05</v>
      </c>
      <c r="AK4213" s="493">
        <v>0.05</v>
      </c>
      <c r="AL4213" s="493">
        <v>0.05</v>
      </c>
      <c r="AM4213" s="17">
        <f t="shared" si="153"/>
        <v>0.1</v>
      </c>
      <c r="AN4213" s="162" t="s">
        <v>3705</v>
      </c>
      <c r="AO4213" s="162" t="s">
        <v>880</v>
      </c>
    </row>
    <row r="4214" spans="1:41" s="162" customFormat="1" x14ac:dyDescent="0.3">
      <c r="A4214" s="205" t="s">
        <v>8321</v>
      </c>
      <c r="B4214" s="162" t="s">
        <v>8322</v>
      </c>
      <c r="C4214" s="168" t="s">
        <v>13505</v>
      </c>
      <c r="D4214" s="162" t="s">
        <v>13506</v>
      </c>
      <c r="E4214" s="168" t="s">
        <v>13507</v>
      </c>
      <c r="F4214" s="162" t="s">
        <v>13508</v>
      </c>
      <c r="G4214" s="168">
        <v>165508</v>
      </c>
      <c r="H4214" s="162" t="s">
        <v>15218</v>
      </c>
      <c r="K4214" s="168" t="s">
        <v>15297</v>
      </c>
      <c r="L4214" s="162" t="s">
        <v>15298</v>
      </c>
      <c r="M4214" s="162" t="s">
        <v>15299</v>
      </c>
      <c r="O4214" s="492">
        <v>0.75</v>
      </c>
      <c r="P4214" s="492">
        <v>0.75</v>
      </c>
      <c r="Q4214" s="492">
        <v>0.8</v>
      </c>
      <c r="R4214" s="492">
        <v>0.8</v>
      </c>
      <c r="S4214" s="492">
        <v>0.8</v>
      </c>
      <c r="T4214" s="223" t="s">
        <v>15295</v>
      </c>
      <c r="U4214" t="e">
        <f>VLOOKUP(T4214,[8]Votes!$A$1:$E$234,3,FALSE)</f>
        <v>#N/A</v>
      </c>
      <c r="V4214" s="162" t="s">
        <v>15300</v>
      </c>
      <c r="W4214" s="416">
        <v>1</v>
      </c>
      <c r="X4214" s="416">
        <v>1</v>
      </c>
      <c r="Y4214" s="416">
        <v>1</v>
      </c>
      <c r="Z4214" s="416">
        <v>1</v>
      </c>
      <c r="AA4214" s="416">
        <v>1</v>
      </c>
      <c r="AB4214" s="416">
        <v>0</v>
      </c>
      <c r="AC4214" s="150">
        <v>1</v>
      </c>
      <c r="AD4214" s="150">
        <v>1</v>
      </c>
      <c r="AE4214" s="49">
        <f t="shared" si="152"/>
        <v>0.875</v>
      </c>
      <c r="AF4214" s="485">
        <v>0</v>
      </c>
      <c r="AG4214" s="17">
        <v>0</v>
      </c>
      <c r="AH4214" s="485">
        <v>0.02</v>
      </c>
      <c r="AI4214" s="485">
        <v>0.02</v>
      </c>
      <c r="AJ4214" s="485">
        <v>0.02</v>
      </c>
      <c r="AK4214" s="493">
        <v>0.02</v>
      </c>
      <c r="AL4214" s="493">
        <v>0.02</v>
      </c>
      <c r="AM4214" s="17">
        <f t="shared" si="153"/>
        <v>0.04</v>
      </c>
      <c r="AN4214" s="162" t="s">
        <v>3705</v>
      </c>
      <c r="AO4214" s="162" t="s">
        <v>880</v>
      </c>
    </row>
    <row r="4215" spans="1:41" s="162" customFormat="1" x14ac:dyDescent="0.3">
      <c r="A4215" s="205" t="s">
        <v>8321</v>
      </c>
      <c r="B4215" s="162" t="s">
        <v>8322</v>
      </c>
      <c r="C4215" s="168" t="s">
        <v>13505</v>
      </c>
      <c r="D4215" s="162" t="s">
        <v>13506</v>
      </c>
      <c r="E4215" s="168" t="s">
        <v>13507</v>
      </c>
      <c r="F4215" s="162" t="s">
        <v>13508</v>
      </c>
      <c r="G4215" s="168">
        <v>165508</v>
      </c>
      <c r="H4215" s="162" t="s">
        <v>15218</v>
      </c>
      <c r="K4215" s="168" t="s">
        <v>15297</v>
      </c>
      <c r="L4215" s="162" t="s">
        <v>15298</v>
      </c>
      <c r="M4215" s="162" t="s">
        <v>15301</v>
      </c>
      <c r="O4215" s="492">
        <v>1</v>
      </c>
      <c r="P4215" s="492">
        <v>1</v>
      </c>
      <c r="Q4215" s="492">
        <v>1</v>
      </c>
      <c r="R4215" s="492">
        <v>1</v>
      </c>
      <c r="S4215" s="492">
        <v>1</v>
      </c>
      <c r="T4215" s="223" t="s">
        <v>3705</v>
      </c>
      <c r="U4215" t="str">
        <f>VLOOKUP(T4215,[8]Votes!$A$1:$E$234,3,FALSE)</f>
        <v>008 Ministry of Finance, Planning &amp; Economic Dev.</v>
      </c>
      <c r="V4215" s="162" t="s">
        <v>15302</v>
      </c>
      <c r="W4215" s="416">
        <v>1</v>
      </c>
      <c r="X4215" s="416">
        <v>1</v>
      </c>
      <c r="Y4215" s="416">
        <v>1</v>
      </c>
      <c r="Z4215" s="416">
        <v>1</v>
      </c>
      <c r="AA4215" s="416">
        <v>1</v>
      </c>
      <c r="AB4215" s="416">
        <v>0</v>
      </c>
      <c r="AC4215" s="150">
        <v>1</v>
      </c>
      <c r="AD4215" s="150">
        <v>1</v>
      </c>
      <c r="AE4215" s="49">
        <f t="shared" si="152"/>
        <v>0.875</v>
      </c>
      <c r="AF4215" s="485">
        <v>0</v>
      </c>
      <c r="AG4215" s="17">
        <v>0</v>
      </c>
      <c r="AH4215" s="485">
        <v>0.01</v>
      </c>
      <c r="AI4215" s="485">
        <v>0.01</v>
      </c>
      <c r="AJ4215" s="485">
        <v>0.01</v>
      </c>
      <c r="AK4215" s="493">
        <v>0.01</v>
      </c>
      <c r="AL4215" s="493">
        <v>0.01</v>
      </c>
      <c r="AM4215" s="17">
        <f t="shared" si="153"/>
        <v>0.02</v>
      </c>
      <c r="AN4215" s="162" t="s">
        <v>3705</v>
      </c>
      <c r="AO4215" s="162" t="s">
        <v>880</v>
      </c>
    </row>
    <row r="4216" spans="1:41" s="162" customFormat="1" x14ac:dyDescent="0.3">
      <c r="A4216" s="205" t="s">
        <v>8321</v>
      </c>
      <c r="B4216" s="162" t="s">
        <v>8322</v>
      </c>
      <c r="C4216" s="168" t="s">
        <v>13505</v>
      </c>
      <c r="D4216" s="162" t="s">
        <v>13506</v>
      </c>
      <c r="E4216" s="168" t="s">
        <v>13507</v>
      </c>
      <c r="F4216" s="162" t="s">
        <v>13508</v>
      </c>
      <c r="G4216" s="168">
        <v>165508</v>
      </c>
      <c r="H4216" s="162" t="s">
        <v>15218</v>
      </c>
      <c r="K4216" s="168" t="s">
        <v>15297</v>
      </c>
      <c r="L4216" s="162" t="s">
        <v>15298</v>
      </c>
      <c r="M4216" s="162" t="s">
        <v>15301</v>
      </c>
      <c r="O4216" s="224"/>
      <c r="P4216" s="224"/>
      <c r="Q4216" s="224"/>
      <c r="R4216" s="224"/>
      <c r="S4216" s="224"/>
      <c r="T4216" s="223" t="s">
        <v>15295</v>
      </c>
      <c r="U4216" t="e">
        <f>VLOOKUP(T4216,[8]Votes!$A$1:$E$234,3,FALSE)</f>
        <v>#N/A</v>
      </c>
      <c r="V4216" s="162" t="s">
        <v>15303</v>
      </c>
      <c r="W4216" s="416">
        <v>1</v>
      </c>
      <c r="X4216" s="416">
        <v>1</v>
      </c>
      <c r="Y4216" s="416">
        <v>1</v>
      </c>
      <c r="Z4216" s="416">
        <v>1</v>
      </c>
      <c r="AA4216" s="416">
        <v>1</v>
      </c>
      <c r="AB4216" s="416">
        <v>0</v>
      </c>
      <c r="AC4216" s="150">
        <v>1</v>
      </c>
      <c r="AD4216" s="150">
        <v>1</v>
      </c>
      <c r="AE4216" s="49">
        <f t="shared" si="152"/>
        <v>0.875</v>
      </c>
      <c r="AF4216" s="485">
        <v>0</v>
      </c>
      <c r="AG4216" s="17">
        <v>0</v>
      </c>
      <c r="AH4216" s="485">
        <v>0.01</v>
      </c>
      <c r="AI4216" s="485">
        <v>0.01</v>
      </c>
      <c r="AJ4216" s="485">
        <v>0.01</v>
      </c>
      <c r="AK4216" s="493">
        <v>0.01</v>
      </c>
      <c r="AL4216" s="493">
        <v>0.01</v>
      </c>
      <c r="AM4216" s="17">
        <f t="shared" si="153"/>
        <v>0.02</v>
      </c>
      <c r="AN4216" s="162" t="s">
        <v>3705</v>
      </c>
      <c r="AO4216" s="162" t="s">
        <v>880</v>
      </c>
    </row>
    <row r="4217" spans="1:41" s="162" customFormat="1" x14ac:dyDescent="0.3">
      <c r="A4217" s="205" t="s">
        <v>8321</v>
      </c>
      <c r="B4217" s="162" t="s">
        <v>8322</v>
      </c>
      <c r="C4217" s="168" t="s">
        <v>13505</v>
      </c>
      <c r="D4217" s="162" t="s">
        <v>13506</v>
      </c>
      <c r="E4217" s="168" t="s">
        <v>13507</v>
      </c>
      <c r="F4217" s="162" t="s">
        <v>13508</v>
      </c>
      <c r="G4217" s="168">
        <v>165508</v>
      </c>
      <c r="H4217" s="162" t="s">
        <v>15218</v>
      </c>
      <c r="K4217" s="168" t="s">
        <v>15297</v>
      </c>
      <c r="L4217" s="162" t="s">
        <v>15298</v>
      </c>
      <c r="M4217" s="162" t="s">
        <v>15301</v>
      </c>
      <c r="O4217" s="224">
        <v>70</v>
      </c>
      <c r="P4217" s="224">
        <v>90</v>
      </c>
      <c r="Q4217" s="224">
        <v>90</v>
      </c>
      <c r="R4217" s="224">
        <v>90</v>
      </c>
      <c r="S4217" s="224">
        <v>90</v>
      </c>
      <c r="T4217" s="223" t="s">
        <v>15304</v>
      </c>
      <c r="U4217" t="e">
        <f>VLOOKUP(T4217,[8]Votes!$A$1:$E$234,3,FALSE)</f>
        <v>#N/A</v>
      </c>
      <c r="V4217" s="162" t="s">
        <v>15305</v>
      </c>
      <c r="W4217" s="416">
        <v>1</v>
      </c>
      <c r="X4217" s="416">
        <v>1</v>
      </c>
      <c r="Y4217" s="416">
        <v>1</v>
      </c>
      <c r="Z4217" s="416">
        <v>1</v>
      </c>
      <c r="AA4217" s="416">
        <v>1</v>
      </c>
      <c r="AB4217" s="416">
        <v>0</v>
      </c>
      <c r="AC4217" s="150">
        <v>1</v>
      </c>
      <c r="AD4217" s="150">
        <v>1</v>
      </c>
      <c r="AE4217" s="49">
        <f t="shared" si="152"/>
        <v>0.875</v>
      </c>
      <c r="AF4217" s="485">
        <v>0</v>
      </c>
      <c r="AG4217" s="17">
        <v>0</v>
      </c>
      <c r="AH4217" s="485">
        <v>0.01</v>
      </c>
      <c r="AI4217" s="485">
        <v>0.01</v>
      </c>
      <c r="AJ4217" s="485">
        <v>0.01</v>
      </c>
      <c r="AK4217" s="493">
        <v>0.01</v>
      </c>
      <c r="AL4217" s="493">
        <v>0.01</v>
      </c>
      <c r="AM4217" s="17">
        <f t="shared" si="153"/>
        <v>0.02</v>
      </c>
      <c r="AN4217" s="162" t="s">
        <v>3705</v>
      </c>
      <c r="AO4217" s="162" t="s">
        <v>880</v>
      </c>
    </row>
    <row r="4218" spans="1:41" s="162" customFormat="1" x14ac:dyDescent="0.3">
      <c r="A4218" s="205" t="s">
        <v>8321</v>
      </c>
      <c r="B4218" s="162" t="s">
        <v>8322</v>
      </c>
      <c r="C4218" s="168" t="s">
        <v>13505</v>
      </c>
      <c r="D4218" s="162" t="s">
        <v>13506</v>
      </c>
      <c r="E4218" s="168" t="s">
        <v>13507</v>
      </c>
      <c r="F4218" s="162" t="s">
        <v>13508</v>
      </c>
      <c r="G4218" s="168">
        <v>165508</v>
      </c>
      <c r="H4218" s="162" t="s">
        <v>15218</v>
      </c>
      <c r="K4218" s="168" t="s">
        <v>15306</v>
      </c>
      <c r="L4218" s="162" t="s">
        <v>15307</v>
      </c>
      <c r="M4218" s="162" t="s">
        <v>15308</v>
      </c>
      <c r="O4218" s="224"/>
      <c r="P4218" s="224">
        <v>1</v>
      </c>
      <c r="Q4218" s="224"/>
      <c r="R4218" s="224"/>
      <c r="S4218" s="224"/>
      <c r="T4218" s="223" t="s">
        <v>5829</v>
      </c>
      <c r="U4218" t="str">
        <f>VLOOKUP(T4218,[8]Votes!$A$1:$E$234,3,FALSE)</f>
        <v>103 Inspectorate of Government (IG)</v>
      </c>
      <c r="V4218" s="162" t="s">
        <v>15309</v>
      </c>
      <c r="W4218" s="416">
        <v>1</v>
      </c>
      <c r="X4218" s="416">
        <v>1</v>
      </c>
      <c r="Y4218" s="416">
        <v>1</v>
      </c>
      <c r="Z4218" s="416">
        <v>1</v>
      </c>
      <c r="AA4218" s="416">
        <v>1</v>
      </c>
      <c r="AB4218" s="416">
        <v>0</v>
      </c>
      <c r="AC4218" s="150">
        <v>1</v>
      </c>
      <c r="AD4218" s="150">
        <v>1</v>
      </c>
      <c r="AE4218" s="49">
        <f t="shared" ref="AE4218:AE4281" si="154">SUM(W4218:AD4218)/8</f>
        <v>0.875</v>
      </c>
      <c r="AF4218" s="485">
        <v>0</v>
      </c>
      <c r="AG4218" s="17">
        <v>0</v>
      </c>
      <c r="AH4218" s="485">
        <v>0.4</v>
      </c>
      <c r="AI4218" s="485">
        <v>0.4</v>
      </c>
      <c r="AJ4218" s="485">
        <v>0.4</v>
      </c>
      <c r="AK4218" s="493">
        <v>0.4</v>
      </c>
      <c r="AL4218" s="493">
        <v>0.4</v>
      </c>
      <c r="AM4218" s="17">
        <f t="shared" ref="AM4218:AM4281" si="155">SUM(AK4218:AL4218)</f>
        <v>0.8</v>
      </c>
      <c r="AN4218" s="162" t="s">
        <v>5829</v>
      </c>
      <c r="AO4218" s="162" t="s">
        <v>5839</v>
      </c>
    </row>
    <row r="4219" spans="1:41" s="162" customFormat="1" x14ac:dyDescent="0.3">
      <c r="A4219" s="205" t="s">
        <v>8321</v>
      </c>
      <c r="B4219" s="162" t="s">
        <v>8322</v>
      </c>
      <c r="C4219" s="168" t="s">
        <v>13505</v>
      </c>
      <c r="D4219" s="162" t="s">
        <v>13506</v>
      </c>
      <c r="E4219" s="168" t="s">
        <v>13507</v>
      </c>
      <c r="F4219" s="162" t="s">
        <v>13508</v>
      </c>
      <c r="G4219" s="168">
        <v>165508</v>
      </c>
      <c r="H4219" s="162" t="s">
        <v>15218</v>
      </c>
      <c r="K4219" s="168" t="s">
        <v>15306</v>
      </c>
      <c r="L4219" s="162" t="s">
        <v>15307</v>
      </c>
      <c r="M4219" s="162" t="s">
        <v>15310</v>
      </c>
      <c r="O4219" s="224">
        <v>4</v>
      </c>
      <c r="P4219" s="224">
        <v>4</v>
      </c>
      <c r="Q4219" s="224">
        <v>4</v>
      </c>
      <c r="R4219" s="224">
        <v>4</v>
      </c>
      <c r="S4219" s="224">
        <v>4</v>
      </c>
      <c r="T4219" s="223" t="s">
        <v>5829</v>
      </c>
      <c r="U4219" t="str">
        <f>VLOOKUP(T4219,[8]Votes!$A$1:$E$234,3,FALSE)</f>
        <v>103 Inspectorate of Government (IG)</v>
      </c>
      <c r="V4219" s="162" t="s">
        <v>15311</v>
      </c>
      <c r="W4219" s="416">
        <v>1</v>
      </c>
      <c r="X4219" s="416">
        <v>1</v>
      </c>
      <c r="Y4219" s="416">
        <v>1</v>
      </c>
      <c r="Z4219" s="416">
        <v>1</v>
      </c>
      <c r="AA4219" s="416">
        <v>1</v>
      </c>
      <c r="AB4219" s="416">
        <v>0</v>
      </c>
      <c r="AC4219" s="150">
        <v>1</v>
      </c>
      <c r="AD4219" s="150">
        <v>1</v>
      </c>
      <c r="AE4219" s="49">
        <f t="shared" si="154"/>
        <v>0.875</v>
      </c>
      <c r="AF4219" s="485">
        <v>0</v>
      </c>
      <c r="AG4219" s="17">
        <v>0</v>
      </c>
      <c r="AH4219" s="485">
        <v>0.2</v>
      </c>
      <c r="AI4219" s="485">
        <v>0.2</v>
      </c>
      <c r="AJ4219" s="485">
        <v>0.2</v>
      </c>
      <c r="AK4219" s="493">
        <v>0.2</v>
      </c>
      <c r="AL4219" s="493">
        <v>0.2</v>
      </c>
      <c r="AM4219" s="17">
        <f t="shared" si="155"/>
        <v>0.4</v>
      </c>
      <c r="AN4219" s="162" t="s">
        <v>5829</v>
      </c>
      <c r="AO4219" s="162" t="s">
        <v>5839</v>
      </c>
    </row>
    <row r="4220" spans="1:41" s="162" customFormat="1" x14ac:dyDescent="0.3">
      <c r="A4220" s="205" t="s">
        <v>8321</v>
      </c>
      <c r="B4220" s="162" t="s">
        <v>8322</v>
      </c>
      <c r="C4220" s="168" t="s">
        <v>13505</v>
      </c>
      <c r="D4220" s="162" t="s">
        <v>13506</v>
      </c>
      <c r="E4220" s="168" t="s">
        <v>13507</v>
      </c>
      <c r="F4220" s="162" t="s">
        <v>13508</v>
      </c>
      <c r="G4220" s="168">
        <v>165508</v>
      </c>
      <c r="H4220" s="162" t="s">
        <v>15218</v>
      </c>
      <c r="K4220" s="168" t="s">
        <v>15312</v>
      </c>
      <c r="L4220" s="162" t="s">
        <v>15313</v>
      </c>
      <c r="M4220" s="162" t="s">
        <v>15314</v>
      </c>
      <c r="O4220" s="224">
        <v>6</v>
      </c>
      <c r="P4220" s="224">
        <v>6</v>
      </c>
      <c r="Q4220" s="224">
        <v>6</v>
      </c>
      <c r="R4220" s="224">
        <v>6</v>
      </c>
      <c r="S4220" s="224">
        <v>6</v>
      </c>
      <c r="T4220" s="223" t="s">
        <v>5829</v>
      </c>
      <c r="U4220" t="str">
        <f>VLOOKUP(T4220,[8]Votes!$A$1:$E$234,3,FALSE)</f>
        <v>103 Inspectorate of Government (IG)</v>
      </c>
      <c r="V4220" s="162" t="s">
        <v>15315</v>
      </c>
      <c r="W4220" s="416">
        <v>1</v>
      </c>
      <c r="X4220" s="416">
        <v>1</v>
      </c>
      <c r="Y4220" s="416">
        <v>1</v>
      </c>
      <c r="Z4220" s="416">
        <v>1</v>
      </c>
      <c r="AA4220" s="416">
        <v>1</v>
      </c>
      <c r="AB4220" s="416">
        <v>0</v>
      </c>
      <c r="AC4220" s="150">
        <v>1</v>
      </c>
      <c r="AD4220" s="150">
        <v>1</v>
      </c>
      <c r="AE4220" s="49">
        <f t="shared" si="154"/>
        <v>0.875</v>
      </c>
      <c r="AF4220" s="485">
        <v>0</v>
      </c>
      <c r="AG4220" s="17">
        <v>0</v>
      </c>
      <c r="AH4220" s="485">
        <v>0.2</v>
      </c>
      <c r="AI4220" s="485">
        <v>0.2</v>
      </c>
      <c r="AJ4220" s="485">
        <v>0.2</v>
      </c>
      <c r="AK4220" s="493">
        <v>0.2</v>
      </c>
      <c r="AL4220" s="493">
        <v>0.2</v>
      </c>
      <c r="AM4220" s="17">
        <f t="shared" si="155"/>
        <v>0.4</v>
      </c>
      <c r="AN4220" s="162" t="s">
        <v>5829</v>
      </c>
      <c r="AO4220" s="162" t="s">
        <v>5839</v>
      </c>
    </row>
    <row r="4221" spans="1:41" s="162" customFormat="1" x14ac:dyDescent="0.3">
      <c r="A4221" s="205" t="s">
        <v>8321</v>
      </c>
      <c r="B4221" s="162" t="s">
        <v>8322</v>
      </c>
      <c r="C4221" s="168" t="s">
        <v>13505</v>
      </c>
      <c r="D4221" s="162" t="s">
        <v>13506</v>
      </c>
      <c r="E4221" s="168" t="s">
        <v>13507</v>
      </c>
      <c r="F4221" s="162" t="s">
        <v>13508</v>
      </c>
      <c r="G4221" s="168">
        <v>165508</v>
      </c>
      <c r="H4221" s="162" t="s">
        <v>15218</v>
      </c>
      <c r="K4221" s="168" t="s">
        <v>15312</v>
      </c>
      <c r="L4221" s="162" t="s">
        <v>15313</v>
      </c>
      <c r="M4221" s="162" t="s">
        <v>15316</v>
      </c>
      <c r="O4221" s="224">
        <v>3</v>
      </c>
      <c r="P4221" s="224">
        <v>3</v>
      </c>
      <c r="Q4221" s="224">
        <v>3</v>
      </c>
      <c r="R4221" s="224">
        <v>3</v>
      </c>
      <c r="S4221" s="224">
        <v>3</v>
      </c>
      <c r="T4221" s="223" t="s">
        <v>5829</v>
      </c>
      <c r="U4221" t="str">
        <f>VLOOKUP(T4221,[8]Votes!$A$1:$E$234,3,FALSE)</f>
        <v>103 Inspectorate of Government (IG)</v>
      </c>
      <c r="V4221" s="162" t="s">
        <v>15315</v>
      </c>
      <c r="W4221" s="416">
        <v>1</v>
      </c>
      <c r="X4221" s="416">
        <v>1</v>
      </c>
      <c r="Y4221" s="416">
        <v>1</v>
      </c>
      <c r="Z4221" s="416">
        <v>1</v>
      </c>
      <c r="AA4221" s="416">
        <v>1</v>
      </c>
      <c r="AB4221" s="416">
        <v>0</v>
      </c>
      <c r="AC4221" s="150">
        <v>1</v>
      </c>
      <c r="AD4221" s="150">
        <v>1</v>
      </c>
      <c r="AE4221" s="49">
        <f t="shared" si="154"/>
        <v>0.875</v>
      </c>
      <c r="AF4221" s="485">
        <v>0</v>
      </c>
      <c r="AG4221" s="17">
        <v>0</v>
      </c>
      <c r="AH4221" s="190">
        <v>0</v>
      </c>
      <c r="AI4221" s="190">
        <v>0</v>
      </c>
      <c r="AJ4221" s="190">
        <v>0</v>
      </c>
      <c r="AK4221" s="191">
        <v>0</v>
      </c>
      <c r="AL4221" s="191">
        <v>0</v>
      </c>
      <c r="AM4221" s="17">
        <f t="shared" si="155"/>
        <v>0</v>
      </c>
      <c r="AN4221" s="162" t="s">
        <v>5829</v>
      </c>
      <c r="AO4221" s="162" t="s">
        <v>5839</v>
      </c>
    </row>
    <row r="4222" spans="1:41" s="162" customFormat="1" x14ac:dyDescent="0.3">
      <c r="A4222" s="205" t="s">
        <v>8321</v>
      </c>
      <c r="B4222" s="162" t="s">
        <v>8322</v>
      </c>
      <c r="C4222" s="168" t="s">
        <v>13505</v>
      </c>
      <c r="D4222" s="162" t="s">
        <v>13506</v>
      </c>
      <c r="E4222" s="168" t="s">
        <v>13507</v>
      </c>
      <c r="F4222" s="162" t="s">
        <v>13508</v>
      </c>
      <c r="G4222" s="168">
        <v>165508</v>
      </c>
      <c r="H4222" s="162" t="s">
        <v>15218</v>
      </c>
      <c r="K4222" s="168" t="s">
        <v>15317</v>
      </c>
      <c r="L4222" s="162" t="s">
        <v>15318</v>
      </c>
      <c r="M4222" s="162" t="s">
        <v>15319</v>
      </c>
      <c r="O4222" s="224">
        <v>50</v>
      </c>
      <c r="P4222" s="224">
        <v>50</v>
      </c>
      <c r="Q4222" s="224">
        <v>50</v>
      </c>
      <c r="R4222" s="224">
        <v>50</v>
      </c>
      <c r="S4222" s="224">
        <v>50</v>
      </c>
      <c r="T4222" s="223" t="s">
        <v>5829</v>
      </c>
      <c r="U4222" t="str">
        <f>VLOOKUP(T4222,[8]Votes!$A$1:$E$234,3,FALSE)</f>
        <v>103 Inspectorate of Government (IG)</v>
      </c>
      <c r="V4222" s="162" t="s">
        <v>15320</v>
      </c>
      <c r="W4222" s="416">
        <v>1</v>
      </c>
      <c r="X4222" s="416">
        <v>1</v>
      </c>
      <c r="Y4222" s="416">
        <v>1</v>
      </c>
      <c r="Z4222" s="416">
        <v>1</v>
      </c>
      <c r="AA4222" s="416">
        <v>1</v>
      </c>
      <c r="AB4222" s="416">
        <v>0</v>
      </c>
      <c r="AC4222" s="150">
        <v>1</v>
      </c>
      <c r="AD4222" s="150">
        <v>1</v>
      </c>
      <c r="AE4222" s="49">
        <f t="shared" si="154"/>
        <v>0.875</v>
      </c>
      <c r="AF4222" s="485">
        <v>0</v>
      </c>
      <c r="AG4222" s="17">
        <v>0</v>
      </c>
      <c r="AH4222" s="485">
        <v>0.1</v>
      </c>
      <c r="AI4222" s="485">
        <v>0.1</v>
      </c>
      <c r="AJ4222" s="485">
        <v>0.1</v>
      </c>
      <c r="AK4222" s="493">
        <v>0.1</v>
      </c>
      <c r="AL4222" s="493">
        <v>0.1</v>
      </c>
      <c r="AM4222" s="17">
        <f t="shared" si="155"/>
        <v>0.2</v>
      </c>
      <c r="AN4222" s="162" t="s">
        <v>5829</v>
      </c>
      <c r="AO4222" s="162" t="s">
        <v>5839</v>
      </c>
    </row>
    <row r="4223" spans="1:41" s="162" customFormat="1" x14ac:dyDescent="0.3">
      <c r="A4223" s="205" t="s">
        <v>8321</v>
      </c>
      <c r="B4223" s="162" t="s">
        <v>8322</v>
      </c>
      <c r="C4223" s="168" t="s">
        <v>13505</v>
      </c>
      <c r="D4223" s="162" t="s">
        <v>13506</v>
      </c>
      <c r="E4223" s="168" t="s">
        <v>13507</v>
      </c>
      <c r="F4223" s="162" t="s">
        <v>13508</v>
      </c>
      <c r="G4223" s="168">
        <v>165508</v>
      </c>
      <c r="H4223" s="162" t="s">
        <v>15218</v>
      </c>
      <c r="K4223" s="168" t="s">
        <v>15317</v>
      </c>
      <c r="L4223" s="162" t="s">
        <v>15318</v>
      </c>
      <c r="M4223" s="162" t="s">
        <v>15321</v>
      </c>
      <c r="O4223" s="224">
        <v>0</v>
      </c>
      <c r="P4223" s="224">
        <v>25</v>
      </c>
      <c r="Q4223" s="224">
        <v>30</v>
      </c>
      <c r="R4223" s="224">
        <v>35</v>
      </c>
      <c r="S4223" s="224">
        <v>40</v>
      </c>
      <c r="T4223" s="223" t="s">
        <v>5829</v>
      </c>
      <c r="U4223" t="str">
        <f>VLOOKUP(T4223,[8]Votes!$A$1:$E$234,3,FALSE)</f>
        <v>103 Inspectorate of Government (IG)</v>
      </c>
      <c r="V4223" s="162" t="s">
        <v>15322</v>
      </c>
      <c r="W4223" s="416">
        <v>1</v>
      </c>
      <c r="X4223" s="416">
        <v>1</v>
      </c>
      <c r="Y4223" s="416">
        <v>1</v>
      </c>
      <c r="Z4223" s="416">
        <v>1</v>
      </c>
      <c r="AA4223" s="416">
        <v>1</v>
      </c>
      <c r="AB4223" s="416">
        <v>0</v>
      </c>
      <c r="AC4223" s="150">
        <v>1</v>
      </c>
      <c r="AD4223" s="150">
        <v>1</v>
      </c>
      <c r="AE4223" s="49">
        <f t="shared" si="154"/>
        <v>0.875</v>
      </c>
      <c r="AF4223" s="485">
        <v>0</v>
      </c>
      <c r="AG4223" s="17">
        <v>0</v>
      </c>
      <c r="AH4223" s="485">
        <v>0.3</v>
      </c>
      <c r="AI4223" s="485">
        <v>0.3</v>
      </c>
      <c r="AJ4223" s="485">
        <v>0.3</v>
      </c>
      <c r="AK4223" s="493">
        <v>0.3</v>
      </c>
      <c r="AL4223" s="493">
        <v>0.3</v>
      </c>
      <c r="AM4223" s="17">
        <f t="shared" si="155"/>
        <v>0.6</v>
      </c>
      <c r="AN4223" s="162" t="s">
        <v>5829</v>
      </c>
      <c r="AO4223" s="162" t="s">
        <v>5839</v>
      </c>
    </row>
    <row r="4224" spans="1:41" s="162" customFormat="1" x14ac:dyDescent="0.3">
      <c r="A4224" s="205" t="s">
        <v>8321</v>
      </c>
      <c r="B4224" s="162" t="s">
        <v>8322</v>
      </c>
      <c r="C4224" s="168" t="s">
        <v>13505</v>
      </c>
      <c r="D4224" s="162" t="s">
        <v>13506</v>
      </c>
      <c r="E4224" s="168" t="s">
        <v>13507</v>
      </c>
      <c r="F4224" s="162" t="s">
        <v>13508</v>
      </c>
      <c r="G4224" s="168">
        <v>165509</v>
      </c>
      <c r="H4224" s="162" t="s">
        <v>15323</v>
      </c>
      <c r="K4224" s="168" t="s">
        <v>15324</v>
      </c>
      <c r="L4224" s="162" t="s">
        <v>15325</v>
      </c>
      <c r="M4224" s="162" t="s">
        <v>15326</v>
      </c>
      <c r="O4224" s="224">
        <v>25</v>
      </c>
      <c r="P4224" s="224">
        <v>100</v>
      </c>
      <c r="Q4224" s="224">
        <v>100</v>
      </c>
      <c r="R4224" s="224">
        <v>100</v>
      </c>
      <c r="S4224" s="224">
        <v>100</v>
      </c>
      <c r="T4224" s="223" t="s">
        <v>5829</v>
      </c>
      <c r="U4224" t="str">
        <f>VLOOKUP(T4224,[8]Votes!$A$1:$E$234,3,FALSE)</f>
        <v>103 Inspectorate of Government (IG)</v>
      </c>
      <c r="V4224" s="162" t="s">
        <v>15327</v>
      </c>
      <c r="W4224" s="416">
        <v>1</v>
      </c>
      <c r="X4224" s="416">
        <v>1</v>
      </c>
      <c r="Y4224" s="416">
        <v>1</v>
      </c>
      <c r="Z4224" s="416">
        <v>1</v>
      </c>
      <c r="AA4224" s="416">
        <v>1</v>
      </c>
      <c r="AB4224" s="416">
        <v>0</v>
      </c>
      <c r="AC4224" s="150">
        <v>1</v>
      </c>
      <c r="AD4224" s="150">
        <v>1</v>
      </c>
      <c r="AE4224" s="49">
        <f t="shared" si="154"/>
        <v>0.875</v>
      </c>
      <c r="AF4224" s="485">
        <v>0</v>
      </c>
      <c r="AG4224" s="17">
        <v>0</v>
      </c>
      <c r="AH4224" s="485">
        <v>0.5</v>
      </c>
      <c r="AI4224" s="485">
        <v>0.5</v>
      </c>
      <c r="AJ4224" s="485">
        <v>0.5</v>
      </c>
      <c r="AK4224" s="493">
        <v>0.3</v>
      </c>
      <c r="AL4224" s="493">
        <v>0.3</v>
      </c>
      <c r="AM4224" s="17">
        <f t="shared" si="155"/>
        <v>0.6</v>
      </c>
      <c r="AN4224" s="162" t="s">
        <v>5829</v>
      </c>
      <c r="AO4224" s="162" t="s">
        <v>5839</v>
      </c>
    </row>
    <row r="4225" spans="1:42" s="162" customFormat="1" x14ac:dyDescent="0.3">
      <c r="A4225" s="205" t="s">
        <v>8321</v>
      </c>
      <c r="B4225" s="162" t="s">
        <v>8322</v>
      </c>
      <c r="C4225" s="168" t="s">
        <v>13505</v>
      </c>
      <c r="D4225" s="162" t="s">
        <v>13506</v>
      </c>
      <c r="E4225" s="168" t="s">
        <v>13507</v>
      </c>
      <c r="F4225" s="162" t="s">
        <v>13508</v>
      </c>
      <c r="G4225" s="168">
        <v>165509</v>
      </c>
      <c r="H4225" s="162" t="s">
        <v>15323</v>
      </c>
      <c r="K4225" s="168" t="s">
        <v>15328</v>
      </c>
      <c r="L4225" s="162" t="s">
        <v>15329</v>
      </c>
      <c r="M4225" s="162" t="s">
        <v>15330</v>
      </c>
      <c r="O4225" s="224"/>
      <c r="P4225" s="224">
        <v>1</v>
      </c>
      <c r="Q4225" s="224">
        <v>1</v>
      </c>
      <c r="R4225" s="224">
        <v>1</v>
      </c>
      <c r="S4225" s="224">
        <v>1</v>
      </c>
      <c r="T4225" s="223" t="s">
        <v>3875</v>
      </c>
      <c r="U4225" t="str">
        <f>VLOOKUP(T4225,[8]Votes!$A$1:$E$234,3,FALSE)</f>
        <v>007 Ministry of Justice and Constitutional Affairs</v>
      </c>
      <c r="V4225" s="162" t="s">
        <v>15331</v>
      </c>
      <c r="W4225" s="416">
        <v>1</v>
      </c>
      <c r="X4225" s="416">
        <v>1</v>
      </c>
      <c r="Y4225" s="416">
        <v>1</v>
      </c>
      <c r="Z4225" s="416">
        <v>1</v>
      </c>
      <c r="AA4225" s="416">
        <v>1</v>
      </c>
      <c r="AB4225" s="416">
        <v>0</v>
      </c>
      <c r="AC4225" s="150">
        <v>1</v>
      </c>
      <c r="AD4225" s="150">
        <v>1</v>
      </c>
      <c r="AE4225" s="49">
        <f t="shared" si="154"/>
        <v>0.875</v>
      </c>
      <c r="AF4225" s="485">
        <v>0</v>
      </c>
      <c r="AG4225" s="17">
        <v>0</v>
      </c>
      <c r="AH4225" s="485">
        <v>0.5</v>
      </c>
      <c r="AI4225" s="485">
        <v>0.5</v>
      </c>
      <c r="AJ4225" s="485">
        <v>0.5</v>
      </c>
      <c r="AK4225" s="493">
        <v>0</v>
      </c>
      <c r="AL4225" s="493">
        <v>0</v>
      </c>
      <c r="AM4225" s="17">
        <f t="shared" si="155"/>
        <v>0</v>
      </c>
      <c r="AN4225" s="223" t="s">
        <v>3875</v>
      </c>
      <c r="AO4225" s="162" t="s">
        <v>3877</v>
      </c>
    </row>
    <row r="4226" spans="1:42" s="162" customFormat="1" x14ac:dyDescent="0.3">
      <c r="A4226" s="205" t="s">
        <v>8321</v>
      </c>
      <c r="B4226" s="162" t="s">
        <v>8322</v>
      </c>
      <c r="C4226" s="168" t="s">
        <v>13505</v>
      </c>
      <c r="D4226" s="162" t="s">
        <v>13506</v>
      </c>
      <c r="E4226" s="168" t="s">
        <v>13507</v>
      </c>
      <c r="F4226" s="162" t="s">
        <v>13508</v>
      </c>
      <c r="G4226" s="168">
        <v>165509</v>
      </c>
      <c r="H4226" s="162" t="s">
        <v>15323</v>
      </c>
      <c r="K4226" s="168" t="s">
        <v>15328</v>
      </c>
      <c r="L4226" s="162" t="s">
        <v>15329</v>
      </c>
      <c r="M4226" s="162" t="s">
        <v>15332</v>
      </c>
      <c r="O4226" s="224">
        <v>0</v>
      </c>
      <c r="P4226" s="224">
        <v>1</v>
      </c>
      <c r="Q4226" s="224">
        <v>1</v>
      </c>
      <c r="R4226" s="224">
        <v>1</v>
      </c>
      <c r="S4226" s="224">
        <v>1</v>
      </c>
      <c r="T4226" s="223" t="s">
        <v>3875</v>
      </c>
      <c r="U4226" t="str">
        <f>VLOOKUP(T4226,[8]Votes!$A$1:$E$234,3,FALSE)</f>
        <v>007 Ministry of Justice and Constitutional Affairs</v>
      </c>
      <c r="V4226" s="162" t="s">
        <v>15333</v>
      </c>
      <c r="W4226" s="416">
        <v>1</v>
      </c>
      <c r="X4226" s="416">
        <v>1</v>
      </c>
      <c r="Y4226" s="416">
        <v>1</v>
      </c>
      <c r="Z4226" s="416">
        <v>1</v>
      </c>
      <c r="AA4226" s="416">
        <v>1</v>
      </c>
      <c r="AB4226" s="416">
        <v>0</v>
      </c>
      <c r="AC4226" s="150">
        <v>1</v>
      </c>
      <c r="AD4226" s="150">
        <v>1</v>
      </c>
      <c r="AE4226" s="49">
        <f t="shared" si="154"/>
        <v>0.875</v>
      </c>
      <c r="AF4226" s="485">
        <v>0</v>
      </c>
      <c r="AG4226" s="17">
        <v>0</v>
      </c>
      <c r="AH4226" s="190">
        <v>0</v>
      </c>
      <c r="AI4226" s="485">
        <v>2</v>
      </c>
      <c r="AJ4226" s="485">
        <v>1.5</v>
      </c>
      <c r="AK4226" s="493">
        <v>0.8</v>
      </c>
      <c r="AL4226" s="493">
        <v>0.8</v>
      </c>
      <c r="AM4226" s="17">
        <f t="shared" si="155"/>
        <v>1.6</v>
      </c>
      <c r="AN4226" s="223" t="s">
        <v>3875</v>
      </c>
      <c r="AO4226" s="162" t="s">
        <v>3877</v>
      </c>
    </row>
    <row r="4227" spans="1:42" s="162" customFormat="1" x14ac:dyDescent="0.3">
      <c r="A4227" s="205" t="s">
        <v>8321</v>
      </c>
      <c r="B4227" s="162" t="s">
        <v>8322</v>
      </c>
      <c r="C4227" s="168" t="s">
        <v>13505</v>
      </c>
      <c r="D4227" s="162" t="s">
        <v>13506</v>
      </c>
      <c r="E4227" s="168" t="s">
        <v>13507</v>
      </c>
      <c r="F4227" s="162" t="s">
        <v>13508</v>
      </c>
      <c r="G4227" s="168">
        <v>165509</v>
      </c>
      <c r="H4227" s="162" t="s">
        <v>15323</v>
      </c>
      <c r="K4227" s="168" t="s">
        <v>15334</v>
      </c>
      <c r="L4227" s="162" t="s">
        <v>15335</v>
      </c>
      <c r="M4227" s="162" t="s">
        <v>15336</v>
      </c>
      <c r="O4227" s="224">
        <v>0</v>
      </c>
      <c r="P4227" s="224">
        <v>1</v>
      </c>
      <c r="Q4227" s="224">
        <v>1</v>
      </c>
      <c r="R4227" s="224">
        <v>1</v>
      </c>
      <c r="S4227" s="224">
        <v>1</v>
      </c>
      <c r="T4227" s="223" t="s">
        <v>4932</v>
      </c>
      <c r="U4227" t="str">
        <f>VLOOKUP(T4227,[8]Votes!$A$1:$E$234,3,FALSE)</f>
        <v>007 Ministry of Justice and Constitutional Affairs</v>
      </c>
      <c r="V4227" s="162" t="s">
        <v>15337</v>
      </c>
      <c r="W4227" s="416">
        <v>1</v>
      </c>
      <c r="X4227" s="416">
        <v>1</v>
      </c>
      <c r="Y4227" s="416">
        <v>1</v>
      </c>
      <c r="Z4227" s="416">
        <v>1</v>
      </c>
      <c r="AA4227" s="416">
        <v>1</v>
      </c>
      <c r="AB4227" s="416">
        <v>0</v>
      </c>
      <c r="AC4227" s="150">
        <v>1</v>
      </c>
      <c r="AD4227" s="150">
        <v>1</v>
      </c>
      <c r="AE4227" s="49">
        <f t="shared" si="154"/>
        <v>0.875</v>
      </c>
      <c r="AF4227" s="485">
        <v>0</v>
      </c>
      <c r="AG4227" s="17">
        <v>0</v>
      </c>
      <c r="AH4227" s="190">
        <v>0</v>
      </c>
      <c r="AI4227" s="485">
        <v>0.45</v>
      </c>
      <c r="AJ4227" s="485">
        <v>0.47</v>
      </c>
      <c r="AK4227" s="493">
        <v>0</v>
      </c>
      <c r="AL4227" s="493">
        <v>0</v>
      </c>
      <c r="AM4227" s="17">
        <f t="shared" si="155"/>
        <v>0</v>
      </c>
      <c r="AN4227" s="223" t="s">
        <v>4932</v>
      </c>
      <c r="AO4227" s="162" t="s">
        <v>3877</v>
      </c>
    </row>
    <row r="4228" spans="1:42" s="162" customFormat="1" x14ac:dyDescent="0.3">
      <c r="A4228" s="205" t="s">
        <v>8321</v>
      </c>
      <c r="B4228" s="162" t="s">
        <v>8322</v>
      </c>
      <c r="C4228" s="168" t="s">
        <v>13505</v>
      </c>
      <c r="D4228" s="162" t="s">
        <v>13506</v>
      </c>
      <c r="E4228" s="168" t="s">
        <v>13507</v>
      </c>
      <c r="F4228" s="162" t="s">
        <v>13508</v>
      </c>
      <c r="G4228" s="168">
        <v>165509</v>
      </c>
      <c r="H4228" s="162" t="s">
        <v>15323</v>
      </c>
      <c r="K4228" s="168" t="s">
        <v>15334</v>
      </c>
      <c r="L4228" s="162" t="s">
        <v>15335</v>
      </c>
      <c r="M4228" s="162" t="s">
        <v>15338</v>
      </c>
      <c r="O4228" s="224"/>
      <c r="P4228" s="224"/>
      <c r="Q4228" s="224">
        <v>20</v>
      </c>
      <c r="R4228" s="224">
        <v>20</v>
      </c>
      <c r="S4228" s="224"/>
      <c r="T4228" s="223" t="s">
        <v>4932</v>
      </c>
      <c r="U4228" t="str">
        <f>VLOOKUP(T4228,[8]Votes!$A$1:$E$234,3,FALSE)</f>
        <v>007 Ministry of Justice and Constitutional Affairs</v>
      </c>
      <c r="V4228" s="162" t="s">
        <v>15339</v>
      </c>
      <c r="W4228" s="416">
        <v>1</v>
      </c>
      <c r="X4228" s="416">
        <v>1</v>
      </c>
      <c r="Y4228" s="416">
        <v>1</v>
      </c>
      <c r="Z4228" s="416">
        <v>1</v>
      </c>
      <c r="AA4228" s="416">
        <v>1</v>
      </c>
      <c r="AB4228" s="416">
        <v>0</v>
      </c>
      <c r="AC4228" s="150">
        <v>1</v>
      </c>
      <c r="AD4228" s="150">
        <v>1</v>
      </c>
      <c r="AE4228" s="49">
        <f t="shared" si="154"/>
        <v>0.875</v>
      </c>
      <c r="AF4228" s="485">
        <v>0</v>
      </c>
      <c r="AG4228" s="17">
        <v>0</v>
      </c>
      <c r="AH4228" s="190">
        <v>0</v>
      </c>
      <c r="AI4228" s="190">
        <v>0</v>
      </c>
      <c r="AJ4228" s="485">
        <v>0.6</v>
      </c>
      <c r="AK4228" s="493">
        <v>0</v>
      </c>
      <c r="AL4228" s="191">
        <v>0</v>
      </c>
      <c r="AM4228" s="17">
        <f t="shared" si="155"/>
        <v>0</v>
      </c>
      <c r="AN4228" s="223" t="s">
        <v>4932</v>
      </c>
      <c r="AO4228" s="162" t="s">
        <v>3877</v>
      </c>
    </row>
    <row r="4229" spans="1:42" s="162" customFormat="1" x14ac:dyDescent="0.3">
      <c r="A4229" s="205" t="s">
        <v>8321</v>
      </c>
      <c r="B4229" s="162" t="s">
        <v>8322</v>
      </c>
      <c r="C4229" s="168" t="s">
        <v>13505</v>
      </c>
      <c r="D4229" s="162" t="s">
        <v>13506</v>
      </c>
      <c r="E4229" s="168" t="s">
        <v>13507</v>
      </c>
      <c r="F4229" s="162" t="s">
        <v>13508</v>
      </c>
      <c r="G4229" s="168">
        <v>165510</v>
      </c>
      <c r="H4229" s="162" t="s">
        <v>15340</v>
      </c>
      <c r="K4229" s="168" t="s">
        <v>15341</v>
      </c>
      <c r="L4229" s="162" t="s">
        <v>15342</v>
      </c>
      <c r="M4229" s="162" t="s">
        <v>15343</v>
      </c>
      <c r="O4229" s="492">
        <v>0.1</v>
      </c>
      <c r="P4229" s="492">
        <v>0.3</v>
      </c>
      <c r="Q4229" s="492">
        <v>0.5</v>
      </c>
      <c r="R4229" s="492">
        <v>0.6</v>
      </c>
      <c r="S4229" s="492">
        <v>0.7</v>
      </c>
      <c r="T4229" s="223" t="s">
        <v>5829</v>
      </c>
      <c r="U4229" t="str">
        <f>VLOOKUP(T4229,[8]Votes!$A$1:$E$234,3,FALSE)</f>
        <v>103 Inspectorate of Government (IG)</v>
      </c>
      <c r="V4229" s="162" t="s">
        <v>15344</v>
      </c>
      <c r="W4229" s="416">
        <v>0</v>
      </c>
      <c r="X4229" s="416">
        <v>0</v>
      </c>
      <c r="Y4229" s="416">
        <v>0</v>
      </c>
      <c r="Z4229" s="416">
        <v>1</v>
      </c>
      <c r="AA4229" s="416">
        <v>1</v>
      </c>
      <c r="AB4229" s="416">
        <v>1</v>
      </c>
      <c r="AC4229" s="150">
        <v>1</v>
      </c>
      <c r="AD4229" s="150">
        <v>1</v>
      </c>
      <c r="AE4229" s="49">
        <f t="shared" si="154"/>
        <v>0.625</v>
      </c>
      <c r="AF4229" s="485">
        <v>0</v>
      </c>
      <c r="AG4229" s="17">
        <v>0</v>
      </c>
      <c r="AH4229" s="485">
        <v>3.5</v>
      </c>
      <c r="AI4229" s="485">
        <v>3.5</v>
      </c>
      <c r="AJ4229" s="485">
        <v>3.5</v>
      </c>
      <c r="AK4229" s="493">
        <v>3.5</v>
      </c>
      <c r="AL4229" s="493">
        <v>3.5</v>
      </c>
      <c r="AM4229" s="17">
        <f t="shared" si="155"/>
        <v>7</v>
      </c>
      <c r="AN4229" s="162" t="s">
        <v>5829</v>
      </c>
      <c r="AO4229" s="162" t="s">
        <v>5839</v>
      </c>
    </row>
    <row r="4230" spans="1:42" s="162" customFormat="1" x14ac:dyDescent="0.3">
      <c r="A4230" s="205" t="s">
        <v>8321</v>
      </c>
      <c r="B4230" s="162" t="s">
        <v>8322</v>
      </c>
      <c r="C4230" s="168" t="s">
        <v>13505</v>
      </c>
      <c r="D4230" s="162" t="s">
        <v>13506</v>
      </c>
      <c r="E4230" s="168" t="s">
        <v>13507</v>
      </c>
      <c r="F4230" s="162" t="s">
        <v>13508</v>
      </c>
      <c r="G4230" s="168">
        <v>165510</v>
      </c>
      <c r="H4230" s="162" t="s">
        <v>15340</v>
      </c>
      <c r="K4230" s="168" t="s">
        <v>15341</v>
      </c>
      <c r="L4230" s="162" t="s">
        <v>15342</v>
      </c>
      <c r="M4230" s="162" t="s">
        <v>15345</v>
      </c>
      <c r="O4230" s="492">
        <v>0.5</v>
      </c>
      <c r="P4230" s="492">
        <v>0.55000000000000004</v>
      </c>
      <c r="Q4230" s="492">
        <v>0.6</v>
      </c>
      <c r="R4230" s="492">
        <v>0.65</v>
      </c>
      <c r="S4230" s="492">
        <v>0.7</v>
      </c>
      <c r="T4230" s="223" t="s">
        <v>5829</v>
      </c>
      <c r="U4230" t="str">
        <f>VLOOKUP(T4230,[8]Votes!$A$1:$E$234,3,FALSE)</f>
        <v>103 Inspectorate of Government (IG)</v>
      </c>
      <c r="V4230" s="162" t="s">
        <v>15346</v>
      </c>
      <c r="W4230" s="416">
        <v>1</v>
      </c>
      <c r="X4230" s="416">
        <v>0</v>
      </c>
      <c r="Y4230" s="416">
        <v>0</v>
      </c>
      <c r="Z4230" s="416">
        <v>1</v>
      </c>
      <c r="AA4230" s="416">
        <v>1</v>
      </c>
      <c r="AB4230" s="416">
        <v>0</v>
      </c>
      <c r="AC4230" s="150">
        <v>1</v>
      </c>
      <c r="AD4230" s="150">
        <v>1</v>
      </c>
      <c r="AE4230" s="49">
        <f t="shared" si="154"/>
        <v>0.625</v>
      </c>
      <c r="AF4230" s="485">
        <v>0</v>
      </c>
      <c r="AG4230" s="17">
        <v>0</v>
      </c>
      <c r="AH4230" s="485">
        <v>3</v>
      </c>
      <c r="AI4230" s="485">
        <v>3</v>
      </c>
      <c r="AJ4230" s="485">
        <v>3</v>
      </c>
      <c r="AK4230" s="493">
        <v>3</v>
      </c>
      <c r="AL4230" s="493">
        <v>3</v>
      </c>
      <c r="AM4230" s="17">
        <f t="shared" si="155"/>
        <v>6</v>
      </c>
      <c r="AN4230" s="162" t="s">
        <v>5829</v>
      </c>
      <c r="AO4230" s="162" t="s">
        <v>5839</v>
      </c>
    </row>
    <row r="4231" spans="1:42" s="162" customFormat="1" x14ac:dyDescent="0.3">
      <c r="A4231" s="205" t="s">
        <v>8321</v>
      </c>
      <c r="B4231" s="162" t="s">
        <v>8322</v>
      </c>
      <c r="C4231" s="168" t="s">
        <v>13505</v>
      </c>
      <c r="D4231" s="162" t="s">
        <v>13506</v>
      </c>
      <c r="E4231" s="168" t="s">
        <v>13507</v>
      </c>
      <c r="F4231" s="162" t="s">
        <v>13508</v>
      </c>
      <c r="G4231" s="168">
        <v>165510</v>
      </c>
      <c r="H4231" s="162" t="s">
        <v>15340</v>
      </c>
      <c r="K4231" s="168" t="s">
        <v>15341</v>
      </c>
      <c r="L4231" s="162" t="s">
        <v>15342</v>
      </c>
      <c r="M4231" s="162" t="s">
        <v>15347</v>
      </c>
      <c r="O4231" s="492">
        <v>0.1</v>
      </c>
      <c r="P4231" s="492">
        <v>0.3</v>
      </c>
      <c r="Q4231" s="492">
        <v>0.5</v>
      </c>
      <c r="R4231" s="492">
        <v>0.6</v>
      </c>
      <c r="S4231" s="492">
        <v>0.7</v>
      </c>
      <c r="T4231" s="223" t="s">
        <v>5829</v>
      </c>
      <c r="U4231" t="str">
        <f>VLOOKUP(T4231,[8]Votes!$A$1:$E$234,3,FALSE)</f>
        <v>103 Inspectorate of Government (IG)</v>
      </c>
      <c r="W4231" s="501"/>
      <c r="X4231" s="501"/>
      <c r="Y4231" s="501"/>
      <c r="Z4231" s="501"/>
      <c r="AA4231" s="501"/>
      <c r="AB4231" s="501"/>
      <c r="AC4231" s="150">
        <v>0</v>
      </c>
      <c r="AD4231" s="150">
        <v>0</v>
      </c>
      <c r="AE4231" s="49">
        <f t="shared" si="154"/>
        <v>0</v>
      </c>
      <c r="AF4231" s="485"/>
      <c r="AG4231" s="17">
        <v>0</v>
      </c>
      <c r="AH4231" s="485">
        <v>2.5</v>
      </c>
      <c r="AI4231" s="485">
        <v>2.5</v>
      </c>
      <c r="AJ4231" s="485">
        <v>2.5</v>
      </c>
      <c r="AK4231" s="493">
        <v>2.5</v>
      </c>
      <c r="AL4231" s="493">
        <v>2.5</v>
      </c>
      <c r="AM4231" s="17">
        <f t="shared" si="155"/>
        <v>5</v>
      </c>
      <c r="AN4231" s="162" t="s">
        <v>5829</v>
      </c>
      <c r="AO4231" s="162" t="s">
        <v>5839</v>
      </c>
    </row>
    <row r="4232" spans="1:42" s="162" customFormat="1" x14ac:dyDescent="0.3">
      <c r="A4232" s="205" t="s">
        <v>8321</v>
      </c>
      <c r="B4232" s="162" t="s">
        <v>8322</v>
      </c>
      <c r="C4232" s="168" t="s">
        <v>13505</v>
      </c>
      <c r="D4232" s="162" t="s">
        <v>13506</v>
      </c>
      <c r="E4232" s="168" t="s">
        <v>13507</v>
      </c>
      <c r="F4232" s="162" t="s">
        <v>13508</v>
      </c>
      <c r="G4232" s="168">
        <v>165510</v>
      </c>
      <c r="H4232" s="162" t="s">
        <v>15340</v>
      </c>
      <c r="K4232" s="168" t="s">
        <v>15341</v>
      </c>
      <c r="L4232" s="162" t="s">
        <v>15342</v>
      </c>
      <c r="O4232" s="224"/>
      <c r="P4232" s="224"/>
      <c r="Q4232" s="224"/>
      <c r="R4232" s="224"/>
      <c r="S4232" s="224"/>
      <c r="T4232" s="223" t="s">
        <v>1581</v>
      </c>
      <c r="U4232" t="str">
        <f>VLOOKUP(T4232,[8]Votes!$A$1:$E$234,3,FALSE)</f>
        <v>119 Uganda Registration Services Bureau</v>
      </c>
      <c r="V4232" s="162" t="s">
        <v>15348</v>
      </c>
      <c r="W4232" s="416">
        <v>1</v>
      </c>
      <c r="X4232" s="416">
        <v>1</v>
      </c>
      <c r="Y4232" s="416">
        <v>1</v>
      </c>
      <c r="Z4232" s="416">
        <v>1</v>
      </c>
      <c r="AA4232" s="416">
        <v>1</v>
      </c>
      <c r="AB4232" s="416">
        <v>0</v>
      </c>
      <c r="AC4232" s="150">
        <v>1</v>
      </c>
      <c r="AD4232" s="150">
        <v>1</v>
      </c>
      <c r="AE4232" s="49">
        <f t="shared" si="154"/>
        <v>0.875</v>
      </c>
      <c r="AF4232" s="485">
        <v>0</v>
      </c>
      <c r="AG4232" s="17">
        <v>0</v>
      </c>
      <c r="AH4232" s="485">
        <v>3</v>
      </c>
      <c r="AI4232" s="485">
        <v>3</v>
      </c>
      <c r="AJ4232" s="485">
        <v>3</v>
      </c>
      <c r="AK4232" s="493">
        <v>0.5</v>
      </c>
      <c r="AL4232" s="524">
        <v>0.5</v>
      </c>
      <c r="AM4232" s="17">
        <f t="shared" si="155"/>
        <v>1</v>
      </c>
      <c r="AN4232" s="162" t="s">
        <v>1581</v>
      </c>
      <c r="AO4232" s="162" t="s">
        <v>1583</v>
      </c>
      <c r="AP4232" s="162" t="s">
        <v>15349</v>
      </c>
    </row>
    <row r="4233" spans="1:42" s="162" customFormat="1" x14ac:dyDescent="0.3">
      <c r="A4233" s="205" t="s">
        <v>8321</v>
      </c>
      <c r="B4233" s="162" t="s">
        <v>8322</v>
      </c>
      <c r="C4233" s="168" t="s">
        <v>13505</v>
      </c>
      <c r="D4233" s="162" t="s">
        <v>13506</v>
      </c>
      <c r="E4233" s="168" t="s">
        <v>13507</v>
      </c>
      <c r="F4233" s="162" t="s">
        <v>13508</v>
      </c>
      <c r="G4233" s="168">
        <v>165510</v>
      </c>
      <c r="H4233" s="162" t="s">
        <v>15340</v>
      </c>
      <c r="K4233" s="168" t="s">
        <v>15350</v>
      </c>
      <c r="L4233" s="162" t="s">
        <v>15351</v>
      </c>
      <c r="M4233" s="162" t="s">
        <v>15352</v>
      </c>
      <c r="O4233" s="224"/>
      <c r="P4233" s="224">
        <v>52</v>
      </c>
      <c r="Q4233" s="224">
        <v>52</v>
      </c>
      <c r="R4233" s="224">
        <v>52</v>
      </c>
      <c r="S4233" s="224">
        <v>52</v>
      </c>
      <c r="T4233" s="223" t="s">
        <v>1588</v>
      </c>
      <c r="U4233" t="str">
        <f>VLOOKUP(T4233,[8]Votes!$A$1:$E$234,3,FALSE)</f>
        <v>148 Judicial Service Commission</v>
      </c>
      <c r="V4233" s="162" t="s">
        <v>15353</v>
      </c>
      <c r="W4233" s="416">
        <v>1</v>
      </c>
      <c r="X4233" s="416">
        <v>1</v>
      </c>
      <c r="Y4233" s="416">
        <v>1</v>
      </c>
      <c r="Z4233" s="416">
        <v>1</v>
      </c>
      <c r="AA4233" s="416">
        <v>1</v>
      </c>
      <c r="AB4233" s="416">
        <v>0</v>
      </c>
      <c r="AC4233" s="150">
        <v>1</v>
      </c>
      <c r="AD4233" s="150">
        <v>1</v>
      </c>
      <c r="AE4233" s="49">
        <f t="shared" si="154"/>
        <v>0.875</v>
      </c>
      <c r="AF4233" s="485">
        <v>0</v>
      </c>
      <c r="AG4233" s="17">
        <v>0</v>
      </c>
      <c r="AH4233" s="190">
        <v>0</v>
      </c>
      <c r="AI4233" s="485">
        <v>0.45</v>
      </c>
      <c r="AJ4233" s="485">
        <v>0.45</v>
      </c>
      <c r="AK4233" s="493">
        <v>0</v>
      </c>
      <c r="AL4233" s="493">
        <v>0</v>
      </c>
      <c r="AM4233" s="17">
        <f t="shared" si="155"/>
        <v>0</v>
      </c>
      <c r="AN4233" s="162" t="s">
        <v>1588</v>
      </c>
      <c r="AO4233" s="162" t="s">
        <v>1590</v>
      </c>
    </row>
    <row r="4234" spans="1:42" s="162" customFormat="1" x14ac:dyDescent="0.3">
      <c r="A4234" s="205" t="s">
        <v>8321</v>
      </c>
      <c r="B4234" s="162" t="s">
        <v>8322</v>
      </c>
      <c r="C4234" s="168" t="s">
        <v>13505</v>
      </c>
      <c r="D4234" s="162" t="s">
        <v>13506</v>
      </c>
      <c r="E4234" s="168" t="s">
        <v>13507</v>
      </c>
      <c r="F4234" s="162" t="s">
        <v>13508</v>
      </c>
      <c r="G4234" s="168">
        <v>165510</v>
      </c>
      <c r="H4234" s="162" t="s">
        <v>15340</v>
      </c>
      <c r="K4234" s="168" t="s">
        <v>15354</v>
      </c>
      <c r="L4234" s="162" t="s">
        <v>15355</v>
      </c>
      <c r="M4234" s="162" t="s">
        <v>15356</v>
      </c>
      <c r="O4234" s="492">
        <v>1</v>
      </c>
      <c r="P4234" s="492">
        <v>1</v>
      </c>
      <c r="Q4234" s="492">
        <v>1</v>
      </c>
      <c r="R4234" s="492">
        <v>1</v>
      </c>
      <c r="S4234" s="492">
        <v>1</v>
      </c>
      <c r="T4234" s="223" t="s">
        <v>7852</v>
      </c>
      <c r="U4234" t="str">
        <f>VLOOKUP(T4234,[8]Votes!$A$1:$E$234,3,FALSE)</f>
        <v>131 Auditor General</v>
      </c>
      <c r="V4234" s="162" t="s">
        <v>15357</v>
      </c>
      <c r="W4234" s="416">
        <v>1</v>
      </c>
      <c r="X4234" s="416">
        <v>1</v>
      </c>
      <c r="Y4234" s="416">
        <v>1</v>
      </c>
      <c r="Z4234" s="416">
        <v>1</v>
      </c>
      <c r="AA4234" s="416">
        <v>1</v>
      </c>
      <c r="AB4234" s="416">
        <v>0</v>
      </c>
      <c r="AC4234" s="150">
        <v>1</v>
      </c>
      <c r="AD4234" s="150">
        <v>1</v>
      </c>
      <c r="AE4234" s="49">
        <f t="shared" si="154"/>
        <v>0.875</v>
      </c>
      <c r="AF4234" s="485">
        <v>0</v>
      </c>
      <c r="AG4234" s="17">
        <v>0</v>
      </c>
      <c r="AH4234" s="485">
        <v>0.6</v>
      </c>
      <c r="AI4234" s="485">
        <v>0.7</v>
      </c>
      <c r="AJ4234" s="485">
        <v>0.75</v>
      </c>
      <c r="AK4234" s="532">
        <v>0.7</v>
      </c>
      <c r="AL4234" s="493">
        <v>0.8</v>
      </c>
      <c r="AM4234" s="17">
        <f t="shared" si="155"/>
        <v>1.5</v>
      </c>
      <c r="AN4234" s="162" t="s">
        <v>7852</v>
      </c>
      <c r="AO4234" s="162" t="s">
        <v>7854</v>
      </c>
    </row>
    <row r="4235" spans="1:42" s="162" customFormat="1" x14ac:dyDescent="0.3">
      <c r="A4235" s="205" t="s">
        <v>8321</v>
      </c>
      <c r="B4235" s="162" t="s">
        <v>8322</v>
      </c>
      <c r="C4235" s="168" t="s">
        <v>13505</v>
      </c>
      <c r="D4235" s="162" t="s">
        <v>13506</v>
      </c>
      <c r="E4235" s="168" t="s">
        <v>13507</v>
      </c>
      <c r="F4235" s="162" t="s">
        <v>13508</v>
      </c>
      <c r="G4235" s="168">
        <v>165510</v>
      </c>
      <c r="H4235" s="162" t="s">
        <v>15340</v>
      </c>
      <c r="K4235" s="168" t="s">
        <v>15358</v>
      </c>
      <c r="L4235" s="162" t="s">
        <v>15359</v>
      </c>
      <c r="M4235" s="162" t="s">
        <v>15360</v>
      </c>
      <c r="O4235" s="492">
        <v>1</v>
      </c>
      <c r="P4235" s="492">
        <v>1</v>
      </c>
      <c r="Q4235" s="492">
        <v>1</v>
      </c>
      <c r="R4235" s="492">
        <v>1</v>
      </c>
      <c r="S4235" s="492">
        <v>1</v>
      </c>
      <c r="T4235" s="223" t="s">
        <v>7852</v>
      </c>
      <c r="U4235" t="str">
        <f>VLOOKUP(T4235,[8]Votes!$A$1:$E$234,3,FALSE)</f>
        <v>131 Auditor General</v>
      </c>
      <c r="V4235" s="162" t="s">
        <v>15361</v>
      </c>
      <c r="W4235" s="416">
        <v>1</v>
      </c>
      <c r="X4235" s="416">
        <v>1</v>
      </c>
      <c r="Y4235" s="416">
        <v>1</v>
      </c>
      <c r="Z4235" s="416">
        <v>1</v>
      </c>
      <c r="AA4235" s="416">
        <v>1</v>
      </c>
      <c r="AB4235" s="416">
        <v>0</v>
      </c>
      <c r="AC4235" s="150">
        <v>1</v>
      </c>
      <c r="AD4235" s="150">
        <v>1</v>
      </c>
      <c r="AE4235" s="49">
        <f t="shared" si="154"/>
        <v>0.875</v>
      </c>
      <c r="AF4235" s="485">
        <v>0</v>
      </c>
      <c r="AG4235" s="17">
        <v>0</v>
      </c>
      <c r="AH4235" s="485">
        <v>0.1</v>
      </c>
      <c r="AI4235" s="485">
        <v>0.12</v>
      </c>
      <c r="AJ4235" s="485">
        <v>0.15</v>
      </c>
      <c r="AK4235" s="532">
        <v>0.12</v>
      </c>
      <c r="AL4235" s="493">
        <v>0.1</v>
      </c>
      <c r="AM4235" s="17">
        <f t="shared" si="155"/>
        <v>0.22</v>
      </c>
      <c r="AN4235" s="162" t="s">
        <v>7852</v>
      </c>
      <c r="AO4235" s="162" t="s">
        <v>7854</v>
      </c>
    </row>
    <row r="4236" spans="1:42" s="162" customFormat="1" x14ac:dyDescent="0.3">
      <c r="A4236" s="205" t="s">
        <v>8321</v>
      </c>
      <c r="B4236" s="162" t="s">
        <v>8322</v>
      </c>
      <c r="C4236" s="168" t="s">
        <v>13505</v>
      </c>
      <c r="D4236" s="162" t="s">
        <v>13506</v>
      </c>
      <c r="E4236" s="168" t="s">
        <v>13507</v>
      </c>
      <c r="F4236" s="162" t="s">
        <v>13508</v>
      </c>
      <c r="G4236" s="168">
        <v>165510</v>
      </c>
      <c r="H4236" s="162" t="s">
        <v>15340</v>
      </c>
      <c r="K4236" s="168" t="s">
        <v>15362</v>
      </c>
      <c r="L4236" s="162" t="s">
        <v>15363</v>
      </c>
      <c r="M4236" s="162" t="s">
        <v>15364</v>
      </c>
      <c r="O4236" s="492">
        <v>0.85</v>
      </c>
      <c r="P4236" s="492">
        <v>0.9</v>
      </c>
      <c r="Q4236" s="492">
        <v>0.95</v>
      </c>
      <c r="R4236" s="492">
        <v>0.95</v>
      </c>
      <c r="S4236" s="492">
        <v>0.95</v>
      </c>
      <c r="T4236" s="223" t="s">
        <v>7852</v>
      </c>
      <c r="U4236" t="str">
        <f>VLOOKUP(T4236,[8]Votes!$A$1:$E$234,3,FALSE)</f>
        <v>131 Auditor General</v>
      </c>
      <c r="V4236" s="162" t="s">
        <v>15365</v>
      </c>
      <c r="W4236" s="416">
        <v>1</v>
      </c>
      <c r="X4236" s="416">
        <v>1</v>
      </c>
      <c r="Y4236" s="416">
        <v>1</v>
      </c>
      <c r="Z4236" s="416">
        <v>1</v>
      </c>
      <c r="AA4236" s="416">
        <v>1</v>
      </c>
      <c r="AB4236" s="416">
        <v>0</v>
      </c>
      <c r="AC4236" s="150">
        <v>1</v>
      </c>
      <c r="AD4236" s="150">
        <v>1</v>
      </c>
      <c r="AE4236" s="49">
        <f t="shared" si="154"/>
        <v>0.875</v>
      </c>
      <c r="AF4236" s="485">
        <v>0</v>
      </c>
      <c r="AG4236" s="17">
        <v>0</v>
      </c>
      <c r="AH4236" s="485">
        <v>0.1</v>
      </c>
      <c r="AI4236" s="485">
        <v>0.1</v>
      </c>
      <c r="AJ4236" s="485">
        <v>0.12</v>
      </c>
      <c r="AK4236" s="532">
        <v>0.15</v>
      </c>
      <c r="AL4236" s="493">
        <v>0.2</v>
      </c>
      <c r="AM4236" s="17">
        <f t="shared" si="155"/>
        <v>0.35</v>
      </c>
      <c r="AN4236" s="162" t="s">
        <v>7852</v>
      </c>
      <c r="AO4236" s="162" t="s">
        <v>7854</v>
      </c>
    </row>
    <row r="4237" spans="1:42" s="162" customFormat="1" x14ac:dyDescent="0.3">
      <c r="A4237" s="205" t="s">
        <v>8321</v>
      </c>
      <c r="B4237" s="162" t="s">
        <v>8322</v>
      </c>
      <c r="C4237" s="168" t="s">
        <v>13505</v>
      </c>
      <c r="D4237" s="162" t="s">
        <v>13506</v>
      </c>
      <c r="E4237" s="168" t="s">
        <v>13507</v>
      </c>
      <c r="F4237" s="162" t="s">
        <v>13508</v>
      </c>
      <c r="G4237" s="168">
        <v>165510</v>
      </c>
      <c r="H4237" s="162" t="s">
        <v>15340</v>
      </c>
      <c r="K4237" s="168" t="s">
        <v>15366</v>
      </c>
      <c r="L4237" s="162" t="s">
        <v>15367</v>
      </c>
      <c r="M4237" s="162" t="s">
        <v>15368</v>
      </c>
      <c r="O4237" s="224">
        <v>76</v>
      </c>
      <c r="P4237" s="224">
        <v>76</v>
      </c>
      <c r="Q4237" s="224">
        <v>76</v>
      </c>
      <c r="R4237" s="224">
        <v>76</v>
      </c>
      <c r="S4237" s="224">
        <v>76</v>
      </c>
      <c r="T4237" s="223" t="s">
        <v>5755</v>
      </c>
      <c r="U4237" t="str">
        <f>VLOOKUP(T4237,[8]Votes!$A$1:$E$234,3,FALSE)</f>
        <v>005 Ministry of Public Service</v>
      </c>
      <c r="V4237" s="162" t="s">
        <v>15369</v>
      </c>
      <c r="W4237" s="416">
        <v>1</v>
      </c>
      <c r="X4237" s="416">
        <v>1</v>
      </c>
      <c r="Y4237" s="416">
        <v>1</v>
      </c>
      <c r="Z4237" s="416">
        <v>1</v>
      </c>
      <c r="AA4237" s="416">
        <v>1</v>
      </c>
      <c r="AB4237" s="416">
        <v>0</v>
      </c>
      <c r="AC4237" s="150">
        <v>1</v>
      </c>
      <c r="AD4237" s="150">
        <v>1</v>
      </c>
      <c r="AE4237" s="49">
        <f t="shared" si="154"/>
        <v>0.875</v>
      </c>
      <c r="AF4237" s="485">
        <v>0</v>
      </c>
      <c r="AG4237" s="17">
        <v>0</v>
      </c>
      <c r="AH4237" s="485">
        <v>0.97</v>
      </c>
      <c r="AI4237" s="485">
        <v>0.97</v>
      </c>
      <c r="AJ4237" s="485">
        <v>0.97</v>
      </c>
      <c r="AK4237" s="532">
        <v>0.97</v>
      </c>
      <c r="AL4237" s="493">
        <v>0.97</v>
      </c>
      <c r="AM4237" s="17">
        <f t="shared" si="155"/>
        <v>1.94</v>
      </c>
      <c r="AN4237" s="162" t="s">
        <v>5755</v>
      </c>
      <c r="AO4237" s="162" t="s">
        <v>2236</v>
      </c>
    </row>
    <row r="4238" spans="1:42" s="162" customFormat="1" x14ac:dyDescent="0.3">
      <c r="A4238" s="205" t="s">
        <v>8321</v>
      </c>
      <c r="B4238" s="162" t="s">
        <v>8322</v>
      </c>
      <c r="C4238" s="168" t="s">
        <v>13505</v>
      </c>
      <c r="D4238" s="162" t="s">
        <v>13506</v>
      </c>
      <c r="E4238" s="168" t="s">
        <v>13507</v>
      </c>
      <c r="F4238" s="162" t="s">
        <v>13508</v>
      </c>
      <c r="G4238" s="168">
        <v>165510</v>
      </c>
      <c r="H4238" s="162" t="s">
        <v>15340</v>
      </c>
      <c r="K4238" s="168" t="s">
        <v>15366</v>
      </c>
      <c r="L4238" s="162" t="s">
        <v>15367</v>
      </c>
      <c r="M4238" s="162" t="s">
        <v>15370</v>
      </c>
      <c r="N4238" s="462">
        <v>0.28999999999999998</v>
      </c>
      <c r="O4238" s="492">
        <v>0.42</v>
      </c>
      <c r="P4238" s="492">
        <v>0.48</v>
      </c>
      <c r="Q4238" s="492">
        <v>0.5</v>
      </c>
      <c r="R4238" s="492">
        <v>0.75</v>
      </c>
      <c r="S4238" s="492">
        <v>1</v>
      </c>
      <c r="T4238" s="223" t="s">
        <v>15371</v>
      </c>
      <c r="U4238" t="e">
        <f>VLOOKUP(T4238,[8]Votes!$A$1:$E$234,3,FALSE)</f>
        <v>#N/A</v>
      </c>
      <c r="V4238" s="162" t="s">
        <v>15369</v>
      </c>
      <c r="W4238" s="416">
        <v>1</v>
      </c>
      <c r="X4238" s="416">
        <v>1</v>
      </c>
      <c r="Y4238" s="416">
        <v>1</v>
      </c>
      <c r="Z4238" s="416">
        <v>1</v>
      </c>
      <c r="AA4238" s="416">
        <v>1</v>
      </c>
      <c r="AB4238" s="416">
        <v>0</v>
      </c>
      <c r="AC4238" s="150">
        <v>1</v>
      </c>
      <c r="AD4238" s="150">
        <v>1</v>
      </c>
      <c r="AE4238" s="49">
        <f t="shared" si="154"/>
        <v>0.875</v>
      </c>
      <c r="AF4238" s="485">
        <v>0</v>
      </c>
      <c r="AG4238" s="17">
        <v>0</v>
      </c>
      <c r="AH4238" s="485">
        <v>0.11</v>
      </c>
      <c r="AI4238" s="485">
        <v>0.11</v>
      </c>
      <c r="AJ4238" s="485">
        <v>0.11</v>
      </c>
      <c r="AK4238" s="532">
        <v>0.11</v>
      </c>
      <c r="AL4238" s="493">
        <v>0.11</v>
      </c>
      <c r="AM4238" s="17">
        <f t="shared" si="155"/>
        <v>0.22</v>
      </c>
      <c r="AN4238" s="162" t="s">
        <v>5755</v>
      </c>
      <c r="AO4238" s="162" t="s">
        <v>2236</v>
      </c>
    </row>
    <row r="4239" spans="1:42" s="162" customFormat="1" x14ac:dyDescent="0.3">
      <c r="A4239" s="205" t="s">
        <v>8321</v>
      </c>
      <c r="B4239" s="162" t="s">
        <v>8322</v>
      </c>
      <c r="C4239" s="168" t="s">
        <v>13505</v>
      </c>
      <c r="D4239" s="162" t="s">
        <v>13506</v>
      </c>
      <c r="E4239" s="168" t="s">
        <v>13507</v>
      </c>
      <c r="F4239" s="162" t="s">
        <v>13508</v>
      </c>
      <c r="G4239" s="168">
        <v>165510</v>
      </c>
      <c r="H4239" s="162" t="s">
        <v>15340</v>
      </c>
      <c r="K4239" s="168" t="s">
        <v>15366</v>
      </c>
      <c r="L4239" s="162" t="s">
        <v>15367</v>
      </c>
      <c r="M4239" s="162" t="s">
        <v>15372</v>
      </c>
      <c r="O4239" s="224">
        <v>912</v>
      </c>
      <c r="P4239" s="224">
        <v>912</v>
      </c>
      <c r="Q4239" s="224">
        <v>912</v>
      </c>
      <c r="R4239" s="224">
        <v>912</v>
      </c>
      <c r="S4239" s="224">
        <v>912</v>
      </c>
      <c r="T4239" s="223" t="s">
        <v>15373</v>
      </c>
      <c r="U4239" t="e">
        <f>VLOOKUP(T4239,[8]Votes!$A$1:$E$234,3,FALSE)</f>
        <v>#N/A</v>
      </c>
      <c r="V4239" s="162" t="s">
        <v>15374</v>
      </c>
      <c r="W4239" s="416">
        <v>1</v>
      </c>
      <c r="X4239" s="416">
        <v>1</v>
      </c>
      <c r="Y4239" s="416">
        <v>1</v>
      </c>
      <c r="Z4239" s="416">
        <v>1</v>
      </c>
      <c r="AA4239" s="416">
        <v>1</v>
      </c>
      <c r="AB4239" s="416">
        <v>0</v>
      </c>
      <c r="AC4239" s="150">
        <v>1</v>
      </c>
      <c r="AD4239" s="150">
        <v>1</v>
      </c>
      <c r="AE4239" s="49">
        <f t="shared" si="154"/>
        <v>0.875</v>
      </c>
      <c r="AF4239" s="485">
        <v>0</v>
      </c>
      <c r="AG4239" s="17">
        <v>0</v>
      </c>
      <c r="AH4239" s="485">
        <v>1.06</v>
      </c>
      <c r="AI4239" s="485">
        <v>1.06</v>
      </c>
      <c r="AJ4239" s="485">
        <v>1.06</v>
      </c>
      <c r="AK4239" s="532">
        <v>1.06</v>
      </c>
      <c r="AL4239" s="493">
        <v>1.06</v>
      </c>
      <c r="AM4239" s="17">
        <f t="shared" si="155"/>
        <v>2.12</v>
      </c>
      <c r="AN4239" s="162" t="s">
        <v>5755</v>
      </c>
      <c r="AO4239" s="162" t="s">
        <v>2236</v>
      </c>
    </row>
    <row r="4240" spans="1:42" s="162" customFormat="1" x14ac:dyDescent="0.3">
      <c r="A4240" s="205" t="s">
        <v>8321</v>
      </c>
      <c r="B4240" s="162" t="s">
        <v>8322</v>
      </c>
      <c r="C4240" s="168" t="s">
        <v>13505</v>
      </c>
      <c r="D4240" s="162" t="s">
        <v>13506</v>
      </c>
      <c r="E4240" s="168" t="s">
        <v>13507</v>
      </c>
      <c r="F4240" s="162" t="s">
        <v>13508</v>
      </c>
      <c r="G4240" s="168">
        <v>165510</v>
      </c>
      <c r="H4240" s="162" t="s">
        <v>15340</v>
      </c>
      <c r="K4240" s="168" t="s">
        <v>15375</v>
      </c>
      <c r="L4240" s="162" t="s">
        <v>15376</v>
      </c>
      <c r="M4240" s="162" t="s">
        <v>15377</v>
      </c>
      <c r="O4240" s="224">
        <v>1</v>
      </c>
      <c r="P4240" s="492"/>
      <c r="Q4240" s="492"/>
      <c r="R4240" s="492"/>
      <c r="S4240" s="224">
        <v>1</v>
      </c>
      <c r="T4240" s="223" t="s">
        <v>15371</v>
      </c>
      <c r="U4240" t="e">
        <f>VLOOKUP(T4240,[8]Votes!$A$1:$E$234,3,FALSE)</f>
        <v>#N/A</v>
      </c>
      <c r="V4240" s="162" t="s">
        <v>15378</v>
      </c>
      <c r="W4240" s="416">
        <v>1</v>
      </c>
      <c r="X4240" s="416">
        <v>1</v>
      </c>
      <c r="Y4240" s="416">
        <v>1</v>
      </c>
      <c r="Z4240" s="416">
        <v>1</v>
      </c>
      <c r="AA4240" s="416">
        <v>1</v>
      </c>
      <c r="AB4240" s="416">
        <v>0</v>
      </c>
      <c r="AC4240" s="150">
        <v>1</v>
      </c>
      <c r="AD4240" s="150">
        <v>1</v>
      </c>
      <c r="AE4240" s="49">
        <f t="shared" si="154"/>
        <v>0.875</v>
      </c>
      <c r="AF4240" s="485">
        <v>0</v>
      </c>
      <c r="AG4240" s="17">
        <v>0</v>
      </c>
      <c r="AH4240" s="485">
        <v>1.5</v>
      </c>
      <c r="AI4240" s="190">
        <v>0</v>
      </c>
      <c r="AJ4240" s="190">
        <v>0</v>
      </c>
      <c r="AK4240" s="191">
        <v>0</v>
      </c>
      <c r="AL4240" s="493">
        <v>1.5</v>
      </c>
      <c r="AM4240" s="17">
        <f t="shared" si="155"/>
        <v>1.5</v>
      </c>
      <c r="AN4240" s="162" t="s">
        <v>5755</v>
      </c>
      <c r="AO4240" s="162" t="s">
        <v>2236</v>
      </c>
      <c r="AP4240" s="162" t="s">
        <v>5698</v>
      </c>
    </row>
    <row r="4241" spans="1:42" s="162" customFormat="1" x14ac:dyDescent="0.3">
      <c r="A4241" s="205" t="s">
        <v>8321</v>
      </c>
      <c r="B4241" s="162" t="s">
        <v>8322</v>
      </c>
      <c r="C4241" s="168" t="s">
        <v>13505</v>
      </c>
      <c r="D4241" s="162" t="s">
        <v>13506</v>
      </c>
      <c r="E4241" s="168" t="s">
        <v>13507</v>
      </c>
      <c r="F4241" s="162" t="s">
        <v>13508</v>
      </c>
      <c r="G4241" s="168">
        <v>165510</v>
      </c>
      <c r="H4241" s="162" t="s">
        <v>15340</v>
      </c>
      <c r="K4241" s="168" t="s">
        <v>15379</v>
      </c>
      <c r="L4241" s="162" t="s">
        <v>15380</v>
      </c>
      <c r="M4241" s="162" t="s">
        <v>15381</v>
      </c>
      <c r="N4241" s="162">
        <v>45</v>
      </c>
      <c r="O4241" s="224">
        <v>9</v>
      </c>
      <c r="P4241" s="224">
        <v>9</v>
      </c>
      <c r="Q4241" s="224">
        <v>9</v>
      </c>
      <c r="R4241" s="224">
        <v>9</v>
      </c>
      <c r="S4241" s="224">
        <v>9</v>
      </c>
      <c r="T4241" s="223" t="s">
        <v>5755</v>
      </c>
      <c r="U4241" t="str">
        <f>VLOOKUP(T4241,[8]Votes!$A$1:$E$234,3,FALSE)</f>
        <v>005 Ministry of Public Service</v>
      </c>
      <c r="V4241" s="162" t="s">
        <v>15382</v>
      </c>
      <c r="W4241" s="416">
        <v>1</v>
      </c>
      <c r="X4241" s="416">
        <v>1</v>
      </c>
      <c r="Y4241" s="416">
        <v>1</v>
      </c>
      <c r="Z4241" s="416">
        <v>1</v>
      </c>
      <c r="AA4241" s="416">
        <v>1</v>
      </c>
      <c r="AB4241" s="416">
        <v>0</v>
      </c>
      <c r="AC4241" s="150">
        <v>1</v>
      </c>
      <c r="AD4241" s="150">
        <v>1</v>
      </c>
      <c r="AE4241" s="49">
        <f t="shared" si="154"/>
        <v>0.875</v>
      </c>
      <c r="AF4241" s="485">
        <v>0</v>
      </c>
      <c r="AG4241" s="17">
        <v>0</v>
      </c>
      <c r="AH4241" s="485">
        <v>0.22500000000000001</v>
      </c>
      <c r="AI4241" s="485">
        <v>0.22500000000000001</v>
      </c>
      <c r="AJ4241" s="485">
        <v>0.22500000000000001</v>
      </c>
      <c r="AK4241" s="532">
        <v>0.22500000000000001</v>
      </c>
      <c r="AL4241" s="493">
        <v>0.22500000000000001</v>
      </c>
      <c r="AM4241" s="17">
        <f t="shared" si="155"/>
        <v>0.45</v>
      </c>
      <c r="AN4241" s="162" t="s">
        <v>5755</v>
      </c>
      <c r="AO4241" s="162" t="s">
        <v>2236</v>
      </c>
      <c r="AP4241" s="162" t="s">
        <v>5698</v>
      </c>
    </row>
    <row r="4242" spans="1:42" s="162" customFormat="1" x14ac:dyDescent="0.3">
      <c r="A4242" s="205" t="s">
        <v>8321</v>
      </c>
      <c r="B4242" s="162" t="s">
        <v>8322</v>
      </c>
      <c r="C4242" s="168" t="s">
        <v>13505</v>
      </c>
      <c r="D4242" s="162" t="s">
        <v>13506</v>
      </c>
      <c r="E4242" s="168" t="s">
        <v>13507</v>
      </c>
      <c r="F4242" s="162" t="s">
        <v>13508</v>
      </c>
      <c r="G4242" s="168">
        <v>165510</v>
      </c>
      <c r="H4242" s="162" t="s">
        <v>15340</v>
      </c>
      <c r="K4242" s="168" t="s">
        <v>15383</v>
      </c>
      <c r="L4242" s="162" t="s">
        <v>15384</v>
      </c>
      <c r="M4242" s="162" t="s">
        <v>15385</v>
      </c>
      <c r="O4242" s="224">
        <v>380</v>
      </c>
      <c r="P4242" s="224">
        <v>380</v>
      </c>
      <c r="Q4242" s="224">
        <v>380</v>
      </c>
      <c r="R4242" s="224">
        <v>380</v>
      </c>
      <c r="S4242" s="224">
        <v>380</v>
      </c>
      <c r="T4242" s="223" t="s">
        <v>2172</v>
      </c>
      <c r="U4242" t="str">
        <f>VLOOKUP(T4242,[8]Votes!$A$1:$E$234,3,FALSE)</f>
        <v>005 Ministry of Public Service</v>
      </c>
      <c r="V4242" s="162" t="s">
        <v>15386</v>
      </c>
      <c r="W4242" s="416">
        <v>1</v>
      </c>
      <c r="X4242" s="416">
        <v>1</v>
      </c>
      <c r="Y4242" s="416">
        <v>1</v>
      </c>
      <c r="Z4242" s="416">
        <v>1</v>
      </c>
      <c r="AA4242" s="416">
        <v>1</v>
      </c>
      <c r="AB4242" s="416">
        <v>0</v>
      </c>
      <c r="AC4242" s="150">
        <v>1</v>
      </c>
      <c r="AD4242" s="150">
        <v>1</v>
      </c>
      <c r="AE4242" s="49">
        <f t="shared" si="154"/>
        <v>0.875</v>
      </c>
      <c r="AF4242" s="485">
        <v>0</v>
      </c>
      <c r="AG4242" s="17">
        <v>0</v>
      </c>
      <c r="AH4242" s="485">
        <v>1.1000000000000001</v>
      </c>
      <c r="AI4242" s="485">
        <v>1.1000000000000001</v>
      </c>
      <c r="AJ4242" s="485">
        <v>1.1000000000000001</v>
      </c>
      <c r="AK4242" s="532">
        <v>1.1000000000000001</v>
      </c>
      <c r="AL4242" s="493">
        <v>1.1000000000000001</v>
      </c>
      <c r="AM4242" s="17">
        <f t="shared" si="155"/>
        <v>2.2000000000000002</v>
      </c>
      <c r="AN4242" s="162" t="s">
        <v>2172</v>
      </c>
      <c r="AO4242" s="162" t="s">
        <v>2236</v>
      </c>
    </row>
    <row r="4243" spans="1:42" s="162" customFormat="1" x14ac:dyDescent="0.3">
      <c r="A4243" s="205" t="s">
        <v>8321</v>
      </c>
      <c r="B4243" s="162" t="s">
        <v>8322</v>
      </c>
      <c r="C4243" s="168" t="s">
        <v>13505</v>
      </c>
      <c r="D4243" s="162" t="s">
        <v>13506</v>
      </c>
      <c r="E4243" s="168" t="s">
        <v>13507</v>
      </c>
      <c r="F4243" s="162" t="s">
        <v>13508</v>
      </c>
      <c r="G4243" s="168">
        <v>165510</v>
      </c>
      <c r="H4243" s="162" t="s">
        <v>15340</v>
      </c>
      <c r="K4243" s="168" t="s">
        <v>15383</v>
      </c>
      <c r="L4243" s="162" t="s">
        <v>15384</v>
      </c>
      <c r="M4243" s="162" t="s">
        <v>15387</v>
      </c>
      <c r="O4243" s="224">
        <v>296</v>
      </c>
      <c r="P4243" s="224">
        <v>296</v>
      </c>
      <c r="Q4243" s="224">
        <v>296</v>
      </c>
      <c r="R4243" s="224">
        <v>296</v>
      </c>
      <c r="S4243" s="224">
        <v>296</v>
      </c>
      <c r="T4243" s="223" t="s">
        <v>15371</v>
      </c>
      <c r="U4243" t="e">
        <f>VLOOKUP(T4243,[8]Votes!$A$1:$E$234,3,FALSE)</f>
        <v>#N/A</v>
      </c>
      <c r="V4243" s="162" t="s">
        <v>15388</v>
      </c>
      <c r="W4243" s="416">
        <v>1</v>
      </c>
      <c r="X4243" s="416">
        <v>1</v>
      </c>
      <c r="Y4243" s="416">
        <v>1</v>
      </c>
      <c r="Z4243" s="416">
        <v>1</v>
      </c>
      <c r="AA4243" s="416">
        <v>1</v>
      </c>
      <c r="AB4243" s="416">
        <v>0</v>
      </c>
      <c r="AC4243" s="150">
        <v>1</v>
      </c>
      <c r="AD4243" s="150">
        <v>1</v>
      </c>
      <c r="AE4243" s="49">
        <f t="shared" si="154"/>
        <v>0.875</v>
      </c>
      <c r="AF4243" s="485">
        <v>0</v>
      </c>
      <c r="AG4243" s="17">
        <v>0</v>
      </c>
      <c r="AH4243" s="485">
        <v>0.4</v>
      </c>
      <c r="AI4243" s="485">
        <v>0.4</v>
      </c>
      <c r="AJ4243" s="485">
        <v>0.4</v>
      </c>
      <c r="AK4243" s="532">
        <v>0.4</v>
      </c>
      <c r="AL4243" s="493">
        <v>0.4</v>
      </c>
      <c r="AM4243" s="17">
        <f t="shared" si="155"/>
        <v>0.8</v>
      </c>
      <c r="AN4243" s="162" t="s">
        <v>5755</v>
      </c>
      <c r="AO4243" s="162" t="s">
        <v>2236</v>
      </c>
    </row>
    <row r="4244" spans="1:42" s="162" customFormat="1" x14ac:dyDescent="0.3">
      <c r="A4244" s="205" t="s">
        <v>8321</v>
      </c>
      <c r="B4244" s="162" t="s">
        <v>8322</v>
      </c>
      <c r="C4244" s="168" t="s">
        <v>13505</v>
      </c>
      <c r="D4244" s="162" t="s">
        <v>13506</v>
      </c>
      <c r="E4244" s="168" t="s">
        <v>13507</v>
      </c>
      <c r="F4244" s="162" t="s">
        <v>13508</v>
      </c>
      <c r="G4244" s="168">
        <v>165510</v>
      </c>
      <c r="H4244" s="162" t="s">
        <v>15340</v>
      </c>
      <c r="K4244" s="168" t="s">
        <v>15383</v>
      </c>
      <c r="L4244" s="162" t="s">
        <v>15384</v>
      </c>
      <c r="M4244" s="162" t="s">
        <v>15389</v>
      </c>
      <c r="O4244" s="224">
        <v>60</v>
      </c>
      <c r="P4244" s="224">
        <v>60</v>
      </c>
      <c r="Q4244" s="224">
        <v>60</v>
      </c>
      <c r="R4244" s="224">
        <v>60</v>
      </c>
      <c r="S4244" s="224">
        <v>60</v>
      </c>
      <c r="T4244" s="223" t="s">
        <v>5755</v>
      </c>
      <c r="U4244" t="str">
        <f>VLOOKUP(T4244,[8]Votes!$A$1:$E$234,3,FALSE)</f>
        <v>005 Ministry of Public Service</v>
      </c>
      <c r="V4244" s="162" t="s">
        <v>15390</v>
      </c>
      <c r="W4244" s="416">
        <v>1</v>
      </c>
      <c r="X4244" s="416">
        <v>1</v>
      </c>
      <c r="Y4244" s="416">
        <v>1</v>
      </c>
      <c r="Z4244" s="416">
        <v>1</v>
      </c>
      <c r="AA4244" s="416">
        <v>1</v>
      </c>
      <c r="AB4244" s="416">
        <v>0</v>
      </c>
      <c r="AC4244" s="150">
        <v>1</v>
      </c>
      <c r="AD4244" s="150">
        <v>1</v>
      </c>
      <c r="AE4244" s="49">
        <f t="shared" si="154"/>
        <v>0.875</v>
      </c>
      <c r="AF4244" s="485">
        <v>0</v>
      </c>
      <c r="AG4244" s="17">
        <v>0</v>
      </c>
      <c r="AH4244" s="485">
        <v>0.1</v>
      </c>
      <c r="AI4244" s="485">
        <v>0.1</v>
      </c>
      <c r="AJ4244" s="485">
        <v>0.1</v>
      </c>
      <c r="AK4244" s="532">
        <v>0.1</v>
      </c>
      <c r="AL4244" s="493">
        <v>0.1</v>
      </c>
      <c r="AM4244" s="17">
        <f t="shared" si="155"/>
        <v>0.2</v>
      </c>
      <c r="AN4244" s="162" t="s">
        <v>5755</v>
      </c>
      <c r="AO4244" s="162" t="s">
        <v>2236</v>
      </c>
    </row>
    <row r="4245" spans="1:42" s="162" customFormat="1" x14ac:dyDescent="0.3">
      <c r="A4245" s="205" t="s">
        <v>8321</v>
      </c>
      <c r="B4245" s="162" t="s">
        <v>8322</v>
      </c>
      <c r="C4245" s="168" t="s">
        <v>13505</v>
      </c>
      <c r="D4245" s="162" t="s">
        <v>13506</v>
      </c>
      <c r="E4245" s="168" t="s">
        <v>13507</v>
      </c>
      <c r="F4245" s="162" t="s">
        <v>13508</v>
      </c>
      <c r="G4245" s="168">
        <v>165510</v>
      </c>
      <c r="H4245" s="162" t="s">
        <v>15340</v>
      </c>
      <c r="K4245" s="168" t="s">
        <v>15391</v>
      </c>
      <c r="L4245" s="162" t="s">
        <v>15392</v>
      </c>
      <c r="M4245" s="162" t="s">
        <v>15393</v>
      </c>
      <c r="O4245" s="492"/>
      <c r="P4245" s="224">
        <v>1</v>
      </c>
      <c r="Q4245" s="492"/>
      <c r="R4245" s="492"/>
      <c r="S4245" s="492"/>
      <c r="T4245" s="223" t="s">
        <v>15371</v>
      </c>
      <c r="U4245" t="e">
        <f>VLOOKUP(T4245,[8]Votes!$A$1:$E$234,3,FALSE)</f>
        <v>#N/A</v>
      </c>
      <c r="V4245" s="162" t="s">
        <v>15394</v>
      </c>
      <c r="W4245" s="416">
        <v>1</v>
      </c>
      <c r="X4245" s="416">
        <v>1</v>
      </c>
      <c r="Y4245" s="416">
        <v>1</v>
      </c>
      <c r="Z4245" s="416">
        <v>1</v>
      </c>
      <c r="AA4245" s="416">
        <v>1</v>
      </c>
      <c r="AB4245" s="416">
        <v>0</v>
      </c>
      <c r="AC4245" s="150">
        <v>1</v>
      </c>
      <c r="AD4245" s="150">
        <v>1</v>
      </c>
      <c r="AE4245" s="49">
        <f t="shared" si="154"/>
        <v>0.875</v>
      </c>
      <c r="AF4245" s="485">
        <v>0</v>
      </c>
      <c r="AG4245" s="17">
        <v>0</v>
      </c>
      <c r="AH4245" s="190">
        <v>0</v>
      </c>
      <c r="AI4245" s="485">
        <v>0.25</v>
      </c>
      <c r="AJ4245" s="190">
        <v>0</v>
      </c>
      <c r="AK4245" s="191">
        <v>0</v>
      </c>
      <c r="AL4245" s="191">
        <v>0</v>
      </c>
      <c r="AM4245" s="17">
        <f t="shared" si="155"/>
        <v>0</v>
      </c>
      <c r="AN4245" s="162" t="s">
        <v>5755</v>
      </c>
      <c r="AO4245" s="162" t="s">
        <v>2236</v>
      </c>
    </row>
    <row r="4246" spans="1:42" s="162" customFormat="1" x14ac:dyDescent="0.3">
      <c r="A4246" s="205" t="s">
        <v>8321</v>
      </c>
      <c r="B4246" s="162" t="s">
        <v>8322</v>
      </c>
      <c r="C4246" s="168" t="s">
        <v>13505</v>
      </c>
      <c r="D4246" s="162" t="s">
        <v>13506</v>
      </c>
      <c r="E4246" s="168" t="s">
        <v>13507</v>
      </c>
      <c r="F4246" s="162" t="s">
        <v>13508</v>
      </c>
      <c r="G4246" s="168">
        <v>165510</v>
      </c>
      <c r="H4246" s="162" t="s">
        <v>15340</v>
      </c>
      <c r="K4246" s="168" t="s">
        <v>15395</v>
      </c>
      <c r="L4246" s="162" t="s">
        <v>15396</v>
      </c>
      <c r="M4246" s="162" t="s">
        <v>15397</v>
      </c>
      <c r="O4246" s="224">
        <v>183</v>
      </c>
      <c r="P4246" s="224">
        <v>183</v>
      </c>
      <c r="Q4246" s="224">
        <v>183</v>
      </c>
      <c r="R4246" s="224">
        <v>183</v>
      </c>
      <c r="S4246" s="224">
        <v>183</v>
      </c>
      <c r="T4246" s="223" t="s">
        <v>15371</v>
      </c>
      <c r="U4246" t="e">
        <f>VLOOKUP(T4246,[8]Votes!$A$1:$E$234,3,FALSE)</f>
        <v>#N/A</v>
      </c>
      <c r="V4246" s="162" t="s">
        <v>15398</v>
      </c>
      <c r="W4246" s="416">
        <v>1</v>
      </c>
      <c r="X4246" s="416">
        <v>1</v>
      </c>
      <c r="Y4246" s="416">
        <v>1</v>
      </c>
      <c r="Z4246" s="416">
        <v>1</v>
      </c>
      <c r="AA4246" s="416">
        <v>1</v>
      </c>
      <c r="AB4246" s="416">
        <v>0</v>
      </c>
      <c r="AC4246" s="150">
        <v>1</v>
      </c>
      <c r="AD4246" s="150">
        <v>1</v>
      </c>
      <c r="AE4246" s="49">
        <f t="shared" si="154"/>
        <v>0.875</v>
      </c>
      <c r="AF4246" s="485">
        <v>0</v>
      </c>
      <c r="AG4246" s="17">
        <v>0</v>
      </c>
      <c r="AH4246" s="485">
        <v>0.5</v>
      </c>
      <c r="AI4246" s="485">
        <v>0.5</v>
      </c>
      <c r="AJ4246" s="485">
        <v>0.5</v>
      </c>
      <c r="AK4246" s="532">
        <v>0.5</v>
      </c>
      <c r="AL4246" s="493">
        <v>0.5</v>
      </c>
      <c r="AM4246" s="17">
        <f t="shared" si="155"/>
        <v>1</v>
      </c>
      <c r="AN4246" s="162" t="s">
        <v>5755</v>
      </c>
      <c r="AO4246" s="162" t="s">
        <v>2236</v>
      </c>
    </row>
    <row r="4247" spans="1:42" s="162" customFormat="1" x14ac:dyDescent="0.3">
      <c r="A4247" s="205" t="s">
        <v>8321</v>
      </c>
      <c r="B4247" s="162" t="s">
        <v>8322</v>
      </c>
      <c r="C4247" s="168" t="s">
        <v>13505</v>
      </c>
      <c r="D4247" s="162" t="s">
        <v>13506</v>
      </c>
      <c r="E4247" s="168" t="s">
        <v>13507</v>
      </c>
      <c r="F4247" s="162" t="s">
        <v>13508</v>
      </c>
      <c r="G4247" s="168">
        <v>165510</v>
      </c>
      <c r="H4247" s="162" t="s">
        <v>15340</v>
      </c>
      <c r="K4247" s="168" t="s">
        <v>15399</v>
      </c>
      <c r="L4247" s="162" t="s">
        <v>15400</v>
      </c>
      <c r="M4247" s="162" t="s">
        <v>15401</v>
      </c>
      <c r="O4247" s="224">
        <v>2</v>
      </c>
      <c r="P4247" s="224">
        <v>2</v>
      </c>
      <c r="Q4247" s="224">
        <v>2</v>
      </c>
      <c r="R4247" s="224">
        <v>2</v>
      </c>
      <c r="S4247" s="224">
        <v>2</v>
      </c>
      <c r="T4247" s="223" t="s">
        <v>15371</v>
      </c>
      <c r="U4247" t="e">
        <f>VLOOKUP(T4247,[8]Votes!$A$1:$E$234,3,FALSE)</f>
        <v>#N/A</v>
      </c>
      <c r="V4247" s="162" t="s">
        <v>15402</v>
      </c>
      <c r="W4247" s="416">
        <v>1</v>
      </c>
      <c r="X4247" s="416">
        <v>1</v>
      </c>
      <c r="Y4247" s="416">
        <v>1</v>
      </c>
      <c r="Z4247" s="416">
        <v>1</v>
      </c>
      <c r="AA4247" s="416">
        <v>1</v>
      </c>
      <c r="AB4247" s="416">
        <v>0</v>
      </c>
      <c r="AC4247" s="150">
        <v>1</v>
      </c>
      <c r="AD4247" s="150">
        <v>1</v>
      </c>
      <c r="AE4247" s="49">
        <f t="shared" si="154"/>
        <v>0.875</v>
      </c>
      <c r="AF4247" s="485">
        <v>0</v>
      </c>
      <c r="AG4247" s="17">
        <v>0</v>
      </c>
      <c r="AH4247" s="485">
        <v>0.02</v>
      </c>
      <c r="AI4247" s="485">
        <v>0.02</v>
      </c>
      <c r="AJ4247" s="485">
        <v>0.02</v>
      </c>
      <c r="AK4247" s="532">
        <v>0.02</v>
      </c>
      <c r="AL4247" s="493">
        <v>0.02</v>
      </c>
      <c r="AM4247" s="17">
        <f t="shared" si="155"/>
        <v>0.04</v>
      </c>
      <c r="AN4247" s="162" t="s">
        <v>5755</v>
      </c>
      <c r="AO4247" s="162" t="s">
        <v>2236</v>
      </c>
    </row>
    <row r="4248" spans="1:42" s="162" customFormat="1" x14ac:dyDescent="0.3">
      <c r="A4248" s="205" t="s">
        <v>8321</v>
      </c>
      <c r="B4248" s="162" t="s">
        <v>8322</v>
      </c>
      <c r="C4248" s="168" t="s">
        <v>13505</v>
      </c>
      <c r="D4248" s="162" t="s">
        <v>13506</v>
      </c>
      <c r="E4248" s="168" t="s">
        <v>13507</v>
      </c>
      <c r="F4248" s="162" t="s">
        <v>13508</v>
      </c>
      <c r="G4248" s="168">
        <v>165510</v>
      </c>
      <c r="H4248" s="162" t="s">
        <v>15340</v>
      </c>
      <c r="K4248" s="168" t="s">
        <v>15399</v>
      </c>
      <c r="L4248" s="162" t="s">
        <v>15400</v>
      </c>
      <c r="M4248" s="162" t="s">
        <v>15403</v>
      </c>
      <c r="O4248" s="224">
        <v>2</v>
      </c>
      <c r="P4248" s="224">
        <v>2</v>
      </c>
      <c r="Q4248" s="224">
        <v>2</v>
      </c>
      <c r="R4248" s="224">
        <v>2</v>
      </c>
      <c r="S4248" s="224">
        <v>2</v>
      </c>
      <c r="T4248" s="223" t="s">
        <v>5755</v>
      </c>
      <c r="U4248" t="str">
        <f>VLOOKUP(T4248,[8]Votes!$A$1:$E$234,3,FALSE)</f>
        <v>005 Ministry of Public Service</v>
      </c>
      <c r="V4248" s="162" t="s">
        <v>15404</v>
      </c>
      <c r="W4248" s="416">
        <v>1</v>
      </c>
      <c r="X4248" s="416">
        <v>1</v>
      </c>
      <c r="Y4248" s="416">
        <v>1</v>
      </c>
      <c r="Z4248" s="416">
        <v>1</v>
      </c>
      <c r="AA4248" s="416">
        <v>1</v>
      </c>
      <c r="AB4248" s="416">
        <v>0</v>
      </c>
      <c r="AC4248" s="150">
        <v>1</v>
      </c>
      <c r="AD4248" s="150">
        <v>1</v>
      </c>
      <c r="AE4248" s="49">
        <f t="shared" si="154"/>
        <v>0.875</v>
      </c>
      <c r="AF4248" s="485">
        <v>0</v>
      </c>
      <c r="AG4248" s="17">
        <v>0</v>
      </c>
      <c r="AH4248" s="485">
        <v>0.01</v>
      </c>
      <c r="AI4248" s="485">
        <v>0.01</v>
      </c>
      <c r="AJ4248" s="485">
        <v>0.01</v>
      </c>
      <c r="AK4248" s="493">
        <v>0.01</v>
      </c>
      <c r="AL4248" s="493">
        <v>0.01</v>
      </c>
      <c r="AM4248" s="17">
        <f t="shared" si="155"/>
        <v>0.02</v>
      </c>
      <c r="AN4248" s="162" t="s">
        <v>5755</v>
      </c>
      <c r="AO4248" s="162" t="s">
        <v>2236</v>
      </c>
    </row>
    <row r="4249" spans="1:42" s="162" customFormat="1" x14ac:dyDescent="0.3">
      <c r="A4249" s="205" t="s">
        <v>8321</v>
      </c>
      <c r="B4249" s="162" t="s">
        <v>8322</v>
      </c>
      <c r="C4249" s="168" t="s">
        <v>13505</v>
      </c>
      <c r="D4249" s="162" t="s">
        <v>13506</v>
      </c>
      <c r="E4249" s="168" t="s">
        <v>13507</v>
      </c>
      <c r="F4249" s="162" t="s">
        <v>13508</v>
      </c>
      <c r="G4249" s="168">
        <v>165510</v>
      </c>
      <c r="H4249" s="162" t="s">
        <v>15340</v>
      </c>
      <c r="K4249" s="168" t="s">
        <v>15405</v>
      </c>
      <c r="L4249" s="162" t="s">
        <v>15406</v>
      </c>
      <c r="M4249" s="162" t="s">
        <v>15407</v>
      </c>
      <c r="O4249" s="492"/>
      <c r="P4249" s="224"/>
      <c r="Q4249" s="492"/>
      <c r="R4249" s="224">
        <v>1</v>
      </c>
      <c r="S4249" s="492"/>
      <c r="T4249" s="223" t="s">
        <v>15408</v>
      </c>
      <c r="U4249" t="str">
        <f>VLOOKUP(T4249,[8]Votes!$A$1:$E$234,3,FALSE)</f>
        <v>005 Ministry of Public Service</v>
      </c>
      <c r="V4249" s="162" t="s">
        <v>15409</v>
      </c>
      <c r="W4249" s="416">
        <v>1</v>
      </c>
      <c r="X4249" s="416">
        <v>1</v>
      </c>
      <c r="Y4249" s="416">
        <v>1</v>
      </c>
      <c r="Z4249" s="416">
        <v>1</v>
      </c>
      <c r="AA4249" s="416">
        <v>1</v>
      </c>
      <c r="AB4249" s="416">
        <v>0</v>
      </c>
      <c r="AC4249" s="150">
        <v>1</v>
      </c>
      <c r="AD4249" s="150">
        <v>1</v>
      </c>
      <c r="AE4249" s="49">
        <f t="shared" si="154"/>
        <v>0.875</v>
      </c>
      <c r="AF4249" s="485">
        <v>0</v>
      </c>
      <c r="AG4249" s="17">
        <v>0</v>
      </c>
      <c r="AH4249" s="190">
        <v>0</v>
      </c>
      <c r="AI4249" s="190">
        <v>0</v>
      </c>
      <c r="AJ4249" s="190">
        <v>0</v>
      </c>
      <c r="AK4249" s="493">
        <v>0.35</v>
      </c>
      <c r="AL4249" s="191">
        <v>0</v>
      </c>
      <c r="AM4249" s="17">
        <f t="shared" si="155"/>
        <v>0.35</v>
      </c>
      <c r="AN4249" s="162" t="s">
        <v>15408</v>
      </c>
      <c r="AO4249" s="162" t="s">
        <v>2236</v>
      </c>
    </row>
    <row r="4250" spans="1:42" s="162" customFormat="1" x14ac:dyDescent="0.3">
      <c r="A4250" s="205" t="s">
        <v>8321</v>
      </c>
      <c r="B4250" s="162" t="s">
        <v>8322</v>
      </c>
      <c r="C4250" s="168" t="s">
        <v>13505</v>
      </c>
      <c r="D4250" s="162" t="s">
        <v>13506</v>
      </c>
      <c r="E4250" s="168" t="s">
        <v>13507</v>
      </c>
      <c r="F4250" s="162" t="s">
        <v>13508</v>
      </c>
      <c r="G4250" s="168">
        <v>165510</v>
      </c>
      <c r="H4250" s="162" t="s">
        <v>15340</v>
      </c>
      <c r="K4250" s="168" t="s">
        <v>15410</v>
      </c>
      <c r="L4250" s="162" t="s">
        <v>15411</v>
      </c>
      <c r="M4250" s="162" t="s">
        <v>15412</v>
      </c>
      <c r="O4250" s="224">
        <v>76</v>
      </c>
      <c r="P4250" s="224">
        <v>76</v>
      </c>
      <c r="Q4250" s="224">
        <v>76</v>
      </c>
      <c r="R4250" s="224">
        <v>76</v>
      </c>
      <c r="S4250" s="224">
        <v>76</v>
      </c>
      <c r="T4250" s="223" t="s">
        <v>5755</v>
      </c>
      <c r="U4250" t="str">
        <f>VLOOKUP(T4250,[8]Votes!$A$1:$E$234,3,FALSE)</f>
        <v>005 Ministry of Public Service</v>
      </c>
      <c r="V4250" s="162" t="s">
        <v>15413</v>
      </c>
      <c r="W4250" s="416">
        <v>1</v>
      </c>
      <c r="X4250" s="416">
        <v>1</v>
      </c>
      <c r="Y4250" s="416">
        <v>1</v>
      </c>
      <c r="Z4250" s="416">
        <v>1</v>
      </c>
      <c r="AA4250" s="416">
        <v>1</v>
      </c>
      <c r="AB4250" s="416">
        <v>0</v>
      </c>
      <c r="AC4250" s="150">
        <v>1</v>
      </c>
      <c r="AD4250" s="150">
        <v>1</v>
      </c>
      <c r="AE4250" s="49">
        <f t="shared" si="154"/>
        <v>0.875</v>
      </c>
      <c r="AF4250" s="485">
        <v>0</v>
      </c>
      <c r="AG4250" s="17">
        <v>0</v>
      </c>
      <c r="AH4250" s="485">
        <v>0.38400000000000001</v>
      </c>
      <c r="AI4250" s="485">
        <v>0.38400000000000001</v>
      </c>
      <c r="AJ4250" s="485">
        <v>0.38400000000000001</v>
      </c>
      <c r="AK4250" s="493">
        <v>0.38400000000000001</v>
      </c>
      <c r="AL4250" s="493">
        <v>0.38400000000000001</v>
      </c>
      <c r="AM4250" s="17">
        <f t="shared" si="155"/>
        <v>0.76800000000000002</v>
      </c>
      <c r="AN4250" s="162" t="s">
        <v>5755</v>
      </c>
      <c r="AO4250" s="162" t="s">
        <v>2236</v>
      </c>
    </row>
    <row r="4251" spans="1:42" s="162" customFormat="1" x14ac:dyDescent="0.3">
      <c r="A4251" s="205" t="s">
        <v>8321</v>
      </c>
      <c r="B4251" s="162" t="s">
        <v>8322</v>
      </c>
      <c r="C4251" s="168" t="s">
        <v>13505</v>
      </c>
      <c r="D4251" s="162" t="s">
        <v>13506</v>
      </c>
      <c r="E4251" s="168" t="s">
        <v>13507</v>
      </c>
      <c r="F4251" s="162" t="s">
        <v>13508</v>
      </c>
      <c r="G4251" s="168">
        <v>165510</v>
      </c>
      <c r="H4251" s="162" t="s">
        <v>15340</v>
      </c>
      <c r="K4251" s="168" t="s">
        <v>15410</v>
      </c>
      <c r="L4251" s="162" t="s">
        <v>15411</v>
      </c>
      <c r="M4251" s="162" t="s">
        <v>15414</v>
      </c>
      <c r="O4251" s="224">
        <v>1</v>
      </c>
      <c r="P4251" s="224">
        <v>1</v>
      </c>
      <c r="Q4251" s="224">
        <v>1</v>
      </c>
      <c r="R4251" s="224">
        <v>1</v>
      </c>
      <c r="S4251" s="224">
        <v>1</v>
      </c>
      <c r="T4251" s="223" t="s">
        <v>5755</v>
      </c>
      <c r="U4251" t="str">
        <f>VLOOKUP(T4251,[8]Votes!$A$1:$E$234,3,FALSE)</f>
        <v>005 Ministry of Public Service</v>
      </c>
      <c r="V4251" s="162" t="s">
        <v>15415</v>
      </c>
      <c r="W4251" s="416">
        <v>1</v>
      </c>
      <c r="X4251" s="416">
        <v>1</v>
      </c>
      <c r="Y4251" s="416">
        <v>1</v>
      </c>
      <c r="Z4251" s="416">
        <v>1</v>
      </c>
      <c r="AA4251" s="416">
        <v>1</v>
      </c>
      <c r="AB4251" s="416">
        <v>0</v>
      </c>
      <c r="AC4251" s="150">
        <v>1</v>
      </c>
      <c r="AD4251" s="150">
        <v>1</v>
      </c>
      <c r="AE4251" s="49">
        <f t="shared" si="154"/>
        <v>0.875</v>
      </c>
      <c r="AF4251" s="485">
        <v>0</v>
      </c>
      <c r="AG4251" s="17">
        <v>0</v>
      </c>
      <c r="AH4251" s="485">
        <v>0.3</v>
      </c>
      <c r="AI4251" s="485">
        <v>0.3</v>
      </c>
      <c r="AJ4251" s="485">
        <v>0.3</v>
      </c>
      <c r="AK4251" s="493">
        <v>0.3</v>
      </c>
      <c r="AL4251" s="493">
        <v>0.3</v>
      </c>
      <c r="AM4251" s="17">
        <f t="shared" si="155"/>
        <v>0.6</v>
      </c>
      <c r="AN4251" s="162" t="s">
        <v>5755</v>
      </c>
      <c r="AO4251" s="162" t="s">
        <v>2236</v>
      </c>
    </row>
    <row r="4252" spans="1:42" s="162" customFormat="1" x14ac:dyDescent="0.3">
      <c r="A4252" s="205" t="s">
        <v>8321</v>
      </c>
      <c r="B4252" s="162" t="s">
        <v>8322</v>
      </c>
      <c r="C4252" s="168" t="s">
        <v>13637</v>
      </c>
      <c r="D4252" s="162" t="s">
        <v>6838</v>
      </c>
      <c r="E4252" s="406" t="s">
        <v>13638</v>
      </c>
      <c r="F4252" s="406" t="s">
        <v>13533</v>
      </c>
      <c r="G4252" s="386" t="s">
        <v>13658</v>
      </c>
      <c r="H4252" s="162" t="s">
        <v>13659</v>
      </c>
      <c r="K4252" s="386" t="s">
        <v>15416</v>
      </c>
      <c r="L4252" s="162" t="s">
        <v>15417</v>
      </c>
      <c r="M4252" s="162" t="s">
        <v>15418</v>
      </c>
      <c r="O4252" s="224">
        <v>1</v>
      </c>
      <c r="P4252" s="224"/>
      <c r="Q4252" s="224"/>
      <c r="R4252" s="224"/>
      <c r="S4252" s="224"/>
      <c r="T4252" s="223" t="s">
        <v>15419</v>
      </c>
      <c r="U4252" t="str">
        <f>VLOOKUP(T4252,[8]Votes!$A$1:$E$234,3,FALSE)</f>
        <v>005 Ministry of Public Service</v>
      </c>
      <c r="V4252" s="162" t="s">
        <v>15420</v>
      </c>
      <c r="W4252" s="407">
        <v>0</v>
      </c>
      <c r="X4252" s="407">
        <v>0</v>
      </c>
      <c r="Y4252" s="407">
        <v>0</v>
      </c>
      <c r="Z4252" s="407">
        <v>1</v>
      </c>
      <c r="AA4252" s="407">
        <v>1</v>
      </c>
      <c r="AB4252" s="407">
        <v>0</v>
      </c>
      <c r="AC4252" s="150">
        <v>0</v>
      </c>
      <c r="AD4252" s="150">
        <v>0</v>
      </c>
      <c r="AE4252" s="49">
        <f t="shared" si="154"/>
        <v>0.25</v>
      </c>
      <c r="AF4252" s="485"/>
      <c r="AG4252" s="17">
        <v>0</v>
      </c>
      <c r="AH4252" s="485">
        <v>0.08</v>
      </c>
      <c r="AI4252" s="485">
        <v>0.08</v>
      </c>
      <c r="AJ4252" s="190">
        <v>0</v>
      </c>
      <c r="AK4252" s="191">
        <v>0</v>
      </c>
      <c r="AL4252" s="191">
        <v>0</v>
      </c>
      <c r="AM4252" s="17">
        <f t="shared" si="155"/>
        <v>0</v>
      </c>
      <c r="AN4252" s="162" t="s">
        <v>15419</v>
      </c>
      <c r="AO4252" s="162" t="s">
        <v>2236</v>
      </c>
    </row>
    <row r="4253" spans="1:42" s="162" customFormat="1" x14ac:dyDescent="0.3">
      <c r="A4253" s="205" t="s">
        <v>8321</v>
      </c>
      <c r="B4253" s="162" t="s">
        <v>8322</v>
      </c>
      <c r="C4253" s="168" t="s">
        <v>13637</v>
      </c>
      <c r="D4253" s="162" t="s">
        <v>6838</v>
      </c>
      <c r="E4253" s="406" t="s">
        <v>13638</v>
      </c>
      <c r="F4253" s="406" t="s">
        <v>13533</v>
      </c>
      <c r="G4253" s="386" t="s">
        <v>13658</v>
      </c>
      <c r="H4253" s="162" t="s">
        <v>13659</v>
      </c>
      <c r="K4253" s="386" t="s">
        <v>15416</v>
      </c>
      <c r="L4253" s="162" t="s">
        <v>15421</v>
      </c>
      <c r="M4253" s="162" t="s">
        <v>15422</v>
      </c>
      <c r="O4253" s="224">
        <v>76</v>
      </c>
      <c r="P4253" s="224">
        <v>76</v>
      </c>
      <c r="Q4253" s="224">
        <v>76</v>
      </c>
      <c r="R4253" s="224">
        <v>76</v>
      </c>
      <c r="S4253" s="224">
        <v>76</v>
      </c>
      <c r="T4253" s="223" t="s">
        <v>5755</v>
      </c>
      <c r="U4253" t="str">
        <f>VLOOKUP(T4253,[8]Votes!$A$1:$E$234,3,FALSE)</f>
        <v>005 Ministry of Public Service</v>
      </c>
      <c r="V4253" s="162" t="s">
        <v>15423</v>
      </c>
      <c r="W4253" s="407">
        <v>0</v>
      </c>
      <c r="X4253" s="407">
        <v>0</v>
      </c>
      <c r="Y4253" s="407">
        <v>0</v>
      </c>
      <c r="Z4253" s="407">
        <v>1</v>
      </c>
      <c r="AA4253" s="407">
        <v>1</v>
      </c>
      <c r="AB4253" s="407">
        <v>0</v>
      </c>
      <c r="AC4253" s="150">
        <v>0</v>
      </c>
      <c r="AD4253" s="150">
        <v>0</v>
      </c>
      <c r="AE4253" s="49">
        <f t="shared" si="154"/>
        <v>0.25</v>
      </c>
      <c r="AF4253" s="485"/>
      <c r="AG4253" s="17">
        <v>0</v>
      </c>
      <c r="AH4253" s="485">
        <v>0.6</v>
      </c>
      <c r="AI4253" s="485">
        <v>0.6</v>
      </c>
      <c r="AJ4253" s="485">
        <v>0.6</v>
      </c>
      <c r="AK4253" s="493">
        <v>0.6</v>
      </c>
      <c r="AL4253" s="493">
        <v>0.6</v>
      </c>
      <c r="AM4253" s="17">
        <f t="shared" si="155"/>
        <v>1.2</v>
      </c>
      <c r="AN4253" s="162" t="s">
        <v>5755</v>
      </c>
      <c r="AO4253" s="162" t="s">
        <v>2236</v>
      </c>
    </row>
    <row r="4254" spans="1:42" s="162" customFormat="1" x14ac:dyDescent="0.3">
      <c r="A4254" s="205" t="s">
        <v>8321</v>
      </c>
      <c r="B4254" s="162" t="s">
        <v>8322</v>
      </c>
      <c r="C4254" s="168" t="s">
        <v>13505</v>
      </c>
      <c r="D4254" s="162" t="s">
        <v>13506</v>
      </c>
      <c r="E4254" s="168" t="s">
        <v>13507</v>
      </c>
      <c r="F4254" s="162" t="s">
        <v>13508</v>
      </c>
      <c r="G4254" s="168">
        <v>165510</v>
      </c>
      <c r="H4254" s="162" t="s">
        <v>15340</v>
      </c>
      <c r="K4254" s="168" t="s">
        <v>15424</v>
      </c>
      <c r="L4254" s="162" t="s">
        <v>15425</v>
      </c>
      <c r="M4254" s="162" t="s">
        <v>15426</v>
      </c>
      <c r="O4254" s="224">
        <v>0</v>
      </c>
      <c r="P4254" s="224">
        <v>0</v>
      </c>
      <c r="Q4254" s="224">
        <v>0</v>
      </c>
      <c r="R4254" s="492">
        <v>0.75</v>
      </c>
      <c r="S4254" s="492">
        <v>0.8</v>
      </c>
      <c r="T4254" s="223" t="s">
        <v>7852</v>
      </c>
      <c r="U4254" t="str">
        <f>VLOOKUP(T4254,[8]Votes!$A$1:$E$234,3,FALSE)</f>
        <v>131 Auditor General</v>
      </c>
      <c r="V4254" s="162" t="s">
        <v>15427</v>
      </c>
      <c r="W4254" s="416">
        <v>1</v>
      </c>
      <c r="X4254" s="416">
        <v>1</v>
      </c>
      <c r="Y4254" s="416">
        <v>1</v>
      </c>
      <c r="Z4254" s="416">
        <v>1</v>
      </c>
      <c r="AA4254" s="416">
        <v>1</v>
      </c>
      <c r="AB4254" s="416">
        <v>0</v>
      </c>
      <c r="AC4254" s="150">
        <v>1</v>
      </c>
      <c r="AD4254" s="150">
        <v>1</v>
      </c>
      <c r="AE4254" s="49">
        <f t="shared" si="154"/>
        <v>0.875</v>
      </c>
      <c r="AF4254" s="485">
        <v>0</v>
      </c>
      <c r="AG4254" s="17">
        <v>0</v>
      </c>
      <c r="AH4254" s="485">
        <v>2.2000000000000002</v>
      </c>
      <c r="AI4254" s="485">
        <v>2.4</v>
      </c>
      <c r="AJ4254" s="485">
        <v>2.5</v>
      </c>
      <c r="AK4254" s="532">
        <v>2</v>
      </c>
      <c r="AL4254" s="493">
        <v>1.8</v>
      </c>
      <c r="AM4254" s="17">
        <f t="shared" si="155"/>
        <v>3.8</v>
      </c>
      <c r="AN4254" s="162" t="s">
        <v>7852</v>
      </c>
      <c r="AO4254" s="162" t="s">
        <v>7854</v>
      </c>
    </row>
    <row r="4255" spans="1:42" s="162" customFormat="1" x14ac:dyDescent="0.3">
      <c r="A4255" s="205" t="s">
        <v>8321</v>
      </c>
      <c r="B4255" s="162" t="s">
        <v>8322</v>
      </c>
      <c r="C4255" s="168" t="s">
        <v>13530</v>
      </c>
      <c r="D4255" s="162" t="s">
        <v>13531</v>
      </c>
      <c r="E4255" s="406" t="s">
        <v>13532</v>
      </c>
      <c r="F4255" s="406" t="s">
        <v>13533</v>
      </c>
      <c r="G4255" s="406">
        <v>166601</v>
      </c>
      <c r="H4255" s="162" t="s">
        <v>13534</v>
      </c>
      <c r="I4255" s="162" t="s">
        <v>15428</v>
      </c>
      <c r="J4255" s="162" t="s">
        <v>15429</v>
      </c>
      <c r="K4255" s="406">
        <v>16660102</v>
      </c>
      <c r="L4255" s="162" t="s">
        <v>15430</v>
      </c>
      <c r="M4255" s="162" t="s">
        <v>15431</v>
      </c>
      <c r="O4255" s="224">
        <v>4</v>
      </c>
      <c r="P4255" s="224">
        <v>9</v>
      </c>
      <c r="Q4255" s="224">
        <v>9</v>
      </c>
      <c r="R4255" s="224">
        <v>4</v>
      </c>
      <c r="S4255" s="224">
        <v>4</v>
      </c>
      <c r="T4255" s="223" t="s">
        <v>15432</v>
      </c>
      <c r="U4255" t="e">
        <f>VLOOKUP(T4255,[8]Votes!$A$1:$E$234,3,FALSE)</f>
        <v>#N/A</v>
      </c>
      <c r="V4255" s="162" t="s">
        <v>15433</v>
      </c>
      <c r="W4255" s="388">
        <v>1</v>
      </c>
      <c r="X4255" s="388">
        <v>1</v>
      </c>
      <c r="Y4255" s="388">
        <v>0</v>
      </c>
      <c r="Z4255" s="388">
        <v>1</v>
      </c>
      <c r="AA4255" s="388">
        <v>1</v>
      </c>
      <c r="AB4255" s="388">
        <v>0</v>
      </c>
      <c r="AC4255" s="150">
        <v>1</v>
      </c>
      <c r="AD4255" s="150">
        <v>1</v>
      </c>
      <c r="AE4255" s="49">
        <f t="shared" si="154"/>
        <v>0.75</v>
      </c>
      <c r="AF4255" s="23">
        <v>0</v>
      </c>
      <c r="AG4255" s="17">
        <v>0</v>
      </c>
      <c r="AH4255" s="190">
        <v>0</v>
      </c>
      <c r="AI4255" s="190">
        <v>0</v>
      </c>
      <c r="AJ4255" s="485">
        <v>0.7</v>
      </c>
      <c r="AK4255" s="493">
        <v>1</v>
      </c>
      <c r="AL4255" s="493">
        <v>1</v>
      </c>
      <c r="AM4255" s="17">
        <f t="shared" si="155"/>
        <v>2</v>
      </c>
      <c r="AN4255" s="162" t="s">
        <v>3875</v>
      </c>
      <c r="AO4255" s="162" t="s">
        <v>3877</v>
      </c>
    </row>
    <row r="4256" spans="1:42" s="162" customFormat="1" x14ac:dyDescent="0.3">
      <c r="A4256" s="205" t="s">
        <v>8321</v>
      </c>
      <c r="B4256" s="162" t="s">
        <v>8322</v>
      </c>
      <c r="C4256" s="168" t="s">
        <v>13530</v>
      </c>
      <c r="D4256" s="162" t="s">
        <v>13531</v>
      </c>
      <c r="E4256" s="406" t="s">
        <v>13532</v>
      </c>
      <c r="F4256" s="406" t="s">
        <v>13533</v>
      </c>
      <c r="G4256" s="406">
        <v>166601</v>
      </c>
      <c r="H4256" s="162" t="s">
        <v>13534</v>
      </c>
      <c r="I4256" s="162" t="s">
        <v>15428</v>
      </c>
      <c r="J4256" s="162" t="s">
        <v>15429</v>
      </c>
      <c r="K4256" s="406">
        <v>16660102</v>
      </c>
      <c r="L4256" s="162" t="s">
        <v>15430</v>
      </c>
      <c r="M4256" s="162" t="s">
        <v>15434</v>
      </c>
      <c r="O4256" s="224">
        <v>2</v>
      </c>
      <c r="P4256" s="224">
        <v>2</v>
      </c>
      <c r="Q4256" s="224">
        <v>2</v>
      </c>
      <c r="R4256" s="224">
        <v>2</v>
      </c>
      <c r="S4256" s="224">
        <v>2</v>
      </c>
      <c r="T4256" s="223" t="s">
        <v>3875</v>
      </c>
      <c r="U4256" t="str">
        <f>VLOOKUP(T4256,[8]Votes!$A$1:$E$234,3,FALSE)</f>
        <v>007 Ministry of Justice and Constitutional Affairs</v>
      </c>
      <c r="V4256" s="162" t="s">
        <v>15435</v>
      </c>
      <c r="W4256" s="388">
        <v>1</v>
      </c>
      <c r="X4256" s="388">
        <v>1</v>
      </c>
      <c r="Y4256" s="388">
        <v>0</v>
      </c>
      <c r="Z4256" s="388">
        <v>1</v>
      </c>
      <c r="AA4256" s="388">
        <v>1</v>
      </c>
      <c r="AB4256" s="388">
        <v>1</v>
      </c>
      <c r="AC4256" s="150">
        <v>0</v>
      </c>
      <c r="AD4256" s="150">
        <v>1</v>
      </c>
      <c r="AE4256" s="49">
        <f t="shared" si="154"/>
        <v>0.75</v>
      </c>
      <c r="AF4256" s="23">
        <v>0</v>
      </c>
      <c r="AG4256" s="17">
        <v>0</v>
      </c>
      <c r="AH4256" s="485">
        <v>0.2</v>
      </c>
      <c r="AI4256" s="485">
        <v>0.4</v>
      </c>
      <c r="AJ4256" s="485">
        <v>0.4</v>
      </c>
      <c r="AK4256" s="493">
        <v>0.4</v>
      </c>
      <c r="AL4256" s="173">
        <v>0.4</v>
      </c>
      <c r="AM4256" s="17">
        <f t="shared" si="155"/>
        <v>0.8</v>
      </c>
      <c r="AN4256" s="223" t="s">
        <v>3875</v>
      </c>
      <c r="AO4256" s="162" t="s">
        <v>3877</v>
      </c>
    </row>
    <row r="4257" spans="1:42" s="162" customFormat="1" x14ac:dyDescent="0.3">
      <c r="A4257" s="205" t="s">
        <v>8321</v>
      </c>
      <c r="B4257" s="162" t="s">
        <v>8322</v>
      </c>
      <c r="C4257" s="168" t="s">
        <v>13530</v>
      </c>
      <c r="D4257" s="162" t="s">
        <v>13531</v>
      </c>
      <c r="E4257" s="406" t="s">
        <v>13532</v>
      </c>
      <c r="F4257" s="406" t="s">
        <v>13533</v>
      </c>
      <c r="G4257" s="406">
        <v>166601</v>
      </c>
      <c r="H4257" s="162" t="s">
        <v>13534</v>
      </c>
      <c r="I4257" s="162" t="s">
        <v>15428</v>
      </c>
      <c r="J4257" s="162" t="s">
        <v>15429</v>
      </c>
      <c r="K4257" s="406">
        <v>16660102</v>
      </c>
      <c r="L4257" s="162" t="s">
        <v>15430</v>
      </c>
      <c r="M4257" s="162" t="s">
        <v>15436</v>
      </c>
      <c r="O4257" s="224">
        <v>2</v>
      </c>
      <c r="P4257" s="224">
        <v>3</v>
      </c>
      <c r="Q4257" s="224">
        <v>3</v>
      </c>
      <c r="R4257" s="224">
        <v>3</v>
      </c>
      <c r="S4257" s="224">
        <v>3</v>
      </c>
      <c r="T4257" s="223" t="s">
        <v>1775</v>
      </c>
      <c r="U4257" t="str">
        <f>VLOOKUP(T4257,[8]Votes!$A$1:$E$234,3,FALSE)</f>
        <v>112 Ethics and Integrity</v>
      </c>
      <c r="V4257" s="162" t="s">
        <v>15437</v>
      </c>
      <c r="W4257" s="388">
        <v>1</v>
      </c>
      <c r="X4257" s="388">
        <v>1</v>
      </c>
      <c r="Y4257" s="388">
        <v>0</v>
      </c>
      <c r="Z4257" s="388">
        <v>1</v>
      </c>
      <c r="AA4257" s="388">
        <v>1</v>
      </c>
      <c r="AB4257" s="388">
        <v>1</v>
      </c>
      <c r="AC4257" s="150">
        <v>1</v>
      </c>
      <c r="AD4257" s="150">
        <v>1</v>
      </c>
      <c r="AE4257" s="49">
        <f t="shared" si="154"/>
        <v>0.875</v>
      </c>
      <c r="AF4257" s="23">
        <v>0</v>
      </c>
      <c r="AG4257" s="17">
        <v>0</v>
      </c>
      <c r="AH4257" s="485">
        <v>0.1</v>
      </c>
      <c r="AI4257" s="485">
        <v>0.2</v>
      </c>
      <c r="AJ4257" s="485">
        <v>0.2</v>
      </c>
      <c r="AK4257" s="493">
        <v>0.25</v>
      </c>
      <c r="AL4257" s="173">
        <v>0.17</v>
      </c>
      <c r="AM4257" s="17">
        <f t="shared" si="155"/>
        <v>0.42000000000000004</v>
      </c>
      <c r="AN4257" s="162" t="s">
        <v>1775</v>
      </c>
      <c r="AO4257" s="162" t="s">
        <v>1776</v>
      </c>
    </row>
    <row r="4258" spans="1:42" s="162" customFormat="1" x14ac:dyDescent="0.3">
      <c r="A4258" s="205" t="s">
        <v>8321</v>
      </c>
      <c r="B4258" s="162" t="s">
        <v>8322</v>
      </c>
      <c r="C4258" s="168" t="s">
        <v>13530</v>
      </c>
      <c r="D4258" s="162" t="s">
        <v>13531</v>
      </c>
      <c r="E4258" s="406" t="s">
        <v>13532</v>
      </c>
      <c r="F4258" s="406" t="s">
        <v>13533</v>
      </c>
      <c r="G4258" s="406">
        <v>166601</v>
      </c>
      <c r="H4258" s="162" t="s">
        <v>13534</v>
      </c>
      <c r="K4258" s="406">
        <v>16660103</v>
      </c>
      <c r="L4258" s="162" t="s">
        <v>15438</v>
      </c>
      <c r="M4258" s="162" t="s">
        <v>15436</v>
      </c>
      <c r="O4258" s="224">
        <v>2</v>
      </c>
      <c r="P4258" s="224">
        <v>3</v>
      </c>
      <c r="Q4258" s="224">
        <v>3</v>
      </c>
      <c r="R4258" s="224">
        <v>3</v>
      </c>
      <c r="S4258" s="224">
        <v>3</v>
      </c>
      <c r="T4258" s="223" t="s">
        <v>3875</v>
      </c>
      <c r="U4258" t="str">
        <f>VLOOKUP(T4258,[8]Votes!$A$1:$E$234,3,FALSE)</f>
        <v>007 Ministry of Justice and Constitutional Affairs</v>
      </c>
      <c r="V4258" s="162" t="s">
        <v>15437</v>
      </c>
      <c r="W4258" s="388">
        <v>1</v>
      </c>
      <c r="X4258" s="388">
        <v>1</v>
      </c>
      <c r="Y4258" s="388">
        <v>0</v>
      </c>
      <c r="Z4258" s="388">
        <v>1</v>
      </c>
      <c r="AA4258" s="388">
        <v>1</v>
      </c>
      <c r="AB4258" s="388">
        <v>1</v>
      </c>
      <c r="AC4258" s="150">
        <v>0</v>
      </c>
      <c r="AD4258" s="150">
        <v>1</v>
      </c>
      <c r="AE4258" s="49">
        <f t="shared" si="154"/>
        <v>0.75</v>
      </c>
      <c r="AF4258" s="23">
        <v>0</v>
      </c>
      <c r="AG4258" s="17">
        <v>0</v>
      </c>
      <c r="AH4258" s="485">
        <v>0.1</v>
      </c>
      <c r="AI4258" s="485">
        <v>0.9</v>
      </c>
      <c r="AJ4258" s="485">
        <v>0.9</v>
      </c>
      <c r="AK4258" s="493">
        <v>0.4</v>
      </c>
      <c r="AL4258" s="173">
        <v>0.4</v>
      </c>
      <c r="AM4258" s="17">
        <f t="shared" si="155"/>
        <v>0.8</v>
      </c>
      <c r="AN4258" s="223" t="s">
        <v>3875</v>
      </c>
      <c r="AO4258" s="162" t="s">
        <v>3877</v>
      </c>
    </row>
    <row r="4259" spans="1:42" s="162" customFormat="1" x14ac:dyDescent="0.3">
      <c r="A4259" s="205" t="s">
        <v>8321</v>
      </c>
      <c r="B4259" s="162" t="s">
        <v>8322</v>
      </c>
      <c r="C4259" s="168" t="s">
        <v>13530</v>
      </c>
      <c r="D4259" s="162" t="s">
        <v>13531</v>
      </c>
      <c r="E4259" s="406" t="s">
        <v>13532</v>
      </c>
      <c r="F4259" s="406" t="s">
        <v>13533</v>
      </c>
      <c r="G4259" s="406">
        <v>166601</v>
      </c>
      <c r="H4259" s="162" t="s">
        <v>13534</v>
      </c>
      <c r="K4259" s="406">
        <v>16660104</v>
      </c>
      <c r="L4259" s="162" t="s">
        <v>15439</v>
      </c>
      <c r="M4259" s="162" t="s">
        <v>15440</v>
      </c>
      <c r="O4259" s="224">
        <v>1</v>
      </c>
      <c r="P4259" s="224">
        <v>1</v>
      </c>
      <c r="Q4259" s="224">
        <v>1</v>
      </c>
      <c r="R4259" s="224">
        <v>1</v>
      </c>
      <c r="S4259" s="224">
        <v>1</v>
      </c>
      <c r="T4259" s="223" t="s">
        <v>3875</v>
      </c>
      <c r="U4259" t="str">
        <f>VLOOKUP(T4259,[8]Votes!$A$1:$E$234,3,FALSE)</f>
        <v>007 Ministry of Justice and Constitutional Affairs</v>
      </c>
      <c r="V4259" s="162" t="s">
        <v>15441</v>
      </c>
      <c r="W4259" s="388">
        <v>1</v>
      </c>
      <c r="X4259" s="388">
        <v>1</v>
      </c>
      <c r="Y4259" s="388">
        <v>0</v>
      </c>
      <c r="Z4259" s="388">
        <v>1</v>
      </c>
      <c r="AA4259" s="388">
        <v>1</v>
      </c>
      <c r="AB4259" s="388">
        <v>1</v>
      </c>
      <c r="AC4259" s="150">
        <v>0</v>
      </c>
      <c r="AD4259" s="150">
        <v>1</v>
      </c>
      <c r="AE4259" s="49">
        <f t="shared" si="154"/>
        <v>0.75</v>
      </c>
      <c r="AF4259" s="23">
        <v>0</v>
      </c>
      <c r="AG4259" s="17">
        <v>0</v>
      </c>
      <c r="AH4259" s="485">
        <v>0.2</v>
      </c>
      <c r="AI4259" s="485">
        <v>0.2</v>
      </c>
      <c r="AJ4259" s="485">
        <v>0.2</v>
      </c>
      <c r="AK4259" s="493">
        <v>0.2</v>
      </c>
      <c r="AL4259" s="173">
        <v>0.2</v>
      </c>
      <c r="AM4259" s="17">
        <f t="shared" si="155"/>
        <v>0.4</v>
      </c>
      <c r="AN4259" s="223" t="s">
        <v>3875</v>
      </c>
      <c r="AO4259" s="162" t="s">
        <v>3877</v>
      </c>
    </row>
    <row r="4260" spans="1:42" s="162" customFormat="1" x14ac:dyDescent="0.3">
      <c r="A4260" s="205" t="s">
        <v>8321</v>
      </c>
      <c r="B4260" s="162" t="s">
        <v>8322</v>
      </c>
      <c r="C4260" s="168" t="s">
        <v>13530</v>
      </c>
      <c r="D4260" s="162" t="s">
        <v>13531</v>
      </c>
      <c r="E4260" s="406" t="s">
        <v>13532</v>
      </c>
      <c r="F4260" s="406" t="s">
        <v>13533</v>
      </c>
      <c r="G4260" s="406">
        <v>166601</v>
      </c>
      <c r="H4260" s="162" t="s">
        <v>13534</v>
      </c>
      <c r="K4260" s="406">
        <v>16660105</v>
      </c>
      <c r="L4260" s="162" t="s">
        <v>15442</v>
      </c>
      <c r="M4260" s="162" t="s">
        <v>15443</v>
      </c>
      <c r="O4260" s="224">
        <v>1</v>
      </c>
      <c r="P4260" s="224">
        <v>1</v>
      </c>
      <c r="Q4260" s="224">
        <v>1</v>
      </c>
      <c r="R4260" s="224">
        <v>1</v>
      </c>
      <c r="S4260" s="224">
        <v>1</v>
      </c>
      <c r="T4260" s="223" t="s">
        <v>1775</v>
      </c>
      <c r="U4260" t="str">
        <f>VLOOKUP(T4260,[8]Votes!$A$1:$E$234,3,FALSE)</f>
        <v>112 Ethics and Integrity</v>
      </c>
      <c r="V4260" s="162" t="s">
        <v>15444</v>
      </c>
      <c r="W4260" s="388">
        <v>1</v>
      </c>
      <c r="X4260" s="388">
        <v>1</v>
      </c>
      <c r="Y4260" s="388">
        <v>0</v>
      </c>
      <c r="Z4260" s="388">
        <v>1</v>
      </c>
      <c r="AA4260" s="388">
        <v>1</v>
      </c>
      <c r="AB4260" s="388">
        <v>1</v>
      </c>
      <c r="AC4260" s="150">
        <v>1</v>
      </c>
      <c r="AD4260" s="150">
        <v>1</v>
      </c>
      <c r="AE4260" s="49">
        <f t="shared" si="154"/>
        <v>0.875</v>
      </c>
      <c r="AF4260" s="23">
        <v>0</v>
      </c>
      <c r="AG4260" s="17">
        <v>0</v>
      </c>
      <c r="AH4260" s="485">
        <v>0.12</v>
      </c>
      <c r="AI4260" s="485">
        <v>1</v>
      </c>
      <c r="AJ4260" s="485">
        <v>1</v>
      </c>
      <c r="AK4260" s="493">
        <v>0.4</v>
      </c>
      <c r="AL4260" s="173">
        <v>0.33</v>
      </c>
      <c r="AM4260" s="17">
        <f t="shared" si="155"/>
        <v>0.73</v>
      </c>
      <c r="AN4260" s="162" t="s">
        <v>1775</v>
      </c>
      <c r="AO4260" s="162" t="s">
        <v>1776</v>
      </c>
    </row>
    <row r="4261" spans="1:42" s="162" customFormat="1" x14ac:dyDescent="0.3">
      <c r="A4261" s="205" t="s">
        <v>8321</v>
      </c>
      <c r="B4261" s="162" t="s">
        <v>8322</v>
      </c>
      <c r="C4261" s="168" t="s">
        <v>13530</v>
      </c>
      <c r="D4261" s="162" t="s">
        <v>13531</v>
      </c>
      <c r="E4261" s="406" t="s">
        <v>13532</v>
      </c>
      <c r="F4261" s="406" t="s">
        <v>13533</v>
      </c>
      <c r="G4261" s="406">
        <v>166601</v>
      </c>
      <c r="H4261" s="162" t="s">
        <v>13534</v>
      </c>
      <c r="K4261" s="406">
        <v>16660105</v>
      </c>
      <c r="L4261" s="162" t="s">
        <v>15442</v>
      </c>
      <c r="M4261" s="162" t="s">
        <v>15445</v>
      </c>
      <c r="O4261" s="224">
        <v>1</v>
      </c>
      <c r="P4261" s="224">
        <v>1</v>
      </c>
      <c r="Q4261" s="224">
        <v>1</v>
      </c>
      <c r="R4261" s="224">
        <v>1</v>
      </c>
      <c r="S4261" s="224">
        <v>1</v>
      </c>
      <c r="T4261" s="223" t="s">
        <v>3875</v>
      </c>
      <c r="U4261" t="str">
        <f>VLOOKUP(T4261,[8]Votes!$A$1:$E$234,3,FALSE)</f>
        <v>007 Ministry of Justice and Constitutional Affairs</v>
      </c>
      <c r="V4261" s="162" t="s">
        <v>15446</v>
      </c>
      <c r="W4261" s="388">
        <v>1</v>
      </c>
      <c r="X4261" s="388">
        <v>1</v>
      </c>
      <c r="Y4261" s="388">
        <v>0</v>
      </c>
      <c r="Z4261" s="388">
        <v>1</v>
      </c>
      <c r="AA4261" s="388">
        <v>0</v>
      </c>
      <c r="AB4261" s="388">
        <v>1</v>
      </c>
      <c r="AC4261" s="150">
        <v>0</v>
      </c>
      <c r="AD4261" s="150">
        <v>1</v>
      </c>
      <c r="AE4261" s="49">
        <f t="shared" si="154"/>
        <v>0.625</v>
      </c>
      <c r="AF4261" s="23">
        <v>0</v>
      </c>
      <c r="AG4261" s="17">
        <v>0</v>
      </c>
      <c r="AH4261" s="485">
        <v>0.12</v>
      </c>
      <c r="AI4261" s="485">
        <v>1</v>
      </c>
      <c r="AJ4261" s="485">
        <v>1</v>
      </c>
      <c r="AK4261" s="493">
        <v>0.5</v>
      </c>
      <c r="AL4261" s="173">
        <v>0.5</v>
      </c>
      <c r="AM4261" s="17">
        <f t="shared" si="155"/>
        <v>1</v>
      </c>
      <c r="AN4261" s="223" t="s">
        <v>3875</v>
      </c>
      <c r="AO4261" s="162" t="s">
        <v>3877</v>
      </c>
    </row>
    <row r="4262" spans="1:42" s="162" customFormat="1" x14ac:dyDescent="0.3">
      <c r="A4262" s="205" t="s">
        <v>8321</v>
      </c>
      <c r="B4262" s="162" t="s">
        <v>8322</v>
      </c>
      <c r="C4262" s="168" t="s">
        <v>13530</v>
      </c>
      <c r="D4262" s="162" t="s">
        <v>13531</v>
      </c>
      <c r="E4262" s="406" t="s">
        <v>13532</v>
      </c>
      <c r="F4262" s="406" t="s">
        <v>13533</v>
      </c>
      <c r="G4262" s="406">
        <v>166601</v>
      </c>
      <c r="H4262" s="162" t="s">
        <v>13534</v>
      </c>
      <c r="K4262" s="406">
        <v>16660106</v>
      </c>
      <c r="L4262" s="162" t="s">
        <v>15447</v>
      </c>
      <c r="M4262" s="162" t="s">
        <v>15448</v>
      </c>
      <c r="O4262" s="224"/>
      <c r="P4262" s="224"/>
      <c r="Q4262" s="224">
        <v>1</v>
      </c>
      <c r="R4262" s="224"/>
      <c r="S4262" s="224"/>
      <c r="T4262" s="223" t="s">
        <v>3875</v>
      </c>
      <c r="U4262" t="str">
        <f>VLOOKUP(T4262,[8]Votes!$A$1:$E$234,3,FALSE)</f>
        <v>007 Ministry of Justice and Constitutional Affairs</v>
      </c>
      <c r="V4262" s="162" t="s">
        <v>15449</v>
      </c>
      <c r="W4262" s="388">
        <v>1</v>
      </c>
      <c r="X4262" s="388">
        <v>0</v>
      </c>
      <c r="Y4262" s="388">
        <v>0</v>
      </c>
      <c r="Z4262" s="388">
        <v>1</v>
      </c>
      <c r="AA4262" s="388">
        <v>0</v>
      </c>
      <c r="AB4262" s="388">
        <v>0</v>
      </c>
      <c r="AC4262" s="150">
        <v>0</v>
      </c>
      <c r="AD4262" s="150">
        <v>1</v>
      </c>
      <c r="AE4262" s="49">
        <f t="shared" si="154"/>
        <v>0.375</v>
      </c>
      <c r="AF4262" s="23">
        <v>0</v>
      </c>
      <c r="AG4262" s="17">
        <v>0</v>
      </c>
      <c r="AH4262" s="190">
        <v>0</v>
      </c>
      <c r="AI4262" s="190">
        <v>0</v>
      </c>
      <c r="AJ4262" s="485">
        <v>0.3</v>
      </c>
      <c r="AK4262" s="191">
        <v>0</v>
      </c>
      <c r="AL4262" s="191">
        <v>0</v>
      </c>
      <c r="AM4262" s="17">
        <f t="shared" si="155"/>
        <v>0</v>
      </c>
      <c r="AN4262" s="223" t="s">
        <v>3875</v>
      </c>
      <c r="AO4262" s="162" t="s">
        <v>3877</v>
      </c>
    </row>
    <row r="4263" spans="1:42" s="162" customFormat="1" x14ac:dyDescent="0.3">
      <c r="A4263" s="205" t="s">
        <v>8321</v>
      </c>
      <c r="B4263" s="162" t="s">
        <v>8322</v>
      </c>
      <c r="C4263" s="168" t="s">
        <v>13530</v>
      </c>
      <c r="D4263" s="162" t="s">
        <v>13531</v>
      </c>
      <c r="E4263" s="406" t="s">
        <v>13532</v>
      </c>
      <c r="F4263" s="406" t="s">
        <v>13533</v>
      </c>
      <c r="G4263" s="406">
        <v>166601</v>
      </c>
      <c r="H4263" s="162" t="s">
        <v>13534</v>
      </c>
      <c r="K4263" s="406">
        <v>16660107</v>
      </c>
      <c r="L4263" s="162" t="s">
        <v>15450</v>
      </c>
      <c r="M4263" s="162" t="s">
        <v>15451</v>
      </c>
      <c r="N4263" s="162">
        <v>3</v>
      </c>
      <c r="O4263" s="224">
        <v>3</v>
      </c>
      <c r="P4263" s="224">
        <v>4</v>
      </c>
      <c r="Q4263" s="224">
        <v>4</v>
      </c>
      <c r="R4263" s="224">
        <v>4</v>
      </c>
      <c r="S4263" s="224">
        <v>4</v>
      </c>
      <c r="T4263" s="223" t="s">
        <v>10732</v>
      </c>
      <c r="U4263" t="str">
        <f>VLOOKUP(T4263,[8]Votes!$A$1:$E$234,3,FALSE)</f>
        <v>105 Law Reform Commission</v>
      </c>
      <c r="V4263" s="162" t="s">
        <v>15452</v>
      </c>
      <c r="W4263" s="388">
        <v>1</v>
      </c>
      <c r="X4263" s="388">
        <v>1</v>
      </c>
      <c r="Y4263" s="388">
        <v>1</v>
      </c>
      <c r="Z4263" s="388">
        <v>1</v>
      </c>
      <c r="AA4263" s="388">
        <v>0</v>
      </c>
      <c r="AB4263" s="388">
        <v>1</v>
      </c>
      <c r="AC4263" s="150">
        <v>0</v>
      </c>
      <c r="AD4263" s="150">
        <v>1</v>
      </c>
      <c r="AE4263" s="49">
        <f t="shared" si="154"/>
        <v>0.75</v>
      </c>
      <c r="AF4263" s="23">
        <v>0</v>
      </c>
      <c r="AG4263" s="17">
        <v>0</v>
      </c>
      <c r="AH4263" s="485">
        <v>2.726</v>
      </c>
      <c r="AI4263" s="485">
        <v>2.726</v>
      </c>
      <c r="AJ4263" s="485">
        <v>2.726</v>
      </c>
      <c r="AK4263" s="493">
        <v>2.73</v>
      </c>
      <c r="AL4263" s="173">
        <v>2.73</v>
      </c>
      <c r="AM4263" s="17">
        <f t="shared" si="155"/>
        <v>5.46</v>
      </c>
      <c r="AN4263" s="162" t="s">
        <v>10732</v>
      </c>
      <c r="AO4263" s="162" t="s">
        <v>15453</v>
      </c>
    </row>
    <row r="4264" spans="1:42" s="162" customFormat="1" x14ac:dyDescent="0.3">
      <c r="A4264" s="205" t="s">
        <v>8321</v>
      </c>
      <c r="B4264" s="162" t="s">
        <v>8322</v>
      </c>
      <c r="C4264" s="168" t="s">
        <v>13530</v>
      </c>
      <c r="D4264" s="162" t="s">
        <v>13531</v>
      </c>
      <c r="E4264" s="406" t="s">
        <v>13532</v>
      </c>
      <c r="F4264" s="406" t="s">
        <v>13533</v>
      </c>
      <c r="G4264" s="406">
        <v>166601</v>
      </c>
      <c r="H4264" s="162" t="s">
        <v>13534</v>
      </c>
      <c r="K4264" s="406">
        <v>16660108</v>
      </c>
      <c r="L4264" s="162" t="s">
        <v>15454</v>
      </c>
      <c r="M4264" s="162" t="s">
        <v>15455</v>
      </c>
      <c r="O4264" s="224">
        <v>1</v>
      </c>
      <c r="P4264" s="224">
        <v>1</v>
      </c>
      <c r="Q4264" s="224">
        <v>1</v>
      </c>
      <c r="R4264" s="224" t="s">
        <v>271</v>
      </c>
      <c r="S4264" s="224" t="s">
        <v>271</v>
      </c>
      <c r="T4264" s="223" t="s">
        <v>1775</v>
      </c>
      <c r="U4264" t="str">
        <f>VLOOKUP(T4264,[8]Votes!$A$1:$E$234,3,FALSE)</f>
        <v>112 Ethics and Integrity</v>
      </c>
      <c r="V4264" s="162" t="s">
        <v>15456</v>
      </c>
      <c r="W4264" s="388">
        <v>0</v>
      </c>
      <c r="X4264" s="388">
        <v>0</v>
      </c>
      <c r="Y4264" s="388">
        <v>0</v>
      </c>
      <c r="Z4264" s="388">
        <v>0</v>
      </c>
      <c r="AA4264" s="388">
        <v>0</v>
      </c>
      <c r="AB4264" s="388">
        <v>0</v>
      </c>
      <c r="AC4264" s="150">
        <v>0</v>
      </c>
      <c r="AD4264" s="150">
        <v>0</v>
      </c>
      <c r="AE4264" s="49">
        <f t="shared" si="154"/>
        <v>0</v>
      </c>
      <c r="AF4264" s="23">
        <v>0</v>
      </c>
      <c r="AG4264" s="17">
        <v>0</v>
      </c>
      <c r="AH4264" s="485">
        <v>0.1</v>
      </c>
      <c r="AI4264" s="485">
        <v>0.3</v>
      </c>
      <c r="AJ4264" s="485">
        <v>0.3</v>
      </c>
      <c r="AK4264" s="191">
        <v>0</v>
      </c>
      <c r="AL4264" s="191">
        <v>0</v>
      </c>
      <c r="AM4264" s="17">
        <f t="shared" si="155"/>
        <v>0</v>
      </c>
      <c r="AN4264" s="162" t="s">
        <v>1775</v>
      </c>
      <c r="AO4264" s="162" t="s">
        <v>1776</v>
      </c>
    </row>
    <row r="4265" spans="1:42" s="162" customFormat="1" x14ac:dyDescent="0.3">
      <c r="A4265" s="205" t="s">
        <v>8321</v>
      </c>
      <c r="B4265" s="162" t="s">
        <v>8322</v>
      </c>
      <c r="C4265" s="168" t="s">
        <v>13530</v>
      </c>
      <c r="D4265" s="162" t="s">
        <v>13531</v>
      </c>
      <c r="E4265" s="406" t="s">
        <v>13532</v>
      </c>
      <c r="F4265" s="406" t="s">
        <v>13533</v>
      </c>
      <c r="G4265" s="406">
        <v>166601</v>
      </c>
      <c r="H4265" s="162" t="s">
        <v>13534</v>
      </c>
      <c r="K4265" s="406">
        <v>16660101</v>
      </c>
      <c r="L4265" s="162" t="s">
        <v>13535</v>
      </c>
      <c r="M4265" s="162" t="s">
        <v>13536</v>
      </c>
      <c r="O4265" s="224">
        <v>0</v>
      </c>
      <c r="P4265" s="224">
        <v>1</v>
      </c>
      <c r="Q4265" s="224">
        <v>1</v>
      </c>
      <c r="R4265" s="224">
        <v>1</v>
      </c>
      <c r="S4265" s="224">
        <v>1</v>
      </c>
      <c r="T4265" s="223" t="s">
        <v>3875</v>
      </c>
      <c r="U4265" t="str">
        <f>VLOOKUP(T4265,[8]Votes!$A$1:$E$234,3,FALSE)</f>
        <v>007 Ministry of Justice and Constitutional Affairs</v>
      </c>
      <c r="V4265" s="162" t="s">
        <v>15457</v>
      </c>
      <c r="W4265" s="388">
        <v>1</v>
      </c>
      <c r="X4265" s="388">
        <v>0</v>
      </c>
      <c r="Y4265" s="388">
        <v>0</v>
      </c>
      <c r="Z4265" s="388">
        <v>0</v>
      </c>
      <c r="AA4265" s="388">
        <v>0</v>
      </c>
      <c r="AB4265" s="388">
        <v>0</v>
      </c>
      <c r="AC4265" s="150">
        <v>0</v>
      </c>
      <c r="AD4265" s="150">
        <v>0</v>
      </c>
      <c r="AE4265" s="49">
        <f t="shared" si="154"/>
        <v>0.125</v>
      </c>
      <c r="AF4265" s="23">
        <v>0</v>
      </c>
      <c r="AG4265" s="17">
        <v>0</v>
      </c>
      <c r="AH4265" s="190">
        <v>0</v>
      </c>
      <c r="AI4265" s="485">
        <v>0.3</v>
      </c>
      <c r="AJ4265" s="485">
        <v>0.45</v>
      </c>
      <c r="AK4265" s="493">
        <v>0</v>
      </c>
      <c r="AL4265" s="173">
        <v>0</v>
      </c>
      <c r="AM4265" s="17">
        <f t="shared" si="155"/>
        <v>0</v>
      </c>
      <c r="AN4265" s="223" t="s">
        <v>3875</v>
      </c>
      <c r="AO4265" s="162" t="s">
        <v>3877</v>
      </c>
    </row>
    <row r="4266" spans="1:42" s="162" customFormat="1" x14ac:dyDescent="0.3">
      <c r="A4266" s="205" t="s">
        <v>8321</v>
      </c>
      <c r="B4266" s="162" t="s">
        <v>8322</v>
      </c>
      <c r="C4266" s="168" t="s">
        <v>13530</v>
      </c>
      <c r="D4266" s="162" t="s">
        <v>13531</v>
      </c>
      <c r="E4266" s="406" t="s">
        <v>13532</v>
      </c>
      <c r="F4266" s="406" t="s">
        <v>13533</v>
      </c>
      <c r="G4266" s="406">
        <v>166601</v>
      </c>
      <c r="H4266" s="162" t="s">
        <v>13534</v>
      </c>
      <c r="K4266" s="406">
        <v>16660109</v>
      </c>
      <c r="L4266" s="162" t="s">
        <v>15458</v>
      </c>
      <c r="M4266" s="162" t="s">
        <v>15459</v>
      </c>
      <c r="O4266" s="224"/>
      <c r="P4266" s="224">
        <v>1</v>
      </c>
      <c r="Q4266" s="224"/>
      <c r="R4266" s="224"/>
      <c r="S4266" s="224"/>
      <c r="T4266" s="223" t="s">
        <v>3875</v>
      </c>
      <c r="U4266" t="str">
        <f>VLOOKUP(T4266,[8]Votes!$A$1:$E$234,3,FALSE)</f>
        <v>007 Ministry of Justice and Constitutional Affairs</v>
      </c>
      <c r="V4266" s="162" t="s">
        <v>15460</v>
      </c>
      <c r="W4266" s="388">
        <v>1</v>
      </c>
      <c r="X4266" s="388">
        <v>0</v>
      </c>
      <c r="Y4266" s="388">
        <v>0</v>
      </c>
      <c r="Z4266" s="388">
        <v>0</v>
      </c>
      <c r="AA4266" s="388">
        <v>0</v>
      </c>
      <c r="AB4266" s="388">
        <v>0</v>
      </c>
      <c r="AC4266" s="150">
        <v>0</v>
      </c>
      <c r="AD4266" s="150">
        <v>0</v>
      </c>
      <c r="AE4266" s="49">
        <f t="shared" si="154"/>
        <v>0.125</v>
      </c>
      <c r="AF4266" s="23">
        <v>0</v>
      </c>
      <c r="AG4266" s="17">
        <v>0</v>
      </c>
      <c r="AH4266" s="190">
        <v>0</v>
      </c>
      <c r="AI4266" s="485">
        <v>0.5</v>
      </c>
      <c r="AJ4266" s="190">
        <v>0</v>
      </c>
      <c r="AK4266" s="191">
        <v>0</v>
      </c>
      <c r="AL4266" s="191">
        <v>0</v>
      </c>
      <c r="AM4266" s="17">
        <f t="shared" si="155"/>
        <v>0</v>
      </c>
      <c r="AN4266" s="223" t="s">
        <v>3875</v>
      </c>
      <c r="AO4266" s="162" t="s">
        <v>3877</v>
      </c>
    </row>
    <row r="4267" spans="1:42" s="162" customFormat="1" x14ac:dyDescent="0.3">
      <c r="A4267" s="205" t="s">
        <v>8321</v>
      </c>
      <c r="B4267" s="162" t="s">
        <v>8322</v>
      </c>
      <c r="C4267" s="168" t="s">
        <v>13530</v>
      </c>
      <c r="D4267" s="162" t="s">
        <v>13531</v>
      </c>
      <c r="E4267" s="406" t="s">
        <v>13532</v>
      </c>
      <c r="F4267" s="406" t="s">
        <v>13533</v>
      </c>
      <c r="G4267" s="406">
        <v>166601</v>
      </c>
      <c r="H4267" s="162" t="s">
        <v>13534</v>
      </c>
      <c r="K4267" s="406">
        <v>16660110</v>
      </c>
      <c r="L4267" s="162" t="s">
        <v>15461</v>
      </c>
      <c r="M4267" s="162" t="s">
        <v>15462</v>
      </c>
      <c r="N4267" s="162">
        <v>0</v>
      </c>
      <c r="O4267" s="224">
        <v>0</v>
      </c>
      <c r="P4267" s="224">
        <v>0</v>
      </c>
      <c r="Q4267" s="224">
        <v>1</v>
      </c>
      <c r="R4267" s="224">
        <v>1</v>
      </c>
      <c r="S4267" s="224">
        <v>1</v>
      </c>
      <c r="T4267" s="223" t="s">
        <v>15349</v>
      </c>
      <c r="U4267" t="e">
        <f>VLOOKUP(T4267,[8]Votes!$A$1:$E$234,3,FALSE)</f>
        <v>#N/A</v>
      </c>
      <c r="V4267" s="162" t="s">
        <v>15463</v>
      </c>
      <c r="W4267" s="388">
        <v>1</v>
      </c>
      <c r="X4267" s="388">
        <v>1</v>
      </c>
      <c r="Y4267" s="388">
        <v>1</v>
      </c>
      <c r="Z4267" s="388">
        <v>1</v>
      </c>
      <c r="AA4267" s="388">
        <v>1</v>
      </c>
      <c r="AB4267" s="388">
        <v>0</v>
      </c>
      <c r="AC4267" s="150">
        <v>1</v>
      </c>
      <c r="AD4267" s="150">
        <v>0</v>
      </c>
      <c r="AE4267" s="49">
        <f t="shared" si="154"/>
        <v>0.75</v>
      </c>
      <c r="AF4267" s="23">
        <v>0</v>
      </c>
      <c r="AG4267" s="17">
        <v>0</v>
      </c>
      <c r="AH4267" s="190">
        <v>0</v>
      </c>
      <c r="AI4267" s="190">
        <v>0</v>
      </c>
      <c r="AJ4267" s="190">
        <v>0</v>
      </c>
      <c r="AK4267" s="493"/>
      <c r="AL4267" s="173"/>
      <c r="AM4267" s="17">
        <f t="shared" si="155"/>
        <v>0</v>
      </c>
      <c r="AN4267" s="162" t="s">
        <v>3879</v>
      </c>
      <c r="AO4267" s="162" t="s">
        <v>3881</v>
      </c>
      <c r="AP4267" s="162" t="s">
        <v>13776</v>
      </c>
    </row>
    <row r="4268" spans="1:42" s="162" customFormat="1" x14ac:dyDescent="0.3">
      <c r="A4268" s="205" t="s">
        <v>8321</v>
      </c>
      <c r="B4268" s="162" t="s">
        <v>8322</v>
      </c>
      <c r="C4268" s="168" t="s">
        <v>13530</v>
      </c>
      <c r="D4268" s="162" t="s">
        <v>13531</v>
      </c>
      <c r="E4268" s="406" t="s">
        <v>13532</v>
      </c>
      <c r="F4268" s="406" t="s">
        <v>13533</v>
      </c>
      <c r="G4268" s="406">
        <v>166601</v>
      </c>
      <c r="H4268" s="162" t="s">
        <v>13534</v>
      </c>
      <c r="K4268" s="406">
        <v>16660110</v>
      </c>
      <c r="L4268" s="162" t="s">
        <v>15461</v>
      </c>
      <c r="M4268" s="162" t="s">
        <v>15464</v>
      </c>
      <c r="N4268" s="162">
        <v>0</v>
      </c>
      <c r="O4268" s="224">
        <v>0</v>
      </c>
      <c r="P4268" s="224">
        <v>0</v>
      </c>
      <c r="Q4268" s="224">
        <v>0</v>
      </c>
      <c r="R4268" s="224">
        <v>1</v>
      </c>
      <c r="S4268" s="224">
        <v>1</v>
      </c>
      <c r="T4268" s="223" t="s">
        <v>13776</v>
      </c>
      <c r="U4268" t="str">
        <f>VLOOKUP(T4268,[8]Votes!$A$1:$E$234,3,FALSE)</f>
        <v>305 Directorate of Government Analytical Laboratory</v>
      </c>
      <c r="V4268" s="162" t="s">
        <v>15465</v>
      </c>
      <c r="W4268" s="388">
        <v>1</v>
      </c>
      <c r="X4268" s="388">
        <v>0</v>
      </c>
      <c r="Y4268" s="388">
        <v>0</v>
      </c>
      <c r="Z4268" s="388">
        <v>0</v>
      </c>
      <c r="AA4268" s="388">
        <v>0</v>
      </c>
      <c r="AB4268" s="388">
        <v>0</v>
      </c>
      <c r="AC4268" s="150">
        <v>1</v>
      </c>
      <c r="AD4268" s="150">
        <v>1</v>
      </c>
      <c r="AE4268" s="49">
        <f t="shared" si="154"/>
        <v>0.375</v>
      </c>
      <c r="AF4268" s="23">
        <v>0</v>
      </c>
      <c r="AG4268" s="17">
        <v>0</v>
      </c>
      <c r="AH4268" s="190">
        <v>0</v>
      </c>
      <c r="AI4268" s="190">
        <v>0</v>
      </c>
      <c r="AJ4268" s="190">
        <v>0</v>
      </c>
      <c r="AK4268" s="191">
        <v>0</v>
      </c>
      <c r="AL4268" s="173">
        <v>0</v>
      </c>
      <c r="AM4268" s="17">
        <f t="shared" si="155"/>
        <v>0</v>
      </c>
      <c r="AN4268" s="162" t="s">
        <v>13776</v>
      </c>
      <c r="AO4268" s="162" t="s">
        <v>13778</v>
      </c>
      <c r="AP4268" s="162" t="s">
        <v>15349</v>
      </c>
    </row>
    <row r="4269" spans="1:42" s="162" customFormat="1" x14ac:dyDescent="0.3">
      <c r="A4269" s="205" t="s">
        <v>8321</v>
      </c>
      <c r="B4269" s="162" t="s">
        <v>8322</v>
      </c>
      <c r="C4269" s="168" t="s">
        <v>13530</v>
      </c>
      <c r="D4269" s="162" t="s">
        <v>13531</v>
      </c>
      <c r="E4269" s="406" t="s">
        <v>13532</v>
      </c>
      <c r="F4269" s="406" t="s">
        <v>13533</v>
      </c>
      <c r="G4269" s="406">
        <v>166601</v>
      </c>
      <c r="H4269" s="162" t="s">
        <v>13534</v>
      </c>
      <c r="K4269" s="406">
        <v>16660111</v>
      </c>
      <c r="L4269" s="162" t="s">
        <v>15466</v>
      </c>
      <c r="M4269" s="162" t="s">
        <v>15467</v>
      </c>
      <c r="N4269" s="162">
        <v>0</v>
      </c>
      <c r="O4269" s="224">
        <v>0</v>
      </c>
      <c r="P4269" s="224">
        <v>0</v>
      </c>
      <c r="Q4269" s="224">
        <v>1</v>
      </c>
      <c r="R4269" s="224">
        <v>1</v>
      </c>
      <c r="S4269" s="224">
        <v>1</v>
      </c>
      <c r="T4269" s="223" t="s">
        <v>13776</v>
      </c>
      <c r="U4269" t="str">
        <f>VLOOKUP(T4269,[8]Votes!$A$1:$E$234,3,FALSE)</f>
        <v>305 Directorate of Government Analytical Laboratory</v>
      </c>
      <c r="V4269" s="162" t="s">
        <v>15468</v>
      </c>
      <c r="W4269" s="388">
        <v>1</v>
      </c>
      <c r="X4269" s="388">
        <v>0</v>
      </c>
      <c r="Y4269" s="388">
        <v>0</v>
      </c>
      <c r="Z4269" s="388">
        <v>0</v>
      </c>
      <c r="AA4269" s="388">
        <v>0</v>
      </c>
      <c r="AB4269" s="388">
        <v>0</v>
      </c>
      <c r="AC4269" s="150">
        <v>0</v>
      </c>
      <c r="AD4269" s="150">
        <v>1</v>
      </c>
      <c r="AE4269" s="49">
        <f t="shared" si="154"/>
        <v>0.25</v>
      </c>
      <c r="AF4269" s="23">
        <v>0</v>
      </c>
      <c r="AG4269" s="17">
        <v>0</v>
      </c>
      <c r="AH4269" s="190">
        <v>0</v>
      </c>
      <c r="AI4269" s="190">
        <v>0</v>
      </c>
      <c r="AJ4269" s="485">
        <v>0.4</v>
      </c>
      <c r="AK4269" s="493">
        <v>0</v>
      </c>
      <c r="AL4269" s="173">
        <v>0</v>
      </c>
      <c r="AM4269" s="17">
        <f t="shared" si="155"/>
        <v>0</v>
      </c>
      <c r="AN4269" s="162" t="s">
        <v>13776</v>
      </c>
      <c r="AO4269" s="162" t="s">
        <v>13778</v>
      </c>
      <c r="AP4269" s="162" t="s">
        <v>13776</v>
      </c>
    </row>
    <row r="4270" spans="1:42" s="162" customFormat="1" x14ac:dyDescent="0.3">
      <c r="A4270" s="205" t="s">
        <v>8321</v>
      </c>
      <c r="B4270" s="162" t="s">
        <v>8322</v>
      </c>
      <c r="C4270" s="168" t="s">
        <v>13530</v>
      </c>
      <c r="D4270" s="162" t="s">
        <v>13531</v>
      </c>
      <c r="E4270" s="406" t="s">
        <v>13532</v>
      </c>
      <c r="F4270" s="406" t="s">
        <v>13533</v>
      </c>
      <c r="G4270" s="406">
        <v>166601</v>
      </c>
      <c r="H4270" s="162" t="s">
        <v>13534</v>
      </c>
      <c r="K4270" s="406">
        <v>16660112</v>
      </c>
      <c r="L4270" s="162" t="s">
        <v>15469</v>
      </c>
      <c r="M4270" s="162" t="s">
        <v>15470</v>
      </c>
      <c r="N4270" s="162">
        <v>150</v>
      </c>
      <c r="O4270" s="224">
        <v>300</v>
      </c>
      <c r="P4270" s="224">
        <v>250</v>
      </c>
      <c r="Q4270" s="224">
        <v>225</v>
      </c>
      <c r="R4270" s="224">
        <v>220</v>
      </c>
      <c r="S4270" s="224">
        <v>205</v>
      </c>
      <c r="T4270" s="223" t="s">
        <v>10732</v>
      </c>
      <c r="U4270" t="str">
        <f>VLOOKUP(T4270,[8]Votes!$A$1:$E$234,3,FALSE)</f>
        <v>105 Law Reform Commission</v>
      </c>
      <c r="V4270" s="162" t="s">
        <v>15471</v>
      </c>
      <c r="W4270" s="388">
        <v>1</v>
      </c>
      <c r="X4270" s="388">
        <v>1</v>
      </c>
      <c r="Y4270" s="388">
        <v>0</v>
      </c>
      <c r="Z4270" s="388">
        <v>1</v>
      </c>
      <c r="AA4270" s="388">
        <v>1</v>
      </c>
      <c r="AB4270" s="388">
        <v>1</v>
      </c>
      <c r="AC4270" s="150">
        <v>1</v>
      </c>
      <c r="AD4270" s="150">
        <v>0</v>
      </c>
      <c r="AE4270" s="49">
        <f t="shared" si="154"/>
        <v>0.75</v>
      </c>
      <c r="AF4270" s="23">
        <v>0</v>
      </c>
      <c r="AG4270" s="17">
        <v>0</v>
      </c>
      <c r="AH4270" s="485">
        <v>0.6</v>
      </c>
      <c r="AI4270" s="485">
        <v>1.46</v>
      </c>
      <c r="AJ4270" s="485">
        <v>1.46</v>
      </c>
      <c r="AK4270" s="493">
        <v>1.46</v>
      </c>
      <c r="AL4270" s="173">
        <v>1.46</v>
      </c>
      <c r="AM4270" s="17">
        <f t="shared" si="155"/>
        <v>2.92</v>
      </c>
      <c r="AN4270" s="162" t="s">
        <v>10732</v>
      </c>
      <c r="AO4270" s="162" t="s">
        <v>15453</v>
      </c>
    </row>
    <row r="4271" spans="1:42" s="162" customFormat="1" x14ac:dyDescent="0.3">
      <c r="A4271" s="205" t="s">
        <v>8321</v>
      </c>
      <c r="B4271" s="162" t="s">
        <v>8322</v>
      </c>
      <c r="C4271" s="168" t="s">
        <v>13530</v>
      </c>
      <c r="D4271" s="162" t="s">
        <v>13531</v>
      </c>
      <c r="E4271" s="406" t="s">
        <v>13532</v>
      </c>
      <c r="F4271" s="406" t="s">
        <v>13533</v>
      </c>
      <c r="G4271" s="406">
        <v>166601</v>
      </c>
      <c r="H4271" s="162" t="s">
        <v>13534</v>
      </c>
      <c r="K4271" s="406">
        <v>16660102</v>
      </c>
      <c r="L4271" s="162" t="s">
        <v>15472</v>
      </c>
      <c r="M4271" s="162" t="s">
        <v>15473</v>
      </c>
      <c r="O4271" s="224">
        <v>0</v>
      </c>
      <c r="P4271" s="224">
        <v>0</v>
      </c>
      <c r="Q4271" s="224">
        <v>1</v>
      </c>
      <c r="R4271" s="224">
        <v>1</v>
      </c>
      <c r="S4271" s="224">
        <v>1</v>
      </c>
      <c r="T4271" s="223" t="s">
        <v>13761</v>
      </c>
      <c r="U4271" t="str">
        <f>VLOOKUP(T4271,[8]Votes!$A$1:$E$234,3,FALSE)</f>
        <v>129 Financial Intelligence Authority (FIA)</v>
      </c>
      <c r="V4271" s="162" t="s">
        <v>15474</v>
      </c>
      <c r="W4271" s="388">
        <v>1</v>
      </c>
      <c r="X4271" s="388">
        <v>1</v>
      </c>
      <c r="Y4271" s="388">
        <v>1</v>
      </c>
      <c r="Z4271" s="388">
        <v>1</v>
      </c>
      <c r="AA4271" s="388">
        <v>1</v>
      </c>
      <c r="AB4271" s="388">
        <v>0</v>
      </c>
      <c r="AC4271" s="150">
        <v>0</v>
      </c>
      <c r="AD4271" s="150">
        <v>1</v>
      </c>
      <c r="AE4271" s="49">
        <f t="shared" si="154"/>
        <v>0.75</v>
      </c>
      <c r="AF4271" s="23">
        <v>0</v>
      </c>
      <c r="AG4271" s="17">
        <v>0</v>
      </c>
      <c r="AH4271" s="190">
        <v>0</v>
      </c>
      <c r="AI4271" s="190">
        <v>0</v>
      </c>
      <c r="AJ4271" s="485">
        <v>0.5</v>
      </c>
      <c r="AK4271" s="493">
        <v>0.6</v>
      </c>
      <c r="AL4271" s="173">
        <v>0.7</v>
      </c>
      <c r="AM4271" s="17">
        <f t="shared" si="155"/>
        <v>1.2999999999999998</v>
      </c>
      <c r="AN4271" s="162" t="s">
        <v>13761</v>
      </c>
      <c r="AO4271" s="162" t="s">
        <v>13763</v>
      </c>
    </row>
    <row r="4272" spans="1:42" s="162" customFormat="1" x14ac:dyDescent="0.3">
      <c r="A4272" s="205" t="s">
        <v>8321</v>
      </c>
      <c r="B4272" s="162" t="s">
        <v>8322</v>
      </c>
      <c r="C4272" s="168" t="s">
        <v>13530</v>
      </c>
      <c r="D4272" s="162" t="s">
        <v>13531</v>
      </c>
      <c r="E4272" s="406" t="s">
        <v>13532</v>
      </c>
      <c r="F4272" s="406" t="s">
        <v>13533</v>
      </c>
      <c r="G4272" s="406">
        <v>166601</v>
      </c>
      <c r="H4272" s="162" t="s">
        <v>13534</v>
      </c>
      <c r="K4272" s="406">
        <v>16660113</v>
      </c>
      <c r="L4272" s="162" t="s">
        <v>15475</v>
      </c>
      <c r="M4272" s="162" t="s">
        <v>15476</v>
      </c>
      <c r="O4272" s="224">
        <v>1</v>
      </c>
      <c r="P4272" s="224">
        <v>1</v>
      </c>
      <c r="Q4272" s="224">
        <v>1</v>
      </c>
      <c r="R4272" s="224">
        <v>1</v>
      </c>
      <c r="S4272" s="224">
        <v>1</v>
      </c>
      <c r="T4272" s="223" t="s">
        <v>13761</v>
      </c>
      <c r="U4272" t="str">
        <f>VLOOKUP(T4272,[8]Votes!$A$1:$E$234,3,FALSE)</f>
        <v>129 Financial Intelligence Authority (FIA)</v>
      </c>
      <c r="V4272" s="162" t="s">
        <v>15477</v>
      </c>
      <c r="W4272" s="388">
        <v>1</v>
      </c>
      <c r="X4272" s="388">
        <v>1</v>
      </c>
      <c r="Y4272" s="388">
        <v>1</v>
      </c>
      <c r="Z4272" s="388">
        <v>1</v>
      </c>
      <c r="AA4272" s="388">
        <v>1</v>
      </c>
      <c r="AB4272" s="388">
        <v>0</v>
      </c>
      <c r="AC4272" s="150">
        <v>0</v>
      </c>
      <c r="AD4272" s="150">
        <v>1</v>
      </c>
      <c r="AE4272" s="49">
        <f t="shared" si="154"/>
        <v>0.75</v>
      </c>
      <c r="AF4272" s="23">
        <v>0</v>
      </c>
      <c r="AG4272" s="17">
        <v>0</v>
      </c>
      <c r="AH4272" s="485">
        <v>0.2</v>
      </c>
      <c r="AI4272" s="485">
        <v>0.2</v>
      </c>
      <c r="AJ4272" s="485">
        <v>1.5</v>
      </c>
      <c r="AK4272" s="493">
        <v>0.8</v>
      </c>
      <c r="AL4272" s="173">
        <v>0.9</v>
      </c>
      <c r="AM4272" s="17">
        <f t="shared" si="155"/>
        <v>1.7000000000000002</v>
      </c>
      <c r="AN4272" s="162" t="s">
        <v>13761</v>
      </c>
      <c r="AO4272" s="162" t="s">
        <v>13763</v>
      </c>
    </row>
    <row r="4273" spans="1:42" s="162" customFormat="1" x14ac:dyDescent="0.3">
      <c r="A4273" s="205" t="s">
        <v>8321</v>
      </c>
      <c r="B4273" s="162" t="s">
        <v>8322</v>
      </c>
      <c r="C4273" s="168" t="s">
        <v>13530</v>
      </c>
      <c r="D4273" s="162" t="s">
        <v>13531</v>
      </c>
      <c r="E4273" s="406" t="s">
        <v>13532</v>
      </c>
      <c r="F4273" s="406" t="s">
        <v>13533</v>
      </c>
      <c r="G4273" s="406">
        <v>166601</v>
      </c>
      <c r="H4273" s="162" t="s">
        <v>13534</v>
      </c>
      <c r="K4273" s="406">
        <v>16660114</v>
      </c>
      <c r="L4273" s="162" t="s">
        <v>15478</v>
      </c>
      <c r="M4273" s="162" t="s">
        <v>15479</v>
      </c>
      <c r="O4273" s="224">
        <v>1</v>
      </c>
      <c r="P4273" s="224">
        <v>1</v>
      </c>
      <c r="Q4273" s="224">
        <v>1</v>
      </c>
      <c r="R4273" s="224">
        <v>1</v>
      </c>
      <c r="S4273" s="224">
        <v>1</v>
      </c>
      <c r="T4273" s="223" t="s">
        <v>1536</v>
      </c>
      <c r="U4273" t="e">
        <f>VLOOKUP(T4273,[8]Votes!$A$1:$E$234,3,FALSE)</f>
        <v>#N/A</v>
      </c>
      <c r="V4273" s="162" t="s">
        <v>15480</v>
      </c>
      <c r="W4273" s="388">
        <v>1</v>
      </c>
      <c r="X4273" s="388">
        <v>0</v>
      </c>
      <c r="Y4273" s="388">
        <v>0</v>
      </c>
      <c r="Z4273" s="388">
        <v>0</v>
      </c>
      <c r="AA4273" s="388">
        <v>0</v>
      </c>
      <c r="AB4273" s="388">
        <v>0</v>
      </c>
      <c r="AC4273" s="150">
        <v>0</v>
      </c>
      <c r="AD4273" s="150">
        <v>0</v>
      </c>
      <c r="AE4273" s="49">
        <f t="shared" si="154"/>
        <v>0.125</v>
      </c>
      <c r="AF4273" s="23">
        <v>0</v>
      </c>
      <c r="AG4273" s="17">
        <v>0</v>
      </c>
      <c r="AH4273" s="485">
        <v>0.01</v>
      </c>
      <c r="AI4273" s="485">
        <v>0.01</v>
      </c>
      <c r="AJ4273" s="485">
        <v>0.01</v>
      </c>
      <c r="AK4273" s="493">
        <v>0.01</v>
      </c>
      <c r="AL4273" s="173">
        <v>0.01</v>
      </c>
      <c r="AM4273" s="17">
        <f t="shared" si="155"/>
        <v>0.02</v>
      </c>
      <c r="AN4273" s="162" t="s">
        <v>771</v>
      </c>
      <c r="AO4273" s="162" t="s">
        <v>773</v>
      </c>
    </row>
    <row r="4274" spans="1:42" s="162" customFormat="1" x14ac:dyDescent="0.3">
      <c r="A4274" s="205" t="s">
        <v>8321</v>
      </c>
      <c r="B4274" s="162" t="s">
        <v>8322</v>
      </c>
      <c r="C4274" s="168" t="s">
        <v>13530</v>
      </c>
      <c r="D4274" s="162" t="s">
        <v>13531</v>
      </c>
      <c r="E4274" s="406" t="s">
        <v>13532</v>
      </c>
      <c r="F4274" s="406" t="s">
        <v>13533</v>
      </c>
      <c r="G4274" s="406">
        <v>166601</v>
      </c>
      <c r="H4274" s="162" t="s">
        <v>13534</v>
      </c>
      <c r="K4274" s="406">
        <v>16660114</v>
      </c>
      <c r="L4274" s="162" t="s">
        <v>15478</v>
      </c>
      <c r="M4274" s="162" t="s">
        <v>15479</v>
      </c>
      <c r="O4274" s="224">
        <v>6</v>
      </c>
      <c r="P4274" s="224">
        <v>6</v>
      </c>
      <c r="Q4274" s="224">
        <v>6</v>
      </c>
      <c r="R4274" s="224">
        <v>6</v>
      </c>
      <c r="S4274" s="224">
        <v>6</v>
      </c>
      <c r="T4274" s="223" t="s">
        <v>15481</v>
      </c>
      <c r="U4274" t="e">
        <f>VLOOKUP(T4274,[8]Votes!$A$1:$E$234,3,FALSE)</f>
        <v>#N/A</v>
      </c>
      <c r="V4274" s="162" t="s">
        <v>15482</v>
      </c>
      <c r="W4274" s="388">
        <v>1</v>
      </c>
      <c r="X4274" s="388">
        <v>0</v>
      </c>
      <c r="Y4274" s="388">
        <v>0</v>
      </c>
      <c r="Z4274" s="388">
        <v>0</v>
      </c>
      <c r="AA4274" s="388">
        <v>0</v>
      </c>
      <c r="AB4274" s="388">
        <v>0</v>
      </c>
      <c r="AC4274" s="150">
        <v>0</v>
      </c>
      <c r="AD4274" s="150">
        <v>0</v>
      </c>
      <c r="AE4274" s="49">
        <f t="shared" si="154"/>
        <v>0.125</v>
      </c>
      <c r="AF4274" s="23">
        <v>0</v>
      </c>
      <c r="AG4274" s="17">
        <v>0</v>
      </c>
      <c r="AH4274" s="485">
        <v>0.04</v>
      </c>
      <c r="AI4274" s="485">
        <v>0.04</v>
      </c>
      <c r="AJ4274" s="485">
        <v>0.34</v>
      </c>
      <c r="AK4274" s="493">
        <v>0.34</v>
      </c>
      <c r="AL4274" s="173">
        <v>0.34</v>
      </c>
      <c r="AM4274" s="17">
        <f t="shared" si="155"/>
        <v>0.68</v>
      </c>
      <c r="AN4274" s="162" t="s">
        <v>771</v>
      </c>
      <c r="AO4274" s="162" t="s">
        <v>773</v>
      </c>
    </row>
    <row r="4275" spans="1:42" s="162" customFormat="1" x14ac:dyDescent="0.3">
      <c r="A4275" s="205" t="s">
        <v>8321</v>
      </c>
      <c r="B4275" s="162" t="s">
        <v>8322</v>
      </c>
      <c r="C4275" s="168" t="s">
        <v>13530</v>
      </c>
      <c r="D4275" s="162" t="s">
        <v>13531</v>
      </c>
      <c r="E4275" s="406" t="s">
        <v>13532</v>
      </c>
      <c r="F4275" s="406" t="s">
        <v>13533</v>
      </c>
      <c r="G4275" s="406">
        <v>166601</v>
      </c>
      <c r="H4275" s="162" t="s">
        <v>13534</v>
      </c>
      <c r="K4275" s="406">
        <v>16660114</v>
      </c>
      <c r="L4275" s="162" t="s">
        <v>15478</v>
      </c>
      <c r="M4275" s="162" t="s">
        <v>15479</v>
      </c>
      <c r="O4275" s="224">
        <v>6</v>
      </c>
      <c r="P4275" s="224">
        <v>6</v>
      </c>
      <c r="Q4275" s="224">
        <v>6</v>
      </c>
      <c r="R4275" s="224">
        <v>6</v>
      </c>
      <c r="S4275" s="224">
        <v>6</v>
      </c>
      <c r="T4275" s="223" t="s">
        <v>3875</v>
      </c>
      <c r="U4275" t="str">
        <f>VLOOKUP(T4275,[8]Votes!$A$1:$E$234,3,FALSE)</f>
        <v>007 Ministry of Justice and Constitutional Affairs</v>
      </c>
      <c r="V4275" s="162" t="s">
        <v>15483</v>
      </c>
      <c r="W4275" s="388">
        <v>1</v>
      </c>
      <c r="X4275" s="388">
        <v>1</v>
      </c>
      <c r="Y4275" s="388">
        <v>1</v>
      </c>
      <c r="Z4275" s="388">
        <v>1</v>
      </c>
      <c r="AA4275" s="388">
        <v>1</v>
      </c>
      <c r="AB4275" s="388">
        <v>0</v>
      </c>
      <c r="AC4275" s="150">
        <v>0</v>
      </c>
      <c r="AD4275" s="150">
        <v>0</v>
      </c>
      <c r="AE4275" s="49">
        <f t="shared" si="154"/>
        <v>0.625</v>
      </c>
      <c r="AF4275" s="23">
        <v>0</v>
      </c>
      <c r="AG4275" s="17">
        <v>0</v>
      </c>
      <c r="AH4275" s="485">
        <v>0.04</v>
      </c>
      <c r="AI4275" s="485">
        <v>0.04</v>
      </c>
      <c r="AJ4275" s="485">
        <v>0.9</v>
      </c>
      <c r="AK4275" s="493">
        <v>0</v>
      </c>
      <c r="AL4275" s="173">
        <v>0</v>
      </c>
      <c r="AM4275" s="17">
        <f t="shared" si="155"/>
        <v>0</v>
      </c>
      <c r="AN4275" s="223" t="s">
        <v>3875</v>
      </c>
      <c r="AO4275" s="162" t="s">
        <v>3877</v>
      </c>
    </row>
    <row r="4276" spans="1:42" s="162" customFormat="1" x14ac:dyDescent="0.3">
      <c r="A4276" s="205" t="s">
        <v>8321</v>
      </c>
      <c r="B4276" s="162" t="s">
        <v>8322</v>
      </c>
      <c r="C4276" s="168" t="s">
        <v>13530</v>
      </c>
      <c r="D4276" s="162" t="s">
        <v>13531</v>
      </c>
      <c r="E4276" s="406" t="s">
        <v>13532</v>
      </c>
      <c r="F4276" s="406" t="s">
        <v>13533</v>
      </c>
      <c r="G4276" s="406">
        <v>166601</v>
      </c>
      <c r="H4276" s="162" t="s">
        <v>13534</v>
      </c>
      <c r="K4276" s="406">
        <v>16660114</v>
      </c>
      <c r="L4276" s="162" t="s">
        <v>15478</v>
      </c>
      <c r="M4276" s="162" t="s">
        <v>15479</v>
      </c>
      <c r="O4276" s="224"/>
      <c r="P4276" s="224">
        <v>1</v>
      </c>
      <c r="Q4276" s="224">
        <v>2</v>
      </c>
      <c r="R4276" s="224"/>
      <c r="S4276" s="224"/>
      <c r="T4276" s="223" t="s">
        <v>3875</v>
      </c>
      <c r="U4276" t="str">
        <f>VLOOKUP(T4276,[8]Votes!$A$1:$E$234,3,FALSE)</f>
        <v>007 Ministry of Justice and Constitutional Affairs</v>
      </c>
      <c r="V4276" s="162" t="s">
        <v>15484</v>
      </c>
      <c r="W4276" s="388">
        <v>1</v>
      </c>
      <c r="X4276" s="388">
        <v>1</v>
      </c>
      <c r="Y4276" s="388">
        <v>0</v>
      </c>
      <c r="Z4276" s="388">
        <v>1</v>
      </c>
      <c r="AA4276" s="388">
        <v>0</v>
      </c>
      <c r="AB4276" s="388">
        <v>0</v>
      </c>
      <c r="AC4276" s="150">
        <v>0</v>
      </c>
      <c r="AD4276" s="150">
        <v>0</v>
      </c>
      <c r="AE4276" s="49">
        <f t="shared" si="154"/>
        <v>0.375</v>
      </c>
      <c r="AF4276" s="23">
        <v>0</v>
      </c>
      <c r="AG4276" s="17">
        <v>0</v>
      </c>
      <c r="AH4276" s="190">
        <v>0</v>
      </c>
      <c r="AI4276" s="485">
        <v>0.34</v>
      </c>
      <c r="AJ4276" s="485">
        <v>0.64</v>
      </c>
      <c r="AK4276" s="191">
        <v>0</v>
      </c>
      <c r="AL4276" s="191">
        <v>0</v>
      </c>
      <c r="AM4276" s="17">
        <f t="shared" si="155"/>
        <v>0</v>
      </c>
      <c r="AN4276" s="223" t="s">
        <v>3875</v>
      </c>
      <c r="AO4276" s="162" t="s">
        <v>3877</v>
      </c>
    </row>
    <row r="4277" spans="1:42" s="162" customFormat="1" x14ac:dyDescent="0.3">
      <c r="A4277" s="205" t="s">
        <v>8321</v>
      </c>
      <c r="B4277" s="162" t="s">
        <v>8322</v>
      </c>
      <c r="C4277" s="168" t="s">
        <v>13530</v>
      </c>
      <c r="D4277" s="162" t="s">
        <v>13531</v>
      </c>
      <c r="E4277" s="406" t="s">
        <v>13532</v>
      </c>
      <c r="F4277" s="406" t="s">
        <v>13533</v>
      </c>
      <c r="G4277" s="406">
        <v>166601</v>
      </c>
      <c r="H4277" s="162" t="s">
        <v>13534</v>
      </c>
      <c r="K4277" s="406">
        <v>16660114</v>
      </c>
      <c r="L4277" s="162" t="s">
        <v>15478</v>
      </c>
      <c r="M4277" s="162" t="s">
        <v>15479</v>
      </c>
      <c r="O4277" s="224">
        <v>6</v>
      </c>
      <c r="P4277" s="224">
        <v>6</v>
      </c>
      <c r="Q4277" s="224">
        <v>6</v>
      </c>
      <c r="R4277" s="224">
        <v>6</v>
      </c>
      <c r="S4277" s="224">
        <v>6</v>
      </c>
      <c r="T4277" s="223" t="s">
        <v>771</v>
      </c>
      <c r="U4277" t="str">
        <f>VLOOKUP(T4277,[8]Votes!$A$1:$E$234,3,FALSE)</f>
        <v>018 Ministry of Gender, Labour and Social Development</v>
      </c>
      <c r="V4277" s="162" t="s">
        <v>15485</v>
      </c>
      <c r="W4277" s="388">
        <v>1</v>
      </c>
      <c r="X4277" s="388">
        <v>0</v>
      </c>
      <c r="Y4277" s="388">
        <v>0</v>
      </c>
      <c r="Z4277" s="388">
        <v>0</v>
      </c>
      <c r="AA4277" s="388">
        <v>0</v>
      </c>
      <c r="AB4277" s="388">
        <v>0</v>
      </c>
      <c r="AC4277" s="150">
        <v>0</v>
      </c>
      <c r="AD4277" s="150">
        <v>0</v>
      </c>
      <c r="AE4277" s="49">
        <f t="shared" si="154"/>
        <v>0.125</v>
      </c>
      <c r="AF4277" s="23">
        <v>0</v>
      </c>
      <c r="AG4277" s="17">
        <v>0</v>
      </c>
      <c r="AH4277" s="485">
        <v>0.1</v>
      </c>
      <c r="AI4277" s="485">
        <v>0.1</v>
      </c>
      <c r="AJ4277" s="485">
        <v>0.1</v>
      </c>
      <c r="AK4277" s="493">
        <v>0.1</v>
      </c>
      <c r="AL4277" s="173">
        <v>0.1</v>
      </c>
      <c r="AM4277" s="17">
        <f t="shared" si="155"/>
        <v>0.2</v>
      </c>
      <c r="AN4277" s="162" t="s">
        <v>771</v>
      </c>
      <c r="AO4277" s="162" t="s">
        <v>773</v>
      </c>
    </row>
    <row r="4278" spans="1:42" s="162" customFormat="1" x14ac:dyDescent="0.3">
      <c r="A4278" s="205" t="s">
        <v>8321</v>
      </c>
      <c r="B4278" s="162" t="s">
        <v>8322</v>
      </c>
      <c r="C4278" s="168" t="s">
        <v>13530</v>
      </c>
      <c r="D4278" s="162" t="s">
        <v>13531</v>
      </c>
      <c r="E4278" s="406" t="s">
        <v>13532</v>
      </c>
      <c r="F4278" s="406" t="s">
        <v>13533</v>
      </c>
      <c r="G4278" s="406">
        <v>166601</v>
      </c>
      <c r="H4278" s="162" t="s">
        <v>13534</v>
      </c>
      <c r="K4278" s="406">
        <v>16660114</v>
      </c>
      <c r="L4278" s="162" t="s">
        <v>15478</v>
      </c>
      <c r="M4278" s="162" t="s">
        <v>15479</v>
      </c>
      <c r="O4278" s="224"/>
      <c r="P4278" s="224">
        <v>2</v>
      </c>
      <c r="Q4278" s="224"/>
      <c r="R4278" s="224"/>
      <c r="S4278" s="224"/>
      <c r="T4278" s="223" t="s">
        <v>1536</v>
      </c>
      <c r="U4278" t="e">
        <f>VLOOKUP(T4278,[8]Votes!$A$1:$E$234,3,FALSE)</f>
        <v>#N/A</v>
      </c>
      <c r="V4278" s="162" t="s">
        <v>15486</v>
      </c>
      <c r="W4278" s="388">
        <v>1</v>
      </c>
      <c r="X4278" s="388">
        <v>0</v>
      </c>
      <c r="Y4278" s="388">
        <v>0</v>
      </c>
      <c r="Z4278" s="388">
        <v>0</v>
      </c>
      <c r="AA4278" s="388">
        <v>0</v>
      </c>
      <c r="AB4278" s="388">
        <v>0</v>
      </c>
      <c r="AC4278" s="150">
        <v>0</v>
      </c>
      <c r="AD4278" s="150">
        <v>0</v>
      </c>
      <c r="AE4278" s="49">
        <f t="shared" si="154"/>
        <v>0.125</v>
      </c>
      <c r="AF4278" s="23">
        <v>0</v>
      </c>
      <c r="AG4278" s="17">
        <v>0</v>
      </c>
      <c r="AH4278" s="190">
        <v>0</v>
      </c>
      <c r="AI4278" s="485">
        <v>0.6</v>
      </c>
      <c r="AJ4278" s="190">
        <v>0</v>
      </c>
      <c r="AK4278" s="191">
        <v>0</v>
      </c>
      <c r="AL4278" s="191">
        <v>0</v>
      </c>
      <c r="AM4278" s="17">
        <f t="shared" si="155"/>
        <v>0</v>
      </c>
      <c r="AN4278" s="162" t="s">
        <v>771</v>
      </c>
      <c r="AO4278" s="162" t="s">
        <v>773</v>
      </c>
    </row>
    <row r="4279" spans="1:42" s="162" customFormat="1" x14ac:dyDescent="0.3">
      <c r="A4279" s="205" t="s">
        <v>8321</v>
      </c>
      <c r="B4279" s="162" t="s">
        <v>8322</v>
      </c>
      <c r="C4279" s="168" t="s">
        <v>13530</v>
      </c>
      <c r="D4279" s="162" t="s">
        <v>13531</v>
      </c>
      <c r="E4279" s="406" t="s">
        <v>13532</v>
      </c>
      <c r="F4279" s="406" t="s">
        <v>13533</v>
      </c>
      <c r="G4279" s="406">
        <v>166601</v>
      </c>
      <c r="H4279" s="162" t="s">
        <v>13534</v>
      </c>
      <c r="K4279" s="406">
        <v>16660115</v>
      </c>
      <c r="L4279" s="162" t="s">
        <v>15487</v>
      </c>
      <c r="M4279" s="162" t="s">
        <v>15488</v>
      </c>
      <c r="O4279" s="224">
        <v>1</v>
      </c>
      <c r="P4279" s="224">
        <v>2</v>
      </c>
      <c r="Q4279" s="224">
        <v>2</v>
      </c>
      <c r="R4279" s="224">
        <v>2</v>
      </c>
      <c r="S4279" s="224">
        <v>1</v>
      </c>
      <c r="T4279" s="223" t="s">
        <v>1581</v>
      </c>
      <c r="U4279" t="str">
        <f>VLOOKUP(T4279,[8]Votes!$A$1:$E$234,3,FALSE)</f>
        <v>119 Uganda Registration Services Bureau</v>
      </c>
      <c r="V4279" s="162" t="s">
        <v>15489</v>
      </c>
      <c r="W4279" s="388">
        <v>1</v>
      </c>
      <c r="X4279" s="388">
        <v>1</v>
      </c>
      <c r="Y4279" s="388">
        <v>1</v>
      </c>
      <c r="Z4279" s="388">
        <v>1</v>
      </c>
      <c r="AA4279" s="388">
        <v>1</v>
      </c>
      <c r="AB4279" s="388">
        <v>1</v>
      </c>
      <c r="AC4279" s="150">
        <v>0</v>
      </c>
      <c r="AD4279" s="150"/>
      <c r="AE4279" s="49">
        <f t="shared" si="154"/>
        <v>0.75</v>
      </c>
      <c r="AF4279" s="23">
        <v>0</v>
      </c>
      <c r="AG4279" s="17">
        <v>0</v>
      </c>
      <c r="AH4279" s="485">
        <v>0.06</v>
      </c>
      <c r="AI4279" s="485">
        <v>0.09</v>
      </c>
      <c r="AJ4279" s="485">
        <v>0.09</v>
      </c>
      <c r="AK4279" s="493">
        <v>0.09</v>
      </c>
      <c r="AL4279" s="173">
        <v>0.09</v>
      </c>
      <c r="AM4279" s="17">
        <f t="shared" si="155"/>
        <v>0.18</v>
      </c>
      <c r="AN4279" s="162" t="s">
        <v>1581</v>
      </c>
      <c r="AO4279" s="162" t="s">
        <v>1583</v>
      </c>
    </row>
    <row r="4280" spans="1:42" s="162" customFormat="1" x14ac:dyDescent="0.3">
      <c r="A4280" s="205" t="s">
        <v>8321</v>
      </c>
      <c r="B4280" s="162" t="s">
        <v>8322</v>
      </c>
      <c r="C4280" s="168" t="s">
        <v>13530</v>
      </c>
      <c r="D4280" s="162" t="s">
        <v>13531</v>
      </c>
      <c r="E4280" s="406" t="s">
        <v>13532</v>
      </c>
      <c r="F4280" s="406" t="s">
        <v>13533</v>
      </c>
      <c r="G4280" s="406">
        <v>166601</v>
      </c>
      <c r="H4280" s="162" t="s">
        <v>13534</v>
      </c>
      <c r="K4280" s="406">
        <v>16660116</v>
      </c>
      <c r="L4280" s="162" t="s">
        <v>15490</v>
      </c>
      <c r="M4280" s="162" t="s">
        <v>15491</v>
      </c>
      <c r="O4280" s="224"/>
      <c r="P4280" s="492">
        <v>0.5</v>
      </c>
      <c r="Q4280" s="492">
        <v>1</v>
      </c>
      <c r="R4280" s="224"/>
      <c r="S4280" s="224"/>
      <c r="T4280" s="223" t="s">
        <v>1581</v>
      </c>
      <c r="U4280" t="str">
        <f>VLOOKUP(T4280,[8]Votes!$A$1:$E$234,3,FALSE)</f>
        <v>119 Uganda Registration Services Bureau</v>
      </c>
      <c r="V4280" s="162" t="s">
        <v>15492</v>
      </c>
      <c r="W4280" s="388">
        <v>1</v>
      </c>
      <c r="X4280" s="388">
        <v>1</v>
      </c>
      <c r="Y4280" s="388">
        <v>1</v>
      </c>
      <c r="Z4280" s="388">
        <v>1</v>
      </c>
      <c r="AA4280" s="388">
        <v>1</v>
      </c>
      <c r="AB4280" s="388">
        <v>1</v>
      </c>
      <c r="AC4280" s="150">
        <v>0</v>
      </c>
      <c r="AD4280" s="150">
        <v>1</v>
      </c>
      <c r="AE4280" s="49">
        <f t="shared" si="154"/>
        <v>0.875</v>
      </c>
      <c r="AF4280" s="23">
        <v>0</v>
      </c>
      <c r="AG4280" s="17">
        <v>0</v>
      </c>
      <c r="AH4280" s="190">
        <v>0</v>
      </c>
      <c r="AI4280" s="485">
        <v>0.8</v>
      </c>
      <c r="AJ4280" s="485">
        <v>0.8</v>
      </c>
      <c r="AK4280" s="191">
        <v>0</v>
      </c>
      <c r="AL4280" s="191">
        <v>0.5</v>
      </c>
      <c r="AM4280" s="17">
        <f t="shared" si="155"/>
        <v>0.5</v>
      </c>
      <c r="AN4280" s="162" t="s">
        <v>1581</v>
      </c>
      <c r="AO4280" s="162" t="s">
        <v>1583</v>
      </c>
    </row>
    <row r="4281" spans="1:42" s="162" customFormat="1" x14ac:dyDescent="0.3">
      <c r="A4281" s="205" t="s">
        <v>8321</v>
      </c>
      <c r="B4281" s="162" t="s">
        <v>8322</v>
      </c>
      <c r="C4281" s="168" t="s">
        <v>13530</v>
      </c>
      <c r="D4281" s="162" t="s">
        <v>13531</v>
      </c>
      <c r="E4281" s="406" t="s">
        <v>13532</v>
      </c>
      <c r="F4281" s="406" t="s">
        <v>13533</v>
      </c>
      <c r="G4281" s="406">
        <v>166601</v>
      </c>
      <c r="H4281" s="162" t="s">
        <v>13534</v>
      </c>
      <c r="K4281" s="406">
        <v>16660117</v>
      </c>
      <c r="L4281" s="162" t="s">
        <v>15493</v>
      </c>
      <c r="M4281" s="162" t="s">
        <v>15494</v>
      </c>
      <c r="O4281" s="224">
        <v>0</v>
      </c>
      <c r="P4281" s="224">
        <v>1</v>
      </c>
      <c r="Q4281" s="224">
        <v>1</v>
      </c>
      <c r="R4281" s="224">
        <v>1</v>
      </c>
      <c r="S4281" s="224">
        <v>1</v>
      </c>
      <c r="T4281" s="223" t="s">
        <v>1536</v>
      </c>
      <c r="U4281" t="e">
        <f>VLOOKUP(T4281,[8]Votes!$A$1:$E$234,3,FALSE)</f>
        <v>#N/A</v>
      </c>
      <c r="V4281" s="162" t="s">
        <v>15495</v>
      </c>
      <c r="W4281" s="388">
        <v>1</v>
      </c>
      <c r="X4281" s="388">
        <v>0</v>
      </c>
      <c r="Y4281" s="388">
        <v>0</v>
      </c>
      <c r="Z4281" s="388">
        <v>0</v>
      </c>
      <c r="AA4281" s="388">
        <v>0</v>
      </c>
      <c r="AB4281" s="388">
        <v>0</v>
      </c>
      <c r="AC4281" s="150">
        <v>0</v>
      </c>
      <c r="AD4281" s="150">
        <v>0</v>
      </c>
      <c r="AE4281" s="49">
        <f t="shared" si="154"/>
        <v>0.125</v>
      </c>
      <c r="AF4281" s="23">
        <v>0</v>
      </c>
      <c r="AG4281" s="17">
        <v>0</v>
      </c>
      <c r="AH4281" s="190">
        <v>0</v>
      </c>
      <c r="AI4281" s="485">
        <v>0.02</v>
      </c>
      <c r="AJ4281" s="485">
        <v>0.02</v>
      </c>
      <c r="AK4281" s="493">
        <v>0.02</v>
      </c>
      <c r="AL4281" s="173">
        <v>0.02</v>
      </c>
      <c r="AM4281" s="17">
        <f t="shared" si="155"/>
        <v>0.04</v>
      </c>
      <c r="AN4281" s="162" t="s">
        <v>771</v>
      </c>
      <c r="AO4281" s="162" t="s">
        <v>773</v>
      </c>
    </row>
    <row r="4282" spans="1:42" s="162" customFormat="1" x14ac:dyDescent="0.3">
      <c r="A4282" s="205" t="s">
        <v>8321</v>
      </c>
      <c r="B4282" s="162" t="s">
        <v>8322</v>
      </c>
      <c r="C4282" s="168" t="s">
        <v>13530</v>
      </c>
      <c r="D4282" s="162" t="s">
        <v>13531</v>
      </c>
      <c r="E4282" s="406" t="s">
        <v>13532</v>
      </c>
      <c r="F4282" s="406" t="s">
        <v>13533</v>
      </c>
      <c r="G4282" s="406">
        <v>166601</v>
      </c>
      <c r="H4282" s="162" t="s">
        <v>13534</v>
      </c>
      <c r="K4282" s="406">
        <v>16660117</v>
      </c>
      <c r="L4282" s="162" t="s">
        <v>15493</v>
      </c>
      <c r="M4282" s="162" t="s">
        <v>15494</v>
      </c>
      <c r="O4282" s="224">
        <v>1</v>
      </c>
      <c r="P4282" s="224">
        <v>1</v>
      </c>
      <c r="Q4282" s="224">
        <v>1</v>
      </c>
      <c r="R4282" s="224">
        <v>1</v>
      </c>
      <c r="S4282" s="224">
        <v>1</v>
      </c>
      <c r="T4282" s="223" t="s">
        <v>1536</v>
      </c>
      <c r="U4282" t="e">
        <f>VLOOKUP(T4282,[8]Votes!$A$1:$E$234,3,FALSE)</f>
        <v>#N/A</v>
      </c>
      <c r="V4282" s="162" t="s">
        <v>15496</v>
      </c>
      <c r="W4282" s="388">
        <v>1</v>
      </c>
      <c r="X4282" s="388">
        <v>0</v>
      </c>
      <c r="Y4282" s="388">
        <v>0</v>
      </c>
      <c r="Z4282" s="388">
        <v>0</v>
      </c>
      <c r="AA4282" s="388">
        <v>0</v>
      </c>
      <c r="AB4282" s="388">
        <v>0</v>
      </c>
      <c r="AC4282" s="150">
        <v>0</v>
      </c>
      <c r="AD4282" s="150">
        <v>0</v>
      </c>
      <c r="AE4282" s="49">
        <f t="shared" ref="AE4282:AE4345" si="156">SUM(W4282:AD4282)/8</f>
        <v>0.125</v>
      </c>
      <c r="AF4282" s="23">
        <v>0</v>
      </c>
      <c r="AG4282" s="17">
        <v>0</v>
      </c>
      <c r="AH4282" s="485">
        <v>0.04</v>
      </c>
      <c r="AI4282" s="485">
        <v>0.04</v>
      </c>
      <c r="AJ4282" s="485">
        <v>0.04</v>
      </c>
      <c r="AK4282" s="493">
        <v>0.4</v>
      </c>
      <c r="AL4282" s="173">
        <v>0.4</v>
      </c>
      <c r="AM4282" s="17">
        <f t="shared" ref="AM4282:AM4345" si="157">SUM(AK4282:AL4282)</f>
        <v>0.8</v>
      </c>
      <c r="AN4282" s="162" t="s">
        <v>771</v>
      </c>
      <c r="AO4282" s="162" t="s">
        <v>773</v>
      </c>
    </row>
    <row r="4283" spans="1:42" s="162" customFormat="1" x14ac:dyDescent="0.3">
      <c r="A4283" s="205" t="s">
        <v>8321</v>
      </c>
      <c r="B4283" s="162" t="s">
        <v>8322</v>
      </c>
      <c r="C4283" s="168" t="s">
        <v>13530</v>
      </c>
      <c r="D4283" s="162" t="s">
        <v>13531</v>
      </c>
      <c r="E4283" s="406" t="s">
        <v>13532</v>
      </c>
      <c r="F4283" s="406" t="s">
        <v>13533</v>
      </c>
      <c r="G4283" s="406">
        <v>166601</v>
      </c>
      <c r="H4283" s="162" t="s">
        <v>13534</v>
      </c>
      <c r="K4283" s="406">
        <v>16660117</v>
      </c>
      <c r="L4283" s="162" t="s">
        <v>15493</v>
      </c>
      <c r="M4283" s="162" t="s">
        <v>15494</v>
      </c>
      <c r="O4283" s="224">
        <v>1</v>
      </c>
      <c r="P4283" s="224">
        <v>1</v>
      </c>
      <c r="Q4283" s="224">
        <v>1</v>
      </c>
      <c r="R4283" s="224">
        <v>0</v>
      </c>
      <c r="S4283" s="224">
        <v>0</v>
      </c>
      <c r="T4283" s="223" t="s">
        <v>1536</v>
      </c>
      <c r="U4283" t="e">
        <f>VLOOKUP(T4283,[8]Votes!$A$1:$E$234,3,FALSE)</f>
        <v>#N/A</v>
      </c>
      <c r="V4283" s="162" t="s">
        <v>15497</v>
      </c>
      <c r="W4283" s="388">
        <v>1</v>
      </c>
      <c r="X4283" s="388">
        <v>0</v>
      </c>
      <c r="Y4283" s="388">
        <v>0</v>
      </c>
      <c r="Z4283" s="388">
        <v>0</v>
      </c>
      <c r="AA4283" s="388">
        <v>0</v>
      </c>
      <c r="AB4283" s="388">
        <v>0</v>
      </c>
      <c r="AC4283" s="150">
        <v>0</v>
      </c>
      <c r="AD4283" s="150">
        <v>0</v>
      </c>
      <c r="AE4283" s="49">
        <f t="shared" si="156"/>
        <v>0.125</v>
      </c>
      <c r="AF4283" s="23">
        <v>0</v>
      </c>
      <c r="AG4283" s="17">
        <v>0</v>
      </c>
      <c r="AH4283" s="485">
        <v>0.4</v>
      </c>
      <c r="AI4283" s="485">
        <v>0.4</v>
      </c>
      <c r="AJ4283" s="485">
        <v>0.4</v>
      </c>
      <c r="AK4283" s="191">
        <v>0</v>
      </c>
      <c r="AL4283" s="191">
        <v>0</v>
      </c>
      <c r="AM4283" s="17">
        <f t="shared" si="157"/>
        <v>0</v>
      </c>
      <c r="AN4283" s="162" t="s">
        <v>771</v>
      </c>
      <c r="AO4283" s="162" t="s">
        <v>773</v>
      </c>
    </row>
    <row r="4284" spans="1:42" s="162" customFormat="1" x14ac:dyDescent="0.3">
      <c r="A4284" s="205" t="s">
        <v>8321</v>
      </c>
      <c r="B4284" s="162" t="s">
        <v>8322</v>
      </c>
      <c r="C4284" s="168" t="s">
        <v>13530</v>
      </c>
      <c r="D4284" s="162" t="s">
        <v>13531</v>
      </c>
      <c r="E4284" s="406" t="s">
        <v>13532</v>
      </c>
      <c r="F4284" s="406" t="s">
        <v>13533</v>
      </c>
      <c r="G4284" s="406">
        <v>166601</v>
      </c>
      <c r="H4284" s="162" t="s">
        <v>13534</v>
      </c>
      <c r="K4284" s="406">
        <v>16660118</v>
      </c>
      <c r="L4284" s="162" t="s">
        <v>15498</v>
      </c>
      <c r="M4284" s="162" t="s">
        <v>15499</v>
      </c>
      <c r="O4284" s="224"/>
      <c r="P4284" s="224">
        <v>1</v>
      </c>
      <c r="Q4284" s="224">
        <v>1</v>
      </c>
      <c r="R4284" s="224">
        <v>1</v>
      </c>
      <c r="S4284" s="224">
        <v>1</v>
      </c>
      <c r="T4284" s="223" t="s">
        <v>3875</v>
      </c>
      <c r="U4284" t="str">
        <f>VLOOKUP(T4284,[8]Votes!$A$1:$E$234,3,FALSE)</f>
        <v>007 Ministry of Justice and Constitutional Affairs</v>
      </c>
      <c r="V4284" s="162" t="s">
        <v>15500</v>
      </c>
      <c r="W4284" s="388">
        <v>1</v>
      </c>
      <c r="X4284" s="388">
        <v>0</v>
      </c>
      <c r="Y4284" s="388">
        <v>0</v>
      </c>
      <c r="Z4284" s="388">
        <v>1</v>
      </c>
      <c r="AA4284" s="388">
        <v>0</v>
      </c>
      <c r="AB4284" s="388">
        <v>1</v>
      </c>
      <c r="AC4284" s="150">
        <v>1</v>
      </c>
      <c r="AD4284" s="150">
        <v>1</v>
      </c>
      <c r="AE4284" s="49">
        <f t="shared" si="156"/>
        <v>0.625</v>
      </c>
      <c r="AF4284" s="23">
        <v>0</v>
      </c>
      <c r="AG4284" s="17">
        <v>0</v>
      </c>
      <c r="AH4284" s="190">
        <v>0</v>
      </c>
      <c r="AI4284" s="485">
        <v>2</v>
      </c>
      <c r="AJ4284" s="485">
        <v>25</v>
      </c>
      <c r="AK4284" s="493">
        <v>1.68</v>
      </c>
      <c r="AL4284" s="173">
        <v>2</v>
      </c>
      <c r="AM4284" s="17">
        <f t="shared" si="157"/>
        <v>3.6799999999999997</v>
      </c>
      <c r="AN4284" s="223" t="s">
        <v>3875</v>
      </c>
      <c r="AO4284" s="162" t="s">
        <v>3877</v>
      </c>
    </row>
    <row r="4285" spans="1:42" s="162" customFormat="1" x14ac:dyDescent="0.3">
      <c r="A4285" s="205" t="s">
        <v>8321</v>
      </c>
      <c r="B4285" s="162" t="s">
        <v>8322</v>
      </c>
      <c r="C4285" s="168" t="s">
        <v>13530</v>
      </c>
      <c r="D4285" s="162" t="s">
        <v>13531</v>
      </c>
      <c r="E4285" s="406" t="s">
        <v>13532</v>
      </c>
      <c r="F4285" s="406" t="s">
        <v>13533</v>
      </c>
      <c r="G4285" s="406">
        <v>166601</v>
      </c>
      <c r="H4285" s="162" t="s">
        <v>13534</v>
      </c>
      <c r="K4285" s="406">
        <v>16660119</v>
      </c>
      <c r="L4285" s="162" t="s">
        <v>15501</v>
      </c>
      <c r="M4285" s="162" t="s">
        <v>15502</v>
      </c>
      <c r="N4285">
        <v>0</v>
      </c>
      <c r="O4285" s="3">
        <v>0</v>
      </c>
      <c r="P4285" s="3">
        <v>0</v>
      </c>
      <c r="Q4285" s="3">
        <v>2</v>
      </c>
      <c r="R4285" s="3">
        <v>1</v>
      </c>
      <c r="S4285" s="3">
        <v>1</v>
      </c>
      <c r="T4285" s="223" t="s">
        <v>3875</v>
      </c>
      <c r="U4285" t="str">
        <f>VLOOKUP(T4285,[8]Votes!$A$1:$E$234,3,FALSE)</f>
        <v>007 Ministry of Justice and Constitutional Affairs</v>
      </c>
      <c r="V4285" s="223" t="s">
        <v>15503</v>
      </c>
      <c r="W4285" s="388">
        <v>1</v>
      </c>
      <c r="X4285" s="388">
        <v>0</v>
      </c>
      <c r="Y4285" s="388">
        <v>0</v>
      </c>
      <c r="Z4285" s="388">
        <v>0</v>
      </c>
      <c r="AA4285" s="388">
        <v>0</v>
      </c>
      <c r="AB4285" s="388">
        <v>0</v>
      </c>
      <c r="AC4285" s="150">
        <v>0</v>
      </c>
      <c r="AD4285" s="150">
        <v>0</v>
      </c>
      <c r="AE4285" s="49">
        <f t="shared" si="156"/>
        <v>0.125</v>
      </c>
      <c r="AF4285" s="23">
        <v>0</v>
      </c>
      <c r="AG4285" s="17">
        <v>0</v>
      </c>
      <c r="AH4285" s="190">
        <v>0</v>
      </c>
      <c r="AI4285" s="190">
        <v>0</v>
      </c>
      <c r="AJ4285" s="44">
        <v>0.21</v>
      </c>
      <c r="AK4285" s="151">
        <v>0.42499999999999999</v>
      </c>
      <c r="AL4285" s="151">
        <v>0.43</v>
      </c>
      <c r="AM4285" s="17">
        <f t="shared" si="157"/>
        <v>0.85499999999999998</v>
      </c>
      <c r="AN4285" s="223" t="s">
        <v>3875</v>
      </c>
      <c r="AO4285" s="162" t="s">
        <v>3877</v>
      </c>
    </row>
    <row r="4286" spans="1:42" s="162" customFormat="1" x14ac:dyDescent="0.3">
      <c r="A4286" s="205" t="s">
        <v>8321</v>
      </c>
      <c r="B4286" s="162" t="s">
        <v>8322</v>
      </c>
      <c r="C4286" s="168" t="s">
        <v>13530</v>
      </c>
      <c r="D4286" s="162" t="s">
        <v>13531</v>
      </c>
      <c r="E4286" s="406" t="s">
        <v>13532</v>
      </c>
      <c r="F4286" s="406" t="s">
        <v>13533</v>
      </c>
      <c r="G4286" s="406">
        <v>166602</v>
      </c>
      <c r="H4286" s="162" t="s">
        <v>13538</v>
      </c>
      <c r="K4286" s="406">
        <v>16660202</v>
      </c>
      <c r="L4286" s="162" t="s">
        <v>15504</v>
      </c>
      <c r="M4286" s="162" t="s">
        <v>15494</v>
      </c>
      <c r="O4286" s="224">
        <v>1</v>
      </c>
      <c r="P4286" s="224">
        <v>1</v>
      </c>
      <c r="Q4286" s="224">
        <v>1</v>
      </c>
      <c r="R4286" s="224">
        <v>1</v>
      </c>
      <c r="S4286" s="224">
        <v>1</v>
      </c>
      <c r="T4286" s="223" t="s">
        <v>3875</v>
      </c>
      <c r="U4286" t="str">
        <f>VLOOKUP(T4286,[8]Votes!$A$1:$E$234,3,FALSE)</f>
        <v>007 Ministry of Justice and Constitutional Affairs</v>
      </c>
      <c r="V4286" s="162" t="s">
        <v>15505</v>
      </c>
      <c r="W4286" s="388">
        <v>1</v>
      </c>
      <c r="X4286" s="388">
        <v>0</v>
      </c>
      <c r="Y4286" s="388">
        <v>0</v>
      </c>
      <c r="Z4286" s="388">
        <v>0</v>
      </c>
      <c r="AA4286" s="388">
        <v>0</v>
      </c>
      <c r="AB4286" s="388">
        <v>0</v>
      </c>
      <c r="AC4286" s="150">
        <v>0</v>
      </c>
      <c r="AD4286" s="150">
        <v>0</v>
      </c>
      <c r="AE4286" s="49">
        <f t="shared" si="156"/>
        <v>0.125</v>
      </c>
      <c r="AF4286" s="23">
        <v>0</v>
      </c>
      <c r="AG4286" s="17">
        <v>0</v>
      </c>
      <c r="AH4286" s="485">
        <v>0.46</v>
      </c>
      <c r="AI4286" s="485">
        <v>1.01</v>
      </c>
      <c r="AJ4286" s="485">
        <v>1.87</v>
      </c>
      <c r="AK4286" s="493">
        <v>0</v>
      </c>
      <c r="AL4286" s="173">
        <v>0</v>
      </c>
      <c r="AM4286" s="17">
        <f t="shared" si="157"/>
        <v>0</v>
      </c>
      <c r="AN4286" s="223" t="s">
        <v>3875</v>
      </c>
      <c r="AO4286" s="162" t="s">
        <v>3877</v>
      </c>
    </row>
    <row r="4287" spans="1:42" s="162" customFormat="1" x14ac:dyDescent="0.3">
      <c r="A4287" s="205" t="s">
        <v>8321</v>
      </c>
      <c r="B4287" s="162" t="s">
        <v>8322</v>
      </c>
      <c r="C4287" s="168" t="s">
        <v>13530</v>
      </c>
      <c r="D4287" s="162" t="s">
        <v>13531</v>
      </c>
      <c r="E4287" s="406" t="s">
        <v>13532</v>
      </c>
      <c r="F4287" s="406" t="s">
        <v>13533</v>
      </c>
      <c r="G4287" s="406">
        <v>166602</v>
      </c>
      <c r="H4287" s="162" t="s">
        <v>13538</v>
      </c>
      <c r="K4287" s="406">
        <v>16660203</v>
      </c>
      <c r="L4287" s="162" t="s">
        <v>15506</v>
      </c>
      <c r="M4287" s="162" t="s">
        <v>15507</v>
      </c>
      <c r="N4287" s="162">
        <v>0</v>
      </c>
      <c r="O4287" s="224">
        <v>0</v>
      </c>
      <c r="P4287" s="224">
        <v>1</v>
      </c>
      <c r="Q4287" s="224">
        <v>0</v>
      </c>
      <c r="R4287" s="224">
        <v>1</v>
      </c>
      <c r="S4287" s="224">
        <v>1</v>
      </c>
      <c r="T4287" s="223" t="s">
        <v>13741</v>
      </c>
      <c r="U4287" t="str">
        <f>VLOOKUP(T4287,[8]Votes!$A$1:$E$234,3,FALSE)</f>
        <v>158 Internal Security Organisation</v>
      </c>
      <c r="V4287" s="162" t="s">
        <v>15508</v>
      </c>
      <c r="W4287" s="388">
        <v>1</v>
      </c>
      <c r="X4287" s="388">
        <v>1</v>
      </c>
      <c r="Y4287" s="388">
        <v>1</v>
      </c>
      <c r="Z4287" s="388">
        <v>1</v>
      </c>
      <c r="AA4287" s="388">
        <v>0</v>
      </c>
      <c r="AB4287" s="388">
        <v>1</v>
      </c>
      <c r="AC4287" s="150">
        <v>0</v>
      </c>
      <c r="AD4287" s="150">
        <v>1</v>
      </c>
      <c r="AE4287" s="49">
        <f t="shared" si="156"/>
        <v>0.75</v>
      </c>
      <c r="AF4287" s="23">
        <v>0</v>
      </c>
      <c r="AG4287" s="17">
        <v>0</v>
      </c>
      <c r="AH4287" s="190">
        <v>0</v>
      </c>
      <c r="AI4287" s="485">
        <v>1.2</v>
      </c>
      <c r="AJ4287" s="485">
        <v>1.9</v>
      </c>
      <c r="AK4287" s="493">
        <v>0.3</v>
      </c>
      <c r="AL4287" s="202">
        <v>0.3</v>
      </c>
      <c r="AM4287" s="17">
        <f t="shared" si="157"/>
        <v>0.6</v>
      </c>
      <c r="AN4287" s="162" t="s">
        <v>13741</v>
      </c>
      <c r="AO4287" s="162" t="s">
        <v>13742</v>
      </c>
    </row>
    <row r="4288" spans="1:42" s="162" customFormat="1" x14ac:dyDescent="0.3">
      <c r="A4288" s="205" t="s">
        <v>8321</v>
      </c>
      <c r="B4288" s="162" t="s">
        <v>8322</v>
      </c>
      <c r="C4288" s="168" t="s">
        <v>13530</v>
      </c>
      <c r="D4288" s="162" t="s">
        <v>13531</v>
      </c>
      <c r="E4288" s="406" t="s">
        <v>13532</v>
      </c>
      <c r="F4288" s="406" t="s">
        <v>13533</v>
      </c>
      <c r="G4288" s="406">
        <v>166602</v>
      </c>
      <c r="H4288" s="162" t="s">
        <v>13538</v>
      </c>
      <c r="K4288" s="406">
        <v>16660203</v>
      </c>
      <c r="L4288" s="162" t="s">
        <v>15506</v>
      </c>
      <c r="M4288" s="162" t="s">
        <v>15507</v>
      </c>
      <c r="O4288" s="224">
        <v>1</v>
      </c>
      <c r="P4288" s="224">
        <v>1</v>
      </c>
      <c r="Q4288" s="224">
        <v>2</v>
      </c>
      <c r="R4288" s="224">
        <v>0</v>
      </c>
      <c r="S4288" s="224">
        <v>1</v>
      </c>
      <c r="T4288" s="223" t="s">
        <v>180</v>
      </c>
      <c r="U4288" t="str">
        <f>VLOOKUP(T4288,[8]Votes!$A$1:$E$234,3,FALSE)</f>
        <v>145 Uganda Prisons</v>
      </c>
      <c r="V4288" s="162" t="s">
        <v>15509</v>
      </c>
      <c r="W4288" s="388">
        <v>1</v>
      </c>
      <c r="X4288" s="388">
        <v>0</v>
      </c>
      <c r="Y4288" s="388">
        <v>0</v>
      </c>
      <c r="Z4288" s="388">
        <v>0</v>
      </c>
      <c r="AA4288" s="388">
        <v>0</v>
      </c>
      <c r="AB4288" s="388">
        <v>0</v>
      </c>
      <c r="AC4288" s="150">
        <v>0</v>
      </c>
      <c r="AD4288" s="150">
        <v>0</v>
      </c>
      <c r="AE4288" s="49">
        <f t="shared" si="156"/>
        <v>0.125</v>
      </c>
      <c r="AF4288" s="23">
        <v>0</v>
      </c>
      <c r="AG4288" s="17">
        <v>0</v>
      </c>
      <c r="AH4288" s="485">
        <v>0.08</v>
      </c>
      <c r="AI4288" s="485">
        <v>0.08</v>
      </c>
      <c r="AJ4288" s="485">
        <v>0.12</v>
      </c>
      <c r="AK4288" s="493">
        <v>0.13</v>
      </c>
      <c r="AL4288" s="173">
        <v>0.15</v>
      </c>
      <c r="AM4288" s="17">
        <f t="shared" si="157"/>
        <v>0.28000000000000003</v>
      </c>
      <c r="AN4288" s="162" t="s">
        <v>180</v>
      </c>
      <c r="AO4288" s="162" t="s">
        <v>182</v>
      </c>
      <c r="AP4288" s="162" t="s">
        <v>3875</v>
      </c>
    </row>
    <row r="4289" spans="1:41" s="162" customFormat="1" x14ac:dyDescent="0.3">
      <c r="A4289" s="205" t="s">
        <v>8321</v>
      </c>
      <c r="B4289" s="162" t="s">
        <v>8322</v>
      </c>
      <c r="C4289" s="168" t="s">
        <v>13530</v>
      </c>
      <c r="D4289" s="162" t="s">
        <v>13531</v>
      </c>
      <c r="E4289" s="406" t="s">
        <v>13532</v>
      </c>
      <c r="F4289" s="406" t="s">
        <v>13533</v>
      </c>
      <c r="G4289" s="406">
        <v>166602</v>
      </c>
      <c r="H4289" s="162" t="s">
        <v>13538</v>
      </c>
      <c r="K4289" s="406">
        <v>16660203</v>
      </c>
      <c r="L4289" s="162" t="s">
        <v>15506</v>
      </c>
      <c r="M4289" s="162" t="s">
        <v>15507</v>
      </c>
      <c r="O4289" s="224">
        <v>3</v>
      </c>
      <c r="P4289" s="224">
        <v>4</v>
      </c>
      <c r="Q4289" s="224">
        <v>4</v>
      </c>
      <c r="R4289" s="224">
        <v>4</v>
      </c>
      <c r="S4289" s="224">
        <v>3</v>
      </c>
      <c r="T4289" s="223" t="s">
        <v>3875</v>
      </c>
      <c r="U4289" t="str">
        <f>VLOOKUP(T4289,[8]Votes!$A$1:$E$234,3,FALSE)</f>
        <v>007 Ministry of Justice and Constitutional Affairs</v>
      </c>
      <c r="V4289" s="162" t="s">
        <v>15510</v>
      </c>
      <c r="W4289" s="388">
        <v>1</v>
      </c>
      <c r="X4289" s="388">
        <v>1</v>
      </c>
      <c r="Y4289" s="388">
        <v>1</v>
      </c>
      <c r="Z4289" s="388">
        <v>1</v>
      </c>
      <c r="AA4289" s="388">
        <v>0</v>
      </c>
      <c r="AB4289" s="388">
        <v>0</v>
      </c>
      <c r="AC4289" s="150">
        <v>0</v>
      </c>
      <c r="AD4289" s="150">
        <v>0</v>
      </c>
      <c r="AE4289" s="49">
        <f t="shared" si="156"/>
        <v>0.5</v>
      </c>
      <c r="AF4289" s="23">
        <v>0</v>
      </c>
      <c r="AG4289" s="17">
        <v>0</v>
      </c>
      <c r="AH4289" s="485">
        <v>1.2</v>
      </c>
      <c r="AI4289" s="485">
        <v>1.2</v>
      </c>
      <c r="AJ4289" s="485">
        <v>1.2</v>
      </c>
      <c r="AK4289" s="493">
        <v>0</v>
      </c>
      <c r="AL4289" s="361">
        <v>0</v>
      </c>
      <c r="AM4289" s="17">
        <f t="shared" si="157"/>
        <v>0</v>
      </c>
      <c r="AN4289" s="223" t="s">
        <v>3875</v>
      </c>
      <c r="AO4289" s="162" t="s">
        <v>3877</v>
      </c>
    </row>
    <row r="4290" spans="1:41" s="162" customFormat="1" x14ac:dyDescent="0.3">
      <c r="A4290" s="205" t="s">
        <v>8321</v>
      </c>
      <c r="B4290" s="162" t="s">
        <v>8322</v>
      </c>
      <c r="C4290" s="168" t="s">
        <v>13530</v>
      </c>
      <c r="D4290" s="162" t="s">
        <v>13531</v>
      </c>
      <c r="E4290" s="406" t="s">
        <v>13532</v>
      </c>
      <c r="F4290" s="406" t="s">
        <v>13533</v>
      </c>
      <c r="G4290" s="406">
        <v>166602</v>
      </c>
      <c r="H4290" s="162" t="s">
        <v>13538</v>
      </c>
      <c r="K4290" s="406">
        <v>16660203</v>
      </c>
      <c r="L4290" s="162" t="s">
        <v>15506</v>
      </c>
      <c r="M4290" s="162" t="s">
        <v>15507</v>
      </c>
      <c r="O4290" s="224">
        <v>1</v>
      </c>
      <c r="P4290" s="224">
        <v>1</v>
      </c>
      <c r="Q4290" s="224"/>
      <c r="R4290" s="224"/>
      <c r="S4290" s="224"/>
      <c r="T4290" s="223" t="s">
        <v>3875</v>
      </c>
      <c r="U4290" t="str">
        <f>VLOOKUP(T4290,[8]Votes!$A$1:$E$234,3,FALSE)</f>
        <v>007 Ministry of Justice and Constitutional Affairs</v>
      </c>
      <c r="V4290" s="162" t="s">
        <v>15511</v>
      </c>
      <c r="W4290" s="388">
        <v>1</v>
      </c>
      <c r="X4290" s="388">
        <v>0</v>
      </c>
      <c r="Y4290" s="388">
        <v>0</v>
      </c>
      <c r="Z4290" s="388">
        <v>0</v>
      </c>
      <c r="AA4290" s="388">
        <v>0</v>
      </c>
      <c r="AB4290" s="388">
        <v>0</v>
      </c>
      <c r="AC4290" s="150">
        <v>0</v>
      </c>
      <c r="AD4290" s="150">
        <v>0</v>
      </c>
      <c r="AE4290" s="49">
        <f t="shared" si="156"/>
        <v>0.125</v>
      </c>
      <c r="AF4290" s="23">
        <v>0</v>
      </c>
      <c r="AG4290" s="17">
        <v>0</v>
      </c>
      <c r="AH4290" s="485">
        <v>0.14299999999999999</v>
      </c>
      <c r="AI4290" s="485">
        <v>0.3</v>
      </c>
      <c r="AJ4290" s="190">
        <v>0</v>
      </c>
      <c r="AK4290" s="191">
        <v>0</v>
      </c>
      <c r="AL4290" s="191">
        <v>0</v>
      </c>
      <c r="AM4290" s="17">
        <f t="shared" si="157"/>
        <v>0</v>
      </c>
      <c r="AN4290" s="223" t="s">
        <v>3875</v>
      </c>
      <c r="AO4290" s="162" t="s">
        <v>3877</v>
      </c>
    </row>
    <row r="4291" spans="1:41" s="162" customFormat="1" x14ac:dyDescent="0.3">
      <c r="A4291" s="205" t="s">
        <v>8321</v>
      </c>
      <c r="B4291" s="162" t="s">
        <v>8322</v>
      </c>
      <c r="C4291" s="168" t="s">
        <v>13530</v>
      </c>
      <c r="D4291" s="162" t="s">
        <v>13531</v>
      </c>
      <c r="E4291" s="406" t="s">
        <v>13532</v>
      </c>
      <c r="F4291" s="406" t="s">
        <v>13533</v>
      </c>
      <c r="G4291" s="406">
        <v>166602</v>
      </c>
      <c r="H4291" s="162" t="s">
        <v>13538</v>
      </c>
      <c r="K4291" s="406">
        <v>16660203</v>
      </c>
      <c r="L4291" s="162" t="s">
        <v>15506</v>
      </c>
      <c r="M4291" s="162" t="s">
        <v>15507</v>
      </c>
      <c r="O4291" s="224">
        <v>1</v>
      </c>
      <c r="P4291" s="224">
        <v>1</v>
      </c>
      <c r="Q4291" s="224">
        <v>1</v>
      </c>
      <c r="R4291" s="224" t="s">
        <v>271</v>
      </c>
      <c r="S4291" s="224" t="s">
        <v>271</v>
      </c>
      <c r="T4291" s="223" t="s">
        <v>3875</v>
      </c>
      <c r="U4291" t="str">
        <f>VLOOKUP(T4291,[8]Votes!$A$1:$E$234,3,FALSE)</f>
        <v>007 Ministry of Justice and Constitutional Affairs</v>
      </c>
      <c r="V4291" s="162" t="s">
        <v>15512</v>
      </c>
      <c r="W4291" s="388">
        <v>1</v>
      </c>
      <c r="X4291" s="388">
        <v>1</v>
      </c>
      <c r="Y4291" s="388">
        <v>0</v>
      </c>
      <c r="Z4291" s="388">
        <v>0</v>
      </c>
      <c r="AA4291" s="388">
        <v>0</v>
      </c>
      <c r="AB4291" s="388">
        <v>0</v>
      </c>
      <c r="AC4291" s="150">
        <v>0</v>
      </c>
      <c r="AD4291" s="150">
        <v>0</v>
      </c>
      <c r="AE4291" s="49">
        <f t="shared" si="156"/>
        <v>0.25</v>
      </c>
      <c r="AF4291" s="23">
        <v>0</v>
      </c>
      <c r="AG4291" s="17">
        <v>0</v>
      </c>
      <c r="AH4291" s="190">
        <v>0</v>
      </c>
      <c r="AI4291" s="485">
        <v>0.37</v>
      </c>
      <c r="AJ4291" s="485">
        <v>0.35</v>
      </c>
      <c r="AK4291" s="191">
        <v>0</v>
      </c>
      <c r="AL4291" s="191">
        <v>0</v>
      </c>
      <c r="AM4291" s="17">
        <f t="shared" si="157"/>
        <v>0</v>
      </c>
      <c r="AN4291" s="223" t="s">
        <v>3875</v>
      </c>
      <c r="AO4291" s="162" t="s">
        <v>3877</v>
      </c>
    </row>
    <row r="4292" spans="1:41" s="162" customFormat="1" x14ac:dyDescent="0.3">
      <c r="A4292" s="205" t="s">
        <v>8321</v>
      </c>
      <c r="B4292" s="162" t="s">
        <v>8322</v>
      </c>
      <c r="C4292" s="168" t="s">
        <v>13530</v>
      </c>
      <c r="D4292" s="162" t="s">
        <v>13531</v>
      </c>
      <c r="E4292" s="406" t="s">
        <v>13532</v>
      </c>
      <c r="F4292" s="406" t="s">
        <v>13533</v>
      </c>
      <c r="G4292" s="406">
        <v>166602</v>
      </c>
      <c r="H4292" s="162" t="s">
        <v>13538</v>
      </c>
      <c r="K4292" s="406">
        <v>16660203</v>
      </c>
      <c r="L4292" s="162" t="s">
        <v>15506</v>
      </c>
      <c r="M4292" s="162" t="s">
        <v>15507</v>
      </c>
      <c r="O4292" s="224"/>
      <c r="P4292" s="224"/>
      <c r="Q4292" s="224"/>
      <c r="R4292" s="224"/>
      <c r="S4292" s="224"/>
      <c r="T4292" s="223" t="s">
        <v>771</v>
      </c>
      <c r="U4292" t="str">
        <f>VLOOKUP(T4292,[8]Votes!$A$1:$E$234,3,FALSE)</f>
        <v>018 Ministry of Gender, Labour and Social Development</v>
      </c>
      <c r="V4292" s="162" t="s">
        <v>15513</v>
      </c>
      <c r="W4292" s="388">
        <v>1</v>
      </c>
      <c r="X4292" s="388">
        <v>0</v>
      </c>
      <c r="Y4292" s="388">
        <v>0</v>
      </c>
      <c r="Z4292" s="388">
        <v>0</v>
      </c>
      <c r="AA4292" s="388">
        <v>0</v>
      </c>
      <c r="AB4292" s="388">
        <v>0</v>
      </c>
      <c r="AC4292" s="150">
        <v>0</v>
      </c>
      <c r="AD4292" s="150">
        <v>0</v>
      </c>
      <c r="AE4292" s="49">
        <f t="shared" si="156"/>
        <v>0.125</v>
      </c>
      <c r="AF4292" s="23">
        <v>0</v>
      </c>
      <c r="AG4292" s="17">
        <v>0</v>
      </c>
      <c r="AH4292" s="190">
        <v>0</v>
      </c>
      <c r="AI4292" s="190">
        <v>0</v>
      </c>
      <c r="AJ4292" s="190">
        <v>0</v>
      </c>
      <c r="AK4292" s="191">
        <v>0</v>
      </c>
      <c r="AL4292" s="191">
        <v>0</v>
      </c>
      <c r="AM4292" s="17">
        <f t="shared" si="157"/>
        <v>0</v>
      </c>
      <c r="AN4292" s="162" t="s">
        <v>771</v>
      </c>
      <c r="AO4292" s="162" t="s">
        <v>773</v>
      </c>
    </row>
    <row r="4293" spans="1:41" s="162" customFormat="1" x14ac:dyDescent="0.3">
      <c r="A4293" s="205" t="s">
        <v>8321</v>
      </c>
      <c r="B4293" s="162" t="s">
        <v>8322</v>
      </c>
      <c r="C4293" s="168" t="s">
        <v>13530</v>
      </c>
      <c r="D4293" s="162" t="s">
        <v>13531</v>
      </c>
      <c r="E4293" s="406" t="s">
        <v>13532</v>
      </c>
      <c r="F4293" s="406" t="s">
        <v>13533</v>
      </c>
      <c r="G4293" s="406">
        <v>166602</v>
      </c>
      <c r="H4293" s="162" t="s">
        <v>13538</v>
      </c>
      <c r="K4293" s="406">
        <v>16660203</v>
      </c>
      <c r="L4293" s="162" t="s">
        <v>15506</v>
      </c>
      <c r="M4293" s="162" t="s">
        <v>15514</v>
      </c>
      <c r="O4293" s="224">
        <v>3</v>
      </c>
      <c r="P4293" s="224">
        <v>2</v>
      </c>
      <c r="Q4293" s="224">
        <v>2</v>
      </c>
      <c r="R4293" s="224">
        <v>2</v>
      </c>
      <c r="S4293" s="224">
        <v>2</v>
      </c>
      <c r="T4293" s="223" t="s">
        <v>3875</v>
      </c>
      <c r="U4293" t="str">
        <f>VLOOKUP(T4293,[8]Votes!$A$1:$E$234,3,FALSE)</f>
        <v>007 Ministry of Justice and Constitutional Affairs</v>
      </c>
      <c r="V4293" s="162" t="s">
        <v>15515</v>
      </c>
      <c r="W4293" s="388">
        <v>1</v>
      </c>
      <c r="X4293" s="388">
        <v>0</v>
      </c>
      <c r="Y4293" s="388">
        <v>0</v>
      </c>
      <c r="Z4293" s="388">
        <v>0</v>
      </c>
      <c r="AA4293" s="388">
        <v>0</v>
      </c>
      <c r="AB4293" s="388">
        <v>0</v>
      </c>
      <c r="AC4293" s="150">
        <v>0</v>
      </c>
      <c r="AD4293" s="150">
        <v>0</v>
      </c>
      <c r="AE4293" s="49">
        <f t="shared" si="156"/>
        <v>0.125</v>
      </c>
      <c r="AF4293" s="23">
        <v>0</v>
      </c>
      <c r="AG4293" s="17">
        <v>0</v>
      </c>
      <c r="AH4293" s="485">
        <v>0.45</v>
      </c>
      <c r="AI4293" s="485">
        <v>0.6</v>
      </c>
      <c r="AJ4293" s="485">
        <v>0.65</v>
      </c>
      <c r="AK4293" s="493">
        <v>0</v>
      </c>
      <c r="AL4293" s="173">
        <v>0</v>
      </c>
      <c r="AM4293" s="17">
        <f t="shared" si="157"/>
        <v>0</v>
      </c>
      <c r="AN4293" s="223" t="s">
        <v>3875</v>
      </c>
      <c r="AO4293" s="162" t="s">
        <v>3877</v>
      </c>
    </row>
    <row r="4294" spans="1:41" s="162" customFormat="1" x14ac:dyDescent="0.3">
      <c r="A4294" s="205" t="s">
        <v>8321</v>
      </c>
      <c r="B4294" s="162" t="s">
        <v>8322</v>
      </c>
      <c r="C4294" s="168" t="s">
        <v>13530</v>
      </c>
      <c r="D4294" s="162" t="s">
        <v>13531</v>
      </c>
      <c r="E4294" s="406" t="s">
        <v>13532</v>
      </c>
      <c r="F4294" s="406" t="s">
        <v>13533</v>
      </c>
      <c r="G4294" s="406">
        <v>166602</v>
      </c>
      <c r="H4294" s="162" t="s">
        <v>13538</v>
      </c>
      <c r="K4294" s="406">
        <v>16660203</v>
      </c>
      <c r="L4294" s="162" t="s">
        <v>15506</v>
      </c>
      <c r="M4294" s="162" t="s">
        <v>15516</v>
      </c>
      <c r="O4294" s="224">
        <v>0</v>
      </c>
      <c r="P4294" s="224">
        <v>0</v>
      </c>
      <c r="Q4294" s="224">
        <v>1</v>
      </c>
      <c r="R4294" s="224">
        <v>1</v>
      </c>
      <c r="S4294" s="224">
        <v>0</v>
      </c>
      <c r="T4294" s="223" t="s">
        <v>3875</v>
      </c>
      <c r="U4294" t="str">
        <f>VLOOKUP(T4294,[8]Votes!$A$1:$E$234,3,FALSE)</f>
        <v>007 Ministry of Justice and Constitutional Affairs</v>
      </c>
      <c r="V4294" s="162" t="s">
        <v>15517</v>
      </c>
      <c r="W4294" s="388">
        <v>1</v>
      </c>
      <c r="X4294" s="388">
        <v>0</v>
      </c>
      <c r="Y4294" s="388">
        <v>0</v>
      </c>
      <c r="Z4294" s="388">
        <v>0</v>
      </c>
      <c r="AA4294" s="388">
        <v>0</v>
      </c>
      <c r="AB4294" s="388">
        <v>0</v>
      </c>
      <c r="AC4294" s="150">
        <v>0</v>
      </c>
      <c r="AD4294" s="150">
        <v>0</v>
      </c>
      <c r="AE4294" s="49">
        <f t="shared" si="156"/>
        <v>0.125</v>
      </c>
      <c r="AF4294" s="23">
        <v>0</v>
      </c>
      <c r="AG4294" s="17">
        <v>0</v>
      </c>
      <c r="AH4294" s="190">
        <v>0</v>
      </c>
      <c r="AI4294" s="190">
        <v>0</v>
      </c>
      <c r="AJ4294" s="485">
        <v>0.89</v>
      </c>
      <c r="AK4294" s="493">
        <v>0.9</v>
      </c>
      <c r="AL4294" s="191">
        <v>0</v>
      </c>
      <c r="AM4294" s="17">
        <f t="shared" si="157"/>
        <v>0.9</v>
      </c>
      <c r="AN4294" s="223" t="s">
        <v>3875</v>
      </c>
      <c r="AO4294" s="162" t="s">
        <v>3877</v>
      </c>
    </row>
    <row r="4295" spans="1:41" s="162" customFormat="1" x14ac:dyDescent="0.3">
      <c r="A4295" s="205" t="s">
        <v>8321</v>
      </c>
      <c r="B4295" s="162" t="s">
        <v>8322</v>
      </c>
      <c r="C4295" s="168" t="s">
        <v>13530</v>
      </c>
      <c r="D4295" s="162" t="s">
        <v>13531</v>
      </c>
      <c r="E4295" s="406" t="s">
        <v>13532</v>
      </c>
      <c r="F4295" s="406" t="s">
        <v>13533</v>
      </c>
      <c r="G4295" s="406">
        <v>166602</v>
      </c>
      <c r="H4295" s="162" t="s">
        <v>13538</v>
      </c>
      <c r="K4295" s="406">
        <v>16660203</v>
      </c>
      <c r="L4295" s="162" t="s">
        <v>15506</v>
      </c>
      <c r="M4295" s="162" t="s">
        <v>15518</v>
      </c>
      <c r="O4295" s="224">
        <v>1</v>
      </c>
      <c r="P4295" s="224">
        <v>1</v>
      </c>
      <c r="Q4295" s="224">
        <v>1</v>
      </c>
      <c r="R4295" s="224">
        <v>1</v>
      </c>
      <c r="S4295" s="224">
        <v>1</v>
      </c>
      <c r="T4295" s="223" t="s">
        <v>1588</v>
      </c>
      <c r="U4295" t="str">
        <f>VLOOKUP(T4295,[8]Votes!$A$1:$E$234,3,FALSE)</f>
        <v>148 Judicial Service Commission</v>
      </c>
      <c r="V4295" s="162" t="s">
        <v>15519</v>
      </c>
      <c r="W4295" s="388">
        <v>1</v>
      </c>
      <c r="X4295" s="388">
        <v>0</v>
      </c>
      <c r="Y4295" s="388">
        <v>0</v>
      </c>
      <c r="Z4295" s="388">
        <v>0</v>
      </c>
      <c r="AA4295" s="388">
        <v>0</v>
      </c>
      <c r="AB4295" s="388">
        <v>0</v>
      </c>
      <c r="AC4295" s="150">
        <v>0</v>
      </c>
      <c r="AD4295" s="150">
        <v>0</v>
      </c>
      <c r="AE4295" s="49">
        <f t="shared" si="156"/>
        <v>0.125</v>
      </c>
      <c r="AF4295" s="23">
        <v>0</v>
      </c>
      <c r="AG4295" s="17">
        <v>0</v>
      </c>
      <c r="AH4295" s="485">
        <v>0.1</v>
      </c>
      <c r="AI4295" s="485">
        <v>0.09</v>
      </c>
      <c r="AJ4295" s="485">
        <v>0.08</v>
      </c>
      <c r="AK4295" s="493">
        <v>0</v>
      </c>
      <c r="AL4295" s="173">
        <v>0</v>
      </c>
      <c r="AM4295" s="17">
        <f t="shared" si="157"/>
        <v>0</v>
      </c>
      <c r="AN4295" s="162" t="s">
        <v>1588</v>
      </c>
      <c r="AO4295" s="162" t="s">
        <v>1590</v>
      </c>
    </row>
    <row r="4296" spans="1:41" s="162" customFormat="1" x14ac:dyDescent="0.3">
      <c r="A4296" s="205" t="s">
        <v>8321</v>
      </c>
      <c r="B4296" s="162" t="s">
        <v>8322</v>
      </c>
      <c r="C4296" s="168" t="s">
        <v>13530</v>
      </c>
      <c r="D4296" s="162" t="s">
        <v>13531</v>
      </c>
      <c r="E4296" s="406" t="s">
        <v>13532</v>
      </c>
      <c r="F4296" s="406" t="s">
        <v>13533</v>
      </c>
      <c r="G4296" s="406">
        <v>166602</v>
      </c>
      <c r="H4296" s="162" t="s">
        <v>13538</v>
      </c>
      <c r="K4296" s="406">
        <v>16660203</v>
      </c>
      <c r="L4296" s="162" t="s">
        <v>15506</v>
      </c>
      <c r="M4296" s="162" t="s">
        <v>15520</v>
      </c>
      <c r="O4296" s="224">
        <v>1</v>
      </c>
      <c r="P4296" s="224">
        <v>1</v>
      </c>
      <c r="Q4296" s="224"/>
      <c r="R4296" s="224"/>
      <c r="S4296" s="224"/>
      <c r="T4296" s="223" t="s">
        <v>13755</v>
      </c>
      <c r="U4296" t="str">
        <f>VLOOKUP(T4296,[8]Votes!$A$1:$E$234,3,FALSE)</f>
        <v>159 External Security Organisation</v>
      </c>
      <c r="V4296" s="162" t="s">
        <v>15521</v>
      </c>
      <c r="W4296" s="388">
        <v>1</v>
      </c>
      <c r="X4296" s="388">
        <v>1</v>
      </c>
      <c r="Y4296" s="388">
        <v>1</v>
      </c>
      <c r="Z4296" s="388">
        <v>1</v>
      </c>
      <c r="AA4296" s="388">
        <v>1</v>
      </c>
      <c r="AB4296" s="388">
        <v>1</v>
      </c>
      <c r="AC4296" s="150">
        <v>1</v>
      </c>
      <c r="AD4296" s="150">
        <v>0</v>
      </c>
      <c r="AE4296" s="49">
        <f t="shared" si="156"/>
        <v>0.875</v>
      </c>
      <c r="AF4296" s="23">
        <v>1</v>
      </c>
      <c r="AG4296" s="17">
        <v>0</v>
      </c>
      <c r="AH4296" s="485">
        <v>0.02</v>
      </c>
      <c r="AI4296" s="485">
        <v>0.25</v>
      </c>
      <c r="AJ4296" s="190">
        <v>0</v>
      </c>
      <c r="AK4296" s="191">
        <v>0</v>
      </c>
      <c r="AL4296" s="191">
        <v>0</v>
      </c>
      <c r="AM4296" s="17">
        <f t="shared" si="157"/>
        <v>0</v>
      </c>
      <c r="AN4296" s="162" t="s">
        <v>13755</v>
      </c>
      <c r="AO4296" s="162" t="s">
        <v>13757</v>
      </c>
    </row>
    <row r="4297" spans="1:41" s="162" customFormat="1" x14ac:dyDescent="0.3">
      <c r="A4297" s="205" t="s">
        <v>8321</v>
      </c>
      <c r="B4297" s="162" t="s">
        <v>8322</v>
      </c>
      <c r="C4297" s="168" t="s">
        <v>13530</v>
      </c>
      <c r="D4297" s="162" t="s">
        <v>13531</v>
      </c>
      <c r="E4297" s="406" t="s">
        <v>13532</v>
      </c>
      <c r="F4297" s="406" t="s">
        <v>13533</v>
      </c>
      <c r="G4297" s="406">
        <v>166602</v>
      </c>
      <c r="H4297" s="162" t="s">
        <v>13538</v>
      </c>
      <c r="K4297" s="406">
        <v>16660204</v>
      </c>
      <c r="L4297" s="162" t="s">
        <v>15522</v>
      </c>
      <c r="M4297" s="162" t="s">
        <v>15523</v>
      </c>
      <c r="N4297" s="162">
        <v>1</v>
      </c>
      <c r="O4297" s="224">
        <v>1</v>
      </c>
      <c r="P4297" s="224">
        <v>2</v>
      </c>
      <c r="Q4297" s="224">
        <v>2</v>
      </c>
      <c r="R4297" s="224">
        <v>2</v>
      </c>
      <c r="S4297" s="224">
        <v>2</v>
      </c>
      <c r="T4297" s="223" t="s">
        <v>10732</v>
      </c>
      <c r="U4297" t="str">
        <f>VLOOKUP(T4297,[8]Votes!$A$1:$E$234,3,FALSE)</f>
        <v>105 Law Reform Commission</v>
      </c>
      <c r="V4297" s="162" t="s">
        <v>15524</v>
      </c>
      <c r="W4297" s="388">
        <v>1</v>
      </c>
      <c r="X4297" s="388">
        <v>0</v>
      </c>
      <c r="Y4297" s="388">
        <v>0</v>
      </c>
      <c r="Z4297" s="388">
        <v>0</v>
      </c>
      <c r="AA4297" s="388">
        <v>0</v>
      </c>
      <c r="AB4297" s="388">
        <v>1</v>
      </c>
      <c r="AC4297" s="150">
        <v>0</v>
      </c>
      <c r="AD4297" s="150">
        <v>0</v>
      </c>
      <c r="AE4297" s="49">
        <f t="shared" si="156"/>
        <v>0.25</v>
      </c>
      <c r="AF4297" s="23">
        <v>0</v>
      </c>
      <c r="AG4297" s="17">
        <v>0</v>
      </c>
      <c r="AH4297" s="485">
        <v>0.08</v>
      </c>
      <c r="AI4297" s="485">
        <v>0.08</v>
      </c>
      <c r="AJ4297" s="485">
        <v>0.09</v>
      </c>
      <c r="AK4297" s="493">
        <v>0.09</v>
      </c>
      <c r="AL4297" s="173">
        <v>0.1</v>
      </c>
      <c r="AM4297" s="17">
        <f t="shared" si="157"/>
        <v>0.19</v>
      </c>
      <c r="AN4297" s="162" t="s">
        <v>10732</v>
      </c>
      <c r="AO4297" s="162" t="s">
        <v>15453</v>
      </c>
    </row>
    <row r="4298" spans="1:41" s="162" customFormat="1" x14ac:dyDescent="0.3">
      <c r="A4298" s="205" t="s">
        <v>8321</v>
      </c>
      <c r="B4298" s="162" t="s">
        <v>8322</v>
      </c>
      <c r="C4298" s="168" t="s">
        <v>13530</v>
      </c>
      <c r="D4298" s="162" t="s">
        <v>13531</v>
      </c>
      <c r="E4298" s="406" t="s">
        <v>13532</v>
      </c>
      <c r="F4298" s="406" t="s">
        <v>13533</v>
      </c>
      <c r="G4298" s="406">
        <v>166602</v>
      </c>
      <c r="H4298" s="162" t="s">
        <v>13538</v>
      </c>
      <c r="K4298" s="406">
        <v>16660205</v>
      </c>
      <c r="L4298" s="162" t="s">
        <v>15525</v>
      </c>
      <c r="M4298" s="162" t="s">
        <v>15526</v>
      </c>
      <c r="O4298" s="224"/>
      <c r="P4298" s="224"/>
      <c r="Q4298" s="224">
        <v>2</v>
      </c>
      <c r="R4298" s="224">
        <v>2</v>
      </c>
      <c r="S4298" s="224">
        <v>2</v>
      </c>
      <c r="T4298" s="223" t="s">
        <v>3875</v>
      </c>
      <c r="U4298" t="str">
        <f>VLOOKUP(T4298,[8]Votes!$A$1:$E$234,3,FALSE)</f>
        <v>007 Ministry of Justice and Constitutional Affairs</v>
      </c>
      <c r="V4298" s="162" t="s">
        <v>15527</v>
      </c>
      <c r="W4298" s="388">
        <v>1</v>
      </c>
      <c r="X4298" s="388">
        <v>0</v>
      </c>
      <c r="Y4298" s="388">
        <v>0</v>
      </c>
      <c r="Z4298" s="388">
        <v>1</v>
      </c>
      <c r="AA4298" s="388">
        <v>1</v>
      </c>
      <c r="AB4298" s="388">
        <v>1</v>
      </c>
      <c r="AC4298" s="150">
        <v>0</v>
      </c>
      <c r="AD4298" s="150">
        <v>1</v>
      </c>
      <c r="AE4298" s="49">
        <f t="shared" si="156"/>
        <v>0.625</v>
      </c>
      <c r="AF4298" s="23">
        <v>0</v>
      </c>
      <c r="AG4298" s="17">
        <v>0</v>
      </c>
      <c r="AH4298" s="190">
        <v>0</v>
      </c>
      <c r="AI4298" s="190">
        <v>0</v>
      </c>
      <c r="AJ4298" s="485">
        <v>0.27</v>
      </c>
      <c r="AK4298" s="493">
        <v>0.47</v>
      </c>
      <c r="AL4298" s="173">
        <v>0.47</v>
      </c>
      <c r="AM4298" s="17">
        <f t="shared" si="157"/>
        <v>0.94</v>
      </c>
      <c r="AN4298" s="223" t="s">
        <v>3875</v>
      </c>
      <c r="AO4298" s="162" t="s">
        <v>3877</v>
      </c>
    </row>
    <row r="4299" spans="1:41" s="162" customFormat="1" x14ac:dyDescent="0.3">
      <c r="A4299" s="205" t="s">
        <v>8321</v>
      </c>
      <c r="B4299" s="162" t="s">
        <v>8322</v>
      </c>
      <c r="C4299" s="168" t="s">
        <v>13530</v>
      </c>
      <c r="D4299" s="162" t="s">
        <v>13531</v>
      </c>
      <c r="E4299" s="406" t="s">
        <v>13532</v>
      </c>
      <c r="F4299" s="406" t="s">
        <v>13533</v>
      </c>
      <c r="G4299" s="406">
        <v>166602</v>
      </c>
      <c r="H4299" s="162" t="s">
        <v>13538</v>
      </c>
      <c r="K4299" s="406">
        <v>16660206</v>
      </c>
      <c r="L4299" s="162" t="s">
        <v>15528</v>
      </c>
      <c r="M4299" s="162" t="s">
        <v>15529</v>
      </c>
      <c r="O4299" s="224">
        <v>1</v>
      </c>
      <c r="P4299" s="224">
        <v>1</v>
      </c>
      <c r="Q4299" s="224">
        <v>1</v>
      </c>
      <c r="R4299" s="224">
        <v>1</v>
      </c>
      <c r="S4299" s="224">
        <v>1</v>
      </c>
      <c r="T4299" s="223" t="s">
        <v>1536</v>
      </c>
      <c r="U4299" t="e">
        <f>VLOOKUP(T4299,[8]Votes!$A$1:$E$234,3,FALSE)</f>
        <v>#N/A</v>
      </c>
      <c r="V4299" s="162" t="s">
        <v>15530</v>
      </c>
      <c r="W4299" s="388">
        <v>1</v>
      </c>
      <c r="X4299" s="388">
        <v>0</v>
      </c>
      <c r="Y4299" s="388">
        <v>0</v>
      </c>
      <c r="Z4299" s="388">
        <v>0</v>
      </c>
      <c r="AA4299" s="388">
        <v>0</v>
      </c>
      <c r="AB4299" s="388">
        <v>0</v>
      </c>
      <c r="AC4299" s="150">
        <v>0</v>
      </c>
      <c r="AD4299" s="150">
        <v>0</v>
      </c>
      <c r="AE4299" s="49">
        <f t="shared" si="156"/>
        <v>0.125</v>
      </c>
      <c r="AF4299" s="23">
        <v>0</v>
      </c>
      <c r="AG4299" s="17">
        <v>0</v>
      </c>
      <c r="AH4299" s="485">
        <v>0.4</v>
      </c>
      <c r="AI4299" s="485">
        <v>0.4</v>
      </c>
      <c r="AJ4299" s="485">
        <v>0.4</v>
      </c>
      <c r="AK4299" s="493">
        <v>0.4</v>
      </c>
      <c r="AL4299" s="173">
        <v>0.4</v>
      </c>
      <c r="AM4299" s="17">
        <f t="shared" si="157"/>
        <v>0.8</v>
      </c>
      <c r="AN4299" s="162" t="s">
        <v>771</v>
      </c>
      <c r="AO4299" s="162" t="s">
        <v>773</v>
      </c>
    </row>
    <row r="4300" spans="1:41" s="162" customFormat="1" x14ac:dyDescent="0.3">
      <c r="A4300" s="205" t="s">
        <v>8321</v>
      </c>
      <c r="B4300" s="162" t="s">
        <v>8322</v>
      </c>
      <c r="C4300" s="168" t="s">
        <v>13530</v>
      </c>
      <c r="D4300" s="162" t="s">
        <v>13531</v>
      </c>
      <c r="E4300" s="406" t="s">
        <v>13532</v>
      </c>
      <c r="F4300" s="406" t="s">
        <v>13533</v>
      </c>
      <c r="G4300" s="406">
        <v>166602</v>
      </c>
      <c r="H4300" s="162" t="s">
        <v>13538</v>
      </c>
      <c r="K4300" s="406">
        <v>16660206</v>
      </c>
      <c r="L4300" s="162" t="s">
        <v>15528</v>
      </c>
      <c r="M4300" s="162" t="s">
        <v>15529</v>
      </c>
      <c r="O4300" s="224"/>
      <c r="P4300" s="224"/>
      <c r="Q4300" s="224">
        <v>1</v>
      </c>
      <c r="R4300" s="224">
        <v>1</v>
      </c>
      <c r="S4300" s="224"/>
      <c r="T4300" s="223" t="s">
        <v>1536</v>
      </c>
      <c r="U4300" t="e">
        <f>VLOOKUP(T4300,[8]Votes!$A$1:$E$234,3,FALSE)</f>
        <v>#N/A</v>
      </c>
      <c r="V4300" s="162" t="s">
        <v>15531</v>
      </c>
      <c r="W4300" s="388">
        <v>1</v>
      </c>
      <c r="X4300" s="388">
        <v>0</v>
      </c>
      <c r="Y4300" s="388">
        <v>0</v>
      </c>
      <c r="Z4300" s="388">
        <v>0</v>
      </c>
      <c r="AA4300" s="388">
        <v>0</v>
      </c>
      <c r="AB4300" s="388">
        <v>0</v>
      </c>
      <c r="AC4300" s="150">
        <v>0</v>
      </c>
      <c r="AD4300" s="150">
        <v>0</v>
      </c>
      <c r="AE4300" s="49">
        <f t="shared" si="156"/>
        <v>0.125</v>
      </c>
      <c r="AF4300" s="23">
        <v>0</v>
      </c>
      <c r="AG4300" s="17">
        <v>0</v>
      </c>
      <c r="AH4300" s="190">
        <v>0</v>
      </c>
      <c r="AI4300" s="190">
        <v>0</v>
      </c>
      <c r="AJ4300" s="485">
        <v>0.5</v>
      </c>
      <c r="AK4300" s="493">
        <v>0.5</v>
      </c>
      <c r="AL4300" s="191">
        <v>0</v>
      </c>
      <c r="AM4300" s="17">
        <f t="shared" si="157"/>
        <v>0.5</v>
      </c>
      <c r="AN4300" s="162" t="s">
        <v>771</v>
      </c>
      <c r="AO4300" s="162" t="s">
        <v>773</v>
      </c>
    </row>
    <row r="4301" spans="1:41" s="162" customFormat="1" x14ac:dyDescent="0.3">
      <c r="A4301" s="205" t="s">
        <v>8321</v>
      </c>
      <c r="B4301" s="162" t="s">
        <v>8322</v>
      </c>
      <c r="C4301" s="168" t="s">
        <v>13530</v>
      </c>
      <c r="D4301" s="162" t="s">
        <v>13531</v>
      </c>
      <c r="E4301" s="406" t="s">
        <v>13532</v>
      </c>
      <c r="F4301" s="406" t="s">
        <v>13533</v>
      </c>
      <c r="G4301" s="406">
        <v>166602</v>
      </c>
      <c r="H4301" s="162" t="s">
        <v>13538</v>
      </c>
      <c r="K4301" s="406">
        <v>16660206</v>
      </c>
      <c r="L4301" s="162" t="s">
        <v>15528</v>
      </c>
      <c r="M4301" s="162" t="s">
        <v>15529</v>
      </c>
      <c r="O4301" s="224"/>
      <c r="P4301" s="224">
        <v>1</v>
      </c>
      <c r="Q4301" s="224">
        <v>1</v>
      </c>
      <c r="R4301" s="224"/>
      <c r="S4301" s="224"/>
      <c r="T4301" s="223" t="s">
        <v>1536</v>
      </c>
      <c r="U4301" t="e">
        <f>VLOOKUP(T4301,[8]Votes!$A$1:$E$234,3,FALSE)</f>
        <v>#N/A</v>
      </c>
      <c r="V4301" s="162" t="s">
        <v>15532</v>
      </c>
      <c r="W4301" s="388">
        <v>1</v>
      </c>
      <c r="X4301" s="388">
        <v>0</v>
      </c>
      <c r="Y4301" s="388">
        <v>0</v>
      </c>
      <c r="Z4301" s="388">
        <v>0</v>
      </c>
      <c r="AA4301" s="388">
        <v>0</v>
      </c>
      <c r="AB4301" s="388">
        <v>0</v>
      </c>
      <c r="AC4301" s="150">
        <v>0</v>
      </c>
      <c r="AD4301" s="150">
        <v>0</v>
      </c>
      <c r="AE4301" s="49">
        <f t="shared" si="156"/>
        <v>0.125</v>
      </c>
      <c r="AF4301" s="23">
        <v>0</v>
      </c>
      <c r="AG4301" s="17">
        <v>0</v>
      </c>
      <c r="AH4301" s="190">
        <v>0</v>
      </c>
      <c r="AI4301" s="485">
        <v>0.5</v>
      </c>
      <c r="AJ4301" s="485">
        <v>0.5</v>
      </c>
      <c r="AK4301" s="191">
        <v>0</v>
      </c>
      <c r="AL4301" s="191">
        <v>0</v>
      </c>
      <c r="AM4301" s="17">
        <f t="shared" si="157"/>
        <v>0</v>
      </c>
      <c r="AN4301" s="162" t="s">
        <v>771</v>
      </c>
      <c r="AO4301" s="162" t="s">
        <v>773</v>
      </c>
    </row>
    <row r="4302" spans="1:41" s="162" customFormat="1" x14ac:dyDescent="0.3">
      <c r="A4302" s="205" t="s">
        <v>8321</v>
      </c>
      <c r="B4302" s="162" t="s">
        <v>8322</v>
      </c>
      <c r="C4302" s="168" t="s">
        <v>13530</v>
      </c>
      <c r="D4302" s="162" t="s">
        <v>13531</v>
      </c>
      <c r="E4302" s="406" t="s">
        <v>13532</v>
      </c>
      <c r="F4302" s="406" t="s">
        <v>13533</v>
      </c>
      <c r="G4302" s="406">
        <v>166602</v>
      </c>
      <c r="H4302" s="162" t="s">
        <v>13538</v>
      </c>
      <c r="K4302" s="406">
        <v>16660206</v>
      </c>
      <c r="L4302" s="162" t="s">
        <v>15528</v>
      </c>
      <c r="M4302" s="162" t="s">
        <v>15533</v>
      </c>
      <c r="O4302" s="224">
        <v>1</v>
      </c>
      <c r="P4302" s="224">
        <v>1</v>
      </c>
      <c r="Q4302" s="224">
        <v>1</v>
      </c>
      <c r="R4302" s="224"/>
      <c r="S4302" s="224"/>
      <c r="T4302" s="529" t="s">
        <v>1775</v>
      </c>
      <c r="U4302" t="str">
        <f>VLOOKUP(T4302,[8]Votes!$A$1:$E$234,3,FALSE)</f>
        <v>112 Ethics and Integrity</v>
      </c>
      <c r="V4302" s="203" t="s">
        <v>15534</v>
      </c>
      <c r="W4302" s="388">
        <v>0</v>
      </c>
      <c r="X4302" s="388">
        <v>0</v>
      </c>
      <c r="Y4302" s="388">
        <v>0</v>
      </c>
      <c r="Z4302" s="388">
        <v>0</v>
      </c>
      <c r="AA4302" s="388">
        <v>0</v>
      </c>
      <c r="AB4302" s="388">
        <v>0</v>
      </c>
      <c r="AC4302" s="150">
        <v>0</v>
      </c>
      <c r="AD4302" s="150">
        <v>0</v>
      </c>
      <c r="AE4302" s="49">
        <f t="shared" si="156"/>
        <v>0</v>
      </c>
      <c r="AF4302" s="23">
        <v>0</v>
      </c>
      <c r="AG4302" s="17">
        <v>0</v>
      </c>
      <c r="AH4302" s="485">
        <v>0.1</v>
      </c>
      <c r="AI4302" s="485">
        <v>0.1</v>
      </c>
      <c r="AJ4302" s="485">
        <v>0.1</v>
      </c>
      <c r="AK4302" s="191">
        <v>0</v>
      </c>
      <c r="AL4302" s="191">
        <v>0</v>
      </c>
      <c r="AM4302" s="17">
        <f t="shared" si="157"/>
        <v>0</v>
      </c>
      <c r="AN4302" s="162" t="s">
        <v>1775</v>
      </c>
      <c r="AO4302" s="162" t="s">
        <v>1776</v>
      </c>
    </row>
    <row r="4303" spans="1:41" s="162" customFormat="1" x14ac:dyDescent="0.3">
      <c r="A4303" s="205" t="s">
        <v>8321</v>
      </c>
      <c r="B4303" s="162" t="s">
        <v>8322</v>
      </c>
      <c r="C4303" s="168" t="s">
        <v>13530</v>
      </c>
      <c r="D4303" s="162" t="s">
        <v>13531</v>
      </c>
      <c r="E4303" s="406" t="s">
        <v>13532</v>
      </c>
      <c r="F4303" s="406" t="s">
        <v>13533</v>
      </c>
      <c r="G4303" s="406">
        <v>166602</v>
      </c>
      <c r="H4303" s="162" t="s">
        <v>13538</v>
      </c>
      <c r="K4303" s="406">
        <v>16660206</v>
      </c>
      <c r="L4303" s="162" t="s">
        <v>15528</v>
      </c>
      <c r="M4303" s="162" t="s">
        <v>15533</v>
      </c>
      <c r="O4303" s="224">
        <v>1</v>
      </c>
      <c r="P4303" s="224">
        <v>1</v>
      </c>
      <c r="Q4303" s="224">
        <v>1</v>
      </c>
      <c r="R4303" s="224"/>
      <c r="S4303" s="224"/>
      <c r="T4303" s="223" t="s">
        <v>1536</v>
      </c>
      <c r="U4303" t="e">
        <f>VLOOKUP(T4303,[8]Votes!$A$1:$E$234,3,FALSE)</f>
        <v>#N/A</v>
      </c>
      <c r="V4303" s="162" t="s">
        <v>15534</v>
      </c>
      <c r="W4303" s="388">
        <v>1</v>
      </c>
      <c r="X4303" s="388">
        <v>0</v>
      </c>
      <c r="Y4303" s="388">
        <v>0</v>
      </c>
      <c r="Z4303" s="388">
        <v>0</v>
      </c>
      <c r="AA4303" s="388">
        <v>0</v>
      </c>
      <c r="AB4303" s="388">
        <v>0</v>
      </c>
      <c r="AC4303" s="150">
        <v>0</v>
      </c>
      <c r="AD4303" s="150">
        <v>0</v>
      </c>
      <c r="AE4303" s="49">
        <f t="shared" si="156"/>
        <v>0.125</v>
      </c>
      <c r="AF4303" s="23">
        <v>0</v>
      </c>
      <c r="AG4303" s="17">
        <v>0</v>
      </c>
      <c r="AH4303" s="485">
        <v>0.1</v>
      </c>
      <c r="AI4303" s="485">
        <v>0.1</v>
      </c>
      <c r="AJ4303" s="485">
        <v>0.1</v>
      </c>
      <c r="AK4303" s="191">
        <v>0</v>
      </c>
      <c r="AL4303" s="191">
        <v>0</v>
      </c>
      <c r="AM4303" s="17">
        <f t="shared" si="157"/>
        <v>0</v>
      </c>
      <c r="AN4303" s="162" t="s">
        <v>771</v>
      </c>
      <c r="AO4303" s="162" t="s">
        <v>773</v>
      </c>
    </row>
    <row r="4304" spans="1:41" s="162" customFormat="1" x14ac:dyDescent="0.3">
      <c r="A4304" s="205" t="s">
        <v>8321</v>
      </c>
      <c r="B4304" s="162" t="s">
        <v>8322</v>
      </c>
      <c r="C4304" s="168" t="s">
        <v>13530</v>
      </c>
      <c r="D4304" s="162" t="s">
        <v>13531</v>
      </c>
      <c r="E4304" s="406" t="s">
        <v>13532</v>
      </c>
      <c r="F4304" s="406" t="s">
        <v>13533</v>
      </c>
      <c r="G4304" s="406">
        <v>166602</v>
      </c>
      <c r="H4304" s="162" t="s">
        <v>13538</v>
      </c>
      <c r="K4304" s="406">
        <v>16660206</v>
      </c>
      <c r="L4304" s="162" t="s">
        <v>15528</v>
      </c>
      <c r="M4304" s="162" t="s">
        <v>15533</v>
      </c>
      <c r="O4304" s="224">
        <v>1</v>
      </c>
      <c r="P4304" s="224">
        <v>1</v>
      </c>
      <c r="Q4304" s="224">
        <v>1</v>
      </c>
      <c r="R4304" s="224"/>
      <c r="S4304" s="224"/>
      <c r="T4304" s="223" t="s">
        <v>1233</v>
      </c>
      <c r="U4304" t="str">
        <f>VLOOKUP(T4304,[8]Votes!$A$1:$E$234,3,FALSE)</f>
        <v>006 Ministry of Foreign Affairs</v>
      </c>
      <c r="V4304" s="162" t="s">
        <v>15535</v>
      </c>
      <c r="W4304" s="388">
        <v>1</v>
      </c>
      <c r="X4304" s="388">
        <v>0</v>
      </c>
      <c r="Y4304" s="388">
        <v>0</v>
      </c>
      <c r="Z4304" s="388">
        <v>1</v>
      </c>
      <c r="AA4304" s="388">
        <v>1</v>
      </c>
      <c r="AB4304" s="388">
        <v>0</v>
      </c>
      <c r="AC4304" s="150">
        <v>1</v>
      </c>
      <c r="AD4304" s="150">
        <v>0</v>
      </c>
      <c r="AE4304" s="49">
        <f t="shared" si="156"/>
        <v>0.5</v>
      </c>
      <c r="AF4304" s="23">
        <v>0</v>
      </c>
      <c r="AG4304" s="17">
        <v>0</v>
      </c>
      <c r="AH4304" s="485">
        <v>0.1</v>
      </c>
      <c r="AI4304" s="485">
        <v>0.1</v>
      </c>
      <c r="AJ4304" s="485">
        <v>0.1</v>
      </c>
      <c r="AK4304" s="191">
        <v>0</v>
      </c>
      <c r="AL4304" s="191">
        <v>0</v>
      </c>
      <c r="AM4304" s="17">
        <f t="shared" si="157"/>
        <v>0</v>
      </c>
      <c r="AN4304" s="162" t="s">
        <v>1233</v>
      </c>
      <c r="AO4304" s="162" t="s">
        <v>1650</v>
      </c>
    </row>
    <row r="4305" spans="1:41" s="162" customFormat="1" x14ac:dyDescent="0.3">
      <c r="A4305" s="205" t="s">
        <v>8321</v>
      </c>
      <c r="B4305" s="162" t="s">
        <v>8322</v>
      </c>
      <c r="C4305" s="168" t="s">
        <v>13530</v>
      </c>
      <c r="D4305" s="162" t="s">
        <v>13531</v>
      </c>
      <c r="E4305" s="406" t="s">
        <v>13532</v>
      </c>
      <c r="F4305" s="406" t="s">
        <v>13533</v>
      </c>
      <c r="G4305" s="406">
        <v>166602</v>
      </c>
      <c r="H4305" s="162" t="s">
        <v>13538</v>
      </c>
      <c r="K4305" s="406">
        <v>16660207</v>
      </c>
      <c r="L4305" s="162" t="s">
        <v>15536</v>
      </c>
      <c r="M4305" s="162" t="s">
        <v>15537</v>
      </c>
      <c r="O4305" s="224">
        <v>40</v>
      </c>
      <c r="P4305" s="224">
        <v>40</v>
      </c>
      <c r="Q4305" s="224">
        <v>40</v>
      </c>
      <c r="R4305" s="224">
        <v>40</v>
      </c>
      <c r="S4305" s="224">
        <v>40</v>
      </c>
      <c r="T4305" s="223" t="s">
        <v>1345</v>
      </c>
      <c r="U4305" t="str">
        <f>VLOOKUP(T4305,[8]Votes!$A$1:$E$234,3,FALSE)</f>
        <v>001 Office of the President</v>
      </c>
      <c r="V4305" s="162" t="s">
        <v>15538</v>
      </c>
      <c r="W4305" s="388">
        <v>1</v>
      </c>
      <c r="X4305" s="388">
        <v>0</v>
      </c>
      <c r="Y4305" s="388">
        <v>0</v>
      </c>
      <c r="Z4305" s="388">
        <v>1</v>
      </c>
      <c r="AA4305" s="388">
        <v>1</v>
      </c>
      <c r="AB4305" s="388">
        <v>1</v>
      </c>
      <c r="AC4305" s="150">
        <v>1</v>
      </c>
      <c r="AD4305" s="150">
        <v>1</v>
      </c>
      <c r="AE4305" s="49">
        <f t="shared" si="156"/>
        <v>0.75</v>
      </c>
      <c r="AF4305" s="23">
        <v>1</v>
      </c>
      <c r="AG4305" s="17">
        <v>0</v>
      </c>
      <c r="AH4305" s="485">
        <v>0.05</v>
      </c>
      <c r="AI4305" s="485">
        <v>0.05</v>
      </c>
      <c r="AJ4305" s="485">
        <v>0.05</v>
      </c>
      <c r="AK4305" s="493">
        <v>0.5</v>
      </c>
      <c r="AL4305" s="493">
        <v>0.5</v>
      </c>
      <c r="AM4305" s="17">
        <f t="shared" si="157"/>
        <v>1</v>
      </c>
      <c r="AN4305" s="162" t="s">
        <v>1345</v>
      </c>
      <c r="AO4305" s="162" t="s">
        <v>1334</v>
      </c>
    </row>
    <row r="4306" spans="1:41" s="162" customFormat="1" x14ac:dyDescent="0.3">
      <c r="A4306" s="205" t="s">
        <v>8321</v>
      </c>
      <c r="B4306" s="162" t="s">
        <v>8322</v>
      </c>
      <c r="C4306" s="168" t="s">
        <v>13530</v>
      </c>
      <c r="D4306" s="162" t="s">
        <v>13531</v>
      </c>
      <c r="E4306" s="406" t="s">
        <v>13532</v>
      </c>
      <c r="F4306" s="406" t="s">
        <v>13533</v>
      </c>
      <c r="G4306" s="406">
        <v>166602</v>
      </c>
      <c r="H4306" s="162" t="s">
        <v>13538</v>
      </c>
      <c r="K4306" s="406">
        <v>16660208</v>
      </c>
      <c r="L4306" s="162" t="s">
        <v>15539</v>
      </c>
      <c r="M4306" s="162" t="s">
        <v>15539</v>
      </c>
      <c r="O4306" s="224">
        <v>3</v>
      </c>
      <c r="P4306" s="224">
        <v>3</v>
      </c>
      <c r="Q4306" s="224">
        <v>3</v>
      </c>
      <c r="R4306" s="224">
        <v>3</v>
      </c>
      <c r="S4306" s="224">
        <v>3</v>
      </c>
      <c r="T4306" s="223" t="s">
        <v>1345</v>
      </c>
      <c r="U4306" t="str">
        <f>VLOOKUP(T4306,[8]Votes!$A$1:$E$234,3,FALSE)</f>
        <v>001 Office of the President</v>
      </c>
      <c r="V4306" s="162" t="s">
        <v>15540</v>
      </c>
      <c r="W4306" s="388">
        <v>1</v>
      </c>
      <c r="X4306" s="388">
        <v>0</v>
      </c>
      <c r="Y4306" s="388">
        <v>0</v>
      </c>
      <c r="Z4306" s="388">
        <v>1</v>
      </c>
      <c r="AA4306" s="388">
        <v>1</v>
      </c>
      <c r="AB4306" s="388">
        <v>1</v>
      </c>
      <c r="AC4306" s="150">
        <v>1</v>
      </c>
      <c r="AD4306" s="150">
        <v>1</v>
      </c>
      <c r="AE4306" s="49">
        <f t="shared" si="156"/>
        <v>0.75</v>
      </c>
      <c r="AF4306" s="23">
        <v>1</v>
      </c>
      <c r="AG4306" s="17">
        <v>0</v>
      </c>
      <c r="AH4306" s="485">
        <v>0.05</v>
      </c>
      <c r="AI4306" s="485">
        <v>0.05</v>
      </c>
      <c r="AJ4306" s="485">
        <v>0.05</v>
      </c>
      <c r="AK4306" s="493">
        <v>0.05</v>
      </c>
      <c r="AL4306" s="493">
        <v>0.05</v>
      </c>
      <c r="AM4306" s="17">
        <f t="shared" si="157"/>
        <v>0.1</v>
      </c>
      <c r="AN4306" s="162" t="s">
        <v>1345</v>
      </c>
      <c r="AO4306" s="162" t="s">
        <v>1334</v>
      </c>
    </row>
    <row r="4307" spans="1:41" s="168" customFormat="1" x14ac:dyDescent="0.3">
      <c r="A4307" s="205" t="s">
        <v>8321</v>
      </c>
      <c r="B4307" s="162" t="s">
        <v>8322</v>
      </c>
      <c r="C4307" s="168" t="s">
        <v>13530</v>
      </c>
      <c r="D4307" s="168" t="s">
        <v>13531</v>
      </c>
      <c r="E4307" s="406" t="s">
        <v>13532</v>
      </c>
      <c r="F4307" s="406" t="s">
        <v>13533</v>
      </c>
      <c r="G4307" s="406">
        <v>166602</v>
      </c>
      <c r="H4307" s="168" t="s">
        <v>13538</v>
      </c>
      <c r="K4307" s="406">
        <v>16660209</v>
      </c>
      <c r="L4307" s="168" t="s">
        <v>15541</v>
      </c>
      <c r="M4307" s="168" t="s">
        <v>15542</v>
      </c>
      <c r="O4307" s="189">
        <v>0</v>
      </c>
      <c r="P4307" s="189">
        <v>6</v>
      </c>
      <c r="Q4307" s="189">
        <v>12</v>
      </c>
      <c r="R4307" s="189">
        <v>12</v>
      </c>
      <c r="S4307" s="189">
        <v>12</v>
      </c>
      <c r="T4307" s="184" t="s">
        <v>1345</v>
      </c>
      <c r="U4307" t="str">
        <f>VLOOKUP(T4307,[8]Votes!$A$1:$E$234,3,FALSE)</f>
        <v>001 Office of the President</v>
      </c>
      <c r="V4307" s="168" t="s">
        <v>15543</v>
      </c>
      <c r="W4307" s="388">
        <v>1</v>
      </c>
      <c r="X4307" s="388">
        <v>0</v>
      </c>
      <c r="Y4307" s="388">
        <v>0</v>
      </c>
      <c r="Z4307" s="388">
        <v>1</v>
      </c>
      <c r="AA4307" s="388">
        <v>1</v>
      </c>
      <c r="AB4307" s="388">
        <v>1</v>
      </c>
      <c r="AC4307" s="150">
        <v>1</v>
      </c>
      <c r="AD4307" s="150">
        <v>1</v>
      </c>
      <c r="AE4307" s="49">
        <f t="shared" si="156"/>
        <v>0.75</v>
      </c>
      <c r="AF4307" s="23">
        <v>1</v>
      </c>
      <c r="AG4307" s="17">
        <v>0</v>
      </c>
      <c r="AH4307" s="190">
        <v>0</v>
      </c>
      <c r="AI4307" s="190">
        <v>0.5</v>
      </c>
      <c r="AJ4307" s="190">
        <v>1</v>
      </c>
      <c r="AK4307" s="191">
        <v>1</v>
      </c>
      <c r="AL4307" s="191">
        <v>1</v>
      </c>
      <c r="AM4307" s="17">
        <f t="shared" si="157"/>
        <v>2</v>
      </c>
      <c r="AN4307" s="168" t="s">
        <v>1345</v>
      </c>
      <c r="AO4307" s="162" t="s">
        <v>1334</v>
      </c>
    </row>
    <row r="4308" spans="1:41" s="162" customFormat="1" x14ac:dyDescent="0.3">
      <c r="A4308" s="205" t="s">
        <v>8321</v>
      </c>
      <c r="B4308" s="162" t="s">
        <v>8322</v>
      </c>
      <c r="C4308" s="168" t="s">
        <v>13530</v>
      </c>
      <c r="D4308" s="162" t="s">
        <v>13531</v>
      </c>
      <c r="E4308" s="406" t="s">
        <v>13532</v>
      </c>
      <c r="F4308" s="406" t="s">
        <v>13533</v>
      </c>
      <c r="G4308" s="406">
        <v>166602</v>
      </c>
      <c r="H4308" s="162" t="s">
        <v>13538</v>
      </c>
      <c r="K4308" s="406">
        <v>16660210</v>
      </c>
      <c r="L4308" s="162" t="s">
        <v>15544</v>
      </c>
      <c r="M4308" s="162" t="s">
        <v>12652</v>
      </c>
      <c r="O4308" s="224">
        <v>11</v>
      </c>
      <c r="P4308" s="224">
        <v>11</v>
      </c>
      <c r="Q4308" s="224">
        <v>11</v>
      </c>
      <c r="R4308" s="224">
        <v>11</v>
      </c>
      <c r="S4308" s="224">
        <v>11</v>
      </c>
      <c r="T4308" s="223" t="s">
        <v>1345</v>
      </c>
      <c r="U4308" t="str">
        <f>VLOOKUP(T4308,[8]Votes!$A$1:$E$234,3,FALSE)</f>
        <v>001 Office of the President</v>
      </c>
      <c r="V4308" s="162" t="s">
        <v>15545</v>
      </c>
      <c r="W4308" s="388">
        <v>1</v>
      </c>
      <c r="X4308" s="388">
        <v>0</v>
      </c>
      <c r="Y4308" s="388">
        <v>0</v>
      </c>
      <c r="Z4308" s="388">
        <v>1</v>
      </c>
      <c r="AA4308" s="388">
        <v>1</v>
      </c>
      <c r="AB4308" s="388">
        <v>1</v>
      </c>
      <c r="AC4308" s="150">
        <v>1</v>
      </c>
      <c r="AD4308" s="150">
        <v>1</v>
      </c>
      <c r="AE4308" s="49">
        <f t="shared" si="156"/>
        <v>0.75</v>
      </c>
      <c r="AF4308" s="23">
        <v>1</v>
      </c>
      <c r="AG4308" s="17">
        <v>0</v>
      </c>
      <c r="AH4308" s="485">
        <v>0.15</v>
      </c>
      <c r="AI4308" s="485">
        <v>0.45</v>
      </c>
      <c r="AJ4308" s="485">
        <v>0.45</v>
      </c>
      <c r="AK4308" s="493">
        <v>0.45</v>
      </c>
      <c r="AL4308" s="173">
        <v>0.45</v>
      </c>
      <c r="AM4308" s="17">
        <f t="shared" si="157"/>
        <v>0.9</v>
      </c>
      <c r="AN4308" s="162" t="s">
        <v>1345</v>
      </c>
      <c r="AO4308" s="162" t="s">
        <v>1334</v>
      </c>
    </row>
    <row r="4309" spans="1:41" s="162" customFormat="1" x14ac:dyDescent="0.3">
      <c r="A4309" s="205" t="s">
        <v>8321</v>
      </c>
      <c r="B4309" s="162" t="s">
        <v>8322</v>
      </c>
      <c r="C4309" s="168" t="s">
        <v>13530</v>
      </c>
      <c r="D4309" s="162" t="s">
        <v>13531</v>
      </c>
      <c r="E4309" s="406" t="s">
        <v>13532</v>
      </c>
      <c r="F4309" s="406" t="s">
        <v>13533</v>
      </c>
      <c r="G4309" s="406">
        <v>166602</v>
      </c>
      <c r="H4309" s="162" t="s">
        <v>13538</v>
      </c>
      <c r="K4309" s="406">
        <v>16660211</v>
      </c>
      <c r="L4309" s="162" t="s">
        <v>15546</v>
      </c>
      <c r="M4309" s="162" t="s">
        <v>15547</v>
      </c>
      <c r="O4309" s="224">
        <v>3</v>
      </c>
      <c r="P4309" s="224">
        <v>32</v>
      </c>
      <c r="Q4309" s="224">
        <v>32</v>
      </c>
      <c r="R4309" s="224">
        <v>32</v>
      </c>
      <c r="S4309" s="224">
        <v>32</v>
      </c>
      <c r="T4309" s="223" t="s">
        <v>1345</v>
      </c>
      <c r="U4309" t="str">
        <f>VLOOKUP(T4309,[8]Votes!$A$1:$E$234,3,FALSE)</f>
        <v>001 Office of the President</v>
      </c>
      <c r="V4309" s="162" t="s">
        <v>15548</v>
      </c>
      <c r="W4309" s="388">
        <v>1</v>
      </c>
      <c r="X4309" s="388">
        <v>0</v>
      </c>
      <c r="Y4309" s="388">
        <v>0</v>
      </c>
      <c r="Z4309" s="388">
        <v>1</v>
      </c>
      <c r="AA4309" s="388">
        <v>1</v>
      </c>
      <c r="AB4309" s="388">
        <v>1</v>
      </c>
      <c r="AC4309" s="150">
        <v>1</v>
      </c>
      <c r="AD4309" s="150">
        <v>1</v>
      </c>
      <c r="AE4309" s="49">
        <f t="shared" si="156"/>
        <v>0.75</v>
      </c>
      <c r="AF4309" s="23">
        <v>1</v>
      </c>
      <c r="AG4309" s="17">
        <v>0</v>
      </c>
      <c r="AH4309" s="485">
        <v>0.04</v>
      </c>
      <c r="AI4309" s="485">
        <v>1.19</v>
      </c>
      <c r="AJ4309" s="485">
        <v>1.19</v>
      </c>
      <c r="AK4309" s="493">
        <v>2.5</v>
      </c>
      <c r="AL4309" s="173">
        <v>2.5</v>
      </c>
      <c r="AM4309" s="17">
        <f t="shared" si="157"/>
        <v>5</v>
      </c>
      <c r="AN4309" s="162" t="s">
        <v>1345</v>
      </c>
      <c r="AO4309" s="162" t="s">
        <v>1334</v>
      </c>
    </row>
    <row r="4310" spans="1:41" s="162" customFormat="1" x14ac:dyDescent="0.3">
      <c r="A4310" s="205" t="s">
        <v>8321</v>
      </c>
      <c r="B4310" s="162" t="s">
        <v>8322</v>
      </c>
      <c r="C4310" s="168" t="s">
        <v>13530</v>
      </c>
      <c r="D4310" s="162" t="s">
        <v>13531</v>
      </c>
      <c r="E4310" s="406" t="s">
        <v>13532</v>
      </c>
      <c r="F4310" s="406" t="s">
        <v>13533</v>
      </c>
      <c r="G4310" s="406">
        <v>166602</v>
      </c>
      <c r="H4310" s="162" t="s">
        <v>13538</v>
      </c>
      <c r="K4310" s="406">
        <v>16660212</v>
      </c>
      <c r="L4310" s="168" t="s">
        <v>15549</v>
      </c>
      <c r="M4310" s="168" t="s">
        <v>15550</v>
      </c>
      <c r="O4310" s="224">
        <v>200</v>
      </c>
      <c r="P4310" s="224">
        <v>200</v>
      </c>
      <c r="Q4310" s="224">
        <v>200</v>
      </c>
      <c r="R4310" s="224">
        <v>200</v>
      </c>
      <c r="S4310" s="224">
        <v>200</v>
      </c>
      <c r="T4310" s="223" t="s">
        <v>1345</v>
      </c>
      <c r="U4310" t="str">
        <f>VLOOKUP(T4310,[8]Votes!$A$1:$E$234,3,FALSE)</f>
        <v>001 Office of the President</v>
      </c>
      <c r="V4310" s="162" t="s">
        <v>15551</v>
      </c>
      <c r="W4310" s="388">
        <v>1</v>
      </c>
      <c r="X4310" s="388">
        <v>0</v>
      </c>
      <c r="Y4310" s="388">
        <v>0</v>
      </c>
      <c r="Z4310" s="388">
        <v>1</v>
      </c>
      <c r="AA4310" s="388">
        <v>1</v>
      </c>
      <c r="AB4310" s="388">
        <v>1</v>
      </c>
      <c r="AC4310" s="150">
        <v>1</v>
      </c>
      <c r="AD4310" s="150">
        <v>1</v>
      </c>
      <c r="AE4310" s="49">
        <f t="shared" si="156"/>
        <v>0.75</v>
      </c>
      <c r="AF4310" s="23">
        <v>1</v>
      </c>
      <c r="AG4310" s="17">
        <v>0</v>
      </c>
      <c r="AH4310" s="485">
        <v>0.06</v>
      </c>
      <c r="AI4310" s="485">
        <v>0.1</v>
      </c>
      <c r="AJ4310" s="485">
        <v>0.5</v>
      </c>
      <c r="AK4310" s="493">
        <v>0.5</v>
      </c>
      <c r="AL4310" s="493">
        <v>0.5</v>
      </c>
      <c r="AM4310" s="17">
        <f t="shared" si="157"/>
        <v>1</v>
      </c>
      <c r="AN4310" s="162" t="s">
        <v>1345</v>
      </c>
      <c r="AO4310" s="162" t="s">
        <v>1334</v>
      </c>
    </row>
    <row r="4311" spans="1:41" s="168" customFormat="1" x14ac:dyDescent="0.3">
      <c r="A4311" s="205" t="s">
        <v>8321</v>
      </c>
      <c r="B4311" s="162" t="s">
        <v>8322</v>
      </c>
      <c r="C4311" s="168" t="s">
        <v>13530</v>
      </c>
      <c r="D4311" s="168" t="s">
        <v>13531</v>
      </c>
      <c r="E4311" s="406" t="s">
        <v>13532</v>
      </c>
      <c r="F4311" s="406" t="s">
        <v>13533</v>
      </c>
      <c r="G4311" s="406">
        <v>166602</v>
      </c>
      <c r="H4311" s="168" t="s">
        <v>13538</v>
      </c>
      <c r="K4311" s="406">
        <v>16660213</v>
      </c>
      <c r="L4311" s="168" t="s">
        <v>15552</v>
      </c>
      <c r="M4311" s="168" t="s">
        <v>15553</v>
      </c>
      <c r="O4311" s="189">
        <v>2</v>
      </c>
      <c r="P4311" s="189">
        <v>1</v>
      </c>
      <c r="Q4311" s="189">
        <v>2</v>
      </c>
      <c r="R4311" s="189">
        <v>2</v>
      </c>
      <c r="S4311" s="189">
        <v>2</v>
      </c>
      <c r="T4311" s="184" t="s">
        <v>1345</v>
      </c>
      <c r="U4311" t="str">
        <f>VLOOKUP(T4311,[8]Votes!$A$1:$E$234,3,FALSE)</f>
        <v>001 Office of the President</v>
      </c>
      <c r="V4311" s="168" t="s">
        <v>14938</v>
      </c>
      <c r="W4311" s="388">
        <v>1</v>
      </c>
      <c r="X4311" s="388">
        <v>0</v>
      </c>
      <c r="Y4311" s="388">
        <v>0</v>
      </c>
      <c r="Z4311" s="388">
        <v>1</v>
      </c>
      <c r="AA4311" s="388">
        <v>1</v>
      </c>
      <c r="AB4311" s="388">
        <v>1</v>
      </c>
      <c r="AC4311" s="150">
        <v>1</v>
      </c>
      <c r="AD4311" s="150">
        <v>1</v>
      </c>
      <c r="AE4311" s="49">
        <f t="shared" si="156"/>
        <v>0.75</v>
      </c>
      <c r="AF4311" s="23">
        <v>1</v>
      </c>
      <c r="AG4311" s="17">
        <v>0</v>
      </c>
      <c r="AH4311" s="190">
        <v>0.15</v>
      </c>
      <c r="AI4311" s="190">
        <v>0.1</v>
      </c>
      <c r="AJ4311" s="190">
        <v>0.19</v>
      </c>
      <c r="AK4311" s="191">
        <v>0.99</v>
      </c>
      <c r="AL4311" s="172">
        <v>0.99</v>
      </c>
      <c r="AM4311" s="17">
        <f t="shared" si="157"/>
        <v>1.98</v>
      </c>
      <c r="AN4311" s="168" t="s">
        <v>1345</v>
      </c>
      <c r="AO4311" s="162" t="s">
        <v>1334</v>
      </c>
    </row>
    <row r="4312" spans="1:41" s="162" customFormat="1" x14ac:dyDescent="0.3">
      <c r="A4312" s="205" t="s">
        <v>8321</v>
      </c>
      <c r="B4312" s="162" t="s">
        <v>8322</v>
      </c>
      <c r="C4312" s="168" t="s">
        <v>13530</v>
      </c>
      <c r="D4312" s="162" t="s">
        <v>13531</v>
      </c>
      <c r="E4312" s="406" t="s">
        <v>13532</v>
      </c>
      <c r="F4312" s="406" t="s">
        <v>13533</v>
      </c>
      <c r="G4312" s="406">
        <v>166602</v>
      </c>
      <c r="H4312" s="162" t="s">
        <v>13538</v>
      </c>
      <c r="K4312" s="406">
        <v>16660214</v>
      </c>
      <c r="L4312" s="162" t="s">
        <v>15554</v>
      </c>
      <c r="M4312" s="162" t="s">
        <v>15555</v>
      </c>
      <c r="O4312" s="224">
        <v>0</v>
      </c>
      <c r="P4312" s="224">
        <v>3</v>
      </c>
      <c r="Q4312" s="224">
        <v>3</v>
      </c>
      <c r="R4312" s="224">
        <v>2</v>
      </c>
      <c r="S4312" s="224">
        <v>2</v>
      </c>
      <c r="T4312" s="223" t="s">
        <v>1345</v>
      </c>
      <c r="U4312" t="str">
        <f>VLOOKUP(T4312,[8]Votes!$A$1:$E$234,3,FALSE)</f>
        <v>001 Office of the President</v>
      </c>
      <c r="V4312" s="162" t="s">
        <v>15556</v>
      </c>
      <c r="W4312" s="388">
        <v>1</v>
      </c>
      <c r="X4312" s="388">
        <v>0</v>
      </c>
      <c r="Y4312" s="388">
        <v>0</v>
      </c>
      <c r="Z4312" s="388">
        <v>1</v>
      </c>
      <c r="AA4312" s="388">
        <v>1</v>
      </c>
      <c r="AB4312" s="388">
        <v>1</v>
      </c>
      <c r="AC4312" s="150">
        <v>1</v>
      </c>
      <c r="AD4312" s="150">
        <v>1</v>
      </c>
      <c r="AE4312" s="49">
        <f t="shared" si="156"/>
        <v>0.75</v>
      </c>
      <c r="AF4312" s="23">
        <v>1</v>
      </c>
      <c r="AG4312" s="17">
        <v>0</v>
      </c>
      <c r="AH4312" s="190">
        <v>0</v>
      </c>
      <c r="AI4312" s="190">
        <v>0</v>
      </c>
      <c r="AJ4312" s="485">
        <v>0.21</v>
      </c>
      <c r="AK4312" s="493">
        <v>0.21</v>
      </c>
      <c r="AL4312" s="493">
        <v>0.21</v>
      </c>
      <c r="AM4312" s="17">
        <f t="shared" si="157"/>
        <v>0.42</v>
      </c>
      <c r="AN4312" s="162" t="s">
        <v>1345</v>
      </c>
      <c r="AO4312" s="162" t="s">
        <v>1334</v>
      </c>
    </row>
    <row r="4313" spans="1:41" s="162" customFormat="1" x14ac:dyDescent="0.3">
      <c r="A4313" s="205" t="s">
        <v>8321</v>
      </c>
      <c r="B4313" s="162" t="s">
        <v>8322</v>
      </c>
      <c r="C4313" s="168" t="s">
        <v>13530</v>
      </c>
      <c r="D4313" s="162" t="s">
        <v>13531</v>
      </c>
      <c r="E4313" s="406" t="s">
        <v>13532</v>
      </c>
      <c r="F4313" s="406" t="s">
        <v>13533</v>
      </c>
      <c r="G4313" s="406">
        <v>166602</v>
      </c>
      <c r="H4313" s="162" t="s">
        <v>13538</v>
      </c>
      <c r="K4313" s="406">
        <v>16660215</v>
      </c>
      <c r="L4313" s="168" t="s">
        <v>15557</v>
      </c>
      <c r="M4313" s="168" t="s">
        <v>15558</v>
      </c>
      <c r="O4313" s="224">
        <v>12</v>
      </c>
      <c r="P4313" s="224">
        <v>12</v>
      </c>
      <c r="Q4313" s="224">
        <v>12</v>
      </c>
      <c r="R4313" s="224">
        <v>12</v>
      </c>
      <c r="S4313" s="224">
        <v>12</v>
      </c>
      <c r="T4313" s="223" t="s">
        <v>1345</v>
      </c>
      <c r="U4313" t="str">
        <f>VLOOKUP(T4313,[8]Votes!$A$1:$E$234,3,FALSE)</f>
        <v>001 Office of the President</v>
      </c>
      <c r="V4313" s="162" t="s">
        <v>15559</v>
      </c>
      <c r="W4313" s="388">
        <v>1</v>
      </c>
      <c r="X4313" s="388">
        <v>0</v>
      </c>
      <c r="Y4313" s="388">
        <v>0</v>
      </c>
      <c r="Z4313" s="388">
        <v>1</v>
      </c>
      <c r="AA4313" s="388">
        <v>1</v>
      </c>
      <c r="AB4313" s="388">
        <v>1</v>
      </c>
      <c r="AC4313" s="150">
        <v>1</v>
      </c>
      <c r="AD4313" s="150">
        <v>1</v>
      </c>
      <c r="AE4313" s="49">
        <f t="shared" si="156"/>
        <v>0.75</v>
      </c>
      <c r="AF4313" s="23">
        <v>1</v>
      </c>
      <c r="AG4313" s="17">
        <v>0</v>
      </c>
      <c r="AH4313" s="190">
        <v>0</v>
      </c>
      <c r="AI4313" s="485">
        <v>0.05</v>
      </c>
      <c r="AJ4313" s="485">
        <v>0.1</v>
      </c>
      <c r="AK4313" s="493">
        <v>0.1</v>
      </c>
      <c r="AL4313" s="493">
        <v>0.1</v>
      </c>
      <c r="AM4313" s="17">
        <f t="shared" si="157"/>
        <v>0.2</v>
      </c>
      <c r="AN4313" s="162" t="s">
        <v>1345</v>
      </c>
      <c r="AO4313" s="162" t="s">
        <v>1334</v>
      </c>
    </row>
    <row r="4314" spans="1:41" s="162" customFormat="1" x14ac:dyDescent="0.3">
      <c r="A4314" s="205" t="s">
        <v>8321</v>
      </c>
      <c r="B4314" s="162" t="s">
        <v>8322</v>
      </c>
      <c r="C4314" s="168" t="s">
        <v>13530</v>
      </c>
      <c r="D4314" s="162" t="s">
        <v>13531</v>
      </c>
      <c r="E4314" s="406" t="s">
        <v>13532</v>
      </c>
      <c r="F4314" s="406" t="s">
        <v>13533</v>
      </c>
      <c r="G4314" s="406">
        <v>166602</v>
      </c>
      <c r="H4314" s="162" t="s">
        <v>13538</v>
      </c>
      <c r="K4314" s="406">
        <v>16660216</v>
      </c>
      <c r="L4314" s="162" t="s">
        <v>15560</v>
      </c>
      <c r="M4314" s="162" t="s">
        <v>15561</v>
      </c>
      <c r="O4314" s="224">
        <v>15</v>
      </c>
      <c r="P4314" s="224">
        <v>15</v>
      </c>
      <c r="Q4314" s="224">
        <v>15</v>
      </c>
      <c r="R4314" s="224">
        <v>15</v>
      </c>
      <c r="S4314" s="224">
        <v>15</v>
      </c>
      <c r="T4314" s="223" t="s">
        <v>1345</v>
      </c>
      <c r="U4314" t="str">
        <f>VLOOKUP(T4314,[8]Votes!$A$1:$E$234,3,FALSE)</f>
        <v>001 Office of the President</v>
      </c>
      <c r="V4314" s="162" t="s">
        <v>15562</v>
      </c>
      <c r="W4314" s="388">
        <v>1</v>
      </c>
      <c r="X4314" s="388">
        <v>0</v>
      </c>
      <c r="Y4314" s="388">
        <v>1</v>
      </c>
      <c r="Z4314" s="388">
        <v>1</v>
      </c>
      <c r="AA4314" s="388">
        <v>1</v>
      </c>
      <c r="AB4314" s="388">
        <v>1</v>
      </c>
      <c r="AC4314" s="150">
        <v>0</v>
      </c>
      <c r="AD4314" s="150">
        <v>1</v>
      </c>
      <c r="AE4314" s="49">
        <f t="shared" si="156"/>
        <v>0.75</v>
      </c>
      <c r="AF4314" s="23">
        <v>1</v>
      </c>
      <c r="AG4314" s="17">
        <v>0</v>
      </c>
      <c r="AH4314" s="485">
        <v>0.05</v>
      </c>
      <c r="AI4314" s="485">
        <v>0.05</v>
      </c>
      <c r="AJ4314" s="485">
        <v>0.05</v>
      </c>
      <c r="AK4314" s="493">
        <v>0.5</v>
      </c>
      <c r="AL4314" s="173">
        <v>0.5</v>
      </c>
      <c r="AM4314" s="17">
        <f t="shared" si="157"/>
        <v>1</v>
      </c>
      <c r="AN4314" s="162" t="s">
        <v>1345</v>
      </c>
      <c r="AO4314" s="162" t="s">
        <v>1334</v>
      </c>
    </row>
    <row r="4315" spans="1:41" s="162" customFormat="1" x14ac:dyDescent="0.3">
      <c r="A4315" s="205" t="s">
        <v>8321</v>
      </c>
      <c r="B4315" s="162" t="s">
        <v>8322</v>
      </c>
      <c r="C4315" s="168" t="s">
        <v>13530</v>
      </c>
      <c r="D4315" s="162" t="s">
        <v>13531</v>
      </c>
      <c r="E4315" s="406" t="s">
        <v>13532</v>
      </c>
      <c r="F4315" s="406" t="s">
        <v>13533</v>
      </c>
      <c r="G4315" s="406">
        <v>166602</v>
      </c>
      <c r="H4315" s="162" t="s">
        <v>13538</v>
      </c>
      <c r="K4315" s="406">
        <v>16660217</v>
      </c>
      <c r="L4315" s="162" t="s">
        <v>15563</v>
      </c>
      <c r="M4315" s="162" t="s">
        <v>15564</v>
      </c>
      <c r="N4315">
        <v>1</v>
      </c>
      <c r="O4315" s="3">
        <v>0</v>
      </c>
      <c r="P4315" s="3">
        <v>0</v>
      </c>
      <c r="Q4315" s="3">
        <v>1</v>
      </c>
      <c r="R4315" s="3">
        <v>1</v>
      </c>
      <c r="S4315" s="3">
        <v>1</v>
      </c>
      <c r="T4315" s="223" t="s">
        <v>3875</v>
      </c>
      <c r="U4315" t="str">
        <f>VLOOKUP(T4315,[8]Votes!$A$1:$E$234,3,FALSE)</f>
        <v>007 Ministry of Justice and Constitutional Affairs</v>
      </c>
      <c r="V4315" s="223" t="s">
        <v>15565</v>
      </c>
      <c r="W4315" s="388">
        <v>1</v>
      </c>
      <c r="X4315" s="388">
        <v>1</v>
      </c>
      <c r="Y4315" s="388">
        <v>0</v>
      </c>
      <c r="Z4315" s="388">
        <v>0</v>
      </c>
      <c r="AA4315" s="388">
        <v>0</v>
      </c>
      <c r="AB4315" s="388">
        <v>0</v>
      </c>
      <c r="AC4315" s="150">
        <v>0</v>
      </c>
      <c r="AD4315" s="150">
        <v>0</v>
      </c>
      <c r="AE4315" s="49">
        <f t="shared" si="156"/>
        <v>0.25</v>
      </c>
      <c r="AF4315" s="23">
        <v>0</v>
      </c>
      <c r="AG4315" s="17">
        <v>0</v>
      </c>
      <c r="AH4315" s="190">
        <v>0</v>
      </c>
      <c r="AI4315" s="190">
        <v>0</v>
      </c>
      <c r="AJ4315" s="533">
        <v>0.37</v>
      </c>
      <c r="AK4315" s="534">
        <v>0</v>
      </c>
      <c r="AL4315" s="534">
        <v>0</v>
      </c>
      <c r="AM4315" s="17">
        <f t="shared" si="157"/>
        <v>0</v>
      </c>
      <c r="AN4315" s="223" t="s">
        <v>3875</v>
      </c>
      <c r="AO4315" s="162" t="s">
        <v>3877</v>
      </c>
    </row>
    <row r="4316" spans="1:41" s="162" customFormat="1" ht="28.8" x14ac:dyDescent="0.3">
      <c r="A4316" s="205" t="s">
        <v>8321</v>
      </c>
      <c r="B4316" s="162" t="s">
        <v>8322</v>
      </c>
      <c r="C4316" s="168" t="s">
        <v>13530</v>
      </c>
      <c r="D4316" s="162" t="s">
        <v>13531</v>
      </c>
      <c r="E4316" s="406" t="s">
        <v>13532</v>
      </c>
      <c r="F4316" s="406" t="s">
        <v>13533</v>
      </c>
      <c r="G4316" s="406">
        <v>166603</v>
      </c>
      <c r="H4316" s="162" t="s">
        <v>15566</v>
      </c>
      <c r="K4316" s="162">
        <v>16660301</v>
      </c>
      <c r="L4316" s="162" t="s">
        <v>15567</v>
      </c>
      <c r="M4316" s="162" t="s">
        <v>15568</v>
      </c>
      <c r="O4316" s="224">
        <v>2</v>
      </c>
      <c r="P4316" s="224">
        <v>4</v>
      </c>
      <c r="Q4316" s="224">
        <v>4</v>
      </c>
      <c r="R4316" s="224">
        <v>4</v>
      </c>
      <c r="S4316" s="224">
        <v>4</v>
      </c>
      <c r="T4316" s="223" t="s">
        <v>1775</v>
      </c>
      <c r="U4316" t="str">
        <f>VLOOKUP(T4316,[8]Votes!$A$1:$E$234,3,FALSE)</f>
        <v>112 Ethics and Integrity</v>
      </c>
      <c r="V4316" s="162" t="s">
        <v>15569</v>
      </c>
      <c r="W4316" s="388" t="s">
        <v>14569</v>
      </c>
      <c r="X4316" s="388">
        <v>1</v>
      </c>
      <c r="Y4316" s="388">
        <v>1</v>
      </c>
      <c r="Z4316" s="388">
        <v>1</v>
      </c>
      <c r="AA4316" s="388">
        <v>1</v>
      </c>
      <c r="AB4316" s="388">
        <v>1</v>
      </c>
      <c r="AC4316" s="150">
        <v>1</v>
      </c>
      <c r="AD4316" s="150">
        <v>1</v>
      </c>
      <c r="AE4316" s="49">
        <f t="shared" si="156"/>
        <v>0.875</v>
      </c>
      <c r="AF4316" s="23"/>
      <c r="AG4316" s="17">
        <v>1</v>
      </c>
      <c r="AH4316" s="485">
        <v>0.1</v>
      </c>
      <c r="AI4316" s="485">
        <v>0.8</v>
      </c>
      <c r="AJ4316" s="485">
        <v>0.8</v>
      </c>
      <c r="AK4316" s="493">
        <v>0</v>
      </c>
      <c r="AL4316" s="173">
        <v>0</v>
      </c>
      <c r="AM4316" s="17">
        <f t="shared" si="157"/>
        <v>0</v>
      </c>
      <c r="AN4316" s="162" t="s">
        <v>1775</v>
      </c>
      <c r="AO4316" s="162" t="s">
        <v>1776</v>
      </c>
    </row>
    <row r="4317" spans="1:41" s="162" customFormat="1" x14ac:dyDescent="0.3">
      <c r="A4317" s="205" t="s">
        <v>8321</v>
      </c>
      <c r="B4317" s="162" t="s">
        <v>8322</v>
      </c>
      <c r="C4317" s="168" t="s">
        <v>13530</v>
      </c>
      <c r="D4317" s="162" t="s">
        <v>13531</v>
      </c>
      <c r="E4317" s="406" t="s">
        <v>13532</v>
      </c>
      <c r="F4317" s="406" t="s">
        <v>13533</v>
      </c>
      <c r="G4317" s="406">
        <v>166603</v>
      </c>
      <c r="H4317" s="162" t="s">
        <v>15566</v>
      </c>
      <c r="K4317" s="162">
        <v>16660301</v>
      </c>
      <c r="L4317" s="162" t="s">
        <v>15567</v>
      </c>
      <c r="M4317" s="162" t="s">
        <v>15570</v>
      </c>
      <c r="N4317" s="162">
        <v>2</v>
      </c>
      <c r="O4317" s="224">
        <v>2</v>
      </c>
      <c r="P4317" s="224">
        <v>2</v>
      </c>
      <c r="Q4317" s="224">
        <v>2</v>
      </c>
      <c r="R4317" s="224">
        <v>2</v>
      </c>
      <c r="S4317" s="224">
        <v>2</v>
      </c>
      <c r="T4317" s="223" t="s">
        <v>10732</v>
      </c>
      <c r="U4317" t="str">
        <f>VLOOKUP(T4317,[8]Votes!$A$1:$E$234,3,FALSE)</f>
        <v>105 Law Reform Commission</v>
      </c>
      <c r="V4317" s="162" t="s">
        <v>15571</v>
      </c>
      <c r="W4317" s="388">
        <v>1</v>
      </c>
      <c r="X4317" s="388">
        <v>1</v>
      </c>
      <c r="Y4317" s="388">
        <v>1</v>
      </c>
      <c r="Z4317" s="388">
        <v>1</v>
      </c>
      <c r="AA4317" s="388">
        <v>1</v>
      </c>
      <c r="AB4317" s="388">
        <v>1</v>
      </c>
      <c r="AC4317" s="150">
        <v>1</v>
      </c>
      <c r="AD4317" s="150">
        <v>1</v>
      </c>
      <c r="AE4317" s="49">
        <f t="shared" si="156"/>
        <v>1</v>
      </c>
      <c r="AF4317" s="23">
        <v>0</v>
      </c>
      <c r="AG4317" s="17">
        <v>0</v>
      </c>
      <c r="AH4317" s="190">
        <v>0</v>
      </c>
      <c r="AI4317" s="485">
        <v>0.1</v>
      </c>
      <c r="AJ4317" s="485">
        <v>0.12</v>
      </c>
      <c r="AK4317" s="493">
        <v>0.12</v>
      </c>
      <c r="AL4317" s="173">
        <v>0.12</v>
      </c>
      <c r="AM4317" s="17">
        <f t="shared" si="157"/>
        <v>0.24</v>
      </c>
      <c r="AN4317" s="162" t="s">
        <v>10732</v>
      </c>
      <c r="AO4317" s="162" t="s">
        <v>15453</v>
      </c>
    </row>
    <row r="4318" spans="1:41" s="162" customFormat="1" x14ac:dyDescent="0.3">
      <c r="A4318" s="205" t="s">
        <v>8321</v>
      </c>
      <c r="B4318" s="162" t="s">
        <v>8322</v>
      </c>
      <c r="C4318" s="168" t="s">
        <v>13530</v>
      </c>
      <c r="D4318" s="162" t="s">
        <v>13531</v>
      </c>
      <c r="E4318" s="406" t="s">
        <v>13532</v>
      </c>
      <c r="F4318" s="406" t="s">
        <v>13533</v>
      </c>
      <c r="G4318" s="406">
        <v>166603</v>
      </c>
      <c r="H4318" s="162" t="s">
        <v>15566</v>
      </c>
      <c r="K4318" s="162">
        <v>16660301</v>
      </c>
      <c r="L4318" s="162" t="s">
        <v>15567</v>
      </c>
      <c r="M4318" s="162" t="s">
        <v>15572</v>
      </c>
      <c r="N4318" s="162">
        <v>2</v>
      </c>
      <c r="O4318" s="224">
        <v>2</v>
      </c>
      <c r="P4318" s="224">
        <v>2</v>
      </c>
      <c r="Q4318" s="224">
        <v>2</v>
      </c>
      <c r="R4318" s="224">
        <v>3</v>
      </c>
      <c r="S4318" s="224">
        <v>3</v>
      </c>
      <c r="T4318" s="223" t="s">
        <v>10732</v>
      </c>
      <c r="U4318" t="str">
        <f>VLOOKUP(T4318,[8]Votes!$A$1:$E$234,3,FALSE)</f>
        <v>105 Law Reform Commission</v>
      </c>
      <c r="V4318" s="162" t="s">
        <v>15573</v>
      </c>
      <c r="W4318" s="388">
        <v>1</v>
      </c>
      <c r="X4318" s="388">
        <v>1</v>
      </c>
      <c r="Y4318" s="388">
        <v>1</v>
      </c>
      <c r="Z4318" s="388">
        <v>1</v>
      </c>
      <c r="AA4318" s="388">
        <v>1</v>
      </c>
      <c r="AB4318" s="388">
        <v>1</v>
      </c>
      <c r="AC4318" s="150">
        <v>1</v>
      </c>
      <c r="AD4318" s="150">
        <v>0</v>
      </c>
      <c r="AE4318" s="49">
        <f t="shared" si="156"/>
        <v>0.875</v>
      </c>
      <c r="AF4318" s="23">
        <v>0</v>
      </c>
      <c r="AG4318" s="17">
        <v>0</v>
      </c>
      <c r="AH4318" s="485">
        <v>0.12</v>
      </c>
      <c r="AI4318" s="485">
        <v>0.12</v>
      </c>
      <c r="AJ4318" s="485">
        <v>0.12</v>
      </c>
      <c r="AK4318" s="493">
        <v>0.12</v>
      </c>
      <c r="AL4318" s="173">
        <v>0.12</v>
      </c>
      <c r="AM4318" s="17">
        <f t="shared" si="157"/>
        <v>0.24</v>
      </c>
      <c r="AN4318" s="162" t="s">
        <v>10732</v>
      </c>
      <c r="AO4318" s="162" t="s">
        <v>15453</v>
      </c>
    </row>
    <row r="4319" spans="1:41" s="162" customFormat="1" x14ac:dyDescent="0.3">
      <c r="A4319" s="205" t="s">
        <v>8321</v>
      </c>
      <c r="B4319" s="162" t="s">
        <v>8322</v>
      </c>
      <c r="C4319" s="168" t="s">
        <v>13530</v>
      </c>
      <c r="D4319" s="162" t="s">
        <v>13531</v>
      </c>
      <c r="E4319" s="406" t="s">
        <v>13532</v>
      </c>
      <c r="F4319" s="406" t="s">
        <v>13533</v>
      </c>
      <c r="G4319" s="406">
        <v>166603</v>
      </c>
      <c r="H4319" s="162" t="s">
        <v>15566</v>
      </c>
      <c r="K4319" s="162">
        <v>16660301</v>
      </c>
      <c r="L4319" s="162" t="s">
        <v>15567</v>
      </c>
      <c r="M4319" s="162" t="s">
        <v>15574</v>
      </c>
      <c r="N4319" s="162">
        <v>3</v>
      </c>
      <c r="O4319" s="224">
        <v>2</v>
      </c>
      <c r="P4319" s="224">
        <v>2</v>
      </c>
      <c r="Q4319" s="224">
        <v>2</v>
      </c>
      <c r="R4319" s="224">
        <v>2</v>
      </c>
      <c r="S4319" s="224">
        <v>2</v>
      </c>
      <c r="T4319" s="223" t="s">
        <v>10732</v>
      </c>
      <c r="U4319" t="str">
        <f>VLOOKUP(T4319,[8]Votes!$A$1:$E$234,3,FALSE)</f>
        <v>105 Law Reform Commission</v>
      </c>
      <c r="V4319" s="162" t="s">
        <v>15575</v>
      </c>
      <c r="W4319" s="388">
        <v>1</v>
      </c>
      <c r="X4319" s="388">
        <v>1</v>
      </c>
      <c r="Y4319" s="388">
        <v>1</v>
      </c>
      <c r="Z4319" s="388">
        <v>1</v>
      </c>
      <c r="AA4319" s="388">
        <v>1</v>
      </c>
      <c r="AB4319" s="388">
        <v>1</v>
      </c>
      <c r="AC4319" s="150">
        <v>1</v>
      </c>
      <c r="AD4319" s="150">
        <v>0</v>
      </c>
      <c r="AE4319" s="49">
        <f t="shared" si="156"/>
        <v>0.875</v>
      </c>
      <c r="AF4319" s="23">
        <v>0</v>
      </c>
      <c r="AG4319" s="17">
        <v>0</v>
      </c>
      <c r="AH4319" s="485">
        <v>0.1</v>
      </c>
      <c r="AI4319" s="485">
        <v>0.1</v>
      </c>
      <c r="AJ4319" s="485">
        <v>0.1</v>
      </c>
      <c r="AK4319" s="493">
        <v>0.1</v>
      </c>
      <c r="AL4319" s="173">
        <v>0.1</v>
      </c>
      <c r="AM4319" s="17">
        <f t="shared" si="157"/>
        <v>0.2</v>
      </c>
      <c r="AN4319" s="162" t="s">
        <v>10732</v>
      </c>
      <c r="AO4319" s="162" t="s">
        <v>15453</v>
      </c>
    </row>
    <row r="4320" spans="1:41" s="162" customFormat="1" x14ac:dyDescent="0.3">
      <c r="A4320" s="205" t="s">
        <v>8321</v>
      </c>
      <c r="B4320" s="162" t="s">
        <v>8322</v>
      </c>
      <c r="C4320" s="168" t="s">
        <v>13530</v>
      </c>
      <c r="D4320" s="162" t="s">
        <v>13531</v>
      </c>
      <c r="E4320" s="406" t="s">
        <v>13532</v>
      </c>
      <c r="F4320" s="406" t="s">
        <v>13533</v>
      </c>
      <c r="G4320" s="406">
        <v>166603</v>
      </c>
      <c r="H4320" s="162" t="s">
        <v>15566</v>
      </c>
      <c r="K4320" s="162">
        <v>16660301</v>
      </c>
      <c r="L4320" s="162" t="s">
        <v>15567</v>
      </c>
      <c r="M4320" s="162" t="s">
        <v>15576</v>
      </c>
      <c r="N4320" s="162">
        <v>0</v>
      </c>
      <c r="O4320" s="224">
        <v>0</v>
      </c>
      <c r="P4320" s="224">
        <v>1</v>
      </c>
      <c r="Q4320" s="224">
        <v>0</v>
      </c>
      <c r="R4320" s="224">
        <v>1</v>
      </c>
      <c r="S4320" s="224">
        <v>0</v>
      </c>
      <c r="T4320" s="223" t="s">
        <v>10732</v>
      </c>
      <c r="U4320" t="str">
        <f>VLOOKUP(T4320,[8]Votes!$A$1:$E$234,3,FALSE)</f>
        <v>105 Law Reform Commission</v>
      </c>
      <c r="V4320" s="162" t="s">
        <v>15577</v>
      </c>
      <c r="W4320" s="388">
        <v>1</v>
      </c>
      <c r="X4320" s="388">
        <v>0</v>
      </c>
      <c r="Y4320" s="388">
        <v>0</v>
      </c>
      <c r="Z4320" s="388">
        <v>0</v>
      </c>
      <c r="AA4320" s="388">
        <v>0</v>
      </c>
      <c r="AB4320" s="388">
        <v>1</v>
      </c>
      <c r="AC4320" s="150">
        <v>0</v>
      </c>
      <c r="AD4320" s="150">
        <v>0</v>
      </c>
      <c r="AE4320" s="49">
        <f t="shared" si="156"/>
        <v>0.25</v>
      </c>
      <c r="AF4320" s="23">
        <v>0</v>
      </c>
      <c r="AG4320" s="17">
        <v>0</v>
      </c>
      <c r="AH4320" s="190">
        <v>0</v>
      </c>
      <c r="AI4320" s="485">
        <v>0.154</v>
      </c>
      <c r="AJ4320" s="190">
        <v>0</v>
      </c>
      <c r="AK4320" s="493">
        <v>0.15</v>
      </c>
      <c r="AL4320" s="191">
        <v>0</v>
      </c>
      <c r="AM4320" s="17">
        <f t="shared" si="157"/>
        <v>0.15</v>
      </c>
      <c r="AN4320" s="162" t="s">
        <v>10732</v>
      </c>
      <c r="AO4320" s="162" t="s">
        <v>15453</v>
      </c>
    </row>
    <row r="4321" spans="1:41" s="162" customFormat="1" x14ac:dyDescent="0.3">
      <c r="A4321" s="205" t="s">
        <v>8321</v>
      </c>
      <c r="B4321" s="162" t="s">
        <v>8322</v>
      </c>
      <c r="C4321" s="168" t="s">
        <v>13530</v>
      </c>
      <c r="D4321" s="162" t="s">
        <v>13531</v>
      </c>
      <c r="E4321" s="406" t="s">
        <v>13532</v>
      </c>
      <c r="F4321" s="406" t="s">
        <v>13533</v>
      </c>
      <c r="G4321" s="406">
        <v>166603</v>
      </c>
      <c r="H4321" s="162" t="s">
        <v>15566</v>
      </c>
      <c r="K4321" s="162">
        <v>16660301</v>
      </c>
      <c r="L4321" s="162" t="s">
        <v>15567</v>
      </c>
      <c r="M4321" s="162" t="s">
        <v>15578</v>
      </c>
      <c r="O4321" s="224"/>
      <c r="P4321" s="224">
        <v>6</v>
      </c>
      <c r="Q4321" s="224">
        <v>6</v>
      </c>
      <c r="R4321" s="224">
        <v>6</v>
      </c>
      <c r="S4321" s="224">
        <v>6</v>
      </c>
      <c r="T4321" s="223" t="s">
        <v>1536</v>
      </c>
      <c r="U4321" t="e">
        <f>VLOOKUP(T4321,[8]Votes!$A$1:$E$234,3,FALSE)</f>
        <v>#N/A</v>
      </c>
      <c r="V4321" s="162" t="s">
        <v>15579</v>
      </c>
      <c r="W4321" s="388">
        <v>1</v>
      </c>
      <c r="X4321" s="388">
        <v>0</v>
      </c>
      <c r="Y4321" s="388">
        <v>0</v>
      </c>
      <c r="Z4321" s="388">
        <v>0</v>
      </c>
      <c r="AA4321" s="388">
        <v>0</v>
      </c>
      <c r="AB4321" s="388">
        <v>0</v>
      </c>
      <c r="AC4321" s="150">
        <v>0</v>
      </c>
      <c r="AD4321" s="150">
        <v>0</v>
      </c>
      <c r="AE4321" s="49">
        <f t="shared" si="156"/>
        <v>0.125</v>
      </c>
      <c r="AF4321" s="23">
        <v>0</v>
      </c>
      <c r="AG4321" s="17">
        <v>0</v>
      </c>
      <c r="AH4321" s="190">
        <v>0</v>
      </c>
      <c r="AI4321" s="485">
        <v>0.25</v>
      </c>
      <c r="AJ4321" s="485">
        <v>0.25</v>
      </c>
      <c r="AK4321" s="493">
        <v>0.25</v>
      </c>
      <c r="AL4321" s="173">
        <v>0.25</v>
      </c>
      <c r="AM4321" s="17">
        <f t="shared" si="157"/>
        <v>0.5</v>
      </c>
      <c r="AN4321" s="162" t="s">
        <v>771</v>
      </c>
      <c r="AO4321" s="162" t="s">
        <v>773</v>
      </c>
    </row>
    <row r="4322" spans="1:41" s="162" customFormat="1" x14ac:dyDescent="0.3">
      <c r="A4322" s="205" t="s">
        <v>8321</v>
      </c>
      <c r="B4322" s="162" t="s">
        <v>8322</v>
      </c>
      <c r="C4322" s="168" t="s">
        <v>13530</v>
      </c>
      <c r="D4322" s="162" t="s">
        <v>13531</v>
      </c>
      <c r="E4322" s="406" t="s">
        <v>13532</v>
      </c>
      <c r="F4322" s="406" t="s">
        <v>13533</v>
      </c>
      <c r="G4322" s="406">
        <v>166603</v>
      </c>
      <c r="H4322" s="162" t="s">
        <v>15566</v>
      </c>
      <c r="K4322" s="162">
        <v>16660302</v>
      </c>
      <c r="L4322" s="162" t="s">
        <v>15580</v>
      </c>
      <c r="M4322" s="162" t="s">
        <v>15581</v>
      </c>
      <c r="O4322" s="224" t="s">
        <v>271</v>
      </c>
      <c r="P4322" s="224">
        <v>2</v>
      </c>
      <c r="Q4322" s="224">
        <v>3</v>
      </c>
      <c r="R4322" s="224" t="s">
        <v>271</v>
      </c>
      <c r="S4322" s="224" t="s">
        <v>271</v>
      </c>
      <c r="T4322" s="223" t="s">
        <v>1775</v>
      </c>
      <c r="U4322" t="str">
        <f>VLOOKUP(T4322,[8]Votes!$A$1:$E$234,3,FALSE)</f>
        <v>112 Ethics and Integrity</v>
      </c>
      <c r="V4322" s="162" t="s">
        <v>15582</v>
      </c>
      <c r="W4322" s="388">
        <v>0</v>
      </c>
      <c r="X4322" s="388">
        <v>0</v>
      </c>
      <c r="Y4322" s="388">
        <v>0</v>
      </c>
      <c r="Z4322" s="388">
        <v>0</v>
      </c>
      <c r="AA4322" s="388">
        <v>0</v>
      </c>
      <c r="AB4322" s="388">
        <v>0</v>
      </c>
      <c r="AC4322" s="150">
        <v>0</v>
      </c>
      <c r="AD4322" s="150">
        <v>0</v>
      </c>
      <c r="AE4322" s="49">
        <f t="shared" si="156"/>
        <v>0</v>
      </c>
      <c r="AF4322" s="23">
        <v>0</v>
      </c>
      <c r="AG4322" s="17">
        <v>0</v>
      </c>
      <c r="AH4322" s="190">
        <v>0</v>
      </c>
      <c r="AI4322" s="485">
        <v>7.0000000000000007E-2</v>
      </c>
      <c r="AJ4322" s="485">
        <v>0.08</v>
      </c>
      <c r="AK4322" s="191">
        <v>0.04</v>
      </c>
      <c r="AL4322" s="191">
        <v>0.03</v>
      </c>
      <c r="AM4322" s="17">
        <f t="shared" si="157"/>
        <v>7.0000000000000007E-2</v>
      </c>
      <c r="AN4322" s="162" t="s">
        <v>1775</v>
      </c>
      <c r="AO4322" s="162" t="s">
        <v>1776</v>
      </c>
    </row>
    <row r="4323" spans="1:41" s="162" customFormat="1" x14ac:dyDescent="0.3">
      <c r="A4323" s="205" t="s">
        <v>8321</v>
      </c>
      <c r="B4323" s="162" t="s">
        <v>8322</v>
      </c>
      <c r="C4323" s="168" t="s">
        <v>13530</v>
      </c>
      <c r="D4323" s="162" t="s">
        <v>13531</v>
      </c>
      <c r="E4323" s="406" t="s">
        <v>13532</v>
      </c>
      <c r="F4323" s="406" t="s">
        <v>13533</v>
      </c>
      <c r="G4323" s="406">
        <v>166603</v>
      </c>
      <c r="H4323" s="162" t="s">
        <v>15566</v>
      </c>
      <c r="K4323" s="162">
        <v>16660302</v>
      </c>
      <c r="L4323" s="162" t="s">
        <v>15580</v>
      </c>
      <c r="M4323" s="162" t="s">
        <v>15581</v>
      </c>
      <c r="O4323" s="224">
        <v>1</v>
      </c>
      <c r="P4323" s="224">
        <v>2</v>
      </c>
      <c r="Q4323" s="224">
        <v>2</v>
      </c>
      <c r="R4323" s="224" t="s">
        <v>271</v>
      </c>
      <c r="S4323" s="224" t="s">
        <v>271</v>
      </c>
      <c r="T4323" s="223" t="s">
        <v>1775</v>
      </c>
      <c r="U4323" t="str">
        <f>VLOOKUP(T4323,[8]Votes!$A$1:$E$234,3,FALSE)</f>
        <v>112 Ethics and Integrity</v>
      </c>
      <c r="V4323" s="162" t="s">
        <v>15583</v>
      </c>
      <c r="W4323" s="388">
        <v>1</v>
      </c>
      <c r="X4323" s="388">
        <v>1</v>
      </c>
      <c r="Y4323" s="388">
        <v>0</v>
      </c>
      <c r="Z4323" s="388">
        <v>1</v>
      </c>
      <c r="AA4323" s="388">
        <v>1</v>
      </c>
      <c r="AB4323" s="388">
        <v>1</v>
      </c>
      <c r="AC4323" s="150">
        <v>1</v>
      </c>
      <c r="AD4323" s="150">
        <v>1</v>
      </c>
      <c r="AE4323" s="49">
        <f t="shared" si="156"/>
        <v>0.875</v>
      </c>
      <c r="AF4323" s="23">
        <v>0</v>
      </c>
      <c r="AG4323" s="17">
        <v>0</v>
      </c>
      <c r="AH4323" s="485">
        <v>3.5000000000000003E-2</v>
      </c>
      <c r="AI4323" s="485">
        <v>7.0000000000000007E-2</v>
      </c>
      <c r="AJ4323" s="485">
        <v>7.0000000000000007E-2</v>
      </c>
      <c r="AK4323" s="191">
        <v>0</v>
      </c>
      <c r="AL4323" s="191">
        <v>0</v>
      </c>
      <c r="AM4323" s="17">
        <f t="shared" si="157"/>
        <v>0</v>
      </c>
      <c r="AN4323" s="162" t="s">
        <v>1775</v>
      </c>
      <c r="AO4323" s="162" t="s">
        <v>1776</v>
      </c>
    </row>
    <row r="4324" spans="1:41" s="162" customFormat="1" x14ac:dyDescent="0.3">
      <c r="A4324" s="205" t="s">
        <v>8321</v>
      </c>
      <c r="B4324" s="162" t="s">
        <v>8322</v>
      </c>
      <c r="C4324" s="168" t="s">
        <v>13530</v>
      </c>
      <c r="D4324" s="162" t="s">
        <v>13531</v>
      </c>
      <c r="E4324" s="406" t="s">
        <v>13532</v>
      </c>
      <c r="F4324" s="406" t="s">
        <v>13533</v>
      </c>
      <c r="G4324" s="406">
        <v>166603</v>
      </c>
      <c r="H4324" s="162" t="s">
        <v>15566</v>
      </c>
      <c r="K4324" s="162">
        <v>16660303</v>
      </c>
      <c r="L4324" s="162" t="s">
        <v>15584</v>
      </c>
      <c r="M4324" s="162" t="s">
        <v>15585</v>
      </c>
      <c r="N4324" s="162">
        <v>4</v>
      </c>
      <c r="O4324" s="224">
        <v>4</v>
      </c>
      <c r="P4324" s="224">
        <v>5</v>
      </c>
      <c r="Q4324" s="224">
        <v>5</v>
      </c>
      <c r="R4324" s="224">
        <v>4</v>
      </c>
      <c r="S4324" s="224">
        <v>4</v>
      </c>
      <c r="T4324" s="223" t="s">
        <v>10732</v>
      </c>
      <c r="U4324" t="str">
        <f>VLOOKUP(T4324,[8]Votes!$A$1:$E$234,3,FALSE)</f>
        <v>105 Law Reform Commission</v>
      </c>
      <c r="V4324" s="162" t="s">
        <v>15586</v>
      </c>
      <c r="W4324" s="388">
        <v>1</v>
      </c>
      <c r="X4324" s="388">
        <v>1</v>
      </c>
      <c r="Y4324" s="388">
        <v>0</v>
      </c>
      <c r="Z4324" s="388">
        <v>1</v>
      </c>
      <c r="AA4324" s="388">
        <v>1</v>
      </c>
      <c r="AB4324" s="388">
        <v>1</v>
      </c>
      <c r="AC4324" s="150">
        <v>1</v>
      </c>
      <c r="AD4324" s="150">
        <v>0</v>
      </c>
      <c r="AE4324" s="49">
        <f t="shared" si="156"/>
        <v>0.75</v>
      </c>
      <c r="AF4324" s="23">
        <v>0</v>
      </c>
      <c r="AG4324" s="17">
        <v>0</v>
      </c>
      <c r="AH4324" s="485">
        <v>0.21299999999999999</v>
      </c>
      <c r="AI4324" s="485">
        <v>0.21</v>
      </c>
      <c r="AJ4324" s="485">
        <v>0.21</v>
      </c>
      <c r="AK4324" s="493">
        <v>0.21</v>
      </c>
      <c r="AL4324" s="173">
        <v>0.21</v>
      </c>
      <c r="AM4324" s="17">
        <f t="shared" si="157"/>
        <v>0.42</v>
      </c>
      <c r="AN4324" s="162" t="s">
        <v>10732</v>
      </c>
      <c r="AO4324" s="162" t="s">
        <v>15453</v>
      </c>
    </row>
    <row r="4325" spans="1:41" s="162" customFormat="1" x14ac:dyDescent="0.3">
      <c r="A4325" s="205" t="s">
        <v>8321</v>
      </c>
      <c r="B4325" s="162" t="s">
        <v>8322</v>
      </c>
      <c r="C4325" s="168" t="s">
        <v>13530</v>
      </c>
      <c r="D4325" s="162" t="s">
        <v>13531</v>
      </c>
      <c r="E4325" s="406" t="s">
        <v>13532</v>
      </c>
      <c r="F4325" s="406" t="s">
        <v>13533</v>
      </c>
      <c r="G4325" s="406">
        <v>166603</v>
      </c>
      <c r="H4325" s="162" t="s">
        <v>15566</v>
      </c>
      <c r="K4325" s="162">
        <v>16660304</v>
      </c>
      <c r="L4325" s="162" t="s">
        <v>15587</v>
      </c>
      <c r="M4325" s="162" t="s">
        <v>15588</v>
      </c>
      <c r="N4325" s="162">
        <v>0</v>
      </c>
      <c r="O4325" s="224"/>
      <c r="P4325" s="224">
        <v>1500</v>
      </c>
      <c r="Q4325" s="224">
        <v>1500</v>
      </c>
      <c r="R4325" s="224">
        <v>1500</v>
      </c>
      <c r="S4325" s="224">
        <v>1000</v>
      </c>
      <c r="T4325" s="223" t="s">
        <v>10732</v>
      </c>
      <c r="U4325" t="str">
        <f>VLOOKUP(T4325,[8]Votes!$A$1:$E$234,3,FALSE)</f>
        <v>105 Law Reform Commission</v>
      </c>
      <c r="V4325" s="162" t="s">
        <v>15589</v>
      </c>
      <c r="W4325" s="388">
        <v>1</v>
      </c>
      <c r="X4325" s="388">
        <v>0</v>
      </c>
      <c r="Y4325" s="388">
        <v>0</v>
      </c>
      <c r="Z4325" s="388">
        <v>1</v>
      </c>
      <c r="AA4325" s="388">
        <v>1</v>
      </c>
      <c r="AB4325" s="388">
        <v>1</v>
      </c>
      <c r="AC4325" s="150">
        <v>1</v>
      </c>
      <c r="AD4325" s="150">
        <v>1</v>
      </c>
      <c r="AE4325" s="49">
        <f t="shared" si="156"/>
        <v>0.75</v>
      </c>
      <c r="AF4325" s="23">
        <v>0</v>
      </c>
      <c r="AG4325" s="17">
        <v>0</v>
      </c>
      <c r="AH4325" s="190">
        <v>0</v>
      </c>
      <c r="AI4325" s="485">
        <v>1.5</v>
      </c>
      <c r="AJ4325" s="485">
        <v>1.5</v>
      </c>
      <c r="AK4325" s="493">
        <v>4.5</v>
      </c>
      <c r="AL4325" s="173">
        <v>1.5</v>
      </c>
      <c r="AM4325" s="17">
        <f t="shared" si="157"/>
        <v>6</v>
      </c>
      <c r="AN4325" s="162" t="s">
        <v>10732</v>
      </c>
      <c r="AO4325" s="162" t="s">
        <v>15453</v>
      </c>
    </row>
    <row r="4326" spans="1:41" s="162" customFormat="1" x14ac:dyDescent="0.3">
      <c r="A4326" s="205" t="s">
        <v>8321</v>
      </c>
      <c r="B4326" s="162" t="s">
        <v>8322</v>
      </c>
      <c r="C4326" s="168" t="s">
        <v>13530</v>
      </c>
      <c r="D4326" s="162" t="s">
        <v>13531</v>
      </c>
      <c r="E4326" s="406" t="s">
        <v>13532</v>
      </c>
      <c r="F4326" s="406" t="s">
        <v>13533</v>
      </c>
      <c r="G4326" s="406">
        <v>166602</v>
      </c>
      <c r="H4326" s="162" t="s">
        <v>13538</v>
      </c>
      <c r="K4326" s="406">
        <v>16660217</v>
      </c>
      <c r="L4326" s="162" t="s">
        <v>15563</v>
      </c>
      <c r="M4326" s="162" t="s">
        <v>15590</v>
      </c>
      <c r="N4326">
        <v>0</v>
      </c>
      <c r="O4326" s="3">
        <v>0</v>
      </c>
      <c r="P4326" s="3">
        <v>0</v>
      </c>
      <c r="Q4326" s="3">
        <v>1</v>
      </c>
      <c r="R4326" s="3">
        <v>1</v>
      </c>
      <c r="S4326" s="3">
        <v>1</v>
      </c>
      <c r="T4326" s="223" t="s">
        <v>3875</v>
      </c>
      <c r="U4326" t="str">
        <f>VLOOKUP(T4326,[8]Votes!$A$1:$E$234,3,FALSE)</f>
        <v>007 Ministry of Justice and Constitutional Affairs</v>
      </c>
      <c r="V4326" s="162" t="s">
        <v>15591</v>
      </c>
      <c r="W4326" s="388">
        <v>1</v>
      </c>
      <c r="X4326" s="388">
        <v>1</v>
      </c>
      <c r="Y4326" s="388">
        <v>1</v>
      </c>
      <c r="Z4326" s="388">
        <v>1</v>
      </c>
      <c r="AA4326" s="388">
        <v>0</v>
      </c>
      <c r="AB4326" s="388">
        <v>0</v>
      </c>
      <c r="AC4326" s="150">
        <v>0</v>
      </c>
      <c r="AD4326" s="150">
        <v>1</v>
      </c>
      <c r="AE4326" s="49">
        <f t="shared" si="156"/>
        <v>0.625</v>
      </c>
      <c r="AF4326" s="23">
        <v>0</v>
      </c>
      <c r="AG4326" s="17">
        <v>0</v>
      </c>
      <c r="AH4326" s="190">
        <v>0</v>
      </c>
      <c r="AI4326" s="190">
        <v>0</v>
      </c>
      <c r="AJ4326" s="190">
        <v>0</v>
      </c>
      <c r="AK4326" s="493">
        <v>0.3</v>
      </c>
      <c r="AL4326" s="173">
        <v>0.3</v>
      </c>
      <c r="AM4326" s="17">
        <f t="shared" si="157"/>
        <v>0.6</v>
      </c>
      <c r="AN4326" s="223" t="s">
        <v>3875</v>
      </c>
      <c r="AO4326" s="162" t="s">
        <v>3877</v>
      </c>
    </row>
    <row r="4327" spans="1:41" s="162" customFormat="1" x14ac:dyDescent="0.3">
      <c r="A4327" s="205" t="s">
        <v>8321</v>
      </c>
      <c r="B4327" s="162" t="s">
        <v>8322</v>
      </c>
      <c r="C4327" s="168" t="s">
        <v>13530</v>
      </c>
      <c r="D4327" s="162" t="s">
        <v>13531</v>
      </c>
      <c r="E4327" s="406" t="s">
        <v>13532</v>
      </c>
      <c r="F4327" s="406" t="s">
        <v>13533</v>
      </c>
      <c r="G4327" s="406">
        <v>166602</v>
      </c>
      <c r="H4327" s="162" t="s">
        <v>13538</v>
      </c>
      <c r="K4327" s="406">
        <v>16660218</v>
      </c>
      <c r="L4327" s="162" t="s">
        <v>15592</v>
      </c>
      <c r="M4327" s="162" t="s">
        <v>15593</v>
      </c>
      <c r="N4327">
        <v>0</v>
      </c>
      <c r="O4327" s="3">
        <v>0</v>
      </c>
      <c r="P4327" s="3">
        <v>0</v>
      </c>
      <c r="Q4327" s="3">
        <v>1</v>
      </c>
      <c r="R4327" s="3">
        <v>0</v>
      </c>
      <c r="S4327" s="3">
        <v>0</v>
      </c>
      <c r="T4327" s="223" t="s">
        <v>3875</v>
      </c>
      <c r="U4327" t="str">
        <f>VLOOKUP(T4327,[8]Votes!$A$1:$E$234,3,FALSE)</f>
        <v>007 Ministry of Justice and Constitutional Affairs</v>
      </c>
      <c r="V4327" s="223" t="s">
        <v>15594</v>
      </c>
      <c r="W4327" s="388">
        <v>1</v>
      </c>
      <c r="X4327" s="388">
        <v>0</v>
      </c>
      <c r="Y4327" s="388">
        <v>0</v>
      </c>
      <c r="Z4327" s="388">
        <v>0</v>
      </c>
      <c r="AA4327" s="388">
        <v>0</v>
      </c>
      <c r="AB4327" s="388">
        <v>0</v>
      </c>
      <c r="AC4327" s="150">
        <v>0</v>
      </c>
      <c r="AD4327" s="150">
        <v>0</v>
      </c>
      <c r="AE4327" s="49">
        <f t="shared" si="156"/>
        <v>0.125</v>
      </c>
      <c r="AF4327" s="23">
        <v>0</v>
      </c>
      <c r="AG4327" s="17">
        <v>0</v>
      </c>
      <c r="AH4327" s="190">
        <v>0</v>
      </c>
      <c r="AI4327" s="190">
        <v>0</v>
      </c>
      <c r="AJ4327" s="44">
        <v>0.37</v>
      </c>
      <c r="AK4327" s="151">
        <v>0</v>
      </c>
      <c r="AL4327" s="151">
        <v>0</v>
      </c>
      <c r="AM4327" s="17">
        <f t="shared" si="157"/>
        <v>0</v>
      </c>
      <c r="AN4327" s="223" t="s">
        <v>3875</v>
      </c>
      <c r="AO4327" s="162" t="s">
        <v>3877</v>
      </c>
    </row>
    <row r="4328" spans="1:41" s="162" customFormat="1" x14ac:dyDescent="0.3">
      <c r="A4328" s="205" t="s">
        <v>8321</v>
      </c>
      <c r="B4328" s="162" t="s">
        <v>8322</v>
      </c>
      <c r="C4328" s="168" t="s">
        <v>13530</v>
      </c>
      <c r="D4328" s="162" t="s">
        <v>13531</v>
      </c>
      <c r="E4328" s="406" t="s">
        <v>13532</v>
      </c>
      <c r="F4328" s="406" t="s">
        <v>13533</v>
      </c>
      <c r="G4328" s="406">
        <v>166602</v>
      </c>
      <c r="H4328" s="162" t="s">
        <v>13538</v>
      </c>
      <c r="K4328" s="406">
        <v>16660219</v>
      </c>
      <c r="L4328" s="162" t="s">
        <v>15595</v>
      </c>
      <c r="M4328" s="162" t="s">
        <v>15596</v>
      </c>
      <c r="N4328">
        <v>0</v>
      </c>
      <c r="O4328" s="3">
        <v>0</v>
      </c>
      <c r="P4328" s="3">
        <v>0</v>
      </c>
      <c r="Q4328" s="3">
        <v>0</v>
      </c>
      <c r="R4328" s="3">
        <v>0</v>
      </c>
      <c r="S4328" s="3">
        <v>1</v>
      </c>
      <c r="T4328" s="223" t="s">
        <v>3875</v>
      </c>
      <c r="U4328" t="str">
        <f>VLOOKUP(T4328,[8]Votes!$A$1:$E$234,3,FALSE)</f>
        <v>007 Ministry of Justice and Constitutional Affairs</v>
      </c>
      <c r="V4328" s="223" t="s">
        <v>15597</v>
      </c>
      <c r="W4328" s="388">
        <v>1</v>
      </c>
      <c r="X4328" s="388">
        <v>1</v>
      </c>
      <c r="Y4328" s="388">
        <v>1</v>
      </c>
      <c r="Z4328" s="388">
        <v>1</v>
      </c>
      <c r="AA4328" s="388">
        <v>0</v>
      </c>
      <c r="AB4328" s="388">
        <v>0</v>
      </c>
      <c r="AC4328" s="150">
        <v>0</v>
      </c>
      <c r="AD4328" s="150">
        <v>0</v>
      </c>
      <c r="AE4328" s="49">
        <f t="shared" si="156"/>
        <v>0.5</v>
      </c>
      <c r="AF4328" s="23">
        <v>0</v>
      </c>
      <c r="AG4328" s="17">
        <v>0</v>
      </c>
      <c r="AH4328" s="190">
        <v>0</v>
      </c>
      <c r="AI4328" s="190">
        <v>0</v>
      </c>
      <c r="AJ4328" s="190">
        <v>0</v>
      </c>
      <c r="AK4328" s="191">
        <v>0</v>
      </c>
      <c r="AL4328" s="151">
        <v>0.45</v>
      </c>
      <c r="AM4328" s="17">
        <f t="shared" si="157"/>
        <v>0.45</v>
      </c>
      <c r="AN4328" s="223" t="s">
        <v>3875</v>
      </c>
      <c r="AO4328" s="162" t="s">
        <v>3877</v>
      </c>
    </row>
    <row r="4329" spans="1:41" s="162" customFormat="1" x14ac:dyDescent="0.3">
      <c r="A4329" s="205" t="s">
        <v>8321</v>
      </c>
      <c r="B4329" s="162" t="s">
        <v>8322</v>
      </c>
      <c r="C4329" s="168" t="s">
        <v>13530</v>
      </c>
      <c r="D4329" s="162" t="s">
        <v>13531</v>
      </c>
      <c r="E4329" s="406" t="s">
        <v>13532</v>
      </c>
      <c r="F4329" s="406" t="s">
        <v>13533</v>
      </c>
      <c r="G4329" s="406">
        <v>166603</v>
      </c>
      <c r="H4329" s="162" t="s">
        <v>15566</v>
      </c>
      <c r="K4329" s="162">
        <v>16660305</v>
      </c>
      <c r="L4329" s="162" t="s">
        <v>15584</v>
      </c>
      <c r="M4329" s="162" t="s">
        <v>15598</v>
      </c>
      <c r="O4329" s="224">
        <v>12</v>
      </c>
      <c r="P4329" s="224">
        <v>49</v>
      </c>
      <c r="Q4329" s="224">
        <v>50</v>
      </c>
      <c r="R4329" s="224">
        <v>69</v>
      </c>
      <c r="S4329" s="224">
        <v>75</v>
      </c>
      <c r="T4329" s="223" t="s">
        <v>3875</v>
      </c>
      <c r="U4329" t="str">
        <f>VLOOKUP(T4329,[8]Votes!$A$1:$E$234,3,FALSE)</f>
        <v>007 Ministry of Justice and Constitutional Affairs</v>
      </c>
      <c r="V4329" s="162" t="s">
        <v>15599</v>
      </c>
      <c r="W4329" s="388">
        <v>1</v>
      </c>
      <c r="X4329" s="388">
        <v>1</v>
      </c>
      <c r="Y4329" s="388">
        <v>0</v>
      </c>
      <c r="Z4329" s="388">
        <v>1</v>
      </c>
      <c r="AA4329" s="388">
        <v>1</v>
      </c>
      <c r="AB4329" s="388">
        <v>1</v>
      </c>
      <c r="AC4329" s="150">
        <v>1</v>
      </c>
      <c r="AD4329" s="150">
        <v>1</v>
      </c>
      <c r="AE4329" s="49">
        <f t="shared" si="156"/>
        <v>0.875</v>
      </c>
      <c r="AF4329" s="23">
        <v>0</v>
      </c>
      <c r="AG4329" s="17">
        <v>0</v>
      </c>
      <c r="AH4329" s="485">
        <v>0.73</v>
      </c>
      <c r="AI4329" s="485">
        <v>1.68</v>
      </c>
      <c r="AJ4329" s="485">
        <v>1.8</v>
      </c>
      <c r="AK4329" s="493">
        <v>0.3</v>
      </c>
      <c r="AL4329" s="173">
        <v>0.3</v>
      </c>
      <c r="AM4329" s="17">
        <f t="shared" si="157"/>
        <v>0.6</v>
      </c>
      <c r="AN4329" s="223" t="s">
        <v>3875</v>
      </c>
      <c r="AO4329" s="162" t="s">
        <v>3877</v>
      </c>
    </row>
    <row r="4330" spans="1:41" s="162" customFormat="1" x14ac:dyDescent="0.3">
      <c r="A4330" s="205" t="s">
        <v>8321</v>
      </c>
      <c r="B4330" s="162" t="s">
        <v>8322</v>
      </c>
      <c r="C4330" s="168" t="s">
        <v>13530</v>
      </c>
      <c r="D4330" s="162" t="s">
        <v>13531</v>
      </c>
      <c r="E4330" s="406" t="s">
        <v>13532</v>
      </c>
      <c r="F4330" s="406" t="s">
        <v>13533</v>
      </c>
      <c r="G4330" s="406">
        <v>166603</v>
      </c>
      <c r="H4330" s="162" t="s">
        <v>15566</v>
      </c>
      <c r="K4330" s="162">
        <v>16660305</v>
      </c>
      <c r="L4330" s="162" t="s">
        <v>15584</v>
      </c>
      <c r="M4330" s="162" t="s">
        <v>15598</v>
      </c>
      <c r="O4330" s="224">
        <v>4</v>
      </c>
      <c r="P4330" s="224">
        <v>5</v>
      </c>
      <c r="Q4330" s="224">
        <v>5</v>
      </c>
      <c r="R4330" s="224">
        <v>6</v>
      </c>
      <c r="S4330" s="224">
        <v>6</v>
      </c>
      <c r="T4330" s="223" t="s">
        <v>1581</v>
      </c>
      <c r="U4330" t="str">
        <f>VLOOKUP(T4330,[8]Votes!$A$1:$E$234,3,FALSE)</f>
        <v>119 Uganda Registration Services Bureau</v>
      </c>
      <c r="V4330" s="162" t="s">
        <v>15600</v>
      </c>
      <c r="W4330" s="388">
        <v>1</v>
      </c>
      <c r="X4330" s="388">
        <v>0</v>
      </c>
      <c r="Y4330" s="388">
        <v>0</v>
      </c>
      <c r="Z4330" s="388">
        <v>0</v>
      </c>
      <c r="AA4330" s="388">
        <v>0</v>
      </c>
      <c r="AB4330" s="388">
        <v>0</v>
      </c>
      <c r="AC4330" s="150">
        <v>0</v>
      </c>
      <c r="AD4330" s="150">
        <v>0</v>
      </c>
      <c r="AE4330" s="49">
        <f t="shared" si="156"/>
        <v>0.125</v>
      </c>
      <c r="AF4330" s="23">
        <v>0</v>
      </c>
      <c r="AG4330" s="17">
        <v>0</v>
      </c>
      <c r="AH4330" s="485">
        <v>0.1</v>
      </c>
      <c r="AI4330" s="485">
        <v>0.1</v>
      </c>
      <c r="AJ4330" s="485">
        <v>0.1</v>
      </c>
      <c r="AK4330" s="493">
        <v>0.1</v>
      </c>
      <c r="AL4330" s="173">
        <v>0.1</v>
      </c>
      <c r="AM4330" s="17">
        <f t="shared" si="157"/>
        <v>0.2</v>
      </c>
      <c r="AN4330" s="162" t="s">
        <v>1581</v>
      </c>
      <c r="AO4330" s="162" t="s">
        <v>1583</v>
      </c>
    </row>
    <row r="4331" spans="1:41" s="162" customFormat="1" x14ac:dyDescent="0.3">
      <c r="A4331" s="205" t="s">
        <v>8321</v>
      </c>
      <c r="B4331" s="162" t="s">
        <v>8322</v>
      </c>
      <c r="C4331" s="168" t="s">
        <v>13530</v>
      </c>
      <c r="D4331" s="162" t="s">
        <v>13531</v>
      </c>
      <c r="E4331" s="406" t="s">
        <v>13532</v>
      </c>
      <c r="F4331" s="406" t="s">
        <v>13533</v>
      </c>
      <c r="G4331" s="406">
        <v>166603</v>
      </c>
      <c r="H4331" s="162" t="s">
        <v>15566</v>
      </c>
      <c r="K4331" s="162">
        <v>16660306</v>
      </c>
      <c r="L4331" s="162" t="s">
        <v>15601</v>
      </c>
      <c r="M4331" s="162" t="s">
        <v>15602</v>
      </c>
      <c r="O4331" s="224">
        <v>192</v>
      </c>
      <c r="P4331" s="224">
        <v>192</v>
      </c>
      <c r="Q4331" s="224">
        <v>192</v>
      </c>
      <c r="R4331" s="224">
        <v>192</v>
      </c>
      <c r="S4331" s="224">
        <v>192</v>
      </c>
      <c r="T4331" s="223" t="s">
        <v>1588</v>
      </c>
      <c r="U4331" t="str">
        <f>VLOOKUP(T4331,[8]Votes!$A$1:$E$234,3,FALSE)</f>
        <v>148 Judicial Service Commission</v>
      </c>
      <c r="V4331" s="162" t="s">
        <v>15603</v>
      </c>
      <c r="W4331" s="388">
        <v>1</v>
      </c>
      <c r="X4331" s="388">
        <v>0</v>
      </c>
      <c r="Y4331" s="388">
        <v>0</v>
      </c>
      <c r="Z4331" s="388">
        <v>0</v>
      </c>
      <c r="AA4331" s="388">
        <v>0</v>
      </c>
      <c r="AB4331" s="388">
        <v>0</v>
      </c>
      <c r="AC4331" s="150">
        <v>0</v>
      </c>
      <c r="AD4331" s="150">
        <v>0</v>
      </c>
      <c r="AE4331" s="49">
        <f t="shared" si="156"/>
        <v>0.125</v>
      </c>
      <c r="AF4331" s="23">
        <v>0</v>
      </c>
      <c r="AG4331" s="17">
        <v>0</v>
      </c>
      <c r="AH4331" s="485">
        <v>1.1000000000000001</v>
      </c>
      <c r="AI4331" s="485">
        <v>1.1000000000000001</v>
      </c>
      <c r="AJ4331" s="485">
        <v>1.1000000000000001</v>
      </c>
      <c r="AK4331" s="493">
        <v>0</v>
      </c>
      <c r="AL4331" s="173">
        <v>0</v>
      </c>
      <c r="AM4331" s="17">
        <f t="shared" si="157"/>
        <v>0</v>
      </c>
      <c r="AN4331" s="162" t="s">
        <v>1588</v>
      </c>
      <c r="AO4331" s="162" t="s">
        <v>1590</v>
      </c>
    </row>
    <row r="4332" spans="1:41" s="162" customFormat="1" x14ac:dyDescent="0.3">
      <c r="A4332" s="205" t="s">
        <v>8321</v>
      </c>
      <c r="B4332" s="162" t="s">
        <v>8322</v>
      </c>
      <c r="C4332" s="168" t="s">
        <v>13530</v>
      </c>
      <c r="D4332" s="162" t="s">
        <v>13531</v>
      </c>
      <c r="E4332" s="406" t="s">
        <v>13532</v>
      </c>
      <c r="F4332" s="406" t="s">
        <v>13533</v>
      </c>
      <c r="G4332" s="406">
        <v>166603</v>
      </c>
      <c r="H4332" s="162" t="s">
        <v>15566</v>
      </c>
      <c r="K4332" s="162">
        <v>16660306</v>
      </c>
      <c r="L4332" s="162" t="s">
        <v>15601</v>
      </c>
      <c r="M4332" s="162" t="s">
        <v>15604</v>
      </c>
      <c r="O4332" s="224"/>
      <c r="P4332" s="224"/>
      <c r="Q4332" s="224">
        <v>6</v>
      </c>
      <c r="R4332" s="224">
        <v>6</v>
      </c>
      <c r="S4332" s="224"/>
      <c r="T4332" s="223" t="s">
        <v>3875</v>
      </c>
      <c r="U4332" t="str">
        <f>VLOOKUP(T4332,[8]Votes!$A$1:$E$234,3,FALSE)</f>
        <v>007 Ministry of Justice and Constitutional Affairs</v>
      </c>
      <c r="V4332" s="162" t="s">
        <v>15605</v>
      </c>
      <c r="W4332" s="388">
        <v>1</v>
      </c>
      <c r="X4332" s="388">
        <v>1</v>
      </c>
      <c r="Y4332" s="388">
        <v>0</v>
      </c>
      <c r="Z4332" s="388">
        <v>1</v>
      </c>
      <c r="AA4332" s="388">
        <v>1</v>
      </c>
      <c r="AB4332" s="388">
        <v>0</v>
      </c>
      <c r="AC4332" s="150">
        <v>0</v>
      </c>
      <c r="AD4332" s="150">
        <v>1</v>
      </c>
      <c r="AE4332" s="49">
        <f t="shared" si="156"/>
        <v>0.625</v>
      </c>
      <c r="AF4332" s="23">
        <v>0</v>
      </c>
      <c r="AG4332" s="17">
        <v>0</v>
      </c>
      <c r="AH4332" s="190">
        <v>0</v>
      </c>
      <c r="AI4332" s="190">
        <v>0</v>
      </c>
      <c r="AJ4332" s="485">
        <v>0.6</v>
      </c>
      <c r="AK4332" s="493">
        <v>0.65</v>
      </c>
      <c r="AL4332" s="191">
        <v>0</v>
      </c>
      <c r="AM4332" s="17">
        <f t="shared" si="157"/>
        <v>0.65</v>
      </c>
      <c r="AN4332" s="223" t="s">
        <v>3875</v>
      </c>
      <c r="AO4332" s="162" t="s">
        <v>3877</v>
      </c>
    </row>
    <row r="4333" spans="1:41" s="162" customFormat="1" x14ac:dyDescent="0.3">
      <c r="A4333" s="205" t="s">
        <v>8321</v>
      </c>
      <c r="B4333" s="162" t="s">
        <v>8322</v>
      </c>
      <c r="C4333" s="168" t="s">
        <v>13530</v>
      </c>
      <c r="D4333" s="162" t="s">
        <v>13531</v>
      </c>
      <c r="E4333" s="406" t="s">
        <v>13532</v>
      </c>
      <c r="F4333" s="406" t="s">
        <v>13533</v>
      </c>
      <c r="G4333" s="406">
        <v>166603</v>
      </c>
      <c r="H4333" s="162" t="s">
        <v>15566</v>
      </c>
      <c r="K4333" s="162">
        <v>16660306</v>
      </c>
      <c r="L4333" s="162" t="s">
        <v>15601</v>
      </c>
      <c r="M4333" s="1" t="s">
        <v>15606</v>
      </c>
      <c r="N4333">
        <v>2000</v>
      </c>
      <c r="O4333" s="3">
        <v>2000</v>
      </c>
      <c r="P4333" s="3">
        <v>2000</v>
      </c>
      <c r="Q4333" s="3">
        <v>2500</v>
      </c>
      <c r="R4333" s="3">
        <v>3000</v>
      </c>
      <c r="S4333" s="3">
        <v>3500</v>
      </c>
      <c r="T4333" s="223" t="s">
        <v>3875</v>
      </c>
      <c r="U4333" t="str">
        <f>VLOOKUP(T4333,[8]Votes!$A$1:$E$234,3,FALSE)</f>
        <v>007 Ministry of Justice and Constitutional Affairs</v>
      </c>
      <c r="V4333" s="223" t="s">
        <v>15607</v>
      </c>
      <c r="W4333" s="388">
        <v>1</v>
      </c>
      <c r="X4333" s="388">
        <v>1</v>
      </c>
      <c r="Y4333" s="388">
        <v>1</v>
      </c>
      <c r="Z4333" s="388">
        <v>1</v>
      </c>
      <c r="AA4333" s="388">
        <v>1</v>
      </c>
      <c r="AB4333" s="388">
        <v>0</v>
      </c>
      <c r="AC4333" s="150">
        <v>0</v>
      </c>
      <c r="AD4333" s="150">
        <v>0</v>
      </c>
      <c r="AE4333" s="49">
        <f t="shared" si="156"/>
        <v>0.625</v>
      </c>
      <c r="AF4333" s="23">
        <v>0</v>
      </c>
      <c r="AG4333" s="17">
        <v>0</v>
      </c>
      <c r="AH4333" s="44">
        <v>0.13</v>
      </c>
      <c r="AI4333" s="44">
        <v>0.14499999999999999</v>
      </c>
      <c r="AJ4333" s="44">
        <v>0.16500000000000001</v>
      </c>
      <c r="AK4333" s="151">
        <v>0.37</v>
      </c>
      <c r="AL4333" s="151">
        <v>0.38200000000000001</v>
      </c>
      <c r="AM4333" s="17">
        <f t="shared" si="157"/>
        <v>0.752</v>
      </c>
      <c r="AN4333" s="223" t="s">
        <v>3875</v>
      </c>
      <c r="AO4333" s="162" t="s">
        <v>3877</v>
      </c>
    </row>
    <row r="4334" spans="1:41" s="162" customFormat="1" x14ac:dyDescent="0.3">
      <c r="A4334" s="205" t="s">
        <v>8321</v>
      </c>
      <c r="B4334" s="162" t="s">
        <v>8322</v>
      </c>
      <c r="C4334" s="168" t="s">
        <v>13530</v>
      </c>
      <c r="D4334" s="162" t="s">
        <v>13531</v>
      </c>
      <c r="E4334" s="406" t="s">
        <v>13532</v>
      </c>
      <c r="F4334" s="406" t="s">
        <v>13533</v>
      </c>
      <c r="G4334" s="406">
        <v>166603</v>
      </c>
      <c r="H4334" s="162" t="s">
        <v>15566</v>
      </c>
      <c r="K4334" s="162">
        <v>16660306</v>
      </c>
      <c r="L4334" s="162" t="s">
        <v>15601</v>
      </c>
      <c r="M4334" s="1" t="s">
        <v>15608</v>
      </c>
      <c r="N4334">
        <v>47</v>
      </c>
      <c r="O4334" s="3">
        <v>20</v>
      </c>
      <c r="P4334" s="3">
        <v>42</v>
      </c>
      <c r="Q4334" s="3">
        <v>45</v>
      </c>
      <c r="R4334" s="3">
        <v>50</v>
      </c>
      <c r="S4334" s="3">
        <v>60</v>
      </c>
      <c r="T4334" s="223" t="s">
        <v>3875</v>
      </c>
      <c r="U4334" t="str">
        <f>VLOOKUP(T4334,[8]Votes!$A$1:$E$234,3,FALSE)</f>
        <v>007 Ministry of Justice and Constitutional Affairs</v>
      </c>
      <c r="V4334" s="223" t="s">
        <v>15609</v>
      </c>
      <c r="W4334" s="388">
        <v>1</v>
      </c>
      <c r="X4334" s="388">
        <v>1</v>
      </c>
      <c r="Y4334" s="388">
        <v>0</v>
      </c>
      <c r="Z4334" s="388">
        <v>1</v>
      </c>
      <c r="AA4334" s="388">
        <v>1</v>
      </c>
      <c r="AB4334" s="388">
        <v>0</v>
      </c>
      <c r="AC4334" s="150">
        <v>1</v>
      </c>
      <c r="AD4334" s="150">
        <v>0</v>
      </c>
      <c r="AE4334" s="49">
        <f t="shared" si="156"/>
        <v>0.625</v>
      </c>
      <c r="AF4334" s="23">
        <v>0</v>
      </c>
      <c r="AG4334" s="17">
        <v>0</v>
      </c>
      <c r="AH4334" s="44">
        <v>0.08</v>
      </c>
      <c r="AI4334" s="44">
        <v>0.12</v>
      </c>
      <c r="AJ4334" s="44">
        <v>0.14000000000000001</v>
      </c>
      <c r="AK4334" s="151">
        <v>0.16</v>
      </c>
      <c r="AL4334" s="151">
        <v>0.2</v>
      </c>
      <c r="AM4334" s="17">
        <f t="shared" si="157"/>
        <v>0.36</v>
      </c>
      <c r="AN4334" s="223" t="s">
        <v>3875</v>
      </c>
      <c r="AO4334" s="162" t="s">
        <v>3877</v>
      </c>
    </row>
    <row r="4335" spans="1:41" s="162" customFormat="1" x14ac:dyDescent="0.3">
      <c r="A4335" s="205" t="s">
        <v>8321</v>
      </c>
      <c r="B4335" s="162" t="s">
        <v>8322</v>
      </c>
      <c r="C4335" s="168" t="s">
        <v>13530</v>
      </c>
      <c r="D4335" s="162" t="s">
        <v>13531</v>
      </c>
      <c r="E4335" s="406" t="s">
        <v>13532</v>
      </c>
      <c r="F4335" s="406" t="s">
        <v>13533</v>
      </c>
      <c r="G4335" s="406">
        <v>166603</v>
      </c>
      <c r="H4335" s="162" t="s">
        <v>15566</v>
      </c>
      <c r="K4335" s="162">
        <v>16660307</v>
      </c>
      <c r="L4335" s="162" t="s">
        <v>15610</v>
      </c>
      <c r="M4335" s="162" t="s">
        <v>15611</v>
      </c>
      <c r="O4335" s="229">
        <v>20000</v>
      </c>
      <c r="P4335" s="229">
        <v>20000</v>
      </c>
      <c r="Q4335" s="229">
        <v>20000</v>
      </c>
      <c r="R4335" s="229">
        <v>20000</v>
      </c>
      <c r="S4335" s="229">
        <v>20000</v>
      </c>
      <c r="T4335" s="223" t="s">
        <v>1588</v>
      </c>
      <c r="U4335" t="str">
        <f>VLOOKUP(T4335,[8]Votes!$A$1:$E$234,3,FALSE)</f>
        <v>148 Judicial Service Commission</v>
      </c>
      <c r="V4335" s="162" t="s">
        <v>15612</v>
      </c>
      <c r="W4335" s="388">
        <v>1</v>
      </c>
      <c r="X4335" s="388">
        <v>0</v>
      </c>
      <c r="Y4335" s="388">
        <v>0</v>
      </c>
      <c r="Z4335" s="388">
        <v>0</v>
      </c>
      <c r="AA4335" s="388">
        <v>0</v>
      </c>
      <c r="AB4335" s="388">
        <v>0</v>
      </c>
      <c r="AC4335" s="150">
        <v>0</v>
      </c>
      <c r="AD4335" s="150">
        <v>0</v>
      </c>
      <c r="AE4335" s="49">
        <f t="shared" si="156"/>
        <v>0.125</v>
      </c>
      <c r="AF4335" s="23">
        <v>0</v>
      </c>
      <c r="AG4335" s="17">
        <v>0</v>
      </c>
      <c r="AH4335" s="485">
        <v>0.1</v>
      </c>
      <c r="AI4335" s="485">
        <v>0.1</v>
      </c>
      <c r="AJ4335" s="485">
        <v>0.1</v>
      </c>
      <c r="AK4335" s="493">
        <v>0</v>
      </c>
      <c r="AL4335" s="173">
        <v>0</v>
      </c>
      <c r="AM4335" s="17">
        <f t="shared" si="157"/>
        <v>0</v>
      </c>
      <c r="AN4335" s="162" t="s">
        <v>1588</v>
      </c>
      <c r="AO4335" s="162" t="s">
        <v>1590</v>
      </c>
    </row>
    <row r="4336" spans="1:41" s="162" customFormat="1" x14ac:dyDescent="0.3">
      <c r="A4336" s="205" t="s">
        <v>8321</v>
      </c>
      <c r="B4336" s="162" t="s">
        <v>8322</v>
      </c>
      <c r="C4336" s="168" t="s">
        <v>13530</v>
      </c>
      <c r="D4336" s="162" t="s">
        <v>13531</v>
      </c>
      <c r="E4336" s="406" t="s">
        <v>13532</v>
      </c>
      <c r="F4336" s="406" t="s">
        <v>13533</v>
      </c>
      <c r="G4336" s="406">
        <v>166603</v>
      </c>
      <c r="H4336" s="162" t="s">
        <v>15566</v>
      </c>
      <c r="K4336" s="162">
        <v>16660307</v>
      </c>
      <c r="L4336" s="162" t="s">
        <v>15610</v>
      </c>
      <c r="M4336" s="162" t="s">
        <v>15611</v>
      </c>
      <c r="O4336" s="224" t="s">
        <v>271</v>
      </c>
      <c r="P4336" s="224">
        <v>20</v>
      </c>
      <c r="Q4336" s="224">
        <v>20</v>
      </c>
      <c r="R4336" s="224">
        <v>20</v>
      </c>
      <c r="S4336" s="224">
        <v>20</v>
      </c>
      <c r="T4336" s="223" t="s">
        <v>1775</v>
      </c>
      <c r="U4336" t="str">
        <f>VLOOKUP(T4336,[8]Votes!$A$1:$E$234,3,FALSE)</f>
        <v>112 Ethics and Integrity</v>
      </c>
      <c r="V4336" s="162" t="s">
        <v>15613</v>
      </c>
      <c r="W4336" s="388">
        <v>0</v>
      </c>
      <c r="X4336" s="388">
        <v>0</v>
      </c>
      <c r="Y4336" s="388">
        <v>0</v>
      </c>
      <c r="Z4336" s="388">
        <v>0</v>
      </c>
      <c r="AA4336" s="388">
        <v>0</v>
      </c>
      <c r="AB4336" s="388">
        <v>0</v>
      </c>
      <c r="AC4336" s="150">
        <v>0</v>
      </c>
      <c r="AD4336" s="150">
        <v>0</v>
      </c>
      <c r="AE4336" s="49">
        <f t="shared" si="156"/>
        <v>0</v>
      </c>
      <c r="AF4336" s="23">
        <v>0</v>
      </c>
      <c r="AG4336" s="17">
        <v>0</v>
      </c>
      <c r="AH4336" s="190">
        <v>0</v>
      </c>
      <c r="AI4336" s="485">
        <v>0.5</v>
      </c>
      <c r="AJ4336" s="485">
        <v>0.5</v>
      </c>
      <c r="AK4336" s="493">
        <v>0</v>
      </c>
      <c r="AL4336" s="173">
        <v>0</v>
      </c>
      <c r="AM4336" s="17">
        <f t="shared" si="157"/>
        <v>0</v>
      </c>
      <c r="AN4336" s="162" t="s">
        <v>1775</v>
      </c>
      <c r="AO4336" s="162" t="s">
        <v>1776</v>
      </c>
    </row>
    <row r="4337" spans="1:42" s="162" customFormat="1" x14ac:dyDescent="0.3">
      <c r="A4337" s="205" t="s">
        <v>8321</v>
      </c>
      <c r="B4337" s="162" t="s">
        <v>8322</v>
      </c>
      <c r="C4337" s="168" t="s">
        <v>13530</v>
      </c>
      <c r="D4337" s="162" t="s">
        <v>13531</v>
      </c>
      <c r="E4337" s="406" t="s">
        <v>13532</v>
      </c>
      <c r="F4337" s="406" t="s">
        <v>13533</v>
      </c>
      <c r="G4337" s="406">
        <v>166603</v>
      </c>
      <c r="H4337" s="162" t="s">
        <v>15566</v>
      </c>
      <c r="K4337" s="162">
        <v>16660308</v>
      </c>
      <c r="L4337" s="162" t="s">
        <v>15614</v>
      </c>
      <c r="M4337" s="162" t="s">
        <v>15615</v>
      </c>
      <c r="O4337" s="224"/>
      <c r="P4337" s="224">
        <v>1</v>
      </c>
      <c r="Q4337" s="224">
        <v>1</v>
      </c>
      <c r="R4337" s="224">
        <v>1</v>
      </c>
      <c r="S4337" s="224">
        <v>1</v>
      </c>
      <c r="T4337" s="223" t="s">
        <v>1536</v>
      </c>
      <c r="U4337" t="e">
        <f>VLOOKUP(T4337,[8]Votes!$A$1:$E$234,3,FALSE)</f>
        <v>#N/A</v>
      </c>
      <c r="V4337" s="162" t="s">
        <v>15616</v>
      </c>
      <c r="W4337" s="388">
        <v>1</v>
      </c>
      <c r="X4337" s="388">
        <v>0</v>
      </c>
      <c r="Y4337" s="388">
        <v>0</v>
      </c>
      <c r="Z4337" s="388">
        <v>0</v>
      </c>
      <c r="AA4337" s="388">
        <v>0</v>
      </c>
      <c r="AB4337" s="388">
        <v>0</v>
      </c>
      <c r="AC4337" s="150">
        <v>0</v>
      </c>
      <c r="AD4337" s="150">
        <v>0</v>
      </c>
      <c r="AE4337" s="49">
        <f t="shared" si="156"/>
        <v>0.125</v>
      </c>
      <c r="AF4337" s="23">
        <v>0</v>
      </c>
      <c r="AG4337" s="17">
        <v>0</v>
      </c>
      <c r="AH4337" s="190">
        <v>0</v>
      </c>
      <c r="AI4337" s="485">
        <v>0.02</v>
      </c>
      <c r="AJ4337" s="485">
        <v>0.02</v>
      </c>
      <c r="AK4337" s="493">
        <v>0.02</v>
      </c>
      <c r="AL4337" s="173">
        <v>0.02</v>
      </c>
      <c r="AM4337" s="17">
        <f t="shared" si="157"/>
        <v>0.04</v>
      </c>
      <c r="AN4337" s="162" t="s">
        <v>771</v>
      </c>
      <c r="AO4337" s="162" t="s">
        <v>773</v>
      </c>
    </row>
    <row r="4338" spans="1:42" s="162" customFormat="1" x14ac:dyDescent="0.3">
      <c r="A4338" s="205" t="s">
        <v>8321</v>
      </c>
      <c r="B4338" s="162" t="s">
        <v>8322</v>
      </c>
      <c r="C4338" s="168" t="s">
        <v>13530</v>
      </c>
      <c r="D4338" s="162" t="s">
        <v>13531</v>
      </c>
      <c r="E4338" s="406" t="s">
        <v>13532</v>
      </c>
      <c r="F4338" s="406" t="s">
        <v>13533</v>
      </c>
      <c r="G4338" s="406">
        <v>166603</v>
      </c>
      <c r="H4338" s="162" t="s">
        <v>15566</v>
      </c>
      <c r="K4338" s="162">
        <v>16660308</v>
      </c>
      <c r="L4338" s="162" t="s">
        <v>15614</v>
      </c>
      <c r="M4338" s="162" t="s">
        <v>15617</v>
      </c>
      <c r="O4338" s="224"/>
      <c r="P4338" s="224">
        <v>6</v>
      </c>
      <c r="Q4338" s="224">
        <v>6</v>
      </c>
      <c r="R4338" s="224">
        <v>6</v>
      </c>
      <c r="S4338" s="224">
        <v>6</v>
      </c>
      <c r="T4338" s="223" t="s">
        <v>1536</v>
      </c>
      <c r="U4338" t="e">
        <f>VLOOKUP(T4338,[8]Votes!$A$1:$E$234,3,FALSE)</f>
        <v>#N/A</v>
      </c>
      <c r="V4338" s="162" t="s">
        <v>15618</v>
      </c>
      <c r="W4338" s="388">
        <v>1</v>
      </c>
      <c r="X4338" s="388">
        <v>0</v>
      </c>
      <c r="Y4338" s="388">
        <v>0</v>
      </c>
      <c r="Z4338" s="388">
        <v>0</v>
      </c>
      <c r="AA4338" s="388">
        <v>0</v>
      </c>
      <c r="AB4338" s="388">
        <v>0</v>
      </c>
      <c r="AC4338" s="150">
        <v>0</v>
      </c>
      <c r="AD4338" s="150">
        <v>0</v>
      </c>
      <c r="AE4338" s="49">
        <f t="shared" si="156"/>
        <v>0.125</v>
      </c>
      <c r="AF4338" s="23">
        <v>0</v>
      </c>
      <c r="AG4338" s="17">
        <v>0</v>
      </c>
      <c r="AH4338" s="190">
        <v>0</v>
      </c>
      <c r="AI4338" s="485">
        <v>0.05</v>
      </c>
      <c r="AJ4338" s="485">
        <v>0.05</v>
      </c>
      <c r="AK4338" s="493">
        <v>0.05</v>
      </c>
      <c r="AL4338" s="173">
        <v>0.05</v>
      </c>
      <c r="AM4338" s="17">
        <f t="shared" si="157"/>
        <v>0.1</v>
      </c>
      <c r="AN4338" s="162" t="s">
        <v>771</v>
      </c>
      <c r="AO4338" s="162" t="s">
        <v>773</v>
      </c>
    </row>
    <row r="4339" spans="1:42" s="162" customFormat="1" x14ac:dyDescent="0.3">
      <c r="A4339" s="205" t="s">
        <v>8321</v>
      </c>
      <c r="B4339" s="162" t="s">
        <v>8322</v>
      </c>
      <c r="C4339" s="168" t="s">
        <v>13530</v>
      </c>
      <c r="D4339" s="162" t="s">
        <v>13531</v>
      </c>
      <c r="E4339" s="406" t="s">
        <v>13532</v>
      </c>
      <c r="F4339" s="406" t="s">
        <v>13533</v>
      </c>
      <c r="G4339" s="406">
        <v>166603</v>
      </c>
      <c r="H4339" s="162" t="s">
        <v>15566</v>
      </c>
      <c r="K4339" s="162">
        <v>16660308</v>
      </c>
      <c r="L4339" s="162" t="s">
        <v>15614</v>
      </c>
      <c r="M4339" s="162" t="s">
        <v>15619</v>
      </c>
      <c r="O4339" s="224"/>
      <c r="P4339" s="224">
        <v>4</v>
      </c>
      <c r="Q4339" s="224">
        <v>4</v>
      </c>
      <c r="R4339" s="224">
        <v>4</v>
      </c>
      <c r="S4339" s="224">
        <v>4</v>
      </c>
      <c r="T4339" s="223" t="s">
        <v>1536</v>
      </c>
      <c r="U4339" t="e">
        <f>VLOOKUP(T4339,[8]Votes!$A$1:$E$234,3,FALSE)</f>
        <v>#N/A</v>
      </c>
      <c r="V4339" s="162" t="s">
        <v>15620</v>
      </c>
      <c r="W4339" s="388">
        <v>1</v>
      </c>
      <c r="X4339" s="388">
        <v>0</v>
      </c>
      <c r="Y4339" s="388">
        <v>0</v>
      </c>
      <c r="Z4339" s="388">
        <v>0</v>
      </c>
      <c r="AA4339" s="388">
        <v>0</v>
      </c>
      <c r="AB4339" s="388">
        <v>0</v>
      </c>
      <c r="AC4339" s="150">
        <v>0</v>
      </c>
      <c r="AD4339" s="150">
        <v>0</v>
      </c>
      <c r="AE4339" s="49">
        <f t="shared" si="156"/>
        <v>0.125</v>
      </c>
      <c r="AF4339" s="23">
        <v>0</v>
      </c>
      <c r="AG4339" s="17">
        <v>0</v>
      </c>
      <c r="AH4339" s="190">
        <v>0</v>
      </c>
      <c r="AI4339" s="485">
        <v>0.1</v>
      </c>
      <c r="AJ4339" s="485">
        <v>0.1</v>
      </c>
      <c r="AK4339" s="493">
        <v>0.1</v>
      </c>
      <c r="AL4339" s="173">
        <v>0.1</v>
      </c>
      <c r="AM4339" s="17">
        <f t="shared" si="157"/>
        <v>0.2</v>
      </c>
      <c r="AN4339" s="162" t="s">
        <v>771</v>
      </c>
      <c r="AO4339" s="162" t="s">
        <v>773</v>
      </c>
    </row>
    <row r="4340" spans="1:42" s="162" customFormat="1" x14ac:dyDescent="0.3">
      <c r="A4340" s="205" t="s">
        <v>8321</v>
      </c>
      <c r="B4340" s="162" t="s">
        <v>8322</v>
      </c>
      <c r="C4340" s="168" t="s">
        <v>13530</v>
      </c>
      <c r="D4340" s="162" t="s">
        <v>13531</v>
      </c>
      <c r="E4340" s="406" t="s">
        <v>13532</v>
      </c>
      <c r="F4340" s="406" t="s">
        <v>13533</v>
      </c>
      <c r="G4340" s="406">
        <v>166603</v>
      </c>
      <c r="H4340" s="162" t="s">
        <v>15566</v>
      </c>
      <c r="K4340" s="162">
        <v>16660308</v>
      </c>
      <c r="L4340" s="162" t="s">
        <v>15614</v>
      </c>
      <c r="M4340" s="162" t="s">
        <v>15619</v>
      </c>
      <c r="O4340" s="224">
        <v>1</v>
      </c>
      <c r="P4340" s="224">
        <v>1</v>
      </c>
      <c r="Q4340" s="224">
        <v>1</v>
      </c>
      <c r="R4340" s="224">
        <v>1</v>
      </c>
      <c r="S4340" s="224">
        <v>1</v>
      </c>
      <c r="T4340" s="223" t="s">
        <v>1536</v>
      </c>
      <c r="U4340" t="e">
        <f>VLOOKUP(T4340,[8]Votes!$A$1:$E$234,3,FALSE)</f>
        <v>#N/A</v>
      </c>
      <c r="V4340" s="162" t="s">
        <v>15621</v>
      </c>
      <c r="W4340" s="388">
        <v>1</v>
      </c>
      <c r="X4340" s="388">
        <v>0</v>
      </c>
      <c r="Y4340" s="388">
        <v>0</v>
      </c>
      <c r="Z4340" s="388">
        <v>0</v>
      </c>
      <c r="AA4340" s="388">
        <v>0</v>
      </c>
      <c r="AB4340" s="388">
        <v>0</v>
      </c>
      <c r="AC4340" s="150">
        <v>0</v>
      </c>
      <c r="AD4340" s="150">
        <v>0</v>
      </c>
      <c r="AE4340" s="49">
        <f t="shared" si="156"/>
        <v>0.125</v>
      </c>
      <c r="AF4340" s="23">
        <v>0</v>
      </c>
      <c r="AG4340" s="17">
        <v>0</v>
      </c>
      <c r="AH4340" s="485">
        <v>0.05</v>
      </c>
      <c r="AI4340" s="485">
        <v>0.05</v>
      </c>
      <c r="AJ4340" s="485">
        <v>0.05</v>
      </c>
      <c r="AK4340" s="493">
        <v>0.05</v>
      </c>
      <c r="AL4340" s="173">
        <v>0.05</v>
      </c>
      <c r="AM4340" s="17">
        <f t="shared" si="157"/>
        <v>0.1</v>
      </c>
      <c r="AN4340" s="162" t="s">
        <v>771</v>
      </c>
      <c r="AO4340" s="162" t="s">
        <v>773</v>
      </c>
    </row>
    <row r="4341" spans="1:42" s="162" customFormat="1" x14ac:dyDescent="0.3">
      <c r="A4341" s="205" t="s">
        <v>8321</v>
      </c>
      <c r="B4341" s="162" t="s">
        <v>8322</v>
      </c>
      <c r="C4341" s="168" t="s">
        <v>13530</v>
      </c>
      <c r="D4341" s="162" t="s">
        <v>13531</v>
      </c>
      <c r="E4341" s="406" t="s">
        <v>13532</v>
      </c>
      <c r="F4341" s="406" t="s">
        <v>13533</v>
      </c>
      <c r="G4341" s="406">
        <v>166603</v>
      </c>
      <c r="H4341" s="162" t="s">
        <v>15566</v>
      </c>
      <c r="K4341" s="162">
        <v>16660308</v>
      </c>
      <c r="L4341" s="162" t="s">
        <v>15614</v>
      </c>
      <c r="M4341" s="162" t="s">
        <v>15619</v>
      </c>
      <c r="O4341" s="224">
        <v>200</v>
      </c>
      <c r="P4341" s="224">
        <v>200</v>
      </c>
      <c r="Q4341" s="224">
        <v>200</v>
      </c>
      <c r="R4341" s="224">
        <v>200</v>
      </c>
      <c r="S4341" s="224">
        <v>200</v>
      </c>
      <c r="T4341" s="223" t="s">
        <v>1536</v>
      </c>
      <c r="U4341" t="e">
        <f>VLOOKUP(T4341,[8]Votes!$A$1:$E$234,3,FALSE)</f>
        <v>#N/A</v>
      </c>
      <c r="V4341" s="162" t="s">
        <v>15622</v>
      </c>
      <c r="W4341" s="388">
        <v>1</v>
      </c>
      <c r="X4341" s="388">
        <v>0</v>
      </c>
      <c r="Y4341" s="388">
        <v>0</v>
      </c>
      <c r="Z4341" s="388">
        <v>0</v>
      </c>
      <c r="AA4341" s="388">
        <v>0</v>
      </c>
      <c r="AB4341" s="388">
        <v>0</v>
      </c>
      <c r="AC4341" s="150">
        <v>0</v>
      </c>
      <c r="AD4341" s="150">
        <v>0</v>
      </c>
      <c r="AE4341" s="49">
        <f t="shared" si="156"/>
        <v>0.125</v>
      </c>
      <c r="AF4341" s="23">
        <v>0</v>
      </c>
      <c r="AG4341" s="17">
        <v>0</v>
      </c>
      <c r="AH4341" s="485">
        <v>0.18</v>
      </c>
      <c r="AI4341" s="485">
        <v>0.18</v>
      </c>
      <c r="AJ4341" s="485">
        <v>0.18</v>
      </c>
      <c r="AK4341" s="493">
        <v>0.18</v>
      </c>
      <c r="AL4341" s="173">
        <v>0.18</v>
      </c>
      <c r="AM4341" s="17">
        <f t="shared" si="157"/>
        <v>0.36</v>
      </c>
      <c r="AN4341" s="162" t="s">
        <v>771</v>
      </c>
      <c r="AO4341" s="162" t="s">
        <v>773</v>
      </c>
    </row>
    <row r="4342" spans="1:42" s="162" customFormat="1" x14ac:dyDescent="0.3">
      <c r="A4342" s="205" t="s">
        <v>8321</v>
      </c>
      <c r="B4342" s="162" t="s">
        <v>8322</v>
      </c>
      <c r="C4342" s="168" t="s">
        <v>13530</v>
      </c>
      <c r="D4342" s="162" t="s">
        <v>13531</v>
      </c>
      <c r="E4342" s="406" t="s">
        <v>13532</v>
      </c>
      <c r="F4342" s="406" t="s">
        <v>13533</v>
      </c>
      <c r="G4342" s="406">
        <v>166603</v>
      </c>
      <c r="H4342" s="162" t="s">
        <v>15566</v>
      </c>
      <c r="K4342" s="162">
        <v>16660308</v>
      </c>
      <c r="L4342" s="162" t="s">
        <v>15614</v>
      </c>
      <c r="M4342" s="162" t="s">
        <v>15623</v>
      </c>
      <c r="O4342" s="224">
        <v>120</v>
      </c>
      <c r="P4342" s="224">
        <v>120</v>
      </c>
      <c r="Q4342" s="224">
        <v>120</v>
      </c>
      <c r="R4342" s="224">
        <v>120</v>
      </c>
      <c r="S4342" s="224">
        <v>120</v>
      </c>
      <c r="T4342" s="223" t="s">
        <v>1536</v>
      </c>
      <c r="U4342" t="e">
        <f>VLOOKUP(T4342,[8]Votes!$A$1:$E$234,3,FALSE)</f>
        <v>#N/A</v>
      </c>
      <c r="V4342" s="162" t="s">
        <v>15624</v>
      </c>
      <c r="W4342" s="388">
        <v>1</v>
      </c>
      <c r="X4342" s="388">
        <v>0</v>
      </c>
      <c r="Y4342" s="388">
        <v>0</v>
      </c>
      <c r="Z4342" s="388">
        <v>0</v>
      </c>
      <c r="AA4342" s="388">
        <v>0</v>
      </c>
      <c r="AB4342" s="388">
        <v>0</v>
      </c>
      <c r="AC4342" s="150">
        <v>0</v>
      </c>
      <c r="AD4342" s="150">
        <v>0</v>
      </c>
      <c r="AE4342" s="49">
        <f t="shared" si="156"/>
        <v>0.125</v>
      </c>
      <c r="AF4342" s="23">
        <v>0</v>
      </c>
      <c r="AG4342" s="17">
        <v>0</v>
      </c>
      <c r="AH4342" s="485">
        <v>0.02</v>
      </c>
      <c r="AI4342" s="485">
        <v>0.02</v>
      </c>
      <c r="AJ4342" s="485">
        <v>0.02</v>
      </c>
      <c r="AK4342" s="493">
        <v>0.02</v>
      </c>
      <c r="AL4342" s="173">
        <v>0.02</v>
      </c>
      <c r="AM4342" s="17">
        <f t="shared" si="157"/>
        <v>0.04</v>
      </c>
      <c r="AN4342" s="162" t="s">
        <v>771</v>
      </c>
      <c r="AO4342" s="162" t="s">
        <v>773</v>
      </c>
    </row>
    <row r="4343" spans="1:42" s="162" customFormat="1" x14ac:dyDescent="0.3">
      <c r="A4343" s="205" t="s">
        <v>8321</v>
      </c>
      <c r="B4343" s="162" t="s">
        <v>8322</v>
      </c>
      <c r="C4343" s="168" t="s">
        <v>13530</v>
      </c>
      <c r="D4343" s="162" t="s">
        <v>13531</v>
      </c>
      <c r="E4343" s="406" t="s">
        <v>13532</v>
      </c>
      <c r="F4343" s="406" t="s">
        <v>13533</v>
      </c>
      <c r="G4343" s="406">
        <v>166603</v>
      </c>
      <c r="H4343" s="162" t="s">
        <v>15566</v>
      </c>
      <c r="K4343" s="162">
        <v>16660308</v>
      </c>
      <c r="L4343" s="162" t="s">
        <v>15614</v>
      </c>
      <c r="M4343" s="162" t="s">
        <v>15625</v>
      </c>
      <c r="O4343" s="224">
        <v>0</v>
      </c>
      <c r="P4343" s="224">
        <v>15</v>
      </c>
      <c r="Q4343" s="224">
        <v>15</v>
      </c>
      <c r="R4343" s="224">
        <v>15</v>
      </c>
      <c r="S4343" s="224">
        <v>15</v>
      </c>
      <c r="T4343" s="223" t="s">
        <v>1536</v>
      </c>
      <c r="U4343" t="e">
        <f>VLOOKUP(T4343,[8]Votes!$A$1:$E$234,3,FALSE)</f>
        <v>#N/A</v>
      </c>
      <c r="V4343" s="162" t="s">
        <v>15626</v>
      </c>
      <c r="W4343" s="388">
        <v>1</v>
      </c>
      <c r="X4343" s="388">
        <v>0</v>
      </c>
      <c r="Y4343" s="388">
        <v>0</v>
      </c>
      <c r="Z4343" s="388">
        <v>0</v>
      </c>
      <c r="AA4343" s="388">
        <v>0</v>
      </c>
      <c r="AB4343" s="388">
        <v>0</v>
      </c>
      <c r="AC4343" s="150">
        <v>0</v>
      </c>
      <c r="AD4343" s="150">
        <v>0</v>
      </c>
      <c r="AE4343" s="49">
        <f t="shared" si="156"/>
        <v>0.125</v>
      </c>
      <c r="AF4343" s="23">
        <v>0</v>
      </c>
      <c r="AG4343" s="17">
        <v>0</v>
      </c>
      <c r="AH4343" s="190">
        <v>0</v>
      </c>
      <c r="AI4343" s="485">
        <v>2</v>
      </c>
      <c r="AJ4343" s="485">
        <v>0.02</v>
      </c>
      <c r="AK4343" s="493">
        <v>0.02</v>
      </c>
      <c r="AL4343" s="173">
        <v>0.02</v>
      </c>
      <c r="AM4343" s="17">
        <f t="shared" si="157"/>
        <v>0.04</v>
      </c>
      <c r="AN4343" s="162" t="s">
        <v>771</v>
      </c>
      <c r="AO4343" s="162" t="s">
        <v>773</v>
      </c>
    </row>
    <row r="4344" spans="1:42" s="162" customFormat="1" x14ac:dyDescent="0.3">
      <c r="A4344" s="205" t="s">
        <v>8321</v>
      </c>
      <c r="B4344" s="162" t="s">
        <v>8322</v>
      </c>
      <c r="C4344" s="168" t="s">
        <v>13530</v>
      </c>
      <c r="D4344" s="162" t="s">
        <v>13531</v>
      </c>
      <c r="E4344" s="406" t="s">
        <v>13532</v>
      </c>
      <c r="F4344" s="406" t="s">
        <v>13533</v>
      </c>
      <c r="G4344" s="406">
        <v>166603</v>
      </c>
      <c r="H4344" s="162" t="s">
        <v>15566</v>
      </c>
      <c r="K4344" s="162">
        <v>16660308</v>
      </c>
      <c r="L4344" s="162" t="s">
        <v>15614</v>
      </c>
      <c r="M4344" s="162" t="s">
        <v>15627</v>
      </c>
      <c r="O4344" s="224">
        <v>0</v>
      </c>
      <c r="P4344" s="224">
        <v>40</v>
      </c>
      <c r="Q4344" s="224">
        <v>40</v>
      </c>
      <c r="R4344" s="224">
        <v>40</v>
      </c>
      <c r="S4344" s="224">
        <v>40</v>
      </c>
      <c r="T4344" s="223" t="s">
        <v>1536</v>
      </c>
      <c r="U4344" t="e">
        <f>VLOOKUP(T4344,[8]Votes!$A$1:$E$234,3,FALSE)</f>
        <v>#N/A</v>
      </c>
      <c r="V4344" s="162" t="s">
        <v>15628</v>
      </c>
      <c r="W4344" s="388">
        <v>1</v>
      </c>
      <c r="X4344" s="388">
        <v>0</v>
      </c>
      <c r="Y4344" s="388">
        <v>0</v>
      </c>
      <c r="Z4344" s="388">
        <v>0</v>
      </c>
      <c r="AA4344" s="388">
        <v>0</v>
      </c>
      <c r="AB4344" s="388">
        <v>0</v>
      </c>
      <c r="AC4344" s="150">
        <v>0</v>
      </c>
      <c r="AD4344" s="150">
        <v>0</v>
      </c>
      <c r="AE4344" s="49">
        <f t="shared" si="156"/>
        <v>0.125</v>
      </c>
      <c r="AF4344" s="23">
        <v>0</v>
      </c>
      <c r="AG4344" s="17">
        <v>0</v>
      </c>
      <c r="AH4344" s="190">
        <v>0</v>
      </c>
      <c r="AI4344" s="485">
        <v>1</v>
      </c>
      <c r="AJ4344" s="485">
        <v>0.01</v>
      </c>
      <c r="AK4344" s="493">
        <v>0.01</v>
      </c>
      <c r="AL4344" s="173">
        <v>0.01</v>
      </c>
      <c r="AM4344" s="17">
        <f t="shared" si="157"/>
        <v>0.02</v>
      </c>
      <c r="AN4344" s="162" t="s">
        <v>771</v>
      </c>
      <c r="AO4344" s="162" t="s">
        <v>773</v>
      </c>
    </row>
    <row r="4345" spans="1:42" s="162" customFormat="1" x14ac:dyDescent="0.3">
      <c r="A4345" s="205" t="s">
        <v>8321</v>
      </c>
      <c r="B4345" s="162" t="s">
        <v>8322</v>
      </c>
      <c r="C4345" s="168" t="s">
        <v>13530</v>
      </c>
      <c r="D4345" s="162" t="s">
        <v>13531</v>
      </c>
      <c r="E4345" s="406" t="s">
        <v>13532</v>
      </c>
      <c r="F4345" s="406" t="s">
        <v>13533</v>
      </c>
      <c r="G4345" s="406">
        <v>166603</v>
      </c>
      <c r="H4345" s="162" t="s">
        <v>15566</v>
      </c>
      <c r="K4345" s="162">
        <v>16660308</v>
      </c>
      <c r="L4345" s="162" t="s">
        <v>15614</v>
      </c>
      <c r="M4345" s="162" t="s">
        <v>15629</v>
      </c>
      <c r="O4345" s="224">
        <v>0</v>
      </c>
      <c r="P4345" s="224">
        <v>500</v>
      </c>
      <c r="Q4345" s="224">
        <v>500</v>
      </c>
      <c r="R4345" s="224">
        <v>500</v>
      </c>
      <c r="S4345" s="224">
        <v>500</v>
      </c>
      <c r="T4345" s="223" t="s">
        <v>1536</v>
      </c>
      <c r="U4345" t="e">
        <f>VLOOKUP(T4345,[8]Votes!$A$1:$E$234,3,FALSE)</f>
        <v>#N/A</v>
      </c>
      <c r="V4345" s="162" t="s">
        <v>15630</v>
      </c>
      <c r="W4345" s="388">
        <v>1</v>
      </c>
      <c r="X4345" s="388">
        <v>0</v>
      </c>
      <c r="Y4345" s="388">
        <v>0</v>
      </c>
      <c r="Z4345" s="388">
        <v>0</v>
      </c>
      <c r="AA4345" s="388">
        <v>0</v>
      </c>
      <c r="AB4345" s="388">
        <v>0</v>
      </c>
      <c r="AC4345" s="150">
        <v>0</v>
      </c>
      <c r="AD4345" s="150">
        <v>0</v>
      </c>
      <c r="AE4345" s="49">
        <f t="shared" si="156"/>
        <v>0.125</v>
      </c>
      <c r="AF4345" s="23">
        <v>0</v>
      </c>
      <c r="AG4345" s="17">
        <v>0</v>
      </c>
      <c r="AH4345" s="190">
        <v>0</v>
      </c>
      <c r="AI4345" s="485">
        <v>0.15</v>
      </c>
      <c r="AJ4345" s="485">
        <v>0.15</v>
      </c>
      <c r="AK4345" s="493">
        <v>0.15</v>
      </c>
      <c r="AL4345" s="173">
        <v>0.15</v>
      </c>
      <c r="AM4345" s="17">
        <f t="shared" si="157"/>
        <v>0.3</v>
      </c>
      <c r="AN4345" s="162" t="s">
        <v>771</v>
      </c>
      <c r="AO4345" s="162" t="s">
        <v>773</v>
      </c>
    </row>
    <row r="4346" spans="1:42" s="162" customFormat="1" x14ac:dyDescent="0.3">
      <c r="A4346" s="205" t="s">
        <v>8321</v>
      </c>
      <c r="B4346" s="162" t="s">
        <v>8322</v>
      </c>
      <c r="C4346" s="168" t="s">
        <v>13530</v>
      </c>
      <c r="D4346" s="162" t="s">
        <v>13531</v>
      </c>
      <c r="E4346" s="406" t="s">
        <v>13532</v>
      </c>
      <c r="F4346" s="406" t="s">
        <v>13533</v>
      </c>
      <c r="G4346" s="406">
        <v>166603</v>
      </c>
      <c r="H4346" s="162" t="s">
        <v>15566</v>
      </c>
      <c r="K4346" s="162">
        <v>16660309</v>
      </c>
      <c r="L4346" s="162" t="s">
        <v>15631</v>
      </c>
      <c r="M4346" s="162" t="s">
        <v>15632</v>
      </c>
      <c r="O4346" s="224">
        <v>0</v>
      </c>
      <c r="P4346" s="224">
        <v>6</v>
      </c>
      <c r="Q4346" s="224">
        <v>6</v>
      </c>
      <c r="R4346" s="224">
        <v>6</v>
      </c>
      <c r="S4346" s="224">
        <v>6</v>
      </c>
      <c r="T4346" s="223" t="s">
        <v>1536</v>
      </c>
      <c r="U4346" t="e">
        <f>VLOOKUP(T4346,[8]Votes!$A$1:$E$234,3,FALSE)</f>
        <v>#N/A</v>
      </c>
      <c r="V4346" s="162" t="s">
        <v>15633</v>
      </c>
      <c r="W4346" s="388">
        <v>1</v>
      </c>
      <c r="X4346" s="388">
        <v>0</v>
      </c>
      <c r="Y4346" s="388">
        <v>0</v>
      </c>
      <c r="Z4346" s="388">
        <v>0</v>
      </c>
      <c r="AA4346" s="388">
        <v>0</v>
      </c>
      <c r="AB4346" s="388">
        <v>0</v>
      </c>
      <c r="AC4346" s="150">
        <v>0</v>
      </c>
      <c r="AD4346" s="150">
        <v>0</v>
      </c>
      <c r="AE4346" s="49">
        <f t="shared" ref="AE4346:AE4409" si="158">SUM(W4346:AD4346)/8</f>
        <v>0.125</v>
      </c>
      <c r="AF4346" s="23">
        <v>0</v>
      </c>
      <c r="AG4346" s="17">
        <v>0</v>
      </c>
      <c r="AH4346" s="190">
        <v>0</v>
      </c>
      <c r="AI4346" s="485">
        <v>0.05</v>
      </c>
      <c r="AJ4346" s="485">
        <v>0.05</v>
      </c>
      <c r="AK4346" s="493">
        <v>0.05</v>
      </c>
      <c r="AL4346" s="173">
        <v>0.05</v>
      </c>
      <c r="AM4346" s="17">
        <f t="shared" ref="AM4346:AM4409" si="159">SUM(AK4346:AL4346)</f>
        <v>0.1</v>
      </c>
      <c r="AN4346" s="162" t="s">
        <v>771</v>
      </c>
      <c r="AO4346" s="162" t="s">
        <v>773</v>
      </c>
    </row>
    <row r="4347" spans="1:42" s="162" customFormat="1" x14ac:dyDescent="0.3">
      <c r="A4347" s="205" t="s">
        <v>8321</v>
      </c>
      <c r="B4347" s="162" t="s">
        <v>8322</v>
      </c>
      <c r="C4347" s="168" t="s">
        <v>13530</v>
      </c>
      <c r="D4347" s="162" t="s">
        <v>13531</v>
      </c>
      <c r="E4347" s="406" t="s">
        <v>13532</v>
      </c>
      <c r="F4347" s="406" t="s">
        <v>13533</v>
      </c>
      <c r="G4347" s="406">
        <v>166603</v>
      </c>
      <c r="H4347" s="162" t="s">
        <v>15566</v>
      </c>
      <c r="K4347" s="162">
        <v>16660309</v>
      </c>
      <c r="L4347" s="162" t="s">
        <v>15631</v>
      </c>
      <c r="M4347" s="162" t="s">
        <v>15634</v>
      </c>
      <c r="O4347" s="224">
        <v>0</v>
      </c>
      <c r="P4347" s="224">
        <v>4</v>
      </c>
      <c r="Q4347" s="224">
        <v>4</v>
      </c>
      <c r="R4347" s="224">
        <v>4</v>
      </c>
      <c r="S4347" s="224">
        <v>4</v>
      </c>
      <c r="T4347" s="223" t="s">
        <v>1536</v>
      </c>
      <c r="U4347" t="e">
        <f>VLOOKUP(T4347,[8]Votes!$A$1:$E$234,3,FALSE)</f>
        <v>#N/A</v>
      </c>
      <c r="V4347" s="162" t="s">
        <v>15635</v>
      </c>
      <c r="W4347" s="388">
        <v>1</v>
      </c>
      <c r="X4347" s="388">
        <v>0</v>
      </c>
      <c r="Y4347" s="388">
        <v>0</v>
      </c>
      <c r="Z4347" s="388">
        <v>0</v>
      </c>
      <c r="AA4347" s="388">
        <v>0</v>
      </c>
      <c r="AB4347" s="388">
        <v>0</v>
      </c>
      <c r="AC4347" s="150">
        <v>0</v>
      </c>
      <c r="AD4347" s="150">
        <v>0</v>
      </c>
      <c r="AE4347" s="49">
        <f t="shared" si="158"/>
        <v>0.125</v>
      </c>
      <c r="AF4347" s="23">
        <v>0</v>
      </c>
      <c r="AG4347" s="17">
        <v>0</v>
      </c>
      <c r="AH4347" s="190">
        <v>0</v>
      </c>
      <c r="AI4347" s="485">
        <v>0.01</v>
      </c>
      <c r="AJ4347" s="485">
        <v>0.01</v>
      </c>
      <c r="AK4347" s="493">
        <v>0.01</v>
      </c>
      <c r="AL4347" s="173">
        <v>0.01</v>
      </c>
      <c r="AM4347" s="17">
        <f t="shared" si="159"/>
        <v>0.02</v>
      </c>
      <c r="AN4347" s="162" t="s">
        <v>771</v>
      </c>
      <c r="AO4347" s="162" t="s">
        <v>773</v>
      </c>
    </row>
    <row r="4348" spans="1:42" s="162" customFormat="1" x14ac:dyDescent="0.3">
      <c r="A4348" s="205" t="s">
        <v>8321</v>
      </c>
      <c r="B4348" s="162" t="s">
        <v>8322</v>
      </c>
      <c r="C4348" s="168" t="s">
        <v>13530</v>
      </c>
      <c r="D4348" s="162" t="s">
        <v>13531</v>
      </c>
      <c r="E4348" s="406" t="s">
        <v>13532</v>
      </c>
      <c r="F4348" s="406" t="s">
        <v>13533</v>
      </c>
      <c r="G4348" s="406">
        <v>166603</v>
      </c>
      <c r="H4348" s="162" t="s">
        <v>15566</v>
      </c>
      <c r="K4348" s="162">
        <v>16660309</v>
      </c>
      <c r="L4348" s="162" t="s">
        <v>15631</v>
      </c>
      <c r="M4348" s="162" t="s">
        <v>15636</v>
      </c>
      <c r="O4348" s="224">
        <v>1</v>
      </c>
      <c r="P4348" s="224">
        <v>1</v>
      </c>
      <c r="Q4348" s="224">
        <v>1</v>
      </c>
      <c r="R4348" s="224">
        <v>1</v>
      </c>
      <c r="S4348" s="224">
        <v>1</v>
      </c>
      <c r="T4348" s="223" t="s">
        <v>1536</v>
      </c>
      <c r="U4348" t="e">
        <f>VLOOKUP(T4348,[8]Votes!$A$1:$E$234,3,FALSE)</f>
        <v>#N/A</v>
      </c>
      <c r="V4348" s="162" t="s">
        <v>15637</v>
      </c>
      <c r="W4348" s="388">
        <v>1</v>
      </c>
      <c r="X4348" s="388">
        <v>0</v>
      </c>
      <c r="Y4348" s="388">
        <v>0</v>
      </c>
      <c r="Z4348" s="388">
        <v>0</v>
      </c>
      <c r="AA4348" s="388">
        <v>0</v>
      </c>
      <c r="AB4348" s="388">
        <v>0</v>
      </c>
      <c r="AC4348" s="150">
        <v>0</v>
      </c>
      <c r="AD4348" s="150">
        <v>0</v>
      </c>
      <c r="AE4348" s="49">
        <f t="shared" si="158"/>
        <v>0.125</v>
      </c>
      <c r="AF4348" s="23">
        <v>0</v>
      </c>
      <c r="AG4348" s="17">
        <v>0</v>
      </c>
      <c r="AH4348" s="485">
        <v>0.01</v>
      </c>
      <c r="AI4348" s="485">
        <v>0.01</v>
      </c>
      <c r="AJ4348" s="485">
        <v>0.01</v>
      </c>
      <c r="AK4348" s="493">
        <v>0.01</v>
      </c>
      <c r="AL4348" s="173">
        <v>0.01</v>
      </c>
      <c r="AM4348" s="17">
        <f t="shared" si="159"/>
        <v>0.02</v>
      </c>
      <c r="AN4348" s="162" t="s">
        <v>771</v>
      </c>
      <c r="AO4348" s="162" t="s">
        <v>773</v>
      </c>
    </row>
    <row r="4349" spans="1:42" s="162" customFormat="1" x14ac:dyDescent="0.3">
      <c r="A4349" s="205" t="s">
        <v>8321</v>
      </c>
      <c r="B4349" s="162" t="s">
        <v>8322</v>
      </c>
      <c r="C4349" s="168" t="s">
        <v>13530</v>
      </c>
      <c r="D4349" s="162" t="s">
        <v>13531</v>
      </c>
      <c r="E4349" s="406" t="s">
        <v>13532</v>
      </c>
      <c r="F4349" s="406" t="s">
        <v>13533</v>
      </c>
      <c r="G4349" s="406">
        <v>166603</v>
      </c>
      <c r="H4349" s="162" t="s">
        <v>15566</v>
      </c>
      <c r="K4349" s="162">
        <v>16660309</v>
      </c>
      <c r="L4349" s="162" t="s">
        <v>15631</v>
      </c>
      <c r="M4349" s="162" t="s">
        <v>15638</v>
      </c>
      <c r="O4349" s="224">
        <v>200</v>
      </c>
      <c r="P4349" s="224">
        <v>200</v>
      </c>
      <c r="Q4349" s="224">
        <v>200</v>
      </c>
      <c r="R4349" s="224">
        <v>200</v>
      </c>
      <c r="S4349" s="224">
        <v>200</v>
      </c>
      <c r="T4349" s="223" t="s">
        <v>1536</v>
      </c>
      <c r="U4349" t="e">
        <f>VLOOKUP(T4349,[8]Votes!$A$1:$E$234,3,FALSE)</f>
        <v>#N/A</v>
      </c>
      <c r="V4349" s="162" t="s">
        <v>15639</v>
      </c>
      <c r="W4349" s="388">
        <v>1</v>
      </c>
      <c r="X4349" s="388">
        <v>0</v>
      </c>
      <c r="Y4349" s="388">
        <v>0</v>
      </c>
      <c r="Z4349" s="388">
        <v>0</v>
      </c>
      <c r="AA4349" s="388">
        <v>0</v>
      </c>
      <c r="AB4349" s="388">
        <v>0</v>
      </c>
      <c r="AC4349" s="150">
        <v>0</v>
      </c>
      <c r="AD4349" s="150">
        <v>0</v>
      </c>
      <c r="AE4349" s="49">
        <f t="shared" si="158"/>
        <v>0.125</v>
      </c>
      <c r="AF4349" s="23">
        <v>0</v>
      </c>
      <c r="AG4349" s="17">
        <v>0</v>
      </c>
      <c r="AH4349" s="485">
        <v>0.18</v>
      </c>
      <c r="AI4349" s="485">
        <v>0.18</v>
      </c>
      <c r="AJ4349" s="485">
        <v>0.18</v>
      </c>
      <c r="AK4349" s="493">
        <v>0.18</v>
      </c>
      <c r="AL4349" s="173">
        <v>0.18</v>
      </c>
      <c r="AM4349" s="17">
        <f t="shared" si="159"/>
        <v>0.36</v>
      </c>
      <c r="AN4349" s="162" t="s">
        <v>771</v>
      </c>
      <c r="AO4349" s="162" t="s">
        <v>773</v>
      </c>
    </row>
    <row r="4350" spans="1:42" s="162" customFormat="1" x14ac:dyDescent="0.3">
      <c r="A4350" s="205" t="s">
        <v>8321</v>
      </c>
      <c r="B4350" s="162" t="s">
        <v>8322</v>
      </c>
      <c r="C4350" s="168" t="s">
        <v>13530</v>
      </c>
      <c r="D4350" s="162" t="s">
        <v>13531</v>
      </c>
      <c r="E4350" s="406" t="s">
        <v>13532</v>
      </c>
      <c r="F4350" s="406" t="s">
        <v>13533</v>
      </c>
      <c r="G4350" s="406">
        <v>166603</v>
      </c>
      <c r="H4350" s="162" t="s">
        <v>15566</v>
      </c>
      <c r="K4350" s="162">
        <v>16660310</v>
      </c>
      <c r="L4350" s="162" t="s">
        <v>15640</v>
      </c>
      <c r="M4350" s="162" t="s">
        <v>15641</v>
      </c>
      <c r="N4350" s="162">
        <v>3</v>
      </c>
      <c r="O4350" s="224">
        <v>2</v>
      </c>
      <c r="P4350" s="224">
        <v>2</v>
      </c>
      <c r="Q4350" s="224">
        <v>4</v>
      </c>
      <c r="R4350" s="224">
        <v>4</v>
      </c>
      <c r="S4350" s="224">
        <v>5</v>
      </c>
      <c r="T4350" s="223" t="s">
        <v>10732</v>
      </c>
      <c r="U4350" t="str">
        <f>VLOOKUP(T4350,[8]Votes!$A$1:$E$234,3,FALSE)</f>
        <v>105 Law Reform Commission</v>
      </c>
      <c r="V4350" s="162" t="s">
        <v>15642</v>
      </c>
      <c r="W4350" s="388">
        <v>1</v>
      </c>
      <c r="X4350" s="388">
        <v>0</v>
      </c>
      <c r="Y4350" s="388">
        <v>1</v>
      </c>
      <c r="Z4350" s="388">
        <v>0</v>
      </c>
      <c r="AA4350" s="388">
        <v>1</v>
      </c>
      <c r="AB4350" s="388">
        <v>0</v>
      </c>
      <c r="AC4350" s="150">
        <v>1</v>
      </c>
      <c r="AD4350" s="150">
        <v>1</v>
      </c>
      <c r="AE4350" s="49">
        <f t="shared" si="158"/>
        <v>0.625</v>
      </c>
      <c r="AF4350" s="23">
        <v>0</v>
      </c>
      <c r="AG4350" s="17">
        <v>0</v>
      </c>
      <c r="AH4350" s="485">
        <v>0.20599999999999999</v>
      </c>
      <c r="AI4350" s="485">
        <v>0.20599999999999999</v>
      </c>
      <c r="AJ4350" s="485">
        <v>0.20599999999999999</v>
      </c>
      <c r="AK4350" s="493">
        <v>0.23</v>
      </c>
      <c r="AL4350" s="173">
        <v>0.20599999999999999</v>
      </c>
      <c r="AM4350" s="17">
        <f t="shared" si="159"/>
        <v>0.436</v>
      </c>
      <c r="AN4350" s="162" t="s">
        <v>10732</v>
      </c>
      <c r="AO4350" s="162" t="s">
        <v>15453</v>
      </c>
    </row>
    <row r="4351" spans="1:42" s="162" customFormat="1" x14ac:dyDescent="0.3">
      <c r="A4351" s="205" t="s">
        <v>8321</v>
      </c>
      <c r="B4351" s="162" t="s">
        <v>8322</v>
      </c>
      <c r="C4351" s="168" t="s">
        <v>13469</v>
      </c>
      <c r="D4351" s="162" t="s">
        <v>13544</v>
      </c>
      <c r="E4351" s="406" t="s">
        <v>13545</v>
      </c>
      <c r="F4351" s="162" t="s">
        <v>13546</v>
      </c>
      <c r="G4351" s="406">
        <v>163701</v>
      </c>
      <c r="H4351" s="162" t="s">
        <v>13547</v>
      </c>
      <c r="K4351" s="406">
        <v>16370105</v>
      </c>
      <c r="L4351" s="162" t="s">
        <v>15643</v>
      </c>
      <c r="M4351" s="162" t="s">
        <v>15644</v>
      </c>
      <c r="O4351" s="224">
        <v>72.8</v>
      </c>
      <c r="P4351" s="492">
        <v>0.74</v>
      </c>
      <c r="Q4351" s="492">
        <v>0.76</v>
      </c>
      <c r="R4351" s="492">
        <v>0.78</v>
      </c>
      <c r="S4351" s="492">
        <v>0.8</v>
      </c>
      <c r="T4351" s="223" t="s">
        <v>3875</v>
      </c>
      <c r="U4351" t="str">
        <f>VLOOKUP(T4351,[8]Votes!$A$1:$E$234,3,FALSE)</f>
        <v>007 Ministry of Justice and Constitutional Affairs</v>
      </c>
      <c r="V4351" s="162" t="s">
        <v>15645</v>
      </c>
      <c r="W4351" s="407">
        <v>0</v>
      </c>
      <c r="X4351" s="407">
        <v>0</v>
      </c>
      <c r="Y4351" s="407">
        <v>0</v>
      </c>
      <c r="Z4351" s="407">
        <v>0</v>
      </c>
      <c r="AA4351" s="407">
        <v>0</v>
      </c>
      <c r="AB4351" s="407">
        <v>0</v>
      </c>
      <c r="AC4351" s="150">
        <v>0</v>
      </c>
      <c r="AD4351" s="150">
        <v>0</v>
      </c>
      <c r="AE4351" s="49">
        <f t="shared" si="158"/>
        <v>0</v>
      </c>
      <c r="AF4351" s="23">
        <v>1</v>
      </c>
      <c r="AG4351" s="17">
        <v>0</v>
      </c>
      <c r="AH4351" s="360">
        <v>3</v>
      </c>
      <c r="AI4351" s="360">
        <v>3</v>
      </c>
      <c r="AJ4351" s="360">
        <v>3</v>
      </c>
      <c r="AK4351" s="361">
        <v>0</v>
      </c>
      <c r="AL4351" s="361">
        <v>0</v>
      </c>
      <c r="AM4351" s="17">
        <f t="shared" si="159"/>
        <v>0</v>
      </c>
      <c r="AN4351" s="223" t="s">
        <v>3875</v>
      </c>
      <c r="AO4351" s="162" t="s">
        <v>3877</v>
      </c>
    </row>
    <row r="4352" spans="1:42" s="162" customFormat="1" x14ac:dyDescent="0.3">
      <c r="A4352" s="205" t="s">
        <v>8321</v>
      </c>
      <c r="B4352" s="162" t="s">
        <v>8322</v>
      </c>
      <c r="C4352" s="168" t="s">
        <v>13469</v>
      </c>
      <c r="D4352" s="162" t="s">
        <v>13544</v>
      </c>
      <c r="E4352" s="406" t="s">
        <v>13545</v>
      </c>
      <c r="F4352" s="162" t="s">
        <v>13546</v>
      </c>
      <c r="G4352" s="406">
        <v>163701</v>
      </c>
      <c r="H4352" s="162" t="s">
        <v>13547</v>
      </c>
      <c r="J4352" s="18"/>
      <c r="K4352" s="406">
        <v>16370105</v>
      </c>
      <c r="L4352" s="162" t="s">
        <v>15643</v>
      </c>
      <c r="M4352" s="162" t="s">
        <v>15644</v>
      </c>
      <c r="O4352" s="224">
        <v>5</v>
      </c>
      <c r="P4352" s="224">
        <v>9</v>
      </c>
      <c r="Q4352" s="224">
        <v>10</v>
      </c>
      <c r="R4352" s="224">
        <v>10</v>
      </c>
      <c r="S4352" s="224">
        <v>11</v>
      </c>
      <c r="T4352" s="223" t="s">
        <v>180</v>
      </c>
      <c r="U4352" t="str">
        <f>VLOOKUP(T4352,[8]Votes!$A$1:$E$234,3,FALSE)</f>
        <v>145 Uganda Prisons</v>
      </c>
      <c r="V4352" s="162" t="s">
        <v>15646</v>
      </c>
      <c r="W4352" s="407">
        <v>1</v>
      </c>
      <c r="X4352" s="407">
        <v>1</v>
      </c>
      <c r="Y4352" s="407">
        <v>1</v>
      </c>
      <c r="Z4352" s="407">
        <v>1</v>
      </c>
      <c r="AA4352" s="407">
        <v>0</v>
      </c>
      <c r="AB4352" s="407">
        <v>0</v>
      </c>
      <c r="AC4352" s="150">
        <v>0</v>
      </c>
      <c r="AD4352" s="150">
        <v>1</v>
      </c>
      <c r="AE4352" s="49">
        <f t="shared" si="158"/>
        <v>0.625</v>
      </c>
      <c r="AF4352" s="23">
        <v>1</v>
      </c>
      <c r="AG4352" s="17">
        <v>0</v>
      </c>
      <c r="AH4352" s="360">
        <v>26</v>
      </c>
      <c r="AI4352" s="360">
        <v>46.8</v>
      </c>
      <c r="AJ4352" s="360">
        <v>52</v>
      </c>
      <c r="AK4352" s="361">
        <v>0</v>
      </c>
      <c r="AL4352" s="361">
        <v>0</v>
      </c>
      <c r="AM4352" s="17">
        <f t="shared" si="159"/>
        <v>0</v>
      </c>
      <c r="AN4352" s="162" t="s">
        <v>180</v>
      </c>
      <c r="AO4352" s="162" t="s">
        <v>182</v>
      </c>
      <c r="AP4352" s="162" t="s">
        <v>3875</v>
      </c>
    </row>
    <row r="4353" spans="1:41" s="162" customFormat="1" x14ac:dyDescent="0.3">
      <c r="A4353" s="205" t="s">
        <v>8321</v>
      </c>
      <c r="B4353" s="162" t="s">
        <v>8322</v>
      </c>
      <c r="C4353" s="168" t="s">
        <v>13469</v>
      </c>
      <c r="D4353" s="162" t="s">
        <v>13544</v>
      </c>
      <c r="E4353" s="406" t="s">
        <v>13545</v>
      </c>
      <c r="F4353" s="162" t="s">
        <v>13546</v>
      </c>
      <c r="G4353" s="406">
        <v>163701</v>
      </c>
      <c r="H4353" s="162" t="s">
        <v>13547</v>
      </c>
      <c r="K4353" s="406">
        <v>16370105</v>
      </c>
      <c r="L4353" s="162" t="s">
        <v>15643</v>
      </c>
      <c r="M4353" s="162" t="s">
        <v>15647</v>
      </c>
      <c r="O4353" s="224">
        <v>0.5</v>
      </c>
      <c r="P4353" s="224">
        <v>0.5</v>
      </c>
      <c r="Q4353" s="224">
        <v>2</v>
      </c>
      <c r="R4353" s="224">
        <v>1</v>
      </c>
      <c r="S4353" s="224">
        <v>1</v>
      </c>
      <c r="T4353" s="223" t="s">
        <v>3875</v>
      </c>
      <c r="U4353" t="str">
        <f>VLOOKUP(T4353,[8]Votes!$A$1:$E$234,3,FALSE)</f>
        <v>007 Ministry of Justice and Constitutional Affairs</v>
      </c>
      <c r="V4353" s="162" t="s">
        <v>15648</v>
      </c>
      <c r="W4353" s="407">
        <v>1</v>
      </c>
      <c r="X4353" s="407">
        <v>1</v>
      </c>
      <c r="Y4353" s="407">
        <v>1</v>
      </c>
      <c r="Z4353" s="407">
        <v>1</v>
      </c>
      <c r="AA4353" s="407">
        <v>0</v>
      </c>
      <c r="AB4353" s="407">
        <v>0</v>
      </c>
      <c r="AC4353" s="150">
        <v>0</v>
      </c>
      <c r="AD4353" s="150">
        <v>1</v>
      </c>
      <c r="AE4353" s="49">
        <f t="shared" si="158"/>
        <v>0.625</v>
      </c>
      <c r="AF4353" s="23">
        <v>1</v>
      </c>
      <c r="AG4353" s="17">
        <v>0</v>
      </c>
      <c r="AH4353" s="360">
        <v>1</v>
      </c>
      <c r="AI4353" s="360">
        <v>3.5</v>
      </c>
      <c r="AJ4353" s="360">
        <v>9</v>
      </c>
      <c r="AK4353" s="361">
        <v>4</v>
      </c>
      <c r="AL4353" s="361">
        <v>4</v>
      </c>
      <c r="AM4353" s="17">
        <f t="shared" si="159"/>
        <v>8</v>
      </c>
      <c r="AN4353" s="223" t="s">
        <v>3875</v>
      </c>
      <c r="AO4353" s="162" t="s">
        <v>3877</v>
      </c>
    </row>
    <row r="4354" spans="1:41" s="162" customFormat="1" x14ac:dyDescent="0.3">
      <c r="A4354" s="205" t="s">
        <v>8321</v>
      </c>
      <c r="B4354" s="162" t="s">
        <v>8322</v>
      </c>
      <c r="C4354" s="168" t="s">
        <v>13469</v>
      </c>
      <c r="D4354" s="162" t="s">
        <v>13544</v>
      </c>
      <c r="E4354" s="406" t="s">
        <v>13545</v>
      </c>
      <c r="F4354" s="162" t="s">
        <v>13546</v>
      </c>
      <c r="G4354" s="406">
        <v>163701</v>
      </c>
      <c r="H4354" s="162" t="s">
        <v>13547</v>
      </c>
      <c r="K4354" s="406">
        <v>16370105</v>
      </c>
      <c r="L4354" s="162" t="s">
        <v>15643</v>
      </c>
      <c r="M4354" s="162" t="s">
        <v>15649</v>
      </c>
      <c r="O4354" s="224">
        <v>0.1</v>
      </c>
      <c r="P4354" s="224">
        <v>0.4</v>
      </c>
      <c r="Q4354" s="224">
        <v>0.7</v>
      </c>
      <c r="R4354" s="224">
        <v>1</v>
      </c>
      <c r="S4354" s="224"/>
      <c r="T4354" s="223" t="s">
        <v>3875</v>
      </c>
      <c r="U4354" t="str">
        <f>VLOOKUP(T4354,[8]Votes!$A$1:$E$234,3,FALSE)</f>
        <v>007 Ministry of Justice and Constitutional Affairs</v>
      </c>
      <c r="V4354" s="162" t="s">
        <v>15650</v>
      </c>
      <c r="W4354" s="407">
        <v>1</v>
      </c>
      <c r="X4354" s="407">
        <v>1</v>
      </c>
      <c r="Y4354" s="407">
        <v>1</v>
      </c>
      <c r="Z4354" s="407">
        <v>1</v>
      </c>
      <c r="AA4354" s="407">
        <v>0</v>
      </c>
      <c r="AB4354" s="407">
        <v>0</v>
      </c>
      <c r="AC4354" s="150">
        <v>0</v>
      </c>
      <c r="AD4354" s="150">
        <v>1</v>
      </c>
      <c r="AE4354" s="49">
        <f t="shared" si="158"/>
        <v>0.625</v>
      </c>
      <c r="AF4354" s="23">
        <v>1</v>
      </c>
      <c r="AG4354" s="17">
        <v>0</v>
      </c>
      <c r="AH4354" s="360">
        <v>20</v>
      </c>
      <c r="AI4354" s="360">
        <v>40</v>
      </c>
      <c r="AJ4354" s="360">
        <v>40</v>
      </c>
      <c r="AK4354" s="361">
        <v>0</v>
      </c>
      <c r="AL4354" s="191">
        <v>0</v>
      </c>
      <c r="AM4354" s="17">
        <f t="shared" si="159"/>
        <v>0</v>
      </c>
      <c r="AN4354" s="223" t="s">
        <v>3875</v>
      </c>
      <c r="AO4354" s="162" t="s">
        <v>3877</v>
      </c>
    </row>
    <row r="4355" spans="1:41" s="162" customFormat="1" x14ac:dyDescent="0.3">
      <c r="A4355" s="205" t="s">
        <v>8321</v>
      </c>
      <c r="B4355" s="162" t="s">
        <v>8322</v>
      </c>
      <c r="C4355" s="168" t="s">
        <v>13469</v>
      </c>
      <c r="D4355" s="162" t="s">
        <v>13544</v>
      </c>
      <c r="E4355" s="406" t="s">
        <v>13545</v>
      </c>
      <c r="F4355" s="162" t="s">
        <v>13546</v>
      </c>
      <c r="G4355" s="406">
        <v>163701</v>
      </c>
      <c r="H4355" s="162" t="s">
        <v>13547</v>
      </c>
      <c r="K4355" s="406">
        <v>16370105</v>
      </c>
      <c r="L4355" s="162" t="s">
        <v>15643</v>
      </c>
      <c r="M4355" s="162" t="s">
        <v>15649</v>
      </c>
      <c r="O4355" s="224"/>
      <c r="P4355" s="224"/>
      <c r="Q4355" s="224"/>
      <c r="R4355" s="224"/>
      <c r="S4355" s="224">
        <v>1</v>
      </c>
      <c r="T4355" s="223" t="s">
        <v>3875</v>
      </c>
      <c r="U4355" t="str">
        <f>VLOOKUP(T4355,[8]Votes!$A$1:$E$234,3,FALSE)</f>
        <v>007 Ministry of Justice and Constitutional Affairs</v>
      </c>
      <c r="V4355" s="162" t="s">
        <v>15651</v>
      </c>
      <c r="W4355" s="407">
        <v>1</v>
      </c>
      <c r="X4355" s="407">
        <v>1</v>
      </c>
      <c r="Y4355" s="407">
        <v>1</v>
      </c>
      <c r="Z4355" s="407">
        <v>1</v>
      </c>
      <c r="AA4355" s="407">
        <v>0</v>
      </c>
      <c r="AB4355" s="407">
        <v>0</v>
      </c>
      <c r="AC4355" s="150">
        <v>0</v>
      </c>
      <c r="AD4355" s="150">
        <v>1</v>
      </c>
      <c r="AE4355" s="49">
        <f t="shared" si="158"/>
        <v>0.625</v>
      </c>
      <c r="AF4355" s="23">
        <v>1</v>
      </c>
      <c r="AG4355" s="17">
        <v>0</v>
      </c>
      <c r="AH4355" s="190">
        <v>0</v>
      </c>
      <c r="AI4355" s="190">
        <v>0</v>
      </c>
      <c r="AJ4355" s="190">
        <v>0</v>
      </c>
      <c r="AK4355" s="191">
        <v>0</v>
      </c>
      <c r="AL4355" s="361">
        <v>0</v>
      </c>
      <c r="AM4355" s="17">
        <f t="shared" si="159"/>
        <v>0</v>
      </c>
      <c r="AN4355" s="223" t="s">
        <v>3875</v>
      </c>
      <c r="AO4355" s="162" t="s">
        <v>3877</v>
      </c>
    </row>
    <row r="4356" spans="1:41" s="162" customFormat="1" x14ac:dyDescent="0.3">
      <c r="A4356" s="205" t="s">
        <v>8321</v>
      </c>
      <c r="B4356" s="162" t="s">
        <v>8322</v>
      </c>
      <c r="C4356" s="168" t="s">
        <v>13469</v>
      </c>
      <c r="D4356" s="162" t="s">
        <v>13544</v>
      </c>
      <c r="E4356" s="406" t="s">
        <v>13545</v>
      </c>
      <c r="F4356" s="162" t="s">
        <v>13546</v>
      </c>
      <c r="G4356" s="406">
        <v>163701</v>
      </c>
      <c r="H4356" s="162" t="s">
        <v>13547</v>
      </c>
      <c r="K4356" s="406">
        <v>16370105</v>
      </c>
      <c r="L4356" s="162" t="s">
        <v>15643</v>
      </c>
      <c r="M4356" s="162" t="s">
        <v>15652</v>
      </c>
      <c r="N4356" s="162">
        <v>10</v>
      </c>
      <c r="O4356" s="224">
        <v>0</v>
      </c>
      <c r="P4356" s="224">
        <v>0</v>
      </c>
      <c r="Q4356" s="224">
        <v>1</v>
      </c>
      <c r="R4356" s="224">
        <v>1</v>
      </c>
      <c r="S4356" s="224">
        <v>1</v>
      </c>
      <c r="T4356" s="223" t="s">
        <v>14567</v>
      </c>
      <c r="U4356" t="str">
        <f>VLOOKUP(T4356,[8]Votes!$A$1:$E$234,3,FALSE)</f>
        <v>106 Uganda Human Rights Commission</v>
      </c>
      <c r="V4356" s="162" t="s">
        <v>15653</v>
      </c>
      <c r="W4356" s="407">
        <v>1</v>
      </c>
      <c r="X4356" s="407">
        <v>1</v>
      </c>
      <c r="Y4356" s="407">
        <v>1</v>
      </c>
      <c r="Z4356" s="407">
        <v>1</v>
      </c>
      <c r="AA4356" s="407">
        <v>0</v>
      </c>
      <c r="AB4356" s="407">
        <v>0</v>
      </c>
      <c r="AC4356" s="150">
        <v>0</v>
      </c>
      <c r="AD4356" s="150">
        <v>0</v>
      </c>
      <c r="AE4356" s="49">
        <f t="shared" si="158"/>
        <v>0.5</v>
      </c>
      <c r="AF4356" s="23">
        <v>1</v>
      </c>
      <c r="AG4356" s="17">
        <v>0</v>
      </c>
      <c r="AH4356" s="190">
        <v>0</v>
      </c>
      <c r="AI4356" s="190">
        <v>0</v>
      </c>
      <c r="AJ4356" s="360">
        <v>0.5</v>
      </c>
      <c r="AK4356" s="361">
        <v>0.5</v>
      </c>
      <c r="AL4356" s="361">
        <v>0.5</v>
      </c>
      <c r="AM4356" s="17">
        <f t="shared" si="159"/>
        <v>1</v>
      </c>
      <c r="AN4356" s="162" t="s">
        <v>14567</v>
      </c>
      <c r="AO4356" s="162" t="s">
        <v>14570</v>
      </c>
    </row>
    <row r="4357" spans="1:41" s="162" customFormat="1" x14ac:dyDescent="0.3">
      <c r="A4357" s="205" t="s">
        <v>8321</v>
      </c>
      <c r="B4357" s="162" t="s">
        <v>8322</v>
      </c>
      <c r="C4357" s="168" t="s">
        <v>13469</v>
      </c>
      <c r="D4357" s="162" t="s">
        <v>13544</v>
      </c>
      <c r="E4357" s="406" t="s">
        <v>13545</v>
      </c>
      <c r="F4357" s="162" t="s">
        <v>13546</v>
      </c>
      <c r="G4357" s="406">
        <v>163701</v>
      </c>
      <c r="H4357" s="162" t="s">
        <v>13547</v>
      </c>
      <c r="K4357" s="406">
        <v>16370105</v>
      </c>
      <c r="L4357" s="162" t="s">
        <v>15643</v>
      </c>
      <c r="M4357" s="162" t="s">
        <v>15654</v>
      </c>
      <c r="O4357" s="224">
        <v>44</v>
      </c>
      <c r="P4357" s="224">
        <v>49</v>
      </c>
      <c r="Q4357" s="224">
        <v>54</v>
      </c>
      <c r="R4357" s="224">
        <v>59</v>
      </c>
      <c r="S4357" s="224">
        <v>64</v>
      </c>
      <c r="T4357" s="223" t="s">
        <v>1581</v>
      </c>
      <c r="U4357" t="str">
        <f>VLOOKUP(T4357,[8]Votes!$A$1:$E$234,3,FALSE)</f>
        <v>119 Uganda Registration Services Bureau</v>
      </c>
      <c r="V4357" s="162" t="s">
        <v>15655</v>
      </c>
      <c r="W4357" s="407">
        <v>1</v>
      </c>
      <c r="X4357" s="407">
        <v>1</v>
      </c>
      <c r="Y4357" s="407">
        <v>1</v>
      </c>
      <c r="Z4357" s="407">
        <v>1</v>
      </c>
      <c r="AA4357" s="407">
        <v>1</v>
      </c>
      <c r="AB4357" s="407">
        <v>1</v>
      </c>
      <c r="AC4357" s="150">
        <v>1</v>
      </c>
      <c r="AD4357" s="150">
        <v>1</v>
      </c>
      <c r="AE4357" s="49">
        <f t="shared" si="158"/>
        <v>1</v>
      </c>
      <c r="AF4357" s="23">
        <v>1</v>
      </c>
      <c r="AG4357" s="17">
        <v>0</v>
      </c>
      <c r="AH4357" s="360">
        <v>1</v>
      </c>
      <c r="AI4357" s="360">
        <v>1</v>
      </c>
      <c r="AJ4357" s="360">
        <v>1</v>
      </c>
      <c r="AK4357" s="361">
        <v>3.5</v>
      </c>
      <c r="AL4357" s="361">
        <v>3</v>
      </c>
      <c r="AM4357" s="17">
        <f t="shared" si="159"/>
        <v>6.5</v>
      </c>
      <c r="AN4357" s="162" t="s">
        <v>1581</v>
      </c>
      <c r="AO4357" s="162" t="s">
        <v>1583</v>
      </c>
    </row>
    <row r="4358" spans="1:41" s="162" customFormat="1" x14ac:dyDescent="0.3">
      <c r="A4358" s="205" t="s">
        <v>8321</v>
      </c>
      <c r="B4358" s="162" t="s">
        <v>8322</v>
      </c>
      <c r="C4358" s="168" t="s">
        <v>13469</v>
      </c>
      <c r="D4358" s="162" t="s">
        <v>13544</v>
      </c>
      <c r="E4358" s="406" t="s">
        <v>13545</v>
      </c>
      <c r="F4358" s="162" t="s">
        <v>13546</v>
      </c>
      <c r="G4358" s="406">
        <v>163701</v>
      </c>
      <c r="H4358" s="162" t="s">
        <v>13547</v>
      </c>
      <c r="K4358" s="406">
        <v>16370105</v>
      </c>
      <c r="L4358" s="162" t="s">
        <v>15643</v>
      </c>
      <c r="M4358" s="162" t="s">
        <v>15656</v>
      </c>
      <c r="O4358" s="224"/>
      <c r="P4358" s="224"/>
      <c r="Q4358" s="224">
        <v>3</v>
      </c>
      <c r="R4358" s="224">
        <v>5</v>
      </c>
      <c r="S4358" s="224">
        <v>8</v>
      </c>
      <c r="T4358" s="223" t="s">
        <v>11865</v>
      </c>
      <c r="U4358" t="str">
        <f>VLOOKUP(T4358,[8]Votes!$A$1:$E$234,3,FALSE)</f>
        <v>133 Office of the Director of Public Prosecutions</v>
      </c>
      <c r="V4358" s="162" t="s">
        <v>15657</v>
      </c>
      <c r="W4358" s="407">
        <v>1</v>
      </c>
      <c r="X4358" s="407">
        <v>1</v>
      </c>
      <c r="Y4358" s="407">
        <v>1</v>
      </c>
      <c r="Z4358" s="407">
        <v>1</v>
      </c>
      <c r="AA4358" s="416">
        <v>1</v>
      </c>
      <c r="AB4358" s="407">
        <v>0</v>
      </c>
      <c r="AC4358" s="150">
        <v>0</v>
      </c>
      <c r="AD4358" s="150">
        <v>1</v>
      </c>
      <c r="AE4358" s="49">
        <f t="shared" si="158"/>
        <v>0.75</v>
      </c>
      <c r="AF4358" s="23">
        <v>1</v>
      </c>
      <c r="AG4358" s="17">
        <v>0</v>
      </c>
      <c r="AH4358" s="190">
        <v>0</v>
      </c>
      <c r="AI4358" s="190">
        <v>0</v>
      </c>
      <c r="AJ4358" s="360">
        <v>0.9</v>
      </c>
      <c r="AK4358" s="361">
        <v>1.5</v>
      </c>
      <c r="AL4358" s="361">
        <v>1.8</v>
      </c>
      <c r="AM4358" s="17">
        <f t="shared" si="159"/>
        <v>3.3</v>
      </c>
      <c r="AN4358" s="162" t="s">
        <v>11865</v>
      </c>
      <c r="AO4358" s="162" t="s">
        <v>11866</v>
      </c>
    </row>
    <row r="4359" spans="1:41" s="162" customFormat="1" x14ac:dyDescent="0.3">
      <c r="A4359" s="205" t="s">
        <v>8321</v>
      </c>
      <c r="B4359" s="162" t="s">
        <v>8322</v>
      </c>
      <c r="C4359" s="168" t="s">
        <v>13469</v>
      </c>
      <c r="D4359" s="162" t="s">
        <v>13544</v>
      </c>
      <c r="E4359" s="406" t="s">
        <v>13545</v>
      </c>
      <c r="F4359" s="162" t="s">
        <v>13546</v>
      </c>
      <c r="G4359" s="406">
        <v>163701</v>
      </c>
      <c r="H4359" s="162" t="s">
        <v>15658</v>
      </c>
      <c r="K4359" s="406">
        <v>16370105</v>
      </c>
      <c r="L4359" s="162" t="s">
        <v>15659</v>
      </c>
      <c r="M4359" s="162" t="s">
        <v>15660</v>
      </c>
      <c r="O4359" s="224">
        <v>15</v>
      </c>
      <c r="P4359" s="224">
        <v>15</v>
      </c>
      <c r="Q4359" s="224">
        <v>15</v>
      </c>
      <c r="R4359" s="224">
        <v>15</v>
      </c>
      <c r="S4359" s="224">
        <v>18</v>
      </c>
      <c r="T4359" s="223" t="s">
        <v>13766</v>
      </c>
      <c r="U4359" t="str">
        <f>VLOOKUP(T4359,[8]Votes!$A$1:$E$234,3,FALSE)</f>
        <v>120 National Citizenship and Immigration Control</v>
      </c>
      <c r="V4359" s="162" t="s">
        <v>15661</v>
      </c>
      <c r="W4359" s="407">
        <v>1</v>
      </c>
      <c r="X4359" s="407">
        <v>1</v>
      </c>
      <c r="Y4359" s="407">
        <v>1</v>
      </c>
      <c r="Z4359" s="407">
        <v>1</v>
      </c>
      <c r="AA4359" s="407">
        <v>0</v>
      </c>
      <c r="AB4359" s="407">
        <v>0</v>
      </c>
      <c r="AC4359" s="150">
        <v>0</v>
      </c>
      <c r="AD4359" s="150">
        <v>1</v>
      </c>
      <c r="AE4359" s="49">
        <f t="shared" si="158"/>
        <v>0.625</v>
      </c>
      <c r="AF4359" s="23">
        <v>1</v>
      </c>
      <c r="AG4359" s="17">
        <v>0</v>
      </c>
      <c r="AH4359" s="360">
        <v>6</v>
      </c>
      <c r="AI4359" s="360">
        <v>6</v>
      </c>
      <c r="AJ4359" s="360">
        <v>7.5</v>
      </c>
      <c r="AK4359" s="361">
        <v>0</v>
      </c>
      <c r="AL4359" s="361">
        <v>0</v>
      </c>
      <c r="AM4359" s="17">
        <f t="shared" si="159"/>
        <v>0</v>
      </c>
      <c r="AN4359" s="162" t="s">
        <v>13766</v>
      </c>
      <c r="AO4359" s="162" t="s">
        <v>13768</v>
      </c>
    </row>
    <row r="4360" spans="1:41" s="162" customFormat="1" x14ac:dyDescent="0.3">
      <c r="A4360" s="205" t="s">
        <v>8321</v>
      </c>
      <c r="B4360" s="162" t="s">
        <v>8322</v>
      </c>
      <c r="C4360" s="168" t="s">
        <v>13469</v>
      </c>
      <c r="D4360" s="162" t="s">
        <v>13544</v>
      </c>
      <c r="E4360" s="406" t="s">
        <v>13545</v>
      </c>
      <c r="F4360" s="162" t="s">
        <v>13546</v>
      </c>
      <c r="G4360" s="406">
        <v>163701</v>
      </c>
      <c r="H4360" s="162" t="s">
        <v>15658</v>
      </c>
      <c r="K4360" s="406">
        <v>16370105</v>
      </c>
      <c r="L4360" s="162" t="s">
        <v>15659</v>
      </c>
      <c r="M4360" s="162" t="s">
        <v>15662</v>
      </c>
      <c r="O4360" s="224">
        <v>5</v>
      </c>
      <c r="P4360" s="224">
        <v>5</v>
      </c>
      <c r="Q4360" s="224">
        <v>5</v>
      </c>
      <c r="R4360" s="224">
        <v>5</v>
      </c>
      <c r="S4360" s="224">
        <v>9</v>
      </c>
      <c r="T4360" s="223" t="s">
        <v>13766</v>
      </c>
      <c r="U4360" t="str">
        <f>VLOOKUP(T4360,[8]Votes!$A$1:$E$234,3,FALSE)</f>
        <v>120 National Citizenship and Immigration Control</v>
      </c>
      <c r="V4360" s="162" t="s">
        <v>15663</v>
      </c>
      <c r="W4360" s="407">
        <v>1</v>
      </c>
      <c r="X4360" s="407">
        <v>1</v>
      </c>
      <c r="Y4360" s="407">
        <v>1</v>
      </c>
      <c r="Z4360" s="407">
        <v>1</v>
      </c>
      <c r="AA4360" s="407">
        <v>0</v>
      </c>
      <c r="AB4360" s="407">
        <v>0</v>
      </c>
      <c r="AC4360" s="150">
        <v>0</v>
      </c>
      <c r="AD4360" s="150">
        <v>1</v>
      </c>
      <c r="AE4360" s="49">
        <f t="shared" si="158"/>
        <v>0.625</v>
      </c>
      <c r="AF4360" s="23">
        <v>1</v>
      </c>
      <c r="AG4360" s="17">
        <v>0</v>
      </c>
      <c r="AH4360" s="360">
        <v>7.5</v>
      </c>
      <c r="AI4360" s="360">
        <v>7.5</v>
      </c>
      <c r="AJ4360" s="360">
        <v>8</v>
      </c>
      <c r="AK4360" s="361">
        <v>0</v>
      </c>
      <c r="AL4360" s="361">
        <v>0</v>
      </c>
      <c r="AM4360" s="17">
        <f t="shared" si="159"/>
        <v>0</v>
      </c>
      <c r="AN4360" s="162" t="s">
        <v>13766</v>
      </c>
      <c r="AO4360" s="162" t="s">
        <v>13768</v>
      </c>
    </row>
    <row r="4361" spans="1:41" s="162" customFormat="1" x14ac:dyDescent="0.3">
      <c r="A4361" s="205" t="s">
        <v>8321</v>
      </c>
      <c r="B4361" s="162" t="s">
        <v>8322</v>
      </c>
      <c r="C4361" s="168" t="s">
        <v>13469</v>
      </c>
      <c r="D4361" s="162" t="s">
        <v>13544</v>
      </c>
      <c r="E4361" s="406" t="s">
        <v>13545</v>
      </c>
      <c r="F4361" s="162" t="s">
        <v>15664</v>
      </c>
      <c r="G4361" s="406">
        <v>163701</v>
      </c>
      <c r="H4361" s="162" t="s">
        <v>15658</v>
      </c>
      <c r="K4361" s="406">
        <v>16370105</v>
      </c>
      <c r="L4361" s="162" t="s">
        <v>15659</v>
      </c>
      <c r="M4361" s="162" t="s">
        <v>15665</v>
      </c>
      <c r="O4361" s="224">
        <v>2</v>
      </c>
      <c r="P4361" s="224">
        <v>2</v>
      </c>
      <c r="Q4361" s="224">
        <v>2</v>
      </c>
      <c r="R4361" s="224">
        <v>2</v>
      </c>
      <c r="S4361" s="224">
        <v>2</v>
      </c>
      <c r="T4361" s="223" t="s">
        <v>13766</v>
      </c>
      <c r="U4361" t="str">
        <f>VLOOKUP(T4361,[8]Votes!$A$1:$E$234,3,FALSE)</f>
        <v>120 National Citizenship and Immigration Control</v>
      </c>
      <c r="V4361" s="162" t="s">
        <v>15666</v>
      </c>
      <c r="W4361" s="407">
        <v>1</v>
      </c>
      <c r="X4361" s="407">
        <v>1</v>
      </c>
      <c r="Y4361" s="407">
        <v>1</v>
      </c>
      <c r="Z4361" s="407">
        <v>1</v>
      </c>
      <c r="AA4361" s="407">
        <v>0</v>
      </c>
      <c r="AB4361" s="407">
        <v>0</v>
      </c>
      <c r="AC4361" s="150">
        <v>0</v>
      </c>
      <c r="AD4361" s="150">
        <v>1</v>
      </c>
      <c r="AE4361" s="49">
        <f t="shared" si="158"/>
        <v>0.625</v>
      </c>
      <c r="AF4361" s="23">
        <v>1</v>
      </c>
      <c r="AG4361" s="17">
        <v>0</v>
      </c>
      <c r="AH4361" s="360">
        <v>2.4</v>
      </c>
      <c r="AI4361" s="360">
        <v>2.5</v>
      </c>
      <c r="AJ4361" s="360">
        <v>2.5</v>
      </c>
      <c r="AK4361" s="361">
        <v>2.6</v>
      </c>
      <c r="AL4361" s="361">
        <v>2.6</v>
      </c>
      <c r="AM4361" s="17">
        <f t="shared" si="159"/>
        <v>5.2</v>
      </c>
      <c r="AN4361" s="162" t="s">
        <v>13766</v>
      </c>
      <c r="AO4361" s="162" t="s">
        <v>13768</v>
      </c>
    </row>
    <row r="4362" spans="1:41" s="162" customFormat="1" x14ac:dyDescent="0.3">
      <c r="A4362" s="205" t="s">
        <v>8321</v>
      </c>
      <c r="B4362" s="162" t="s">
        <v>8322</v>
      </c>
      <c r="C4362" s="168" t="s">
        <v>13469</v>
      </c>
      <c r="D4362" s="162" t="s">
        <v>13544</v>
      </c>
      <c r="E4362" s="406" t="s">
        <v>13545</v>
      </c>
      <c r="F4362" s="162" t="s">
        <v>13546</v>
      </c>
      <c r="G4362" s="406">
        <v>163701</v>
      </c>
      <c r="H4362" s="162" t="s">
        <v>13547</v>
      </c>
      <c r="K4362" s="406">
        <v>16370101</v>
      </c>
      <c r="L4362" s="162" t="s">
        <v>13548</v>
      </c>
      <c r="M4362" s="162" t="s">
        <v>15667</v>
      </c>
      <c r="O4362" s="224"/>
      <c r="P4362" s="224">
        <v>2</v>
      </c>
      <c r="Q4362" s="224" t="s">
        <v>3532</v>
      </c>
      <c r="R4362" s="224">
        <v>1</v>
      </c>
      <c r="S4362" s="224">
        <v>1</v>
      </c>
      <c r="T4362" s="223" t="s">
        <v>180</v>
      </c>
      <c r="U4362" t="str">
        <f>VLOOKUP(T4362,[8]Votes!$A$1:$E$234,3,FALSE)</f>
        <v>145 Uganda Prisons</v>
      </c>
      <c r="V4362" s="162" t="s">
        <v>15668</v>
      </c>
      <c r="W4362" s="407">
        <v>1</v>
      </c>
      <c r="X4362" s="407">
        <v>1</v>
      </c>
      <c r="Y4362" s="407">
        <v>1</v>
      </c>
      <c r="Z4362" s="407">
        <v>1</v>
      </c>
      <c r="AA4362" s="407">
        <v>0</v>
      </c>
      <c r="AB4362" s="407">
        <v>0</v>
      </c>
      <c r="AC4362" s="150">
        <v>0</v>
      </c>
      <c r="AD4362" s="150">
        <v>1</v>
      </c>
      <c r="AE4362" s="49">
        <f t="shared" si="158"/>
        <v>0.625</v>
      </c>
      <c r="AF4362" s="23">
        <v>1</v>
      </c>
      <c r="AG4362" s="17">
        <v>0</v>
      </c>
      <c r="AH4362" s="190">
        <v>0</v>
      </c>
      <c r="AI4362" s="360">
        <v>43.15</v>
      </c>
      <c r="AJ4362" s="360">
        <v>0.2</v>
      </c>
      <c r="AK4362" s="361">
        <v>0</v>
      </c>
      <c r="AL4362" s="361">
        <v>0</v>
      </c>
      <c r="AM4362" s="17">
        <f t="shared" si="159"/>
        <v>0</v>
      </c>
      <c r="AN4362" s="162" t="s">
        <v>180</v>
      </c>
      <c r="AO4362" s="162" t="s">
        <v>182</v>
      </c>
    </row>
    <row r="4363" spans="1:41" s="162" customFormat="1" x14ac:dyDescent="0.3">
      <c r="A4363" s="205" t="s">
        <v>8321</v>
      </c>
      <c r="B4363" s="162" t="s">
        <v>8322</v>
      </c>
      <c r="C4363" s="168" t="s">
        <v>13469</v>
      </c>
      <c r="D4363" s="162" t="s">
        <v>13544</v>
      </c>
      <c r="E4363" s="406" t="s">
        <v>13545</v>
      </c>
      <c r="F4363" s="162" t="s">
        <v>13546</v>
      </c>
      <c r="G4363" s="406">
        <v>163701</v>
      </c>
      <c r="H4363" s="162" t="s">
        <v>13547</v>
      </c>
      <c r="K4363" s="406">
        <v>16370101</v>
      </c>
      <c r="L4363" s="162" t="s">
        <v>13548</v>
      </c>
      <c r="M4363" s="162" t="s">
        <v>15667</v>
      </c>
      <c r="O4363" s="224">
        <v>16</v>
      </c>
      <c r="P4363" s="224">
        <v>32</v>
      </c>
      <c r="Q4363" s="224">
        <v>32</v>
      </c>
      <c r="R4363" s="224">
        <v>3</v>
      </c>
      <c r="S4363" s="224">
        <v>3</v>
      </c>
      <c r="T4363" s="223" t="s">
        <v>180</v>
      </c>
      <c r="U4363" t="str">
        <f>VLOOKUP(T4363,[8]Votes!$A$1:$E$234,3,FALSE)</f>
        <v>145 Uganda Prisons</v>
      </c>
      <c r="V4363" s="162" t="s">
        <v>15669</v>
      </c>
      <c r="W4363" s="407">
        <v>1</v>
      </c>
      <c r="X4363" s="407">
        <v>1</v>
      </c>
      <c r="Y4363" s="407">
        <v>1</v>
      </c>
      <c r="Z4363" s="407">
        <v>1</v>
      </c>
      <c r="AA4363" s="407">
        <v>1</v>
      </c>
      <c r="AB4363" s="407">
        <v>0</v>
      </c>
      <c r="AC4363" s="150">
        <v>0</v>
      </c>
      <c r="AD4363" s="150">
        <v>1</v>
      </c>
      <c r="AE4363" s="49">
        <f t="shared" si="158"/>
        <v>0.75</v>
      </c>
      <c r="AF4363" s="23">
        <v>1</v>
      </c>
      <c r="AG4363" s="17">
        <v>0</v>
      </c>
      <c r="AH4363" s="360">
        <v>12.8</v>
      </c>
      <c r="AI4363" s="360">
        <v>31.8</v>
      </c>
      <c r="AJ4363" s="360">
        <v>31.8</v>
      </c>
      <c r="AK4363" s="361">
        <v>0</v>
      </c>
      <c r="AL4363" s="361">
        <v>0</v>
      </c>
      <c r="AM4363" s="17">
        <f t="shared" si="159"/>
        <v>0</v>
      </c>
      <c r="AN4363" s="162" t="s">
        <v>180</v>
      </c>
      <c r="AO4363" s="162" t="s">
        <v>182</v>
      </c>
    </row>
    <row r="4364" spans="1:41" s="162" customFormat="1" x14ac:dyDescent="0.3">
      <c r="A4364" s="205" t="s">
        <v>8321</v>
      </c>
      <c r="B4364" s="162" t="s">
        <v>8322</v>
      </c>
      <c r="C4364" s="168" t="s">
        <v>13469</v>
      </c>
      <c r="D4364" s="162" t="s">
        <v>13544</v>
      </c>
      <c r="E4364" s="406" t="s">
        <v>13545</v>
      </c>
      <c r="F4364" s="162" t="s">
        <v>13546</v>
      </c>
      <c r="G4364" s="406">
        <v>163701</v>
      </c>
      <c r="H4364" s="162" t="s">
        <v>13547</v>
      </c>
      <c r="K4364" s="406">
        <v>16370101</v>
      </c>
      <c r="L4364" s="162" t="s">
        <v>13548</v>
      </c>
      <c r="M4364" s="162" t="s">
        <v>15667</v>
      </c>
      <c r="O4364" s="224"/>
      <c r="P4364" s="224"/>
      <c r="Q4364" s="224">
        <v>1</v>
      </c>
      <c r="R4364" s="224"/>
      <c r="S4364" s="224">
        <v>1</v>
      </c>
      <c r="T4364" s="223" t="s">
        <v>180</v>
      </c>
      <c r="U4364" t="str">
        <f>VLOOKUP(T4364,[8]Votes!$A$1:$E$234,3,FALSE)</f>
        <v>145 Uganda Prisons</v>
      </c>
      <c r="V4364" s="162" t="s">
        <v>15670</v>
      </c>
      <c r="W4364" s="407">
        <v>1</v>
      </c>
      <c r="X4364" s="407">
        <v>1</v>
      </c>
      <c r="Y4364" s="407">
        <v>1</v>
      </c>
      <c r="Z4364" s="407">
        <v>1</v>
      </c>
      <c r="AA4364" s="407">
        <v>0</v>
      </c>
      <c r="AB4364" s="407">
        <v>0</v>
      </c>
      <c r="AC4364" s="150">
        <v>0</v>
      </c>
      <c r="AD4364" s="150">
        <v>1</v>
      </c>
      <c r="AE4364" s="49">
        <f t="shared" si="158"/>
        <v>0.625</v>
      </c>
      <c r="AF4364" s="23">
        <v>1</v>
      </c>
      <c r="AG4364" s="17">
        <v>0</v>
      </c>
      <c r="AH4364" s="190">
        <v>0</v>
      </c>
      <c r="AI4364" s="190">
        <v>0</v>
      </c>
      <c r="AJ4364" s="360">
        <v>6</v>
      </c>
      <c r="AK4364" s="191">
        <v>0</v>
      </c>
      <c r="AL4364" s="361">
        <v>0</v>
      </c>
      <c r="AM4364" s="17">
        <f t="shared" si="159"/>
        <v>0</v>
      </c>
      <c r="AN4364" s="162" t="s">
        <v>180</v>
      </c>
      <c r="AO4364" s="162" t="s">
        <v>182</v>
      </c>
    </row>
    <row r="4365" spans="1:41" s="162" customFormat="1" x14ac:dyDescent="0.3">
      <c r="A4365" s="205" t="s">
        <v>8321</v>
      </c>
      <c r="B4365" s="162" t="s">
        <v>8322</v>
      </c>
      <c r="C4365" s="168" t="s">
        <v>13469</v>
      </c>
      <c r="D4365" s="162" t="s">
        <v>13544</v>
      </c>
      <c r="E4365" s="406" t="s">
        <v>13545</v>
      </c>
      <c r="F4365" s="162" t="s">
        <v>13546</v>
      </c>
      <c r="G4365" s="406">
        <v>163701</v>
      </c>
      <c r="H4365" s="162" t="s">
        <v>13547</v>
      </c>
      <c r="K4365" s="406">
        <v>16370101</v>
      </c>
      <c r="L4365" s="162" t="s">
        <v>13548</v>
      </c>
      <c r="M4365" s="162" t="s">
        <v>15667</v>
      </c>
      <c r="O4365" s="224">
        <v>260</v>
      </c>
      <c r="P4365" s="224">
        <v>260</v>
      </c>
      <c r="Q4365" s="224">
        <v>260</v>
      </c>
      <c r="R4365" s="224" t="s">
        <v>15671</v>
      </c>
      <c r="S4365" s="224" t="s">
        <v>15671</v>
      </c>
      <c r="T4365" s="223" t="s">
        <v>180</v>
      </c>
      <c r="U4365" t="str">
        <f>VLOOKUP(T4365,[8]Votes!$A$1:$E$234,3,FALSE)</f>
        <v>145 Uganda Prisons</v>
      </c>
      <c r="V4365" s="162" t="s">
        <v>15672</v>
      </c>
      <c r="W4365" s="407">
        <v>1</v>
      </c>
      <c r="X4365" s="407">
        <v>1</v>
      </c>
      <c r="Y4365" s="407">
        <v>1</v>
      </c>
      <c r="Z4365" s="407">
        <v>1</v>
      </c>
      <c r="AA4365" s="407">
        <v>1</v>
      </c>
      <c r="AB4365" s="407">
        <v>0</v>
      </c>
      <c r="AC4365" s="150">
        <v>0</v>
      </c>
      <c r="AD4365" s="150">
        <v>1</v>
      </c>
      <c r="AE4365" s="49">
        <f t="shared" si="158"/>
        <v>0.75</v>
      </c>
      <c r="AF4365" s="23">
        <v>1</v>
      </c>
      <c r="AG4365" s="17">
        <v>0</v>
      </c>
      <c r="AH4365" s="360">
        <v>2.6</v>
      </c>
      <c r="AI4365" s="360">
        <v>3.5</v>
      </c>
      <c r="AJ4365" s="360">
        <v>5</v>
      </c>
      <c r="AK4365" s="361">
        <v>5</v>
      </c>
      <c r="AL4365" s="361">
        <v>5.5</v>
      </c>
      <c r="AM4365" s="17">
        <f t="shared" si="159"/>
        <v>10.5</v>
      </c>
      <c r="AN4365" s="162" t="s">
        <v>180</v>
      </c>
      <c r="AO4365" s="162" t="s">
        <v>182</v>
      </c>
    </row>
    <row r="4366" spans="1:41" s="162" customFormat="1" x14ac:dyDescent="0.3">
      <c r="A4366" s="205" t="s">
        <v>8321</v>
      </c>
      <c r="B4366" s="162" t="s">
        <v>8322</v>
      </c>
      <c r="C4366" s="168" t="s">
        <v>13469</v>
      </c>
      <c r="D4366" s="162" t="s">
        <v>13544</v>
      </c>
      <c r="E4366" s="406" t="s">
        <v>13545</v>
      </c>
      <c r="F4366" s="162" t="s">
        <v>13546</v>
      </c>
      <c r="G4366" s="406">
        <v>163701</v>
      </c>
      <c r="H4366" s="162" t="s">
        <v>13547</v>
      </c>
      <c r="K4366" s="406">
        <v>16370101</v>
      </c>
      <c r="L4366" s="162" t="s">
        <v>13548</v>
      </c>
      <c r="M4366" s="162" t="s">
        <v>15667</v>
      </c>
      <c r="O4366" s="224"/>
      <c r="P4366" s="224">
        <v>20</v>
      </c>
      <c r="Q4366" s="224">
        <v>20</v>
      </c>
      <c r="R4366" s="224" t="s">
        <v>15673</v>
      </c>
      <c r="S4366" s="224" t="s">
        <v>15673</v>
      </c>
      <c r="T4366" s="223" t="s">
        <v>180</v>
      </c>
      <c r="U4366" t="str">
        <f>VLOOKUP(T4366,[8]Votes!$A$1:$E$234,3,FALSE)</f>
        <v>145 Uganda Prisons</v>
      </c>
      <c r="V4366" s="162" t="s">
        <v>15674</v>
      </c>
      <c r="W4366" s="407">
        <v>1</v>
      </c>
      <c r="X4366" s="407">
        <v>1</v>
      </c>
      <c r="Y4366" s="407">
        <v>1</v>
      </c>
      <c r="Z4366" s="407">
        <v>1</v>
      </c>
      <c r="AA4366" s="407">
        <v>1</v>
      </c>
      <c r="AB4366" s="407">
        <v>1</v>
      </c>
      <c r="AC4366" s="150">
        <v>0</v>
      </c>
      <c r="AD4366" s="150">
        <v>1</v>
      </c>
      <c r="AE4366" s="49">
        <f t="shared" si="158"/>
        <v>0.875</v>
      </c>
      <c r="AF4366" s="23">
        <v>1</v>
      </c>
      <c r="AG4366" s="17">
        <v>0</v>
      </c>
      <c r="AH4366" s="190">
        <v>0</v>
      </c>
      <c r="AI4366" s="360">
        <v>1.01</v>
      </c>
      <c r="AJ4366" s="360">
        <v>0.98</v>
      </c>
      <c r="AK4366" s="361">
        <v>0</v>
      </c>
      <c r="AL4366" s="361">
        <v>0</v>
      </c>
      <c r="AM4366" s="17">
        <f t="shared" si="159"/>
        <v>0</v>
      </c>
      <c r="AN4366" s="162" t="s">
        <v>180</v>
      </c>
      <c r="AO4366" s="162" t="s">
        <v>182</v>
      </c>
    </row>
    <row r="4367" spans="1:41" s="162" customFormat="1" x14ac:dyDescent="0.3">
      <c r="A4367" s="205" t="s">
        <v>8321</v>
      </c>
      <c r="B4367" s="162" t="s">
        <v>8322</v>
      </c>
      <c r="C4367" s="168" t="s">
        <v>13469</v>
      </c>
      <c r="D4367" s="162" t="s">
        <v>13544</v>
      </c>
      <c r="E4367" s="406" t="s">
        <v>13545</v>
      </c>
      <c r="F4367" s="162" t="s">
        <v>13546</v>
      </c>
      <c r="G4367" s="406">
        <v>163701</v>
      </c>
      <c r="H4367" s="162" t="s">
        <v>13547</v>
      </c>
      <c r="K4367" s="406">
        <v>16370101</v>
      </c>
      <c r="L4367" s="162" t="s">
        <v>13548</v>
      </c>
      <c r="M4367" s="162" t="s">
        <v>15667</v>
      </c>
      <c r="O4367" s="224">
        <v>1</v>
      </c>
      <c r="P4367" s="224">
        <v>1</v>
      </c>
      <c r="Q4367" s="224">
        <v>1</v>
      </c>
      <c r="R4367" s="224">
        <v>0</v>
      </c>
      <c r="S4367" s="224">
        <v>0</v>
      </c>
      <c r="T4367" s="223" t="s">
        <v>180</v>
      </c>
      <c r="U4367" t="str">
        <f>VLOOKUP(T4367,[8]Votes!$A$1:$E$234,3,FALSE)</f>
        <v>145 Uganda Prisons</v>
      </c>
      <c r="V4367" s="162" t="s">
        <v>15675</v>
      </c>
      <c r="W4367" s="407">
        <v>0</v>
      </c>
      <c r="X4367" s="407">
        <v>0</v>
      </c>
      <c r="Y4367" s="407">
        <v>0</v>
      </c>
      <c r="Z4367" s="407">
        <v>0</v>
      </c>
      <c r="AA4367" s="407">
        <v>0</v>
      </c>
      <c r="AB4367" s="407">
        <v>0</v>
      </c>
      <c r="AC4367" s="150">
        <v>0</v>
      </c>
      <c r="AD4367" s="150">
        <v>0</v>
      </c>
      <c r="AE4367" s="49">
        <f t="shared" si="158"/>
        <v>0</v>
      </c>
      <c r="AF4367" s="23">
        <v>1</v>
      </c>
      <c r="AG4367" s="17">
        <v>0</v>
      </c>
      <c r="AH4367" s="360">
        <v>200</v>
      </c>
      <c r="AI4367" s="360">
        <v>250</v>
      </c>
      <c r="AJ4367" s="360">
        <v>300</v>
      </c>
      <c r="AK4367" s="361">
        <v>0</v>
      </c>
      <c r="AL4367" s="361">
        <v>0</v>
      </c>
      <c r="AM4367" s="17">
        <f t="shared" si="159"/>
        <v>0</v>
      </c>
      <c r="AN4367" s="162" t="s">
        <v>180</v>
      </c>
      <c r="AO4367" s="162" t="s">
        <v>182</v>
      </c>
    </row>
    <row r="4368" spans="1:41" s="162" customFormat="1" x14ac:dyDescent="0.3">
      <c r="A4368" s="205" t="s">
        <v>8321</v>
      </c>
      <c r="B4368" s="162" t="s">
        <v>8322</v>
      </c>
      <c r="C4368" s="168" t="s">
        <v>13469</v>
      </c>
      <c r="D4368" s="162" t="s">
        <v>13544</v>
      </c>
      <c r="E4368" s="406" t="s">
        <v>13545</v>
      </c>
      <c r="F4368" s="162" t="s">
        <v>13546</v>
      </c>
      <c r="G4368" s="406">
        <v>163701</v>
      </c>
      <c r="H4368" s="162" t="s">
        <v>13547</v>
      </c>
      <c r="K4368" s="406">
        <v>16370101</v>
      </c>
      <c r="L4368" s="162" t="s">
        <v>13548</v>
      </c>
      <c r="M4368" s="162" t="s">
        <v>15676</v>
      </c>
      <c r="O4368" s="224" t="s">
        <v>271</v>
      </c>
      <c r="P4368" s="224">
        <v>3</v>
      </c>
      <c r="Q4368" s="224">
        <v>4</v>
      </c>
      <c r="R4368" s="224">
        <v>4</v>
      </c>
      <c r="S4368" s="224">
        <v>3</v>
      </c>
      <c r="T4368" s="223" t="s">
        <v>11865</v>
      </c>
      <c r="U4368" t="str">
        <f>VLOOKUP(T4368,[8]Votes!$A$1:$E$234,3,FALSE)</f>
        <v>133 Office of the Director of Public Prosecutions</v>
      </c>
      <c r="V4368" s="162" t="s">
        <v>15677</v>
      </c>
      <c r="W4368" s="407">
        <v>1</v>
      </c>
      <c r="X4368" s="407">
        <v>1</v>
      </c>
      <c r="Y4368" s="407">
        <v>1</v>
      </c>
      <c r="Z4368" s="407">
        <v>1</v>
      </c>
      <c r="AA4368" s="416">
        <v>1</v>
      </c>
      <c r="AB4368" s="407">
        <v>0</v>
      </c>
      <c r="AC4368" s="150">
        <v>0</v>
      </c>
      <c r="AD4368" s="150">
        <v>1</v>
      </c>
      <c r="AE4368" s="49">
        <f t="shared" si="158"/>
        <v>0.75</v>
      </c>
      <c r="AF4368" s="23">
        <v>1</v>
      </c>
      <c r="AG4368" s="17">
        <v>0</v>
      </c>
      <c r="AH4368" s="190">
        <v>0</v>
      </c>
      <c r="AI4368" s="360">
        <v>1.5</v>
      </c>
      <c r="AJ4368" s="360">
        <v>2</v>
      </c>
      <c r="AK4368" s="361">
        <v>2</v>
      </c>
      <c r="AL4368" s="361">
        <v>1.5</v>
      </c>
      <c r="AM4368" s="17">
        <f t="shared" si="159"/>
        <v>3.5</v>
      </c>
      <c r="AN4368" s="162" t="s">
        <v>11865</v>
      </c>
      <c r="AO4368" s="162" t="s">
        <v>11866</v>
      </c>
    </row>
    <row r="4369" spans="1:41" s="162" customFormat="1" x14ac:dyDescent="0.3">
      <c r="A4369" s="205" t="s">
        <v>8321</v>
      </c>
      <c r="B4369" s="162" t="s">
        <v>8322</v>
      </c>
      <c r="C4369" s="168" t="s">
        <v>13469</v>
      </c>
      <c r="D4369" s="162" t="s">
        <v>13544</v>
      </c>
      <c r="E4369" s="406" t="s">
        <v>13545</v>
      </c>
      <c r="F4369" s="162" t="s">
        <v>13546</v>
      </c>
      <c r="G4369" s="406">
        <v>163701</v>
      </c>
      <c r="H4369" s="162" t="s">
        <v>13547</v>
      </c>
      <c r="K4369" s="406">
        <v>16370101</v>
      </c>
      <c r="L4369" s="162" t="s">
        <v>13548</v>
      </c>
      <c r="M4369" s="162" t="s">
        <v>15678</v>
      </c>
      <c r="O4369" s="224" t="s">
        <v>271</v>
      </c>
      <c r="P4369" s="224">
        <v>2</v>
      </c>
      <c r="Q4369" s="224">
        <v>2</v>
      </c>
      <c r="R4369" s="224">
        <v>2</v>
      </c>
      <c r="S4369" s="224">
        <v>2</v>
      </c>
      <c r="T4369" s="223" t="s">
        <v>11865</v>
      </c>
      <c r="U4369" t="str">
        <f>VLOOKUP(T4369,[8]Votes!$A$1:$E$234,3,FALSE)</f>
        <v>133 Office of the Director of Public Prosecutions</v>
      </c>
      <c r="V4369" s="162" t="s">
        <v>15679</v>
      </c>
      <c r="W4369" s="407">
        <v>1</v>
      </c>
      <c r="X4369" s="407">
        <v>1</v>
      </c>
      <c r="Y4369" s="407">
        <v>1</v>
      </c>
      <c r="Z4369" s="407">
        <v>1</v>
      </c>
      <c r="AA4369" s="416">
        <v>1</v>
      </c>
      <c r="AB4369" s="407">
        <v>0</v>
      </c>
      <c r="AC4369" s="150">
        <v>0</v>
      </c>
      <c r="AD4369" s="150">
        <v>1</v>
      </c>
      <c r="AE4369" s="49">
        <f t="shared" si="158"/>
        <v>0.75</v>
      </c>
      <c r="AF4369" s="23">
        <v>1</v>
      </c>
      <c r="AG4369" s="17">
        <v>0</v>
      </c>
      <c r="AH4369" s="190">
        <v>0</v>
      </c>
      <c r="AI4369" s="360">
        <v>1.6</v>
      </c>
      <c r="AJ4369" s="360">
        <v>1.6</v>
      </c>
      <c r="AK4369" s="361">
        <v>1.6</v>
      </c>
      <c r="AL4369" s="361">
        <v>1.6</v>
      </c>
      <c r="AM4369" s="17">
        <f t="shared" si="159"/>
        <v>3.2</v>
      </c>
      <c r="AN4369" s="162" t="s">
        <v>11865</v>
      </c>
      <c r="AO4369" s="162" t="s">
        <v>11866</v>
      </c>
    </row>
    <row r="4370" spans="1:41" s="162" customFormat="1" x14ac:dyDescent="0.3">
      <c r="A4370" s="205" t="s">
        <v>8321</v>
      </c>
      <c r="B4370" s="162" t="s">
        <v>8322</v>
      </c>
      <c r="C4370" s="168" t="s">
        <v>13469</v>
      </c>
      <c r="D4370" s="162" t="s">
        <v>13544</v>
      </c>
      <c r="E4370" s="406" t="s">
        <v>13545</v>
      </c>
      <c r="F4370" s="162" t="s">
        <v>13546</v>
      </c>
      <c r="G4370" s="406">
        <v>163701</v>
      </c>
      <c r="H4370" s="162" t="s">
        <v>13547</v>
      </c>
      <c r="K4370" s="406">
        <v>16370101</v>
      </c>
      <c r="L4370" s="162" t="s">
        <v>13548</v>
      </c>
      <c r="M4370" s="162" t="s">
        <v>15680</v>
      </c>
      <c r="O4370" s="224">
        <v>6</v>
      </c>
      <c r="P4370" s="224">
        <v>5</v>
      </c>
      <c r="Q4370" s="224">
        <v>5</v>
      </c>
      <c r="R4370" s="224">
        <v>20</v>
      </c>
      <c r="S4370" s="224">
        <v>20</v>
      </c>
      <c r="T4370" s="223" t="s">
        <v>180</v>
      </c>
      <c r="U4370" t="str">
        <f>VLOOKUP(T4370,[8]Votes!$A$1:$E$234,3,FALSE)</f>
        <v>145 Uganda Prisons</v>
      </c>
      <c r="V4370" s="162" t="s">
        <v>15681</v>
      </c>
      <c r="W4370" s="407">
        <v>1</v>
      </c>
      <c r="X4370" s="407">
        <v>1</v>
      </c>
      <c r="Y4370" s="407">
        <v>1</v>
      </c>
      <c r="Z4370" s="407">
        <v>1</v>
      </c>
      <c r="AA4370" s="407">
        <v>1</v>
      </c>
      <c r="AB4370" s="407">
        <v>0</v>
      </c>
      <c r="AC4370" s="150">
        <v>0</v>
      </c>
      <c r="AD4370" s="150">
        <v>1</v>
      </c>
      <c r="AE4370" s="49">
        <f t="shared" si="158"/>
        <v>0.75</v>
      </c>
      <c r="AF4370" s="23">
        <v>1</v>
      </c>
      <c r="AG4370" s="17">
        <v>0</v>
      </c>
      <c r="AH4370" s="360">
        <v>2.1</v>
      </c>
      <c r="AI4370" s="360">
        <v>2.08</v>
      </c>
      <c r="AJ4370" s="360">
        <v>2.08</v>
      </c>
      <c r="AK4370" s="361">
        <v>0.5</v>
      </c>
      <c r="AL4370" s="361">
        <v>0.5</v>
      </c>
      <c r="AM4370" s="17">
        <f t="shared" si="159"/>
        <v>1</v>
      </c>
      <c r="AN4370" s="162" t="s">
        <v>180</v>
      </c>
      <c r="AO4370" s="162" t="s">
        <v>182</v>
      </c>
    </row>
    <row r="4371" spans="1:41" s="162" customFormat="1" x14ac:dyDescent="0.3">
      <c r="A4371" s="205" t="s">
        <v>8321</v>
      </c>
      <c r="B4371" s="162" t="s">
        <v>8322</v>
      </c>
      <c r="C4371" s="168" t="s">
        <v>13469</v>
      </c>
      <c r="D4371" s="162" t="s">
        <v>13544</v>
      </c>
      <c r="E4371" s="406" t="s">
        <v>13545</v>
      </c>
      <c r="F4371" s="162" t="s">
        <v>13546</v>
      </c>
      <c r="G4371" s="406">
        <v>163701</v>
      </c>
      <c r="H4371" s="162" t="s">
        <v>13547</v>
      </c>
      <c r="K4371" s="406">
        <v>16370101</v>
      </c>
      <c r="L4371" s="162" t="s">
        <v>13548</v>
      </c>
      <c r="M4371" s="162" t="s">
        <v>15682</v>
      </c>
      <c r="O4371" s="224">
        <v>5</v>
      </c>
      <c r="P4371" s="224">
        <v>5</v>
      </c>
      <c r="Q4371" s="224">
        <v>5</v>
      </c>
      <c r="R4371" s="224">
        <v>5</v>
      </c>
      <c r="S4371" s="224">
        <v>5</v>
      </c>
      <c r="T4371" s="223" t="s">
        <v>180</v>
      </c>
      <c r="U4371" t="str">
        <f>VLOOKUP(T4371,[8]Votes!$A$1:$E$234,3,FALSE)</f>
        <v>145 Uganda Prisons</v>
      </c>
      <c r="V4371" s="162" t="s">
        <v>15683</v>
      </c>
      <c r="W4371" s="407">
        <v>1</v>
      </c>
      <c r="X4371" s="407">
        <v>1</v>
      </c>
      <c r="Y4371" s="407">
        <v>1</v>
      </c>
      <c r="Z4371" s="407">
        <v>1</v>
      </c>
      <c r="AA4371" s="407">
        <v>0</v>
      </c>
      <c r="AB4371" s="407">
        <v>0</v>
      </c>
      <c r="AC4371" s="150">
        <v>0</v>
      </c>
      <c r="AD4371" s="150">
        <v>1</v>
      </c>
      <c r="AE4371" s="49">
        <f t="shared" si="158"/>
        <v>0.625</v>
      </c>
      <c r="AF4371" s="23">
        <v>1</v>
      </c>
      <c r="AG4371" s="17">
        <v>0</v>
      </c>
      <c r="AH4371" s="360">
        <v>0.3</v>
      </c>
      <c r="AI4371" s="360">
        <v>0.4</v>
      </c>
      <c r="AJ4371" s="360">
        <v>0.4</v>
      </c>
      <c r="AK4371" s="361">
        <v>0</v>
      </c>
      <c r="AL4371" s="361">
        <v>0</v>
      </c>
      <c r="AM4371" s="17">
        <f t="shared" si="159"/>
        <v>0</v>
      </c>
      <c r="AN4371" s="162" t="s">
        <v>180</v>
      </c>
      <c r="AO4371" s="162" t="s">
        <v>182</v>
      </c>
    </row>
    <row r="4372" spans="1:41" s="162" customFormat="1" x14ac:dyDescent="0.3">
      <c r="A4372" s="205" t="s">
        <v>8321</v>
      </c>
      <c r="B4372" s="162" t="s">
        <v>8322</v>
      </c>
      <c r="C4372" s="168" t="s">
        <v>13469</v>
      </c>
      <c r="D4372" s="162" t="s">
        <v>13544</v>
      </c>
      <c r="E4372" s="406" t="s">
        <v>13545</v>
      </c>
      <c r="F4372" s="162" t="s">
        <v>13546</v>
      </c>
      <c r="G4372" s="406">
        <v>163701</v>
      </c>
      <c r="H4372" s="162" t="s">
        <v>13547</v>
      </c>
      <c r="K4372" s="406">
        <v>16370106</v>
      </c>
      <c r="L4372" s="162" t="s">
        <v>15684</v>
      </c>
      <c r="M4372" s="162" t="s">
        <v>15685</v>
      </c>
      <c r="O4372" s="224">
        <v>0</v>
      </c>
      <c r="P4372" s="224">
        <v>0</v>
      </c>
      <c r="Q4372" s="224">
        <v>0</v>
      </c>
      <c r="R4372" s="224">
        <v>0</v>
      </c>
      <c r="S4372" s="224">
        <v>0</v>
      </c>
      <c r="T4372" s="223" t="s">
        <v>13741</v>
      </c>
      <c r="U4372" t="str">
        <f>VLOOKUP(T4372,[8]Votes!$A$1:$E$234,3,FALSE)</f>
        <v>158 Internal Security Organisation</v>
      </c>
      <c r="V4372" s="162" t="s">
        <v>15686</v>
      </c>
      <c r="W4372" s="407">
        <v>0</v>
      </c>
      <c r="X4372" s="407">
        <v>0</v>
      </c>
      <c r="Y4372" s="407">
        <v>0</v>
      </c>
      <c r="Z4372" s="407">
        <v>0</v>
      </c>
      <c r="AA4372" s="407">
        <v>0</v>
      </c>
      <c r="AB4372" s="407">
        <v>0</v>
      </c>
      <c r="AC4372" s="150">
        <v>0</v>
      </c>
      <c r="AD4372" s="150">
        <v>1</v>
      </c>
      <c r="AE4372" s="49">
        <f t="shared" si="158"/>
        <v>0.125</v>
      </c>
      <c r="AF4372" s="23">
        <v>1</v>
      </c>
      <c r="AG4372" s="17">
        <v>0</v>
      </c>
      <c r="AH4372" s="190">
        <v>0</v>
      </c>
      <c r="AI4372" s="190">
        <v>0</v>
      </c>
      <c r="AJ4372" s="360">
        <v>28</v>
      </c>
      <c r="AK4372" s="361"/>
      <c r="AL4372" s="361"/>
      <c r="AM4372" s="17">
        <f t="shared" si="159"/>
        <v>0</v>
      </c>
      <c r="AN4372" s="162" t="s">
        <v>13741</v>
      </c>
      <c r="AO4372" s="162" t="s">
        <v>13742</v>
      </c>
    </row>
    <row r="4373" spans="1:41" s="162" customFormat="1" x14ac:dyDescent="0.3">
      <c r="A4373" s="205" t="s">
        <v>8321</v>
      </c>
      <c r="B4373" s="162" t="s">
        <v>8322</v>
      </c>
      <c r="C4373" s="168" t="s">
        <v>13469</v>
      </c>
      <c r="D4373" s="162" t="s">
        <v>13544</v>
      </c>
      <c r="E4373" s="406" t="s">
        <v>13545</v>
      </c>
      <c r="F4373" s="162" t="s">
        <v>13546</v>
      </c>
      <c r="G4373" s="406">
        <v>163701</v>
      </c>
      <c r="H4373" s="162" t="s">
        <v>13547</v>
      </c>
      <c r="K4373" s="406">
        <v>16370106</v>
      </c>
      <c r="L4373" s="162" t="s">
        <v>15684</v>
      </c>
      <c r="M4373" s="162" t="s">
        <v>15687</v>
      </c>
      <c r="O4373" s="224">
        <v>0</v>
      </c>
      <c r="P4373" s="224">
        <v>0</v>
      </c>
      <c r="Q4373" s="224">
        <v>0</v>
      </c>
      <c r="R4373" s="224">
        <v>0</v>
      </c>
      <c r="S4373" s="224">
        <v>0</v>
      </c>
      <c r="T4373" s="223" t="s">
        <v>13741</v>
      </c>
      <c r="U4373" t="str">
        <f>VLOOKUP(T4373,[8]Votes!$A$1:$E$234,3,FALSE)</f>
        <v>158 Internal Security Organisation</v>
      </c>
      <c r="V4373" s="162" t="s">
        <v>15688</v>
      </c>
      <c r="W4373" s="407">
        <v>0</v>
      </c>
      <c r="X4373" s="407">
        <v>0</v>
      </c>
      <c r="Y4373" s="407">
        <v>0</v>
      </c>
      <c r="Z4373" s="407">
        <v>0</v>
      </c>
      <c r="AA4373" s="407">
        <v>0</v>
      </c>
      <c r="AB4373" s="407">
        <v>0</v>
      </c>
      <c r="AC4373" s="150">
        <v>0</v>
      </c>
      <c r="AD4373" s="150">
        <v>1</v>
      </c>
      <c r="AE4373" s="49">
        <f t="shared" si="158"/>
        <v>0.125</v>
      </c>
      <c r="AF4373" s="23">
        <v>1</v>
      </c>
      <c r="AG4373" s="17">
        <v>0</v>
      </c>
      <c r="AH4373" s="190">
        <v>0</v>
      </c>
      <c r="AI4373" s="360">
        <v>6.5</v>
      </c>
      <c r="AJ4373" s="360">
        <v>4.3</v>
      </c>
      <c r="AK4373" s="361"/>
      <c r="AL4373" s="361"/>
      <c r="AM4373" s="17">
        <f t="shared" si="159"/>
        <v>0</v>
      </c>
      <c r="AN4373" s="162" t="s">
        <v>13741</v>
      </c>
      <c r="AO4373" s="162" t="s">
        <v>13742</v>
      </c>
    </row>
    <row r="4374" spans="1:41" s="162" customFormat="1" x14ac:dyDescent="0.3">
      <c r="A4374" s="205" t="s">
        <v>8321</v>
      </c>
      <c r="B4374" s="162" t="s">
        <v>8322</v>
      </c>
      <c r="C4374" s="168" t="s">
        <v>13469</v>
      </c>
      <c r="D4374" s="162" t="s">
        <v>13544</v>
      </c>
      <c r="E4374" s="406" t="s">
        <v>13545</v>
      </c>
      <c r="F4374" s="162" t="s">
        <v>13546</v>
      </c>
      <c r="G4374" s="406">
        <v>163701</v>
      </c>
      <c r="H4374" s="162" t="s">
        <v>13547</v>
      </c>
      <c r="K4374" s="406">
        <v>16370106</v>
      </c>
      <c r="L4374" s="162" t="s">
        <v>15684</v>
      </c>
      <c r="M4374" s="162" t="s">
        <v>15687</v>
      </c>
      <c r="O4374" s="224">
        <v>0</v>
      </c>
      <c r="P4374" s="224">
        <v>0</v>
      </c>
      <c r="Q4374" s="224">
        <v>0</v>
      </c>
      <c r="R4374" s="224">
        <v>0</v>
      </c>
      <c r="S4374" s="224">
        <v>0</v>
      </c>
      <c r="T4374" s="223" t="s">
        <v>13741</v>
      </c>
      <c r="U4374" t="str">
        <f>VLOOKUP(T4374,[8]Votes!$A$1:$E$234,3,FALSE)</f>
        <v>158 Internal Security Organisation</v>
      </c>
      <c r="V4374" s="162" t="s">
        <v>15689</v>
      </c>
      <c r="W4374" s="407">
        <v>0</v>
      </c>
      <c r="X4374" s="407">
        <v>0</v>
      </c>
      <c r="Y4374" s="407">
        <v>0</v>
      </c>
      <c r="Z4374" s="407">
        <v>0</v>
      </c>
      <c r="AA4374" s="407">
        <v>0</v>
      </c>
      <c r="AB4374" s="407">
        <v>0</v>
      </c>
      <c r="AC4374" s="150">
        <v>0</v>
      </c>
      <c r="AD4374" s="150">
        <v>1</v>
      </c>
      <c r="AE4374" s="49">
        <f t="shared" si="158"/>
        <v>0.125</v>
      </c>
      <c r="AF4374" s="23">
        <v>1</v>
      </c>
      <c r="AG4374" s="17">
        <v>0</v>
      </c>
      <c r="AH4374" s="190">
        <v>0</v>
      </c>
      <c r="AI4374" s="360">
        <v>0.5</v>
      </c>
      <c r="AJ4374" s="360">
        <v>2.4</v>
      </c>
      <c r="AK4374" s="361"/>
      <c r="AL4374" s="361"/>
      <c r="AM4374" s="17">
        <f t="shared" si="159"/>
        <v>0</v>
      </c>
      <c r="AN4374" s="162" t="s">
        <v>13741</v>
      </c>
      <c r="AO4374" s="162" t="s">
        <v>13742</v>
      </c>
    </row>
    <row r="4375" spans="1:41" s="162" customFormat="1" x14ac:dyDescent="0.3">
      <c r="A4375" s="205" t="s">
        <v>8321</v>
      </c>
      <c r="B4375" s="162" t="s">
        <v>8322</v>
      </c>
      <c r="C4375" s="168" t="s">
        <v>13469</v>
      </c>
      <c r="D4375" s="162" t="s">
        <v>13544</v>
      </c>
      <c r="E4375" s="406" t="s">
        <v>13545</v>
      </c>
      <c r="F4375" s="162" t="s">
        <v>13546</v>
      </c>
      <c r="G4375" s="406">
        <v>163701</v>
      </c>
      <c r="H4375" s="162" t="s">
        <v>13547</v>
      </c>
      <c r="K4375" s="406">
        <v>16370106</v>
      </c>
      <c r="L4375" s="162" t="s">
        <v>15684</v>
      </c>
      <c r="M4375" s="162" t="s">
        <v>15690</v>
      </c>
      <c r="O4375" s="224">
        <v>0</v>
      </c>
      <c r="P4375" s="224">
        <v>0</v>
      </c>
      <c r="Q4375" s="224">
        <v>0</v>
      </c>
      <c r="R4375" s="224">
        <v>0</v>
      </c>
      <c r="S4375" s="224">
        <v>0</v>
      </c>
      <c r="T4375" s="223" t="s">
        <v>13741</v>
      </c>
      <c r="U4375" t="str">
        <f>VLOOKUP(T4375,[8]Votes!$A$1:$E$234,3,FALSE)</f>
        <v>158 Internal Security Organisation</v>
      </c>
      <c r="V4375" s="162" t="s">
        <v>15691</v>
      </c>
      <c r="W4375" s="407">
        <v>0</v>
      </c>
      <c r="X4375" s="407">
        <v>0</v>
      </c>
      <c r="Y4375" s="407">
        <v>0</v>
      </c>
      <c r="Z4375" s="407">
        <v>0</v>
      </c>
      <c r="AA4375" s="407">
        <v>0</v>
      </c>
      <c r="AB4375" s="407">
        <v>0</v>
      </c>
      <c r="AC4375" s="150">
        <v>0</v>
      </c>
      <c r="AD4375" s="150">
        <v>1</v>
      </c>
      <c r="AE4375" s="49">
        <f t="shared" si="158"/>
        <v>0.125</v>
      </c>
      <c r="AF4375" s="23">
        <v>1</v>
      </c>
      <c r="AG4375" s="17">
        <v>0</v>
      </c>
      <c r="AH4375" s="190">
        <v>0</v>
      </c>
      <c r="AI4375" s="190">
        <v>0</v>
      </c>
      <c r="AJ4375" s="360">
        <v>69</v>
      </c>
      <c r="AK4375" s="361"/>
      <c r="AL4375" s="361"/>
      <c r="AM4375" s="17">
        <f t="shared" si="159"/>
        <v>0</v>
      </c>
      <c r="AN4375" s="162" t="s">
        <v>13741</v>
      </c>
      <c r="AO4375" s="162" t="s">
        <v>13742</v>
      </c>
    </row>
    <row r="4376" spans="1:41" s="162" customFormat="1" x14ac:dyDescent="0.3">
      <c r="A4376" s="205" t="s">
        <v>8321</v>
      </c>
      <c r="B4376" s="162" t="s">
        <v>8322</v>
      </c>
      <c r="C4376" s="168" t="s">
        <v>13469</v>
      </c>
      <c r="D4376" s="162" t="s">
        <v>13544</v>
      </c>
      <c r="E4376" s="406" t="s">
        <v>13545</v>
      </c>
      <c r="F4376" s="162" t="s">
        <v>13546</v>
      </c>
      <c r="G4376" s="406">
        <v>163701</v>
      </c>
      <c r="H4376" s="162" t="s">
        <v>13547</v>
      </c>
      <c r="K4376" s="406">
        <v>16370106</v>
      </c>
      <c r="L4376" s="162" t="s">
        <v>15684</v>
      </c>
      <c r="M4376" s="162" t="s">
        <v>15692</v>
      </c>
      <c r="O4376" s="224">
        <v>0</v>
      </c>
      <c r="P4376" s="224">
        <v>0</v>
      </c>
      <c r="Q4376" s="224">
        <v>0</v>
      </c>
      <c r="R4376" s="224">
        <v>0</v>
      </c>
      <c r="S4376" s="224">
        <v>0</v>
      </c>
      <c r="T4376" s="223" t="s">
        <v>13741</v>
      </c>
      <c r="U4376" t="str">
        <f>VLOOKUP(T4376,[8]Votes!$A$1:$E$234,3,FALSE)</f>
        <v>158 Internal Security Organisation</v>
      </c>
      <c r="V4376" s="162" t="s">
        <v>15693</v>
      </c>
      <c r="W4376" s="407">
        <v>0</v>
      </c>
      <c r="X4376" s="407">
        <v>0</v>
      </c>
      <c r="Y4376" s="407">
        <v>0</v>
      </c>
      <c r="Z4376" s="407">
        <v>0</v>
      </c>
      <c r="AA4376" s="407">
        <v>0</v>
      </c>
      <c r="AB4376" s="407">
        <v>0</v>
      </c>
      <c r="AC4376" s="150">
        <v>0</v>
      </c>
      <c r="AD4376" s="150">
        <v>1</v>
      </c>
      <c r="AE4376" s="49">
        <f t="shared" si="158"/>
        <v>0.125</v>
      </c>
      <c r="AF4376" s="23">
        <v>1</v>
      </c>
      <c r="AG4376" s="17">
        <v>0</v>
      </c>
      <c r="AH4376" s="190">
        <v>0</v>
      </c>
      <c r="AI4376" s="190">
        <v>0</v>
      </c>
      <c r="AJ4376" s="360">
        <v>40</v>
      </c>
      <c r="AK4376" s="361"/>
      <c r="AL4376" s="361"/>
      <c r="AM4376" s="17">
        <f t="shared" si="159"/>
        <v>0</v>
      </c>
      <c r="AN4376" s="162" t="s">
        <v>13741</v>
      </c>
      <c r="AO4376" s="162" t="s">
        <v>13742</v>
      </c>
    </row>
    <row r="4377" spans="1:41" s="162" customFormat="1" x14ac:dyDescent="0.3">
      <c r="A4377" s="205" t="s">
        <v>8321</v>
      </c>
      <c r="B4377" s="162" t="s">
        <v>8322</v>
      </c>
      <c r="C4377" s="168" t="s">
        <v>13469</v>
      </c>
      <c r="D4377" s="162" t="s">
        <v>13544</v>
      </c>
      <c r="E4377" s="406" t="s">
        <v>13545</v>
      </c>
      <c r="F4377" s="162" t="s">
        <v>13546</v>
      </c>
      <c r="G4377" s="406">
        <v>163701</v>
      </c>
      <c r="H4377" s="162" t="s">
        <v>13547</v>
      </c>
      <c r="K4377" s="406">
        <v>16370106</v>
      </c>
      <c r="L4377" s="162" t="s">
        <v>15684</v>
      </c>
      <c r="M4377" s="162" t="s">
        <v>15694</v>
      </c>
      <c r="O4377" s="224">
        <v>0</v>
      </c>
      <c r="P4377" s="224">
        <v>0</v>
      </c>
      <c r="Q4377" s="224">
        <v>0</v>
      </c>
      <c r="R4377" s="224">
        <v>0</v>
      </c>
      <c r="S4377" s="224">
        <v>0</v>
      </c>
      <c r="T4377" s="223" t="s">
        <v>13741</v>
      </c>
      <c r="U4377" t="str">
        <f>VLOOKUP(T4377,[8]Votes!$A$1:$E$234,3,FALSE)</f>
        <v>158 Internal Security Organisation</v>
      </c>
      <c r="V4377" s="162" t="s">
        <v>15695</v>
      </c>
      <c r="W4377" s="407">
        <v>0</v>
      </c>
      <c r="X4377" s="407">
        <v>0</v>
      </c>
      <c r="Y4377" s="407">
        <v>0</v>
      </c>
      <c r="Z4377" s="407">
        <v>0</v>
      </c>
      <c r="AA4377" s="407">
        <v>0</v>
      </c>
      <c r="AB4377" s="407">
        <v>0</v>
      </c>
      <c r="AC4377" s="150">
        <v>0</v>
      </c>
      <c r="AD4377" s="150">
        <v>1</v>
      </c>
      <c r="AE4377" s="49">
        <f t="shared" si="158"/>
        <v>0.125</v>
      </c>
      <c r="AF4377" s="23">
        <v>1</v>
      </c>
      <c r="AG4377" s="17">
        <v>0</v>
      </c>
      <c r="AH4377" s="190">
        <v>0</v>
      </c>
      <c r="AI4377" s="360">
        <v>21</v>
      </c>
      <c r="AJ4377" s="360">
        <v>39</v>
      </c>
      <c r="AK4377" s="361"/>
      <c r="AL4377" s="361"/>
      <c r="AM4377" s="17">
        <f t="shared" si="159"/>
        <v>0</v>
      </c>
      <c r="AN4377" s="162" t="s">
        <v>13741</v>
      </c>
      <c r="AO4377" s="162" t="s">
        <v>13742</v>
      </c>
    </row>
    <row r="4378" spans="1:41" s="162" customFormat="1" x14ac:dyDescent="0.3">
      <c r="A4378" s="205" t="s">
        <v>8321</v>
      </c>
      <c r="B4378" s="162" t="s">
        <v>8322</v>
      </c>
      <c r="C4378" s="168" t="s">
        <v>13469</v>
      </c>
      <c r="D4378" s="162" t="s">
        <v>13544</v>
      </c>
      <c r="E4378" s="406" t="s">
        <v>13545</v>
      </c>
      <c r="F4378" s="162" t="s">
        <v>13546</v>
      </c>
      <c r="G4378" s="406">
        <v>163701</v>
      </c>
      <c r="H4378" s="162" t="s">
        <v>13547</v>
      </c>
      <c r="K4378" s="406">
        <v>16370106</v>
      </c>
      <c r="L4378" s="162" t="s">
        <v>15684</v>
      </c>
      <c r="M4378" s="162" t="s">
        <v>15696</v>
      </c>
      <c r="O4378" s="224">
        <v>0</v>
      </c>
      <c r="P4378" s="224">
        <v>0</v>
      </c>
      <c r="Q4378" s="224">
        <v>0</v>
      </c>
      <c r="R4378" s="224">
        <v>0</v>
      </c>
      <c r="S4378" s="224">
        <v>0</v>
      </c>
      <c r="T4378" s="223" t="s">
        <v>13741</v>
      </c>
      <c r="U4378" t="str">
        <f>VLOOKUP(T4378,[8]Votes!$A$1:$E$234,3,FALSE)</f>
        <v>158 Internal Security Organisation</v>
      </c>
      <c r="V4378" s="162" t="s">
        <v>15697</v>
      </c>
      <c r="W4378" s="407">
        <v>0</v>
      </c>
      <c r="X4378" s="407">
        <v>0</v>
      </c>
      <c r="Y4378" s="407">
        <v>0</v>
      </c>
      <c r="Z4378" s="407">
        <v>0</v>
      </c>
      <c r="AA4378" s="407">
        <v>0</v>
      </c>
      <c r="AB4378" s="407">
        <v>0</v>
      </c>
      <c r="AC4378" s="150">
        <v>0</v>
      </c>
      <c r="AD4378" s="150">
        <v>1</v>
      </c>
      <c r="AE4378" s="49">
        <f t="shared" si="158"/>
        <v>0.125</v>
      </c>
      <c r="AF4378" s="23">
        <v>1</v>
      </c>
      <c r="AG4378" s="17">
        <v>0</v>
      </c>
      <c r="AH4378" s="190">
        <v>0</v>
      </c>
      <c r="AI4378" s="360">
        <v>0.25</v>
      </c>
      <c r="AJ4378" s="360">
        <v>3.5</v>
      </c>
      <c r="AK4378" s="361"/>
      <c r="AL4378" s="361"/>
      <c r="AM4378" s="17">
        <f t="shared" si="159"/>
        <v>0</v>
      </c>
      <c r="AN4378" s="162" t="s">
        <v>13741</v>
      </c>
      <c r="AO4378" s="162" t="s">
        <v>13742</v>
      </c>
    </row>
    <row r="4379" spans="1:41" s="162" customFormat="1" x14ac:dyDescent="0.3">
      <c r="A4379" s="205" t="s">
        <v>8321</v>
      </c>
      <c r="B4379" s="162" t="s">
        <v>8322</v>
      </c>
      <c r="C4379" s="168" t="s">
        <v>13469</v>
      </c>
      <c r="D4379" s="162" t="s">
        <v>13544</v>
      </c>
      <c r="E4379" s="406" t="s">
        <v>13545</v>
      </c>
      <c r="F4379" s="162" t="s">
        <v>13546</v>
      </c>
      <c r="G4379" s="406">
        <v>163701</v>
      </c>
      <c r="H4379" s="162" t="s">
        <v>13547</v>
      </c>
      <c r="K4379" s="406">
        <v>16370107</v>
      </c>
      <c r="L4379" s="162" t="s">
        <v>15698</v>
      </c>
      <c r="M4379" s="162" t="s">
        <v>15699</v>
      </c>
      <c r="O4379" s="492">
        <v>0.7</v>
      </c>
      <c r="P4379" s="492">
        <v>0.7</v>
      </c>
      <c r="Q4379" s="492">
        <v>0.75</v>
      </c>
      <c r="R4379" s="492">
        <v>0.75</v>
      </c>
      <c r="S4379" s="492">
        <v>0.75</v>
      </c>
      <c r="T4379" s="223" t="s">
        <v>11817</v>
      </c>
      <c r="U4379" t="str">
        <f>VLOOKUP(T4379,[8]Votes!$A$1:$E$234,3,FALSE)</f>
        <v>109 Law Development Centre</v>
      </c>
      <c r="V4379" s="162" t="s">
        <v>15700</v>
      </c>
      <c r="W4379" s="407">
        <v>1</v>
      </c>
      <c r="X4379" s="407">
        <v>1</v>
      </c>
      <c r="Y4379" s="407">
        <v>1</v>
      </c>
      <c r="Z4379" s="407">
        <v>1</v>
      </c>
      <c r="AA4379" s="407">
        <v>1</v>
      </c>
      <c r="AB4379" s="407">
        <v>1</v>
      </c>
      <c r="AC4379" s="150">
        <v>0</v>
      </c>
      <c r="AD4379" s="150">
        <v>1</v>
      </c>
      <c r="AE4379" s="49">
        <f t="shared" si="158"/>
        <v>0.875</v>
      </c>
      <c r="AF4379" s="23">
        <v>1</v>
      </c>
      <c r="AG4379" s="17">
        <v>0</v>
      </c>
      <c r="AH4379" s="360">
        <v>4.3390000000000004</v>
      </c>
      <c r="AI4379" s="360">
        <v>4.3390000000000004</v>
      </c>
      <c r="AJ4379" s="360">
        <v>4.3390000000000004</v>
      </c>
      <c r="AK4379" s="361">
        <v>6.7330120000000004</v>
      </c>
      <c r="AL4379" s="361">
        <v>6.73</v>
      </c>
      <c r="AM4379" s="17">
        <f t="shared" si="159"/>
        <v>13.463012000000001</v>
      </c>
      <c r="AN4379" s="162" t="s">
        <v>11817</v>
      </c>
      <c r="AO4379" s="162" t="s">
        <v>11818</v>
      </c>
    </row>
    <row r="4380" spans="1:41" s="162" customFormat="1" x14ac:dyDescent="0.3">
      <c r="A4380" s="205" t="s">
        <v>8321</v>
      </c>
      <c r="B4380" s="162" t="s">
        <v>8322</v>
      </c>
      <c r="C4380" s="168" t="s">
        <v>13469</v>
      </c>
      <c r="D4380" s="162" t="s">
        <v>13544</v>
      </c>
      <c r="E4380" s="406" t="s">
        <v>13545</v>
      </c>
      <c r="F4380" s="162" t="s">
        <v>13546</v>
      </c>
      <c r="G4380" s="406">
        <v>163701</v>
      </c>
      <c r="H4380" s="162" t="s">
        <v>13547</v>
      </c>
      <c r="K4380" s="406">
        <v>16370108</v>
      </c>
      <c r="L4380" s="162" t="s">
        <v>15701</v>
      </c>
      <c r="M4380" s="162" t="s">
        <v>15702</v>
      </c>
      <c r="O4380" s="492">
        <v>0.8</v>
      </c>
      <c r="P4380" s="492">
        <v>0.8</v>
      </c>
      <c r="Q4380" s="492">
        <v>0.8</v>
      </c>
      <c r="R4380" s="492">
        <v>0.86</v>
      </c>
      <c r="S4380" s="492">
        <v>0.86</v>
      </c>
      <c r="T4380" s="223" t="s">
        <v>11817</v>
      </c>
      <c r="U4380" t="str">
        <f>VLOOKUP(T4380,[8]Votes!$A$1:$E$234,3,FALSE)</f>
        <v>109 Law Development Centre</v>
      </c>
      <c r="V4380" s="162" t="s">
        <v>15703</v>
      </c>
      <c r="W4380" s="407">
        <v>1</v>
      </c>
      <c r="X4380" s="407">
        <v>1</v>
      </c>
      <c r="Y4380" s="407">
        <v>1</v>
      </c>
      <c r="Z4380" s="407">
        <v>1</v>
      </c>
      <c r="AA4380" s="407">
        <v>1</v>
      </c>
      <c r="AB4380" s="407">
        <v>1</v>
      </c>
      <c r="AC4380" s="150">
        <v>0</v>
      </c>
      <c r="AD4380" s="150">
        <v>1</v>
      </c>
      <c r="AE4380" s="49">
        <f t="shared" si="158"/>
        <v>0.875</v>
      </c>
      <c r="AF4380" s="23">
        <v>1</v>
      </c>
      <c r="AG4380" s="17">
        <v>0</v>
      </c>
      <c r="AH4380" s="360">
        <v>1.1000000000000001</v>
      </c>
      <c r="AI4380" s="360">
        <v>1.1000000000000001</v>
      </c>
      <c r="AJ4380" s="360">
        <v>1.1000000000000001</v>
      </c>
      <c r="AK4380" s="361">
        <v>1.5</v>
      </c>
      <c r="AL4380" s="361">
        <v>1.5</v>
      </c>
      <c r="AM4380" s="17">
        <f t="shared" si="159"/>
        <v>3</v>
      </c>
      <c r="AN4380" t="s">
        <v>11817</v>
      </c>
      <c r="AO4380" s="162" t="s">
        <v>11818</v>
      </c>
    </row>
    <row r="4381" spans="1:41" s="162" customFormat="1" x14ac:dyDescent="0.3">
      <c r="A4381" s="205" t="s">
        <v>8321</v>
      </c>
      <c r="B4381" s="162" t="s">
        <v>8322</v>
      </c>
      <c r="C4381" s="168" t="s">
        <v>13469</v>
      </c>
      <c r="D4381" s="162" t="s">
        <v>13544</v>
      </c>
      <c r="E4381" s="406" t="s">
        <v>13545</v>
      </c>
      <c r="F4381" s="162" t="s">
        <v>13546</v>
      </c>
      <c r="G4381" s="406">
        <v>163701</v>
      </c>
      <c r="H4381" s="162" t="s">
        <v>13547</v>
      </c>
      <c r="K4381" s="406">
        <v>16370108</v>
      </c>
      <c r="L4381" s="162" t="s">
        <v>15701</v>
      </c>
      <c r="M4381" s="162" t="s">
        <v>15704</v>
      </c>
      <c r="O4381" s="492">
        <v>0.9</v>
      </c>
      <c r="P4381" s="492">
        <v>0.9</v>
      </c>
      <c r="Q4381" s="492">
        <v>0.9</v>
      </c>
      <c r="R4381" s="492">
        <v>0.9</v>
      </c>
      <c r="S4381" s="492">
        <v>0.9</v>
      </c>
      <c r="T4381" s="223" t="s">
        <v>11817</v>
      </c>
      <c r="U4381" t="str">
        <f>VLOOKUP(T4381,[8]Votes!$A$1:$E$234,3,FALSE)</f>
        <v>109 Law Development Centre</v>
      </c>
      <c r="V4381" s="162" t="s">
        <v>15705</v>
      </c>
      <c r="W4381" s="407">
        <v>1</v>
      </c>
      <c r="X4381" s="407">
        <v>1</v>
      </c>
      <c r="Y4381" s="407">
        <v>1</v>
      </c>
      <c r="Z4381" s="407">
        <v>1</v>
      </c>
      <c r="AA4381" s="407">
        <v>1</v>
      </c>
      <c r="AB4381" s="407"/>
      <c r="AC4381" s="150">
        <v>0</v>
      </c>
      <c r="AD4381" s="150">
        <v>1</v>
      </c>
      <c r="AE4381" s="49">
        <f t="shared" si="158"/>
        <v>0.75</v>
      </c>
      <c r="AF4381" s="23">
        <v>1</v>
      </c>
      <c r="AG4381" s="17">
        <v>0</v>
      </c>
      <c r="AH4381" s="360">
        <v>0.375</v>
      </c>
      <c r="AI4381" s="360">
        <v>0.375</v>
      </c>
      <c r="AJ4381" s="360">
        <v>0.375</v>
      </c>
      <c r="AK4381" s="361">
        <v>0.30349999999999999</v>
      </c>
      <c r="AL4381" s="361">
        <v>0.30349999999999999</v>
      </c>
      <c r="AM4381" s="17">
        <f t="shared" si="159"/>
        <v>0.60699999999999998</v>
      </c>
      <c r="AN4381" t="s">
        <v>11817</v>
      </c>
      <c r="AO4381" s="162" t="s">
        <v>11818</v>
      </c>
    </row>
    <row r="4382" spans="1:41" s="162" customFormat="1" x14ac:dyDescent="0.3">
      <c r="A4382" s="205" t="s">
        <v>8321</v>
      </c>
      <c r="B4382" s="162" t="s">
        <v>8322</v>
      </c>
      <c r="C4382" s="168" t="s">
        <v>13469</v>
      </c>
      <c r="D4382" s="162" t="s">
        <v>13544</v>
      </c>
      <c r="E4382" s="406" t="s">
        <v>13545</v>
      </c>
      <c r="F4382" s="162" t="s">
        <v>13546</v>
      </c>
      <c r="G4382" s="406">
        <v>163701</v>
      </c>
      <c r="H4382" s="162" t="s">
        <v>13547</v>
      </c>
      <c r="K4382" s="406">
        <v>16370108</v>
      </c>
      <c r="L4382" s="162" t="s">
        <v>15701</v>
      </c>
      <c r="M4382" s="162" t="s">
        <v>15706</v>
      </c>
      <c r="O4382" s="492">
        <v>0.86</v>
      </c>
      <c r="P4382" s="492">
        <v>0.86</v>
      </c>
      <c r="Q4382" s="492">
        <v>0.86</v>
      </c>
      <c r="R4382" s="492">
        <v>0.86</v>
      </c>
      <c r="S4382" s="492">
        <v>0.86</v>
      </c>
      <c r="T4382" s="223" t="s">
        <v>11817</v>
      </c>
      <c r="U4382" t="str">
        <f>VLOOKUP(T4382,[8]Votes!$A$1:$E$234,3,FALSE)</f>
        <v>109 Law Development Centre</v>
      </c>
      <c r="V4382" s="162" t="s">
        <v>15707</v>
      </c>
      <c r="W4382" s="407">
        <v>1</v>
      </c>
      <c r="X4382" s="407">
        <v>1</v>
      </c>
      <c r="Y4382" s="407">
        <v>1</v>
      </c>
      <c r="Z4382" s="407">
        <v>1</v>
      </c>
      <c r="AA4382" s="407">
        <v>1</v>
      </c>
      <c r="AB4382" s="407"/>
      <c r="AC4382" s="150">
        <v>0</v>
      </c>
      <c r="AD4382" s="150">
        <v>1</v>
      </c>
      <c r="AE4382" s="49">
        <f t="shared" si="158"/>
        <v>0.75</v>
      </c>
      <c r="AF4382" s="23">
        <v>1</v>
      </c>
      <c r="AG4382" s="17">
        <v>0</v>
      </c>
      <c r="AH4382" s="360">
        <v>0.30299999999999999</v>
      </c>
      <c r="AI4382" s="360">
        <v>0.30299999999999999</v>
      </c>
      <c r="AJ4382" s="360">
        <v>0.30299999999999999</v>
      </c>
      <c r="AK4382" s="361">
        <v>0.2235</v>
      </c>
      <c r="AL4382" s="361">
        <v>0.2235</v>
      </c>
      <c r="AM4382" s="17">
        <f t="shared" si="159"/>
        <v>0.44700000000000001</v>
      </c>
      <c r="AN4382" t="s">
        <v>11817</v>
      </c>
      <c r="AO4382" s="162" t="s">
        <v>11818</v>
      </c>
    </row>
    <row r="4383" spans="1:41" s="162" customFormat="1" x14ac:dyDescent="0.3">
      <c r="A4383" s="205" t="s">
        <v>8321</v>
      </c>
      <c r="B4383" s="162" t="s">
        <v>8322</v>
      </c>
      <c r="C4383" s="168" t="s">
        <v>13469</v>
      </c>
      <c r="D4383" s="162" t="s">
        <v>13544</v>
      </c>
      <c r="E4383" s="406" t="s">
        <v>13545</v>
      </c>
      <c r="F4383" s="162" t="s">
        <v>13546</v>
      </c>
      <c r="G4383" s="406">
        <v>163701</v>
      </c>
      <c r="H4383" s="162" t="s">
        <v>13547</v>
      </c>
      <c r="K4383" s="406">
        <v>16370109</v>
      </c>
      <c r="L4383" s="162" t="s">
        <v>15708</v>
      </c>
      <c r="M4383" s="162" t="s">
        <v>15709</v>
      </c>
      <c r="O4383" s="224">
        <v>0</v>
      </c>
      <c r="P4383" s="224">
        <v>1</v>
      </c>
      <c r="Q4383" s="224">
        <v>1</v>
      </c>
      <c r="R4383" s="224">
        <v>1</v>
      </c>
      <c r="S4383" s="224">
        <v>1</v>
      </c>
      <c r="T4383" s="223" t="s">
        <v>1536</v>
      </c>
      <c r="U4383" t="e">
        <f>VLOOKUP(T4383,[8]Votes!$A$1:$E$234,3,FALSE)</f>
        <v>#N/A</v>
      </c>
      <c r="V4383" s="162" t="s">
        <v>15710</v>
      </c>
      <c r="W4383" s="407">
        <v>1</v>
      </c>
      <c r="X4383" s="407">
        <v>1</v>
      </c>
      <c r="Y4383" s="407">
        <v>1</v>
      </c>
      <c r="Z4383" s="407">
        <v>1</v>
      </c>
      <c r="AA4383" s="407">
        <v>0</v>
      </c>
      <c r="AB4383" s="407">
        <v>0</v>
      </c>
      <c r="AC4383" s="150">
        <v>0</v>
      </c>
      <c r="AD4383" s="150">
        <v>1</v>
      </c>
      <c r="AE4383" s="49">
        <f t="shared" si="158"/>
        <v>0.625</v>
      </c>
      <c r="AF4383" s="23">
        <v>1</v>
      </c>
      <c r="AG4383" s="17">
        <v>0</v>
      </c>
      <c r="AH4383" s="360">
        <v>14</v>
      </c>
      <c r="AI4383" s="360">
        <v>3</v>
      </c>
      <c r="AJ4383" s="360">
        <v>3</v>
      </c>
      <c r="AK4383" s="361">
        <v>0</v>
      </c>
      <c r="AL4383" s="361">
        <v>0</v>
      </c>
      <c r="AM4383" s="17">
        <f t="shared" si="159"/>
        <v>0</v>
      </c>
      <c r="AN4383" s="162" t="s">
        <v>771</v>
      </c>
      <c r="AO4383" s="162" t="s">
        <v>773</v>
      </c>
    </row>
    <row r="4384" spans="1:41" s="162" customFormat="1" x14ac:dyDescent="0.3">
      <c r="A4384" s="205" t="s">
        <v>8321</v>
      </c>
      <c r="B4384" s="162" t="s">
        <v>8322</v>
      </c>
      <c r="C4384" s="168" t="s">
        <v>13469</v>
      </c>
      <c r="D4384" s="162" t="s">
        <v>13544</v>
      </c>
      <c r="E4384" s="406" t="s">
        <v>13545</v>
      </c>
      <c r="F4384" s="162" t="s">
        <v>13546</v>
      </c>
      <c r="G4384" s="406">
        <v>163701</v>
      </c>
      <c r="H4384" s="162" t="s">
        <v>13547</v>
      </c>
      <c r="K4384" s="406">
        <v>16370109</v>
      </c>
      <c r="L4384" s="162" t="s">
        <v>15708</v>
      </c>
      <c r="M4384" s="162" t="s">
        <v>15711</v>
      </c>
      <c r="N4384" s="162">
        <v>3</v>
      </c>
      <c r="O4384" s="224">
        <v>3</v>
      </c>
      <c r="P4384" s="224">
        <v>3</v>
      </c>
      <c r="Q4384" s="224">
        <v>6</v>
      </c>
      <c r="R4384" s="224">
        <v>6</v>
      </c>
      <c r="S4384" s="224">
        <v>8</v>
      </c>
      <c r="T4384" s="223" t="s">
        <v>3875</v>
      </c>
      <c r="U4384" t="str">
        <f>VLOOKUP(T4384,[8]Votes!$A$1:$E$234,3,FALSE)</f>
        <v>007 Ministry of Justice and Constitutional Affairs</v>
      </c>
      <c r="V4384" s="162" t="s">
        <v>15712</v>
      </c>
      <c r="W4384" s="407">
        <v>1</v>
      </c>
      <c r="X4384" s="407">
        <v>1</v>
      </c>
      <c r="Y4384" s="407">
        <v>1</v>
      </c>
      <c r="Z4384" s="407">
        <v>1</v>
      </c>
      <c r="AA4384" s="407">
        <v>0</v>
      </c>
      <c r="AB4384" s="407">
        <v>0</v>
      </c>
      <c r="AC4384" s="150">
        <v>0</v>
      </c>
      <c r="AD4384" s="150">
        <v>1</v>
      </c>
      <c r="AE4384" s="49">
        <f t="shared" si="158"/>
        <v>0.625</v>
      </c>
      <c r="AF4384" s="23">
        <v>1</v>
      </c>
      <c r="AG4384" s="17">
        <v>0</v>
      </c>
      <c r="AH4384" s="485">
        <v>20</v>
      </c>
      <c r="AI4384" s="485">
        <v>25</v>
      </c>
      <c r="AJ4384" s="485">
        <v>30</v>
      </c>
      <c r="AK4384" s="493">
        <v>0</v>
      </c>
      <c r="AL4384" s="173">
        <v>0</v>
      </c>
      <c r="AM4384" s="17">
        <f t="shared" si="159"/>
        <v>0</v>
      </c>
      <c r="AN4384" s="223" t="s">
        <v>3875</v>
      </c>
      <c r="AO4384" s="162" t="s">
        <v>3877</v>
      </c>
    </row>
    <row r="4385" spans="1:42" s="162" customFormat="1" x14ac:dyDescent="0.3">
      <c r="A4385" s="205" t="s">
        <v>8321</v>
      </c>
      <c r="B4385" s="162" t="s">
        <v>8322</v>
      </c>
      <c r="C4385" s="168" t="s">
        <v>13469</v>
      </c>
      <c r="D4385" s="162" t="s">
        <v>13544</v>
      </c>
      <c r="E4385" s="406" t="s">
        <v>13545</v>
      </c>
      <c r="F4385" s="162" t="s">
        <v>13546</v>
      </c>
      <c r="G4385" s="406">
        <v>163701</v>
      </c>
      <c r="H4385" s="162" t="s">
        <v>13547</v>
      </c>
      <c r="K4385" s="406">
        <v>16370109</v>
      </c>
      <c r="L4385" s="162" t="s">
        <v>15708</v>
      </c>
      <c r="M4385" s="162" t="s">
        <v>15713</v>
      </c>
      <c r="O4385" s="224">
        <v>0</v>
      </c>
      <c r="P4385" s="224">
        <v>1</v>
      </c>
      <c r="Q4385" s="224">
        <v>1</v>
      </c>
      <c r="R4385" s="224">
        <v>1</v>
      </c>
      <c r="S4385" s="224">
        <v>1</v>
      </c>
      <c r="T4385" s="223" t="s">
        <v>1536</v>
      </c>
      <c r="U4385" t="e">
        <f>VLOOKUP(T4385,[8]Votes!$A$1:$E$234,3,FALSE)</f>
        <v>#N/A</v>
      </c>
      <c r="V4385" s="162" t="s">
        <v>15714</v>
      </c>
      <c r="W4385" s="407">
        <v>1</v>
      </c>
      <c r="X4385" s="407">
        <v>1</v>
      </c>
      <c r="Y4385" s="407">
        <v>1</v>
      </c>
      <c r="Z4385" s="407">
        <v>1</v>
      </c>
      <c r="AA4385" s="407">
        <v>0</v>
      </c>
      <c r="AB4385" s="407">
        <v>0</v>
      </c>
      <c r="AC4385" s="150">
        <v>0</v>
      </c>
      <c r="AD4385" s="150">
        <v>1</v>
      </c>
      <c r="AE4385" s="49">
        <f t="shared" si="158"/>
        <v>0.625</v>
      </c>
      <c r="AF4385" s="23">
        <v>1</v>
      </c>
      <c r="AG4385" s="17">
        <v>0</v>
      </c>
      <c r="AH4385" s="190">
        <v>0</v>
      </c>
      <c r="AI4385" s="360">
        <v>0.32</v>
      </c>
      <c r="AJ4385" s="360">
        <v>0.32</v>
      </c>
      <c r="AK4385" s="361">
        <v>0</v>
      </c>
      <c r="AL4385" s="361">
        <v>0</v>
      </c>
      <c r="AM4385" s="17">
        <f t="shared" si="159"/>
        <v>0</v>
      </c>
      <c r="AN4385" s="162" t="s">
        <v>771</v>
      </c>
      <c r="AO4385" s="162" t="s">
        <v>773</v>
      </c>
    </row>
    <row r="4386" spans="1:42" s="162" customFormat="1" x14ac:dyDescent="0.3">
      <c r="A4386" s="205" t="s">
        <v>8321</v>
      </c>
      <c r="B4386" s="162" t="s">
        <v>8322</v>
      </c>
      <c r="C4386" s="168" t="s">
        <v>13469</v>
      </c>
      <c r="D4386" s="162" t="s">
        <v>13544</v>
      </c>
      <c r="E4386" s="406" t="s">
        <v>13545</v>
      </c>
      <c r="F4386" s="162" t="s">
        <v>13546</v>
      </c>
      <c r="G4386" s="406">
        <v>163701</v>
      </c>
      <c r="H4386" s="162" t="s">
        <v>13547</v>
      </c>
      <c r="K4386" s="406">
        <v>16370109</v>
      </c>
      <c r="L4386" s="162" t="s">
        <v>15708</v>
      </c>
      <c r="M4386" s="162" t="s">
        <v>15715</v>
      </c>
      <c r="O4386" s="224">
        <v>0</v>
      </c>
      <c r="P4386" s="224">
        <v>1</v>
      </c>
      <c r="Q4386" s="224">
        <v>1</v>
      </c>
      <c r="R4386" s="224">
        <v>1</v>
      </c>
      <c r="S4386" s="224">
        <v>1</v>
      </c>
      <c r="T4386" s="223" t="s">
        <v>1536</v>
      </c>
      <c r="U4386" t="e">
        <f>VLOOKUP(T4386,[8]Votes!$A$1:$E$234,3,FALSE)</f>
        <v>#N/A</v>
      </c>
      <c r="V4386" s="162" t="s">
        <v>15716</v>
      </c>
      <c r="W4386" s="407">
        <v>1</v>
      </c>
      <c r="X4386" s="407">
        <v>1</v>
      </c>
      <c r="Y4386" s="407">
        <v>1</v>
      </c>
      <c r="Z4386" s="407">
        <v>1</v>
      </c>
      <c r="AA4386" s="407">
        <v>0</v>
      </c>
      <c r="AB4386" s="407">
        <v>0</v>
      </c>
      <c r="AC4386" s="150">
        <v>0</v>
      </c>
      <c r="AD4386" s="150">
        <v>1</v>
      </c>
      <c r="AE4386" s="49">
        <f t="shared" si="158"/>
        <v>0.625</v>
      </c>
      <c r="AF4386" s="23">
        <v>1</v>
      </c>
      <c r="AG4386" s="17">
        <v>0</v>
      </c>
      <c r="AH4386" s="190">
        <v>0</v>
      </c>
      <c r="AI4386" s="360">
        <v>5</v>
      </c>
      <c r="AJ4386" s="360">
        <v>5</v>
      </c>
      <c r="AK4386" s="361">
        <v>0</v>
      </c>
      <c r="AL4386" s="361">
        <v>0</v>
      </c>
      <c r="AM4386" s="17">
        <f t="shared" si="159"/>
        <v>0</v>
      </c>
      <c r="AN4386" s="162" t="s">
        <v>771</v>
      </c>
      <c r="AO4386" s="162" t="s">
        <v>773</v>
      </c>
    </row>
    <row r="4387" spans="1:42" s="162" customFormat="1" x14ac:dyDescent="0.3">
      <c r="A4387" s="205" t="s">
        <v>8321</v>
      </c>
      <c r="B4387" s="162" t="s">
        <v>8322</v>
      </c>
      <c r="C4387" s="168" t="s">
        <v>13469</v>
      </c>
      <c r="D4387" s="162" t="s">
        <v>13544</v>
      </c>
      <c r="E4387" s="406" t="s">
        <v>13545</v>
      </c>
      <c r="F4387" s="162" t="s">
        <v>13546</v>
      </c>
      <c r="G4387" s="406">
        <v>163701</v>
      </c>
      <c r="H4387" s="162" t="s">
        <v>13547</v>
      </c>
      <c r="K4387" s="406">
        <v>16370110</v>
      </c>
      <c r="L4387" s="162" t="s">
        <v>15717</v>
      </c>
      <c r="M4387" s="162" t="s">
        <v>15718</v>
      </c>
      <c r="O4387" s="224">
        <v>0</v>
      </c>
      <c r="P4387" s="224">
        <v>1</v>
      </c>
      <c r="Q4387" s="224">
        <v>1</v>
      </c>
      <c r="R4387" s="224">
        <v>1</v>
      </c>
      <c r="S4387" s="224">
        <v>1</v>
      </c>
      <c r="T4387" s="223" t="s">
        <v>1536</v>
      </c>
      <c r="U4387" t="e">
        <f>VLOOKUP(T4387,[8]Votes!$A$1:$E$234,3,FALSE)</f>
        <v>#N/A</v>
      </c>
      <c r="V4387" s="162" t="s">
        <v>15719</v>
      </c>
      <c r="W4387" s="407">
        <v>1</v>
      </c>
      <c r="X4387" s="407">
        <v>1</v>
      </c>
      <c r="Y4387" s="407">
        <v>1</v>
      </c>
      <c r="Z4387" s="407">
        <v>1</v>
      </c>
      <c r="AA4387" s="407">
        <v>0</v>
      </c>
      <c r="AB4387" s="407">
        <v>0</v>
      </c>
      <c r="AC4387" s="150">
        <v>0</v>
      </c>
      <c r="AD4387" s="150">
        <v>1</v>
      </c>
      <c r="AE4387" s="49">
        <f t="shared" si="158"/>
        <v>0.625</v>
      </c>
      <c r="AF4387" s="23">
        <v>1</v>
      </c>
      <c r="AG4387" s="17">
        <v>0</v>
      </c>
      <c r="AH4387" s="190">
        <v>0</v>
      </c>
      <c r="AI4387" s="360">
        <v>1</v>
      </c>
      <c r="AJ4387" s="360">
        <v>1</v>
      </c>
      <c r="AK4387" s="361">
        <v>0</v>
      </c>
      <c r="AL4387" s="361">
        <v>0</v>
      </c>
      <c r="AM4387" s="17">
        <f t="shared" si="159"/>
        <v>0</v>
      </c>
      <c r="AN4387" s="162" t="s">
        <v>771</v>
      </c>
      <c r="AO4387" s="162" t="s">
        <v>773</v>
      </c>
    </row>
    <row r="4388" spans="1:42" s="162" customFormat="1" x14ac:dyDescent="0.3">
      <c r="A4388" s="205" t="s">
        <v>8321</v>
      </c>
      <c r="B4388" s="162" t="s">
        <v>8322</v>
      </c>
      <c r="C4388" s="168" t="s">
        <v>13469</v>
      </c>
      <c r="D4388" s="162" t="s">
        <v>13544</v>
      </c>
      <c r="E4388" s="406" t="s">
        <v>13545</v>
      </c>
      <c r="F4388" s="162" t="s">
        <v>13546</v>
      </c>
      <c r="G4388" s="406">
        <v>163701</v>
      </c>
      <c r="H4388" s="162" t="s">
        <v>13547</v>
      </c>
      <c r="K4388" s="406">
        <v>16370110</v>
      </c>
      <c r="L4388" s="162" t="s">
        <v>15717</v>
      </c>
      <c r="M4388" s="162" t="s">
        <v>15720</v>
      </c>
      <c r="O4388" s="224">
        <v>0</v>
      </c>
      <c r="P4388" s="224">
        <v>50</v>
      </c>
      <c r="Q4388" s="224">
        <v>50</v>
      </c>
      <c r="R4388" s="224">
        <v>50</v>
      </c>
      <c r="S4388" s="224">
        <v>50</v>
      </c>
      <c r="T4388" s="223" t="s">
        <v>1536</v>
      </c>
      <c r="U4388" t="e">
        <f>VLOOKUP(T4388,[8]Votes!$A$1:$E$234,3,FALSE)</f>
        <v>#N/A</v>
      </c>
      <c r="V4388" s="162" t="s">
        <v>15721</v>
      </c>
      <c r="W4388" s="407">
        <v>1</v>
      </c>
      <c r="X4388" s="407">
        <v>1</v>
      </c>
      <c r="Y4388" s="407">
        <v>1</v>
      </c>
      <c r="Z4388" s="407">
        <v>1</v>
      </c>
      <c r="AA4388" s="407">
        <v>0</v>
      </c>
      <c r="AB4388" s="407">
        <v>0</v>
      </c>
      <c r="AC4388" s="150">
        <v>0</v>
      </c>
      <c r="AD4388" s="150">
        <v>1</v>
      </c>
      <c r="AE4388" s="49">
        <f t="shared" si="158"/>
        <v>0.625</v>
      </c>
      <c r="AF4388" s="23">
        <v>1</v>
      </c>
      <c r="AG4388" s="17">
        <v>0</v>
      </c>
      <c r="AH4388" s="190">
        <v>0</v>
      </c>
      <c r="AI4388" s="360">
        <v>0.05</v>
      </c>
      <c r="AJ4388" s="360">
        <v>0.05</v>
      </c>
      <c r="AK4388" s="361">
        <v>0.05</v>
      </c>
      <c r="AL4388" s="361">
        <v>0.05</v>
      </c>
      <c r="AM4388" s="17">
        <f t="shared" si="159"/>
        <v>0.1</v>
      </c>
      <c r="AN4388" s="162" t="s">
        <v>771</v>
      </c>
      <c r="AO4388" s="162" t="s">
        <v>773</v>
      </c>
    </row>
    <row r="4389" spans="1:42" s="162" customFormat="1" x14ac:dyDescent="0.3">
      <c r="A4389" s="205" t="s">
        <v>8321</v>
      </c>
      <c r="B4389" s="162" t="s">
        <v>8322</v>
      </c>
      <c r="C4389" s="168" t="s">
        <v>13469</v>
      </c>
      <c r="D4389" s="162" t="s">
        <v>13544</v>
      </c>
      <c r="E4389" s="406" t="s">
        <v>13545</v>
      </c>
      <c r="F4389" s="162" t="s">
        <v>13546</v>
      </c>
      <c r="G4389" s="406">
        <v>163701</v>
      </c>
      <c r="H4389" s="162" t="s">
        <v>13547</v>
      </c>
      <c r="K4389" s="406">
        <v>16370110</v>
      </c>
      <c r="L4389" s="162" t="s">
        <v>15717</v>
      </c>
      <c r="M4389" s="162" t="s">
        <v>15722</v>
      </c>
      <c r="O4389" s="224">
        <v>0</v>
      </c>
      <c r="P4389" s="224">
        <v>80</v>
      </c>
      <c r="Q4389" s="224">
        <v>80</v>
      </c>
      <c r="R4389" s="224">
        <v>80</v>
      </c>
      <c r="S4389" s="224">
        <v>80</v>
      </c>
      <c r="T4389" s="223" t="s">
        <v>1536</v>
      </c>
      <c r="U4389" t="e">
        <f>VLOOKUP(T4389,[8]Votes!$A$1:$E$234,3,FALSE)</f>
        <v>#N/A</v>
      </c>
      <c r="V4389" s="162" t="s">
        <v>15723</v>
      </c>
      <c r="W4389" s="407">
        <v>1</v>
      </c>
      <c r="X4389" s="407">
        <v>1</v>
      </c>
      <c r="Y4389" s="407">
        <v>1</v>
      </c>
      <c r="Z4389" s="407">
        <v>1</v>
      </c>
      <c r="AA4389" s="407">
        <v>0</v>
      </c>
      <c r="AB4389" s="407">
        <v>0</v>
      </c>
      <c r="AC4389" s="150">
        <v>0</v>
      </c>
      <c r="AD4389" s="150">
        <v>1</v>
      </c>
      <c r="AE4389" s="49">
        <f t="shared" si="158"/>
        <v>0.625</v>
      </c>
      <c r="AF4389" s="23">
        <v>1</v>
      </c>
      <c r="AG4389" s="17">
        <v>0</v>
      </c>
      <c r="AH4389" s="190">
        <v>0</v>
      </c>
      <c r="AI4389" s="360">
        <v>2</v>
      </c>
      <c r="AJ4389" s="360">
        <v>2</v>
      </c>
      <c r="AK4389" s="361">
        <v>0.2</v>
      </c>
      <c r="AL4389" s="361">
        <v>0.2</v>
      </c>
      <c r="AM4389" s="17">
        <f t="shared" si="159"/>
        <v>0.4</v>
      </c>
      <c r="AN4389" s="162" t="s">
        <v>771</v>
      </c>
      <c r="AO4389" s="162" t="s">
        <v>773</v>
      </c>
    </row>
    <row r="4390" spans="1:42" s="162" customFormat="1" x14ac:dyDescent="0.3">
      <c r="A4390" s="205" t="s">
        <v>8321</v>
      </c>
      <c r="B4390" s="162" t="s">
        <v>8322</v>
      </c>
      <c r="C4390" s="168" t="s">
        <v>13469</v>
      </c>
      <c r="D4390" s="162" t="s">
        <v>13544</v>
      </c>
      <c r="E4390" s="406" t="s">
        <v>13545</v>
      </c>
      <c r="F4390" s="162" t="s">
        <v>13546</v>
      </c>
      <c r="G4390" s="406">
        <v>163701</v>
      </c>
      <c r="H4390" s="162" t="s">
        <v>13547</v>
      </c>
      <c r="K4390" s="406">
        <v>16370110</v>
      </c>
      <c r="L4390" s="162" t="s">
        <v>15717</v>
      </c>
      <c r="M4390" s="162" t="s">
        <v>15724</v>
      </c>
      <c r="O4390" s="224">
        <v>0</v>
      </c>
      <c r="P4390" s="224">
        <v>1</v>
      </c>
      <c r="Q4390" s="224">
        <v>1</v>
      </c>
      <c r="R4390" s="224">
        <v>1</v>
      </c>
      <c r="S4390" s="224">
        <v>1</v>
      </c>
      <c r="T4390" s="223" t="s">
        <v>1536</v>
      </c>
      <c r="U4390" t="e">
        <f>VLOOKUP(T4390,[8]Votes!$A$1:$E$234,3,FALSE)</f>
        <v>#N/A</v>
      </c>
      <c r="V4390" s="162" t="s">
        <v>15725</v>
      </c>
      <c r="W4390" s="407">
        <v>1</v>
      </c>
      <c r="X4390" s="407">
        <v>1</v>
      </c>
      <c r="Y4390" s="407">
        <v>1</v>
      </c>
      <c r="Z4390" s="407">
        <v>1</v>
      </c>
      <c r="AA4390" s="407">
        <v>0</v>
      </c>
      <c r="AB4390" s="407">
        <v>0</v>
      </c>
      <c r="AC4390" s="150">
        <v>0</v>
      </c>
      <c r="AD4390" s="150">
        <v>1</v>
      </c>
      <c r="AE4390" s="49">
        <f t="shared" si="158"/>
        <v>0.625</v>
      </c>
      <c r="AF4390" s="23">
        <v>1</v>
      </c>
      <c r="AG4390" s="17">
        <v>0</v>
      </c>
      <c r="AH4390" s="190">
        <v>0</v>
      </c>
      <c r="AI4390" s="360">
        <v>0.01</v>
      </c>
      <c r="AJ4390" s="360">
        <v>0.01</v>
      </c>
      <c r="AK4390" s="361">
        <v>0.01</v>
      </c>
      <c r="AL4390" s="361">
        <v>0.01</v>
      </c>
      <c r="AM4390" s="17">
        <f t="shared" si="159"/>
        <v>0.02</v>
      </c>
      <c r="AN4390" s="162" t="s">
        <v>771</v>
      </c>
      <c r="AO4390" s="162" t="s">
        <v>773</v>
      </c>
    </row>
    <row r="4391" spans="1:42" s="162" customFormat="1" x14ac:dyDescent="0.3">
      <c r="A4391" s="205" t="s">
        <v>8321</v>
      </c>
      <c r="B4391" s="162" t="s">
        <v>8322</v>
      </c>
      <c r="C4391" s="168" t="s">
        <v>13469</v>
      </c>
      <c r="D4391" s="162" t="s">
        <v>13544</v>
      </c>
      <c r="E4391" s="406" t="s">
        <v>13545</v>
      </c>
      <c r="F4391" s="162" t="s">
        <v>13546</v>
      </c>
      <c r="G4391" s="406">
        <v>163701</v>
      </c>
      <c r="H4391" s="162" t="s">
        <v>13547</v>
      </c>
      <c r="K4391" s="406">
        <v>16370110</v>
      </c>
      <c r="L4391" s="162" t="s">
        <v>15717</v>
      </c>
      <c r="M4391" s="162" t="s">
        <v>15726</v>
      </c>
      <c r="O4391" s="224">
        <v>0</v>
      </c>
      <c r="P4391" s="224">
        <v>60</v>
      </c>
      <c r="Q4391" s="224">
        <v>60</v>
      </c>
      <c r="R4391" s="224">
        <v>60</v>
      </c>
      <c r="S4391" s="224">
        <v>60</v>
      </c>
      <c r="T4391" s="223" t="s">
        <v>1536</v>
      </c>
      <c r="U4391" t="e">
        <f>VLOOKUP(T4391,[8]Votes!$A$1:$E$234,3,FALSE)</f>
        <v>#N/A</v>
      </c>
      <c r="V4391" s="162" t="s">
        <v>15727</v>
      </c>
      <c r="W4391" s="407">
        <v>1</v>
      </c>
      <c r="X4391" s="407">
        <v>1</v>
      </c>
      <c r="Y4391" s="407">
        <v>1</v>
      </c>
      <c r="Z4391" s="407">
        <v>1</v>
      </c>
      <c r="AA4391" s="407">
        <v>0</v>
      </c>
      <c r="AB4391" s="407">
        <v>0</v>
      </c>
      <c r="AC4391" s="150">
        <v>0</v>
      </c>
      <c r="AD4391" s="150">
        <v>1</v>
      </c>
      <c r="AE4391" s="49">
        <f t="shared" si="158"/>
        <v>0.625</v>
      </c>
      <c r="AF4391" s="23">
        <v>1</v>
      </c>
      <c r="AG4391" s="17">
        <v>0</v>
      </c>
      <c r="AH4391" s="190">
        <v>0</v>
      </c>
      <c r="AI4391" s="360">
        <v>0.45</v>
      </c>
      <c r="AJ4391" s="360">
        <v>0.45</v>
      </c>
      <c r="AK4391" s="361">
        <v>0.45</v>
      </c>
      <c r="AL4391" s="361">
        <v>0.45</v>
      </c>
      <c r="AM4391" s="17">
        <f t="shared" si="159"/>
        <v>0.9</v>
      </c>
      <c r="AN4391" s="162" t="s">
        <v>771</v>
      </c>
      <c r="AO4391" s="162" t="s">
        <v>773</v>
      </c>
    </row>
    <row r="4392" spans="1:42" s="162" customFormat="1" x14ac:dyDescent="0.3">
      <c r="A4392" s="205" t="s">
        <v>8321</v>
      </c>
      <c r="B4392" s="162" t="s">
        <v>8322</v>
      </c>
      <c r="C4392" s="168" t="s">
        <v>13469</v>
      </c>
      <c r="D4392" s="162" t="s">
        <v>13544</v>
      </c>
      <c r="E4392" s="406" t="s">
        <v>13545</v>
      </c>
      <c r="F4392" s="162" t="s">
        <v>13546</v>
      </c>
      <c r="G4392" s="406">
        <v>163701</v>
      </c>
      <c r="H4392" s="162" t="s">
        <v>13547</v>
      </c>
      <c r="K4392" s="406">
        <v>16370111</v>
      </c>
      <c r="L4392" s="162" t="s">
        <v>15728</v>
      </c>
      <c r="M4392" s="162" t="s">
        <v>15729</v>
      </c>
      <c r="O4392" s="224">
        <v>0</v>
      </c>
      <c r="P4392" s="224">
        <v>2000</v>
      </c>
      <c r="Q4392" s="224">
        <v>2000</v>
      </c>
      <c r="R4392" s="224">
        <v>2000</v>
      </c>
      <c r="S4392" s="224">
        <v>2000</v>
      </c>
      <c r="T4392" s="223" t="s">
        <v>1536</v>
      </c>
      <c r="U4392" t="e">
        <f>VLOOKUP(T4392,[8]Votes!$A$1:$E$234,3,FALSE)</f>
        <v>#N/A</v>
      </c>
      <c r="V4392" s="162" t="s">
        <v>15730</v>
      </c>
      <c r="W4392" s="407">
        <v>1</v>
      </c>
      <c r="X4392" s="407">
        <v>1</v>
      </c>
      <c r="Y4392" s="407">
        <v>1</v>
      </c>
      <c r="Z4392" s="407">
        <v>1</v>
      </c>
      <c r="AA4392" s="407">
        <v>0</v>
      </c>
      <c r="AB4392" s="407">
        <v>0</v>
      </c>
      <c r="AC4392" s="150">
        <v>0</v>
      </c>
      <c r="AD4392" s="150">
        <v>1</v>
      </c>
      <c r="AE4392" s="49">
        <f t="shared" si="158"/>
        <v>0.625</v>
      </c>
      <c r="AF4392" s="23">
        <v>1</v>
      </c>
      <c r="AG4392" s="17">
        <v>0</v>
      </c>
      <c r="AH4392" s="190">
        <v>0</v>
      </c>
      <c r="AI4392" s="360">
        <v>6.6</v>
      </c>
      <c r="AJ4392" s="360">
        <v>6.6</v>
      </c>
      <c r="AK4392" s="361">
        <v>0</v>
      </c>
      <c r="AL4392" s="361">
        <v>0</v>
      </c>
      <c r="AM4392" s="17">
        <f t="shared" si="159"/>
        <v>0</v>
      </c>
      <c r="AN4392" s="162" t="s">
        <v>771</v>
      </c>
      <c r="AO4392" s="162" t="s">
        <v>773</v>
      </c>
    </row>
    <row r="4393" spans="1:42" s="162" customFormat="1" x14ac:dyDescent="0.3">
      <c r="A4393" s="205" t="s">
        <v>8321</v>
      </c>
      <c r="B4393" s="162" t="s">
        <v>8322</v>
      </c>
      <c r="C4393" s="168" t="s">
        <v>13469</v>
      </c>
      <c r="D4393" s="162" t="s">
        <v>13544</v>
      </c>
      <c r="E4393" s="406" t="s">
        <v>13545</v>
      </c>
      <c r="F4393" s="162" t="s">
        <v>13546</v>
      </c>
      <c r="G4393" s="406">
        <v>163703</v>
      </c>
      <c r="H4393" s="162" t="s">
        <v>13584</v>
      </c>
      <c r="K4393" s="406">
        <v>16370303</v>
      </c>
      <c r="L4393" s="162" t="s">
        <v>15731</v>
      </c>
      <c r="M4393" s="162" t="s">
        <v>15732</v>
      </c>
      <c r="O4393" s="224" t="s">
        <v>15733</v>
      </c>
      <c r="P4393" s="224">
        <v>2</v>
      </c>
      <c r="Q4393" s="224">
        <v>3</v>
      </c>
      <c r="R4393" s="224">
        <v>4</v>
      </c>
      <c r="S4393" s="224">
        <v>0.16</v>
      </c>
      <c r="T4393" s="223" t="s">
        <v>3875</v>
      </c>
      <c r="U4393" t="str">
        <f>VLOOKUP(T4393,[8]Votes!$A$1:$E$234,3,FALSE)</f>
        <v>007 Ministry of Justice and Constitutional Affairs</v>
      </c>
      <c r="V4393" s="162" t="s">
        <v>15734</v>
      </c>
      <c r="W4393" s="388">
        <v>1</v>
      </c>
      <c r="X4393" s="388">
        <v>0</v>
      </c>
      <c r="Y4393" s="388">
        <v>0</v>
      </c>
      <c r="Z4393" s="388">
        <v>1</v>
      </c>
      <c r="AA4393" s="388">
        <v>1</v>
      </c>
      <c r="AB4393" s="388">
        <v>0</v>
      </c>
      <c r="AC4393" s="150">
        <v>0</v>
      </c>
      <c r="AD4393" s="150">
        <v>0</v>
      </c>
      <c r="AE4393" s="49">
        <f t="shared" si="158"/>
        <v>0.375</v>
      </c>
      <c r="AF4393" s="360"/>
      <c r="AG4393" s="17">
        <v>0</v>
      </c>
      <c r="AH4393" s="360">
        <v>1.1000000000000001</v>
      </c>
      <c r="AI4393" s="360">
        <v>1.4</v>
      </c>
      <c r="AJ4393" s="360">
        <v>1.6</v>
      </c>
      <c r="AK4393" s="361">
        <v>0</v>
      </c>
      <c r="AL4393" s="361">
        <v>0</v>
      </c>
      <c r="AM4393" s="17">
        <f t="shared" si="159"/>
        <v>0</v>
      </c>
      <c r="AN4393" s="223" t="s">
        <v>3875</v>
      </c>
      <c r="AO4393" s="162" t="s">
        <v>3877</v>
      </c>
      <c r="AP4393" s="162" t="s">
        <v>15735</v>
      </c>
    </row>
    <row r="4394" spans="1:42" s="162" customFormat="1" x14ac:dyDescent="0.3">
      <c r="A4394" s="205" t="s">
        <v>8321</v>
      </c>
      <c r="B4394" s="162" t="s">
        <v>8322</v>
      </c>
      <c r="C4394" s="168" t="s">
        <v>13469</v>
      </c>
      <c r="D4394" s="162" t="s">
        <v>13544</v>
      </c>
      <c r="E4394" s="406" t="s">
        <v>13545</v>
      </c>
      <c r="F4394" s="162" t="s">
        <v>13546</v>
      </c>
      <c r="G4394" s="406">
        <v>163703</v>
      </c>
      <c r="H4394" s="162" t="s">
        <v>13584</v>
      </c>
      <c r="K4394" s="406">
        <v>16370303</v>
      </c>
      <c r="L4394" s="162" t="s">
        <v>15731</v>
      </c>
      <c r="M4394" s="162" t="s">
        <v>15736</v>
      </c>
      <c r="O4394" s="224">
        <v>150</v>
      </c>
      <c r="P4394" s="224">
        <v>250</v>
      </c>
      <c r="Q4394" s="224">
        <v>350</v>
      </c>
      <c r="R4394" s="224">
        <v>150</v>
      </c>
      <c r="S4394" s="224">
        <v>150</v>
      </c>
      <c r="T4394" s="223" t="s">
        <v>3879</v>
      </c>
      <c r="U4394" t="str">
        <f>VLOOKUP(T4394,[8]Votes!$A$1:$E$234,3,FALSE)</f>
        <v>009 Ministry of Internal Affairs</v>
      </c>
      <c r="V4394" s="162" t="s">
        <v>15737</v>
      </c>
      <c r="W4394" s="388">
        <v>1</v>
      </c>
      <c r="X4394" s="388">
        <v>1</v>
      </c>
      <c r="Y4394" s="388">
        <v>1</v>
      </c>
      <c r="Z4394" s="388">
        <v>1</v>
      </c>
      <c r="AA4394" s="388">
        <v>1</v>
      </c>
      <c r="AB4394" s="388">
        <v>0</v>
      </c>
      <c r="AC4394" s="150">
        <v>1</v>
      </c>
      <c r="AD4394" s="150">
        <v>0</v>
      </c>
      <c r="AE4394" s="49">
        <f t="shared" si="158"/>
        <v>0.75</v>
      </c>
      <c r="AF4394" s="360"/>
      <c r="AG4394" s="17">
        <v>0</v>
      </c>
      <c r="AH4394" s="360">
        <v>1</v>
      </c>
      <c r="AI4394" s="360">
        <v>1.5</v>
      </c>
      <c r="AJ4394" s="360">
        <v>2.5</v>
      </c>
      <c r="AK4394" s="361">
        <v>1</v>
      </c>
      <c r="AL4394" s="361">
        <v>1</v>
      </c>
      <c r="AM4394" s="17">
        <f t="shared" si="159"/>
        <v>2</v>
      </c>
      <c r="AN4394" s="224" t="s">
        <v>3879</v>
      </c>
      <c r="AO4394" s="162" t="s">
        <v>3881</v>
      </c>
    </row>
    <row r="4395" spans="1:42" s="162" customFormat="1" x14ac:dyDescent="0.3">
      <c r="A4395" s="205" t="s">
        <v>8321</v>
      </c>
      <c r="B4395" s="162" t="s">
        <v>8322</v>
      </c>
      <c r="C4395" s="168" t="s">
        <v>13469</v>
      </c>
      <c r="D4395" s="162" t="s">
        <v>13544</v>
      </c>
      <c r="E4395" s="406" t="s">
        <v>13545</v>
      </c>
      <c r="F4395" s="162" t="s">
        <v>13546</v>
      </c>
      <c r="G4395" s="406">
        <v>163703</v>
      </c>
      <c r="H4395" s="162" t="s">
        <v>13584</v>
      </c>
      <c r="K4395" s="406">
        <v>16370303</v>
      </c>
      <c r="L4395" s="162" t="s">
        <v>15731</v>
      </c>
      <c r="M4395" s="162" t="s">
        <v>15738</v>
      </c>
      <c r="O4395" s="224">
        <v>3000</v>
      </c>
      <c r="P4395" s="224">
        <v>3500</v>
      </c>
      <c r="Q4395" s="224">
        <v>4000</v>
      </c>
      <c r="R4395" s="224">
        <v>3000</v>
      </c>
      <c r="S4395" s="224">
        <v>3000</v>
      </c>
      <c r="T4395" s="223" t="s">
        <v>3879</v>
      </c>
      <c r="U4395" t="str">
        <f>VLOOKUP(T4395,[8]Votes!$A$1:$E$234,3,FALSE)</f>
        <v>009 Ministry of Internal Affairs</v>
      </c>
      <c r="V4395" s="162" t="s">
        <v>15739</v>
      </c>
      <c r="W4395" s="388">
        <v>1</v>
      </c>
      <c r="X4395" s="388">
        <v>1</v>
      </c>
      <c r="Y4395" s="388">
        <v>1</v>
      </c>
      <c r="Z4395" s="388">
        <v>1</v>
      </c>
      <c r="AA4395" s="388">
        <v>1</v>
      </c>
      <c r="AB4395" s="388">
        <v>0</v>
      </c>
      <c r="AC4395" s="150">
        <v>1</v>
      </c>
      <c r="AD4395" s="150">
        <v>0</v>
      </c>
      <c r="AE4395" s="49">
        <f t="shared" si="158"/>
        <v>0.75</v>
      </c>
      <c r="AF4395" s="360"/>
      <c r="AG4395" s="17">
        <v>0</v>
      </c>
      <c r="AH4395" s="360">
        <v>3.5</v>
      </c>
      <c r="AI4395" s="360">
        <v>4</v>
      </c>
      <c r="AJ4395" s="360">
        <v>4.5</v>
      </c>
      <c r="AK4395" s="361">
        <v>2.5</v>
      </c>
      <c r="AL4395" s="361">
        <v>2.5</v>
      </c>
      <c r="AM4395" s="17">
        <f t="shared" si="159"/>
        <v>5</v>
      </c>
      <c r="AN4395" s="224" t="s">
        <v>3879</v>
      </c>
      <c r="AO4395" s="162" t="s">
        <v>3881</v>
      </c>
    </row>
    <row r="4396" spans="1:42" s="162" customFormat="1" x14ac:dyDescent="0.3">
      <c r="A4396" s="205" t="s">
        <v>8321</v>
      </c>
      <c r="B4396" s="162" t="s">
        <v>8322</v>
      </c>
      <c r="C4396" s="168" t="s">
        <v>13469</v>
      </c>
      <c r="D4396" s="162" t="s">
        <v>13544</v>
      </c>
      <c r="E4396" s="406" t="s">
        <v>13545</v>
      </c>
      <c r="F4396" s="162" t="s">
        <v>13546</v>
      </c>
      <c r="G4396" s="406">
        <v>163703</v>
      </c>
      <c r="H4396" s="162" t="s">
        <v>13584</v>
      </c>
      <c r="K4396" s="406">
        <v>16370303</v>
      </c>
      <c r="L4396" s="162" t="s">
        <v>15731</v>
      </c>
      <c r="M4396" s="162" t="s">
        <v>15740</v>
      </c>
      <c r="O4396" s="224"/>
      <c r="P4396" s="224"/>
      <c r="Q4396" s="224">
        <v>1</v>
      </c>
      <c r="R4396" s="224">
        <v>1</v>
      </c>
      <c r="S4396" s="224">
        <v>1</v>
      </c>
      <c r="T4396" s="223" t="s">
        <v>3879</v>
      </c>
      <c r="U4396" t="str">
        <f>VLOOKUP(T4396,[8]Votes!$A$1:$E$234,3,FALSE)</f>
        <v>009 Ministry of Internal Affairs</v>
      </c>
      <c r="V4396" s="162" t="s">
        <v>15741</v>
      </c>
      <c r="W4396" s="388">
        <v>1</v>
      </c>
      <c r="X4396" s="388">
        <v>1</v>
      </c>
      <c r="Y4396" s="388">
        <v>1</v>
      </c>
      <c r="Z4396" s="388">
        <v>1</v>
      </c>
      <c r="AA4396" s="388">
        <v>1</v>
      </c>
      <c r="AB4396" s="388">
        <v>0</v>
      </c>
      <c r="AC4396" s="150">
        <v>1</v>
      </c>
      <c r="AD4396" s="150">
        <v>0</v>
      </c>
      <c r="AE4396" s="49">
        <f t="shared" si="158"/>
        <v>0.75</v>
      </c>
      <c r="AF4396" s="190"/>
      <c r="AG4396" s="17">
        <v>0</v>
      </c>
      <c r="AH4396" s="190">
        <v>0</v>
      </c>
      <c r="AI4396" s="190">
        <v>0</v>
      </c>
      <c r="AJ4396" s="360">
        <v>2</v>
      </c>
      <c r="AK4396" s="361">
        <v>1</v>
      </c>
      <c r="AL4396" s="361">
        <v>1</v>
      </c>
      <c r="AM4396" s="17">
        <f t="shared" si="159"/>
        <v>2</v>
      </c>
      <c r="AN4396" s="224" t="s">
        <v>3879</v>
      </c>
      <c r="AO4396" s="162" t="s">
        <v>3881</v>
      </c>
    </row>
    <row r="4397" spans="1:42" s="162" customFormat="1" x14ac:dyDescent="0.3">
      <c r="A4397" s="205" t="s">
        <v>8321</v>
      </c>
      <c r="B4397" s="162" t="s">
        <v>8322</v>
      </c>
      <c r="C4397" s="168" t="s">
        <v>13469</v>
      </c>
      <c r="D4397" s="162" t="s">
        <v>13544</v>
      </c>
      <c r="E4397" s="406" t="s">
        <v>13545</v>
      </c>
      <c r="F4397" s="162" t="s">
        <v>13546</v>
      </c>
      <c r="G4397" s="406">
        <v>163703</v>
      </c>
      <c r="H4397" s="162" t="s">
        <v>13584</v>
      </c>
      <c r="K4397" s="406">
        <v>16370303</v>
      </c>
      <c r="L4397" s="162" t="s">
        <v>15731</v>
      </c>
      <c r="M4397" s="162" t="s">
        <v>15742</v>
      </c>
      <c r="O4397" s="224">
        <v>1</v>
      </c>
      <c r="P4397" s="224">
        <v>1</v>
      </c>
      <c r="Q4397" s="224">
        <v>1</v>
      </c>
      <c r="R4397" s="224">
        <v>1</v>
      </c>
      <c r="S4397" s="224">
        <v>1</v>
      </c>
      <c r="T4397" s="223" t="s">
        <v>3875</v>
      </c>
      <c r="U4397" t="str">
        <f>VLOOKUP(T4397,[8]Votes!$A$1:$E$234,3,FALSE)</f>
        <v>007 Ministry of Justice and Constitutional Affairs</v>
      </c>
      <c r="V4397" s="162" t="s">
        <v>15743</v>
      </c>
      <c r="W4397" s="388">
        <v>1</v>
      </c>
      <c r="X4397" s="388">
        <v>0</v>
      </c>
      <c r="Y4397" s="388">
        <v>0</v>
      </c>
      <c r="Z4397" s="388">
        <v>1</v>
      </c>
      <c r="AA4397" s="388">
        <v>1</v>
      </c>
      <c r="AB4397" s="388">
        <v>0</v>
      </c>
      <c r="AC4397" s="150">
        <v>0</v>
      </c>
      <c r="AD4397" s="150">
        <v>0</v>
      </c>
      <c r="AE4397" s="49">
        <f t="shared" si="158"/>
        <v>0.375</v>
      </c>
      <c r="AF4397" s="360"/>
      <c r="AG4397" s="17">
        <v>0</v>
      </c>
      <c r="AH4397" s="360">
        <v>0.1</v>
      </c>
      <c r="AI4397" s="360">
        <v>0.3</v>
      </c>
      <c r="AJ4397" s="360">
        <v>0.3</v>
      </c>
      <c r="AK4397" s="361">
        <v>0</v>
      </c>
      <c r="AL4397" s="361">
        <v>0</v>
      </c>
      <c r="AM4397" s="17">
        <f t="shared" si="159"/>
        <v>0</v>
      </c>
      <c r="AN4397" s="223" t="s">
        <v>3875</v>
      </c>
      <c r="AO4397" s="162" t="s">
        <v>3877</v>
      </c>
    </row>
    <row r="4398" spans="1:42" s="162" customFormat="1" x14ac:dyDescent="0.3">
      <c r="A4398" s="205" t="s">
        <v>8321</v>
      </c>
      <c r="B4398" s="162" t="s">
        <v>8322</v>
      </c>
      <c r="C4398" s="168" t="s">
        <v>13469</v>
      </c>
      <c r="D4398" s="162" t="s">
        <v>13544</v>
      </c>
      <c r="E4398" s="406" t="s">
        <v>13545</v>
      </c>
      <c r="F4398" s="162" t="s">
        <v>13546</v>
      </c>
      <c r="G4398" s="406">
        <v>163703</v>
      </c>
      <c r="H4398" s="162" t="s">
        <v>13584</v>
      </c>
      <c r="K4398" s="406">
        <v>16370304</v>
      </c>
      <c r="L4398" s="162" t="s">
        <v>15744</v>
      </c>
      <c r="M4398" s="162" t="s">
        <v>15745</v>
      </c>
      <c r="O4398" s="224">
        <v>8</v>
      </c>
      <c r="P4398" s="224">
        <v>8</v>
      </c>
      <c r="Q4398" s="224">
        <v>8</v>
      </c>
      <c r="R4398" s="224">
        <v>8</v>
      </c>
      <c r="S4398" s="224">
        <v>8</v>
      </c>
      <c r="T4398" s="223" t="s">
        <v>11865</v>
      </c>
      <c r="U4398" t="str">
        <f>VLOOKUP(T4398,[8]Votes!$A$1:$E$234,3,FALSE)</f>
        <v>133 Office of the Director of Public Prosecutions</v>
      </c>
      <c r="V4398" s="162" t="s">
        <v>15746</v>
      </c>
      <c r="W4398" s="388">
        <v>1</v>
      </c>
      <c r="X4398" s="388">
        <v>1</v>
      </c>
      <c r="Y4398" s="388">
        <v>0</v>
      </c>
      <c r="Z4398" s="388">
        <v>1</v>
      </c>
      <c r="AA4398" s="416">
        <v>1</v>
      </c>
      <c r="AB4398" s="388">
        <v>0</v>
      </c>
      <c r="AC4398" s="388">
        <v>1</v>
      </c>
      <c r="AD4398" s="388">
        <v>1</v>
      </c>
      <c r="AE4398" s="49">
        <f t="shared" si="158"/>
        <v>0.75</v>
      </c>
      <c r="AF4398" s="360"/>
      <c r="AG4398" s="17">
        <v>0</v>
      </c>
      <c r="AH4398" s="360">
        <v>0.8</v>
      </c>
      <c r="AI4398" s="360">
        <v>0.8</v>
      </c>
      <c r="AJ4398" s="360">
        <v>0.8</v>
      </c>
      <c r="AK4398" s="361">
        <v>0.8</v>
      </c>
      <c r="AL4398" s="361">
        <v>0.8</v>
      </c>
      <c r="AM4398" s="17">
        <f t="shared" si="159"/>
        <v>1.6</v>
      </c>
      <c r="AN4398" s="162" t="s">
        <v>11865</v>
      </c>
      <c r="AO4398" s="162" t="s">
        <v>11866</v>
      </c>
    </row>
    <row r="4399" spans="1:42" s="162" customFormat="1" x14ac:dyDescent="0.3">
      <c r="A4399" s="205" t="s">
        <v>8321</v>
      </c>
      <c r="B4399" s="162" t="s">
        <v>8322</v>
      </c>
      <c r="C4399" s="168" t="s">
        <v>13469</v>
      </c>
      <c r="D4399" s="162" t="s">
        <v>13544</v>
      </c>
      <c r="E4399" s="406" t="s">
        <v>13545</v>
      </c>
      <c r="F4399" s="162" t="s">
        <v>13546</v>
      </c>
      <c r="G4399" s="406">
        <v>163703</v>
      </c>
      <c r="H4399" s="162" t="s">
        <v>13584</v>
      </c>
      <c r="K4399" s="406">
        <v>16370305</v>
      </c>
      <c r="L4399" s="162" t="s">
        <v>15747</v>
      </c>
      <c r="M4399" s="162" t="s">
        <v>15748</v>
      </c>
      <c r="O4399" s="224">
        <v>2</v>
      </c>
      <c r="P4399" s="224">
        <v>2</v>
      </c>
      <c r="Q4399" s="224">
        <v>2</v>
      </c>
      <c r="R4399" s="224">
        <v>2</v>
      </c>
      <c r="S4399" s="224">
        <v>2</v>
      </c>
      <c r="T4399" s="223" t="s">
        <v>11865</v>
      </c>
      <c r="U4399" t="str">
        <f>VLOOKUP(T4399,[8]Votes!$A$1:$E$234,3,FALSE)</f>
        <v>133 Office of the Director of Public Prosecutions</v>
      </c>
      <c r="V4399" s="162" t="s">
        <v>15749</v>
      </c>
      <c r="W4399" s="388">
        <v>1</v>
      </c>
      <c r="X4399" s="388">
        <v>1</v>
      </c>
      <c r="Y4399" s="388">
        <v>0</v>
      </c>
      <c r="Z4399" s="388">
        <v>1</v>
      </c>
      <c r="AA4399" s="416">
        <v>1</v>
      </c>
      <c r="AB4399" s="388">
        <v>0</v>
      </c>
      <c r="AC4399" s="388">
        <v>1</v>
      </c>
      <c r="AD4399" s="388">
        <v>1</v>
      </c>
      <c r="AE4399" s="49">
        <f t="shared" si="158"/>
        <v>0.75</v>
      </c>
      <c r="AF4399" s="360"/>
      <c r="AG4399" s="17">
        <v>0</v>
      </c>
      <c r="AH4399" s="360">
        <v>2</v>
      </c>
      <c r="AI4399" s="360">
        <v>2</v>
      </c>
      <c r="AJ4399" s="360">
        <v>2</v>
      </c>
      <c r="AK4399" s="361">
        <v>2</v>
      </c>
      <c r="AL4399" s="361">
        <v>2</v>
      </c>
      <c r="AM4399" s="17">
        <f t="shared" si="159"/>
        <v>4</v>
      </c>
      <c r="AN4399" s="162" t="s">
        <v>11865</v>
      </c>
      <c r="AO4399" s="162" t="s">
        <v>11866</v>
      </c>
    </row>
    <row r="4400" spans="1:42" s="162" customFormat="1" x14ac:dyDescent="0.3">
      <c r="A4400" s="205" t="s">
        <v>8321</v>
      </c>
      <c r="B4400" s="162" t="s">
        <v>8322</v>
      </c>
      <c r="C4400" s="168" t="s">
        <v>13469</v>
      </c>
      <c r="D4400" s="162" t="s">
        <v>13544</v>
      </c>
      <c r="E4400" s="406" t="s">
        <v>13545</v>
      </c>
      <c r="F4400" s="162" t="s">
        <v>13546</v>
      </c>
      <c r="G4400" s="406">
        <v>163703</v>
      </c>
      <c r="H4400" s="162" t="s">
        <v>13584</v>
      </c>
      <c r="K4400" s="406">
        <v>16370306</v>
      </c>
      <c r="L4400" s="162" t="s">
        <v>15750</v>
      </c>
      <c r="M4400" s="162" t="s">
        <v>15751</v>
      </c>
      <c r="O4400" s="224">
        <v>20</v>
      </c>
      <c r="P4400" s="224">
        <v>20</v>
      </c>
      <c r="Q4400" s="224">
        <v>20</v>
      </c>
      <c r="R4400" s="224">
        <v>20</v>
      </c>
      <c r="S4400" s="224">
        <v>25</v>
      </c>
      <c r="T4400" s="223" t="s">
        <v>11865</v>
      </c>
      <c r="U4400" t="str">
        <f>VLOOKUP(T4400,[8]Votes!$A$1:$E$234,3,FALSE)</f>
        <v>133 Office of the Director of Public Prosecutions</v>
      </c>
      <c r="V4400" s="162" t="s">
        <v>15752</v>
      </c>
      <c r="W4400" s="388">
        <v>1</v>
      </c>
      <c r="X4400" s="388">
        <v>1</v>
      </c>
      <c r="Y4400" s="388">
        <v>0</v>
      </c>
      <c r="Z4400" s="388">
        <v>1</v>
      </c>
      <c r="AA4400" s="416">
        <v>1</v>
      </c>
      <c r="AB4400" s="388">
        <v>0</v>
      </c>
      <c r="AC4400" s="388">
        <v>1</v>
      </c>
      <c r="AD4400" s="388">
        <v>1</v>
      </c>
      <c r="AE4400" s="49">
        <f t="shared" si="158"/>
        <v>0.75</v>
      </c>
      <c r="AF4400" s="360"/>
      <c r="AG4400" s="17">
        <v>0</v>
      </c>
      <c r="AH4400" s="360">
        <v>2.7</v>
      </c>
      <c r="AI4400" s="360">
        <v>2.7</v>
      </c>
      <c r="AJ4400" s="360">
        <v>2.7</v>
      </c>
      <c r="AK4400" s="361">
        <v>2.7</v>
      </c>
      <c r="AL4400" s="361">
        <v>2.7</v>
      </c>
      <c r="AM4400" s="17">
        <f t="shared" si="159"/>
        <v>5.4</v>
      </c>
      <c r="AN4400" s="162" t="s">
        <v>11865</v>
      </c>
      <c r="AO4400" s="162" t="s">
        <v>11866</v>
      </c>
    </row>
    <row r="4401" spans="1:42" s="162" customFormat="1" x14ac:dyDescent="0.3">
      <c r="A4401" s="205" t="s">
        <v>8321</v>
      </c>
      <c r="B4401" s="162" t="s">
        <v>8322</v>
      </c>
      <c r="C4401" s="168" t="s">
        <v>13469</v>
      </c>
      <c r="D4401" s="162" t="s">
        <v>13544</v>
      </c>
      <c r="E4401" s="406" t="s">
        <v>13545</v>
      </c>
      <c r="F4401" s="162" t="s">
        <v>13546</v>
      </c>
      <c r="G4401" s="406">
        <v>163703</v>
      </c>
      <c r="H4401" s="162" t="s">
        <v>13584</v>
      </c>
      <c r="K4401" s="406">
        <v>16370306</v>
      </c>
      <c r="L4401" s="162" t="s">
        <v>15750</v>
      </c>
      <c r="M4401" s="162" t="s">
        <v>15753</v>
      </c>
      <c r="O4401" s="224">
        <v>15</v>
      </c>
      <c r="P4401" s="224">
        <v>20</v>
      </c>
      <c r="Q4401" s="224">
        <v>20</v>
      </c>
      <c r="R4401" s="224">
        <v>25</v>
      </c>
      <c r="S4401" s="224">
        <v>25</v>
      </c>
      <c r="T4401" s="223" t="s">
        <v>11865</v>
      </c>
      <c r="U4401" t="str">
        <f>VLOOKUP(T4401,[8]Votes!$A$1:$E$234,3,FALSE)</f>
        <v>133 Office of the Director of Public Prosecutions</v>
      </c>
      <c r="V4401" s="162" t="s">
        <v>15754</v>
      </c>
      <c r="W4401" s="388">
        <v>1</v>
      </c>
      <c r="X4401" s="388">
        <v>1</v>
      </c>
      <c r="Y4401" s="388">
        <v>0</v>
      </c>
      <c r="Z4401" s="388">
        <v>1</v>
      </c>
      <c r="AA4401" s="416">
        <v>1</v>
      </c>
      <c r="AB4401" s="388">
        <v>0</v>
      </c>
      <c r="AC4401" s="388">
        <v>1</v>
      </c>
      <c r="AD4401" s="388">
        <v>1</v>
      </c>
      <c r="AE4401" s="49">
        <f t="shared" si="158"/>
        <v>0.75</v>
      </c>
      <c r="AF4401" s="360"/>
      <c r="AG4401" s="17">
        <v>0</v>
      </c>
      <c r="AH4401" s="360">
        <v>0.6</v>
      </c>
      <c r="AI4401" s="360">
        <v>0.7</v>
      </c>
      <c r="AJ4401" s="360">
        <v>0.7</v>
      </c>
      <c r="AK4401" s="361">
        <v>0.8</v>
      </c>
      <c r="AL4401" s="361">
        <v>0.8</v>
      </c>
      <c r="AM4401" s="17">
        <f t="shared" si="159"/>
        <v>1.6</v>
      </c>
      <c r="AN4401" s="162" t="s">
        <v>11865</v>
      </c>
      <c r="AO4401" s="162" t="s">
        <v>11866</v>
      </c>
    </row>
    <row r="4402" spans="1:42" s="162" customFormat="1" x14ac:dyDescent="0.3">
      <c r="A4402" s="205" t="s">
        <v>8321</v>
      </c>
      <c r="B4402" s="162" t="s">
        <v>8322</v>
      </c>
      <c r="C4402" s="168" t="s">
        <v>13469</v>
      </c>
      <c r="D4402" s="162" t="s">
        <v>13544</v>
      </c>
      <c r="E4402" s="406" t="s">
        <v>13545</v>
      </c>
      <c r="F4402" s="162" t="s">
        <v>13546</v>
      </c>
      <c r="G4402" s="406">
        <v>163703</v>
      </c>
      <c r="H4402" s="162" t="s">
        <v>13584</v>
      </c>
      <c r="K4402" s="406">
        <v>16370307</v>
      </c>
      <c r="L4402" s="162" t="s">
        <v>15755</v>
      </c>
      <c r="M4402" s="162" t="s">
        <v>15756</v>
      </c>
      <c r="O4402" s="492">
        <v>0.1</v>
      </c>
      <c r="P4402" s="224">
        <v>0.3</v>
      </c>
      <c r="Q4402" s="224">
        <v>1.5</v>
      </c>
      <c r="R4402" s="224">
        <v>3</v>
      </c>
      <c r="S4402" s="224">
        <v>4.5</v>
      </c>
      <c r="T4402" s="223" t="s">
        <v>13761</v>
      </c>
      <c r="U4402" t="str">
        <f>VLOOKUP(T4402,[8]Votes!$A$1:$E$234,3,FALSE)</f>
        <v>129 Financial Intelligence Authority (FIA)</v>
      </c>
      <c r="V4402" s="162" t="s">
        <v>15757</v>
      </c>
      <c r="W4402" s="388">
        <v>1</v>
      </c>
      <c r="X4402" s="388">
        <v>1</v>
      </c>
      <c r="Y4402" s="388">
        <v>0</v>
      </c>
      <c r="Z4402" s="388">
        <v>1</v>
      </c>
      <c r="AA4402" s="388">
        <v>1</v>
      </c>
      <c r="AB4402" s="388">
        <v>0</v>
      </c>
      <c r="AC4402" s="388">
        <v>0</v>
      </c>
      <c r="AD4402" s="388">
        <v>1</v>
      </c>
      <c r="AE4402" s="49">
        <f t="shared" si="158"/>
        <v>0.625</v>
      </c>
      <c r="AF4402" s="360"/>
      <c r="AG4402" s="17">
        <v>0</v>
      </c>
      <c r="AH4402" s="360">
        <v>0.15</v>
      </c>
      <c r="AI4402" s="360">
        <v>0.3</v>
      </c>
      <c r="AJ4402" s="360">
        <v>0.5</v>
      </c>
      <c r="AK4402" s="361">
        <v>0.8</v>
      </c>
      <c r="AL4402" s="361">
        <v>0.75</v>
      </c>
      <c r="AM4402" s="17">
        <f t="shared" si="159"/>
        <v>1.55</v>
      </c>
      <c r="AN4402" s="162" t="s">
        <v>13761</v>
      </c>
      <c r="AO4402" s="162" t="s">
        <v>13763</v>
      </c>
    </row>
    <row r="4403" spans="1:42" s="162" customFormat="1" x14ac:dyDescent="0.3">
      <c r="A4403" s="205" t="s">
        <v>8321</v>
      </c>
      <c r="B4403" s="162" t="s">
        <v>8322</v>
      </c>
      <c r="C4403" s="168" t="s">
        <v>13469</v>
      </c>
      <c r="D4403" s="162" t="s">
        <v>13544</v>
      </c>
      <c r="E4403" s="406" t="s">
        <v>13545</v>
      </c>
      <c r="F4403" s="162" t="s">
        <v>13546</v>
      </c>
      <c r="G4403" s="406">
        <v>163703</v>
      </c>
      <c r="H4403" s="162" t="s">
        <v>13584</v>
      </c>
      <c r="K4403" s="406">
        <v>16370308</v>
      </c>
      <c r="L4403" s="162" t="s">
        <v>15758</v>
      </c>
      <c r="M4403" s="162" t="s">
        <v>15759</v>
      </c>
      <c r="O4403" s="224"/>
      <c r="P4403" s="224"/>
      <c r="Q4403" s="224">
        <v>2</v>
      </c>
      <c r="R4403" s="224">
        <v>1</v>
      </c>
      <c r="S4403" s="224">
        <v>1</v>
      </c>
      <c r="T4403" s="223" t="s">
        <v>180</v>
      </c>
      <c r="U4403" t="str">
        <f>VLOOKUP(T4403,[8]Votes!$A$1:$E$234,3,FALSE)</f>
        <v>145 Uganda Prisons</v>
      </c>
      <c r="V4403" s="162" t="s">
        <v>15760</v>
      </c>
      <c r="W4403" s="388">
        <v>1</v>
      </c>
      <c r="X4403" s="388">
        <v>1</v>
      </c>
      <c r="Y4403" s="388">
        <v>0</v>
      </c>
      <c r="Z4403" s="388">
        <v>1</v>
      </c>
      <c r="AA4403" s="388">
        <v>1</v>
      </c>
      <c r="AB4403" s="388">
        <v>0</v>
      </c>
      <c r="AC4403" s="388">
        <v>1</v>
      </c>
      <c r="AD4403" s="388">
        <v>1</v>
      </c>
      <c r="AE4403" s="49">
        <f t="shared" si="158"/>
        <v>0.75</v>
      </c>
      <c r="AF4403" s="360"/>
      <c r="AG4403" s="17">
        <v>0</v>
      </c>
      <c r="AH4403" s="360">
        <v>1.23</v>
      </c>
      <c r="AI4403" s="360">
        <v>1.43</v>
      </c>
      <c r="AJ4403" s="360">
        <v>26.44</v>
      </c>
      <c r="AK4403" s="361">
        <v>0</v>
      </c>
      <c r="AL4403" s="361">
        <v>0</v>
      </c>
      <c r="AM4403" s="17">
        <f t="shared" si="159"/>
        <v>0</v>
      </c>
      <c r="AN4403" s="224" t="s">
        <v>180</v>
      </c>
      <c r="AO4403" s="162" t="s">
        <v>182</v>
      </c>
    </row>
    <row r="4404" spans="1:42" s="162" customFormat="1" x14ac:dyDescent="0.3">
      <c r="A4404" s="205" t="s">
        <v>8321</v>
      </c>
      <c r="B4404" s="162" t="s">
        <v>8322</v>
      </c>
      <c r="C4404" s="168" t="s">
        <v>13469</v>
      </c>
      <c r="D4404" s="162" t="s">
        <v>13544</v>
      </c>
      <c r="E4404" s="406" t="s">
        <v>13545</v>
      </c>
      <c r="F4404" s="162" t="s">
        <v>13546</v>
      </c>
      <c r="G4404" s="406">
        <v>163703</v>
      </c>
      <c r="H4404" s="162" t="s">
        <v>13584</v>
      </c>
      <c r="K4404" s="406">
        <v>16370308</v>
      </c>
      <c r="L4404" s="162" t="s">
        <v>15758</v>
      </c>
      <c r="M4404" s="162" t="s">
        <v>15759</v>
      </c>
      <c r="O4404" s="224">
        <v>1</v>
      </c>
      <c r="P4404" s="224">
        <v>1</v>
      </c>
      <c r="Q4404" s="224">
        <v>1</v>
      </c>
      <c r="R4404" s="224">
        <v>1</v>
      </c>
      <c r="S4404" s="224">
        <v>1</v>
      </c>
      <c r="T4404" s="223" t="s">
        <v>180</v>
      </c>
      <c r="U4404" t="str">
        <f>VLOOKUP(T4404,[8]Votes!$A$1:$E$234,3,FALSE)</f>
        <v>145 Uganda Prisons</v>
      </c>
      <c r="V4404" s="162" t="s">
        <v>15761</v>
      </c>
      <c r="W4404" s="388">
        <v>1</v>
      </c>
      <c r="X4404" s="388">
        <v>1</v>
      </c>
      <c r="Y4404" s="388">
        <v>0</v>
      </c>
      <c r="Z4404" s="388">
        <v>1</v>
      </c>
      <c r="AA4404" s="388">
        <v>1</v>
      </c>
      <c r="AB4404" s="388">
        <v>0</v>
      </c>
      <c r="AC4404" s="388">
        <v>1</v>
      </c>
      <c r="AD4404" s="388">
        <v>1</v>
      </c>
      <c r="AE4404" s="49">
        <f t="shared" si="158"/>
        <v>0.75</v>
      </c>
      <c r="AF4404" s="360"/>
      <c r="AG4404" s="17">
        <v>0</v>
      </c>
      <c r="AH4404" s="360">
        <v>0.08</v>
      </c>
      <c r="AI4404" s="360">
        <v>0.66</v>
      </c>
      <c r="AJ4404" s="360">
        <v>2.73</v>
      </c>
      <c r="AK4404" s="361">
        <v>0.5</v>
      </c>
      <c r="AL4404" s="361">
        <v>0.5</v>
      </c>
      <c r="AM4404" s="17">
        <f t="shared" si="159"/>
        <v>1</v>
      </c>
      <c r="AN4404" s="224" t="s">
        <v>180</v>
      </c>
      <c r="AO4404" s="162" t="s">
        <v>182</v>
      </c>
    </row>
    <row r="4405" spans="1:42" s="162" customFormat="1" x14ac:dyDescent="0.3">
      <c r="A4405" s="205" t="s">
        <v>8321</v>
      </c>
      <c r="B4405" s="162" t="s">
        <v>8322</v>
      </c>
      <c r="C4405" s="168" t="s">
        <v>13469</v>
      </c>
      <c r="D4405" s="162" t="s">
        <v>13544</v>
      </c>
      <c r="E4405" s="406" t="s">
        <v>13545</v>
      </c>
      <c r="F4405" s="162" t="s">
        <v>13546</v>
      </c>
      <c r="G4405" s="406">
        <v>163703</v>
      </c>
      <c r="H4405" s="162" t="s">
        <v>13584</v>
      </c>
      <c r="K4405" s="406">
        <v>16370308</v>
      </c>
      <c r="L4405" s="162" t="s">
        <v>15758</v>
      </c>
      <c r="M4405" s="162" t="s">
        <v>15759</v>
      </c>
      <c r="O4405" s="224">
        <v>1</v>
      </c>
      <c r="P4405" s="224">
        <v>1</v>
      </c>
      <c r="Q4405" s="224">
        <v>1</v>
      </c>
      <c r="R4405" s="229">
        <v>2500</v>
      </c>
      <c r="S4405" s="229">
        <v>3000</v>
      </c>
      <c r="T4405" s="223" t="s">
        <v>180</v>
      </c>
      <c r="U4405" t="str">
        <f>VLOOKUP(T4405,[8]Votes!$A$1:$E$234,3,FALSE)</f>
        <v>145 Uganda Prisons</v>
      </c>
      <c r="V4405" s="162" t="s">
        <v>15762</v>
      </c>
      <c r="W4405" s="388">
        <v>1</v>
      </c>
      <c r="X4405" s="388">
        <v>1</v>
      </c>
      <c r="Y4405" s="388">
        <v>1</v>
      </c>
      <c r="Z4405" s="388">
        <v>1</v>
      </c>
      <c r="AA4405" s="388">
        <v>1</v>
      </c>
      <c r="AB4405" s="388">
        <v>1</v>
      </c>
      <c r="AC4405" s="388">
        <v>1</v>
      </c>
      <c r="AD4405" s="388">
        <v>1</v>
      </c>
      <c r="AE4405" s="49">
        <f t="shared" si="158"/>
        <v>1</v>
      </c>
      <c r="AF4405" s="360"/>
      <c r="AG4405" s="17">
        <v>0</v>
      </c>
      <c r="AH4405" s="360">
        <v>0.5</v>
      </c>
      <c r="AI4405" s="360">
        <v>0.52</v>
      </c>
      <c r="AJ4405" s="360">
        <v>0.5</v>
      </c>
      <c r="AK4405" s="361">
        <v>0.5</v>
      </c>
      <c r="AL4405" s="361">
        <v>0.52</v>
      </c>
      <c r="AM4405" s="17">
        <f t="shared" si="159"/>
        <v>1.02</v>
      </c>
      <c r="AN4405" s="224" t="s">
        <v>180</v>
      </c>
      <c r="AO4405" s="162" t="s">
        <v>182</v>
      </c>
    </row>
    <row r="4406" spans="1:42" s="162" customFormat="1" x14ac:dyDescent="0.3">
      <c r="A4406" s="205" t="s">
        <v>8321</v>
      </c>
      <c r="B4406" s="162" t="s">
        <v>8322</v>
      </c>
      <c r="C4406" s="168" t="s">
        <v>13469</v>
      </c>
      <c r="D4406" s="162" t="s">
        <v>13544</v>
      </c>
      <c r="E4406" s="406" t="s">
        <v>13545</v>
      </c>
      <c r="F4406" s="162" t="s">
        <v>13546</v>
      </c>
      <c r="G4406" s="406">
        <v>163703</v>
      </c>
      <c r="H4406" s="162" t="s">
        <v>13584</v>
      </c>
      <c r="K4406" s="406">
        <v>16370308</v>
      </c>
      <c r="L4406" s="162" t="s">
        <v>15758</v>
      </c>
      <c r="M4406" s="162" t="s">
        <v>15759</v>
      </c>
      <c r="O4406" s="224">
        <v>1</v>
      </c>
      <c r="P4406" s="224">
        <v>1</v>
      </c>
      <c r="Q4406" s="224">
        <v>1</v>
      </c>
      <c r="R4406" s="224">
        <v>1</v>
      </c>
      <c r="S4406" s="224">
        <v>1</v>
      </c>
      <c r="T4406" s="223" t="s">
        <v>180</v>
      </c>
      <c r="U4406" t="str">
        <f>VLOOKUP(T4406,[8]Votes!$A$1:$E$234,3,FALSE)</f>
        <v>145 Uganda Prisons</v>
      </c>
      <c r="V4406" s="162" t="s">
        <v>15763</v>
      </c>
      <c r="W4406" s="388">
        <v>1</v>
      </c>
      <c r="X4406" s="388">
        <v>1</v>
      </c>
      <c r="Y4406" s="388">
        <v>0</v>
      </c>
      <c r="Z4406" s="388">
        <v>1</v>
      </c>
      <c r="AA4406" s="388">
        <v>1</v>
      </c>
      <c r="AB4406" s="388">
        <v>0</v>
      </c>
      <c r="AC4406" s="388">
        <v>1</v>
      </c>
      <c r="AD4406" s="388">
        <v>1</v>
      </c>
      <c r="AE4406" s="49">
        <f t="shared" si="158"/>
        <v>0.75</v>
      </c>
      <c r="AF4406" s="360"/>
      <c r="AG4406" s="17">
        <v>0</v>
      </c>
      <c r="AH4406" s="360">
        <v>1.2</v>
      </c>
      <c r="AI4406" s="360">
        <v>1.2</v>
      </c>
      <c r="AJ4406" s="360">
        <v>1.2</v>
      </c>
      <c r="AK4406" s="361">
        <v>1.2</v>
      </c>
      <c r="AL4406" s="361">
        <v>1.2</v>
      </c>
      <c r="AM4406" s="17">
        <f t="shared" si="159"/>
        <v>2.4</v>
      </c>
      <c r="AN4406" s="224" t="s">
        <v>180</v>
      </c>
      <c r="AO4406" s="162" t="s">
        <v>182</v>
      </c>
    </row>
    <row r="4407" spans="1:42" s="162" customFormat="1" x14ac:dyDescent="0.3">
      <c r="A4407" s="205" t="s">
        <v>8321</v>
      </c>
      <c r="B4407" s="162" t="s">
        <v>8322</v>
      </c>
      <c r="C4407" s="168" t="s">
        <v>13469</v>
      </c>
      <c r="D4407" s="162" t="s">
        <v>13544</v>
      </c>
      <c r="E4407" s="406" t="s">
        <v>13545</v>
      </c>
      <c r="F4407" s="162" t="s">
        <v>13546</v>
      </c>
      <c r="G4407" s="406">
        <v>163703</v>
      </c>
      <c r="H4407" s="162" t="s">
        <v>13584</v>
      </c>
      <c r="K4407" s="406">
        <v>16370308</v>
      </c>
      <c r="L4407" s="162" t="s">
        <v>15758</v>
      </c>
      <c r="M4407" s="162" t="s">
        <v>15759</v>
      </c>
      <c r="O4407" s="224">
        <v>1</v>
      </c>
      <c r="P4407" s="224">
        <v>1</v>
      </c>
      <c r="Q4407" s="224">
        <v>1</v>
      </c>
      <c r="R4407" s="229">
        <v>25000</v>
      </c>
      <c r="S4407" s="229">
        <v>30000</v>
      </c>
      <c r="T4407" s="223" t="s">
        <v>180</v>
      </c>
      <c r="U4407" t="str">
        <f>VLOOKUP(T4407,[8]Votes!$A$1:$E$234,3,FALSE)</f>
        <v>145 Uganda Prisons</v>
      </c>
      <c r="V4407" s="162" t="s">
        <v>15764</v>
      </c>
      <c r="W4407" s="388">
        <v>1</v>
      </c>
      <c r="X4407" s="388">
        <v>1</v>
      </c>
      <c r="Y4407" s="388">
        <v>1</v>
      </c>
      <c r="Z4407" s="388">
        <v>1</v>
      </c>
      <c r="AA4407" s="388">
        <v>1</v>
      </c>
      <c r="AB4407" s="388">
        <v>1</v>
      </c>
      <c r="AC4407" s="388">
        <v>1</v>
      </c>
      <c r="AD4407" s="388">
        <v>1</v>
      </c>
      <c r="AE4407" s="49">
        <f t="shared" si="158"/>
        <v>1</v>
      </c>
      <c r="AF4407" s="360"/>
      <c r="AG4407" s="17">
        <v>0</v>
      </c>
      <c r="AH4407" s="360">
        <v>8.6300000000000008</v>
      </c>
      <c r="AI4407" s="360">
        <v>9.3800000000000008</v>
      </c>
      <c r="AJ4407" s="360">
        <v>10.199999999999999</v>
      </c>
      <c r="AK4407" s="361">
        <v>0.6</v>
      </c>
      <c r="AL4407" s="361">
        <v>0.6</v>
      </c>
      <c r="AM4407" s="17">
        <f t="shared" si="159"/>
        <v>1.2</v>
      </c>
      <c r="AN4407" s="224" t="s">
        <v>180</v>
      </c>
      <c r="AO4407" s="162" t="s">
        <v>182</v>
      </c>
    </row>
    <row r="4408" spans="1:42" s="162" customFormat="1" x14ac:dyDescent="0.3">
      <c r="A4408" s="205" t="s">
        <v>8321</v>
      </c>
      <c r="B4408" s="162" t="s">
        <v>8322</v>
      </c>
      <c r="C4408" s="168" t="s">
        <v>13469</v>
      </c>
      <c r="D4408" s="162" t="s">
        <v>13544</v>
      </c>
      <c r="E4408" s="406" t="s">
        <v>13545</v>
      </c>
      <c r="F4408" s="162" t="s">
        <v>13546</v>
      </c>
      <c r="G4408" s="406">
        <v>163703</v>
      </c>
      <c r="H4408" s="162" t="s">
        <v>13584</v>
      </c>
      <c r="K4408" s="406">
        <v>16370308</v>
      </c>
      <c r="L4408" s="162" t="s">
        <v>15758</v>
      </c>
      <c r="M4408" s="162" t="s">
        <v>15759</v>
      </c>
      <c r="O4408" s="224">
        <v>1</v>
      </c>
      <c r="P4408" s="224">
        <v>1</v>
      </c>
      <c r="Q4408" s="224">
        <v>1</v>
      </c>
      <c r="R4408" s="224">
        <v>1</v>
      </c>
      <c r="S4408" s="224">
        <v>1</v>
      </c>
      <c r="T4408" s="223" t="s">
        <v>180</v>
      </c>
      <c r="U4408" t="str">
        <f>VLOOKUP(T4408,[8]Votes!$A$1:$E$234,3,FALSE)</f>
        <v>145 Uganda Prisons</v>
      </c>
      <c r="V4408" s="162" t="s">
        <v>15765</v>
      </c>
      <c r="W4408" s="388">
        <v>1</v>
      </c>
      <c r="X4408" s="388">
        <v>1</v>
      </c>
      <c r="Y4408" s="388">
        <v>0</v>
      </c>
      <c r="Z4408" s="388">
        <v>1</v>
      </c>
      <c r="AA4408" s="388">
        <v>1</v>
      </c>
      <c r="AB4408" s="388">
        <v>0</v>
      </c>
      <c r="AC4408" s="388">
        <v>1</v>
      </c>
      <c r="AD4408" s="388">
        <v>1</v>
      </c>
      <c r="AE4408" s="49">
        <f t="shared" si="158"/>
        <v>0.75</v>
      </c>
      <c r="AF4408" s="360"/>
      <c r="AG4408" s="17">
        <v>0</v>
      </c>
      <c r="AH4408" s="360">
        <v>19.059999999999999</v>
      </c>
      <c r="AI4408" s="360">
        <v>72.5</v>
      </c>
      <c r="AJ4408" s="360">
        <v>93.61</v>
      </c>
      <c r="AK4408" s="361">
        <v>0.6</v>
      </c>
      <c r="AL4408" s="361">
        <v>0.6</v>
      </c>
      <c r="AM4408" s="17">
        <f t="shared" si="159"/>
        <v>1.2</v>
      </c>
      <c r="AN4408" s="224" t="s">
        <v>180</v>
      </c>
      <c r="AO4408" s="162" t="s">
        <v>182</v>
      </c>
    </row>
    <row r="4409" spans="1:42" s="162" customFormat="1" x14ac:dyDescent="0.3">
      <c r="A4409" s="205" t="s">
        <v>8321</v>
      </c>
      <c r="B4409" s="162" t="s">
        <v>8322</v>
      </c>
      <c r="C4409" s="168" t="s">
        <v>13469</v>
      </c>
      <c r="D4409" s="162" t="s">
        <v>13544</v>
      </c>
      <c r="E4409" s="406" t="s">
        <v>13545</v>
      </c>
      <c r="F4409" s="162" t="s">
        <v>13546</v>
      </c>
      <c r="G4409" s="406">
        <v>163704</v>
      </c>
      <c r="H4409" s="162" t="s">
        <v>13589</v>
      </c>
      <c r="K4409" s="406">
        <v>16370405</v>
      </c>
      <c r="L4409" s="162" t="s">
        <v>15766</v>
      </c>
      <c r="M4409" s="162" t="s">
        <v>15767</v>
      </c>
      <c r="O4409" s="224">
        <v>0</v>
      </c>
      <c r="P4409" s="224">
        <v>0</v>
      </c>
      <c r="Q4409" s="492">
        <v>0.2</v>
      </c>
      <c r="R4409" s="492">
        <v>0.4</v>
      </c>
      <c r="S4409" s="492">
        <v>0.6</v>
      </c>
      <c r="T4409" s="223" t="s">
        <v>3879</v>
      </c>
      <c r="U4409" t="str">
        <f>VLOOKUP(T4409,[8]Votes!$A$1:$E$234,3,FALSE)</f>
        <v>009 Ministry of Internal Affairs</v>
      </c>
      <c r="V4409" s="162" t="s">
        <v>15768</v>
      </c>
      <c r="W4409" s="388">
        <v>1</v>
      </c>
      <c r="X4409" s="388">
        <v>1</v>
      </c>
      <c r="Y4409" s="388">
        <v>1</v>
      </c>
      <c r="Z4409" s="388">
        <v>1</v>
      </c>
      <c r="AA4409" s="388">
        <v>1</v>
      </c>
      <c r="AB4409" s="388">
        <v>0</v>
      </c>
      <c r="AC4409" s="388">
        <v>1</v>
      </c>
      <c r="AD4409" s="388">
        <v>1</v>
      </c>
      <c r="AE4409" s="49">
        <f t="shared" si="158"/>
        <v>0.875</v>
      </c>
      <c r="AF4409" s="23">
        <v>1</v>
      </c>
      <c r="AG4409" s="17">
        <v>0</v>
      </c>
      <c r="AH4409" s="190">
        <v>0</v>
      </c>
      <c r="AI4409" s="190">
        <v>0</v>
      </c>
      <c r="AJ4409" s="360">
        <v>14</v>
      </c>
      <c r="AK4409" s="361">
        <v>0</v>
      </c>
      <c r="AL4409" s="361">
        <v>0</v>
      </c>
      <c r="AM4409" s="17">
        <f t="shared" si="159"/>
        <v>0</v>
      </c>
      <c r="AN4409" s="162" t="s">
        <v>3879</v>
      </c>
      <c r="AO4409" s="162" t="s">
        <v>3881</v>
      </c>
      <c r="AP4409" s="162" t="s">
        <v>15769</v>
      </c>
    </row>
    <row r="4410" spans="1:42" s="162" customFormat="1" x14ac:dyDescent="0.3">
      <c r="A4410" s="205" t="s">
        <v>8321</v>
      </c>
      <c r="B4410" s="162" t="s">
        <v>8322</v>
      </c>
      <c r="C4410" s="168" t="s">
        <v>13469</v>
      </c>
      <c r="D4410" s="162" t="s">
        <v>13544</v>
      </c>
      <c r="E4410" s="406" t="s">
        <v>13545</v>
      </c>
      <c r="F4410" s="162" t="s">
        <v>13546</v>
      </c>
      <c r="G4410" s="406">
        <v>163702</v>
      </c>
      <c r="H4410" s="162" t="s">
        <v>13557</v>
      </c>
      <c r="K4410" s="406">
        <v>16370209</v>
      </c>
      <c r="L4410" s="162" t="s">
        <v>13563</v>
      </c>
      <c r="M4410" s="162" t="s">
        <v>15770</v>
      </c>
      <c r="N4410" s="517">
        <v>0.34499999999999997</v>
      </c>
      <c r="O4410" s="503">
        <v>0.34499999999999997</v>
      </c>
      <c r="P4410" s="503">
        <v>0.34499999999999997</v>
      </c>
      <c r="Q4410" s="503">
        <v>0.34499999999999997</v>
      </c>
      <c r="R4410" s="492">
        <v>0.5</v>
      </c>
      <c r="S4410" s="492">
        <v>0.5</v>
      </c>
      <c r="T4410" s="223" t="s">
        <v>13776</v>
      </c>
      <c r="U4410" t="str">
        <f>VLOOKUP(T4410,[8]Votes!$A$1:$E$234,3,FALSE)</f>
        <v>305 Directorate of Government Analytical Laboratory</v>
      </c>
      <c r="V4410" s="162" t="s">
        <v>15771</v>
      </c>
      <c r="W4410" s="388">
        <v>1</v>
      </c>
      <c r="X4410" s="388">
        <v>1</v>
      </c>
      <c r="Y4410" s="388">
        <v>1</v>
      </c>
      <c r="Z4410" s="388">
        <v>1</v>
      </c>
      <c r="AA4410" s="388">
        <v>0</v>
      </c>
      <c r="AB4410" s="388">
        <v>1</v>
      </c>
      <c r="AC4410" s="388">
        <v>1</v>
      </c>
      <c r="AD4410" s="388">
        <v>1</v>
      </c>
      <c r="AE4410" s="49">
        <f t="shared" ref="AE4410:AE4473" si="160">SUM(W4410:AD4410)/8</f>
        <v>0.875</v>
      </c>
      <c r="AF4410" s="360">
        <v>1</v>
      </c>
      <c r="AG4410" s="17">
        <v>0</v>
      </c>
      <c r="AH4410" s="360">
        <v>5.2</v>
      </c>
      <c r="AI4410" s="360">
        <v>5.2</v>
      </c>
      <c r="AJ4410" s="360">
        <v>5.2</v>
      </c>
      <c r="AK4410" s="361">
        <v>5.2</v>
      </c>
      <c r="AL4410" s="361">
        <v>5.2</v>
      </c>
      <c r="AM4410" s="17">
        <f t="shared" ref="AM4410:AM4473" si="161">SUM(AK4410:AL4410)</f>
        <v>10.4</v>
      </c>
      <c r="AN4410" s="162" t="s">
        <v>13776</v>
      </c>
      <c r="AO4410" s="162" t="s">
        <v>13778</v>
      </c>
      <c r="AP4410" s="162" t="s">
        <v>271</v>
      </c>
    </row>
    <row r="4411" spans="1:42" s="162" customFormat="1" x14ac:dyDescent="0.3">
      <c r="A4411" s="205" t="s">
        <v>8321</v>
      </c>
      <c r="B4411" s="162" t="s">
        <v>8322</v>
      </c>
      <c r="C4411" s="168" t="s">
        <v>13469</v>
      </c>
      <c r="D4411" s="162" t="s">
        <v>13544</v>
      </c>
      <c r="E4411" s="406" t="s">
        <v>13545</v>
      </c>
      <c r="F4411" s="162" t="s">
        <v>13546</v>
      </c>
      <c r="G4411" s="406">
        <v>163703</v>
      </c>
      <c r="H4411" s="162" t="s">
        <v>13584</v>
      </c>
      <c r="K4411" s="406">
        <v>16370309</v>
      </c>
      <c r="L4411" s="162" t="s">
        <v>13563</v>
      </c>
      <c r="M4411" s="162" t="s">
        <v>15770</v>
      </c>
      <c r="O4411" s="224"/>
      <c r="P4411" s="224">
        <v>60</v>
      </c>
      <c r="Q4411" s="224">
        <v>70</v>
      </c>
      <c r="R4411" s="224">
        <v>75</v>
      </c>
      <c r="S4411" s="224">
        <v>80</v>
      </c>
      <c r="T4411" s="223" t="s">
        <v>3875</v>
      </c>
      <c r="U4411" t="str">
        <f>VLOOKUP(T4411,[8]Votes!$A$1:$E$234,3,FALSE)</f>
        <v>007 Ministry of Justice and Constitutional Affairs</v>
      </c>
      <c r="V4411" s="162" t="s">
        <v>15772</v>
      </c>
      <c r="W4411" s="388">
        <v>0</v>
      </c>
      <c r="X4411" s="388">
        <v>0</v>
      </c>
      <c r="Y4411" s="388">
        <v>0</v>
      </c>
      <c r="Z4411" s="388">
        <v>0</v>
      </c>
      <c r="AA4411" s="388">
        <v>0</v>
      </c>
      <c r="AB4411" s="388">
        <v>0</v>
      </c>
      <c r="AC4411" s="388">
        <v>0</v>
      </c>
      <c r="AD4411" s="388">
        <v>0</v>
      </c>
      <c r="AE4411" s="49">
        <f t="shared" si="160"/>
        <v>0</v>
      </c>
      <c r="AF4411" s="190"/>
      <c r="AG4411" s="17">
        <v>0</v>
      </c>
      <c r="AH4411" s="190">
        <v>0</v>
      </c>
      <c r="AI4411" s="360">
        <v>6.4</v>
      </c>
      <c r="AJ4411" s="360">
        <v>8.35</v>
      </c>
      <c r="AK4411" s="361">
        <v>0</v>
      </c>
      <c r="AL4411" s="361">
        <v>0</v>
      </c>
      <c r="AM4411" s="17">
        <f t="shared" si="161"/>
        <v>0</v>
      </c>
      <c r="AN4411" s="223" t="s">
        <v>3875</v>
      </c>
      <c r="AO4411" s="162" t="s">
        <v>3877</v>
      </c>
    </row>
    <row r="4412" spans="1:42" s="162" customFormat="1" x14ac:dyDescent="0.3">
      <c r="A4412" s="205" t="s">
        <v>8321</v>
      </c>
      <c r="B4412" s="162" t="s">
        <v>8322</v>
      </c>
      <c r="C4412" s="168" t="s">
        <v>13469</v>
      </c>
      <c r="D4412" s="162" t="s">
        <v>13544</v>
      </c>
      <c r="E4412" s="406" t="s">
        <v>13545</v>
      </c>
      <c r="F4412" s="162" t="s">
        <v>13546</v>
      </c>
      <c r="G4412" s="406">
        <v>163702</v>
      </c>
      <c r="H4412" s="162" t="s">
        <v>13557</v>
      </c>
      <c r="K4412" s="406">
        <v>16370210</v>
      </c>
      <c r="L4412" s="162" t="s">
        <v>15773</v>
      </c>
      <c r="M4412" s="162" t="s">
        <v>15774</v>
      </c>
      <c r="N4412" s="462">
        <v>0.75</v>
      </c>
      <c r="O4412" s="492">
        <v>0.9</v>
      </c>
      <c r="P4412" s="492">
        <v>0.9</v>
      </c>
      <c r="Q4412" s="492">
        <v>0.9</v>
      </c>
      <c r="R4412" s="492">
        <v>0.9</v>
      </c>
      <c r="S4412" s="224">
        <v>100</v>
      </c>
      <c r="T4412" s="223" t="s">
        <v>13776</v>
      </c>
      <c r="U4412" t="str">
        <f>VLOOKUP(T4412,[8]Votes!$A$1:$E$234,3,FALSE)</f>
        <v>305 Directorate of Government Analytical Laboratory</v>
      </c>
      <c r="V4412" s="162" t="s">
        <v>15775</v>
      </c>
      <c r="W4412" s="388">
        <v>1</v>
      </c>
      <c r="X4412" s="388">
        <v>1</v>
      </c>
      <c r="Y4412" s="388">
        <v>1</v>
      </c>
      <c r="Z4412" s="388">
        <v>1</v>
      </c>
      <c r="AA4412" s="388">
        <v>1</v>
      </c>
      <c r="AB4412" s="388">
        <v>1</v>
      </c>
      <c r="AC4412" s="388">
        <v>1</v>
      </c>
      <c r="AD4412" s="388">
        <v>1</v>
      </c>
      <c r="AE4412" s="49">
        <f t="shared" si="160"/>
        <v>1</v>
      </c>
      <c r="AF4412" s="360">
        <v>1</v>
      </c>
      <c r="AG4412" s="17">
        <v>0</v>
      </c>
      <c r="AH4412" s="360">
        <v>1.8</v>
      </c>
      <c r="AI4412" s="360">
        <v>1.8</v>
      </c>
      <c r="AJ4412" s="360">
        <v>1.8</v>
      </c>
      <c r="AK4412" s="361">
        <v>1.8</v>
      </c>
      <c r="AL4412" s="361">
        <v>1.8</v>
      </c>
      <c r="AM4412" s="17">
        <f t="shared" si="161"/>
        <v>3.6</v>
      </c>
      <c r="AN4412" s="162" t="s">
        <v>13776</v>
      </c>
      <c r="AO4412" s="162" t="s">
        <v>13778</v>
      </c>
      <c r="AP4412" s="162" t="s">
        <v>271</v>
      </c>
    </row>
    <row r="4413" spans="1:42" s="162" customFormat="1" x14ac:dyDescent="0.3">
      <c r="A4413" s="205" t="s">
        <v>8321</v>
      </c>
      <c r="B4413" s="162" t="s">
        <v>8322</v>
      </c>
      <c r="C4413" s="168" t="s">
        <v>13469</v>
      </c>
      <c r="D4413" s="162" t="s">
        <v>13544</v>
      </c>
      <c r="E4413" s="406" t="s">
        <v>13545</v>
      </c>
      <c r="F4413" s="162" t="s">
        <v>13546</v>
      </c>
      <c r="G4413" s="406">
        <v>163702</v>
      </c>
      <c r="H4413" s="162" t="s">
        <v>13557</v>
      </c>
      <c r="K4413" s="406">
        <v>16370210</v>
      </c>
      <c r="L4413" s="162" t="s">
        <v>15773</v>
      </c>
      <c r="M4413" s="162" t="s">
        <v>15776</v>
      </c>
      <c r="N4413" s="162">
        <v>3</v>
      </c>
      <c r="O4413" s="224">
        <v>4</v>
      </c>
      <c r="P4413" s="224">
        <v>4</v>
      </c>
      <c r="Q4413" s="224">
        <v>4</v>
      </c>
      <c r="R4413" s="224">
        <v>4</v>
      </c>
      <c r="S4413" s="224">
        <v>4</v>
      </c>
      <c r="T4413" s="223" t="s">
        <v>13776</v>
      </c>
      <c r="U4413" t="str">
        <f>VLOOKUP(T4413,[8]Votes!$A$1:$E$234,3,FALSE)</f>
        <v>305 Directorate of Government Analytical Laboratory</v>
      </c>
      <c r="V4413" s="162" t="s">
        <v>15777</v>
      </c>
      <c r="W4413" s="388">
        <v>1</v>
      </c>
      <c r="X4413" s="388">
        <v>1</v>
      </c>
      <c r="Y4413" s="388">
        <v>1</v>
      </c>
      <c r="Z4413" s="388">
        <v>1</v>
      </c>
      <c r="AA4413" s="388">
        <v>1</v>
      </c>
      <c r="AB4413" s="388">
        <v>1</v>
      </c>
      <c r="AC4413" s="388">
        <v>1</v>
      </c>
      <c r="AD4413" s="388">
        <v>1</v>
      </c>
      <c r="AE4413" s="49">
        <f t="shared" si="160"/>
        <v>1</v>
      </c>
      <c r="AF4413" s="360">
        <v>1</v>
      </c>
      <c r="AG4413" s="17">
        <v>0</v>
      </c>
      <c r="AH4413" s="360">
        <v>3.97</v>
      </c>
      <c r="AI4413" s="360">
        <v>4.0999999999999996</v>
      </c>
      <c r="AJ4413" s="360">
        <v>4.0999999999999996</v>
      </c>
      <c r="AK4413" s="361">
        <v>4.8</v>
      </c>
      <c r="AL4413" s="361">
        <v>5.6</v>
      </c>
      <c r="AM4413" s="17">
        <f t="shared" si="161"/>
        <v>10.399999999999999</v>
      </c>
      <c r="AN4413" s="162" t="s">
        <v>13776</v>
      </c>
      <c r="AO4413" s="162" t="s">
        <v>13778</v>
      </c>
      <c r="AP4413" s="162" t="s">
        <v>271</v>
      </c>
    </row>
    <row r="4414" spans="1:42" s="162" customFormat="1" x14ac:dyDescent="0.3">
      <c r="A4414" s="205" t="s">
        <v>8321</v>
      </c>
      <c r="B4414" s="162" t="s">
        <v>8322</v>
      </c>
      <c r="C4414" s="168" t="s">
        <v>13469</v>
      </c>
      <c r="D4414" s="162" t="s">
        <v>13544</v>
      </c>
      <c r="E4414" s="406" t="s">
        <v>13545</v>
      </c>
      <c r="F4414" s="162" t="s">
        <v>13546</v>
      </c>
      <c r="G4414" s="406">
        <v>163702</v>
      </c>
      <c r="H4414" s="162" t="s">
        <v>15778</v>
      </c>
      <c r="K4414" s="406">
        <v>16370210</v>
      </c>
      <c r="L4414" s="162" t="s">
        <v>15773</v>
      </c>
      <c r="M4414" s="162" t="s">
        <v>15779</v>
      </c>
      <c r="N4414" s="162">
        <v>9</v>
      </c>
      <c r="O4414" s="224">
        <v>12</v>
      </c>
      <c r="P4414" s="224">
        <v>12</v>
      </c>
      <c r="Q4414" s="224">
        <v>12</v>
      </c>
      <c r="R4414" s="224">
        <v>15</v>
      </c>
      <c r="S4414" s="224">
        <v>19</v>
      </c>
      <c r="T4414" s="223" t="s">
        <v>13776</v>
      </c>
      <c r="U4414" t="str">
        <f>VLOOKUP(T4414,[8]Votes!$A$1:$E$234,3,FALSE)</f>
        <v>305 Directorate of Government Analytical Laboratory</v>
      </c>
      <c r="V4414" s="162" t="s">
        <v>15780</v>
      </c>
      <c r="W4414" s="388">
        <v>1</v>
      </c>
      <c r="X4414" s="388">
        <v>1</v>
      </c>
      <c r="Y4414" s="388">
        <v>1</v>
      </c>
      <c r="Z4414" s="388">
        <v>1</v>
      </c>
      <c r="AA4414" s="388">
        <v>1</v>
      </c>
      <c r="AB4414" s="388">
        <v>1</v>
      </c>
      <c r="AC4414" s="388">
        <v>1</v>
      </c>
      <c r="AD4414" s="388">
        <v>1</v>
      </c>
      <c r="AE4414" s="49">
        <f t="shared" si="160"/>
        <v>1</v>
      </c>
      <c r="AF4414" s="360"/>
      <c r="AG4414" s="17">
        <v>0</v>
      </c>
      <c r="AH4414" s="360">
        <v>0.71099999999999997</v>
      </c>
      <c r="AI4414" s="360">
        <v>0.71099999999999997</v>
      </c>
      <c r="AJ4414" s="360">
        <v>0.71099999999999997</v>
      </c>
      <c r="AK4414" s="361">
        <v>0.9</v>
      </c>
      <c r="AL4414" s="361">
        <v>1.2</v>
      </c>
      <c r="AM4414" s="17">
        <f t="shared" si="161"/>
        <v>2.1</v>
      </c>
      <c r="AN4414" s="162" t="s">
        <v>13776</v>
      </c>
      <c r="AO4414" s="162" t="s">
        <v>13778</v>
      </c>
      <c r="AP4414" s="162" t="s">
        <v>271</v>
      </c>
    </row>
    <row r="4415" spans="1:42" s="162" customFormat="1" x14ac:dyDescent="0.3">
      <c r="A4415" s="205" t="s">
        <v>8321</v>
      </c>
      <c r="B4415" s="162" t="s">
        <v>8322</v>
      </c>
      <c r="C4415" s="168" t="s">
        <v>13469</v>
      </c>
      <c r="D4415" s="162" t="s">
        <v>13544</v>
      </c>
      <c r="E4415" s="406" t="s">
        <v>13545</v>
      </c>
      <c r="F4415" s="162" t="s">
        <v>13546</v>
      </c>
      <c r="G4415" s="406">
        <v>163702</v>
      </c>
      <c r="H4415" s="162" t="s">
        <v>13557</v>
      </c>
      <c r="K4415" s="406">
        <v>16370210</v>
      </c>
      <c r="L4415" s="162" t="s">
        <v>15773</v>
      </c>
      <c r="M4415" s="162" t="s">
        <v>15781</v>
      </c>
      <c r="N4415" s="162">
        <v>1</v>
      </c>
      <c r="O4415" s="224">
        <v>1</v>
      </c>
      <c r="P4415" s="224">
        <v>1</v>
      </c>
      <c r="Q4415" s="224">
        <v>1</v>
      </c>
      <c r="R4415" s="224">
        <v>1</v>
      </c>
      <c r="S4415" s="224">
        <v>1</v>
      </c>
      <c r="T4415" s="223" t="s">
        <v>13776</v>
      </c>
      <c r="U4415" t="str">
        <f>VLOOKUP(T4415,[8]Votes!$A$1:$E$234,3,FALSE)</f>
        <v>305 Directorate of Government Analytical Laboratory</v>
      </c>
      <c r="V4415" s="162" t="s">
        <v>15782</v>
      </c>
      <c r="W4415" s="388">
        <v>1</v>
      </c>
      <c r="X4415" s="388">
        <v>1</v>
      </c>
      <c r="Y4415" s="388">
        <v>1</v>
      </c>
      <c r="Z4415" s="388">
        <v>1</v>
      </c>
      <c r="AA4415" s="388">
        <v>1</v>
      </c>
      <c r="AB4415" s="388">
        <v>1</v>
      </c>
      <c r="AC4415" s="388">
        <v>1</v>
      </c>
      <c r="AD4415" s="388">
        <v>1</v>
      </c>
      <c r="AE4415" s="49">
        <f t="shared" si="160"/>
        <v>1</v>
      </c>
      <c r="AF4415" s="360">
        <v>1</v>
      </c>
      <c r="AG4415" s="17">
        <v>0</v>
      </c>
      <c r="AH4415" s="360">
        <v>5.3</v>
      </c>
      <c r="AI4415" s="360">
        <v>5.5</v>
      </c>
      <c r="AJ4415" s="360">
        <v>5.5</v>
      </c>
      <c r="AK4415" s="361">
        <v>5.8</v>
      </c>
      <c r="AL4415" s="361">
        <v>6.2</v>
      </c>
      <c r="AM4415" s="17">
        <f t="shared" si="161"/>
        <v>12</v>
      </c>
      <c r="AN4415" s="162" t="s">
        <v>13776</v>
      </c>
      <c r="AO4415" s="162" t="s">
        <v>13778</v>
      </c>
      <c r="AP4415" s="162" t="s">
        <v>271</v>
      </c>
    </row>
    <row r="4416" spans="1:42" s="162" customFormat="1" x14ac:dyDescent="0.3">
      <c r="A4416" s="205" t="s">
        <v>8321</v>
      </c>
      <c r="B4416" s="162" t="s">
        <v>8322</v>
      </c>
      <c r="C4416" s="168" t="s">
        <v>13469</v>
      </c>
      <c r="D4416" s="162" t="s">
        <v>13544</v>
      </c>
      <c r="E4416" s="406" t="s">
        <v>13545</v>
      </c>
      <c r="F4416" s="162" t="s">
        <v>13546</v>
      </c>
      <c r="G4416" s="406">
        <v>163702</v>
      </c>
      <c r="H4416" s="162" t="s">
        <v>13557</v>
      </c>
      <c r="K4416" s="406">
        <v>16370210</v>
      </c>
      <c r="L4416" s="162" t="s">
        <v>15773</v>
      </c>
      <c r="M4416" s="162" t="s">
        <v>15783</v>
      </c>
      <c r="N4416" s="162">
        <v>150</v>
      </c>
      <c r="O4416" s="224">
        <v>200</v>
      </c>
      <c r="P4416" s="224">
        <v>0</v>
      </c>
      <c r="Q4416" s="224">
        <v>200</v>
      </c>
      <c r="R4416" s="224">
        <v>200</v>
      </c>
      <c r="S4416" s="224">
        <v>400</v>
      </c>
      <c r="T4416" s="223" t="s">
        <v>13776</v>
      </c>
      <c r="U4416" t="str">
        <f>VLOOKUP(T4416,[8]Votes!$A$1:$E$234,3,FALSE)</f>
        <v>305 Directorate of Government Analytical Laboratory</v>
      </c>
      <c r="V4416" s="162" t="s">
        <v>15784</v>
      </c>
      <c r="W4416" s="388">
        <v>1</v>
      </c>
      <c r="X4416" s="388">
        <v>1</v>
      </c>
      <c r="Y4416" s="388">
        <v>1</v>
      </c>
      <c r="Z4416" s="388">
        <v>1</v>
      </c>
      <c r="AA4416" s="388">
        <v>0</v>
      </c>
      <c r="AB4416" s="388">
        <v>0</v>
      </c>
      <c r="AC4416" s="388">
        <v>1</v>
      </c>
      <c r="AD4416" s="388">
        <v>1</v>
      </c>
      <c r="AE4416" s="49">
        <f t="shared" si="160"/>
        <v>0.75</v>
      </c>
      <c r="AF4416" s="360">
        <v>1</v>
      </c>
      <c r="AG4416" s="17">
        <v>0</v>
      </c>
      <c r="AH4416" s="360">
        <v>6.7000000000000004E-2</v>
      </c>
      <c r="AI4416" s="190">
        <v>0</v>
      </c>
      <c r="AJ4416" s="360">
        <v>0.08</v>
      </c>
      <c r="AK4416" s="361">
        <v>0.08</v>
      </c>
      <c r="AL4416" s="361">
        <v>0.15</v>
      </c>
      <c r="AM4416" s="17">
        <f t="shared" si="161"/>
        <v>0.22999999999999998</v>
      </c>
      <c r="AN4416" s="162" t="s">
        <v>13776</v>
      </c>
      <c r="AO4416" s="162" t="s">
        <v>13778</v>
      </c>
      <c r="AP4416" s="162" t="s">
        <v>271</v>
      </c>
    </row>
    <row r="4417" spans="1:42" s="162" customFormat="1" x14ac:dyDescent="0.3">
      <c r="A4417" s="205" t="s">
        <v>8321</v>
      </c>
      <c r="B4417" s="162" t="s">
        <v>8322</v>
      </c>
      <c r="C4417" s="168" t="s">
        <v>13469</v>
      </c>
      <c r="D4417" s="162" t="s">
        <v>13544</v>
      </c>
      <c r="E4417" s="406" t="s">
        <v>13545</v>
      </c>
      <c r="F4417" s="162" t="s">
        <v>13546</v>
      </c>
      <c r="G4417" s="406">
        <v>163702</v>
      </c>
      <c r="H4417" s="162" t="s">
        <v>13557</v>
      </c>
      <c r="K4417" s="406">
        <v>16370210</v>
      </c>
      <c r="L4417" s="162" t="s">
        <v>15773</v>
      </c>
      <c r="M4417" s="162" t="s">
        <v>15785</v>
      </c>
      <c r="N4417" s="162">
        <v>0</v>
      </c>
      <c r="O4417" s="224">
        <v>0</v>
      </c>
      <c r="P4417" s="224">
        <v>1</v>
      </c>
      <c r="Q4417" s="224">
        <v>1</v>
      </c>
      <c r="R4417" s="224">
        <v>1</v>
      </c>
      <c r="S4417" s="224">
        <v>1</v>
      </c>
      <c r="T4417" s="223" t="s">
        <v>13776</v>
      </c>
      <c r="U4417" t="str">
        <f>VLOOKUP(T4417,[8]Votes!$A$1:$E$234,3,FALSE)</f>
        <v>305 Directorate of Government Analytical Laboratory</v>
      </c>
      <c r="V4417" s="162" t="s">
        <v>15786</v>
      </c>
      <c r="W4417" s="388">
        <v>1</v>
      </c>
      <c r="X4417" s="388">
        <v>1</v>
      </c>
      <c r="Y4417" s="388">
        <v>1</v>
      </c>
      <c r="Z4417" s="388">
        <v>1</v>
      </c>
      <c r="AA4417" s="388">
        <v>1</v>
      </c>
      <c r="AB4417" s="388">
        <v>1</v>
      </c>
      <c r="AC4417" s="388">
        <v>1</v>
      </c>
      <c r="AD4417" s="388">
        <v>1</v>
      </c>
      <c r="AE4417" s="49">
        <f t="shared" si="160"/>
        <v>1</v>
      </c>
      <c r="AF4417" s="360">
        <v>1</v>
      </c>
      <c r="AG4417" s="17">
        <v>0</v>
      </c>
      <c r="AH4417" s="360">
        <v>7.0000000000000007E-2</v>
      </c>
      <c r="AI4417" s="360">
        <v>0.2</v>
      </c>
      <c r="AJ4417" s="360">
        <v>0.2</v>
      </c>
      <c r="AK4417" s="361">
        <v>0.6</v>
      </c>
      <c r="AL4417" s="361">
        <v>1</v>
      </c>
      <c r="AM4417" s="17">
        <f t="shared" si="161"/>
        <v>1.6</v>
      </c>
      <c r="AN4417" s="162" t="s">
        <v>13776</v>
      </c>
      <c r="AO4417" s="162" t="s">
        <v>13778</v>
      </c>
      <c r="AP4417" s="162" t="s">
        <v>271</v>
      </c>
    </row>
    <row r="4418" spans="1:42" s="162" customFormat="1" x14ac:dyDescent="0.3">
      <c r="A4418" s="205" t="s">
        <v>8321</v>
      </c>
      <c r="B4418" s="162" t="s">
        <v>8322</v>
      </c>
      <c r="C4418" s="168" t="s">
        <v>13469</v>
      </c>
      <c r="D4418" s="162" t="s">
        <v>13544</v>
      </c>
      <c r="E4418" s="406" t="s">
        <v>13545</v>
      </c>
      <c r="F4418" s="162" t="s">
        <v>13546</v>
      </c>
      <c r="G4418" s="406">
        <v>163702</v>
      </c>
      <c r="H4418" s="162" t="s">
        <v>13557</v>
      </c>
      <c r="K4418" s="406">
        <v>16370210</v>
      </c>
      <c r="L4418" s="162" t="s">
        <v>15773</v>
      </c>
      <c r="M4418" s="162" t="s">
        <v>15787</v>
      </c>
      <c r="N4418" s="162">
        <v>0</v>
      </c>
      <c r="O4418" s="224">
        <v>0</v>
      </c>
      <c r="P4418" s="224">
        <v>1</v>
      </c>
      <c r="Q4418" s="224">
        <v>1</v>
      </c>
      <c r="R4418" s="224">
        <v>1</v>
      </c>
      <c r="S4418" s="224">
        <v>1</v>
      </c>
      <c r="T4418" s="223" t="s">
        <v>13776</v>
      </c>
      <c r="U4418" t="str">
        <f>VLOOKUP(T4418,[8]Votes!$A$1:$E$234,3,FALSE)</f>
        <v>305 Directorate of Government Analytical Laboratory</v>
      </c>
      <c r="V4418" s="162" t="s">
        <v>15788</v>
      </c>
      <c r="W4418" s="388">
        <v>0</v>
      </c>
      <c r="X4418" s="388">
        <v>0</v>
      </c>
      <c r="Y4418" s="388">
        <v>1</v>
      </c>
      <c r="Z4418" s="388">
        <v>1</v>
      </c>
      <c r="AA4418" s="388">
        <v>0</v>
      </c>
      <c r="AB4418" s="388">
        <v>0</v>
      </c>
      <c r="AC4418" s="388">
        <v>1</v>
      </c>
      <c r="AD4418" s="388">
        <v>1</v>
      </c>
      <c r="AE4418" s="49">
        <f t="shared" si="160"/>
        <v>0.5</v>
      </c>
      <c r="AF4418" s="360"/>
      <c r="AG4418" s="17">
        <v>0</v>
      </c>
      <c r="AH4418" s="190">
        <v>0</v>
      </c>
      <c r="AI4418" s="360">
        <v>2</v>
      </c>
      <c r="AJ4418" s="360">
        <v>0.5</v>
      </c>
      <c r="AK4418" s="361">
        <v>0</v>
      </c>
      <c r="AL4418" s="361">
        <v>0</v>
      </c>
      <c r="AM4418" s="17">
        <f t="shared" si="161"/>
        <v>0</v>
      </c>
      <c r="AN4418" s="162" t="s">
        <v>13776</v>
      </c>
      <c r="AO4418" s="162" t="s">
        <v>13778</v>
      </c>
      <c r="AP4418" s="162" t="s">
        <v>271</v>
      </c>
    </row>
    <row r="4419" spans="1:42" s="162" customFormat="1" x14ac:dyDescent="0.3">
      <c r="A4419" s="205" t="s">
        <v>8321</v>
      </c>
      <c r="B4419" s="162" t="s">
        <v>8322</v>
      </c>
      <c r="C4419" s="168" t="s">
        <v>13469</v>
      </c>
      <c r="D4419" s="162" t="s">
        <v>13544</v>
      </c>
      <c r="E4419" s="406" t="s">
        <v>13545</v>
      </c>
      <c r="F4419" s="162" t="s">
        <v>13546</v>
      </c>
      <c r="G4419" s="406">
        <v>163702</v>
      </c>
      <c r="H4419" s="162" t="s">
        <v>13557</v>
      </c>
      <c r="K4419" s="406">
        <v>16370210</v>
      </c>
      <c r="L4419" s="162" t="s">
        <v>15773</v>
      </c>
      <c r="M4419" s="162" t="s">
        <v>15789</v>
      </c>
      <c r="N4419" s="162">
        <v>0</v>
      </c>
      <c r="O4419" s="492">
        <v>0</v>
      </c>
      <c r="P4419" s="492">
        <v>0.1</v>
      </c>
      <c r="Q4419" s="492">
        <v>0.2</v>
      </c>
      <c r="R4419" s="492">
        <v>0.3</v>
      </c>
      <c r="S4419" s="492">
        <v>0.5</v>
      </c>
      <c r="T4419" s="223" t="s">
        <v>13776</v>
      </c>
      <c r="U4419" t="str">
        <f>VLOOKUP(T4419,[8]Votes!$A$1:$E$234,3,FALSE)</f>
        <v>305 Directorate of Government Analytical Laboratory</v>
      </c>
      <c r="V4419" s="162" t="s">
        <v>15790</v>
      </c>
      <c r="W4419" s="388">
        <v>1</v>
      </c>
      <c r="X4419" s="501">
        <v>1</v>
      </c>
      <c r="Y4419" s="388">
        <v>1</v>
      </c>
      <c r="Z4419" s="388">
        <v>1</v>
      </c>
      <c r="AA4419" s="388">
        <v>0</v>
      </c>
      <c r="AB4419" s="388">
        <v>0</v>
      </c>
      <c r="AC4419" s="501">
        <v>1</v>
      </c>
      <c r="AD4419" s="501">
        <v>1</v>
      </c>
      <c r="AE4419" s="49">
        <f t="shared" si="160"/>
        <v>0.75</v>
      </c>
      <c r="AF4419" s="360"/>
      <c r="AG4419" s="17">
        <v>0</v>
      </c>
      <c r="AH4419" s="360">
        <v>8.6</v>
      </c>
      <c r="AI4419" s="360">
        <v>8.6</v>
      </c>
      <c r="AJ4419" s="360">
        <v>5.6</v>
      </c>
      <c r="AK4419" s="361">
        <v>0</v>
      </c>
      <c r="AL4419" s="361">
        <v>0</v>
      </c>
      <c r="AM4419" s="17">
        <f t="shared" si="161"/>
        <v>0</v>
      </c>
      <c r="AN4419" s="162" t="s">
        <v>13776</v>
      </c>
      <c r="AO4419" s="162" t="s">
        <v>13778</v>
      </c>
      <c r="AP4419" s="162" t="s">
        <v>271</v>
      </c>
    </row>
    <row r="4420" spans="1:42" s="162" customFormat="1" x14ac:dyDescent="0.3">
      <c r="A4420" s="205" t="s">
        <v>8321</v>
      </c>
      <c r="B4420" s="162" t="s">
        <v>8322</v>
      </c>
      <c r="C4420" s="168" t="s">
        <v>13469</v>
      </c>
      <c r="D4420" s="162" t="s">
        <v>13544</v>
      </c>
      <c r="E4420" s="406" t="s">
        <v>13545</v>
      </c>
      <c r="F4420" s="162" t="s">
        <v>13546</v>
      </c>
      <c r="G4420" s="406">
        <v>163702</v>
      </c>
      <c r="H4420" s="162" t="s">
        <v>13557</v>
      </c>
      <c r="K4420" s="406">
        <v>16370210</v>
      </c>
      <c r="L4420" s="162" t="s">
        <v>15773</v>
      </c>
      <c r="M4420" s="162" t="s">
        <v>15791</v>
      </c>
      <c r="N4420" s="162">
        <v>0</v>
      </c>
      <c r="O4420" s="224">
        <v>0</v>
      </c>
      <c r="P4420" s="224">
        <v>0</v>
      </c>
      <c r="Q4420" s="224">
        <v>0</v>
      </c>
      <c r="R4420" s="224">
        <v>10</v>
      </c>
      <c r="S4420" s="224">
        <v>10</v>
      </c>
      <c r="T4420" s="223" t="s">
        <v>13776</v>
      </c>
      <c r="U4420" t="str">
        <f>VLOOKUP(T4420,[8]Votes!$A$1:$E$234,3,FALSE)</f>
        <v>305 Directorate of Government Analytical Laboratory</v>
      </c>
      <c r="V4420" s="162" t="s">
        <v>15792</v>
      </c>
      <c r="W4420" s="388">
        <v>1</v>
      </c>
      <c r="X4420" s="501">
        <v>1</v>
      </c>
      <c r="Y4420" s="388">
        <v>1</v>
      </c>
      <c r="Z4420" s="388">
        <v>0</v>
      </c>
      <c r="AA4420" s="388">
        <v>0</v>
      </c>
      <c r="AB4420" s="388">
        <v>0</v>
      </c>
      <c r="AC4420" s="501">
        <v>1</v>
      </c>
      <c r="AD4420" s="501">
        <v>1</v>
      </c>
      <c r="AE4420" s="49">
        <f t="shared" si="160"/>
        <v>0.625</v>
      </c>
      <c r="AF4420" s="360"/>
      <c r="AG4420" s="17">
        <v>0</v>
      </c>
      <c r="AH4420" s="190">
        <v>0</v>
      </c>
      <c r="AI4420" s="190">
        <v>0</v>
      </c>
      <c r="AJ4420" s="190">
        <v>0</v>
      </c>
      <c r="AK4420" s="361">
        <v>0</v>
      </c>
      <c r="AL4420" s="361">
        <v>0</v>
      </c>
      <c r="AM4420" s="17">
        <f t="shared" si="161"/>
        <v>0</v>
      </c>
      <c r="AN4420" s="162" t="s">
        <v>13776</v>
      </c>
      <c r="AO4420" s="162" t="s">
        <v>13778</v>
      </c>
      <c r="AP4420" s="162" t="s">
        <v>271</v>
      </c>
    </row>
    <row r="4421" spans="1:42" s="162" customFormat="1" x14ac:dyDescent="0.3">
      <c r="A4421" s="205" t="s">
        <v>8321</v>
      </c>
      <c r="B4421" s="162" t="s">
        <v>8322</v>
      </c>
      <c r="C4421" s="168" t="s">
        <v>13469</v>
      </c>
      <c r="D4421" s="162" t="s">
        <v>13544</v>
      </c>
      <c r="E4421" s="406" t="s">
        <v>13545</v>
      </c>
      <c r="F4421" s="162" t="s">
        <v>13546</v>
      </c>
      <c r="G4421" s="406">
        <v>163702</v>
      </c>
      <c r="H4421" s="162" t="s">
        <v>13557</v>
      </c>
      <c r="K4421" s="406">
        <v>16370210</v>
      </c>
      <c r="L4421" s="162" t="s">
        <v>15773</v>
      </c>
      <c r="M4421" s="162" t="s">
        <v>15793</v>
      </c>
      <c r="N4421" s="162">
        <v>0</v>
      </c>
      <c r="O4421" s="224">
        <v>0</v>
      </c>
      <c r="P4421" s="224">
        <v>1</v>
      </c>
      <c r="Q4421" s="224">
        <v>1</v>
      </c>
      <c r="R4421" s="224">
        <v>2</v>
      </c>
      <c r="S4421" s="224">
        <v>2</v>
      </c>
      <c r="T4421" s="223" t="s">
        <v>13776</v>
      </c>
      <c r="U4421" t="str">
        <f>VLOOKUP(T4421,[8]Votes!$A$1:$E$234,3,FALSE)</f>
        <v>305 Directorate of Government Analytical Laboratory</v>
      </c>
      <c r="V4421" s="162" t="s">
        <v>15794</v>
      </c>
      <c r="W4421" s="388">
        <v>1</v>
      </c>
      <c r="X4421" s="501">
        <v>1</v>
      </c>
      <c r="Y4421" s="388">
        <v>1</v>
      </c>
      <c r="Z4421" s="388">
        <v>1</v>
      </c>
      <c r="AA4421" s="388">
        <v>1</v>
      </c>
      <c r="AB4421" s="388">
        <v>1</v>
      </c>
      <c r="AC4421" s="501">
        <v>1</v>
      </c>
      <c r="AD4421" s="501">
        <v>1</v>
      </c>
      <c r="AE4421" s="49">
        <f t="shared" si="160"/>
        <v>1</v>
      </c>
      <c r="AF4421" s="360">
        <v>1</v>
      </c>
      <c r="AG4421" s="17">
        <v>0</v>
      </c>
      <c r="AH4421" s="190">
        <v>0</v>
      </c>
      <c r="AI4421" s="360">
        <v>1.3</v>
      </c>
      <c r="AJ4421" s="360">
        <v>1.3</v>
      </c>
      <c r="AK4421" s="361">
        <v>2.6</v>
      </c>
      <c r="AL4421" s="361">
        <v>2.6</v>
      </c>
      <c r="AM4421" s="17">
        <f t="shared" si="161"/>
        <v>5.2</v>
      </c>
      <c r="AN4421" s="162" t="s">
        <v>13776</v>
      </c>
      <c r="AO4421" s="162" t="s">
        <v>13778</v>
      </c>
      <c r="AP4421" s="162" t="s">
        <v>271</v>
      </c>
    </row>
    <row r="4422" spans="1:42" s="162" customFormat="1" x14ac:dyDescent="0.3">
      <c r="A4422" s="205" t="s">
        <v>8321</v>
      </c>
      <c r="B4422" s="162" t="s">
        <v>8322</v>
      </c>
      <c r="C4422" s="168" t="s">
        <v>13469</v>
      </c>
      <c r="D4422" s="162" t="s">
        <v>13544</v>
      </c>
      <c r="E4422" s="406" t="s">
        <v>13545</v>
      </c>
      <c r="F4422" s="162" t="s">
        <v>13546</v>
      </c>
      <c r="G4422" s="406">
        <v>163702</v>
      </c>
      <c r="H4422" s="162" t="s">
        <v>13557</v>
      </c>
      <c r="K4422" s="406">
        <v>16370210</v>
      </c>
      <c r="L4422" s="162" t="s">
        <v>15773</v>
      </c>
      <c r="M4422" s="162" t="s">
        <v>13597</v>
      </c>
      <c r="N4422" s="162">
        <v>0</v>
      </c>
      <c r="O4422" s="224">
        <v>0</v>
      </c>
      <c r="P4422" s="224">
        <v>1</v>
      </c>
      <c r="Q4422" s="224">
        <v>1</v>
      </c>
      <c r="R4422" s="224">
        <v>1</v>
      </c>
      <c r="S4422" s="224">
        <v>1</v>
      </c>
      <c r="T4422" s="223" t="s">
        <v>13776</v>
      </c>
      <c r="U4422" t="str">
        <f>VLOOKUP(T4422,[8]Votes!$A$1:$E$234,3,FALSE)</f>
        <v>305 Directorate of Government Analytical Laboratory</v>
      </c>
      <c r="V4422" s="162" t="s">
        <v>15795</v>
      </c>
      <c r="W4422" s="388">
        <v>0</v>
      </c>
      <c r="X4422" s="501">
        <v>1</v>
      </c>
      <c r="Y4422" s="388">
        <v>1</v>
      </c>
      <c r="Z4422" s="388">
        <v>1</v>
      </c>
      <c r="AA4422" s="388">
        <v>1</v>
      </c>
      <c r="AB4422" s="388">
        <v>0</v>
      </c>
      <c r="AC4422" s="501">
        <v>1</v>
      </c>
      <c r="AD4422" s="501">
        <v>1</v>
      </c>
      <c r="AE4422" s="49">
        <f t="shared" si="160"/>
        <v>0.75</v>
      </c>
      <c r="AF4422" s="360"/>
      <c r="AG4422" s="17">
        <v>0</v>
      </c>
      <c r="AH4422" s="190">
        <v>0</v>
      </c>
      <c r="AI4422" s="190">
        <v>0</v>
      </c>
      <c r="AJ4422" s="360">
        <v>0.3</v>
      </c>
      <c r="AK4422" s="361">
        <v>0.5</v>
      </c>
      <c r="AL4422" s="361">
        <v>0.7</v>
      </c>
      <c r="AM4422" s="17">
        <f t="shared" si="161"/>
        <v>1.2</v>
      </c>
      <c r="AN4422" s="162" t="s">
        <v>13776</v>
      </c>
      <c r="AO4422" s="162" t="s">
        <v>13778</v>
      </c>
      <c r="AP4422" s="162" t="s">
        <v>271</v>
      </c>
    </row>
    <row r="4423" spans="1:42" s="162" customFormat="1" x14ac:dyDescent="0.3">
      <c r="A4423" s="205" t="s">
        <v>8321</v>
      </c>
      <c r="B4423" s="162" t="s">
        <v>8322</v>
      </c>
      <c r="C4423" s="168" t="s">
        <v>13469</v>
      </c>
      <c r="D4423" s="162" t="s">
        <v>13544</v>
      </c>
      <c r="E4423" s="406" t="s">
        <v>13545</v>
      </c>
      <c r="F4423" s="162" t="s">
        <v>13546</v>
      </c>
      <c r="G4423" s="406">
        <v>163702</v>
      </c>
      <c r="H4423" s="162" t="s">
        <v>13557</v>
      </c>
      <c r="K4423" s="406">
        <v>16370210</v>
      </c>
      <c r="L4423" s="162" t="s">
        <v>15773</v>
      </c>
      <c r="M4423" s="162" t="s">
        <v>15796</v>
      </c>
      <c r="N4423" s="162">
        <v>0</v>
      </c>
      <c r="O4423" s="224">
        <v>5</v>
      </c>
      <c r="P4423" s="224">
        <v>5</v>
      </c>
      <c r="Q4423" s="224">
        <v>10</v>
      </c>
      <c r="R4423" s="224">
        <v>10</v>
      </c>
      <c r="S4423" s="224">
        <v>10</v>
      </c>
      <c r="T4423" s="223" t="s">
        <v>13776</v>
      </c>
      <c r="U4423" t="str">
        <f>VLOOKUP(T4423,[8]Votes!$A$1:$E$234,3,FALSE)</f>
        <v>305 Directorate of Government Analytical Laboratory</v>
      </c>
      <c r="V4423" s="162" t="s">
        <v>15797</v>
      </c>
      <c r="W4423" s="388">
        <v>0</v>
      </c>
      <c r="X4423" s="501">
        <v>1</v>
      </c>
      <c r="Y4423" s="388">
        <v>1</v>
      </c>
      <c r="Z4423" s="388">
        <v>1</v>
      </c>
      <c r="AA4423" s="388">
        <v>1</v>
      </c>
      <c r="AB4423" s="388">
        <v>0</v>
      </c>
      <c r="AC4423" s="501">
        <v>1</v>
      </c>
      <c r="AD4423" s="501">
        <v>1</v>
      </c>
      <c r="AE4423" s="49">
        <f t="shared" si="160"/>
        <v>0.75</v>
      </c>
      <c r="AF4423" s="360"/>
      <c r="AG4423" s="17">
        <v>0</v>
      </c>
      <c r="AH4423" s="360">
        <v>8.2000000000000003E-2</v>
      </c>
      <c r="AI4423" s="360">
        <v>0.08</v>
      </c>
      <c r="AJ4423" s="360">
        <v>0.08</v>
      </c>
      <c r="AK4423" s="361">
        <v>0.08</v>
      </c>
      <c r="AL4423" s="361">
        <v>0.1</v>
      </c>
      <c r="AM4423" s="17">
        <f t="shared" si="161"/>
        <v>0.18</v>
      </c>
      <c r="AN4423" s="162" t="s">
        <v>13776</v>
      </c>
      <c r="AO4423" s="162" t="s">
        <v>13778</v>
      </c>
      <c r="AP4423" s="162" t="s">
        <v>271</v>
      </c>
    </row>
    <row r="4424" spans="1:42" s="162" customFormat="1" x14ac:dyDescent="0.3">
      <c r="A4424" s="205" t="s">
        <v>8321</v>
      </c>
      <c r="B4424" s="162" t="s">
        <v>8322</v>
      </c>
      <c r="C4424" s="168" t="s">
        <v>13469</v>
      </c>
      <c r="D4424" s="162" t="s">
        <v>13544</v>
      </c>
      <c r="E4424" s="406" t="s">
        <v>13545</v>
      </c>
      <c r="F4424" s="162" t="s">
        <v>13546</v>
      </c>
      <c r="G4424" s="406">
        <v>163702</v>
      </c>
      <c r="H4424" s="162" t="s">
        <v>13557</v>
      </c>
      <c r="K4424" s="406">
        <v>16370210</v>
      </c>
      <c r="L4424" s="162" t="s">
        <v>15773</v>
      </c>
      <c r="M4424" s="162" t="s">
        <v>15798</v>
      </c>
      <c r="N4424" s="162">
        <v>1</v>
      </c>
      <c r="O4424" s="224">
        <v>1</v>
      </c>
      <c r="P4424" s="224">
        <v>1</v>
      </c>
      <c r="Q4424" s="224">
        <v>1</v>
      </c>
      <c r="R4424" s="224">
        <v>1</v>
      </c>
      <c r="S4424" s="224">
        <v>1</v>
      </c>
      <c r="T4424" s="223" t="s">
        <v>13776</v>
      </c>
      <c r="U4424" t="str">
        <f>VLOOKUP(T4424,[8]Votes!$A$1:$E$234,3,FALSE)</f>
        <v>305 Directorate of Government Analytical Laboratory</v>
      </c>
      <c r="V4424" s="162" t="s">
        <v>15799</v>
      </c>
      <c r="W4424" s="388">
        <v>0</v>
      </c>
      <c r="X4424" s="501">
        <v>1</v>
      </c>
      <c r="Y4424" s="388">
        <v>1</v>
      </c>
      <c r="Z4424" s="388">
        <v>1</v>
      </c>
      <c r="AA4424" s="388">
        <v>1</v>
      </c>
      <c r="AB4424" s="388">
        <v>0</v>
      </c>
      <c r="AC4424" s="501">
        <v>1</v>
      </c>
      <c r="AD4424" s="501">
        <v>1</v>
      </c>
      <c r="AE4424" s="49">
        <f t="shared" si="160"/>
        <v>0.75</v>
      </c>
      <c r="AF4424" s="360"/>
      <c r="AG4424" s="17">
        <v>0</v>
      </c>
      <c r="AH4424" s="190">
        <v>0</v>
      </c>
      <c r="AI4424" s="360">
        <v>0.23</v>
      </c>
      <c r="AJ4424" s="360">
        <v>0.23</v>
      </c>
      <c r="AK4424" s="361">
        <v>0.45</v>
      </c>
      <c r="AL4424" s="361">
        <v>0.56000000000000005</v>
      </c>
      <c r="AM4424" s="17">
        <f t="shared" si="161"/>
        <v>1.01</v>
      </c>
      <c r="AN4424" s="162" t="s">
        <v>13776</v>
      </c>
      <c r="AO4424" s="162" t="s">
        <v>13778</v>
      </c>
      <c r="AP4424" s="162" t="s">
        <v>271</v>
      </c>
    </row>
    <row r="4425" spans="1:42" s="162" customFormat="1" x14ac:dyDescent="0.3">
      <c r="A4425" s="205" t="s">
        <v>8321</v>
      </c>
      <c r="B4425" s="162" t="s">
        <v>8322</v>
      </c>
      <c r="C4425" s="168" t="s">
        <v>13469</v>
      </c>
      <c r="D4425" s="162" t="s">
        <v>13544</v>
      </c>
      <c r="E4425" s="406" t="s">
        <v>13545</v>
      </c>
      <c r="F4425" s="162" t="s">
        <v>13546</v>
      </c>
      <c r="G4425" s="406">
        <v>163703</v>
      </c>
      <c r="H4425" s="162" t="s">
        <v>13584</v>
      </c>
      <c r="K4425" s="406">
        <v>16370310</v>
      </c>
      <c r="L4425" s="162" t="s">
        <v>15800</v>
      </c>
      <c r="M4425" s="162" t="s">
        <v>15801</v>
      </c>
      <c r="O4425" s="224"/>
      <c r="P4425" s="224"/>
      <c r="Q4425" s="224">
        <v>20</v>
      </c>
      <c r="R4425" s="224">
        <v>30</v>
      </c>
      <c r="S4425" s="224">
        <v>40</v>
      </c>
      <c r="T4425" s="223" t="s">
        <v>11865</v>
      </c>
      <c r="U4425" t="str">
        <f>VLOOKUP(T4425,[8]Votes!$A$1:$E$234,3,FALSE)</f>
        <v>133 Office of the Director of Public Prosecutions</v>
      </c>
      <c r="V4425" s="162" t="s">
        <v>15802</v>
      </c>
      <c r="W4425" s="388">
        <v>1</v>
      </c>
      <c r="X4425" s="501">
        <v>1</v>
      </c>
      <c r="Y4425" s="388">
        <v>0</v>
      </c>
      <c r="Z4425" s="388">
        <v>1</v>
      </c>
      <c r="AA4425" s="416">
        <v>1</v>
      </c>
      <c r="AB4425" s="388">
        <v>0</v>
      </c>
      <c r="AC4425" s="501">
        <v>1</v>
      </c>
      <c r="AD4425" s="501">
        <v>1</v>
      </c>
      <c r="AE4425" s="49">
        <f t="shared" si="160"/>
        <v>0.75</v>
      </c>
      <c r="AF4425" s="190"/>
      <c r="AG4425" s="17">
        <v>0</v>
      </c>
      <c r="AH4425" s="190">
        <v>0</v>
      </c>
      <c r="AI4425" s="190">
        <v>0</v>
      </c>
      <c r="AJ4425" s="360">
        <v>0.5</v>
      </c>
      <c r="AK4425" s="361">
        <v>0.6</v>
      </c>
      <c r="AL4425" s="361">
        <v>0.7</v>
      </c>
      <c r="AM4425" s="17">
        <f t="shared" si="161"/>
        <v>1.2999999999999998</v>
      </c>
      <c r="AN4425" s="162" t="s">
        <v>11865</v>
      </c>
      <c r="AO4425" s="162" t="s">
        <v>11866</v>
      </c>
    </row>
    <row r="4426" spans="1:42" s="162" customFormat="1" x14ac:dyDescent="0.3">
      <c r="A4426" s="205" t="s">
        <v>8321</v>
      </c>
      <c r="B4426" s="162" t="s">
        <v>8322</v>
      </c>
      <c r="C4426" s="168" t="s">
        <v>13469</v>
      </c>
      <c r="D4426" s="162" t="s">
        <v>13544</v>
      </c>
      <c r="E4426" s="406" t="s">
        <v>13545</v>
      </c>
      <c r="F4426" s="162" t="s">
        <v>13546</v>
      </c>
      <c r="G4426" s="406">
        <v>163703</v>
      </c>
      <c r="H4426" s="162" t="s">
        <v>13584</v>
      </c>
      <c r="K4426" s="406">
        <v>16370311</v>
      </c>
      <c r="L4426" s="162" t="s">
        <v>15803</v>
      </c>
      <c r="M4426" s="162" t="s">
        <v>15804</v>
      </c>
      <c r="O4426" s="224"/>
      <c r="P4426" s="224"/>
      <c r="Q4426" s="224">
        <v>2</v>
      </c>
      <c r="R4426" s="224">
        <v>3</v>
      </c>
      <c r="S4426" s="224">
        <v>4</v>
      </c>
      <c r="T4426" s="223" t="s">
        <v>11865</v>
      </c>
      <c r="U4426" t="str">
        <f>VLOOKUP(T4426,[8]Votes!$A$1:$E$234,3,FALSE)</f>
        <v>133 Office of the Director of Public Prosecutions</v>
      </c>
      <c r="V4426" s="162" t="s">
        <v>15805</v>
      </c>
      <c r="W4426" s="388">
        <v>1</v>
      </c>
      <c r="X4426" s="501">
        <v>1</v>
      </c>
      <c r="Y4426" s="388">
        <v>0</v>
      </c>
      <c r="Z4426" s="388">
        <v>1</v>
      </c>
      <c r="AA4426" s="416">
        <v>1</v>
      </c>
      <c r="AB4426" s="388">
        <v>0</v>
      </c>
      <c r="AC4426" s="501">
        <v>1</v>
      </c>
      <c r="AD4426" s="501">
        <v>1</v>
      </c>
      <c r="AE4426" s="49">
        <f t="shared" si="160"/>
        <v>0.75</v>
      </c>
      <c r="AF4426" s="190"/>
      <c r="AG4426" s="17">
        <v>0</v>
      </c>
      <c r="AH4426" s="190">
        <v>0</v>
      </c>
      <c r="AI4426" s="190">
        <v>0</v>
      </c>
      <c r="AJ4426" s="360">
        <v>0.4</v>
      </c>
      <c r="AK4426" s="361">
        <v>0.6</v>
      </c>
      <c r="AL4426" s="361">
        <v>0.8</v>
      </c>
      <c r="AM4426" s="17">
        <f t="shared" si="161"/>
        <v>1.4</v>
      </c>
      <c r="AN4426" s="162" t="s">
        <v>11865</v>
      </c>
      <c r="AO4426" s="162" t="s">
        <v>11866</v>
      </c>
    </row>
    <row r="4427" spans="1:42" s="162" customFormat="1" x14ac:dyDescent="0.3">
      <c r="A4427" s="205" t="s">
        <v>8321</v>
      </c>
      <c r="B4427" s="162" t="s">
        <v>8322</v>
      </c>
      <c r="C4427" s="168" t="s">
        <v>13469</v>
      </c>
      <c r="D4427" s="162" t="s">
        <v>13544</v>
      </c>
      <c r="E4427" s="406" t="s">
        <v>13545</v>
      </c>
      <c r="F4427" s="162" t="s">
        <v>13546</v>
      </c>
      <c r="G4427" s="406">
        <v>163703</v>
      </c>
      <c r="H4427" s="162" t="s">
        <v>13584</v>
      </c>
      <c r="K4427" s="406">
        <v>16370312</v>
      </c>
      <c r="L4427" s="162" t="s">
        <v>15806</v>
      </c>
      <c r="M4427" s="162" t="s">
        <v>15807</v>
      </c>
      <c r="O4427" s="224"/>
      <c r="P4427" s="224">
        <v>3</v>
      </c>
      <c r="Q4427" s="224">
        <v>4</v>
      </c>
      <c r="R4427" s="224">
        <v>6</v>
      </c>
      <c r="S4427" s="224">
        <v>8</v>
      </c>
      <c r="T4427" s="223" t="s">
        <v>11865</v>
      </c>
      <c r="U4427" t="str">
        <f>VLOOKUP(T4427,[8]Votes!$A$1:$E$234,3,FALSE)</f>
        <v>133 Office of the Director of Public Prosecutions</v>
      </c>
      <c r="V4427" s="162" t="s">
        <v>15808</v>
      </c>
      <c r="W4427" s="388">
        <v>1</v>
      </c>
      <c r="X4427" s="501">
        <v>1</v>
      </c>
      <c r="Y4427" s="388">
        <v>0</v>
      </c>
      <c r="Z4427" s="388">
        <v>1</v>
      </c>
      <c r="AA4427" s="416">
        <v>1</v>
      </c>
      <c r="AB4427" s="388">
        <v>0</v>
      </c>
      <c r="AC4427" s="501">
        <v>1</v>
      </c>
      <c r="AD4427" s="501">
        <v>1</v>
      </c>
      <c r="AE4427" s="49">
        <f t="shared" si="160"/>
        <v>0.75</v>
      </c>
      <c r="AF4427" s="190"/>
      <c r="AG4427" s="17">
        <v>0</v>
      </c>
      <c r="AH4427" s="190">
        <v>0</v>
      </c>
      <c r="AI4427" s="190">
        <v>0</v>
      </c>
      <c r="AJ4427" s="360">
        <v>0.2</v>
      </c>
      <c r="AK4427" s="361">
        <v>0.25</v>
      </c>
      <c r="AL4427" s="361">
        <v>0.3</v>
      </c>
      <c r="AM4427" s="17">
        <f t="shared" si="161"/>
        <v>0.55000000000000004</v>
      </c>
      <c r="AN4427" s="162" t="s">
        <v>11865</v>
      </c>
      <c r="AO4427" s="162" t="s">
        <v>11866</v>
      </c>
    </row>
    <row r="4428" spans="1:42" s="162" customFormat="1" x14ac:dyDescent="0.3">
      <c r="A4428" s="205" t="s">
        <v>8321</v>
      </c>
      <c r="B4428" s="162" t="s">
        <v>8322</v>
      </c>
      <c r="C4428" s="168" t="s">
        <v>13469</v>
      </c>
      <c r="D4428" s="162" t="s">
        <v>13544</v>
      </c>
      <c r="E4428" s="406" t="s">
        <v>13545</v>
      </c>
      <c r="F4428" s="162" t="s">
        <v>13546</v>
      </c>
      <c r="G4428" s="406">
        <v>163703</v>
      </c>
      <c r="H4428" s="162" t="s">
        <v>13584</v>
      </c>
      <c r="K4428" s="406">
        <v>16370313</v>
      </c>
      <c r="L4428" s="162" t="s">
        <v>15809</v>
      </c>
      <c r="M4428" s="162" t="s">
        <v>11864</v>
      </c>
      <c r="O4428" s="492">
        <v>0.84</v>
      </c>
      <c r="P4428" s="492">
        <v>0.8</v>
      </c>
      <c r="Q4428" s="492">
        <v>0.85</v>
      </c>
      <c r="R4428" s="492">
        <v>0.85</v>
      </c>
      <c r="S4428" s="492">
        <v>0.87</v>
      </c>
      <c r="T4428" s="223" t="s">
        <v>11865</v>
      </c>
      <c r="U4428" t="str">
        <f>VLOOKUP(T4428,[8]Votes!$A$1:$E$234,3,FALSE)</f>
        <v>133 Office of the Director of Public Prosecutions</v>
      </c>
      <c r="V4428" s="162" t="s">
        <v>15810</v>
      </c>
      <c r="W4428" s="388">
        <v>1</v>
      </c>
      <c r="X4428" s="501">
        <v>1</v>
      </c>
      <c r="Y4428" s="388">
        <v>0</v>
      </c>
      <c r="Z4428" s="388">
        <v>1</v>
      </c>
      <c r="AA4428" s="416">
        <v>1</v>
      </c>
      <c r="AB4428" s="388">
        <v>0</v>
      </c>
      <c r="AC4428" s="501">
        <v>1</v>
      </c>
      <c r="AD4428" s="501">
        <v>1</v>
      </c>
      <c r="AE4428" s="49">
        <f t="shared" si="160"/>
        <v>0.75</v>
      </c>
      <c r="AF4428" s="360"/>
      <c r="AG4428" s="17">
        <v>0</v>
      </c>
      <c r="AH4428" s="360">
        <v>1.2</v>
      </c>
      <c r="AI4428" s="360">
        <v>1.5</v>
      </c>
      <c r="AJ4428" s="360">
        <v>1.8</v>
      </c>
      <c r="AK4428" s="361">
        <v>2.1</v>
      </c>
      <c r="AL4428" s="361">
        <v>2.2999999999999998</v>
      </c>
      <c r="AM4428" s="17">
        <f t="shared" si="161"/>
        <v>4.4000000000000004</v>
      </c>
      <c r="AN4428" s="162" t="s">
        <v>11865</v>
      </c>
      <c r="AO4428" s="162" t="s">
        <v>11866</v>
      </c>
    </row>
    <row r="4429" spans="1:42" s="162" customFormat="1" x14ac:dyDescent="0.3">
      <c r="A4429" s="205" t="s">
        <v>8321</v>
      </c>
      <c r="B4429" s="162" t="s">
        <v>8322</v>
      </c>
      <c r="C4429" s="168" t="s">
        <v>13469</v>
      </c>
      <c r="D4429" s="162" t="s">
        <v>13544</v>
      </c>
      <c r="E4429" s="406" t="s">
        <v>13545</v>
      </c>
      <c r="F4429" s="162" t="s">
        <v>13546</v>
      </c>
      <c r="G4429" s="406">
        <v>163703</v>
      </c>
      <c r="H4429" s="162" t="s">
        <v>13584</v>
      </c>
      <c r="K4429" s="406">
        <v>16370314</v>
      </c>
      <c r="L4429" s="162" t="s">
        <v>15811</v>
      </c>
      <c r="M4429" s="162" t="s">
        <v>15812</v>
      </c>
      <c r="O4429" s="224">
        <v>2</v>
      </c>
      <c r="P4429" s="224">
        <v>2</v>
      </c>
      <c r="Q4429" s="224">
        <v>2</v>
      </c>
      <c r="R4429" s="224">
        <v>2</v>
      </c>
      <c r="S4429" s="224">
        <v>2</v>
      </c>
      <c r="T4429" s="223" t="s">
        <v>11865</v>
      </c>
      <c r="U4429" t="str">
        <f>VLOOKUP(T4429,[8]Votes!$A$1:$E$234,3,FALSE)</f>
        <v>133 Office of the Director of Public Prosecutions</v>
      </c>
      <c r="V4429" s="162" t="s">
        <v>15813</v>
      </c>
      <c r="W4429" s="388">
        <v>1</v>
      </c>
      <c r="X4429" s="501">
        <v>1</v>
      </c>
      <c r="Y4429" s="388">
        <v>0</v>
      </c>
      <c r="Z4429" s="388">
        <v>1</v>
      </c>
      <c r="AA4429" s="416">
        <v>1</v>
      </c>
      <c r="AB4429" s="388">
        <v>0</v>
      </c>
      <c r="AC4429" s="501">
        <v>1</v>
      </c>
      <c r="AD4429" s="501">
        <v>1</v>
      </c>
      <c r="AE4429" s="49">
        <f t="shared" si="160"/>
        <v>0.75</v>
      </c>
      <c r="AF4429" s="360"/>
      <c r="AG4429" s="17">
        <v>0</v>
      </c>
      <c r="AH4429" s="360">
        <v>0.2</v>
      </c>
      <c r="AI4429" s="360">
        <v>0.2</v>
      </c>
      <c r="AJ4429" s="360">
        <v>0.2</v>
      </c>
      <c r="AK4429" s="361">
        <v>0.2</v>
      </c>
      <c r="AL4429" s="361">
        <v>0.2</v>
      </c>
      <c r="AM4429" s="17">
        <f t="shared" si="161"/>
        <v>0.4</v>
      </c>
      <c r="AN4429" s="162" t="s">
        <v>11865</v>
      </c>
      <c r="AO4429" s="162" t="s">
        <v>11866</v>
      </c>
    </row>
    <row r="4430" spans="1:42" s="162" customFormat="1" x14ac:dyDescent="0.3">
      <c r="A4430" s="205" t="s">
        <v>8321</v>
      </c>
      <c r="B4430" s="162" t="s">
        <v>8322</v>
      </c>
      <c r="C4430" s="168" t="s">
        <v>13469</v>
      </c>
      <c r="D4430" s="162" t="s">
        <v>13544</v>
      </c>
      <c r="E4430" s="406" t="s">
        <v>13545</v>
      </c>
      <c r="F4430" s="162" t="s">
        <v>13546</v>
      </c>
      <c r="G4430" s="406">
        <v>163703</v>
      </c>
      <c r="H4430" s="162" t="s">
        <v>13584</v>
      </c>
      <c r="K4430" s="406">
        <v>16370315</v>
      </c>
      <c r="L4430" s="162" t="s">
        <v>15814</v>
      </c>
      <c r="M4430" s="162" t="s">
        <v>15815</v>
      </c>
      <c r="O4430" s="224"/>
      <c r="P4430" s="224"/>
      <c r="Q4430" s="224">
        <v>150</v>
      </c>
      <c r="R4430" s="224">
        <v>200</v>
      </c>
      <c r="S4430" s="224">
        <v>250</v>
      </c>
      <c r="T4430" s="223" t="s">
        <v>11865</v>
      </c>
      <c r="U4430" t="str">
        <f>VLOOKUP(T4430,[8]Votes!$A$1:$E$234,3,FALSE)</f>
        <v>133 Office of the Director of Public Prosecutions</v>
      </c>
      <c r="V4430" s="162" t="s">
        <v>15816</v>
      </c>
      <c r="W4430" s="388">
        <v>1</v>
      </c>
      <c r="X4430" s="501">
        <v>1</v>
      </c>
      <c r="Y4430" s="388">
        <v>0</v>
      </c>
      <c r="Z4430" s="388">
        <v>1</v>
      </c>
      <c r="AA4430" s="416">
        <v>1</v>
      </c>
      <c r="AB4430" s="388">
        <v>0</v>
      </c>
      <c r="AC4430" s="501">
        <v>1</v>
      </c>
      <c r="AD4430" s="501">
        <v>1</v>
      </c>
      <c r="AE4430" s="49">
        <f t="shared" si="160"/>
        <v>0.75</v>
      </c>
      <c r="AF4430" s="190"/>
      <c r="AG4430" s="17">
        <v>0</v>
      </c>
      <c r="AH4430" s="190">
        <v>0</v>
      </c>
      <c r="AI4430" s="190">
        <v>0</v>
      </c>
      <c r="AJ4430" s="360">
        <v>0.4</v>
      </c>
      <c r="AK4430" s="361">
        <v>0.45</v>
      </c>
      <c r="AL4430" s="361">
        <v>0.5</v>
      </c>
      <c r="AM4430" s="17">
        <f t="shared" si="161"/>
        <v>0.95</v>
      </c>
      <c r="AN4430" s="162" t="s">
        <v>11865</v>
      </c>
      <c r="AO4430" s="162" t="s">
        <v>11866</v>
      </c>
    </row>
    <row r="4431" spans="1:42" s="162" customFormat="1" x14ac:dyDescent="0.3">
      <c r="A4431" s="205" t="s">
        <v>8321</v>
      </c>
      <c r="B4431" s="162" t="s">
        <v>8322</v>
      </c>
      <c r="C4431" s="168" t="s">
        <v>13469</v>
      </c>
      <c r="D4431" s="162" t="s">
        <v>13544</v>
      </c>
      <c r="E4431" s="406" t="s">
        <v>13545</v>
      </c>
      <c r="F4431" s="162" t="s">
        <v>13546</v>
      </c>
      <c r="G4431" s="406">
        <v>163703</v>
      </c>
      <c r="H4431" s="162" t="s">
        <v>13584</v>
      </c>
      <c r="K4431" s="406">
        <v>16370316</v>
      </c>
      <c r="L4431" s="162" t="s">
        <v>15817</v>
      </c>
      <c r="M4431" s="162" t="s">
        <v>15818</v>
      </c>
      <c r="O4431" s="224"/>
      <c r="P4431" s="224"/>
      <c r="Q4431" s="224">
        <v>200</v>
      </c>
      <c r="R4431" s="224">
        <v>250</v>
      </c>
      <c r="S4431" s="224">
        <v>300</v>
      </c>
      <c r="T4431" s="223" t="s">
        <v>11865</v>
      </c>
      <c r="U4431" t="str">
        <f>VLOOKUP(T4431,[8]Votes!$A$1:$E$234,3,FALSE)</f>
        <v>133 Office of the Director of Public Prosecutions</v>
      </c>
      <c r="V4431" s="162" t="s">
        <v>15816</v>
      </c>
      <c r="W4431" s="388">
        <v>1</v>
      </c>
      <c r="X4431" s="501">
        <v>1</v>
      </c>
      <c r="Y4431" s="388">
        <v>0</v>
      </c>
      <c r="Z4431" s="388">
        <v>1</v>
      </c>
      <c r="AA4431" s="416">
        <v>1</v>
      </c>
      <c r="AB4431" s="388">
        <v>0</v>
      </c>
      <c r="AC4431" s="501">
        <v>1</v>
      </c>
      <c r="AD4431" s="501">
        <v>1</v>
      </c>
      <c r="AE4431" s="49">
        <f t="shared" si="160"/>
        <v>0.75</v>
      </c>
      <c r="AF4431" s="190"/>
      <c r="AG4431" s="17">
        <v>0</v>
      </c>
      <c r="AH4431" s="190">
        <v>0</v>
      </c>
      <c r="AI4431" s="190">
        <v>0</v>
      </c>
      <c r="AJ4431" s="360">
        <v>0.5</v>
      </c>
      <c r="AK4431" s="361">
        <v>0.55000000000000004</v>
      </c>
      <c r="AL4431" s="361">
        <v>0.6</v>
      </c>
      <c r="AM4431" s="17">
        <f t="shared" si="161"/>
        <v>1.1499999999999999</v>
      </c>
      <c r="AN4431" s="162" t="s">
        <v>11865</v>
      </c>
      <c r="AO4431" s="162" t="s">
        <v>11866</v>
      </c>
    </row>
    <row r="4432" spans="1:42" s="162" customFormat="1" x14ac:dyDescent="0.3">
      <c r="A4432" s="205" t="s">
        <v>8321</v>
      </c>
      <c r="B4432" s="162" t="s">
        <v>8322</v>
      </c>
      <c r="C4432" s="168" t="s">
        <v>13469</v>
      </c>
      <c r="D4432" s="162" t="s">
        <v>13544</v>
      </c>
      <c r="E4432" s="406" t="s">
        <v>13545</v>
      </c>
      <c r="F4432" s="162" t="s">
        <v>13546</v>
      </c>
      <c r="G4432" s="406">
        <v>163703</v>
      </c>
      <c r="H4432" s="162" t="s">
        <v>13584</v>
      </c>
      <c r="K4432" s="406">
        <v>16370317</v>
      </c>
      <c r="L4432" s="162" t="s">
        <v>15819</v>
      </c>
      <c r="M4432" s="162" t="s">
        <v>15820</v>
      </c>
      <c r="O4432" s="224"/>
      <c r="P4432" s="224">
        <v>1</v>
      </c>
      <c r="Q4432" s="224"/>
      <c r="R4432" s="224"/>
      <c r="S4432" s="224"/>
      <c r="T4432" s="223" t="s">
        <v>11865</v>
      </c>
      <c r="U4432" t="str">
        <f>VLOOKUP(T4432,[8]Votes!$A$1:$E$234,3,FALSE)</f>
        <v>133 Office of the Director of Public Prosecutions</v>
      </c>
      <c r="V4432" s="162" t="s">
        <v>15821</v>
      </c>
      <c r="W4432" s="388">
        <v>1</v>
      </c>
      <c r="X4432" s="501">
        <v>1</v>
      </c>
      <c r="Y4432" s="388">
        <v>0</v>
      </c>
      <c r="Z4432" s="388">
        <v>1</v>
      </c>
      <c r="AA4432" s="416">
        <v>1</v>
      </c>
      <c r="AB4432" s="388">
        <v>0</v>
      </c>
      <c r="AC4432" s="501"/>
      <c r="AD4432" s="501"/>
      <c r="AE4432" s="49">
        <f t="shared" si="160"/>
        <v>0.5</v>
      </c>
      <c r="AF4432" s="190"/>
      <c r="AG4432" s="17">
        <v>0</v>
      </c>
      <c r="AH4432" s="190">
        <v>0</v>
      </c>
      <c r="AI4432" s="360">
        <v>0.6</v>
      </c>
      <c r="AJ4432" s="190">
        <v>0</v>
      </c>
      <c r="AK4432" s="191">
        <v>0</v>
      </c>
      <c r="AL4432" s="191">
        <v>0</v>
      </c>
      <c r="AM4432" s="17">
        <f t="shared" si="161"/>
        <v>0</v>
      </c>
      <c r="AN4432" s="162" t="s">
        <v>11865</v>
      </c>
      <c r="AO4432" s="162" t="s">
        <v>11866</v>
      </c>
    </row>
    <row r="4433" spans="1:42" s="162" customFormat="1" x14ac:dyDescent="0.3">
      <c r="A4433" s="205" t="s">
        <v>8321</v>
      </c>
      <c r="B4433" s="162" t="s">
        <v>8322</v>
      </c>
      <c r="C4433" s="168" t="s">
        <v>13469</v>
      </c>
      <c r="D4433" s="162" t="s">
        <v>13544</v>
      </c>
      <c r="E4433" s="406" t="s">
        <v>13545</v>
      </c>
      <c r="F4433" s="162" t="s">
        <v>13546</v>
      </c>
      <c r="G4433" s="406">
        <v>163703</v>
      </c>
      <c r="H4433" s="162" t="s">
        <v>13584</v>
      </c>
      <c r="K4433" s="406">
        <v>16370318</v>
      </c>
      <c r="L4433" s="162" t="s">
        <v>15822</v>
      </c>
      <c r="M4433" s="162" t="s">
        <v>15823</v>
      </c>
      <c r="O4433" s="224">
        <v>1</v>
      </c>
      <c r="P4433" s="224">
        <v>1</v>
      </c>
      <c r="Q4433" s="224">
        <v>1</v>
      </c>
      <c r="R4433" s="224">
        <v>1</v>
      </c>
      <c r="S4433" s="224">
        <v>1</v>
      </c>
      <c r="T4433" s="223" t="s">
        <v>11865</v>
      </c>
      <c r="U4433" t="str">
        <f>VLOOKUP(T4433,[8]Votes!$A$1:$E$234,3,FALSE)</f>
        <v>133 Office of the Director of Public Prosecutions</v>
      </c>
      <c r="V4433" s="162" t="s">
        <v>15824</v>
      </c>
      <c r="W4433" s="388">
        <v>1</v>
      </c>
      <c r="X4433" s="501">
        <v>1</v>
      </c>
      <c r="Y4433" s="388">
        <v>0</v>
      </c>
      <c r="Z4433" s="388">
        <v>1</v>
      </c>
      <c r="AA4433" s="416">
        <v>1</v>
      </c>
      <c r="AB4433" s="388">
        <v>0</v>
      </c>
      <c r="AC4433" s="501">
        <v>1</v>
      </c>
      <c r="AD4433" s="501">
        <v>1</v>
      </c>
      <c r="AE4433" s="49">
        <f t="shared" si="160"/>
        <v>0.75</v>
      </c>
      <c r="AF4433" s="360"/>
      <c r="AG4433" s="17">
        <v>0</v>
      </c>
      <c r="AH4433" s="360">
        <v>1</v>
      </c>
      <c r="AI4433" s="360">
        <v>1</v>
      </c>
      <c r="AJ4433" s="360">
        <v>1</v>
      </c>
      <c r="AK4433" s="361">
        <v>1</v>
      </c>
      <c r="AL4433" s="361">
        <v>1</v>
      </c>
      <c r="AM4433" s="17">
        <f t="shared" si="161"/>
        <v>2</v>
      </c>
      <c r="AN4433" s="162" t="s">
        <v>11865</v>
      </c>
      <c r="AO4433" s="162" t="s">
        <v>11866</v>
      </c>
    </row>
    <row r="4434" spans="1:42" s="162" customFormat="1" x14ac:dyDescent="0.3">
      <c r="A4434" s="205" t="s">
        <v>8321</v>
      </c>
      <c r="B4434" s="162" t="s">
        <v>8322</v>
      </c>
      <c r="C4434" s="168" t="s">
        <v>13469</v>
      </c>
      <c r="D4434" s="162" t="s">
        <v>13544</v>
      </c>
      <c r="E4434" s="406" t="s">
        <v>13545</v>
      </c>
      <c r="F4434" s="162" t="s">
        <v>13546</v>
      </c>
      <c r="G4434" s="406">
        <v>163703</v>
      </c>
      <c r="H4434" s="162" t="s">
        <v>13584</v>
      </c>
      <c r="K4434" s="406">
        <v>16370317</v>
      </c>
      <c r="L4434" s="162" t="s">
        <v>15819</v>
      </c>
      <c r="M4434" s="162" t="s">
        <v>15820</v>
      </c>
      <c r="O4434" s="224"/>
      <c r="P4434" s="224">
        <v>1</v>
      </c>
      <c r="Q4434" s="224"/>
      <c r="R4434" s="224"/>
      <c r="S4434" s="224"/>
      <c r="T4434" s="223" t="s">
        <v>11865</v>
      </c>
      <c r="U4434" t="str">
        <f>VLOOKUP(T4434,[8]Votes!$A$1:$E$234,3,FALSE)</f>
        <v>133 Office of the Director of Public Prosecutions</v>
      </c>
      <c r="V4434" s="162" t="s">
        <v>15821</v>
      </c>
      <c r="W4434" s="388">
        <v>1</v>
      </c>
      <c r="X4434" s="501">
        <v>1</v>
      </c>
      <c r="Y4434" s="388">
        <v>0</v>
      </c>
      <c r="Z4434" s="388">
        <v>1</v>
      </c>
      <c r="AA4434" s="416">
        <v>1</v>
      </c>
      <c r="AB4434" s="388">
        <v>0</v>
      </c>
      <c r="AC4434" s="501">
        <v>0</v>
      </c>
      <c r="AD4434" s="501">
        <v>0</v>
      </c>
      <c r="AE4434" s="49">
        <f t="shared" si="160"/>
        <v>0.5</v>
      </c>
      <c r="AF4434" s="190"/>
      <c r="AG4434" s="17">
        <v>0</v>
      </c>
      <c r="AH4434" s="190">
        <v>0</v>
      </c>
      <c r="AI4434" s="360">
        <v>0.6</v>
      </c>
      <c r="AJ4434" s="190">
        <v>0</v>
      </c>
      <c r="AK4434" s="191">
        <v>0</v>
      </c>
      <c r="AL4434" s="191">
        <v>0</v>
      </c>
      <c r="AM4434" s="17">
        <f t="shared" si="161"/>
        <v>0</v>
      </c>
      <c r="AN4434" s="162" t="s">
        <v>11865</v>
      </c>
      <c r="AO4434" s="162" t="s">
        <v>11866</v>
      </c>
    </row>
    <row r="4435" spans="1:42" s="162" customFormat="1" x14ac:dyDescent="0.3">
      <c r="A4435" s="205" t="s">
        <v>8321</v>
      </c>
      <c r="B4435" s="162" t="s">
        <v>8322</v>
      </c>
      <c r="C4435" s="168" t="s">
        <v>13469</v>
      </c>
      <c r="D4435" s="162" t="s">
        <v>13544</v>
      </c>
      <c r="E4435" s="406" t="s">
        <v>13545</v>
      </c>
      <c r="F4435" s="162" t="s">
        <v>13546</v>
      </c>
      <c r="G4435" s="406">
        <v>163703</v>
      </c>
      <c r="H4435" s="162" t="s">
        <v>13584</v>
      </c>
      <c r="K4435" s="406">
        <v>16370318</v>
      </c>
      <c r="L4435" s="162" t="s">
        <v>15822</v>
      </c>
      <c r="M4435" s="162" t="s">
        <v>15823</v>
      </c>
      <c r="O4435" s="224">
        <v>1</v>
      </c>
      <c r="P4435" s="224">
        <v>1</v>
      </c>
      <c r="Q4435" s="224">
        <v>1</v>
      </c>
      <c r="R4435" s="224">
        <v>1</v>
      </c>
      <c r="S4435" s="224">
        <v>1</v>
      </c>
      <c r="T4435" s="223" t="s">
        <v>11865</v>
      </c>
      <c r="U4435" t="str">
        <f>VLOOKUP(T4435,[8]Votes!$A$1:$E$234,3,FALSE)</f>
        <v>133 Office of the Director of Public Prosecutions</v>
      </c>
      <c r="V4435" s="162" t="s">
        <v>15824</v>
      </c>
      <c r="W4435" s="388">
        <v>1</v>
      </c>
      <c r="X4435" s="501">
        <v>1</v>
      </c>
      <c r="Y4435" s="388">
        <v>0</v>
      </c>
      <c r="Z4435" s="388">
        <v>1</v>
      </c>
      <c r="AA4435" s="416">
        <v>1</v>
      </c>
      <c r="AB4435" s="388">
        <v>0</v>
      </c>
      <c r="AC4435" s="501">
        <v>1</v>
      </c>
      <c r="AD4435" s="501">
        <v>1</v>
      </c>
      <c r="AE4435" s="49">
        <f t="shared" si="160"/>
        <v>0.75</v>
      </c>
      <c r="AF4435" s="360"/>
      <c r="AG4435" s="17">
        <v>0</v>
      </c>
      <c r="AH4435" s="360">
        <v>1</v>
      </c>
      <c r="AI4435" s="360">
        <v>1</v>
      </c>
      <c r="AJ4435" s="360">
        <v>1</v>
      </c>
      <c r="AK4435" s="361">
        <v>1</v>
      </c>
      <c r="AL4435" s="361">
        <v>1</v>
      </c>
      <c r="AM4435" s="17">
        <f t="shared" si="161"/>
        <v>2</v>
      </c>
      <c r="AN4435" s="162" t="s">
        <v>11865</v>
      </c>
      <c r="AO4435" s="162" t="s">
        <v>11866</v>
      </c>
    </row>
    <row r="4436" spans="1:42" s="162" customFormat="1" x14ac:dyDescent="0.3">
      <c r="A4436" s="205" t="s">
        <v>8321</v>
      </c>
      <c r="B4436" s="162" t="s">
        <v>8322</v>
      </c>
      <c r="C4436" s="168" t="s">
        <v>13469</v>
      </c>
      <c r="D4436" s="162" t="s">
        <v>13544</v>
      </c>
      <c r="E4436" s="406" t="s">
        <v>13545</v>
      </c>
      <c r="F4436" s="162" t="s">
        <v>13546</v>
      </c>
      <c r="G4436" s="406">
        <v>163703</v>
      </c>
      <c r="H4436" s="162" t="s">
        <v>13584</v>
      </c>
      <c r="K4436" s="406">
        <v>16370319</v>
      </c>
      <c r="L4436" s="162" t="s">
        <v>15825</v>
      </c>
      <c r="M4436" s="162" t="s">
        <v>14990</v>
      </c>
      <c r="O4436" s="492">
        <v>0.95</v>
      </c>
      <c r="P4436" s="492">
        <v>0.96</v>
      </c>
      <c r="Q4436" s="492">
        <v>0.97</v>
      </c>
      <c r="R4436" s="492">
        <v>0.98</v>
      </c>
      <c r="S4436" s="492">
        <v>0.98</v>
      </c>
      <c r="T4436" s="223" t="s">
        <v>11865</v>
      </c>
      <c r="U4436" t="str">
        <f>VLOOKUP(T4436,[8]Votes!$A$1:$E$234,3,FALSE)</f>
        <v>133 Office of the Director of Public Prosecutions</v>
      </c>
      <c r="V4436" s="162" t="s">
        <v>14991</v>
      </c>
      <c r="W4436" s="388">
        <v>1</v>
      </c>
      <c r="X4436" s="501">
        <v>1</v>
      </c>
      <c r="Y4436" s="388">
        <v>0</v>
      </c>
      <c r="Z4436" s="388">
        <v>1</v>
      </c>
      <c r="AA4436" s="416">
        <v>1</v>
      </c>
      <c r="AB4436" s="388">
        <v>0</v>
      </c>
      <c r="AC4436" s="501">
        <v>1</v>
      </c>
      <c r="AD4436" s="501">
        <v>1</v>
      </c>
      <c r="AE4436" s="49">
        <f t="shared" si="160"/>
        <v>0.75</v>
      </c>
      <c r="AF4436" s="360"/>
      <c r="AG4436" s="17">
        <v>0</v>
      </c>
      <c r="AH4436" s="360">
        <v>0.6</v>
      </c>
      <c r="AI4436" s="360">
        <v>0.8</v>
      </c>
      <c r="AJ4436" s="360">
        <v>0.9</v>
      </c>
      <c r="AK4436" s="361">
        <v>0.9</v>
      </c>
      <c r="AL4436" s="361">
        <v>0.9</v>
      </c>
      <c r="AM4436" s="17">
        <f t="shared" si="161"/>
        <v>1.8</v>
      </c>
      <c r="AN4436" s="162" t="s">
        <v>11865</v>
      </c>
      <c r="AO4436" s="162" t="s">
        <v>11866</v>
      </c>
    </row>
    <row r="4437" spans="1:42" s="162" customFormat="1" x14ac:dyDescent="0.3">
      <c r="A4437" s="205" t="s">
        <v>8321</v>
      </c>
      <c r="B4437" s="162" t="s">
        <v>8322</v>
      </c>
      <c r="C4437" s="168" t="s">
        <v>13469</v>
      </c>
      <c r="D4437" s="162" t="s">
        <v>13544</v>
      </c>
      <c r="E4437" s="406" t="s">
        <v>13545</v>
      </c>
      <c r="F4437" s="162" t="s">
        <v>13546</v>
      </c>
      <c r="G4437" s="406">
        <v>163703</v>
      </c>
      <c r="H4437" s="162" t="s">
        <v>13584</v>
      </c>
      <c r="K4437" s="406">
        <v>16370320</v>
      </c>
      <c r="L4437" s="162" t="s">
        <v>15826</v>
      </c>
      <c r="M4437" s="162" t="s">
        <v>15827</v>
      </c>
      <c r="O4437" s="224"/>
      <c r="P4437" s="224"/>
      <c r="Q4437" s="492">
        <v>0.6</v>
      </c>
      <c r="R4437" s="492">
        <v>0.66</v>
      </c>
      <c r="S4437" s="492">
        <v>0.7</v>
      </c>
      <c r="T4437" s="223" t="s">
        <v>11865</v>
      </c>
      <c r="U4437" t="str">
        <f>VLOOKUP(T4437,[8]Votes!$A$1:$E$234,3,FALSE)</f>
        <v>133 Office of the Director of Public Prosecutions</v>
      </c>
      <c r="V4437" s="162" t="s">
        <v>15828</v>
      </c>
      <c r="W4437" s="388">
        <v>1</v>
      </c>
      <c r="X4437" s="388">
        <v>1</v>
      </c>
      <c r="Y4437" s="388">
        <v>0</v>
      </c>
      <c r="Z4437" s="388">
        <v>1</v>
      </c>
      <c r="AA4437" s="416">
        <v>1</v>
      </c>
      <c r="AB4437" s="388">
        <v>0</v>
      </c>
      <c r="AC4437" s="388">
        <v>1</v>
      </c>
      <c r="AD4437" s="388">
        <v>1</v>
      </c>
      <c r="AE4437" s="49">
        <f t="shared" si="160"/>
        <v>0.75</v>
      </c>
      <c r="AF4437" s="190"/>
      <c r="AG4437" s="17">
        <v>0</v>
      </c>
      <c r="AH4437" s="190">
        <v>0</v>
      </c>
      <c r="AI4437" s="190">
        <v>0</v>
      </c>
      <c r="AJ4437" s="360">
        <v>0.6</v>
      </c>
      <c r="AK4437" s="361">
        <v>0.7</v>
      </c>
      <c r="AL4437" s="361">
        <v>0.8</v>
      </c>
      <c r="AM4437" s="17">
        <f t="shared" si="161"/>
        <v>1.5</v>
      </c>
      <c r="AN4437" s="162" t="s">
        <v>11865</v>
      </c>
      <c r="AO4437" s="162" t="s">
        <v>11866</v>
      </c>
    </row>
    <row r="4438" spans="1:42" s="162" customFormat="1" x14ac:dyDescent="0.3">
      <c r="A4438" s="205" t="s">
        <v>8321</v>
      </c>
      <c r="B4438" s="162" t="s">
        <v>8322</v>
      </c>
      <c r="C4438" s="168" t="s">
        <v>13469</v>
      </c>
      <c r="D4438" s="162" t="s">
        <v>13544</v>
      </c>
      <c r="E4438" s="406" t="s">
        <v>13545</v>
      </c>
      <c r="F4438" s="162" t="s">
        <v>13546</v>
      </c>
      <c r="G4438" s="406">
        <v>163703</v>
      </c>
      <c r="H4438" s="162" t="s">
        <v>13584</v>
      </c>
      <c r="K4438" s="406">
        <v>16370320</v>
      </c>
      <c r="L4438" s="162" t="s">
        <v>15826</v>
      </c>
      <c r="M4438" s="162" t="s">
        <v>15829</v>
      </c>
      <c r="O4438" s="492">
        <v>0.65</v>
      </c>
      <c r="P4438" s="492">
        <v>0.68</v>
      </c>
      <c r="Q4438" s="492">
        <v>0.7</v>
      </c>
      <c r="R4438" s="492">
        <v>0.73</v>
      </c>
      <c r="S4438" s="492">
        <v>0.75</v>
      </c>
      <c r="T4438" s="223" t="s">
        <v>11865</v>
      </c>
      <c r="U4438" t="str">
        <f>VLOOKUP(T4438,[8]Votes!$A$1:$E$234,3,FALSE)</f>
        <v>133 Office of the Director of Public Prosecutions</v>
      </c>
      <c r="V4438" s="162" t="s">
        <v>15830</v>
      </c>
      <c r="W4438" s="388">
        <v>1</v>
      </c>
      <c r="X4438" s="388">
        <v>1</v>
      </c>
      <c r="Y4438" s="388">
        <v>0</v>
      </c>
      <c r="Z4438" s="388">
        <v>1</v>
      </c>
      <c r="AA4438" s="416">
        <v>1</v>
      </c>
      <c r="AB4438" s="388">
        <v>0</v>
      </c>
      <c r="AC4438" s="388">
        <v>1</v>
      </c>
      <c r="AD4438" s="388">
        <v>1</v>
      </c>
      <c r="AE4438" s="49">
        <f t="shared" si="160"/>
        <v>0.75</v>
      </c>
      <c r="AF4438" s="360"/>
      <c r="AG4438" s="17">
        <v>0</v>
      </c>
      <c r="AH4438" s="360">
        <v>7.5</v>
      </c>
      <c r="AI4438" s="360">
        <v>9</v>
      </c>
      <c r="AJ4438" s="360">
        <v>10</v>
      </c>
      <c r="AK4438" s="361">
        <v>12</v>
      </c>
      <c r="AL4438" s="361">
        <v>14</v>
      </c>
      <c r="AM4438" s="17">
        <f t="shared" si="161"/>
        <v>26</v>
      </c>
      <c r="AN4438" s="162" t="s">
        <v>11865</v>
      </c>
      <c r="AO4438" s="162" t="s">
        <v>11866</v>
      </c>
      <c r="AP4438" s="162" t="s">
        <v>15831</v>
      </c>
    </row>
    <row r="4439" spans="1:42" s="162" customFormat="1" x14ac:dyDescent="0.3">
      <c r="A4439" s="205" t="s">
        <v>8321</v>
      </c>
      <c r="B4439" s="162" t="s">
        <v>8322</v>
      </c>
      <c r="C4439" s="168" t="s">
        <v>13469</v>
      </c>
      <c r="D4439" s="162" t="s">
        <v>13544</v>
      </c>
      <c r="E4439" s="406" t="s">
        <v>13545</v>
      </c>
      <c r="F4439" s="162" t="s">
        <v>13546</v>
      </c>
      <c r="G4439" s="406">
        <v>163703</v>
      </c>
      <c r="H4439" s="162" t="s">
        <v>13584</v>
      </c>
      <c r="K4439" s="406">
        <v>16370317</v>
      </c>
      <c r="L4439" s="162" t="s">
        <v>15819</v>
      </c>
      <c r="M4439" s="162" t="s">
        <v>15820</v>
      </c>
      <c r="O4439" s="224"/>
      <c r="P4439" s="224">
        <v>1</v>
      </c>
      <c r="Q4439" s="224"/>
      <c r="R4439" s="224"/>
      <c r="S4439" s="224"/>
      <c r="T4439" s="223" t="s">
        <v>11865</v>
      </c>
      <c r="U4439" t="str">
        <f>VLOOKUP(T4439,[8]Votes!$A$1:$E$234,3,FALSE)</f>
        <v>133 Office of the Director of Public Prosecutions</v>
      </c>
      <c r="V4439" s="162" t="s">
        <v>15821</v>
      </c>
      <c r="W4439" s="388">
        <v>1</v>
      </c>
      <c r="X4439" s="388">
        <v>1</v>
      </c>
      <c r="Y4439" s="388">
        <v>0</v>
      </c>
      <c r="Z4439" s="388">
        <v>1</v>
      </c>
      <c r="AA4439" s="416">
        <v>1</v>
      </c>
      <c r="AB4439" s="388">
        <v>0</v>
      </c>
      <c r="AC4439" s="388">
        <v>0</v>
      </c>
      <c r="AD4439" s="388">
        <v>0</v>
      </c>
      <c r="AE4439" s="49">
        <f t="shared" si="160"/>
        <v>0.5</v>
      </c>
      <c r="AF4439" s="190"/>
      <c r="AG4439" s="17">
        <v>0</v>
      </c>
      <c r="AH4439" s="190">
        <v>0</v>
      </c>
      <c r="AI4439" s="360">
        <v>0.6</v>
      </c>
      <c r="AJ4439" s="190">
        <v>0</v>
      </c>
      <c r="AK4439" s="191">
        <v>0</v>
      </c>
      <c r="AL4439" s="191">
        <v>0</v>
      </c>
      <c r="AM4439" s="17">
        <f t="shared" si="161"/>
        <v>0</v>
      </c>
      <c r="AN4439" s="162" t="s">
        <v>11865</v>
      </c>
      <c r="AO4439" s="162" t="s">
        <v>11866</v>
      </c>
    </row>
    <row r="4440" spans="1:42" s="162" customFormat="1" x14ac:dyDescent="0.3">
      <c r="A4440" s="205" t="s">
        <v>8321</v>
      </c>
      <c r="B4440" s="162" t="s">
        <v>8322</v>
      </c>
      <c r="C4440" s="168" t="s">
        <v>13469</v>
      </c>
      <c r="D4440" s="162" t="s">
        <v>13544</v>
      </c>
      <c r="E4440" s="406" t="s">
        <v>13545</v>
      </c>
      <c r="F4440" s="162" t="s">
        <v>13546</v>
      </c>
      <c r="G4440" s="406">
        <v>163703</v>
      </c>
      <c r="H4440" s="162" t="s">
        <v>13584</v>
      </c>
      <c r="K4440" s="406">
        <v>16370318</v>
      </c>
      <c r="L4440" s="162" t="s">
        <v>15822</v>
      </c>
      <c r="M4440" s="162" t="s">
        <v>15823</v>
      </c>
      <c r="O4440" s="224">
        <v>1</v>
      </c>
      <c r="P4440" s="224">
        <v>1</v>
      </c>
      <c r="Q4440" s="224">
        <v>1</v>
      </c>
      <c r="R4440" s="224">
        <v>1</v>
      </c>
      <c r="S4440" s="224">
        <v>1</v>
      </c>
      <c r="T4440" s="223" t="s">
        <v>11865</v>
      </c>
      <c r="U4440" t="str">
        <f>VLOOKUP(T4440,[8]Votes!$A$1:$E$234,3,FALSE)</f>
        <v>133 Office of the Director of Public Prosecutions</v>
      </c>
      <c r="V4440" s="162" t="s">
        <v>15824</v>
      </c>
      <c r="W4440" s="388">
        <v>1</v>
      </c>
      <c r="X4440" s="388">
        <v>1</v>
      </c>
      <c r="Y4440" s="388">
        <v>0</v>
      </c>
      <c r="Z4440" s="388">
        <v>1</v>
      </c>
      <c r="AA4440" s="416">
        <v>1</v>
      </c>
      <c r="AB4440" s="388">
        <v>0</v>
      </c>
      <c r="AC4440" s="388">
        <v>1</v>
      </c>
      <c r="AD4440" s="388">
        <v>1</v>
      </c>
      <c r="AE4440" s="49">
        <f t="shared" si="160"/>
        <v>0.75</v>
      </c>
      <c r="AF4440" s="360"/>
      <c r="AG4440" s="17">
        <v>0</v>
      </c>
      <c r="AH4440" s="360">
        <v>1</v>
      </c>
      <c r="AI4440" s="360">
        <v>1</v>
      </c>
      <c r="AJ4440" s="360">
        <v>1</v>
      </c>
      <c r="AK4440" s="361">
        <v>1</v>
      </c>
      <c r="AL4440" s="361">
        <v>1</v>
      </c>
      <c r="AM4440" s="17">
        <f t="shared" si="161"/>
        <v>2</v>
      </c>
      <c r="AN4440" s="162" t="s">
        <v>11865</v>
      </c>
      <c r="AO4440" s="162" t="s">
        <v>11866</v>
      </c>
    </row>
    <row r="4441" spans="1:42" s="162" customFormat="1" x14ac:dyDescent="0.3">
      <c r="A4441" s="205" t="s">
        <v>8321</v>
      </c>
      <c r="B4441" s="162" t="s">
        <v>8322</v>
      </c>
      <c r="C4441" s="168" t="s">
        <v>13469</v>
      </c>
      <c r="D4441" s="162" t="s">
        <v>13544</v>
      </c>
      <c r="E4441" s="406" t="s">
        <v>13545</v>
      </c>
      <c r="F4441" s="162" t="s">
        <v>13546</v>
      </c>
      <c r="G4441" s="406">
        <v>163703</v>
      </c>
      <c r="H4441" s="162" t="s">
        <v>13584</v>
      </c>
      <c r="K4441" s="406">
        <v>16370321</v>
      </c>
      <c r="L4441" s="162" t="s">
        <v>15832</v>
      </c>
      <c r="M4441" s="162" t="s">
        <v>13597</v>
      </c>
      <c r="O4441" s="224"/>
      <c r="P4441" s="224"/>
      <c r="Q4441" s="224"/>
      <c r="R4441" s="224"/>
      <c r="S4441" s="224"/>
      <c r="T4441" s="223" t="s">
        <v>11865</v>
      </c>
      <c r="U4441" t="str">
        <f>VLOOKUP(T4441,[8]Votes!$A$1:$E$234,3,FALSE)</f>
        <v>133 Office of the Director of Public Prosecutions</v>
      </c>
      <c r="V4441" s="162" t="s">
        <v>13598</v>
      </c>
      <c r="W4441" s="388">
        <v>1</v>
      </c>
      <c r="X4441" s="388">
        <v>1</v>
      </c>
      <c r="Y4441" s="388">
        <v>0</v>
      </c>
      <c r="Z4441" s="388">
        <v>1</v>
      </c>
      <c r="AA4441" s="416">
        <v>1</v>
      </c>
      <c r="AB4441" s="388">
        <v>0</v>
      </c>
      <c r="AC4441" s="388">
        <v>1</v>
      </c>
      <c r="AD4441" s="388">
        <v>1</v>
      </c>
      <c r="AE4441" s="49">
        <f t="shared" si="160"/>
        <v>0.75</v>
      </c>
      <c r="AF4441" s="360"/>
      <c r="AG4441" s="17">
        <v>0</v>
      </c>
      <c r="AH4441" s="360">
        <v>0.4</v>
      </c>
      <c r="AI4441" s="360">
        <v>0.5</v>
      </c>
      <c r="AJ4441" s="360">
        <v>0.6</v>
      </c>
      <c r="AK4441" s="361">
        <v>0.7</v>
      </c>
      <c r="AL4441" s="361">
        <v>0.8</v>
      </c>
      <c r="AM4441" s="17">
        <f t="shared" si="161"/>
        <v>1.5</v>
      </c>
      <c r="AN4441" s="162" t="s">
        <v>11865</v>
      </c>
      <c r="AO4441" s="162" t="s">
        <v>11866</v>
      </c>
    </row>
    <row r="4442" spans="1:42" s="162" customFormat="1" x14ac:dyDescent="0.3">
      <c r="A4442" s="205" t="s">
        <v>8321</v>
      </c>
      <c r="B4442" s="162" t="s">
        <v>8322</v>
      </c>
      <c r="C4442" s="168" t="s">
        <v>13469</v>
      </c>
      <c r="D4442" s="162" t="s">
        <v>13544</v>
      </c>
      <c r="E4442" s="406" t="s">
        <v>13545</v>
      </c>
      <c r="F4442" s="162" t="s">
        <v>13546</v>
      </c>
      <c r="G4442" s="406">
        <v>163703</v>
      </c>
      <c r="H4442" s="162" t="s">
        <v>13584</v>
      </c>
      <c r="K4442" s="406">
        <v>16370322</v>
      </c>
      <c r="L4442" s="162" t="s">
        <v>15833</v>
      </c>
      <c r="O4442" s="224">
        <v>3</v>
      </c>
      <c r="P4442" s="224">
        <v>6</v>
      </c>
      <c r="Q4442" s="224">
        <v>6</v>
      </c>
      <c r="R4442" s="224">
        <v>0</v>
      </c>
      <c r="S4442" s="224">
        <v>1</v>
      </c>
      <c r="T4442" s="223" t="s">
        <v>1581</v>
      </c>
      <c r="U4442" t="str">
        <f>VLOOKUP(T4442,[8]Votes!$A$1:$E$234,3,FALSE)</f>
        <v>119 Uganda Registration Services Bureau</v>
      </c>
      <c r="V4442" s="162" t="s">
        <v>15834</v>
      </c>
      <c r="W4442" s="388">
        <v>1</v>
      </c>
      <c r="X4442" s="388">
        <v>1</v>
      </c>
      <c r="Y4442" s="388">
        <v>1</v>
      </c>
      <c r="Z4442" s="388">
        <v>1</v>
      </c>
      <c r="AA4442" s="388">
        <v>1</v>
      </c>
      <c r="AB4442" s="388">
        <v>1</v>
      </c>
      <c r="AC4442" s="150">
        <v>1</v>
      </c>
      <c r="AD4442" s="501">
        <v>1</v>
      </c>
      <c r="AE4442" s="49">
        <f t="shared" si="160"/>
        <v>1</v>
      </c>
      <c r="AF4442" s="360"/>
      <c r="AG4442" s="17">
        <v>0</v>
      </c>
      <c r="AH4442" s="360">
        <v>0.9</v>
      </c>
      <c r="AI4442" s="360">
        <v>0.9</v>
      </c>
      <c r="AJ4442" s="360">
        <v>0.9</v>
      </c>
      <c r="AK4442" s="361">
        <v>0.9</v>
      </c>
      <c r="AL4442" s="361">
        <f>0.9-0.05</f>
        <v>0.85</v>
      </c>
      <c r="AM4442" s="17">
        <f t="shared" si="161"/>
        <v>1.75</v>
      </c>
      <c r="AN4442" s="162" t="s">
        <v>1581</v>
      </c>
      <c r="AO4442" s="162" t="s">
        <v>1583</v>
      </c>
      <c r="AP4442" s="162" t="s">
        <v>15835</v>
      </c>
    </row>
    <row r="4443" spans="1:42" s="162" customFormat="1" x14ac:dyDescent="0.3">
      <c r="A4443" s="205" t="s">
        <v>8321</v>
      </c>
      <c r="B4443" s="162" t="s">
        <v>8322</v>
      </c>
      <c r="C4443" s="168" t="s">
        <v>13469</v>
      </c>
      <c r="D4443" s="162" t="s">
        <v>13544</v>
      </c>
      <c r="E4443" s="406" t="s">
        <v>13545</v>
      </c>
      <c r="F4443" s="162" t="s">
        <v>13546</v>
      </c>
      <c r="G4443" s="406">
        <v>163705</v>
      </c>
      <c r="H4443" s="162" t="s">
        <v>13605</v>
      </c>
      <c r="I4443" s="386" t="s">
        <v>13606</v>
      </c>
      <c r="J4443" s="162" t="s">
        <v>13607</v>
      </c>
      <c r="K4443" s="406" t="s">
        <v>13608</v>
      </c>
      <c r="L4443" s="162" t="s">
        <v>13609</v>
      </c>
      <c r="M4443" s="162" t="s">
        <v>15836</v>
      </c>
      <c r="O4443" s="224">
        <v>5</v>
      </c>
      <c r="P4443" s="224">
        <v>6</v>
      </c>
      <c r="Q4443" s="224">
        <v>7</v>
      </c>
      <c r="R4443" s="224">
        <v>8</v>
      </c>
      <c r="S4443" s="224">
        <v>9</v>
      </c>
      <c r="T4443" s="223" t="s">
        <v>11817</v>
      </c>
      <c r="U4443" t="str">
        <f>VLOOKUP(T4443,[8]Votes!$A$1:$E$234,3,FALSE)</f>
        <v>109 Law Development Centre</v>
      </c>
      <c r="V4443" s="162" t="s">
        <v>15837</v>
      </c>
      <c r="W4443" s="501">
        <v>1</v>
      </c>
      <c r="X4443" s="388">
        <v>1</v>
      </c>
      <c r="Y4443" s="501">
        <v>0</v>
      </c>
      <c r="Z4443" s="501">
        <v>1</v>
      </c>
      <c r="AA4443" s="501">
        <v>1</v>
      </c>
      <c r="AB4443" s="501">
        <v>1</v>
      </c>
      <c r="AC4443" s="150">
        <v>0</v>
      </c>
      <c r="AD4443" s="501">
        <v>1</v>
      </c>
      <c r="AE4443" s="49">
        <f t="shared" si="160"/>
        <v>0.75</v>
      </c>
      <c r="AF4443" s="23">
        <v>0</v>
      </c>
      <c r="AG4443" s="17">
        <v>0</v>
      </c>
      <c r="AH4443" s="360">
        <v>1.7290000000000001</v>
      </c>
      <c r="AI4443" s="360">
        <v>1.7290000000000001</v>
      </c>
      <c r="AJ4443" s="360">
        <v>1.7290000000000001</v>
      </c>
      <c r="AK4443" s="361">
        <v>1.099</v>
      </c>
      <c r="AL4443" s="361">
        <v>1.099</v>
      </c>
      <c r="AM4443" s="17">
        <f t="shared" si="161"/>
        <v>2.198</v>
      </c>
      <c r="AN4443" s="162" t="s">
        <v>11817</v>
      </c>
      <c r="AO4443" s="162" t="s">
        <v>11818</v>
      </c>
    </row>
    <row r="4444" spans="1:42" s="162" customFormat="1" x14ac:dyDescent="0.3">
      <c r="A4444" s="205" t="s">
        <v>8321</v>
      </c>
      <c r="B4444" s="162" t="s">
        <v>8322</v>
      </c>
      <c r="C4444" s="168" t="s">
        <v>13469</v>
      </c>
      <c r="D4444" s="162" t="s">
        <v>13544</v>
      </c>
      <c r="E4444" s="406" t="s">
        <v>13545</v>
      </c>
      <c r="F4444" s="162" t="s">
        <v>13546</v>
      </c>
      <c r="G4444" s="406">
        <v>163705</v>
      </c>
      <c r="H4444" s="162" t="s">
        <v>13605</v>
      </c>
      <c r="I4444" s="386" t="s">
        <v>13606</v>
      </c>
      <c r="J4444" s="162" t="s">
        <v>13607</v>
      </c>
      <c r="K4444" s="406" t="s">
        <v>13608</v>
      </c>
      <c r="L4444" s="162" t="s">
        <v>13609</v>
      </c>
      <c r="M4444" s="162" t="s">
        <v>15838</v>
      </c>
      <c r="O4444" s="224"/>
      <c r="P4444" s="224">
        <v>100</v>
      </c>
      <c r="Q4444" s="224">
        <v>100</v>
      </c>
      <c r="R4444" s="224">
        <v>100</v>
      </c>
      <c r="S4444" s="224">
        <v>100</v>
      </c>
      <c r="T4444" s="223" t="s">
        <v>1446</v>
      </c>
      <c r="U4444" t="str">
        <f>VLOOKUP(T4444,[8]Votes!$A$1:$E$234,3,FALSE)</f>
        <v>141 Uganda Revenue Authority</v>
      </c>
      <c r="V4444" s="162" t="s">
        <v>15839</v>
      </c>
      <c r="W4444" s="501">
        <v>1</v>
      </c>
      <c r="X4444" s="388">
        <v>1</v>
      </c>
      <c r="Y4444" s="501">
        <v>0</v>
      </c>
      <c r="Z4444" s="501">
        <v>1</v>
      </c>
      <c r="AA4444" s="501">
        <v>1</v>
      </c>
      <c r="AB4444" s="501">
        <v>0</v>
      </c>
      <c r="AC4444" s="150">
        <v>0</v>
      </c>
      <c r="AD4444" s="501">
        <v>1</v>
      </c>
      <c r="AE4444" s="49">
        <f t="shared" si="160"/>
        <v>0.625</v>
      </c>
      <c r="AF4444" s="23">
        <v>0</v>
      </c>
      <c r="AG4444" s="17">
        <v>0</v>
      </c>
      <c r="AH4444" s="190">
        <v>0</v>
      </c>
      <c r="AI4444" s="360">
        <v>1.08</v>
      </c>
      <c r="AJ4444" s="360">
        <v>1.08</v>
      </c>
      <c r="AK4444" s="361">
        <v>0</v>
      </c>
      <c r="AL4444" s="361">
        <v>0</v>
      </c>
      <c r="AM4444" s="17">
        <f t="shared" si="161"/>
        <v>0</v>
      </c>
      <c r="AN4444" s="162" t="s">
        <v>1446</v>
      </c>
      <c r="AO4444" s="162" t="s">
        <v>3715</v>
      </c>
    </row>
    <row r="4445" spans="1:42" s="162" customFormat="1" x14ac:dyDescent="0.3">
      <c r="A4445" s="205" t="s">
        <v>8321</v>
      </c>
      <c r="B4445" s="162" t="s">
        <v>8322</v>
      </c>
      <c r="C4445" s="168" t="s">
        <v>13469</v>
      </c>
      <c r="D4445" s="162" t="s">
        <v>13544</v>
      </c>
      <c r="E4445" s="406" t="s">
        <v>13545</v>
      </c>
      <c r="F4445" s="162" t="s">
        <v>13546</v>
      </c>
      <c r="G4445" s="406">
        <v>163705</v>
      </c>
      <c r="H4445" s="162" t="s">
        <v>13605</v>
      </c>
      <c r="I4445" s="386" t="s">
        <v>13606</v>
      </c>
      <c r="J4445" s="162" t="s">
        <v>13607</v>
      </c>
      <c r="K4445" s="406" t="s">
        <v>15840</v>
      </c>
      <c r="L4445" s="162" t="s">
        <v>15841</v>
      </c>
      <c r="M4445" s="162" t="s">
        <v>15842</v>
      </c>
      <c r="O4445" s="224">
        <v>60</v>
      </c>
      <c r="P4445" s="224">
        <v>66</v>
      </c>
      <c r="Q4445" s="224">
        <v>72</v>
      </c>
      <c r="R4445" s="224">
        <v>78</v>
      </c>
      <c r="S4445" s="224">
        <v>84</v>
      </c>
      <c r="T4445" s="223" t="s">
        <v>3875</v>
      </c>
      <c r="U4445" t="str">
        <f>VLOOKUP(T4445,[8]Votes!$A$1:$E$234,3,FALSE)</f>
        <v>007 Ministry of Justice and Constitutional Affairs</v>
      </c>
      <c r="V4445" s="162" t="s">
        <v>15843</v>
      </c>
      <c r="W4445" s="501">
        <v>1</v>
      </c>
      <c r="X4445" s="388">
        <v>1</v>
      </c>
      <c r="Y4445" s="501">
        <v>0</v>
      </c>
      <c r="Z4445" s="501">
        <v>1</v>
      </c>
      <c r="AA4445" s="501">
        <v>1</v>
      </c>
      <c r="AB4445" s="501">
        <v>0</v>
      </c>
      <c r="AC4445" s="150">
        <v>0</v>
      </c>
      <c r="AD4445" s="501">
        <v>1</v>
      </c>
      <c r="AE4445" s="49">
        <f t="shared" si="160"/>
        <v>0.625</v>
      </c>
      <c r="AF4445" s="23">
        <v>0</v>
      </c>
      <c r="AG4445" s="17">
        <v>0</v>
      </c>
      <c r="AH4445" s="360">
        <v>1.3280000000000001</v>
      </c>
      <c r="AI4445" s="360">
        <v>1.3280000000000001</v>
      </c>
      <c r="AJ4445" s="360">
        <v>1.4</v>
      </c>
      <c r="AK4445" s="361">
        <v>0.4</v>
      </c>
      <c r="AL4445" s="361">
        <v>0.4</v>
      </c>
      <c r="AM4445" s="17">
        <f t="shared" si="161"/>
        <v>0.8</v>
      </c>
      <c r="AN4445" s="223" t="s">
        <v>3875</v>
      </c>
      <c r="AO4445" s="162" t="s">
        <v>3877</v>
      </c>
    </row>
    <row r="4446" spans="1:42" s="162" customFormat="1" x14ac:dyDescent="0.3">
      <c r="A4446" s="205" t="s">
        <v>8321</v>
      </c>
      <c r="B4446" s="162" t="s">
        <v>8322</v>
      </c>
      <c r="C4446" s="168" t="s">
        <v>13469</v>
      </c>
      <c r="D4446" s="162" t="s">
        <v>13544</v>
      </c>
      <c r="E4446" s="406" t="s">
        <v>13545</v>
      </c>
      <c r="F4446" s="162" t="s">
        <v>13546</v>
      </c>
      <c r="G4446" s="406">
        <v>163705</v>
      </c>
      <c r="H4446" s="162" t="s">
        <v>13605</v>
      </c>
      <c r="I4446" s="386" t="s">
        <v>13606</v>
      </c>
      <c r="J4446" s="162" t="s">
        <v>13607</v>
      </c>
      <c r="K4446" s="406" t="s">
        <v>15844</v>
      </c>
      <c r="L4446" s="162" t="s">
        <v>15845</v>
      </c>
      <c r="M4446" s="162" t="s">
        <v>15846</v>
      </c>
      <c r="O4446" s="224"/>
      <c r="P4446" s="224"/>
      <c r="Q4446" s="224">
        <v>1</v>
      </c>
      <c r="R4446" s="224"/>
      <c r="S4446" s="224">
        <v>1</v>
      </c>
      <c r="T4446" s="223" t="s">
        <v>3875</v>
      </c>
      <c r="U4446" t="str">
        <f>VLOOKUP(T4446,[8]Votes!$A$1:$E$234,3,FALSE)</f>
        <v>007 Ministry of Justice and Constitutional Affairs</v>
      </c>
      <c r="V4446" s="162" t="s">
        <v>15847</v>
      </c>
      <c r="W4446" s="501">
        <v>1</v>
      </c>
      <c r="X4446" s="388">
        <v>0</v>
      </c>
      <c r="Y4446" s="501">
        <v>0</v>
      </c>
      <c r="Z4446" s="501">
        <v>1</v>
      </c>
      <c r="AA4446" s="501">
        <v>1</v>
      </c>
      <c r="AB4446" s="501">
        <v>0</v>
      </c>
      <c r="AC4446" s="150">
        <v>0</v>
      </c>
      <c r="AD4446" s="501">
        <v>1</v>
      </c>
      <c r="AE4446" s="49">
        <f t="shared" si="160"/>
        <v>0.5</v>
      </c>
      <c r="AF4446" s="23">
        <v>0</v>
      </c>
      <c r="AG4446" s="17">
        <v>0</v>
      </c>
      <c r="AH4446" s="190">
        <v>0</v>
      </c>
      <c r="AI4446" s="190">
        <v>0</v>
      </c>
      <c r="AJ4446" s="360">
        <v>1</v>
      </c>
      <c r="AK4446" s="191">
        <v>0</v>
      </c>
      <c r="AL4446" s="361">
        <v>0</v>
      </c>
      <c r="AM4446" s="17">
        <f t="shared" si="161"/>
        <v>0</v>
      </c>
      <c r="AN4446" s="223" t="s">
        <v>3875</v>
      </c>
      <c r="AO4446" s="162" t="s">
        <v>3877</v>
      </c>
    </row>
    <row r="4447" spans="1:42" s="162" customFormat="1" x14ac:dyDescent="0.3">
      <c r="A4447" s="205" t="s">
        <v>8321</v>
      </c>
      <c r="B4447" s="162" t="s">
        <v>8322</v>
      </c>
      <c r="C4447" s="168" t="s">
        <v>13469</v>
      </c>
      <c r="D4447" s="162" t="s">
        <v>13544</v>
      </c>
      <c r="E4447" s="406" t="s">
        <v>13545</v>
      </c>
      <c r="F4447" s="162" t="s">
        <v>13546</v>
      </c>
      <c r="G4447" s="406">
        <v>163705</v>
      </c>
      <c r="H4447" s="162" t="s">
        <v>13605</v>
      </c>
      <c r="I4447" s="386" t="s">
        <v>13606</v>
      </c>
      <c r="J4447" s="162" t="s">
        <v>13607</v>
      </c>
      <c r="K4447" s="406" t="s">
        <v>15848</v>
      </c>
      <c r="L4447" s="162" t="s">
        <v>15849</v>
      </c>
      <c r="M4447" s="162" t="s">
        <v>15850</v>
      </c>
      <c r="N4447" s="162">
        <v>0</v>
      </c>
      <c r="O4447" s="224">
        <v>60</v>
      </c>
      <c r="P4447" s="224">
        <v>60</v>
      </c>
      <c r="Q4447" s="224">
        <v>60</v>
      </c>
      <c r="R4447" s="224">
        <v>60</v>
      </c>
      <c r="S4447" s="224">
        <v>60</v>
      </c>
      <c r="T4447" s="223" t="s">
        <v>14567</v>
      </c>
      <c r="U4447" t="str">
        <f>VLOOKUP(T4447,[8]Votes!$A$1:$E$234,3,FALSE)</f>
        <v>106 Uganda Human Rights Commission</v>
      </c>
      <c r="V4447" s="162" t="s">
        <v>15851</v>
      </c>
      <c r="W4447" s="501">
        <v>1</v>
      </c>
      <c r="X4447" s="388">
        <v>1</v>
      </c>
      <c r="Y4447" s="501">
        <v>1</v>
      </c>
      <c r="Z4447" s="501">
        <v>1</v>
      </c>
      <c r="AA4447" s="501">
        <v>1</v>
      </c>
      <c r="AB4447" s="501">
        <v>0</v>
      </c>
      <c r="AC4447" s="150">
        <v>0</v>
      </c>
      <c r="AD4447" s="501">
        <v>1</v>
      </c>
      <c r="AE4447" s="49">
        <f t="shared" si="160"/>
        <v>0.75</v>
      </c>
      <c r="AF4447" s="23">
        <v>0</v>
      </c>
      <c r="AG4447" s="17">
        <v>0</v>
      </c>
      <c r="AH4447" s="360">
        <v>0.1</v>
      </c>
      <c r="AI4447" s="360">
        <v>0.1</v>
      </c>
      <c r="AJ4447" s="360">
        <v>0.1</v>
      </c>
      <c r="AK4447" s="361">
        <v>0.1</v>
      </c>
      <c r="AL4447" s="361">
        <v>0.1</v>
      </c>
      <c r="AM4447" s="17">
        <f t="shared" si="161"/>
        <v>0.2</v>
      </c>
      <c r="AN4447" s="162" t="s">
        <v>14567</v>
      </c>
      <c r="AO4447" s="162" t="s">
        <v>14570</v>
      </c>
    </row>
    <row r="4448" spans="1:42" s="162" customFormat="1" x14ac:dyDescent="0.3">
      <c r="A4448" s="205" t="s">
        <v>8321</v>
      </c>
      <c r="B4448" s="162" t="s">
        <v>8322</v>
      </c>
      <c r="C4448" s="168" t="s">
        <v>13469</v>
      </c>
      <c r="D4448" s="162" t="s">
        <v>13544</v>
      </c>
      <c r="E4448" s="406" t="s">
        <v>13545</v>
      </c>
      <c r="F4448" s="162" t="s">
        <v>13546</v>
      </c>
      <c r="G4448" s="406">
        <v>163705</v>
      </c>
      <c r="H4448" s="162" t="s">
        <v>13605</v>
      </c>
      <c r="I4448" s="386" t="s">
        <v>13606</v>
      </c>
      <c r="J4448" s="162" t="s">
        <v>13607</v>
      </c>
      <c r="K4448" s="406" t="s">
        <v>15852</v>
      </c>
      <c r="L4448" s="162" t="s">
        <v>15853</v>
      </c>
      <c r="M4448" s="162" t="s">
        <v>15854</v>
      </c>
      <c r="O4448" s="224">
        <v>1000</v>
      </c>
      <c r="P4448" s="224">
        <v>1000</v>
      </c>
      <c r="Q4448" s="224">
        <v>1000</v>
      </c>
      <c r="R4448" s="224">
        <v>1200</v>
      </c>
      <c r="S4448" s="224">
        <v>1400</v>
      </c>
      <c r="T4448" s="223" t="s">
        <v>3875</v>
      </c>
      <c r="U4448" t="str">
        <f>VLOOKUP(T4448,[8]Votes!$A$1:$E$234,3,FALSE)</f>
        <v>007 Ministry of Justice and Constitutional Affairs</v>
      </c>
      <c r="V4448" s="162" t="s">
        <v>15855</v>
      </c>
      <c r="W4448" s="501">
        <v>1</v>
      </c>
      <c r="X4448" s="388">
        <v>1</v>
      </c>
      <c r="Y4448" s="501">
        <v>1</v>
      </c>
      <c r="Z4448" s="501">
        <v>1</v>
      </c>
      <c r="AA4448" s="501">
        <v>1</v>
      </c>
      <c r="AB4448" s="501">
        <v>0</v>
      </c>
      <c r="AC4448" s="150">
        <v>0</v>
      </c>
      <c r="AD4448" s="501">
        <v>1</v>
      </c>
      <c r="AE4448" s="49">
        <f t="shared" si="160"/>
        <v>0.75</v>
      </c>
      <c r="AF4448" s="23">
        <v>0</v>
      </c>
      <c r="AG4448" s="17">
        <v>0</v>
      </c>
      <c r="AH4448" s="360">
        <v>1.5</v>
      </c>
      <c r="AI4448" s="360">
        <v>1.5</v>
      </c>
      <c r="AJ4448" s="360">
        <v>1.6</v>
      </c>
      <c r="AK4448" s="361">
        <v>0.4</v>
      </c>
      <c r="AL4448" s="361">
        <v>0.4</v>
      </c>
      <c r="AM4448" s="17">
        <f t="shared" si="161"/>
        <v>0.8</v>
      </c>
      <c r="AN4448" s="223" t="s">
        <v>3875</v>
      </c>
      <c r="AO4448" s="162" t="s">
        <v>3877</v>
      </c>
    </row>
    <row r="4449" spans="1:41" s="162" customFormat="1" x14ac:dyDescent="0.3">
      <c r="A4449" s="205" t="s">
        <v>8321</v>
      </c>
      <c r="B4449" s="162" t="s">
        <v>8322</v>
      </c>
      <c r="C4449" s="168" t="s">
        <v>13469</v>
      </c>
      <c r="D4449" s="162" t="s">
        <v>13544</v>
      </c>
      <c r="E4449" s="406" t="s">
        <v>13545</v>
      </c>
      <c r="F4449" s="162" t="s">
        <v>13546</v>
      </c>
      <c r="G4449" s="406">
        <v>163705</v>
      </c>
      <c r="H4449" s="162" t="s">
        <v>13605</v>
      </c>
      <c r="I4449" s="386" t="s">
        <v>13606</v>
      </c>
      <c r="J4449" s="162" t="s">
        <v>13607</v>
      </c>
      <c r="K4449" s="406" t="s">
        <v>15856</v>
      </c>
      <c r="L4449" s="162" t="s">
        <v>15857</v>
      </c>
      <c r="M4449" s="162" t="s">
        <v>15858</v>
      </c>
      <c r="O4449" s="224">
        <v>200</v>
      </c>
      <c r="P4449" s="224">
        <v>250</v>
      </c>
      <c r="Q4449" s="224">
        <v>300</v>
      </c>
      <c r="R4449" s="224">
        <v>400</v>
      </c>
      <c r="S4449" s="224">
        <v>500</v>
      </c>
      <c r="T4449" s="223" t="s">
        <v>3875</v>
      </c>
      <c r="U4449" t="str">
        <f>VLOOKUP(T4449,[8]Votes!$A$1:$E$234,3,FALSE)</f>
        <v>007 Ministry of Justice and Constitutional Affairs</v>
      </c>
      <c r="V4449" s="162" t="s">
        <v>15859</v>
      </c>
      <c r="W4449" s="501">
        <v>1</v>
      </c>
      <c r="X4449" s="388">
        <v>1</v>
      </c>
      <c r="Y4449" s="501">
        <v>1</v>
      </c>
      <c r="Z4449" s="501">
        <v>1</v>
      </c>
      <c r="AA4449" s="501">
        <v>1</v>
      </c>
      <c r="AB4449" s="501">
        <v>0</v>
      </c>
      <c r="AC4449" s="150">
        <v>0</v>
      </c>
      <c r="AD4449" s="501">
        <v>1</v>
      </c>
      <c r="AE4449" s="49">
        <f t="shared" si="160"/>
        <v>0.75</v>
      </c>
      <c r="AF4449" s="23">
        <v>0</v>
      </c>
      <c r="AG4449" s="17">
        <v>0</v>
      </c>
      <c r="AH4449" s="360">
        <v>0.5</v>
      </c>
      <c r="AI4449" s="360">
        <v>0.7</v>
      </c>
      <c r="AJ4449" s="360">
        <v>0.9</v>
      </c>
      <c r="AK4449" s="361">
        <v>0.1</v>
      </c>
      <c r="AL4449" s="361">
        <v>0.1</v>
      </c>
      <c r="AM4449" s="17">
        <f t="shared" si="161"/>
        <v>0.2</v>
      </c>
      <c r="AN4449" s="223" t="s">
        <v>3875</v>
      </c>
      <c r="AO4449" s="162" t="s">
        <v>3877</v>
      </c>
    </row>
    <row r="4450" spans="1:41" s="162" customFormat="1" x14ac:dyDescent="0.3">
      <c r="A4450" s="205" t="s">
        <v>8321</v>
      </c>
      <c r="B4450" s="162" t="s">
        <v>8322</v>
      </c>
      <c r="C4450" s="168" t="s">
        <v>13469</v>
      </c>
      <c r="D4450" s="162" t="s">
        <v>13544</v>
      </c>
      <c r="E4450" s="406" t="s">
        <v>13545</v>
      </c>
      <c r="F4450" s="162" t="s">
        <v>13546</v>
      </c>
      <c r="G4450" s="406">
        <v>163705</v>
      </c>
      <c r="H4450" s="162" t="s">
        <v>13605</v>
      </c>
      <c r="I4450" s="386" t="s">
        <v>13606</v>
      </c>
      <c r="J4450" s="162" t="s">
        <v>13607</v>
      </c>
      <c r="K4450" s="406" t="s">
        <v>15860</v>
      </c>
      <c r="L4450" s="162" t="s">
        <v>15861</v>
      </c>
      <c r="M4450" s="162" t="s">
        <v>15862</v>
      </c>
      <c r="O4450" s="229">
        <v>5000</v>
      </c>
      <c r="P4450" s="224">
        <v>5000</v>
      </c>
      <c r="Q4450" s="224">
        <v>5050</v>
      </c>
      <c r="R4450" s="224">
        <v>5100</v>
      </c>
      <c r="S4450" s="224">
        <v>5150</v>
      </c>
      <c r="T4450" s="223" t="s">
        <v>3875</v>
      </c>
      <c r="U4450" t="str">
        <f>VLOOKUP(T4450,[8]Votes!$A$1:$E$234,3,FALSE)</f>
        <v>007 Ministry of Justice and Constitutional Affairs</v>
      </c>
      <c r="V4450" s="162" t="s">
        <v>15863</v>
      </c>
      <c r="W4450" s="501">
        <v>1</v>
      </c>
      <c r="X4450" s="388">
        <v>1</v>
      </c>
      <c r="Y4450" s="501">
        <v>1</v>
      </c>
      <c r="Z4450" s="501">
        <v>1</v>
      </c>
      <c r="AA4450" s="501">
        <v>1</v>
      </c>
      <c r="AB4450" s="501">
        <v>1</v>
      </c>
      <c r="AC4450" s="150">
        <v>1</v>
      </c>
      <c r="AD4450" s="501">
        <v>1</v>
      </c>
      <c r="AE4450" s="49">
        <f t="shared" si="160"/>
        <v>1</v>
      </c>
      <c r="AF4450" s="23">
        <v>0</v>
      </c>
      <c r="AG4450" s="17">
        <v>0</v>
      </c>
      <c r="AH4450" s="360">
        <v>0.05</v>
      </c>
      <c r="AI4450" s="360">
        <v>0.06</v>
      </c>
      <c r="AJ4450" s="360">
        <v>7.0000000000000007E-2</v>
      </c>
      <c r="AK4450" s="361">
        <v>0.08</v>
      </c>
      <c r="AL4450" s="361">
        <v>0.09</v>
      </c>
      <c r="AM4450" s="17">
        <f t="shared" si="161"/>
        <v>0.16999999999999998</v>
      </c>
      <c r="AN4450" s="223" t="s">
        <v>3875</v>
      </c>
      <c r="AO4450" s="162" t="s">
        <v>3877</v>
      </c>
    </row>
    <row r="4451" spans="1:41" s="162" customFormat="1" x14ac:dyDescent="0.3">
      <c r="A4451" s="205" t="s">
        <v>8321</v>
      </c>
      <c r="B4451" s="162" t="s">
        <v>8322</v>
      </c>
      <c r="C4451" s="168" t="s">
        <v>13469</v>
      </c>
      <c r="D4451" s="162" t="s">
        <v>13544</v>
      </c>
      <c r="E4451" s="406" t="s">
        <v>13545</v>
      </c>
      <c r="F4451" s="162" t="s">
        <v>13546</v>
      </c>
      <c r="G4451" s="406">
        <v>163705</v>
      </c>
      <c r="H4451" s="162" t="s">
        <v>13605</v>
      </c>
      <c r="I4451" s="386" t="s">
        <v>13606</v>
      </c>
      <c r="J4451" s="162" t="s">
        <v>13607</v>
      </c>
      <c r="K4451" s="406" t="s">
        <v>15860</v>
      </c>
      <c r="L4451" s="162" t="s">
        <v>15861</v>
      </c>
      <c r="M4451" s="162" t="s">
        <v>15864</v>
      </c>
      <c r="O4451" s="224">
        <v>15</v>
      </c>
      <c r="P4451" s="224">
        <v>15</v>
      </c>
      <c r="Q4451" s="224">
        <v>15</v>
      </c>
      <c r="R4451" s="224">
        <v>16</v>
      </c>
      <c r="S4451" s="224">
        <v>19</v>
      </c>
      <c r="T4451" s="223" t="s">
        <v>3875</v>
      </c>
      <c r="U4451" t="str">
        <f>VLOOKUP(T4451,[8]Votes!$A$1:$E$234,3,FALSE)</f>
        <v>007 Ministry of Justice and Constitutional Affairs</v>
      </c>
      <c r="V4451" s="162" t="s">
        <v>15865</v>
      </c>
      <c r="W4451" s="501">
        <v>1</v>
      </c>
      <c r="X4451" s="388">
        <v>1</v>
      </c>
      <c r="Y4451" s="501">
        <v>1</v>
      </c>
      <c r="Z4451" s="501">
        <v>1</v>
      </c>
      <c r="AA4451" s="501">
        <v>1</v>
      </c>
      <c r="AB4451" s="501">
        <v>1</v>
      </c>
      <c r="AC4451" s="150">
        <v>1</v>
      </c>
      <c r="AD4451" s="501">
        <v>1</v>
      </c>
      <c r="AE4451" s="49">
        <f t="shared" si="160"/>
        <v>1</v>
      </c>
      <c r="AF4451" s="23">
        <v>0</v>
      </c>
      <c r="AG4451" s="17">
        <v>0</v>
      </c>
      <c r="AH4451" s="360">
        <v>0.03</v>
      </c>
      <c r="AI4451" s="360">
        <v>0.04</v>
      </c>
      <c r="AJ4451" s="360">
        <v>0.05</v>
      </c>
      <c r="AK4451" s="361">
        <v>0.06</v>
      </c>
      <c r="AL4451" s="361">
        <v>7.0000000000000007E-2</v>
      </c>
      <c r="AM4451" s="17">
        <f t="shared" si="161"/>
        <v>0.13</v>
      </c>
      <c r="AN4451" s="223" t="s">
        <v>3875</v>
      </c>
      <c r="AO4451" s="162" t="s">
        <v>3877</v>
      </c>
    </row>
    <row r="4452" spans="1:41" s="162" customFormat="1" x14ac:dyDescent="0.3">
      <c r="A4452" s="205" t="s">
        <v>8321</v>
      </c>
      <c r="B4452" s="162" t="s">
        <v>8322</v>
      </c>
      <c r="C4452" s="168" t="s">
        <v>13469</v>
      </c>
      <c r="D4452" s="162" t="s">
        <v>13544</v>
      </c>
      <c r="E4452" s="406" t="s">
        <v>13545</v>
      </c>
      <c r="F4452" s="162" t="s">
        <v>13546</v>
      </c>
      <c r="G4452" s="406">
        <v>163705</v>
      </c>
      <c r="H4452" s="162" t="s">
        <v>13605</v>
      </c>
      <c r="I4452" s="386" t="s">
        <v>13606</v>
      </c>
      <c r="J4452" s="162" t="s">
        <v>13607</v>
      </c>
      <c r="K4452" s="406" t="s">
        <v>15860</v>
      </c>
      <c r="L4452" s="162" t="s">
        <v>15861</v>
      </c>
      <c r="M4452" s="162" t="s">
        <v>15866</v>
      </c>
      <c r="O4452" s="224">
        <v>60</v>
      </c>
      <c r="P4452" s="224">
        <v>61</v>
      </c>
      <c r="Q4452" s="224">
        <v>63</v>
      </c>
      <c r="R4452" s="224">
        <v>65</v>
      </c>
      <c r="S4452" s="224">
        <v>70</v>
      </c>
      <c r="T4452" s="223" t="s">
        <v>3875</v>
      </c>
      <c r="U4452" t="str">
        <f>VLOOKUP(T4452,[8]Votes!$A$1:$E$234,3,FALSE)</f>
        <v>007 Ministry of Justice and Constitutional Affairs</v>
      </c>
      <c r="V4452" s="162" t="s">
        <v>15867</v>
      </c>
      <c r="W4452" s="501">
        <v>1</v>
      </c>
      <c r="X4452" s="388">
        <v>1</v>
      </c>
      <c r="Y4452" s="501">
        <v>1</v>
      </c>
      <c r="Z4452" s="501">
        <v>1</v>
      </c>
      <c r="AA4452" s="501">
        <v>1</v>
      </c>
      <c r="AB4452" s="501">
        <v>0</v>
      </c>
      <c r="AC4452" s="150">
        <v>1</v>
      </c>
      <c r="AD4452" s="501">
        <v>1</v>
      </c>
      <c r="AE4452" s="49">
        <f t="shared" si="160"/>
        <v>0.875</v>
      </c>
      <c r="AF4452" s="23">
        <v>0</v>
      </c>
      <c r="AG4452" s="17">
        <v>0</v>
      </c>
      <c r="AH4452" s="360">
        <v>0.08</v>
      </c>
      <c r="AI4452" s="360">
        <v>0.09</v>
      </c>
      <c r="AJ4452" s="360">
        <v>0.1</v>
      </c>
      <c r="AK4452" s="361">
        <v>0.11</v>
      </c>
      <c r="AL4452" s="361">
        <v>0.12</v>
      </c>
      <c r="AM4452" s="17">
        <f t="shared" si="161"/>
        <v>0.22999999999999998</v>
      </c>
      <c r="AN4452" s="223" t="s">
        <v>3875</v>
      </c>
      <c r="AO4452" s="162" t="s">
        <v>3877</v>
      </c>
    </row>
    <row r="4453" spans="1:41" s="162" customFormat="1" x14ac:dyDescent="0.3">
      <c r="A4453" s="205" t="s">
        <v>8321</v>
      </c>
      <c r="B4453" s="162" t="s">
        <v>8322</v>
      </c>
      <c r="C4453" s="168" t="s">
        <v>13469</v>
      </c>
      <c r="D4453" s="162" t="s">
        <v>13544</v>
      </c>
      <c r="E4453" s="406" t="s">
        <v>13545</v>
      </c>
      <c r="F4453" s="162" t="s">
        <v>13546</v>
      </c>
      <c r="G4453" s="406">
        <v>163705</v>
      </c>
      <c r="H4453" s="162" t="s">
        <v>13605</v>
      </c>
      <c r="I4453" s="386" t="s">
        <v>13606</v>
      </c>
      <c r="J4453" s="162" t="s">
        <v>13607</v>
      </c>
      <c r="K4453" s="406" t="s">
        <v>15868</v>
      </c>
      <c r="L4453" s="162" t="s">
        <v>15869</v>
      </c>
      <c r="M4453" s="162" t="s">
        <v>15870</v>
      </c>
      <c r="O4453" s="224">
        <v>500</v>
      </c>
      <c r="P4453" s="224">
        <v>500</v>
      </c>
      <c r="Q4453" s="224">
        <v>500</v>
      </c>
      <c r="R4453" s="224">
        <v>500</v>
      </c>
      <c r="S4453" s="224">
        <v>500</v>
      </c>
      <c r="T4453" s="223" t="s">
        <v>3875</v>
      </c>
      <c r="U4453" t="str">
        <f>VLOOKUP(T4453,[8]Votes!$A$1:$E$234,3,FALSE)</f>
        <v>007 Ministry of Justice and Constitutional Affairs</v>
      </c>
      <c r="V4453" s="162" t="s">
        <v>15871</v>
      </c>
      <c r="W4453" s="501">
        <v>1</v>
      </c>
      <c r="X4453" s="388">
        <v>1</v>
      </c>
      <c r="Y4453" s="501">
        <v>0</v>
      </c>
      <c r="Z4453" s="501">
        <v>1</v>
      </c>
      <c r="AA4453" s="501">
        <v>1</v>
      </c>
      <c r="AB4453" s="501">
        <v>0</v>
      </c>
      <c r="AC4453" s="150">
        <v>1</v>
      </c>
      <c r="AD4453" s="150">
        <v>0</v>
      </c>
      <c r="AE4453" s="49">
        <f t="shared" si="160"/>
        <v>0.625</v>
      </c>
      <c r="AF4453" s="23">
        <v>0</v>
      </c>
      <c r="AG4453" s="17">
        <v>0</v>
      </c>
      <c r="AH4453" s="190">
        <v>0</v>
      </c>
      <c r="AI4453" s="360">
        <v>0.23</v>
      </c>
      <c r="AJ4453" s="360">
        <v>0.25</v>
      </c>
      <c r="AK4453" s="361">
        <v>0.27</v>
      </c>
      <c r="AL4453" s="361">
        <v>0.3</v>
      </c>
      <c r="AM4453" s="17">
        <f t="shared" si="161"/>
        <v>0.57000000000000006</v>
      </c>
      <c r="AN4453" s="223" t="s">
        <v>3875</v>
      </c>
      <c r="AO4453" s="162" t="s">
        <v>3877</v>
      </c>
    </row>
    <row r="4454" spans="1:41" s="162" customFormat="1" x14ac:dyDescent="0.3">
      <c r="A4454" s="205" t="s">
        <v>8321</v>
      </c>
      <c r="B4454" s="162" t="s">
        <v>8322</v>
      </c>
      <c r="C4454" s="168" t="s">
        <v>13469</v>
      </c>
      <c r="D4454" s="162" t="s">
        <v>13544</v>
      </c>
      <c r="E4454" s="406" t="s">
        <v>13545</v>
      </c>
      <c r="F4454" s="162" t="s">
        <v>13546</v>
      </c>
      <c r="G4454" s="406">
        <v>163705</v>
      </c>
      <c r="H4454" s="162" t="s">
        <v>13605</v>
      </c>
      <c r="I4454" s="386" t="s">
        <v>13606</v>
      </c>
      <c r="J4454" s="162" t="s">
        <v>13607</v>
      </c>
      <c r="K4454" s="406" t="s">
        <v>15868</v>
      </c>
      <c r="L4454" s="162" t="s">
        <v>15869</v>
      </c>
      <c r="M4454" s="162" t="s">
        <v>15872</v>
      </c>
      <c r="O4454" s="224"/>
      <c r="P4454" s="224">
        <v>500</v>
      </c>
      <c r="Q4454" s="224">
        <v>300</v>
      </c>
      <c r="R4454" s="224">
        <v>250</v>
      </c>
      <c r="S4454" s="224">
        <v>250</v>
      </c>
      <c r="T4454" s="223" t="s">
        <v>3875</v>
      </c>
      <c r="U4454" t="str">
        <f>VLOOKUP(T4454,[8]Votes!$A$1:$E$234,3,FALSE)</f>
        <v>007 Ministry of Justice and Constitutional Affairs</v>
      </c>
      <c r="V4454" s="162" t="s">
        <v>15873</v>
      </c>
      <c r="W4454" s="501">
        <v>1</v>
      </c>
      <c r="X4454" s="388">
        <v>1</v>
      </c>
      <c r="Y4454" s="501">
        <v>1</v>
      </c>
      <c r="Z4454" s="501">
        <v>1</v>
      </c>
      <c r="AA4454" s="501">
        <v>1</v>
      </c>
      <c r="AB4454" s="501">
        <v>0</v>
      </c>
      <c r="AC4454" s="150">
        <v>0</v>
      </c>
      <c r="AD4454" s="150">
        <v>0</v>
      </c>
      <c r="AE4454" s="49">
        <f t="shared" si="160"/>
        <v>0.625</v>
      </c>
      <c r="AF4454" s="23">
        <v>0</v>
      </c>
      <c r="AG4454" s="17">
        <v>0</v>
      </c>
      <c r="AH4454" s="190">
        <v>0</v>
      </c>
      <c r="AI4454" s="360">
        <v>0.36099999999999999</v>
      </c>
      <c r="AJ4454" s="360">
        <v>0.35</v>
      </c>
      <c r="AK4454" s="361">
        <v>0.36</v>
      </c>
      <c r="AL4454" s="361">
        <v>0.4</v>
      </c>
      <c r="AM4454" s="17">
        <f t="shared" si="161"/>
        <v>0.76</v>
      </c>
      <c r="AN4454" s="223" t="s">
        <v>3875</v>
      </c>
      <c r="AO4454" s="162" t="s">
        <v>3877</v>
      </c>
    </row>
    <row r="4455" spans="1:41" s="162" customFormat="1" x14ac:dyDescent="0.3">
      <c r="A4455" s="205" t="s">
        <v>8321</v>
      </c>
      <c r="B4455" s="162" t="s">
        <v>8322</v>
      </c>
      <c r="C4455" s="168" t="s">
        <v>13469</v>
      </c>
      <c r="D4455" s="162" t="s">
        <v>13544</v>
      </c>
      <c r="E4455" s="406" t="s">
        <v>13545</v>
      </c>
      <c r="F4455" s="162" t="s">
        <v>13546</v>
      </c>
      <c r="G4455" s="406">
        <v>163705</v>
      </c>
      <c r="H4455" s="162" t="s">
        <v>13605</v>
      </c>
      <c r="I4455" s="386" t="s">
        <v>13606</v>
      </c>
      <c r="J4455" s="162" t="s">
        <v>13607</v>
      </c>
      <c r="K4455" s="406" t="s">
        <v>15868</v>
      </c>
      <c r="L4455" s="162" t="s">
        <v>15869</v>
      </c>
      <c r="M4455" s="162" t="s">
        <v>15874</v>
      </c>
      <c r="O4455" s="224"/>
      <c r="P4455" s="224">
        <v>3</v>
      </c>
      <c r="Q4455" s="224">
        <v>3</v>
      </c>
      <c r="R4455" s="224">
        <v>4</v>
      </c>
      <c r="S4455" s="224">
        <v>4</v>
      </c>
      <c r="T4455" s="223" t="s">
        <v>3875</v>
      </c>
      <c r="U4455" t="str">
        <f>VLOOKUP(T4455,[8]Votes!$A$1:$E$234,3,FALSE)</f>
        <v>007 Ministry of Justice and Constitutional Affairs</v>
      </c>
      <c r="V4455" s="162" t="s">
        <v>15875</v>
      </c>
      <c r="W4455" s="501">
        <v>1</v>
      </c>
      <c r="X4455" s="388">
        <v>1</v>
      </c>
      <c r="Y4455" s="501">
        <v>0</v>
      </c>
      <c r="Z4455" s="501">
        <v>1</v>
      </c>
      <c r="AA4455" s="501">
        <v>1</v>
      </c>
      <c r="AB4455" s="501">
        <v>0</v>
      </c>
      <c r="AC4455" s="150">
        <v>0</v>
      </c>
      <c r="AD4455" s="150">
        <v>0</v>
      </c>
      <c r="AE4455" s="49">
        <f t="shared" si="160"/>
        <v>0.5</v>
      </c>
      <c r="AF4455" s="23">
        <v>0</v>
      </c>
      <c r="AG4455" s="17">
        <v>0</v>
      </c>
      <c r="AH4455" s="190">
        <v>0</v>
      </c>
      <c r="AI4455" s="360">
        <v>9.1999999999999998E-2</v>
      </c>
      <c r="AJ4455" s="360">
        <v>0.12</v>
      </c>
      <c r="AK4455" s="361">
        <v>0.05</v>
      </c>
      <c r="AL4455" s="361">
        <v>0.05</v>
      </c>
      <c r="AM4455" s="17">
        <f t="shared" si="161"/>
        <v>0.1</v>
      </c>
      <c r="AN4455" s="223" t="s">
        <v>3875</v>
      </c>
      <c r="AO4455" s="162" t="s">
        <v>3877</v>
      </c>
    </row>
    <row r="4456" spans="1:41" s="162" customFormat="1" x14ac:dyDescent="0.3">
      <c r="A4456" s="205" t="s">
        <v>8321</v>
      </c>
      <c r="B4456" s="162" t="s">
        <v>8322</v>
      </c>
      <c r="C4456" s="168" t="s">
        <v>13469</v>
      </c>
      <c r="D4456" s="162" t="s">
        <v>13544</v>
      </c>
      <c r="E4456" s="406" t="s">
        <v>13545</v>
      </c>
      <c r="F4456" s="162" t="s">
        <v>13546</v>
      </c>
      <c r="G4456" s="406">
        <v>163705</v>
      </c>
      <c r="H4456" s="162" t="s">
        <v>13605</v>
      </c>
      <c r="I4456" s="386" t="s">
        <v>13616</v>
      </c>
      <c r="J4456" s="162" t="s">
        <v>13617</v>
      </c>
      <c r="K4456" s="162" t="s">
        <v>15876</v>
      </c>
      <c r="L4456" s="162" t="s">
        <v>15877</v>
      </c>
      <c r="M4456" s="162" t="s">
        <v>15878</v>
      </c>
      <c r="O4456" s="224"/>
      <c r="P4456" s="224">
        <v>4</v>
      </c>
      <c r="Q4456" s="224">
        <v>4</v>
      </c>
      <c r="R4456" s="224">
        <v>5</v>
      </c>
      <c r="S4456" s="224">
        <v>5</v>
      </c>
      <c r="T4456" s="223" t="s">
        <v>3875</v>
      </c>
      <c r="U4456" t="str">
        <f>VLOOKUP(T4456,[8]Votes!$A$1:$E$234,3,FALSE)</f>
        <v>007 Ministry of Justice and Constitutional Affairs</v>
      </c>
      <c r="V4456" s="162" t="s">
        <v>15879</v>
      </c>
      <c r="W4456" s="501">
        <v>1</v>
      </c>
      <c r="X4456" s="388">
        <v>1</v>
      </c>
      <c r="Y4456" s="501">
        <v>0</v>
      </c>
      <c r="Z4456" s="501">
        <v>1</v>
      </c>
      <c r="AA4456" s="501">
        <v>1</v>
      </c>
      <c r="AB4456" s="501">
        <v>0</v>
      </c>
      <c r="AC4456" s="150">
        <v>0</v>
      </c>
      <c r="AD4456" s="150">
        <v>1</v>
      </c>
      <c r="AE4456" s="49">
        <f t="shared" si="160"/>
        <v>0.625</v>
      </c>
      <c r="AF4456" s="23">
        <v>0</v>
      </c>
      <c r="AG4456" s="17">
        <v>0</v>
      </c>
      <c r="AH4456" s="190">
        <v>0</v>
      </c>
      <c r="AI4456" s="360">
        <v>4.5999999999999999E-2</v>
      </c>
      <c r="AJ4456" s="360">
        <v>7.0000000000000007E-2</v>
      </c>
      <c r="AK4456" s="361">
        <v>0.18</v>
      </c>
      <c r="AL4456" s="361">
        <v>0.2</v>
      </c>
      <c r="AM4456" s="17">
        <f t="shared" si="161"/>
        <v>0.38</v>
      </c>
      <c r="AN4456" s="223" t="s">
        <v>3875</v>
      </c>
      <c r="AO4456" s="162" t="s">
        <v>3877</v>
      </c>
    </row>
    <row r="4457" spans="1:41" s="162" customFormat="1" x14ac:dyDescent="0.3">
      <c r="A4457" s="205" t="s">
        <v>8321</v>
      </c>
      <c r="B4457" s="162" t="s">
        <v>8322</v>
      </c>
      <c r="C4457" s="168" t="s">
        <v>13469</v>
      </c>
      <c r="D4457" s="162" t="s">
        <v>13544</v>
      </c>
      <c r="E4457" s="406" t="s">
        <v>13545</v>
      </c>
      <c r="F4457" s="162" t="s">
        <v>13546</v>
      </c>
      <c r="G4457" s="406">
        <v>163705</v>
      </c>
      <c r="H4457" s="162" t="s">
        <v>13605</v>
      </c>
      <c r="I4457" s="386" t="s">
        <v>13616</v>
      </c>
      <c r="J4457" s="162" t="s">
        <v>13617</v>
      </c>
      <c r="K4457" s="162" t="s">
        <v>15880</v>
      </c>
      <c r="L4457" s="162" t="s">
        <v>15881</v>
      </c>
      <c r="M4457" s="162" t="s">
        <v>15882</v>
      </c>
      <c r="O4457" s="224">
        <v>1</v>
      </c>
      <c r="P4457" s="224">
        <v>6</v>
      </c>
      <c r="Q4457" s="224">
        <v>2</v>
      </c>
      <c r="R4457" s="224">
        <v>2</v>
      </c>
      <c r="S4457" s="224">
        <v>1</v>
      </c>
      <c r="T4457" s="223" t="s">
        <v>3875</v>
      </c>
      <c r="U4457" t="str">
        <f>VLOOKUP(T4457,[8]Votes!$A$1:$E$234,3,FALSE)</f>
        <v>007 Ministry of Justice and Constitutional Affairs</v>
      </c>
      <c r="V4457" s="162" t="s">
        <v>15883</v>
      </c>
      <c r="W4457" s="501">
        <v>1</v>
      </c>
      <c r="X4457" s="388">
        <v>1</v>
      </c>
      <c r="Y4457" s="501">
        <v>0</v>
      </c>
      <c r="Z4457" s="501">
        <v>1</v>
      </c>
      <c r="AA4457" s="501">
        <v>1</v>
      </c>
      <c r="AB4457" s="501">
        <v>0</v>
      </c>
      <c r="AC4457" s="150">
        <v>0</v>
      </c>
      <c r="AD4457" s="150">
        <v>0</v>
      </c>
      <c r="AE4457" s="49">
        <f t="shared" si="160"/>
        <v>0.5</v>
      </c>
      <c r="AF4457" s="23">
        <v>0</v>
      </c>
      <c r="AG4457" s="17">
        <v>0</v>
      </c>
      <c r="AH4457" s="360">
        <v>0.1</v>
      </c>
      <c r="AI4457" s="360">
        <v>0.6</v>
      </c>
      <c r="AJ4457" s="360">
        <v>0.2</v>
      </c>
      <c r="AK4457" s="361">
        <v>0.2</v>
      </c>
      <c r="AL4457" s="361">
        <v>0.1</v>
      </c>
      <c r="AM4457" s="17">
        <f t="shared" si="161"/>
        <v>0.30000000000000004</v>
      </c>
      <c r="AN4457" s="223" t="s">
        <v>3875</v>
      </c>
      <c r="AO4457" s="162" t="s">
        <v>3877</v>
      </c>
    </row>
    <row r="4458" spans="1:41" s="162" customFormat="1" x14ac:dyDescent="0.3">
      <c r="A4458" s="205" t="s">
        <v>8321</v>
      </c>
      <c r="B4458" s="162" t="s">
        <v>8322</v>
      </c>
      <c r="C4458" s="168" t="s">
        <v>13469</v>
      </c>
      <c r="D4458" s="162" t="s">
        <v>13544</v>
      </c>
      <c r="E4458" s="406" t="s">
        <v>13545</v>
      </c>
      <c r="F4458" s="162" t="s">
        <v>13546</v>
      </c>
      <c r="G4458" s="406">
        <v>163705</v>
      </c>
      <c r="H4458" s="162" t="s">
        <v>13605</v>
      </c>
      <c r="I4458" s="386" t="s">
        <v>13616</v>
      </c>
      <c r="J4458" s="162" t="s">
        <v>13617</v>
      </c>
      <c r="K4458" s="162" t="s">
        <v>15880</v>
      </c>
      <c r="L4458" s="162" t="s">
        <v>15881</v>
      </c>
      <c r="M4458" s="162" t="s">
        <v>15882</v>
      </c>
      <c r="O4458" s="224"/>
      <c r="P4458" s="224">
        <v>3</v>
      </c>
      <c r="Q4458" s="224">
        <v>3</v>
      </c>
      <c r="R4458" s="224"/>
      <c r="S4458" s="224"/>
      <c r="T4458" s="223" t="s">
        <v>3875</v>
      </c>
      <c r="U4458" t="str">
        <f>VLOOKUP(T4458,[8]Votes!$A$1:$E$234,3,FALSE)</f>
        <v>007 Ministry of Justice and Constitutional Affairs</v>
      </c>
      <c r="V4458" s="162" t="s">
        <v>15884</v>
      </c>
      <c r="W4458" s="501">
        <v>1</v>
      </c>
      <c r="X4458" s="388">
        <v>1</v>
      </c>
      <c r="Y4458" s="501">
        <v>0</v>
      </c>
      <c r="Z4458" s="501">
        <v>1</v>
      </c>
      <c r="AA4458" s="501">
        <v>1</v>
      </c>
      <c r="AB4458" s="501">
        <v>0</v>
      </c>
      <c r="AC4458" s="150">
        <v>0</v>
      </c>
      <c r="AD4458" s="150">
        <v>0</v>
      </c>
      <c r="AE4458" s="49">
        <f t="shared" si="160"/>
        <v>0.5</v>
      </c>
      <c r="AF4458" s="23">
        <v>0</v>
      </c>
      <c r="AG4458" s="17">
        <v>0</v>
      </c>
      <c r="AH4458" s="360">
        <v>0.3</v>
      </c>
      <c r="AI4458" s="360">
        <v>0.3</v>
      </c>
      <c r="AJ4458" s="190">
        <v>0</v>
      </c>
      <c r="AK4458" s="191">
        <v>0</v>
      </c>
      <c r="AL4458" s="191">
        <v>0</v>
      </c>
      <c r="AM4458" s="17">
        <f t="shared" si="161"/>
        <v>0</v>
      </c>
      <c r="AN4458" s="162" t="s">
        <v>3875</v>
      </c>
      <c r="AO4458" s="162" t="s">
        <v>3877</v>
      </c>
    </row>
    <row r="4459" spans="1:41" s="162" customFormat="1" x14ac:dyDescent="0.3">
      <c r="A4459" s="205" t="s">
        <v>8321</v>
      </c>
      <c r="B4459" s="162" t="s">
        <v>8322</v>
      </c>
      <c r="C4459" s="168" t="s">
        <v>13469</v>
      </c>
      <c r="D4459" s="162" t="s">
        <v>13544</v>
      </c>
      <c r="E4459" s="406" t="s">
        <v>13545</v>
      </c>
      <c r="F4459" s="162" t="s">
        <v>13546</v>
      </c>
      <c r="G4459" s="406">
        <v>163705</v>
      </c>
      <c r="H4459" s="162" t="s">
        <v>13605</v>
      </c>
      <c r="I4459" s="386" t="s">
        <v>13616</v>
      </c>
      <c r="J4459" s="162" t="s">
        <v>13617</v>
      </c>
      <c r="K4459" s="162" t="s">
        <v>15880</v>
      </c>
      <c r="L4459" s="162" t="s">
        <v>15881</v>
      </c>
      <c r="M4459" s="162" t="s">
        <v>15882</v>
      </c>
      <c r="O4459" s="224"/>
      <c r="P4459" s="224">
        <v>3</v>
      </c>
      <c r="Q4459" s="224">
        <v>3</v>
      </c>
      <c r="R4459" s="224"/>
      <c r="S4459" s="224"/>
      <c r="T4459" s="223" t="s">
        <v>1581</v>
      </c>
      <c r="U4459" t="str">
        <f>VLOOKUP(T4459,[8]Votes!$A$1:$E$234,3,FALSE)</f>
        <v>119 Uganda Registration Services Bureau</v>
      </c>
      <c r="V4459" s="162" t="s">
        <v>15884</v>
      </c>
      <c r="W4459" s="501">
        <v>1</v>
      </c>
      <c r="X4459" s="388">
        <v>1</v>
      </c>
      <c r="Y4459" s="501">
        <v>0</v>
      </c>
      <c r="Z4459" s="501">
        <v>1</v>
      </c>
      <c r="AA4459" s="501">
        <v>1</v>
      </c>
      <c r="AB4459" s="501">
        <v>0</v>
      </c>
      <c r="AC4459" s="150">
        <v>0</v>
      </c>
      <c r="AD4459" s="150">
        <v>0</v>
      </c>
      <c r="AE4459" s="49">
        <f t="shared" si="160"/>
        <v>0.5</v>
      </c>
      <c r="AF4459" s="23">
        <v>0</v>
      </c>
      <c r="AG4459" s="17">
        <v>0</v>
      </c>
      <c r="AH4459" s="190">
        <v>0</v>
      </c>
      <c r="AI4459" s="190">
        <v>0</v>
      </c>
      <c r="AJ4459" s="190">
        <v>0</v>
      </c>
      <c r="AK4459" s="191">
        <v>0</v>
      </c>
      <c r="AL4459" s="191">
        <v>0</v>
      </c>
      <c r="AM4459" s="17">
        <f t="shared" si="161"/>
        <v>0</v>
      </c>
      <c r="AN4459" s="162" t="s">
        <v>1581</v>
      </c>
      <c r="AO4459" s="162" t="s">
        <v>1583</v>
      </c>
    </row>
    <row r="4460" spans="1:41" s="162" customFormat="1" x14ac:dyDescent="0.3">
      <c r="A4460" s="205" t="s">
        <v>8321</v>
      </c>
      <c r="B4460" s="162" t="s">
        <v>8322</v>
      </c>
      <c r="C4460" s="168" t="s">
        <v>13469</v>
      </c>
      <c r="D4460" s="162" t="s">
        <v>13544</v>
      </c>
      <c r="E4460" s="406" t="s">
        <v>13545</v>
      </c>
      <c r="F4460" s="162" t="s">
        <v>13546</v>
      </c>
      <c r="G4460" s="406">
        <v>163705</v>
      </c>
      <c r="H4460" s="162" t="s">
        <v>13605</v>
      </c>
      <c r="I4460" s="386" t="s">
        <v>13616</v>
      </c>
      <c r="J4460" s="162" t="s">
        <v>13617</v>
      </c>
      <c r="K4460" s="162" t="s">
        <v>15885</v>
      </c>
      <c r="L4460" s="162" t="s">
        <v>15886</v>
      </c>
      <c r="M4460" s="162" t="s">
        <v>15887</v>
      </c>
      <c r="O4460" s="224">
        <v>160</v>
      </c>
      <c r="P4460" s="224">
        <v>160</v>
      </c>
      <c r="Q4460" s="224">
        <v>160</v>
      </c>
      <c r="R4460" s="224">
        <v>160</v>
      </c>
      <c r="S4460" s="224">
        <v>160</v>
      </c>
      <c r="T4460" s="223" t="s">
        <v>11865</v>
      </c>
      <c r="U4460" t="str">
        <f>VLOOKUP(T4460,[8]Votes!$A$1:$E$234,3,FALSE)</f>
        <v>133 Office of the Director of Public Prosecutions</v>
      </c>
      <c r="V4460" s="162" t="s">
        <v>11884</v>
      </c>
      <c r="W4460" s="501">
        <v>1</v>
      </c>
      <c r="X4460" s="388">
        <v>1</v>
      </c>
      <c r="Y4460" s="501">
        <v>0</v>
      </c>
      <c r="Z4460" s="501">
        <v>1</v>
      </c>
      <c r="AA4460" s="416">
        <v>1</v>
      </c>
      <c r="AB4460" s="501">
        <v>0</v>
      </c>
      <c r="AC4460" s="388">
        <v>1</v>
      </c>
      <c r="AD4460" s="388">
        <v>1</v>
      </c>
      <c r="AE4460" s="49">
        <f t="shared" si="160"/>
        <v>0.75</v>
      </c>
      <c r="AF4460" s="23">
        <v>0</v>
      </c>
      <c r="AG4460" s="17">
        <v>0</v>
      </c>
      <c r="AH4460" s="360">
        <v>0.3</v>
      </c>
      <c r="AI4460" s="360">
        <v>0.3</v>
      </c>
      <c r="AJ4460" s="360">
        <v>0.3</v>
      </c>
      <c r="AK4460" s="361">
        <v>0.3</v>
      </c>
      <c r="AL4460" s="361">
        <v>0.3</v>
      </c>
      <c r="AM4460" s="17">
        <f t="shared" si="161"/>
        <v>0.6</v>
      </c>
      <c r="AN4460" s="162" t="s">
        <v>11865</v>
      </c>
      <c r="AO4460" s="162" t="s">
        <v>11866</v>
      </c>
    </row>
    <row r="4461" spans="1:41" s="162" customFormat="1" x14ac:dyDescent="0.3">
      <c r="A4461" s="205" t="s">
        <v>8321</v>
      </c>
      <c r="B4461" s="162" t="s">
        <v>8322</v>
      </c>
      <c r="C4461" s="168" t="s">
        <v>13469</v>
      </c>
      <c r="D4461" s="162" t="s">
        <v>13544</v>
      </c>
      <c r="E4461" s="406" t="s">
        <v>13545</v>
      </c>
      <c r="F4461" s="162" t="s">
        <v>13546</v>
      </c>
      <c r="G4461" s="406">
        <v>163705</v>
      </c>
      <c r="H4461" s="162" t="s">
        <v>13605</v>
      </c>
      <c r="I4461" s="386" t="s">
        <v>13616</v>
      </c>
      <c r="J4461" s="162" t="s">
        <v>13617</v>
      </c>
      <c r="K4461" s="162" t="s">
        <v>15888</v>
      </c>
      <c r="L4461" s="162" t="s">
        <v>15889</v>
      </c>
      <c r="M4461" s="162" t="s">
        <v>15890</v>
      </c>
      <c r="O4461" s="224">
        <v>200</v>
      </c>
      <c r="P4461" s="224">
        <v>200</v>
      </c>
      <c r="Q4461" s="224">
        <v>200</v>
      </c>
      <c r="R4461" s="224">
        <v>200</v>
      </c>
      <c r="S4461" s="224">
        <v>200</v>
      </c>
      <c r="T4461" s="223" t="s">
        <v>11865</v>
      </c>
      <c r="U4461" t="str">
        <f>VLOOKUP(T4461,[8]Votes!$A$1:$E$234,3,FALSE)</f>
        <v>133 Office of the Director of Public Prosecutions</v>
      </c>
      <c r="V4461" s="162" t="s">
        <v>15891</v>
      </c>
      <c r="W4461" s="501">
        <v>1</v>
      </c>
      <c r="X4461" s="388">
        <v>1</v>
      </c>
      <c r="Y4461" s="501">
        <v>0</v>
      </c>
      <c r="Z4461" s="501">
        <v>1</v>
      </c>
      <c r="AA4461" s="416">
        <v>1</v>
      </c>
      <c r="AB4461" s="501">
        <v>0</v>
      </c>
      <c r="AC4461" s="388">
        <v>1</v>
      </c>
      <c r="AD4461" s="388">
        <v>1</v>
      </c>
      <c r="AE4461" s="49">
        <f t="shared" si="160"/>
        <v>0.75</v>
      </c>
      <c r="AF4461" s="23">
        <v>0</v>
      </c>
      <c r="AG4461" s="17">
        <v>0</v>
      </c>
      <c r="AH4461" s="360">
        <v>0.6</v>
      </c>
      <c r="AI4461" s="360">
        <v>0.6</v>
      </c>
      <c r="AJ4461" s="360">
        <v>0.6</v>
      </c>
      <c r="AK4461" s="361">
        <v>0.6</v>
      </c>
      <c r="AL4461" s="361">
        <v>0.6</v>
      </c>
      <c r="AM4461" s="17">
        <f t="shared" si="161"/>
        <v>1.2</v>
      </c>
      <c r="AN4461" s="162" t="s">
        <v>11865</v>
      </c>
      <c r="AO4461" s="162" t="s">
        <v>11866</v>
      </c>
    </row>
    <row r="4462" spans="1:41" s="162" customFormat="1" x14ac:dyDescent="0.3">
      <c r="A4462" s="205" t="s">
        <v>8321</v>
      </c>
      <c r="B4462" s="162" t="s">
        <v>8322</v>
      </c>
      <c r="C4462" s="168" t="s">
        <v>13469</v>
      </c>
      <c r="D4462" s="162" t="s">
        <v>13544</v>
      </c>
      <c r="E4462" s="406" t="s">
        <v>13545</v>
      </c>
      <c r="F4462" s="162" t="s">
        <v>13546</v>
      </c>
      <c r="G4462" s="406">
        <v>163705</v>
      </c>
      <c r="H4462" s="162" t="s">
        <v>13605</v>
      </c>
      <c r="I4462" s="386" t="s">
        <v>13616</v>
      </c>
      <c r="J4462" s="162" t="s">
        <v>13617</v>
      </c>
      <c r="K4462" s="162" t="s">
        <v>15892</v>
      </c>
      <c r="L4462" s="162" t="s">
        <v>15893</v>
      </c>
      <c r="M4462" s="162" t="s">
        <v>15894</v>
      </c>
      <c r="O4462" s="224">
        <v>4</v>
      </c>
      <c r="P4462" s="224">
        <v>4</v>
      </c>
      <c r="Q4462" s="224">
        <v>4</v>
      </c>
      <c r="R4462" s="224">
        <v>4</v>
      </c>
      <c r="S4462" s="224">
        <v>4</v>
      </c>
      <c r="T4462" s="223" t="s">
        <v>11865</v>
      </c>
      <c r="U4462" t="str">
        <f>VLOOKUP(T4462,[8]Votes!$A$1:$E$234,3,FALSE)</f>
        <v>133 Office of the Director of Public Prosecutions</v>
      </c>
      <c r="V4462" s="162" t="s">
        <v>15895</v>
      </c>
      <c r="W4462" s="501">
        <v>1</v>
      </c>
      <c r="X4462" s="388">
        <v>1</v>
      </c>
      <c r="Y4462" s="501">
        <v>0</v>
      </c>
      <c r="Z4462" s="501">
        <v>1</v>
      </c>
      <c r="AA4462" s="416">
        <v>1</v>
      </c>
      <c r="AB4462" s="501">
        <v>0</v>
      </c>
      <c r="AC4462" s="388">
        <v>1</v>
      </c>
      <c r="AD4462" s="388">
        <v>1</v>
      </c>
      <c r="AE4462" s="49">
        <f t="shared" si="160"/>
        <v>0.75</v>
      </c>
      <c r="AF4462" s="23">
        <v>0</v>
      </c>
      <c r="AG4462" s="17">
        <v>0</v>
      </c>
      <c r="AH4462" s="360">
        <v>0.6</v>
      </c>
      <c r="AI4462" s="360">
        <v>0.6</v>
      </c>
      <c r="AJ4462" s="360">
        <v>0.6</v>
      </c>
      <c r="AK4462" s="361">
        <v>0.6</v>
      </c>
      <c r="AL4462" s="361">
        <v>0.6</v>
      </c>
      <c r="AM4462" s="17">
        <f t="shared" si="161"/>
        <v>1.2</v>
      </c>
      <c r="AN4462" s="162" t="s">
        <v>11865</v>
      </c>
      <c r="AO4462" s="162" t="s">
        <v>11866</v>
      </c>
    </row>
    <row r="4463" spans="1:41" s="162" customFormat="1" x14ac:dyDescent="0.3">
      <c r="A4463" s="205" t="s">
        <v>8321</v>
      </c>
      <c r="B4463" s="162" t="s">
        <v>8322</v>
      </c>
      <c r="C4463" s="168" t="s">
        <v>13469</v>
      </c>
      <c r="D4463" s="162" t="s">
        <v>13544</v>
      </c>
      <c r="E4463" s="406" t="s">
        <v>13545</v>
      </c>
      <c r="F4463" s="162" t="s">
        <v>13546</v>
      </c>
      <c r="G4463" s="406">
        <v>163705</v>
      </c>
      <c r="H4463" s="162" t="s">
        <v>13605</v>
      </c>
      <c r="I4463" s="386" t="s">
        <v>13616</v>
      </c>
      <c r="J4463" s="162" t="s">
        <v>13617</v>
      </c>
      <c r="K4463" s="162" t="s">
        <v>15896</v>
      </c>
      <c r="L4463" s="162" t="s">
        <v>15897</v>
      </c>
      <c r="M4463" s="162" t="s">
        <v>15898</v>
      </c>
      <c r="O4463" s="224">
        <v>500</v>
      </c>
      <c r="P4463" s="224">
        <v>500</v>
      </c>
      <c r="Q4463" s="224">
        <v>500</v>
      </c>
      <c r="R4463" s="224">
        <v>500</v>
      </c>
      <c r="S4463" s="224">
        <v>500</v>
      </c>
      <c r="T4463" s="223" t="s">
        <v>11865</v>
      </c>
      <c r="U4463" t="str">
        <f>VLOOKUP(T4463,[8]Votes!$A$1:$E$234,3,FALSE)</f>
        <v>133 Office of the Director of Public Prosecutions</v>
      </c>
      <c r="V4463" s="162" t="s">
        <v>15899</v>
      </c>
      <c r="W4463" s="501">
        <v>1</v>
      </c>
      <c r="X4463" s="388">
        <v>1</v>
      </c>
      <c r="Y4463" s="501">
        <v>0</v>
      </c>
      <c r="Z4463" s="501">
        <v>1</v>
      </c>
      <c r="AA4463" s="416">
        <v>1</v>
      </c>
      <c r="AB4463" s="501">
        <v>0</v>
      </c>
      <c r="AC4463" s="388">
        <v>1</v>
      </c>
      <c r="AD4463" s="388">
        <v>1</v>
      </c>
      <c r="AE4463" s="49">
        <f t="shared" si="160"/>
        <v>0.75</v>
      </c>
      <c r="AF4463" s="23">
        <v>0</v>
      </c>
      <c r="AG4463" s="17">
        <v>0</v>
      </c>
      <c r="AH4463" s="360">
        <v>0.1</v>
      </c>
      <c r="AI4463" s="360">
        <v>0.1</v>
      </c>
      <c r="AJ4463" s="360">
        <v>0.1</v>
      </c>
      <c r="AK4463" s="361">
        <v>0.2</v>
      </c>
      <c r="AL4463" s="361">
        <v>0.2</v>
      </c>
      <c r="AM4463" s="17">
        <f t="shared" si="161"/>
        <v>0.4</v>
      </c>
      <c r="AN4463" s="162" t="s">
        <v>11865</v>
      </c>
      <c r="AO4463" s="162" t="s">
        <v>11866</v>
      </c>
    </row>
    <row r="4464" spans="1:41" s="162" customFormat="1" x14ac:dyDescent="0.3">
      <c r="A4464" s="205" t="s">
        <v>8321</v>
      </c>
      <c r="B4464" s="162" t="s">
        <v>8322</v>
      </c>
      <c r="C4464" s="168" t="s">
        <v>13469</v>
      </c>
      <c r="D4464" s="162" t="s">
        <v>13544</v>
      </c>
      <c r="E4464" s="406" t="s">
        <v>13545</v>
      </c>
      <c r="F4464" s="162" t="s">
        <v>13546</v>
      </c>
      <c r="G4464" s="406">
        <v>163705</v>
      </c>
      <c r="H4464" s="162" t="s">
        <v>13605</v>
      </c>
      <c r="I4464" s="386" t="s">
        <v>13616</v>
      </c>
      <c r="J4464" s="162" t="s">
        <v>13617</v>
      </c>
      <c r="K4464" s="162" t="s">
        <v>15900</v>
      </c>
      <c r="L4464" s="162" t="s">
        <v>15901</v>
      </c>
      <c r="M4464" s="162" t="s">
        <v>15902</v>
      </c>
      <c r="O4464" s="224">
        <v>200</v>
      </c>
      <c r="P4464" s="224">
        <v>200</v>
      </c>
      <c r="Q4464" s="224">
        <v>200</v>
      </c>
      <c r="R4464" s="224">
        <v>200</v>
      </c>
      <c r="S4464" s="224">
        <v>200</v>
      </c>
      <c r="T4464" s="223" t="s">
        <v>11865</v>
      </c>
      <c r="U4464" t="str">
        <f>VLOOKUP(T4464,[8]Votes!$A$1:$E$234,3,FALSE)</f>
        <v>133 Office of the Director of Public Prosecutions</v>
      </c>
      <c r="V4464" s="162" t="s">
        <v>15903</v>
      </c>
      <c r="W4464" s="501">
        <v>1</v>
      </c>
      <c r="X4464" s="388">
        <v>1</v>
      </c>
      <c r="Y4464" s="501">
        <v>0</v>
      </c>
      <c r="Z4464" s="501">
        <v>1</v>
      </c>
      <c r="AA4464" s="416">
        <v>1</v>
      </c>
      <c r="AB4464" s="501">
        <v>0</v>
      </c>
      <c r="AC4464" s="388">
        <v>1</v>
      </c>
      <c r="AD4464" s="388">
        <v>1</v>
      </c>
      <c r="AE4464" s="49">
        <f t="shared" si="160"/>
        <v>0.75</v>
      </c>
      <c r="AF4464" s="23">
        <v>0</v>
      </c>
      <c r="AG4464" s="17">
        <v>0</v>
      </c>
      <c r="AH4464" s="360">
        <v>0.5</v>
      </c>
      <c r="AI4464" s="360">
        <v>0.5</v>
      </c>
      <c r="AJ4464" s="360">
        <v>0.5</v>
      </c>
      <c r="AK4464" s="361">
        <v>1</v>
      </c>
      <c r="AL4464" s="361">
        <v>1</v>
      </c>
      <c r="AM4464" s="17">
        <f t="shared" si="161"/>
        <v>2</v>
      </c>
      <c r="AN4464" s="162" t="s">
        <v>11865</v>
      </c>
      <c r="AO4464" s="162" t="s">
        <v>11866</v>
      </c>
    </row>
    <row r="4465" spans="1:41" s="162" customFormat="1" x14ac:dyDescent="0.3">
      <c r="A4465" s="205" t="s">
        <v>8321</v>
      </c>
      <c r="B4465" s="162" t="s">
        <v>8322</v>
      </c>
      <c r="C4465" s="168" t="s">
        <v>13469</v>
      </c>
      <c r="D4465" s="162" t="s">
        <v>13544</v>
      </c>
      <c r="E4465" s="406" t="s">
        <v>13545</v>
      </c>
      <c r="F4465" s="162" t="s">
        <v>13546</v>
      </c>
      <c r="G4465" s="406">
        <v>163705</v>
      </c>
      <c r="H4465" s="162" t="s">
        <v>13605</v>
      </c>
      <c r="I4465" s="386" t="s">
        <v>13616</v>
      </c>
      <c r="J4465" s="162" t="s">
        <v>13617</v>
      </c>
      <c r="K4465" s="162" t="s">
        <v>15904</v>
      </c>
      <c r="L4465" s="162" t="s">
        <v>15905</v>
      </c>
      <c r="M4465" s="162" t="s">
        <v>15906</v>
      </c>
      <c r="O4465" s="224">
        <v>200</v>
      </c>
      <c r="P4465" s="224">
        <v>250</v>
      </c>
      <c r="Q4465" s="224">
        <v>300</v>
      </c>
      <c r="R4465" s="224">
        <v>400</v>
      </c>
      <c r="S4465" s="224">
        <v>500</v>
      </c>
      <c r="T4465" s="223" t="s">
        <v>3875</v>
      </c>
      <c r="U4465" t="str">
        <f>VLOOKUP(T4465,[8]Votes!$A$1:$E$234,3,FALSE)</f>
        <v>007 Ministry of Justice and Constitutional Affairs</v>
      </c>
      <c r="V4465" s="162" t="s">
        <v>15907</v>
      </c>
      <c r="W4465" s="501">
        <v>1</v>
      </c>
      <c r="X4465" s="501">
        <v>0</v>
      </c>
      <c r="Y4465" s="501">
        <v>0</v>
      </c>
      <c r="Z4465" s="501">
        <v>1</v>
      </c>
      <c r="AA4465" s="501">
        <v>1</v>
      </c>
      <c r="AB4465" s="501">
        <v>0</v>
      </c>
      <c r="AC4465" s="150">
        <v>0</v>
      </c>
      <c r="AD4465" s="150">
        <v>0</v>
      </c>
      <c r="AE4465" s="49">
        <f t="shared" si="160"/>
        <v>0.375</v>
      </c>
      <c r="AF4465" s="23">
        <v>0</v>
      </c>
      <c r="AG4465" s="17">
        <v>0</v>
      </c>
      <c r="AH4465" s="360">
        <v>0.5</v>
      </c>
      <c r="AI4465" s="360">
        <v>0.7</v>
      </c>
      <c r="AJ4465" s="360">
        <v>0.9</v>
      </c>
      <c r="AK4465" s="361">
        <v>0</v>
      </c>
      <c r="AL4465" s="361">
        <v>0</v>
      </c>
      <c r="AM4465" s="17">
        <f t="shared" si="161"/>
        <v>0</v>
      </c>
      <c r="AN4465" s="223" t="s">
        <v>3875</v>
      </c>
      <c r="AO4465" s="162" t="s">
        <v>3877</v>
      </c>
    </row>
    <row r="4466" spans="1:41" s="162" customFormat="1" x14ac:dyDescent="0.3">
      <c r="A4466" s="205" t="s">
        <v>8321</v>
      </c>
      <c r="B4466" s="162" t="s">
        <v>8322</v>
      </c>
      <c r="C4466" s="168" t="s">
        <v>13469</v>
      </c>
      <c r="D4466" s="162" t="s">
        <v>13544</v>
      </c>
      <c r="E4466" s="406" t="s">
        <v>13545</v>
      </c>
      <c r="F4466" s="162" t="s">
        <v>13546</v>
      </c>
      <c r="G4466" s="406">
        <v>163705</v>
      </c>
      <c r="H4466" s="162" t="s">
        <v>13605</v>
      </c>
      <c r="I4466" s="386" t="s">
        <v>13616</v>
      </c>
      <c r="J4466" s="162" t="s">
        <v>13617</v>
      </c>
      <c r="K4466" s="162" t="s">
        <v>15896</v>
      </c>
      <c r="L4466" s="162" t="s">
        <v>15897</v>
      </c>
      <c r="M4466" s="162" t="s">
        <v>15908</v>
      </c>
      <c r="O4466" s="224">
        <v>500</v>
      </c>
      <c r="P4466" s="224">
        <v>500</v>
      </c>
      <c r="Q4466" s="224">
        <v>500</v>
      </c>
      <c r="R4466" s="224">
        <v>500</v>
      </c>
      <c r="S4466" s="224">
        <v>500</v>
      </c>
      <c r="T4466" s="223" t="s">
        <v>11865</v>
      </c>
      <c r="U4466" t="str">
        <f>VLOOKUP(T4466,[8]Votes!$A$1:$E$234,3,FALSE)</f>
        <v>133 Office of the Director of Public Prosecutions</v>
      </c>
      <c r="V4466" s="162" t="s">
        <v>15909</v>
      </c>
      <c r="W4466" s="501">
        <v>1</v>
      </c>
      <c r="X4466" s="388">
        <v>1</v>
      </c>
      <c r="Y4466" s="501">
        <v>0</v>
      </c>
      <c r="Z4466" s="501">
        <v>1</v>
      </c>
      <c r="AA4466" s="416">
        <v>1</v>
      </c>
      <c r="AB4466" s="501">
        <v>0</v>
      </c>
      <c r="AC4466" s="388">
        <v>0</v>
      </c>
      <c r="AD4466" s="388">
        <v>0</v>
      </c>
      <c r="AE4466" s="49">
        <f t="shared" si="160"/>
        <v>0.5</v>
      </c>
      <c r="AF4466" s="23">
        <v>0</v>
      </c>
      <c r="AG4466" s="17">
        <v>0</v>
      </c>
      <c r="AH4466" s="360">
        <v>0.1</v>
      </c>
      <c r="AI4466" s="360">
        <v>0.1</v>
      </c>
      <c r="AJ4466" s="360">
        <v>0.1</v>
      </c>
      <c r="AK4466" s="361">
        <v>0</v>
      </c>
      <c r="AL4466" s="361">
        <v>0</v>
      </c>
      <c r="AM4466" s="17">
        <f t="shared" si="161"/>
        <v>0</v>
      </c>
      <c r="AN4466" s="162" t="s">
        <v>11865</v>
      </c>
      <c r="AO4466" s="162" t="s">
        <v>11866</v>
      </c>
    </row>
    <row r="4467" spans="1:41" s="162" customFormat="1" x14ac:dyDescent="0.3">
      <c r="A4467" s="205" t="s">
        <v>8321</v>
      </c>
      <c r="B4467" s="162" t="s">
        <v>8322</v>
      </c>
      <c r="C4467" s="168" t="s">
        <v>13469</v>
      </c>
      <c r="D4467" s="162" t="s">
        <v>13544</v>
      </c>
      <c r="E4467" s="406" t="s">
        <v>13545</v>
      </c>
      <c r="F4467" s="162" t="s">
        <v>13546</v>
      </c>
      <c r="G4467" s="406">
        <v>163705</v>
      </c>
      <c r="H4467" s="162" t="s">
        <v>13605</v>
      </c>
      <c r="I4467" s="386" t="s">
        <v>13616</v>
      </c>
      <c r="J4467" s="162" t="s">
        <v>13617</v>
      </c>
      <c r="K4467" s="162" t="s">
        <v>15900</v>
      </c>
      <c r="L4467" s="162" t="s">
        <v>15901</v>
      </c>
      <c r="M4467" s="162" t="s">
        <v>15910</v>
      </c>
      <c r="O4467" s="224">
        <v>200</v>
      </c>
      <c r="P4467" s="224">
        <v>200</v>
      </c>
      <c r="Q4467" s="224">
        <v>200</v>
      </c>
      <c r="R4467" s="224">
        <v>200</v>
      </c>
      <c r="S4467" s="224">
        <v>200</v>
      </c>
      <c r="T4467" s="223" t="s">
        <v>11865</v>
      </c>
      <c r="U4467" t="str">
        <f>VLOOKUP(T4467,[8]Votes!$A$1:$E$234,3,FALSE)</f>
        <v>133 Office of the Director of Public Prosecutions</v>
      </c>
      <c r="V4467" s="162" t="s">
        <v>15911</v>
      </c>
      <c r="W4467" s="501">
        <v>1</v>
      </c>
      <c r="X4467" s="388">
        <v>0</v>
      </c>
      <c r="Y4467" s="501">
        <v>0</v>
      </c>
      <c r="Z4467" s="501">
        <v>1</v>
      </c>
      <c r="AA4467" s="416">
        <v>1</v>
      </c>
      <c r="AB4467" s="501">
        <v>0</v>
      </c>
      <c r="AC4467" s="388">
        <v>0</v>
      </c>
      <c r="AD4467" s="388">
        <v>1</v>
      </c>
      <c r="AE4467" s="49">
        <f t="shared" si="160"/>
        <v>0.5</v>
      </c>
      <c r="AF4467" s="23">
        <v>0</v>
      </c>
      <c r="AG4467" s="17">
        <v>0</v>
      </c>
      <c r="AH4467" s="360">
        <v>0.5</v>
      </c>
      <c r="AI4467" s="360">
        <v>0.5</v>
      </c>
      <c r="AJ4467" s="360">
        <v>0.5</v>
      </c>
      <c r="AK4467" s="361">
        <v>0</v>
      </c>
      <c r="AL4467" s="361">
        <v>0</v>
      </c>
      <c r="AM4467" s="17">
        <f t="shared" si="161"/>
        <v>0</v>
      </c>
      <c r="AN4467" s="162" t="s">
        <v>11865</v>
      </c>
      <c r="AO4467" s="162" t="s">
        <v>11866</v>
      </c>
    </row>
    <row r="4468" spans="1:41" s="162" customFormat="1" x14ac:dyDescent="0.3">
      <c r="A4468" s="205" t="s">
        <v>8321</v>
      </c>
      <c r="B4468" s="162" t="s">
        <v>8322</v>
      </c>
      <c r="C4468" s="168" t="s">
        <v>13469</v>
      </c>
      <c r="D4468" s="162" t="s">
        <v>13544</v>
      </c>
      <c r="E4468" s="406" t="s">
        <v>13545</v>
      </c>
      <c r="F4468" s="162" t="s">
        <v>13546</v>
      </c>
      <c r="G4468" s="406">
        <v>163705</v>
      </c>
      <c r="H4468" s="162" t="s">
        <v>13605</v>
      </c>
      <c r="I4468" s="386" t="s">
        <v>13616</v>
      </c>
      <c r="J4468" s="162" t="s">
        <v>13617</v>
      </c>
      <c r="K4468" s="162" t="s">
        <v>15912</v>
      </c>
      <c r="L4468" s="162" t="s">
        <v>15913</v>
      </c>
      <c r="M4468" s="162" t="s">
        <v>15882</v>
      </c>
      <c r="O4468" s="224">
        <v>3</v>
      </c>
      <c r="P4468" s="224">
        <v>3</v>
      </c>
      <c r="Q4468" s="224">
        <v>4</v>
      </c>
      <c r="R4468" s="224">
        <v>3</v>
      </c>
      <c r="S4468" s="224">
        <v>3</v>
      </c>
      <c r="T4468" s="223" t="s">
        <v>11865</v>
      </c>
      <c r="U4468" t="str">
        <f>VLOOKUP(T4468,[8]Votes!$A$1:$E$234,3,FALSE)</f>
        <v>133 Office of the Director of Public Prosecutions</v>
      </c>
      <c r="V4468" s="162" t="s">
        <v>15914</v>
      </c>
      <c r="W4468" s="501">
        <v>1</v>
      </c>
      <c r="X4468" s="388">
        <v>1</v>
      </c>
      <c r="Y4468" s="501">
        <v>0</v>
      </c>
      <c r="Z4468" s="501">
        <v>1</v>
      </c>
      <c r="AA4468" s="416">
        <v>1</v>
      </c>
      <c r="AB4468" s="501">
        <v>0</v>
      </c>
      <c r="AC4468" s="388">
        <v>1</v>
      </c>
      <c r="AD4468" s="388">
        <v>1</v>
      </c>
      <c r="AE4468" s="49">
        <f t="shared" si="160"/>
        <v>0.75</v>
      </c>
      <c r="AF4468" s="23">
        <v>0</v>
      </c>
      <c r="AG4468" s="17">
        <v>0</v>
      </c>
      <c r="AH4468" s="360">
        <v>0.3</v>
      </c>
      <c r="AI4468" s="360">
        <v>0.3</v>
      </c>
      <c r="AJ4468" s="360">
        <v>0.4</v>
      </c>
      <c r="AK4468" s="361">
        <v>0.3</v>
      </c>
      <c r="AL4468" s="361">
        <v>0.3</v>
      </c>
      <c r="AM4468" s="17">
        <f t="shared" si="161"/>
        <v>0.6</v>
      </c>
      <c r="AN4468" s="162" t="s">
        <v>11865</v>
      </c>
      <c r="AO4468" s="162" t="s">
        <v>11866</v>
      </c>
    </row>
    <row r="4469" spans="1:41" s="162" customFormat="1" x14ac:dyDescent="0.3">
      <c r="A4469" s="205" t="s">
        <v>8321</v>
      </c>
      <c r="B4469" s="162" t="s">
        <v>8322</v>
      </c>
      <c r="C4469" s="168" t="s">
        <v>13469</v>
      </c>
      <c r="D4469" s="162" t="s">
        <v>13544</v>
      </c>
      <c r="E4469" s="406" t="s">
        <v>13545</v>
      </c>
      <c r="F4469" s="162" t="s">
        <v>13546</v>
      </c>
      <c r="G4469" s="406">
        <v>163705</v>
      </c>
      <c r="H4469" s="162" t="s">
        <v>13605</v>
      </c>
      <c r="I4469" s="386" t="s">
        <v>13616</v>
      </c>
      <c r="J4469" s="162" t="s">
        <v>13617</v>
      </c>
      <c r="K4469" s="162" t="s">
        <v>15915</v>
      </c>
      <c r="L4469" s="162" t="s">
        <v>15916</v>
      </c>
      <c r="M4469" s="162" t="s">
        <v>15917</v>
      </c>
      <c r="O4469" s="492">
        <v>0.98</v>
      </c>
      <c r="P4469" s="492">
        <v>0.98</v>
      </c>
      <c r="Q4469" s="492">
        <v>0.98</v>
      </c>
      <c r="R4469" s="492">
        <v>0.98</v>
      </c>
      <c r="S4469" s="492">
        <v>0.98</v>
      </c>
      <c r="T4469" s="223" t="s">
        <v>280</v>
      </c>
      <c r="U4469" t="str">
        <f>VLOOKUP(T4469,[8]Votes!$A$1:$E$234,3,FALSE)</f>
        <v>011 Ministry of Local Government</v>
      </c>
      <c r="V4469" s="162" t="s">
        <v>15918</v>
      </c>
      <c r="W4469" s="501">
        <v>1</v>
      </c>
      <c r="X4469" s="501">
        <v>1</v>
      </c>
      <c r="Y4469" s="501">
        <v>1</v>
      </c>
      <c r="Z4469" s="501">
        <v>1</v>
      </c>
      <c r="AA4469" s="501">
        <v>1</v>
      </c>
      <c r="AB4469" s="501">
        <v>1</v>
      </c>
      <c r="AC4469" s="150">
        <v>1</v>
      </c>
      <c r="AD4469" s="150">
        <v>0</v>
      </c>
      <c r="AE4469" s="49">
        <f t="shared" si="160"/>
        <v>0.875</v>
      </c>
      <c r="AF4469" s="23">
        <v>0</v>
      </c>
      <c r="AG4469" s="17">
        <v>0</v>
      </c>
      <c r="AH4469" s="190">
        <v>0</v>
      </c>
      <c r="AI4469" s="190">
        <v>0</v>
      </c>
      <c r="AJ4469" s="190">
        <v>0</v>
      </c>
      <c r="AK4469" s="191">
        <v>0</v>
      </c>
      <c r="AL4469" s="191">
        <v>0</v>
      </c>
      <c r="AM4469" s="17">
        <f t="shared" si="161"/>
        <v>0</v>
      </c>
      <c r="AN4469" s="223" t="s">
        <v>280</v>
      </c>
      <c r="AO4469" s="162" t="s">
        <v>1151</v>
      </c>
    </row>
    <row r="4470" spans="1:41" s="162" customFormat="1" x14ac:dyDescent="0.3">
      <c r="A4470" s="205" t="s">
        <v>8321</v>
      </c>
      <c r="B4470" s="162" t="s">
        <v>8322</v>
      </c>
      <c r="C4470" s="168" t="s">
        <v>13469</v>
      </c>
      <c r="D4470" s="162" t="s">
        <v>13544</v>
      </c>
      <c r="E4470" s="406" t="s">
        <v>13545</v>
      </c>
      <c r="F4470" s="162" t="s">
        <v>13546</v>
      </c>
      <c r="G4470" s="406">
        <v>163705</v>
      </c>
      <c r="H4470" s="162" t="s">
        <v>13605</v>
      </c>
      <c r="I4470" s="386" t="s">
        <v>13616</v>
      </c>
      <c r="J4470" s="162" t="s">
        <v>13617</v>
      </c>
      <c r="K4470" s="162" t="s">
        <v>15915</v>
      </c>
      <c r="L4470" s="162" t="s">
        <v>15916</v>
      </c>
      <c r="M4470" s="162" t="s">
        <v>15917</v>
      </c>
      <c r="O4470" s="492">
        <v>0.98</v>
      </c>
      <c r="P4470" s="492">
        <v>0.98</v>
      </c>
      <c r="Q4470" s="492">
        <v>0.98</v>
      </c>
      <c r="R4470" s="492">
        <v>0.98</v>
      </c>
      <c r="S4470" s="492">
        <v>0.98</v>
      </c>
      <c r="T4470" s="223" t="s">
        <v>280</v>
      </c>
      <c r="U4470" t="str">
        <f>VLOOKUP(T4470,[8]Votes!$A$1:$E$234,3,FALSE)</f>
        <v>011 Ministry of Local Government</v>
      </c>
      <c r="V4470" s="162" t="s">
        <v>15918</v>
      </c>
      <c r="W4470" s="501">
        <v>1</v>
      </c>
      <c r="X4470" s="501">
        <v>1</v>
      </c>
      <c r="Y4470" s="501">
        <v>1</v>
      </c>
      <c r="Z4470" s="501">
        <v>1</v>
      </c>
      <c r="AA4470" s="501">
        <v>1</v>
      </c>
      <c r="AB4470" s="501">
        <v>1</v>
      </c>
      <c r="AC4470" s="150">
        <v>1</v>
      </c>
      <c r="AD4470" s="150">
        <v>0</v>
      </c>
      <c r="AE4470" s="49">
        <f t="shared" si="160"/>
        <v>0.875</v>
      </c>
      <c r="AF4470" s="23">
        <v>0</v>
      </c>
      <c r="AG4470" s="17">
        <v>0</v>
      </c>
      <c r="AH4470" s="190">
        <v>0</v>
      </c>
      <c r="AI4470" s="190">
        <v>0</v>
      </c>
      <c r="AJ4470" s="190">
        <v>0</v>
      </c>
      <c r="AK4470" s="191">
        <v>0</v>
      </c>
      <c r="AL4470" s="191">
        <v>0</v>
      </c>
      <c r="AM4470" s="17">
        <f t="shared" si="161"/>
        <v>0</v>
      </c>
      <c r="AN4470" s="162" t="s">
        <v>280</v>
      </c>
      <c r="AO4470" s="162" t="s">
        <v>1151</v>
      </c>
    </row>
    <row r="4471" spans="1:41" s="162" customFormat="1" x14ac:dyDescent="0.3">
      <c r="A4471" s="205" t="s">
        <v>8321</v>
      </c>
      <c r="B4471" s="162" t="s">
        <v>8322</v>
      </c>
      <c r="C4471" s="168" t="s">
        <v>13469</v>
      </c>
      <c r="D4471" s="162" t="s">
        <v>13544</v>
      </c>
      <c r="E4471" s="406" t="s">
        <v>13545</v>
      </c>
      <c r="F4471" s="162" t="s">
        <v>13546</v>
      </c>
      <c r="G4471" s="406">
        <v>163705</v>
      </c>
      <c r="H4471" s="162" t="s">
        <v>13605</v>
      </c>
      <c r="I4471" s="386" t="s">
        <v>13616</v>
      </c>
      <c r="J4471" s="162" t="s">
        <v>13617</v>
      </c>
      <c r="K4471" s="162" t="s">
        <v>15912</v>
      </c>
      <c r="L4471" s="162" t="s">
        <v>15913</v>
      </c>
      <c r="M4471" s="162" t="s">
        <v>15919</v>
      </c>
      <c r="O4471" s="492">
        <v>0.3</v>
      </c>
      <c r="P4471" s="492">
        <v>0.4</v>
      </c>
      <c r="Q4471" s="492">
        <v>0.6</v>
      </c>
      <c r="R4471" s="492">
        <v>0.8</v>
      </c>
      <c r="S4471" s="492">
        <v>1</v>
      </c>
      <c r="T4471" s="223" t="s">
        <v>11865</v>
      </c>
      <c r="U4471" t="str">
        <f>VLOOKUP(T4471,[8]Votes!$A$1:$E$234,3,FALSE)</f>
        <v>133 Office of the Director of Public Prosecutions</v>
      </c>
      <c r="V4471" s="162" t="s">
        <v>15920</v>
      </c>
      <c r="W4471" s="501">
        <v>1</v>
      </c>
      <c r="X4471" s="388">
        <v>1</v>
      </c>
      <c r="Y4471" s="501">
        <v>0</v>
      </c>
      <c r="Z4471" s="501">
        <v>1</v>
      </c>
      <c r="AA4471" s="416">
        <v>1</v>
      </c>
      <c r="AB4471" s="501">
        <v>0</v>
      </c>
      <c r="AC4471" s="388">
        <v>1</v>
      </c>
      <c r="AD4471" s="388">
        <v>1</v>
      </c>
      <c r="AE4471" s="49">
        <f t="shared" si="160"/>
        <v>0.75</v>
      </c>
      <c r="AF4471" s="23">
        <v>0</v>
      </c>
      <c r="AG4471" s="17">
        <v>0</v>
      </c>
      <c r="AH4471" s="360">
        <v>2.5</v>
      </c>
      <c r="AI4471" s="360">
        <v>2.5</v>
      </c>
      <c r="AJ4471" s="360">
        <v>2.5</v>
      </c>
      <c r="AK4471" s="361">
        <v>2.5</v>
      </c>
      <c r="AL4471" s="361">
        <v>2.5</v>
      </c>
      <c r="AM4471" s="17">
        <f t="shared" si="161"/>
        <v>5</v>
      </c>
      <c r="AN4471" s="162" t="s">
        <v>11865</v>
      </c>
      <c r="AO4471" s="162" t="s">
        <v>11866</v>
      </c>
    </row>
    <row r="4472" spans="1:41" s="162" customFormat="1" x14ac:dyDescent="0.3">
      <c r="A4472" s="205" t="s">
        <v>8321</v>
      </c>
      <c r="B4472" s="162" t="s">
        <v>8322</v>
      </c>
      <c r="C4472" s="168" t="s">
        <v>13469</v>
      </c>
      <c r="D4472" s="162" t="s">
        <v>13544</v>
      </c>
      <c r="E4472" s="406" t="s">
        <v>13545</v>
      </c>
      <c r="F4472" s="162" t="s">
        <v>13546</v>
      </c>
      <c r="G4472" s="406">
        <v>163705</v>
      </c>
      <c r="H4472" s="162" t="s">
        <v>13605</v>
      </c>
      <c r="I4472" s="386" t="s">
        <v>13616</v>
      </c>
      <c r="J4472" s="162" t="s">
        <v>13617</v>
      </c>
      <c r="K4472" s="162" t="s">
        <v>15921</v>
      </c>
      <c r="L4472" s="162" t="s">
        <v>15922</v>
      </c>
      <c r="M4472" s="162" t="s">
        <v>15923</v>
      </c>
      <c r="N4472" s="162">
        <v>0</v>
      </c>
      <c r="O4472" s="224">
        <v>0</v>
      </c>
      <c r="P4472" s="224">
        <v>0</v>
      </c>
      <c r="Q4472" s="224">
        <v>0</v>
      </c>
      <c r="R4472" s="224">
        <v>40</v>
      </c>
      <c r="S4472" s="224">
        <v>0</v>
      </c>
      <c r="T4472" s="223" t="s">
        <v>14567</v>
      </c>
      <c r="U4472" t="str">
        <f>VLOOKUP(T4472,[8]Votes!$A$1:$E$234,3,FALSE)</f>
        <v>106 Uganda Human Rights Commission</v>
      </c>
      <c r="V4472" s="162" t="s">
        <v>15851</v>
      </c>
      <c r="W4472" s="501">
        <v>1</v>
      </c>
      <c r="X4472" s="501">
        <v>0</v>
      </c>
      <c r="Y4472" s="501">
        <v>0</v>
      </c>
      <c r="Z4472" s="501">
        <v>1</v>
      </c>
      <c r="AA4472" s="501">
        <v>1</v>
      </c>
      <c r="AB4472" s="501">
        <v>0</v>
      </c>
      <c r="AC4472" s="150">
        <v>0</v>
      </c>
      <c r="AD4472" s="150">
        <v>0</v>
      </c>
      <c r="AE4472" s="49">
        <f t="shared" si="160"/>
        <v>0.375</v>
      </c>
      <c r="AF4472" s="23">
        <v>0</v>
      </c>
      <c r="AG4472" s="17">
        <v>0</v>
      </c>
      <c r="AH4472" s="190">
        <v>0</v>
      </c>
      <c r="AI4472" s="190">
        <v>0</v>
      </c>
      <c r="AJ4472" s="190">
        <v>0</v>
      </c>
      <c r="AK4472" s="361">
        <v>0.5</v>
      </c>
      <c r="AL4472" s="191">
        <v>0</v>
      </c>
      <c r="AM4472" s="17">
        <f t="shared" si="161"/>
        <v>0.5</v>
      </c>
      <c r="AN4472" s="162" t="s">
        <v>14567</v>
      </c>
      <c r="AO4472" s="162" t="s">
        <v>14570</v>
      </c>
    </row>
    <row r="4473" spans="1:41" s="162" customFormat="1" x14ac:dyDescent="0.3">
      <c r="A4473" s="205" t="s">
        <v>8321</v>
      </c>
      <c r="B4473" s="162" t="s">
        <v>8322</v>
      </c>
      <c r="C4473" s="168" t="s">
        <v>13469</v>
      </c>
      <c r="D4473" s="162" t="s">
        <v>13544</v>
      </c>
      <c r="E4473" s="406" t="s">
        <v>13545</v>
      </c>
      <c r="F4473" s="162" t="s">
        <v>13546</v>
      </c>
      <c r="G4473" s="406">
        <v>163705</v>
      </c>
      <c r="H4473" s="162" t="s">
        <v>13605</v>
      </c>
      <c r="I4473" s="386" t="s">
        <v>13616</v>
      </c>
      <c r="J4473" s="162" t="s">
        <v>13617</v>
      </c>
      <c r="K4473" s="162" t="s">
        <v>15885</v>
      </c>
      <c r="L4473" s="162" t="s">
        <v>15886</v>
      </c>
      <c r="M4473" s="162" t="s">
        <v>15887</v>
      </c>
      <c r="O4473" s="224">
        <v>160</v>
      </c>
      <c r="P4473" s="224">
        <v>160</v>
      </c>
      <c r="Q4473" s="224">
        <v>160</v>
      </c>
      <c r="R4473" s="224">
        <v>160</v>
      </c>
      <c r="S4473" s="224">
        <v>160</v>
      </c>
      <c r="T4473" s="223" t="s">
        <v>11865</v>
      </c>
      <c r="U4473" t="str">
        <f>VLOOKUP(T4473,[8]Votes!$A$1:$E$234,3,FALSE)</f>
        <v>133 Office of the Director of Public Prosecutions</v>
      </c>
      <c r="V4473" s="162" t="s">
        <v>11884</v>
      </c>
      <c r="W4473" s="501">
        <v>1</v>
      </c>
      <c r="X4473" s="388">
        <v>1</v>
      </c>
      <c r="Y4473" s="501">
        <v>0</v>
      </c>
      <c r="Z4473" s="501">
        <v>1</v>
      </c>
      <c r="AA4473" s="416">
        <v>1</v>
      </c>
      <c r="AB4473" s="501">
        <v>0</v>
      </c>
      <c r="AC4473" s="388">
        <v>1</v>
      </c>
      <c r="AD4473" s="388">
        <v>1</v>
      </c>
      <c r="AE4473" s="49">
        <f t="shared" si="160"/>
        <v>0.75</v>
      </c>
      <c r="AF4473" s="23">
        <v>0</v>
      </c>
      <c r="AG4473" s="17">
        <v>0</v>
      </c>
      <c r="AH4473" s="360">
        <v>0.3</v>
      </c>
      <c r="AI4473" s="360">
        <v>0.3</v>
      </c>
      <c r="AJ4473" s="360">
        <v>0.3</v>
      </c>
      <c r="AK4473" s="361">
        <v>0.3</v>
      </c>
      <c r="AL4473" s="361">
        <v>0.3</v>
      </c>
      <c r="AM4473" s="17">
        <f t="shared" si="161"/>
        <v>0.6</v>
      </c>
      <c r="AN4473" s="162" t="s">
        <v>11865</v>
      </c>
      <c r="AO4473" s="162" t="s">
        <v>11866</v>
      </c>
    </row>
    <row r="4474" spans="1:41" s="162" customFormat="1" x14ac:dyDescent="0.3">
      <c r="A4474" s="205" t="s">
        <v>8321</v>
      </c>
      <c r="B4474" s="162" t="s">
        <v>8322</v>
      </c>
      <c r="C4474" s="168" t="s">
        <v>13469</v>
      </c>
      <c r="D4474" s="162" t="s">
        <v>13544</v>
      </c>
      <c r="E4474" s="406" t="s">
        <v>13545</v>
      </c>
      <c r="F4474" s="162" t="s">
        <v>13546</v>
      </c>
      <c r="G4474" s="406">
        <v>163705</v>
      </c>
      <c r="H4474" s="162" t="s">
        <v>13605</v>
      </c>
      <c r="I4474" s="386" t="s">
        <v>13616</v>
      </c>
      <c r="J4474" s="162" t="s">
        <v>13617</v>
      </c>
      <c r="K4474" s="162" t="s">
        <v>15888</v>
      </c>
      <c r="L4474" s="162" t="s">
        <v>15889</v>
      </c>
      <c r="M4474" s="162" t="s">
        <v>15890</v>
      </c>
      <c r="O4474" s="224">
        <v>200</v>
      </c>
      <c r="P4474" s="224">
        <v>200</v>
      </c>
      <c r="Q4474" s="224">
        <v>200</v>
      </c>
      <c r="R4474" s="224">
        <v>200</v>
      </c>
      <c r="S4474" s="224">
        <v>200</v>
      </c>
      <c r="T4474" s="223" t="s">
        <v>11865</v>
      </c>
      <c r="U4474" t="str">
        <f>VLOOKUP(T4474,[8]Votes!$A$1:$E$234,3,FALSE)</f>
        <v>133 Office of the Director of Public Prosecutions</v>
      </c>
      <c r="V4474" s="162" t="s">
        <v>15891</v>
      </c>
      <c r="W4474" s="501">
        <v>1</v>
      </c>
      <c r="X4474" s="388">
        <v>1</v>
      </c>
      <c r="Y4474" s="501">
        <v>0</v>
      </c>
      <c r="Z4474" s="501">
        <v>1</v>
      </c>
      <c r="AA4474" s="416">
        <v>1</v>
      </c>
      <c r="AB4474" s="501">
        <v>0</v>
      </c>
      <c r="AC4474" s="388">
        <v>1</v>
      </c>
      <c r="AD4474" s="388">
        <v>1</v>
      </c>
      <c r="AE4474" s="49">
        <f t="shared" ref="AE4474:AE4537" si="162">SUM(W4474:AD4474)/8</f>
        <v>0.75</v>
      </c>
      <c r="AF4474" s="23">
        <v>0</v>
      </c>
      <c r="AG4474" s="17">
        <v>0</v>
      </c>
      <c r="AH4474" s="360">
        <v>0.6</v>
      </c>
      <c r="AI4474" s="360">
        <v>0.6</v>
      </c>
      <c r="AJ4474" s="360">
        <v>0.6</v>
      </c>
      <c r="AK4474" s="361">
        <v>0.6</v>
      </c>
      <c r="AL4474" s="361">
        <v>0.6</v>
      </c>
      <c r="AM4474" s="17">
        <f t="shared" ref="AM4474:AM4537" si="163">SUM(AK4474:AL4474)</f>
        <v>1.2</v>
      </c>
      <c r="AN4474" s="162" t="s">
        <v>11865</v>
      </c>
      <c r="AO4474" s="162" t="s">
        <v>11866</v>
      </c>
    </row>
    <row r="4475" spans="1:41" s="162" customFormat="1" x14ac:dyDescent="0.3">
      <c r="A4475" s="205" t="s">
        <v>8321</v>
      </c>
      <c r="B4475" s="162" t="s">
        <v>8322</v>
      </c>
      <c r="C4475" s="168" t="s">
        <v>13469</v>
      </c>
      <c r="D4475" s="162" t="s">
        <v>13544</v>
      </c>
      <c r="E4475" s="406" t="s">
        <v>13545</v>
      </c>
      <c r="F4475" s="162" t="s">
        <v>13546</v>
      </c>
      <c r="G4475" s="406">
        <v>163705</v>
      </c>
      <c r="H4475" s="162" t="s">
        <v>13605</v>
      </c>
      <c r="I4475" s="386" t="s">
        <v>13616</v>
      </c>
      <c r="J4475" s="162" t="s">
        <v>13617</v>
      </c>
      <c r="K4475" s="162" t="s">
        <v>15892</v>
      </c>
      <c r="L4475" s="162" t="s">
        <v>15893</v>
      </c>
      <c r="M4475" s="162" t="s">
        <v>15894</v>
      </c>
      <c r="O4475" s="224">
        <v>4</v>
      </c>
      <c r="P4475" s="224">
        <v>4</v>
      </c>
      <c r="Q4475" s="224">
        <v>4</v>
      </c>
      <c r="R4475" s="224">
        <v>4</v>
      </c>
      <c r="S4475" s="224">
        <v>4</v>
      </c>
      <c r="T4475" s="223" t="s">
        <v>11865</v>
      </c>
      <c r="U4475" t="str">
        <f>VLOOKUP(T4475,[8]Votes!$A$1:$E$234,3,FALSE)</f>
        <v>133 Office of the Director of Public Prosecutions</v>
      </c>
      <c r="V4475" s="162" t="s">
        <v>15895</v>
      </c>
      <c r="W4475" s="501">
        <v>1</v>
      </c>
      <c r="X4475" s="388">
        <v>1</v>
      </c>
      <c r="Y4475" s="501">
        <v>0</v>
      </c>
      <c r="Z4475" s="501">
        <v>1</v>
      </c>
      <c r="AA4475" s="416">
        <v>1</v>
      </c>
      <c r="AB4475" s="501">
        <v>0</v>
      </c>
      <c r="AC4475" s="388">
        <v>1</v>
      </c>
      <c r="AD4475" s="388">
        <v>1</v>
      </c>
      <c r="AE4475" s="49">
        <f t="shared" si="162"/>
        <v>0.75</v>
      </c>
      <c r="AF4475" s="23">
        <v>0</v>
      </c>
      <c r="AG4475" s="17">
        <v>0</v>
      </c>
      <c r="AH4475" s="360">
        <v>0.6</v>
      </c>
      <c r="AI4475" s="360">
        <v>0.6</v>
      </c>
      <c r="AJ4475" s="360">
        <v>0.6</v>
      </c>
      <c r="AK4475" s="361">
        <v>0.6</v>
      </c>
      <c r="AL4475" s="361">
        <v>0.6</v>
      </c>
      <c r="AM4475" s="17">
        <f t="shared" si="163"/>
        <v>1.2</v>
      </c>
      <c r="AN4475" s="162" t="s">
        <v>11865</v>
      </c>
      <c r="AO4475" s="162" t="s">
        <v>11866</v>
      </c>
    </row>
    <row r="4476" spans="1:41" s="162" customFormat="1" x14ac:dyDescent="0.3">
      <c r="A4476" s="205" t="s">
        <v>8321</v>
      </c>
      <c r="B4476" s="162" t="s">
        <v>8322</v>
      </c>
      <c r="C4476" s="168" t="s">
        <v>13469</v>
      </c>
      <c r="D4476" s="162" t="s">
        <v>13544</v>
      </c>
      <c r="E4476" s="406" t="s">
        <v>13545</v>
      </c>
      <c r="F4476" s="162" t="s">
        <v>13546</v>
      </c>
      <c r="G4476" s="406">
        <v>163705</v>
      </c>
      <c r="H4476" s="162" t="s">
        <v>13605</v>
      </c>
      <c r="I4476" s="386" t="s">
        <v>13616</v>
      </c>
      <c r="J4476" s="162" t="s">
        <v>13617</v>
      </c>
      <c r="K4476" s="162" t="s">
        <v>15896</v>
      </c>
      <c r="L4476" s="162" t="s">
        <v>15897</v>
      </c>
      <c r="M4476" s="162" t="s">
        <v>15898</v>
      </c>
      <c r="O4476" s="224">
        <v>500</v>
      </c>
      <c r="P4476" s="224">
        <v>500</v>
      </c>
      <c r="Q4476" s="224">
        <v>500</v>
      </c>
      <c r="R4476" s="224">
        <v>500</v>
      </c>
      <c r="S4476" s="224">
        <v>500</v>
      </c>
      <c r="T4476" s="223" t="s">
        <v>11865</v>
      </c>
      <c r="U4476" t="str">
        <f>VLOOKUP(T4476,[8]Votes!$A$1:$E$234,3,FALSE)</f>
        <v>133 Office of the Director of Public Prosecutions</v>
      </c>
      <c r="V4476" s="162" t="s">
        <v>15899</v>
      </c>
      <c r="W4476" s="501">
        <v>1</v>
      </c>
      <c r="X4476" s="388">
        <v>1</v>
      </c>
      <c r="Y4476" s="501">
        <v>0</v>
      </c>
      <c r="Z4476" s="501">
        <v>1</v>
      </c>
      <c r="AA4476" s="416">
        <v>1</v>
      </c>
      <c r="AB4476" s="501">
        <v>0</v>
      </c>
      <c r="AC4476" s="388">
        <v>1</v>
      </c>
      <c r="AD4476" s="388">
        <v>1</v>
      </c>
      <c r="AE4476" s="49">
        <f t="shared" si="162"/>
        <v>0.75</v>
      </c>
      <c r="AF4476" s="23">
        <v>0</v>
      </c>
      <c r="AG4476" s="17">
        <v>0</v>
      </c>
      <c r="AH4476" s="360">
        <v>0.1</v>
      </c>
      <c r="AI4476" s="360">
        <v>0.1</v>
      </c>
      <c r="AJ4476" s="360">
        <v>0.1</v>
      </c>
      <c r="AK4476" s="361">
        <v>0.1</v>
      </c>
      <c r="AL4476" s="361">
        <v>0.1</v>
      </c>
      <c r="AM4476" s="17">
        <f t="shared" si="163"/>
        <v>0.2</v>
      </c>
      <c r="AN4476" s="162" t="s">
        <v>11865</v>
      </c>
      <c r="AO4476" s="162" t="s">
        <v>11866</v>
      </c>
    </row>
    <row r="4477" spans="1:41" s="162" customFormat="1" x14ac:dyDescent="0.3">
      <c r="A4477" s="205" t="s">
        <v>8321</v>
      </c>
      <c r="B4477" s="162" t="s">
        <v>8322</v>
      </c>
      <c r="C4477" s="168" t="s">
        <v>13469</v>
      </c>
      <c r="D4477" s="162" t="s">
        <v>13544</v>
      </c>
      <c r="E4477" s="406" t="s">
        <v>13545</v>
      </c>
      <c r="F4477" s="162" t="s">
        <v>13546</v>
      </c>
      <c r="G4477" s="406">
        <v>163705</v>
      </c>
      <c r="H4477" s="162" t="s">
        <v>13605</v>
      </c>
      <c r="I4477" s="386" t="s">
        <v>13616</v>
      </c>
      <c r="J4477" s="162" t="s">
        <v>13617</v>
      </c>
      <c r="K4477" s="162" t="s">
        <v>15900</v>
      </c>
      <c r="L4477" s="162" t="s">
        <v>15924</v>
      </c>
      <c r="M4477" s="162" t="s">
        <v>15902</v>
      </c>
      <c r="O4477" s="224">
        <v>200</v>
      </c>
      <c r="P4477" s="224">
        <v>200</v>
      </c>
      <c r="Q4477" s="224">
        <v>200</v>
      </c>
      <c r="R4477" s="224">
        <v>200</v>
      </c>
      <c r="S4477" s="224">
        <v>200</v>
      </c>
      <c r="T4477" s="223" t="s">
        <v>11865</v>
      </c>
      <c r="U4477" t="str">
        <f>VLOOKUP(T4477,[8]Votes!$A$1:$E$234,3,FALSE)</f>
        <v>133 Office of the Director of Public Prosecutions</v>
      </c>
      <c r="V4477" s="162" t="s">
        <v>15903</v>
      </c>
      <c r="W4477" s="501">
        <v>1</v>
      </c>
      <c r="X4477" s="388">
        <v>1</v>
      </c>
      <c r="Y4477" s="501">
        <v>0</v>
      </c>
      <c r="Z4477" s="501">
        <v>1</v>
      </c>
      <c r="AA4477" s="416">
        <v>1</v>
      </c>
      <c r="AB4477" s="501">
        <v>0</v>
      </c>
      <c r="AC4477" s="388">
        <v>1</v>
      </c>
      <c r="AD4477" s="388">
        <v>1</v>
      </c>
      <c r="AE4477" s="49">
        <f t="shared" si="162"/>
        <v>0.75</v>
      </c>
      <c r="AF4477" s="23">
        <v>0</v>
      </c>
      <c r="AG4477" s="17">
        <v>0</v>
      </c>
      <c r="AH4477" s="360">
        <v>0.5</v>
      </c>
      <c r="AI4477" s="360">
        <v>0.5</v>
      </c>
      <c r="AJ4477" s="360">
        <v>0.5</v>
      </c>
      <c r="AK4477" s="361">
        <v>0.5</v>
      </c>
      <c r="AL4477" s="361">
        <v>0.5</v>
      </c>
      <c r="AM4477" s="17">
        <f t="shared" si="163"/>
        <v>1</v>
      </c>
      <c r="AN4477" s="162" t="s">
        <v>11865</v>
      </c>
      <c r="AO4477" s="162" t="s">
        <v>11866</v>
      </c>
    </row>
    <row r="4478" spans="1:41" s="162" customFormat="1" x14ac:dyDescent="0.3">
      <c r="A4478" s="205" t="s">
        <v>8321</v>
      </c>
      <c r="B4478" s="162" t="s">
        <v>8322</v>
      </c>
      <c r="C4478" s="168" t="s">
        <v>13469</v>
      </c>
      <c r="D4478" s="162" t="s">
        <v>13544</v>
      </c>
      <c r="E4478" s="406" t="s">
        <v>13545</v>
      </c>
      <c r="F4478" s="162" t="s">
        <v>13546</v>
      </c>
      <c r="G4478" s="406">
        <v>163705</v>
      </c>
      <c r="H4478" s="162" t="s">
        <v>13605</v>
      </c>
      <c r="I4478" s="386" t="s">
        <v>13616</v>
      </c>
      <c r="J4478" s="162" t="s">
        <v>13617</v>
      </c>
      <c r="K4478" s="162" t="s">
        <v>15896</v>
      </c>
      <c r="L4478" s="162" t="s">
        <v>15897</v>
      </c>
      <c r="M4478" s="162" t="s">
        <v>15908</v>
      </c>
      <c r="O4478" s="224">
        <v>500</v>
      </c>
      <c r="P4478" s="224">
        <v>500</v>
      </c>
      <c r="Q4478" s="224">
        <v>500</v>
      </c>
      <c r="R4478" s="224">
        <v>500</v>
      </c>
      <c r="S4478" s="224">
        <v>500</v>
      </c>
      <c r="T4478" s="223" t="s">
        <v>11865</v>
      </c>
      <c r="U4478" t="str">
        <f>VLOOKUP(T4478,[8]Votes!$A$1:$E$234,3,FALSE)</f>
        <v>133 Office of the Director of Public Prosecutions</v>
      </c>
      <c r="V4478" s="162" t="s">
        <v>15909</v>
      </c>
      <c r="W4478" s="501">
        <v>1</v>
      </c>
      <c r="X4478" s="388">
        <v>1</v>
      </c>
      <c r="Y4478" s="501">
        <v>0</v>
      </c>
      <c r="Z4478" s="501">
        <v>1</v>
      </c>
      <c r="AA4478" s="416">
        <v>1</v>
      </c>
      <c r="AB4478" s="501">
        <v>0</v>
      </c>
      <c r="AC4478" s="388">
        <v>1</v>
      </c>
      <c r="AD4478" s="388">
        <v>1</v>
      </c>
      <c r="AE4478" s="49">
        <f t="shared" si="162"/>
        <v>0.75</v>
      </c>
      <c r="AF4478" s="23">
        <v>0</v>
      </c>
      <c r="AG4478" s="17">
        <v>0</v>
      </c>
      <c r="AH4478" s="360">
        <v>0.1</v>
      </c>
      <c r="AI4478" s="360">
        <v>0.1</v>
      </c>
      <c r="AJ4478" s="360">
        <v>0.1</v>
      </c>
      <c r="AK4478" s="361">
        <v>0.1</v>
      </c>
      <c r="AL4478" s="361">
        <v>0.1</v>
      </c>
      <c r="AM4478" s="17">
        <f t="shared" si="163"/>
        <v>0.2</v>
      </c>
      <c r="AN4478" s="162" t="s">
        <v>11865</v>
      </c>
      <c r="AO4478" s="162" t="s">
        <v>11866</v>
      </c>
    </row>
    <row r="4479" spans="1:41" s="162" customFormat="1" x14ac:dyDescent="0.3">
      <c r="A4479" s="205" t="s">
        <v>8321</v>
      </c>
      <c r="B4479" s="162" t="s">
        <v>8322</v>
      </c>
      <c r="C4479" s="168" t="s">
        <v>13469</v>
      </c>
      <c r="D4479" s="162" t="s">
        <v>13544</v>
      </c>
      <c r="E4479" s="406" t="s">
        <v>13545</v>
      </c>
      <c r="F4479" s="162" t="s">
        <v>13546</v>
      </c>
      <c r="G4479" s="406">
        <v>163705</v>
      </c>
      <c r="H4479" s="162" t="s">
        <v>13605</v>
      </c>
      <c r="I4479" s="386" t="s">
        <v>13616</v>
      </c>
      <c r="J4479" s="162" t="s">
        <v>13617</v>
      </c>
      <c r="K4479" s="162" t="s">
        <v>15900</v>
      </c>
      <c r="L4479" s="162" t="s">
        <v>15901</v>
      </c>
      <c r="M4479" s="162" t="s">
        <v>15910</v>
      </c>
      <c r="O4479" s="224">
        <v>200</v>
      </c>
      <c r="P4479" s="224">
        <v>200</v>
      </c>
      <c r="Q4479" s="224">
        <v>200</v>
      </c>
      <c r="R4479" s="224">
        <v>200</v>
      </c>
      <c r="S4479" s="224">
        <v>200</v>
      </c>
      <c r="T4479" s="223" t="s">
        <v>11865</v>
      </c>
      <c r="U4479" t="str">
        <f>VLOOKUP(T4479,[8]Votes!$A$1:$E$234,3,FALSE)</f>
        <v>133 Office of the Director of Public Prosecutions</v>
      </c>
      <c r="V4479" s="162" t="s">
        <v>15911</v>
      </c>
      <c r="W4479" s="501">
        <v>1</v>
      </c>
      <c r="X4479" s="388">
        <v>1</v>
      </c>
      <c r="Y4479" s="501">
        <v>0</v>
      </c>
      <c r="Z4479" s="501">
        <v>1</v>
      </c>
      <c r="AA4479" s="416">
        <v>1</v>
      </c>
      <c r="AB4479" s="501">
        <v>0</v>
      </c>
      <c r="AC4479" s="388">
        <v>1</v>
      </c>
      <c r="AD4479" s="388">
        <v>1</v>
      </c>
      <c r="AE4479" s="49">
        <f t="shared" si="162"/>
        <v>0.75</v>
      </c>
      <c r="AF4479" s="23">
        <v>0</v>
      </c>
      <c r="AG4479" s="17">
        <v>0</v>
      </c>
      <c r="AH4479" s="360">
        <v>0.5</v>
      </c>
      <c r="AI4479" s="360">
        <v>0.5</v>
      </c>
      <c r="AJ4479" s="360">
        <v>0.5</v>
      </c>
      <c r="AK4479" s="361">
        <v>0.5</v>
      </c>
      <c r="AL4479" s="361">
        <v>0.5</v>
      </c>
      <c r="AM4479" s="17">
        <f t="shared" si="163"/>
        <v>1</v>
      </c>
      <c r="AN4479" s="162" t="s">
        <v>11865</v>
      </c>
      <c r="AO4479" s="162" t="s">
        <v>11866</v>
      </c>
    </row>
    <row r="4480" spans="1:41" s="162" customFormat="1" x14ac:dyDescent="0.3">
      <c r="A4480" s="205" t="s">
        <v>8321</v>
      </c>
      <c r="B4480" s="162" t="s">
        <v>8322</v>
      </c>
      <c r="C4480" s="168" t="s">
        <v>13469</v>
      </c>
      <c r="D4480" s="162" t="s">
        <v>13544</v>
      </c>
      <c r="E4480" s="406" t="s">
        <v>13545</v>
      </c>
      <c r="F4480" s="162" t="s">
        <v>13546</v>
      </c>
      <c r="G4480" s="406">
        <v>163705</v>
      </c>
      <c r="H4480" s="162" t="s">
        <v>13605</v>
      </c>
      <c r="I4480" s="386" t="s">
        <v>13616</v>
      </c>
      <c r="J4480" s="162" t="s">
        <v>13617</v>
      </c>
      <c r="K4480" s="162" t="s">
        <v>15912</v>
      </c>
      <c r="L4480" s="162" t="s">
        <v>15913</v>
      </c>
      <c r="M4480" s="162" t="s">
        <v>15882</v>
      </c>
      <c r="O4480" s="224">
        <v>3</v>
      </c>
      <c r="P4480" s="224">
        <v>3</v>
      </c>
      <c r="Q4480" s="224">
        <v>4</v>
      </c>
      <c r="R4480" s="224">
        <v>3</v>
      </c>
      <c r="S4480" s="224">
        <v>3</v>
      </c>
      <c r="T4480" s="223" t="s">
        <v>11865</v>
      </c>
      <c r="U4480" t="str">
        <f>VLOOKUP(T4480,[8]Votes!$A$1:$E$234,3,FALSE)</f>
        <v>133 Office of the Director of Public Prosecutions</v>
      </c>
      <c r="V4480" s="162" t="s">
        <v>15914</v>
      </c>
      <c r="W4480" s="501">
        <v>1</v>
      </c>
      <c r="X4480" s="388">
        <v>1</v>
      </c>
      <c r="Y4480" s="501">
        <v>0</v>
      </c>
      <c r="Z4480" s="501">
        <v>1</v>
      </c>
      <c r="AA4480" s="416">
        <v>1</v>
      </c>
      <c r="AB4480" s="501">
        <v>0</v>
      </c>
      <c r="AC4480" s="388">
        <v>1</v>
      </c>
      <c r="AD4480" s="388">
        <v>1</v>
      </c>
      <c r="AE4480" s="49">
        <f t="shared" si="162"/>
        <v>0.75</v>
      </c>
      <c r="AF4480" s="23">
        <v>0</v>
      </c>
      <c r="AG4480" s="17">
        <v>0</v>
      </c>
      <c r="AH4480" s="360">
        <v>0.3</v>
      </c>
      <c r="AI4480" s="360">
        <v>0.3</v>
      </c>
      <c r="AJ4480" s="360">
        <v>0.4</v>
      </c>
      <c r="AK4480" s="361">
        <v>0.3</v>
      </c>
      <c r="AL4480" s="361">
        <v>0.3</v>
      </c>
      <c r="AM4480" s="17">
        <f t="shared" si="163"/>
        <v>0.6</v>
      </c>
      <c r="AN4480" s="162" t="s">
        <v>11865</v>
      </c>
      <c r="AO4480" s="162" t="s">
        <v>11866</v>
      </c>
    </row>
    <row r="4481" spans="1:41" s="162" customFormat="1" x14ac:dyDescent="0.3">
      <c r="A4481" s="205" t="s">
        <v>8321</v>
      </c>
      <c r="B4481" s="162" t="s">
        <v>8322</v>
      </c>
      <c r="C4481" s="168" t="s">
        <v>13469</v>
      </c>
      <c r="D4481" s="162" t="s">
        <v>13544</v>
      </c>
      <c r="E4481" s="406" t="s">
        <v>13545</v>
      </c>
      <c r="F4481" s="162" t="s">
        <v>13546</v>
      </c>
      <c r="G4481" s="406">
        <v>163705</v>
      </c>
      <c r="H4481" s="162" t="s">
        <v>13605</v>
      </c>
      <c r="K4481" s="406">
        <v>16370502</v>
      </c>
      <c r="L4481" s="162" t="s">
        <v>15925</v>
      </c>
      <c r="M4481" s="162" t="s">
        <v>15926</v>
      </c>
      <c r="O4481" s="224">
        <v>80</v>
      </c>
      <c r="P4481" s="224">
        <v>100</v>
      </c>
      <c r="Q4481" s="224">
        <v>104</v>
      </c>
      <c r="R4481" s="224">
        <v>108</v>
      </c>
      <c r="S4481" s="224">
        <v>116</v>
      </c>
      <c r="T4481" s="223" t="s">
        <v>1563</v>
      </c>
      <c r="U4481" t="str">
        <f>VLOOKUP(T4481,[8]Votes!$A$1:$E$234,3,FALSE)</f>
        <v>124 Equal Opportunities Commission</v>
      </c>
      <c r="V4481" s="162" t="s">
        <v>11562</v>
      </c>
      <c r="W4481" s="501">
        <v>1</v>
      </c>
      <c r="X4481" s="501">
        <v>1</v>
      </c>
      <c r="Y4481" s="501">
        <v>1</v>
      </c>
      <c r="Z4481" s="501">
        <v>1</v>
      </c>
      <c r="AA4481" s="501">
        <v>1</v>
      </c>
      <c r="AB4481" s="501">
        <v>0</v>
      </c>
      <c r="AC4481" s="150">
        <v>1</v>
      </c>
      <c r="AD4481" s="150">
        <v>0</v>
      </c>
      <c r="AE4481" s="49">
        <f t="shared" si="162"/>
        <v>0.75</v>
      </c>
      <c r="AF4481" s="23">
        <v>0</v>
      </c>
      <c r="AG4481" s="17">
        <v>0</v>
      </c>
      <c r="AH4481" s="360">
        <v>0.2</v>
      </c>
      <c r="AI4481" s="360">
        <v>0.3</v>
      </c>
      <c r="AJ4481" s="360">
        <v>0.2</v>
      </c>
      <c r="AK4481" s="361">
        <v>0.2</v>
      </c>
      <c r="AL4481" s="361">
        <v>0.21</v>
      </c>
      <c r="AM4481" s="17">
        <f t="shared" si="163"/>
        <v>0.41000000000000003</v>
      </c>
      <c r="AN4481" s="162" t="s">
        <v>1563</v>
      </c>
      <c r="AO4481" s="162" t="s">
        <v>1565</v>
      </c>
    </row>
    <row r="4482" spans="1:41" s="162" customFormat="1" x14ac:dyDescent="0.3">
      <c r="A4482" s="205" t="s">
        <v>8321</v>
      </c>
      <c r="B4482" s="162" t="s">
        <v>8322</v>
      </c>
      <c r="C4482" s="168" t="s">
        <v>13469</v>
      </c>
      <c r="D4482" s="162" t="s">
        <v>13544</v>
      </c>
      <c r="E4482" s="406" t="s">
        <v>13545</v>
      </c>
      <c r="F4482" s="162" t="s">
        <v>13546</v>
      </c>
      <c r="G4482" s="406">
        <v>163705</v>
      </c>
      <c r="H4482" s="162" t="s">
        <v>13605</v>
      </c>
      <c r="K4482" s="406">
        <v>16370502</v>
      </c>
      <c r="L4482" s="162" t="s">
        <v>15925</v>
      </c>
      <c r="M4482" s="162" t="s">
        <v>15927</v>
      </c>
      <c r="O4482" s="224">
        <v>40</v>
      </c>
      <c r="P4482" s="224">
        <v>40</v>
      </c>
      <c r="Q4482" s="224">
        <v>40</v>
      </c>
      <c r="R4482" s="224">
        <v>40</v>
      </c>
      <c r="S4482" s="224">
        <v>40</v>
      </c>
      <c r="T4482" s="223" t="s">
        <v>1563</v>
      </c>
      <c r="U4482" t="str">
        <f>VLOOKUP(T4482,[8]Votes!$A$1:$E$234,3,FALSE)</f>
        <v>124 Equal Opportunities Commission</v>
      </c>
      <c r="V4482" s="162" t="s">
        <v>15928</v>
      </c>
      <c r="W4482" s="501">
        <v>1</v>
      </c>
      <c r="X4482" s="501">
        <v>1</v>
      </c>
      <c r="Y4482" s="501">
        <v>1</v>
      </c>
      <c r="Z4482" s="501">
        <v>1</v>
      </c>
      <c r="AA4482" s="501">
        <v>1</v>
      </c>
      <c r="AB4482" s="501">
        <v>0</v>
      </c>
      <c r="AC4482" s="150">
        <v>1</v>
      </c>
      <c r="AD4482" s="150">
        <v>0</v>
      </c>
      <c r="AE4482" s="49">
        <f t="shared" si="162"/>
        <v>0.75</v>
      </c>
      <c r="AF4482" s="23">
        <v>0</v>
      </c>
      <c r="AG4482" s="17">
        <v>0</v>
      </c>
      <c r="AH4482" s="360">
        <v>0.8</v>
      </c>
      <c r="AI4482" s="360">
        <v>1.2</v>
      </c>
      <c r="AJ4482" s="360">
        <v>0.8</v>
      </c>
      <c r="AK4482" s="361">
        <v>0.8</v>
      </c>
      <c r="AL4482" s="361">
        <v>0.8</v>
      </c>
      <c r="AM4482" s="17">
        <f t="shared" si="163"/>
        <v>1.6</v>
      </c>
      <c r="AN4482" s="162" t="s">
        <v>1563</v>
      </c>
      <c r="AO4482" s="162" t="s">
        <v>1565</v>
      </c>
    </row>
    <row r="4483" spans="1:41" s="162" customFormat="1" x14ac:dyDescent="0.3">
      <c r="A4483" s="205" t="s">
        <v>8321</v>
      </c>
      <c r="B4483" s="162" t="s">
        <v>8322</v>
      </c>
      <c r="C4483" s="168" t="s">
        <v>13469</v>
      </c>
      <c r="D4483" s="162" t="s">
        <v>13544</v>
      </c>
      <c r="E4483" s="406" t="s">
        <v>13545</v>
      </c>
      <c r="F4483" s="162" t="s">
        <v>13546</v>
      </c>
      <c r="G4483" s="406">
        <v>163705</v>
      </c>
      <c r="H4483" s="162" t="s">
        <v>13605</v>
      </c>
      <c r="K4483" s="406">
        <v>16370503</v>
      </c>
      <c r="L4483" s="162" t="s">
        <v>15929</v>
      </c>
      <c r="M4483" s="162" t="s">
        <v>15930</v>
      </c>
      <c r="O4483" s="224">
        <v>200</v>
      </c>
      <c r="P4483" s="224">
        <v>205</v>
      </c>
      <c r="Q4483" s="224">
        <v>210</v>
      </c>
      <c r="R4483" s="224">
        <v>215</v>
      </c>
      <c r="S4483" s="224">
        <v>220</v>
      </c>
      <c r="T4483" s="223" t="s">
        <v>1563</v>
      </c>
      <c r="U4483" t="str">
        <f>VLOOKUP(T4483,[8]Votes!$A$1:$E$234,3,FALSE)</f>
        <v>124 Equal Opportunities Commission</v>
      </c>
      <c r="V4483" s="162" t="s">
        <v>15931</v>
      </c>
      <c r="W4483" s="501">
        <v>1</v>
      </c>
      <c r="X4483" s="501">
        <v>1</v>
      </c>
      <c r="Y4483" s="501">
        <v>0</v>
      </c>
      <c r="Z4483" s="501">
        <v>1</v>
      </c>
      <c r="AA4483" s="501">
        <v>1</v>
      </c>
      <c r="AB4483" s="501">
        <v>0</v>
      </c>
      <c r="AC4483" s="150">
        <v>1</v>
      </c>
      <c r="AD4483" s="150">
        <v>0</v>
      </c>
      <c r="AE4483" s="49">
        <f t="shared" si="162"/>
        <v>0.625</v>
      </c>
      <c r="AF4483" s="23">
        <v>0</v>
      </c>
      <c r="AG4483" s="17">
        <v>0</v>
      </c>
      <c r="AH4483" s="360">
        <v>0.4</v>
      </c>
      <c r="AI4483" s="360">
        <v>0.5</v>
      </c>
      <c r="AJ4483" s="360">
        <v>0.4</v>
      </c>
      <c r="AK4483" s="361">
        <v>0.4</v>
      </c>
      <c r="AL4483" s="361">
        <v>0.4</v>
      </c>
      <c r="AM4483" s="17">
        <f t="shared" si="163"/>
        <v>0.8</v>
      </c>
      <c r="AN4483" s="162" t="s">
        <v>1563</v>
      </c>
      <c r="AO4483" s="162" t="s">
        <v>1565</v>
      </c>
    </row>
    <row r="4484" spans="1:41" s="162" customFormat="1" x14ac:dyDescent="0.3">
      <c r="A4484" s="205" t="s">
        <v>8321</v>
      </c>
      <c r="B4484" s="162" t="s">
        <v>8322</v>
      </c>
      <c r="C4484" s="168" t="s">
        <v>13469</v>
      </c>
      <c r="D4484" s="162" t="s">
        <v>13544</v>
      </c>
      <c r="E4484" s="406" t="s">
        <v>13545</v>
      </c>
      <c r="F4484" s="162" t="s">
        <v>13546</v>
      </c>
      <c r="G4484" s="406">
        <v>163705</v>
      </c>
      <c r="H4484" s="162" t="s">
        <v>13605</v>
      </c>
      <c r="K4484" s="406">
        <v>16370503</v>
      </c>
      <c r="L4484" s="162" t="s">
        <v>15929</v>
      </c>
      <c r="M4484" s="162" t="s">
        <v>15932</v>
      </c>
      <c r="O4484" s="224">
        <v>4</v>
      </c>
      <c r="P4484" s="224">
        <v>4</v>
      </c>
      <c r="Q4484" s="224">
        <v>8</v>
      </c>
      <c r="R4484" s="224">
        <v>8</v>
      </c>
      <c r="S4484" s="224">
        <v>8</v>
      </c>
      <c r="T4484" s="223" t="s">
        <v>1563</v>
      </c>
      <c r="U4484" t="str">
        <f>VLOOKUP(T4484,[8]Votes!$A$1:$E$234,3,FALSE)</f>
        <v>124 Equal Opportunities Commission</v>
      </c>
      <c r="V4484" s="162" t="s">
        <v>11570</v>
      </c>
      <c r="W4484" s="501">
        <v>1</v>
      </c>
      <c r="X4484" s="501">
        <v>1</v>
      </c>
      <c r="Y4484" s="501">
        <v>1</v>
      </c>
      <c r="Z4484" s="501">
        <v>1</v>
      </c>
      <c r="AA4484" s="501">
        <v>1</v>
      </c>
      <c r="AB4484" s="501">
        <v>0</v>
      </c>
      <c r="AC4484" s="150">
        <v>1</v>
      </c>
      <c r="AD4484" s="150">
        <v>0</v>
      </c>
      <c r="AE4484" s="49">
        <f t="shared" si="162"/>
        <v>0.75</v>
      </c>
      <c r="AF4484" s="23">
        <v>0</v>
      </c>
      <c r="AG4484" s="17">
        <v>0</v>
      </c>
      <c r="AH4484" s="360">
        <v>0.4</v>
      </c>
      <c r="AI4484" s="360">
        <v>0.32</v>
      </c>
      <c r="AJ4484" s="360">
        <v>0.4</v>
      </c>
      <c r="AK4484" s="361">
        <v>0.4</v>
      </c>
      <c r="AL4484" s="361">
        <v>0.4</v>
      </c>
      <c r="AM4484" s="17">
        <f t="shared" si="163"/>
        <v>0.8</v>
      </c>
      <c r="AN4484" s="162" t="s">
        <v>1563</v>
      </c>
      <c r="AO4484" s="162" t="s">
        <v>1565</v>
      </c>
    </row>
    <row r="4485" spans="1:41" s="162" customFormat="1" x14ac:dyDescent="0.3">
      <c r="A4485" s="205" t="s">
        <v>8321</v>
      </c>
      <c r="B4485" s="162" t="s">
        <v>8322</v>
      </c>
      <c r="C4485" s="168" t="s">
        <v>13469</v>
      </c>
      <c r="D4485" s="162" t="s">
        <v>13544</v>
      </c>
      <c r="E4485" s="406" t="s">
        <v>13545</v>
      </c>
      <c r="F4485" s="162" t="s">
        <v>13546</v>
      </c>
      <c r="G4485" s="406">
        <v>163705</v>
      </c>
      <c r="H4485" s="162" t="s">
        <v>13605</v>
      </c>
      <c r="K4485" s="406">
        <v>16370503</v>
      </c>
      <c r="L4485" s="162" t="s">
        <v>15929</v>
      </c>
      <c r="M4485" s="162" t="s">
        <v>15933</v>
      </c>
      <c r="O4485" s="224">
        <v>50</v>
      </c>
      <c r="P4485" s="224">
        <v>50</v>
      </c>
      <c r="Q4485" s="224">
        <v>60</v>
      </c>
      <c r="R4485" s="224">
        <v>70</v>
      </c>
      <c r="S4485" s="224">
        <v>80</v>
      </c>
      <c r="T4485" s="223" t="s">
        <v>15432</v>
      </c>
      <c r="U4485" t="e">
        <f>VLOOKUP(T4485,[8]Votes!$A$1:$E$234,3,FALSE)</f>
        <v>#N/A</v>
      </c>
      <c r="V4485" s="162" t="s">
        <v>15934</v>
      </c>
      <c r="W4485" s="501">
        <v>1</v>
      </c>
      <c r="X4485" s="501">
        <v>1</v>
      </c>
      <c r="Y4485" s="501">
        <v>1</v>
      </c>
      <c r="Z4485" s="501">
        <v>1</v>
      </c>
      <c r="AA4485" s="501">
        <v>1</v>
      </c>
      <c r="AB4485" s="501">
        <v>0</v>
      </c>
      <c r="AC4485" s="150">
        <v>0</v>
      </c>
      <c r="AD4485" s="150">
        <v>1</v>
      </c>
      <c r="AE4485" s="49">
        <f t="shared" si="162"/>
        <v>0.75</v>
      </c>
      <c r="AF4485" s="23">
        <v>0</v>
      </c>
      <c r="AG4485" s="17">
        <v>0</v>
      </c>
      <c r="AH4485" s="360">
        <v>0.4</v>
      </c>
      <c r="AI4485" s="360">
        <v>0.5</v>
      </c>
      <c r="AJ4485" s="360">
        <v>0.6</v>
      </c>
      <c r="AK4485" s="361">
        <v>0.7</v>
      </c>
      <c r="AL4485" s="361">
        <v>0.8</v>
      </c>
      <c r="AM4485" s="17">
        <f t="shared" si="163"/>
        <v>1.5</v>
      </c>
      <c r="AN4485" s="162" t="s">
        <v>3875</v>
      </c>
      <c r="AO4485" s="162" t="s">
        <v>3877</v>
      </c>
    </row>
    <row r="4486" spans="1:41" s="162" customFormat="1" x14ac:dyDescent="0.3">
      <c r="A4486" s="205" t="s">
        <v>8321</v>
      </c>
      <c r="B4486" s="162" t="s">
        <v>8322</v>
      </c>
      <c r="C4486" s="168" t="s">
        <v>13469</v>
      </c>
      <c r="D4486" s="162" t="s">
        <v>13544</v>
      </c>
      <c r="E4486" s="406" t="s">
        <v>13545</v>
      </c>
      <c r="F4486" s="162" t="s">
        <v>13546</v>
      </c>
      <c r="G4486" s="406">
        <v>163705</v>
      </c>
      <c r="H4486" s="162" t="s">
        <v>13605</v>
      </c>
      <c r="K4486" s="406">
        <v>16370504</v>
      </c>
      <c r="L4486" s="162" t="s">
        <v>15935</v>
      </c>
      <c r="M4486" s="162" t="s">
        <v>15936</v>
      </c>
      <c r="O4486" s="224">
        <v>10</v>
      </c>
      <c r="P4486" s="224">
        <v>15</v>
      </c>
      <c r="Q4486" s="224">
        <v>20</v>
      </c>
      <c r="R4486" s="224">
        <v>25</v>
      </c>
      <c r="S4486" s="224">
        <v>30</v>
      </c>
      <c r="T4486" s="223" t="s">
        <v>1563</v>
      </c>
      <c r="U4486" t="str">
        <f>VLOOKUP(T4486,[8]Votes!$A$1:$E$234,3,FALSE)</f>
        <v>124 Equal Opportunities Commission</v>
      </c>
      <c r="V4486" s="162" t="s">
        <v>15937</v>
      </c>
      <c r="W4486" s="501">
        <v>1</v>
      </c>
      <c r="X4486" s="501">
        <v>1</v>
      </c>
      <c r="Y4486" s="501">
        <v>0</v>
      </c>
      <c r="Z4486" s="501">
        <v>1</v>
      </c>
      <c r="AA4486" s="501">
        <v>1</v>
      </c>
      <c r="AB4486" s="501">
        <v>0</v>
      </c>
      <c r="AC4486" s="150">
        <v>1</v>
      </c>
      <c r="AD4486" s="150">
        <v>0</v>
      </c>
      <c r="AE4486" s="49">
        <f t="shared" si="162"/>
        <v>0.625</v>
      </c>
      <c r="AF4486" s="23">
        <v>0</v>
      </c>
      <c r="AG4486" s="17">
        <v>0</v>
      </c>
      <c r="AH4486" s="360">
        <v>0.02</v>
      </c>
      <c r="AI4486" s="360">
        <v>0.2</v>
      </c>
      <c r="AJ4486" s="360">
        <v>0.02</v>
      </c>
      <c r="AK4486" s="361">
        <v>0.25</v>
      </c>
      <c r="AL4486" s="361">
        <v>0.3</v>
      </c>
      <c r="AM4486" s="17">
        <f t="shared" si="163"/>
        <v>0.55000000000000004</v>
      </c>
      <c r="AN4486" s="162" t="s">
        <v>1563</v>
      </c>
      <c r="AO4486" s="162" t="s">
        <v>1565</v>
      </c>
    </row>
    <row r="4487" spans="1:41" s="162" customFormat="1" x14ac:dyDescent="0.3">
      <c r="A4487" s="205" t="s">
        <v>8321</v>
      </c>
      <c r="B4487" s="162" t="s">
        <v>8322</v>
      </c>
      <c r="C4487" s="168" t="s">
        <v>13469</v>
      </c>
      <c r="D4487" s="162" t="s">
        <v>13544</v>
      </c>
      <c r="E4487" s="406" t="s">
        <v>13545</v>
      </c>
      <c r="F4487" s="162" t="s">
        <v>13546</v>
      </c>
      <c r="G4487" s="406">
        <v>163705</v>
      </c>
      <c r="H4487" s="162" t="s">
        <v>13605</v>
      </c>
      <c r="K4487" s="406">
        <v>16370505</v>
      </c>
      <c r="L4487" s="162" t="s">
        <v>15938</v>
      </c>
      <c r="M4487" s="162" t="s">
        <v>15939</v>
      </c>
      <c r="O4487" s="224">
        <v>8</v>
      </c>
      <c r="P4487" s="224">
        <v>10</v>
      </c>
      <c r="Q4487" s="224">
        <v>12</v>
      </c>
      <c r="R4487" s="224">
        <v>14</v>
      </c>
      <c r="S4487" s="224">
        <v>14</v>
      </c>
      <c r="T4487" s="223" t="s">
        <v>1563</v>
      </c>
      <c r="U4487" t="str">
        <f>VLOOKUP(T4487,[8]Votes!$A$1:$E$234,3,FALSE)</f>
        <v>124 Equal Opportunities Commission</v>
      </c>
      <c r="V4487" s="162" t="s">
        <v>11574</v>
      </c>
      <c r="W4487" s="501">
        <v>1</v>
      </c>
      <c r="X4487" s="501">
        <v>1</v>
      </c>
      <c r="Y4487" s="501">
        <v>0</v>
      </c>
      <c r="Z4487" s="501">
        <v>1</v>
      </c>
      <c r="AA4487" s="501">
        <v>1</v>
      </c>
      <c r="AB4487" s="501">
        <v>1</v>
      </c>
      <c r="AC4487" s="150">
        <v>1</v>
      </c>
      <c r="AD4487" s="150">
        <v>0</v>
      </c>
      <c r="AE4487" s="49">
        <f t="shared" si="162"/>
        <v>0.75</v>
      </c>
      <c r="AF4487" s="23">
        <v>0</v>
      </c>
      <c r="AG4487" s="17">
        <v>0</v>
      </c>
      <c r="AH4487" s="360">
        <v>0.1</v>
      </c>
      <c r="AI4487" s="360">
        <v>0.2</v>
      </c>
      <c r="AJ4487" s="360">
        <v>0.1</v>
      </c>
      <c r="AK4487" s="361">
        <v>0.1</v>
      </c>
      <c r="AL4487" s="361">
        <v>0.1</v>
      </c>
      <c r="AM4487" s="17">
        <f t="shared" si="163"/>
        <v>0.2</v>
      </c>
      <c r="AN4487" s="162" t="s">
        <v>1563</v>
      </c>
      <c r="AO4487" s="162" t="s">
        <v>1565</v>
      </c>
    </row>
    <row r="4488" spans="1:41" s="162" customFormat="1" x14ac:dyDescent="0.3">
      <c r="A4488" s="205" t="s">
        <v>8321</v>
      </c>
      <c r="B4488" s="162" t="s">
        <v>8322</v>
      </c>
      <c r="C4488" s="168" t="s">
        <v>13469</v>
      </c>
      <c r="D4488" s="162" t="s">
        <v>13544</v>
      </c>
      <c r="E4488" s="406" t="s">
        <v>13545</v>
      </c>
      <c r="F4488" s="162" t="s">
        <v>13546</v>
      </c>
      <c r="G4488" s="406">
        <v>163705</v>
      </c>
      <c r="H4488" s="162" t="s">
        <v>13605</v>
      </c>
      <c r="K4488" s="406">
        <v>16370505</v>
      </c>
      <c r="L4488" s="162" t="s">
        <v>15938</v>
      </c>
      <c r="M4488" s="162" t="s">
        <v>15940</v>
      </c>
      <c r="O4488" s="224">
        <v>8</v>
      </c>
      <c r="P4488" s="224">
        <v>10</v>
      </c>
      <c r="Q4488" s="224">
        <v>12</v>
      </c>
      <c r="R4488" s="224">
        <v>14</v>
      </c>
      <c r="S4488" s="224">
        <v>14</v>
      </c>
      <c r="T4488" s="223" t="s">
        <v>1563</v>
      </c>
      <c r="U4488" t="str">
        <f>VLOOKUP(T4488,[8]Votes!$A$1:$E$234,3,FALSE)</f>
        <v>124 Equal Opportunities Commission</v>
      </c>
      <c r="V4488" s="162" t="s">
        <v>11576</v>
      </c>
      <c r="W4488" s="501">
        <v>1</v>
      </c>
      <c r="X4488" s="501">
        <v>0</v>
      </c>
      <c r="Y4488" s="501">
        <v>0</v>
      </c>
      <c r="Z4488" s="501">
        <v>1</v>
      </c>
      <c r="AA4488" s="501">
        <v>1</v>
      </c>
      <c r="AB4488" s="501">
        <v>0</v>
      </c>
      <c r="AC4488" s="150">
        <v>1</v>
      </c>
      <c r="AD4488" s="150">
        <v>0</v>
      </c>
      <c r="AE4488" s="49">
        <f t="shared" si="162"/>
        <v>0.5</v>
      </c>
      <c r="AF4488" s="23">
        <v>0</v>
      </c>
      <c r="AG4488" s="17">
        <v>0</v>
      </c>
      <c r="AH4488" s="360">
        <v>0.1</v>
      </c>
      <c r="AI4488" s="360">
        <v>0.1</v>
      </c>
      <c r="AJ4488" s="360">
        <v>0.1</v>
      </c>
      <c r="AK4488" s="361">
        <v>0.1</v>
      </c>
      <c r="AL4488" s="361">
        <v>0.1</v>
      </c>
      <c r="AM4488" s="17">
        <f t="shared" si="163"/>
        <v>0.2</v>
      </c>
      <c r="AN4488" s="162" t="s">
        <v>1563</v>
      </c>
      <c r="AO4488" s="162" t="s">
        <v>1565</v>
      </c>
    </row>
    <row r="4489" spans="1:41" s="162" customFormat="1" x14ac:dyDescent="0.3">
      <c r="A4489" s="205" t="s">
        <v>8321</v>
      </c>
      <c r="B4489" s="162" t="s">
        <v>8322</v>
      </c>
      <c r="C4489" s="168" t="s">
        <v>13469</v>
      </c>
      <c r="D4489" s="162" t="s">
        <v>13544</v>
      </c>
      <c r="E4489" s="406" t="s">
        <v>13545</v>
      </c>
      <c r="F4489" s="162" t="s">
        <v>13546</v>
      </c>
      <c r="G4489" s="406">
        <v>163705</v>
      </c>
      <c r="H4489" s="162" t="s">
        <v>13605</v>
      </c>
      <c r="K4489" s="406">
        <v>16370506</v>
      </c>
      <c r="L4489" s="162" t="s">
        <v>15941</v>
      </c>
      <c r="M4489" s="162" t="s">
        <v>15942</v>
      </c>
      <c r="N4489" s="162">
        <v>0</v>
      </c>
      <c r="O4489" s="224">
        <v>0</v>
      </c>
      <c r="P4489" s="224">
        <v>0</v>
      </c>
      <c r="Q4489" s="224">
        <v>1</v>
      </c>
      <c r="R4489" s="224">
        <v>0</v>
      </c>
      <c r="S4489" s="224">
        <v>0</v>
      </c>
      <c r="T4489" s="223" t="s">
        <v>14567</v>
      </c>
      <c r="U4489" t="str">
        <f>VLOOKUP(T4489,[8]Votes!$A$1:$E$234,3,FALSE)</f>
        <v>106 Uganda Human Rights Commission</v>
      </c>
      <c r="V4489" s="162" t="s">
        <v>15943</v>
      </c>
      <c r="W4489" s="501">
        <v>1</v>
      </c>
      <c r="X4489" s="501">
        <v>0</v>
      </c>
      <c r="Y4489" s="501">
        <v>0</v>
      </c>
      <c r="Z4489" s="501">
        <v>1</v>
      </c>
      <c r="AA4489" s="501">
        <v>1</v>
      </c>
      <c r="AB4489" s="501">
        <v>0</v>
      </c>
      <c r="AC4489" s="150">
        <v>0</v>
      </c>
      <c r="AD4489" s="150">
        <v>0</v>
      </c>
      <c r="AE4489" s="49">
        <f t="shared" si="162"/>
        <v>0.375</v>
      </c>
      <c r="AF4489" s="23">
        <v>0</v>
      </c>
      <c r="AG4489" s="17">
        <v>0</v>
      </c>
      <c r="AH4489" s="190">
        <v>0</v>
      </c>
      <c r="AI4489" s="360">
        <v>0.02</v>
      </c>
      <c r="AJ4489" s="190">
        <v>0</v>
      </c>
      <c r="AK4489" s="191">
        <v>0</v>
      </c>
      <c r="AL4489" s="191">
        <v>0</v>
      </c>
      <c r="AM4489" s="17">
        <f t="shared" si="163"/>
        <v>0</v>
      </c>
      <c r="AN4489" s="162" t="s">
        <v>14567</v>
      </c>
      <c r="AO4489" s="162" t="s">
        <v>14570</v>
      </c>
    </row>
    <row r="4490" spans="1:41" s="162" customFormat="1" x14ac:dyDescent="0.3">
      <c r="A4490" s="205" t="s">
        <v>8321</v>
      </c>
      <c r="B4490" s="162" t="s">
        <v>8322</v>
      </c>
      <c r="C4490" s="168" t="s">
        <v>13469</v>
      </c>
      <c r="D4490" s="162" t="s">
        <v>13544</v>
      </c>
      <c r="E4490" s="406" t="s">
        <v>13545</v>
      </c>
      <c r="F4490" s="162" t="s">
        <v>13546</v>
      </c>
      <c r="G4490" s="406">
        <v>163705</v>
      </c>
      <c r="H4490" s="162" t="s">
        <v>13605</v>
      </c>
      <c r="K4490" s="406">
        <v>16370507</v>
      </c>
      <c r="L4490" s="162" t="s">
        <v>15944</v>
      </c>
      <c r="M4490" s="162" t="s">
        <v>15945</v>
      </c>
      <c r="N4490" s="162">
        <v>0</v>
      </c>
      <c r="O4490" s="224">
        <v>2000</v>
      </c>
      <c r="P4490" s="224">
        <v>2000</v>
      </c>
      <c r="Q4490" s="224">
        <v>2000</v>
      </c>
      <c r="R4490" s="224">
        <v>1000</v>
      </c>
      <c r="S4490" s="224">
        <v>1000</v>
      </c>
      <c r="T4490" s="223" t="s">
        <v>14567</v>
      </c>
      <c r="U4490" t="str">
        <f>VLOOKUP(T4490,[8]Votes!$A$1:$E$234,3,FALSE)</f>
        <v>106 Uganda Human Rights Commission</v>
      </c>
      <c r="V4490" s="162" t="s">
        <v>15946</v>
      </c>
      <c r="W4490" s="501">
        <v>1</v>
      </c>
      <c r="X4490" s="501">
        <v>1</v>
      </c>
      <c r="Y4490" s="501">
        <v>1</v>
      </c>
      <c r="Z4490" s="501">
        <v>1</v>
      </c>
      <c r="AA4490" s="501">
        <v>1</v>
      </c>
      <c r="AB4490" s="501">
        <v>1</v>
      </c>
      <c r="AC4490" s="150">
        <v>1</v>
      </c>
      <c r="AD4490" s="150">
        <v>0</v>
      </c>
      <c r="AE4490" s="49">
        <f t="shared" si="162"/>
        <v>0.875</v>
      </c>
      <c r="AF4490" s="23">
        <v>0</v>
      </c>
      <c r="AG4490" s="17">
        <v>0</v>
      </c>
      <c r="AH4490" s="360">
        <v>0.03</v>
      </c>
      <c r="AI4490" s="360">
        <v>0.03</v>
      </c>
      <c r="AJ4490" s="360">
        <v>0.03</v>
      </c>
      <c r="AK4490" s="361">
        <v>0.03</v>
      </c>
      <c r="AL4490" s="361">
        <v>0.03</v>
      </c>
      <c r="AM4490" s="17">
        <f t="shared" si="163"/>
        <v>0.06</v>
      </c>
      <c r="AN4490" s="162" t="s">
        <v>14567</v>
      </c>
      <c r="AO4490" s="162" t="s">
        <v>14570</v>
      </c>
    </row>
    <row r="4491" spans="1:41" s="162" customFormat="1" x14ac:dyDescent="0.3">
      <c r="A4491" s="205" t="s">
        <v>8321</v>
      </c>
      <c r="B4491" s="162" t="s">
        <v>8322</v>
      </c>
      <c r="C4491" s="168" t="s">
        <v>13469</v>
      </c>
      <c r="D4491" s="162" t="s">
        <v>13544</v>
      </c>
      <c r="E4491" s="406" t="s">
        <v>13545</v>
      </c>
      <c r="F4491" s="162" t="s">
        <v>13546</v>
      </c>
      <c r="G4491" s="406">
        <v>163705</v>
      </c>
      <c r="H4491" s="162" t="s">
        <v>13605</v>
      </c>
      <c r="K4491" s="406">
        <v>16370508</v>
      </c>
      <c r="L4491" s="162" t="s">
        <v>15947</v>
      </c>
      <c r="M4491" s="162" t="s">
        <v>15948</v>
      </c>
      <c r="N4491" s="162">
        <v>0</v>
      </c>
      <c r="O4491" s="224">
        <v>0</v>
      </c>
      <c r="P4491" s="224">
        <v>5</v>
      </c>
      <c r="Q4491" s="224">
        <v>10</v>
      </c>
      <c r="R4491" s="224">
        <v>0</v>
      </c>
      <c r="S4491" s="224">
        <v>20</v>
      </c>
      <c r="T4491" s="223" t="s">
        <v>14567</v>
      </c>
      <c r="U4491" t="str">
        <f>VLOOKUP(T4491,[8]Votes!$A$1:$E$234,3,FALSE)</f>
        <v>106 Uganda Human Rights Commission</v>
      </c>
      <c r="V4491" s="162" t="s">
        <v>15949</v>
      </c>
      <c r="W4491" s="501">
        <v>1</v>
      </c>
      <c r="X4491" s="501">
        <v>0</v>
      </c>
      <c r="Y4491" s="501">
        <v>0</v>
      </c>
      <c r="Z4491" s="501">
        <v>1</v>
      </c>
      <c r="AA4491" s="501">
        <v>1</v>
      </c>
      <c r="AB4491" s="501">
        <v>0</v>
      </c>
      <c r="AC4491" s="150">
        <v>0</v>
      </c>
      <c r="AD4491" s="150">
        <v>0</v>
      </c>
      <c r="AE4491" s="49">
        <f t="shared" si="162"/>
        <v>0.375</v>
      </c>
      <c r="AF4491" s="23">
        <v>0</v>
      </c>
      <c r="AG4491" s="17">
        <v>0</v>
      </c>
      <c r="AH4491" s="190">
        <v>0</v>
      </c>
      <c r="AI4491" s="360">
        <v>0.05</v>
      </c>
      <c r="AJ4491" s="360">
        <v>0.1</v>
      </c>
      <c r="AK4491" s="361"/>
      <c r="AL4491" s="361">
        <v>0.2</v>
      </c>
      <c r="AM4491" s="17">
        <f t="shared" si="163"/>
        <v>0.2</v>
      </c>
      <c r="AN4491" s="162" t="s">
        <v>14567</v>
      </c>
      <c r="AO4491" s="162" t="s">
        <v>14570</v>
      </c>
    </row>
    <row r="4492" spans="1:41" s="162" customFormat="1" x14ac:dyDescent="0.3">
      <c r="A4492" s="205" t="s">
        <v>8321</v>
      </c>
      <c r="B4492" s="162" t="s">
        <v>8322</v>
      </c>
      <c r="C4492" s="168" t="s">
        <v>13469</v>
      </c>
      <c r="D4492" s="162" t="s">
        <v>13544</v>
      </c>
      <c r="E4492" s="406" t="s">
        <v>13545</v>
      </c>
      <c r="F4492" s="162" t="s">
        <v>13546</v>
      </c>
      <c r="G4492" s="406">
        <v>163705</v>
      </c>
      <c r="H4492" s="162" t="s">
        <v>13605</v>
      </c>
      <c r="K4492" s="406">
        <v>16370509</v>
      </c>
      <c r="L4492" s="162" t="s">
        <v>15950</v>
      </c>
      <c r="M4492" s="162" t="s">
        <v>15951</v>
      </c>
      <c r="N4492" s="162">
        <v>0</v>
      </c>
      <c r="O4492" s="224">
        <v>0</v>
      </c>
      <c r="P4492" s="224">
        <v>200</v>
      </c>
      <c r="Q4492" s="224">
        <v>240</v>
      </c>
      <c r="R4492" s="224">
        <v>300</v>
      </c>
      <c r="S4492" s="224">
        <v>300</v>
      </c>
      <c r="T4492" s="223" t="s">
        <v>14567</v>
      </c>
      <c r="U4492" t="str">
        <f>VLOOKUP(T4492,[8]Votes!$A$1:$E$234,3,FALSE)</f>
        <v>106 Uganda Human Rights Commission</v>
      </c>
      <c r="V4492" s="162" t="s">
        <v>15952</v>
      </c>
      <c r="W4492" s="501">
        <v>1</v>
      </c>
      <c r="X4492" s="501">
        <v>1</v>
      </c>
      <c r="Y4492" s="501">
        <v>1</v>
      </c>
      <c r="Z4492" s="501">
        <v>1</v>
      </c>
      <c r="AA4492" s="501">
        <v>1</v>
      </c>
      <c r="AB4492" s="501">
        <v>1</v>
      </c>
      <c r="AC4492" s="150">
        <v>1</v>
      </c>
      <c r="AD4492" s="150">
        <v>0</v>
      </c>
      <c r="AE4492" s="49">
        <f t="shared" si="162"/>
        <v>0.875</v>
      </c>
      <c r="AF4492" s="23">
        <v>0</v>
      </c>
      <c r="AG4492" s="17">
        <v>0</v>
      </c>
      <c r="AH4492" s="190">
        <v>0</v>
      </c>
      <c r="AI4492" s="360">
        <v>0.02</v>
      </c>
      <c r="AJ4492" s="360">
        <v>2.4E-2</v>
      </c>
      <c r="AK4492" s="361">
        <v>0.2</v>
      </c>
      <c r="AL4492" s="361">
        <v>0.2</v>
      </c>
      <c r="AM4492" s="17">
        <f t="shared" si="163"/>
        <v>0.4</v>
      </c>
      <c r="AN4492" s="162" t="s">
        <v>14567</v>
      </c>
      <c r="AO4492" s="162" t="s">
        <v>14570</v>
      </c>
    </row>
    <row r="4493" spans="1:41" s="162" customFormat="1" x14ac:dyDescent="0.3">
      <c r="A4493" s="205" t="s">
        <v>8321</v>
      </c>
      <c r="B4493" s="162" t="s">
        <v>8322</v>
      </c>
      <c r="C4493" s="168" t="s">
        <v>13469</v>
      </c>
      <c r="D4493" s="162" t="s">
        <v>13544</v>
      </c>
      <c r="E4493" s="406" t="s">
        <v>13545</v>
      </c>
      <c r="F4493" s="162" t="s">
        <v>13546</v>
      </c>
      <c r="G4493" s="406">
        <v>163705</v>
      </c>
      <c r="H4493" s="162" t="s">
        <v>13605</v>
      </c>
      <c r="K4493" s="406">
        <v>16370510</v>
      </c>
      <c r="L4493" s="162" t="s">
        <v>15953</v>
      </c>
      <c r="M4493" s="162" t="s">
        <v>15954</v>
      </c>
      <c r="N4493" s="162">
        <v>0</v>
      </c>
      <c r="O4493" s="224">
        <v>0</v>
      </c>
      <c r="P4493" s="224">
        <v>0</v>
      </c>
      <c r="Q4493" s="224">
        <v>1</v>
      </c>
      <c r="R4493" s="224">
        <v>1</v>
      </c>
      <c r="S4493" s="224">
        <v>0</v>
      </c>
      <c r="T4493" s="223" t="s">
        <v>14567</v>
      </c>
      <c r="U4493" t="str">
        <f>VLOOKUP(T4493,[8]Votes!$A$1:$E$234,3,FALSE)</f>
        <v>106 Uganda Human Rights Commission</v>
      </c>
      <c r="V4493" s="162" t="s">
        <v>15955</v>
      </c>
      <c r="W4493" s="501">
        <v>1</v>
      </c>
      <c r="X4493" s="501">
        <v>0</v>
      </c>
      <c r="Y4493" s="501">
        <v>0</v>
      </c>
      <c r="Z4493" s="501">
        <v>1</v>
      </c>
      <c r="AA4493" s="501">
        <v>1</v>
      </c>
      <c r="AB4493" s="501">
        <v>0</v>
      </c>
      <c r="AC4493" s="150">
        <v>0</v>
      </c>
      <c r="AD4493" s="150">
        <v>0</v>
      </c>
      <c r="AE4493" s="49">
        <f t="shared" si="162"/>
        <v>0.375</v>
      </c>
      <c r="AF4493" s="23">
        <v>0</v>
      </c>
      <c r="AG4493" s="17">
        <v>0</v>
      </c>
      <c r="AH4493" s="190">
        <v>0</v>
      </c>
      <c r="AI4493" s="190">
        <v>0</v>
      </c>
      <c r="AJ4493" s="360">
        <v>0.125</v>
      </c>
      <c r="AK4493" s="361">
        <v>0.125</v>
      </c>
      <c r="AL4493" s="191">
        <v>0</v>
      </c>
      <c r="AM4493" s="17">
        <f t="shared" si="163"/>
        <v>0.125</v>
      </c>
      <c r="AN4493" s="162" t="s">
        <v>14567</v>
      </c>
      <c r="AO4493" s="162" t="s">
        <v>14570</v>
      </c>
    </row>
    <row r="4494" spans="1:41" s="162" customFormat="1" x14ac:dyDescent="0.3">
      <c r="A4494" s="205" t="s">
        <v>8321</v>
      </c>
      <c r="B4494" s="162" t="s">
        <v>8322</v>
      </c>
      <c r="C4494" s="168" t="s">
        <v>13469</v>
      </c>
      <c r="D4494" s="162" t="s">
        <v>13544</v>
      </c>
      <c r="E4494" s="406" t="s">
        <v>13545</v>
      </c>
      <c r="F4494" s="162" t="s">
        <v>13546</v>
      </c>
      <c r="G4494" s="406">
        <v>163705</v>
      </c>
      <c r="H4494" s="162" t="s">
        <v>13605</v>
      </c>
      <c r="K4494" s="406">
        <v>16370511</v>
      </c>
      <c r="L4494" s="162" t="s">
        <v>15956</v>
      </c>
      <c r="M4494" s="162" t="s">
        <v>15957</v>
      </c>
      <c r="N4494" s="162">
        <v>0.53</v>
      </c>
      <c r="O4494" s="224" t="s">
        <v>15958</v>
      </c>
      <c r="P4494" s="224">
        <v>0.3</v>
      </c>
      <c r="Q4494" s="224">
        <v>0.5</v>
      </c>
      <c r="R4494" s="224">
        <v>0.6</v>
      </c>
      <c r="S4494" s="224">
        <v>0.7</v>
      </c>
      <c r="T4494" s="223" t="s">
        <v>14567</v>
      </c>
      <c r="U4494" t="str">
        <f>VLOOKUP(T4494,[8]Votes!$A$1:$E$234,3,FALSE)</f>
        <v>106 Uganda Human Rights Commission</v>
      </c>
      <c r="V4494" s="162" t="s">
        <v>15959</v>
      </c>
      <c r="W4494" s="501">
        <v>1</v>
      </c>
      <c r="X4494" s="501">
        <v>0</v>
      </c>
      <c r="Y4494" s="501">
        <v>0</v>
      </c>
      <c r="Z4494" s="501">
        <v>1</v>
      </c>
      <c r="AA4494" s="501">
        <v>1</v>
      </c>
      <c r="AB4494" s="501">
        <v>0</v>
      </c>
      <c r="AC4494" s="150">
        <v>0</v>
      </c>
      <c r="AD4494" s="150">
        <v>0</v>
      </c>
      <c r="AE4494" s="49">
        <f t="shared" si="162"/>
        <v>0.375</v>
      </c>
      <c r="AF4494" s="23">
        <v>0</v>
      </c>
      <c r="AG4494" s="17">
        <v>0</v>
      </c>
      <c r="AH4494" s="360">
        <v>0.5</v>
      </c>
      <c r="AI4494" s="360">
        <v>1</v>
      </c>
      <c r="AJ4494" s="360">
        <v>1.2</v>
      </c>
      <c r="AK4494" s="361">
        <v>8.9999999999999993E-3</v>
      </c>
      <c r="AL4494" s="361">
        <v>0.09</v>
      </c>
      <c r="AM4494" s="17">
        <f t="shared" si="163"/>
        <v>9.8999999999999991E-2</v>
      </c>
      <c r="AN4494" s="162" t="s">
        <v>14567</v>
      </c>
      <c r="AO4494" s="162" t="s">
        <v>14570</v>
      </c>
    </row>
    <row r="4495" spans="1:41" s="162" customFormat="1" x14ac:dyDescent="0.3">
      <c r="A4495" s="205" t="s">
        <v>8321</v>
      </c>
      <c r="B4495" s="162" t="s">
        <v>8322</v>
      </c>
      <c r="C4495" s="168" t="s">
        <v>13469</v>
      </c>
      <c r="D4495" s="162" t="s">
        <v>13544</v>
      </c>
      <c r="E4495" s="406" t="s">
        <v>13545</v>
      </c>
      <c r="F4495" s="162" t="s">
        <v>13546</v>
      </c>
      <c r="G4495" s="406">
        <v>163705</v>
      </c>
      <c r="H4495" s="162" t="s">
        <v>13605</v>
      </c>
      <c r="K4495" s="406">
        <v>16370512</v>
      </c>
      <c r="L4495" s="162" t="s">
        <v>15960</v>
      </c>
      <c r="M4495" s="162" t="s">
        <v>15961</v>
      </c>
      <c r="N4495" s="462">
        <v>0.08</v>
      </c>
      <c r="O4495" s="224" t="s">
        <v>15962</v>
      </c>
      <c r="P4495" s="492">
        <v>0.25</v>
      </c>
      <c r="Q4495" s="492">
        <v>0.38</v>
      </c>
      <c r="R4495" s="492">
        <v>0.45</v>
      </c>
      <c r="S4495" s="492">
        <v>0.55000000000000004</v>
      </c>
      <c r="T4495" s="223" t="s">
        <v>14567</v>
      </c>
      <c r="U4495" t="str">
        <f>VLOOKUP(T4495,[8]Votes!$A$1:$E$234,3,FALSE)</f>
        <v>106 Uganda Human Rights Commission</v>
      </c>
      <c r="V4495" s="162" t="s">
        <v>15963</v>
      </c>
      <c r="W4495" s="501">
        <v>1</v>
      </c>
      <c r="X4495" s="501">
        <v>1</v>
      </c>
      <c r="Y4495" s="501">
        <v>1</v>
      </c>
      <c r="Z4495" s="501">
        <v>1</v>
      </c>
      <c r="AA4495" s="501">
        <v>1</v>
      </c>
      <c r="AB4495" s="501">
        <v>1</v>
      </c>
      <c r="AC4495" s="150">
        <v>1</v>
      </c>
      <c r="AD4495" s="150"/>
      <c r="AE4495" s="49">
        <f t="shared" si="162"/>
        <v>0.875</v>
      </c>
      <c r="AF4495" s="23">
        <v>0</v>
      </c>
      <c r="AG4495" s="17">
        <v>0</v>
      </c>
      <c r="AH4495" s="360">
        <v>0.03</v>
      </c>
      <c r="AI4495" s="360">
        <v>0.03</v>
      </c>
      <c r="AJ4495" s="360">
        <v>0.03</v>
      </c>
      <c r="AK4495" s="361">
        <v>0.03</v>
      </c>
      <c r="AL4495" s="361">
        <v>0.03</v>
      </c>
      <c r="AM4495" s="17">
        <f t="shared" si="163"/>
        <v>0.06</v>
      </c>
      <c r="AN4495" s="162" t="s">
        <v>14567</v>
      </c>
      <c r="AO4495" s="162" t="s">
        <v>14570</v>
      </c>
    </row>
    <row r="4496" spans="1:41" s="162" customFormat="1" x14ac:dyDescent="0.3">
      <c r="A4496" s="205" t="s">
        <v>8321</v>
      </c>
      <c r="B4496" s="162" t="s">
        <v>8322</v>
      </c>
      <c r="C4496" s="168" t="s">
        <v>13469</v>
      </c>
      <c r="D4496" s="162" t="s">
        <v>13544</v>
      </c>
      <c r="E4496" s="406" t="s">
        <v>13545</v>
      </c>
      <c r="F4496" s="162" t="s">
        <v>13546</v>
      </c>
      <c r="G4496" s="406">
        <v>163705</v>
      </c>
      <c r="H4496" s="162" t="s">
        <v>13605</v>
      </c>
      <c r="K4496" s="406">
        <v>16370512</v>
      </c>
      <c r="L4496" s="162" t="s">
        <v>15960</v>
      </c>
      <c r="M4496" s="162" t="s">
        <v>15964</v>
      </c>
      <c r="N4496" s="162">
        <v>0</v>
      </c>
      <c r="O4496" s="224">
        <v>1</v>
      </c>
      <c r="P4496" s="224">
        <v>0</v>
      </c>
      <c r="Q4496" s="224">
        <v>0</v>
      </c>
      <c r="R4496" s="224">
        <v>0</v>
      </c>
      <c r="S4496" s="224">
        <v>0</v>
      </c>
      <c r="T4496" s="223" t="s">
        <v>14567</v>
      </c>
      <c r="U4496" t="str">
        <f>VLOOKUP(T4496,[8]Votes!$A$1:$E$234,3,FALSE)</f>
        <v>106 Uganda Human Rights Commission</v>
      </c>
      <c r="V4496" s="162" t="s">
        <v>15965</v>
      </c>
      <c r="W4496" s="501">
        <v>1</v>
      </c>
      <c r="X4496" s="501">
        <v>1</v>
      </c>
      <c r="Y4496" s="501">
        <v>1</v>
      </c>
      <c r="Z4496" s="501">
        <v>1</v>
      </c>
      <c r="AA4496" s="501">
        <v>1</v>
      </c>
      <c r="AB4496" s="501">
        <v>1</v>
      </c>
      <c r="AC4496" s="150">
        <v>1</v>
      </c>
      <c r="AD4496" s="150"/>
      <c r="AE4496" s="49">
        <f t="shared" si="162"/>
        <v>0.875</v>
      </c>
      <c r="AF4496" s="23">
        <v>0</v>
      </c>
      <c r="AG4496" s="17">
        <v>0</v>
      </c>
      <c r="AH4496" s="360">
        <v>0.04</v>
      </c>
      <c r="AI4496" s="190">
        <v>0</v>
      </c>
      <c r="AJ4496" s="190">
        <v>0</v>
      </c>
      <c r="AK4496" s="191">
        <v>0</v>
      </c>
      <c r="AL4496" s="191">
        <v>0</v>
      </c>
      <c r="AM4496" s="17">
        <f t="shared" si="163"/>
        <v>0</v>
      </c>
      <c r="AN4496" s="162" t="s">
        <v>14567</v>
      </c>
      <c r="AO4496" s="162" t="s">
        <v>14570</v>
      </c>
    </row>
    <row r="4497" spans="1:41" s="162" customFormat="1" x14ac:dyDescent="0.3">
      <c r="A4497" s="205" t="s">
        <v>8321</v>
      </c>
      <c r="B4497" s="162" t="s">
        <v>8322</v>
      </c>
      <c r="C4497" s="168" t="s">
        <v>13469</v>
      </c>
      <c r="D4497" s="162" t="s">
        <v>13544</v>
      </c>
      <c r="E4497" s="406" t="s">
        <v>13545</v>
      </c>
      <c r="F4497" s="162" t="s">
        <v>13546</v>
      </c>
      <c r="G4497" s="406">
        <v>163705</v>
      </c>
      <c r="H4497" s="162" t="s">
        <v>13605</v>
      </c>
      <c r="K4497" s="406">
        <v>16370513</v>
      </c>
      <c r="L4497" s="162" t="s">
        <v>15966</v>
      </c>
      <c r="M4497" s="162" t="s">
        <v>15967</v>
      </c>
      <c r="N4497" s="162">
        <v>0</v>
      </c>
      <c r="O4497" s="224">
        <v>0</v>
      </c>
      <c r="P4497" s="224">
        <v>1</v>
      </c>
      <c r="Q4497" s="224">
        <v>0</v>
      </c>
      <c r="R4497" s="224">
        <v>0</v>
      </c>
      <c r="S4497" s="224">
        <v>0</v>
      </c>
      <c r="T4497" s="223" t="s">
        <v>14567</v>
      </c>
      <c r="U4497" t="str">
        <f>VLOOKUP(T4497,[8]Votes!$A$1:$E$234,3,FALSE)</f>
        <v>106 Uganda Human Rights Commission</v>
      </c>
      <c r="V4497" s="162" t="s">
        <v>15968</v>
      </c>
      <c r="W4497" s="501">
        <v>1</v>
      </c>
      <c r="X4497" s="501">
        <v>1</v>
      </c>
      <c r="Y4497" s="501">
        <v>0</v>
      </c>
      <c r="Z4497" s="501">
        <v>1</v>
      </c>
      <c r="AA4497" s="501">
        <v>1</v>
      </c>
      <c r="AB4497" s="501">
        <v>1</v>
      </c>
      <c r="AC4497" s="150">
        <v>1</v>
      </c>
      <c r="AD4497" s="150"/>
      <c r="AE4497" s="49">
        <f t="shared" si="162"/>
        <v>0.75</v>
      </c>
      <c r="AF4497" s="23">
        <v>0</v>
      </c>
      <c r="AG4497" s="17">
        <v>0</v>
      </c>
      <c r="AH4497" s="190">
        <v>0</v>
      </c>
      <c r="AI4497" s="360">
        <v>0.05</v>
      </c>
      <c r="AJ4497" s="190">
        <v>0</v>
      </c>
      <c r="AK4497" s="191">
        <v>0</v>
      </c>
      <c r="AL4497" s="191">
        <v>0</v>
      </c>
      <c r="AM4497" s="17">
        <f t="shared" si="163"/>
        <v>0</v>
      </c>
      <c r="AN4497" s="162" t="s">
        <v>14567</v>
      </c>
      <c r="AO4497" s="162" t="s">
        <v>14570</v>
      </c>
    </row>
    <row r="4498" spans="1:41" s="162" customFormat="1" x14ac:dyDescent="0.3">
      <c r="A4498" s="205" t="s">
        <v>8321</v>
      </c>
      <c r="B4498" s="162" t="s">
        <v>8322</v>
      </c>
      <c r="C4498" s="168" t="s">
        <v>13469</v>
      </c>
      <c r="D4498" s="162" t="s">
        <v>13544</v>
      </c>
      <c r="E4498" s="406" t="s">
        <v>13545</v>
      </c>
      <c r="F4498" s="162" t="s">
        <v>13546</v>
      </c>
      <c r="G4498" s="406">
        <v>163705</v>
      </c>
      <c r="H4498" s="162" t="s">
        <v>13605</v>
      </c>
      <c r="K4498" s="406">
        <v>16370513</v>
      </c>
      <c r="L4498" s="162" t="s">
        <v>15966</v>
      </c>
      <c r="M4498" s="162" t="s">
        <v>15967</v>
      </c>
      <c r="N4498" s="162">
        <v>170</v>
      </c>
      <c r="O4498" s="224" t="s">
        <v>15969</v>
      </c>
      <c r="P4498" s="224">
        <v>100</v>
      </c>
      <c r="Q4498" s="224">
        <v>300</v>
      </c>
      <c r="R4498" s="224">
        <v>300</v>
      </c>
      <c r="S4498" s="224">
        <v>300</v>
      </c>
      <c r="T4498" s="223" t="s">
        <v>14567</v>
      </c>
      <c r="U4498" t="str">
        <f>VLOOKUP(T4498,[8]Votes!$A$1:$E$234,3,FALSE)</f>
        <v>106 Uganda Human Rights Commission</v>
      </c>
      <c r="V4498" s="162" t="s">
        <v>15970</v>
      </c>
      <c r="W4498" s="501">
        <v>1</v>
      </c>
      <c r="X4498" s="501">
        <v>0</v>
      </c>
      <c r="Y4498" s="501">
        <v>0</v>
      </c>
      <c r="Z4498" s="501">
        <v>1</v>
      </c>
      <c r="AA4498" s="501">
        <v>1</v>
      </c>
      <c r="AB4498" s="501">
        <v>0</v>
      </c>
      <c r="AC4498" s="150">
        <v>0</v>
      </c>
      <c r="AD4498" s="150">
        <v>0</v>
      </c>
      <c r="AE4498" s="49">
        <f t="shared" si="162"/>
        <v>0.375</v>
      </c>
      <c r="AF4498" s="23">
        <v>0</v>
      </c>
      <c r="AG4498" s="17">
        <v>0</v>
      </c>
      <c r="AH4498" s="190">
        <v>0</v>
      </c>
      <c r="AI4498" s="360">
        <v>0.46</v>
      </c>
      <c r="AJ4498" s="360">
        <v>0.51200000000000001</v>
      </c>
      <c r="AK4498" s="361">
        <v>0.3</v>
      </c>
      <c r="AL4498" s="361">
        <v>0.3</v>
      </c>
      <c r="AM4498" s="17">
        <f t="shared" si="163"/>
        <v>0.6</v>
      </c>
      <c r="AN4498" s="162" t="s">
        <v>14567</v>
      </c>
      <c r="AO4498" s="162" t="s">
        <v>14570</v>
      </c>
    </row>
    <row r="4499" spans="1:41" s="162" customFormat="1" x14ac:dyDescent="0.3">
      <c r="A4499" s="205" t="s">
        <v>8321</v>
      </c>
      <c r="B4499" s="162" t="s">
        <v>8322</v>
      </c>
      <c r="C4499" s="168" t="s">
        <v>13469</v>
      </c>
      <c r="D4499" s="162" t="s">
        <v>13544</v>
      </c>
      <c r="E4499" s="406" t="s">
        <v>13545</v>
      </c>
      <c r="F4499" s="162" t="s">
        <v>13546</v>
      </c>
      <c r="G4499" s="406">
        <v>163705</v>
      </c>
      <c r="H4499" s="162" t="s">
        <v>13605</v>
      </c>
      <c r="K4499" s="406">
        <v>16370513</v>
      </c>
      <c r="L4499" s="162" t="s">
        <v>15966</v>
      </c>
      <c r="M4499" s="162" t="s">
        <v>15967</v>
      </c>
      <c r="N4499" s="162">
        <v>815</v>
      </c>
      <c r="O4499" s="224" t="s">
        <v>15971</v>
      </c>
      <c r="P4499" s="224">
        <v>840</v>
      </c>
      <c r="Q4499" s="224">
        <v>840</v>
      </c>
      <c r="R4499" s="224">
        <v>840</v>
      </c>
      <c r="S4499" s="224">
        <v>840</v>
      </c>
      <c r="T4499" s="223" t="s">
        <v>14567</v>
      </c>
      <c r="U4499" t="str">
        <f>VLOOKUP(T4499,[8]Votes!$A$1:$E$234,3,FALSE)</f>
        <v>106 Uganda Human Rights Commission</v>
      </c>
      <c r="V4499" s="162" t="s">
        <v>15972</v>
      </c>
      <c r="W4499" s="501">
        <v>1</v>
      </c>
      <c r="X4499" s="501">
        <v>1</v>
      </c>
      <c r="Y4499" s="501">
        <v>1</v>
      </c>
      <c r="Z4499" s="501">
        <v>1</v>
      </c>
      <c r="AA4499" s="501">
        <v>1</v>
      </c>
      <c r="AB4499" s="501">
        <v>1</v>
      </c>
      <c r="AC4499" s="150">
        <v>1</v>
      </c>
      <c r="AD4499" s="150">
        <v>0</v>
      </c>
      <c r="AE4499" s="49">
        <f t="shared" si="162"/>
        <v>0.875</v>
      </c>
      <c r="AF4499" s="23">
        <v>0</v>
      </c>
      <c r="AG4499" s="17">
        <v>0</v>
      </c>
      <c r="AH4499" s="360">
        <v>0.25600000000000001</v>
      </c>
      <c r="AI4499" s="360">
        <v>0.25600000000000001</v>
      </c>
      <c r="AJ4499" s="360">
        <v>0.25600000000000001</v>
      </c>
      <c r="AK4499" s="361">
        <v>0.3</v>
      </c>
      <c r="AL4499" s="361">
        <v>0.25600000000000001</v>
      </c>
      <c r="AM4499" s="17">
        <f t="shared" si="163"/>
        <v>0.55600000000000005</v>
      </c>
      <c r="AN4499" s="162" t="s">
        <v>14567</v>
      </c>
      <c r="AO4499" s="162" t="s">
        <v>14570</v>
      </c>
    </row>
    <row r="4500" spans="1:41" s="162" customFormat="1" x14ac:dyDescent="0.3">
      <c r="A4500" s="205" t="s">
        <v>8321</v>
      </c>
      <c r="B4500" s="162" t="s">
        <v>8322</v>
      </c>
      <c r="C4500" s="168" t="s">
        <v>13469</v>
      </c>
      <c r="D4500" s="162" t="s">
        <v>13544</v>
      </c>
      <c r="E4500" s="406" t="s">
        <v>13545</v>
      </c>
      <c r="F4500" s="162" t="s">
        <v>13546</v>
      </c>
      <c r="G4500" s="406">
        <v>163705</v>
      </c>
      <c r="H4500" s="162" t="s">
        <v>13605</v>
      </c>
      <c r="K4500" s="406">
        <v>16370513</v>
      </c>
      <c r="L4500" s="162" t="s">
        <v>15966</v>
      </c>
      <c r="M4500" s="162" t="s">
        <v>15967</v>
      </c>
      <c r="N4500" s="162">
        <v>0</v>
      </c>
      <c r="O4500" s="224">
        <v>0</v>
      </c>
      <c r="P4500" s="224">
        <v>1</v>
      </c>
      <c r="Q4500" s="224">
        <v>0</v>
      </c>
      <c r="R4500" s="224">
        <v>1</v>
      </c>
      <c r="S4500" s="224">
        <v>0</v>
      </c>
      <c r="T4500" s="223" t="s">
        <v>14567</v>
      </c>
      <c r="U4500" t="str">
        <f>VLOOKUP(T4500,[8]Votes!$A$1:$E$234,3,FALSE)</f>
        <v>106 Uganda Human Rights Commission</v>
      </c>
      <c r="V4500" s="162" t="s">
        <v>15973</v>
      </c>
      <c r="W4500" s="501">
        <v>1</v>
      </c>
      <c r="X4500" s="501">
        <v>0</v>
      </c>
      <c r="Y4500" s="501">
        <v>0</v>
      </c>
      <c r="Z4500" s="501">
        <v>1</v>
      </c>
      <c r="AA4500" s="501">
        <v>1</v>
      </c>
      <c r="AB4500" s="501">
        <v>1</v>
      </c>
      <c r="AC4500" s="150">
        <v>0</v>
      </c>
      <c r="AD4500" s="150">
        <v>0</v>
      </c>
      <c r="AE4500" s="49">
        <f t="shared" si="162"/>
        <v>0.5</v>
      </c>
      <c r="AF4500" s="23">
        <v>0</v>
      </c>
      <c r="AG4500" s="17">
        <v>0</v>
      </c>
      <c r="AH4500" s="190">
        <v>0</v>
      </c>
      <c r="AI4500" s="360">
        <v>0.05</v>
      </c>
      <c r="AJ4500" s="190">
        <v>0</v>
      </c>
      <c r="AK4500" s="361">
        <v>0.05</v>
      </c>
      <c r="AL4500" s="191">
        <v>0.05</v>
      </c>
      <c r="AM4500" s="17">
        <f t="shared" si="163"/>
        <v>0.1</v>
      </c>
      <c r="AN4500" s="162" t="s">
        <v>14567</v>
      </c>
      <c r="AO4500" s="162" t="s">
        <v>14570</v>
      </c>
    </row>
    <row r="4501" spans="1:41" s="162" customFormat="1" x14ac:dyDescent="0.3">
      <c r="A4501" s="205" t="s">
        <v>8321</v>
      </c>
      <c r="B4501" s="162" t="s">
        <v>8322</v>
      </c>
      <c r="C4501" s="168" t="s">
        <v>13469</v>
      </c>
      <c r="D4501" s="162" t="s">
        <v>13544</v>
      </c>
      <c r="E4501" s="406" t="s">
        <v>13545</v>
      </c>
      <c r="F4501" s="162" t="s">
        <v>13546</v>
      </c>
      <c r="G4501" s="406">
        <v>163705</v>
      </c>
      <c r="H4501" s="162" t="s">
        <v>13605</v>
      </c>
      <c r="K4501" s="406">
        <v>16370513</v>
      </c>
      <c r="L4501" s="162" t="s">
        <v>15966</v>
      </c>
      <c r="M4501" s="162" t="s">
        <v>15967</v>
      </c>
      <c r="N4501" s="162">
        <v>0</v>
      </c>
      <c r="O4501" s="224">
        <v>0</v>
      </c>
      <c r="P4501" s="224">
        <v>0</v>
      </c>
      <c r="Q4501" s="224">
        <v>8</v>
      </c>
      <c r="R4501" s="224">
        <v>0.6</v>
      </c>
      <c r="S4501" s="224">
        <v>0.6</v>
      </c>
      <c r="T4501" s="223" t="s">
        <v>14567</v>
      </c>
      <c r="U4501" t="str">
        <f>VLOOKUP(T4501,[8]Votes!$A$1:$E$234,3,FALSE)</f>
        <v>106 Uganda Human Rights Commission</v>
      </c>
      <c r="V4501" s="162" t="s">
        <v>15974</v>
      </c>
      <c r="W4501" s="501">
        <v>1</v>
      </c>
      <c r="X4501" s="501">
        <v>0</v>
      </c>
      <c r="Y4501" s="501">
        <v>0</v>
      </c>
      <c r="Z4501" s="501">
        <v>1</v>
      </c>
      <c r="AA4501" s="501">
        <v>1</v>
      </c>
      <c r="AB4501" s="501">
        <v>0</v>
      </c>
      <c r="AC4501" s="150">
        <v>0</v>
      </c>
      <c r="AD4501" s="150">
        <v>0</v>
      </c>
      <c r="AE4501" s="49">
        <f t="shared" si="162"/>
        <v>0.375</v>
      </c>
      <c r="AF4501" s="23">
        <v>0</v>
      </c>
      <c r="AG4501" s="17">
        <v>0</v>
      </c>
      <c r="AH4501" s="190">
        <v>0</v>
      </c>
      <c r="AI4501" s="190">
        <v>0</v>
      </c>
      <c r="AJ4501" s="360">
        <v>0.08</v>
      </c>
      <c r="AK4501" s="361">
        <v>0.08</v>
      </c>
      <c r="AL4501" s="361">
        <v>0.08</v>
      </c>
      <c r="AM4501" s="17">
        <f t="shared" si="163"/>
        <v>0.16</v>
      </c>
      <c r="AN4501" s="162" t="s">
        <v>14567</v>
      </c>
      <c r="AO4501" s="162" t="s">
        <v>14570</v>
      </c>
    </row>
    <row r="4502" spans="1:41" s="162" customFormat="1" x14ac:dyDescent="0.3">
      <c r="A4502" s="205" t="s">
        <v>8321</v>
      </c>
      <c r="B4502" s="162" t="s">
        <v>8322</v>
      </c>
      <c r="C4502" s="168" t="s">
        <v>13469</v>
      </c>
      <c r="D4502" s="162" t="s">
        <v>13544</v>
      </c>
      <c r="E4502" s="406" t="s">
        <v>13545</v>
      </c>
      <c r="F4502" s="162" t="s">
        <v>13546</v>
      </c>
      <c r="G4502" s="406">
        <v>163705</v>
      </c>
      <c r="H4502" s="162" t="s">
        <v>13605</v>
      </c>
      <c r="K4502" s="406">
        <v>16370514</v>
      </c>
      <c r="L4502" s="162" t="s">
        <v>15975</v>
      </c>
      <c r="M4502" s="162" t="s">
        <v>15976</v>
      </c>
      <c r="N4502" s="162">
        <v>0</v>
      </c>
      <c r="O4502" s="492">
        <v>0.1</v>
      </c>
      <c r="P4502" s="492">
        <v>0.4</v>
      </c>
      <c r="Q4502" s="492">
        <v>0.6</v>
      </c>
      <c r="R4502" s="492">
        <v>0.45</v>
      </c>
      <c r="S4502" s="492">
        <v>0.45</v>
      </c>
      <c r="T4502" s="223" t="s">
        <v>14567</v>
      </c>
      <c r="U4502" t="str">
        <f>VLOOKUP(T4502,[8]Votes!$A$1:$E$234,3,FALSE)</f>
        <v>106 Uganda Human Rights Commission</v>
      </c>
      <c r="V4502" s="162" t="s">
        <v>15977</v>
      </c>
      <c r="W4502" s="501">
        <v>1</v>
      </c>
      <c r="X4502" s="501">
        <v>1</v>
      </c>
      <c r="Y4502" s="501">
        <v>1</v>
      </c>
      <c r="Z4502" s="501">
        <v>1</v>
      </c>
      <c r="AA4502" s="501">
        <v>1</v>
      </c>
      <c r="AB4502" s="501">
        <v>0</v>
      </c>
      <c r="AC4502" s="150">
        <v>1</v>
      </c>
      <c r="AD4502" s="150"/>
      <c r="AE4502" s="49">
        <f t="shared" si="162"/>
        <v>0.75</v>
      </c>
      <c r="AF4502" s="23">
        <v>0</v>
      </c>
      <c r="AG4502" s="17">
        <v>0</v>
      </c>
      <c r="AH4502" s="360">
        <v>0.03</v>
      </c>
      <c r="AI4502" s="360">
        <v>0.03</v>
      </c>
      <c r="AJ4502" s="360">
        <v>0.03</v>
      </c>
      <c r="AK4502" s="361">
        <v>0.05</v>
      </c>
      <c r="AL4502" s="361">
        <v>0.05</v>
      </c>
      <c r="AM4502" s="17">
        <f t="shared" si="163"/>
        <v>0.1</v>
      </c>
      <c r="AN4502" s="162" t="s">
        <v>14567</v>
      </c>
      <c r="AO4502" s="162" t="s">
        <v>14570</v>
      </c>
    </row>
    <row r="4503" spans="1:41" s="162" customFormat="1" x14ac:dyDescent="0.3">
      <c r="A4503" s="205" t="s">
        <v>8321</v>
      </c>
      <c r="B4503" s="162" t="s">
        <v>8322</v>
      </c>
      <c r="C4503" s="168" t="s">
        <v>13469</v>
      </c>
      <c r="D4503" s="162" t="s">
        <v>13544</v>
      </c>
      <c r="E4503" s="406" t="s">
        <v>13545</v>
      </c>
      <c r="F4503" s="162" t="s">
        <v>13546</v>
      </c>
      <c r="G4503" s="406">
        <v>163705</v>
      </c>
      <c r="H4503" s="162" t="s">
        <v>13605</v>
      </c>
      <c r="K4503" s="406">
        <v>16370515</v>
      </c>
      <c r="L4503" s="162" t="s">
        <v>15978</v>
      </c>
      <c r="M4503" s="162" t="s">
        <v>15979</v>
      </c>
      <c r="N4503" s="162">
        <v>0</v>
      </c>
      <c r="O4503" s="492">
        <v>0.1</v>
      </c>
      <c r="P4503" s="492">
        <v>0.2</v>
      </c>
      <c r="Q4503" s="492">
        <v>0.35</v>
      </c>
      <c r="R4503" s="492">
        <v>0.75</v>
      </c>
      <c r="S4503" s="492">
        <v>0.75</v>
      </c>
      <c r="T4503" s="223" t="s">
        <v>14567</v>
      </c>
      <c r="U4503" t="str">
        <f>VLOOKUP(T4503,[8]Votes!$A$1:$E$234,3,FALSE)</f>
        <v>106 Uganda Human Rights Commission</v>
      </c>
      <c r="V4503" s="162" t="s">
        <v>15980</v>
      </c>
      <c r="W4503" s="501">
        <v>1</v>
      </c>
      <c r="X4503" s="501">
        <v>1</v>
      </c>
      <c r="Y4503" s="501">
        <v>1</v>
      </c>
      <c r="Z4503" s="501">
        <v>1</v>
      </c>
      <c r="AA4503" s="501">
        <v>1</v>
      </c>
      <c r="AB4503" s="501">
        <v>1</v>
      </c>
      <c r="AC4503" s="150">
        <v>0</v>
      </c>
      <c r="AD4503" s="150">
        <v>0</v>
      </c>
      <c r="AE4503" s="49">
        <f t="shared" si="162"/>
        <v>0.75</v>
      </c>
      <c r="AF4503" s="23">
        <v>0</v>
      </c>
      <c r="AG4503" s="17">
        <v>0</v>
      </c>
      <c r="AH4503" s="360">
        <v>0.02</v>
      </c>
      <c r="AI4503" s="360">
        <v>0.02</v>
      </c>
      <c r="AJ4503" s="360">
        <v>0.02</v>
      </c>
      <c r="AK4503" s="361">
        <v>0.02</v>
      </c>
      <c r="AL4503" s="361">
        <v>0.02</v>
      </c>
      <c r="AM4503" s="17">
        <f t="shared" si="163"/>
        <v>0.04</v>
      </c>
      <c r="AN4503" s="162" t="s">
        <v>14567</v>
      </c>
      <c r="AO4503" s="162" t="s">
        <v>14570</v>
      </c>
    </row>
    <row r="4504" spans="1:41" s="162" customFormat="1" x14ac:dyDescent="0.3">
      <c r="A4504" s="205" t="s">
        <v>8321</v>
      </c>
      <c r="B4504" s="162" t="s">
        <v>8322</v>
      </c>
      <c r="C4504" s="168" t="s">
        <v>13469</v>
      </c>
      <c r="D4504" s="162" t="s">
        <v>13544</v>
      </c>
      <c r="E4504" s="406" t="s">
        <v>13545</v>
      </c>
      <c r="F4504" s="162" t="s">
        <v>13546</v>
      </c>
      <c r="G4504" s="406">
        <v>163705</v>
      </c>
      <c r="H4504" s="162" t="s">
        <v>13605</v>
      </c>
      <c r="K4504" s="406">
        <v>16370516</v>
      </c>
      <c r="L4504" s="162" t="s">
        <v>15981</v>
      </c>
      <c r="M4504" s="162" t="s">
        <v>15982</v>
      </c>
      <c r="N4504" s="162">
        <v>0</v>
      </c>
      <c r="O4504" s="506">
        <v>0</v>
      </c>
      <c r="P4504" s="506">
        <v>0</v>
      </c>
      <c r="Q4504" s="506">
        <v>1</v>
      </c>
      <c r="R4504" s="224">
        <v>0</v>
      </c>
      <c r="S4504" s="224">
        <v>0</v>
      </c>
      <c r="T4504" s="223" t="s">
        <v>1588</v>
      </c>
      <c r="U4504" t="str">
        <f>VLOOKUP(T4504,[8]Votes!$A$1:$E$234,3,FALSE)</f>
        <v>148 Judicial Service Commission</v>
      </c>
      <c r="V4504" s="162" t="s">
        <v>15983</v>
      </c>
      <c r="W4504" s="501">
        <v>1</v>
      </c>
      <c r="X4504" s="501">
        <v>0</v>
      </c>
      <c r="Y4504" s="501">
        <v>0</v>
      </c>
      <c r="Z4504" s="501">
        <v>1</v>
      </c>
      <c r="AA4504" s="501">
        <v>1</v>
      </c>
      <c r="AB4504" s="501">
        <v>0</v>
      </c>
      <c r="AC4504" s="150">
        <v>0</v>
      </c>
      <c r="AD4504" s="150">
        <v>0</v>
      </c>
      <c r="AE4504" s="49">
        <f t="shared" si="162"/>
        <v>0.375</v>
      </c>
      <c r="AF4504" s="23">
        <v>0</v>
      </c>
      <c r="AG4504" s="17">
        <v>0</v>
      </c>
      <c r="AH4504" s="190">
        <v>0</v>
      </c>
      <c r="AI4504" s="190">
        <v>0</v>
      </c>
      <c r="AJ4504" s="190">
        <v>0</v>
      </c>
      <c r="AK4504" s="191">
        <v>0</v>
      </c>
      <c r="AL4504" s="191">
        <v>0</v>
      </c>
      <c r="AM4504" s="17">
        <f t="shared" si="163"/>
        <v>0</v>
      </c>
      <c r="AN4504" s="162" t="s">
        <v>1588</v>
      </c>
      <c r="AO4504" s="162" t="s">
        <v>1590</v>
      </c>
    </row>
    <row r="4505" spans="1:41" s="162" customFormat="1" x14ac:dyDescent="0.3">
      <c r="A4505" s="205" t="s">
        <v>8321</v>
      </c>
      <c r="B4505" s="162" t="s">
        <v>8322</v>
      </c>
      <c r="C4505" s="168" t="s">
        <v>13469</v>
      </c>
      <c r="D4505" s="162" t="s">
        <v>13544</v>
      </c>
      <c r="E4505" s="406" t="s">
        <v>13545</v>
      </c>
      <c r="F4505" s="162" t="s">
        <v>13546</v>
      </c>
      <c r="G4505" s="406">
        <v>163705</v>
      </c>
      <c r="H4505" s="162" t="s">
        <v>13605</v>
      </c>
      <c r="K4505" s="406">
        <v>16370516</v>
      </c>
      <c r="L4505" s="162" t="s">
        <v>15981</v>
      </c>
      <c r="M4505" s="162" t="s">
        <v>15984</v>
      </c>
      <c r="N4505" s="162">
        <v>0</v>
      </c>
      <c r="O4505" s="506">
        <v>0</v>
      </c>
      <c r="P4505" s="506">
        <v>0</v>
      </c>
      <c r="Q4505" s="506">
        <v>200</v>
      </c>
      <c r="R4505" s="506">
        <v>0</v>
      </c>
      <c r="S4505" s="506">
        <v>0</v>
      </c>
      <c r="T4505" s="223" t="s">
        <v>1588</v>
      </c>
      <c r="U4505" t="str">
        <f>VLOOKUP(T4505,[8]Votes!$A$1:$E$234,3,FALSE)</f>
        <v>148 Judicial Service Commission</v>
      </c>
      <c r="V4505" s="162" t="s">
        <v>15983</v>
      </c>
      <c r="W4505" s="501">
        <v>1</v>
      </c>
      <c r="X4505" s="501">
        <v>0</v>
      </c>
      <c r="Y4505" s="501">
        <v>0</v>
      </c>
      <c r="Z4505" s="501">
        <v>1</v>
      </c>
      <c r="AA4505" s="501">
        <v>1</v>
      </c>
      <c r="AB4505" s="501">
        <v>0</v>
      </c>
      <c r="AC4505" s="150">
        <v>0</v>
      </c>
      <c r="AD4505" s="150">
        <v>0</v>
      </c>
      <c r="AE4505" s="49">
        <f t="shared" si="162"/>
        <v>0.375</v>
      </c>
      <c r="AF4505" s="23">
        <v>0</v>
      </c>
      <c r="AG4505" s="17">
        <v>0</v>
      </c>
      <c r="AH4505" s="190">
        <v>0</v>
      </c>
      <c r="AI4505" s="190">
        <v>0</v>
      </c>
      <c r="AJ4505" s="190">
        <v>0</v>
      </c>
      <c r="AK4505" s="191">
        <v>0</v>
      </c>
      <c r="AL4505" s="191">
        <v>0</v>
      </c>
      <c r="AM4505" s="17">
        <f t="shared" si="163"/>
        <v>0</v>
      </c>
      <c r="AN4505" s="162" t="s">
        <v>1588</v>
      </c>
      <c r="AO4505" s="162" t="s">
        <v>1590</v>
      </c>
    </row>
    <row r="4506" spans="1:41" s="162" customFormat="1" x14ac:dyDescent="0.3">
      <c r="A4506" s="205" t="s">
        <v>8321</v>
      </c>
      <c r="B4506" s="162" t="s">
        <v>8322</v>
      </c>
      <c r="C4506" s="168" t="s">
        <v>13469</v>
      </c>
      <c r="D4506" s="162" t="s">
        <v>13544</v>
      </c>
      <c r="E4506" s="406" t="s">
        <v>13545</v>
      </c>
      <c r="F4506" s="162" t="s">
        <v>13546</v>
      </c>
      <c r="G4506" s="406">
        <v>163705</v>
      </c>
      <c r="H4506" s="162" t="s">
        <v>13605</v>
      </c>
      <c r="K4506" s="406">
        <v>16370517</v>
      </c>
      <c r="L4506" s="162" t="s">
        <v>15985</v>
      </c>
      <c r="M4506" s="162" t="s">
        <v>15986</v>
      </c>
      <c r="O4506" s="224"/>
      <c r="P4506" s="224"/>
      <c r="Q4506" s="492">
        <v>0.7</v>
      </c>
      <c r="R4506" s="492">
        <v>0.75</v>
      </c>
      <c r="S4506" s="492">
        <v>0.8</v>
      </c>
      <c r="T4506" s="223" t="s">
        <v>11865</v>
      </c>
      <c r="U4506" t="str">
        <f>VLOOKUP(T4506,[8]Votes!$A$1:$E$234,3,FALSE)</f>
        <v>133 Office of the Director of Public Prosecutions</v>
      </c>
      <c r="V4506" s="162" t="s">
        <v>15987</v>
      </c>
      <c r="W4506" s="501">
        <v>1</v>
      </c>
      <c r="X4506" s="388">
        <v>1</v>
      </c>
      <c r="Y4506" s="501">
        <v>0</v>
      </c>
      <c r="Z4506" s="501">
        <v>1</v>
      </c>
      <c r="AA4506" s="416">
        <v>1</v>
      </c>
      <c r="AB4506" s="501">
        <v>0</v>
      </c>
      <c r="AC4506" s="388">
        <v>1</v>
      </c>
      <c r="AD4506" s="388">
        <v>1</v>
      </c>
      <c r="AE4506" s="49">
        <f t="shared" si="162"/>
        <v>0.75</v>
      </c>
      <c r="AF4506" s="23">
        <v>0</v>
      </c>
      <c r="AG4506" s="17">
        <v>0</v>
      </c>
      <c r="AH4506" s="190">
        <v>0</v>
      </c>
      <c r="AI4506" s="190">
        <v>0</v>
      </c>
      <c r="AJ4506" s="360">
        <v>0.3</v>
      </c>
      <c r="AK4506" s="361">
        <v>0.35</v>
      </c>
      <c r="AL4506" s="361">
        <v>0.4</v>
      </c>
      <c r="AM4506" s="17">
        <f t="shared" si="163"/>
        <v>0.75</v>
      </c>
      <c r="AN4506" s="162" t="s">
        <v>11865</v>
      </c>
      <c r="AO4506" s="162" t="s">
        <v>11866</v>
      </c>
    </row>
    <row r="4507" spans="1:41" s="162" customFormat="1" x14ac:dyDescent="0.3">
      <c r="A4507" s="205" t="s">
        <v>8321</v>
      </c>
      <c r="B4507" s="162" t="s">
        <v>8322</v>
      </c>
      <c r="C4507" s="168" t="s">
        <v>13469</v>
      </c>
      <c r="D4507" s="162" t="s">
        <v>13544</v>
      </c>
      <c r="E4507" s="406" t="s">
        <v>13545</v>
      </c>
      <c r="F4507" s="162" t="s">
        <v>13546</v>
      </c>
      <c r="G4507" s="406">
        <v>163705</v>
      </c>
      <c r="H4507" s="162" t="s">
        <v>13605</v>
      </c>
      <c r="K4507" s="406">
        <v>16370517</v>
      </c>
      <c r="L4507" s="162" t="s">
        <v>15985</v>
      </c>
      <c r="M4507" s="162" t="s">
        <v>15988</v>
      </c>
      <c r="O4507" s="224"/>
      <c r="P4507" s="224"/>
      <c r="Q4507" s="492">
        <v>0.4</v>
      </c>
      <c r="R4507" s="492">
        <v>0.45</v>
      </c>
      <c r="S4507" s="492">
        <v>0.5</v>
      </c>
      <c r="T4507" s="223" t="s">
        <v>11865</v>
      </c>
      <c r="U4507" t="str">
        <f>VLOOKUP(T4507,[8]Votes!$A$1:$E$234,3,FALSE)</f>
        <v>133 Office of the Director of Public Prosecutions</v>
      </c>
      <c r="V4507" s="162" t="s">
        <v>15989</v>
      </c>
      <c r="W4507" s="501">
        <v>1</v>
      </c>
      <c r="X4507" s="388">
        <v>1</v>
      </c>
      <c r="Y4507" s="501">
        <v>0</v>
      </c>
      <c r="Z4507" s="501">
        <v>1</v>
      </c>
      <c r="AA4507" s="416">
        <v>1</v>
      </c>
      <c r="AB4507" s="501">
        <v>0</v>
      </c>
      <c r="AC4507" s="150">
        <v>1</v>
      </c>
      <c r="AD4507" s="150">
        <v>1</v>
      </c>
      <c r="AE4507" s="49">
        <f t="shared" si="162"/>
        <v>0.75</v>
      </c>
      <c r="AF4507" s="23">
        <v>0</v>
      </c>
      <c r="AG4507" s="17">
        <v>0</v>
      </c>
      <c r="AH4507" s="190">
        <v>0</v>
      </c>
      <c r="AI4507" s="190">
        <v>0</v>
      </c>
      <c r="AJ4507" s="360">
        <v>0.25</v>
      </c>
      <c r="AK4507" s="361">
        <v>0.3</v>
      </c>
      <c r="AL4507" s="361">
        <v>0.35</v>
      </c>
      <c r="AM4507" s="17">
        <f t="shared" si="163"/>
        <v>0.64999999999999991</v>
      </c>
      <c r="AN4507" s="162" t="s">
        <v>11865</v>
      </c>
      <c r="AO4507" s="162" t="s">
        <v>11866</v>
      </c>
    </row>
    <row r="4508" spans="1:41" s="162" customFormat="1" x14ac:dyDescent="0.3">
      <c r="A4508" s="205" t="s">
        <v>8321</v>
      </c>
      <c r="B4508" s="162" t="s">
        <v>8322</v>
      </c>
      <c r="C4508" s="168" t="s">
        <v>13469</v>
      </c>
      <c r="D4508" s="162" t="s">
        <v>13544</v>
      </c>
      <c r="E4508" s="406" t="s">
        <v>13545</v>
      </c>
      <c r="F4508" s="162" t="s">
        <v>13546</v>
      </c>
      <c r="G4508" s="406">
        <v>163705</v>
      </c>
      <c r="H4508" s="162" t="s">
        <v>13605</v>
      </c>
      <c r="K4508" s="406">
        <v>16370517</v>
      </c>
      <c r="L4508" s="162" t="s">
        <v>15985</v>
      </c>
      <c r="M4508" s="162" t="s">
        <v>15990</v>
      </c>
      <c r="O4508" s="224"/>
      <c r="P4508" s="224"/>
      <c r="Q4508" s="224">
        <v>200</v>
      </c>
      <c r="R4508" s="224">
        <v>200</v>
      </c>
      <c r="S4508" s="224">
        <v>200</v>
      </c>
      <c r="T4508" s="223" t="s">
        <v>11865</v>
      </c>
      <c r="U4508" t="str">
        <f>VLOOKUP(T4508,[8]Votes!$A$1:$E$234,3,FALSE)</f>
        <v>133 Office of the Director of Public Prosecutions</v>
      </c>
      <c r="V4508" s="162" t="s">
        <v>15991</v>
      </c>
      <c r="W4508" s="501">
        <v>1</v>
      </c>
      <c r="X4508" s="501">
        <v>0</v>
      </c>
      <c r="Y4508" s="501">
        <v>0</v>
      </c>
      <c r="Z4508" s="501">
        <v>1</v>
      </c>
      <c r="AA4508" s="416">
        <v>1</v>
      </c>
      <c r="AB4508" s="501">
        <v>1</v>
      </c>
      <c r="AC4508" s="150">
        <v>1</v>
      </c>
      <c r="AD4508" s="150">
        <v>1</v>
      </c>
      <c r="AE4508" s="49">
        <f t="shared" si="162"/>
        <v>0.75</v>
      </c>
      <c r="AF4508" s="23">
        <v>0</v>
      </c>
      <c r="AG4508" s="17">
        <v>0</v>
      </c>
      <c r="AH4508" s="190">
        <v>0</v>
      </c>
      <c r="AI4508" s="190">
        <v>0</v>
      </c>
      <c r="AJ4508" s="360">
        <v>0.2</v>
      </c>
      <c r="AK4508" s="361">
        <v>0.2</v>
      </c>
      <c r="AL4508" s="361">
        <v>0.2</v>
      </c>
      <c r="AM4508" s="17">
        <f t="shared" si="163"/>
        <v>0.4</v>
      </c>
      <c r="AN4508" s="162" t="s">
        <v>11865</v>
      </c>
      <c r="AO4508" s="162" t="s">
        <v>11866</v>
      </c>
    </row>
    <row r="4509" spans="1:41" s="162" customFormat="1" x14ac:dyDescent="0.3">
      <c r="A4509" s="205" t="s">
        <v>8321</v>
      </c>
      <c r="B4509" s="162" t="s">
        <v>8322</v>
      </c>
      <c r="C4509" s="168" t="s">
        <v>13469</v>
      </c>
      <c r="D4509" s="162" t="s">
        <v>13544</v>
      </c>
      <c r="E4509" s="406" t="s">
        <v>13545</v>
      </c>
      <c r="F4509" s="162" t="s">
        <v>13546</v>
      </c>
      <c r="G4509" s="406">
        <v>163706</v>
      </c>
      <c r="H4509" s="162" t="s">
        <v>15992</v>
      </c>
      <c r="K4509" s="162">
        <v>16370601</v>
      </c>
      <c r="L4509" s="162" t="s">
        <v>15993</v>
      </c>
      <c r="M4509" s="162" t="s">
        <v>15994</v>
      </c>
      <c r="O4509" s="224">
        <v>12000</v>
      </c>
      <c r="P4509" s="224">
        <v>14000</v>
      </c>
      <c r="Q4509" s="224">
        <v>16000</v>
      </c>
      <c r="R4509" s="224">
        <v>13000</v>
      </c>
      <c r="S4509" s="224">
        <v>13000</v>
      </c>
      <c r="T4509" s="223" t="s">
        <v>3879</v>
      </c>
      <c r="U4509" t="str">
        <f>VLOOKUP(T4509,[8]Votes!$A$1:$E$234,3,FALSE)</f>
        <v>009 Ministry of Internal Affairs</v>
      </c>
      <c r="V4509" s="162" t="s">
        <v>15995</v>
      </c>
      <c r="W4509" s="501">
        <v>1</v>
      </c>
      <c r="X4509" s="501">
        <v>1</v>
      </c>
      <c r="Y4509" s="501">
        <v>1</v>
      </c>
      <c r="Z4509" s="501">
        <v>1</v>
      </c>
      <c r="AA4509" s="501">
        <v>1</v>
      </c>
      <c r="AB4509" s="501">
        <v>0</v>
      </c>
      <c r="AC4509" s="150">
        <v>1</v>
      </c>
      <c r="AD4509" s="150">
        <v>0</v>
      </c>
      <c r="AE4509" s="49">
        <f t="shared" si="162"/>
        <v>0.75</v>
      </c>
      <c r="AF4509" s="360">
        <v>0</v>
      </c>
      <c r="AG4509" s="17">
        <v>0</v>
      </c>
      <c r="AH4509" s="360">
        <v>1.5</v>
      </c>
      <c r="AI4509" s="360">
        <v>1.8</v>
      </c>
      <c r="AJ4509" s="360">
        <v>2.1</v>
      </c>
      <c r="AK4509" s="361">
        <v>2.1</v>
      </c>
      <c r="AL4509" s="361">
        <v>2.1</v>
      </c>
      <c r="AM4509" s="17">
        <f t="shared" si="163"/>
        <v>4.2</v>
      </c>
      <c r="AN4509" s="224" t="s">
        <v>3879</v>
      </c>
      <c r="AO4509" s="162" t="s">
        <v>3881</v>
      </c>
    </row>
    <row r="4510" spans="1:41" s="162" customFormat="1" x14ac:dyDescent="0.3">
      <c r="A4510" s="205" t="s">
        <v>8321</v>
      </c>
      <c r="B4510" s="162" t="s">
        <v>8322</v>
      </c>
      <c r="C4510" s="168" t="s">
        <v>13469</v>
      </c>
      <c r="D4510" s="162" t="s">
        <v>13544</v>
      </c>
      <c r="E4510" s="406" t="s">
        <v>13545</v>
      </c>
      <c r="F4510" s="162" t="s">
        <v>13546</v>
      </c>
      <c r="G4510" s="406">
        <v>163706</v>
      </c>
      <c r="H4510" s="162" t="s">
        <v>15992</v>
      </c>
      <c r="K4510" s="162">
        <v>16370602</v>
      </c>
      <c r="L4510" s="162" t="s">
        <v>15996</v>
      </c>
      <c r="M4510" s="162" t="s">
        <v>15997</v>
      </c>
      <c r="O4510" s="224">
        <v>143</v>
      </c>
      <c r="P4510" s="224">
        <v>143</v>
      </c>
      <c r="Q4510" s="224">
        <v>143</v>
      </c>
      <c r="R4510" s="224">
        <v>90</v>
      </c>
      <c r="S4510" s="224">
        <v>90</v>
      </c>
      <c r="T4510" s="223" t="s">
        <v>3879</v>
      </c>
      <c r="U4510" t="str">
        <f>VLOOKUP(T4510,[8]Votes!$A$1:$E$234,3,FALSE)</f>
        <v>009 Ministry of Internal Affairs</v>
      </c>
      <c r="V4510" s="162" t="s">
        <v>15998</v>
      </c>
      <c r="W4510" s="501">
        <v>1</v>
      </c>
      <c r="X4510" s="501">
        <v>1</v>
      </c>
      <c r="Y4510" s="501">
        <v>1</v>
      </c>
      <c r="Z4510" s="501">
        <v>1</v>
      </c>
      <c r="AA4510" s="501">
        <v>1</v>
      </c>
      <c r="AB4510" s="501">
        <v>0</v>
      </c>
      <c r="AC4510" s="150">
        <v>1</v>
      </c>
      <c r="AD4510" s="150">
        <v>0</v>
      </c>
      <c r="AE4510" s="49">
        <f t="shared" si="162"/>
        <v>0.75</v>
      </c>
      <c r="AF4510" s="360">
        <v>0</v>
      </c>
      <c r="AG4510" s="17">
        <v>0</v>
      </c>
      <c r="AH4510" s="360">
        <v>2.2000000000000002</v>
      </c>
      <c r="AI4510" s="360">
        <v>2.9</v>
      </c>
      <c r="AJ4510" s="360">
        <v>3.5</v>
      </c>
      <c r="AK4510" s="361">
        <v>3.5</v>
      </c>
      <c r="AL4510" s="361">
        <v>3.5</v>
      </c>
      <c r="AM4510" s="17">
        <f t="shared" si="163"/>
        <v>7</v>
      </c>
      <c r="AN4510" s="224" t="s">
        <v>3879</v>
      </c>
      <c r="AO4510" s="162" t="s">
        <v>3881</v>
      </c>
    </row>
    <row r="4511" spans="1:41" s="162" customFormat="1" x14ac:dyDescent="0.3">
      <c r="A4511" s="205" t="s">
        <v>8321</v>
      </c>
      <c r="B4511" s="162" t="s">
        <v>8322</v>
      </c>
      <c r="C4511" s="168" t="s">
        <v>13469</v>
      </c>
      <c r="D4511" s="162" t="s">
        <v>13544</v>
      </c>
      <c r="E4511" s="406" t="s">
        <v>13545</v>
      </c>
      <c r="F4511" s="162" t="s">
        <v>13546</v>
      </c>
      <c r="G4511" s="406">
        <v>163706</v>
      </c>
      <c r="H4511" s="162" t="s">
        <v>15992</v>
      </c>
      <c r="K4511" s="162">
        <v>16370603</v>
      </c>
      <c r="L4511" s="162" t="s">
        <v>15999</v>
      </c>
      <c r="M4511" s="162" t="s">
        <v>16000</v>
      </c>
      <c r="O4511" s="492">
        <v>1</v>
      </c>
      <c r="P4511" s="492">
        <v>1</v>
      </c>
      <c r="Q4511" s="492">
        <v>1</v>
      </c>
      <c r="R4511" s="492">
        <v>1</v>
      </c>
      <c r="S4511" s="492">
        <v>1</v>
      </c>
      <c r="T4511" s="223" t="s">
        <v>3879</v>
      </c>
      <c r="U4511" t="str">
        <f>VLOOKUP(T4511,[8]Votes!$A$1:$E$234,3,FALSE)</f>
        <v>009 Ministry of Internal Affairs</v>
      </c>
      <c r="V4511" s="162" t="s">
        <v>16001</v>
      </c>
      <c r="W4511" s="501">
        <v>1</v>
      </c>
      <c r="X4511" s="501">
        <v>1</v>
      </c>
      <c r="Y4511" s="501">
        <v>1</v>
      </c>
      <c r="Z4511" s="501">
        <v>1</v>
      </c>
      <c r="AA4511" s="501">
        <v>1</v>
      </c>
      <c r="AB4511" s="501">
        <v>0</v>
      </c>
      <c r="AC4511" s="150">
        <v>1</v>
      </c>
      <c r="AD4511" s="150">
        <v>0</v>
      </c>
      <c r="AE4511" s="49">
        <f t="shared" si="162"/>
        <v>0.75</v>
      </c>
      <c r="AF4511" s="360">
        <v>0</v>
      </c>
      <c r="AG4511" s="17">
        <v>0</v>
      </c>
      <c r="AH4511" s="360">
        <v>2</v>
      </c>
      <c r="AI4511" s="360">
        <v>2.5</v>
      </c>
      <c r="AJ4511" s="360">
        <v>3</v>
      </c>
      <c r="AK4511" s="361">
        <v>3</v>
      </c>
      <c r="AL4511" s="361">
        <v>3</v>
      </c>
      <c r="AM4511" s="17">
        <f t="shared" si="163"/>
        <v>6</v>
      </c>
      <c r="AN4511" s="224" t="s">
        <v>3879</v>
      </c>
      <c r="AO4511" s="162" t="s">
        <v>3881</v>
      </c>
    </row>
    <row r="4512" spans="1:41" s="162" customFormat="1" x14ac:dyDescent="0.3">
      <c r="A4512" s="205" t="s">
        <v>8321</v>
      </c>
      <c r="B4512" s="162" t="s">
        <v>8322</v>
      </c>
      <c r="C4512" s="168" t="s">
        <v>13469</v>
      </c>
      <c r="D4512" s="162" t="s">
        <v>13544</v>
      </c>
      <c r="E4512" s="406" t="s">
        <v>13545</v>
      </c>
      <c r="F4512" s="162" t="s">
        <v>13546</v>
      </c>
      <c r="G4512" s="406">
        <v>163706</v>
      </c>
      <c r="H4512" s="162" t="s">
        <v>15992</v>
      </c>
      <c r="K4512" s="162">
        <v>16370604</v>
      </c>
      <c r="L4512" s="162" t="s">
        <v>16002</v>
      </c>
      <c r="M4512" s="162" t="s">
        <v>16003</v>
      </c>
      <c r="O4512" s="224">
        <v>2860</v>
      </c>
      <c r="P4512" s="224">
        <v>3146</v>
      </c>
      <c r="Q4512" s="224">
        <v>3460</v>
      </c>
      <c r="R4512" s="224">
        <v>1700</v>
      </c>
      <c r="S4512" s="224">
        <v>1700</v>
      </c>
      <c r="T4512" s="223" t="s">
        <v>3879</v>
      </c>
      <c r="U4512" t="str">
        <f>VLOOKUP(T4512,[8]Votes!$A$1:$E$234,3,FALSE)</f>
        <v>009 Ministry of Internal Affairs</v>
      </c>
      <c r="V4512" s="162" t="s">
        <v>16004</v>
      </c>
      <c r="W4512" s="501">
        <v>1</v>
      </c>
      <c r="X4512" s="501">
        <v>1</v>
      </c>
      <c r="Y4512" s="501">
        <v>1</v>
      </c>
      <c r="Z4512" s="501">
        <v>1</v>
      </c>
      <c r="AA4512" s="501">
        <v>1</v>
      </c>
      <c r="AB4512" s="501">
        <v>0</v>
      </c>
      <c r="AC4512" s="150">
        <v>1</v>
      </c>
      <c r="AD4512" s="150">
        <v>0</v>
      </c>
      <c r="AE4512" s="49">
        <f t="shared" si="162"/>
        <v>0.75</v>
      </c>
      <c r="AF4512" s="360">
        <v>0</v>
      </c>
      <c r="AG4512" s="17">
        <v>0</v>
      </c>
      <c r="AH4512" s="360">
        <v>0.8</v>
      </c>
      <c r="AI4512" s="360">
        <v>1.5</v>
      </c>
      <c r="AJ4512" s="360">
        <v>2</v>
      </c>
      <c r="AK4512" s="361">
        <v>2</v>
      </c>
      <c r="AL4512" s="361">
        <v>2</v>
      </c>
      <c r="AM4512" s="17">
        <f t="shared" si="163"/>
        <v>4</v>
      </c>
      <c r="AN4512" s="224" t="s">
        <v>3879</v>
      </c>
      <c r="AO4512" s="162" t="s">
        <v>3881</v>
      </c>
    </row>
    <row r="4513" spans="1:41" s="162" customFormat="1" x14ac:dyDescent="0.3">
      <c r="A4513" s="205" t="s">
        <v>8321</v>
      </c>
      <c r="B4513" s="162" t="s">
        <v>8322</v>
      </c>
      <c r="C4513" s="168" t="s">
        <v>13469</v>
      </c>
      <c r="D4513" s="162" t="s">
        <v>13544</v>
      </c>
      <c r="E4513" s="406" t="s">
        <v>13545</v>
      </c>
      <c r="F4513" s="162" t="s">
        <v>13546</v>
      </c>
      <c r="G4513" s="406">
        <v>163706</v>
      </c>
      <c r="H4513" s="162" t="s">
        <v>15992</v>
      </c>
      <c r="K4513" s="162">
        <v>16370605</v>
      </c>
      <c r="L4513" s="162" t="s">
        <v>16005</v>
      </c>
      <c r="M4513" s="162" t="s">
        <v>16006</v>
      </c>
      <c r="O4513" s="224">
        <v>5000</v>
      </c>
      <c r="P4513" s="224">
        <v>8000</v>
      </c>
      <c r="Q4513" s="224">
        <v>10000</v>
      </c>
      <c r="R4513" s="224">
        <v>6000</v>
      </c>
      <c r="S4513" s="224">
        <v>6000</v>
      </c>
      <c r="T4513" s="223" t="s">
        <v>3879</v>
      </c>
      <c r="U4513" t="str">
        <f>VLOOKUP(T4513,[8]Votes!$A$1:$E$234,3,FALSE)</f>
        <v>009 Ministry of Internal Affairs</v>
      </c>
      <c r="V4513" s="162" t="s">
        <v>16007</v>
      </c>
      <c r="W4513" s="501">
        <v>1</v>
      </c>
      <c r="X4513" s="501">
        <v>1</v>
      </c>
      <c r="Y4513" s="501">
        <v>1</v>
      </c>
      <c r="Z4513" s="501">
        <v>1</v>
      </c>
      <c r="AA4513" s="501">
        <v>1</v>
      </c>
      <c r="AB4513" s="501">
        <v>0</v>
      </c>
      <c r="AC4513" s="150">
        <v>1</v>
      </c>
      <c r="AD4513" s="150">
        <v>0</v>
      </c>
      <c r="AE4513" s="49">
        <f t="shared" si="162"/>
        <v>0.75</v>
      </c>
      <c r="AF4513" s="360">
        <v>0</v>
      </c>
      <c r="AG4513" s="17">
        <v>0</v>
      </c>
      <c r="AH4513" s="360">
        <v>2</v>
      </c>
      <c r="AI4513" s="360">
        <v>2.5</v>
      </c>
      <c r="AJ4513" s="360">
        <v>3.5</v>
      </c>
      <c r="AK4513" s="361">
        <v>3.5</v>
      </c>
      <c r="AL4513" s="361">
        <v>3.5</v>
      </c>
      <c r="AM4513" s="17">
        <f t="shared" si="163"/>
        <v>7</v>
      </c>
      <c r="AN4513" s="224" t="s">
        <v>3879</v>
      </c>
      <c r="AO4513" s="162" t="s">
        <v>3881</v>
      </c>
    </row>
    <row r="4514" spans="1:41" s="162" customFormat="1" x14ac:dyDescent="0.3">
      <c r="A4514" s="205" t="s">
        <v>8321</v>
      </c>
      <c r="B4514" s="162" t="s">
        <v>8322</v>
      </c>
      <c r="C4514" s="168" t="s">
        <v>13469</v>
      </c>
      <c r="D4514" s="162" t="s">
        <v>13544</v>
      </c>
      <c r="E4514" s="406" t="s">
        <v>13545</v>
      </c>
      <c r="F4514" s="162" t="s">
        <v>13546</v>
      </c>
      <c r="G4514" s="406">
        <v>163706</v>
      </c>
      <c r="H4514" s="162" t="s">
        <v>15992</v>
      </c>
      <c r="K4514" s="162">
        <v>16370606</v>
      </c>
      <c r="L4514" s="162" t="s">
        <v>16008</v>
      </c>
      <c r="M4514" s="162" t="s">
        <v>16009</v>
      </c>
      <c r="O4514" s="492">
        <v>0.35</v>
      </c>
      <c r="P4514" s="492">
        <v>0.5</v>
      </c>
      <c r="Q4514" s="492">
        <v>0.65</v>
      </c>
      <c r="R4514" s="492">
        <v>0.65</v>
      </c>
      <c r="S4514" s="492">
        <v>0.65</v>
      </c>
      <c r="T4514" s="223" t="s">
        <v>3879</v>
      </c>
      <c r="U4514" t="str">
        <f>VLOOKUP(T4514,[8]Votes!$A$1:$E$234,3,FALSE)</f>
        <v>009 Ministry of Internal Affairs</v>
      </c>
      <c r="V4514" s="162" t="s">
        <v>16010</v>
      </c>
      <c r="W4514" s="501">
        <v>1</v>
      </c>
      <c r="X4514" s="501">
        <v>1</v>
      </c>
      <c r="Y4514" s="501">
        <v>1</v>
      </c>
      <c r="Z4514" s="501">
        <v>1</v>
      </c>
      <c r="AA4514" s="501">
        <v>1</v>
      </c>
      <c r="AB4514" s="501">
        <v>0</v>
      </c>
      <c r="AC4514" s="150">
        <v>1</v>
      </c>
      <c r="AD4514" s="150">
        <v>0</v>
      </c>
      <c r="AE4514" s="49">
        <f t="shared" si="162"/>
        <v>0.75</v>
      </c>
      <c r="AF4514" s="360">
        <v>0</v>
      </c>
      <c r="AG4514" s="17">
        <v>0</v>
      </c>
      <c r="AH4514" s="360">
        <v>0.56000000000000005</v>
      </c>
      <c r="AI4514" s="360">
        <v>0.8</v>
      </c>
      <c r="AJ4514" s="360">
        <v>1.04</v>
      </c>
      <c r="AK4514" s="361"/>
      <c r="AL4514" s="361"/>
      <c r="AM4514" s="17">
        <f t="shared" si="163"/>
        <v>0</v>
      </c>
      <c r="AN4514" s="224" t="s">
        <v>3879</v>
      </c>
      <c r="AO4514" s="162" t="s">
        <v>3881</v>
      </c>
    </row>
    <row r="4515" spans="1:41" s="162" customFormat="1" x14ac:dyDescent="0.3">
      <c r="A4515" s="205" t="s">
        <v>8321</v>
      </c>
      <c r="B4515" s="162" t="s">
        <v>8322</v>
      </c>
      <c r="C4515" s="168" t="s">
        <v>13469</v>
      </c>
      <c r="D4515" s="162" t="s">
        <v>13544</v>
      </c>
      <c r="E4515" s="406" t="s">
        <v>13545</v>
      </c>
      <c r="F4515" s="162" t="s">
        <v>13546</v>
      </c>
      <c r="G4515" s="406">
        <v>163707</v>
      </c>
      <c r="H4515" s="162" t="s">
        <v>16011</v>
      </c>
      <c r="K4515" s="162">
        <v>16370701</v>
      </c>
      <c r="L4515" s="162" t="s">
        <v>16012</v>
      </c>
      <c r="M4515" s="162" t="s">
        <v>16013</v>
      </c>
      <c r="O4515" s="492">
        <v>0.8</v>
      </c>
      <c r="P4515" s="492">
        <v>0.8</v>
      </c>
      <c r="Q4515" s="492">
        <v>1</v>
      </c>
      <c r="R4515" s="492">
        <v>0</v>
      </c>
      <c r="S4515" s="492">
        <v>0.8</v>
      </c>
      <c r="T4515" s="223" t="s">
        <v>4115</v>
      </c>
      <c r="U4515" t="str">
        <f>VLOOKUP(T4515,[8]Votes!$A$1:$E$234,3,FALSE)</f>
        <v>309 National Identification and Registration Authority (NIRA)</v>
      </c>
      <c r="V4515" s="162" t="s">
        <v>16014</v>
      </c>
      <c r="W4515" s="501">
        <v>1</v>
      </c>
      <c r="X4515" s="501">
        <v>1</v>
      </c>
      <c r="Y4515" s="501">
        <v>0</v>
      </c>
      <c r="Z4515" s="501">
        <v>1</v>
      </c>
      <c r="AA4515" s="501">
        <v>1</v>
      </c>
      <c r="AB4515" s="501">
        <v>0</v>
      </c>
      <c r="AC4515" s="150">
        <v>1</v>
      </c>
      <c r="AD4515" s="150">
        <v>1</v>
      </c>
      <c r="AE4515" s="49">
        <f t="shared" si="162"/>
        <v>0.75</v>
      </c>
      <c r="AF4515" s="190">
        <v>1</v>
      </c>
      <c r="AG4515" s="17">
        <v>0</v>
      </c>
      <c r="AH4515" s="360">
        <v>0.3</v>
      </c>
      <c r="AI4515" s="360">
        <v>0.3</v>
      </c>
      <c r="AJ4515" s="360">
        <v>2.1</v>
      </c>
      <c r="AK4515" s="191">
        <v>0</v>
      </c>
      <c r="AL4515" s="361">
        <v>0</v>
      </c>
      <c r="AM4515" s="17">
        <f t="shared" si="163"/>
        <v>0</v>
      </c>
      <c r="AN4515" s="162" t="s">
        <v>4115</v>
      </c>
      <c r="AO4515" s="162" t="s">
        <v>4116</v>
      </c>
    </row>
    <row r="4516" spans="1:41" s="162" customFormat="1" x14ac:dyDescent="0.3">
      <c r="A4516" s="205" t="s">
        <v>8321</v>
      </c>
      <c r="B4516" s="162" t="s">
        <v>8322</v>
      </c>
      <c r="C4516" s="168" t="s">
        <v>13469</v>
      </c>
      <c r="D4516" s="162" t="s">
        <v>13544</v>
      </c>
      <c r="E4516" s="406" t="s">
        <v>13545</v>
      </c>
      <c r="F4516" s="162" t="s">
        <v>13546</v>
      </c>
      <c r="G4516" s="406">
        <v>163707</v>
      </c>
      <c r="H4516" s="162" t="s">
        <v>16011</v>
      </c>
      <c r="K4516" s="162">
        <v>16370702</v>
      </c>
      <c r="L4516" s="162" t="s">
        <v>16015</v>
      </c>
      <c r="M4516" s="162" t="s">
        <v>16016</v>
      </c>
      <c r="O4516" s="492">
        <v>0.15</v>
      </c>
      <c r="P4516" s="492">
        <v>0.5</v>
      </c>
      <c r="Q4516" s="492">
        <v>0.65</v>
      </c>
      <c r="R4516" s="492">
        <v>0.7</v>
      </c>
      <c r="S4516" s="492">
        <v>0</v>
      </c>
      <c r="T4516" s="223" t="s">
        <v>4115</v>
      </c>
      <c r="U4516" t="str">
        <f>VLOOKUP(T4516,[8]Votes!$A$1:$E$234,3,FALSE)</f>
        <v>309 National Identification and Registration Authority (NIRA)</v>
      </c>
      <c r="V4516" s="162" t="s">
        <v>16017</v>
      </c>
      <c r="W4516" s="501">
        <v>1</v>
      </c>
      <c r="X4516" s="501">
        <v>1</v>
      </c>
      <c r="Y4516" s="501">
        <v>0</v>
      </c>
      <c r="Z4516" s="501">
        <v>1</v>
      </c>
      <c r="AA4516" s="501">
        <v>1</v>
      </c>
      <c r="AB4516" s="501">
        <v>0</v>
      </c>
      <c r="AC4516" s="150">
        <v>1</v>
      </c>
      <c r="AD4516" s="150">
        <v>1</v>
      </c>
      <c r="AE4516" s="49">
        <f t="shared" si="162"/>
        <v>0.75</v>
      </c>
      <c r="AF4516" s="190">
        <v>1</v>
      </c>
      <c r="AG4516" s="17">
        <v>0</v>
      </c>
      <c r="AH4516" s="360">
        <v>28.8</v>
      </c>
      <c r="AI4516" s="360">
        <v>10</v>
      </c>
      <c r="AJ4516" s="360">
        <v>15</v>
      </c>
      <c r="AK4516" s="361">
        <v>0</v>
      </c>
      <c r="AL4516" s="191">
        <v>0</v>
      </c>
      <c r="AM4516" s="17">
        <f t="shared" si="163"/>
        <v>0</v>
      </c>
      <c r="AN4516" s="162" t="s">
        <v>4115</v>
      </c>
      <c r="AO4516" s="162" t="s">
        <v>4116</v>
      </c>
    </row>
    <row r="4517" spans="1:41" s="162" customFormat="1" x14ac:dyDescent="0.3">
      <c r="A4517" s="205" t="s">
        <v>8321</v>
      </c>
      <c r="B4517" s="162" t="s">
        <v>8322</v>
      </c>
      <c r="C4517" s="168" t="s">
        <v>13469</v>
      </c>
      <c r="D4517" s="162" t="s">
        <v>13544</v>
      </c>
      <c r="E4517" s="406" t="s">
        <v>13545</v>
      </c>
      <c r="F4517" s="162" t="s">
        <v>13546</v>
      </c>
      <c r="G4517" s="406">
        <v>163707</v>
      </c>
      <c r="H4517" s="162" t="s">
        <v>16011</v>
      </c>
      <c r="K4517" s="162">
        <v>16370702</v>
      </c>
      <c r="L4517" s="162" t="s">
        <v>16015</v>
      </c>
      <c r="M4517" s="162" t="s">
        <v>16016</v>
      </c>
      <c r="O4517" s="224"/>
      <c r="P4517" s="224"/>
      <c r="Q4517" s="224"/>
      <c r="R4517" s="224"/>
      <c r="S4517" s="224"/>
      <c r="T4517" s="223" t="s">
        <v>4115</v>
      </c>
      <c r="U4517" t="str">
        <f>VLOOKUP(T4517,[8]Votes!$A$1:$E$234,3,FALSE)</f>
        <v>309 National Identification and Registration Authority (NIRA)</v>
      </c>
      <c r="V4517" s="162" t="s">
        <v>16018</v>
      </c>
      <c r="W4517" s="501">
        <v>1</v>
      </c>
      <c r="X4517" s="501">
        <v>1</v>
      </c>
      <c r="Y4517" s="501">
        <v>0</v>
      </c>
      <c r="Z4517" s="501">
        <v>1</v>
      </c>
      <c r="AA4517" s="501">
        <v>1</v>
      </c>
      <c r="AB4517" s="501">
        <v>0</v>
      </c>
      <c r="AC4517" s="150">
        <v>1</v>
      </c>
      <c r="AD4517" s="150">
        <v>1</v>
      </c>
      <c r="AE4517" s="49">
        <f t="shared" si="162"/>
        <v>0.75</v>
      </c>
      <c r="AF4517" s="190">
        <v>1</v>
      </c>
      <c r="AG4517" s="17">
        <v>0</v>
      </c>
      <c r="AH4517" s="190">
        <v>0</v>
      </c>
      <c r="AI4517" s="190">
        <v>0</v>
      </c>
      <c r="AJ4517" s="190">
        <v>0</v>
      </c>
      <c r="AK4517" s="191">
        <v>0</v>
      </c>
      <c r="AL4517" s="191">
        <v>0</v>
      </c>
      <c r="AM4517" s="17">
        <f t="shared" si="163"/>
        <v>0</v>
      </c>
      <c r="AN4517" s="162" t="s">
        <v>4115</v>
      </c>
      <c r="AO4517" s="162" t="s">
        <v>4116</v>
      </c>
    </row>
    <row r="4518" spans="1:41" s="162" customFormat="1" x14ac:dyDescent="0.3">
      <c r="A4518" s="205" t="s">
        <v>8321</v>
      </c>
      <c r="B4518" s="162" t="s">
        <v>8322</v>
      </c>
      <c r="C4518" s="168" t="s">
        <v>13469</v>
      </c>
      <c r="D4518" s="162" t="s">
        <v>13544</v>
      </c>
      <c r="E4518" s="406" t="s">
        <v>13545</v>
      </c>
      <c r="F4518" s="162" t="s">
        <v>13546</v>
      </c>
      <c r="G4518" s="406">
        <v>163707</v>
      </c>
      <c r="H4518" s="162" t="s">
        <v>16011</v>
      </c>
      <c r="K4518" s="162">
        <v>16370702</v>
      </c>
      <c r="L4518" s="162" t="s">
        <v>16015</v>
      </c>
      <c r="M4518" s="162" t="s">
        <v>16016</v>
      </c>
      <c r="O4518" s="224"/>
      <c r="P4518" s="224"/>
      <c r="Q4518" s="224"/>
      <c r="R4518" s="224"/>
      <c r="S4518" s="224"/>
      <c r="T4518" s="223" t="s">
        <v>4115</v>
      </c>
      <c r="U4518" t="str">
        <f>VLOOKUP(T4518,[8]Votes!$A$1:$E$234,3,FALSE)</f>
        <v>309 National Identification and Registration Authority (NIRA)</v>
      </c>
      <c r="V4518" s="162" t="s">
        <v>16019</v>
      </c>
      <c r="W4518" s="501">
        <v>1</v>
      </c>
      <c r="X4518" s="501">
        <v>1</v>
      </c>
      <c r="Y4518" s="501">
        <v>0</v>
      </c>
      <c r="Z4518" s="501">
        <v>1</v>
      </c>
      <c r="AA4518" s="501">
        <v>1</v>
      </c>
      <c r="AB4518" s="501">
        <v>0</v>
      </c>
      <c r="AC4518" s="150">
        <v>1</v>
      </c>
      <c r="AD4518" s="150">
        <v>1</v>
      </c>
      <c r="AE4518" s="49">
        <f t="shared" si="162"/>
        <v>0.75</v>
      </c>
      <c r="AF4518" s="190">
        <v>1</v>
      </c>
      <c r="AG4518" s="17">
        <v>0</v>
      </c>
      <c r="AH4518" s="190">
        <v>0</v>
      </c>
      <c r="AI4518" s="190">
        <v>0</v>
      </c>
      <c r="AJ4518" s="190">
        <v>0</v>
      </c>
      <c r="AK4518" s="191">
        <v>0</v>
      </c>
      <c r="AL4518" s="191">
        <v>0</v>
      </c>
      <c r="AM4518" s="17">
        <f t="shared" si="163"/>
        <v>0</v>
      </c>
      <c r="AN4518" s="162" t="s">
        <v>4115</v>
      </c>
      <c r="AO4518" s="162" t="s">
        <v>4116</v>
      </c>
    </row>
    <row r="4519" spans="1:41" s="162" customFormat="1" x14ac:dyDescent="0.3">
      <c r="A4519" s="205" t="s">
        <v>8321</v>
      </c>
      <c r="B4519" s="162" t="s">
        <v>8322</v>
      </c>
      <c r="C4519" s="168" t="s">
        <v>13469</v>
      </c>
      <c r="D4519" s="162" t="s">
        <v>13544</v>
      </c>
      <c r="E4519" s="406" t="s">
        <v>13545</v>
      </c>
      <c r="F4519" s="162" t="s">
        <v>13546</v>
      </c>
      <c r="G4519" s="406">
        <v>163707</v>
      </c>
      <c r="H4519" s="162" t="s">
        <v>16011</v>
      </c>
      <c r="K4519" s="162">
        <v>16370703</v>
      </c>
      <c r="L4519" s="162" t="s">
        <v>16020</v>
      </c>
      <c r="M4519" s="162" t="s">
        <v>16021</v>
      </c>
      <c r="O4519" s="492">
        <v>0.8</v>
      </c>
      <c r="P4519" s="492">
        <v>0.8</v>
      </c>
      <c r="Q4519" s="492">
        <v>0.8</v>
      </c>
      <c r="R4519" s="492">
        <v>0.8</v>
      </c>
      <c r="S4519" s="492">
        <v>0.8</v>
      </c>
      <c r="T4519" s="223" t="s">
        <v>4115</v>
      </c>
      <c r="U4519" t="str">
        <f>VLOOKUP(T4519,[8]Votes!$A$1:$E$234,3,FALSE)</f>
        <v>309 National Identification and Registration Authority (NIRA)</v>
      </c>
      <c r="V4519" s="162" t="s">
        <v>16022</v>
      </c>
      <c r="W4519" s="501">
        <v>1</v>
      </c>
      <c r="X4519" s="501">
        <v>1</v>
      </c>
      <c r="Y4519" s="501">
        <v>0</v>
      </c>
      <c r="Z4519" s="501">
        <v>1</v>
      </c>
      <c r="AA4519" s="501">
        <v>1</v>
      </c>
      <c r="AB4519" s="501">
        <v>0</v>
      </c>
      <c r="AC4519" s="150">
        <v>1</v>
      </c>
      <c r="AD4519" s="150">
        <v>1</v>
      </c>
      <c r="AE4519" s="49">
        <f t="shared" si="162"/>
        <v>0.75</v>
      </c>
      <c r="AF4519" s="190">
        <v>1</v>
      </c>
      <c r="AG4519" s="17">
        <v>0</v>
      </c>
      <c r="AH4519" s="190">
        <v>0</v>
      </c>
      <c r="AI4519" s="190">
        <v>0</v>
      </c>
      <c r="AJ4519" s="190">
        <v>0</v>
      </c>
      <c r="AK4519" s="191">
        <v>0</v>
      </c>
      <c r="AL4519" s="191">
        <v>0</v>
      </c>
      <c r="AM4519" s="17">
        <f t="shared" si="163"/>
        <v>0</v>
      </c>
      <c r="AN4519" s="162" t="s">
        <v>4115</v>
      </c>
      <c r="AO4519" s="162" t="s">
        <v>4116</v>
      </c>
    </row>
    <row r="4520" spans="1:41" s="162" customFormat="1" x14ac:dyDescent="0.3">
      <c r="A4520" s="205" t="s">
        <v>8321</v>
      </c>
      <c r="B4520" s="162" t="s">
        <v>8322</v>
      </c>
      <c r="C4520" s="168" t="s">
        <v>13469</v>
      </c>
      <c r="D4520" s="162" t="s">
        <v>13544</v>
      </c>
      <c r="E4520" s="406" t="s">
        <v>13545</v>
      </c>
      <c r="F4520" s="162" t="s">
        <v>13546</v>
      </c>
      <c r="G4520" s="406">
        <v>163707</v>
      </c>
      <c r="H4520" s="162" t="s">
        <v>16011</v>
      </c>
      <c r="K4520" s="162">
        <v>16370702</v>
      </c>
      <c r="L4520" s="162" t="s">
        <v>16023</v>
      </c>
      <c r="M4520" s="162" t="s">
        <v>16024</v>
      </c>
      <c r="O4520" s="492">
        <v>0.01</v>
      </c>
      <c r="P4520" s="492">
        <v>0.1</v>
      </c>
      <c r="Q4520" s="492">
        <v>0.4</v>
      </c>
      <c r="R4520" s="492">
        <v>0.5</v>
      </c>
      <c r="S4520" s="492">
        <v>0.7</v>
      </c>
      <c r="T4520" s="223" t="s">
        <v>4115</v>
      </c>
      <c r="U4520" t="str">
        <f>VLOOKUP(T4520,[8]Votes!$A$1:$E$234,3,FALSE)</f>
        <v>309 National Identification and Registration Authority (NIRA)</v>
      </c>
      <c r="V4520" s="162" t="s">
        <v>16018</v>
      </c>
      <c r="W4520" s="501">
        <v>1</v>
      </c>
      <c r="X4520" s="501">
        <v>1</v>
      </c>
      <c r="Y4520" s="501">
        <v>0</v>
      </c>
      <c r="Z4520" s="501">
        <v>1</v>
      </c>
      <c r="AA4520" s="501">
        <v>1</v>
      </c>
      <c r="AB4520" s="501">
        <v>0</v>
      </c>
      <c r="AC4520" s="150">
        <v>1</v>
      </c>
      <c r="AD4520" s="150">
        <v>1</v>
      </c>
      <c r="AE4520" s="49">
        <f t="shared" si="162"/>
        <v>0.75</v>
      </c>
      <c r="AF4520" s="190">
        <v>1</v>
      </c>
      <c r="AG4520" s="17">
        <v>0</v>
      </c>
      <c r="AH4520" s="360">
        <v>28.8</v>
      </c>
      <c r="AI4520" s="360">
        <v>10</v>
      </c>
      <c r="AJ4520" s="360">
        <v>15</v>
      </c>
      <c r="AK4520" s="361">
        <v>0</v>
      </c>
      <c r="AL4520" s="361">
        <v>0</v>
      </c>
      <c r="AM4520" s="17">
        <f t="shared" si="163"/>
        <v>0</v>
      </c>
      <c r="AN4520" s="162" t="s">
        <v>4115</v>
      </c>
      <c r="AO4520" s="162" t="s">
        <v>4116</v>
      </c>
    </row>
    <row r="4521" spans="1:41" s="162" customFormat="1" x14ac:dyDescent="0.3">
      <c r="A4521" s="205" t="s">
        <v>8321</v>
      </c>
      <c r="B4521" s="162" t="s">
        <v>8322</v>
      </c>
      <c r="C4521" s="168" t="s">
        <v>13469</v>
      </c>
      <c r="D4521" s="162" t="s">
        <v>13544</v>
      </c>
      <c r="E4521" s="406" t="s">
        <v>13545</v>
      </c>
      <c r="F4521" s="162" t="s">
        <v>13546</v>
      </c>
      <c r="G4521" s="406">
        <v>163707</v>
      </c>
      <c r="H4521" s="162" t="s">
        <v>16011</v>
      </c>
      <c r="K4521" s="162">
        <v>16370702</v>
      </c>
      <c r="L4521" s="162" t="s">
        <v>16023</v>
      </c>
      <c r="M4521" s="162" t="s">
        <v>16024</v>
      </c>
      <c r="O4521" s="224"/>
      <c r="P4521" s="224"/>
      <c r="Q4521" s="224"/>
      <c r="R4521" s="224"/>
      <c r="S4521" s="224"/>
      <c r="T4521" s="223" t="s">
        <v>4115</v>
      </c>
      <c r="U4521" t="str">
        <f>VLOOKUP(T4521,[8]Votes!$A$1:$E$234,3,FALSE)</f>
        <v>309 National Identification and Registration Authority (NIRA)</v>
      </c>
      <c r="V4521" s="162" t="s">
        <v>16017</v>
      </c>
      <c r="W4521" s="501">
        <v>1</v>
      </c>
      <c r="X4521" s="501">
        <v>1</v>
      </c>
      <c r="Y4521" s="501">
        <v>0</v>
      </c>
      <c r="Z4521" s="501">
        <v>1</v>
      </c>
      <c r="AA4521" s="501">
        <v>1</v>
      </c>
      <c r="AB4521" s="501">
        <v>0</v>
      </c>
      <c r="AC4521" s="150">
        <v>1</v>
      </c>
      <c r="AD4521" s="150">
        <v>1</v>
      </c>
      <c r="AE4521" s="49">
        <f t="shared" si="162"/>
        <v>0.75</v>
      </c>
      <c r="AF4521" s="190">
        <v>1</v>
      </c>
      <c r="AG4521" s="17">
        <v>0</v>
      </c>
      <c r="AH4521" s="190">
        <v>0</v>
      </c>
      <c r="AI4521" s="190">
        <v>0</v>
      </c>
      <c r="AJ4521" s="190">
        <v>0</v>
      </c>
      <c r="AK4521" s="191">
        <v>0</v>
      </c>
      <c r="AL4521" s="191">
        <v>0</v>
      </c>
      <c r="AM4521" s="17">
        <f t="shared" si="163"/>
        <v>0</v>
      </c>
      <c r="AN4521" s="162" t="s">
        <v>4115</v>
      </c>
      <c r="AO4521" s="162" t="s">
        <v>4116</v>
      </c>
    </row>
    <row r="4522" spans="1:41" s="162" customFormat="1" x14ac:dyDescent="0.3">
      <c r="A4522" s="205" t="s">
        <v>8321</v>
      </c>
      <c r="B4522" s="162" t="s">
        <v>8322</v>
      </c>
      <c r="C4522" s="168" t="s">
        <v>13469</v>
      </c>
      <c r="D4522" s="162" t="s">
        <v>13544</v>
      </c>
      <c r="E4522" s="406" t="s">
        <v>13545</v>
      </c>
      <c r="F4522" s="162" t="s">
        <v>13546</v>
      </c>
      <c r="G4522" s="406">
        <v>163707</v>
      </c>
      <c r="H4522" s="162" t="s">
        <v>16011</v>
      </c>
      <c r="K4522" s="162">
        <v>16370702</v>
      </c>
      <c r="L4522" s="162" t="s">
        <v>16023</v>
      </c>
      <c r="M4522" s="162" t="s">
        <v>16024</v>
      </c>
      <c r="O4522" s="224"/>
      <c r="P4522" s="224"/>
      <c r="Q4522" s="224"/>
      <c r="R4522" s="224"/>
      <c r="S4522" s="224"/>
      <c r="T4522" s="223" t="s">
        <v>4115</v>
      </c>
      <c r="U4522" t="str">
        <f>VLOOKUP(T4522,[8]Votes!$A$1:$E$234,3,FALSE)</f>
        <v>309 National Identification and Registration Authority (NIRA)</v>
      </c>
      <c r="V4522" s="162" t="s">
        <v>16019</v>
      </c>
      <c r="W4522" s="501">
        <v>1</v>
      </c>
      <c r="X4522" s="501">
        <v>1</v>
      </c>
      <c r="Y4522" s="501">
        <v>0</v>
      </c>
      <c r="Z4522" s="501">
        <v>1</v>
      </c>
      <c r="AA4522" s="501">
        <v>1</v>
      </c>
      <c r="AB4522" s="501">
        <v>0</v>
      </c>
      <c r="AC4522" s="150">
        <v>1</v>
      </c>
      <c r="AD4522" s="150">
        <v>1</v>
      </c>
      <c r="AE4522" s="49">
        <f t="shared" si="162"/>
        <v>0.75</v>
      </c>
      <c r="AF4522" s="190">
        <v>1</v>
      </c>
      <c r="AG4522" s="17">
        <v>0</v>
      </c>
      <c r="AH4522" s="190">
        <v>0</v>
      </c>
      <c r="AI4522" s="190">
        <v>0</v>
      </c>
      <c r="AJ4522" s="190">
        <v>0</v>
      </c>
      <c r="AK4522" s="191">
        <v>0</v>
      </c>
      <c r="AL4522" s="191">
        <v>0</v>
      </c>
      <c r="AM4522" s="17">
        <f t="shared" si="163"/>
        <v>0</v>
      </c>
      <c r="AN4522" s="162" t="s">
        <v>4115</v>
      </c>
      <c r="AO4522" s="162" t="s">
        <v>4116</v>
      </c>
    </row>
    <row r="4523" spans="1:41" s="162" customFormat="1" x14ac:dyDescent="0.3">
      <c r="A4523" s="205" t="s">
        <v>8321</v>
      </c>
      <c r="B4523" s="162" t="s">
        <v>8322</v>
      </c>
      <c r="C4523" s="168" t="s">
        <v>13469</v>
      </c>
      <c r="D4523" s="162" t="s">
        <v>13544</v>
      </c>
      <c r="E4523" s="406" t="s">
        <v>13545</v>
      </c>
      <c r="F4523" s="162" t="s">
        <v>13546</v>
      </c>
      <c r="G4523" s="406">
        <v>163707</v>
      </c>
      <c r="H4523" s="162" t="s">
        <v>16011</v>
      </c>
      <c r="K4523" s="162">
        <v>16370703</v>
      </c>
      <c r="L4523" s="162" t="s">
        <v>16025</v>
      </c>
      <c r="M4523" s="162" t="s">
        <v>16026</v>
      </c>
      <c r="O4523" s="492">
        <v>0.8</v>
      </c>
      <c r="P4523" s="492">
        <v>0.8</v>
      </c>
      <c r="Q4523" s="492">
        <v>0.8</v>
      </c>
      <c r="R4523" s="492">
        <v>0.8</v>
      </c>
      <c r="S4523" s="492">
        <v>0.8</v>
      </c>
      <c r="T4523" s="223" t="s">
        <v>4115</v>
      </c>
      <c r="U4523" t="str">
        <f>VLOOKUP(T4523,[8]Votes!$A$1:$E$234,3,FALSE)</f>
        <v>309 National Identification and Registration Authority (NIRA)</v>
      </c>
      <c r="V4523" s="162" t="s">
        <v>16027</v>
      </c>
      <c r="W4523" s="501">
        <v>1</v>
      </c>
      <c r="X4523" s="501">
        <v>1</v>
      </c>
      <c r="Y4523" s="501">
        <v>0</v>
      </c>
      <c r="Z4523" s="501">
        <v>1</v>
      </c>
      <c r="AA4523" s="501">
        <v>1</v>
      </c>
      <c r="AB4523" s="501">
        <v>0</v>
      </c>
      <c r="AC4523" s="150">
        <v>1</v>
      </c>
      <c r="AD4523" s="150">
        <v>1</v>
      </c>
      <c r="AE4523" s="49">
        <f t="shared" si="162"/>
        <v>0.75</v>
      </c>
      <c r="AF4523" s="190">
        <v>1</v>
      </c>
      <c r="AG4523" s="17">
        <v>0</v>
      </c>
      <c r="AH4523" s="360">
        <v>0.3</v>
      </c>
      <c r="AI4523" s="360">
        <v>0.3</v>
      </c>
      <c r="AJ4523" s="360">
        <v>0.3</v>
      </c>
      <c r="AK4523" s="361">
        <v>0</v>
      </c>
      <c r="AL4523" s="191">
        <v>0</v>
      </c>
      <c r="AM4523" s="17">
        <f t="shared" si="163"/>
        <v>0</v>
      </c>
      <c r="AN4523" s="162" t="s">
        <v>4115</v>
      </c>
      <c r="AO4523" s="162" t="s">
        <v>4116</v>
      </c>
    </row>
    <row r="4524" spans="1:41" s="162" customFormat="1" x14ac:dyDescent="0.3">
      <c r="A4524" s="205" t="s">
        <v>8321</v>
      </c>
      <c r="B4524" s="162" t="s">
        <v>8322</v>
      </c>
      <c r="C4524" s="168" t="s">
        <v>13469</v>
      </c>
      <c r="D4524" s="162" t="s">
        <v>13544</v>
      </c>
      <c r="E4524" s="406" t="s">
        <v>13545</v>
      </c>
      <c r="F4524" s="162" t="s">
        <v>16028</v>
      </c>
      <c r="G4524" s="406">
        <v>163707</v>
      </c>
      <c r="H4524" s="162" t="s">
        <v>16029</v>
      </c>
      <c r="K4524" s="162">
        <v>16370704</v>
      </c>
      <c r="L4524" s="162" t="s">
        <v>16030</v>
      </c>
      <c r="M4524" s="162" t="s">
        <v>16031</v>
      </c>
      <c r="O4524" s="492">
        <v>0.9</v>
      </c>
      <c r="P4524" s="492">
        <v>0.95</v>
      </c>
      <c r="Q4524" s="492">
        <v>0.95</v>
      </c>
      <c r="R4524" s="492">
        <v>0.95</v>
      </c>
      <c r="S4524" s="492">
        <v>0.95</v>
      </c>
      <c r="T4524" s="223" t="s">
        <v>13766</v>
      </c>
      <c r="U4524" t="str">
        <f>VLOOKUP(T4524,[8]Votes!$A$1:$E$234,3,FALSE)</f>
        <v>120 National Citizenship and Immigration Control</v>
      </c>
      <c r="V4524" s="162" t="s">
        <v>16032</v>
      </c>
      <c r="W4524" s="501">
        <v>1</v>
      </c>
      <c r="X4524" s="501">
        <v>1</v>
      </c>
      <c r="Y4524" s="501">
        <v>0</v>
      </c>
      <c r="Z4524" s="501">
        <v>1</v>
      </c>
      <c r="AA4524" s="501">
        <v>1</v>
      </c>
      <c r="AB4524" s="501">
        <v>0</v>
      </c>
      <c r="AC4524" s="150">
        <v>1</v>
      </c>
      <c r="AD4524" s="150">
        <v>1</v>
      </c>
      <c r="AE4524" s="49">
        <f t="shared" si="162"/>
        <v>0.75</v>
      </c>
      <c r="AF4524" s="190">
        <v>1</v>
      </c>
      <c r="AG4524" s="17">
        <v>0</v>
      </c>
      <c r="AH4524" s="360">
        <v>2.2000000000000002</v>
      </c>
      <c r="AI4524" s="360">
        <v>2.5</v>
      </c>
      <c r="AJ4524" s="360">
        <v>2.5</v>
      </c>
      <c r="AK4524" s="361">
        <v>2.7</v>
      </c>
      <c r="AL4524" s="361">
        <v>3</v>
      </c>
      <c r="AM4524" s="17">
        <f t="shared" si="163"/>
        <v>5.7</v>
      </c>
      <c r="AN4524" s="162" t="s">
        <v>13766</v>
      </c>
      <c r="AO4524" s="162" t="s">
        <v>13768</v>
      </c>
    </row>
    <row r="4525" spans="1:41" s="162" customFormat="1" x14ac:dyDescent="0.3">
      <c r="A4525" s="205" t="s">
        <v>8321</v>
      </c>
      <c r="B4525" s="162" t="s">
        <v>8322</v>
      </c>
      <c r="C4525" s="168" t="s">
        <v>13469</v>
      </c>
      <c r="D4525" s="162" t="s">
        <v>13544</v>
      </c>
      <c r="E4525" s="406" t="s">
        <v>13545</v>
      </c>
      <c r="F4525" s="162" t="s">
        <v>13546</v>
      </c>
      <c r="G4525" s="406">
        <v>163707</v>
      </c>
      <c r="H4525" s="162" t="s">
        <v>16011</v>
      </c>
      <c r="K4525" s="162">
        <v>16370705</v>
      </c>
      <c r="L4525" s="162" t="s">
        <v>16033</v>
      </c>
      <c r="M4525" s="462">
        <v>0.5</v>
      </c>
      <c r="O4525" s="492">
        <v>1</v>
      </c>
      <c r="P4525" s="492">
        <v>1</v>
      </c>
      <c r="Q4525" s="492">
        <v>1</v>
      </c>
      <c r="R4525" s="492">
        <v>1</v>
      </c>
      <c r="S4525" s="224" t="s">
        <v>1581</v>
      </c>
      <c r="T4525" s="223" t="s">
        <v>4115</v>
      </c>
      <c r="U4525" t="str">
        <f>VLOOKUP(T4525,[8]Votes!$A$1:$E$234,3,FALSE)</f>
        <v>309 National Identification and Registration Authority (NIRA)</v>
      </c>
      <c r="V4525" s="162" t="s">
        <v>16034</v>
      </c>
      <c r="W4525" s="501">
        <v>1</v>
      </c>
      <c r="X4525" s="501">
        <v>1</v>
      </c>
      <c r="Y4525" s="501">
        <v>0</v>
      </c>
      <c r="Z4525" s="501">
        <v>1</v>
      </c>
      <c r="AA4525" s="501">
        <v>1</v>
      </c>
      <c r="AB4525" s="501">
        <v>0</v>
      </c>
      <c r="AC4525" s="150">
        <v>1</v>
      </c>
      <c r="AD4525" s="150">
        <v>1</v>
      </c>
      <c r="AE4525" s="49">
        <f t="shared" si="162"/>
        <v>0.75</v>
      </c>
      <c r="AF4525" s="190">
        <v>1</v>
      </c>
      <c r="AG4525" s="17">
        <v>0</v>
      </c>
      <c r="AH4525" s="190">
        <v>0</v>
      </c>
      <c r="AI4525" s="190">
        <v>0</v>
      </c>
      <c r="AJ4525" s="190">
        <v>0</v>
      </c>
      <c r="AK4525" s="191">
        <v>0</v>
      </c>
      <c r="AL4525" s="191">
        <v>0</v>
      </c>
      <c r="AM4525" s="17">
        <f t="shared" si="163"/>
        <v>0</v>
      </c>
      <c r="AN4525" s="162" t="s">
        <v>4115</v>
      </c>
      <c r="AO4525" s="162" t="s">
        <v>4116</v>
      </c>
    </row>
    <row r="4526" spans="1:41" s="162" customFormat="1" x14ac:dyDescent="0.3">
      <c r="A4526" s="205" t="s">
        <v>8321</v>
      </c>
      <c r="B4526" s="162" t="s">
        <v>8322</v>
      </c>
      <c r="C4526" s="168" t="s">
        <v>13469</v>
      </c>
      <c r="D4526" s="162" t="s">
        <v>13544</v>
      </c>
      <c r="E4526" s="406" t="s">
        <v>13545</v>
      </c>
      <c r="F4526" s="162" t="s">
        <v>13546</v>
      </c>
      <c r="G4526" s="406">
        <v>163707</v>
      </c>
      <c r="H4526" s="162" t="s">
        <v>16011</v>
      </c>
      <c r="K4526" s="162">
        <v>16370706</v>
      </c>
      <c r="L4526" s="162" t="s">
        <v>16035</v>
      </c>
      <c r="M4526" s="162" t="s">
        <v>16036</v>
      </c>
      <c r="O4526" s="492">
        <v>0.45</v>
      </c>
      <c r="P4526" s="492">
        <v>0.5</v>
      </c>
      <c r="Q4526" s="492">
        <v>0.55000000000000004</v>
      </c>
      <c r="R4526" s="492">
        <v>0.6</v>
      </c>
      <c r="S4526" s="492">
        <v>0.7</v>
      </c>
      <c r="T4526" s="223" t="s">
        <v>15432</v>
      </c>
      <c r="U4526" t="e">
        <f>VLOOKUP(T4526,[8]Votes!$A$1:$E$234,3,FALSE)</f>
        <v>#N/A</v>
      </c>
      <c r="V4526" s="162" t="s">
        <v>16037</v>
      </c>
      <c r="W4526" s="501">
        <v>1</v>
      </c>
      <c r="X4526" s="501">
        <v>0</v>
      </c>
      <c r="Y4526" s="501">
        <v>0</v>
      </c>
      <c r="Z4526" s="501">
        <v>1</v>
      </c>
      <c r="AA4526" s="501">
        <v>1</v>
      </c>
      <c r="AB4526" s="501">
        <v>0</v>
      </c>
      <c r="AC4526" s="150">
        <v>0</v>
      </c>
      <c r="AD4526" s="150">
        <v>1</v>
      </c>
      <c r="AE4526" s="49">
        <f t="shared" si="162"/>
        <v>0.5</v>
      </c>
      <c r="AF4526" s="190">
        <v>1</v>
      </c>
      <c r="AG4526" s="17">
        <v>0</v>
      </c>
      <c r="AH4526" s="360">
        <v>0.6</v>
      </c>
      <c r="AI4526" s="190">
        <v>0</v>
      </c>
      <c r="AJ4526" s="360">
        <v>1.5</v>
      </c>
      <c r="AK4526" s="361">
        <v>0</v>
      </c>
      <c r="AL4526" s="361">
        <v>0</v>
      </c>
      <c r="AM4526" s="17">
        <f t="shared" si="163"/>
        <v>0</v>
      </c>
      <c r="AN4526" s="162" t="s">
        <v>3875</v>
      </c>
      <c r="AO4526" s="162" t="s">
        <v>3877</v>
      </c>
    </row>
    <row r="4527" spans="1:41" s="162" customFormat="1" x14ac:dyDescent="0.3">
      <c r="A4527" s="205" t="s">
        <v>8321</v>
      </c>
      <c r="B4527" s="162" t="s">
        <v>8322</v>
      </c>
      <c r="C4527" s="168" t="s">
        <v>13469</v>
      </c>
      <c r="D4527" s="162" t="s">
        <v>13544</v>
      </c>
      <c r="E4527" s="406" t="s">
        <v>13629</v>
      </c>
      <c r="F4527" s="162" t="s">
        <v>13630</v>
      </c>
      <c r="G4527" s="406">
        <v>163801</v>
      </c>
      <c r="H4527" s="162" t="s">
        <v>13631</v>
      </c>
      <c r="I4527" s="386" t="s">
        <v>16038</v>
      </c>
      <c r="J4527" s="162" t="s">
        <v>16039</v>
      </c>
      <c r="K4527" s="162" t="s">
        <v>16040</v>
      </c>
      <c r="L4527" s="162" t="s">
        <v>16041</v>
      </c>
      <c r="M4527" s="162" t="s">
        <v>16042</v>
      </c>
      <c r="O4527" s="224">
        <v>13</v>
      </c>
      <c r="P4527" s="224">
        <v>166</v>
      </c>
      <c r="Q4527" s="224">
        <v>160</v>
      </c>
      <c r="R4527" s="224" t="s">
        <v>16043</v>
      </c>
      <c r="S4527" s="224" t="s">
        <v>15673</v>
      </c>
      <c r="T4527" s="223" t="s">
        <v>180</v>
      </c>
      <c r="U4527" t="str">
        <f>VLOOKUP(T4527,[8]Votes!$A$1:$E$234,3,FALSE)</f>
        <v>145 Uganda Prisons</v>
      </c>
      <c r="V4527" s="162" t="s">
        <v>16044</v>
      </c>
      <c r="W4527" s="501">
        <v>1</v>
      </c>
      <c r="X4527" s="501">
        <v>1</v>
      </c>
      <c r="Y4527" s="501">
        <v>0</v>
      </c>
      <c r="Z4527" s="501">
        <v>1</v>
      </c>
      <c r="AA4527" s="501">
        <v>1</v>
      </c>
      <c r="AB4527" s="501">
        <v>1</v>
      </c>
      <c r="AC4527" s="150">
        <v>0</v>
      </c>
      <c r="AD4527" s="150">
        <v>1</v>
      </c>
      <c r="AE4527" s="49">
        <f t="shared" si="162"/>
        <v>0.75</v>
      </c>
      <c r="AF4527" s="190">
        <v>1</v>
      </c>
      <c r="AG4527" s="17">
        <v>0</v>
      </c>
      <c r="AH4527" s="360">
        <v>11.321999999999999</v>
      </c>
      <c r="AI4527" s="360">
        <v>18.873000000000001</v>
      </c>
      <c r="AJ4527" s="360">
        <v>11.731999999999999</v>
      </c>
      <c r="AK4527" s="361">
        <v>0</v>
      </c>
      <c r="AL4527" s="361">
        <v>0</v>
      </c>
      <c r="AM4527" s="17">
        <f t="shared" si="163"/>
        <v>0</v>
      </c>
      <c r="AN4527" s="162" t="s">
        <v>180</v>
      </c>
      <c r="AO4527" s="162" t="s">
        <v>182</v>
      </c>
    </row>
    <row r="4528" spans="1:41" s="162" customFormat="1" x14ac:dyDescent="0.3">
      <c r="A4528" s="205" t="s">
        <v>8321</v>
      </c>
      <c r="B4528" s="162" t="s">
        <v>8322</v>
      </c>
      <c r="C4528" s="168" t="s">
        <v>13469</v>
      </c>
      <c r="D4528" s="162" t="s">
        <v>13544</v>
      </c>
      <c r="E4528" s="406" t="s">
        <v>13629</v>
      </c>
      <c r="F4528" s="162" t="s">
        <v>13630</v>
      </c>
      <c r="G4528" s="406">
        <v>163801</v>
      </c>
      <c r="H4528" s="162" t="s">
        <v>13631</v>
      </c>
      <c r="I4528" s="386" t="s">
        <v>16038</v>
      </c>
      <c r="J4528" s="162" t="s">
        <v>16039</v>
      </c>
      <c r="K4528" s="162" t="s">
        <v>16040</v>
      </c>
      <c r="L4528" s="162" t="s">
        <v>16041</v>
      </c>
      <c r="M4528" s="162" t="s">
        <v>16045</v>
      </c>
      <c r="O4528" s="224">
        <v>3</v>
      </c>
      <c r="P4528" s="224">
        <v>10</v>
      </c>
      <c r="Q4528" s="224">
        <v>20</v>
      </c>
      <c r="R4528" s="224" t="s">
        <v>16043</v>
      </c>
      <c r="S4528" s="224" t="s">
        <v>15673</v>
      </c>
      <c r="T4528" s="223" t="s">
        <v>180</v>
      </c>
      <c r="U4528" t="str">
        <f>VLOOKUP(T4528,[8]Votes!$A$1:$E$234,3,FALSE)</f>
        <v>145 Uganda Prisons</v>
      </c>
      <c r="V4528" s="162" t="s">
        <v>16046</v>
      </c>
      <c r="W4528" s="501">
        <v>1</v>
      </c>
      <c r="X4528" s="501">
        <v>1</v>
      </c>
      <c r="Y4528" s="501">
        <v>0</v>
      </c>
      <c r="Z4528" s="501">
        <v>1</v>
      </c>
      <c r="AA4528" s="501">
        <v>1</v>
      </c>
      <c r="AB4528" s="501">
        <v>1</v>
      </c>
      <c r="AC4528" s="150">
        <v>0</v>
      </c>
      <c r="AD4528" s="150">
        <v>1</v>
      </c>
      <c r="AE4528" s="49">
        <f t="shared" si="162"/>
        <v>0.75</v>
      </c>
      <c r="AF4528" s="190">
        <v>1</v>
      </c>
      <c r="AG4528" s="17">
        <v>0</v>
      </c>
      <c r="AH4528" s="360">
        <v>8.2520000000000007</v>
      </c>
      <c r="AI4528" s="360">
        <v>11.143000000000001</v>
      </c>
      <c r="AJ4528" s="360">
        <v>6.7919999999999998</v>
      </c>
      <c r="AK4528" s="361">
        <v>0</v>
      </c>
      <c r="AL4528" s="361">
        <v>0</v>
      </c>
      <c r="AM4528" s="17">
        <f t="shared" si="163"/>
        <v>0</v>
      </c>
      <c r="AN4528" s="162" t="s">
        <v>180</v>
      </c>
      <c r="AO4528" s="162" t="s">
        <v>182</v>
      </c>
    </row>
    <row r="4529" spans="1:42" s="162" customFormat="1" x14ac:dyDescent="0.3">
      <c r="A4529" s="205" t="s">
        <v>8321</v>
      </c>
      <c r="B4529" s="162" t="s">
        <v>8322</v>
      </c>
      <c r="C4529" s="168" t="s">
        <v>13469</v>
      </c>
      <c r="D4529" s="162" t="s">
        <v>13544</v>
      </c>
      <c r="E4529" s="406" t="s">
        <v>13629</v>
      </c>
      <c r="F4529" s="162" t="s">
        <v>13630</v>
      </c>
      <c r="G4529" s="406">
        <v>163801</v>
      </c>
      <c r="H4529" s="162" t="s">
        <v>13631</v>
      </c>
      <c r="I4529" s="386" t="s">
        <v>16038</v>
      </c>
      <c r="J4529" s="162" t="s">
        <v>16039</v>
      </c>
      <c r="K4529" s="162" t="s">
        <v>16040</v>
      </c>
      <c r="L4529" s="162" t="s">
        <v>16041</v>
      </c>
      <c r="M4529" s="162" t="s">
        <v>16047</v>
      </c>
      <c r="O4529" s="224">
        <v>10</v>
      </c>
      <c r="P4529" s="224">
        <v>10</v>
      </c>
      <c r="Q4529" s="224">
        <v>10</v>
      </c>
      <c r="R4529" s="224" t="s">
        <v>15673</v>
      </c>
      <c r="S4529" s="224" t="s">
        <v>15673</v>
      </c>
      <c r="T4529" s="223" t="s">
        <v>180</v>
      </c>
      <c r="U4529" t="str">
        <f>VLOOKUP(T4529,[8]Votes!$A$1:$E$234,3,FALSE)</f>
        <v>145 Uganda Prisons</v>
      </c>
      <c r="V4529" s="162" t="s">
        <v>16048</v>
      </c>
      <c r="W4529" s="501">
        <v>1</v>
      </c>
      <c r="X4529" s="501">
        <v>1</v>
      </c>
      <c r="Y4529" s="501">
        <v>0</v>
      </c>
      <c r="Z4529" s="501">
        <v>1</v>
      </c>
      <c r="AA4529" s="501">
        <v>1</v>
      </c>
      <c r="AB4529" s="501">
        <v>1</v>
      </c>
      <c r="AC4529" s="150">
        <v>0</v>
      </c>
      <c r="AD4529" s="150">
        <v>1</v>
      </c>
      <c r="AE4529" s="49">
        <f t="shared" si="162"/>
        <v>0.75</v>
      </c>
      <c r="AF4529" s="190">
        <v>1</v>
      </c>
      <c r="AG4529" s="17">
        <v>0</v>
      </c>
      <c r="AH4529" s="360">
        <v>2</v>
      </c>
      <c r="AI4529" s="360">
        <v>2</v>
      </c>
      <c r="AJ4529" s="360">
        <v>2</v>
      </c>
      <c r="AK4529" s="361">
        <v>0.3</v>
      </c>
      <c r="AL4529" s="361">
        <v>0.3</v>
      </c>
      <c r="AM4529" s="17">
        <f t="shared" si="163"/>
        <v>0.6</v>
      </c>
      <c r="AN4529" s="162" t="s">
        <v>180</v>
      </c>
      <c r="AO4529" s="162" t="s">
        <v>182</v>
      </c>
    </row>
    <row r="4530" spans="1:42" s="162" customFormat="1" x14ac:dyDescent="0.3">
      <c r="A4530" s="205" t="s">
        <v>8321</v>
      </c>
      <c r="B4530" s="162" t="s">
        <v>8322</v>
      </c>
      <c r="C4530" s="168" t="s">
        <v>13469</v>
      </c>
      <c r="D4530" s="162" t="s">
        <v>13544</v>
      </c>
      <c r="E4530" s="406" t="s">
        <v>13629</v>
      </c>
      <c r="F4530" s="162" t="s">
        <v>13630</v>
      </c>
      <c r="G4530" s="406">
        <v>163801</v>
      </c>
      <c r="H4530" s="162" t="s">
        <v>13631</v>
      </c>
      <c r="I4530" s="386" t="s">
        <v>16038</v>
      </c>
      <c r="J4530" s="162" t="s">
        <v>16039</v>
      </c>
      <c r="K4530" s="162" t="s">
        <v>16040</v>
      </c>
      <c r="L4530" s="162" t="s">
        <v>16041</v>
      </c>
      <c r="M4530" s="162" t="s">
        <v>16049</v>
      </c>
      <c r="O4530" s="224">
        <v>0</v>
      </c>
      <c r="P4530" s="224">
        <v>0</v>
      </c>
      <c r="Q4530" s="224">
        <v>50</v>
      </c>
      <c r="R4530" s="224">
        <v>50</v>
      </c>
      <c r="S4530" s="224">
        <v>0</v>
      </c>
      <c r="T4530" s="223" t="s">
        <v>4115</v>
      </c>
      <c r="U4530" t="str">
        <f>VLOOKUP(T4530,[8]Votes!$A$1:$E$234,3,FALSE)</f>
        <v>309 National Identification and Registration Authority (NIRA)</v>
      </c>
      <c r="V4530" s="162" t="s">
        <v>16050</v>
      </c>
      <c r="W4530" s="501">
        <v>1</v>
      </c>
      <c r="X4530" s="501">
        <v>1</v>
      </c>
      <c r="Y4530" s="501">
        <v>0</v>
      </c>
      <c r="Z4530" s="501">
        <v>1</v>
      </c>
      <c r="AA4530" s="501">
        <v>1</v>
      </c>
      <c r="AB4530" s="501">
        <v>0</v>
      </c>
      <c r="AC4530" s="150">
        <v>1</v>
      </c>
      <c r="AD4530" s="150">
        <v>1</v>
      </c>
      <c r="AE4530" s="49">
        <f t="shared" si="162"/>
        <v>0.75</v>
      </c>
      <c r="AF4530" s="190">
        <v>1</v>
      </c>
      <c r="AG4530" s="17">
        <v>0</v>
      </c>
      <c r="AH4530" s="190">
        <v>0</v>
      </c>
      <c r="AI4530" s="190">
        <v>0</v>
      </c>
      <c r="AJ4530" s="360">
        <v>0.46500000000000002</v>
      </c>
      <c r="AK4530" s="361">
        <v>0</v>
      </c>
      <c r="AL4530" s="191">
        <v>0</v>
      </c>
      <c r="AM4530" s="17">
        <f t="shared" si="163"/>
        <v>0</v>
      </c>
      <c r="AN4530" s="162" t="s">
        <v>4115</v>
      </c>
      <c r="AO4530" s="162" t="s">
        <v>4116</v>
      </c>
    </row>
    <row r="4531" spans="1:42" s="162" customFormat="1" x14ac:dyDescent="0.3">
      <c r="A4531" s="205" t="s">
        <v>8321</v>
      </c>
      <c r="B4531" s="162" t="s">
        <v>8322</v>
      </c>
      <c r="C4531" s="168" t="s">
        <v>13469</v>
      </c>
      <c r="D4531" s="162" t="s">
        <v>13544</v>
      </c>
      <c r="E4531" s="406" t="s">
        <v>13629</v>
      </c>
      <c r="F4531" s="162" t="s">
        <v>13630</v>
      </c>
      <c r="G4531" s="406">
        <v>163801</v>
      </c>
      <c r="H4531" s="162" t="s">
        <v>13631</v>
      </c>
      <c r="I4531" s="386" t="s">
        <v>16038</v>
      </c>
      <c r="J4531" s="162" t="s">
        <v>16039</v>
      </c>
      <c r="K4531" s="162" t="s">
        <v>16040</v>
      </c>
      <c r="L4531" s="162" t="s">
        <v>16041</v>
      </c>
      <c r="M4531" s="162" t="s">
        <v>16051</v>
      </c>
      <c r="O4531" s="224">
        <v>41</v>
      </c>
      <c r="P4531" s="224">
        <v>31</v>
      </c>
      <c r="Q4531" s="224">
        <v>21</v>
      </c>
      <c r="R4531" s="224">
        <v>1</v>
      </c>
      <c r="S4531" s="224">
        <v>1</v>
      </c>
      <c r="T4531" s="223" t="s">
        <v>1581</v>
      </c>
      <c r="U4531" t="str">
        <f>VLOOKUP(T4531,[8]Votes!$A$1:$E$234,3,FALSE)</f>
        <v>119 Uganda Registration Services Bureau</v>
      </c>
      <c r="V4531" s="162" t="s">
        <v>16052</v>
      </c>
      <c r="W4531" s="501">
        <v>1</v>
      </c>
      <c r="X4531" s="501">
        <v>1</v>
      </c>
      <c r="Y4531" s="501">
        <v>0</v>
      </c>
      <c r="Z4531" s="501">
        <v>1</v>
      </c>
      <c r="AA4531" s="501">
        <v>1</v>
      </c>
      <c r="AB4531" s="501">
        <v>0</v>
      </c>
      <c r="AC4531" s="150">
        <v>1</v>
      </c>
      <c r="AD4531" s="150">
        <v>1</v>
      </c>
      <c r="AE4531" s="49">
        <f t="shared" si="162"/>
        <v>0.75</v>
      </c>
      <c r="AF4531" s="190">
        <v>1</v>
      </c>
      <c r="AG4531" s="17">
        <v>0</v>
      </c>
      <c r="AH4531" s="360">
        <v>0.2</v>
      </c>
      <c r="AI4531" s="360">
        <v>0.2</v>
      </c>
      <c r="AJ4531" s="360">
        <v>0.2</v>
      </c>
      <c r="AK4531" s="191">
        <v>0</v>
      </c>
      <c r="AL4531" s="191">
        <v>0</v>
      </c>
      <c r="AM4531" s="17">
        <f t="shared" si="163"/>
        <v>0</v>
      </c>
      <c r="AN4531" s="162" t="s">
        <v>1581</v>
      </c>
      <c r="AO4531" s="162" t="s">
        <v>1583</v>
      </c>
    </row>
    <row r="4532" spans="1:42" s="162" customFormat="1" x14ac:dyDescent="0.3">
      <c r="A4532" s="205" t="s">
        <v>8321</v>
      </c>
      <c r="B4532" s="162" t="s">
        <v>8322</v>
      </c>
      <c r="C4532" s="168" t="s">
        <v>13469</v>
      </c>
      <c r="D4532" s="162" t="s">
        <v>13544</v>
      </c>
      <c r="E4532" s="406" t="s">
        <v>13629</v>
      </c>
      <c r="F4532" s="162" t="s">
        <v>13630</v>
      </c>
      <c r="G4532" s="406">
        <v>163801</v>
      </c>
      <c r="H4532" s="162" t="s">
        <v>13631</v>
      </c>
      <c r="I4532" s="386" t="s">
        <v>16053</v>
      </c>
      <c r="J4532" s="162" t="s">
        <v>16054</v>
      </c>
      <c r="K4532" s="162" t="s">
        <v>16055</v>
      </c>
      <c r="L4532" s="162" t="s">
        <v>16056</v>
      </c>
      <c r="M4532" s="162" t="s">
        <v>16057</v>
      </c>
      <c r="N4532" s="162">
        <v>30</v>
      </c>
      <c r="O4532" s="224">
        <v>30</v>
      </c>
      <c r="P4532" s="224">
        <v>30</v>
      </c>
      <c r="Q4532" s="224">
        <v>14</v>
      </c>
      <c r="R4532" s="224">
        <v>14</v>
      </c>
      <c r="S4532" s="224">
        <v>14</v>
      </c>
      <c r="T4532" s="223" t="s">
        <v>3879</v>
      </c>
      <c r="U4532" t="str">
        <f>VLOOKUP(T4532,[8]Votes!$A$1:$E$234,3,FALSE)</f>
        <v>009 Ministry of Internal Affairs</v>
      </c>
      <c r="V4532" s="223" t="s">
        <v>16058</v>
      </c>
      <c r="W4532" s="501">
        <v>1</v>
      </c>
      <c r="X4532" s="501">
        <v>1</v>
      </c>
      <c r="Y4532" s="501">
        <v>0</v>
      </c>
      <c r="Z4532" s="501">
        <v>1</v>
      </c>
      <c r="AA4532" s="501">
        <v>1</v>
      </c>
      <c r="AB4532" s="501">
        <v>0</v>
      </c>
      <c r="AC4532" s="150">
        <v>1</v>
      </c>
      <c r="AD4532" s="150">
        <v>1</v>
      </c>
      <c r="AE4532" s="49">
        <f t="shared" si="162"/>
        <v>0.75</v>
      </c>
      <c r="AF4532" s="190">
        <v>1</v>
      </c>
      <c r="AG4532" s="17">
        <v>0</v>
      </c>
      <c r="AH4532" s="190">
        <v>0</v>
      </c>
      <c r="AI4532" s="190">
        <v>0</v>
      </c>
      <c r="AJ4532" s="360">
        <v>5</v>
      </c>
      <c r="AK4532" s="361">
        <v>0</v>
      </c>
      <c r="AL4532" s="361">
        <v>0</v>
      </c>
      <c r="AM4532" s="17">
        <f t="shared" si="163"/>
        <v>0</v>
      </c>
      <c r="AN4532" s="162" t="s">
        <v>3879</v>
      </c>
      <c r="AO4532" s="162" t="s">
        <v>3881</v>
      </c>
    </row>
    <row r="4533" spans="1:42" s="162" customFormat="1" x14ac:dyDescent="0.3">
      <c r="A4533" s="205" t="s">
        <v>8321</v>
      </c>
      <c r="B4533" s="162" t="s">
        <v>8322</v>
      </c>
      <c r="C4533" s="168" t="s">
        <v>13469</v>
      </c>
      <c r="D4533" s="162" t="s">
        <v>13544</v>
      </c>
      <c r="E4533" s="406" t="s">
        <v>13629</v>
      </c>
      <c r="F4533" s="162" t="s">
        <v>13630</v>
      </c>
      <c r="G4533" s="406">
        <v>163801</v>
      </c>
      <c r="H4533" s="162" t="s">
        <v>13631</v>
      </c>
      <c r="I4533" s="386" t="s">
        <v>16053</v>
      </c>
      <c r="J4533" s="162" t="s">
        <v>16054</v>
      </c>
      <c r="K4533" s="162" t="s">
        <v>16055</v>
      </c>
      <c r="L4533" s="162" t="s">
        <v>16056</v>
      </c>
      <c r="M4533" s="162" t="s">
        <v>16059</v>
      </c>
      <c r="N4533" s="162">
        <v>30</v>
      </c>
      <c r="O4533" s="224">
        <v>30</v>
      </c>
      <c r="P4533" s="224">
        <v>30</v>
      </c>
      <c r="Q4533" s="224">
        <v>14</v>
      </c>
      <c r="R4533" s="224">
        <v>14</v>
      </c>
      <c r="S4533" s="224">
        <v>14</v>
      </c>
      <c r="T4533" s="223" t="s">
        <v>3879</v>
      </c>
      <c r="U4533" t="str">
        <f>VLOOKUP(T4533,[8]Votes!$A$1:$E$234,3,FALSE)</f>
        <v>009 Ministry of Internal Affairs</v>
      </c>
      <c r="V4533" s="223" t="s">
        <v>16058</v>
      </c>
      <c r="W4533" s="501">
        <v>1</v>
      </c>
      <c r="X4533" s="501">
        <v>1</v>
      </c>
      <c r="Y4533" s="501">
        <v>0</v>
      </c>
      <c r="Z4533" s="501">
        <v>1</v>
      </c>
      <c r="AA4533" s="501">
        <v>1</v>
      </c>
      <c r="AB4533" s="501">
        <v>0</v>
      </c>
      <c r="AC4533" s="150">
        <v>1</v>
      </c>
      <c r="AD4533" s="150">
        <v>1</v>
      </c>
      <c r="AE4533" s="49">
        <f t="shared" si="162"/>
        <v>0.75</v>
      </c>
      <c r="AF4533" s="190">
        <v>1</v>
      </c>
      <c r="AG4533" s="17">
        <v>0</v>
      </c>
      <c r="AH4533" s="190">
        <v>0</v>
      </c>
      <c r="AI4533" s="190">
        <v>0</v>
      </c>
      <c r="AJ4533" s="360">
        <v>3</v>
      </c>
      <c r="AK4533" s="361">
        <v>0</v>
      </c>
      <c r="AL4533" s="361">
        <v>0</v>
      </c>
      <c r="AM4533" s="17">
        <f t="shared" si="163"/>
        <v>0</v>
      </c>
      <c r="AN4533" s="162" t="s">
        <v>3879</v>
      </c>
      <c r="AO4533" s="162" t="s">
        <v>3881</v>
      </c>
    </row>
    <row r="4534" spans="1:42" s="162" customFormat="1" x14ac:dyDescent="0.3">
      <c r="A4534" s="205" t="s">
        <v>8321</v>
      </c>
      <c r="B4534" s="162" t="s">
        <v>8322</v>
      </c>
      <c r="C4534" s="168" t="s">
        <v>13469</v>
      </c>
      <c r="D4534" s="162" t="s">
        <v>13544</v>
      </c>
      <c r="E4534" s="406" t="s">
        <v>13629</v>
      </c>
      <c r="F4534" s="162" t="s">
        <v>13630</v>
      </c>
      <c r="G4534" s="406">
        <v>163801</v>
      </c>
      <c r="H4534" s="162" t="s">
        <v>13631</v>
      </c>
      <c r="I4534" s="386" t="s">
        <v>16053</v>
      </c>
      <c r="J4534" s="162" t="s">
        <v>16054</v>
      </c>
      <c r="K4534" s="162" t="s">
        <v>16060</v>
      </c>
      <c r="L4534" s="162" t="s">
        <v>16061</v>
      </c>
      <c r="M4534" s="162" t="s">
        <v>16062</v>
      </c>
      <c r="O4534" s="224">
        <v>70</v>
      </c>
      <c r="P4534" s="224">
        <v>85</v>
      </c>
      <c r="Q4534" s="224">
        <v>88</v>
      </c>
      <c r="R4534" s="224">
        <v>91</v>
      </c>
      <c r="S4534" s="224">
        <v>92</v>
      </c>
      <c r="T4534" s="223" t="s">
        <v>3875</v>
      </c>
      <c r="U4534" t="str">
        <f>VLOOKUP(T4534,[8]Votes!$A$1:$E$234,3,FALSE)</f>
        <v>007 Ministry of Justice and Constitutional Affairs</v>
      </c>
      <c r="V4534" s="162" t="s">
        <v>16063</v>
      </c>
      <c r="W4534" s="501">
        <v>1</v>
      </c>
      <c r="X4534" s="501">
        <v>1</v>
      </c>
      <c r="Y4534" s="501">
        <v>1</v>
      </c>
      <c r="Z4534" s="501">
        <v>1</v>
      </c>
      <c r="AA4534" s="501">
        <v>1</v>
      </c>
      <c r="AB4534" s="501">
        <v>1</v>
      </c>
      <c r="AC4534" s="150">
        <v>1</v>
      </c>
      <c r="AD4534" s="150">
        <v>1</v>
      </c>
      <c r="AE4534" s="49">
        <f t="shared" si="162"/>
        <v>1</v>
      </c>
      <c r="AF4534" s="190">
        <v>1</v>
      </c>
      <c r="AG4534" s="17">
        <v>0</v>
      </c>
      <c r="AH4534" s="360">
        <v>1.25</v>
      </c>
      <c r="AI4534" s="360">
        <v>15</v>
      </c>
      <c r="AJ4534" s="360">
        <v>14</v>
      </c>
      <c r="AK4534" s="361">
        <v>3.2</v>
      </c>
      <c r="AL4534" s="361">
        <v>3.2</v>
      </c>
      <c r="AM4534" s="17">
        <f t="shared" si="163"/>
        <v>6.4</v>
      </c>
      <c r="AN4534" s="223" t="s">
        <v>3875</v>
      </c>
      <c r="AO4534" s="162" t="s">
        <v>3877</v>
      </c>
    </row>
    <row r="4535" spans="1:42" s="162" customFormat="1" x14ac:dyDescent="0.3">
      <c r="A4535" s="205" t="s">
        <v>8321</v>
      </c>
      <c r="B4535" s="162" t="s">
        <v>8322</v>
      </c>
      <c r="C4535" s="168" t="s">
        <v>13469</v>
      </c>
      <c r="D4535" s="162" t="s">
        <v>13544</v>
      </c>
      <c r="E4535" s="406" t="s">
        <v>13629</v>
      </c>
      <c r="F4535" s="162" t="s">
        <v>13630</v>
      </c>
      <c r="G4535" s="406">
        <v>163801</v>
      </c>
      <c r="H4535" s="162" t="s">
        <v>13631</v>
      </c>
      <c r="I4535" s="386" t="s">
        <v>16053</v>
      </c>
      <c r="J4535" s="162" t="s">
        <v>16054</v>
      </c>
      <c r="K4535" s="162" t="s">
        <v>16064</v>
      </c>
      <c r="L4535" s="162" t="s">
        <v>16065</v>
      </c>
      <c r="M4535" s="162" t="s">
        <v>16066</v>
      </c>
      <c r="O4535" s="492">
        <v>7.0000000000000007E-2</v>
      </c>
      <c r="P4535" s="492">
        <v>0.2</v>
      </c>
      <c r="Q4535" s="492">
        <v>0.3</v>
      </c>
      <c r="R4535" s="492">
        <v>0.3</v>
      </c>
      <c r="S4535" s="492">
        <v>0.13</v>
      </c>
      <c r="T4535" s="223" t="s">
        <v>4932</v>
      </c>
      <c r="U4535" t="str">
        <f>VLOOKUP(T4535,[8]Votes!$A$1:$E$234,3,FALSE)</f>
        <v>007 Ministry of Justice and Constitutional Affairs</v>
      </c>
      <c r="V4535" s="162" t="s">
        <v>16067</v>
      </c>
      <c r="W4535" s="501">
        <v>1</v>
      </c>
      <c r="X4535" s="501">
        <v>1</v>
      </c>
      <c r="Y4535" s="501">
        <v>1</v>
      </c>
      <c r="Z4535" s="501">
        <v>1</v>
      </c>
      <c r="AA4535" s="501">
        <v>0</v>
      </c>
      <c r="AB4535" s="501">
        <v>0</v>
      </c>
      <c r="AC4535" s="150">
        <v>1</v>
      </c>
      <c r="AD4535" s="150">
        <v>1</v>
      </c>
      <c r="AE4535" s="49">
        <f t="shared" si="162"/>
        <v>0.75</v>
      </c>
      <c r="AF4535" s="190">
        <v>1</v>
      </c>
      <c r="AG4535" s="17">
        <v>0</v>
      </c>
      <c r="AH4535" s="360">
        <v>41</v>
      </c>
      <c r="AI4535" s="360">
        <v>100</v>
      </c>
      <c r="AJ4535" s="360">
        <v>150</v>
      </c>
      <c r="AK4535" s="361">
        <v>20.350000000000001</v>
      </c>
      <c r="AL4535" s="361">
        <v>20.350000000000001</v>
      </c>
      <c r="AM4535" s="17">
        <f t="shared" si="163"/>
        <v>40.700000000000003</v>
      </c>
      <c r="AN4535" s="223" t="s">
        <v>4932</v>
      </c>
      <c r="AO4535" s="162" t="s">
        <v>3877</v>
      </c>
    </row>
    <row r="4536" spans="1:42" s="162" customFormat="1" x14ac:dyDescent="0.3">
      <c r="A4536" s="205" t="s">
        <v>8321</v>
      </c>
      <c r="B4536" s="162" t="s">
        <v>8322</v>
      </c>
      <c r="C4536" s="168" t="s">
        <v>13469</v>
      </c>
      <c r="D4536" s="162" t="s">
        <v>13544</v>
      </c>
      <c r="E4536" s="406" t="s">
        <v>13629</v>
      </c>
      <c r="F4536" s="162" t="s">
        <v>13630</v>
      </c>
      <c r="G4536" s="406">
        <v>163801</v>
      </c>
      <c r="H4536" s="162" t="s">
        <v>13631</v>
      </c>
      <c r="I4536" s="386" t="s">
        <v>16053</v>
      </c>
      <c r="J4536" s="162" t="s">
        <v>16054</v>
      </c>
      <c r="K4536" s="162" t="s">
        <v>16064</v>
      </c>
      <c r="L4536" s="162" t="s">
        <v>16065</v>
      </c>
      <c r="M4536" s="162" t="s">
        <v>16068</v>
      </c>
      <c r="O4536" s="224">
        <v>4</v>
      </c>
      <c r="P4536" s="224">
        <v>30</v>
      </c>
      <c r="Q4536" s="224">
        <v>60</v>
      </c>
      <c r="R4536" s="224">
        <v>80</v>
      </c>
      <c r="S4536" s="224">
        <v>100</v>
      </c>
      <c r="T4536" s="223" t="s">
        <v>4932</v>
      </c>
      <c r="U4536" t="str">
        <f>VLOOKUP(T4536,[8]Votes!$A$1:$E$234,3,FALSE)</f>
        <v>007 Ministry of Justice and Constitutional Affairs</v>
      </c>
      <c r="V4536" s="162" t="s">
        <v>16069</v>
      </c>
      <c r="W4536" s="501">
        <v>1</v>
      </c>
      <c r="X4536" s="501">
        <v>1</v>
      </c>
      <c r="Y4536" s="501">
        <v>1</v>
      </c>
      <c r="Z4536" s="501">
        <v>1</v>
      </c>
      <c r="AA4536" s="501">
        <v>0</v>
      </c>
      <c r="AB4536" s="501">
        <v>0</v>
      </c>
      <c r="AC4536" s="150">
        <v>1</v>
      </c>
      <c r="AD4536" s="150">
        <v>1</v>
      </c>
      <c r="AE4536" s="49">
        <f t="shared" si="162"/>
        <v>0.75</v>
      </c>
      <c r="AF4536" s="190">
        <v>1</v>
      </c>
      <c r="AG4536" s="17">
        <v>0</v>
      </c>
      <c r="AH4536" s="360">
        <v>4.5</v>
      </c>
      <c r="AI4536" s="360">
        <v>100</v>
      </c>
      <c r="AJ4536" s="360">
        <v>100</v>
      </c>
      <c r="AK4536" s="361">
        <v>30</v>
      </c>
      <c r="AL4536" s="361">
        <v>30</v>
      </c>
      <c r="AM4536" s="17">
        <f t="shared" si="163"/>
        <v>60</v>
      </c>
      <c r="AN4536" s="223" t="s">
        <v>4932</v>
      </c>
      <c r="AO4536" s="162" t="s">
        <v>3877</v>
      </c>
    </row>
    <row r="4537" spans="1:42" s="162" customFormat="1" x14ac:dyDescent="0.3">
      <c r="A4537" s="205" t="s">
        <v>8321</v>
      </c>
      <c r="B4537" s="162" t="s">
        <v>8322</v>
      </c>
      <c r="C4537" s="168" t="s">
        <v>13469</v>
      </c>
      <c r="D4537" s="162" t="s">
        <v>13544</v>
      </c>
      <c r="E4537" s="406" t="s">
        <v>13629</v>
      </c>
      <c r="F4537" s="162" t="s">
        <v>13630</v>
      </c>
      <c r="G4537" s="406">
        <v>163801</v>
      </c>
      <c r="H4537" s="162" t="s">
        <v>13631</v>
      </c>
      <c r="I4537" s="386" t="s">
        <v>16053</v>
      </c>
      <c r="J4537" s="162" t="s">
        <v>16054</v>
      </c>
      <c r="K4537" s="162" t="s">
        <v>16064</v>
      </c>
      <c r="L4537" s="162" t="s">
        <v>16065</v>
      </c>
      <c r="M4537" s="162" t="s">
        <v>16070</v>
      </c>
      <c r="O4537" s="224"/>
      <c r="P4537" s="224"/>
      <c r="Q4537" s="224">
        <v>1</v>
      </c>
      <c r="R4537" s="224">
        <v>1</v>
      </c>
      <c r="S4537" s="224">
        <v>1</v>
      </c>
      <c r="T4537" s="223" t="s">
        <v>3875</v>
      </c>
      <c r="U4537" t="str">
        <f>VLOOKUP(T4537,[8]Votes!$A$1:$E$234,3,FALSE)</f>
        <v>007 Ministry of Justice and Constitutional Affairs</v>
      </c>
      <c r="V4537" s="162" t="s">
        <v>16071</v>
      </c>
      <c r="W4537" s="501">
        <v>1</v>
      </c>
      <c r="X4537" s="501">
        <v>1</v>
      </c>
      <c r="Y4537" s="501">
        <v>0</v>
      </c>
      <c r="Z4537" s="501">
        <v>1</v>
      </c>
      <c r="AA4537" s="501">
        <v>1</v>
      </c>
      <c r="AB4537" s="501">
        <v>0</v>
      </c>
      <c r="AC4537" s="150">
        <v>1</v>
      </c>
      <c r="AD4537" s="150">
        <v>1</v>
      </c>
      <c r="AE4537" s="49">
        <f t="shared" si="162"/>
        <v>0.75</v>
      </c>
      <c r="AF4537" s="190">
        <v>1</v>
      </c>
      <c r="AG4537" s="17">
        <v>0</v>
      </c>
      <c r="AH4537" s="190">
        <v>0</v>
      </c>
      <c r="AI4537" s="190">
        <v>0</v>
      </c>
      <c r="AJ4537" s="360">
        <v>0.1</v>
      </c>
      <c r="AK4537" s="361">
        <v>0.05</v>
      </c>
      <c r="AL4537" s="361">
        <v>0.05</v>
      </c>
      <c r="AM4537" s="17">
        <f t="shared" si="163"/>
        <v>0.1</v>
      </c>
      <c r="AN4537" s="223" t="s">
        <v>3875</v>
      </c>
      <c r="AO4537" s="162" t="s">
        <v>3877</v>
      </c>
      <c r="AP4537" s="162" t="s">
        <v>2168</v>
      </c>
    </row>
    <row r="4538" spans="1:42" s="162" customFormat="1" x14ac:dyDescent="0.3">
      <c r="A4538" s="205" t="s">
        <v>8321</v>
      </c>
      <c r="B4538" s="162" t="s">
        <v>8322</v>
      </c>
      <c r="C4538" s="168" t="s">
        <v>13469</v>
      </c>
      <c r="D4538" s="162" t="s">
        <v>13544</v>
      </c>
      <c r="E4538" s="406" t="s">
        <v>13629</v>
      </c>
      <c r="F4538" s="162" t="s">
        <v>13630</v>
      </c>
      <c r="G4538" s="406">
        <v>163801</v>
      </c>
      <c r="H4538" s="162" t="s">
        <v>13631</v>
      </c>
      <c r="I4538" s="386" t="s">
        <v>16072</v>
      </c>
      <c r="J4538" s="162" t="s">
        <v>16073</v>
      </c>
      <c r="K4538" s="162" t="s">
        <v>16074</v>
      </c>
      <c r="L4538" s="162" t="s">
        <v>16075</v>
      </c>
      <c r="M4538" s="162" t="s">
        <v>16076</v>
      </c>
      <c r="O4538" s="224">
        <v>2</v>
      </c>
      <c r="P4538" s="506">
        <v>4</v>
      </c>
      <c r="Q4538" s="506">
        <v>7</v>
      </c>
      <c r="R4538" s="506">
        <v>10</v>
      </c>
      <c r="S4538" s="506">
        <v>12</v>
      </c>
      <c r="T4538" s="223" t="s">
        <v>13766</v>
      </c>
      <c r="U4538" t="str">
        <f>VLOOKUP(T4538,[8]Votes!$A$1:$E$234,3,FALSE)</f>
        <v>120 National Citizenship and Immigration Control</v>
      </c>
      <c r="V4538" s="162" t="s">
        <v>16077</v>
      </c>
      <c r="W4538" s="501">
        <v>1</v>
      </c>
      <c r="X4538" s="501">
        <v>1</v>
      </c>
      <c r="Y4538" s="501">
        <v>0</v>
      </c>
      <c r="Z4538" s="501">
        <v>1</v>
      </c>
      <c r="AA4538" s="501">
        <v>1</v>
      </c>
      <c r="AB4538" s="501">
        <v>0</v>
      </c>
      <c r="AC4538" s="150">
        <v>1</v>
      </c>
      <c r="AD4538" s="150">
        <v>1</v>
      </c>
      <c r="AE4538" s="49">
        <f t="shared" ref="AE4538:AE4601" si="164">SUM(W4538:AD4538)/8</f>
        <v>0.75</v>
      </c>
      <c r="AF4538" s="190">
        <v>1</v>
      </c>
      <c r="AG4538" s="17">
        <v>0</v>
      </c>
      <c r="AH4538" s="360">
        <v>0.9</v>
      </c>
      <c r="AI4538" s="360">
        <v>1.8</v>
      </c>
      <c r="AJ4538" s="360">
        <v>2.1</v>
      </c>
      <c r="AK4538" s="361">
        <v>2</v>
      </c>
      <c r="AL4538" s="361">
        <v>2</v>
      </c>
      <c r="AM4538" s="17">
        <f t="shared" ref="AM4538:AM4601" si="165">SUM(AK4538:AL4538)</f>
        <v>4</v>
      </c>
      <c r="AN4538" s="162" t="s">
        <v>13766</v>
      </c>
      <c r="AO4538" s="162" t="s">
        <v>13768</v>
      </c>
    </row>
    <row r="4539" spans="1:42" s="162" customFormat="1" x14ac:dyDescent="0.3">
      <c r="A4539" s="205" t="s">
        <v>8321</v>
      </c>
      <c r="B4539" s="162" t="s">
        <v>8322</v>
      </c>
      <c r="C4539" s="168" t="s">
        <v>13469</v>
      </c>
      <c r="D4539" s="162" t="s">
        <v>13544</v>
      </c>
      <c r="E4539" s="406" t="s">
        <v>13629</v>
      </c>
      <c r="F4539" s="162" t="s">
        <v>13630</v>
      </c>
      <c r="G4539" s="406">
        <v>163801</v>
      </c>
      <c r="H4539" s="162" t="s">
        <v>13631</v>
      </c>
      <c r="I4539" s="386" t="s">
        <v>16072</v>
      </c>
      <c r="J4539" s="162" t="s">
        <v>16073</v>
      </c>
      <c r="K4539" s="162" t="s">
        <v>16074</v>
      </c>
      <c r="L4539" s="162" t="s">
        <v>16075</v>
      </c>
      <c r="M4539" s="162" t="s">
        <v>16078</v>
      </c>
      <c r="O4539" s="506">
        <v>1707000</v>
      </c>
      <c r="P4539" s="506">
        <v>1000000</v>
      </c>
      <c r="Q4539" s="506">
        <v>1000000</v>
      </c>
      <c r="R4539" s="506">
        <v>1000000</v>
      </c>
      <c r="S4539" s="506">
        <v>500000</v>
      </c>
      <c r="T4539" s="223" t="s">
        <v>13766</v>
      </c>
      <c r="U4539" t="str">
        <f>VLOOKUP(T4539,[8]Votes!$A$1:$E$234,3,FALSE)</f>
        <v>120 National Citizenship and Immigration Control</v>
      </c>
      <c r="V4539" s="162" t="s">
        <v>16079</v>
      </c>
      <c r="W4539" s="501">
        <v>1</v>
      </c>
      <c r="X4539" s="501">
        <v>1</v>
      </c>
      <c r="Y4539" s="501">
        <v>0</v>
      </c>
      <c r="Z4539" s="501">
        <v>1</v>
      </c>
      <c r="AA4539" s="501">
        <v>1</v>
      </c>
      <c r="AB4539" s="501">
        <v>0</v>
      </c>
      <c r="AC4539" s="150">
        <v>1</v>
      </c>
      <c r="AD4539" s="150">
        <v>1</v>
      </c>
      <c r="AE4539" s="49">
        <f t="shared" si="164"/>
        <v>0.75</v>
      </c>
      <c r="AF4539" s="190">
        <v>1</v>
      </c>
      <c r="AG4539" s="17">
        <v>0</v>
      </c>
      <c r="AH4539" s="360">
        <v>4.3</v>
      </c>
      <c r="AI4539" s="360">
        <v>2.5</v>
      </c>
      <c r="AJ4539" s="360">
        <v>2.5</v>
      </c>
      <c r="AK4539" s="361">
        <v>2.5</v>
      </c>
      <c r="AL4539" s="361">
        <v>1.25</v>
      </c>
      <c r="AM4539" s="17">
        <f t="shared" si="165"/>
        <v>3.75</v>
      </c>
      <c r="AN4539" s="162" t="s">
        <v>13766</v>
      </c>
      <c r="AO4539" s="162" t="s">
        <v>13768</v>
      </c>
    </row>
    <row r="4540" spans="1:42" s="162" customFormat="1" x14ac:dyDescent="0.3">
      <c r="A4540" s="205" t="s">
        <v>8321</v>
      </c>
      <c r="B4540" s="162" t="s">
        <v>8322</v>
      </c>
      <c r="C4540" s="168" t="s">
        <v>13469</v>
      </c>
      <c r="D4540" s="162" t="s">
        <v>13544</v>
      </c>
      <c r="E4540" s="406" t="s">
        <v>13629</v>
      </c>
      <c r="F4540" s="162" t="s">
        <v>13630</v>
      </c>
      <c r="G4540" s="406">
        <v>163801</v>
      </c>
      <c r="H4540" s="162" t="s">
        <v>13631</v>
      </c>
      <c r="I4540" s="386" t="s">
        <v>16072</v>
      </c>
      <c r="J4540" s="162" t="s">
        <v>16073</v>
      </c>
      <c r="K4540" s="162" t="s">
        <v>16074</v>
      </c>
      <c r="L4540" s="162" t="s">
        <v>16075</v>
      </c>
      <c r="M4540" s="162" t="s">
        <v>16080</v>
      </c>
      <c r="O4540" s="224">
        <v>60</v>
      </c>
      <c r="P4540" s="224">
        <v>45</v>
      </c>
      <c r="Q4540" s="224">
        <v>14</v>
      </c>
      <c r="R4540" s="224">
        <v>14</v>
      </c>
      <c r="S4540" s="224">
        <v>14</v>
      </c>
      <c r="T4540" s="223" t="s">
        <v>4115</v>
      </c>
      <c r="U4540" t="str">
        <f>VLOOKUP(T4540,[8]Votes!$A$1:$E$234,3,FALSE)</f>
        <v>309 National Identification and Registration Authority (NIRA)</v>
      </c>
      <c r="V4540" s="162" t="s">
        <v>16081</v>
      </c>
      <c r="W4540" s="501">
        <v>1</v>
      </c>
      <c r="X4540" s="501">
        <v>1</v>
      </c>
      <c r="Y4540" s="501">
        <v>0</v>
      </c>
      <c r="Z4540" s="501">
        <v>1</v>
      </c>
      <c r="AA4540" s="501">
        <v>1</v>
      </c>
      <c r="AB4540" s="501">
        <v>0</v>
      </c>
      <c r="AC4540" s="150">
        <v>1</v>
      </c>
      <c r="AD4540" s="150">
        <v>1</v>
      </c>
      <c r="AE4540" s="49">
        <f t="shared" si="164"/>
        <v>0.75</v>
      </c>
      <c r="AF4540" s="190">
        <v>1</v>
      </c>
      <c r="AG4540" s="17">
        <v>0</v>
      </c>
      <c r="AH4540" s="190">
        <v>0</v>
      </c>
      <c r="AI4540" s="190">
        <v>0</v>
      </c>
      <c r="AJ4540" s="360">
        <v>3</v>
      </c>
      <c r="AK4540" s="361">
        <v>0</v>
      </c>
      <c r="AL4540" s="361">
        <v>0</v>
      </c>
      <c r="AM4540" s="17">
        <f t="shared" si="165"/>
        <v>0</v>
      </c>
      <c r="AN4540" s="162" t="s">
        <v>4115</v>
      </c>
      <c r="AO4540" s="162" t="s">
        <v>4116</v>
      </c>
    </row>
    <row r="4541" spans="1:42" s="162" customFormat="1" x14ac:dyDescent="0.3">
      <c r="A4541" s="205" t="s">
        <v>8321</v>
      </c>
      <c r="B4541" s="162" t="s">
        <v>8322</v>
      </c>
      <c r="C4541" s="168" t="s">
        <v>13469</v>
      </c>
      <c r="D4541" s="162" t="s">
        <v>13544</v>
      </c>
      <c r="E4541" s="406" t="s">
        <v>13629</v>
      </c>
      <c r="F4541" s="162" t="s">
        <v>13630</v>
      </c>
      <c r="G4541" s="406">
        <v>163801</v>
      </c>
      <c r="H4541" s="162" t="s">
        <v>13631</v>
      </c>
      <c r="I4541" s="386" t="s">
        <v>16072</v>
      </c>
      <c r="J4541" s="162" t="s">
        <v>16073</v>
      </c>
      <c r="K4541" s="162" t="s">
        <v>16074</v>
      </c>
      <c r="L4541" s="162" t="s">
        <v>16075</v>
      </c>
      <c r="M4541" s="162" t="s">
        <v>16082</v>
      </c>
      <c r="O4541" s="224" t="s">
        <v>271</v>
      </c>
      <c r="P4541" s="224">
        <v>1</v>
      </c>
      <c r="Q4541" s="224">
        <v>3</v>
      </c>
      <c r="R4541" s="224">
        <v>3</v>
      </c>
      <c r="S4541" s="224" t="s">
        <v>271</v>
      </c>
      <c r="T4541" s="223" t="s">
        <v>4115</v>
      </c>
      <c r="U4541" t="str">
        <f>VLOOKUP(T4541,[8]Votes!$A$1:$E$234,3,FALSE)</f>
        <v>309 National Identification and Registration Authority (NIRA)</v>
      </c>
      <c r="V4541" s="162" t="s">
        <v>16083</v>
      </c>
      <c r="W4541" s="501">
        <v>1</v>
      </c>
      <c r="X4541" s="501">
        <v>1</v>
      </c>
      <c r="Y4541" s="501">
        <v>0</v>
      </c>
      <c r="Z4541" s="501">
        <v>1</v>
      </c>
      <c r="AA4541" s="501">
        <v>1</v>
      </c>
      <c r="AB4541" s="501">
        <v>0</v>
      </c>
      <c r="AC4541" s="150">
        <v>1</v>
      </c>
      <c r="AD4541" s="150">
        <v>1</v>
      </c>
      <c r="AE4541" s="49">
        <f t="shared" si="164"/>
        <v>0.75</v>
      </c>
      <c r="AF4541" s="190">
        <v>1</v>
      </c>
      <c r="AG4541" s="17">
        <v>0</v>
      </c>
      <c r="AH4541" s="190">
        <v>0</v>
      </c>
      <c r="AI4541" s="190">
        <v>0</v>
      </c>
      <c r="AJ4541" s="190">
        <v>0</v>
      </c>
      <c r="AK4541" s="191">
        <v>0</v>
      </c>
      <c r="AL4541" s="361">
        <v>0</v>
      </c>
      <c r="AM4541" s="17">
        <f t="shared" si="165"/>
        <v>0</v>
      </c>
      <c r="AN4541" s="162" t="s">
        <v>4115</v>
      </c>
      <c r="AO4541" s="162" t="s">
        <v>4116</v>
      </c>
    </row>
    <row r="4542" spans="1:42" s="162" customFormat="1" x14ac:dyDescent="0.3">
      <c r="A4542" s="205" t="s">
        <v>8321</v>
      </c>
      <c r="B4542" s="162" t="s">
        <v>8322</v>
      </c>
      <c r="C4542" s="168" t="s">
        <v>13469</v>
      </c>
      <c r="D4542" s="162" t="s">
        <v>13544</v>
      </c>
      <c r="E4542" s="406" t="s">
        <v>13629</v>
      </c>
      <c r="F4542" s="162" t="s">
        <v>13630</v>
      </c>
      <c r="G4542" s="406">
        <v>163801</v>
      </c>
      <c r="H4542" s="162" t="s">
        <v>13631</v>
      </c>
      <c r="I4542" s="386" t="s">
        <v>16072</v>
      </c>
      <c r="J4542" s="162" t="s">
        <v>16073</v>
      </c>
      <c r="K4542" s="162" t="s">
        <v>16074</v>
      </c>
      <c r="L4542" s="162" t="s">
        <v>16075</v>
      </c>
      <c r="M4542" s="162" t="s">
        <v>16084</v>
      </c>
      <c r="O4542" s="224" t="s">
        <v>271</v>
      </c>
      <c r="P4542" s="224">
        <v>5</v>
      </c>
      <c r="Q4542" s="224">
        <v>11</v>
      </c>
      <c r="R4542" s="224">
        <v>16</v>
      </c>
      <c r="S4542" s="224" t="s">
        <v>271</v>
      </c>
      <c r="T4542" s="223" t="s">
        <v>4115</v>
      </c>
      <c r="U4542" t="str">
        <f>VLOOKUP(T4542,[8]Votes!$A$1:$E$234,3,FALSE)</f>
        <v>309 National Identification and Registration Authority (NIRA)</v>
      </c>
      <c r="V4542" s="162" t="s">
        <v>16085</v>
      </c>
      <c r="W4542" s="501">
        <v>1</v>
      </c>
      <c r="X4542" s="501">
        <v>1</v>
      </c>
      <c r="Y4542" s="501">
        <v>0</v>
      </c>
      <c r="Z4542" s="501">
        <v>1</v>
      </c>
      <c r="AA4542" s="501">
        <v>1</v>
      </c>
      <c r="AB4542" s="501">
        <v>0</v>
      </c>
      <c r="AC4542" s="150">
        <v>1</v>
      </c>
      <c r="AD4542" s="150">
        <v>1</v>
      </c>
      <c r="AE4542" s="49">
        <f t="shared" si="164"/>
        <v>0.75</v>
      </c>
      <c r="AF4542" s="190">
        <v>1</v>
      </c>
      <c r="AG4542" s="17">
        <v>0</v>
      </c>
      <c r="AH4542" s="190">
        <v>0</v>
      </c>
      <c r="AI4542" s="190">
        <v>0</v>
      </c>
      <c r="AJ4542" s="190">
        <v>0</v>
      </c>
      <c r="AK4542" s="191">
        <v>0</v>
      </c>
      <c r="AL4542" s="191">
        <v>0</v>
      </c>
      <c r="AM4542" s="17">
        <f t="shared" si="165"/>
        <v>0</v>
      </c>
      <c r="AN4542" s="162" t="s">
        <v>4115</v>
      </c>
      <c r="AO4542" s="162" t="s">
        <v>4116</v>
      </c>
    </row>
    <row r="4543" spans="1:42" s="162" customFormat="1" x14ac:dyDescent="0.3">
      <c r="A4543" s="205" t="s">
        <v>8321</v>
      </c>
      <c r="B4543" s="162" t="s">
        <v>8322</v>
      </c>
      <c r="C4543" s="168" t="s">
        <v>13469</v>
      </c>
      <c r="D4543" s="162" t="s">
        <v>13544</v>
      </c>
      <c r="E4543" s="406" t="s">
        <v>13629</v>
      </c>
      <c r="F4543" s="162" t="s">
        <v>13630</v>
      </c>
      <c r="G4543" s="406">
        <v>163801</v>
      </c>
      <c r="H4543" s="162" t="s">
        <v>13631</v>
      </c>
      <c r="I4543" s="386" t="s">
        <v>16072</v>
      </c>
      <c r="J4543" s="162" t="s">
        <v>16073</v>
      </c>
      <c r="K4543" s="162" t="s">
        <v>16074</v>
      </c>
      <c r="L4543" s="162" t="s">
        <v>16075</v>
      </c>
      <c r="M4543" s="162" t="s">
        <v>16086</v>
      </c>
      <c r="O4543" s="224" t="s">
        <v>271</v>
      </c>
      <c r="P4543" s="224" t="s">
        <v>271</v>
      </c>
      <c r="Q4543" s="492">
        <v>0.5</v>
      </c>
      <c r="R4543" s="492">
        <v>0.5</v>
      </c>
      <c r="S4543" s="224" t="s">
        <v>271</v>
      </c>
      <c r="T4543" s="223" t="s">
        <v>4115</v>
      </c>
      <c r="U4543" t="str">
        <f>VLOOKUP(T4543,[8]Votes!$A$1:$E$234,3,FALSE)</f>
        <v>309 National Identification and Registration Authority (NIRA)</v>
      </c>
      <c r="V4543" s="162" t="s">
        <v>16087</v>
      </c>
      <c r="W4543" s="501">
        <v>1</v>
      </c>
      <c r="X4543" s="501">
        <v>1</v>
      </c>
      <c r="Y4543" s="501">
        <v>0</v>
      </c>
      <c r="Z4543" s="501">
        <v>1</v>
      </c>
      <c r="AA4543" s="501">
        <v>1</v>
      </c>
      <c r="AB4543" s="501">
        <v>0</v>
      </c>
      <c r="AC4543" s="150">
        <v>1</v>
      </c>
      <c r="AD4543" s="150">
        <v>1</v>
      </c>
      <c r="AE4543" s="49">
        <f t="shared" si="164"/>
        <v>0.75</v>
      </c>
      <c r="AF4543" s="190">
        <v>1</v>
      </c>
      <c r="AG4543" s="17">
        <v>0</v>
      </c>
      <c r="AH4543" s="190">
        <v>0</v>
      </c>
      <c r="AI4543" s="190">
        <v>0</v>
      </c>
      <c r="AJ4543" s="190">
        <v>0</v>
      </c>
      <c r="AK4543" s="191"/>
      <c r="AL4543" s="361"/>
      <c r="AM4543" s="17">
        <f t="shared" si="165"/>
        <v>0</v>
      </c>
      <c r="AN4543" s="162" t="s">
        <v>4115</v>
      </c>
      <c r="AO4543" s="162" t="s">
        <v>4116</v>
      </c>
    </row>
    <row r="4544" spans="1:42" s="162" customFormat="1" x14ac:dyDescent="0.3">
      <c r="A4544" s="205" t="s">
        <v>8321</v>
      </c>
      <c r="B4544" s="162" t="s">
        <v>8322</v>
      </c>
      <c r="C4544" s="168" t="s">
        <v>13469</v>
      </c>
      <c r="D4544" s="162" t="s">
        <v>13544</v>
      </c>
      <c r="E4544" s="406" t="s">
        <v>13629</v>
      </c>
      <c r="F4544" s="162" t="s">
        <v>13630</v>
      </c>
      <c r="G4544" s="406">
        <v>163801</v>
      </c>
      <c r="H4544" s="162" t="s">
        <v>13631</v>
      </c>
      <c r="I4544" s="386" t="s">
        <v>16072</v>
      </c>
      <c r="J4544" s="162" t="s">
        <v>16073</v>
      </c>
      <c r="K4544" s="162" t="s">
        <v>16074</v>
      </c>
      <c r="L4544" s="162" t="s">
        <v>16075</v>
      </c>
      <c r="M4544" s="162" t="s">
        <v>16088</v>
      </c>
      <c r="O4544" s="224"/>
      <c r="P4544" s="224">
        <v>1</v>
      </c>
      <c r="Q4544" s="224"/>
      <c r="R4544" s="224"/>
      <c r="S4544" s="224"/>
      <c r="T4544" s="223" t="s">
        <v>1588</v>
      </c>
      <c r="U4544" t="str">
        <f>VLOOKUP(T4544,[8]Votes!$A$1:$E$234,3,FALSE)</f>
        <v>148 Judicial Service Commission</v>
      </c>
      <c r="V4544" s="162" t="s">
        <v>16089</v>
      </c>
      <c r="W4544" s="501">
        <v>1</v>
      </c>
      <c r="X4544" s="501">
        <v>1</v>
      </c>
      <c r="Y4544" s="501">
        <v>0</v>
      </c>
      <c r="Z4544" s="501">
        <v>1</v>
      </c>
      <c r="AA4544" s="501">
        <v>1</v>
      </c>
      <c r="AB4544" s="501">
        <v>0</v>
      </c>
      <c r="AC4544" s="150">
        <v>1</v>
      </c>
      <c r="AD4544" s="150">
        <v>1</v>
      </c>
      <c r="AE4544" s="49">
        <f t="shared" si="164"/>
        <v>0.75</v>
      </c>
      <c r="AF4544" s="190">
        <v>1</v>
      </c>
      <c r="AG4544" s="17">
        <v>0</v>
      </c>
      <c r="AH4544" s="190">
        <v>0</v>
      </c>
      <c r="AI4544" s="190">
        <v>0</v>
      </c>
      <c r="AJ4544" s="190">
        <v>0</v>
      </c>
      <c r="AK4544" s="191">
        <v>0</v>
      </c>
      <c r="AL4544" s="191">
        <v>0</v>
      </c>
      <c r="AM4544" s="17">
        <f t="shared" si="165"/>
        <v>0</v>
      </c>
      <c r="AN4544" s="162" t="s">
        <v>1588</v>
      </c>
      <c r="AO4544" s="162" t="s">
        <v>1590</v>
      </c>
    </row>
    <row r="4545" spans="1:41" s="162" customFormat="1" x14ac:dyDescent="0.3">
      <c r="A4545" s="205" t="s">
        <v>8321</v>
      </c>
      <c r="B4545" s="162" t="s">
        <v>8322</v>
      </c>
      <c r="C4545" s="168" t="s">
        <v>13469</v>
      </c>
      <c r="D4545" s="162" t="s">
        <v>13544</v>
      </c>
      <c r="E4545" s="406" t="s">
        <v>13629</v>
      </c>
      <c r="F4545" s="162" t="s">
        <v>13630</v>
      </c>
      <c r="G4545" s="406">
        <v>163801</v>
      </c>
      <c r="H4545" s="162" t="s">
        <v>13631</v>
      </c>
      <c r="I4545" s="386" t="s">
        <v>16072</v>
      </c>
      <c r="J4545" s="162" t="s">
        <v>16073</v>
      </c>
      <c r="K4545" s="162" t="s">
        <v>16074</v>
      </c>
      <c r="L4545" s="162" t="s">
        <v>16075</v>
      </c>
      <c r="M4545" s="162" t="s">
        <v>16090</v>
      </c>
      <c r="O4545" s="492">
        <v>0.25</v>
      </c>
      <c r="P4545" s="492">
        <v>0.5</v>
      </c>
      <c r="Q4545" s="492">
        <v>0.75</v>
      </c>
      <c r="R4545" s="492">
        <v>1</v>
      </c>
      <c r="S4545" s="224"/>
      <c r="T4545" s="223" t="s">
        <v>1581</v>
      </c>
      <c r="U4545" t="str">
        <f>VLOOKUP(T4545,[8]Votes!$A$1:$E$234,3,FALSE)</f>
        <v>119 Uganda Registration Services Bureau</v>
      </c>
      <c r="V4545" s="162" t="s">
        <v>16091</v>
      </c>
      <c r="W4545" s="501">
        <v>1</v>
      </c>
      <c r="X4545" s="501">
        <v>1</v>
      </c>
      <c r="Y4545" s="501">
        <v>1</v>
      </c>
      <c r="Z4545" s="501">
        <v>1</v>
      </c>
      <c r="AA4545" s="501">
        <v>1</v>
      </c>
      <c r="AB4545" s="501">
        <v>1</v>
      </c>
      <c r="AC4545" s="150">
        <v>1</v>
      </c>
      <c r="AD4545" s="150">
        <v>1</v>
      </c>
      <c r="AE4545" s="49">
        <f t="shared" si="164"/>
        <v>1</v>
      </c>
      <c r="AF4545" s="190">
        <v>1</v>
      </c>
      <c r="AG4545" s="17">
        <v>0</v>
      </c>
      <c r="AH4545" s="190">
        <v>0</v>
      </c>
      <c r="AI4545" s="190">
        <v>0</v>
      </c>
      <c r="AJ4545" s="360">
        <v>2.2000000000000002</v>
      </c>
      <c r="AK4545" s="361">
        <v>2.2000000000000002</v>
      </c>
      <c r="AL4545" s="361">
        <v>2.25</v>
      </c>
      <c r="AM4545" s="17">
        <f t="shared" si="165"/>
        <v>4.45</v>
      </c>
      <c r="AN4545" s="162" t="s">
        <v>1581</v>
      </c>
      <c r="AO4545" s="162" t="s">
        <v>1583</v>
      </c>
    </row>
    <row r="4546" spans="1:41" s="162" customFormat="1" x14ac:dyDescent="0.3">
      <c r="A4546" s="205" t="s">
        <v>8321</v>
      </c>
      <c r="B4546" s="162" t="s">
        <v>8322</v>
      </c>
      <c r="C4546" s="168" t="s">
        <v>13469</v>
      </c>
      <c r="D4546" s="162" t="s">
        <v>13544</v>
      </c>
      <c r="E4546" s="406" t="s">
        <v>13629</v>
      </c>
      <c r="F4546" s="162" t="s">
        <v>13630</v>
      </c>
      <c r="G4546" s="406">
        <v>163801</v>
      </c>
      <c r="H4546" s="162" t="s">
        <v>13631</v>
      </c>
      <c r="I4546" s="386" t="s">
        <v>16072</v>
      </c>
      <c r="J4546" s="162" t="s">
        <v>16073</v>
      </c>
      <c r="K4546" s="162" t="s">
        <v>16074</v>
      </c>
      <c r="L4546" s="162" t="s">
        <v>16075</v>
      </c>
      <c r="M4546" s="162" t="s">
        <v>16092</v>
      </c>
      <c r="O4546" s="492">
        <v>0.1</v>
      </c>
      <c r="P4546" s="492">
        <v>0.3</v>
      </c>
      <c r="Q4546" s="492">
        <v>0.6</v>
      </c>
      <c r="R4546" s="492">
        <v>0.9</v>
      </c>
      <c r="S4546" s="492">
        <v>1</v>
      </c>
      <c r="T4546" s="223" t="s">
        <v>4932</v>
      </c>
      <c r="U4546" t="str">
        <f>VLOOKUP(T4546,[8]Votes!$A$1:$E$234,3,FALSE)</f>
        <v>007 Ministry of Justice and Constitutional Affairs</v>
      </c>
      <c r="V4546" s="162" t="s">
        <v>16093</v>
      </c>
      <c r="W4546" s="501">
        <v>1</v>
      </c>
      <c r="X4546" s="501">
        <v>1</v>
      </c>
      <c r="Y4546" s="501">
        <v>0</v>
      </c>
      <c r="Z4546" s="501">
        <v>1</v>
      </c>
      <c r="AA4546" s="501">
        <v>1</v>
      </c>
      <c r="AB4546" s="501">
        <v>1</v>
      </c>
      <c r="AC4546" s="150">
        <v>1</v>
      </c>
      <c r="AD4546" s="150">
        <v>1</v>
      </c>
      <c r="AE4546" s="49">
        <f t="shared" si="164"/>
        <v>0.875</v>
      </c>
      <c r="AF4546" s="190">
        <v>1</v>
      </c>
      <c r="AG4546" s="17">
        <v>0</v>
      </c>
      <c r="AH4546" s="360">
        <v>0.6</v>
      </c>
      <c r="AI4546" s="360">
        <v>1.2</v>
      </c>
      <c r="AJ4546" s="360">
        <v>2.2000000000000002</v>
      </c>
      <c r="AK4546" s="361">
        <v>3.05</v>
      </c>
      <c r="AL4546" s="361">
        <v>3.05</v>
      </c>
      <c r="AM4546" s="17">
        <f t="shared" si="165"/>
        <v>6.1</v>
      </c>
      <c r="AN4546" s="223" t="s">
        <v>4932</v>
      </c>
      <c r="AO4546" s="162" t="s">
        <v>3877</v>
      </c>
    </row>
    <row r="4547" spans="1:41" s="162" customFormat="1" x14ac:dyDescent="0.3">
      <c r="A4547" s="205" t="s">
        <v>8321</v>
      </c>
      <c r="B4547" s="162" t="s">
        <v>8322</v>
      </c>
      <c r="C4547" s="168" t="s">
        <v>13469</v>
      </c>
      <c r="D4547" s="162" t="s">
        <v>13544</v>
      </c>
      <c r="E4547" s="406" t="s">
        <v>13629</v>
      </c>
      <c r="F4547" s="162" t="s">
        <v>13630</v>
      </c>
      <c r="G4547" s="406">
        <v>163801</v>
      </c>
      <c r="H4547" s="162" t="s">
        <v>13631</v>
      </c>
      <c r="I4547" s="386" t="s">
        <v>16072</v>
      </c>
      <c r="J4547" s="162" t="s">
        <v>16073</v>
      </c>
      <c r="K4547" s="162" t="s">
        <v>16074</v>
      </c>
      <c r="L4547" s="162" t="s">
        <v>16075</v>
      </c>
      <c r="M4547" s="162" t="s">
        <v>16094</v>
      </c>
      <c r="O4547" s="224">
        <v>0</v>
      </c>
      <c r="P4547" s="224">
        <v>7</v>
      </c>
      <c r="Q4547" s="224">
        <v>7</v>
      </c>
      <c r="R4547" s="224">
        <v>10</v>
      </c>
      <c r="S4547" s="224">
        <v>15</v>
      </c>
      <c r="T4547" s="223" t="s">
        <v>4932</v>
      </c>
      <c r="U4547" t="str">
        <f>VLOOKUP(T4547,[8]Votes!$A$1:$E$234,3,FALSE)</f>
        <v>007 Ministry of Justice and Constitutional Affairs</v>
      </c>
      <c r="V4547" s="162" t="s">
        <v>16095</v>
      </c>
      <c r="W4547" s="501">
        <v>1</v>
      </c>
      <c r="X4547" s="501">
        <v>1</v>
      </c>
      <c r="Y4547" s="501">
        <v>0</v>
      </c>
      <c r="Z4547" s="501">
        <v>1</v>
      </c>
      <c r="AA4547" s="501">
        <v>0</v>
      </c>
      <c r="AB4547" s="501">
        <v>0</v>
      </c>
      <c r="AC4547" s="150">
        <v>1</v>
      </c>
      <c r="AD4547" s="150">
        <v>1</v>
      </c>
      <c r="AE4547" s="49">
        <f t="shared" si="164"/>
        <v>0.625</v>
      </c>
      <c r="AF4547" s="190">
        <v>1</v>
      </c>
      <c r="AG4547" s="17">
        <v>0</v>
      </c>
      <c r="AH4547" s="190">
        <v>0</v>
      </c>
      <c r="AI4547" s="360">
        <v>0.15</v>
      </c>
      <c r="AJ4547" s="360">
        <v>0.65</v>
      </c>
      <c r="AK4547" s="361">
        <v>1.25</v>
      </c>
      <c r="AL4547" s="361">
        <v>1.1499999999999999</v>
      </c>
      <c r="AM4547" s="17">
        <f t="shared" si="165"/>
        <v>2.4</v>
      </c>
      <c r="AN4547" s="223" t="s">
        <v>4932</v>
      </c>
      <c r="AO4547" s="162" t="s">
        <v>3877</v>
      </c>
    </row>
    <row r="4548" spans="1:41" s="162" customFormat="1" x14ac:dyDescent="0.3">
      <c r="A4548" s="205" t="s">
        <v>8321</v>
      </c>
      <c r="B4548" s="162" t="s">
        <v>8322</v>
      </c>
      <c r="C4548" s="168" t="s">
        <v>13469</v>
      </c>
      <c r="D4548" s="162" t="s">
        <v>13544</v>
      </c>
      <c r="E4548" s="406" t="s">
        <v>13629</v>
      </c>
      <c r="F4548" s="162" t="s">
        <v>13630</v>
      </c>
      <c r="G4548" s="406">
        <v>163801</v>
      </c>
      <c r="H4548" s="162" t="s">
        <v>13631</v>
      </c>
      <c r="I4548" s="386" t="s">
        <v>16072</v>
      </c>
      <c r="J4548" s="162" t="s">
        <v>16073</v>
      </c>
      <c r="K4548" s="162" t="s">
        <v>16074</v>
      </c>
      <c r="L4548" s="162" t="s">
        <v>16075</v>
      </c>
      <c r="M4548" s="162" t="s">
        <v>16090</v>
      </c>
      <c r="O4548" s="492">
        <v>0.65</v>
      </c>
      <c r="P4548" s="492">
        <v>0.7</v>
      </c>
      <c r="Q4548" s="492">
        <v>0.85</v>
      </c>
      <c r="R4548" s="492">
        <v>1</v>
      </c>
      <c r="S4548" s="224"/>
      <c r="T4548" s="223" t="s">
        <v>3875</v>
      </c>
      <c r="U4548" t="str">
        <f>VLOOKUP(T4548,[8]Votes!$A$1:$E$234,3,FALSE)</f>
        <v>007 Ministry of Justice and Constitutional Affairs</v>
      </c>
      <c r="V4548" s="162" t="s">
        <v>16096</v>
      </c>
      <c r="W4548" s="501">
        <v>1</v>
      </c>
      <c r="X4548" s="501">
        <v>1</v>
      </c>
      <c r="Y4548" s="501">
        <v>0</v>
      </c>
      <c r="Z4548" s="501">
        <v>1</v>
      </c>
      <c r="AA4548" s="501">
        <v>1</v>
      </c>
      <c r="AB4548" s="501">
        <v>0</v>
      </c>
      <c r="AC4548" s="150">
        <v>1</v>
      </c>
      <c r="AD4548" s="150">
        <v>1</v>
      </c>
      <c r="AE4548" s="49">
        <f t="shared" si="164"/>
        <v>0.75</v>
      </c>
      <c r="AF4548" s="190">
        <v>1</v>
      </c>
      <c r="AG4548" s="17">
        <v>0</v>
      </c>
      <c r="AH4548" s="360">
        <v>0.3</v>
      </c>
      <c r="AI4548" s="360">
        <v>0.4</v>
      </c>
      <c r="AJ4548" s="360">
        <v>0.6</v>
      </c>
      <c r="AK4548" s="361">
        <v>0.8</v>
      </c>
      <c r="AL4548" s="191">
        <v>0.8</v>
      </c>
      <c r="AM4548" s="17">
        <f t="shared" si="165"/>
        <v>1.6</v>
      </c>
      <c r="AN4548" s="223" t="s">
        <v>3875</v>
      </c>
      <c r="AO4548" s="162" t="s">
        <v>3877</v>
      </c>
    </row>
    <row r="4549" spans="1:41" s="162" customFormat="1" x14ac:dyDescent="0.3">
      <c r="A4549" s="205" t="s">
        <v>8321</v>
      </c>
      <c r="B4549" s="162" t="s">
        <v>8322</v>
      </c>
      <c r="C4549" s="168" t="s">
        <v>13469</v>
      </c>
      <c r="D4549" s="162" t="s">
        <v>13544</v>
      </c>
      <c r="E4549" s="406" t="s">
        <v>13629</v>
      </c>
      <c r="F4549" s="162" t="s">
        <v>13630</v>
      </c>
      <c r="G4549" s="406">
        <v>163801</v>
      </c>
      <c r="H4549" s="162" t="s">
        <v>13631</v>
      </c>
      <c r="I4549" s="386" t="s">
        <v>16072</v>
      </c>
      <c r="J4549" s="162" t="s">
        <v>16073</v>
      </c>
      <c r="K4549" s="162" t="s">
        <v>16074</v>
      </c>
      <c r="L4549" s="162" t="s">
        <v>16075</v>
      </c>
      <c r="M4549" s="162" t="s">
        <v>16097</v>
      </c>
      <c r="O4549" s="492">
        <v>0.55000000000000004</v>
      </c>
      <c r="P4549" s="492">
        <v>0.6</v>
      </c>
      <c r="Q4549" s="492">
        <v>0.65</v>
      </c>
      <c r="R4549" s="492">
        <v>0.7</v>
      </c>
      <c r="S4549" s="492">
        <v>0.75</v>
      </c>
      <c r="T4549" s="223" t="s">
        <v>16098</v>
      </c>
      <c r="U4549" t="e">
        <f>VLOOKUP(T4549,[8]Votes!$A$1:$E$234,3,FALSE)</f>
        <v>#N/A</v>
      </c>
      <c r="V4549" s="162" t="s">
        <v>16099</v>
      </c>
      <c r="W4549" s="501">
        <v>0</v>
      </c>
      <c r="X4549" s="501">
        <v>0</v>
      </c>
      <c r="Y4549" s="501">
        <v>0</v>
      </c>
      <c r="Z4549" s="501">
        <v>0</v>
      </c>
      <c r="AA4549" s="501">
        <v>0</v>
      </c>
      <c r="AB4549" s="501">
        <v>0</v>
      </c>
      <c r="AC4549" s="150">
        <v>0</v>
      </c>
      <c r="AD4549" s="150">
        <v>0</v>
      </c>
      <c r="AE4549" s="49">
        <f t="shared" si="164"/>
        <v>0</v>
      </c>
      <c r="AF4549" s="190">
        <v>1</v>
      </c>
      <c r="AG4549" s="17">
        <v>0</v>
      </c>
      <c r="AH4549" s="190">
        <v>0</v>
      </c>
      <c r="AI4549" s="190">
        <v>0</v>
      </c>
      <c r="AJ4549" s="360">
        <v>0.2</v>
      </c>
      <c r="AK4549" s="361">
        <v>0</v>
      </c>
      <c r="AL4549" s="361">
        <v>0</v>
      </c>
      <c r="AM4549" s="17">
        <f t="shared" si="165"/>
        <v>0</v>
      </c>
      <c r="AN4549" s="162" t="s">
        <v>16100</v>
      </c>
      <c r="AO4549" s="162" t="s">
        <v>3877</v>
      </c>
    </row>
    <row r="4550" spans="1:41" s="162" customFormat="1" x14ac:dyDescent="0.3">
      <c r="A4550" s="205" t="s">
        <v>8321</v>
      </c>
      <c r="B4550" s="162" t="s">
        <v>8322</v>
      </c>
      <c r="C4550" s="168" t="s">
        <v>13469</v>
      </c>
      <c r="D4550" s="162" t="s">
        <v>13544</v>
      </c>
      <c r="E4550" s="406" t="s">
        <v>13629</v>
      </c>
      <c r="F4550" s="162" t="s">
        <v>13630</v>
      </c>
      <c r="G4550" s="406">
        <v>163801</v>
      </c>
      <c r="H4550" s="162" t="s">
        <v>13631</v>
      </c>
      <c r="I4550" s="386" t="s">
        <v>16072</v>
      </c>
      <c r="J4550" s="162" t="s">
        <v>16073</v>
      </c>
      <c r="K4550" s="162" t="s">
        <v>16074</v>
      </c>
      <c r="L4550" s="162" t="s">
        <v>16075</v>
      </c>
      <c r="M4550" s="162" t="s">
        <v>16097</v>
      </c>
      <c r="O4550" s="492">
        <v>0.5</v>
      </c>
      <c r="P4550" s="492">
        <v>0.6</v>
      </c>
      <c r="Q4550" s="492">
        <v>0.7</v>
      </c>
      <c r="R4550" s="492">
        <v>0.75</v>
      </c>
      <c r="S4550" s="492">
        <v>0.8</v>
      </c>
      <c r="T4550" s="223" t="s">
        <v>1588</v>
      </c>
      <c r="U4550" t="str">
        <f>VLOOKUP(T4550,[8]Votes!$A$1:$E$234,3,FALSE)</f>
        <v>148 Judicial Service Commission</v>
      </c>
      <c r="V4550" s="162" t="s">
        <v>16101</v>
      </c>
      <c r="W4550" s="501">
        <v>1</v>
      </c>
      <c r="X4550" s="501">
        <v>1</v>
      </c>
      <c r="Y4550" s="501">
        <v>0</v>
      </c>
      <c r="Z4550" s="501">
        <v>1</v>
      </c>
      <c r="AA4550" s="501">
        <v>1</v>
      </c>
      <c r="AB4550" s="501">
        <v>0</v>
      </c>
      <c r="AC4550" s="150">
        <v>1</v>
      </c>
      <c r="AD4550" s="150">
        <v>1</v>
      </c>
      <c r="AE4550" s="49">
        <f t="shared" si="164"/>
        <v>0.75</v>
      </c>
      <c r="AF4550" s="190">
        <v>1</v>
      </c>
      <c r="AG4550" s="17">
        <v>0</v>
      </c>
      <c r="AH4550" s="190">
        <v>0</v>
      </c>
      <c r="AI4550" s="190">
        <v>0</v>
      </c>
      <c r="AJ4550" s="190">
        <v>0</v>
      </c>
      <c r="AK4550" s="191">
        <v>0</v>
      </c>
      <c r="AL4550" s="191">
        <v>0</v>
      </c>
      <c r="AM4550" s="17">
        <f t="shared" si="165"/>
        <v>0</v>
      </c>
      <c r="AN4550" s="162" t="s">
        <v>1588</v>
      </c>
      <c r="AO4550" s="162" t="s">
        <v>1590</v>
      </c>
    </row>
    <row r="4551" spans="1:41" s="162" customFormat="1" x14ac:dyDescent="0.3">
      <c r="A4551" s="205" t="s">
        <v>8321</v>
      </c>
      <c r="B4551" s="162" t="s">
        <v>8322</v>
      </c>
      <c r="C4551" s="168" t="s">
        <v>13469</v>
      </c>
      <c r="D4551" s="162" t="s">
        <v>13544</v>
      </c>
      <c r="E4551" s="406" t="s">
        <v>13629</v>
      </c>
      <c r="F4551" s="162" t="s">
        <v>13630</v>
      </c>
      <c r="G4551" s="406">
        <v>163801</v>
      </c>
      <c r="H4551" s="162" t="s">
        <v>13631</v>
      </c>
      <c r="I4551" s="386" t="s">
        <v>16072</v>
      </c>
      <c r="J4551" s="162" t="s">
        <v>16073</v>
      </c>
      <c r="K4551" s="162" t="s">
        <v>16074</v>
      </c>
      <c r="L4551" s="162" t="s">
        <v>16075</v>
      </c>
      <c r="M4551" s="162" t="s">
        <v>16102</v>
      </c>
      <c r="O4551" s="492">
        <v>0.5</v>
      </c>
      <c r="P4551" s="492">
        <v>0.6</v>
      </c>
      <c r="Q4551" s="492">
        <v>0.7</v>
      </c>
      <c r="R4551" s="492">
        <v>0.75</v>
      </c>
      <c r="S4551" s="492">
        <v>0.8</v>
      </c>
      <c r="T4551" s="223" t="s">
        <v>4932</v>
      </c>
      <c r="U4551" t="str">
        <f>VLOOKUP(T4551,[8]Votes!$A$1:$E$234,3,FALSE)</f>
        <v>007 Ministry of Justice and Constitutional Affairs</v>
      </c>
      <c r="V4551" s="162" t="s">
        <v>16101</v>
      </c>
      <c r="W4551" s="501">
        <v>1</v>
      </c>
      <c r="X4551" s="501">
        <v>0</v>
      </c>
      <c r="Y4551" s="501">
        <v>0</v>
      </c>
      <c r="Z4551" s="501">
        <v>1</v>
      </c>
      <c r="AA4551" s="501">
        <v>1</v>
      </c>
      <c r="AB4551" s="501">
        <v>0</v>
      </c>
      <c r="AC4551" s="150">
        <v>0</v>
      </c>
      <c r="AD4551" s="150">
        <v>1</v>
      </c>
      <c r="AE4551" s="49">
        <f t="shared" si="164"/>
        <v>0.5</v>
      </c>
      <c r="AF4551" s="190">
        <v>1</v>
      </c>
      <c r="AG4551" s="17">
        <v>0</v>
      </c>
      <c r="AH4551" s="360">
        <v>0.4</v>
      </c>
      <c r="AI4551" s="360">
        <v>0.3</v>
      </c>
      <c r="AJ4551" s="360">
        <v>0.2</v>
      </c>
      <c r="AK4551" s="361">
        <v>0</v>
      </c>
      <c r="AL4551" s="361">
        <v>0</v>
      </c>
      <c r="AM4551" s="17">
        <f t="shared" si="165"/>
        <v>0</v>
      </c>
      <c r="AN4551" s="223" t="s">
        <v>4932</v>
      </c>
      <c r="AO4551" s="162" t="s">
        <v>3877</v>
      </c>
    </row>
    <row r="4552" spans="1:41" s="162" customFormat="1" x14ac:dyDescent="0.3">
      <c r="A4552" s="205" t="s">
        <v>8321</v>
      </c>
      <c r="B4552" s="162" t="s">
        <v>8322</v>
      </c>
      <c r="C4552" s="168" t="s">
        <v>13469</v>
      </c>
      <c r="D4552" s="162" t="s">
        <v>13544</v>
      </c>
      <c r="E4552" s="406" t="s">
        <v>13629</v>
      </c>
      <c r="F4552" s="162" t="s">
        <v>13630</v>
      </c>
      <c r="G4552" s="406">
        <v>163801</v>
      </c>
      <c r="H4552" s="162" t="s">
        <v>13631</v>
      </c>
      <c r="I4552" s="386" t="s">
        <v>16072</v>
      </c>
      <c r="J4552" s="162" t="s">
        <v>16073</v>
      </c>
      <c r="K4552" s="162" t="s">
        <v>16074</v>
      </c>
      <c r="L4552" s="162" t="s">
        <v>16075</v>
      </c>
      <c r="M4552" s="162" t="s">
        <v>16103</v>
      </c>
      <c r="O4552" s="492">
        <v>0.18</v>
      </c>
      <c r="P4552" s="503">
        <v>0.17499999999999999</v>
      </c>
      <c r="Q4552" s="503">
        <v>0.155</v>
      </c>
      <c r="R4552" s="503">
        <v>0.13500000000000001</v>
      </c>
      <c r="S4552" s="503">
        <v>0.115</v>
      </c>
      <c r="T4552" s="223" t="s">
        <v>16104</v>
      </c>
      <c r="U4552" t="e">
        <f>VLOOKUP(T4552,[8]Votes!$A$1:$E$234,3,FALSE)</f>
        <v>#N/A</v>
      </c>
      <c r="V4552" s="162" t="s">
        <v>16105</v>
      </c>
      <c r="W4552" s="501">
        <v>1</v>
      </c>
      <c r="X4552" s="501">
        <v>1</v>
      </c>
      <c r="Y4552" s="501">
        <v>0</v>
      </c>
      <c r="Z4552" s="501">
        <v>1</v>
      </c>
      <c r="AA4552" s="501">
        <v>0</v>
      </c>
      <c r="AB4552" s="501">
        <v>0</v>
      </c>
      <c r="AC4552" s="150">
        <v>1</v>
      </c>
      <c r="AD4552" s="150">
        <v>1</v>
      </c>
      <c r="AE4552" s="49">
        <f t="shared" si="164"/>
        <v>0.625</v>
      </c>
      <c r="AF4552" s="190">
        <v>1</v>
      </c>
      <c r="AG4552" s="17">
        <v>0</v>
      </c>
      <c r="AH4552" s="190">
        <v>0</v>
      </c>
      <c r="AI4552" s="190">
        <v>0</v>
      </c>
      <c r="AJ4552" s="360">
        <v>6</v>
      </c>
      <c r="AK4552" s="361">
        <v>0</v>
      </c>
      <c r="AL4552" s="361">
        <v>0</v>
      </c>
      <c r="AM4552" s="17">
        <f t="shared" si="165"/>
        <v>0</v>
      </c>
      <c r="AN4552" s="162" t="s">
        <v>4932</v>
      </c>
      <c r="AO4552" s="162" t="s">
        <v>3877</v>
      </c>
    </row>
    <row r="4553" spans="1:41" s="162" customFormat="1" x14ac:dyDescent="0.3">
      <c r="A4553" s="205" t="s">
        <v>8321</v>
      </c>
      <c r="B4553" s="162" t="s">
        <v>8322</v>
      </c>
      <c r="C4553" s="168" t="s">
        <v>13469</v>
      </c>
      <c r="D4553" s="162" t="s">
        <v>13544</v>
      </c>
      <c r="E4553" s="406" t="s">
        <v>13629</v>
      </c>
      <c r="F4553" s="162" t="s">
        <v>13630</v>
      </c>
      <c r="G4553" s="406">
        <v>163801</v>
      </c>
      <c r="H4553" s="162" t="s">
        <v>13631</v>
      </c>
      <c r="I4553" s="386" t="s">
        <v>16072</v>
      </c>
      <c r="J4553" s="162" t="s">
        <v>16073</v>
      </c>
      <c r="K4553" s="162" t="s">
        <v>16074</v>
      </c>
      <c r="L4553" s="162" t="s">
        <v>16075</v>
      </c>
      <c r="M4553" s="162" t="s">
        <v>16102</v>
      </c>
      <c r="O4553" s="492">
        <v>0.7</v>
      </c>
      <c r="P4553" s="492">
        <v>0.75</v>
      </c>
      <c r="Q4553" s="492">
        <v>0.8</v>
      </c>
      <c r="R4553" s="492">
        <v>0.85</v>
      </c>
      <c r="S4553" s="492">
        <v>0.9</v>
      </c>
      <c r="T4553" s="223" t="s">
        <v>16098</v>
      </c>
      <c r="U4553" t="e">
        <f>VLOOKUP(T4553,[8]Votes!$A$1:$E$234,3,FALSE)</f>
        <v>#N/A</v>
      </c>
      <c r="W4553" s="501">
        <v>0</v>
      </c>
      <c r="X4553" s="501">
        <v>0</v>
      </c>
      <c r="Y4553" s="501">
        <v>0</v>
      </c>
      <c r="Z4553" s="501">
        <v>0</v>
      </c>
      <c r="AA4553" s="501">
        <v>0</v>
      </c>
      <c r="AB4553" s="501">
        <v>0</v>
      </c>
      <c r="AC4553" s="150">
        <v>0</v>
      </c>
      <c r="AD4553" s="150">
        <v>0</v>
      </c>
      <c r="AE4553" s="49">
        <f t="shared" si="164"/>
        <v>0</v>
      </c>
      <c r="AF4553" s="190">
        <v>1</v>
      </c>
      <c r="AG4553" s="17">
        <v>0</v>
      </c>
      <c r="AH4553" s="190">
        <v>0</v>
      </c>
      <c r="AI4553" s="190">
        <v>0</v>
      </c>
      <c r="AJ4553" s="360">
        <v>0.35</v>
      </c>
      <c r="AK4553" s="361">
        <v>0</v>
      </c>
      <c r="AL4553" s="361">
        <v>0</v>
      </c>
      <c r="AM4553" s="17">
        <f t="shared" si="165"/>
        <v>0</v>
      </c>
      <c r="AN4553" s="162" t="s">
        <v>16100</v>
      </c>
      <c r="AO4553" s="162" t="s">
        <v>3877</v>
      </c>
    </row>
    <row r="4554" spans="1:41" s="162" customFormat="1" x14ac:dyDescent="0.3">
      <c r="A4554" s="205" t="s">
        <v>8321</v>
      </c>
      <c r="B4554" s="162" t="s">
        <v>8322</v>
      </c>
      <c r="C4554" s="168" t="s">
        <v>13469</v>
      </c>
      <c r="D4554" s="162" t="s">
        <v>13544</v>
      </c>
      <c r="E4554" s="406" t="s">
        <v>13629</v>
      </c>
      <c r="F4554" s="162" t="s">
        <v>13630</v>
      </c>
      <c r="G4554" s="406">
        <v>163801</v>
      </c>
      <c r="H4554" s="162" t="s">
        <v>13631</v>
      </c>
      <c r="I4554" s="386" t="s">
        <v>16072</v>
      </c>
      <c r="J4554" s="162" t="s">
        <v>16073</v>
      </c>
      <c r="K4554" s="162" t="s">
        <v>16106</v>
      </c>
      <c r="L4554" s="162" t="s">
        <v>16107</v>
      </c>
      <c r="M4554" s="162" t="s">
        <v>16108</v>
      </c>
      <c r="O4554" s="224"/>
      <c r="P4554" s="224">
        <v>10</v>
      </c>
      <c r="Q4554" s="224">
        <v>15</v>
      </c>
      <c r="R4554" s="224">
        <v>20</v>
      </c>
      <c r="S4554" s="224">
        <v>25</v>
      </c>
      <c r="T4554" s="223" t="s">
        <v>13766</v>
      </c>
      <c r="U4554" t="str">
        <f>VLOOKUP(T4554,[8]Votes!$A$1:$E$234,3,FALSE)</f>
        <v>120 National Citizenship and Immigration Control</v>
      </c>
      <c r="V4554" s="162" t="s">
        <v>16109</v>
      </c>
      <c r="W4554" s="501">
        <v>1</v>
      </c>
      <c r="X4554" s="501">
        <v>1</v>
      </c>
      <c r="Y4554" s="501">
        <v>0</v>
      </c>
      <c r="Z4554" s="501">
        <v>1</v>
      </c>
      <c r="AA4554" s="501">
        <v>1</v>
      </c>
      <c r="AB4554" s="501">
        <v>0</v>
      </c>
      <c r="AC4554" s="150">
        <v>1</v>
      </c>
      <c r="AD4554" s="150">
        <v>1</v>
      </c>
      <c r="AE4554" s="49">
        <f t="shared" si="164"/>
        <v>0.75</v>
      </c>
      <c r="AF4554" s="190">
        <v>1</v>
      </c>
      <c r="AG4554" s="17">
        <v>0</v>
      </c>
      <c r="AH4554" s="360">
        <v>0.8</v>
      </c>
      <c r="AI4554" s="360">
        <v>2.6</v>
      </c>
      <c r="AJ4554" s="360">
        <v>2.8</v>
      </c>
      <c r="AK4554" s="361">
        <v>3</v>
      </c>
      <c r="AL4554" s="361">
        <v>3.4</v>
      </c>
      <c r="AM4554" s="17">
        <f t="shared" si="165"/>
        <v>6.4</v>
      </c>
      <c r="AN4554" s="162" t="s">
        <v>13766</v>
      </c>
      <c r="AO4554" s="162" t="s">
        <v>13768</v>
      </c>
    </row>
    <row r="4555" spans="1:41" s="162" customFormat="1" x14ac:dyDescent="0.3">
      <c r="A4555" s="205" t="s">
        <v>8321</v>
      </c>
      <c r="B4555" s="162" t="s">
        <v>8322</v>
      </c>
      <c r="C4555" s="168" t="s">
        <v>13469</v>
      </c>
      <c r="D4555" s="162" t="s">
        <v>13544</v>
      </c>
      <c r="E4555" s="406" t="s">
        <v>13629</v>
      </c>
      <c r="F4555" s="162" t="s">
        <v>13630</v>
      </c>
      <c r="G4555" s="406">
        <v>163801</v>
      </c>
      <c r="H4555" s="162" t="s">
        <v>13631</v>
      </c>
      <c r="I4555" s="386" t="s">
        <v>16072</v>
      </c>
      <c r="J4555" s="162" t="s">
        <v>16073</v>
      </c>
      <c r="K4555" s="162" t="s">
        <v>16110</v>
      </c>
      <c r="L4555" s="162" t="s">
        <v>13634</v>
      </c>
      <c r="M4555" s="162" t="s">
        <v>16102</v>
      </c>
      <c r="O4555" s="492">
        <v>0.7</v>
      </c>
      <c r="P4555" s="492">
        <v>0.75</v>
      </c>
      <c r="Q4555" s="492">
        <v>0.8</v>
      </c>
      <c r="R4555" s="492">
        <v>0.85</v>
      </c>
      <c r="S4555" s="492">
        <v>0.9</v>
      </c>
      <c r="T4555" s="223" t="s">
        <v>1588</v>
      </c>
      <c r="U4555" t="str">
        <f>VLOOKUP(T4555,[8]Votes!$A$1:$E$234,3,FALSE)</f>
        <v>148 Judicial Service Commission</v>
      </c>
      <c r="V4555" s="162" t="s">
        <v>16111</v>
      </c>
      <c r="W4555" s="501">
        <v>1</v>
      </c>
      <c r="X4555" s="501">
        <v>1</v>
      </c>
      <c r="Y4555" s="501">
        <v>0</v>
      </c>
      <c r="Z4555" s="501">
        <v>1</v>
      </c>
      <c r="AA4555" s="501">
        <v>1</v>
      </c>
      <c r="AB4555" s="501">
        <v>0</v>
      </c>
      <c r="AC4555" s="150">
        <v>1</v>
      </c>
      <c r="AD4555" s="150">
        <v>1</v>
      </c>
      <c r="AE4555" s="49">
        <f t="shared" si="164"/>
        <v>0.75</v>
      </c>
      <c r="AF4555" s="190">
        <v>1</v>
      </c>
      <c r="AG4555" s="17">
        <v>0</v>
      </c>
      <c r="AH4555" s="190">
        <v>0</v>
      </c>
      <c r="AI4555" s="190">
        <v>0</v>
      </c>
      <c r="AJ4555" s="190">
        <v>0</v>
      </c>
      <c r="AK4555" s="191">
        <v>0</v>
      </c>
      <c r="AL4555" s="191">
        <v>0</v>
      </c>
      <c r="AM4555" s="17">
        <f t="shared" si="165"/>
        <v>0</v>
      </c>
      <c r="AN4555" s="162" t="s">
        <v>1588</v>
      </c>
      <c r="AO4555" s="162" t="s">
        <v>1590</v>
      </c>
    </row>
    <row r="4556" spans="1:41" s="162" customFormat="1" x14ac:dyDescent="0.3">
      <c r="A4556" s="205" t="s">
        <v>8321</v>
      </c>
      <c r="B4556" s="162" t="s">
        <v>8322</v>
      </c>
      <c r="C4556" s="168" t="s">
        <v>13469</v>
      </c>
      <c r="D4556" s="162" t="s">
        <v>13544</v>
      </c>
      <c r="E4556" s="406" t="s">
        <v>13629</v>
      </c>
      <c r="F4556" s="162" t="s">
        <v>13630</v>
      </c>
      <c r="G4556" s="406">
        <v>163801</v>
      </c>
      <c r="H4556" s="162" t="s">
        <v>13631</v>
      </c>
      <c r="I4556" s="386" t="s">
        <v>13632</v>
      </c>
      <c r="J4556" s="406" t="s">
        <v>12195</v>
      </c>
      <c r="K4556" s="406" t="s">
        <v>16112</v>
      </c>
      <c r="L4556" s="162" t="s">
        <v>16113</v>
      </c>
      <c r="M4556" s="162" t="s">
        <v>16114</v>
      </c>
      <c r="O4556" s="492"/>
      <c r="P4556" s="492"/>
      <c r="Q4556" s="492"/>
      <c r="R4556" s="492"/>
      <c r="S4556" s="492">
        <v>0.5</v>
      </c>
      <c r="T4556" s="223" t="s">
        <v>1581</v>
      </c>
      <c r="U4556" t="str">
        <f>VLOOKUP(T4556,[8]Votes!$A$1:$E$234,3,FALSE)</f>
        <v>119 Uganda Registration Services Bureau</v>
      </c>
      <c r="V4556" s="162" t="s">
        <v>16115</v>
      </c>
      <c r="W4556" s="501">
        <v>1</v>
      </c>
      <c r="X4556" s="501">
        <v>1</v>
      </c>
      <c r="Y4556" s="501">
        <v>0</v>
      </c>
      <c r="Z4556" s="501">
        <v>1</v>
      </c>
      <c r="AA4556" s="501">
        <v>1</v>
      </c>
      <c r="AB4556" s="501">
        <v>0</v>
      </c>
      <c r="AC4556" s="150">
        <v>1</v>
      </c>
      <c r="AD4556" s="150">
        <v>1</v>
      </c>
      <c r="AE4556" s="49">
        <f t="shared" si="164"/>
        <v>0.75</v>
      </c>
      <c r="AF4556" s="190">
        <v>1</v>
      </c>
      <c r="AG4556" s="17">
        <v>0</v>
      </c>
      <c r="AH4556" s="190">
        <v>0</v>
      </c>
      <c r="AI4556" s="190">
        <v>0</v>
      </c>
      <c r="AJ4556" s="360">
        <v>1</v>
      </c>
      <c r="AK4556" s="361">
        <v>2.5</v>
      </c>
      <c r="AL4556" s="361">
        <v>1</v>
      </c>
      <c r="AM4556" s="17">
        <f t="shared" si="165"/>
        <v>3.5</v>
      </c>
      <c r="AN4556" s="162" t="s">
        <v>1581</v>
      </c>
      <c r="AO4556" s="162" t="s">
        <v>1583</v>
      </c>
    </row>
    <row r="4557" spans="1:41" s="162" customFormat="1" x14ac:dyDescent="0.3">
      <c r="A4557" s="205" t="s">
        <v>8321</v>
      </c>
      <c r="B4557" s="162" t="s">
        <v>8322</v>
      </c>
      <c r="C4557" s="168" t="s">
        <v>13469</v>
      </c>
      <c r="D4557" s="162" t="s">
        <v>13544</v>
      </c>
      <c r="E4557" s="406" t="s">
        <v>13629</v>
      </c>
      <c r="F4557" s="162" t="s">
        <v>13630</v>
      </c>
      <c r="G4557" s="406">
        <v>163801</v>
      </c>
      <c r="H4557" s="162" t="s">
        <v>13631</v>
      </c>
      <c r="I4557" s="386" t="s">
        <v>13632</v>
      </c>
      <c r="J4557" s="406" t="s">
        <v>12195</v>
      </c>
      <c r="K4557" s="406" t="s">
        <v>16116</v>
      </c>
      <c r="L4557" s="162" t="s">
        <v>16117</v>
      </c>
      <c r="M4557" s="162" t="s">
        <v>16118</v>
      </c>
      <c r="O4557" s="224">
        <v>20</v>
      </c>
      <c r="P4557" s="224">
        <v>40</v>
      </c>
      <c r="Q4557" s="224">
        <v>80</v>
      </c>
      <c r="R4557" s="224">
        <v>120</v>
      </c>
      <c r="S4557" s="224"/>
      <c r="T4557" s="223" t="s">
        <v>1581</v>
      </c>
      <c r="U4557" t="str">
        <f>VLOOKUP(T4557,[8]Votes!$A$1:$E$234,3,FALSE)</f>
        <v>119 Uganda Registration Services Bureau</v>
      </c>
      <c r="V4557" s="162" t="s">
        <v>16119</v>
      </c>
      <c r="W4557" s="501">
        <v>1</v>
      </c>
      <c r="X4557" s="501">
        <v>1</v>
      </c>
      <c r="Y4557" s="501">
        <v>0</v>
      </c>
      <c r="Z4557" s="501">
        <v>1</v>
      </c>
      <c r="AA4557" s="501">
        <v>1</v>
      </c>
      <c r="AB4557" s="501">
        <v>0</v>
      </c>
      <c r="AC4557" s="150">
        <v>1</v>
      </c>
      <c r="AD4557" s="150">
        <v>1</v>
      </c>
      <c r="AE4557" s="49">
        <f t="shared" si="164"/>
        <v>0.75</v>
      </c>
      <c r="AF4557" s="190">
        <v>1</v>
      </c>
      <c r="AG4557" s="17">
        <v>0</v>
      </c>
      <c r="AH4557" s="190">
        <v>0</v>
      </c>
      <c r="AI4557" s="190">
        <v>0</v>
      </c>
      <c r="AJ4557" s="360">
        <v>0.8</v>
      </c>
      <c r="AK4557" s="361">
        <v>0.8</v>
      </c>
      <c r="AL4557" s="361">
        <v>0.8</v>
      </c>
      <c r="AM4557" s="17">
        <f t="shared" si="165"/>
        <v>1.6</v>
      </c>
      <c r="AN4557" s="162" t="s">
        <v>1581</v>
      </c>
      <c r="AO4557" s="162" t="s">
        <v>1583</v>
      </c>
    </row>
    <row r="4558" spans="1:41" s="162" customFormat="1" x14ac:dyDescent="0.3">
      <c r="A4558" s="205" t="s">
        <v>8321</v>
      </c>
      <c r="B4558" s="162" t="s">
        <v>8322</v>
      </c>
      <c r="C4558" s="168" t="s">
        <v>13469</v>
      </c>
      <c r="D4558" s="162" t="s">
        <v>13544</v>
      </c>
      <c r="E4558" s="406" t="s">
        <v>13629</v>
      </c>
      <c r="F4558" s="162" t="s">
        <v>13630</v>
      </c>
      <c r="G4558" s="406">
        <v>163801</v>
      </c>
      <c r="H4558" s="162" t="s">
        <v>13631</v>
      </c>
      <c r="I4558" s="386" t="s">
        <v>13632</v>
      </c>
      <c r="J4558" s="406" t="s">
        <v>12195</v>
      </c>
      <c r="K4558" s="406" t="s">
        <v>16120</v>
      </c>
      <c r="L4558" s="162" t="s">
        <v>16121</v>
      </c>
      <c r="M4558" s="162" t="s">
        <v>16122</v>
      </c>
      <c r="O4558" s="224">
        <v>120</v>
      </c>
      <c r="P4558" s="224">
        <v>120</v>
      </c>
      <c r="Q4558" s="224">
        <v>90</v>
      </c>
      <c r="R4558" s="224">
        <v>90</v>
      </c>
      <c r="S4558" s="224">
        <v>90</v>
      </c>
      <c r="T4558" s="223" t="s">
        <v>1581</v>
      </c>
      <c r="U4558" t="str">
        <f>VLOOKUP(T4558,[8]Votes!$A$1:$E$234,3,FALSE)</f>
        <v>119 Uganda Registration Services Bureau</v>
      </c>
      <c r="V4558" s="162" t="s">
        <v>16123</v>
      </c>
      <c r="W4558" s="501">
        <v>1</v>
      </c>
      <c r="X4558" s="501">
        <v>1</v>
      </c>
      <c r="Y4558" s="501">
        <v>1</v>
      </c>
      <c r="Z4558" s="501">
        <v>1</v>
      </c>
      <c r="AA4558" s="501">
        <v>1</v>
      </c>
      <c r="AB4558" s="501">
        <v>0</v>
      </c>
      <c r="AC4558" s="150">
        <v>1</v>
      </c>
      <c r="AD4558" s="150">
        <v>1</v>
      </c>
      <c r="AE4558" s="49">
        <f t="shared" si="164"/>
        <v>0.875</v>
      </c>
      <c r="AF4558" s="190">
        <v>1</v>
      </c>
      <c r="AG4558" s="17">
        <v>0</v>
      </c>
      <c r="AH4558" s="190">
        <v>0</v>
      </c>
      <c r="AI4558" s="190">
        <v>0</v>
      </c>
      <c r="AJ4558" s="360">
        <v>0.14000000000000001</v>
      </c>
      <c r="AK4558" s="361">
        <f>0.19+0.5</f>
        <v>0.69</v>
      </c>
      <c r="AL4558" s="361">
        <f>0.24+0.5</f>
        <v>0.74</v>
      </c>
      <c r="AM4558" s="17">
        <f t="shared" si="165"/>
        <v>1.43</v>
      </c>
      <c r="AN4558" s="162" t="s">
        <v>1581</v>
      </c>
      <c r="AO4558" s="162" t="s">
        <v>1583</v>
      </c>
    </row>
    <row r="4559" spans="1:41" s="162" customFormat="1" x14ac:dyDescent="0.3">
      <c r="A4559" s="205" t="s">
        <v>8321</v>
      </c>
      <c r="B4559" s="162" t="s">
        <v>8322</v>
      </c>
      <c r="C4559" s="168" t="s">
        <v>13469</v>
      </c>
      <c r="D4559" s="162" t="s">
        <v>13544</v>
      </c>
      <c r="E4559" s="406" t="s">
        <v>13629</v>
      </c>
      <c r="F4559" s="162" t="s">
        <v>13630</v>
      </c>
      <c r="G4559" s="406">
        <v>163801</v>
      </c>
      <c r="H4559" s="162" t="s">
        <v>13631</v>
      </c>
      <c r="I4559" s="386" t="s">
        <v>13632</v>
      </c>
      <c r="J4559" s="406" t="s">
        <v>12195</v>
      </c>
      <c r="K4559" s="406" t="s">
        <v>16124</v>
      </c>
      <c r="L4559" s="162" t="s">
        <v>16125</v>
      </c>
      <c r="M4559" s="162" t="s">
        <v>16126</v>
      </c>
      <c r="O4559" s="492"/>
      <c r="P4559" s="492"/>
      <c r="Q4559" s="492"/>
      <c r="R4559" s="492"/>
      <c r="S4559" s="492"/>
      <c r="T4559" s="223" t="s">
        <v>1581</v>
      </c>
      <c r="U4559" t="str">
        <f>VLOOKUP(T4559,[8]Votes!$A$1:$E$234,3,FALSE)</f>
        <v>119 Uganda Registration Services Bureau</v>
      </c>
      <c r="V4559" s="162" t="s">
        <v>16127</v>
      </c>
      <c r="W4559" s="501">
        <v>1</v>
      </c>
      <c r="X4559" s="501">
        <v>1</v>
      </c>
      <c r="Y4559" s="501">
        <v>0</v>
      </c>
      <c r="Z4559" s="501">
        <v>1</v>
      </c>
      <c r="AA4559" s="501">
        <v>1</v>
      </c>
      <c r="AB4559" s="501">
        <v>0</v>
      </c>
      <c r="AC4559" s="150">
        <v>1</v>
      </c>
      <c r="AD4559" s="150">
        <v>1</v>
      </c>
      <c r="AE4559" s="49">
        <f t="shared" si="164"/>
        <v>0.75</v>
      </c>
      <c r="AF4559" s="190">
        <v>1</v>
      </c>
      <c r="AG4559" s="17">
        <v>0</v>
      </c>
      <c r="AH4559" s="190">
        <v>0</v>
      </c>
      <c r="AI4559" s="190">
        <v>0</v>
      </c>
      <c r="AJ4559" s="190">
        <v>0</v>
      </c>
      <c r="AK4559" s="361">
        <f>0.2+0.2</f>
        <v>0.4</v>
      </c>
      <c r="AL4559" s="191">
        <v>0</v>
      </c>
      <c r="AM4559" s="17">
        <f t="shared" si="165"/>
        <v>0.4</v>
      </c>
      <c r="AN4559" s="162" t="s">
        <v>1581</v>
      </c>
      <c r="AO4559" s="162" t="s">
        <v>1583</v>
      </c>
    </row>
    <row r="4560" spans="1:41" s="162" customFormat="1" x14ac:dyDescent="0.3">
      <c r="A4560" s="205" t="s">
        <v>8321</v>
      </c>
      <c r="B4560" s="162" t="s">
        <v>8322</v>
      </c>
      <c r="C4560" s="168" t="s">
        <v>13469</v>
      </c>
      <c r="D4560" s="162" t="s">
        <v>13544</v>
      </c>
      <c r="E4560" s="406" t="s">
        <v>13629</v>
      </c>
      <c r="F4560" s="162" t="s">
        <v>13630</v>
      </c>
      <c r="G4560" s="406">
        <v>163801</v>
      </c>
      <c r="H4560" s="162" t="s">
        <v>13631</v>
      </c>
      <c r="I4560" s="386" t="s">
        <v>13632</v>
      </c>
      <c r="J4560" s="406" t="s">
        <v>12195</v>
      </c>
      <c r="K4560" s="406" t="s">
        <v>16128</v>
      </c>
      <c r="L4560" s="162" t="s">
        <v>16129</v>
      </c>
      <c r="O4560" s="492"/>
      <c r="P4560" s="492">
        <v>0.7</v>
      </c>
      <c r="Q4560" s="492">
        <v>0.8</v>
      </c>
      <c r="R4560" s="492">
        <v>0.9</v>
      </c>
      <c r="S4560" s="492">
        <v>1</v>
      </c>
      <c r="T4560" s="223" t="s">
        <v>1581</v>
      </c>
      <c r="U4560" t="str">
        <f>VLOOKUP(T4560,[8]Votes!$A$1:$E$234,3,FALSE)</f>
        <v>119 Uganda Registration Services Bureau</v>
      </c>
      <c r="V4560" s="162" t="s">
        <v>16130</v>
      </c>
      <c r="W4560" s="501">
        <v>1</v>
      </c>
      <c r="X4560" s="501">
        <v>1</v>
      </c>
      <c r="Y4560" s="501">
        <v>1</v>
      </c>
      <c r="Z4560" s="501">
        <v>1</v>
      </c>
      <c r="AA4560" s="501">
        <v>1</v>
      </c>
      <c r="AB4560" s="501">
        <v>1</v>
      </c>
      <c r="AC4560" s="150">
        <v>1</v>
      </c>
      <c r="AD4560" s="150">
        <v>1</v>
      </c>
      <c r="AE4560" s="49">
        <f t="shared" si="164"/>
        <v>1</v>
      </c>
      <c r="AF4560" s="190">
        <v>1</v>
      </c>
      <c r="AG4560" s="17">
        <v>0</v>
      </c>
      <c r="AH4560" s="190">
        <v>0</v>
      </c>
      <c r="AI4560" s="190">
        <v>0</v>
      </c>
      <c r="AJ4560" s="360">
        <v>15.5</v>
      </c>
      <c r="AK4560" s="527">
        <f>7.8-0.35</f>
        <v>7.45</v>
      </c>
      <c r="AL4560" s="361">
        <f>6-0.31</f>
        <v>5.69</v>
      </c>
      <c r="AM4560" s="17">
        <f t="shared" si="165"/>
        <v>13.14</v>
      </c>
      <c r="AN4560" s="162" t="s">
        <v>1581</v>
      </c>
      <c r="AO4560" s="162" t="s">
        <v>1583</v>
      </c>
    </row>
    <row r="4561" spans="1:41" s="162" customFormat="1" x14ac:dyDescent="0.3">
      <c r="A4561" s="205" t="s">
        <v>8321</v>
      </c>
      <c r="B4561" s="162" t="s">
        <v>8322</v>
      </c>
      <c r="C4561" s="168" t="s">
        <v>13469</v>
      </c>
      <c r="D4561" s="162" t="s">
        <v>13544</v>
      </c>
      <c r="E4561" s="406" t="s">
        <v>13629</v>
      </c>
      <c r="F4561" s="162" t="s">
        <v>13630</v>
      </c>
      <c r="G4561" s="406">
        <v>163801</v>
      </c>
      <c r="H4561" s="162" t="s">
        <v>13631</v>
      </c>
      <c r="I4561" s="162" t="s">
        <v>16131</v>
      </c>
      <c r="J4561" s="162" t="s">
        <v>16132</v>
      </c>
      <c r="K4561" s="535" t="s">
        <v>16133</v>
      </c>
      <c r="L4561" s="162" t="s">
        <v>16134</v>
      </c>
      <c r="M4561" s="162" t="s">
        <v>16135</v>
      </c>
      <c r="O4561" s="224">
        <v>0</v>
      </c>
      <c r="P4561" s="492">
        <v>0.2</v>
      </c>
      <c r="Q4561" s="492">
        <v>0.5</v>
      </c>
      <c r="R4561" s="492">
        <v>0.7</v>
      </c>
      <c r="S4561" s="492">
        <v>1</v>
      </c>
      <c r="T4561" s="223" t="s">
        <v>1581</v>
      </c>
      <c r="U4561" t="str">
        <f>VLOOKUP(T4561,[8]Votes!$A$1:$E$234,3,FALSE)</f>
        <v>119 Uganda Registration Services Bureau</v>
      </c>
      <c r="V4561" s="162" t="s">
        <v>16136</v>
      </c>
      <c r="W4561" s="501">
        <v>1</v>
      </c>
      <c r="X4561" s="501">
        <v>1</v>
      </c>
      <c r="Y4561" s="501">
        <v>0</v>
      </c>
      <c r="Z4561" s="501">
        <v>1</v>
      </c>
      <c r="AA4561" s="501">
        <v>1</v>
      </c>
      <c r="AB4561" s="501">
        <v>1</v>
      </c>
      <c r="AC4561" s="150">
        <v>1</v>
      </c>
      <c r="AD4561" s="150">
        <v>1</v>
      </c>
      <c r="AE4561" s="49">
        <f t="shared" si="164"/>
        <v>0.875</v>
      </c>
      <c r="AF4561" s="190">
        <v>1</v>
      </c>
      <c r="AG4561" s="17">
        <v>0</v>
      </c>
      <c r="AH4561" s="190">
        <v>0</v>
      </c>
      <c r="AI4561" s="190">
        <v>0</v>
      </c>
      <c r="AJ4561" s="360">
        <v>5.8</v>
      </c>
      <c r="AK4561" s="361">
        <f>5.8-0.3</f>
        <v>5.5</v>
      </c>
      <c r="AL4561" s="361">
        <v>5.8</v>
      </c>
      <c r="AM4561" s="17">
        <f t="shared" si="165"/>
        <v>11.3</v>
      </c>
      <c r="AN4561" s="162" t="s">
        <v>1581</v>
      </c>
      <c r="AO4561" s="162" t="s">
        <v>1583</v>
      </c>
    </row>
    <row r="4562" spans="1:41" s="162" customFormat="1" x14ac:dyDescent="0.3">
      <c r="A4562" s="205" t="s">
        <v>8321</v>
      </c>
      <c r="B4562" s="162" t="s">
        <v>8322</v>
      </c>
      <c r="C4562" s="168" t="s">
        <v>13469</v>
      </c>
      <c r="D4562" s="162" t="s">
        <v>13544</v>
      </c>
      <c r="E4562" s="406" t="s">
        <v>13629</v>
      </c>
      <c r="F4562" s="162" t="s">
        <v>13630</v>
      </c>
      <c r="G4562" s="406">
        <v>163801</v>
      </c>
      <c r="H4562" s="162" t="s">
        <v>13631</v>
      </c>
      <c r="I4562" s="162" t="s">
        <v>16131</v>
      </c>
      <c r="J4562" s="162" t="s">
        <v>16132</v>
      </c>
      <c r="K4562" s="535" t="s">
        <v>16133</v>
      </c>
      <c r="L4562" s="162" t="s">
        <v>16134</v>
      </c>
      <c r="M4562" s="162" t="s">
        <v>16135</v>
      </c>
      <c r="O4562" s="224"/>
      <c r="P4562" s="224"/>
      <c r="Q4562" s="224"/>
      <c r="R4562" s="224"/>
      <c r="S4562" s="224"/>
      <c r="T4562" s="223" t="s">
        <v>1581</v>
      </c>
      <c r="U4562" t="str">
        <f>VLOOKUP(T4562,[8]Votes!$A$1:$E$234,3,FALSE)</f>
        <v>119 Uganda Registration Services Bureau</v>
      </c>
      <c r="V4562" s="162" t="s">
        <v>16137</v>
      </c>
      <c r="W4562" s="501">
        <v>1</v>
      </c>
      <c r="X4562" s="501">
        <v>1</v>
      </c>
      <c r="Y4562" s="501">
        <v>0</v>
      </c>
      <c r="Z4562" s="501">
        <v>1</v>
      </c>
      <c r="AA4562" s="501">
        <v>1</v>
      </c>
      <c r="AB4562" s="501">
        <v>0</v>
      </c>
      <c r="AC4562" s="150">
        <v>1</v>
      </c>
      <c r="AD4562" s="150">
        <v>1</v>
      </c>
      <c r="AE4562" s="49">
        <f t="shared" si="164"/>
        <v>0.75</v>
      </c>
      <c r="AF4562" s="190">
        <v>1</v>
      </c>
      <c r="AG4562" s="17">
        <v>0</v>
      </c>
      <c r="AH4562" s="190">
        <v>0</v>
      </c>
      <c r="AI4562" s="190">
        <v>0</v>
      </c>
      <c r="AJ4562" s="360">
        <v>0.6</v>
      </c>
      <c r="AK4562" s="361">
        <v>0.6</v>
      </c>
      <c r="AL4562" s="361">
        <v>0.6</v>
      </c>
      <c r="AM4562" s="17">
        <f t="shared" si="165"/>
        <v>1.2</v>
      </c>
      <c r="AN4562" s="162" t="s">
        <v>1581</v>
      </c>
      <c r="AO4562" s="162" t="s">
        <v>1583</v>
      </c>
    </row>
    <row r="4563" spans="1:41" s="162" customFormat="1" x14ac:dyDescent="0.3">
      <c r="A4563" s="205" t="s">
        <v>8321</v>
      </c>
      <c r="B4563" s="162" t="s">
        <v>8322</v>
      </c>
      <c r="C4563" s="168" t="s">
        <v>13469</v>
      </c>
      <c r="D4563" s="162" t="s">
        <v>13544</v>
      </c>
      <c r="E4563" s="406" t="s">
        <v>13629</v>
      </c>
      <c r="F4563" s="162" t="s">
        <v>13630</v>
      </c>
      <c r="G4563" s="406">
        <v>163801</v>
      </c>
      <c r="H4563" s="162" t="s">
        <v>13631</v>
      </c>
      <c r="I4563" s="162" t="s">
        <v>16131</v>
      </c>
      <c r="J4563" s="162" t="s">
        <v>16132</v>
      </c>
      <c r="K4563" s="535" t="s">
        <v>16133</v>
      </c>
      <c r="L4563" s="162" t="s">
        <v>16134</v>
      </c>
      <c r="M4563" s="162" t="s">
        <v>16135</v>
      </c>
      <c r="O4563" s="224"/>
      <c r="P4563" s="224"/>
      <c r="Q4563" s="224"/>
      <c r="R4563" s="224"/>
      <c r="S4563" s="224"/>
      <c r="T4563" s="223" t="s">
        <v>1581</v>
      </c>
      <c r="U4563" t="str">
        <f>VLOOKUP(T4563,[8]Votes!$A$1:$E$234,3,FALSE)</f>
        <v>119 Uganda Registration Services Bureau</v>
      </c>
      <c r="V4563" s="162" t="s">
        <v>16138</v>
      </c>
      <c r="W4563" s="501">
        <v>1</v>
      </c>
      <c r="X4563" s="501">
        <v>1</v>
      </c>
      <c r="Y4563" s="501">
        <v>1</v>
      </c>
      <c r="Z4563" s="501">
        <v>1</v>
      </c>
      <c r="AA4563" s="501">
        <v>1</v>
      </c>
      <c r="AB4563" s="501">
        <v>1</v>
      </c>
      <c r="AC4563" s="150">
        <v>1</v>
      </c>
      <c r="AD4563" s="150">
        <v>1</v>
      </c>
      <c r="AE4563" s="49">
        <f t="shared" si="164"/>
        <v>1</v>
      </c>
      <c r="AF4563" s="190">
        <v>1</v>
      </c>
      <c r="AG4563" s="17">
        <v>0</v>
      </c>
      <c r="AH4563" s="190">
        <v>0</v>
      </c>
      <c r="AI4563" s="190">
        <v>0</v>
      </c>
      <c r="AJ4563" s="360">
        <v>0.6</v>
      </c>
      <c r="AK4563" s="361">
        <v>0.6</v>
      </c>
      <c r="AL4563" s="361">
        <v>0.6</v>
      </c>
      <c r="AM4563" s="17">
        <f t="shared" si="165"/>
        <v>1.2</v>
      </c>
      <c r="AN4563" s="162" t="s">
        <v>1581</v>
      </c>
      <c r="AO4563" s="162" t="s">
        <v>1583</v>
      </c>
    </row>
    <row r="4564" spans="1:41" s="162" customFormat="1" x14ac:dyDescent="0.3">
      <c r="A4564" s="205" t="s">
        <v>8321</v>
      </c>
      <c r="B4564" s="162" t="s">
        <v>8322</v>
      </c>
      <c r="C4564" s="168" t="s">
        <v>13469</v>
      </c>
      <c r="D4564" s="162" t="s">
        <v>13544</v>
      </c>
      <c r="E4564" s="406" t="s">
        <v>13629</v>
      </c>
      <c r="F4564" s="162" t="s">
        <v>13630</v>
      </c>
      <c r="G4564" s="406">
        <v>163801</v>
      </c>
      <c r="H4564" s="162" t="s">
        <v>13631</v>
      </c>
      <c r="I4564" s="162" t="s">
        <v>16131</v>
      </c>
      <c r="J4564" s="162" t="s">
        <v>16132</v>
      </c>
      <c r="K4564" s="535" t="s">
        <v>16133</v>
      </c>
      <c r="L4564" s="162" t="s">
        <v>16134</v>
      </c>
      <c r="M4564" s="162" t="s">
        <v>16135</v>
      </c>
      <c r="O4564" s="224"/>
      <c r="P4564" s="224"/>
      <c r="Q4564" s="224"/>
      <c r="R4564" s="224"/>
      <c r="S4564" s="224"/>
      <c r="T4564" s="223" t="s">
        <v>1581</v>
      </c>
      <c r="U4564" t="str">
        <f>VLOOKUP(T4564,[8]Votes!$A$1:$E$234,3,FALSE)</f>
        <v>119 Uganda Registration Services Bureau</v>
      </c>
      <c r="V4564" s="162" t="s">
        <v>16139</v>
      </c>
      <c r="W4564" s="501">
        <v>1</v>
      </c>
      <c r="X4564" s="501">
        <v>1</v>
      </c>
      <c r="Y4564" s="501">
        <v>0</v>
      </c>
      <c r="Z4564" s="501">
        <v>1</v>
      </c>
      <c r="AA4564" s="501">
        <v>1</v>
      </c>
      <c r="AB4564" s="501">
        <v>0</v>
      </c>
      <c r="AC4564" s="150">
        <v>1</v>
      </c>
      <c r="AD4564" s="150">
        <v>1</v>
      </c>
      <c r="AE4564" s="49">
        <f t="shared" si="164"/>
        <v>0.75</v>
      </c>
      <c r="AF4564" s="190">
        <v>1</v>
      </c>
      <c r="AG4564" s="17">
        <v>0</v>
      </c>
      <c r="AH4564" s="190">
        <v>0</v>
      </c>
      <c r="AI4564" s="190">
        <v>0</v>
      </c>
      <c r="AJ4564" s="360">
        <v>0.28000000000000003</v>
      </c>
      <c r="AK4564" s="361">
        <v>0.28000000000000003</v>
      </c>
      <c r="AL4564" s="361">
        <v>0.28000000000000003</v>
      </c>
      <c r="AM4564" s="17">
        <f t="shared" si="165"/>
        <v>0.56000000000000005</v>
      </c>
      <c r="AN4564" s="162" t="s">
        <v>1581</v>
      </c>
      <c r="AO4564" s="162" t="s">
        <v>1583</v>
      </c>
    </row>
    <row r="4565" spans="1:41" s="162" customFormat="1" x14ac:dyDescent="0.3">
      <c r="A4565" s="205" t="s">
        <v>8321</v>
      </c>
      <c r="B4565" s="162" t="s">
        <v>8322</v>
      </c>
      <c r="C4565" s="168" t="s">
        <v>13469</v>
      </c>
      <c r="D4565" s="162" t="s">
        <v>13544</v>
      </c>
      <c r="E4565" s="406" t="s">
        <v>13629</v>
      </c>
      <c r="F4565" s="162" t="s">
        <v>13630</v>
      </c>
      <c r="G4565" s="406">
        <v>163801</v>
      </c>
      <c r="H4565" s="162" t="s">
        <v>13631</v>
      </c>
      <c r="I4565" s="162" t="s">
        <v>16131</v>
      </c>
      <c r="J4565" s="162" t="s">
        <v>16132</v>
      </c>
      <c r="K4565" s="535" t="s">
        <v>16133</v>
      </c>
      <c r="L4565" s="162" t="s">
        <v>16134</v>
      </c>
      <c r="M4565" s="162" t="s">
        <v>16140</v>
      </c>
      <c r="O4565" s="224" t="s">
        <v>16141</v>
      </c>
      <c r="P4565" s="492">
        <v>0.55000000000000004</v>
      </c>
      <c r="Q4565" s="492">
        <v>0.6</v>
      </c>
      <c r="R4565" s="492">
        <v>0.65</v>
      </c>
      <c r="S4565" s="492">
        <v>0.7</v>
      </c>
      <c r="T4565" s="223" t="s">
        <v>16098</v>
      </c>
      <c r="U4565" t="e">
        <f>VLOOKUP(T4565,[8]Votes!$A$1:$E$234,3,FALSE)</f>
        <v>#N/A</v>
      </c>
      <c r="V4565" s="162" t="s">
        <v>16142</v>
      </c>
      <c r="W4565" s="501">
        <v>0</v>
      </c>
      <c r="X4565" s="501">
        <v>0</v>
      </c>
      <c r="Y4565" s="501">
        <v>0</v>
      </c>
      <c r="Z4565" s="501">
        <v>0</v>
      </c>
      <c r="AA4565" s="501">
        <v>0</v>
      </c>
      <c r="AB4565" s="501">
        <v>0</v>
      </c>
      <c r="AC4565" s="150">
        <v>0</v>
      </c>
      <c r="AD4565" s="150">
        <v>0</v>
      </c>
      <c r="AE4565" s="49">
        <f t="shared" si="164"/>
        <v>0</v>
      </c>
      <c r="AF4565" s="190">
        <v>1</v>
      </c>
      <c r="AG4565" s="17">
        <v>0</v>
      </c>
      <c r="AH4565" s="190">
        <v>0</v>
      </c>
      <c r="AI4565" s="190">
        <v>0</v>
      </c>
      <c r="AJ4565" s="190">
        <v>0</v>
      </c>
      <c r="AK4565" s="361">
        <v>0</v>
      </c>
      <c r="AL4565" s="361">
        <v>0</v>
      </c>
      <c r="AM4565" s="17">
        <f t="shared" si="165"/>
        <v>0</v>
      </c>
      <c r="AN4565" s="162" t="s">
        <v>16100</v>
      </c>
      <c r="AO4565" s="162" t="s">
        <v>3877</v>
      </c>
    </row>
    <row r="4566" spans="1:41" s="162" customFormat="1" x14ac:dyDescent="0.3">
      <c r="A4566" s="205" t="s">
        <v>8321</v>
      </c>
      <c r="B4566" s="162" t="s">
        <v>8322</v>
      </c>
      <c r="C4566" s="168" t="s">
        <v>13469</v>
      </c>
      <c r="D4566" s="162" t="s">
        <v>13544</v>
      </c>
      <c r="E4566" s="406" t="s">
        <v>13629</v>
      </c>
      <c r="F4566" s="162" t="s">
        <v>13630</v>
      </c>
      <c r="G4566" s="406">
        <v>163801</v>
      </c>
      <c r="H4566" s="162" t="s">
        <v>13631</v>
      </c>
      <c r="I4566" s="162" t="s">
        <v>16131</v>
      </c>
      <c r="J4566" s="162" t="s">
        <v>16132</v>
      </c>
      <c r="K4566" s="535" t="s">
        <v>16133</v>
      </c>
      <c r="L4566" s="162" t="s">
        <v>16134</v>
      </c>
      <c r="M4566" s="162" t="s">
        <v>16140</v>
      </c>
      <c r="O4566" s="224"/>
      <c r="P4566" s="492">
        <v>0.35</v>
      </c>
      <c r="Q4566" s="492">
        <v>0.38</v>
      </c>
      <c r="R4566" s="492">
        <v>0.41</v>
      </c>
      <c r="S4566" s="492">
        <v>0.44</v>
      </c>
      <c r="T4566" s="223" t="s">
        <v>16098</v>
      </c>
      <c r="U4566" t="e">
        <f>VLOOKUP(T4566,[8]Votes!$A$1:$E$234,3,FALSE)</f>
        <v>#N/A</v>
      </c>
      <c r="V4566" s="162" t="s">
        <v>16143</v>
      </c>
      <c r="W4566" s="501">
        <v>0</v>
      </c>
      <c r="X4566" s="501">
        <v>0</v>
      </c>
      <c r="Y4566" s="501">
        <v>0</v>
      </c>
      <c r="Z4566" s="501">
        <v>0</v>
      </c>
      <c r="AA4566" s="501">
        <v>0</v>
      </c>
      <c r="AB4566" s="501">
        <v>0</v>
      </c>
      <c r="AC4566" s="150">
        <v>0</v>
      </c>
      <c r="AD4566" s="150">
        <v>0</v>
      </c>
      <c r="AE4566" s="49">
        <f t="shared" si="164"/>
        <v>0</v>
      </c>
      <c r="AF4566" s="190">
        <v>1</v>
      </c>
      <c r="AG4566" s="17">
        <v>0</v>
      </c>
      <c r="AH4566" s="190">
        <v>0</v>
      </c>
      <c r="AI4566" s="190">
        <v>0</v>
      </c>
      <c r="AJ4566" s="190">
        <v>0</v>
      </c>
      <c r="AK4566" s="361">
        <v>0</v>
      </c>
      <c r="AL4566" s="361">
        <v>0</v>
      </c>
      <c r="AM4566" s="17">
        <f t="shared" si="165"/>
        <v>0</v>
      </c>
      <c r="AN4566" s="162" t="s">
        <v>16100</v>
      </c>
      <c r="AO4566" s="162" t="s">
        <v>3877</v>
      </c>
    </row>
    <row r="4567" spans="1:41" s="162" customFormat="1" x14ac:dyDescent="0.3">
      <c r="A4567" s="205" t="s">
        <v>8321</v>
      </c>
      <c r="B4567" s="162" t="s">
        <v>8322</v>
      </c>
      <c r="C4567" s="168" t="s">
        <v>13469</v>
      </c>
      <c r="D4567" s="162" t="s">
        <v>13544</v>
      </c>
      <c r="E4567" s="406" t="s">
        <v>13629</v>
      </c>
      <c r="F4567" s="162" t="s">
        <v>13630</v>
      </c>
      <c r="G4567" s="406">
        <v>163801</v>
      </c>
      <c r="H4567" s="162" t="s">
        <v>13631</v>
      </c>
      <c r="I4567" s="162" t="s">
        <v>16131</v>
      </c>
      <c r="J4567" s="162" t="s">
        <v>16132</v>
      </c>
      <c r="K4567" s="535" t="s">
        <v>16144</v>
      </c>
      <c r="L4567" s="162" t="s">
        <v>16145</v>
      </c>
      <c r="M4567" s="162" t="s">
        <v>16146</v>
      </c>
      <c r="O4567" s="224"/>
      <c r="P4567" s="492"/>
      <c r="Q4567" s="492"/>
      <c r="R4567" s="492"/>
      <c r="S4567" s="492"/>
      <c r="T4567" s="223" t="s">
        <v>1581</v>
      </c>
      <c r="U4567" t="str">
        <f>VLOOKUP(T4567,[8]Votes!$A$1:$E$234,3,FALSE)</f>
        <v>119 Uganda Registration Services Bureau</v>
      </c>
      <c r="V4567" s="162" t="s">
        <v>16147</v>
      </c>
      <c r="W4567" s="501">
        <v>1</v>
      </c>
      <c r="X4567" s="501">
        <v>1</v>
      </c>
      <c r="Y4567" s="501">
        <v>0</v>
      </c>
      <c r="Z4567" s="501">
        <v>1</v>
      </c>
      <c r="AA4567" s="501">
        <v>1</v>
      </c>
      <c r="AB4567" s="501">
        <v>0</v>
      </c>
      <c r="AC4567" s="150">
        <v>1</v>
      </c>
      <c r="AD4567" s="150">
        <v>1</v>
      </c>
      <c r="AE4567" s="49">
        <f t="shared" si="164"/>
        <v>0.75</v>
      </c>
      <c r="AF4567" s="190">
        <v>1</v>
      </c>
      <c r="AG4567" s="17">
        <v>0</v>
      </c>
      <c r="AH4567" s="190">
        <v>0</v>
      </c>
      <c r="AI4567" s="190">
        <v>0</v>
      </c>
      <c r="AJ4567" s="190">
        <v>0</v>
      </c>
      <c r="AK4567" s="191">
        <v>1</v>
      </c>
      <c r="AL4567" s="361">
        <v>0.8</v>
      </c>
      <c r="AM4567" s="17">
        <f t="shared" si="165"/>
        <v>1.8</v>
      </c>
      <c r="AN4567" s="162" t="s">
        <v>1581</v>
      </c>
      <c r="AO4567" s="162" t="s">
        <v>1583</v>
      </c>
    </row>
    <row r="4568" spans="1:41" s="162" customFormat="1" x14ac:dyDescent="0.3">
      <c r="A4568" s="205" t="s">
        <v>8321</v>
      </c>
      <c r="B4568" s="162" t="s">
        <v>8322</v>
      </c>
      <c r="C4568" s="168" t="s">
        <v>13469</v>
      </c>
      <c r="D4568" s="162" t="s">
        <v>13544</v>
      </c>
      <c r="E4568" s="406" t="s">
        <v>13629</v>
      </c>
      <c r="F4568" s="162" t="s">
        <v>13630</v>
      </c>
      <c r="G4568" s="406">
        <v>163801</v>
      </c>
      <c r="H4568" s="162" t="s">
        <v>13631</v>
      </c>
      <c r="I4568" s="162" t="s">
        <v>16131</v>
      </c>
      <c r="J4568" s="162" t="s">
        <v>16132</v>
      </c>
      <c r="K4568" s="535" t="s">
        <v>16148</v>
      </c>
      <c r="L4568" s="162" t="s">
        <v>16149</v>
      </c>
      <c r="M4568" s="162" t="s">
        <v>16146</v>
      </c>
      <c r="O4568" s="492"/>
      <c r="P4568" s="492"/>
      <c r="Q4568" s="492"/>
      <c r="R4568" s="224"/>
      <c r="S4568" s="224"/>
      <c r="T4568" s="223" t="s">
        <v>1581</v>
      </c>
      <c r="U4568" t="str">
        <f>VLOOKUP(T4568,[8]Votes!$A$1:$E$234,3,FALSE)</f>
        <v>119 Uganda Registration Services Bureau</v>
      </c>
      <c r="V4568" s="162" t="s">
        <v>16150</v>
      </c>
      <c r="W4568" s="501">
        <v>1</v>
      </c>
      <c r="X4568" s="501">
        <v>1</v>
      </c>
      <c r="Y4568" s="501">
        <v>0</v>
      </c>
      <c r="Z4568" s="501">
        <v>1</v>
      </c>
      <c r="AA4568" s="501">
        <v>1</v>
      </c>
      <c r="AB4568" s="501">
        <v>0</v>
      </c>
      <c r="AC4568" s="150">
        <v>1</v>
      </c>
      <c r="AD4568" s="150">
        <v>1</v>
      </c>
      <c r="AE4568" s="49">
        <f t="shared" si="164"/>
        <v>0.75</v>
      </c>
      <c r="AF4568" s="190">
        <v>1</v>
      </c>
      <c r="AG4568" s="17">
        <v>0</v>
      </c>
      <c r="AH4568" s="190">
        <v>0</v>
      </c>
      <c r="AI4568" s="190">
        <v>0</v>
      </c>
      <c r="AJ4568" s="190">
        <v>0</v>
      </c>
      <c r="AK4568" s="191">
        <v>0.5</v>
      </c>
      <c r="AL4568" s="361">
        <v>0.9</v>
      </c>
      <c r="AM4568" s="17">
        <f t="shared" si="165"/>
        <v>1.4</v>
      </c>
      <c r="AN4568" s="162" t="s">
        <v>1581</v>
      </c>
      <c r="AO4568" s="162" t="s">
        <v>1583</v>
      </c>
    </row>
    <row r="4569" spans="1:41" s="162" customFormat="1" x14ac:dyDescent="0.3">
      <c r="A4569" s="205" t="s">
        <v>8321</v>
      </c>
      <c r="B4569" s="162" t="s">
        <v>8322</v>
      </c>
      <c r="C4569" s="168" t="s">
        <v>13469</v>
      </c>
      <c r="D4569" s="162" t="s">
        <v>13544</v>
      </c>
      <c r="E4569" s="406" t="s">
        <v>13629</v>
      </c>
      <c r="F4569" s="162" t="s">
        <v>13630</v>
      </c>
      <c r="G4569" s="406">
        <v>163801</v>
      </c>
      <c r="H4569" s="162" t="s">
        <v>13631</v>
      </c>
      <c r="I4569" s="162" t="s">
        <v>16151</v>
      </c>
      <c r="J4569" s="162" t="s">
        <v>16152</v>
      </c>
      <c r="K4569" s="162" t="s">
        <v>16153</v>
      </c>
      <c r="L4569" s="162" t="s">
        <v>16154</v>
      </c>
      <c r="M4569" s="162" t="s">
        <v>16155</v>
      </c>
      <c r="O4569" s="492">
        <v>0.4</v>
      </c>
      <c r="P4569" s="492">
        <v>0.55000000000000004</v>
      </c>
      <c r="Q4569" s="492">
        <v>0.6</v>
      </c>
      <c r="R4569" s="224"/>
      <c r="S4569" s="224"/>
      <c r="T4569" s="223" t="s">
        <v>16098</v>
      </c>
      <c r="U4569" t="e">
        <f>VLOOKUP(T4569,[8]Votes!$A$1:$E$234,3,FALSE)</f>
        <v>#N/A</v>
      </c>
      <c r="V4569" s="162" t="s">
        <v>16156</v>
      </c>
      <c r="W4569" s="501">
        <v>1</v>
      </c>
      <c r="X4569" s="501">
        <v>1</v>
      </c>
      <c r="Y4569" s="501">
        <v>0</v>
      </c>
      <c r="Z4569" s="501">
        <v>1</v>
      </c>
      <c r="AA4569" s="501">
        <v>1</v>
      </c>
      <c r="AB4569" s="501">
        <v>0</v>
      </c>
      <c r="AC4569" s="150">
        <v>1</v>
      </c>
      <c r="AD4569" s="150">
        <v>1</v>
      </c>
      <c r="AE4569" s="49">
        <f t="shared" si="164"/>
        <v>0.75</v>
      </c>
      <c r="AF4569" s="190">
        <v>1</v>
      </c>
      <c r="AG4569" s="17">
        <v>0</v>
      </c>
      <c r="AH4569" s="190">
        <v>0</v>
      </c>
      <c r="AI4569" s="190">
        <v>0</v>
      </c>
      <c r="AJ4569" s="360">
        <v>0.8</v>
      </c>
      <c r="AK4569" s="361">
        <v>0</v>
      </c>
      <c r="AL4569" s="191">
        <v>0</v>
      </c>
      <c r="AM4569" s="17">
        <f t="shared" si="165"/>
        <v>0</v>
      </c>
      <c r="AN4569" s="162" t="s">
        <v>16100</v>
      </c>
      <c r="AO4569" s="162" t="s">
        <v>3877</v>
      </c>
    </row>
    <row r="4570" spans="1:41" s="162" customFormat="1" x14ac:dyDescent="0.3">
      <c r="A4570" s="205" t="s">
        <v>8321</v>
      </c>
      <c r="B4570" s="162" t="s">
        <v>8322</v>
      </c>
      <c r="C4570" s="168" t="s">
        <v>13469</v>
      </c>
      <c r="D4570" s="162" t="s">
        <v>13544</v>
      </c>
      <c r="E4570" s="406" t="s">
        <v>13629</v>
      </c>
      <c r="F4570" s="162" t="s">
        <v>13630</v>
      </c>
      <c r="G4570" s="406">
        <v>163801</v>
      </c>
      <c r="H4570" s="162" t="s">
        <v>13631</v>
      </c>
      <c r="I4570" s="162" t="s">
        <v>16151</v>
      </c>
      <c r="J4570" s="162" t="s">
        <v>16152</v>
      </c>
      <c r="K4570" s="162" t="s">
        <v>16157</v>
      </c>
      <c r="L4570" s="162" t="s">
        <v>16158</v>
      </c>
      <c r="M4570" s="162" t="s">
        <v>16159</v>
      </c>
      <c r="O4570" s="492">
        <v>0.4</v>
      </c>
      <c r="P4570" s="492">
        <v>0.45</v>
      </c>
      <c r="Q4570" s="492">
        <v>0.5</v>
      </c>
      <c r="R4570" s="492">
        <v>0.55000000000000004</v>
      </c>
      <c r="S4570" s="492">
        <v>0.6</v>
      </c>
      <c r="T4570" s="223" t="s">
        <v>3875</v>
      </c>
      <c r="U4570" t="str">
        <f>VLOOKUP(T4570,[8]Votes!$A$1:$E$234,3,FALSE)</f>
        <v>007 Ministry of Justice and Constitutional Affairs</v>
      </c>
      <c r="V4570" s="162" t="s">
        <v>16160</v>
      </c>
      <c r="W4570" s="501">
        <v>1</v>
      </c>
      <c r="X4570" s="501">
        <v>1</v>
      </c>
      <c r="Y4570" s="501">
        <v>0</v>
      </c>
      <c r="Z4570" s="501">
        <v>1</v>
      </c>
      <c r="AA4570" s="501">
        <v>1</v>
      </c>
      <c r="AB4570" s="501">
        <v>0</v>
      </c>
      <c r="AC4570" s="150">
        <v>1</v>
      </c>
      <c r="AD4570" s="150">
        <v>1</v>
      </c>
      <c r="AE4570" s="49">
        <f t="shared" si="164"/>
        <v>0.75</v>
      </c>
      <c r="AF4570" s="190">
        <v>1</v>
      </c>
      <c r="AG4570" s="17">
        <v>0</v>
      </c>
      <c r="AH4570" s="360">
        <v>13</v>
      </c>
      <c r="AI4570" s="360">
        <v>13.5</v>
      </c>
      <c r="AJ4570" s="360">
        <v>14</v>
      </c>
      <c r="AK4570" s="361">
        <v>0.06</v>
      </c>
      <c r="AL4570" s="361">
        <v>0.2</v>
      </c>
      <c r="AM4570" s="17">
        <f t="shared" si="165"/>
        <v>0.26</v>
      </c>
      <c r="AN4570" s="223" t="s">
        <v>3875</v>
      </c>
      <c r="AO4570" s="162" t="s">
        <v>3877</v>
      </c>
    </row>
    <row r="4571" spans="1:41" s="162" customFormat="1" x14ac:dyDescent="0.3">
      <c r="A4571" s="205" t="s">
        <v>8321</v>
      </c>
      <c r="B4571" s="162" t="s">
        <v>8322</v>
      </c>
      <c r="C4571" s="168" t="s">
        <v>13469</v>
      </c>
      <c r="D4571" s="162" t="s">
        <v>13544</v>
      </c>
      <c r="E4571" s="406" t="s">
        <v>13629</v>
      </c>
      <c r="F4571" s="162" t="s">
        <v>13630</v>
      </c>
      <c r="G4571" s="406">
        <v>163801</v>
      </c>
      <c r="H4571" s="162" t="s">
        <v>13631</v>
      </c>
      <c r="I4571" s="162" t="s">
        <v>16151</v>
      </c>
      <c r="J4571" s="162" t="s">
        <v>16152</v>
      </c>
      <c r="K4571" s="162" t="s">
        <v>16157</v>
      </c>
      <c r="L4571" s="162" t="s">
        <v>16158</v>
      </c>
      <c r="O4571" s="492">
        <v>0.4</v>
      </c>
      <c r="P4571" s="492">
        <v>0.55000000000000004</v>
      </c>
      <c r="Q4571" s="492">
        <v>0.6</v>
      </c>
      <c r="R4571" s="492">
        <v>0.65</v>
      </c>
      <c r="S4571" s="492">
        <v>0.7</v>
      </c>
      <c r="T4571" s="223" t="s">
        <v>16098</v>
      </c>
      <c r="U4571" t="e">
        <f>VLOOKUP(T4571,[8]Votes!$A$1:$E$234,3,FALSE)</f>
        <v>#N/A</v>
      </c>
      <c r="V4571" s="162" t="s">
        <v>16156</v>
      </c>
      <c r="W4571" s="501">
        <v>1</v>
      </c>
      <c r="X4571" s="501">
        <v>1</v>
      </c>
      <c r="Y4571" s="501">
        <v>0</v>
      </c>
      <c r="Z4571" s="501">
        <v>1</v>
      </c>
      <c r="AA4571" s="501">
        <v>1</v>
      </c>
      <c r="AB4571" s="501">
        <v>0</v>
      </c>
      <c r="AC4571" s="150">
        <v>1</v>
      </c>
      <c r="AD4571" s="150">
        <v>1</v>
      </c>
      <c r="AE4571" s="49">
        <f t="shared" si="164"/>
        <v>0.75</v>
      </c>
      <c r="AF4571" s="190">
        <v>1</v>
      </c>
      <c r="AG4571" s="17">
        <v>0</v>
      </c>
      <c r="AH4571" s="190">
        <v>0</v>
      </c>
      <c r="AI4571" s="190">
        <v>0</v>
      </c>
      <c r="AJ4571" s="360">
        <v>0.8</v>
      </c>
      <c r="AK4571" s="361">
        <v>0</v>
      </c>
      <c r="AL4571" s="361">
        <v>0</v>
      </c>
      <c r="AM4571" s="17">
        <f t="shared" si="165"/>
        <v>0</v>
      </c>
      <c r="AN4571" s="162" t="s">
        <v>16100</v>
      </c>
      <c r="AO4571" s="162" t="s">
        <v>3877</v>
      </c>
    </row>
    <row r="4572" spans="1:41" s="162" customFormat="1" x14ac:dyDescent="0.3">
      <c r="A4572" s="205" t="s">
        <v>8321</v>
      </c>
      <c r="B4572" s="162" t="s">
        <v>8322</v>
      </c>
      <c r="C4572" s="168" t="s">
        <v>13469</v>
      </c>
      <c r="D4572" s="162" t="s">
        <v>13544</v>
      </c>
      <c r="E4572" s="406" t="s">
        <v>13629</v>
      </c>
      <c r="F4572" s="162" t="s">
        <v>13630</v>
      </c>
      <c r="G4572" s="406">
        <v>163801</v>
      </c>
      <c r="H4572" s="162" t="s">
        <v>13631</v>
      </c>
      <c r="I4572" s="162" t="s">
        <v>16151</v>
      </c>
      <c r="J4572" s="162" t="s">
        <v>16152</v>
      </c>
      <c r="K4572" s="162" t="s">
        <v>16161</v>
      </c>
      <c r="L4572" s="162" t="s">
        <v>16140</v>
      </c>
      <c r="M4572" s="162" t="s">
        <v>16162</v>
      </c>
      <c r="O4572" s="224"/>
      <c r="P4572" s="224"/>
      <c r="Q4572" s="224"/>
      <c r="R4572" s="224"/>
      <c r="S4572" s="224"/>
      <c r="T4572" s="223" t="s">
        <v>16098</v>
      </c>
      <c r="U4572" t="e">
        <f>VLOOKUP(T4572,[8]Votes!$A$1:$E$234,3,FALSE)</f>
        <v>#N/A</v>
      </c>
      <c r="V4572" s="162" t="s">
        <v>16163</v>
      </c>
      <c r="W4572" s="501">
        <v>1</v>
      </c>
      <c r="X4572" s="501">
        <v>1</v>
      </c>
      <c r="Y4572" s="501">
        <v>0</v>
      </c>
      <c r="Z4572" s="501">
        <v>1</v>
      </c>
      <c r="AA4572" s="501">
        <v>1</v>
      </c>
      <c r="AB4572" s="501">
        <v>0</v>
      </c>
      <c r="AC4572" s="150">
        <v>1</v>
      </c>
      <c r="AD4572" s="150">
        <v>1</v>
      </c>
      <c r="AE4572" s="49">
        <f t="shared" si="164"/>
        <v>0.75</v>
      </c>
      <c r="AF4572" s="190">
        <v>1</v>
      </c>
      <c r="AG4572" s="17">
        <v>0</v>
      </c>
      <c r="AH4572" s="190">
        <v>0</v>
      </c>
      <c r="AI4572" s="190">
        <v>0</v>
      </c>
      <c r="AJ4572" s="190">
        <v>0</v>
      </c>
      <c r="AK4572" s="361">
        <v>0</v>
      </c>
      <c r="AL4572" s="361">
        <v>0</v>
      </c>
      <c r="AM4572" s="17">
        <f t="shared" si="165"/>
        <v>0</v>
      </c>
      <c r="AN4572" s="162" t="s">
        <v>16100</v>
      </c>
      <c r="AO4572" s="162" t="s">
        <v>3877</v>
      </c>
    </row>
    <row r="4573" spans="1:41" s="162" customFormat="1" x14ac:dyDescent="0.3">
      <c r="A4573" s="205" t="s">
        <v>8321</v>
      </c>
      <c r="B4573" s="162" t="s">
        <v>8322</v>
      </c>
      <c r="C4573" s="168" t="s">
        <v>13469</v>
      </c>
      <c r="D4573" s="162" t="s">
        <v>13544</v>
      </c>
      <c r="E4573" s="406" t="s">
        <v>13629</v>
      </c>
      <c r="F4573" s="162" t="s">
        <v>13630</v>
      </c>
      <c r="G4573" s="406">
        <v>163801</v>
      </c>
      <c r="H4573" s="162" t="s">
        <v>13631</v>
      </c>
      <c r="I4573" s="386" t="s">
        <v>16053</v>
      </c>
      <c r="J4573" s="1" t="s">
        <v>12027</v>
      </c>
      <c r="K4573" s="162" t="s">
        <v>16164</v>
      </c>
      <c r="L4573" s="162" t="s">
        <v>16165</v>
      </c>
      <c r="M4573" s="162" t="s">
        <v>16166</v>
      </c>
      <c r="O4573" s="492">
        <v>0.2</v>
      </c>
      <c r="P4573" s="492">
        <v>0.5</v>
      </c>
      <c r="Q4573" s="492">
        <v>0.55000000000000004</v>
      </c>
      <c r="R4573" s="492">
        <v>0.6</v>
      </c>
      <c r="S4573" s="492">
        <v>0.7</v>
      </c>
      <c r="T4573" s="223" t="s">
        <v>1581</v>
      </c>
      <c r="U4573" t="str">
        <f>VLOOKUP(T4573,[8]Votes!$A$1:$E$234,3,FALSE)</f>
        <v>119 Uganda Registration Services Bureau</v>
      </c>
      <c r="V4573" s="162" t="s">
        <v>16167</v>
      </c>
      <c r="W4573" s="501">
        <v>1</v>
      </c>
      <c r="X4573" s="501">
        <v>1</v>
      </c>
      <c r="Y4573" s="501">
        <v>0</v>
      </c>
      <c r="Z4573" s="501">
        <v>1</v>
      </c>
      <c r="AA4573" s="501">
        <v>1</v>
      </c>
      <c r="AB4573" s="501">
        <v>0</v>
      </c>
      <c r="AC4573" s="150">
        <v>1</v>
      </c>
      <c r="AD4573" s="150">
        <v>1</v>
      </c>
      <c r="AE4573" s="49">
        <f t="shared" si="164"/>
        <v>0.75</v>
      </c>
      <c r="AF4573" s="190">
        <v>1</v>
      </c>
      <c r="AG4573" s="17">
        <v>0</v>
      </c>
      <c r="AH4573" s="190">
        <v>0</v>
      </c>
      <c r="AI4573" s="190">
        <v>0</v>
      </c>
      <c r="AJ4573" s="360">
        <v>494.78</v>
      </c>
      <c r="AK4573" s="361">
        <v>0.3</v>
      </c>
      <c r="AL4573" s="361">
        <v>0</v>
      </c>
      <c r="AM4573" s="17">
        <f t="shared" si="165"/>
        <v>0.3</v>
      </c>
      <c r="AN4573" s="162" t="s">
        <v>1581</v>
      </c>
      <c r="AO4573" s="162" t="s">
        <v>1583</v>
      </c>
    </row>
    <row r="4574" spans="1:41" s="162" customFormat="1" x14ac:dyDescent="0.3">
      <c r="A4574" s="205" t="s">
        <v>8321</v>
      </c>
      <c r="B4574" s="162" t="s">
        <v>8322</v>
      </c>
      <c r="C4574" s="168" t="s">
        <v>13530</v>
      </c>
      <c r="D4574" s="162" t="s">
        <v>13531</v>
      </c>
      <c r="E4574" s="406" t="s">
        <v>13532</v>
      </c>
      <c r="F4574" s="406" t="s">
        <v>13533</v>
      </c>
      <c r="G4574" s="406">
        <v>166604</v>
      </c>
      <c r="H4574" s="162" t="s">
        <v>13640</v>
      </c>
      <c r="I4574" s="162" t="s">
        <v>16168</v>
      </c>
      <c r="J4574" s="162" t="s">
        <v>16169</v>
      </c>
      <c r="K4574" s="162" t="s">
        <v>16170</v>
      </c>
      <c r="L4574" s="162" t="s">
        <v>16171</v>
      </c>
      <c r="M4574" s="162" t="s">
        <v>16172</v>
      </c>
      <c r="O4574" s="492" t="s">
        <v>16173</v>
      </c>
      <c r="P4574" s="492" t="s">
        <v>16173</v>
      </c>
      <c r="Q4574" s="492" t="s">
        <v>16173</v>
      </c>
      <c r="R4574" s="492" t="s">
        <v>16173</v>
      </c>
      <c r="S4574" s="492" t="s">
        <v>16173</v>
      </c>
      <c r="T4574" s="223" t="s">
        <v>16174</v>
      </c>
      <c r="U4574" t="e">
        <f>VLOOKUP(T4574,[8]Votes!$A$1:$E$234,3,FALSE)</f>
        <v>#N/A</v>
      </c>
      <c r="V4574" s="162" t="s">
        <v>16175</v>
      </c>
      <c r="W4574" s="407">
        <v>0</v>
      </c>
      <c r="X4574" s="407">
        <v>1</v>
      </c>
      <c r="Y4574" s="407">
        <v>0</v>
      </c>
      <c r="Z4574" s="407">
        <v>1</v>
      </c>
      <c r="AA4574" s="407">
        <v>1</v>
      </c>
      <c r="AB4574" s="407">
        <v>1</v>
      </c>
      <c r="AC4574" s="150">
        <v>0</v>
      </c>
      <c r="AD4574" s="150">
        <v>1</v>
      </c>
      <c r="AE4574" s="49">
        <f t="shared" si="164"/>
        <v>0.625</v>
      </c>
      <c r="AF4574" s="23"/>
      <c r="AG4574" s="17">
        <v>0</v>
      </c>
      <c r="AH4574" s="190">
        <v>0</v>
      </c>
      <c r="AI4574" s="190">
        <v>0</v>
      </c>
      <c r="AJ4574" s="485">
        <v>156.477</v>
      </c>
      <c r="AK4574" s="493">
        <v>0.1024</v>
      </c>
      <c r="AL4574" s="493">
        <v>0.1024</v>
      </c>
      <c r="AM4574" s="17">
        <f t="shared" si="165"/>
        <v>0.20480000000000001</v>
      </c>
      <c r="AN4574" s="162" t="s">
        <v>1449</v>
      </c>
      <c r="AO4574" s="162" t="s">
        <v>3500</v>
      </c>
    </row>
    <row r="4575" spans="1:41" s="162" customFormat="1" x14ac:dyDescent="0.3">
      <c r="A4575" s="205" t="s">
        <v>8321</v>
      </c>
      <c r="B4575" s="162" t="s">
        <v>8322</v>
      </c>
      <c r="C4575" s="168" t="s">
        <v>13530</v>
      </c>
      <c r="D4575" s="162" t="s">
        <v>13531</v>
      </c>
      <c r="E4575" s="406" t="s">
        <v>13532</v>
      </c>
      <c r="F4575" s="406" t="s">
        <v>13533</v>
      </c>
      <c r="G4575" s="406">
        <v>166604</v>
      </c>
      <c r="H4575" s="162" t="s">
        <v>13640</v>
      </c>
      <c r="I4575" s="162" t="s">
        <v>16168</v>
      </c>
      <c r="J4575" s="162" t="s">
        <v>16169</v>
      </c>
      <c r="K4575" s="162" t="s">
        <v>16170</v>
      </c>
      <c r="L4575" s="162" t="s">
        <v>16171</v>
      </c>
      <c r="M4575" s="162" t="s">
        <v>16176</v>
      </c>
      <c r="O4575" s="492">
        <v>0.6</v>
      </c>
      <c r="P4575" s="492">
        <v>0.65</v>
      </c>
      <c r="Q4575" s="492">
        <v>0.7</v>
      </c>
      <c r="R4575" s="492">
        <v>0.75</v>
      </c>
      <c r="S4575" s="492">
        <v>0.8</v>
      </c>
      <c r="T4575" s="223" t="s">
        <v>16174</v>
      </c>
      <c r="U4575" t="e">
        <f>VLOOKUP(T4575,[8]Votes!$A$1:$E$234,3,FALSE)</f>
        <v>#N/A</v>
      </c>
      <c r="V4575" s="162" t="s">
        <v>16177</v>
      </c>
      <c r="W4575" s="407">
        <v>0</v>
      </c>
      <c r="X4575" s="407">
        <v>1</v>
      </c>
      <c r="Y4575" s="407">
        <v>0</v>
      </c>
      <c r="Z4575" s="407">
        <v>1</v>
      </c>
      <c r="AA4575" s="407">
        <v>1</v>
      </c>
      <c r="AB4575" s="407">
        <v>1</v>
      </c>
      <c r="AC4575" s="150">
        <v>0</v>
      </c>
      <c r="AD4575" s="150">
        <v>1</v>
      </c>
      <c r="AE4575" s="49">
        <f t="shared" si="164"/>
        <v>0.625</v>
      </c>
      <c r="AF4575" s="23">
        <v>0</v>
      </c>
      <c r="AG4575" s="17">
        <v>0</v>
      </c>
      <c r="AH4575" s="190">
        <v>0</v>
      </c>
      <c r="AI4575" s="190">
        <v>0</v>
      </c>
      <c r="AJ4575" s="190">
        <v>0</v>
      </c>
      <c r="AK4575" s="191">
        <v>136.408072</v>
      </c>
      <c r="AL4575" s="191">
        <v>136.408072</v>
      </c>
      <c r="AM4575" s="17">
        <f t="shared" si="165"/>
        <v>272.81614400000001</v>
      </c>
      <c r="AN4575" s="162" t="s">
        <v>1449</v>
      </c>
      <c r="AO4575" s="162" t="s">
        <v>3500</v>
      </c>
    </row>
    <row r="4576" spans="1:41" s="162" customFormat="1" x14ac:dyDescent="0.3">
      <c r="A4576" s="205" t="s">
        <v>8321</v>
      </c>
      <c r="B4576" s="162" t="s">
        <v>8322</v>
      </c>
      <c r="C4576" s="168" t="s">
        <v>13530</v>
      </c>
      <c r="D4576" s="162" t="s">
        <v>13531</v>
      </c>
      <c r="E4576" s="406" t="s">
        <v>13532</v>
      </c>
      <c r="F4576" s="406" t="s">
        <v>13533</v>
      </c>
      <c r="G4576" s="406">
        <v>166604</v>
      </c>
      <c r="H4576" s="162" t="s">
        <v>13640</v>
      </c>
      <c r="I4576" s="162" t="s">
        <v>16168</v>
      </c>
      <c r="J4576" s="162" t="s">
        <v>16169</v>
      </c>
      <c r="K4576" s="162" t="s">
        <v>16178</v>
      </c>
      <c r="L4576" s="162" t="s">
        <v>16179</v>
      </c>
      <c r="M4576" s="162" t="s">
        <v>16180</v>
      </c>
      <c r="O4576" s="506">
        <v>1750</v>
      </c>
      <c r="P4576" s="506">
        <v>1750</v>
      </c>
      <c r="Q4576" s="506">
        <v>1750</v>
      </c>
      <c r="R4576" s="506">
        <v>1800</v>
      </c>
      <c r="S4576" s="506">
        <v>1800</v>
      </c>
      <c r="T4576" s="223" t="s">
        <v>16174</v>
      </c>
      <c r="U4576" t="e">
        <f>VLOOKUP(T4576,[8]Votes!$A$1:$E$234,3,FALSE)</f>
        <v>#N/A</v>
      </c>
      <c r="V4576" s="162" t="s">
        <v>16181</v>
      </c>
      <c r="W4576" s="407">
        <v>1</v>
      </c>
      <c r="X4576" s="407">
        <v>1</v>
      </c>
      <c r="Y4576" s="407">
        <v>0</v>
      </c>
      <c r="Z4576" s="407">
        <v>1</v>
      </c>
      <c r="AA4576" s="407">
        <v>1</v>
      </c>
      <c r="AB4576" s="407">
        <v>1</v>
      </c>
      <c r="AC4576" s="150">
        <v>1</v>
      </c>
      <c r="AD4576" s="150">
        <v>0</v>
      </c>
      <c r="AE4576" s="49">
        <f t="shared" si="164"/>
        <v>0.75</v>
      </c>
      <c r="AF4576" s="23">
        <v>0</v>
      </c>
      <c r="AG4576" s="17">
        <v>0</v>
      </c>
      <c r="AH4576" s="190">
        <v>0</v>
      </c>
      <c r="AI4576" s="190">
        <v>0</v>
      </c>
      <c r="AJ4576" s="485">
        <v>176.577</v>
      </c>
      <c r="AK4576" s="493">
        <v>164.64830599999999</v>
      </c>
      <c r="AL4576" s="493">
        <v>164.64830599999999</v>
      </c>
      <c r="AM4576" s="17">
        <f t="shared" si="165"/>
        <v>329.29661199999998</v>
      </c>
      <c r="AN4576" s="162" t="s">
        <v>1449</v>
      </c>
      <c r="AO4576" s="162" t="s">
        <v>3500</v>
      </c>
    </row>
    <row r="4577" spans="1:41" s="162" customFormat="1" x14ac:dyDescent="0.3">
      <c r="A4577" s="205" t="s">
        <v>8321</v>
      </c>
      <c r="B4577" s="162" t="s">
        <v>8322</v>
      </c>
      <c r="C4577" s="168" t="s">
        <v>13530</v>
      </c>
      <c r="D4577" s="162" t="s">
        <v>13531</v>
      </c>
      <c r="E4577" s="406" t="s">
        <v>13532</v>
      </c>
      <c r="F4577" s="406" t="s">
        <v>13533</v>
      </c>
      <c r="G4577" s="406">
        <v>166604</v>
      </c>
      <c r="H4577" s="162" t="s">
        <v>13640</v>
      </c>
      <c r="I4577" s="162" t="s">
        <v>16168</v>
      </c>
      <c r="J4577" s="162" t="s">
        <v>16169</v>
      </c>
      <c r="K4577" s="162" t="s">
        <v>16182</v>
      </c>
      <c r="L4577" s="162" t="s">
        <v>16183</v>
      </c>
      <c r="M4577" s="162" t="s">
        <v>16184</v>
      </c>
      <c r="O4577" s="492">
        <v>1</v>
      </c>
      <c r="P4577" s="492">
        <v>1</v>
      </c>
      <c r="Q4577" s="492">
        <v>1</v>
      </c>
      <c r="R4577" s="492">
        <v>1</v>
      </c>
      <c r="S4577" s="492">
        <v>1</v>
      </c>
      <c r="T4577" s="223" t="s">
        <v>16174</v>
      </c>
      <c r="U4577" t="e">
        <f>VLOOKUP(T4577,[8]Votes!$A$1:$E$234,3,FALSE)</f>
        <v>#N/A</v>
      </c>
      <c r="V4577" s="162" t="s">
        <v>16185</v>
      </c>
      <c r="W4577" s="407">
        <v>1</v>
      </c>
      <c r="X4577" s="407">
        <v>1</v>
      </c>
      <c r="Y4577" s="407">
        <v>1</v>
      </c>
      <c r="Z4577" s="407">
        <v>1</v>
      </c>
      <c r="AA4577" s="407">
        <v>1</v>
      </c>
      <c r="AB4577" s="407">
        <v>1</v>
      </c>
      <c r="AC4577" s="150">
        <v>1</v>
      </c>
      <c r="AD4577" s="150">
        <v>0</v>
      </c>
      <c r="AE4577" s="49">
        <f t="shared" si="164"/>
        <v>0.875</v>
      </c>
      <c r="AF4577" s="23">
        <v>1</v>
      </c>
      <c r="AG4577" s="17">
        <v>0</v>
      </c>
      <c r="AH4577" s="190">
        <v>0</v>
      </c>
      <c r="AI4577" s="190">
        <v>0</v>
      </c>
      <c r="AJ4577" s="485">
        <v>77.182000000000002</v>
      </c>
      <c r="AK4577" s="493">
        <v>69.795319000000006</v>
      </c>
      <c r="AL4577" s="493">
        <v>69.795319000000006</v>
      </c>
      <c r="AM4577" s="17">
        <f t="shared" si="165"/>
        <v>139.59063800000001</v>
      </c>
      <c r="AN4577" s="162" t="s">
        <v>1449</v>
      </c>
      <c r="AO4577" s="162" t="s">
        <v>3500</v>
      </c>
    </row>
    <row r="4578" spans="1:41" s="162" customFormat="1" x14ac:dyDescent="0.3">
      <c r="A4578" s="205" t="s">
        <v>8321</v>
      </c>
      <c r="B4578" s="162" t="s">
        <v>8322</v>
      </c>
      <c r="C4578" s="168" t="s">
        <v>13530</v>
      </c>
      <c r="D4578" s="162" t="s">
        <v>13531</v>
      </c>
      <c r="E4578" s="406" t="s">
        <v>13532</v>
      </c>
      <c r="F4578" s="406" t="s">
        <v>13533</v>
      </c>
      <c r="G4578" s="406">
        <v>166602</v>
      </c>
      <c r="H4578" s="162" t="s">
        <v>13538</v>
      </c>
      <c r="K4578" s="406">
        <v>16660220</v>
      </c>
      <c r="L4578" s="168" t="s">
        <v>16186</v>
      </c>
      <c r="M4578" s="168" t="s">
        <v>16187</v>
      </c>
      <c r="O4578" s="224">
        <v>12</v>
      </c>
      <c r="P4578" s="224">
        <v>15</v>
      </c>
      <c r="Q4578" s="224">
        <v>15</v>
      </c>
      <c r="R4578" s="224">
        <v>16</v>
      </c>
      <c r="S4578" s="224">
        <v>17</v>
      </c>
      <c r="T4578" s="223" t="s">
        <v>1345</v>
      </c>
      <c r="U4578" t="str">
        <f>VLOOKUP(T4578,[8]Votes!$A$1:$E$234,3,FALSE)</f>
        <v>001 Office of the President</v>
      </c>
      <c r="V4578" s="162" t="s">
        <v>16188</v>
      </c>
      <c r="W4578" s="388">
        <v>1</v>
      </c>
      <c r="X4578" s="388">
        <v>0</v>
      </c>
      <c r="Y4578" s="388">
        <v>1</v>
      </c>
      <c r="Z4578" s="388">
        <v>1</v>
      </c>
      <c r="AA4578" s="388">
        <v>1</v>
      </c>
      <c r="AB4578" s="388">
        <v>1</v>
      </c>
      <c r="AC4578" s="150">
        <v>0</v>
      </c>
      <c r="AD4578" s="150">
        <v>1</v>
      </c>
      <c r="AE4578" s="49">
        <f t="shared" si="164"/>
        <v>0.75</v>
      </c>
      <c r="AF4578" s="23">
        <v>1</v>
      </c>
      <c r="AG4578" s="17">
        <v>0</v>
      </c>
      <c r="AH4578" s="507">
        <v>0.5</v>
      </c>
      <c r="AI4578" s="507">
        <v>0.5</v>
      </c>
      <c r="AJ4578" s="507">
        <v>0.5</v>
      </c>
      <c r="AK4578" s="508">
        <v>0.5</v>
      </c>
      <c r="AL4578" s="508">
        <v>0.5</v>
      </c>
      <c r="AM4578" s="17">
        <f t="shared" si="165"/>
        <v>1</v>
      </c>
      <c r="AN4578" s="203" t="s">
        <v>1345</v>
      </c>
      <c r="AO4578" s="162" t="s">
        <v>1334</v>
      </c>
    </row>
    <row r="4579" spans="1:41" s="162" customFormat="1" x14ac:dyDescent="0.3">
      <c r="A4579" s="205" t="s">
        <v>8321</v>
      </c>
      <c r="B4579" s="162" t="s">
        <v>8322</v>
      </c>
      <c r="C4579" s="168" t="s">
        <v>13530</v>
      </c>
      <c r="D4579" s="162" t="s">
        <v>13531</v>
      </c>
      <c r="E4579" s="406" t="s">
        <v>13532</v>
      </c>
      <c r="F4579" s="406" t="s">
        <v>13533</v>
      </c>
      <c r="G4579" s="406">
        <v>166602</v>
      </c>
      <c r="H4579" s="162" t="s">
        <v>13538</v>
      </c>
      <c r="K4579" s="406">
        <v>16660221</v>
      </c>
      <c r="L4579" s="168" t="s">
        <v>16189</v>
      </c>
      <c r="M4579" s="168" t="s">
        <v>16190</v>
      </c>
      <c r="O4579" s="224">
        <v>12</v>
      </c>
      <c r="P4579" s="224">
        <v>15</v>
      </c>
      <c r="Q4579" s="224">
        <v>15</v>
      </c>
      <c r="R4579" s="224">
        <v>16</v>
      </c>
      <c r="S4579" s="224">
        <v>17</v>
      </c>
      <c r="T4579" s="223" t="s">
        <v>1345</v>
      </c>
      <c r="U4579" t="str">
        <f>VLOOKUP(T4579,[8]Votes!$A$1:$E$234,3,FALSE)</f>
        <v>001 Office of the President</v>
      </c>
      <c r="V4579" s="162" t="s">
        <v>16191</v>
      </c>
      <c r="W4579" s="388">
        <v>1</v>
      </c>
      <c r="X4579" s="388">
        <v>0</v>
      </c>
      <c r="Y4579" s="388">
        <v>0</v>
      </c>
      <c r="Z4579" s="388">
        <v>1</v>
      </c>
      <c r="AA4579" s="388">
        <v>1</v>
      </c>
      <c r="AB4579" s="388">
        <v>1</v>
      </c>
      <c r="AC4579" s="150">
        <v>1</v>
      </c>
      <c r="AD4579" s="150">
        <v>1</v>
      </c>
      <c r="AE4579" s="49">
        <f t="shared" si="164"/>
        <v>0.75</v>
      </c>
      <c r="AF4579" s="23">
        <v>1</v>
      </c>
      <c r="AG4579" s="17">
        <v>0</v>
      </c>
      <c r="AH4579" s="507">
        <v>0.5</v>
      </c>
      <c r="AI4579" s="507">
        <v>0.5</v>
      </c>
      <c r="AJ4579" s="507">
        <v>0.5</v>
      </c>
      <c r="AK4579" s="508">
        <v>0.5</v>
      </c>
      <c r="AL4579" s="508">
        <v>0.5</v>
      </c>
      <c r="AM4579" s="17">
        <f t="shared" si="165"/>
        <v>1</v>
      </c>
      <c r="AN4579" s="203" t="s">
        <v>1345</v>
      </c>
      <c r="AO4579" s="162" t="s">
        <v>1334</v>
      </c>
    </row>
    <row r="4580" spans="1:41" s="162" customFormat="1" x14ac:dyDescent="0.3">
      <c r="A4580" s="205" t="s">
        <v>8321</v>
      </c>
      <c r="B4580" s="162" t="s">
        <v>8322</v>
      </c>
      <c r="C4580" s="168" t="s">
        <v>13530</v>
      </c>
      <c r="D4580" s="162" t="s">
        <v>13531</v>
      </c>
      <c r="E4580" s="406" t="s">
        <v>13532</v>
      </c>
      <c r="F4580" s="406" t="s">
        <v>13533</v>
      </c>
      <c r="G4580" s="406">
        <v>166602</v>
      </c>
      <c r="H4580" s="162" t="s">
        <v>13538</v>
      </c>
      <c r="K4580" s="406">
        <v>16660222</v>
      </c>
      <c r="L4580" s="203" t="s">
        <v>16192</v>
      </c>
      <c r="M4580" s="203" t="s">
        <v>16193</v>
      </c>
      <c r="O4580" s="224">
        <v>528</v>
      </c>
      <c r="P4580" s="224">
        <v>528</v>
      </c>
      <c r="Q4580" s="224">
        <v>528</v>
      </c>
      <c r="R4580" s="224">
        <v>528</v>
      </c>
      <c r="S4580" s="224">
        <v>528</v>
      </c>
      <c r="T4580" s="223" t="s">
        <v>1345</v>
      </c>
      <c r="U4580" t="str">
        <f>VLOOKUP(T4580,[8]Votes!$A$1:$E$234,3,FALSE)</f>
        <v>001 Office of the President</v>
      </c>
      <c r="V4580" s="162" t="s">
        <v>16194</v>
      </c>
      <c r="W4580" s="388">
        <v>1</v>
      </c>
      <c r="X4580" s="388">
        <v>0</v>
      </c>
      <c r="Y4580" s="388">
        <v>0</v>
      </c>
      <c r="Z4580" s="388">
        <v>1</v>
      </c>
      <c r="AA4580" s="388">
        <v>1</v>
      </c>
      <c r="AB4580" s="388">
        <v>1</v>
      </c>
      <c r="AC4580" s="150">
        <v>1</v>
      </c>
      <c r="AD4580" s="150">
        <v>1</v>
      </c>
      <c r="AE4580" s="49">
        <f t="shared" si="164"/>
        <v>0.75</v>
      </c>
      <c r="AF4580" s="23">
        <v>1</v>
      </c>
      <c r="AG4580" s="17">
        <v>0</v>
      </c>
      <c r="AH4580" s="190">
        <v>0</v>
      </c>
      <c r="AI4580" s="190">
        <v>0</v>
      </c>
      <c r="AJ4580" s="190">
        <v>0</v>
      </c>
      <c r="AK4580" s="191">
        <v>4.5</v>
      </c>
      <c r="AL4580" s="191">
        <v>4.5</v>
      </c>
      <c r="AM4580" s="17">
        <f t="shared" si="165"/>
        <v>9</v>
      </c>
      <c r="AN4580" s="162" t="s">
        <v>1345</v>
      </c>
      <c r="AO4580" s="162" t="s">
        <v>1334</v>
      </c>
    </row>
    <row r="4581" spans="1:41" s="162" customFormat="1" x14ac:dyDescent="0.3">
      <c r="A4581" s="205" t="s">
        <v>8321</v>
      </c>
      <c r="B4581" s="162" t="s">
        <v>8322</v>
      </c>
      <c r="C4581" s="168" t="s">
        <v>13530</v>
      </c>
      <c r="D4581" s="162" t="s">
        <v>13531</v>
      </c>
      <c r="E4581" s="406" t="s">
        <v>13532</v>
      </c>
      <c r="F4581" s="406" t="s">
        <v>13533</v>
      </c>
      <c r="G4581" s="406">
        <v>166602</v>
      </c>
      <c r="H4581" s="162" t="s">
        <v>13538</v>
      </c>
      <c r="K4581" s="406">
        <v>16660223</v>
      </c>
      <c r="L4581" s="162" t="s">
        <v>16195</v>
      </c>
      <c r="M4581" s="162" t="s">
        <v>16196</v>
      </c>
      <c r="O4581" s="224">
        <v>32</v>
      </c>
      <c r="P4581" s="224">
        <v>32</v>
      </c>
      <c r="Q4581" s="224">
        <v>32</v>
      </c>
      <c r="R4581" s="224">
        <v>32</v>
      </c>
      <c r="S4581" s="224">
        <v>32</v>
      </c>
      <c r="T4581" s="223" t="s">
        <v>1345</v>
      </c>
      <c r="U4581" t="str">
        <f>VLOOKUP(T4581,[8]Votes!$A$1:$E$234,3,FALSE)</f>
        <v>001 Office of the President</v>
      </c>
      <c r="V4581" s="162" t="s">
        <v>16197</v>
      </c>
      <c r="W4581" s="388">
        <v>1</v>
      </c>
      <c r="X4581" s="388">
        <v>0</v>
      </c>
      <c r="Y4581" s="388">
        <v>0</v>
      </c>
      <c r="Z4581" s="388">
        <v>1</v>
      </c>
      <c r="AA4581" s="388">
        <v>1</v>
      </c>
      <c r="AB4581" s="388">
        <v>1</v>
      </c>
      <c r="AC4581" s="150">
        <v>1</v>
      </c>
      <c r="AD4581" s="150">
        <v>1</v>
      </c>
      <c r="AE4581" s="49">
        <f t="shared" si="164"/>
        <v>0.75</v>
      </c>
      <c r="AF4581" s="23">
        <v>1</v>
      </c>
      <c r="AG4581" s="17">
        <v>0</v>
      </c>
      <c r="AH4581" s="190">
        <v>0</v>
      </c>
      <c r="AI4581" s="190">
        <v>0</v>
      </c>
      <c r="AJ4581" s="190">
        <v>0</v>
      </c>
      <c r="AK4581" s="191">
        <v>0.2</v>
      </c>
      <c r="AL4581" s="191">
        <v>0.2</v>
      </c>
      <c r="AM4581" s="17">
        <f t="shared" si="165"/>
        <v>0.4</v>
      </c>
      <c r="AN4581" s="162" t="s">
        <v>1345</v>
      </c>
      <c r="AO4581" s="162" t="s">
        <v>1334</v>
      </c>
    </row>
    <row r="4582" spans="1:41" s="162" customFormat="1" x14ac:dyDescent="0.3">
      <c r="A4582" s="205" t="s">
        <v>8321</v>
      </c>
      <c r="B4582" s="162" t="s">
        <v>8322</v>
      </c>
      <c r="C4582" s="168" t="s">
        <v>13530</v>
      </c>
      <c r="D4582" s="162" t="s">
        <v>13531</v>
      </c>
      <c r="E4582" s="406" t="s">
        <v>13532</v>
      </c>
      <c r="F4582" s="406" t="s">
        <v>13533</v>
      </c>
      <c r="G4582" s="406">
        <v>166602</v>
      </c>
      <c r="H4582" s="162" t="s">
        <v>13538</v>
      </c>
      <c r="K4582" s="406">
        <v>16660224</v>
      </c>
      <c r="L4582" s="162" t="s">
        <v>16198</v>
      </c>
      <c r="M4582" s="162" t="s">
        <v>16199</v>
      </c>
      <c r="O4582" s="224">
        <v>208</v>
      </c>
      <c r="P4582" s="224">
        <v>208</v>
      </c>
      <c r="Q4582" s="224">
        <v>208</v>
      </c>
      <c r="R4582" s="224">
        <v>208</v>
      </c>
      <c r="S4582" s="224">
        <v>208</v>
      </c>
      <c r="T4582" s="223" t="s">
        <v>1345</v>
      </c>
      <c r="U4582" t="str">
        <f>VLOOKUP(T4582,[8]Votes!$A$1:$E$234,3,FALSE)</f>
        <v>001 Office of the President</v>
      </c>
      <c r="V4582" s="162" t="s">
        <v>16200</v>
      </c>
      <c r="W4582" s="388">
        <v>1</v>
      </c>
      <c r="X4582" s="388">
        <v>0</v>
      </c>
      <c r="Y4582" s="388">
        <v>0</v>
      </c>
      <c r="Z4582" s="388">
        <v>1</v>
      </c>
      <c r="AA4582" s="388">
        <v>1</v>
      </c>
      <c r="AB4582" s="388">
        <v>1</v>
      </c>
      <c r="AC4582" s="150">
        <v>1</v>
      </c>
      <c r="AD4582" s="150">
        <v>1</v>
      </c>
      <c r="AE4582" s="49">
        <f t="shared" si="164"/>
        <v>0.75</v>
      </c>
      <c r="AF4582" s="23">
        <v>1</v>
      </c>
      <c r="AG4582" s="17">
        <v>0</v>
      </c>
      <c r="AH4582" s="190">
        <v>0</v>
      </c>
      <c r="AI4582" s="190">
        <v>0</v>
      </c>
      <c r="AJ4582" s="190">
        <v>0</v>
      </c>
      <c r="AK4582" s="191">
        <v>3</v>
      </c>
      <c r="AL4582" s="191">
        <v>3</v>
      </c>
      <c r="AM4582" s="17">
        <f t="shared" si="165"/>
        <v>6</v>
      </c>
      <c r="AN4582" s="162" t="s">
        <v>1345</v>
      </c>
      <c r="AO4582" s="162" t="s">
        <v>1334</v>
      </c>
    </row>
    <row r="4583" spans="1:41" s="162" customFormat="1" x14ac:dyDescent="0.3">
      <c r="A4583" s="205" t="s">
        <v>8321</v>
      </c>
      <c r="B4583" s="162" t="s">
        <v>8322</v>
      </c>
      <c r="C4583" s="168" t="s">
        <v>13530</v>
      </c>
      <c r="D4583" s="162" t="s">
        <v>13531</v>
      </c>
      <c r="E4583" s="406" t="s">
        <v>13532</v>
      </c>
      <c r="F4583" s="406" t="s">
        <v>13533</v>
      </c>
      <c r="G4583" s="406">
        <v>166602</v>
      </c>
      <c r="H4583" s="162" t="s">
        <v>13538</v>
      </c>
      <c r="K4583" s="406">
        <v>16660225</v>
      </c>
      <c r="L4583" s="162" t="s">
        <v>16201</v>
      </c>
      <c r="M4583" s="162" t="s">
        <v>16202</v>
      </c>
      <c r="O4583" s="224">
        <v>1</v>
      </c>
      <c r="P4583" s="224">
        <v>1</v>
      </c>
      <c r="Q4583" s="224">
        <v>1</v>
      </c>
      <c r="R4583" s="224">
        <v>1</v>
      </c>
      <c r="S4583" s="224">
        <v>1</v>
      </c>
      <c r="T4583" s="223" t="s">
        <v>1345</v>
      </c>
      <c r="U4583" t="str">
        <f>VLOOKUP(T4583,[8]Votes!$A$1:$E$234,3,FALSE)</f>
        <v>001 Office of the President</v>
      </c>
      <c r="V4583" s="162" t="s">
        <v>16203</v>
      </c>
      <c r="W4583" s="388">
        <v>1</v>
      </c>
      <c r="X4583" s="388">
        <v>0</v>
      </c>
      <c r="Y4583" s="388">
        <v>0</v>
      </c>
      <c r="Z4583" s="388">
        <v>1</v>
      </c>
      <c r="AA4583" s="388">
        <v>1</v>
      </c>
      <c r="AB4583" s="388">
        <v>1</v>
      </c>
      <c r="AC4583" s="150">
        <v>1</v>
      </c>
      <c r="AD4583" s="150">
        <v>1</v>
      </c>
      <c r="AE4583" s="49">
        <f t="shared" si="164"/>
        <v>0.75</v>
      </c>
      <c r="AF4583" s="23">
        <v>1</v>
      </c>
      <c r="AG4583" s="17">
        <v>0</v>
      </c>
      <c r="AH4583" s="190">
        <v>0</v>
      </c>
      <c r="AI4583" s="485">
        <v>0.2</v>
      </c>
      <c r="AJ4583" s="485">
        <v>0.2</v>
      </c>
      <c r="AK4583" s="493">
        <v>0.2</v>
      </c>
      <c r="AL4583" s="493">
        <v>0.2</v>
      </c>
      <c r="AM4583" s="17">
        <f t="shared" si="165"/>
        <v>0.4</v>
      </c>
      <c r="AN4583" s="162" t="s">
        <v>1345</v>
      </c>
      <c r="AO4583" s="162" t="s">
        <v>1334</v>
      </c>
    </row>
    <row r="4584" spans="1:41" s="162" customFormat="1" x14ac:dyDescent="0.3">
      <c r="A4584" s="205" t="s">
        <v>8321</v>
      </c>
      <c r="B4584" s="162" t="s">
        <v>8322</v>
      </c>
      <c r="C4584" s="168" t="s">
        <v>13530</v>
      </c>
      <c r="D4584" s="162" t="s">
        <v>13531</v>
      </c>
      <c r="E4584" s="406" t="s">
        <v>13532</v>
      </c>
      <c r="F4584" s="406" t="s">
        <v>13533</v>
      </c>
      <c r="G4584" s="406">
        <v>166602</v>
      </c>
      <c r="H4584" s="162" t="s">
        <v>13538</v>
      </c>
      <c r="K4584" s="406">
        <v>16660226</v>
      </c>
      <c r="L4584" s="162" t="s">
        <v>16204</v>
      </c>
      <c r="M4584" s="162" t="s">
        <v>16205</v>
      </c>
      <c r="O4584" s="492">
        <v>0.2</v>
      </c>
      <c r="P4584" s="492">
        <v>0.4</v>
      </c>
      <c r="Q4584" s="492">
        <v>0.6</v>
      </c>
      <c r="R4584" s="492">
        <v>0.8</v>
      </c>
      <c r="S4584" s="492">
        <v>1</v>
      </c>
      <c r="T4584" s="223" t="s">
        <v>1345</v>
      </c>
      <c r="U4584" t="str">
        <f>VLOOKUP(T4584,[8]Votes!$A$1:$E$234,3,FALSE)</f>
        <v>001 Office of the President</v>
      </c>
      <c r="V4584" s="162" t="s">
        <v>16206</v>
      </c>
      <c r="W4584" s="388">
        <v>1</v>
      </c>
      <c r="X4584" s="388">
        <v>0</v>
      </c>
      <c r="Y4584" s="388">
        <v>0</v>
      </c>
      <c r="Z4584" s="388">
        <v>1</v>
      </c>
      <c r="AA4584" s="388">
        <v>1</v>
      </c>
      <c r="AB4584" s="388">
        <v>1</v>
      </c>
      <c r="AC4584" s="150">
        <v>1</v>
      </c>
      <c r="AD4584" s="150">
        <v>1</v>
      </c>
      <c r="AE4584" s="49">
        <f t="shared" si="164"/>
        <v>0.75</v>
      </c>
      <c r="AF4584" s="23">
        <v>1</v>
      </c>
      <c r="AG4584" s="17">
        <v>0</v>
      </c>
      <c r="AH4584" s="190">
        <v>0</v>
      </c>
      <c r="AI4584" s="485">
        <v>0.2</v>
      </c>
      <c r="AJ4584" s="485">
        <v>0.2</v>
      </c>
      <c r="AK4584" s="493">
        <v>0.2</v>
      </c>
      <c r="AL4584" s="493">
        <v>0.2</v>
      </c>
      <c r="AM4584" s="17">
        <f t="shared" si="165"/>
        <v>0.4</v>
      </c>
      <c r="AN4584" s="162" t="s">
        <v>1345</v>
      </c>
      <c r="AO4584" s="162" t="s">
        <v>1334</v>
      </c>
    </row>
    <row r="4585" spans="1:41" s="162" customFormat="1" x14ac:dyDescent="0.3">
      <c r="A4585" s="205" t="s">
        <v>8321</v>
      </c>
      <c r="B4585" s="162" t="s">
        <v>8322</v>
      </c>
      <c r="C4585" s="168" t="s">
        <v>13530</v>
      </c>
      <c r="D4585" s="162" t="s">
        <v>13531</v>
      </c>
      <c r="E4585" s="406" t="s">
        <v>13532</v>
      </c>
      <c r="F4585" s="406" t="s">
        <v>13533</v>
      </c>
      <c r="G4585" s="406">
        <v>166602</v>
      </c>
      <c r="H4585" s="162" t="s">
        <v>13538</v>
      </c>
      <c r="K4585" s="406">
        <v>16660227</v>
      </c>
      <c r="L4585" s="162" t="s">
        <v>16207</v>
      </c>
      <c r="M4585" s="162" t="s">
        <v>16208</v>
      </c>
      <c r="O4585" s="492">
        <v>0.2</v>
      </c>
      <c r="P4585" s="492">
        <v>0.4</v>
      </c>
      <c r="Q4585" s="492">
        <v>0.6</v>
      </c>
      <c r="R4585" s="492">
        <v>0.8</v>
      </c>
      <c r="S4585" s="492">
        <v>1</v>
      </c>
      <c r="T4585" s="223" t="s">
        <v>1345</v>
      </c>
      <c r="U4585" t="str">
        <f>VLOOKUP(T4585,[8]Votes!$A$1:$E$234,3,FALSE)</f>
        <v>001 Office of the President</v>
      </c>
      <c r="V4585" s="162" t="s">
        <v>16209</v>
      </c>
      <c r="W4585" s="388">
        <v>1</v>
      </c>
      <c r="X4585" s="388">
        <v>0</v>
      </c>
      <c r="Y4585" s="388">
        <v>0</v>
      </c>
      <c r="Z4585" s="388">
        <v>1</v>
      </c>
      <c r="AA4585" s="388">
        <v>1</v>
      </c>
      <c r="AB4585" s="388">
        <v>1</v>
      </c>
      <c r="AC4585" s="150">
        <v>1</v>
      </c>
      <c r="AD4585" s="150">
        <v>1</v>
      </c>
      <c r="AE4585" s="49">
        <f t="shared" si="164"/>
        <v>0.75</v>
      </c>
      <c r="AF4585" s="23">
        <v>1</v>
      </c>
      <c r="AG4585" s="17">
        <v>0</v>
      </c>
      <c r="AH4585" s="190">
        <v>0</v>
      </c>
      <c r="AI4585" s="485">
        <v>0.3</v>
      </c>
      <c r="AJ4585" s="485">
        <v>0.3</v>
      </c>
      <c r="AK4585" s="493">
        <v>0.3</v>
      </c>
      <c r="AL4585" s="493">
        <v>0.3</v>
      </c>
      <c r="AM4585" s="17">
        <f t="shared" si="165"/>
        <v>0.6</v>
      </c>
      <c r="AN4585" s="162" t="s">
        <v>1345</v>
      </c>
      <c r="AO4585" s="162" t="s">
        <v>1334</v>
      </c>
    </row>
    <row r="4586" spans="1:41" s="162" customFormat="1" x14ac:dyDescent="0.3">
      <c r="A4586" s="205" t="s">
        <v>8321</v>
      </c>
      <c r="B4586" s="162" t="s">
        <v>8322</v>
      </c>
      <c r="C4586" s="168" t="s">
        <v>13530</v>
      </c>
      <c r="D4586" s="162" t="s">
        <v>13531</v>
      </c>
      <c r="E4586" s="406" t="s">
        <v>13532</v>
      </c>
      <c r="F4586" s="406" t="s">
        <v>13533</v>
      </c>
      <c r="G4586" s="406">
        <v>166602</v>
      </c>
      <c r="H4586" s="162" t="s">
        <v>13538</v>
      </c>
      <c r="K4586" s="406">
        <v>16660228</v>
      </c>
      <c r="L4586" s="162" t="s">
        <v>16210</v>
      </c>
      <c r="M4586" s="162" t="s">
        <v>16211</v>
      </c>
      <c r="O4586" s="492">
        <v>0.2</v>
      </c>
      <c r="P4586" s="492">
        <v>0.4</v>
      </c>
      <c r="Q4586" s="492">
        <v>0.6</v>
      </c>
      <c r="R4586" s="492">
        <v>0.8</v>
      </c>
      <c r="S4586" s="492">
        <v>1</v>
      </c>
      <c r="T4586" s="223" t="s">
        <v>1345</v>
      </c>
      <c r="U4586" t="str">
        <f>VLOOKUP(T4586,[8]Votes!$A$1:$E$234,3,FALSE)</f>
        <v>001 Office of the President</v>
      </c>
      <c r="V4586" s="162" t="s">
        <v>16212</v>
      </c>
      <c r="W4586" s="388">
        <v>1</v>
      </c>
      <c r="X4586" s="388">
        <v>0</v>
      </c>
      <c r="Y4586" s="388">
        <v>0</v>
      </c>
      <c r="Z4586" s="388">
        <v>1</v>
      </c>
      <c r="AA4586" s="388">
        <v>1</v>
      </c>
      <c r="AB4586" s="388">
        <v>1</v>
      </c>
      <c r="AC4586" s="150">
        <v>1</v>
      </c>
      <c r="AD4586" s="150">
        <v>1</v>
      </c>
      <c r="AE4586" s="49">
        <f t="shared" si="164"/>
        <v>0.75</v>
      </c>
      <c r="AF4586" s="23">
        <v>1</v>
      </c>
      <c r="AG4586" s="17">
        <v>0</v>
      </c>
      <c r="AH4586" s="190">
        <v>0</v>
      </c>
      <c r="AI4586" s="485">
        <v>0.15</v>
      </c>
      <c r="AJ4586" s="485">
        <v>0.15</v>
      </c>
      <c r="AK4586" s="493">
        <v>0.15</v>
      </c>
      <c r="AL4586" s="493">
        <v>0.15</v>
      </c>
      <c r="AM4586" s="17">
        <f t="shared" si="165"/>
        <v>0.3</v>
      </c>
      <c r="AN4586" s="162" t="s">
        <v>1345</v>
      </c>
      <c r="AO4586" s="162" t="s">
        <v>1334</v>
      </c>
    </row>
    <row r="4587" spans="1:41" s="162" customFormat="1" x14ac:dyDescent="0.3">
      <c r="A4587" s="205" t="s">
        <v>8321</v>
      </c>
      <c r="B4587" s="162" t="s">
        <v>8322</v>
      </c>
      <c r="C4587" s="168" t="s">
        <v>13637</v>
      </c>
      <c r="D4587" s="162" t="s">
        <v>6838</v>
      </c>
      <c r="E4587" s="406" t="s">
        <v>13638</v>
      </c>
      <c r="F4587" s="406" t="s">
        <v>13533</v>
      </c>
      <c r="G4587" s="386" t="s">
        <v>13658</v>
      </c>
      <c r="H4587" s="162" t="s">
        <v>13659</v>
      </c>
      <c r="K4587" s="386" t="s">
        <v>16213</v>
      </c>
      <c r="L4587" s="162" t="s">
        <v>16214</v>
      </c>
      <c r="M4587" s="162" t="s">
        <v>16215</v>
      </c>
      <c r="N4587" s="162">
        <v>1</v>
      </c>
      <c r="O4587" s="224">
        <v>1</v>
      </c>
      <c r="P4587" s="224">
        <v>1</v>
      </c>
      <c r="Q4587" s="224">
        <v>1</v>
      </c>
      <c r="R4587" s="224">
        <v>1</v>
      </c>
      <c r="S4587" s="224">
        <v>1</v>
      </c>
      <c r="T4587" s="223" t="s">
        <v>4115</v>
      </c>
      <c r="U4587" t="str">
        <f>VLOOKUP(T4587,[8]Votes!$A$1:$E$234,3,FALSE)</f>
        <v>309 National Identification and Registration Authority (NIRA)</v>
      </c>
      <c r="V4587" s="162" t="s">
        <v>16216</v>
      </c>
      <c r="W4587" s="407">
        <v>0</v>
      </c>
      <c r="X4587" s="407">
        <v>0</v>
      </c>
      <c r="Y4587" s="407">
        <v>0</v>
      </c>
      <c r="Z4587" s="407">
        <v>1</v>
      </c>
      <c r="AA4587" s="407">
        <v>1</v>
      </c>
      <c r="AB4587" s="407">
        <v>0</v>
      </c>
      <c r="AC4587" s="150">
        <v>0</v>
      </c>
      <c r="AD4587" s="150">
        <v>0</v>
      </c>
      <c r="AE4587" s="49">
        <f t="shared" si="164"/>
        <v>0.25</v>
      </c>
      <c r="AF4587" s="190"/>
      <c r="AG4587" s="17">
        <v>0</v>
      </c>
      <c r="AH4587" s="190">
        <v>0</v>
      </c>
      <c r="AI4587" s="190">
        <v>0</v>
      </c>
      <c r="AJ4587" s="485">
        <v>0.06</v>
      </c>
      <c r="AK4587" s="493"/>
      <c r="AL4587" s="493"/>
      <c r="AM4587" s="17">
        <f t="shared" si="165"/>
        <v>0</v>
      </c>
      <c r="AN4587" s="162" t="s">
        <v>4115</v>
      </c>
      <c r="AO4587" s="162" t="s">
        <v>4116</v>
      </c>
    </row>
    <row r="4588" spans="1:41" s="162" customFormat="1" x14ac:dyDescent="0.3">
      <c r="A4588" s="205" t="s">
        <v>8321</v>
      </c>
      <c r="B4588" s="162" t="s">
        <v>8322</v>
      </c>
      <c r="C4588" s="168" t="s">
        <v>13637</v>
      </c>
      <c r="D4588" s="162" t="s">
        <v>6838</v>
      </c>
      <c r="E4588" s="406" t="s">
        <v>13638</v>
      </c>
      <c r="F4588" s="406" t="s">
        <v>13533</v>
      </c>
      <c r="G4588" s="386" t="s">
        <v>13658</v>
      </c>
      <c r="H4588" s="162" t="s">
        <v>13659</v>
      </c>
      <c r="K4588" s="386" t="s">
        <v>16217</v>
      </c>
      <c r="L4588" s="162" t="s">
        <v>14521</v>
      </c>
      <c r="M4588" s="162" t="s">
        <v>16218</v>
      </c>
      <c r="N4588" s="162">
        <v>1</v>
      </c>
      <c r="O4588" s="224">
        <v>1</v>
      </c>
      <c r="P4588" s="224">
        <v>1</v>
      </c>
      <c r="Q4588" s="224">
        <v>1</v>
      </c>
      <c r="R4588" s="224">
        <v>1</v>
      </c>
      <c r="S4588" s="224">
        <v>1</v>
      </c>
      <c r="T4588" s="223" t="s">
        <v>4115</v>
      </c>
      <c r="U4588" t="str">
        <f>VLOOKUP(T4588,[8]Votes!$A$1:$E$234,3,FALSE)</f>
        <v>309 National Identification and Registration Authority (NIRA)</v>
      </c>
      <c r="V4588" s="223" t="s">
        <v>16219</v>
      </c>
      <c r="W4588" s="407">
        <v>0</v>
      </c>
      <c r="X4588" s="407">
        <v>0</v>
      </c>
      <c r="Y4588" s="407">
        <v>0</v>
      </c>
      <c r="Z4588" s="407">
        <v>1</v>
      </c>
      <c r="AA4588" s="407">
        <v>1</v>
      </c>
      <c r="AB4588" s="407">
        <v>0</v>
      </c>
      <c r="AC4588" s="150">
        <v>0</v>
      </c>
      <c r="AD4588" s="150">
        <v>0</v>
      </c>
      <c r="AE4588" s="49">
        <f t="shared" si="164"/>
        <v>0.25</v>
      </c>
      <c r="AF4588" s="190"/>
      <c r="AG4588" s="17">
        <v>0</v>
      </c>
      <c r="AH4588" s="190">
        <v>0</v>
      </c>
      <c r="AI4588" s="190">
        <v>0</v>
      </c>
      <c r="AJ4588" s="485">
        <v>0.06</v>
      </c>
      <c r="AK4588" s="493"/>
      <c r="AL4588" s="493"/>
      <c r="AM4588" s="17">
        <f t="shared" si="165"/>
        <v>0</v>
      </c>
      <c r="AN4588" s="162" t="s">
        <v>4115</v>
      </c>
      <c r="AO4588" s="162" t="s">
        <v>4116</v>
      </c>
    </row>
    <row r="4589" spans="1:41" s="162" customFormat="1" x14ac:dyDescent="0.3">
      <c r="A4589" s="205" t="s">
        <v>8321</v>
      </c>
      <c r="B4589" s="162" t="s">
        <v>8322</v>
      </c>
      <c r="C4589" s="168" t="s">
        <v>13637</v>
      </c>
      <c r="D4589" s="162" t="s">
        <v>6838</v>
      </c>
      <c r="E4589" s="406" t="s">
        <v>13638</v>
      </c>
      <c r="F4589" s="406" t="s">
        <v>13533</v>
      </c>
      <c r="G4589" s="386" t="s">
        <v>13658</v>
      </c>
      <c r="H4589" s="162" t="s">
        <v>13659</v>
      </c>
      <c r="K4589" s="386" t="s">
        <v>16217</v>
      </c>
      <c r="L4589" s="162" t="s">
        <v>14521</v>
      </c>
      <c r="M4589" s="162" t="s">
        <v>16220</v>
      </c>
      <c r="N4589" s="162">
        <v>0</v>
      </c>
      <c r="O4589" s="224">
        <v>4</v>
      </c>
      <c r="P4589" s="224">
        <v>4</v>
      </c>
      <c r="Q4589" s="224">
        <v>4</v>
      </c>
      <c r="R4589" s="224">
        <v>4</v>
      </c>
      <c r="S4589" s="224">
        <v>4</v>
      </c>
      <c r="T4589" s="223" t="s">
        <v>4115</v>
      </c>
      <c r="U4589" t="str">
        <f>VLOOKUP(T4589,[8]Votes!$A$1:$E$234,3,FALSE)</f>
        <v>309 National Identification and Registration Authority (NIRA)</v>
      </c>
      <c r="V4589" s="223" t="s">
        <v>16221</v>
      </c>
      <c r="W4589" s="407">
        <v>0</v>
      </c>
      <c r="X4589" s="407">
        <v>0</v>
      </c>
      <c r="Y4589" s="407">
        <v>0</v>
      </c>
      <c r="Z4589" s="407">
        <v>1</v>
      </c>
      <c r="AA4589" s="407">
        <v>1</v>
      </c>
      <c r="AB4589" s="407">
        <v>0</v>
      </c>
      <c r="AC4589" s="150">
        <v>0</v>
      </c>
      <c r="AD4589" s="150">
        <v>0</v>
      </c>
      <c r="AE4589" s="49">
        <f t="shared" si="164"/>
        <v>0.25</v>
      </c>
      <c r="AF4589" s="190"/>
      <c r="AG4589" s="17">
        <v>0</v>
      </c>
      <c r="AH4589" s="190">
        <v>0</v>
      </c>
      <c r="AI4589" s="190">
        <v>0</v>
      </c>
      <c r="AJ4589" s="485">
        <v>0.08</v>
      </c>
      <c r="AK4589" s="493"/>
      <c r="AL4589" s="493"/>
      <c r="AM4589" s="17">
        <f t="shared" si="165"/>
        <v>0</v>
      </c>
      <c r="AN4589" s="162" t="s">
        <v>4115</v>
      </c>
      <c r="AO4589" s="162" t="s">
        <v>4116</v>
      </c>
    </row>
    <row r="4590" spans="1:41" s="162" customFormat="1" x14ac:dyDescent="0.3">
      <c r="A4590" s="205" t="s">
        <v>8321</v>
      </c>
      <c r="B4590" s="162" t="s">
        <v>8322</v>
      </c>
      <c r="C4590" s="168" t="s">
        <v>13637</v>
      </c>
      <c r="D4590" s="162" t="s">
        <v>6838</v>
      </c>
      <c r="E4590" s="406" t="s">
        <v>13638</v>
      </c>
      <c r="F4590" s="406" t="s">
        <v>13533</v>
      </c>
      <c r="G4590" s="386" t="s">
        <v>13658</v>
      </c>
      <c r="H4590" s="162" t="s">
        <v>13659</v>
      </c>
      <c r="K4590" s="386" t="s">
        <v>16217</v>
      </c>
      <c r="L4590" s="162" t="s">
        <v>14521</v>
      </c>
      <c r="M4590" s="162" t="s">
        <v>16222</v>
      </c>
      <c r="N4590" s="162">
        <v>0</v>
      </c>
      <c r="O4590" s="224">
        <v>0</v>
      </c>
      <c r="P4590" s="224">
        <v>0</v>
      </c>
      <c r="Q4590" s="224">
        <v>1</v>
      </c>
      <c r="R4590" s="224">
        <v>0</v>
      </c>
      <c r="S4590" s="224">
        <v>0</v>
      </c>
      <c r="T4590" s="223" t="s">
        <v>4115</v>
      </c>
      <c r="U4590" t="str">
        <f>VLOOKUP(T4590,[8]Votes!$A$1:$E$234,3,FALSE)</f>
        <v>309 National Identification and Registration Authority (NIRA)</v>
      </c>
      <c r="V4590" s="223" t="s">
        <v>16223</v>
      </c>
      <c r="W4590" s="407">
        <v>0</v>
      </c>
      <c r="X4590" s="407">
        <v>0</v>
      </c>
      <c r="Y4590" s="407">
        <v>0</v>
      </c>
      <c r="Z4590" s="407">
        <v>1</v>
      </c>
      <c r="AA4590" s="407">
        <v>1</v>
      </c>
      <c r="AB4590" s="407">
        <v>0</v>
      </c>
      <c r="AC4590" s="150">
        <v>0</v>
      </c>
      <c r="AD4590" s="150">
        <v>0</v>
      </c>
      <c r="AE4590" s="49">
        <f t="shared" si="164"/>
        <v>0.25</v>
      </c>
      <c r="AF4590" s="190"/>
      <c r="AG4590" s="17">
        <v>0</v>
      </c>
      <c r="AH4590" s="190">
        <v>0</v>
      </c>
      <c r="AI4590" s="190">
        <v>0</v>
      </c>
      <c r="AJ4590" s="485">
        <v>0.1</v>
      </c>
      <c r="AK4590" s="493"/>
      <c r="AL4590" s="191"/>
      <c r="AM4590" s="17">
        <f t="shared" si="165"/>
        <v>0</v>
      </c>
      <c r="AN4590" s="162" t="s">
        <v>4115</v>
      </c>
      <c r="AO4590" s="162" t="s">
        <v>4116</v>
      </c>
    </row>
    <row r="4591" spans="1:41" s="162" customFormat="1" x14ac:dyDescent="0.3">
      <c r="A4591" s="205" t="s">
        <v>8321</v>
      </c>
      <c r="B4591" s="162" t="s">
        <v>8322</v>
      </c>
      <c r="C4591" s="168" t="s">
        <v>13637</v>
      </c>
      <c r="D4591" s="162" t="s">
        <v>6838</v>
      </c>
      <c r="E4591" s="406" t="s">
        <v>13638</v>
      </c>
      <c r="F4591" s="406" t="s">
        <v>13533</v>
      </c>
      <c r="G4591" s="386" t="s">
        <v>13658</v>
      </c>
      <c r="H4591" s="162" t="s">
        <v>13659</v>
      </c>
      <c r="K4591" s="386" t="s">
        <v>16217</v>
      </c>
      <c r="L4591" s="162" t="s">
        <v>14521</v>
      </c>
      <c r="M4591" s="162" t="s">
        <v>16224</v>
      </c>
      <c r="N4591" s="162">
        <v>0</v>
      </c>
      <c r="O4591" s="224">
        <v>0</v>
      </c>
      <c r="P4591" s="224">
        <v>0</v>
      </c>
      <c r="Q4591" s="224">
        <v>2</v>
      </c>
      <c r="R4591" s="224">
        <v>2</v>
      </c>
      <c r="S4591" s="224">
        <v>2</v>
      </c>
      <c r="T4591" s="223" t="s">
        <v>4115</v>
      </c>
      <c r="U4591" t="str">
        <f>VLOOKUP(T4591,[8]Votes!$A$1:$E$234,3,FALSE)</f>
        <v>309 National Identification and Registration Authority (NIRA)</v>
      </c>
      <c r="V4591" s="223" t="s">
        <v>16225</v>
      </c>
      <c r="W4591" s="407">
        <v>0</v>
      </c>
      <c r="X4591" s="407">
        <v>0</v>
      </c>
      <c r="Y4591" s="407">
        <v>0</v>
      </c>
      <c r="Z4591" s="407">
        <v>1</v>
      </c>
      <c r="AA4591" s="407">
        <v>1</v>
      </c>
      <c r="AB4591" s="407">
        <v>0</v>
      </c>
      <c r="AC4591" s="150">
        <v>0</v>
      </c>
      <c r="AD4591" s="150">
        <v>0</v>
      </c>
      <c r="AE4591" s="49">
        <f t="shared" si="164"/>
        <v>0.25</v>
      </c>
      <c r="AF4591" s="190"/>
      <c r="AG4591" s="17">
        <v>0</v>
      </c>
      <c r="AH4591" s="190">
        <v>0</v>
      </c>
      <c r="AI4591" s="190">
        <v>0</v>
      </c>
      <c r="AJ4591" s="485">
        <v>0.15</v>
      </c>
      <c r="AK4591" s="493"/>
      <c r="AL4591" s="493"/>
      <c r="AM4591" s="17">
        <f t="shared" si="165"/>
        <v>0</v>
      </c>
      <c r="AN4591" s="162" t="s">
        <v>4115</v>
      </c>
      <c r="AO4591" s="162" t="s">
        <v>4116</v>
      </c>
    </row>
    <row r="4592" spans="1:41" s="162" customFormat="1" x14ac:dyDescent="0.3">
      <c r="A4592" s="205" t="s">
        <v>8321</v>
      </c>
      <c r="B4592" s="162" t="s">
        <v>8322</v>
      </c>
      <c r="C4592" s="168" t="s">
        <v>13637</v>
      </c>
      <c r="D4592" s="162" t="s">
        <v>6838</v>
      </c>
      <c r="E4592" s="406" t="s">
        <v>13638</v>
      </c>
      <c r="F4592" s="406" t="s">
        <v>13533</v>
      </c>
      <c r="G4592" s="386" t="s">
        <v>13658</v>
      </c>
      <c r="H4592" s="162" t="s">
        <v>13659</v>
      </c>
      <c r="K4592" s="386" t="s">
        <v>16217</v>
      </c>
      <c r="L4592" s="162" t="s">
        <v>14521</v>
      </c>
      <c r="M4592" s="162" t="s">
        <v>16226</v>
      </c>
      <c r="N4592" s="162">
        <v>4</v>
      </c>
      <c r="O4592" s="224">
        <v>4</v>
      </c>
      <c r="P4592" s="224">
        <v>4</v>
      </c>
      <c r="Q4592" s="224">
        <v>4</v>
      </c>
      <c r="R4592" s="224">
        <v>4</v>
      </c>
      <c r="S4592" s="224">
        <v>4</v>
      </c>
      <c r="T4592" s="223" t="s">
        <v>1775</v>
      </c>
      <c r="U4592" t="str">
        <f>VLOOKUP(T4592,[8]Votes!$A$1:$E$234,3,FALSE)</f>
        <v>112 Ethics and Integrity</v>
      </c>
      <c r="V4592" s="162" t="s">
        <v>16227</v>
      </c>
      <c r="W4592" s="407">
        <v>0</v>
      </c>
      <c r="X4592" s="407">
        <v>0</v>
      </c>
      <c r="Y4592" s="407">
        <v>0</v>
      </c>
      <c r="Z4592" s="407">
        <v>0</v>
      </c>
      <c r="AA4592" s="407">
        <v>0</v>
      </c>
      <c r="AB4592" s="407">
        <v>0</v>
      </c>
      <c r="AC4592" s="150">
        <v>0</v>
      </c>
      <c r="AD4592" s="150">
        <v>0</v>
      </c>
      <c r="AE4592" s="49">
        <f t="shared" si="164"/>
        <v>0</v>
      </c>
      <c r="AF4592" s="190"/>
      <c r="AG4592" s="17">
        <v>0</v>
      </c>
      <c r="AH4592" s="190">
        <v>0</v>
      </c>
      <c r="AI4592" s="485">
        <v>0.1</v>
      </c>
      <c r="AJ4592" s="485">
        <v>0.1</v>
      </c>
      <c r="AK4592" s="493">
        <v>0</v>
      </c>
      <c r="AL4592" s="493">
        <v>0</v>
      </c>
      <c r="AM4592" s="17">
        <f t="shared" si="165"/>
        <v>0</v>
      </c>
      <c r="AN4592" s="162" t="s">
        <v>1775</v>
      </c>
      <c r="AO4592" s="162" t="s">
        <v>1776</v>
      </c>
    </row>
    <row r="4593" spans="1:42" s="162" customFormat="1" x14ac:dyDescent="0.3">
      <c r="A4593" s="205" t="s">
        <v>8321</v>
      </c>
      <c r="B4593" s="162" t="s">
        <v>8322</v>
      </c>
      <c r="C4593" s="168" t="s">
        <v>13637</v>
      </c>
      <c r="D4593" s="162" t="s">
        <v>6838</v>
      </c>
      <c r="E4593" s="406" t="s">
        <v>13638</v>
      </c>
      <c r="F4593" s="406" t="s">
        <v>13533</v>
      </c>
      <c r="G4593" s="386" t="s">
        <v>13658</v>
      </c>
      <c r="H4593" s="162" t="s">
        <v>13659</v>
      </c>
      <c r="K4593" s="386" t="s">
        <v>16217</v>
      </c>
      <c r="L4593" s="162" t="s">
        <v>14521</v>
      </c>
      <c r="M4593" s="162" t="s">
        <v>16228</v>
      </c>
      <c r="N4593" s="162">
        <v>1</v>
      </c>
      <c r="O4593" s="224">
        <v>1</v>
      </c>
      <c r="P4593" s="224">
        <v>1</v>
      </c>
      <c r="Q4593" s="224">
        <v>1</v>
      </c>
      <c r="R4593" s="224">
        <v>1</v>
      </c>
      <c r="S4593" s="224">
        <v>1</v>
      </c>
      <c r="T4593" s="223" t="s">
        <v>3875</v>
      </c>
      <c r="U4593" t="str">
        <f>VLOOKUP(T4593,[8]Votes!$A$1:$E$234,3,FALSE)</f>
        <v>007 Ministry of Justice and Constitutional Affairs</v>
      </c>
      <c r="V4593" s="162" t="s">
        <v>16229</v>
      </c>
      <c r="W4593" s="407">
        <v>1</v>
      </c>
      <c r="X4593" s="407">
        <v>1</v>
      </c>
      <c r="Y4593" s="407">
        <v>0</v>
      </c>
      <c r="Z4593" s="407">
        <v>1</v>
      </c>
      <c r="AA4593" s="407">
        <v>1</v>
      </c>
      <c r="AB4593" s="407">
        <v>1</v>
      </c>
      <c r="AC4593" s="150">
        <v>1</v>
      </c>
      <c r="AD4593" s="150">
        <v>1</v>
      </c>
      <c r="AE4593" s="49">
        <f t="shared" si="164"/>
        <v>0.875</v>
      </c>
      <c r="AF4593" s="485"/>
      <c r="AG4593" s="17">
        <v>0</v>
      </c>
      <c r="AH4593" s="485">
        <v>0.125</v>
      </c>
      <c r="AI4593" s="485">
        <v>0.15</v>
      </c>
      <c r="AJ4593" s="485">
        <v>0.2</v>
      </c>
      <c r="AK4593" s="493">
        <v>0.3</v>
      </c>
      <c r="AL4593" s="493">
        <v>0.4</v>
      </c>
      <c r="AM4593" s="17">
        <f t="shared" si="165"/>
        <v>0.7</v>
      </c>
      <c r="AN4593" s="223" t="s">
        <v>3875</v>
      </c>
      <c r="AO4593" s="162" t="s">
        <v>3877</v>
      </c>
    </row>
    <row r="4594" spans="1:42" s="162" customFormat="1" x14ac:dyDescent="0.3">
      <c r="A4594" s="536" t="s">
        <v>8321</v>
      </c>
      <c r="B4594" s="162" t="s">
        <v>8322</v>
      </c>
      <c r="C4594" s="168" t="s">
        <v>13637</v>
      </c>
      <c r="D4594" s="162" t="s">
        <v>6838</v>
      </c>
      <c r="E4594" s="406" t="s">
        <v>13638</v>
      </c>
      <c r="F4594" s="406" t="s">
        <v>13533</v>
      </c>
      <c r="G4594" s="386" t="s">
        <v>13658</v>
      </c>
      <c r="H4594" s="162" t="s">
        <v>13659</v>
      </c>
      <c r="K4594" s="386" t="s">
        <v>16217</v>
      </c>
      <c r="L4594" s="162" t="s">
        <v>14521</v>
      </c>
      <c r="M4594" s="162" t="s">
        <v>16230</v>
      </c>
      <c r="N4594" s="162">
        <v>1</v>
      </c>
      <c r="O4594" s="224">
        <v>1</v>
      </c>
      <c r="P4594" s="224">
        <v>1</v>
      </c>
      <c r="Q4594" s="224">
        <v>1</v>
      </c>
      <c r="R4594" s="224">
        <v>1</v>
      </c>
      <c r="S4594" s="224">
        <v>1</v>
      </c>
      <c r="T4594" s="223" t="s">
        <v>3875</v>
      </c>
      <c r="U4594" t="str">
        <f>VLOOKUP(T4594,[8]Votes!$A$1:$E$234,3,FALSE)</f>
        <v>007 Ministry of Justice and Constitutional Affairs</v>
      </c>
      <c r="V4594" s="162" t="s">
        <v>16231</v>
      </c>
      <c r="W4594" s="407">
        <v>1</v>
      </c>
      <c r="X4594" s="407">
        <v>1</v>
      </c>
      <c r="Y4594" s="407">
        <v>0</v>
      </c>
      <c r="Z4594" s="407">
        <v>1</v>
      </c>
      <c r="AA4594" s="407">
        <v>1</v>
      </c>
      <c r="AB4594" s="407">
        <v>1</v>
      </c>
      <c r="AC4594" s="150">
        <v>1</v>
      </c>
      <c r="AD4594" s="150">
        <v>1</v>
      </c>
      <c r="AE4594" s="49">
        <f t="shared" si="164"/>
        <v>0.875</v>
      </c>
      <c r="AF4594" s="485"/>
      <c r="AG4594" s="17">
        <v>0</v>
      </c>
      <c r="AH4594" s="485">
        <v>0.125</v>
      </c>
      <c r="AI4594" s="485">
        <v>0.15</v>
      </c>
      <c r="AJ4594" s="485">
        <v>0.2</v>
      </c>
      <c r="AK4594" s="493">
        <v>0.3</v>
      </c>
      <c r="AL4594" s="493">
        <v>0.4</v>
      </c>
      <c r="AM4594" s="17">
        <f t="shared" si="165"/>
        <v>0.7</v>
      </c>
      <c r="AN4594" s="223" t="s">
        <v>3875</v>
      </c>
      <c r="AO4594" s="162" t="s">
        <v>3877</v>
      </c>
    </row>
    <row r="4595" spans="1:42" s="162" customFormat="1" x14ac:dyDescent="0.3">
      <c r="A4595" s="536" t="s">
        <v>8321</v>
      </c>
      <c r="B4595" s="162" t="s">
        <v>8322</v>
      </c>
      <c r="C4595" s="168" t="s">
        <v>13637</v>
      </c>
      <c r="D4595" s="162" t="s">
        <v>6838</v>
      </c>
      <c r="E4595" s="406" t="s">
        <v>13638</v>
      </c>
      <c r="F4595" s="406" t="s">
        <v>13533</v>
      </c>
      <c r="G4595" s="386" t="s">
        <v>13658</v>
      </c>
      <c r="H4595" s="162" t="s">
        <v>13659</v>
      </c>
      <c r="K4595" s="386" t="s">
        <v>16217</v>
      </c>
      <c r="L4595" s="162" t="s">
        <v>14521</v>
      </c>
      <c r="M4595" s="162" t="s">
        <v>16232</v>
      </c>
      <c r="N4595" s="162">
        <v>1</v>
      </c>
      <c r="O4595" s="224">
        <v>1</v>
      </c>
      <c r="P4595" s="224">
        <v>1</v>
      </c>
      <c r="Q4595" s="224">
        <v>1</v>
      </c>
      <c r="R4595" s="224">
        <v>1</v>
      </c>
      <c r="S4595" s="224">
        <v>1</v>
      </c>
      <c r="T4595" s="223" t="s">
        <v>13776</v>
      </c>
      <c r="U4595" t="str">
        <f>VLOOKUP(T4595,[8]Votes!$A$1:$E$234,3,FALSE)</f>
        <v>305 Directorate of Government Analytical Laboratory</v>
      </c>
      <c r="V4595" s="162" t="s">
        <v>16233</v>
      </c>
      <c r="W4595" s="407">
        <v>0</v>
      </c>
      <c r="X4595" s="407">
        <v>0</v>
      </c>
      <c r="Y4595" s="407">
        <v>0</v>
      </c>
      <c r="Z4595" s="407">
        <v>1</v>
      </c>
      <c r="AA4595" s="407">
        <v>1</v>
      </c>
      <c r="AB4595" s="407">
        <v>0</v>
      </c>
      <c r="AC4595" s="150">
        <v>0</v>
      </c>
      <c r="AD4595" s="150">
        <v>0</v>
      </c>
      <c r="AE4595" s="49">
        <f t="shared" si="164"/>
        <v>0.25</v>
      </c>
      <c r="AF4595" s="485"/>
      <c r="AG4595" s="17">
        <v>0</v>
      </c>
      <c r="AH4595" s="485">
        <v>0.05</v>
      </c>
      <c r="AI4595" s="485">
        <v>0.05</v>
      </c>
      <c r="AJ4595" s="485">
        <v>0.05</v>
      </c>
      <c r="AK4595" s="493">
        <v>0</v>
      </c>
      <c r="AL4595" s="493">
        <v>0</v>
      </c>
      <c r="AM4595" s="17">
        <f t="shared" si="165"/>
        <v>0</v>
      </c>
      <c r="AN4595" s="162" t="s">
        <v>13776</v>
      </c>
      <c r="AO4595" s="162" t="s">
        <v>13778</v>
      </c>
      <c r="AP4595" s="162" t="s">
        <v>271</v>
      </c>
    </row>
    <row r="4596" spans="1:42" s="162" customFormat="1" x14ac:dyDescent="0.3">
      <c r="A4596" s="536" t="s">
        <v>8321</v>
      </c>
      <c r="B4596" s="162" t="s">
        <v>8322</v>
      </c>
      <c r="C4596" s="168" t="s">
        <v>13637</v>
      </c>
      <c r="D4596" s="162" t="s">
        <v>6838</v>
      </c>
      <c r="E4596" s="406" t="s">
        <v>13638</v>
      </c>
      <c r="F4596" s="406" t="s">
        <v>13533</v>
      </c>
      <c r="G4596" s="386" t="s">
        <v>13658</v>
      </c>
      <c r="H4596" s="162" t="s">
        <v>13659</v>
      </c>
      <c r="K4596" s="386" t="s">
        <v>16217</v>
      </c>
      <c r="L4596" s="162" t="s">
        <v>14521</v>
      </c>
      <c r="M4596" s="162" t="s">
        <v>16234</v>
      </c>
      <c r="N4596" s="162">
        <v>1</v>
      </c>
      <c r="O4596" s="224">
        <v>1</v>
      </c>
      <c r="P4596" s="224">
        <v>1</v>
      </c>
      <c r="Q4596" s="224">
        <v>1</v>
      </c>
      <c r="R4596" s="224">
        <v>1</v>
      </c>
      <c r="S4596" s="224">
        <v>1</v>
      </c>
      <c r="T4596" s="223" t="s">
        <v>13776</v>
      </c>
      <c r="U4596" t="str">
        <f>VLOOKUP(T4596,[8]Votes!$A$1:$E$234,3,FALSE)</f>
        <v>305 Directorate of Government Analytical Laboratory</v>
      </c>
      <c r="V4596" s="162" t="s">
        <v>16233</v>
      </c>
      <c r="W4596" s="407">
        <v>0</v>
      </c>
      <c r="X4596" s="407">
        <v>1</v>
      </c>
      <c r="Y4596" s="407">
        <v>1</v>
      </c>
      <c r="Z4596" s="407">
        <v>1</v>
      </c>
      <c r="AA4596" s="407">
        <v>1</v>
      </c>
      <c r="AB4596" s="407">
        <v>0</v>
      </c>
      <c r="AC4596" s="150">
        <v>1</v>
      </c>
      <c r="AD4596" s="150">
        <v>1</v>
      </c>
      <c r="AE4596" s="49">
        <f t="shared" si="164"/>
        <v>0.75</v>
      </c>
      <c r="AF4596" s="485"/>
      <c r="AG4596" s="17">
        <v>0</v>
      </c>
      <c r="AH4596" s="485">
        <v>0.06</v>
      </c>
      <c r="AI4596" s="485">
        <v>0.06</v>
      </c>
      <c r="AJ4596" s="485">
        <v>0.06</v>
      </c>
      <c r="AK4596" s="493">
        <v>0.06</v>
      </c>
      <c r="AL4596" s="493">
        <v>0.06</v>
      </c>
      <c r="AM4596" s="17">
        <f t="shared" si="165"/>
        <v>0.12</v>
      </c>
      <c r="AN4596" s="162" t="s">
        <v>13776</v>
      </c>
      <c r="AO4596" s="162" t="s">
        <v>13778</v>
      </c>
      <c r="AP4596" s="162" t="s">
        <v>271</v>
      </c>
    </row>
    <row r="4597" spans="1:42" s="162" customFormat="1" x14ac:dyDescent="0.3">
      <c r="A4597" s="536" t="s">
        <v>8321</v>
      </c>
      <c r="B4597" s="162" t="s">
        <v>8322</v>
      </c>
      <c r="C4597" s="168" t="s">
        <v>13637</v>
      </c>
      <c r="D4597" s="162" t="s">
        <v>6838</v>
      </c>
      <c r="E4597" s="406" t="s">
        <v>13638</v>
      </c>
      <c r="F4597" s="406" t="s">
        <v>13533</v>
      </c>
      <c r="G4597" s="386" t="s">
        <v>13658</v>
      </c>
      <c r="H4597" s="162" t="s">
        <v>13659</v>
      </c>
      <c r="K4597" s="386" t="s">
        <v>16217</v>
      </c>
      <c r="L4597" s="162" t="s">
        <v>14521</v>
      </c>
      <c r="M4597" s="162" t="s">
        <v>16235</v>
      </c>
      <c r="N4597" s="162">
        <v>4</v>
      </c>
      <c r="O4597" s="224">
        <v>4</v>
      </c>
      <c r="P4597" s="224">
        <v>4</v>
      </c>
      <c r="Q4597" s="224">
        <v>4</v>
      </c>
      <c r="R4597" s="224">
        <v>4</v>
      </c>
      <c r="S4597" s="224">
        <v>4</v>
      </c>
      <c r="T4597" s="223" t="s">
        <v>13776</v>
      </c>
      <c r="U4597" t="str">
        <f>VLOOKUP(T4597,[8]Votes!$A$1:$E$234,3,FALSE)</f>
        <v>305 Directorate of Government Analytical Laboratory</v>
      </c>
      <c r="V4597" s="162" t="s">
        <v>16236</v>
      </c>
      <c r="W4597" s="407">
        <v>0</v>
      </c>
      <c r="X4597" s="407">
        <v>1</v>
      </c>
      <c r="Y4597" s="407">
        <v>1</v>
      </c>
      <c r="Z4597" s="407">
        <v>1</v>
      </c>
      <c r="AA4597" s="407">
        <v>1</v>
      </c>
      <c r="AB4597" s="407">
        <v>0</v>
      </c>
      <c r="AC4597" s="150">
        <v>0</v>
      </c>
      <c r="AD4597" s="150">
        <v>1</v>
      </c>
      <c r="AE4597" s="49">
        <f t="shared" si="164"/>
        <v>0.625</v>
      </c>
      <c r="AF4597" s="485"/>
      <c r="AG4597" s="17">
        <v>0</v>
      </c>
      <c r="AH4597" s="485">
        <v>2.1000000000000001E-2</v>
      </c>
      <c r="AI4597" s="485">
        <v>2.1000000000000001E-2</v>
      </c>
      <c r="AJ4597" s="485">
        <v>2.1000000000000001E-2</v>
      </c>
      <c r="AK4597" s="493">
        <v>2.1000000000000001E-2</v>
      </c>
      <c r="AL4597" s="493">
        <v>2.1000000000000001E-2</v>
      </c>
      <c r="AM4597" s="17">
        <f t="shared" si="165"/>
        <v>4.2000000000000003E-2</v>
      </c>
      <c r="AN4597" s="162" t="s">
        <v>13776</v>
      </c>
      <c r="AO4597" s="162" t="s">
        <v>13778</v>
      </c>
      <c r="AP4597" s="162" t="s">
        <v>271</v>
      </c>
    </row>
    <row r="4598" spans="1:42" s="162" customFormat="1" x14ac:dyDescent="0.3">
      <c r="A4598" s="536" t="s">
        <v>8321</v>
      </c>
      <c r="B4598" s="162" t="s">
        <v>8322</v>
      </c>
      <c r="C4598" s="168" t="s">
        <v>13637</v>
      </c>
      <c r="D4598" s="162" t="s">
        <v>6838</v>
      </c>
      <c r="E4598" s="406" t="s">
        <v>13638</v>
      </c>
      <c r="F4598" s="406" t="s">
        <v>13533</v>
      </c>
      <c r="G4598" s="386" t="s">
        <v>13658</v>
      </c>
      <c r="H4598" s="162" t="s">
        <v>13659</v>
      </c>
      <c r="K4598" s="386" t="s">
        <v>16217</v>
      </c>
      <c r="L4598" s="162" t="s">
        <v>14521</v>
      </c>
      <c r="M4598" s="162" t="s">
        <v>16237</v>
      </c>
      <c r="N4598" s="162">
        <v>1</v>
      </c>
      <c r="O4598" s="224">
        <v>1</v>
      </c>
      <c r="P4598" s="224"/>
      <c r="Q4598" s="224"/>
      <c r="R4598" s="224"/>
      <c r="S4598" s="224">
        <v>1</v>
      </c>
      <c r="T4598" s="223" t="s">
        <v>13776</v>
      </c>
      <c r="U4598" t="str">
        <f>VLOOKUP(T4598,[8]Votes!$A$1:$E$234,3,FALSE)</f>
        <v>305 Directorate of Government Analytical Laboratory</v>
      </c>
      <c r="V4598" s="162" t="s">
        <v>16238</v>
      </c>
      <c r="W4598" s="407">
        <v>1</v>
      </c>
      <c r="X4598" s="407">
        <v>1</v>
      </c>
      <c r="Y4598" s="407">
        <v>1</v>
      </c>
      <c r="Z4598" s="407">
        <v>1</v>
      </c>
      <c r="AA4598" s="407">
        <v>1</v>
      </c>
      <c r="AB4598" s="407">
        <v>0</v>
      </c>
      <c r="AC4598" s="150">
        <v>1</v>
      </c>
      <c r="AD4598" s="150">
        <v>1</v>
      </c>
      <c r="AE4598" s="49">
        <f t="shared" si="164"/>
        <v>0.875</v>
      </c>
      <c r="AF4598" s="485"/>
      <c r="AG4598" s="17">
        <v>0</v>
      </c>
      <c r="AH4598" s="485">
        <v>8.5000000000000006E-2</v>
      </c>
      <c r="AI4598" s="190">
        <v>0</v>
      </c>
      <c r="AJ4598" s="190">
        <v>0</v>
      </c>
      <c r="AK4598" s="191">
        <v>0</v>
      </c>
      <c r="AL4598" s="493">
        <v>8.5000000000000006E-2</v>
      </c>
      <c r="AM4598" s="17">
        <f t="shared" si="165"/>
        <v>8.5000000000000006E-2</v>
      </c>
      <c r="AN4598" s="162" t="s">
        <v>13776</v>
      </c>
      <c r="AO4598" s="162" t="s">
        <v>13778</v>
      </c>
      <c r="AP4598" s="162" t="s">
        <v>271</v>
      </c>
    </row>
    <row r="4599" spans="1:42" s="162" customFormat="1" x14ac:dyDescent="0.3">
      <c r="A4599" s="536" t="s">
        <v>8321</v>
      </c>
      <c r="B4599" s="162" t="s">
        <v>8322</v>
      </c>
      <c r="C4599" s="168" t="s">
        <v>13637</v>
      </c>
      <c r="D4599" s="162" t="s">
        <v>6838</v>
      </c>
      <c r="E4599" s="406" t="s">
        <v>13638</v>
      </c>
      <c r="F4599" s="406" t="s">
        <v>13533</v>
      </c>
      <c r="G4599" s="386" t="s">
        <v>13658</v>
      </c>
      <c r="H4599" s="162" t="s">
        <v>13659</v>
      </c>
      <c r="K4599" s="386" t="s">
        <v>16217</v>
      </c>
      <c r="L4599" s="162" t="s">
        <v>14521</v>
      </c>
      <c r="M4599" s="162" t="s">
        <v>16239</v>
      </c>
      <c r="N4599" s="162">
        <v>4</v>
      </c>
      <c r="O4599" s="224">
        <v>4</v>
      </c>
      <c r="P4599" s="224">
        <v>4</v>
      </c>
      <c r="Q4599" s="224">
        <v>6</v>
      </c>
      <c r="R4599" s="224">
        <v>6</v>
      </c>
      <c r="S4599" s="224">
        <v>6</v>
      </c>
      <c r="T4599" s="223" t="s">
        <v>13776</v>
      </c>
      <c r="U4599" t="str">
        <f>VLOOKUP(T4599,[8]Votes!$A$1:$E$234,3,FALSE)</f>
        <v>305 Directorate of Government Analytical Laboratory</v>
      </c>
      <c r="V4599" s="162" t="s">
        <v>16240</v>
      </c>
      <c r="W4599" s="407">
        <v>0</v>
      </c>
      <c r="X4599" s="407">
        <v>1</v>
      </c>
      <c r="Y4599" s="407">
        <v>0</v>
      </c>
      <c r="Z4599" s="407">
        <v>1</v>
      </c>
      <c r="AA4599" s="407">
        <v>1</v>
      </c>
      <c r="AB4599" s="407">
        <v>1</v>
      </c>
      <c r="AC4599" s="150">
        <v>1</v>
      </c>
      <c r="AD4599" s="150">
        <v>1</v>
      </c>
      <c r="AE4599" s="49">
        <f t="shared" si="164"/>
        <v>0.75</v>
      </c>
      <c r="AF4599" s="485"/>
      <c r="AG4599" s="17">
        <v>0</v>
      </c>
      <c r="AH4599" s="485">
        <v>0.08</v>
      </c>
      <c r="AI4599" s="485">
        <v>0.08</v>
      </c>
      <c r="AJ4599" s="485">
        <v>0.08</v>
      </c>
      <c r="AK4599" s="493">
        <v>0.12</v>
      </c>
      <c r="AL4599" s="493">
        <v>0.12</v>
      </c>
      <c r="AM4599" s="17">
        <f t="shared" si="165"/>
        <v>0.24</v>
      </c>
      <c r="AN4599" s="162" t="s">
        <v>13776</v>
      </c>
      <c r="AO4599" s="162" t="s">
        <v>13778</v>
      </c>
      <c r="AP4599" s="162" t="s">
        <v>271</v>
      </c>
    </row>
    <row r="4600" spans="1:42" s="162" customFormat="1" x14ac:dyDescent="0.3">
      <c r="A4600" s="536" t="s">
        <v>8321</v>
      </c>
      <c r="B4600" s="162" t="s">
        <v>8322</v>
      </c>
      <c r="C4600" s="168" t="s">
        <v>13637</v>
      </c>
      <c r="D4600" s="162" t="s">
        <v>6838</v>
      </c>
      <c r="E4600" s="406" t="s">
        <v>13638</v>
      </c>
      <c r="F4600" s="406" t="s">
        <v>13533</v>
      </c>
      <c r="G4600" s="386" t="s">
        <v>13658</v>
      </c>
      <c r="H4600" s="162" t="s">
        <v>13659</v>
      </c>
      <c r="K4600" s="386" t="s">
        <v>16217</v>
      </c>
      <c r="L4600" s="162" t="s">
        <v>14521</v>
      </c>
      <c r="M4600" s="162" t="s">
        <v>16241</v>
      </c>
      <c r="N4600" s="162">
        <v>18</v>
      </c>
      <c r="O4600" s="224">
        <v>18</v>
      </c>
      <c r="P4600" s="224">
        <v>18</v>
      </c>
      <c r="Q4600" s="224">
        <v>18</v>
      </c>
      <c r="R4600" s="224">
        <v>18</v>
      </c>
      <c r="S4600" s="224">
        <v>18</v>
      </c>
      <c r="T4600" s="223" t="s">
        <v>13776</v>
      </c>
      <c r="U4600" t="str">
        <f>VLOOKUP(T4600,[8]Votes!$A$1:$E$234,3,FALSE)</f>
        <v>305 Directorate of Government Analytical Laboratory</v>
      </c>
      <c r="V4600" s="162" t="s">
        <v>16242</v>
      </c>
      <c r="W4600" s="407">
        <v>0</v>
      </c>
      <c r="X4600" s="407">
        <v>1</v>
      </c>
      <c r="Y4600" s="407">
        <v>1</v>
      </c>
      <c r="Z4600" s="407">
        <v>1</v>
      </c>
      <c r="AA4600" s="407">
        <v>1</v>
      </c>
      <c r="AB4600" s="407">
        <v>0</v>
      </c>
      <c r="AC4600" s="150">
        <v>1</v>
      </c>
      <c r="AD4600" s="150">
        <v>1</v>
      </c>
      <c r="AE4600" s="49">
        <f t="shared" si="164"/>
        <v>0.75</v>
      </c>
      <c r="AF4600" s="485"/>
      <c r="AG4600" s="17">
        <v>0</v>
      </c>
      <c r="AH4600" s="485">
        <v>1.9439999999999999E-2</v>
      </c>
      <c r="AI4600" s="485">
        <v>1.9439999999999999E-2</v>
      </c>
      <c r="AJ4600" s="485">
        <v>1.9439999999999999E-2</v>
      </c>
      <c r="AK4600" s="493">
        <v>1.9439999999999999E-2</v>
      </c>
      <c r="AL4600" s="493">
        <v>1.9439999999999999E-2</v>
      </c>
      <c r="AM4600" s="17">
        <f t="shared" si="165"/>
        <v>3.8879999999999998E-2</v>
      </c>
      <c r="AN4600" s="162" t="s">
        <v>13776</v>
      </c>
      <c r="AO4600" s="162" t="s">
        <v>13778</v>
      </c>
      <c r="AP4600" s="162" t="s">
        <v>271</v>
      </c>
    </row>
    <row r="4601" spans="1:42" s="162" customFormat="1" x14ac:dyDescent="0.3">
      <c r="A4601" s="536" t="s">
        <v>8321</v>
      </c>
      <c r="B4601" s="162" t="s">
        <v>8322</v>
      </c>
      <c r="C4601" s="168" t="s">
        <v>13637</v>
      </c>
      <c r="D4601" s="162" t="s">
        <v>6838</v>
      </c>
      <c r="E4601" s="406" t="s">
        <v>13638</v>
      </c>
      <c r="F4601" s="406" t="s">
        <v>13533</v>
      </c>
      <c r="G4601" s="386" t="s">
        <v>13658</v>
      </c>
      <c r="H4601" s="162" t="s">
        <v>13659</v>
      </c>
      <c r="K4601" s="386" t="s">
        <v>16217</v>
      </c>
      <c r="L4601" s="162" t="s">
        <v>14521</v>
      </c>
      <c r="M4601" s="162" t="s">
        <v>16243</v>
      </c>
      <c r="N4601" s="162">
        <v>0</v>
      </c>
      <c r="O4601" s="224">
        <v>0</v>
      </c>
      <c r="P4601" s="224">
        <v>3</v>
      </c>
      <c r="Q4601" s="224">
        <v>3</v>
      </c>
      <c r="R4601" s="224">
        <v>3</v>
      </c>
      <c r="S4601" s="224">
        <v>3</v>
      </c>
      <c r="T4601" s="223" t="s">
        <v>13776</v>
      </c>
      <c r="U4601" t="str">
        <f>VLOOKUP(T4601,[8]Votes!$A$1:$E$234,3,FALSE)</f>
        <v>305 Directorate of Government Analytical Laboratory</v>
      </c>
      <c r="V4601" s="162" t="s">
        <v>16244</v>
      </c>
      <c r="W4601" s="407">
        <v>0</v>
      </c>
      <c r="X4601" s="407">
        <v>0</v>
      </c>
      <c r="Y4601" s="407">
        <v>0</v>
      </c>
      <c r="Z4601" s="407">
        <v>1</v>
      </c>
      <c r="AA4601" s="407">
        <v>1</v>
      </c>
      <c r="AB4601" s="407">
        <v>0</v>
      </c>
      <c r="AC4601" s="150">
        <v>1</v>
      </c>
      <c r="AD4601" s="150">
        <v>0</v>
      </c>
      <c r="AE4601" s="49">
        <f t="shared" si="164"/>
        <v>0.375</v>
      </c>
      <c r="AF4601" s="190"/>
      <c r="AG4601" s="17">
        <v>0</v>
      </c>
      <c r="AH4601" s="190">
        <v>0</v>
      </c>
      <c r="AI4601" s="190">
        <v>0</v>
      </c>
      <c r="AJ4601" s="485">
        <v>5.0000000000000001E-3</v>
      </c>
      <c r="AK4601" s="493">
        <v>0</v>
      </c>
      <c r="AL4601" s="493">
        <v>0</v>
      </c>
      <c r="AM4601" s="17">
        <f t="shared" si="165"/>
        <v>0</v>
      </c>
      <c r="AN4601" s="162" t="s">
        <v>13776</v>
      </c>
      <c r="AO4601" s="162" t="s">
        <v>13778</v>
      </c>
      <c r="AP4601" s="162" t="s">
        <v>271</v>
      </c>
    </row>
    <row r="4602" spans="1:42" s="162" customFormat="1" x14ac:dyDescent="0.3">
      <c r="A4602" s="536" t="s">
        <v>8321</v>
      </c>
      <c r="B4602" s="162" t="s">
        <v>8322</v>
      </c>
      <c r="C4602" s="168" t="s">
        <v>13637</v>
      </c>
      <c r="D4602" s="162" t="s">
        <v>6838</v>
      </c>
      <c r="E4602" s="406" t="s">
        <v>13638</v>
      </c>
      <c r="F4602" s="406" t="s">
        <v>13533</v>
      </c>
      <c r="G4602" s="386" t="s">
        <v>13716</v>
      </c>
      <c r="H4602" s="1" t="s">
        <v>13717</v>
      </c>
      <c r="K4602" s="386" t="s">
        <v>16245</v>
      </c>
      <c r="L4602" s="162" t="s">
        <v>16246</v>
      </c>
      <c r="M4602" s="162" t="s">
        <v>16247</v>
      </c>
      <c r="N4602" s="162">
        <v>1</v>
      </c>
      <c r="O4602" s="224">
        <v>1</v>
      </c>
      <c r="P4602" s="224">
        <v>1</v>
      </c>
      <c r="Q4602" s="224">
        <v>1</v>
      </c>
      <c r="R4602" s="224">
        <v>1</v>
      </c>
      <c r="S4602" s="224">
        <v>1</v>
      </c>
      <c r="T4602" s="223" t="s">
        <v>13776</v>
      </c>
      <c r="U4602" t="str">
        <f>VLOOKUP(T4602,[8]Votes!$A$1:$E$234,3,FALSE)</f>
        <v>305 Directorate of Government Analytical Laboratory</v>
      </c>
      <c r="V4602" s="162" t="s">
        <v>16248</v>
      </c>
      <c r="W4602" s="501">
        <v>1</v>
      </c>
      <c r="X4602" s="501">
        <v>1</v>
      </c>
      <c r="Y4602" s="501">
        <v>1</v>
      </c>
      <c r="Z4602" s="501">
        <v>1</v>
      </c>
      <c r="AA4602" s="501">
        <v>1</v>
      </c>
      <c r="AB4602" s="501">
        <v>1</v>
      </c>
      <c r="AC4602" s="150">
        <v>1</v>
      </c>
      <c r="AD4602" s="150">
        <v>1</v>
      </c>
      <c r="AE4602" s="49">
        <f t="shared" ref="AE4602:AE4665" si="166">SUM(W4602:AD4602)/8</f>
        <v>1</v>
      </c>
      <c r="AF4602" s="485"/>
      <c r="AG4602" s="17">
        <v>0</v>
      </c>
      <c r="AH4602" s="485">
        <v>4.8000000000000001E-2</v>
      </c>
      <c r="AI4602" s="485">
        <v>9.1999999999999998E-2</v>
      </c>
      <c r="AJ4602" s="485">
        <v>9.1999999999999998E-2</v>
      </c>
      <c r="AK4602" s="493">
        <v>9.1999999999999998E-2</v>
      </c>
      <c r="AL4602" s="493">
        <v>9.1999999999999998E-2</v>
      </c>
      <c r="AM4602" s="17">
        <f t="shared" ref="AM4602:AM4665" si="167">SUM(AK4602:AL4602)</f>
        <v>0.184</v>
      </c>
      <c r="AN4602" s="162" t="s">
        <v>13776</v>
      </c>
      <c r="AO4602" s="162" t="s">
        <v>13778</v>
      </c>
      <c r="AP4602" s="162" t="s">
        <v>271</v>
      </c>
    </row>
    <row r="4603" spans="1:42" s="162" customFormat="1" x14ac:dyDescent="0.3">
      <c r="A4603" s="536" t="s">
        <v>8321</v>
      </c>
      <c r="B4603" s="162" t="s">
        <v>8322</v>
      </c>
      <c r="C4603" s="168" t="s">
        <v>13637</v>
      </c>
      <c r="D4603" s="162" t="s">
        <v>6838</v>
      </c>
      <c r="E4603" s="406" t="s">
        <v>13638</v>
      </c>
      <c r="F4603" s="406" t="s">
        <v>13533</v>
      </c>
      <c r="G4603" s="386" t="s">
        <v>13716</v>
      </c>
      <c r="H4603" s="1" t="s">
        <v>13717</v>
      </c>
      <c r="K4603" s="386" t="s">
        <v>16245</v>
      </c>
      <c r="L4603" s="162" t="s">
        <v>16246</v>
      </c>
      <c r="M4603" s="162" t="s">
        <v>16249</v>
      </c>
      <c r="N4603" s="162">
        <v>56</v>
      </c>
      <c r="O4603" s="224">
        <v>56</v>
      </c>
      <c r="P4603" s="224">
        <v>56</v>
      </c>
      <c r="Q4603" s="224">
        <v>56</v>
      </c>
      <c r="R4603" s="224">
        <v>56</v>
      </c>
      <c r="S4603" s="224">
        <v>56</v>
      </c>
      <c r="T4603" s="223" t="s">
        <v>13776</v>
      </c>
      <c r="U4603" t="str">
        <f>VLOOKUP(T4603,[8]Votes!$A$1:$E$234,3,FALSE)</f>
        <v>305 Directorate of Government Analytical Laboratory</v>
      </c>
      <c r="V4603" s="162" t="s">
        <v>16250</v>
      </c>
      <c r="W4603" s="501">
        <v>0</v>
      </c>
      <c r="X4603" s="501">
        <v>1</v>
      </c>
      <c r="Y4603" s="501">
        <v>1</v>
      </c>
      <c r="Z4603" s="501">
        <v>1</v>
      </c>
      <c r="AA4603" s="501">
        <v>1</v>
      </c>
      <c r="AB4603" s="501">
        <v>1</v>
      </c>
      <c r="AC4603" s="150">
        <v>1</v>
      </c>
      <c r="AD4603" s="150">
        <v>1</v>
      </c>
      <c r="AE4603" s="49">
        <f t="shared" si="166"/>
        <v>0.875</v>
      </c>
      <c r="AF4603" s="485">
        <v>100</v>
      </c>
      <c r="AG4603" s="17">
        <v>0</v>
      </c>
      <c r="AH4603" s="485">
        <v>1.454526</v>
      </c>
      <c r="AI4603" s="485">
        <v>3.170023</v>
      </c>
      <c r="AJ4603" s="485">
        <v>3.170023</v>
      </c>
      <c r="AK4603" s="493">
        <v>0</v>
      </c>
      <c r="AL4603" s="493">
        <v>0</v>
      </c>
      <c r="AM4603" s="17">
        <f t="shared" si="167"/>
        <v>0</v>
      </c>
      <c r="AN4603" s="162" t="s">
        <v>13776</v>
      </c>
      <c r="AO4603" s="162" t="s">
        <v>13778</v>
      </c>
      <c r="AP4603" s="162" t="s">
        <v>271</v>
      </c>
    </row>
    <row r="4604" spans="1:42" s="162" customFormat="1" x14ac:dyDescent="0.3">
      <c r="A4604" s="536" t="s">
        <v>8321</v>
      </c>
      <c r="B4604" s="162" t="s">
        <v>8322</v>
      </c>
      <c r="C4604" s="168" t="s">
        <v>13637</v>
      </c>
      <c r="D4604" s="162" t="s">
        <v>6838</v>
      </c>
      <c r="E4604" s="406" t="s">
        <v>13638</v>
      </c>
      <c r="F4604" s="406" t="s">
        <v>13533</v>
      </c>
      <c r="G4604" s="386" t="s">
        <v>13658</v>
      </c>
      <c r="H4604" s="162" t="s">
        <v>13659</v>
      </c>
      <c r="K4604" s="386" t="s">
        <v>16251</v>
      </c>
      <c r="L4604" s="162" t="s">
        <v>14529</v>
      </c>
      <c r="M4604" s="162" t="s">
        <v>16252</v>
      </c>
      <c r="N4604" s="162">
        <v>4</v>
      </c>
      <c r="O4604" s="224">
        <v>4</v>
      </c>
      <c r="P4604" s="224">
        <v>4</v>
      </c>
      <c r="Q4604" s="224">
        <v>4</v>
      </c>
      <c r="R4604" s="224">
        <v>4</v>
      </c>
      <c r="S4604" s="224">
        <v>4</v>
      </c>
      <c r="T4604" s="223" t="s">
        <v>13776</v>
      </c>
      <c r="U4604" t="str">
        <f>VLOOKUP(T4604,[8]Votes!$A$1:$E$234,3,FALSE)</f>
        <v>305 Directorate of Government Analytical Laboratory</v>
      </c>
      <c r="V4604" s="162" t="s">
        <v>16253</v>
      </c>
      <c r="W4604" s="407">
        <v>0</v>
      </c>
      <c r="X4604" s="407">
        <v>0</v>
      </c>
      <c r="Y4604" s="407">
        <v>0</v>
      </c>
      <c r="Z4604" s="407">
        <v>1</v>
      </c>
      <c r="AA4604" s="407">
        <v>1</v>
      </c>
      <c r="AB4604" s="407">
        <v>0</v>
      </c>
      <c r="AC4604" s="150">
        <v>0</v>
      </c>
      <c r="AD4604" s="150">
        <v>0</v>
      </c>
      <c r="AE4604" s="49">
        <f t="shared" si="166"/>
        <v>0.25</v>
      </c>
      <c r="AF4604" s="485"/>
      <c r="AG4604" s="17">
        <v>0</v>
      </c>
      <c r="AH4604" s="485">
        <v>8.7999999999999995E-2</v>
      </c>
      <c r="AI4604" s="485">
        <v>8.7999999999999995E-2</v>
      </c>
      <c r="AJ4604" s="485">
        <v>0.08</v>
      </c>
      <c r="AK4604" s="493">
        <v>0</v>
      </c>
      <c r="AL4604" s="493">
        <v>0</v>
      </c>
      <c r="AM4604" s="17">
        <f t="shared" si="167"/>
        <v>0</v>
      </c>
      <c r="AN4604" s="162" t="s">
        <v>13776</v>
      </c>
      <c r="AO4604" s="162" t="s">
        <v>13778</v>
      </c>
      <c r="AP4604" s="162" t="s">
        <v>271</v>
      </c>
    </row>
    <row r="4605" spans="1:42" s="162" customFormat="1" x14ac:dyDescent="0.3">
      <c r="A4605" s="536" t="s">
        <v>8321</v>
      </c>
      <c r="B4605" s="162" t="s">
        <v>8322</v>
      </c>
      <c r="C4605" s="168" t="s">
        <v>13637</v>
      </c>
      <c r="D4605" s="162" t="s">
        <v>6838</v>
      </c>
      <c r="E4605" s="406" t="s">
        <v>13638</v>
      </c>
      <c r="F4605" s="406" t="s">
        <v>13533</v>
      </c>
      <c r="G4605" s="386" t="s">
        <v>13639</v>
      </c>
      <c r="H4605" s="162" t="s">
        <v>13640</v>
      </c>
      <c r="K4605" s="386" t="s">
        <v>16254</v>
      </c>
      <c r="L4605" s="162" t="s">
        <v>16255</v>
      </c>
      <c r="M4605" s="162" t="s">
        <v>16256</v>
      </c>
      <c r="N4605" s="162">
        <v>1</v>
      </c>
      <c r="O4605" s="224">
        <v>1</v>
      </c>
      <c r="P4605" s="224">
        <v>1</v>
      </c>
      <c r="Q4605" s="224">
        <v>1</v>
      </c>
      <c r="R4605" s="224">
        <v>1</v>
      </c>
      <c r="S4605" s="224">
        <v>1</v>
      </c>
      <c r="T4605" s="223" t="s">
        <v>13776</v>
      </c>
      <c r="U4605" t="str">
        <f>VLOOKUP(T4605,[8]Votes!$A$1:$E$234,3,FALSE)</f>
        <v>305 Directorate of Government Analytical Laboratory</v>
      </c>
      <c r="V4605" s="162" t="s">
        <v>16257</v>
      </c>
      <c r="W4605" s="407">
        <v>0</v>
      </c>
      <c r="X4605" s="407">
        <v>1</v>
      </c>
      <c r="Y4605" s="407">
        <v>1</v>
      </c>
      <c r="Z4605" s="407">
        <v>1</v>
      </c>
      <c r="AA4605" s="407">
        <v>1</v>
      </c>
      <c r="AB4605" s="407">
        <v>1</v>
      </c>
      <c r="AC4605" s="150">
        <v>1</v>
      </c>
      <c r="AD4605" s="150">
        <v>1</v>
      </c>
      <c r="AE4605" s="49">
        <f t="shared" si="166"/>
        <v>0.875</v>
      </c>
      <c r="AF4605" s="485"/>
      <c r="AG4605" s="17">
        <v>0</v>
      </c>
      <c r="AH4605" s="485">
        <v>0.155</v>
      </c>
      <c r="AI4605" s="485">
        <v>0.155</v>
      </c>
      <c r="AJ4605" s="485">
        <v>0.155</v>
      </c>
      <c r="AK4605" s="493">
        <v>0.155</v>
      </c>
      <c r="AL4605" s="493">
        <v>0.155</v>
      </c>
      <c r="AM4605" s="17">
        <f t="shared" si="167"/>
        <v>0.31</v>
      </c>
      <c r="AN4605" s="162" t="s">
        <v>13776</v>
      </c>
      <c r="AO4605" s="162" t="s">
        <v>13778</v>
      </c>
      <c r="AP4605" s="162" t="s">
        <v>271</v>
      </c>
    </row>
    <row r="4606" spans="1:42" s="162" customFormat="1" x14ac:dyDescent="0.3">
      <c r="A4606" s="536" t="s">
        <v>8321</v>
      </c>
      <c r="B4606" s="162" t="s">
        <v>8322</v>
      </c>
      <c r="C4606" s="168" t="s">
        <v>13637</v>
      </c>
      <c r="D4606" s="162" t="s">
        <v>6838</v>
      </c>
      <c r="E4606" s="406" t="s">
        <v>13638</v>
      </c>
      <c r="F4606" s="406" t="s">
        <v>13533</v>
      </c>
      <c r="G4606" s="386" t="s">
        <v>13639</v>
      </c>
      <c r="H4606" s="1" t="s">
        <v>13640</v>
      </c>
      <c r="K4606" s="386" t="s">
        <v>16258</v>
      </c>
      <c r="L4606" s="162" t="s">
        <v>16259</v>
      </c>
      <c r="M4606" s="162" t="s">
        <v>16260</v>
      </c>
      <c r="N4606" s="162">
        <v>1</v>
      </c>
      <c r="O4606" s="224">
        <v>1</v>
      </c>
      <c r="P4606" s="224">
        <v>1</v>
      </c>
      <c r="Q4606" s="224">
        <v>1</v>
      </c>
      <c r="R4606" s="224">
        <v>1</v>
      </c>
      <c r="S4606" s="224">
        <v>1</v>
      </c>
      <c r="T4606" s="223" t="s">
        <v>13776</v>
      </c>
      <c r="U4606" t="str">
        <f>VLOOKUP(T4606,[8]Votes!$A$1:$E$234,3,FALSE)</f>
        <v>305 Directorate of Government Analytical Laboratory</v>
      </c>
      <c r="V4606" s="162" t="s">
        <v>16261</v>
      </c>
      <c r="W4606" s="407">
        <v>1</v>
      </c>
      <c r="X4606" s="407">
        <v>1</v>
      </c>
      <c r="Y4606" s="407">
        <v>1</v>
      </c>
      <c r="Z4606" s="407">
        <v>1</v>
      </c>
      <c r="AA4606" s="407">
        <v>1</v>
      </c>
      <c r="AB4606" s="407">
        <v>1</v>
      </c>
      <c r="AC4606" s="150">
        <v>1</v>
      </c>
      <c r="AD4606" s="150">
        <v>1</v>
      </c>
      <c r="AE4606" s="49">
        <f t="shared" si="166"/>
        <v>1</v>
      </c>
      <c r="AF4606" s="485"/>
      <c r="AG4606" s="17">
        <v>0</v>
      </c>
      <c r="AH4606" s="485">
        <v>1.363653</v>
      </c>
      <c r="AI4606" s="485">
        <v>1.74695</v>
      </c>
      <c r="AJ4606" s="485">
        <v>1.74695</v>
      </c>
      <c r="AK4606" s="493">
        <v>1.74695</v>
      </c>
      <c r="AL4606" s="493">
        <v>1.74695</v>
      </c>
      <c r="AM4606" s="17">
        <f t="shared" si="167"/>
        <v>3.4939</v>
      </c>
      <c r="AN4606" s="162" t="s">
        <v>13776</v>
      </c>
      <c r="AO4606" s="162" t="s">
        <v>13778</v>
      </c>
      <c r="AP4606" s="162" t="s">
        <v>271</v>
      </c>
    </row>
    <row r="4607" spans="1:42" s="162" customFormat="1" x14ac:dyDescent="0.3">
      <c r="A4607" s="536" t="s">
        <v>8321</v>
      </c>
      <c r="B4607" s="162" t="s">
        <v>8322</v>
      </c>
      <c r="C4607" s="168" t="s">
        <v>13637</v>
      </c>
      <c r="D4607" s="162" t="s">
        <v>6838</v>
      </c>
      <c r="E4607" s="406" t="s">
        <v>13638</v>
      </c>
      <c r="F4607" s="406" t="s">
        <v>13533</v>
      </c>
      <c r="G4607" s="386" t="s">
        <v>13639</v>
      </c>
      <c r="H4607" s="162" t="s">
        <v>13640</v>
      </c>
      <c r="K4607" s="386" t="s">
        <v>16262</v>
      </c>
      <c r="L4607" s="162" t="s">
        <v>16263</v>
      </c>
      <c r="M4607" s="162" t="s">
        <v>16264</v>
      </c>
      <c r="N4607" s="162">
        <v>1</v>
      </c>
      <c r="O4607" s="224">
        <v>1</v>
      </c>
      <c r="P4607" s="224">
        <v>1</v>
      </c>
      <c r="Q4607" s="224">
        <v>1</v>
      </c>
      <c r="R4607" s="224">
        <v>1</v>
      </c>
      <c r="S4607" s="224">
        <v>1</v>
      </c>
      <c r="T4607" s="223" t="s">
        <v>13776</v>
      </c>
      <c r="U4607" t="str">
        <f>VLOOKUP(T4607,[8]Votes!$A$1:$E$234,3,FALSE)</f>
        <v>305 Directorate of Government Analytical Laboratory</v>
      </c>
      <c r="V4607" s="162" t="s">
        <v>16265</v>
      </c>
      <c r="W4607" s="407">
        <v>0</v>
      </c>
      <c r="X4607" s="407">
        <v>1</v>
      </c>
      <c r="Y4607" s="407">
        <v>1</v>
      </c>
      <c r="Z4607" s="407">
        <v>1</v>
      </c>
      <c r="AA4607" s="407">
        <v>1</v>
      </c>
      <c r="AB4607" s="407">
        <v>1</v>
      </c>
      <c r="AC4607" s="150">
        <v>1</v>
      </c>
      <c r="AD4607" s="150">
        <v>1</v>
      </c>
      <c r="AE4607" s="49">
        <f t="shared" si="166"/>
        <v>0.875</v>
      </c>
      <c r="AF4607" s="485"/>
      <c r="AG4607" s="17">
        <v>0</v>
      </c>
      <c r="AH4607" s="485">
        <v>0.10299999999999999</v>
      </c>
      <c r="AI4607" s="485">
        <v>9.4240000000000004E-2</v>
      </c>
      <c r="AJ4607" s="485">
        <v>9.4240000000000004E-2</v>
      </c>
      <c r="AK4607" s="493">
        <v>9.4200000000000006E-2</v>
      </c>
      <c r="AL4607" s="493">
        <v>9.4240000000000004E-2</v>
      </c>
      <c r="AM4607" s="17">
        <f t="shared" si="167"/>
        <v>0.18844</v>
      </c>
      <c r="AN4607" s="162" t="s">
        <v>13776</v>
      </c>
      <c r="AO4607" s="162" t="s">
        <v>13778</v>
      </c>
      <c r="AP4607" s="162" t="s">
        <v>271</v>
      </c>
    </row>
    <row r="4608" spans="1:42" s="162" customFormat="1" ht="28.8" x14ac:dyDescent="0.3">
      <c r="A4608" s="536" t="s">
        <v>8321</v>
      </c>
      <c r="B4608" s="162" t="s">
        <v>8322</v>
      </c>
      <c r="C4608" s="168" t="s">
        <v>13637</v>
      </c>
      <c r="D4608" s="1" t="s">
        <v>6838</v>
      </c>
      <c r="E4608" s="406" t="s">
        <v>13638</v>
      </c>
      <c r="F4608" s="406" t="s">
        <v>13533</v>
      </c>
      <c r="G4608" s="386" t="s">
        <v>13639</v>
      </c>
      <c r="H4608" s="162" t="s">
        <v>13640</v>
      </c>
      <c r="K4608" s="386" t="s">
        <v>16266</v>
      </c>
      <c r="L4608" s="162" t="s">
        <v>16267</v>
      </c>
      <c r="M4608" s="162" t="s">
        <v>16268</v>
      </c>
      <c r="N4608" s="162">
        <v>1</v>
      </c>
      <c r="O4608" s="224">
        <v>1</v>
      </c>
      <c r="P4608" s="224">
        <v>1</v>
      </c>
      <c r="Q4608" s="224">
        <v>1</v>
      </c>
      <c r="R4608" s="224">
        <v>1</v>
      </c>
      <c r="S4608" s="224">
        <v>1</v>
      </c>
      <c r="T4608" s="223" t="s">
        <v>13776</v>
      </c>
      <c r="U4608" t="str">
        <f>VLOOKUP(T4608,[8]Votes!$A$1:$E$234,3,FALSE)</f>
        <v>305 Directorate of Government Analytical Laboratory</v>
      </c>
      <c r="V4608" s="162" t="s">
        <v>16269</v>
      </c>
      <c r="W4608" s="407">
        <v>1</v>
      </c>
      <c r="X4608" s="407" t="s">
        <v>14569</v>
      </c>
      <c r="Y4608" s="407">
        <v>1</v>
      </c>
      <c r="Z4608" s="407">
        <v>1</v>
      </c>
      <c r="AA4608" s="407">
        <v>1</v>
      </c>
      <c r="AB4608" s="407">
        <v>1</v>
      </c>
      <c r="AC4608" s="150">
        <v>1</v>
      </c>
      <c r="AD4608" s="150">
        <v>1</v>
      </c>
      <c r="AE4608" s="49">
        <f t="shared" si="166"/>
        <v>0.875</v>
      </c>
      <c r="AF4608" s="485">
        <v>1</v>
      </c>
      <c r="AG4608" s="17">
        <v>0</v>
      </c>
      <c r="AH4608" s="485">
        <v>15.944000000000001</v>
      </c>
      <c r="AI4608" s="485">
        <v>12.944000000000001</v>
      </c>
      <c r="AJ4608" s="485">
        <v>12.944000000000001</v>
      </c>
      <c r="AK4608" s="493">
        <v>0</v>
      </c>
      <c r="AL4608" s="493">
        <v>0</v>
      </c>
      <c r="AM4608" s="17">
        <f t="shared" si="167"/>
        <v>0</v>
      </c>
      <c r="AN4608" s="162" t="s">
        <v>13776</v>
      </c>
      <c r="AO4608" s="162" t="s">
        <v>13778</v>
      </c>
      <c r="AP4608" s="162" t="s">
        <v>271</v>
      </c>
    </row>
    <row r="4609" spans="1:41" s="162" customFormat="1" x14ac:dyDescent="0.3">
      <c r="A4609" s="536" t="s">
        <v>8321</v>
      </c>
      <c r="B4609" s="162" t="s">
        <v>8322</v>
      </c>
      <c r="C4609" s="168" t="s">
        <v>13637</v>
      </c>
      <c r="D4609" s="162" t="s">
        <v>6838</v>
      </c>
      <c r="E4609" s="406" t="s">
        <v>13638</v>
      </c>
      <c r="F4609" s="406" t="s">
        <v>13533</v>
      </c>
      <c r="G4609" s="386" t="s">
        <v>13658</v>
      </c>
      <c r="H4609" s="162" t="s">
        <v>13659</v>
      </c>
      <c r="K4609" s="386" t="s">
        <v>16217</v>
      </c>
      <c r="L4609" s="162" t="s">
        <v>14521</v>
      </c>
      <c r="M4609" s="162" t="s">
        <v>16270</v>
      </c>
      <c r="N4609" s="162">
        <v>1</v>
      </c>
      <c r="O4609" s="224">
        <v>1</v>
      </c>
      <c r="P4609" s="224">
        <v>1</v>
      </c>
      <c r="Q4609" s="224">
        <v>1</v>
      </c>
      <c r="R4609" s="224">
        <v>1</v>
      </c>
      <c r="S4609" s="224">
        <v>1</v>
      </c>
      <c r="T4609" s="223" t="s">
        <v>1775</v>
      </c>
      <c r="U4609" t="str">
        <f>VLOOKUP(T4609,[8]Votes!$A$1:$E$234,3,FALSE)</f>
        <v>112 Ethics and Integrity</v>
      </c>
      <c r="V4609" s="162" t="s">
        <v>16271</v>
      </c>
      <c r="W4609" s="407">
        <v>1</v>
      </c>
      <c r="X4609" s="407">
        <v>1</v>
      </c>
      <c r="Y4609" s="407">
        <v>0</v>
      </c>
      <c r="Z4609" s="407">
        <v>1</v>
      </c>
      <c r="AA4609" s="407">
        <v>1</v>
      </c>
      <c r="AB4609" s="407">
        <v>1</v>
      </c>
      <c r="AC4609" s="150">
        <v>1</v>
      </c>
      <c r="AD4609" s="150">
        <v>1</v>
      </c>
      <c r="AE4609" s="49">
        <f t="shared" si="166"/>
        <v>0.875</v>
      </c>
      <c r="AF4609" s="485"/>
      <c r="AG4609" s="17">
        <v>0</v>
      </c>
      <c r="AH4609" s="485">
        <v>0.2</v>
      </c>
      <c r="AI4609" s="485">
        <v>0.4</v>
      </c>
      <c r="AJ4609" s="485">
        <v>0.4</v>
      </c>
      <c r="AK4609" s="493">
        <v>0.1</v>
      </c>
      <c r="AL4609" s="493">
        <v>0.13</v>
      </c>
      <c r="AM4609" s="17">
        <f t="shared" si="167"/>
        <v>0.23</v>
      </c>
      <c r="AN4609" s="162" t="s">
        <v>1775</v>
      </c>
      <c r="AO4609" s="162" t="s">
        <v>1776</v>
      </c>
    </row>
    <row r="4610" spans="1:41" s="162" customFormat="1" x14ac:dyDescent="0.3">
      <c r="A4610" s="536" t="s">
        <v>8321</v>
      </c>
      <c r="B4610" s="162" t="s">
        <v>8322</v>
      </c>
      <c r="C4610" s="168" t="s">
        <v>13637</v>
      </c>
      <c r="D4610" s="162" t="s">
        <v>6838</v>
      </c>
      <c r="E4610" s="406" t="s">
        <v>13638</v>
      </c>
      <c r="F4610" s="406" t="s">
        <v>13533</v>
      </c>
      <c r="G4610" s="386" t="s">
        <v>13658</v>
      </c>
      <c r="H4610" s="162" t="s">
        <v>13659</v>
      </c>
      <c r="K4610" s="386" t="s">
        <v>16217</v>
      </c>
      <c r="L4610" s="162" t="s">
        <v>14521</v>
      </c>
      <c r="M4610" s="162" t="s">
        <v>16272</v>
      </c>
      <c r="N4610" s="162">
        <v>1</v>
      </c>
      <c r="O4610" s="224">
        <v>1</v>
      </c>
      <c r="P4610" s="224">
        <v>1</v>
      </c>
      <c r="Q4610" s="224">
        <v>1</v>
      </c>
      <c r="R4610" s="224">
        <v>1</v>
      </c>
      <c r="S4610" s="224">
        <v>1</v>
      </c>
      <c r="T4610" s="223" t="s">
        <v>1775</v>
      </c>
      <c r="U4610" t="str">
        <f>VLOOKUP(T4610,[8]Votes!$A$1:$E$234,3,FALSE)</f>
        <v>112 Ethics and Integrity</v>
      </c>
      <c r="V4610" s="162" t="s">
        <v>16273</v>
      </c>
      <c r="W4610" s="407">
        <v>1</v>
      </c>
      <c r="X4610" s="407">
        <v>1</v>
      </c>
      <c r="Y4610" s="407">
        <v>0</v>
      </c>
      <c r="Z4610" s="407">
        <v>1</v>
      </c>
      <c r="AA4610" s="407">
        <v>1</v>
      </c>
      <c r="AB4610" s="407">
        <v>1</v>
      </c>
      <c r="AC4610" s="150">
        <v>1</v>
      </c>
      <c r="AD4610" s="150">
        <v>1</v>
      </c>
      <c r="AE4610" s="49">
        <f t="shared" si="166"/>
        <v>0.875</v>
      </c>
      <c r="AF4610" s="485"/>
      <c r="AG4610" s="17">
        <v>0</v>
      </c>
      <c r="AH4610" s="485">
        <v>0.2</v>
      </c>
      <c r="AI4610" s="485">
        <v>0.2</v>
      </c>
      <c r="AJ4610" s="485">
        <v>0.2</v>
      </c>
      <c r="AK4610" s="493">
        <v>0.1</v>
      </c>
      <c r="AL4610" s="493">
        <v>7.0000000000000007E-2</v>
      </c>
      <c r="AM4610" s="17">
        <f t="shared" si="167"/>
        <v>0.17</v>
      </c>
      <c r="AN4610" s="162" t="s">
        <v>1775</v>
      </c>
      <c r="AO4610" s="162" t="s">
        <v>1776</v>
      </c>
    </row>
    <row r="4611" spans="1:41" s="162" customFormat="1" x14ac:dyDescent="0.3">
      <c r="A4611" s="536" t="s">
        <v>8321</v>
      </c>
      <c r="B4611" s="162" t="s">
        <v>8322</v>
      </c>
      <c r="C4611" s="168" t="s">
        <v>13637</v>
      </c>
      <c r="D4611" s="1" t="s">
        <v>6838</v>
      </c>
      <c r="E4611" s="406" t="s">
        <v>13638</v>
      </c>
      <c r="F4611" s="406" t="s">
        <v>13533</v>
      </c>
      <c r="G4611" s="386" t="s">
        <v>13658</v>
      </c>
      <c r="H4611" s="162" t="s">
        <v>13659</v>
      </c>
      <c r="K4611" s="386" t="s">
        <v>16217</v>
      </c>
      <c r="L4611" s="162" t="s">
        <v>14521</v>
      </c>
      <c r="M4611" s="162" t="s">
        <v>16237</v>
      </c>
      <c r="N4611" s="162">
        <v>1</v>
      </c>
      <c r="O4611" s="224"/>
      <c r="P4611" s="224"/>
      <c r="Q4611" s="224"/>
      <c r="R4611" s="224"/>
      <c r="S4611" s="224">
        <v>1</v>
      </c>
      <c r="T4611" s="223" t="s">
        <v>1775</v>
      </c>
      <c r="U4611" t="str">
        <f>VLOOKUP(T4611,[8]Votes!$A$1:$E$234,3,FALSE)</f>
        <v>112 Ethics and Integrity</v>
      </c>
      <c r="V4611" s="224" t="s">
        <v>16238</v>
      </c>
      <c r="W4611" s="407">
        <v>1</v>
      </c>
      <c r="X4611" s="407">
        <v>1</v>
      </c>
      <c r="Y4611" s="407">
        <v>0</v>
      </c>
      <c r="Z4611" s="407">
        <v>1</v>
      </c>
      <c r="AA4611" s="407">
        <v>1</v>
      </c>
      <c r="AB4611" s="407">
        <v>1</v>
      </c>
      <c r="AC4611" s="150">
        <v>1</v>
      </c>
      <c r="AD4611" s="150">
        <v>1</v>
      </c>
      <c r="AE4611" s="49">
        <f t="shared" si="166"/>
        <v>0.875</v>
      </c>
      <c r="AF4611" s="190"/>
      <c r="AG4611" s="17">
        <v>0</v>
      </c>
      <c r="AH4611" s="190">
        <v>0</v>
      </c>
      <c r="AI4611" s="190">
        <v>0</v>
      </c>
      <c r="AJ4611" s="190">
        <v>0</v>
      </c>
      <c r="AK4611" s="191">
        <v>0</v>
      </c>
      <c r="AL4611" s="493">
        <v>0.1</v>
      </c>
      <c r="AM4611" s="17">
        <f t="shared" si="167"/>
        <v>0.1</v>
      </c>
      <c r="AN4611" s="162" t="s">
        <v>1775</v>
      </c>
      <c r="AO4611" s="162" t="s">
        <v>1776</v>
      </c>
    </row>
    <row r="4612" spans="1:41" s="162" customFormat="1" x14ac:dyDescent="0.3">
      <c r="A4612" s="536" t="s">
        <v>8321</v>
      </c>
      <c r="B4612" s="162" t="s">
        <v>8322</v>
      </c>
      <c r="C4612" s="168" t="s">
        <v>13637</v>
      </c>
      <c r="D4612" s="162" t="s">
        <v>6838</v>
      </c>
      <c r="E4612" s="406" t="s">
        <v>13638</v>
      </c>
      <c r="F4612" s="406" t="s">
        <v>13533</v>
      </c>
      <c r="G4612" s="386" t="s">
        <v>13658</v>
      </c>
      <c r="H4612" s="162" t="s">
        <v>13659</v>
      </c>
      <c r="K4612" s="386" t="s">
        <v>16274</v>
      </c>
      <c r="L4612" s="162" t="s">
        <v>14525</v>
      </c>
      <c r="M4612" s="162" t="s">
        <v>16275</v>
      </c>
      <c r="N4612" s="162">
        <v>4</v>
      </c>
      <c r="O4612" s="224">
        <v>4</v>
      </c>
      <c r="P4612" s="224">
        <v>4</v>
      </c>
      <c r="Q4612" s="224">
        <v>4</v>
      </c>
      <c r="R4612" s="224">
        <v>4</v>
      </c>
      <c r="S4612" s="224">
        <v>4</v>
      </c>
      <c r="T4612" s="223" t="s">
        <v>1775</v>
      </c>
      <c r="U4612" t="str">
        <f>VLOOKUP(T4612,[8]Votes!$A$1:$E$234,3,FALSE)</f>
        <v>112 Ethics and Integrity</v>
      </c>
      <c r="V4612" s="162" t="s">
        <v>16276</v>
      </c>
      <c r="W4612" s="407">
        <v>1</v>
      </c>
      <c r="X4612" s="407">
        <v>1</v>
      </c>
      <c r="Y4612" s="407">
        <v>0</v>
      </c>
      <c r="Z4612" s="407">
        <v>1</v>
      </c>
      <c r="AA4612" s="407">
        <v>1</v>
      </c>
      <c r="AB4612" s="407">
        <v>1</v>
      </c>
      <c r="AC4612" s="150">
        <v>1</v>
      </c>
      <c r="AD4612" s="150">
        <v>1</v>
      </c>
      <c r="AE4612" s="49">
        <f t="shared" si="166"/>
        <v>0.875</v>
      </c>
      <c r="AF4612" s="485"/>
      <c r="AG4612" s="17">
        <v>0</v>
      </c>
      <c r="AH4612" s="485">
        <v>0.2</v>
      </c>
      <c r="AI4612" s="485">
        <v>0.2</v>
      </c>
      <c r="AJ4612" s="485">
        <v>0.2</v>
      </c>
      <c r="AK4612" s="493">
        <v>0.15</v>
      </c>
      <c r="AL4612" s="493">
        <v>0.13</v>
      </c>
      <c r="AM4612" s="17">
        <f t="shared" si="167"/>
        <v>0.28000000000000003</v>
      </c>
      <c r="AN4612" s="162" t="s">
        <v>1775</v>
      </c>
      <c r="AO4612" s="162" t="s">
        <v>1776</v>
      </c>
    </row>
    <row r="4613" spans="1:41" s="162" customFormat="1" x14ac:dyDescent="0.3">
      <c r="A4613" s="536" t="s">
        <v>8321</v>
      </c>
      <c r="B4613" s="162" t="s">
        <v>8322</v>
      </c>
      <c r="C4613" s="168" t="s">
        <v>13637</v>
      </c>
      <c r="D4613" s="162" t="s">
        <v>6838</v>
      </c>
      <c r="E4613" s="406" t="s">
        <v>13638</v>
      </c>
      <c r="F4613" s="406" t="s">
        <v>13533</v>
      </c>
      <c r="G4613" s="386" t="s">
        <v>13658</v>
      </c>
      <c r="H4613" s="162" t="s">
        <v>13659</v>
      </c>
      <c r="K4613" s="386" t="s">
        <v>16274</v>
      </c>
      <c r="L4613" s="162" t="s">
        <v>14525</v>
      </c>
      <c r="M4613" s="162" t="s">
        <v>16277</v>
      </c>
      <c r="N4613" s="162">
        <v>0</v>
      </c>
      <c r="O4613" s="224">
        <v>0</v>
      </c>
      <c r="P4613" s="224">
        <v>0</v>
      </c>
      <c r="Q4613" s="224">
        <v>4</v>
      </c>
      <c r="R4613" s="224">
        <v>4</v>
      </c>
      <c r="S4613" s="224">
        <v>4</v>
      </c>
      <c r="T4613" s="223" t="s">
        <v>3875</v>
      </c>
      <c r="U4613" t="str">
        <f>VLOOKUP(T4613,[8]Votes!$A$1:$E$234,3,FALSE)</f>
        <v>007 Ministry of Justice and Constitutional Affairs</v>
      </c>
      <c r="V4613" s="162" t="s">
        <v>16278</v>
      </c>
      <c r="W4613" s="407">
        <v>1</v>
      </c>
      <c r="X4613" s="407">
        <v>1</v>
      </c>
      <c r="Y4613" s="407">
        <v>0</v>
      </c>
      <c r="Z4613" s="407">
        <v>1</v>
      </c>
      <c r="AA4613" s="407">
        <v>1</v>
      </c>
      <c r="AB4613" s="407">
        <v>1</v>
      </c>
      <c r="AC4613" s="150">
        <v>0</v>
      </c>
      <c r="AD4613" s="150">
        <v>1</v>
      </c>
      <c r="AE4613" s="49">
        <f t="shared" si="166"/>
        <v>0.75</v>
      </c>
      <c r="AF4613" s="190"/>
      <c r="AG4613" s="17">
        <v>0</v>
      </c>
      <c r="AH4613" s="190">
        <v>0</v>
      </c>
      <c r="AI4613" s="190">
        <v>0</v>
      </c>
      <c r="AJ4613" s="485">
        <v>0.1</v>
      </c>
      <c r="AK4613" s="493">
        <v>0.12</v>
      </c>
      <c r="AL4613" s="493">
        <v>0.15</v>
      </c>
      <c r="AM4613" s="17">
        <f t="shared" si="167"/>
        <v>0.27</v>
      </c>
      <c r="AN4613" s="223" t="s">
        <v>3875</v>
      </c>
      <c r="AO4613" s="162" t="s">
        <v>3877</v>
      </c>
    </row>
    <row r="4614" spans="1:41" s="162" customFormat="1" x14ac:dyDescent="0.3">
      <c r="A4614" s="536" t="s">
        <v>8321</v>
      </c>
      <c r="B4614" s="162" t="s">
        <v>8322</v>
      </c>
      <c r="C4614" s="168" t="s">
        <v>13637</v>
      </c>
      <c r="D4614" s="162" t="s">
        <v>6838</v>
      </c>
      <c r="E4614" s="406" t="s">
        <v>13638</v>
      </c>
      <c r="F4614" s="406" t="s">
        <v>13533</v>
      </c>
      <c r="G4614" s="386" t="s">
        <v>13658</v>
      </c>
      <c r="H4614" s="162" t="s">
        <v>13659</v>
      </c>
      <c r="K4614" s="386" t="s">
        <v>16274</v>
      </c>
      <c r="L4614" s="162" t="s">
        <v>14525</v>
      </c>
      <c r="M4614" s="1" t="s">
        <v>16279</v>
      </c>
      <c r="N4614" s="162">
        <v>0</v>
      </c>
      <c r="O4614" s="224">
        <v>0</v>
      </c>
      <c r="P4614" s="224">
        <v>2</v>
      </c>
      <c r="Q4614" s="224">
        <v>2</v>
      </c>
      <c r="R4614" s="224">
        <v>2</v>
      </c>
      <c r="S4614" s="224">
        <v>2</v>
      </c>
      <c r="T4614" s="223" t="s">
        <v>15432</v>
      </c>
      <c r="U4614" t="e">
        <f>VLOOKUP(T4614,[8]Votes!$A$1:$E$234,3,FALSE)</f>
        <v>#N/A</v>
      </c>
      <c r="V4614" s="223" t="s">
        <v>16280</v>
      </c>
      <c r="W4614" s="407">
        <v>1</v>
      </c>
      <c r="X4614" s="407">
        <v>1</v>
      </c>
      <c r="Y4614" s="407">
        <v>0</v>
      </c>
      <c r="Z4614" s="407">
        <v>1</v>
      </c>
      <c r="AA4614" s="407">
        <v>1</v>
      </c>
      <c r="AB4614" s="407">
        <v>0</v>
      </c>
      <c r="AC4614" s="150">
        <v>0</v>
      </c>
      <c r="AD4614" s="150">
        <v>1</v>
      </c>
      <c r="AE4614" s="49">
        <f t="shared" si="166"/>
        <v>0.625</v>
      </c>
      <c r="AF4614" s="190"/>
      <c r="AG4614" s="17">
        <v>0</v>
      </c>
      <c r="AH4614" s="190">
        <v>0</v>
      </c>
      <c r="AI4614" s="485">
        <v>0.12</v>
      </c>
      <c r="AJ4614" s="485">
        <v>0.15</v>
      </c>
      <c r="AK4614" s="493">
        <v>0.2</v>
      </c>
      <c r="AL4614" s="493">
        <v>0.22</v>
      </c>
      <c r="AM4614" s="17">
        <f t="shared" si="167"/>
        <v>0.42000000000000004</v>
      </c>
      <c r="AN4614" s="162" t="s">
        <v>3875</v>
      </c>
      <c r="AO4614" s="162" t="s">
        <v>3877</v>
      </c>
    </row>
    <row r="4615" spans="1:41" s="162" customFormat="1" x14ac:dyDescent="0.3">
      <c r="A4615" s="536" t="s">
        <v>8321</v>
      </c>
      <c r="B4615" s="162" t="s">
        <v>8322</v>
      </c>
      <c r="C4615" s="168" t="s">
        <v>13637</v>
      </c>
      <c r="D4615" s="162" t="s">
        <v>6838</v>
      </c>
      <c r="E4615" s="406" t="s">
        <v>13638</v>
      </c>
      <c r="F4615" s="406" t="s">
        <v>13533</v>
      </c>
      <c r="G4615" s="386" t="s">
        <v>13658</v>
      </c>
      <c r="H4615" s="162" t="s">
        <v>13659</v>
      </c>
      <c r="K4615" s="386" t="s">
        <v>16217</v>
      </c>
      <c r="L4615" s="162" t="s">
        <v>14521</v>
      </c>
      <c r="M4615" s="162" t="s">
        <v>16281</v>
      </c>
      <c r="N4615" s="162">
        <v>1</v>
      </c>
      <c r="O4615" s="224"/>
      <c r="P4615" s="224"/>
      <c r="Q4615" s="224"/>
      <c r="R4615" s="224"/>
      <c r="S4615" s="224">
        <v>1</v>
      </c>
      <c r="T4615" s="223" t="s">
        <v>3875</v>
      </c>
      <c r="U4615" t="str">
        <f>VLOOKUP(T4615,[8]Votes!$A$1:$E$234,3,FALSE)</f>
        <v>007 Ministry of Justice and Constitutional Affairs</v>
      </c>
      <c r="V4615" s="162" t="s">
        <v>16282</v>
      </c>
      <c r="W4615" s="407">
        <v>1</v>
      </c>
      <c r="X4615" s="407">
        <v>1</v>
      </c>
      <c r="Y4615" s="407">
        <v>0</v>
      </c>
      <c r="Z4615" s="407">
        <v>1</v>
      </c>
      <c r="AA4615" s="407">
        <v>1</v>
      </c>
      <c r="AB4615" s="407">
        <v>1</v>
      </c>
      <c r="AC4615" s="150">
        <v>1</v>
      </c>
      <c r="AD4615" s="150">
        <v>1</v>
      </c>
      <c r="AE4615" s="49">
        <f t="shared" si="166"/>
        <v>0.875</v>
      </c>
      <c r="AF4615" s="190"/>
      <c r="AG4615" s="17">
        <v>0</v>
      </c>
      <c r="AH4615" s="190">
        <v>0</v>
      </c>
      <c r="AI4615" s="190">
        <v>0</v>
      </c>
      <c r="AJ4615" s="190">
        <v>0</v>
      </c>
      <c r="AK4615" s="191">
        <v>0.47</v>
      </c>
      <c r="AL4615" s="493">
        <v>0.5</v>
      </c>
      <c r="AM4615" s="17">
        <f t="shared" si="167"/>
        <v>0.97</v>
      </c>
      <c r="AN4615" s="223" t="s">
        <v>3875</v>
      </c>
      <c r="AO4615" s="162" t="s">
        <v>3877</v>
      </c>
    </row>
    <row r="4616" spans="1:41" s="162" customFormat="1" x14ac:dyDescent="0.3">
      <c r="A4616" s="536" t="s">
        <v>8321</v>
      </c>
      <c r="B4616" s="162" t="s">
        <v>8322</v>
      </c>
      <c r="C4616" s="168" t="s">
        <v>13637</v>
      </c>
      <c r="D4616" s="162" t="s">
        <v>6838</v>
      </c>
      <c r="E4616" s="406" t="s">
        <v>13638</v>
      </c>
      <c r="F4616" s="406" t="s">
        <v>13533</v>
      </c>
      <c r="G4616" s="386" t="s">
        <v>13658</v>
      </c>
      <c r="H4616" s="162" t="s">
        <v>13659</v>
      </c>
      <c r="K4616" s="386" t="s">
        <v>16217</v>
      </c>
      <c r="L4616" s="162" t="s">
        <v>14521</v>
      </c>
      <c r="M4616" s="162" t="s">
        <v>16283</v>
      </c>
      <c r="N4616" s="462">
        <v>0.01</v>
      </c>
      <c r="O4616" s="492">
        <v>0.26</v>
      </c>
      <c r="P4616" s="492">
        <v>0.49</v>
      </c>
      <c r="Q4616" s="492">
        <v>0.69</v>
      </c>
      <c r="R4616" s="492">
        <v>0.89</v>
      </c>
      <c r="S4616" s="492">
        <v>1</v>
      </c>
      <c r="T4616" s="223" t="s">
        <v>3875</v>
      </c>
      <c r="U4616" t="str">
        <f>VLOOKUP(T4616,[8]Votes!$A$1:$E$234,3,FALSE)</f>
        <v>007 Ministry of Justice and Constitutional Affairs</v>
      </c>
      <c r="V4616" s="162" t="s">
        <v>16284</v>
      </c>
      <c r="W4616" s="407">
        <v>1</v>
      </c>
      <c r="X4616" s="407">
        <v>1</v>
      </c>
      <c r="Y4616" s="407">
        <v>0</v>
      </c>
      <c r="Z4616" s="407">
        <v>1</v>
      </c>
      <c r="AA4616" s="407">
        <v>1</v>
      </c>
      <c r="AB4616" s="407">
        <v>0</v>
      </c>
      <c r="AC4616" s="150">
        <v>0</v>
      </c>
      <c r="AD4616" s="150">
        <v>1</v>
      </c>
      <c r="AE4616" s="49">
        <f t="shared" si="166"/>
        <v>0.625</v>
      </c>
      <c r="AF4616" s="485"/>
      <c r="AG4616" s="17">
        <v>0</v>
      </c>
      <c r="AH4616" s="485">
        <v>0.4</v>
      </c>
      <c r="AI4616" s="485">
        <v>1.5</v>
      </c>
      <c r="AJ4616" s="485">
        <v>17.576000000000001</v>
      </c>
      <c r="AK4616" s="493">
        <v>0</v>
      </c>
      <c r="AL4616" s="493">
        <v>0</v>
      </c>
      <c r="AM4616" s="17">
        <f t="shared" si="167"/>
        <v>0</v>
      </c>
      <c r="AN4616" s="223" t="s">
        <v>3875</v>
      </c>
      <c r="AO4616" s="162" t="s">
        <v>3877</v>
      </c>
    </row>
    <row r="4617" spans="1:41" s="162" customFormat="1" x14ac:dyDescent="0.3">
      <c r="A4617" s="536" t="s">
        <v>8321</v>
      </c>
      <c r="B4617" s="162" t="s">
        <v>8322</v>
      </c>
      <c r="C4617" s="168" t="s">
        <v>13637</v>
      </c>
      <c r="D4617" s="162" t="s">
        <v>6838</v>
      </c>
      <c r="E4617" s="406" t="s">
        <v>13638</v>
      </c>
      <c r="F4617" s="406" t="s">
        <v>13533</v>
      </c>
      <c r="G4617" s="386" t="s">
        <v>13658</v>
      </c>
      <c r="H4617" s="162" t="s">
        <v>13659</v>
      </c>
      <c r="K4617" s="386" t="s">
        <v>16274</v>
      </c>
      <c r="L4617" s="162" t="s">
        <v>14525</v>
      </c>
      <c r="M4617" s="162" t="s">
        <v>16285</v>
      </c>
      <c r="N4617" s="162">
        <v>4</v>
      </c>
      <c r="O4617" s="224">
        <v>4</v>
      </c>
      <c r="P4617" s="224">
        <v>4</v>
      </c>
      <c r="Q4617" s="224">
        <v>4</v>
      </c>
      <c r="R4617" s="224">
        <v>4</v>
      </c>
      <c r="S4617" s="224">
        <v>4</v>
      </c>
      <c r="T4617" s="223" t="s">
        <v>3875</v>
      </c>
      <c r="U4617" t="str">
        <f>VLOOKUP(T4617,[8]Votes!$A$1:$E$234,3,FALSE)</f>
        <v>007 Ministry of Justice and Constitutional Affairs</v>
      </c>
      <c r="V4617" s="162" t="s">
        <v>16286</v>
      </c>
      <c r="W4617" s="407">
        <v>1</v>
      </c>
      <c r="X4617" s="407">
        <v>1</v>
      </c>
      <c r="Y4617" s="407">
        <v>0</v>
      </c>
      <c r="Z4617" s="407">
        <v>1</v>
      </c>
      <c r="AA4617" s="407">
        <v>1</v>
      </c>
      <c r="AB4617" s="407">
        <v>1</v>
      </c>
      <c r="AC4617" s="150">
        <v>0</v>
      </c>
      <c r="AD4617" s="150">
        <v>1</v>
      </c>
      <c r="AE4617" s="49">
        <f t="shared" si="166"/>
        <v>0.75</v>
      </c>
      <c r="AF4617" s="485"/>
      <c r="AG4617" s="17">
        <v>0</v>
      </c>
      <c r="AH4617" s="485">
        <v>0.3</v>
      </c>
      <c r="AI4617" s="485">
        <v>0.3</v>
      </c>
      <c r="AJ4617" s="485">
        <v>0.4</v>
      </c>
      <c r="AK4617" s="493">
        <v>0.45</v>
      </c>
      <c r="AL4617" s="493">
        <v>0.5</v>
      </c>
      <c r="AM4617" s="17">
        <f t="shared" si="167"/>
        <v>0.95</v>
      </c>
      <c r="AN4617" s="223" t="s">
        <v>3875</v>
      </c>
      <c r="AO4617" s="162" t="s">
        <v>3877</v>
      </c>
    </row>
    <row r="4618" spans="1:41" s="162" customFormat="1" x14ac:dyDescent="0.3">
      <c r="A4618" s="536" t="s">
        <v>8321</v>
      </c>
      <c r="B4618" s="162" t="s">
        <v>8322</v>
      </c>
      <c r="C4618" s="168" t="s">
        <v>13637</v>
      </c>
      <c r="D4618" s="162" t="s">
        <v>6838</v>
      </c>
      <c r="E4618" s="406" t="s">
        <v>13638</v>
      </c>
      <c r="F4618" s="406" t="s">
        <v>13533</v>
      </c>
      <c r="G4618" s="386" t="s">
        <v>13658</v>
      </c>
      <c r="H4618" s="162" t="s">
        <v>13659</v>
      </c>
      <c r="K4618" s="386" t="s">
        <v>16251</v>
      </c>
      <c r="L4618" s="162" t="s">
        <v>14529</v>
      </c>
      <c r="M4618" s="162" t="s">
        <v>16287</v>
      </c>
      <c r="N4618" s="162">
        <v>4</v>
      </c>
      <c r="O4618" s="224">
        <v>4</v>
      </c>
      <c r="P4618" s="224">
        <v>4</v>
      </c>
      <c r="Q4618" s="224">
        <v>4</v>
      </c>
      <c r="R4618" s="224">
        <v>4</v>
      </c>
      <c r="S4618" s="224">
        <v>4</v>
      </c>
      <c r="T4618" s="223" t="s">
        <v>1775</v>
      </c>
      <c r="U4618" t="str">
        <f>VLOOKUP(T4618,[8]Votes!$A$1:$E$234,3,FALSE)</f>
        <v>112 Ethics and Integrity</v>
      </c>
      <c r="V4618" s="162" t="s">
        <v>16288</v>
      </c>
      <c r="W4618" s="407">
        <v>1</v>
      </c>
      <c r="X4618" s="407">
        <v>1</v>
      </c>
      <c r="Y4618" s="407">
        <v>0</v>
      </c>
      <c r="Z4618" s="407">
        <v>1</v>
      </c>
      <c r="AA4618" s="407">
        <v>1</v>
      </c>
      <c r="AB4618" s="407">
        <v>1</v>
      </c>
      <c r="AC4618" s="150">
        <v>1</v>
      </c>
      <c r="AD4618" s="150">
        <v>1</v>
      </c>
      <c r="AE4618" s="49">
        <f t="shared" si="166"/>
        <v>0.875</v>
      </c>
      <c r="AF4618" s="485"/>
      <c r="AG4618" s="17">
        <v>0</v>
      </c>
      <c r="AH4618" s="485">
        <v>0.2</v>
      </c>
      <c r="AI4618" s="485">
        <v>0.2</v>
      </c>
      <c r="AJ4618" s="485">
        <v>0.2</v>
      </c>
      <c r="AK4618" s="493">
        <v>0.1</v>
      </c>
      <c r="AL4618" s="493">
        <v>7.0000000000000007E-2</v>
      </c>
      <c r="AM4618" s="17">
        <f t="shared" si="167"/>
        <v>0.17</v>
      </c>
      <c r="AN4618" s="162" t="s">
        <v>1775</v>
      </c>
      <c r="AO4618" s="162" t="s">
        <v>1776</v>
      </c>
    </row>
    <row r="4619" spans="1:41" s="162" customFormat="1" x14ac:dyDescent="0.3">
      <c r="A4619" s="536" t="s">
        <v>8321</v>
      </c>
      <c r="B4619" s="162" t="s">
        <v>8322</v>
      </c>
      <c r="C4619" s="168" t="s">
        <v>13637</v>
      </c>
      <c r="D4619" s="162" t="s">
        <v>6838</v>
      </c>
      <c r="E4619" s="406" t="s">
        <v>13638</v>
      </c>
      <c r="F4619" s="406" t="s">
        <v>13533</v>
      </c>
      <c r="G4619" s="386" t="s">
        <v>13658</v>
      </c>
      <c r="H4619" s="162" t="s">
        <v>13659</v>
      </c>
      <c r="K4619" s="386" t="s">
        <v>16289</v>
      </c>
      <c r="L4619" s="162" t="s">
        <v>16290</v>
      </c>
      <c r="M4619" s="162" t="s">
        <v>16291</v>
      </c>
      <c r="N4619" s="162">
        <v>1</v>
      </c>
      <c r="O4619" s="224">
        <v>2</v>
      </c>
      <c r="P4619" s="224">
        <v>4</v>
      </c>
      <c r="Q4619" s="224">
        <v>4</v>
      </c>
      <c r="R4619" s="224">
        <v>4</v>
      </c>
      <c r="S4619" s="224">
        <v>4</v>
      </c>
      <c r="T4619" s="223" t="s">
        <v>15432</v>
      </c>
      <c r="U4619" t="e">
        <f>VLOOKUP(T4619,[8]Votes!$A$1:$E$234,3,FALSE)</f>
        <v>#N/A</v>
      </c>
      <c r="V4619" s="162" t="s">
        <v>16292</v>
      </c>
      <c r="W4619" s="407">
        <v>1</v>
      </c>
      <c r="X4619" s="407">
        <v>0</v>
      </c>
      <c r="Y4619" s="407">
        <v>0</v>
      </c>
      <c r="Z4619" s="407">
        <v>1</v>
      </c>
      <c r="AA4619" s="407">
        <v>1</v>
      </c>
      <c r="AB4619" s="407">
        <v>1</v>
      </c>
      <c r="AC4619" s="150">
        <v>0</v>
      </c>
      <c r="AD4619" s="150">
        <v>1</v>
      </c>
      <c r="AE4619" s="49">
        <f t="shared" si="166"/>
        <v>0.625</v>
      </c>
      <c r="AF4619" s="485"/>
      <c r="AG4619" s="17">
        <v>0</v>
      </c>
      <c r="AH4619" s="485">
        <v>0.02</v>
      </c>
      <c r="AI4619" s="485">
        <v>0.05</v>
      </c>
      <c r="AJ4619" s="485">
        <v>0.1</v>
      </c>
      <c r="AK4619" s="493">
        <v>0.12</v>
      </c>
      <c r="AL4619" s="493">
        <v>0.14000000000000001</v>
      </c>
      <c r="AM4619" s="17">
        <f t="shared" si="167"/>
        <v>0.26</v>
      </c>
      <c r="AN4619" s="162" t="s">
        <v>3875</v>
      </c>
      <c r="AO4619" s="162" t="s">
        <v>3877</v>
      </c>
    </row>
    <row r="4620" spans="1:41" s="162" customFormat="1" x14ac:dyDescent="0.3">
      <c r="A4620" s="536" t="s">
        <v>8321</v>
      </c>
      <c r="B4620" s="162" t="s">
        <v>8322</v>
      </c>
      <c r="C4620" s="168" t="s">
        <v>13637</v>
      </c>
      <c r="D4620" s="162" t="s">
        <v>6838</v>
      </c>
      <c r="E4620" s="406" t="s">
        <v>13638</v>
      </c>
      <c r="F4620" s="406" t="s">
        <v>13533</v>
      </c>
      <c r="G4620" s="386" t="s">
        <v>13658</v>
      </c>
      <c r="H4620" s="162" t="s">
        <v>13659</v>
      </c>
      <c r="K4620" s="386" t="s">
        <v>16289</v>
      </c>
      <c r="L4620" s="162" t="s">
        <v>16290</v>
      </c>
      <c r="M4620" s="162" t="s">
        <v>16293</v>
      </c>
      <c r="N4620" s="162">
        <v>0</v>
      </c>
      <c r="O4620" s="224">
        <v>1</v>
      </c>
      <c r="P4620" s="224">
        <v>0</v>
      </c>
      <c r="Q4620" s="224">
        <v>1</v>
      </c>
      <c r="R4620" s="224">
        <v>1</v>
      </c>
      <c r="S4620" s="224">
        <v>1</v>
      </c>
      <c r="T4620" s="223" t="s">
        <v>3875</v>
      </c>
      <c r="U4620" t="str">
        <f>VLOOKUP(T4620,[8]Votes!$A$1:$E$234,3,FALSE)</f>
        <v>007 Ministry of Justice and Constitutional Affairs</v>
      </c>
      <c r="V4620" s="162" t="s">
        <v>16294</v>
      </c>
      <c r="W4620" s="407">
        <v>1</v>
      </c>
      <c r="X4620" s="407">
        <v>0</v>
      </c>
      <c r="Y4620" s="407">
        <v>0</v>
      </c>
      <c r="Z4620" s="407">
        <v>1</v>
      </c>
      <c r="AA4620" s="407">
        <v>1</v>
      </c>
      <c r="AB4620" s="407">
        <v>1</v>
      </c>
      <c r="AC4620" s="150">
        <v>0</v>
      </c>
      <c r="AD4620" s="150">
        <v>1</v>
      </c>
      <c r="AE4620" s="49">
        <f t="shared" si="166"/>
        <v>0.625</v>
      </c>
      <c r="AF4620" s="485"/>
      <c r="AG4620" s="17">
        <v>0</v>
      </c>
      <c r="AH4620" s="485">
        <v>0.02</v>
      </c>
      <c r="AI4620" s="190">
        <v>0</v>
      </c>
      <c r="AJ4620" s="485">
        <v>7.0000000000000007E-2</v>
      </c>
      <c r="AK4620" s="493">
        <v>0.08</v>
      </c>
      <c r="AL4620" s="493">
        <v>0.09</v>
      </c>
      <c r="AM4620" s="17">
        <f t="shared" si="167"/>
        <v>0.16999999999999998</v>
      </c>
      <c r="AN4620" s="223" t="s">
        <v>3875</v>
      </c>
      <c r="AO4620" s="162" t="s">
        <v>3877</v>
      </c>
    </row>
    <row r="4621" spans="1:41" s="162" customFormat="1" x14ac:dyDescent="0.3">
      <c r="A4621" s="536" t="s">
        <v>8321</v>
      </c>
      <c r="B4621" s="162" t="s">
        <v>8322</v>
      </c>
      <c r="C4621" s="168" t="s">
        <v>13637</v>
      </c>
      <c r="D4621" s="162" t="s">
        <v>6838</v>
      </c>
      <c r="E4621" s="406" t="s">
        <v>13638</v>
      </c>
      <c r="F4621" s="406" t="s">
        <v>13533</v>
      </c>
      <c r="G4621" s="386" t="s">
        <v>13658</v>
      </c>
      <c r="H4621" s="162" t="s">
        <v>13659</v>
      </c>
      <c r="K4621" s="386" t="s">
        <v>16289</v>
      </c>
      <c r="L4621" s="162" t="s">
        <v>16290</v>
      </c>
      <c r="M4621" s="162" t="s">
        <v>16295</v>
      </c>
      <c r="O4621" s="224">
        <v>1</v>
      </c>
      <c r="P4621" s="224">
        <v>1</v>
      </c>
      <c r="Q4621" s="224">
        <v>1</v>
      </c>
      <c r="R4621" s="224">
        <v>1</v>
      </c>
      <c r="S4621" s="224">
        <v>1</v>
      </c>
      <c r="T4621" s="223" t="s">
        <v>15432</v>
      </c>
      <c r="U4621" t="e">
        <f>VLOOKUP(T4621,[8]Votes!$A$1:$E$234,3,FALSE)</f>
        <v>#N/A</v>
      </c>
      <c r="V4621" s="162" t="s">
        <v>16296</v>
      </c>
      <c r="W4621" s="407">
        <v>1</v>
      </c>
      <c r="X4621" s="407">
        <v>1</v>
      </c>
      <c r="Y4621" s="407">
        <v>0</v>
      </c>
      <c r="Z4621" s="407">
        <v>1</v>
      </c>
      <c r="AA4621" s="407">
        <v>1</v>
      </c>
      <c r="AB4621" s="407">
        <v>0</v>
      </c>
      <c r="AC4621" s="150">
        <v>0</v>
      </c>
      <c r="AD4621" s="150">
        <v>1</v>
      </c>
      <c r="AE4621" s="49">
        <f t="shared" si="166"/>
        <v>0.625</v>
      </c>
      <c r="AF4621" s="485"/>
      <c r="AG4621" s="17">
        <v>0</v>
      </c>
      <c r="AH4621" s="485">
        <v>0.05</v>
      </c>
      <c r="AI4621" s="485">
        <v>0.05</v>
      </c>
      <c r="AJ4621" s="485">
        <v>0.06</v>
      </c>
      <c r="AK4621" s="493">
        <v>0</v>
      </c>
      <c r="AL4621" s="493">
        <v>0</v>
      </c>
      <c r="AM4621" s="17">
        <f t="shared" si="167"/>
        <v>0</v>
      </c>
      <c r="AN4621" s="162" t="s">
        <v>3875</v>
      </c>
      <c r="AO4621" s="162" t="s">
        <v>3877</v>
      </c>
    </row>
    <row r="4622" spans="1:41" s="162" customFormat="1" x14ac:dyDescent="0.3">
      <c r="A4622" s="536" t="s">
        <v>8321</v>
      </c>
      <c r="B4622" s="162" t="s">
        <v>8322</v>
      </c>
      <c r="C4622" s="168" t="s">
        <v>13637</v>
      </c>
      <c r="D4622" s="162" t="s">
        <v>6838</v>
      </c>
      <c r="E4622" s="406" t="s">
        <v>13638</v>
      </c>
      <c r="F4622" s="406" t="s">
        <v>13533</v>
      </c>
      <c r="G4622" s="386" t="s">
        <v>13658</v>
      </c>
      <c r="H4622" s="162" t="s">
        <v>13659</v>
      </c>
      <c r="K4622" s="386" t="s">
        <v>16289</v>
      </c>
      <c r="L4622" s="162" t="s">
        <v>16290</v>
      </c>
      <c r="M4622" s="162" t="s">
        <v>16297</v>
      </c>
      <c r="N4622" s="162">
        <v>1</v>
      </c>
      <c r="O4622" s="224">
        <v>1</v>
      </c>
      <c r="P4622" s="224">
        <v>1</v>
      </c>
      <c r="Q4622" s="224">
        <v>1</v>
      </c>
      <c r="R4622" s="224">
        <v>1</v>
      </c>
      <c r="S4622" s="224">
        <v>1</v>
      </c>
      <c r="T4622" s="223" t="s">
        <v>3875</v>
      </c>
      <c r="U4622" t="str">
        <f>VLOOKUP(T4622,[8]Votes!$A$1:$E$234,3,FALSE)</f>
        <v>007 Ministry of Justice and Constitutional Affairs</v>
      </c>
      <c r="V4622" s="162" t="s">
        <v>16298</v>
      </c>
      <c r="W4622" s="407">
        <v>1</v>
      </c>
      <c r="X4622" s="407">
        <v>0</v>
      </c>
      <c r="Y4622" s="407">
        <v>0</v>
      </c>
      <c r="Z4622" s="407">
        <v>1</v>
      </c>
      <c r="AA4622" s="407">
        <v>1</v>
      </c>
      <c r="AB4622" s="407">
        <v>1</v>
      </c>
      <c r="AC4622" s="150">
        <v>0</v>
      </c>
      <c r="AD4622" s="150">
        <v>1</v>
      </c>
      <c r="AE4622" s="49">
        <f t="shared" si="166"/>
        <v>0.625</v>
      </c>
      <c r="AF4622" s="485"/>
      <c r="AG4622" s="17">
        <v>0</v>
      </c>
      <c r="AH4622" s="485">
        <v>0.03</v>
      </c>
      <c r="AI4622" s="485">
        <v>0.03</v>
      </c>
      <c r="AJ4622" s="485">
        <v>0.03</v>
      </c>
      <c r="AK4622" s="493">
        <v>0.04</v>
      </c>
      <c r="AL4622" s="493">
        <v>0.05</v>
      </c>
      <c r="AM4622" s="17">
        <f t="shared" si="167"/>
        <v>0.09</v>
      </c>
      <c r="AN4622" s="223" t="s">
        <v>3875</v>
      </c>
      <c r="AO4622" s="162" t="s">
        <v>3877</v>
      </c>
    </row>
    <row r="4623" spans="1:41" s="162" customFormat="1" x14ac:dyDescent="0.3">
      <c r="A4623" s="536" t="s">
        <v>8321</v>
      </c>
      <c r="B4623" s="162" t="s">
        <v>8322</v>
      </c>
      <c r="C4623" s="168" t="s">
        <v>13637</v>
      </c>
      <c r="D4623" s="162" t="s">
        <v>6838</v>
      </c>
      <c r="E4623" s="406" t="s">
        <v>13638</v>
      </c>
      <c r="F4623" s="406" t="s">
        <v>13533</v>
      </c>
      <c r="G4623" s="386" t="s">
        <v>13658</v>
      </c>
      <c r="H4623" s="162" t="s">
        <v>13659</v>
      </c>
      <c r="K4623" s="386" t="s">
        <v>16289</v>
      </c>
      <c r="L4623" s="162" t="s">
        <v>16290</v>
      </c>
      <c r="M4623" s="162" t="s">
        <v>16299</v>
      </c>
      <c r="N4623" s="162">
        <v>1</v>
      </c>
      <c r="O4623" s="224">
        <v>1</v>
      </c>
      <c r="P4623" s="224">
        <v>1</v>
      </c>
      <c r="Q4623" s="224">
        <v>1</v>
      </c>
      <c r="R4623" s="224">
        <v>1</v>
      </c>
      <c r="S4623" s="224">
        <v>1</v>
      </c>
      <c r="T4623" s="223" t="s">
        <v>15432</v>
      </c>
      <c r="U4623" t="e">
        <f>VLOOKUP(T4623,[8]Votes!$A$1:$E$234,3,FALSE)</f>
        <v>#N/A</v>
      </c>
      <c r="V4623" s="162" t="s">
        <v>16300</v>
      </c>
      <c r="W4623" s="407">
        <v>1</v>
      </c>
      <c r="X4623" s="407"/>
      <c r="Y4623" s="407">
        <v>0</v>
      </c>
      <c r="Z4623" s="407">
        <v>1</v>
      </c>
      <c r="AA4623" s="407">
        <v>1</v>
      </c>
      <c r="AB4623" s="407">
        <v>1</v>
      </c>
      <c r="AC4623" s="150">
        <v>0</v>
      </c>
      <c r="AD4623" s="150">
        <v>1</v>
      </c>
      <c r="AE4623" s="49">
        <f t="shared" si="166"/>
        <v>0.625</v>
      </c>
      <c r="AF4623" s="485"/>
      <c r="AG4623" s="17">
        <v>0</v>
      </c>
      <c r="AH4623" s="485">
        <v>0.02</v>
      </c>
      <c r="AI4623" s="485">
        <v>0.03</v>
      </c>
      <c r="AJ4623" s="485">
        <v>0.04</v>
      </c>
      <c r="AK4623" s="493">
        <v>0</v>
      </c>
      <c r="AL4623" s="493">
        <v>0</v>
      </c>
      <c r="AM4623" s="17">
        <f t="shared" si="167"/>
        <v>0</v>
      </c>
      <c r="AN4623" s="162" t="s">
        <v>3875</v>
      </c>
      <c r="AO4623" s="162" t="s">
        <v>3877</v>
      </c>
    </row>
    <row r="4624" spans="1:41" s="162" customFormat="1" x14ac:dyDescent="0.3">
      <c r="A4624" s="536" t="s">
        <v>8321</v>
      </c>
      <c r="B4624" s="162" t="s">
        <v>8322</v>
      </c>
      <c r="C4624" s="168" t="s">
        <v>13637</v>
      </c>
      <c r="D4624" s="162" t="s">
        <v>6838</v>
      </c>
      <c r="E4624" s="406" t="s">
        <v>13638</v>
      </c>
      <c r="F4624" s="406" t="s">
        <v>13533</v>
      </c>
      <c r="G4624" s="386" t="s">
        <v>13658</v>
      </c>
      <c r="H4624" s="162" t="s">
        <v>13659</v>
      </c>
      <c r="K4624" s="386" t="s">
        <v>16289</v>
      </c>
      <c r="L4624" s="162" t="s">
        <v>16290</v>
      </c>
      <c r="M4624" s="162" t="s">
        <v>16301</v>
      </c>
      <c r="N4624" s="162">
        <v>1</v>
      </c>
      <c r="O4624" s="224">
        <v>2</v>
      </c>
      <c r="P4624" s="224">
        <v>4</v>
      </c>
      <c r="Q4624" s="224">
        <v>4</v>
      </c>
      <c r="R4624" s="224">
        <v>4</v>
      </c>
      <c r="S4624" s="224">
        <v>4</v>
      </c>
      <c r="T4624" s="223" t="s">
        <v>15432</v>
      </c>
      <c r="U4624" t="e">
        <f>VLOOKUP(T4624,[8]Votes!$A$1:$E$234,3,FALSE)</f>
        <v>#N/A</v>
      </c>
      <c r="V4624" s="162" t="s">
        <v>16302</v>
      </c>
      <c r="W4624" s="407">
        <v>1</v>
      </c>
      <c r="X4624" s="407">
        <v>1</v>
      </c>
      <c r="Y4624" s="407">
        <v>0</v>
      </c>
      <c r="Z4624" s="407">
        <v>1</v>
      </c>
      <c r="AA4624" s="407">
        <v>1</v>
      </c>
      <c r="AB4624" s="407">
        <v>0</v>
      </c>
      <c r="AC4624" s="150">
        <v>0</v>
      </c>
      <c r="AD4624" s="150">
        <v>1</v>
      </c>
      <c r="AE4624" s="49">
        <f t="shared" si="166"/>
        <v>0.625</v>
      </c>
      <c r="AF4624" s="190"/>
      <c r="AG4624" s="17">
        <v>0</v>
      </c>
      <c r="AH4624" s="190">
        <v>0</v>
      </c>
      <c r="AI4624" s="485">
        <v>0.05</v>
      </c>
      <c r="AJ4624" s="485">
        <v>0.06</v>
      </c>
      <c r="AK4624" s="493">
        <v>0.17</v>
      </c>
      <c r="AL4624" s="493">
        <v>0.18</v>
      </c>
      <c r="AM4624" s="17">
        <f t="shared" si="167"/>
        <v>0.35</v>
      </c>
      <c r="AN4624" s="162" t="s">
        <v>3875</v>
      </c>
      <c r="AO4624" s="162" t="s">
        <v>3877</v>
      </c>
    </row>
    <row r="4625" spans="1:42" s="162" customFormat="1" x14ac:dyDescent="0.3">
      <c r="A4625" s="536" t="s">
        <v>8321</v>
      </c>
      <c r="B4625" s="162" t="s">
        <v>8322</v>
      </c>
      <c r="C4625" s="168" t="s">
        <v>13637</v>
      </c>
      <c r="D4625" s="162" t="s">
        <v>6838</v>
      </c>
      <c r="E4625" s="406" t="s">
        <v>13638</v>
      </c>
      <c r="F4625" s="406" t="s">
        <v>13533</v>
      </c>
      <c r="G4625" s="386" t="s">
        <v>13658</v>
      </c>
      <c r="H4625" s="162" t="s">
        <v>13659</v>
      </c>
      <c r="K4625" s="386" t="s">
        <v>16289</v>
      </c>
      <c r="L4625" s="162" t="s">
        <v>16290</v>
      </c>
      <c r="M4625" s="162" t="s">
        <v>16303</v>
      </c>
      <c r="N4625" s="162">
        <v>1</v>
      </c>
      <c r="O4625" s="224">
        <v>1</v>
      </c>
      <c r="P4625" s="224">
        <v>2</v>
      </c>
      <c r="Q4625" s="224">
        <v>4</v>
      </c>
      <c r="R4625" s="224">
        <v>4</v>
      </c>
      <c r="S4625" s="224">
        <v>4</v>
      </c>
      <c r="T4625" s="223" t="s">
        <v>3875</v>
      </c>
      <c r="U4625" t="str">
        <f>VLOOKUP(T4625,[8]Votes!$A$1:$E$234,3,FALSE)</f>
        <v>007 Ministry of Justice and Constitutional Affairs</v>
      </c>
      <c r="V4625" s="162" t="s">
        <v>16304</v>
      </c>
      <c r="W4625" s="407">
        <v>1</v>
      </c>
      <c r="X4625" s="407">
        <v>0</v>
      </c>
      <c r="Y4625" s="407">
        <v>0</v>
      </c>
      <c r="Z4625" s="407">
        <v>1</v>
      </c>
      <c r="AA4625" s="407">
        <v>1</v>
      </c>
      <c r="AB4625" s="407">
        <v>0</v>
      </c>
      <c r="AC4625" s="150">
        <v>0</v>
      </c>
      <c r="AD4625" s="150">
        <v>1</v>
      </c>
      <c r="AE4625" s="49">
        <f t="shared" si="166"/>
        <v>0.5</v>
      </c>
      <c r="AF4625" s="485"/>
      <c r="AG4625" s="17">
        <v>0</v>
      </c>
      <c r="AH4625" s="485">
        <v>0.1</v>
      </c>
      <c r="AI4625" s="485">
        <v>0.3</v>
      </c>
      <c r="AJ4625" s="485">
        <v>0.32</v>
      </c>
      <c r="AK4625" s="493">
        <v>0</v>
      </c>
      <c r="AL4625" s="493">
        <v>0</v>
      </c>
      <c r="AM4625" s="17">
        <f t="shared" si="167"/>
        <v>0</v>
      </c>
      <c r="AN4625" s="223" t="s">
        <v>3875</v>
      </c>
      <c r="AO4625" s="162" t="s">
        <v>3877</v>
      </c>
    </row>
    <row r="4626" spans="1:42" s="162" customFormat="1" x14ac:dyDescent="0.3">
      <c r="A4626" s="536" t="s">
        <v>8321</v>
      </c>
      <c r="B4626" s="162" t="s">
        <v>8322</v>
      </c>
      <c r="C4626" s="168" t="s">
        <v>13637</v>
      </c>
      <c r="D4626" s="162" t="s">
        <v>6838</v>
      </c>
      <c r="E4626" s="406" t="s">
        <v>13638</v>
      </c>
      <c r="F4626" s="406" t="s">
        <v>13533</v>
      </c>
      <c r="G4626" s="386" t="s">
        <v>13658</v>
      </c>
      <c r="H4626" s="1" t="s">
        <v>13659</v>
      </c>
      <c r="I4626" s="386" t="s">
        <v>16305</v>
      </c>
      <c r="J4626" s="1" t="s">
        <v>14521</v>
      </c>
      <c r="K4626" s="386" t="s">
        <v>16306</v>
      </c>
      <c r="L4626" s="1" t="s">
        <v>16307</v>
      </c>
      <c r="M4626" s="1" t="s">
        <v>16308</v>
      </c>
      <c r="N4626" s="162">
        <v>2</v>
      </c>
      <c r="O4626" s="224">
        <v>2</v>
      </c>
      <c r="P4626" s="224">
        <v>2</v>
      </c>
      <c r="Q4626" s="224">
        <v>2</v>
      </c>
      <c r="R4626" s="224">
        <v>2</v>
      </c>
      <c r="S4626" s="224">
        <v>2</v>
      </c>
      <c r="T4626" s="223" t="s">
        <v>3875</v>
      </c>
      <c r="U4626" t="str">
        <f>VLOOKUP(T4626,[8]Votes!$A$1:$E$234,3,FALSE)</f>
        <v>007 Ministry of Justice and Constitutional Affairs</v>
      </c>
      <c r="V4626" s="223" t="s">
        <v>16309</v>
      </c>
      <c r="W4626" s="407">
        <v>1</v>
      </c>
      <c r="X4626" s="407">
        <v>0</v>
      </c>
      <c r="Y4626" s="407">
        <v>0</v>
      </c>
      <c r="Z4626" s="407">
        <v>1</v>
      </c>
      <c r="AA4626" s="407">
        <v>1</v>
      </c>
      <c r="AB4626" s="407">
        <v>1</v>
      </c>
      <c r="AC4626" s="150">
        <v>0</v>
      </c>
      <c r="AD4626" s="150">
        <v>1</v>
      </c>
      <c r="AE4626" s="49">
        <f t="shared" si="166"/>
        <v>0.625</v>
      </c>
      <c r="AF4626" s="190"/>
      <c r="AG4626" s="17">
        <v>0</v>
      </c>
      <c r="AH4626" s="190">
        <v>0</v>
      </c>
      <c r="AI4626" s="190">
        <v>0</v>
      </c>
      <c r="AJ4626" s="485">
        <v>2.5999999999999999E-2</v>
      </c>
      <c r="AK4626" s="493">
        <v>0.128</v>
      </c>
      <c r="AL4626" s="493">
        <v>0.13</v>
      </c>
      <c r="AM4626" s="17">
        <f t="shared" si="167"/>
        <v>0.25800000000000001</v>
      </c>
      <c r="AN4626" s="223" t="s">
        <v>3875</v>
      </c>
      <c r="AO4626" s="162" t="s">
        <v>3877</v>
      </c>
    </row>
    <row r="4627" spans="1:42" s="162" customFormat="1" x14ac:dyDescent="0.3">
      <c r="A4627" s="536" t="s">
        <v>8321</v>
      </c>
      <c r="B4627" s="162" t="s">
        <v>8322</v>
      </c>
      <c r="C4627" s="168" t="s">
        <v>13637</v>
      </c>
      <c r="D4627" s="162" t="s">
        <v>6838</v>
      </c>
      <c r="E4627" s="406" t="s">
        <v>13638</v>
      </c>
      <c r="F4627" s="406" t="s">
        <v>13533</v>
      </c>
      <c r="G4627" s="386" t="s">
        <v>13658</v>
      </c>
      <c r="H4627" s="162" t="s">
        <v>13659</v>
      </c>
      <c r="K4627" s="386" t="s">
        <v>16310</v>
      </c>
      <c r="L4627" s="162" t="s">
        <v>14508</v>
      </c>
      <c r="M4627" s="162" t="s">
        <v>16311</v>
      </c>
      <c r="N4627" s="162">
        <v>0</v>
      </c>
      <c r="O4627" s="224">
        <v>0</v>
      </c>
      <c r="P4627" s="224">
        <v>0</v>
      </c>
      <c r="Q4627" s="224">
        <v>0</v>
      </c>
      <c r="R4627" s="224">
        <v>1</v>
      </c>
      <c r="S4627" s="224">
        <v>1</v>
      </c>
      <c r="T4627" s="223" t="s">
        <v>1775</v>
      </c>
      <c r="U4627" t="str">
        <f>VLOOKUP(T4627,[8]Votes!$A$1:$E$234,3,FALSE)</f>
        <v>112 Ethics and Integrity</v>
      </c>
      <c r="V4627" s="162" t="s">
        <v>16312</v>
      </c>
      <c r="W4627" s="407">
        <v>0</v>
      </c>
      <c r="X4627" s="407">
        <v>0</v>
      </c>
      <c r="Y4627" s="407">
        <v>0</v>
      </c>
      <c r="Z4627" s="407">
        <v>0</v>
      </c>
      <c r="AA4627" s="407">
        <v>0</v>
      </c>
      <c r="AB4627" s="407">
        <v>0</v>
      </c>
      <c r="AC4627" s="150">
        <v>0</v>
      </c>
      <c r="AD4627" s="150">
        <v>0</v>
      </c>
      <c r="AE4627" s="49">
        <f t="shared" si="166"/>
        <v>0</v>
      </c>
      <c r="AF4627" s="190"/>
      <c r="AG4627" s="17">
        <v>0</v>
      </c>
      <c r="AH4627" s="190">
        <v>0</v>
      </c>
      <c r="AI4627" s="190">
        <v>0</v>
      </c>
      <c r="AJ4627" s="190">
        <v>0</v>
      </c>
      <c r="AK4627" s="493">
        <v>0</v>
      </c>
      <c r="AL4627" s="493">
        <v>0</v>
      </c>
      <c r="AM4627" s="17">
        <f t="shared" si="167"/>
        <v>0</v>
      </c>
      <c r="AN4627" s="162" t="s">
        <v>1775</v>
      </c>
      <c r="AO4627" s="162" t="s">
        <v>1776</v>
      </c>
    </row>
    <row r="4628" spans="1:42" s="162" customFormat="1" x14ac:dyDescent="0.3">
      <c r="A4628" s="536" t="s">
        <v>8321</v>
      </c>
      <c r="B4628" s="162" t="s">
        <v>8322</v>
      </c>
      <c r="C4628" s="168" t="s">
        <v>13637</v>
      </c>
      <c r="D4628" s="162" t="s">
        <v>6838</v>
      </c>
      <c r="E4628" s="406" t="s">
        <v>13638</v>
      </c>
      <c r="F4628" s="406" t="s">
        <v>13533</v>
      </c>
      <c r="G4628" s="386" t="s">
        <v>13639</v>
      </c>
      <c r="H4628" s="1" t="s">
        <v>13640</v>
      </c>
      <c r="K4628" s="386" t="s">
        <v>16313</v>
      </c>
      <c r="L4628" s="1" t="s">
        <v>16314</v>
      </c>
      <c r="M4628" s="1" t="s">
        <v>16315</v>
      </c>
      <c r="O4628" s="224"/>
      <c r="P4628" s="224"/>
      <c r="Q4628" s="224">
        <v>0.9</v>
      </c>
      <c r="R4628" s="224">
        <v>0.95</v>
      </c>
      <c r="S4628" s="224">
        <v>0.97</v>
      </c>
      <c r="T4628" s="223" t="s">
        <v>3875</v>
      </c>
      <c r="U4628" t="str">
        <f>VLOOKUP(T4628,[8]Votes!$A$1:$E$234,3,FALSE)</f>
        <v>007 Ministry of Justice and Constitutional Affairs</v>
      </c>
      <c r="V4628" s="223" t="s">
        <v>16316</v>
      </c>
      <c r="W4628" s="407">
        <v>1</v>
      </c>
      <c r="X4628" s="407">
        <v>0</v>
      </c>
      <c r="Y4628" s="407">
        <v>0</v>
      </c>
      <c r="Z4628" s="407">
        <v>1</v>
      </c>
      <c r="AA4628" s="407">
        <v>1</v>
      </c>
      <c r="AB4628" s="407">
        <v>1</v>
      </c>
      <c r="AC4628" s="150">
        <v>0</v>
      </c>
      <c r="AD4628" s="150">
        <v>1</v>
      </c>
      <c r="AE4628" s="49">
        <f t="shared" si="166"/>
        <v>0.625</v>
      </c>
      <c r="AF4628" s="190"/>
      <c r="AG4628" s="17">
        <v>0</v>
      </c>
      <c r="AH4628" s="190">
        <v>0</v>
      </c>
      <c r="AI4628" s="190">
        <v>0</v>
      </c>
      <c r="AJ4628" s="485">
        <v>1.2E-2</v>
      </c>
      <c r="AK4628" s="493">
        <v>0.115</v>
      </c>
      <c r="AL4628" s="493">
        <v>0.12</v>
      </c>
      <c r="AM4628" s="17">
        <f t="shared" si="167"/>
        <v>0.23499999999999999</v>
      </c>
      <c r="AN4628" s="223" t="s">
        <v>3875</v>
      </c>
      <c r="AO4628" s="162" t="s">
        <v>3877</v>
      </c>
    </row>
    <row r="4629" spans="1:42" s="162" customFormat="1" x14ac:dyDescent="0.3">
      <c r="A4629" s="536" t="s">
        <v>8321</v>
      </c>
      <c r="B4629" s="162" t="s">
        <v>8322</v>
      </c>
      <c r="C4629" s="168" t="s">
        <v>13637</v>
      </c>
      <c r="D4629" s="1" t="s">
        <v>6838</v>
      </c>
      <c r="E4629" s="406" t="s">
        <v>13638</v>
      </c>
      <c r="F4629" s="406" t="s">
        <v>13533</v>
      </c>
      <c r="G4629" s="386" t="s">
        <v>13639</v>
      </c>
      <c r="H4629" s="162" t="s">
        <v>13640</v>
      </c>
      <c r="K4629" s="386" t="s">
        <v>16317</v>
      </c>
      <c r="L4629" s="1" t="s">
        <v>16318</v>
      </c>
      <c r="M4629" s="1" t="s">
        <v>16319</v>
      </c>
      <c r="O4629" s="224"/>
      <c r="P4629" s="224">
        <v>1</v>
      </c>
      <c r="Q4629" s="224">
        <v>1</v>
      </c>
      <c r="R4629" s="224">
        <v>1</v>
      </c>
      <c r="S4629" s="224">
        <v>1</v>
      </c>
      <c r="T4629" s="223" t="s">
        <v>3875</v>
      </c>
      <c r="U4629" t="str">
        <f>VLOOKUP(T4629,[8]Votes!$A$1:$E$234,3,FALSE)</f>
        <v>007 Ministry of Justice and Constitutional Affairs</v>
      </c>
      <c r="V4629" s="223" t="s">
        <v>16320</v>
      </c>
      <c r="W4629" s="407">
        <v>1</v>
      </c>
      <c r="X4629" s="407">
        <v>0</v>
      </c>
      <c r="Y4629" s="407">
        <v>0</v>
      </c>
      <c r="Z4629" s="407">
        <v>1</v>
      </c>
      <c r="AA4629" s="407">
        <v>1</v>
      </c>
      <c r="AB4629" s="407">
        <v>1</v>
      </c>
      <c r="AC4629" s="150">
        <v>0</v>
      </c>
      <c r="AD4629" s="150">
        <v>1</v>
      </c>
      <c r="AE4629" s="49">
        <f t="shared" si="166"/>
        <v>0.625</v>
      </c>
      <c r="AF4629" s="190"/>
      <c r="AG4629" s="17">
        <v>0</v>
      </c>
      <c r="AH4629" s="190">
        <v>0</v>
      </c>
      <c r="AI4629" s="190">
        <v>0</v>
      </c>
      <c r="AJ4629" s="485">
        <v>3.5999999999999997E-2</v>
      </c>
      <c r="AK4629" s="493">
        <v>0.11</v>
      </c>
      <c r="AL4629" s="493">
        <v>0.12</v>
      </c>
      <c r="AM4629" s="17">
        <f t="shared" si="167"/>
        <v>0.22999999999999998</v>
      </c>
      <c r="AN4629" s="223" t="s">
        <v>3875</v>
      </c>
      <c r="AO4629" s="162" t="s">
        <v>3877</v>
      </c>
    </row>
    <row r="4630" spans="1:42" s="162" customFormat="1" x14ac:dyDescent="0.3">
      <c r="A4630" s="536" t="s">
        <v>8321</v>
      </c>
      <c r="B4630" s="162" t="s">
        <v>8322</v>
      </c>
      <c r="C4630" s="168" t="s">
        <v>13637</v>
      </c>
      <c r="D4630" s="162" t="s">
        <v>6838</v>
      </c>
      <c r="E4630" s="406" t="s">
        <v>13638</v>
      </c>
      <c r="F4630" s="406" t="s">
        <v>13533</v>
      </c>
      <c r="G4630" s="386" t="s">
        <v>13639</v>
      </c>
      <c r="H4630" s="1" t="s">
        <v>13640</v>
      </c>
      <c r="K4630" s="386" t="s">
        <v>16321</v>
      </c>
      <c r="L4630" s="1" t="s">
        <v>16322</v>
      </c>
      <c r="M4630" s="1" t="s">
        <v>16323</v>
      </c>
      <c r="O4630" s="224"/>
      <c r="P4630" s="224">
        <v>78</v>
      </c>
      <c r="Q4630" s="224">
        <v>80</v>
      </c>
      <c r="R4630" s="224">
        <v>90</v>
      </c>
      <c r="S4630" s="224">
        <v>93</v>
      </c>
      <c r="T4630" s="223" t="s">
        <v>3875</v>
      </c>
      <c r="U4630" t="str">
        <f>VLOOKUP(T4630,[8]Votes!$A$1:$E$234,3,FALSE)</f>
        <v>007 Ministry of Justice and Constitutional Affairs</v>
      </c>
      <c r="V4630" s="223" t="s">
        <v>16324</v>
      </c>
      <c r="W4630" s="407">
        <v>1</v>
      </c>
      <c r="X4630" s="407">
        <v>1</v>
      </c>
      <c r="Y4630" s="407">
        <v>0</v>
      </c>
      <c r="Z4630" s="407">
        <v>1</v>
      </c>
      <c r="AA4630" s="407">
        <v>1</v>
      </c>
      <c r="AB4630" s="407">
        <v>1</v>
      </c>
      <c r="AC4630" s="150">
        <v>0</v>
      </c>
      <c r="AD4630" s="150">
        <v>1</v>
      </c>
      <c r="AE4630" s="49">
        <f t="shared" si="166"/>
        <v>0.75</v>
      </c>
      <c r="AF4630" s="190"/>
      <c r="AG4630" s="17">
        <v>0</v>
      </c>
      <c r="AH4630" s="190">
        <v>0</v>
      </c>
      <c r="AI4630" s="190">
        <v>0</v>
      </c>
      <c r="AJ4630" s="485">
        <v>0.16</v>
      </c>
      <c r="AK4630" s="493">
        <v>0.38</v>
      </c>
      <c r="AL4630" s="493">
        <v>0.39</v>
      </c>
      <c r="AM4630" s="17">
        <f t="shared" si="167"/>
        <v>0.77</v>
      </c>
      <c r="AN4630" s="223" t="s">
        <v>3875</v>
      </c>
      <c r="AO4630" s="162" t="s">
        <v>3877</v>
      </c>
    </row>
    <row r="4631" spans="1:42" s="162" customFormat="1" x14ac:dyDescent="0.3">
      <c r="A4631" s="536" t="s">
        <v>8321</v>
      </c>
      <c r="B4631" s="162" t="s">
        <v>8322</v>
      </c>
      <c r="C4631" s="168" t="s">
        <v>13637</v>
      </c>
      <c r="D4631" s="162" t="s">
        <v>6838</v>
      </c>
      <c r="E4631" s="406" t="s">
        <v>13638</v>
      </c>
      <c r="F4631" s="406" t="s">
        <v>13533</v>
      </c>
      <c r="G4631" s="386" t="s">
        <v>13658</v>
      </c>
      <c r="H4631" s="162" t="s">
        <v>13659</v>
      </c>
      <c r="K4631" s="386" t="s">
        <v>16310</v>
      </c>
      <c r="L4631" s="162" t="s">
        <v>14508</v>
      </c>
      <c r="M4631" s="162" t="s">
        <v>12738</v>
      </c>
      <c r="N4631">
        <v>0</v>
      </c>
      <c r="O4631" s="3">
        <v>0</v>
      </c>
      <c r="P4631" s="3">
        <v>0</v>
      </c>
      <c r="Q4631" s="3">
        <v>2</v>
      </c>
      <c r="R4631" s="3">
        <v>2</v>
      </c>
      <c r="S4631" s="3">
        <v>1</v>
      </c>
      <c r="T4631" s="223" t="s">
        <v>3875</v>
      </c>
      <c r="U4631" t="str">
        <f>VLOOKUP(T4631,[8]Votes!$A$1:$E$234,3,FALSE)</f>
        <v>007 Ministry of Justice and Constitutional Affairs</v>
      </c>
      <c r="V4631" s="223" t="s">
        <v>16325</v>
      </c>
      <c r="W4631" s="407">
        <v>1</v>
      </c>
      <c r="X4631" s="407">
        <v>0</v>
      </c>
      <c r="Y4631" s="407">
        <v>0</v>
      </c>
      <c r="Z4631" s="407">
        <v>1</v>
      </c>
      <c r="AA4631" s="407">
        <v>1</v>
      </c>
      <c r="AB4631" s="407">
        <v>1</v>
      </c>
      <c r="AC4631" s="150">
        <v>0</v>
      </c>
      <c r="AD4631" s="150">
        <v>1</v>
      </c>
      <c r="AE4631" s="49">
        <f t="shared" si="166"/>
        <v>0.625</v>
      </c>
      <c r="AF4631" s="190"/>
      <c r="AG4631" s="17">
        <v>0</v>
      </c>
      <c r="AH4631" s="190">
        <v>0</v>
      </c>
      <c r="AI4631" s="190">
        <v>0</v>
      </c>
      <c r="AJ4631" s="44">
        <v>0.32</v>
      </c>
      <c r="AK4631" s="151">
        <v>7.0000000000000007E-2</v>
      </c>
      <c r="AL4631" s="151">
        <v>7.0000000000000007E-2</v>
      </c>
      <c r="AM4631" s="17">
        <f t="shared" si="167"/>
        <v>0.14000000000000001</v>
      </c>
      <c r="AN4631" s="223" t="s">
        <v>3875</v>
      </c>
      <c r="AO4631" s="162" t="s">
        <v>3877</v>
      </c>
    </row>
    <row r="4632" spans="1:42" s="162" customFormat="1" x14ac:dyDescent="0.3">
      <c r="A4632" s="536" t="s">
        <v>8321</v>
      </c>
      <c r="B4632" s="162" t="s">
        <v>8322</v>
      </c>
      <c r="C4632" s="168" t="s">
        <v>13637</v>
      </c>
      <c r="D4632" s="162" t="s">
        <v>6838</v>
      </c>
      <c r="E4632" s="406" t="s">
        <v>13638</v>
      </c>
      <c r="F4632" s="406" t="s">
        <v>13533</v>
      </c>
      <c r="G4632" s="386" t="s">
        <v>13658</v>
      </c>
      <c r="H4632" s="162" t="s">
        <v>13659</v>
      </c>
      <c r="K4632" s="386" t="s">
        <v>16326</v>
      </c>
      <c r="L4632" s="162" t="s">
        <v>16327</v>
      </c>
      <c r="M4632" s="162" t="s">
        <v>16328</v>
      </c>
      <c r="O4632" s="224"/>
      <c r="P4632" s="224"/>
      <c r="Q4632" s="224">
        <v>1</v>
      </c>
      <c r="R4632" s="224"/>
      <c r="S4632" s="224">
        <v>1</v>
      </c>
      <c r="T4632" s="223" t="s">
        <v>3875</v>
      </c>
      <c r="U4632" t="str">
        <f>VLOOKUP(T4632,[8]Votes!$A$1:$E$234,3,FALSE)</f>
        <v>007 Ministry of Justice and Constitutional Affairs</v>
      </c>
      <c r="V4632" s="162" t="s">
        <v>16329</v>
      </c>
      <c r="W4632" s="407">
        <v>1</v>
      </c>
      <c r="X4632" s="407">
        <v>0</v>
      </c>
      <c r="Y4632" s="407">
        <v>0</v>
      </c>
      <c r="Z4632" s="407">
        <v>1</v>
      </c>
      <c r="AA4632" s="407">
        <v>1</v>
      </c>
      <c r="AB4632" s="407">
        <v>0</v>
      </c>
      <c r="AC4632" s="150">
        <v>0</v>
      </c>
      <c r="AD4632" s="150">
        <v>1</v>
      </c>
      <c r="AE4632" s="49">
        <f t="shared" si="166"/>
        <v>0.5</v>
      </c>
      <c r="AF4632" s="190"/>
      <c r="AG4632" s="17">
        <v>0</v>
      </c>
      <c r="AH4632" s="190">
        <v>0</v>
      </c>
      <c r="AI4632" s="190">
        <v>0</v>
      </c>
      <c r="AJ4632" s="485">
        <v>0.2</v>
      </c>
      <c r="AK4632" s="191">
        <v>0</v>
      </c>
      <c r="AL4632" s="493">
        <v>0.2</v>
      </c>
      <c r="AM4632" s="17">
        <f t="shared" si="167"/>
        <v>0.2</v>
      </c>
      <c r="AN4632" s="223" t="s">
        <v>3875</v>
      </c>
      <c r="AO4632" s="162" t="s">
        <v>3877</v>
      </c>
    </row>
    <row r="4633" spans="1:42" s="162" customFormat="1" x14ac:dyDescent="0.3">
      <c r="A4633" s="536" t="s">
        <v>8321</v>
      </c>
      <c r="B4633" s="162" t="s">
        <v>8322</v>
      </c>
      <c r="C4633" s="168" t="s">
        <v>13637</v>
      </c>
      <c r="D4633" s="162" t="s">
        <v>6838</v>
      </c>
      <c r="E4633" s="406" t="s">
        <v>13638</v>
      </c>
      <c r="F4633" s="406" t="s">
        <v>13533</v>
      </c>
      <c r="G4633" s="386" t="s">
        <v>13658</v>
      </c>
      <c r="H4633" s="162" t="s">
        <v>13659</v>
      </c>
      <c r="K4633" s="386" t="s">
        <v>16330</v>
      </c>
      <c r="L4633" s="162" t="s">
        <v>14513</v>
      </c>
      <c r="M4633" s="162" t="s">
        <v>16331</v>
      </c>
      <c r="O4633" s="224"/>
      <c r="P4633" s="224">
        <v>1</v>
      </c>
      <c r="Q4633" s="224">
        <v>1</v>
      </c>
      <c r="R4633" s="224">
        <v>1</v>
      </c>
      <c r="S4633" s="224">
        <v>1</v>
      </c>
      <c r="T4633" s="223" t="s">
        <v>1345</v>
      </c>
      <c r="U4633" t="str">
        <f>VLOOKUP(T4633,[8]Votes!$A$1:$E$234,3,FALSE)</f>
        <v>001 Office of the President</v>
      </c>
      <c r="V4633" s="162" t="s">
        <v>16332</v>
      </c>
      <c r="W4633" s="407">
        <v>1</v>
      </c>
      <c r="X4633" s="407">
        <v>0</v>
      </c>
      <c r="Y4633" s="407">
        <v>0</v>
      </c>
      <c r="Z4633" s="407">
        <v>1</v>
      </c>
      <c r="AA4633" s="407">
        <v>1</v>
      </c>
      <c r="AB4633" s="407">
        <v>1</v>
      </c>
      <c r="AC4633" s="150">
        <v>1</v>
      </c>
      <c r="AD4633" s="150">
        <v>1</v>
      </c>
      <c r="AE4633" s="49">
        <f t="shared" si="166"/>
        <v>0.75</v>
      </c>
      <c r="AF4633" s="190">
        <v>1</v>
      </c>
      <c r="AG4633" s="17">
        <v>0</v>
      </c>
      <c r="AH4633" s="190">
        <v>0</v>
      </c>
      <c r="AI4633" s="485">
        <v>1.4</v>
      </c>
      <c r="AJ4633" s="485">
        <v>3</v>
      </c>
      <c r="AK4633" s="493">
        <v>4</v>
      </c>
      <c r="AL4633" s="493">
        <v>4</v>
      </c>
      <c r="AM4633" s="17">
        <f t="shared" si="167"/>
        <v>8</v>
      </c>
      <c r="AN4633" s="162" t="s">
        <v>1345</v>
      </c>
      <c r="AO4633" s="162" t="s">
        <v>1334</v>
      </c>
    </row>
    <row r="4634" spans="1:42" s="162" customFormat="1" x14ac:dyDescent="0.3">
      <c r="A4634" s="536" t="s">
        <v>8321</v>
      </c>
      <c r="B4634" s="162" t="s">
        <v>8322</v>
      </c>
      <c r="C4634" s="168" t="s">
        <v>13637</v>
      </c>
      <c r="D4634" s="162" t="s">
        <v>6838</v>
      </c>
      <c r="E4634" s="406" t="s">
        <v>13638</v>
      </c>
      <c r="F4634" s="406" t="s">
        <v>13533</v>
      </c>
      <c r="G4634" s="386" t="s">
        <v>13658</v>
      </c>
      <c r="H4634" s="162" t="s">
        <v>13659</v>
      </c>
      <c r="K4634" s="386" t="s">
        <v>16330</v>
      </c>
      <c r="L4634" s="162" t="s">
        <v>16333</v>
      </c>
      <c r="M4634" s="162" t="s">
        <v>16334</v>
      </c>
      <c r="N4634" s="162">
        <v>1</v>
      </c>
      <c r="O4634" s="224">
        <v>0</v>
      </c>
      <c r="P4634" s="224">
        <v>0</v>
      </c>
      <c r="Q4634" s="224">
        <v>4</v>
      </c>
      <c r="R4634" s="224">
        <v>4</v>
      </c>
      <c r="S4634" s="224">
        <v>4</v>
      </c>
      <c r="T4634" s="223" t="s">
        <v>3875</v>
      </c>
      <c r="U4634" t="str">
        <f>VLOOKUP(T4634,[8]Votes!$A$1:$E$234,3,FALSE)</f>
        <v>007 Ministry of Justice and Constitutional Affairs</v>
      </c>
      <c r="V4634" s="162" t="s">
        <v>16335</v>
      </c>
      <c r="W4634" s="407">
        <v>1</v>
      </c>
      <c r="X4634" s="407">
        <v>0</v>
      </c>
      <c r="Y4634" s="407">
        <v>0</v>
      </c>
      <c r="Z4634" s="407">
        <v>1</v>
      </c>
      <c r="AA4634" s="407">
        <v>1</v>
      </c>
      <c r="AB4634" s="407">
        <v>1</v>
      </c>
      <c r="AC4634" s="150">
        <v>0</v>
      </c>
      <c r="AD4634" s="150">
        <v>1</v>
      </c>
      <c r="AE4634" s="49">
        <f t="shared" si="166"/>
        <v>0.625</v>
      </c>
      <c r="AF4634" s="190"/>
      <c r="AG4634" s="17">
        <v>0</v>
      </c>
      <c r="AH4634" s="190">
        <v>0</v>
      </c>
      <c r="AI4634" s="190">
        <v>0</v>
      </c>
      <c r="AJ4634" s="485">
        <v>0.04</v>
      </c>
      <c r="AK4634" s="493">
        <v>0.1</v>
      </c>
      <c r="AL4634" s="493">
        <v>0.1</v>
      </c>
      <c r="AM4634" s="17">
        <f t="shared" si="167"/>
        <v>0.2</v>
      </c>
      <c r="AN4634" s="223" t="s">
        <v>3875</v>
      </c>
      <c r="AO4634" s="162" t="s">
        <v>3877</v>
      </c>
      <c r="AP4634" s="162" t="s">
        <v>16336</v>
      </c>
    </row>
    <row r="4635" spans="1:42" s="162" customFormat="1" x14ac:dyDescent="0.3">
      <c r="A4635" s="536" t="s">
        <v>8321</v>
      </c>
      <c r="B4635" s="162" t="s">
        <v>8322</v>
      </c>
      <c r="C4635" s="168" t="s">
        <v>13637</v>
      </c>
      <c r="D4635" s="162" t="s">
        <v>6838</v>
      </c>
      <c r="E4635" s="406" t="s">
        <v>13638</v>
      </c>
      <c r="F4635" s="406" t="s">
        <v>13533</v>
      </c>
      <c r="G4635" s="386" t="s">
        <v>13716</v>
      </c>
      <c r="H4635" s="162" t="s">
        <v>13717</v>
      </c>
      <c r="K4635" s="386" t="s">
        <v>16245</v>
      </c>
      <c r="L4635" s="162" t="s">
        <v>16246</v>
      </c>
      <c r="M4635" s="162" t="s">
        <v>16337</v>
      </c>
      <c r="N4635" s="162">
        <v>55</v>
      </c>
      <c r="O4635" s="224">
        <v>55</v>
      </c>
      <c r="P4635" s="224">
        <v>55</v>
      </c>
      <c r="Q4635" s="224">
        <v>55</v>
      </c>
      <c r="R4635" s="224">
        <v>55</v>
      </c>
      <c r="S4635" s="224">
        <v>55</v>
      </c>
      <c r="T4635" s="223" t="s">
        <v>1775</v>
      </c>
      <c r="U4635" t="str">
        <f>VLOOKUP(T4635,[8]Votes!$A$1:$E$234,3,FALSE)</f>
        <v>112 Ethics and Integrity</v>
      </c>
      <c r="V4635" s="162" t="s">
        <v>16338</v>
      </c>
      <c r="W4635" s="501"/>
      <c r="X4635" s="501"/>
      <c r="Y4635" s="501"/>
      <c r="Z4635" s="501"/>
      <c r="AA4635" s="501"/>
      <c r="AB4635" s="501"/>
      <c r="AC4635" s="150">
        <v>0</v>
      </c>
      <c r="AD4635" s="150">
        <v>0</v>
      </c>
      <c r="AE4635" s="49">
        <f t="shared" si="166"/>
        <v>0</v>
      </c>
      <c r="AF4635" s="485"/>
      <c r="AG4635" s="17">
        <v>0</v>
      </c>
      <c r="AH4635" s="485">
        <v>0.95399999999999996</v>
      </c>
      <c r="AI4635" s="485">
        <v>0.95399999999999996</v>
      </c>
      <c r="AJ4635" s="485">
        <v>1.546</v>
      </c>
      <c r="AK4635" s="493">
        <v>0</v>
      </c>
      <c r="AL4635" s="493">
        <v>0</v>
      </c>
      <c r="AM4635" s="17">
        <f t="shared" si="167"/>
        <v>0</v>
      </c>
      <c r="AN4635" s="162" t="s">
        <v>1775</v>
      </c>
      <c r="AO4635" s="162" t="s">
        <v>1776</v>
      </c>
    </row>
    <row r="4636" spans="1:42" s="162" customFormat="1" x14ac:dyDescent="0.3">
      <c r="A4636" s="536" t="s">
        <v>8321</v>
      </c>
      <c r="B4636" s="162" t="s">
        <v>8322</v>
      </c>
      <c r="C4636" s="168" t="s">
        <v>13637</v>
      </c>
      <c r="D4636" s="162" t="s">
        <v>6838</v>
      </c>
      <c r="E4636" s="406" t="s">
        <v>13638</v>
      </c>
      <c r="F4636" s="406" t="s">
        <v>13533</v>
      </c>
      <c r="G4636" s="386" t="s">
        <v>13716</v>
      </c>
      <c r="H4636" s="162" t="s">
        <v>13717</v>
      </c>
      <c r="K4636" s="386" t="s">
        <v>16245</v>
      </c>
      <c r="L4636" s="162" t="s">
        <v>16246</v>
      </c>
      <c r="M4636" s="162" t="s">
        <v>16339</v>
      </c>
      <c r="N4636" s="162">
        <v>30</v>
      </c>
      <c r="O4636" s="224">
        <v>30</v>
      </c>
      <c r="P4636" s="224">
        <v>30</v>
      </c>
      <c r="Q4636" s="224">
        <v>30</v>
      </c>
      <c r="R4636" s="224">
        <v>30</v>
      </c>
      <c r="S4636" s="224">
        <v>30</v>
      </c>
      <c r="T4636" s="223" t="s">
        <v>15085</v>
      </c>
      <c r="U4636" t="e">
        <f>VLOOKUP(T4636,[8]Votes!$A$1:$E$234,3,FALSE)</f>
        <v>#N/A</v>
      </c>
      <c r="V4636" s="162" t="s">
        <v>16340</v>
      </c>
      <c r="W4636" s="501"/>
      <c r="X4636" s="501"/>
      <c r="Y4636" s="501"/>
      <c r="Z4636" s="501"/>
      <c r="AA4636" s="501"/>
      <c r="AB4636" s="501"/>
      <c r="AC4636" s="150">
        <v>0</v>
      </c>
      <c r="AD4636" s="150">
        <v>0</v>
      </c>
      <c r="AE4636" s="49">
        <f t="shared" si="166"/>
        <v>0</v>
      </c>
      <c r="AF4636" s="485"/>
      <c r="AG4636" s="17">
        <v>0</v>
      </c>
      <c r="AH4636" s="485">
        <v>2.2999999999999998</v>
      </c>
      <c r="AI4636" s="485">
        <v>2.2999999999999998</v>
      </c>
      <c r="AJ4636" s="485">
        <v>2.5</v>
      </c>
      <c r="AK4636" s="493">
        <v>0</v>
      </c>
      <c r="AL4636" s="493">
        <v>0</v>
      </c>
      <c r="AM4636" s="17">
        <f t="shared" si="167"/>
        <v>0</v>
      </c>
      <c r="AN4636" s="162" t="s">
        <v>15072</v>
      </c>
      <c r="AO4636" s="162" t="s">
        <v>1776</v>
      </c>
    </row>
    <row r="4637" spans="1:42" s="162" customFormat="1" x14ac:dyDescent="0.3">
      <c r="A4637" s="536" t="s">
        <v>8321</v>
      </c>
      <c r="B4637" s="162" t="s">
        <v>8322</v>
      </c>
      <c r="C4637" s="168" t="s">
        <v>13637</v>
      </c>
      <c r="D4637" s="162" t="s">
        <v>6838</v>
      </c>
      <c r="E4637" s="406" t="s">
        <v>13638</v>
      </c>
      <c r="F4637" s="406" t="s">
        <v>13533</v>
      </c>
      <c r="G4637" s="386" t="s">
        <v>13716</v>
      </c>
      <c r="H4637" s="162" t="s">
        <v>13717</v>
      </c>
      <c r="K4637" s="386" t="s">
        <v>16245</v>
      </c>
      <c r="L4637" s="162" t="s">
        <v>16246</v>
      </c>
      <c r="M4637" s="162" t="s">
        <v>16341</v>
      </c>
      <c r="N4637" s="162">
        <v>35</v>
      </c>
      <c r="O4637" s="224">
        <v>35</v>
      </c>
      <c r="P4637" s="224">
        <v>35</v>
      </c>
      <c r="Q4637" s="224">
        <v>35</v>
      </c>
      <c r="R4637" s="224">
        <v>40</v>
      </c>
      <c r="S4637" s="224">
        <v>45</v>
      </c>
      <c r="T4637" s="223" t="s">
        <v>15085</v>
      </c>
      <c r="U4637" t="e">
        <f>VLOOKUP(T4637,[8]Votes!$A$1:$E$234,3,FALSE)</f>
        <v>#N/A</v>
      </c>
      <c r="V4637" s="162" t="s">
        <v>16342</v>
      </c>
      <c r="W4637" s="501"/>
      <c r="X4637" s="501"/>
      <c r="Y4637" s="501"/>
      <c r="Z4637" s="501"/>
      <c r="AA4637" s="501"/>
      <c r="AB4637" s="501"/>
      <c r="AC4637" s="150">
        <v>0</v>
      </c>
      <c r="AD4637" s="150">
        <v>0</v>
      </c>
      <c r="AE4637" s="49">
        <f t="shared" si="166"/>
        <v>0</v>
      </c>
      <c r="AF4637" s="485"/>
      <c r="AG4637" s="17">
        <v>0</v>
      </c>
      <c r="AH4637" s="485">
        <v>0.7</v>
      </c>
      <c r="AI4637" s="485">
        <v>0.7</v>
      </c>
      <c r="AJ4637" s="485">
        <v>0.8</v>
      </c>
      <c r="AK4637" s="493">
        <v>0</v>
      </c>
      <c r="AL4637" s="493">
        <v>0</v>
      </c>
      <c r="AM4637" s="17">
        <f t="shared" si="167"/>
        <v>0</v>
      </c>
      <c r="AN4637" s="162" t="s">
        <v>15072</v>
      </c>
      <c r="AO4637" s="162" t="s">
        <v>1776</v>
      </c>
    </row>
    <row r="4638" spans="1:42" s="162" customFormat="1" x14ac:dyDescent="0.3">
      <c r="A4638" s="536" t="s">
        <v>8321</v>
      </c>
      <c r="B4638" s="162" t="s">
        <v>8322</v>
      </c>
      <c r="C4638" s="168" t="s">
        <v>13637</v>
      </c>
      <c r="D4638" s="162" t="s">
        <v>6838</v>
      </c>
      <c r="E4638" s="406" t="s">
        <v>13638</v>
      </c>
      <c r="F4638" s="406" t="s">
        <v>13533</v>
      </c>
      <c r="G4638" s="386" t="s">
        <v>13716</v>
      </c>
      <c r="H4638" s="162" t="s">
        <v>13717</v>
      </c>
      <c r="K4638" s="386" t="s">
        <v>16245</v>
      </c>
      <c r="L4638" s="162" t="s">
        <v>16246</v>
      </c>
      <c r="M4638" s="162" t="s">
        <v>16343</v>
      </c>
      <c r="N4638" s="162">
        <v>35</v>
      </c>
      <c r="O4638" s="224">
        <v>35</v>
      </c>
      <c r="P4638" s="224">
        <v>35</v>
      </c>
      <c r="Q4638" s="224">
        <v>35</v>
      </c>
      <c r="R4638" s="224">
        <v>40</v>
      </c>
      <c r="S4638" s="224">
        <v>45</v>
      </c>
      <c r="T4638" s="223" t="s">
        <v>15085</v>
      </c>
      <c r="U4638" t="e">
        <f>VLOOKUP(T4638,[8]Votes!$A$1:$E$234,3,FALSE)</f>
        <v>#N/A</v>
      </c>
      <c r="V4638" s="162" t="s">
        <v>16344</v>
      </c>
      <c r="W4638" s="501"/>
      <c r="X4638" s="501"/>
      <c r="Y4638" s="501"/>
      <c r="Z4638" s="501"/>
      <c r="AA4638" s="501"/>
      <c r="AB4638" s="501"/>
      <c r="AC4638" s="150">
        <v>0</v>
      </c>
      <c r="AD4638" s="150">
        <v>0</v>
      </c>
      <c r="AE4638" s="49">
        <f t="shared" si="166"/>
        <v>0</v>
      </c>
      <c r="AF4638" s="485"/>
      <c r="AG4638" s="17">
        <v>0</v>
      </c>
      <c r="AH4638" s="485">
        <v>0.1</v>
      </c>
      <c r="AI4638" s="485">
        <v>0.15</v>
      </c>
      <c r="AJ4638" s="485">
        <v>0.2</v>
      </c>
      <c r="AK4638" s="493">
        <v>0</v>
      </c>
      <c r="AL4638" s="493">
        <v>0</v>
      </c>
      <c r="AM4638" s="17">
        <f t="shared" si="167"/>
        <v>0</v>
      </c>
      <c r="AN4638" s="162" t="s">
        <v>15072</v>
      </c>
      <c r="AO4638" s="162" t="s">
        <v>1776</v>
      </c>
    </row>
    <row r="4639" spans="1:42" s="162" customFormat="1" x14ac:dyDescent="0.3">
      <c r="A4639" s="536" t="s">
        <v>8321</v>
      </c>
      <c r="B4639" s="162" t="s">
        <v>8322</v>
      </c>
      <c r="C4639" s="168" t="s">
        <v>13637</v>
      </c>
      <c r="D4639" s="162" t="s">
        <v>6838</v>
      </c>
      <c r="E4639" s="406" t="s">
        <v>13638</v>
      </c>
      <c r="F4639" s="406" t="s">
        <v>13533</v>
      </c>
      <c r="G4639" s="386" t="s">
        <v>13716</v>
      </c>
      <c r="H4639" s="162" t="s">
        <v>13717</v>
      </c>
      <c r="K4639" s="386" t="s">
        <v>16245</v>
      </c>
      <c r="L4639" s="162" t="s">
        <v>16246</v>
      </c>
      <c r="M4639" s="162" t="s">
        <v>16345</v>
      </c>
      <c r="N4639" s="162">
        <v>12</v>
      </c>
      <c r="O4639" s="224">
        <v>12</v>
      </c>
      <c r="P4639" s="224">
        <v>12</v>
      </c>
      <c r="Q4639" s="224">
        <v>12</v>
      </c>
      <c r="R4639" s="224">
        <v>12</v>
      </c>
      <c r="S4639" s="224">
        <v>12</v>
      </c>
      <c r="T4639" s="223" t="s">
        <v>3875</v>
      </c>
      <c r="U4639" t="str">
        <f>VLOOKUP(T4639,[8]Votes!$A$1:$E$234,3,FALSE)</f>
        <v>007 Ministry of Justice and Constitutional Affairs</v>
      </c>
      <c r="V4639" s="162" t="s">
        <v>16346</v>
      </c>
      <c r="W4639" s="501">
        <v>1</v>
      </c>
      <c r="X4639" s="501">
        <v>1</v>
      </c>
      <c r="Y4639" s="501">
        <v>1</v>
      </c>
      <c r="Z4639" s="501">
        <v>1</v>
      </c>
      <c r="AA4639" s="501">
        <v>1</v>
      </c>
      <c r="AB4639" s="501"/>
      <c r="AC4639" s="150">
        <v>0</v>
      </c>
      <c r="AD4639" s="150">
        <v>1</v>
      </c>
      <c r="AE4639" s="49">
        <f t="shared" si="166"/>
        <v>0.75</v>
      </c>
      <c r="AF4639" s="485"/>
      <c r="AG4639" s="17">
        <v>0</v>
      </c>
      <c r="AH4639" s="485">
        <v>0.1</v>
      </c>
      <c r="AI4639" s="485">
        <v>10.92</v>
      </c>
      <c r="AJ4639" s="485">
        <v>14.12</v>
      </c>
      <c r="AK4639" s="493">
        <v>0</v>
      </c>
      <c r="AL4639" s="493">
        <v>0</v>
      </c>
      <c r="AM4639" s="17">
        <f t="shared" si="167"/>
        <v>0</v>
      </c>
      <c r="AN4639" s="223" t="s">
        <v>3875</v>
      </c>
      <c r="AO4639" s="162" t="s">
        <v>3877</v>
      </c>
    </row>
    <row r="4640" spans="1:42" s="162" customFormat="1" x14ac:dyDescent="0.3">
      <c r="A4640" s="536" t="s">
        <v>8321</v>
      </c>
      <c r="B4640" s="162" t="s">
        <v>8322</v>
      </c>
      <c r="C4640" s="168" t="s">
        <v>13637</v>
      </c>
      <c r="D4640" s="162" t="s">
        <v>6838</v>
      </c>
      <c r="E4640" s="406" t="s">
        <v>13638</v>
      </c>
      <c r="F4640" s="406" t="s">
        <v>13533</v>
      </c>
      <c r="G4640" s="386" t="s">
        <v>13716</v>
      </c>
      <c r="H4640" s="162" t="s">
        <v>13717</v>
      </c>
      <c r="K4640" s="386" t="s">
        <v>16245</v>
      </c>
      <c r="L4640" s="162" t="s">
        <v>16246</v>
      </c>
      <c r="M4640" s="205" t="s">
        <v>16347</v>
      </c>
      <c r="N4640" s="162">
        <v>1</v>
      </c>
      <c r="O4640" s="224"/>
      <c r="P4640" s="224"/>
      <c r="Q4640" s="224">
        <v>1</v>
      </c>
      <c r="R4640" s="224"/>
      <c r="S4640" s="224"/>
      <c r="T4640" s="223" t="s">
        <v>3875</v>
      </c>
      <c r="U4640" t="str">
        <f>VLOOKUP(T4640,[8]Votes!$A$1:$E$234,3,FALSE)</f>
        <v>007 Ministry of Justice and Constitutional Affairs</v>
      </c>
      <c r="V4640" s="162" t="s">
        <v>16348</v>
      </c>
      <c r="W4640" s="501">
        <v>1</v>
      </c>
      <c r="X4640" s="501">
        <v>1</v>
      </c>
      <c r="Y4640" s="501"/>
      <c r="Z4640" s="501">
        <v>1</v>
      </c>
      <c r="AA4640" s="501">
        <v>1</v>
      </c>
      <c r="AB4640" s="501">
        <v>1</v>
      </c>
      <c r="AC4640" s="150">
        <v>1</v>
      </c>
      <c r="AD4640" s="150">
        <v>1</v>
      </c>
      <c r="AE4640" s="49">
        <f t="shared" si="166"/>
        <v>0.875</v>
      </c>
      <c r="AF4640" s="190"/>
      <c r="AG4640" s="17">
        <v>0</v>
      </c>
      <c r="AH4640" s="190">
        <v>0</v>
      </c>
      <c r="AI4640" s="190">
        <v>0</v>
      </c>
      <c r="AJ4640" s="485">
        <v>0.9</v>
      </c>
      <c r="AK4640" s="191">
        <v>0.4</v>
      </c>
      <c r="AL4640" s="191">
        <v>0.4</v>
      </c>
      <c r="AM4640" s="17">
        <f t="shared" si="167"/>
        <v>0.8</v>
      </c>
      <c r="AN4640" s="223" t="s">
        <v>3875</v>
      </c>
      <c r="AO4640" s="162" t="s">
        <v>3877</v>
      </c>
    </row>
    <row r="4641" spans="1:41" s="162" customFormat="1" x14ac:dyDescent="0.3">
      <c r="A4641" s="536" t="s">
        <v>8321</v>
      </c>
      <c r="B4641" s="162" t="s">
        <v>8322</v>
      </c>
      <c r="C4641" s="168" t="s">
        <v>13637</v>
      </c>
      <c r="D4641" s="162" t="s">
        <v>6838</v>
      </c>
      <c r="E4641" s="406" t="s">
        <v>13638</v>
      </c>
      <c r="F4641" s="406" t="s">
        <v>13533</v>
      </c>
      <c r="G4641" s="386" t="s">
        <v>13716</v>
      </c>
      <c r="H4641" s="162" t="s">
        <v>13717</v>
      </c>
      <c r="K4641" s="386" t="s">
        <v>16245</v>
      </c>
      <c r="L4641" s="162" t="s">
        <v>16246</v>
      </c>
      <c r="M4641" s="205" t="s">
        <v>14730</v>
      </c>
      <c r="N4641" s="162">
        <v>60</v>
      </c>
      <c r="O4641" s="224">
        <v>60</v>
      </c>
      <c r="P4641" s="224">
        <v>80</v>
      </c>
      <c r="Q4641" s="224">
        <v>100</v>
      </c>
      <c r="R4641" s="224">
        <v>120</v>
      </c>
      <c r="S4641" s="224">
        <v>140</v>
      </c>
      <c r="T4641" s="223" t="s">
        <v>3875</v>
      </c>
      <c r="U4641" t="str">
        <f>VLOOKUP(T4641,[8]Votes!$A$1:$E$234,3,FALSE)</f>
        <v>007 Ministry of Justice and Constitutional Affairs</v>
      </c>
      <c r="V4641" s="162" t="s">
        <v>16349</v>
      </c>
      <c r="W4641" s="501">
        <v>1</v>
      </c>
      <c r="X4641" s="501">
        <v>1</v>
      </c>
      <c r="Y4641" s="501"/>
      <c r="Z4641" s="501">
        <v>1</v>
      </c>
      <c r="AA4641" s="501">
        <v>1</v>
      </c>
      <c r="AB4641" s="501"/>
      <c r="AC4641" s="150">
        <v>0</v>
      </c>
      <c r="AD4641" s="150">
        <v>1</v>
      </c>
      <c r="AE4641" s="49">
        <f t="shared" si="166"/>
        <v>0.625</v>
      </c>
      <c r="AF4641" s="485"/>
      <c r="AG4641" s="17">
        <v>0</v>
      </c>
      <c r="AH4641" s="485">
        <v>0.8</v>
      </c>
      <c r="AI4641" s="485">
        <v>1.1559999999999999</v>
      </c>
      <c r="AJ4641" s="485">
        <v>1.35</v>
      </c>
      <c r="AK4641" s="493">
        <v>0.7</v>
      </c>
      <c r="AL4641" s="493">
        <v>0.7</v>
      </c>
      <c r="AM4641" s="17">
        <f t="shared" si="167"/>
        <v>1.4</v>
      </c>
      <c r="AN4641" s="223" t="s">
        <v>3875</v>
      </c>
      <c r="AO4641" s="162" t="s">
        <v>3877</v>
      </c>
    </row>
    <row r="4642" spans="1:41" s="162" customFormat="1" x14ac:dyDescent="0.3">
      <c r="A4642" s="536" t="s">
        <v>8321</v>
      </c>
      <c r="B4642" s="162" t="s">
        <v>8322</v>
      </c>
      <c r="C4642" s="168" t="s">
        <v>13637</v>
      </c>
      <c r="D4642" s="162" t="s">
        <v>6838</v>
      </c>
      <c r="E4642" s="406" t="s">
        <v>13638</v>
      </c>
      <c r="F4642" s="406" t="s">
        <v>13533</v>
      </c>
      <c r="G4642" s="386" t="s">
        <v>13639</v>
      </c>
      <c r="H4642" s="162" t="s">
        <v>13640</v>
      </c>
      <c r="I4642" s="162" t="s">
        <v>16350</v>
      </c>
      <c r="J4642" s="162" t="s">
        <v>16351</v>
      </c>
      <c r="K4642" s="386" t="s">
        <v>16352</v>
      </c>
      <c r="L4642" s="162" t="s">
        <v>16353</v>
      </c>
      <c r="M4642" s="162" t="s">
        <v>16354</v>
      </c>
      <c r="N4642" s="162">
        <v>10</v>
      </c>
      <c r="O4642" s="224">
        <v>15</v>
      </c>
      <c r="P4642" s="224">
        <v>20</v>
      </c>
      <c r="Q4642" s="224">
        <v>25</v>
      </c>
      <c r="R4642" s="224">
        <v>30</v>
      </c>
      <c r="S4642" s="224">
        <v>35</v>
      </c>
      <c r="T4642" s="223" t="s">
        <v>180</v>
      </c>
      <c r="U4642" t="str">
        <f>VLOOKUP(T4642,[8]Votes!$A$1:$E$234,3,FALSE)</f>
        <v>145 Uganda Prisons</v>
      </c>
      <c r="V4642" t="s">
        <v>16355</v>
      </c>
      <c r="W4642" s="407">
        <v>1</v>
      </c>
      <c r="X4642" s="407">
        <v>0</v>
      </c>
      <c r="Y4642" s="407">
        <v>0</v>
      </c>
      <c r="Z4642" s="407">
        <v>1</v>
      </c>
      <c r="AA4642" s="407">
        <v>1</v>
      </c>
      <c r="AB4642" s="407">
        <v>1</v>
      </c>
      <c r="AC4642" s="150">
        <v>0</v>
      </c>
      <c r="AD4642" s="150">
        <v>1</v>
      </c>
      <c r="AE4642" s="49">
        <f t="shared" si="166"/>
        <v>0.625</v>
      </c>
      <c r="AF4642" s="485"/>
      <c r="AG4642" s="17">
        <v>0</v>
      </c>
      <c r="AH4642" s="485">
        <v>3.2370000000000001</v>
      </c>
      <c r="AI4642" s="485">
        <v>1.96</v>
      </c>
      <c r="AJ4642" s="485">
        <v>2.0499999999999998</v>
      </c>
      <c r="AK4642" s="493">
        <v>0.5</v>
      </c>
      <c r="AL4642" s="493">
        <v>0.5</v>
      </c>
      <c r="AM4642" s="17">
        <f t="shared" si="167"/>
        <v>1</v>
      </c>
      <c r="AN4642" s="162" t="s">
        <v>180</v>
      </c>
      <c r="AO4642" s="162" t="s">
        <v>182</v>
      </c>
    </row>
    <row r="4643" spans="1:41" s="162" customFormat="1" x14ac:dyDescent="0.3">
      <c r="A4643" s="536" t="s">
        <v>8321</v>
      </c>
      <c r="B4643" s="162" t="s">
        <v>8322</v>
      </c>
      <c r="C4643" s="168" t="s">
        <v>13637</v>
      </c>
      <c r="D4643" s="162" t="s">
        <v>6838</v>
      </c>
      <c r="E4643" s="406" t="s">
        <v>13638</v>
      </c>
      <c r="F4643" s="406" t="s">
        <v>13533</v>
      </c>
      <c r="G4643" s="386" t="s">
        <v>13639</v>
      </c>
      <c r="H4643" s="162" t="s">
        <v>13640</v>
      </c>
      <c r="K4643" s="386" t="s">
        <v>16356</v>
      </c>
      <c r="L4643" s="162" t="s">
        <v>14541</v>
      </c>
      <c r="M4643" s="162" t="s">
        <v>16357</v>
      </c>
      <c r="N4643" s="462">
        <v>0.02</v>
      </c>
      <c r="O4643" s="492">
        <v>0.1</v>
      </c>
      <c r="P4643" s="492">
        <v>0.15</v>
      </c>
      <c r="Q4643" s="492">
        <v>0.6</v>
      </c>
      <c r="R4643" s="492">
        <v>0.7</v>
      </c>
      <c r="S4643" s="492">
        <v>1</v>
      </c>
      <c r="T4643" s="223" t="s">
        <v>1775</v>
      </c>
      <c r="U4643" t="str">
        <f>VLOOKUP(T4643,[8]Votes!$A$1:$E$234,3,FALSE)</f>
        <v>112 Ethics and Integrity</v>
      </c>
      <c r="V4643" s="162" t="s">
        <v>16358</v>
      </c>
      <c r="W4643" s="407">
        <v>0</v>
      </c>
      <c r="X4643" s="407">
        <v>0</v>
      </c>
      <c r="Y4643" s="407">
        <v>0</v>
      </c>
      <c r="Z4643" s="407">
        <v>0</v>
      </c>
      <c r="AA4643" s="407">
        <v>0</v>
      </c>
      <c r="AB4643" s="407">
        <v>0</v>
      </c>
      <c r="AC4643" s="150">
        <v>0</v>
      </c>
      <c r="AD4643" s="150">
        <v>0</v>
      </c>
      <c r="AE4643" s="49">
        <f t="shared" si="166"/>
        <v>0</v>
      </c>
      <c r="AF4643" s="485"/>
      <c r="AG4643" s="17">
        <v>0</v>
      </c>
      <c r="AH4643" s="485">
        <v>0.1</v>
      </c>
      <c r="AI4643" s="485">
        <v>1</v>
      </c>
      <c r="AJ4643" s="485">
        <v>2.5</v>
      </c>
      <c r="AK4643" s="493">
        <v>0</v>
      </c>
      <c r="AL4643" s="493">
        <v>0</v>
      </c>
      <c r="AM4643" s="17">
        <f t="shared" si="167"/>
        <v>0</v>
      </c>
      <c r="AN4643" s="162" t="s">
        <v>1775</v>
      </c>
      <c r="AO4643" s="162" t="s">
        <v>1776</v>
      </c>
    </row>
    <row r="4644" spans="1:41" s="162" customFormat="1" x14ac:dyDescent="0.3">
      <c r="A4644" s="536" t="s">
        <v>8321</v>
      </c>
      <c r="B4644" s="162" t="s">
        <v>8322</v>
      </c>
      <c r="C4644" s="168" t="s">
        <v>13637</v>
      </c>
      <c r="D4644" s="162" t="s">
        <v>6838</v>
      </c>
      <c r="E4644" s="406" t="s">
        <v>13638</v>
      </c>
      <c r="F4644" s="406" t="s">
        <v>13533</v>
      </c>
      <c r="G4644" s="386" t="s">
        <v>13639</v>
      </c>
      <c r="H4644" s="162" t="s">
        <v>13640</v>
      </c>
      <c r="K4644" s="386" t="s">
        <v>16356</v>
      </c>
      <c r="L4644" s="162" t="s">
        <v>14541</v>
      </c>
      <c r="M4644" s="162" t="s">
        <v>16359</v>
      </c>
      <c r="N4644" s="462" t="s">
        <v>271</v>
      </c>
      <c r="O4644" s="492" t="s">
        <v>271</v>
      </c>
      <c r="P4644" s="492">
        <v>0.2</v>
      </c>
      <c r="Q4644" s="492">
        <v>0.6</v>
      </c>
      <c r="R4644" s="492">
        <v>0.9</v>
      </c>
      <c r="S4644" s="492">
        <v>1</v>
      </c>
      <c r="T4644" s="223" t="s">
        <v>15085</v>
      </c>
      <c r="U4644" t="e">
        <f>VLOOKUP(T4644,[8]Votes!$A$1:$E$234,3,FALSE)</f>
        <v>#N/A</v>
      </c>
      <c r="V4644" s="162" t="s">
        <v>16360</v>
      </c>
      <c r="W4644" s="407">
        <v>0</v>
      </c>
      <c r="X4644" s="407">
        <v>0</v>
      </c>
      <c r="Y4644" s="407">
        <v>0</v>
      </c>
      <c r="Z4644" s="407">
        <v>0</v>
      </c>
      <c r="AA4644" s="407">
        <v>0</v>
      </c>
      <c r="AB4644" s="407">
        <v>0</v>
      </c>
      <c r="AC4644" s="150">
        <v>0</v>
      </c>
      <c r="AD4644" s="150">
        <v>0</v>
      </c>
      <c r="AE4644" s="49">
        <f t="shared" si="166"/>
        <v>0</v>
      </c>
      <c r="AF4644" s="190"/>
      <c r="AG4644" s="17">
        <v>0</v>
      </c>
      <c r="AH4644" s="190">
        <v>0</v>
      </c>
      <c r="AI4644" s="190">
        <v>0</v>
      </c>
      <c r="AJ4644" s="485">
        <v>0.5</v>
      </c>
      <c r="AK4644" s="493">
        <v>0</v>
      </c>
      <c r="AL4644" s="493">
        <v>0</v>
      </c>
      <c r="AM4644" s="17">
        <f t="shared" si="167"/>
        <v>0</v>
      </c>
      <c r="AN4644" s="162" t="s">
        <v>15072</v>
      </c>
      <c r="AO4644" s="162" t="s">
        <v>1776</v>
      </c>
    </row>
    <row r="4645" spans="1:41" s="162" customFormat="1" x14ac:dyDescent="0.3">
      <c r="A4645" s="536" t="s">
        <v>8321</v>
      </c>
      <c r="B4645" s="162" t="s">
        <v>8322</v>
      </c>
      <c r="C4645" s="168" t="s">
        <v>13637</v>
      </c>
      <c r="D4645" s="162" t="s">
        <v>6838</v>
      </c>
      <c r="E4645" s="406" t="s">
        <v>13638</v>
      </c>
      <c r="F4645" s="406" t="s">
        <v>13533</v>
      </c>
      <c r="G4645" s="386" t="s">
        <v>13639</v>
      </c>
      <c r="H4645" s="162" t="s">
        <v>13640</v>
      </c>
      <c r="I4645" s="162" t="s">
        <v>16361</v>
      </c>
      <c r="J4645" s="1" t="s">
        <v>16362</v>
      </c>
      <c r="K4645" s="386" t="s">
        <v>16363</v>
      </c>
      <c r="L4645" s="162" t="s">
        <v>14541</v>
      </c>
      <c r="M4645" s="162" t="s">
        <v>16364</v>
      </c>
      <c r="N4645" s="162">
        <v>5</v>
      </c>
      <c r="O4645" s="224">
        <v>25</v>
      </c>
      <c r="P4645" s="224">
        <v>45</v>
      </c>
      <c r="Q4645" s="224">
        <v>65</v>
      </c>
      <c r="R4645" s="224">
        <v>30</v>
      </c>
      <c r="S4645" s="224">
        <v>35</v>
      </c>
      <c r="T4645" s="223" t="s">
        <v>180</v>
      </c>
      <c r="U4645" t="str">
        <f>VLOOKUP(T4645,[8]Votes!$A$1:$E$234,3,FALSE)</f>
        <v>145 Uganda Prisons</v>
      </c>
      <c r="V4645" s="162" t="s">
        <v>16365</v>
      </c>
      <c r="W4645" s="407">
        <v>1</v>
      </c>
      <c r="X4645" s="407">
        <v>0</v>
      </c>
      <c r="Y4645" s="407">
        <v>0</v>
      </c>
      <c r="Z4645" s="407">
        <v>1</v>
      </c>
      <c r="AA4645" s="407">
        <v>1</v>
      </c>
      <c r="AB4645" s="407">
        <v>1</v>
      </c>
      <c r="AC4645" s="150">
        <v>0</v>
      </c>
      <c r="AD4645" s="150">
        <v>1</v>
      </c>
      <c r="AE4645" s="49">
        <f t="shared" si="166"/>
        <v>0.625</v>
      </c>
      <c r="AF4645" s="485"/>
      <c r="AG4645" s="17">
        <v>0</v>
      </c>
      <c r="AH4645" s="485">
        <v>50.15</v>
      </c>
      <c r="AI4645" s="485">
        <v>91.83</v>
      </c>
      <c r="AJ4645" s="485">
        <v>63.93</v>
      </c>
      <c r="AK4645" s="493">
        <v>0</v>
      </c>
      <c r="AL4645" s="493">
        <v>0</v>
      </c>
      <c r="AM4645" s="17">
        <f t="shared" si="167"/>
        <v>0</v>
      </c>
      <c r="AN4645" s="162" t="s">
        <v>180</v>
      </c>
      <c r="AO4645" s="162" t="s">
        <v>182</v>
      </c>
    </row>
    <row r="4646" spans="1:41" s="162" customFormat="1" x14ac:dyDescent="0.3">
      <c r="A4646" s="536" t="s">
        <v>8321</v>
      </c>
      <c r="B4646" s="162" t="s">
        <v>8322</v>
      </c>
      <c r="C4646" s="168" t="s">
        <v>13637</v>
      </c>
      <c r="D4646" s="162" t="s">
        <v>6838</v>
      </c>
      <c r="E4646" s="406" t="s">
        <v>13638</v>
      </c>
      <c r="F4646" s="406" t="s">
        <v>13533</v>
      </c>
      <c r="G4646" s="386" t="s">
        <v>13639</v>
      </c>
      <c r="H4646" s="162" t="s">
        <v>13640</v>
      </c>
      <c r="I4646" s="162" t="s">
        <v>16361</v>
      </c>
      <c r="J4646" s="1" t="s">
        <v>16362</v>
      </c>
      <c r="K4646" s="386" t="s">
        <v>16363</v>
      </c>
      <c r="L4646" s="162" t="s">
        <v>14541</v>
      </c>
      <c r="M4646" s="162" t="s">
        <v>16366</v>
      </c>
      <c r="N4646">
        <v>0</v>
      </c>
      <c r="O4646" s="3">
        <v>0</v>
      </c>
      <c r="P4646" s="3">
        <v>0</v>
      </c>
      <c r="Q4646" s="3">
        <v>3</v>
      </c>
      <c r="R4646" s="3">
        <v>3</v>
      </c>
      <c r="S4646" s="3">
        <v>3</v>
      </c>
      <c r="T4646" s="223" t="s">
        <v>3875</v>
      </c>
      <c r="U4646" t="str">
        <f>VLOOKUP(T4646,[8]Votes!$A$1:$E$234,3,FALSE)</f>
        <v>007 Ministry of Justice and Constitutional Affairs</v>
      </c>
      <c r="V4646" s="223" t="s">
        <v>16367</v>
      </c>
      <c r="W4646" s="407">
        <v>1</v>
      </c>
      <c r="X4646" s="407">
        <v>0</v>
      </c>
      <c r="Y4646" s="407">
        <v>0</v>
      </c>
      <c r="Z4646" s="407">
        <v>1</v>
      </c>
      <c r="AA4646" s="407">
        <v>1</v>
      </c>
      <c r="AB4646" s="407">
        <v>0</v>
      </c>
      <c r="AC4646" s="150">
        <v>0</v>
      </c>
      <c r="AD4646" s="150">
        <v>0</v>
      </c>
      <c r="AE4646" s="49">
        <f t="shared" si="166"/>
        <v>0.375</v>
      </c>
      <c r="AF4646" s="190"/>
      <c r="AG4646" s="17">
        <v>0</v>
      </c>
      <c r="AH4646" s="190">
        <v>0</v>
      </c>
      <c r="AI4646" s="190">
        <v>0</v>
      </c>
      <c r="AJ4646" s="44">
        <v>0.65</v>
      </c>
      <c r="AK4646" s="151">
        <v>0</v>
      </c>
      <c r="AL4646" s="151">
        <v>0</v>
      </c>
      <c r="AM4646" s="17">
        <f t="shared" si="167"/>
        <v>0</v>
      </c>
      <c r="AN4646" s="223" t="s">
        <v>3875</v>
      </c>
      <c r="AO4646" s="162" t="s">
        <v>3877</v>
      </c>
    </row>
    <row r="4647" spans="1:41" s="162" customFormat="1" x14ac:dyDescent="0.3">
      <c r="A4647" s="536" t="s">
        <v>8321</v>
      </c>
      <c r="B4647" s="162" t="s">
        <v>8322</v>
      </c>
      <c r="C4647" s="168" t="s">
        <v>13637</v>
      </c>
      <c r="D4647" s="162" t="s">
        <v>6838</v>
      </c>
      <c r="E4647" s="406" t="s">
        <v>13638</v>
      </c>
      <c r="F4647" s="406" t="s">
        <v>13533</v>
      </c>
      <c r="G4647" s="386" t="s">
        <v>13639</v>
      </c>
      <c r="H4647" s="162" t="s">
        <v>13640</v>
      </c>
      <c r="I4647" s="162" t="s">
        <v>16368</v>
      </c>
      <c r="J4647" s="1" t="s">
        <v>16369</v>
      </c>
      <c r="K4647" s="386" t="s">
        <v>16370</v>
      </c>
      <c r="L4647" s="162" t="s">
        <v>14541</v>
      </c>
      <c r="M4647" s="162" t="s">
        <v>16371</v>
      </c>
      <c r="N4647">
        <v>0</v>
      </c>
      <c r="O4647" s="380">
        <v>0.2</v>
      </c>
      <c r="P4647" s="380">
        <v>0.5</v>
      </c>
      <c r="Q4647" s="380">
        <v>0.8</v>
      </c>
      <c r="R4647" s="380">
        <v>0.95</v>
      </c>
      <c r="S4647" s="380">
        <v>1</v>
      </c>
      <c r="T4647" s="223" t="s">
        <v>3875</v>
      </c>
      <c r="U4647" t="str">
        <f>VLOOKUP(T4647,[8]Votes!$A$1:$E$234,3,FALSE)</f>
        <v>007 Ministry of Justice and Constitutional Affairs</v>
      </c>
      <c r="V4647" s="223" t="s">
        <v>16372</v>
      </c>
      <c r="W4647" s="407">
        <v>1</v>
      </c>
      <c r="X4647" s="407">
        <v>0</v>
      </c>
      <c r="Y4647" s="407">
        <v>0</v>
      </c>
      <c r="Z4647" s="407">
        <v>1</v>
      </c>
      <c r="AA4647" s="407">
        <v>1</v>
      </c>
      <c r="AB4647" s="407">
        <v>0</v>
      </c>
      <c r="AC4647" s="150">
        <v>0</v>
      </c>
      <c r="AD4647" s="150">
        <v>1</v>
      </c>
      <c r="AE4647" s="49">
        <f t="shared" si="166"/>
        <v>0.5</v>
      </c>
      <c r="AF4647" s="44"/>
      <c r="AG4647" s="17">
        <v>0</v>
      </c>
      <c r="AH4647" s="44">
        <v>1.5</v>
      </c>
      <c r="AI4647" s="44">
        <v>2</v>
      </c>
      <c r="AJ4647" s="44">
        <v>1.5</v>
      </c>
      <c r="AK4647" s="151">
        <v>0</v>
      </c>
      <c r="AL4647" s="151">
        <v>0</v>
      </c>
      <c r="AM4647" s="17">
        <f t="shared" si="167"/>
        <v>0</v>
      </c>
      <c r="AN4647" s="223" t="s">
        <v>3875</v>
      </c>
      <c r="AO4647" s="162" t="s">
        <v>3877</v>
      </c>
    </row>
    <row r="4648" spans="1:41" s="162" customFormat="1" x14ac:dyDescent="0.3">
      <c r="A4648" s="536" t="s">
        <v>8321</v>
      </c>
      <c r="B4648" s="162" t="s">
        <v>8322</v>
      </c>
      <c r="C4648" s="168" t="s">
        <v>13637</v>
      </c>
      <c r="D4648" s="162" t="s">
        <v>6838</v>
      </c>
      <c r="E4648" s="406" t="s">
        <v>13638</v>
      </c>
      <c r="F4648" s="406" t="s">
        <v>13533</v>
      </c>
      <c r="G4648" s="386" t="s">
        <v>13639</v>
      </c>
      <c r="H4648" s="162" t="s">
        <v>13640</v>
      </c>
      <c r="I4648" s="162" t="s">
        <v>16368</v>
      </c>
      <c r="J4648" s="1" t="s">
        <v>16369</v>
      </c>
      <c r="K4648" s="386" t="s">
        <v>16370</v>
      </c>
      <c r="L4648" s="162" t="s">
        <v>14541</v>
      </c>
      <c r="M4648" s="162" t="s">
        <v>16373</v>
      </c>
      <c r="N4648">
        <v>0</v>
      </c>
      <c r="O4648" s="3">
        <v>0</v>
      </c>
      <c r="P4648" s="3">
        <v>0</v>
      </c>
      <c r="Q4648" s="3">
        <v>4</v>
      </c>
      <c r="R4648" s="3">
        <v>4</v>
      </c>
      <c r="S4648" s="3">
        <v>4</v>
      </c>
      <c r="T4648" s="223" t="s">
        <v>3875</v>
      </c>
      <c r="U4648" t="str">
        <f>VLOOKUP(T4648,[8]Votes!$A$1:$E$234,3,FALSE)</f>
        <v>007 Ministry of Justice and Constitutional Affairs</v>
      </c>
      <c r="V4648" s="223" t="s">
        <v>16374</v>
      </c>
      <c r="W4648" s="407">
        <v>1</v>
      </c>
      <c r="X4648" s="407">
        <v>1</v>
      </c>
      <c r="Y4648" s="407">
        <v>0</v>
      </c>
      <c r="Z4648" s="407">
        <v>1</v>
      </c>
      <c r="AA4648" s="407">
        <v>1</v>
      </c>
      <c r="AB4648" s="407">
        <v>0</v>
      </c>
      <c r="AC4648" s="150">
        <v>1</v>
      </c>
      <c r="AD4648" s="150">
        <v>1</v>
      </c>
      <c r="AE4648" s="49">
        <f t="shared" si="166"/>
        <v>0.75</v>
      </c>
      <c r="AF4648" s="190"/>
      <c r="AG4648" s="17">
        <v>0</v>
      </c>
      <c r="AH4648" s="190">
        <v>0</v>
      </c>
      <c r="AI4648" s="190">
        <v>0</v>
      </c>
      <c r="AJ4648" s="44">
        <v>0.11</v>
      </c>
      <c r="AK4648" s="151">
        <v>0.12</v>
      </c>
      <c r="AL4648" s="151">
        <v>0.13</v>
      </c>
      <c r="AM4648" s="17">
        <f t="shared" si="167"/>
        <v>0.25</v>
      </c>
      <c r="AN4648" s="223" t="s">
        <v>3875</v>
      </c>
      <c r="AO4648" s="162" t="s">
        <v>3877</v>
      </c>
    </row>
    <row r="4649" spans="1:41" s="162" customFormat="1" x14ac:dyDescent="0.3">
      <c r="A4649" s="536" t="s">
        <v>8321</v>
      </c>
      <c r="B4649" s="162" t="s">
        <v>8322</v>
      </c>
      <c r="C4649" s="168" t="s">
        <v>13637</v>
      </c>
      <c r="D4649" s="162" t="s">
        <v>6838</v>
      </c>
      <c r="E4649" s="406" t="s">
        <v>13638</v>
      </c>
      <c r="F4649" s="406" t="s">
        <v>13533</v>
      </c>
      <c r="G4649" s="386" t="s">
        <v>13639</v>
      </c>
      <c r="H4649" s="162" t="s">
        <v>13640</v>
      </c>
      <c r="J4649" s="1"/>
      <c r="K4649" s="386" t="s">
        <v>16375</v>
      </c>
      <c r="L4649" s="162" t="s">
        <v>16376</v>
      </c>
      <c r="M4649" s="162" t="s">
        <v>16377</v>
      </c>
      <c r="N4649"/>
      <c r="O4649" s="3">
        <v>106</v>
      </c>
      <c r="P4649" s="3">
        <v>106</v>
      </c>
      <c r="Q4649" s="3">
        <v>106</v>
      </c>
      <c r="R4649" s="3">
        <v>106</v>
      </c>
      <c r="S4649" s="3">
        <v>106</v>
      </c>
      <c r="T4649" s="223" t="s">
        <v>13766</v>
      </c>
      <c r="U4649" t="str">
        <f>VLOOKUP(T4649,[8]Votes!$A$1:$E$234,3,FALSE)</f>
        <v>120 National Citizenship and Immigration Control</v>
      </c>
      <c r="V4649" t="s">
        <v>16378</v>
      </c>
      <c r="W4649" s="407">
        <v>1</v>
      </c>
      <c r="X4649" s="407">
        <v>0</v>
      </c>
      <c r="Y4649" s="407">
        <v>0</v>
      </c>
      <c r="Z4649" s="407">
        <v>1</v>
      </c>
      <c r="AA4649" s="407">
        <v>1</v>
      </c>
      <c r="AB4649" s="407">
        <v>0</v>
      </c>
      <c r="AC4649" s="150">
        <v>0</v>
      </c>
      <c r="AD4649" s="150">
        <v>0</v>
      </c>
      <c r="AE4649" s="49">
        <f t="shared" si="166"/>
        <v>0.375</v>
      </c>
      <c r="AF4649" s="44"/>
      <c r="AG4649" s="17">
        <v>0</v>
      </c>
      <c r="AH4649" s="44">
        <v>1.2</v>
      </c>
      <c r="AI4649" s="44">
        <v>1.3</v>
      </c>
      <c r="AJ4649" s="44">
        <v>1.35</v>
      </c>
      <c r="AK4649" s="151">
        <v>1.4</v>
      </c>
      <c r="AL4649" s="151">
        <v>1.6</v>
      </c>
      <c r="AM4649" s="17">
        <f t="shared" si="167"/>
        <v>3</v>
      </c>
      <c r="AN4649" s="162" t="s">
        <v>13766</v>
      </c>
      <c r="AO4649" s="162" t="s">
        <v>13768</v>
      </c>
    </row>
    <row r="4650" spans="1:41" s="162" customFormat="1" x14ac:dyDescent="0.3">
      <c r="A4650" s="536" t="s">
        <v>8321</v>
      </c>
      <c r="B4650" s="162" t="s">
        <v>8322</v>
      </c>
      <c r="C4650" s="168" t="s">
        <v>13637</v>
      </c>
      <c r="D4650" s="162" t="s">
        <v>6838</v>
      </c>
      <c r="E4650" s="406" t="s">
        <v>13638</v>
      </c>
      <c r="F4650" s="406" t="s">
        <v>13533</v>
      </c>
      <c r="G4650" s="386" t="s">
        <v>13639</v>
      </c>
      <c r="H4650" s="162" t="s">
        <v>13640</v>
      </c>
      <c r="I4650" s="162" t="s">
        <v>16379</v>
      </c>
      <c r="J4650" s="162" t="s">
        <v>16380</v>
      </c>
      <c r="K4650" s="386" t="s">
        <v>16381</v>
      </c>
      <c r="L4650" s="162" t="s">
        <v>16382</v>
      </c>
      <c r="M4650" s="162" t="s">
        <v>16383</v>
      </c>
      <c r="O4650" s="492">
        <v>1</v>
      </c>
      <c r="P4650" s="492">
        <v>1</v>
      </c>
      <c r="Q4650" s="492">
        <v>1</v>
      </c>
      <c r="R4650" s="492">
        <v>1</v>
      </c>
      <c r="S4650" s="492">
        <v>1</v>
      </c>
      <c r="T4650" s="223" t="s">
        <v>13766</v>
      </c>
      <c r="U4650" t="str">
        <f>VLOOKUP(T4650,[8]Votes!$A$1:$E$234,3,FALSE)</f>
        <v>120 National Citizenship and Immigration Control</v>
      </c>
      <c r="V4650" s="162" t="s">
        <v>16384</v>
      </c>
      <c r="W4650" s="407">
        <v>1</v>
      </c>
      <c r="X4650" s="407">
        <v>0</v>
      </c>
      <c r="Y4650" s="407">
        <v>0</v>
      </c>
      <c r="Z4650" s="407">
        <v>1</v>
      </c>
      <c r="AA4650" s="407">
        <v>1</v>
      </c>
      <c r="AB4650" s="407">
        <v>0</v>
      </c>
      <c r="AC4650" s="150">
        <v>0</v>
      </c>
      <c r="AD4650" s="150">
        <v>0</v>
      </c>
      <c r="AE4650" s="49">
        <f t="shared" si="166"/>
        <v>0.375</v>
      </c>
      <c r="AF4650" s="485"/>
      <c r="AG4650" s="17">
        <v>0</v>
      </c>
      <c r="AH4650" s="485">
        <v>5.2</v>
      </c>
      <c r="AI4650" s="485">
        <v>7.2</v>
      </c>
      <c r="AJ4650" s="485">
        <v>7.5</v>
      </c>
      <c r="AK4650" s="493">
        <v>7.5</v>
      </c>
      <c r="AL4650" s="493">
        <v>7.7</v>
      </c>
      <c r="AM4650" s="17">
        <f t="shared" si="167"/>
        <v>15.2</v>
      </c>
      <c r="AN4650" s="162" t="s">
        <v>13766</v>
      </c>
      <c r="AO4650" s="162" t="s">
        <v>13768</v>
      </c>
    </row>
    <row r="4651" spans="1:41" s="162" customFormat="1" x14ac:dyDescent="0.3">
      <c r="A4651" s="536" t="s">
        <v>8321</v>
      </c>
      <c r="B4651" s="162" t="s">
        <v>8322</v>
      </c>
      <c r="C4651" s="168" t="s">
        <v>13637</v>
      </c>
      <c r="D4651" s="162" t="s">
        <v>6838</v>
      </c>
      <c r="E4651" s="406" t="s">
        <v>13638</v>
      </c>
      <c r="F4651" s="406" t="s">
        <v>13533</v>
      </c>
      <c r="G4651" s="386" t="s">
        <v>13658</v>
      </c>
      <c r="H4651" s="1" t="s">
        <v>13659</v>
      </c>
      <c r="K4651" s="386" t="s">
        <v>16385</v>
      </c>
      <c r="L4651" s="1" t="s">
        <v>16386</v>
      </c>
      <c r="M4651" s="1" t="s">
        <v>16387</v>
      </c>
      <c r="O4651" s="492"/>
      <c r="P4651" s="492"/>
      <c r="Q4651" s="492"/>
      <c r="R4651" s="492"/>
      <c r="S4651" s="492"/>
      <c r="T4651" s="223" t="s">
        <v>16388</v>
      </c>
      <c r="U4651" t="str">
        <f>VLOOKUP(T4651,[8]Votes!$A$1:$E$234,3,FALSE)</f>
        <v>007 Ministry of Justice and Constitutional Affairs</v>
      </c>
      <c r="V4651" s="223" t="s">
        <v>16389</v>
      </c>
      <c r="W4651" s="407">
        <v>1</v>
      </c>
      <c r="X4651" s="407">
        <v>1</v>
      </c>
      <c r="Y4651" s="407">
        <v>0</v>
      </c>
      <c r="Z4651" s="407">
        <v>1</v>
      </c>
      <c r="AA4651" s="407">
        <v>1</v>
      </c>
      <c r="AB4651" s="407">
        <v>0</v>
      </c>
      <c r="AC4651" s="150">
        <v>0</v>
      </c>
      <c r="AD4651" s="150">
        <v>1</v>
      </c>
      <c r="AE4651" s="49">
        <f t="shared" si="166"/>
        <v>0.625</v>
      </c>
      <c r="AF4651" s="190"/>
      <c r="AG4651" s="17">
        <v>0</v>
      </c>
      <c r="AH4651" s="190">
        <v>0</v>
      </c>
      <c r="AI4651" s="190">
        <v>0</v>
      </c>
      <c r="AJ4651" s="190">
        <v>0</v>
      </c>
      <c r="AK4651" s="191">
        <v>0</v>
      </c>
      <c r="AL4651" s="191">
        <v>0</v>
      </c>
      <c r="AM4651" s="17">
        <f t="shared" si="167"/>
        <v>0</v>
      </c>
      <c r="AN4651" s="223" t="s">
        <v>16388</v>
      </c>
      <c r="AO4651" s="162" t="s">
        <v>3877</v>
      </c>
    </row>
    <row r="4652" spans="1:41" s="162" customFormat="1" x14ac:dyDescent="0.3">
      <c r="A4652" s="536" t="s">
        <v>8321</v>
      </c>
      <c r="B4652" s="162" t="s">
        <v>8322</v>
      </c>
      <c r="C4652" s="168" t="s">
        <v>13637</v>
      </c>
      <c r="D4652" s="162" t="s">
        <v>6838</v>
      </c>
      <c r="E4652" s="406" t="s">
        <v>13638</v>
      </c>
      <c r="F4652" s="406" t="s">
        <v>13533</v>
      </c>
      <c r="G4652" s="386" t="s">
        <v>13639</v>
      </c>
      <c r="H4652" s="162" t="s">
        <v>13640</v>
      </c>
      <c r="K4652" s="386" t="s">
        <v>16390</v>
      </c>
      <c r="L4652" s="162" t="s">
        <v>12747</v>
      </c>
      <c r="M4652" s="162" t="s">
        <v>16391</v>
      </c>
      <c r="N4652" s="162" t="s">
        <v>271</v>
      </c>
      <c r="O4652" s="224" t="s">
        <v>271</v>
      </c>
      <c r="P4652" s="224" t="s">
        <v>271</v>
      </c>
      <c r="Q4652" s="224">
        <v>5</v>
      </c>
      <c r="R4652" s="224">
        <v>20</v>
      </c>
      <c r="S4652" s="224">
        <v>60</v>
      </c>
      <c r="T4652" s="223" t="s">
        <v>16392</v>
      </c>
      <c r="U4652" t="e">
        <f>VLOOKUP(T4652,[8]Votes!$A$1:$E$234,3,FALSE)</f>
        <v>#N/A</v>
      </c>
      <c r="V4652" s="162" t="s">
        <v>16393</v>
      </c>
      <c r="W4652" s="407">
        <v>0</v>
      </c>
      <c r="X4652" s="407">
        <v>0</v>
      </c>
      <c r="Y4652" s="407">
        <v>0</v>
      </c>
      <c r="Z4652" s="407">
        <v>0</v>
      </c>
      <c r="AA4652" s="407">
        <v>0</v>
      </c>
      <c r="AB4652" s="407">
        <v>0</v>
      </c>
      <c r="AC4652" s="150">
        <v>0</v>
      </c>
      <c r="AD4652" s="150">
        <v>0</v>
      </c>
      <c r="AE4652" s="49">
        <f t="shared" si="166"/>
        <v>0</v>
      </c>
      <c r="AF4652" s="190"/>
      <c r="AG4652" s="17">
        <v>0</v>
      </c>
      <c r="AH4652" s="190">
        <v>0</v>
      </c>
      <c r="AI4652" s="190">
        <v>0</v>
      </c>
      <c r="AJ4652" s="485">
        <v>0.15</v>
      </c>
      <c r="AK4652" s="493">
        <v>0</v>
      </c>
      <c r="AL4652" s="493">
        <v>0</v>
      </c>
      <c r="AM4652" s="17">
        <f t="shared" si="167"/>
        <v>0</v>
      </c>
      <c r="AN4652" s="162" t="s">
        <v>15072</v>
      </c>
      <c r="AO4652" s="162" t="s">
        <v>1776</v>
      </c>
    </row>
    <row r="4653" spans="1:41" s="162" customFormat="1" x14ac:dyDescent="0.3">
      <c r="A4653" s="536" t="s">
        <v>8321</v>
      </c>
      <c r="B4653" s="162" t="s">
        <v>8322</v>
      </c>
      <c r="C4653" s="168" t="s">
        <v>13637</v>
      </c>
      <c r="D4653" s="162" t="s">
        <v>6838</v>
      </c>
      <c r="E4653" s="406" t="s">
        <v>13638</v>
      </c>
      <c r="F4653" s="406" t="s">
        <v>13533</v>
      </c>
      <c r="G4653" s="386" t="s">
        <v>13639</v>
      </c>
      <c r="H4653" s="162" t="s">
        <v>13640</v>
      </c>
      <c r="K4653" s="386" t="s">
        <v>16390</v>
      </c>
      <c r="L4653" s="162" t="s">
        <v>12747</v>
      </c>
      <c r="M4653" s="162" t="s">
        <v>16394</v>
      </c>
      <c r="N4653" s="162">
        <v>1</v>
      </c>
      <c r="O4653" s="224">
        <v>1</v>
      </c>
      <c r="P4653" s="224">
        <v>1</v>
      </c>
      <c r="Q4653" s="224">
        <v>1</v>
      </c>
      <c r="R4653" s="224">
        <v>5</v>
      </c>
      <c r="S4653" s="224">
        <v>8</v>
      </c>
      <c r="T4653" s="223" t="s">
        <v>16395</v>
      </c>
      <c r="U4653" t="e">
        <f>VLOOKUP(T4653,[8]Votes!$A$1:$E$234,3,FALSE)</f>
        <v>#N/A</v>
      </c>
      <c r="V4653" s="162" t="s">
        <v>16396</v>
      </c>
      <c r="W4653" s="407">
        <v>0</v>
      </c>
      <c r="X4653" s="407">
        <v>0</v>
      </c>
      <c r="Y4653" s="407">
        <v>0</v>
      </c>
      <c r="Z4653" s="407">
        <v>0</v>
      </c>
      <c r="AA4653" s="407">
        <v>0</v>
      </c>
      <c r="AB4653" s="407">
        <v>0</v>
      </c>
      <c r="AC4653" s="150">
        <v>0</v>
      </c>
      <c r="AD4653" s="150">
        <v>0</v>
      </c>
      <c r="AE4653" s="49">
        <f t="shared" si="166"/>
        <v>0</v>
      </c>
      <c r="AF4653" s="190"/>
      <c r="AG4653" s="17">
        <v>0</v>
      </c>
      <c r="AH4653" s="190">
        <v>0</v>
      </c>
      <c r="AI4653" s="190">
        <v>0</v>
      </c>
      <c r="AJ4653" s="485">
        <v>0.5</v>
      </c>
      <c r="AK4653" s="493">
        <v>0</v>
      </c>
      <c r="AL4653" s="493">
        <v>0</v>
      </c>
      <c r="AM4653" s="17">
        <f t="shared" si="167"/>
        <v>0</v>
      </c>
      <c r="AN4653" s="162" t="s">
        <v>15072</v>
      </c>
      <c r="AO4653" s="162" t="s">
        <v>1776</v>
      </c>
    </row>
    <row r="4654" spans="1:41" s="162" customFormat="1" x14ac:dyDescent="0.3">
      <c r="A4654" s="536" t="s">
        <v>8321</v>
      </c>
      <c r="B4654" s="162" t="s">
        <v>8322</v>
      </c>
      <c r="C4654" s="168" t="s">
        <v>13637</v>
      </c>
      <c r="D4654" s="162" t="s">
        <v>6838</v>
      </c>
      <c r="E4654" s="406" t="s">
        <v>13638</v>
      </c>
      <c r="F4654" s="406" t="s">
        <v>13533</v>
      </c>
      <c r="G4654" s="386" t="s">
        <v>13639</v>
      </c>
      <c r="H4654" s="162" t="s">
        <v>13640</v>
      </c>
      <c r="K4654" s="386" t="s">
        <v>16390</v>
      </c>
      <c r="L4654" s="162" t="s">
        <v>12747</v>
      </c>
      <c r="M4654" s="162" t="s">
        <v>16397</v>
      </c>
      <c r="N4654" s="162">
        <v>5</v>
      </c>
      <c r="O4654" s="224">
        <v>5</v>
      </c>
      <c r="P4654" s="224">
        <v>5</v>
      </c>
      <c r="Q4654" s="224">
        <v>5</v>
      </c>
      <c r="R4654" s="224">
        <v>5</v>
      </c>
      <c r="S4654" s="224">
        <v>5</v>
      </c>
      <c r="T4654" s="223" t="s">
        <v>16392</v>
      </c>
      <c r="U4654" t="e">
        <f>VLOOKUP(T4654,[8]Votes!$A$1:$E$234,3,FALSE)</f>
        <v>#N/A</v>
      </c>
      <c r="V4654" s="162" t="s">
        <v>16398</v>
      </c>
      <c r="W4654" s="407">
        <v>0</v>
      </c>
      <c r="X4654" s="407">
        <v>0</v>
      </c>
      <c r="Y4654" s="407">
        <v>0</v>
      </c>
      <c r="Z4654" s="407">
        <v>0</v>
      </c>
      <c r="AA4654" s="407">
        <v>0</v>
      </c>
      <c r="AB4654" s="407">
        <v>0</v>
      </c>
      <c r="AC4654" s="150">
        <v>0</v>
      </c>
      <c r="AD4654" s="150">
        <v>0</v>
      </c>
      <c r="AE4654" s="49">
        <f t="shared" si="166"/>
        <v>0</v>
      </c>
      <c r="AF4654" s="485"/>
      <c r="AG4654" s="17">
        <v>0</v>
      </c>
      <c r="AH4654" s="485">
        <v>0.09</v>
      </c>
      <c r="AI4654" s="485">
        <v>0.1</v>
      </c>
      <c r="AJ4654" s="485">
        <v>0.7</v>
      </c>
      <c r="AK4654" s="493">
        <v>0</v>
      </c>
      <c r="AL4654" s="493">
        <v>0</v>
      </c>
      <c r="AM4654" s="17">
        <f t="shared" si="167"/>
        <v>0</v>
      </c>
      <c r="AN4654" s="162" t="s">
        <v>15072</v>
      </c>
      <c r="AO4654" s="162" t="s">
        <v>1776</v>
      </c>
    </row>
    <row r="4655" spans="1:41" s="162" customFormat="1" x14ac:dyDescent="0.3">
      <c r="A4655" s="536" t="s">
        <v>8321</v>
      </c>
      <c r="B4655" s="162" t="s">
        <v>8322</v>
      </c>
      <c r="C4655" s="168" t="s">
        <v>13637</v>
      </c>
      <c r="D4655" s="162" t="s">
        <v>6838</v>
      </c>
      <c r="E4655" s="406" t="s">
        <v>13638</v>
      </c>
      <c r="F4655" s="406" t="s">
        <v>13533</v>
      </c>
      <c r="G4655" s="386" t="s">
        <v>13639</v>
      </c>
      <c r="H4655" s="162" t="s">
        <v>13640</v>
      </c>
      <c r="I4655" s="162" t="s">
        <v>16399</v>
      </c>
      <c r="J4655" s="162" t="s">
        <v>16400</v>
      </c>
      <c r="K4655" s="386" t="s">
        <v>16401</v>
      </c>
      <c r="L4655" s="162" t="s">
        <v>12747</v>
      </c>
      <c r="M4655" s="162" t="s">
        <v>16402</v>
      </c>
      <c r="N4655" s="162">
        <v>0</v>
      </c>
      <c r="O4655" s="224">
        <v>50</v>
      </c>
      <c r="P4655" s="224">
        <v>100</v>
      </c>
      <c r="Q4655" s="224">
        <v>150</v>
      </c>
      <c r="R4655" s="224">
        <v>261</v>
      </c>
      <c r="S4655" s="224">
        <v>261</v>
      </c>
      <c r="T4655" s="223" t="s">
        <v>180</v>
      </c>
      <c r="U4655" t="str">
        <f>VLOOKUP(T4655,[8]Votes!$A$1:$E$234,3,FALSE)</f>
        <v>145 Uganda Prisons</v>
      </c>
      <c r="V4655" s="162" t="s">
        <v>16403</v>
      </c>
      <c r="W4655" s="407">
        <v>1</v>
      </c>
      <c r="X4655" s="407">
        <v>0</v>
      </c>
      <c r="Y4655" s="407">
        <v>0</v>
      </c>
      <c r="Z4655" s="407">
        <v>1</v>
      </c>
      <c r="AA4655" s="407">
        <v>1</v>
      </c>
      <c r="AB4655" s="407">
        <v>0</v>
      </c>
      <c r="AC4655" s="150">
        <v>0</v>
      </c>
      <c r="AD4655" s="150">
        <v>0</v>
      </c>
      <c r="AE4655" s="49">
        <f t="shared" si="166"/>
        <v>0.375</v>
      </c>
      <c r="AF4655" s="485"/>
      <c r="AG4655" s="17">
        <v>0</v>
      </c>
      <c r="AH4655" s="485">
        <v>0.91200000000000003</v>
      </c>
      <c r="AI4655" s="485">
        <v>0.91200000000000003</v>
      </c>
      <c r="AJ4655" s="485">
        <v>0.91200000000000003</v>
      </c>
      <c r="AK4655" s="493">
        <v>0.91200000000000003</v>
      </c>
      <c r="AL4655" s="493">
        <v>0.91200000000000003</v>
      </c>
      <c r="AM4655" s="17">
        <f t="shared" si="167"/>
        <v>1.8240000000000001</v>
      </c>
      <c r="AN4655" s="162" t="s">
        <v>180</v>
      </c>
      <c r="AO4655" s="162" t="s">
        <v>182</v>
      </c>
    </row>
    <row r="4656" spans="1:41" s="162" customFormat="1" x14ac:dyDescent="0.3">
      <c r="A4656" s="536" t="s">
        <v>8321</v>
      </c>
      <c r="B4656" s="162" t="s">
        <v>8322</v>
      </c>
      <c r="C4656" s="168" t="s">
        <v>13637</v>
      </c>
      <c r="D4656" s="162" t="s">
        <v>6838</v>
      </c>
      <c r="E4656" s="406" t="s">
        <v>13638</v>
      </c>
      <c r="F4656" s="406" t="s">
        <v>13533</v>
      </c>
      <c r="G4656" s="386" t="s">
        <v>13639</v>
      </c>
      <c r="H4656" s="162" t="s">
        <v>13640</v>
      </c>
      <c r="I4656" s="162" t="s">
        <v>16404</v>
      </c>
      <c r="J4656" s="162" t="s">
        <v>16405</v>
      </c>
      <c r="K4656" s="386" t="s">
        <v>16406</v>
      </c>
      <c r="L4656" s="162" t="s">
        <v>12747</v>
      </c>
      <c r="M4656" s="162" t="s">
        <v>12748</v>
      </c>
      <c r="N4656" s="526">
        <v>101</v>
      </c>
      <c r="O4656" s="224">
        <v>136</v>
      </c>
      <c r="P4656" s="224">
        <v>156</v>
      </c>
      <c r="Q4656" s="224">
        <v>176</v>
      </c>
      <c r="R4656" s="224">
        <v>121</v>
      </c>
      <c r="S4656" s="224">
        <v>140</v>
      </c>
      <c r="T4656" s="223" t="s">
        <v>180</v>
      </c>
      <c r="U4656" t="str">
        <f>VLOOKUP(T4656,[8]Votes!$A$1:$E$234,3,FALSE)</f>
        <v>145 Uganda Prisons</v>
      </c>
      <c r="V4656" s="162" t="s">
        <v>12749</v>
      </c>
      <c r="W4656" s="407">
        <v>1</v>
      </c>
      <c r="X4656" s="407">
        <v>1</v>
      </c>
      <c r="Y4656" s="407">
        <v>0</v>
      </c>
      <c r="Z4656" s="407">
        <v>1</v>
      </c>
      <c r="AA4656" s="407">
        <v>1</v>
      </c>
      <c r="AB4656" s="407">
        <v>1</v>
      </c>
      <c r="AC4656" s="150">
        <v>0</v>
      </c>
      <c r="AD4656" s="150">
        <v>1</v>
      </c>
      <c r="AE4656" s="49">
        <f t="shared" si="166"/>
        <v>0.75</v>
      </c>
      <c r="AF4656" s="485"/>
      <c r="AG4656" s="17">
        <v>0</v>
      </c>
      <c r="AH4656" s="485">
        <v>2.718</v>
      </c>
      <c r="AI4656" s="485">
        <v>4.99</v>
      </c>
      <c r="AJ4656" s="485">
        <v>5</v>
      </c>
      <c r="AK4656" s="493">
        <v>0</v>
      </c>
      <c r="AL4656" s="493">
        <v>0</v>
      </c>
      <c r="AM4656" s="17">
        <f t="shared" si="167"/>
        <v>0</v>
      </c>
      <c r="AN4656" s="162" t="s">
        <v>180</v>
      </c>
      <c r="AO4656" s="162" t="s">
        <v>182</v>
      </c>
    </row>
    <row r="4657" spans="1:41" s="162" customFormat="1" x14ac:dyDescent="0.3">
      <c r="A4657" s="536" t="s">
        <v>8321</v>
      </c>
      <c r="B4657" s="162" t="s">
        <v>8322</v>
      </c>
      <c r="C4657" s="168" t="s">
        <v>13637</v>
      </c>
      <c r="D4657" s="162" t="s">
        <v>6838</v>
      </c>
      <c r="E4657" s="406" t="s">
        <v>13638</v>
      </c>
      <c r="F4657" s="406" t="s">
        <v>13533</v>
      </c>
      <c r="G4657" s="386" t="s">
        <v>13639</v>
      </c>
      <c r="H4657" s="162" t="s">
        <v>13640</v>
      </c>
      <c r="I4657" s="162" t="s">
        <v>16407</v>
      </c>
      <c r="J4657" s="162" t="s">
        <v>16408</v>
      </c>
      <c r="K4657" s="386" t="s">
        <v>16409</v>
      </c>
      <c r="L4657" s="162" t="s">
        <v>12747</v>
      </c>
      <c r="M4657" s="162" t="s">
        <v>16410</v>
      </c>
      <c r="N4657" t="s">
        <v>13641</v>
      </c>
      <c r="O4657" s="3">
        <v>2</v>
      </c>
      <c r="P4657" s="3">
        <v>6</v>
      </c>
      <c r="Q4657" s="3">
        <v>15</v>
      </c>
      <c r="R4657" s="3">
        <v>10</v>
      </c>
      <c r="S4657" s="3">
        <v>10</v>
      </c>
      <c r="T4657" t="s">
        <v>3875</v>
      </c>
      <c r="U4657" t="str">
        <f>VLOOKUP(T4657,[8]Votes!$A$1:$E$234,3,FALSE)</f>
        <v>007 Ministry of Justice and Constitutional Affairs</v>
      </c>
      <c r="V4657" s="162" t="s">
        <v>16411</v>
      </c>
      <c r="W4657" s="407">
        <v>1</v>
      </c>
      <c r="X4657" s="407">
        <v>0</v>
      </c>
      <c r="Y4657" s="407">
        <v>0</v>
      </c>
      <c r="Z4657" s="407">
        <v>1</v>
      </c>
      <c r="AA4657" s="407">
        <v>1</v>
      </c>
      <c r="AB4657" s="407">
        <v>0</v>
      </c>
      <c r="AC4657" s="150">
        <v>0</v>
      </c>
      <c r="AD4657" s="150">
        <v>1</v>
      </c>
      <c r="AE4657" s="49">
        <f t="shared" si="166"/>
        <v>0.5</v>
      </c>
      <c r="AF4657" s="44"/>
      <c r="AG4657" s="17">
        <v>0</v>
      </c>
      <c r="AH4657" s="44">
        <v>0.56000000000000005</v>
      </c>
      <c r="AI4657" s="44">
        <v>1.5</v>
      </c>
      <c r="AJ4657" s="44">
        <v>3.5</v>
      </c>
      <c r="AK4657" s="151">
        <v>1.5</v>
      </c>
      <c r="AL4657" s="151">
        <v>1.5</v>
      </c>
      <c r="AM4657" s="17">
        <f t="shared" si="167"/>
        <v>3</v>
      </c>
      <c r="AN4657" s="223" t="s">
        <v>3875</v>
      </c>
      <c r="AO4657" s="162" t="s">
        <v>3877</v>
      </c>
    </row>
    <row r="4658" spans="1:41" s="162" customFormat="1" x14ac:dyDescent="0.3">
      <c r="A4658" s="536" t="s">
        <v>8321</v>
      </c>
      <c r="B4658" s="162" t="s">
        <v>8322</v>
      </c>
      <c r="C4658" s="168" t="s">
        <v>13637</v>
      </c>
      <c r="D4658" s="162" t="s">
        <v>6838</v>
      </c>
      <c r="E4658" s="406" t="s">
        <v>13638</v>
      </c>
      <c r="F4658" s="406" t="s">
        <v>13533</v>
      </c>
      <c r="G4658" s="386" t="s">
        <v>13639</v>
      </c>
      <c r="H4658" s="162" t="s">
        <v>13640</v>
      </c>
      <c r="I4658" s="162" t="s">
        <v>16407</v>
      </c>
      <c r="J4658" s="162" t="s">
        <v>16408</v>
      </c>
      <c r="K4658" s="386" t="s">
        <v>16409</v>
      </c>
      <c r="L4658" s="162" t="s">
        <v>12747</v>
      </c>
      <c r="M4658" s="162" t="s">
        <v>16412</v>
      </c>
      <c r="N4658">
        <v>63</v>
      </c>
      <c r="O4658" s="3">
        <v>65</v>
      </c>
      <c r="P4658" s="3">
        <v>71</v>
      </c>
      <c r="Q4658" s="3">
        <v>86</v>
      </c>
      <c r="R4658" s="3">
        <v>96</v>
      </c>
      <c r="S4658" s="3">
        <v>106</v>
      </c>
      <c r="T4658" t="s">
        <v>3875</v>
      </c>
      <c r="U4658" t="str">
        <f>VLOOKUP(T4658,[8]Votes!$A$1:$E$234,3,FALSE)</f>
        <v>007 Ministry of Justice and Constitutional Affairs</v>
      </c>
      <c r="V4658" s="162" t="s">
        <v>16413</v>
      </c>
      <c r="W4658" s="407">
        <v>1</v>
      </c>
      <c r="X4658" s="407">
        <v>1</v>
      </c>
      <c r="Y4658" s="407">
        <v>0</v>
      </c>
      <c r="Z4658" s="407">
        <v>1</v>
      </c>
      <c r="AA4658" s="407">
        <v>1</v>
      </c>
      <c r="AB4658" s="407">
        <v>0</v>
      </c>
      <c r="AC4658" s="150">
        <v>1</v>
      </c>
      <c r="AD4658" s="150">
        <v>1</v>
      </c>
      <c r="AE4658" s="49">
        <f t="shared" si="166"/>
        <v>0.75</v>
      </c>
      <c r="AF4658" s="44"/>
      <c r="AG4658" s="17">
        <v>0</v>
      </c>
      <c r="AH4658" s="44">
        <v>0.437</v>
      </c>
      <c r="AI4658" s="44">
        <v>0.58499999999999996</v>
      </c>
      <c r="AJ4658" s="44">
        <v>0.7</v>
      </c>
      <c r="AK4658" s="151">
        <v>0.9</v>
      </c>
      <c r="AL4658" s="151">
        <v>1.2</v>
      </c>
      <c r="AM4658" s="17">
        <f t="shared" si="167"/>
        <v>2.1</v>
      </c>
      <c r="AN4658" s="223" t="s">
        <v>3875</v>
      </c>
      <c r="AO4658" s="162" t="s">
        <v>3877</v>
      </c>
    </row>
    <row r="4659" spans="1:41" s="162" customFormat="1" x14ac:dyDescent="0.3">
      <c r="A4659" s="536" t="s">
        <v>8321</v>
      </c>
      <c r="B4659" s="162" t="s">
        <v>8322</v>
      </c>
      <c r="C4659" s="168" t="s">
        <v>13637</v>
      </c>
      <c r="D4659" s="162" t="s">
        <v>6838</v>
      </c>
      <c r="E4659" s="406" t="s">
        <v>13638</v>
      </c>
      <c r="F4659" s="406" t="s">
        <v>13533</v>
      </c>
      <c r="G4659" s="386" t="s">
        <v>13639</v>
      </c>
      <c r="H4659" s="162" t="s">
        <v>13640</v>
      </c>
      <c r="I4659" s="162" t="s">
        <v>16407</v>
      </c>
      <c r="J4659" s="162" t="s">
        <v>16408</v>
      </c>
      <c r="K4659" s="386" t="s">
        <v>16409</v>
      </c>
      <c r="L4659" s="162" t="s">
        <v>12747</v>
      </c>
      <c r="M4659" s="162" t="s">
        <v>16414</v>
      </c>
      <c r="N4659" t="s">
        <v>13641</v>
      </c>
      <c r="O4659" s="3">
        <v>0</v>
      </c>
      <c r="P4659" s="3">
        <v>0</v>
      </c>
      <c r="Q4659" s="3">
        <v>10</v>
      </c>
      <c r="R4659" s="3">
        <v>6</v>
      </c>
      <c r="S4659" s="3">
        <v>5</v>
      </c>
      <c r="T4659" t="s">
        <v>3875</v>
      </c>
      <c r="U4659" t="str">
        <f>VLOOKUP(T4659,[8]Votes!$A$1:$E$234,3,FALSE)</f>
        <v>007 Ministry of Justice and Constitutional Affairs</v>
      </c>
      <c r="V4659" s="162" t="s">
        <v>16415</v>
      </c>
      <c r="W4659" s="407">
        <v>1</v>
      </c>
      <c r="X4659" s="407">
        <v>0</v>
      </c>
      <c r="Y4659" s="407">
        <v>0</v>
      </c>
      <c r="Z4659" s="407">
        <v>1</v>
      </c>
      <c r="AA4659" s="407">
        <v>1</v>
      </c>
      <c r="AB4659" s="407">
        <v>0</v>
      </c>
      <c r="AC4659" s="150">
        <v>0</v>
      </c>
      <c r="AD4659" s="150">
        <v>1</v>
      </c>
      <c r="AE4659" s="49">
        <f t="shared" si="166"/>
        <v>0.5</v>
      </c>
      <c r="AF4659" s="190"/>
      <c r="AG4659" s="17">
        <v>0</v>
      </c>
      <c r="AH4659" s="190">
        <v>0</v>
      </c>
      <c r="AI4659" s="190">
        <v>0</v>
      </c>
      <c r="AJ4659" s="44">
        <v>0.2</v>
      </c>
      <c r="AK4659" s="151">
        <v>0</v>
      </c>
      <c r="AL4659" s="151">
        <v>0</v>
      </c>
      <c r="AM4659" s="17">
        <f t="shared" si="167"/>
        <v>0</v>
      </c>
      <c r="AN4659" s="223" t="s">
        <v>3875</v>
      </c>
      <c r="AO4659" s="162" t="s">
        <v>3877</v>
      </c>
    </row>
    <row r="4660" spans="1:41" s="162" customFormat="1" x14ac:dyDescent="0.3">
      <c r="A4660" s="536" t="s">
        <v>8321</v>
      </c>
      <c r="B4660" s="162" t="s">
        <v>8322</v>
      </c>
      <c r="C4660" s="168" t="s">
        <v>13637</v>
      </c>
      <c r="D4660" s="162" t="s">
        <v>6838</v>
      </c>
      <c r="E4660" s="406" t="s">
        <v>13638</v>
      </c>
      <c r="F4660" s="406" t="s">
        <v>13533</v>
      </c>
      <c r="G4660" s="386" t="s">
        <v>13639</v>
      </c>
      <c r="H4660" s="162" t="s">
        <v>13640</v>
      </c>
      <c r="I4660" s="162" t="s">
        <v>16416</v>
      </c>
      <c r="J4660" s="162" t="s">
        <v>16417</v>
      </c>
      <c r="K4660" s="386" t="s">
        <v>16418</v>
      </c>
      <c r="L4660" s="162" t="s">
        <v>16419</v>
      </c>
      <c r="M4660" s="162" t="s">
        <v>16420</v>
      </c>
      <c r="N4660"/>
      <c r="O4660" s="380">
        <v>0.6</v>
      </c>
      <c r="P4660" s="380">
        <v>0.65</v>
      </c>
      <c r="Q4660" s="380">
        <v>0.7</v>
      </c>
      <c r="R4660" s="380">
        <v>0.75</v>
      </c>
      <c r="S4660" s="380">
        <v>0.8</v>
      </c>
      <c r="T4660" t="s">
        <v>13766</v>
      </c>
      <c r="U4660" t="str">
        <f>VLOOKUP(T4660,[8]Votes!$A$1:$E$234,3,FALSE)</f>
        <v>120 National Citizenship and Immigration Control</v>
      </c>
      <c r="V4660" s="162" t="s">
        <v>16421</v>
      </c>
      <c r="W4660" s="407">
        <v>1</v>
      </c>
      <c r="X4660" s="407">
        <v>0</v>
      </c>
      <c r="Y4660" s="407">
        <v>0</v>
      </c>
      <c r="Z4660" s="407">
        <v>1</v>
      </c>
      <c r="AA4660" s="407">
        <v>1</v>
      </c>
      <c r="AB4660" s="407">
        <v>0</v>
      </c>
      <c r="AC4660" s="150">
        <v>0</v>
      </c>
      <c r="AD4660" s="150">
        <v>0</v>
      </c>
      <c r="AE4660" s="49">
        <f t="shared" si="166"/>
        <v>0.375</v>
      </c>
      <c r="AF4660" s="44"/>
      <c r="AG4660" s="17">
        <v>0</v>
      </c>
      <c r="AH4660" s="44">
        <v>0.9</v>
      </c>
      <c r="AI4660" s="44">
        <v>1.2</v>
      </c>
      <c r="AJ4660" s="44">
        <v>1.5</v>
      </c>
      <c r="AK4660" s="151">
        <v>1.7</v>
      </c>
      <c r="AL4660" s="151">
        <v>2</v>
      </c>
      <c r="AM4660" s="17">
        <f t="shared" si="167"/>
        <v>3.7</v>
      </c>
      <c r="AN4660" s="162" t="s">
        <v>13766</v>
      </c>
      <c r="AO4660" s="162" t="s">
        <v>13768</v>
      </c>
    </row>
    <row r="4661" spans="1:41" s="162" customFormat="1" x14ac:dyDescent="0.3">
      <c r="A4661" s="536" t="s">
        <v>8321</v>
      </c>
      <c r="B4661" s="162" t="s">
        <v>8322</v>
      </c>
      <c r="C4661" s="168" t="s">
        <v>13637</v>
      </c>
      <c r="D4661" s="162" t="s">
        <v>6838</v>
      </c>
      <c r="E4661" s="406" t="s">
        <v>13638</v>
      </c>
      <c r="F4661" s="406" t="s">
        <v>13533</v>
      </c>
      <c r="G4661" s="386" t="s">
        <v>13639</v>
      </c>
      <c r="H4661" s="162" t="s">
        <v>13640</v>
      </c>
      <c r="K4661" s="386" t="s">
        <v>16422</v>
      </c>
      <c r="L4661" s="162" t="s">
        <v>16423</v>
      </c>
      <c r="M4661" s="162" t="s">
        <v>16424</v>
      </c>
      <c r="N4661"/>
      <c r="O4661" s="3"/>
      <c r="P4661" s="3"/>
      <c r="Q4661" s="3"/>
      <c r="R4661" s="3"/>
      <c r="S4661" s="3"/>
      <c r="T4661" t="s">
        <v>4115</v>
      </c>
      <c r="U4661" t="str">
        <f>VLOOKUP(T4661,[8]Votes!$A$1:$E$234,3,FALSE)</f>
        <v>309 National Identification and Registration Authority (NIRA)</v>
      </c>
      <c r="V4661" s="162" t="s">
        <v>16425</v>
      </c>
      <c r="W4661" s="407">
        <v>1</v>
      </c>
      <c r="X4661" s="407">
        <v>0</v>
      </c>
      <c r="Y4661" s="407">
        <v>0</v>
      </c>
      <c r="Z4661" s="407">
        <v>1</v>
      </c>
      <c r="AA4661" s="407">
        <v>1</v>
      </c>
      <c r="AB4661" s="407">
        <v>0</v>
      </c>
      <c r="AC4661" s="150">
        <v>0</v>
      </c>
      <c r="AD4661" s="150">
        <v>0</v>
      </c>
      <c r="AE4661" s="49">
        <f t="shared" si="166"/>
        <v>0.375</v>
      </c>
      <c r="AF4661" s="190"/>
      <c r="AG4661" s="17">
        <v>0</v>
      </c>
      <c r="AH4661" s="190">
        <v>0</v>
      </c>
      <c r="AI4661" s="190">
        <v>0</v>
      </c>
      <c r="AJ4661" s="44">
        <v>20</v>
      </c>
      <c r="AK4661" s="151"/>
      <c r="AL4661" s="151"/>
      <c r="AM4661" s="17">
        <f t="shared" si="167"/>
        <v>0</v>
      </c>
      <c r="AN4661" s="162" t="s">
        <v>4115</v>
      </c>
      <c r="AO4661" s="162" t="s">
        <v>4116</v>
      </c>
    </row>
    <row r="4662" spans="1:41" s="162" customFormat="1" x14ac:dyDescent="0.3">
      <c r="A4662" s="536" t="s">
        <v>8321</v>
      </c>
      <c r="B4662" s="162" t="s">
        <v>8322</v>
      </c>
      <c r="C4662" s="168" t="s">
        <v>13637</v>
      </c>
      <c r="D4662" s="162" t="s">
        <v>6838</v>
      </c>
      <c r="E4662" s="406" t="s">
        <v>13638</v>
      </c>
      <c r="F4662" s="406" t="s">
        <v>13533</v>
      </c>
      <c r="G4662" s="386" t="s">
        <v>13639</v>
      </c>
      <c r="H4662" s="162" t="s">
        <v>13640</v>
      </c>
      <c r="K4662" s="386" t="s">
        <v>16426</v>
      </c>
      <c r="L4662" s="162" t="s">
        <v>16427</v>
      </c>
      <c r="M4662" s="162" t="s">
        <v>16428</v>
      </c>
      <c r="N4662"/>
      <c r="O4662" s="3"/>
      <c r="P4662" s="3"/>
      <c r="Q4662" s="3">
        <v>2.5</v>
      </c>
      <c r="R4662" s="3">
        <v>2.5</v>
      </c>
      <c r="S4662" s="3">
        <v>2.5</v>
      </c>
      <c r="T4662" t="s">
        <v>4115</v>
      </c>
      <c r="U4662" t="str">
        <f>VLOOKUP(T4662,[8]Votes!$A$1:$E$234,3,FALSE)</f>
        <v>309 National Identification and Registration Authority (NIRA)</v>
      </c>
      <c r="V4662" s="162" t="s">
        <v>16429</v>
      </c>
      <c r="W4662" s="407">
        <v>1</v>
      </c>
      <c r="X4662" s="407">
        <v>0</v>
      </c>
      <c r="Y4662" s="407">
        <v>0</v>
      </c>
      <c r="Z4662" s="407">
        <v>1</v>
      </c>
      <c r="AA4662" s="407">
        <v>1</v>
      </c>
      <c r="AB4662" s="407">
        <v>0</v>
      </c>
      <c r="AC4662" s="150">
        <v>0</v>
      </c>
      <c r="AD4662" s="150">
        <v>0</v>
      </c>
      <c r="AE4662" s="49">
        <f t="shared" si="166"/>
        <v>0.375</v>
      </c>
      <c r="AF4662" s="190"/>
      <c r="AG4662" s="17">
        <v>0</v>
      </c>
      <c r="AH4662" s="190">
        <v>0</v>
      </c>
      <c r="AI4662" s="190">
        <v>0</v>
      </c>
      <c r="AJ4662" s="44">
        <v>2.5</v>
      </c>
      <c r="AK4662" s="151"/>
      <c r="AL4662" s="151"/>
      <c r="AM4662" s="17">
        <f t="shared" si="167"/>
        <v>0</v>
      </c>
      <c r="AN4662" s="162" t="s">
        <v>4115</v>
      </c>
      <c r="AO4662" s="162" t="s">
        <v>4116</v>
      </c>
    </row>
    <row r="4663" spans="1:41" s="162" customFormat="1" x14ac:dyDescent="0.3">
      <c r="A4663" s="536" t="s">
        <v>8321</v>
      </c>
      <c r="B4663" s="162" t="s">
        <v>8322</v>
      </c>
      <c r="C4663" s="168" t="s">
        <v>13637</v>
      </c>
      <c r="D4663" s="162" t="s">
        <v>6838</v>
      </c>
      <c r="E4663" s="406" t="s">
        <v>13638</v>
      </c>
      <c r="F4663" s="406" t="s">
        <v>13533</v>
      </c>
      <c r="G4663" s="386" t="s">
        <v>13658</v>
      </c>
      <c r="H4663" s="162" t="s">
        <v>13659</v>
      </c>
      <c r="K4663" s="386" t="s">
        <v>16430</v>
      </c>
      <c r="L4663" s="162" t="s">
        <v>16431</v>
      </c>
      <c r="M4663" s="162" t="s">
        <v>16432</v>
      </c>
      <c r="N4663" s="223">
        <v>4</v>
      </c>
      <c r="O4663" s="224">
        <v>4</v>
      </c>
      <c r="P4663" s="224">
        <v>4</v>
      </c>
      <c r="Q4663" s="224">
        <v>4</v>
      </c>
      <c r="R4663" s="224">
        <v>4</v>
      </c>
      <c r="S4663" s="224">
        <v>4</v>
      </c>
      <c r="T4663" s="223" t="s">
        <v>4115</v>
      </c>
      <c r="U4663" t="str">
        <f>VLOOKUP(T4663,[8]Votes!$A$1:$E$234,3,FALSE)</f>
        <v>309 National Identification and Registration Authority (NIRA)</v>
      </c>
      <c r="V4663" s="223" t="s">
        <v>16433</v>
      </c>
      <c r="W4663" s="407">
        <v>0</v>
      </c>
      <c r="X4663" s="407">
        <v>0</v>
      </c>
      <c r="Y4663" s="407">
        <v>0</v>
      </c>
      <c r="Z4663" s="407">
        <v>1</v>
      </c>
      <c r="AA4663" s="407">
        <v>1</v>
      </c>
      <c r="AB4663" s="407">
        <v>0</v>
      </c>
      <c r="AC4663" s="150">
        <v>0</v>
      </c>
      <c r="AD4663" s="150">
        <v>0</v>
      </c>
      <c r="AE4663" s="49">
        <f t="shared" si="166"/>
        <v>0.25</v>
      </c>
      <c r="AF4663" s="190"/>
      <c r="AG4663" s="17">
        <v>0</v>
      </c>
      <c r="AH4663" s="190">
        <v>0</v>
      </c>
      <c r="AI4663" s="190">
        <v>0</v>
      </c>
      <c r="AJ4663" s="190">
        <v>0</v>
      </c>
      <c r="AK4663" s="191"/>
      <c r="AL4663" s="191"/>
      <c r="AM4663" s="17">
        <f t="shared" si="167"/>
        <v>0</v>
      </c>
      <c r="AN4663" s="162" t="s">
        <v>4115</v>
      </c>
      <c r="AO4663" s="162" t="s">
        <v>4116</v>
      </c>
    </row>
    <row r="4664" spans="1:41" s="162" customFormat="1" x14ac:dyDescent="0.3">
      <c r="A4664" s="536" t="s">
        <v>8321</v>
      </c>
      <c r="B4664" s="162" t="s">
        <v>8322</v>
      </c>
      <c r="C4664" s="168" t="s">
        <v>13637</v>
      </c>
      <c r="D4664" s="162" t="s">
        <v>6838</v>
      </c>
      <c r="E4664" s="406" t="s">
        <v>13638</v>
      </c>
      <c r="F4664" s="406" t="s">
        <v>13533</v>
      </c>
      <c r="G4664" s="386" t="s">
        <v>13639</v>
      </c>
      <c r="H4664" s="162" t="s">
        <v>13640</v>
      </c>
      <c r="K4664" s="386" t="s">
        <v>16434</v>
      </c>
      <c r="L4664" s="162" t="s">
        <v>16435</v>
      </c>
      <c r="M4664" s="162" t="s">
        <v>16436</v>
      </c>
      <c r="N4664">
        <v>4</v>
      </c>
      <c r="O4664" s="3">
        <v>4</v>
      </c>
      <c r="P4664" s="3">
        <v>4</v>
      </c>
      <c r="Q4664" s="3">
        <v>4</v>
      </c>
      <c r="R4664" s="3">
        <v>4</v>
      </c>
      <c r="S4664" s="3">
        <v>4</v>
      </c>
      <c r="T4664" t="s">
        <v>4115</v>
      </c>
      <c r="U4664" t="str">
        <f>VLOOKUP(T4664,[8]Votes!$A$1:$E$234,3,FALSE)</f>
        <v>309 National Identification and Registration Authority (NIRA)</v>
      </c>
      <c r="V4664" s="162" t="s">
        <v>16437</v>
      </c>
      <c r="W4664" s="407">
        <v>1</v>
      </c>
      <c r="X4664" s="407">
        <v>0</v>
      </c>
      <c r="Y4664" s="407">
        <v>0</v>
      </c>
      <c r="Z4664" s="407">
        <v>1</v>
      </c>
      <c r="AA4664" s="407">
        <v>1</v>
      </c>
      <c r="AB4664" s="407">
        <v>0</v>
      </c>
      <c r="AC4664" s="150">
        <v>0</v>
      </c>
      <c r="AD4664" s="150">
        <v>0</v>
      </c>
      <c r="AE4664" s="49">
        <f t="shared" si="166"/>
        <v>0.375</v>
      </c>
      <c r="AF4664" s="190"/>
      <c r="AG4664" s="17">
        <v>0</v>
      </c>
      <c r="AH4664" s="190">
        <v>0</v>
      </c>
      <c r="AI4664" s="190">
        <v>0</v>
      </c>
      <c r="AJ4664" s="44">
        <v>0.6</v>
      </c>
      <c r="AK4664" s="151"/>
      <c r="AL4664" s="151"/>
      <c r="AM4664" s="17">
        <f t="shared" si="167"/>
        <v>0</v>
      </c>
      <c r="AN4664" s="162" t="s">
        <v>4115</v>
      </c>
      <c r="AO4664" s="162" t="s">
        <v>4116</v>
      </c>
    </row>
    <row r="4665" spans="1:41" s="162" customFormat="1" x14ac:dyDescent="0.3">
      <c r="A4665" s="536" t="s">
        <v>8321</v>
      </c>
      <c r="B4665" s="162" t="s">
        <v>8322</v>
      </c>
      <c r="C4665" s="168" t="s">
        <v>13637</v>
      </c>
      <c r="D4665" s="162" t="s">
        <v>6838</v>
      </c>
      <c r="E4665" s="406" t="s">
        <v>13638</v>
      </c>
      <c r="F4665" s="406" t="s">
        <v>13533</v>
      </c>
      <c r="G4665" s="386" t="s">
        <v>13639</v>
      </c>
      <c r="H4665" s="162" t="s">
        <v>13640</v>
      </c>
      <c r="K4665" s="386" t="s">
        <v>16438</v>
      </c>
      <c r="L4665" s="162" t="s">
        <v>16439</v>
      </c>
      <c r="M4665" s="162" t="s">
        <v>16440</v>
      </c>
      <c r="N4665">
        <v>1</v>
      </c>
      <c r="O4665" s="3">
        <v>1</v>
      </c>
      <c r="P4665" s="3">
        <v>1</v>
      </c>
      <c r="Q4665" s="3">
        <v>1</v>
      </c>
      <c r="R4665" s="3">
        <v>1</v>
      </c>
      <c r="S4665" s="3">
        <v>1</v>
      </c>
      <c r="T4665" t="s">
        <v>4115</v>
      </c>
      <c r="U4665" t="str">
        <f>VLOOKUP(T4665,[8]Votes!$A$1:$E$234,3,FALSE)</f>
        <v>309 National Identification and Registration Authority (NIRA)</v>
      </c>
      <c r="V4665" t="s">
        <v>16441</v>
      </c>
      <c r="W4665" s="407">
        <v>1</v>
      </c>
      <c r="X4665" s="407">
        <v>0</v>
      </c>
      <c r="Y4665" s="407">
        <v>0</v>
      </c>
      <c r="Z4665" s="407">
        <v>1</v>
      </c>
      <c r="AA4665" s="407">
        <v>1</v>
      </c>
      <c r="AB4665" s="407">
        <v>0</v>
      </c>
      <c r="AC4665" s="150">
        <v>0</v>
      </c>
      <c r="AD4665" s="150">
        <v>0</v>
      </c>
      <c r="AE4665" s="49">
        <f t="shared" si="166"/>
        <v>0.375</v>
      </c>
      <c r="AF4665" s="190"/>
      <c r="AG4665" s="17">
        <v>0</v>
      </c>
      <c r="AH4665" s="190">
        <v>0</v>
      </c>
      <c r="AI4665" s="190">
        <v>0</v>
      </c>
      <c r="AJ4665" s="44">
        <v>0.6</v>
      </c>
      <c r="AK4665" s="151"/>
      <c r="AL4665" s="151"/>
      <c r="AM4665" s="17">
        <f t="shared" si="167"/>
        <v>0</v>
      </c>
      <c r="AN4665" s="162" t="s">
        <v>4115</v>
      </c>
      <c r="AO4665" s="162" t="s">
        <v>4116</v>
      </c>
    </row>
    <row r="4666" spans="1:41" s="162" customFormat="1" x14ac:dyDescent="0.3">
      <c r="A4666" s="536" t="s">
        <v>8321</v>
      </c>
      <c r="B4666" s="162" t="s">
        <v>8322</v>
      </c>
      <c r="C4666" s="168" t="s">
        <v>13637</v>
      </c>
      <c r="D4666" s="162" t="s">
        <v>6838</v>
      </c>
      <c r="E4666" s="406" t="s">
        <v>13638</v>
      </c>
      <c r="F4666" s="406" t="s">
        <v>13533</v>
      </c>
      <c r="G4666" s="386" t="s">
        <v>13639</v>
      </c>
      <c r="H4666" s="162" t="s">
        <v>13640</v>
      </c>
      <c r="K4666" s="386" t="s">
        <v>16442</v>
      </c>
      <c r="L4666" s="162" t="s">
        <v>16443</v>
      </c>
      <c r="M4666" s="162" t="s">
        <v>16444</v>
      </c>
      <c r="N4666"/>
      <c r="O4666" s="3"/>
      <c r="P4666" s="3"/>
      <c r="Q4666" s="3"/>
      <c r="R4666" s="3"/>
      <c r="S4666" s="3"/>
      <c r="T4666" t="s">
        <v>4115</v>
      </c>
      <c r="U4666" t="str">
        <f>VLOOKUP(T4666,[8]Votes!$A$1:$E$234,3,FALSE)</f>
        <v>309 National Identification and Registration Authority (NIRA)</v>
      </c>
      <c r="V4666" s="223" t="s">
        <v>16445</v>
      </c>
      <c r="W4666" s="407">
        <v>1</v>
      </c>
      <c r="X4666" s="407">
        <v>0</v>
      </c>
      <c r="Y4666" s="407">
        <v>0</v>
      </c>
      <c r="Z4666" s="407">
        <v>1</v>
      </c>
      <c r="AA4666" s="407">
        <v>1</v>
      </c>
      <c r="AB4666" s="407">
        <v>0</v>
      </c>
      <c r="AC4666" s="150">
        <v>0</v>
      </c>
      <c r="AD4666" s="150">
        <v>0</v>
      </c>
      <c r="AE4666" s="49">
        <f t="shared" ref="AE4666:AE4729" si="168">SUM(W4666:AD4666)/8</f>
        <v>0.375</v>
      </c>
      <c r="AF4666" s="190"/>
      <c r="AG4666" s="17">
        <v>0</v>
      </c>
      <c r="AH4666" s="190">
        <v>0</v>
      </c>
      <c r="AI4666" s="190">
        <v>0</v>
      </c>
      <c r="AJ4666" s="44">
        <v>0.6</v>
      </c>
      <c r="AK4666" s="151"/>
      <c r="AL4666" s="151"/>
      <c r="AM4666" s="17">
        <f t="shared" ref="AM4666:AM4729" si="169">SUM(AK4666:AL4666)</f>
        <v>0</v>
      </c>
      <c r="AN4666" s="162" t="s">
        <v>4115</v>
      </c>
      <c r="AO4666" s="162" t="s">
        <v>4116</v>
      </c>
    </row>
    <row r="4667" spans="1:41" s="162" customFormat="1" x14ac:dyDescent="0.3">
      <c r="A4667" s="536" t="s">
        <v>8321</v>
      </c>
      <c r="B4667" s="162" t="s">
        <v>8322</v>
      </c>
      <c r="C4667" s="168" t="s">
        <v>13637</v>
      </c>
      <c r="D4667" s="162" t="s">
        <v>6838</v>
      </c>
      <c r="E4667" s="406" t="s">
        <v>13638</v>
      </c>
      <c r="F4667" s="406" t="s">
        <v>13533</v>
      </c>
      <c r="G4667" s="386" t="s">
        <v>13639</v>
      </c>
      <c r="H4667" s="162" t="s">
        <v>13640</v>
      </c>
      <c r="K4667" s="386" t="s">
        <v>16446</v>
      </c>
      <c r="L4667" s="162" t="s">
        <v>16447</v>
      </c>
      <c r="M4667" s="162" t="s">
        <v>16448</v>
      </c>
      <c r="N4667"/>
      <c r="O4667" s="3"/>
      <c r="P4667" s="3"/>
      <c r="Q4667" s="3"/>
      <c r="R4667" s="3"/>
      <c r="S4667" s="3"/>
      <c r="T4667" t="s">
        <v>4115</v>
      </c>
      <c r="U4667" t="str">
        <f>VLOOKUP(T4667,[8]Votes!$A$1:$E$234,3,FALSE)</f>
        <v>309 National Identification and Registration Authority (NIRA)</v>
      </c>
      <c r="V4667" t="s">
        <v>16449</v>
      </c>
      <c r="W4667" s="407">
        <v>1</v>
      </c>
      <c r="X4667" s="407">
        <v>0</v>
      </c>
      <c r="Y4667" s="407">
        <v>0</v>
      </c>
      <c r="Z4667" s="407">
        <v>1</v>
      </c>
      <c r="AA4667" s="407">
        <v>1</v>
      </c>
      <c r="AB4667" s="407">
        <v>0</v>
      </c>
      <c r="AC4667" s="150">
        <v>0</v>
      </c>
      <c r="AD4667" s="150">
        <v>0</v>
      </c>
      <c r="AE4667" s="49">
        <f t="shared" si="168"/>
        <v>0.375</v>
      </c>
      <c r="AF4667" s="190"/>
      <c r="AG4667" s="17">
        <v>0</v>
      </c>
      <c r="AH4667" s="190">
        <v>0</v>
      </c>
      <c r="AI4667" s="190">
        <v>0</v>
      </c>
      <c r="AJ4667" s="44">
        <v>20.329999999999998</v>
      </c>
      <c r="AK4667" s="151"/>
      <c r="AL4667" s="151"/>
      <c r="AM4667" s="17">
        <f t="shared" si="169"/>
        <v>0</v>
      </c>
      <c r="AN4667" s="162" t="s">
        <v>4115</v>
      </c>
      <c r="AO4667" s="162" t="s">
        <v>4116</v>
      </c>
    </row>
    <row r="4668" spans="1:41" s="162" customFormat="1" x14ac:dyDescent="0.3">
      <c r="A4668" s="536" t="s">
        <v>8321</v>
      </c>
      <c r="B4668" s="162" t="s">
        <v>8322</v>
      </c>
      <c r="C4668" s="168" t="s">
        <v>13637</v>
      </c>
      <c r="D4668" s="162" t="s">
        <v>6838</v>
      </c>
      <c r="E4668" s="406" t="s">
        <v>13638</v>
      </c>
      <c r="F4668" s="406" t="s">
        <v>13533</v>
      </c>
      <c r="G4668" s="386" t="s">
        <v>13658</v>
      </c>
      <c r="H4668" s="162" t="s">
        <v>13659</v>
      </c>
      <c r="K4668" s="386" t="s">
        <v>16450</v>
      </c>
      <c r="L4668" s="162" t="s">
        <v>16451</v>
      </c>
      <c r="M4668" s="162" t="s">
        <v>16452</v>
      </c>
      <c r="N4668" s="223"/>
      <c r="O4668" s="224"/>
      <c r="P4668" s="224"/>
      <c r="Q4668" s="224"/>
      <c r="R4668" s="224"/>
      <c r="S4668" s="224"/>
      <c r="T4668" s="223" t="s">
        <v>4115</v>
      </c>
      <c r="U4668" t="str">
        <f>VLOOKUP(T4668,[8]Votes!$A$1:$E$234,3,FALSE)</f>
        <v>309 National Identification and Registration Authority (NIRA)</v>
      </c>
      <c r="V4668" s="223" t="s">
        <v>16453</v>
      </c>
      <c r="W4668" s="407">
        <v>0</v>
      </c>
      <c r="X4668" s="407">
        <v>0</v>
      </c>
      <c r="Y4668" s="407">
        <v>0</v>
      </c>
      <c r="Z4668" s="407">
        <v>1</v>
      </c>
      <c r="AA4668" s="407">
        <v>1</v>
      </c>
      <c r="AB4668" s="407">
        <v>0</v>
      </c>
      <c r="AC4668" s="150">
        <v>0</v>
      </c>
      <c r="AD4668" s="150">
        <v>0</v>
      </c>
      <c r="AE4668" s="49">
        <f t="shared" si="168"/>
        <v>0.25</v>
      </c>
      <c r="AF4668" s="190"/>
      <c r="AG4668" s="17">
        <v>0</v>
      </c>
      <c r="AH4668" s="190">
        <v>0</v>
      </c>
      <c r="AI4668" s="190">
        <v>0</v>
      </c>
      <c r="AJ4668" s="360">
        <v>0.06</v>
      </c>
      <c r="AK4668" s="361"/>
      <c r="AL4668" s="361"/>
      <c r="AM4668" s="17">
        <f t="shared" si="169"/>
        <v>0</v>
      </c>
      <c r="AN4668" s="162" t="s">
        <v>4115</v>
      </c>
      <c r="AO4668" s="162" t="s">
        <v>4116</v>
      </c>
    </row>
    <row r="4669" spans="1:41" s="162" customFormat="1" x14ac:dyDescent="0.3">
      <c r="A4669" s="536" t="s">
        <v>8321</v>
      </c>
      <c r="B4669" s="162" t="s">
        <v>8322</v>
      </c>
      <c r="C4669" s="168" t="s">
        <v>13637</v>
      </c>
      <c r="D4669" s="162" t="s">
        <v>6838</v>
      </c>
      <c r="E4669" s="406" t="s">
        <v>13638</v>
      </c>
      <c r="F4669" s="406" t="s">
        <v>13533</v>
      </c>
      <c r="G4669" s="386" t="s">
        <v>13658</v>
      </c>
      <c r="H4669" s="162" t="s">
        <v>13659</v>
      </c>
      <c r="K4669" s="386" t="s">
        <v>16454</v>
      </c>
      <c r="L4669" s="162" t="s">
        <v>16455</v>
      </c>
      <c r="M4669" s="162" t="s">
        <v>16456</v>
      </c>
      <c r="N4669" s="223">
        <v>0</v>
      </c>
      <c r="O4669" s="224">
        <v>0</v>
      </c>
      <c r="P4669" s="224">
        <v>435</v>
      </c>
      <c r="Q4669" s="224">
        <v>435</v>
      </c>
      <c r="R4669" s="224">
        <v>435</v>
      </c>
      <c r="S4669" s="224">
        <v>435</v>
      </c>
      <c r="T4669" s="223" t="s">
        <v>4115</v>
      </c>
      <c r="U4669" t="str">
        <f>VLOOKUP(T4669,[8]Votes!$A$1:$E$234,3,FALSE)</f>
        <v>309 National Identification and Registration Authority (NIRA)</v>
      </c>
      <c r="V4669" s="223" t="s">
        <v>16457</v>
      </c>
      <c r="W4669" s="407">
        <v>0</v>
      </c>
      <c r="X4669" s="407">
        <v>0</v>
      </c>
      <c r="Y4669" s="407">
        <v>0</v>
      </c>
      <c r="Z4669" s="407">
        <v>1</v>
      </c>
      <c r="AA4669" s="407">
        <v>1</v>
      </c>
      <c r="AB4669" s="407">
        <v>0</v>
      </c>
      <c r="AC4669" s="150">
        <v>0</v>
      </c>
      <c r="AD4669" s="150">
        <v>0</v>
      </c>
      <c r="AE4669" s="49">
        <f t="shared" si="168"/>
        <v>0.25</v>
      </c>
      <c r="AF4669" s="190"/>
      <c r="AG4669" s="17">
        <v>0</v>
      </c>
      <c r="AH4669" s="190">
        <v>0</v>
      </c>
      <c r="AI4669" s="190">
        <v>0</v>
      </c>
      <c r="AJ4669" s="360">
        <v>1.3</v>
      </c>
      <c r="AK4669" s="361"/>
      <c r="AL4669" s="361"/>
      <c r="AM4669" s="17">
        <f t="shared" si="169"/>
        <v>0</v>
      </c>
      <c r="AN4669" s="162" t="s">
        <v>4115</v>
      </c>
      <c r="AO4669" s="162" t="s">
        <v>4116</v>
      </c>
    </row>
    <row r="4670" spans="1:41" s="162" customFormat="1" x14ac:dyDescent="0.3">
      <c r="A4670" s="536" t="s">
        <v>8321</v>
      </c>
      <c r="B4670" s="162" t="s">
        <v>8322</v>
      </c>
      <c r="C4670" s="168" t="s">
        <v>13637</v>
      </c>
      <c r="D4670" s="162" t="s">
        <v>6838</v>
      </c>
      <c r="E4670" s="406" t="s">
        <v>13638</v>
      </c>
      <c r="F4670" s="406" t="s">
        <v>13533</v>
      </c>
      <c r="G4670" s="386" t="s">
        <v>13639</v>
      </c>
      <c r="H4670" s="162" t="s">
        <v>13640</v>
      </c>
      <c r="I4670" s="162" t="s">
        <v>16458</v>
      </c>
      <c r="J4670" s="162" t="s">
        <v>16459</v>
      </c>
      <c r="K4670" s="386" t="s">
        <v>16460</v>
      </c>
      <c r="L4670" s="162" t="s">
        <v>16461</v>
      </c>
      <c r="M4670" s="162" t="s">
        <v>16462</v>
      </c>
      <c r="N4670">
        <v>0</v>
      </c>
      <c r="O4670" s="3">
        <v>0</v>
      </c>
      <c r="P4670" s="3">
        <v>0</v>
      </c>
      <c r="Q4670" s="3">
        <v>0</v>
      </c>
      <c r="R4670" s="3">
        <v>0</v>
      </c>
      <c r="S4670" s="3"/>
      <c r="T4670" t="s">
        <v>4115</v>
      </c>
      <c r="U4670" t="str">
        <f>VLOOKUP(T4670,[8]Votes!$A$1:$E$234,3,FALSE)</f>
        <v>309 National Identification and Registration Authority (NIRA)</v>
      </c>
      <c r="V4670" t="s">
        <v>16463</v>
      </c>
      <c r="W4670" s="407">
        <v>1</v>
      </c>
      <c r="X4670" s="407">
        <v>0</v>
      </c>
      <c r="Y4670" s="407">
        <v>0</v>
      </c>
      <c r="Z4670" s="407">
        <v>1</v>
      </c>
      <c r="AA4670" s="407">
        <v>1</v>
      </c>
      <c r="AB4670" s="407">
        <v>0</v>
      </c>
      <c r="AC4670" s="150">
        <v>0</v>
      </c>
      <c r="AD4670" s="150">
        <v>0</v>
      </c>
      <c r="AE4670" s="49">
        <f t="shared" si="168"/>
        <v>0.375</v>
      </c>
      <c r="AF4670" s="190"/>
      <c r="AG4670" s="17">
        <v>0</v>
      </c>
      <c r="AH4670" s="190">
        <v>0</v>
      </c>
      <c r="AI4670" s="190">
        <v>0</v>
      </c>
      <c r="AJ4670" s="44">
        <v>0.41</v>
      </c>
      <c r="AK4670" s="151"/>
      <c r="AL4670" s="151"/>
      <c r="AM4670" s="17">
        <f t="shared" si="169"/>
        <v>0</v>
      </c>
      <c r="AN4670" s="162" t="s">
        <v>4115</v>
      </c>
      <c r="AO4670" s="162" t="s">
        <v>4116</v>
      </c>
    </row>
    <row r="4671" spans="1:41" s="162" customFormat="1" x14ac:dyDescent="0.3">
      <c r="A4671" s="536" t="s">
        <v>8321</v>
      </c>
      <c r="B4671" s="162" t="s">
        <v>8322</v>
      </c>
      <c r="C4671" s="168" t="s">
        <v>13637</v>
      </c>
      <c r="D4671" s="162" t="s">
        <v>6838</v>
      </c>
      <c r="E4671" s="406" t="s">
        <v>13638</v>
      </c>
      <c r="F4671" s="406" t="s">
        <v>13533</v>
      </c>
      <c r="G4671" s="386" t="s">
        <v>13639</v>
      </c>
      <c r="H4671" s="162" t="s">
        <v>13640</v>
      </c>
      <c r="I4671" s="162" t="s">
        <v>16458</v>
      </c>
      <c r="J4671" s="162" t="s">
        <v>16459</v>
      </c>
      <c r="K4671" s="386" t="s">
        <v>16464</v>
      </c>
      <c r="L4671" s="162" t="s">
        <v>16465</v>
      </c>
      <c r="M4671" s="162" t="s">
        <v>16466</v>
      </c>
      <c r="N4671">
        <v>0</v>
      </c>
      <c r="O4671" s="3">
        <v>0</v>
      </c>
      <c r="P4671" s="3">
        <v>0</v>
      </c>
      <c r="Q4671" s="3">
        <v>0</v>
      </c>
      <c r="R4671" s="3">
        <v>0</v>
      </c>
      <c r="S4671" s="3">
        <v>0</v>
      </c>
      <c r="T4671" t="s">
        <v>4115</v>
      </c>
      <c r="U4671" t="str">
        <f>VLOOKUP(T4671,[8]Votes!$A$1:$E$234,3,FALSE)</f>
        <v>309 National Identification and Registration Authority (NIRA)</v>
      </c>
      <c r="V4671" t="s">
        <v>16467</v>
      </c>
      <c r="W4671" s="407">
        <v>1</v>
      </c>
      <c r="X4671" s="407">
        <v>0</v>
      </c>
      <c r="Y4671" s="407">
        <v>0</v>
      </c>
      <c r="Z4671" s="407">
        <v>1</v>
      </c>
      <c r="AA4671" s="407">
        <v>1</v>
      </c>
      <c r="AB4671" s="407">
        <v>0</v>
      </c>
      <c r="AC4671" s="150">
        <v>0</v>
      </c>
      <c r="AD4671" s="150">
        <v>0</v>
      </c>
      <c r="AE4671" s="49">
        <f t="shared" si="168"/>
        <v>0.375</v>
      </c>
      <c r="AF4671" s="190"/>
      <c r="AG4671" s="17">
        <v>0</v>
      </c>
      <c r="AH4671" s="190">
        <v>0</v>
      </c>
      <c r="AI4671" s="190">
        <v>0</v>
      </c>
      <c r="AJ4671" s="44">
        <v>2.5</v>
      </c>
      <c r="AK4671" s="151"/>
      <c r="AL4671" s="191"/>
      <c r="AM4671" s="17">
        <f t="shared" si="169"/>
        <v>0</v>
      </c>
      <c r="AN4671" s="162" t="s">
        <v>4115</v>
      </c>
      <c r="AO4671" s="162" t="s">
        <v>4116</v>
      </c>
    </row>
    <row r="4672" spans="1:41" s="162" customFormat="1" x14ac:dyDescent="0.3">
      <c r="A4672" s="536" t="s">
        <v>8321</v>
      </c>
      <c r="B4672" s="162" t="s">
        <v>8322</v>
      </c>
      <c r="C4672" s="168" t="s">
        <v>13637</v>
      </c>
      <c r="D4672" s="162" t="s">
        <v>6838</v>
      </c>
      <c r="E4672" s="406" t="s">
        <v>13638</v>
      </c>
      <c r="F4672" s="406" t="s">
        <v>13533</v>
      </c>
      <c r="G4672" s="386" t="s">
        <v>13639</v>
      </c>
      <c r="H4672" s="162" t="s">
        <v>13640</v>
      </c>
      <c r="I4672" s="162" t="s">
        <v>16458</v>
      </c>
      <c r="J4672" s="162" t="s">
        <v>16459</v>
      </c>
      <c r="K4672" s="386" t="s">
        <v>16468</v>
      </c>
      <c r="L4672" s="162" t="s">
        <v>16469</v>
      </c>
      <c r="N4672"/>
      <c r="O4672" s="3"/>
      <c r="P4672" s="3"/>
      <c r="Q4672" s="3"/>
      <c r="R4672" s="3"/>
      <c r="S4672" s="3"/>
      <c r="T4672" t="s">
        <v>4115</v>
      </c>
      <c r="U4672" t="str">
        <f>VLOOKUP(T4672,[8]Votes!$A$1:$E$234,3,FALSE)</f>
        <v>309 National Identification and Registration Authority (NIRA)</v>
      </c>
      <c r="V4672" t="s">
        <v>16470</v>
      </c>
      <c r="W4672" s="407">
        <v>1</v>
      </c>
      <c r="X4672" s="407">
        <v>0</v>
      </c>
      <c r="Y4672" s="407">
        <v>0</v>
      </c>
      <c r="Z4672" s="407">
        <v>1</v>
      </c>
      <c r="AA4672" s="407">
        <v>1</v>
      </c>
      <c r="AB4672" s="407">
        <v>0</v>
      </c>
      <c r="AC4672" s="150">
        <v>0</v>
      </c>
      <c r="AD4672" s="150">
        <v>0</v>
      </c>
      <c r="AE4672" s="49">
        <f t="shared" si="168"/>
        <v>0.375</v>
      </c>
      <c r="AF4672" s="190"/>
      <c r="AG4672" s="17">
        <v>0</v>
      </c>
      <c r="AH4672" s="190">
        <v>0</v>
      </c>
      <c r="AI4672" s="190">
        <v>0</v>
      </c>
      <c r="AJ4672" s="44">
        <v>4.4000000000000004</v>
      </c>
      <c r="AK4672" s="151"/>
      <c r="AL4672" s="191"/>
      <c r="AM4672" s="17">
        <f t="shared" si="169"/>
        <v>0</v>
      </c>
      <c r="AN4672" s="162" t="s">
        <v>4115</v>
      </c>
      <c r="AO4672" s="162" t="s">
        <v>4116</v>
      </c>
    </row>
    <row r="4673" spans="1:41" s="162" customFormat="1" x14ac:dyDescent="0.3">
      <c r="A4673" s="536" t="s">
        <v>8321</v>
      </c>
      <c r="B4673" s="162" t="s">
        <v>8322</v>
      </c>
      <c r="C4673" s="168" t="s">
        <v>13637</v>
      </c>
      <c r="D4673" s="162" t="s">
        <v>6838</v>
      </c>
      <c r="E4673" s="406" t="s">
        <v>13638</v>
      </c>
      <c r="F4673" s="406" t="s">
        <v>13533</v>
      </c>
      <c r="G4673" s="386" t="s">
        <v>13639</v>
      </c>
      <c r="H4673" s="162" t="s">
        <v>13640</v>
      </c>
      <c r="K4673" s="386" t="s">
        <v>16471</v>
      </c>
      <c r="L4673" s="162" t="s">
        <v>14517</v>
      </c>
      <c r="M4673" s="162" t="s">
        <v>16472</v>
      </c>
      <c r="O4673" s="224">
        <v>0</v>
      </c>
      <c r="P4673" s="224">
        <v>0</v>
      </c>
      <c r="Q4673" s="224">
        <v>435</v>
      </c>
      <c r="R4673" s="224">
        <v>460</v>
      </c>
      <c r="S4673" s="224">
        <v>500</v>
      </c>
      <c r="T4673" s="223" t="s">
        <v>4115</v>
      </c>
      <c r="U4673" t="str">
        <f>VLOOKUP(T4673,[8]Votes!$A$1:$E$234,3,FALSE)</f>
        <v>309 National Identification and Registration Authority (NIRA)</v>
      </c>
      <c r="V4673" s="162" t="s">
        <v>16473</v>
      </c>
      <c r="W4673" s="407">
        <v>1</v>
      </c>
      <c r="X4673" s="407">
        <v>0</v>
      </c>
      <c r="Y4673" s="407">
        <v>0</v>
      </c>
      <c r="Z4673" s="407">
        <v>1</v>
      </c>
      <c r="AA4673" s="407">
        <v>1</v>
      </c>
      <c r="AB4673" s="407">
        <v>0</v>
      </c>
      <c r="AC4673" s="150">
        <v>0</v>
      </c>
      <c r="AD4673" s="150">
        <v>0</v>
      </c>
      <c r="AE4673" s="49">
        <f t="shared" si="168"/>
        <v>0.375</v>
      </c>
      <c r="AF4673" s="190"/>
      <c r="AG4673" s="17">
        <v>0</v>
      </c>
      <c r="AH4673" s="190">
        <v>0</v>
      </c>
      <c r="AI4673" s="190">
        <v>0</v>
      </c>
      <c r="AJ4673" s="485">
        <v>1E-3</v>
      </c>
      <c r="AK4673" s="493">
        <v>1E-3</v>
      </c>
      <c r="AL4673" s="493">
        <v>5.0000000000000001E-4</v>
      </c>
      <c r="AM4673" s="17">
        <f t="shared" si="169"/>
        <v>1.5E-3</v>
      </c>
      <c r="AN4673" s="162" t="s">
        <v>4115</v>
      </c>
      <c r="AO4673" s="162" t="s">
        <v>4116</v>
      </c>
    </row>
    <row r="4674" spans="1:41" s="162" customFormat="1" x14ac:dyDescent="0.3">
      <c r="A4674" s="536" t="s">
        <v>8321</v>
      </c>
      <c r="B4674" s="162" t="s">
        <v>8322</v>
      </c>
      <c r="C4674" s="168" t="s">
        <v>13637</v>
      </c>
      <c r="D4674" s="162" t="s">
        <v>6838</v>
      </c>
      <c r="E4674" s="406" t="s">
        <v>13638</v>
      </c>
      <c r="F4674" s="406" t="s">
        <v>13533</v>
      </c>
      <c r="G4674" s="386" t="s">
        <v>13639</v>
      </c>
      <c r="H4674" s="162" t="s">
        <v>13640</v>
      </c>
      <c r="I4674" s="162" t="s">
        <v>16474</v>
      </c>
      <c r="J4674" s="162" t="s">
        <v>16475</v>
      </c>
      <c r="K4674" s="386" t="s">
        <v>16476</v>
      </c>
      <c r="L4674" s="162" t="s">
        <v>16477</v>
      </c>
      <c r="M4674" s="162" t="s">
        <v>16478</v>
      </c>
      <c r="O4674" s="224"/>
      <c r="P4674" s="492">
        <v>1</v>
      </c>
      <c r="Q4674" s="492">
        <v>1</v>
      </c>
      <c r="R4674" s="492">
        <v>1</v>
      </c>
      <c r="S4674" s="492">
        <v>1</v>
      </c>
      <c r="T4674" s="223" t="s">
        <v>13766</v>
      </c>
      <c r="U4674" t="str">
        <f>VLOOKUP(T4674,[8]Votes!$A$1:$E$234,3,FALSE)</f>
        <v>120 National Citizenship and Immigration Control</v>
      </c>
      <c r="V4674" s="162" t="s">
        <v>16479</v>
      </c>
      <c r="W4674" s="407">
        <v>1</v>
      </c>
      <c r="X4674" s="407">
        <v>0</v>
      </c>
      <c r="Y4674" s="407">
        <v>0</v>
      </c>
      <c r="Z4674" s="407">
        <v>1</v>
      </c>
      <c r="AA4674" s="407">
        <v>1</v>
      </c>
      <c r="AB4674" s="407">
        <v>0</v>
      </c>
      <c r="AC4674" s="150">
        <v>0</v>
      </c>
      <c r="AD4674" s="150">
        <v>0</v>
      </c>
      <c r="AE4674" s="49">
        <f t="shared" si="168"/>
        <v>0.375</v>
      </c>
      <c r="AF4674" s="485"/>
      <c r="AG4674" s="17">
        <v>0</v>
      </c>
      <c r="AH4674" s="485">
        <v>3.7</v>
      </c>
      <c r="AI4674" s="485">
        <v>3.7</v>
      </c>
      <c r="AJ4674" s="485">
        <v>4.2</v>
      </c>
      <c r="AK4674" s="493">
        <v>4.5</v>
      </c>
      <c r="AL4674" s="493">
        <v>5</v>
      </c>
      <c r="AM4674" s="17">
        <f t="shared" si="169"/>
        <v>9.5</v>
      </c>
      <c r="AN4674" s="162" t="s">
        <v>13766</v>
      </c>
      <c r="AO4674" s="162" t="s">
        <v>13768</v>
      </c>
    </row>
    <row r="4675" spans="1:41" s="162" customFormat="1" x14ac:dyDescent="0.3">
      <c r="A4675" s="536" t="s">
        <v>8321</v>
      </c>
      <c r="B4675" s="162" t="s">
        <v>8322</v>
      </c>
      <c r="C4675" s="168" t="s">
        <v>13637</v>
      </c>
      <c r="D4675" s="162" t="s">
        <v>16480</v>
      </c>
      <c r="E4675" s="406" t="s">
        <v>13638</v>
      </c>
      <c r="F4675" s="406" t="s">
        <v>13533</v>
      </c>
      <c r="G4675" s="386" t="s">
        <v>13639</v>
      </c>
      <c r="H4675" s="162" t="s">
        <v>16481</v>
      </c>
      <c r="I4675" s="162" t="s">
        <v>16474</v>
      </c>
      <c r="J4675" s="162" t="s">
        <v>16475</v>
      </c>
      <c r="K4675" s="386" t="s">
        <v>16482</v>
      </c>
      <c r="L4675" s="162" t="s">
        <v>16483</v>
      </c>
      <c r="M4675" s="162" t="s">
        <v>16484</v>
      </c>
      <c r="O4675" s="224"/>
      <c r="P4675" s="492">
        <v>1</v>
      </c>
      <c r="Q4675" s="492">
        <v>1</v>
      </c>
      <c r="R4675" s="492">
        <v>1</v>
      </c>
      <c r="S4675" s="492">
        <v>1</v>
      </c>
      <c r="T4675" s="223" t="s">
        <v>13766</v>
      </c>
      <c r="U4675" t="str">
        <f>VLOOKUP(T4675,[8]Votes!$A$1:$E$234,3,FALSE)</f>
        <v>120 National Citizenship and Immigration Control</v>
      </c>
      <c r="V4675" s="162" t="s">
        <v>16485</v>
      </c>
      <c r="W4675" s="407">
        <v>1</v>
      </c>
      <c r="X4675" s="407">
        <v>0</v>
      </c>
      <c r="Y4675" s="407">
        <v>0</v>
      </c>
      <c r="Z4675" s="407">
        <v>1</v>
      </c>
      <c r="AA4675" s="407">
        <v>1</v>
      </c>
      <c r="AB4675" s="407">
        <v>0</v>
      </c>
      <c r="AC4675" s="150">
        <v>0</v>
      </c>
      <c r="AD4675" s="150">
        <v>0</v>
      </c>
      <c r="AE4675" s="49">
        <f t="shared" si="168"/>
        <v>0.375</v>
      </c>
      <c r="AF4675" s="190"/>
      <c r="AG4675" s="17">
        <v>0</v>
      </c>
      <c r="AH4675" s="190">
        <v>0</v>
      </c>
      <c r="AI4675" s="485">
        <v>0.22</v>
      </c>
      <c r="AJ4675" s="485">
        <v>0.5</v>
      </c>
      <c r="AK4675" s="493">
        <v>0.6</v>
      </c>
      <c r="AL4675" s="493">
        <v>0.6</v>
      </c>
      <c r="AM4675" s="17">
        <f t="shared" si="169"/>
        <v>1.2</v>
      </c>
      <c r="AN4675" s="162" t="s">
        <v>13766</v>
      </c>
      <c r="AO4675" s="162" t="s">
        <v>13768</v>
      </c>
    </row>
    <row r="4676" spans="1:41" s="162" customFormat="1" x14ac:dyDescent="0.3">
      <c r="A4676" s="536" t="s">
        <v>8321</v>
      </c>
      <c r="B4676" s="162" t="s">
        <v>8322</v>
      </c>
      <c r="C4676" s="168" t="s">
        <v>13637</v>
      </c>
      <c r="D4676" s="162" t="s">
        <v>6838</v>
      </c>
      <c r="E4676" s="406" t="s">
        <v>13638</v>
      </c>
      <c r="F4676" s="406" t="s">
        <v>13533</v>
      </c>
      <c r="G4676" s="386" t="s">
        <v>13639</v>
      </c>
      <c r="H4676" s="162" t="s">
        <v>16481</v>
      </c>
      <c r="K4676" s="386" t="s">
        <v>16434</v>
      </c>
      <c r="L4676" s="162" t="s">
        <v>16435</v>
      </c>
      <c r="M4676" s="162" t="s">
        <v>16486</v>
      </c>
      <c r="O4676" s="224">
        <v>4</v>
      </c>
      <c r="P4676" s="224">
        <v>4</v>
      </c>
      <c r="Q4676" s="224">
        <v>4</v>
      </c>
      <c r="R4676" s="224">
        <v>4</v>
      </c>
      <c r="S4676" s="224">
        <v>4</v>
      </c>
      <c r="T4676" s="223" t="s">
        <v>13766</v>
      </c>
      <c r="U4676" t="str">
        <f>VLOOKUP(T4676,[8]Votes!$A$1:$E$234,3,FALSE)</f>
        <v>120 National Citizenship and Immigration Control</v>
      </c>
      <c r="V4676" s="162" t="s">
        <v>16487</v>
      </c>
      <c r="W4676" s="407">
        <v>1</v>
      </c>
      <c r="X4676" s="407">
        <v>0</v>
      </c>
      <c r="Y4676" s="407">
        <v>0</v>
      </c>
      <c r="Z4676" s="407">
        <v>1</v>
      </c>
      <c r="AA4676" s="407">
        <v>1</v>
      </c>
      <c r="AB4676" s="407">
        <v>0</v>
      </c>
      <c r="AC4676" s="150">
        <v>0</v>
      </c>
      <c r="AD4676" s="150">
        <v>0</v>
      </c>
      <c r="AE4676" s="49">
        <f t="shared" si="168"/>
        <v>0.375</v>
      </c>
      <c r="AF4676" s="485"/>
      <c r="AG4676" s="17">
        <v>0</v>
      </c>
      <c r="AH4676" s="485">
        <v>0.19</v>
      </c>
      <c r="AI4676" s="485">
        <v>0.193</v>
      </c>
      <c r="AJ4676" s="485">
        <v>0.28999999999999998</v>
      </c>
      <c r="AK4676" s="493">
        <v>0.3</v>
      </c>
      <c r="AL4676" s="493">
        <v>0.3</v>
      </c>
      <c r="AM4676" s="17">
        <f t="shared" si="169"/>
        <v>0.6</v>
      </c>
      <c r="AN4676" s="162" t="s">
        <v>13766</v>
      </c>
      <c r="AO4676" s="162" t="s">
        <v>13768</v>
      </c>
    </row>
    <row r="4677" spans="1:41" s="162" customFormat="1" x14ac:dyDescent="0.3">
      <c r="A4677" s="536" t="s">
        <v>8321</v>
      </c>
      <c r="B4677" s="162" t="s">
        <v>8322</v>
      </c>
      <c r="C4677" s="168" t="s">
        <v>13637</v>
      </c>
      <c r="D4677" s="162" t="s">
        <v>16488</v>
      </c>
      <c r="E4677" s="406" t="s">
        <v>13638</v>
      </c>
      <c r="F4677" s="406" t="s">
        <v>13533</v>
      </c>
      <c r="G4677" s="386" t="s">
        <v>13658</v>
      </c>
      <c r="H4677" s="162" t="s">
        <v>13659</v>
      </c>
      <c r="K4677" s="386" t="s">
        <v>16489</v>
      </c>
      <c r="L4677" s="162" t="s">
        <v>16490</v>
      </c>
      <c r="M4677" s="162" t="s">
        <v>16491</v>
      </c>
      <c r="O4677" s="224">
        <v>4</v>
      </c>
      <c r="P4677" s="224">
        <v>4</v>
      </c>
      <c r="Q4677" s="224">
        <v>4</v>
      </c>
      <c r="R4677" s="224">
        <v>4</v>
      </c>
      <c r="S4677" s="224">
        <v>4</v>
      </c>
      <c r="T4677" s="223" t="s">
        <v>13766</v>
      </c>
      <c r="U4677" t="str">
        <f>VLOOKUP(T4677,[8]Votes!$A$1:$E$234,3,FALSE)</f>
        <v>120 National Citizenship and Immigration Control</v>
      </c>
      <c r="V4677" s="162" t="s">
        <v>16492</v>
      </c>
      <c r="W4677" s="407">
        <v>0</v>
      </c>
      <c r="X4677" s="407">
        <v>0</v>
      </c>
      <c r="Y4677" s="407">
        <v>0</v>
      </c>
      <c r="Z4677" s="407">
        <v>1</v>
      </c>
      <c r="AA4677" s="407">
        <v>1</v>
      </c>
      <c r="AB4677" s="407">
        <v>0</v>
      </c>
      <c r="AC4677" s="150">
        <v>0</v>
      </c>
      <c r="AD4677" s="150">
        <v>0</v>
      </c>
      <c r="AE4677" s="49">
        <f t="shared" si="168"/>
        <v>0.25</v>
      </c>
      <c r="AF4677" s="190"/>
      <c r="AG4677" s="17">
        <v>0</v>
      </c>
      <c r="AH4677" s="190">
        <v>0</v>
      </c>
      <c r="AI4677" s="190">
        <v>0</v>
      </c>
      <c r="AJ4677" s="485">
        <v>0.26</v>
      </c>
      <c r="AK4677" s="493">
        <v>0.28000000000000003</v>
      </c>
      <c r="AL4677" s="493">
        <v>0.3</v>
      </c>
      <c r="AM4677" s="17">
        <f t="shared" si="169"/>
        <v>0.58000000000000007</v>
      </c>
      <c r="AN4677" s="162" t="s">
        <v>13766</v>
      </c>
      <c r="AO4677" s="162" t="s">
        <v>13768</v>
      </c>
    </row>
    <row r="4678" spans="1:41" s="162" customFormat="1" x14ac:dyDescent="0.3">
      <c r="A4678" s="536" t="s">
        <v>8321</v>
      </c>
      <c r="B4678" s="162" t="s">
        <v>8322</v>
      </c>
      <c r="C4678" s="168" t="s">
        <v>13637</v>
      </c>
      <c r="D4678" s="162" t="s">
        <v>6838</v>
      </c>
      <c r="E4678" s="406" t="s">
        <v>13638</v>
      </c>
      <c r="F4678" s="406" t="s">
        <v>13533</v>
      </c>
      <c r="G4678" s="386" t="s">
        <v>13639</v>
      </c>
      <c r="H4678" s="162" t="s">
        <v>13640</v>
      </c>
      <c r="K4678" s="386" t="s">
        <v>16471</v>
      </c>
      <c r="L4678" s="162" t="s">
        <v>14517</v>
      </c>
      <c r="M4678" s="162" t="s">
        <v>16493</v>
      </c>
      <c r="O4678" s="492">
        <v>0.33</v>
      </c>
      <c r="P4678" s="492">
        <v>0.42</v>
      </c>
      <c r="Q4678" s="492">
        <v>0.61</v>
      </c>
      <c r="R4678" s="492">
        <v>0.8</v>
      </c>
      <c r="S4678" s="492">
        <v>1</v>
      </c>
      <c r="T4678" s="223" t="s">
        <v>13766</v>
      </c>
      <c r="U4678" t="str">
        <f>VLOOKUP(T4678,[8]Votes!$A$1:$E$234,3,FALSE)</f>
        <v>120 National Citizenship and Immigration Control</v>
      </c>
      <c r="V4678" s="162" t="s">
        <v>16494</v>
      </c>
      <c r="W4678" s="407">
        <v>1</v>
      </c>
      <c r="X4678" s="407">
        <v>0</v>
      </c>
      <c r="Y4678" s="407">
        <v>0</v>
      </c>
      <c r="Z4678" s="407">
        <v>1</v>
      </c>
      <c r="AA4678" s="407">
        <v>1</v>
      </c>
      <c r="AB4678" s="407">
        <v>0</v>
      </c>
      <c r="AC4678" s="150">
        <v>0</v>
      </c>
      <c r="AD4678" s="150">
        <v>0</v>
      </c>
      <c r="AE4678" s="49">
        <f t="shared" si="168"/>
        <v>0.375</v>
      </c>
      <c r="AF4678" s="190"/>
      <c r="AG4678" s="17">
        <v>0</v>
      </c>
      <c r="AH4678" s="190">
        <v>0</v>
      </c>
      <c r="AI4678" s="485">
        <v>2.5</v>
      </c>
      <c r="AJ4678" s="485">
        <v>2.5</v>
      </c>
      <c r="AK4678" s="493">
        <v>2.5</v>
      </c>
      <c r="AL4678" s="493">
        <v>1.25</v>
      </c>
      <c r="AM4678" s="17">
        <f t="shared" si="169"/>
        <v>3.75</v>
      </c>
      <c r="AN4678" s="162" t="s">
        <v>13766</v>
      </c>
      <c r="AO4678" s="162" t="s">
        <v>13768</v>
      </c>
    </row>
    <row r="4679" spans="1:41" s="162" customFormat="1" x14ac:dyDescent="0.3">
      <c r="A4679" s="536" t="s">
        <v>8321</v>
      </c>
      <c r="B4679" s="162" t="s">
        <v>8322</v>
      </c>
      <c r="C4679" s="168" t="s">
        <v>13637</v>
      </c>
      <c r="D4679" s="162" t="s">
        <v>6838</v>
      </c>
      <c r="E4679" s="406" t="s">
        <v>13638</v>
      </c>
      <c r="F4679" s="406" t="s">
        <v>13533</v>
      </c>
      <c r="G4679" s="386" t="s">
        <v>13639</v>
      </c>
      <c r="H4679" s="162" t="s">
        <v>13640</v>
      </c>
      <c r="K4679" s="386" t="s">
        <v>16495</v>
      </c>
      <c r="L4679" s="162" t="s">
        <v>14548</v>
      </c>
      <c r="M4679" s="162" t="s">
        <v>16496</v>
      </c>
      <c r="N4679" s="462"/>
      <c r="O4679" s="492">
        <v>0.97</v>
      </c>
      <c r="P4679" s="492">
        <v>1</v>
      </c>
      <c r="Q4679" s="492">
        <v>1</v>
      </c>
      <c r="R4679" s="492">
        <v>1</v>
      </c>
      <c r="S4679" s="492">
        <v>1</v>
      </c>
      <c r="T4679" s="223" t="s">
        <v>13766</v>
      </c>
      <c r="U4679" t="str">
        <f>VLOOKUP(T4679,[8]Votes!$A$1:$E$234,3,FALSE)</f>
        <v>120 National Citizenship and Immigration Control</v>
      </c>
      <c r="V4679" s="162" t="s">
        <v>16497</v>
      </c>
      <c r="W4679" s="407">
        <v>1</v>
      </c>
      <c r="X4679" s="407">
        <v>0</v>
      </c>
      <c r="Y4679" s="407">
        <v>0</v>
      </c>
      <c r="Z4679" s="407">
        <v>1</v>
      </c>
      <c r="AA4679" s="407">
        <v>1</v>
      </c>
      <c r="AB4679" s="407">
        <v>0</v>
      </c>
      <c r="AC4679" s="150">
        <v>0</v>
      </c>
      <c r="AD4679" s="150">
        <v>0</v>
      </c>
      <c r="AE4679" s="49">
        <f t="shared" si="168"/>
        <v>0.375</v>
      </c>
      <c r="AF4679" s="190"/>
      <c r="AG4679" s="17">
        <v>0</v>
      </c>
      <c r="AH4679" s="190">
        <v>0</v>
      </c>
      <c r="AI4679" s="190">
        <v>0</v>
      </c>
      <c r="AJ4679" s="485">
        <v>0.31</v>
      </c>
      <c r="AK4679" s="493">
        <v>0.34</v>
      </c>
      <c r="AL4679" s="493">
        <v>0.37</v>
      </c>
      <c r="AM4679" s="17">
        <f t="shared" si="169"/>
        <v>0.71</v>
      </c>
      <c r="AN4679" s="162" t="s">
        <v>13766</v>
      </c>
      <c r="AO4679" s="162" t="s">
        <v>13768</v>
      </c>
    </row>
    <row r="4680" spans="1:41" s="162" customFormat="1" x14ac:dyDescent="0.3">
      <c r="A4680" s="536" t="s">
        <v>8321</v>
      </c>
      <c r="B4680" s="162" t="s">
        <v>8322</v>
      </c>
      <c r="C4680" s="168" t="s">
        <v>13637</v>
      </c>
      <c r="D4680" s="162" t="s">
        <v>6838</v>
      </c>
      <c r="E4680" s="406" t="s">
        <v>13638</v>
      </c>
      <c r="F4680" s="406" t="s">
        <v>13533</v>
      </c>
      <c r="G4680" s="386" t="s">
        <v>13639</v>
      </c>
      <c r="H4680" s="162" t="s">
        <v>13640</v>
      </c>
      <c r="K4680" s="386" t="s">
        <v>16498</v>
      </c>
      <c r="L4680" s="162" t="s">
        <v>16499</v>
      </c>
      <c r="M4680" s="162" t="s">
        <v>16500</v>
      </c>
      <c r="N4680" s="462"/>
      <c r="O4680" s="492"/>
      <c r="P4680" s="492"/>
      <c r="Q4680" s="492">
        <v>1</v>
      </c>
      <c r="R4680" s="492">
        <v>1</v>
      </c>
      <c r="S4680" s="492">
        <v>1</v>
      </c>
      <c r="T4680" s="223" t="s">
        <v>13766</v>
      </c>
      <c r="U4680" t="str">
        <f>VLOOKUP(T4680,[8]Votes!$A$1:$E$234,3,FALSE)</f>
        <v>120 National Citizenship and Immigration Control</v>
      </c>
      <c r="V4680" s="162" t="s">
        <v>16501</v>
      </c>
      <c r="W4680" s="407">
        <v>1</v>
      </c>
      <c r="X4680" s="407">
        <v>0</v>
      </c>
      <c r="Y4680" s="407">
        <v>0</v>
      </c>
      <c r="Z4680" s="407">
        <v>1</v>
      </c>
      <c r="AA4680" s="407">
        <v>1</v>
      </c>
      <c r="AB4680" s="407">
        <v>0</v>
      </c>
      <c r="AC4680" s="150">
        <v>0</v>
      </c>
      <c r="AD4680" s="150">
        <v>0</v>
      </c>
      <c r="AE4680" s="49">
        <f t="shared" si="168"/>
        <v>0.375</v>
      </c>
      <c r="AF4680" s="190"/>
      <c r="AG4680" s="17">
        <v>0</v>
      </c>
      <c r="AH4680" s="190">
        <v>0</v>
      </c>
      <c r="AI4680" s="190">
        <v>0</v>
      </c>
      <c r="AJ4680" s="485">
        <v>0.3</v>
      </c>
      <c r="AK4680" s="493">
        <v>0.35</v>
      </c>
      <c r="AL4680" s="493">
        <v>0.36</v>
      </c>
      <c r="AM4680" s="17">
        <f t="shared" si="169"/>
        <v>0.71</v>
      </c>
      <c r="AN4680" s="162" t="s">
        <v>13766</v>
      </c>
      <c r="AO4680" s="162" t="s">
        <v>13768</v>
      </c>
    </row>
    <row r="4681" spans="1:41" s="162" customFormat="1" x14ac:dyDescent="0.3">
      <c r="A4681" s="536" t="s">
        <v>8321</v>
      </c>
      <c r="B4681" s="162" t="s">
        <v>8322</v>
      </c>
      <c r="C4681" s="168" t="s">
        <v>13637</v>
      </c>
      <c r="D4681" s="162" t="s">
        <v>6838</v>
      </c>
      <c r="E4681" s="406" t="s">
        <v>13638</v>
      </c>
      <c r="F4681" s="406" t="s">
        <v>13533</v>
      </c>
      <c r="G4681" s="386" t="s">
        <v>13639</v>
      </c>
      <c r="H4681" s="162" t="s">
        <v>13640</v>
      </c>
      <c r="K4681" s="386" t="s">
        <v>16502</v>
      </c>
      <c r="L4681" s="162" t="s">
        <v>16503</v>
      </c>
      <c r="M4681" s="162" t="s">
        <v>16504</v>
      </c>
      <c r="N4681" s="462"/>
      <c r="O4681" s="492"/>
      <c r="P4681" s="492">
        <v>1</v>
      </c>
      <c r="Q4681" s="492">
        <v>1</v>
      </c>
      <c r="R4681" s="492">
        <v>1</v>
      </c>
      <c r="S4681" s="492">
        <v>1</v>
      </c>
      <c r="T4681" s="223" t="s">
        <v>13766</v>
      </c>
      <c r="U4681" t="str">
        <f>VLOOKUP(T4681,[8]Votes!$A$1:$E$234,3,FALSE)</f>
        <v>120 National Citizenship and Immigration Control</v>
      </c>
      <c r="V4681" s="162" t="s">
        <v>16505</v>
      </c>
      <c r="W4681" s="407">
        <v>1</v>
      </c>
      <c r="X4681" s="407">
        <v>0</v>
      </c>
      <c r="Y4681" s="407">
        <v>0</v>
      </c>
      <c r="Z4681" s="407">
        <v>1</v>
      </c>
      <c r="AA4681" s="407">
        <v>1</v>
      </c>
      <c r="AB4681" s="407">
        <v>0</v>
      </c>
      <c r="AC4681" s="150">
        <v>0</v>
      </c>
      <c r="AD4681" s="150">
        <v>0</v>
      </c>
      <c r="AE4681" s="49">
        <f t="shared" si="168"/>
        <v>0.375</v>
      </c>
      <c r="AF4681" s="190"/>
      <c r="AG4681" s="17">
        <v>0</v>
      </c>
      <c r="AH4681" s="190">
        <v>0</v>
      </c>
      <c r="AI4681" s="190">
        <v>0</v>
      </c>
      <c r="AJ4681" s="485">
        <v>0.52</v>
      </c>
      <c r="AK4681" s="493">
        <v>0.55000000000000004</v>
      </c>
      <c r="AL4681" s="493">
        <v>0.57999999999999996</v>
      </c>
      <c r="AM4681" s="17">
        <f t="shared" si="169"/>
        <v>1.1299999999999999</v>
      </c>
      <c r="AN4681" s="162" t="s">
        <v>13766</v>
      </c>
      <c r="AO4681" s="162" t="s">
        <v>13768</v>
      </c>
    </row>
    <row r="4682" spans="1:41" s="162" customFormat="1" x14ac:dyDescent="0.3">
      <c r="A4682" s="536" t="s">
        <v>8321</v>
      </c>
      <c r="B4682" s="162" t="s">
        <v>8322</v>
      </c>
      <c r="C4682" s="168" t="s">
        <v>13637</v>
      </c>
      <c r="D4682" s="162" t="s">
        <v>6838</v>
      </c>
      <c r="E4682" s="406" t="s">
        <v>13638</v>
      </c>
      <c r="F4682" s="406" t="s">
        <v>13533</v>
      </c>
      <c r="G4682" s="386" t="s">
        <v>13716</v>
      </c>
      <c r="H4682" s="162" t="s">
        <v>13717</v>
      </c>
      <c r="K4682" s="386" t="s">
        <v>16245</v>
      </c>
      <c r="L4682" s="162" t="s">
        <v>16246</v>
      </c>
      <c r="M4682" s="162" t="s">
        <v>16506</v>
      </c>
      <c r="N4682" s="462"/>
      <c r="O4682" s="492"/>
      <c r="P4682" s="506">
        <v>698</v>
      </c>
      <c r="Q4682" s="224">
        <v>698</v>
      </c>
      <c r="R4682" s="224">
        <v>698</v>
      </c>
      <c r="S4682" s="224">
        <v>698</v>
      </c>
      <c r="T4682" s="223" t="s">
        <v>13766</v>
      </c>
      <c r="U4682" t="str">
        <f>VLOOKUP(T4682,[8]Votes!$A$1:$E$234,3,FALSE)</f>
        <v>120 National Citizenship and Immigration Control</v>
      </c>
      <c r="V4682" s="162" t="s">
        <v>16507</v>
      </c>
      <c r="W4682" s="501"/>
      <c r="X4682" s="501"/>
      <c r="Y4682" s="501"/>
      <c r="Z4682" s="501"/>
      <c r="AA4682" s="501"/>
      <c r="AB4682" s="501"/>
      <c r="AC4682" s="150">
        <v>0</v>
      </c>
      <c r="AD4682" s="150">
        <v>0</v>
      </c>
      <c r="AE4682" s="49">
        <f t="shared" si="168"/>
        <v>0</v>
      </c>
      <c r="AF4682" s="485"/>
      <c r="AG4682" s="17">
        <v>0</v>
      </c>
      <c r="AH4682" s="485">
        <v>5.4</v>
      </c>
      <c r="AI4682" s="485">
        <v>6.2</v>
      </c>
      <c r="AJ4682" s="485">
        <v>7.1</v>
      </c>
      <c r="AK4682" s="493">
        <v>0</v>
      </c>
      <c r="AL4682" s="493">
        <v>0</v>
      </c>
      <c r="AM4682" s="17">
        <f t="shared" si="169"/>
        <v>0</v>
      </c>
      <c r="AN4682" s="162" t="s">
        <v>13766</v>
      </c>
      <c r="AO4682" s="162" t="s">
        <v>13768</v>
      </c>
    </row>
    <row r="4683" spans="1:41" s="162" customFormat="1" x14ac:dyDescent="0.3">
      <c r="A4683" s="536" t="s">
        <v>8321</v>
      </c>
      <c r="B4683" s="162" t="s">
        <v>8322</v>
      </c>
      <c r="C4683" s="168" t="s">
        <v>13637</v>
      </c>
      <c r="D4683" s="162" t="s">
        <v>6838</v>
      </c>
      <c r="E4683" s="406" t="s">
        <v>13638</v>
      </c>
      <c r="F4683" s="406" t="s">
        <v>13533</v>
      </c>
      <c r="G4683" s="386" t="s">
        <v>13639</v>
      </c>
      <c r="H4683" s="162" t="s">
        <v>13640</v>
      </c>
      <c r="K4683" s="386" t="s">
        <v>16508</v>
      </c>
      <c r="L4683" s="162" t="s">
        <v>16509</v>
      </c>
      <c r="M4683" s="162" t="s">
        <v>16510</v>
      </c>
      <c r="N4683" s="462"/>
      <c r="O4683" s="506">
        <v>1</v>
      </c>
      <c r="P4683" s="506">
        <v>1</v>
      </c>
      <c r="Q4683" s="506">
        <v>1</v>
      </c>
      <c r="R4683" s="506">
        <v>1</v>
      </c>
      <c r="S4683" s="506">
        <v>1</v>
      </c>
      <c r="T4683" s="223" t="s">
        <v>13766</v>
      </c>
      <c r="U4683" t="str">
        <f>VLOOKUP(T4683,[8]Votes!$A$1:$E$234,3,FALSE)</f>
        <v>120 National Citizenship and Immigration Control</v>
      </c>
      <c r="V4683" s="162" t="s">
        <v>16511</v>
      </c>
      <c r="W4683" s="407">
        <v>1</v>
      </c>
      <c r="X4683" s="407">
        <v>0</v>
      </c>
      <c r="Y4683" s="407">
        <v>0</v>
      </c>
      <c r="Z4683" s="407">
        <v>1</v>
      </c>
      <c r="AA4683" s="407">
        <v>1</v>
      </c>
      <c r="AB4683" s="407">
        <v>0</v>
      </c>
      <c r="AC4683" s="150">
        <v>0</v>
      </c>
      <c r="AD4683" s="150">
        <v>0</v>
      </c>
      <c r="AE4683" s="49">
        <f t="shared" si="168"/>
        <v>0.375</v>
      </c>
      <c r="AF4683" s="485"/>
      <c r="AG4683" s="17">
        <v>0</v>
      </c>
      <c r="AH4683" s="485">
        <v>6.5</v>
      </c>
      <c r="AI4683" s="485">
        <v>6.7</v>
      </c>
      <c r="AJ4683" s="485">
        <v>7</v>
      </c>
      <c r="AK4683" s="493">
        <v>7.5</v>
      </c>
      <c r="AL4683" s="493">
        <v>8</v>
      </c>
      <c r="AM4683" s="17">
        <f t="shared" si="169"/>
        <v>15.5</v>
      </c>
      <c r="AN4683" s="162" t="s">
        <v>13766</v>
      </c>
      <c r="AO4683" s="162" t="s">
        <v>13768</v>
      </c>
    </row>
    <row r="4684" spans="1:41" s="162" customFormat="1" x14ac:dyDescent="0.3">
      <c r="A4684" s="536" t="s">
        <v>8321</v>
      </c>
      <c r="B4684" s="162" t="s">
        <v>8322</v>
      </c>
      <c r="C4684" s="168" t="s">
        <v>13637</v>
      </c>
      <c r="D4684" s="162" t="s">
        <v>6838</v>
      </c>
      <c r="E4684" s="406" t="s">
        <v>13638</v>
      </c>
      <c r="F4684" s="406" t="s">
        <v>13533</v>
      </c>
      <c r="G4684" s="386" t="s">
        <v>13639</v>
      </c>
      <c r="H4684" s="162" t="s">
        <v>13640</v>
      </c>
      <c r="I4684" s="162" t="s">
        <v>16512</v>
      </c>
      <c r="J4684" s="162" t="s">
        <v>16513</v>
      </c>
      <c r="K4684" s="386" t="s">
        <v>16514</v>
      </c>
      <c r="L4684" s="162" t="s">
        <v>14517</v>
      </c>
      <c r="M4684" s="1" t="s">
        <v>16515</v>
      </c>
      <c r="N4684">
        <v>0</v>
      </c>
      <c r="O4684" s="3">
        <v>0</v>
      </c>
      <c r="P4684" s="3">
        <v>0</v>
      </c>
      <c r="Q4684" s="380">
        <v>0.3</v>
      </c>
      <c r="R4684" s="380">
        <v>0.9</v>
      </c>
      <c r="S4684" s="380">
        <v>1</v>
      </c>
      <c r="T4684" s="223" t="s">
        <v>3875</v>
      </c>
      <c r="U4684" t="str">
        <f>VLOOKUP(T4684,[8]Votes!$A$1:$E$234,3,FALSE)</f>
        <v>007 Ministry of Justice and Constitutional Affairs</v>
      </c>
      <c r="V4684" s="223" t="s">
        <v>16516</v>
      </c>
      <c r="W4684" s="407">
        <v>1</v>
      </c>
      <c r="X4684" s="407">
        <v>0</v>
      </c>
      <c r="Y4684" s="407">
        <v>0</v>
      </c>
      <c r="Z4684" s="407">
        <v>1</v>
      </c>
      <c r="AA4684" s="407">
        <v>1</v>
      </c>
      <c r="AB4684" s="407">
        <v>0</v>
      </c>
      <c r="AC4684" s="150">
        <v>0</v>
      </c>
      <c r="AD4684" s="150">
        <v>1</v>
      </c>
      <c r="AE4684" s="49">
        <f t="shared" si="168"/>
        <v>0.5</v>
      </c>
      <c r="AF4684" s="190"/>
      <c r="AG4684" s="17">
        <v>0</v>
      </c>
      <c r="AH4684" s="190">
        <v>0</v>
      </c>
      <c r="AI4684" s="190">
        <v>0</v>
      </c>
      <c r="AJ4684" s="44">
        <v>1.2</v>
      </c>
      <c r="AK4684" s="151">
        <v>0</v>
      </c>
      <c r="AL4684" s="151">
        <v>0</v>
      </c>
      <c r="AM4684" s="17">
        <f t="shared" si="169"/>
        <v>0</v>
      </c>
      <c r="AN4684" s="223" t="s">
        <v>3875</v>
      </c>
      <c r="AO4684" s="162" t="s">
        <v>3877</v>
      </c>
    </row>
    <row r="4685" spans="1:41" s="162" customFormat="1" x14ac:dyDescent="0.3">
      <c r="A4685" s="536" t="s">
        <v>8321</v>
      </c>
      <c r="B4685" s="162" t="s">
        <v>8322</v>
      </c>
      <c r="C4685" s="168" t="s">
        <v>13637</v>
      </c>
      <c r="D4685" s="162" t="s">
        <v>6838</v>
      </c>
      <c r="E4685" s="406" t="s">
        <v>13638</v>
      </c>
      <c r="F4685" s="406" t="s">
        <v>13533</v>
      </c>
      <c r="G4685" s="386" t="s">
        <v>13639</v>
      </c>
      <c r="H4685" s="162" t="s">
        <v>13640</v>
      </c>
      <c r="K4685" s="386" t="s">
        <v>16495</v>
      </c>
      <c r="L4685" s="162" t="s">
        <v>14548</v>
      </c>
      <c r="M4685" s="162" t="s">
        <v>16517</v>
      </c>
      <c r="O4685" s="224">
        <v>4</v>
      </c>
      <c r="P4685" s="224">
        <v>4</v>
      </c>
      <c r="Q4685" s="224">
        <v>4</v>
      </c>
      <c r="R4685" s="224">
        <v>4</v>
      </c>
      <c r="S4685" s="224">
        <v>4</v>
      </c>
      <c r="T4685" s="223" t="s">
        <v>13755</v>
      </c>
      <c r="U4685" t="str">
        <f>VLOOKUP(T4685,[8]Votes!$A$1:$E$234,3,FALSE)</f>
        <v>159 External Security Organisation</v>
      </c>
      <c r="V4685" s="162" t="s">
        <v>16518</v>
      </c>
      <c r="W4685" s="407">
        <v>1</v>
      </c>
      <c r="X4685" s="407">
        <v>0</v>
      </c>
      <c r="Y4685" s="407">
        <v>0</v>
      </c>
      <c r="Z4685" s="407">
        <v>1</v>
      </c>
      <c r="AA4685" s="407">
        <v>1</v>
      </c>
      <c r="AB4685" s="407">
        <v>0</v>
      </c>
      <c r="AC4685" s="150">
        <v>0</v>
      </c>
      <c r="AD4685" s="150">
        <v>1</v>
      </c>
      <c r="AE4685" s="49">
        <f t="shared" si="168"/>
        <v>0.5</v>
      </c>
      <c r="AF4685" s="485"/>
      <c r="AG4685" s="17">
        <v>0</v>
      </c>
      <c r="AH4685" s="485">
        <v>0.06</v>
      </c>
      <c r="AI4685" s="485">
        <v>0.09</v>
      </c>
      <c r="AJ4685" s="485">
        <v>0.13500000000000001</v>
      </c>
      <c r="AK4685" s="493">
        <v>0.20300000000000001</v>
      </c>
      <c r="AL4685" s="493">
        <v>0.30399999999999999</v>
      </c>
      <c r="AM4685" s="17">
        <f t="shared" si="169"/>
        <v>0.50700000000000001</v>
      </c>
      <c r="AN4685" s="162" t="s">
        <v>13755</v>
      </c>
      <c r="AO4685" s="162" t="s">
        <v>13757</v>
      </c>
    </row>
    <row r="4686" spans="1:41" s="162" customFormat="1" x14ac:dyDescent="0.3">
      <c r="A4686" s="536" t="s">
        <v>8321</v>
      </c>
      <c r="B4686" s="162" t="s">
        <v>8322</v>
      </c>
      <c r="C4686" s="168" t="s">
        <v>13637</v>
      </c>
      <c r="D4686" s="162" t="s">
        <v>6838</v>
      </c>
      <c r="E4686" s="406" t="s">
        <v>13638</v>
      </c>
      <c r="F4686" s="406" t="s">
        <v>13533</v>
      </c>
      <c r="G4686" s="386" t="s">
        <v>13639</v>
      </c>
      <c r="H4686" s="162" t="s">
        <v>13640</v>
      </c>
      <c r="K4686" s="386" t="s">
        <v>16495</v>
      </c>
      <c r="L4686" s="162" t="s">
        <v>14548</v>
      </c>
      <c r="M4686" s="162" t="s">
        <v>16519</v>
      </c>
      <c r="N4686" s="162">
        <v>6</v>
      </c>
      <c r="O4686" s="224">
        <v>6</v>
      </c>
      <c r="P4686" s="224">
        <v>6</v>
      </c>
      <c r="Q4686" s="224">
        <v>8</v>
      </c>
      <c r="R4686" s="224">
        <v>8</v>
      </c>
      <c r="S4686" s="224">
        <v>8</v>
      </c>
      <c r="T4686" s="223" t="s">
        <v>15085</v>
      </c>
      <c r="U4686" t="e">
        <f>VLOOKUP(T4686,[8]Votes!$A$1:$E$234,3,FALSE)</f>
        <v>#N/A</v>
      </c>
      <c r="V4686" s="162" t="s">
        <v>16520</v>
      </c>
      <c r="W4686" s="407">
        <v>0</v>
      </c>
      <c r="X4686" s="407">
        <v>0</v>
      </c>
      <c r="Y4686" s="407">
        <v>0</v>
      </c>
      <c r="Z4686" s="407">
        <v>0</v>
      </c>
      <c r="AA4686" s="407">
        <v>0</v>
      </c>
      <c r="AB4686" s="407">
        <v>0</v>
      </c>
      <c r="AC4686" s="150">
        <v>0</v>
      </c>
      <c r="AD4686" s="150">
        <v>0</v>
      </c>
      <c r="AE4686" s="49">
        <f t="shared" si="168"/>
        <v>0</v>
      </c>
      <c r="AF4686" s="485"/>
      <c r="AG4686" s="17">
        <v>0</v>
      </c>
      <c r="AH4686" s="485">
        <v>0.5</v>
      </c>
      <c r="AI4686" s="485">
        <v>2</v>
      </c>
      <c r="AJ4686" s="485">
        <v>2.5</v>
      </c>
      <c r="AK4686" s="493">
        <v>0</v>
      </c>
      <c r="AL4686" s="493">
        <v>0</v>
      </c>
      <c r="AM4686" s="17">
        <f t="shared" si="169"/>
        <v>0</v>
      </c>
      <c r="AN4686" s="162" t="s">
        <v>15072</v>
      </c>
      <c r="AO4686" s="162" t="s">
        <v>1776</v>
      </c>
    </row>
    <row r="4687" spans="1:41" s="162" customFormat="1" x14ac:dyDescent="0.3">
      <c r="A4687" s="536" t="s">
        <v>8321</v>
      </c>
      <c r="B4687" s="162" t="s">
        <v>8322</v>
      </c>
      <c r="C4687" s="168" t="s">
        <v>13637</v>
      </c>
      <c r="D4687" s="162" t="s">
        <v>6838</v>
      </c>
      <c r="E4687" s="406" t="s">
        <v>13638</v>
      </c>
      <c r="F4687" s="406" t="s">
        <v>13533</v>
      </c>
      <c r="G4687" s="386" t="s">
        <v>13639</v>
      </c>
      <c r="H4687" s="162" t="s">
        <v>13640</v>
      </c>
      <c r="K4687" s="386" t="s">
        <v>16521</v>
      </c>
      <c r="L4687" s="162" t="s">
        <v>16522</v>
      </c>
      <c r="M4687" s="162" t="s">
        <v>16523</v>
      </c>
      <c r="O4687" s="224">
        <v>3.65</v>
      </c>
      <c r="P4687" s="224">
        <v>5</v>
      </c>
      <c r="Q4687" s="224">
        <v>5.25</v>
      </c>
      <c r="R4687" s="224">
        <v>5.78</v>
      </c>
      <c r="S4687" s="224">
        <v>6.07</v>
      </c>
      <c r="T4687" s="223" t="s">
        <v>13755</v>
      </c>
      <c r="U4687" t="str">
        <f>VLOOKUP(T4687,[8]Votes!$A$1:$E$234,3,FALSE)</f>
        <v>159 External Security Organisation</v>
      </c>
      <c r="V4687" s="162" t="s">
        <v>16524</v>
      </c>
      <c r="W4687" s="407">
        <v>1</v>
      </c>
      <c r="X4687" s="407">
        <v>1</v>
      </c>
      <c r="Y4687" s="407">
        <v>1</v>
      </c>
      <c r="Z4687" s="407">
        <v>1</v>
      </c>
      <c r="AA4687" s="407">
        <v>1</v>
      </c>
      <c r="AB4687" s="407">
        <v>0</v>
      </c>
      <c r="AC4687" s="150">
        <v>1</v>
      </c>
      <c r="AD4687" s="150">
        <v>0</v>
      </c>
      <c r="AE4687" s="49">
        <f t="shared" si="168"/>
        <v>0.75</v>
      </c>
      <c r="AF4687" s="485">
        <v>1</v>
      </c>
      <c r="AG4687" s="17">
        <v>0</v>
      </c>
      <c r="AH4687" s="485">
        <v>3.65</v>
      </c>
      <c r="AI4687" s="485">
        <v>5</v>
      </c>
      <c r="AJ4687" s="485">
        <v>5.25</v>
      </c>
      <c r="AK4687" s="493">
        <v>2.78</v>
      </c>
      <c r="AL4687" s="493">
        <v>0.56999999999999995</v>
      </c>
      <c r="AM4687" s="17">
        <f t="shared" si="169"/>
        <v>3.3499999999999996</v>
      </c>
      <c r="AN4687" s="162" t="s">
        <v>13755</v>
      </c>
      <c r="AO4687" s="162" t="s">
        <v>13757</v>
      </c>
    </row>
    <row r="4688" spans="1:41" s="162" customFormat="1" x14ac:dyDescent="0.3">
      <c r="A4688" s="536" t="s">
        <v>8321</v>
      </c>
      <c r="B4688" s="162" t="s">
        <v>8322</v>
      </c>
      <c r="C4688" s="168" t="s">
        <v>13637</v>
      </c>
      <c r="D4688" s="162" t="s">
        <v>6838</v>
      </c>
      <c r="E4688" s="406" t="s">
        <v>13638</v>
      </c>
      <c r="F4688" s="406" t="s">
        <v>13533</v>
      </c>
      <c r="G4688" s="386" t="s">
        <v>13639</v>
      </c>
      <c r="H4688" s="162" t="s">
        <v>13640</v>
      </c>
      <c r="K4688" s="386" t="s">
        <v>16521</v>
      </c>
      <c r="L4688" s="162" t="s">
        <v>16522</v>
      </c>
      <c r="M4688" s="162" t="s">
        <v>16525</v>
      </c>
      <c r="O4688" s="224"/>
      <c r="P4688" s="224"/>
      <c r="Q4688" s="492">
        <v>0.7</v>
      </c>
      <c r="R4688" s="492">
        <v>0.8</v>
      </c>
      <c r="S4688" s="492">
        <v>0.85</v>
      </c>
      <c r="T4688" s="223" t="s">
        <v>3875</v>
      </c>
      <c r="U4688" t="str">
        <f>VLOOKUP(T4688,[8]Votes!$A$1:$E$234,3,FALSE)</f>
        <v>007 Ministry of Justice and Constitutional Affairs</v>
      </c>
      <c r="V4688" s="162" t="s">
        <v>16526</v>
      </c>
      <c r="W4688" s="407">
        <v>1</v>
      </c>
      <c r="X4688" s="407">
        <v>1</v>
      </c>
      <c r="Y4688" s="407">
        <v>0</v>
      </c>
      <c r="Z4688" s="407">
        <v>1</v>
      </c>
      <c r="AA4688" s="407">
        <v>1</v>
      </c>
      <c r="AB4688" s="407">
        <v>0</v>
      </c>
      <c r="AC4688" s="150">
        <v>1</v>
      </c>
      <c r="AD4688" s="150">
        <v>1</v>
      </c>
      <c r="AE4688" s="49">
        <f t="shared" si="168"/>
        <v>0.75</v>
      </c>
      <c r="AF4688" s="485"/>
      <c r="AG4688" s="17">
        <v>0</v>
      </c>
      <c r="AH4688" s="485">
        <v>5.3</v>
      </c>
      <c r="AI4688" s="485">
        <v>6.9</v>
      </c>
      <c r="AJ4688" s="485">
        <v>7.3</v>
      </c>
      <c r="AK4688" s="493">
        <v>7.5</v>
      </c>
      <c r="AL4688" s="493">
        <v>8</v>
      </c>
      <c r="AM4688" s="17">
        <f t="shared" si="169"/>
        <v>15.5</v>
      </c>
      <c r="AN4688" s="223" t="s">
        <v>3875</v>
      </c>
      <c r="AO4688" s="162" t="s">
        <v>3877</v>
      </c>
    </row>
    <row r="4689" spans="1:41" s="162" customFormat="1" x14ac:dyDescent="0.3">
      <c r="A4689" s="536" t="s">
        <v>8321</v>
      </c>
      <c r="B4689" s="162" t="s">
        <v>8322</v>
      </c>
      <c r="C4689" s="168" t="s">
        <v>13637</v>
      </c>
      <c r="D4689" s="162" t="s">
        <v>6838</v>
      </c>
      <c r="E4689" s="406" t="s">
        <v>13638</v>
      </c>
      <c r="F4689" s="406" t="s">
        <v>13533</v>
      </c>
      <c r="G4689" s="386" t="s">
        <v>13639</v>
      </c>
      <c r="H4689" s="162" t="s">
        <v>13640</v>
      </c>
      <c r="I4689" s="162" t="s">
        <v>16527</v>
      </c>
      <c r="J4689" s="162" t="s">
        <v>16353</v>
      </c>
      <c r="K4689" s="386" t="s">
        <v>16528</v>
      </c>
      <c r="L4689" s="162" t="s">
        <v>16353</v>
      </c>
      <c r="M4689" s="162" t="s">
        <v>16364</v>
      </c>
      <c r="N4689" s="162">
        <v>0</v>
      </c>
      <c r="O4689" s="224">
        <v>5</v>
      </c>
      <c r="P4689" s="224">
        <v>20</v>
      </c>
      <c r="Q4689" s="224">
        <v>20</v>
      </c>
      <c r="R4689" s="224">
        <v>5</v>
      </c>
      <c r="S4689" s="224">
        <v>8</v>
      </c>
      <c r="T4689" s="223" t="s">
        <v>180</v>
      </c>
      <c r="U4689" t="str">
        <f>VLOOKUP(T4689,[8]Votes!$A$1:$E$234,3,FALSE)</f>
        <v>145 Uganda Prisons</v>
      </c>
      <c r="V4689" s="223" t="s">
        <v>16365</v>
      </c>
      <c r="W4689" s="407">
        <v>1</v>
      </c>
      <c r="X4689" s="407">
        <v>1</v>
      </c>
      <c r="Y4689" s="407">
        <v>0</v>
      </c>
      <c r="Z4689" s="407">
        <v>0</v>
      </c>
      <c r="AA4689" s="407">
        <v>0</v>
      </c>
      <c r="AB4689" s="407">
        <v>0</v>
      </c>
      <c r="AC4689" s="150">
        <v>0</v>
      </c>
      <c r="AD4689" s="150">
        <v>1</v>
      </c>
      <c r="AE4689" s="49">
        <f t="shared" si="168"/>
        <v>0.375</v>
      </c>
      <c r="AF4689" s="485"/>
      <c r="AG4689" s="17">
        <v>0</v>
      </c>
      <c r="AH4689" s="485">
        <v>50.15</v>
      </c>
      <c r="AI4689" s="485">
        <v>91.83</v>
      </c>
      <c r="AJ4689" s="485">
        <v>63.93</v>
      </c>
      <c r="AK4689" s="493">
        <v>0</v>
      </c>
      <c r="AL4689" s="493">
        <v>0</v>
      </c>
      <c r="AM4689" s="17">
        <f t="shared" si="169"/>
        <v>0</v>
      </c>
      <c r="AN4689" s="162" t="s">
        <v>180</v>
      </c>
      <c r="AO4689" s="162" t="s">
        <v>182</v>
      </c>
    </row>
    <row r="4690" spans="1:41" s="162" customFormat="1" x14ac:dyDescent="0.3">
      <c r="A4690" s="536" t="s">
        <v>8321</v>
      </c>
      <c r="B4690" s="162" t="s">
        <v>8322</v>
      </c>
      <c r="C4690" s="168" t="s">
        <v>13637</v>
      </c>
      <c r="D4690" s="162" t="s">
        <v>6838</v>
      </c>
      <c r="E4690" s="406" t="s">
        <v>13638</v>
      </c>
      <c r="F4690" s="406" t="s">
        <v>13533</v>
      </c>
      <c r="G4690" s="386" t="s">
        <v>13639</v>
      </c>
      <c r="H4690" s="162" t="s">
        <v>13640</v>
      </c>
      <c r="K4690" s="386" t="s">
        <v>16529</v>
      </c>
      <c r="L4690" s="162" t="s">
        <v>16353</v>
      </c>
      <c r="M4690" s="162" t="s">
        <v>16530</v>
      </c>
      <c r="N4690" s="162">
        <v>0.6</v>
      </c>
      <c r="O4690" s="224">
        <v>0.66</v>
      </c>
      <c r="P4690" s="224">
        <v>0.74</v>
      </c>
      <c r="Q4690" s="224">
        <v>0.75</v>
      </c>
      <c r="R4690" s="224">
        <v>0.8</v>
      </c>
      <c r="S4690" s="224">
        <v>0.9</v>
      </c>
      <c r="T4690" s="223" t="s">
        <v>3875</v>
      </c>
      <c r="U4690" t="str">
        <f>VLOOKUP(T4690,[8]Votes!$A$1:$E$234,3,FALSE)</f>
        <v>007 Ministry of Justice and Constitutional Affairs</v>
      </c>
      <c r="V4690" s="223" t="s">
        <v>16531</v>
      </c>
      <c r="W4690" s="407">
        <v>1</v>
      </c>
      <c r="X4690" s="407">
        <v>1</v>
      </c>
      <c r="Y4690" s="407">
        <v>0</v>
      </c>
      <c r="Z4690" s="407">
        <v>1</v>
      </c>
      <c r="AA4690" s="407">
        <v>1</v>
      </c>
      <c r="AB4690" s="407">
        <v>0</v>
      </c>
      <c r="AC4690" s="150">
        <v>0</v>
      </c>
      <c r="AD4690" s="150">
        <v>1</v>
      </c>
      <c r="AE4690" s="49">
        <f t="shared" si="168"/>
        <v>0.625</v>
      </c>
      <c r="AF4690" s="485"/>
      <c r="AG4690" s="17">
        <v>0</v>
      </c>
      <c r="AH4690" s="485">
        <v>0.2</v>
      </c>
      <c r="AI4690" s="485">
        <v>0.36</v>
      </c>
      <c r="AJ4690" s="485">
        <v>0.5</v>
      </c>
      <c r="AK4690" s="493">
        <v>0.5</v>
      </c>
      <c r="AL4690" s="493">
        <v>0.5</v>
      </c>
      <c r="AM4690" s="17">
        <f t="shared" si="169"/>
        <v>1</v>
      </c>
      <c r="AN4690" s="223" t="s">
        <v>3875</v>
      </c>
      <c r="AO4690" s="162" t="s">
        <v>3877</v>
      </c>
    </row>
    <row r="4691" spans="1:41" s="162" customFormat="1" x14ac:dyDescent="0.3">
      <c r="A4691" s="536" t="s">
        <v>8321</v>
      </c>
      <c r="B4691" s="162" t="s">
        <v>8322</v>
      </c>
      <c r="C4691" s="168" t="s">
        <v>13637</v>
      </c>
      <c r="D4691" s="162" t="s">
        <v>6838</v>
      </c>
      <c r="E4691" s="406" t="s">
        <v>13638</v>
      </c>
      <c r="F4691" s="406" t="s">
        <v>13533</v>
      </c>
      <c r="G4691" s="386" t="s">
        <v>13639</v>
      </c>
      <c r="H4691" s="162" t="s">
        <v>13640</v>
      </c>
      <c r="K4691" s="386" t="s">
        <v>16532</v>
      </c>
      <c r="L4691" s="162" t="s">
        <v>14541</v>
      </c>
      <c r="M4691" s="1" t="s">
        <v>16533</v>
      </c>
      <c r="N4691" s="462">
        <v>0.05</v>
      </c>
      <c r="O4691" s="492">
        <v>0.15</v>
      </c>
      <c r="P4691" s="492">
        <v>0.25</v>
      </c>
      <c r="Q4691" s="492">
        <v>0.6</v>
      </c>
      <c r="R4691" s="492">
        <v>0.9</v>
      </c>
      <c r="S4691" s="492">
        <v>1</v>
      </c>
      <c r="T4691" s="223" t="s">
        <v>3875</v>
      </c>
      <c r="U4691" t="str">
        <f>VLOOKUP(T4691,[8]Votes!$A$1:$E$234,3,FALSE)</f>
        <v>007 Ministry of Justice and Constitutional Affairs</v>
      </c>
      <c r="V4691" s="223" t="s">
        <v>16534</v>
      </c>
      <c r="W4691" s="407">
        <v>1</v>
      </c>
      <c r="X4691" s="407">
        <v>0</v>
      </c>
      <c r="Y4691" s="407">
        <v>0</v>
      </c>
      <c r="Z4691" s="407">
        <v>1</v>
      </c>
      <c r="AA4691" s="407">
        <v>1</v>
      </c>
      <c r="AB4691" s="407">
        <v>0</v>
      </c>
      <c r="AC4691" s="150">
        <v>0</v>
      </c>
      <c r="AD4691" s="150">
        <v>1</v>
      </c>
      <c r="AE4691" s="49">
        <f t="shared" si="168"/>
        <v>0.5</v>
      </c>
      <c r="AF4691" s="44"/>
      <c r="AG4691" s="17">
        <v>0</v>
      </c>
      <c r="AH4691" s="44">
        <v>0.21</v>
      </c>
      <c r="AI4691" s="44">
        <v>0.35</v>
      </c>
      <c r="AJ4691" s="44">
        <v>1.5</v>
      </c>
      <c r="AK4691" s="151">
        <v>0</v>
      </c>
      <c r="AL4691" s="151">
        <v>0</v>
      </c>
      <c r="AM4691" s="17">
        <f t="shared" si="169"/>
        <v>0</v>
      </c>
      <c r="AN4691" s="223" t="s">
        <v>3875</v>
      </c>
      <c r="AO4691" s="162" t="s">
        <v>3877</v>
      </c>
    </row>
    <row r="4692" spans="1:41" s="162" customFormat="1" x14ac:dyDescent="0.3">
      <c r="A4692" s="536" t="s">
        <v>8321</v>
      </c>
      <c r="B4692" s="162" t="s">
        <v>8322</v>
      </c>
      <c r="C4692" s="168" t="s">
        <v>13637</v>
      </c>
      <c r="D4692" s="162" t="s">
        <v>6838</v>
      </c>
      <c r="E4692" s="406" t="s">
        <v>13638</v>
      </c>
      <c r="F4692" s="406" t="s">
        <v>13533</v>
      </c>
      <c r="G4692" s="386" t="s">
        <v>13639</v>
      </c>
      <c r="H4692" s="162" t="s">
        <v>13640</v>
      </c>
      <c r="I4692" s="162" t="s">
        <v>16535</v>
      </c>
      <c r="J4692" s="162" t="s">
        <v>16536</v>
      </c>
      <c r="K4692" s="386" t="s">
        <v>16537</v>
      </c>
      <c r="L4692" s="162" t="s">
        <v>16522</v>
      </c>
      <c r="M4692" s="162" t="s">
        <v>16538</v>
      </c>
      <c r="O4692" s="224">
        <v>12483</v>
      </c>
      <c r="P4692" s="224">
        <v>14483</v>
      </c>
      <c r="Q4692" s="224" t="s">
        <v>16539</v>
      </c>
      <c r="R4692" s="224" t="s">
        <v>16539</v>
      </c>
      <c r="S4692" s="229" t="s">
        <v>16540</v>
      </c>
      <c r="T4692" s="223" t="s">
        <v>180</v>
      </c>
      <c r="U4692" t="str">
        <f>VLOOKUP(T4692,[8]Votes!$A$1:$E$234,3,FALSE)</f>
        <v>145 Uganda Prisons</v>
      </c>
      <c r="V4692" s="162" t="s">
        <v>16541</v>
      </c>
      <c r="W4692" s="407">
        <v>1</v>
      </c>
      <c r="X4692" s="407">
        <v>1</v>
      </c>
      <c r="Y4692" s="407">
        <v>1</v>
      </c>
      <c r="Z4692" s="407">
        <v>0</v>
      </c>
      <c r="AA4692" s="407">
        <v>0</v>
      </c>
      <c r="AB4692" s="407">
        <v>0</v>
      </c>
      <c r="AC4692" s="150">
        <v>0</v>
      </c>
      <c r="AD4692" s="150">
        <v>1</v>
      </c>
      <c r="AE4692" s="49">
        <f t="shared" si="168"/>
        <v>0.5</v>
      </c>
      <c r="AF4692" s="485"/>
      <c r="AG4692" s="17">
        <v>0</v>
      </c>
      <c r="AH4692" s="485">
        <v>94.238</v>
      </c>
      <c r="AI4692" s="485">
        <v>96.238</v>
      </c>
      <c r="AJ4692" s="485">
        <v>99.353999999999999</v>
      </c>
      <c r="AK4692" s="493">
        <v>0</v>
      </c>
      <c r="AL4692" s="493">
        <v>0</v>
      </c>
      <c r="AM4692" s="17">
        <f t="shared" si="169"/>
        <v>0</v>
      </c>
      <c r="AN4692" s="162" t="s">
        <v>180</v>
      </c>
      <c r="AO4692" s="162" t="s">
        <v>182</v>
      </c>
    </row>
    <row r="4693" spans="1:41" s="162" customFormat="1" x14ac:dyDescent="0.3">
      <c r="A4693" s="536" t="s">
        <v>8321</v>
      </c>
      <c r="B4693" s="162" t="s">
        <v>8322</v>
      </c>
      <c r="C4693" s="168" t="s">
        <v>13637</v>
      </c>
      <c r="D4693" s="162" t="s">
        <v>6838</v>
      </c>
      <c r="E4693" s="406" t="s">
        <v>13638</v>
      </c>
      <c r="F4693" s="406" t="s">
        <v>13533</v>
      </c>
      <c r="G4693" s="386" t="s">
        <v>13639</v>
      </c>
      <c r="H4693" s="162" t="s">
        <v>13640</v>
      </c>
      <c r="K4693" s="386" t="s">
        <v>16542</v>
      </c>
      <c r="L4693" s="162" t="s">
        <v>16543</v>
      </c>
      <c r="M4693" s="162" t="s">
        <v>16544</v>
      </c>
      <c r="N4693" s="162">
        <v>3</v>
      </c>
      <c r="O4693" s="224">
        <v>3</v>
      </c>
      <c r="P4693" s="224">
        <v>3</v>
      </c>
      <c r="Q4693" s="224">
        <v>3</v>
      </c>
      <c r="R4693" s="224">
        <v>3</v>
      </c>
      <c r="S4693" s="224">
        <v>3</v>
      </c>
      <c r="T4693" s="223" t="s">
        <v>1233</v>
      </c>
      <c r="U4693" t="str">
        <f>VLOOKUP(T4693,[8]Votes!$A$1:$E$234,3,FALSE)</f>
        <v>006 Ministry of Foreign Affairs</v>
      </c>
      <c r="V4693" s="162" t="s">
        <v>16545</v>
      </c>
      <c r="W4693" s="407">
        <v>1</v>
      </c>
      <c r="X4693" s="407">
        <v>1</v>
      </c>
      <c r="Y4693" s="407">
        <v>0</v>
      </c>
      <c r="Z4693" s="407">
        <v>1</v>
      </c>
      <c r="AA4693" s="407">
        <v>1</v>
      </c>
      <c r="AB4693" s="407">
        <v>0</v>
      </c>
      <c r="AC4693" s="150">
        <v>1</v>
      </c>
      <c r="AD4693" s="150">
        <v>0</v>
      </c>
      <c r="AE4693" s="49">
        <f t="shared" si="168"/>
        <v>0.625</v>
      </c>
      <c r="AF4693" s="485"/>
      <c r="AG4693" s="17">
        <v>0</v>
      </c>
      <c r="AH4693" s="485">
        <v>0.34399999999999997</v>
      </c>
      <c r="AI4693" s="485">
        <v>0.34399999999999997</v>
      </c>
      <c r="AJ4693" s="485">
        <v>0.34399999999999997</v>
      </c>
      <c r="AK4693" s="493">
        <v>0.34399999999999997</v>
      </c>
      <c r="AL4693" s="493">
        <v>0.34399999999999997</v>
      </c>
      <c r="AM4693" s="17">
        <f t="shared" si="169"/>
        <v>0.68799999999999994</v>
      </c>
      <c r="AN4693" s="162" t="s">
        <v>1233</v>
      </c>
      <c r="AO4693" s="162" t="s">
        <v>1650</v>
      </c>
    </row>
    <row r="4694" spans="1:41" s="162" customFormat="1" x14ac:dyDescent="0.3">
      <c r="A4694" s="536" t="s">
        <v>8321</v>
      </c>
      <c r="B4694" s="162" t="s">
        <v>8322</v>
      </c>
      <c r="C4694" s="168" t="s">
        <v>13637</v>
      </c>
      <c r="D4694" s="162" t="s">
        <v>6838</v>
      </c>
      <c r="E4694" s="406" t="s">
        <v>13638</v>
      </c>
      <c r="F4694" s="406" t="s">
        <v>13533</v>
      </c>
      <c r="G4694" s="386" t="s">
        <v>13639</v>
      </c>
      <c r="H4694" s="162" t="s">
        <v>13640</v>
      </c>
      <c r="K4694" s="386" t="s">
        <v>16542</v>
      </c>
      <c r="L4694" s="162" t="s">
        <v>16543</v>
      </c>
      <c r="M4694" s="162" t="s">
        <v>16546</v>
      </c>
      <c r="N4694" s="162">
        <v>12</v>
      </c>
      <c r="O4694" s="224">
        <v>12</v>
      </c>
      <c r="P4694" s="224">
        <v>12</v>
      </c>
      <c r="Q4694" s="224">
        <v>12</v>
      </c>
      <c r="R4694" s="224">
        <v>12</v>
      </c>
      <c r="S4694" s="224">
        <v>12</v>
      </c>
      <c r="T4694" s="223" t="s">
        <v>1233</v>
      </c>
      <c r="U4694" t="str">
        <f>VLOOKUP(T4694,[8]Votes!$A$1:$E$234,3,FALSE)</f>
        <v>006 Ministry of Foreign Affairs</v>
      </c>
      <c r="V4694" s="162" t="s">
        <v>16547</v>
      </c>
      <c r="W4694" s="407">
        <v>1</v>
      </c>
      <c r="X4694" s="407">
        <v>1</v>
      </c>
      <c r="Y4694" s="407">
        <v>1</v>
      </c>
      <c r="Z4694" s="407">
        <v>1</v>
      </c>
      <c r="AA4694" s="407">
        <v>1</v>
      </c>
      <c r="AB4694" s="407">
        <v>0</v>
      </c>
      <c r="AC4694" s="150">
        <v>1</v>
      </c>
      <c r="AD4694" s="150">
        <v>0</v>
      </c>
      <c r="AE4694" s="49">
        <f t="shared" si="168"/>
        <v>0.75</v>
      </c>
      <c r="AF4694" s="485"/>
      <c r="AG4694" s="17">
        <v>0</v>
      </c>
      <c r="AH4694" s="485">
        <v>0.68799999999999994</v>
      </c>
      <c r="AI4694" s="485">
        <v>0.68799999999999994</v>
      </c>
      <c r="AJ4694" s="485">
        <v>0.68799999999999994</v>
      </c>
      <c r="AK4694" s="493">
        <v>0.68799999999999994</v>
      </c>
      <c r="AL4694" s="493">
        <v>0.68799999999999994</v>
      </c>
      <c r="AM4694" s="17">
        <f t="shared" si="169"/>
        <v>1.3759999999999999</v>
      </c>
      <c r="AN4694" s="162" t="s">
        <v>1233</v>
      </c>
      <c r="AO4694" s="162" t="s">
        <v>1650</v>
      </c>
    </row>
    <row r="4695" spans="1:41" s="162" customFormat="1" x14ac:dyDescent="0.3">
      <c r="A4695" s="536" t="s">
        <v>8321</v>
      </c>
      <c r="B4695" s="162" t="s">
        <v>8322</v>
      </c>
      <c r="C4695" s="168" t="s">
        <v>13637</v>
      </c>
      <c r="D4695" s="162" t="s">
        <v>6838</v>
      </c>
      <c r="E4695" s="406" t="s">
        <v>13638</v>
      </c>
      <c r="F4695" s="406" t="s">
        <v>13533</v>
      </c>
      <c r="G4695" s="386" t="s">
        <v>13639</v>
      </c>
      <c r="H4695" s="162" t="s">
        <v>13640</v>
      </c>
      <c r="K4695" s="386" t="s">
        <v>16542</v>
      </c>
      <c r="L4695" s="162" t="s">
        <v>16543</v>
      </c>
      <c r="M4695" s="162" t="s">
        <v>16548</v>
      </c>
      <c r="N4695" s="162">
        <v>4</v>
      </c>
      <c r="O4695" s="224">
        <v>4</v>
      </c>
      <c r="P4695" s="224">
        <v>4</v>
      </c>
      <c r="Q4695" s="224">
        <v>4</v>
      </c>
      <c r="R4695" s="224">
        <v>4</v>
      </c>
      <c r="S4695" s="224">
        <v>4</v>
      </c>
      <c r="T4695" s="223" t="s">
        <v>1233</v>
      </c>
      <c r="U4695" t="str">
        <f>VLOOKUP(T4695,[8]Votes!$A$1:$E$234,3,FALSE)</f>
        <v>006 Ministry of Foreign Affairs</v>
      </c>
      <c r="V4695" s="162" t="s">
        <v>16549</v>
      </c>
      <c r="W4695" s="407">
        <v>1</v>
      </c>
      <c r="X4695" s="407">
        <v>0</v>
      </c>
      <c r="Y4695" s="407">
        <v>1</v>
      </c>
      <c r="Z4695" s="407">
        <v>1</v>
      </c>
      <c r="AA4695" s="407">
        <v>1</v>
      </c>
      <c r="AB4695" s="407">
        <v>0</v>
      </c>
      <c r="AC4695" s="150">
        <v>1</v>
      </c>
      <c r="AD4695" s="150">
        <v>0</v>
      </c>
      <c r="AE4695" s="49">
        <f t="shared" si="168"/>
        <v>0.625</v>
      </c>
      <c r="AF4695" s="485"/>
      <c r="AG4695" s="17">
        <v>0</v>
      </c>
      <c r="AH4695" s="485">
        <v>0.34399999999999997</v>
      </c>
      <c r="AI4695" s="485">
        <v>0.34399999999999997</v>
      </c>
      <c r="AJ4695" s="485">
        <v>0.34399999999999997</v>
      </c>
      <c r="AK4695" s="493">
        <v>0.34399999999999997</v>
      </c>
      <c r="AL4695" s="493">
        <v>0.34399999999999997</v>
      </c>
      <c r="AM4695" s="17">
        <f t="shared" si="169"/>
        <v>0.68799999999999994</v>
      </c>
      <c r="AN4695" s="162" t="s">
        <v>1233</v>
      </c>
      <c r="AO4695" s="162" t="s">
        <v>1650</v>
      </c>
    </row>
    <row r="4696" spans="1:41" s="162" customFormat="1" x14ac:dyDescent="0.3">
      <c r="A4696" s="536" t="s">
        <v>8321</v>
      </c>
      <c r="B4696" s="162" t="s">
        <v>8322</v>
      </c>
      <c r="C4696" s="168" t="s">
        <v>13637</v>
      </c>
      <c r="D4696" s="162" t="s">
        <v>6838</v>
      </c>
      <c r="E4696" s="406" t="s">
        <v>13638</v>
      </c>
      <c r="F4696" s="406" t="s">
        <v>13533</v>
      </c>
      <c r="G4696" s="386" t="s">
        <v>13639</v>
      </c>
      <c r="H4696" s="162" t="s">
        <v>13640</v>
      </c>
      <c r="K4696" s="386" t="s">
        <v>16542</v>
      </c>
      <c r="L4696" s="162" t="s">
        <v>16543</v>
      </c>
      <c r="M4696" s="162" t="s">
        <v>16550</v>
      </c>
      <c r="N4696" s="162">
        <v>6</v>
      </c>
      <c r="O4696" s="224">
        <v>6</v>
      </c>
      <c r="P4696" s="224">
        <v>6</v>
      </c>
      <c r="Q4696" s="224">
        <v>6</v>
      </c>
      <c r="R4696" s="224">
        <v>6</v>
      </c>
      <c r="S4696" s="224">
        <v>6</v>
      </c>
      <c r="T4696" s="223" t="s">
        <v>1233</v>
      </c>
      <c r="U4696" t="str">
        <f>VLOOKUP(T4696,[8]Votes!$A$1:$E$234,3,FALSE)</f>
        <v>006 Ministry of Foreign Affairs</v>
      </c>
      <c r="V4696" s="162" t="s">
        <v>16551</v>
      </c>
      <c r="W4696" s="407">
        <v>1</v>
      </c>
      <c r="X4696" s="407">
        <v>1</v>
      </c>
      <c r="Y4696" s="407">
        <v>0</v>
      </c>
      <c r="Z4696" s="407">
        <v>1</v>
      </c>
      <c r="AA4696" s="407">
        <v>1</v>
      </c>
      <c r="AB4696" s="407">
        <v>0</v>
      </c>
      <c r="AC4696" s="150">
        <v>1</v>
      </c>
      <c r="AD4696" s="150">
        <v>0</v>
      </c>
      <c r="AE4696" s="49">
        <f t="shared" si="168"/>
        <v>0.625</v>
      </c>
      <c r="AF4696" s="485"/>
      <c r="AG4696" s="17">
        <v>0</v>
      </c>
      <c r="AH4696" s="485">
        <v>0.34399999999999997</v>
      </c>
      <c r="AI4696" s="485">
        <v>0.34399999999999997</v>
      </c>
      <c r="AJ4696" s="485">
        <v>0.34399999999999997</v>
      </c>
      <c r="AK4696" s="493">
        <v>0.34399999999999997</v>
      </c>
      <c r="AL4696" s="493">
        <v>0.34399999999999997</v>
      </c>
      <c r="AM4696" s="17">
        <f t="shared" si="169"/>
        <v>0.68799999999999994</v>
      </c>
      <c r="AN4696" s="162" t="s">
        <v>1233</v>
      </c>
      <c r="AO4696" s="162" t="s">
        <v>1650</v>
      </c>
    </row>
    <row r="4697" spans="1:41" s="162" customFormat="1" x14ac:dyDescent="0.3">
      <c r="A4697" s="536" t="s">
        <v>8321</v>
      </c>
      <c r="B4697" s="162" t="s">
        <v>8322</v>
      </c>
      <c r="C4697" s="168" t="s">
        <v>13637</v>
      </c>
      <c r="D4697" s="162" t="s">
        <v>6838</v>
      </c>
      <c r="E4697" s="406" t="s">
        <v>13638</v>
      </c>
      <c r="F4697" s="406" t="s">
        <v>13533</v>
      </c>
      <c r="G4697" s="386" t="s">
        <v>13639</v>
      </c>
      <c r="H4697" s="162" t="s">
        <v>13640</v>
      </c>
      <c r="K4697" s="386" t="s">
        <v>16542</v>
      </c>
      <c r="L4697" s="162" t="s">
        <v>16543</v>
      </c>
      <c r="M4697" s="162" t="s">
        <v>16552</v>
      </c>
      <c r="N4697" s="162">
        <v>23</v>
      </c>
      <c r="O4697" s="224">
        <v>23</v>
      </c>
      <c r="P4697" s="224">
        <v>23</v>
      </c>
      <c r="Q4697" s="224">
        <v>23</v>
      </c>
      <c r="R4697" s="224">
        <v>23</v>
      </c>
      <c r="S4697" s="224">
        <v>23</v>
      </c>
      <c r="T4697" s="223" t="s">
        <v>1233</v>
      </c>
      <c r="U4697" t="str">
        <f>VLOOKUP(T4697,[8]Votes!$A$1:$E$234,3,FALSE)</f>
        <v>006 Ministry of Foreign Affairs</v>
      </c>
      <c r="V4697" s="162" t="s">
        <v>16553</v>
      </c>
      <c r="W4697" s="407">
        <v>1</v>
      </c>
      <c r="X4697" s="407">
        <v>1</v>
      </c>
      <c r="Y4697" s="407">
        <v>1</v>
      </c>
      <c r="Z4697" s="407">
        <v>1</v>
      </c>
      <c r="AA4697" s="407">
        <v>1</v>
      </c>
      <c r="AB4697" s="407">
        <v>0</v>
      </c>
      <c r="AC4697" s="150"/>
      <c r="AD4697" s="150">
        <v>1</v>
      </c>
      <c r="AE4697" s="49">
        <f t="shared" si="168"/>
        <v>0.75</v>
      </c>
      <c r="AF4697" s="485"/>
      <c r="AG4697" s="17">
        <v>0</v>
      </c>
      <c r="AH4697" s="485">
        <v>0.34399999999999997</v>
      </c>
      <c r="AI4697" s="485">
        <v>0.34399999999999997</v>
      </c>
      <c r="AJ4697" s="485">
        <v>0.34399999999999997</v>
      </c>
      <c r="AK4697" s="493">
        <v>0.34399999999999997</v>
      </c>
      <c r="AL4697" s="493">
        <v>0.34399999999999997</v>
      </c>
      <c r="AM4697" s="17">
        <f t="shared" si="169"/>
        <v>0.68799999999999994</v>
      </c>
      <c r="AN4697" s="162" t="s">
        <v>1233</v>
      </c>
      <c r="AO4697" s="162" t="s">
        <v>1650</v>
      </c>
    </row>
    <row r="4698" spans="1:41" s="162" customFormat="1" x14ac:dyDescent="0.3">
      <c r="A4698" s="536" t="s">
        <v>8321</v>
      </c>
      <c r="B4698" s="162" t="s">
        <v>8322</v>
      </c>
      <c r="C4698" s="168" t="s">
        <v>13637</v>
      </c>
      <c r="D4698" s="162" t="s">
        <v>6838</v>
      </c>
      <c r="E4698" s="406" t="s">
        <v>13638</v>
      </c>
      <c r="F4698" s="406" t="s">
        <v>13533</v>
      </c>
      <c r="G4698" s="386" t="s">
        <v>13639</v>
      </c>
      <c r="H4698" s="162" t="s">
        <v>13640</v>
      </c>
      <c r="K4698" s="386" t="s">
        <v>16542</v>
      </c>
      <c r="L4698" s="162" t="s">
        <v>16543</v>
      </c>
      <c r="M4698" s="162" t="s">
        <v>16554</v>
      </c>
      <c r="N4698" s="162">
        <v>36</v>
      </c>
      <c r="O4698" s="224">
        <v>36</v>
      </c>
      <c r="P4698" s="224">
        <v>36</v>
      </c>
      <c r="Q4698" s="224">
        <v>36</v>
      </c>
      <c r="R4698" s="224">
        <v>36</v>
      </c>
      <c r="S4698" s="224">
        <v>36</v>
      </c>
      <c r="T4698" s="223" t="s">
        <v>1233</v>
      </c>
      <c r="U4698" t="str">
        <f>VLOOKUP(T4698,[8]Votes!$A$1:$E$234,3,FALSE)</f>
        <v>006 Ministry of Foreign Affairs</v>
      </c>
      <c r="V4698" s="162" t="s">
        <v>16555</v>
      </c>
      <c r="W4698" s="407">
        <v>1</v>
      </c>
      <c r="X4698" s="407">
        <v>1</v>
      </c>
      <c r="Y4698" s="407">
        <v>1</v>
      </c>
      <c r="Z4698" s="407">
        <v>1</v>
      </c>
      <c r="AA4698" s="407">
        <v>1</v>
      </c>
      <c r="AB4698" s="407">
        <v>0</v>
      </c>
      <c r="AC4698" s="150">
        <v>1</v>
      </c>
      <c r="AD4698" s="150">
        <v>0</v>
      </c>
      <c r="AE4698" s="49">
        <f t="shared" si="168"/>
        <v>0.75</v>
      </c>
      <c r="AF4698" s="485"/>
      <c r="AG4698" s="17">
        <v>0</v>
      </c>
      <c r="AH4698" s="485">
        <v>0.34399999999999997</v>
      </c>
      <c r="AI4698" s="485">
        <v>0.34399999999999997</v>
      </c>
      <c r="AJ4698" s="485">
        <v>0.34399999999999997</v>
      </c>
      <c r="AK4698" s="493">
        <v>0.34399999999999997</v>
      </c>
      <c r="AL4698" s="493">
        <v>0.34399999999999997</v>
      </c>
      <c r="AM4698" s="17">
        <f t="shared" si="169"/>
        <v>0.68799999999999994</v>
      </c>
      <c r="AN4698" s="162" t="s">
        <v>1233</v>
      </c>
      <c r="AO4698" s="162" t="s">
        <v>1650</v>
      </c>
    </row>
    <row r="4699" spans="1:41" s="162" customFormat="1" x14ac:dyDescent="0.3">
      <c r="A4699" s="536" t="s">
        <v>8321</v>
      </c>
      <c r="B4699" s="162" t="s">
        <v>8322</v>
      </c>
      <c r="C4699" s="168" t="s">
        <v>13637</v>
      </c>
      <c r="D4699" s="162" t="s">
        <v>6838</v>
      </c>
      <c r="E4699" s="406" t="s">
        <v>13638</v>
      </c>
      <c r="F4699" s="406" t="s">
        <v>13533</v>
      </c>
      <c r="G4699" s="386" t="s">
        <v>13639</v>
      </c>
      <c r="H4699" s="162" t="s">
        <v>13640</v>
      </c>
      <c r="K4699" s="386" t="s">
        <v>16542</v>
      </c>
      <c r="L4699" s="162" t="s">
        <v>16543</v>
      </c>
      <c r="M4699" s="162" t="s">
        <v>16556</v>
      </c>
      <c r="N4699" s="162">
        <v>48</v>
      </c>
      <c r="O4699" s="224">
        <v>48</v>
      </c>
      <c r="P4699" s="224">
        <v>48</v>
      </c>
      <c r="Q4699" s="224">
        <v>48</v>
      </c>
      <c r="R4699" s="224">
        <v>48</v>
      </c>
      <c r="S4699" s="224">
        <v>48</v>
      </c>
      <c r="T4699" s="223" t="s">
        <v>1233</v>
      </c>
      <c r="U4699" t="str">
        <f>VLOOKUP(T4699,[8]Votes!$A$1:$E$234,3,FALSE)</f>
        <v>006 Ministry of Foreign Affairs</v>
      </c>
      <c r="V4699" s="162" t="s">
        <v>16557</v>
      </c>
      <c r="W4699" s="407">
        <v>1</v>
      </c>
      <c r="X4699" s="407">
        <v>0</v>
      </c>
      <c r="Y4699" s="407">
        <v>0</v>
      </c>
      <c r="Z4699" s="407">
        <v>1</v>
      </c>
      <c r="AA4699" s="407">
        <v>1</v>
      </c>
      <c r="AB4699" s="407">
        <v>0</v>
      </c>
      <c r="AC4699" s="150"/>
      <c r="AD4699" s="150">
        <v>0</v>
      </c>
      <c r="AE4699" s="49">
        <f t="shared" si="168"/>
        <v>0.375</v>
      </c>
      <c r="AF4699" s="485"/>
      <c r="AG4699" s="17">
        <v>0</v>
      </c>
      <c r="AH4699" s="485">
        <v>0.34399999999999997</v>
      </c>
      <c r="AI4699" s="485">
        <v>0.34399999999999997</v>
      </c>
      <c r="AJ4699" s="485">
        <v>0.34399999999999997</v>
      </c>
      <c r="AK4699" s="493">
        <v>0.34399999999999997</v>
      </c>
      <c r="AL4699" s="493">
        <v>0.34399999999999997</v>
      </c>
      <c r="AM4699" s="17">
        <f t="shared" si="169"/>
        <v>0.68799999999999994</v>
      </c>
      <c r="AN4699" s="162" t="s">
        <v>1233</v>
      </c>
      <c r="AO4699" s="162" t="s">
        <v>1650</v>
      </c>
    </row>
    <row r="4700" spans="1:41" s="162" customFormat="1" x14ac:dyDescent="0.3">
      <c r="A4700" s="536" t="s">
        <v>8321</v>
      </c>
      <c r="B4700" s="162" t="s">
        <v>8322</v>
      </c>
      <c r="C4700" s="168" t="s">
        <v>13637</v>
      </c>
      <c r="D4700" s="162" t="s">
        <v>6838</v>
      </c>
      <c r="E4700" s="406" t="s">
        <v>13638</v>
      </c>
      <c r="F4700" s="406" t="s">
        <v>13533</v>
      </c>
      <c r="G4700" s="386" t="s">
        <v>13639</v>
      </c>
      <c r="H4700" s="162" t="s">
        <v>13640</v>
      </c>
      <c r="K4700" s="386" t="s">
        <v>16542</v>
      </c>
      <c r="L4700" s="162" t="s">
        <v>16543</v>
      </c>
      <c r="M4700" s="162" t="s">
        <v>16558</v>
      </c>
      <c r="N4700" s="162">
        <v>48</v>
      </c>
      <c r="O4700" s="224">
        <v>48</v>
      </c>
      <c r="P4700" s="224">
        <v>48</v>
      </c>
      <c r="Q4700" s="224">
        <v>48</v>
      </c>
      <c r="R4700" s="224">
        <v>48</v>
      </c>
      <c r="S4700" s="224">
        <v>48</v>
      </c>
      <c r="T4700" s="223" t="s">
        <v>1233</v>
      </c>
      <c r="U4700" t="str">
        <f>VLOOKUP(T4700,[8]Votes!$A$1:$E$234,3,FALSE)</f>
        <v>006 Ministry of Foreign Affairs</v>
      </c>
      <c r="V4700" s="162" t="s">
        <v>16559</v>
      </c>
      <c r="W4700" s="407">
        <v>1</v>
      </c>
      <c r="X4700" s="407">
        <v>1</v>
      </c>
      <c r="Y4700" s="407">
        <v>0</v>
      </c>
      <c r="Z4700" s="407">
        <v>1</v>
      </c>
      <c r="AA4700" s="407">
        <v>1</v>
      </c>
      <c r="AB4700" s="407">
        <v>0</v>
      </c>
      <c r="AC4700" s="150">
        <v>1</v>
      </c>
      <c r="AD4700" s="150">
        <v>1</v>
      </c>
      <c r="AE4700" s="49">
        <f t="shared" si="168"/>
        <v>0.75</v>
      </c>
      <c r="AF4700" s="485"/>
      <c r="AG4700" s="17">
        <v>0</v>
      </c>
      <c r="AH4700" s="485">
        <v>0.34399999999999997</v>
      </c>
      <c r="AI4700" s="485">
        <v>0.34399999999999997</v>
      </c>
      <c r="AJ4700" s="485">
        <v>0.34399999999999997</v>
      </c>
      <c r="AK4700" s="493">
        <v>0.34399999999999997</v>
      </c>
      <c r="AL4700" s="493">
        <v>0.34399999999999997</v>
      </c>
      <c r="AM4700" s="17">
        <f t="shared" si="169"/>
        <v>0.68799999999999994</v>
      </c>
      <c r="AN4700" s="162" t="s">
        <v>1233</v>
      </c>
      <c r="AO4700" s="162" t="s">
        <v>1650</v>
      </c>
    </row>
    <row r="4701" spans="1:41" s="162" customFormat="1" x14ac:dyDescent="0.3">
      <c r="A4701" s="536" t="s">
        <v>8321</v>
      </c>
      <c r="B4701" s="162" t="s">
        <v>8322</v>
      </c>
      <c r="C4701" s="168" t="s">
        <v>13637</v>
      </c>
      <c r="D4701" s="162" t="s">
        <v>6838</v>
      </c>
      <c r="E4701" s="406" t="s">
        <v>13638</v>
      </c>
      <c r="F4701" s="406" t="s">
        <v>13533</v>
      </c>
      <c r="G4701" s="386" t="s">
        <v>13639</v>
      </c>
      <c r="H4701" s="162" t="s">
        <v>13640</v>
      </c>
      <c r="K4701" s="386" t="s">
        <v>16542</v>
      </c>
      <c r="L4701" s="162" t="s">
        <v>16543</v>
      </c>
      <c r="M4701" s="162" t="s">
        <v>16560</v>
      </c>
      <c r="N4701" s="162">
        <v>96</v>
      </c>
      <c r="O4701" s="224">
        <v>96</v>
      </c>
      <c r="P4701" s="224">
        <v>96</v>
      </c>
      <c r="Q4701" s="224">
        <v>96</v>
      </c>
      <c r="R4701" s="224">
        <v>96</v>
      </c>
      <c r="S4701" s="224">
        <v>96</v>
      </c>
      <c r="T4701" s="223" t="s">
        <v>1233</v>
      </c>
      <c r="U4701" t="str">
        <f>VLOOKUP(T4701,[8]Votes!$A$1:$E$234,3,FALSE)</f>
        <v>006 Ministry of Foreign Affairs</v>
      </c>
      <c r="V4701" s="162" t="s">
        <v>16561</v>
      </c>
      <c r="W4701" s="407">
        <v>1</v>
      </c>
      <c r="X4701" s="407">
        <v>0</v>
      </c>
      <c r="Y4701" s="407">
        <v>1</v>
      </c>
      <c r="Z4701" s="407">
        <v>1</v>
      </c>
      <c r="AA4701" s="407">
        <v>1</v>
      </c>
      <c r="AB4701" s="407">
        <v>0</v>
      </c>
      <c r="AC4701" s="150">
        <v>1</v>
      </c>
      <c r="AD4701" s="150">
        <v>0</v>
      </c>
      <c r="AE4701" s="49">
        <f t="shared" si="168"/>
        <v>0.625</v>
      </c>
      <c r="AF4701" s="485"/>
      <c r="AG4701" s="17">
        <v>0</v>
      </c>
      <c r="AH4701" s="485">
        <v>0.34399999999999997</v>
      </c>
      <c r="AI4701" s="485">
        <v>0.34399999999999997</v>
      </c>
      <c r="AJ4701" s="485">
        <v>0.34399999999999997</v>
      </c>
      <c r="AK4701" s="493">
        <v>0.34399999999999997</v>
      </c>
      <c r="AL4701" s="493">
        <v>0.34399999999999997</v>
      </c>
      <c r="AM4701" s="17">
        <f t="shared" si="169"/>
        <v>0.68799999999999994</v>
      </c>
      <c r="AN4701" s="162" t="s">
        <v>1233</v>
      </c>
      <c r="AO4701" s="162" t="s">
        <v>1650</v>
      </c>
    </row>
    <row r="4702" spans="1:41" s="162" customFormat="1" x14ac:dyDescent="0.3">
      <c r="A4702" s="536" t="s">
        <v>8321</v>
      </c>
      <c r="B4702" s="162" t="s">
        <v>8322</v>
      </c>
      <c r="C4702" s="168" t="s">
        <v>13637</v>
      </c>
      <c r="D4702" s="162" t="s">
        <v>6838</v>
      </c>
      <c r="E4702" s="406" t="s">
        <v>13638</v>
      </c>
      <c r="F4702" s="406" t="s">
        <v>13533</v>
      </c>
      <c r="G4702" s="386" t="s">
        <v>13639</v>
      </c>
      <c r="H4702" s="162" t="s">
        <v>13640</v>
      </c>
      <c r="K4702" s="386" t="s">
        <v>16542</v>
      </c>
      <c r="L4702" s="162" t="s">
        <v>16543</v>
      </c>
      <c r="M4702" s="162" t="s">
        <v>16562</v>
      </c>
      <c r="N4702" s="162">
        <v>1</v>
      </c>
      <c r="O4702" s="224">
        <v>1</v>
      </c>
      <c r="P4702" s="224">
        <v>1</v>
      </c>
      <c r="Q4702" s="224">
        <v>1</v>
      </c>
      <c r="R4702" s="224">
        <v>1</v>
      </c>
      <c r="S4702" s="224">
        <v>1</v>
      </c>
      <c r="T4702" s="223" t="s">
        <v>1233</v>
      </c>
      <c r="U4702" t="str">
        <f>VLOOKUP(T4702,[8]Votes!$A$1:$E$234,3,FALSE)</f>
        <v>006 Ministry of Foreign Affairs</v>
      </c>
      <c r="V4702" s="162" t="s">
        <v>16563</v>
      </c>
      <c r="W4702" s="407">
        <v>1</v>
      </c>
      <c r="X4702" s="407">
        <v>1</v>
      </c>
      <c r="Y4702" s="407">
        <v>1</v>
      </c>
      <c r="Z4702" s="407">
        <v>1</v>
      </c>
      <c r="AA4702" s="407">
        <v>1</v>
      </c>
      <c r="AB4702" s="407">
        <v>0</v>
      </c>
      <c r="AC4702" s="150">
        <v>0</v>
      </c>
      <c r="AD4702" s="150">
        <v>1</v>
      </c>
      <c r="AE4702" s="49">
        <f t="shared" si="168"/>
        <v>0.75</v>
      </c>
      <c r="AF4702" s="485"/>
      <c r="AG4702" s="17">
        <v>0</v>
      </c>
      <c r="AH4702" s="485">
        <v>0.34399999999999997</v>
      </c>
      <c r="AI4702" s="485">
        <v>0.34399999999999997</v>
      </c>
      <c r="AJ4702" s="485">
        <v>0.34399999999999997</v>
      </c>
      <c r="AK4702" s="493">
        <v>0.34399999999999997</v>
      </c>
      <c r="AL4702" s="493">
        <v>0.34399999999999997</v>
      </c>
      <c r="AM4702" s="17">
        <f t="shared" si="169"/>
        <v>0.68799999999999994</v>
      </c>
      <c r="AN4702" s="162" t="s">
        <v>1233</v>
      </c>
      <c r="AO4702" s="162" t="s">
        <v>1650</v>
      </c>
    </row>
    <row r="4703" spans="1:41" s="162" customFormat="1" x14ac:dyDescent="0.3">
      <c r="A4703" s="536" t="s">
        <v>8321</v>
      </c>
      <c r="B4703" s="162" t="s">
        <v>8322</v>
      </c>
      <c r="C4703" s="168" t="s">
        <v>13637</v>
      </c>
      <c r="D4703" s="162" t="s">
        <v>6838</v>
      </c>
      <c r="E4703" s="406" t="s">
        <v>13638</v>
      </c>
      <c r="F4703" s="406" t="s">
        <v>13533</v>
      </c>
      <c r="G4703" s="386" t="s">
        <v>13639</v>
      </c>
      <c r="H4703" s="162" t="s">
        <v>13640</v>
      </c>
      <c r="K4703" s="386" t="s">
        <v>16542</v>
      </c>
      <c r="L4703" s="162" t="s">
        <v>16543</v>
      </c>
      <c r="M4703" s="162" t="s">
        <v>16564</v>
      </c>
      <c r="N4703" s="162">
        <v>1</v>
      </c>
      <c r="O4703" s="224">
        <v>1</v>
      </c>
      <c r="P4703" s="224">
        <v>1</v>
      </c>
      <c r="Q4703" s="224">
        <v>1</v>
      </c>
      <c r="R4703" s="224">
        <v>1</v>
      </c>
      <c r="S4703" s="224">
        <v>1</v>
      </c>
      <c r="T4703" s="223" t="s">
        <v>1233</v>
      </c>
      <c r="U4703" t="str">
        <f>VLOOKUP(T4703,[8]Votes!$A$1:$E$234,3,FALSE)</f>
        <v>006 Ministry of Foreign Affairs</v>
      </c>
      <c r="V4703" s="162" t="s">
        <v>16565</v>
      </c>
      <c r="W4703" s="407">
        <v>1</v>
      </c>
      <c r="X4703" s="407">
        <v>0</v>
      </c>
      <c r="Y4703" s="407">
        <v>0</v>
      </c>
      <c r="Z4703" s="407">
        <v>1</v>
      </c>
      <c r="AA4703" s="407">
        <v>1</v>
      </c>
      <c r="AB4703" s="407">
        <v>0</v>
      </c>
      <c r="AC4703" s="150">
        <v>0</v>
      </c>
      <c r="AD4703" s="150">
        <v>0</v>
      </c>
      <c r="AE4703" s="49">
        <f t="shared" si="168"/>
        <v>0.375</v>
      </c>
      <c r="AF4703" s="485"/>
      <c r="AG4703" s="17">
        <v>0</v>
      </c>
      <c r="AH4703" s="485">
        <v>0.34399999999999997</v>
      </c>
      <c r="AI4703" s="485">
        <v>0.34399999999999997</v>
      </c>
      <c r="AJ4703" s="485">
        <v>0.34399999999999997</v>
      </c>
      <c r="AK4703" s="493">
        <v>0.34399999999999997</v>
      </c>
      <c r="AL4703" s="493">
        <v>0.34399999999999997</v>
      </c>
      <c r="AM4703" s="17">
        <f t="shared" si="169"/>
        <v>0.68799999999999994</v>
      </c>
      <c r="AN4703" s="162" t="s">
        <v>1233</v>
      </c>
      <c r="AO4703" s="162" t="s">
        <v>1650</v>
      </c>
    </row>
    <row r="4704" spans="1:41" s="162" customFormat="1" x14ac:dyDescent="0.3">
      <c r="A4704" s="536" t="s">
        <v>8321</v>
      </c>
      <c r="B4704" s="162" t="s">
        <v>8322</v>
      </c>
      <c r="C4704" s="168" t="s">
        <v>13637</v>
      </c>
      <c r="D4704" s="162" t="s">
        <v>6838</v>
      </c>
      <c r="E4704" s="406" t="s">
        <v>13638</v>
      </c>
      <c r="F4704" s="406" t="s">
        <v>13533</v>
      </c>
      <c r="G4704" s="386" t="s">
        <v>13639</v>
      </c>
      <c r="H4704" s="162" t="s">
        <v>13640</v>
      </c>
      <c r="K4704" s="386" t="s">
        <v>16542</v>
      </c>
      <c r="L4704" s="162" t="s">
        <v>16543</v>
      </c>
      <c r="M4704" s="162" t="s">
        <v>16566</v>
      </c>
      <c r="N4704" s="162">
        <v>4</v>
      </c>
      <c r="O4704" s="224">
        <v>4</v>
      </c>
      <c r="P4704" s="224">
        <v>4</v>
      </c>
      <c r="Q4704" s="224">
        <v>4</v>
      </c>
      <c r="R4704" s="224">
        <v>4</v>
      </c>
      <c r="S4704" s="224">
        <v>4</v>
      </c>
      <c r="T4704" s="223" t="s">
        <v>1233</v>
      </c>
      <c r="U4704" t="str">
        <f>VLOOKUP(T4704,[8]Votes!$A$1:$E$234,3,FALSE)</f>
        <v>006 Ministry of Foreign Affairs</v>
      </c>
      <c r="V4704" s="162" t="s">
        <v>16567</v>
      </c>
      <c r="W4704" s="407">
        <v>1</v>
      </c>
      <c r="X4704" s="407">
        <v>1</v>
      </c>
      <c r="Y4704" s="407">
        <v>1</v>
      </c>
      <c r="Z4704" s="407">
        <v>1</v>
      </c>
      <c r="AA4704" s="407">
        <v>1</v>
      </c>
      <c r="AB4704" s="407">
        <v>0</v>
      </c>
      <c r="AC4704" s="150">
        <v>0</v>
      </c>
      <c r="AD4704" s="150">
        <v>1</v>
      </c>
      <c r="AE4704" s="49">
        <f t="shared" si="168"/>
        <v>0.75</v>
      </c>
      <c r="AF4704" s="485"/>
      <c r="AG4704" s="17">
        <v>0</v>
      </c>
      <c r="AH4704" s="485">
        <v>0.34399999999999997</v>
      </c>
      <c r="AI4704" s="485">
        <v>0.34399999999999997</v>
      </c>
      <c r="AJ4704" s="485">
        <v>0.34399999999999997</v>
      </c>
      <c r="AK4704" s="493">
        <v>0.34399999999999997</v>
      </c>
      <c r="AL4704" s="493">
        <v>0.34399999999999997</v>
      </c>
      <c r="AM4704" s="17">
        <f t="shared" si="169"/>
        <v>0.68799999999999994</v>
      </c>
      <c r="AN4704" s="162" t="s">
        <v>1233</v>
      </c>
      <c r="AO4704" s="162" t="s">
        <v>1650</v>
      </c>
    </row>
    <row r="4705" spans="1:41" s="162" customFormat="1" x14ac:dyDescent="0.3">
      <c r="A4705" s="536" t="s">
        <v>8321</v>
      </c>
      <c r="B4705" s="162" t="s">
        <v>8322</v>
      </c>
      <c r="C4705" s="168" t="s">
        <v>13637</v>
      </c>
      <c r="D4705" s="162" t="s">
        <v>6838</v>
      </c>
      <c r="E4705" s="406" t="s">
        <v>13638</v>
      </c>
      <c r="F4705" s="406" t="s">
        <v>13533</v>
      </c>
      <c r="G4705" s="386" t="s">
        <v>13639</v>
      </c>
      <c r="H4705" s="162" t="s">
        <v>13640</v>
      </c>
      <c r="K4705" s="386" t="s">
        <v>16542</v>
      </c>
      <c r="L4705" s="162" t="s">
        <v>16543</v>
      </c>
      <c r="M4705" s="162" t="s">
        <v>16568</v>
      </c>
      <c r="N4705" s="162">
        <v>8</v>
      </c>
      <c r="O4705" s="224">
        <v>8</v>
      </c>
      <c r="P4705" s="224">
        <v>8</v>
      </c>
      <c r="Q4705" s="224">
        <v>8</v>
      </c>
      <c r="R4705" s="224">
        <v>8</v>
      </c>
      <c r="S4705" s="224">
        <v>8</v>
      </c>
      <c r="T4705" s="223" t="s">
        <v>1233</v>
      </c>
      <c r="U4705" t="str">
        <f>VLOOKUP(T4705,[8]Votes!$A$1:$E$234,3,FALSE)</f>
        <v>006 Ministry of Foreign Affairs</v>
      </c>
      <c r="V4705" s="162" t="s">
        <v>16569</v>
      </c>
      <c r="W4705" s="407">
        <v>1</v>
      </c>
      <c r="X4705" s="407">
        <v>0</v>
      </c>
      <c r="Y4705" s="407">
        <v>0</v>
      </c>
      <c r="Z4705" s="407">
        <v>1</v>
      </c>
      <c r="AA4705" s="407">
        <v>1</v>
      </c>
      <c r="AB4705" s="407">
        <v>0</v>
      </c>
      <c r="AC4705" s="150">
        <v>0</v>
      </c>
      <c r="AD4705" s="150">
        <v>0</v>
      </c>
      <c r="AE4705" s="49">
        <f t="shared" si="168"/>
        <v>0.375</v>
      </c>
      <c r="AF4705" s="485"/>
      <c r="AG4705" s="17">
        <v>0</v>
      </c>
      <c r="AH4705" s="485">
        <v>0.34399999999999997</v>
      </c>
      <c r="AI4705" s="485">
        <v>0.34399999999999997</v>
      </c>
      <c r="AJ4705" s="485">
        <v>0.34399999999999997</v>
      </c>
      <c r="AK4705" s="493">
        <v>0.34399999999999997</v>
      </c>
      <c r="AL4705" s="493">
        <v>0.34399999999999997</v>
      </c>
      <c r="AM4705" s="17">
        <f t="shared" si="169"/>
        <v>0.68799999999999994</v>
      </c>
      <c r="AN4705" s="162" t="s">
        <v>1233</v>
      </c>
      <c r="AO4705" s="162" t="s">
        <v>1650</v>
      </c>
    </row>
    <row r="4706" spans="1:41" s="162" customFormat="1" x14ac:dyDescent="0.3">
      <c r="A4706" s="536" t="s">
        <v>8321</v>
      </c>
      <c r="B4706" s="162" t="s">
        <v>8322</v>
      </c>
      <c r="C4706" s="168" t="s">
        <v>13637</v>
      </c>
      <c r="D4706" s="162" t="s">
        <v>6838</v>
      </c>
      <c r="E4706" s="406" t="s">
        <v>13638</v>
      </c>
      <c r="F4706" s="406" t="s">
        <v>13533</v>
      </c>
      <c r="G4706" s="386" t="s">
        <v>13639</v>
      </c>
      <c r="H4706" s="162" t="s">
        <v>13640</v>
      </c>
      <c r="K4706" s="386" t="s">
        <v>16542</v>
      </c>
      <c r="L4706" s="162" t="s">
        <v>16543</v>
      </c>
      <c r="M4706" s="162" t="s">
        <v>16570</v>
      </c>
      <c r="N4706" s="162">
        <v>4</v>
      </c>
      <c r="O4706" s="224">
        <v>4</v>
      </c>
      <c r="P4706" s="224">
        <v>4</v>
      </c>
      <c r="Q4706" s="224">
        <v>4</v>
      </c>
      <c r="R4706" s="224">
        <v>4</v>
      </c>
      <c r="S4706" s="224">
        <v>4</v>
      </c>
      <c r="T4706" s="223" t="s">
        <v>1233</v>
      </c>
      <c r="U4706" t="str">
        <f>VLOOKUP(T4706,[8]Votes!$A$1:$E$234,3,FALSE)</f>
        <v>006 Ministry of Foreign Affairs</v>
      </c>
      <c r="V4706" s="162" t="s">
        <v>16571</v>
      </c>
      <c r="W4706" s="407">
        <v>1</v>
      </c>
      <c r="X4706" s="407">
        <v>0</v>
      </c>
      <c r="Y4706" s="407">
        <v>0</v>
      </c>
      <c r="Z4706" s="407">
        <v>1</v>
      </c>
      <c r="AA4706" s="407">
        <v>1</v>
      </c>
      <c r="AB4706" s="407">
        <v>0</v>
      </c>
      <c r="AC4706" s="150">
        <v>0</v>
      </c>
      <c r="AD4706" s="150">
        <v>1</v>
      </c>
      <c r="AE4706" s="49">
        <f t="shared" si="168"/>
        <v>0.5</v>
      </c>
      <c r="AF4706" s="485"/>
      <c r="AG4706" s="17">
        <v>0</v>
      </c>
      <c r="AH4706" s="485">
        <v>0.34399999999999997</v>
      </c>
      <c r="AI4706" s="485">
        <v>0.34399999999999997</v>
      </c>
      <c r="AJ4706" s="485">
        <v>0.34399999999999997</v>
      </c>
      <c r="AK4706" s="493">
        <v>0.34399999999999997</v>
      </c>
      <c r="AL4706" s="493">
        <v>0.34399999999999997</v>
      </c>
      <c r="AM4706" s="17">
        <f t="shared" si="169"/>
        <v>0.68799999999999994</v>
      </c>
      <c r="AN4706" s="162" t="s">
        <v>1233</v>
      </c>
      <c r="AO4706" s="162" t="s">
        <v>1650</v>
      </c>
    </row>
    <row r="4707" spans="1:41" s="162" customFormat="1" x14ac:dyDescent="0.3">
      <c r="A4707" s="536" t="s">
        <v>8321</v>
      </c>
      <c r="B4707" s="162" t="s">
        <v>8322</v>
      </c>
      <c r="C4707" s="168" t="s">
        <v>13637</v>
      </c>
      <c r="D4707" s="162" t="s">
        <v>6838</v>
      </c>
      <c r="E4707" s="406" t="s">
        <v>13638</v>
      </c>
      <c r="F4707" s="406" t="s">
        <v>13533</v>
      </c>
      <c r="G4707" s="386" t="s">
        <v>13639</v>
      </c>
      <c r="H4707" s="162" t="s">
        <v>13640</v>
      </c>
      <c r="K4707" s="386" t="s">
        <v>16572</v>
      </c>
      <c r="L4707" s="162" t="s">
        <v>16573</v>
      </c>
      <c r="M4707" s="162" t="s">
        <v>16574</v>
      </c>
      <c r="N4707" s="162">
        <v>8</v>
      </c>
      <c r="O4707" s="224">
        <v>8</v>
      </c>
      <c r="P4707" s="224">
        <v>8</v>
      </c>
      <c r="Q4707" s="224">
        <v>8</v>
      </c>
      <c r="R4707" s="224">
        <v>8</v>
      </c>
      <c r="S4707" s="224">
        <v>8</v>
      </c>
      <c r="T4707" s="223" t="s">
        <v>1233</v>
      </c>
      <c r="U4707" t="str">
        <f>VLOOKUP(T4707,[8]Votes!$A$1:$E$234,3,FALSE)</f>
        <v>006 Ministry of Foreign Affairs</v>
      </c>
      <c r="V4707" s="162" t="s">
        <v>16575</v>
      </c>
      <c r="W4707" s="407">
        <v>1</v>
      </c>
      <c r="X4707" s="407">
        <v>1</v>
      </c>
      <c r="Y4707" s="407">
        <v>1</v>
      </c>
      <c r="Z4707" s="407">
        <v>1</v>
      </c>
      <c r="AA4707" s="407">
        <v>1</v>
      </c>
      <c r="AB4707" s="407">
        <v>1</v>
      </c>
      <c r="AC4707" s="150">
        <v>0</v>
      </c>
      <c r="AD4707" s="150">
        <v>0</v>
      </c>
      <c r="AE4707" s="49">
        <f t="shared" si="168"/>
        <v>0.75</v>
      </c>
      <c r="AF4707" s="485"/>
      <c r="AG4707" s="17">
        <v>0</v>
      </c>
      <c r="AH4707" s="485">
        <v>0.24099999999999999</v>
      </c>
      <c r="AI4707" s="485">
        <v>0.24099999999999999</v>
      </c>
      <c r="AJ4707" s="485">
        <v>0.24099999999999999</v>
      </c>
      <c r="AK4707" s="493">
        <v>0.24099999999999999</v>
      </c>
      <c r="AL4707" s="493">
        <v>0.24099999999999999</v>
      </c>
      <c r="AM4707" s="17">
        <f t="shared" si="169"/>
        <v>0.48199999999999998</v>
      </c>
      <c r="AN4707" s="162" t="s">
        <v>1233</v>
      </c>
      <c r="AO4707" s="162" t="s">
        <v>1650</v>
      </c>
    </row>
    <row r="4708" spans="1:41" s="162" customFormat="1" x14ac:dyDescent="0.3">
      <c r="A4708" s="536" t="s">
        <v>8321</v>
      </c>
      <c r="B4708" s="162" t="s">
        <v>8322</v>
      </c>
      <c r="C4708" s="168" t="s">
        <v>13637</v>
      </c>
      <c r="D4708" s="162" t="s">
        <v>6838</v>
      </c>
      <c r="E4708" s="406" t="s">
        <v>13638</v>
      </c>
      <c r="F4708" s="406" t="s">
        <v>13533</v>
      </c>
      <c r="G4708" s="386" t="s">
        <v>13639</v>
      </c>
      <c r="H4708" s="162" t="s">
        <v>13640</v>
      </c>
      <c r="K4708" s="386" t="s">
        <v>16572</v>
      </c>
      <c r="L4708" s="162" t="s">
        <v>16573</v>
      </c>
      <c r="M4708" s="162" t="s">
        <v>16576</v>
      </c>
      <c r="N4708" s="162">
        <v>4</v>
      </c>
      <c r="O4708" s="224">
        <v>4</v>
      </c>
      <c r="P4708" s="224">
        <v>4</v>
      </c>
      <c r="Q4708" s="224">
        <v>4</v>
      </c>
      <c r="R4708" s="224">
        <v>4</v>
      </c>
      <c r="S4708" s="224">
        <v>4</v>
      </c>
      <c r="T4708" s="223" t="s">
        <v>1233</v>
      </c>
      <c r="U4708" t="str">
        <f>VLOOKUP(T4708,[8]Votes!$A$1:$E$234,3,FALSE)</f>
        <v>006 Ministry of Foreign Affairs</v>
      </c>
      <c r="V4708" s="162" t="s">
        <v>16577</v>
      </c>
      <c r="W4708" s="407">
        <v>1</v>
      </c>
      <c r="X4708" s="407">
        <v>1</v>
      </c>
      <c r="Y4708" s="407">
        <v>1</v>
      </c>
      <c r="Z4708" s="407">
        <v>1</v>
      </c>
      <c r="AA4708" s="407">
        <v>1</v>
      </c>
      <c r="AB4708" s="407">
        <v>1</v>
      </c>
      <c r="AC4708" s="150">
        <v>0</v>
      </c>
      <c r="AD4708" s="150">
        <v>0</v>
      </c>
      <c r="AE4708" s="49">
        <f t="shared" si="168"/>
        <v>0.75</v>
      </c>
      <c r="AF4708" s="485"/>
      <c r="AG4708" s="17">
        <v>0</v>
      </c>
      <c r="AH4708" s="485">
        <v>9.09</v>
      </c>
      <c r="AI4708" s="485">
        <v>5.08</v>
      </c>
      <c r="AJ4708" s="485">
        <v>5.08</v>
      </c>
      <c r="AK4708" s="493">
        <v>5.08</v>
      </c>
      <c r="AL4708" s="493">
        <v>5.08</v>
      </c>
      <c r="AM4708" s="17">
        <f t="shared" si="169"/>
        <v>10.16</v>
      </c>
      <c r="AN4708" s="162" t="s">
        <v>1233</v>
      </c>
      <c r="AO4708" s="162" t="s">
        <v>1650</v>
      </c>
    </row>
    <row r="4709" spans="1:41" s="162" customFormat="1" x14ac:dyDescent="0.3">
      <c r="A4709" s="536" t="s">
        <v>8321</v>
      </c>
      <c r="B4709" s="162" t="s">
        <v>8322</v>
      </c>
      <c r="C4709" s="168" t="s">
        <v>13637</v>
      </c>
      <c r="D4709" s="162" t="s">
        <v>6838</v>
      </c>
      <c r="E4709" s="406" t="s">
        <v>13638</v>
      </c>
      <c r="F4709" s="406" t="s">
        <v>13533</v>
      </c>
      <c r="G4709" s="386" t="s">
        <v>13639</v>
      </c>
      <c r="H4709" s="162" t="s">
        <v>13640</v>
      </c>
      <c r="K4709" s="386" t="s">
        <v>16572</v>
      </c>
      <c r="L4709" s="162" t="s">
        <v>16573</v>
      </c>
      <c r="M4709" s="162" t="s">
        <v>16578</v>
      </c>
      <c r="N4709" s="162">
        <v>4</v>
      </c>
      <c r="O4709" s="224">
        <v>8</v>
      </c>
      <c r="P4709" s="224">
        <v>8</v>
      </c>
      <c r="Q4709" s="224">
        <v>8</v>
      </c>
      <c r="R4709" s="224">
        <v>8</v>
      </c>
      <c r="S4709" s="224">
        <v>8</v>
      </c>
      <c r="T4709" s="223" t="s">
        <v>3875</v>
      </c>
      <c r="U4709" t="str">
        <f>VLOOKUP(T4709,[8]Votes!$A$1:$E$234,3,FALSE)</f>
        <v>007 Ministry of Justice and Constitutional Affairs</v>
      </c>
      <c r="V4709" s="162" t="s">
        <v>16579</v>
      </c>
      <c r="W4709" s="407">
        <v>1</v>
      </c>
      <c r="X4709" s="407">
        <v>1</v>
      </c>
      <c r="Y4709" s="407">
        <v>0</v>
      </c>
      <c r="Z4709" s="407">
        <v>1</v>
      </c>
      <c r="AA4709" s="407">
        <v>1</v>
      </c>
      <c r="AB4709" s="407">
        <v>0</v>
      </c>
      <c r="AC4709" s="150">
        <v>1</v>
      </c>
      <c r="AD4709" s="150">
        <v>1</v>
      </c>
      <c r="AE4709" s="49">
        <f t="shared" si="168"/>
        <v>0.75</v>
      </c>
      <c r="AF4709" s="485"/>
      <c r="AG4709" s="17">
        <v>0</v>
      </c>
      <c r="AH4709" s="485">
        <v>0.08</v>
      </c>
      <c r="AI4709" s="485">
        <v>8.3000000000000004E-2</v>
      </c>
      <c r="AJ4709" s="485">
        <v>0.1</v>
      </c>
      <c r="AK4709" s="493">
        <v>0.16</v>
      </c>
      <c r="AL4709" s="493">
        <v>0.18</v>
      </c>
      <c r="AM4709" s="17">
        <f t="shared" si="169"/>
        <v>0.33999999999999997</v>
      </c>
      <c r="AN4709" s="223" t="s">
        <v>3875</v>
      </c>
      <c r="AO4709" s="162" t="s">
        <v>3877</v>
      </c>
    </row>
    <row r="4710" spans="1:41" s="162" customFormat="1" x14ac:dyDescent="0.3">
      <c r="A4710" s="536" t="s">
        <v>8321</v>
      </c>
      <c r="B4710" s="162" t="s">
        <v>8322</v>
      </c>
      <c r="C4710" s="168" t="s">
        <v>13637</v>
      </c>
      <c r="D4710" s="162" t="s">
        <v>6838</v>
      </c>
      <c r="E4710" s="406" t="s">
        <v>13638</v>
      </c>
      <c r="F4710" s="406" t="s">
        <v>13533</v>
      </c>
      <c r="G4710" s="386" t="s">
        <v>13639</v>
      </c>
      <c r="H4710" s="162" t="s">
        <v>13640</v>
      </c>
      <c r="K4710" s="386" t="s">
        <v>16580</v>
      </c>
      <c r="L4710" s="162" t="s">
        <v>16581</v>
      </c>
      <c r="M4710" s="162" t="s">
        <v>16582</v>
      </c>
      <c r="N4710" s="162">
        <v>1</v>
      </c>
      <c r="O4710" s="224">
        <v>1</v>
      </c>
      <c r="P4710" s="224">
        <v>1</v>
      </c>
      <c r="Q4710" s="224">
        <v>7</v>
      </c>
      <c r="R4710" s="224">
        <v>9</v>
      </c>
      <c r="S4710" s="224">
        <v>10</v>
      </c>
      <c r="T4710" s="223" t="s">
        <v>3875</v>
      </c>
      <c r="U4710" t="str">
        <f>VLOOKUP(T4710,[8]Votes!$A$1:$E$234,3,FALSE)</f>
        <v>007 Ministry of Justice and Constitutional Affairs</v>
      </c>
      <c r="V4710" s="162" t="s">
        <v>16583</v>
      </c>
      <c r="W4710" s="407">
        <v>1</v>
      </c>
      <c r="X4710" s="407">
        <v>0</v>
      </c>
      <c r="Y4710" s="407">
        <v>0</v>
      </c>
      <c r="Z4710" s="407">
        <v>1</v>
      </c>
      <c r="AA4710" s="407">
        <v>1</v>
      </c>
      <c r="AB4710" s="407">
        <v>0</v>
      </c>
      <c r="AC4710" s="150">
        <v>1</v>
      </c>
      <c r="AD4710" s="150">
        <v>1</v>
      </c>
      <c r="AE4710" s="49">
        <f t="shared" si="168"/>
        <v>0.625</v>
      </c>
      <c r="AF4710" s="485"/>
      <c r="AG4710" s="17">
        <v>0</v>
      </c>
      <c r="AH4710" s="485">
        <v>0.12</v>
      </c>
      <c r="AI4710" s="190">
        <v>0</v>
      </c>
      <c r="AJ4710" s="485">
        <v>0.3</v>
      </c>
      <c r="AK4710" s="493">
        <v>0.33</v>
      </c>
      <c r="AL4710" s="493">
        <v>0.25</v>
      </c>
      <c r="AM4710" s="17">
        <f t="shared" si="169"/>
        <v>0.58000000000000007</v>
      </c>
      <c r="AN4710" s="223" t="s">
        <v>3875</v>
      </c>
      <c r="AO4710" s="162" t="s">
        <v>3877</v>
      </c>
    </row>
    <row r="4711" spans="1:41" s="162" customFormat="1" x14ac:dyDescent="0.3">
      <c r="A4711" s="536" t="s">
        <v>8321</v>
      </c>
      <c r="B4711" s="162" t="s">
        <v>8322</v>
      </c>
      <c r="C4711" s="168" t="s">
        <v>13637</v>
      </c>
      <c r="D4711" s="162" t="s">
        <v>6838</v>
      </c>
      <c r="E4711" s="406" t="s">
        <v>13638</v>
      </c>
      <c r="F4711" s="406" t="s">
        <v>13533</v>
      </c>
      <c r="G4711" s="386" t="s">
        <v>13639</v>
      </c>
      <c r="H4711" s="162" t="s">
        <v>13640</v>
      </c>
      <c r="K4711" s="386" t="s">
        <v>16572</v>
      </c>
      <c r="L4711" s="162" t="s">
        <v>16573</v>
      </c>
      <c r="M4711" s="162" t="s">
        <v>16584</v>
      </c>
      <c r="N4711" s="162">
        <v>3</v>
      </c>
      <c r="O4711" s="224">
        <v>3</v>
      </c>
      <c r="P4711" s="224">
        <v>3</v>
      </c>
      <c r="Q4711" s="224">
        <v>3</v>
      </c>
      <c r="R4711" s="224">
        <v>3</v>
      </c>
      <c r="S4711" s="224">
        <v>3</v>
      </c>
      <c r="T4711" s="223" t="s">
        <v>1233</v>
      </c>
      <c r="U4711" t="str">
        <f>VLOOKUP(T4711,[8]Votes!$A$1:$E$234,3,FALSE)</f>
        <v>006 Ministry of Foreign Affairs</v>
      </c>
      <c r="V4711" s="162" t="s">
        <v>16585</v>
      </c>
      <c r="W4711" s="407">
        <v>1</v>
      </c>
      <c r="X4711" s="407">
        <v>1</v>
      </c>
      <c r="Y4711" s="407">
        <v>1</v>
      </c>
      <c r="Z4711" s="407">
        <v>1</v>
      </c>
      <c r="AA4711" s="407">
        <v>1</v>
      </c>
      <c r="AB4711" s="407">
        <v>0</v>
      </c>
      <c r="AC4711" s="150">
        <v>1</v>
      </c>
      <c r="AD4711" s="150">
        <v>0</v>
      </c>
      <c r="AE4711" s="49">
        <f t="shared" si="168"/>
        <v>0.75</v>
      </c>
      <c r="AF4711" s="485"/>
      <c r="AG4711" s="17">
        <v>0</v>
      </c>
      <c r="AH4711" s="485">
        <v>0.52800000000000002</v>
      </c>
      <c r="AI4711" s="485">
        <v>0.52800000000000002</v>
      </c>
      <c r="AJ4711" s="485">
        <v>0.52800000000000002</v>
      </c>
      <c r="AK4711" s="493">
        <v>0.52800000000000002</v>
      </c>
      <c r="AL4711" s="493">
        <v>0.52800000000000002</v>
      </c>
      <c r="AM4711" s="17">
        <f t="shared" si="169"/>
        <v>1.056</v>
      </c>
      <c r="AN4711" s="162" t="s">
        <v>1233</v>
      </c>
      <c r="AO4711" s="162" t="s">
        <v>1650</v>
      </c>
    </row>
    <row r="4712" spans="1:41" s="162" customFormat="1" x14ac:dyDescent="0.3">
      <c r="A4712" s="536" t="s">
        <v>8321</v>
      </c>
      <c r="B4712" s="162" t="s">
        <v>8322</v>
      </c>
      <c r="C4712" s="168" t="s">
        <v>13637</v>
      </c>
      <c r="D4712" s="162" t="s">
        <v>6838</v>
      </c>
      <c r="E4712" s="406" t="s">
        <v>13638</v>
      </c>
      <c r="F4712" s="406" t="s">
        <v>13533</v>
      </c>
      <c r="G4712" s="386" t="s">
        <v>13639</v>
      </c>
      <c r="H4712" s="162" t="s">
        <v>13640</v>
      </c>
      <c r="K4712" s="386" t="s">
        <v>16586</v>
      </c>
      <c r="L4712" s="162" t="s">
        <v>14521</v>
      </c>
      <c r="M4712" s="162" t="s">
        <v>16587</v>
      </c>
      <c r="N4712" s="162">
        <v>4</v>
      </c>
      <c r="O4712" s="224">
        <v>4</v>
      </c>
      <c r="P4712" s="224">
        <v>4</v>
      </c>
      <c r="Q4712" s="224">
        <v>4</v>
      </c>
      <c r="R4712" s="224">
        <v>4</v>
      </c>
      <c r="S4712" s="224">
        <v>4</v>
      </c>
      <c r="T4712" s="223" t="s">
        <v>1233</v>
      </c>
      <c r="U4712" t="str">
        <f>VLOOKUP(T4712,[8]Votes!$A$1:$E$234,3,FALSE)</f>
        <v>006 Ministry of Foreign Affairs</v>
      </c>
      <c r="V4712" s="162" t="s">
        <v>16588</v>
      </c>
      <c r="W4712" s="407">
        <v>1</v>
      </c>
      <c r="X4712" s="407">
        <v>1</v>
      </c>
      <c r="Y4712" s="407">
        <v>0</v>
      </c>
      <c r="Z4712" s="407">
        <v>1</v>
      </c>
      <c r="AA4712" s="407">
        <v>1</v>
      </c>
      <c r="AB4712" s="407">
        <v>0</v>
      </c>
      <c r="AC4712" s="150">
        <v>1</v>
      </c>
      <c r="AD4712" s="150">
        <v>1</v>
      </c>
      <c r="AE4712" s="49">
        <f t="shared" si="168"/>
        <v>0.75</v>
      </c>
      <c r="AF4712" s="485"/>
      <c r="AG4712" s="17">
        <v>0</v>
      </c>
      <c r="AH4712" s="485">
        <v>7.0999999999999994E-2</v>
      </c>
      <c r="AI4712" s="485">
        <v>7.0999999999999994E-2</v>
      </c>
      <c r="AJ4712" s="485">
        <v>7.0999999999999994E-2</v>
      </c>
      <c r="AK4712" s="493">
        <v>7.0999999999999994E-2</v>
      </c>
      <c r="AL4712" s="493">
        <v>7.0999999999999994E-2</v>
      </c>
      <c r="AM4712" s="17">
        <f t="shared" si="169"/>
        <v>0.14199999999999999</v>
      </c>
      <c r="AN4712" s="162" t="s">
        <v>1233</v>
      </c>
      <c r="AO4712" s="162" t="s">
        <v>1650</v>
      </c>
    </row>
    <row r="4713" spans="1:41" s="162" customFormat="1" x14ac:dyDescent="0.3">
      <c r="A4713" s="536" t="s">
        <v>8321</v>
      </c>
      <c r="B4713" s="162" t="s">
        <v>8322</v>
      </c>
      <c r="C4713" s="168" t="s">
        <v>13637</v>
      </c>
      <c r="D4713" s="162" t="s">
        <v>6838</v>
      </c>
      <c r="E4713" s="406" t="s">
        <v>13638</v>
      </c>
      <c r="F4713" s="406" t="s">
        <v>13533</v>
      </c>
      <c r="G4713" s="386" t="s">
        <v>13639</v>
      </c>
      <c r="H4713" s="162" t="s">
        <v>13640</v>
      </c>
      <c r="K4713" s="386" t="s">
        <v>16586</v>
      </c>
      <c r="L4713" s="162" t="s">
        <v>14521</v>
      </c>
      <c r="M4713" s="162" t="s">
        <v>16589</v>
      </c>
      <c r="N4713" s="162">
        <v>4</v>
      </c>
      <c r="O4713" s="224">
        <v>4</v>
      </c>
      <c r="P4713" s="224">
        <v>4</v>
      </c>
      <c r="Q4713" s="224">
        <v>4</v>
      </c>
      <c r="R4713" s="224">
        <v>4</v>
      </c>
      <c r="S4713" s="224">
        <v>4</v>
      </c>
      <c r="T4713" s="223" t="s">
        <v>1233</v>
      </c>
      <c r="U4713" t="str">
        <f>VLOOKUP(T4713,[8]Votes!$A$1:$E$234,3,FALSE)</f>
        <v>006 Ministry of Foreign Affairs</v>
      </c>
      <c r="V4713" s="162" t="s">
        <v>16590</v>
      </c>
      <c r="W4713" s="407">
        <v>1</v>
      </c>
      <c r="X4713" s="407">
        <v>1</v>
      </c>
      <c r="Y4713" s="407">
        <v>1</v>
      </c>
      <c r="Z4713" s="407">
        <v>1</v>
      </c>
      <c r="AA4713" s="407">
        <v>1</v>
      </c>
      <c r="AB4713" s="407">
        <v>0</v>
      </c>
      <c r="AC4713" s="150">
        <v>0</v>
      </c>
      <c r="AD4713" s="150">
        <v>1</v>
      </c>
      <c r="AE4713" s="49">
        <f t="shared" si="168"/>
        <v>0.75</v>
      </c>
      <c r="AF4713" s="485"/>
      <c r="AG4713" s="17">
        <v>0</v>
      </c>
      <c r="AH4713" s="485">
        <v>7.0999999999999994E-2</v>
      </c>
      <c r="AI4713" s="485">
        <v>7.0999999999999994E-2</v>
      </c>
      <c r="AJ4713" s="485">
        <v>7.0999999999999994E-2</v>
      </c>
      <c r="AK4713" s="493">
        <v>7.0999999999999994E-2</v>
      </c>
      <c r="AL4713" s="493">
        <v>7.0999999999999994E-2</v>
      </c>
      <c r="AM4713" s="17">
        <f t="shared" si="169"/>
        <v>0.14199999999999999</v>
      </c>
      <c r="AN4713" s="162" t="s">
        <v>1233</v>
      </c>
      <c r="AO4713" s="162" t="s">
        <v>1650</v>
      </c>
    </row>
    <row r="4714" spans="1:41" s="162" customFormat="1" x14ac:dyDescent="0.3">
      <c r="A4714" s="536" t="s">
        <v>8321</v>
      </c>
      <c r="B4714" s="162" t="s">
        <v>8322</v>
      </c>
      <c r="C4714" s="168" t="s">
        <v>13637</v>
      </c>
      <c r="D4714" s="162" t="s">
        <v>6838</v>
      </c>
      <c r="E4714" s="406" t="s">
        <v>13638</v>
      </c>
      <c r="F4714" s="406" t="s">
        <v>13533</v>
      </c>
      <c r="G4714" s="386" t="s">
        <v>13639</v>
      </c>
      <c r="H4714" s="162" t="s">
        <v>13640</v>
      </c>
      <c r="K4714" s="386" t="s">
        <v>16586</v>
      </c>
      <c r="L4714" s="162" t="s">
        <v>14521</v>
      </c>
      <c r="M4714" s="162" t="s">
        <v>16591</v>
      </c>
      <c r="N4714" s="162">
        <v>1</v>
      </c>
      <c r="O4714" s="224">
        <v>1</v>
      </c>
      <c r="P4714" s="224">
        <v>1</v>
      </c>
      <c r="Q4714" s="224">
        <v>1</v>
      </c>
      <c r="R4714" s="224">
        <v>1</v>
      </c>
      <c r="S4714" s="224">
        <v>1</v>
      </c>
      <c r="T4714" s="223" t="s">
        <v>1233</v>
      </c>
      <c r="U4714" t="str">
        <f>VLOOKUP(T4714,[8]Votes!$A$1:$E$234,3,FALSE)</f>
        <v>006 Ministry of Foreign Affairs</v>
      </c>
      <c r="V4714" s="162" t="s">
        <v>16591</v>
      </c>
      <c r="W4714" s="407">
        <v>1</v>
      </c>
      <c r="X4714" s="407">
        <v>1</v>
      </c>
      <c r="Y4714" s="407">
        <v>1</v>
      </c>
      <c r="Z4714" s="407">
        <v>1</v>
      </c>
      <c r="AA4714" s="407">
        <v>1</v>
      </c>
      <c r="AB4714" s="407">
        <v>0</v>
      </c>
      <c r="AC4714" s="150">
        <v>1</v>
      </c>
      <c r="AD4714" s="150">
        <v>0</v>
      </c>
      <c r="AE4714" s="49">
        <f t="shared" si="168"/>
        <v>0.75</v>
      </c>
      <c r="AF4714" s="485"/>
      <c r="AG4714" s="17">
        <v>0</v>
      </c>
      <c r="AH4714" s="485">
        <v>7.0999999999999994E-2</v>
      </c>
      <c r="AI4714" s="485">
        <v>7.0999999999999994E-2</v>
      </c>
      <c r="AJ4714" s="485">
        <v>7.0999999999999994E-2</v>
      </c>
      <c r="AK4714" s="493">
        <v>7.0999999999999994E-2</v>
      </c>
      <c r="AL4714" s="493">
        <v>7.0999999999999994E-2</v>
      </c>
      <c r="AM4714" s="17">
        <f t="shared" si="169"/>
        <v>0.14199999999999999</v>
      </c>
      <c r="AN4714" s="162" t="s">
        <v>1233</v>
      </c>
      <c r="AO4714" s="162" t="s">
        <v>1650</v>
      </c>
    </row>
    <row r="4715" spans="1:41" s="162" customFormat="1" x14ac:dyDescent="0.3">
      <c r="A4715" s="536" t="s">
        <v>8321</v>
      </c>
      <c r="B4715" s="162" t="s">
        <v>8322</v>
      </c>
      <c r="C4715" s="168" t="s">
        <v>13637</v>
      </c>
      <c r="D4715" s="162" t="s">
        <v>6838</v>
      </c>
      <c r="E4715" s="406" t="s">
        <v>13638</v>
      </c>
      <c r="F4715" s="406" t="s">
        <v>13533</v>
      </c>
      <c r="G4715" s="386" t="s">
        <v>13639</v>
      </c>
      <c r="H4715" s="162" t="s">
        <v>13640</v>
      </c>
      <c r="K4715" s="386" t="s">
        <v>16586</v>
      </c>
      <c r="L4715" s="162" t="s">
        <v>14521</v>
      </c>
      <c r="M4715" s="162" t="s">
        <v>16592</v>
      </c>
      <c r="N4715" s="162">
        <v>1</v>
      </c>
      <c r="O4715" s="224">
        <v>1</v>
      </c>
      <c r="P4715" s="224">
        <v>1</v>
      </c>
      <c r="Q4715" s="224">
        <v>1</v>
      </c>
      <c r="R4715" s="224">
        <v>1</v>
      </c>
      <c r="S4715" s="224">
        <v>1</v>
      </c>
      <c r="T4715" s="223" t="s">
        <v>1233</v>
      </c>
      <c r="U4715" t="str">
        <f>VLOOKUP(T4715,[8]Votes!$A$1:$E$234,3,FALSE)</f>
        <v>006 Ministry of Foreign Affairs</v>
      </c>
      <c r="V4715" s="162" t="s">
        <v>16592</v>
      </c>
      <c r="W4715" s="407">
        <v>1</v>
      </c>
      <c r="X4715" s="407">
        <v>1</v>
      </c>
      <c r="Y4715" s="407">
        <v>1</v>
      </c>
      <c r="Z4715" s="407">
        <v>1</v>
      </c>
      <c r="AA4715" s="407">
        <v>1</v>
      </c>
      <c r="AB4715" s="407">
        <v>0</v>
      </c>
      <c r="AC4715" s="150">
        <v>1</v>
      </c>
      <c r="AD4715" s="150">
        <v>0</v>
      </c>
      <c r="AE4715" s="49">
        <f t="shared" si="168"/>
        <v>0.75</v>
      </c>
      <c r="AF4715" s="485"/>
      <c r="AG4715" s="17">
        <v>0</v>
      </c>
      <c r="AH4715" s="485">
        <v>7.0999999999999994E-2</v>
      </c>
      <c r="AI4715" s="485">
        <v>7.0999999999999994E-2</v>
      </c>
      <c r="AJ4715" s="485">
        <v>7.0999999999999994E-2</v>
      </c>
      <c r="AK4715" s="493">
        <v>7.0999999999999994E-2</v>
      </c>
      <c r="AL4715" s="493">
        <v>7.0999999999999994E-2</v>
      </c>
      <c r="AM4715" s="17">
        <f t="shared" si="169"/>
        <v>0.14199999999999999</v>
      </c>
      <c r="AN4715" s="162" t="s">
        <v>1233</v>
      </c>
      <c r="AO4715" s="162" t="s">
        <v>1650</v>
      </c>
    </row>
    <row r="4716" spans="1:41" s="162" customFormat="1" x14ac:dyDescent="0.3">
      <c r="A4716" s="536" t="s">
        <v>8321</v>
      </c>
      <c r="B4716" s="162" t="s">
        <v>8322</v>
      </c>
      <c r="C4716" s="168" t="s">
        <v>13637</v>
      </c>
      <c r="D4716" s="162" t="s">
        <v>6838</v>
      </c>
      <c r="E4716" s="406" t="s">
        <v>13638</v>
      </c>
      <c r="F4716" s="406" t="s">
        <v>13533</v>
      </c>
      <c r="G4716" s="386" t="s">
        <v>13639</v>
      </c>
      <c r="H4716" s="162" t="s">
        <v>13640</v>
      </c>
      <c r="K4716" s="386" t="s">
        <v>16593</v>
      </c>
      <c r="L4716" s="162" t="s">
        <v>16594</v>
      </c>
      <c r="M4716" s="162" t="s">
        <v>16595</v>
      </c>
      <c r="N4716" s="162">
        <v>2</v>
      </c>
      <c r="O4716" s="224">
        <v>2</v>
      </c>
      <c r="P4716" s="224">
        <v>2</v>
      </c>
      <c r="Q4716" s="224">
        <v>2</v>
      </c>
      <c r="R4716" s="224">
        <v>2</v>
      </c>
      <c r="S4716" s="224">
        <v>2</v>
      </c>
      <c r="T4716" s="223" t="s">
        <v>1233</v>
      </c>
      <c r="U4716" t="str">
        <f>VLOOKUP(T4716,[8]Votes!$A$1:$E$234,3,FALSE)</f>
        <v>006 Ministry of Foreign Affairs</v>
      </c>
      <c r="V4716" s="162" t="s">
        <v>16596</v>
      </c>
      <c r="W4716" s="407">
        <v>1</v>
      </c>
      <c r="X4716" s="407">
        <v>1</v>
      </c>
      <c r="Y4716" s="407">
        <v>1</v>
      </c>
      <c r="Z4716" s="407">
        <v>1</v>
      </c>
      <c r="AA4716" s="407">
        <v>1</v>
      </c>
      <c r="AB4716" s="407">
        <v>0</v>
      </c>
      <c r="AC4716" s="150">
        <v>1</v>
      </c>
      <c r="AD4716" s="150">
        <v>0</v>
      </c>
      <c r="AE4716" s="49">
        <f t="shared" si="168"/>
        <v>0.75</v>
      </c>
      <c r="AF4716" s="485"/>
      <c r="AG4716" s="17">
        <v>0</v>
      </c>
      <c r="AH4716" s="485">
        <v>7.0999999999999994E-2</v>
      </c>
      <c r="AI4716" s="485">
        <v>7.0999999999999994E-2</v>
      </c>
      <c r="AJ4716" s="485">
        <v>7.0999999999999994E-2</v>
      </c>
      <c r="AK4716" s="493">
        <v>7.0999999999999994E-2</v>
      </c>
      <c r="AL4716" s="493">
        <v>7.0999999999999994E-2</v>
      </c>
      <c r="AM4716" s="17">
        <f t="shared" si="169"/>
        <v>0.14199999999999999</v>
      </c>
      <c r="AN4716" s="162" t="s">
        <v>1233</v>
      </c>
      <c r="AO4716" s="162" t="s">
        <v>1650</v>
      </c>
    </row>
    <row r="4717" spans="1:41" s="162" customFormat="1" x14ac:dyDescent="0.3">
      <c r="A4717" s="536" t="s">
        <v>8321</v>
      </c>
      <c r="B4717" s="162" t="s">
        <v>8322</v>
      </c>
      <c r="C4717" s="168" t="s">
        <v>13637</v>
      </c>
      <c r="D4717" s="162" t="s">
        <v>6838</v>
      </c>
      <c r="E4717" s="406" t="s">
        <v>13638</v>
      </c>
      <c r="F4717" s="406" t="s">
        <v>13533</v>
      </c>
      <c r="G4717" s="386" t="s">
        <v>13639</v>
      </c>
      <c r="H4717" s="162" t="s">
        <v>13640</v>
      </c>
      <c r="K4717" s="386" t="s">
        <v>16586</v>
      </c>
      <c r="L4717" s="162" t="s">
        <v>14521</v>
      </c>
      <c r="M4717" s="162" t="s">
        <v>16597</v>
      </c>
      <c r="N4717" s="462">
        <v>1</v>
      </c>
      <c r="O4717" s="492">
        <v>1</v>
      </c>
      <c r="P4717" s="492">
        <v>1</v>
      </c>
      <c r="Q4717" s="492">
        <v>1</v>
      </c>
      <c r="R4717" s="492">
        <v>1</v>
      </c>
      <c r="S4717" s="492">
        <v>1</v>
      </c>
      <c r="T4717" s="223" t="s">
        <v>1233</v>
      </c>
      <c r="U4717" t="str">
        <f>VLOOKUP(T4717,[8]Votes!$A$1:$E$234,3,FALSE)</f>
        <v>006 Ministry of Foreign Affairs</v>
      </c>
      <c r="V4717" s="162" t="s">
        <v>16598</v>
      </c>
      <c r="W4717" s="407">
        <v>1</v>
      </c>
      <c r="X4717" s="407">
        <v>0</v>
      </c>
      <c r="Y4717" s="407">
        <v>0</v>
      </c>
      <c r="Z4717" s="407">
        <v>1</v>
      </c>
      <c r="AA4717" s="407">
        <v>1</v>
      </c>
      <c r="AB4717" s="407">
        <v>0</v>
      </c>
      <c r="AC4717" s="150">
        <v>0</v>
      </c>
      <c r="AD4717" s="150">
        <v>0</v>
      </c>
      <c r="AE4717" s="49">
        <f t="shared" si="168"/>
        <v>0.375</v>
      </c>
      <c r="AF4717" s="485"/>
      <c r="AG4717" s="17">
        <v>0</v>
      </c>
      <c r="AH4717" s="485">
        <v>7.0999999999999994E-2</v>
      </c>
      <c r="AI4717" s="485">
        <v>7.0999999999999994E-2</v>
      </c>
      <c r="AJ4717" s="485">
        <v>7.0999999999999994E-2</v>
      </c>
      <c r="AK4717" s="493">
        <v>7.0999999999999994E-2</v>
      </c>
      <c r="AL4717" s="493">
        <v>7.0999999999999994E-2</v>
      </c>
      <c r="AM4717" s="17">
        <f t="shared" si="169"/>
        <v>0.14199999999999999</v>
      </c>
      <c r="AN4717" s="162" t="s">
        <v>1233</v>
      </c>
      <c r="AO4717" s="162" t="s">
        <v>1650</v>
      </c>
    </row>
    <row r="4718" spans="1:41" s="162" customFormat="1" x14ac:dyDescent="0.3">
      <c r="A4718" s="536" t="s">
        <v>8321</v>
      </c>
      <c r="B4718" s="162" t="s">
        <v>8322</v>
      </c>
      <c r="C4718" s="168" t="s">
        <v>13637</v>
      </c>
      <c r="D4718" s="162" t="s">
        <v>6838</v>
      </c>
      <c r="E4718" s="406" t="s">
        <v>13638</v>
      </c>
      <c r="F4718" s="406" t="s">
        <v>13533</v>
      </c>
      <c r="G4718" s="386" t="s">
        <v>13639</v>
      </c>
      <c r="H4718" s="162" t="s">
        <v>13640</v>
      </c>
      <c r="I4718" s="162" t="s">
        <v>16599</v>
      </c>
      <c r="J4718" s="162" t="s">
        <v>16600</v>
      </c>
      <c r="K4718" s="386" t="s">
        <v>16601</v>
      </c>
      <c r="L4718" s="162" t="s">
        <v>14521</v>
      </c>
      <c r="M4718" s="162" t="s">
        <v>16602</v>
      </c>
      <c r="N4718" s="462">
        <v>0.6</v>
      </c>
      <c r="O4718" s="492">
        <v>0.7</v>
      </c>
      <c r="P4718" s="492">
        <v>0.8</v>
      </c>
      <c r="Q4718" s="492">
        <v>1</v>
      </c>
      <c r="R4718" s="492">
        <v>1</v>
      </c>
      <c r="S4718" s="492">
        <v>1</v>
      </c>
      <c r="T4718" s="223" t="s">
        <v>180</v>
      </c>
      <c r="U4718" t="str">
        <f>VLOOKUP(T4718,[8]Votes!$A$1:$E$234,3,FALSE)</f>
        <v>145 Uganda Prisons</v>
      </c>
      <c r="V4718" s="162" t="s">
        <v>16603</v>
      </c>
      <c r="W4718" s="407">
        <v>1</v>
      </c>
      <c r="X4718" s="407">
        <v>0</v>
      </c>
      <c r="Y4718" s="407">
        <v>0</v>
      </c>
      <c r="Z4718" s="407">
        <v>1</v>
      </c>
      <c r="AA4718" s="407">
        <v>1</v>
      </c>
      <c r="AB4718" s="407">
        <v>1</v>
      </c>
      <c r="AC4718" s="150">
        <v>0</v>
      </c>
      <c r="AD4718" s="150">
        <v>1</v>
      </c>
      <c r="AE4718" s="49">
        <f t="shared" si="168"/>
        <v>0.625</v>
      </c>
      <c r="AF4718" s="485"/>
      <c r="AG4718" s="17">
        <v>0</v>
      </c>
      <c r="AH4718" s="485">
        <v>1.01</v>
      </c>
      <c r="AI4718" s="485">
        <v>0.99</v>
      </c>
      <c r="AJ4718" s="485">
        <v>0.97</v>
      </c>
      <c r="AK4718" s="493">
        <v>0.55000000000000004</v>
      </c>
      <c r="AL4718" s="493">
        <v>0.5</v>
      </c>
      <c r="AM4718" s="17">
        <f t="shared" si="169"/>
        <v>1.05</v>
      </c>
      <c r="AN4718" s="162" t="s">
        <v>180</v>
      </c>
      <c r="AO4718" s="162" t="s">
        <v>182</v>
      </c>
    </row>
    <row r="4719" spans="1:41" s="162" customFormat="1" x14ac:dyDescent="0.3">
      <c r="A4719" s="536" t="s">
        <v>8321</v>
      </c>
      <c r="B4719" s="162" t="s">
        <v>8322</v>
      </c>
      <c r="C4719" s="168" t="s">
        <v>13637</v>
      </c>
      <c r="D4719" s="162" t="s">
        <v>6838</v>
      </c>
      <c r="E4719" s="406" t="s">
        <v>13638</v>
      </c>
      <c r="F4719" s="406" t="s">
        <v>13533</v>
      </c>
      <c r="G4719" s="386" t="s">
        <v>13639</v>
      </c>
      <c r="H4719" s="162" t="s">
        <v>13640</v>
      </c>
      <c r="I4719" s="162" t="s">
        <v>16599</v>
      </c>
      <c r="J4719" s="162" t="s">
        <v>16600</v>
      </c>
      <c r="K4719" s="386" t="s">
        <v>16604</v>
      </c>
      <c r="L4719" s="162" t="s">
        <v>16605</v>
      </c>
      <c r="M4719" s="162" t="s">
        <v>16606</v>
      </c>
      <c r="N4719" s="462"/>
      <c r="O4719" s="537">
        <v>3</v>
      </c>
      <c r="P4719" s="537">
        <v>3</v>
      </c>
      <c r="Q4719" s="537">
        <v>3</v>
      </c>
      <c r="R4719" s="537">
        <v>3</v>
      </c>
      <c r="S4719" s="537">
        <v>3</v>
      </c>
      <c r="T4719" s="538" t="s">
        <v>180</v>
      </c>
      <c r="U4719" t="str">
        <f>VLOOKUP(T4719,[8]Votes!$A$1:$E$234,3,FALSE)</f>
        <v>145 Uganda Prisons</v>
      </c>
      <c r="V4719" t="s">
        <v>16607</v>
      </c>
      <c r="W4719" s="407">
        <v>1</v>
      </c>
      <c r="X4719" s="407">
        <v>0</v>
      </c>
      <c r="Y4719" s="407">
        <v>0</v>
      </c>
      <c r="Z4719" s="407">
        <v>1</v>
      </c>
      <c r="AA4719" s="407">
        <v>1</v>
      </c>
      <c r="AB4719" s="407">
        <v>0</v>
      </c>
      <c r="AC4719" s="150">
        <v>0</v>
      </c>
      <c r="AD4719" s="150">
        <v>0</v>
      </c>
      <c r="AE4719" s="49">
        <f t="shared" si="168"/>
        <v>0.375</v>
      </c>
      <c r="AF4719" s="485"/>
      <c r="AG4719" s="17">
        <v>0</v>
      </c>
      <c r="AH4719" s="485">
        <v>0.3</v>
      </c>
      <c r="AI4719" s="485">
        <v>0.3</v>
      </c>
      <c r="AJ4719" s="485">
        <v>0.3</v>
      </c>
      <c r="AK4719" s="493">
        <v>0.3</v>
      </c>
      <c r="AL4719" s="493">
        <v>0.3</v>
      </c>
      <c r="AM4719" s="17">
        <f t="shared" si="169"/>
        <v>0.6</v>
      </c>
      <c r="AN4719" s="162" t="s">
        <v>180</v>
      </c>
      <c r="AO4719" s="162" t="s">
        <v>182</v>
      </c>
    </row>
    <row r="4720" spans="1:41" s="162" customFormat="1" x14ac:dyDescent="0.3">
      <c r="A4720" s="536" t="s">
        <v>8321</v>
      </c>
      <c r="B4720" s="162" t="s">
        <v>8322</v>
      </c>
      <c r="C4720" s="168" t="s">
        <v>13637</v>
      </c>
      <c r="D4720" s="162" t="s">
        <v>6838</v>
      </c>
      <c r="E4720" s="406" t="s">
        <v>13638</v>
      </c>
      <c r="F4720" s="406" t="s">
        <v>13533</v>
      </c>
      <c r="G4720" s="386" t="s">
        <v>13639</v>
      </c>
      <c r="H4720" s="162" t="s">
        <v>13640</v>
      </c>
      <c r="I4720" s="162" t="s">
        <v>16599</v>
      </c>
      <c r="J4720" s="162" t="s">
        <v>16600</v>
      </c>
      <c r="K4720" s="386" t="s">
        <v>16608</v>
      </c>
      <c r="L4720" s="162" t="s">
        <v>16609</v>
      </c>
      <c r="M4720" s="162" t="s">
        <v>16610</v>
      </c>
      <c r="N4720" s="462"/>
      <c r="O4720" s="537">
        <v>259</v>
      </c>
      <c r="P4720" s="537">
        <v>259</v>
      </c>
      <c r="Q4720" s="537">
        <v>259</v>
      </c>
      <c r="R4720" s="537" t="s">
        <v>16611</v>
      </c>
      <c r="S4720" s="537" t="s">
        <v>16611</v>
      </c>
      <c r="T4720" s="538" t="s">
        <v>180</v>
      </c>
      <c r="U4720" t="str">
        <f>VLOOKUP(T4720,[8]Votes!$A$1:$E$234,3,FALSE)</f>
        <v>145 Uganda Prisons</v>
      </c>
      <c r="V4720" t="s">
        <v>16612</v>
      </c>
      <c r="W4720" s="407">
        <v>1</v>
      </c>
      <c r="X4720" s="407">
        <v>1</v>
      </c>
      <c r="Y4720" s="407">
        <v>1</v>
      </c>
      <c r="Z4720" s="407">
        <v>1</v>
      </c>
      <c r="AA4720" s="407">
        <v>1</v>
      </c>
      <c r="AB4720" s="407">
        <v>0</v>
      </c>
      <c r="AC4720" s="150">
        <v>0</v>
      </c>
      <c r="AD4720" s="150">
        <v>1</v>
      </c>
      <c r="AE4720" s="49">
        <f t="shared" si="168"/>
        <v>0.75</v>
      </c>
      <c r="AF4720" s="485"/>
      <c r="AG4720" s="17">
        <v>0</v>
      </c>
      <c r="AH4720" s="485">
        <v>0.44500000000000001</v>
      </c>
      <c r="AI4720" s="485">
        <v>0.48499999999999999</v>
      </c>
      <c r="AJ4720" s="485">
        <v>0.44500000000000001</v>
      </c>
      <c r="AK4720" s="493">
        <v>0.44500000000000001</v>
      </c>
      <c r="AL4720" s="493">
        <v>0.44500000000000001</v>
      </c>
      <c r="AM4720" s="17">
        <f t="shared" si="169"/>
        <v>0.89</v>
      </c>
      <c r="AN4720" s="162" t="s">
        <v>180</v>
      </c>
      <c r="AO4720" s="162" t="s">
        <v>182</v>
      </c>
    </row>
    <row r="4721" spans="1:41" s="162" customFormat="1" x14ac:dyDescent="0.3">
      <c r="A4721" s="536" t="s">
        <v>8321</v>
      </c>
      <c r="B4721" s="162" t="s">
        <v>8322</v>
      </c>
      <c r="C4721" s="168" t="s">
        <v>13637</v>
      </c>
      <c r="D4721" s="162" t="s">
        <v>6838</v>
      </c>
      <c r="E4721" s="406" t="s">
        <v>13638</v>
      </c>
      <c r="F4721" s="406" t="s">
        <v>13533</v>
      </c>
      <c r="G4721" s="386" t="s">
        <v>13639</v>
      </c>
      <c r="H4721" s="162" t="s">
        <v>13640</v>
      </c>
      <c r="K4721" s="386" t="s">
        <v>16586</v>
      </c>
      <c r="L4721" s="162" t="s">
        <v>14521</v>
      </c>
      <c r="M4721" s="162" t="s">
        <v>16613</v>
      </c>
      <c r="N4721" s="162">
        <v>36</v>
      </c>
      <c r="O4721" s="224">
        <v>36</v>
      </c>
      <c r="P4721" s="224">
        <v>36</v>
      </c>
      <c r="Q4721" s="224">
        <v>36</v>
      </c>
      <c r="R4721" s="224">
        <v>36</v>
      </c>
      <c r="S4721" s="224">
        <v>36</v>
      </c>
      <c r="T4721" s="223" t="s">
        <v>1233</v>
      </c>
      <c r="U4721" t="str">
        <f>VLOOKUP(T4721,[8]Votes!$A$1:$E$234,3,FALSE)</f>
        <v>006 Ministry of Foreign Affairs</v>
      </c>
      <c r="V4721" s="162" t="s">
        <v>16614</v>
      </c>
      <c r="W4721" s="407">
        <v>1</v>
      </c>
      <c r="X4721" s="407">
        <v>1</v>
      </c>
      <c r="Y4721" s="407">
        <v>1</v>
      </c>
      <c r="Z4721" s="407">
        <v>1</v>
      </c>
      <c r="AA4721" s="407">
        <v>1</v>
      </c>
      <c r="AB4721" s="407">
        <v>0</v>
      </c>
      <c r="AC4721" s="150">
        <v>0</v>
      </c>
      <c r="AD4721" s="150">
        <v>1</v>
      </c>
      <c r="AE4721" s="49">
        <f t="shared" si="168"/>
        <v>0.75</v>
      </c>
      <c r="AF4721" s="485"/>
      <c r="AG4721" s="17">
        <v>0</v>
      </c>
      <c r="AH4721" s="485">
        <v>0.2</v>
      </c>
      <c r="AI4721" s="485">
        <v>0.2</v>
      </c>
      <c r="AJ4721" s="485">
        <v>0.2</v>
      </c>
      <c r="AK4721" s="493">
        <v>0.2</v>
      </c>
      <c r="AL4721" s="493">
        <v>0.2</v>
      </c>
      <c r="AM4721" s="17">
        <f t="shared" si="169"/>
        <v>0.4</v>
      </c>
      <c r="AN4721" s="162" t="s">
        <v>1233</v>
      </c>
      <c r="AO4721" s="162" t="s">
        <v>1650</v>
      </c>
    </row>
    <row r="4722" spans="1:41" s="162" customFormat="1" x14ac:dyDescent="0.3">
      <c r="A4722" s="536" t="s">
        <v>8321</v>
      </c>
      <c r="B4722" s="162" t="s">
        <v>8322</v>
      </c>
      <c r="C4722" s="168" t="s">
        <v>13637</v>
      </c>
      <c r="D4722" s="162" t="s">
        <v>6838</v>
      </c>
      <c r="E4722" s="406" t="s">
        <v>13638</v>
      </c>
      <c r="F4722" s="406" t="s">
        <v>13533</v>
      </c>
      <c r="G4722" s="386" t="s">
        <v>13639</v>
      </c>
      <c r="H4722" s="162" t="s">
        <v>13640</v>
      </c>
      <c r="K4722" s="386" t="s">
        <v>16586</v>
      </c>
      <c r="L4722" s="162" t="s">
        <v>14521</v>
      </c>
      <c r="M4722" s="162" t="s">
        <v>16615</v>
      </c>
      <c r="N4722" s="162">
        <v>36</v>
      </c>
      <c r="O4722" s="224">
        <v>36</v>
      </c>
      <c r="P4722" s="224">
        <v>36</v>
      </c>
      <c r="Q4722" s="224">
        <v>36</v>
      </c>
      <c r="R4722" s="224">
        <v>36</v>
      </c>
      <c r="S4722" s="224">
        <v>36</v>
      </c>
      <c r="T4722" s="223" t="s">
        <v>1233</v>
      </c>
      <c r="U4722" t="str">
        <f>VLOOKUP(T4722,[8]Votes!$A$1:$E$234,3,FALSE)</f>
        <v>006 Ministry of Foreign Affairs</v>
      </c>
      <c r="V4722" s="162" t="s">
        <v>16616</v>
      </c>
      <c r="W4722" s="407">
        <v>1</v>
      </c>
      <c r="X4722" s="407">
        <v>1</v>
      </c>
      <c r="Y4722" s="407">
        <v>0</v>
      </c>
      <c r="Z4722" s="407">
        <v>1</v>
      </c>
      <c r="AA4722" s="407">
        <v>1</v>
      </c>
      <c r="AB4722" s="407">
        <v>0</v>
      </c>
      <c r="AC4722" s="150">
        <v>1</v>
      </c>
      <c r="AD4722" s="150">
        <v>1</v>
      </c>
      <c r="AE4722" s="49">
        <f t="shared" si="168"/>
        <v>0.75</v>
      </c>
      <c r="AF4722" s="485"/>
      <c r="AG4722" s="17">
        <v>0</v>
      </c>
      <c r="AH4722" s="485">
        <v>0.44</v>
      </c>
      <c r="AI4722" s="485">
        <v>0.44</v>
      </c>
      <c r="AJ4722" s="485">
        <v>0.44</v>
      </c>
      <c r="AK4722" s="493">
        <v>0.44</v>
      </c>
      <c r="AL4722" s="493">
        <v>0.44</v>
      </c>
      <c r="AM4722" s="17">
        <f t="shared" si="169"/>
        <v>0.88</v>
      </c>
      <c r="AN4722" s="162" t="s">
        <v>1233</v>
      </c>
      <c r="AO4722" s="162" t="s">
        <v>1650</v>
      </c>
    </row>
    <row r="4723" spans="1:41" s="162" customFormat="1" x14ac:dyDescent="0.3">
      <c r="A4723" s="536" t="s">
        <v>8321</v>
      </c>
      <c r="B4723" s="162" t="s">
        <v>8322</v>
      </c>
      <c r="C4723" s="168" t="s">
        <v>13637</v>
      </c>
      <c r="D4723" s="162" t="s">
        <v>6838</v>
      </c>
      <c r="E4723" s="406" t="s">
        <v>13638</v>
      </c>
      <c r="F4723" s="406" t="s">
        <v>13533</v>
      </c>
      <c r="G4723" s="386" t="s">
        <v>13639</v>
      </c>
      <c r="H4723" s="162" t="s">
        <v>13640</v>
      </c>
      <c r="K4723" s="386" t="s">
        <v>16617</v>
      </c>
      <c r="L4723" s="162" t="s">
        <v>14529</v>
      </c>
      <c r="M4723" s="162" t="s">
        <v>16618</v>
      </c>
      <c r="N4723" s="462">
        <v>0.8</v>
      </c>
      <c r="O4723" s="492">
        <v>1</v>
      </c>
      <c r="P4723" s="492">
        <v>1</v>
      </c>
      <c r="Q4723" s="492">
        <v>1</v>
      </c>
      <c r="R4723" s="492">
        <v>1</v>
      </c>
      <c r="S4723" s="492">
        <v>1</v>
      </c>
      <c r="T4723" s="223" t="s">
        <v>1233</v>
      </c>
      <c r="U4723" t="str">
        <f>VLOOKUP(T4723,[8]Votes!$A$1:$E$234,3,FALSE)</f>
        <v>006 Ministry of Foreign Affairs</v>
      </c>
      <c r="V4723" s="162" t="s">
        <v>16619</v>
      </c>
      <c r="W4723" s="407">
        <v>1</v>
      </c>
      <c r="X4723" s="407">
        <v>0</v>
      </c>
      <c r="Y4723" s="407">
        <v>0</v>
      </c>
      <c r="Z4723" s="407">
        <v>1</v>
      </c>
      <c r="AA4723" s="407">
        <v>1</v>
      </c>
      <c r="AB4723" s="407">
        <v>0</v>
      </c>
      <c r="AC4723" s="150">
        <v>0</v>
      </c>
      <c r="AD4723" s="150">
        <v>1</v>
      </c>
      <c r="AE4723" s="49">
        <f t="shared" si="168"/>
        <v>0.5</v>
      </c>
      <c r="AF4723" s="485"/>
      <c r="AG4723" s="17">
        <v>0</v>
      </c>
      <c r="AH4723" s="485">
        <v>0.56999999999999995</v>
      </c>
      <c r="AI4723" s="485">
        <v>0.56999999999999995</v>
      </c>
      <c r="AJ4723" s="485">
        <v>0.56999999999999995</v>
      </c>
      <c r="AK4723" s="493">
        <v>0.56999999999999995</v>
      </c>
      <c r="AL4723" s="493">
        <v>0.56999999999999995</v>
      </c>
      <c r="AM4723" s="17">
        <f t="shared" si="169"/>
        <v>1.1399999999999999</v>
      </c>
      <c r="AN4723" s="162" t="s">
        <v>1233</v>
      </c>
      <c r="AO4723" s="162" t="s">
        <v>1650</v>
      </c>
    </row>
    <row r="4724" spans="1:41" s="162" customFormat="1" x14ac:dyDescent="0.3">
      <c r="A4724" s="536" t="s">
        <v>8321</v>
      </c>
      <c r="B4724" s="162" t="s">
        <v>8322</v>
      </c>
      <c r="C4724" s="168" t="s">
        <v>13637</v>
      </c>
      <c r="D4724" s="162" t="s">
        <v>6838</v>
      </c>
      <c r="E4724" s="406" t="s">
        <v>13638</v>
      </c>
      <c r="F4724" s="406" t="s">
        <v>13533</v>
      </c>
      <c r="G4724" s="386" t="s">
        <v>13639</v>
      </c>
      <c r="H4724" s="162" t="s">
        <v>13640</v>
      </c>
      <c r="K4724" s="386" t="s">
        <v>16617</v>
      </c>
      <c r="L4724" s="162" t="s">
        <v>14529</v>
      </c>
      <c r="M4724" s="162" t="s">
        <v>16620</v>
      </c>
      <c r="N4724" s="462">
        <v>1</v>
      </c>
      <c r="O4724" s="492">
        <v>1</v>
      </c>
      <c r="P4724" s="492">
        <v>1</v>
      </c>
      <c r="Q4724" s="492">
        <v>1</v>
      </c>
      <c r="R4724" s="492">
        <v>1</v>
      </c>
      <c r="S4724" s="492">
        <v>1</v>
      </c>
      <c r="T4724" s="223" t="s">
        <v>1233</v>
      </c>
      <c r="U4724" t="str">
        <f>VLOOKUP(T4724,[8]Votes!$A$1:$E$234,3,FALSE)</f>
        <v>006 Ministry of Foreign Affairs</v>
      </c>
      <c r="V4724" s="162" t="s">
        <v>16621</v>
      </c>
      <c r="W4724" s="407">
        <v>1</v>
      </c>
      <c r="X4724" s="407">
        <v>0</v>
      </c>
      <c r="Y4724" s="407">
        <v>0</v>
      </c>
      <c r="Z4724" s="407">
        <v>1</v>
      </c>
      <c r="AA4724" s="407">
        <v>1</v>
      </c>
      <c r="AB4724" s="407">
        <v>0</v>
      </c>
      <c r="AC4724" s="150">
        <v>0</v>
      </c>
      <c r="AD4724" s="150">
        <v>1</v>
      </c>
      <c r="AE4724" s="49">
        <f t="shared" si="168"/>
        <v>0.5</v>
      </c>
      <c r="AF4724" s="485"/>
      <c r="AG4724" s="17">
        <v>0</v>
      </c>
      <c r="AH4724" s="485">
        <v>0.56999999999999995</v>
      </c>
      <c r="AI4724" s="485">
        <v>0.56999999999999995</v>
      </c>
      <c r="AJ4724" s="485">
        <v>0.56999999999999995</v>
      </c>
      <c r="AK4724" s="493">
        <v>0.56999999999999995</v>
      </c>
      <c r="AL4724" s="493">
        <v>0.56999999999999995</v>
      </c>
      <c r="AM4724" s="17">
        <f t="shared" si="169"/>
        <v>1.1399999999999999</v>
      </c>
      <c r="AN4724" s="162" t="s">
        <v>1233</v>
      </c>
      <c r="AO4724" s="162" t="s">
        <v>1650</v>
      </c>
    </row>
    <row r="4725" spans="1:41" s="162" customFormat="1" x14ac:dyDescent="0.3">
      <c r="A4725" s="536" t="s">
        <v>8321</v>
      </c>
      <c r="B4725" s="162" t="s">
        <v>8322</v>
      </c>
      <c r="C4725" s="168" t="s">
        <v>13637</v>
      </c>
      <c r="D4725" s="162" t="s">
        <v>6838</v>
      </c>
      <c r="E4725" s="406" t="s">
        <v>13638</v>
      </c>
      <c r="F4725" s="406" t="s">
        <v>13533</v>
      </c>
      <c r="G4725" s="386" t="s">
        <v>13639</v>
      </c>
      <c r="H4725" s="162" t="s">
        <v>13640</v>
      </c>
      <c r="K4725" s="386" t="s">
        <v>16617</v>
      </c>
      <c r="L4725" s="162" t="s">
        <v>14529</v>
      </c>
      <c r="M4725" s="162" t="s">
        <v>16622</v>
      </c>
      <c r="N4725" s="162">
        <v>4</v>
      </c>
      <c r="O4725" s="224">
        <v>4</v>
      </c>
      <c r="P4725" s="224">
        <v>4</v>
      </c>
      <c r="Q4725" s="224">
        <v>4</v>
      </c>
      <c r="R4725" s="224">
        <v>4</v>
      </c>
      <c r="S4725" s="224">
        <v>4</v>
      </c>
      <c r="T4725" s="223" t="s">
        <v>1233</v>
      </c>
      <c r="U4725" t="str">
        <f>VLOOKUP(T4725,[8]Votes!$A$1:$E$234,3,FALSE)</f>
        <v>006 Ministry of Foreign Affairs</v>
      </c>
      <c r="V4725" s="162" t="s">
        <v>16623</v>
      </c>
      <c r="W4725" s="407">
        <v>1</v>
      </c>
      <c r="X4725" s="407">
        <v>1</v>
      </c>
      <c r="Y4725" s="407">
        <v>0</v>
      </c>
      <c r="Z4725" s="407">
        <v>1</v>
      </c>
      <c r="AA4725" s="407">
        <v>1</v>
      </c>
      <c r="AB4725" s="407">
        <v>0</v>
      </c>
      <c r="AC4725" s="150">
        <v>1</v>
      </c>
      <c r="AD4725" s="150">
        <v>1</v>
      </c>
      <c r="AE4725" s="49">
        <f t="shared" si="168"/>
        <v>0.75</v>
      </c>
      <c r="AF4725" s="485"/>
      <c r="AG4725" s="17">
        <v>0</v>
      </c>
      <c r="AH4725" s="485">
        <v>0.56999999999999995</v>
      </c>
      <c r="AI4725" s="485">
        <v>0.56999999999999995</v>
      </c>
      <c r="AJ4725" s="485">
        <v>0.56999999999999995</v>
      </c>
      <c r="AK4725" s="493">
        <v>0.56999999999999995</v>
      </c>
      <c r="AL4725" s="493">
        <v>0.56999999999999995</v>
      </c>
      <c r="AM4725" s="17">
        <f t="shared" si="169"/>
        <v>1.1399999999999999</v>
      </c>
      <c r="AN4725" s="162" t="s">
        <v>1233</v>
      </c>
      <c r="AO4725" s="162" t="s">
        <v>1650</v>
      </c>
    </row>
    <row r="4726" spans="1:41" s="162" customFormat="1" x14ac:dyDescent="0.3">
      <c r="A4726" s="536" t="s">
        <v>8321</v>
      </c>
      <c r="B4726" s="162" t="s">
        <v>8322</v>
      </c>
      <c r="C4726" s="168" t="s">
        <v>13637</v>
      </c>
      <c r="D4726" s="162" t="s">
        <v>6838</v>
      </c>
      <c r="E4726" s="406" t="s">
        <v>13638</v>
      </c>
      <c r="F4726" s="406" t="s">
        <v>13533</v>
      </c>
      <c r="G4726" s="386" t="s">
        <v>13639</v>
      </c>
      <c r="H4726" s="162" t="s">
        <v>13640</v>
      </c>
      <c r="K4726" s="386" t="s">
        <v>16617</v>
      </c>
      <c r="L4726" s="162" t="s">
        <v>14529</v>
      </c>
      <c r="M4726" s="162" t="s">
        <v>16624</v>
      </c>
      <c r="N4726" s="162">
        <v>8</v>
      </c>
      <c r="O4726" s="224">
        <v>8</v>
      </c>
      <c r="P4726" s="224">
        <v>8</v>
      </c>
      <c r="Q4726" s="224">
        <v>8</v>
      </c>
      <c r="R4726" s="224">
        <v>8</v>
      </c>
      <c r="S4726" s="224">
        <v>8</v>
      </c>
      <c r="T4726" s="223" t="s">
        <v>1233</v>
      </c>
      <c r="U4726" t="str">
        <f>VLOOKUP(T4726,[8]Votes!$A$1:$E$234,3,FALSE)</f>
        <v>006 Ministry of Foreign Affairs</v>
      </c>
      <c r="V4726" s="162" t="s">
        <v>16625</v>
      </c>
      <c r="W4726" s="407">
        <v>1</v>
      </c>
      <c r="X4726" s="407">
        <v>0</v>
      </c>
      <c r="Y4726" s="407">
        <v>0</v>
      </c>
      <c r="Z4726" s="407">
        <v>1</v>
      </c>
      <c r="AA4726" s="407">
        <v>1</v>
      </c>
      <c r="AB4726" s="407">
        <v>0</v>
      </c>
      <c r="AC4726" s="150">
        <v>0</v>
      </c>
      <c r="AD4726" s="150">
        <v>1</v>
      </c>
      <c r="AE4726" s="49">
        <f t="shared" si="168"/>
        <v>0.5</v>
      </c>
      <c r="AF4726" s="485"/>
      <c r="AG4726" s="17">
        <v>0</v>
      </c>
      <c r="AH4726" s="485">
        <v>0.29899999999999999</v>
      </c>
      <c r="AI4726" s="485">
        <v>0.29899999999999999</v>
      </c>
      <c r="AJ4726" s="485">
        <v>0.29899999999999999</v>
      </c>
      <c r="AK4726" s="493">
        <v>0.29899999999999999</v>
      </c>
      <c r="AL4726" s="493">
        <v>0.29899999999999999</v>
      </c>
      <c r="AM4726" s="17">
        <f t="shared" si="169"/>
        <v>0.59799999999999998</v>
      </c>
      <c r="AN4726" s="162" t="s">
        <v>1233</v>
      </c>
      <c r="AO4726" s="162" t="s">
        <v>1650</v>
      </c>
    </row>
    <row r="4727" spans="1:41" s="162" customFormat="1" x14ac:dyDescent="0.3">
      <c r="A4727" s="536" t="s">
        <v>8321</v>
      </c>
      <c r="B4727" s="162" t="s">
        <v>8322</v>
      </c>
      <c r="C4727" s="168" t="s">
        <v>13637</v>
      </c>
      <c r="D4727" s="162" t="s">
        <v>6838</v>
      </c>
      <c r="E4727" s="406" t="s">
        <v>13638</v>
      </c>
      <c r="F4727" s="406" t="s">
        <v>13533</v>
      </c>
      <c r="G4727" s="386" t="s">
        <v>13639</v>
      </c>
      <c r="H4727" s="162" t="s">
        <v>13640</v>
      </c>
      <c r="K4727" s="386" t="s">
        <v>16617</v>
      </c>
      <c r="L4727" s="162" t="s">
        <v>14529</v>
      </c>
      <c r="M4727" s="162" t="s">
        <v>16626</v>
      </c>
      <c r="N4727" s="162">
        <v>4</v>
      </c>
      <c r="O4727" s="224">
        <v>4</v>
      </c>
      <c r="P4727" s="224">
        <v>4</v>
      </c>
      <c r="Q4727" s="224">
        <v>4</v>
      </c>
      <c r="R4727" s="224">
        <v>4</v>
      </c>
      <c r="S4727" s="224">
        <v>4</v>
      </c>
      <c r="T4727" s="223" t="s">
        <v>3875</v>
      </c>
      <c r="U4727" t="str">
        <f>VLOOKUP(T4727,[8]Votes!$A$1:$E$234,3,FALSE)</f>
        <v>007 Ministry of Justice and Constitutional Affairs</v>
      </c>
      <c r="V4727" s="162" t="s">
        <v>16627</v>
      </c>
      <c r="W4727" s="407">
        <v>1</v>
      </c>
      <c r="X4727" s="407">
        <v>1</v>
      </c>
      <c r="Y4727" s="407">
        <v>0</v>
      </c>
      <c r="Z4727" s="407">
        <v>1</v>
      </c>
      <c r="AA4727" s="407">
        <v>1</v>
      </c>
      <c r="AB4727" s="407">
        <v>0</v>
      </c>
      <c r="AC4727" s="150">
        <v>0</v>
      </c>
      <c r="AD4727" s="150">
        <v>1</v>
      </c>
      <c r="AE4727" s="49">
        <f t="shared" si="168"/>
        <v>0.625</v>
      </c>
      <c r="AF4727" s="485"/>
      <c r="AG4727" s="17">
        <v>0</v>
      </c>
      <c r="AH4727" s="485">
        <v>0.3</v>
      </c>
      <c r="AI4727" s="485">
        <v>0.35</v>
      </c>
      <c r="AJ4727" s="485">
        <v>0.42</v>
      </c>
      <c r="AK4727" s="493">
        <v>0.45</v>
      </c>
      <c r="AL4727" s="493">
        <v>0.5</v>
      </c>
      <c r="AM4727" s="17">
        <f t="shared" si="169"/>
        <v>0.95</v>
      </c>
      <c r="AN4727" s="223" t="s">
        <v>3875</v>
      </c>
      <c r="AO4727" s="162" t="s">
        <v>3877</v>
      </c>
    </row>
    <row r="4728" spans="1:41" s="162" customFormat="1" x14ac:dyDescent="0.3">
      <c r="A4728" s="536" t="s">
        <v>8321</v>
      </c>
      <c r="B4728" s="162" t="s">
        <v>8322</v>
      </c>
      <c r="C4728" s="168" t="s">
        <v>13637</v>
      </c>
      <c r="D4728" s="162" t="s">
        <v>6838</v>
      </c>
      <c r="E4728" s="406" t="s">
        <v>13638</v>
      </c>
      <c r="F4728" s="406" t="s">
        <v>13533</v>
      </c>
      <c r="G4728" s="386" t="s">
        <v>13639</v>
      </c>
      <c r="H4728" s="162" t="s">
        <v>13640</v>
      </c>
      <c r="K4728" s="386" t="s">
        <v>16628</v>
      </c>
      <c r="L4728" s="162" t="s">
        <v>16629</v>
      </c>
      <c r="M4728" s="162" t="s">
        <v>16630</v>
      </c>
      <c r="N4728" s="162">
        <v>500</v>
      </c>
      <c r="O4728" s="224">
        <v>500</v>
      </c>
      <c r="P4728" s="224">
        <v>500</v>
      </c>
      <c r="Q4728" s="224">
        <v>500</v>
      </c>
      <c r="R4728" s="224" t="s">
        <v>16631</v>
      </c>
      <c r="S4728" s="224" t="s">
        <v>16631</v>
      </c>
      <c r="T4728" s="223" t="s">
        <v>180</v>
      </c>
      <c r="U4728" t="str">
        <f>VLOOKUP(T4728,[8]Votes!$A$1:$E$234,3,FALSE)</f>
        <v>145 Uganda Prisons</v>
      </c>
      <c r="V4728" t="s">
        <v>16632</v>
      </c>
      <c r="W4728" s="407">
        <v>1</v>
      </c>
      <c r="X4728" s="407">
        <v>1</v>
      </c>
      <c r="Y4728" s="407">
        <v>1</v>
      </c>
      <c r="Z4728" s="407">
        <v>1</v>
      </c>
      <c r="AA4728" s="407">
        <v>1</v>
      </c>
      <c r="AB4728" s="407">
        <v>0</v>
      </c>
      <c r="AC4728" s="150">
        <v>0</v>
      </c>
      <c r="AD4728" s="150">
        <v>1</v>
      </c>
      <c r="AE4728" s="49">
        <f t="shared" si="168"/>
        <v>0.75</v>
      </c>
      <c r="AF4728" s="485"/>
      <c r="AG4728" s="17">
        <v>0</v>
      </c>
      <c r="AH4728" s="485">
        <v>11.1</v>
      </c>
      <c r="AI4728" s="485">
        <v>11.8</v>
      </c>
      <c r="AJ4728" s="485">
        <v>11.6</v>
      </c>
      <c r="AK4728" s="493">
        <v>0</v>
      </c>
      <c r="AL4728" s="493">
        <v>0</v>
      </c>
      <c r="AM4728" s="17">
        <f t="shared" si="169"/>
        <v>0</v>
      </c>
      <c r="AN4728" s="162" t="s">
        <v>180</v>
      </c>
      <c r="AO4728" s="162" t="s">
        <v>182</v>
      </c>
    </row>
    <row r="4729" spans="1:41" s="162" customFormat="1" x14ac:dyDescent="0.3">
      <c r="A4729" s="536" t="s">
        <v>8321</v>
      </c>
      <c r="B4729" s="162" t="s">
        <v>8322</v>
      </c>
      <c r="C4729" s="168" t="s">
        <v>13637</v>
      </c>
      <c r="D4729" s="162" t="s">
        <v>6838</v>
      </c>
      <c r="E4729" s="406" t="s">
        <v>13638</v>
      </c>
      <c r="F4729" s="406" t="s">
        <v>13533</v>
      </c>
      <c r="G4729" s="386" t="s">
        <v>13639</v>
      </c>
      <c r="H4729" s="162" t="s">
        <v>13640</v>
      </c>
      <c r="K4729" s="386" t="s">
        <v>16633</v>
      </c>
      <c r="L4729" s="162" t="s">
        <v>16634</v>
      </c>
      <c r="M4729" s="162" t="s">
        <v>16635</v>
      </c>
      <c r="N4729" s="162">
        <v>2</v>
      </c>
      <c r="O4729" s="224">
        <v>2</v>
      </c>
      <c r="P4729" s="224">
        <v>2</v>
      </c>
      <c r="Q4729" s="224">
        <v>2</v>
      </c>
      <c r="R4729" s="224">
        <v>2</v>
      </c>
      <c r="S4729" s="224">
        <v>2</v>
      </c>
      <c r="T4729" s="223" t="s">
        <v>1233</v>
      </c>
      <c r="U4729" t="str">
        <f>VLOOKUP(T4729,[8]Votes!$A$1:$E$234,3,FALSE)</f>
        <v>006 Ministry of Foreign Affairs</v>
      </c>
      <c r="V4729" s="162" t="s">
        <v>16636</v>
      </c>
      <c r="W4729" s="407">
        <v>1</v>
      </c>
      <c r="X4729" s="407">
        <v>1</v>
      </c>
      <c r="Y4729" s="407">
        <v>1</v>
      </c>
      <c r="Z4729" s="407">
        <v>1</v>
      </c>
      <c r="AA4729" s="407">
        <v>1</v>
      </c>
      <c r="AB4729" s="407">
        <v>0</v>
      </c>
      <c r="AC4729" s="150">
        <v>1</v>
      </c>
      <c r="AD4729" s="150">
        <v>0</v>
      </c>
      <c r="AE4729" s="49">
        <f t="shared" si="168"/>
        <v>0.75</v>
      </c>
      <c r="AF4729" s="485"/>
      <c r="AG4729" s="17">
        <v>0</v>
      </c>
      <c r="AH4729" s="485">
        <v>8.6999999999999994E-3</v>
      </c>
      <c r="AI4729" s="485">
        <v>2.1999999999999999E-2</v>
      </c>
      <c r="AJ4729" s="485">
        <v>2.1999999999999999E-2</v>
      </c>
      <c r="AK4729" s="493">
        <v>2.1999999999999999E-2</v>
      </c>
      <c r="AL4729" s="493">
        <v>2.1999999999999999E-2</v>
      </c>
      <c r="AM4729" s="17">
        <f t="shared" si="169"/>
        <v>4.3999999999999997E-2</v>
      </c>
      <c r="AN4729" s="162" t="s">
        <v>1233</v>
      </c>
      <c r="AO4729" s="162" t="s">
        <v>1650</v>
      </c>
    </row>
    <row r="4730" spans="1:41" s="162" customFormat="1" x14ac:dyDescent="0.3">
      <c r="A4730" s="536" t="s">
        <v>8321</v>
      </c>
      <c r="B4730" s="162" t="s">
        <v>8322</v>
      </c>
      <c r="C4730" s="168" t="s">
        <v>13637</v>
      </c>
      <c r="D4730" s="162" t="s">
        <v>6838</v>
      </c>
      <c r="E4730" s="406" t="s">
        <v>13638</v>
      </c>
      <c r="F4730" s="406" t="s">
        <v>13533</v>
      </c>
      <c r="G4730" s="386" t="s">
        <v>13639</v>
      </c>
      <c r="H4730" s="162" t="s">
        <v>13640</v>
      </c>
      <c r="K4730" s="386" t="s">
        <v>16633</v>
      </c>
      <c r="L4730" s="162" t="s">
        <v>16634</v>
      </c>
      <c r="M4730" s="162" t="s">
        <v>16637</v>
      </c>
      <c r="N4730" s="162">
        <v>4</v>
      </c>
      <c r="O4730" s="224">
        <v>4</v>
      </c>
      <c r="P4730" s="224">
        <v>4</v>
      </c>
      <c r="Q4730" s="224">
        <v>4</v>
      </c>
      <c r="R4730" s="224">
        <v>4</v>
      </c>
      <c r="S4730" s="224">
        <v>4</v>
      </c>
      <c r="T4730" s="223" t="s">
        <v>1233</v>
      </c>
      <c r="U4730" t="str">
        <f>VLOOKUP(T4730,[8]Votes!$A$1:$E$234,3,FALSE)</f>
        <v>006 Ministry of Foreign Affairs</v>
      </c>
      <c r="V4730" s="162" t="s">
        <v>16638</v>
      </c>
      <c r="W4730" s="407">
        <v>1</v>
      </c>
      <c r="X4730" s="407">
        <v>1</v>
      </c>
      <c r="Y4730" s="407">
        <v>1</v>
      </c>
      <c r="Z4730" s="407">
        <v>1</v>
      </c>
      <c r="AA4730" s="407">
        <v>1</v>
      </c>
      <c r="AB4730" s="407">
        <v>0</v>
      </c>
      <c r="AC4730" s="150">
        <v>1</v>
      </c>
      <c r="AD4730" s="150">
        <v>0</v>
      </c>
      <c r="AE4730" s="49">
        <f t="shared" ref="AE4730:AE4793" si="170">SUM(W4730:AD4730)/8</f>
        <v>0.75</v>
      </c>
      <c r="AF4730" s="485"/>
      <c r="AG4730" s="17">
        <v>0</v>
      </c>
      <c r="AH4730" s="485">
        <v>8.6999999999999994E-3</v>
      </c>
      <c r="AI4730" s="485">
        <v>2.1999999999999999E-2</v>
      </c>
      <c r="AJ4730" s="485">
        <v>2.1999999999999999E-2</v>
      </c>
      <c r="AK4730" s="493">
        <v>2.1999999999999999E-2</v>
      </c>
      <c r="AL4730" s="493">
        <v>2.1999999999999999E-2</v>
      </c>
      <c r="AM4730" s="17">
        <f t="shared" ref="AM4730:AM4793" si="171">SUM(AK4730:AL4730)</f>
        <v>4.3999999999999997E-2</v>
      </c>
      <c r="AN4730" s="162" t="s">
        <v>1233</v>
      </c>
      <c r="AO4730" s="162" t="s">
        <v>1650</v>
      </c>
    </row>
    <row r="4731" spans="1:41" s="162" customFormat="1" x14ac:dyDescent="0.3">
      <c r="A4731" s="536" t="s">
        <v>8321</v>
      </c>
      <c r="B4731" s="162" t="s">
        <v>8322</v>
      </c>
      <c r="C4731" s="168" t="s">
        <v>13637</v>
      </c>
      <c r="D4731" s="162" t="s">
        <v>6838</v>
      </c>
      <c r="E4731" s="406" t="s">
        <v>13638</v>
      </c>
      <c r="F4731" s="406" t="s">
        <v>13533</v>
      </c>
      <c r="G4731" s="386" t="s">
        <v>13639</v>
      </c>
      <c r="H4731" s="162" t="s">
        <v>13640</v>
      </c>
      <c r="K4731" s="386" t="s">
        <v>16633</v>
      </c>
      <c r="L4731" s="162" t="s">
        <v>16634</v>
      </c>
      <c r="M4731" s="162" t="s">
        <v>16639</v>
      </c>
      <c r="N4731" s="162">
        <v>4</v>
      </c>
      <c r="O4731" s="224">
        <v>4</v>
      </c>
      <c r="P4731" s="224">
        <v>4</v>
      </c>
      <c r="Q4731" s="224">
        <v>4</v>
      </c>
      <c r="R4731" s="224">
        <v>4</v>
      </c>
      <c r="S4731" s="224">
        <v>4</v>
      </c>
      <c r="T4731" s="223" t="s">
        <v>1233</v>
      </c>
      <c r="U4731" t="str">
        <f>VLOOKUP(T4731,[8]Votes!$A$1:$E$234,3,FALSE)</f>
        <v>006 Ministry of Foreign Affairs</v>
      </c>
      <c r="V4731" s="162" t="s">
        <v>16640</v>
      </c>
      <c r="W4731" s="407">
        <v>1</v>
      </c>
      <c r="X4731" s="407">
        <v>1</v>
      </c>
      <c r="Y4731" s="407">
        <v>1</v>
      </c>
      <c r="Z4731" s="407">
        <v>1</v>
      </c>
      <c r="AA4731" s="407">
        <v>1</v>
      </c>
      <c r="AB4731" s="407">
        <v>0</v>
      </c>
      <c r="AC4731" s="150">
        <v>1</v>
      </c>
      <c r="AD4731" s="150">
        <v>0</v>
      </c>
      <c r="AE4731" s="49">
        <f t="shared" si="170"/>
        <v>0.75</v>
      </c>
      <c r="AF4731" s="485"/>
      <c r="AG4731" s="17">
        <v>0</v>
      </c>
      <c r="AH4731" s="485">
        <v>8.6999999999999994E-3</v>
      </c>
      <c r="AI4731" s="485">
        <v>2.1999999999999999E-2</v>
      </c>
      <c r="AJ4731" s="485">
        <v>2.1999999999999999E-2</v>
      </c>
      <c r="AK4731" s="493">
        <v>2.1999999999999999E-2</v>
      </c>
      <c r="AL4731" s="493">
        <v>2.1999999999999999E-2</v>
      </c>
      <c r="AM4731" s="17">
        <f t="shared" si="171"/>
        <v>4.3999999999999997E-2</v>
      </c>
      <c r="AN4731" s="162" t="s">
        <v>1233</v>
      </c>
      <c r="AO4731" s="162" t="s">
        <v>1650</v>
      </c>
    </row>
    <row r="4732" spans="1:41" s="162" customFormat="1" x14ac:dyDescent="0.3">
      <c r="A4732" s="536" t="s">
        <v>8321</v>
      </c>
      <c r="B4732" s="162" t="s">
        <v>8322</v>
      </c>
      <c r="C4732" s="168" t="s">
        <v>13637</v>
      </c>
      <c r="D4732" s="162" t="s">
        <v>6838</v>
      </c>
      <c r="E4732" s="406" t="s">
        <v>13638</v>
      </c>
      <c r="F4732" s="406" t="s">
        <v>13533</v>
      </c>
      <c r="G4732" s="386" t="s">
        <v>13639</v>
      </c>
      <c r="H4732" s="162" t="s">
        <v>13640</v>
      </c>
      <c r="K4732" s="386" t="s">
        <v>16641</v>
      </c>
      <c r="L4732" s="162" t="s">
        <v>16642</v>
      </c>
      <c r="M4732" s="162" t="s">
        <v>16643</v>
      </c>
      <c r="N4732" s="462">
        <v>1</v>
      </c>
      <c r="O4732" s="492">
        <v>1</v>
      </c>
      <c r="P4732" s="492">
        <v>1</v>
      </c>
      <c r="Q4732" s="492">
        <v>1</v>
      </c>
      <c r="R4732" s="492">
        <v>1</v>
      </c>
      <c r="S4732" s="492">
        <v>1</v>
      </c>
      <c r="T4732" s="223" t="s">
        <v>1233</v>
      </c>
      <c r="U4732" t="str">
        <f>VLOOKUP(T4732,[8]Votes!$A$1:$E$234,3,FALSE)</f>
        <v>006 Ministry of Foreign Affairs</v>
      </c>
      <c r="V4732" s="162" t="s">
        <v>16644</v>
      </c>
      <c r="W4732" s="407">
        <v>1</v>
      </c>
      <c r="X4732" s="407">
        <v>1</v>
      </c>
      <c r="Y4732" s="407">
        <v>1</v>
      </c>
      <c r="Z4732" s="407">
        <v>1</v>
      </c>
      <c r="AA4732" s="407">
        <v>1</v>
      </c>
      <c r="AB4732" s="407">
        <v>0</v>
      </c>
      <c r="AC4732" s="150">
        <v>1</v>
      </c>
      <c r="AD4732" s="150">
        <v>0</v>
      </c>
      <c r="AE4732" s="49">
        <f t="shared" si="170"/>
        <v>0.75</v>
      </c>
      <c r="AF4732" s="485"/>
      <c r="AG4732" s="17">
        <v>0</v>
      </c>
      <c r="AH4732" s="485">
        <v>5.85</v>
      </c>
      <c r="AI4732" s="485">
        <v>5.85</v>
      </c>
      <c r="AJ4732" s="485">
        <v>5.85</v>
      </c>
      <c r="AK4732" s="493">
        <v>0</v>
      </c>
      <c r="AL4732" s="493">
        <v>0</v>
      </c>
      <c r="AM4732" s="17">
        <f t="shared" si="171"/>
        <v>0</v>
      </c>
      <c r="AN4732" s="162" t="s">
        <v>1233</v>
      </c>
      <c r="AO4732" s="162" t="s">
        <v>1650</v>
      </c>
    </row>
    <row r="4733" spans="1:41" s="162" customFormat="1" x14ac:dyDescent="0.3">
      <c r="A4733" s="536" t="s">
        <v>8321</v>
      </c>
      <c r="B4733" s="162" t="s">
        <v>8322</v>
      </c>
      <c r="C4733" s="168" t="s">
        <v>13637</v>
      </c>
      <c r="D4733" s="162" t="s">
        <v>6838</v>
      </c>
      <c r="E4733" s="406" t="s">
        <v>13638</v>
      </c>
      <c r="F4733" s="406" t="s">
        <v>13533</v>
      </c>
      <c r="G4733" s="386" t="s">
        <v>13639</v>
      </c>
      <c r="H4733" s="162" t="s">
        <v>13640</v>
      </c>
      <c r="K4733" s="386" t="s">
        <v>16641</v>
      </c>
      <c r="L4733" s="162" t="s">
        <v>16642</v>
      </c>
      <c r="M4733" s="162" t="s">
        <v>16645</v>
      </c>
      <c r="N4733" s="462">
        <v>0.6</v>
      </c>
      <c r="O4733" s="492">
        <v>0.62</v>
      </c>
      <c r="P4733" s="492">
        <v>0.64</v>
      </c>
      <c r="Q4733" s="492">
        <v>0.66</v>
      </c>
      <c r="R4733" s="492">
        <v>0.68</v>
      </c>
      <c r="S4733" s="492">
        <v>0.7</v>
      </c>
      <c r="T4733" s="223" t="s">
        <v>1233</v>
      </c>
      <c r="U4733" t="str">
        <f>VLOOKUP(T4733,[8]Votes!$A$1:$E$234,3,FALSE)</f>
        <v>006 Ministry of Foreign Affairs</v>
      </c>
      <c r="V4733" s="162" t="s">
        <v>16646</v>
      </c>
      <c r="W4733" s="407">
        <v>1</v>
      </c>
      <c r="X4733" s="407">
        <v>1</v>
      </c>
      <c r="Y4733" s="407">
        <v>1</v>
      </c>
      <c r="Z4733" s="407">
        <v>1</v>
      </c>
      <c r="AA4733" s="407">
        <v>1</v>
      </c>
      <c r="AB4733" s="407">
        <v>0</v>
      </c>
      <c r="AC4733" s="150">
        <v>1</v>
      </c>
      <c r="AD4733" s="150">
        <v>0</v>
      </c>
      <c r="AE4733" s="49">
        <f t="shared" si="170"/>
        <v>0.75</v>
      </c>
      <c r="AF4733" s="485"/>
      <c r="AG4733" s="17">
        <v>0</v>
      </c>
      <c r="AH4733" s="485">
        <v>3.16</v>
      </c>
      <c r="AI4733" s="485">
        <v>3.16</v>
      </c>
      <c r="AJ4733" s="485">
        <v>3.16</v>
      </c>
      <c r="AK4733" s="493">
        <v>0</v>
      </c>
      <c r="AL4733" s="493">
        <v>0</v>
      </c>
      <c r="AM4733" s="17">
        <f t="shared" si="171"/>
        <v>0</v>
      </c>
      <c r="AN4733" s="162" t="s">
        <v>1233</v>
      </c>
      <c r="AO4733" s="162" t="s">
        <v>1650</v>
      </c>
    </row>
    <row r="4734" spans="1:41" s="162" customFormat="1" x14ac:dyDescent="0.3">
      <c r="A4734" s="536" t="s">
        <v>8321</v>
      </c>
      <c r="B4734" s="162" t="s">
        <v>8322</v>
      </c>
      <c r="C4734" s="168" t="s">
        <v>13637</v>
      </c>
      <c r="D4734" s="162" t="s">
        <v>6838</v>
      </c>
      <c r="E4734" s="406" t="s">
        <v>13638</v>
      </c>
      <c r="F4734" s="406" t="s">
        <v>13533</v>
      </c>
      <c r="G4734" s="386" t="s">
        <v>13639</v>
      </c>
      <c r="H4734" s="162" t="s">
        <v>13640</v>
      </c>
      <c r="K4734" s="386" t="s">
        <v>16641</v>
      </c>
      <c r="L4734" s="162" t="s">
        <v>16642</v>
      </c>
      <c r="M4734" s="162" t="s">
        <v>16647</v>
      </c>
      <c r="N4734" s="462">
        <v>0.8</v>
      </c>
      <c r="O4734" s="492">
        <v>0.8</v>
      </c>
      <c r="P4734" s="492">
        <v>0.8</v>
      </c>
      <c r="Q4734" s="492">
        <v>0.8</v>
      </c>
      <c r="R4734" s="492">
        <v>0.8</v>
      </c>
      <c r="S4734" s="492">
        <v>0.8</v>
      </c>
      <c r="T4734" s="223" t="s">
        <v>1233</v>
      </c>
      <c r="U4734" t="str">
        <f>VLOOKUP(T4734,[8]Votes!$A$1:$E$234,3,FALSE)</f>
        <v>006 Ministry of Foreign Affairs</v>
      </c>
      <c r="V4734" s="162" t="s">
        <v>16648</v>
      </c>
      <c r="W4734" s="407">
        <v>1</v>
      </c>
      <c r="X4734" s="407">
        <v>1</v>
      </c>
      <c r="Y4734" s="407">
        <v>1</v>
      </c>
      <c r="Z4734" s="407">
        <v>1</v>
      </c>
      <c r="AA4734" s="407">
        <v>1</v>
      </c>
      <c r="AB4734" s="407">
        <v>0</v>
      </c>
      <c r="AC4734" s="150">
        <v>1</v>
      </c>
      <c r="AD4734" s="150">
        <v>0</v>
      </c>
      <c r="AE4734" s="49">
        <f t="shared" si="170"/>
        <v>0.75</v>
      </c>
      <c r="AF4734" s="485"/>
      <c r="AG4734" s="17">
        <v>0</v>
      </c>
      <c r="AH4734" s="485">
        <v>1.66</v>
      </c>
      <c r="AI4734" s="485">
        <v>1.66</v>
      </c>
      <c r="AJ4734" s="485">
        <v>1.66</v>
      </c>
      <c r="AK4734" s="493">
        <v>0</v>
      </c>
      <c r="AL4734" s="493">
        <v>0</v>
      </c>
      <c r="AM4734" s="17">
        <f t="shared" si="171"/>
        <v>0</v>
      </c>
      <c r="AN4734" s="162" t="s">
        <v>1233</v>
      </c>
      <c r="AO4734" s="162" t="s">
        <v>1650</v>
      </c>
    </row>
    <row r="4735" spans="1:41" s="162" customFormat="1" x14ac:dyDescent="0.3">
      <c r="A4735" s="536" t="s">
        <v>8321</v>
      </c>
      <c r="B4735" s="162" t="s">
        <v>8322</v>
      </c>
      <c r="C4735" s="168" t="s">
        <v>13637</v>
      </c>
      <c r="D4735" s="162" t="s">
        <v>6838</v>
      </c>
      <c r="E4735" s="406" t="s">
        <v>13638</v>
      </c>
      <c r="F4735" s="406" t="s">
        <v>13533</v>
      </c>
      <c r="G4735" s="386" t="s">
        <v>13639</v>
      </c>
      <c r="H4735" s="162" t="s">
        <v>13640</v>
      </c>
      <c r="K4735" s="386" t="s">
        <v>16641</v>
      </c>
      <c r="L4735" s="162" t="s">
        <v>16642</v>
      </c>
      <c r="M4735" s="162" t="s">
        <v>16649</v>
      </c>
      <c r="N4735" s="162">
        <v>3</v>
      </c>
      <c r="O4735" s="224">
        <v>3</v>
      </c>
      <c r="P4735" s="224">
        <v>3</v>
      </c>
      <c r="Q4735" s="224">
        <v>3</v>
      </c>
      <c r="R4735" s="224">
        <v>3</v>
      </c>
      <c r="S4735" s="224">
        <v>3</v>
      </c>
      <c r="T4735" s="223" t="s">
        <v>1233</v>
      </c>
      <c r="U4735" t="str">
        <f>VLOOKUP(T4735,[8]Votes!$A$1:$E$234,3,FALSE)</f>
        <v>006 Ministry of Foreign Affairs</v>
      </c>
      <c r="V4735" s="162" t="s">
        <v>16650</v>
      </c>
      <c r="W4735" s="407">
        <v>1</v>
      </c>
      <c r="X4735" s="407">
        <v>1</v>
      </c>
      <c r="Y4735" s="407">
        <v>1</v>
      </c>
      <c r="Z4735" s="407">
        <v>1</v>
      </c>
      <c r="AA4735" s="407">
        <v>1</v>
      </c>
      <c r="AB4735" s="407">
        <v>0</v>
      </c>
      <c r="AC4735" s="150">
        <v>0</v>
      </c>
      <c r="AD4735" s="150">
        <v>0</v>
      </c>
      <c r="AE4735" s="49">
        <f t="shared" si="170"/>
        <v>0.625</v>
      </c>
      <c r="AF4735" s="485"/>
      <c r="AG4735" s="17">
        <v>0</v>
      </c>
      <c r="AH4735" s="485">
        <v>0.08</v>
      </c>
      <c r="AI4735" s="485">
        <v>0.08</v>
      </c>
      <c r="AJ4735" s="485">
        <v>0.08</v>
      </c>
      <c r="AK4735" s="493">
        <v>0.08</v>
      </c>
      <c r="AL4735" s="493">
        <v>0.08</v>
      </c>
      <c r="AM4735" s="17">
        <f t="shared" si="171"/>
        <v>0.16</v>
      </c>
      <c r="AN4735" s="162" t="s">
        <v>1233</v>
      </c>
      <c r="AO4735" s="162" t="s">
        <v>1650</v>
      </c>
    </row>
    <row r="4736" spans="1:41" s="162" customFormat="1" x14ac:dyDescent="0.3">
      <c r="A4736" s="536" t="s">
        <v>8321</v>
      </c>
      <c r="B4736" s="162" t="s">
        <v>8322</v>
      </c>
      <c r="C4736" s="168" t="s">
        <v>13637</v>
      </c>
      <c r="D4736" s="162" t="s">
        <v>6838</v>
      </c>
      <c r="E4736" s="406" t="s">
        <v>13638</v>
      </c>
      <c r="F4736" s="406" t="s">
        <v>13533</v>
      </c>
      <c r="G4736" s="386" t="s">
        <v>13639</v>
      </c>
      <c r="H4736" s="162" t="s">
        <v>13640</v>
      </c>
      <c r="K4736" s="386" t="s">
        <v>16641</v>
      </c>
      <c r="L4736" s="162" t="s">
        <v>16642</v>
      </c>
      <c r="M4736" s="162" t="s">
        <v>16651</v>
      </c>
      <c r="N4736" s="162">
        <v>4</v>
      </c>
      <c r="O4736" s="224">
        <v>4</v>
      </c>
      <c r="P4736" s="224">
        <v>4</v>
      </c>
      <c r="Q4736" s="224">
        <v>4</v>
      </c>
      <c r="R4736" s="224">
        <v>4</v>
      </c>
      <c r="S4736" s="224">
        <v>4</v>
      </c>
      <c r="T4736" s="223" t="s">
        <v>1233</v>
      </c>
      <c r="U4736" t="str">
        <f>VLOOKUP(T4736,[8]Votes!$A$1:$E$234,3,FALSE)</f>
        <v>006 Ministry of Foreign Affairs</v>
      </c>
      <c r="V4736" s="162" t="s">
        <v>16652</v>
      </c>
      <c r="W4736" s="407">
        <v>1</v>
      </c>
      <c r="X4736" s="407">
        <v>1</v>
      </c>
      <c r="Y4736" s="407">
        <v>1</v>
      </c>
      <c r="Z4736" s="407">
        <v>1</v>
      </c>
      <c r="AA4736" s="407">
        <v>1</v>
      </c>
      <c r="AB4736" s="407">
        <v>0</v>
      </c>
      <c r="AC4736" s="150">
        <v>1</v>
      </c>
      <c r="AD4736" s="150">
        <v>0</v>
      </c>
      <c r="AE4736" s="49">
        <f t="shared" si="170"/>
        <v>0.75</v>
      </c>
      <c r="AF4736" s="485"/>
      <c r="AG4736" s="17">
        <v>0</v>
      </c>
      <c r="AH4736" s="485">
        <v>0.08</v>
      </c>
      <c r="AI4736" s="485">
        <v>0.08</v>
      </c>
      <c r="AJ4736" s="485">
        <v>0.08</v>
      </c>
      <c r="AK4736" s="493">
        <v>0.08</v>
      </c>
      <c r="AL4736" s="493">
        <v>0.08</v>
      </c>
      <c r="AM4736" s="17">
        <f t="shared" si="171"/>
        <v>0.16</v>
      </c>
      <c r="AN4736" s="162" t="s">
        <v>1233</v>
      </c>
      <c r="AO4736" s="162" t="s">
        <v>1650</v>
      </c>
    </row>
    <row r="4737" spans="1:41" s="162" customFormat="1" x14ac:dyDescent="0.3">
      <c r="A4737" s="536" t="s">
        <v>8321</v>
      </c>
      <c r="B4737" s="162" t="s">
        <v>8322</v>
      </c>
      <c r="C4737" s="168" t="s">
        <v>13637</v>
      </c>
      <c r="D4737" s="162" t="s">
        <v>6838</v>
      </c>
      <c r="E4737" s="406" t="s">
        <v>13638</v>
      </c>
      <c r="F4737" s="406" t="s">
        <v>13533</v>
      </c>
      <c r="G4737" s="386" t="s">
        <v>13639</v>
      </c>
      <c r="H4737" s="162" t="s">
        <v>13640</v>
      </c>
      <c r="K4737" s="386" t="s">
        <v>16641</v>
      </c>
      <c r="L4737" s="162" t="s">
        <v>16642</v>
      </c>
      <c r="M4737" s="162" t="s">
        <v>16653</v>
      </c>
      <c r="N4737" s="462">
        <v>0.5</v>
      </c>
      <c r="O4737" s="492">
        <v>0.52</v>
      </c>
      <c r="P4737" s="492">
        <v>0.55000000000000004</v>
      </c>
      <c r="Q4737" s="492">
        <v>0.56999999999999995</v>
      </c>
      <c r="R4737" s="492">
        <v>0.57999999999999996</v>
      </c>
      <c r="S4737" s="492">
        <v>0.6</v>
      </c>
      <c r="T4737" s="223" t="s">
        <v>1233</v>
      </c>
      <c r="U4737" t="str">
        <f>VLOOKUP(T4737,[8]Votes!$A$1:$E$234,3,FALSE)</f>
        <v>006 Ministry of Foreign Affairs</v>
      </c>
      <c r="V4737" s="162" t="s">
        <v>16654</v>
      </c>
      <c r="W4737" s="407">
        <v>1</v>
      </c>
      <c r="X4737" s="407">
        <v>0</v>
      </c>
      <c r="Y4737" s="407">
        <v>0</v>
      </c>
      <c r="Z4737" s="407">
        <v>1</v>
      </c>
      <c r="AA4737" s="407">
        <v>1</v>
      </c>
      <c r="AB4737" s="407">
        <v>0</v>
      </c>
      <c r="AC4737" s="150">
        <v>0</v>
      </c>
      <c r="AD4737" s="150">
        <v>0</v>
      </c>
      <c r="AE4737" s="49">
        <f t="shared" si="170"/>
        <v>0.375</v>
      </c>
      <c r="AF4737" s="485"/>
      <c r="AG4737" s="17">
        <v>0</v>
      </c>
      <c r="AH4737" s="485">
        <v>0.08</v>
      </c>
      <c r="AI4737" s="485">
        <v>0.08</v>
      </c>
      <c r="AJ4737" s="485">
        <v>0.08</v>
      </c>
      <c r="AK4737" s="493">
        <v>0.08</v>
      </c>
      <c r="AL4737" s="493">
        <v>0.08</v>
      </c>
      <c r="AM4737" s="17">
        <f t="shared" si="171"/>
        <v>0.16</v>
      </c>
      <c r="AN4737" s="162" t="s">
        <v>1233</v>
      </c>
      <c r="AO4737" s="162" t="s">
        <v>1650</v>
      </c>
    </row>
    <row r="4738" spans="1:41" s="162" customFormat="1" x14ac:dyDescent="0.3">
      <c r="A4738" s="536" t="s">
        <v>8321</v>
      </c>
      <c r="B4738" s="162" t="s">
        <v>8322</v>
      </c>
      <c r="C4738" s="168" t="s">
        <v>13637</v>
      </c>
      <c r="D4738" s="162" t="s">
        <v>6838</v>
      </c>
      <c r="E4738" s="406" t="s">
        <v>13638</v>
      </c>
      <c r="F4738" s="406" t="s">
        <v>13533</v>
      </c>
      <c r="G4738" s="386" t="s">
        <v>13639</v>
      </c>
      <c r="H4738" s="162" t="s">
        <v>13640</v>
      </c>
      <c r="K4738" s="386" t="s">
        <v>16641</v>
      </c>
      <c r="L4738" s="162" t="s">
        <v>16642</v>
      </c>
      <c r="M4738" s="162" t="s">
        <v>16655</v>
      </c>
      <c r="N4738" s="162">
        <v>80</v>
      </c>
      <c r="O4738" s="224">
        <v>80</v>
      </c>
      <c r="P4738" s="224">
        <v>80</v>
      </c>
      <c r="Q4738" s="224">
        <v>80</v>
      </c>
      <c r="R4738" s="224">
        <v>80</v>
      </c>
      <c r="S4738" s="224">
        <v>80</v>
      </c>
      <c r="T4738" s="223" t="s">
        <v>1233</v>
      </c>
      <c r="U4738" t="str">
        <f>VLOOKUP(T4738,[8]Votes!$A$1:$E$234,3,FALSE)</f>
        <v>006 Ministry of Foreign Affairs</v>
      </c>
      <c r="V4738" s="162" t="s">
        <v>16656</v>
      </c>
      <c r="W4738" s="407">
        <v>1</v>
      </c>
      <c r="X4738" s="407">
        <v>1</v>
      </c>
      <c r="Y4738" s="407">
        <v>1</v>
      </c>
      <c r="Z4738" s="407">
        <v>1</v>
      </c>
      <c r="AA4738" s="407">
        <v>1</v>
      </c>
      <c r="AB4738" s="407">
        <v>0</v>
      </c>
      <c r="AC4738" s="150">
        <v>1</v>
      </c>
      <c r="AD4738" s="150">
        <v>0</v>
      </c>
      <c r="AE4738" s="49">
        <f t="shared" si="170"/>
        <v>0.75</v>
      </c>
      <c r="AF4738" s="485"/>
      <c r="AG4738" s="17">
        <v>0</v>
      </c>
      <c r="AH4738" s="485">
        <v>0.29399999999999998</v>
      </c>
      <c r="AI4738" s="485">
        <v>0.29399999999999998</v>
      </c>
      <c r="AJ4738" s="485">
        <v>0.29399999999999998</v>
      </c>
      <c r="AK4738" s="493">
        <v>0.29399999999999998</v>
      </c>
      <c r="AL4738" s="493">
        <v>0.29399999999999998</v>
      </c>
      <c r="AM4738" s="17">
        <f t="shared" si="171"/>
        <v>0.58799999999999997</v>
      </c>
      <c r="AN4738" s="162" t="s">
        <v>1233</v>
      </c>
      <c r="AO4738" s="162" t="s">
        <v>1650</v>
      </c>
    </row>
    <row r="4739" spans="1:41" s="162" customFormat="1" x14ac:dyDescent="0.3">
      <c r="A4739" s="536" t="s">
        <v>8321</v>
      </c>
      <c r="B4739" s="162" t="s">
        <v>8322</v>
      </c>
      <c r="C4739" s="168" t="s">
        <v>13637</v>
      </c>
      <c r="D4739" s="162" t="s">
        <v>6838</v>
      </c>
      <c r="E4739" s="406" t="s">
        <v>13638</v>
      </c>
      <c r="F4739" s="406" t="s">
        <v>13533</v>
      </c>
      <c r="G4739" s="386" t="s">
        <v>13639</v>
      </c>
      <c r="H4739" s="162" t="s">
        <v>13640</v>
      </c>
      <c r="K4739" s="386" t="s">
        <v>16641</v>
      </c>
      <c r="L4739" s="162" t="s">
        <v>16642</v>
      </c>
      <c r="M4739" s="162" t="s">
        <v>16657</v>
      </c>
      <c r="N4739" s="162">
        <v>1</v>
      </c>
      <c r="O4739" s="224">
        <v>1</v>
      </c>
      <c r="P4739" s="224">
        <v>1</v>
      </c>
      <c r="Q4739" s="224">
        <v>1</v>
      </c>
      <c r="R4739" s="224">
        <v>1</v>
      </c>
      <c r="S4739" s="224">
        <v>1</v>
      </c>
      <c r="T4739" s="223" t="s">
        <v>1233</v>
      </c>
      <c r="U4739" t="str">
        <f>VLOOKUP(T4739,[8]Votes!$A$1:$E$234,3,FALSE)</f>
        <v>006 Ministry of Foreign Affairs</v>
      </c>
      <c r="V4739" s="162" t="s">
        <v>16658</v>
      </c>
      <c r="W4739" s="407">
        <v>1</v>
      </c>
      <c r="X4739" s="407">
        <v>1</v>
      </c>
      <c r="Y4739" s="407">
        <v>1</v>
      </c>
      <c r="Z4739" s="407">
        <v>1</v>
      </c>
      <c r="AA4739" s="407">
        <v>1</v>
      </c>
      <c r="AB4739" s="407">
        <v>0</v>
      </c>
      <c r="AC4739" s="150">
        <v>1</v>
      </c>
      <c r="AD4739" s="150"/>
      <c r="AE4739" s="49">
        <f t="shared" si="170"/>
        <v>0.75</v>
      </c>
      <c r="AF4739" s="485"/>
      <c r="AG4739" s="17">
        <v>0</v>
      </c>
      <c r="AH4739" s="485">
        <v>0.08</v>
      </c>
      <c r="AI4739" s="485">
        <v>0.08</v>
      </c>
      <c r="AJ4739" s="485">
        <v>0.08</v>
      </c>
      <c r="AK4739" s="493">
        <v>0.08</v>
      </c>
      <c r="AL4739" s="493">
        <v>0.08</v>
      </c>
      <c r="AM4739" s="17">
        <f t="shared" si="171"/>
        <v>0.16</v>
      </c>
      <c r="AN4739" s="162" t="s">
        <v>1233</v>
      </c>
      <c r="AO4739" s="162" t="s">
        <v>1650</v>
      </c>
    </row>
    <row r="4740" spans="1:41" s="162" customFormat="1" x14ac:dyDescent="0.3">
      <c r="A4740" s="536" t="s">
        <v>8321</v>
      </c>
      <c r="B4740" s="162" t="s">
        <v>8322</v>
      </c>
      <c r="C4740" s="168" t="s">
        <v>13637</v>
      </c>
      <c r="D4740" s="162" t="s">
        <v>6838</v>
      </c>
      <c r="E4740" s="406" t="s">
        <v>13638</v>
      </c>
      <c r="F4740" s="406" t="s">
        <v>13533</v>
      </c>
      <c r="G4740" s="386" t="s">
        <v>13639</v>
      </c>
      <c r="H4740" s="162" t="s">
        <v>13640</v>
      </c>
      <c r="K4740" s="386" t="s">
        <v>16641</v>
      </c>
      <c r="L4740" s="162" t="s">
        <v>16642</v>
      </c>
      <c r="M4740" s="162" t="s">
        <v>16659</v>
      </c>
      <c r="N4740" s="462">
        <v>1</v>
      </c>
      <c r="O4740" s="492">
        <v>1</v>
      </c>
      <c r="P4740" s="492">
        <v>1</v>
      </c>
      <c r="Q4740" s="492">
        <v>1</v>
      </c>
      <c r="R4740" s="492">
        <v>1</v>
      </c>
      <c r="S4740" s="492">
        <v>1</v>
      </c>
      <c r="T4740" s="223" t="s">
        <v>1233</v>
      </c>
      <c r="U4740" t="str">
        <f>VLOOKUP(T4740,[8]Votes!$A$1:$E$234,3,FALSE)</f>
        <v>006 Ministry of Foreign Affairs</v>
      </c>
      <c r="V4740" s="162" t="s">
        <v>16660</v>
      </c>
      <c r="W4740" s="407">
        <v>1</v>
      </c>
      <c r="X4740" s="407">
        <v>0</v>
      </c>
      <c r="Y4740" s="407">
        <v>0</v>
      </c>
      <c r="Z4740" s="407">
        <v>1</v>
      </c>
      <c r="AA4740" s="407">
        <v>1</v>
      </c>
      <c r="AB4740" s="407">
        <v>0</v>
      </c>
      <c r="AC4740" s="150">
        <v>0</v>
      </c>
      <c r="AD4740" s="150">
        <v>0</v>
      </c>
      <c r="AE4740" s="49">
        <f t="shared" si="170"/>
        <v>0.375</v>
      </c>
      <c r="AF4740" s="485"/>
      <c r="AG4740" s="17">
        <v>0</v>
      </c>
      <c r="AH4740" s="485">
        <v>0.08</v>
      </c>
      <c r="AI4740" s="485">
        <v>0.08</v>
      </c>
      <c r="AJ4740" s="485">
        <v>0.08</v>
      </c>
      <c r="AK4740" s="493">
        <v>0.08</v>
      </c>
      <c r="AL4740" s="493">
        <v>0.08</v>
      </c>
      <c r="AM4740" s="17">
        <f t="shared" si="171"/>
        <v>0.16</v>
      </c>
      <c r="AN4740" s="162" t="s">
        <v>1233</v>
      </c>
      <c r="AO4740" s="162" t="s">
        <v>1650</v>
      </c>
    </row>
    <row r="4741" spans="1:41" s="162" customFormat="1" x14ac:dyDescent="0.3">
      <c r="A4741" s="536" t="s">
        <v>8321</v>
      </c>
      <c r="B4741" s="162" t="s">
        <v>8322</v>
      </c>
      <c r="C4741" s="168" t="s">
        <v>13637</v>
      </c>
      <c r="D4741" s="162" t="s">
        <v>6838</v>
      </c>
      <c r="E4741" s="406" t="s">
        <v>13638</v>
      </c>
      <c r="F4741" s="406" t="s">
        <v>13533</v>
      </c>
      <c r="G4741" s="386" t="s">
        <v>13639</v>
      </c>
      <c r="H4741" s="162" t="s">
        <v>13640</v>
      </c>
      <c r="K4741" s="386" t="s">
        <v>16641</v>
      </c>
      <c r="L4741" s="162" t="s">
        <v>16642</v>
      </c>
      <c r="M4741" s="162" t="s">
        <v>16661</v>
      </c>
      <c r="N4741" s="462">
        <v>0.8</v>
      </c>
      <c r="O4741" s="492">
        <v>1</v>
      </c>
      <c r="P4741" s="492">
        <v>1</v>
      </c>
      <c r="Q4741" s="492">
        <v>1</v>
      </c>
      <c r="R4741" s="492">
        <v>1</v>
      </c>
      <c r="S4741" s="492">
        <v>1</v>
      </c>
      <c r="T4741" s="223" t="s">
        <v>1233</v>
      </c>
      <c r="U4741" t="str">
        <f>VLOOKUP(T4741,[8]Votes!$A$1:$E$234,3,FALSE)</f>
        <v>006 Ministry of Foreign Affairs</v>
      </c>
      <c r="V4741" s="162" t="s">
        <v>16662</v>
      </c>
      <c r="W4741" s="407">
        <v>1</v>
      </c>
      <c r="X4741" s="407">
        <v>0</v>
      </c>
      <c r="Y4741" s="407">
        <v>0</v>
      </c>
      <c r="Z4741" s="407">
        <v>1</v>
      </c>
      <c r="AA4741" s="407">
        <v>1</v>
      </c>
      <c r="AB4741" s="407">
        <v>0</v>
      </c>
      <c r="AC4741" s="150">
        <v>0</v>
      </c>
      <c r="AD4741" s="150">
        <v>0</v>
      </c>
      <c r="AE4741" s="49">
        <f t="shared" si="170"/>
        <v>0.375</v>
      </c>
      <c r="AF4741" s="485"/>
      <c r="AG4741" s="17">
        <v>0</v>
      </c>
      <c r="AH4741" s="485">
        <v>0.08</v>
      </c>
      <c r="AI4741" s="485">
        <v>0.08</v>
      </c>
      <c r="AJ4741" s="485">
        <v>0.08</v>
      </c>
      <c r="AK4741" s="493">
        <v>0.08</v>
      </c>
      <c r="AL4741" s="493">
        <v>0.08</v>
      </c>
      <c r="AM4741" s="17">
        <f t="shared" si="171"/>
        <v>0.16</v>
      </c>
      <c r="AN4741" s="162" t="s">
        <v>1233</v>
      </c>
      <c r="AO4741" s="162" t="s">
        <v>1650</v>
      </c>
    </row>
    <row r="4742" spans="1:41" s="162" customFormat="1" x14ac:dyDescent="0.3">
      <c r="A4742" s="536" t="s">
        <v>8321</v>
      </c>
      <c r="B4742" s="162" t="s">
        <v>8322</v>
      </c>
      <c r="C4742" s="168" t="s">
        <v>13637</v>
      </c>
      <c r="D4742" s="162" t="s">
        <v>6838</v>
      </c>
      <c r="E4742" s="406" t="s">
        <v>13638</v>
      </c>
      <c r="F4742" s="406" t="s">
        <v>13533</v>
      </c>
      <c r="G4742" s="386" t="s">
        <v>13639</v>
      </c>
      <c r="H4742" s="162" t="s">
        <v>13640</v>
      </c>
      <c r="K4742" s="386" t="s">
        <v>16641</v>
      </c>
      <c r="L4742" s="162" t="s">
        <v>16642</v>
      </c>
      <c r="M4742" s="162" t="s">
        <v>16663</v>
      </c>
      <c r="N4742" s="162">
        <v>1</v>
      </c>
      <c r="O4742" s="224">
        <v>1</v>
      </c>
      <c r="P4742" s="224">
        <v>1</v>
      </c>
      <c r="Q4742" s="224">
        <v>1</v>
      </c>
      <c r="R4742" s="224">
        <v>1</v>
      </c>
      <c r="S4742" s="224">
        <v>1</v>
      </c>
      <c r="T4742" s="223" t="s">
        <v>1233</v>
      </c>
      <c r="U4742" t="str">
        <f>VLOOKUP(T4742,[8]Votes!$A$1:$E$234,3,FALSE)</f>
        <v>006 Ministry of Foreign Affairs</v>
      </c>
      <c r="V4742" s="162" t="s">
        <v>16664</v>
      </c>
      <c r="W4742" s="407">
        <v>1</v>
      </c>
      <c r="X4742" s="407">
        <v>0</v>
      </c>
      <c r="Y4742" s="407">
        <v>0</v>
      </c>
      <c r="Z4742" s="407">
        <v>1</v>
      </c>
      <c r="AA4742" s="407">
        <v>1</v>
      </c>
      <c r="AB4742" s="407">
        <v>0</v>
      </c>
      <c r="AC4742" s="150">
        <v>0</v>
      </c>
      <c r="AD4742" s="150">
        <v>0</v>
      </c>
      <c r="AE4742" s="49">
        <f t="shared" si="170"/>
        <v>0.375</v>
      </c>
      <c r="AF4742" s="485"/>
      <c r="AG4742" s="17">
        <v>0</v>
      </c>
      <c r="AH4742" s="485">
        <v>0.08</v>
      </c>
      <c r="AI4742" s="485">
        <v>0.08</v>
      </c>
      <c r="AJ4742" s="485">
        <v>0.08</v>
      </c>
      <c r="AK4742" s="493">
        <v>0.08</v>
      </c>
      <c r="AL4742" s="493">
        <v>0.08</v>
      </c>
      <c r="AM4742" s="17">
        <f t="shared" si="171"/>
        <v>0.16</v>
      </c>
      <c r="AN4742" s="162" t="s">
        <v>1233</v>
      </c>
      <c r="AO4742" s="162" t="s">
        <v>1650</v>
      </c>
    </row>
    <row r="4743" spans="1:41" s="162" customFormat="1" x14ac:dyDescent="0.3">
      <c r="A4743" s="536" t="s">
        <v>8321</v>
      </c>
      <c r="B4743" s="162" t="s">
        <v>8322</v>
      </c>
      <c r="C4743" s="168" t="s">
        <v>13637</v>
      </c>
      <c r="D4743" s="162" t="s">
        <v>6838</v>
      </c>
      <c r="E4743" s="406" t="s">
        <v>13638</v>
      </c>
      <c r="F4743" s="406" t="s">
        <v>13533</v>
      </c>
      <c r="G4743" s="386" t="s">
        <v>13639</v>
      </c>
      <c r="H4743" s="162" t="s">
        <v>13640</v>
      </c>
      <c r="K4743" s="386" t="s">
        <v>16641</v>
      </c>
      <c r="L4743" s="162" t="s">
        <v>16642</v>
      </c>
      <c r="M4743" s="162" t="s">
        <v>16665</v>
      </c>
      <c r="N4743" s="162">
        <v>4</v>
      </c>
      <c r="O4743" s="224">
        <v>4</v>
      </c>
      <c r="P4743" s="224">
        <v>4</v>
      </c>
      <c r="Q4743" s="224">
        <v>4</v>
      </c>
      <c r="R4743" s="224">
        <v>4</v>
      </c>
      <c r="S4743" s="224">
        <v>4</v>
      </c>
      <c r="T4743" s="223" t="s">
        <v>1233</v>
      </c>
      <c r="U4743" t="str">
        <f>VLOOKUP(T4743,[8]Votes!$A$1:$E$234,3,FALSE)</f>
        <v>006 Ministry of Foreign Affairs</v>
      </c>
      <c r="V4743" s="162" t="s">
        <v>16666</v>
      </c>
      <c r="W4743" s="407">
        <v>1</v>
      </c>
      <c r="X4743" s="407">
        <v>0</v>
      </c>
      <c r="Y4743" s="407">
        <v>0</v>
      </c>
      <c r="Z4743" s="407">
        <v>1</v>
      </c>
      <c r="AA4743" s="407">
        <v>1</v>
      </c>
      <c r="AB4743" s="407">
        <v>0</v>
      </c>
      <c r="AC4743" s="150">
        <v>0</v>
      </c>
      <c r="AD4743" s="150">
        <v>0</v>
      </c>
      <c r="AE4743" s="49">
        <f t="shared" si="170"/>
        <v>0.375</v>
      </c>
      <c r="AF4743" s="485"/>
      <c r="AG4743" s="17">
        <v>0</v>
      </c>
      <c r="AH4743" s="485">
        <v>0.08</v>
      </c>
      <c r="AI4743" s="485">
        <v>0.08</v>
      </c>
      <c r="AJ4743" s="485">
        <v>0.08</v>
      </c>
      <c r="AK4743" s="493">
        <v>0.08</v>
      </c>
      <c r="AL4743" s="493">
        <v>0.08</v>
      </c>
      <c r="AM4743" s="17">
        <f t="shared" si="171"/>
        <v>0.16</v>
      </c>
      <c r="AN4743" s="162" t="s">
        <v>1233</v>
      </c>
      <c r="AO4743" s="162" t="s">
        <v>1650</v>
      </c>
    </row>
    <row r="4744" spans="1:41" s="162" customFormat="1" x14ac:dyDescent="0.3">
      <c r="A4744" s="536" t="s">
        <v>8321</v>
      </c>
      <c r="B4744" s="162" t="s">
        <v>8322</v>
      </c>
      <c r="C4744" s="168" t="s">
        <v>13637</v>
      </c>
      <c r="D4744" s="162" t="s">
        <v>6838</v>
      </c>
      <c r="E4744" s="406" t="s">
        <v>13638</v>
      </c>
      <c r="F4744" s="406" t="s">
        <v>13533</v>
      </c>
      <c r="G4744" s="386" t="s">
        <v>13639</v>
      </c>
      <c r="H4744" s="162" t="s">
        <v>13640</v>
      </c>
      <c r="K4744" s="386" t="s">
        <v>16667</v>
      </c>
      <c r="L4744" s="162" t="s">
        <v>16668</v>
      </c>
      <c r="M4744" s="162" t="s">
        <v>16669</v>
      </c>
      <c r="N4744" s="162">
        <v>0</v>
      </c>
      <c r="O4744" s="224">
        <v>45</v>
      </c>
      <c r="P4744" s="224">
        <v>45</v>
      </c>
      <c r="Q4744" s="224">
        <v>45</v>
      </c>
      <c r="R4744" s="224">
        <v>45</v>
      </c>
      <c r="S4744" s="224">
        <v>45</v>
      </c>
      <c r="T4744" s="223" t="s">
        <v>1233</v>
      </c>
      <c r="U4744" t="str">
        <f>VLOOKUP(T4744,[8]Votes!$A$1:$E$234,3,FALSE)</f>
        <v>006 Ministry of Foreign Affairs</v>
      </c>
      <c r="V4744" s="162" t="s">
        <v>16670</v>
      </c>
      <c r="W4744" s="407">
        <v>1</v>
      </c>
      <c r="X4744" s="407">
        <v>0</v>
      </c>
      <c r="Y4744" s="407">
        <v>0</v>
      </c>
      <c r="Z4744" s="407">
        <v>1</v>
      </c>
      <c r="AA4744" s="407">
        <v>1</v>
      </c>
      <c r="AB4744" s="407">
        <v>0</v>
      </c>
      <c r="AC4744" s="150">
        <v>0</v>
      </c>
      <c r="AD4744" s="150">
        <v>0</v>
      </c>
      <c r="AE4744" s="49">
        <f t="shared" si="170"/>
        <v>0.375</v>
      </c>
      <c r="AF4744" s="485"/>
      <c r="AG4744" s="17">
        <v>0</v>
      </c>
      <c r="AH4744" s="485">
        <v>5.1999999999999998E-2</v>
      </c>
      <c r="AI4744" s="485">
        <v>5.1999999999999998E-2</v>
      </c>
      <c r="AJ4744" s="485">
        <v>5.1999999999999998E-2</v>
      </c>
      <c r="AK4744" s="493">
        <v>5.1999999999999998E-2</v>
      </c>
      <c r="AL4744" s="493">
        <v>5.1999999999999998E-2</v>
      </c>
      <c r="AM4744" s="17">
        <f t="shared" si="171"/>
        <v>0.104</v>
      </c>
      <c r="AN4744" s="162" t="s">
        <v>1233</v>
      </c>
      <c r="AO4744" s="162" t="s">
        <v>1650</v>
      </c>
    </row>
    <row r="4745" spans="1:41" s="162" customFormat="1" x14ac:dyDescent="0.3">
      <c r="A4745" s="536" t="s">
        <v>8321</v>
      </c>
      <c r="B4745" s="162" t="s">
        <v>8322</v>
      </c>
      <c r="C4745" s="168" t="s">
        <v>13637</v>
      </c>
      <c r="D4745" s="162" t="s">
        <v>6838</v>
      </c>
      <c r="E4745" s="406" t="s">
        <v>13638</v>
      </c>
      <c r="F4745" s="406" t="s">
        <v>13533</v>
      </c>
      <c r="G4745" s="386" t="s">
        <v>13639</v>
      </c>
      <c r="H4745" s="162" t="s">
        <v>13640</v>
      </c>
      <c r="K4745" s="386" t="s">
        <v>16667</v>
      </c>
      <c r="L4745" s="162" t="s">
        <v>16668</v>
      </c>
      <c r="M4745" s="162" t="s">
        <v>16671</v>
      </c>
      <c r="N4745" s="162">
        <v>0.01</v>
      </c>
      <c r="O4745" s="224">
        <v>0.01</v>
      </c>
      <c r="P4745" s="224">
        <v>0.01</v>
      </c>
      <c r="Q4745" s="224">
        <v>0.01</v>
      </c>
      <c r="R4745" s="224">
        <v>0.01</v>
      </c>
      <c r="S4745" s="224">
        <v>0.01</v>
      </c>
      <c r="T4745" s="223" t="s">
        <v>1233</v>
      </c>
      <c r="U4745" t="str">
        <f>VLOOKUP(T4745,[8]Votes!$A$1:$E$234,3,FALSE)</f>
        <v>006 Ministry of Foreign Affairs</v>
      </c>
      <c r="V4745" s="162" t="s">
        <v>16672</v>
      </c>
      <c r="W4745" s="407">
        <v>1</v>
      </c>
      <c r="X4745" s="407">
        <v>0</v>
      </c>
      <c r="Y4745" s="407">
        <v>0</v>
      </c>
      <c r="Z4745" s="407">
        <v>1</v>
      </c>
      <c r="AA4745" s="407">
        <v>1</v>
      </c>
      <c r="AB4745" s="407">
        <v>0</v>
      </c>
      <c r="AC4745" s="150">
        <v>0</v>
      </c>
      <c r="AD4745" s="150">
        <v>0</v>
      </c>
      <c r="AE4745" s="49">
        <f t="shared" si="170"/>
        <v>0.375</v>
      </c>
      <c r="AF4745" s="485"/>
      <c r="AG4745" s="17">
        <v>0</v>
      </c>
      <c r="AH4745" s="485">
        <v>5.1999999999999998E-2</v>
      </c>
      <c r="AI4745" s="485">
        <v>5.1999999999999998E-2</v>
      </c>
      <c r="AJ4745" s="485">
        <v>5.1999999999999998E-2</v>
      </c>
      <c r="AK4745" s="493">
        <v>5.1999999999999998E-2</v>
      </c>
      <c r="AL4745" s="493">
        <v>5.1999999999999998E-2</v>
      </c>
      <c r="AM4745" s="17">
        <f t="shared" si="171"/>
        <v>0.104</v>
      </c>
      <c r="AN4745" s="162" t="s">
        <v>1233</v>
      </c>
      <c r="AO4745" s="162" t="s">
        <v>1650</v>
      </c>
    </row>
    <row r="4746" spans="1:41" s="162" customFormat="1" x14ac:dyDescent="0.3">
      <c r="A4746" s="536" t="s">
        <v>8321</v>
      </c>
      <c r="B4746" s="162" t="s">
        <v>8322</v>
      </c>
      <c r="C4746" s="168" t="s">
        <v>13637</v>
      </c>
      <c r="D4746" s="162" t="s">
        <v>6838</v>
      </c>
      <c r="E4746" s="406" t="s">
        <v>13638</v>
      </c>
      <c r="F4746" s="406" t="s">
        <v>13533</v>
      </c>
      <c r="G4746" s="386" t="s">
        <v>13639</v>
      </c>
      <c r="H4746" s="162" t="s">
        <v>13640</v>
      </c>
      <c r="K4746" s="386" t="s">
        <v>16673</v>
      </c>
      <c r="L4746" s="162" t="s">
        <v>16674</v>
      </c>
      <c r="M4746" s="162" t="s">
        <v>16675</v>
      </c>
      <c r="N4746" s="162">
        <v>4</v>
      </c>
      <c r="O4746" s="224">
        <v>4</v>
      </c>
      <c r="P4746" s="224">
        <v>4</v>
      </c>
      <c r="Q4746" s="224">
        <v>4</v>
      </c>
      <c r="R4746" s="224">
        <v>4</v>
      </c>
      <c r="S4746" s="224">
        <v>4</v>
      </c>
      <c r="T4746" s="223" t="s">
        <v>1233</v>
      </c>
      <c r="U4746" t="str">
        <f>VLOOKUP(T4746,[8]Votes!$A$1:$E$234,3,FALSE)</f>
        <v>006 Ministry of Foreign Affairs</v>
      </c>
      <c r="V4746" s="162" t="s">
        <v>16676</v>
      </c>
      <c r="W4746" s="407">
        <v>1</v>
      </c>
      <c r="X4746" s="407">
        <v>1</v>
      </c>
      <c r="Y4746" s="407">
        <v>0</v>
      </c>
      <c r="Z4746" s="407">
        <v>1</v>
      </c>
      <c r="AA4746" s="407">
        <v>1</v>
      </c>
      <c r="AB4746" s="407">
        <v>1</v>
      </c>
      <c r="AC4746" s="150">
        <v>0</v>
      </c>
      <c r="AD4746" s="150">
        <v>1</v>
      </c>
      <c r="AE4746" s="49">
        <f t="shared" si="170"/>
        <v>0.75</v>
      </c>
      <c r="AF4746" s="485"/>
      <c r="AG4746" s="17">
        <v>0</v>
      </c>
      <c r="AH4746" s="485">
        <v>0.154</v>
      </c>
      <c r="AI4746" s="485">
        <v>0.154</v>
      </c>
      <c r="AJ4746" s="485">
        <v>0.154</v>
      </c>
      <c r="AK4746" s="493">
        <v>0.154</v>
      </c>
      <c r="AL4746" s="493">
        <v>0.154</v>
      </c>
      <c r="AM4746" s="17">
        <f t="shared" si="171"/>
        <v>0.308</v>
      </c>
      <c r="AN4746" s="162" t="s">
        <v>1233</v>
      </c>
      <c r="AO4746" s="162" t="s">
        <v>1650</v>
      </c>
    </row>
    <row r="4747" spans="1:41" s="162" customFormat="1" x14ac:dyDescent="0.3">
      <c r="A4747" s="536" t="s">
        <v>8321</v>
      </c>
      <c r="B4747" s="162" t="s">
        <v>8322</v>
      </c>
      <c r="C4747" s="168" t="s">
        <v>13637</v>
      </c>
      <c r="D4747" s="162" t="s">
        <v>6838</v>
      </c>
      <c r="E4747" s="406" t="s">
        <v>13638</v>
      </c>
      <c r="F4747" s="406" t="s">
        <v>13533</v>
      </c>
      <c r="G4747" s="386" t="s">
        <v>13639</v>
      </c>
      <c r="H4747" s="162" t="s">
        <v>13640</v>
      </c>
      <c r="K4747" s="386" t="s">
        <v>16673</v>
      </c>
      <c r="L4747" s="162" t="s">
        <v>16674</v>
      </c>
      <c r="M4747" s="162" t="s">
        <v>16677</v>
      </c>
      <c r="N4747">
        <v>1</v>
      </c>
      <c r="O4747" s="3" t="s">
        <v>13641</v>
      </c>
      <c r="P4747" s="3">
        <v>1</v>
      </c>
      <c r="Q4747" s="3">
        <v>1</v>
      </c>
      <c r="R4747" s="3">
        <v>1</v>
      </c>
      <c r="S4747" s="3">
        <v>1</v>
      </c>
      <c r="T4747" s="223" t="s">
        <v>3875</v>
      </c>
      <c r="U4747" t="str">
        <f>VLOOKUP(T4747,[8]Votes!$A$1:$E$234,3,FALSE)</f>
        <v>007 Ministry of Justice and Constitutional Affairs</v>
      </c>
      <c r="V4747" s="223" t="s">
        <v>16678</v>
      </c>
      <c r="W4747" s="407">
        <v>1</v>
      </c>
      <c r="X4747" s="407">
        <v>0</v>
      </c>
      <c r="Y4747" s="407">
        <v>0</v>
      </c>
      <c r="Z4747" s="407">
        <v>1</v>
      </c>
      <c r="AA4747" s="407">
        <v>1</v>
      </c>
      <c r="AB4747" s="407">
        <v>0</v>
      </c>
      <c r="AC4747" s="150">
        <v>0</v>
      </c>
      <c r="AD4747" s="150">
        <v>0</v>
      </c>
      <c r="AE4747" s="49">
        <f t="shared" si="170"/>
        <v>0.375</v>
      </c>
      <c r="AF4747" s="190"/>
      <c r="AG4747" s="17">
        <v>0</v>
      </c>
      <c r="AH4747" s="190">
        <v>0</v>
      </c>
      <c r="AI4747" s="44">
        <v>1.9</v>
      </c>
      <c r="AJ4747" s="44">
        <v>3.2</v>
      </c>
      <c r="AK4747" s="151">
        <v>0</v>
      </c>
      <c r="AL4747" s="151">
        <v>0</v>
      </c>
      <c r="AM4747" s="17">
        <f t="shared" si="171"/>
        <v>0</v>
      </c>
      <c r="AN4747" s="223" t="s">
        <v>3875</v>
      </c>
      <c r="AO4747" s="162" t="s">
        <v>3877</v>
      </c>
    </row>
    <row r="4748" spans="1:41" s="162" customFormat="1" x14ac:dyDescent="0.3">
      <c r="A4748" s="536" t="s">
        <v>8321</v>
      </c>
      <c r="B4748" s="162" t="s">
        <v>8322</v>
      </c>
      <c r="C4748" s="168" t="s">
        <v>13637</v>
      </c>
      <c r="D4748" s="162" t="s">
        <v>6838</v>
      </c>
      <c r="E4748" s="406" t="s">
        <v>13638</v>
      </c>
      <c r="F4748" s="406" t="s">
        <v>13533</v>
      </c>
      <c r="G4748" s="386" t="s">
        <v>13639</v>
      </c>
      <c r="H4748" s="162" t="s">
        <v>13640</v>
      </c>
      <c r="K4748" s="386" t="s">
        <v>16529</v>
      </c>
      <c r="L4748" s="162" t="s">
        <v>16353</v>
      </c>
      <c r="M4748" s="162" t="s">
        <v>16679</v>
      </c>
      <c r="N4748" s="462">
        <v>1</v>
      </c>
      <c r="O4748" s="492">
        <v>1</v>
      </c>
      <c r="P4748" s="492">
        <v>1</v>
      </c>
      <c r="Q4748" s="492">
        <v>1</v>
      </c>
      <c r="R4748" s="492">
        <v>1</v>
      </c>
      <c r="S4748" s="492">
        <v>1</v>
      </c>
      <c r="T4748" s="223" t="s">
        <v>1233</v>
      </c>
      <c r="U4748" t="str">
        <f>VLOOKUP(T4748,[8]Votes!$A$1:$E$234,3,FALSE)</f>
        <v>006 Ministry of Foreign Affairs</v>
      </c>
      <c r="V4748" s="162" t="s">
        <v>16680</v>
      </c>
      <c r="W4748" s="407">
        <v>1</v>
      </c>
      <c r="X4748" s="407">
        <v>0</v>
      </c>
      <c r="Y4748" s="407">
        <v>0</v>
      </c>
      <c r="Z4748" s="407">
        <v>1</v>
      </c>
      <c r="AA4748" s="407">
        <v>1</v>
      </c>
      <c r="AB4748" s="407">
        <v>0</v>
      </c>
      <c r="AC4748" s="150">
        <v>0</v>
      </c>
      <c r="AD4748" s="150">
        <v>1</v>
      </c>
      <c r="AE4748" s="49">
        <f t="shared" si="170"/>
        <v>0.5</v>
      </c>
      <c r="AF4748" s="485"/>
      <c r="AG4748" s="17">
        <v>0</v>
      </c>
      <c r="AH4748" s="485">
        <v>0.13700000000000001</v>
      </c>
      <c r="AI4748" s="485">
        <v>0.13700000000000001</v>
      </c>
      <c r="AJ4748" s="485">
        <v>0.13700000000000001</v>
      </c>
      <c r="AK4748" s="493">
        <v>0.13700000000000001</v>
      </c>
      <c r="AL4748" s="493">
        <v>0.13700000000000001</v>
      </c>
      <c r="AM4748" s="17">
        <f t="shared" si="171"/>
        <v>0.27400000000000002</v>
      </c>
      <c r="AN4748" s="162" t="s">
        <v>1233</v>
      </c>
      <c r="AO4748" s="162" t="s">
        <v>1650</v>
      </c>
    </row>
    <row r="4749" spans="1:41" s="162" customFormat="1" x14ac:dyDescent="0.3">
      <c r="A4749" s="536" t="s">
        <v>8321</v>
      </c>
      <c r="B4749" s="162" t="s">
        <v>8322</v>
      </c>
      <c r="C4749" s="168" t="s">
        <v>13637</v>
      </c>
      <c r="D4749" s="162" t="s">
        <v>6838</v>
      </c>
      <c r="E4749" s="406" t="s">
        <v>13638</v>
      </c>
      <c r="F4749" s="406" t="s">
        <v>13533</v>
      </c>
      <c r="G4749" s="386" t="s">
        <v>13639</v>
      </c>
      <c r="H4749" s="162" t="s">
        <v>13640</v>
      </c>
      <c r="K4749" s="386" t="s">
        <v>16529</v>
      </c>
      <c r="L4749" s="162" t="s">
        <v>16353</v>
      </c>
      <c r="M4749" s="162" t="s">
        <v>16681</v>
      </c>
      <c r="N4749" s="162">
        <v>37</v>
      </c>
      <c r="O4749" s="224">
        <v>37</v>
      </c>
      <c r="P4749" s="224">
        <v>37</v>
      </c>
      <c r="Q4749" s="224">
        <v>37</v>
      </c>
      <c r="R4749" s="224">
        <v>37</v>
      </c>
      <c r="S4749" s="224">
        <v>37</v>
      </c>
      <c r="T4749" s="223" t="s">
        <v>1233</v>
      </c>
      <c r="U4749" t="str">
        <f>VLOOKUP(T4749,[8]Votes!$A$1:$E$234,3,FALSE)</f>
        <v>006 Ministry of Foreign Affairs</v>
      </c>
      <c r="V4749" s="162" t="s">
        <v>16682</v>
      </c>
      <c r="W4749" s="407">
        <v>1</v>
      </c>
      <c r="X4749" s="407">
        <v>0</v>
      </c>
      <c r="Y4749" s="407">
        <v>0</v>
      </c>
      <c r="Z4749" s="407">
        <v>1</v>
      </c>
      <c r="AA4749" s="407">
        <v>1</v>
      </c>
      <c r="AB4749" s="407">
        <v>1</v>
      </c>
      <c r="AC4749" s="150">
        <v>0</v>
      </c>
      <c r="AD4749" s="150">
        <v>1</v>
      </c>
      <c r="AE4749" s="49">
        <f t="shared" si="170"/>
        <v>0.625</v>
      </c>
      <c r="AF4749" s="485"/>
      <c r="AG4749" s="17">
        <v>0</v>
      </c>
      <c r="AH4749" s="485">
        <v>0.13700000000000001</v>
      </c>
      <c r="AI4749" s="485">
        <v>0.13700000000000001</v>
      </c>
      <c r="AJ4749" s="485">
        <v>0.13700000000000001</v>
      </c>
      <c r="AK4749" s="493">
        <v>0.13700000000000001</v>
      </c>
      <c r="AL4749" s="493">
        <v>0.13700000000000001</v>
      </c>
      <c r="AM4749" s="17">
        <f t="shared" si="171"/>
        <v>0.27400000000000002</v>
      </c>
      <c r="AN4749" s="162" t="s">
        <v>1233</v>
      </c>
      <c r="AO4749" s="162" t="s">
        <v>1650</v>
      </c>
    </row>
    <row r="4750" spans="1:41" s="162" customFormat="1" x14ac:dyDescent="0.3">
      <c r="A4750" s="536" t="s">
        <v>8321</v>
      </c>
      <c r="B4750" s="162" t="s">
        <v>8322</v>
      </c>
      <c r="C4750" s="168" t="s">
        <v>13637</v>
      </c>
      <c r="D4750" s="162" t="s">
        <v>6838</v>
      </c>
      <c r="E4750" s="406" t="s">
        <v>13638</v>
      </c>
      <c r="F4750" s="406" t="s">
        <v>13533</v>
      </c>
      <c r="G4750" s="386" t="s">
        <v>13639</v>
      </c>
      <c r="H4750" s="162" t="s">
        <v>13640</v>
      </c>
      <c r="K4750" s="386" t="s">
        <v>16683</v>
      </c>
      <c r="L4750" s="162" t="s">
        <v>16684</v>
      </c>
      <c r="M4750" s="162" t="s">
        <v>16685</v>
      </c>
      <c r="N4750" s="162">
        <v>1</v>
      </c>
      <c r="O4750" s="224">
        <v>1</v>
      </c>
      <c r="P4750" s="224">
        <v>1</v>
      </c>
      <c r="Q4750" s="224">
        <v>1</v>
      </c>
      <c r="R4750" s="224">
        <v>1</v>
      </c>
      <c r="S4750" s="224">
        <v>1</v>
      </c>
      <c r="T4750" s="223" t="s">
        <v>1233</v>
      </c>
      <c r="U4750" t="str">
        <f>VLOOKUP(T4750,[8]Votes!$A$1:$E$234,3,FALSE)</f>
        <v>006 Ministry of Foreign Affairs</v>
      </c>
      <c r="V4750" s="162" t="s">
        <v>16686</v>
      </c>
      <c r="W4750" s="407">
        <v>1</v>
      </c>
      <c r="X4750" s="407">
        <v>0</v>
      </c>
      <c r="Y4750" s="407">
        <v>0</v>
      </c>
      <c r="Z4750" s="407">
        <v>1</v>
      </c>
      <c r="AA4750" s="407">
        <v>1</v>
      </c>
      <c r="AB4750" s="407">
        <v>0</v>
      </c>
      <c r="AC4750" s="150">
        <v>0</v>
      </c>
      <c r="AD4750" s="150">
        <v>1</v>
      </c>
      <c r="AE4750" s="49">
        <f t="shared" si="170"/>
        <v>0.5</v>
      </c>
      <c r="AF4750" s="485"/>
      <c r="AG4750" s="17">
        <v>0</v>
      </c>
      <c r="AH4750" s="485">
        <v>0.22</v>
      </c>
      <c r="AI4750" s="485">
        <v>0.22</v>
      </c>
      <c r="AJ4750" s="485">
        <v>0.22</v>
      </c>
      <c r="AK4750" s="493">
        <v>0.22</v>
      </c>
      <c r="AL4750" s="493">
        <v>0.22</v>
      </c>
      <c r="AM4750" s="17">
        <f t="shared" si="171"/>
        <v>0.44</v>
      </c>
      <c r="AN4750" s="162" t="s">
        <v>1233</v>
      </c>
      <c r="AO4750" s="162" t="s">
        <v>1650</v>
      </c>
    </row>
    <row r="4751" spans="1:41" s="162" customFormat="1" x14ac:dyDescent="0.3">
      <c r="A4751" s="536" t="s">
        <v>8321</v>
      </c>
      <c r="B4751" s="162" t="s">
        <v>8322</v>
      </c>
      <c r="C4751" s="168" t="s">
        <v>13637</v>
      </c>
      <c r="D4751" s="162" t="s">
        <v>6838</v>
      </c>
      <c r="E4751" s="406" t="s">
        <v>13638</v>
      </c>
      <c r="F4751" s="406" t="s">
        <v>13533</v>
      </c>
      <c r="G4751" s="386" t="s">
        <v>13639</v>
      </c>
      <c r="H4751" s="162" t="s">
        <v>13640</v>
      </c>
      <c r="K4751" s="386" t="s">
        <v>16683</v>
      </c>
      <c r="L4751" s="162" t="s">
        <v>16684</v>
      </c>
      <c r="M4751" s="162" t="s">
        <v>16687</v>
      </c>
      <c r="N4751" s="162">
        <v>1</v>
      </c>
      <c r="O4751" s="224">
        <v>2</v>
      </c>
      <c r="P4751" s="224"/>
      <c r="Q4751" s="224">
        <v>2</v>
      </c>
      <c r="R4751" s="224"/>
      <c r="S4751" s="224"/>
      <c r="T4751" s="223" t="s">
        <v>1233</v>
      </c>
      <c r="U4751" t="str">
        <f>VLOOKUP(T4751,[8]Votes!$A$1:$E$234,3,FALSE)</f>
        <v>006 Ministry of Foreign Affairs</v>
      </c>
      <c r="V4751" s="162" t="s">
        <v>16688</v>
      </c>
      <c r="W4751" s="407">
        <v>1</v>
      </c>
      <c r="X4751" s="407">
        <v>0</v>
      </c>
      <c r="Y4751" s="407">
        <v>0</v>
      </c>
      <c r="Z4751" s="407">
        <v>0</v>
      </c>
      <c r="AA4751" s="407">
        <v>0</v>
      </c>
      <c r="AB4751" s="407">
        <v>0</v>
      </c>
      <c r="AC4751" s="150">
        <v>0</v>
      </c>
      <c r="AD4751" s="150">
        <v>0</v>
      </c>
      <c r="AE4751" s="49">
        <f t="shared" si="170"/>
        <v>0.125</v>
      </c>
      <c r="AF4751" s="485"/>
      <c r="AG4751" s="17">
        <v>0</v>
      </c>
      <c r="AH4751" s="485">
        <v>0.61</v>
      </c>
      <c r="AI4751" s="485">
        <v>0.3</v>
      </c>
      <c r="AJ4751" s="190">
        <v>0</v>
      </c>
      <c r="AK4751" s="493">
        <v>0</v>
      </c>
      <c r="AL4751" s="191">
        <v>0</v>
      </c>
      <c r="AM4751" s="17">
        <f t="shared" si="171"/>
        <v>0</v>
      </c>
      <c r="AN4751" s="162" t="s">
        <v>1233</v>
      </c>
      <c r="AO4751" s="162" t="s">
        <v>1650</v>
      </c>
    </row>
    <row r="4752" spans="1:41" s="162" customFormat="1" x14ac:dyDescent="0.3">
      <c r="A4752" s="536" t="s">
        <v>8321</v>
      </c>
      <c r="B4752" s="162" t="s">
        <v>8322</v>
      </c>
      <c r="C4752" s="168" t="s">
        <v>13637</v>
      </c>
      <c r="D4752" s="162" t="s">
        <v>6838</v>
      </c>
      <c r="E4752" s="406" t="s">
        <v>13638</v>
      </c>
      <c r="F4752" s="406" t="s">
        <v>13533</v>
      </c>
      <c r="G4752" s="386" t="s">
        <v>13639</v>
      </c>
      <c r="H4752" s="162" t="s">
        <v>13640</v>
      </c>
      <c r="K4752" s="386" t="s">
        <v>16683</v>
      </c>
      <c r="L4752" s="162" t="s">
        <v>16684</v>
      </c>
      <c r="M4752" s="162" t="s">
        <v>16689</v>
      </c>
      <c r="N4752" s="162">
        <v>12</v>
      </c>
      <c r="O4752" s="224">
        <v>12</v>
      </c>
      <c r="P4752" s="224">
        <v>12</v>
      </c>
      <c r="Q4752" s="224">
        <v>12</v>
      </c>
      <c r="R4752" s="224">
        <v>12</v>
      </c>
      <c r="S4752" s="224">
        <v>12</v>
      </c>
      <c r="T4752" s="223" t="s">
        <v>1233</v>
      </c>
      <c r="U4752" t="str">
        <f>VLOOKUP(T4752,[8]Votes!$A$1:$E$234,3,FALSE)</f>
        <v>006 Ministry of Foreign Affairs</v>
      </c>
      <c r="V4752" s="162" t="s">
        <v>16690</v>
      </c>
      <c r="W4752" s="407">
        <v>1</v>
      </c>
      <c r="X4752" s="407">
        <v>0</v>
      </c>
      <c r="Y4752" s="407">
        <v>0</v>
      </c>
      <c r="Z4752" s="407">
        <v>0</v>
      </c>
      <c r="AA4752" s="407">
        <v>0</v>
      </c>
      <c r="AB4752" s="407">
        <v>0</v>
      </c>
      <c r="AC4752" s="150">
        <v>0</v>
      </c>
      <c r="AD4752" s="150">
        <v>0</v>
      </c>
      <c r="AE4752" s="49">
        <f t="shared" si="170"/>
        <v>0.125</v>
      </c>
      <c r="AF4752" s="485"/>
      <c r="AG4752" s="17">
        <v>0</v>
      </c>
      <c r="AH4752" s="485">
        <v>0.128</v>
      </c>
      <c r="AI4752" s="485">
        <v>0.128</v>
      </c>
      <c r="AJ4752" s="485">
        <v>0.128</v>
      </c>
      <c r="AK4752" s="493">
        <v>0</v>
      </c>
      <c r="AL4752" s="493">
        <v>0</v>
      </c>
      <c r="AM4752" s="17">
        <f t="shared" si="171"/>
        <v>0</v>
      </c>
      <c r="AN4752" s="162" t="s">
        <v>1233</v>
      </c>
      <c r="AO4752" s="162" t="s">
        <v>1650</v>
      </c>
    </row>
    <row r="4753" spans="1:42" s="162" customFormat="1" x14ac:dyDescent="0.3">
      <c r="A4753" s="536" t="s">
        <v>8321</v>
      </c>
      <c r="B4753" s="162" t="s">
        <v>8322</v>
      </c>
      <c r="C4753" s="168" t="s">
        <v>13637</v>
      </c>
      <c r="D4753" s="162" t="s">
        <v>6838</v>
      </c>
      <c r="E4753" s="406" t="s">
        <v>13638</v>
      </c>
      <c r="F4753" s="406" t="s">
        <v>13533</v>
      </c>
      <c r="G4753" s="386" t="s">
        <v>13639</v>
      </c>
      <c r="H4753" s="162" t="s">
        <v>13640</v>
      </c>
      <c r="K4753" s="386" t="s">
        <v>16683</v>
      </c>
      <c r="L4753" s="162" t="s">
        <v>16684</v>
      </c>
      <c r="M4753" s="162" t="s">
        <v>16691</v>
      </c>
      <c r="N4753" s="462">
        <v>0.7</v>
      </c>
      <c r="O4753" s="492">
        <v>0.72</v>
      </c>
      <c r="P4753" s="492">
        <v>0.75</v>
      </c>
      <c r="Q4753" s="492">
        <v>0.78</v>
      </c>
      <c r="R4753" s="492">
        <v>0.8</v>
      </c>
      <c r="S4753" s="492">
        <v>0.84</v>
      </c>
      <c r="T4753" s="223" t="s">
        <v>1233</v>
      </c>
      <c r="U4753" t="str">
        <f>VLOOKUP(T4753,[8]Votes!$A$1:$E$234,3,FALSE)</f>
        <v>006 Ministry of Foreign Affairs</v>
      </c>
      <c r="V4753" s="162" t="s">
        <v>16692</v>
      </c>
      <c r="W4753" s="407">
        <v>1</v>
      </c>
      <c r="X4753" s="407">
        <v>0</v>
      </c>
      <c r="Y4753" s="407">
        <v>0</v>
      </c>
      <c r="Z4753" s="407">
        <v>0</v>
      </c>
      <c r="AA4753" s="407">
        <v>0</v>
      </c>
      <c r="AB4753" s="407">
        <v>0</v>
      </c>
      <c r="AC4753" s="150">
        <v>0</v>
      </c>
      <c r="AD4753" s="150">
        <v>0</v>
      </c>
      <c r="AE4753" s="49">
        <f t="shared" si="170"/>
        <v>0.125</v>
      </c>
      <c r="AF4753" s="485"/>
      <c r="AG4753" s="17">
        <v>0</v>
      </c>
      <c r="AH4753" s="485">
        <v>6.6000000000000003E-2</v>
      </c>
      <c r="AI4753" s="485">
        <v>6.6000000000000003E-2</v>
      </c>
      <c r="AJ4753" s="485">
        <v>6.6000000000000003E-2</v>
      </c>
      <c r="AK4753" s="493">
        <v>0</v>
      </c>
      <c r="AL4753" s="493">
        <v>0</v>
      </c>
      <c r="AM4753" s="17">
        <f t="shared" si="171"/>
        <v>0</v>
      </c>
      <c r="AN4753" s="162" t="s">
        <v>1233</v>
      </c>
      <c r="AO4753" s="162" t="s">
        <v>1650</v>
      </c>
    </row>
    <row r="4754" spans="1:42" s="162" customFormat="1" x14ac:dyDescent="0.3">
      <c r="A4754" s="536" t="s">
        <v>8321</v>
      </c>
      <c r="B4754" s="162" t="s">
        <v>8322</v>
      </c>
      <c r="C4754" s="168" t="s">
        <v>13637</v>
      </c>
      <c r="D4754" s="162" t="s">
        <v>6838</v>
      </c>
      <c r="E4754" s="406" t="s">
        <v>13638</v>
      </c>
      <c r="F4754" s="406" t="s">
        <v>13533</v>
      </c>
      <c r="G4754" s="386" t="s">
        <v>13639</v>
      </c>
      <c r="H4754" s="162" t="s">
        <v>13640</v>
      </c>
      <c r="K4754" s="386" t="s">
        <v>16693</v>
      </c>
      <c r="L4754" s="162" t="s">
        <v>16694</v>
      </c>
      <c r="M4754" s="162" t="s">
        <v>16691</v>
      </c>
      <c r="N4754" s="462" t="s">
        <v>16695</v>
      </c>
      <c r="O4754" s="492">
        <v>0.75</v>
      </c>
      <c r="P4754" s="492">
        <v>0.8</v>
      </c>
      <c r="Q4754" s="492">
        <v>0.85</v>
      </c>
      <c r="R4754" s="492">
        <v>0.9</v>
      </c>
      <c r="S4754" s="492">
        <v>0.9</v>
      </c>
      <c r="T4754" s="223" t="s">
        <v>3875</v>
      </c>
      <c r="U4754" t="str">
        <f>VLOOKUP(T4754,[8]Votes!$A$1:$E$234,3,FALSE)</f>
        <v>007 Ministry of Justice and Constitutional Affairs</v>
      </c>
      <c r="V4754" s="162" t="s">
        <v>16692</v>
      </c>
      <c r="W4754" s="407">
        <v>1</v>
      </c>
      <c r="X4754" s="407">
        <v>0</v>
      </c>
      <c r="Y4754" s="407">
        <v>0</v>
      </c>
      <c r="Z4754" s="407">
        <v>1</v>
      </c>
      <c r="AA4754" s="407">
        <v>1</v>
      </c>
      <c r="AB4754" s="407">
        <v>1</v>
      </c>
      <c r="AC4754" s="150">
        <v>1</v>
      </c>
      <c r="AD4754" s="150">
        <v>1</v>
      </c>
      <c r="AE4754" s="49">
        <f t="shared" si="170"/>
        <v>0.75</v>
      </c>
      <c r="AF4754" s="485"/>
      <c r="AG4754" s="17">
        <v>0</v>
      </c>
      <c r="AH4754" s="485">
        <v>0.08</v>
      </c>
      <c r="AI4754" s="485">
        <v>0.08</v>
      </c>
      <c r="AJ4754" s="485">
        <v>0.4</v>
      </c>
      <c r="AK4754" s="493">
        <v>0.5</v>
      </c>
      <c r="AL4754" s="493">
        <v>0.3</v>
      </c>
      <c r="AM4754" s="17">
        <f t="shared" si="171"/>
        <v>0.8</v>
      </c>
      <c r="AN4754" s="223" t="s">
        <v>3875</v>
      </c>
      <c r="AO4754" s="162" t="s">
        <v>3877</v>
      </c>
    </row>
    <row r="4755" spans="1:42" s="162" customFormat="1" x14ac:dyDescent="0.3">
      <c r="A4755" s="536" t="s">
        <v>8321</v>
      </c>
      <c r="B4755" s="162" t="s">
        <v>8322</v>
      </c>
      <c r="C4755" s="168" t="s">
        <v>13637</v>
      </c>
      <c r="D4755" s="1" t="s">
        <v>6838</v>
      </c>
      <c r="E4755" s="406" t="s">
        <v>13638</v>
      </c>
      <c r="F4755" s="406" t="s">
        <v>13533</v>
      </c>
      <c r="G4755" s="386" t="s">
        <v>13639</v>
      </c>
      <c r="H4755" s="1" t="s">
        <v>13640</v>
      </c>
      <c r="I4755" s="1" t="s">
        <v>13641</v>
      </c>
      <c r="J4755" s="1" t="s">
        <v>13641</v>
      </c>
      <c r="K4755" s="386" t="s">
        <v>16521</v>
      </c>
      <c r="L4755" s="1" t="s">
        <v>16696</v>
      </c>
      <c r="M4755" s="1" t="s">
        <v>16697</v>
      </c>
      <c r="N4755" s="539">
        <v>0.5</v>
      </c>
      <c r="O4755" s="380">
        <v>0.7</v>
      </c>
      <c r="P4755" s="380">
        <v>0.5</v>
      </c>
      <c r="Q4755" s="380">
        <v>0.6</v>
      </c>
      <c r="R4755" s="380">
        <v>0.8</v>
      </c>
      <c r="S4755" s="380">
        <v>1</v>
      </c>
      <c r="T4755" t="s">
        <v>10732</v>
      </c>
      <c r="U4755" t="str">
        <f>VLOOKUP(T4755,[8]Votes!$A$1:$E$234,3,FALSE)</f>
        <v>105 Law Reform Commission</v>
      </c>
      <c r="V4755" t="s">
        <v>16698</v>
      </c>
      <c r="W4755" s="407">
        <v>1</v>
      </c>
      <c r="X4755" s="407">
        <v>0</v>
      </c>
      <c r="Y4755" s="407">
        <v>0</v>
      </c>
      <c r="Z4755" s="407">
        <v>1</v>
      </c>
      <c r="AA4755" s="407">
        <v>1</v>
      </c>
      <c r="AB4755" s="407">
        <v>1</v>
      </c>
      <c r="AC4755" s="150">
        <v>1</v>
      </c>
      <c r="AD4755" s="150">
        <v>1</v>
      </c>
      <c r="AE4755" s="49">
        <f t="shared" si="170"/>
        <v>0.75</v>
      </c>
      <c r="AF4755" s="44"/>
      <c r="AG4755" s="17">
        <v>0</v>
      </c>
      <c r="AH4755" s="44">
        <v>2.5910000000000002</v>
      </c>
      <c r="AI4755" s="44">
        <v>4.4669999999999996</v>
      </c>
      <c r="AJ4755" s="44">
        <v>4.4669999999999996</v>
      </c>
      <c r="AK4755" s="151">
        <v>4.5759999999999996</v>
      </c>
      <c r="AL4755" s="151">
        <v>4.476</v>
      </c>
      <c r="AM4755" s="17">
        <f t="shared" si="171"/>
        <v>9.0519999999999996</v>
      </c>
      <c r="AN4755" t="s">
        <v>10732</v>
      </c>
      <c r="AO4755" s="162" t="s">
        <v>15453</v>
      </c>
      <c r="AP4755" t="s">
        <v>13641</v>
      </c>
    </row>
    <row r="4756" spans="1:42" s="162" customFormat="1" x14ac:dyDescent="0.3">
      <c r="A4756" s="536" t="s">
        <v>8321</v>
      </c>
      <c r="B4756" s="162" t="s">
        <v>8322</v>
      </c>
      <c r="C4756" s="168" t="s">
        <v>13637</v>
      </c>
      <c r="D4756" s="1" t="s">
        <v>6838</v>
      </c>
      <c r="E4756" s="406" t="s">
        <v>13638</v>
      </c>
      <c r="F4756" s="406" t="s">
        <v>13533</v>
      </c>
      <c r="G4756" s="386" t="s">
        <v>13658</v>
      </c>
      <c r="H4756" s="1" t="s">
        <v>13659</v>
      </c>
      <c r="I4756" s="1" t="s">
        <v>13641</v>
      </c>
      <c r="J4756" s="1" t="s">
        <v>13641</v>
      </c>
      <c r="K4756" s="386" t="s">
        <v>16217</v>
      </c>
      <c r="L4756" s="1" t="s">
        <v>14521</v>
      </c>
      <c r="M4756" s="1" t="s">
        <v>16699</v>
      </c>
      <c r="N4756">
        <v>8</v>
      </c>
      <c r="O4756" s="3">
        <v>8</v>
      </c>
      <c r="P4756" s="3">
        <v>8</v>
      </c>
      <c r="Q4756" s="3">
        <v>8</v>
      </c>
      <c r="R4756" s="3">
        <v>8</v>
      </c>
      <c r="S4756" s="3">
        <v>8</v>
      </c>
      <c r="T4756" t="s">
        <v>10732</v>
      </c>
      <c r="U4756" t="str">
        <f>VLOOKUP(T4756,[8]Votes!$A$1:$E$234,3,FALSE)</f>
        <v>105 Law Reform Commission</v>
      </c>
      <c r="V4756" t="s">
        <v>16700</v>
      </c>
      <c r="W4756" s="407">
        <v>0</v>
      </c>
      <c r="X4756" s="407">
        <v>1</v>
      </c>
      <c r="Y4756" s="407">
        <v>0</v>
      </c>
      <c r="Z4756" s="407">
        <v>1</v>
      </c>
      <c r="AA4756" s="407">
        <v>1</v>
      </c>
      <c r="AB4756" s="407">
        <v>1</v>
      </c>
      <c r="AC4756" s="150">
        <v>0</v>
      </c>
      <c r="AD4756" s="150">
        <v>1</v>
      </c>
      <c r="AE4756" s="49">
        <f t="shared" si="170"/>
        <v>0.625</v>
      </c>
      <c r="AF4756" s="44"/>
      <c r="AG4756" s="17">
        <v>0</v>
      </c>
      <c r="AH4756" s="44">
        <v>0.12</v>
      </c>
      <c r="AI4756" s="44">
        <v>0.12</v>
      </c>
      <c r="AJ4756" s="44">
        <v>0.12</v>
      </c>
      <c r="AK4756" s="151">
        <v>0.12</v>
      </c>
      <c r="AL4756" s="151">
        <v>0.22</v>
      </c>
      <c r="AM4756" s="17">
        <f t="shared" si="171"/>
        <v>0.33999999999999997</v>
      </c>
      <c r="AN4756" t="s">
        <v>10732</v>
      </c>
      <c r="AO4756" s="162" t="s">
        <v>15453</v>
      </c>
      <c r="AP4756" t="s">
        <v>13641</v>
      </c>
    </row>
    <row r="4757" spans="1:42" s="162" customFormat="1" x14ac:dyDescent="0.3">
      <c r="A4757" s="536" t="s">
        <v>8321</v>
      </c>
      <c r="B4757" s="162" t="s">
        <v>8322</v>
      </c>
      <c r="C4757" s="168" t="s">
        <v>13637</v>
      </c>
      <c r="D4757" s="162" t="s">
        <v>6838</v>
      </c>
      <c r="E4757" s="406" t="s">
        <v>13638</v>
      </c>
      <c r="F4757" s="406" t="s">
        <v>13533</v>
      </c>
      <c r="G4757" s="386" t="s">
        <v>13639</v>
      </c>
      <c r="H4757" s="162" t="s">
        <v>13640</v>
      </c>
      <c r="I4757" s="162" t="s">
        <v>13641</v>
      </c>
      <c r="J4757" s="162" t="s">
        <v>13641</v>
      </c>
      <c r="K4757" s="386" t="s">
        <v>16390</v>
      </c>
      <c r="L4757" s="162" t="s">
        <v>12747</v>
      </c>
      <c r="M4757" s="162" t="s">
        <v>16701</v>
      </c>
      <c r="N4757" s="223">
        <v>4</v>
      </c>
      <c r="O4757" s="224">
        <v>4</v>
      </c>
      <c r="P4757" s="224">
        <v>5</v>
      </c>
      <c r="Q4757" s="224">
        <v>5</v>
      </c>
      <c r="R4757" s="224">
        <v>5</v>
      </c>
      <c r="S4757" s="224">
        <v>5</v>
      </c>
      <c r="T4757" s="223" t="s">
        <v>10732</v>
      </c>
      <c r="U4757" t="str">
        <f>VLOOKUP(T4757,[8]Votes!$A$1:$E$234,3,FALSE)</f>
        <v>105 Law Reform Commission</v>
      </c>
      <c r="V4757" s="223" t="s">
        <v>16403</v>
      </c>
      <c r="W4757" s="407">
        <v>1</v>
      </c>
      <c r="X4757" s="407">
        <v>0</v>
      </c>
      <c r="Y4757" s="407">
        <v>0</v>
      </c>
      <c r="Z4757" s="407">
        <v>1</v>
      </c>
      <c r="AA4757" s="407">
        <v>1</v>
      </c>
      <c r="AB4757" s="407">
        <v>0</v>
      </c>
      <c r="AC4757" s="150">
        <v>0</v>
      </c>
      <c r="AD4757" s="150">
        <v>0</v>
      </c>
      <c r="AE4757" s="49">
        <f t="shared" si="170"/>
        <v>0.375</v>
      </c>
      <c r="AF4757" s="360"/>
      <c r="AG4757" s="17">
        <v>0</v>
      </c>
      <c r="AH4757" s="360">
        <v>0.2</v>
      </c>
      <c r="AI4757" s="360">
        <v>0.2</v>
      </c>
      <c r="AJ4757" s="360">
        <v>0.2</v>
      </c>
      <c r="AK4757" s="361">
        <v>0</v>
      </c>
      <c r="AL4757" s="361">
        <v>0</v>
      </c>
      <c r="AM4757" s="17">
        <f t="shared" si="171"/>
        <v>0</v>
      </c>
      <c r="AN4757" s="223" t="s">
        <v>10732</v>
      </c>
      <c r="AO4757" s="162" t="s">
        <v>15453</v>
      </c>
      <c r="AP4757" s="223" t="s">
        <v>13641</v>
      </c>
    </row>
    <row r="4758" spans="1:42" s="162" customFormat="1" x14ac:dyDescent="0.3">
      <c r="A4758" s="536" t="s">
        <v>8321</v>
      </c>
      <c r="B4758" s="162" t="s">
        <v>8322</v>
      </c>
      <c r="C4758" s="168" t="s">
        <v>13637</v>
      </c>
      <c r="D4758" s="1" t="s">
        <v>6838</v>
      </c>
      <c r="E4758" s="406" t="s">
        <v>13638</v>
      </c>
      <c r="F4758" s="406" t="s">
        <v>13533</v>
      </c>
      <c r="G4758" s="386" t="s">
        <v>13639</v>
      </c>
      <c r="H4758" s="1" t="s">
        <v>13640</v>
      </c>
      <c r="I4758" s="1"/>
      <c r="J4758" s="1"/>
      <c r="K4758" s="386" t="s">
        <v>16702</v>
      </c>
      <c r="L4758" s="1" t="s">
        <v>16703</v>
      </c>
      <c r="M4758" s="1" t="s">
        <v>16704</v>
      </c>
      <c r="N4758" s="539">
        <v>0.7</v>
      </c>
      <c r="O4758" s="380">
        <v>0.75</v>
      </c>
      <c r="P4758" s="380">
        <v>0.8</v>
      </c>
      <c r="Q4758" s="380">
        <v>0.85</v>
      </c>
      <c r="R4758" s="380">
        <v>0.9</v>
      </c>
      <c r="S4758" s="380">
        <v>0.95</v>
      </c>
      <c r="T4758" t="s">
        <v>5829</v>
      </c>
      <c r="U4758" t="str">
        <f>VLOOKUP(T4758,[8]Votes!$A$1:$E$234,3,FALSE)</f>
        <v>103 Inspectorate of Government (IG)</v>
      </c>
      <c r="V4758" t="s">
        <v>16705</v>
      </c>
      <c r="W4758" s="407">
        <v>1</v>
      </c>
      <c r="X4758" s="407">
        <v>0</v>
      </c>
      <c r="Y4758" s="407">
        <v>0</v>
      </c>
      <c r="Z4758" s="407">
        <v>1</v>
      </c>
      <c r="AA4758" s="407">
        <v>1</v>
      </c>
      <c r="AB4758" s="407">
        <v>0</v>
      </c>
      <c r="AC4758" s="150">
        <v>0</v>
      </c>
      <c r="AD4758" s="150">
        <v>0</v>
      </c>
      <c r="AE4758" s="49">
        <f t="shared" si="170"/>
        <v>0.375</v>
      </c>
      <c r="AF4758" s="44"/>
      <c r="AG4758" s="17">
        <v>0</v>
      </c>
      <c r="AH4758" s="44">
        <v>26.7</v>
      </c>
      <c r="AI4758" s="44">
        <v>26.7</v>
      </c>
      <c r="AJ4758" s="44">
        <v>26.7</v>
      </c>
      <c r="AK4758" s="151">
        <v>0</v>
      </c>
      <c r="AL4758" s="151">
        <v>0</v>
      </c>
      <c r="AM4758" s="17">
        <f t="shared" si="171"/>
        <v>0</v>
      </c>
      <c r="AN4758" t="s">
        <v>5829</v>
      </c>
      <c r="AO4758" s="162" t="s">
        <v>5839</v>
      </c>
      <c r="AP4758"/>
    </row>
    <row r="4759" spans="1:42" s="162" customFormat="1" x14ac:dyDescent="0.3">
      <c r="A4759" s="536" t="s">
        <v>8321</v>
      </c>
      <c r="B4759" s="162" t="s">
        <v>8322</v>
      </c>
      <c r="C4759" s="168" t="s">
        <v>13637</v>
      </c>
      <c r="D4759" s="1" t="s">
        <v>6838</v>
      </c>
      <c r="E4759" s="406" t="s">
        <v>13638</v>
      </c>
      <c r="F4759" s="406" t="s">
        <v>13533</v>
      </c>
      <c r="G4759" s="386" t="s">
        <v>13639</v>
      </c>
      <c r="H4759" s="1" t="s">
        <v>13640</v>
      </c>
      <c r="I4759" s="1"/>
      <c r="J4759" s="1"/>
      <c r="K4759" s="386" t="s">
        <v>16706</v>
      </c>
      <c r="L4759" s="1" t="s">
        <v>16707</v>
      </c>
      <c r="M4759" s="1" t="s">
        <v>16708</v>
      </c>
      <c r="N4759" s="539"/>
      <c r="O4759" s="380">
        <v>1</v>
      </c>
      <c r="P4759" s="380">
        <v>1</v>
      </c>
      <c r="Q4759" s="380">
        <v>1</v>
      </c>
      <c r="R4759" s="380">
        <v>1</v>
      </c>
      <c r="S4759" s="380">
        <v>1</v>
      </c>
      <c r="T4759" t="s">
        <v>5829</v>
      </c>
      <c r="U4759" t="str">
        <f>VLOOKUP(T4759,[8]Votes!$A$1:$E$234,3,FALSE)</f>
        <v>103 Inspectorate of Government (IG)</v>
      </c>
      <c r="V4759" t="s">
        <v>16709</v>
      </c>
      <c r="W4759" s="407">
        <v>1</v>
      </c>
      <c r="X4759" s="407">
        <v>0</v>
      </c>
      <c r="Y4759" s="407">
        <v>0</v>
      </c>
      <c r="Z4759" s="407">
        <v>1</v>
      </c>
      <c r="AA4759" s="407">
        <v>1</v>
      </c>
      <c r="AB4759" s="407">
        <v>1</v>
      </c>
      <c r="AC4759" s="150">
        <v>0</v>
      </c>
      <c r="AD4759" s="150">
        <v>1</v>
      </c>
      <c r="AE4759" s="49">
        <f t="shared" si="170"/>
        <v>0.625</v>
      </c>
      <c r="AF4759" s="44"/>
      <c r="AG4759" s="17">
        <v>0</v>
      </c>
      <c r="AH4759" s="44">
        <v>25</v>
      </c>
      <c r="AI4759" s="44">
        <v>25</v>
      </c>
      <c r="AJ4759" s="44">
        <v>25</v>
      </c>
      <c r="AK4759" s="151">
        <v>0</v>
      </c>
      <c r="AL4759" s="191">
        <v>0</v>
      </c>
      <c r="AM4759" s="17">
        <f t="shared" si="171"/>
        <v>0</v>
      </c>
      <c r="AN4759" t="s">
        <v>5829</v>
      </c>
      <c r="AO4759" s="162" t="s">
        <v>5839</v>
      </c>
      <c r="AP4759"/>
    </row>
    <row r="4760" spans="1:42" s="162" customFormat="1" x14ac:dyDescent="0.3">
      <c r="A4760" s="536" t="s">
        <v>8321</v>
      </c>
      <c r="B4760" s="162" t="s">
        <v>8322</v>
      </c>
      <c r="C4760" s="168" t="s">
        <v>13637</v>
      </c>
      <c r="D4760" s="1" t="s">
        <v>6838</v>
      </c>
      <c r="E4760" s="406" t="s">
        <v>13638</v>
      </c>
      <c r="F4760" s="406" t="s">
        <v>13533</v>
      </c>
      <c r="G4760" s="386" t="s">
        <v>13639</v>
      </c>
      <c r="H4760" s="1" t="s">
        <v>13640</v>
      </c>
      <c r="I4760" s="1"/>
      <c r="J4760" s="1"/>
      <c r="K4760" s="386" t="s">
        <v>16710</v>
      </c>
      <c r="L4760" s="1" t="s">
        <v>16711</v>
      </c>
      <c r="M4760" s="1" t="s">
        <v>16712</v>
      </c>
      <c r="N4760"/>
      <c r="O4760" s="380"/>
      <c r="P4760" s="380"/>
      <c r="Q4760" s="380"/>
      <c r="R4760" s="380">
        <v>0.01</v>
      </c>
      <c r="S4760" s="380"/>
      <c r="T4760" t="s">
        <v>5829</v>
      </c>
      <c r="U4760" t="str">
        <f>VLOOKUP(T4760,[8]Votes!$A$1:$E$234,3,FALSE)</f>
        <v>103 Inspectorate of Government (IG)</v>
      </c>
      <c r="V4760" t="s">
        <v>16713</v>
      </c>
      <c r="W4760" s="407">
        <v>1</v>
      </c>
      <c r="X4760" s="407">
        <v>0</v>
      </c>
      <c r="Y4760" s="407">
        <v>0</v>
      </c>
      <c r="Z4760" s="407">
        <v>1</v>
      </c>
      <c r="AA4760" s="407">
        <v>1</v>
      </c>
      <c r="AB4760" s="407">
        <v>1</v>
      </c>
      <c r="AC4760" s="150">
        <v>1</v>
      </c>
      <c r="AD4760" s="150">
        <v>1</v>
      </c>
      <c r="AE4760" s="49">
        <f t="shared" si="170"/>
        <v>0.75</v>
      </c>
      <c r="AF4760" s="190"/>
      <c r="AG4760" s="17">
        <v>0</v>
      </c>
      <c r="AH4760" s="190">
        <v>0</v>
      </c>
      <c r="AI4760" s="190">
        <v>0</v>
      </c>
      <c r="AJ4760" s="44">
        <v>1</v>
      </c>
      <c r="AK4760" s="151">
        <v>1</v>
      </c>
      <c r="AL4760" s="191">
        <v>0</v>
      </c>
      <c r="AM4760" s="17">
        <f t="shared" si="171"/>
        <v>1</v>
      </c>
      <c r="AN4760" t="s">
        <v>5829</v>
      </c>
      <c r="AO4760" s="162" t="s">
        <v>5839</v>
      </c>
      <c r="AP4760"/>
    </row>
    <row r="4761" spans="1:42" s="162" customFormat="1" x14ac:dyDescent="0.3">
      <c r="A4761" s="536" t="s">
        <v>8321</v>
      </c>
      <c r="B4761" s="162" t="s">
        <v>8322</v>
      </c>
      <c r="C4761" s="168" t="s">
        <v>13637</v>
      </c>
      <c r="D4761" s="1" t="s">
        <v>6838</v>
      </c>
      <c r="E4761" s="406" t="s">
        <v>13638</v>
      </c>
      <c r="F4761" s="406" t="s">
        <v>13533</v>
      </c>
      <c r="G4761" s="386" t="s">
        <v>13639</v>
      </c>
      <c r="H4761" s="1" t="s">
        <v>13640</v>
      </c>
      <c r="I4761" s="1"/>
      <c r="J4761" s="1"/>
      <c r="K4761" s="386" t="s">
        <v>16714</v>
      </c>
      <c r="L4761" s="1" t="s">
        <v>16715</v>
      </c>
      <c r="M4761" s="1" t="s">
        <v>16716</v>
      </c>
      <c r="N4761"/>
      <c r="O4761" s="380">
        <v>0.6</v>
      </c>
      <c r="P4761" s="380">
        <v>0.7</v>
      </c>
      <c r="Q4761" s="380">
        <v>0.8</v>
      </c>
      <c r="R4761" s="380">
        <v>0.9</v>
      </c>
      <c r="S4761" s="380">
        <v>1</v>
      </c>
      <c r="T4761" t="s">
        <v>5829</v>
      </c>
      <c r="U4761" t="str">
        <f>VLOOKUP(T4761,[8]Votes!$A$1:$E$234,3,FALSE)</f>
        <v>103 Inspectorate of Government (IG)</v>
      </c>
      <c r="V4761" t="s">
        <v>16717</v>
      </c>
      <c r="W4761" s="407">
        <v>1</v>
      </c>
      <c r="X4761" s="407">
        <v>0</v>
      </c>
      <c r="Y4761" s="407">
        <v>0</v>
      </c>
      <c r="Z4761" s="407">
        <v>1</v>
      </c>
      <c r="AA4761" s="407">
        <v>1</v>
      </c>
      <c r="AB4761" s="407">
        <v>0</v>
      </c>
      <c r="AC4761" s="150">
        <v>0</v>
      </c>
      <c r="AD4761" s="150">
        <v>0</v>
      </c>
      <c r="AE4761" s="49">
        <f t="shared" si="170"/>
        <v>0.375</v>
      </c>
      <c r="AF4761" s="44"/>
      <c r="AG4761" s="17">
        <v>0</v>
      </c>
      <c r="AH4761" s="44">
        <v>0.3</v>
      </c>
      <c r="AI4761" s="44">
        <v>0.3</v>
      </c>
      <c r="AJ4761" s="44">
        <v>0.3</v>
      </c>
      <c r="AK4761" s="151">
        <v>0.3</v>
      </c>
      <c r="AL4761" s="151">
        <v>0.3</v>
      </c>
      <c r="AM4761" s="17">
        <f t="shared" si="171"/>
        <v>0.6</v>
      </c>
      <c r="AN4761" t="s">
        <v>5829</v>
      </c>
      <c r="AO4761" s="162" t="s">
        <v>5839</v>
      </c>
      <c r="AP4761"/>
    </row>
    <row r="4762" spans="1:42" s="162" customFormat="1" x14ac:dyDescent="0.3">
      <c r="A4762" s="536" t="s">
        <v>8321</v>
      </c>
      <c r="B4762" s="162" t="s">
        <v>8322</v>
      </c>
      <c r="C4762" s="168" t="s">
        <v>13637</v>
      </c>
      <c r="D4762" s="1" t="s">
        <v>6838</v>
      </c>
      <c r="E4762" s="406" t="s">
        <v>13638</v>
      </c>
      <c r="F4762" s="406" t="s">
        <v>13533</v>
      </c>
      <c r="G4762" s="386" t="s">
        <v>13639</v>
      </c>
      <c r="H4762" s="1" t="s">
        <v>13640</v>
      </c>
      <c r="I4762" s="1"/>
      <c r="J4762" s="1"/>
      <c r="K4762" s="386" t="s">
        <v>16714</v>
      </c>
      <c r="L4762" s="1" t="s">
        <v>16715</v>
      </c>
      <c r="M4762" s="1" t="s">
        <v>16718</v>
      </c>
      <c r="N4762"/>
      <c r="O4762" s="3"/>
      <c r="P4762" s="3"/>
      <c r="Q4762" s="3"/>
      <c r="R4762" s="3"/>
      <c r="S4762" s="3">
        <v>1</v>
      </c>
      <c r="T4762" t="s">
        <v>5829</v>
      </c>
      <c r="U4762" t="str">
        <f>VLOOKUP(T4762,[8]Votes!$A$1:$E$234,3,FALSE)</f>
        <v>103 Inspectorate of Government (IG)</v>
      </c>
      <c r="V4762" t="s">
        <v>16719</v>
      </c>
      <c r="W4762" s="407">
        <v>1</v>
      </c>
      <c r="X4762" s="407">
        <v>1</v>
      </c>
      <c r="Y4762" s="407">
        <v>0</v>
      </c>
      <c r="Z4762" s="407">
        <v>0</v>
      </c>
      <c r="AA4762" s="407">
        <v>0</v>
      </c>
      <c r="AB4762" s="407">
        <v>0</v>
      </c>
      <c r="AC4762" s="150">
        <v>0</v>
      </c>
      <c r="AD4762" s="150">
        <v>1</v>
      </c>
      <c r="AE4762" s="49">
        <f t="shared" si="170"/>
        <v>0.375</v>
      </c>
      <c r="AF4762" s="44"/>
      <c r="AG4762" s="17">
        <v>0</v>
      </c>
      <c r="AH4762" s="44">
        <v>2</v>
      </c>
      <c r="AI4762" s="44">
        <v>2</v>
      </c>
      <c r="AJ4762" s="44">
        <v>2</v>
      </c>
      <c r="AK4762" s="151">
        <v>0</v>
      </c>
      <c r="AL4762" s="151">
        <v>0</v>
      </c>
      <c r="AM4762" s="17">
        <f t="shared" si="171"/>
        <v>0</v>
      </c>
      <c r="AN4762" t="s">
        <v>5829</v>
      </c>
      <c r="AO4762" s="162" t="s">
        <v>5839</v>
      </c>
      <c r="AP4762"/>
    </row>
    <row r="4763" spans="1:42" s="162" customFormat="1" x14ac:dyDescent="0.3">
      <c r="A4763" s="536" t="s">
        <v>8321</v>
      </c>
      <c r="B4763" s="162" t="s">
        <v>8322</v>
      </c>
      <c r="C4763" s="168" t="s">
        <v>13637</v>
      </c>
      <c r="D4763" s="1" t="s">
        <v>6838</v>
      </c>
      <c r="E4763" s="406" t="s">
        <v>13638</v>
      </c>
      <c r="F4763" s="406" t="s">
        <v>13533</v>
      </c>
      <c r="G4763" s="386" t="s">
        <v>13639</v>
      </c>
      <c r="H4763" s="1" t="s">
        <v>13640</v>
      </c>
      <c r="I4763" s="1"/>
      <c r="J4763" s="1"/>
      <c r="K4763" s="386" t="s">
        <v>16714</v>
      </c>
      <c r="L4763" s="1" t="s">
        <v>16715</v>
      </c>
      <c r="M4763" s="1" t="s">
        <v>16720</v>
      </c>
      <c r="N4763"/>
      <c r="O4763" s="3"/>
      <c r="P4763" s="3">
        <v>1</v>
      </c>
      <c r="Q4763" s="3"/>
      <c r="R4763" s="3">
        <v>1</v>
      </c>
      <c r="S4763" s="3"/>
      <c r="T4763" t="s">
        <v>5829</v>
      </c>
      <c r="U4763" t="str">
        <f>VLOOKUP(T4763,[8]Votes!$A$1:$E$234,3,FALSE)</f>
        <v>103 Inspectorate of Government (IG)</v>
      </c>
      <c r="V4763" t="s">
        <v>16721</v>
      </c>
      <c r="W4763" s="407">
        <v>1</v>
      </c>
      <c r="X4763" s="407">
        <v>0</v>
      </c>
      <c r="Y4763" s="407">
        <v>0</v>
      </c>
      <c r="Z4763" s="407">
        <v>1</v>
      </c>
      <c r="AA4763" s="407">
        <v>1</v>
      </c>
      <c r="AB4763" s="407">
        <v>1</v>
      </c>
      <c r="AC4763" s="150">
        <v>0</v>
      </c>
      <c r="AD4763" s="150">
        <v>1</v>
      </c>
      <c r="AE4763" s="49">
        <f t="shared" si="170"/>
        <v>0.625</v>
      </c>
      <c r="AF4763" s="44"/>
      <c r="AG4763" s="17">
        <v>0</v>
      </c>
      <c r="AH4763" s="44">
        <v>0.4</v>
      </c>
      <c r="AI4763" s="44">
        <v>0.4</v>
      </c>
      <c r="AJ4763" s="44">
        <v>0.4</v>
      </c>
      <c r="AK4763" s="151">
        <v>0.4</v>
      </c>
      <c r="AL4763" s="151">
        <v>0.4</v>
      </c>
      <c r="AM4763" s="17">
        <f t="shared" si="171"/>
        <v>0.8</v>
      </c>
      <c r="AN4763" t="s">
        <v>5829</v>
      </c>
      <c r="AO4763" s="162" t="s">
        <v>5839</v>
      </c>
      <c r="AP4763"/>
    </row>
    <row r="4764" spans="1:42" s="162" customFormat="1" x14ac:dyDescent="0.3">
      <c r="A4764" s="536" t="s">
        <v>8321</v>
      </c>
      <c r="B4764" s="162" t="s">
        <v>8322</v>
      </c>
      <c r="C4764" s="168" t="s">
        <v>13637</v>
      </c>
      <c r="D4764" s="1" t="s">
        <v>6838</v>
      </c>
      <c r="E4764" s="406" t="s">
        <v>13638</v>
      </c>
      <c r="F4764" s="406" t="s">
        <v>13533</v>
      </c>
      <c r="G4764" s="386" t="s">
        <v>13639</v>
      </c>
      <c r="H4764" s="1" t="s">
        <v>13640</v>
      </c>
      <c r="I4764" s="1"/>
      <c r="J4764" s="1"/>
      <c r="K4764" s="386" t="s">
        <v>16722</v>
      </c>
      <c r="L4764" s="1" t="s">
        <v>16723</v>
      </c>
      <c r="M4764" s="1" t="s">
        <v>16724</v>
      </c>
      <c r="N4764"/>
      <c r="O4764" s="380">
        <v>1</v>
      </c>
      <c r="P4764" s="380">
        <v>1</v>
      </c>
      <c r="Q4764" s="380">
        <v>1</v>
      </c>
      <c r="R4764" s="380">
        <v>1</v>
      </c>
      <c r="S4764" s="380">
        <v>1</v>
      </c>
      <c r="T4764" t="s">
        <v>5829</v>
      </c>
      <c r="U4764" t="str">
        <f>VLOOKUP(T4764,[8]Votes!$A$1:$E$234,3,FALSE)</f>
        <v>103 Inspectorate of Government (IG)</v>
      </c>
      <c r="V4764" t="s">
        <v>16725</v>
      </c>
      <c r="W4764" s="407">
        <v>1</v>
      </c>
      <c r="X4764" s="407">
        <v>0</v>
      </c>
      <c r="Y4764" s="407">
        <v>0</v>
      </c>
      <c r="Z4764" s="407">
        <v>1</v>
      </c>
      <c r="AA4764" s="407">
        <v>1</v>
      </c>
      <c r="AB4764" s="407">
        <v>0</v>
      </c>
      <c r="AC4764" s="150">
        <v>0</v>
      </c>
      <c r="AD4764" s="150">
        <v>0</v>
      </c>
      <c r="AE4764" s="49">
        <f t="shared" si="170"/>
        <v>0.375</v>
      </c>
      <c r="AF4764" s="190"/>
      <c r="AG4764" s="17">
        <v>0</v>
      </c>
      <c r="AH4764" s="190">
        <v>0</v>
      </c>
      <c r="AI4764" s="190">
        <v>0</v>
      </c>
      <c r="AJ4764" s="190">
        <v>0</v>
      </c>
      <c r="AK4764" s="191">
        <v>0</v>
      </c>
      <c r="AL4764" s="191">
        <v>0</v>
      </c>
      <c r="AM4764" s="17">
        <f t="shared" si="171"/>
        <v>0</v>
      </c>
      <c r="AN4764" t="s">
        <v>5829</v>
      </c>
      <c r="AO4764" s="162" t="s">
        <v>5839</v>
      </c>
      <c r="AP4764"/>
    </row>
    <row r="4765" spans="1:42" s="162" customFormat="1" x14ac:dyDescent="0.3">
      <c r="A4765" s="536" t="s">
        <v>8321</v>
      </c>
      <c r="B4765" s="162" t="s">
        <v>8322</v>
      </c>
      <c r="C4765" s="168" t="s">
        <v>13637</v>
      </c>
      <c r="D4765" s="1" t="s">
        <v>6838</v>
      </c>
      <c r="E4765" s="406" t="s">
        <v>13638</v>
      </c>
      <c r="F4765" s="406" t="s">
        <v>13533</v>
      </c>
      <c r="G4765" s="386" t="s">
        <v>13639</v>
      </c>
      <c r="H4765" s="1" t="s">
        <v>13640</v>
      </c>
      <c r="I4765" s="1"/>
      <c r="J4765" s="1"/>
      <c r="K4765" s="386" t="s">
        <v>16722</v>
      </c>
      <c r="L4765" s="1" t="s">
        <v>16723</v>
      </c>
      <c r="M4765" s="1" t="s">
        <v>16328</v>
      </c>
      <c r="N4765"/>
      <c r="O4765" s="3">
        <v>2</v>
      </c>
      <c r="P4765" s="3">
        <v>2</v>
      </c>
      <c r="Q4765" s="3">
        <v>2</v>
      </c>
      <c r="R4765" s="3">
        <v>2</v>
      </c>
      <c r="S4765" s="3">
        <v>2</v>
      </c>
      <c r="T4765" t="s">
        <v>5829</v>
      </c>
      <c r="U4765" t="str">
        <f>VLOOKUP(T4765,[8]Votes!$A$1:$E$234,3,FALSE)</f>
        <v>103 Inspectorate of Government (IG)</v>
      </c>
      <c r="V4765" t="s">
        <v>16726</v>
      </c>
      <c r="W4765" s="407">
        <v>1</v>
      </c>
      <c r="X4765" s="407">
        <v>0</v>
      </c>
      <c r="Y4765" s="407">
        <v>0</v>
      </c>
      <c r="Z4765" s="407">
        <v>1</v>
      </c>
      <c r="AA4765" s="407">
        <v>1</v>
      </c>
      <c r="AB4765" s="407">
        <v>1</v>
      </c>
      <c r="AC4765" s="150">
        <v>0</v>
      </c>
      <c r="AD4765" s="150">
        <v>1</v>
      </c>
      <c r="AE4765" s="49">
        <f t="shared" si="170"/>
        <v>0.625</v>
      </c>
      <c r="AF4765" s="44"/>
      <c r="AG4765" s="17">
        <v>0</v>
      </c>
      <c r="AH4765" s="44">
        <v>0.3</v>
      </c>
      <c r="AI4765" s="44">
        <v>0.3</v>
      </c>
      <c r="AJ4765" s="44">
        <v>0.3</v>
      </c>
      <c r="AK4765" s="151">
        <v>0.3</v>
      </c>
      <c r="AL4765" s="151">
        <v>0.3</v>
      </c>
      <c r="AM4765" s="17">
        <f t="shared" si="171"/>
        <v>0.6</v>
      </c>
      <c r="AN4765" t="s">
        <v>5829</v>
      </c>
      <c r="AO4765" s="162" t="s">
        <v>5839</v>
      </c>
      <c r="AP4765"/>
    </row>
    <row r="4766" spans="1:42" s="162" customFormat="1" x14ac:dyDescent="0.3">
      <c r="A4766" s="536" t="s">
        <v>8321</v>
      </c>
      <c r="B4766" s="162" t="s">
        <v>8322</v>
      </c>
      <c r="C4766" s="168" t="s">
        <v>13637</v>
      </c>
      <c r="D4766" s="1" t="s">
        <v>6838</v>
      </c>
      <c r="E4766" s="406" t="s">
        <v>13638</v>
      </c>
      <c r="F4766" s="406" t="s">
        <v>13533</v>
      </c>
      <c r="G4766" s="386" t="s">
        <v>13658</v>
      </c>
      <c r="H4766" s="162" t="s">
        <v>13659</v>
      </c>
      <c r="I4766" s="386" t="s">
        <v>16727</v>
      </c>
      <c r="J4766" s="1" t="s">
        <v>16728</v>
      </c>
      <c r="K4766" s="536" t="s">
        <v>16729</v>
      </c>
      <c r="L4766" s="1" t="s">
        <v>16730</v>
      </c>
      <c r="M4766" s="1" t="s">
        <v>16731</v>
      </c>
      <c r="N4766">
        <v>5</v>
      </c>
      <c r="O4766" s="3">
        <v>5</v>
      </c>
      <c r="P4766" s="3">
        <v>4</v>
      </c>
      <c r="Q4766" s="3">
        <v>4</v>
      </c>
      <c r="R4766" s="3">
        <v>3</v>
      </c>
      <c r="S4766" s="3">
        <v>3</v>
      </c>
      <c r="T4766" s="223" t="s">
        <v>7852</v>
      </c>
      <c r="U4766" t="str">
        <f>VLOOKUP(T4766,[8]Votes!$A$1:$E$234,3,FALSE)</f>
        <v>131 Auditor General</v>
      </c>
      <c r="V4766" t="s">
        <v>16732</v>
      </c>
      <c r="W4766" s="407">
        <v>0</v>
      </c>
      <c r="X4766" s="407">
        <v>0</v>
      </c>
      <c r="Y4766" s="407">
        <v>0</v>
      </c>
      <c r="Z4766" s="407">
        <v>1</v>
      </c>
      <c r="AA4766" s="407">
        <v>1</v>
      </c>
      <c r="AB4766" s="407">
        <v>0</v>
      </c>
      <c r="AC4766" s="150">
        <v>0</v>
      </c>
      <c r="AD4766" s="150">
        <v>0</v>
      </c>
      <c r="AE4766" s="49">
        <f t="shared" si="170"/>
        <v>0.25</v>
      </c>
      <c r="AF4766" s="44"/>
      <c r="AG4766" s="17">
        <v>0</v>
      </c>
      <c r="AH4766" s="44">
        <v>0.16</v>
      </c>
      <c r="AI4766" s="44">
        <v>0.16</v>
      </c>
      <c r="AJ4766" s="44">
        <v>0.16</v>
      </c>
      <c r="AK4766" s="151">
        <v>0.18</v>
      </c>
      <c r="AL4766" s="151">
        <v>0.2</v>
      </c>
      <c r="AM4766" s="17">
        <f t="shared" si="171"/>
        <v>0.38</v>
      </c>
      <c r="AN4766" t="s">
        <v>7852</v>
      </c>
      <c r="AO4766" s="162" t="s">
        <v>7854</v>
      </c>
      <c r="AP4766"/>
    </row>
    <row r="4767" spans="1:42" s="162" customFormat="1" x14ac:dyDescent="0.3">
      <c r="A4767" s="536" t="s">
        <v>8321</v>
      </c>
      <c r="B4767" s="162" t="s">
        <v>8322</v>
      </c>
      <c r="C4767" s="168" t="s">
        <v>13637</v>
      </c>
      <c r="D4767" s="1" t="s">
        <v>6838</v>
      </c>
      <c r="E4767" s="406" t="s">
        <v>13638</v>
      </c>
      <c r="F4767" s="406" t="s">
        <v>13533</v>
      </c>
      <c r="G4767" s="386" t="s">
        <v>13658</v>
      </c>
      <c r="H4767" s="162" t="s">
        <v>13659</v>
      </c>
      <c r="I4767" s="386" t="s">
        <v>16727</v>
      </c>
      <c r="J4767" s="1" t="s">
        <v>16728</v>
      </c>
      <c r="K4767" s="536" t="s">
        <v>16729</v>
      </c>
      <c r="L4767" s="1" t="s">
        <v>16730</v>
      </c>
      <c r="M4767" s="1" t="s">
        <v>16733</v>
      </c>
      <c r="N4767" s="539">
        <v>1</v>
      </c>
      <c r="O4767" s="380">
        <v>1</v>
      </c>
      <c r="P4767" s="380">
        <v>1</v>
      </c>
      <c r="Q4767" s="380">
        <v>1</v>
      </c>
      <c r="R4767" s="380">
        <v>1</v>
      </c>
      <c r="S4767" s="380">
        <v>1</v>
      </c>
      <c r="T4767" s="539" t="s">
        <v>7852</v>
      </c>
      <c r="U4767" t="str">
        <f>VLOOKUP(T4767,[8]Votes!$A$1:$E$234,3,FALSE)</f>
        <v>131 Auditor General</v>
      </c>
      <c r="V4767" t="s">
        <v>15357</v>
      </c>
      <c r="W4767" s="407">
        <v>0</v>
      </c>
      <c r="X4767" s="407">
        <v>0</v>
      </c>
      <c r="Y4767" s="407">
        <v>0</v>
      </c>
      <c r="Z4767" s="407">
        <v>1</v>
      </c>
      <c r="AA4767" s="407">
        <v>1</v>
      </c>
      <c r="AB4767" s="407">
        <v>0</v>
      </c>
      <c r="AC4767" s="150">
        <v>0</v>
      </c>
      <c r="AD4767" s="150">
        <v>0</v>
      </c>
      <c r="AE4767" s="49">
        <f t="shared" si="170"/>
        <v>0.25</v>
      </c>
      <c r="AF4767" s="44"/>
      <c r="AG4767" s="17">
        <v>0</v>
      </c>
      <c r="AH4767" s="44">
        <v>0.2</v>
      </c>
      <c r="AI4767" s="44">
        <v>0.2</v>
      </c>
      <c r="AJ4767" s="44">
        <v>0.22</v>
      </c>
      <c r="AK4767" s="151">
        <v>0.22</v>
      </c>
      <c r="AL4767" s="151">
        <v>0.25</v>
      </c>
      <c r="AM4767" s="17">
        <f t="shared" si="171"/>
        <v>0.47</v>
      </c>
      <c r="AN4767" t="s">
        <v>7852</v>
      </c>
      <c r="AO4767" s="162" t="s">
        <v>7854</v>
      </c>
      <c r="AP4767"/>
    </row>
    <row r="4768" spans="1:42" s="162" customFormat="1" x14ac:dyDescent="0.3">
      <c r="A4768" s="536" t="s">
        <v>8321</v>
      </c>
      <c r="B4768" s="162" t="s">
        <v>8322</v>
      </c>
      <c r="C4768" s="168" t="s">
        <v>13637</v>
      </c>
      <c r="D4768" s="1" t="s">
        <v>6838</v>
      </c>
      <c r="E4768" s="406" t="s">
        <v>13638</v>
      </c>
      <c r="F4768" s="406" t="s">
        <v>13533</v>
      </c>
      <c r="G4768" s="386" t="s">
        <v>13658</v>
      </c>
      <c r="H4768" s="162" t="s">
        <v>13659</v>
      </c>
      <c r="I4768" s="386" t="s">
        <v>16727</v>
      </c>
      <c r="J4768" s="1" t="s">
        <v>16728</v>
      </c>
      <c r="K4768" s="536" t="s">
        <v>16729</v>
      </c>
      <c r="L4768" s="1" t="s">
        <v>16730</v>
      </c>
      <c r="M4768" s="1" t="s">
        <v>16734</v>
      </c>
      <c r="N4768" t="s">
        <v>119</v>
      </c>
      <c r="O4768" s="380">
        <v>0.8</v>
      </c>
      <c r="P4768" s="380">
        <v>0.85</v>
      </c>
      <c r="Q4768" s="380">
        <v>0.9</v>
      </c>
      <c r="R4768" s="380">
        <v>0.95</v>
      </c>
      <c r="S4768" s="380">
        <v>0.98</v>
      </c>
      <c r="T4768" s="223" t="s">
        <v>7852</v>
      </c>
      <c r="U4768" t="str">
        <f>VLOOKUP(T4768,[8]Votes!$A$1:$E$234,3,FALSE)</f>
        <v>131 Auditor General</v>
      </c>
      <c r="V4768" t="s">
        <v>16735</v>
      </c>
      <c r="W4768" s="407">
        <v>0</v>
      </c>
      <c r="X4768" s="407">
        <v>0</v>
      </c>
      <c r="Y4768" s="407">
        <v>0</v>
      </c>
      <c r="Z4768" s="407">
        <v>1</v>
      </c>
      <c r="AA4768" s="407">
        <v>1</v>
      </c>
      <c r="AB4768" s="407">
        <v>0</v>
      </c>
      <c r="AC4768" s="150">
        <v>0</v>
      </c>
      <c r="AD4768" s="150">
        <v>0</v>
      </c>
      <c r="AE4768" s="49">
        <f t="shared" si="170"/>
        <v>0.25</v>
      </c>
      <c r="AF4768" s="44"/>
      <c r="AG4768" s="17">
        <v>0</v>
      </c>
      <c r="AH4768" s="44">
        <v>0.15</v>
      </c>
      <c r="AI4768" s="44">
        <v>0.16</v>
      </c>
      <c r="AJ4768" s="44">
        <v>0.18</v>
      </c>
      <c r="AK4768" s="151">
        <v>0.18</v>
      </c>
      <c r="AL4768" s="151">
        <v>0.2</v>
      </c>
      <c r="AM4768" s="17">
        <f t="shared" si="171"/>
        <v>0.38</v>
      </c>
      <c r="AN4768" t="s">
        <v>7852</v>
      </c>
      <c r="AO4768" s="162" t="s">
        <v>7854</v>
      </c>
      <c r="AP4768"/>
    </row>
    <row r="4769" spans="1:42" s="162" customFormat="1" x14ac:dyDescent="0.3">
      <c r="A4769" s="536" t="s">
        <v>8321</v>
      </c>
      <c r="B4769" s="162" t="s">
        <v>8322</v>
      </c>
      <c r="C4769" s="168" t="s">
        <v>13637</v>
      </c>
      <c r="D4769" s="1" t="s">
        <v>6838</v>
      </c>
      <c r="E4769" s="406" t="s">
        <v>13638</v>
      </c>
      <c r="F4769" s="406" t="s">
        <v>13533</v>
      </c>
      <c r="G4769" s="386" t="s">
        <v>13716</v>
      </c>
      <c r="H4769" s="162" t="s">
        <v>13717</v>
      </c>
      <c r="I4769" s="1" t="s">
        <v>13641</v>
      </c>
      <c r="J4769" s="1" t="s">
        <v>13641</v>
      </c>
      <c r="K4769" s="386" t="s">
        <v>16736</v>
      </c>
      <c r="L4769" s="1" t="s">
        <v>16737</v>
      </c>
      <c r="M4769" s="1" t="s">
        <v>16738</v>
      </c>
      <c r="N4769" t="s">
        <v>119</v>
      </c>
      <c r="O4769" s="3"/>
      <c r="P4769" s="380">
        <v>0.65</v>
      </c>
      <c r="Q4769" s="380">
        <v>0.7</v>
      </c>
      <c r="R4769" s="380">
        <v>0.75</v>
      </c>
      <c r="S4769" s="380">
        <v>0.8</v>
      </c>
      <c r="T4769" s="223" t="s">
        <v>7852</v>
      </c>
      <c r="U4769" t="str">
        <f>VLOOKUP(T4769,[8]Votes!$A$1:$E$234,3,FALSE)</f>
        <v>131 Auditor General</v>
      </c>
      <c r="V4769" t="s">
        <v>16739</v>
      </c>
      <c r="W4769" s="45"/>
      <c r="X4769" s="45"/>
      <c r="Y4769" s="45"/>
      <c r="Z4769" s="45"/>
      <c r="AA4769" s="45"/>
      <c r="AB4769" s="45"/>
      <c r="AC4769" s="150">
        <v>0</v>
      </c>
      <c r="AD4769" s="150">
        <v>0</v>
      </c>
      <c r="AE4769" s="49">
        <f t="shared" si="170"/>
        <v>0</v>
      </c>
      <c r="AF4769" s="44"/>
      <c r="AG4769" s="17">
        <v>0</v>
      </c>
      <c r="AH4769" s="44">
        <v>0.1</v>
      </c>
      <c r="AI4769" s="44">
        <v>0.8</v>
      </c>
      <c r="AJ4769" s="44">
        <v>0.3</v>
      </c>
      <c r="AK4769" s="151">
        <v>0.2</v>
      </c>
      <c r="AL4769" s="151">
        <v>0.2</v>
      </c>
      <c r="AM4769" s="17">
        <f t="shared" si="171"/>
        <v>0.4</v>
      </c>
      <c r="AN4769" t="s">
        <v>7852</v>
      </c>
      <c r="AO4769" s="162" t="s">
        <v>7854</v>
      </c>
      <c r="AP4769"/>
    </row>
    <row r="4770" spans="1:42" s="162" customFormat="1" x14ac:dyDescent="0.3">
      <c r="A4770" s="536" t="s">
        <v>8321</v>
      </c>
      <c r="B4770" s="162" t="s">
        <v>8322</v>
      </c>
      <c r="C4770" s="168" t="s">
        <v>13637</v>
      </c>
      <c r="D4770" s="1" t="s">
        <v>6838</v>
      </c>
      <c r="E4770" s="406" t="s">
        <v>13638</v>
      </c>
      <c r="F4770" s="406" t="s">
        <v>13533</v>
      </c>
      <c r="G4770" s="386" t="s">
        <v>13716</v>
      </c>
      <c r="H4770" s="162" t="s">
        <v>13717</v>
      </c>
      <c r="I4770" s="1" t="s">
        <v>13641</v>
      </c>
      <c r="J4770" s="1" t="s">
        <v>13641</v>
      </c>
      <c r="K4770" s="386" t="s">
        <v>16736</v>
      </c>
      <c r="L4770" s="1" t="s">
        <v>16737</v>
      </c>
      <c r="M4770" s="1" t="s">
        <v>16740</v>
      </c>
      <c r="N4770" t="s">
        <v>119</v>
      </c>
      <c r="O4770" s="3"/>
      <c r="P4770" s="380">
        <v>0.05</v>
      </c>
      <c r="Q4770" s="380">
        <v>7.0000000000000007E-2</v>
      </c>
      <c r="R4770" s="380">
        <v>0.1</v>
      </c>
      <c r="S4770" s="380">
        <v>0.1</v>
      </c>
      <c r="T4770" s="223" t="s">
        <v>7852</v>
      </c>
      <c r="U4770" t="str">
        <f>VLOOKUP(T4770,[8]Votes!$A$1:$E$234,3,FALSE)</f>
        <v>131 Auditor General</v>
      </c>
      <c r="V4770" t="s">
        <v>16741</v>
      </c>
      <c r="W4770" s="45"/>
      <c r="X4770" s="45"/>
      <c r="Y4770" s="45"/>
      <c r="Z4770" s="45"/>
      <c r="AA4770" s="45"/>
      <c r="AB4770" s="45"/>
      <c r="AC4770" s="150">
        <v>0</v>
      </c>
      <c r="AD4770" s="150">
        <v>0</v>
      </c>
      <c r="AE4770" s="49">
        <f t="shared" si="170"/>
        <v>0</v>
      </c>
      <c r="AF4770" s="44"/>
      <c r="AG4770" s="17">
        <v>0</v>
      </c>
      <c r="AH4770" s="44">
        <v>1.2</v>
      </c>
      <c r="AI4770" s="44">
        <v>1.3</v>
      </c>
      <c r="AJ4770" s="44">
        <v>1.5</v>
      </c>
      <c r="AK4770" s="151">
        <v>1.8</v>
      </c>
      <c r="AL4770" s="151">
        <v>2</v>
      </c>
      <c r="AM4770" s="17">
        <f t="shared" si="171"/>
        <v>3.8</v>
      </c>
      <c r="AN4770" t="s">
        <v>7852</v>
      </c>
      <c r="AO4770" s="162" t="s">
        <v>7854</v>
      </c>
      <c r="AP4770"/>
    </row>
    <row r="4771" spans="1:42" s="162" customFormat="1" x14ac:dyDescent="0.3">
      <c r="A4771" s="536" t="s">
        <v>8321</v>
      </c>
      <c r="B4771" s="162" t="s">
        <v>8322</v>
      </c>
      <c r="C4771" s="168" t="s">
        <v>13637</v>
      </c>
      <c r="D4771" s="1" t="s">
        <v>6838</v>
      </c>
      <c r="E4771" s="406" t="s">
        <v>13638</v>
      </c>
      <c r="F4771" s="406" t="s">
        <v>13533</v>
      </c>
      <c r="G4771" s="386" t="s">
        <v>13716</v>
      </c>
      <c r="H4771" s="162" t="s">
        <v>13717</v>
      </c>
      <c r="I4771" s="1" t="s">
        <v>13641</v>
      </c>
      <c r="J4771" s="1" t="s">
        <v>13641</v>
      </c>
      <c r="K4771" s="386" t="s">
        <v>16736</v>
      </c>
      <c r="L4771" s="1" t="s">
        <v>16737</v>
      </c>
      <c r="M4771" s="1" t="s">
        <v>16742</v>
      </c>
      <c r="N4771" t="s">
        <v>16743</v>
      </c>
      <c r="O4771" s="3"/>
      <c r="P4771" s="380">
        <v>0.6</v>
      </c>
      <c r="Q4771" s="3"/>
      <c r="R4771" s="380">
        <v>0.7</v>
      </c>
      <c r="S4771" s="380">
        <v>0.8</v>
      </c>
      <c r="T4771" s="223" t="s">
        <v>7852</v>
      </c>
      <c r="U4771" t="str">
        <f>VLOOKUP(T4771,[8]Votes!$A$1:$E$234,3,FALSE)</f>
        <v>131 Auditor General</v>
      </c>
      <c r="V4771" t="s">
        <v>16744</v>
      </c>
      <c r="W4771" s="45"/>
      <c r="X4771" s="45"/>
      <c r="Y4771" s="45"/>
      <c r="Z4771" s="45"/>
      <c r="AA4771" s="45"/>
      <c r="AB4771" s="45"/>
      <c r="AC4771" s="150">
        <v>0</v>
      </c>
      <c r="AD4771" s="150">
        <v>0</v>
      </c>
      <c r="AE4771" s="49">
        <f t="shared" si="170"/>
        <v>0</v>
      </c>
      <c r="AF4771" s="44"/>
      <c r="AG4771" s="17">
        <v>0</v>
      </c>
      <c r="AH4771" s="44">
        <v>2</v>
      </c>
      <c r="AI4771" s="44">
        <v>2</v>
      </c>
      <c r="AJ4771" s="44">
        <v>2.2000000000000002</v>
      </c>
      <c r="AK4771" s="151">
        <v>2.2999999999999998</v>
      </c>
      <c r="AL4771" s="151">
        <v>2.4</v>
      </c>
      <c r="AM4771" s="17">
        <f t="shared" si="171"/>
        <v>4.6999999999999993</v>
      </c>
      <c r="AN4771" t="s">
        <v>7852</v>
      </c>
      <c r="AO4771" s="162" t="s">
        <v>7854</v>
      </c>
      <c r="AP4771"/>
    </row>
    <row r="4772" spans="1:42" s="162" customFormat="1" x14ac:dyDescent="0.3">
      <c r="A4772" s="536" t="s">
        <v>8321</v>
      </c>
      <c r="B4772" s="162" t="s">
        <v>8322</v>
      </c>
      <c r="C4772" s="168" t="s">
        <v>13637</v>
      </c>
      <c r="D4772" s="1" t="s">
        <v>6838</v>
      </c>
      <c r="E4772" s="406" t="s">
        <v>13638</v>
      </c>
      <c r="F4772" s="406" t="s">
        <v>13533</v>
      </c>
      <c r="G4772" s="386" t="s">
        <v>13716</v>
      </c>
      <c r="H4772" s="162" t="s">
        <v>13717</v>
      </c>
      <c r="I4772" s="1" t="s">
        <v>13641</v>
      </c>
      <c r="J4772" s="1" t="s">
        <v>13641</v>
      </c>
      <c r="K4772" s="386" t="s">
        <v>16736</v>
      </c>
      <c r="L4772" s="1" t="s">
        <v>16737</v>
      </c>
      <c r="M4772" s="1" t="s">
        <v>16745</v>
      </c>
      <c r="N4772" t="s">
        <v>16743</v>
      </c>
      <c r="O4772" s="3"/>
      <c r="P4772" s="380">
        <v>0.5</v>
      </c>
      <c r="Q4772" s="380">
        <v>0.6</v>
      </c>
      <c r="R4772" s="380">
        <v>0.7</v>
      </c>
      <c r="S4772" s="380">
        <v>0.8</v>
      </c>
      <c r="T4772" s="223" t="s">
        <v>7852</v>
      </c>
      <c r="U4772" t="str">
        <f>VLOOKUP(T4772,[8]Votes!$A$1:$E$234,3,FALSE)</f>
        <v>131 Auditor General</v>
      </c>
      <c r="V4772" t="s">
        <v>15361</v>
      </c>
      <c r="W4772" s="45"/>
      <c r="X4772" s="45"/>
      <c r="Y4772" s="45"/>
      <c r="Z4772" s="45"/>
      <c r="AA4772" s="45"/>
      <c r="AB4772" s="45"/>
      <c r="AC4772" s="150">
        <v>0</v>
      </c>
      <c r="AD4772" s="150">
        <v>0</v>
      </c>
      <c r="AE4772" s="49">
        <f t="shared" si="170"/>
        <v>0</v>
      </c>
      <c r="AF4772" s="44"/>
      <c r="AG4772" s="17">
        <v>0</v>
      </c>
      <c r="AH4772" s="44">
        <v>0.5</v>
      </c>
      <c r="AI4772" s="44">
        <v>0.6</v>
      </c>
      <c r="AJ4772" s="44">
        <v>0.7</v>
      </c>
      <c r="AK4772" s="151">
        <v>0.8</v>
      </c>
      <c r="AL4772" s="151">
        <v>0.8</v>
      </c>
      <c r="AM4772" s="17">
        <f t="shared" si="171"/>
        <v>1.6</v>
      </c>
      <c r="AN4772" t="s">
        <v>7852</v>
      </c>
      <c r="AO4772" s="162" t="s">
        <v>7854</v>
      </c>
      <c r="AP4772"/>
    </row>
    <row r="4773" spans="1:42" s="162" customFormat="1" x14ac:dyDescent="0.3">
      <c r="A4773" s="536" t="s">
        <v>8321</v>
      </c>
      <c r="B4773" s="162" t="s">
        <v>8322</v>
      </c>
      <c r="C4773" s="168" t="s">
        <v>13637</v>
      </c>
      <c r="D4773" s="1" t="s">
        <v>6838</v>
      </c>
      <c r="E4773" s="406" t="s">
        <v>13638</v>
      </c>
      <c r="F4773" s="406" t="s">
        <v>13533</v>
      </c>
      <c r="G4773" s="386" t="s">
        <v>13716</v>
      </c>
      <c r="H4773" s="162" t="s">
        <v>13717</v>
      </c>
      <c r="I4773" s="1" t="s">
        <v>13641</v>
      </c>
      <c r="J4773" s="1" t="s">
        <v>13641</v>
      </c>
      <c r="K4773" s="386" t="s">
        <v>16736</v>
      </c>
      <c r="L4773" s="1" t="s">
        <v>16737</v>
      </c>
      <c r="M4773" s="1" t="s">
        <v>16746</v>
      </c>
      <c r="N4773" t="s">
        <v>119</v>
      </c>
      <c r="O4773" s="3"/>
      <c r="P4773" s="380">
        <v>0.7</v>
      </c>
      <c r="Q4773" s="380">
        <v>0.8</v>
      </c>
      <c r="R4773" s="380">
        <v>0.9</v>
      </c>
      <c r="S4773" s="380">
        <v>0.95</v>
      </c>
      <c r="T4773" s="223" t="s">
        <v>7852</v>
      </c>
      <c r="U4773" t="str">
        <f>VLOOKUP(T4773,[8]Votes!$A$1:$E$234,3,FALSE)</f>
        <v>131 Auditor General</v>
      </c>
      <c r="V4773" t="s">
        <v>15365</v>
      </c>
      <c r="W4773" s="45"/>
      <c r="X4773" s="45"/>
      <c r="Y4773" s="45"/>
      <c r="Z4773" s="45"/>
      <c r="AA4773" s="45"/>
      <c r="AB4773" s="45"/>
      <c r="AC4773" s="150">
        <v>0</v>
      </c>
      <c r="AD4773" s="150">
        <v>0</v>
      </c>
      <c r="AE4773" s="49">
        <f t="shared" si="170"/>
        <v>0</v>
      </c>
      <c r="AF4773" s="44"/>
      <c r="AG4773" s="17">
        <v>0</v>
      </c>
      <c r="AH4773" s="44">
        <v>0.1</v>
      </c>
      <c r="AI4773" s="44">
        <v>0.2</v>
      </c>
      <c r="AJ4773" s="44">
        <v>0.2</v>
      </c>
      <c r="AK4773" s="151">
        <v>0.3</v>
      </c>
      <c r="AL4773" s="151">
        <v>0.4</v>
      </c>
      <c r="AM4773" s="17">
        <f t="shared" si="171"/>
        <v>0.7</v>
      </c>
      <c r="AN4773" t="s">
        <v>7852</v>
      </c>
      <c r="AO4773" s="162" t="s">
        <v>7854</v>
      </c>
      <c r="AP4773"/>
    </row>
    <row r="4774" spans="1:42" s="162" customFormat="1" x14ac:dyDescent="0.3">
      <c r="A4774" s="536" t="s">
        <v>8321</v>
      </c>
      <c r="B4774" s="162" t="s">
        <v>8322</v>
      </c>
      <c r="C4774" s="168" t="s">
        <v>13637</v>
      </c>
      <c r="D4774" s="1" t="s">
        <v>6838</v>
      </c>
      <c r="E4774" s="406" t="s">
        <v>13638</v>
      </c>
      <c r="F4774" s="406" t="s">
        <v>13533</v>
      </c>
      <c r="G4774" s="386" t="s">
        <v>13639</v>
      </c>
      <c r="H4774" s="162" t="s">
        <v>13640</v>
      </c>
      <c r="I4774" s="162" t="s">
        <v>16747</v>
      </c>
      <c r="J4774" s="1" t="s">
        <v>14548</v>
      </c>
      <c r="K4774" s="386" t="s">
        <v>16748</v>
      </c>
      <c r="L4774" s="1" t="s">
        <v>16749</v>
      </c>
      <c r="M4774" s="1" t="s">
        <v>16750</v>
      </c>
      <c r="N4774" s="539">
        <v>0.81</v>
      </c>
      <c r="O4774" s="380">
        <v>0.85</v>
      </c>
      <c r="P4774" s="380">
        <v>0.9</v>
      </c>
      <c r="Q4774" s="380">
        <v>0.95</v>
      </c>
      <c r="R4774" s="380">
        <v>0.95</v>
      </c>
      <c r="S4774" s="380">
        <v>0.95</v>
      </c>
      <c r="T4774" s="223" t="s">
        <v>7852</v>
      </c>
      <c r="U4774" t="str">
        <f>VLOOKUP(T4774,[8]Votes!$A$1:$E$234,3,FALSE)</f>
        <v>131 Auditor General</v>
      </c>
      <c r="V4774" t="s">
        <v>16751</v>
      </c>
      <c r="W4774" s="407">
        <v>1</v>
      </c>
      <c r="X4774" s="407">
        <v>0</v>
      </c>
      <c r="Y4774" s="407">
        <v>0</v>
      </c>
      <c r="Z4774" s="407">
        <v>1</v>
      </c>
      <c r="AA4774" s="407">
        <v>1</v>
      </c>
      <c r="AB4774" s="407">
        <v>0</v>
      </c>
      <c r="AC4774" s="150">
        <v>0</v>
      </c>
      <c r="AD4774" s="150">
        <v>0</v>
      </c>
      <c r="AE4774" s="49">
        <f t="shared" si="170"/>
        <v>0.375</v>
      </c>
      <c r="AF4774" s="44"/>
      <c r="AG4774" s="17">
        <v>0</v>
      </c>
      <c r="AH4774" s="44">
        <v>0.4</v>
      </c>
      <c r="AI4774" s="44">
        <v>0.4</v>
      </c>
      <c r="AJ4774" s="44">
        <v>0.5</v>
      </c>
      <c r="AK4774" s="151">
        <v>0.5</v>
      </c>
      <c r="AL4774" s="151">
        <v>0.6</v>
      </c>
      <c r="AM4774" s="17">
        <f t="shared" si="171"/>
        <v>1.1000000000000001</v>
      </c>
      <c r="AN4774" t="s">
        <v>7852</v>
      </c>
      <c r="AO4774" s="162" t="s">
        <v>7854</v>
      </c>
      <c r="AP4774"/>
    </row>
    <row r="4775" spans="1:42" s="162" customFormat="1" x14ac:dyDescent="0.3">
      <c r="A4775" s="536" t="s">
        <v>8321</v>
      </c>
      <c r="B4775" s="162" t="s">
        <v>8322</v>
      </c>
      <c r="C4775" s="168" t="s">
        <v>13637</v>
      </c>
      <c r="D4775" s="1" t="s">
        <v>6838</v>
      </c>
      <c r="E4775" s="406" t="s">
        <v>13638</v>
      </c>
      <c r="F4775" s="406" t="s">
        <v>13533</v>
      </c>
      <c r="G4775" s="386" t="s">
        <v>13639</v>
      </c>
      <c r="H4775" s="162" t="s">
        <v>13640</v>
      </c>
      <c r="I4775" s="162" t="s">
        <v>16747</v>
      </c>
      <c r="J4775" s="1" t="s">
        <v>14548</v>
      </c>
      <c r="K4775" s="386" t="s">
        <v>16748</v>
      </c>
      <c r="L4775" s="1" t="s">
        <v>16749</v>
      </c>
      <c r="M4775" s="1" t="s">
        <v>16752</v>
      </c>
      <c r="N4775" s="539">
        <v>1</v>
      </c>
      <c r="O4775" s="380" t="s">
        <v>16753</v>
      </c>
      <c r="P4775" s="380">
        <v>0.95</v>
      </c>
      <c r="Q4775" s="380">
        <v>0.95</v>
      </c>
      <c r="R4775" s="380">
        <v>1</v>
      </c>
      <c r="S4775" s="380">
        <v>1</v>
      </c>
      <c r="T4775" s="223" t="s">
        <v>7852</v>
      </c>
      <c r="U4775" t="str">
        <f>VLOOKUP(T4775,[8]Votes!$A$1:$E$234,3,FALSE)</f>
        <v>131 Auditor General</v>
      </c>
      <c r="V4775" t="s">
        <v>16754</v>
      </c>
      <c r="W4775" s="407">
        <v>1</v>
      </c>
      <c r="X4775" s="407">
        <v>0</v>
      </c>
      <c r="Y4775" s="407">
        <v>0</v>
      </c>
      <c r="Z4775" s="407">
        <v>1</v>
      </c>
      <c r="AA4775" s="407">
        <v>1</v>
      </c>
      <c r="AB4775" s="407">
        <v>0</v>
      </c>
      <c r="AC4775" s="150">
        <v>0</v>
      </c>
      <c r="AD4775" s="150">
        <v>0</v>
      </c>
      <c r="AE4775" s="49">
        <f t="shared" si="170"/>
        <v>0.375</v>
      </c>
      <c r="AF4775" s="44"/>
      <c r="AG4775" s="17">
        <v>0</v>
      </c>
      <c r="AH4775" s="44">
        <v>0.5</v>
      </c>
      <c r="AI4775" s="44">
        <v>0.5</v>
      </c>
      <c r="AJ4775" s="44">
        <v>0.5</v>
      </c>
      <c r="AK4775" s="151">
        <v>0.6</v>
      </c>
      <c r="AL4775" s="151">
        <v>0.7</v>
      </c>
      <c r="AM4775" s="17">
        <f t="shared" si="171"/>
        <v>1.2999999999999998</v>
      </c>
      <c r="AN4775" t="s">
        <v>7852</v>
      </c>
      <c r="AO4775" s="162" t="s">
        <v>7854</v>
      </c>
      <c r="AP4775"/>
    </row>
    <row r="4776" spans="1:42" s="162" customFormat="1" x14ac:dyDescent="0.3">
      <c r="A4776" s="536" t="s">
        <v>8321</v>
      </c>
      <c r="B4776" s="162" t="s">
        <v>8322</v>
      </c>
      <c r="C4776" s="168" t="s">
        <v>13637</v>
      </c>
      <c r="D4776" s="1" t="s">
        <v>6838</v>
      </c>
      <c r="E4776" s="406" t="s">
        <v>13638</v>
      </c>
      <c r="F4776" s="406" t="s">
        <v>13533</v>
      </c>
      <c r="G4776" s="386" t="s">
        <v>13639</v>
      </c>
      <c r="H4776" s="162" t="s">
        <v>13640</v>
      </c>
      <c r="I4776" s="162" t="s">
        <v>16747</v>
      </c>
      <c r="J4776" s="1" t="s">
        <v>14548</v>
      </c>
      <c r="K4776" s="386" t="s">
        <v>16748</v>
      </c>
      <c r="L4776" s="1" t="s">
        <v>16749</v>
      </c>
      <c r="M4776" s="1" t="s">
        <v>16755</v>
      </c>
      <c r="N4776" t="s">
        <v>119</v>
      </c>
      <c r="O4776" s="380">
        <v>0.65</v>
      </c>
      <c r="P4776" s="380">
        <v>0.7</v>
      </c>
      <c r="Q4776" s="380">
        <v>0.75</v>
      </c>
      <c r="R4776" s="380">
        <v>0.8</v>
      </c>
      <c r="S4776" s="380">
        <v>0.9</v>
      </c>
      <c r="T4776" s="223" t="s">
        <v>7852</v>
      </c>
      <c r="U4776" t="str">
        <f>VLOOKUP(T4776,[8]Votes!$A$1:$E$234,3,FALSE)</f>
        <v>131 Auditor General</v>
      </c>
      <c r="V4776" t="s">
        <v>16754</v>
      </c>
      <c r="W4776" s="407">
        <v>1</v>
      </c>
      <c r="X4776" s="407">
        <v>0</v>
      </c>
      <c r="Y4776" s="407">
        <v>0</v>
      </c>
      <c r="Z4776" s="407">
        <v>1</v>
      </c>
      <c r="AA4776" s="407">
        <v>1</v>
      </c>
      <c r="AB4776" s="407">
        <v>0</v>
      </c>
      <c r="AC4776" s="150">
        <v>0</v>
      </c>
      <c r="AD4776" s="150">
        <v>0</v>
      </c>
      <c r="AE4776" s="49">
        <f t="shared" si="170"/>
        <v>0.375</v>
      </c>
      <c r="AF4776" s="44"/>
      <c r="AG4776" s="17">
        <v>0</v>
      </c>
      <c r="AH4776" s="44">
        <v>0.5</v>
      </c>
      <c r="AI4776" s="44">
        <v>0.5</v>
      </c>
      <c r="AJ4776" s="44">
        <v>0.6</v>
      </c>
      <c r="AK4776" s="151">
        <v>0.6</v>
      </c>
      <c r="AL4776" s="151">
        <v>0.7</v>
      </c>
      <c r="AM4776" s="17">
        <f t="shared" si="171"/>
        <v>1.2999999999999998</v>
      </c>
      <c r="AN4776" t="s">
        <v>7852</v>
      </c>
      <c r="AO4776" s="162" t="s">
        <v>7854</v>
      </c>
      <c r="AP4776"/>
    </row>
    <row r="4777" spans="1:42" s="162" customFormat="1" x14ac:dyDescent="0.3">
      <c r="A4777" s="536" t="s">
        <v>8321</v>
      </c>
      <c r="B4777" s="162" t="s">
        <v>8322</v>
      </c>
      <c r="C4777" s="168" t="s">
        <v>13637</v>
      </c>
      <c r="D4777" s="1" t="s">
        <v>6838</v>
      </c>
      <c r="E4777" s="406" t="s">
        <v>13638</v>
      </c>
      <c r="F4777" s="406" t="s">
        <v>13533</v>
      </c>
      <c r="G4777" s="386" t="s">
        <v>13639</v>
      </c>
      <c r="H4777" s="162" t="s">
        <v>13640</v>
      </c>
      <c r="I4777" s="162" t="s">
        <v>16747</v>
      </c>
      <c r="J4777" s="1" t="s">
        <v>14548</v>
      </c>
      <c r="K4777" s="386" t="s">
        <v>16748</v>
      </c>
      <c r="L4777" s="1" t="s">
        <v>16749</v>
      </c>
      <c r="M4777" s="1" t="s">
        <v>16756</v>
      </c>
      <c r="N4777" t="s">
        <v>119</v>
      </c>
      <c r="O4777" s="380"/>
      <c r="P4777" s="380">
        <v>0.85</v>
      </c>
      <c r="Q4777" s="380">
        <v>0.85</v>
      </c>
      <c r="R4777" s="380">
        <v>0.9</v>
      </c>
      <c r="S4777" s="380">
        <v>0.9</v>
      </c>
      <c r="T4777" s="223" t="s">
        <v>7852</v>
      </c>
      <c r="U4777" t="str">
        <f>VLOOKUP(T4777,[8]Votes!$A$1:$E$234,3,FALSE)</f>
        <v>131 Auditor General</v>
      </c>
      <c r="V4777" t="s">
        <v>16757</v>
      </c>
      <c r="W4777" s="407">
        <v>1</v>
      </c>
      <c r="X4777" s="407">
        <v>0</v>
      </c>
      <c r="Y4777" s="407">
        <v>0</v>
      </c>
      <c r="Z4777" s="407">
        <v>1</v>
      </c>
      <c r="AA4777" s="407">
        <v>1</v>
      </c>
      <c r="AB4777" s="407">
        <v>0</v>
      </c>
      <c r="AC4777" s="150">
        <v>0</v>
      </c>
      <c r="AD4777" s="150">
        <v>0</v>
      </c>
      <c r="AE4777" s="49">
        <f t="shared" si="170"/>
        <v>0.375</v>
      </c>
      <c r="AF4777" s="44"/>
      <c r="AG4777" s="17">
        <v>0</v>
      </c>
      <c r="AH4777" s="44">
        <v>1</v>
      </c>
      <c r="AI4777" s="44">
        <v>1</v>
      </c>
      <c r="AJ4777" s="44">
        <v>22</v>
      </c>
      <c r="AK4777" s="151">
        <v>7.5</v>
      </c>
      <c r="AL4777" s="151">
        <v>8</v>
      </c>
      <c r="AM4777" s="17">
        <f t="shared" si="171"/>
        <v>15.5</v>
      </c>
      <c r="AN4777" t="s">
        <v>7852</v>
      </c>
      <c r="AO4777" s="162" t="s">
        <v>7854</v>
      </c>
      <c r="AP4777"/>
    </row>
    <row r="4778" spans="1:42" s="162" customFormat="1" x14ac:dyDescent="0.3">
      <c r="A4778" s="536" t="s">
        <v>8321</v>
      </c>
      <c r="B4778" s="162" t="s">
        <v>8322</v>
      </c>
      <c r="C4778" s="168" t="s">
        <v>13637</v>
      </c>
      <c r="D4778" s="1" t="s">
        <v>6838</v>
      </c>
      <c r="E4778" s="406" t="s">
        <v>13638</v>
      </c>
      <c r="F4778" s="406" t="s">
        <v>13533</v>
      </c>
      <c r="G4778" s="386" t="s">
        <v>13639</v>
      </c>
      <c r="H4778" s="1" t="s">
        <v>13640</v>
      </c>
      <c r="I4778" s="162" t="s">
        <v>16747</v>
      </c>
      <c r="J4778" s="1" t="s">
        <v>14548</v>
      </c>
      <c r="K4778" s="386" t="s">
        <v>16748</v>
      </c>
      <c r="L4778" s="1" t="s">
        <v>16749</v>
      </c>
      <c r="M4778" s="1" t="s">
        <v>16758</v>
      </c>
      <c r="N4778" t="s">
        <v>119</v>
      </c>
      <c r="O4778" s="380">
        <v>0.02</v>
      </c>
      <c r="P4778" s="380">
        <v>0.04</v>
      </c>
      <c r="Q4778" s="380">
        <v>0.06</v>
      </c>
      <c r="R4778" s="380">
        <v>0.08</v>
      </c>
      <c r="S4778" s="380">
        <v>0.1</v>
      </c>
      <c r="T4778" s="223" t="s">
        <v>7852</v>
      </c>
      <c r="U4778" t="str">
        <f>VLOOKUP(T4778,[8]Votes!$A$1:$E$234,3,FALSE)</f>
        <v>131 Auditor General</v>
      </c>
      <c r="V4778" t="s">
        <v>16759</v>
      </c>
      <c r="W4778" s="407">
        <v>1</v>
      </c>
      <c r="X4778" s="407">
        <v>0</v>
      </c>
      <c r="Y4778" s="407">
        <v>0</v>
      </c>
      <c r="Z4778" s="407">
        <v>1</v>
      </c>
      <c r="AA4778" s="407">
        <v>1</v>
      </c>
      <c r="AB4778" s="407">
        <v>0</v>
      </c>
      <c r="AC4778" s="150">
        <v>0</v>
      </c>
      <c r="AD4778" s="150">
        <v>0</v>
      </c>
      <c r="AE4778" s="49">
        <f t="shared" si="170"/>
        <v>0.375</v>
      </c>
      <c r="AF4778" s="44"/>
      <c r="AG4778" s="17">
        <v>0</v>
      </c>
      <c r="AH4778" s="44">
        <v>1.2</v>
      </c>
      <c r="AI4778" s="44">
        <v>3.5</v>
      </c>
      <c r="AJ4778" s="44">
        <v>5.8</v>
      </c>
      <c r="AK4778" s="151">
        <v>5.4</v>
      </c>
      <c r="AL4778" s="151">
        <v>3.2</v>
      </c>
      <c r="AM4778" s="17">
        <f t="shared" si="171"/>
        <v>8.6000000000000014</v>
      </c>
      <c r="AN4778" t="s">
        <v>7852</v>
      </c>
      <c r="AO4778" s="162" t="s">
        <v>7854</v>
      </c>
      <c r="AP4778"/>
    </row>
    <row r="4779" spans="1:42" s="162" customFormat="1" x14ac:dyDescent="0.3">
      <c r="A4779" s="536" t="s">
        <v>8321</v>
      </c>
      <c r="B4779" s="162" t="s">
        <v>8322</v>
      </c>
      <c r="C4779" s="168" t="s">
        <v>13637</v>
      </c>
      <c r="D4779" s="1" t="s">
        <v>6838</v>
      </c>
      <c r="E4779" s="406" t="s">
        <v>13638</v>
      </c>
      <c r="F4779" s="406" t="s">
        <v>13533</v>
      </c>
      <c r="G4779" s="386" t="s">
        <v>13639</v>
      </c>
      <c r="H4779" s="162" t="s">
        <v>13640</v>
      </c>
      <c r="I4779" s="1" t="s">
        <v>13641</v>
      </c>
      <c r="J4779" s="1" t="s">
        <v>13641</v>
      </c>
      <c r="K4779" s="386" t="s">
        <v>16760</v>
      </c>
      <c r="L4779" s="1" t="s">
        <v>16761</v>
      </c>
      <c r="M4779" s="1" t="s">
        <v>16762</v>
      </c>
      <c r="N4779" t="s">
        <v>119</v>
      </c>
      <c r="O4779" s="380"/>
      <c r="P4779" s="380"/>
      <c r="Q4779" s="380"/>
      <c r="R4779" s="380">
        <v>0.76</v>
      </c>
      <c r="S4779" s="380">
        <v>0.8</v>
      </c>
      <c r="T4779" s="223" t="s">
        <v>7852</v>
      </c>
      <c r="U4779" t="str">
        <f>VLOOKUP(T4779,[8]Votes!$A$1:$E$234,3,FALSE)</f>
        <v>131 Auditor General</v>
      </c>
      <c r="V4779" t="s">
        <v>16763</v>
      </c>
      <c r="W4779" s="407">
        <v>1</v>
      </c>
      <c r="X4779" s="407">
        <v>0</v>
      </c>
      <c r="Y4779" s="407">
        <v>0</v>
      </c>
      <c r="Z4779" s="407">
        <v>1</v>
      </c>
      <c r="AA4779" s="407">
        <v>1</v>
      </c>
      <c r="AB4779" s="407">
        <v>0</v>
      </c>
      <c r="AC4779" s="150">
        <v>0</v>
      </c>
      <c r="AD4779" s="150">
        <v>0</v>
      </c>
      <c r="AE4779" s="49">
        <f t="shared" si="170"/>
        <v>0.375</v>
      </c>
      <c r="AF4779" s="44"/>
      <c r="AG4779" s="17">
        <v>0</v>
      </c>
      <c r="AH4779" s="44">
        <v>7</v>
      </c>
      <c r="AI4779" s="44">
        <v>7</v>
      </c>
      <c r="AJ4779" s="44">
        <v>10</v>
      </c>
      <c r="AK4779" s="151">
        <v>8</v>
      </c>
      <c r="AL4779" s="151">
        <v>5</v>
      </c>
      <c r="AM4779" s="17">
        <f t="shared" si="171"/>
        <v>13</v>
      </c>
      <c r="AN4779" t="s">
        <v>7852</v>
      </c>
      <c r="AO4779" s="162" t="s">
        <v>7854</v>
      </c>
      <c r="AP4779"/>
    </row>
    <row r="4780" spans="1:42" s="162" customFormat="1" x14ac:dyDescent="0.3">
      <c r="A4780" s="536" t="s">
        <v>8321</v>
      </c>
      <c r="B4780" s="162" t="s">
        <v>8322</v>
      </c>
      <c r="C4780" s="168" t="s">
        <v>13637</v>
      </c>
      <c r="D4780" s="1" t="s">
        <v>6838</v>
      </c>
      <c r="E4780" s="406" t="s">
        <v>13638</v>
      </c>
      <c r="F4780" s="406" t="s">
        <v>13533</v>
      </c>
      <c r="G4780" s="386" t="s">
        <v>13639</v>
      </c>
      <c r="H4780" s="162" t="s">
        <v>13640</v>
      </c>
      <c r="I4780" s="1" t="s">
        <v>13641</v>
      </c>
      <c r="J4780" s="1" t="s">
        <v>13641</v>
      </c>
      <c r="K4780" s="386" t="s">
        <v>16760</v>
      </c>
      <c r="L4780" s="1" t="s">
        <v>16761</v>
      </c>
      <c r="M4780" s="1" t="s">
        <v>16764</v>
      </c>
      <c r="N4780" t="s">
        <v>119</v>
      </c>
      <c r="O4780" s="380">
        <v>0.6</v>
      </c>
      <c r="P4780" s="380">
        <v>0.7</v>
      </c>
      <c r="Q4780" s="380">
        <v>0.8</v>
      </c>
      <c r="R4780" s="380">
        <v>0.9</v>
      </c>
      <c r="S4780" s="380">
        <v>0.95</v>
      </c>
      <c r="T4780" s="223" t="s">
        <v>7852</v>
      </c>
      <c r="U4780" t="str">
        <f>VLOOKUP(T4780,[8]Votes!$A$1:$E$234,3,FALSE)</f>
        <v>131 Auditor General</v>
      </c>
      <c r="V4780" t="s">
        <v>16765</v>
      </c>
      <c r="W4780" s="407">
        <v>1</v>
      </c>
      <c r="X4780" s="407">
        <v>0</v>
      </c>
      <c r="Y4780" s="407">
        <v>0</v>
      </c>
      <c r="Z4780" s="407">
        <v>1</v>
      </c>
      <c r="AA4780" s="407">
        <v>1</v>
      </c>
      <c r="AB4780" s="407">
        <v>0</v>
      </c>
      <c r="AC4780" s="150">
        <v>0</v>
      </c>
      <c r="AD4780" s="150">
        <v>0</v>
      </c>
      <c r="AE4780" s="49">
        <f t="shared" si="170"/>
        <v>0.375</v>
      </c>
      <c r="AF4780" s="44"/>
      <c r="AG4780" s="17">
        <v>0</v>
      </c>
      <c r="AH4780" s="44">
        <v>0.2</v>
      </c>
      <c r="AI4780" s="44">
        <v>0.2</v>
      </c>
      <c r="AJ4780" s="44">
        <v>0.4</v>
      </c>
      <c r="AK4780" s="151">
        <v>0.5</v>
      </c>
      <c r="AL4780" s="151">
        <v>0.5</v>
      </c>
      <c r="AM4780" s="17">
        <f t="shared" si="171"/>
        <v>1</v>
      </c>
      <c r="AN4780" t="s">
        <v>7852</v>
      </c>
      <c r="AO4780" s="162" t="s">
        <v>7854</v>
      </c>
      <c r="AP4780"/>
    </row>
    <row r="4781" spans="1:42" s="162" customFormat="1" x14ac:dyDescent="0.3">
      <c r="A4781" s="536" t="s">
        <v>8321</v>
      </c>
      <c r="B4781" s="162" t="s">
        <v>8322</v>
      </c>
      <c r="C4781" s="168" t="s">
        <v>13637</v>
      </c>
      <c r="D4781" s="1" t="s">
        <v>6838</v>
      </c>
      <c r="E4781" s="406" t="s">
        <v>13638</v>
      </c>
      <c r="F4781" s="406" t="s">
        <v>13533</v>
      </c>
      <c r="G4781" s="386" t="s">
        <v>13639</v>
      </c>
      <c r="H4781" s="162" t="s">
        <v>13640</v>
      </c>
      <c r="I4781" s="1" t="s">
        <v>13641</v>
      </c>
      <c r="J4781" s="1" t="s">
        <v>13641</v>
      </c>
      <c r="K4781" s="386" t="s">
        <v>16760</v>
      </c>
      <c r="L4781" s="1" t="s">
        <v>16761</v>
      </c>
      <c r="M4781" s="1" t="s">
        <v>16766</v>
      </c>
      <c r="N4781" t="s">
        <v>119</v>
      </c>
      <c r="O4781" s="380">
        <v>0.85</v>
      </c>
      <c r="P4781" s="380">
        <v>0.9</v>
      </c>
      <c r="Q4781" s="380">
        <v>0.95</v>
      </c>
      <c r="R4781" s="380">
        <v>0.96</v>
      </c>
      <c r="S4781" s="380">
        <v>0.98</v>
      </c>
      <c r="T4781" s="223" t="s">
        <v>7852</v>
      </c>
      <c r="U4781" t="str">
        <f>VLOOKUP(T4781,[8]Votes!$A$1:$E$234,3,FALSE)</f>
        <v>131 Auditor General</v>
      </c>
      <c r="V4781" t="s">
        <v>16767</v>
      </c>
      <c r="W4781" s="407">
        <v>1</v>
      </c>
      <c r="X4781" s="407">
        <v>0</v>
      </c>
      <c r="Y4781" s="407">
        <v>0</v>
      </c>
      <c r="Z4781" s="407">
        <v>1</v>
      </c>
      <c r="AA4781" s="407">
        <v>1</v>
      </c>
      <c r="AB4781" s="407">
        <v>0</v>
      </c>
      <c r="AC4781" s="150">
        <v>0</v>
      </c>
      <c r="AD4781" s="150">
        <v>0</v>
      </c>
      <c r="AE4781" s="49">
        <f t="shared" si="170"/>
        <v>0.375</v>
      </c>
      <c r="AF4781" s="44"/>
      <c r="AG4781" s="17">
        <v>0</v>
      </c>
      <c r="AH4781" s="44">
        <v>0.9</v>
      </c>
      <c r="AI4781" s="44">
        <v>0.9</v>
      </c>
      <c r="AJ4781" s="44">
        <v>1</v>
      </c>
      <c r="AK4781" s="151">
        <v>1</v>
      </c>
      <c r="AL4781" s="151">
        <v>1.2</v>
      </c>
      <c r="AM4781" s="17">
        <f t="shared" si="171"/>
        <v>2.2000000000000002</v>
      </c>
      <c r="AN4781" t="s">
        <v>7852</v>
      </c>
      <c r="AO4781" s="162" t="s">
        <v>7854</v>
      </c>
      <c r="AP4781"/>
    </row>
    <row r="4782" spans="1:42" s="162" customFormat="1" x14ac:dyDescent="0.3">
      <c r="A4782" s="536" t="s">
        <v>8321</v>
      </c>
      <c r="B4782" s="162" t="s">
        <v>8322</v>
      </c>
      <c r="C4782" s="168" t="s">
        <v>13637</v>
      </c>
      <c r="D4782" s="1" t="s">
        <v>6838</v>
      </c>
      <c r="E4782" s="406" t="s">
        <v>13638</v>
      </c>
      <c r="F4782" s="406" t="s">
        <v>13533</v>
      </c>
      <c r="G4782" s="386" t="s">
        <v>13639</v>
      </c>
      <c r="H4782" s="162" t="s">
        <v>13640</v>
      </c>
      <c r="I4782" s="1" t="s">
        <v>13641</v>
      </c>
      <c r="J4782" s="1" t="s">
        <v>13641</v>
      </c>
      <c r="K4782" s="386" t="s">
        <v>16760</v>
      </c>
      <c r="L4782" s="1" t="s">
        <v>16761</v>
      </c>
      <c r="M4782" s="1" t="s">
        <v>16768</v>
      </c>
      <c r="N4782" t="s">
        <v>119</v>
      </c>
      <c r="O4782" s="380">
        <v>0.75</v>
      </c>
      <c r="P4782" s="380">
        <v>0.75</v>
      </c>
      <c r="Q4782" s="380">
        <v>0.8</v>
      </c>
      <c r="R4782" s="380">
        <v>0.85</v>
      </c>
      <c r="S4782" s="380">
        <v>0.9</v>
      </c>
      <c r="T4782" s="223" t="s">
        <v>7852</v>
      </c>
      <c r="U4782" t="str">
        <f>VLOOKUP(T4782,[8]Votes!$A$1:$E$234,3,FALSE)</f>
        <v>131 Auditor General</v>
      </c>
      <c r="V4782" t="s">
        <v>16769</v>
      </c>
      <c r="W4782" s="407">
        <v>1</v>
      </c>
      <c r="X4782" s="407">
        <v>0</v>
      </c>
      <c r="Y4782" s="407">
        <v>0</v>
      </c>
      <c r="Z4782" s="407">
        <v>1</v>
      </c>
      <c r="AA4782" s="407">
        <v>1</v>
      </c>
      <c r="AB4782" s="407">
        <v>0</v>
      </c>
      <c r="AC4782" s="150">
        <v>0</v>
      </c>
      <c r="AD4782" s="150">
        <v>0</v>
      </c>
      <c r="AE4782" s="49">
        <f t="shared" si="170"/>
        <v>0.375</v>
      </c>
      <c r="AF4782" s="44"/>
      <c r="AG4782" s="17">
        <v>0</v>
      </c>
      <c r="AH4782" s="44">
        <v>0.1</v>
      </c>
      <c r="AI4782" s="44">
        <v>0.12</v>
      </c>
      <c r="AJ4782" s="44">
        <v>0.15</v>
      </c>
      <c r="AK4782" s="151">
        <v>0.15</v>
      </c>
      <c r="AL4782" s="151">
        <v>0.2</v>
      </c>
      <c r="AM4782" s="17">
        <f t="shared" si="171"/>
        <v>0.35</v>
      </c>
      <c r="AN4782" t="s">
        <v>7852</v>
      </c>
      <c r="AO4782" s="162" t="s">
        <v>7854</v>
      </c>
      <c r="AP4782"/>
    </row>
    <row r="4783" spans="1:42" s="162" customFormat="1" x14ac:dyDescent="0.3">
      <c r="A4783" s="536" t="s">
        <v>8321</v>
      </c>
      <c r="B4783" s="162" t="s">
        <v>8322</v>
      </c>
      <c r="C4783" s="168" t="s">
        <v>13637</v>
      </c>
      <c r="D4783" s="1" t="s">
        <v>6838</v>
      </c>
      <c r="E4783" s="406" t="s">
        <v>13638</v>
      </c>
      <c r="F4783" s="406" t="s">
        <v>13533</v>
      </c>
      <c r="G4783" s="386" t="s">
        <v>13639</v>
      </c>
      <c r="H4783" s="162" t="s">
        <v>13640</v>
      </c>
      <c r="I4783" s="162" t="s">
        <v>16770</v>
      </c>
      <c r="J4783" s="1" t="s">
        <v>16771</v>
      </c>
      <c r="K4783" s="386" t="s">
        <v>16772</v>
      </c>
      <c r="L4783" s="1" t="s">
        <v>16773</v>
      </c>
      <c r="M4783" s="1" t="s">
        <v>16774</v>
      </c>
      <c r="N4783" s="540">
        <v>0.73599999999999999</v>
      </c>
      <c r="O4783" s="3"/>
      <c r="P4783" s="3"/>
      <c r="Q4783" s="380">
        <v>0.76</v>
      </c>
      <c r="R4783" s="3"/>
      <c r="S4783" s="380">
        <v>0.8</v>
      </c>
      <c r="T4783" t="s">
        <v>7852</v>
      </c>
      <c r="U4783" t="str">
        <f>VLOOKUP(T4783,[8]Votes!$A$1:$E$234,3,FALSE)</f>
        <v>131 Auditor General</v>
      </c>
      <c r="V4783" t="s">
        <v>16775</v>
      </c>
      <c r="W4783" s="407">
        <v>1</v>
      </c>
      <c r="X4783" s="407">
        <v>0</v>
      </c>
      <c r="Y4783" s="407">
        <v>0</v>
      </c>
      <c r="Z4783" s="407">
        <v>1</v>
      </c>
      <c r="AA4783" s="407">
        <v>1</v>
      </c>
      <c r="AB4783" s="407">
        <v>0</v>
      </c>
      <c r="AC4783" s="150">
        <v>0</v>
      </c>
      <c r="AD4783" s="150">
        <v>0</v>
      </c>
      <c r="AE4783" s="49">
        <f t="shared" si="170"/>
        <v>0.375</v>
      </c>
      <c r="AF4783" s="44"/>
      <c r="AG4783" s="17">
        <v>0</v>
      </c>
      <c r="AH4783" s="44">
        <v>0.8</v>
      </c>
      <c r="AI4783" s="44">
        <v>0.8</v>
      </c>
      <c r="AJ4783" s="44">
        <v>0.9</v>
      </c>
      <c r="AK4783" s="151">
        <v>0.8</v>
      </c>
      <c r="AL4783" s="151">
        <v>1</v>
      </c>
      <c r="AM4783" s="17">
        <f t="shared" si="171"/>
        <v>1.8</v>
      </c>
      <c r="AN4783" t="s">
        <v>7852</v>
      </c>
      <c r="AO4783" s="162" t="s">
        <v>7854</v>
      </c>
      <c r="AP4783"/>
    </row>
    <row r="4784" spans="1:42" s="162" customFormat="1" x14ac:dyDescent="0.3">
      <c r="A4784" s="536" t="s">
        <v>8321</v>
      </c>
      <c r="B4784" s="162" t="s">
        <v>8322</v>
      </c>
      <c r="C4784" s="168" t="s">
        <v>13637</v>
      </c>
      <c r="D4784" s="1" t="s">
        <v>6838</v>
      </c>
      <c r="E4784" s="406" t="s">
        <v>13638</v>
      </c>
      <c r="F4784" s="406" t="s">
        <v>13533</v>
      </c>
      <c r="G4784" s="386" t="s">
        <v>13639</v>
      </c>
      <c r="H4784" s="162" t="s">
        <v>13640</v>
      </c>
      <c r="I4784" s="162" t="s">
        <v>16770</v>
      </c>
      <c r="J4784" s="1" t="s">
        <v>16771</v>
      </c>
      <c r="K4784" s="386" t="s">
        <v>16772</v>
      </c>
      <c r="L4784" s="1" t="s">
        <v>16773</v>
      </c>
      <c r="M4784" s="1" t="s">
        <v>16776</v>
      </c>
      <c r="N4784" s="540">
        <v>0.73599999999999999</v>
      </c>
      <c r="O4784" s="3"/>
      <c r="P4784" s="3"/>
      <c r="Q4784" s="380">
        <v>0.76</v>
      </c>
      <c r="R4784" s="3"/>
      <c r="S4784" s="380">
        <v>0.8</v>
      </c>
      <c r="T4784" t="s">
        <v>7852</v>
      </c>
      <c r="U4784" t="str">
        <f>VLOOKUP(T4784,[8]Votes!$A$1:$E$234,3,FALSE)</f>
        <v>131 Auditor General</v>
      </c>
      <c r="V4784" t="s">
        <v>16777</v>
      </c>
      <c r="W4784" s="407">
        <v>1</v>
      </c>
      <c r="X4784" s="407">
        <v>0</v>
      </c>
      <c r="Y4784" s="407">
        <v>0</v>
      </c>
      <c r="Z4784" s="407">
        <v>1</v>
      </c>
      <c r="AA4784" s="407">
        <v>1</v>
      </c>
      <c r="AB4784" s="407">
        <v>0</v>
      </c>
      <c r="AC4784" s="150">
        <v>0</v>
      </c>
      <c r="AD4784" s="150">
        <v>0</v>
      </c>
      <c r="AE4784" s="49">
        <f t="shared" si="170"/>
        <v>0.375</v>
      </c>
      <c r="AF4784" s="44"/>
      <c r="AG4784" s="17">
        <v>0</v>
      </c>
      <c r="AH4784" s="44">
        <v>0.4</v>
      </c>
      <c r="AI4784" s="44">
        <v>0.4</v>
      </c>
      <c r="AJ4784" s="44">
        <v>0.4</v>
      </c>
      <c r="AK4784" s="151">
        <v>0.5</v>
      </c>
      <c r="AL4784" s="151">
        <v>0.5</v>
      </c>
      <c r="AM4784" s="17">
        <f t="shared" si="171"/>
        <v>1</v>
      </c>
      <c r="AN4784" t="s">
        <v>7852</v>
      </c>
      <c r="AO4784" s="162" t="s">
        <v>7854</v>
      </c>
      <c r="AP4784"/>
    </row>
    <row r="4785" spans="1:42" s="162" customFormat="1" x14ac:dyDescent="0.3">
      <c r="A4785" s="536" t="s">
        <v>8321</v>
      </c>
      <c r="B4785" s="162" t="s">
        <v>8322</v>
      </c>
      <c r="C4785" s="168" t="s">
        <v>13637</v>
      </c>
      <c r="D4785" s="1" t="s">
        <v>6838</v>
      </c>
      <c r="E4785" s="406" t="s">
        <v>13638</v>
      </c>
      <c r="F4785" s="406" t="s">
        <v>13533</v>
      </c>
      <c r="G4785" s="386" t="s">
        <v>13639</v>
      </c>
      <c r="H4785" s="162" t="s">
        <v>13640</v>
      </c>
      <c r="I4785" s="162" t="s">
        <v>16770</v>
      </c>
      <c r="J4785" s="1" t="s">
        <v>16771</v>
      </c>
      <c r="K4785" s="386" t="s">
        <v>16772</v>
      </c>
      <c r="L4785" s="1" t="s">
        <v>16773</v>
      </c>
      <c r="M4785" s="1" t="s">
        <v>16778</v>
      </c>
      <c r="N4785" s="539">
        <v>0.6</v>
      </c>
      <c r="O4785" s="380">
        <v>1</v>
      </c>
      <c r="P4785" s="380">
        <v>1</v>
      </c>
      <c r="Q4785" s="380">
        <v>1</v>
      </c>
      <c r="R4785" s="380">
        <v>1</v>
      </c>
      <c r="S4785" s="380">
        <v>1</v>
      </c>
      <c r="T4785" t="s">
        <v>7852</v>
      </c>
      <c r="U4785" t="str">
        <f>VLOOKUP(T4785,[8]Votes!$A$1:$E$234,3,FALSE)</f>
        <v>131 Auditor General</v>
      </c>
      <c r="V4785" t="s">
        <v>14863</v>
      </c>
      <c r="W4785" s="407">
        <v>1</v>
      </c>
      <c r="X4785" s="407">
        <v>0</v>
      </c>
      <c r="Y4785" s="407">
        <v>0</v>
      </c>
      <c r="Z4785" s="407">
        <v>1</v>
      </c>
      <c r="AA4785" s="407">
        <v>1</v>
      </c>
      <c r="AB4785" s="407">
        <v>0</v>
      </c>
      <c r="AC4785" s="150">
        <v>0</v>
      </c>
      <c r="AD4785" s="150">
        <v>0</v>
      </c>
      <c r="AE4785" s="49">
        <f t="shared" si="170"/>
        <v>0.375</v>
      </c>
      <c r="AF4785" s="44"/>
      <c r="AG4785" s="17">
        <v>0</v>
      </c>
      <c r="AH4785" s="44">
        <v>0.4</v>
      </c>
      <c r="AI4785" s="44">
        <v>0.4</v>
      </c>
      <c r="AJ4785" s="44">
        <v>0.5</v>
      </c>
      <c r="AK4785" s="151">
        <v>0.4</v>
      </c>
      <c r="AL4785" s="151">
        <v>0.5</v>
      </c>
      <c r="AM4785" s="17">
        <f t="shared" si="171"/>
        <v>0.9</v>
      </c>
      <c r="AN4785" t="s">
        <v>7852</v>
      </c>
      <c r="AO4785" s="162" t="s">
        <v>7854</v>
      </c>
      <c r="AP4785"/>
    </row>
    <row r="4786" spans="1:42" s="162" customFormat="1" x14ac:dyDescent="0.3">
      <c r="A4786" s="536" t="s">
        <v>8321</v>
      </c>
      <c r="B4786" s="162" t="s">
        <v>8322</v>
      </c>
      <c r="C4786" s="168" t="s">
        <v>13637</v>
      </c>
      <c r="D4786" s="1" t="s">
        <v>6838</v>
      </c>
      <c r="E4786" s="406" t="s">
        <v>13638</v>
      </c>
      <c r="F4786" s="406" t="s">
        <v>13533</v>
      </c>
      <c r="G4786" s="386" t="s">
        <v>13658</v>
      </c>
      <c r="H4786" s="162" t="s">
        <v>13659</v>
      </c>
      <c r="I4786" s="1" t="s">
        <v>13641</v>
      </c>
      <c r="J4786" s="1" t="s">
        <v>13641</v>
      </c>
      <c r="K4786" s="386" t="s">
        <v>16217</v>
      </c>
      <c r="L4786" s="1" t="s">
        <v>14521</v>
      </c>
      <c r="M4786" s="1" t="s">
        <v>16699</v>
      </c>
      <c r="N4786">
        <v>8</v>
      </c>
      <c r="O4786" s="3">
        <v>10</v>
      </c>
      <c r="P4786" s="3">
        <v>10</v>
      </c>
      <c r="Q4786" s="3">
        <v>11</v>
      </c>
      <c r="R4786" s="3">
        <v>8</v>
      </c>
      <c r="S4786" s="3">
        <v>12</v>
      </c>
      <c r="T4786" t="s">
        <v>1452</v>
      </c>
      <c r="U4786" t="str">
        <f>VLOOKUP(T4786,[8]Votes!$A$1:$E$234,3,FALSE)</f>
        <v>153 Public Procurement and Disposal of Public Assets Authority</v>
      </c>
      <c r="V4786" t="s">
        <v>16779</v>
      </c>
      <c r="W4786" s="407">
        <v>1</v>
      </c>
      <c r="X4786" s="407">
        <v>1</v>
      </c>
      <c r="Y4786" s="407">
        <v>1</v>
      </c>
      <c r="Z4786" s="407">
        <v>1</v>
      </c>
      <c r="AA4786" s="407">
        <v>1</v>
      </c>
      <c r="AB4786" s="407">
        <v>1</v>
      </c>
      <c r="AC4786" s="150">
        <v>1</v>
      </c>
      <c r="AD4786" s="150">
        <v>1</v>
      </c>
      <c r="AE4786" s="49">
        <f t="shared" si="170"/>
        <v>1</v>
      </c>
      <c r="AF4786" s="44"/>
      <c r="AG4786" s="17">
        <v>0</v>
      </c>
      <c r="AH4786" s="44">
        <v>0.17</v>
      </c>
      <c r="AI4786" s="44">
        <v>0.17</v>
      </c>
      <c r="AJ4786" s="44">
        <v>0.25</v>
      </c>
      <c r="AK4786" s="151">
        <v>0.17</v>
      </c>
      <c r="AL4786" s="151">
        <v>0.31</v>
      </c>
      <c r="AM4786" s="17">
        <f t="shared" si="171"/>
        <v>0.48</v>
      </c>
      <c r="AN4786" t="s">
        <v>1452</v>
      </c>
      <c r="AO4786" s="162" t="s">
        <v>5363</v>
      </c>
      <c r="AP4786" t="s">
        <v>13641</v>
      </c>
    </row>
    <row r="4787" spans="1:42" s="162" customFormat="1" x14ac:dyDescent="0.3">
      <c r="A4787" s="536" t="s">
        <v>8321</v>
      </c>
      <c r="B4787" s="162" t="s">
        <v>8322</v>
      </c>
      <c r="C4787" s="168" t="s">
        <v>13637</v>
      </c>
      <c r="D4787" s="1" t="s">
        <v>6838</v>
      </c>
      <c r="E4787" s="406" t="s">
        <v>13638</v>
      </c>
      <c r="F4787" s="406" t="s">
        <v>13533</v>
      </c>
      <c r="G4787" s="386" t="s">
        <v>13639</v>
      </c>
      <c r="H4787" s="1" t="s">
        <v>13640</v>
      </c>
      <c r="I4787" s="1" t="s">
        <v>13641</v>
      </c>
      <c r="J4787" s="1" t="s">
        <v>13641</v>
      </c>
      <c r="K4787" s="386" t="s">
        <v>16780</v>
      </c>
      <c r="L4787" s="1" t="s">
        <v>16781</v>
      </c>
      <c r="M4787" s="1" t="s">
        <v>16782</v>
      </c>
      <c r="N4787" s="539">
        <v>0.99</v>
      </c>
      <c r="O4787" s="380">
        <v>1</v>
      </c>
      <c r="P4787" s="380">
        <v>1</v>
      </c>
      <c r="Q4787" s="380">
        <v>1</v>
      </c>
      <c r="R4787" s="380">
        <v>1</v>
      </c>
      <c r="S4787" s="380">
        <v>1</v>
      </c>
      <c r="T4787" t="s">
        <v>1452</v>
      </c>
      <c r="U4787" t="str">
        <f>VLOOKUP(T4787,[8]Votes!$A$1:$E$234,3,FALSE)</f>
        <v>153 Public Procurement and Disposal of Public Assets Authority</v>
      </c>
      <c r="V4787" t="s">
        <v>16783</v>
      </c>
      <c r="W4787" s="407">
        <v>1</v>
      </c>
      <c r="X4787" s="407">
        <v>1</v>
      </c>
      <c r="Y4787" s="407">
        <v>1</v>
      </c>
      <c r="Z4787" s="407">
        <v>1</v>
      </c>
      <c r="AA4787" s="407">
        <v>1</v>
      </c>
      <c r="AB4787" s="407">
        <v>0</v>
      </c>
      <c r="AC4787" s="150">
        <v>0</v>
      </c>
      <c r="AD4787" s="150">
        <v>1</v>
      </c>
      <c r="AE4787" s="49">
        <f t="shared" si="170"/>
        <v>0.75</v>
      </c>
      <c r="AF4787" s="44"/>
      <c r="AG4787" s="17">
        <v>1</v>
      </c>
      <c r="AH4787" s="44">
        <v>1.54</v>
      </c>
      <c r="AI4787" s="44">
        <v>1.54</v>
      </c>
      <c r="AJ4787" s="44">
        <v>1.54</v>
      </c>
      <c r="AK4787" s="151">
        <v>1.54</v>
      </c>
      <c r="AL4787" s="151">
        <v>1.54</v>
      </c>
      <c r="AM4787" s="17">
        <f t="shared" si="171"/>
        <v>3.08</v>
      </c>
      <c r="AN4787" t="s">
        <v>1452</v>
      </c>
      <c r="AO4787" s="162" t="s">
        <v>5363</v>
      </c>
      <c r="AP4787" t="s">
        <v>13641</v>
      </c>
    </row>
    <row r="4788" spans="1:42" s="162" customFormat="1" x14ac:dyDescent="0.3">
      <c r="A4788" s="536" t="s">
        <v>8321</v>
      </c>
      <c r="B4788" s="162" t="s">
        <v>8322</v>
      </c>
      <c r="C4788" s="168" t="s">
        <v>13637</v>
      </c>
      <c r="D4788" s="1" t="s">
        <v>6838</v>
      </c>
      <c r="E4788" s="406" t="s">
        <v>13638</v>
      </c>
      <c r="F4788" s="406" t="s">
        <v>13533</v>
      </c>
      <c r="G4788" s="386" t="s">
        <v>13658</v>
      </c>
      <c r="H4788" s="162" t="s">
        <v>13659</v>
      </c>
      <c r="I4788" s="386" t="s">
        <v>16784</v>
      </c>
      <c r="J4788" s="1" t="s">
        <v>16785</v>
      </c>
      <c r="K4788" s="536" t="s">
        <v>16786</v>
      </c>
      <c r="L4788" s="1" t="s">
        <v>16787</v>
      </c>
      <c r="M4788" s="1" t="s">
        <v>16788</v>
      </c>
      <c r="N4788">
        <v>8</v>
      </c>
      <c r="O4788" s="3">
        <v>8</v>
      </c>
      <c r="P4788" s="3">
        <v>8</v>
      </c>
      <c r="Q4788" s="3">
        <v>8</v>
      </c>
      <c r="R4788" s="3">
        <v>8</v>
      </c>
      <c r="S4788" s="3">
        <v>8</v>
      </c>
      <c r="T4788" s="223" t="s">
        <v>1452</v>
      </c>
      <c r="U4788" t="str">
        <f>VLOOKUP(T4788,[8]Votes!$A$1:$E$234,3,FALSE)</f>
        <v>153 Public Procurement and Disposal of Public Assets Authority</v>
      </c>
      <c r="V4788" t="s">
        <v>16789</v>
      </c>
      <c r="W4788" s="407">
        <v>0</v>
      </c>
      <c r="X4788" s="407">
        <v>0</v>
      </c>
      <c r="Y4788" s="407">
        <v>0</v>
      </c>
      <c r="Z4788" s="407">
        <v>1</v>
      </c>
      <c r="AA4788" s="407">
        <v>1</v>
      </c>
      <c r="AB4788" s="407">
        <v>0</v>
      </c>
      <c r="AC4788" s="150">
        <v>0</v>
      </c>
      <c r="AD4788" s="150">
        <v>0</v>
      </c>
      <c r="AE4788" s="49">
        <f t="shared" si="170"/>
        <v>0.25</v>
      </c>
      <c r="AF4788" s="44"/>
      <c r="AG4788" s="17">
        <v>0</v>
      </c>
      <c r="AH4788" s="44">
        <v>0.03</v>
      </c>
      <c r="AI4788" s="44">
        <v>0.03</v>
      </c>
      <c r="AJ4788" s="44">
        <v>0.03</v>
      </c>
      <c r="AK4788" s="151">
        <v>0.03</v>
      </c>
      <c r="AL4788" s="151">
        <v>0.03</v>
      </c>
      <c r="AM4788" s="17">
        <f t="shared" si="171"/>
        <v>0.06</v>
      </c>
      <c r="AN4788" t="s">
        <v>1452</v>
      </c>
      <c r="AO4788" s="162" t="s">
        <v>5363</v>
      </c>
      <c r="AP4788"/>
    </row>
    <row r="4789" spans="1:42" s="162" customFormat="1" x14ac:dyDescent="0.3">
      <c r="A4789" s="536" t="s">
        <v>8321</v>
      </c>
      <c r="B4789" s="162" t="s">
        <v>8322</v>
      </c>
      <c r="C4789" s="168" t="s">
        <v>13637</v>
      </c>
      <c r="D4789" s="1" t="s">
        <v>6838</v>
      </c>
      <c r="E4789" s="406" t="s">
        <v>13638</v>
      </c>
      <c r="F4789" s="406" t="s">
        <v>13533</v>
      </c>
      <c r="G4789" s="386" t="s">
        <v>13658</v>
      </c>
      <c r="H4789" s="162" t="s">
        <v>13659</v>
      </c>
      <c r="I4789" s="386" t="s">
        <v>16790</v>
      </c>
      <c r="J4789" s="1" t="s">
        <v>16791</v>
      </c>
      <c r="K4789" s="536" t="s">
        <v>16792</v>
      </c>
      <c r="L4789" s="1" t="s">
        <v>16793</v>
      </c>
      <c r="M4789" s="1" t="s">
        <v>16734</v>
      </c>
      <c r="N4789" s="539">
        <v>0.72</v>
      </c>
      <c r="O4789" s="380">
        <v>1</v>
      </c>
      <c r="P4789" s="380">
        <v>1</v>
      </c>
      <c r="Q4789" s="380">
        <v>1</v>
      </c>
      <c r="R4789" s="380">
        <v>1</v>
      </c>
      <c r="S4789" s="380">
        <v>1</v>
      </c>
      <c r="T4789" s="223" t="s">
        <v>1452</v>
      </c>
      <c r="U4789" t="str">
        <f>VLOOKUP(T4789,[8]Votes!$A$1:$E$234,3,FALSE)</f>
        <v>153 Public Procurement and Disposal of Public Assets Authority</v>
      </c>
      <c r="V4789" t="s">
        <v>16794</v>
      </c>
      <c r="W4789" s="407">
        <v>1</v>
      </c>
      <c r="X4789" s="407">
        <v>0</v>
      </c>
      <c r="Y4789" s="407">
        <v>0</v>
      </c>
      <c r="Z4789" s="407">
        <v>1</v>
      </c>
      <c r="AA4789" s="407">
        <v>1</v>
      </c>
      <c r="AB4789" s="407">
        <v>1</v>
      </c>
      <c r="AC4789" s="150">
        <v>1</v>
      </c>
      <c r="AD4789" s="150">
        <v>1</v>
      </c>
      <c r="AE4789" s="49">
        <f t="shared" si="170"/>
        <v>0.75</v>
      </c>
      <c r="AF4789" s="44"/>
      <c r="AG4789" s="17">
        <v>0</v>
      </c>
      <c r="AH4789" s="44">
        <v>0.47</v>
      </c>
      <c r="AI4789" s="44">
        <v>0.47</v>
      </c>
      <c r="AJ4789" s="44">
        <v>0.47</v>
      </c>
      <c r="AK4789" s="151">
        <v>0.47</v>
      </c>
      <c r="AL4789" s="151">
        <v>0.47</v>
      </c>
      <c r="AM4789" s="17">
        <f t="shared" si="171"/>
        <v>0.94</v>
      </c>
      <c r="AN4789" t="s">
        <v>1452</v>
      </c>
      <c r="AO4789" s="162" t="s">
        <v>5363</v>
      </c>
      <c r="AP4789"/>
    </row>
    <row r="4790" spans="1:42" s="162" customFormat="1" x14ac:dyDescent="0.3">
      <c r="A4790" s="536" t="s">
        <v>8321</v>
      </c>
      <c r="B4790" s="162" t="s">
        <v>8322</v>
      </c>
      <c r="C4790" s="168" t="s">
        <v>13637</v>
      </c>
      <c r="D4790" s="1" t="s">
        <v>6838</v>
      </c>
      <c r="E4790" s="406" t="s">
        <v>13638</v>
      </c>
      <c r="F4790" s="406" t="s">
        <v>13533</v>
      </c>
      <c r="G4790" s="386" t="s">
        <v>13716</v>
      </c>
      <c r="H4790" s="162" t="s">
        <v>13717</v>
      </c>
      <c r="I4790" s="1" t="s">
        <v>13641</v>
      </c>
      <c r="J4790" s="1" t="s">
        <v>13641</v>
      </c>
      <c r="K4790" s="386" t="s">
        <v>16795</v>
      </c>
      <c r="L4790" s="1" t="s">
        <v>16796</v>
      </c>
      <c r="M4790" s="1" t="s">
        <v>16797</v>
      </c>
      <c r="N4790" s="539">
        <v>0.68</v>
      </c>
      <c r="O4790" s="380">
        <v>0.75</v>
      </c>
      <c r="P4790" s="380">
        <v>0.77</v>
      </c>
      <c r="Q4790" s="380">
        <v>0.78</v>
      </c>
      <c r="R4790" s="380">
        <v>0.79</v>
      </c>
      <c r="S4790" s="380">
        <v>0.8</v>
      </c>
      <c r="T4790" s="223" t="s">
        <v>1452</v>
      </c>
      <c r="U4790" t="str">
        <f>VLOOKUP(T4790,[8]Votes!$A$1:$E$234,3,FALSE)</f>
        <v>153 Public Procurement and Disposal of Public Assets Authority</v>
      </c>
      <c r="V4790" t="s">
        <v>16798</v>
      </c>
      <c r="W4790" s="45">
        <v>1</v>
      </c>
      <c r="X4790" s="45"/>
      <c r="Y4790" s="45"/>
      <c r="Z4790" s="45">
        <v>1</v>
      </c>
      <c r="AA4790" s="45">
        <v>1</v>
      </c>
      <c r="AB4790" s="45"/>
      <c r="AC4790" s="150">
        <v>1</v>
      </c>
      <c r="AD4790" s="150">
        <v>0</v>
      </c>
      <c r="AE4790" s="49">
        <f t="shared" si="170"/>
        <v>0.5</v>
      </c>
      <c r="AF4790" s="44"/>
      <c r="AG4790" s="17">
        <v>0</v>
      </c>
      <c r="AH4790" s="44">
        <v>9.8000000000000007</v>
      </c>
      <c r="AI4790" s="44">
        <v>9.8000000000000007</v>
      </c>
      <c r="AJ4790" s="44">
        <v>9.8000000000000007</v>
      </c>
      <c r="AK4790" s="151">
        <v>0</v>
      </c>
      <c r="AL4790" s="151">
        <v>0</v>
      </c>
      <c r="AM4790" s="17">
        <f t="shared" si="171"/>
        <v>0</v>
      </c>
      <c r="AN4790" t="s">
        <v>1452</v>
      </c>
      <c r="AO4790" s="162" t="s">
        <v>5363</v>
      </c>
      <c r="AP4790"/>
    </row>
    <row r="4791" spans="1:42" s="162" customFormat="1" x14ac:dyDescent="0.3">
      <c r="A4791" s="536" t="s">
        <v>8321</v>
      </c>
      <c r="B4791" s="162" t="s">
        <v>8322</v>
      </c>
      <c r="C4791" s="168" t="s">
        <v>13637</v>
      </c>
      <c r="D4791" s="1" t="s">
        <v>6838</v>
      </c>
      <c r="E4791" s="406" t="s">
        <v>13638</v>
      </c>
      <c r="F4791" s="406" t="s">
        <v>13533</v>
      </c>
      <c r="G4791" s="386" t="s">
        <v>13658</v>
      </c>
      <c r="H4791" s="162" t="s">
        <v>13659</v>
      </c>
      <c r="I4791" s="386" t="s">
        <v>16799</v>
      </c>
      <c r="J4791" s="1" t="s">
        <v>14541</v>
      </c>
      <c r="K4791" s="536" t="s">
        <v>16800</v>
      </c>
      <c r="L4791" s="1" t="s">
        <v>16801</v>
      </c>
      <c r="M4791" s="1" t="s">
        <v>16802</v>
      </c>
      <c r="N4791" s="539">
        <v>0.98</v>
      </c>
      <c r="O4791" s="380">
        <v>1</v>
      </c>
      <c r="P4791" s="380">
        <v>1</v>
      </c>
      <c r="Q4791" s="380">
        <v>1</v>
      </c>
      <c r="R4791" s="380">
        <v>1</v>
      </c>
      <c r="S4791" s="380">
        <v>1</v>
      </c>
      <c r="T4791" s="223" t="s">
        <v>1452</v>
      </c>
      <c r="U4791" t="str">
        <f>VLOOKUP(T4791,[8]Votes!$A$1:$E$234,3,FALSE)</f>
        <v>153 Public Procurement and Disposal of Public Assets Authority</v>
      </c>
      <c r="V4791" t="s">
        <v>16803</v>
      </c>
      <c r="W4791" s="407"/>
      <c r="X4791" s="407"/>
      <c r="Y4791" s="407"/>
      <c r="Z4791" s="407"/>
      <c r="AA4791" s="407"/>
      <c r="AB4791" s="407"/>
      <c r="AC4791" s="150"/>
      <c r="AD4791" s="150"/>
      <c r="AE4791" s="49">
        <f t="shared" si="170"/>
        <v>0</v>
      </c>
      <c r="AF4791" s="44"/>
      <c r="AG4791" s="17">
        <v>1</v>
      </c>
      <c r="AH4791" s="44">
        <v>0.14000000000000001</v>
      </c>
      <c r="AI4791" s="44">
        <v>0.14000000000000001</v>
      </c>
      <c r="AJ4791" s="44">
        <v>0.14000000000000001</v>
      </c>
      <c r="AK4791" s="151">
        <v>0.14000000000000001</v>
      </c>
      <c r="AL4791" s="151">
        <v>0.14000000000000001</v>
      </c>
      <c r="AM4791" s="17">
        <f t="shared" si="171"/>
        <v>0.28000000000000003</v>
      </c>
      <c r="AN4791" t="s">
        <v>1452</v>
      </c>
      <c r="AO4791" s="162" t="s">
        <v>5363</v>
      </c>
      <c r="AP4791"/>
    </row>
    <row r="4792" spans="1:42" s="162" customFormat="1" x14ac:dyDescent="0.3">
      <c r="A4792" s="536" t="s">
        <v>8321</v>
      </c>
      <c r="B4792" s="162" t="s">
        <v>8322</v>
      </c>
      <c r="C4792" s="168" t="s">
        <v>13637</v>
      </c>
      <c r="D4792" s="1" t="s">
        <v>6838</v>
      </c>
      <c r="E4792" s="406" t="s">
        <v>13638</v>
      </c>
      <c r="F4792" s="406" t="s">
        <v>13533</v>
      </c>
      <c r="G4792" s="386" t="s">
        <v>13639</v>
      </c>
      <c r="H4792" s="162" t="s">
        <v>13640</v>
      </c>
      <c r="I4792" s="1" t="s">
        <v>13641</v>
      </c>
      <c r="J4792" s="1" t="s">
        <v>13641</v>
      </c>
      <c r="K4792" s="386" t="s">
        <v>16804</v>
      </c>
      <c r="L4792" s="1" t="s">
        <v>16805</v>
      </c>
      <c r="M4792" s="1" t="s">
        <v>16806</v>
      </c>
      <c r="N4792" s="539">
        <v>0.63</v>
      </c>
      <c r="O4792" s="380">
        <v>1</v>
      </c>
      <c r="P4792" s="380">
        <v>1</v>
      </c>
      <c r="Q4792" s="380">
        <v>1</v>
      </c>
      <c r="R4792" s="380">
        <v>1</v>
      </c>
      <c r="S4792" s="380">
        <v>1</v>
      </c>
      <c r="T4792" s="223" t="s">
        <v>1452</v>
      </c>
      <c r="U4792" t="str">
        <f>VLOOKUP(T4792,[8]Votes!$A$1:$E$234,3,FALSE)</f>
        <v>153 Public Procurement and Disposal of Public Assets Authority</v>
      </c>
      <c r="V4792" t="s">
        <v>16807</v>
      </c>
      <c r="W4792" s="407"/>
      <c r="X4792" s="407"/>
      <c r="Y4792" s="407"/>
      <c r="Z4792" s="407"/>
      <c r="AA4792" s="407"/>
      <c r="AB4792" s="407"/>
      <c r="AC4792" s="150"/>
      <c r="AD4792" s="150"/>
      <c r="AE4792" s="49">
        <f t="shared" si="170"/>
        <v>0</v>
      </c>
      <c r="AF4792" s="44"/>
      <c r="AG4792" s="17">
        <v>1</v>
      </c>
      <c r="AH4792" s="44">
        <v>0.16</v>
      </c>
      <c r="AI4792" s="44">
        <v>0.16</v>
      </c>
      <c r="AJ4792" s="44">
        <v>0.16</v>
      </c>
      <c r="AK4792" s="151">
        <v>0.16</v>
      </c>
      <c r="AL4792" s="151">
        <v>0.16</v>
      </c>
      <c r="AM4792" s="17">
        <f t="shared" si="171"/>
        <v>0.32</v>
      </c>
      <c r="AN4792" t="s">
        <v>1452</v>
      </c>
      <c r="AO4792" s="162" t="s">
        <v>5363</v>
      </c>
      <c r="AP4792"/>
    </row>
    <row r="4793" spans="1:42" s="162" customFormat="1" x14ac:dyDescent="0.3">
      <c r="A4793" s="536" t="s">
        <v>8321</v>
      </c>
      <c r="B4793" s="162" t="s">
        <v>8322</v>
      </c>
      <c r="C4793" s="168" t="s">
        <v>13637</v>
      </c>
      <c r="D4793" s="1" t="s">
        <v>6838</v>
      </c>
      <c r="E4793" s="406" t="s">
        <v>13638</v>
      </c>
      <c r="F4793" s="406" t="s">
        <v>13533</v>
      </c>
      <c r="G4793" s="386" t="s">
        <v>13639</v>
      </c>
      <c r="H4793" s="162" t="s">
        <v>13640</v>
      </c>
      <c r="I4793" s="1" t="s">
        <v>13641</v>
      </c>
      <c r="J4793" s="1" t="s">
        <v>13641</v>
      </c>
      <c r="K4793" s="386" t="s">
        <v>16808</v>
      </c>
      <c r="L4793" s="1" t="s">
        <v>16809</v>
      </c>
      <c r="M4793" s="1" t="s">
        <v>16810</v>
      </c>
      <c r="N4793">
        <v>0</v>
      </c>
      <c r="O4793" s="3">
        <v>0</v>
      </c>
      <c r="P4793" s="3">
        <v>1</v>
      </c>
      <c r="Q4793" s="3">
        <v>0</v>
      </c>
      <c r="R4793" s="3">
        <v>0</v>
      </c>
      <c r="S4793" s="3">
        <v>1</v>
      </c>
      <c r="T4793" s="223" t="s">
        <v>1452</v>
      </c>
      <c r="U4793" t="str">
        <f>VLOOKUP(T4793,[8]Votes!$A$1:$E$234,3,FALSE)</f>
        <v>153 Public Procurement and Disposal of Public Assets Authority</v>
      </c>
      <c r="V4793" t="s">
        <v>16811</v>
      </c>
      <c r="W4793" s="407"/>
      <c r="X4793" s="407"/>
      <c r="Y4793" s="407"/>
      <c r="Z4793" s="407"/>
      <c r="AA4793" s="407"/>
      <c r="AB4793" s="407"/>
      <c r="AC4793" s="150"/>
      <c r="AD4793" s="150"/>
      <c r="AE4793" s="49">
        <f t="shared" si="170"/>
        <v>0</v>
      </c>
      <c r="AF4793" s="44"/>
      <c r="AG4793" s="17">
        <v>1</v>
      </c>
      <c r="AH4793" s="44">
        <v>10.199999999999999</v>
      </c>
      <c r="AI4793" s="44">
        <v>10.199999999999999</v>
      </c>
      <c r="AJ4793" s="44">
        <v>10.199999999999999</v>
      </c>
      <c r="AK4793" s="151">
        <v>0</v>
      </c>
      <c r="AL4793" s="151">
        <v>0</v>
      </c>
      <c r="AM4793" s="17">
        <f t="shared" si="171"/>
        <v>0</v>
      </c>
      <c r="AN4793" t="s">
        <v>1452</v>
      </c>
      <c r="AO4793" s="162" t="s">
        <v>5363</v>
      </c>
      <c r="AP4793"/>
    </row>
    <row r="4794" spans="1:42" s="162" customFormat="1" x14ac:dyDescent="0.3">
      <c r="A4794" s="536" t="s">
        <v>8321</v>
      </c>
      <c r="B4794" s="162" t="s">
        <v>8322</v>
      </c>
      <c r="C4794" s="168" t="s">
        <v>13637</v>
      </c>
      <c r="D4794" s="1" t="s">
        <v>6838</v>
      </c>
      <c r="E4794" s="406" t="s">
        <v>13638</v>
      </c>
      <c r="F4794" s="406" t="s">
        <v>13533</v>
      </c>
      <c r="G4794" s="386" t="s">
        <v>13639</v>
      </c>
      <c r="H4794" s="162" t="s">
        <v>13640</v>
      </c>
      <c r="I4794" s="1" t="s">
        <v>13641</v>
      </c>
      <c r="J4794" s="1" t="s">
        <v>13641</v>
      </c>
      <c r="K4794" s="386" t="s">
        <v>16812</v>
      </c>
      <c r="L4794" s="162" t="s">
        <v>16813</v>
      </c>
      <c r="M4794" s="1" t="s">
        <v>16814</v>
      </c>
      <c r="N4794" s="539"/>
      <c r="O4794" s="3">
        <v>2</v>
      </c>
      <c r="P4794" s="3">
        <v>2</v>
      </c>
      <c r="Q4794" s="3">
        <v>2</v>
      </c>
      <c r="R4794" s="3">
        <v>2</v>
      </c>
      <c r="S4794" s="3">
        <v>2</v>
      </c>
      <c r="T4794" s="223" t="s">
        <v>1452</v>
      </c>
      <c r="U4794" t="str">
        <f>VLOOKUP(T4794,[8]Votes!$A$1:$E$234,3,FALSE)</f>
        <v>153 Public Procurement and Disposal of Public Assets Authority</v>
      </c>
      <c r="V4794" t="s">
        <v>13846</v>
      </c>
      <c r="W4794" s="407"/>
      <c r="X4794" s="407"/>
      <c r="Y4794" s="407"/>
      <c r="Z4794" s="407"/>
      <c r="AA4794" s="407"/>
      <c r="AB4794" s="407"/>
      <c r="AC4794" s="150"/>
      <c r="AD4794" s="150"/>
      <c r="AE4794" s="49">
        <f t="shared" ref="AE4794:AE4857" si="172">SUM(W4794:AD4794)/8</f>
        <v>0</v>
      </c>
      <c r="AF4794" s="44"/>
      <c r="AG4794" s="17">
        <v>1</v>
      </c>
      <c r="AH4794" s="44">
        <v>0.4</v>
      </c>
      <c r="AI4794" s="44">
        <v>0.4</v>
      </c>
      <c r="AJ4794" s="44">
        <v>0.4</v>
      </c>
      <c r="AK4794" s="151">
        <v>0</v>
      </c>
      <c r="AL4794" s="151">
        <v>0</v>
      </c>
      <c r="AM4794" s="17">
        <f t="shared" ref="AM4794:AM4857" si="173">SUM(AK4794:AL4794)</f>
        <v>0</v>
      </c>
      <c r="AN4794" t="s">
        <v>1452</v>
      </c>
      <c r="AO4794" s="162" t="s">
        <v>5363</v>
      </c>
      <c r="AP4794"/>
    </row>
    <row r="4795" spans="1:42" s="162" customFormat="1" x14ac:dyDescent="0.3">
      <c r="A4795" s="536" t="s">
        <v>8321</v>
      </c>
      <c r="B4795" s="162" t="s">
        <v>8322</v>
      </c>
      <c r="C4795" s="168" t="s">
        <v>13637</v>
      </c>
      <c r="D4795" s="1" t="s">
        <v>6838</v>
      </c>
      <c r="E4795" s="406" t="s">
        <v>13638</v>
      </c>
      <c r="F4795" s="406" t="s">
        <v>13533</v>
      </c>
      <c r="G4795" s="386" t="s">
        <v>13639</v>
      </c>
      <c r="H4795" s="162" t="s">
        <v>13640</v>
      </c>
      <c r="I4795" s="1" t="s">
        <v>13641</v>
      </c>
      <c r="J4795" s="1" t="s">
        <v>13641</v>
      </c>
      <c r="K4795" s="386" t="s">
        <v>16815</v>
      </c>
      <c r="L4795" s="1" t="s">
        <v>16816</v>
      </c>
      <c r="M4795" s="1" t="s">
        <v>16817</v>
      </c>
      <c r="N4795" s="539"/>
      <c r="O4795" s="380">
        <v>1</v>
      </c>
      <c r="P4795" s="380">
        <v>1</v>
      </c>
      <c r="Q4795" s="380">
        <v>1</v>
      </c>
      <c r="R4795" s="380">
        <v>1</v>
      </c>
      <c r="S4795" s="380">
        <v>1</v>
      </c>
      <c r="T4795" s="223" t="s">
        <v>1452</v>
      </c>
      <c r="U4795" t="str">
        <f>VLOOKUP(T4795,[8]Votes!$A$1:$E$234,3,FALSE)</f>
        <v>153 Public Procurement and Disposal of Public Assets Authority</v>
      </c>
      <c r="V4795" t="s">
        <v>16818</v>
      </c>
      <c r="W4795" s="407"/>
      <c r="X4795" s="407"/>
      <c r="Y4795" s="407"/>
      <c r="Z4795" s="407"/>
      <c r="AA4795" s="407"/>
      <c r="AB4795" s="407"/>
      <c r="AC4795" s="150"/>
      <c r="AD4795" s="150"/>
      <c r="AE4795" s="49">
        <f t="shared" si="172"/>
        <v>0</v>
      </c>
      <c r="AF4795" s="44"/>
      <c r="AG4795" s="17">
        <v>1</v>
      </c>
      <c r="AH4795" s="44">
        <v>0.39</v>
      </c>
      <c r="AI4795" s="44">
        <v>0.39</v>
      </c>
      <c r="AJ4795" s="44">
        <v>0.39</v>
      </c>
      <c r="AK4795" s="151">
        <v>0.39</v>
      </c>
      <c r="AL4795" s="151">
        <v>0.39</v>
      </c>
      <c r="AM4795" s="17">
        <f t="shared" si="173"/>
        <v>0.78</v>
      </c>
      <c r="AN4795" t="s">
        <v>1452</v>
      </c>
      <c r="AO4795" s="162" t="s">
        <v>5363</v>
      </c>
      <c r="AP4795"/>
    </row>
    <row r="4796" spans="1:42" s="162" customFormat="1" x14ac:dyDescent="0.3">
      <c r="A4796" s="536" t="s">
        <v>8321</v>
      </c>
      <c r="B4796" s="162" t="s">
        <v>8322</v>
      </c>
      <c r="C4796" s="168" t="s">
        <v>13637</v>
      </c>
      <c r="D4796" s="1" t="s">
        <v>6838</v>
      </c>
      <c r="E4796" s="406" t="s">
        <v>13638</v>
      </c>
      <c r="F4796" s="406" t="s">
        <v>13533</v>
      </c>
      <c r="G4796" s="386" t="s">
        <v>13639</v>
      </c>
      <c r="H4796" s="1" t="s">
        <v>13640</v>
      </c>
      <c r="I4796" s="162" t="s">
        <v>16747</v>
      </c>
      <c r="J4796" s="1" t="s">
        <v>14548</v>
      </c>
      <c r="K4796" s="386" t="s">
        <v>16819</v>
      </c>
      <c r="L4796" s="1" t="s">
        <v>16820</v>
      </c>
      <c r="M4796" s="162" t="s">
        <v>16821</v>
      </c>
      <c r="O4796" s="492">
        <v>1</v>
      </c>
      <c r="P4796" s="492">
        <v>1</v>
      </c>
      <c r="Q4796" s="492">
        <v>1</v>
      </c>
      <c r="R4796" s="492">
        <v>1</v>
      </c>
      <c r="S4796" s="492">
        <v>1</v>
      </c>
      <c r="T4796" s="223" t="s">
        <v>4825</v>
      </c>
      <c r="U4796" t="str">
        <f>VLOOKUP(T4796,[8]Votes!$A$1:$E$234,3,FALSE)</f>
        <v>004 Ministry of Defence and Veteran Affairs</v>
      </c>
      <c r="W4796" s="407">
        <v>1</v>
      </c>
      <c r="X4796" s="407">
        <v>1</v>
      </c>
      <c r="Y4796" s="407">
        <v>0</v>
      </c>
      <c r="Z4796" s="407">
        <v>1</v>
      </c>
      <c r="AA4796" s="407">
        <v>1</v>
      </c>
      <c r="AB4796" s="407">
        <v>0</v>
      </c>
      <c r="AC4796" s="150">
        <v>1</v>
      </c>
      <c r="AD4796" s="150">
        <v>1</v>
      </c>
      <c r="AE4796" s="49">
        <f t="shared" si="172"/>
        <v>0.75</v>
      </c>
      <c r="AF4796" s="190"/>
      <c r="AG4796" s="17">
        <v>0</v>
      </c>
      <c r="AH4796" s="190">
        <v>0</v>
      </c>
      <c r="AI4796" s="190">
        <v>0</v>
      </c>
      <c r="AJ4796" s="190">
        <v>0</v>
      </c>
      <c r="AK4796" s="191">
        <v>0</v>
      </c>
      <c r="AL4796" s="191">
        <v>0</v>
      </c>
      <c r="AM4796" s="17">
        <f t="shared" si="173"/>
        <v>0</v>
      </c>
      <c r="AN4796" s="162" t="s">
        <v>4825</v>
      </c>
      <c r="AO4796" s="162" t="s">
        <v>5931</v>
      </c>
    </row>
    <row r="4797" spans="1:42" s="162" customFormat="1" x14ac:dyDescent="0.3">
      <c r="A4797" s="536" t="s">
        <v>8321</v>
      </c>
      <c r="B4797" s="162" t="s">
        <v>8322</v>
      </c>
      <c r="C4797" s="168" t="s">
        <v>13637</v>
      </c>
      <c r="D4797" s="1" t="s">
        <v>16822</v>
      </c>
      <c r="E4797" s="406" t="s">
        <v>13638</v>
      </c>
      <c r="F4797" s="406" t="s">
        <v>13533</v>
      </c>
      <c r="G4797" s="386" t="s">
        <v>13639</v>
      </c>
      <c r="H4797" s="1" t="s">
        <v>13640</v>
      </c>
      <c r="I4797" s="162" t="s">
        <v>16747</v>
      </c>
      <c r="J4797" s="1" t="s">
        <v>14548</v>
      </c>
      <c r="K4797" s="386" t="s">
        <v>16819</v>
      </c>
      <c r="L4797" s="1" t="s">
        <v>16820</v>
      </c>
      <c r="M4797" s="162" t="s">
        <v>16823</v>
      </c>
      <c r="O4797" s="492">
        <v>1</v>
      </c>
      <c r="P4797" s="492">
        <v>1</v>
      </c>
      <c r="Q4797" s="492">
        <v>1</v>
      </c>
      <c r="R4797" s="492">
        <v>1</v>
      </c>
      <c r="S4797" s="492">
        <v>1</v>
      </c>
      <c r="T4797" s="223" t="s">
        <v>4825</v>
      </c>
      <c r="U4797" t="str">
        <f>VLOOKUP(T4797,[8]Votes!$A$1:$E$234,3,FALSE)</f>
        <v>004 Ministry of Defence and Veteran Affairs</v>
      </c>
      <c r="W4797" s="407">
        <v>1</v>
      </c>
      <c r="X4797" s="407">
        <v>1</v>
      </c>
      <c r="Y4797" s="407">
        <v>0</v>
      </c>
      <c r="Z4797" s="407">
        <v>1</v>
      </c>
      <c r="AA4797" s="407">
        <v>1</v>
      </c>
      <c r="AB4797" s="407">
        <v>0</v>
      </c>
      <c r="AC4797" s="150">
        <v>1</v>
      </c>
      <c r="AD4797" s="150">
        <v>1</v>
      </c>
      <c r="AE4797" s="49">
        <f t="shared" si="172"/>
        <v>0.75</v>
      </c>
      <c r="AF4797" s="190"/>
      <c r="AG4797" s="17">
        <v>0</v>
      </c>
      <c r="AH4797" s="190">
        <v>0</v>
      </c>
      <c r="AI4797" s="190">
        <v>0</v>
      </c>
      <c r="AJ4797" s="190">
        <v>0</v>
      </c>
      <c r="AK4797" s="191">
        <v>0</v>
      </c>
      <c r="AL4797" s="191">
        <v>0</v>
      </c>
      <c r="AM4797" s="17">
        <f t="shared" si="173"/>
        <v>0</v>
      </c>
      <c r="AN4797" s="162" t="s">
        <v>4825</v>
      </c>
      <c r="AO4797" s="162" t="s">
        <v>5931</v>
      </c>
    </row>
    <row r="4798" spans="1:42" s="162" customFormat="1" x14ac:dyDescent="0.3">
      <c r="A4798" s="536" t="s">
        <v>8321</v>
      </c>
      <c r="B4798" s="162" t="s">
        <v>8322</v>
      </c>
      <c r="C4798" s="168" t="s">
        <v>13637</v>
      </c>
      <c r="D4798" s="1" t="s">
        <v>6838</v>
      </c>
      <c r="E4798" s="406" t="s">
        <v>13638</v>
      </c>
      <c r="F4798" s="406" t="s">
        <v>13533</v>
      </c>
      <c r="G4798" s="386" t="s">
        <v>13658</v>
      </c>
      <c r="H4798" s="162" t="s">
        <v>13659</v>
      </c>
      <c r="K4798" s="536" t="s">
        <v>16824</v>
      </c>
      <c r="L4798" s="162" t="s">
        <v>16825</v>
      </c>
      <c r="M4798" s="162" t="s">
        <v>16826</v>
      </c>
      <c r="O4798" s="224"/>
      <c r="P4798" s="224">
        <v>8</v>
      </c>
      <c r="Q4798" s="224">
        <v>8</v>
      </c>
      <c r="R4798" s="224">
        <v>8</v>
      </c>
      <c r="S4798" s="224">
        <v>8</v>
      </c>
      <c r="T4798" s="223" t="s">
        <v>4825</v>
      </c>
      <c r="U4798" t="str">
        <f>VLOOKUP(T4798,[8]Votes!$A$1:$E$234,3,FALSE)</f>
        <v>004 Ministry of Defence and Veteran Affairs</v>
      </c>
      <c r="W4798" s="407">
        <v>1</v>
      </c>
      <c r="X4798" s="407">
        <v>1</v>
      </c>
      <c r="Y4798" s="407">
        <v>0</v>
      </c>
      <c r="Z4798" s="407">
        <v>1</v>
      </c>
      <c r="AA4798" s="407">
        <v>1</v>
      </c>
      <c r="AB4798" s="407">
        <v>0</v>
      </c>
      <c r="AC4798" s="150">
        <v>1</v>
      </c>
      <c r="AD4798" s="150">
        <v>1</v>
      </c>
      <c r="AE4798" s="49">
        <f t="shared" si="172"/>
        <v>0.75</v>
      </c>
      <c r="AF4798" s="190"/>
      <c r="AG4798" s="17">
        <v>0</v>
      </c>
      <c r="AH4798" s="190">
        <v>0</v>
      </c>
      <c r="AI4798" s="190">
        <v>0</v>
      </c>
      <c r="AJ4798" s="190">
        <v>0</v>
      </c>
      <c r="AK4798" s="191">
        <v>0</v>
      </c>
      <c r="AL4798" s="191">
        <v>0</v>
      </c>
      <c r="AM4798" s="17">
        <f t="shared" si="173"/>
        <v>0</v>
      </c>
      <c r="AN4798" s="162" t="s">
        <v>4825</v>
      </c>
      <c r="AO4798" s="162" t="s">
        <v>5931</v>
      </c>
    </row>
    <row r="4799" spans="1:42" s="162" customFormat="1" x14ac:dyDescent="0.3">
      <c r="A4799" s="536" t="s">
        <v>8321</v>
      </c>
      <c r="B4799" s="162" t="s">
        <v>8322</v>
      </c>
      <c r="C4799" s="168" t="s">
        <v>13637</v>
      </c>
      <c r="D4799" s="1" t="s">
        <v>6838</v>
      </c>
      <c r="E4799" s="406" t="s">
        <v>13638</v>
      </c>
      <c r="F4799" s="406" t="s">
        <v>13533</v>
      </c>
      <c r="G4799" s="386" t="s">
        <v>13716</v>
      </c>
      <c r="H4799" s="162" t="s">
        <v>13717</v>
      </c>
      <c r="K4799" s="386" t="s">
        <v>16827</v>
      </c>
      <c r="L4799" s="1" t="s">
        <v>16828</v>
      </c>
      <c r="M4799" s="162" t="s">
        <v>16829</v>
      </c>
      <c r="O4799" s="224" t="s">
        <v>14240</v>
      </c>
      <c r="P4799" s="224" t="s">
        <v>14241</v>
      </c>
      <c r="Q4799" s="224" t="s">
        <v>14241</v>
      </c>
      <c r="R4799" s="224" t="s">
        <v>14241</v>
      </c>
      <c r="S4799" s="224" t="s">
        <v>14241</v>
      </c>
      <c r="T4799" s="223" t="s">
        <v>4825</v>
      </c>
      <c r="U4799" t="str">
        <f>VLOOKUP(T4799,[8]Votes!$A$1:$E$234,3,FALSE)</f>
        <v>004 Ministry of Defence and Veteran Affairs</v>
      </c>
      <c r="W4799" s="501">
        <v>1</v>
      </c>
      <c r="X4799" s="501">
        <v>1</v>
      </c>
      <c r="Y4799" s="501"/>
      <c r="Z4799" s="501">
        <v>1</v>
      </c>
      <c r="AA4799" s="501">
        <v>1</v>
      </c>
      <c r="AB4799" s="501"/>
      <c r="AC4799" s="150">
        <v>1</v>
      </c>
      <c r="AD4799" s="150">
        <v>1</v>
      </c>
      <c r="AE4799" s="49">
        <f t="shared" si="172"/>
        <v>0.75</v>
      </c>
      <c r="AF4799" s="190"/>
      <c r="AG4799" s="17">
        <v>0</v>
      </c>
      <c r="AH4799" s="190">
        <v>0</v>
      </c>
      <c r="AI4799" s="190">
        <v>0</v>
      </c>
      <c r="AJ4799" s="190">
        <v>0</v>
      </c>
      <c r="AK4799" s="191">
        <v>0</v>
      </c>
      <c r="AL4799" s="191">
        <v>0</v>
      </c>
      <c r="AM4799" s="17">
        <f t="shared" si="173"/>
        <v>0</v>
      </c>
      <c r="AN4799" s="162" t="s">
        <v>4825</v>
      </c>
      <c r="AO4799" s="162" t="s">
        <v>5931</v>
      </c>
    </row>
    <row r="4800" spans="1:42" s="162" customFormat="1" x14ac:dyDescent="0.3">
      <c r="A4800" s="536" t="s">
        <v>8321</v>
      </c>
      <c r="B4800" s="162" t="s">
        <v>8322</v>
      </c>
      <c r="C4800" s="168" t="s">
        <v>13637</v>
      </c>
      <c r="D4800" s="1" t="s">
        <v>6838</v>
      </c>
      <c r="E4800" s="406" t="s">
        <v>13638</v>
      </c>
      <c r="F4800" s="406" t="s">
        <v>13533</v>
      </c>
      <c r="G4800" s="386" t="s">
        <v>13658</v>
      </c>
      <c r="H4800" s="162" t="s">
        <v>13659</v>
      </c>
      <c r="K4800" s="536" t="s">
        <v>16830</v>
      </c>
      <c r="L4800" s="162" t="s">
        <v>16831</v>
      </c>
      <c r="M4800" s="162" t="s">
        <v>16832</v>
      </c>
      <c r="O4800" s="224"/>
      <c r="P4800" s="224"/>
      <c r="Q4800" s="224">
        <v>1</v>
      </c>
      <c r="R4800" s="224">
        <v>1</v>
      </c>
      <c r="S4800" s="224">
        <v>1</v>
      </c>
      <c r="T4800" s="223" t="s">
        <v>11865</v>
      </c>
      <c r="U4800" t="str">
        <f>VLOOKUP(T4800,[8]Votes!$A$1:$E$234,3,FALSE)</f>
        <v>133 Office of the Director of Public Prosecutions</v>
      </c>
      <c r="V4800" s="162" t="s">
        <v>16833</v>
      </c>
      <c r="W4800" s="407">
        <v>1</v>
      </c>
      <c r="X4800" s="407"/>
      <c r="Y4800" s="407">
        <v>0</v>
      </c>
      <c r="Z4800" s="407">
        <v>1</v>
      </c>
      <c r="AA4800" s="416">
        <v>1</v>
      </c>
      <c r="AB4800" s="407">
        <v>1</v>
      </c>
      <c r="AC4800" s="150">
        <v>1</v>
      </c>
      <c r="AD4800" s="150">
        <v>1</v>
      </c>
      <c r="AE4800" s="49">
        <f t="shared" si="172"/>
        <v>0.75</v>
      </c>
      <c r="AF4800" s="190"/>
      <c r="AG4800" s="17">
        <v>0</v>
      </c>
      <c r="AH4800" s="190">
        <v>0</v>
      </c>
      <c r="AI4800" s="190">
        <v>0</v>
      </c>
      <c r="AJ4800" s="485">
        <v>0.3</v>
      </c>
      <c r="AK4800" s="493">
        <v>0.3</v>
      </c>
      <c r="AL4800" s="493">
        <v>0.3</v>
      </c>
      <c r="AM4800" s="17">
        <f t="shared" si="173"/>
        <v>0.6</v>
      </c>
      <c r="AN4800" s="162" t="s">
        <v>11865</v>
      </c>
      <c r="AO4800" s="162" t="s">
        <v>11866</v>
      </c>
    </row>
    <row r="4801" spans="1:41" s="162" customFormat="1" x14ac:dyDescent="0.3">
      <c r="A4801" s="536" t="s">
        <v>8321</v>
      </c>
      <c r="B4801" s="162" t="s">
        <v>8322</v>
      </c>
      <c r="C4801" s="168" t="s">
        <v>13637</v>
      </c>
      <c r="D4801" s="1" t="s">
        <v>6838</v>
      </c>
      <c r="E4801" s="406" t="s">
        <v>13638</v>
      </c>
      <c r="F4801" s="406" t="s">
        <v>13533</v>
      </c>
      <c r="G4801" s="386" t="s">
        <v>13658</v>
      </c>
      <c r="H4801" s="162" t="s">
        <v>13659</v>
      </c>
      <c r="K4801" s="536" t="s">
        <v>16834</v>
      </c>
      <c r="L4801" s="162" t="s">
        <v>16835</v>
      </c>
      <c r="M4801" s="162" t="s">
        <v>16836</v>
      </c>
      <c r="O4801" s="224"/>
      <c r="P4801" s="224"/>
      <c r="Q4801" s="224">
        <v>1</v>
      </c>
      <c r="R4801" s="224">
        <v>1</v>
      </c>
      <c r="S4801" s="224">
        <v>1</v>
      </c>
      <c r="T4801" s="223" t="s">
        <v>11865</v>
      </c>
      <c r="U4801" t="str">
        <f>VLOOKUP(T4801,[8]Votes!$A$1:$E$234,3,FALSE)</f>
        <v>133 Office of the Director of Public Prosecutions</v>
      </c>
      <c r="V4801" s="162" t="s">
        <v>16837</v>
      </c>
      <c r="W4801" s="407">
        <v>1</v>
      </c>
      <c r="X4801" s="407">
        <v>0</v>
      </c>
      <c r="Y4801" s="407">
        <v>0</v>
      </c>
      <c r="Z4801" s="407">
        <v>1</v>
      </c>
      <c r="AA4801" s="416">
        <v>1</v>
      </c>
      <c r="AB4801" s="407">
        <v>1</v>
      </c>
      <c r="AC4801" s="150">
        <v>1</v>
      </c>
      <c r="AD4801" s="150">
        <v>1</v>
      </c>
      <c r="AE4801" s="49">
        <f t="shared" si="172"/>
        <v>0.75</v>
      </c>
      <c r="AF4801" s="190"/>
      <c r="AG4801" s="17">
        <v>0</v>
      </c>
      <c r="AH4801" s="190">
        <v>0</v>
      </c>
      <c r="AI4801" s="190">
        <v>0</v>
      </c>
      <c r="AJ4801" s="485">
        <v>0.3</v>
      </c>
      <c r="AK4801" s="493">
        <v>0.3</v>
      </c>
      <c r="AL4801" s="493">
        <v>0.3</v>
      </c>
      <c r="AM4801" s="17">
        <f t="shared" si="173"/>
        <v>0.6</v>
      </c>
      <c r="AN4801" s="162" t="s">
        <v>11865</v>
      </c>
      <c r="AO4801" s="162" t="s">
        <v>11866</v>
      </c>
    </row>
    <row r="4802" spans="1:41" s="162" customFormat="1" x14ac:dyDescent="0.3">
      <c r="A4802" s="536" t="s">
        <v>8321</v>
      </c>
      <c r="B4802" s="162" t="s">
        <v>8322</v>
      </c>
      <c r="C4802" s="168" t="s">
        <v>13637</v>
      </c>
      <c r="D4802" s="1" t="s">
        <v>6838</v>
      </c>
      <c r="E4802" s="406" t="s">
        <v>13638</v>
      </c>
      <c r="F4802" s="406" t="s">
        <v>13533</v>
      </c>
      <c r="G4802" s="386" t="s">
        <v>13639</v>
      </c>
      <c r="H4802" s="162" t="s">
        <v>13640</v>
      </c>
      <c r="I4802" s="162" t="s">
        <v>16838</v>
      </c>
      <c r="J4802" s="1" t="s">
        <v>16839</v>
      </c>
      <c r="K4802" s="386" t="s">
        <v>16840</v>
      </c>
      <c r="L4802" s="162" t="s">
        <v>16841</v>
      </c>
      <c r="M4802" s="162" t="s">
        <v>16842</v>
      </c>
      <c r="O4802" s="224"/>
      <c r="P4802" s="224"/>
      <c r="Q4802" s="224">
        <v>3</v>
      </c>
      <c r="R4802" s="224">
        <v>3</v>
      </c>
      <c r="S4802" s="224">
        <v>3</v>
      </c>
      <c r="T4802" s="223" t="s">
        <v>11865</v>
      </c>
      <c r="U4802" t="str">
        <f>VLOOKUP(T4802,[8]Votes!$A$1:$E$234,3,FALSE)</f>
        <v>133 Office of the Director of Public Prosecutions</v>
      </c>
      <c r="V4802" s="162" t="s">
        <v>16843</v>
      </c>
      <c r="W4802" s="407">
        <v>1</v>
      </c>
      <c r="X4802" s="407">
        <v>0</v>
      </c>
      <c r="Y4802" s="407">
        <v>0</v>
      </c>
      <c r="Z4802" s="407">
        <v>1</v>
      </c>
      <c r="AA4802" s="416">
        <v>1</v>
      </c>
      <c r="AB4802" s="407">
        <v>1</v>
      </c>
      <c r="AC4802" s="150">
        <v>1</v>
      </c>
      <c r="AD4802" s="150">
        <v>1</v>
      </c>
      <c r="AE4802" s="49">
        <f t="shared" si="172"/>
        <v>0.75</v>
      </c>
      <c r="AF4802" s="190"/>
      <c r="AG4802" s="17">
        <v>0</v>
      </c>
      <c r="AH4802" s="190">
        <v>0</v>
      </c>
      <c r="AI4802" s="190">
        <v>0</v>
      </c>
      <c r="AJ4802" s="485">
        <v>1.5</v>
      </c>
      <c r="AK4802" s="493">
        <v>2</v>
      </c>
      <c r="AL4802" s="493">
        <v>2</v>
      </c>
      <c r="AM4802" s="17">
        <f t="shared" si="173"/>
        <v>4</v>
      </c>
      <c r="AN4802" s="162" t="s">
        <v>11865</v>
      </c>
      <c r="AO4802" s="162" t="s">
        <v>11866</v>
      </c>
    </row>
    <row r="4803" spans="1:41" s="162" customFormat="1" x14ac:dyDescent="0.3">
      <c r="A4803" s="536" t="s">
        <v>8321</v>
      </c>
      <c r="B4803" s="162" t="s">
        <v>8322</v>
      </c>
      <c r="C4803" s="168" t="s">
        <v>13637</v>
      </c>
      <c r="D4803" s="1" t="s">
        <v>6838</v>
      </c>
      <c r="E4803" s="406" t="s">
        <v>13638</v>
      </c>
      <c r="F4803" s="406" t="s">
        <v>13533</v>
      </c>
      <c r="G4803" s="386" t="s">
        <v>13658</v>
      </c>
      <c r="H4803" s="162" t="s">
        <v>13659</v>
      </c>
      <c r="K4803" s="536" t="s">
        <v>16786</v>
      </c>
      <c r="L4803" s="1" t="s">
        <v>16787</v>
      </c>
      <c r="M4803" s="162" t="s">
        <v>16844</v>
      </c>
      <c r="O4803" s="224"/>
      <c r="P4803" s="224"/>
      <c r="Q4803" s="224">
        <v>4</v>
      </c>
      <c r="R4803" s="224">
        <v>4</v>
      </c>
      <c r="S4803" s="224">
        <v>4</v>
      </c>
      <c r="T4803" s="223" t="s">
        <v>11865</v>
      </c>
      <c r="U4803" t="str">
        <f>VLOOKUP(T4803,[8]Votes!$A$1:$E$234,3,FALSE)</f>
        <v>133 Office of the Director of Public Prosecutions</v>
      </c>
      <c r="V4803" s="162" t="s">
        <v>16845</v>
      </c>
      <c r="W4803" s="407">
        <v>1</v>
      </c>
      <c r="X4803" s="407">
        <v>1</v>
      </c>
      <c r="Y4803" s="407">
        <v>0</v>
      </c>
      <c r="Z4803" s="407">
        <v>1</v>
      </c>
      <c r="AA4803" s="416">
        <v>1</v>
      </c>
      <c r="AB4803" s="407">
        <v>0</v>
      </c>
      <c r="AC4803" s="150">
        <v>1</v>
      </c>
      <c r="AD4803" s="150">
        <v>1</v>
      </c>
      <c r="AE4803" s="49">
        <f t="shared" si="172"/>
        <v>0.75</v>
      </c>
      <c r="AF4803" s="190"/>
      <c r="AG4803" s="17">
        <v>0</v>
      </c>
      <c r="AH4803" s="190">
        <v>0</v>
      </c>
      <c r="AI4803" s="190">
        <v>0</v>
      </c>
      <c r="AJ4803" s="485">
        <v>0.3</v>
      </c>
      <c r="AK4803" s="493">
        <v>0.3</v>
      </c>
      <c r="AL4803" s="493">
        <v>0.3</v>
      </c>
      <c r="AM4803" s="17">
        <f t="shared" si="173"/>
        <v>0.6</v>
      </c>
      <c r="AN4803" s="162" t="s">
        <v>11865</v>
      </c>
      <c r="AO4803" s="162" t="s">
        <v>11866</v>
      </c>
    </row>
    <row r="4804" spans="1:41" s="162" customFormat="1" x14ac:dyDescent="0.3">
      <c r="A4804" s="536" t="s">
        <v>8321</v>
      </c>
      <c r="B4804" s="162" t="s">
        <v>8322</v>
      </c>
      <c r="C4804" s="168" t="s">
        <v>13637</v>
      </c>
      <c r="D4804" s="1" t="s">
        <v>6838</v>
      </c>
      <c r="E4804" s="406" t="s">
        <v>13638</v>
      </c>
      <c r="F4804" s="406" t="s">
        <v>13533</v>
      </c>
      <c r="G4804" s="386" t="s">
        <v>13658</v>
      </c>
      <c r="H4804" s="162" t="s">
        <v>13659</v>
      </c>
      <c r="K4804" s="386" t="s">
        <v>16274</v>
      </c>
      <c r="L4804" s="162" t="s">
        <v>14525</v>
      </c>
      <c r="M4804" s="162" t="s">
        <v>16846</v>
      </c>
      <c r="O4804" s="224"/>
      <c r="P4804" s="224"/>
      <c r="Q4804" s="224">
        <v>4</v>
      </c>
      <c r="R4804" s="224">
        <v>4</v>
      </c>
      <c r="S4804" s="224">
        <v>4</v>
      </c>
      <c r="T4804" s="223" t="s">
        <v>11865</v>
      </c>
      <c r="U4804" t="str">
        <f>VLOOKUP(T4804,[8]Votes!$A$1:$E$234,3,FALSE)</f>
        <v>133 Office of the Director of Public Prosecutions</v>
      </c>
      <c r="V4804" s="162" t="s">
        <v>16847</v>
      </c>
      <c r="W4804" s="407">
        <v>1</v>
      </c>
      <c r="X4804" s="407">
        <v>0</v>
      </c>
      <c r="Y4804" s="407">
        <v>0</v>
      </c>
      <c r="Z4804" s="407">
        <v>1</v>
      </c>
      <c r="AA4804" s="416">
        <v>1</v>
      </c>
      <c r="AB4804" s="407">
        <v>0</v>
      </c>
      <c r="AC4804" s="150">
        <v>1</v>
      </c>
      <c r="AD4804" s="150">
        <v>1</v>
      </c>
      <c r="AE4804" s="49">
        <f t="shared" si="172"/>
        <v>0.625</v>
      </c>
      <c r="AF4804" s="190"/>
      <c r="AG4804" s="17">
        <v>0</v>
      </c>
      <c r="AH4804" s="190">
        <v>0</v>
      </c>
      <c r="AI4804" s="190">
        <v>0</v>
      </c>
      <c r="AJ4804" s="485">
        <v>0.3</v>
      </c>
      <c r="AK4804" s="493">
        <v>0.3</v>
      </c>
      <c r="AL4804" s="493">
        <v>0.3</v>
      </c>
      <c r="AM4804" s="17">
        <f t="shared" si="173"/>
        <v>0.6</v>
      </c>
      <c r="AN4804" s="162" t="s">
        <v>11865</v>
      </c>
      <c r="AO4804" s="162" t="s">
        <v>11866</v>
      </c>
    </row>
    <row r="4805" spans="1:41" s="162" customFormat="1" x14ac:dyDescent="0.3">
      <c r="A4805" s="536" t="s">
        <v>8321</v>
      </c>
      <c r="B4805" s="162" t="s">
        <v>8322</v>
      </c>
      <c r="C4805" s="168" t="s">
        <v>13637</v>
      </c>
      <c r="D4805" s="1" t="s">
        <v>6838</v>
      </c>
      <c r="E4805" s="406" t="s">
        <v>13638</v>
      </c>
      <c r="F4805" s="406" t="s">
        <v>13533</v>
      </c>
      <c r="G4805" s="386" t="s">
        <v>13658</v>
      </c>
      <c r="H4805" s="162" t="s">
        <v>13659</v>
      </c>
      <c r="K4805" s="536" t="s">
        <v>16792</v>
      </c>
      <c r="L4805" s="162" t="s">
        <v>16848</v>
      </c>
      <c r="M4805" s="162" t="s">
        <v>16849</v>
      </c>
      <c r="O4805" s="224"/>
      <c r="P4805" s="224"/>
      <c r="Q4805" s="224">
        <v>4</v>
      </c>
      <c r="R4805" s="224">
        <v>4</v>
      </c>
      <c r="S4805" s="224">
        <v>4</v>
      </c>
      <c r="T4805" s="223" t="s">
        <v>11865</v>
      </c>
      <c r="U4805" t="str">
        <f>VLOOKUP(T4805,[8]Votes!$A$1:$E$234,3,FALSE)</f>
        <v>133 Office of the Director of Public Prosecutions</v>
      </c>
      <c r="V4805" s="162" t="s">
        <v>16850</v>
      </c>
      <c r="W4805" s="407">
        <v>1</v>
      </c>
      <c r="X4805" s="407">
        <v>1</v>
      </c>
      <c r="Y4805" s="407">
        <v>0</v>
      </c>
      <c r="Z4805" s="407">
        <v>1</v>
      </c>
      <c r="AA4805" s="416">
        <v>1</v>
      </c>
      <c r="AB4805" s="407">
        <v>0</v>
      </c>
      <c r="AC4805" s="150">
        <v>1</v>
      </c>
      <c r="AD4805" s="150">
        <v>1</v>
      </c>
      <c r="AE4805" s="49">
        <f t="shared" si="172"/>
        <v>0.75</v>
      </c>
      <c r="AF4805" s="190"/>
      <c r="AG4805" s="17">
        <v>0</v>
      </c>
      <c r="AH4805" s="190">
        <v>0</v>
      </c>
      <c r="AI4805" s="190">
        <v>0</v>
      </c>
      <c r="AJ4805" s="485">
        <v>0.5</v>
      </c>
      <c r="AK4805" s="493">
        <v>0.5</v>
      </c>
      <c r="AL4805" s="493">
        <v>0.5</v>
      </c>
      <c r="AM4805" s="17">
        <f t="shared" si="173"/>
        <v>1</v>
      </c>
      <c r="AN4805" s="162" t="s">
        <v>11865</v>
      </c>
      <c r="AO4805" s="162" t="s">
        <v>11866</v>
      </c>
    </row>
    <row r="4806" spans="1:41" s="162" customFormat="1" x14ac:dyDescent="0.3">
      <c r="A4806" s="536" t="s">
        <v>8321</v>
      </c>
      <c r="B4806" s="162" t="s">
        <v>8322</v>
      </c>
      <c r="C4806" s="168" t="s">
        <v>13637</v>
      </c>
      <c r="D4806" s="1" t="s">
        <v>6838</v>
      </c>
      <c r="E4806" s="406" t="s">
        <v>13638</v>
      </c>
      <c r="F4806" s="406" t="s">
        <v>13533</v>
      </c>
      <c r="G4806" s="386" t="s">
        <v>13716</v>
      </c>
      <c r="H4806" s="162" t="s">
        <v>13717</v>
      </c>
      <c r="K4806" s="386" t="s">
        <v>16851</v>
      </c>
      <c r="L4806" s="162" t="s">
        <v>16852</v>
      </c>
      <c r="M4806" s="162" t="s">
        <v>16844</v>
      </c>
      <c r="O4806" s="224"/>
      <c r="P4806" s="224"/>
      <c r="Q4806" s="224">
        <v>4</v>
      </c>
      <c r="R4806" s="224">
        <v>4</v>
      </c>
      <c r="S4806" s="224">
        <v>4</v>
      </c>
      <c r="T4806" s="223" t="s">
        <v>11865</v>
      </c>
      <c r="U4806" t="str">
        <f>VLOOKUP(T4806,[8]Votes!$A$1:$E$234,3,FALSE)</f>
        <v>133 Office of the Director of Public Prosecutions</v>
      </c>
      <c r="V4806" s="162" t="s">
        <v>16853</v>
      </c>
      <c r="W4806" s="501">
        <v>1</v>
      </c>
      <c r="X4806" s="501">
        <v>0</v>
      </c>
      <c r="Y4806" s="501">
        <v>0</v>
      </c>
      <c r="Z4806" s="501">
        <v>1</v>
      </c>
      <c r="AA4806" s="416">
        <v>1</v>
      </c>
      <c r="AB4806" s="501">
        <v>0</v>
      </c>
      <c r="AC4806" s="150">
        <v>1</v>
      </c>
      <c r="AD4806" s="150">
        <v>1</v>
      </c>
      <c r="AE4806" s="49">
        <f t="shared" si="172"/>
        <v>0.625</v>
      </c>
      <c r="AF4806" s="190"/>
      <c r="AG4806" s="17">
        <v>0</v>
      </c>
      <c r="AH4806" s="190">
        <v>0</v>
      </c>
      <c r="AI4806" s="190">
        <v>0</v>
      </c>
      <c r="AJ4806" s="485">
        <v>0.2</v>
      </c>
      <c r="AK4806" s="493">
        <v>0.2</v>
      </c>
      <c r="AL4806" s="493">
        <v>0.2</v>
      </c>
      <c r="AM4806" s="17">
        <f t="shared" si="173"/>
        <v>0.4</v>
      </c>
      <c r="AN4806" s="162" t="s">
        <v>11865</v>
      </c>
      <c r="AO4806" s="162" t="s">
        <v>11866</v>
      </c>
    </row>
    <row r="4807" spans="1:41" s="162" customFormat="1" x14ac:dyDescent="0.3">
      <c r="A4807" s="536" t="s">
        <v>8321</v>
      </c>
      <c r="B4807" s="162" t="s">
        <v>8322</v>
      </c>
      <c r="C4807" s="168" t="s">
        <v>13637</v>
      </c>
      <c r="D4807" s="1" t="s">
        <v>6838</v>
      </c>
      <c r="E4807" s="406" t="s">
        <v>13638</v>
      </c>
      <c r="F4807" s="406" t="s">
        <v>13533</v>
      </c>
      <c r="G4807" s="386" t="s">
        <v>13658</v>
      </c>
      <c r="H4807" s="162" t="s">
        <v>13659</v>
      </c>
      <c r="K4807" s="536" t="s">
        <v>16800</v>
      </c>
      <c r="L4807" s="162" t="s">
        <v>16854</v>
      </c>
      <c r="M4807" s="162" t="s">
        <v>16855</v>
      </c>
      <c r="O4807" s="224"/>
      <c r="P4807" s="224"/>
      <c r="Q4807" s="224">
        <v>1</v>
      </c>
      <c r="R4807" s="224">
        <v>1</v>
      </c>
      <c r="S4807" s="224">
        <v>1</v>
      </c>
      <c r="T4807" s="223" t="s">
        <v>11865</v>
      </c>
      <c r="U4807" t="str">
        <f>VLOOKUP(T4807,[8]Votes!$A$1:$E$234,3,FALSE)</f>
        <v>133 Office of the Director of Public Prosecutions</v>
      </c>
      <c r="V4807" s="162" t="s">
        <v>16856</v>
      </c>
      <c r="W4807" s="407">
        <v>1</v>
      </c>
      <c r="X4807" s="407">
        <v>1</v>
      </c>
      <c r="Y4807" s="407">
        <v>0</v>
      </c>
      <c r="Z4807" s="407">
        <v>1</v>
      </c>
      <c r="AA4807" s="416">
        <v>1</v>
      </c>
      <c r="AB4807" s="407">
        <v>0</v>
      </c>
      <c r="AC4807" s="150">
        <v>1</v>
      </c>
      <c r="AD4807" s="150">
        <v>1</v>
      </c>
      <c r="AE4807" s="49">
        <f t="shared" si="172"/>
        <v>0.75</v>
      </c>
      <c r="AF4807" s="190"/>
      <c r="AG4807" s="17">
        <v>0</v>
      </c>
      <c r="AH4807" s="190">
        <v>0</v>
      </c>
      <c r="AI4807" s="190">
        <v>0</v>
      </c>
      <c r="AJ4807" s="485">
        <v>0.4</v>
      </c>
      <c r="AK4807" s="493">
        <v>0.4</v>
      </c>
      <c r="AL4807" s="493">
        <v>0.4</v>
      </c>
      <c r="AM4807" s="17">
        <f t="shared" si="173"/>
        <v>0.8</v>
      </c>
      <c r="AN4807" s="162" t="s">
        <v>11865</v>
      </c>
      <c r="AO4807" s="162" t="s">
        <v>11866</v>
      </c>
    </row>
    <row r="4808" spans="1:41" s="162" customFormat="1" x14ac:dyDescent="0.3">
      <c r="A4808" s="536" t="s">
        <v>8321</v>
      </c>
      <c r="B4808" s="162" t="s">
        <v>8322</v>
      </c>
      <c r="C4808" s="168" t="s">
        <v>13637</v>
      </c>
      <c r="D4808" s="1" t="s">
        <v>6838</v>
      </c>
      <c r="E4808" s="406" t="s">
        <v>13638</v>
      </c>
      <c r="F4808" s="406" t="s">
        <v>13533</v>
      </c>
      <c r="G4808" s="386" t="s">
        <v>13639</v>
      </c>
      <c r="H4808" s="162" t="s">
        <v>13640</v>
      </c>
      <c r="I4808" s="162" t="s">
        <v>16838</v>
      </c>
      <c r="J4808" s="1" t="s">
        <v>16839</v>
      </c>
      <c r="K4808" s="386" t="s">
        <v>16857</v>
      </c>
      <c r="L4808" s="162" t="s">
        <v>16858</v>
      </c>
      <c r="M4808" s="162" t="s">
        <v>16859</v>
      </c>
      <c r="O4808" s="224"/>
      <c r="P4808" s="224"/>
      <c r="Q4808" s="224">
        <v>136</v>
      </c>
      <c r="R4808" s="224">
        <v>136</v>
      </c>
      <c r="S4808" s="224">
        <v>136</v>
      </c>
      <c r="T4808" s="223" t="s">
        <v>11865</v>
      </c>
      <c r="U4808" t="str">
        <f>VLOOKUP(T4808,[8]Votes!$A$1:$E$234,3,FALSE)</f>
        <v>133 Office of the Director of Public Prosecutions</v>
      </c>
      <c r="V4808" s="162" t="s">
        <v>16860</v>
      </c>
      <c r="W4808" s="407">
        <v>1</v>
      </c>
      <c r="X4808" s="407">
        <v>1</v>
      </c>
      <c r="Y4808" s="407">
        <v>0</v>
      </c>
      <c r="Z4808" s="407">
        <v>1</v>
      </c>
      <c r="AA4808" s="416">
        <v>1</v>
      </c>
      <c r="AB4808" s="407">
        <v>0</v>
      </c>
      <c r="AC4808" s="150">
        <v>1</v>
      </c>
      <c r="AD4808" s="150">
        <v>1</v>
      </c>
      <c r="AE4808" s="49">
        <f t="shared" si="172"/>
        <v>0.75</v>
      </c>
      <c r="AF4808" s="190"/>
      <c r="AG4808" s="17">
        <v>0</v>
      </c>
      <c r="AH4808" s="190">
        <v>0</v>
      </c>
      <c r="AI4808" s="190">
        <v>0</v>
      </c>
      <c r="AJ4808" s="485">
        <v>1</v>
      </c>
      <c r="AK4808" s="493">
        <v>1</v>
      </c>
      <c r="AL4808" s="493">
        <v>1</v>
      </c>
      <c r="AM4808" s="17">
        <f t="shared" si="173"/>
        <v>2</v>
      </c>
      <c r="AN4808" s="162" t="s">
        <v>11865</v>
      </c>
      <c r="AO4808" s="162" t="s">
        <v>11866</v>
      </c>
    </row>
    <row r="4809" spans="1:41" s="162" customFormat="1" x14ac:dyDescent="0.3">
      <c r="A4809" s="536" t="s">
        <v>8321</v>
      </c>
      <c r="B4809" s="162" t="s">
        <v>8322</v>
      </c>
      <c r="C4809" s="168" t="s">
        <v>13637</v>
      </c>
      <c r="D4809" s="1" t="s">
        <v>6838</v>
      </c>
      <c r="E4809" s="406" t="s">
        <v>13638</v>
      </c>
      <c r="F4809" s="406" t="s">
        <v>13533</v>
      </c>
      <c r="G4809" s="386" t="s">
        <v>13639</v>
      </c>
      <c r="H4809" s="162" t="s">
        <v>13640</v>
      </c>
      <c r="K4809" s="386" t="s">
        <v>16861</v>
      </c>
      <c r="L4809" s="162" t="s">
        <v>16862</v>
      </c>
      <c r="M4809" s="162" t="s">
        <v>16863</v>
      </c>
      <c r="O4809" s="224"/>
      <c r="P4809" s="224"/>
      <c r="Q4809" s="224">
        <v>4</v>
      </c>
      <c r="R4809" s="224">
        <v>4</v>
      </c>
      <c r="S4809" s="224">
        <v>4</v>
      </c>
      <c r="T4809" s="223" t="s">
        <v>11865</v>
      </c>
      <c r="U4809" t="str">
        <f>VLOOKUP(T4809,[8]Votes!$A$1:$E$234,3,FALSE)</f>
        <v>133 Office of the Director of Public Prosecutions</v>
      </c>
      <c r="V4809" s="162" t="s">
        <v>16864</v>
      </c>
      <c r="W4809" s="407">
        <v>1</v>
      </c>
      <c r="X4809" s="407">
        <v>1</v>
      </c>
      <c r="Y4809" s="407">
        <v>0</v>
      </c>
      <c r="Z4809" s="407">
        <v>1</v>
      </c>
      <c r="AA4809" s="416">
        <v>1</v>
      </c>
      <c r="AB4809" s="407">
        <v>0</v>
      </c>
      <c r="AC4809" s="150">
        <v>1</v>
      </c>
      <c r="AD4809" s="150">
        <v>1</v>
      </c>
      <c r="AE4809" s="49">
        <f t="shared" si="172"/>
        <v>0.75</v>
      </c>
      <c r="AF4809" s="190"/>
      <c r="AG4809" s="17">
        <v>0</v>
      </c>
      <c r="AH4809" s="190">
        <v>0</v>
      </c>
      <c r="AI4809" s="190">
        <v>0</v>
      </c>
      <c r="AJ4809" s="485">
        <v>0.4</v>
      </c>
      <c r="AK4809" s="493">
        <v>0.4</v>
      </c>
      <c r="AL4809" s="493">
        <v>0.4</v>
      </c>
      <c r="AM4809" s="17">
        <f t="shared" si="173"/>
        <v>0.8</v>
      </c>
      <c r="AN4809" s="162" t="s">
        <v>11865</v>
      </c>
      <c r="AO4809" s="162" t="s">
        <v>11866</v>
      </c>
    </row>
    <row r="4810" spans="1:41" s="162" customFormat="1" x14ac:dyDescent="0.3">
      <c r="A4810" s="536" t="s">
        <v>8321</v>
      </c>
      <c r="B4810" s="162" t="s">
        <v>8322</v>
      </c>
      <c r="C4810" s="168" t="s">
        <v>13637</v>
      </c>
      <c r="D4810" s="1" t="s">
        <v>6838</v>
      </c>
      <c r="E4810" s="406" t="s">
        <v>13638</v>
      </c>
      <c r="F4810" s="406" t="s">
        <v>13533</v>
      </c>
      <c r="G4810" s="386" t="s">
        <v>13639</v>
      </c>
      <c r="H4810" s="162" t="s">
        <v>13640</v>
      </c>
      <c r="K4810" s="386" t="s">
        <v>16865</v>
      </c>
      <c r="L4810" s="162" t="s">
        <v>16866</v>
      </c>
      <c r="M4810" s="162" t="s">
        <v>16867</v>
      </c>
      <c r="O4810" s="224"/>
      <c r="P4810" s="224"/>
      <c r="Q4810" s="224">
        <v>4</v>
      </c>
      <c r="R4810" s="224">
        <v>4</v>
      </c>
      <c r="S4810" s="224">
        <v>4</v>
      </c>
      <c r="T4810" s="223" t="s">
        <v>11865</v>
      </c>
      <c r="U4810" t="str">
        <f>VLOOKUP(T4810,[8]Votes!$A$1:$E$234,3,FALSE)</f>
        <v>133 Office of the Director of Public Prosecutions</v>
      </c>
      <c r="V4810" s="162" t="s">
        <v>16868</v>
      </c>
      <c r="W4810" s="407">
        <v>1</v>
      </c>
      <c r="X4810" s="407">
        <v>1</v>
      </c>
      <c r="Y4810" s="407">
        <v>0</v>
      </c>
      <c r="Z4810" s="407">
        <v>1</v>
      </c>
      <c r="AA4810" s="416">
        <v>1</v>
      </c>
      <c r="AB4810" s="407">
        <v>0</v>
      </c>
      <c r="AC4810" s="150">
        <v>1</v>
      </c>
      <c r="AD4810" s="150">
        <v>1</v>
      </c>
      <c r="AE4810" s="49">
        <f t="shared" si="172"/>
        <v>0.75</v>
      </c>
      <c r="AF4810" s="190"/>
      <c r="AG4810" s="17">
        <v>0</v>
      </c>
      <c r="AH4810" s="190">
        <v>0</v>
      </c>
      <c r="AI4810" s="190">
        <v>0</v>
      </c>
      <c r="AJ4810" s="485">
        <v>0.2</v>
      </c>
      <c r="AK4810" s="493">
        <v>0.2</v>
      </c>
      <c r="AL4810" s="493">
        <v>0.2</v>
      </c>
      <c r="AM4810" s="17">
        <f t="shared" si="173"/>
        <v>0.4</v>
      </c>
      <c r="AN4810" s="162" t="s">
        <v>11865</v>
      </c>
      <c r="AO4810" s="162" t="s">
        <v>11866</v>
      </c>
    </row>
    <row r="4811" spans="1:41" s="162" customFormat="1" x14ac:dyDescent="0.3">
      <c r="A4811" s="536" t="s">
        <v>8321</v>
      </c>
      <c r="B4811" s="162" t="s">
        <v>8322</v>
      </c>
      <c r="C4811" s="168" t="s">
        <v>13637</v>
      </c>
      <c r="D4811" s="1" t="s">
        <v>6838</v>
      </c>
      <c r="E4811" s="406" t="s">
        <v>13638</v>
      </c>
      <c r="F4811" s="406" t="s">
        <v>13533</v>
      </c>
      <c r="G4811" s="386" t="s">
        <v>13639</v>
      </c>
      <c r="H4811" s="162" t="s">
        <v>13640</v>
      </c>
      <c r="K4811" s="386" t="s">
        <v>16865</v>
      </c>
      <c r="L4811" s="162" t="s">
        <v>16866</v>
      </c>
      <c r="M4811" s="162" t="s">
        <v>16869</v>
      </c>
      <c r="N4811" s="162">
        <v>4</v>
      </c>
      <c r="O4811" s="224">
        <v>4</v>
      </c>
      <c r="P4811" s="224">
        <v>4</v>
      </c>
      <c r="Q4811" s="224">
        <v>4</v>
      </c>
      <c r="R4811" s="224">
        <v>4</v>
      </c>
      <c r="S4811" s="224">
        <v>4</v>
      </c>
      <c r="T4811" s="223" t="s">
        <v>3875</v>
      </c>
      <c r="U4811" t="str">
        <f>VLOOKUP(T4811,[8]Votes!$A$1:$E$234,3,FALSE)</f>
        <v>007 Ministry of Justice and Constitutional Affairs</v>
      </c>
      <c r="V4811" s="162" t="s">
        <v>16870</v>
      </c>
      <c r="W4811" s="407">
        <v>1</v>
      </c>
      <c r="X4811" s="407">
        <v>1</v>
      </c>
      <c r="Y4811" s="407">
        <v>0</v>
      </c>
      <c r="Z4811" s="407">
        <v>1</v>
      </c>
      <c r="AA4811" s="407">
        <v>1</v>
      </c>
      <c r="AB4811" s="407">
        <v>0</v>
      </c>
      <c r="AC4811" s="150">
        <v>0</v>
      </c>
      <c r="AD4811" s="150">
        <v>1</v>
      </c>
      <c r="AE4811" s="49">
        <f t="shared" si="172"/>
        <v>0.625</v>
      </c>
      <c r="AF4811" s="485"/>
      <c r="AG4811" s="17">
        <v>0</v>
      </c>
      <c r="AH4811" s="485">
        <v>0.1</v>
      </c>
      <c r="AI4811" s="485">
        <v>0.3</v>
      </c>
      <c r="AJ4811" s="485">
        <v>0.4</v>
      </c>
      <c r="AK4811" s="493">
        <v>0.5</v>
      </c>
      <c r="AL4811" s="493">
        <v>0.5</v>
      </c>
      <c r="AM4811" s="17">
        <f t="shared" si="173"/>
        <v>1</v>
      </c>
      <c r="AN4811" s="223" t="s">
        <v>3875</v>
      </c>
      <c r="AO4811" s="162" t="s">
        <v>3877</v>
      </c>
    </row>
    <row r="4812" spans="1:41" s="162" customFormat="1" x14ac:dyDescent="0.3">
      <c r="A4812" s="536" t="s">
        <v>8321</v>
      </c>
      <c r="B4812" s="162" t="s">
        <v>8322</v>
      </c>
      <c r="C4812" s="168" t="s">
        <v>13637</v>
      </c>
      <c r="D4812" s="1" t="s">
        <v>6838</v>
      </c>
      <c r="E4812" s="406" t="s">
        <v>13638</v>
      </c>
      <c r="F4812" s="406" t="s">
        <v>13533</v>
      </c>
      <c r="G4812" s="386" t="s">
        <v>13639</v>
      </c>
      <c r="H4812" s="162" t="s">
        <v>13640</v>
      </c>
      <c r="K4812" s="386" t="s">
        <v>16495</v>
      </c>
      <c r="L4812" s="162" t="s">
        <v>14548</v>
      </c>
      <c r="M4812" s="162" t="s">
        <v>16867</v>
      </c>
      <c r="O4812" s="224"/>
      <c r="P4812" s="224"/>
      <c r="Q4812" s="224">
        <v>4</v>
      </c>
      <c r="R4812" s="224">
        <v>4</v>
      </c>
      <c r="S4812" s="224">
        <v>4</v>
      </c>
      <c r="T4812" s="223" t="s">
        <v>11865</v>
      </c>
      <c r="U4812" t="str">
        <f>VLOOKUP(T4812,[8]Votes!$A$1:$E$234,3,FALSE)</f>
        <v>133 Office of the Director of Public Prosecutions</v>
      </c>
      <c r="V4812" s="162" t="s">
        <v>16871</v>
      </c>
      <c r="W4812" s="407">
        <v>1</v>
      </c>
      <c r="X4812" s="407">
        <v>1</v>
      </c>
      <c r="Y4812" s="407">
        <v>0</v>
      </c>
      <c r="Z4812" s="407">
        <v>1</v>
      </c>
      <c r="AA4812" s="416">
        <v>1</v>
      </c>
      <c r="AB4812" s="407">
        <v>0</v>
      </c>
      <c r="AC4812" s="150">
        <v>1</v>
      </c>
      <c r="AD4812" s="150">
        <v>1</v>
      </c>
      <c r="AE4812" s="49">
        <f t="shared" si="172"/>
        <v>0.75</v>
      </c>
      <c r="AF4812" s="190"/>
      <c r="AG4812" s="17">
        <v>0</v>
      </c>
      <c r="AH4812" s="190">
        <v>0</v>
      </c>
      <c r="AI4812" s="190">
        <v>0</v>
      </c>
      <c r="AJ4812" s="485">
        <v>0.3</v>
      </c>
      <c r="AK4812" s="493">
        <v>0.3</v>
      </c>
      <c r="AL4812" s="493">
        <v>0.3</v>
      </c>
      <c r="AM4812" s="17">
        <f t="shared" si="173"/>
        <v>0.6</v>
      </c>
      <c r="AN4812" s="162" t="s">
        <v>11865</v>
      </c>
      <c r="AO4812" s="162" t="s">
        <v>11866</v>
      </c>
    </row>
    <row r="4813" spans="1:41" s="162" customFormat="1" x14ac:dyDescent="0.3">
      <c r="A4813" s="536" t="s">
        <v>8321</v>
      </c>
      <c r="B4813" s="162" t="s">
        <v>8322</v>
      </c>
      <c r="C4813" s="168" t="s">
        <v>13637</v>
      </c>
      <c r="D4813" s="1" t="s">
        <v>6838</v>
      </c>
      <c r="E4813" s="406" t="s">
        <v>13638</v>
      </c>
      <c r="F4813" s="406" t="s">
        <v>13533</v>
      </c>
      <c r="G4813" s="386" t="s">
        <v>13639</v>
      </c>
      <c r="H4813" s="162" t="s">
        <v>13640</v>
      </c>
      <c r="K4813" s="386" t="s">
        <v>16872</v>
      </c>
      <c r="L4813" s="162" t="s">
        <v>16873</v>
      </c>
      <c r="M4813" s="162" t="s">
        <v>16867</v>
      </c>
      <c r="O4813" s="224"/>
      <c r="P4813" s="224"/>
      <c r="Q4813" s="224">
        <v>4</v>
      </c>
      <c r="R4813" s="224">
        <v>4</v>
      </c>
      <c r="S4813" s="224">
        <v>4</v>
      </c>
      <c r="T4813" s="223" t="s">
        <v>11865</v>
      </c>
      <c r="U4813" t="str">
        <f>VLOOKUP(T4813,[8]Votes!$A$1:$E$234,3,FALSE)</f>
        <v>133 Office of the Director of Public Prosecutions</v>
      </c>
      <c r="V4813" s="162" t="s">
        <v>16874</v>
      </c>
      <c r="W4813" s="407">
        <v>1</v>
      </c>
      <c r="X4813" s="407">
        <v>1</v>
      </c>
      <c r="Y4813" s="407">
        <v>0</v>
      </c>
      <c r="Z4813" s="407">
        <v>1</v>
      </c>
      <c r="AA4813" s="416">
        <v>1</v>
      </c>
      <c r="AB4813" s="407">
        <v>0</v>
      </c>
      <c r="AC4813" s="150">
        <v>1</v>
      </c>
      <c r="AD4813" s="150">
        <v>1</v>
      </c>
      <c r="AE4813" s="49">
        <f t="shared" si="172"/>
        <v>0.75</v>
      </c>
      <c r="AF4813" s="190"/>
      <c r="AG4813" s="17">
        <v>0</v>
      </c>
      <c r="AH4813" s="190">
        <v>0</v>
      </c>
      <c r="AI4813" s="190">
        <v>0</v>
      </c>
      <c r="AJ4813" s="485">
        <v>0.4</v>
      </c>
      <c r="AK4813" s="493">
        <v>0.4</v>
      </c>
      <c r="AL4813" s="493">
        <v>0.4</v>
      </c>
      <c r="AM4813" s="17">
        <f t="shared" si="173"/>
        <v>0.8</v>
      </c>
      <c r="AN4813" s="162" t="s">
        <v>11865</v>
      </c>
      <c r="AO4813" s="162" t="s">
        <v>11866</v>
      </c>
    </row>
    <row r="4814" spans="1:41" s="162" customFormat="1" x14ac:dyDescent="0.3">
      <c r="A4814" s="536" t="s">
        <v>8321</v>
      </c>
      <c r="B4814" s="162" t="s">
        <v>8322</v>
      </c>
      <c r="C4814" s="168" t="s">
        <v>13637</v>
      </c>
      <c r="D4814" s="1" t="s">
        <v>6838</v>
      </c>
      <c r="E4814" s="406" t="s">
        <v>13638</v>
      </c>
      <c r="F4814" s="406" t="s">
        <v>13533</v>
      </c>
      <c r="G4814" s="386" t="s">
        <v>13639</v>
      </c>
      <c r="H4814" s="162" t="s">
        <v>13640</v>
      </c>
      <c r="K4814" s="386" t="s">
        <v>16875</v>
      </c>
      <c r="L4814" s="162" t="s">
        <v>16876</v>
      </c>
      <c r="M4814" s="162" t="s">
        <v>16877</v>
      </c>
      <c r="O4814" s="224"/>
      <c r="P4814" s="224"/>
      <c r="Q4814" s="224">
        <v>3</v>
      </c>
      <c r="R4814" s="224">
        <v>3</v>
      </c>
      <c r="S4814" s="224">
        <v>3</v>
      </c>
      <c r="T4814" s="223" t="s">
        <v>11865</v>
      </c>
      <c r="U4814" t="str">
        <f>VLOOKUP(T4814,[8]Votes!$A$1:$E$234,3,FALSE)</f>
        <v>133 Office of the Director of Public Prosecutions</v>
      </c>
      <c r="V4814" s="162" t="s">
        <v>16878</v>
      </c>
      <c r="W4814" s="407">
        <v>1</v>
      </c>
      <c r="X4814" s="407">
        <v>1</v>
      </c>
      <c r="Y4814" s="407">
        <v>0</v>
      </c>
      <c r="Z4814" s="407">
        <v>1</v>
      </c>
      <c r="AA4814" s="416">
        <v>1</v>
      </c>
      <c r="AB4814" s="407">
        <v>0</v>
      </c>
      <c r="AC4814" s="150">
        <v>1</v>
      </c>
      <c r="AD4814" s="150">
        <v>1</v>
      </c>
      <c r="AE4814" s="49">
        <f t="shared" si="172"/>
        <v>0.75</v>
      </c>
      <c r="AF4814" s="190"/>
      <c r="AG4814" s="17">
        <v>0</v>
      </c>
      <c r="AH4814" s="190">
        <v>0</v>
      </c>
      <c r="AI4814" s="190">
        <v>0</v>
      </c>
      <c r="AJ4814" s="485">
        <v>0.6</v>
      </c>
      <c r="AK4814" s="493">
        <v>0.6</v>
      </c>
      <c r="AL4814" s="493">
        <v>0.6</v>
      </c>
      <c r="AM4814" s="17">
        <f t="shared" si="173"/>
        <v>1.2</v>
      </c>
      <c r="AN4814" s="162" t="s">
        <v>11865</v>
      </c>
      <c r="AO4814" s="162" t="s">
        <v>11866</v>
      </c>
    </row>
    <row r="4815" spans="1:41" s="162" customFormat="1" x14ac:dyDescent="0.3">
      <c r="A4815" s="536" t="s">
        <v>8321</v>
      </c>
      <c r="B4815" s="162" t="s">
        <v>8322</v>
      </c>
      <c r="C4815" s="168" t="s">
        <v>13637</v>
      </c>
      <c r="D4815" s="1" t="s">
        <v>6838</v>
      </c>
      <c r="E4815" s="406" t="s">
        <v>13638</v>
      </c>
      <c r="F4815" s="406" t="s">
        <v>13533</v>
      </c>
      <c r="G4815" s="386" t="s">
        <v>13639</v>
      </c>
      <c r="H4815" s="162" t="s">
        <v>13640</v>
      </c>
      <c r="K4815" s="386" t="s">
        <v>16879</v>
      </c>
      <c r="L4815" s="162" t="s">
        <v>16880</v>
      </c>
      <c r="M4815" s="162" t="s">
        <v>16881</v>
      </c>
      <c r="O4815" s="224"/>
      <c r="P4815" s="224"/>
      <c r="Q4815" s="224">
        <v>2</v>
      </c>
      <c r="R4815" s="224">
        <v>2</v>
      </c>
      <c r="S4815" s="224">
        <v>2</v>
      </c>
      <c r="T4815" s="223" t="s">
        <v>11865</v>
      </c>
      <c r="U4815" t="str">
        <f>VLOOKUP(T4815,[8]Votes!$A$1:$E$234,3,FALSE)</f>
        <v>133 Office of the Director of Public Prosecutions</v>
      </c>
      <c r="V4815" s="162" t="s">
        <v>16882</v>
      </c>
      <c r="W4815" s="407">
        <v>1</v>
      </c>
      <c r="X4815" s="407">
        <v>1</v>
      </c>
      <c r="Y4815" s="407">
        <v>0</v>
      </c>
      <c r="Z4815" s="407">
        <v>1</v>
      </c>
      <c r="AA4815" s="416">
        <v>1</v>
      </c>
      <c r="AB4815" s="407">
        <v>0</v>
      </c>
      <c r="AC4815" s="150">
        <v>1</v>
      </c>
      <c r="AD4815" s="150">
        <v>1</v>
      </c>
      <c r="AE4815" s="49">
        <f t="shared" si="172"/>
        <v>0.75</v>
      </c>
      <c r="AF4815" s="190"/>
      <c r="AG4815" s="17">
        <v>0</v>
      </c>
      <c r="AH4815" s="190">
        <v>0</v>
      </c>
      <c r="AI4815" s="190">
        <v>0</v>
      </c>
      <c r="AJ4815" s="485">
        <v>1.6</v>
      </c>
      <c r="AK4815" s="493">
        <v>1.6</v>
      </c>
      <c r="AL4815" s="493">
        <v>1.6</v>
      </c>
      <c r="AM4815" s="17">
        <f t="shared" si="173"/>
        <v>3.2</v>
      </c>
      <c r="AN4815" s="162" t="s">
        <v>11865</v>
      </c>
      <c r="AO4815" s="162" t="s">
        <v>11866</v>
      </c>
    </row>
    <row r="4816" spans="1:41" s="162" customFormat="1" x14ac:dyDescent="0.3">
      <c r="A4816" s="536" t="s">
        <v>8321</v>
      </c>
      <c r="B4816" s="162" t="s">
        <v>8322</v>
      </c>
      <c r="C4816" s="168" t="s">
        <v>13637</v>
      </c>
      <c r="D4816" s="1" t="s">
        <v>6838</v>
      </c>
      <c r="E4816" s="406" t="s">
        <v>13638</v>
      </c>
      <c r="F4816" s="406" t="s">
        <v>13533</v>
      </c>
      <c r="G4816" s="386" t="s">
        <v>13658</v>
      </c>
      <c r="H4816" s="162" t="s">
        <v>13659</v>
      </c>
      <c r="K4816" s="536" t="s">
        <v>16824</v>
      </c>
      <c r="L4816" s="162" t="s">
        <v>16883</v>
      </c>
      <c r="M4816" s="162" t="s">
        <v>16884</v>
      </c>
      <c r="O4816" s="224"/>
      <c r="P4816" s="224"/>
      <c r="Q4816" s="224">
        <v>4</v>
      </c>
      <c r="R4816" s="224">
        <v>4</v>
      </c>
      <c r="S4816" s="224">
        <v>4</v>
      </c>
      <c r="T4816" s="223" t="s">
        <v>11865</v>
      </c>
      <c r="U4816" t="str">
        <f>VLOOKUP(T4816,[8]Votes!$A$1:$E$234,3,FALSE)</f>
        <v>133 Office of the Director of Public Prosecutions</v>
      </c>
      <c r="V4816" s="162" t="s">
        <v>16885</v>
      </c>
      <c r="W4816" s="407">
        <v>1</v>
      </c>
      <c r="X4816" s="407">
        <v>1</v>
      </c>
      <c r="Y4816" s="407">
        <v>0</v>
      </c>
      <c r="Z4816" s="407">
        <v>1</v>
      </c>
      <c r="AA4816" s="416">
        <v>1</v>
      </c>
      <c r="AB4816" s="407">
        <v>0</v>
      </c>
      <c r="AC4816" s="150">
        <v>1</v>
      </c>
      <c r="AD4816" s="150">
        <v>1</v>
      </c>
      <c r="AE4816" s="49">
        <f t="shared" si="172"/>
        <v>0.75</v>
      </c>
      <c r="AF4816" s="190"/>
      <c r="AG4816" s="17">
        <v>0</v>
      </c>
      <c r="AH4816" s="190">
        <v>0</v>
      </c>
      <c r="AI4816" s="190">
        <v>0</v>
      </c>
      <c r="AJ4816" s="485">
        <v>0.4</v>
      </c>
      <c r="AK4816" s="493">
        <v>0.4</v>
      </c>
      <c r="AL4816" s="493">
        <v>0.4</v>
      </c>
      <c r="AM4816" s="17">
        <f t="shared" si="173"/>
        <v>0.8</v>
      </c>
      <c r="AN4816" s="162" t="s">
        <v>11865</v>
      </c>
      <c r="AO4816" s="162" t="s">
        <v>11866</v>
      </c>
    </row>
    <row r="4817" spans="1:41" s="162" customFormat="1" x14ac:dyDescent="0.3">
      <c r="A4817" s="536" t="s">
        <v>8321</v>
      </c>
      <c r="B4817" s="162" t="s">
        <v>8322</v>
      </c>
      <c r="C4817" s="168" t="s">
        <v>13637</v>
      </c>
      <c r="D4817" s="1" t="s">
        <v>6838</v>
      </c>
      <c r="E4817" s="406" t="s">
        <v>13638</v>
      </c>
      <c r="F4817" s="406" t="s">
        <v>13533</v>
      </c>
      <c r="G4817" s="386" t="s">
        <v>13658</v>
      </c>
      <c r="H4817" s="162" t="s">
        <v>13659</v>
      </c>
      <c r="K4817" s="536" t="s">
        <v>16830</v>
      </c>
      <c r="L4817" s="162" t="s">
        <v>16886</v>
      </c>
      <c r="M4817" s="162" t="s">
        <v>16887</v>
      </c>
      <c r="O4817" s="224"/>
      <c r="P4817" s="224"/>
      <c r="Q4817" s="224">
        <v>1</v>
      </c>
      <c r="R4817" s="224">
        <v>1</v>
      </c>
      <c r="S4817" s="224">
        <v>1</v>
      </c>
      <c r="T4817" s="223" t="s">
        <v>11865</v>
      </c>
      <c r="U4817" t="str">
        <f>VLOOKUP(T4817,[8]Votes!$A$1:$E$234,3,FALSE)</f>
        <v>133 Office of the Director of Public Prosecutions</v>
      </c>
      <c r="V4817" s="162" t="s">
        <v>16888</v>
      </c>
      <c r="W4817" s="407">
        <v>1</v>
      </c>
      <c r="X4817" s="407">
        <v>0</v>
      </c>
      <c r="Y4817" s="407">
        <v>0</v>
      </c>
      <c r="Z4817" s="407">
        <v>1</v>
      </c>
      <c r="AA4817" s="416">
        <v>1</v>
      </c>
      <c r="AB4817" s="407">
        <v>1</v>
      </c>
      <c r="AC4817" s="150">
        <v>1</v>
      </c>
      <c r="AD4817" s="150">
        <v>1</v>
      </c>
      <c r="AE4817" s="49">
        <f t="shared" si="172"/>
        <v>0.75</v>
      </c>
      <c r="AF4817" s="190"/>
      <c r="AG4817" s="17">
        <v>0</v>
      </c>
      <c r="AH4817" s="190">
        <v>0</v>
      </c>
      <c r="AI4817" s="190">
        <v>0</v>
      </c>
      <c r="AJ4817" s="485">
        <v>2.8</v>
      </c>
      <c r="AK4817" s="493">
        <v>2.8</v>
      </c>
      <c r="AL4817" s="493">
        <v>2.8</v>
      </c>
      <c r="AM4817" s="17">
        <f t="shared" si="173"/>
        <v>5.6</v>
      </c>
      <c r="AN4817" s="162" t="s">
        <v>11865</v>
      </c>
      <c r="AO4817" s="162" t="s">
        <v>11866</v>
      </c>
    </row>
    <row r="4818" spans="1:41" s="162" customFormat="1" x14ac:dyDescent="0.3">
      <c r="A4818" s="536" t="s">
        <v>8321</v>
      </c>
      <c r="B4818" s="162" t="s">
        <v>8322</v>
      </c>
      <c r="C4818" s="168" t="s">
        <v>13637</v>
      </c>
      <c r="D4818" s="1" t="s">
        <v>6838</v>
      </c>
      <c r="E4818" s="406" t="s">
        <v>13638</v>
      </c>
      <c r="F4818" s="406" t="s">
        <v>13533</v>
      </c>
      <c r="G4818" s="386" t="s">
        <v>13639</v>
      </c>
      <c r="H4818" s="162" t="s">
        <v>13640</v>
      </c>
      <c r="K4818" s="386" t="s">
        <v>16889</v>
      </c>
      <c r="L4818" s="162" t="s">
        <v>16461</v>
      </c>
      <c r="M4818" s="162" t="s">
        <v>16890</v>
      </c>
      <c r="O4818" s="224"/>
      <c r="P4818" s="224"/>
      <c r="Q4818" s="224">
        <v>10</v>
      </c>
      <c r="R4818" s="224">
        <v>10</v>
      </c>
      <c r="S4818" s="224">
        <v>10</v>
      </c>
      <c r="T4818" s="223" t="s">
        <v>11865</v>
      </c>
      <c r="U4818" t="str">
        <f>VLOOKUP(T4818,[8]Votes!$A$1:$E$234,3,FALSE)</f>
        <v>133 Office of the Director of Public Prosecutions</v>
      </c>
      <c r="V4818" s="162" t="s">
        <v>16891</v>
      </c>
      <c r="W4818" s="407">
        <v>1</v>
      </c>
      <c r="X4818" s="407">
        <v>0</v>
      </c>
      <c r="Y4818" s="407">
        <v>0</v>
      </c>
      <c r="Z4818" s="407">
        <v>1</v>
      </c>
      <c r="AA4818" s="416">
        <v>1</v>
      </c>
      <c r="AB4818" s="407">
        <v>0</v>
      </c>
      <c r="AC4818" s="150">
        <v>1</v>
      </c>
      <c r="AD4818" s="150">
        <v>1</v>
      </c>
      <c r="AE4818" s="49">
        <f t="shared" si="172"/>
        <v>0.625</v>
      </c>
      <c r="AF4818" s="190"/>
      <c r="AG4818" s="17">
        <v>0</v>
      </c>
      <c r="AH4818" s="190">
        <v>0</v>
      </c>
      <c r="AI4818" s="190">
        <v>0</v>
      </c>
      <c r="AJ4818" s="485">
        <v>0.5</v>
      </c>
      <c r="AK4818" s="493">
        <v>0.5</v>
      </c>
      <c r="AL4818" s="493">
        <v>0.5</v>
      </c>
      <c r="AM4818" s="17">
        <f t="shared" si="173"/>
        <v>1</v>
      </c>
      <c r="AN4818" s="162" t="s">
        <v>11865</v>
      </c>
      <c r="AO4818" s="162" t="s">
        <v>11866</v>
      </c>
    </row>
    <row r="4819" spans="1:41" s="162" customFormat="1" x14ac:dyDescent="0.3">
      <c r="A4819" s="536" t="s">
        <v>8321</v>
      </c>
      <c r="B4819" s="162" t="s">
        <v>8322</v>
      </c>
      <c r="C4819" s="168" t="s">
        <v>13637</v>
      </c>
      <c r="D4819" s="1" t="s">
        <v>6838</v>
      </c>
      <c r="E4819" s="406" t="s">
        <v>13638</v>
      </c>
      <c r="F4819" s="406" t="s">
        <v>13533</v>
      </c>
      <c r="G4819" s="386" t="s">
        <v>13639</v>
      </c>
      <c r="H4819" s="162" t="s">
        <v>13640</v>
      </c>
      <c r="K4819" s="386" t="s">
        <v>16812</v>
      </c>
      <c r="L4819" s="162" t="s">
        <v>16813</v>
      </c>
      <c r="M4819" s="162" t="s">
        <v>16892</v>
      </c>
      <c r="O4819" s="224"/>
      <c r="P4819" s="224"/>
      <c r="Q4819" s="224">
        <v>15</v>
      </c>
      <c r="R4819" s="224">
        <v>15</v>
      </c>
      <c r="S4819" s="224">
        <v>15</v>
      </c>
      <c r="T4819" s="223" t="s">
        <v>11865</v>
      </c>
      <c r="U4819" t="str">
        <f>VLOOKUP(T4819,[8]Votes!$A$1:$E$234,3,FALSE)</f>
        <v>133 Office of the Director of Public Prosecutions</v>
      </c>
      <c r="V4819" s="162" t="s">
        <v>16893</v>
      </c>
      <c r="W4819" s="407">
        <v>1</v>
      </c>
      <c r="X4819" s="407">
        <v>0</v>
      </c>
      <c r="Y4819" s="407">
        <v>0</v>
      </c>
      <c r="Z4819" s="407">
        <v>1</v>
      </c>
      <c r="AA4819" s="416">
        <v>1</v>
      </c>
      <c r="AB4819" s="407">
        <v>0</v>
      </c>
      <c r="AC4819" s="150">
        <v>1</v>
      </c>
      <c r="AD4819" s="150">
        <v>1</v>
      </c>
      <c r="AE4819" s="49">
        <f t="shared" si="172"/>
        <v>0.625</v>
      </c>
      <c r="AF4819" s="190"/>
      <c r="AG4819" s="17">
        <v>0</v>
      </c>
      <c r="AH4819" s="190">
        <v>0</v>
      </c>
      <c r="AI4819" s="190">
        <v>0</v>
      </c>
      <c r="AJ4819" s="485">
        <v>3.54</v>
      </c>
      <c r="AK4819" s="493">
        <v>4</v>
      </c>
      <c r="AL4819" s="493">
        <v>4.3</v>
      </c>
      <c r="AM4819" s="17">
        <f t="shared" si="173"/>
        <v>8.3000000000000007</v>
      </c>
      <c r="AN4819" s="162" t="s">
        <v>11865</v>
      </c>
      <c r="AO4819" s="162" t="s">
        <v>11866</v>
      </c>
    </row>
    <row r="4820" spans="1:41" s="162" customFormat="1" x14ac:dyDescent="0.3">
      <c r="A4820" s="536" t="s">
        <v>8321</v>
      </c>
      <c r="B4820" s="162" t="s">
        <v>8322</v>
      </c>
      <c r="C4820" s="168" t="s">
        <v>13637</v>
      </c>
      <c r="D4820" s="1" t="s">
        <v>6838</v>
      </c>
      <c r="E4820" s="406" t="s">
        <v>13638</v>
      </c>
      <c r="F4820" s="406" t="s">
        <v>13533</v>
      </c>
      <c r="G4820" s="386" t="s">
        <v>13639</v>
      </c>
      <c r="H4820" s="162" t="s">
        <v>13640</v>
      </c>
      <c r="K4820" s="386" t="s">
        <v>16894</v>
      </c>
      <c r="L4820" s="162" t="s">
        <v>16895</v>
      </c>
      <c r="M4820" s="162" t="s">
        <v>16896</v>
      </c>
      <c r="N4820" s="162">
        <v>6</v>
      </c>
      <c r="O4820" s="224">
        <v>6</v>
      </c>
      <c r="P4820" s="224">
        <v>7</v>
      </c>
      <c r="Q4820" s="224">
        <v>8</v>
      </c>
      <c r="R4820" s="224">
        <v>9</v>
      </c>
      <c r="S4820" s="224">
        <v>10</v>
      </c>
      <c r="T4820" s="223" t="s">
        <v>3875</v>
      </c>
      <c r="U4820" t="str">
        <f>VLOOKUP(T4820,[8]Votes!$A$1:$E$234,3,FALSE)</f>
        <v>007 Ministry of Justice and Constitutional Affairs</v>
      </c>
      <c r="V4820" s="162" t="s">
        <v>16897</v>
      </c>
      <c r="W4820" s="407">
        <v>1</v>
      </c>
      <c r="X4820" s="407">
        <v>1</v>
      </c>
      <c r="Y4820" s="407">
        <v>0</v>
      </c>
      <c r="Z4820" s="407">
        <v>1</v>
      </c>
      <c r="AA4820" s="407">
        <v>1</v>
      </c>
      <c r="AB4820" s="407">
        <v>0</v>
      </c>
      <c r="AC4820" s="150">
        <v>1</v>
      </c>
      <c r="AD4820" s="150">
        <v>1</v>
      </c>
      <c r="AE4820" s="49">
        <f t="shared" si="172"/>
        <v>0.75</v>
      </c>
      <c r="AF4820" s="485"/>
      <c r="AG4820" s="17">
        <v>0</v>
      </c>
      <c r="AH4820" s="485">
        <v>0.5</v>
      </c>
      <c r="AI4820" s="485">
        <v>2.1</v>
      </c>
      <c r="AJ4820" s="485">
        <v>3</v>
      </c>
      <c r="AK4820" s="493">
        <v>2.4</v>
      </c>
      <c r="AL4820" s="493">
        <v>2.1</v>
      </c>
      <c r="AM4820" s="17">
        <f t="shared" si="173"/>
        <v>4.5</v>
      </c>
      <c r="AN4820" s="223" t="s">
        <v>3875</v>
      </c>
      <c r="AO4820" s="162" t="s">
        <v>3877</v>
      </c>
    </row>
    <row r="4821" spans="1:41" s="162" customFormat="1" x14ac:dyDescent="0.3">
      <c r="A4821" s="536" t="s">
        <v>8321</v>
      </c>
      <c r="B4821" s="162" t="s">
        <v>8322</v>
      </c>
      <c r="C4821" s="168" t="s">
        <v>13637</v>
      </c>
      <c r="D4821" s="162" t="s">
        <v>6838</v>
      </c>
      <c r="E4821" s="406" t="s">
        <v>13638</v>
      </c>
      <c r="F4821" s="406" t="s">
        <v>13533</v>
      </c>
      <c r="G4821" s="386" t="s">
        <v>13639</v>
      </c>
      <c r="H4821" s="1" t="s">
        <v>13640</v>
      </c>
      <c r="K4821" s="386" t="s">
        <v>16812</v>
      </c>
      <c r="L4821" s="162" t="s">
        <v>16813</v>
      </c>
      <c r="M4821" s="162" t="s">
        <v>16892</v>
      </c>
      <c r="O4821" s="224"/>
      <c r="P4821" s="224"/>
      <c r="Q4821" s="224">
        <v>14</v>
      </c>
      <c r="R4821" s="224">
        <v>14</v>
      </c>
      <c r="S4821" s="224"/>
      <c r="T4821" s="223" t="s">
        <v>3875</v>
      </c>
      <c r="U4821" t="str">
        <f>VLOOKUP(T4821,[8]Votes!$A$1:$E$234,3,FALSE)</f>
        <v>007 Ministry of Justice and Constitutional Affairs</v>
      </c>
      <c r="V4821" s="162" t="s">
        <v>16898</v>
      </c>
      <c r="W4821" s="407">
        <v>1</v>
      </c>
      <c r="X4821" s="407">
        <v>0</v>
      </c>
      <c r="Y4821" s="407">
        <v>0</v>
      </c>
      <c r="Z4821" s="407">
        <v>1</v>
      </c>
      <c r="AA4821" s="407">
        <v>1</v>
      </c>
      <c r="AB4821" s="407">
        <v>0</v>
      </c>
      <c r="AC4821" s="150">
        <v>0</v>
      </c>
      <c r="AD4821" s="150">
        <v>1</v>
      </c>
      <c r="AE4821" s="49">
        <f t="shared" si="172"/>
        <v>0.5</v>
      </c>
      <c r="AF4821" s="190"/>
      <c r="AG4821" s="17">
        <v>0</v>
      </c>
      <c r="AH4821" s="190">
        <v>0</v>
      </c>
      <c r="AI4821" s="190">
        <v>0</v>
      </c>
      <c r="AJ4821" s="485">
        <v>3.54</v>
      </c>
      <c r="AK4821" s="493">
        <v>0</v>
      </c>
      <c r="AL4821" s="191">
        <v>0</v>
      </c>
      <c r="AM4821" s="17">
        <f t="shared" si="173"/>
        <v>0</v>
      </c>
      <c r="AN4821" s="223" t="s">
        <v>3875</v>
      </c>
      <c r="AO4821" s="162" t="s">
        <v>3877</v>
      </c>
    </row>
    <row r="4822" spans="1:41" s="162" customFormat="1" x14ac:dyDescent="0.3">
      <c r="A4822" s="536" t="s">
        <v>8321</v>
      </c>
      <c r="B4822" s="162" t="s">
        <v>8322</v>
      </c>
      <c r="C4822" s="168" t="s">
        <v>13637</v>
      </c>
      <c r="D4822" s="1" t="s">
        <v>6838</v>
      </c>
      <c r="E4822" s="406" t="s">
        <v>13638</v>
      </c>
      <c r="F4822" s="406" t="s">
        <v>13533</v>
      </c>
      <c r="G4822" s="386" t="s">
        <v>13639</v>
      </c>
      <c r="H4822" s="1" t="s">
        <v>13640</v>
      </c>
      <c r="K4822" s="386" t="s">
        <v>16899</v>
      </c>
      <c r="L4822" s="162" t="s">
        <v>16900</v>
      </c>
      <c r="M4822" s="162" t="s">
        <v>16901</v>
      </c>
      <c r="O4822" s="224"/>
      <c r="P4822" s="224"/>
      <c r="Q4822" s="224">
        <v>7</v>
      </c>
      <c r="R4822" s="224"/>
      <c r="S4822" s="224"/>
      <c r="T4822" s="223" t="s">
        <v>4932</v>
      </c>
      <c r="U4822" t="str">
        <f>VLOOKUP(T4822,[8]Votes!$A$1:$E$234,3,FALSE)</f>
        <v>007 Ministry of Justice and Constitutional Affairs</v>
      </c>
      <c r="V4822" s="162" t="s">
        <v>16902</v>
      </c>
      <c r="W4822" s="407">
        <v>1</v>
      </c>
      <c r="X4822" s="407">
        <v>0</v>
      </c>
      <c r="Y4822" s="407">
        <v>0</v>
      </c>
      <c r="Z4822" s="407">
        <v>1</v>
      </c>
      <c r="AA4822" s="407">
        <v>1</v>
      </c>
      <c r="AB4822" s="407">
        <v>0</v>
      </c>
      <c r="AC4822" s="150">
        <v>0</v>
      </c>
      <c r="AD4822" s="150">
        <v>1</v>
      </c>
      <c r="AE4822" s="49">
        <f t="shared" si="172"/>
        <v>0.5</v>
      </c>
      <c r="AF4822" s="190"/>
      <c r="AG4822" s="17">
        <v>0</v>
      </c>
      <c r="AH4822" s="190">
        <v>0</v>
      </c>
      <c r="AI4822" s="190">
        <v>0</v>
      </c>
      <c r="AJ4822" s="485">
        <v>0.25</v>
      </c>
      <c r="AK4822" s="191">
        <v>0</v>
      </c>
      <c r="AL4822" s="191">
        <v>0</v>
      </c>
      <c r="AM4822" s="17">
        <f t="shared" si="173"/>
        <v>0</v>
      </c>
      <c r="AN4822" s="223" t="s">
        <v>4932</v>
      </c>
      <c r="AO4822" s="162" t="s">
        <v>3877</v>
      </c>
    </row>
    <row r="4823" spans="1:41" s="162" customFormat="1" x14ac:dyDescent="0.3">
      <c r="A4823" s="536" t="s">
        <v>8321</v>
      </c>
      <c r="B4823" s="162" t="s">
        <v>8322</v>
      </c>
      <c r="C4823" s="168" t="s">
        <v>13637</v>
      </c>
      <c r="D4823" s="1" t="s">
        <v>6838</v>
      </c>
      <c r="E4823" s="406" t="s">
        <v>13638</v>
      </c>
      <c r="F4823" s="406" t="s">
        <v>13533</v>
      </c>
      <c r="G4823" s="386" t="s">
        <v>13716</v>
      </c>
      <c r="H4823" s="162" t="s">
        <v>13717</v>
      </c>
      <c r="K4823" s="386" t="s">
        <v>16851</v>
      </c>
      <c r="L4823" s="162" t="s">
        <v>16852</v>
      </c>
      <c r="M4823" s="162" t="s">
        <v>16903</v>
      </c>
      <c r="N4823" s="462">
        <v>0.6</v>
      </c>
      <c r="O4823" s="492">
        <v>0.62</v>
      </c>
      <c r="P4823" s="492">
        <v>0.65</v>
      </c>
      <c r="Q4823" s="492">
        <v>0.68</v>
      </c>
      <c r="R4823" s="492">
        <v>0.72</v>
      </c>
      <c r="S4823" s="492">
        <v>0.75</v>
      </c>
      <c r="T4823" s="223" t="s">
        <v>11817</v>
      </c>
      <c r="U4823" t="str">
        <f>VLOOKUP(T4823,[8]Votes!$A$1:$E$234,3,FALSE)</f>
        <v>109 Law Development Centre</v>
      </c>
      <c r="V4823" s="162" t="s">
        <v>16904</v>
      </c>
      <c r="W4823" s="501">
        <v>1</v>
      </c>
      <c r="X4823" s="501">
        <v>0</v>
      </c>
      <c r="Y4823" s="501">
        <v>1</v>
      </c>
      <c r="Z4823" s="501">
        <v>1</v>
      </c>
      <c r="AA4823" s="501">
        <v>1</v>
      </c>
      <c r="AB4823" s="501">
        <v>1</v>
      </c>
      <c r="AC4823" s="150">
        <v>0</v>
      </c>
      <c r="AD4823" s="150">
        <v>1</v>
      </c>
      <c r="AE4823" s="49">
        <f t="shared" si="172"/>
        <v>0.75</v>
      </c>
      <c r="AF4823" s="485"/>
      <c r="AG4823" s="17">
        <v>0</v>
      </c>
      <c r="AH4823" s="485">
        <v>10.358000000000001</v>
      </c>
      <c r="AI4823" s="485">
        <v>10.358000000000001</v>
      </c>
      <c r="AJ4823" s="485">
        <v>10.358000000000001</v>
      </c>
      <c r="AK4823" s="493">
        <v>4.350759</v>
      </c>
      <c r="AL4823" s="493">
        <v>4.350759</v>
      </c>
      <c r="AM4823" s="17">
        <f t="shared" si="173"/>
        <v>8.7015180000000001</v>
      </c>
      <c r="AN4823" s="162" t="s">
        <v>11817</v>
      </c>
      <c r="AO4823" s="162" t="s">
        <v>11818</v>
      </c>
    </row>
    <row r="4824" spans="1:41" s="162" customFormat="1" x14ac:dyDescent="0.3">
      <c r="A4824" s="536" t="s">
        <v>8321</v>
      </c>
      <c r="B4824" s="162" t="s">
        <v>8322</v>
      </c>
      <c r="C4824" s="168" t="s">
        <v>13637</v>
      </c>
      <c r="D4824" s="1" t="s">
        <v>6838</v>
      </c>
      <c r="E4824" s="406" t="s">
        <v>13638</v>
      </c>
      <c r="F4824" s="406" t="s">
        <v>13533</v>
      </c>
      <c r="G4824" s="386" t="s">
        <v>13639</v>
      </c>
      <c r="H4824" s="162" t="s">
        <v>13640</v>
      </c>
      <c r="K4824" s="386" t="s">
        <v>16905</v>
      </c>
      <c r="L4824" s="162" t="s">
        <v>16906</v>
      </c>
      <c r="M4824" s="162" t="s">
        <v>16907</v>
      </c>
      <c r="N4824" s="541">
        <v>5.5555555555555552E-2</v>
      </c>
      <c r="O4824" s="542">
        <v>5.2083333333333336E-2</v>
      </c>
      <c r="P4824" s="542">
        <v>4.9999999999999996E-2</v>
      </c>
      <c r="Q4824" s="542">
        <v>4.8611111111111112E-2</v>
      </c>
      <c r="R4824" s="542">
        <v>4.8611111111111112E-2</v>
      </c>
      <c r="S4824" s="542">
        <v>4.8611111111111112E-2</v>
      </c>
      <c r="T4824" s="223" t="s">
        <v>11817</v>
      </c>
      <c r="U4824" t="str">
        <f>VLOOKUP(T4824,[8]Votes!$A$1:$E$234,3,FALSE)</f>
        <v>109 Law Development Centre</v>
      </c>
      <c r="V4824" s="162" t="s">
        <v>16893</v>
      </c>
      <c r="W4824" s="407">
        <v>1</v>
      </c>
      <c r="X4824" s="407">
        <v>1</v>
      </c>
      <c r="Y4824" s="407">
        <v>0</v>
      </c>
      <c r="Z4824" s="407">
        <v>1</v>
      </c>
      <c r="AA4824" s="407">
        <v>1</v>
      </c>
      <c r="AB4824" s="407">
        <v>1</v>
      </c>
      <c r="AC4824" s="150">
        <v>0</v>
      </c>
      <c r="AD4824" s="150">
        <v>1</v>
      </c>
      <c r="AE4824" s="49">
        <f t="shared" si="172"/>
        <v>0.75</v>
      </c>
      <c r="AF4824" s="485"/>
      <c r="AG4824" s="17">
        <v>0</v>
      </c>
      <c r="AH4824" s="485">
        <v>0.81499999999999995</v>
      </c>
      <c r="AI4824" s="485">
        <v>0.81499999999999995</v>
      </c>
      <c r="AJ4824" s="485">
        <v>0.81499999999999995</v>
      </c>
      <c r="AK4824" s="493">
        <v>1.226</v>
      </c>
      <c r="AL4824" s="493">
        <v>1.226</v>
      </c>
      <c r="AM4824" s="17">
        <f t="shared" si="173"/>
        <v>2.452</v>
      </c>
      <c r="AN4824" s="162" t="s">
        <v>11817</v>
      </c>
      <c r="AO4824" s="162" t="s">
        <v>11818</v>
      </c>
    </row>
    <row r="4825" spans="1:41" s="162" customFormat="1" x14ac:dyDescent="0.3">
      <c r="A4825" s="536" t="s">
        <v>8321</v>
      </c>
      <c r="B4825" s="162" t="s">
        <v>8322</v>
      </c>
      <c r="C4825" s="168" t="s">
        <v>13637</v>
      </c>
      <c r="D4825" s="1" t="s">
        <v>6838</v>
      </c>
      <c r="E4825" s="406" t="s">
        <v>13638</v>
      </c>
      <c r="F4825" s="406" t="s">
        <v>13533</v>
      </c>
      <c r="G4825" s="386" t="s">
        <v>13639</v>
      </c>
      <c r="H4825" s="1" t="s">
        <v>13640</v>
      </c>
      <c r="K4825" s="386" t="s">
        <v>16908</v>
      </c>
      <c r="L4825" s="162" t="s">
        <v>16909</v>
      </c>
      <c r="M4825" s="162" t="s">
        <v>16910</v>
      </c>
      <c r="N4825" s="162">
        <v>6</v>
      </c>
      <c r="O4825" s="224">
        <v>6</v>
      </c>
      <c r="P4825" s="224">
        <v>6</v>
      </c>
      <c r="Q4825" s="224">
        <v>6</v>
      </c>
      <c r="R4825" s="224">
        <v>6</v>
      </c>
      <c r="S4825" s="224">
        <v>6</v>
      </c>
      <c r="T4825" s="223" t="s">
        <v>11817</v>
      </c>
      <c r="U4825" t="str">
        <f>VLOOKUP(T4825,[8]Votes!$A$1:$E$234,3,FALSE)</f>
        <v>109 Law Development Centre</v>
      </c>
      <c r="V4825" s="162" t="s">
        <v>16911</v>
      </c>
      <c r="W4825" s="407">
        <v>1</v>
      </c>
      <c r="X4825" s="407">
        <v>1</v>
      </c>
      <c r="Y4825" s="407">
        <v>0</v>
      </c>
      <c r="Z4825" s="407">
        <v>1</v>
      </c>
      <c r="AA4825" s="407">
        <v>1</v>
      </c>
      <c r="AB4825" s="407">
        <v>1</v>
      </c>
      <c r="AC4825" s="150">
        <v>0</v>
      </c>
      <c r="AD4825" s="150">
        <v>1</v>
      </c>
      <c r="AE4825" s="49">
        <f t="shared" si="172"/>
        <v>0.75</v>
      </c>
      <c r="AF4825" s="485"/>
      <c r="AG4825" s="17">
        <v>0</v>
      </c>
      <c r="AH4825" s="485">
        <v>10.962999999999999</v>
      </c>
      <c r="AI4825" s="485">
        <v>10.962999999999999</v>
      </c>
      <c r="AJ4825" s="485">
        <v>10.962999999999999</v>
      </c>
      <c r="AK4825" s="493">
        <v>5.0855290000000002</v>
      </c>
      <c r="AL4825" s="493">
        <v>5.0855290000000002</v>
      </c>
      <c r="AM4825" s="17">
        <f t="shared" si="173"/>
        <v>10.171058</v>
      </c>
      <c r="AN4825" s="162" t="s">
        <v>11817</v>
      </c>
      <c r="AO4825" s="162" t="s">
        <v>11818</v>
      </c>
    </row>
    <row r="4826" spans="1:41" s="162" customFormat="1" x14ac:dyDescent="0.3">
      <c r="A4826" s="536" t="s">
        <v>8321</v>
      </c>
      <c r="B4826" s="162" t="s">
        <v>8322</v>
      </c>
      <c r="C4826" s="168" t="s">
        <v>13637</v>
      </c>
      <c r="D4826" s="1" t="s">
        <v>6838</v>
      </c>
      <c r="E4826" s="406" t="s">
        <v>13638</v>
      </c>
      <c r="F4826" s="406" t="s">
        <v>13533</v>
      </c>
      <c r="G4826" s="386" t="s">
        <v>13639</v>
      </c>
      <c r="H4826" s="162" t="s">
        <v>13640</v>
      </c>
      <c r="K4826" s="386" t="s">
        <v>16495</v>
      </c>
      <c r="L4826" s="162" t="s">
        <v>14548</v>
      </c>
      <c r="M4826" s="162" t="s">
        <v>16867</v>
      </c>
      <c r="N4826" s="162">
        <v>4</v>
      </c>
      <c r="O4826" s="224">
        <v>4</v>
      </c>
      <c r="P4826" s="224">
        <v>4</v>
      </c>
      <c r="Q4826" s="224">
        <v>4</v>
      </c>
      <c r="R4826" s="224">
        <v>4</v>
      </c>
      <c r="S4826" s="224">
        <v>4</v>
      </c>
      <c r="T4826" s="223" t="s">
        <v>11817</v>
      </c>
      <c r="U4826" t="str">
        <f>VLOOKUP(T4826,[8]Votes!$A$1:$E$234,3,FALSE)</f>
        <v>109 Law Development Centre</v>
      </c>
      <c r="V4826" s="162" t="s">
        <v>16912</v>
      </c>
      <c r="W4826" s="407">
        <v>1</v>
      </c>
      <c r="X4826" s="407">
        <v>1</v>
      </c>
      <c r="Y4826" s="407">
        <v>0</v>
      </c>
      <c r="Z4826" s="407">
        <v>1</v>
      </c>
      <c r="AA4826" s="407">
        <v>1</v>
      </c>
      <c r="AB4826" s="407">
        <v>1</v>
      </c>
      <c r="AC4826" s="150">
        <v>0</v>
      </c>
      <c r="AD4826" s="150">
        <v>1</v>
      </c>
      <c r="AE4826" s="49">
        <f t="shared" si="172"/>
        <v>0.75</v>
      </c>
      <c r="AF4826" s="485"/>
      <c r="AG4826" s="17">
        <v>0</v>
      </c>
      <c r="AH4826" s="485">
        <v>1.46</v>
      </c>
      <c r="AI4826" s="485">
        <v>1.46</v>
      </c>
      <c r="AJ4826" s="485">
        <v>1.46</v>
      </c>
      <c r="AK4826" s="493">
        <v>1.50014</v>
      </c>
      <c r="AL4826" s="493">
        <v>1.50014</v>
      </c>
      <c r="AM4826" s="17">
        <f t="shared" si="173"/>
        <v>3.0002800000000001</v>
      </c>
      <c r="AN4826" s="162" t="s">
        <v>11817</v>
      </c>
      <c r="AO4826" s="162" t="s">
        <v>11818</v>
      </c>
    </row>
    <row r="4827" spans="1:41" s="162" customFormat="1" x14ac:dyDescent="0.3">
      <c r="A4827" s="536" t="s">
        <v>8321</v>
      </c>
      <c r="B4827" s="162" t="s">
        <v>8322</v>
      </c>
      <c r="C4827" s="168" t="s">
        <v>13637</v>
      </c>
      <c r="D4827" s="1" t="s">
        <v>6838</v>
      </c>
      <c r="E4827" s="406" t="s">
        <v>13638</v>
      </c>
      <c r="F4827" s="406" t="s">
        <v>13533</v>
      </c>
      <c r="G4827" s="386" t="s">
        <v>13639</v>
      </c>
      <c r="H4827" s="1" t="s">
        <v>13640</v>
      </c>
      <c r="K4827" s="162">
        <v>16760174</v>
      </c>
      <c r="L4827" s="162" t="s">
        <v>16913</v>
      </c>
      <c r="M4827" s="162" t="s">
        <v>16914</v>
      </c>
      <c r="N4827" s="462">
        <v>0.6</v>
      </c>
      <c r="O4827" s="492">
        <v>0.64</v>
      </c>
      <c r="P4827" s="492">
        <v>0.65</v>
      </c>
      <c r="Q4827" s="492">
        <v>0.68</v>
      </c>
      <c r="R4827" s="492">
        <v>0.7</v>
      </c>
      <c r="S4827" s="492">
        <v>0.72</v>
      </c>
      <c r="T4827" s="223" t="s">
        <v>11817</v>
      </c>
      <c r="U4827" t="str">
        <f>VLOOKUP(T4827,[8]Votes!$A$1:$E$234,3,FALSE)</f>
        <v>109 Law Development Centre</v>
      </c>
      <c r="V4827" s="162" t="s">
        <v>16915</v>
      </c>
      <c r="W4827" s="407">
        <v>1</v>
      </c>
      <c r="X4827" s="407">
        <v>1</v>
      </c>
      <c r="Y4827" s="407">
        <v>0</v>
      </c>
      <c r="Z4827" s="407">
        <v>1</v>
      </c>
      <c r="AA4827" s="407">
        <v>1</v>
      </c>
      <c r="AB4827" s="407">
        <v>1</v>
      </c>
      <c r="AC4827" s="150">
        <v>0</v>
      </c>
      <c r="AD4827" s="150">
        <v>1</v>
      </c>
      <c r="AE4827" s="49">
        <f t="shared" si="172"/>
        <v>0.75</v>
      </c>
      <c r="AF4827" s="485"/>
      <c r="AG4827" s="17">
        <v>0</v>
      </c>
      <c r="AH4827" s="485">
        <v>1.234</v>
      </c>
      <c r="AI4827" s="485">
        <v>1.234</v>
      </c>
      <c r="AJ4827" s="485">
        <v>1.234</v>
      </c>
      <c r="AK4827" s="493">
        <v>1.42296</v>
      </c>
      <c r="AL4827" s="493">
        <v>1.42296</v>
      </c>
      <c r="AM4827" s="17">
        <f t="shared" si="173"/>
        <v>2.84592</v>
      </c>
      <c r="AN4827" s="162" t="s">
        <v>11817</v>
      </c>
      <c r="AO4827" s="162" t="s">
        <v>11818</v>
      </c>
    </row>
    <row r="4828" spans="1:41" s="162" customFormat="1" x14ac:dyDescent="0.3">
      <c r="A4828" s="536" t="s">
        <v>8321</v>
      </c>
      <c r="B4828" s="162" t="s">
        <v>8322</v>
      </c>
      <c r="C4828" s="168" t="s">
        <v>13637</v>
      </c>
      <c r="D4828" s="162" t="s">
        <v>6838</v>
      </c>
      <c r="E4828" s="406" t="s">
        <v>13638</v>
      </c>
      <c r="F4828" s="406" t="s">
        <v>13533</v>
      </c>
      <c r="G4828" s="386" t="s">
        <v>13658</v>
      </c>
      <c r="H4828" s="162" t="s">
        <v>13659</v>
      </c>
      <c r="K4828" s="386" t="s">
        <v>16217</v>
      </c>
      <c r="L4828" s="162" t="s">
        <v>14521</v>
      </c>
      <c r="M4828" s="162" t="s">
        <v>16235</v>
      </c>
      <c r="N4828" s="162">
        <v>4</v>
      </c>
      <c r="O4828" s="224">
        <v>4</v>
      </c>
      <c r="P4828" s="224">
        <v>4</v>
      </c>
      <c r="Q4828" s="224">
        <v>4</v>
      </c>
      <c r="R4828" s="224">
        <v>4</v>
      </c>
      <c r="S4828" s="224">
        <v>4</v>
      </c>
      <c r="T4828" s="223" t="s">
        <v>3879</v>
      </c>
      <c r="U4828" t="str">
        <f>VLOOKUP(T4828,[8]Votes!$A$1:$E$234,3,FALSE)</f>
        <v>009 Ministry of Internal Affairs</v>
      </c>
      <c r="V4828" s="162" t="s">
        <v>16227</v>
      </c>
      <c r="W4828" s="407">
        <v>1</v>
      </c>
      <c r="X4828" s="407">
        <v>1</v>
      </c>
      <c r="Y4828" s="407">
        <v>1</v>
      </c>
      <c r="Z4828" s="407">
        <v>1</v>
      </c>
      <c r="AA4828" s="407">
        <v>1</v>
      </c>
      <c r="AB4828" s="407">
        <v>0</v>
      </c>
      <c r="AC4828" s="150">
        <v>1</v>
      </c>
      <c r="AD4828" s="150">
        <v>0</v>
      </c>
      <c r="AE4828" s="49">
        <f t="shared" si="172"/>
        <v>0.75</v>
      </c>
      <c r="AF4828" s="485"/>
      <c r="AG4828" s="17">
        <v>0</v>
      </c>
      <c r="AH4828" s="485">
        <v>0.5</v>
      </c>
      <c r="AI4828" s="485">
        <v>0.5</v>
      </c>
      <c r="AJ4828" s="485">
        <v>0.5</v>
      </c>
      <c r="AK4828" s="493">
        <v>0.5</v>
      </c>
      <c r="AL4828" s="493">
        <v>0.375</v>
      </c>
      <c r="AM4828" s="17">
        <f t="shared" si="173"/>
        <v>0.875</v>
      </c>
      <c r="AN4828" s="162" t="s">
        <v>3879</v>
      </c>
      <c r="AO4828" s="162" t="s">
        <v>3881</v>
      </c>
    </row>
    <row r="4829" spans="1:41" s="162" customFormat="1" x14ac:dyDescent="0.3">
      <c r="A4829" s="536" t="s">
        <v>8321</v>
      </c>
      <c r="B4829" s="162" t="s">
        <v>8322</v>
      </c>
      <c r="C4829" s="168" t="s">
        <v>13637</v>
      </c>
      <c r="D4829" s="162" t="s">
        <v>6838</v>
      </c>
      <c r="E4829" s="406" t="s">
        <v>13638</v>
      </c>
      <c r="F4829" s="406" t="s">
        <v>13533</v>
      </c>
      <c r="G4829" s="386" t="s">
        <v>13658</v>
      </c>
      <c r="H4829" s="162" t="s">
        <v>13659</v>
      </c>
      <c r="K4829" s="386" t="s">
        <v>16217</v>
      </c>
      <c r="L4829" s="162" t="s">
        <v>14521</v>
      </c>
      <c r="M4829" s="162" t="s">
        <v>16228</v>
      </c>
      <c r="N4829" s="162">
        <v>1</v>
      </c>
      <c r="O4829" s="224">
        <v>1</v>
      </c>
      <c r="P4829" s="224">
        <v>1</v>
      </c>
      <c r="Q4829" s="224">
        <v>1</v>
      </c>
      <c r="R4829" s="224">
        <v>1</v>
      </c>
      <c r="S4829" s="224">
        <v>1</v>
      </c>
      <c r="T4829" s="223" t="s">
        <v>3879</v>
      </c>
      <c r="U4829" t="str">
        <f>VLOOKUP(T4829,[8]Votes!$A$1:$E$234,3,FALSE)</f>
        <v>009 Ministry of Internal Affairs</v>
      </c>
      <c r="V4829" s="162" t="s">
        <v>16916</v>
      </c>
      <c r="W4829" s="407">
        <v>1</v>
      </c>
      <c r="X4829" s="407">
        <v>1</v>
      </c>
      <c r="Y4829" s="407">
        <v>1</v>
      </c>
      <c r="Z4829" s="407">
        <v>1</v>
      </c>
      <c r="AA4829" s="407">
        <v>1</v>
      </c>
      <c r="AB4829" s="407">
        <v>0</v>
      </c>
      <c r="AC4829" s="150">
        <v>1</v>
      </c>
      <c r="AD4829" s="150">
        <v>0</v>
      </c>
      <c r="AE4829" s="49">
        <f t="shared" si="172"/>
        <v>0.75</v>
      </c>
      <c r="AF4829" s="485"/>
      <c r="AG4829" s="17">
        <v>0</v>
      </c>
      <c r="AH4829" s="485">
        <v>0.5</v>
      </c>
      <c r="AI4829" s="485">
        <v>0.5</v>
      </c>
      <c r="AJ4829" s="485">
        <v>0.5</v>
      </c>
      <c r="AK4829" s="493">
        <v>0.5</v>
      </c>
      <c r="AL4829" s="493">
        <v>0.375</v>
      </c>
      <c r="AM4829" s="17">
        <f t="shared" si="173"/>
        <v>0.875</v>
      </c>
      <c r="AN4829" s="162" t="s">
        <v>3879</v>
      </c>
      <c r="AO4829" s="162" t="s">
        <v>3881</v>
      </c>
    </row>
    <row r="4830" spans="1:41" s="162" customFormat="1" x14ac:dyDescent="0.3">
      <c r="A4830" s="536" t="s">
        <v>8321</v>
      </c>
      <c r="B4830" s="162" t="s">
        <v>8322</v>
      </c>
      <c r="C4830" s="168" t="s">
        <v>13637</v>
      </c>
      <c r="D4830" s="162" t="s">
        <v>6838</v>
      </c>
      <c r="E4830" s="406" t="s">
        <v>13638</v>
      </c>
      <c r="F4830" s="406" t="s">
        <v>13533</v>
      </c>
      <c r="G4830" s="386" t="s">
        <v>13658</v>
      </c>
      <c r="H4830" s="162" t="s">
        <v>13659</v>
      </c>
      <c r="K4830" s="386" t="s">
        <v>16217</v>
      </c>
      <c r="L4830" s="162" t="s">
        <v>14521</v>
      </c>
      <c r="M4830" s="162" t="s">
        <v>16230</v>
      </c>
      <c r="N4830" s="162">
        <v>1</v>
      </c>
      <c r="O4830" s="224">
        <v>1</v>
      </c>
      <c r="P4830" s="224">
        <v>1</v>
      </c>
      <c r="Q4830" s="224">
        <v>1</v>
      </c>
      <c r="R4830" s="224">
        <v>1</v>
      </c>
      <c r="S4830" s="224">
        <v>1</v>
      </c>
      <c r="T4830" s="223" t="s">
        <v>3879</v>
      </c>
      <c r="U4830" t="str">
        <f>VLOOKUP(T4830,[8]Votes!$A$1:$E$234,3,FALSE)</f>
        <v>009 Ministry of Internal Affairs</v>
      </c>
      <c r="V4830" s="162" t="s">
        <v>16917</v>
      </c>
      <c r="W4830" s="407">
        <v>1</v>
      </c>
      <c r="X4830" s="407">
        <v>1</v>
      </c>
      <c r="Y4830" s="407">
        <v>1</v>
      </c>
      <c r="Z4830" s="407">
        <v>1</v>
      </c>
      <c r="AA4830" s="407">
        <v>1</v>
      </c>
      <c r="AB4830" s="407">
        <v>0</v>
      </c>
      <c r="AC4830" s="150">
        <v>1</v>
      </c>
      <c r="AD4830" s="150">
        <v>0</v>
      </c>
      <c r="AE4830" s="49">
        <f t="shared" si="172"/>
        <v>0.75</v>
      </c>
      <c r="AF4830" s="485"/>
      <c r="AG4830" s="17">
        <v>0</v>
      </c>
      <c r="AH4830" s="485">
        <v>0.5</v>
      </c>
      <c r="AI4830" s="485">
        <v>0.5</v>
      </c>
      <c r="AJ4830" s="485">
        <v>0.5</v>
      </c>
      <c r="AK4830" s="493">
        <v>0.5</v>
      </c>
      <c r="AL4830" s="493">
        <v>0.375</v>
      </c>
      <c r="AM4830" s="17">
        <f t="shared" si="173"/>
        <v>0.875</v>
      </c>
      <c r="AN4830" s="162" t="s">
        <v>3879</v>
      </c>
      <c r="AO4830" s="162" t="s">
        <v>3881</v>
      </c>
    </row>
    <row r="4831" spans="1:41" s="162" customFormat="1" x14ac:dyDescent="0.3">
      <c r="A4831" s="536" t="s">
        <v>8321</v>
      </c>
      <c r="B4831" s="162" t="s">
        <v>8322</v>
      </c>
      <c r="C4831" s="168" t="s">
        <v>13637</v>
      </c>
      <c r="D4831" s="162" t="s">
        <v>6838</v>
      </c>
      <c r="E4831" s="406" t="s">
        <v>13638</v>
      </c>
      <c r="F4831" s="406" t="s">
        <v>13533</v>
      </c>
      <c r="G4831" s="386" t="s">
        <v>13658</v>
      </c>
      <c r="H4831" s="162" t="s">
        <v>13659</v>
      </c>
      <c r="K4831" s="386" t="s">
        <v>16217</v>
      </c>
      <c r="L4831" s="162" t="s">
        <v>16918</v>
      </c>
      <c r="M4831" s="162" t="s">
        <v>16919</v>
      </c>
      <c r="O4831" s="224">
        <v>8</v>
      </c>
      <c r="P4831" s="224">
        <v>8</v>
      </c>
      <c r="Q4831" s="224">
        <v>8</v>
      </c>
      <c r="R4831" s="224">
        <v>8</v>
      </c>
      <c r="S4831" s="224">
        <v>8</v>
      </c>
      <c r="T4831" s="223" t="s">
        <v>13755</v>
      </c>
      <c r="U4831" t="str">
        <f>VLOOKUP(T4831,[8]Votes!$A$1:$E$234,3,FALSE)</f>
        <v>159 External Security Organisation</v>
      </c>
      <c r="V4831" s="162" t="s">
        <v>16920</v>
      </c>
      <c r="W4831" s="407">
        <v>1</v>
      </c>
      <c r="X4831" s="407">
        <v>0</v>
      </c>
      <c r="Y4831" s="407">
        <v>0</v>
      </c>
      <c r="Z4831" s="407">
        <v>1</v>
      </c>
      <c r="AA4831" s="407">
        <v>1</v>
      </c>
      <c r="AB4831" s="407">
        <v>0</v>
      </c>
      <c r="AC4831" s="150">
        <v>0</v>
      </c>
      <c r="AD4831" s="150">
        <v>1</v>
      </c>
      <c r="AE4831" s="49">
        <f t="shared" si="172"/>
        <v>0.5</v>
      </c>
      <c r="AF4831" s="485"/>
      <c r="AG4831" s="17">
        <v>0</v>
      </c>
      <c r="AH4831" s="485">
        <v>7.0000000000000007E-2</v>
      </c>
      <c r="AI4831" s="485">
        <v>0.105</v>
      </c>
      <c r="AJ4831" s="485">
        <v>0.16</v>
      </c>
      <c r="AK4831" s="493">
        <v>0.24</v>
      </c>
      <c r="AL4831" s="493">
        <v>0.35</v>
      </c>
      <c r="AM4831" s="17">
        <f t="shared" si="173"/>
        <v>0.59</v>
      </c>
      <c r="AN4831" s="162" t="s">
        <v>13755</v>
      </c>
      <c r="AO4831" s="162" t="s">
        <v>13757</v>
      </c>
    </row>
    <row r="4832" spans="1:41" s="162" customFormat="1" x14ac:dyDescent="0.3">
      <c r="A4832" s="536" t="s">
        <v>8321</v>
      </c>
      <c r="B4832" s="162" t="s">
        <v>8322</v>
      </c>
      <c r="C4832" s="168" t="s">
        <v>13637</v>
      </c>
      <c r="D4832" s="162" t="s">
        <v>6838</v>
      </c>
      <c r="E4832" s="406" t="s">
        <v>13638</v>
      </c>
      <c r="F4832" s="406" t="s">
        <v>13533</v>
      </c>
      <c r="G4832" s="386" t="s">
        <v>13658</v>
      </c>
      <c r="H4832" s="162" t="s">
        <v>13659</v>
      </c>
      <c r="K4832" s="386" t="s">
        <v>16217</v>
      </c>
      <c r="L4832" s="162" t="s">
        <v>14521</v>
      </c>
      <c r="M4832" s="162" t="s">
        <v>16281</v>
      </c>
      <c r="N4832" s="162">
        <v>1</v>
      </c>
      <c r="O4832" s="224"/>
      <c r="P4832" s="224"/>
      <c r="Q4832" s="224"/>
      <c r="R4832" s="224"/>
      <c r="S4832" s="224">
        <v>1</v>
      </c>
      <c r="T4832" s="223" t="s">
        <v>3879</v>
      </c>
      <c r="U4832" t="str">
        <f>VLOOKUP(T4832,[8]Votes!$A$1:$E$234,3,FALSE)</f>
        <v>009 Ministry of Internal Affairs</v>
      </c>
      <c r="V4832" s="162" t="s">
        <v>16238</v>
      </c>
      <c r="W4832" s="407">
        <v>1</v>
      </c>
      <c r="X4832" s="407">
        <v>1</v>
      </c>
      <c r="Y4832" s="407">
        <v>1</v>
      </c>
      <c r="Z4832" s="407">
        <v>1</v>
      </c>
      <c r="AA4832" s="407">
        <v>1</v>
      </c>
      <c r="AB4832" s="407">
        <v>0</v>
      </c>
      <c r="AC4832" s="150">
        <v>1</v>
      </c>
      <c r="AD4832" s="150">
        <v>0</v>
      </c>
      <c r="AE4832" s="49">
        <f t="shared" si="172"/>
        <v>0.75</v>
      </c>
      <c r="AF4832" s="190"/>
      <c r="AG4832" s="17">
        <v>0</v>
      </c>
      <c r="AH4832" s="190">
        <v>0</v>
      </c>
      <c r="AI4832" s="190">
        <v>0</v>
      </c>
      <c r="AJ4832" s="190">
        <v>0</v>
      </c>
      <c r="AK4832" s="191">
        <v>0</v>
      </c>
      <c r="AL4832" s="493">
        <v>0.375</v>
      </c>
      <c r="AM4832" s="17">
        <f t="shared" si="173"/>
        <v>0.375</v>
      </c>
      <c r="AN4832" s="162" t="s">
        <v>3879</v>
      </c>
      <c r="AO4832" s="162" t="s">
        <v>3881</v>
      </c>
    </row>
    <row r="4833" spans="1:41" s="162" customFormat="1" x14ac:dyDescent="0.3">
      <c r="A4833" s="536" t="s">
        <v>8321</v>
      </c>
      <c r="B4833" s="162" t="s">
        <v>8322</v>
      </c>
      <c r="C4833" s="168" t="s">
        <v>13637</v>
      </c>
      <c r="D4833" s="162" t="s">
        <v>6838</v>
      </c>
      <c r="E4833" s="406" t="s">
        <v>13638</v>
      </c>
      <c r="F4833" s="406" t="s">
        <v>13533</v>
      </c>
      <c r="G4833" s="386" t="s">
        <v>13658</v>
      </c>
      <c r="H4833" s="162" t="s">
        <v>13659</v>
      </c>
      <c r="K4833" s="386" t="s">
        <v>16274</v>
      </c>
      <c r="L4833" s="162" t="s">
        <v>14525</v>
      </c>
      <c r="M4833" s="162" t="s">
        <v>16921</v>
      </c>
      <c r="N4833" s="162">
        <v>4</v>
      </c>
      <c r="O4833" s="224">
        <v>4</v>
      </c>
      <c r="P4833" s="224">
        <v>4</v>
      </c>
      <c r="Q4833" s="224">
        <v>4</v>
      </c>
      <c r="R4833" s="224">
        <v>4</v>
      </c>
      <c r="S4833" s="224">
        <v>4</v>
      </c>
      <c r="T4833" s="223" t="s">
        <v>3879</v>
      </c>
      <c r="U4833" t="str">
        <f>VLOOKUP(T4833,[8]Votes!$A$1:$E$234,3,FALSE)</f>
        <v>009 Ministry of Internal Affairs</v>
      </c>
      <c r="V4833" s="162" t="s">
        <v>16922</v>
      </c>
      <c r="W4833" s="407">
        <v>1</v>
      </c>
      <c r="X4833" s="407">
        <v>1</v>
      </c>
      <c r="Y4833" s="407">
        <v>1</v>
      </c>
      <c r="Z4833" s="407">
        <v>1</v>
      </c>
      <c r="AA4833" s="407">
        <v>1</v>
      </c>
      <c r="AB4833" s="407">
        <v>0</v>
      </c>
      <c r="AC4833" s="150">
        <v>1</v>
      </c>
      <c r="AD4833" s="150">
        <v>0</v>
      </c>
      <c r="AE4833" s="49">
        <f t="shared" si="172"/>
        <v>0.75</v>
      </c>
      <c r="AF4833" s="485"/>
      <c r="AG4833" s="17">
        <v>0</v>
      </c>
      <c r="AH4833" s="485">
        <v>0.6</v>
      </c>
      <c r="AI4833" s="485">
        <v>0.78900000000000003</v>
      </c>
      <c r="AJ4833" s="485">
        <v>0.8</v>
      </c>
      <c r="AK4833" s="493">
        <v>0.9</v>
      </c>
      <c r="AL4833" s="493">
        <v>1</v>
      </c>
      <c r="AM4833" s="17">
        <f t="shared" si="173"/>
        <v>1.9</v>
      </c>
      <c r="AN4833" s="162" t="s">
        <v>3879</v>
      </c>
      <c r="AO4833" s="162" t="s">
        <v>3881</v>
      </c>
    </row>
    <row r="4834" spans="1:41" s="162" customFormat="1" x14ac:dyDescent="0.3">
      <c r="A4834" s="536" t="s">
        <v>8321</v>
      </c>
      <c r="B4834" s="162" t="s">
        <v>8322</v>
      </c>
      <c r="C4834" s="168" t="s">
        <v>13637</v>
      </c>
      <c r="D4834" s="162" t="s">
        <v>6838</v>
      </c>
      <c r="E4834" s="406" t="s">
        <v>13638</v>
      </c>
      <c r="F4834" s="406" t="s">
        <v>13533</v>
      </c>
      <c r="G4834" s="386" t="s">
        <v>13639</v>
      </c>
      <c r="H4834" s="162" t="s">
        <v>13640</v>
      </c>
      <c r="K4834" s="386" t="s">
        <v>16617</v>
      </c>
      <c r="L4834" s="162" t="s">
        <v>14529</v>
      </c>
      <c r="M4834" s="162" t="s">
        <v>16923</v>
      </c>
      <c r="N4834" s="162">
        <v>4</v>
      </c>
      <c r="O4834" s="224">
        <v>4</v>
      </c>
      <c r="P4834" s="224">
        <v>4</v>
      </c>
      <c r="Q4834" s="224">
        <v>4</v>
      </c>
      <c r="R4834" s="224">
        <v>4</v>
      </c>
      <c r="S4834" s="224">
        <v>4</v>
      </c>
      <c r="T4834" s="223" t="s">
        <v>3879</v>
      </c>
      <c r="U4834" t="str">
        <f>VLOOKUP(T4834,[8]Votes!$A$1:$E$234,3,FALSE)</f>
        <v>009 Ministry of Internal Affairs</v>
      </c>
      <c r="V4834" s="162" t="s">
        <v>16288</v>
      </c>
      <c r="W4834" s="407">
        <v>1</v>
      </c>
      <c r="X4834" s="407">
        <v>1</v>
      </c>
      <c r="Y4834" s="407">
        <v>1</v>
      </c>
      <c r="Z4834" s="407">
        <v>1</v>
      </c>
      <c r="AA4834" s="407">
        <v>1</v>
      </c>
      <c r="AB4834" s="407">
        <v>0</v>
      </c>
      <c r="AC4834" s="150">
        <v>1</v>
      </c>
      <c r="AD4834" s="150">
        <v>0</v>
      </c>
      <c r="AE4834" s="49">
        <f t="shared" si="172"/>
        <v>0.75</v>
      </c>
      <c r="AF4834" s="485"/>
      <c r="AG4834" s="17">
        <v>0</v>
      </c>
      <c r="AH4834" s="485">
        <v>0.13500000000000001</v>
      </c>
      <c r="AI4834" s="485">
        <v>0.13500000000000001</v>
      </c>
      <c r="AJ4834" s="485">
        <v>0.2</v>
      </c>
      <c r="AK4834" s="493">
        <v>0.2</v>
      </c>
      <c r="AL4834" s="493">
        <v>0.2</v>
      </c>
      <c r="AM4834" s="17">
        <f t="shared" si="173"/>
        <v>0.4</v>
      </c>
      <c r="AN4834" s="162" t="s">
        <v>3879</v>
      </c>
      <c r="AO4834" s="162" t="s">
        <v>3881</v>
      </c>
    </row>
    <row r="4835" spans="1:41" s="162" customFormat="1" x14ac:dyDescent="0.3">
      <c r="A4835" s="536" t="s">
        <v>8321</v>
      </c>
      <c r="B4835" s="162" t="s">
        <v>8322</v>
      </c>
      <c r="C4835" s="168" t="s">
        <v>13637</v>
      </c>
      <c r="D4835" s="162" t="s">
        <v>6838</v>
      </c>
      <c r="E4835" s="406" t="s">
        <v>13638</v>
      </c>
      <c r="F4835" s="406" t="s">
        <v>13533</v>
      </c>
      <c r="G4835" s="386" t="s">
        <v>13658</v>
      </c>
      <c r="H4835" s="162" t="s">
        <v>13659</v>
      </c>
      <c r="K4835" s="536" t="s">
        <v>16834</v>
      </c>
      <c r="L4835" s="162" t="s">
        <v>14508</v>
      </c>
      <c r="M4835" s="162" t="s">
        <v>12738</v>
      </c>
      <c r="N4835" s="162">
        <v>0</v>
      </c>
      <c r="O4835" s="224">
        <v>0</v>
      </c>
      <c r="P4835" s="224">
        <v>0</v>
      </c>
      <c r="Q4835" s="224">
        <v>1</v>
      </c>
      <c r="R4835" s="224">
        <v>1</v>
      </c>
      <c r="S4835" s="224">
        <v>1</v>
      </c>
      <c r="T4835" s="223" t="s">
        <v>3879</v>
      </c>
      <c r="U4835" t="str">
        <f>VLOOKUP(T4835,[8]Votes!$A$1:$E$234,3,FALSE)</f>
        <v>009 Ministry of Internal Affairs</v>
      </c>
      <c r="V4835" s="162" t="s">
        <v>16924</v>
      </c>
      <c r="W4835" s="407">
        <v>1</v>
      </c>
      <c r="X4835" s="407">
        <v>1</v>
      </c>
      <c r="Y4835" s="407">
        <v>1</v>
      </c>
      <c r="Z4835" s="407">
        <v>1</v>
      </c>
      <c r="AA4835" s="407">
        <v>1</v>
      </c>
      <c r="AB4835" s="407">
        <v>0</v>
      </c>
      <c r="AC4835" s="150">
        <v>1</v>
      </c>
      <c r="AD4835" s="150">
        <v>0</v>
      </c>
      <c r="AE4835" s="49">
        <f t="shared" si="172"/>
        <v>0.75</v>
      </c>
      <c r="AF4835" s="190"/>
      <c r="AG4835" s="17">
        <v>0</v>
      </c>
      <c r="AH4835" s="190">
        <v>0</v>
      </c>
      <c r="AI4835" s="190">
        <v>0</v>
      </c>
      <c r="AJ4835" s="485">
        <v>0.32</v>
      </c>
      <c r="AK4835" s="493">
        <v>0.5</v>
      </c>
      <c r="AL4835" s="493">
        <v>0.5</v>
      </c>
      <c r="AM4835" s="17">
        <f t="shared" si="173"/>
        <v>1</v>
      </c>
      <c r="AN4835" s="162" t="s">
        <v>3879</v>
      </c>
      <c r="AO4835" s="162" t="s">
        <v>3881</v>
      </c>
    </row>
    <row r="4836" spans="1:41" s="162" customFormat="1" x14ac:dyDescent="0.3">
      <c r="A4836" s="536" t="s">
        <v>8321</v>
      </c>
      <c r="B4836" s="162" t="s">
        <v>8322</v>
      </c>
      <c r="C4836" s="168" t="s">
        <v>13637</v>
      </c>
      <c r="D4836" s="162" t="s">
        <v>6838</v>
      </c>
      <c r="E4836" s="406" t="s">
        <v>13638</v>
      </c>
      <c r="F4836" s="406" t="s">
        <v>13533</v>
      </c>
      <c r="G4836" s="386" t="s">
        <v>13639</v>
      </c>
      <c r="H4836" s="162" t="s">
        <v>13640</v>
      </c>
      <c r="K4836" s="162">
        <v>16760175</v>
      </c>
      <c r="L4836" s="162" t="s">
        <v>16925</v>
      </c>
      <c r="M4836" s="162" t="s">
        <v>16926</v>
      </c>
      <c r="N4836" s="162">
        <v>12</v>
      </c>
      <c r="O4836" s="224">
        <v>12</v>
      </c>
      <c r="P4836" s="224">
        <v>12</v>
      </c>
      <c r="Q4836" s="224">
        <v>12</v>
      </c>
      <c r="R4836" s="224">
        <v>12</v>
      </c>
      <c r="S4836" s="224">
        <v>4</v>
      </c>
      <c r="T4836" s="223" t="s">
        <v>3879</v>
      </c>
      <c r="U4836" t="str">
        <f>VLOOKUP(T4836,[8]Votes!$A$1:$E$234,3,FALSE)</f>
        <v>009 Ministry of Internal Affairs</v>
      </c>
      <c r="V4836" s="162" t="s">
        <v>16927</v>
      </c>
      <c r="W4836" s="407">
        <v>1</v>
      </c>
      <c r="X4836" s="407">
        <v>1</v>
      </c>
      <c r="Y4836" s="407">
        <v>1</v>
      </c>
      <c r="Z4836" s="407">
        <v>1</v>
      </c>
      <c r="AA4836" s="407">
        <v>1</v>
      </c>
      <c r="AB4836" s="407">
        <v>0</v>
      </c>
      <c r="AC4836" s="150">
        <v>1</v>
      </c>
      <c r="AD4836" s="150">
        <v>0</v>
      </c>
      <c r="AE4836" s="49">
        <f t="shared" si="172"/>
        <v>0.75</v>
      </c>
      <c r="AF4836" s="485"/>
      <c r="AG4836" s="17">
        <v>0</v>
      </c>
      <c r="AH4836" s="485">
        <v>1.641</v>
      </c>
      <c r="AI4836" s="485">
        <v>1.641</v>
      </c>
      <c r="AJ4836" s="485">
        <v>1.641</v>
      </c>
      <c r="AK4836" s="493">
        <v>1.641</v>
      </c>
      <c r="AL4836" s="493">
        <v>1.641</v>
      </c>
      <c r="AM4836" s="17">
        <f t="shared" si="173"/>
        <v>3.282</v>
      </c>
      <c r="AN4836" s="162" t="s">
        <v>3879</v>
      </c>
      <c r="AO4836" s="162" t="s">
        <v>3881</v>
      </c>
    </row>
    <row r="4837" spans="1:41" s="162" customFormat="1" x14ac:dyDescent="0.3">
      <c r="A4837" s="536" t="s">
        <v>8321</v>
      </c>
      <c r="B4837" s="162" t="s">
        <v>8322</v>
      </c>
      <c r="C4837" s="168" t="s">
        <v>13637</v>
      </c>
      <c r="D4837" s="162" t="s">
        <v>6838</v>
      </c>
      <c r="E4837" s="406" t="s">
        <v>13638</v>
      </c>
      <c r="F4837" s="406" t="s">
        <v>13533</v>
      </c>
      <c r="G4837" s="386" t="s">
        <v>13639</v>
      </c>
      <c r="H4837" s="162" t="s">
        <v>13640</v>
      </c>
      <c r="K4837" s="162">
        <v>16760176</v>
      </c>
      <c r="L4837" s="162" t="s">
        <v>16928</v>
      </c>
      <c r="M4837" s="162" t="s">
        <v>16929</v>
      </c>
      <c r="N4837" s="162">
        <v>0</v>
      </c>
      <c r="O4837" s="492">
        <v>0.25</v>
      </c>
      <c r="P4837" s="492">
        <v>0.5</v>
      </c>
      <c r="Q4837" s="492">
        <v>0.75</v>
      </c>
      <c r="R4837" s="492">
        <v>0.9</v>
      </c>
      <c r="S4837" s="492">
        <v>1</v>
      </c>
      <c r="T4837" s="223" t="s">
        <v>3879</v>
      </c>
      <c r="U4837" t="str">
        <f>VLOOKUP(T4837,[8]Votes!$A$1:$E$234,3,FALSE)</f>
        <v>009 Ministry of Internal Affairs</v>
      </c>
      <c r="V4837" s="162" t="s">
        <v>16930</v>
      </c>
      <c r="W4837" s="407">
        <v>1</v>
      </c>
      <c r="X4837" s="407">
        <v>1</v>
      </c>
      <c r="Y4837" s="407">
        <v>1</v>
      </c>
      <c r="Z4837" s="407">
        <v>1</v>
      </c>
      <c r="AA4837" s="407">
        <v>1</v>
      </c>
      <c r="AB4837" s="407">
        <v>0</v>
      </c>
      <c r="AC4837" s="150">
        <v>1</v>
      </c>
      <c r="AD4837" s="150">
        <v>0</v>
      </c>
      <c r="AE4837" s="49">
        <f t="shared" si="172"/>
        <v>0.75</v>
      </c>
      <c r="AF4837" s="485"/>
      <c r="AG4837" s="17">
        <v>0</v>
      </c>
      <c r="AH4837" s="485">
        <v>1.7</v>
      </c>
      <c r="AI4837" s="485">
        <v>1</v>
      </c>
      <c r="AJ4837" s="485">
        <v>1</v>
      </c>
      <c r="AK4837" s="493">
        <v>1.7</v>
      </c>
      <c r="AL4837" s="493">
        <v>1</v>
      </c>
      <c r="AM4837" s="17">
        <f t="shared" si="173"/>
        <v>2.7</v>
      </c>
      <c r="AN4837" s="162" t="s">
        <v>3879</v>
      </c>
      <c r="AO4837" s="162" t="s">
        <v>3881</v>
      </c>
    </row>
    <row r="4838" spans="1:41" s="162" customFormat="1" x14ac:dyDescent="0.3">
      <c r="A4838" s="536" t="s">
        <v>8321</v>
      </c>
      <c r="B4838" s="162" t="s">
        <v>8322</v>
      </c>
      <c r="C4838" s="168" t="s">
        <v>13637</v>
      </c>
      <c r="D4838" s="162" t="s">
        <v>6838</v>
      </c>
      <c r="E4838" s="406" t="s">
        <v>13638</v>
      </c>
      <c r="F4838" s="406" t="s">
        <v>13533</v>
      </c>
      <c r="G4838" s="386" t="s">
        <v>13639</v>
      </c>
      <c r="H4838" s="162" t="s">
        <v>13640</v>
      </c>
      <c r="K4838" s="386" t="s">
        <v>16495</v>
      </c>
      <c r="L4838" s="162" t="s">
        <v>14548</v>
      </c>
      <c r="M4838" s="162" t="s">
        <v>16931</v>
      </c>
      <c r="N4838" s="162">
        <v>4</v>
      </c>
      <c r="O4838" s="224">
        <v>4</v>
      </c>
      <c r="P4838" s="224">
        <v>4</v>
      </c>
      <c r="Q4838" s="224">
        <v>4</v>
      </c>
      <c r="R4838" s="224">
        <v>4</v>
      </c>
      <c r="S4838" s="224">
        <v>4</v>
      </c>
      <c r="T4838" s="223" t="s">
        <v>3879</v>
      </c>
      <c r="U4838" t="str">
        <f>VLOOKUP(T4838,[8]Votes!$A$1:$E$234,3,FALSE)</f>
        <v>009 Ministry of Internal Affairs</v>
      </c>
      <c r="V4838" s="162" t="s">
        <v>16545</v>
      </c>
      <c r="W4838" s="407">
        <v>1</v>
      </c>
      <c r="X4838" s="407">
        <v>1</v>
      </c>
      <c r="Y4838" s="407">
        <v>1</v>
      </c>
      <c r="Z4838" s="407">
        <v>1</v>
      </c>
      <c r="AA4838" s="407">
        <v>1</v>
      </c>
      <c r="AB4838" s="407">
        <v>0</v>
      </c>
      <c r="AC4838" s="150">
        <v>1</v>
      </c>
      <c r="AD4838" s="150">
        <v>0</v>
      </c>
      <c r="AE4838" s="49">
        <f t="shared" si="172"/>
        <v>0.75</v>
      </c>
      <c r="AF4838" s="190"/>
      <c r="AG4838" s="17">
        <v>0</v>
      </c>
      <c r="AH4838" s="190">
        <v>0</v>
      </c>
      <c r="AI4838" s="485">
        <v>0.108</v>
      </c>
      <c r="AJ4838" s="485">
        <v>0.108</v>
      </c>
      <c r="AK4838" s="493">
        <v>0.108</v>
      </c>
      <c r="AL4838" s="493">
        <v>0.108</v>
      </c>
      <c r="AM4838" s="17">
        <f t="shared" si="173"/>
        <v>0.216</v>
      </c>
      <c r="AN4838" s="162" t="s">
        <v>3879</v>
      </c>
      <c r="AO4838" s="162" t="s">
        <v>3881</v>
      </c>
    </row>
    <row r="4839" spans="1:41" s="162" customFormat="1" x14ac:dyDescent="0.3">
      <c r="A4839" s="536" t="s">
        <v>8321</v>
      </c>
      <c r="B4839" s="162" t="s">
        <v>8322</v>
      </c>
      <c r="C4839" s="168" t="s">
        <v>13637</v>
      </c>
      <c r="D4839" s="162" t="s">
        <v>6838</v>
      </c>
      <c r="E4839" s="406" t="s">
        <v>13638</v>
      </c>
      <c r="F4839" s="406" t="s">
        <v>13533</v>
      </c>
      <c r="G4839" s="386" t="s">
        <v>13639</v>
      </c>
      <c r="H4839" s="162" t="s">
        <v>13640</v>
      </c>
      <c r="K4839" s="386" t="s">
        <v>16521</v>
      </c>
      <c r="L4839" s="162" t="s">
        <v>16522</v>
      </c>
      <c r="M4839" s="162" t="s">
        <v>16932</v>
      </c>
      <c r="N4839" s="462">
        <v>1</v>
      </c>
      <c r="O4839" s="492">
        <v>1</v>
      </c>
      <c r="P4839" s="492">
        <v>1</v>
      </c>
      <c r="Q4839" s="492">
        <v>1</v>
      </c>
      <c r="R4839" s="492">
        <v>1</v>
      </c>
      <c r="S4839" s="492">
        <v>1</v>
      </c>
      <c r="T4839" s="223" t="s">
        <v>3879</v>
      </c>
      <c r="U4839" t="str">
        <f>VLOOKUP(T4839,[8]Votes!$A$1:$E$234,3,FALSE)</f>
        <v>009 Ministry of Internal Affairs</v>
      </c>
      <c r="V4839" s="162" t="s">
        <v>16933</v>
      </c>
      <c r="W4839" s="407">
        <v>1</v>
      </c>
      <c r="X4839" s="407">
        <v>1</v>
      </c>
      <c r="Y4839" s="407">
        <v>1</v>
      </c>
      <c r="Z4839" s="407">
        <v>1</v>
      </c>
      <c r="AA4839" s="407">
        <v>1</v>
      </c>
      <c r="AB4839" s="407">
        <v>0</v>
      </c>
      <c r="AC4839" s="150">
        <v>1</v>
      </c>
      <c r="AD4839" s="150">
        <v>0</v>
      </c>
      <c r="AE4839" s="49">
        <f t="shared" si="172"/>
        <v>0.75</v>
      </c>
      <c r="AF4839" s="485"/>
      <c r="AG4839" s="17">
        <v>0</v>
      </c>
      <c r="AH4839" s="485">
        <v>0.65600000000000003</v>
      </c>
      <c r="AI4839" s="485">
        <v>0.65600000000000003</v>
      </c>
      <c r="AJ4839" s="485">
        <v>0.65600000000000003</v>
      </c>
      <c r="AK4839" s="493">
        <v>0.65600000000000003</v>
      </c>
      <c r="AL4839" s="493">
        <v>0.65600000000000003</v>
      </c>
      <c r="AM4839" s="17">
        <f t="shared" si="173"/>
        <v>1.3120000000000001</v>
      </c>
      <c r="AN4839" s="162" t="s">
        <v>3879</v>
      </c>
      <c r="AO4839" s="162" t="s">
        <v>3881</v>
      </c>
    </row>
    <row r="4840" spans="1:41" s="162" customFormat="1" x14ac:dyDescent="0.3">
      <c r="A4840" s="536" t="s">
        <v>8321</v>
      </c>
      <c r="B4840" s="162" t="s">
        <v>8322</v>
      </c>
      <c r="C4840" s="168" t="s">
        <v>13637</v>
      </c>
      <c r="D4840" s="162" t="s">
        <v>6838</v>
      </c>
      <c r="E4840" s="406" t="s">
        <v>13638</v>
      </c>
      <c r="F4840" s="406" t="s">
        <v>13533</v>
      </c>
      <c r="G4840" s="386" t="s">
        <v>13658</v>
      </c>
      <c r="H4840" s="162" t="s">
        <v>13659</v>
      </c>
      <c r="K4840" s="536" t="s">
        <v>16934</v>
      </c>
      <c r="L4840" s="162" t="s">
        <v>16935</v>
      </c>
      <c r="M4840" s="162" t="s">
        <v>16936</v>
      </c>
      <c r="N4840" s="162">
        <v>1</v>
      </c>
      <c r="O4840" s="224">
        <v>1</v>
      </c>
      <c r="P4840" s="224">
        <v>1</v>
      </c>
      <c r="Q4840" s="224">
        <v>1</v>
      </c>
      <c r="R4840" s="224">
        <v>1</v>
      </c>
      <c r="S4840" s="224">
        <v>1</v>
      </c>
      <c r="T4840" s="223" t="s">
        <v>3879</v>
      </c>
      <c r="U4840" t="str">
        <f>VLOOKUP(T4840,[8]Votes!$A$1:$E$234,3,FALSE)</f>
        <v>009 Ministry of Internal Affairs</v>
      </c>
      <c r="V4840" s="162" t="s">
        <v>16937</v>
      </c>
      <c r="W4840" s="407">
        <v>1</v>
      </c>
      <c r="X4840" s="407">
        <v>1</v>
      </c>
      <c r="Y4840" s="407">
        <v>1</v>
      </c>
      <c r="Z4840" s="407">
        <v>1</v>
      </c>
      <c r="AA4840" s="407">
        <v>1</v>
      </c>
      <c r="AB4840" s="407">
        <v>0</v>
      </c>
      <c r="AC4840" s="150">
        <v>1</v>
      </c>
      <c r="AD4840" s="150">
        <v>0</v>
      </c>
      <c r="AE4840" s="49">
        <f t="shared" si="172"/>
        <v>0.75</v>
      </c>
      <c r="AF4840" s="485"/>
      <c r="AG4840" s="17">
        <v>0</v>
      </c>
      <c r="AH4840" s="485">
        <v>0.34399999999999997</v>
      </c>
      <c r="AI4840" s="485">
        <v>0.34399999999999997</v>
      </c>
      <c r="AJ4840" s="485">
        <v>0.34399999999999997</v>
      </c>
      <c r="AK4840" s="493">
        <v>0.5</v>
      </c>
      <c r="AL4840" s="493">
        <v>0.5</v>
      </c>
      <c r="AM4840" s="17">
        <f t="shared" si="173"/>
        <v>1</v>
      </c>
      <c r="AN4840" s="162" t="s">
        <v>3879</v>
      </c>
      <c r="AO4840" s="162" t="s">
        <v>3881</v>
      </c>
    </row>
    <row r="4841" spans="1:41" s="162" customFormat="1" x14ac:dyDescent="0.3">
      <c r="A4841" s="536" t="s">
        <v>8321</v>
      </c>
      <c r="B4841" s="162" t="s">
        <v>8322</v>
      </c>
      <c r="C4841" s="168" t="s">
        <v>13637</v>
      </c>
      <c r="D4841" s="162" t="s">
        <v>6838</v>
      </c>
      <c r="E4841" s="406" t="s">
        <v>13638</v>
      </c>
      <c r="F4841" s="406" t="s">
        <v>13533</v>
      </c>
      <c r="G4841" s="386" t="s">
        <v>13716</v>
      </c>
      <c r="H4841" s="162" t="s">
        <v>13717</v>
      </c>
      <c r="K4841" s="386" t="s">
        <v>16938</v>
      </c>
      <c r="L4841" s="162" t="s">
        <v>16728</v>
      </c>
      <c r="M4841" s="162" t="s">
        <v>16939</v>
      </c>
      <c r="N4841" s="162">
        <v>0</v>
      </c>
      <c r="O4841" s="224"/>
      <c r="P4841" s="224"/>
      <c r="Q4841" s="224">
        <v>1</v>
      </c>
      <c r="R4841" s="224">
        <v>1</v>
      </c>
      <c r="S4841" s="224">
        <v>1</v>
      </c>
      <c r="T4841" s="223" t="s">
        <v>3879</v>
      </c>
      <c r="U4841" t="str">
        <f>VLOOKUP(T4841,[8]Votes!$A$1:$E$234,3,FALSE)</f>
        <v>009 Ministry of Internal Affairs</v>
      </c>
      <c r="V4841" s="162" t="s">
        <v>16940</v>
      </c>
      <c r="W4841" s="501">
        <v>1</v>
      </c>
      <c r="X4841" s="501">
        <v>1</v>
      </c>
      <c r="Y4841" s="501">
        <v>1</v>
      </c>
      <c r="Z4841" s="501">
        <v>1</v>
      </c>
      <c r="AA4841" s="501">
        <v>1</v>
      </c>
      <c r="AB4841" s="501">
        <v>0</v>
      </c>
      <c r="AC4841" s="150">
        <v>1</v>
      </c>
      <c r="AD4841" s="150">
        <v>0</v>
      </c>
      <c r="AE4841" s="49">
        <f t="shared" si="172"/>
        <v>0.75</v>
      </c>
      <c r="AF4841" s="190"/>
      <c r="AG4841" s="17">
        <v>0</v>
      </c>
      <c r="AH4841" s="190">
        <v>0</v>
      </c>
      <c r="AI4841" s="190">
        <v>0</v>
      </c>
      <c r="AJ4841" s="485">
        <v>0.5</v>
      </c>
      <c r="AK4841" s="493">
        <v>1</v>
      </c>
      <c r="AL4841" s="493">
        <v>1</v>
      </c>
      <c r="AM4841" s="17">
        <f t="shared" si="173"/>
        <v>2</v>
      </c>
      <c r="AN4841" s="162" t="s">
        <v>3879</v>
      </c>
      <c r="AO4841" s="162" t="s">
        <v>3881</v>
      </c>
    </row>
    <row r="4842" spans="1:41" s="162" customFormat="1" x14ac:dyDescent="0.3">
      <c r="A4842" s="536" t="s">
        <v>8321</v>
      </c>
      <c r="B4842" s="162" t="s">
        <v>8322</v>
      </c>
      <c r="C4842" s="168" t="s">
        <v>13637</v>
      </c>
      <c r="D4842" s="162" t="s">
        <v>6838</v>
      </c>
      <c r="E4842" s="406" t="s">
        <v>13638</v>
      </c>
      <c r="F4842" s="406" t="s">
        <v>13533</v>
      </c>
      <c r="G4842" s="386" t="s">
        <v>13716</v>
      </c>
      <c r="H4842" s="162" t="s">
        <v>13717</v>
      </c>
      <c r="K4842" s="386" t="s">
        <v>16941</v>
      </c>
      <c r="L4842" s="162" t="s">
        <v>16942</v>
      </c>
      <c r="M4842" s="162" t="s">
        <v>16943</v>
      </c>
      <c r="N4842" s="162">
        <v>0</v>
      </c>
      <c r="O4842" s="224">
        <v>0</v>
      </c>
      <c r="P4842" s="224">
        <v>0</v>
      </c>
      <c r="Q4842" s="224">
        <v>1</v>
      </c>
      <c r="R4842" s="224"/>
      <c r="S4842" s="224"/>
      <c r="T4842" s="223" t="s">
        <v>3875</v>
      </c>
      <c r="U4842" t="str">
        <f>VLOOKUP(T4842,[8]Votes!$A$1:$E$234,3,FALSE)</f>
        <v>007 Ministry of Justice and Constitutional Affairs</v>
      </c>
      <c r="V4842" s="162" t="s">
        <v>16944</v>
      </c>
      <c r="W4842" s="501">
        <v>1</v>
      </c>
      <c r="X4842" s="501">
        <v>0</v>
      </c>
      <c r="Y4842" s="501">
        <v>0</v>
      </c>
      <c r="Z4842" s="501">
        <v>1</v>
      </c>
      <c r="AA4842" s="501">
        <v>1</v>
      </c>
      <c r="AB4842" s="501">
        <v>1</v>
      </c>
      <c r="AC4842" s="150">
        <v>0</v>
      </c>
      <c r="AD4842" s="150">
        <v>1</v>
      </c>
      <c r="AE4842" s="49">
        <f t="shared" si="172"/>
        <v>0.625</v>
      </c>
      <c r="AF4842" s="190"/>
      <c r="AG4842" s="17">
        <v>0</v>
      </c>
      <c r="AH4842" s="190">
        <v>0</v>
      </c>
      <c r="AI4842" s="190">
        <v>0</v>
      </c>
      <c r="AJ4842" s="485">
        <v>0.3</v>
      </c>
      <c r="AK4842" s="191">
        <v>0.2</v>
      </c>
      <c r="AL4842" s="191">
        <v>0.2</v>
      </c>
      <c r="AM4842" s="17">
        <f t="shared" si="173"/>
        <v>0.4</v>
      </c>
      <c r="AN4842" s="223" t="s">
        <v>3875</v>
      </c>
      <c r="AO4842" s="162" t="s">
        <v>3877</v>
      </c>
    </row>
    <row r="4843" spans="1:41" s="162" customFormat="1" x14ac:dyDescent="0.3">
      <c r="A4843" s="536" t="s">
        <v>8321</v>
      </c>
      <c r="B4843" s="162" t="s">
        <v>8322</v>
      </c>
      <c r="C4843" s="168" t="s">
        <v>13637</v>
      </c>
      <c r="D4843" s="162" t="s">
        <v>6838</v>
      </c>
      <c r="E4843" s="406" t="s">
        <v>13638</v>
      </c>
      <c r="F4843" s="406" t="s">
        <v>13533</v>
      </c>
      <c r="G4843" s="386" t="s">
        <v>13639</v>
      </c>
      <c r="H4843" s="162" t="s">
        <v>13640</v>
      </c>
      <c r="K4843" s="386" t="s">
        <v>16521</v>
      </c>
      <c r="L4843" s="162" t="s">
        <v>16522</v>
      </c>
      <c r="M4843" s="162" t="s">
        <v>16945</v>
      </c>
      <c r="N4843" s="162">
        <v>12</v>
      </c>
      <c r="O4843" s="224">
        <v>12</v>
      </c>
      <c r="P4843" s="224">
        <v>12</v>
      </c>
      <c r="Q4843" s="224">
        <v>12</v>
      </c>
      <c r="R4843" s="224">
        <v>12</v>
      </c>
      <c r="S4843" s="224">
        <v>12</v>
      </c>
      <c r="T4843" s="223" t="s">
        <v>3879</v>
      </c>
      <c r="U4843" t="str">
        <f>VLOOKUP(T4843,[8]Votes!$A$1:$E$234,3,FALSE)</f>
        <v>009 Ministry of Internal Affairs</v>
      </c>
      <c r="V4843" s="162" t="s">
        <v>16946</v>
      </c>
      <c r="W4843" s="407">
        <v>1</v>
      </c>
      <c r="X4843" s="407">
        <v>1</v>
      </c>
      <c r="Y4843" s="407">
        <v>1</v>
      </c>
      <c r="Z4843" s="407">
        <v>1</v>
      </c>
      <c r="AA4843" s="407">
        <v>1</v>
      </c>
      <c r="AB4843" s="407">
        <v>0</v>
      </c>
      <c r="AC4843" s="150">
        <v>1</v>
      </c>
      <c r="AD4843" s="150">
        <v>0</v>
      </c>
      <c r="AE4843" s="49">
        <f t="shared" si="172"/>
        <v>0.75</v>
      </c>
      <c r="AF4843" s="485"/>
      <c r="AG4843" s="17">
        <v>0</v>
      </c>
      <c r="AH4843" s="485">
        <v>4</v>
      </c>
      <c r="AI4843" s="485">
        <v>4.6509999999999998</v>
      </c>
      <c r="AJ4843" s="485">
        <v>6</v>
      </c>
      <c r="AK4843" s="493">
        <v>7</v>
      </c>
      <c r="AL4843" s="493">
        <v>8</v>
      </c>
      <c r="AM4843" s="17">
        <f t="shared" si="173"/>
        <v>15</v>
      </c>
      <c r="AN4843" s="162" t="s">
        <v>3879</v>
      </c>
      <c r="AO4843" s="162" t="s">
        <v>3881</v>
      </c>
    </row>
    <row r="4844" spans="1:41" s="162" customFormat="1" x14ac:dyDescent="0.3">
      <c r="A4844" s="536" t="s">
        <v>8321</v>
      </c>
      <c r="B4844" s="162" t="s">
        <v>8322</v>
      </c>
      <c r="C4844" s="168" t="s">
        <v>13637</v>
      </c>
      <c r="D4844" s="162" t="s">
        <v>6838</v>
      </c>
      <c r="E4844" s="406" t="s">
        <v>13638</v>
      </c>
      <c r="F4844" s="406" t="s">
        <v>13533</v>
      </c>
      <c r="G4844" s="386" t="s">
        <v>13639</v>
      </c>
      <c r="H4844" s="162" t="s">
        <v>13640</v>
      </c>
      <c r="K4844" s="386" t="s">
        <v>16521</v>
      </c>
      <c r="L4844" s="162" t="s">
        <v>16522</v>
      </c>
      <c r="M4844" s="162" t="s">
        <v>16558</v>
      </c>
      <c r="N4844" s="162">
        <v>24</v>
      </c>
      <c r="O4844" s="224">
        <v>24</v>
      </c>
      <c r="P4844" s="224">
        <v>24</v>
      </c>
      <c r="Q4844" s="224">
        <v>24</v>
      </c>
      <c r="R4844" s="224">
        <v>24</v>
      </c>
      <c r="S4844" s="224">
        <v>24</v>
      </c>
      <c r="T4844" s="223" t="s">
        <v>3879</v>
      </c>
      <c r="U4844" t="str">
        <f>VLOOKUP(T4844,[8]Votes!$A$1:$E$234,3,FALSE)</f>
        <v>009 Ministry of Internal Affairs</v>
      </c>
      <c r="V4844" s="162" t="s">
        <v>16559</v>
      </c>
      <c r="W4844" s="407">
        <v>1</v>
      </c>
      <c r="X4844" s="407">
        <v>1</v>
      </c>
      <c r="Y4844" s="407">
        <v>1</v>
      </c>
      <c r="Z4844" s="407">
        <v>1</v>
      </c>
      <c r="AA4844" s="407">
        <v>1</v>
      </c>
      <c r="AB4844" s="407">
        <v>0</v>
      </c>
      <c r="AC4844" s="150">
        <v>1</v>
      </c>
      <c r="AD4844" s="150">
        <v>0</v>
      </c>
      <c r="AE4844" s="49">
        <f t="shared" si="172"/>
        <v>0.75</v>
      </c>
      <c r="AF4844" s="485"/>
      <c r="AG4844" s="17">
        <v>0</v>
      </c>
      <c r="AH4844" s="485">
        <v>3.5</v>
      </c>
      <c r="AI4844" s="485">
        <v>4.0279999999999996</v>
      </c>
      <c r="AJ4844" s="485">
        <v>5</v>
      </c>
      <c r="AK4844" s="493">
        <v>4</v>
      </c>
      <c r="AL4844" s="493">
        <v>5</v>
      </c>
      <c r="AM4844" s="17">
        <f t="shared" si="173"/>
        <v>9</v>
      </c>
      <c r="AN4844" s="162" t="s">
        <v>3879</v>
      </c>
      <c r="AO4844" s="162" t="s">
        <v>3881</v>
      </c>
    </row>
    <row r="4845" spans="1:41" s="162" customFormat="1" x14ac:dyDescent="0.3">
      <c r="A4845" s="536" t="s">
        <v>8321</v>
      </c>
      <c r="B4845" s="162" t="s">
        <v>8322</v>
      </c>
      <c r="C4845" s="168" t="s">
        <v>13637</v>
      </c>
      <c r="D4845" s="162" t="s">
        <v>6838</v>
      </c>
      <c r="E4845" s="406" t="s">
        <v>13638</v>
      </c>
      <c r="F4845" s="406" t="s">
        <v>13533</v>
      </c>
      <c r="G4845" s="386" t="s">
        <v>13639</v>
      </c>
      <c r="H4845" s="162" t="s">
        <v>13640</v>
      </c>
      <c r="K4845" s="386" t="s">
        <v>16521</v>
      </c>
      <c r="L4845" s="162" t="s">
        <v>16522</v>
      </c>
      <c r="M4845" s="162" t="s">
        <v>16947</v>
      </c>
      <c r="N4845" s="462">
        <v>1</v>
      </c>
      <c r="O4845" s="492">
        <v>1</v>
      </c>
      <c r="P4845" s="492">
        <v>1</v>
      </c>
      <c r="Q4845" s="492">
        <v>1</v>
      </c>
      <c r="R4845" s="492">
        <v>1</v>
      </c>
      <c r="S4845" s="492">
        <v>1</v>
      </c>
      <c r="T4845" s="223" t="s">
        <v>3879</v>
      </c>
      <c r="U4845" t="str">
        <f>VLOOKUP(T4845,[8]Votes!$A$1:$E$234,3,FALSE)</f>
        <v>009 Ministry of Internal Affairs</v>
      </c>
      <c r="V4845" s="162" t="s">
        <v>16559</v>
      </c>
      <c r="W4845" s="407">
        <v>1</v>
      </c>
      <c r="X4845" s="407">
        <v>1</v>
      </c>
      <c r="Y4845" s="407">
        <v>1</v>
      </c>
      <c r="Z4845" s="407">
        <v>1</v>
      </c>
      <c r="AA4845" s="407">
        <v>1</v>
      </c>
      <c r="AB4845" s="407">
        <v>0</v>
      </c>
      <c r="AC4845" s="150">
        <v>1</v>
      </c>
      <c r="AD4845" s="150">
        <v>0</v>
      </c>
      <c r="AE4845" s="49">
        <f t="shared" si="172"/>
        <v>0.75</v>
      </c>
      <c r="AF4845" s="485"/>
      <c r="AG4845" s="17">
        <v>0</v>
      </c>
      <c r="AH4845" s="485">
        <v>0.7</v>
      </c>
      <c r="AI4845" s="485">
        <v>0.8</v>
      </c>
      <c r="AJ4845" s="485">
        <v>0.9</v>
      </c>
      <c r="AK4845" s="493">
        <v>1</v>
      </c>
      <c r="AL4845" s="493">
        <v>1.1000000000000001</v>
      </c>
      <c r="AM4845" s="17">
        <f t="shared" si="173"/>
        <v>2.1</v>
      </c>
      <c r="AN4845" s="162" t="s">
        <v>3879</v>
      </c>
      <c r="AO4845" s="162" t="s">
        <v>3881</v>
      </c>
    </row>
    <row r="4846" spans="1:41" s="162" customFormat="1" x14ac:dyDescent="0.3">
      <c r="A4846" s="536" t="s">
        <v>8321</v>
      </c>
      <c r="B4846" s="162" t="s">
        <v>8322</v>
      </c>
      <c r="C4846" s="168" t="s">
        <v>13637</v>
      </c>
      <c r="D4846" s="162" t="s">
        <v>6838</v>
      </c>
      <c r="E4846" s="406" t="s">
        <v>13638</v>
      </c>
      <c r="F4846" s="406" t="s">
        <v>13533</v>
      </c>
      <c r="G4846" s="386" t="s">
        <v>13639</v>
      </c>
      <c r="H4846" s="162" t="s">
        <v>13640</v>
      </c>
      <c r="K4846" s="386" t="s">
        <v>16521</v>
      </c>
      <c r="L4846" s="162" t="s">
        <v>16522</v>
      </c>
      <c r="M4846" s="162" t="s">
        <v>16948</v>
      </c>
      <c r="N4846" s="162">
        <v>4</v>
      </c>
      <c r="O4846" s="224">
        <v>4</v>
      </c>
      <c r="P4846" s="224">
        <v>4</v>
      </c>
      <c r="Q4846" s="224">
        <v>5</v>
      </c>
      <c r="R4846" s="224">
        <v>5</v>
      </c>
      <c r="S4846" s="224">
        <v>5</v>
      </c>
      <c r="T4846" s="223" t="s">
        <v>3875</v>
      </c>
      <c r="U4846" t="str">
        <f>VLOOKUP(T4846,[8]Votes!$A$1:$E$234,3,FALSE)</f>
        <v>007 Ministry of Justice and Constitutional Affairs</v>
      </c>
      <c r="V4846" s="162" t="s">
        <v>16949</v>
      </c>
      <c r="W4846" s="407">
        <v>1</v>
      </c>
      <c r="X4846" s="407">
        <v>0</v>
      </c>
      <c r="Y4846" s="407">
        <v>0</v>
      </c>
      <c r="Z4846" s="407">
        <v>1</v>
      </c>
      <c r="AA4846" s="407">
        <v>1</v>
      </c>
      <c r="AB4846" s="407">
        <v>0</v>
      </c>
      <c r="AC4846" s="150">
        <v>0</v>
      </c>
      <c r="AD4846" s="150">
        <v>1</v>
      </c>
      <c r="AE4846" s="49">
        <f t="shared" si="172"/>
        <v>0.5</v>
      </c>
      <c r="AF4846" s="485"/>
      <c r="AG4846" s="17">
        <v>0</v>
      </c>
      <c r="AH4846" s="485">
        <v>0.5</v>
      </c>
      <c r="AI4846" s="485">
        <v>0.5</v>
      </c>
      <c r="AJ4846" s="485">
        <v>0.6</v>
      </c>
      <c r="AK4846" s="493">
        <v>0.2</v>
      </c>
      <c r="AL4846" s="493">
        <v>0.2</v>
      </c>
      <c r="AM4846" s="17">
        <f t="shared" si="173"/>
        <v>0.4</v>
      </c>
      <c r="AN4846" s="223" t="s">
        <v>3875</v>
      </c>
      <c r="AO4846" s="162" t="s">
        <v>3877</v>
      </c>
    </row>
    <row r="4847" spans="1:41" s="162" customFormat="1" x14ac:dyDescent="0.3">
      <c r="A4847" s="536" t="s">
        <v>8321</v>
      </c>
      <c r="B4847" s="162" t="s">
        <v>8322</v>
      </c>
      <c r="C4847" s="168" t="s">
        <v>13637</v>
      </c>
      <c r="D4847" s="162" t="s">
        <v>6838</v>
      </c>
      <c r="E4847" s="406" t="s">
        <v>13638</v>
      </c>
      <c r="F4847" s="406" t="s">
        <v>13533</v>
      </c>
      <c r="G4847" s="386" t="s">
        <v>13639</v>
      </c>
      <c r="H4847" s="162" t="s">
        <v>13640</v>
      </c>
      <c r="K4847" s="162">
        <v>16760177</v>
      </c>
      <c r="L4847" s="162" t="s">
        <v>16950</v>
      </c>
      <c r="M4847" s="162" t="s">
        <v>16951</v>
      </c>
      <c r="N4847" s="462">
        <v>0</v>
      </c>
      <c r="O4847" s="492">
        <v>0</v>
      </c>
      <c r="P4847" s="492">
        <v>0.2</v>
      </c>
      <c r="Q4847" s="492">
        <v>0.5</v>
      </c>
      <c r="R4847" s="492">
        <v>0.7</v>
      </c>
      <c r="S4847" s="492">
        <v>1</v>
      </c>
      <c r="T4847" s="223" t="s">
        <v>3879</v>
      </c>
      <c r="U4847" t="str">
        <f>VLOOKUP(T4847,[8]Votes!$A$1:$E$234,3,FALSE)</f>
        <v>009 Ministry of Internal Affairs</v>
      </c>
      <c r="V4847" s="162" t="s">
        <v>16952</v>
      </c>
      <c r="W4847" s="407">
        <v>1</v>
      </c>
      <c r="X4847" s="407">
        <v>1</v>
      </c>
      <c r="Y4847" s="407">
        <v>1</v>
      </c>
      <c r="Z4847" s="407">
        <v>1</v>
      </c>
      <c r="AA4847" s="407">
        <v>1</v>
      </c>
      <c r="AB4847" s="407">
        <v>0</v>
      </c>
      <c r="AC4847" s="150">
        <v>1</v>
      </c>
      <c r="AD4847" s="150">
        <v>0</v>
      </c>
      <c r="AE4847" s="49">
        <f t="shared" si="172"/>
        <v>0.75</v>
      </c>
      <c r="AF4847" s="190"/>
      <c r="AG4847" s="17">
        <v>0</v>
      </c>
      <c r="AH4847" s="190">
        <v>0</v>
      </c>
      <c r="AI4847" s="190">
        <v>0</v>
      </c>
      <c r="AJ4847" s="485">
        <v>0.34399999999999997</v>
      </c>
      <c r="AK4847" s="493">
        <v>0.34399999999999997</v>
      </c>
      <c r="AL4847" s="493">
        <v>0.34399999999999997</v>
      </c>
      <c r="AM4847" s="17">
        <f t="shared" si="173"/>
        <v>0.68799999999999994</v>
      </c>
      <c r="AN4847" s="162" t="s">
        <v>3879</v>
      </c>
      <c r="AO4847" s="162" t="s">
        <v>3881</v>
      </c>
    </row>
    <row r="4848" spans="1:41" s="162" customFormat="1" x14ac:dyDescent="0.3">
      <c r="A4848" s="536" t="s">
        <v>8321</v>
      </c>
      <c r="B4848" s="162" t="s">
        <v>8322</v>
      </c>
      <c r="C4848" s="168" t="s">
        <v>13637</v>
      </c>
      <c r="D4848" s="162" t="s">
        <v>6838</v>
      </c>
      <c r="E4848" s="406" t="s">
        <v>13638</v>
      </c>
      <c r="F4848" s="406" t="s">
        <v>13533</v>
      </c>
      <c r="G4848" s="386" t="s">
        <v>13639</v>
      </c>
      <c r="H4848" s="162" t="s">
        <v>13640</v>
      </c>
      <c r="K4848" s="162">
        <v>16760178</v>
      </c>
      <c r="L4848" s="162" t="s">
        <v>16953</v>
      </c>
      <c r="M4848" s="162" t="s">
        <v>16564</v>
      </c>
      <c r="N4848" s="162">
        <v>1</v>
      </c>
      <c r="O4848" s="224">
        <v>1</v>
      </c>
      <c r="P4848" s="224">
        <v>1</v>
      </c>
      <c r="Q4848" s="224">
        <v>1</v>
      </c>
      <c r="R4848" s="224">
        <v>1</v>
      </c>
      <c r="S4848" s="224">
        <v>1</v>
      </c>
      <c r="T4848" s="223" t="s">
        <v>3879</v>
      </c>
      <c r="U4848" t="str">
        <f>VLOOKUP(T4848,[8]Votes!$A$1:$E$234,3,FALSE)</f>
        <v>009 Ministry of Internal Affairs</v>
      </c>
      <c r="V4848" s="162" t="s">
        <v>16565</v>
      </c>
      <c r="W4848" s="407">
        <v>1</v>
      </c>
      <c r="X4848" s="407">
        <v>1</v>
      </c>
      <c r="Y4848" s="407">
        <v>1</v>
      </c>
      <c r="Z4848" s="407">
        <v>1</v>
      </c>
      <c r="AA4848" s="407">
        <v>1</v>
      </c>
      <c r="AB4848" s="407">
        <v>0</v>
      </c>
      <c r="AC4848" s="150">
        <v>1</v>
      </c>
      <c r="AD4848" s="150">
        <v>0</v>
      </c>
      <c r="AE4848" s="49">
        <f t="shared" si="172"/>
        <v>0.75</v>
      </c>
      <c r="AF4848" s="485"/>
      <c r="AG4848" s="17">
        <v>0</v>
      </c>
      <c r="AH4848" s="485">
        <v>0.113</v>
      </c>
      <c r="AI4848" s="485">
        <v>0.113</v>
      </c>
      <c r="AJ4848" s="485">
        <v>0.34399999999999997</v>
      </c>
      <c r="AK4848" s="493">
        <v>0.34399999999999997</v>
      </c>
      <c r="AL4848" s="493">
        <v>0.34399999999999997</v>
      </c>
      <c r="AM4848" s="17">
        <f t="shared" si="173"/>
        <v>0.68799999999999994</v>
      </c>
      <c r="AN4848" s="162" t="s">
        <v>3879</v>
      </c>
      <c r="AO4848" s="162" t="s">
        <v>3881</v>
      </c>
    </row>
    <row r="4849" spans="1:41" s="162" customFormat="1" x14ac:dyDescent="0.3">
      <c r="A4849" s="536" t="s">
        <v>8321</v>
      </c>
      <c r="B4849" s="162" t="s">
        <v>8322</v>
      </c>
      <c r="C4849" s="168" t="s">
        <v>13637</v>
      </c>
      <c r="D4849" s="162" t="s">
        <v>6838</v>
      </c>
      <c r="E4849" s="406" t="s">
        <v>13638</v>
      </c>
      <c r="F4849" s="406" t="s">
        <v>13533</v>
      </c>
      <c r="G4849" s="386" t="s">
        <v>13658</v>
      </c>
      <c r="H4849" s="162" t="s">
        <v>13659</v>
      </c>
      <c r="K4849" s="536" t="s">
        <v>16954</v>
      </c>
      <c r="L4849" s="162" t="s">
        <v>16594</v>
      </c>
      <c r="M4849" s="162" t="s">
        <v>16955</v>
      </c>
      <c r="N4849" s="462">
        <v>1</v>
      </c>
      <c r="O4849" s="492">
        <v>1</v>
      </c>
      <c r="P4849" s="492">
        <v>1</v>
      </c>
      <c r="Q4849" s="492">
        <v>1</v>
      </c>
      <c r="R4849" s="492">
        <v>1</v>
      </c>
      <c r="S4849" s="492">
        <v>1</v>
      </c>
      <c r="T4849" s="223" t="s">
        <v>3879</v>
      </c>
      <c r="U4849" t="str">
        <f>VLOOKUP(T4849,[8]Votes!$A$1:$E$234,3,FALSE)</f>
        <v>009 Ministry of Internal Affairs</v>
      </c>
      <c r="V4849" s="162" t="s">
        <v>16956</v>
      </c>
      <c r="W4849" s="407">
        <v>1</v>
      </c>
      <c r="X4849" s="407">
        <v>1</v>
      </c>
      <c r="Y4849" s="407">
        <v>1</v>
      </c>
      <c r="Z4849" s="407">
        <v>1</v>
      </c>
      <c r="AA4849" s="407">
        <v>1</v>
      </c>
      <c r="AB4849" s="407">
        <v>0</v>
      </c>
      <c r="AC4849" s="150">
        <v>1</v>
      </c>
      <c r="AD4849" s="150">
        <v>0</v>
      </c>
      <c r="AE4849" s="49">
        <f t="shared" si="172"/>
        <v>0.75</v>
      </c>
      <c r="AF4849" s="485"/>
      <c r="AG4849" s="17">
        <v>0</v>
      </c>
      <c r="AH4849" s="485">
        <v>0.82</v>
      </c>
      <c r="AI4849" s="485">
        <v>1.2</v>
      </c>
      <c r="AJ4849" s="485">
        <v>1.4</v>
      </c>
      <c r="AK4849" s="493">
        <v>1.6</v>
      </c>
      <c r="AL4849" s="493">
        <v>1.8</v>
      </c>
      <c r="AM4849" s="17">
        <f t="shared" si="173"/>
        <v>3.4000000000000004</v>
      </c>
      <c r="AN4849" s="162" t="s">
        <v>3879</v>
      </c>
      <c r="AO4849" s="162" t="s">
        <v>3881</v>
      </c>
    </row>
    <row r="4850" spans="1:41" s="162" customFormat="1" x14ac:dyDescent="0.3">
      <c r="A4850" s="536" t="s">
        <v>8321</v>
      </c>
      <c r="B4850" s="162" t="s">
        <v>8322</v>
      </c>
      <c r="C4850" s="168" t="s">
        <v>13637</v>
      </c>
      <c r="D4850" s="162" t="s">
        <v>6838</v>
      </c>
      <c r="E4850" s="406" t="s">
        <v>13638</v>
      </c>
      <c r="F4850" s="406" t="s">
        <v>13533</v>
      </c>
      <c r="G4850" s="386" t="s">
        <v>13716</v>
      </c>
      <c r="H4850" s="162" t="s">
        <v>13717</v>
      </c>
      <c r="K4850" s="386" t="s">
        <v>16957</v>
      </c>
      <c r="L4850" s="162" t="s">
        <v>16958</v>
      </c>
      <c r="M4850" s="162" t="s">
        <v>16959</v>
      </c>
      <c r="N4850" s="162">
        <v>2</v>
      </c>
      <c r="O4850" s="224">
        <v>2</v>
      </c>
      <c r="P4850" s="224">
        <v>2</v>
      </c>
      <c r="Q4850" s="224">
        <v>3</v>
      </c>
      <c r="R4850" s="224">
        <v>3</v>
      </c>
      <c r="S4850" s="224">
        <v>3</v>
      </c>
      <c r="T4850" s="223" t="s">
        <v>3879</v>
      </c>
      <c r="U4850" t="str">
        <f>VLOOKUP(T4850,[8]Votes!$A$1:$E$234,3,FALSE)</f>
        <v>009 Ministry of Internal Affairs</v>
      </c>
      <c r="V4850" s="162" t="s">
        <v>16960</v>
      </c>
      <c r="W4850" s="501">
        <v>1</v>
      </c>
      <c r="X4850" s="501">
        <v>1</v>
      </c>
      <c r="Y4850" s="501">
        <v>1</v>
      </c>
      <c r="Z4850" s="501">
        <v>1</v>
      </c>
      <c r="AA4850" s="501">
        <v>1</v>
      </c>
      <c r="AB4850" s="501">
        <v>0</v>
      </c>
      <c r="AC4850" s="150">
        <v>1</v>
      </c>
      <c r="AD4850" s="150">
        <v>0</v>
      </c>
      <c r="AE4850" s="49">
        <f t="shared" si="172"/>
        <v>0.75</v>
      </c>
      <c r="AF4850" s="485"/>
      <c r="AG4850" s="17">
        <v>0</v>
      </c>
      <c r="AH4850" s="485">
        <v>0.2</v>
      </c>
      <c r="AI4850" s="485">
        <v>0.2</v>
      </c>
      <c r="AJ4850" s="485">
        <v>0.2</v>
      </c>
      <c r="AK4850" s="493">
        <v>0.2</v>
      </c>
      <c r="AL4850" s="493">
        <v>0.2</v>
      </c>
      <c r="AM4850" s="17">
        <f t="shared" si="173"/>
        <v>0.4</v>
      </c>
      <c r="AN4850" s="162" t="s">
        <v>3879</v>
      </c>
      <c r="AO4850" s="162" t="s">
        <v>3881</v>
      </c>
    </row>
    <row r="4851" spans="1:41" s="162" customFormat="1" x14ac:dyDescent="0.3">
      <c r="A4851" s="536" t="s">
        <v>8321</v>
      </c>
      <c r="B4851" s="162" t="s">
        <v>8322</v>
      </c>
      <c r="C4851" s="168" t="s">
        <v>13637</v>
      </c>
      <c r="D4851" s="162" t="s">
        <v>6838</v>
      </c>
      <c r="E4851" s="406" t="s">
        <v>13638</v>
      </c>
      <c r="F4851" s="406" t="s">
        <v>13533</v>
      </c>
      <c r="G4851" s="386" t="s">
        <v>13716</v>
      </c>
      <c r="H4851" s="162" t="s">
        <v>13717</v>
      </c>
      <c r="K4851" s="386" t="s">
        <v>16245</v>
      </c>
      <c r="L4851" s="162" t="s">
        <v>16246</v>
      </c>
      <c r="M4851" s="162" t="s">
        <v>16961</v>
      </c>
      <c r="N4851" s="462">
        <v>1</v>
      </c>
      <c r="O4851" s="492">
        <v>1</v>
      </c>
      <c r="P4851" s="492">
        <v>1</v>
      </c>
      <c r="Q4851" s="492">
        <v>1</v>
      </c>
      <c r="R4851" s="492">
        <v>1</v>
      </c>
      <c r="S4851" s="492">
        <v>1</v>
      </c>
      <c r="T4851" s="223" t="s">
        <v>3879</v>
      </c>
      <c r="U4851" t="str">
        <f>VLOOKUP(T4851,[8]Votes!$A$1:$E$234,3,FALSE)</f>
        <v>009 Ministry of Internal Affairs</v>
      </c>
      <c r="V4851" s="162" t="s">
        <v>16962</v>
      </c>
      <c r="W4851" s="501">
        <v>1</v>
      </c>
      <c r="X4851" s="501">
        <v>1</v>
      </c>
      <c r="Y4851" s="501">
        <v>1</v>
      </c>
      <c r="Z4851" s="501">
        <v>1</v>
      </c>
      <c r="AA4851" s="501">
        <v>1</v>
      </c>
      <c r="AB4851" s="501">
        <v>0</v>
      </c>
      <c r="AC4851" s="150">
        <v>1</v>
      </c>
      <c r="AD4851" s="150">
        <v>0</v>
      </c>
      <c r="AE4851" s="49">
        <f t="shared" si="172"/>
        <v>0.75</v>
      </c>
      <c r="AF4851" s="485"/>
      <c r="AG4851" s="17">
        <v>0</v>
      </c>
      <c r="AH4851" s="485">
        <v>5.5274510000000001</v>
      </c>
      <c r="AI4851" s="485">
        <v>5.5274510000000001</v>
      </c>
      <c r="AJ4851" s="485">
        <v>6</v>
      </c>
      <c r="AK4851" s="493">
        <v>0</v>
      </c>
      <c r="AL4851" s="493">
        <v>0</v>
      </c>
      <c r="AM4851" s="17">
        <f t="shared" si="173"/>
        <v>0</v>
      </c>
      <c r="AN4851" s="162" t="s">
        <v>3879</v>
      </c>
      <c r="AO4851" s="162" t="s">
        <v>3881</v>
      </c>
    </row>
    <row r="4852" spans="1:41" s="162" customFormat="1" x14ac:dyDescent="0.3">
      <c r="A4852" s="536" t="s">
        <v>8321</v>
      </c>
      <c r="B4852" s="162" t="s">
        <v>8322</v>
      </c>
      <c r="C4852" s="168" t="s">
        <v>13637</v>
      </c>
      <c r="D4852" s="162" t="s">
        <v>6838</v>
      </c>
      <c r="E4852" s="406" t="s">
        <v>13638</v>
      </c>
      <c r="F4852" s="406" t="s">
        <v>13533</v>
      </c>
      <c r="G4852" s="386" t="s">
        <v>13716</v>
      </c>
      <c r="H4852" s="162" t="s">
        <v>13717</v>
      </c>
      <c r="K4852" s="386" t="s">
        <v>16245</v>
      </c>
      <c r="L4852" s="162" t="s">
        <v>16246</v>
      </c>
      <c r="M4852" s="162" t="s">
        <v>16963</v>
      </c>
      <c r="N4852" s="462">
        <v>1</v>
      </c>
      <c r="O4852" s="492">
        <v>1</v>
      </c>
      <c r="P4852" s="492">
        <v>1</v>
      </c>
      <c r="Q4852" s="492">
        <v>1</v>
      </c>
      <c r="R4852" s="492">
        <v>1</v>
      </c>
      <c r="S4852" s="492">
        <v>1</v>
      </c>
      <c r="T4852" s="223" t="s">
        <v>3879</v>
      </c>
      <c r="U4852" t="str">
        <f>VLOOKUP(T4852,[8]Votes!$A$1:$E$234,3,FALSE)</f>
        <v>009 Ministry of Internal Affairs</v>
      </c>
      <c r="V4852" s="162" t="s">
        <v>16964</v>
      </c>
      <c r="W4852" s="501">
        <v>1</v>
      </c>
      <c r="X4852" s="501">
        <v>1</v>
      </c>
      <c r="Y4852" s="501">
        <v>1</v>
      </c>
      <c r="Z4852" s="501">
        <v>1</v>
      </c>
      <c r="AA4852" s="501">
        <v>1</v>
      </c>
      <c r="AB4852" s="501">
        <v>0</v>
      </c>
      <c r="AC4852" s="150">
        <v>1</v>
      </c>
      <c r="AD4852" s="150">
        <v>0</v>
      </c>
      <c r="AE4852" s="49">
        <f t="shared" si="172"/>
        <v>0.75</v>
      </c>
      <c r="AF4852" s="485"/>
      <c r="AG4852" s="17">
        <v>0</v>
      </c>
      <c r="AH4852" s="485">
        <v>0.5</v>
      </c>
      <c r="AI4852" s="485">
        <v>0.6</v>
      </c>
      <c r="AJ4852" s="485">
        <v>0.7</v>
      </c>
      <c r="AK4852" s="493">
        <v>0.8</v>
      </c>
      <c r="AL4852" s="493">
        <v>0.9</v>
      </c>
      <c r="AM4852" s="17">
        <f t="shared" si="173"/>
        <v>1.7000000000000002</v>
      </c>
      <c r="AN4852" s="162" t="s">
        <v>3879</v>
      </c>
      <c r="AO4852" s="162" t="s">
        <v>3881</v>
      </c>
    </row>
    <row r="4853" spans="1:41" s="162" customFormat="1" x14ac:dyDescent="0.3">
      <c r="A4853" s="536" t="s">
        <v>8321</v>
      </c>
      <c r="B4853" s="162" t="s">
        <v>8322</v>
      </c>
      <c r="C4853" s="168" t="s">
        <v>13637</v>
      </c>
      <c r="D4853" s="162" t="s">
        <v>6838</v>
      </c>
      <c r="E4853" s="406" t="s">
        <v>13638</v>
      </c>
      <c r="F4853" s="406" t="s">
        <v>13533</v>
      </c>
      <c r="G4853" s="386" t="s">
        <v>13639</v>
      </c>
      <c r="H4853" s="162" t="s">
        <v>13640</v>
      </c>
      <c r="K4853" s="386" t="s">
        <v>16529</v>
      </c>
      <c r="L4853" s="162" t="s">
        <v>16353</v>
      </c>
      <c r="M4853" s="162" t="s">
        <v>16965</v>
      </c>
      <c r="N4853" s="462">
        <v>1</v>
      </c>
      <c r="O4853" s="492">
        <v>1</v>
      </c>
      <c r="P4853" s="492">
        <v>1</v>
      </c>
      <c r="Q4853" s="492">
        <v>1</v>
      </c>
      <c r="R4853" s="492">
        <v>1</v>
      </c>
      <c r="S4853" s="492">
        <v>1</v>
      </c>
      <c r="T4853" s="223" t="s">
        <v>3879</v>
      </c>
      <c r="U4853" t="str">
        <f>VLOOKUP(T4853,[8]Votes!$A$1:$E$234,3,FALSE)</f>
        <v>009 Ministry of Internal Affairs</v>
      </c>
      <c r="V4853" s="162" t="s">
        <v>16680</v>
      </c>
      <c r="W4853" s="407">
        <v>1</v>
      </c>
      <c r="X4853" s="407">
        <v>1</v>
      </c>
      <c r="Y4853" s="407">
        <v>1</v>
      </c>
      <c r="Z4853" s="407">
        <v>1</v>
      </c>
      <c r="AA4853" s="407">
        <v>1</v>
      </c>
      <c r="AB4853" s="407">
        <v>0</v>
      </c>
      <c r="AC4853" s="150">
        <v>1</v>
      </c>
      <c r="AD4853" s="150">
        <v>0</v>
      </c>
      <c r="AE4853" s="49">
        <f t="shared" si="172"/>
        <v>0.75</v>
      </c>
      <c r="AF4853" s="485"/>
      <c r="AG4853" s="17">
        <v>0</v>
      </c>
      <c r="AH4853" s="485">
        <v>0.5</v>
      </c>
      <c r="AI4853" s="485">
        <v>0.5</v>
      </c>
      <c r="AJ4853" s="485">
        <v>0.5</v>
      </c>
      <c r="AK4853" s="493">
        <v>0.5</v>
      </c>
      <c r="AL4853" s="493">
        <v>0.5</v>
      </c>
      <c r="AM4853" s="17">
        <f t="shared" si="173"/>
        <v>1</v>
      </c>
      <c r="AN4853" s="162" t="s">
        <v>3879</v>
      </c>
      <c r="AO4853" s="162" t="s">
        <v>3881</v>
      </c>
    </row>
    <row r="4854" spans="1:41" s="162" customFormat="1" x14ac:dyDescent="0.3">
      <c r="A4854" s="536" t="s">
        <v>8321</v>
      </c>
      <c r="B4854" s="162" t="s">
        <v>8322</v>
      </c>
      <c r="C4854" s="168" t="s">
        <v>13637</v>
      </c>
      <c r="D4854" s="162" t="s">
        <v>16488</v>
      </c>
      <c r="E4854" s="406" t="s">
        <v>13638</v>
      </c>
      <c r="F4854" s="406" t="s">
        <v>13533</v>
      </c>
      <c r="G4854" s="386" t="s">
        <v>13639</v>
      </c>
      <c r="H4854" s="162" t="s">
        <v>13640</v>
      </c>
      <c r="K4854" s="386" t="s">
        <v>16529</v>
      </c>
      <c r="L4854" s="162" t="s">
        <v>16353</v>
      </c>
      <c r="M4854" s="543" t="s">
        <v>16966</v>
      </c>
      <c r="N4854" s="543"/>
      <c r="O4854" s="537">
        <v>0.04</v>
      </c>
      <c r="P4854" s="537">
        <v>1.95</v>
      </c>
      <c r="Q4854" s="537">
        <v>2.048</v>
      </c>
      <c r="R4854" s="537">
        <v>2.15</v>
      </c>
      <c r="S4854" s="537">
        <v>2.2599999999999998</v>
      </c>
      <c r="T4854" s="538" t="s">
        <v>13755</v>
      </c>
      <c r="U4854" t="str">
        <f>VLOOKUP(T4854,[8]Votes!$A$1:$E$234,3,FALSE)</f>
        <v>159 External Security Organisation</v>
      </c>
      <c r="V4854" s="543" t="s">
        <v>16967</v>
      </c>
      <c r="W4854" s="407">
        <v>1</v>
      </c>
      <c r="X4854" s="407">
        <v>1</v>
      </c>
      <c r="Y4854" s="407">
        <v>0</v>
      </c>
      <c r="Z4854" s="407">
        <v>1</v>
      </c>
      <c r="AA4854" s="407">
        <v>1</v>
      </c>
      <c r="AB4854" s="407">
        <v>0</v>
      </c>
      <c r="AC4854" s="150">
        <v>1</v>
      </c>
      <c r="AD4854" s="150">
        <v>1</v>
      </c>
      <c r="AE4854" s="49">
        <f t="shared" si="172"/>
        <v>0.75</v>
      </c>
      <c r="AF4854" s="485">
        <v>1</v>
      </c>
      <c r="AG4854" s="17">
        <v>0</v>
      </c>
      <c r="AH4854" s="485">
        <v>0.04</v>
      </c>
      <c r="AI4854" s="485">
        <v>1.95</v>
      </c>
      <c r="AJ4854" s="485">
        <v>2.048</v>
      </c>
      <c r="AK4854" s="493">
        <v>1.1499999999999999</v>
      </c>
      <c r="AL4854" s="493">
        <v>0.26</v>
      </c>
      <c r="AM4854" s="17">
        <f t="shared" si="173"/>
        <v>1.41</v>
      </c>
      <c r="AN4854" s="543" t="s">
        <v>13755</v>
      </c>
      <c r="AO4854" s="162" t="s">
        <v>13757</v>
      </c>
    </row>
    <row r="4855" spans="1:41" s="162" customFormat="1" x14ac:dyDescent="0.3">
      <c r="A4855" s="536" t="s">
        <v>8321</v>
      </c>
      <c r="B4855" s="162" t="s">
        <v>8322</v>
      </c>
      <c r="C4855" s="168" t="s">
        <v>13637</v>
      </c>
      <c r="D4855" s="162" t="s">
        <v>6838</v>
      </c>
      <c r="E4855" s="406" t="s">
        <v>13638</v>
      </c>
      <c r="F4855" s="406" t="s">
        <v>13533</v>
      </c>
      <c r="G4855" s="386" t="s">
        <v>13639</v>
      </c>
      <c r="H4855" s="162" t="s">
        <v>13640</v>
      </c>
      <c r="K4855" s="386" t="s">
        <v>16529</v>
      </c>
      <c r="L4855" s="162" t="s">
        <v>16353</v>
      </c>
      <c r="M4855" s="162" t="s">
        <v>16968</v>
      </c>
      <c r="N4855" s="462">
        <v>0.6</v>
      </c>
      <c r="O4855" s="492">
        <v>0.7</v>
      </c>
      <c r="P4855" s="492">
        <v>0.8</v>
      </c>
      <c r="Q4855" s="492">
        <v>0.85</v>
      </c>
      <c r="R4855" s="492">
        <v>0.9</v>
      </c>
      <c r="S4855" s="492">
        <v>1</v>
      </c>
      <c r="T4855" s="223" t="s">
        <v>3879</v>
      </c>
      <c r="U4855" t="str">
        <f>VLOOKUP(T4855,[8]Votes!$A$1:$E$234,3,FALSE)</f>
        <v>009 Ministry of Internal Affairs</v>
      </c>
      <c r="V4855" s="162" t="s">
        <v>16969</v>
      </c>
      <c r="W4855" s="407">
        <v>1</v>
      </c>
      <c r="X4855" s="407">
        <v>1</v>
      </c>
      <c r="Y4855" s="407">
        <v>1</v>
      </c>
      <c r="Z4855" s="407">
        <v>1</v>
      </c>
      <c r="AA4855" s="407">
        <v>1</v>
      </c>
      <c r="AB4855" s="407">
        <v>0</v>
      </c>
      <c r="AC4855" s="150">
        <v>1</v>
      </c>
      <c r="AD4855" s="150">
        <v>0</v>
      </c>
      <c r="AE4855" s="49">
        <f t="shared" si="172"/>
        <v>0.75</v>
      </c>
      <c r="AF4855" s="485"/>
      <c r="AG4855" s="17">
        <v>0</v>
      </c>
      <c r="AH4855" s="485">
        <v>0.15</v>
      </c>
      <c r="AI4855" s="485">
        <v>0.2</v>
      </c>
      <c r="AJ4855" s="485">
        <v>0.25</v>
      </c>
      <c r="AK4855" s="493">
        <v>0.3</v>
      </c>
      <c r="AL4855" s="493">
        <v>0.35</v>
      </c>
      <c r="AM4855" s="17">
        <f t="shared" si="173"/>
        <v>0.64999999999999991</v>
      </c>
      <c r="AN4855" s="162" t="s">
        <v>3879</v>
      </c>
      <c r="AO4855" s="162" t="s">
        <v>3881</v>
      </c>
    </row>
    <row r="4856" spans="1:41" s="162" customFormat="1" x14ac:dyDescent="0.3">
      <c r="A4856" s="536" t="s">
        <v>8321</v>
      </c>
      <c r="B4856" s="162" t="s">
        <v>8322</v>
      </c>
      <c r="C4856" s="168" t="s">
        <v>13637</v>
      </c>
      <c r="D4856" s="162" t="s">
        <v>6838</v>
      </c>
      <c r="E4856" s="406" t="s">
        <v>13638</v>
      </c>
      <c r="F4856" s="406" t="s">
        <v>13533</v>
      </c>
      <c r="G4856" s="386" t="s">
        <v>13639</v>
      </c>
      <c r="H4856" s="162" t="s">
        <v>13640</v>
      </c>
      <c r="K4856" s="162">
        <v>16760179</v>
      </c>
      <c r="L4856" s="162" t="s">
        <v>16970</v>
      </c>
      <c r="M4856" s="162" t="s">
        <v>16971</v>
      </c>
      <c r="N4856" s="462">
        <v>0.5</v>
      </c>
      <c r="O4856" s="492">
        <v>0.6</v>
      </c>
      <c r="P4856" s="492">
        <v>0.7</v>
      </c>
      <c r="Q4856" s="492">
        <v>0.8</v>
      </c>
      <c r="R4856" s="492">
        <v>0.9</v>
      </c>
      <c r="S4856" s="492">
        <v>1</v>
      </c>
      <c r="T4856" s="223" t="s">
        <v>3879</v>
      </c>
      <c r="U4856" t="str">
        <f>VLOOKUP(T4856,[8]Votes!$A$1:$E$234,3,FALSE)</f>
        <v>009 Ministry of Internal Affairs</v>
      </c>
      <c r="V4856" s="162" t="s">
        <v>16972</v>
      </c>
      <c r="W4856" s="407">
        <v>1</v>
      </c>
      <c r="X4856" s="407">
        <v>1</v>
      </c>
      <c r="Y4856" s="407">
        <v>1</v>
      </c>
      <c r="Z4856" s="407">
        <v>1</v>
      </c>
      <c r="AA4856" s="407">
        <v>1</v>
      </c>
      <c r="AB4856" s="407">
        <v>0</v>
      </c>
      <c r="AC4856" s="150">
        <v>1</v>
      </c>
      <c r="AD4856" s="150">
        <v>0</v>
      </c>
      <c r="AE4856" s="49">
        <f t="shared" si="172"/>
        <v>0.75</v>
      </c>
      <c r="AF4856" s="485"/>
      <c r="AG4856" s="17">
        <v>0</v>
      </c>
      <c r="AH4856" s="485">
        <v>7.0430000000000001</v>
      </c>
      <c r="AI4856" s="485">
        <v>7.0430000000000001</v>
      </c>
      <c r="AJ4856" s="485">
        <v>8</v>
      </c>
      <c r="AK4856" s="493">
        <v>0</v>
      </c>
      <c r="AL4856" s="493">
        <v>0</v>
      </c>
      <c r="AM4856" s="17">
        <f t="shared" si="173"/>
        <v>0</v>
      </c>
      <c r="AN4856" s="162" t="s">
        <v>3879</v>
      </c>
      <c r="AO4856" s="162" t="s">
        <v>3881</v>
      </c>
    </row>
    <row r="4857" spans="1:41" s="162" customFormat="1" x14ac:dyDescent="0.3">
      <c r="A4857" s="536" t="s">
        <v>8321</v>
      </c>
      <c r="B4857" s="162" t="s">
        <v>8322</v>
      </c>
      <c r="C4857" s="168" t="s">
        <v>13637</v>
      </c>
      <c r="D4857" s="162" t="s">
        <v>6838</v>
      </c>
      <c r="E4857" s="406" t="s">
        <v>13638</v>
      </c>
      <c r="F4857" s="406" t="s">
        <v>13533</v>
      </c>
      <c r="G4857" s="386" t="s">
        <v>13716</v>
      </c>
      <c r="H4857" s="162" t="s">
        <v>13717</v>
      </c>
      <c r="K4857" s="386" t="s">
        <v>16973</v>
      </c>
      <c r="L4857" s="1" t="s">
        <v>16974</v>
      </c>
      <c r="M4857" s="1" t="s">
        <v>16975</v>
      </c>
      <c r="N4857">
        <v>149</v>
      </c>
      <c r="O4857" s="3">
        <v>184</v>
      </c>
      <c r="P4857" s="3">
        <v>223</v>
      </c>
      <c r="Q4857" s="3">
        <v>332</v>
      </c>
      <c r="R4857" s="3">
        <v>332</v>
      </c>
      <c r="S4857" s="3">
        <v>332</v>
      </c>
      <c r="T4857" s="223" t="s">
        <v>1581</v>
      </c>
      <c r="U4857" t="str">
        <f>VLOOKUP(T4857,[8]Votes!$A$1:$E$234,3,FALSE)</f>
        <v>119 Uganda Registration Services Bureau</v>
      </c>
      <c r="V4857" t="s">
        <v>16976</v>
      </c>
      <c r="W4857" s="501">
        <v>1</v>
      </c>
      <c r="X4857" s="501">
        <v>1</v>
      </c>
      <c r="Y4857" s="501">
        <v>1</v>
      </c>
      <c r="Z4857" s="501">
        <v>1</v>
      </c>
      <c r="AA4857" s="501">
        <v>1</v>
      </c>
      <c r="AB4857" s="501">
        <v>1</v>
      </c>
      <c r="AC4857" s="150">
        <v>1</v>
      </c>
      <c r="AD4857" s="150">
        <v>1</v>
      </c>
      <c r="AE4857" s="49">
        <f t="shared" si="172"/>
        <v>1</v>
      </c>
      <c r="AF4857" s="485"/>
      <c r="AG4857" s="17">
        <v>0</v>
      </c>
      <c r="AH4857" s="485">
        <v>12.122</v>
      </c>
      <c r="AI4857" s="485">
        <v>14.28</v>
      </c>
      <c r="AJ4857" s="485">
        <v>50.85</v>
      </c>
      <c r="AK4857" s="493">
        <v>0</v>
      </c>
      <c r="AL4857" s="493">
        <v>0</v>
      </c>
      <c r="AM4857" s="17">
        <f t="shared" si="173"/>
        <v>0</v>
      </c>
      <c r="AN4857" s="162" t="s">
        <v>1581</v>
      </c>
      <c r="AO4857" s="162" t="s">
        <v>1583</v>
      </c>
    </row>
    <row r="4858" spans="1:41" s="162" customFormat="1" x14ac:dyDescent="0.3">
      <c r="A4858" s="536" t="s">
        <v>8321</v>
      </c>
      <c r="B4858" s="162" t="s">
        <v>8322</v>
      </c>
      <c r="C4858" s="168" t="s">
        <v>13637</v>
      </c>
      <c r="D4858" s="162" t="s">
        <v>16488</v>
      </c>
      <c r="E4858" s="406" t="s">
        <v>13638</v>
      </c>
      <c r="F4858" s="406" t="s">
        <v>13533</v>
      </c>
      <c r="G4858" s="386" t="s">
        <v>13716</v>
      </c>
      <c r="H4858" s="162" t="s">
        <v>13717</v>
      </c>
      <c r="K4858" s="386" t="s">
        <v>16245</v>
      </c>
      <c r="L4858" s="162" t="s">
        <v>16246</v>
      </c>
      <c r="M4858" s="1" t="s">
        <v>16977</v>
      </c>
      <c r="N4858"/>
      <c r="O4858" s="224">
        <v>0.83599999999999997</v>
      </c>
      <c r="P4858" s="224">
        <v>3.2</v>
      </c>
      <c r="Q4858" s="224">
        <v>2.246</v>
      </c>
      <c r="R4858" s="224">
        <v>3.24</v>
      </c>
      <c r="S4858" s="224">
        <v>4.5199999999999996</v>
      </c>
      <c r="T4858" s="223" t="s">
        <v>13755</v>
      </c>
      <c r="U4858" t="str">
        <f>VLOOKUP(T4858,[8]Votes!$A$1:$E$234,3,FALSE)</f>
        <v>159 External Security Organisation</v>
      </c>
      <c r="V4858" t="s">
        <v>16978</v>
      </c>
      <c r="W4858" s="501">
        <v>1</v>
      </c>
      <c r="X4858" s="501">
        <v>1</v>
      </c>
      <c r="Y4858" s="501">
        <v>1</v>
      </c>
      <c r="Z4858" s="501">
        <v>1</v>
      </c>
      <c r="AA4858" s="501">
        <v>1</v>
      </c>
      <c r="AB4858" s="501">
        <v>0</v>
      </c>
      <c r="AC4858" s="150">
        <v>1</v>
      </c>
      <c r="AD4858" s="150">
        <v>0</v>
      </c>
      <c r="AE4858" s="49">
        <f t="shared" ref="AE4858:AE4921" si="174">SUM(W4858:AD4858)/8</f>
        <v>0.75</v>
      </c>
      <c r="AF4858" s="485">
        <v>1</v>
      </c>
      <c r="AG4858" s="17">
        <v>0</v>
      </c>
      <c r="AH4858" s="485">
        <v>0.83599999999999997</v>
      </c>
      <c r="AI4858" s="485">
        <v>3.2</v>
      </c>
      <c r="AJ4858" s="485">
        <v>2.246</v>
      </c>
      <c r="AK4858" s="493">
        <v>1.24</v>
      </c>
      <c r="AL4858" s="493">
        <v>1.02</v>
      </c>
      <c r="AM4858" s="17">
        <f t="shared" ref="AM4858:AM4921" si="175">SUM(AK4858:AL4858)</f>
        <v>2.2599999999999998</v>
      </c>
      <c r="AN4858" s="162" t="s">
        <v>13755</v>
      </c>
      <c r="AO4858" s="162" t="s">
        <v>13757</v>
      </c>
    </row>
    <row r="4859" spans="1:41" s="162" customFormat="1" x14ac:dyDescent="0.3">
      <c r="A4859" s="536" t="s">
        <v>8321</v>
      </c>
      <c r="B4859" s="162" t="s">
        <v>8322</v>
      </c>
      <c r="C4859" s="168" t="s">
        <v>13637</v>
      </c>
      <c r="D4859" s="162" t="s">
        <v>6838</v>
      </c>
      <c r="E4859" s="406" t="s">
        <v>13638</v>
      </c>
      <c r="F4859" s="406" t="s">
        <v>13533</v>
      </c>
      <c r="G4859" s="386" t="s">
        <v>13639</v>
      </c>
      <c r="H4859" s="162" t="s">
        <v>13640</v>
      </c>
      <c r="K4859" s="162">
        <v>16760180</v>
      </c>
      <c r="L4859" s="162" t="s">
        <v>16979</v>
      </c>
      <c r="M4859" s="1" t="s">
        <v>16980</v>
      </c>
      <c r="N4859">
        <v>0</v>
      </c>
      <c r="O4859" s="3">
        <v>20</v>
      </c>
      <c r="P4859" s="3">
        <v>30</v>
      </c>
      <c r="Q4859" s="3">
        <v>40</v>
      </c>
      <c r="R4859" s="3">
        <v>50</v>
      </c>
      <c r="S4859" s="3">
        <v>60</v>
      </c>
      <c r="T4859" s="223" t="s">
        <v>1581</v>
      </c>
      <c r="U4859" t="str">
        <f>VLOOKUP(T4859,[8]Votes!$A$1:$E$234,3,FALSE)</f>
        <v>119 Uganda Registration Services Bureau</v>
      </c>
      <c r="V4859" t="s">
        <v>16981</v>
      </c>
      <c r="W4859" s="407">
        <v>1</v>
      </c>
      <c r="X4859" s="407">
        <v>0</v>
      </c>
      <c r="Y4859" s="407">
        <v>0</v>
      </c>
      <c r="Z4859" s="407">
        <v>1</v>
      </c>
      <c r="AA4859" s="407">
        <v>1</v>
      </c>
      <c r="AB4859" s="407">
        <v>0</v>
      </c>
      <c r="AC4859" s="150">
        <v>0</v>
      </c>
      <c r="AD4859" s="150">
        <v>0</v>
      </c>
      <c r="AE4859" s="49">
        <f t="shared" si="174"/>
        <v>0.375</v>
      </c>
      <c r="AF4859" s="190"/>
      <c r="AG4859" s="17">
        <v>0</v>
      </c>
      <c r="AH4859" s="190">
        <v>0</v>
      </c>
      <c r="AI4859" s="44">
        <v>0.1</v>
      </c>
      <c r="AJ4859" s="44">
        <v>0.1</v>
      </c>
      <c r="AK4859" s="151">
        <v>0.1</v>
      </c>
      <c r="AL4859" s="151">
        <v>0.1</v>
      </c>
      <c r="AM4859" s="17">
        <f t="shared" si="175"/>
        <v>0.2</v>
      </c>
      <c r="AN4859" s="162" t="s">
        <v>1581</v>
      </c>
      <c r="AO4859" s="162" t="s">
        <v>1583</v>
      </c>
    </row>
    <row r="4860" spans="1:41" s="162" customFormat="1" x14ac:dyDescent="0.3">
      <c r="A4860" s="536" t="s">
        <v>8321</v>
      </c>
      <c r="B4860" s="162" t="s">
        <v>8322</v>
      </c>
      <c r="C4860" s="168" t="s">
        <v>13637</v>
      </c>
      <c r="D4860" s="162" t="s">
        <v>6838</v>
      </c>
      <c r="E4860" s="406" t="s">
        <v>13638</v>
      </c>
      <c r="F4860" s="406" t="s">
        <v>13533</v>
      </c>
      <c r="G4860" s="386" t="s">
        <v>13658</v>
      </c>
      <c r="H4860" s="162" t="s">
        <v>13659</v>
      </c>
      <c r="K4860" s="536" t="s">
        <v>16982</v>
      </c>
      <c r="L4860" s="1" t="s">
        <v>16983</v>
      </c>
      <c r="M4860" s="1" t="s">
        <v>16984</v>
      </c>
      <c r="N4860">
        <v>4</v>
      </c>
      <c r="O4860" s="3">
        <v>18</v>
      </c>
      <c r="P4860" s="3">
        <v>18</v>
      </c>
      <c r="Q4860" s="3">
        <v>18</v>
      </c>
      <c r="R4860" s="3">
        <v>18</v>
      </c>
      <c r="S4860" s="3"/>
      <c r="T4860" s="223" t="s">
        <v>1581</v>
      </c>
      <c r="U4860" t="str">
        <f>VLOOKUP(T4860,[8]Votes!$A$1:$E$234,3,FALSE)</f>
        <v>119 Uganda Registration Services Bureau</v>
      </c>
      <c r="V4860" t="s">
        <v>16985</v>
      </c>
      <c r="W4860" s="407">
        <v>0</v>
      </c>
      <c r="X4860" s="407">
        <v>0</v>
      </c>
      <c r="Y4860" s="407">
        <v>0</v>
      </c>
      <c r="Z4860" s="407">
        <v>1</v>
      </c>
      <c r="AA4860" s="407">
        <v>1</v>
      </c>
      <c r="AB4860" s="407">
        <v>0</v>
      </c>
      <c r="AC4860" s="150">
        <v>0</v>
      </c>
      <c r="AD4860" s="150">
        <v>0</v>
      </c>
      <c r="AE4860" s="49">
        <f t="shared" si="174"/>
        <v>0.25</v>
      </c>
      <c r="AF4860" s="190"/>
      <c r="AG4860" s="17">
        <v>0</v>
      </c>
      <c r="AH4860" s="190">
        <v>0</v>
      </c>
      <c r="AI4860" s="44">
        <v>7.0000000000000007E-2</v>
      </c>
      <c r="AJ4860" s="44">
        <v>0.1</v>
      </c>
      <c r="AK4860" s="151">
        <v>0.1</v>
      </c>
      <c r="AL4860" s="151">
        <v>0.1</v>
      </c>
      <c r="AM4860" s="17">
        <f t="shared" si="175"/>
        <v>0.2</v>
      </c>
      <c r="AN4860" s="162" t="s">
        <v>1581</v>
      </c>
      <c r="AO4860" s="162" t="s">
        <v>1583</v>
      </c>
    </row>
    <row r="4861" spans="1:41" s="162" customFormat="1" x14ac:dyDescent="0.3">
      <c r="A4861" s="536" t="s">
        <v>8321</v>
      </c>
      <c r="B4861" s="162" t="s">
        <v>8322</v>
      </c>
      <c r="C4861" s="168" t="s">
        <v>13637</v>
      </c>
      <c r="D4861" s="162" t="s">
        <v>6838</v>
      </c>
      <c r="E4861" s="406" t="s">
        <v>13638</v>
      </c>
      <c r="F4861" s="406" t="s">
        <v>13533</v>
      </c>
      <c r="G4861" s="386" t="s">
        <v>13658</v>
      </c>
      <c r="H4861" s="162" t="s">
        <v>13659</v>
      </c>
      <c r="K4861" s="536" t="s">
        <v>16986</v>
      </c>
      <c r="L4861" s="1" t="s">
        <v>16987</v>
      </c>
      <c r="M4861" s="1" t="s">
        <v>16988</v>
      </c>
      <c r="N4861">
        <v>5</v>
      </c>
      <c r="O4861" s="3">
        <v>5</v>
      </c>
      <c r="P4861" s="3">
        <v>5</v>
      </c>
      <c r="Q4861" s="3">
        <v>5</v>
      </c>
      <c r="R4861" s="3">
        <v>5</v>
      </c>
      <c r="S4861" s="3">
        <v>5</v>
      </c>
      <c r="T4861" s="223" t="s">
        <v>1581</v>
      </c>
      <c r="U4861" t="str">
        <f>VLOOKUP(T4861,[8]Votes!$A$1:$E$234,3,FALSE)</f>
        <v>119 Uganda Registration Services Bureau</v>
      </c>
      <c r="V4861" t="s">
        <v>16989</v>
      </c>
      <c r="W4861" s="407">
        <v>0</v>
      </c>
      <c r="X4861" s="407">
        <v>0</v>
      </c>
      <c r="Y4861" s="407">
        <v>0</v>
      </c>
      <c r="Z4861" s="407">
        <v>1</v>
      </c>
      <c r="AA4861" s="407">
        <v>1</v>
      </c>
      <c r="AB4861" s="407">
        <v>0</v>
      </c>
      <c r="AC4861" s="150">
        <v>0</v>
      </c>
      <c r="AD4861" s="150">
        <v>0</v>
      </c>
      <c r="AE4861" s="49">
        <f t="shared" si="174"/>
        <v>0.25</v>
      </c>
      <c r="AF4861" s="190"/>
      <c r="AG4861" s="17">
        <v>0</v>
      </c>
      <c r="AH4861" s="190">
        <v>0</v>
      </c>
      <c r="AI4861" s="44">
        <v>0.05</v>
      </c>
      <c r="AJ4861" s="44">
        <v>7.0000000000000007E-2</v>
      </c>
      <c r="AK4861" s="151">
        <v>0.4</v>
      </c>
      <c r="AL4861" s="151">
        <f>0.09+0.31</f>
        <v>0.4</v>
      </c>
      <c r="AM4861" s="17">
        <f t="shared" si="175"/>
        <v>0.8</v>
      </c>
      <c r="AN4861" s="162" t="s">
        <v>1581</v>
      </c>
      <c r="AO4861" s="162" t="s">
        <v>1583</v>
      </c>
    </row>
    <row r="4862" spans="1:41" s="162" customFormat="1" x14ac:dyDescent="0.3">
      <c r="A4862" s="536" t="s">
        <v>8321</v>
      </c>
      <c r="B4862" s="162" t="s">
        <v>8322</v>
      </c>
      <c r="C4862" s="168" t="s">
        <v>13637</v>
      </c>
      <c r="D4862" s="162" t="s">
        <v>6838</v>
      </c>
      <c r="E4862" s="406" t="s">
        <v>13638</v>
      </c>
      <c r="F4862" s="406" t="s">
        <v>13533</v>
      </c>
      <c r="G4862" s="386" t="s">
        <v>13658</v>
      </c>
      <c r="H4862" s="162" t="s">
        <v>13659</v>
      </c>
      <c r="K4862" s="536" t="s">
        <v>16990</v>
      </c>
      <c r="L4862" s="1" t="s">
        <v>16991</v>
      </c>
      <c r="M4862" s="1" t="s">
        <v>16992</v>
      </c>
      <c r="N4862">
        <v>0</v>
      </c>
      <c r="O4862" s="3"/>
      <c r="P4862" s="3"/>
      <c r="Q4862" s="3"/>
      <c r="R4862" s="3"/>
      <c r="S4862" s="3">
        <v>1</v>
      </c>
      <c r="T4862" s="223" t="s">
        <v>1581</v>
      </c>
      <c r="U4862" t="str">
        <f>VLOOKUP(T4862,[8]Votes!$A$1:$E$234,3,FALSE)</f>
        <v>119 Uganda Registration Services Bureau</v>
      </c>
      <c r="V4862" t="s">
        <v>16993</v>
      </c>
      <c r="W4862" s="407">
        <v>0</v>
      </c>
      <c r="X4862" s="407">
        <v>0</v>
      </c>
      <c r="Y4862" s="407">
        <v>0</v>
      </c>
      <c r="Z4862" s="407">
        <v>1</v>
      </c>
      <c r="AA4862" s="407">
        <v>1</v>
      </c>
      <c r="AB4862" s="407">
        <v>0</v>
      </c>
      <c r="AC4862" s="150">
        <v>0</v>
      </c>
      <c r="AD4862" s="150">
        <v>0</v>
      </c>
      <c r="AE4862" s="49">
        <f t="shared" si="174"/>
        <v>0.25</v>
      </c>
      <c r="AF4862" s="190"/>
      <c r="AG4862" s="17">
        <v>0</v>
      </c>
      <c r="AH4862" s="190">
        <v>0</v>
      </c>
      <c r="AI4862" s="190">
        <v>0</v>
      </c>
      <c r="AJ4862" s="190">
        <v>0</v>
      </c>
      <c r="AK4862" s="191">
        <v>0</v>
      </c>
      <c r="AL4862" s="191">
        <v>0.05</v>
      </c>
      <c r="AM4862" s="17">
        <f t="shared" si="175"/>
        <v>0.05</v>
      </c>
      <c r="AN4862" s="162" t="s">
        <v>1581</v>
      </c>
      <c r="AO4862" s="162" t="s">
        <v>1583</v>
      </c>
    </row>
    <row r="4863" spans="1:41" s="162" customFormat="1" x14ac:dyDescent="0.3">
      <c r="A4863" s="536" t="s">
        <v>8321</v>
      </c>
      <c r="B4863" s="162" t="s">
        <v>8322</v>
      </c>
      <c r="C4863" s="168" t="s">
        <v>13637</v>
      </c>
      <c r="D4863" s="162" t="s">
        <v>6838</v>
      </c>
      <c r="E4863" s="406" t="s">
        <v>13638</v>
      </c>
      <c r="F4863" s="406" t="s">
        <v>13533</v>
      </c>
      <c r="G4863" s="386" t="s">
        <v>13658</v>
      </c>
      <c r="H4863" s="162" t="s">
        <v>13659</v>
      </c>
      <c r="K4863" s="536" t="s">
        <v>16994</v>
      </c>
      <c r="L4863" s="1" t="s">
        <v>16995</v>
      </c>
      <c r="M4863" s="1" t="s">
        <v>16996</v>
      </c>
      <c r="N4863">
        <v>0</v>
      </c>
      <c r="O4863" s="3">
        <v>2</v>
      </c>
      <c r="P4863" s="3">
        <v>2</v>
      </c>
      <c r="Q4863" s="3">
        <v>3</v>
      </c>
      <c r="R4863" s="3">
        <v>3</v>
      </c>
      <c r="S4863" s="3">
        <v>3</v>
      </c>
      <c r="T4863" s="223" t="s">
        <v>1581</v>
      </c>
      <c r="U4863" t="str">
        <f>VLOOKUP(T4863,[8]Votes!$A$1:$E$234,3,FALSE)</f>
        <v>119 Uganda Registration Services Bureau</v>
      </c>
      <c r="V4863" t="s">
        <v>16997</v>
      </c>
      <c r="W4863" s="407">
        <v>1</v>
      </c>
      <c r="X4863" s="407">
        <v>1</v>
      </c>
      <c r="Y4863" s="407">
        <v>1</v>
      </c>
      <c r="Z4863" s="407">
        <v>1</v>
      </c>
      <c r="AA4863" s="407">
        <v>1</v>
      </c>
      <c r="AB4863" s="407">
        <v>0</v>
      </c>
      <c r="AC4863" s="150">
        <v>0</v>
      </c>
      <c r="AD4863" s="150">
        <v>1</v>
      </c>
      <c r="AE4863" s="49">
        <f t="shared" si="174"/>
        <v>0.75</v>
      </c>
      <c r="AF4863" s="190"/>
      <c r="AG4863" s="17">
        <v>0</v>
      </c>
      <c r="AH4863" s="190">
        <v>0</v>
      </c>
      <c r="AI4863" s="44">
        <v>0.63</v>
      </c>
      <c r="AJ4863" s="44">
        <v>0.6</v>
      </c>
      <c r="AK4863" s="151">
        <v>0.6</v>
      </c>
      <c r="AL4863" s="151">
        <v>0.6</v>
      </c>
      <c r="AM4863" s="17">
        <f t="shared" si="175"/>
        <v>1.2</v>
      </c>
      <c r="AN4863" s="162" t="s">
        <v>1581</v>
      </c>
      <c r="AO4863" s="162" t="s">
        <v>1583</v>
      </c>
    </row>
    <row r="4864" spans="1:41" s="162" customFormat="1" x14ac:dyDescent="0.3">
      <c r="A4864" s="536" t="s">
        <v>8321</v>
      </c>
      <c r="B4864" s="162" t="s">
        <v>8322</v>
      </c>
      <c r="C4864" s="168" t="s">
        <v>13637</v>
      </c>
      <c r="D4864" s="162" t="s">
        <v>6838</v>
      </c>
      <c r="E4864" s="406" t="s">
        <v>13638</v>
      </c>
      <c r="F4864" s="406" t="s">
        <v>13533</v>
      </c>
      <c r="G4864" s="386" t="s">
        <v>13658</v>
      </c>
      <c r="H4864" s="162" t="s">
        <v>13659</v>
      </c>
      <c r="K4864" s="536" t="s">
        <v>16998</v>
      </c>
      <c r="L4864" s="1" t="s">
        <v>16999</v>
      </c>
      <c r="M4864" s="1" t="s">
        <v>17000</v>
      </c>
      <c r="N4864">
        <v>4</v>
      </c>
      <c r="O4864" s="3">
        <v>4</v>
      </c>
      <c r="P4864" s="3">
        <v>4</v>
      </c>
      <c r="Q4864" s="3">
        <v>4</v>
      </c>
      <c r="R4864" s="3">
        <v>4</v>
      </c>
      <c r="S4864" s="3">
        <v>4</v>
      </c>
      <c r="T4864" s="223" t="s">
        <v>1581</v>
      </c>
      <c r="U4864" t="str">
        <f>VLOOKUP(T4864,[8]Votes!$A$1:$E$234,3,FALSE)</f>
        <v>119 Uganda Registration Services Bureau</v>
      </c>
      <c r="V4864" t="s">
        <v>17001</v>
      </c>
      <c r="W4864" s="407">
        <v>0</v>
      </c>
      <c r="X4864" s="407">
        <v>0</v>
      </c>
      <c r="Y4864" s="407">
        <v>0</v>
      </c>
      <c r="Z4864" s="407">
        <v>1</v>
      </c>
      <c r="AA4864" s="407">
        <v>1</v>
      </c>
      <c r="AB4864" s="407">
        <v>0</v>
      </c>
      <c r="AC4864" s="150">
        <v>0</v>
      </c>
      <c r="AD4864" s="150">
        <v>0</v>
      </c>
      <c r="AE4864" s="49">
        <f t="shared" si="174"/>
        <v>0.25</v>
      </c>
      <c r="AF4864" s="190"/>
      <c r="AG4864" s="17">
        <v>0</v>
      </c>
      <c r="AH4864" s="190">
        <v>0</v>
      </c>
      <c r="AI4864" s="44">
        <v>0.08</v>
      </c>
      <c r="AJ4864" s="44">
        <v>0.1</v>
      </c>
      <c r="AK4864" s="151">
        <v>0.1</v>
      </c>
      <c r="AL4864" s="151">
        <v>0.1</v>
      </c>
      <c r="AM4864" s="17">
        <f t="shared" si="175"/>
        <v>0.2</v>
      </c>
      <c r="AN4864" s="162" t="s">
        <v>1581</v>
      </c>
      <c r="AO4864" s="162" t="s">
        <v>1583</v>
      </c>
    </row>
    <row r="4865" spans="1:41" s="162" customFormat="1" x14ac:dyDescent="0.3">
      <c r="A4865" s="536" t="s">
        <v>8321</v>
      </c>
      <c r="B4865" s="162" t="s">
        <v>8322</v>
      </c>
      <c r="C4865" s="168" t="s">
        <v>13637</v>
      </c>
      <c r="D4865" s="162" t="s">
        <v>6838</v>
      </c>
      <c r="E4865" s="406" t="s">
        <v>13638</v>
      </c>
      <c r="F4865" s="406" t="s">
        <v>13533</v>
      </c>
      <c r="G4865" s="386" t="s">
        <v>13639</v>
      </c>
      <c r="H4865" s="162" t="s">
        <v>13640</v>
      </c>
      <c r="K4865" s="386" t="s">
        <v>16521</v>
      </c>
      <c r="L4865" s="1" t="s">
        <v>17002</v>
      </c>
      <c r="M4865" s="1" t="s">
        <v>17003</v>
      </c>
      <c r="N4865">
        <v>1</v>
      </c>
      <c r="O4865" s="3">
        <v>1</v>
      </c>
      <c r="P4865" s="3">
        <v>1</v>
      </c>
      <c r="Q4865" s="3">
        <v>1</v>
      </c>
      <c r="R4865" s="3">
        <v>1</v>
      </c>
      <c r="S4865" s="3">
        <v>1</v>
      </c>
      <c r="T4865" s="223" t="s">
        <v>1581</v>
      </c>
      <c r="U4865" t="str">
        <f>VLOOKUP(T4865,[8]Votes!$A$1:$E$234,3,FALSE)</f>
        <v>119 Uganda Registration Services Bureau</v>
      </c>
      <c r="V4865" t="s">
        <v>17004</v>
      </c>
      <c r="W4865" s="407">
        <v>1</v>
      </c>
      <c r="X4865" s="407">
        <v>1</v>
      </c>
      <c r="Y4865" s="407">
        <v>1</v>
      </c>
      <c r="Z4865" s="407">
        <v>1</v>
      </c>
      <c r="AA4865" s="407">
        <v>1</v>
      </c>
      <c r="AB4865" s="407">
        <v>1</v>
      </c>
      <c r="AC4865" s="150">
        <v>0</v>
      </c>
      <c r="AD4865" s="150">
        <v>1</v>
      </c>
      <c r="AE4865" s="49">
        <f t="shared" si="174"/>
        <v>0.875</v>
      </c>
      <c r="AF4865" s="190"/>
      <c r="AG4865" s="17">
        <v>0</v>
      </c>
      <c r="AH4865" s="190">
        <v>0</v>
      </c>
      <c r="AI4865" s="44">
        <v>6</v>
      </c>
      <c r="AJ4865" s="44">
        <v>6</v>
      </c>
      <c r="AK4865" s="151">
        <v>10</v>
      </c>
      <c r="AL4865" s="151">
        <v>10</v>
      </c>
      <c r="AM4865" s="17">
        <f t="shared" si="175"/>
        <v>20</v>
      </c>
      <c r="AN4865" s="162" t="s">
        <v>1581</v>
      </c>
      <c r="AO4865" s="162" t="s">
        <v>1583</v>
      </c>
    </row>
    <row r="4866" spans="1:41" s="162" customFormat="1" x14ac:dyDescent="0.3">
      <c r="A4866" s="536" t="s">
        <v>8321</v>
      </c>
      <c r="B4866" s="162" t="s">
        <v>8322</v>
      </c>
      <c r="C4866" s="168" t="s">
        <v>13637</v>
      </c>
      <c r="D4866" s="162" t="s">
        <v>6838</v>
      </c>
      <c r="E4866" s="406" t="s">
        <v>13638</v>
      </c>
      <c r="F4866" s="406" t="s">
        <v>13533</v>
      </c>
      <c r="G4866" s="386" t="s">
        <v>13639</v>
      </c>
      <c r="H4866" s="162" t="s">
        <v>13640</v>
      </c>
      <c r="K4866" s="162">
        <v>16760181</v>
      </c>
      <c r="L4866" s="1" t="s">
        <v>17005</v>
      </c>
      <c r="M4866" s="1" t="s">
        <v>17006</v>
      </c>
      <c r="N4866">
        <v>4</v>
      </c>
      <c r="O4866" s="3"/>
      <c r="P4866" s="3">
        <v>16</v>
      </c>
      <c r="Q4866" s="3">
        <v>16</v>
      </c>
      <c r="R4866" s="3">
        <v>16</v>
      </c>
      <c r="S4866" s="3">
        <v>16</v>
      </c>
      <c r="T4866" s="223" t="s">
        <v>1581</v>
      </c>
      <c r="U4866" t="str">
        <f>VLOOKUP(T4866,[8]Votes!$A$1:$E$234,3,FALSE)</f>
        <v>119 Uganda Registration Services Bureau</v>
      </c>
      <c r="V4866" t="s">
        <v>17007</v>
      </c>
      <c r="W4866" s="407">
        <v>1</v>
      </c>
      <c r="X4866" s="407">
        <v>1</v>
      </c>
      <c r="Y4866" s="407">
        <v>1</v>
      </c>
      <c r="Z4866" s="407">
        <v>1</v>
      </c>
      <c r="AA4866" s="407">
        <v>1</v>
      </c>
      <c r="AB4866" s="407">
        <v>1</v>
      </c>
      <c r="AC4866" s="150">
        <v>1</v>
      </c>
      <c r="AD4866" s="150">
        <v>1</v>
      </c>
      <c r="AE4866" s="49">
        <f t="shared" si="174"/>
        <v>1</v>
      </c>
      <c r="AF4866" s="190"/>
      <c r="AG4866" s="17">
        <v>0</v>
      </c>
      <c r="AH4866" s="190">
        <v>0</v>
      </c>
      <c r="AI4866" s="44">
        <v>5</v>
      </c>
      <c r="AJ4866" s="44">
        <v>5</v>
      </c>
      <c r="AK4866" s="151">
        <v>4.5</v>
      </c>
      <c r="AL4866" s="151">
        <v>2.5</v>
      </c>
      <c r="AM4866" s="17">
        <f t="shared" si="175"/>
        <v>7</v>
      </c>
      <c r="AN4866" s="162" t="s">
        <v>1581</v>
      </c>
      <c r="AO4866" s="162" t="s">
        <v>1583</v>
      </c>
    </row>
    <row r="4867" spans="1:41" s="162" customFormat="1" x14ac:dyDescent="0.3">
      <c r="A4867" s="536" t="s">
        <v>8321</v>
      </c>
      <c r="B4867" s="162" t="s">
        <v>8322</v>
      </c>
      <c r="C4867" s="168" t="s">
        <v>13637</v>
      </c>
      <c r="D4867" s="162" t="s">
        <v>6838</v>
      </c>
      <c r="E4867" s="406" t="s">
        <v>13638</v>
      </c>
      <c r="F4867" s="406" t="s">
        <v>13533</v>
      </c>
      <c r="G4867" s="386" t="s">
        <v>13639</v>
      </c>
      <c r="H4867" s="162" t="s">
        <v>13640</v>
      </c>
      <c r="K4867" s="386" t="s">
        <v>16434</v>
      </c>
      <c r="L4867" s="162" t="s">
        <v>16435</v>
      </c>
      <c r="M4867" s="1" t="s">
        <v>17008</v>
      </c>
      <c r="N4867">
        <v>1</v>
      </c>
      <c r="O4867" s="3">
        <v>1</v>
      </c>
      <c r="P4867" s="3">
        <v>1</v>
      </c>
      <c r="Q4867" s="3">
        <v>1</v>
      </c>
      <c r="R4867" s="3">
        <v>1</v>
      </c>
      <c r="S4867" s="3">
        <v>1</v>
      </c>
      <c r="T4867" s="223" t="s">
        <v>1581</v>
      </c>
      <c r="U4867" t="str">
        <f>VLOOKUP(T4867,[8]Votes!$A$1:$E$234,3,FALSE)</f>
        <v>119 Uganda Registration Services Bureau</v>
      </c>
      <c r="V4867" t="s">
        <v>17009</v>
      </c>
      <c r="W4867" s="407">
        <v>1</v>
      </c>
      <c r="X4867" s="407">
        <v>0</v>
      </c>
      <c r="Y4867" s="407">
        <v>0</v>
      </c>
      <c r="Z4867" s="407">
        <v>1</v>
      </c>
      <c r="AA4867" s="407">
        <v>1</v>
      </c>
      <c r="AB4867" s="407">
        <v>0</v>
      </c>
      <c r="AC4867" s="150">
        <v>0</v>
      </c>
      <c r="AD4867" s="150">
        <v>0</v>
      </c>
      <c r="AE4867" s="49">
        <f t="shared" si="174"/>
        <v>0.375</v>
      </c>
      <c r="AF4867" s="190"/>
      <c r="AG4867" s="17">
        <v>0</v>
      </c>
      <c r="AH4867" s="190">
        <v>0</v>
      </c>
      <c r="AI4867" s="44">
        <v>0.68</v>
      </c>
      <c r="AJ4867" s="44">
        <v>0.68</v>
      </c>
      <c r="AK4867" s="151">
        <v>0.68</v>
      </c>
      <c r="AL4867" s="151">
        <v>0.68</v>
      </c>
      <c r="AM4867" s="17">
        <f t="shared" si="175"/>
        <v>1.36</v>
      </c>
      <c r="AN4867" s="162" t="s">
        <v>1581</v>
      </c>
      <c r="AO4867" s="162" t="s">
        <v>1583</v>
      </c>
    </row>
    <row r="4868" spans="1:41" s="162" customFormat="1" x14ac:dyDescent="0.3">
      <c r="A4868" s="536" t="s">
        <v>8321</v>
      </c>
      <c r="B4868" s="162" t="s">
        <v>8322</v>
      </c>
      <c r="C4868" s="168" t="s">
        <v>13637</v>
      </c>
      <c r="D4868" s="162" t="s">
        <v>6838</v>
      </c>
      <c r="E4868" s="406" t="s">
        <v>13638</v>
      </c>
      <c r="F4868" s="406" t="s">
        <v>13533</v>
      </c>
      <c r="G4868" s="386" t="s">
        <v>13639</v>
      </c>
      <c r="H4868" s="162" t="s">
        <v>13640</v>
      </c>
      <c r="K4868" s="162">
        <v>16760182</v>
      </c>
      <c r="L4868" s="162" t="s">
        <v>17010</v>
      </c>
      <c r="M4868" s="162" t="s">
        <v>17011</v>
      </c>
      <c r="N4868" s="162">
        <v>1</v>
      </c>
      <c r="O4868" s="224">
        <v>0</v>
      </c>
      <c r="P4868" s="224">
        <v>0</v>
      </c>
      <c r="Q4868" s="224">
        <v>1</v>
      </c>
      <c r="R4868" s="224">
        <v>0</v>
      </c>
      <c r="S4868" s="224">
        <v>0</v>
      </c>
      <c r="T4868" s="223" t="s">
        <v>14567</v>
      </c>
      <c r="U4868" t="str">
        <f>VLOOKUP(T4868,[8]Votes!$A$1:$E$234,3,FALSE)</f>
        <v>106 Uganda Human Rights Commission</v>
      </c>
      <c r="V4868" s="162" t="s">
        <v>17012</v>
      </c>
      <c r="W4868" s="407">
        <v>1</v>
      </c>
      <c r="X4868" s="407">
        <v>0</v>
      </c>
      <c r="Y4868" s="407">
        <v>0</v>
      </c>
      <c r="Z4868" s="407">
        <v>1</v>
      </c>
      <c r="AA4868" s="407">
        <v>1</v>
      </c>
      <c r="AB4868" s="407">
        <v>0</v>
      </c>
      <c r="AC4868" s="150">
        <v>1</v>
      </c>
      <c r="AD4868" s="150">
        <v>0</v>
      </c>
      <c r="AE4868" s="49">
        <f t="shared" si="174"/>
        <v>0.5</v>
      </c>
      <c r="AF4868" s="190"/>
      <c r="AG4868" s="17">
        <v>0</v>
      </c>
      <c r="AH4868" s="190">
        <v>0</v>
      </c>
      <c r="AI4868" s="190">
        <v>0</v>
      </c>
      <c r="AJ4868" s="485">
        <v>10</v>
      </c>
      <c r="AK4868" s="191">
        <v>0</v>
      </c>
      <c r="AL4868" s="173">
        <v>0</v>
      </c>
      <c r="AM4868" s="17">
        <f t="shared" si="175"/>
        <v>0</v>
      </c>
      <c r="AN4868" s="162" t="s">
        <v>14567</v>
      </c>
      <c r="AO4868" s="162" t="s">
        <v>14570</v>
      </c>
    </row>
    <row r="4869" spans="1:41" s="162" customFormat="1" x14ac:dyDescent="0.3">
      <c r="A4869" s="536" t="s">
        <v>8321</v>
      </c>
      <c r="B4869" s="162" t="s">
        <v>8322</v>
      </c>
      <c r="C4869" s="168" t="s">
        <v>13637</v>
      </c>
      <c r="D4869" s="162" t="s">
        <v>6838</v>
      </c>
      <c r="E4869" s="406" t="s">
        <v>13638</v>
      </c>
      <c r="F4869" s="406" t="s">
        <v>13533</v>
      </c>
      <c r="G4869" s="386" t="s">
        <v>13639</v>
      </c>
      <c r="H4869" s="162" t="s">
        <v>13640</v>
      </c>
      <c r="K4869" s="162">
        <v>16760183</v>
      </c>
      <c r="L4869" s="162" t="s">
        <v>17013</v>
      </c>
      <c r="M4869" s="162" t="s">
        <v>17014</v>
      </c>
      <c r="N4869" s="162">
        <v>0</v>
      </c>
      <c r="O4869" s="224">
        <v>0</v>
      </c>
      <c r="P4869" s="224">
        <v>0</v>
      </c>
      <c r="Q4869" s="224">
        <v>1</v>
      </c>
      <c r="R4869" s="224">
        <v>0</v>
      </c>
      <c r="S4869" s="224">
        <v>0</v>
      </c>
      <c r="T4869" s="223" t="s">
        <v>14567</v>
      </c>
      <c r="U4869" t="str">
        <f>VLOOKUP(T4869,[8]Votes!$A$1:$E$234,3,FALSE)</f>
        <v>106 Uganda Human Rights Commission</v>
      </c>
      <c r="V4869" s="162" t="s">
        <v>17015</v>
      </c>
      <c r="W4869" s="407">
        <v>1</v>
      </c>
      <c r="X4869" s="407">
        <v>1</v>
      </c>
      <c r="Y4869" s="407">
        <v>0</v>
      </c>
      <c r="Z4869" s="407">
        <v>1</v>
      </c>
      <c r="AA4869" s="407">
        <v>1</v>
      </c>
      <c r="AB4869" s="407">
        <v>0</v>
      </c>
      <c r="AC4869" s="150">
        <v>1</v>
      </c>
      <c r="AD4869" s="150">
        <v>0</v>
      </c>
      <c r="AE4869" s="49">
        <f t="shared" si="174"/>
        <v>0.625</v>
      </c>
      <c r="AF4869" s="190"/>
      <c r="AG4869" s="17">
        <v>0</v>
      </c>
      <c r="AH4869" s="190">
        <v>0</v>
      </c>
      <c r="AI4869" s="190">
        <v>0</v>
      </c>
      <c r="AJ4869" s="485">
        <v>8</v>
      </c>
      <c r="AK4869" s="191">
        <v>0</v>
      </c>
      <c r="AL4869" s="191">
        <v>0</v>
      </c>
      <c r="AM4869" s="17">
        <f t="shared" si="175"/>
        <v>0</v>
      </c>
      <c r="AN4869" s="162" t="s">
        <v>14567</v>
      </c>
      <c r="AO4869" s="162" t="s">
        <v>14570</v>
      </c>
    </row>
    <row r="4870" spans="1:41" s="162" customFormat="1" x14ac:dyDescent="0.3">
      <c r="A4870" s="536" t="s">
        <v>8321</v>
      </c>
      <c r="B4870" s="162" t="s">
        <v>8322</v>
      </c>
      <c r="C4870" s="168" t="s">
        <v>13637</v>
      </c>
      <c r="D4870" s="162" t="s">
        <v>6838</v>
      </c>
      <c r="E4870" s="406" t="s">
        <v>13638</v>
      </c>
      <c r="F4870" s="406" t="s">
        <v>13533</v>
      </c>
      <c r="G4870" s="386" t="s">
        <v>13639</v>
      </c>
      <c r="H4870" s="162" t="s">
        <v>13640</v>
      </c>
      <c r="K4870" s="162">
        <v>16760184</v>
      </c>
      <c r="L4870" s="162" t="s">
        <v>17016</v>
      </c>
      <c r="M4870" s="162" t="s">
        <v>17017</v>
      </c>
      <c r="N4870" s="162">
        <v>22</v>
      </c>
      <c r="O4870" s="224" t="s">
        <v>17018</v>
      </c>
      <c r="P4870" s="224">
        <v>5</v>
      </c>
      <c r="Q4870" s="224">
        <v>2</v>
      </c>
      <c r="R4870" s="224">
        <v>0</v>
      </c>
      <c r="S4870" s="224">
        <v>1</v>
      </c>
      <c r="T4870" s="223" t="s">
        <v>14567</v>
      </c>
      <c r="U4870" t="str">
        <f>VLOOKUP(T4870,[8]Votes!$A$1:$E$234,3,FALSE)</f>
        <v>106 Uganda Human Rights Commission</v>
      </c>
      <c r="V4870" s="162" t="s">
        <v>17019</v>
      </c>
      <c r="W4870" s="407">
        <v>1</v>
      </c>
      <c r="X4870" s="407">
        <v>1</v>
      </c>
      <c r="Y4870" s="407">
        <v>0</v>
      </c>
      <c r="Z4870" s="407">
        <v>1</v>
      </c>
      <c r="AA4870" s="407">
        <v>1</v>
      </c>
      <c r="AB4870" s="407">
        <v>1</v>
      </c>
      <c r="AC4870" s="150">
        <v>1</v>
      </c>
      <c r="AD4870" s="150">
        <v>0</v>
      </c>
      <c r="AE4870" s="49">
        <f t="shared" si="174"/>
        <v>0.75</v>
      </c>
      <c r="AF4870" s="485"/>
      <c r="AG4870" s="17">
        <v>0</v>
      </c>
      <c r="AH4870" s="485">
        <v>2.8340000000000001</v>
      </c>
      <c r="AI4870" s="485">
        <v>1.0920000000000001</v>
      </c>
      <c r="AJ4870" s="485">
        <v>0.36399999999999999</v>
      </c>
      <c r="AK4870" s="191">
        <v>0</v>
      </c>
      <c r="AL4870" s="173">
        <v>0.28000000000000003</v>
      </c>
      <c r="AM4870" s="17">
        <f t="shared" si="175"/>
        <v>0.28000000000000003</v>
      </c>
      <c r="AN4870" s="162" t="s">
        <v>14567</v>
      </c>
      <c r="AO4870" s="162" t="s">
        <v>14570</v>
      </c>
    </row>
    <row r="4871" spans="1:41" s="162" customFormat="1" x14ac:dyDescent="0.3">
      <c r="A4871" s="536" t="s">
        <v>8321</v>
      </c>
      <c r="B4871" s="162" t="s">
        <v>8322</v>
      </c>
      <c r="C4871" s="168" t="s">
        <v>13637</v>
      </c>
      <c r="D4871" s="162" t="s">
        <v>6838</v>
      </c>
      <c r="E4871" s="406" t="s">
        <v>13638</v>
      </c>
      <c r="F4871" s="406" t="s">
        <v>13533</v>
      </c>
      <c r="G4871" s="386" t="s">
        <v>13639</v>
      </c>
      <c r="H4871" s="162" t="s">
        <v>13640</v>
      </c>
      <c r="K4871" s="162">
        <v>16760185</v>
      </c>
      <c r="L4871" s="162" t="s">
        <v>17020</v>
      </c>
      <c r="M4871" s="162" t="s">
        <v>17021</v>
      </c>
      <c r="N4871" s="162">
        <v>5</v>
      </c>
      <c r="O4871" s="224">
        <v>40</v>
      </c>
      <c r="P4871" s="224">
        <v>40</v>
      </c>
      <c r="Q4871" s="224">
        <v>40</v>
      </c>
      <c r="R4871" s="224">
        <v>40</v>
      </c>
      <c r="S4871" s="224">
        <v>40</v>
      </c>
      <c r="T4871" s="223" t="s">
        <v>14567</v>
      </c>
      <c r="U4871" t="str">
        <f>VLOOKUP(T4871,[8]Votes!$A$1:$E$234,3,FALSE)</f>
        <v>106 Uganda Human Rights Commission</v>
      </c>
      <c r="V4871" s="162" t="s">
        <v>17022</v>
      </c>
      <c r="W4871" s="407">
        <v>1</v>
      </c>
      <c r="X4871" s="407">
        <v>1</v>
      </c>
      <c r="Y4871" s="407">
        <v>0</v>
      </c>
      <c r="Z4871" s="407">
        <v>1</v>
      </c>
      <c r="AA4871" s="407">
        <v>1</v>
      </c>
      <c r="AB4871" s="407">
        <v>1</v>
      </c>
      <c r="AC4871" s="150">
        <v>1</v>
      </c>
      <c r="AD4871" s="150">
        <v>0</v>
      </c>
      <c r="AE4871" s="49">
        <f t="shared" si="174"/>
        <v>0.75</v>
      </c>
      <c r="AF4871" s="485"/>
      <c r="AG4871" s="17">
        <v>0</v>
      </c>
      <c r="AH4871" s="485">
        <v>0.3</v>
      </c>
      <c r="AI4871" s="485">
        <v>0.4</v>
      </c>
      <c r="AJ4871" s="485">
        <v>0.5</v>
      </c>
      <c r="AK4871" s="493">
        <v>0.2</v>
      </c>
      <c r="AL4871" s="173">
        <v>0.4</v>
      </c>
      <c r="AM4871" s="17">
        <f t="shared" si="175"/>
        <v>0.60000000000000009</v>
      </c>
      <c r="AN4871" s="162" t="s">
        <v>14567</v>
      </c>
      <c r="AO4871" s="162" t="s">
        <v>14570</v>
      </c>
    </row>
    <row r="4872" spans="1:41" s="162" customFormat="1" x14ac:dyDescent="0.3">
      <c r="A4872" s="536" t="s">
        <v>8321</v>
      </c>
      <c r="B4872" s="162" t="s">
        <v>8322</v>
      </c>
      <c r="C4872" s="168" t="s">
        <v>13637</v>
      </c>
      <c r="D4872" s="162" t="s">
        <v>6838</v>
      </c>
      <c r="E4872" s="406" t="s">
        <v>13638</v>
      </c>
      <c r="F4872" s="406" t="s">
        <v>13533</v>
      </c>
      <c r="G4872" s="386" t="s">
        <v>13639</v>
      </c>
      <c r="H4872" s="162" t="s">
        <v>13640</v>
      </c>
      <c r="K4872" s="162">
        <v>16760186</v>
      </c>
      <c r="L4872" s="162" t="s">
        <v>17023</v>
      </c>
      <c r="M4872" s="162" t="s">
        <v>17024</v>
      </c>
      <c r="N4872" s="162">
        <v>20</v>
      </c>
      <c r="O4872" s="506">
        <v>200</v>
      </c>
      <c r="P4872" s="506">
        <v>200</v>
      </c>
      <c r="Q4872" s="506">
        <v>200</v>
      </c>
      <c r="R4872" s="506">
        <v>0</v>
      </c>
      <c r="S4872" s="506">
        <v>0</v>
      </c>
      <c r="T4872" s="223" t="s">
        <v>14567</v>
      </c>
      <c r="U4872" t="str">
        <f>VLOOKUP(T4872,[8]Votes!$A$1:$E$234,3,FALSE)</f>
        <v>106 Uganda Human Rights Commission</v>
      </c>
      <c r="V4872" s="162" t="s">
        <v>17025</v>
      </c>
      <c r="W4872" s="407">
        <v>1</v>
      </c>
      <c r="X4872" s="407">
        <v>0</v>
      </c>
      <c r="Y4872" s="407">
        <v>0</v>
      </c>
      <c r="Z4872" s="407">
        <v>1</v>
      </c>
      <c r="AA4872" s="407">
        <v>1</v>
      </c>
      <c r="AB4872" s="407">
        <v>0</v>
      </c>
      <c r="AC4872" s="150">
        <v>1</v>
      </c>
      <c r="AD4872" s="150">
        <v>0</v>
      </c>
      <c r="AE4872" s="49">
        <f t="shared" si="174"/>
        <v>0.5</v>
      </c>
      <c r="AF4872" s="485"/>
      <c r="AG4872" s="17">
        <v>0</v>
      </c>
      <c r="AH4872" s="485">
        <v>0.05</v>
      </c>
      <c r="AI4872" s="485">
        <v>0.04</v>
      </c>
      <c r="AJ4872" s="485">
        <v>0.03</v>
      </c>
      <c r="AK4872" s="493">
        <v>0</v>
      </c>
      <c r="AL4872" s="173">
        <v>0</v>
      </c>
      <c r="AM4872" s="17">
        <f t="shared" si="175"/>
        <v>0</v>
      </c>
      <c r="AN4872" s="162" t="s">
        <v>14567</v>
      </c>
      <c r="AO4872" s="162" t="s">
        <v>14570</v>
      </c>
    </row>
    <row r="4873" spans="1:41" s="162" customFormat="1" x14ac:dyDescent="0.3">
      <c r="A4873" s="536" t="s">
        <v>8321</v>
      </c>
      <c r="B4873" s="162" t="s">
        <v>8322</v>
      </c>
      <c r="C4873" s="168" t="s">
        <v>13637</v>
      </c>
      <c r="D4873" s="162" t="s">
        <v>6838</v>
      </c>
      <c r="E4873" s="406" t="s">
        <v>13638</v>
      </c>
      <c r="F4873" s="406" t="s">
        <v>13533</v>
      </c>
      <c r="G4873" s="386" t="s">
        <v>13639</v>
      </c>
      <c r="H4873" s="162" t="s">
        <v>13640</v>
      </c>
      <c r="K4873" s="162">
        <v>16760187</v>
      </c>
      <c r="L4873" s="162" t="s">
        <v>17026</v>
      </c>
      <c r="M4873" s="162" t="s">
        <v>16984</v>
      </c>
      <c r="N4873" s="162">
        <v>181</v>
      </c>
      <c r="O4873" s="224">
        <v>200</v>
      </c>
      <c r="P4873" s="224">
        <v>200</v>
      </c>
      <c r="Q4873" s="224">
        <v>200</v>
      </c>
      <c r="R4873" s="224">
        <v>200</v>
      </c>
      <c r="S4873" s="224">
        <v>200</v>
      </c>
      <c r="T4873" s="223" t="s">
        <v>14567</v>
      </c>
      <c r="U4873" t="str">
        <f>VLOOKUP(T4873,[8]Votes!$A$1:$E$234,3,FALSE)</f>
        <v>106 Uganda Human Rights Commission</v>
      </c>
      <c r="V4873" s="162" t="s">
        <v>17026</v>
      </c>
      <c r="W4873" s="407">
        <v>1</v>
      </c>
      <c r="X4873" s="407">
        <v>0</v>
      </c>
      <c r="Y4873" s="407">
        <v>0</v>
      </c>
      <c r="Z4873" s="407">
        <v>1</v>
      </c>
      <c r="AA4873" s="407">
        <v>1</v>
      </c>
      <c r="AB4873" s="407">
        <v>0</v>
      </c>
      <c r="AC4873" s="150">
        <v>1</v>
      </c>
      <c r="AD4873" s="150">
        <v>0</v>
      </c>
      <c r="AE4873" s="49">
        <f t="shared" si="174"/>
        <v>0.5</v>
      </c>
      <c r="AF4873" s="485"/>
      <c r="AG4873" s="17">
        <v>0</v>
      </c>
      <c r="AH4873" s="485">
        <v>0.5</v>
      </c>
      <c r="AI4873" s="485">
        <v>0.5</v>
      </c>
      <c r="AJ4873" s="485">
        <v>0.6</v>
      </c>
      <c r="AK4873" s="493">
        <v>0.3</v>
      </c>
      <c r="AL4873" s="173">
        <v>0.2</v>
      </c>
      <c r="AM4873" s="17">
        <f t="shared" si="175"/>
        <v>0.5</v>
      </c>
      <c r="AN4873" s="162" t="s">
        <v>14567</v>
      </c>
      <c r="AO4873" s="162" t="s">
        <v>14570</v>
      </c>
    </row>
    <row r="4874" spans="1:41" s="162" customFormat="1" x14ac:dyDescent="0.3">
      <c r="A4874" s="536" t="s">
        <v>8321</v>
      </c>
      <c r="B4874" s="162" t="s">
        <v>8322</v>
      </c>
      <c r="C4874" s="168" t="s">
        <v>13637</v>
      </c>
      <c r="D4874" s="162" t="s">
        <v>6838</v>
      </c>
      <c r="E4874" s="406" t="s">
        <v>13638</v>
      </c>
      <c r="F4874" s="406" t="s">
        <v>13533</v>
      </c>
      <c r="G4874" s="386" t="s">
        <v>13639</v>
      </c>
      <c r="H4874" s="162" t="s">
        <v>13640</v>
      </c>
      <c r="K4874" s="162">
        <v>16760188</v>
      </c>
      <c r="L4874" s="162" t="s">
        <v>17027</v>
      </c>
      <c r="M4874" s="162" t="s">
        <v>17028</v>
      </c>
      <c r="N4874" s="162">
        <v>0</v>
      </c>
      <c r="O4874" s="224">
        <v>0</v>
      </c>
      <c r="P4874" s="224">
        <v>1</v>
      </c>
      <c r="Q4874" s="224">
        <v>0</v>
      </c>
      <c r="R4874" s="224">
        <v>0</v>
      </c>
      <c r="S4874" s="224">
        <v>0</v>
      </c>
      <c r="T4874" s="223" t="s">
        <v>14567</v>
      </c>
      <c r="U4874" t="str">
        <f>VLOOKUP(T4874,[8]Votes!$A$1:$E$234,3,FALSE)</f>
        <v>106 Uganda Human Rights Commission</v>
      </c>
      <c r="V4874" s="162" t="s">
        <v>17029</v>
      </c>
      <c r="W4874" s="407">
        <v>1</v>
      </c>
      <c r="X4874" s="407">
        <v>0</v>
      </c>
      <c r="Y4874" s="407">
        <v>0</v>
      </c>
      <c r="Z4874" s="407">
        <v>1</v>
      </c>
      <c r="AA4874" s="407">
        <v>1</v>
      </c>
      <c r="AB4874" s="407">
        <v>0</v>
      </c>
      <c r="AC4874" s="150">
        <v>1</v>
      </c>
      <c r="AD4874" s="150">
        <v>0</v>
      </c>
      <c r="AE4874" s="49">
        <f t="shared" si="174"/>
        <v>0.5</v>
      </c>
      <c r="AF4874" s="190"/>
      <c r="AG4874" s="17">
        <v>0</v>
      </c>
      <c r="AH4874" s="190">
        <v>0</v>
      </c>
      <c r="AI4874" s="485">
        <v>0.16</v>
      </c>
      <c r="AJ4874" s="485">
        <v>0.15</v>
      </c>
      <c r="AK4874" s="493">
        <v>0.06</v>
      </c>
      <c r="AL4874" s="173">
        <v>0.15</v>
      </c>
      <c r="AM4874" s="17">
        <f t="shared" si="175"/>
        <v>0.21</v>
      </c>
      <c r="AN4874" s="162" t="s">
        <v>14567</v>
      </c>
      <c r="AO4874" s="162" t="s">
        <v>14570</v>
      </c>
    </row>
    <row r="4875" spans="1:41" s="162" customFormat="1" x14ac:dyDescent="0.3">
      <c r="A4875" s="536" t="s">
        <v>8321</v>
      </c>
      <c r="B4875" s="162" t="s">
        <v>8322</v>
      </c>
      <c r="C4875" s="168" t="s">
        <v>13637</v>
      </c>
      <c r="D4875" s="162" t="s">
        <v>6838</v>
      </c>
      <c r="E4875" s="406" t="s">
        <v>13638</v>
      </c>
      <c r="F4875" s="406" t="s">
        <v>13533</v>
      </c>
      <c r="G4875" s="386" t="s">
        <v>13639</v>
      </c>
      <c r="H4875" s="162" t="s">
        <v>13640</v>
      </c>
      <c r="K4875" s="162">
        <v>16760189</v>
      </c>
      <c r="L4875" s="162" t="s">
        <v>17030</v>
      </c>
      <c r="M4875" s="162" t="s">
        <v>17031</v>
      </c>
      <c r="N4875" s="162">
        <v>0</v>
      </c>
      <c r="O4875" s="224">
        <v>0</v>
      </c>
      <c r="P4875" s="224">
        <v>1</v>
      </c>
      <c r="Q4875" s="224">
        <v>0</v>
      </c>
      <c r="R4875" s="224">
        <v>0</v>
      </c>
      <c r="S4875" s="224">
        <v>0</v>
      </c>
      <c r="T4875" s="223" t="s">
        <v>14567</v>
      </c>
      <c r="U4875" t="str">
        <f>VLOOKUP(T4875,[8]Votes!$A$1:$E$234,3,FALSE)</f>
        <v>106 Uganda Human Rights Commission</v>
      </c>
      <c r="V4875" s="162" t="s">
        <v>17032</v>
      </c>
      <c r="W4875" s="407">
        <v>1</v>
      </c>
      <c r="X4875" s="407">
        <v>0</v>
      </c>
      <c r="Y4875" s="407">
        <v>0</v>
      </c>
      <c r="Z4875" s="407">
        <v>1</v>
      </c>
      <c r="AA4875" s="407">
        <v>1</v>
      </c>
      <c r="AB4875" s="407">
        <v>0</v>
      </c>
      <c r="AC4875" s="150">
        <v>1</v>
      </c>
      <c r="AD4875" s="150">
        <v>0</v>
      </c>
      <c r="AE4875" s="49">
        <f t="shared" si="174"/>
        <v>0.5</v>
      </c>
      <c r="AF4875" s="190"/>
      <c r="AG4875" s="17">
        <v>0</v>
      </c>
      <c r="AH4875" s="190">
        <v>0</v>
      </c>
      <c r="AI4875" s="485">
        <v>0.3</v>
      </c>
      <c r="AJ4875" s="190">
        <v>0</v>
      </c>
      <c r="AK4875" s="191">
        <v>0</v>
      </c>
      <c r="AL4875" s="191">
        <v>0</v>
      </c>
      <c r="AM4875" s="17">
        <f t="shared" si="175"/>
        <v>0</v>
      </c>
      <c r="AN4875" s="162" t="s">
        <v>14567</v>
      </c>
      <c r="AO4875" s="162" t="s">
        <v>14570</v>
      </c>
    </row>
    <row r="4876" spans="1:41" s="162" customFormat="1" x14ac:dyDescent="0.3">
      <c r="A4876" s="536" t="s">
        <v>8321</v>
      </c>
      <c r="B4876" s="162" t="s">
        <v>8322</v>
      </c>
      <c r="C4876" s="168" t="s">
        <v>13637</v>
      </c>
      <c r="D4876" s="162" t="s">
        <v>6838</v>
      </c>
      <c r="E4876" s="406" t="s">
        <v>13638</v>
      </c>
      <c r="F4876" s="406" t="s">
        <v>13533</v>
      </c>
      <c r="G4876" s="386" t="s">
        <v>13639</v>
      </c>
      <c r="H4876" s="162" t="s">
        <v>13640</v>
      </c>
      <c r="K4876" s="162">
        <v>16760190</v>
      </c>
      <c r="L4876" s="162" t="s">
        <v>17033</v>
      </c>
      <c r="M4876" s="162" t="s">
        <v>17034</v>
      </c>
      <c r="N4876" s="162">
        <v>0</v>
      </c>
      <c r="O4876" s="224">
        <v>0</v>
      </c>
      <c r="P4876" s="224">
        <v>1</v>
      </c>
      <c r="Q4876" s="224">
        <v>0</v>
      </c>
      <c r="R4876" s="224">
        <v>0</v>
      </c>
      <c r="S4876" s="224">
        <v>1</v>
      </c>
      <c r="T4876" s="223" t="s">
        <v>14567</v>
      </c>
      <c r="U4876" t="str">
        <f>VLOOKUP(T4876,[8]Votes!$A$1:$E$234,3,FALSE)</f>
        <v>106 Uganda Human Rights Commission</v>
      </c>
      <c r="V4876" s="162" t="s">
        <v>17035</v>
      </c>
      <c r="W4876" s="407">
        <v>1</v>
      </c>
      <c r="X4876" s="407">
        <v>0</v>
      </c>
      <c r="Y4876" s="407">
        <v>0</v>
      </c>
      <c r="Z4876" s="407">
        <v>1</v>
      </c>
      <c r="AA4876" s="407">
        <v>1</v>
      </c>
      <c r="AB4876" s="407">
        <v>0</v>
      </c>
      <c r="AC4876" s="150">
        <v>1</v>
      </c>
      <c r="AD4876" s="150">
        <v>0</v>
      </c>
      <c r="AE4876" s="49">
        <f t="shared" si="174"/>
        <v>0.5</v>
      </c>
      <c r="AF4876" s="190"/>
      <c r="AG4876" s="17">
        <v>0</v>
      </c>
      <c r="AH4876" s="190">
        <v>0</v>
      </c>
      <c r="AI4876" s="485">
        <v>0.4</v>
      </c>
      <c r="AJ4876" s="190">
        <v>0</v>
      </c>
      <c r="AK4876" s="191">
        <v>0</v>
      </c>
      <c r="AL4876" s="173">
        <v>0.2</v>
      </c>
      <c r="AM4876" s="17">
        <f t="shared" si="175"/>
        <v>0.2</v>
      </c>
      <c r="AN4876" s="162" t="s">
        <v>14567</v>
      </c>
      <c r="AO4876" s="162" t="s">
        <v>14570</v>
      </c>
    </row>
    <row r="4877" spans="1:41" s="162" customFormat="1" x14ac:dyDescent="0.3">
      <c r="A4877" s="536" t="s">
        <v>8321</v>
      </c>
      <c r="B4877" s="162" t="s">
        <v>8322</v>
      </c>
      <c r="C4877" s="168" t="s">
        <v>13637</v>
      </c>
      <c r="D4877" s="162" t="s">
        <v>6838</v>
      </c>
      <c r="E4877" s="406" t="s">
        <v>13638</v>
      </c>
      <c r="F4877" s="406" t="s">
        <v>13533</v>
      </c>
      <c r="G4877" s="386" t="s">
        <v>13639</v>
      </c>
      <c r="H4877" s="162" t="s">
        <v>13640</v>
      </c>
      <c r="K4877" s="162">
        <v>16760191</v>
      </c>
      <c r="L4877" s="162" t="s">
        <v>17036</v>
      </c>
      <c r="M4877" s="162" t="s">
        <v>17037</v>
      </c>
      <c r="N4877" s="162">
        <v>0</v>
      </c>
      <c r="O4877" s="224">
        <v>0</v>
      </c>
      <c r="P4877" s="224">
        <v>0</v>
      </c>
      <c r="Q4877" s="224">
        <v>1</v>
      </c>
      <c r="R4877" s="224">
        <v>0</v>
      </c>
      <c r="S4877" s="224">
        <v>1</v>
      </c>
      <c r="T4877" s="223" t="s">
        <v>14567</v>
      </c>
      <c r="U4877" t="str">
        <f>VLOOKUP(T4877,[8]Votes!$A$1:$E$234,3,FALSE)</f>
        <v>106 Uganda Human Rights Commission</v>
      </c>
      <c r="V4877" s="162" t="s">
        <v>17038</v>
      </c>
      <c r="W4877" s="407">
        <v>1</v>
      </c>
      <c r="X4877" s="407">
        <v>0</v>
      </c>
      <c r="Y4877" s="407">
        <v>0</v>
      </c>
      <c r="Z4877" s="407">
        <v>1</v>
      </c>
      <c r="AA4877" s="407">
        <v>1</v>
      </c>
      <c r="AB4877" s="407">
        <v>0</v>
      </c>
      <c r="AC4877" s="150">
        <v>1</v>
      </c>
      <c r="AD4877" s="150">
        <v>0</v>
      </c>
      <c r="AE4877" s="49">
        <f t="shared" si="174"/>
        <v>0.5</v>
      </c>
      <c r="AF4877" s="190"/>
      <c r="AG4877" s="17">
        <v>0</v>
      </c>
      <c r="AH4877" s="190">
        <v>0</v>
      </c>
      <c r="AI4877" s="190">
        <v>0</v>
      </c>
      <c r="AJ4877" s="485">
        <v>0.25</v>
      </c>
      <c r="AK4877" s="191">
        <v>0</v>
      </c>
      <c r="AL4877" s="173">
        <v>0.1</v>
      </c>
      <c r="AM4877" s="17">
        <f t="shared" si="175"/>
        <v>0.1</v>
      </c>
      <c r="AN4877" s="162" t="s">
        <v>14567</v>
      </c>
      <c r="AO4877" s="162" t="s">
        <v>14570</v>
      </c>
    </row>
    <row r="4878" spans="1:41" s="162" customFormat="1" x14ac:dyDescent="0.3">
      <c r="A4878" s="536" t="s">
        <v>8321</v>
      </c>
      <c r="B4878" s="162" t="s">
        <v>8322</v>
      </c>
      <c r="C4878" s="168" t="s">
        <v>13637</v>
      </c>
      <c r="D4878" s="162" t="s">
        <v>6838</v>
      </c>
      <c r="E4878" s="406" t="s">
        <v>13638</v>
      </c>
      <c r="F4878" s="406" t="s">
        <v>13533</v>
      </c>
      <c r="G4878" s="386" t="s">
        <v>13658</v>
      </c>
      <c r="H4878" s="162" t="s">
        <v>13659</v>
      </c>
      <c r="K4878" s="536" t="s">
        <v>17039</v>
      </c>
      <c r="L4878" s="162" t="s">
        <v>17040</v>
      </c>
      <c r="M4878" s="162" t="s">
        <v>17041</v>
      </c>
      <c r="N4878" s="162">
        <v>0</v>
      </c>
      <c r="O4878" s="224">
        <v>0</v>
      </c>
      <c r="P4878" s="224">
        <v>0</v>
      </c>
      <c r="Q4878" s="224">
        <v>1</v>
      </c>
      <c r="R4878" s="224">
        <v>0</v>
      </c>
      <c r="S4878" s="224">
        <v>0</v>
      </c>
      <c r="T4878" s="223" t="s">
        <v>14567</v>
      </c>
      <c r="U4878" t="str">
        <f>VLOOKUP(T4878,[8]Votes!$A$1:$E$234,3,FALSE)</f>
        <v>106 Uganda Human Rights Commission</v>
      </c>
      <c r="V4878" s="162" t="s">
        <v>17040</v>
      </c>
      <c r="W4878" s="407">
        <v>0</v>
      </c>
      <c r="X4878" s="407">
        <v>0</v>
      </c>
      <c r="Y4878" s="407">
        <v>0</v>
      </c>
      <c r="Z4878" s="407">
        <v>1</v>
      </c>
      <c r="AA4878" s="407">
        <v>1</v>
      </c>
      <c r="AB4878" s="407">
        <v>0</v>
      </c>
      <c r="AC4878" s="150">
        <v>1</v>
      </c>
      <c r="AD4878" s="150">
        <v>0</v>
      </c>
      <c r="AE4878" s="49">
        <f t="shared" si="174"/>
        <v>0.375</v>
      </c>
      <c r="AF4878" s="190"/>
      <c r="AG4878" s="17">
        <v>0</v>
      </c>
      <c r="AH4878" s="190">
        <v>0</v>
      </c>
      <c r="AI4878" s="190">
        <v>0</v>
      </c>
      <c r="AJ4878" s="485">
        <v>0.2</v>
      </c>
      <c r="AK4878" s="191">
        <v>0</v>
      </c>
      <c r="AL4878" s="191">
        <v>0</v>
      </c>
      <c r="AM4878" s="17">
        <f t="shared" si="175"/>
        <v>0</v>
      </c>
      <c r="AN4878" s="162" t="s">
        <v>14567</v>
      </c>
      <c r="AO4878" s="162" t="s">
        <v>14570</v>
      </c>
    </row>
    <row r="4879" spans="1:41" s="162" customFormat="1" x14ac:dyDescent="0.3">
      <c r="A4879" s="536" t="s">
        <v>8321</v>
      </c>
      <c r="B4879" s="162" t="s">
        <v>8322</v>
      </c>
      <c r="C4879" s="168" t="s">
        <v>13637</v>
      </c>
      <c r="D4879" s="162" t="s">
        <v>6838</v>
      </c>
      <c r="E4879" s="406" t="s">
        <v>13638</v>
      </c>
      <c r="F4879" s="406" t="s">
        <v>13533</v>
      </c>
      <c r="G4879" s="386" t="s">
        <v>13658</v>
      </c>
      <c r="H4879" s="162" t="s">
        <v>13659</v>
      </c>
      <c r="K4879" s="536" t="s">
        <v>17042</v>
      </c>
      <c r="L4879" s="162" t="s">
        <v>17043</v>
      </c>
      <c r="M4879" s="162" t="s">
        <v>17044</v>
      </c>
      <c r="N4879" s="162">
        <v>4</v>
      </c>
      <c r="O4879" s="224">
        <v>4</v>
      </c>
      <c r="P4879" s="224">
        <v>4</v>
      </c>
      <c r="Q4879" s="224">
        <v>4</v>
      </c>
      <c r="R4879" s="224">
        <v>4</v>
      </c>
      <c r="S4879" s="506">
        <v>4</v>
      </c>
      <c r="T4879" s="223" t="s">
        <v>14567</v>
      </c>
      <c r="U4879" t="str">
        <f>VLOOKUP(T4879,[8]Votes!$A$1:$E$234,3,FALSE)</f>
        <v>106 Uganda Human Rights Commission</v>
      </c>
      <c r="V4879" s="162" t="s">
        <v>17045</v>
      </c>
      <c r="W4879" s="407">
        <v>1</v>
      </c>
      <c r="X4879" s="407">
        <v>0</v>
      </c>
      <c r="Y4879" s="407">
        <v>0</v>
      </c>
      <c r="Z4879" s="407">
        <v>1</v>
      </c>
      <c r="AA4879" s="407">
        <v>1</v>
      </c>
      <c r="AB4879" s="407">
        <v>0</v>
      </c>
      <c r="AC4879" s="150">
        <v>1</v>
      </c>
      <c r="AD4879" s="150">
        <v>0</v>
      </c>
      <c r="AE4879" s="49">
        <f t="shared" si="174"/>
        <v>0.5</v>
      </c>
      <c r="AF4879" s="485"/>
      <c r="AG4879" s="17">
        <v>0</v>
      </c>
      <c r="AH4879" s="485">
        <v>0.65800000000000003</v>
      </c>
      <c r="AI4879" s="485">
        <v>0.65800000000000003</v>
      </c>
      <c r="AJ4879" s="485">
        <v>0.65800000000000003</v>
      </c>
      <c r="AK4879" s="493">
        <v>0.08</v>
      </c>
      <c r="AL4879" s="493">
        <v>0.08</v>
      </c>
      <c r="AM4879" s="17">
        <f t="shared" si="175"/>
        <v>0.16</v>
      </c>
      <c r="AN4879" s="162" t="s">
        <v>14567</v>
      </c>
      <c r="AO4879" s="162" t="s">
        <v>14570</v>
      </c>
    </row>
    <row r="4880" spans="1:41" s="162" customFormat="1" x14ac:dyDescent="0.3">
      <c r="A4880" s="536" t="s">
        <v>8321</v>
      </c>
      <c r="B4880" s="162" t="s">
        <v>8322</v>
      </c>
      <c r="C4880" s="168" t="s">
        <v>13637</v>
      </c>
      <c r="D4880" s="162" t="s">
        <v>6838</v>
      </c>
      <c r="E4880" s="406" t="s">
        <v>13638</v>
      </c>
      <c r="F4880" s="406" t="s">
        <v>13533</v>
      </c>
      <c r="G4880" s="386" t="s">
        <v>13658</v>
      </c>
      <c r="H4880" s="162" t="s">
        <v>13659</v>
      </c>
      <c r="K4880" s="536" t="s">
        <v>17046</v>
      </c>
      <c r="L4880" s="162" t="s">
        <v>17047</v>
      </c>
      <c r="M4880" s="162" t="s">
        <v>17048</v>
      </c>
      <c r="N4880" s="162">
        <v>5</v>
      </c>
      <c r="O4880" s="224">
        <v>5</v>
      </c>
      <c r="P4880" s="224">
        <v>5</v>
      </c>
      <c r="Q4880" s="224">
        <v>5</v>
      </c>
      <c r="R4880" s="224">
        <v>5</v>
      </c>
      <c r="S4880" s="506">
        <v>5</v>
      </c>
      <c r="T4880" s="223" t="s">
        <v>14567</v>
      </c>
      <c r="U4880" t="str">
        <f>VLOOKUP(T4880,[8]Votes!$A$1:$E$234,3,FALSE)</f>
        <v>106 Uganda Human Rights Commission</v>
      </c>
      <c r="V4880" s="162" t="s">
        <v>17049</v>
      </c>
      <c r="W4880" s="407">
        <v>0</v>
      </c>
      <c r="X4880" s="407">
        <v>0</v>
      </c>
      <c r="Y4880" s="407">
        <v>0</v>
      </c>
      <c r="Z4880" s="407">
        <v>1</v>
      </c>
      <c r="AA4880" s="407">
        <v>1</v>
      </c>
      <c r="AB4880" s="407">
        <v>0</v>
      </c>
      <c r="AC4880" s="150">
        <v>1</v>
      </c>
      <c r="AD4880" s="150">
        <v>0</v>
      </c>
      <c r="AE4880" s="49">
        <f t="shared" si="174"/>
        <v>0.375</v>
      </c>
      <c r="AF4880" s="485"/>
      <c r="AG4880" s="17">
        <v>0</v>
      </c>
      <c r="AH4880" s="485">
        <v>0.52</v>
      </c>
      <c r="AI4880" s="485">
        <v>0.52</v>
      </c>
      <c r="AJ4880" s="485">
        <v>0.52</v>
      </c>
      <c r="AK4880" s="493">
        <v>0.02</v>
      </c>
      <c r="AL4880" s="493">
        <v>0.02</v>
      </c>
      <c r="AM4880" s="17">
        <f t="shared" si="175"/>
        <v>0.04</v>
      </c>
      <c r="AN4880" s="162" t="s">
        <v>14567</v>
      </c>
      <c r="AO4880" s="162" t="s">
        <v>14570</v>
      </c>
    </row>
    <row r="4881" spans="1:41" s="162" customFormat="1" x14ac:dyDescent="0.3">
      <c r="A4881" s="536" t="s">
        <v>8321</v>
      </c>
      <c r="B4881" s="162" t="s">
        <v>8322</v>
      </c>
      <c r="C4881" s="168" t="s">
        <v>13637</v>
      </c>
      <c r="D4881" s="162" t="s">
        <v>6838</v>
      </c>
      <c r="E4881" s="406" t="s">
        <v>13638</v>
      </c>
      <c r="F4881" s="406" t="s">
        <v>13533</v>
      </c>
      <c r="G4881" s="386" t="s">
        <v>13658</v>
      </c>
      <c r="H4881" s="162" t="s">
        <v>13659</v>
      </c>
      <c r="K4881" s="536" t="s">
        <v>17050</v>
      </c>
      <c r="L4881" s="162" t="s">
        <v>17051</v>
      </c>
      <c r="M4881" s="162" t="s">
        <v>17052</v>
      </c>
      <c r="N4881" s="162">
        <v>4</v>
      </c>
      <c r="O4881" s="224">
        <v>4</v>
      </c>
      <c r="P4881" s="224">
        <v>4</v>
      </c>
      <c r="Q4881" s="224">
        <v>4</v>
      </c>
      <c r="R4881" s="224">
        <v>4</v>
      </c>
      <c r="S4881" s="506">
        <v>4</v>
      </c>
      <c r="T4881" s="223" t="s">
        <v>14567</v>
      </c>
      <c r="U4881" t="str">
        <f>VLOOKUP(T4881,[8]Votes!$A$1:$E$234,3,FALSE)</f>
        <v>106 Uganda Human Rights Commission</v>
      </c>
      <c r="V4881" s="162" t="s">
        <v>17053</v>
      </c>
      <c r="W4881" s="407">
        <v>0</v>
      </c>
      <c r="X4881" s="407">
        <v>0</v>
      </c>
      <c r="Y4881" s="407">
        <v>0</v>
      </c>
      <c r="Z4881" s="407">
        <v>1</v>
      </c>
      <c r="AA4881" s="407">
        <v>1</v>
      </c>
      <c r="AB4881" s="407">
        <v>0</v>
      </c>
      <c r="AC4881" s="150">
        <v>1</v>
      </c>
      <c r="AD4881" s="150">
        <v>0</v>
      </c>
      <c r="AE4881" s="49">
        <f t="shared" si="174"/>
        <v>0.375</v>
      </c>
      <c r="AF4881" s="485"/>
      <c r="AG4881" s="17">
        <v>0</v>
      </c>
      <c r="AH4881" s="485">
        <v>0.9</v>
      </c>
      <c r="AI4881" s="485">
        <v>0.9</v>
      </c>
      <c r="AJ4881" s="485">
        <v>0.9</v>
      </c>
      <c r="AK4881" s="493">
        <v>0.05</v>
      </c>
      <c r="AL4881" s="493">
        <v>0.05</v>
      </c>
      <c r="AM4881" s="17">
        <f t="shared" si="175"/>
        <v>0.1</v>
      </c>
      <c r="AN4881" s="162" t="s">
        <v>14567</v>
      </c>
      <c r="AO4881" s="162" t="s">
        <v>14570</v>
      </c>
    </row>
    <row r="4882" spans="1:41" s="162" customFormat="1" x14ac:dyDescent="0.3">
      <c r="A4882" s="536" t="s">
        <v>8321</v>
      </c>
      <c r="B4882" s="162" t="s">
        <v>8322</v>
      </c>
      <c r="C4882" s="168" t="s">
        <v>13637</v>
      </c>
      <c r="D4882" s="162" t="s">
        <v>6838</v>
      </c>
      <c r="E4882" s="406" t="s">
        <v>13638</v>
      </c>
      <c r="F4882" s="406" t="s">
        <v>13533</v>
      </c>
      <c r="G4882" s="386" t="s">
        <v>13658</v>
      </c>
      <c r="H4882" s="162" t="s">
        <v>13659</v>
      </c>
      <c r="K4882" s="536" t="s">
        <v>17054</v>
      </c>
      <c r="L4882" s="162" t="s">
        <v>17055</v>
      </c>
      <c r="M4882" s="162" t="s">
        <v>17056</v>
      </c>
      <c r="N4882" s="162">
        <v>0</v>
      </c>
      <c r="O4882" s="224">
        <v>0</v>
      </c>
      <c r="P4882" s="224">
        <v>0</v>
      </c>
      <c r="Q4882" s="224">
        <v>1</v>
      </c>
      <c r="R4882" s="224">
        <v>1</v>
      </c>
      <c r="S4882" s="506">
        <v>1</v>
      </c>
      <c r="T4882" s="223" t="s">
        <v>14567</v>
      </c>
      <c r="U4882" t="str">
        <f>VLOOKUP(T4882,[8]Votes!$A$1:$E$234,3,FALSE)</f>
        <v>106 Uganda Human Rights Commission</v>
      </c>
      <c r="V4882" s="162" t="s">
        <v>17057</v>
      </c>
      <c r="W4882" s="407">
        <v>0</v>
      </c>
      <c r="X4882" s="407">
        <v>0</v>
      </c>
      <c r="Y4882" s="407">
        <v>0</v>
      </c>
      <c r="Z4882" s="407">
        <v>1</v>
      </c>
      <c r="AA4882" s="407">
        <v>1</v>
      </c>
      <c r="AB4882" s="407">
        <v>0</v>
      </c>
      <c r="AC4882" s="150">
        <v>1</v>
      </c>
      <c r="AD4882" s="150">
        <v>0</v>
      </c>
      <c r="AE4882" s="49">
        <f t="shared" si="174"/>
        <v>0.375</v>
      </c>
      <c r="AF4882" s="485"/>
      <c r="AG4882" s="17">
        <v>0</v>
      </c>
      <c r="AH4882" s="485">
        <v>0.5</v>
      </c>
      <c r="AI4882" s="485">
        <v>0.5</v>
      </c>
      <c r="AJ4882" s="485">
        <v>0.5</v>
      </c>
      <c r="AK4882" s="493">
        <v>0.05</v>
      </c>
      <c r="AL4882" s="493">
        <v>0.02</v>
      </c>
      <c r="AM4882" s="17">
        <f t="shared" si="175"/>
        <v>7.0000000000000007E-2</v>
      </c>
      <c r="AN4882" s="162" t="s">
        <v>14567</v>
      </c>
      <c r="AO4882" s="162" t="s">
        <v>14570</v>
      </c>
    </row>
    <row r="4883" spans="1:41" s="162" customFormat="1" x14ac:dyDescent="0.3">
      <c r="A4883" s="536" t="s">
        <v>8321</v>
      </c>
      <c r="B4883" s="162" t="s">
        <v>8322</v>
      </c>
      <c r="C4883" s="168" t="s">
        <v>13637</v>
      </c>
      <c r="D4883" s="162" t="s">
        <v>6838</v>
      </c>
      <c r="E4883" s="406" t="s">
        <v>13638</v>
      </c>
      <c r="F4883" s="406" t="s">
        <v>13533</v>
      </c>
      <c r="G4883" s="386" t="s">
        <v>13658</v>
      </c>
      <c r="H4883" s="162" t="s">
        <v>13659</v>
      </c>
      <c r="K4883" s="536" t="s">
        <v>17058</v>
      </c>
      <c r="L4883" s="162" t="s">
        <v>17059</v>
      </c>
      <c r="M4883" s="162" t="s">
        <v>12652</v>
      </c>
      <c r="N4883" s="162">
        <v>0</v>
      </c>
      <c r="O4883" s="224">
        <v>0</v>
      </c>
      <c r="P4883" s="224">
        <v>70</v>
      </c>
      <c r="Q4883" s="224">
        <v>0</v>
      </c>
      <c r="R4883" s="224">
        <v>0</v>
      </c>
      <c r="S4883" s="506">
        <v>0</v>
      </c>
      <c r="T4883" s="223" t="s">
        <v>14567</v>
      </c>
      <c r="U4883" t="str">
        <f>VLOOKUP(T4883,[8]Votes!$A$1:$E$234,3,FALSE)</f>
        <v>106 Uganda Human Rights Commission</v>
      </c>
      <c r="V4883" s="162" t="s">
        <v>17060</v>
      </c>
      <c r="W4883" s="407">
        <v>0</v>
      </c>
      <c r="X4883" s="407">
        <v>0</v>
      </c>
      <c r="Y4883" s="407">
        <v>0</v>
      </c>
      <c r="Z4883" s="407">
        <v>1</v>
      </c>
      <c r="AA4883" s="407">
        <v>1</v>
      </c>
      <c r="AB4883" s="407">
        <v>0</v>
      </c>
      <c r="AC4883" s="150">
        <v>1</v>
      </c>
      <c r="AD4883" s="150">
        <v>0</v>
      </c>
      <c r="AE4883" s="49">
        <f t="shared" si="174"/>
        <v>0.375</v>
      </c>
      <c r="AF4883" s="190"/>
      <c r="AG4883" s="17">
        <v>0</v>
      </c>
      <c r="AH4883" s="190">
        <v>0</v>
      </c>
      <c r="AI4883" s="485">
        <v>0.6</v>
      </c>
      <c r="AJ4883" s="190">
        <v>0</v>
      </c>
      <c r="AK4883" s="493">
        <v>0</v>
      </c>
      <c r="AL4883" s="191">
        <v>0</v>
      </c>
      <c r="AM4883" s="17">
        <f t="shared" si="175"/>
        <v>0</v>
      </c>
      <c r="AN4883" s="162" t="s">
        <v>14567</v>
      </c>
      <c r="AO4883" s="162" t="s">
        <v>14570</v>
      </c>
    </row>
    <row r="4884" spans="1:41" s="162" customFormat="1" x14ac:dyDescent="0.3">
      <c r="A4884" s="536" t="s">
        <v>8321</v>
      </c>
      <c r="B4884" s="162" t="s">
        <v>8322</v>
      </c>
      <c r="C4884" s="168" t="s">
        <v>13637</v>
      </c>
      <c r="D4884" s="162" t="s">
        <v>6838</v>
      </c>
      <c r="E4884" s="406" t="s">
        <v>13638</v>
      </c>
      <c r="F4884" s="406" t="s">
        <v>13533</v>
      </c>
      <c r="G4884" s="386" t="s">
        <v>13658</v>
      </c>
      <c r="H4884" s="162" t="s">
        <v>13659</v>
      </c>
      <c r="K4884" s="536" t="s">
        <v>17061</v>
      </c>
      <c r="L4884" s="162" t="s">
        <v>17062</v>
      </c>
      <c r="M4884" s="162" t="s">
        <v>17063</v>
      </c>
      <c r="N4884" s="162">
        <v>1</v>
      </c>
      <c r="O4884" s="224">
        <v>0</v>
      </c>
      <c r="P4884" s="224">
        <v>0</v>
      </c>
      <c r="Q4884" s="224">
        <v>0</v>
      </c>
      <c r="R4884" s="224">
        <v>0</v>
      </c>
      <c r="S4884" s="506">
        <v>1</v>
      </c>
      <c r="T4884" s="223" t="s">
        <v>14567</v>
      </c>
      <c r="U4884" t="str">
        <f>VLOOKUP(T4884,[8]Votes!$A$1:$E$234,3,FALSE)</f>
        <v>106 Uganda Human Rights Commission</v>
      </c>
      <c r="V4884" s="162" t="s">
        <v>17064</v>
      </c>
      <c r="W4884" s="407">
        <v>0</v>
      </c>
      <c r="X4884" s="407">
        <v>0</v>
      </c>
      <c r="Y4884" s="407">
        <v>0</v>
      </c>
      <c r="Z4884" s="407">
        <v>1</v>
      </c>
      <c r="AA4884" s="407">
        <v>1</v>
      </c>
      <c r="AB4884" s="407">
        <v>0</v>
      </c>
      <c r="AC4884" s="150">
        <v>1</v>
      </c>
      <c r="AD4884" s="150">
        <v>0</v>
      </c>
      <c r="AE4884" s="49">
        <f t="shared" si="174"/>
        <v>0.375</v>
      </c>
      <c r="AF4884" s="190"/>
      <c r="AG4884" s="17">
        <v>0</v>
      </c>
      <c r="AH4884" s="190">
        <v>0</v>
      </c>
      <c r="AI4884" s="190">
        <v>0</v>
      </c>
      <c r="AJ4884" s="190">
        <v>0</v>
      </c>
      <c r="AK4884" s="191">
        <v>0</v>
      </c>
      <c r="AL4884" s="493">
        <v>0.09</v>
      </c>
      <c r="AM4884" s="17">
        <f t="shared" si="175"/>
        <v>0.09</v>
      </c>
      <c r="AN4884" s="162" t="s">
        <v>14567</v>
      </c>
      <c r="AO4884" s="162" t="s">
        <v>14570</v>
      </c>
    </row>
    <row r="4885" spans="1:41" s="162" customFormat="1" x14ac:dyDescent="0.3">
      <c r="A4885" s="536" t="s">
        <v>8321</v>
      </c>
      <c r="B4885" s="162" t="s">
        <v>8322</v>
      </c>
      <c r="C4885" s="168" t="s">
        <v>13637</v>
      </c>
      <c r="D4885" s="162" t="s">
        <v>6838</v>
      </c>
      <c r="E4885" s="406" t="s">
        <v>13638</v>
      </c>
      <c r="F4885" s="406" t="s">
        <v>13533</v>
      </c>
      <c r="G4885" s="386" t="s">
        <v>13658</v>
      </c>
      <c r="H4885" s="162" t="s">
        <v>13659</v>
      </c>
      <c r="K4885" s="536" t="s">
        <v>17065</v>
      </c>
      <c r="L4885" s="162" t="s">
        <v>17066</v>
      </c>
      <c r="M4885" s="162" t="s">
        <v>17067</v>
      </c>
      <c r="N4885" s="462">
        <v>0.46</v>
      </c>
      <c r="O4885" s="492">
        <v>0.5</v>
      </c>
      <c r="P4885" s="492">
        <v>0.55000000000000004</v>
      </c>
      <c r="Q4885" s="492">
        <v>0.6</v>
      </c>
      <c r="R4885" s="492">
        <v>0.95</v>
      </c>
      <c r="S4885" s="492">
        <v>0.95</v>
      </c>
      <c r="T4885" s="223" t="s">
        <v>14567</v>
      </c>
      <c r="U4885" t="str">
        <f>VLOOKUP(T4885,[8]Votes!$A$1:$E$234,3,FALSE)</f>
        <v>106 Uganda Human Rights Commission</v>
      </c>
      <c r="V4885" s="162" t="s">
        <v>17068</v>
      </c>
      <c r="W4885" s="407">
        <v>0</v>
      </c>
      <c r="X4885" s="407">
        <v>0</v>
      </c>
      <c r="Y4885" s="407">
        <v>0</v>
      </c>
      <c r="Z4885" s="407">
        <v>1</v>
      </c>
      <c r="AA4885" s="407">
        <v>1</v>
      </c>
      <c r="AB4885" s="407">
        <v>0</v>
      </c>
      <c r="AC4885" s="150">
        <v>1</v>
      </c>
      <c r="AD4885" s="150">
        <v>0</v>
      </c>
      <c r="AE4885" s="49">
        <f t="shared" si="174"/>
        <v>0.375</v>
      </c>
      <c r="AF4885" s="485"/>
      <c r="AG4885" s="17">
        <v>0</v>
      </c>
      <c r="AH4885" s="485">
        <v>0.2</v>
      </c>
      <c r="AI4885" s="485">
        <v>0.2</v>
      </c>
      <c r="AJ4885" s="485">
        <v>0.2</v>
      </c>
      <c r="AK4885" s="493">
        <v>0</v>
      </c>
      <c r="AL4885" s="493">
        <v>0</v>
      </c>
      <c r="AM4885" s="17">
        <f t="shared" si="175"/>
        <v>0</v>
      </c>
      <c r="AN4885" s="162" t="s">
        <v>14567</v>
      </c>
      <c r="AO4885" s="162" t="s">
        <v>14570</v>
      </c>
    </row>
    <row r="4886" spans="1:41" s="162" customFormat="1" x14ac:dyDescent="0.3">
      <c r="A4886" s="536" t="s">
        <v>8321</v>
      </c>
      <c r="B4886" s="162" t="s">
        <v>8322</v>
      </c>
      <c r="C4886" s="168" t="s">
        <v>13637</v>
      </c>
      <c r="D4886" s="162" t="s">
        <v>6838</v>
      </c>
      <c r="E4886" s="406" t="s">
        <v>13638</v>
      </c>
      <c r="F4886" s="406" t="s">
        <v>13533</v>
      </c>
      <c r="G4886" s="386" t="s">
        <v>13639</v>
      </c>
      <c r="H4886" s="162" t="s">
        <v>13640</v>
      </c>
      <c r="K4886" s="162">
        <v>16760192</v>
      </c>
      <c r="L4886" s="162" t="s">
        <v>17069</v>
      </c>
      <c r="M4886" s="162" t="s">
        <v>17070</v>
      </c>
      <c r="N4886" s="162">
        <v>0</v>
      </c>
      <c r="O4886" s="224">
        <v>0</v>
      </c>
      <c r="P4886" s="224">
        <v>1</v>
      </c>
      <c r="Q4886" s="224">
        <v>0</v>
      </c>
      <c r="R4886" s="224">
        <v>0</v>
      </c>
      <c r="S4886" s="224">
        <v>0</v>
      </c>
      <c r="T4886" s="223" t="s">
        <v>14567</v>
      </c>
      <c r="U4886" t="str">
        <f>VLOOKUP(T4886,[8]Votes!$A$1:$E$234,3,FALSE)</f>
        <v>106 Uganda Human Rights Commission</v>
      </c>
      <c r="V4886" s="162" t="s">
        <v>17071</v>
      </c>
      <c r="W4886" s="407">
        <v>1</v>
      </c>
      <c r="X4886" s="407">
        <v>0</v>
      </c>
      <c r="Y4886" s="407">
        <v>0</v>
      </c>
      <c r="Z4886" s="407">
        <v>1</v>
      </c>
      <c r="AA4886" s="407">
        <v>1</v>
      </c>
      <c r="AB4886" s="407">
        <v>0</v>
      </c>
      <c r="AC4886" s="150">
        <v>1</v>
      </c>
      <c r="AD4886" s="150">
        <v>0</v>
      </c>
      <c r="AE4886" s="49">
        <f t="shared" si="174"/>
        <v>0.5</v>
      </c>
      <c r="AF4886" s="190"/>
      <c r="AG4886" s="17">
        <v>0</v>
      </c>
      <c r="AH4886" s="190">
        <v>0</v>
      </c>
      <c r="AI4886" s="485">
        <v>0.59</v>
      </c>
      <c r="AJ4886" s="190">
        <v>0</v>
      </c>
      <c r="AK4886" s="191">
        <v>0</v>
      </c>
      <c r="AL4886" s="191">
        <v>0</v>
      </c>
      <c r="AM4886" s="17">
        <f t="shared" si="175"/>
        <v>0</v>
      </c>
      <c r="AN4886" s="162" t="s">
        <v>14567</v>
      </c>
      <c r="AO4886" s="162" t="s">
        <v>14570</v>
      </c>
    </row>
    <row r="4887" spans="1:41" s="162" customFormat="1" x14ac:dyDescent="0.3">
      <c r="A4887" s="536" t="s">
        <v>8321</v>
      </c>
      <c r="B4887" s="162" t="s">
        <v>8322</v>
      </c>
      <c r="C4887" s="168" t="s">
        <v>13637</v>
      </c>
      <c r="D4887" s="162" t="s">
        <v>6838</v>
      </c>
      <c r="E4887" s="406" t="s">
        <v>13638</v>
      </c>
      <c r="F4887" s="406" t="s">
        <v>13533</v>
      </c>
      <c r="G4887" s="386" t="s">
        <v>13639</v>
      </c>
      <c r="H4887" s="162" t="s">
        <v>13640</v>
      </c>
      <c r="K4887" s="162">
        <v>16760193</v>
      </c>
      <c r="L4887" s="162" t="s">
        <v>17072</v>
      </c>
      <c r="M4887" s="162" t="s">
        <v>17073</v>
      </c>
      <c r="N4887" s="462">
        <v>0.46</v>
      </c>
      <c r="O4887" s="492">
        <v>0.8</v>
      </c>
      <c r="P4887" s="492">
        <v>0.9</v>
      </c>
      <c r="Q4887" s="492">
        <v>0.95</v>
      </c>
      <c r="R4887" s="492">
        <v>0.95</v>
      </c>
      <c r="S4887" s="492">
        <v>0.95</v>
      </c>
      <c r="T4887" s="223" t="s">
        <v>14567</v>
      </c>
      <c r="U4887" t="str">
        <f>VLOOKUP(T4887,[8]Votes!$A$1:$E$234,3,FALSE)</f>
        <v>106 Uganda Human Rights Commission</v>
      </c>
      <c r="V4887" s="162" t="s">
        <v>17071</v>
      </c>
      <c r="W4887" s="407">
        <v>1</v>
      </c>
      <c r="X4887" s="407">
        <v>0</v>
      </c>
      <c r="Y4887" s="407">
        <v>0</v>
      </c>
      <c r="Z4887" s="407">
        <v>1</v>
      </c>
      <c r="AA4887" s="407">
        <v>1</v>
      </c>
      <c r="AB4887" s="407">
        <v>0</v>
      </c>
      <c r="AC4887" s="150">
        <v>1</v>
      </c>
      <c r="AD4887" s="150">
        <v>0</v>
      </c>
      <c r="AE4887" s="49">
        <f t="shared" si="174"/>
        <v>0.5</v>
      </c>
      <c r="AF4887" s="485"/>
      <c r="AG4887" s="17">
        <v>0</v>
      </c>
      <c r="AH4887" s="485">
        <v>0.48</v>
      </c>
      <c r="AI4887" s="485">
        <v>0.48</v>
      </c>
      <c r="AJ4887" s="485">
        <v>0.48</v>
      </c>
      <c r="AK4887" s="493">
        <v>0.1</v>
      </c>
      <c r="AL4887" s="493">
        <v>0.1</v>
      </c>
      <c r="AM4887" s="17">
        <f t="shared" si="175"/>
        <v>0.2</v>
      </c>
      <c r="AN4887" s="162" t="s">
        <v>14567</v>
      </c>
      <c r="AO4887" s="162" t="s">
        <v>14570</v>
      </c>
    </row>
    <row r="4888" spans="1:41" s="162" customFormat="1" x14ac:dyDescent="0.3">
      <c r="A4888" s="536" t="s">
        <v>8321</v>
      </c>
      <c r="B4888" s="162" t="s">
        <v>8322</v>
      </c>
      <c r="C4888" s="168" t="s">
        <v>13637</v>
      </c>
      <c r="D4888" s="162" t="s">
        <v>6838</v>
      </c>
      <c r="E4888" s="406" t="s">
        <v>13638</v>
      </c>
      <c r="F4888" s="406" t="s">
        <v>13533</v>
      </c>
      <c r="G4888" s="386" t="s">
        <v>13639</v>
      </c>
      <c r="H4888" s="162" t="s">
        <v>13640</v>
      </c>
      <c r="K4888" s="162">
        <v>16760194</v>
      </c>
      <c r="L4888" s="162" t="s">
        <v>17074</v>
      </c>
      <c r="M4888" s="162" t="s">
        <v>17075</v>
      </c>
      <c r="N4888" s="162">
        <v>0</v>
      </c>
      <c r="O4888" s="224">
        <v>5</v>
      </c>
      <c r="P4888" s="224">
        <v>5</v>
      </c>
      <c r="Q4888" s="224">
        <v>0</v>
      </c>
      <c r="R4888" s="224">
        <v>0</v>
      </c>
      <c r="S4888" s="224">
        <v>0</v>
      </c>
      <c r="T4888" s="223" t="s">
        <v>14567</v>
      </c>
      <c r="U4888" t="str">
        <f>VLOOKUP(T4888,[8]Votes!$A$1:$E$234,3,FALSE)</f>
        <v>106 Uganda Human Rights Commission</v>
      </c>
      <c r="V4888" s="162" t="s">
        <v>17076</v>
      </c>
      <c r="W4888" s="407">
        <v>1</v>
      </c>
      <c r="X4888" s="407">
        <v>0</v>
      </c>
      <c r="Y4888" s="407">
        <v>0</v>
      </c>
      <c r="Z4888" s="407">
        <v>1</v>
      </c>
      <c r="AA4888" s="407">
        <v>1</v>
      </c>
      <c r="AB4888" s="407">
        <v>0</v>
      </c>
      <c r="AC4888" s="150">
        <v>1</v>
      </c>
      <c r="AD4888" s="150">
        <v>0</v>
      </c>
      <c r="AE4888" s="49">
        <f t="shared" si="174"/>
        <v>0.5</v>
      </c>
      <c r="AF4888" s="485"/>
      <c r="AG4888" s="17">
        <v>0</v>
      </c>
      <c r="AH4888" s="485">
        <v>0.3</v>
      </c>
      <c r="AI4888" s="485">
        <v>0.3</v>
      </c>
      <c r="AJ4888" s="190">
        <v>0</v>
      </c>
      <c r="AK4888" s="191">
        <v>0</v>
      </c>
      <c r="AL4888" s="191">
        <v>0</v>
      </c>
      <c r="AM4888" s="17">
        <f t="shared" si="175"/>
        <v>0</v>
      </c>
      <c r="AN4888" s="162" t="s">
        <v>14567</v>
      </c>
      <c r="AO4888" s="162" t="s">
        <v>14570</v>
      </c>
    </row>
    <row r="4889" spans="1:41" s="162" customFormat="1" x14ac:dyDescent="0.3">
      <c r="A4889" s="536" t="s">
        <v>8321</v>
      </c>
      <c r="B4889" s="162" t="s">
        <v>8322</v>
      </c>
      <c r="C4889" s="168" t="s">
        <v>13637</v>
      </c>
      <c r="D4889" s="162" t="s">
        <v>6838</v>
      </c>
      <c r="E4889" s="406" t="s">
        <v>13638</v>
      </c>
      <c r="F4889" s="406" t="s">
        <v>13533</v>
      </c>
      <c r="G4889" s="386" t="s">
        <v>13639</v>
      </c>
      <c r="H4889" s="162" t="s">
        <v>13640</v>
      </c>
      <c r="K4889" s="162">
        <v>16760195</v>
      </c>
      <c r="L4889" s="162" t="s">
        <v>17077</v>
      </c>
      <c r="M4889" s="162" t="s">
        <v>17078</v>
      </c>
      <c r="N4889" s="162">
        <v>0</v>
      </c>
      <c r="O4889" s="224">
        <v>5</v>
      </c>
      <c r="P4889" s="224">
        <v>5</v>
      </c>
      <c r="Q4889" s="224">
        <v>0</v>
      </c>
      <c r="R4889" s="224">
        <v>0</v>
      </c>
      <c r="S4889" s="224">
        <v>0</v>
      </c>
      <c r="T4889" s="223" t="s">
        <v>14567</v>
      </c>
      <c r="U4889" t="str">
        <f>VLOOKUP(T4889,[8]Votes!$A$1:$E$234,3,FALSE)</f>
        <v>106 Uganda Human Rights Commission</v>
      </c>
      <c r="V4889" s="162" t="s">
        <v>17079</v>
      </c>
      <c r="W4889" s="407">
        <v>1</v>
      </c>
      <c r="X4889" s="407">
        <v>0</v>
      </c>
      <c r="Y4889" s="407">
        <v>0</v>
      </c>
      <c r="Z4889" s="407">
        <v>1</v>
      </c>
      <c r="AA4889" s="407">
        <v>1</v>
      </c>
      <c r="AB4889" s="407">
        <v>0</v>
      </c>
      <c r="AC4889" s="150">
        <v>1</v>
      </c>
      <c r="AD4889" s="150">
        <v>0</v>
      </c>
      <c r="AE4889" s="49">
        <f t="shared" si="174"/>
        <v>0.5</v>
      </c>
      <c r="AF4889" s="485"/>
      <c r="AG4889" s="17">
        <v>0</v>
      </c>
      <c r="AH4889" s="485">
        <v>0.3</v>
      </c>
      <c r="AI4889" s="485">
        <v>0.3</v>
      </c>
      <c r="AJ4889" s="190">
        <v>0</v>
      </c>
      <c r="AK4889" s="191">
        <v>0</v>
      </c>
      <c r="AL4889" s="191">
        <v>0</v>
      </c>
      <c r="AM4889" s="17">
        <f t="shared" si="175"/>
        <v>0</v>
      </c>
      <c r="AN4889" s="162" t="s">
        <v>14567</v>
      </c>
      <c r="AO4889" s="162" t="s">
        <v>14570</v>
      </c>
    </row>
    <row r="4890" spans="1:41" s="162" customFormat="1" x14ac:dyDescent="0.3">
      <c r="A4890" s="536" t="s">
        <v>8321</v>
      </c>
      <c r="B4890" s="162" t="s">
        <v>8322</v>
      </c>
      <c r="C4890" s="168" t="s">
        <v>13637</v>
      </c>
      <c r="D4890" s="162" t="s">
        <v>6838</v>
      </c>
      <c r="E4890" s="406" t="s">
        <v>13638</v>
      </c>
      <c r="F4890" s="406" t="s">
        <v>13533</v>
      </c>
      <c r="G4890" s="386" t="s">
        <v>13639</v>
      </c>
      <c r="H4890" s="162" t="s">
        <v>13640</v>
      </c>
      <c r="K4890" s="162">
        <v>16760196</v>
      </c>
      <c r="L4890" s="162" t="s">
        <v>17080</v>
      </c>
      <c r="M4890" s="162" t="s">
        <v>17081</v>
      </c>
      <c r="N4890" s="162">
        <v>1</v>
      </c>
      <c r="O4890" s="224">
        <v>1</v>
      </c>
      <c r="P4890" s="224">
        <v>1</v>
      </c>
      <c r="Q4890" s="224">
        <v>1</v>
      </c>
      <c r="R4890" s="224">
        <v>1</v>
      </c>
      <c r="S4890" s="224">
        <v>1</v>
      </c>
      <c r="T4890" s="223" t="s">
        <v>14567</v>
      </c>
      <c r="U4890" t="str">
        <f>VLOOKUP(T4890,[8]Votes!$A$1:$E$234,3,FALSE)</f>
        <v>106 Uganda Human Rights Commission</v>
      </c>
      <c r="V4890" s="162" t="s">
        <v>17082</v>
      </c>
      <c r="W4890" s="407">
        <v>1</v>
      </c>
      <c r="X4890" s="407">
        <v>0</v>
      </c>
      <c r="Y4890" s="407">
        <v>0</v>
      </c>
      <c r="Z4890" s="407">
        <v>1</v>
      </c>
      <c r="AA4890" s="407">
        <v>1</v>
      </c>
      <c r="AB4890" s="407">
        <v>0</v>
      </c>
      <c r="AC4890" s="150">
        <v>1</v>
      </c>
      <c r="AD4890" s="150">
        <v>0</v>
      </c>
      <c r="AE4890" s="49">
        <f t="shared" si="174"/>
        <v>0.5</v>
      </c>
      <c r="AF4890" s="485"/>
      <c r="AG4890" s="17">
        <v>0</v>
      </c>
      <c r="AH4890" s="485">
        <v>17.064</v>
      </c>
      <c r="AI4890" s="485">
        <v>17.064</v>
      </c>
      <c r="AJ4890" s="485">
        <v>17.064</v>
      </c>
      <c r="AK4890" s="493">
        <v>2</v>
      </c>
      <c r="AL4890" s="493">
        <v>2</v>
      </c>
      <c r="AM4890" s="17">
        <f t="shared" si="175"/>
        <v>4</v>
      </c>
      <c r="AN4890" s="162" t="s">
        <v>14567</v>
      </c>
      <c r="AO4890" s="162" t="s">
        <v>14570</v>
      </c>
    </row>
    <row r="4891" spans="1:41" s="162" customFormat="1" x14ac:dyDescent="0.3">
      <c r="A4891" s="536" t="s">
        <v>8321</v>
      </c>
      <c r="B4891" s="162" t="s">
        <v>8322</v>
      </c>
      <c r="C4891" s="168" t="s">
        <v>13637</v>
      </c>
      <c r="D4891" s="162" t="s">
        <v>6838</v>
      </c>
      <c r="E4891" s="406" t="s">
        <v>13638</v>
      </c>
      <c r="F4891" s="406" t="s">
        <v>13533</v>
      </c>
      <c r="G4891" s="386" t="s">
        <v>13639</v>
      </c>
      <c r="H4891" s="162" t="s">
        <v>13640</v>
      </c>
      <c r="K4891" s="386" t="s">
        <v>16633</v>
      </c>
      <c r="L4891" s="162" t="s">
        <v>16634</v>
      </c>
      <c r="M4891" s="162" t="s">
        <v>17083</v>
      </c>
      <c r="N4891" s="162">
        <v>0</v>
      </c>
      <c r="O4891" s="224">
        <v>70</v>
      </c>
      <c r="P4891" s="224">
        <v>70</v>
      </c>
      <c r="Q4891" s="224">
        <v>120</v>
      </c>
      <c r="R4891" s="224">
        <v>160</v>
      </c>
      <c r="S4891" s="224">
        <v>160</v>
      </c>
      <c r="T4891" s="223" t="s">
        <v>14567</v>
      </c>
      <c r="U4891" t="str">
        <f>VLOOKUP(T4891,[8]Votes!$A$1:$E$234,3,FALSE)</f>
        <v>106 Uganda Human Rights Commission</v>
      </c>
      <c r="V4891" s="162" t="s">
        <v>17084</v>
      </c>
      <c r="W4891" s="407">
        <v>1</v>
      </c>
      <c r="X4891" s="407">
        <v>0</v>
      </c>
      <c r="Y4891" s="407">
        <v>0</v>
      </c>
      <c r="Z4891" s="407">
        <v>1</v>
      </c>
      <c r="AA4891" s="407">
        <v>1</v>
      </c>
      <c r="AB4891" s="407">
        <v>0</v>
      </c>
      <c r="AC4891" s="150">
        <v>1</v>
      </c>
      <c r="AD4891" s="150">
        <v>0</v>
      </c>
      <c r="AE4891" s="49">
        <f t="shared" si="174"/>
        <v>0.5</v>
      </c>
      <c r="AF4891" s="485"/>
      <c r="AG4891" s="17">
        <v>0</v>
      </c>
      <c r="AH4891" s="485">
        <v>7.0000000000000007E-2</v>
      </c>
      <c r="AI4891" s="485">
        <v>7.0000000000000007E-2</v>
      </c>
      <c r="AJ4891" s="485">
        <v>7.0000000000000007E-2</v>
      </c>
      <c r="AK4891" s="493">
        <v>7.0000000000000007E-2</v>
      </c>
      <c r="AL4891" s="493">
        <v>7.0000000000000007E-2</v>
      </c>
      <c r="AM4891" s="17">
        <f t="shared" si="175"/>
        <v>0.14000000000000001</v>
      </c>
      <c r="AN4891" s="162" t="s">
        <v>14567</v>
      </c>
      <c r="AO4891" s="162" t="s">
        <v>14570</v>
      </c>
    </row>
    <row r="4892" spans="1:41" s="162" customFormat="1" x14ac:dyDescent="0.3">
      <c r="A4892" s="536" t="s">
        <v>8321</v>
      </c>
      <c r="B4892" s="162" t="s">
        <v>8322</v>
      </c>
      <c r="C4892" s="168" t="s">
        <v>13637</v>
      </c>
      <c r="D4892" s="162" t="s">
        <v>6838</v>
      </c>
      <c r="E4892" s="406" t="s">
        <v>13638</v>
      </c>
      <c r="F4892" s="406" t="s">
        <v>13533</v>
      </c>
      <c r="G4892" s="386" t="s">
        <v>13639</v>
      </c>
      <c r="H4892" s="162" t="s">
        <v>13640</v>
      </c>
      <c r="K4892" s="162" t="s">
        <v>16446</v>
      </c>
      <c r="L4892" s="162" t="s">
        <v>17085</v>
      </c>
      <c r="M4892" s="162" t="s">
        <v>17086</v>
      </c>
      <c r="N4892" s="162">
        <v>4</v>
      </c>
      <c r="O4892" s="224">
        <v>4</v>
      </c>
      <c r="P4892" s="224">
        <v>4</v>
      </c>
      <c r="Q4892" s="224">
        <v>4</v>
      </c>
      <c r="R4892" s="224">
        <v>4</v>
      </c>
      <c r="S4892" s="224">
        <v>4</v>
      </c>
      <c r="T4892" s="223" t="s">
        <v>14567</v>
      </c>
      <c r="U4892" t="str">
        <f>VLOOKUP(T4892,[8]Votes!$A$1:$E$234,3,FALSE)</f>
        <v>106 Uganda Human Rights Commission</v>
      </c>
      <c r="V4892" s="162" t="s">
        <v>17087</v>
      </c>
      <c r="W4892" s="407">
        <v>1</v>
      </c>
      <c r="X4892" s="407">
        <v>0</v>
      </c>
      <c r="Y4892" s="407">
        <v>0</v>
      </c>
      <c r="Z4892" s="407">
        <v>1</v>
      </c>
      <c r="AA4892" s="407">
        <v>1</v>
      </c>
      <c r="AB4892" s="407">
        <v>0</v>
      </c>
      <c r="AC4892" s="150">
        <v>1</v>
      </c>
      <c r="AD4892" s="150">
        <v>0</v>
      </c>
      <c r="AE4892" s="49">
        <f t="shared" si="174"/>
        <v>0.5</v>
      </c>
      <c r="AF4892" s="485"/>
      <c r="AG4892" s="17">
        <v>0</v>
      </c>
      <c r="AH4892" s="485">
        <v>0.49199999999999999</v>
      </c>
      <c r="AI4892" s="485">
        <v>0.49199999999999999</v>
      </c>
      <c r="AJ4892" s="485">
        <v>0.49199999999999999</v>
      </c>
      <c r="AK4892" s="493">
        <v>0.05</v>
      </c>
      <c r="AL4892" s="493">
        <v>0.05</v>
      </c>
      <c r="AM4892" s="17">
        <f t="shared" si="175"/>
        <v>0.1</v>
      </c>
      <c r="AN4892" s="162" t="s">
        <v>14567</v>
      </c>
      <c r="AO4892" s="162" t="s">
        <v>14570</v>
      </c>
    </row>
    <row r="4893" spans="1:41" s="162" customFormat="1" x14ac:dyDescent="0.3">
      <c r="A4893" s="536" t="s">
        <v>8321</v>
      </c>
      <c r="B4893" s="162" t="s">
        <v>8322</v>
      </c>
      <c r="C4893" s="168" t="s">
        <v>13637</v>
      </c>
      <c r="D4893" s="162" t="s">
        <v>6838</v>
      </c>
      <c r="E4893" s="406" t="s">
        <v>13638</v>
      </c>
      <c r="F4893" s="406" t="s">
        <v>13533</v>
      </c>
      <c r="G4893" s="386" t="s">
        <v>13639</v>
      </c>
      <c r="H4893" s="162" t="s">
        <v>13640</v>
      </c>
      <c r="K4893" s="386" t="s">
        <v>16617</v>
      </c>
      <c r="L4893" s="162" t="s">
        <v>14529</v>
      </c>
      <c r="M4893" s="162" t="s">
        <v>17088</v>
      </c>
      <c r="N4893" s="162">
        <v>4</v>
      </c>
      <c r="O4893" s="224">
        <v>4</v>
      </c>
      <c r="P4893" s="224">
        <v>4</v>
      </c>
      <c r="Q4893" s="224">
        <v>4</v>
      </c>
      <c r="R4893" s="224">
        <v>4</v>
      </c>
      <c r="S4893" s="224">
        <v>4</v>
      </c>
      <c r="T4893" s="223" t="s">
        <v>14567</v>
      </c>
      <c r="U4893" t="str">
        <f>VLOOKUP(T4893,[8]Votes!$A$1:$E$234,3,FALSE)</f>
        <v>106 Uganda Human Rights Commission</v>
      </c>
      <c r="V4893" s="162" t="s">
        <v>17089</v>
      </c>
      <c r="W4893" s="407">
        <v>1</v>
      </c>
      <c r="X4893" s="407">
        <v>0</v>
      </c>
      <c r="Y4893" s="407">
        <v>0</v>
      </c>
      <c r="Z4893" s="407">
        <v>1</v>
      </c>
      <c r="AA4893" s="407">
        <v>1</v>
      </c>
      <c r="AB4893" s="407">
        <v>0</v>
      </c>
      <c r="AC4893" s="150">
        <v>0</v>
      </c>
      <c r="AD4893" s="150">
        <v>0</v>
      </c>
      <c r="AE4893" s="49">
        <f t="shared" si="174"/>
        <v>0.375</v>
      </c>
      <c r="AF4893" s="485"/>
      <c r="AG4893" s="17">
        <v>0</v>
      </c>
      <c r="AH4893" s="485">
        <v>0.5</v>
      </c>
      <c r="AI4893" s="485">
        <v>0.5</v>
      </c>
      <c r="AJ4893" s="485">
        <v>0.5</v>
      </c>
      <c r="AK4893" s="493">
        <v>0.05</v>
      </c>
      <c r="AL4893" s="493">
        <v>0.05</v>
      </c>
      <c r="AM4893" s="17">
        <f t="shared" si="175"/>
        <v>0.1</v>
      </c>
      <c r="AN4893" s="162" t="s">
        <v>14567</v>
      </c>
      <c r="AO4893" s="162" t="s">
        <v>14570</v>
      </c>
    </row>
    <row r="4894" spans="1:41" s="162" customFormat="1" x14ac:dyDescent="0.3">
      <c r="A4894" s="536" t="s">
        <v>8321</v>
      </c>
      <c r="B4894" s="162" t="s">
        <v>8322</v>
      </c>
      <c r="C4894" s="168" t="s">
        <v>13637</v>
      </c>
      <c r="D4894" s="162" t="s">
        <v>6838</v>
      </c>
      <c r="E4894" s="406" t="s">
        <v>13638</v>
      </c>
      <c r="F4894" s="406" t="s">
        <v>13533</v>
      </c>
      <c r="G4894" s="386" t="s">
        <v>13639</v>
      </c>
      <c r="H4894" s="162" t="s">
        <v>13640</v>
      </c>
      <c r="K4894" s="162">
        <v>16760197</v>
      </c>
      <c r="L4894" s="162" t="s">
        <v>17090</v>
      </c>
      <c r="M4894" s="162" t="s">
        <v>17091</v>
      </c>
      <c r="N4894" s="162">
        <v>0</v>
      </c>
      <c r="O4894" s="224">
        <v>5</v>
      </c>
      <c r="P4894" s="224">
        <v>5</v>
      </c>
      <c r="Q4894" s="224">
        <v>5</v>
      </c>
      <c r="R4894" s="224">
        <v>0</v>
      </c>
      <c r="S4894" s="224">
        <v>0</v>
      </c>
      <c r="T4894" s="223" t="s">
        <v>14567</v>
      </c>
      <c r="U4894" t="str">
        <f>VLOOKUP(T4894,[8]Votes!$A$1:$E$234,3,FALSE)</f>
        <v>106 Uganda Human Rights Commission</v>
      </c>
      <c r="V4894" s="162" t="s">
        <v>17092</v>
      </c>
      <c r="W4894" s="407">
        <v>1</v>
      </c>
      <c r="X4894" s="407">
        <v>0</v>
      </c>
      <c r="Y4894" s="407">
        <v>0</v>
      </c>
      <c r="Z4894" s="407">
        <v>1</v>
      </c>
      <c r="AA4894" s="407">
        <v>1</v>
      </c>
      <c r="AB4894" s="407">
        <v>0</v>
      </c>
      <c r="AC4894" s="150">
        <v>1</v>
      </c>
      <c r="AD4894" s="150">
        <v>0</v>
      </c>
      <c r="AE4894" s="49">
        <f t="shared" si="174"/>
        <v>0.5</v>
      </c>
      <c r="AF4894" s="485"/>
      <c r="AG4894" s="17">
        <v>0</v>
      </c>
      <c r="AH4894" s="485">
        <v>0.33</v>
      </c>
      <c r="AI4894" s="485">
        <v>0.33</v>
      </c>
      <c r="AJ4894" s="485">
        <v>0.33</v>
      </c>
      <c r="AK4894" s="493">
        <v>0</v>
      </c>
      <c r="AL4894" s="493">
        <v>0</v>
      </c>
      <c r="AM4894" s="17">
        <f t="shared" si="175"/>
        <v>0</v>
      </c>
      <c r="AN4894" s="162" t="s">
        <v>14567</v>
      </c>
      <c r="AO4894" s="162" t="s">
        <v>14570</v>
      </c>
    </row>
    <row r="4895" spans="1:41" s="162" customFormat="1" x14ac:dyDescent="0.3">
      <c r="A4895" s="536" t="s">
        <v>8321</v>
      </c>
      <c r="B4895" s="162" t="s">
        <v>8322</v>
      </c>
      <c r="C4895" s="168" t="s">
        <v>13637</v>
      </c>
      <c r="D4895" s="162" t="s">
        <v>6838</v>
      </c>
      <c r="E4895" s="406" t="s">
        <v>13638</v>
      </c>
      <c r="F4895" s="406" t="s">
        <v>13533</v>
      </c>
      <c r="G4895" s="386" t="s">
        <v>13639</v>
      </c>
      <c r="H4895" s="162" t="s">
        <v>13640</v>
      </c>
      <c r="K4895" s="162">
        <v>16760197</v>
      </c>
      <c r="L4895" s="162" t="s">
        <v>17090</v>
      </c>
      <c r="M4895" s="162" t="s">
        <v>17093</v>
      </c>
      <c r="N4895" s="162">
        <v>0</v>
      </c>
      <c r="O4895" s="224">
        <v>7</v>
      </c>
      <c r="P4895" s="224">
        <v>7</v>
      </c>
      <c r="Q4895" s="224">
        <v>7</v>
      </c>
      <c r="R4895" s="224">
        <v>0</v>
      </c>
      <c r="S4895" s="224">
        <v>0</v>
      </c>
      <c r="T4895" s="223" t="s">
        <v>14567</v>
      </c>
      <c r="U4895" t="str">
        <f>VLOOKUP(T4895,[8]Votes!$A$1:$E$234,3,FALSE)</f>
        <v>106 Uganda Human Rights Commission</v>
      </c>
      <c r="V4895" s="162" t="s">
        <v>17094</v>
      </c>
      <c r="W4895" s="407">
        <v>1</v>
      </c>
      <c r="X4895" s="407">
        <v>0</v>
      </c>
      <c r="Y4895" s="407">
        <v>0</v>
      </c>
      <c r="Z4895" s="407">
        <v>1</v>
      </c>
      <c r="AA4895" s="407">
        <v>1</v>
      </c>
      <c r="AB4895" s="407">
        <v>0</v>
      </c>
      <c r="AC4895" s="150">
        <v>0</v>
      </c>
      <c r="AD4895" s="150">
        <v>0</v>
      </c>
      <c r="AE4895" s="49">
        <f t="shared" si="174"/>
        <v>0.375</v>
      </c>
      <c r="AF4895" s="485"/>
      <c r="AG4895" s="17">
        <v>0</v>
      </c>
      <c r="AH4895" s="485">
        <v>0.2</v>
      </c>
      <c r="AI4895" s="485">
        <v>0.2</v>
      </c>
      <c r="AJ4895" s="485">
        <v>0.2</v>
      </c>
      <c r="AK4895" s="493">
        <v>0</v>
      </c>
      <c r="AL4895" s="493">
        <v>0</v>
      </c>
      <c r="AM4895" s="17">
        <f t="shared" si="175"/>
        <v>0</v>
      </c>
      <c r="AN4895" s="162" t="s">
        <v>14567</v>
      </c>
      <c r="AO4895" s="162" t="s">
        <v>14570</v>
      </c>
    </row>
    <row r="4896" spans="1:41" s="162" customFormat="1" x14ac:dyDescent="0.3">
      <c r="A4896" s="536" t="s">
        <v>8321</v>
      </c>
      <c r="B4896" s="162" t="s">
        <v>8322</v>
      </c>
      <c r="C4896" s="168" t="s">
        <v>13637</v>
      </c>
      <c r="D4896" s="162" t="s">
        <v>6838</v>
      </c>
      <c r="E4896" s="406" t="s">
        <v>13638</v>
      </c>
      <c r="F4896" s="406" t="s">
        <v>13533</v>
      </c>
      <c r="G4896" s="386" t="s">
        <v>13639</v>
      </c>
      <c r="H4896" s="162" t="s">
        <v>13640</v>
      </c>
      <c r="K4896" s="162">
        <v>16760197</v>
      </c>
      <c r="L4896" s="162" t="s">
        <v>17090</v>
      </c>
      <c r="M4896" s="162" t="s">
        <v>13839</v>
      </c>
      <c r="N4896" s="162">
        <v>22</v>
      </c>
      <c r="O4896" s="224">
        <v>2</v>
      </c>
      <c r="P4896" s="224">
        <v>2</v>
      </c>
      <c r="Q4896" s="224">
        <v>2</v>
      </c>
      <c r="R4896" s="224">
        <v>0</v>
      </c>
      <c r="S4896" s="224">
        <v>0</v>
      </c>
      <c r="T4896" s="223" t="s">
        <v>14567</v>
      </c>
      <c r="U4896" t="str">
        <f>VLOOKUP(T4896,[8]Votes!$A$1:$E$234,3,FALSE)</f>
        <v>106 Uganda Human Rights Commission</v>
      </c>
      <c r="V4896" s="162" t="s">
        <v>17095</v>
      </c>
      <c r="W4896" s="407">
        <v>1</v>
      </c>
      <c r="X4896" s="407">
        <v>1</v>
      </c>
      <c r="Y4896" s="407">
        <v>0</v>
      </c>
      <c r="Z4896" s="407">
        <v>1</v>
      </c>
      <c r="AA4896" s="407">
        <v>1</v>
      </c>
      <c r="AB4896" s="407">
        <v>0</v>
      </c>
      <c r="AC4896" s="150">
        <v>1</v>
      </c>
      <c r="AD4896" s="150">
        <v>0</v>
      </c>
      <c r="AE4896" s="49">
        <f t="shared" si="174"/>
        <v>0.625</v>
      </c>
      <c r="AF4896" s="485"/>
      <c r="AG4896" s="17">
        <v>0</v>
      </c>
      <c r="AH4896" s="485">
        <v>1</v>
      </c>
      <c r="AI4896" s="485">
        <v>1</v>
      </c>
      <c r="AJ4896" s="485">
        <v>1</v>
      </c>
      <c r="AK4896" s="493">
        <v>0</v>
      </c>
      <c r="AL4896" s="493">
        <v>0</v>
      </c>
      <c r="AM4896" s="17">
        <f t="shared" si="175"/>
        <v>0</v>
      </c>
      <c r="AN4896" s="162" t="s">
        <v>14567</v>
      </c>
      <c r="AO4896" s="162" t="s">
        <v>14570</v>
      </c>
    </row>
    <row r="4897" spans="1:41" s="162" customFormat="1" x14ac:dyDescent="0.3">
      <c r="A4897" s="536" t="s">
        <v>8321</v>
      </c>
      <c r="B4897" s="162" t="s">
        <v>8322</v>
      </c>
      <c r="C4897" s="168" t="s">
        <v>13637</v>
      </c>
      <c r="D4897" s="162" t="s">
        <v>6838</v>
      </c>
      <c r="E4897" s="406" t="s">
        <v>13638</v>
      </c>
      <c r="F4897" s="406" t="s">
        <v>13533</v>
      </c>
      <c r="G4897" s="386" t="s">
        <v>13639</v>
      </c>
      <c r="H4897" s="162" t="s">
        <v>13640</v>
      </c>
      <c r="K4897" s="162">
        <v>16760198</v>
      </c>
      <c r="L4897" s="162" t="s">
        <v>17096</v>
      </c>
      <c r="M4897" s="162" t="s">
        <v>17097</v>
      </c>
      <c r="N4897" s="162">
        <v>22</v>
      </c>
      <c r="O4897" s="224">
        <v>24</v>
      </c>
      <c r="P4897" s="224">
        <v>24</v>
      </c>
      <c r="Q4897" s="224">
        <v>24</v>
      </c>
      <c r="R4897" s="224">
        <v>23</v>
      </c>
      <c r="S4897" s="224">
        <v>23</v>
      </c>
      <c r="T4897" s="223" t="s">
        <v>14567</v>
      </c>
      <c r="U4897" t="str">
        <f>VLOOKUP(T4897,[8]Votes!$A$1:$E$234,3,FALSE)</f>
        <v>106 Uganda Human Rights Commission</v>
      </c>
      <c r="V4897" s="162" t="s">
        <v>17098</v>
      </c>
      <c r="W4897" s="407">
        <v>1</v>
      </c>
      <c r="X4897" s="407">
        <v>1</v>
      </c>
      <c r="Y4897" s="407">
        <v>1</v>
      </c>
      <c r="Z4897" s="407">
        <v>1</v>
      </c>
      <c r="AA4897" s="407">
        <v>1</v>
      </c>
      <c r="AB4897" s="407">
        <v>0</v>
      </c>
      <c r="AC4897" s="150">
        <v>1</v>
      </c>
      <c r="AD4897" s="150">
        <v>0</v>
      </c>
      <c r="AE4897" s="49">
        <f t="shared" si="174"/>
        <v>0.75</v>
      </c>
      <c r="AF4897" s="485"/>
      <c r="AG4897" s="17">
        <v>0</v>
      </c>
      <c r="AH4897" s="485">
        <v>0.41799999999999998</v>
      </c>
      <c r="AI4897" s="485">
        <v>0.41799999999999998</v>
      </c>
      <c r="AJ4897" s="485">
        <v>0.41799999999999998</v>
      </c>
      <c r="AK4897" s="493">
        <v>0.3</v>
      </c>
      <c r="AL4897" s="493">
        <v>0.3</v>
      </c>
      <c r="AM4897" s="17">
        <f t="shared" si="175"/>
        <v>0.6</v>
      </c>
      <c r="AN4897" s="162" t="s">
        <v>14567</v>
      </c>
      <c r="AO4897" s="162" t="s">
        <v>14570</v>
      </c>
    </row>
    <row r="4898" spans="1:41" s="162" customFormat="1" x14ac:dyDescent="0.3">
      <c r="A4898" s="536" t="s">
        <v>8321</v>
      </c>
      <c r="B4898" s="162" t="s">
        <v>8322</v>
      </c>
      <c r="C4898" s="168" t="s">
        <v>13637</v>
      </c>
      <c r="D4898" s="162" t="s">
        <v>6838</v>
      </c>
      <c r="E4898" s="406" t="s">
        <v>13638</v>
      </c>
      <c r="F4898" s="406" t="s">
        <v>13533</v>
      </c>
      <c r="G4898" s="386" t="s">
        <v>13639</v>
      </c>
      <c r="H4898" s="162" t="s">
        <v>13640</v>
      </c>
      <c r="K4898" s="162">
        <v>16760199</v>
      </c>
      <c r="L4898" s="162" t="s">
        <v>17099</v>
      </c>
      <c r="M4898" s="162" t="s">
        <v>17100</v>
      </c>
      <c r="N4898" s="162">
        <v>4</v>
      </c>
      <c r="O4898" s="224">
        <v>4</v>
      </c>
      <c r="P4898" s="224">
        <v>4</v>
      </c>
      <c r="Q4898" s="224">
        <v>4</v>
      </c>
      <c r="R4898" s="224">
        <v>24</v>
      </c>
      <c r="S4898" s="224">
        <v>24</v>
      </c>
      <c r="T4898" s="223" t="s">
        <v>14567</v>
      </c>
      <c r="U4898" t="str">
        <f>VLOOKUP(T4898,[8]Votes!$A$1:$E$234,3,FALSE)</f>
        <v>106 Uganda Human Rights Commission</v>
      </c>
      <c r="V4898" s="162" t="s">
        <v>17101</v>
      </c>
      <c r="W4898" s="407">
        <v>1</v>
      </c>
      <c r="X4898" s="407">
        <v>0</v>
      </c>
      <c r="Y4898" s="407">
        <v>0</v>
      </c>
      <c r="Z4898" s="407">
        <v>1</v>
      </c>
      <c r="AA4898" s="407">
        <v>1</v>
      </c>
      <c r="AB4898" s="407">
        <v>0</v>
      </c>
      <c r="AC4898" s="150">
        <v>1</v>
      </c>
      <c r="AD4898" s="150">
        <v>0</v>
      </c>
      <c r="AE4898" s="49">
        <f t="shared" si="174"/>
        <v>0.5</v>
      </c>
      <c r="AF4898" s="485"/>
      <c r="AG4898" s="17">
        <v>0</v>
      </c>
      <c r="AH4898" s="485">
        <v>0.29599999999999999</v>
      </c>
      <c r="AI4898" s="485">
        <v>0.29599999999999999</v>
      </c>
      <c r="AJ4898" s="485">
        <v>0.29599999999999999</v>
      </c>
      <c r="AK4898" s="493">
        <v>0.28000000000000003</v>
      </c>
      <c r="AL4898" s="493">
        <v>0.28000000000000003</v>
      </c>
      <c r="AM4898" s="17">
        <f t="shared" si="175"/>
        <v>0.56000000000000005</v>
      </c>
      <c r="AN4898" s="162" t="s">
        <v>14567</v>
      </c>
      <c r="AO4898" s="162" t="s">
        <v>14570</v>
      </c>
    </row>
    <row r="4899" spans="1:41" s="162" customFormat="1" x14ac:dyDescent="0.3">
      <c r="A4899" s="536" t="s">
        <v>8321</v>
      </c>
      <c r="B4899" s="162" t="s">
        <v>8322</v>
      </c>
      <c r="C4899" s="168" t="s">
        <v>13469</v>
      </c>
      <c r="D4899" s="1" t="s">
        <v>13544</v>
      </c>
      <c r="E4899" s="406" t="s">
        <v>13545</v>
      </c>
      <c r="F4899" s="1" t="s">
        <v>13546</v>
      </c>
      <c r="G4899" s="406">
        <v>163701</v>
      </c>
      <c r="H4899" s="1" t="s">
        <v>13547</v>
      </c>
      <c r="K4899" s="406">
        <v>16370112</v>
      </c>
      <c r="L4899" s="1" t="s">
        <v>17102</v>
      </c>
      <c r="M4899" s="162" t="s">
        <v>17103</v>
      </c>
      <c r="N4899" s="223" t="s">
        <v>13641</v>
      </c>
      <c r="O4899" s="224" t="s">
        <v>13641</v>
      </c>
      <c r="P4899" s="224">
        <v>7</v>
      </c>
      <c r="Q4899" s="224">
        <v>2</v>
      </c>
      <c r="R4899" s="224">
        <v>2</v>
      </c>
      <c r="S4899" s="224">
        <v>1</v>
      </c>
      <c r="T4899" s="223" t="s">
        <v>3875</v>
      </c>
      <c r="U4899" t="str">
        <f>VLOOKUP(T4899,[8]Votes!$A$1:$E$234,3,FALSE)</f>
        <v>007 Ministry of Justice and Constitutional Affairs</v>
      </c>
      <c r="V4899" s="223" t="s">
        <v>17104</v>
      </c>
      <c r="W4899" s="407">
        <v>1</v>
      </c>
      <c r="X4899" s="407">
        <v>1</v>
      </c>
      <c r="Y4899" s="407">
        <v>1</v>
      </c>
      <c r="Z4899" s="407">
        <v>1</v>
      </c>
      <c r="AA4899" s="407">
        <v>1</v>
      </c>
      <c r="AB4899" s="407">
        <v>0</v>
      </c>
      <c r="AC4899" s="150">
        <v>0</v>
      </c>
      <c r="AD4899" s="150">
        <v>1</v>
      </c>
      <c r="AE4899" s="49">
        <f t="shared" si="174"/>
        <v>0.75</v>
      </c>
      <c r="AF4899" s="23">
        <v>1</v>
      </c>
      <c r="AG4899" s="17">
        <v>0</v>
      </c>
      <c r="AH4899" s="190">
        <v>0</v>
      </c>
      <c r="AI4899" s="360">
        <v>0.28000000000000003</v>
      </c>
      <c r="AJ4899" s="360">
        <v>0.08</v>
      </c>
      <c r="AK4899" s="361">
        <v>0.1</v>
      </c>
      <c r="AL4899" s="361">
        <v>0</v>
      </c>
      <c r="AM4899" s="17">
        <f t="shared" si="175"/>
        <v>0.1</v>
      </c>
      <c r="AN4899" s="223" t="s">
        <v>3875</v>
      </c>
      <c r="AO4899" s="162" t="s">
        <v>3877</v>
      </c>
    </row>
    <row r="4900" spans="1:41" s="162" customFormat="1" x14ac:dyDescent="0.3">
      <c r="A4900" s="536" t="s">
        <v>8321</v>
      </c>
      <c r="B4900" s="162" t="s">
        <v>8322</v>
      </c>
      <c r="C4900" s="168" t="s">
        <v>13469</v>
      </c>
      <c r="D4900" s="1" t="s">
        <v>13544</v>
      </c>
      <c r="E4900" s="406" t="s">
        <v>13545</v>
      </c>
      <c r="F4900" s="1" t="s">
        <v>13546</v>
      </c>
      <c r="G4900" s="406">
        <v>163701</v>
      </c>
      <c r="H4900" s="1" t="s">
        <v>13547</v>
      </c>
      <c r="K4900" s="406">
        <v>16370112</v>
      </c>
      <c r="L4900" s="1" t="s">
        <v>17102</v>
      </c>
      <c r="M4900" s="162" t="s">
        <v>17105</v>
      </c>
      <c r="N4900" s="223">
        <v>1</v>
      </c>
      <c r="O4900" s="224" t="s">
        <v>13641</v>
      </c>
      <c r="P4900" s="224">
        <v>1</v>
      </c>
      <c r="Q4900" s="224">
        <v>1</v>
      </c>
      <c r="R4900" s="224">
        <v>1</v>
      </c>
      <c r="S4900" s="224">
        <v>1</v>
      </c>
      <c r="T4900" s="223" t="s">
        <v>3875</v>
      </c>
      <c r="U4900" t="str">
        <f>VLOOKUP(T4900,[8]Votes!$A$1:$E$234,3,FALSE)</f>
        <v>007 Ministry of Justice and Constitutional Affairs</v>
      </c>
      <c r="V4900" s="223" t="s">
        <v>17106</v>
      </c>
      <c r="W4900" s="407">
        <v>1</v>
      </c>
      <c r="X4900" s="407">
        <v>1</v>
      </c>
      <c r="Y4900" s="407">
        <v>1</v>
      </c>
      <c r="Z4900" s="407">
        <v>1</v>
      </c>
      <c r="AA4900" s="407">
        <v>0</v>
      </c>
      <c r="AB4900" s="407">
        <v>0</v>
      </c>
      <c r="AC4900" s="150">
        <v>0</v>
      </c>
      <c r="AD4900" s="150">
        <v>1</v>
      </c>
      <c r="AE4900" s="49">
        <f t="shared" si="174"/>
        <v>0.625</v>
      </c>
      <c r="AF4900" s="23">
        <v>1</v>
      </c>
      <c r="AG4900" s="17">
        <v>0</v>
      </c>
      <c r="AH4900" s="190">
        <v>0</v>
      </c>
      <c r="AI4900" s="360">
        <v>1.9</v>
      </c>
      <c r="AJ4900" s="360">
        <v>3.2</v>
      </c>
      <c r="AK4900" s="361">
        <v>0</v>
      </c>
      <c r="AL4900" s="361">
        <v>0</v>
      </c>
      <c r="AM4900" s="17">
        <f t="shared" si="175"/>
        <v>0</v>
      </c>
      <c r="AN4900" s="223" t="s">
        <v>3875</v>
      </c>
      <c r="AO4900" s="162" t="s">
        <v>3877</v>
      </c>
    </row>
    <row r="4901" spans="1:41" s="162" customFormat="1" x14ac:dyDescent="0.3">
      <c r="A4901" s="536" t="s">
        <v>8321</v>
      </c>
      <c r="B4901" s="162" t="s">
        <v>8322</v>
      </c>
      <c r="C4901" s="168" t="s">
        <v>13469</v>
      </c>
      <c r="D4901" s="1" t="s">
        <v>13544</v>
      </c>
      <c r="E4901" s="406" t="s">
        <v>13545</v>
      </c>
      <c r="F4901" s="1" t="s">
        <v>13546</v>
      </c>
      <c r="G4901" s="406">
        <v>163701</v>
      </c>
      <c r="H4901" s="1" t="s">
        <v>13547</v>
      </c>
      <c r="K4901" s="406">
        <v>16370112</v>
      </c>
      <c r="L4901" s="1" t="s">
        <v>17102</v>
      </c>
      <c r="M4901" s="162" t="s">
        <v>17107</v>
      </c>
      <c r="N4901" s="223">
        <v>6</v>
      </c>
      <c r="O4901" s="224">
        <v>1</v>
      </c>
      <c r="P4901" s="224">
        <v>1</v>
      </c>
      <c r="Q4901" s="224">
        <v>4</v>
      </c>
      <c r="R4901" s="224">
        <v>4</v>
      </c>
      <c r="S4901" s="224">
        <v>3</v>
      </c>
      <c r="T4901" s="223" t="s">
        <v>3875</v>
      </c>
      <c r="U4901" t="str">
        <f>VLOOKUP(T4901,[8]Votes!$A$1:$E$234,3,FALSE)</f>
        <v>007 Ministry of Justice and Constitutional Affairs</v>
      </c>
      <c r="V4901" s="223" t="s">
        <v>17108</v>
      </c>
      <c r="W4901" s="407">
        <v>1</v>
      </c>
      <c r="X4901" s="407">
        <v>1</v>
      </c>
      <c r="Y4901" s="407">
        <v>1</v>
      </c>
      <c r="Z4901" s="407">
        <v>1</v>
      </c>
      <c r="AA4901" s="407">
        <v>0</v>
      </c>
      <c r="AB4901" s="407">
        <v>0</v>
      </c>
      <c r="AC4901" s="150">
        <v>0</v>
      </c>
      <c r="AD4901" s="150">
        <v>1</v>
      </c>
      <c r="AE4901" s="49">
        <f t="shared" si="174"/>
        <v>0.625</v>
      </c>
      <c r="AF4901" s="23">
        <v>1</v>
      </c>
      <c r="AG4901" s="17">
        <v>0</v>
      </c>
      <c r="AH4901" s="190">
        <v>0</v>
      </c>
      <c r="AI4901" s="360">
        <v>0.04</v>
      </c>
      <c r="AJ4901" s="360">
        <v>0.6</v>
      </c>
      <c r="AK4901" s="361">
        <v>0</v>
      </c>
      <c r="AL4901" s="361">
        <v>0</v>
      </c>
      <c r="AM4901" s="17">
        <f t="shared" si="175"/>
        <v>0</v>
      </c>
      <c r="AN4901" s="223" t="s">
        <v>3875</v>
      </c>
      <c r="AO4901" s="162" t="s">
        <v>3877</v>
      </c>
    </row>
    <row r="4902" spans="1:41" s="162" customFormat="1" x14ac:dyDescent="0.3">
      <c r="A4902" s="536" t="s">
        <v>8321</v>
      </c>
      <c r="B4902" s="162" t="s">
        <v>8322</v>
      </c>
      <c r="C4902" s="168" t="s">
        <v>13469</v>
      </c>
      <c r="D4902" s="1" t="s">
        <v>13544</v>
      </c>
      <c r="E4902" s="406" t="s">
        <v>13545</v>
      </c>
      <c r="F4902" s="1" t="s">
        <v>13546</v>
      </c>
      <c r="G4902" s="406">
        <v>163701</v>
      </c>
      <c r="H4902" s="1" t="s">
        <v>13547</v>
      </c>
      <c r="K4902" s="406">
        <v>16370112</v>
      </c>
      <c r="L4902" s="1" t="s">
        <v>17102</v>
      </c>
      <c r="M4902" s="162" t="s">
        <v>17109</v>
      </c>
      <c r="N4902" s="223">
        <v>6</v>
      </c>
      <c r="O4902" s="224">
        <v>0</v>
      </c>
      <c r="P4902" s="224">
        <v>0</v>
      </c>
      <c r="Q4902" s="224">
        <v>3</v>
      </c>
      <c r="R4902" s="224">
        <v>2</v>
      </c>
      <c r="S4902" s="224">
        <v>2</v>
      </c>
      <c r="T4902" s="223" t="s">
        <v>3875</v>
      </c>
      <c r="U4902" t="str">
        <f>VLOOKUP(T4902,[8]Votes!$A$1:$E$234,3,FALSE)</f>
        <v>007 Ministry of Justice and Constitutional Affairs</v>
      </c>
      <c r="V4902" s="223" t="s">
        <v>17110</v>
      </c>
      <c r="W4902" s="407">
        <v>1</v>
      </c>
      <c r="X4902" s="407">
        <v>1</v>
      </c>
      <c r="Y4902" s="407">
        <v>1</v>
      </c>
      <c r="Z4902" s="407">
        <v>1</v>
      </c>
      <c r="AA4902" s="407">
        <v>0</v>
      </c>
      <c r="AB4902" s="407">
        <v>0</v>
      </c>
      <c r="AC4902" s="150">
        <v>0</v>
      </c>
      <c r="AD4902" s="150">
        <v>1</v>
      </c>
      <c r="AE4902" s="49">
        <f t="shared" si="174"/>
        <v>0.625</v>
      </c>
      <c r="AF4902" s="23">
        <v>1</v>
      </c>
      <c r="AG4902" s="17">
        <v>0</v>
      </c>
      <c r="AH4902" s="190">
        <v>0</v>
      </c>
      <c r="AI4902" s="190">
        <v>0</v>
      </c>
      <c r="AJ4902" s="360">
        <v>2.6</v>
      </c>
      <c r="AK4902" s="361">
        <v>2</v>
      </c>
      <c r="AL4902" s="361">
        <v>0</v>
      </c>
      <c r="AM4902" s="17">
        <f t="shared" si="175"/>
        <v>2</v>
      </c>
      <c r="AN4902" s="223" t="s">
        <v>3875</v>
      </c>
      <c r="AO4902" s="162" t="s">
        <v>3877</v>
      </c>
    </row>
    <row r="4903" spans="1:41" s="162" customFormat="1" x14ac:dyDescent="0.3">
      <c r="A4903" s="536" t="s">
        <v>8321</v>
      </c>
      <c r="B4903" s="162" t="s">
        <v>8322</v>
      </c>
      <c r="C4903" s="168" t="s">
        <v>13637</v>
      </c>
      <c r="D4903" s="1" t="s">
        <v>6838</v>
      </c>
      <c r="E4903" s="406" t="s">
        <v>13638</v>
      </c>
      <c r="F4903" s="406" t="s">
        <v>13533</v>
      </c>
      <c r="G4903" s="386" t="s">
        <v>13639</v>
      </c>
      <c r="H4903" s="1" t="s">
        <v>13640</v>
      </c>
      <c r="K4903" s="162">
        <v>167601100</v>
      </c>
      <c r="L4903" s="162" t="s">
        <v>17111</v>
      </c>
      <c r="M4903" s="1" t="s">
        <v>17112</v>
      </c>
      <c r="N4903" t="s">
        <v>17113</v>
      </c>
      <c r="O4903" s="3">
        <v>8</v>
      </c>
      <c r="P4903" s="3">
        <v>8</v>
      </c>
      <c r="Q4903" s="3">
        <v>8</v>
      </c>
      <c r="R4903" s="3">
        <v>8</v>
      </c>
      <c r="S4903" s="3">
        <v>8</v>
      </c>
      <c r="T4903" s="223" t="s">
        <v>3875</v>
      </c>
      <c r="U4903" t="str">
        <f>VLOOKUP(T4903,[8]Votes!$A$1:$E$234,3,FALSE)</f>
        <v>007 Ministry of Justice and Constitutional Affairs</v>
      </c>
      <c r="V4903" s="223" t="s">
        <v>17114</v>
      </c>
      <c r="W4903" s="407">
        <v>1</v>
      </c>
      <c r="X4903" s="407">
        <v>0</v>
      </c>
      <c r="Y4903" s="407">
        <v>0</v>
      </c>
      <c r="Z4903" s="407">
        <v>1</v>
      </c>
      <c r="AA4903" s="407">
        <v>1</v>
      </c>
      <c r="AB4903" s="407">
        <v>0</v>
      </c>
      <c r="AC4903" s="150">
        <v>0</v>
      </c>
      <c r="AD4903" s="150">
        <v>0</v>
      </c>
      <c r="AE4903" s="49">
        <f t="shared" si="174"/>
        <v>0.375</v>
      </c>
      <c r="AF4903" s="190"/>
      <c r="AG4903" s="17">
        <v>0</v>
      </c>
      <c r="AH4903" s="190">
        <v>0</v>
      </c>
      <c r="AI4903" s="44">
        <v>0.4</v>
      </c>
      <c r="AJ4903" s="44">
        <v>0.6</v>
      </c>
      <c r="AK4903" s="151">
        <v>0.7</v>
      </c>
      <c r="AL4903" s="151">
        <v>0.7</v>
      </c>
      <c r="AM4903" s="17">
        <f t="shared" si="175"/>
        <v>1.4</v>
      </c>
      <c r="AN4903" s="223" t="s">
        <v>3875</v>
      </c>
      <c r="AO4903" s="162" t="s">
        <v>3877</v>
      </c>
    </row>
    <row r="4904" spans="1:41" s="162" customFormat="1" x14ac:dyDescent="0.3">
      <c r="A4904" s="536" t="s">
        <v>8321</v>
      </c>
      <c r="B4904" s="162" t="s">
        <v>8322</v>
      </c>
      <c r="C4904" s="168" t="s">
        <v>13637</v>
      </c>
      <c r="D4904" s="1" t="s">
        <v>6838</v>
      </c>
      <c r="E4904" s="406" t="s">
        <v>13638</v>
      </c>
      <c r="F4904" s="406" t="s">
        <v>13533</v>
      </c>
      <c r="G4904" s="386" t="s">
        <v>13639</v>
      </c>
      <c r="H4904" s="1" t="s">
        <v>13640</v>
      </c>
      <c r="K4904" s="162">
        <v>167601101</v>
      </c>
      <c r="L4904" s="162" t="s">
        <v>17115</v>
      </c>
      <c r="M4904" s="1" t="s">
        <v>17116</v>
      </c>
      <c r="N4904">
        <v>0</v>
      </c>
      <c r="O4904" s="3">
        <v>0.2</v>
      </c>
      <c r="P4904" s="3">
        <v>0.3</v>
      </c>
      <c r="Q4904" s="3">
        <v>0.3</v>
      </c>
      <c r="R4904" s="3">
        <v>0.15</v>
      </c>
      <c r="S4904" s="3">
        <v>0.05</v>
      </c>
      <c r="T4904" s="223" t="s">
        <v>3875</v>
      </c>
      <c r="U4904" t="str">
        <f>VLOOKUP(T4904,[8]Votes!$A$1:$E$234,3,FALSE)</f>
        <v>007 Ministry of Justice and Constitutional Affairs</v>
      </c>
      <c r="V4904" s="223" t="s">
        <v>17117</v>
      </c>
      <c r="W4904" s="407">
        <v>1</v>
      </c>
      <c r="X4904" s="407">
        <v>0</v>
      </c>
      <c r="Y4904" s="407">
        <v>0</v>
      </c>
      <c r="Z4904" s="407">
        <v>1</v>
      </c>
      <c r="AA4904" s="407">
        <v>1</v>
      </c>
      <c r="AB4904" s="407">
        <v>0</v>
      </c>
      <c r="AC4904" s="150">
        <v>0</v>
      </c>
      <c r="AD4904" s="150">
        <v>1</v>
      </c>
      <c r="AE4904" s="49">
        <f t="shared" si="174"/>
        <v>0.5</v>
      </c>
      <c r="AF4904" s="44"/>
      <c r="AG4904" s="17">
        <v>0</v>
      </c>
      <c r="AH4904" s="44">
        <v>1.5</v>
      </c>
      <c r="AI4904" s="44">
        <v>2</v>
      </c>
      <c r="AJ4904" s="44">
        <v>1</v>
      </c>
      <c r="AK4904" s="151">
        <v>0</v>
      </c>
      <c r="AL4904" s="151">
        <v>0</v>
      </c>
      <c r="AM4904" s="17">
        <f t="shared" si="175"/>
        <v>0</v>
      </c>
      <c r="AN4904" s="223" t="s">
        <v>3875</v>
      </c>
      <c r="AO4904" s="162" t="s">
        <v>3877</v>
      </c>
    </row>
    <row r="4905" spans="1:41" s="162" customFormat="1" x14ac:dyDescent="0.3">
      <c r="A4905" s="536" t="s">
        <v>8321</v>
      </c>
      <c r="B4905" s="162" t="s">
        <v>8322</v>
      </c>
      <c r="C4905" s="168" t="s">
        <v>13637</v>
      </c>
      <c r="D4905" s="1" t="s">
        <v>6838</v>
      </c>
      <c r="E4905" s="406" t="s">
        <v>13638</v>
      </c>
      <c r="F4905" s="406" t="s">
        <v>13533</v>
      </c>
      <c r="G4905" s="386" t="s">
        <v>13639</v>
      </c>
      <c r="H4905" s="1" t="s">
        <v>13640</v>
      </c>
      <c r="K4905" s="162">
        <v>167601102</v>
      </c>
      <c r="L4905" s="1" t="s">
        <v>17118</v>
      </c>
      <c r="M4905" s="1" t="s">
        <v>17119</v>
      </c>
      <c r="N4905">
        <v>0</v>
      </c>
      <c r="O4905" s="3">
        <v>0</v>
      </c>
      <c r="P4905" s="3">
        <v>0</v>
      </c>
      <c r="Q4905" s="3">
        <v>3</v>
      </c>
      <c r="R4905" s="3">
        <v>3</v>
      </c>
      <c r="S4905" s="3">
        <v>3</v>
      </c>
      <c r="T4905" s="223" t="s">
        <v>3875</v>
      </c>
      <c r="U4905" t="str">
        <f>VLOOKUP(T4905,[8]Votes!$A$1:$E$234,3,FALSE)</f>
        <v>007 Ministry of Justice and Constitutional Affairs</v>
      </c>
      <c r="V4905" s="223" t="s">
        <v>16367</v>
      </c>
      <c r="W4905" s="407">
        <v>1</v>
      </c>
      <c r="X4905" s="407">
        <v>0</v>
      </c>
      <c r="Y4905" s="407">
        <v>0</v>
      </c>
      <c r="Z4905" s="407">
        <v>1</v>
      </c>
      <c r="AA4905" s="407">
        <v>1</v>
      </c>
      <c r="AB4905" s="407">
        <v>0</v>
      </c>
      <c r="AC4905" s="150">
        <v>0</v>
      </c>
      <c r="AD4905" s="150">
        <v>1</v>
      </c>
      <c r="AE4905" s="49">
        <f t="shared" si="174"/>
        <v>0.5</v>
      </c>
      <c r="AF4905" s="190"/>
      <c r="AG4905" s="17">
        <v>0</v>
      </c>
      <c r="AH4905" s="190">
        <v>0</v>
      </c>
      <c r="AI4905" s="190">
        <v>0</v>
      </c>
      <c r="AJ4905" s="44">
        <v>0.65</v>
      </c>
      <c r="AK4905" s="151">
        <v>0</v>
      </c>
      <c r="AL4905" s="151">
        <v>0</v>
      </c>
      <c r="AM4905" s="17">
        <f t="shared" si="175"/>
        <v>0</v>
      </c>
      <c r="AN4905" s="223" t="s">
        <v>3875</v>
      </c>
      <c r="AO4905" s="162" t="s">
        <v>3877</v>
      </c>
    </row>
    <row r="4906" spans="1:41" s="162" customFormat="1" x14ac:dyDescent="0.3">
      <c r="A4906" s="536" t="s">
        <v>8321</v>
      </c>
      <c r="B4906" s="162" t="s">
        <v>8322</v>
      </c>
      <c r="C4906" s="168" t="s">
        <v>13637</v>
      </c>
      <c r="D4906" s="1" t="s">
        <v>6838</v>
      </c>
      <c r="E4906" s="406" t="s">
        <v>13638</v>
      </c>
      <c r="F4906" s="406" t="s">
        <v>13533</v>
      </c>
      <c r="G4906" s="386" t="s">
        <v>13639</v>
      </c>
      <c r="H4906" s="1" t="s">
        <v>13640</v>
      </c>
      <c r="K4906" s="162">
        <v>167601103</v>
      </c>
      <c r="L4906" s="1" t="s">
        <v>13640</v>
      </c>
      <c r="M4906" s="1" t="s">
        <v>17120</v>
      </c>
      <c r="N4906">
        <v>0</v>
      </c>
      <c r="O4906" s="3">
        <v>0</v>
      </c>
      <c r="P4906" s="3">
        <v>0</v>
      </c>
      <c r="Q4906" s="3">
        <v>4</v>
      </c>
      <c r="R4906" s="3">
        <v>4</v>
      </c>
      <c r="S4906" s="3">
        <v>4</v>
      </c>
      <c r="T4906" s="223" t="s">
        <v>3875</v>
      </c>
      <c r="U4906" t="str">
        <f>VLOOKUP(T4906,[8]Votes!$A$1:$E$234,3,FALSE)</f>
        <v>007 Ministry of Justice and Constitutional Affairs</v>
      </c>
      <c r="V4906" s="223" t="s">
        <v>16374</v>
      </c>
      <c r="W4906" s="407">
        <v>1</v>
      </c>
      <c r="X4906" s="407">
        <v>0</v>
      </c>
      <c r="Y4906" s="407">
        <v>0</v>
      </c>
      <c r="Z4906" s="407">
        <v>1</v>
      </c>
      <c r="AA4906" s="407">
        <v>1</v>
      </c>
      <c r="AB4906" s="407">
        <v>0</v>
      </c>
      <c r="AC4906" s="150">
        <v>0</v>
      </c>
      <c r="AD4906" s="150">
        <v>1</v>
      </c>
      <c r="AE4906" s="49">
        <f t="shared" si="174"/>
        <v>0.5</v>
      </c>
      <c r="AF4906" s="190"/>
      <c r="AG4906" s="17">
        <v>0</v>
      </c>
      <c r="AH4906" s="190">
        <v>0</v>
      </c>
      <c r="AI4906" s="190">
        <v>0</v>
      </c>
      <c r="AJ4906" s="44">
        <v>0.11</v>
      </c>
      <c r="AK4906" s="151">
        <v>0</v>
      </c>
      <c r="AL4906" s="151">
        <v>0</v>
      </c>
      <c r="AM4906" s="17">
        <f t="shared" si="175"/>
        <v>0</v>
      </c>
      <c r="AN4906" s="223" t="s">
        <v>3875</v>
      </c>
      <c r="AO4906" s="162" t="s">
        <v>3877</v>
      </c>
    </row>
    <row r="4907" spans="1:41" s="162" customFormat="1" x14ac:dyDescent="0.3">
      <c r="A4907" s="536" t="s">
        <v>8321</v>
      </c>
      <c r="B4907" s="162" t="s">
        <v>8322</v>
      </c>
      <c r="C4907" s="168" t="s">
        <v>13637</v>
      </c>
      <c r="D4907" s="1" t="s">
        <v>6838</v>
      </c>
      <c r="E4907" s="406" t="s">
        <v>13638</v>
      </c>
      <c r="F4907" s="406" t="s">
        <v>13533</v>
      </c>
      <c r="G4907" s="386" t="s">
        <v>13716</v>
      </c>
      <c r="H4907" s="1" t="s">
        <v>13717</v>
      </c>
      <c r="K4907" s="386" t="s">
        <v>16245</v>
      </c>
      <c r="L4907" s="162" t="s">
        <v>16246</v>
      </c>
      <c r="M4907" s="1" t="s">
        <v>17121</v>
      </c>
      <c r="N4907">
        <v>1</v>
      </c>
      <c r="O4907" s="3">
        <v>0</v>
      </c>
      <c r="P4907" s="3" t="s">
        <v>17122</v>
      </c>
      <c r="Q4907" s="3">
        <v>1</v>
      </c>
      <c r="R4907" s="3" t="s">
        <v>17123</v>
      </c>
      <c r="S4907" s="3" t="s">
        <v>17123</v>
      </c>
      <c r="T4907" s="223" t="s">
        <v>3875</v>
      </c>
      <c r="U4907" t="str">
        <f>VLOOKUP(T4907,[8]Votes!$A$1:$E$234,3,FALSE)</f>
        <v>007 Ministry of Justice and Constitutional Affairs</v>
      </c>
      <c r="V4907" s="223" t="s">
        <v>17124</v>
      </c>
      <c r="W4907" s="501">
        <v>1</v>
      </c>
      <c r="X4907" s="501">
        <v>0</v>
      </c>
      <c r="Y4907" s="501">
        <v>0</v>
      </c>
      <c r="Z4907" s="501">
        <v>1</v>
      </c>
      <c r="AA4907" s="501">
        <v>1</v>
      </c>
      <c r="AB4907" s="501">
        <v>0</v>
      </c>
      <c r="AC4907" s="150">
        <v>0</v>
      </c>
      <c r="AD4907" s="150">
        <v>1</v>
      </c>
      <c r="AE4907" s="49">
        <f t="shared" si="174"/>
        <v>0.5</v>
      </c>
      <c r="AF4907" s="190"/>
      <c r="AG4907" s="17">
        <v>0</v>
      </c>
      <c r="AH4907" s="190">
        <v>0</v>
      </c>
      <c r="AI4907" s="190">
        <v>0</v>
      </c>
      <c r="AJ4907" s="44">
        <v>0.25</v>
      </c>
      <c r="AK4907" s="191">
        <v>0</v>
      </c>
      <c r="AL4907" s="191">
        <v>0</v>
      </c>
      <c r="AM4907" s="17">
        <f t="shared" si="175"/>
        <v>0</v>
      </c>
      <c r="AN4907" s="223" t="s">
        <v>3875</v>
      </c>
      <c r="AO4907" s="162" t="s">
        <v>3877</v>
      </c>
    </row>
    <row r="4908" spans="1:41" s="162" customFormat="1" x14ac:dyDescent="0.3">
      <c r="A4908" s="536" t="s">
        <v>8321</v>
      </c>
      <c r="B4908" s="162" t="s">
        <v>8322</v>
      </c>
      <c r="C4908" s="168" t="s">
        <v>13637</v>
      </c>
      <c r="D4908" s="1" t="s">
        <v>6838</v>
      </c>
      <c r="E4908" s="406" t="s">
        <v>13638</v>
      </c>
      <c r="F4908" s="406" t="s">
        <v>13533</v>
      </c>
      <c r="G4908" s="386" t="s">
        <v>13658</v>
      </c>
      <c r="H4908" s="162" t="s">
        <v>13659</v>
      </c>
      <c r="K4908" s="536" t="s">
        <v>17125</v>
      </c>
      <c r="L4908" s="162" t="s">
        <v>17074</v>
      </c>
      <c r="M4908" s="1" t="s">
        <v>17126</v>
      </c>
      <c r="N4908">
        <v>0</v>
      </c>
      <c r="O4908" s="3">
        <v>0</v>
      </c>
      <c r="P4908" s="3">
        <v>0</v>
      </c>
      <c r="Q4908" s="3">
        <v>1</v>
      </c>
      <c r="R4908" s="3" t="s">
        <v>13641</v>
      </c>
      <c r="S4908" s="3" t="s">
        <v>13641</v>
      </c>
      <c r="T4908" s="223" t="s">
        <v>3875</v>
      </c>
      <c r="U4908" t="str">
        <f>VLOOKUP(T4908,[8]Votes!$A$1:$E$234,3,FALSE)</f>
        <v>007 Ministry of Justice and Constitutional Affairs</v>
      </c>
      <c r="V4908" s="223" t="s">
        <v>17127</v>
      </c>
      <c r="W4908" s="407">
        <v>1</v>
      </c>
      <c r="X4908" s="407">
        <v>0</v>
      </c>
      <c r="Y4908" s="407">
        <v>0</v>
      </c>
      <c r="Z4908" s="407">
        <v>1</v>
      </c>
      <c r="AA4908" s="407">
        <v>1</v>
      </c>
      <c r="AB4908" s="407">
        <v>0</v>
      </c>
      <c r="AC4908" s="150">
        <v>0</v>
      </c>
      <c r="AD4908" s="150">
        <v>1</v>
      </c>
      <c r="AE4908" s="49">
        <f t="shared" si="174"/>
        <v>0.5</v>
      </c>
      <c r="AF4908" s="190"/>
      <c r="AG4908" s="17">
        <v>0</v>
      </c>
      <c r="AH4908" s="190">
        <v>0</v>
      </c>
      <c r="AI4908" s="190">
        <v>0</v>
      </c>
      <c r="AJ4908" s="44">
        <v>0.2</v>
      </c>
      <c r="AK4908" s="191">
        <v>0</v>
      </c>
      <c r="AL4908" s="191">
        <v>0</v>
      </c>
      <c r="AM4908" s="17">
        <f t="shared" si="175"/>
        <v>0</v>
      </c>
      <c r="AN4908" s="223" t="s">
        <v>3875</v>
      </c>
      <c r="AO4908" s="162" t="s">
        <v>3877</v>
      </c>
    </row>
    <row r="4909" spans="1:41" s="162" customFormat="1" x14ac:dyDescent="0.3">
      <c r="A4909" s="536" t="s">
        <v>8321</v>
      </c>
      <c r="B4909" s="162" t="s">
        <v>8322</v>
      </c>
      <c r="C4909" s="168" t="s">
        <v>13469</v>
      </c>
      <c r="D4909" s="1" t="s">
        <v>13544</v>
      </c>
      <c r="E4909" s="406" t="s">
        <v>13545</v>
      </c>
      <c r="F4909" s="1" t="s">
        <v>13546</v>
      </c>
      <c r="G4909" s="406">
        <v>163705</v>
      </c>
      <c r="H4909" s="1" t="s">
        <v>13605</v>
      </c>
      <c r="I4909" s="386" t="s">
        <v>13606</v>
      </c>
      <c r="J4909" s="1" t="s">
        <v>13607</v>
      </c>
      <c r="K4909" s="406" t="s">
        <v>17128</v>
      </c>
      <c r="L4909" s="162" t="s">
        <v>17129</v>
      </c>
      <c r="M4909" s="162" t="s">
        <v>17130</v>
      </c>
      <c r="N4909" s="223">
        <v>2000</v>
      </c>
      <c r="O4909" s="224">
        <v>2000</v>
      </c>
      <c r="P4909" s="224">
        <v>2000</v>
      </c>
      <c r="Q4909" s="224">
        <v>2500</v>
      </c>
      <c r="R4909" s="224">
        <v>3000</v>
      </c>
      <c r="S4909" s="224">
        <v>3500</v>
      </c>
      <c r="T4909" s="223" t="s">
        <v>3875</v>
      </c>
      <c r="U4909" t="str">
        <f>VLOOKUP(T4909,[8]Votes!$A$1:$E$234,3,FALSE)</f>
        <v>007 Ministry of Justice and Constitutional Affairs</v>
      </c>
      <c r="V4909" s="223" t="s">
        <v>15607</v>
      </c>
      <c r="W4909" s="501">
        <v>1</v>
      </c>
      <c r="X4909" s="501">
        <v>0</v>
      </c>
      <c r="Y4909" s="501">
        <v>0</v>
      </c>
      <c r="Z4909" s="501">
        <v>1</v>
      </c>
      <c r="AA4909" s="501">
        <v>1</v>
      </c>
      <c r="AB4909" s="501">
        <v>0</v>
      </c>
      <c r="AC4909" s="150">
        <v>0</v>
      </c>
      <c r="AD4909" s="150">
        <v>1</v>
      </c>
      <c r="AE4909" s="49">
        <f t="shared" si="174"/>
        <v>0.5</v>
      </c>
      <c r="AF4909" s="23">
        <v>0</v>
      </c>
      <c r="AG4909" s="17">
        <v>0</v>
      </c>
      <c r="AH4909" s="360">
        <v>0.13</v>
      </c>
      <c r="AI4909" s="360">
        <v>0.14499999999999999</v>
      </c>
      <c r="AJ4909" s="360">
        <v>0.16500000000000001</v>
      </c>
      <c r="AK4909" s="361">
        <v>0</v>
      </c>
      <c r="AL4909" s="361">
        <v>0</v>
      </c>
      <c r="AM4909" s="17">
        <f t="shared" si="175"/>
        <v>0</v>
      </c>
      <c r="AN4909" s="223" t="s">
        <v>3875</v>
      </c>
      <c r="AO4909" s="162" t="s">
        <v>3877</v>
      </c>
    </row>
    <row r="4910" spans="1:41" s="162" customFormat="1" x14ac:dyDescent="0.3">
      <c r="A4910" s="536" t="s">
        <v>8321</v>
      </c>
      <c r="B4910" s="162" t="s">
        <v>8322</v>
      </c>
      <c r="C4910" s="168" t="s">
        <v>13637</v>
      </c>
      <c r="D4910" s="1" t="s">
        <v>6838</v>
      </c>
      <c r="E4910" s="406" t="s">
        <v>13638</v>
      </c>
      <c r="F4910" s="406" t="s">
        <v>13533</v>
      </c>
      <c r="G4910" s="386" t="s">
        <v>13658</v>
      </c>
      <c r="H4910" s="162" t="s">
        <v>13659</v>
      </c>
      <c r="K4910" s="536" t="s">
        <v>17131</v>
      </c>
      <c r="L4910" s="162" t="s">
        <v>17132</v>
      </c>
      <c r="M4910" s="1" t="s">
        <v>17133</v>
      </c>
      <c r="N4910">
        <v>47</v>
      </c>
      <c r="O4910" s="3">
        <v>20</v>
      </c>
      <c r="P4910" s="3">
        <v>42</v>
      </c>
      <c r="Q4910" s="3">
        <v>45</v>
      </c>
      <c r="R4910" s="3">
        <v>50</v>
      </c>
      <c r="S4910" s="3">
        <v>60</v>
      </c>
      <c r="T4910" s="223" t="s">
        <v>3875</v>
      </c>
      <c r="U4910" t="str">
        <f>VLOOKUP(T4910,[8]Votes!$A$1:$E$234,3,FALSE)</f>
        <v>007 Ministry of Justice and Constitutional Affairs</v>
      </c>
      <c r="V4910" s="223" t="s">
        <v>15609</v>
      </c>
      <c r="W4910" s="407">
        <v>0</v>
      </c>
      <c r="X4910" s="407">
        <v>0</v>
      </c>
      <c r="Y4910" s="407">
        <v>0</v>
      </c>
      <c r="Z4910" s="407">
        <v>1</v>
      </c>
      <c r="AA4910" s="407">
        <v>1</v>
      </c>
      <c r="AB4910" s="407">
        <v>0</v>
      </c>
      <c r="AC4910" s="150">
        <v>0</v>
      </c>
      <c r="AD4910" s="150">
        <v>0</v>
      </c>
      <c r="AE4910" s="49">
        <f t="shared" si="174"/>
        <v>0.25</v>
      </c>
      <c r="AF4910" s="44"/>
      <c r="AG4910" s="17">
        <v>0</v>
      </c>
      <c r="AH4910" s="44">
        <v>0.08</v>
      </c>
      <c r="AI4910" s="44">
        <v>0.12</v>
      </c>
      <c r="AJ4910" s="44">
        <v>0.14000000000000001</v>
      </c>
      <c r="AK4910" s="151">
        <v>0.16</v>
      </c>
      <c r="AL4910" s="151">
        <v>0.2</v>
      </c>
      <c r="AM4910" s="17">
        <f t="shared" si="175"/>
        <v>0.36</v>
      </c>
      <c r="AN4910" s="223" t="s">
        <v>3875</v>
      </c>
      <c r="AO4910" s="162" t="s">
        <v>3877</v>
      </c>
    </row>
    <row r="4911" spans="1:41" s="162" customFormat="1" x14ac:dyDescent="0.3">
      <c r="A4911" s="536" t="s">
        <v>8321</v>
      </c>
      <c r="B4911" s="162" t="s">
        <v>8322</v>
      </c>
      <c r="C4911" s="168" t="s">
        <v>13637</v>
      </c>
      <c r="D4911" s="1" t="s">
        <v>6838</v>
      </c>
      <c r="E4911" s="406" t="s">
        <v>13638</v>
      </c>
      <c r="F4911" s="406" t="s">
        <v>13533</v>
      </c>
      <c r="G4911" s="386" t="s">
        <v>13639</v>
      </c>
      <c r="H4911" s="1" t="s">
        <v>13640</v>
      </c>
      <c r="K4911" s="162">
        <v>167601104</v>
      </c>
      <c r="L4911" s="162" t="s">
        <v>17132</v>
      </c>
      <c r="M4911" s="1" t="s">
        <v>17134</v>
      </c>
      <c r="N4911">
        <v>1</v>
      </c>
      <c r="O4911" s="3">
        <v>0</v>
      </c>
      <c r="P4911" s="3">
        <v>0</v>
      </c>
      <c r="Q4911" s="3">
        <v>4</v>
      </c>
      <c r="R4911" s="3">
        <v>4</v>
      </c>
      <c r="S4911" s="3">
        <v>4</v>
      </c>
      <c r="T4911" s="223" t="s">
        <v>3875</v>
      </c>
      <c r="U4911" t="str">
        <f>VLOOKUP(T4911,[8]Votes!$A$1:$E$234,3,FALSE)</f>
        <v>007 Ministry of Justice and Constitutional Affairs</v>
      </c>
      <c r="V4911" s="223" t="s">
        <v>17135</v>
      </c>
      <c r="W4911" s="407">
        <v>1</v>
      </c>
      <c r="X4911" s="407">
        <v>1</v>
      </c>
      <c r="Y4911" s="407">
        <v>0</v>
      </c>
      <c r="Z4911" s="407">
        <v>1</v>
      </c>
      <c r="AA4911" s="407">
        <v>1</v>
      </c>
      <c r="AB4911" s="407">
        <v>1</v>
      </c>
      <c r="AC4911" s="150">
        <v>0</v>
      </c>
      <c r="AD4911" s="150">
        <v>1</v>
      </c>
      <c r="AE4911" s="49">
        <f t="shared" si="174"/>
        <v>0.75</v>
      </c>
      <c r="AF4911" s="190"/>
      <c r="AG4911" s="17">
        <v>0</v>
      </c>
      <c r="AH4911" s="190">
        <v>0</v>
      </c>
      <c r="AI4911" s="190">
        <v>0</v>
      </c>
      <c r="AJ4911" s="44">
        <v>0.21</v>
      </c>
      <c r="AK4911" s="151">
        <v>0.32</v>
      </c>
      <c r="AL4911" s="151">
        <v>0.33</v>
      </c>
      <c r="AM4911" s="17">
        <f t="shared" si="175"/>
        <v>0.65</v>
      </c>
      <c r="AN4911" s="223" t="s">
        <v>3875</v>
      </c>
      <c r="AO4911" s="162" t="s">
        <v>3877</v>
      </c>
    </row>
    <row r="4912" spans="1:41" s="162" customFormat="1" x14ac:dyDescent="0.3">
      <c r="A4912" s="536" t="s">
        <v>8321</v>
      </c>
      <c r="B4912" s="162" t="s">
        <v>8322</v>
      </c>
      <c r="C4912" s="168" t="s">
        <v>13637</v>
      </c>
      <c r="D4912" s="1" t="s">
        <v>6838</v>
      </c>
      <c r="E4912" s="406" t="s">
        <v>13638</v>
      </c>
      <c r="F4912" s="406" t="s">
        <v>13533</v>
      </c>
      <c r="G4912" s="386" t="s">
        <v>13639</v>
      </c>
      <c r="H4912" s="1" t="s">
        <v>13640</v>
      </c>
      <c r="K4912" s="162">
        <v>167601105</v>
      </c>
      <c r="L4912" s="162" t="s">
        <v>17074</v>
      </c>
      <c r="M4912" s="1" t="s">
        <v>17136</v>
      </c>
      <c r="N4912">
        <v>0</v>
      </c>
      <c r="O4912" s="3">
        <v>0</v>
      </c>
      <c r="P4912" s="3">
        <v>0</v>
      </c>
      <c r="Q4912" s="3">
        <v>1</v>
      </c>
      <c r="R4912" s="3">
        <v>0</v>
      </c>
      <c r="S4912" s="3">
        <v>0</v>
      </c>
      <c r="T4912" s="223" t="s">
        <v>3875</v>
      </c>
      <c r="U4912" t="str">
        <f>VLOOKUP(T4912,[8]Votes!$A$1:$E$234,3,FALSE)</f>
        <v>007 Ministry of Justice and Constitutional Affairs</v>
      </c>
      <c r="V4912" s="223" t="s">
        <v>17137</v>
      </c>
      <c r="W4912" s="407">
        <v>1</v>
      </c>
      <c r="X4912" s="407">
        <v>0</v>
      </c>
      <c r="Y4912" s="407">
        <v>0</v>
      </c>
      <c r="Z4912" s="407">
        <v>1</v>
      </c>
      <c r="AA4912" s="407">
        <v>1</v>
      </c>
      <c r="AB4912" s="407">
        <v>1</v>
      </c>
      <c r="AC4912" s="150">
        <v>0</v>
      </c>
      <c r="AD4912" s="150">
        <v>1</v>
      </c>
      <c r="AE4912" s="49">
        <f t="shared" si="174"/>
        <v>0.625</v>
      </c>
      <c r="AF4912" s="190"/>
      <c r="AG4912" s="17">
        <v>0</v>
      </c>
      <c r="AH4912" s="190">
        <v>0</v>
      </c>
      <c r="AI4912" s="190">
        <v>0</v>
      </c>
      <c r="AJ4912" s="44">
        <v>0.16</v>
      </c>
      <c r="AK4912" s="191">
        <v>0.1</v>
      </c>
      <c r="AL4912" s="191"/>
      <c r="AM4912" s="17">
        <f t="shared" si="175"/>
        <v>0.1</v>
      </c>
      <c r="AN4912" s="223" t="s">
        <v>3875</v>
      </c>
      <c r="AO4912" s="162" t="s">
        <v>3877</v>
      </c>
    </row>
    <row r="4913" spans="1:42" s="162" customFormat="1" x14ac:dyDescent="0.3">
      <c r="A4913" s="536" t="s">
        <v>8321</v>
      </c>
      <c r="B4913" s="162" t="s">
        <v>8322</v>
      </c>
      <c r="C4913" s="168" t="s">
        <v>13637</v>
      </c>
      <c r="D4913" s="1" t="s">
        <v>6838</v>
      </c>
      <c r="E4913" s="406" t="s">
        <v>13638</v>
      </c>
      <c r="F4913" s="406" t="s">
        <v>13533</v>
      </c>
      <c r="G4913" s="386" t="s">
        <v>13658</v>
      </c>
      <c r="H4913" s="162" t="s">
        <v>13659</v>
      </c>
      <c r="K4913" s="536" t="s">
        <v>17138</v>
      </c>
      <c r="L4913" s="162" t="s">
        <v>17074</v>
      </c>
      <c r="M4913" s="1" t="s">
        <v>17139</v>
      </c>
      <c r="N4913">
        <v>26</v>
      </c>
      <c r="O4913" s="3">
        <v>28.7</v>
      </c>
      <c r="P4913" s="3">
        <v>30.1</v>
      </c>
      <c r="Q4913" s="3">
        <v>31.6</v>
      </c>
      <c r="R4913" s="3">
        <v>33.200000000000003</v>
      </c>
      <c r="S4913" s="3">
        <v>35</v>
      </c>
      <c r="T4913" s="223" t="s">
        <v>3875</v>
      </c>
      <c r="U4913" t="str">
        <f>VLOOKUP(T4913,[8]Votes!$A$1:$E$234,3,FALSE)</f>
        <v>007 Ministry of Justice and Constitutional Affairs</v>
      </c>
      <c r="V4913" s="223" t="s">
        <v>17140</v>
      </c>
      <c r="W4913" s="407">
        <v>1</v>
      </c>
      <c r="X4913" s="407">
        <v>0</v>
      </c>
      <c r="Y4913" s="407">
        <v>0</v>
      </c>
      <c r="Z4913" s="407">
        <v>1</v>
      </c>
      <c r="AA4913" s="407">
        <v>1</v>
      </c>
      <c r="AB4913" s="407">
        <v>1</v>
      </c>
      <c r="AC4913" s="150">
        <v>0</v>
      </c>
      <c r="AD4913" s="150">
        <v>1</v>
      </c>
      <c r="AE4913" s="49">
        <f t="shared" si="174"/>
        <v>0.625</v>
      </c>
      <c r="AF4913" s="44"/>
      <c r="AG4913" s="17">
        <v>0</v>
      </c>
      <c r="AH4913" s="44">
        <v>0.1</v>
      </c>
      <c r="AI4913" s="44">
        <v>0.15</v>
      </c>
      <c r="AJ4913" s="44">
        <v>0.16</v>
      </c>
      <c r="AK4913" s="151">
        <v>0.1</v>
      </c>
      <c r="AL4913" s="151">
        <v>0</v>
      </c>
      <c r="AM4913" s="17">
        <f t="shared" si="175"/>
        <v>0.1</v>
      </c>
      <c r="AN4913" s="223" t="s">
        <v>3875</v>
      </c>
      <c r="AO4913" s="162" t="s">
        <v>3877</v>
      </c>
    </row>
    <row r="4914" spans="1:42" s="162" customFormat="1" x14ac:dyDescent="0.3">
      <c r="A4914" s="536" t="s">
        <v>8321</v>
      </c>
      <c r="B4914" s="162" t="s">
        <v>8322</v>
      </c>
      <c r="C4914" s="168" t="s">
        <v>13637</v>
      </c>
      <c r="D4914" s="1" t="s">
        <v>6838</v>
      </c>
      <c r="E4914" s="406" t="s">
        <v>13638</v>
      </c>
      <c r="F4914" s="406" t="s">
        <v>13533</v>
      </c>
      <c r="G4914" s="386" t="s">
        <v>13658</v>
      </c>
      <c r="H4914" s="162" t="s">
        <v>13659</v>
      </c>
      <c r="K4914" s="536" t="s">
        <v>17138</v>
      </c>
      <c r="L4914" s="162" t="s">
        <v>17074</v>
      </c>
      <c r="M4914" s="1" t="s">
        <v>17141</v>
      </c>
      <c r="N4914">
        <v>0</v>
      </c>
      <c r="O4914" s="3">
        <v>0</v>
      </c>
      <c r="P4914" s="3">
        <v>0</v>
      </c>
      <c r="Q4914" s="3">
        <v>1</v>
      </c>
      <c r="R4914" s="3" t="s">
        <v>13641</v>
      </c>
      <c r="S4914" s="3" t="s">
        <v>13641</v>
      </c>
      <c r="T4914" s="223" t="s">
        <v>3875</v>
      </c>
      <c r="U4914" t="str">
        <f>VLOOKUP(T4914,[8]Votes!$A$1:$E$234,3,FALSE)</f>
        <v>007 Ministry of Justice and Constitutional Affairs</v>
      </c>
      <c r="V4914" s="223" t="s">
        <v>17142</v>
      </c>
      <c r="W4914" s="407">
        <v>1</v>
      </c>
      <c r="X4914" s="407">
        <v>0</v>
      </c>
      <c r="Y4914" s="407">
        <v>0</v>
      </c>
      <c r="Z4914" s="407">
        <v>1</v>
      </c>
      <c r="AA4914" s="407">
        <v>1</v>
      </c>
      <c r="AB4914" s="407">
        <v>1</v>
      </c>
      <c r="AC4914" s="150">
        <v>0</v>
      </c>
      <c r="AD4914" s="150">
        <v>1</v>
      </c>
      <c r="AE4914" s="49">
        <f t="shared" si="174"/>
        <v>0.625</v>
      </c>
      <c r="AF4914" s="190"/>
      <c r="AG4914" s="17">
        <v>0</v>
      </c>
      <c r="AH4914" s="190">
        <v>0</v>
      </c>
      <c r="AI4914" s="190">
        <v>0</v>
      </c>
      <c r="AJ4914" s="44">
        <v>0.25</v>
      </c>
      <c r="AK4914" s="191">
        <v>0.1</v>
      </c>
      <c r="AL4914" s="191">
        <v>0</v>
      </c>
      <c r="AM4914" s="17">
        <f t="shared" si="175"/>
        <v>0.1</v>
      </c>
      <c r="AN4914" s="223" t="s">
        <v>3875</v>
      </c>
      <c r="AO4914" s="162" t="s">
        <v>3877</v>
      </c>
    </row>
    <row r="4915" spans="1:42" s="162" customFormat="1" x14ac:dyDescent="0.3">
      <c r="A4915" s="536" t="s">
        <v>8321</v>
      </c>
      <c r="B4915" s="162" t="s">
        <v>8322</v>
      </c>
      <c r="C4915" s="168" t="s">
        <v>13637</v>
      </c>
      <c r="D4915" s="1" t="s">
        <v>6838</v>
      </c>
      <c r="E4915" s="406" t="s">
        <v>13638</v>
      </c>
      <c r="F4915" s="406" t="s">
        <v>13533</v>
      </c>
      <c r="G4915" s="386" t="s">
        <v>13658</v>
      </c>
      <c r="H4915" s="162" t="s">
        <v>13659</v>
      </c>
      <c r="K4915" s="536" t="s">
        <v>17138</v>
      </c>
      <c r="L4915" s="162" t="s">
        <v>17074</v>
      </c>
      <c r="M4915" s="1" t="s">
        <v>17139</v>
      </c>
      <c r="N4915">
        <v>26</v>
      </c>
      <c r="O4915" s="3">
        <v>28.7</v>
      </c>
      <c r="P4915" s="3">
        <v>30.1</v>
      </c>
      <c r="Q4915" s="3">
        <v>31.6</v>
      </c>
      <c r="R4915" s="3">
        <v>33.200000000000003</v>
      </c>
      <c r="S4915" s="3">
        <v>35</v>
      </c>
      <c r="T4915" s="223" t="s">
        <v>3875</v>
      </c>
      <c r="U4915" t="str">
        <f>VLOOKUP(T4915,[8]Votes!$A$1:$E$234,3,FALSE)</f>
        <v>007 Ministry of Justice and Constitutional Affairs</v>
      </c>
      <c r="V4915" s="223" t="s">
        <v>17140</v>
      </c>
      <c r="W4915" s="407">
        <v>1</v>
      </c>
      <c r="X4915" s="407">
        <v>0</v>
      </c>
      <c r="Y4915" s="407">
        <v>0</v>
      </c>
      <c r="Z4915" s="407">
        <v>1</v>
      </c>
      <c r="AA4915" s="407">
        <v>1</v>
      </c>
      <c r="AB4915" s="407">
        <v>1</v>
      </c>
      <c r="AC4915" s="150">
        <v>0</v>
      </c>
      <c r="AD4915" s="150">
        <v>1</v>
      </c>
      <c r="AE4915" s="49">
        <f t="shared" si="174"/>
        <v>0.625</v>
      </c>
      <c r="AF4915" s="44"/>
      <c r="AG4915" s="17">
        <v>0</v>
      </c>
      <c r="AH4915" s="44">
        <v>0.1</v>
      </c>
      <c r="AI4915" s="44">
        <v>0.15</v>
      </c>
      <c r="AJ4915" s="44">
        <v>0.16</v>
      </c>
      <c r="AK4915" s="151">
        <v>0.1</v>
      </c>
      <c r="AL4915" s="151">
        <v>0</v>
      </c>
      <c r="AM4915" s="17">
        <f t="shared" si="175"/>
        <v>0.1</v>
      </c>
      <c r="AN4915" s="223" t="s">
        <v>3875</v>
      </c>
      <c r="AO4915" s="162" t="s">
        <v>3877</v>
      </c>
    </row>
    <row r="4916" spans="1:42" s="162" customFormat="1" x14ac:dyDescent="0.3">
      <c r="A4916" s="536" t="s">
        <v>8321</v>
      </c>
      <c r="B4916" s="162" t="s">
        <v>8322</v>
      </c>
      <c r="C4916" s="168" t="s">
        <v>13637</v>
      </c>
      <c r="D4916" s="1" t="s">
        <v>6838</v>
      </c>
      <c r="E4916" s="406" t="s">
        <v>13638</v>
      </c>
      <c r="F4916" s="406" t="s">
        <v>13533</v>
      </c>
      <c r="G4916" s="386" t="s">
        <v>13639</v>
      </c>
      <c r="H4916" s="1" t="s">
        <v>13640</v>
      </c>
      <c r="K4916" s="162">
        <v>167601106</v>
      </c>
      <c r="L4916" s="162" t="s">
        <v>17143</v>
      </c>
      <c r="M4916" s="1" t="s">
        <v>17144</v>
      </c>
      <c r="N4916" t="s">
        <v>13641</v>
      </c>
      <c r="O4916" s="3">
        <v>0.75</v>
      </c>
      <c r="P4916" s="3">
        <v>0.8</v>
      </c>
      <c r="Q4916" s="3">
        <v>0.8</v>
      </c>
      <c r="R4916" s="3">
        <v>0.85</v>
      </c>
      <c r="S4916" s="3">
        <v>0.85</v>
      </c>
      <c r="T4916" s="223" t="s">
        <v>3875</v>
      </c>
      <c r="U4916" t="str">
        <f>VLOOKUP(T4916,[8]Votes!$A$1:$E$234,3,FALSE)</f>
        <v>007 Ministry of Justice and Constitutional Affairs</v>
      </c>
      <c r="V4916" s="223" t="s">
        <v>17145</v>
      </c>
      <c r="W4916" s="407">
        <v>1</v>
      </c>
      <c r="X4916" s="407">
        <v>0</v>
      </c>
      <c r="Y4916" s="407">
        <v>0</v>
      </c>
      <c r="Z4916" s="407">
        <v>1</v>
      </c>
      <c r="AA4916" s="407">
        <v>1</v>
      </c>
      <c r="AB4916" s="407">
        <v>1</v>
      </c>
      <c r="AC4916" s="150">
        <v>0</v>
      </c>
      <c r="AD4916" s="150">
        <v>1</v>
      </c>
      <c r="AE4916" s="49">
        <f t="shared" si="174"/>
        <v>0.625</v>
      </c>
      <c r="AF4916" s="44"/>
      <c r="AG4916" s="17">
        <v>0</v>
      </c>
      <c r="AH4916" s="44">
        <v>0.1</v>
      </c>
      <c r="AI4916" s="44">
        <v>0.12</v>
      </c>
      <c r="AJ4916" s="44">
        <v>0.13</v>
      </c>
      <c r="AK4916" s="151">
        <v>0.1</v>
      </c>
      <c r="AL4916" s="151">
        <v>0.1</v>
      </c>
      <c r="AM4916" s="17">
        <f t="shared" si="175"/>
        <v>0.2</v>
      </c>
      <c r="AN4916" s="223" t="s">
        <v>3875</v>
      </c>
      <c r="AO4916" s="162" t="s">
        <v>3877</v>
      </c>
    </row>
    <row r="4917" spans="1:42" s="162" customFormat="1" x14ac:dyDescent="0.3">
      <c r="A4917" s="536" t="s">
        <v>8321</v>
      </c>
      <c r="B4917" s="162" t="s">
        <v>8322</v>
      </c>
      <c r="C4917" s="168" t="s">
        <v>13530</v>
      </c>
      <c r="D4917" s="1" t="s">
        <v>13531</v>
      </c>
      <c r="E4917" s="406" t="s">
        <v>13532</v>
      </c>
      <c r="F4917" s="406" t="s">
        <v>13533</v>
      </c>
      <c r="G4917" s="406">
        <v>166602</v>
      </c>
      <c r="H4917" s="1" t="s">
        <v>13538</v>
      </c>
      <c r="K4917" s="406">
        <v>16660229</v>
      </c>
      <c r="L4917" s="1" t="s">
        <v>15506</v>
      </c>
      <c r="M4917" s="1" t="s">
        <v>17146</v>
      </c>
      <c r="N4917">
        <v>15</v>
      </c>
      <c r="O4917" s="3">
        <v>0</v>
      </c>
      <c r="P4917" s="3">
        <v>4</v>
      </c>
      <c r="Q4917" s="3">
        <v>3</v>
      </c>
      <c r="R4917" s="3">
        <v>3</v>
      </c>
      <c r="S4917" s="3">
        <v>3</v>
      </c>
      <c r="T4917" s="223" t="s">
        <v>3875</v>
      </c>
      <c r="U4917" t="str">
        <f>VLOOKUP(T4917,[8]Votes!$A$1:$E$234,3,FALSE)</f>
        <v>007 Ministry of Justice and Constitutional Affairs</v>
      </c>
      <c r="V4917" s="223" t="s">
        <v>17147</v>
      </c>
      <c r="W4917" s="388">
        <v>1</v>
      </c>
      <c r="X4917" s="388">
        <v>0</v>
      </c>
      <c r="Y4917" s="388">
        <v>0</v>
      </c>
      <c r="Z4917" s="388">
        <v>0</v>
      </c>
      <c r="AA4917" s="388">
        <v>0</v>
      </c>
      <c r="AB4917" s="388">
        <v>0</v>
      </c>
      <c r="AC4917" s="150">
        <v>0</v>
      </c>
      <c r="AD4917" s="150">
        <v>0</v>
      </c>
      <c r="AE4917" s="49">
        <f t="shared" si="174"/>
        <v>0.125</v>
      </c>
      <c r="AF4917" s="23">
        <v>0</v>
      </c>
      <c r="AG4917" s="17">
        <v>0</v>
      </c>
      <c r="AH4917" s="190">
        <v>0</v>
      </c>
      <c r="AI4917" s="44">
        <v>1.2</v>
      </c>
      <c r="AJ4917" s="44">
        <v>0.9</v>
      </c>
      <c r="AK4917" s="151">
        <v>0</v>
      </c>
      <c r="AL4917" s="151">
        <v>0</v>
      </c>
      <c r="AM4917" s="17">
        <f t="shared" si="175"/>
        <v>0</v>
      </c>
      <c r="AN4917" s="223" t="s">
        <v>3875</v>
      </c>
      <c r="AO4917" s="162" t="s">
        <v>3877</v>
      </c>
    </row>
    <row r="4918" spans="1:42" s="162" customFormat="1" x14ac:dyDescent="0.3">
      <c r="A4918" s="536" t="s">
        <v>8321</v>
      </c>
      <c r="B4918" s="162" t="s">
        <v>8322</v>
      </c>
      <c r="C4918" s="168" t="s">
        <v>13637</v>
      </c>
      <c r="D4918" s="1" t="s">
        <v>6838</v>
      </c>
      <c r="E4918" s="406" t="s">
        <v>13638</v>
      </c>
      <c r="F4918" s="406" t="s">
        <v>13533</v>
      </c>
      <c r="G4918" s="386" t="s">
        <v>13658</v>
      </c>
      <c r="H4918" s="162" t="s">
        <v>13659</v>
      </c>
      <c r="K4918" s="536" t="s">
        <v>17138</v>
      </c>
      <c r="L4918" s="162" t="s">
        <v>17074</v>
      </c>
      <c r="M4918" s="1" t="s">
        <v>15590</v>
      </c>
      <c r="N4918">
        <v>1</v>
      </c>
      <c r="O4918" s="3">
        <v>0</v>
      </c>
      <c r="P4918" s="3">
        <v>0</v>
      </c>
      <c r="Q4918" s="3">
        <v>1</v>
      </c>
      <c r="R4918" s="3">
        <v>1</v>
      </c>
      <c r="S4918" s="3">
        <v>1</v>
      </c>
      <c r="T4918" s="223" t="s">
        <v>3875</v>
      </c>
      <c r="U4918" t="str">
        <f>VLOOKUP(T4918,[8]Votes!$A$1:$E$234,3,FALSE)</f>
        <v>007 Ministry of Justice and Constitutional Affairs</v>
      </c>
      <c r="V4918" s="223" t="s">
        <v>15565</v>
      </c>
      <c r="W4918" s="407">
        <v>0</v>
      </c>
      <c r="X4918" s="407">
        <v>0</v>
      </c>
      <c r="Y4918" s="407">
        <v>0</v>
      </c>
      <c r="Z4918" s="407">
        <v>1</v>
      </c>
      <c r="AA4918" s="407">
        <v>1</v>
      </c>
      <c r="AB4918" s="407">
        <v>0</v>
      </c>
      <c r="AC4918" s="150">
        <v>0</v>
      </c>
      <c r="AD4918" s="150">
        <v>0</v>
      </c>
      <c r="AE4918" s="49">
        <f t="shared" si="174"/>
        <v>0.25</v>
      </c>
      <c r="AF4918" s="190"/>
      <c r="AG4918" s="17">
        <v>0</v>
      </c>
      <c r="AH4918" s="190">
        <v>0</v>
      </c>
      <c r="AI4918" s="190">
        <v>0</v>
      </c>
      <c r="AJ4918" s="44">
        <v>0.37</v>
      </c>
      <c r="AK4918" s="151">
        <v>0</v>
      </c>
      <c r="AL4918" s="151">
        <v>0</v>
      </c>
      <c r="AM4918" s="17">
        <f t="shared" si="175"/>
        <v>0</v>
      </c>
      <c r="AN4918" s="223" t="s">
        <v>3875</v>
      </c>
      <c r="AO4918" s="162" t="s">
        <v>3877</v>
      </c>
    </row>
    <row r="4919" spans="1:42" s="162" customFormat="1" x14ac:dyDescent="0.3">
      <c r="A4919" s="536" t="s">
        <v>8321</v>
      </c>
      <c r="B4919" s="162" t="s">
        <v>8322</v>
      </c>
      <c r="C4919" s="168" t="s">
        <v>13637</v>
      </c>
      <c r="D4919" s="162" t="s">
        <v>6838</v>
      </c>
      <c r="E4919" s="406" t="s">
        <v>13638</v>
      </c>
      <c r="F4919" s="406" t="s">
        <v>13533</v>
      </c>
      <c r="G4919" s="386" t="s">
        <v>13658</v>
      </c>
      <c r="H4919" s="162" t="s">
        <v>13659</v>
      </c>
      <c r="K4919" s="536" t="s">
        <v>17148</v>
      </c>
      <c r="L4919" s="162" t="s">
        <v>17055</v>
      </c>
      <c r="M4919" s="162" t="s">
        <v>17056</v>
      </c>
      <c r="N4919" s="162">
        <v>0</v>
      </c>
      <c r="O4919" s="224">
        <v>0</v>
      </c>
      <c r="P4919" s="224">
        <v>0</v>
      </c>
      <c r="Q4919" s="224">
        <v>1</v>
      </c>
      <c r="R4919" s="224">
        <v>0</v>
      </c>
      <c r="S4919" s="506">
        <v>0</v>
      </c>
      <c r="T4919" s="223" t="s">
        <v>3875</v>
      </c>
      <c r="U4919" t="str">
        <f>VLOOKUP(T4919,[8]Votes!$A$1:$E$234,3,FALSE)</f>
        <v>007 Ministry of Justice and Constitutional Affairs</v>
      </c>
      <c r="V4919" s="162" t="s">
        <v>17149</v>
      </c>
      <c r="W4919" s="407">
        <v>0</v>
      </c>
      <c r="X4919" s="407">
        <v>0</v>
      </c>
      <c r="Y4919" s="407">
        <v>0</v>
      </c>
      <c r="Z4919" s="407">
        <v>1</v>
      </c>
      <c r="AA4919" s="407">
        <v>1</v>
      </c>
      <c r="AB4919" s="407">
        <v>0</v>
      </c>
      <c r="AC4919" s="150">
        <v>0</v>
      </c>
      <c r="AD4919" s="150">
        <v>0</v>
      </c>
      <c r="AE4919" s="49">
        <f t="shared" si="174"/>
        <v>0.25</v>
      </c>
      <c r="AF4919" s="190"/>
      <c r="AG4919" s="17">
        <v>0</v>
      </c>
      <c r="AH4919" s="190">
        <v>0</v>
      </c>
      <c r="AI4919" s="190">
        <v>0</v>
      </c>
      <c r="AJ4919" s="485">
        <v>0.7</v>
      </c>
      <c r="AK4919" s="191">
        <v>0.1</v>
      </c>
      <c r="AL4919" s="191">
        <v>0.1</v>
      </c>
      <c r="AM4919" s="17">
        <f t="shared" si="175"/>
        <v>0.2</v>
      </c>
      <c r="AN4919" s="223" t="s">
        <v>3875</v>
      </c>
      <c r="AO4919" s="162" t="s">
        <v>3877</v>
      </c>
    </row>
    <row r="4920" spans="1:42" s="162" customFormat="1" x14ac:dyDescent="0.3">
      <c r="A4920" s="536" t="s">
        <v>8321</v>
      </c>
      <c r="B4920" s="162" t="s">
        <v>8322</v>
      </c>
      <c r="C4920" s="168" t="s">
        <v>13637</v>
      </c>
      <c r="D4920" s="162" t="s">
        <v>6838</v>
      </c>
      <c r="E4920" s="406" t="s">
        <v>13638</v>
      </c>
      <c r="F4920" s="406" t="s">
        <v>13533</v>
      </c>
      <c r="G4920" s="386" t="s">
        <v>13658</v>
      </c>
      <c r="H4920" s="162" t="s">
        <v>13659</v>
      </c>
      <c r="K4920" s="536" t="s">
        <v>17150</v>
      </c>
      <c r="L4920" s="162" t="s">
        <v>17151</v>
      </c>
      <c r="M4920" s="162" t="s">
        <v>17152</v>
      </c>
      <c r="N4920" s="224">
        <v>2</v>
      </c>
      <c r="O4920" s="224">
        <v>3</v>
      </c>
      <c r="P4920" s="224">
        <v>3</v>
      </c>
      <c r="Q4920" s="224">
        <v>4</v>
      </c>
      <c r="R4920" s="224">
        <v>4</v>
      </c>
      <c r="S4920" s="224">
        <v>4</v>
      </c>
      <c r="T4920" s="223" t="s">
        <v>3875</v>
      </c>
      <c r="U4920" t="str">
        <f>VLOOKUP(T4920,[8]Votes!$A$1:$E$234,3,FALSE)</f>
        <v>007 Ministry of Justice and Constitutional Affairs</v>
      </c>
      <c r="V4920" s="162" t="s">
        <v>17153</v>
      </c>
      <c r="W4920" s="407">
        <v>0</v>
      </c>
      <c r="X4920" s="407">
        <v>0</v>
      </c>
      <c r="Y4920" s="407">
        <v>0</v>
      </c>
      <c r="Z4920" s="407">
        <v>1</v>
      </c>
      <c r="AA4920" s="407">
        <v>1</v>
      </c>
      <c r="AB4920" s="407">
        <v>0</v>
      </c>
      <c r="AC4920" s="150">
        <v>0</v>
      </c>
      <c r="AD4920" s="150">
        <v>0</v>
      </c>
      <c r="AE4920" s="49">
        <f t="shared" si="174"/>
        <v>0.25</v>
      </c>
      <c r="AF4920" s="360"/>
      <c r="AG4920" s="17">
        <v>0</v>
      </c>
      <c r="AH4920" s="360">
        <v>14</v>
      </c>
      <c r="AI4920" s="360">
        <v>16</v>
      </c>
      <c r="AJ4920" s="360">
        <v>19</v>
      </c>
      <c r="AK4920" s="361">
        <v>7.1</v>
      </c>
      <c r="AL4920" s="361">
        <v>7.1</v>
      </c>
      <c r="AM4920" s="17">
        <f t="shared" si="175"/>
        <v>14.2</v>
      </c>
      <c r="AN4920" s="223" t="s">
        <v>3875</v>
      </c>
      <c r="AO4920" s="162" t="s">
        <v>3877</v>
      </c>
    </row>
    <row r="4921" spans="1:42" s="162" customFormat="1" x14ac:dyDescent="0.3">
      <c r="A4921" s="536" t="s">
        <v>8321</v>
      </c>
      <c r="B4921" s="162" t="s">
        <v>8322</v>
      </c>
      <c r="C4921" s="168" t="s">
        <v>13277</v>
      </c>
      <c r="D4921" s="162" t="s">
        <v>13278</v>
      </c>
      <c r="E4921" s="168" t="s">
        <v>13279</v>
      </c>
      <c r="F4921" s="18" t="s">
        <v>17154</v>
      </c>
      <c r="G4921" s="168" t="s">
        <v>13385</v>
      </c>
      <c r="H4921" s="168" t="s">
        <v>13386</v>
      </c>
      <c r="I4921" s="1"/>
      <c r="J4921" s="1"/>
      <c r="K4921" s="168">
        <v>16110713</v>
      </c>
      <c r="L4921" s="1" t="s">
        <v>17155</v>
      </c>
      <c r="M4921" s="1" t="s">
        <v>17156</v>
      </c>
      <c r="N4921"/>
      <c r="O4921" s="3"/>
      <c r="P4921" s="3"/>
      <c r="Q4921" s="3"/>
      <c r="R4921" s="3"/>
      <c r="S4921" s="3"/>
      <c r="T4921" t="s">
        <v>1132</v>
      </c>
      <c r="U4921" t="str">
        <f>VLOOKUP(T4921,[8]Votes!$A$1:$E$234,3,FALSE)</f>
        <v>021 Ministry of East African Community Affairs Uganda</v>
      </c>
      <c r="V4921" t="s">
        <v>17157</v>
      </c>
      <c r="W4921" s="416">
        <v>1</v>
      </c>
      <c r="X4921" s="416">
        <v>1</v>
      </c>
      <c r="Y4921" s="416">
        <v>1</v>
      </c>
      <c r="Z4921" s="416">
        <v>1</v>
      </c>
      <c r="AA4921" s="416">
        <v>1</v>
      </c>
      <c r="AB4921" s="416">
        <v>0</v>
      </c>
      <c r="AC4921" s="150">
        <v>0</v>
      </c>
      <c r="AD4921" s="150">
        <v>1</v>
      </c>
      <c r="AE4921" s="49">
        <f t="shared" si="174"/>
        <v>0.75</v>
      </c>
      <c r="AF4921" s="190">
        <v>1</v>
      </c>
      <c r="AG4921" s="17">
        <v>0</v>
      </c>
      <c r="AH4921" s="44">
        <v>2</v>
      </c>
      <c r="AI4921" s="44">
        <v>8.1999999999999993</v>
      </c>
      <c r="AJ4921" s="44">
        <v>7.2</v>
      </c>
      <c r="AK4921" s="151">
        <v>7.25</v>
      </c>
      <c r="AL4921" s="151">
        <v>7.25</v>
      </c>
      <c r="AM4921" s="17">
        <f t="shared" si="175"/>
        <v>14.5</v>
      </c>
      <c r="AN4921" t="s">
        <v>1132</v>
      </c>
      <c r="AO4921" s="162" t="s">
        <v>3739</v>
      </c>
      <c r="AP4921"/>
    </row>
    <row r="4922" spans="1:42" s="162" customFormat="1" x14ac:dyDescent="0.3">
      <c r="A4922" s="536" t="s">
        <v>8321</v>
      </c>
      <c r="B4922" s="162" t="s">
        <v>8322</v>
      </c>
      <c r="C4922" s="168" t="s">
        <v>13277</v>
      </c>
      <c r="D4922" s="162" t="s">
        <v>13278</v>
      </c>
      <c r="E4922" s="168" t="s">
        <v>13279</v>
      </c>
      <c r="F4922" s="18" t="s">
        <v>17154</v>
      </c>
      <c r="G4922" s="168" t="s">
        <v>13405</v>
      </c>
      <c r="H4922" s="168" t="s">
        <v>13406</v>
      </c>
      <c r="I4922" s="1"/>
      <c r="J4922" s="1"/>
      <c r="K4922" s="168">
        <v>16110909</v>
      </c>
      <c r="L4922" s="1" t="s">
        <v>17158</v>
      </c>
      <c r="M4922" s="1" t="s">
        <v>17159</v>
      </c>
      <c r="N4922"/>
      <c r="O4922" s="3"/>
      <c r="P4922" s="3"/>
      <c r="Q4922" s="3"/>
      <c r="R4922" s="3"/>
      <c r="S4922" s="3"/>
      <c r="T4922" t="s">
        <v>1132</v>
      </c>
      <c r="U4922" t="str">
        <f>VLOOKUP(T4922,[8]Votes!$A$1:$E$234,3,FALSE)</f>
        <v>021 Ministry of East African Community Affairs Uganda</v>
      </c>
      <c r="V4922" t="s">
        <v>17160</v>
      </c>
      <c r="W4922" s="416">
        <v>1</v>
      </c>
      <c r="X4922" s="416">
        <v>1</v>
      </c>
      <c r="Y4922" s="416">
        <v>1</v>
      </c>
      <c r="Z4922" s="416">
        <v>1</v>
      </c>
      <c r="AA4922" s="416">
        <v>1</v>
      </c>
      <c r="AB4922" s="416">
        <v>0</v>
      </c>
      <c r="AC4922" s="150">
        <v>0</v>
      </c>
      <c r="AD4922" s="150">
        <v>1</v>
      </c>
      <c r="AE4922" s="49">
        <f t="shared" ref="AE4922:AE4929" si="176">SUM(W4922:AD4922)/8</f>
        <v>0.75</v>
      </c>
      <c r="AF4922" s="190">
        <v>1</v>
      </c>
      <c r="AG4922" s="17">
        <v>0</v>
      </c>
      <c r="AH4922" s="44">
        <v>6</v>
      </c>
      <c r="AI4922" s="44">
        <v>6</v>
      </c>
      <c r="AJ4922" s="44">
        <v>8</v>
      </c>
      <c r="AK4922" s="151">
        <v>6</v>
      </c>
      <c r="AL4922" s="151">
        <v>6</v>
      </c>
      <c r="AM4922" s="17">
        <f t="shared" ref="AM4922:AM4929" si="177">SUM(AK4922:AL4922)</f>
        <v>12</v>
      </c>
      <c r="AN4922" t="s">
        <v>1132</v>
      </c>
      <c r="AO4922" s="162" t="s">
        <v>3739</v>
      </c>
      <c r="AP4922"/>
    </row>
    <row r="4923" spans="1:42" s="162" customFormat="1" x14ac:dyDescent="0.3">
      <c r="A4923" s="536" t="s">
        <v>8321</v>
      </c>
      <c r="B4923" s="162" t="s">
        <v>8322</v>
      </c>
      <c r="C4923" s="168" t="s">
        <v>13277</v>
      </c>
      <c r="D4923" s="162" t="s">
        <v>13278</v>
      </c>
      <c r="E4923" s="168" t="s">
        <v>13279</v>
      </c>
      <c r="F4923" s="18" t="s">
        <v>17154</v>
      </c>
      <c r="G4923" s="168" t="s">
        <v>13410</v>
      </c>
      <c r="H4923" s="162" t="s">
        <v>13411</v>
      </c>
      <c r="J4923" s="1"/>
      <c r="K4923" s="168">
        <v>16111011</v>
      </c>
      <c r="L4923" s="1" t="s">
        <v>17161</v>
      </c>
      <c r="M4923" s="1" t="s">
        <v>17156</v>
      </c>
      <c r="N4923"/>
      <c r="O4923" s="3"/>
      <c r="P4923" s="3"/>
      <c r="Q4923" s="3"/>
      <c r="R4923" s="3"/>
      <c r="S4923" s="3"/>
      <c r="T4923" t="s">
        <v>1132</v>
      </c>
      <c r="U4923" t="str">
        <f>VLOOKUP(T4923,[8]Votes!$A$1:$E$234,3,FALSE)</f>
        <v>021 Ministry of East African Community Affairs Uganda</v>
      </c>
      <c r="V4923" t="s">
        <v>17162</v>
      </c>
      <c r="W4923" s="416">
        <v>0</v>
      </c>
      <c r="X4923" s="416">
        <v>0</v>
      </c>
      <c r="Y4923" s="416">
        <v>0</v>
      </c>
      <c r="Z4923" s="416">
        <v>1</v>
      </c>
      <c r="AA4923" s="416">
        <v>0</v>
      </c>
      <c r="AB4923" s="416">
        <v>0</v>
      </c>
      <c r="AC4923" s="150">
        <v>0</v>
      </c>
      <c r="AD4923" s="150">
        <v>0</v>
      </c>
      <c r="AE4923" s="49">
        <f t="shared" si="176"/>
        <v>0.125</v>
      </c>
      <c r="AF4923" s="190">
        <v>1</v>
      </c>
      <c r="AG4923" s="17">
        <v>0</v>
      </c>
      <c r="AH4923" s="44">
        <v>2.5</v>
      </c>
      <c r="AI4923" s="44">
        <v>3</v>
      </c>
      <c r="AJ4923" s="44">
        <v>3.2</v>
      </c>
      <c r="AK4923" s="151">
        <v>3</v>
      </c>
      <c r="AL4923" s="151">
        <v>3</v>
      </c>
      <c r="AM4923" s="17">
        <f t="shared" si="177"/>
        <v>6</v>
      </c>
      <c r="AN4923" t="s">
        <v>1132</v>
      </c>
      <c r="AO4923" s="162" t="s">
        <v>3739</v>
      </c>
      <c r="AP4923"/>
    </row>
    <row r="4924" spans="1:42" s="162" customFormat="1" x14ac:dyDescent="0.3">
      <c r="A4924" s="536" t="s">
        <v>8321</v>
      </c>
      <c r="B4924" s="162" t="s">
        <v>8322</v>
      </c>
      <c r="C4924" s="168" t="s">
        <v>13277</v>
      </c>
      <c r="D4924" s="162" t="s">
        <v>13278</v>
      </c>
      <c r="E4924" s="168" t="s">
        <v>13279</v>
      </c>
      <c r="F4924" s="18" t="s">
        <v>17154</v>
      </c>
      <c r="G4924" s="168" t="s">
        <v>13398</v>
      </c>
      <c r="H4924" s="168" t="s">
        <v>13399</v>
      </c>
      <c r="I4924" s="1"/>
      <c r="J4924" s="1"/>
      <c r="K4924" s="168">
        <v>16110812</v>
      </c>
      <c r="L4924" s="1" t="s">
        <v>17163</v>
      </c>
      <c r="M4924" s="1" t="s">
        <v>17164</v>
      </c>
      <c r="N4924"/>
      <c r="O4924" s="3"/>
      <c r="P4924" s="3"/>
      <c r="Q4924" s="3"/>
      <c r="R4924" s="3"/>
      <c r="S4924" s="3"/>
      <c r="T4924" t="s">
        <v>1132</v>
      </c>
      <c r="U4924" t="str">
        <f>VLOOKUP(T4924,[8]Votes!$A$1:$E$234,3,FALSE)</f>
        <v>021 Ministry of East African Community Affairs Uganda</v>
      </c>
      <c r="V4924" t="s">
        <v>17165</v>
      </c>
      <c r="W4924" s="416">
        <v>1</v>
      </c>
      <c r="X4924" s="416">
        <v>1</v>
      </c>
      <c r="Y4924" s="416">
        <v>1</v>
      </c>
      <c r="Z4924" s="416">
        <v>1</v>
      </c>
      <c r="AA4924" s="416">
        <v>1</v>
      </c>
      <c r="AB4924" s="416">
        <v>0</v>
      </c>
      <c r="AC4924" s="150">
        <v>0</v>
      </c>
      <c r="AD4924" s="150">
        <v>1</v>
      </c>
      <c r="AE4924" s="49">
        <f t="shared" si="176"/>
        <v>0.75</v>
      </c>
      <c r="AF4924" s="190">
        <v>1</v>
      </c>
      <c r="AG4924" s="17">
        <v>0</v>
      </c>
      <c r="AH4924" s="44">
        <v>3</v>
      </c>
      <c r="AI4924" s="44">
        <v>4</v>
      </c>
      <c r="AJ4924" s="44">
        <v>4.2</v>
      </c>
      <c r="AK4924" s="151">
        <v>3</v>
      </c>
      <c r="AL4924" s="151">
        <v>3</v>
      </c>
      <c r="AM4924" s="17">
        <f t="shared" si="177"/>
        <v>6</v>
      </c>
      <c r="AN4924" t="s">
        <v>1132</v>
      </c>
      <c r="AO4924" s="162" t="s">
        <v>3739</v>
      </c>
      <c r="AP4924"/>
    </row>
    <row r="4925" spans="1:42" s="162" customFormat="1" x14ac:dyDescent="0.3">
      <c r="A4925" s="536" t="s">
        <v>8321</v>
      </c>
      <c r="B4925" s="162" t="s">
        <v>8322</v>
      </c>
      <c r="C4925" s="168" t="s">
        <v>13277</v>
      </c>
      <c r="D4925" s="162" t="s">
        <v>13278</v>
      </c>
      <c r="E4925" s="168" t="s">
        <v>13279</v>
      </c>
      <c r="F4925" s="18" t="s">
        <v>17154</v>
      </c>
      <c r="G4925" s="168" t="s">
        <v>13420</v>
      </c>
      <c r="H4925" s="18" t="s">
        <v>13421</v>
      </c>
      <c r="I4925" s="1"/>
      <c r="J4925" s="1"/>
      <c r="K4925" s="168">
        <v>16111211</v>
      </c>
      <c r="L4925" s="1" t="s">
        <v>17166</v>
      </c>
      <c r="M4925" s="1" t="s">
        <v>17167</v>
      </c>
      <c r="N4925"/>
      <c r="O4925" s="3"/>
      <c r="P4925" s="3"/>
      <c r="Q4925" s="3"/>
      <c r="R4925" s="3"/>
      <c r="S4925" s="3"/>
      <c r="T4925" t="s">
        <v>1132</v>
      </c>
      <c r="U4925" t="str">
        <f>VLOOKUP(T4925,[8]Votes!$A$1:$E$234,3,FALSE)</f>
        <v>021 Ministry of East African Community Affairs Uganda</v>
      </c>
      <c r="V4925" t="s">
        <v>17168</v>
      </c>
      <c r="W4925" s="416">
        <v>1</v>
      </c>
      <c r="X4925" s="416">
        <v>1</v>
      </c>
      <c r="Y4925" s="416">
        <v>1</v>
      </c>
      <c r="Z4925" s="416">
        <v>1</v>
      </c>
      <c r="AA4925" s="416">
        <v>1</v>
      </c>
      <c r="AB4925" s="416">
        <v>0</v>
      </c>
      <c r="AC4925" s="150">
        <v>0</v>
      </c>
      <c r="AD4925" s="150">
        <v>1</v>
      </c>
      <c r="AE4925" s="49">
        <f t="shared" si="176"/>
        <v>0.75</v>
      </c>
      <c r="AF4925" s="190">
        <v>1</v>
      </c>
      <c r="AG4925" s="17">
        <v>0</v>
      </c>
      <c r="AH4925" s="44">
        <v>6.2</v>
      </c>
      <c r="AI4925" s="44">
        <v>7</v>
      </c>
      <c r="AJ4925" s="44">
        <v>7</v>
      </c>
      <c r="AK4925" s="151">
        <v>8</v>
      </c>
      <c r="AL4925" s="151">
        <v>8</v>
      </c>
      <c r="AM4925" s="17">
        <f t="shared" si="177"/>
        <v>16</v>
      </c>
      <c r="AN4925" t="s">
        <v>1132</v>
      </c>
      <c r="AO4925" s="162" t="s">
        <v>3739</v>
      </c>
      <c r="AP4925"/>
    </row>
    <row r="4926" spans="1:42" s="162" customFormat="1" x14ac:dyDescent="0.3">
      <c r="A4926" s="536" t="s">
        <v>8321</v>
      </c>
      <c r="B4926" s="162" t="s">
        <v>8322</v>
      </c>
      <c r="C4926" s="168" t="s">
        <v>13530</v>
      </c>
      <c r="D4926" s="1" t="s">
        <v>13531</v>
      </c>
      <c r="E4926" s="406" t="s">
        <v>13532</v>
      </c>
      <c r="F4926" s="406" t="s">
        <v>13533</v>
      </c>
      <c r="G4926" s="406">
        <v>166601</v>
      </c>
      <c r="H4926" s="18" t="s">
        <v>13534</v>
      </c>
      <c r="I4926" s="162" t="s">
        <v>15428</v>
      </c>
      <c r="J4926" s="1" t="s">
        <v>15429</v>
      </c>
      <c r="K4926" s="406">
        <v>16660120</v>
      </c>
      <c r="L4926" s="1" t="s">
        <v>17169</v>
      </c>
      <c r="M4926" s="1" t="s">
        <v>17170</v>
      </c>
      <c r="N4926"/>
      <c r="O4926" s="3"/>
      <c r="P4926" s="3"/>
      <c r="Q4926" s="3"/>
      <c r="R4926" s="3"/>
      <c r="S4926" s="3"/>
      <c r="T4926" t="s">
        <v>1132</v>
      </c>
      <c r="U4926" t="str">
        <f>VLOOKUP(T4926,[8]Votes!$A$1:$E$234,3,FALSE)</f>
        <v>021 Ministry of East African Community Affairs Uganda</v>
      </c>
      <c r="V4926" t="s">
        <v>17171</v>
      </c>
      <c r="W4926" s="388">
        <v>1</v>
      </c>
      <c r="X4926" s="388">
        <v>0</v>
      </c>
      <c r="Y4926" s="388">
        <v>0</v>
      </c>
      <c r="Z4926" s="388">
        <v>0</v>
      </c>
      <c r="AA4926" s="388">
        <v>0</v>
      </c>
      <c r="AB4926" s="388">
        <v>0</v>
      </c>
      <c r="AC4926" s="150">
        <v>0</v>
      </c>
      <c r="AD4926" s="150">
        <v>0</v>
      </c>
      <c r="AE4926" s="49">
        <f t="shared" si="176"/>
        <v>0.125</v>
      </c>
      <c r="AF4926" s="23">
        <v>0</v>
      </c>
      <c r="AG4926" s="17">
        <v>0</v>
      </c>
      <c r="AH4926" s="44">
        <v>6.2</v>
      </c>
      <c r="AI4926" s="44">
        <v>7</v>
      </c>
      <c r="AJ4926" s="44">
        <v>7</v>
      </c>
      <c r="AK4926" s="151">
        <v>8.5</v>
      </c>
      <c r="AL4926" s="151">
        <v>8.5</v>
      </c>
      <c r="AM4926" s="17">
        <f t="shared" si="177"/>
        <v>17</v>
      </c>
      <c r="AN4926" t="s">
        <v>1132</v>
      </c>
      <c r="AO4926" s="162" t="s">
        <v>3739</v>
      </c>
      <c r="AP4926"/>
    </row>
    <row r="4927" spans="1:42" s="162" customFormat="1" x14ac:dyDescent="0.3">
      <c r="A4927" s="536" t="s">
        <v>8321</v>
      </c>
      <c r="B4927" s="162" t="s">
        <v>8322</v>
      </c>
      <c r="C4927" s="168" t="s">
        <v>13452</v>
      </c>
      <c r="D4927" s="162" t="s">
        <v>13453</v>
      </c>
      <c r="E4927" s="406" t="s">
        <v>13454</v>
      </c>
      <c r="F4927" s="18" t="s">
        <v>13455</v>
      </c>
      <c r="G4927" s="162">
        <v>162201</v>
      </c>
      <c r="H4927" s="18" t="s">
        <v>13456</v>
      </c>
      <c r="I4927" s="162" t="s">
        <v>14386</v>
      </c>
      <c r="J4927" s="1" t="s">
        <v>17172</v>
      </c>
      <c r="K4927" s="406" t="s">
        <v>17173</v>
      </c>
      <c r="L4927" s="1" t="s">
        <v>17174</v>
      </c>
      <c r="M4927" s="1" t="s">
        <v>17175</v>
      </c>
      <c r="N4927"/>
      <c r="O4927" s="3"/>
      <c r="P4927" s="3"/>
      <c r="Q4927" s="3"/>
      <c r="R4927" s="3"/>
      <c r="S4927" s="3"/>
      <c r="T4927" t="s">
        <v>1132</v>
      </c>
      <c r="U4927" t="str">
        <f>VLOOKUP(T4927,[8]Votes!$A$1:$E$234,3,FALSE)</f>
        <v>021 Ministry of East African Community Affairs Uganda</v>
      </c>
      <c r="V4927" t="s">
        <v>17176</v>
      </c>
      <c r="W4927" s="388">
        <v>0</v>
      </c>
      <c r="X4927" s="388">
        <v>0</v>
      </c>
      <c r="Y4927" s="388">
        <v>0</v>
      </c>
      <c r="Z4927" s="388">
        <v>0</v>
      </c>
      <c r="AA4927" s="388">
        <v>0</v>
      </c>
      <c r="AB4927" s="388">
        <v>0</v>
      </c>
      <c r="AC4927" s="150">
        <v>0</v>
      </c>
      <c r="AD4927" s="150">
        <v>0</v>
      </c>
      <c r="AE4927" s="49">
        <f t="shared" si="176"/>
        <v>0</v>
      </c>
      <c r="AF4927" s="44">
        <v>0</v>
      </c>
      <c r="AG4927" s="17">
        <v>0</v>
      </c>
      <c r="AH4927" s="44">
        <v>4.5</v>
      </c>
      <c r="AI4927" s="44">
        <v>5.6</v>
      </c>
      <c r="AJ4927" s="44">
        <v>6.4</v>
      </c>
      <c r="AK4927" s="151">
        <v>5</v>
      </c>
      <c r="AL4927" s="151">
        <v>5</v>
      </c>
      <c r="AM4927" s="17">
        <f t="shared" si="177"/>
        <v>10</v>
      </c>
      <c r="AN4927" t="s">
        <v>1132</v>
      </c>
      <c r="AO4927" s="162" t="s">
        <v>3739</v>
      </c>
      <c r="AP4927"/>
    </row>
    <row r="4928" spans="1:42" s="162" customFormat="1" x14ac:dyDescent="0.3">
      <c r="A4928" s="536" t="s">
        <v>8321</v>
      </c>
      <c r="B4928" s="162" t="s">
        <v>8322</v>
      </c>
      <c r="C4928" s="168" t="s">
        <v>13497</v>
      </c>
      <c r="D4928" s="162" t="s">
        <v>13498</v>
      </c>
      <c r="E4928" s="168" t="s">
        <v>13499</v>
      </c>
      <c r="F4928" s="18" t="s">
        <v>13500</v>
      </c>
      <c r="G4928" s="168">
        <v>164401</v>
      </c>
      <c r="H4928" s="168" t="s">
        <v>13501</v>
      </c>
      <c r="I4928" s="1"/>
      <c r="J4928" s="1"/>
      <c r="K4928" s="168">
        <v>16440104</v>
      </c>
      <c r="L4928" s="1" t="s">
        <v>17177</v>
      </c>
      <c r="M4928" s="1" t="s">
        <v>17178</v>
      </c>
      <c r="N4928"/>
      <c r="O4928" s="3"/>
      <c r="P4928" s="3"/>
      <c r="Q4928" s="3"/>
      <c r="R4928" s="3"/>
      <c r="S4928" s="3"/>
      <c r="T4928" t="s">
        <v>1132</v>
      </c>
      <c r="U4928" t="str">
        <f>VLOOKUP(T4928,[8]Votes!$A$1:$E$234,3,FALSE)</f>
        <v>021 Ministry of East African Community Affairs Uganda</v>
      </c>
      <c r="V4928" t="s">
        <v>17179</v>
      </c>
      <c r="W4928" s="45">
        <v>0</v>
      </c>
      <c r="X4928" s="45">
        <v>0</v>
      </c>
      <c r="Y4928" s="45">
        <v>0</v>
      </c>
      <c r="Z4928" s="45">
        <v>1</v>
      </c>
      <c r="AA4928" s="45">
        <v>1</v>
      </c>
      <c r="AB4928" s="45">
        <v>0</v>
      </c>
      <c r="AC4928" s="150">
        <v>0</v>
      </c>
      <c r="AD4928" s="150">
        <v>0</v>
      </c>
      <c r="AE4928" s="49">
        <f t="shared" si="176"/>
        <v>0.25</v>
      </c>
      <c r="AF4928" s="485">
        <v>0</v>
      </c>
      <c r="AG4928" s="17">
        <v>0</v>
      </c>
      <c r="AH4928" s="44">
        <v>7.2</v>
      </c>
      <c r="AI4928" s="44">
        <v>8</v>
      </c>
      <c r="AJ4928" s="44">
        <v>10</v>
      </c>
      <c r="AK4928" s="151">
        <v>8</v>
      </c>
      <c r="AL4928" s="151">
        <v>8</v>
      </c>
      <c r="AM4928" s="17">
        <f t="shared" si="177"/>
        <v>16</v>
      </c>
      <c r="AN4928" t="s">
        <v>1132</v>
      </c>
      <c r="AO4928" s="162" t="s">
        <v>3739</v>
      </c>
      <c r="AP4928"/>
    </row>
    <row r="4929" spans="1:42" s="162" customFormat="1" x14ac:dyDescent="0.3">
      <c r="A4929" s="536" t="s">
        <v>8321</v>
      </c>
      <c r="B4929" s="162" t="s">
        <v>8322</v>
      </c>
      <c r="C4929" s="168" t="s">
        <v>13497</v>
      </c>
      <c r="D4929" s="162" t="s">
        <v>13498</v>
      </c>
      <c r="E4929" s="168" t="s">
        <v>13499</v>
      </c>
      <c r="F4929" s="18" t="s">
        <v>13500</v>
      </c>
      <c r="G4929" s="168">
        <v>164401</v>
      </c>
      <c r="H4929" s="168" t="s">
        <v>13501</v>
      </c>
      <c r="I4929" s="1"/>
      <c r="J4929" s="1"/>
      <c r="K4929" s="168">
        <v>16440104</v>
      </c>
      <c r="L4929" s="1" t="s">
        <v>17177</v>
      </c>
      <c r="M4929" s="1" t="s">
        <v>17178</v>
      </c>
      <c r="N4929"/>
      <c r="O4929" s="3"/>
      <c r="P4929" s="3"/>
      <c r="Q4929" s="3"/>
      <c r="R4929" s="3"/>
      <c r="S4929" s="3"/>
      <c r="T4929" t="s">
        <v>1132</v>
      </c>
      <c r="U4929" t="str">
        <f>VLOOKUP(T4929,[8]Votes!$A$1:$E$234,3,FALSE)</f>
        <v>021 Ministry of East African Community Affairs Uganda</v>
      </c>
      <c r="V4929" t="s">
        <v>17179</v>
      </c>
      <c r="W4929" s="45">
        <v>0</v>
      </c>
      <c r="X4929" s="45">
        <v>0</v>
      </c>
      <c r="Y4929" s="45">
        <v>0</v>
      </c>
      <c r="Z4929" s="45">
        <v>1</v>
      </c>
      <c r="AA4929" s="45">
        <v>1</v>
      </c>
      <c r="AB4929" s="45">
        <v>0</v>
      </c>
      <c r="AC4929" s="150">
        <v>0</v>
      </c>
      <c r="AD4929" s="150">
        <v>0</v>
      </c>
      <c r="AE4929" s="49">
        <f t="shared" si="176"/>
        <v>0.25</v>
      </c>
      <c r="AF4929" s="485">
        <v>0</v>
      </c>
      <c r="AG4929" s="17">
        <v>0</v>
      </c>
      <c r="AH4929" s="190">
        <v>0</v>
      </c>
      <c r="AI4929" s="190">
        <v>0</v>
      </c>
      <c r="AJ4929" s="190">
        <v>0</v>
      </c>
      <c r="AK4929" s="191">
        <v>0</v>
      </c>
      <c r="AL4929" s="191">
        <v>0</v>
      </c>
      <c r="AM4929" s="17">
        <f t="shared" si="177"/>
        <v>0</v>
      </c>
      <c r="AN4929" t="s">
        <v>1132</v>
      </c>
      <c r="AO4929" s="162" t="s">
        <v>3739</v>
      </c>
      <c r="AP4929"/>
    </row>
    <row r="4930" spans="1:42" s="10" customFormat="1" x14ac:dyDescent="0.3">
      <c r="A4930" s="156" t="s">
        <v>8321</v>
      </c>
      <c r="B4930" s="18" t="s">
        <v>8322</v>
      </c>
      <c r="C4930" s="156" t="s">
        <v>17180</v>
      </c>
      <c r="D4930" s="10" t="s">
        <v>17181</v>
      </c>
      <c r="E4930" s="368" t="s">
        <v>17182</v>
      </c>
      <c r="F4930" s="10" t="s">
        <v>17183</v>
      </c>
      <c r="G4930" s="368" t="s">
        <v>17184</v>
      </c>
      <c r="H4930" s="10" t="s">
        <v>17185</v>
      </c>
      <c r="K4930" s="368" t="s">
        <v>17186</v>
      </c>
      <c r="L4930" s="18" t="s">
        <v>13885</v>
      </c>
      <c r="M4930" s="18" t="s">
        <v>13886</v>
      </c>
      <c r="N4930" s="544">
        <v>0</v>
      </c>
      <c r="O4930" s="544">
        <v>0</v>
      </c>
      <c r="P4930" s="544">
        <v>0</v>
      </c>
      <c r="Q4930" s="544">
        <v>0</v>
      </c>
      <c r="R4930" s="545">
        <v>4</v>
      </c>
      <c r="S4930" s="545">
        <v>4</v>
      </c>
      <c r="T4930" s="545" t="s">
        <v>1233</v>
      </c>
      <c r="U4930" s="18" t="s">
        <v>1650</v>
      </c>
      <c r="V4930" s="18" t="s">
        <v>17187</v>
      </c>
      <c r="AE4930" s="32">
        <v>0</v>
      </c>
      <c r="AH4930" s="544">
        <v>0</v>
      </c>
      <c r="AI4930" s="544">
        <v>0</v>
      </c>
      <c r="AJ4930" s="544">
        <v>0</v>
      </c>
      <c r="AK4930" s="191">
        <v>0.4</v>
      </c>
      <c r="AL4930" s="191">
        <v>0.4</v>
      </c>
      <c r="AM4930" s="546">
        <f>SUM(AH4930:AL4930)</f>
        <v>0.8</v>
      </c>
      <c r="AN4930" s="545" t="s">
        <v>1233</v>
      </c>
      <c r="AO4930" s="10" t="s">
        <v>1650</v>
      </c>
    </row>
    <row r="4931" spans="1:42" s="10" customFormat="1" x14ac:dyDescent="0.3">
      <c r="A4931" s="156" t="s">
        <v>8321</v>
      </c>
      <c r="B4931" s="18" t="s">
        <v>8322</v>
      </c>
      <c r="C4931" s="156" t="s">
        <v>17180</v>
      </c>
      <c r="D4931" s="10" t="s">
        <v>17181</v>
      </c>
      <c r="E4931" s="368" t="s">
        <v>17182</v>
      </c>
      <c r="F4931" s="10" t="s">
        <v>17183</v>
      </c>
      <c r="G4931" s="368" t="s">
        <v>17184</v>
      </c>
      <c r="H4931" s="10" t="s">
        <v>17185</v>
      </c>
      <c r="K4931" s="368" t="s">
        <v>17188</v>
      </c>
      <c r="L4931" s="18" t="s">
        <v>14338</v>
      </c>
      <c r="M4931" s="18" t="s">
        <v>14339</v>
      </c>
      <c r="N4931" s="544">
        <v>0</v>
      </c>
      <c r="O4931" s="544">
        <v>0</v>
      </c>
      <c r="P4931" s="544">
        <v>0</v>
      </c>
      <c r="Q4931" s="544">
        <v>0</v>
      </c>
      <c r="R4931" s="545">
        <v>6</v>
      </c>
      <c r="S4931" s="545">
        <v>6</v>
      </c>
      <c r="T4931" s="545" t="s">
        <v>1233</v>
      </c>
      <c r="U4931" s="18" t="s">
        <v>1650</v>
      </c>
      <c r="V4931" s="18" t="s">
        <v>17189</v>
      </c>
      <c r="AE4931" s="32">
        <v>0</v>
      </c>
      <c r="AH4931" s="544">
        <v>0</v>
      </c>
      <c r="AI4931" s="544">
        <v>0</v>
      </c>
      <c r="AJ4931" s="544">
        <v>0</v>
      </c>
      <c r="AK4931" s="191">
        <v>0.4</v>
      </c>
      <c r="AL4931" s="191">
        <v>0.4</v>
      </c>
      <c r="AM4931" s="546">
        <f t="shared" ref="AM4931:AM4959" si="178">SUM(AH4931:AL4931)</f>
        <v>0.8</v>
      </c>
      <c r="AN4931" s="545" t="s">
        <v>1233</v>
      </c>
      <c r="AO4931" s="10" t="s">
        <v>1650</v>
      </c>
    </row>
    <row r="4932" spans="1:42" s="10" customFormat="1" x14ac:dyDescent="0.3">
      <c r="A4932" s="156" t="s">
        <v>8321</v>
      </c>
      <c r="B4932" s="18" t="s">
        <v>8322</v>
      </c>
      <c r="C4932" s="156" t="s">
        <v>17180</v>
      </c>
      <c r="D4932" s="10" t="s">
        <v>17181</v>
      </c>
      <c r="E4932" s="368" t="s">
        <v>17182</v>
      </c>
      <c r="F4932" s="10" t="s">
        <v>17183</v>
      </c>
      <c r="G4932" s="368" t="s">
        <v>17184</v>
      </c>
      <c r="H4932" s="10" t="s">
        <v>17185</v>
      </c>
      <c r="K4932" s="368" t="s">
        <v>17190</v>
      </c>
      <c r="L4932" s="18" t="s">
        <v>17191</v>
      </c>
      <c r="M4932" s="18" t="s">
        <v>13882</v>
      </c>
      <c r="N4932" s="544">
        <v>0</v>
      </c>
      <c r="O4932" s="544">
        <v>0</v>
      </c>
      <c r="P4932" s="544">
        <v>0</v>
      </c>
      <c r="Q4932" s="544">
        <v>0</v>
      </c>
      <c r="R4932" s="545">
        <v>4</v>
      </c>
      <c r="S4932" s="545">
        <v>4</v>
      </c>
      <c r="T4932" s="545" t="s">
        <v>1233</v>
      </c>
      <c r="U4932" s="18" t="s">
        <v>1650</v>
      </c>
      <c r="V4932" s="18" t="s">
        <v>17192</v>
      </c>
      <c r="AE4932" s="32">
        <v>0</v>
      </c>
      <c r="AH4932" s="544">
        <v>0</v>
      </c>
      <c r="AI4932" s="544">
        <v>0</v>
      </c>
      <c r="AJ4932" s="544">
        <v>0</v>
      </c>
      <c r="AK4932" s="191">
        <v>0.4</v>
      </c>
      <c r="AL4932" s="191">
        <v>0.4</v>
      </c>
      <c r="AM4932" s="546">
        <f t="shared" si="178"/>
        <v>0.8</v>
      </c>
      <c r="AN4932" s="545" t="s">
        <v>1233</v>
      </c>
      <c r="AO4932" s="10" t="s">
        <v>1650</v>
      </c>
    </row>
    <row r="4933" spans="1:42" s="10" customFormat="1" x14ac:dyDescent="0.3">
      <c r="A4933" s="156" t="s">
        <v>8321</v>
      </c>
      <c r="B4933" s="18" t="s">
        <v>8322</v>
      </c>
      <c r="C4933" s="156" t="s">
        <v>17180</v>
      </c>
      <c r="D4933" s="10" t="s">
        <v>17181</v>
      </c>
      <c r="E4933" s="368" t="s">
        <v>17182</v>
      </c>
      <c r="F4933" s="10" t="s">
        <v>17183</v>
      </c>
      <c r="G4933" s="368" t="s">
        <v>17184</v>
      </c>
      <c r="H4933" s="10" t="s">
        <v>17185</v>
      </c>
      <c r="K4933" s="368" t="s">
        <v>17193</v>
      </c>
      <c r="L4933" s="18" t="s">
        <v>13889</v>
      </c>
      <c r="M4933" s="18" t="s">
        <v>13890</v>
      </c>
      <c r="N4933" s="544">
        <v>0</v>
      </c>
      <c r="O4933" s="544">
        <v>0</v>
      </c>
      <c r="P4933" s="544">
        <v>0</v>
      </c>
      <c r="Q4933" s="544">
        <v>0</v>
      </c>
      <c r="R4933" s="545">
        <v>3</v>
      </c>
      <c r="S4933" s="545">
        <v>3</v>
      </c>
      <c r="T4933" s="545" t="s">
        <v>1233</v>
      </c>
      <c r="U4933" s="18" t="s">
        <v>1650</v>
      </c>
      <c r="V4933" s="18" t="s">
        <v>13891</v>
      </c>
      <c r="AE4933" s="32">
        <v>0</v>
      </c>
      <c r="AH4933" s="544">
        <v>0</v>
      </c>
      <c r="AI4933" s="544">
        <v>0</v>
      </c>
      <c r="AJ4933" s="544">
        <v>0</v>
      </c>
      <c r="AK4933" s="191">
        <v>0.3</v>
      </c>
      <c r="AL4933" s="191">
        <v>0.3</v>
      </c>
      <c r="AM4933" s="546">
        <f t="shared" si="178"/>
        <v>0.6</v>
      </c>
      <c r="AN4933" s="545" t="s">
        <v>1233</v>
      </c>
      <c r="AO4933" s="10" t="s">
        <v>1650</v>
      </c>
    </row>
    <row r="4934" spans="1:42" s="10" customFormat="1" x14ac:dyDescent="0.3">
      <c r="A4934" s="156" t="s">
        <v>8321</v>
      </c>
      <c r="B4934" s="18" t="s">
        <v>8322</v>
      </c>
      <c r="C4934" s="156" t="s">
        <v>17180</v>
      </c>
      <c r="D4934" s="10" t="s">
        <v>17181</v>
      </c>
      <c r="E4934" s="368" t="s">
        <v>17182</v>
      </c>
      <c r="F4934" s="10" t="s">
        <v>17183</v>
      </c>
      <c r="G4934" s="368" t="s">
        <v>17184</v>
      </c>
      <c r="H4934" s="10" t="s">
        <v>17185</v>
      </c>
      <c r="K4934" s="368" t="s">
        <v>17194</v>
      </c>
      <c r="L4934" s="18" t="s">
        <v>17195</v>
      </c>
      <c r="M4934" s="18" t="s">
        <v>17196</v>
      </c>
      <c r="N4934" s="544">
        <v>0</v>
      </c>
      <c r="O4934" s="544">
        <v>0</v>
      </c>
      <c r="P4934" s="544">
        <v>0</v>
      </c>
      <c r="Q4934" s="544">
        <v>0</v>
      </c>
      <c r="R4934" s="545">
        <v>2</v>
      </c>
      <c r="S4934" s="545">
        <v>2</v>
      </c>
      <c r="T4934" s="545" t="s">
        <v>1233</v>
      </c>
      <c r="U4934" s="18" t="s">
        <v>1650</v>
      </c>
      <c r="V4934" s="18" t="s">
        <v>17197</v>
      </c>
      <c r="AE4934" s="32">
        <v>0</v>
      </c>
      <c r="AH4934" s="544">
        <v>0</v>
      </c>
      <c r="AI4934" s="544">
        <v>0</v>
      </c>
      <c r="AJ4934" s="544">
        <v>0</v>
      </c>
      <c r="AK4934" s="191">
        <v>0.2</v>
      </c>
      <c r="AL4934" s="191">
        <v>0.2</v>
      </c>
      <c r="AM4934" s="546">
        <f t="shared" si="178"/>
        <v>0.4</v>
      </c>
      <c r="AN4934" s="545" t="s">
        <v>1233</v>
      </c>
      <c r="AO4934" s="10" t="s">
        <v>1650</v>
      </c>
    </row>
    <row r="4935" spans="1:42" s="10" customFormat="1" x14ac:dyDescent="0.3">
      <c r="A4935" s="156" t="s">
        <v>8321</v>
      </c>
      <c r="B4935" s="18" t="s">
        <v>8322</v>
      </c>
      <c r="C4935" s="156" t="s">
        <v>17180</v>
      </c>
      <c r="D4935" s="10" t="s">
        <v>17181</v>
      </c>
      <c r="E4935" s="368" t="s">
        <v>17182</v>
      </c>
      <c r="F4935" s="10" t="s">
        <v>17183</v>
      </c>
      <c r="G4935" s="368" t="s">
        <v>17184</v>
      </c>
      <c r="H4935" s="10" t="s">
        <v>17185</v>
      </c>
      <c r="K4935" s="368" t="s">
        <v>17198</v>
      </c>
      <c r="L4935" s="18" t="s">
        <v>13895</v>
      </c>
      <c r="M4935" s="18" t="s">
        <v>13896</v>
      </c>
      <c r="N4935" s="544">
        <v>0</v>
      </c>
      <c r="O4935" s="544">
        <v>0</v>
      </c>
      <c r="P4935" s="544">
        <v>0</v>
      </c>
      <c r="Q4935" s="544">
        <v>0</v>
      </c>
      <c r="R4935" s="545">
        <v>4</v>
      </c>
      <c r="S4935" s="545">
        <v>4</v>
      </c>
      <c r="T4935" s="545" t="s">
        <v>1233</v>
      </c>
      <c r="U4935" s="18" t="s">
        <v>1650</v>
      </c>
      <c r="V4935" s="18" t="s">
        <v>17199</v>
      </c>
      <c r="AE4935" s="32">
        <v>0</v>
      </c>
      <c r="AH4935" s="544">
        <v>0</v>
      </c>
      <c r="AI4935" s="544">
        <v>0</v>
      </c>
      <c r="AJ4935" s="544">
        <v>0</v>
      </c>
      <c r="AK4935" s="191">
        <v>0.05</v>
      </c>
      <c r="AL4935" s="191">
        <v>0.05</v>
      </c>
      <c r="AM4935" s="546">
        <f t="shared" si="178"/>
        <v>0.1</v>
      </c>
      <c r="AN4935" s="545" t="s">
        <v>1233</v>
      </c>
      <c r="AO4935" s="10" t="s">
        <v>1650</v>
      </c>
    </row>
    <row r="4936" spans="1:42" s="10" customFormat="1" x14ac:dyDescent="0.3">
      <c r="A4936" s="156" t="s">
        <v>8321</v>
      </c>
      <c r="B4936" s="18" t="s">
        <v>8322</v>
      </c>
      <c r="C4936" s="156" t="s">
        <v>17180</v>
      </c>
      <c r="D4936" s="10" t="s">
        <v>17181</v>
      </c>
      <c r="E4936" s="368" t="s">
        <v>17182</v>
      </c>
      <c r="F4936" s="10" t="s">
        <v>17183</v>
      </c>
      <c r="G4936" s="368" t="s">
        <v>17184</v>
      </c>
      <c r="H4936" s="10" t="s">
        <v>17185</v>
      </c>
      <c r="K4936" s="368" t="s">
        <v>17198</v>
      </c>
      <c r="L4936" s="18" t="s">
        <v>13895</v>
      </c>
      <c r="M4936" s="18" t="s">
        <v>13898</v>
      </c>
      <c r="N4936" s="544">
        <v>0</v>
      </c>
      <c r="O4936" s="544">
        <v>0</v>
      </c>
      <c r="P4936" s="544">
        <v>0</v>
      </c>
      <c r="Q4936" s="544">
        <v>0</v>
      </c>
      <c r="R4936" s="545">
        <v>167.76</v>
      </c>
      <c r="S4936" s="545">
        <v>167.76</v>
      </c>
      <c r="T4936" s="545" t="s">
        <v>1233</v>
      </c>
      <c r="U4936" s="18" t="s">
        <v>1650</v>
      </c>
      <c r="V4936" s="18" t="s">
        <v>13899</v>
      </c>
      <c r="AE4936" s="32">
        <v>0</v>
      </c>
      <c r="AH4936" s="544">
        <v>0</v>
      </c>
      <c r="AI4936" s="544">
        <v>0</v>
      </c>
      <c r="AJ4936" s="544">
        <v>0</v>
      </c>
      <c r="AK4936" s="191">
        <v>0.1</v>
      </c>
      <c r="AL4936" s="191">
        <v>0.1</v>
      </c>
      <c r="AM4936" s="546">
        <f t="shared" si="178"/>
        <v>0.2</v>
      </c>
      <c r="AN4936" s="545" t="s">
        <v>1233</v>
      </c>
      <c r="AO4936" s="10" t="s">
        <v>1650</v>
      </c>
    </row>
    <row r="4937" spans="1:42" s="10" customFormat="1" x14ac:dyDescent="0.3">
      <c r="A4937" s="156" t="s">
        <v>8321</v>
      </c>
      <c r="B4937" s="18" t="s">
        <v>8322</v>
      </c>
      <c r="C4937" s="156" t="s">
        <v>17180</v>
      </c>
      <c r="D4937" s="10" t="s">
        <v>17181</v>
      </c>
      <c r="E4937" s="368" t="s">
        <v>17182</v>
      </c>
      <c r="F4937" s="10" t="s">
        <v>17183</v>
      </c>
      <c r="G4937" s="368" t="s">
        <v>17184</v>
      </c>
      <c r="H4937" s="10" t="s">
        <v>17185</v>
      </c>
      <c r="K4937" s="368" t="s">
        <v>17200</v>
      </c>
      <c r="L4937" s="18" t="s">
        <v>17201</v>
      </c>
      <c r="M4937" s="18" t="s">
        <v>17202</v>
      </c>
      <c r="N4937" s="544">
        <v>0</v>
      </c>
      <c r="O4937" s="544">
        <v>0</v>
      </c>
      <c r="P4937" s="544">
        <v>0</v>
      </c>
      <c r="Q4937" s="544">
        <v>0</v>
      </c>
      <c r="R4937" s="545">
        <v>4</v>
      </c>
      <c r="S4937" s="545">
        <v>4</v>
      </c>
      <c r="T4937" s="545" t="s">
        <v>1233</v>
      </c>
      <c r="U4937" s="18" t="s">
        <v>1650</v>
      </c>
      <c r="V4937" s="18" t="s">
        <v>17203</v>
      </c>
      <c r="AE4937" s="32">
        <v>0</v>
      </c>
      <c r="AH4937" s="544">
        <v>0</v>
      </c>
      <c r="AI4937" s="544">
        <v>0</v>
      </c>
      <c r="AJ4937" s="544">
        <v>0</v>
      </c>
      <c r="AK4937" s="191">
        <v>0.1</v>
      </c>
      <c r="AL4937" s="191">
        <v>0.1</v>
      </c>
      <c r="AM4937" s="546">
        <f t="shared" si="178"/>
        <v>0.2</v>
      </c>
      <c r="AN4937" s="545" t="s">
        <v>1233</v>
      </c>
      <c r="AO4937" s="10" t="s">
        <v>1650</v>
      </c>
    </row>
    <row r="4938" spans="1:42" s="10" customFormat="1" x14ac:dyDescent="0.3">
      <c r="A4938" s="156" t="s">
        <v>8321</v>
      </c>
      <c r="B4938" s="18" t="s">
        <v>8322</v>
      </c>
      <c r="C4938" s="156" t="s">
        <v>17180</v>
      </c>
      <c r="D4938" s="10" t="s">
        <v>17181</v>
      </c>
      <c r="E4938" s="368" t="s">
        <v>17182</v>
      </c>
      <c r="F4938" s="10" t="s">
        <v>17183</v>
      </c>
      <c r="G4938" s="368" t="s">
        <v>17184</v>
      </c>
      <c r="H4938" s="10" t="s">
        <v>17185</v>
      </c>
      <c r="K4938" s="368" t="s">
        <v>17204</v>
      </c>
      <c r="L4938" s="18" t="s">
        <v>13903</v>
      </c>
      <c r="M4938" s="18" t="s">
        <v>13904</v>
      </c>
      <c r="N4938" s="544">
        <v>0</v>
      </c>
      <c r="O4938" s="544">
        <v>0</v>
      </c>
      <c r="P4938" s="544">
        <v>0</v>
      </c>
      <c r="Q4938" s="544">
        <v>0</v>
      </c>
      <c r="R4938" s="545">
        <v>4</v>
      </c>
      <c r="S4938" s="545">
        <v>4</v>
      </c>
      <c r="T4938" s="545" t="s">
        <v>1233</v>
      </c>
      <c r="U4938" s="18" t="s">
        <v>1650</v>
      </c>
      <c r="V4938" s="18" t="s">
        <v>13905</v>
      </c>
      <c r="AE4938" s="32">
        <v>0</v>
      </c>
      <c r="AH4938" s="544">
        <v>0</v>
      </c>
      <c r="AI4938" s="544">
        <v>0</v>
      </c>
      <c r="AJ4938" s="544">
        <v>0</v>
      </c>
      <c r="AK4938" s="191">
        <v>0.2</v>
      </c>
      <c r="AL4938" s="191">
        <v>0.2</v>
      </c>
      <c r="AM4938" s="546">
        <f t="shared" si="178"/>
        <v>0.4</v>
      </c>
      <c r="AN4938" s="545" t="s">
        <v>1233</v>
      </c>
      <c r="AO4938" s="10" t="s">
        <v>1650</v>
      </c>
    </row>
    <row r="4939" spans="1:42" s="10" customFormat="1" x14ac:dyDescent="0.3">
      <c r="A4939" s="156" t="s">
        <v>8321</v>
      </c>
      <c r="B4939" s="18" t="s">
        <v>8322</v>
      </c>
      <c r="C4939" s="156" t="s">
        <v>17180</v>
      </c>
      <c r="D4939" s="10" t="s">
        <v>17181</v>
      </c>
      <c r="E4939" s="368" t="s">
        <v>17182</v>
      </c>
      <c r="F4939" s="10" t="s">
        <v>17183</v>
      </c>
      <c r="G4939" s="368" t="s">
        <v>17184</v>
      </c>
      <c r="H4939" s="10" t="s">
        <v>17185</v>
      </c>
      <c r="K4939" s="368" t="s">
        <v>17205</v>
      </c>
      <c r="L4939" s="18" t="s">
        <v>17206</v>
      </c>
      <c r="M4939" s="18" t="s">
        <v>14181</v>
      </c>
      <c r="N4939" s="544">
        <v>0</v>
      </c>
      <c r="O4939" s="544">
        <v>0</v>
      </c>
      <c r="P4939" s="544">
        <v>0</v>
      </c>
      <c r="Q4939" s="544">
        <v>0</v>
      </c>
      <c r="R4939" s="545">
        <v>4</v>
      </c>
      <c r="S4939" s="545">
        <v>4</v>
      </c>
      <c r="T4939" s="545" t="s">
        <v>1233</v>
      </c>
      <c r="U4939" s="18" t="s">
        <v>1650</v>
      </c>
      <c r="V4939" s="18" t="s">
        <v>17207</v>
      </c>
      <c r="AE4939" s="32">
        <v>0</v>
      </c>
      <c r="AH4939" s="544">
        <v>0</v>
      </c>
      <c r="AI4939" s="544">
        <v>0</v>
      </c>
      <c r="AJ4939" s="544">
        <v>0</v>
      </c>
      <c r="AK4939" s="191">
        <v>0.8</v>
      </c>
      <c r="AL4939" s="191">
        <v>0.8</v>
      </c>
      <c r="AM4939" s="546">
        <f t="shared" si="178"/>
        <v>1.6</v>
      </c>
      <c r="AN4939" s="545" t="s">
        <v>1233</v>
      </c>
      <c r="AO4939" s="10" t="s">
        <v>1650</v>
      </c>
    </row>
    <row r="4940" spans="1:42" s="10" customFormat="1" x14ac:dyDescent="0.3">
      <c r="A4940" s="156" t="s">
        <v>8321</v>
      </c>
      <c r="B4940" s="18" t="s">
        <v>8322</v>
      </c>
      <c r="C4940" s="156" t="s">
        <v>17180</v>
      </c>
      <c r="D4940" s="10" t="s">
        <v>17181</v>
      </c>
      <c r="E4940" s="368" t="s">
        <v>17182</v>
      </c>
      <c r="F4940" s="10" t="s">
        <v>17183</v>
      </c>
      <c r="G4940" s="368" t="s">
        <v>17184</v>
      </c>
      <c r="H4940" s="10" t="s">
        <v>17185</v>
      </c>
      <c r="K4940" s="368" t="s">
        <v>17205</v>
      </c>
      <c r="L4940" s="18" t="s">
        <v>17206</v>
      </c>
      <c r="M4940" s="18" t="s">
        <v>14183</v>
      </c>
      <c r="N4940" s="544">
        <v>0</v>
      </c>
      <c r="O4940" s="544">
        <v>0</v>
      </c>
      <c r="P4940" s="544">
        <v>0</v>
      </c>
      <c r="Q4940" s="544">
        <v>0</v>
      </c>
      <c r="R4940" s="545">
        <v>20</v>
      </c>
      <c r="S4940" s="545">
        <v>20</v>
      </c>
      <c r="T4940" s="545" t="s">
        <v>1233</v>
      </c>
      <c r="U4940" s="18" t="s">
        <v>1650</v>
      </c>
      <c r="V4940" s="18" t="s">
        <v>14184</v>
      </c>
      <c r="AE4940" s="32">
        <v>0</v>
      </c>
      <c r="AH4940" s="544">
        <v>0</v>
      </c>
      <c r="AI4940" s="544">
        <v>0</v>
      </c>
      <c r="AJ4940" s="544">
        <v>0</v>
      </c>
      <c r="AK4940" s="191">
        <v>0.3</v>
      </c>
      <c r="AL4940" s="191">
        <v>0.3</v>
      </c>
      <c r="AM4940" s="546">
        <f t="shared" si="178"/>
        <v>0.6</v>
      </c>
      <c r="AN4940" s="545" t="s">
        <v>1233</v>
      </c>
      <c r="AO4940" s="10" t="s">
        <v>1650</v>
      </c>
    </row>
    <row r="4941" spans="1:42" s="10" customFormat="1" x14ac:dyDescent="0.3">
      <c r="A4941" s="156" t="s">
        <v>8321</v>
      </c>
      <c r="B4941" s="18" t="s">
        <v>8322</v>
      </c>
      <c r="C4941" s="156" t="s">
        <v>17180</v>
      </c>
      <c r="D4941" s="10" t="s">
        <v>17181</v>
      </c>
      <c r="E4941" s="368" t="s">
        <v>17182</v>
      </c>
      <c r="F4941" s="10" t="s">
        <v>17183</v>
      </c>
      <c r="G4941" s="368" t="s">
        <v>17184</v>
      </c>
      <c r="H4941" s="10" t="s">
        <v>17185</v>
      </c>
      <c r="K4941" s="368" t="s">
        <v>17205</v>
      </c>
      <c r="L4941" s="18" t="s">
        <v>17206</v>
      </c>
      <c r="M4941" s="18" t="s">
        <v>17208</v>
      </c>
      <c r="N4941" s="544">
        <v>0</v>
      </c>
      <c r="O4941" s="544">
        <v>0</v>
      </c>
      <c r="P4941" s="544">
        <v>0</v>
      </c>
      <c r="Q4941" s="544">
        <v>0</v>
      </c>
      <c r="R4941" s="547">
        <v>0.2</v>
      </c>
      <c r="S4941" s="547">
        <v>0.2</v>
      </c>
      <c r="T4941" s="545" t="s">
        <v>1233</v>
      </c>
      <c r="U4941" s="18" t="s">
        <v>1650</v>
      </c>
      <c r="V4941" s="18" t="s">
        <v>17209</v>
      </c>
      <c r="AE4941" s="32">
        <v>0</v>
      </c>
      <c r="AH4941" s="544">
        <v>0</v>
      </c>
      <c r="AI4941" s="544">
        <v>0</v>
      </c>
      <c r="AJ4941" s="544">
        <v>0</v>
      </c>
      <c r="AK4941" s="191">
        <v>0.5</v>
      </c>
      <c r="AL4941" s="191">
        <v>0.5</v>
      </c>
      <c r="AM4941" s="546">
        <f t="shared" si="178"/>
        <v>1</v>
      </c>
      <c r="AN4941" s="545" t="s">
        <v>1233</v>
      </c>
      <c r="AO4941" s="10" t="s">
        <v>1650</v>
      </c>
    </row>
    <row r="4942" spans="1:42" s="10" customFormat="1" x14ac:dyDescent="0.3">
      <c r="A4942" s="156" t="s">
        <v>8321</v>
      </c>
      <c r="B4942" s="18" t="s">
        <v>8322</v>
      </c>
      <c r="C4942" s="156" t="s">
        <v>17180</v>
      </c>
      <c r="D4942" s="10" t="s">
        <v>17181</v>
      </c>
      <c r="E4942" s="368" t="s">
        <v>17182</v>
      </c>
      <c r="F4942" s="10" t="s">
        <v>17183</v>
      </c>
      <c r="G4942" s="368" t="s">
        <v>17184</v>
      </c>
      <c r="H4942" s="10" t="s">
        <v>17185</v>
      </c>
      <c r="K4942" s="368" t="s">
        <v>17210</v>
      </c>
      <c r="L4942" s="548" t="s">
        <v>17211</v>
      </c>
      <c r="M4942" s="548" t="s">
        <v>17212</v>
      </c>
      <c r="N4942" s="544">
        <v>0</v>
      </c>
      <c r="O4942" s="544">
        <v>0</v>
      </c>
      <c r="P4942" s="544">
        <v>0</v>
      </c>
      <c r="Q4942" s="544">
        <v>0</v>
      </c>
      <c r="R4942" s="549">
        <v>30</v>
      </c>
      <c r="S4942" s="549">
        <v>30</v>
      </c>
      <c r="T4942" s="545" t="s">
        <v>1233</v>
      </c>
      <c r="U4942" s="18" t="s">
        <v>1650</v>
      </c>
      <c r="V4942" s="548" t="s">
        <v>17213</v>
      </c>
      <c r="AE4942" s="32">
        <v>0</v>
      </c>
      <c r="AH4942" s="544">
        <v>0</v>
      </c>
      <c r="AI4942" s="544">
        <v>0</v>
      </c>
      <c r="AJ4942" s="544">
        <v>0</v>
      </c>
      <c r="AK4942" s="191">
        <v>0.02</v>
      </c>
      <c r="AL4942" s="191">
        <v>0.02</v>
      </c>
      <c r="AM4942" s="546">
        <f t="shared" si="178"/>
        <v>0.04</v>
      </c>
      <c r="AN4942" s="545" t="s">
        <v>1233</v>
      </c>
      <c r="AO4942" s="10" t="s">
        <v>1650</v>
      </c>
    </row>
    <row r="4943" spans="1:42" s="10" customFormat="1" x14ac:dyDescent="0.3">
      <c r="A4943" s="156" t="s">
        <v>8321</v>
      </c>
      <c r="B4943" s="18" t="s">
        <v>8322</v>
      </c>
      <c r="C4943" s="156" t="s">
        <v>17180</v>
      </c>
      <c r="D4943" s="10" t="s">
        <v>17181</v>
      </c>
      <c r="E4943" s="368" t="s">
        <v>17182</v>
      </c>
      <c r="F4943" s="10" t="s">
        <v>17183</v>
      </c>
      <c r="G4943" s="368" t="s">
        <v>17184</v>
      </c>
      <c r="H4943" s="10" t="s">
        <v>17185</v>
      </c>
      <c r="K4943" s="368" t="s">
        <v>17214</v>
      </c>
      <c r="L4943" s="548" t="s">
        <v>14762</v>
      </c>
      <c r="M4943" s="548" t="s">
        <v>17215</v>
      </c>
      <c r="N4943" s="544">
        <v>0</v>
      </c>
      <c r="O4943" s="544">
        <v>0</v>
      </c>
      <c r="P4943" s="544">
        <v>0</v>
      </c>
      <c r="Q4943" s="544">
        <v>0</v>
      </c>
      <c r="R4943" s="549">
        <v>6</v>
      </c>
      <c r="S4943" s="549">
        <v>6</v>
      </c>
      <c r="T4943" s="545" t="s">
        <v>1233</v>
      </c>
      <c r="U4943" s="18" t="s">
        <v>1650</v>
      </c>
      <c r="V4943" s="548" t="s">
        <v>17216</v>
      </c>
      <c r="AE4943" s="32">
        <v>0</v>
      </c>
      <c r="AH4943" s="544">
        <v>0</v>
      </c>
      <c r="AI4943" s="544">
        <v>0</v>
      </c>
      <c r="AJ4943" s="544">
        <v>0</v>
      </c>
      <c r="AK4943" s="191">
        <v>0.08</v>
      </c>
      <c r="AL4943" s="191">
        <v>0.08</v>
      </c>
      <c r="AM4943" s="546">
        <f t="shared" si="178"/>
        <v>0.16</v>
      </c>
      <c r="AN4943" s="545" t="s">
        <v>1233</v>
      </c>
      <c r="AO4943" s="10" t="s">
        <v>1650</v>
      </c>
    </row>
    <row r="4944" spans="1:42" s="10" customFormat="1" x14ac:dyDescent="0.3">
      <c r="A4944" s="156" t="s">
        <v>8321</v>
      </c>
      <c r="B4944" s="18" t="s">
        <v>8322</v>
      </c>
      <c r="C4944" s="156" t="s">
        <v>17180</v>
      </c>
      <c r="D4944" s="10" t="s">
        <v>17181</v>
      </c>
      <c r="E4944" s="368" t="s">
        <v>17182</v>
      </c>
      <c r="F4944" s="10" t="s">
        <v>17183</v>
      </c>
      <c r="G4944" s="368" t="s">
        <v>17184</v>
      </c>
      <c r="H4944" s="10" t="s">
        <v>17185</v>
      </c>
      <c r="K4944" s="368" t="s">
        <v>17217</v>
      </c>
      <c r="L4944" s="18" t="s">
        <v>17218</v>
      </c>
      <c r="M4944" s="18" t="s">
        <v>17219</v>
      </c>
      <c r="N4944" s="544">
        <v>0</v>
      </c>
      <c r="O4944" s="544">
        <v>0</v>
      </c>
      <c r="P4944" s="544">
        <v>0</v>
      </c>
      <c r="Q4944" s="544">
        <v>0</v>
      </c>
      <c r="R4944" s="545">
        <v>2</v>
      </c>
      <c r="S4944" s="545">
        <v>2</v>
      </c>
      <c r="T4944" s="545" t="s">
        <v>1233</v>
      </c>
      <c r="U4944" s="18" t="s">
        <v>1650</v>
      </c>
      <c r="V4944" s="18" t="s">
        <v>13769</v>
      </c>
      <c r="AE4944" s="32">
        <v>0</v>
      </c>
      <c r="AH4944" s="544">
        <v>0</v>
      </c>
      <c r="AI4944" s="544">
        <v>0</v>
      </c>
      <c r="AJ4944" s="544">
        <v>0</v>
      </c>
      <c r="AK4944" s="191">
        <v>0.3</v>
      </c>
      <c r="AL4944" s="191">
        <v>0.3</v>
      </c>
      <c r="AM4944" s="546">
        <f t="shared" si="178"/>
        <v>0.6</v>
      </c>
      <c r="AN4944" s="545" t="s">
        <v>1233</v>
      </c>
      <c r="AO4944" s="10" t="s">
        <v>1650</v>
      </c>
    </row>
    <row r="4945" spans="1:41" s="10" customFormat="1" x14ac:dyDescent="0.3">
      <c r="A4945" s="156" t="s">
        <v>8321</v>
      </c>
      <c r="B4945" s="18" t="s">
        <v>8322</v>
      </c>
      <c r="C4945" s="156" t="s">
        <v>17180</v>
      </c>
      <c r="D4945" s="10" t="s">
        <v>17181</v>
      </c>
      <c r="E4945" s="368" t="s">
        <v>17182</v>
      </c>
      <c r="F4945" s="10" t="s">
        <v>17183</v>
      </c>
      <c r="G4945" s="368" t="s">
        <v>17220</v>
      </c>
      <c r="H4945" s="10" t="s">
        <v>17221</v>
      </c>
      <c r="K4945" s="368" t="s">
        <v>17222</v>
      </c>
      <c r="L4945" s="18" t="s">
        <v>14797</v>
      </c>
      <c r="M4945" s="18" t="s">
        <v>14798</v>
      </c>
      <c r="N4945" s="544">
        <v>0</v>
      </c>
      <c r="O4945" s="544">
        <v>0</v>
      </c>
      <c r="P4945" s="544">
        <v>0</v>
      </c>
      <c r="Q4945" s="544">
        <v>0</v>
      </c>
      <c r="R4945" s="545">
        <v>4</v>
      </c>
      <c r="S4945" s="545">
        <v>4</v>
      </c>
      <c r="T4945" s="545" t="s">
        <v>1233</v>
      </c>
      <c r="U4945" s="18" t="s">
        <v>1650</v>
      </c>
      <c r="V4945" s="18" t="s">
        <v>17223</v>
      </c>
      <c r="AE4945" s="32">
        <v>0</v>
      </c>
      <c r="AH4945" s="544">
        <v>0</v>
      </c>
      <c r="AI4945" s="544">
        <v>0</v>
      </c>
      <c r="AJ4945" s="544">
        <v>0</v>
      </c>
      <c r="AK4945" s="191">
        <v>0.2</v>
      </c>
      <c r="AL4945" s="191">
        <v>0.2</v>
      </c>
      <c r="AM4945" s="546">
        <f t="shared" si="178"/>
        <v>0.4</v>
      </c>
      <c r="AN4945" s="545" t="s">
        <v>1233</v>
      </c>
      <c r="AO4945" s="10" t="s">
        <v>1650</v>
      </c>
    </row>
    <row r="4946" spans="1:41" s="10" customFormat="1" x14ac:dyDescent="0.3">
      <c r="A4946" s="156" t="s">
        <v>8321</v>
      </c>
      <c r="B4946" s="18" t="s">
        <v>8322</v>
      </c>
      <c r="C4946" s="156" t="s">
        <v>17180</v>
      </c>
      <c r="D4946" s="10" t="s">
        <v>17181</v>
      </c>
      <c r="E4946" s="368" t="s">
        <v>17182</v>
      </c>
      <c r="F4946" s="10" t="s">
        <v>17183</v>
      </c>
      <c r="G4946" s="368" t="s">
        <v>17220</v>
      </c>
      <c r="H4946" s="10" t="s">
        <v>17221</v>
      </c>
      <c r="K4946" s="368" t="s">
        <v>17224</v>
      </c>
      <c r="L4946" s="18" t="s">
        <v>17225</v>
      </c>
      <c r="M4946" s="18" t="s">
        <v>15533</v>
      </c>
      <c r="N4946" s="544">
        <v>0</v>
      </c>
      <c r="O4946" s="544">
        <v>0</v>
      </c>
      <c r="P4946" s="544">
        <v>0</v>
      </c>
      <c r="Q4946" s="544">
        <v>0</v>
      </c>
      <c r="R4946" s="545" t="s">
        <v>271</v>
      </c>
      <c r="S4946" s="545" t="s">
        <v>271</v>
      </c>
      <c r="T4946" s="545" t="s">
        <v>1233</v>
      </c>
      <c r="U4946" s="18" t="s">
        <v>1650</v>
      </c>
      <c r="V4946" s="18" t="s">
        <v>15535</v>
      </c>
      <c r="AE4946" s="32">
        <v>0</v>
      </c>
      <c r="AH4946" s="544">
        <v>0</v>
      </c>
      <c r="AI4946" s="544">
        <v>0</v>
      </c>
      <c r="AJ4946" s="544">
        <v>0</v>
      </c>
      <c r="AK4946" s="191" t="s">
        <v>2089</v>
      </c>
      <c r="AL4946" s="191" t="s">
        <v>2089</v>
      </c>
      <c r="AM4946" s="546">
        <f t="shared" si="178"/>
        <v>0</v>
      </c>
      <c r="AN4946" s="545" t="s">
        <v>1233</v>
      </c>
      <c r="AO4946" s="10" t="s">
        <v>1650</v>
      </c>
    </row>
    <row r="4947" spans="1:41" s="10" customFormat="1" x14ac:dyDescent="0.3">
      <c r="A4947" s="156" t="s">
        <v>8321</v>
      </c>
      <c r="B4947" s="18" t="s">
        <v>8322</v>
      </c>
      <c r="C4947" s="156" t="s">
        <v>17180</v>
      </c>
      <c r="D4947" s="10" t="s">
        <v>17181</v>
      </c>
      <c r="E4947" s="368" t="s">
        <v>17182</v>
      </c>
      <c r="F4947" s="10" t="s">
        <v>17183</v>
      </c>
      <c r="G4947" s="368" t="s">
        <v>17226</v>
      </c>
      <c r="H4947" s="10" t="s">
        <v>17227</v>
      </c>
      <c r="K4947" s="368" t="s">
        <v>17228</v>
      </c>
      <c r="L4947" s="18" t="s">
        <v>14006</v>
      </c>
      <c r="M4947" s="18" t="s">
        <v>14007</v>
      </c>
      <c r="N4947" s="544">
        <v>0</v>
      </c>
      <c r="O4947" s="544">
        <v>0</v>
      </c>
      <c r="P4947" s="544">
        <v>0</v>
      </c>
      <c r="Q4947" s="544">
        <v>0</v>
      </c>
      <c r="R4947" s="545">
        <v>32</v>
      </c>
      <c r="S4947" s="545">
        <v>34</v>
      </c>
      <c r="T4947" s="545" t="s">
        <v>1233</v>
      </c>
      <c r="U4947" s="18" t="s">
        <v>1650</v>
      </c>
      <c r="V4947" s="18" t="s">
        <v>17229</v>
      </c>
      <c r="AE4947" s="32">
        <v>0</v>
      </c>
      <c r="AH4947" s="544">
        <v>0</v>
      </c>
      <c r="AI4947" s="544">
        <v>0</v>
      </c>
      <c r="AJ4947" s="544">
        <v>0</v>
      </c>
      <c r="AK4947" s="191">
        <v>0.03</v>
      </c>
      <c r="AL4947" s="191">
        <v>0.03</v>
      </c>
      <c r="AM4947" s="546">
        <f t="shared" si="178"/>
        <v>0.06</v>
      </c>
      <c r="AN4947" s="545" t="s">
        <v>1233</v>
      </c>
      <c r="AO4947" s="10" t="s">
        <v>1650</v>
      </c>
    </row>
    <row r="4948" spans="1:41" s="10" customFormat="1" x14ac:dyDescent="0.3">
      <c r="A4948" s="156" t="s">
        <v>8321</v>
      </c>
      <c r="B4948" s="18" t="s">
        <v>8322</v>
      </c>
      <c r="C4948" s="156" t="s">
        <v>17180</v>
      </c>
      <c r="D4948" s="10" t="s">
        <v>17181</v>
      </c>
      <c r="E4948" s="368" t="s">
        <v>17182</v>
      </c>
      <c r="F4948" s="10" t="s">
        <v>17183</v>
      </c>
      <c r="G4948" s="368" t="s">
        <v>17226</v>
      </c>
      <c r="H4948" s="10" t="s">
        <v>17227</v>
      </c>
      <c r="K4948" s="368" t="s">
        <v>17230</v>
      </c>
      <c r="L4948" s="18" t="s">
        <v>17231</v>
      </c>
      <c r="M4948" s="18" t="s">
        <v>14010</v>
      </c>
      <c r="N4948" s="544">
        <v>0</v>
      </c>
      <c r="O4948" s="544">
        <v>0</v>
      </c>
      <c r="P4948" s="544">
        <v>0</v>
      </c>
      <c r="Q4948" s="544">
        <v>0</v>
      </c>
      <c r="R4948" s="545">
        <v>480</v>
      </c>
      <c r="S4948" s="545">
        <v>500</v>
      </c>
      <c r="T4948" s="545" t="s">
        <v>1233</v>
      </c>
      <c r="U4948" s="18" t="s">
        <v>1650</v>
      </c>
      <c r="V4948" s="18" t="s">
        <v>17232</v>
      </c>
      <c r="AE4948" s="32">
        <v>0</v>
      </c>
      <c r="AH4948" s="544">
        <v>0</v>
      </c>
      <c r="AI4948" s="544">
        <v>0</v>
      </c>
      <c r="AJ4948" s="544">
        <v>0</v>
      </c>
      <c r="AK4948" s="191">
        <v>0.05</v>
      </c>
      <c r="AL4948" s="191">
        <v>0.06</v>
      </c>
      <c r="AM4948" s="546">
        <f t="shared" si="178"/>
        <v>0.11</v>
      </c>
      <c r="AN4948" s="545" t="s">
        <v>1233</v>
      </c>
      <c r="AO4948" s="10" t="s">
        <v>1650</v>
      </c>
    </row>
    <row r="4949" spans="1:41" s="10" customFormat="1" x14ac:dyDescent="0.3">
      <c r="A4949" s="156" t="s">
        <v>8321</v>
      </c>
      <c r="B4949" s="18" t="s">
        <v>8322</v>
      </c>
      <c r="C4949" s="156" t="s">
        <v>17180</v>
      </c>
      <c r="D4949" s="10" t="s">
        <v>17181</v>
      </c>
      <c r="E4949" s="368" t="s">
        <v>17182</v>
      </c>
      <c r="F4949" s="10" t="s">
        <v>17183</v>
      </c>
      <c r="G4949" s="368" t="s">
        <v>17226</v>
      </c>
      <c r="H4949" s="10" t="s">
        <v>17227</v>
      </c>
      <c r="K4949" s="368" t="s">
        <v>17233</v>
      </c>
      <c r="L4949" s="18" t="s">
        <v>13999</v>
      </c>
      <c r="M4949" s="18" t="s">
        <v>17234</v>
      </c>
      <c r="N4949" s="544">
        <v>0</v>
      </c>
      <c r="O4949" s="544">
        <v>0</v>
      </c>
      <c r="P4949" s="544">
        <v>0</v>
      </c>
      <c r="Q4949" s="544">
        <v>0</v>
      </c>
      <c r="R4949" s="545">
        <v>370</v>
      </c>
      <c r="S4949" s="545">
        <v>400</v>
      </c>
      <c r="T4949" s="545" t="s">
        <v>1233</v>
      </c>
      <c r="U4949" s="18" t="s">
        <v>1650</v>
      </c>
      <c r="V4949" s="18" t="s">
        <v>17235</v>
      </c>
      <c r="AE4949" s="32">
        <v>0</v>
      </c>
      <c r="AH4949" s="544">
        <v>0</v>
      </c>
      <c r="AI4949" s="544">
        <v>0</v>
      </c>
      <c r="AJ4949" s="544">
        <v>0</v>
      </c>
      <c r="AK4949" s="191">
        <v>0.05</v>
      </c>
      <c r="AL4949" s="191">
        <v>0.06</v>
      </c>
      <c r="AM4949" s="546">
        <f t="shared" si="178"/>
        <v>0.11</v>
      </c>
      <c r="AN4949" s="545" t="s">
        <v>1233</v>
      </c>
      <c r="AO4949" s="10" t="s">
        <v>1650</v>
      </c>
    </row>
    <row r="4950" spans="1:41" s="10" customFormat="1" x14ac:dyDescent="0.3">
      <c r="A4950" s="156" t="s">
        <v>8321</v>
      </c>
      <c r="B4950" s="18" t="s">
        <v>8322</v>
      </c>
      <c r="C4950" s="156" t="s">
        <v>17180</v>
      </c>
      <c r="D4950" s="10" t="s">
        <v>17181</v>
      </c>
      <c r="E4950" s="368" t="s">
        <v>17182</v>
      </c>
      <c r="F4950" s="10" t="s">
        <v>17183</v>
      </c>
      <c r="G4950" s="368" t="s">
        <v>17226</v>
      </c>
      <c r="H4950" s="10" t="s">
        <v>17227</v>
      </c>
      <c r="K4950" s="368" t="s">
        <v>17233</v>
      </c>
      <c r="L4950" s="18" t="s">
        <v>13999</v>
      </c>
      <c r="M4950" s="18" t="s">
        <v>14002</v>
      </c>
      <c r="N4950" s="544">
        <v>0</v>
      </c>
      <c r="O4950" s="544">
        <v>0</v>
      </c>
      <c r="P4950" s="544">
        <v>0</v>
      </c>
      <c r="Q4950" s="544">
        <v>0</v>
      </c>
      <c r="R4950" s="550">
        <v>2400</v>
      </c>
      <c r="S4950" s="550">
        <v>2500</v>
      </c>
      <c r="T4950" s="545" t="s">
        <v>1233</v>
      </c>
      <c r="U4950" s="18" t="s">
        <v>1650</v>
      </c>
      <c r="V4950" s="18" t="s">
        <v>14003</v>
      </c>
      <c r="AE4950" s="32">
        <v>0</v>
      </c>
      <c r="AH4950" s="544">
        <v>0</v>
      </c>
      <c r="AI4950" s="544">
        <v>0</v>
      </c>
      <c r="AJ4950" s="544">
        <v>0</v>
      </c>
      <c r="AK4950" s="191" t="s">
        <v>271</v>
      </c>
      <c r="AL4950" s="191" t="s">
        <v>271</v>
      </c>
      <c r="AM4950" s="546">
        <f t="shared" si="178"/>
        <v>0</v>
      </c>
      <c r="AN4950" s="545" t="s">
        <v>1233</v>
      </c>
      <c r="AO4950" s="10" t="s">
        <v>1650</v>
      </c>
    </row>
    <row r="4951" spans="1:41" s="10" customFormat="1" x14ac:dyDescent="0.3">
      <c r="A4951" s="156" t="s">
        <v>8321</v>
      </c>
      <c r="B4951" s="18" t="s">
        <v>8322</v>
      </c>
      <c r="C4951" s="156" t="s">
        <v>17180</v>
      </c>
      <c r="D4951" s="10" t="s">
        <v>17181</v>
      </c>
      <c r="E4951" s="368" t="s">
        <v>17182</v>
      </c>
      <c r="F4951" s="10" t="s">
        <v>17183</v>
      </c>
      <c r="G4951" s="368" t="s">
        <v>17226</v>
      </c>
      <c r="H4951" s="10" t="s">
        <v>17227</v>
      </c>
      <c r="K4951" s="368" t="s">
        <v>17233</v>
      </c>
      <c r="L4951" s="18" t="s">
        <v>13999</v>
      </c>
      <c r="M4951" s="18" t="s">
        <v>14004</v>
      </c>
      <c r="N4951" s="544">
        <v>0</v>
      </c>
      <c r="O4951" s="544">
        <v>0</v>
      </c>
      <c r="P4951" s="544">
        <v>0</v>
      </c>
      <c r="Q4951" s="544">
        <v>0</v>
      </c>
      <c r="R4951" s="545">
        <v>450</v>
      </c>
      <c r="S4951" s="545">
        <v>500</v>
      </c>
      <c r="T4951" s="545" t="s">
        <v>1233</v>
      </c>
      <c r="U4951" s="18" t="s">
        <v>1650</v>
      </c>
      <c r="V4951" s="18" t="s">
        <v>14005</v>
      </c>
      <c r="AE4951" s="32">
        <v>0</v>
      </c>
      <c r="AH4951" s="544">
        <v>0</v>
      </c>
      <c r="AI4951" s="544">
        <v>0</v>
      </c>
      <c r="AJ4951" s="544">
        <v>0</v>
      </c>
      <c r="AK4951" s="191">
        <v>0.05</v>
      </c>
      <c r="AL4951" s="191">
        <v>0.06</v>
      </c>
      <c r="AM4951" s="546">
        <f t="shared" si="178"/>
        <v>0.11</v>
      </c>
      <c r="AN4951" s="545" t="s">
        <v>1233</v>
      </c>
      <c r="AO4951" s="10" t="s">
        <v>1650</v>
      </c>
    </row>
    <row r="4952" spans="1:41" s="10" customFormat="1" x14ac:dyDescent="0.3">
      <c r="A4952" s="156" t="s">
        <v>8321</v>
      </c>
      <c r="B4952" s="18" t="s">
        <v>8322</v>
      </c>
      <c r="C4952" s="156" t="s">
        <v>17180</v>
      </c>
      <c r="D4952" s="10" t="s">
        <v>17181</v>
      </c>
      <c r="E4952" s="368" t="s">
        <v>17182</v>
      </c>
      <c r="F4952" s="10" t="s">
        <v>17183</v>
      </c>
      <c r="G4952" s="368" t="s">
        <v>17226</v>
      </c>
      <c r="H4952" s="10" t="s">
        <v>17227</v>
      </c>
      <c r="K4952" s="368" t="s">
        <v>17236</v>
      </c>
      <c r="L4952" s="18" t="s">
        <v>17211</v>
      </c>
      <c r="M4952" s="18" t="s">
        <v>13994</v>
      </c>
      <c r="N4952" s="544">
        <v>0</v>
      </c>
      <c r="O4952" s="544">
        <v>0</v>
      </c>
      <c r="P4952" s="544">
        <v>0</v>
      </c>
      <c r="Q4952" s="544">
        <v>0</v>
      </c>
      <c r="R4952" s="545">
        <v>12</v>
      </c>
      <c r="S4952" s="545">
        <v>12</v>
      </c>
      <c r="T4952" s="545" t="s">
        <v>1233</v>
      </c>
      <c r="U4952" s="18" t="s">
        <v>1650</v>
      </c>
      <c r="V4952" s="18" t="s">
        <v>17237</v>
      </c>
      <c r="AE4952" s="32">
        <v>0</v>
      </c>
      <c r="AH4952" s="544">
        <v>0</v>
      </c>
      <c r="AI4952" s="544">
        <v>0</v>
      </c>
      <c r="AJ4952" s="544">
        <v>0</v>
      </c>
      <c r="AK4952" s="191">
        <v>0.5</v>
      </c>
      <c r="AL4952" s="191">
        <v>0.5</v>
      </c>
      <c r="AM4952" s="546">
        <f t="shared" si="178"/>
        <v>1</v>
      </c>
      <c r="AN4952" s="545" t="s">
        <v>1233</v>
      </c>
      <c r="AO4952" s="10" t="s">
        <v>1650</v>
      </c>
    </row>
    <row r="4953" spans="1:41" s="10" customFormat="1" x14ac:dyDescent="0.3">
      <c r="A4953" s="156" t="s">
        <v>8321</v>
      </c>
      <c r="B4953" s="18" t="s">
        <v>8322</v>
      </c>
      <c r="C4953" s="156" t="s">
        <v>17180</v>
      </c>
      <c r="D4953" s="10" t="s">
        <v>17181</v>
      </c>
      <c r="E4953" s="368" t="s">
        <v>17182</v>
      </c>
      <c r="F4953" s="10" t="s">
        <v>17183</v>
      </c>
      <c r="G4953" s="368" t="s">
        <v>17226</v>
      </c>
      <c r="H4953" s="10" t="s">
        <v>17227</v>
      </c>
      <c r="K4953" s="368" t="s">
        <v>17238</v>
      </c>
      <c r="L4953" s="18" t="s">
        <v>13996</v>
      </c>
      <c r="M4953" s="18" t="s">
        <v>13997</v>
      </c>
      <c r="N4953" s="544">
        <v>0</v>
      </c>
      <c r="O4953" s="544">
        <v>0</v>
      </c>
      <c r="P4953" s="544">
        <v>0</v>
      </c>
      <c r="Q4953" s="544">
        <v>0</v>
      </c>
      <c r="R4953" s="545">
        <v>24</v>
      </c>
      <c r="S4953" s="545">
        <v>25</v>
      </c>
      <c r="T4953" s="545" t="s">
        <v>1233</v>
      </c>
      <c r="U4953" s="18" t="s">
        <v>1650</v>
      </c>
      <c r="V4953" s="18" t="s">
        <v>17239</v>
      </c>
      <c r="AE4953" s="32">
        <v>0</v>
      </c>
      <c r="AH4953" s="544">
        <v>0</v>
      </c>
      <c r="AI4953" s="544">
        <v>0</v>
      </c>
      <c r="AJ4953" s="544">
        <v>0</v>
      </c>
      <c r="AK4953" s="191">
        <v>0.2</v>
      </c>
      <c r="AL4953" s="191">
        <v>0.2</v>
      </c>
      <c r="AM4953" s="546">
        <f t="shared" si="178"/>
        <v>0.4</v>
      </c>
      <c r="AN4953" s="545" t="s">
        <v>1233</v>
      </c>
      <c r="AO4953" s="10" t="s">
        <v>1650</v>
      </c>
    </row>
    <row r="4954" spans="1:41" s="10" customFormat="1" x14ac:dyDescent="0.3">
      <c r="A4954" s="156" t="s">
        <v>8321</v>
      </c>
      <c r="B4954" s="18" t="s">
        <v>8322</v>
      </c>
      <c r="C4954" s="156" t="s">
        <v>17180</v>
      </c>
      <c r="D4954" s="10" t="s">
        <v>17181</v>
      </c>
      <c r="E4954" s="368" t="s">
        <v>17182</v>
      </c>
      <c r="F4954" s="10" t="s">
        <v>17183</v>
      </c>
      <c r="G4954" s="368" t="s">
        <v>17226</v>
      </c>
      <c r="H4954" s="10" t="s">
        <v>17227</v>
      </c>
      <c r="K4954" s="368" t="s">
        <v>17240</v>
      </c>
      <c r="L4954" s="18" t="s">
        <v>14256</v>
      </c>
      <c r="M4954" s="18" t="s">
        <v>17241</v>
      </c>
      <c r="N4954" s="544">
        <v>0</v>
      </c>
      <c r="O4954" s="544">
        <v>0</v>
      </c>
      <c r="P4954" s="544">
        <v>0</v>
      </c>
      <c r="Q4954" s="544">
        <v>0</v>
      </c>
      <c r="R4954" s="545">
        <v>85</v>
      </c>
      <c r="S4954" s="545">
        <v>90</v>
      </c>
      <c r="T4954" s="545" t="s">
        <v>1233</v>
      </c>
      <c r="U4954" s="18" t="s">
        <v>1650</v>
      </c>
      <c r="V4954" s="18" t="s">
        <v>14258</v>
      </c>
      <c r="AE4954" s="32">
        <v>0</v>
      </c>
      <c r="AH4954" s="544">
        <v>0</v>
      </c>
      <c r="AI4954" s="544">
        <v>0</v>
      </c>
      <c r="AJ4954" s="544">
        <v>0</v>
      </c>
      <c r="AK4954" s="191">
        <v>1.2</v>
      </c>
      <c r="AL4954" s="191">
        <v>1.2</v>
      </c>
      <c r="AM4954" s="546">
        <f t="shared" si="178"/>
        <v>2.4</v>
      </c>
      <c r="AN4954" s="545" t="s">
        <v>1233</v>
      </c>
      <c r="AO4954" s="10" t="s">
        <v>1650</v>
      </c>
    </row>
    <row r="4955" spans="1:41" s="10" customFormat="1" x14ac:dyDescent="0.3">
      <c r="A4955" s="156" t="s">
        <v>8321</v>
      </c>
      <c r="B4955" s="18" t="s">
        <v>8322</v>
      </c>
      <c r="C4955" s="156" t="s">
        <v>17180</v>
      </c>
      <c r="D4955" s="10" t="s">
        <v>17181</v>
      </c>
      <c r="E4955" s="368" t="s">
        <v>17182</v>
      </c>
      <c r="F4955" s="10" t="s">
        <v>17183</v>
      </c>
      <c r="G4955" s="368" t="s">
        <v>17226</v>
      </c>
      <c r="H4955" s="10" t="s">
        <v>17227</v>
      </c>
      <c r="K4955" s="368" t="s">
        <v>17240</v>
      </c>
      <c r="L4955" s="18" t="s">
        <v>14256</v>
      </c>
      <c r="M4955" s="18" t="s">
        <v>14259</v>
      </c>
      <c r="N4955" s="544">
        <v>0</v>
      </c>
      <c r="O4955" s="544">
        <v>0</v>
      </c>
      <c r="P4955" s="544">
        <v>0</v>
      </c>
      <c r="Q4955" s="544">
        <v>0</v>
      </c>
      <c r="R4955" s="545">
        <v>140</v>
      </c>
      <c r="S4955" s="545">
        <v>150</v>
      </c>
      <c r="T4955" s="545" t="s">
        <v>1233</v>
      </c>
      <c r="U4955" s="18" t="s">
        <v>1650</v>
      </c>
      <c r="V4955" s="18" t="s">
        <v>17242</v>
      </c>
      <c r="AE4955" s="32">
        <v>0</v>
      </c>
      <c r="AH4955" s="544">
        <v>0</v>
      </c>
      <c r="AI4955" s="544">
        <v>0</v>
      </c>
      <c r="AJ4955" s="544">
        <v>0</v>
      </c>
      <c r="AK4955" s="191">
        <v>0.1</v>
      </c>
      <c r="AL4955" s="191">
        <v>0.1</v>
      </c>
      <c r="AM4955" s="546">
        <f t="shared" si="178"/>
        <v>0.2</v>
      </c>
      <c r="AN4955" s="545" t="s">
        <v>1233</v>
      </c>
      <c r="AO4955" s="10" t="s">
        <v>1650</v>
      </c>
    </row>
    <row r="4956" spans="1:41" s="10" customFormat="1" x14ac:dyDescent="0.3">
      <c r="A4956" s="156" t="s">
        <v>8321</v>
      </c>
      <c r="B4956" s="18" t="s">
        <v>8322</v>
      </c>
      <c r="C4956" s="156" t="s">
        <v>17180</v>
      </c>
      <c r="D4956" s="10" t="s">
        <v>17181</v>
      </c>
      <c r="E4956" s="368" t="s">
        <v>17182</v>
      </c>
      <c r="F4956" s="10" t="s">
        <v>17183</v>
      </c>
      <c r="G4956" s="368" t="s">
        <v>17226</v>
      </c>
      <c r="H4956" s="10" t="s">
        <v>17227</v>
      </c>
      <c r="K4956" s="368" t="s">
        <v>17240</v>
      </c>
      <c r="L4956" s="18" t="s">
        <v>14256</v>
      </c>
      <c r="M4956" s="18" t="s">
        <v>14261</v>
      </c>
      <c r="N4956" s="544">
        <v>0</v>
      </c>
      <c r="O4956" s="544">
        <v>0</v>
      </c>
      <c r="P4956" s="544">
        <v>0</v>
      </c>
      <c r="Q4956" s="544">
        <v>0</v>
      </c>
      <c r="R4956" s="545">
        <v>70</v>
      </c>
      <c r="S4956" s="545">
        <v>80</v>
      </c>
      <c r="T4956" s="545" t="s">
        <v>1233</v>
      </c>
      <c r="U4956" s="18" t="s">
        <v>1650</v>
      </c>
      <c r="V4956" s="18" t="s">
        <v>17243</v>
      </c>
      <c r="AE4956" s="32">
        <v>0</v>
      </c>
      <c r="AH4956" s="544">
        <v>0</v>
      </c>
      <c r="AI4956" s="544">
        <v>0</v>
      </c>
      <c r="AJ4956" s="544">
        <v>0</v>
      </c>
      <c r="AK4956" s="191">
        <v>0.8</v>
      </c>
      <c r="AL4956" s="191">
        <v>1</v>
      </c>
      <c r="AM4956" s="546">
        <f t="shared" si="178"/>
        <v>1.8</v>
      </c>
      <c r="AN4956" s="545" t="s">
        <v>1233</v>
      </c>
      <c r="AO4956" s="10" t="s">
        <v>1650</v>
      </c>
    </row>
    <row r="4957" spans="1:41" s="10" customFormat="1" x14ac:dyDescent="0.3">
      <c r="A4957" s="156" t="s">
        <v>8321</v>
      </c>
      <c r="B4957" s="18" t="s">
        <v>8322</v>
      </c>
      <c r="C4957" s="156" t="s">
        <v>17180</v>
      </c>
      <c r="D4957" s="10" t="s">
        <v>17181</v>
      </c>
      <c r="E4957" s="368" t="s">
        <v>17182</v>
      </c>
      <c r="F4957" s="10" t="s">
        <v>17183</v>
      </c>
      <c r="G4957" s="368" t="s">
        <v>17226</v>
      </c>
      <c r="H4957" s="10" t="s">
        <v>17227</v>
      </c>
      <c r="K4957" s="368" t="s">
        <v>17240</v>
      </c>
      <c r="L4957" s="18" t="s">
        <v>14256</v>
      </c>
      <c r="M4957" s="18" t="s">
        <v>17244</v>
      </c>
      <c r="N4957" s="544">
        <v>0</v>
      </c>
      <c r="O4957" s="544">
        <v>0</v>
      </c>
      <c r="P4957" s="544">
        <v>0</v>
      </c>
      <c r="Q4957" s="544">
        <v>0</v>
      </c>
      <c r="R4957" s="545">
        <v>2</v>
      </c>
      <c r="S4957" s="545">
        <v>2</v>
      </c>
      <c r="T4957" s="545" t="s">
        <v>1233</v>
      </c>
      <c r="U4957" s="18" t="s">
        <v>1650</v>
      </c>
      <c r="V4957" s="18" t="s">
        <v>14264</v>
      </c>
      <c r="AE4957" s="32">
        <v>0</v>
      </c>
      <c r="AH4957" s="544">
        <v>0</v>
      </c>
      <c r="AI4957" s="544">
        <v>0</v>
      </c>
      <c r="AJ4957" s="544">
        <v>0</v>
      </c>
      <c r="AK4957" s="191">
        <v>0.1</v>
      </c>
      <c r="AL4957" s="191">
        <v>0.1</v>
      </c>
      <c r="AM4957" s="546">
        <f t="shared" si="178"/>
        <v>0.2</v>
      </c>
      <c r="AN4957" s="545" t="s">
        <v>1233</v>
      </c>
      <c r="AO4957" s="10" t="s">
        <v>1650</v>
      </c>
    </row>
    <row r="4958" spans="1:41" s="10" customFormat="1" x14ac:dyDescent="0.3">
      <c r="A4958" s="156" t="s">
        <v>8321</v>
      </c>
      <c r="B4958" s="18" t="s">
        <v>8322</v>
      </c>
      <c r="C4958" s="156" t="s">
        <v>17180</v>
      </c>
      <c r="D4958" s="10" t="s">
        <v>17181</v>
      </c>
      <c r="E4958" s="368" t="s">
        <v>17182</v>
      </c>
      <c r="F4958" s="10" t="s">
        <v>17183</v>
      </c>
      <c r="G4958" s="368" t="s">
        <v>17226</v>
      </c>
      <c r="H4958" s="10" t="s">
        <v>17227</v>
      </c>
      <c r="K4958" s="368" t="s">
        <v>17240</v>
      </c>
      <c r="L4958" s="18" t="s">
        <v>14256</v>
      </c>
      <c r="M4958" s="18" t="s">
        <v>14265</v>
      </c>
      <c r="N4958" s="544">
        <v>0</v>
      </c>
      <c r="O4958" s="544">
        <v>0</v>
      </c>
      <c r="P4958" s="544">
        <v>0</v>
      </c>
      <c r="Q4958" s="544">
        <v>0</v>
      </c>
      <c r="R4958" s="550">
        <v>4600</v>
      </c>
      <c r="S4958" s="550">
        <v>4800</v>
      </c>
      <c r="T4958" s="545" t="s">
        <v>1233</v>
      </c>
      <c r="U4958" s="18" t="s">
        <v>1650</v>
      </c>
      <c r="V4958" s="18" t="s">
        <v>14266</v>
      </c>
      <c r="AE4958" s="32">
        <v>0</v>
      </c>
      <c r="AH4958" s="544">
        <v>0</v>
      </c>
      <c r="AI4958" s="544">
        <v>0</v>
      </c>
      <c r="AJ4958" s="544">
        <v>0</v>
      </c>
      <c r="AK4958" s="191">
        <v>0.8</v>
      </c>
      <c r="AL4958" s="191">
        <v>0.9</v>
      </c>
      <c r="AM4958" s="546">
        <f t="shared" si="178"/>
        <v>1.7000000000000002</v>
      </c>
      <c r="AN4958" s="545" t="s">
        <v>1233</v>
      </c>
      <c r="AO4958" s="10" t="s">
        <v>1650</v>
      </c>
    </row>
    <row r="4959" spans="1:41" s="10" customFormat="1" x14ac:dyDescent="0.3">
      <c r="A4959" s="156" t="s">
        <v>8321</v>
      </c>
      <c r="B4959" s="18" t="s">
        <v>8322</v>
      </c>
      <c r="C4959" s="156" t="s">
        <v>17180</v>
      </c>
      <c r="D4959" s="10" t="s">
        <v>17181</v>
      </c>
      <c r="E4959" s="368" t="s">
        <v>17182</v>
      </c>
      <c r="F4959" s="10" t="s">
        <v>17183</v>
      </c>
      <c r="G4959" s="368" t="s">
        <v>17226</v>
      </c>
      <c r="H4959" s="10" t="s">
        <v>17227</v>
      </c>
      <c r="K4959" s="368" t="s">
        <v>17240</v>
      </c>
      <c r="L4959" s="18" t="s">
        <v>14256</v>
      </c>
      <c r="M4959" s="18" t="s">
        <v>17245</v>
      </c>
      <c r="N4959" s="544">
        <v>0</v>
      </c>
      <c r="O4959" s="544">
        <v>0</v>
      </c>
      <c r="P4959" s="544">
        <v>0</v>
      </c>
      <c r="Q4959" s="544">
        <v>0</v>
      </c>
      <c r="R4959" s="550">
        <v>3500</v>
      </c>
      <c r="S4959" s="550">
        <v>3550</v>
      </c>
      <c r="T4959" s="545" t="s">
        <v>1233</v>
      </c>
      <c r="U4959" s="18" t="s">
        <v>1650</v>
      </c>
      <c r="V4959" s="18" t="s">
        <v>17246</v>
      </c>
      <c r="AE4959" s="32">
        <v>0</v>
      </c>
      <c r="AH4959" s="544">
        <v>0</v>
      </c>
      <c r="AI4959" s="544">
        <v>0</v>
      </c>
      <c r="AJ4959" s="544">
        <v>0</v>
      </c>
      <c r="AK4959" s="191">
        <v>0.4</v>
      </c>
      <c r="AL4959" s="191">
        <v>0.5</v>
      </c>
      <c r="AM4959" s="546">
        <f t="shared" si="178"/>
        <v>0.9</v>
      </c>
      <c r="AN4959" s="545" t="s">
        <v>1233</v>
      </c>
      <c r="AO4959" s="10" t="s">
        <v>1650</v>
      </c>
    </row>
    <row r="4960" spans="1:41" customFormat="1" x14ac:dyDescent="0.3">
      <c r="A4960" s="386" t="s">
        <v>8321</v>
      </c>
      <c r="B4960" t="s">
        <v>8322</v>
      </c>
      <c r="C4960" s="200" t="s">
        <v>13206</v>
      </c>
      <c r="D4960" t="s">
        <v>6838</v>
      </c>
      <c r="E4960" s="200" t="s">
        <v>13207</v>
      </c>
      <c r="F4960" t="s">
        <v>12811</v>
      </c>
      <c r="G4960" s="200" t="s">
        <v>13208</v>
      </c>
      <c r="H4960" t="s">
        <v>12812</v>
      </c>
      <c r="K4960" s="200" t="s">
        <v>13209</v>
      </c>
      <c r="L4960" t="s">
        <v>12754</v>
      </c>
      <c r="M4960" s="1"/>
      <c r="N4960" s="423"/>
      <c r="O4960" s="1"/>
      <c r="P4960" s="3"/>
      <c r="Q4960" s="3"/>
      <c r="R4960" s="3"/>
      <c r="S4960" s="3"/>
      <c r="V4960" t="s">
        <v>12755</v>
      </c>
      <c r="AF4960" s="64"/>
      <c r="AH4960" s="4"/>
      <c r="AI4960" s="4"/>
      <c r="AJ4960" s="4"/>
      <c r="AK4960" s="398"/>
      <c r="AL4960" s="398"/>
      <c r="AM4960" s="4"/>
    </row>
    <row r="4961" spans="1:39" customFormat="1" x14ac:dyDescent="0.3">
      <c r="A4961" s="386" t="s">
        <v>8321</v>
      </c>
      <c r="B4961" t="s">
        <v>8322</v>
      </c>
      <c r="C4961" s="200" t="s">
        <v>13206</v>
      </c>
      <c r="D4961" t="s">
        <v>6838</v>
      </c>
      <c r="E4961" s="200" t="s">
        <v>13207</v>
      </c>
      <c r="F4961" t="s">
        <v>12811</v>
      </c>
      <c r="G4961" s="200" t="s">
        <v>13208</v>
      </c>
      <c r="H4961" t="s">
        <v>12812</v>
      </c>
      <c r="K4961" s="200" t="s">
        <v>13210</v>
      </c>
      <c r="L4961" t="s">
        <v>12808</v>
      </c>
      <c r="M4961" s="1"/>
      <c r="N4961" s="423"/>
      <c r="O4961" s="1"/>
      <c r="P4961" s="3"/>
      <c r="Q4961" s="3"/>
      <c r="R4961" s="3"/>
      <c r="S4961" s="3"/>
      <c r="V4961" t="s">
        <v>12809</v>
      </c>
      <c r="AF4961" s="64"/>
      <c r="AH4961" s="4"/>
      <c r="AI4961" s="4"/>
      <c r="AJ4961" s="4"/>
      <c r="AK4961" s="398"/>
      <c r="AL4961" s="398"/>
      <c r="AM4961" s="4"/>
    </row>
    <row r="4962" spans="1:39" customFormat="1" x14ac:dyDescent="0.3">
      <c r="A4962" s="386" t="s">
        <v>8321</v>
      </c>
      <c r="B4962" t="s">
        <v>8322</v>
      </c>
      <c r="C4962" s="200" t="s">
        <v>13206</v>
      </c>
      <c r="D4962" t="s">
        <v>6838</v>
      </c>
      <c r="E4962" s="200" t="s">
        <v>13207</v>
      </c>
      <c r="F4962" t="s">
        <v>12811</v>
      </c>
      <c r="G4962" s="200" t="s">
        <v>13208</v>
      </c>
      <c r="H4962" t="s">
        <v>12812</v>
      </c>
      <c r="K4962" s="200" t="s">
        <v>13211</v>
      </c>
      <c r="L4962" t="s">
        <v>12756</v>
      </c>
      <c r="M4962" s="1" t="s">
        <v>5766</v>
      </c>
      <c r="N4962" s="423"/>
      <c r="O4962" s="1"/>
      <c r="P4962" s="3"/>
      <c r="Q4962" s="3"/>
      <c r="R4962" s="3"/>
      <c r="S4962" s="3"/>
      <c r="V4962" t="s">
        <v>12792</v>
      </c>
      <c r="AF4962" s="64"/>
      <c r="AH4962" s="4"/>
      <c r="AI4962" s="4"/>
      <c r="AJ4962" s="4"/>
      <c r="AK4962" s="46"/>
      <c r="AL4962" s="46"/>
      <c r="AM4962" s="4"/>
    </row>
    <row r="4963" spans="1:39" customFormat="1" x14ac:dyDescent="0.3">
      <c r="A4963" s="386" t="s">
        <v>8321</v>
      </c>
      <c r="B4963" t="s">
        <v>8322</v>
      </c>
      <c r="C4963" s="200" t="s">
        <v>13206</v>
      </c>
      <c r="D4963" t="s">
        <v>6838</v>
      </c>
      <c r="E4963" s="200" t="s">
        <v>13207</v>
      </c>
      <c r="F4963" t="s">
        <v>12811</v>
      </c>
      <c r="G4963" s="200" t="s">
        <v>13208</v>
      </c>
      <c r="H4963" t="s">
        <v>12812</v>
      </c>
      <c r="K4963" s="200" t="s">
        <v>13212</v>
      </c>
      <c r="L4963" t="s">
        <v>12757</v>
      </c>
      <c r="M4963" s="1" t="s">
        <v>12758</v>
      </c>
      <c r="N4963" s="423"/>
      <c r="O4963" s="1"/>
      <c r="P4963" s="3"/>
      <c r="Q4963" s="3"/>
      <c r="R4963" s="3"/>
      <c r="S4963" s="3"/>
      <c r="V4963" t="s">
        <v>12793</v>
      </c>
      <c r="AF4963" s="64"/>
      <c r="AH4963" s="4"/>
      <c r="AI4963" s="4"/>
      <c r="AJ4963" s="4"/>
      <c r="AK4963" s="46"/>
      <c r="AL4963" s="46"/>
      <c r="AM4963" s="4"/>
    </row>
    <row r="4964" spans="1:39" customFormat="1" x14ac:dyDescent="0.3">
      <c r="A4964" s="386" t="s">
        <v>8321</v>
      </c>
      <c r="B4964" t="s">
        <v>8322</v>
      </c>
      <c r="C4964" s="200" t="s">
        <v>13206</v>
      </c>
      <c r="D4964" t="s">
        <v>6838</v>
      </c>
      <c r="E4964" s="200" t="s">
        <v>13207</v>
      </c>
      <c r="F4964" t="s">
        <v>12811</v>
      </c>
      <c r="G4964" s="200" t="s">
        <v>13208</v>
      </c>
      <c r="H4964" t="s">
        <v>12812</v>
      </c>
      <c r="K4964" s="200" t="s">
        <v>13213</v>
      </c>
      <c r="L4964" t="s">
        <v>12759</v>
      </c>
      <c r="M4964" s="1" t="s">
        <v>12760</v>
      </c>
      <c r="N4964" s="423"/>
      <c r="O4964" s="1"/>
      <c r="P4964" s="3"/>
      <c r="Q4964" s="3"/>
      <c r="R4964" s="3"/>
      <c r="S4964" s="3"/>
      <c r="V4964" t="s">
        <v>12794</v>
      </c>
      <c r="AF4964" s="64"/>
      <c r="AH4964" s="4"/>
      <c r="AI4964" s="4"/>
      <c r="AJ4964" s="4"/>
      <c r="AK4964" s="46"/>
      <c r="AL4964" s="46"/>
      <c r="AM4964" s="4"/>
    </row>
    <row r="4965" spans="1:39" customFormat="1" x14ac:dyDescent="0.3">
      <c r="A4965" s="386" t="s">
        <v>8321</v>
      </c>
      <c r="B4965" t="s">
        <v>8322</v>
      </c>
      <c r="C4965" s="200" t="s">
        <v>13206</v>
      </c>
      <c r="D4965" t="s">
        <v>6838</v>
      </c>
      <c r="E4965" s="200" t="s">
        <v>13207</v>
      </c>
      <c r="F4965" t="s">
        <v>12811</v>
      </c>
      <c r="G4965" s="200" t="s">
        <v>13208</v>
      </c>
      <c r="H4965" t="s">
        <v>12812</v>
      </c>
      <c r="K4965" s="200" t="s">
        <v>13214</v>
      </c>
      <c r="L4965" t="s">
        <v>12761</v>
      </c>
      <c r="M4965" s="1" t="s">
        <v>12762</v>
      </c>
      <c r="N4965" s="423"/>
      <c r="O4965" s="1"/>
      <c r="P4965" s="3"/>
      <c r="Q4965" s="3"/>
      <c r="R4965" s="3"/>
      <c r="S4965" s="3"/>
      <c r="V4965" t="s">
        <v>5782</v>
      </c>
      <c r="AF4965" s="64"/>
      <c r="AH4965" s="4"/>
      <c r="AI4965" s="4"/>
      <c r="AJ4965" s="4"/>
      <c r="AK4965" s="46"/>
      <c r="AL4965" s="46"/>
      <c r="AM4965" s="4"/>
    </row>
    <row r="4966" spans="1:39" customFormat="1" x14ac:dyDescent="0.3">
      <c r="A4966" s="386" t="s">
        <v>8321</v>
      </c>
      <c r="B4966" t="s">
        <v>8322</v>
      </c>
      <c r="C4966" s="200" t="s">
        <v>13206</v>
      </c>
      <c r="D4966" t="s">
        <v>6838</v>
      </c>
      <c r="E4966" s="200" t="s">
        <v>13207</v>
      </c>
      <c r="F4966" t="s">
        <v>12811</v>
      </c>
      <c r="G4966" s="200" t="s">
        <v>13208</v>
      </c>
      <c r="H4966" t="s">
        <v>12812</v>
      </c>
      <c r="K4966" s="200" t="s">
        <v>13215</v>
      </c>
      <c r="L4966" t="s">
        <v>12763</v>
      </c>
      <c r="M4966" s="1" t="s">
        <v>12764</v>
      </c>
      <c r="N4966" s="423"/>
      <c r="O4966" s="1"/>
      <c r="P4966" s="3"/>
      <c r="Q4966" s="3"/>
      <c r="R4966" s="3"/>
      <c r="S4966" s="3"/>
      <c r="V4966" t="s">
        <v>5783</v>
      </c>
      <c r="AF4966" s="64"/>
      <c r="AH4966" s="4"/>
      <c r="AI4966" s="4"/>
      <c r="AJ4966" s="4"/>
      <c r="AK4966" s="46"/>
      <c r="AL4966" s="46"/>
      <c r="AM4966" s="4"/>
    </row>
    <row r="4967" spans="1:39" customFormat="1" x14ac:dyDescent="0.3">
      <c r="A4967" s="386" t="s">
        <v>8321</v>
      </c>
      <c r="B4967" t="s">
        <v>8322</v>
      </c>
      <c r="C4967" s="200" t="s">
        <v>13206</v>
      </c>
      <c r="D4967" t="s">
        <v>6838</v>
      </c>
      <c r="E4967" s="200" t="s">
        <v>13207</v>
      </c>
      <c r="F4967" t="s">
        <v>12811</v>
      </c>
      <c r="G4967" s="200" t="s">
        <v>13208</v>
      </c>
      <c r="H4967" t="s">
        <v>12812</v>
      </c>
      <c r="K4967" s="200" t="s">
        <v>13216</v>
      </c>
      <c r="L4967" t="s">
        <v>12765</v>
      </c>
      <c r="M4967" s="1" t="s">
        <v>12766</v>
      </c>
      <c r="N4967" s="423"/>
      <c r="O4967" s="1"/>
      <c r="P4967" s="3"/>
      <c r="Q4967" s="3"/>
      <c r="R4967" s="3"/>
      <c r="S4967" s="3"/>
      <c r="V4967" t="s">
        <v>12795</v>
      </c>
      <c r="AF4967" s="64"/>
      <c r="AH4967" s="4"/>
      <c r="AI4967" s="4"/>
      <c r="AJ4967" s="4"/>
      <c r="AK4967" s="46"/>
      <c r="AL4967" s="46"/>
      <c r="AM4967" s="4"/>
    </row>
    <row r="4968" spans="1:39" customFormat="1" x14ac:dyDescent="0.3">
      <c r="A4968" s="386" t="s">
        <v>8321</v>
      </c>
      <c r="B4968" t="s">
        <v>8322</v>
      </c>
      <c r="C4968" s="200" t="s">
        <v>13206</v>
      </c>
      <c r="D4968" t="s">
        <v>6838</v>
      </c>
      <c r="E4968" s="200" t="s">
        <v>13207</v>
      </c>
      <c r="F4968" t="s">
        <v>12811</v>
      </c>
      <c r="G4968" s="200" t="s">
        <v>13208</v>
      </c>
      <c r="H4968" t="s">
        <v>12812</v>
      </c>
      <c r="K4968" s="200" t="s">
        <v>13217</v>
      </c>
      <c r="L4968" t="s">
        <v>12767</v>
      </c>
      <c r="M4968" s="1" t="s">
        <v>12768</v>
      </c>
      <c r="N4968" s="423"/>
      <c r="O4968" s="1"/>
      <c r="P4968" s="3"/>
      <c r="Q4968" s="3"/>
      <c r="R4968" s="3"/>
      <c r="S4968" s="3"/>
      <c r="V4968" t="s">
        <v>12796</v>
      </c>
      <c r="AF4968" s="64"/>
      <c r="AH4968" s="4"/>
      <c r="AI4968" s="4"/>
      <c r="AJ4968" s="4"/>
      <c r="AK4968" s="46"/>
      <c r="AL4968" s="46"/>
      <c r="AM4968" s="4"/>
    </row>
    <row r="4969" spans="1:39" customFormat="1" x14ac:dyDescent="0.3">
      <c r="A4969" s="386" t="s">
        <v>8321</v>
      </c>
      <c r="B4969" t="s">
        <v>8322</v>
      </c>
      <c r="C4969" s="200" t="s">
        <v>13206</v>
      </c>
      <c r="D4969" t="s">
        <v>6838</v>
      </c>
      <c r="E4969" s="200" t="s">
        <v>13207</v>
      </c>
      <c r="F4969" t="s">
        <v>12811</v>
      </c>
      <c r="G4969" s="200" t="s">
        <v>13208</v>
      </c>
      <c r="H4969" t="s">
        <v>12812</v>
      </c>
      <c r="K4969" s="200" t="s">
        <v>13218</v>
      </c>
      <c r="L4969" t="s">
        <v>12769</v>
      </c>
      <c r="M4969" s="1" t="s">
        <v>12770</v>
      </c>
      <c r="N4969" s="423"/>
      <c r="O4969" s="1"/>
      <c r="P4969" s="3"/>
      <c r="Q4969" s="3"/>
      <c r="R4969" s="3"/>
      <c r="S4969" s="3"/>
      <c r="V4969" t="s">
        <v>5786</v>
      </c>
      <c r="AF4969" s="64"/>
      <c r="AH4969" s="4"/>
      <c r="AI4969" s="4"/>
      <c r="AJ4969" s="4"/>
      <c r="AK4969" s="46"/>
      <c r="AL4969" s="46"/>
      <c r="AM4969" s="4"/>
    </row>
    <row r="4970" spans="1:39" customFormat="1" x14ac:dyDescent="0.3">
      <c r="A4970" s="386" t="s">
        <v>8321</v>
      </c>
      <c r="B4970" t="s">
        <v>8322</v>
      </c>
      <c r="C4970" s="200" t="s">
        <v>13206</v>
      </c>
      <c r="D4970" t="s">
        <v>6838</v>
      </c>
      <c r="E4970" s="200" t="s">
        <v>13207</v>
      </c>
      <c r="F4970" t="s">
        <v>12811</v>
      </c>
      <c r="G4970" s="200" t="s">
        <v>13208</v>
      </c>
      <c r="H4970" t="s">
        <v>12812</v>
      </c>
      <c r="K4970" s="200" t="s">
        <v>13219</v>
      </c>
      <c r="L4970" t="s">
        <v>12771</v>
      </c>
      <c r="M4970" s="1" t="s">
        <v>12772</v>
      </c>
      <c r="N4970" s="423"/>
      <c r="O4970" s="1"/>
      <c r="P4970" s="3"/>
      <c r="Q4970" s="3"/>
      <c r="R4970" s="3"/>
      <c r="S4970" s="3"/>
      <c r="V4970" t="s">
        <v>12800</v>
      </c>
      <c r="AF4970" s="64"/>
      <c r="AH4970" s="4"/>
      <c r="AI4970" s="4"/>
      <c r="AJ4970" s="4"/>
      <c r="AK4970" s="46"/>
      <c r="AL4970" s="46"/>
      <c r="AM4970" s="4"/>
    </row>
    <row r="4971" spans="1:39" customFormat="1" x14ac:dyDescent="0.3">
      <c r="A4971" s="386" t="s">
        <v>8321</v>
      </c>
      <c r="B4971" t="s">
        <v>8322</v>
      </c>
      <c r="C4971" s="200" t="s">
        <v>13206</v>
      </c>
      <c r="D4971" t="s">
        <v>6838</v>
      </c>
      <c r="E4971" s="200" t="s">
        <v>13207</v>
      </c>
      <c r="F4971" t="s">
        <v>12811</v>
      </c>
      <c r="G4971" s="200" t="s">
        <v>13208</v>
      </c>
      <c r="H4971" t="s">
        <v>12812</v>
      </c>
      <c r="K4971" s="200" t="s">
        <v>13220</v>
      </c>
      <c r="L4971" t="s">
        <v>12773</v>
      </c>
      <c r="M4971" s="1" t="s">
        <v>12774</v>
      </c>
      <c r="N4971" s="423"/>
      <c r="O4971" s="1"/>
      <c r="P4971" s="3"/>
      <c r="Q4971" s="3"/>
      <c r="R4971" s="3"/>
      <c r="S4971" s="3"/>
      <c r="V4971" t="s">
        <v>12797</v>
      </c>
      <c r="AF4971" s="64"/>
      <c r="AH4971" s="4"/>
      <c r="AI4971" s="4"/>
      <c r="AJ4971" s="4"/>
      <c r="AK4971" s="46"/>
      <c r="AL4971" s="46"/>
      <c r="AM4971" s="4"/>
    </row>
    <row r="4972" spans="1:39" customFormat="1" x14ac:dyDescent="0.3">
      <c r="A4972" s="386" t="s">
        <v>8321</v>
      </c>
      <c r="B4972" t="s">
        <v>8322</v>
      </c>
      <c r="C4972" s="200" t="s">
        <v>13206</v>
      </c>
      <c r="D4972" t="s">
        <v>6838</v>
      </c>
      <c r="E4972" s="200" t="s">
        <v>13207</v>
      </c>
      <c r="F4972" t="s">
        <v>12811</v>
      </c>
      <c r="G4972" s="200" t="s">
        <v>13208</v>
      </c>
      <c r="H4972" t="s">
        <v>12812</v>
      </c>
      <c r="K4972" s="200" t="s">
        <v>13221</v>
      </c>
      <c r="L4972" t="s">
        <v>12775</v>
      </c>
      <c r="M4972" s="1" t="s">
        <v>12776</v>
      </c>
      <c r="N4972" s="423"/>
      <c r="O4972" s="1"/>
      <c r="P4972" s="3"/>
      <c r="Q4972" s="3"/>
      <c r="R4972" s="3"/>
      <c r="S4972" s="3"/>
      <c r="V4972" t="s">
        <v>12798</v>
      </c>
      <c r="AF4972" s="64"/>
      <c r="AH4972" s="4"/>
      <c r="AI4972" s="4"/>
      <c r="AJ4972" s="4"/>
      <c r="AK4972" s="46"/>
      <c r="AL4972" s="46"/>
      <c r="AM4972" s="4"/>
    </row>
    <row r="4973" spans="1:39" customFormat="1" x14ac:dyDescent="0.3">
      <c r="A4973" s="386" t="s">
        <v>8321</v>
      </c>
      <c r="B4973" t="s">
        <v>8322</v>
      </c>
      <c r="C4973" s="200" t="s">
        <v>13206</v>
      </c>
      <c r="D4973" t="s">
        <v>6838</v>
      </c>
      <c r="E4973" s="200" t="s">
        <v>13207</v>
      </c>
      <c r="F4973" t="s">
        <v>12811</v>
      </c>
      <c r="G4973" s="200" t="s">
        <v>13208</v>
      </c>
      <c r="H4973" t="s">
        <v>12812</v>
      </c>
      <c r="K4973" s="200" t="s">
        <v>13222</v>
      </c>
      <c r="L4973" t="s">
        <v>12777</v>
      </c>
      <c r="M4973" s="1" t="s">
        <v>12778</v>
      </c>
      <c r="N4973" s="423"/>
      <c r="O4973" s="1"/>
      <c r="P4973" s="3"/>
      <c r="Q4973" s="3"/>
      <c r="R4973" s="3"/>
      <c r="S4973" s="3"/>
      <c r="V4973" t="s">
        <v>5789</v>
      </c>
      <c r="AF4973" s="64"/>
      <c r="AH4973" s="4"/>
      <c r="AI4973" s="4"/>
      <c r="AJ4973" s="4"/>
      <c r="AK4973" s="46"/>
      <c r="AL4973" s="46"/>
      <c r="AM4973" s="4"/>
    </row>
    <row r="4974" spans="1:39" customFormat="1" x14ac:dyDescent="0.3">
      <c r="A4974" s="386" t="s">
        <v>8321</v>
      </c>
      <c r="B4974" t="s">
        <v>8322</v>
      </c>
      <c r="C4974" s="200" t="s">
        <v>13206</v>
      </c>
      <c r="D4974" t="s">
        <v>6838</v>
      </c>
      <c r="E4974" s="200" t="s">
        <v>13207</v>
      </c>
      <c r="F4974" t="s">
        <v>12811</v>
      </c>
      <c r="G4974" s="200" t="s">
        <v>13208</v>
      </c>
      <c r="H4974" t="s">
        <v>12812</v>
      </c>
      <c r="K4974" s="200" t="s">
        <v>13223</v>
      </c>
      <c r="L4974" t="s">
        <v>12779</v>
      </c>
      <c r="M4974" s="1" t="s">
        <v>12780</v>
      </c>
      <c r="N4974" s="423"/>
      <c r="O4974" s="1"/>
      <c r="P4974" s="3"/>
      <c r="Q4974" s="3"/>
      <c r="R4974" s="3"/>
      <c r="S4974" s="3"/>
      <c r="V4974" t="s">
        <v>12799</v>
      </c>
      <c r="AF4974" s="64"/>
      <c r="AH4974" s="4"/>
      <c r="AI4974" s="4"/>
      <c r="AJ4974" s="4"/>
      <c r="AK4974" s="46"/>
      <c r="AL4974" s="46"/>
      <c r="AM4974" s="4"/>
    </row>
    <row r="4975" spans="1:39" customFormat="1" x14ac:dyDescent="0.3">
      <c r="A4975" s="386" t="s">
        <v>8321</v>
      </c>
      <c r="B4975" t="s">
        <v>8322</v>
      </c>
      <c r="C4975" s="200" t="s">
        <v>13206</v>
      </c>
      <c r="D4975" t="s">
        <v>6838</v>
      </c>
      <c r="E4975" s="200" t="s">
        <v>13207</v>
      </c>
      <c r="F4975" t="s">
        <v>12811</v>
      </c>
      <c r="G4975" s="200" t="s">
        <v>13208</v>
      </c>
      <c r="H4975" t="s">
        <v>12812</v>
      </c>
      <c r="K4975" s="200" t="s">
        <v>13224</v>
      </c>
      <c r="L4975" t="s">
        <v>12806</v>
      </c>
      <c r="M4975" s="1" t="s">
        <v>12781</v>
      </c>
      <c r="N4975" s="423"/>
      <c r="O4975" s="1"/>
      <c r="P4975" s="3"/>
      <c r="Q4975" s="3"/>
      <c r="R4975" s="3"/>
      <c r="S4975" s="3"/>
      <c r="V4975" t="s">
        <v>12805</v>
      </c>
      <c r="AF4975" s="64"/>
      <c r="AH4975" s="4"/>
      <c r="AI4975" s="4"/>
      <c r="AJ4975" s="4"/>
      <c r="AK4975" s="46"/>
      <c r="AL4975" s="46"/>
      <c r="AM4975" s="4"/>
    </row>
    <row r="4976" spans="1:39" customFormat="1" x14ac:dyDescent="0.3">
      <c r="A4976" s="386" t="s">
        <v>8321</v>
      </c>
      <c r="B4976" t="s">
        <v>8322</v>
      </c>
      <c r="C4976" s="200" t="s">
        <v>13206</v>
      </c>
      <c r="D4976" t="s">
        <v>6838</v>
      </c>
      <c r="E4976" s="200" t="s">
        <v>13207</v>
      </c>
      <c r="F4976" t="s">
        <v>12811</v>
      </c>
      <c r="G4976" s="200" t="s">
        <v>13208</v>
      </c>
      <c r="H4976" t="s">
        <v>12812</v>
      </c>
      <c r="K4976" s="200" t="s">
        <v>13225</v>
      </c>
      <c r="L4976" t="s">
        <v>12782</v>
      </c>
      <c r="M4976" s="1"/>
      <c r="N4976" s="423"/>
      <c r="O4976" s="1"/>
      <c r="P4976" s="3"/>
      <c r="Q4976" s="3"/>
      <c r="R4976" s="3"/>
      <c r="S4976" s="3"/>
      <c r="V4976" t="s">
        <v>12782</v>
      </c>
      <c r="AF4976" s="64"/>
      <c r="AH4976" s="4"/>
      <c r="AI4976" s="4"/>
      <c r="AJ4976" s="4"/>
      <c r="AK4976" s="46"/>
      <c r="AL4976" s="46"/>
      <c r="AM4976" s="4"/>
    </row>
    <row r="4977" spans="1:49" customFormat="1" x14ac:dyDescent="0.3">
      <c r="A4977" s="386" t="s">
        <v>8321</v>
      </c>
      <c r="B4977" t="s">
        <v>8322</v>
      </c>
      <c r="C4977" s="200" t="s">
        <v>13206</v>
      </c>
      <c r="D4977" t="s">
        <v>6838</v>
      </c>
      <c r="E4977" s="200" t="s">
        <v>13207</v>
      </c>
      <c r="F4977" t="s">
        <v>12811</v>
      </c>
      <c r="G4977" s="200" t="s">
        <v>13208</v>
      </c>
      <c r="H4977" t="s">
        <v>12812</v>
      </c>
      <c r="K4977" s="200" t="s">
        <v>13209</v>
      </c>
      <c r="L4977" t="s">
        <v>12783</v>
      </c>
      <c r="M4977" s="1" t="s">
        <v>12784</v>
      </c>
      <c r="N4977" s="423"/>
      <c r="O4977" s="1"/>
      <c r="P4977" s="3"/>
      <c r="Q4977" s="3"/>
      <c r="R4977" s="3"/>
      <c r="S4977" s="3"/>
      <c r="V4977" t="s">
        <v>12783</v>
      </c>
      <c r="AF4977" s="64"/>
      <c r="AH4977" s="4"/>
      <c r="AI4977" s="4"/>
      <c r="AJ4977" s="4"/>
      <c r="AK4977" s="46"/>
      <c r="AL4977" s="46"/>
      <c r="AM4977" s="4"/>
    </row>
    <row r="4978" spans="1:49" customFormat="1" x14ac:dyDescent="0.3">
      <c r="A4978" s="386" t="s">
        <v>8321</v>
      </c>
      <c r="B4978" t="s">
        <v>8322</v>
      </c>
      <c r="C4978" s="200" t="s">
        <v>13206</v>
      </c>
      <c r="D4978" t="s">
        <v>6838</v>
      </c>
      <c r="E4978" s="200" t="s">
        <v>13207</v>
      </c>
      <c r="F4978" t="s">
        <v>12811</v>
      </c>
      <c r="G4978" s="200" t="s">
        <v>13208</v>
      </c>
      <c r="H4978" t="s">
        <v>12812</v>
      </c>
      <c r="K4978" s="200" t="s">
        <v>13209</v>
      </c>
      <c r="L4978" t="s">
        <v>12785</v>
      </c>
      <c r="M4978" s="1" t="s">
        <v>12786</v>
      </c>
      <c r="N4978" s="423"/>
      <c r="O4978" s="1"/>
      <c r="P4978" s="3"/>
      <c r="Q4978" s="3"/>
      <c r="R4978" s="3"/>
      <c r="S4978" s="3"/>
      <c r="V4978" t="s">
        <v>12801</v>
      </c>
      <c r="AF4978" s="64"/>
      <c r="AH4978" s="4"/>
      <c r="AI4978" s="4"/>
      <c r="AJ4978" s="4"/>
      <c r="AK4978" s="46"/>
      <c r="AL4978" s="46"/>
      <c r="AM4978" s="4"/>
    </row>
    <row r="4979" spans="1:49" customFormat="1" x14ac:dyDescent="0.3">
      <c r="A4979" s="386" t="s">
        <v>8321</v>
      </c>
      <c r="B4979" t="s">
        <v>8322</v>
      </c>
      <c r="C4979" s="200" t="s">
        <v>13206</v>
      </c>
      <c r="D4979" t="s">
        <v>6838</v>
      </c>
      <c r="E4979" s="200" t="s">
        <v>13207</v>
      </c>
      <c r="F4979" t="s">
        <v>12811</v>
      </c>
      <c r="G4979" s="200" t="s">
        <v>13208</v>
      </c>
      <c r="H4979" t="s">
        <v>12812</v>
      </c>
      <c r="K4979" s="200" t="s">
        <v>13226</v>
      </c>
      <c r="L4979" t="s">
        <v>12787</v>
      </c>
      <c r="M4979" s="1" t="s">
        <v>12788</v>
      </c>
      <c r="N4979" s="423"/>
      <c r="O4979" s="1"/>
      <c r="P4979" s="3"/>
      <c r="Q4979" s="3"/>
      <c r="R4979" s="3"/>
      <c r="S4979" s="3"/>
      <c r="V4979" t="s">
        <v>12802</v>
      </c>
      <c r="AF4979" s="64"/>
      <c r="AH4979" s="4"/>
      <c r="AI4979" s="4"/>
      <c r="AJ4979" s="4"/>
      <c r="AK4979" s="46"/>
      <c r="AL4979" s="46"/>
      <c r="AM4979" s="4"/>
    </row>
    <row r="4980" spans="1:49" customFormat="1" x14ac:dyDescent="0.3">
      <c r="A4980" s="386" t="s">
        <v>8321</v>
      </c>
      <c r="B4980" t="s">
        <v>8322</v>
      </c>
      <c r="C4980" s="200" t="s">
        <v>13206</v>
      </c>
      <c r="D4980" t="s">
        <v>6838</v>
      </c>
      <c r="E4980" s="200" t="s">
        <v>13207</v>
      </c>
      <c r="F4980" t="s">
        <v>12811</v>
      </c>
      <c r="G4980" s="200" t="s">
        <v>13208</v>
      </c>
      <c r="H4980" t="s">
        <v>12812</v>
      </c>
      <c r="K4980" s="200" t="s">
        <v>13227</v>
      </c>
      <c r="L4980" t="s">
        <v>12789</v>
      </c>
      <c r="M4980" s="1" t="s">
        <v>12790</v>
      </c>
      <c r="N4980" s="423"/>
      <c r="O4980" s="1"/>
      <c r="P4980" s="3"/>
      <c r="Q4980" s="3"/>
      <c r="R4980" s="3"/>
      <c r="S4980" s="3"/>
      <c r="V4980" t="s">
        <v>12803</v>
      </c>
      <c r="AF4980" s="64"/>
      <c r="AH4980" s="4"/>
      <c r="AI4980" s="4"/>
      <c r="AJ4980" s="4"/>
      <c r="AK4980" s="46"/>
      <c r="AL4980" s="46"/>
      <c r="AM4980" s="4"/>
    </row>
    <row r="4981" spans="1:49" customFormat="1" x14ac:dyDescent="0.3">
      <c r="A4981" s="386" t="s">
        <v>8321</v>
      </c>
      <c r="B4981" t="s">
        <v>8322</v>
      </c>
      <c r="C4981" s="200" t="s">
        <v>13206</v>
      </c>
      <c r="D4981" t="s">
        <v>6838</v>
      </c>
      <c r="E4981" s="200" t="s">
        <v>13207</v>
      </c>
      <c r="F4981" t="s">
        <v>12811</v>
      </c>
      <c r="G4981" s="200" t="s">
        <v>13208</v>
      </c>
      <c r="H4981" t="s">
        <v>12812</v>
      </c>
      <c r="K4981" s="200" t="s">
        <v>13228</v>
      </c>
      <c r="L4981" t="s">
        <v>12791</v>
      </c>
      <c r="M4981" s="1" t="s">
        <v>12807</v>
      </c>
      <c r="N4981" s="423"/>
      <c r="O4981" s="1"/>
      <c r="P4981" s="3"/>
      <c r="Q4981" s="3"/>
      <c r="R4981" s="3"/>
      <c r="S4981" s="3"/>
      <c r="V4981" t="s">
        <v>12804</v>
      </c>
      <c r="AF4981" s="64"/>
      <c r="AH4981" s="4"/>
      <c r="AI4981" s="4"/>
      <c r="AJ4981" s="4"/>
      <c r="AK4981" s="46"/>
      <c r="AL4981" s="46"/>
      <c r="AM4981" s="4"/>
    </row>
    <row r="4982" spans="1:49" s="53" customFormat="1" x14ac:dyDescent="0.3">
      <c r="A4982" s="50" t="s">
        <v>8323</v>
      </c>
      <c r="B4982" s="51" t="s">
        <v>8324</v>
      </c>
      <c r="C4982" s="50" t="s">
        <v>1503</v>
      </c>
      <c r="D4982" s="51" t="s">
        <v>1491</v>
      </c>
      <c r="E4982" s="50" t="s">
        <v>8840</v>
      </c>
      <c r="F4982" s="51" t="s">
        <v>1493</v>
      </c>
      <c r="G4982" s="50" t="s">
        <v>8840</v>
      </c>
      <c r="H4982" s="51" t="s">
        <v>1491</v>
      </c>
      <c r="I4982" s="51"/>
      <c r="J4982" s="51"/>
      <c r="K4982" s="50" t="s">
        <v>8840</v>
      </c>
      <c r="L4982" s="51" t="s">
        <v>1491</v>
      </c>
      <c r="M4982" s="420" t="s">
        <v>271</v>
      </c>
      <c r="N4982" s="420" t="s">
        <v>271</v>
      </c>
      <c r="O4982" s="420" t="s">
        <v>271</v>
      </c>
      <c r="P4982" s="60" t="s">
        <v>271</v>
      </c>
      <c r="Q4982" s="60" t="s">
        <v>271</v>
      </c>
      <c r="R4982" s="60" t="s">
        <v>271</v>
      </c>
      <c r="S4982" s="60" t="s">
        <v>271</v>
      </c>
      <c r="T4982" s="60" t="s">
        <v>271</v>
      </c>
      <c r="U4982" s="60" t="s">
        <v>271</v>
      </c>
      <c r="V4982" s="51" t="s">
        <v>1489</v>
      </c>
      <c r="W4982" s="54"/>
      <c r="X4982" s="54"/>
      <c r="Y4982" s="54"/>
      <c r="Z4982" s="54"/>
      <c r="AA4982" s="54"/>
      <c r="AB4982" s="54"/>
      <c r="AC4982" s="54"/>
      <c r="AD4982" s="54"/>
      <c r="AE4982" s="55"/>
      <c r="AF4982" s="56"/>
      <c r="AG4982" s="55"/>
      <c r="AH4982" s="56"/>
      <c r="AI4982" s="56"/>
      <c r="AJ4982" s="56"/>
      <c r="AK4982" s="57">
        <v>427.34</v>
      </c>
      <c r="AL4982" s="57">
        <v>427.34</v>
      </c>
      <c r="AM4982" s="147">
        <f t="shared" ref="AM4982:AM5013" si="179">SUM(AK4982:AL4982)</f>
        <v>854.68</v>
      </c>
      <c r="AN4982" s="52"/>
      <c r="AO4982" s="52"/>
      <c r="AP4982" s="51"/>
    </row>
    <row r="4983" spans="1:49" s="53" customFormat="1" x14ac:dyDescent="0.3">
      <c r="A4983" s="50" t="s">
        <v>8323</v>
      </c>
      <c r="B4983" s="51" t="s">
        <v>8324</v>
      </c>
      <c r="C4983" s="50" t="s">
        <v>1503</v>
      </c>
      <c r="D4983" s="51" t="s">
        <v>1491</v>
      </c>
      <c r="E4983" s="50" t="s">
        <v>8840</v>
      </c>
      <c r="F4983" s="51" t="s">
        <v>1493</v>
      </c>
      <c r="G4983" s="50" t="s">
        <v>8840</v>
      </c>
      <c r="H4983" s="51" t="s">
        <v>1491</v>
      </c>
      <c r="I4983" s="51"/>
      <c r="J4983" s="51"/>
      <c r="K4983" s="50" t="s">
        <v>8840</v>
      </c>
      <c r="L4983" s="51" t="s">
        <v>1491</v>
      </c>
      <c r="M4983" s="420" t="s">
        <v>271</v>
      </c>
      <c r="N4983" s="420" t="s">
        <v>271</v>
      </c>
      <c r="O4983" s="420" t="s">
        <v>271</v>
      </c>
      <c r="P4983" s="60" t="s">
        <v>271</v>
      </c>
      <c r="Q4983" s="60" t="s">
        <v>271</v>
      </c>
      <c r="R4983" s="60" t="s">
        <v>271</v>
      </c>
      <c r="S4983" s="60" t="s">
        <v>271</v>
      </c>
      <c r="T4983" s="60" t="s">
        <v>271</v>
      </c>
      <c r="U4983" s="60" t="s">
        <v>271</v>
      </c>
      <c r="V4983" s="51" t="s">
        <v>1490</v>
      </c>
      <c r="W4983" s="54"/>
      <c r="X4983" s="54"/>
      <c r="Y4983" s="54"/>
      <c r="Z4983" s="54"/>
      <c r="AA4983" s="54"/>
      <c r="AB4983" s="54"/>
      <c r="AC4983" s="54"/>
      <c r="AD4983" s="54"/>
      <c r="AE4983" s="55"/>
      <c r="AF4983" s="56"/>
      <c r="AG4983" s="55"/>
      <c r="AH4983" s="56"/>
      <c r="AI4983" s="56"/>
      <c r="AJ4983" s="56"/>
      <c r="AK4983" s="57">
        <v>170.93600000000001</v>
      </c>
      <c r="AL4983" s="57">
        <v>170.93600000000001</v>
      </c>
      <c r="AM4983" s="147">
        <f t="shared" si="179"/>
        <v>341.87200000000001</v>
      </c>
      <c r="AN4983" s="52"/>
      <c r="AO4983" s="52"/>
      <c r="AP4983" s="51"/>
    </row>
    <row r="4984" spans="1:49" s="53" customFormat="1" x14ac:dyDescent="0.3">
      <c r="A4984" s="50" t="s">
        <v>8323</v>
      </c>
      <c r="B4984" s="51" t="s">
        <v>8324</v>
      </c>
      <c r="C4984" s="50" t="s">
        <v>1503</v>
      </c>
      <c r="D4984" s="51" t="s">
        <v>1491</v>
      </c>
      <c r="E4984" s="50" t="s">
        <v>8840</v>
      </c>
      <c r="F4984" s="51" t="s">
        <v>1493</v>
      </c>
      <c r="G4984" s="50" t="s">
        <v>8840</v>
      </c>
      <c r="H4984" s="51" t="s">
        <v>1491</v>
      </c>
      <c r="I4984" s="51"/>
      <c r="J4984" s="51"/>
      <c r="K4984" s="50" t="s">
        <v>8840</v>
      </c>
      <c r="L4984" s="51" t="s">
        <v>1491</v>
      </c>
      <c r="M4984" s="420" t="s">
        <v>271</v>
      </c>
      <c r="N4984" s="420" t="s">
        <v>271</v>
      </c>
      <c r="O4984" s="420" t="s">
        <v>271</v>
      </c>
      <c r="P4984" s="60" t="s">
        <v>271</v>
      </c>
      <c r="Q4984" s="60" t="s">
        <v>271</v>
      </c>
      <c r="R4984" s="60" t="s">
        <v>271</v>
      </c>
      <c r="S4984" s="60" t="s">
        <v>271</v>
      </c>
      <c r="T4984" s="60" t="s">
        <v>271</v>
      </c>
      <c r="U4984" s="60" t="s">
        <v>271</v>
      </c>
      <c r="V4984" s="51" t="s">
        <v>1495</v>
      </c>
      <c r="W4984" s="54"/>
      <c r="X4984" s="54"/>
      <c r="Y4984" s="54"/>
      <c r="Z4984" s="54"/>
      <c r="AA4984" s="54"/>
      <c r="AB4984" s="54"/>
      <c r="AC4984" s="54"/>
      <c r="AD4984" s="54"/>
      <c r="AE4984" s="55"/>
      <c r="AF4984" s="56"/>
      <c r="AG4984" s="55"/>
      <c r="AH4984" s="56"/>
      <c r="AI4984" s="56"/>
      <c r="AJ4984" s="56"/>
      <c r="AK4984" s="57">
        <v>44.639673580999997</v>
      </c>
      <c r="AL4984" s="57">
        <v>13.615077545000002</v>
      </c>
      <c r="AM4984" s="147">
        <f t="shared" si="179"/>
        <v>58.254751126000002</v>
      </c>
      <c r="AN4984" s="52"/>
      <c r="AO4984" s="52"/>
      <c r="AP4984" s="51"/>
    </row>
    <row r="4985" spans="1:49" customFormat="1" ht="15" customHeight="1" x14ac:dyDescent="0.3">
      <c r="A4985" s="371" t="s">
        <v>8323</v>
      </c>
      <c r="B4985" t="s">
        <v>8324</v>
      </c>
      <c r="C4985" s="148" t="s">
        <v>8841</v>
      </c>
      <c r="D4985" t="s">
        <v>8842</v>
      </c>
      <c r="E4985" s="148" t="s">
        <v>8843</v>
      </c>
      <c r="F4985" t="s">
        <v>8844</v>
      </c>
      <c r="G4985" s="372">
        <v>171101</v>
      </c>
      <c r="H4985" t="s">
        <v>8845</v>
      </c>
      <c r="I4985" s="200"/>
      <c r="K4985" s="155" t="s">
        <v>8846</v>
      </c>
      <c r="L4985" s="148" t="s">
        <v>8847</v>
      </c>
      <c r="M4985" s="1" t="s">
        <v>8848</v>
      </c>
      <c r="N4985" s="457">
        <v>0</v>
      </c>
      <c r="O4985" s="458">
        <v>56</v>
      </c>
      <c r="P4985" s="373">
        <v>56</v>
      </c>
      <c r="Q4985" s="374">
        <v>56</v>
      </c>
      <c r="R4985" s="373">
        <v>56</v>
      </c>
      <c r="S4985" s="374">
        <v>56</v>
      </c>
      <c r="T4985" t="s">
        <v>8849</v>
      </c>
      <c r="U4985" t="e">
        <f>VLOOKUP(T4985,[8]Votes!$A$1:$E$234,3,FALSE)</f>
        <v>#N/A</v>
      </c>
      <c r="V4985" t="s">
        <v>8850</v>
      </c>
      <c r="W4985" s="45">
        <v>1</v>
      </c>
      <c r="X4985" s="45">
        <v>0</v>
      </c>
      <c r="Y4985" s="45">
        <v>1</v>
      </c>
      <c r="Z4985" s="45">
        <v>0</v>
      </c>
      <c r="AA4985" s="45">
        <v>1</v>
      </c>
      <c r="AB4985" s="45">
        <v>0</v>
      </c>
      <c r="AC4985" s="150">
        <v>1</v>
      </c>
      <c r="AD4985" s="150">
        <v>0</v>
      </c>
      <c r="AE4985" s="49">
        <f t="shared" ref="AE4985:AE5016" si="180">SUM(W4985:AD4985)/8</f>
        <v>0.5</v>
      </c>
      <c r="AF4985" s="276"/>
      <c r="AG4985" s="17">
        <v>0</v>
      </c>
      <c r="AH4985" s="276">
        <v>0</v>
      </c>
      <c r="AI4985" s="276">
        <v>2.38</v>
      </c>
      <c r="AJ4985" s="44">
        <v>2.52</v>
      </c>
      <c r="AK4985" s="158">
        <v>0</v>
      </c>
      <c r="AL4985" s="151">
        <v>0</v>
      </c>
      <c r="AM4985" s="147">
        <f t="shared" si="179"/>
        <v>0</v>
      </c>
      <c r="AN4985" t="s">
        <v>255</v>
      </c>
      <c r="AO4985" s="148" t="s">
        <v>1045</v>
      </c>
      <c r="AP4985" t="s">
        <v>8851</v>
      </c>
    </row>
    <row r="4986" spans="1:49" customFormat="1" ht="15" customHeight="1" x14ac:dyDescent="0.3">
      <c r="A4986" s="371" t="s">
        <v>8323</v>
      </c>
      <c r="B4986" t="s">
        <v>8324</v>
      </c>
      <c r="C4986" s="148" t="s">
        <v>8841</v>
      </c>
      <c r="D4986" t="s">
        <v>8842</v>
      </c>
      <c r="E4986" s="148" t="s">
        <v>8843</v>
      </c>
      <c r="F4986" t="s">
        <v>8844</v>
      </c>
      <c r="G4986" s="372">
        <v>171101</v>
      </c>
      <c r="H4986" t="s">
        <v>8845</v>
      </c>
      <c r="I4986" t="s">
        <v>8852</v>
      </c>
      <c r="J4986" t="s">
        <v>8853</v>
      </c>
      <c r="K4986" s="155" t="s">
        <v>8854</v>
      </c>
      <c r="L4986" s="148" t="s">
        <v>8855</v>
      </c>
      <c r="M4986" s="1" t="s">
        <v>8856</v>
      </c>
      <c r="N4986" s="457">
        <v>0</v>
      </c>
      <c r="O4986" s="458">
        <v>56</v>
      </c>
      <c r="P4986" s="373">
        <v>56</v>
      </c>
      <c r="Q4986" s="374">
        <v>56</v>
      </c>
      <c r="R4986" s="373">
        <v>56</v>
      </c>
      <c r="S4986" s="374">
        <v>56</v>
      </c>
      <c r="T4986" t="s">
        <v>8849</v>
      </c>
      <c r="U4986" t="e">
        <f>VLOOKUP(T4986,[8]Votes!$A$1:$E$234,3,FALSE)</f>
        <v>#N/A</v>
      </c>
      <c r="V4986" t="s">
        <v>8857</v>
      </c>
      <c r="W4986" s="45">
        <v>1</v>
      </c>
      <c r="X4986" s="45">
        <v>1</v>
      </c>
      <c r="Y4986" s="45">
        <v>1</v>
      </c>
      <c r="Z4986" s="45">
        <v>1</v>
      </c>
      <c r="AA4986" s="45">
        <v>1</v>
      </c>
      <c r="AB4986" s="45">
        <v>1</v>
      </c>
      <c r="AC4986" s="150">
        <v>1</v>
      </c>
      <c r="AD4986" s="150">
        <v>0</v>
      </c>
      <c r="AE4986" s="49">
        <f t="shared" si="180"/>
        <v>0.875</v>
      </c>
      <c r="AF4986" s="276"/>
      <c r="AG4986" s="17">
        <v>0</v>
      </c>
      <c r="AH4986" s="276">
        <v>0</v>
      </c>
      <c r="AI4986" s="276">
        <v>2.98</v>
      </c>
      <c r="AJ4986" s="44">
        <v>3.15</v>
      </c>
      <c r="AK4986" s="158">
        <v>0</v>
      </c>
      <c r="AL4986" s="151">
        <v>0</v>
      </c>
      <c r="AM4986" s="147">
        <f t="shared" si="179"/>
        <v>0</v>
      </c>
      <c r="AN4986" t="s">
        <v>255</v>
      </c>
      <c r="AO4986" s="148" t="s">
        <v>1045</v>
      </c>
      <c r="AP4986" t="s">
        <v>8858</v>
      </c>
    </row>
    <row r="4987" spans="1:49" customFormat="1" ht="15" customHeight="1" x14ac:dyDescent="0.3">
      <c r="A4987" s="371" t="s">
        <v>8323</v>
      </c>
      <c r="B4987" t="s">
        <v>8324</v>
      </c>
      <c r="C4987" s="148" t="s">
        <v>8841</v>
      </c>
      <c r="D4987" t="s">
        <v>8842</v>
      </c>
      <c r="E4987" s="148" t="s">
        <v>8843</v>
      </c>
      <c r="F4987" t="s">
        <v>8844</v>
      </c>
      <c r="G4987" s="372">
        <v>171101</v>
      </c>
      <c r="H4987" t="s">
        <v>8845</v>
      </c>
      <c r="I4987" t="s">
        <v>8859</v>
      </c>
      <c r="J4987" t="s">
        <v>8860</v>
      </c>
      <c r="K4987" s="155" t="s">
        <v>8861</v>
      </c>
      <c r="L4987" s="148" t="s">
        <v>8862</v>
      </c>
      <c r="M4987" s="1" t="s">
        <v>8863</v>
      </c>
      <c r="N4987" s="457">
        <v>0</v>
      </c>
      <c r="O4987" s="458"/>
      <c r="P4987" s="373"/>
      <c r="Q4987" s="374"/>
      <c r="R4987" s="373"/>
      <c r="S4987" s="374"/>
      <c r="T4987" t="s">
        <v>8849</v>
      </c>
      <c r="U4987" t="e">
        <f>VLOOKUP(T4987,[8]Votes!$A$1:$E$234,3,FALSE)</f>
        <v>#N/A</v>
      </c>
      <c r="W4987" s="45"/>
      <c r="X4987" s="45"/>
      <c r="Y4987" s="45"/>
      <c r="Z4987" s="45"/>
      <c r="AA4987" s="45"/>
      <c r="AB4987" s="45"/>
      <c r="AC4987" s="150">
        <v>0</v>
      </c>
      <c r="AD4987" s="150">
        <v>0</v>
      </c>
      <c r="AE4987" s="49">
        <f t="shared" si="180"/>
        <v>0</v>
      </c>
      <c r="AF4987" s="278"/>
      <c r="AG4987" s="17">
        <v>0</v>
      </c>
      <c r="AH4987" s="278"/>
      <c r="AI4987" s="278"/>
      <c r="AJ4987" s="4"/>
      <c r="AK4987" s="158">
        <v>0</v>
      </c>
      <c r="AL4987" s="151">
        <v>0</v>
      </c>
      <c r="AM4987" s="147">
        <f t="shared" si="179"/>
        <v>0</v>
      </c>
      <c r="AO4987" s="148"/>
    </row>
    <row r="4988" spans="1:49" customFormat="1" ht="15" customHeight="1" x14ac:dyDescent="0.3">
      <c r="A4988" s="371" t="s">
        <v>8323</v>
      </c>
      <c r="B4988" t="s">
        <v>8324</v>
      </c>
      <c r="C4988" s="148" t="s">
        <v>8841</v>
      </c>
      <c r="D4988" t="s">
        <v>8842</v>
      </c>
      <c r="E4988" s="148" t="s">
        <v>8843</v>
      </c>
      <c r="F4988" t="s">
        <v>8844</v>
      </c>
      <c r="G4988" s="372">
        <v>171101</v>
      </c>
      <c r="H4988" t="s">
        <v>8845</v>
      </c>
      <c r="K4988" s="155" t="s">
        <v>8864</v>
      </c>
      <c r="L4988" s="148" t="s">
        <v>8865</v>
      </c>
      <c r="M4988" s="1" t="s">
        <v>8866</v>
      </c>
      <c r="N4988" s="457">
        <v>0</v>
      </c>
      <c r="O4988" s="458">
        <v>800</v>
      </c>
      <c r="P4988" s="374">
        <v>800</v>
      </c>
      <c r="Q4988" s="374">
        <v>800</v>
      </c>
      <c r="R4988" s="374">
        <v>800</v>
      </c>
      <c r="S4988" s="374">
        <v>800</v>
      </c>
      <c r="T4988" t="s">
        <v>255</v>
      </c>
      <c r="U4988" t="str">
        <f>VLOOKUP(T4988,[8]Votes!$A$1:$E$234,3,FALSE)</f>
        <v>500 501-850 Local Governments</v>
      </c>
      <c r="V4988" t="s">
        <v>8867</v>
      </c>
      <c r="W4988" s="45">
        <v>0</v>
      </c>
      <c r="X4988" s="45">
        <v>0</v>
      </c>
      <c r="Y4988" s="45">
        <v>0</v>
      </c>
      <c r="Z4988" s="45">
        <v>1</v>
      </c>
      <c r="AA4988" s="45">
        <v>1</v>
      </c>
      <c r="AB4988" s="45">
        <v>0</v>
      </c>
      <c r="AC4988" s="150">
        <v>0</v>
      </c>
      <c r="AD4988" s="150">
        <v>0</v>
      </c>
      <c r="AE4988" s="49">
        <f t="shared" si="180"/>
        <v>0.25</v>
      </c>
      <c r="AF4988" s="276"/>
      <c r="AG4988" s="17">
        <v>1</v>
      </c>
      <c r="AH4988" s="276">
        <v>0</v>
      </c>
      <c r="AI4988" s="276">
        <v>1.7</v>
      </c>
      <c r="AJ4988" s="44">
        <v>1.8</v>
      </c>
      <c r="AK4988" s="158">
        <v>1.8</v>
      </c>
      <c r="AL4988" s="151">
        <v>1.8</v>
      </c>
      <c r="AM4988" s="147">
        <f t="shared" si="179"/>
        <v>3.6</v>
      </c>
      <c r="AN4988" t="s">
        <v>255</v>
      </c>
      <c r="AO4988" s="148" t="s">
        <v>1045</v>
      </c>
      <c r="AP4988" t="s">
        <v>8868</v>
      </c>
    </row>
    <row r="4989" spans="1:49" customFormat="1" ht="15" customHeight="1" x14ac:dyDescent="0.3">
      <c r="A4989" s="371" t="s">
        <v>8323</v>
      </c>
      <c r="B4989" t="s">
        <v>8324</v>
      </c>
      <c r="C4989" s="148" t="s">
        <v>8841</v>
      </c>
      <c r="D4989" t="s">
        <v>8842</v>
      </c>
      <c r="E4989" s="148" t="s">
        <v>8843</v>
      </c>
      <c r="F4989" t="s">
        <v>8844</v>
      </c>
      <c r="G4989" s="372">
        <v>171101</v>
      </c>
      <c r="H4989" t="s">
        <v>8845</v>
      </c>
      <c r="K4989" s="155" t="s">
        <v>8869</v>
      </c>
      <c r="L4989" s="148" t="s">
        <v>8870</v>
      </c>
      <c r="M4989" s="1" t="s">
        <v>8871</v>
      </c>
      <c r="N4989" s="457">
        <v>0</v>
      </c>
      <c r="O4989" s="458"/>
      <c r="P4989" s="374">
        <v>112</v>
      </c>
      <c r="Q4989" s="374">
        <v>112</v>
      </c>
      <c r="R4989" s="374">
        <v>112</v>
      </c>
      <c r="S4989" s="374">
        <v>112</v>
      </c>
      <c r="T4989" t="s">
        <v>92</v>
      </c>
      <c r="U4989" t="str">
        <f>VLOOKUP(T4989,[8]Votes!$A$1:$E$234,3,FALSE)</f>
        <v>010 Ministry of Agriculture, Animal &amp; Fisheries</v>
      </c>
      <c r="V4989" t="s">
        <v>8872</v>
      </c>
      <c r="W4989" s="45">
        <v>1</v>
      </c>
      <c r="X4989" s="45">
        <v>1</v>
      </c>
      <c r="Y4989" s="45">
        <v>1</v>
      </c>
      <c r="Z4989" s="45">
        <v>1</v>
      </c>
      <c r="AA4989" s="45">
        <v>1</v>
      </c>
      <c r="AB4989" s="45">
        <v>1</v>
      </c>
      <c r="AC4989" s="150">
        <v>1</v>
      </c>
      <c r="AD4989" s="150">
        <v>0</v>
      </c>
      <c r="AE4989" s="49">
        <f t="shared" si="180"/>
        <v>0.875</v>
      </c>
      <c r="AF4989" s="276"/>
      <c r="AG4989" s="17">
        <v>0</v>
      </c>
      <c r="AH4989" s="276">
        <v>0</v>
      </c>
      <c r="AI4989" s="276">
        <v>0.31</v>
      </c>
      <c r="AJ4989" s="44">
        <v>1</v>
      </c>
      <c r="AK4989" s="158">
        <v>0</v>
      </c>
      <c r="AL4989" s="151">
        <v>0</v>
      </c>
      <c r="AM4989" s="147">
        <f t="shared" si="179"/>
        <v>0</v>
      </c>
      <c r="AN4989" t="s">
        <v>92</v>
      </c>
      <c r="AO4989" s="148" t="s">
        <v>118</v>
      </c>
      <c r="AP4989" t="s">
        <v>8873</v>
      </c>
      <c r="AQ4989" s="223"/>
    </row>
    <row r="4990" spans="1:49" customFormat="1" ht="15" customHeight="1" x14ac:dyDescent="0.3">
      <c r="A4990" s="371" t="s">
        <v>8323</v>
      </c>
      <c r="B4990" t="s">
        <v>8324</v>
      </c>
      <c r="C4990" s="148" t="s">
        <v>8841</v>
      </c>
      <c r="D4990" t="s">
        <v>8842</v>
      </c>
      <c r="E4990" s="148" t="s">
        <v>8843</v>
      </c>
      <c r="F4990" t="s">
        <v>8844</v>
      </c>
      <c r="G4990" s="372">
        <v>171101</v>
      </c>
      <c r="H4990" t="s">
        <v>8845</v>
      </c>
      <c r="K4990" s="155" t="s">
        <v>8869</v>
      </c>
      <c r="L4990" s="148" t="s">
        <v>8870</v>
      </c>
      <c r="M4990" s="1" t="s">
        <v>8871</v>
      </c>
      <c r="N4990" s="457">
        <v>0</v>
      </c>
      <c r="O4990" s="458"/>
      <c r="P4990" s="374">
        <v>112</v>
      </c>
      <c r="Q4990" s="374">
        <v>112</v>
      </c>
      <c r="R4990" s="374">
        <v>112</v>
      </c>
      <c r="S4990" s="374">
        <v>112</v>
      </c>
      <c r="T4990" t="s">
        <v>92</v>
      </c>
      <c r="U4990" t="str">
        <f>VLOOKUP(T4990,[8]Votes!$A$1:$E$234,3,FALSE)</f>
        <v>010 Ministry of Agriculture, Animal &amp; Fisheries</v>
      </c>
      <c r="V4990" t="s">
        <v>8874</v>
      </c>
      <c r="W4990" s="45">
        <v>1</v>
      </c>
      <c r="X4990" s="45">
        <v>1</v>
      </c>
      <c r="Y4990" s="45">
        <v>1</v>
      </c>
      <c r="Z4990" s="45">
        <v>1</v>
      </c>
      <c r="AA4990" s="45">
        <v>1</v>
      </c>
      <c r="AB4990" s="45">
        <v>1</v>
      </c>
      <c r="AC4990" s="150">
        <v>1</v>
      </c>
      <c r="AD4990" s="150">
        <v>0</v>
      </c>
      <c r="AE4990" s="49">
        <f t="shared" si="180"/>
        <v>0.875</v>
      </c>
      <c r="AF4990" s="276"/>
      <c r="AG4990" s="17">
        <v>0</v>
      </c>
      <c r="AH4990" s="276">
        <v>0</v>
      </c>
      <c r="AI4990" s="276">
        <v>1.02</v>
      </c>
      <c r="AJ4990" s="44">
        <v>1.02</v>
      </c>
      <c r="AK4990" s="158">
        <v>0</v>
      </c>
      <c r="AL4990" s="151">
        <v>0</v>
      </c>
      <c r="AM4990" s="147">
        <f t="shared" si="179"/>
        <v>0</v>
      </c>
      <c r="AN4990" t="s">
        <v>92</v>
      </c>
      <c r="AO4990" s="148" t="s">
        <v>118</v>
      </c>
      <c r="AP4990" t="s">
        <v>8873</v>
      </c>
      <c r="AQ4990" s="223"/>
    </row>
    <row r="4991" spans="1:49" customFormat="1" ht="15" customHeight="1" x14ac:dyDescent="0.3">
      <c r="A4991" s="371" t="s">
        <v>8323</v>
      </c>
      <c r="B4991" t="s">
        <v>8324</v>
      </c>
      <c r="C4991" s="148" t="s">
        <v>8841</v>
      </c>
      <c r="D4991" t="s">
        <v>8842</v>
      </c>
      <c r="E4991" s="148" t="s">
        <v>8843</v>
      </c>
      <c r="F4991" t="s">
        <v>8844</v>
      </c>
      <c r="G4991" s="372">
        <v>171101</v>
      </c>
      <c r="H4991" t="s">
        <v>8845</v>
      </c>
      <c r="K4991" s="155" t="s">
        <v>8875</v>
      </c>
      <c r="L4991" s="148" t="s">
        <v>8876</v>
      </c>
      <c r="M4991" s="1" t="s">
        <v>8877</v>
      </c>
      <c r="N4991" s="457">
        <v>0</v>
      </c>
      <c r="O4991" s="458"/>
      <c r="P4991" s="374">
        <v>112</v>
      </c>
      <c r="Q4991" s="374">
        <v>112</v>
      </c>
      <c r="R4991" s="374">
        <v>112</v>
      </c>
      <c r="S4991" s="374">
        <v>112</v>
      </c>
      <c r="T4991" t="s">
        <v>92</v>
      </c>
      <c r="U4991" t="str">
        <f>VLOOKUP(T4991,[8]Votes!$A$1:$E$234,3,FALSE)</f>
        <v>010 Ministry of Agriculture, Animal &amp; Fisheries</v>
      </c>
      <c r="V4991" t="s">
        <v>8874</v>
      </c>
      <c r="W4991" s="45"/>
      <c r="X4991" s="45"/>
      <c r="Y4991" s="45"/>
      <c r="Z4991" s="45"/>
      <c r="AA4991" s="45"/>
      <c r="AB4991" s="45"/>
      <c r="AC4991" s="150">
        <v>0</v>
      </c>
      <c r="AD4991" s="150">
        <v>0</v>
      </c>
      <c r="AE4991" s="49">
        <f t="shared" si="180"/>
        <v>0</v>
      </c>
      <c r="AF4991" s="276"/>
      <c r="AG4991" s="17">
        <v>0</v>
      </c>
      <c r="AH4991" s="276">
        <v>0</v>
      </c>
      <c r="AI4991" s="276">
        <v>0.76500000000000001</v>
      </c>
      <c r="AJ4991" s="44">
        <v>0.81</v>
      </c>
      <c r="AK4991" s="158">
        <v>0</v>
      </c>
      <c r="AL4991" s="151">
        <v>0</v>
      </c>
      <c r="AM4991" s="147">
        <f t="shared" si="179"/>
        <v>0</v>
      </c>
      <c r="AN4991" t="s">
        <v>92</v>
      </c>
      <c r="AO4991" s="148" t="s">
        <v>118</v>
      </c>
      <c r="AP4991" t="s">
        <v>8873</v>
      </c>
      <c r="AQ4991" s="282"/>
      <c r="AS4991" s="210"/>
      <c r="AT4991" s="210"/>
      <c r="AU4991" s="210"/>
      <c r="AV4991" s="210"/>
      <c r="AW4991" s="210"/>
    </row>
    <row r="4992" spans="1:49" customFormat="1" ht="15" customHeight="1" x14ac:dyDescent="0.3">
      <c r="A4992" s="371" t="s">
        <v>8323</v>
      </c>
      <c r="B4992" t="s">
        <v>8324</v>
      </c>
      <c r="C4992" s="148" t="s">
        <v>8841</v>
      </c>
      <c r="D4992" t="s">
        <v>8842</v>
      </c>
      <c r="E4992" s="148" t="s">
        <v>8843</v>
      </c>
      <c r="F4992" t="s">
        <v>8844</v>
      </c>
      <c r="G4992" s="372">
        <v>171101</v>
      </c>
      <c r="H4992" t="s">
        <v>8845</v>
      </c>
      <c r="K4992" s="155" t="s">
        <v>8875</v>
      </c>
      <c r="L4992" s="148" t="s">
        <v>8876</v>
      </c>
      <c r="M4992" s="1" t="s">
        <v>8877</v>
      </c>
      <c r="N4992" s="457">
        <v>0</v>
      </c>
      <c r="O4992" s="458"/>
      <c r="P4992" s="374">
        <v>112</v>
      </c>
      <c r="Q4992" s="374">
        <v>112</v>
      </c>
      <c r="R4992" s="374">
        <v>112</v>
      </c>
      <c r="S4992" s="374">
        <v>112</v>
      </c>
      <c r="T4992" t="s">
        <v>92</v>
      </c>
      <c r="U4992" t="str">
        <f>VLOOKUP(T4992,[8]Votes!$A$1:$E$234,3,FALSE)</f>
        <v>010 Ministry of Agriculture, Animal &amp; Fisheries</v>
      </c>
      <c r="V4992" t="s">
        <v>8878</v>
      </c>
      <c r="W4992" s="45"/>
      <c r="X4992" s="45"/>
      <c r="Y4992" s="45"/>
      <c r="Z4992" s="45"/>
      <c r="AA4992" s="45"/>
      <c r="AB4992" s="45"/>
      <c r="AC4992" s="150">
        <v>0</v>
      </c>
      <c r="AD4992" s="150">
        <v>0</v>
      </c>
      <c r="AE4992" s="49">
        <f t="shared" si="180"/>
        <v>0</v>
      </c>
      <c r="AF4992" s="276"/>
      <c r="AG4992" s="17">
        <v>0</v>
      </c>
      <c r="AH4992" s="276">
        <v>0</v>
      </c>
      <c r="AI4992" s="276">
        <v>0</v>
      </c>
      <c r="AJ4992" s="44">
        <v>0</v>
      </c>
      <c r="AK4992" s="158">
        <v>0</v>
      </c>
      <c r="AL4992" s="151">
        <v>0</v>
      </c>
      <c r="AM4992" s="147">
        <f t="shared" si="179"/>
        <v>0</v>
      </c>
      <c r="AN4992" t="s">
        <v>92</v>
      </c>
      <c r="AO4992" s="148" t="s">
        <v>118</v>
      </c>
      <c r="AP4992" t="s">
        <v>8879</v>
      </c>
      <c r="AQ4992" s="282"/>
    </row>
    <row r="4993" spans="1:43" customFormat="1" ht="15" customHeight="1" x14ac:dyDescent="0.3">
      <c r="A4993" s="371" t="s">
        <v>8323</v>
      </c>
      <c r="B4993" t="s">
        <v>8324</v>
      </c>
      <c r="C4993" s="148" t="s">
        <v>8841</v>
      </c>
      <c r="D4993" t="s">
        <v>8842</v>
      </c>
      <c r="E4993" s="148" t="s">
        <v>8843</v>
      </c>
      <c r="F4993" t="s">
        <v>8844</v>
      </c>
      <c r="G4993" s="372">
        <v>171101</v>
      </c>
      <c r="H4993" t="s">
        <v>8845</v>
      </c>
      <c r="K4993" s="155" t="s">
        <v>8875</v>
      </c>
      <c r="L4993" s="148" t="s">
        <v>8876</v>
      </c>
      <c r="M4993" s="1" t="s">
        <v>8877</v>
      </c>
      <c r="N4993" s="457">
        <v>0</v>
      </c>
      <c r="O4993" s="458"/>
      <c r="P4993" s="374">
        <v>112</v>
      </c>
      <c r="Q4993" s="374">
        <v>112</v>
      </c>
      <c r="R4993" s="374">
        <v>112</v>
      </c>
      <c r="S4993" s="374">
        <v>112</v>
      </c>
      <c r="T4993" t="s">
        <v>92</v>
      </c>
      <c r="U4993" t="str">
        <f>VLOOKUP(T4993,[8]Votes!$A$1:$E$234,3,FALSE)</f>
        <v>010 Ministry of Agriculture, Animal &amp; Fisheries</v>
      </c>
      <c r="V4993" t="s">
        <v>8880</v>
      </c>
      <c r="W4993" s="45">
        <v>0</v>
      </c>
      <c r="X4993" s="45">
        <v>0</v>
      </c>
      <c r="Y4993" s="45">
        <v>0</v>
      </c>
      <c r="Z4993" s="45">
        <v>1</v>
      </c>
      <c r="AA4993" s="45">
        <v>0</v>
      </c>
      <c r="AB4993" s="45">
        <v>0</v>
      </c>
      <c r="AC4993" s="150">
        <v>1</v>
      </c>
      <c r="AD4993" s="150">
        <v>0</v>
      </c>
      <c r="AE4993" s="49">
        <f t="shared" si="180"/>
        <v>0.25</v>
      </c>
      <c r="AF4993" s="276"/>
      <c r="AG4993" s="17">
        <v>0</v>
      </c>
      <c r="AH4993" s="276">
        <v>0</v>
      </c>
      <c r="AI4993" s="276">
        <v>0</v>
      </c>
      <c r="AJ4993" s="44">
        <v>0</v>
      </c>
      <c r="AK4993" s="158">
        <v>0</v>
      </c>
      <c r="AL4993" s="151">
        <v>0</v>
      </c>
      <c r="AM4993" s="147">
        <f t="shared" si="179"/>
        <v>0</v>
      </c>
      <c r="AN4993" t="s">
        <v>265</v>
      </c>
      <c r="AO4993" s="148" t="s">
        <v>350</v>
      </c>
      <c r="AP4993" t="s">
        <v>8881</v>
      </c>
      <c r="AQ4993" s="282"/>
    </row>
    <row r="4994" spans="1:43" customFormat="1" ht="15" customHeight="1" x14ac:dyDescent="0.3">
      <c r="A4994" s="371" t="s">
        <v>8323</v>
      </c>
      <c r="B4994" t="s">
        <v>8324</v>
      </c>
      <c r="C4994" s="148" t="s">
        <v>8841</v>
      </c>
      <c r="D4994" t="s">
        <v>8842</v>
      </c>
      <c r="E4994" s="148" t="s">
        <v>8843</v>
      </c>
      <c r="F4994" t="s">
        <v>8844</v>
      </c>
      <c r="G4994" s="372">
        <v>171101</v>
      </c>
      <c r="H4994" t="s">
        <v>8845</v>
      </c>
      <c r="K4994" s="155" t="s">
        <v>8875</v>
      </c>
      <c r="L4994" s="148" t="s">
        <v>8876</v>
      </c>
      <c r="M4994" s="1" t="s">
        <v>8877</v>
      </c>
      <c r="N4994" s="457">
        <v>0</v>
      </c>
      <c r="O4994" s="458">
        <v>168</v>
      </c>
      <c r="P4994" s="374">
        <v>168</v>
      </c>
      <c r="Q4994" s="374">
        <v>168</v>
      </c>
      <c r="R4994" s="374">
        <v>168</v>
      </c>
      <c r="S4994" s="374">
        <v>168</v>
      </c>
      <c r="T4994" t="s">
        <v>255</v>
      </c>
      <c r="U4994" t="str">
        <f>VLOOKUP(T4994,[8]Votes!$A$1:$E$234,3,FALSE)</f>
        <v>500 501-850 Local Governments</v>
      </c>
      <c r="V4994" t="s">
        <v>8874</v>
      </c>
      <c r="W4994" s="45">
        <v>0</v>
      </c>
      <c r="X4994" s="45">
        <v>0</v>
      </c>
      <c r="Y4994" s="45">
        <v>1</v>
      </c>
      <c r="Z4994" s="45">
        <v>1</v>
      </c>
      <c r="AA4994" s="45">
        <v>0</v>
      </c>
      <c r="AB4994" s="45">
        <v>0</v>
      </c>
      <c r="AC4994" s="150">
        <v>1</v>
      </c>
      <c r="AD4994" s="150">
        <v>0</v>
      </c>
      <c r="AE4994" s="49">
        <f t="shared" si="180"/>
        <v>0.375</v>
      </c>
      <c r="AF4994" s="276"/>
      <c r="AG4994" s="17">
        <v>0</v>
      </c>
      <c r="AH4994" s="276">
        <v>0</v>
      </c>
      <c r="AI4994" s="276">
        <v>1.49</v>
      </c>
      <c r="AJ4994" s="44">
        <v>1.58</v>
      </c>
      <c r="AK4994" s="158">
        <v>0</v>
      </c>
      <c r="AL4994" s="151">
        <v>0</v>
      </c>
      <c r="AM4994" s="147">
        <f t="shared" si="179"/>
        <v>0</v>
      </c>
      <c r="AN4994" t="s">
        <v>255</v>
      </c>
      <c r="AO4994" s="148" t="s">
        <v>1045</v>
      </c>
      <c r="AP4994" t="s">
        <v>8879</v>
      </c>
      <c r="AQ4994" s="282"/>
    </row>
    <row r="4995" spans="1:43" customFormat="1" ht="15" customHeight="1" x14ac:dyDescent="0.3">
      <c r="A4995" s="371" t="s">
        <v>8323</v>
      </c>
      <c r="B4995" t="s">
        <v>8324</v>
      </c>
      <c r="C4995" s="148" t="s">
        <v>8841</v>
      </c>
      <c r="D4995" t="s">
        <v>8842</v>
      </c>
      <c r="E4995" s="148" t="s">
        <v>8843</v>
      </c>
      <c r="F4995" t="s">
        <v>8844</v>
      </c>
      <c r="G4995" s="372">
        <v>171101</v>
      </c>
      <c r="H4995" t="s">
        <v>8845</v>
      </c>
      <c r="K4995" s="155" t="s">
        <v>8875</v>
      </c>
      <c r="L4995" s="148" t="s">
        <v>8876</v>
      </c>
      <c r="M4995" s="1" t="s">
        <v>8877</v>
      </c>
      <c r="N4995" s="457">
        <v>0</v>
      </c>
      <c r="O4995" s="458">
        <v>435</v>
      </c>
      <c r="P4995" s="373">
        <v>435</v>
      </c>
      <c r="Q4995" s="374">
        <v>435</v>
      </c>
      <c r="R4995" s="373">
        <v>435</v>
      </c>
      <c r="S4995" s="374">
        <v>435</v>
      </c>
      <c r="T4995" t="s">
        <v>92</v>
      </c>
      <c r="U4995" t="str">
        <f>VLOOKUP(T4995,[8]Votes!$A$1:$E$234,3,FALSE)</f>
        <v>010 Ministry of Agriculture, Animal &amp; Fisheries</v>
      </c>
      <c r="V4995" t="s">
        <v>8882</v>
      </c>
      <c r="W4995" s="45">
        <v>0</v>
      </c>
      <c r="X4995" s="45">
        <v>0</v>
      </c>
      <c r="Y4995" s="45">
        <v>0</v>
      </c>
      <c r="Z4995" s="45">
        <v>1</v>
      </c>
      <c r="AA4995" s="45">
        <v>0</v>
      </c>
      <c r="AB4995" s="45">
        <v>0</v>
      </c>
      <c r="AC4995" s="150">
        <v>1</v>
      </c>
      <c r="AD4995" s="150">
        <v>0</v>
      </c>
      <c r="AE4995" s="49">
        <f t="shared" si="180"/>
        <v>0.25</v>
      </c>
      <c r="AF4995" s="276"/>
      <c r="AG4995" s="17">
        <v>0</v>
      </c>
      <c r="AH4995" s="276">
        <v>0</v>
      </c>
      <c r="AI4995" s="276">
        <v>0</v>
      </c>
      <c r="AJ4995" s="44">
        <v>0</v>
      </c>
      <c r="AK4995" s="158">
        <v>0</v>
      </c>
      <c r="AL4995" s="151">
        <v>0</v>
      </c>
      <c r="AM4995" s="147">
        <f t="shared" si="179"/>
        <v>0</v>
      </c>
      <c r="AN4995" t="s">
        <v>92</v>
      </c>
      <c r="AO4995" s="148" t="s">
        <v>118</v>
      </c>
      <c r="AP4995" t="s">
        <v>8883</v>
      </c>
      <c r="AQ4995" s="282"/>
    </row>
    <row r="4996" spans="1:43" customFormat="1" ht="15" customHeight="1" x14ac:dyDescent="0.3">
      <c r="A4996" s="371" t="s">
        <v>8323</v>
      </c>
      <c r="B4996" t="s">
        <v>8324</v>
      </c>
      <c r="C4996" s="148" t="s">
        <v>8841</v>
      </c>
      <c r="D4996" t="s">
        <v>8842</v>
      </c>
      <c r="E4996" s="148" t="s">
        <v>8843</v>
      </c>
      <c r="F4996" t="s">
        <v>8844</v>
      </c>
      <c r="G4996" s="372">
        <v>171101</v>
      </c>
      <c r="H4996" t="s">
        <v>8845</v>
      </c>
      <c r="K4996" s="155" t="s">
        <v>8875</v>
      </c>
      <c r="L4996" s="148" t="s">
        <v>8876</v>
      </c>
      <c r="M4996" s="1" t="s">
        <v>8877</v>
      </c>
      <c r="N4996" s="457">
        <v>0</v>
      </c>
      <c r="O4996" s="458">
        <v>435</v>
      </c>
      <c r="P4996" s="373">
        <v>435</v>
      </c>
      <c r="Q4996" s="374">
        <v>435</v>
      </c>
      <c r="R4996" s="373">
        <v>435</v>
      </c>
      <c r="S4996" s="374">
        <v>435</v>
      </c>
      <c r="T4996" t="s">
        <v>265</v>
      </c>
      <c r="U4996" t="str">
        <f>VLOOKUP(T4996,[8]Votes!$A$1:$E$234,3,FALSE)</f>
        <v>015 Ministry of Trade, Industry and Cooperatives</v>
      </c>
      <c r="V4996" t="s">
        <v>8884</v>
      </c>
      <c r="W4996" s="45">
        <v>0</v>
      </c>
      <c r="X4996" s="45">
        <v>0</v>
      </c>
      <c r="Y4996" s="45">
        <v>0</v>
      </c>
      <c r="Z4996" s="45">
        <v>1</v>
      </c>
      <c r="AA4996" s="45">
        <v>0</v>
      </c>
      <c r="AB4996" s="45">
        <v>0</v>
      </c>
      <c r="AC4996" s="150">
        <v>1</v>
      </c>
      <c r="AD4996" s="150">
        <v>0</v>
      </c>
      <c r="AE4996" s="49">
        <f t="shared" si="180"/>
        <v>0.25</v>
      </c>
      <c r="AF4996" s="276"/>
      <c r="AG4996" s="17">
        <v>0</v>
      </c>
      <c r="AH4996" s="276">
        <v>0</v>
      </c>
      <c r="AI4996" s="276">
        <v>0</v>
      </c>
      <c r="AJ4996" s="44">
        <v>0</v>
      </c>
      <c r="AK4996" s="158">
        <v>0</v>
      </c>
      <c r="AL4996" s="151">
        <v>0</v>
      </c>
      <c r="AM4996" s="147">
        <f t="shared" si="179"/>
        <v>0</v>
      </c>
      <c r="AN4996" t="s">
        <v>265</v>
      </c>
      <c r="AO4996" s="148" t="s">
        <v>350</v>
      </c>
      <c r="AP4996" t="s">
        <v>8883</v>
      </c>
      <c r="AQ4996" s="282"/>
    </row>
    <row r="4997" spans="1:43" customFormat="1" ht="15" customHeight="1" x14ac:dyDescent="0.3">
      <c r="A4997" s="371" t="s">
        <v>8323</v>
      </c>
      <c r="B4997" t="s">
        <v>8324</v>
      </c>
      <c r="C4997" s="148" t="s">
        <v>8841</v>
      </c>
      <c r="D4997" t="s">
        <v>8842</v>
      </c>
      <c r="E4997" s="148" t="s">
        <v>8843</v>
      </c>
      <c r="F4997" t="s">
        <v>8844</v>
      </c>
      <c r="G4997" s="372">
        <v>171101</v>
      </c>
      <c r="H4997" t="s">
        <v>8845</v>
      </c>
      <c r="K4997" s="155" t="s">
        <v>8875</v>
      </c>
      <c r="L4997" s="148" t="s">
        <v>8876</v>
      </c>
      <c r="M4997" s="1" t="s">
        <v>8877</v>
      </c>
      <c r="N4997" s="457">
        <v>0</v>
      </c>
      <c r="O4997" s="458">
        <v>435</v>
      </c>
      <c r="P4997" s="373">
        <v>435</v>
      </c>
      <c r="Q4997" s="374">
        <v>435</v>
      </c>
      <c r="R4997" s="373">
        <v>435</v>
      </c>
      <c r="S4997" s="374">
        <v>435</v>
      </c>
      <c r="T4997" t="s">
        <v>265</v>
      </c>
      <c r="U4997" t="str">
        <f>VLOOKUP(T4997,[8]Votes!$A$1:$E$234,3,FALSE)</f>
        <v>015 Ministry of Trade, Industry and Cooperatives</v>
      </c>
      <c r="V4997" t="s">
        <v>8880</v>
      </c>
      <c r="W4997" s="45">
        <v>0</v>
      </c>
      <c r="X4997" s="45">
        <v>0</v>
      </c>
      <c r="Y4997" s="45">
        <v>0</v>
      </c>
      <c r="Z4997" s="45">
        <v>1</v>
      </c>
      <c r="AA4997" s="45">
        <v>0</v>
      </c>
      <c r="AB4997" s="45">
        <v>0</v>
      </c>
      <c r="AC4997" s="150">
        <v>1</v>
      </c>
      <c r="AD4997" s="150">
        <v>0</v>
      </c>
      <c r="AE4997" s="49">
        <f t="shared" si="180"/>
        <v>0.25</v>
      </c>
      <c r="AF4997" s="276"/>
      <c r="AG4997" s="17">
        <v>0</v>
      </c>
      <c r="AH4997" s="276">
        <v>0</v>
      </c>
      <c r="AI4997" s="276">
        <v>0</v>
      </c>
      <c r="AJ4997" s="44">
        <v>0</v>
      </c>
      <c r="AK4997" s="158">
        <v>0</v>
      </c>
      <c r="AL4997" s="151">
        <v>0</v>
      </c>
      <c r="AM4997" s="147">
        <f t="shared" si="179"/>
        <v>0</v>
      </c>
      <c r="AN4997" t="s">
        <v>265</v>
      </c>
      <c r="AO4997" s="148" t="s">
        <v>350</v>
      </c>
      <c r="AP4997" t="s">
        <v>982</v>
      </c>
      <c r="AQ4997" s="282"/>
    </row>
    <row r="4998" spans="1:43" customFormat="1" ht="15" customHeight="1" x14ac:dyDescent="0.3">
      <c r="A4998" s="371" t="s">
        <v>8323</v>
      </c>
      <c r="B4998" t="s">
        <v>8324</v>
      </c>
      <c r="C4998" s="148" t="s">
        <v>8841</v>
      </c>
      <c r="D4998" t="s">
        <v>8842</v>
      </c>
      <c r="E4998" s="148" t="s">
        <v>8843</v>
      </c>
      <c r="F4998" t="s">
        <v>8844</v>
      </c>
      <c r="G4998" s="372">
        <v>171101</v>
      </c>
      <c r="H4998" t="s">
        <v>8845</v>
      </c>
      <c r="K4998" s="155" t="s">
        <v>8875</v>
      </c>
      <c r="L4998" s="148" t="s">
        <v>8876</v>
      </c>
      <c r="M4998" s="1" t="s">
        <v>8877</v>
      </c>
      <c r="N4998" s="457">
        <v>0</v>
      </c>
      <c r="O4998" s="458">
        <v>435</v>
      </c>
      <c r="P4998" s="373">
        <v>435</v>
      </c>
      <c r="Q4998" s="374">
        <v>435</v>
      </c>
      <c r="R4998" s="373">
        <v>435</v>
      </c>
      <c r="S4998" s="374">
        <v>435</v>
      </c>
      <c r="T4998" t="s">
        <v>255</v>
      </c>
      <c r="U4998" t="str">
        <f>VLOOKUP(T4998,[8]Votes!$A$1:$E$234,3,FALSE)</f>
        <v>500 501-850 Local Governments</v>
      </c>
      <c r="V4998" t="s">
        <v>8874</v>
      </c>
      <c r="W4998" s="45">
        <v>1</v>
      </c>
      <c r="X4998" s="45">
        <v>1</v>
      </c>
      <c r="Y4998" s="45">
        <v>1</v>
      </c>
      <c r="Z4998" s="45">
        <v>1</v>
      </c>
      <c r="AA4998" s="45">
        <v>1</v>
      </c>
      <c r="AB4998" s="45">
        <v>1</v>
      </c>
      <c r="AC4998" s="150">
        <v>1</v>
      </c>
      <c r="AD4998" s="150">
        <v>0</v>
      </c>
      <c r="AE4998" s="49">
        <f t="shared" si="180"/>
        <v>0.875</v>
      </c>
      <c r="AF4998" s="276"/>
      <c r="AG4998" s="17">
        <v>0</v>
      </c>
      <c r="AH4998" s="276">
        <v>0</v>
      </c>
      <c r="AI4998" s="276">
        <v>0.37</v>
      </c>
      <c r="AJ4998" s="44">
        <v>0.39</v>
      </c>
      <c r="AK4998" s="158">
        <v>0</v>
      </c>
      <c r="AL4998" s="151">
        <v>0</v>
      </c>
      <c r="AM4998" s="147">
        <f t="shared" si="179"/>
        <v>0</v>
      </c>
      <c r="AN4998" t="s">
        <v>255</v>
      </c>
      <c r="AO4998" s="148" t="s">
        <v>1045</v>
      </c>
      <c r="AP4998" t="s">
        <v>982</v>
      </c>
      <c r="AQ4998" s="282"/>
    </row>
    <row r="4999" spans="1:43" customFormat="1" ht="15" customHeight="1" x14ac:dyDescent="0.3">
      <c r="A4999" s="371" t="s">
        <v>8323</v>
      </c>
      <c r="B4999" t="s">
        <v>8324</v>
      </c>
      <c r="C4999" s="148" t="s">
        <v>8841</v>
      </c>
      <c r="D4999" t="s">
        <v>8842</v>
      </c>
      <c r="E4999" s="148" t="s">
        <v>8843</v>
      </c>
      <c r="F4999" t="s">
        <v>8844</v>
      </c>
      <c r="G4999" s="372">
        <v>171101</v>
      </c>
      <c r="H4999" t="s">
        <v>8845</v>
      </c>
      <c r="K4999" s="155" t="s">
        <v>8875</v>
      </c>
      <c r="L4999" s="148" t="s">
        <v>8876</v>
      </c>
      <c r="M4999" s="1" t="s">
        <v>8877</v>
      </c>
      <c r="N4999" s="457">
        <v>0</v>
      </c>
      <c r="O4999" s="458">
        <v>435</v>
      </c>
      <c r="P4999" s="373">
        <v>435</v>
      </c>
      <c r="Q4999" s="374">
        <v>435</v>
      </c>
      <c r="R4999" s="373">
        <v>435</v>
      </c>
      <c r="S4999" s="374">
        <v>435</v>
      </c>
      <c r="T4999" t="s">
        <v>92</v>
      </c>
      <c r="U4999" t="str">
        <f>VLOOKUP(T4999,[8]Votes!$A$1:$E$234,3,FALSE)</f>
        <v>010 Ministry of Agriculture, Animal &amp; Fisheries</v>
      </c>
      <c r="V4999" t="s">
        <v>8885</v>
      </c>
      <c r="W4999" s="45">
        <v>0</v>
      </c>
      <c r="X4999" s="45">
        <v>0</v>
      </c>
      <c r="Y4999" s="45">
        <v>0</v>
      </c>
      <c r="Z4999" s="45">
        <v>1</v>
      </c>
      <c r="AA4999" s="45">
        <v>0</v>
      </c>
      <c r="AB4999" s="45">
        <v>0</v>
      </c>
      <c r="AC4999" s="150">
        <v>1</v>
      </c>
      <c r="AD4999" s="150">
        <v>0</v>
      </c>
      <c r="AE4999" s="49">
        <f t="shared" si="180"/>
        <v>0.25</v>
      </c>
      <c r="AF4999" s="276"/>
      <c r="AG4999" s="17">
        <v>0</v>
      </c>
      <c r="AH4999" s="276">
        <v>0</v>
      </c>
      <c r="AI4999" s="276">
        <v>0</v>
      </c>
      <c r="AJ4999" s="44">
        <v>0</v>
      </c>
      <c r="AK4999" s="158">
        <v>0</v>
      </c>
      <c r="AL4999" s="151">
        <v>0</v>
      </c>
      <c r="AM4999" s="147">
        <f t="shared" si="179"/>
        <v>0</v>
      </c>
      <c r="AN4999" t="s">
        <v>92</v>
      </c>
      <c r="AO4999" s="148" t="s">
        <v>118</v>
      </c>
      <c r="AP4999" t="s">
        <v>982</v>
      </c>
      <c r="AQ4999" s="282"/>
    </row>
    <row r="5000" spans="1:43" customFormat="1" ht="15" customHeight="1" x14ac:dyDescent="0.3">
      <c r="A5000" s="371" t="s">
        <v>8323</v>
      </c>
      <c r="B5000" t="s">
        <v>8324</v>
      </c>
      <c r="C5000" s="148" t="s">
        <v>8841</v>
      </c>
      <c r="D5000" t="s">
        <v>8842</v>
      </c>
      <c r="E5000" s="148" t="s">
        <v>8843</v>
      </c>
      <c r="F5000" t="s">
        <v>8844</v>
      </c>
      <c r="G5000" s="372">
        <v>171101</v>
      </c>
      <c r="H5000" t="s">
        <v>8845</v>
      </c>
      <c r="K5000" s="155" t="s">
        <v>8875</v>
      </c>
      <c r="L5000" s="148" t="s">
        <v>8876</v>
      </c>
      <c r="M5000" s="1" t="s">
        <v>8877</v>
      </c>
      <c r="N5000" s="457">
        <v>0</v>
      </c>
      <c r="O5000" s="458">
        <v>435</v>
      </c>
      <c r="P5000" s="373">
        <v>435</v>
      </c>
      <c r="Q5000" s="374">
        <v>435</v>
      </c>
      <c r="R5000" s="373">
        <v>435</v>
      </c>
      <c r="S5000" s="374">
        <v>435</v>
      </c>
      <c r="T5000" t="s">
        <v>265</v>
      </c>
      <c r="U5000" t="str">
        <f>VLOOKUP(T5000,[8]Votes!$A$1:$E$234,3,FALSE)</f>
        <v>015 Ministry of Trade, Industry and Cooperatives</v>
      </c>
      <c r="V5000" t="s">
        <v>8880</v>
      </c>
      <c r="W5000" s="45">
        <v>0</v>
      </c>
      <c r="X5000" s="45">
        <v>0</v>
      </c>
      <c r="Y5000" s="45">
        <v>0</v>
      </c>
      <c r="Z5000" s="45">
        <v>1</v>
      </c>
      <c r="AA5000" s="45">
        <v>1</v>
      </c>
      <c r="AB5000" s="45">
        <v>0</v>
      </c>
      <c r="AC5000" s="150">
        <v>1</v>
      </c>
      <c r="AD5000" s="150">
        <v>0</v>
      </c>
      <c r="AE5000" s="49">
        <f t="shared" si="180"/>
        <v>0.375</v>
      </c>
      <c r="AF5000" s="276"/>
      <c r="AG5000" s="17">
        <v>0</v>
      </c>
      <c r="AH5000" s="276">
        <v>0</v>
      </c>
      <c r="AI5000" s="276">
        <v>0</v>
      </c>
      <c r="AJ5000" s="44">
        <v>0</v>
      </c>
      <c r="AK5000" s="158">
        <v>0</v>
      </c>
      <c r="AL5000" s="151">
        <v>0</v>
      </c>
      <c r="AM5000" s="147">
        <f t="shared" si="179"/>
        <v>0</v>
      </c>
      <c r="AN5000" t="s">
        <v>265</v>
      </c>
      <c r="AO5000" s="148" t="s">
        <v>350</v>
      </c>
      <c r="AP5000" t="s">
        <v>982</v>
      </c>
      <c r="AQ5000" s="282"/>
    </row>
    <row r="5001" spans="1:43" customFormat="1" ht="15" customHeight="1" x14ac:dyDescent="0.3">
      <c r="A5001" s="371" t="s">
        <v>8323</v>
      </c>
      <c r="B5001" t="s">
        <v>8324</v>
      </c>
      <c r="C5001" s="148" t="s">
        <v>8841</v>
      </c>
      <c r="D5001" t="s">
        <v>8842</v>
      </c>
      <c r="E5001" s="148" t="s">
        <v>8843</v>
      </c>
      <c r="F5001" t="s">
        <v>8844</v>
      </c>
      <c r="G5001" s="372">
        <v>171101</v>
      </c>
      <c r="H5001" t="s">
        <v>8845</v>
      </c>
      <c r="K5001" s="155" t="s">
        <v>8886</v>
      </c>
      <c r="L5001" s="148" t="s">
        <v>8887</v>
      </c>
      <c r="M5001" s="1" t="s">
        <v>8888</v>
      </c>
      <c r="N5001" s="457">
        <v>0</v>
      </c>
      <c r="O5001" s="458">
        <v>870</v>
      </c>
      <c r="P5001" s="374">
        <v>870</v>
      </c>
      <c r="Q5001" s="374">
        <v>870</v>
      </c>
      <c r="R5001" s="374">
        <v>870</v>
      </c>
      <c r="S5001" s="374">
        <v>870</v>
      </c>
      <c r="T5001" t="s">
        <v>255</v>
      </c>
      <c r="U5001" t="str">
        <f>VLOOKUP(T5001,[8]Votes!$A$1:$E$234,3,FALSE)</f>
        <v>500 501-850 Local Governments</v>
      </c>
      <c r="V5001" t="s">
        <v>8874</v>
      </c>
      <c r="W5001" s="45">
        <v>1</v>
      </c>
      <c r="X5001" s="45">
        <v>1</v>
      </c>
      <c r="Y5001" s="45">
        <v>1</v>
      </c>
      <c r="Z5001" s="45">
        <v>1</v>
      </c>
      <c r="AA5001" s="45">
        <v>1</v>
      </c>
      <c r="AB5001" s="45">
        <v>1</v>
      </c>
      <c r="AC5001" s="150">
        <v>1</v>
      </c>
      <c r="AD5001" s="150">
        <v>0</v>
      </c>
      <c r="AE5001" s="49">
        <f t="shared" si="180"/>
        <v>0.875</v>
      </c>
      <c r="AF5001" s="276"/>
      <c r="AG5001" s="17">
        <v>0</v>
      </c>
      <c r="AH5001" s="276">
        <v>0</v>
      </c>
      <c r="AI5001" s="276">
        <v>1.3260000000000001</v>
      </c>
      <c r="AJ5001" s="44">
        <v>1.4039999999999999</v>
      </c>
      <c r="AK5001" s="158">
        <v>0</v>
      </c>
      <c r="AL5001" s="151">
        <v>0</v>
      </c>
      <c r="AM5001" s="147">
        <f t="shared" si="179"/>
        <v>0</v>
      </c>
      <c r="AN5001" t="s">
        <v>255</v>
      </c>
      <c r="AO5001" s="148" t="s">
        <v>1045</v>
      </c>
      <c r="AP5001" t="s">
        <v>8889</v>
      </c>
    </row>
    <row r="5002" spans="1:43" customFormat="1" ht="15" customHeight="1" x14ac:dyDescent="0.3">
      <c r="A5002" s="371" t="s">
        <v>8323</v>
      </c>
      <c r="B5002" t="s">
        <v>8324</v>
      </c>
      <c r="C5002" s="148" t="s">
        <v>8841</v>
      </c>
      <c r="D5002" t="s">
        <v>8842</v>
      </c>
      <c r="E5002" s="148" t="s">
        <v>8843</v>
      </c>
      <c r="F5002" t="s">
        <v>8844</v>
      </c>
      <c r="G5002" s="372">
        <v>171101</v>
      </c>
      <c r="H5002" t="s">
        <v>8845</v>
      </c>
      <c r="K5002" s="155" t="s">
        <v>8886</v>
      </c>
      <c r="L5002" s="148" t="s">
        <v>8887</v>
      </c>
      <c r="M5002" s="1" t="s">
        <v>8888</v>
      </c>
      <c r="N5002" s="457">
        <v>0</v>
      </c>
      <c r="O5002" s="458">
        <v>870</v>
      </c>
      <c r="P5002" s="374">
        <v>870</v>
      </c>
      <c r="Q5002" s="374">
        <v>870</v>
      </c>
      <c r="R5002" s="374">
        <v>870</v>
      </c>
      <c r="S5002" s="374">
        <v>870</v>
      </c>
      <c r="T5002" t="s">
        <v>1167</v>
      </c>
      <c r="U5002" t="str">
        <f>VLOOKUP(T5002,[8]Votes!$A$1:$E$234,3,FALSE)</f>
        <v>003 Office of the Prime Minister</v>
      </c>
      <c r="V5002" t="s">
        <v>8890</v>
      </c>
      <c r="W5002" s="45">
        <v>1</v>
      </c>
      <c r="X5002" s="45">
        <v>0</v>
      </c>
      <c r="Y5002" s="45">
        <v>0</v>
      </c>
      <c r="Z5002" s="45">
        <v>1</v>
      </c>
      <c r="AA5002" s="45">
        <v>0</v>
      </c>
      <c r="AB5002" s="45">
        <v>0</v>
      </c>
      <c r="AC5002" s="150">
        <v>1</v>
      </c>
      <c r="AD5002" s="150">
        <v>0</v>
      </c>
      <c r="AE5002" s="49">
        <f t="shared" si="180"/>
        <v>0.375</v>
      </c>
      <c r="AF5002" s="276"/>
      <c r="AG5002" s="17">
        <v>0</v>
      </c>
      <c r="AH5002" s="276">
        <v>0</v>
      </c>
      <c r="AI5002" s="276">
        <v>0</v>
      </c>
      <c r="AJ5002" s="44">
        <v>0</v>
      </c>
      <c r="AK5002" s="158">
        <v>0</v>
      </c>
      <c r="AL5002" s="151">
        <v>0</v>
      </c>
      <c r="AM5002" s="147">
        <f t="shared" si="179"/>
        <v>0</v>
      </c>
      <c r="AN5002" t="s">
        <v>255</v>
      </c>
      <c r="AO5002" s="148" t="s">
        <v>1045</v>
      </c>
      <c r="AP5002" t="s">
        <v>8891</v>
      </c>
    </row>
    <row r="5003" spans="1:43" customFormat="1" ht="15" customHeight="1" x14ac:dyDescent="0.3">
      <c r="A5003" s="371" t="s">
        <v>8323</v>
      </c>
      <c r="B5003" t="s">
        <v>8324</v>
      </c>
      <c r="C5003" s="148" t="s">
        <v>8841</v>
      </c>
      <c r="D5003" t="s">
        <v>8842</v>
      </c>
      <c r="E5003" s="148" t="s">
        <v>8843</v>
      </c>
      <c r="F5003" t="s">
        <v>8844</v>
      </c>
      <c r="G5003" s="372">
        <v>171101</v>
      </c>
      <c r="H5003" t="s">
        <v>8845</v>
      </c>
      <c r="K5003" s="155" t="s">
        <v>8886</v>
      </c>
      <c r="L5003" s="148" t="s">
        <v>8887</v>
      </c>
      <c r="M5003" s="1" t="s">
        <v>8888</v>
      </c>
      <c r="N5003" s="457">
        <v>0</v>
      </c>
      <c r="O5003" s="458">
        <v>870</v>
      </c>
      <c r="P5003" s="374">
        <v>870</v>
      </c>
      <c r="Q5003" s="374">
        <v>870</v>
      </c>
      <c r="R5003" s="374">
        <v>870</v>
      </c>
      <c r="S5003" s="374">
        <v>870</v>
      </c>
      <c r="T5003" t="s">
        <v>255</v>
      </c>
      <c r="U5003" t="str">
        <f>VLOOKUP(T5003,[8]Votes!$A$1:$E$234,3,FALSE)</f>
        <v>500 501-850 Local Governments</v>
      </c>
      <c r="V5003" t="s">
        <v>8880</v>
      </c>
      <c r="W5003" s="45">
        <v>1</v>
      </c>
      <c r="X5003" s="45">
        <v>1</v>
      </c>
      <c r="Y5003" s="45">
        <v>1</v>
      </c>
      <c r="Z5003" s="45">
        <v>1</v>
      </c>
      <c r="AA5003" s="45">
        <v>1</v>
      </c>
      <c r="AB5003" s="45">
        <v>1</v>
      </c>
      <c r="AC5003" s="150">
        <v>1</v>
      </c>
      <c r="AD5003" s="150">
        <v>1</v>
      </c>
      <c r="AE5003" s="49">
        <f t="shared" si="180"/>
        <v>1</v>
      </c>
      <c r="AF5003" s="276"/>
      <c r="AG5003" s="17">
        <v>0</v>
      </c>
      <c r="AH5003" s="276">
        <v>0</v>
      </c>
      <c r="AI5003" s="276">
        <v>0</v>
      </c>
      <c r="AJ5003" s="44">
        <v>0</v>
      </c>
      <c r="AK5003" s="158">
        <v>0</v>
      </c>
      <c r="AL5003" s="151">
        <v>0</v>
      </c>
      <c r="AM5003" s="147">
        <f t="shared" si="179"/>
        <v>0</v>
      </c>
      <c r="AN5003" t="s">
        <v>255</v>
      </c>
      <c r="AO5003" s="148" t="s">
        <v>1045</v>
      </c>
      <c r="AP5003" t="s">
        <v>8891</v>
      </c>
    </row>
    <row r="5004" spans="1:43" customFormat="1" ht="15" customHeight="1" x14ac:dyDescent="0.3">
      <c r="A5004" s="371" t="s">
        <v>8323</v>
      </c>
      <c r="B5004" t="s">
        <v>8324</v>
      </c>
      <c r="C5004" s="148" t="s">
        <v>8841</v>
      </c>
      <c r="D5004" t="s">
        <v>8842</v>
      </c>
      <c r="E5004" s="148" t="s">
        <v>8843</v>
      </c>
      <c r="F5004" t="s">
        <v>8844</v>
      </c>
      <c r="G5004" s="372">
        <v>171101</v>
      </c>
      <c r="H5004" t="s">
        <v>8845</v>
      </c>
      <c r="K5004" s="155" t="s">
        <v>8886</v>
      </c>
      <c r="L5004" s="148" t="s">
        <v>8887</v>
      </c>
      <c r="M5004" s="1" t="s">
        <v>8888</v>
      </c>
      <c r="N5004" s="457">
        <v>0</v>
      </c>
      <c r="O5004" s="458">
        <v>870</v>
      </c>
      <c r="P5004" s="374">
        <v>870</v>
      </c>
      <c r="Q5004" s="374">
        <v>870</v>
      </c>
      <c r="R5004" s="374">
        <v>870</v>
      </c>
      <c r="S5004" s="374">
        <v>870</v>
      </c>
      <c r="T5004" t="s">
        <v>255</v>
      </c>
      <c r="U5004" t="str">
        <f>VLOOKUP(T5004,[8]Votes!$A$1:$E$234,3,FALSE)</f>
        <v>500 501-850 Local Governments</v>
      </c>
      <c r="V5004" t="s">
        <v>8874</v>
      </c>
      <c r="W5004" s="45">
        <v>1</v>
      </c>
      <c r="X5004" s="45">
        <v>1</v>
      </c>
      <c r="Y5004" s="45">
        <v>1</v>
      </c>
      <c r="Z5004" s="45">
        <v>1</v>
      </c>
      <c r="AA5004" s="45">
        <v>1</v>
      </c>
      <c r="AB5004" s="45">
        <v>1</v>
      </c>
      <c r="AC5004" s="150">
        <v>1</v>
      </c>
      <c r="AD5004" s="150">
        <v>0</v>
      </c>
      <c r="AE5004" s="49">
        <f t="shared" si="180"/>
        <v>0.875</v>
      </c>
      <c r="AF5004" s="276"/>
      <c r="AG5004" s="17">
        <v>0</v>
      </c>
      <c r="AH5004" s="276">
        <v>0</v>
      </c>
      <c r="AI5004" s="276">
        <v>1.43</v>
      </c>
      <c r="AJ5004" s="44">
        <v>1.51</v>
      </c>
      <c r="AK5004" s="158">
        <v>0</v>
      </c>
      <c r="AL5004" s="151">
        <v>0</v>
      </c>
      <c r="AM5004" s="147">
        <f t="shared" si="179"/>
        <v>0</v>
      </c>
      <c r="AN5004" t="s">
        <v>255</v>
      </c>
      <c r="AO5004" s="148" t="s">
        <v>1045</v>
      </c>
      <c r="AP5004" t="s">
        <v>8889</v>
      </c>
    </row>
    <row r="5005" spans="1:43" customFormat="1" ht="15" customHeight="1" x14ac:dyDescent="0.3">
      <c r="A5005" s="371" t="s">
        <v>8323</v>
      </c>
      <c r="B5005" t="s">
        <v>8324</v>
      </c>
      <c r="C5005" s="148" t="s">
        <v>8841</v>
      </c>
      <c r="D5005" t="s">
        <v>8842</v>
      </c>
      <c r="E5005" s="148" t="s">
        <v>8843</v>
      </c>
      <c r="F5005" t="s">
        <v>8844</v>
      </c>
      <c r="G5005" s="372">
        <v>171101</v>
      </c>
      <c r="H5005" t="s">
        <v>8845</v>
      </c>
      <c r="K5005" s="155" t="s">
        <v>8886</v>
      </c>
      <c r="L5005" s="148" t="s">
        <v>8887</v>
      </c>
      <c r="M5005" s="1" t="s">
        <v>8888</v>
      </c>
      <c r="N5005" s="457">
        <v>0</v>
      </c>
      <c r="O5005" s="458">
        <v>870</v>
      </c>
      <c r="P5005" s="374">
        <v>870</v>
      </c>
      <c r="Q5005" s="374">
        <v>870</v>
      </c>
      <c r="R5005" s="374">
        <v>870</v>
      </c>
      <c r="S5005" s="374">
        <v>870</v>
      </c>
      <c r="T5005" t="s">
        <v>771</v>
      </c>
      <c r="U5005" t="str">
        <f>VLOOKUP(T5005,[8]Votes!$A$1:$E$234,3,FALSE)</f>
        <v>018 Ministry of Gender, Labour and Social Development</v>
      </c>
      <c r="V5005" t="s">
        <v>8892</v>
      </c>
      <c r="W5005" s="45">
        <v>0</v>
      </c>
      <c r="X5005" s="45">
        <v>1</v>
      </c>
      <c r="Y5005" s="45">
        <v>1</v>
      </c>
      <c r="Z5005" s="45">
        <v>1</v>
      </c>
      <c r="AA5005" s="45">
        <v>0</v>
      </c>
      <c r="AB5005" s="45">
        <v>0</v>
      </c>
      <c r="AC5005" s="150">
        <v>1</v>
      </c>
      <c r="AD5005" s="150">
        <v>0</v>
      </c>
      <c r="AE5005" s="49">
        <f t="shared" si="180"/>
        <v>0.5</v>
      </c>
      <c r="AF5005" s="276"/>
      <c r="AG5005" s="17">
        <v>0</v>
      </c>
      <c r="AH5005" s="276">
        <v>0</v>
      </c>
      <c r="AI5005" s="276">
        <v>0</v>
      </c>
      <c r="AJ5005" s="44">
        <v>0</v>
      </c>
      <c r="AK5005" s="158">
        <v>0</v>
      </c>
      <c r="AL5005" s="151">
        <v>0</v>
      </c>
      <c r="AM5005" s="147">
        <f t="shared" si="179"/>
        <v>0</v>
      </c>
      <c r="AN5005" t="s">
        <v>771</v>
      </c>
      <c r="AO5005" s="148" t="s">
        <v>773</v>
      </c>
      <c r="AP5005" t="s">
        <v>982</v>
      </c>
    </row>
    <row r="5006" spans="1:43" customFormat="1" ht="15" customHeight="1" x14ac:dyDescent="0.3">
      <c r="A5006" s="371" t="s">
        <v>8323</v>
      </c>
      <c r="B5006" t="s">
        <v>8324</v>
      </c>
      <c r="C5006" s="148" t="s">
        <v>8841</v>
      </c>
      <c r="D5006" t="s">
        <v>8842</v>
      </c>
      <c r="E5006" s="148" t="s">
        <v>8843</v>
      </c>
      <c r="F5006" t="s">
        <v>8844</v>
      </c>
      <c r="G5006" s="372">
        <v>171101</v>
      </c>
      <c r="H5006" t="s">
        <v>8845</v>
      </c>
      <c r="K5006" s="155" t="s">
        <v>8893</v>
      </c>
      <c r="L5006" s="148" t="s">
        <v>8894</v>
      </c>
      <c r="M5006" s="1" t="s">
        <v>8895</v>
      </c>
      <c r="N5006" s="457">
        <v>0</v>
      </c>
      <c r="O5006" s="458">
        <v>870</v>
      </c>
      <c r="P5006" s="374">
        <v>870</v>
      </c>
      <c r="Q5006" s="374">
        <v>870</v>
      </c>
      <c r="R5006" s="374">
        <v>870</v>
      </c>
      <c r="S5006" s="374">
        <v>870</v>
      </c>
      <c r="T5006" t="s">
        <v>255</v>
      </c>
      <c r="U5006" t="str">
        <f>VLOOKUP(T5006,[8]Votes!$A$1:$E$234,3,FALSE)</f>
        <v>500 501-850 Local Governments</v>
      </c>
      <c r="V5006" t="s">
        <v>8896</v>
      </c>
      <c r="W5006" s="45">
        <v>1</v>
      </c>
      <c r="X5006" s="45">
        <v>1</v>
      </c>
      <c r="Y5006" s="45">
        <v>1</v>
      </c>
      <c r="Z5006" s="45">
        <v>1</v>
      </c>
      <c r="AA5006" s="45">
        <v>1</v>
      </c>
      <c r="AB5006" s="45">
        <v>1</v>
      </c>
      <c r="AC5006" s="150">
        <v>1</v>
      </c>
      <c r="AD5006" s="150">
        <v>1</v>
      </c>
      <c r="AE5006" s="49">
        <f t="shared" si="180"/>
        <v>1</v>
      </c>
      <c r="AF5006" s="276"/>
      <c r="AG5006" s="17">
        <v>0</v>
      </c>
      <c r="AH5006" s="276">
        <v>0</v>
      </c>
      <c r="AI5006" s="276">
        <v>0.5</v>
      </c>
      <c r="AJ5006" s="44">
        <v>0.5</v>
      </c>
      <c r="AK5006" s="158">
        <v>0.5</v>
      </c>
      <c r="AL5006" s="151">
        <v>0.5</v>
      </c>
      <c r="AM5006" s="147">
        <f t="shared" si="179"/>
        <v>1</v>
      </c>
      <c r="AN5006" t="s">
        <v>255</v>
      </c>
      <c r="AO5006" s="148" t="s">
        <v>1045</v>
      </c>
      <c r="AP5006" t="s">
        <v>8897</v>
      </c>
      <c r="AQ5006" s="282"/>
    </row>
    <row r="5007" spans="1:43" customFormat="1" ht="15" customHeight="1" x14ac:dyDescent="0.3">
      <c r="A5007" s="371" t="s">
        <v>8323</v>
      </c>
      <c r="B5007" t="s">
        <v>8324</v>
      </c>
      <c r="C5007" s="148" t="s">
        <v>8841</v>
      </c>
      <c r="D5007" t="s">
        <v>8842</v>
      </c>
      <c r="E5007" s="148" t="s">
        <v>8843</v>
      </c>
      <c r="F5007" t="s">
        <v>8844</v>
      </c>
      <c r="G5007" s="372">
        <v>171102</v>
      </c>
      <c r="H5007" t="s">
        <v>8898</v>
      </c>
      <c r="K5007" s="155" t="s">
        <v>8899</v>
      </c>
      <c r="L5007" s="148" t="s">
        <v>8900</v>
      </c>
      <c r="M5007" s="1" t="s">
        <v>8901</v>
      </c>
      <c r="N5007" s="457">
        <v>56</v>
      </c>
      <c r="O5007" s="458">
        <v>87</v>
      </c>
      <c r="P5007" s="373">
        <v>87</v>
      </c>
      <c r="Q5007" s="374">
        <v>87</v>
      </c>
      <c r="R5007" s="373">
        <v>87</v>
      </c>
      <c r="S5007" s="374">
        <v>87</v>
      </c>
      <c r="T5007" t="s">
        <v>8902</v>
      </c>
      <c r="U5007" t="e">
        <f>VLOOKUP(T5007,[8]Votes!$A$1:$E$234,3,FALSE)</f>
        <v>#N/A</v>
      </c>
      <c r="V5007" t="s">
        <v>8903</v>
      </c>
      <c r="W5007" s="45">
        <v>1</v>
      </c>
      <c r="X5007" s="45">
        <v>1</v>
      </c>
      <c r="Y5007" s="45">
        <v>1</v>
      </c>
      <c r="Z5007" s="45">
        <v>1</v>
      </c>
      <c r="AA5007" s="45">
        <v>1</v>
      </c>
      <c r="AB5007" s="45">
        <v>1</v>
      </c>
      <c r="AC5007" s="150">
        <v>1</v>
      </c>
      <c r="AD5007" s="150">
        <v>1</v>
      </c>
      <c r="AE5007" s="49">
        <f t="shared" si="180"/>
        <v>1</v>
      </c>
      <c r="AF5007" s="276"/>
      <c r="AG5007" s="17">
        <v>0</v>
      </c>
      <c r="AH5007" s="276">
        <v>0</v>
      </c>
      <c r="AI5007" s="276">
        <v>0</v>
      </c>
      <c r="AJ5007" s="44">
        <v>0</v>
      </c>
      <c r="AK5007" s="158">
        <v>0</v>
      </c>
      <c r="AL5007" s="151">
        <v>0</v>
      </c>
      <c r="AM5007" s="147">
        <f t="shared" si="179"/>
        <v>0</v>
      </c>
      <c r="AN5007" t="s">
        <v>1332</v>
      </c>
      <c r="AO5007" s="148" t="s">
        <v>1334</v>
      </c>
      <c r="AP5007" t="s">
        <v>126</v>
      </c>
      <c r="AQ5007" s="282"/>
    </row>
    <row r="5008" spans="1:43" customFormat="1" ht="15" customHeight="1" x14ac:dyDescent="0.3">
      <c r="A5008" s="371" t="s">
        <v>8323</v>
      </c>
      <c r="B5008" t="s">
        <v>8324</v>
      </c>
      <c r="C5008" s="148" t="s">
        <v>8841</v>
      </c>
      <c r="D5008" t="s">
        <v>8842</v>
      </c>
      <c r="E5008" s="148" t="s">
        <v>8843</v>
      </c>
      <c r="F5008" t="s">
        <v>8844</v>
      </c>
      <c r="G5008" s="372">
        <v>171102</v>
      </c>
      <c r="H5008" t="s">
        <v>8898</v>
      </c>
      <c r="K5008" s="155" t="s">
        <v>8899</v>
      </c>
      <c r="L5008" s="148" t="s">
        <v>8900</v>
      </c>
      <c r="M5008" s="1" t="s">
        <v>8901</v>
      </c>
      <c r="N5008" s="457"/>
      <c r="O5008" s="458">
        <v>87</v>
      </c>
      <c r="P5008" s="373">
        <v>87</v>
      </c>
      <c r="Q5008" s="374">
        <v>87</v>
      </c>
      <c r="R5008" s="373">
        <v>87</v>
      </c>
      <c r="S5008" s="374">
        <v>87</v>
      </c>
      <c r="T5008" t="s">
        <v>1332</v>
      </c>
      <c r="U5008" t="str">
        <f>VLOOKUP(T5008,[8]Votes!$A$1:$E$234,3,FALSE)</f>
        <v>001 Office of the President</v>
      </c>
      <c r="V5008" t="s">
        <v>8904</v>
      </c>
      <c r="W5008" s="45">
        <v>1</v>
      </c>
      <c r="X5008" s="45">
        <v>1</v>
      </c>
      <c r="Y5008" s="45">
        <v>1</v>
      </c>
      <c r="Z5008" s="45">
        <v>0</v>
      </c>
      <c r="AA5008" s="45">
        <v>0</v>
      </c>
      <c r="AB5008" s="45">
        <v>0</v>
      </c>
      <c r="AC5008" s="150">
        <v>1</v>
      </c>
      <c r="AD5008" s="150">
        <v>1</v>
      </c>
      <c r="AE5008" s="49">
        <f t="shared" si="180"/>
        <v>0.625</v>
      </c>
      <c r="AF5008" s="276"/>
      <c r="AG5008" s="17">
        <v>0</v>
      </c>
      <c r="AH5008" s="276">
        <v>0</v>
      </c>
      <c r="AI5008" s="276">
        <v>0</v>
      </c>
      <c r="AJ5008" s="44">
        <v>0</v>
      </c>
      <c r="AK5008" s="158">
        <v>0</v>
      </c>
      <c r="AL5008" s="151">
        <v>0</v>
      </c>
      <c r="AM5008" s="147">
        <f t="shared" si="179"/>
        <v>0</v>
      </c>
      <c r="AN5008" t="s">
        <v>1332</v>
      </c>
      <c r="AO5008" s="148" t="s">
        <v>1334</v>
      </c>
      <c r="AP5008" t="s">
        <v>255</v>
      </c>
      <c r="AQ5008" s="282"/>
    </row>
    <row r="5009" spans="1:43" customFormat="1" ht="15" customHeight="1" x14ac:dyDescent="0.3">
      <c r="A5009" s="371" t="s">
        <v>8323</v>
      </c>
      <c r="B5009" t="s">
        <v>8324</v>
      </c>
      <c r="C5009" s="148" t="s">
        <v>8841</v>
      </c>
      <c r="D5009" t="s">
        <v>8842</v>
      </c>
      <c r="E5009" s="148" t="s">
        <v>8843</v>
      </c>
      <c r="F5009" t="s">
        <v>8844</v>
      </c>
      <c r="G5009" s="372">
        <v>171102</v>
      </c>
      <c r="H5009" t="s">
        <v>8898</v>
      </c>
      <c r="K5009" s="155" t="s">
        <v>8899</v>
      </c>
      <c r="L5009" s="148" t="s">
        <v>8900</v>
      </c>
      <c r="M5009" s="1" t="s">
        <v>8901</v>
      </c>
      <c r="N5009" s="457"/>
      <c r="O5009" s="458">
        <v>87</v>
      </c>
      <c r="P5009" s="373">
        <v>87</v>
      </c>
      <c r="Q5009" s="374">
        <v>87</v>
      </c>
      <c r="R5009" s="373">
        <v>87</v>
      </c>
      <c r="S5009" s="374">
        <v>87</v>
      </c>
      <c r="T5009" t="s">
        <v>1332</v>
      </c>
      <c r="U5009" t="str">
        <f>VLOOKUP(T5009,[8]Votes!$A$1:$E$234,3,FALSE)</f>
        <v>001 Office of the President</v>
      </c>
      <c r="V5009" t="s">
        <v>8905</v>
      </c>
      <c r="W5009" s="45">
        <v>1</v>
      </c>
      <c r="X5009" s="45">
        <v>1</v>
      </c>
      <c r="Y5009" s="45">
        <v>1</v>
      </c>
      <c r="Z5009" s="45">
        <v>0</v>
      </c>
      <c r="AA5009" s="45">
        <v>0</v>
      </c>
      <c r="AB5009" s="45">
        <v>1</v>
      </c>
      <c r="AC5009" s="150">
        <v>1</v>
      </c>
      <c r="AD5009" s="150">
        <v>1</v>
      </c>
      <c r="AE5009" s="49">
        <f t="shared" si="180"/>
        <v>0.75</v>
      </c>
      <c r="AF5009" s="276"/>
      <c r="AG5009" s="17">
        <v>0</v>
      </c>
      <c r="AH5009" s="276">
        <v>0</v>
      </c>
      <c r="AI5009" s="276">
        <v>0</v>
      </c>
      <c r="AJ5009" s="44">
        <v>0</v>
      </c>
      <c r="AK5009" s="158">
        <v>0</v>
      </c>
      <c r="AL5009" s="151">
        <v>0</v>
      </c>
      <c r="AM5009" s="147">
        <f t="shared" si="179"/>
        <v>0</v>
      </c>
      <c r="AN5009" t="s">
        <v>1332</v>
      </c>
      <c r="AO5009" s="148" t="s">
        <v>1334</v>
      </c>
      <c r="AP5009" t="s">
        <v>1157</v>
      </c>
      <c r="AQ5009" s="282"/>
    </row>
    <row r="5010" spans="1:43" customFormat="1" ht="15" customHeight="1" x14ac:dyDescent="0.3">
      <c r="A5010" s="371" t="s">
        <v>8323</v>
      </c>
      <c r="B5010" t="s">
        <v>8324</v>
      </c>
      <c r="C5010" s="148" t="s">
        <v>8841</v>
      </c>
      <c r="D5010" t="s">
        <v>8842</v>
      </c>
      <c r="E5010" s="148" t="s">
        <v>8843</v>
      </c>
      <c r="F5010" t="s">
        <v>8844</v>
      </c>
      <c r="G5010" s="372">
        <v>171102</v>
      </c>
      <c r="H5010" t="s">
        <v>8898</v>
      </c>
      <c r="K5010" s="155" t="s">
        <v>8899</v>
      </c>
      <c r="L5010" s="148" t="s">
        <v>8900</v>
      </c>
      <c r="M5010" s="1" t="s">
        <v>8901</v>
      </c>
      <c r="N5010" s="457"/>
      <c r="O5010" s="458">
        <v>87</v>
      </c>
      <c r="P5010" s="373">
        <v>87</v>
      </c>
      <c r="Q5010" s="374">
        <v>87</v>
      </c>
      <c r="R5010" s="373">
        <v>87</v>
      </c>
      <c r="S5010" s="374">
        <v>87</v>
      </c>
      <c r="T5010" t="s">
        <v>255</v>
      </c>
      <c r="U5010" t="str">
        <f>VLOOKUP(T5010,[8]Votes!$A$1:$E$234,3,FALSE)</f>
        <v>500 501-850 Local Governments</v>
      </c>
      <c r="V5010" t="s">
        <v>8906</v>
      </c>
      <c r="W5010" s="45">
        <v>1</v>
      </c>
      <c r="X5010" s="45">
        <v>1</v>
      </c>
      <c r="Y5010" s="45">
        <v>1</v>
      </c>
      <c r="Z5010" s="45">
        <v>1</v>
      </c>
      <c r="AA5010" s="45">
        <v>1</v>
      </c>
      <c r="AB5010" s="45">
        <v>1</v>
      </c>
      <c r="AC5010" s="150">
        <v>1</v>
      </c>
      <c r="AD5010" s="150">
        <v>1</v>
      </c>
      <c r="AE5010" s="49">
        <f t="shared" si="180"/>
        <v>1</v>
      </c>
      <c r="AF5010" s="276"/>
      <c r="AG5010" s="17">
        <v>0</v>
      </c>
      <c r="AH5010" s="276">
        <v>0</v>
      </c>
      <c r="AI5010" s="276">
        <v>4.26</v>
      </c>
      <c r="AJ5010" s="44">
        <v>4.26</v>
      </c>
      <c r="AK5010" s="158">
        <v>4.26</v>
      </c>
      <c r="AL5010" s="151">
        <v>4.26</v>
      </c>
      <c r="AM5010" s="147">
        <f t="shared" si="179"/>
        <v>8.52</v>
      </c>
      <c r="AN5010" t="s">
        <v>255</v>
      </c>
      <c r="AO5010" s="148" t="s">
        <v>1045</v>
      </c>
      <c r="AP5010" t="s">
        <v>1157</v>
      </c>
      <c r="AQ5010" s="282"/>
    </row>
    <row r="5011" spans="1:43" customFormat="1" ht="15" customHeight="1" x14ac:dyDescent="0.3">
      <c r="A5011" s="371" t="s">
        <v>8323</v>
      </c>
      <c r="B5011" t="s">
        <v>8324</v>
      </c>
      <c r="C5011" s="148" t="s">
        <v>8841</v>
      </c>
      <c r="D5011" t="s">
        <v>8842</v>
      </c>
      <c r="E5011" s="148" t="s">
        <v>8843</v>
      </c>
      <c r="F5011" t="s">
        <v>8844</v>
      </c>
      <c r="G5011" s="372">
        <v>171103</v>
      </c>
      <c r="H5011" t="s">
        <v>8907</v>
      </c>
      <c r="K5011" s="155" t="s">
        <v>8908</v>
      </c>
      <c r="L5011" s="148" t="s">
        <v>8909</v>
      </c>
      <c r="M5011" s="1" t="s">
        <v>8910</v>
      </c>
      <c r="N5011" s="457">
        <v>0</v>
      </c>
      <c r="O5011" s="458">
        <v>174</v>
      </c>
      <c r="P5011" s="374">
        <v>174</v>
      </c>
      <c r="Q5011" s="374">
        <v>174</v>
      </c>
      <c r="R5011" s="374">
        <v>174</v>
      </c>
      <c r="S5011" s="374">
        <v>174</v>
      </c>
      <c r="T5011" t="s">
        <v>407</v>
      </c>
      <c r="U5011" t="str">
        <f>VLOOKUP(T5011,[8]Votes!$A$1:$E$234,3,FALSE)</f>
        <v>019 Ministry of Water and Environment</v>
      </c>
      <c r="V5011" t="s">
        <v>8911</v>
      </c>
      <c r="W5011" s="45">
        <v>1</v>
      </c>
      <c r="X5011" s="45">
        <v>1</v>
      </c>
      <c r="Y5011" s="45">
        <v>1</v>
      </c>
      <c r="Z5011" s="45">
        <v>1</v>
      </c>
      <c r="AA5011" s="45">
        <v>1</v>
      </c>
      <c r="AB5011" s="45">
        <v>1</v>
      </c>
      <c r="AC5011" s="150">
        <v>1</v>
      </c>
      <c r="AD5011" s="150">
        <v>1</v>
      </c>
      <c r="AE5011" s="49">
        <f t="shared" si="180"/>
        <v>1</v>
      </c>
      <c r="AF5011" s="276"/>
      <c r="AG5011" s="17">
        <v>0</v>
      </c>
      <c r="AH5011" s="276">
        <v>0</v>
      </c>
      <c r="AI5011" s="276">
        <v>0</v>
      </c>
      <c r="AJ5011" s="44">
        <v>27</v>
      </c>
      <c r="AK5011" s="158">
        <v>28.8</v>
      </c>
      <c r="AL5011" s="151">
        <v>28.8</v>
      </c>
      <c r="AM5011" s="147">
        <f t="shared" si="179"/>
        <v>57.6</v>
      </c>
      <c r="AN5011" t="s">
        <v>407</v>
      </c>
      <c r="AO5011" s="148" t="s">
        <v>409</v>
      </c>
      <c r="AP5011" t="s">
        <v>8912</v>
      </c>
      <c r="AQ5011" s="223"/>
    </row>
    <row r="5012" spans="1:43" customFormat="1" ht="15" customHeight="1" x14ac:dyDescent="0.3">
      <c r="A5012" s="371" t="s">
        <v>8323</v>
      </c>
      <c r="B5012" t="s">
        <v>8324</v>
      </c>
      <c r="C5012" s="148" t="s">
        <v>8841</v>
      </c>
      <c r="D5012" t="s">
        <v>8842</v>
      </c>
      <c r="E5012" s="148" t="s">
        <v>8843</v>
      </c>
      <c r="F5012" t="s">
        <v>8844</v>
      </c>
      <c r="G5012" s="372">
        <v>171103</v>
      </c>
      <c r="H5012" t="s">
        <v>8907</v>
      </c>
      <c r="K5012" s="155" t="s">
        <v>8908</v>
      </c>
      <c r="L5012" s="148" t="s">
        <v>8909</v>
      </c>
      <c r="M5012" s="1" t="s">
        <v>8910</v>
      </c>
      <c r="N5012" s="457">
        <v>0</v>
      </c>
      <c r="O5012" s="458">
        <v>174</v>
      </c>
      <c r="P5012" s="374">
        <v>174</v>
      </c>
      <c r="Q5012" s="374">
        <v>174</v>
      </c>
      <c r="R5012" s="374">
        <v>174</v>
      </c>
      <c r="S5012" s="374">
        <v>174</v>
      </c>
      <c r="T5012" t="s">
        <v>92</v>
      </c>
      <c r="U5012" t="str">
        <f>VLOOKUP(T5012,[8]Votes!$A$1:$E$234,3,FALSE)</f>
        <v>010 Ministry of Agriculture, Animal &amp; Fisheries</v>
      </c>
      <c r="V5012" t="s">
        <v>8913</v>
      </c>
      <c r="W5012" s="45">
        <v>1</v>
      </c>
      <c r="X5012" s="45">
        <v>1</v>
      </c>
      <c r="Y5012" s="45">
        <v>1</v>
      </c>
      <c r="Z5012" s="45">
        <v>1</v>
      </c>
      <c r="AA5012" s="45">
        <v>1</v>
      </c>
      <c r="AB5012" s="45">
        <v>1</v>
      </c>
      <c r="AC5012" s="150">
        <v>1</v>
      </c>
      <c r="AD5012" s="150">
        <v>1</v>
      </c>
      <c r="AE5012" s="49">
        <f t="shared" si="180"/>
        <v>1</v>
      </c>
      <c r="AF5012" s="276"/>
      <c r="AG5012" s="17">
        <v>0</v>
      </c>
      <c r="AH5012" s="276">
        <v>0</v>
      </c>
      <c r="AI5012" s="276">
        <v>3</v>
      </c>
      <c r="AJ5012" s="44">
        <v>3</v>
      </c>
      <c r="AK5012" s="158">
        <v>3</v>
      </c>
      <c r="AL5012" s="151">
        <v>3</v>
      </c>
      <c r="AM5012" s="147">
        <f t="shared" si="179"/>
        <v>6</v>
      </c>
      <c r="AN5012" t="s">
        <v>92</v>
      </c>
      <c r="AO5012" s="148" t="s">
        <v>118</v>
      </c>
      <c r="AP5012" t="s">
        <v>8914</v>
      </c>
      <c r="AQ5012" s="282"/>
    </row>
    <row r="5013" spans="1:43" customFormat="1" ht="15" customHeight="1" x14ac:dyDescent="0.3">
      <c r="A5013" s="371" t="s">
        <v>8323</v>
      </c>
      <c r="B5013" t="s">
        <v>8324</v>
      </c>
      <c r="C5013" s="148" t="s">
        <v>8841</v>
      </c>
      <c r="D5013" t="s">
        <v>8842</v>
      </c>
      <c r="E5013" s="148" t="s">
        <v>8843</v>
      </c>
      <c r="F5013" t="s">
        <v>8844</v>
      </c>
      <c r="G5013" s="372">
        <v>171103</v>
      </c>
      <c r="H5013" t="s">
        <v>8907</v>
      </c>
      <c r="K5013" s="155" t="s">
        <v>8908</v>
      </c>
      <c r="L5013" s="148" t="s">
        <v>8909</v>
      </c>
      <c r="M5013" s="1" t="s">
        <v>8910</v>
      </c>
      <c r="N5013" s="457">
        <v>0</v>
      </c>
      <c r="O5013" s="458">
        <v>174</v>
      </c>
      <c r="P5013" s="374">
        <v>174</v>
      </c>
      <c r="Q5013" s="374">
        <v>174</v>
      </c>
      <c r="R5013" s="374">
        <v>174</v>
      </c>
      <c r="S5013" s="374">
        <v>174</v>
      </c>
      <c r="T5013" t="s">
        <v>407</v>
      </c>
      <c r="U5013" t="str">
        <f>VLOOKUP(T5013,[8]Votes!$A$1:$E$234,3,FALSE)</f>
        <v>019 Ministry of Water and Environment</v>
      </c>
      <c r="V5013" t="s">
        <v>8915</v>
      </c>
      <c r="W5013" s="45">
        <v>1</v>
      </c>
      <c r="X5013" s="45">
        <v>1</v>
      </c>
      <c r="Y5013" s="45">
        <v>1</v>
      </c>
      <c r="Z5013" s="45">
        <v>0</v>
      </c>
      <c r="AA5013" s="45">
        <v>1</v>
      </c>
      <c r="AB5013" s="45">
        <v>1</v>
      </c>
      <c r="AC5013" s="150">
        <v>1</v>
      </c>
      <c r="AD5013" s="150">
        <v>1</v>
      </c>
      <c r="AE5013" s="49">
        <f t="shared" si="180"/>
        <v>0.875</v>
      </c>
      <c r="AF5013" s="276">
        <v>1</v>
      </c>
      <c r="AG5013" s="17">
        <v>0</v>
      </c>
      <c r="AH5013" s="276">
        <v>0</v>
      </c>
      <c r="AI5013" s="276">
        <v>0</v>
      </c>
      <c r="AJ5013" s="44">
        <v>15.099181210563984</v>
      </c>
      <c r="AK5013" s="158">
        <v>18</v>
      </c>
      <c r="AL5013" s="151">
        <v>20.90081878942965</v>
      </c>
      <c r="AM5013" s="147">
        <f t="shared" si="179"/>
        <v>38.90081878942965</v>
      </c>
      <c r="AN5013" t="s">
        <v>407</v>
      </c>
      <c r="AO5013" s="148" t="s">
        <v>409</v>
      </c>
      <c r="AP5013" t="s">
        <v>8916</v>
      </c>
      <c r="AQ5013" s="47"/>
    </row>
    <row r="5014" spans="1:43" customFormat="1" ht="15" customHeight="1" x14ac:dyDescent="0.3">
      <c r="A5014" s="371" t="s">
        <v>8323</v>
      </c>
      <c r="B5014" t="s">
        <v>8324</v>
      </c>
      <c r="C5014" s="148" t="s">
        <v>8841</v>
      </c>
      <c r="D5014" t="s">
        <v>8842</v>
      </c>
      <c r="E5014" s="148" t="s">
        <v>8843</v>
      </c>
      <c r="F5014" t="s">
        <v>8844</v>
      </c>
      <c r="G5014" s="372">
        <v>171103</v>
      </c>
      <c r="H5014" t="s">
        <v>8907</v>
      </c>
      <c r="K5014" s="155" t="s">
        <v>8908</v>
      </c>
      <c r="L5014" s="148" t="s">
        <v>8909</v>
      </c>
      <c r="M5014" s="1" t="s">
        <v>8910</v>
      </c>
      <c r="N5014" s="457">
        <v>0</v>
      </c>
      <c r="O5014" s="458">
        <v>174</v>
      </c>
      <c r="P5014" s="374">
        <v>174</v>
      </c>
      <c r="Q5014" s="374">
        <v>174</v>
      </c>
      <c r="R5014" s="374">
        <v>174</v>
      </c>
      <c r="S5014" s="374">
        <v>174</v>
      </c>
      <c r="T5014" t="s">
        <v>407</v>
      </c>
      <c r="U5014" t="str">
        <f>VLOOKUP(T5014,[8]Votes!$A$1:$E$234,3,FALSE)</f>
        <v>019 Ministry of Water and Environment</v>
      </c>
      <c r="V5014" t="s">
        <v>8917</v>
      </c>
      <c r="W5014" s="45">
        <v>1</v>
      </c>
      <c r="X5014" s="45">
        <v>1</v>
      </c>
      <c r="Y5014" s="45">
        <v>1</v>
      </c>
      <c r="Z5014" s="45">
        <v>1</v>
      </c>
      <c r="AA5014" s="45">
        <v>1</v>
      </c>
      <c r="AB5014" s="45">
        <v>1</v>
      </c>
      <c r="AC5014" s="150">
        <v>1</v>
      </c>
      <c r="AD5014" s="150">
        <v>1</v>
      </c>
      <c r="AE5014" s="49">
        <f t="shared" si="180"/>
        <v>1</v>
      </c>
      <c r="AF5014" s="276">
        <v>1</v>
      </c>
      <c r="AG5014" s="17">
        <v>0</v>
      </c>
      <c r="AH5014" s="276">
        <v>29.877934500195803</v>
      </c>
      <c r="AI5014" s="276">
        <v>0</v>
      </c>
      <c r="AJ5014" s="44">
        <v>39.061032749902097</v>
      </c>
      <c r="AK5014" s="158">
        <v>0</v>
      </c>
      <c r="AL5014" s="151">
        <f>39.05+54</f>
        <v>93.05</v>
      </c>
      <c r="AM5014" s="147">
        <f t="shared" ref="AM5014:AM5045" si="181">SUM(AK5014:AL5014)</f>
        <v>93.05</v>
      </c>
      <c r="AN5014" t="s">
        <v>407</v>
      </c>
      <c r="AO5014" s="148" t="s">
        <v>409</v>
      </c>
      <c r="AP5014" t="s">
        <v>8916</v>
      </c>
      <c r="AQ5014" s="47"/>
    </row>
    <row r="5015" spans="1:43" customFormat="1" ht="15" customHeight="1" x14ac:dyDescent="0.3">
      <c r="A5015" s="371" t="s">
        <v>8323</v>
      </c>
      <c r="B5015" t="s">
        <v>8324</v>
      </c>
      <c r="C5015" s="148" t="s">
        <v>8841</v>
      </c>
      <c r="D5015" t="s">
        <v>8842</v>
      </c>
      <c r="E5015" s="148" t="s">
        <v>8843</v>
      </c>
      <c r="F5015" t="s">
        <v>8844</v>
      </c>
      <c r="G5015" s="372">
        <v>171103</v>
      </c>
      <c r="H5015" t="s">
        <v>8907</v>
      </c>
      <c r="K5015" s="155" t="s">
        <v>8918</v>
      </c>
      <c r="L5015" s="148" t="s">
        <v>8919</v>
      </c>
      <c r="M5015" s="1" t="s">
        <v>8920</v>
      </c>
      <c r="N5015" s="457"/>
      <c r="O5015" s="458">
        <v>174</v>
      </c>
      <c r="P5015" s="374">
        <v>174</v>
      </c>
      <c r="Q5015" s="374">
        <v>174</v>
      </c>
      <c r="R5015" s="374">
        <v>174</v>
      </c>
      <c r="S5015" s="374">
        <v>174</v>
      </c>
      <c r="T5015" t="s">
        <v>407</v>
      </c>
      <c r="U5015" t="str">
        <f>VLOOKUP(T5015,[8]Votes!$A$1:$E$234,3,FALSE)</f>
        <v>019 Ministry of Water and Environment</v>
      </c>
      <c r="V5015" t="s">
        <v>8921</v>
      </c>
      <c r="W5015" s="45">
        <v>1</v>
      </c>
      <c r="X5015" s="45">
        <v>1</v>
      </c>
      <c r="Y5015" s="45">
        <v>1</v>
      </c>
      <c r="Z5015" s="45">
        <v>1</v>
      </c>
      <c r="AA5015" s="45">
        <v>1</v>
      </c>
      <c r="AB5015" s="45">
        <v>1</v>
      </c>
      <c r="AC5015" s="150">
        <v>1</v>
      </c>
      <c r="AD5015" s="150">
        <v>1</v>
      </c>
      <c r="AE5015" s="49">
        <f t="shared" si="180"/>
        <v>1</v>
      </c>
      <c r="AF5015" s="276"/>
      <c r="AG5015" s="17">
        <v>0</v>
      </c>
      <c r="AH5015" s="276">
        <v>10</v>
      </c>
      <c r="AI5015" s="276">
        <v>0</v>
      </c>
      <c r="AJ5015" s="44">
        <v>37.6</v>
      </c>
      <c r="AK5015" s="158">
        <v>0</v>
      </c>
      <c r="AL5015" s="151">
        <v>0</v>
      </c>
      <c r="AM5015" s="147">
        <f t="shared" si="181"/>
        <v>0</v>
      </c>
      <c r="AN5015" t="s">
        <v>407</v>
      </c>
      <c r="AO5015" s="148" t="s">
        <v>409</v>
      </c>
      <c r="AP5015" t="s">
        <v>1157</v>
      </c>
      <c r="AQ5015" s="47"/>
    </row>
    <row r="5016" spans="1:43" customFormat="1" ht="15" customHeight="1" x14ac:dyDescent="0.3">
      <c r="A5016" s="371" t="s">
        <v>8323</v>
      </c>
      <c r="B5016" t="s">
        <v>8324</v>
      </c>
      <c r="C5016" s="148" t="s">
        <v>8841</v>
      </c>
      <c r="D5016" t="s">
        <v>8842</v>
      </c>
      <c r="E5016" s="148" t="s">
        <v>8843</v>
      </c>
      <c r="F5016" t="s">
        <v>8844</v>
      </c>
      <c r="G5016" s="372">
        <v>171103</v>
      </c>
      <c r="H5016" t="s">
        <v>8907</v>
      </c>
      <c r="K5016" s="155" t="s">
        <v>8918</v>
      </c>
      <c r="L5016" s="148" t="s">
        <v>8919</v>
      </c>
      <c r="M5016" s="1" t="s">
        <v>8920</v>
      </c>
      <c r="N5016" s="457"/>
      <c r="O5016" s="458">
        <v>174</v>
      </c>
      <c r="P5016" s="374">
        <v>174</v>
      </c>
      <c r="Q5016" s="374">
        <v>174</v>
      </c>
      <c r="R5016" s="374">
        <v>40</v>
      </c>
      <c r="S5016" s="374">
        <v>40</v>
      </c>
      <c r="T5016" t="s">
        <v>407</v>
      </c>
      <c r="U5016" t="str">
        <f>VLOOKUP(T5016,[8]Votes!$A$1:$E$234,3,FALSE)</f>
        <v>019 Ministry of Water and Environment</v>
      </c>
      <c r="V5016" t="s">
        <v>8922</v>
      </c>
      <c r="W5016" s="45">
        <v>1</v>
      </c>
      <c r="X5016" s="45">
        <v>1</v>
      </c>
      <c r="Y5016" s="45">
        <v>1</v>
      </c>
      <c r="Z5016" s="45">
        <v>1</v>
      </c>
      <c r="AA5016" s="45">
        <v>1</v>
      </c>
      <c r="AB5016" s="45">
        <v>1</v>
      </c>
      <c r="AC5016" s="150">
        <v>1</v>
      </c>
      <c r="AD5016" s="150">
        <v>1</v>
      </c>
      <c r="AE5016" s="49">
        <f t="shared" si="180"/>
        <v>1</v>
      </c>
      <c r="AF5016" s="276"/>
      <c r="AG5016" s="17">
        <v>0</v>
      </c>
      <c r="AH5016" s="276">
        <v>0</v>
      </c>
      <c r="AI5016" s="276">
        <v>0</v>
      </c>
      <c r="AJ5016" s="44">
        <v>0</v>
      </c>
      <c r="AK5016" s="158">
        <v>0</v>
      </c>
      <c r="AL5016" s="151">
        <v>22.69</v>
      </c>
      <c r="AM5016" s="147">
        <f t="shared" si="181"/>
        <v>22.69</v>
      </c>
      <c r="AN5016" t="s">
        <v>407</v>
      </c>
      <c r="AO5016" s="148" t="s">
        <v>409</v>
      </c>
      <c r="AP5016" t="s">
        <v>8923</v>
      </c>
      <c r="AQ5016" s="47"/>
    </row>
    <row r="5017" spans="1:43" customFormat="1" ht="15" customHeight="1" x14ac:dyDescent="0.3">
      <c r="A5017" s="371" t="s">
        <v>8323</v>
      </c>
      <c r="B5017" t="s">
        <v>8324</v>
      </c>
      <c r="C5017" s="148" t="s">
        <v>8841</v>
      </c>
      <c r="D5017" t="s">
        <v>8842</v>
      </c>
      <c r="E5017" s="148" t="s">
        <v>8843</v>
      </c>
      <c r="F5017" t="s">
        <v>8844</v>
      </c>
      <c r="G5017" s="372">
        <v>171103</v>
      </c>
      <c r="H5017" t="s">
        <v>8907</v>
      </c>
      <c r="K5017" s="155" t="s">
        <v>8918</v>
      </c>
      <c r="L5017" s="148" t="s">
        <v>8919</v>
      </c>
      <c r="M5017" s="1" t="s">
        <v>8920</v>
      </c>
      <c r="N5017" s="457"/>
      <c r="O5017" s="458">
        <v>174</v>
      </c>
      <c r="P5017" s="374">
        <v>174</v>
      </c>
      <c r="Q5017" s="374">
        <v>174</v>
      </c>
      <c r="R5017" s="374">
        <v>174</v>
      </c>
      <c r="S5017" s="374">
        <v>174</v>
      </c>
      <c r="T5017" t="s">
        <v>407</v>
      </c>
      <c r="U5017" t="str">
        <f>VLOOKUP(T5017,[8]Votes!$A$1:$E$234,3,FALSE)</f>
        <v>019 Ministry of Water and Environment</v>
      </c>
      <c r="V5017" t="s">
        <v>8924</v>
      </c>
      <c r="W5017" s="45">
        <v>1</v>
      </c>
      <c r="X5017" s="45">
        <v>1</v>
      </c>
      <c r="Y5017" s="45">
        <v>1</v>
      </c>
      <c r="Z5017" s="45">
        <v>1</v>
      </c>
      <c r="AA5017" s="45">
        <v>1</v>
      </c>
      <c r="AB5017" s="45">
        <v>1</v>
      </c>
      <c r="AC5017" s="150">
        <v>1</v>
      </c>
      <c r="AD5017" s="150">
        <v>1</v>
      </c>
      <c r="AE5017" s="49">
        <f t="shared" ref="AE5017:AE5048" si="182">SUM(W5017:AD5017)/8</f>
        <v>1</v>
      </c>
      <c r="AF5017" s="276">
        <v>1</v>
      </c>
      <c r="AG5017" s="17">
        <v>0</v>
      </c>
      <c r="AH5017" s="276">
        <v>0</v>
      </c>
      <c r="AI5017" s="276">
        <v>0</v>
      </c>
      <c r="AJ5017" s="44">
        <v>0</v>
      </c>
      <c r="AK5017" s="158">
        <v>56.622884289233845</v>
      </c>
      <c r="AL5017" s="151">
        <v>68.577115710766194</v>
      </c>
      <c r="AM5017" s="147">
        <f t="shared" si="181"/>
        <v>125.20000000000005</v>
      </c>
      <c r="AN5017" t="s">
        <v>407</v>
      </c>
      <c r="AO5017" s="148" t="s">
        <v>409</v>
      </c>
      <c r="AP5017" t="s">
        <v>8925</v>
      </c>
      <c r="AQ5017" s="47"/>
    </row>
    <row r="5018" spans="1:43" customFormat="1" ht="15" customHeight="1" x14ac:dyDescent="0.3">
      <c r="A5018" s="371" t="s">
        <v>8323</v>
      </c>
      <c r="B5018" t="s">
        <v>8324</v>
      </c>
      <c r="C5018" s="148" t="s">
        <v>8841</v>
      </c>
      <c r="D5018" t="s">
        <v>8842</v>
      </c>
      <c r="E5018" s="148" t="s">
        <v>8843</v>
      </c>
      <c r="F5018" t="s">
        <v>8844</v>
      </c>
      <c r="G5018" s="372">
        <v>171103</v>
      </c>
      <c r="H5018" t="s">
        <v>8907</v>
      </c>
      <c r="K5018" s="155" t="s">
        <v>8926</v>
      </c>
      <c r="L5018" s="148" t="s">
        <v>8927</v>
      </c>
      <c r="M5018" s="1" t="s">
        <v>8928</v>
      </c>
      <c r="N5018" s="457">
        <v>0</v>
      </c>
      <c r="O5018" s="458">
        <v>174</v>
      </c>
      <c r="P5018" s="374">
        <v>174</v>
      </c>
      <c r="Q5018" s="374">
        <v>174</v>
      </c>
      <c r="R5018" s="374">
        <v>174</v>
      </c>
      <c r="S5018" s="374">
        <v>174</v>
      </c>
      <c r="T5018" t="s">
        <v>407</v>
      </c>
      <c r="U5018" t="str">
        <f>VLOOKUP(T5018,[8]Votes!$A$1:$E$234,3,FALSE)</f>
        <v>019 Ministry of Water and Environment</v>
      </c>
      <c r="V5018" t="s">
        <v>8929</v>
      </c>
      <c r="W5018" s="45">
        <v>1</v>
      </c>
      <c r="X5018" s="45">
        <v>1</v>
      </c>
      <c r="Y5018" s="45">
        <v>1</v>
      </c>
      <c r="Z5018" s="45">
        <v>1</v>
      </c>
      <c r="AA5018" s="45">
        <v>1</v>
      </c>
      <c r="AB5018" s="45">
        <v>1</v>
      </c>
      <c r="AC5018" s="150">
        <v>1</v>
      </c>
      <c r="AD5018" s="150">
        <v>1</v>
      </c>
      <c r="AE5018" s="49">
        <f t="shared" si="182"/>
        <v>1</v>
      </c>
      <c r="AF5018" s="276"/>
      <c r="AG5018" s="17">
        <v>0</v>
      </c>
      <c r="AH5018" s="276">
        <v>0</v>
      </c>
      <c r="AI5018" s="276">
        <v>0</v>
      </c>
      <c r="AJ5018" s="44">
        <v>10</v>
      </c>
      <c r="AK5018" s="158">
        <v>18</v>
      </c>
      <c r="AL5018" s="151">
        <v>26</v>
      </c>
      <c r="AM5018" s="147">
        <f t="shared" si="181"/>
        <v>44</v>
      </c>
      <c r="AN5018" t="s">
        <v>407</v>
      </c>
      <c r="AO5018" s="148" t="s">
        <v>409</v>
      </c>
      <c r="AP5018" t="s">
        <v>255</v>
      </c>
      <c r="AQ5018" s="282"/>
    </row>
    <row r="5019" spans="1:43" customFormat="1" ht="15" customHeight="1" x14ac:dyDescent="0.3">
      <c r="A5019" s="371" t="s">
        <v>8323</v>
      </c>
      <c r="B5019" t="s">
        <v>8324</v>
      </c>
      <c r="C5019" s="148" t="s">
        <v>8841</v>
      </c>
      <c r="D5019" t="s">
        <v>8842</v>
      </c>
      <c r="E5019" s="148" t="s">
        <v>8843</v>
      </c>
      <c r="F5019" t="s">
        <v>8844</v>
      </c>
      <c r="G5019" s="372">
        <v>171104</v>
      </c>
      <c r="H5019" t="s">
        <v>8930</v>
      </c>
      <c r="K5019" s="155" t="s">
        <v>8931</v>
      </c>
      <c r="L5019" s="148" t="s">
        <v>8932</v>
      </c>
      <c r="M5019" s="1" t="s">
        <v>8933</v>
      </c>
      <c r="N5019" s="457">
        <v>5504</v>
      </c>
      <c r="O5019" s="458">
        <v>5504</v>
      </c>
      <c r="P5019" s="373">
        <v>5504</v>
      </c>
      <c r="Q5019" s="374">
        <v>5504</v>
      </c>
      <c r="R5019" s="373">
        <v>5504</v>
      </c>
      <c r="S5019" s="374">
        <v>5504</v>
      </c>
      <c r="T5019" t="s">
        <v>8934</v>
      </c>
      <c r="U5019" t="e">
        <f>VLOOKUP(T5019,[8]Votes!$A$1:$E$234,3,FALSE)</f>
        <v>#N/A</v>
      </c>
      <c r="W5019" s="45"/>
      <c r="X5019" s="45"/>
      <c r="Y5019" s="45"/>
      <c r="Z5019" s="45"/>
      <c r="AA5019" s="45"/>
      <c r="AB5019" s="45"/>
      <c r="AC5019" s="150">
        <v>0</v>
      </c>
      <c r="AD5019" s="150">
        <v>0</v>
      </c>
      <c r="AE5019" s="49">
        <f t="shared" si="182"/>
        <v>0</v>
      </c>
      <c r="AF5019" s="278"/>
      <c r="AG5019" s="17">
        <v>0</v>
      </c>
      <c r="AH5019" s="278"/>
      <c r="AI5019" s="278"/>
      <c r="AJ5019" s="4"/>
      <c r="AK5019" s="158">
        <v>0</v>
      </c>
      <c r="AL5019" s="151">
        <v>0</v>
      </c>
      <c r="AM5019" s="147">
        <f t="shared" si="181"/>
        <v>0</v>
      </c>
      <c r="AO5019" s="148"/>
      <c r="AQ5019" s="282"/>
    </row>
    <row r="5020" spans="1:43" customFormat="1" ht="15" customHeight="1" x14ac:dyDescent="0.3">
      <c r="A5020" s="371" t="s">
        <v>8323</v>
      </c>
      <c r="B5020" t="s">
        <v>8324</v>
      </c>
      <c r="C5020" s="148" t="s">
        <v>8841</v>
      </c>
      <c r="D5020" t="s">
        <v>8842</v>
      </c>
      <c r="E5020" s="148" t="s">
        <v>8843</v>
      </c>
      <c r="F5020" t="s">
        <v>8844</v>
      </c>
      <c r="G5020" s="372">
        <v>171104</v>
      </c>
      <c r="H5020" t="s">
        <v>8930</v>
      </c>
      <c r="K5020" s="155" t="s">
        <v>8931</v>
      </c>
      <c r="L5020" s="148" t="s">
        <v>8932</v>
      </c>
      <c r="M5020" s="1" t="s">
        <v>8933</v>
      </c>
      <c r="N5020" s="457">
        <v>0</v>
      </c>
      <c r="O5020" s="458">
        <v>5504</v>
      </c>
      <c r="P5020" s="373">
        <v>5504</v>
      </c>
      <c r="Q5020" s="374">
        <v>5504</v>
      </c>
      <c r="R5020" s="373">
        <v>5504</v>
      </c>
      <c r="S5020" s="374">
        <v>5504</v>
      </c>
      <c r="T5020" t="s">
        <v>255</v>
      </c>
      <c r="U5020" t="str">
        <f>VLOOKUP(T5020,[8]Votes!$A$1:$E$234,3,FALSE)</f>
        <v>500 501-850 Local Governments</v>
      </c>
      <c r="V5020" t="s">
        <v>8935</v>
      </c>
      <c r="W5020" s="45">
        <v>1</v>
      </c>
      <c r="X5020" s="45">
        <v>1</v>
      </c>
      <c r="Y5020" s="45">
        <v>1</v>
      </c>
      <c r="Z5020" s="45">
        <v>1</v>
      </c>
      <c r="AA5020" s="45">
        <v>0</v>
      </c>
      <c r="AB5020" s="45">
        <v>1</v>
      </c>
      <c r="AC5020" s="150">
        <v>1</v>
      </c>
      <c r="AD5020" s="150">
        <v>0</v>
      </c>
      <c r="AE5020" s="49">
        <f t="shared" si="182"/>
        <v>0.75</v>
      </c>
      <c r="AF5020" s="276"/>
      <c r="AG5020" s="17">
        <v>0</v>
      </c>
      <c r="AH5020" s="276">
        <v>0</v>
      </c>
      <c r="AI5020" s="276">
        <v>0</v>
      </c>
      <c r="AJ5020" s="44">
        <v>0</v>
      </c>
      <c r="AK5020" s="158">
        <v>0</v>
      </c>
      <c r="AL5020" s="151">
        <v>0</v>
      </c>
      <c r="AM5020" s="147">
        <f t="shared" si="181"/>
        <v>0</v>
      </c>
      <c r="AN5020" t="s">
        <v>255</v>
      </c>
      <c r="AO5020" s="148" t="s">
        <v>1045</v>
      </c>
      <c r="AP5020" t="s">
        <v>8868</v>
      </c>
      <c r="AQ5020" s="47"/>
    </row>
    <row r="5021" spans="1:43" customFormat="1" ht="15" customHeight="1" x14ac:dyDescent="0.3">
      <c r="A5021" s="371" t="s">
        <v>8323</v>
      </c>
      <c r="B5021" t="s">
        <v>8324</v>
      </c>
      <c r="C5021" s="148" t="s">
        <v>8841</v>
      </c>
      <c r="D5021" t="s">
        <v>8842</v>
      </c>
      <c r="E5021" s="148" t="s">
        <v>8843</v>
      </c>
      <c r="F5021" t="s">
        <v>8844</v>
      </c>
      <c r="G5021" s="372">
        <v>171104</v>
      </c>
      <c r="H5021" t="s">
        <v>8930</v>
      </c>
      <c r="K5021" s="155" t="s">
        <v>8931</v>
      </c>
      <c r="L5021" s="148" t="s">
        <v>8932</v>
      </c>
      <c r="M5021" s="1" t="s">
        <v>8933</v>
      </c>
      <c r="N5021" s="457">
        <v>0</v>
      </c>
      <c r="O5021" s="458">
        <v>5504</v>
      </c>
      <c r="P5021" s="373">
        <v>5504</v>
      </c>
      <c r="Q5021" s="374">
        <v>5504</v>
      </c>
      <c r="R5021" s="373">
        <v>5504</v>
      </c>
      <c r="S5021" s="374">
        <v>5504</v>
      </c>
      <c r="T5021" t="s">
        <v>1332</v>
      </c>
      <c r="U5021" t="str">
        <f>VLOOKUP(T5021,[8]Votes!$A$1:$E$234,3,FALSE)</f>
        <v>001 Office of the President</v>
      </c>
      <c r="V5021" t="s">
        <v>8936</v>
      </c>
      <c r="W5021" s="45">
        <v>1</v>
      </c>
      <c r="X5021" s="45">
        <v>1</v>
      </c>
      <c r="Y5021" s="45">
        <v>1</v>
      </c>
      <c r="Z5021" s="45">
        <v>1</v>
      </c>
      <c r="AA5021" s="45">
        <v>0</v>
      </c>
      <c r="AB5021" s="45">
        <v>1</v>
      </c>
      <c r="AC5021" s="150">
        <v>1</v>
      </c>
      <c r="AD5021" s="150">
        <v>0</v>
      </c>
      <c r="AE5021" s="49">
        <f t="shared" si="182"/>
        <v>0.75</v>
      </c>
      <c r="AF5021" s="276"/>
      <c r="AG5021" s="17">
        <v>0</v>
      </c>
      <c r="AH5021" s="276">
        <v>0</v>
      </c>
      <c r="AI5021" s="276">
        <v>0</v>
      </c>
      <c r="AJ5021" s="44">
        <v>0</v>
      </c>
      <c r="AK5021" s="158">
        <v>0</v>
      </c>
      <c r="AL5021" s="151">
        <v>0</v>
      </c>
      <c r="AM5021" s="147">
        <f t="shared" si="181"/>
        <v>0</v>
      </c>
      <c r="AN5021" t="s">
        <v>1332</v>
      </c>
      <c r="AO5021" s="148" t="s">
        <v>1334</v>
      </c>
      <c r="AP5021" t="s">
        <v>8937</v>
      </c>
      <c r="AQ5021" s="47"/>
    </row>
    <row r="5022" spans="1:43" customFormat="1" ht="15" customHeight="1" x14ac:dyDescent="0.3">
      <c r="A5022" s="371" t="s">
        <v>8323</v>
      </c>
      <c r="B5022" t="s">
        <v>8324</v>
      </c>
      <c r="C5022" s="148" t="s">
        <v>8841</v>
      </c>
      <c r="D5022" t="s">
        <v>8842</v>
      </c>
      <c r="E5022" s="148" t="s">
        <v>8843</v>
      </c>
      <c r="F5022" t="s">
        <v>8844</v>
      </c>
      <c r="G5022" s="372">
        <v>171105</v>
      </c>
      <c r="H5022" t="s">
        <v>8938</v>
      </c>
      <c r="K5022" s="155" t="s">
        <v>8939</v>
      </c>
      <c r="L5022" s="148" t="s">
        <v>8940</v>
      </c>
      <c r="M5022" s="1" t="s">
        <v>8933</v>
      </c>
      <c r="N5022" s="457" t="s">
        <v>271</v>
      </c>
      <c r="O5022" s="458">
        <v>10</v>
      </c>
      <c r="P5022" s="373">
        <v>12</v>
      </c>
      <c r="Q5022" s="374">
        <v>14</v>
      </c>
      <c r="R5022" s="373">
        <v>18</v>
      </c>
      <c r="S5022" s="374">
        <v>20</v>
      </c>
      <c r="T5022" t="s">
        <v>8941</v>
      </c>
      <c r="U5022" t="e">
        <f>VLOOKUP(T5022,[8]Votes!$A$1:$E$234,3,FALSE)</f>
        <v>#N/A</v>
      </c>
      <c r="V5022" t="s">
        <v>8942</v>
      </c>
      <c r="W5022" s="45">
        <v>1</v>
      </c>
      <c r="X5022" s="45">
        <v>1</v>
      </c>
      <c r="Y5022" s="45">
        <v>1</v>
      </c>
      <c r="Z5022" s="45">
        <v>1</v>
      </c>
      <c r="AA5022" s="45">
        <v>0</v>
      </c>
      <c r="AB5022" s="45">
        <v>1</v>
      </c>
      <c r="AC5022" s="150">
        <v>1</v>
      </c>
      <c r="AD5022" s="150">
        <v>0</v>
      </c>
      <c r="AE5022" s="49">
        <f t="shared" si="182"/>
        <v>0.75</v>
      </c>
      <c r="AF5022" s="276"/>
      <c r="AG5022" s="17">
        <v>0</v>
      </c>
      <c r="AH5022" s="276">
        <v>0</v>
      </c>
      <c r="AI5022" s="276">
        <v>0</v>
      </c>
      <c r="AJ5022" s="44">
        <v>0</v>
      </c>
      <c r="AK5022" s="158">
        <v>0</v>
      </c>
      <c r="AL5022" s="151">
        <v>0</v>
      </c>
      <c r="AM5022" s="147">
        <f t="shared" si="181"/>
        <v>0</v>
      </c>
      <c r="AN5022" t="s">
        <v>67</v>
      </c>
      <c r="AO5022" s="148" t="s">
        <v>68</v>
      </c>
      <c r="AP5022" t="s">
        <v>92</v>
      </c>
      <c r="AQ5022" s="47"/>
    </row>
    <row r="5023" spans="1:43" customFormat="1" ht="15" customHeight="1" x14ac:dyDescent="0.3">
      <c r="A5023" s="371" t="s">
        <v>8323</v>
      </c>
      <c r="B5023" t="s">
        <v>8324</v>
      </c>
      <c r="C5023" s="148" t="s">
        <v>8841</v>
      </c>
      <c r="D5023" t="s">
        <v>8842</v>
      </c>
      <c r="E5023" s="148" t="s">
        <v>8843</v>
      </c>
      <c r="F5023" t="s">
        <v>8844</v>
      </c>
      <c r="G5023" s="372">
        <v>171105</v>
      </c>
      <c r="H5023" t="s">
        <v>8938</v>
      </c>
      <c r="K5023" s="155" t="s">
        <v>8939</v>
      </c>
      <c r="L5023" s="148" t="s">
        <v>8940</v>
      </c>
      <c r="M5023" s="1" t="s">
        <v>8933</v>
      </c>
      <c r="N5023" s="457">
        <v>0</v>
      </c>
      <c r="O5023" s="458">
        <v>5504</v>
      </c>
      <c r="P5023" s="374">
        <v>5504</v>
      </c>
      <c r="Q5023" s="374">
        <v>5504</v>
      </c>
      <c r="R5023" s="374">
        <v>5504</v>
      </c>
      <c r="S5023" s="374">
        <v>5504</v>
      </c>
      <c r="T5023" t="s">
        <v>92</v>
      </c>
      <c r="U5023" t="str">
        <f>VLOOKUP(T5023,[8]Votes!$A$1:$E$234,3,FALSE)</f>
        <v>010 Ministry of Agriculture, Animal &amp; Fisheries</v>
      </c>
      <c r="V5023" t="s">
        <v>8943</v>
      </c>
      <c r="W5023" s="45">
        <v>1</v>
      </c>
      <c r="X5023" s="45">
        <v>1</v>
      </c>
      <c r="Y5023" s="45">
        <v>1</v>
      </c>
      <c r="Z5023" s="45">
        <v>1</v>
      </c>
      <c r="AA5023" s="45">
        <v>0</v>
      </c>
      <c r="AB5023" s="45">
        <v>1</v>
      </c>
      <c r="AC5023" s="150">
        <v>1</v>
      </c>
      <c r="AD5023" s="150">
        <v>0</v>
      </c>
      <c r="AE5023" s="49">
        <f t="shared" si="182"/>
        <v>0.75</v>
      </c>
      <c r="AF5023" s="276"/>
      <c r="AG5023" s="17">
        <v>0</v>
      </c>
      <c r="AH5023" s="276">
        <v>0</v>
      </c>
      <c r="AI5023" s="276">
        <v>0</v>
      </c>
      <c r="AJ5023" s="44">
        <v>0</v>
      </c>
      <c r="AK5023" s="158">
        <v>0</v>
      </c>
      <c r="AL5023" s="151">
        <v>0</v>
      </c>
      <c r="AM5023" s="147">
        <f t="shared" si="181"/>
        <v>0</v>
      </c>
      <c r="AN5023" t="s">
        <v>92</v>
      </c>
      <c r="AO5023" s="148" t="s">
        <v>118</v>
      </c>
      <c r="AP5023" t="s">
        <v>255</v>
      </c>
      <c r="AQ5023" s="47"/>
    </row>
    <row r="5024" spans="1:43" customFormat="1" ht="15" customHeight="1" x14ac:dyDescent="0.3">
      <c r="A5024" s="371" t="s">
        <v>8323</v>
      </c>
      <c r="B5024" t="s">
        <v>8324</v>
      </c>
      <c r="C5024" s="148" t="s">
        <v>8841</v>
      </c>
      <c r="D5024" t="s">
        <v>8842</v>
      </c>
      <c r="E5024" s="148" t="s">
        <v>8843</v>
      </c>
      <c r="F5024" t="s">
        <v>8844</v>
      </c>
      <c r="G5024" s="372">
        <v>171105</v>
      </c>
      <c r="H5024" t="s">
        <v>8938</v>
      </c>
      <c r="K5024" s="155" t="s">
        <v>8939</v>
      </c>
      <c r="L5024" s="148" t="s">
        <v>8940</v>
      </c>
      <c r="M5024" s="1" t="s">
        <v>8933</v>
      </c>
      <c r="N5024" s="457">
        <v>0</v>
      </c>
      <c r="O5024" s="458">
        <v>5504</v>
      </c>
      <c r="P5024" s="374">
        <v>5504</v>
      </c>
      <c r="Q5024" s="374">
        <v>5504</v>
      </c>
      <c r="R5024" s="374">
        <v>5504</v>
      </c>
      <c r="S5024" s="374">
        <v>5504</v>
      </c>
      <c r="T5024" t="s">
        <v>921</v>
      </c>
      <c r="U5024" t="str">
        <f>VLOOKUP(T5024,[8]Votes!$A$1:$E$234,3,FALSE)</f>
        <v>008 Ministry of Finance, Planning &amp; Economic Dev.</v>
      </c>
      <c r="V5024" t="s">
        <v>8944</v>
      </c>
      <c r="W5024" s="45">
        <v>1</v>
      </c>
      <c r="X5024" s="45">
        <v>1</v>
      </c>
      <c r="Y5024" s="45">
        <v>1</v>
      </c>
      <c r="Z5024" s="45">
        <v>1</v>
      </c>
      <c r="AA5024" s="45">
        <v>0</v>
      </c>
      <c r="AB5024" s="45">
        <v>1</v>
      </c>
      <c r="AC5024" s="150">
        <v>1</v>
      </c>
      <c r="AD5024" s="150">
        <v>0</v>
      </c>
      <c r="AE5024" s="49">
        <f t="shared" si="182"/>
        <v>0.75</v>
      </c>
      <c r="AF5024" s="276"/>
      <c r="AG5024" s="17">
        <v>0</v>
      </c>
      <c r="AH5024" s="276">
        <v>0</v>
      </c>
      <c r="AI5024" s="276">
        <v>39.78</v>
      </c>
      <c r="AJ5024" s="44">
        <v>42.12</v>
      </c>
      <c r="AK5024" s="158">
        <v>0</v>
      </c>
      <c r="AL5024" s="151">
        <v>0</v>
      </c>
      <c r="AM5024" s="147">
        <f t="shared" si="181"/>
        <v>0</v>
      </c>
      <c r="AN5024" t="s">
        <v>921</v>
      </c>
      <c r="AO5024" s="148" t="s">
        <v>880</v>
      </c>
      <c r="AP5024" t="s">
        <v>8945</v>
      </c>
      <c r="AQ5024" s="47"/>
    </row>
    <row r="5025" spans="1:44" customFormat="1" ht="15" customHeight="1" x14ac:dyDescent="0.3">
      <c r="A5025" s="371" t="s">
        <v>8323</v>
      </c>
      <c r="B5025" t="s">
        <v>8324</v>
      </c>
      <c r="C5025" s="148" t="s">
        <v>8841</v>
      </c>
      <c r="D5025" t="s">
        <v>8842</v>
      </c>
      <c r="E5025" s="148" t="s">
        <v>8843</v>
      </c>
      <c r="F5025" t="s">
        <v>8844</v>
      </c>
      <c r="G5025" s="372">
        <v>171105</v>
      </c>
      <c r="H5025" t="s">
        <v>8938</v>
      </c>
      <c r="K5025" s="155" t="s">
        <v>8946</v>
      </c>
      <c r="L5025" s="148" t="s">
        <v>8947</v>
      </c>
      <c r="M5025" s="1" t="s">
        <v>8948</v>
      </c>
      <c r="N5025" s="457"/>
      <c r="O5025" s="458"/>
      <c r="P5025" s="373"/>
      <c r="Q5025" s="374"/>
      <c r="R5025" s="373"/>
      <c r="S5025" s="374"/>
      <c r="T5025" t="s">
        <v>570</v>
      </c>
      <c r="U5025" t="str">
        <f>VLOOKUP(T5025,[8]Votes!$A$1:$E$234,3,FALSE)</f>
        <v>012 Ministry of Lands, Housing &amp; Urban Development</v>
      </c>
      <c r="V5025" t="s">
        <v>8949</v>
      </c>
      <c r="W5025" s="45">
        <v>0</v>
      </c>
      <c r="X5025" s="45">
        <v>0</v>
      </c>
      <c r="Y5025" s="45">
        <v>0</v>
      </c>
      <c r="Z5025" s="45">
        <v>1</v>
      </c>
      <c r="AA5025" s="45">
        <v>0</v>
      </c>
      <c r="AB5025" s="45">
        <v>0</v>
      </c>
      <c r="AC5025" s="150">
        <v>1</v>
      </c>
      <c r="AD5025" s="150">
        <v>0</v>
      </c>
      <c r="AE5025" s="49">
        <f t="shared" si="182"/>
        <v>0.25</v>
      </c>
      <c r="AF5025" s="276"/>
      <c r="AG5025" s="17">
        <v>0</v>
      </c>
      <c r="AH5025" s="276">
        <v>0</v>
      </c>
      <c r="AI5025" s="276">
        <v>2.89</v>
      </c>
      <c r="AJ5025" s="44">
        <v>2.89</v>
      </c>
      <c r="AK5025" s="158">
        <v>0</v>
      </c>
      <c r="AL5025" s="151">
        <v>0</v>
      </c>
      <c r="AM5025" s="147">
        <f t="shared" si="181"/>
        <v>0</v>
      </c>
      <c r="AN5025" t="s">
        <v>570</v>
      </c>
      <c r="AO5025" s="148" t="s">
        <v>2875</v>
      </c>
      <c r="AP5025" t="s">
        <v>8950</v>
      </c>
      <c r="AQ5025" s="47"/>
    </row>
    <row r="5026" spans="1:44" customFormat="1" ht="15" customHeight="1" x14ac:dyDescent="0.3">
      <c r="A5026" s="371" t="s">
        <v>8323</v>
      </c>
      <c r="B5026" t="s">
        <v>8324</v>
      </c>
      <c r="C5026" s="148" t="s">
        <v>8841</v>
      </c>
      <c r="D5026" t="s">
        <v>8842</v>
      </c>
      <c r="E5026" s="148" t="s">
        <v>8843</v>
      </c>
      <c r="F5026" t="s">
        <v>8844</v>
      </c>
      <c r="G5026" s="372">
        <v>171105</v>
      </c>
      <c r="H5026" t="s">
        <v>8938</v>
      </c>
      <c r="K5026" s="155" t="s">
        <v>8946</v>
      </c>
      <c r="L5026" s="148" t="s">
        <v>8947</v>
      </c>
      <c r="M5026" s="1" t="s">
        <v>8948</v>
      </c>
      <c r="N5026" s="457"/>
      <c r="O5026" s="458"/>
      <c r="P5026" s="373"/>
      <c r="Q5026" s="374"/>
      <c r="R5026" s="373"/>
      <c r="S5026" s="374"/>
      <c r="T5026" t="s">
        <v>570</v>
      </c>
      <c r="U5026" t="str">
        <f>VLOOKUP(T5026,[8]Votes!$A$1:$E$234,3,FALSE)</f>
        <v>012 Ministry of Lands, Housing &amp; Urban Development</v>
      </c>
      <c r="V5026" t="s">
        <v>8951</v>
      </c>
      <c r="W5026" s="45">
        <v>0</v>
      </c>
      <c r="X5026" s="45">
        <v>0</v>
      </c>
      <c r="Y5026" s="45">
        <v>0</v>
      </c>
      <c r="Z5026" s="45">
        <v>1</v>
      </c>
      <c r="AA5026" s="45">
        <v>0</v>
      </c>
      <c r="AB5026" s="45">
        <v>0</v>
      </c>
      <c r="AC5026" s="150">
        <v>1</v>
      </c>
      <c r="AD5026" s="150">
        <v>0</v>
      </c>
      <c r="AE5026" s="49">
        <f t="shared" si="182"/>
        <v>0.25</v>
      </c>
      <c r="AF5026" s="276"/>
      <c r="AG5026" s="17">
        <v>0</v>
      </c>
      <c r="AH5026" s="276">
        <v>0</v>
      </c>
      <c r="AI5026" s="276">
        <v>0</v>
      </c>
      <c r="AJ5026" s="44">
        <v>0</v>
      </c>
      <c r="AK5026" s="158">
        <v>0</v>
      </c>
      <c r="AL5026" s="151">
        <v>0</v>
      </c>
      <c r="AM5026" s="147">
        <f t="shared" si="181"/>
        <v>0</v>
      </c>
      <c r="AN5026" t="s">
        <v>570</v>
      </c>
      <c r="AO5026" s="148" t="s">
        <v>2875</v>
      </c>
      <c r="AP5026" t="s">
        <v>8950</v>
      </c>
      <c r="AQ5026" s="47"/>
    </row>
    <row r="5027" spans="1:44" customFormat="1" ht="15" customHeight="1" x14ac:dyDescent="0.3">
      <c r="A5027" s="371" t="s">
        <v>8323</v>
      </c>
      <c r="B5027" t="s">
        <v>8324</v>
      </c>
      <c r="C5027" s="148" t="s">
        <v>8841</v>
      </c>
      <c r="D5027" t="s">
        <v>8842</v>
      </c>
      <c r="E5027" s="148" t="s">
        <v>8843</v>
      </c>
      <c r="F5027" t="s">
        <v>8844</v>
      </c>
      <c r="G5027" s="372">
        <v>171105</v>
      </c>
      <c r="H5027" t="s">
        <v>8938</v>
      </c>
      <c r="K5027" s="155" t="s">
        <v>8946</v>
      </c>
      <c r="L5027" s="148" t="s">
        <v>8947</v>
      </c>
      <c r="M5027" s="1" t="s">
        <v>8948</v>
      </c>
      <c r="N5027" s="457"/>
      <c r="O5027" s="458"/>
      <c r="P5027" s="373"/>
      <c r="Q5027" s="374"/>
      <c r="R5027" s="373"/>
      <c r="S5027" s="374"/>
      <c r="T5027" t="s">
        <v>570</v>
      </c>
      <c r="U5027" t="str">
        <f>VLOOKUP(T5027,[8]Votes!$A$1:$E$234,3,FALSE)</f>
        <v>012 Ministry of Lands, Housing &amp; Urban Development</v>
      </c>
      <c r="V5027" t="s">
        <v>8952</v>
      </c>
      <c r="W5027" s="45">
        <v>0</v>
      </c>
      <c r="X5027" s="45">
        <v>0</v>
      </c>
      <c r="Y5027" s="45">
        <v>0</v>
      </c>
      <c r="Z5027" s="45">
        <v>1</v>
      </c>
      <c r="AA5027" s="45">
        <v>1</v>
      </c>
      <c r="AB5027" s="45">
        <v>0</v>
      </c>
      <c r="AC5027" s="150">
        <v>1</v>
      </c>
      <c r="AD5027" s="150">
        <v>0</v>
      </c>
      <c r="AE5027" s="49">
        <f t="shared" si="182"/>
        <v>0.375</v>
      </c>
      <c r="AF5027" s="276"/>
      <c r="AG5027" s="17">
        <v>0</v>
      </c>
      <c r="AH5027" s="276">
        <v>0</v>
      </c>
      <c r="AI5027" s="276">
        <v>10.199999999999999</v>
      </c>
      <c r="AJ5027" s="44">
        <v>10.8</v>
      </c>
      <c r="AK5027" s="158">
        <v>0</v>
      </c>
      <c r="AL5027" s="151">
        <v>0</v>
      </c>
      <c r="AM5027" s="147">
        <f t="shared" si="181"/>
        <v>0</v>
      </c>
      <c r="AN5027" t="s">
        <v>570</v>
      </c>
      <c r="AO5027" s="148" t="s">
        <v>2875</v>
      </c>
      <c r="AP5027" t="s">
        <v>8950</v>
      </c>
      <c r="AQ5027" s="47"/>
    </row>
    <row r="5028" spans="1:44" customFormat="1" ht="15" customHeight="1" x14ac:dyDescent="0.3">
      <c r="A5028" s="371" t="s">
        <v>8323</v>
      </c>
      <c r="B5028" t="s">
        <v>8324</v>
      </c>
      <c r="C5028" s="148" t="s">
        <v>8841</v>
      </c>
      <c r="D5028" t="s">
        <v>8842</v>
      </c>
      <c r="E5028" s="148" t="s">
        <v>8843</v>
      </c>
      <c r="F5028" t="s">
        <v>8844</v>
      </c>
      <c r="G5028" s="372">
        <v>171105</v>
      </c>
      <c r="H5028" t="s">
        <v>8938</v>
      </c>
      <c r="K5028" s="155" t="s">
        <v>8953</v>
      </c>
      <c r="L5028" s="148" t="s">
        <v>8954</v>
      </c>
      <c r="M5028" s="1" t="s">
        <v>8955</v>
      </c>
      <c r="N5028" s="457">
        <v>0</v>
      </c>
      <c r="O5028" s="458"/>
      <c r="P5028" s="373"/>
      <c r="Q5028" s="374"/>
      <c r="R5028" s="373"/>
      <c r="S5028" s="374"/>
      <c r="T5028" t="s">
        <v>255</v>
      </c>
      <c r="U5028" t="str">
        <f>VLOOKUP(T5028,[8]Votes!$A$1:$E$234,3,FALSE)</f>
        <v>500 501-850 Local Governments</v>
      </c>
      <c r="V5028" t="s">
        <v>8956</v>
      </c>
      <c r="W5028" s="45">
        <v>0</v>
      </c>
      <c r="X5028" s="45">
        <v>0</v>
      </c>
      <c r="Y5028" s="45">
        <v>0</v>
      </c>
      <c r="Z5028" s="45">
        <v>0</v>
      </c>
      <c r="AA5028" s="45">
        <v>0</v>
      </c>
      <c r="AB5028" s="45">
        <v>0</v>
      </c>
      <c r="AC5028" s="150">
        <v>1</v>
      </c>
      <c r="AD5028" s="150">
        <v>1</v>
      </c>
      <c r="AE5028" s="49">
        <f t="shared" si="182"/>
        <v>0.25</v>
      </c>
      <c r="AF5028" s="276"/>
      <c r="AG5028" s="17">
        <v>0</v>
      </c>
      <c r="AH5028" s="276">
        <v>0</v>
      </c>
      <c r="AI5028" s="276">
        <v>13.26</v>
      </c>
      <c r="AJ5028" s="44">
        <v>13.26</v>
      </c>
      <c r="AK5028" s="158">
        <v>0</v>
      </c>
      <c r="AL5028" s="151">
        <v>0</v>
      </c>
      <c r="AM5028" s="147">
        <f t="shared" si="181"/>
        <v>0</v>
      </c>
      <c r="AN5028" t="s">
        <v>255</v>
      </c>
      <c r="AO5028" s="148" t="s">
        <v>1045</v>
      </c>
      <c r="AP5028" t="s">
        <v>8957</v>
      </c>
      <c r="AQ5028" s="47"/>
    </row>
    <row r="5029" spans="1:44" customFormat="1" ht="15" customHeight="1" x14ac:dyDescent="0.3">
      <c r="A5029" s="371" t="s">
        <v>8323</v>
      </c>
      <c r="B5029" t="s">
        <v>8324</v>
      </c>
      <c r="C5029" s="148" t="s">
        <v>8841</v>
      </c>
      <c r="D5029" t="s">
        <v>8842</v>
      </c>
      <c r="E5029" s="148" t="s">
        <v>8843</v>
      </c>
      <c r="F5029" t="s">
        <v>8844</v>
      </c>
      <c r="G5029" s="372">
        <v>171105</v>
      </c>
      <c r="H5029" t="s">
        <v>8938</v>
      </c>
      <c r="K5029" s="155" t="s">
        <v>8953</v>
      </c>
      <c r="L5029" s="148" t="s">
        <v>8954</v>
      </c>
      <c r="M5029" s="1" t="s">
        <v>8955</v>
      </c>
      <c r="N5029" s="457">
        <v>0</v>
      </c>
      <c r="O5029" s="458"/>
      <c r="P5029" s="373"/>
      <c r="Q5029" s="374"/>
      <c r="R5029" s="373"/>
      <c r="S5029" s="374"/>
      <c r="T5029" t="s">
        <v>255</v>
      </c>
      <c r="U5029" t="str">
        <f>VLOOKUP(T5029,[8]Votes!$A$1:$E$234,3,FALSE)</f>
        <v>500 501-850 Local Governments</v>
      </c>
      <c r="V5029" t="s">
        <v>8958</v>
      </c>
      <c r="W5029" s="45">
        <v>0</v>
      </c>
      <c r="X5029" s="45">
        <v>0</v>
      </c>
      <c r="Y5029" s="45">
        <v>0</v>
      </c>
      <c r="Z5029" s="45">
        <v>0</v>
      </c>
      <c r="AA5029" s="45">
        <v>0</v>
      </c>
      <c r="AB5029" s="45">
        <v>0</v>
      </c>
      <c r="AC5029" s="150">
        <v>1</v>
      </c>
      <c r="AD5029" s="150">
        <v>1</v>
      </c>
      <c r="AE5029" s="49">
        <f t="shared" si="182"/>
        <v>0.25</v>
      </c>
      <c r="AF5029" s="276"/>
      <c r="AG5029" s="17">
        <v>0</v>
      </c>
      <c r="AH5029" s="276">
        <v>0</v>
      </c>
      <c r="AI5029" s="276">
        <v>0</v>
      </c>
      <c r="AJ5029" s="44">
        <v>0</v>
      </c>
      <c r="AK5029" s="158">
        <v>0</v>
      </c>
      <c r="AL5029" s="151">
        <v>0</v>
      </c>
      <c r="AM5029" s="147">
        <f t="shared" si="181"/>
        <v>0</v>
      </c>
      <c r="AN5029" t="s">
        <v>255</v>
      </c>
      <c r="AO5029" s="148" t="s">
        <v>1045</v>
      </c>
      <c r="AP5029" t="s">
        <v>280</v>
      </c>
      <c r="AQ5029" s="47"/>
    </row>
    <row r="5030" spans="1:44" customFormat="1" ht="15" customHeight="1" x14ac:dyDescent="0.3">
      <c r="A5030" s="371" t="s">
        <v>8323</v>
      </c>
      <c r="B5030" t="s">
        <v>8324</v>
      </c>
      <c r="C5030" s="148" t="s">
        <v>8841</v>
      </c>
      <c r="D5030" t="s">
        <v>8842</v>
      </c>
      <c r="E5030" s="148" t="s">
        <v>8843</v>
      </c>
      <c r="F5030" t="s">
        <v>8844</v>
      </c>
      <c r="G5030" s="372">
        <v>171105</v>
      </c>
      <c r="H5030" t="s">
        <v>8938</v>
      </c>
      <c r="K5030" s="155" t="s">
        <v>8953</v>
      </c>
      <c r="L5030" s="148" t="s">
        <v>8954</v>
      </c>
      <c r="M5030" s="1" t="s">
        <v>8955</v>
      </c>
      <c r="N5030" s="457">
        <v>0</v>
      </c>
      <c r="O5030" s="458"/>
      <c r="P5030" s="373"/>
      <c r="Q5030" s="374"/>
      <c r="R5030" s="373"/>
      <c r="S5030" s="374"/>
      <c r="T5030" t="s">
        <v>255</v>
      </c>
      <c r="U5030" t="str">
        <f>VLOOKUP(T5030,[8]Votes!$A$1:$E$234,3,FALSE)</f>
        <v>500 501-850 Local Governments</v>
      </c>
      <c r="V5030" t="s">
        <v>8959</v>
      </c>
      <c r="W5030" s="45">
        <v>0</v>
      </c>
      <c r="X5030" s="45">
        <v>0</v>
      </c>
      <c r="Y5030" s="45">
        <v>0</v>
      </c>
      <c r="Z5030" s="45">
        <v>0</v>
      </c>
      <c r="AA5030" s="45">
        <v>0</v>
      </c>
      <c r="AB5030" s="45">
        <v>0</v>
      </c>
      <c r="AC5030" s="150">
        <v>1</v>
      </c>
      <c r="AD5030" s="150">
        <v>1</v>
      </c>
      <c r="AE5030" s="49">
        <f t="shared" si="182"/>
        <v>0.25</v>
      </c>
      <c r="AF5030" s="276"/>
      <c r="AG5030" s="17">
        <v>0</v>
      </c>
      <c r="AH5030" s="276">
        <v>0</v>
      </c>
      <c r="AI5030" s="276">
        <v>0</v>
      </c>
      <c r="AJ5030" s="44">
        <v>0</v>
      </c>
      <c r="AK5030" s="158">
        <v>0</v>
      </c>
      <c r="AL5030" s="151">
        <v>0</v>
      </c>
      <c r="AM5030" s="147">
        <f t="shared" si="181"/>
        <v>0</v>
      </c>
      <c r="AN5030" t="s">
        <v>255</v>
      </c>
      <c r="AO5030" s="148" t="s">
        <v>1045</v>
      </c>
      <c r="AP5030" t="s">
        <v>280</v>
      </c>
      <c r="AQ5030" s="47"/>
    </row>
    <row r="5031" spans="1:44" customFormat="1" ht="15" customHeight="1" x14ac:dyDescent="0.3">
      <c r="A5031" s="371" t="s">
        <v>8323</v>
      </c>
      <c r="B5031" t="s">
        <v>8324</v>
      </c>
      <c r="C5031" s="148" t="s">
        <v>8841</v>
      </c>
      <c r="D5031" t="s">
        <v>8842</v>
      </c>
      <c r="E5031" s="148" t="s">
        <v>8843</v>
      </c>
      <c r="F5031" t="s">
        <v>8844</v>
      </c>
      <c r="G5031" s="372">
        <v>171107</v>
      </c>
      <c r="H5031" t="s">
        <v>8960</v>
      </c>
      <c r="K5031" s="155" t="s">
        <v>8961</v>
      </c>
      <c r="L5031" s="148" t="s">
        <v>8962</v>
      </c>
      <c r="M5031" s="1" t="s">
        <v>8963</v>
      </c>
      <c r="N5031" s="457">
        <v>0</v>
      </c>
      <c r="O5031" s="458"/>
      <c r="P5031" s="373"/>
      <c r="Q5031" s="374"/>
      <c r="R5031" s="373"/>
      <c r="S5031" s="374"/>
      <c r="T5031" t="s">
        <v>255</v>
      </c>
      <c r="U5031" t="str">
        <f>VLOOKUP(T5031,[8]Votes!$A$1:$E$234,3,FALSE)</f>
        <v>500 501-850 Local Governments</v>
      </c>
      <c r="V5031" t="s">
        <v>8964</v>
      </c>
      <c r="W5031" s="45">
        <v>1</v>
      </c>
      <c r="X5031" s="45">
        <v>1</v>
      </c>
      <c r="Y5031" s="45">
        <v>1</v>
      </c>
      <c r="Z5031" s="45">
        <v>0</v>
      </c>
      <c r="AA5031" s="45">
        <v>1</v>
      </c>
      <c r="AB5031" s="45">
        <v>0</v>
      </c>
      <c r="AC5031" s="150">
        <v>1</v>
      </c>
      <c r="AD5031" s="150">
        <v>1</v>
      </c>
      <c r="AE5031" s="49">
        <f t="shared" si="182"/>
        <v>0.75</v>
      </c>
      <c r="AF5031" s="276">
        <v>1</v>
      </c>
      <c r="AG5031" s="17">
        <v>0</v>
      </c>
      <c r="AH5031" s="276">
        <v>0</v>
      </c>
      <c r="AI5031" s="276">
        <v>10</v>
      </c>
      <c r="AJ5031" s="44">
        <v>10</v>
      </c>
      <c r="AK5031" s="158">
        <v>10</v>
      </c>
      <c r="AL5031" s="151">
        <v>10</v>
      </c>
      <c r="AM5031" s="147">
        <f t="shared" si="181"/>
        <v>20</v>
      </c>
      <c r="AN5031" t="s">
        <v>255</v>
      </c>
      <c r="AO5031" s="148" t="s">
        <v>1045</v>
      </c>
      <c r="AP5031" t="s">
        <v>982</v>
      </c>
      <c r="AQ5031" s="47"/>
    </row>
    <row r="5032" spans="1:44" customFormat="1" ht="15" customHeight="1" x14ac:dyDescent="0.3">
      <c r="A5032" s="371" t="s">
        <v>8323</v>
      </c>
      <c r="B5032" t="s">
        <v>8324</v>
      </c>
      <c r="C5032" s="148" t="s">
        <v>8841</v>
      </c>
      <c r="D5032" t="s">
        <v>8842</v>
      </c>
      <c r="E5032" s="148" t="s">
        <v>8843</v>
      </c>
      <c r="F5032" t="s">
        <v>8844</v>
      </c>
      <c r="G5032" s="372">
        <v>171107</v>
      </c>
      <c r="H5032" t="s">
        <v>8960</v>
      </c>
      <c r="K5032" s="155" t="s">
        <v>8965</v>
      </c>
      <c r="L5032" s="148" t="s">
        <v>8966</v>
      </c>
      <c r="M5032" s="1" t="s">
        <v>8967</v>
      </c>
      <c r="N5032" s="457"/>
      <c r="O5032" s="458">
        <v>1</v>
      </c>
      <c r="P5032" s="374">
        <v>1</v>
      </c>
      <c r="Q5032" s="374">
        <v>1</v>
      </c>
      <c r="R5032" s="374">
        <v>1</v>
      </c>
      <c r="S5032" s="374">
        <v>1</v>
      </c>
      <c r="T5032" t="s">
        <v>265</v>
      </c>
      <c r="U5032" t="str">
        <f>VLOOKUP(T5032,[8]Votes!$A$1:$E$234,3,FALSE)</f>
        <v>015 Ministry of Trade, Industry and Cooperatives</v>
      </c>
      <c r="V5032" t="s">
        <v>8968</v>
      </c>
      <c r="W5032" s="45">
        <v>1</v>
      </c>
      <c r="X5032" s="45">
        <v>0</v>
      </c>
      <c r="Y5032" s="45">
        <v>0</v>
      </c>
      <c r="Z5032" s="45">
        <v>1</v>
      </c>
      <c r="AA5032" s="45">
        <v>0</v>
      </c>
      <c r="AB5032" s="45">
        <v>0</v>
      </c>
      <c r="AC5032" s="150">
        <v>0</v>
      </c>
      <c r="AD5032" s="150">
        <v>0</v>
      </c>
      <c r="AE5032" s="49">
        <f t="shared" si="182"/>
        <v>0.25</v>
      </c>
      <c r="AF5032" s="276">
        <v>1</v>
      </c>
      <c r="AG5032" s="17">
        <v>0</v>
      </c>
      <c r="AH5032" s="276">
        <v>0</v>
      </c>
      <c r="AI5032" s="276">
        <v>0</v>
      </c>
      <c r="AJ5032" s="44">
        <v>0</v>
      </c>
      <c r="AK5032" s="158">
        <v>0</v>
      </c>
      <c r="AL5032" s="151">
        <v>0</v>
      </c>
      <c r="AM5032" s="147">
        <f t="shared" si="181"/>
        <v>0</v>
      </c>
      <c r="AN5032" t="s">
        <v>265</v>
      </c>
      <c r="AO5032" s="148" t="s">
        <v>350</v>
      </c>
      <c r="AP5032" t="s">
        <v>831</v>
      </c>
      <c r="AQ5032" s="47"/>
      <c r="AR5032" s="47"/>
    </row>
    <row r="5033" spans="1:44" customFormat="1" ht="15" customHeight="1" x14ac:dyDescent="0.3">
      <c r="A5033" s="371" t="s">
        <v>8323</v>
      </c>
      <c r="B5033" t="s">
        <v>8324</v>
      </c>
      <c r="C5033" s="148" t="s">
        <v>8841</v>
      </c>
      <c r="D5033" t="s">
        <v>8842</v>
      </c>
      <c r="E5033" s="148" t="s">
        <v>8843</v>
      </c>
      <c r="F5033" t="s">
        <v>8844</v>
      </c>
      <c r="G5033" s="372">
        <v>171107</v>
      </c>
      <c r="H5033" t="s">
        <v>8960</v>
      </c>
      <c r="K5033" s="155" t="s">
        <v>8965</v>
      </c>
      <c r="L5033" s="148" t="s">
        <v>8966</v>
      </c>
      <c r="M5033" s="1" t="s">
        <v>8967</v>
      </c>
      <c r="N5033" s="457"/>
      <c r="O5033" s="458">
        <v>1</v>
      </c>
      <c r="P5033" s="374">
        <v>1</v>
      </c>
      <c r="Q5033" s="374">
        <v>1</v>
      </c>
      <c r="R5033" s="374">
        <v>1</v>
      </c>
      <c r="S5033" s="374">
        <v>1</v>
      </c>
      <c r="T5033" t="s">
        <v>265</v>
      </c>
      <c r="U5033" t="str">
        <f>VLOOKUP(T5033,[8]Votes!$A$1:$E$234,3,FALSE)</f>
        <v>015 Ministry of Trade, Industry and Cooperatives</v>
      </c>
      <c r="V5033" t="s">
        <v>8969</v>
      </c>
      <c r="W5033" s="45">
        <v>1</v>
      </c>
      <c r="X5033" s="45">
        <v>1</v>
      </c>
      <c r="Y5033" s="45">
        <v>0</v>
      </c>
      <c r="Z5033" s="45">
        <v>1</v>
      </c>
      <c r="AA5033" s="45">
        <v>0</v>
      </c>
      <c r="AB5033" s="45">
        <v>0</v>
      </c>
      <c r="AC5033" s="150">
        <v>1</v>
      </c>
      <c r="AD5033" s="150">
        <v>0</v>
      </c>
      <c r="AE5033" s="49">
        <f t="shared" si="182"/>
        <v>0.5</v>
      </c>
      <c r="AF5033" s="276"/>
      <c r="AG5033" s="17">
        <v>0</v>
      </c>
      <c r="AH5033" s="276">
        <v>0</v>
      </c>
      <c r="AI5033" s="276">
        <v>0</v>
      </c>
      <c r="AJ5033" s="44">
        <v>0</v>
      </c>
      <c r="AK5033" s="158">
        <v>0</v>
      </c>
      <c r="AL5033" s="151">
        <v>0</v>
      </c>
      <c r="AM5033" s="147">
        <f t="shared" si="181"/>
        <v>0</v>
      </c>
      <c r="AN5033" t="s">
        <v>265</v>
      </c>
      <c r="AO5033" s="148" t="s">
        <v>350</v>
      </c>
      <c r="AP5033" t="s">
        <v>8970</v>
      </c>
      <c r="AQ5033" s="47"/>
      <c r="AR5033" s="47"/>
    </row>
    <row r="5034" spans="1:44" customFormat="1" ht="15" customHeight="1" x14ac:dyDescent="0.3">
      <c r="A5034" s="371" t="s">
        <v>8323</v>
      </c>
      <c r="B5034" t="s">
        <v>8324</v>
      </c>
      <c r="C5034" s="148" t="s">
        <v>8841</v>
      </c>
      <c r="D5034" t="s">
        <v>8842</v>
      </c>
      <c r="E5034" s="148" t="s">
        <v>8843</v>
      </c>
      <c r="F5034" t="s">
        <v>8844</v>
      </c>
      <c r="G5034" s="372">
        <v>171107</v>
      </c>
      <c r="H5034" t="s">
        <v>8960</v>
      </c>
      <c r="K5034" s="155" t="s">
        <v>8965</v>
      </c>
      <c r="L5034" s="148" t="s">
        <v>8966</v>
      </c>
      <c r="M5034" s="1" t="s">
        <v>8967</v>
      </c>
      <c r="N5034" s="457"/>
      <c r="O5034" s="458">
        <v>1</v>
      </c>
      <c r="P5034" s="374">
        <v>1</v>
      </c>
      <c r="Q5034" s="374">
        <v>1</v>
      </c>
      <c r="R5034" s="374">
        <v>1</v>
      </c>
      <c r="S5034" s="374">
        <v>1</v>
      </c>
      <c r="T5034" t="s">
        <v>265</v>
      </c>
      <c r="U5034" t="str">
        <f>VLOOKUP(T5034,[8]Votes!$A$1:$E$234,3,FALSE)</f>
        <v>015 Ministry of Trade, Industry and Cooperatives</v>
      </c>
      <c r="V5034" t="s">
        <v>8969</v>
      </c>
      <c r="W5034" s="45">
        <v>1</v>
      </c>
      <c r="X5034" s="45">
        <v>1</v>
      </c>
      <c r="Y5034" s="45">
        <v>0</v>
      </c>
      <c r="Z5034" s="45">
        <v>1</v>
      </c>
      <c r="AA5034" s="45">
        <v>0</v>
      </c>
      <c r="AB5034" s="45">
        <v>0</v>
      </c>
      <c r="AC5034" s="150">
        <v>1</v>
      </c>
      <c r="AD5034" s="150">
        <v>0</v>
      </c>
      <c r="AE5034" s="49">
        <f t="shared" si="182"/>
        <v>0.5</v>
      </c>
      <c r="AF5034" s="276"/>
      <c r="AG5034" s="17">
        <v>0</v>
      </c>
      <c r="AH5034" s="276">
        <v>0</v>
      </c>
      <c r="AI5034" s="276">
        <v>0</v>
      </c>
      <c r="AJ5034" s="44">
        <v>0</v>
      </c>
      <c r="AK5034" s="158">
        <v>0</v>
      </c>
      <c r="AL5034" s="151">
        <v>0</v>
      </c>
      <c r="AM5034" s="147">
        <f t="shared" si="181"/>
        <v>0</v>
      </c>
      <c r="AN5034" t="s">
        <v>265</v>
      </c>
      <c r="AO5034" s="148" t="s">
        <v>350</v>
      </c>
      <c r="AP5034" t="s">
        <v>8971</v>
      </c>
      <c r="AQ5034" s="47"/>
      <c r="AR5034" s="47"/>
    </row>
    <row r="5035" spans="1:44" customFormat="1" ht="15" customHeight="1" x14ac:dyDescent="0.3">
      <c r="A5035" s="371" t="s">
        <v>8323</v>
      </c>
      <c r="B5035" t="s">
        <v>8324</v>
      </c>
      <c r="C5035" s="148" t="s">
        <v>8841</v>
      </c>
      <c r="D5035" t="s">
        <v>8842</v>
      </c>
      <c r="E5035" s="148" t="s">
        <v>8843</v>
      </c>
      <c r="F5035" t="s">
        <v>8844</v>
      </c>
      <c r="G5035" s="372">
        <v>171107</v>
      </c>
      <c r="H5035" t="s">
        <v>8960</v>
      </c>
      <c r="K5035" s="155" t="s">
        <v>8965</v>
      </c>
      <c r="L5035" s="148" t="s">
        <v>8966</v>
      </c>
      <c r="M5035" s="1" t="s">
        <v>8967</v>
      </c>
      <c r="N5035" s="457"/>
      <c r="O5035" s="458">
        <v>1</v>
      </c>
      <c r="P5035" s="374">
        <v>1</v>
      </c>
      <c r="Q5035" s="374">
        <v>1</v>
      </c>
      <c r="R5035" s="374">
        <v>1</v>
      </c>
      <c r="S5035" s="374">
        <v>1</v>
      </c>
      <c r="T5035" t="s">
        <v>92</v>
      </c>
      <c r="U5035" t="str">
        <f>VLOOKUP(T5035,[8]Votes!$A$1:$E$234,3,FALSE)</f>
        <v>010 Ministry of Agriculture, Animal &amp; Fisheries</v>
      </c>
      <c r="V5035" t="s">
        <v>8972</v>
      </c>
      <c r="W5035" s="45">
        <v>1</v>
      </c>
      <c r="X5035" s="45">
        <v>1</v>
      </c>
      <c r="Y5035" s="45">
        <v>1</v>
      </c>
      <c r="Z5035" s="45">
        <v>0</v>
      </c>
      <c r="AA5035" s="45">
        <v>0</v>
      </c>
      <c r="AB5035" s="45">
        <v>1</v>
      </c>
      <c r="AC5035" s="150">
        <v>1</v>
      </c>
      <c r="AD5035" s="150">
        <v>0</v>
      </c>
      <c r="AE5035" s="49">
        <f t="shared" si="182"/>
        <v>0.625</v>
      </c>
      <c r="AF5035" s="276"/>
      <c r="AG5035" s="17">
        <v>0</v>
      </c>
      <c r="AH5035" s="276">
        <v>0</v>
      </c>
      <c r="AI5035" s="276">
        <v>0</v>
      </c>
      <c r="AJ5035" s="44">
        <v>0</v>
      </c>
      <c r="AK5035" s="158">
        <v>0</v>
      </c>
      <c r="AL5035" s="151">
        <v>0</v>
      </c>
      <c r="AM5035" s="147">
        <f t="shared" si="181"/>
        <v>0</v>
      </c>
      <c r="AN5035" t="s">
        <v>92</v>
      </c>
      <c r="AO5035" s="148" t="s">
        <v>118</v>
      </c>
      <c r="AP5035" t="s">
        <v>8973</v>
      </c>
      <c r="AQ5035" s="47"/>
      <c r="AR5035" s="47"/>
    </row>
    <row r="5036" spans="1:44" customFormat="1" ht="15" customHeight="1" x14ac:dyDescent="0.3">
      <c r="A5036" s="371" t="s">
        <v>8323</v>
      </c>
      <c r="B5036" t="s">
        <v>8324</v>
      </c>
      <c r="C5036" s="148" t="s">
        <v>8841</v>
      </c>
      <c r="D5036" t="s">
        <v>8842</v>
      </c>
      <c r="E5036" s="148" t="s">
        <v>8843</v>
      </c>
      <c r="F5036" t="s">
        <v>8844</v>
      </c>
      <c r="G5036" s="372">
        <v>171107</v>
      </c>
      <c r="H5036" t="s">
        <v>8960</v>
      </c>
      <c r="K5036" s="155" t="s">
        <v>8965</v>
      </c>
      <c r="L5036" s="148" t="s">
        <v>8966</v>
      </c>
      <c r="M5036" s="1" t="s">
        <v>8967</v>
      </c>
      <c r="N5036" s="457"/>
      <c r="O5036" s="458">
        <v>1</v>
      </c>
      <c r="P5036" s="374">
        <v>1</v>
      </c>
      <c r="Q5036" s="374">
        <v>1</v>
      </c>
      <c r="R5036" s="374">
        <v>1</v>
      </c>
      <c r="S5036" s="374">
        <v>1</v>
      </c>
      <c r="T5036" t="s">
        <v>1035</v>
      </c>
      <c r="U5036" t="str">
        <f>VLOOKUP(T5036,[8]Votes!$A$1:$E$234,3,FALSE)</f>
        <v>017 Ministry of Energy and Mineral Development</v>
      </c>
      <c r="V5036" t="s">
        <v>8974</v>
      </c>
      <c r="W5036" s="45">
        <v>1</v>
      </c>
      <c r="X5036" s="45">
        <v>1</v>
      </c>
      <c r="Y5036" s="45">
        <v>1</v>
      </c>
      <c r="Z5036" s="45">
        <v>1</v>
      </c>
      <c r="AA5036" s="45">
        <v>0</v>
      </c>
      <c r="AB5036" s="45">
        <v>1</v>
      </c>
      <c r="AC5036" s="150">
        <v>1</v>
      </c>
      <c r="AD5036" s="150">
        <v>1</v>
      </c>
      <c r="AE5036" s="49">
        <f t="shared" si="182"/>
        <v>0.875</v>
      </c>
      <c r="AF5036" s="276">
        <v>1</v>
      </c>
      <c r="AG5036" s="17">
        <v>0</v>
      </c>
      <c r="AH5036" s="276">
        <v>0</v>
      </c>
      <c r="AI5036" s="276">
        <v>0</v>
      </c>
      <c r="AJ5036" s="44">
        <v>0</v>
      </c>
      <c r="AK5036" s="158">
        <v>0</v>
      </c>
      <c r="AL5036" s="151">
        <v>0</v>
      </c>
      <c r="AM5036" s="147">
        <f t="shared" si="181"/>
        <v>0</v>
      </c>
      <c r="AN5036" t="s">
        <v>1035</v>
      </c>
      <c r="AO5036" s="148" t="s">
        <v>1037</v>
      </c>
      <c r="AP5036" t="s">
        <v>8603</v>
      </c>
      <c r="AQ5036" s="47"/>
      <c r="AR5036" s="47"/>
    </row>
    <row r="5037" spans="1:44" customFormat="1" ht="15" customHeight="1" x14ac:dyDescent="0.3">
      <c r="A5037" s="371" t="s">
        <v>8323</v>
      </c>
      <c r="B5037" t="s">
        <v>8324</v>
      </c>
      <c r="C5037" s="148" t="s">
        <v>8841</v>
      </c>
      <c r="D5037" t="s">
        <v>8842</v>
      </c>
      <c r="E5037" s="148" t="s">
        <v>8843</v>
      </c>
      <c r="F5037" t="s">
        <v>8844</v>
      </c>
      <c r="G5037" s="372">
        <v>171107</v>
      </c>
      <c r="H5037" t="s">
        <v>8960</v>
      </c>
      <c r="K5037" s="155" t="s">
        <v>8965</v>
      </c>
      <c r="L5037" s="148" t="s">
        <v>8966</v>
      </c>
      <c r="M5037" s="1" t="s">
        <v>8967</v>
      </c>
      <c r="N5037" s="457"/>
      <c r="O5037" s="458">
        <v>1</v>
      </c>
      <c r="P5037" s="374">
        <v>1</v>
      </c>
      <c r="Q5037" s="374">
        <v>1</v>
      </c>
      <c r="R5037" s="374">
        <v>1</v>
      </c>
      <c r="S5037" s="374">
        <v>1</v>
      </c>
      <c r="T5037" t="s">
        <v>407</v>
      </c>
      <c r="U5037" t="str">
        <f>VLOOKUP(T5037,[8]Votes!$A$1:$E$234,3,FALSE)</f>
        <v>019 Ministry of Water and Environment</v>
      </c>
      <c r="V5037" t="s">
        <v>8975</v>
      </c>
      <c r="W5037" s="45">
        <v>1</v>
      </c>
      <c r="X5037" s="45">
        <v>1</v>
      </c>
      <c r="Y5037" s="45">
        <v>0</v>
      </c>
      <c r="Z5037" s="45">
        <v>0</v>
      </c>
      <c r="AA5037" s="45">
        <v>0</v>
      </c>
      <c r="AB5037" s="45">
        <v>1</v>
      </c>
      <c r="AC5037" s="150">
        <v>1</v>
      </c>
      <c r="AD5037" s="150">
        <v>0</v>
      </c>
      <c r="AE5037" s="49">
        <f t="shared" si="182"/>
        <v>0.5</v>
      </c>
      <c r="AF5037" s="276">
        <v>1</v>
      </c>
      <c r="AG5037" s="17">
        <v>0</v>
      </c>
      <c r="AH5037" s="276">
        <v>0</v>
      </c>
      <c r="AI5037" s="276">
        <v>0</v>
      </c>
      <c r="AJ5037" s="44">
        <v>0</v>
      </c>
      <c r="AK5037" s="158">
        <v>0</v>
      </c>
      <c r="AL5037" s="151">
        <v>0</v>
      </c>
      <c r="AM5037" s="147">
        <f t="shared" si="181"/>
        <v>0</v>
      </c>
      <c r="AN5037" t="s">
        <v>407</v>
      </c>
      <c r="AO5037" s="148" t="s">
        <v>409</v>
      </c>
      <c r="AP5037" t="s">
        <v>8976</v>
      </c>
      <c r="AQ5037" s="47"/>
      <c r="AR5037" s="47"/>
    </row>
    <row r="5038" spans="1:44" customFormat="1" ht="15" customHeight="1" x14ac:dyDescent="0.3">
      <c r="A5038" s="371" t="s">
        <v>8323</v>
      </c>
      <c r="B5038" t="s">
        <v>8324</v>
      </c>
      <c r="C5038" s="148" t="s">
        <v>8841</v>
      </c>
      <c r="D5038" t="s">
        <v>8842</v>
      </c>
      <c r="E5038" s="148" t="s">
        <v>8843</v>
      </c>
      <c r="F5038" t="s">
        <v>8844</v>
      </c>
      <c r="G5038" s="372">
        <v>171107</v>
      </c>
      <c r="H5038" t="s">
        <v>8960</v>
      </c>
      <c r="K5038" s="155" t="s">
        <v>8965</v>
      </c>
      <c r="L5038" s="148" t="s">
        <v>8966</v>
      </c>
      <c r="M5038" s="1" t="s">
        <v>8967</v>
      </c>
      <c r="N5038" s="457"/>
      <c r="O5038" s="458">
        <v>1</v>
      </c>
      <c r="P5038" s="374">
        <v>1</v>
      </c>
      <c r="Q5038" s="374">
        <v>1</v>
      </c>
      <c r="R5038" s="374">
        <v>1</v>
      </c>
      <c r="S5038" s="374">
        <v>1</v>
      </c>
      <c r="T5038" t="s">
        <v>1035</v>
      </c>
      <c r="U5038" t="str">
        <f>VLOOKUP(T5038,[8]Votes!$A$1:$E$234,3,FALSE)</f>
        <v>017 Ministry of Energy and Mineral Development</v>
      </c>
      <c r="V5038" t="s">
        <v>8977</v>
      </c>
      <c r="W5038" s="45">
        <v>1</v>
      </c>
      <c r="X5038" s="45">
        <v>1</v>
      </c>
      <c r="Y5038" s="45">
        <v>0</v>
      </c>
      <c r="Z5038" s="45">
        <v>0</v>
      </c>
      <c r="AA5038" s="45">
        <v>1</v>
      </c>
      <c r="AB5038" s="45">
        <v>1</v>
      </c>
      <c r="AC5038" s="150">
        <v>1</v>
      </c>
      <c r="AD5038" s="150">
        <v>1</v>
      </c>
      <c r="AE5038" s="49">
        <f t="shared" si="182"/>
        <v>0.75</v>
      </c>
      <c r="AF5038" s="276"/>
      <c r="AG5038" s="17">
        <v>0</v>
      </c>
      <c r="AH5038" s="276">
        <v>0</v>
      </c>
      <c r="AI5038" s="276">
        <v>10</v>
      </c>
      <c r="AJ5038" s="44">
        <v>10</v>
      </c>
      <c r="AK5038" s="158"/>
      <c r="AL5038" s="151"/>
      <c r="AM5038" s="147">
        <f t="shared" si="181"/>
        <v>0</v>
      </c>
      <c r="AN5038" t="s">
        <v>1035</v>
      </c>
      <c r="AO5038" s="148" t="s">
        <v>1037</v>
      </c>
      <c r="AP5038" t="s">
        <v>8603</v>
      </c>
      <c r="AQ5038" s="47"/>
      <c r="AR5038" s="47"/>
    </row>
    <row r="5039" spans="1:44" customFormat="1" ht="15" customHeight="1" x14ac:dyDescent="0.3">
      <c r="A5039" s="371" t="s">
        <v>8323</v>
      </c>
      <c r="B5039" t="s">
        <v>8324</v>
      </c>
      <c r="C5039" s="148" t="s">
        <v>8841</v>
      </c>
      <c r="D5039" t="s">
        <v>8842</v>
      </c>
      <c r="E5039" s="148" t="s">
        <v>8843</v>
      </c>
      <c r="F5039" t="s">
        <v>8844</v>
      </c>
      <c r="G5039" s="372">
        <v>171107</v>
      </c>
      <c r="H5039" t="s">
        <v>8960</v>
      </c>
      <c r="K5039" s="155" t="s">
        <v>8965</v>
      </c>
      <c r="L5039" s="148" t="s">
        <v>8966</v>
      </c>
      <c r="M5039" s="1" t="s">
        <v>8967</v>
      </c>
      <c r="N5039" s="457"/>
      <c r="O5039" s="458">
        <v>1</v>
      </c>
      <c r="P5039" s="374">
        <v>1</v>
      </c>
      <c r="Q5039" s="374">
        <v>1</v>
      </c>
      <c r="R5039" s="374">
        <v>1</v>
      </c>
      <c r="S5039" s="374">
        <v>1</v>
      </c>
      <c r="T5039" t="s">
        <v>869</v>
      </c>
      <c r="U5039" t="str">
        <f>VLOOKUP(T5039,[8]Votes!$A$1:$E$234,3,FALSE)</f>
        <v>310 Uganda Investment Authority (UIA)</v>
      </c>
      <c r="V5039" t="s">
        <v>8978</v>
      </c>
      <c r="W5039" s="45">
        <v>1</v>
      </c>
      <c r="X5039" s="45">
        <v>1</v>
      </c>
      <c r="Y5039" s="45">
        <v>1</v>
      </c>
      <c r="Z5039" s="45">
        <v>1</v>
      </c>
      <c r="AA5039" s="45">
        <v>1</v>
      </c>
      <c r="AB5039" s="45">
        <v>1</v>
      </c>
      <c r="AC5039" s="150">
        <v>1</v>
      </c>
      <c r="AD5039" s="150">
        <v>1</v>
      </c>
      <c r="AE5039" s="49">
        <f t="shared" si="182"/>
        <v>1</v>
      </c>
      <c r="AF5039" s="276">
        <v>1</v>
      </c>
      <c r="AG5039" s="17">
        <v>0</v>
      </c>
      <c r="AH5039" s="276">
        <v>0</v>
      </c>
      <c r="AI5039" s="276">
        <v>0</v>
      </c>
      <c r="AJ5039" s="44">
        <v>0</v>
      </c>
      <c r="AK5039" s="158">
        <v>0</v>
      </c>
      <c r="AL5039" s="151">
        <v>0</v>
      </c>
      <c r="AM5039" s="147">
        <f t="shared" si="181"/>
        <v>0</v>
      </c>
      <c r="AN5039" t="s">
        <v>869</v>
      </c>
      <c r="AO5039" s="148" t="s">
        <v>871</v>
      </c>
      <c r="AP5039" t="s">
        <v>8979</v>
      </c>
      <c r="AQ5039" s="47"/>
      <c r="AR5039" s="47"/>
    </row>
    <row r="5040" spans="1:44" customFormat="1" ht="15" customHeight="1" x14ac:dyDescent="0.3">
      <c r="A5040" s="371" t="s">
        <v>8323</v>
      </c>
      <c r="B5040" t="s">
        <v>8324</v>
      </c>
      <c r="C5040" s="148" t="s">
        <v>8841</v>
      </c>
      <c r="D5040" t="s">
        <v>8842</v>
      </c>
      <c r="E5040" s="148" t="s">
        <v>8843</v>
      </c>
      <c r="F5040" t="s">
        <v>8844</v>
      </c>
      <c r="G5040" s="372">
        <v>171107</v>
      </c>
      <c r="H5040" t="s">
        <v>8960</v>
      </c>
      <c r="K5040" s="155" t="s">
        <v>8965</v>
      </c>
      <c r="L5040" s="148" t="s">
        <v>8966</v>
      </c>
      <c r="M5040" s="1" t="s">
        <v>8967</v>
      </c>
      <c r="N5040" s="457"/>
      <c r="O5040" s="458">
        <v>1</v>
      </c>
      <c r="P5040" s="374">
        <v>1</v>
      </c>
      <c r="Q5040" s="374">
        <v>1</v>
      </c>
      <c r="R5040" s="374">
        <v>1</v>
      </c>
      <c r="S5040" s="374">
        <v>1</v>
      </c>
      <c r="T5040" t="s">
        <v>869</v>
      </c>
      <c r="U5040" t="str">
        <f>VLOOKUP(T5040,[8]Votes!$A$1:$E$234,3,FALSE)</f>
        <v>310 Uganda Investment Authority (UIA)</v>
      </c>
      <c r="V5040" t="s">
        <v>8978</v>
      </c>
      <c r="W5040" s="45">
        <v>1</v>
      </c>
      <c r="X5040" s="45">
        <v>1</v>
      </c>
      <c r="Y5040" s="45">
        <v>1</v>
      </c>
      <c r="Z5040" s="45">
        <v>1</v>
      </c>
      <c r="AA5040" s="45">
        <v>1</v>
      </c>
      <c r="AB5040" s="45">
        <v>1</v>
      </c>
      <c r="AC5040" s="150">
        <v>1</v>
      </c>
      <c r="AD5040" s="150">
        <v>1</v>
      </c>
      <c r="AE5040" s="49">
        <f t="shared" si="182"/>
        <v>1</v>
      </c>
      <c r="AF5040" s="276">
        <v>1</v>
      </c>
      <c r="AG5040" s="17">
        <v>0</v>
      </c>
      <c r="AH5040" s="276">
        <v>0</v>
      </c>
      <c r="AI5040" s="276">
        <v>0</v>
      </c>
      <c r="AJ5040" s="44">
        <v>0</v>
      </c>
      <c r="AK5040" s="158">
        <v>0</v>
      </c>
      <c r="AL5040" s="151">
        <v>0</v>
      </c>
      <c r="AM5040" s="147">
        <f t="shared" si="181"/>
        <v>0</v>
      </c>
      <c r="AN5040" t="s">
        <v>869</v>
      </c>
      <c r="AO5040" s="148" t="s">
        <v>871</v>
      </c>
      <c r="AP5040" t="s">
        <v>8980</v>
      </c>
      <c r="AQ5040" s="47"/>
      <c r="AR5040" s="47"/>
    </row>
    <row r="5041" spans="1:44" customFormat="1" ht="15" customHeight="1" x14ac:dyDescent="0.3">
      <c r="A5041" s="371" t="s">
        <v>8323</v>
      </c>
      <c r="B5041" t="s">
        <v>8324</v>
      </c>
      <c r="C5041" s="148" t="s">
        <v>8841</v>
      </c>
      <c r="D5041" t="s">
        <v>8842</v>
      </c>
      <c r="E5041" s="148" t="s">
        <v>8843</v>
      </c>
      <c r="F5041" t="s">
        <v>8844</v>
      </c>
      <c r="G5041" s="372">
        <v>171107</v>
      </c>
      <c r="H5041" t="s">
        <v>8960</v>
      </c>
      <c r="K5041" s="155" t="s">
        <v>8965</v>
      </c>
      <c r="L5041" s="148" t="s">
        <v>8966</v>
      </c>
      <c r="M5041" s="1" t="s">
        <v>8967</v>
      </c>
      <c r="N5041" s="457"/>
      <c r="O5041" s="458">
        <v>1</v>
      </c>
      <c r="P5041" s="374">
        <v>1</v>
      </c>
      <c r="Q5041" s="374">
        <v>1</v>
      </c>
      <c r="R5041" s="374">
        <v>1</v>
      </c>
      <c r="S5041" s="374">
        <v>1</v>
      </c>
      <c r="T5041" t="s">
        <v>869</v>
      </c>
      <c r="U5041" t="str">
        <f>VLOOKUP(T5041,[8]Votes!$A$1:$E$234,3,FALSE)</f>
        <v>310 Uganda Investment Authority (UIA)</v>
      </c>
      <c r="V5041" t="s">
        <v>8981</v>
      </c>
      <c r="W5041" s="45">
        <v>1</v>
      </c>
      <c r="X5041" s="45">
        <v>1</v>
      </c>
      <c r="Y5041" s="45">
        <v>1</v>
      </c>
      <c r="Z5041" s="45">
        <v>1</v>
      </c>
      <c r="AA5041" s="45">
        <v>0</v>
      </c>
      <c r="AB5041" s="45">
        <v>1</v>
      </c>
      <c r="AC5041" s="150">
        <v>1</v>
      </c>
      <c r="AD5041" s="150">
        <v>1</v>
      </c>
      <c r="AE5041" s="49">
        <f t="shared" si="182"/>
        <v>0.875</v>
      </c>
      <c r="AF5041" s="276"/>
      <c r="AG5041" s="17">
        <v>0</v>
      </c>
      <c r="AH5041" s="276">
        <v>0</v>
      </c>
      <c r="AI5041" s="276">
        <v>0</v>
      </c>
      <c r="AJ5041" s="44">
        <v>0</v>
      </c>
      <c r="AK5041" s="158">
        <v>0</v>
      </c>
      <c r="AL5041" s="151">
        <v>0</v>
      </c>
      <c r="AM5041" s="147">
        <f t="shared" si="181"/>
        <v>0</v>
      </c>
      <c r="AN5041" t="s">
        <v>869</v>
      </c>
      <c r="AO5041" s="148" t="s">
        <v>871</v>
      </c>
      <c r="AP5041" t="s">
        <v>8982</v>
      </c>
      <c r="AQ5041" s="47"/>
      <c r="AR5041" s="47"/>
    </row>
    <row r="5042" spans="1:44" customFormat="1" ht="15" customHeight="1" x14ac:dyDescent="0.3">
      <c r="A5042" s="371" t="s">
        <v>8323</v>
      </c>
      <c r="B5042" t="s">
        <v>8324</v>
      </c>
      <c r="C5042" s="148" t="s">
        <v>8841</v>
      </c>
      <c r="D5042" t="s">
        <v>8842</v>
      </c>
      <c r="E5042" s="148" t="s">
        <v>8843</v>
      </c>
      <c r="F5042" t="s">
        <v>8844</v>
      </c>
      <c r="G5042" s="372">
        <v>171107</v>
      </c>
      <c r="H5042" t="s">
        <v>8960</v>
      </c>
      <c r="K5042" s="155" t="s">
        <v>8965</v>
      </c>
      <c r="L5042" s="148" t="s">
        <v>8966</v>
      </c>
      <c r="M5042" s="1" t="s">
        <v>8967</v>
      </c>
      <c r="N5042" s="457"/>
      <c r="O5042" s="458">
        <v>1</v>
      </c>
      <c r="P5042" s="374">
        <v>1</v>
      </c>
      <c r="Q5042" s="374">
        <v>1</v>
      </c>
      <c r="R5042" s="374">
        <v>1</v>
      </c>
      <c r="S5042" s="374">
        <v>1</v>
      </c>
      <c r="T5042" t="s">
        <v>869</v>
      </c>
      <c r="U5042" t="str">
        <f>VLOOKUP(T5042,[8]Votes!$A$1:$E$234,3,FALSE)</f>
        <v>310 Uganda Investment Authority (UIA)</v>
      </c>
      <c r="V5042" t="s">
        <v>8983</v>
      </c>
      <c r="W5042" s="45">
        <v>1</v>
      </c>
      <c r="X5042" s="45">
        <v>1</v>
      </c>
      <c r="Y5042" s="45">
        <v>1</v>
      </c>
      <c r="Z5042" s="45">
        <v>1</v>
      </c>
      <c r="AA5042" s="45">
        <v>1</v>
      </c>
      <c r="AB5042" s="45">
        <v>1</v>
      </c>
      <c r="AC5042" s="150">
        <v>1</v>
      </c>
      <c r="AD5042" s="150">
        <v>1</v>
      </c>
      <c r="AE5042" s="49">
        <f t="shared" si="182"/>
        <v>1</v>
      </c>
      <c r="AF5042" s="276">
        <v>1</v>
      </c>
      <c r="AG5042" s="17">
        <v>0</v>
      </c>
      <c r="AH5042" s="276">
        <v>0</v>
      </c>
      <c r="AI5042" s="276">
        <v>0</v>
      </c>
      <c r="AJ5042" s="44">
        <v>0</v>
      </c>
      <c r="AK5042" s="158">
        <v>0</v>
      </c>
      <c r="AL5042" s="151">
        <v>0</v>
      </c>
      <c r="AM5042" s="147">
        <f t="shared" si="181"/>
        <v>0</v>
      </c>
      <c r="AN5042" t="s">
        <v>869</v>
      </c>
      <c r="AO5042" s="148" t="s">
        <v>871</v>
      </c>
      <c r="AP5042" t="s">
        <v>8984</v>
      </c>
      <c r="AQ5042" s="47"/>
      <c r="AR5042" s="47"/>
    </row>
    <row r="5043" spans="1:44" customFormat="1" ht="15" customHeight="1" x14ac:dyDescent="0.3">
      <c r="A5043" s="371" t="s">
        <v>8323</v>
      </c>
      <c r="B5043" t="s">
        <v>8324</v>
      </c>
      <c r="C5043" s="148" t="s">
        <v>8841</v>
      </c>
      <c r="D5043" t="s">
        <v>8842</v>
      </c>
      <c r="E5043" s="148" t="s">
        <v>8843</v>
      </c>
      <c r="F5043" t="s">
        <v>8844</v>
      </c>
      <c r="G5043" s="372">
        <v>171107</v>
      </c>
      <c r="H5043" t="s">
        <v>8960</v>
      </c>
      <c r="K5043" s="155" t="s">
        <v>8965</v>
      </c>
      <c r="L5043" s="148" t="s">
        <v>8966</v>
      </c>
      <c r="M5043" s="1" t="s">
        <v>8967</v>
      </c>
      <c r="N5043" s="457"/>
      <c r="O5043" s="458">
        <v>1</v>
      </c>
      <c r="P5043" s="374">
        <v>1</v>
      </c>
      <c r="Q5043" s="374">
        <v>1</v>
      </c>
      <c r="R5043" s="374">
        <v>1</v>
      </c>
      <c r="S5043" s="374">
        <v>1</v>
      </c>
      <c r="T5043" t="s">
        <v>869</v>
      </c>
      <c r="U5043" t="str">
        <f>VLOOKUP(T5043,[8]Votes!$A$1:$E$234,3,FALSE)</f>
        <v>310 Uganda Investment Authority (UIA)</v>
      </c>
      <c r="V5043" t="s">
        <v>8985</v>
      </c>
      <c r="W5043" s="45">
        <v>1</v>
      </c>
      <c r="X5043" s="45">
        <v>1</v>
      </c>
      <c r="Y5043" s="45">
        <v>1</v>
      </c>
      <c r="Z5043" s="45">
        <v>1</v>
      </c>
      <c r="AA5043" s="45">
        <v>1</v>
      </c>
      <c r="AB5043" s="45">
        <v>1</v>
      </c>
      <c r="AC5043" s="150">
        <v>1</v>
      </c>
      <c r="AD5043" s="150">
        <v>1</v>
      </c>
      <c r="AE5043" s="49">
        <f t="shared" si="182"/>
        <v>1</v>
      </c>
      <c r="AF5043" s="276">
        <v>1</v>
      </c>
      <c r="AG5043" s="17">
        <v>0</v>
      </c>
      <c r="AH5043" s="276">
        <v>0</v>
      </c>
      <c r="AI5043" s="276">
        <v>0</v>
      </c>
      <c r="AJ5043" s="44">
        <v>0</v>
      </c>
      <c r="AK5043" s="158">
        <v>0</v>
      </c>
      <c r="AL5043" s="151">
        <v>0</v>
      </c>
      <c r="AM5043" s="147">
        <f t="shared" si="181"/>
        <v>0</v>
      </c>
      <c r="AN5043" t="s">
        <v>869</v>
      </c>
      <c r="AO5043" s="148" t="s">
        <v>871</v>
      </c>
      <c r="AP5043" t="s">
        <v>921</v>
      </c>
      <c r="AQ5043" s="47"/>
      <c r="AR5043" s="47"/>
    </row>
    <row r="5044" spans="1:44" customFormat="1" ht="15" customHeight="1" x14ac:dyDescent="0.3">
      <c r="A5044" s="371" t="s">
        <v>8323</v>
      </c>
      <c r="B5044" t="s">
        <v>8324</v>
      </c>
      <c r="C5044" s="148" t="s">
        <v>8841</v>
      </c>
      <c r="D5044" t="s">
        <v>8842</v>
      </c>
      <c r="E5044" s="148" t="s">
        <v>8843</v>
      </c>
      <c r="F5044" t="s">
        <v>8844</v>
      </c>
      <c r="G5044" s="372">
        <v>171107</v>
      </c>
      <c r="H5044" t="s">
        <v>8960</v>
      </c>
      <c r="K5044" s="155" t="s">
        <v>8965</v>
      </c>
      <c r="L5044" s="148" t="s">
        <v>8966</v>
      </c>
      <c r="M5044" s="1" t="s">
        <v>8967</v>
      </c>
      <c r="N5044" s="457"/>
      <c r="O5044" s="458">
        <v>1</v>
      </c>
      <c r="P5044" s="374">
        <v>1</v>
      </c>
      <c r="Q5044" s="374">
        <v>1</v>
      </c>
      <c r="R5044" s="374">
        <v>1</v>
      </c>
      <c r="S5044" s="374">
        <v>1</v>
      </c>
      <c r="T5044" t="s">
        <v>869</v>
      </c>
      <c r="U5044" t="str">
        <f>VLOOKUP(T5044,[8]Votes!$A$1:$E$234,3,FALSE)</f>
        <v>310 Uganda Investment Authority (UIA)</v>
      </c>
      <c r="V5044" t="s">
        <v>8986</v>
      </c>
      <c r="W5044" s="45">
        <v>1</v>
      </c>
      <c r="X5044" s="45">
        <v>1</v>
      </c>
      <c r="Y5044" s="45">
        <v>1</v>
      </c>
      <c r="Z5044" s="45">
        <v>1</v>
      </c>
      <c r="AA5044" s="45">
        <v>1</v>
      </c>
      <c r="AB5044" s="45">
        <v>1</v>
      </c>
      <c r="AC5044" s="150">
        <v>1</v>
      </c>
      <c r="AD5044" s="150">
        <v>1</v>
      </c>
      <c r="AE5044" s="49">
        <f t="shared" si="182"/>
        <v>1</v>
      </c>
      <c r="AF5044" s="276">
        <v>1</v>
      </c>
      <c r="AG5044" s="17">
        <v>0</v>
      </c>
      <c r="AH5044" s="276">
        <v>0</v>
      </c>
      <c r="AI5044" s="276">
        <v>0</v>
      </c>
      <c r="AJ5044" s="44">
        <v>0</v>
      </c>
      <c r="AK5044" s="158">
        <v>0</v>
      </c>
      <c r="AL5044" s="151">
        <v>0</v>
      </c>
      <c r="AM5044" s="147">
        <f t="shared" si="181"/>
        <v>0</v>
      </c>
      <c r="AN5044" t="s">
        <v>869</v>
      </c>
      <c r="AO5044" s="148" t="s">
        <v>871</v>
      </c>
      <c r="AP5044" t="s">
        <v>1035</v>
      </c>
      <c r="AQ5044" s="47"/>
      <c r="AR5044" s="47"/>
    </row>
    <row r="5045" spans="1:44" customFormat="1" ht="15" customHeight="1" x14ac:dyDescent="0.3">
      <c r="A5045" s="371" t="s">
        <v>8323</v>
      </c>
      <c r="B5045" t="s">
        <v>8324</v>
      </c>
      <c r="C5045" s="148" t="s">
        <v>8841</v>
      </c>
      <c r="D5045" t="s">
        <v>8842</v>
      </c>
      <c r="E5045" s="148" t="s">
        <v>8843</v>
      </c>
      <c r="F5045" t="s">
        <v>8844</v>
      </c>
      <c r="G5045" s="372">
        <v>171107</v>
      </c>
      <c r="H5045" t="s">
        <v>8960</v>
      </c>
      <c r="K5045" s="155" t="s">
        <v>8965</v>
      </c>
      <c r="L5045" s="148" t="s">
        <v>8966</v>
      </c>
      <c r="M5045" s="1" t="s">
        <v>8967</v>
      </c>
      <c r="N5045" s="457"/>
      <c r="O5045" s="458">
        <v>1</v>
      </c>
      <c r="P5045" s="374">
        <v>1</v>
      </c>
      <c r="Q5045" s="374">
        <v>1</v>
      </c>
      <c r="R5045" s="374">
        <v>1</v>
      </c>
      <c r="S5045" s="374">
        <v>1</v>
      </c>
      <c r="T5045" t="s">
        <v>869</v>
      </c>
      <c r="U5045" t="str">
        <f>VLOOKUP(T5045,[8]Votes!$A$1:$E$234,3,FALSE)</f>
        <v>310 Uganda Investment Authority (UIA)</v>
      </c>
      <c r="V5045" t="s">
        <v>8987</v>
      </c>
      <c r="W5045" s="45">
        <v>1</v>
      </c>
      <c r="X5045" s="45">
        <v>1</v>
      </c>
      <c r="Y5045" s="45">
        <v>1</v>
      </c>
      <c r="Z5045" s="45">
        <v>1</v>
      </c>
      <c r="AA5045" s="45">
        <v>1</v>
      </c>
      <c r="AB5045" s="45">
        <v>1</v>
      </c>
      <c r="AC5045" s="150">
        <v>1</v>
      </c>
      <c r="AD5045" s="150">
        <v>1</v>
      </c>
      <c r="AE5045" s="49">
        <f t="shared" si="182"/>
        <v>1</v>
      </c>
      <c r="AF5045" s="276"/>
      <c r="AG5045" s="17">
        <v>0</v>
      </c>
      <c r="AH5045" s="276">
        <v>0</v>
      </c>
      <c r="AI5045" s="276">
        <v>0</v>
      </c>
      <c r="AJ5045" s="44">
        <v>0</v>
      </c>
      <c r="AK5045" s="158">
        <v>0</v>
      </c>
      <c r="AL5045" s="151">
        <v>0</v>
      </c>
      <c r="AM5045" s="147">
        <f t="shared" si="181"/>
        <v>0</v>
      </c>
      <c r="AN5045" t="s">
        <v>869</v>
      </c>
      <c r="AO5045" s="148" t="s">
        <v>871</v>
      </c>
      <c r="AP5045" t="s">
        <v>63</v>
      </c>
      <c r="AQ5045" s="47"/>
      <c r="AR5045" s="47"/>
    </row>
    <row r="5046" spans="1:44" customFormat="1" ht="15" customHeight="1" x14ac:dyDescent="0.3">
      <c r="A5046" s="371" t="s">
        <v>8323</v>
      </c>
      <c r="B5046" t="s">
        <v>8324</v>
      </c>
      <c r="C5046" s="148" t="s">
        <v>8841</v>
      </c>
      <c r="D5046" t="s">
        <v>8842</v>
      </c>
      <c r="E5046" s="148" t="s">
        <v>8843</v>
      </c>
      <c r="F5046" t="s">
        <v>8844</v>
      </c>
      <c r="G5046" s="372">
        <v>171107</v>
      </c>
      <c r="H5046" t="s">
        <v>8960</v>
      </c>
      <c r="K5046" s="155" t="s">
        <v>8965</v>
      </c>
      <c r="L5046" s="148" t="s">
        <v>8966</v>
      </c>
      <c r="M5046" s="1" t="s">
        <v>8967</v>
      </c>
      <c r="N5046" s="457"/>
      <c r="O5046" s="458">
        <v>1</v>
      </c>
      <c r="P5046" s="374">
        <v>1</v>
      </c>
      <c r="Q5046" s="374">
        <v>1</v>
      </c>
      <c r="R5046" s="374">
        <v>1</v>
      </c>
      <c r="S5046" s="374">
        <v>1</v>
      </c>
      <c r="T5046" t="s">
        <v>869</v>
      </c>
      <c r="U5046" t="str">
        <f>VLOOKUP(T5046,[8]Votes!$A$1:$E$234,3,FALSE)</f>
        <v>310 Uganda Investment Authority (UIA)</v>
      </c>
      <c r="V5046" t="s">
        <v>8988</v>
      </c>
      <c r="W5046" s="45">
        <v>1</v>
      </c>
      <c r="X5046" s="45">
        <v>1</v>
      </c>
      <c r="Y5046" s="45">
        <v>1</v>
      </c>
      <c r="Z5046" s="45">
        <v>1</v>
      </c>
      <c r="AA5046" s="45">
        <v>1</v>
      </c>
      <c r="AB5046" s="45">
        <v>1</v>
      </c>
      <c r="AC5046" s="150">
        <v>1</v>
      </c>
      <c r="AD5046" s="150">
        <v>1</v>
      </c>
      <c r="AE5046" s="49">
        <f t="shared" si="182"/>
        <v>1</v>
      </c>
      <c r="AF5046" s="276"/>
      <c r="AG5046" s="17">
        <v>0</v>
      </c>
      <c r="AH5046" s="276">
        <v>0</v>
      </c>
      <c r="AI5046" s="276">
        <v>0</v>
      </c>
      <c r="AJ5046" s="44">
        <v>0</v>
      </c>
      <c r="AK5046" s="158">
        <v>0</v>
      </c>
      <c r="AL5046" s="151">
        <v>0</v>
      </c>
      <c r="AM5046" s="147">
        <f t="shared" ref="AM5046:AM5077" si="183">SUM(AK5046:AL5046)</f>
        <v>0</v>
      </c>
      <c r="AN5046" t="s">
        <v>869</v>
      </c>
      <c r="AO5046" s="148" t="s">
        <v>871</v>
      </c>
      <c r="AP5046" t="s">
        <v>8989</v>
      </c>
      <c r="AQ5046" s="47"/>
      <c r="AR5046" s="47"/>
    </row>
    <row r="5047" spans="1:44" customFormat="1" ht="15" customHeight="1" x14ac:dyDescent="0.3">
      <c r="A5047" s="371" t="s">
        <v>8323</v>
      </c>
      <c r="B5047" t="s">
        <v>8324</v>
      </c>
      <c r="C5047" s="148" t="s">
        <v>8841</v>
      </c>
      <c r="D5047" t="s">
        <v>8842</v>
      </c>
      <c r="E5047" s="148" t="s">
        <v>8843</v>
      </c>
      <c r="F5047" t="s">
        <v>8844</v>
      </c>
      <c r="G5047" s="372">
        <v>171107</v>
      </c>
      <c r="H5047" t="s">
        <v>8960</v>
      </c>
      <c r="K5047" s="155" t="s">
        <v>8965</v>
      </c>
      <c r="L5047" s="148" t="s">
        <v>8966</v>
      </c>
      <c r="M5047" s="1" t="s">
        <v>8967</v>
      </c>
      <c r="N5047" s="457"/>
      <c r="O5047" s="458">
        <v>1</v>
      </c>
      <c r="P5047" s="374">
        <v>1</v>
      </c>
      <c r="Q5047" s="374">
        <v>1</v>
      </c>
      <c r="R5047" s="374">
        <v>1</v>
      </c>
      <c r="S5047" s="374">
        <v>1</v>
      </c>
      <c r="T5047" t="s">
        <v>831</v>
      </c>
      <c r="U5047" t="str">
        <f>VLOOKUP(T5047,[8]Votes!$A$1:$E$234,3,FALSE)</f>
        <v>108 National Planning Authority</v>
      </c>
      <c r="V5047" t="s">
        <v>8990</v>
      </c>
      <c r="W5047" s="45">
        <v>1</v>
      </c>
      <c r="X5047" s="45">
        <v>1</v>
      </c>
      <c r="Y5047" s="45">
        <v>1</v>
      </c>
      <c r="Z5047" s="45">
        <v>1</v>
      </c>
      <c r="AA5047" s="45">
        <v>1</v>
      </c>
      <c r="AB5047" s="45">
        <v>1</v>
      </c>
      <c r="AC5047" s="150">
        <v>1</v>
      </c>
      <c r="AD5047" s="150">
        <v>1</v>
      </c>
      <c r="AE5047" s="49">
        <f t="shared" si="182"/>
        <v>1</v>
      </c>
      <c r="AF5047" s="276"/>
      <c r="AG5047" s="17">
        <v>0</v>
      </c>
      <c r="AH5047" s="276">
        <v>0</v>
      </c>
      <c r="AI5047" s="276">
        <v>0</v>
      </c>
      <c r="AJ5047" s="44">
        <v>0</v>
      </c>
      <c r="AK5047" s="158">
        <v>0</v>
      </c>
      <c r="AL5047" s="151">
        <v>0</v>
      </c>
      <c r="AM5047" s="147">
        <f t="shared" si="183"/>
        <v>0</v>
      </c>
      <c r="AN5047" t="s">
        <v>831</v>
      </c>
      <c r="AO5047" s="18" t="s">
        <v>834</v>
      </c>
      <c r="AP5047" t="s">
        <v>8991</v>
      </c>
      <c r="AQ5047" s="47"/>
      <c r="AR5047" s="47"/>
    </row>
    <row r="5048" spans="1:44" customFormat="1" ht="15" customHeight="1" x14ac:dyDescent="0.3">
      <c r="A5048" s="371" t="s">
        <v>8323</v>
      </c>
      <c r="B5048" t="s">
        <v>8324</v>
      </c>
      <c r="C5048" s="148" t="s">
        <v>8841</v>
      </c>
      <c r="D5048" t="s">
        <v>8842</v>
      </c>
      <c r="E5048" s="148" t="s">
        <v>8843</v>
      </c>
      <c r="F5048" t="s">
        <v>8844</v>
      </c>
      <c r="G5048" s="372">
        <v>171107</v>
      </c>
      <c r="H5048" t="s">
        <v>8960</v>
      </c>
      <c r="K5048" s="155" t="s">
        <v>8965</v>
      </c>
      <c r="L5048" s="148" t="s">
        <v>8966</v>
      </c>
      <c r="M5048" s="1" t="s">
        <v>8967</v>
      </c>
      <c r="N5048" s="457"/>
      <c r="O5048" s="458">
        <v>1</v>
      </c>
      <c r="P5048" s="374">
        <v>1</v>
      </c>
      <c r="Q5048" s="374">
        <v>1</v>
      </c>
      <c r="R5048" s="374">
        <v>1</v>
      </c>
      <c r="S5048" s="374">
        <v>1</v>
      </c>
      <c r="T5048" t="s">
        <v>869</v>
      </c>
      <c r="U5048" t="str">
        <f>VLOOKUP(T5048,[8]Votes!$A$1:$E$234,3,FALSE)</f>
        <v>310 Uganda Investment Authority (UIA)</v>
      </c>
      <c r="V5048" t="s">
        <v>8992</v>
      </c>
      <c r="W5048" s="45">
        <v>1</v>
      </c>
      <c r="X5048" s="45">
        <v>1</v>
      </c>
      <c r="Y5048" s="45">
        <v>0</v>
      </c>
      <c r="Z5048" s="45">
        <v>1</v>
      </c>
      <c r="AA5048" s="45">
        <v>1</v>
      </c>
      <c r="AB5048" s="45">
        <v>1</v>
      </c>
      <c r="AC5048" s="150">
        <v>0</v>
      </c>
      <c r="AD5048" s="150">
        <v>0</v>
      </c>
      <c r="AE5048" s="49">
        <f t="shared" si="182"/>
        <v>0.625</v>
      </c>
      <c r="AF5048" s="276"/>
      <c r="AG5048" s="17">
        <v>0</v>
      </c>
      <c r="AH5048" s="276">
        <v>0</v>
      </c>
      <c r="AI5048" s="276">
        <v>0</v>
      </c>
      <c r="AJ5048" s="44">
        <v>0</v>
      </c>
      <c r="AK5048" s="158">
        <v>0</v>
      </c>
      <c r="AL5048" s="151">
        <v>0</v>
      </c>
      <c r="AM5048" s="147">
        <f t="shared" si="183"/>
        <v>0</v>
      </c>
      <c r="AN5048" t="s">
        <v>869</v>
      </c>
      <c r="AO5048" s="148" t="s">
        <v>871</v>
      </c>
      <c r="AP5048" t="s">
        <v>8993</v>
      </c>
      <c r="AQ5048" s="47"/>
      <c r="AR5048" s="47"/>
    </row>
    <row r="5049" spans="1:44" customFormat="1" ht="15" customHeight="1" x14ac:dyDescent="0.3">
      <c r="A5049" s="371" t="s">
        <v>8323</v>
      </c>
      <c r="B5049" t="s">
        <v>8324</v>
      </c>
      <c r="C5049" s="148" t="s">
        <v>8841</v>
      </c>
      <c r="D5049" t="s">
        <v>8842</v>
      </c>
      <c r="E5049" s="148" t="s">
        <v>8843</v>
      </c>
      <c r="F5049" t="s">
        <v>8844</v>
      </c>
      <c r="G5049" s="372">
        <v>171107</v>
      </c>
      <c r="H5049" t="s">
        <v>8960</v>
      </c>
      <c r="K5049" s="155" t="s">
        <v>8965</v>
      </c>
      <c r="L5049" s="148" t="s">
        <v>8966</v>
      </c>
      <c r="M5049" s="1" t="s">
        <v>8967</v>
      </c>
      <c r="N5049" s="457"/>
      <c r="O5049" s="458">
        <v>1</v>
      </c>
      <c r="P5049" s="374">
        <v>1</v>
      </c>
      <c r="Q5049" s="374">
        <v>1</v>
      </c>
      <c r="R5049" s="374">
        <v>1</v>
      </c>
      <c r="S5049" s="374">
        <v>1</v>
      </c>
      <c r="T5049" t="s">
        <v>869</v>
      </c>
      <c r="U5049" t="str">
        <f>VLOOKUP(T5049,[8]Votes!$A$1:$E$234,3,FALSE)</f>
        <v>310 Uganda Investment Authority (UIA)</v>
      </c>
      <c r="V5049" t="s">
        <v>8994</v>
      </c>
      <c r="W5049" s="45">
        <v>1</v>
      </c>
      <c r="X5049" s="45">
        <v>1</v>
      </c>
      <c r="Y5049" s="45">
        <v>0</v>
      </c>
      <c r="Z5049" s="45">
        <v>1</v>
      </c>
      <c r="AA5049" s="45">
        <v>1</v>
      </c>
      <c r="AB5049" s="45">
        <v>0</v>
      </c>
      <c r="AC5049" s="150">
        <v>0</v>
      </c>
      <c r="AD5049" s="150">
        <v>0</v>
      </c>
      <c r="AE5049" s="49">
        <f t="shared" ref="AE5049:AE5080" si="184">SUM(W5049:AD5049)/8</f>
        <v>0.5</v>
      </c>
      <c r="AF5049" s="276"/>
      <c r="AG5049" s="17">
        <v>0</v>
      </c>
      <c r="AH5049" s="276">
        <v>0</v>
      </c>
      <c r="AI5049" s="276">
        <v>0</v>
      </c>
      <c r="AJ5049" s="44">
        <v>0</v>
      </c>
      <c r="AK5049" s="158">
        <v>0</v>
      </c>
      <c r="AL5049" s="151">
        <v>0</v>
      </c>
      <c r="AM5049" s="147">
        <f t="shared" si="183"/>
        <v>0</v>
      </c>
      <c r="AN5049" t="s">
        <v>869</v>
      </c>
      <c r="AO5049" s="148" t="s">
        <v>871</v>
      </c>
      <c r="AP5049" t="s">
        <v>119</v>
      </c>
      <c r="AQ5049" s="47"/>
      <c r="AR5049" s="47"/>
    </row>
    <row r="5050" spans="1:44" customFormat="1" ht="15" customHeight="1" x14ac:dyDescent="0.3">
      <c r="A5050" s="371" t="s">
        <v>8323</v>
      </c>
      <c r="B5050" t="s">
        <v>8324</v>
      </c>
      <c r="C5050" s="148" t="s">
        <v>8841</v>
      </c>
      <c r="D5050" t="s">
        <v>8842</v>
      </c>
      <c r="E5050" s="148" t="s">
        <v>8843</v>
      </c>
      <c r="F5050" t="s">
        <v>8844</v>
      </c>
      <c r="G5050" s="372">
        <v>171107</v>
      </c>
      <c r="H5050" t="s">
        <v>8960</v>
      </c>
      <c r="K5050" s="155" t="s">
        <v>8965</v>
      </c>
      <c r="L5050" s="148" t="s">
        <v>8966</v>
      </c>
      <c r="M5050" s="1" t="s">
        <v>8967</v>
      </c>
      <c r="N5050" s="457"/>
      <c r="O5050" s="458">
        <v>1</v>
      </c>
      <c r="P5050" s="374">
        <v>1</v>
      </c>
      <c r="Q5050" s="374">
        <v>1</v>
      </c>
      <c r="R5050" s="374">
        <v>1</v>
      </c>
      <c r="S5050" s="374">
        <v>1</v>
      </c>
      <c r="T5050" t="s">
        <v>280</v>
      </c>
      <c r="U5050" t="str">
        <f>VLOOKUP(T5050,[8]Votes!$A$1:$E$234,3,FALSE)</f>
        <v>011 Ministry of Local Government</v>
      </c>
      <c r="V5050" t="s">
        <v>8995</v>
      </c>
      <c r="W5050" s="45">
        <v>1</v>
      </c>
      <c r="X5050" s="45">
        <v>1</v>
      </c>
      <c r="Y5050" s="45">
        <v>1</v>
      </c>
      <c r="Z5050" s="45">
        <v>1</v>
      </c>
      <c r="AA5050" s="45">
        <v>1</v>
      </c>
      <c r="AB5050" s="45">
        <v>1</v>
      </c>
      <c r="AC5050" s="150">
        <v>1</v>
      </c>
      <c r="AD5050" s="150">
        <v>1</v>
      </c>
      <c r="AE5050" s="49">
        <f t="shared" si="184"/>
        <v>1</v>
      </c>
      <c r="AF5050" s="276"/>
      <c r="AG5050" s="17">
        <v>0</v>
      </c>
      <c r="AH5050" s="276">
        <v>434.50935168842398</v>
      </c>
      <c r="AI5050" s="276">
        <v>410.75969123779225</v>
      </c>
      <c r="AJ5050" s="44">
        <v>414.50935168842398</v>
      </c>
      <c r="AK5050" s="158">
        <v>424.50935168842409</v>
      </c>
      <c r="AL5050" s="151">
        <v>438.25901213905593</v>
      </c>
      <c r="AM5050" s="147">
        <f t="shared" si="183"/>
        <v>862.76836382748002</v>
      </c>
      <c r="AN5050" t="s">
        <v>280</v>
      </c>
      <c r="AO5050" s="148" t="s">
        <v>1151</v>
      </c>
      <c r="AP5050" t="s">
        <v>8996</v>
      </c>
      <c r="AQ5050" s="47"/>
      <c r="AR5050" s="47"/>
    </row>
    <row r="5051" spans="1:44" customFormat="1" ht="15" customHeight="1" x14ac:dyDescent="0.3">
      <c r="A5051" s="371" t="s">
        <v>8323</v>
      </c>
      <c r="B5051" t="s">
        <v>8324</v>
      </c>
      <c r="C5051" s="148" t="s">
        <v>8841</v>
      </c>
      <c r="D5051" t="s">
        <v>8842</v>
      </c>
      <c r="E5051" s="148" t="s">
        <v>8843</v>
      </c>
      <c r="F5051" t="s">
        <v>8844</v>
      </c>
      <c r="G5051" s="372">
        <v>171107</v>
      </c>
      <c r="H5051" t="s">
        <v>8960</v>
      </c>
      <c r="K5051" s="155" t="s">
        <v>8965</v>
      </c>
      <c r="L5051" s="148" t="s">
        <v>8966</v>
      </c>
      <c r="M5051" s="1" t="s">
        <v>8967</v>
      </c>
      <c r="N5051" s="457"/>
      <c r="O5051" s="458">
        <v>1</v>
      </c>
      <c r="P5051" s="374">
        <v>1</v>
      </c>
      <c r="Q5051" s="374">
        <v>1</v>
      </c>
      <c r="R5051" s="374">
        <v>1</v>
      </c>
      <c r="S5051" s="374">
        <v>1</v>
      </c>
      <c r="T5051" t="s">
        <v>280</v>
      </c>
      <c r="U5051" t="str">
        <f>VLOOKUP(T5051,[8]Votes!$A$1:$E$234,3,FALSE)</f>
        <v>011 Ministry of Local Government</v>
      </c>
      <c r="V5051" t="s">
        <v>8997</v>
      </c>
      <c r="W5051" s="45"/>
      <c r="X5051" s="45"/>
      <c r="Y5051" s="45"/>
      <c r="Z5051" s="45"/>
      <c r="AA5051" s="45"/>
      <c r="AB5051" s="45"/>
      <c r="AC5051" s="150">
        <v>0</v>
      </c>
      <c r="AD5051" s="150">
        <v>0</v>
      </c>
      <c r="AE5051" s="49">
        <f t="shared" si="184"/>
        <v>0</v>
      </c>
      <c r="AF5051" s="276"/>
      <c r="AG5051" s="17">
        <v>0</v>
      </c>
      <c r="AH5051" s="276">
        <v>0</v>
      </c>
      <c r="AI5051" s="276">
        <v>35.5</v>
      </c>
      <c r="AJ5051" s="44">
        <v>0</v>
      </c>
      <c r="AK5051" s="158">
        <v>0</v>
      </c>
      <c r="AL5051" s="151">
        <v>0</v>
      </c>
      <c r="AM5051" s="147">
        <f t="shared" si="183"/>
        <v>0</v>
      </c>
      <c r="AN5051" t="s">
        <v>280</v>
      </c>
      <c r="AO5051" s="148" t="s">
        <v>1151</v>
      </c>
      <c r="AP5051" t="s">
        <v>6300</v>
      </c>
      <c r="AQ5051" s="47"/>
    </row>
    <row r="5052" spans="1:44" customFormat="1" ht="15" customHeight="1" x14ac:dyDescent="0.3">
      <c r="A5052" s="371" t="s">
        <v>8323</v>
      </c>
      <c r="B5052" t="s">
        <v>8324</v>
      </c>
      <c r="C5052" s="148" t="s">
        <v>8841</v>
      </c>
      <c r="D5052" t="s">
        <v>8842</v>
      </c>
      <c r="E5052" s="148" t="s">
        <v>8843</v>
      </c>
      <c r="F5052" t="s">
        <v>8844</v>
      </c>
      <c r="G5052" s="372">
        <v>171108</v>
      </c>
      <c r="H5052" t="s">
        <v>8998</v>
      </c>
      <c r="K5052" s="155" t="s">
        <v>8999</v>
      </c>
      <c r="L5052" s="148" t="s">
        <v>9000</v>
      </c>
      <c r="M5052" s="1" t="s">
        <v>9001</v>
      </c>
      <c r="N5052" s="457">
        <v>0</v>
      </c>
      <c r="O5052" s="458">
        <v>2752</v>
      </c>
      <c r="P5052" s="373">
        <v>2752</v>
      </c>
      <c r="Q5052" s="374">
        <v>2752</v>
      </c>
      <c r="R5052" s="373">
        <v>40</v>
      </c>
      <c r="S5052" s="374">
        <v>40</v>
      </c>
      <c r="T5052" t="s">
        <v>9002</v>
      </c>
      <c r="U5052" t="e">
        <f>VLOOKUP(T5052,[8]Votes!$A$1:$E$234,3,FALSE)</f>
        <v>#N/A</v>
      </c>
      <c r="V5052" t="s">
        <v>9003</v>
      </c>
      <c r="W5052" s="45">
        <v>1</v>
      </c>
      <c r="X5052" s="45">
        <v>1</v>
      </c>
      <c r="Y5052" s="45">
        <v>1</v>
      </c>
      <c r="Z5052" s="45">
        <v>0</v>
      </c>
      <c r="AA5052" s="45">
        <v>0</v>
      </c>
      <c r="AB5052" s="45">
        <v>1</v>
      </c>
      <c r="AC5052" s="150">
        <v>1</v>
      </c>
      <c r="AD5052" s="150">
        <v>1</v>
      </c>
      <c r="AE5052" s="49">
        <f t="shared" si="184"/>
        <v>0.75</v>
      </c>
      <c r="AF5052" s="276">
        <v>1</v>
      </c>
      <c r="AG5052" s="17">
        <v>0</v>
      </c>
      <c r="AH5052" s="276">
        <v>0</v>
      </c>
      <c r="AI5052" s="276">
        <v>0</v>
      </c>
      <c r="AJ5052" s="44">
        <v>0</v>
      </c>
      <c r="AK5052" s="154">
        <v>22.69</v>
      </c>
      <c r="AL5052" s="154">
        <v>22.69</v>
      </c>
      <c r="AM5052" s="147">
        <f t="shared" si="183"/>
        <v>45.38</v>
      </c>
      <c r="AN5052" t="s">
        <v>265</v>
      </c>
      <c r="AO5052" s="148" t="s">
        <v>350</v>
      </c>
      <c r="AP5052" t="s">
        <v>9004</v>
      </c>
      <c r="AQ5052" s="10"/>
    </row>
    <row r="5053" spans="1:44" customFormat="1" ht="15" customHeight="1" x14ac:dyDescent="0.3">
      <c r="A5053" s="371" t="s">
        <v>8323</v>
      </c>
      <c r="B5053" t="s">
        <v>8324</v>
      </c>
      <c r="C5053" s="148" t="s">
        <v>8841</v>
      </c>
      <c r="D5053" t="s">
        <v>8842</v>
      </c>
      <c r="E5053" s="148" t="s">
        <v>8843</v>
      </c>
      <c r="F5053" t="s">
        <v>8844</v>
      </c>
      <c r="G5053" s="372">
        <v>171108</v>
      </c>
      <c r="H5053" t="s">
        <v>8998</v>
      </c>
      <c r="K5053" s="155" t="s">
        <v>8999</v>
      </c>
      <c r="L5053" s="148" t="s">
        <v>9000</v>
      </c>
      <c r="M5053" s="1" t="s">
        <v>9001</v>
      </c>
      <c r="N5053" s="457">
        <v>0</v>
      </c>
      <c r="O5053" s="458"/>
      <c r="P5053" s="373"/>
      <c r="Q5053" s="374"/>
      <c r="R5053" s="373"/>
      <c r="S5053" s="374"/>
      <c r="T5053" t="s">
        <v>265</v>
      </c>
      <c r="U5053" t="str">
        <f>VLOOKUP(T5053,[8]Votes!$A$1:$E$234,3,FALSE)</f>
        <v>015 Ministry of Trade, Industry and Cooperatives</v>
      </c>
      <c r="V5053" t="s">
        <v>9005</v>
      </c>
      <c r="W5053" s="45">
        <v>1</v>
      </c>
      <c r="X5053" s="45">
        <v>1</v>
      </c>
      <c r="Y5053" s="45">
        <v>1</v>
      </c>
      <c r="Z5053" s="45">
        <v>1</v>
      </c>
      <c r="AA5053" s="45">
        <v>0</v>
      </c>
      <c r="AB5053" s="45">
        <v>1</v>
      </c>
      <c r="AC5053" s="150">
        <v>1</v>
      </c>
      <c r="AD5053" s="150">
        <v>1</v>
      </c>
      <c r="AE5053" s="49">
        <f t="shared" si="184"/>
        <v>0.875</v>
      </c>
      <c r="AF5053" s="276"/>
      <c r="AG5053" s="17">
        <v>0</v>
      </c>
      <c r="AH5053" s="276">
        <v>0</v>
      </c>
      <c r="AI5053" s="276">
        <v>0</v>
      </c>
      <c r="AJ5053" s="44">
        <v>0</v>
      </c>
      <c r="AK5053" s="158">
        <v>0</v>
      </c>
      <c r="AL5053" s="151">
        <v>0</v>
      </c>
      <c r="AM5053" s="147">
        <f t="shared" si="183"/>
        <v>0</v>
      </c>
      <c r="AN5053" t="s">
        <v>265</v>
      </c>
      <c r="AO5053" s="148" t="s">
        <v>350</v>
      </c>
      <c r="AP5053" t="s">
        <v>9004</v>
      </c>
      <c r="AQ5053" s="47"/>
    </row>
    <row r="5054" spans="1:44" customFormat="1" ht="15" customHeight="1" x14ac:dyDescent="0.3">
      <c r="A5054" s="371" t="s">
        <v>8323</v>
      </c>
      <c r="B5054" t="s">
        <v>8324</v>
      </c>
      <c r="C5054" s="148" t="s">
        <v>8841</v>
      </c>
      <c r="D5054" t="s">
        <v>8842</v>
      </c>
      <c r="E5054" s="148" t="s">
        <v>8843</v>
      </c>
      <c r="F5054" t="s">
        <v>8844</v>
      </c>
      <c r="G5054" s="372">
        <v>171108</v>
      </c>
      <c r="H5054" t="s">
        <v>8998</v>
      </c>
      <c r="K5054" s="155" t="s">
        <v>9006</v>
      </c>
      <c r="L5054" s="148" t="s">
        <v>9007</v>
      </c>
      <c r="M5054" s="1" t="s">
        <v>9008</v>
      </c>
      <c r="N5054" s="457"/>
      <c r="O5054" s="458"/>
      <c r="P5054" s="373"/>
      <c r="Q5054" s="374"/>
      <c r="R5054" s="373"/>
      <c r="S5054" s="374"/>
      <c r="T5054" t="s">
        <v>265</v>
      </c>
      <c r="U5054" t="str">
        <f>VLOOKUP(T5054,[8]Votes!$A$1:$E$234,3,FALSE)</f>
        <v>015 Ministry of Trade, Industry and Cooperatives</v>
      </c>
      <c r="V5054" t="s">
        <v>9009</v>
      </c>
      <c r="W5054" s="45">
        <v>1</v>
      </c>
      <c r="X5054" s="45">
        <v>1</v>
      </c>
      <c r="Y5054" s="45">
        <v>1</v>
      </c>
      <c r="Z5054" s="45">
        <v>1</v>
      </c>
      <c r="AA5054" s="45">
        <v>1</v>
      </c>
      <c r="AB5054" s="45">
        <v>1</v>
      </c>
      <c r="AC5054" s="150">
        <v>1</v>
      </c>
      <c r="AD5054" s="150">
        <v>0</v>
      </c>
      <c r="AE5054" s="49">
        <f t="shared" si="184"/>
        <v>0.875</v>
      </c>
      <c r="AF5054" s="276"/>
      <c r="AG5054" s="17">
        <v>0</v>
      </c>
      <c r="AH5054" s="276">
        <v>0</v>
      </c>
      <c r="AI5054" s="276">
        <v>1.7</v>
      </c>
      <c r="AJ5054" s="44">
        <v>1.8</v>
      </c>
      <c r="AK5054" s="158">
        <v>0</v>
      </c>
      <c r="AL5054" s="151">
        <v>0</v>
      </c>
      <c r="AM5054" s="147">
        <f t="shared" si="183"/>
        <v>0</v>
      </c>
      <c r="AN5054" t="s">
        <v>265</v>
      </c>
      <c r="AO5054" s="148" t="s">
        <v>350</v>
      </c>
      <c r="AP5054" t="s">
        <v>9010</v>
      </c>
      <c r="AQ5054" s="47"/>
    </row>
    <row r="5055" spans="1:44" customFormat="1" ht="15" customHeight="1" x14ac:dyDescent="0.3">
      <c r="A5055" s="371" t="s">
        <v>8323</v>
      </c>
      <c r="B5055" t="s">
        <v>8324</v>
      </c>
      <c r="C5055" s="148" t="s">
        <v>8841</v>
      </c>
      <c r="D5055" t="s">
        <v>8842</v>
      </c>
      <c r="E5055" s="148" t="s">
        <v>8843</v>
      </c>
      <c r="F5055" t="s">
        <v>8844</v>
      </c>
      <c r="G5055" s="372">
        <v>171109</v>
      </c>
      <c r="H5055" t="s">
        <v>9011</v>
      </c>
      <c r="K5055" s="155" t="s">
        <v>9012</v>
      </c>
      <c r="L5055" s="148" t="s">
        <v>9013</v>
      </c>
      <c r="M5055" s="1" t="s">
        <v>9014</v>
      </c>
      <c r="N5055" s="457">
        <v>0</v>
      </c>
      <c r="O5055" s="458">
        <v>56</v>
      </c>
      <c r="P5055" s="374">
        <v>56</v>
      </c>
      <c r="Q5055" s="374">
        <v>56</v>
      </c>
      <c r="R5055" s="374">
        <v>56</v>
      </c>
      <c r="S5055" s="374">
        <v>56</v>
      </c>
      <c r="T5055" t="s">
        <v>9015</v>
      </c>
      <c r="U5055" t="e">
        <f>VLOOKUP(T5055,[8]Votes!$A$1:$E$234,3,FALSE)</f>
        <v>#N/A</v>
      </c>
      <c r="V5055" t="s">
        <v>9016</v>
      </c>
      <c r="W5055" s="45">
        <v>1</v>
      </c>
      <c r="X5055" s="45">
        <v>1</v>
      </c>
      <c r="Y5055" s="45">
        <v>1</v>
      </c>
      <c r="Z5055" s="45">
        <v>1</v>
      </c>
      <c r="AA5055" s="45">
        <v>0</v>
      </c>
      <c r="AB5055" s="45">
        <v>0</v>
      </c>
      <c r="AC5055" s="150">
        <v>1</v>
      </c>
      <c r="AD5055" s="150">
        <v>0</v>
      </c>
      <c r="AE5055" s="49">
        <f t="shared" si="184"/>
        <v>0.625</v>
      </c>
      <c r="AF5055" s="276"/>
      <c r="AG5055" s="17">
        <v>0</v>
      </c>
      <c r="AH5055" s="276">
        <v>0</v>
      </c>
      <c r="AI5055" s="276">
        <v>0</v>
      </c>
      <c r="AJ5055" s="44">
        <v>0</v>
      </c>
      <c r="AK5055" s="158">
        <v>0</v>
      </c>
      <c r="AL5055" s="151">
        <v>0</v>
      </c>
      <c r="AM5055" s="147">
        <f t="shared" si="183"/>
        <v>0</v>
      </c>
      <c r="AN5055" t="s">
        <v>92</v>
      </c>
      <c r="AO5055" s="148" t="s">
        <v>118</v>
      </c>
      <c r="AP5055" t="s">
        <v>9017</v>
      </c>
      <c r="AQ5055" s="45"/>
    </row>
    <row r="5056" spans="1:44" customFormat="1" ht="15" customHeight="1" x14ac:dyDescent="0.3">
      <c r="A5056" s="371" t="s">
        <v>8323</v>
      </c>
      <c r="B5056" t="s">
        <v>8324</v>
      </c>
      <c r="C5056" s="148" t="s">
        <v>8841</v>
      </c>
      <c r="D5056" t="s">
        <v>8842</v>
      </c>
      <c r="E5056" s="148" t="s">
        <v>8843</v>
      </c>
      <c r="F5056" t="s">
        <v>8844</v>
      </c>
      <c r="G5056" s="372">
        <v>171110</v>
      </c>
      <c r="H5056" t="s">
        <v>9018</v>
      </c>
      <c r="K5056" s="155" t="s">
        <v>9019</v>
      </c>
      <c r="L5056" s="148" t="s">
        <v>9020</v>
      </c>
      <c r="M5056" s="1" t="s">
        <v>9021</v>
      </c>
      <c r="N5056" s="457">
        <v>0</v>
      </c>
      <c r="O5056" s="458">
        <v>56</v>
      </c>
      <c r="P5056" s="374">
        <v>56</v>
      </c>
      <c r="Q5056" s="374">
        <v>56</v>
      </c>
      <c r="R5056" s="374">
        <v>56</v>
      </c>
      <c r="S5056" s="374">
        <v>56</v>
      </c>
      <c r="T5056" t="s">
        <v>9022</v>
      </c>
      <c r="U5056" t="e">
        <f>VLOOKUP(T5056,[8]Votes!$A$1:$E$234,3,FALSE)</f>
        <v>#N/A</v>
      </c>
      <c r="V5056" t="s">
        <v>9023</v>
      </c>
      <c r="W5056" s="45">
        <v>1</v>
      </c>
      <c r="X5056" s="45">
        <v>0</v>
      </c>
      <c r="Y5056" s="45">
        <v>0</v>
      </c>
      <c r="Z5056" s="45">
        <v>1</v>
      </c>
      <c r="AA5056" s="45">
        <v>1</v>
      </c>
      <c r="AB5056" s="45">
        <v>0</v>
      </c>
      <c r="AC5056" s="150">
        <v>1</v>
      </c>
      <c r="AD5056" s="150">
        <v>1</v>
      </c>
      <c r="AE5056" s="49">
        <f t="shared" si="184"/>
        <v>0.625</v>
      </c>
      <c r="AF5056" s="276"/>
      <c r="AG5056" s="17">
        <v>0</v>
      </c>
      <c r="AH5056" s="276">
        <v>0</v>
      </c>
      <c r="AI5056" s="276">
        <v>1.7</v>
      </c>
      <c r="AJ5056" s="44">
        <v>1.8</v>
      </c>
      <c r="AK5056" s="158">
        <v>0</v>
      </c>
      <c r="AL5056" s="151">
        <v>0</v>
      </c>
      <c r="AM5056" s="147">
        <f t="shared" si="183"/>
        <v>0</v>
      </c>
      <c r="AN5056" t="s">
        <v>265</v>
      </c>
      <c r="AO5056" s="148" t="s">
        <v>350</v>
      </c>
      <c r="AP5056" t="s">
        <v>9024</v>
      </c>
      <c r="AQ5056" s="45"/>
    </row>
    <row r="5057" spans="1:43" customFormat="1" ht="15" customHeight="1" x14ac:dyDescent="0.3">
      <c r="A5057" s="371" t="s">
        <v>8323</v>
      </c>
      <c r="B5057" t="s">
        <v>8324</v>
      </c>
      <c r="C5057" s="148" t="s">
        <v>8841</v>
      </c>
      <c r="D5057" t="s">
        <v>8842</v>
      </c>
      <c r="E5057" s="148" t="s">
        <v>8843</v>
      </c>
      <c r="F5057" t="s">
        <v>8844</v>
      </c>
      <c r="G5057" s="372">
        <v>171110</v>
      </c>
      <c r="H5057" t="s">
        <v>9018</v>
      </c>
      <c r="K5057" s="155" t="s">
        <v>9019</v>
      </c>
      <c r="L5057" s="148" t="s">
        <v>9020</v>
      </c>
      <c r="M5057" s="1" t="s">
        <v>9021</v>
      </c>
      <c r="N5057" s="457">
        <v>0</v>
      </c>
      <c r="O5057" s="458"/>
      <c r="P5057" s="374"/>
      <c r="Q5057" s="374"/>
      <c r="R5057" s="374"/>
      <c r="S5057" s="374"/>
      <c r="T5057" t="s">
        <v>280</v>
      </c>
      <c r="U5057" t="str">
        <f>VLOOKUP(T5057,[8]Votes!$A$1:$E$234,3,FALSE)</f>
        <v>011 Ministry of Local Government</v>
      </c>
      <c r="V5057" t="s">
        <v>9025</v>
      </c>
      <c r="W5057" s="45">
        <v>1</v>
      </c>
      <c r="X5057" s="45">
        <v>0</v>
      </c>
      <c r="Y5057" s="45">
        <v>0</v>
      </c>
      <c r="Z5057" s="45">
        <v>1</v>
      </c>
      <c r="AA5057" s="45">
        <v>0</v>
      </c>
      <c r="AB5057" s="45">
        <v>0</v>
      </c>
      <c r="AC5057" s="150">
        <v>1</v>
      </c>
      <c r="AD5057" s="150">
        <v>0</v>
      </c>
      <c r="AE5057" s="49">
        <f t="shared" si="184"/>
        <v>0.375</v>
      </c>
      <c r="AF5057" s="276"/>
      <c r="AG5057" s="17">
        <v>0</v>
      </c>
      <c r="AH5057" s="276">
        <v>0</v>
      </c>
      <c r="AI5057" s="276">
        <v>0</v>
      </c>
      <c r="AJ5057" s="44">
        <v>0.5</v>
      </c>
      <c r="AK5057" s="158">
        <v>0</v>
      </c>
      <c r="AL5057" s="151">
        <v>0</v>
      </c>
      <c r="AM5057" s="147">
        <f t="shared" si="183"/>
        <v>0</v>
      </c>
      <c r="AN5057" t="s">
        <v>280</v>
      </c>
      <c r="AO5057" s="148" t="s">
        <v>1151</v>
      </c>
      <c r="AP5057" t="s">
        <v>9026</v>
      </c>
      <c r="AQ5057" s="47"/>
    </row>
    <row r="5058" spans="1:43" customFormat="1" ht="15" customHeight="1" x14ac:dyDescent="0.3">
      <c r="A5058" s="371" t="s">
        <v>8323</v>
      </c>
      <c r="B5058" t="s">
        <v>8324</v>
      </c>
      <c r="C5058" s="148" t="s">
        <v>8841</v>
      </c>
      <c r="D5058" t="s">
        <v>8842</v>
      </c>
      <c r="E5058" s="148" t="s">
        <v>8843</v>
      </c>
      <c r="F5058" t="s">
        <v>8844</v>
      </c>
      <c r="G5058" s="372">
        <v>171110</v>
      </c>
      <c r="H5058" t="s">
        <v>9018</v>
      </c>
      <c r="K5058" s="155" t="s">
        <v>9019</v>
      </c>
      <c r="L5058" s="148" t="s">
        <v>9020</v>
      </c>
      <c r="M5058" s="1" t="s">
        <v>9021</v>
      </c>
      <c r="N5058" s="457">
        <v>0</v>
      </c>
      <c r="O5058" s="458"/>
      <c r="P5058" s="374"/>
      <c r="Q5058" s="374"/>
      <c r="R5058" s="374"/>
      <c r="S5058" s="374"/>
      <c r="T5058" t="s">
        <v>255</v>
      </c>
      <c r="U5058" t="str">
        <f>VLOOKUP(T5058,[8]Votes!$A$1:$E$234,3,FALSE)</f>
        <v>500 501-850 Local Governments</v>
      </c>
      <c r="V5058" t="s">
        <v>9027</v>
      </c>
      <c r="W5058" s="45">
        <v>1</v>
      </c>
      <c r="X5058" s="45">
        <v>1</v>
      </c>
      <c r="Y5058" s="45">
        <v>1</v>
      </c>
      <c r="Z5058" s="45">
        <v>1</v>
      </c>
      <c r="AA5058" s="45">
        <v>1</v>
      </c>
      <c r="AB5058" s="45">
        <v>1</v>
      </c>
      <c r="AC5058" s="150">
        <v>1</v>
      </c>
      <c r="AD5058" s="150">
        <v>1</v>
      </c>
      <c r="AE5058" s="49">
        <f t="shared" si="184"/>
        <v>1</v>
      </c>
      <c r="AF5058" s="276"/>
      <c r="AG5058" s="17">
        <v>0</v>
      </c>
      <c r="AH5058" s="276">
        <v>0</v>
      </c>
      <c r="AI5058" s="276">
        <v>7.1</v>
      </c>
      <c r="AJ5058" s="44">
        <v>7.1</v>
      </c>
      <c r="AK5058" s="158">
        <v>7.1</v>
      </c>
      <c r="AL5058" s="151">
        <v>7.1</v>
      </c>
      <c r="AM5058" s="147">
        <f t="shared" si="183"/>
        <v>14.2</v>
      </c>
      <c r="AN5058" t="s">
        <v>255</v>
      </c>
      <c r="AO5058" s="148" t="s">
        <v>1045</v>
      </c>
      <c r="AP5058" t="s">
        <v>9028</v>
      </c>
      <c r="AQ5058" s="47"/>
    </row>
    <row r="5059" spans="1:43" s="45" customFormat="1" x14ac:dyDescent="0.3">
      <c r="A5059" s="371" t="s">
        <v>8323</v>
      </c>
      <c r="B5059" t="s">
        <v>8324</v>
      </c>
      <c r="C5059" s="148" t="s">
        <v>8841</v>
      </c>
      <c r="D5059" t="s">
        <v>8842</v>
      </c>
      <c r="E5059" s="148" t="s">
        <v>8843</v>
      </c>
      <c r="F5059" t="s">
        <v>8844</v>
      </c>
      <c r="G5059" s="372">
        <v>171111</v>
      </c>
      <c r="H5059" t="s">
        <v>9029</v>
      </c>
      <c r="I5059"/>
      <c r="J5059"/>
      <c r="K5059" s="155" t="s">
        <v>9030</v>
      </c>
      <c r="L5059" s="148" t="s">
        <v>9031</v>
      </c>
      <c r="M5059" s="1" t="s">
        <v>9032</v>
      </c>
      <c r="N5059" s="457">
        <v>0</v>
      </c>
      <c r="O5059" s="458"/>
      <c r="P5059" s="374"/>
      <c r="Q5059" s="374"/>
      <c r="R5059" s="374"/>
      <c r="S5059" s="374"/>
      <c r="T5059" t="s">
        <v>255</v>
      </c>
      <c r="U5059" t="str">
        <f>VLOOKUP(T5059,[8]Votes!$A$1:$E$234,3,FALSE)</f>
        <v>500 501-850 Local Governments</v>
      </c>
      <c r="V5059" t="s">
        <v>9033</v>
      </c>
      <c r="W5059" s="45">
        <v>1</v>
      </c>
      <c r="X5059" s="45">
        <v>1</v>
      </c>
      <c r="Y5059" s="45">
        <v>1</v>
      </c>
      <c r="Z5059" s="45">
        <v>1</v>
      </c>
      <c r="AA5059" s="45">
        <v>1</v>
      </c>
      <c r="AB5059" s="45">
        <v>1</v>
      </c>
      <c r="AC5059" s="150">
        <v>1</v>
      </c>
      <c r="AD5059" s="150">
        <v>0</v>
      </c>
      <c r="AE5059" s="49">
        <f t="shared" si="184"/>
        <v>0.875</v>
      </c>
      <c r="AF5059" s="276"/>
      <c r="AG5059" s="17">
        <v>0</v>
      </c>
      <c r="AH5059" s="276">
        <v>0</v>
      </c>
      <c r="AI5059" s="276">
        <v>6</v>
      </c>
      <c r="AJ5059" s="44">
        <v>7</v>
      </c>
      <c r="AK5059" s="158">
        <v>0</v>
      </c>
      <c r="AL5059" s="151">
        <v>0</v>
      </c>
      <c r="AM5059" s="147">
        <f t="shared" si="183"/>
        <v>0</v>
      </c>
      <c r="AN5059" t="s">
        <v>255</v>
      </c>
      <c r="AO5059" s="148" t="s">
        <v>1045</v>
      </c>
      <c r="AP5059" t="s">
        <v>9034</v>
      </c>
      <c r="AQ5059" s="282"/>
    </row>
    <row r="5060" spans="1:43" s="45" customFormat="1" ht="13.95" customHeight="1" x14ac:dyDescent="0.3">
      <c r="A5060" s="371" t="s">
        <v>8323</v>
      </c>
      <c r="B5060" t="s">
        <v>8324</v>
      </c>
      <c r="C5060" s="148" t="s">
        <v>8841</v>
      </c>
      <c r="D5060" t="s">
        <v>8842</v>
      </c>
      <c r="E5060" s="148" t="s">
        <v>8843</v>
      </c>
      <c r="F5060" t="s">
        <v>8844</v>
      </c>
      <c r="G5060" s="375">
        <v>171111</v>
      </c>
      <c r="H5060" t="s">
        <v>9029</v>
      </c>
      <c r="I5060"/>
      <c r="J5060"/>
      <c r="K5060" s="155" t="s">
        <v>9030</v>
      </c>
      <c r="L5060" s="148" t="s">
        <v>9031</v>
      </c>
      <c r="M5060" s="1" t="s">
        <v>9032</v>
      </c>
      <c r="N5060" s="457">
        <v>0</v>
      </c>
      <c r="O5060" s="458"/>
      <c r="P5060" s="374"/>
      <c r="Q5060" s="374"/>
      <c r="R5060" s="374"/>
      <c r="S5060" s="374"/>
      <c r="T5060" t="s">
        <v>255</v>
      </c>
      <c r="U5060" t="str">
        <f>VLOOKUP(T5060,[8]Votes!$A$1:$E$234,3,FALSE)</f>
        <v>500 501-850 Local Governments</v>
      </c>
      <c r="V5060" t="s">
        <v>9035</v>
      </c>
      <c r="W5060" s="45">
        <v>1</v>
      </c>
      <c r="X5060" s="45">
        <v>1</v>
      </c>
      <c r="Y5060" s="45">
        <v>1</v>
      </c>
      <c r="Z5060" s="45">
        <v>1</v>
      </c>
      <c r="AA5060" s="45">
        <v>1</v>
      </c>
      <c r="AB5060" s="45">
        <v>1</v>
      </c>
      <c r="AC5060" s="150">
        <v>1</v>
      </c>
      <c r="AD5060" s="150">
        <v>1</v>
      </c>
      <c r="AE5060" s="49">
        <f t="shared" si="184"/>
        <v>1</v>
      </c>
      <c r="AF5060" s="276"/>
      <c r="AG5060" s="17">
        <v>0</v>
      </c>
      <c r="AH5060" s="276">
        <v>0</v>
      </c>
      <c r="AI5060" s="276">
        <v>15</v>
      </c>
      <c r="AJ5060" s="44">
        <v>15</v>
      </c>
      <c r="AK5060" s="158">
        <v>15</v>
      </c>
      <c r="AL5060" s="151">
        <v>15</v>
      </c>
      <c r="AM5060" s="147">
        <f t="shared" si="183"/>
        <v>30</v>
      </c>
      <c r="AN5060" t="s">
        <v>255</v>
      </c>
      <c r="AO5060" s="148" t="s">
        <v>1045</v>
      </c>
      <c r="AP5060" t="s">
        <v>9036</v>
      </c>
      <c r="AQ5060" s="47"/>
    </row>
    <row r="5061" spans="1:43" s="45" customFormat="1" ht="13.95" customHeight="1" x14ac:dyDescent="0.3">
      <c r="A5061" s="371" t="s">
        <v>8323</v>
      </c>
      <c r="B5061" t="s">
        <v>8324</v>
      </c>
      <c r="C5061" s="148" t="s">
        <v>9037</v>
      </c>
      <c r="D5061" t="s">
        <v>9038</v>
      </c>
      <c r="E5061" s="148" t="s">
        <v>9039</v>
      </c>
      <c r="F5061" t="s">
        <v>9040</v>
      </c>
      <c r="G5061" s="376" t="s">
        <v>9041</v>
      </c>
      <c r="H5061" t="s">
        <v>9042</v>
      </c>
      <c r="I5061"/>
      <c r="J5061"/>
      <c r="K5061" s="155" t="s">
        <v>9043</v>
      </c>
      <c r="L5061" s="148" t="s">
        <v>9044</v>
      </c>
      <c r="M5061" s="1" t="s">
        <v>9045</v>
      </c>
      <c r="N5061" s="457">
        <v>0</v>
      </c>
      <c r="O5061" s="458">
        <v>8960</v>
      </c>
      <c r="P5061" s="374">
        <v>4480</v>
      </c>
      <c r="Q5061" s="374">
        <v>4480</v>
      </c>
      <c r="R5061" s="374">
        <v>4480</v>
      </c>
      <c r="S5061" s="374">
        <v>4480</v>
      </c>
      <c r="T5061" t="s">
        <v>9046</v>
      </c>
      <c r="U5061" t="e">
        <f>VLOOKUP(T5061,[8]Votes!$A$1:$E$234,3,FALSE)</f>
        <v>#N/A</v>
      </c>
      <c r="V5061" t="s">
        <v>9047</v>
      </c>
      <c r="W5061" s="45">
        <v>1</v>
      </c>
      <c r="X5061" s="45">
        <v>1</v>
      </c>
      <c r="Y5061" s="45">
        <v>1</v>
      </c>
      <c r="Z5061" s="45">
        <v>0</v>
      </c>
      <c r="AA5061" s="45">
        <v>1</v>
      </c>
      <c r="AB5061" s="45">
        <v>1</v>
      </c>
      <c r="AC5061" s="150">
        <v>1</v>
      </c>
      <c r="AD5061" s="150">
        <v>1</v>
      </c>
      <c r="AE5061" s="49">
        <f t="shared" si="184"/>
        <v>0.875</v>
      </c>
      <c r="AF5061" s="276"/>
      <c r="AG5061" s="17">
        <v>0</v>
      </c>
      <c r="AH5061" s="276">
        <v>0</v>
      </c>
      <c r="AI5061" s="276">
        <v>680</v>
      </c>
      <c r="AJ5061" s="44">
        <v>720</v>
      </c>
      <c r="AK5061" s="158">
        <v>0</v>
      </c>
      <c r="AL5061" s="151">
        <v>0</v>
      </c>
      <c r="AM5061" s="147">
        <f t="shared" si="183"/>
        <v>0</v>
      </c>
      <c r="AN5061" t="s">
        <v>255</v>
      </c>
      <c r="AO5061" s="148" t="s">
        <v>1045</v>
      </c>
      <c r="AP5061" t="s">
        <v>9048</v>
      </c>
      <c r="AQ5061" s="282"/>
    </row>
    <row r="5062" spans="1:43" s="45" customFormat="1" x14ac:dyDescent="0.3">
      <c r="A5062" s="371" t="s">
        <v>8323</v>
      </c>
      <c r="B5062" t="s">
        <v>8324</v>
      </c>
      <c r="C5062" s="148" t="s">
        <v>9037</v>
      </c>
      <c r="D5062" t="s">
        <v>9038</v>
      </c>
      <c r="E5062" s="148" t="s">
        <v>9039</v>
      </c>
      <c r="F5062" t="s">
        <v>9040</v>
      </c>
      <c r="G5062" s="376" t="s">
        <v>9041</v>
      </c>
      <c r="H5062" t="s">
        <v>9042</v>
      </c>
      <c r="I5062"/>
      <c r="J5062"/>
      <c r="K5062" s="155" t="s">
        <v>9043</v>
      </c>
      <c r="L5062" s="148" t="s">
        <v>9044</v>
      </c>
      <c r="M5062" s="1" t="s">
        <v>9045</v>
      </c>
      <c r="N5062" s="457">
        <v>0</v>
      </c>
      <c r="O5062" s="458"/>
      <c r="P5062" s="374"/>
      <c r="Q5062" s="374"/>
      <c r="R5062" s="374"/>
      <c r="S5062" s="374"/>
      <c r="T5062" t="s">
        <v>255</v>
      </c>
      <c r="U5062" t="str">
        <f>VLOOKUP(T5062,[8]Votes!$A$1:$E$234,3,FALSE)</f>
        <v>500 501-850 Local Governments</v>
      </c>
      <c r="V5062" t="s">
        <v>9049</v>
      </c>
      <c r="W5062" s="45">
        <v>1</v>
      </c>
      <c r="X5062" s="45">
        <v>1</v>
      </c>
      <c r="Y5062" s="45">
        <v>1</v>
      </c>
      <c r="Z5062" s="45">
        <v>0</v>
      </c>
      <c r="AA5062" s="45">
        <v>1</v>
      </c>
      <c r="AB5062" s="45">
        <v>1</v>
      </c>
      <c r="AC5062" s="150">
        <v>1</v>
      </c>
      <c r="AD5062" s="150">
        <v>1</v>
      </c>
      <c r="AE5062" s="49">
        <f t="shared" si="184"/>
        <v>0.875</v>
      </c>
      <c r="AF5062" s="276"/>
      <c r="AG5062" s="17">
        <v>0</v>
      </c>
      <c r="AH5062" s="276">
        <v>0</v>
      </c>
      <c r="AI5062" s="276">
        <v>340</v>
      </c>
      <c r="AJ5062" s="44">
        <v>360</v>
      </c>
      <c r="AK5062" s="158">
        <v>0</v>
      </c>
      <c r="AL5062" s="151">
        <v>0</v>
      </c>
      <c r="AM5062" s="147">
        <f t="shared" si="183"/>
        <v>0</v>
      </c>
      <c r="AN5062" t="s">
        <v>255</v>
      </c>
      <c r="AO5062" s="148" t="s">
        <v>1045</v>
      </c>
      <c r="AP5062" t="s">
        <v>9050</v>
      </c>
      <c r="AQ5062" s="47"/>
    </row>
    <row r="5063" spans="1:43" s="45" customFormat="1" x14ac:dyDescent="0.3">
      <c r="A5063" s="371" t="s">
        <v>8323</v>
      </c>
      <c r="B5063" t="s">
        <v>8324</v>
      </c>
      <c r="C5063" s="148" t="s">
        <v>9037</v>
      </c>
      <c r="D5063" t="s">
        <v>9038</v>
      </c>
      <c r="E5063" s="148" t="s">
        <v>9039</v>
      </c>
      <c r="F5063" t="s">
        <v>9040</v>
      </c>
      <c r="G5063" s="376" t="s">
        <v>9041</v>
      </c>
      <c r="H5063" t="s">
        <v>9042</v>
      </c>
      <c r="I5063"/>
      <c r="J5063"/>
      <c r="K5063" s="155" t="s">
        <v>9043</v>
      </c>
      <c r="L5063" s="148" t="s">
        <v>9044</v>
      </c>
      <c r="M5063" s="1" t="s">
        <v>9045</v>
      </c>
      <c r="N5063" s="457">
        <v>0</v>
      </c>
      <c r="O5063" s="458"/>
      <c r="P5063" s="374"/>
      <c r="Q5063" s="374"/>
      <c r="R5063" s="374"/>
      <c r="S5063" s="374"/>
      <c r="T5063" t="s">
        <v>255</v>
      </c>
      <c r="U5063" t="str">
        <f>VLOOKUP(T5063,[8]Votes!$A$1:$E$234,3,FALSE)</f>
        <v>500 501-850 Local Governments</v>
      </c>
      <c r="V5063" t="s">
        <v>9051</v>
      </c>
      <c r="W5063" s="45">
        <v>1</v>
      </c>
      <c r="X5063" s="45">
        <v>1</v>
      </c>
      <c r="Y5063" s="45">
        <v>1</v>
      </c>
      <c r="Z5063" s="45">
        <v>0</v>
      </c>
      <c r="AA5063" s="45">
        <v>1</v>
      </c>
      <c r="AB5063" s="45">
        <v>1</v>
      </c>
      <c r="AC5063" s="150">
        <v>1</v>
      </c>
      <c r="AD5063" s="150">
        <v>1</v>
      </c>
      <c r="AE5063" s="49">
        <f t="shared" si="184"/>
        <v>0.875</v>
      </c>
      <c r="AF5063" s="276"/>
      <c r="AG5063" s="17">
        <v>0</v>
      </c>
      <c r="AH5063" s="276">
        <v>0</v>
      </c>
      <c r="AI5063" s="276">
        <v>340</v>
      </c>
      <c r="AJ5063" s="44">
        <v>360</v>
      </c>
      <c r="AK5063" s="158">
        <v>0</v>
      </c>
      <c r="AL5063" s="151">
        <v>0</v>
      </c>
      <c r="AM5063" s="147">
        <f t="shared" si="183"/>
        <v>0</v>
      </c>
      <c r="AN5063" t="s">
        <v>255</v>
      </c>
      <c r="AO5063" s="148" t="s">
        <v>1045</v>
      </c>
      <c r="AP5063" t="s">
        <v>9050</v>
      </c>
      <c r="AQ5063" s="47"/>
    </row>
    <row r="5064" spans="1:43" s="45" customFormat="1" ht="17.55" customHeight="1" x14ac:dyDescent="0.3">
      <c r="A5064" s="371" t="s">
        <v>8323</v>
      </c>
      <c r="B5064" t="s">
        <v>8324</v>
      </c>
      <c r="C5064" s="148" t="s">
        <v>9037</v>
      </c>
      <c r="D5064" t="s">
        <v>9038</v>
      </c>
      <c r="E5064" s="148" t="s">
        <v>9039</v>
      </c>
      <c r="F5064" t="s">
        <v>9040</v>
      </c>
      <c r="G5064" s="376" t="s">
        <v>9052</v>
      </c>
      <c r="H5064" t="s">
        <v>9053</v>
      </c>
      <c r="I5064"/>
      <c r="J5064"/>
      <c r="K5064" s="155" t="s">
        <v>9054</v>
      </c>
      <c r="L5064" s="148" t="s">
        <v>9055</v>
      </c>
      <c r="M5064" s="1" t="s">
        <v>9056</v>
      </c>
      <c r="N5064" s="457">
        <v>0</v>
      </c>
      <c r="O5064" s="458">
        <v>160</v>
      </c>
      <c r="P5064" s="374">
        <v>160</v>
      </c>
      <c r="Q5064" s="374">
        <v>160</v>
      </c>
      <c r="R5064" s="374">
        <v>160</v>
      </c>
      <c r="S5064" s="374">
        <v>160</v>
      </c>
      <c r="T5064" t="s">
        <v>63</v>
      </c>
      <c r="U5064" t="str">
        <f>VLOOKUP(T5064,[8]Votes!$A$1:$E$234,3,FALSE)</f>
        <v>016 Ministry of Works and Transport</v>
      </c>
      <c r="V5064" t="s">
        <v>9057</v>
      </c>
      <c r="W5064" s="45">
        <v>1</v>
      </c>
      <c r="X5064" s="45">
        <v>1</v>
      </c>
      <c r="Y5064" s="45">
        <v>1</v>
      </c>
      <c r="Z5064" s="45">
        <v>0</v>
      </c>
      <c r="AA5064" s="45">
        <v>1</v>
      </c>
      <c r="AB5064" s="45">
        <v>1</v>
      </c>
      <c r="AC5064" s="150">
        <v>1</v>
      </c>
      <c r="AD5064" s="150">
        <v>1</v>
      </c>
      <c r="AE5064" s="49">
        <f t="shared" si="184"/>
        <v>0.875</v>
      </c>
      <c r="AF5064" s="276"/>
      <c r="AG5064" s="17">
        <v>0</v>
      </c>
      <c r="AH5064" s="276">
        <v>0</v>
      </c>
      <c r="AI5064" s="276">
        <v>0</v>
      </c>
      <c r="AJ5064" s="44">
        <v>0</v>
      </c>
      <c r="AK5064" s="158">
        <v>0</v>
      </c>
      <c r="AL5064" s="151">
        <v>0</v>
      </c>
      <c r="AM5064" s="147">
        <f t="shared" si="183"/>
        <v>0</v>
      </c>
      <c r="AN5064" t="s">
        <v>63</v>
      </c>
      <c r="AO5064" s="148" t="s">
        <v>2510</v>
      </c>
      <c r="AP5064" t="s">
        <v>9058</v>
      </c>
    </row>
    <row r="5065" spans="1:43" s="45" customFormat="1" ht="15.45" customHeight="1" x14ac:dyDescent="0.3">
      <c r="A5065" s="371" t="s">
        <v>8323</v>
      </c>
      <c r="B5065" t="s">
        <v>8324</v>
      </c>
      <c r="C5065" s="148" t="s">
        <v>9037</v>
      </c>
      <c r="D5065" t="s">
        <v>9038</v>
      </c>
      <c r="E5065" s="148" t="s">
        <v>9039</v>
      </c>
      <c r="F5065" t="s">
        <v>9040</v>
      </c>
      <c r="G5065" s="376" t="s">
        <v>9052</v>
      </c>
      <c r="H5065" t="s">
        <v>9053</v>
      </c>
      <c r="I5065"/>
      <c r="J5065"/>
      <c r="K5065" s="155" t="s">
        <v>9059</v>
      </c>
      <c r="L5065" s="148" t="s">
        <v>9060</v>
      </c>
      <c r="M5065" s="1" t="s">
        <v>9061</v>
      </c>
      <c r="N5065" s="457">
        <v>0</v>
      </c>
      <c r="O5065" s="458"/>
      <c r="P5065" s="374"/>
      <c r="Q5065" s="374"/>
      <c r="R5065" s="374"/>
      <c r="S5065" s="374"/>
      <c r="T5065" t="s">
        <v>63</v>
      </c>
      <c r="U5065" t="str">
        <f>VLOOKUP(T5065,[8]Votes!$A$1:$E$234,3,FALSE)</f>
        <v>016 Ministry of Works and Transport</v>
      </c>
      <c r="V5065" t="s">
        <v>9062</v>
      </c>
      <c r="W5065" s="45">
        <v>1</v>
      </c>
      <c r="X5065" s="45">
        <v>1</v>
      </c>
      <c r="Y5065" s="45">
        <v>1</v>
      </c>
      <c r="Z5065" s="45">
        <v>0</v>
      </c>
      <c r="AA5065" s="45">
        <v>0</v>
      </c>
      <c r="AB5065" s="45">
        <v>1</v>
      </c>
      <c r="AC5065" s="150">
        <v>1</v>
      </c>
      <c r="AD5065" s="150">
        <v>1</v>
      </c>
      <c r="AE5065" s="49">
        <f t="shared" si="184"/>
        <v>0.75</v>
      </c>
      <c r="AF5065" s="276"/>
      <c r="AG5065" s="17">
        <v>0</v>
      </c>
      <c r="AH5065" s="276">
        <v>0</v>
      </c>
      <c r="AI5065" s="276">
        <v>0</v>
      </c>
      <c r="AJ5065" s="44">
        <v>0</v>
      </c>
      <c r="AK5065" s="158">
        <v>0</v>
      </c>
      <c r="AL5065" s="151">
        <v>0</v>
      </c>
      <c r="AM5065" s="147">
        <f t="shared" si="183"/>
        <v>0</v>
      </c>
      <c r="AN5065" t="s">
        <v>63</v>
      </c>
      <c r="AO5065" s="148" t="s">
        <v>2510</v>
      </c>
      <c r="AP5065" t="s">
        <v>9058</v>
      </c>
    </row>
    <row r="5066" spans="1:43" s="45" customFormat="1" x14ac:dyDescent="0.3">
      <c r="A5066" s="371" t="s">
        <v>8323</v>
      </c>
      <c r="B5066" t="s">
        <v>8324</v>
      </c>
      <c r="C5066" s="148" t="s">
        <v>9037</v>
      </c>
      <c r="D5066" t="s">
        <v>9038</v>
      </c>
      <c r="E5066" s="148" t="s">
        <v>9039</v>
      </c>
      <c r="F5066" t="s">
        <v>9040</v>
      </c>
      <c r="G5066" s="376" t="s">
        <v>9063</v>
      </c>
      <c r="H5066" t="s">
        <v>9064</v>
      </c>
      <c r="I5066"/>
      <c r="J5066"/>
      <c r="K5066" s="155" t="s">
        <v>9065</v>
      </c>
      <c r="L5066" s="148" t="s">
        <v>9066</v>
      </c>
      <c r="M5066" s="1" t="s">
        <v>9067</v>
      </c>
      <c r="N5066" s="457"/>
      <c r="O5066" s="458">
        <v>175</v>
      </c>
      <c r="P5066" s="374">
        <v>106</v>
      </c>
      <c r="Q5066" s="374">
        <v>106</v>
      </c>
      <c r="R5066" s="374">
        <v>106</v>
      </c>
      <c r="S5066" s="374">
        <v>80</v>
      </c>
      <c r="T5066" t="s">
        <v>1035</v>
      </c>
      <c r="U5066" t="str">
        <f>VLOOKUP(T5066,[8]Votes!$A$1:$E$234,3,FALSE)</f>
        <v>017 Ministry of Energy and Mineral Development</v>
      </c>
      <c r="V5066" t="s">
        <v>9068</v>
      </c>
      <c r="W5066" s="45">
        <v>1</v>
      </c>
      <c r="X5066" s="45">
        <v>1</v>
      </c>
      <c r="Y5066" s="45">
        <v>1</v>
      </c>
      <c r="Z5066" s="45">
        <v>0</v>
      </c>
      <c r="AA5066" s="45">
        <v>0</v>
      </c>
      <c r="AB5066" s="45">
        <v>1</v>
      </c>
      <c r="AC5066" s="150">
        <v>1</v>
      </c>
      <c r="AD5066" s="150">
        <v>1</v>
      </c>
      <c r="AE5066" s="49">
        <f t="shared" si="184"/>
        <v>0.75</v>
      </c>
      <c r="AF5066" s="276">
        <v>1</v>
      </c>
      <c r="AG5066" s="17">
        <v>0</v>
      </c>
      <c r="AH5066" s="276">
        <v>0</v>
      </c>
      <c r="AI5066" s="276">
        <v>0</v>
      </c>
      <c r="AJ5066" s="44">
        <v>0</v>
      </c>
      <c r="AK5066" s="158">
        <v>0</v>
      </c>
      <c r="AL5066" s="151">
        <v>0</v>
      </c>
      <c r="AM5066" s="147">
        <f t="shared" si="183"/>
        <v>0</v>
      </c>
      <c r="AN5066" t="s">
        <v>1035</v>
      </c>
      <c r="AO5066" s="148" t="s">
        <v>1037</v>
      </c>
      <c r="AP5066" t="s">
        <v>9069</v>
      </c>
      <c r="AQ5066" s="47"/>
    </row>
    <row r="5067" spans="1:43" s="45" customFormat="1" x14ac:dyDescent="0.3">
      <c r="A5067" s="371" t="s">
        <v>8323</v>
      </c>
      <c r="B5067" t="s">
        <v>8324</v>
      </c>
      <c r="C5067" s="148" t="s">
        <v>9037</v>
      </c>
      <c r="D5067" t="s">
        <v>9038</v>
      </c>
      <c r="E5067" s="148" t="s">
        <v>9039</v>
      </c>
      <c r="F5067" t="s">
        <v>9040</v>
      </c>
      <c r="G5067" s="376" t="s">
        <v>9063</v>
      </c>
      <c r="H5067" t="s">
        <v>9064</v>
      </c>
      <c r="I5067"/>
      <c r="J5067"/>
      <c r="K5067" s="155" t="s">
        <v>9070</v>
      </c>
      <c r="L5067" s="148" t="s">
        <v>9071</v>
      </c>
      <c r="M5067" s="1" t="s">
        <v>9072</v>
      </c>
      <c r="N5067" s="457">
        <v>0</v>
      </c>
      <c r="O5067" s="458"/>
      <c r="P5067" s="374"/>
      <c r="Q5067" s="374"/>
      <c r="R5067" s="374"/>
      <c r="S5067" s="374"/>
      <c r="T5067" t="s">
        <v>1035</v>
      </c>
      <c r="U5067" t="str">
        <f>VLOOKUP(T5067,[8]Votes!$A$1:$E$234,3,FALSE)</f>
        <v>017 Ministry of Energy and Mineral Development</v>
      </c>
      <c r="V5067" t="s">
        <v>9073</v>
      </c>
      <c r="W5067" s="45">
        <v>1</v>
      </c>
      <c r="X5067" s="45">
        <v>1</v>
      </c>
      <c r="Y5067" s="45">
        <v>1</v>
      </c>
      <c r="Z5067" s="45">
        <v>0</v>
      </c>
      <c r="AA5067" s="45">
        <v>0</v>
      </c>
      <c r="AB5067" s="45">
        <v>1</v>
      </c>
      <c r="AC5067" s="150">
        <v>1</v>
      </c>
      <c r="AD5067" s="150">
        <v>1</v>
      </c>
      <c r="AE5067" s="49">
        <f t="shared" si="184"/>
        <v>0.75</v>
      </c>
      <c r="AF5067" s="276"/>
      <c r="AG5067" s="17">
        <v>0</v>
      </c>
      <c r="AH5067" s="276">
        <v>0</v>
      </c>
      <c r="AI5067" s="276">
        <v>0</v>
      </c>
      <c r="AJ5067" s="44">
        <v>0</v>
      </c>
      <c r="AK5067" s="158">
        <v>0</v>
      </c>
      <c r="AL5067" s="151">
        <v>0</v>
      </c>
      <c r="AM5067" s="147">
        <f t="shared" si="183"/>
        <v>0</v>
      </c>
      <c r="AN5067" t="s">
        <v>1035</v>
      </c>
      <c r="AO5067" s="148" t="s">
        <v>1037</v>
      </c>
      <c r="AP5067" t="s">
        <v>8589</v>
      </c>
      <c r="AQ5067" s="47"/>
    </row>
    <row r="5068" spans="1:43" s="45" customFormat="1" x14ac:dyDescent="0.3">
      <c r="A5068" s="371" t="s">
        <v>8323</v>
      </c>
      <c r="B5068" t="s">
        <v>8324</v>
      </c>
      <c r="C5068" s="148" t="s">
        <v>9037</v>
      </c>
      <c r="D5068" t="s">
        <v>9038</v>
      </c>
      <c r="E5068" s="148" t="s">
        <v>9039</v>
      </c>
      <c r="F5068" t="s">
        <v>9040</v>
      </c>
      <c r="G5068" s="376" t="s">
        <v>9074</v>
      </c>
      <c r="H5068" t="s">
        <v>9075</v>
      </c>
      <c r="I5068"/>
      <c r="J5068"/>
      <c r="K5068" s="155" t="s">
        <v>9076</v>
      </c>
      <c r="L5068" s="148" t="s">
        <v>9077</v>
      </c>
      <c r="M5068" s="1" t="s">
        <v>2071</v>
      </c>
      <c r="N5068" s="457"/>
      <c r="O5068" s="458">
        <v>1649</v>
      </c>
      <c r="P5068" s="374">
        <v>1916</v>
      </c>
      <c r="Q5068" s="374">
        <v>2182</v>
      </c>
      <c r="R5068" s="374">
        <v>2449</v>
      </c>
      <c r="S5068" s="374">
        <v>2715</v>
      </c>
      <c r="T5068" t="s">
        <v>239</v>
      </c>
      <c r="U5068" t="str">
        <f>VLOOKUP(T5068,[8]Votes!$A$1:$E$234,3,FALSE)</f>
        <v>020 Ministry of ICT and National Guidance</v>
      </c>
      <c r="V5068" t="s">
        <v>9078</v>
      </c>
      <c r="W5068" s="45">
        <v>0</v>
      </c>
      <c r="X5068" s="45">
        <v>0</v>
      </c>
      <c r="Y5068" s="45">
        <v>0</v>
      </c>
      <c r="Z5068" s="45">
        <v>1</v>
      </c>
      <c r="AA5068" s="45">
        <v>0</v>
      </c>
      <c r="AB5068" s="45">
        <v>0</v>
      </c>
      <c r="AC5068" s="150">
        <v>0</v>
      </c>
      <c r="AD5068" s="150">
        <v>1</v>
      </c>
      <c r="AE5068" s="49">
        <f t="shared" si="184"/>
        <v>0.25</v>
      </c>
      <c r="AF5068" s="276"/>
      <c r="AG5068" s="17">
        <v>0</v>
      </c>
      <c r="AH5068" s="276">
        <v>0</v>
      </c>
      <c r="AI5068" s="276">
        <v>0</v>
      </c>
      <c r="AJ5068" s="44">
        <v>0</v>
      </c>
      <c r="AK5068" s="158">
        <v>0</v>
      </c>
      <c r="AL5068" s="151">
        <v>0</v>
      </c>
      <c r="AM5068" s="147">
        <f t="shared" si="183"/>
        <v>0</v>
      </c>
      <c r="AN5068" t="s">
        <v>239</v>
      </c>
      <c r="AO5068" s="148" t="s">
        <v>241</v>
      </c>
      <c r="AP5068" t="s">
        <v>119</v>
      </c>
      <c r="AQ5068" s="47"/>
    </row>
    <row r="5069" spans="1:43" s="45" customFormat="1" x14ac:dyDescent="0.3">
      <c r="A5069" s="371" t="s">
        <v>8323</v>
      </c>
      <c r="B5069" t="s">
        <v>8324</v>
      </c>
      <c r="C5069" s="148" t="s">
        <v>9037</v>
      </c>
      <c r="D5069" t="s">
        <v>9038</v>
      </c>
      <c r="E5069" s="148" t="s">
        <v>9039</v>
      </c>
      <c r="F5069" t="s">
        <v>9040</v>
      </c>
      <c r="G5069" s="376" t="s">
        <v>9074</v>
      </c>
      <c r="H5069" t="s">
        <v>9075</v>
      </c>
      <c r="I5069"/>
      <c r="J5069"/>
      <c r="K5069" s="155" t="s">
        <v>9076</v>
      </c>
      <c r="L5069" s="148" t="s">
        <v>9077</v>
      </c>
      <c r="M5069" s="1" t="s">
        <v>9079</v>
      </c>
      <c r="N5069" s="457"/>
      <c r="O5069" s="458"/>
      <c r="P5069" s="373"/>
      <c r="Q5069" s="374"/>
      <c r="R5069" s="373"/>
      <c r="S5069" s="374"/>
      <c r="T5069" t="s">
        <v>239</v>
      </c>
      <c r="U5069" t="str">
        <f>VLOOKUP(T5069,[8]Votes!$A$1:$E$234,3,FALSE)</f>
        <v>020 Ministry of ICT and National Guidance</v>
      </c>
      <c r="V5069" t="s">
        <v>9080</v>
      </c>
      <c r="W5069" s="45">
        <v>1</v>
      </c>
      <c r="X5069" s="45">
        <v>1</v>
      </c>
      <c r="Y5069" s="45">
        <v>0</v>
      </c>
      <c r="Z5069" s="45">
        <v>0</v>
      </c>
      <c r="AA5069" s="45">
        <v>0</v>
      </c>
      <c r="AB5069" s="45">
        <v>1</v>
      </c>
      <c r="AC5069" s="150">
        <v>1</v>
      </c>
      <c r="AD5069" s="150">
        <v>1</v>
      </c>
      <c r="AE5069" s="49">
        <f t="shared" si="184"/>
        <v>0.625</v>
      </c>
      <c r="AF5069" s="276"/>
      <c r="AG5069" s="17">
        <v>0</v>
      </c>
      <c r="AH5069" s="276">
        <v>0</v>
      </c>
      <c r="AI5069" s="276">
        <v>0</v>
      </c>
      <c r="AJ5069" s="44">
        <v>0</v>
      </c>
      <c r="AK5069" s="158">
        <v>0</v>
      </c>
      <c r="AL5069" s="151">
        <v>0</v>
      </c>
      <c r="AM5069" s="147">
        <f t="shared" si="183"/>
        <v>0</v>
      </c>
      <c r="AN5069" t="s">
        <v>239</v>
      </c>
      <c r="AO5069" s="148" t="s">
        <v>241</v>
      </c>
      <c r="AP5069" t="s">
        <v>255</v>
      </c>
      <c r="AQ5069" s="47"/>
    </row>
    <row r="5070" spans="1:43" s="45" customFormat="1" x14ac:dyDescent="0.3">
      <c r="A5070" s="371" t="s">
        <v>8323</v>
      </c>
      <c r="B5070" t="s">
        <v>8324</v>
      </c>
      <c r="C5070" s="148" t="s">
        <v>9037</v>
      </c>
      <c r="D5070" t="s">
        <v>9038</v>
      </c>
      <c r="E5070" s="148" t="s">
        <v>9039</v>
      </c>
      <c r="F5070" t="s">
        <v>9040</v>
      </c>
      <c r="G5070" s="376" t="s">
        <v>9074</v>
      </c>
      <c r="H5070" t="s">
        <v>9075</v>
      </c>
      <c r="I5070"/>
      <c r="J5070"/>
      <c r="K5070" s="155" t="s">
        <v>9076</v>
      </c>
      <c r="L5070" s="148" t="s">
        <v>9077</v>
      </c>
      <c r="M5070" s="1" t="s">
        <v>9081</v>
      </c>
      <c r="N5070" s="457">
        <v>0</v>
      </c>
      <c r="O5070" s="458"/>
      <c r="P5070" s="373"/>
      <c r="Q5070" s="374"/>
      <c r="R5070" s="373"/>
      <c r="S5070" s="374"/>
      <c r="T5070" t="s">
        <v>239</v>
      </c>
      <c r="U5070" t="str">
        <f>VLOOKUP(T5070,[8]Votes!$A$1:$E$234,3,FALSE)</f>
        <v>020 Ministry of ICT and National Guidance</v>
      </c>
      <c r="V5070" t="s">
        <v>9082</v>
      </c>
      <c r="W5070" s="45">
        <v>1</v>
      </c>
      <c r="X5070" s="45">
        <v>0</v>
      </c>
      <c r="Y5070" s="45">
        <v>0</v>
      </c>
      <c r="Z5070" s="45">
        <v>1</v>
      </c>
      <c r="AA5070" s="45">
        <v>0</v>
      </c>
      <c r="AB5070" s="45">
        <v>0</v>
      </c>
      <c r="AC5070" s="150">
        <v>0</v>
      </c>
      <c r="AD5070" s="150">
        <v>0</v>
      </c>
      <c r="AE5070" s="49">
        <f t="shared" si="184"/>
        <v>0.25</v>
      </c>
      <c r="AF5070" s="276"/>
      <c r="AG5070" s="17">
        <v>0</v>
      </c>
      <c r="AH5070" s="276">
        <v>0</v>
      </c>
      <c r="AI5070" s="276">
        <v>0</v>
      </c>
      <c r="AJ5070" s="44">
        <v>0</v>
      </c>
      <c r="AK5070" s="158">
        <v>0</v>
      </c>
      <c r="AL5070" s="151">
        <v>0</v>
      </c>
      <c r="AM5070" s="147">
        <f t="shared" si="183"/>
        <v>0</v>
      </c>
      <c r="AN5070" t="s">
        <v>239</v>
      </c>
      <c r="AO5070" s="148" t="s">
        <v>241</v>
      </c>
      <c r="AP5070" t="s">
        <v>119</v>
      </c>
      <c r="AQ5070" s="47"/>
    </row>
    <row r="5071" spans="1:43" s="45" customFormat="1" x14ac:dyDescent="0.3">
      <c r="A5071" s="371" t="s">
        <v>8323</v>
      </c>
      <c r="B5071" t="s">
        <v>8324</v>
      </c>
      <c r="C5071" s="148" t="s">
        <v>9037</v>
      </c>
      <c r="D5071" t="s">
        <v>9038</v>
      </c>
      <c r="E5071" s="148" t="s">
        <v>9039</v>
      </c>
      <c r="F5071" t="s">
        <v>9040</v>
      </c>
      <c r="G5071" s="376" t="s">
        <v>9074</v>
      </c>
      <c r="H5071" t="s">
        <v>9075</v>
      </c>
      <c r="I5071"/>
      <c r="J5071"/>
      <c r="K5071" s="155" t="s">
        <v>9076</v>
      </c>
      <c r="L5071" s="148" t="s">
        <v>9077</v>
      </c>
      <c r="M5071" s="1" t="s">
        <v>9083</v>
      </c>
      <c r="N5071" s="457">
        <v>0</v>
      </c>
      <c r="O5071" s="458"/>
      <c r="P5071" s="373"/>
      <c r="Q5071" s="374"/>
      <c r="R5071" s="373"/>
      <c r="S5071" s="374"/>
      <c r="T5071">
        <v>140</v>
      </c>
      <c r="U5071" t="e">
        <f>VLOOKUP(T5071,[8]Votes!$A$1:$E$234,3,FALSE)</f>
        <v>#N/A</v>
      </c>
      <c r="V5071" t="s">
        <v>9084</v>
      </c>
      <c r="W5071" s="45">
        <v>1</v>
      </c>
      <c r="X5071" s="45">
        <v>1</v>
      </c>
      <c r="Y5071" s="45">
        <v>0</v>
      </c>
      <c r="Z5071" s="45">
        <v>1</v>
      </c>
      <c r="AA5071" s="45">
        <v>0</v>
      </c>
      <c r="AB5071" s="45">
        <v>0</v>
      </c>
      <c r="AC5071" s="150">
        <v>1</v>
      </c>
      <c r="AD5071" s="150">
        <v>0</v>
      </c>
      <c r="AE5071" s="49">
        <f t="shared" si="184"/>
        <v>0.5</v>
      </c>
      <c r="AF5071" s="276"/>
      <c r="AG5071" s="17">
        <v>0</v>
      </c>
      <c r="AH5071" s="276">
        <v>0</v>
      </c>
      <c r="AI5071" s="276">
        <v>0</v>
      </c>
      <c r="AJ5071" s="44">
        <v>0</v>
      </c>
      <c r="AK5071" s="158">
        <v>0</v>
      </c>
      <c r="AL5071" s="151">
        <v>0</v>
      </c>
      <c r="AM5071" s="147">
        <f t="shared" si="183"/>
        <v>0</v>
      </c>
      <c r="AN5071" t="s">
        <v>255</v>
      </c>
      <c r="AO5071" s="148" t="s">
        <v>1045</v>
      </c>
      <c r="AP5071" t="s">
        <v>119</v>
      </c>
      <c r="AQ5071" s="47"/>
    </row>
    <row r="5072" spans="1:43" s="45" customFormat="1" x14ac:dyDescent="0.3">
      <c r="A5072" s="371" t="s">
        <v>8323</v>
      </c>
      <c r="B5072" t="s">
        <v>8324</v>
      </c>
      <c r="C5072" s="148" t="s">
        <v>9037</v>
      </c>
      <c r="D5072" t="s">
        <v>9038</v>
      </c>
      <c r="E5072" s="148" t="s">
        <v>9039</v>
      </c>
      <c r="F5072" t="s">
        <v>9040</v>
      </c>
      <c r="G5072" s="376" t="s">
        <v>9074</v>
      </c>
      <c r="H5072" t="s">
        <v>9075</v>
      </c>
      <c r="I5072"/>
      <c r="J5072"/>
      <c r="K5072" s="155" t="s">
        <v>9076</v>
      </c>
      <c r="L5072" s="148" t="s">
        <v>9077</v>
      </c>
      <c r="M5072" s="1" t="s">
        <v>9085</v>
      </c>
      <c r="N5072" s="457">
        <v>0</v>
      </c>
      <c r="O5072" s="458"/>
      <c r="P5072" s="373"/>
      <c r="Q5072" s="374"/>
      <c r="R5072" s="373"/>
      <c r="S5072" s="374"/>
      <c r="T5072"/>
      <c r="U5072" t="e">
        <f>VLOOKUP(T5072,[8]Votes!$A$1:$E$234,3,FALSE)</f>
        <v>#N/A</v>
      </c>
      <c r="V5072" t="s">
        <v>9086</v>
      </c>
      <c r="W5072" s="45">
        <v>0</v>
      </c>
      <c r="X5072" s="45">
        <v>0</v>
      </c>
      <c r="Y5072" s="45">
        <v>0</v>
      </c>
      <c r="Z5072" s="45">
        <v>1</v>
      </c>
      <c r="AA5072" s="45">
        <v>0</v>
      </c>
      <c r="AB5072" s="45">
        <v>0</v>
      </c>
      <c r="AC5072" s="150">
        <v>0</v>
      </c>
      <c r="AD5072" s="150">
        <v>0</v>
      </c>
      <c r="AE5072" s="49">
        <f t="shared" si="184"/>
        <v>0.125</v>
      </c>
      <c r="AF5072" s="276"/>
      <c r="AG5072" s="17">
        <v>0</v>
      </c>
      <c r="AH5072" s="276">
        <v>0</v>
      </c>
      <c r="AI5072" s="276">
        <v>0</v>
      </c>
      <c r="AJ5072" s="44">
        <v>0</v>
      </c>
      <c r="AK5072" s="158">
        <v>0</v>
      </c>
      <c r="AL5072" s="151">
        <v>0</v>
      </c>
      <c r="AM5072" s="147">
        <f t="shared" si="183"/>
        <v>0</v>
      </c>
      <c r="AN5072" t="s">
        <v>255</v>
      </c>
      <c r="AO5072" s="148" t="s">
        <v>1045</v>
      </c>
      <c r="AP5072" t="s">
        <v>119</v>
      </c>
      <c r="AQ5072" s="47"/>
    </row>
    <row r="5073" spans="1:44" s="45" customFormat="1" x14ac:dyDescent="0.3">
      <c r="A5073" s="371" t="s">
        <v>8323</v>
      </c>
      <c r="B5073" t="s">
        <v>8324</v>
      </c>
      <c r="C5073" s="148" t="s">
        <v>8841</v>
      </c>
      <c r="D5073" t="s">
        <v>8842</v>
      </c>
      <c r="E5073" s="148" t="s">
        <v>9087</v>
      </c>
      <c r="F5073" t="s">
        <v>9088</v>
      </c>
      <c r="G5073" s="376" t="s">
        <v>9089</v>
      </c>
      <c r="H5073" t="s">
        <v>9090</v>
      </c>
      <c r="I5073"/>
      <c r="J5073"/>
      <c r="K5073" s="155" t="s">
        <v>9091</v>
      </c>
      <c r="L5073" s="148" t="s">
        <v>9092</v>
      </c>
      <c r="M5073" s="1" t="s">
        <v>9093</v>
      </c>
      <c r="N5073" s="457">
        <v>2</v>
      </c>
      <c r="O5073" s="458">
        <v>1</v>
      </c>
      <c r="P5073" s="373">
        <v>1</v>
      </c>
      <c r="Q5073" s="374">
        <v>3</v>
      </c>
      <c r="R5073" s="373"/>
      <c r="S5073" s="374"/>
      <c r="T5073" t="s">
        <v>831</v>
      </c>
      <c r="U5073" t="str">
        <f>VLOOKUP(T5073,[8]Votes!$A$1:$E$234,3,FALSE)</f>
        <v>108 National Planning Authority</v>
      </c>
      <c r="V5073" t="s">
        <v>9094</v>
      </c>
      <c r="W5073" s="45">
        <v>1</v>
      </c>
      <c r="X5073" s="45">
        <v>1</v>
      </c>
      <c r="Y5073" s="45">
        <v>1</v>
      </c>
      <c r="Z5073" s="45">
        <v>1</v>
      </c>
      <c r="AA5073" s="45">
        <v>0</v>
      </c>
      <c r="AB5073" s="45">
        <v>1</v>
      </c>
      <c r="AC5073" s="150">
        <v>1</v>
      </c>
      <c r="AD5073" s="150">
        <v>1</v>
      </c>
      <c r="AE5073" s="49">
        <f t="shared" si="184"/>
        <v>0.875</v>
      </c>
      <c r="AF5073" s="276">
        <v>1</v>
      </c>
      <c r="AG5073" s="17">
        <v>0</v>
      </c>
      <c r="AH5073" s="276">
        <v>0</v>
      </c>
      <c r="AI5073" s="276">
        <v>3</v>
      </c>
      <c r="AJ5073" s="44">
        <v>3</v>
      </c>
      <c r="AK5073" s="158">
        <v>3.02</v>
      </c>
      <c r="AL5073" s="151">
        <v>3</v>
      </c>
      <c r="AM5073" s="147">
        <f t="shared" si="183"/>
        <v>6.02</v>
      </c>
      <c r="AN5073" t="s">
        <v>831</v>
      </c>
      <c r="AO5073" s="18" t="s">
        <v>834</v>
      </c>
      <c r="AP5073" t="s">
        <v>9095</v>
      </c>
      <c r="AQ5073" s="47"/>
      <c r="AR5073" s="47"/>
    </row>
    <row r="5074" spans="1:44" s="45" customFormat="1" x14ac:dyDescent="0.3">
      <c r="A5074" s="371" t="s">
        <v>8323</v>
      </c>
      <c r="B5074" t="s">
        <v>8324</v>
      </c>
      <c r="C5074" s="148" t="s">
        <v>8841</v>
      </c>
      <c r="D5074" t="s">
        <v>8842</v>
      </c>
      <c r="E5074" s="148" t="s">
        <v>9087</v>
      </c>
      <c r="F5074" t="s">
        <v>9088</v>
      </c>
      <c r="G5074" s="376" t="s">
        <v>9089</v>
      </c>
      <c r="H5074" t="s">
        <v>9090</v>
      </c>
      <c r="I5074"/>
      <c r="J5074"/>
      <c r="K5074" s="148" t="s">
        <v>9096</v>
      </c>
      <c r="L5074" s="148" t="s">
        <v>9097</v>
      </c>
      <c r="M5074" s="1" t="s">
        <v>9098</v>
      </c>
      <c r="N5074" s="457"/>
      <c r="O5074" s="458"/>
      <c r="P5074" s="373"/>
      <c r="Q5074" s="374"/>
      <c r="R5074" s="373"/>
      <c r="S5074" s="374"/>
      <c r="T5074" t="s">
        <v>831</v>
      </c>
      <c r="U5074" t="str">
        <f>VLOOKUP(T5074,[8]Votes!$A$1:$E$234,3,FALSE)</f>
        <v>108 National Planning Authority</v>
      </c>
      <c r="V5074" t="s">
        <v>9099</v>
      </c>
      <c r="W5074" s="45">
        <v>1</v>
      </c>
      <c r="X5074" s="45">
        <v>1</v>
      </c>
      <c r="Y5074" s="45">
        <v>1</v>
      </c>
      <c r="Z5074" s="45">
        <v>1</v>
      </c>
      <c r="AA5074" s="45">
        <v>1</v>
      </c>
      <c r="AB5074" s="45">
        <v>1</v>
      </c>
      <c r="AC5074" s="150">
        <v>1</v>
      </c>
      <c r="AD5074" s="150">
        <v>1</v>
      </c>
      <c r="AE5074" s="49">
        <f t="shared" si="184"/>
        <v>1</v>
      </c>
      <c r="AF5074" s="276"/>
      <c r="AG5074" s="17">
        <v>0</v>
      </c>
      <c r="AH5074" s="276">
        <v>0</v>
      </c>
      <c r="AI5074" s="276">
        <v>2</v>
      </c>
      <c r="AJ5074" s="44">
        <v>2</v>
      </c>
      <c r="AK5074" s="158">
        <v>2</v>
      </c>
      <c r="AL5074" s="151">
        <v>2</v>
      </c>
      <c r="AM5074" s="147">
        <f t="shared" si="183"/>
        <v>4</v>
      </c>
      <c r="AN5074" t="s">
        <v>1332</v>
      </c>
      <c r="AO5074" s="148" t="s">
        <v>1334</v>
      </c>
      <c r="AP5074" t="s">
        <v>9100</v>
      </c>
      <c r="AQ5074" s="47"/>
      <c r="AR5074" s="47"/>
    </row>
    <row r="5075" spans="1:44" s="45" customFormat="1" x14ac:dyDescent="0.3">
      <c r="A5075" s="371" t="s">
        <v>8323</v>
      </c>
      <c r="B5075" t="s">
        <v>8324</v>
      </c>
      <c r="C5075" s="148" t="s">
        <v>8841</v>
      </c>
      <c r="D5075" t="s">
        <v>8842</v>
      </c>
      <c r="E5075" s="148" t="s">
        <v>9087</v>
      </c>
      <c r="F5075" t="s">
        <v>9088</v>
      </c>
      <c r="G5075" s="376" t="s">
        <v>9089</v>
      </c>
      <c r="H5075" t="s">
        <v>9090</v>
      </c>
      <c r="I5075"/>
      <c r="J5075"/>
      <c r="K5075" s="148" t="s">
        <v>9101</v>
      </c>
      <c r="L5075" s="148" t="s">
        <v>9102</v>
      </c>
      <c r="M5075" s="1" t="s">
        <v>9103</v>
      </c>
      <c r="N5075" s="457"/>
      <c r="O5075" s="458"/>
      <c r="P5075" s="373"/>
      <c r="Q5075" s="374"/>
      <c r="R5075" s="373"/>
      <c r="S5075" s="374"/>
      <c r="T5075" t="s">
        <v>869</v>
      </c>
      <c r="U5075" t="str">
        <f>VLOOKUP(T5075,[8]Votes!$A$1:$E$234,3,FALSE)</f>
        <v>310 Uganda Investment Authority (UIA)</v>
      </c>
      <c r="V5075" t="s">
        <v>9104</v>
      </c>
      <c r="W5075" s="45">
        <v>1</v>
      </c>
      <c r="X5075" s="45">
        <v>1</v>
      </c>
      <c r="Y5075" s="45">
        <v>1</v>
      </c>
      <c r="Z5075" s="45">
        <v>1</v>
      </c>
      <c r="AA5075" s="45">
        <v>1</v>
      </c>
      <c r="AB5075" s="45">
        <v>1</v>
      </c>
      <c r="AC5075" s="150">
        <v>1</v>
      </c>
      <c r="AD5075" s="150">
        <v>1</v>
      </c>
      <c r="AE5075" s="49">
        <f t="shared" si="184"/>
        <v>1</v>
      </c>
      <c r="AF5075" s="276"/>
      <c r="AG5075" s="17">
        <v>0</v>
      </c>
      <c r="AH5075" s="276">
        <v>0</v>
      </c>
      <c r="AI5075" s="276">
        <v>3</v>
      </c>
      <c r="AJ5075" s="44">
        <v>3</v>
      </c>
      <c r="AK5075" s="158">
        <v>3</v>
      </c>
      <c r="AL5075" s="151">
        <v>3</v>
      </c>
      <c r="AM5075" s="147">
        <f t="shared" si="183"/>
        <v>6</v>
      </c>
      <c r="AN5075" t="s">
        <v>1332</v>
      </c>
      <c r="AO5075" s="148" t="s">
        <v>1334</v>
      </c>
      <c r="AP5075" t="s">
        <v>255</v>
      </c>
      <c r="AQ5075" s="47"/>
      <c r="AR5075" s="47"/>
    </row>
    <row r="5076" spans="1:44" s="45" customFormat="1" x14ac:dyDescent="0.3">
      <c r="A5076" s="371" t="s">
        <v>8323</v>
      </c>
      <c r="B5076" t="s">
        <v>8324</v>
      </c>
      <c r="C5076" s="148" t="s">
        <v>8841</v>
      </c>
      <c r="D5076" t="s">
        <v>8842</v>
      </c>
      <c r="E5076" s="148" t="s">
        <v>9087</v>
      </c>
      <c r="F5076" t="s">
        <v>9088</v>
      </c>
      <c r="G5076" s="376" t="s">
        <v>9089</v>
      </c>
      <c r="H5076" t="s">
        <v>9090</v>
      </c>
      <c r="I5076"/>
      <c r="J5076"/>
      <c r="K5076" s="148" t="s">
        <v>9105</v>
      </c>
      <c r="L5076" s="148" t="s">
        <v>9106</v>
      </c>
      <c r="M5076" s="1" t="s">
        <v>9107</v>
      </c>
      <c r="N5076" s="457">
        <v>0</v>
      </c>
      <c r="O5076" s="458">
        <v>56</v>
      </c>
      <c r="P5076" s="374">
        <v>56</v>
      </c>
      <c r="Q5076" s="374">
        <v>56</v>
      </c>
      <c r="R5076" s="374">
        <v>28</v>
      </c>
      <c r="S5076" s="374">
        <v>31</v>
      </c>
      <c r="T5076" t="s">
        <v>280</v>
      </c>
      <c r="U5076" t="str">
        <f>VLOOKUP(T5076,[8]Votes!$A$1:$E$234,3,FALSE)</f>
        <v>011 Ministry of Local Government</v>
      </c>
      <c r="V5076" t="s">
        <v>9108</v>
      </c>
      <c r="W5076" s="45">
        <v>1</v>
      </c>
      <c r="X5076" s="45">
        <v>1</v>
      </c>
      <c r="Y5076" s="45">
        <v>1</v>
      </c>
      <c r="Z5076" s="45">
        <v>1</v>
      </c>
      <c r="AA5076" s="45">
        <v>1</v>
      </c>
      <c r="AB5076" s="45">
        <v>1</v>
      </c>
      <c r="AC5076" s="150">
        <v>1</v>
      </c>
      <c r="AD5076" s="150">
        <v>1</v>
      </c>
      <c r="AE5076" s="49">
        <f t="shared" si="184"/>
        <v>1</v>
      </c>
      <c r="AF5076" s="276"/>
      <c r="AG5076" s="17">
        <v>0</v>
      </c>
      <c r="AH5076" s="276">
        <v>293.27066879999995</v>
      </c>
      <c r="AI5076" s="276">
        <v>82</v>
      </c>
      <c r="AJ5076" s="44">
        <v>105</v>
      </c>
      <c r="AK5076" s="158">
        <v>57.499999999999993</v>
      </c>
      <c r="AL5076" s="151">
        <f>63.25+5.86</f>
        <v>69.11</v>
      </c>
      <c r="AM5076" s="147">
        <f t="shared" si="183"/>
        <v>126.60999999999999</v>
      </c>
      <c r="AN5076" t="s">
        <v>255</v>
      </c>
      <c r="AO5076" s="148" t="s">
        <v>1045</v>
      </c>
      <c r="AP5076" t="s">
        <v>9109</v>
      </c>
      <c r="AQ5076" s="47"/>
      <c r="AR5076" s="47"/>
    </row>
    <row r="5077" spans="1:44" s="45" customFormat="1" x14ac:dyDescent="0.3">
      <c r="A5077" s="371" t="s">
        <v>8323</v>
      </c>
      <c r="B5077" t="s">
        <v>8324</v>
      </c>
      <c r="C5077" s="148" t="s">
        <v>8841</v>
      </c>
      <c r="D5077" t="s">
        <v>8842</v>
      </c>
      <c r="E5077" s="148" t="s">
        <v>9087</v>
      </c>
      <c r="F5077" t="s">
        <v>9088</v>
      </c>
      <c r="G5077" s="376" t="s">
        <v>9089</v>
      </c>
      <c r="H5077" t="s">
        <v>9090</v>
      </c>
      <c r="I5077"/>
      <c r="J5077"/>
      <c r="K5077" s="148" t="s">
        <v>9105</v>
      </c>
      <c r="L5077" s="148" t="s">
        <v>9106</v>
      </c>
      <c r="M5077" s="1" t="s">
        <v>9110</v>
      </c>
      <c r="N5077" s="457">
        <v>0</v>
      </c>
      <c r="O5077" s="458">
        <v>56</v>
      </c>
      <c r="P5077" s="374">
        <v>56</v>
      </c>
      <c r="Q5077" s="374">
        <v>56</v>
      </c>
      <c r="R5077" s="374">
        <v>28</v>
      </c>
      <c r="S5077" s="374">
        <v>28</v>
      </c>
      <c r="T5077" t="s">
        <v>280</v>
      </c>
      <c r="U5077" t="str">
        <f>VLOOKUP(T5077,[8]Votes!$A$1:$E$234,3,FALSE)</f>
        <v>011 Ministry of Local Government</v>
      </c>
      <c r="V5077" t="s">
        <v>9111</v>
      </c>
      <c r="W5077" s="45">
        <v>1</v>
      </c>
      <c r="X5077" s="45">
        <v>1</v>
      </c>
      <c r="Y5077" s="45">
        <v>1</v>
      </c>
      <c r="Z5077" s="45">
        <v>1</v>
      </c>
      <c r="AA5077" s="45">
        <v>1</v>
      </c>
      <c r="AB5077" s="45">
        <v>1</v>
      </c>
      <c r="AC5077" s="150">
        <v>1</v>
      </c>
      <c r="AD5077" s="150">
        <v>1</v>
      </c>
      <c r="AE5077" s="49">
        <f t="shared" si="184"/>
        <v>1</v>
      </c>
      <c r="AF5077" s="276"/>
      <c r="AG5077" s="17">
        <v>0</v>
      </c>
      <c r="AH5077" s="276">
        <v>292.52066854999998</v>
      </c>
      <c r="AI5077" s="276">
        <v>85</v>
      </c>
      <c r="AJ5077" s="44">
        <v>104.24999975</v>
      </c>
      <c r="AK5077" s="158">
        <v>57.124999875</v>
      </c>
      <c r="AL5077" s="151">
        <v>62.837499862500003</v>
      </c>
      <c r="AM5077" s="147">
        <f t="shared" si="183"/>
        <v>119.9624997375</v>
      </c>
      <c r="AN5077" t="s">
        <v>255</v>
      </c>
      <c r="AO5077" s="148" t="s">
        <v>1045</v>
      </c>
      <c r="AP5077" t="s">
        <v>9109</v>
      </c>
      <c r="AQ5077" s="47"/>
      <c r="AR5077" s="47"/>
    </row>
    <row r="5078" spans="1:44" s="45" customFormat="1" x14ac:dyDescent="0.3">
      <c r="A5078" s="371" t="s">
        <v>8323</v>
      </c>
      <c r="B5078" t="s">
        <v>8324</v>
      </c>
      <c r="C5078" s="148" t="s">
        <v>8841</v>
      </c>
      <c r="D5078" t="s">
        <v>8842</v>
      </c>
      <c r="E5078" s="148" t="s">
        <v>9087</v>
      </c>
      <c r="F5078" t="s">
        <v>9088</v>
      </c>
      <c r="G5078" s="376" t="s">
        <v>9089</v>
      </c>
      <c r="H5078" t="s">
        <v>9090</v>
      </c>
      <c r="I5078"/>
      <c r="J5078"/>
      <c r="K5078" s="148" t="s">
        <v>9105</v>
      </c>
      <c r="L5078" s="148" t="s">
        <v>9106</v>
      </c>
      <c r="M5078" s="1" t="s">
        <v>9112</v>
      </c>
      <c r="N5078" s="457">
        <v>0</v>
      </c>
      <c r="O5078" s="458">
        <v>56</v>
      </c>
      <c r="P5078" s="374">
        <v>56</v>
      </c>
      <c r="Q5078" s="374">
        <v>56</v>
      </c>
      <c r="R5078" s="374">
        <v>28</v>
      </c>
      <c r="S5078" s="374">
        <v>28</v>
      </c>
      <c r="T5078" t="s">
        <v>280</v>
      </c>
      <c r="U5078" t="str">
        <f>VLOOKUP(T5078,[8]Votes!$A$1:$E$234,3,FALSE)</f>
        <v>011 Ministry of Local Government</v>
      </c>
      <c r="V5078" t="s">
        <v>9113</v>
      </c>
      <c r="W5078" s="45">
        <v>1</v>
      </c>
      <c r="X5078" s="45">
        <v>1</v>
      </c>
      <c r="Y5078" s="45">
        <v>1</v>
      </c>
      <c r="Z5078" s="45">
        <v>1</v>
      </c>
      <c r="AA5078" s="45">
        <v>1</v>
      </c>
      <c r="AB5078" s="45">
        <v>1</v>
      </c>
      <c r="AC5078" s="150">
        <v>1</v>
      </c>
      <c r="AD5078" s="150">
        <v>1</v>
      </c>
      <c r="AE5078" s="49">
        <f t="shared" si="184"/>
        <v>1</v>
      </c>
      <c r="AF5078" s="276"/>
      <c r="AG5078" s="17">
        <v>0</v>
      </c>
      <c r="AH5078" s="276">
        <v>288.77066854999998</v>
      </c>
      <c r="AI5078" s="276">
        <v>100</v>
      </c>
      <c r="AJ5078" s="44">
        <v>100.49999975</v>
      </c>
      <c r="AK5078" s="158">
        <v>55.249999875</v>
      </c>
      <c r="AL5078" s="151">
        <v>60.774999862500003</v>
      </c>
      <c r="AM5078" s="147">
        <f t="shared" ref="AM5078:AM5109" si="185">SUM(AK5078:AL5078)</f>
        <v>116.0249997375</v>
      </c>
      <c r="AN5078" t="s">
        <v>255</v>
      </c>
      <c r="AO5078" s="148" t="s">
        <v>1045</v>
      </c>
      <c r="AP5078" t="s">
        <v>9109</v>
      </c>
      <c r="AQ5078" s="47"/>
      <c r="AR5078" s="47"/>
    </row>
    <row r="5079" spans="1:44" s="45" customFormat="1" x14ac:dyDescent="0.3">
      <c r="A5079" s="371" t="s">
        <v>8323</v>
      </c>
      <c r="B5079" t="s">
        <v>8324</v>
      </c>
      <c r="C5079" s="148" t="s">
        <v>8841</v>
      </c>
      <c r="D5079" t="s">
        <v>8842</v>
      </c>
      <c r="E5079" s="148" t="s">
        <v>9087</v>
      </c>
      <c r="F5079" t="s">
        <v>9088</v>
      </c>
      <c r="G5079" s="376" t="s">
        <v>9089</v>
      </c>
      <c r="H5079" t="s">
        <v>9090</v>
      </c>
      <c r="I5079"/>
      <c r="J5079"/>
      <c r="K5079" s="148" t="s">
        <v>9105</v>
      </c>
      <c r="L5079" s="148" t="s">
        <v>9106</v>
      </c>
      <c r="M5079" s="1" t="s">
        <v>9114</v>
      </c>
      <c r="N5079" s="457">
        <v>0</v>
      </c>
      <c r="O5079" s="458">
        <v>56</v>
      </c>
      <c r="P5079" s="374">
        <v>56</v>
      </c>
      <c r="Q5079" s="374">
        <v>56</v>
      </c>
      <c r="R5079" s="374">
        <v>28</v>
      </c>
      <c r="S5079" s="374">
        <v>30</v>
      </c>
      <c r="T5079" t="s">
        <v>280</v>
      </c>
      <c r="U5079" t="str">
        <f>VLOOKUP(T5079,[8]Votes!$A$1:$E$234,3,FALSE)</f>
        <v>011 Ministry of Local Government</v>
      </c>
      <c r="V5079" t="s">
        <v>9115</v>
      </c>
      <c r="W5079" s="45">
        <v>1</v>
      </c>
      <c r="X5079" s="45">
        <v>1</v>
      </c>
      <c r="Y5079" s="45">
        <v>1</v>
      </c>
      <c r="Z5079" s="45">
        <v>1</v>
      </c>
      <c r="AA5079" s="45">
        <v>1</v>
      </c>
      <c r="AB5079" s="45">
        <v>1</v>
      </c>
      <c r="AC5079" s="150">
        <v>1</v>
      </c>
      <c r="AD5079" s="150">
        <v>1</v>
      </c>
      <c r="AE5079" s="49">
        <f t="shared" si="184"/>
        <v>1</v>
      </c>
      <c r="AF5079" s="276"/>
      <c r="AG5079" s="17">
        <v>0</v>
      </c>
      <c r="AH5079" s="276">
        <v>230</v>
      </c>
      <c r="AI5079" s="276">
        <v>102.81766744999999</v>
      </c>
      <c r="AJ5079" s="44">
        <v>105.81766745</v>
      </c>
      <c r="AK5079" s="158">
        <v>67.908833724999994</v>
      </c>
      <c r="AL5079" s="151">
        <f>74.6997170975+5.86</f>
        <v>80.559717097499998</v>
      </c>
      <c r="AM5079" s="147">
        <f t="shared" si="185"/>
        <v>148.46855082249999</v>
      </c>
      <c r="AN5079" t="s">
        <v>255</v>
      </c>
      <c r="AO5079" s="148" t="s">
        <v>1045</v>
      </c>
      <c r="AP5079" t="s">
        <v>9109</v>
      </c>
      <c r="AQ5079" s="47"/>
      <c r="AR5079" s="47"/>
    </row>
    <row r="5080" spans="1:44" s="45" customFormat="1" x14ac:dyDescent="0.3">
      <c r="A5080" s="371" t="s">
        <v>8323</v>
      </c>
      <c r="B5080" t="s">
        <v>8324</v>
      </c>
      <c r="C5080" s="148" t="s">
        <v>8841</v>
      </c>
      <c r="D5080" t="s">
        <v>8842</v>
      </c>
      <c r="E5080" s="148" t="s">
        <v>9087</v>
      </c>
      <c r="F5080" t="s">
        <v>9088</v>
      </c>
      <c r="G5080" s="376" t="s">
        <v>9089</v>
      </c>
      <c r="H5080" t="s">
        <v>9090</v>
      </c>
      <c r="I5080"/>
      <c r="J5080"/>
      <c r="K5080" s="148" t="s">
        <v>9105</v>
      </c>
      <c r="L5080" s="148" t="s">
        <v>9106</v>
      </c>
      <c r="M5080" s="1" t="s">
        <v>9116</v>
      </c>
      <c r="N5080" s="457">
        <v>0</v>
      </c>
      <c r="O5080" s="458">
        <v>56</v>
      </c>
      <c r="P5080" s="374">
        <v>56</v>
      </c>
      <c r="Q5080" s="374">
        <v>56</v>
      </c>
      <c r="R5080" s="374">
        <v>28</v>
      </c>
      <c r="S5080" s="374">
        <v>28</v>
      </c>
      <c r="T5080" t="s">
        <v>280</v>
      </c>
      <c r="U5080" t="str">
        <f>VLOOKUP(T5080,[8]Votes!$A$1:$E$234,3,FALSE)</f>
        <v>011 Ministry of Local Government</v>
      </c>
      <c r="V5080" t="s">
        <v>9117</v>
      </c>
      <c r="W5080" s="45">
        <v>1</v>
      </c>
      <c r="X5080" s="45">
        <v>1</v>
      </c>
      <c r="Y5080" s="45">
        <v>1</v>
      </c>
      <c r="Z5080" s="45">
        <v>1</v>
      </c>
      <c r="AA5080" s="45">
        <v>1</v>
      </c>
      <c r="AB5080" s="45">
        <v>1</v>
      </c>
      <c r="AC5080" s="150">
        <v>1</v>
      </c>
      <c r="AD5080" s="150">
        <v>1</v>
      </c>
      <c r="AE5080" s="49">
        <f t="shared" si="184"/>
        <v>1</v>
      </c>
      <c r="AF5080" s="276"/>
      <c r="AG5080" s="17">
        <v>0</v>
      </c>
      <c r="AH5080" s="276">
        <v>245.5860278135101</v>
      </c>
      <c r="AI5080" s="276">
        <v>105.81766744999999</v>
      </c>
      <c r="AJ5080" s="44">
        <v>105.2316396364899</v>
      </c>
      <c r="AK5080" s="158">
        <v>63.408833724999994</v>
      </c>
      <c r="AL5080" s="151">
        <v>69.749717097499996</v>
      </c>
      <c r="AM5080" s="147">
        <f t="shared" si="185"/>
        <v>133.15855082249999</v>
      </c>
      <c r="AN5080" t="s">
        <v>255</v>
      </c>
      <c r="AO5080" s="148" t="s">
        <v>1045</v>
      </c>
      <c r="AP5080" t="s">
        <v>9109</v>
      </c>
      <c r="AQ5080" s="47"/>
      <c r="AR5080" s="47"/>
    </row>
    <row r="5081" spans="1:44" s="45" customFormat="1" x14ac:dyDescent="0.3">
      <c r="A5081" s="371" t="s">
        <v>8323</v>
      </c>
      <c r="B5081" t="s">
        <v>8324</v>
      </c>
      <c r="C5081" s="148" t="s">
        <v>8841</v>
      </c>
      <c r="D5081" t="s">
        <v>8842</v>
      </c>
      <c r="E5081" s="148" t="s">
        <v>9087</v>
      </c>
      <c r="F5081" t="s">
        <v>9088</v>
      </c>
      <c r="G5081" s="376" t="s">
        <v>9089</v>
      </c>
      <c r="H5081" t="s">
        <v>9090</v>
      </c>
      <c r="I5081"/>
      <c r="J5081"/>
      <c r="K5081" s="148" t="s">
        <v>9105</v>
      </c>
      <c r="L5081" s="148" t="s">
        <v>9106</v>
      </c>
      <c r="M5081" s="1" t="s">
        <v>9118</v>
      </c>
      <c r="N5081" s="457">
        <v>0</v>
      </c>
      <c r="O5081" s="458">
        <v>56</v>
      </c>
      <c r="P5081" s="374">
        <v>56</v>
      </c>
      <c r="Q5081" s="374">
        <v>56</v>
      </c>
      <c r="R5081" s="374">
        <v>28</v>
      </c>
      <c r="S5081" s="374">
        <v>28</v>
      </c>
      <c r="T5081" t="s">
        <v>280</v>
      </c>
      <c r="U5081" t="str">
        <f>VLOOKUP(T5081,[8]Votes!$A$1:$E$234,3,FALSE)</f>
        <v>011 Ministry of Local Government</v>
      </c>
      <c r="V5081" t="s">
        <v>9119</v>
      </c>
      <c r="W5081" s="45">
        <v>1</v>
      </c>
      <c r="X5081" s="45">
        <v>1</v>
      </c>
      <c r="Y5081" s="45">
        <v>1</v>
      </c>
      <c r="Z5081" s="45">
        <v>1</v>
      </c>
      <c r="AA5081" s="45">
        <v>1</v>
      </c>
      <c r="AB5081" s="45">
        <v>1</v>
      </c>
      <c r="AC5081" s="150">
        <v>1</v>
      </c>
      <c r="AD5081" s="150">
        <v>1</v>
      </c>
      <c r="AE5081" s="49">
        <f t="shared" ref="AE5081:AE5112" si="186">SUM(W5081:AD5081)/8</f>
        <v>1</v>
      </c>
      <c r="AF5081" s="276"/>
      <c r="AG5081" s="17">
        <v>0</v>
      </c>
      <c r="AH5081" s="276">
        <v>293.27066879999995</v>
      </c>
      <c r="AI5081" s="276">
        <v>82</v>
      </c>
      <c r="AJ5081" s="44">
        <v>105</v>
      </c>
      <c r="AK5081" s="158">
        <v>57.499999999999993</v>
      </c>
      <c r="AL5081" s="151">
        <v>63.25</v>
      </c>
      <c r="AM5081" s="147">
        <f t="shared" si="185"/>
        <v>120.75</v>
      </c>
      <c r="AN5081" t="s">
        <v>255</v>
      </c>
      <c r="AO5081" s="148" t="s">
        <v>1045</v>
      </c>
      <c r="AP5081" t="s">
        <v>9109</v>
      </c>
      <c r="AQ5081" s="47"/>
      <c r="AR5081" s="47"/>
    </row>
    <row r="5082" spans="1:44" s="45" customFormat="1" x14ac:dyDescent="0.3">
      <c r="A5082" s="371" t="s">
        <v>8323</v>
      </c>
      <c r="B5082" t="s">
        <v>8324</v>
      </c>
      <c r="C5082" s="148" t="s">
        <v>8841</v>
      </c>
      <c r="D5082" t="s">
        <v>8842</v>
      </c>
      <c r="E5082" s="148" t="s">
        <v>9087</v>
      </c>
      <c r="F5082" t="s">
        <v>9088</v>
      </c>
      <c r="G5082" s="376" t="s">
        <v>9089</v>
      </c>
      <c r="H5082" t="s">
        <v>9090</v>
      </c>
      <c r="I5082"/>
      <c r="J5082"/>
      <c r="K5082" s="148" t="s">
        <v>9105</v>
      </c>
      <c r="L5082" s="148" t="s">
        <v>9106</v>
      </c>
      <c r="M5082" s="1" t="s">
        <v>9120</v>
      </c>
      <c r="N5082" s="457">
        <v>0</v>
      </c>
      <c r="O5082" s="458">
        <v>56</v>
      </c>
      <c r="P5082" s="374">
        <v>56</v>
      </c>
      <c r="Q5082" s="374">
        <v>56</v>
      </c>
      <c r="R5082" s="374">
        <v>28</v>
      </c>
      <c r="S5082" s="374">
        <v>28</v>
      </c>
      <c r="T5082" t="s">
        <v>280</v>
      </c>
      <c r="U5082" t="str">
        <f>VLOOKUP(T5082,[8]Votes!$A$1:$E$234,3,FALSE)</f>
        <v>011 Ministry of Local Government</v>
      </c>
      <c r="V5082" t="s">
        <v>9121</v>
      </c>
      <c r="W5082" s="45">
        <v>1</v>
      </c>
      <c r="X5082" s="45">
        <v>1</v>
      </c>
      <c r="Y5082" s="45">
        <v>1</v>
      </c>
      <c r="Z5082" s="45">
        <v>1</v>
      </c>
      <c r="AA5082" s="45">
        <v>1</v>
      </c>
      <c r="AB5082" s="45">
        <v>1</v>
      </c>
      <c r="AC5082" s="150">
        <v>1</v>
      </c>
      <c r="AD5082" s="150">
        <v>1</v>
      </c>
      <c r="AE5082" s="49">
        <f t="shared" si="186"/>
        <v>1</v>
      </c>
      <c r="AF5082" s="276"/>
      <c r="AG5082" s="17">
        <v>0</v>
      </c>
      <c r="AH5082" s="276">
        <v>288.77066854999998</v>
      </c>
      <c r="AI5082" s="276">
        <v>100</v>
      </c>
      <c r="AJ5082" s="44">
        <v>100.49999975</v>
      </c>
      <c r="AK5082" s="158">
        <v>55.249999875</v>
      </c>
      <c r="AL5082" s="151">
        <v>60.774999862500003</v>
      </c>
      <c r="AM5082" s="147">
        <f t="shared" si="185"/>
        <v>116.0249997375</v>
      </c>
      <c r="AN5082" t="s">
        <v>255</v>
      </c>
      <c r="AO5082" s="148" t="s">
        <v>1045</v>
      </c>
      <c r="AP5082" t="s">
        <v>9109</v>
      </c>
      <c r="AQ5082" s="47"/>
      <c r="AR5082" s="47"/>
    </row>
    <row r="5083" spans="1:44" s="45" customFormat="1" x14ac:dyDescent="0.3">
      <c r="A5083" s="371" t="s">
        <v>8323</v>
      </c>
      <c r="B5083" t="s">
        <v>8324</v>
      </c>
      <c r="C5083" s="148" t="s">
        <v>8841</v>
      </c>
      <c r="D5083" t="s">
        <v>8842</v>
      </c>
      <c r="E5083" s="148" t="s">
        <v>9087</v>
      </c>
      <c r="F5083" t="s">
        <v>9088</v>
      </c>
      <c r="G5083" s="376" t="s">
        <v>9089</v>
      </c>
      <c r="H5083" t="s">
        <v>9090</v>
      </c>
      <c r="I5083"/>
      <c r="J5083"/>
      <c r="K5083" s="148" t="s">
        <v>9105</v>
      </c>
      <c r="L5083" s="148" t="s">
        <v>9106</v>
      </c>
      <c r="M5083" s="1" t="s">
        <v>9122</v>
      </c>
      <c r="N5083" s="457">
        <v>0</v>
      </c>
      <c r="O5083" s="458">
        <v>56</v>
      </c>
      <c r="P5083" s="374">
        <v>56</v>
      </c>
      <c r="Q5083" s="374">
        <v>56</v>
      </c>
      <c r="R5083" s="374">
        <v>28</v>
      </c>
      <c r="S5083" s="374">
        <v>28</v>
      </c>
      <c r="T5083" t="s">
        <v>280</v>
      </c>
      <c r="U5083" t="str">
        <f>VLOOKUP(T5083,[8]Votes!$A$1:$E$234,3,FALSE)</f>
        <v>011 Ministry of Local Government</v>
      </c>
      <c r="V5083" t="s">
        <v>9123</v>
      </c>
      <c r="W5083" s="45">
        <v>1</v>
      </c>
      <c r="X5083" s="45">
        <v>1</v>
      </c>
      <c r="Y5083" s="45">
        <v>1</v>
      </c>
      <c r="Z5083" s="45">
        <v>1</v>
      </c>
      <c r="AA5083" s="45">
        <v>1</v>
      </c>
      <c r="AB5083" s="45">
        <v>1</v>
      </c>
      <c r="AC5083" s="150">
        <v>1</v>
      </c>
      <c r="AD5083" s="150">
        <v>1</v>
      </c>
      <c r="AE5083" s="49">
        <f t="shared" si="186"/>
        <v>1</v>
      </c>
      <c r="AF5083" s="276"/>
      <c r="AG5083" s="17">
        <v>0</v>
      </c>
      <c r="AH5083" s="276">
        <v>292.52066854999998</v>
      </c>
      <c r="AI5083" s="276">
        <v>85</v>
      </c>
      <c r="AJ5083" s="44">
        <v>104.24999975</v>
      </c>
      <c r="AK5083" s="158">
        <v>57.124999875</v>
      </c>
      <c r="AL5083" s="151">
        <v>62.837499862500003</v>
      </c>
      <c r="AM5083" s="147">
        <f t="shared" si="185"/>
        <v>119.9624997375</v>
      </c>
      <c r="AN5083" t="s">
        <v>255</v>
      </c>
      <c r="AO5083" s="148" t="s">
        <v>1045</v>
      </c>
      <c r="AP5083" t="s">
        <v>9109</v>
      </c>
      <c r="AQ5083" s="47"/>
      <c r="AR5083" s="47"/>
    </row>
    <row r="5084" spans="1:44" s="45" customFormat="1" x14ac:dyDescent="0.3">
      <c r="A5084" s="371" t="s">
        <v>8323</v>
      </c>
      <c r="B5084" t="s">
        <v>8324</v>
      </c>
      <c r="C5084" s="148" t="s">
        <v>8841</v>
      </c>
      <c r="D5084" t="s">
        <v>8842</v>
      </c>
      <c r="E5084" s="148" t="s">
        <v>9087</v>
      </c>
      <c r="F5084" t="s">
        <v>9088</v>
      </c>
      <c r="G5084" s="376" t="s">
        <v>9089</v>
      </c>
      <c r="H5084" t="s">
        <v>9090</v>
      </c>
      <c r="I5084"/>
      <c r="J5084"/>
      <c r="K5084" s="148" t="s">
        <v>9105</v>
      </c>
      <c r="L5084" s="148" t="s">
        <v>9106</v>
      </c>
      <c r="M5084" s="1" t="s">
        <v>9124</v>
      </c>
      <c r="N5084" s="457">
        <v>0</v>
      </c>
      <c r="O5084" s="458">
        <v>56</v>
      </c>
      <c r="P5084" s="374">
        <v>56</v>
      </c>
      <c r="Q5084" s="374">
        <v>56</v>
      </c>
      <c r="R5084" s="374">
        <v>28</v>
      </c>
      <c r="S5084" s="374">
        <v>28</v>
      </c>
      <c r="T5084" t="s">
        <v>280</v>
      </c>
      <c r="U5084" t="str">
        <f>VLOOKUP(T5084,[8]Votes!$A$1:$E$234,3,FALSE)</f>
        <v>011 Ministry of Local Government</v>
      </c>
      <c r="V5084" t="s">
        <v>9125</v>
      </c>
      <c r="W5084" s="45">
        <v>1</v>
      </c>
      <c r="X5084" s="45">
        <v>1</v>
      </c>
      <c r="Y5084" s="45">
        <v>1</v>
      </c>
      <c r="Z5084" s="45">
        <v>1</v>
      </c>
      <c r="AA5084" s="45">
        <v>1</v>
      </c>
      <c r="AB5084" s="45">
        <v>1</v>
      </c>
      <c r="AC5084" s="150">
        <v>1</v>
      </c>
      <c r="AD5084" s="150">
        <v>1</v>
      </c>
      <c r="AE5084" s="49">
        <f t="shared" si="186"/>
        <v>1</v>
      </c>
      <c r="AF5084" s="276"/>
      <c r="AG5084" s="17">
        <v>0</v>
      </c>
      <c r="AH5084" s="276">
        <v>293.27066879999995</v>
      </c>
      <c r="AI5084" s="276">
        <v>82</v>
      </c>
      <c r="AJ5084" s="44">
        <v>105</v>
      </c>
      <c r="AK5084" s="158">
        <v>57.499999999999993</v>
      </c>
      <c r="AL5084" s="151">
        <v>63.25</v>
      </c>
      <c r="AM5084" s="147">
        <f t="shared" si="185"/>
        <v>120.75</v>
      </c>
      <c r="AN5084" t="s">
        <v>255</v>
      </c>
      <c r="AO5084" s="148" t="s">
        <v>1045</v>
      </c>
      <c r="AP5084" t="s">
        <v>9109</v>
      </c>
      <c r="AQ5084" s="47"/>
      <c r="AR5084" s="47"/>
    </row>
    <row r="5085" spans="1:44" s="45" customFormat="1" x14ac:dyDescent="0.3">
      <c r="A5085" s="371" t="s">
        <v>8323</v>
      </c>
      <c r="B5085" t="s">
        <v>8324</v>
      </c>
      <c r="C5085" s="148" t="s">
        <v>8841</v>
      </c>
      <c r="D5085" t="s">
        <v>8842</v>
      </c>
      <c r="E5085" s="148" t="s">
        <v>9087</v>
      </c>
      <c r="F5085" t="s">
        <v>9088</v>
      </c>
      <c r="G5085" s="376" t="s">
        <v>9089</v>
      </c>
      <c r="H5085" t="s">
        <v>9090</v>
      </c>
      <c r="I5085"/>
      <c r="J5085"/>
      <c r="K5085" s="148" t="s">
        <v>9105</v>
      </c>
      <c r="L5085" s="148" t="s">
        <v>9106</v>
      </c>
      <c r="M5085" s="1" t="s">
        <v>9126</v>
      </c>
      <c r="N5085" s="457">
        <v>0</v>
      </c>
      <c r="O5085" s="458">
        <v>56</v>
      </c>
      <c r="P5085" s="374">
        <v>56</v>
      </c>
      <c r="Q5085" s="374">
        <v>56</v>
      </c>
      <c r="R5085" s="374">
        <v>28</v>
      </c>
      <c r="S5085" s="374">
        <v>28</v>
      </c>
      <c r="T5085" t="s">
        <v>280</v>
      </c>
      <c r="U5085" t="str">
        <f>VLOOKUP(T5085,[8]Votes!$A$1:$E$234,3,FALSE)</f>
        <v>011 Ministry of Local Government</v>
      </c>
      <c r="V5085" t="s">
        <v>9127</v>
      </c>
      <c r="W5085" s="45">
        <v>1</v>
      </c>
      <c r="X5085" s="45">
        <v>1</v>
      </c>
      <c r="Y5085" s="45">
        <v>1</v>
      </c>
      <c r="Z5085" s="45">
        <v>1</v>
      </c>
      <c r="AA5085" s="45">
        <v>1</v>
      </c>
      <c r="AB5085" s="45">
        <v>1</v>
      </c>
      <c r="AC5085" s="150">
        <v>1</v>
      </c>
      <c r="AD5085" s="150">
        <v>1</v>
      </c>
      <c r="AE5085" s="49">
        <f t="shared" si="186"/>
        <v>1</v>
      </c>
      <c r="AF5085" s="276"/>
      <c r="AG5085" s="17">
        <v>0</v>
      </c>
      <c r="AH5085" s="276">
        <v>230</v>
      </c>
      <c r="AI5085" s="276">
        <v>102.81766744999999</v>
      </c>
      <c r="AJ5085" s="44">
        <v>105.81766745</v>
      </c>
      <c r="AK5085" s="158">
        <v>67.908833724999994</v>
      </c>
      <c r="AL5085" s="151">
        <v>74.699717097499999</v>
      </c>
      <c r="AM5085" s="147">
        <f t="shared" si="185"/>
        <v>142.60855082249998</v>
      </c>
      <c r="AN5085" t="s">
        <v>255</v>
      </c>
      <c r="AO5085" s="148" t="s">
        <v>1045</v>
      </c>
      <c r="AP5085" t="s">
        <v>9109</v>
      </c>
      <c r="AQ5085" s="47"/>
      <c r="AR5085" s="47"/>
    </row>
    <row r="5086" spans="1:44" s="45" customFormat="1" x14ac:dyDescent="0.3">
      <c r="A5086" s="371" t="s">
        <v>8323</v>
      </c>
      <c r="B5086" t="s">
        <v>8324</v>
      </c>
      <c r="C5086" s="148" t="s">
        <v>8841</v>
      </c>
      <c r="D5086" t="s">
        <v>8842</v>
      </c>
      <c r="E5086" s="148" t="s">
        <v>9087</v>
      </c>
      <c r="F5086" t="s">
        <v>9088</v>
      </c>
      <c r="G5086" s="376" t="s">
        <v>9128</v>
      </c>
      <c r="H5086" t="s">
        <v>9129</v>
      </c>
      <c r="I5086"/>
      <c r="J5086"/>
      <c r="K5086" s="148" t="s">
        <v>9130</v>
      </c>
      <c r="L5086" s="148" t="s">
        <v>9131</v>
      </c>
      <c r="M5086" s="1" t="s">
        <v>9132</v>
      </c>
      <c r="N5086" s="457">
        <v>0</v>
      </c>
      <c r="O5086" s="458">
        <v>1</v>
      </c>
      <c r="P5086" s="373">
        <v>1</v>
      </c>
      <c r="Q5086" s="374">
        <v>1</v>
      </c>
      <c r="R5086" s="373">
        <v>1</v>
      </c>
      <c r="S5086" s="374">
        <v>1</v>
      </c>
      <c r="T5086" t="s">
        <v>6894</v>
      </c>
      <c r="U5086" t="str">
        <f>VLOOKUP(T5086,[8]Votes!$A$1:$E$234,3,FALSE)</f>
        <v>117 Uganda Tourism Board</v>
      </c>
      <c r="V5086" t="s">
        <v>9133</v>
      </c>
      <c r="W5086" s="45">
        <v>1</v>
      </c>
      <c r="X5086" s="45">
        <v>1</v>
      </c>
      <c r="Y5086" s="45">
        <v>1</v>
      </c>
      <c r="Z5086" s="45">
        <v>0</v>
      </c>
      <c r="AA5086" s="45">
        <v>1</v>
      </c>
      <c r="AB5086" s="45">
        <v>1</v>
      </c>
      <c r="AC5086" s="150">
        <v>1</v>
      </c>
      <c r="AD5086" s="150">
        <v>1</v>
      </c>
      <c r="AE5086" s="49">
        <f t="shared" si="186"/>
        <v>0.875</v>
      </c>
      <c r="AF5086" s="276"/>
      <c r="AG5086" s="17">
        <v>0</v>
      </c>
      <c r="AH5086" s="276">
        <v>0</v>
      </c>
      <c r="AI5086" s="276">
        <v>5</v>
      </c>
      <c r="AJ5086" s="44">
        <v>5</v>
      </c>
      <c r="AK5086" s="158">
        <v>0</v>
      </c>
      <c r="AL5086" s="151">
        <v>0</v>
      </c>
      <c r="AM5086" s="147">
        <f t="shared" si="185"/>
        <v>0</v>
      </c>
      <c r="AN5086" t="s">
        <v>6894</v>
      </c>
      <c r="AO5086" s="148" t="s">
        <v>6896</v>
      </c>
      <c r="AP5086" t="s">
        <v>9134</v>
      </c>
      <c r="AQ5086" s="47"/>
      <c r="AR5086" s="47"/>
    </row>
    <row r="5087" spans="1:44" s="45" customFormat="1" x14ac:dyDescent="0.3">
      <c r="A5087" s="371" t="s">
        <v>8323</v>
      </c>
      <c r="B5087" t="s">
        <v>8324</v>
      </c>
      <c r="C5087" s="148" t="s">
        <v>8841</v>
      </c>
      <c r="D5087" t="s">
        <v>8842</v>
      </c>
      <c r="E5087" s="148" t="s">
        <v>9087</v>
      </c>
      <c r="F5087" t="s">
        <v>9088</v>
      </c>
      <c r="G5087" s="376" t="s">
        <v>9135</v>
      </c>
      <c r="H5087" t="s">
        <v>9136</v>
      </c>
      <c r="I5087"/>
      <c r="J5087"/>
      <c r="K5087" s="148" t="s">
        <v>9137</v>
      </c>
      <c r="L5087" s="148" t="s">
        <v>9138</v>
      </c>
      <c r="M5087" s="1" t="s">
        <v>9139</v>
      </c>
      <c r="N5087" s="457"/>
      <c r="O5087" s="458">
        <v>87</v>
      </c>
      <c r="P5087" s="373">
        <v>87</v>
      </c>
      <c r="Q5087" s="374">
        <v>87</v>
      </c>
      <c r="R5087" s="373">
        <v>87</v>
      </c>
      <c r="S5087" s="374">
        <v>87</v>
      </c>
      <c r="T5087" t="s">
        <v>255</v>
      </c>
      <c r="U5087" t="str">
        <f>VLOOKUP(T5087,[8]Votes!$A$1:$E$234,3,FALSE)</f>
        <v>500 501-850 Local Governments</v>
      </c>
      <c r="V5087" t="s">
        <v>9140</v>
      </c>
      <c r="W5087" s="45">
        <v>1</v>
      </c>
      <c r="X5087" s="45">
        <v>1</v>
      </c>
      <c r="Y5087" s="45">
        <v>1</v>
      </c>
      <c r="Z5087" s="45">
        <v>0</v>
      </c>
      <c r="AA5087" s="45">
        <v>1</v>
      </c>
      <c r="AB5087" s="45">
        <v>1</v>
      </c>
      <c r="AC5087" s="150">
        <v>1</v>
      </c>
      <c r="AD5087" s="150">
        <v>1</v>
      </c>
      <c r="AE5087" s="49">
        <f t="shared" si="186"/>
        <v>0.875</v>
      </c>
      <c r="AF5087" s="276"/>
      <c r="AG5087" s="17">
        <v>0</v>
      </c>
      <c r="AH5087" s="276">
        <v>0</v>
      </c>
      <c r="AI5087" s="276">
        <v>5</v>
      </c>
      <c r="AJ5087" s="44">
        <v>5</v>
      </c>
      <c r="AK5087" s="158">
        <v>0</v>
      </c>
      <c r="AL5087" s="151">
        <v>0</v>
      </c>
      <c r="AM5087" s="147">
        <f t="shared" si="185"/>
        <v>0</v>
      </c>
      <c r="AN5087" t="s">
        <v>255</v>
      </c>
      <c r="AO5087" s="148" t="s">
        <v>1045</v>
      </c>
      <c r="AP5087" t="s">
        <v>7241</v>
      </c>
      <c r="AQ5087" s="47"/>
      <c r="AR5087" s="47"/>
    </row>
    <row r="5088" spans="1:44" s="45" customFormat="1" x14ac:dyDescent="0.3">
      <c r="A5088" s="371" t="s">
        <v>8323</v>
      </c>
      <c r="B5088" t="s">
        <v>8324</v>
      </c>
      <c r="C5088" s="148" t="s">
        <v>8841</v>
      </c>
      <c r="D5088" t="s">
        <v>8842</v>
      </c>
      <c r="E5088" s="148" t="s">
        <v>9087</v>
      </c>
      <c r="F5088" t="s">
        <v>9088</v>
      </c>
      <c r="G5088" s="376" t="s">
        <v>9141</v>
      </c>
      <c r="H5088" t="s">
        <v>9142</v>
      </c>
      <c r="I5088"/>
      <c r="J5088"/>
      <c r="K5088" s="148" t="s">
        <v>9143</v>
      </c>
      <c r="L5088" s="148" t="s">
        <v>9144</v>
      </c>
      <c r="M5088" s="1" t="s">
        <v>9145</v>
      </c>
      <c r="N5088" s="457">
        <v>0</v>
      </c>
      <c r="O5088" s="458">
        <v>8</v>
      </c>
      <c r="P5088" s="373">
        <v>8</v>
      </c>
      <c r="Q5088" s="374">
        <v>8</v>
      </c>
      <c r="R5088" s="373">
        <v>8</v>
      </c>
      <c r="S5088" s="374">
        <v>8</v>
      </c>
      <c r="T5088" t="s">
        <v>255</v>
      </c>
      <c r="U5088" t="str">
        <f>VLOOKUP(T5088,[8]Votes!$A$1:$E$234,3,FALSE)</f>
        <v>500 501-850 Local Governments</v>
      </c>
      <c r="V5088" t="s">
        <v>9146</v>
      </c>
      <c r="W5088" s="45">
        <v>1</v>
      </c>
      <c r="X5088" s="45">
        <v>1</v>
      </c>
      <c r="Y5088" s="45">
        <v>0</v>
      </c>
      <c r="Z5088" s="45">
        <v>0</v>
      </c>
      <c r="AA5088" s="45">
        <v>0</v>
      </c>
      <c r="AB5088" s="45">
        <v>0</v>
      </c>
      <c r="AC5088" s="150">
        <v>0</v>
      </c>
      <c r="AD5088" s="150">
        <v>1</v>
      </c>
      <c r="AE5088" s="49">
        <f t="shared" si="186"/>
        <v>0.375</v>
      </c>
      <c r="AF5088" s="276"/>
      <c r="AG5088" s="17">
        <v>0</v>
      </c>
      <c r="AH5088" s="276">
        <v>0</v>
      </c>
      <c r="AI5088" s="276">
        <v>0</v>
      </c>
      <c r="AJ5088" s="44">
        <v>0</v>
      </c>
      <c r="AK5088" s="158">
        <v>0</v>
      </c>
      <c r="AL5088" s="151">
        <v>0</v>
      </c>
      <c r="AM5088" s="147">
        <f t="shared" si="185"/>
        <v>0</v>
      </c>
      <c r="AN5088" t="s">
        <v>255</v>
      </c>
      <c r="AO5088" s="148" t="s">
        <v>1045</v>
      </c>
      <c r="AP5088" t="s">
        <v>119</v>
      </c>
      <c r="AQ5088" s="47"/>
      <c r="AR5088" s="47"/>
    </row>
    <row r="5089" spans="1:44" s="45" customFormat="1" x14ac:dyDescent="0.3">
      <c r="A5089" s="371" t="s">
        <v>8323</v>
      </c>
      <c r="B5089" t="s">
        <v>8324</v>
      </c>
      <c r="C5089" s="148" t="s">
        <v>8841</v>
      </c>
      <c r="D5089" t="s">
        <v>8842</v>
      </c>
      <c r="E5089" s="148" t="s">
        <v>9087</v>
      </c>
      <c r="F5089" t="s">
        <v>9088</v>
      </c>
      <c r="G5089" s="376" t="s">
        <v>9141</v>
      </c>
      <c r="H5089" t="s">
        <v>9142</v>
      </c>
      <c r="I5089"/>
      <c r="J5089"/>
      <c r="K5089" s="148" t="s">
        <v>9147</v>
      </c>
      <c r="L5089" s="148" t="s">
        <v>9148</v>
      </c>
      <c r="M5089" s="1" t="s">
        <v>9149</v>
      </c>
      <c r="N5089" s="457">
        <v>0</v>
      </c>
      <c r="O5089" s="458"/>
      <c r="P5089" s="373"/>
      <c r="Q5089" s="374"/>
      <c r="R5089" s="373"/>
      <c r="S5089" s="374"/>
      <c r="T5089"/>
      <c r="U5089" t="e">
        <f>VLOOKUP(T5089,[8]Votes!$A$1:$E$234,3,FALSE)</f>
        <v>#N/A</v>
      </c>
      <c r="V5089" t="s">
        <v>9150</v>
      </c>
      <c r="W5089" s="45">
        <v>0</v>
      </c>
      <c r="X5089" s="45">
        <v>1</v>
      </c>
      <c r="Y5089" s="45">
        <v>1</v>
      </c>
      <c r="Z5089" s="45">
        <v>0</v>
      </c>
      <c r="AA5089" s="45">
        <v>0</v>
      </c>
      <c r="AB5089" s="45">
        <v>0</v>
      </c>
      <c r="AC5089" s="150">
        <v>1</v>
      </c>
      <c r="AD5089" s="150">
        <v>1</v>
      </c>
      <c r="AE5089" s="49">
        <f t="shared" si="186"/>
        <v>0.5</v>
      </c>
      <c r="AF5089" s="276"/>
      <c r="AG5089" s="17">
        <v>0</v>
      </c>
      <c r="AH5089" s="276">
        <v>0</v>
      </c>
      <c r="AI5089" s="276">
        <v>0</v>
      </c>
      <c r="AJ5089" s="44">
        <v>0</v>
      </c>
      <c r="AK5089" s="158">
        <v>0</v>
      </c>
      <c r="AL5089" s="151">
        <v>0</v>
      </c>
      <c r="AM5089" s="147">
        <f t="shared" si="185"/>
        <v>0</v>
      </c>
      <c r="AN5089" t="s">
        <v>255</v>
      </c>
      <c r="AO5089" s="148" t="s">
        <v>1045</v>
      </c>
      <c r="AP5089" t="s">
        <v>2172</v>
      </c>
    </row>
    <row r="5090" spans="1:44" s="45" customFormat="1" x14ac:dyDescent="0.3">
      <c r="A5090" s="371" t="s">
        <v>8323</v>
      </c>
      <c r="B5090" t="s">
        <v>8324</v>
      </c>
      <c r="C5090" s="148" t="s">
        <v>8841</v>
      </c>
      <c r="D5090" t="s">
        <v>8842</v>
      </c>
      <c r="E5090" s="148" t="s">
        <v>9087</v>
      </c>
      <c r="F5090" t="s">
        <v>9088</v>
      </c>
      <c r="G5090" s="376" t="s">
        <v>9151</v>
      </c>
      <c r="H5090" t="s">
        <v>9152</v>
      </c>
      <c r="I5090"/>
      <c r="J5090"/>
      <c r="K5090" s="148" t="s">
        <v>9153</v>
      </c>
      <c r="L5090" s="148" t="s">
        <v>9154</v>
      </c>
      <c r="M5090" s="1" t="s">
        <v>9155</v>
      </c>
      <c r="N5090" s="457">
        <v>0</v>
      </c>
      <c r="O5090" s="458">
        <v>435</v>
      </c>
      <c r="P5090" s="373">
        <v>435</v>
      </c>
      <c r="Q5090" s="374">
        <v>435</v>
      </c>
      <c r="R5090" s="373">
        <v>435</v>
      </c>
      <c r="S5090" s="374">
        <v>435</v>
      </c>
      <c r="T5090" t="s">
        <v>723</v>
      </c>
      <c r="U5090" t="str">
        <f>VLOOKUP(T5090,[8]Votes!$A$1:$E$234,3,FALSE)</f>
        <v>013 Ministry of Education and Sports</v>
      </c>
      <c r="V5090" t="s">
        <v>9156</v>
      </c>
      <c r="W5090" s="45">
        <v>1</v>
      </c>
      <c r="X5090" s="45">
        <v>1</v>
      </c>
      <c r="Y5090" s="45">
        <v>0</v>
      </c>
      <c r="Z5090" s="45">
        <v>0</v>
      </c>
      <c r="AA5090" s="45">
        <v>0</v>
      </c>
      <c r="AB5090" s="45">
        <v>0</v>
      </c>
      <c r="AC5090" s="150">
        <v>0</v>
      </c>
      <c r="AD5090" s="150">
        <v>0</v>
      </c>
      <c r="AE5090" s="49">
        <f t="shared" si="186"/>
        <v>0.25</v>
      </c>
      <c r="AF5090" s="276"/>
      <c r="AG5090" s="17">
        <v>0</v>
      </c>
      <c r="AH5090" s="276">
        <v>0</v>
      </c>
      <c r="AI5090" s="276">
        <v>0</v>
      </c>
      <c r="AJ5090" s="44">
        <v>0</v>
      </c>
      <c r="AK5090" s="158">
        <v>0</v>
      </c>
      <c r="AL5090" s="151">
        <v>0</v>
      </c>
      <c r="AM5090" s="147">
        <f t="shared" si="185"/>
        <v>0</v>
      </c>
      <c r="AN5090" t="s">
        <v>723</v>
      </c>
      <c r="AO5090" s="148" t="s">
        <v>729</v>
      </c>
      <c r="AP5090" t="s">
        <v>9157</v>
      </c>
      <c r="AQ5090" s="47"/>
      <c r="AR5090" s="47"/>
    </row>
    <row r="5091" spans="1:44" s="45" customFormat="1" x14ac:dyDescent="0.3">
      <c r="A5091" s="371" t="s">
        <v>8323</v>
      </c>
      <c r="B5091" t="s">
        <v>8324</v>
      </c>
      <c r="C5091" s="148" t="s">
        <v>8841</v>
      </c>
      <c r="D5091" t="s">
        <v>8842</v>
      </c>
      <c r="E5091" s="148" t="s">
        <v>9087</v>
      </c>
      <c r="F5091" t="s">
        <v>9088</v>
      </c>
      <c r="G5091" s="376" t="s">
        <v>9151</v>
      </c>
      <c r="H5091" t="s">
        <v>9152</v>
      </c>
      <c r="I5091"/>
      <c r="J5091"/>
      <c r="K5091" s="148" t="s">
        <v>9158</v>
      </c>
      <c r="L5091" s="148" t="s">
        <v>9159</v>
      </c>
      <c r="M5091" s="1" t="s">
        <v>9160</v>
      </c>
      <c r="N5091" s="457">
        <v>0</v>
      </c>
      <c r="O5091" s="458"/>
      <c r="P5091" s="373"/>
      <c r="Q5091" s="374"/>
      <c r="R5091" s="373"/>
      <c r="S5091" s="374"/>
      <c r="T5091"/>
      <c r="U5091" t="e">
        <f>VLOOKUP(T5091,[8]Votes!$A$1:$E$234,3,FALSE)</f>
        <v>#N/A</v>
      </c>
      <c r="V5091" t="s">
        <v>9161</v>
      </c>
      <c r="W5091" s="45">
        <v>0</v>
      </c>
      <c r="X5091" s="45">
        <v>0</v>
      </c>
      <c r="Y5091" s="45">
        <v>0</v>
      </c>
      <c r="Z5091" s="45">
        <v>1</v>
      </c>
      <c r="AA5091" s="45">
        <v>0</v>
      </c>
      <c r="AB5091" s="45">
        <v>0</v>
      </c>
      <c r="AC5091" s="150">
        <v>0</v>
      </c>
      <c r="AD5091" s="150">
        <v>0</v>
      </c>
      <c r="AE5091" s="49">
        <f t="shared" si="186"/>
        <v>0.125</v>
      </c>
      <c r="AF5091" s="276"/>
      <c r="AG5091" s="17">
        <v>0</v>
      </c>
      <c r="AH5091" s="276">
        <v>0</v>
      </c>
      <c r="AI5091" s="276">
        <v>0.3</v>
      </c>
      <c r="AJ5091" s="44">
        <v>0.3</v>
      </c>
      <c r="AK5091" s="158">
        <v>0</v>
      </c>
      <c r="AL5091" s="151">
        <v>0</v>
      </c>
      <c r="AM5091" s="147">
        <f t="shared" si="185"/>
        <v>0</v>
      </c>
      <c r="AN5091" t="s">
        <v>7101</v>
      </c>
      <c r="AO5091" s="148" t="s">
        <v>6901</v>
      </c>
      <c r="AP5091" t="s">
        <v>119</v>
      </c>
      <c r="AQ5091" s="47"/>
      <c r="AR5091" s="47"/>
    </row>
    <row r="5092" spans="1:44" s="45" customFormat="1" x14ac:dyDescent="0.3">
      <c r="A5092" s="371" t="s">
        <v>8323</v>
      </c>
      <c r="B5092" t="s">
        <v>8324</v>
      </c>
      <c r="C5092" s="148" t="s">
        <v>8841</v>
      </c>
      <c r="D5092" t="s">
        <v>8842</v>
      </c>
      <c r="E5092" s="148" t="s">
        <v>9087</v>
      </c>
      <c r="F5092" t="s">
        <v>9088</v>
      </c>
      <c r="G5092" s="376" t="s">
        <v>9162</v>
      </c>
      <c r="H5092" t="s">
        <v>9163</v>
      </c>
      <c r="I5092"/>
      <c r="J5092"/>
      <c r="K5092" s="148" t="s">
        <v>9164</v>
      </c>
      <c r="L5092" s="148" t="s">
        <v>9165</v>
      </c>
      <c r="M5092" s="1" t="s">
        <v>9166</v>
      </c>
      <c r="N5092" s="457">
        <v>0</v>
      </c>
      <c r="O5092" s="458">
        <v>16</v>
      </c>
      <c r="P5092" s="373">
        <v>16</v>
      </c>
      <c r="Q5092" s="374">
        <v>16</v>
      </c>
      <c r="R5092" s="373">
        <v>16</v>
      </c>
      <c r="S5092" s="374">
        <v>16</v>
      </c>
      <c r="T5092" t="s">
        <v>6900</v>
      </c>
      <c r="U5092" t="str">
        <f>VLOOKUP(T5092,[8]Votes!$A$1:$E$234,3,FALSE)</f>
        <v>022 Ministry of Tourism, Wildlife and Antiquities</v>
      </c>
      <c r="V5092" t="s">
        <v>9167</v>
      </c>
      <c r="W5092" s="45">
        <v>1</v>
      </c>
      <c r="X5092" s="45">
        <v>1</v>
      </c>
      <c r="Y5092" s="45">
        <v>1</v>
      </c>
      <c r="Z5092" s="45">
        <v>1</v>
      </c>
      <c r="AA5092" s="45">
        <v>0</v>
      </c>
      <c r="AB5092" s="45">
        <v>1</v>
      </c>
      <c r="AC5092" s="150">
        <v>1</v>
      </c>
      <c r="AD5092" s="150">
        <v>1</v>
      </c>
      <c r="AE5092" s="49">
        <f t="shared" si="186"/>
        <v>0.875</v>
      </c>
      <c r="AF5092" s="276"/>
      <c r="AG5092" s="17">
        <v>0</v>
      </c>
      <c r="AH5092" s="276">
        <v>0</v>
      </c>
      <c r="AI5092" s="276">
        <v>3.4</v>
      </c>
      <c r="AJ5092" s="44">
        <v>3.6</v>
      </c>
      <c r="AK5092" s="158">
        <v>0</v>
      </c>
      <c r="AL5092" s="151">
        <v>0</v>
      </c>
      <c r="AM5092" s="147">
        <f t="shared" si="185"/>
        <v>0</v>
      </c>
      <c r="AN5092" t="s">
        <v>6900</v>
      </c>
      <c r="AO5092" s="148" t="s">
        <v>6901</v>
      </c>
      <c r="AP5092" t="s">
        <v>255</v>
      </c>
      <c r="AQ5092" s="47"/>
      <c r="AR5092" s="47"/>
    </row>
    <row r="5093" spans="1:44" s="45" customFormat="1" x14ac:dyDescent="0.3">
      <c r="A5093" s="371" t="s">
        <v>8323</v>
      </c>
      <c r="B5093" t="s">
        <v>8324</v>
      </c>
      <c r="C5093" s="148" t="s">
        <v>8841</v>
      </c>
      <c r="D5093" t="s">
        <v>8842</v>
      </c>
      <c r="E5093" s="148" t="s">
        <v>9087</v>
      </c>
      <c r="F5093" t="s">
        <v>9088</v>
      </c>
      <c r="G5093" s="376" t="s">
        <v>9162</v>
      </c>
      <c r="H5093" t="s">
        <v>9163</v>
      </c>
      <c r="I5093"/>
      <c r="J5093"/>
      <c r="K5093" s="148" t="s">
        <v>9168</v>
      </c>
      <c r="L5093" t="s">
        <v>9169</v>
      </c>
      <c r="M5093" s="1" t="s">
        <v>9170</v>
      </c>
      <c r="N5093" s="457">
        <v>0</v>
      </c>
      <c r="O5093" s="458"/>
      <c r="P5093" s="373"/>
      <c r="Q5093" s="374"/>
      <c r="R5093" s="373"/>
      <c r="S5093" s="374"/>
      <c r="T5093"/>
      <c r="U5093" t="e">
        <f>VLOOKUP(T5093,[8]Votes!$A$1:$E$234,3,FALSE)</f>
        <v>#N/A</v>
      </c>
      <c r="V5093" t="s">
        <v>9171</v>
      </c>
      <c r="W5093" s="45">
        <v>1</v>
      </c>
      <c r="X5093" s="45">
        <v>1</v>
      </c>
      <c r="Y5093" s="45">
        <v>1</v>
      </c>
      <c r="Z5093" s="45">
        <v>0</v>
      </c>
      <c r="AA5093" s="45">
        <v>1</v>
      </c>
      <c r="AB5093" s="45">
        <v>0</v>
      </c>
      <c r="AC5093" s="150">
        <v>0</v>
      </c>
      <c r="AD5093" s="150">
        <v>1</v>
      </c>
      <c r="AE5093" s="49">
        <f t="shared" si="186"/>
        <v>0.625</v>
      </c>
      <c r="AF5093" s="276"/>
      <c r="AG5093" s="17">
        <v>0</v>
      </c>
      <c r="AH5093" s="276">
        <v>0</v>
      </c>
      <c r="AI5093" s="276">
        <v>0.8</v>
      </c>
      <c r="AJ5093" s="44">
        <v>0.8</v>
      </c>
      <c r="AK5093" s="158">
        <v>0</v>
      </c>
      <c r="AL5093" s="151">
        <v>0</v>
      </c>
      <c r="AM5093" s="147">
        <f t="shared" si="185"/>
        <v>0</v>
      </c>
      <c r="AN5093" t="s">
        <v>6300</v>
      </c>
      <c r="AO5093" s="148" t="s">
        <v>6301</v>
      </c>
      <c r="AP5093" t="s">
        <v>255</v>
      </c>
      <c r="AQ5093" s="47"/>
      <c r="AR5093" s="47"/>
    </row>
    <row r="5094" spans="1:44" s="45" customFormat="1" x14ac:dyDescent="0.3">
      <c r="A5094" s="371" t="s">
        <v>8323</v>
      </c>
      <c r="B5094" t="s">
        <v>8324</v>
      </c>
      <c r="C5094" s="148" t="s">
        <v>8841</v>
      </c>
      <c r="D5094" t="s">
        <v>8842</v>
      </c>
      <c r="E5094" s="148" t="s">
        <v>9087</v>
      </c>
      <c r="F5094" t="s">
        <v>9088</v>
      </c>
      <c r="G5094" s="376" t="s">
        <v>9172</v>
      </c>
      <c r="H5094" t="s">
        <v>9173</v>
      </c>
      <c r="I5094"/>
      <c r="J5094"/>
      <c r="K5094" s="148" t="s">
        <v>9174</v>
      </c>
      <c r="L5094" t="s">
        <v>9175</v>
      </c>
      <c r="M5094" s="1" t="s">
        <v>9176</v>
      </c>
      <c r="N5094" s="457"/>
      <c r="O5094" s="458"/>
      <c r="P5094" s="373"/>
      <c r="Q5094" s="374"/>
      <c r="R5094" s="373"/>
      <c r="S5094" s="374"/>
      <c r="T5094"/>
      <c r="U5094" t="e">
        <f>VLOOKUP(T5094,[8]Votes!$A$1:$E$234,3,FALSE)</f>
        <v>#N/A</v>
      </c>
      <c r="V5094" t="s">
        <v>9177</v>
      </c>
      <c r="W5094" s="45">
        <v>1</v>
      </c>
      <c r="X5094" s="45">
        <v>1</v>
      </c>
      <c r="Y5094" s="45">
        <v>1</v>
      </c>
      <c r="Z5094" s="45">
        <v>0</v>
      </c>
      <c r="AA5094" s="45">
        <v>0</v>
      </c>
      <c r="AB5094" s="45">
        <v>0</v>
      </c>
      <c r="AC5094" s="150">
        <v>1</v>
      </c>
      <c r="AD5094" s="150">
        <v>1</v>
      </c>
      <c r="AE5094" s="49">
        <f t="shared" si="186"/>
        <v>0.625</v>
      </c>
      <c r="AF5094" s="276"/>
      <c r="AG5094" s="17">
        <v>0</v>
      </c>
      <c r="AH5094" s="276">
        <v>0</v>
      </c>
      <c r="AI5094" s="276">
        <v>0</v>
      </c>
      <c r="AJ5094" s="44">
        <v>0</v>
      </c>
      <c r="AK5094" s="158">
        <v>0</v>
      </c>
      <c r="AL5094" s="151">
        <v>0</v>
      </c>
      <c r="AM5094" s="147">
        <f t="shared" si="185"/>
        <v>0</v>
      </c>
      <c r="AN5094" t="s">
        <v>6900</v>
      </c>
      <c r="AO5094" s="148" t="s">
        <v>6901</v>
      </c>
      <c r="AP5094" t="s">
        <v>9178</v>
      </c>
      <c r="AQ5094" s="47"/>
      <c r="AR5094" s="47"/>
    </row>
    <row r="5095" spans="1:44" s="45" customFormat="1" x14ac:dyDescent="0.3">
      <c r="A5095" s="371" t="s">
        <v>8323</v>
      </c>
      <c r="B5095" t="s">
        <v>8324</v>
      </c>
      <c r="C5095" s="148" t="s">
        <v>8841</v>
      </c>
      <c r="D5095" t="s">
        <v>8842</v>
      </c>
      <c r="E5095" s="148" t="s">
        <v>9087</v>
      </c>
      <c r="F5095" t="s">
        <v>9088</v>
      </c>
      <c r="G5095" s="376" t="s">
        <v>9172</v>
      </c>
      <c r="H5095" t="s">
        <v>9173</v>
      </c>
      <c r="I5095"/>
      <c r="J5095"/>
      <c r="K5095" s="148" t="s">
        <v>9179</v>
      </c>
      <c r="L5095" t="s">
        <v>9180</v>
      </c>
      <c r="M5095" s="1" t="s">
        <v>9181</v>
      </c>
      <c r="N5095" s="457">
        <v>0</v>
      </c>
      <c r="O5095" s="458"/>
      <c r="P5095" s="373"/>
      <c r="Q5095" s="374"/>
      <c r="R5095" s="373"/>
      <c r="S5095" s="374"/>
      <c r="T5095"/>
      <c r="U5095" t="e">
        <f>VLOOKUP(T5095,[8]Votes!$A$1:$E$234,3,FALSE)</f>
        <v>#N/A</v>
      </c>
      <c r="V5095" t="s">
        <v>9180</v>
      </c>
      <c r="W5095" s="45">
        <v>1</v>
      </c>
      <c r="X5095" s="45">
        <v>1</v>
      </c>
      <c r="Y5095" s="45">
        <v>1</v>
      </c>
      <c r="Z5095" s="45">
        <v>0</v>
      </c>
      <c r="AA5095" s="45">
        <v>0</v>
      </c>
      <c r="AB5095" s="45">
        <v>0</v>
      </c>
      <c r="AC5095" s="150">
        <v>1</v>
      </c>
      <c r="AD5095" s="150">
        <v>1</v>
      </c>
      <c r="AE5095" s="49">
        <f t="shared" si="186"/>
        <v>0.625</v>
      </c>
      <c r="AF5095" s="276"/>
      <c r="AG5095" s="17">
        <v>0</v>
      </c>
      <c r="AH5095" s="276">
        <v>0</v>
      </c>
      <c r="AI5095" s="276">
        <v>0</v>
      </c>
      <c r="AJ5095" s="44">
        <v>0</v>
      </c>
      <c r="AK5095" s="158">
        <v>0</v>
      </c>
      <c r="AL5095" s="151">
        <v>0</v>
      </c>
      <c r="AM5095" s="147">
        <f t="shared" si="185"/>
        <v>0</v>
      </c>
      <c r="AN5095" t="s">
        <v>239</v>
      </c>
      <c r="AO5095" s="148" t="s">
        <v>241</v>
      </c>
      <c r="AP5095" t="s">
        <v>6900</v>
      </c>
      <c r="AQ5095" s="47"/>
      <c r="AR5095" s="47"/>
    </row>
    <row r="5096" spans="1:44" s="45" customFormat="1" x14ac:dyDescent="0.3">
      <c r="A5096" s="371" t="s">
        <v>8323</v>
      </c>
      <c r="B5096" t="s">
        <v>8324</v>
      </c>
      <c r="C5096" s="148" t="s">
        <v>8841</v>
      </c>
      <c r="D5096" t="s">
        <v>8842</v>
      </c>
      <c r="E5096" s="148" t="s">
        <v>9087</v>
      </c>
      <c r="F5096" t="s">
        <v>9088</v>
      </c>
      <c r="G5096" s="376" t="s">
        <v>9172</v>
      </c>
      <c r="H5096" t="s">
        <v>9173</v>
      </c>
      <c r="I5096"/>
      <c r="J5096"/>
      <c r="K5096" s="148" t="s">
        <v>9182</v>
      </c>
      <c r="L5096" s="148" t="s">
        <v>9183</v>
      </c>
      <c r="M5096" s="1" t="s">
        <v>9184</v>
      </c>
      <c r="N5096" s="457">
        <v>0</v>
      </c>
      <c r="O5096" s="458">
        <v>160</v>
      </c>
      <c r="P5096" s="373">
        <v>160</v>
      </c>
      <c r="Q5096" s="374">
        <v>160</v>
      </c>
      <c r="R5096" s="373">
        <v>160</v>
      </c>
      <c r="S5096" s="374">
        <v>160</v>
      </c>
      <c r="T5096" t="s">
        <v>9185</v>
      </c>
      <c r="U5096" t="e">
        <f>VLOOKUP(T5096,[8]Votes!$A$1:$E$234,3,FALSE)</f>
        <v>#N/A</v>
      </c>
      <c r="V5096" t="s">
        <v>9186</v>
      </c>
      <c r="W5096" s="45">
        <v>1</v>
      </c>
      <c r="X5096" s="45">
        <v>1</v>
      </c>
      <c r="Y5096" s="45">
        <v>1</v>
      </c>
      <c r="Z5096" s="45">
        <v>0</v>
      </c>
      <c r="AA5096" s="45">
        <v>0</v>
      </c>
      <c r="AB5096" s="45">
        <v>1</v>
      </c>
      <c r="AC5096" s="150">
        <v>0</v>
      </c>
      <c r="AD5096" s="150">
        <v>0</v>
      </c>
      <c r="AE5096" s="49">
        <f t="shared" si="186"/>
        <v>0.5</v>
      </c>
      <c r="AF5096" s="276"/>
      <c r="AG5096" s="17">
        <v>0</v>
      </c>
      <c r="AH5096" s="276">
        <v>0</v>
      </c>
      <c r="AI5096" s="276">
        <v>0</v>
      </c>
      <c r="AJ5096" s="44">
        <v>0</v>
      </c>
      <c r="AK5096" s="158">
        <v>0</v>
      </c>
      <c r="AL5096" s="151">
        <v>0</v>
      </c>
      <c r="AM5096" s="147">
        <f t="shared" si="185"/>
        <v>0</v>
      </c>
      <c r="AN5096" t="s">
        <v>921</v>
      </c>
      <c r="AO5096" s="148" t="s">
        <v>880</v>
      </c>
      <c r="AP5096" t="s">
        <v>255</v>
      </c>
      <c r="AQ5096" s="47"/>
      <c r="AR5096" s="47"/>
    </row>
    <row r="5097" spans="1:44" s="45" customFormat="1" x14ac:dyDescent="0.3">
      <c r="A5097" s="371" t="s">
        <v>8323</v>
      </c>
      <c r="B5097" t="s">
        <v>8324</v>
      </c>
      <c r="C5097" s="148" t="s">
        <v>8841</v>
      </c>
      <c r="D5097" t="s">
        <v>8842</v>
      </c>
      <c r="E5097" s="148" t="s">
        <v>9087</v>
      </c>
      <c r="F5097" t="s">
        <v>9088</v>
      </c>
      <c r="G5097" s="376" t="s">
        <v>9187</v>
      </c>
      <c r="H5097" t="s">
        <v>9188</v>
      </c>
      <c r="I5097"/>
      <c r="J5097"/>
      <c r="K5097" s="148" t="s">
        <v>9189</v>
      </c>
      <c r="L5097" s="148" t="s">
        <v>9190</v>
      </c>
      <c r="M5097" s="1" t="s">
        <v>9191</v>
      </c>
      <c r="N5097" s="457">
        <v>0</v>
      </c>
      <c r="O5097" s="458">
        <v>56</v>
      </c>
      <c r="P5097" s="373">
        <v>56</v>
      </c>
      <c r="Q5097" s="374">
        <v>56</v>
      </c>
      <c r="R5097" s="373">
        <v>56</v>
      </c>
      <c r="S5097" s="374">
        <v>56</v>
      </c>
      <c r="T5097" t="s">
        <v>4292</v>
      </c>
      <c r="U5097" t="e">
        <f>VLOOKUP(T5097,[8]Votes!$A$1:$E$234,3,FALSE)</f>
        <v>#N/A</v>
      </c>
      <c r="V5097" t="s">
        <v>9192</v>
      </c>
      <c r="W5097" s="45">
        <v>1</v>
      </c>
      <c r="X5097" s="45">
        <v>0</v>
      </c>
      <c r="Y5097" s="45">
        <v>1</v>
      </c>
      <c r="Z5097" s="45">
        <v>1</v>
      </c>
      <c r="AA5097" s="45">
        <v>1</v>
      </c>
      <c r="AB5097" s="45">
        <v>0</v>
      </c>
      <c r="AC5097" s="150">
        <v>1</v>
      </c>
      <c r="AD5097" s="150">
        <v>0</v>
      </c>
      <c r="AE5097" s="49">
        <f t="shared" si="186"/>
        <v>0.625</v>
      </c>
      <c r="AF5097" s="276"/>
      <c r="AG5097" s="17">
        <v>0</v>
      </c>
      <c r="AH5097" s="276">
        <v>0</v>
      </c>
      <c r="AI5097" s="276">
        <v>0.5</v>
      </c>
      <c r="AJ5097" s="44">
        <v>0.5</v>
      </c>
      <c r="AK5097" s="158">
        <v>0</v>
      </c>
      <c r="AL5097" s="151">
        <v>0</v>
      </c>
      <c r="AM5097" s="147">
        <f t="shared" si="185"/>
        <v>0</v>
      </c>
      <c r="AN5097" t="s">
        <v>265</v>
      </c>
      <c r="AO5097" s="148" t="s">
        <v>350</v>
      </c>
      <c r="AP5097" t="s">
        <v>9193</v>
      </c>
      <c r="AQ5097" s="47"/>
      <c r="AR5097" s="47"/>
    </row>
    <row r="5098" spans="1:44" s="45" customFormat="1" x14ac:dyDescent="0.3">
      <c r="A5098" s="371" t="s">
        <v>8323</v>
      </c>
      <c r="B5098" t="s">
        <v>8324</v>
      </c>
      <c r="C5098" s="148" t="s">
        <v>8841</v>
      </c>
      <c r="D5098" t="s">
        <v>8842</v>
      </c>
      <c r="E5098" s="148" t="s">
        <v>9087</v>
      </c>
      <c r="F5098" t="s">
        <v>9088</v>
      </c>
      <c r="G5098" s="376" t="s">
        <v>9194</v>
      </c>
      <c r="H5098" t="s">
        <v>9195</v>
      </c>
      <c r="I5098"/>
      <c r="J5098"/>
      <c r="K5098" s="148" t="s">
        <v>9196</v>
      </c>
      <c r="L5098" s="148" t="s">
        <v>9197</v>
      </c>
      <c r="M5098" s="1" t="s">
        <v>9198</v>
      </c>
      <c r="N5098" s="457">
        <v>0</v>
      </c>
      <c r="O5098" s="458">
        <v>16</v>
      </c>
      <c r="P5098" s="373">
        <v>18</v>
      </c>
      <c r="Q5098" s="374">
        <v>20</v>
      </c>
      <c r="R5098" s="373">
        <v>22</v>
      </c>
      <c r="S5098" s="374">
        <v>24</v>
      </c>
      <c r="T5098" t="s">
        <v>9199</v>
      </c>
      <c r="U5098" t="e">
        <f>VLOOKUP(T5098,[8]Votes!$A$1:$E$234,3,FALSE)</f>
        <v>#N/A</v>
      </c>
      <c r="V5098" t="s">
        <v>9200</v>
      </c>
      <c r="W5098" s="45">
        <v>1</v>
      </c>
      <c r="X5098" s="45">
        <v>0</v>
      </c>
      <c r="Y5098" s="45">
        <v>1</v>
      </c>
      <c r="Z5098" s="45">
        <v>1</v>
      </c>
      <c r="AA5098" s="45">
        <v>1</v>
      </c>
      <c r="AB5098" s="45">
        <v>0</v>
      </c>
      <c r="AC5098" s="150">
        <v>1</v>
      </c>
      <c r="AD5098" s="150">
        <v>0</v>
      </c>
      <c r="AE5098" s="49">
        <f t="shared" si="186"/>
        <v>0.625</v>
      </c>
      <c r="AF5098" s="276"/>
      <c r="AG5098" s="17">
        <v>0</v>
      </c>
      <c r="AH5098" s="276">
        <v>0</v>
      </c>
      <c r="AI5098" s="276">
        <v>17</v>
      </c>
      <c r="AJ5098" s="44">
        <v>10</v>
      </c>
      <c r="AK5098" s="158">
        <v>0</v>
      </c>
      <c r="AL5098" s="151">
        <v>0</v>
      </c>
      <c r="AM5098" s="147">
        <f t="shared" si="185"/>
        <v>0</v>
      </c>
      <c r="AN5098" t="s">
        <v>1035</v>
      </c>
      <c r="AO5098" s="148" t="s">
        <v>1037</v>
      </c>
      <c r="AP5098" t="s">
        <v>119</v>
      </c>
      <c r="AQ5098" s="47"/>
      <c r="AR5098" s="47"/>
    </row>
    <row r="5099" spans="1:44" s="45" customFormat="1" x14ac:dyDescent="0.3">
      <c r="A5099" s="371" t="s">
        <v>8323</v>
      </c>
      <c r="B5099" t="s">
        <v>8324</v>
      </c>
      <c r="C5099" s="148" t="s">
        <v>8841</v>
      </c>
      <c r="D5099" t="s">
        <v>8842</v>
      </c>
      <c r="E5099" s="148" t="s">
        <v>9087</v>
      </c>
      <c r="F5099" t="s">
        <v>9088</v>
      </c>
      <c r="G5099" s="376" t="s">
        <v>9201</v>
      </c>
      <c r="H5099" t="s">
        <v>9202</v>
      </c>
      <c r="I5099"/>
      <c r="J5099"/>
      <c r="K5099" s="148" t="s">
        <v>9203</v>
      </c>
      <c r="L5099" s="148" t="s">
        <v>9204</v>
      </c>
      <c r="M5099" s="1" t="s">
        <v>9205</v>
      </c>
      <c r="N5099" s="457">
        <v>0</v>
      </c>
      <c r="O5099" s="458"/>
      <c r="P5099" s="373"/>
      <c r="Q5099" s="374"/>
      <c r="R5099" s="373"/>
      <c r="S5099" s="374"/>
      <c r="T5099"/>
      <c r="U5099" t="e">
        <f>VLOOKUP(T5099,[8]Votes!$A$1:$E$234,3,FALSE)</f>
        <v>#N/A</v>
      </c>
      <c r="V5099" t="s">
        <v>9206</v>
      </c>
      <c r="W5099" s="45">
        <v>1</v>
      </c>
      <c r="X5099" s="45">
        <v>0</v>
      </c>
      <c r="Y5099" s="45">
        <v>1</v>
      </c>
      <c r="Z5099" s="45">
        <v>1</v>
      </c>
      <c r="AA5099" s="45">
        <v>1</v>
      </c>
      <c r="AB5099" s="45">
        <v>0</v>
      </c>
      <c r="AC5099" s="150">
        <v>1</v>
      </c>
      <c r="AD5099" s="150">
        <v>0</v>
      </c>
      <c r="AE5099" s="49">
        <f t="shared" si="186"/>
        <v>0.625</v>
      </c>
      <c r="AF5099" s="276"/>
      <c r="AG5099" s="17">
        <v>0</v>
      </c>
      <c r="AH5099" s="276">
        <v>0</v>
      </c>
      <c r="AI5099" s="276">
        <v>2</v>
      </c>
      <c r="AJ5099" s="44">
        <v>2</v>
      </c>
      <c r="AK5099" s="158">
        <v>0</v>
      </c>
      <c r="AL5099" s="151">
        <v>0</v>
      </c>
      <c r="AM5099" s="147">
        <f t="shared" si="185"/>
        <v>0</v>
      </c>
      <c r="AN5099" t="s">
        <v>1035</v>
      </c>
      <c r="AO5099" s="148" t="s">
        <v>1037</v>
      </c>
      <c r="AP5099" t="s">
        <v>119</v>
      </c>
      <c r="AQ5099" s="47"/>
      <c r="AR5099" s="47"/>
    </row>
    <row r="5100" spans="1:44" s="45" customFormat="1" x14ac:dyDescent="0.3">
      <c r="A5100" s="371" t="s">
        <v>8323</v>
      </c>
      <c r="B5100" t="s">
        <v>8324</v>
      </c>
      <c r="C5100" s="148" t="s">
        <v>8841</v>
      </c>
      <c r="D5100" t="s">
        <v>8842</v>
      </c>
      <c r="E5100" s="148" t="s">
        <v>9087</v>
      </c>
      <c r="F5100" t="s">
        <v>9088</v>
      </c>
      <c r="G5100" s="376" t="s">
        <v>9201</v>
      </c>
      <c r="H5100" t="s">
        <v>9202</v>
      </c>
      <c r="I5100"/>
      <c r="J5100"/>
      <c r="K5100" s="148" t="s">
        <v>9203</v>
      </c>
      <c r="L5100" s="148" t="s">
        <v>9204</v>
      </c>
      <c r="M5100" s="1"/>
      <c r="N5100" s="457">
        <v>0</v>
      </c>
      <c r="O5100" s="458"/>
      <c r="P5100" s="373"/>
      <c r="Q5100" s="374"/>
      <c r="R5100" s="373"/>
      <c r="S5100" s="374"/>
      <c r="T5100"/>
      <c r="U5100" t="e">
        <f>VLOOKUP(T5100,[8]Votes!$A$1:$E$234,3,FALSE)</f>
        <v>#N/A</v>
      </c>
      <c r="V5100" t="s">
        <v>9207</v>
      </c>
      <c r="W5100" s="45">
        <v>1</v>
      </c>
      <c r="X5100" s="45">
        <v>0</v>
      </c>
      <c r="Y5100" s="45">
        <v>1</v>
      </c>
      <c r="Z5100" s="45">
        <v>1</v>
      </c>
      <c r="AA5100" s="45">
        <v>1</v>
      </c>
      <c r="AB5100" s="45">
        <v>0</v>
      </c>
      <c r="AC5100" s="150">
        <v>1</v>
      </c>
      <c r="AD5100" s="150">
        <v>0</v>
      </c>
      <c r="AE5100" s="49">
        <f t="shared" si="186"/>
        <v>0.625</v>
      </c>
      <c r="AF5100" s="276"/>
      <c r="AG5100" s="17">
        <v>0</v>
      </c>
      <c r="AH5100" s="276">
        <v>0</v>
      </c>
      <c r="AI5100" s="276">
        <v>0</v>
      </c>
      <c r="AJ5100" s="44">
        <v>0</v>
      </c>
      <c r="AK5100" s="158">
        <v>0</v>
      </c>
      <c r="AL5100" s="151">
        <v>0</v>
      </c>
      <c r="AM5100" s="147">
        <f t="shared" si="185"/>
        <v>0</v>
      </c>
      <c r="AN5100" t="s">
        <v>1035</v>
      </c>
      <c r="AO5100" s="148" t="s">
        <v>1037</v>
      </c>
      <c r="AP5100" t="s">
        <v>119</v>
      </c>
      <c r="AQ5100" s="47"/>
      <c r="AR5100" s="47"/>
    </row>
    <row r="5101" spans="1:44" s="45" customFormat="1" x14ac:dyDescent="0.3">
      <c r="A5101" s="371" t="s">
        <v>8323</v>
      </c>
      <c r="B5101" t="s">
        <v>8324</v>
      </c>
      <c r="C5101" s="148" t="s">
        <v>8841</v>
      </c>
      <c r="D5101" t="s">
        <v>8842</v>
      </c>
      <c r="E5101" s="148" t="s">
        <v>9087</v>
      </c>
      <c r="F5101" t="s">
        <v>9088</v>
      </c>
      <c r="G5101" s="376" t="s">
        <v>9208</v>
      </c>
      <c r="H5101" t="s">
        <v>9209</v>
      </c>
      <c r="I5101"/>
      <c r="J5101"/>
      <c r="K5101" s="148" t="s">
        <v>9210</v>
      </c>
      <c r="L5101" s="148" t="s">
        <v>9211</v>
      </c>
      <c r="M5101" s="1" t="s">
        <v>9212</v>
      </c>
      <c r="N5101" s="457">
        <v>0</v>
      </c>
      <c r="O5101" s="458">
        <v>56</v>
      </c>
      <c r="P5101" s="373">
        <v>56</v>
      </c>
      <c r="Q5101" s="374">
        <v>56</v>
      </c>
      <c r="R5101" s="373">
        <v>56</v>
      </c>
      <c r="S5101" s="374">
        <v>56</v>
      </c>
      <c r="T5101" t="s">
        <v>9213</v>
      </c>
      <c r="U5101" t="e">
        <f>VLOOKUP(T5101,[8]Votes!$A$1:$E$234,3,FALSE)</f>
        <v>#N/A</v>
      </c>
      <c r="V5101" t="s">
        <v>9214</v>
      </c>
      <c r="W5101" s="45">
        <v>0</v>
      </c>
      <c r="X5101" s="45">
        <v>0</v>
      </c>
      <c r="Y5101" s="45">
        <v>0</v>
      </c>
      <c r="Z5101" s="45">
        <v>0</v>
      </c>
      <c r="AA5101" s="45">
        <v>0</v>
      </c>
      <c r="AB5101" s="45">
        <v>0</v>
      </c>
      <c r="AC5101" s="150">
        <v>0</v>
      </c>
      <c r="AD5101" s="150">
        <v>0</v>
      </c>
      <c r="AE5101" s="49">
        <f t="shared" si="186"/>
        <v>0</v>
      </c>
      <c r="AF5101" s="276"/>
      <c r="AG5101" s="17">
        <v>0</v>
      </c>
      <c r="AH5101" s="276">
        <v>0</v>
      </c>
      <c r="AI5101" s="276">
        <v>0</v>
      </c>
      <c r="AJ5101" s="44">
        <v>0</v>
      </c>
      <c r="AK5101" s="158">
        <v>0</v>
      </c>
      <c r="AL5101" s="151">
        <v>0</v>
      </c>
      <c r="AM5101" s="147">
        <f t="shared" si="185"/>
        <v>0</v>
      </c>
      <c r="AN5101" t="s">
        <v>1035</v>
      </c>
      <c r="AO5101" s="148" t="s">
        <v>1037</v>
      </c>
      <c r="AP5101" t="s">
        <v>255</v>
      </c>
      <c r="AQ5101" s="47"/>
      <c r="AR5101" s="47"/>
    </row>
    <row r="5102" spans="1:44" s="45" customFormat="1" x14ac:dyDescent="0.3">
      <c r="A5102" s="371" t="s">
        <v>8323</v>
      </c>
      <c r="B5102" t="s">
        <v>8324</v>
      </c>
      <c r="C5102" s="148" t="s">
        <v>8841</v>
      </c>
      <c r="D5102" t="s">
        <v>8842</v>
      </c>
      <c r="E5102" s="148" t="s">
        <v>9087</v>
      </c>
      <c r="F5102" t="s">
        <v>9088</v>
      </c>
      <c r="G5102" s="376" t="s">
        <v>9215</v>
      </c>
      <c r="H5102" t="s">
        <v>9216</v>
      </c>
      <c r="I5102"/>
      <c r="J5102"/>
      <c r="K5102" s="148" t="s">
        <v>9217</v>
      </c>
      <c r="L5102" s="148" t="s">
        <v>9218</v>
      </c>
      <c r="M5102" s="1" t="s">
        <v>9219</v>
      </c>
      <c r="N5102" s="457">
        <v>0</v>
      </c>
      <c r="O5102" s="458">
        <v>250</v>
      </c>
      <c r="P5102" s="373">
        <v>250</v>
      </c>
      <c r="Q5102" s="374">
        <v>250</v>
      </c>
      <c r="R5102" s="373">
        <v>250</v>
      </c>
      <c r="S5102" s="374">
        <v>250</v>
      </c>
      <c r="T5102" t="s">
        <v>9220</v>
      </c>
      <c r="U5102" t="e">
        <f>VLOOKUP(T5102,[8]Votes!$A$1:$E$234,3,FALSE)</f>
        <v>#N/A</v>
      </c>
      <c r="V5102" t="s">
        <v>9221</v>
      </c>
      <c r="W5102" s="45">
        <v>1</v>
      </c>
      <c r="X5102" s="45">
        <v>1</v>
      </c>
      <c r="Y5102" s="45">
        <v>1</v>
      </c>
      <c r="Z5102" s="45">
        <v>0</v>
      </c>
      <c r="AA5102" s="45">
        <v>0</v>
      </c>
      <c r="AB5102" s="45">
        <v>0</v>
      </c>
      <c r="AC5102" s="150">
        <v>0</v>
      </c>
      <c r="AD5102" s="150">
        <v>1</v>
      </c>
      <c r="AE5102" s="49">
        <f t="shared" si="186"/>
        <v>0.5</v>
      </c>
      <c r="AF5102" s="276"/>
      <c r="AG5102" s="17">
        <v>0</v>
      </c>
      <c r="AH5102" s="276">
        <v>0</v>
      </c>
      <c r="AI5102" s="276">
        <v>0</v>
      </c>
      <c r="AJ5102" s="44">
        <v>0</v>
      </c>
      <c r="AK5102" s="158">
        <v>0</v>
      </c>
      <c r="AL5102" s="151">
        <v>0</v>
      </c>
      <c r="AM5102" s="147">
        <f t="shared" si="185"/>
        <v>0</v>
      </c>
      <c r="AN5102" t="s">
        <v>2528</v>
      </c>
      <c r="AO5102" s="148" t="s">
        <v>2530</v>
      </c>
      <c r="AP5102" t="s">
        <v>9222</v>
      </c>
      <c r="AQ5102" s="10"/>
      <c r="AR5102" s="47"/>
    </row>
    <row r="5103" spans="1:44" s="45" customFormat="1" x14ac:dyDescent="0.3">
      <c r="A5103" s="371" t="s">
        <v>8323</v>
      </c>
      <c r="B5103" t="s">
        <v>8324</v>
      </c>
      <c r="C5103" s="148" t="s">
        <v>8841</v>
      </c>
      <c r="D5103" t="s">
        <v>8842</v>
      </c>
      <c r="E5103" s="148" t="s">
        <v>9087</v>
      </c>
      <c r="F5103" t="s">
        <v>9088</v>
      </c>
      <c r="G5103" s="376" t="s">
        <v>9223</v>
      </c>
      <c r="H5103" t="s">
        <v>9224</v>
      </c>
      <c r="I5103"/>
      <c r="J5103"/>
      <c r="K5103" s="148" t="s">
        <v>9225</v>
      </c>
      <c r="L5103" s="148" t="s">
        <v>9226</v>
      </c>
      <c r="M5103" s="1" t="s">
        <v>9227</v>
      </c>
      <c r="N5103" s="457">
        <v>0</v>
      </c>
      <c r="O5103" s="458">
        <v>56</v>
      </c>
      <c r="P5103" s="373">
        <v>56</v>
      </c>
      <c r="Q5103" s="374">
        <v>56</v>
      </c>
      <c r="R5103" s="373">
        <v>56</v>
      </c>
      <c r="S5103" s="374">
        <v>56</v>
      </c>
      <c r="T5103" t="s">
        <v>9228</v>
      </c>
      <c r="U5103" t="e">
        <f>VLOOKUP(T5103,[8]Votes!$A$1:$E$234,3,FALSE)</f>
        <v>#N/A</v>
      </c>
      <c r="V5103" t="s">
        <v>9229</v>
      </c>
      <c r="W5103" s="45">
        <v>1</v>
      </c>
      <c r="X5103" s="45">
        <v>1</v>
      </c>
      <c r="Y5103" s="45">
        <v>0</v>
      </c>
      <c r="Z5103" s="45">
        <v>0</v>
      </c>
      <c r="AA5103" s="45">
        <v>0</v>
      </c>
      <c r="AB5103" s="45">
        <v>0</v>
      </c>
      <c r="AC5103" s="150">
        <v>0</v>
      </c>
      <c r="AD5103" s="150">
        <v>1</v>
      </c>
      <c r="AE5103" s="49">
        <f t="shared" si="186"/>
        <v>0.375</v>
      </c>
      <c r="AF5103" s="276"/>
      <c r="AG5103" s="17">
        <v>0</v>
      </c>
      <c r="AH5103" s="276">
        <v>0</v>
      </c>
      <c r="AI5103" s="276">
        <v>0</v>
      </c>
      <c r="AJ5103" s="44">
        <v>0</v>
      </c>
      <c r="AK5103" s="158">
        <v>0</v>
      </c>
      <c r="AL5103" s="151">
        <v>0</v>
      </c>
      <c r="AM5103" s="147">
        <f t="shared" si="185"/>
        <v>0</v>
      </c>
      <c r="AN5103" t="s">
        <v>1035</v>
      </c>
      <c r="AO5103" s="148" t="s">
        <v>1037</v>
      </c>
      <c r="AP5103" t="s">
        <v>921</v>
      </c>
      <c r="AQ5103" s="47"/>
      <c r="AR5103" s="47"/>
    </row>
    <row r="5104" spans="1:44" s="45" customFormat="1" x14ac:dyDescent="0.3">
      <c r="A5104" s="371" t="s">
        <v>8323</v>
      </c>
      <c r="B5104" t="s">
        <v>8324</v>
      </c>
      <c r="C5104" s="148" t="s">
        <v>8841</v>
      </c>
      <c r="D5104" t="s">
        <v>8842</v>
      </c>
      <c r="E5104" s="148" t="s">
        <v>9087</v>
      </c>
      <c r="F5104" t="s">
        <v>9088</v>
      </c>
      <c r="G5104" s="376" t="s">
        <v>9230</v>
      </c>
      <c r="H5104" t="s">
        <v>9231</v>
      </c>
      <c r="I5104"/>
      <c r="J5104"/>
      <c r="K5104" s="148" t="s">
        <v>9232</v>
      </c>
      <c r="L5104" s="148" t="s">
        <v>9233</v>
      </c>
      <c r="M5104" s="1" t="s">
        <v>9234</v>
      </c>
      <c r="N5104" s="457">
        <v>0</v>
      </c>
      <c r="O5104" s="458">
        <v>8</v>
      </c>
      <c r="P5104" s="373">
        <v>8</v>
      </c>
      <c r="Q5104" s="374">
        <v>8</v>
      </c>
      <c r="R5104" s="373">
        <v>8</v>
      </c>
      <c r="S5104" s="374">
        <v>8</v>
      </c>
      <c r="T5104" t="s">
        <v>9235</v>
      </c>
      <c r="U5104" t="e">
        <f>VLOOKUP(T5104,[8]Votes!$A$1:$E$234,3,FALSE)</f>
        <v>#N/A</v>
      </c>
      <c r="V5104" t="s">
        <v>9236</v>
      </c>
      <c r="W5104" s="45">
        <v>1</v>
      </c>
      <c r="X5104" s="45">
        <v>1</v>
      </c>
      <c r="Y5104" s="45">
        <v>0</v>
      </c>
      <c r="Z5104" s="45">
        <v>0</v>
      </c>
      <c r="AA5104" s="45">
        <v>0</v>
      </c>
      <c r="AB5104" s="45">
        <v>0</v>
      </c>
      <c r="AC5104" s="150">
        <v>0</v>
      </c>
      <c r="AD5104" s="150">
        <v>1</v>
      </c>
      <c r="AE5104" s="49">
        <f t="shared" si="186"/>
        <v>0.375</v>
      </c>
      <c r="AF5104" s="276"/>
      <c r="AG5104" s="17">
        <v>0</v>
      </c>
      <c r="AH5104" s="276">
        <v>0</v>
      </c>
      <c r="AI5104" s="276">
        <v>0</v>
      </c>
      <c r="AJ5104" s="44">
        <v>0</v>
      </c>
      <c r="AK5104" s="158">
        <v>0</v>
      </c>
      <c r="AL5104" s="151">
        <v>0</v>
      </c>
      <c r="AM5104" s="147">
        <f t="shared" si="185"/>
        <v>0</v>
      </c>
      <c r="AN5104" t="s">
        <v>407</v>
      </c>
      <c r="AO5104" s="148" t="s">
        <v>409</v>
      </c>
      <c r="AP5104" t="s">
        <v>1035</v>
      </c>
      <c r="AQ5104" s="47"/>
      <c r="AR5104" s="47"/>
    </row>
    <row r="5105" spans="1:44" s="45" customFormat="1" x14ac:dyDescent="0.3">
      <c r="A5105" s="371" t="s">
        <v>8323</v>
      </c>
      <c r="B5105" t="s">
        <v>8324</v>
      </c>
      <c r="C5105" s="148" t="s">
        <v>8841</v>
      </c>
      <c r="D5105" t="s">
        <v>8842</v>
      </c>
      <c r="E5105" s="148" t="s">
        <v>9087</v>
      </c>
      <c r="F5105" t="s">
        <v>9088</v>
      </c>
      <c r="G5105" s="376" t="s">
        <v>9237</v>
      </c>
      <c r="H5105" t="s">
        <v>9238</v>
      </c>
      <c r="I5105"/>
      <c r="J5105"/>
      <c r="K5105" s="148" t="s">
        <v>9239</v>
      </c>
      <c r="L5105" s="148" t="s">
        <v>9240</v>
      </c>
      <c r="M5105" s="1" t="s">
        <v>9241</v>
      </c>
      <c r="N5105" s="457">
        <v>0</v>
      </c>
      <c r="O5105" s="458">
        <v>8</v>
      </c>
      <c r="P5105" s="373">
        <v>8</v>
      </c>
      <c r="Q5105" s="374">
        <v>8</v>
      </c>
      <c r="R5105" s="373">
        <v>8</v>
      </c>
      <c r="S5105" s="374">
        <v>8</v>
      </c>
      <c r="T5105" t="s">
        <v>9242</v>
      </c>
      <c r="U5105" t="e">
        <f>VLOOKUP(T5105,[8]Votes!$A$1:$E$234,3,FALSE)</f>
        <v>#N/A</v>
      </c>
      <c r="V5105" t="s">
        <v>9243</v>
      </c>
      <c r="W5105" s="45">
        <v>1</v>
      </c>
      <c r="X5105" s="45">
        <v>0</v>
      </c>
      <c r="Y5105" s="45">
        <v>0</v>
      </c>
      <c r="Z5105" s="45">
        <v>0</v>
      </c>
      <c r="AA5105" s="45">
        <v>0</v>
      </c>
      <c r="AB5105" s="45">
        <v>0</v>
      </c>
      <c r="AC5105" s="150">
        <v>0</v>
      </c>
      <c r="AD5105" s="150">
        <v>1</v>
      </c>
      <c r="AE5105" s="49">
        <f t="shared" si="186"/>
        <v>0.25</v>
      </c>
      <c r="AF5105" s="276"/>
      <c r="AG5105" s="17">
        <v>0</v>
      </c>
      <c r="AH5105" s="276">
        <v>0</v>
      </c>
      <c r="AI5105" s="276">
        <v>0.1</v>
      </c>
      <c r="AJ5105" s="44">
        <v>0.1</v>
      </c>
      <c r="AK5105" s="158">
        <v>0</v>
      </c>
      <c r="AL5105" s="151">
        <v>0</v>
      </c>
      <c r="AM5105" s="147">
        <f t="shared" si="185"/>
        <v>0</v>
      </c>
      <c r="AN5105" t="s">
        <v>1035</v>
      </c>
      <c r="AO5105" s="148"/>
      <c r="AP5105"/>
      <c r="AQ5105" s="47"/>
      <c r="AR5105" s="47"/>
    </row>
    <row r="5106" spans="1:44" s="45" customFormat="1" x14ac:dyDescent="0.3">
      <c r="A5106" s="371" t="s">
        <v>8323</v>
      </c>
      <c r="B5106" t="s">
        <v>8324</v>
      </c>
      <c r="C5106" s="148" t="s">
        <v>8841</v>
      </c>
      <c r="D5106" t="s">
        <v>8842</v>
      </c>
      <c r="E5106" s="148" t="s">
        <v>9087</v>
      </c>
      <c r="F5106" t="s">
        <v>9088</v>
      </c>
      <c r="G5106" s="376" t="s">
        <v>9237</v>
      </c>
      <c r="H5106" t="s">
        <v>9238</v>
      </c>
      <c r="I5106"/>
      <c r="J5106"/>
      <c r="K5106" s="148" t="s">
        <v>9239</v>
      </c>
      <c r="L5106" s="148" t="s">
        <v>9240</v>
      </c>
      <c r="M5106" s="1"/>
      <c r="N5106" s="457">
        <v>0</v>
      </c>
      <c r="O5106" s="458"/>
      <c r="P5106" s="373"/>
      <c r="Q5106" s="374"/>
      <c r="R5106" s="373"/>
      <c r="S5106" s="374"/>
      <c r="T5106"/>
      <c r="U5106" t="e">
        <f>VLOOKUP(T5106,[8]Votes!$A$1:$E$234,3,FALSE)</f>
        <v>#N/A</v>
      </c>
      <c r="V5106" t="s">
        <v>9244</v>
      </c>
      <c r="W5106" s="45">
        <v>1</v>
      </c>
      <c r="X5106" s="45">
        <v>0</v>
      </c>
      <c r="Y5106" s="45">
        <v>0</v>
      </c>
      <c r="Z5106" s="45">
        <v>0</v>
      </c>
      <c r="AA5106" s="45">
        <v>0</v>
      </c>
      <c r="AB5106" s="45">
        <v>0</v>
      </c>
      <c r="AC5106" s="150">
        <v>0</v>
      </c>
      <c r="AD5106" s="150">
        <v>1</v>
      </c>
      <c r="AE5106" s="49">
        <f t="shared" si="186"/>
        <v>0.25</v>
      </c>
      <c r="AF5106" s="276"/>
      <c r="AG5106" s="17">
        <v>0</v>
      </c>
      <c r="AH5106" s="276">
        <v>0</v>
      </c>
      <c r="AI5106" s="276">
        <v>0</v>
      </c>
      <c r="AJ5106" s="44">
        <v>0</v>
      </c>
      <c r="AK5106" s="158">
        <v>0</v>
      </c>
      <c r="AL5106" s="151">
        <v>0</v>
      </c>
      <c r="AM5106" s="147">
        <f t="shared" si="185"/>
        <v>0</v>
      </c>
      <c r="AN5106" t="s">
        <v>921</v>
      </c>
      <c r="AO5106" s="148" t="s">
        <v>880</v>
      </c>
      <c r="AP5106" t="s">
        <v>1035</v>
      </c>
      <c r="AQ5106" s="47"/>
      <c r="AR5106" s="47"/>
    </row>
    <row r="5107" spans="1:44" s="45" customFormat="1" x14ac:dyDescent="0.3">
      <c r="A5107" s="371" t="s">
        <v>8323</v>
      </c>
      <c r="B5107" t="s">
        <v>8324</v>
      </c>
      <c r="C5107" s="148" t="s">
        <v>8841</v>
      </c>
      <c r="D5107" t="s">
        <v>8842</v>
      </c>
      <c r="E5107" s="148" t="s">
        <v>9087</v>
      </c>
      <c r="F5107" t="s">
        <v>9088</v>
      </c>
      <c r="G5107" s="376" t="s">
        <v>9245</v>
      </c>
      <c r="H5107" t="s">
        <v>9246</v>
      </c>
      <c r="I5107"/>
      <c r="J5107"/>
      <c r="K5107" s="148" t="s">
        <v>9247</v>
      </c>
      <c r="L5107" s="148" t="s">
        <v>9248</v>
      </c>
      <c r="M5107" s="1" t="s">
        <v>9249</v>
      </c>
      <c r="N5107" s="457"/>
      <c r="O5107" s="458">
        <v>15</v>
      </c>
      <c r="P5107" s="373">
        <v>15</v>
      </c>
      <c r="Q5107" s="374">
        <v>15</v>
      </c>
      <c r="R5107" s="373">
        <v>25</v>
      </c>
      <c r="S5107" s="374">
        <v>30</v>
      </c>
      <c r="T5107" t="s">
        <v>9250</v>
      </c>
      <c r="U5107" t="e">
        <f>VLOOKUP(T5107,[8]Votes!$A$1:$E$234,3,FALSE)</f>
        <v>#N/A</v>
      </c>
      <c r="V5107" t="s">
        <v>9251</v>
      </c>
      <c r="W5107" s="45">
        <v>1</v>
      </c>
      <c r="X5107" s="45">
        <v>0</v>
      </c>
      <c r="Y5107" s="45">
        <v>0</v>
      </c>
      <c r="Z5107" s="45">
        <v>0</v>
      </c>
      <c r="AA5107" s="45">
        <v>0</v>
      </c>
      <c r="AB5107" s="45">
        <v>0</v>
      </c>
      <c r="AC5107" s="150">
        <v>0</v>
      </c>
      <c r="AD5107" s="150">
        <v>1</v>
      </c>
      <c r="AE5107" s="49">
        <f t="shared" si="186"/>
        <v>0.25</v>
      </c>
      <c r="AF5107" s="276"/>
      <c r="AG5107" s="17">
        <v>0</v>
      </c>
      <c r="AH5107" s="276">
        <v>0</v>
      </c>
      <c r="AI5107" s="276">
        <v>0</v>
      </c>
      <c r="AJ5107" s="44">
        <v>0</v>
      </c>
      <c r="AK5107" s="158">
        <v>0</v>
      </c>
      <c r="AL5107" s="151">
        <v>0</v>
      </c>
      <c r="AM5107" s="147">
        <f t="shared" si="185"/>
        <v>0</v>
      </c>
      <c r="AN5107" t="s">
        <v>1035</v>
      </c>
      <c r="AO5107" s="148" t="s">
        <v>1037</v>
      </c>
      <c r="AP5107" t="s">
        <v>119</v>
      </c>
      <c r="AQ5107" s="47"/>
      <c r="AR5107" s="47"/>
    </row>
    <row r="5108" spans="1:44" s="45" customFormat="1" x14ac:dyDescent="0.3">
      <c r="A5108" s="371" t="s">
        <v>8323</v>
      </c>
      <c r="B5108" t="s">
        <v>8324</v>
      </c>
      <c r="C5108" s="148" t="s">
        <v>8841</v>
      </c>
      <c r="D5108" t="s">
        <v>8842</v>
      </c>
      <c r="E5108" s="148" t="s">
        <v>9087</v>
      </c>
      <c r="F5108" t="s">
        <v>9088</v>
      </c>
      <c r="G5108" s="376" t="s">
        <v>9252</v>
      </c>
      <c r="H5108" t="s">
        <v>9253</v>
      </c>
      <c r="I5108"/>
      <c r="J5108"/>
      <c r="K5108" s="148" t="s">
        <v>9254</v>
      </c>
      <c r="L5108" t="s">
        <v>9255</v>
      </c>
      <c r="M5108" s="1" t="s">
        <v>9256</v>
      </c>
      <c r="N5108" s="457">
        <v>0</v>
      </c>
      <c r="O5108" s="458"/>
      <c r="P5108" s="373"/>
      <c r="Q5108" s="374"/>
      <c r="R5108" s="373"/>
      <c r="S5108" s="374"/>
      <c r="T5108"/>
      <c r="U5108" t="e">
        <f>VLOOKUP(T5108,[8]Votes!$A$1:$E$234,3,FALSE)</f>
        <v>#N/A</v>
      </c>
      <c r="V5108" t="s">
        <v>9257</v>
      </c>
      <c r="W5108" s="45">
        <v>1</v>
      </c>
      <c r="X5108" s="45">
        <v>1</v>
      </c>
      <c r="Y5108" s="45">
        <v>1</v>
      </c>
      <c r="Z5108" s="45">
        <v>0</v>
      </c>
      <c r="AA5108" s="45">
        <v>1</v>
      </c>
      <c r="AB5108" s="45">
        <v>0</v>
      </c>
      <c r="AC5108" s="150">
        <v>1</v>
      </c>
      <c r="AD5108" s="150"/>
      <c r="AE5108" s="49">
        <f t="shared" si="186"/>
        <v>0.625</v>
      </c>
      <c r="AF5108" s="276"/>
      <c r="AG5108" s="17">
        <v>0</v>
      </c>
      <c r="AH5108" s="276">
        <v>0</v>
      </c>
      <c r="AI5108" s="276">
        <v>12</v>
      </c>
      <c r="AJ5108" s="44">
        <v>12</v>
      </c>
      <c r="AK5108" s="158">
        <v>0</v>
      </c>
      <c r="AL5108" s="151">
        <v>0</v>
      </c>
      <c r="AM5108" s="147">
        <f t="shared" si="185"/>
        <v>0</v>
      </c>
      <c r="AN5108" t="s">
        <v>255</v>
      </c>
      <c r="AO5108" s="148" t="s">
        <v>1045</v>
      </c>
      <c r="AP5108" t="s">
        <v>7224</v>
      </c>
      <c r="AQ5108" s="47"/>
      <c r="AR5108" s="47"/>
    </row>
    <row r="5109" spans="1:44" s="45" customFormat="1" x14ac:dyDescent="0.3">
      <c r="A5109" s="371" t="s">
        <v>8323</v>
      </c>
      <c r="B5109" t="s">
        <v>8324</v>
      </c>
      <c r="C5109" s="148" t="s">
        <v>8841</v>
      </c>
      <c r="D5109" t="s">
        <v>8842</v>
      </c>
      <c r="E5109" s="148" t="s">
        <v>9087</v>
      </c>
      <c r="F5109" t="s">
        <v>9088</v>
      </c>
      <c r="G5109" s="376" t="s">
        <v>9252</v>
      </c>
      <c r="H5109" t="s">
        <v>9253</v>
      </c>
      <c r="I5109"/>
      <c r="J5109"/>
      <c r="K5109" s="148" t="s">
        <v>9254</v>
      </c>
      <c r="L5109" t="s">
        <v>9258</v>
      </c>
      <c r="M5109" s="1" t="s">
        <v>9259</v>
      </c>
      <c r="N5109" s="457">
        <v>0</v>
      </c>
      <c r="O5109" s="458"/>
      <c r="P5109" s="373"/>
      <c r="Q5109" s="374"/>
      <c r="R5109" s="373"/>
      <c r="S5109" s="374"/>
      <c r="T5109"/>
      <c r="U5109" t="e">
        <f>VLOOKUP(T5109,[8]Votes!$A$1:$E$234,3,FALSE)</f>
        <v>#N/A</v>
      </c>
      <c r="V5109" t="s">
        <v>9260</v>
      </c>
      <c r="W5109" s="45">
        <v>1</v>
      </c>
      <c r="X5109" s="45">
        <v>1</v>
      </c>
      <c r="Y5109" s="45">
        <v>1</v>
      </c>
      <c r="Z5109" s="45">
        <v>0</v>
      </c>
      <c r="AA5109" s="45">
        <v>1</v>
      </c>
      <c r="AB5109" s="45">
        <v>0</v>
      </c>
      <c r="AC5109" s="150">
        <v>1</v>
      </c>
      <c r="AD5109" s="150">
        <v>0</v>
      </c>
      <c r="AE5109" s="49">
        <f t="shared" si="186"/>
        <v>0.625</v>
      </c>
      <c r="AF5109" s="276"/>
      <c r="AG5109" s="17">
        <v>0</v>
      </c>
      <c r="AH5109" s="276">
        <v>0</v>
      </c>
      <c r="AI5109" s="276">
        <v>0</v>
      </c>
      <c r="AJ5109" s="44">
        <v>0</v>
      </c>
      <c r="AK5109" s="158">
        <v>0</v>
      </c>
      <c r="AL5109" s="151">
        <v>0</v>
      </c>
      <c r="AM5109" s="147">
        <f t="shared" si="185"/>
        <v>0</v>
      </c>
      <c r="AN5109" t="s">
        <v>771</v>
      </c>
      <c r="AO5109" s="148" t="s">
        <v>773</v>
      </c>
      <c r="AP5109" t="s">
        <v>280</v>
      </c>
      <c r="AQ5109" s="47"/>
      <c r="AR5109" s="47"/>
    </row>
    <row r="5110" spans="1:44" s="45" customFormat="1" x14ac:dyDescent="0.3">
      <c r="A5110" s="371" t="s">
        <v>8323</v>
      </c>
      <c r="B5110" t="s">
        <v>8324</v>
      </c>
      <c r="C5110" s="148" t="s">
        <v>8841</v>
      </c>
      <c r="D5110" t="s">
        <v>8842</v>
      </c>
      <c r="E5110" s="148" t="s">
        <v>9087</v>
      </c>
      <c r="F5110" t="s">
        <v>9088</v>
      </c>
      <c r="G5110" s="376" t="s">
        <v>9252</v>
      </c>
      <c r="H5110" t="s">
        <v>9253</v>
      </c>
      <c r="I5110"/>
      <c r="J5110"/>
      <c r="K5110" s="148" t="s">
        <v>9261</v>
      </c>
      <c r="L5110" t="s">
        <v>9262</v>
      </c>
      <c r="M5110" s="1" t="s">
        <v>9263</v>
      </c>
      <c r="N5110" s="457">
        <v>0</v>
      </c>
      <c r="O5110" s="458"/>
      <c r="P5110" s="373"/>
      <c r="Q5110" s="374"/>
      <c r="R5110" s="373"/>
      <c r="S5110" s="374"/>
      <c r="T5110"/>
      <c r="U5110" t="e">
        <f>VLOOKUP(T5110,[8]Votes!$A$1:$E$234,3,FALSE)</f>
        <v>#N/A</v>
      </c>
      <c r="V5110" t="s">
        <v>9264</v>
      </c>
      <c r="W5110" s="45">
        <v>1</v>
      </c>
      <c r="X5110" s="45">
        <v>1</v>
      </c>
      <c r="Y5110" s="45">
        <v>1</v>
      </c>
      <c r="Z5110" s="45">
        <v>0</v>
      </c>
      <c r="AA5110" s="45">
        <v>1</v>
      </c>
      <c r="AB5110" s="45">
        <v>0</v>
      </c>
      <c r="AC5110" s="150">
        <v>1</v>
      </c>
      <c r="AD5110" s="150">
        <v>0</v>
      </c>
      <c r="AE5110" s="49">
        <f t="shared" si="186"/>
        <v>0.625</v>
      </c>
      <c r="AF5110" s="276"/>
      <c r="AG5110" s="17">
        <v>0</v>
      </c>
      <c r="AH5110" s="276">
        <v>0</v>
      </c>
      <c r="AI5110" s="276">
        <v>0</v>
      </c>
      <c r="AJ5110" s="44">
        <v>0</v>
      </c>
      <c r="AK5110" s="158">
        <v>0</v>
      </c>
      <c r="AL5110" s="151">
        <v>0</v>
      </c>
      <c r="AM5110" s="147">
        <f t="shared" ref="AM5110:AM5130" si="187">SUM(AK5110:AL5110)</f>
        <v>0</v>
      </c>
      <c r="AN5110" t="s">
        <v>771</v>
      </c>
      <c r="AO5110" s="148" t="s">
        <v>773</v>
      </c>
      <c r="AP5110" t="s">
        <v>280</v>
      </c>
      <c r="AQ5110" s="47"/>
      <c r="AR5110" s="47"/>
    </row>
    <row r="5111" spans="1:44" s="45" customFormat="1" x14ac:dyDescent="0.3">
      <c r="A5111" s="371" t="s">
        <v>8323</v>
      </c>
      <c r="B5111" t="s">
        <v>8324</v>
      </c>
      <c r="C5111" s="148" t="s">
        <v>8841</v>
      </c>
      <c r="D5111" t="s">
        <v>8842</v>
      </c>
      <c r="E5111" s="148" t="s">
        <v>9087</v>
      </c>
      <c r="F5111" t="s">
        <v>9088</v>
      </c>
      <c r="G5111" s="376" t="s">
        <v>9252</v>
      </c>
      <c r="H5111" t="s">
        <v>9253</v>
      </c>
      <c r="I5111"/>
      <c r="J5111"/>
      <c r="K5111" s="148" t="s">
        <v>9265</v>
      </c>
      <c r="L5111" t="s">
        <v>9266</v>
      </c>
      <c r="M5111" s="1" t="s">
        <v>9267</v>
      </c>
      <c r="N5111" s="457">
        <v>0</v>
      </c>
      <c r="O5111" s="458"/>
      <c r="P5111" s="373"/>
      <c r="Q5111" s="374"/>
      <c r="R5111" s="373"/>
      <c r="S5111" s="374"/>
      <c r="T5111"/>
      <c r="U5111" t="e">
        <f>VLOOKUP(T5111,[8]Votes!$A$1:$E$234,3,FALSE)</f>
        <v>#N/A</v>
      </c>
      <c r="V5111" t="s">
        <v>9268</v>
      </c>
      <c r="W5111" s="45">
        <v>1</v>
      </c>
      <c r="X5111" s="45">
        <v>1</v>
      </c>
      <c r="Y5111" s="45">
        <v>1</v>
      </c>
      <c r="Z5111" s="45">
        <v>0</v>
      </c>
      <c r="AA5111" s="45">
        <v>1</v>
      </c>
      <c r="AB5111" s="45">
        <v>0</v>
      </c>
      <c r="AC5111" s="150">
        <v>1</v>
      </c>
      <c r="AD5111" s="150">
        <v>0</v>
      </c>
      <c r="AE5111" s="49">
        <f t="shared" si="186"/>
        <v>0.625</v>
      </c>
      <c r="AF5111" s="276"/>
      <c r="AG5111" s="17">
        <v>0</v>
      </c>
      <c r="AH5111" s="276">
        <v>0</v>
      </c>
      <c r="AI5111" s="276">
        <v>0</v>
      </c>
      <c r="AJ5111" s="44">
        <v>0</v>
      </c>
      <c r="AK5111" s="158">
        <v>0</v>
      </c>
      <c r="AL5111" s="151">
        <v>0</v>
      </c>
      <c r="AM5111" s="147">
        <f t="shared" si="187"/>
        <v>0</v>
      </c>
      <c r="AN5111" t="s">
        <v>771</v>
      </c>
      <c r="AO5111" s="148" t="s">
        <v>773</v>
      </c>
      <c r="AP5111" t="s">
        <v>280</v>
      </c>
      <c r="AQ5111" s="47"/>
      <c r="AR5111" s="47"/>
    </row>
    <row r="5112" spans="1:44" s="45" customFormat="1" x14ac:dyDescent="0.3">
      <c r="A5112" s="371" t="s">
        <v>8323</v>
      </c>
      <c r="B5112" t="s">
        <v>8324</v>
      </c>
      <c r="C5112" s="148" t="s">
        <v>8841</v>
      </c>
      <c r="D5112" t="s">
        <v>8842</v>
      </c>
      <c r="E5112" s="148" t="s">
        <v>9087</v>
      </c>
      <c r="F5112" t="s">
        <v>9088</v>
      </c>
      <c r="G5112" s="376" t="s">
        <v>9269</v>
      </c>
      <c r="H5112" t="s">
        <v>9270</v>
      </c>
      <c r="I5112"/>
      <c r="J5112"/>
      <c r="K5112" s="276" t="s">
        <v>9271</v>
      </c>
      <c r="L5112" s="148" t="s">
        <v>9272</v>
      </c>
      <c r="M5112" s="1" t="s">
        <v>9273</v>
      </c>
      <c r="N5112" s="457">
        <v>0</v>
      </c>
      <c r="O5112" s="458">
        <v>45</v>
      </c>
      <c r="P5112" s="373">
        <v>45</v>
      </c>
      <c r="Q5112" s="374">
        <v>45</v>
      </c>
      <c r="R5112" s="373">
        <v>45</v>
      </c>
      <c r="S5112" s="374">
        <v>45</v>
      </c>
      <c r="T5112" t="s">
        <v>9274</v>
      </c>
      <c r="U5112" t="e">
        <f>VLOOKUP(T5112,[8]Votes!$A$1:$E$234,3,FALSE)</f>
        <v>#N/A</v>
      </c>
      <c r="V5112" t="s">
        <v>9275</v>
      </c>
      <c r="W5112" s="45">
        <v>1</v>
      </c>
      <c r="X5112" s="45">
        <v>0</v>
      </c>
      <c r="Y5112" s="45">
        <v>0</v>
      </c>
      <c r="Z5112" s="45">
        <v>1</v>
      </c>
      <c r="AA5112" s="45">
        <v>0</v>
      </c>
      <c r="AB5112" s="45">
        <v>1</v>
      </c>
      <c r="AC5112" s="150">
        <v>1</v>
      </c>
      <c r="AD5112" s="150">
        <v>0</v>
      </c>
      <c r="AE5112" s="49">
        <f t="shared" si="186"/>
        <v>0.5</v>
      </c>
      <c r="AF5112" s="276"/>
      <c r="AG5112" s="17">
        <v>0</v>
      </c>
      <c r="AH5112" s="276">
        <v>0</v>
      </c>
      <c r="AI5112" s="276">
        <v>0</v>
      </c>
      <c r="AJ5112" s="44">
        <v>0</v>
      </c>
      <c r="AK5112" s="158">
        <v>0</v>
      </c>
      <c r="AL5112" s="151">
        <v>0</v>
      </c>
      <c r="AM5112" s="147">
        <f t="shared" si="187"/>
        <v>0</v>
      </c>
      <c r="AN5112" t="s">
        <v>407</v>
      </c>
      <c r="AO5112" s="148" t="s">
        <v>409</v>
      </c>
      <c r="AP5112" t="s">
        <v>9276</v>
      </c>
      <c r="AQ5112" s="47"/>
      <c r="AR5112" s="47"/>
    </row>
    <row r="5113" spans="1:44" s="45" customFormat="1" x14ac:dyDescent="0.3">
      <c r="A5113" s="371" t="s">
        <v>8323</v>
      </c>
      <c r="B5113" t="s">
        <v>8324</v>
      </c>
      <c r="C5113" s="148" t="s">
        <v>8841</v>
      </c>
      <c r="D5113" t="s">
        <v>8842</v>
      </c>
      <c r="E5113" s="148" t="s">
        <v>9087</v>
      </c>
      <c r="F5113" t="s">
        <v>9088</v>
      </c>
      <c r="G5113" s="376" t="s">
        <v>9269</v>
      </c>
      <c r="H5113" t="s">
        <v>9270</v>
      </c>
      <c r="I5113"/>
      <c r="J5113"/>
      <c r="K5113" s="148" t="s">
        <v>9271</v>
      </c>
      <c r="L5113" s="148" t="s">
        <v>9272</v>
      </c>
      <c r="M5113" s="1" t="s">
        <v>9277</v>
      </c>
      <c r="N5113" s="457">
        <v>0</v>
      </c>
      <c r="O5113" s="458">
        <v>870</v>
      </c>
      <c r="P5113" s="373">
        <v>870</v>
      </c>
      <c r="Q5113" s="374">
        <v>870</v>
      </c>
      <c r="R5113" s="373">
        <v>870</v>
      </c>
      <c r="S5113" s="374">
        <v>870</v>
      </c>
      <c r="T5113" t="s">
        <v>407</v>
      </c>
      <c r="U5113" t="str">
        <f>VLOOKUP(T5113,[8]Votes!$A$1:$E$234,3,FALSE)</f>
        <v>019 Ministry of Water and Environment</v>
      </c>
      <c r="V5113" t="s">
        <v>9278</v>
      </c>
      <c r="W5113" s="45">
        <v>1</v>
      </c>
      <c r="X5113" s="45">
        <v>1</v>
      </c>
      <c r="Y5113" s="45">
        <v>0</v>
      </c>
      <c r="Z5113" s="45">
        <v>1</v>
      </c>
      <c r="AA5113" s="45">
        <v>0</v>
      </c>
      <c r="AB5113" s="45">
        <v>1</v>
      </c>
      <c r="AC5113" s="150">
        <v>1</v>
      </c>
      <c r="AD5113" s="150">
        <v>0</v>
      </c>
      <c r="AE5113" s="49">
        <f t="shared" ref="AE5113:AE5130" si="188">SUM(W5113:AD5113)/8</f>
        <v>0.625</v>
      </c>
      <c r="AF5113" s="276"/>
      <c r="AG5113" s="17">
        <v>0</v>
      </c>
      <c r="AH5113" s="276">
        <v>0</v>
      </c>
      <c r="AI5113" s="276">
        <v>0</v>
      </c>
      <c r="AJ5113" s="44">
        <v>0</v>
      </c>
      <c r="AK5113" s="158">
        <v>0</v>
      </c>
      <c r="AL5113" s="151">
        <v>0</v>
      </c>
      <c r="AM5113" s="147">
        <f t="shared" si="187"/>
        <v>0</v>
      </c>
      <c r="AN5113" t="s">
        <v>407</v>
      </c>
      <c r="AO5113" s="148" t="s">
        <v>409</v>
      </c>
      <c r="AP5113" t="s">
        <v>9276</v>
      </c>
      <c r="AQ5113" s="47"/>
      <c r="AR5113" s="47"/>
    </row>
    <row r="5114" spans="1:44" s="45" customFormat="1" x14ac:dyDescent="0.3">
      <c r="A5114" s="371" t="s">
        <v>8323</v>
      </c>
      <c r="B5114" t="s">
        <v>8324</v>
      </c>
      <c r="C5114" s="148" t="s">
        <v>8841</v>
      </c>
      <c r="D5114" t="s">
        <v>8842</v>
      </c>
      <c r="E5114" s="148" t="s">
        <v>9087</v>
      </c>
      <c r="F5114" t="s">
        <v>9088</v>
      </c>
      <c r="G5114" s="376" t="s">
        <v>9269</v>
      </c>
      <c r="H5114" t="s">
        <v>9270</v>
      </c>
      <c r="I5114"/>
      <c r="J5114"/>
      <c r="K5114" s="148" t="s">
        <v>9271</v>
      </c>
      <c r="L5114" s="148" t="s">
        <v>9272</v>
      </c>
      <c r="M5114" s="1" t="s">
        <v>9279</v>
      </c>
      <c r="N5114" s="457">
        <v>0</v>
      </c>
      <c r="O5114" s="458"/>
      <c r="P5114" s="373"/>
      <c r="Q5114" s="374"/>
      <c r="R5114" s="373"/>
      <c r="S5114" s="374"/>
      <c r="T5114"/>
      <c r="U5114" t="e">
        <f>VLOOKUP(T5114,[8]Votes!$A$1:$E$234,3,FALSE)</f>
        <v>#N/A</v>
      </c>
      <c r="V5114" t="s">
        <v>9280</v>
      </c>
      <c r="W5114" s="45">
        <v>1</v>
      </c>
      <c r="X5114" s="45">
        <v>0</v>
      </c>
      <c r="Y5114" s="45">
        <v>0</v>
      </c>
      <c r="Z5114" s="45">
        <v>1</v>
      </c>
      <c r="AA5114" s="45">
        <v>0</v>
      </c>
      <c r="AB5114" s="45">
        <v>1</v>
      </c>
      <c r="AC5114" s="150">
        <v>1</v>
      </c>
      <c r="AD5114" s="150">
        <v>0</v>
      </c>
      <c r="AE5114" s="49">
        <f t="shared" si="188"/>
        <v>0.5</v>
      </c>
      <c r="AF5114" s="276"/>
      <c r="AG5114" s="17">
        <v>0</v>
      </c>
      <c r="AH5114" s="276">
        <v>0</v>
      </c>
      <c r="AI5114" s="276">
        <v>0</v>
      </c>
      <c r="AJ5114" s="44">
        <v>0</v>
      </c>
      <c r="AK5114" s="158">
        <v>0</v>
      </c>
      <c r="AL5114" s="151">
        <v>0</v>
      </c>
      <c r="AM5114" s="147">
        <f t="shared" si="187"/>
        <v>0</v>
      </c>
      <c r="AN5114" t="s">
        <v>407</v>
      </c>
      <c r="AO5114" s="148" t="s">
        <v>409</v>
      </c>
      <c r="AP5114" t="s">
        <v>9276</v>
      </c>
      <c r="AQ5114" s="47"/>
      <c r="AR5114" s="47"/>
    </row>
    <row r="5115" spans="1:44" s="45" customFormat="1" x14ac:dyDescent="0.3">
      <c r="A5115" s="371" t="s">
        <v>8323</v>
      </c>
      <c r="B5115" t="s">
        <v>8324</v>
      </c>
      <c r="C5115" s="148" t="s">
        <v>8841</v>
      </c>
      <c r="D5115" t="s">
        <v>8842</v>
      </c>
      <c r="E5115" s="148" t="s">
        <v>9087</v>
      </c>
      <c r="F5115" t="s">
        <v>9088</v>
      </c>
      <c r="G5115" s="376" t="s">
        <v>9269</v>
      </c>
      <c r="H5115" t="s">
        <v>9270</v>
      </c>
      <c r="I5115"/>
      <c r="J5115"/>
      <c r="K5115" s="148" t="s">
        <v>9271</v>
      </c>
      <c r="L5115" s="148" t="s">
        <v>9272</v>
      </c>
      <c r="M5115" s="1" t="s">
        <v>9281</v>
      </c>
      <c r="N5115" s="457"/>
      <c r="O5115" s="458"/>
      <c r="P5115" s="373"/>
      <c r="Q5115" s="374"/>
      <c r="R5115" s="373"/>
      <c r="S5115" s="374"/>
      <c r="T5115"/>
      <c r="U5115" t="e">
        <f>VLOOKUP(T5115,[8]Votes!$A$1:$E$234,3,FALSE)</f>
        <v>#N/A</v>
      </c>
      <c r="V5115" t="s">
        <v>9282</v>
      </c>
      <c r="W5115" s="45">
        <v>1</v>
      </c>
      <c r="X5115" s="45">
        <v>1</v>
      </c>
      <c r="Y5115" s="45">
        <v>0</v>
      </c>
      <c r="Z5115" s="45">
        <v>1</v>
      </c>
      <c r="AA5115" s="45">
        <v>0</v>
      </c>
      <c r="AB5115" s="45">
        <v>1</v>
      </c>
      <c r="AC5115" s="150">
        <v>1</v>
      </c>
      <c r="AD5115" s="150">
        <v>0</v>
      </c>
      <c r="AE5115" s="49">
        <f t="shared" si="188"/>
        <v>0.625</v>
      </c>
      <c r="AF5115" s="276"/>
      <c r="AG5115" s="17">
        <v>0</v>
      </c>
      <c r="AH5115" s="276">
        <v>0</v>
      </c>
      <c r="AI5115" s="276">
        <v>0</v>
      </c>
      <c r="AJ5115" s="44">
        <v>0</v>
      </c>
      <c r="AK5115" s="158">
        <v>0</v>
      </c>
      <c r="AL5115" s="151">
        <v>0</v>
      </c>
      <c r="AM5115" s="147">
        <f t="shared" si="187"/>
        <v>0</v>
      </c>
      <c r="AN5115" t="s">
        <v>407</v>
      </c>
      <c r="AO5115" s="148" t="s">
        <v>409</v>
      </c>
      <c r="AP5115" t="s">
        <v>9276</v>
      </c>
      <c r="AQ5115" s="47"/>
      <c r="AR5115" s="47"/>
    </row>
    <row r="5116" spans="1:44" s="45" customFormat="1" x14ac:dyDescent="0.3">
      <c r="A5116" s="371" t="s">
        <v>8323</v>
      </c>
      <c r="B5116" t="s">
        <v>8324</v>
      </c>
      <c r="C5116" s="148" t="s">
        <v>8841</v>
      </c>
      <c r="D5116" t="s">
        <v>8842</v>
      </c>
      <c r="E5116" s="148" t="s">
        <v>9087</v>
      </c>
      <c r="F5116" t="s">
        <v>9088</v>
      </c>
      <c r="G5116" s="376" t="s">
        <v>9269</v>
      </c>
      <c r="H5116" t="s">
        <v>9270</v>
      </c>
      <c r="I5116"/>
      <c r="J5116"/>
      <c r="K5116" s="148" t="s">
        <v>9283</v>
      </c>
      <c r="L5116" t="s">
        <v>9284</v>
      </c>
      <c r="M5116" s="1" t="s">
        <v>9285</v>
      </c>
      <c r="N5116" s="457">
        <v>0</v>
      </c>
      <c r="O5116" s="458"/>
      <c r="P5116" s="373"/>
      <c r="Q5116" s="374"/>
      <c r="R5116" s="373"/>
      <c r="S5116" s="374"/>
      <c r="T5116"/>
      <c r="U5116" t="e">
        <f>VLOOKUP(T5116,[8]Votes!$A$1:$E$234,3,FALSE)</f>
        <v>#N/A</v>
      </c>
      <c r="V5116" t="s">
        <v>9286</v>
      </c>
      <c r="W5116" s="45">
        <v>1</v>
      </c>
      <c r="X5116" s="45">
        <v>1</v>
      </c>
      <c r="Y5116" s="45">
        <v>1</v>
      </c>
      <c r="Z5116" s="45">
        <v>1</v>
      </c>
      <c r="AA5116" s="45">
        <v>0</v>
      </c>
      <c r="AB5116" s="45">
        <v>0</v>
      </c>
      <c r="AC5116" s="150">
        <v>1</v>
      </c>
      <c r="AD5116" s="150">
        <v>0</v>
      </c>
      <c r="AE5116" s="49">
        <f t="shared" si="188"/>
        <v>0.625</v>
      </c>
      <c r="AF5116" s="276"/>
      <c r="AG5116" s="17">
        <v>0</v>
      </c>
      <c r="AH5116" s="276">
        <v>0</v>
      </c>
      <c r="AI5116" s="276">
        <v>0</v>
      </c>
      <c r="AJ5116" s="44">
        <v>0</v>
      </c>
      <c r="AK5116" s="158">
        <v>0</v>
      </c>
      <c r="AL5116" s="151">
        <v>0</v>
      </c>
      <c r="AM5116" s="147">
        <f t="shared" si="187"/>
        <v>0</v>
      </c>
      <c r="AN5116" t="s">
        <v>407</v>
      </c>
      <c r="AO5116" s="148" t="s">
        <v>409</v>
      </c>
      <c r="AP5116" t="s">
        <v>3605</v>
      </c>
      <c r="AQ5116" s="47"/>
      <c r="AR5116" s="47"/>
    </row>
    <row r="5117" spans="1:44" s="45" customFormat="1" x14ac:dyDescent="0.3">
      <c r="A5117" s="371" t="s">
        <v>8323</v>
      </c>
      <c r="B5117" t="s">
        <v>8324</v>
      </c>
      <c r="C5117" s="148" t="s">
        <v>8841</v>
      </c>
      <c r="D5117" t="s">
        <v>8842</v>
      </c>
      <c r="E5117" s="148" t="s">
        <v>9087</v>
      </c>
      <c r="F5117" t="s">
        <v>9088</v>
      </c>
      <c r="G5117" s="376" t="s">
        <v>9269</v>
      </c>
      <c r="H5117" t="s">
        <v>9270</v>
      </c>
      <c r="I5117"/>
      <c r="J5117"/>
      <c r="K5117" s="148" t="s">
        <v>9287</v>
      </c>
      <c r="L5117" t="s">
        <v>9288</v>
      </c>
      <c r="M5117" s="1" t="s">
        <v>9289</v>
      </c>
      <c r="N5117" s="457">
        <v>0</v>
      </c>
      <c r="O5117" s="458"/>
      <c r="P5117" s="373"/>
      <c r="Q5117" s="374"/>
      <c r="R5117" s="373"/>
      <c r="S5117" s="374"/>
      <c r="T5117"/>
      <c r="U5117" t="e">
        <f>VLOOKUP(T5117,[8]Votes!$A$1:$E$234,3,FALSE)</f>
        <v>#N/A</v>
      </c>
      <c r="V5117" t="s">
        <v>9290</v>
      </c>
      <c r="W5117" s="45">
        <v>1</v>
      </c>
      <c r="X5117" s="45">
        <v>1</v>
      </c>
      <c r="Y5117" s="45">
        <v>1</v>
      </c>
      <c r="Z5117" s="45">
        <v>1</v>
      </c>
      <c r="AA5117" s="45">
        <v>0</v>
      </c>
      <c r="AB5117" s="45">
        <v>0</v>
      </c>
      <c r="AC5117" s="150">
        <v>1</v>
      </c>
      <c r="AD5117" s="150">
        <v>0</v>
      </c>
      <c r="AE5117" s="49">
        <f t="shared" si="188"/>
        <v>0.625</v>
      </c>
      <c r="AF5117" s="276"/>
      <c r="AG5117" s="17">
        <v>0</v>
      </c>
      <c r="AH5117" s="276">
        <v>0</v>
      </c>
      <c r="AI5117" s="276">
        <v>0</v>
      </c>
      <c r="AJ5117" s="44">
        <v>0</v>
      </c>
      <c r="AK5117" s="158">
        <v>0</v>
      </c>
      <c r="AL5117" s="151">
        <v>0</v>
      </c>
      <c r="AM5117" s="147">
        <f t="shared" si="187"/>
        <v>0</v>
      </c>
      <c r="AN5117" t="s">
        <v>8787</v>
      </c>
      <c r="AO5117" s="148" t="s">
        <v>9291</v>
      </c>
      <c r="AP5117" t="s">
        <v>9292</v>
      </c>
      <c r="AQ5117" s="47"/>
      <c r="AR5117" s="47"/>
    </row>
    <row r="5118" spans="1:44" s="45" customFormat="1" x14ac:dyDescent="0.3">
      <c r="A5118" s="371" t="s">
        <v>8323</v>
      </c>
      <c r="B5118" t="s">
        <v>8324</v>
      </c>
      <c r="C5118" s="148" t="s">
        <v>8841</v>
      </c>
      <c r="D5118" t="s">
        <v>8842</v>
      </c>
      <c r="E5118" s="148" t="s">
        <v>9087</v>
      </c>
      <c r="F5118" t="s">
        <v>9088</v>
      </c>
      <c r="G5118" s="376" t="s">
        <v>9269</v>
      </c>
      <c r="H5118" t="s">
        <v>9270</v>
      </c>
      <c r="I5118"/>
      <c r="J5118"/>
      <c r="K5118" s="148" t="s">
        <v>9293</v>
      </c>
      <c r="L5118" t="s">
        <v>9294</v>
      </c>
      <c r="M5118" s="1" t="s">
        <v>9295</v>
      </c>
      <c r="N5118" s="457">
        <v>0</v>
      </c>
      <c r="O5118" s="458"/>
      <c r="P5118" s="373"/>
      <c r="Q5118" s="374"/>
      <c r="R5118" s="373"/>
      <c r="S5118" s="374"/>
      <c r="T5118"/>
      <c r="U5118" t="e">
        <f>VLOOKUP(T5118,[8]Votes!$A$1:$E$234,3,FALSE)</f>
        <v>#N/A</v>
      </c>
      <c r="V5118" t="s">
        <v>9296</v>
      </c>
      <c r="W5118" s="45">
        <v>1</v>
      </c>
      <c r="X5118" s="45">
        <v>1</v>
      </c>
      <c r="Y5118" s="45">
        <v>1</v>
      </c>
      <c r="Z5118" s="45">
        <v>1</v>
      </c>
      <c r="AA5118" s="45">
        <v>0</v>
      </c>
      <c r="AB5118" s="45">
        <v>0</v>
      </c>
      <c r="AC5118" s="150">
        <v>1</v>
      </c>
      <c r="AD5118" s="150">
        <v>0</v>
      </c>
      <c r="AE5118" s="49">
        <f t="shared" si="188"/>
        <v>0.625</v>
      </c>
      <c r="AF5118" s="276"/>
      <c r="AG5118" s="17">
        <v>0</v>
      </c>
      <c r="AH5118" s="276">
        <v>0</v>
      </c>
      <c r="AI5118" s="276">
        <v>0</v>
      </c>
      <c r="AJ5118" s="44">
        <v>0</v>
      </c>
      <c r="AK5118" s="158">
        <v>0</v>
      </c>
      <c r="AL5118" s="151">
        <v>0</v>
      </c>
      <c r="AM5118" s="147">
        <f t="shared" si="187"/>
        <v>0</v>
      </c>
      <c r="AN5118" t="s">
        <v>8787</v>
      </c>
      <c r="AO5118" s="148" t="s">
        <v>9291</v>
      </c>
      <c r="AP5118" t="s">
        <v>9292</v>
      </c>
      <c r="AQ5118" s="47"/>
      <c r="AR5118" s="47"/>
    </row>
    <row r="5119" spans="1:44" s="45" customFormat="1" x14ac:dyDescent="0.3">
      <c r="A5119" s="371" t="s">
        <v>8323</v>
      </c>
      <c r="B5119" t="s">
        <v>8324</v>
      </c>
      <c r="C5119" s="148" t="s">
        <v>8841</v>
      </c>
      <c r="D5119" t="s">
        <v>8842</v>
      </c>
      <c r="E5119" s="148" t="s">
        <v>9087</v>
      </c>
      <c r="F5119" t="s">
        <v>9088</v>
      </c>
      <c r="G5119" s="376" t="s">
        <v>9269</v>
      </c>
      <c r="H5119" t="s">
        <v>9270</v>
      </c>
      <c r="I5119"/>
      <c r="J5119"/>
      <c r="K5119" s="148" t="s">
        <v>9297</v>
      </c>
      <c r="L5119" t="s">
        <v>9298</v>
      </c>
      <c r="M5119" s="1" t="s">
        <v>9299</v>
      </c>
      <c r="N5119" s="457"/>
      <c r="O5119" s="458"/>
      <c r="P5119" s="373"/>
      <c r="Q5119" s="374"/>
      <c r="R5119" s="373"/>
      <c r="S5119" s="374"/>
      <c r="T5119"/>
      <c r="U5119" t="e">
        <f>VLOOKUP(T5119,[8]Votes!$A$1:$E$234,3,FALSE)</f>
        <v>#N/A</v>
      </c>
      <c r="V5119" t="s">
        <v>9298</v>
      </c>
      <c r="W5119" s="45">
        <v>1</v>
      </c>
      <c r="X5119" s="45">
        <v>1</v>
      </c>
      <c r="Y5119" s="45">
        <v>1</v>
      </c>
      <c r="Z5119" s="45">
        <v>1</v>
      </c>
      <c r="AA5119" s="45">
        <v>0</v>
      </c>
      <c r="AB5119" s="45">
        <v>0</v>
      </c>
      <c r="AC5119" s="150">
        <v>1</v>
      </c>
      <c r="AD5119" s="150">
        <v>0</v>
      </c>
      <c r="AE5119" s="49">
        <f t="shared" si="188"/>
        <v>0.625</v>
      </c>
      <c r="AF5119" s="276"/>
      <c r="AG5119" s="17">
        <v>0</v>
      </c>
      <c r="AH5119" s="276">
        <v>0</v>
      </c>
      <c r="AI5119" s="276">
        <v>0</v>
      </c>
      <c r="AJ5119" s="44">
        <v>0</v>
      </c>
      <c r="AK5119" s="158">
        <v>0</v>
      </c>
      <c r="AL5119" s="151">
        <v>0</v>
      </c>
      <c r="AM5119" s="147">
        <f t="shared" si="187"/>
        <v>0</v>
      </c>
      <c r="AN5119" t="s">
        <v>3605</v>
      </c>
      <c r="AO5119" s="148" t="s">
        <v>4178</v>
      </c>
      <c r="AP5119" t="s">
        <v>3605</v>
      </c>
      <c r="AQ5119" s="47"/>
      <c r="AR5119" s="47"/>
    </row>
    <row r="5120" spans="1:44" s="45" customFormat="1" x14ac:dyDescent="0.3">
      <c r="A5120" s="371" t="s">
        <v>8323</v>
      </c>
      <c r="B5120" t="s">
        <v>8324</v>
      </c>
      <c r="C5120" s="148" t="s">
        <v>9300</v>
      </c>
      <c r="D5120" t="s">
        <v>9301</v>
      </c>
      <c r="E5120" s="148" t="s">
        <v>9302</v>
      </c>
      <c r="F5120" t="s">
        <v>9303</v>
      </c>
      <c r="G5120" s="376" t="s">
        <v>9304</v>
      </c>
      <c r="H5120" t="s">
        <v>9305</v>
      </c>
      <c r="I5120"/>
      <c r="J5120"/>
      <c r="K5120" s="148" t="s">
        <v>9306</v>
      </c>
      <c r="L5120" t="s">
        <v>9307</v>
      </c>
      <c r="M5120" s="459" t="s">
        <v>9308</v>
      </c>
      <c r="N5120" s="457"/>
      <c r="O5120" s="458">
        <v>435</v>
      </c>
      <c r="P5120" s="373">
        <v>435</v>
      </c>
      <c r="Q5120" s="374">
        <v>435</v>
      </c>
      <c r="R5120" s="373">
        <v>435</v>
      </c>
      <c r="S5120" s="374">
        <v>435</v>
      </c>
      <c r="T5120" t="s">
        <v>1345</v>
      </c>
      <c r="U5120" t="str">
        <f>VLOOKUP(T5120,[8]Votes!$A$1:$E$234,3,FALSE)</f>
        <v>001 Office of the President</v>
      </c>
      <c r="V5120" t="s">
        <v>9309</v>
      </c>
      <c r="W5120" s="45">
        <v>1</v>
      </c>
      <c r="X5120" s="45">
        <v>1</v>
      </c>
      <c r="Y5120" s="45">
        <v>1</v>
      </c>
      <c r="Z5120" s="45">
        <v>1</v>
      </c>
      <c r="AA5120" s="45">
        <v>1</v>
      </c>
      <c r="AB5120" s="45">
        <v>1</v>
      </c>
      <c r="AC5120" s="150">
        <v>1</v>
      </c>
      <c r="AD5120" s="150">
        <v>0</v>
      </c>
      <c r="AE5120" s="49">
        <f t="shared" si="188"/>
        <v>0.875</v>
      </c>
      <c r="AF5120" s="276"/>
      <c r="AG5120" s="17">
        <v>0</v>
      </c>
      <c r="AH5120" s="276">
        <v>0</v>
      </c>
      <c r="AI5120" s="276">
        <v>5</v>
      </c>
      <c r="AJ5120" s="44">
        <v>5</v>
      </c>
      <c r="AK5120" s="158">
        <v>0</v>
      </c>
      <c r="AL5120" s="151">
        <v>0</v>
      </c>
      <c r="AM5120" s="147">
        <f t="shared" si="187"/>
        <v>0</v>
      </c>
      <c r="AN5120" t="s">
        <v>1332</v>
      </c>
      <c r="AO5120" s="148" t="s">
        <v>1334</v>
      </c>
      <c r="AP5120" t="s">
        <v>280</v>
      </c>
    </row>
    <row r="5121" spans="1:42" s="45" customFormat="1" x14ac:dyDescent="0.3">
      <c r="A5121" s="371" t="s">
        <v>8323</v>
      </c>
      <c r="B5121" t="s">
        <v>8324</v>
      </c>
      <c r="C5121" s="148" t="s">
        <v>9300</v>
      </c>
      <c r="D5121" t="s">
        <v>9301</v>
      </c>
      <c r="E5121" s="148" t="s">
        <v>9302</v>
      </c>
      <c r="F5121" t="s">
        <v>9303</v>
      </c>
      <c r="G5121" s="376" t="s">
        <v>9304</v>
      </c>
      <c r="H5121" t="s">
        <v>9305</v>
      </c>
      <c r="I5121"/>
      <c r="J5121"/>
      <c r="K5121" s="148" t="s">
        <v>9310</v>
      </c>
      <c r="L5121" s="148" t="s">
        <v>9311</v>
      </c>
      <c r="M5121" s="1" t="s">
        <v>9312</v>
      </c>
      <c r="N5121" s="457"/>
      <c r="O5121" s="458">
        <v>87</v>
      </c>
      <c r="P5121" s="373">
        <v>87</v>
      </c>
      <c r="Q5121" s="374">
        <v>87</v>
      </c>
      <c r="R5121" s="373">
        <v>87</v>
      </c>
      <c r="S5121" s="374">
        <v>87</v>
      </c>
      <c r="T5121" t="s">
        <v>6300</v>
      </c>
      <c r="U5121" t="str">
        <f>VLOOKUP(T5121,[8]Votes!$A$1:$E$234,3,FALSE)</f>
        <v>147 Local Government Finance Commission</v>
      </c>
      <c r="V5121" t="s">
        <v>9313</v>
      </c>
      <c r="W5121" s="45">
        <v>1</v>
      </c>
      <c r="X5121" s="45">
        <v>1</v>
      </c>
      <c r="Y5121" s="45">
        <v>1</v>
      </c>
      <c r="Z5121" s="45">
        <v>0</v>
      </c>
      <c r="AA5121" s="45">
        <v>0</v>
      </c>
      <c r="AB5121" s="45">
        <v>0</v>
      </c>
      <c r="AC5121" s="150">
        <v>0</v>
      </c>
      <c r="AD5121" s="150">
        <v>1</v>
      </c>
      <c r="AE5121" s="49">
        <f t="shared" si="188"/>
        <v>0.5</v>
      </c>
      <c r="AF5121" s="276"/>
      <c r="AG5121" s="17">
        <v>0</v>
      </c>
      <c r="AH5121" s="276">
        <v>0</v>
      </c>
      <c r="AI5121" s="276">
        <v>0</v>
      </c>
      <c r="AJ5121" s="44">
        <v>0</v>
      </c>
      <c r="AK5121" s="158">
        <v>0</v>
      </c>
      <c r="AL5121" s="151">
        <v>0</v>
      </c>
      <c r="AM5121" s="147">
        <f t="shared" si="187"/>
        <v>0</v>
      </c>
      <c r="AN5121" t="s">
        <v>6300</v>
      </c>
      <c r="AO5121" s="148" t="s">
        <v>6301</v>
      </c>
      <c r="AP5121" t="s">
        <v>280</v>
      </c>
    </row>
    <row r="5122" spans="1:42" s="45" customFormat="1" x14ac:dyDescent="0.3">
      <c r="A5122" s="371" t="s">
        <v>8323</v>
      </c>
      <c r="B5122" t="s">
        <v>8324</v>
      </c>
      <c r="C5122" s="148" t="s">
        <v>9300</v>
      </c>
      <c r="D5122" t="s">
        <v>9301</v>
      </c>
      <c r="E5122" s="148" t="s">
        <v>9302</v>
      </c>
      <c r="F5122" t="s">
        <v>9303</v>
      </c>
      <c r="G5122" s="376" t="s">
        <v>9304</v>
      </c>
      <c r="H5122" t="s">
        <v>9305</v>
      </c>
      <c r="I5122"/>
      <c r="J5122"/>
      <c r="K5122" s="148" t="s">
        <v>9314</v>
      </c>
      <c r="L5122" s="148" t="s">
        <v>9315</v>
      </c>
      <c r="M5122" s="1" t="s">
        <v>9316</v>
      </c>
      <c r="N5122" s="457">
        <v>0</v>
      </c>
      <c r="O5122" s="458">
        <v>870</v>
      </c>
      <c r="P5122" s="373">
        <v>870</v>
      </c>
      <c r="Q5122" s="374">
        <v>870</v>
      </c>
      <c r="R5122" s="373">
        <v>870</v>
      </c>
      <c r="S5122" s="374">
        <v>870</v>
      </c>
      <c r="T5122" t="s">
        <v>280</v>
      </c>
      <c r="U5122" t="str">
        <f>VLOOKUP(T5122,[8]Votes!$A$1:$E$234,3,FALSE)</f>
        <v>011 Ministry of Local Government</v>
      </c>
      <c r="V5122" t="s">
        <v>9317</v>
      </c>
      <c r="W5122" s="45">
        <v>1</v>
      </c>
      <c r="X5122" s="45">
        <v>0</v>
      </c>
      <c r="Y5122" s="45">
        <v>0</v>
      </c>
      <c r="Z5122" s="45">
        <v>1</v>
      </c>
      <c r="AA5122" s="45">
        <v>1</v>
      </c>
      <c r="AB5122" s="45">
        <v>0</v>
      </c>
      <c r="AC5122" s="150">
        <v>1</v>
      </c>
      <c r="AD5122" s="150">
        <v>1</v>
      </c>
      <c r="AE5122" s="49">
        <f t="shared" si="188"/>
        <v>0.625</v>
      </c>
      <c r="AF5122" s="276"/>
      <c r="AG5122" s="17">
        <v>0</v>
      </c>
      <c r="AH5122" s="276">
        <v>0</v>
      </c>
      <c r="AI5122" s="276">
        <v>2.13</v>
      </c>
      <c r="AJ5122" s="44">
        <v>2.13</v>
      </c>
      <c r="AK5122" s="158">
        <v>0</v>
      </c>
      <c r="AL5122" s="151">
        <v>0</v>
      </c>
      <c r="AM5122" s="147">
        <f t="shared" si="187"/>
        <v>0</v>
      </c>
      <c r="AN5122" t="s">
        <v>280</v>
      </c>
      <c r="AO5122" s="148" t="s">
        <v>1151</v>
      </c>
      <c r="AP5122" t="s">
        <v>3863</v>
      </c>
    </row>
    <row r="5123" spans="1:42" s="45" customFormat="1" x14ac:dyDescent="0.3">
      <c r="A5123" s="371" t="s">
        <v>8323</v>
      </c>
      <c r="B5123" t="s">
        <v>8324</v>
      </c>
      <c r="C5123" s="148" t="s">
        <v>9300</v>
      </c>
      <c r="D5123" t="s">
        <v>9301</v>
      </c>
      <c r="E5123" s="148" t="s">
        <v>9302</v>
      </c>
      <c r="F5123" t="s">
        <v>9303</v>
      </c>
      <c r="G5123" s="376" t="s">
        <v>9304</v>
      </c>
      <c r="H5123" t="s">
        <v>9305</v>
      </c>
      <c r="I5123"/>
      <c r="J5123"/>
      <c r="K5123" s="148" t="s">
        <v>9314</v>
      </c>
      <c r="L5123" s="148" t="s">
        <v>9318</v>
      </c>
      <c r="M5123" s="1" t="s">
        <v>9319</v>
      </c>
      <c r="N5123" s="457">
        <v>0</v>
      </c>
      <c r="O5123" s="458">
        <v>174</v>
      </c>
      <c r="P5123" s="373">
        <v>174</v>
      </c>
      <c r="Q5123" s="374">
        <v>174</v>
      </c>
      <c r="R5123" s="373">
        <v>174</v>
      </c>
      <c r="S5123" s="374">
        <v>174</v>
      </c>
      <c r="T5123" t="s">
        <v>280</v>
      </c>
      <c r="U5123" t="str">
        <f>VLOOKUP(T5123,[8]Votes!$A$1:$E$234,3,FALSE)</f>
        <v>011 Ministry of Local Government</v>
      </c>
      <c r="V5123" t="s">
        <v>9320</v>
      </c>
      <c r="W5123" s="45">
        <v>1</v>
      </c>
      <c r="X5123" s="45">
        <v>0</v>
      </c>
      <c r="Y5123" s="45">
        <v>1</v>
      </c>
      <c r="Z5123" s="45">
        <v>1</v>
      </c>
      <c r="AA5123" s="45">
        <v>1</v>
      </c>
      <c r="AB5123" s="45">
        <v>0</v>
      </c>
      <c r="AC5123" s="150">
        <v>1</v>
      </c>
      <c r="AD5123" s="150">
        <v>1</v>
      </c>
      <c r="AE5123" s="49">
        <f t="shared" si="188"/>
        <v>0.75</v>
      </c>
      <c r="AF5123" s="276"/>
      <c r="AG5123" s="17">
        <v>0</v>
      </c>
      <c r="AH5123" s="276">
        <v>0</v>
      </c>
      <c r="AI5123" s="276">
        <v>7</v>
      </c>
      <c r="AJ5123" s="44">
        <v>7</v>
      </c>
      <c r="AK5123" s="158">
        <v>0</v>
      </c>
      <c r="AL5123" s="151">
        <v>0</v>
      </c>
      <c r="AM5123" s="147">
        <f t="shared" si="187"/>
        <v>0</v>
      </c>
      <c r="AN5123" t="s">
        <v>280</v>
      </c>
      <c r="AO5123" s="148" t="s">
        <v>1151</v>
      </c>
      <c r="AP5123" t="s">
        <v>9321</v>
      </c>
    </row>
    <row r="5124" spans="1:42" s="45" customFormat="1" x14ac:dyDescent="0.3">
      <c r="A5124" s="371" t="s">
        <v>8323</v>
      </c>
      <c r="B5124" t="s">
        <v>8324</v>
      </c>
      <c r="C5124" s="148" t="s">
        <v>9300</v>
      </c>
      <c r="D5124" t="s">
        <v>9301</v>
      </c>
      <c r="E5124" s="148" t="s">
        <v>9302</v>
      </c>
      <c r="F5124" t="s">
        <v>9303</v>
      </c>
      <c r="G5124" s="376" t="s">
        <v>9304</v>
      </c>
      <c r="H5124" t="s">
        <v>9305</v>
      </c>
      <c r="I5124"/>
      <c r="J5124"/>
      <c r="K5124" s="148" t="s">
        <v>9322</v>
      </c>
      <c r="L5124" s="148" t="s">
        <v>9323</v>
      </c>
      <c r="M5124" s="1" t="s">
        <v>9324</v>
      </c>
      <c r="N5124" s="457">
        <v>0</v>
      </c>
      <c r="O5124" s="458">
        <v>87</v>
      </c>
      <c r="P5124" s="373">
        <v>87</v>
      </c>
      <c r="Q5124" s="374">
        <v>87</v>
      </c>
      <c r="R5124" s="373">
        <v>87</v>
      </c>
      <c r="S5124" s="374">
        <v>87</v>
      </c>
      <c r="T5124" t="s">
        <v>280</v>
      </c>
      <c r="U5124" t="str">
        <f>VLOOKUP(T5124,[8]Votes!$A$1:$E$234,3,FALSE)</f>
        <v>011 Ministry of Local Government</v>
      </c>
      <c r="V5124" t="s">
        <v>9325</v>
      </c>
      <c r="W5124" s="45">
        <v>1</v>
      </c>
      <c r="X5124" s="45">
        <v>0</v>
      </c>
      <c r="Y5124" s="45">
        <v>0</v>
      </c>
      <c r="Z5124" s="45">
        <v>1</v>
      </c>
      <c r="AA5124" s="45">
        <v>1</v>
      </c>
      <c r="AB5124" s="45">
        <v>0</v>
      </c>
      <c r="AC5124" s="150">
        <v>1</v>
      </c>
      <c r="AD5124" s="150">
        <v>1</v>
      </c>
      <c r="AE5124" s="49">
        <f t="shared" si="188"/>
        <v>0.625</v>
      </c>
      <c r="AF5124" s="276"/>
      <c r="AG5124" s="17">
        <v>0</v>
      </c>
      <c r="AH5124" s="276">
        <v>0</v>
      </c>
      <c r="AI5124" s="276">
        <v>1</v>
      </c>
      <c r="AJ5124" s="44">
        <v>1</v>
      </c>
      <c r="AK5124" s="158">
        <v>0</v>
      </c>
      <c r="AL5124" s="151">
        <v>0</v>
      </c>
      <c r="AM5124" s="147">
        <f t="shared" si="187"/>
        <v>0</v>
      </c>
      <c r="AN5124" t="s">
        <v>280</v>
      </c>
      <c r="AO5124" s="148" t="s">
        <v>1151</v>
      </c>
      <c r="AP5124" t="s">
        <v>9321</v>
      </c>
    </row>
    <row r="5125" spans="1:42" s="45" customFormat="1" x14ac:dyDescent="0.3">
      <c r="A5125" s="371" t="s">
        <v>8323</v>
      </c>
      <c r="B5125" t="s">
        <v>8324</v>
      </c>
      <c r="C5125" s="148" t="s">
        <v>9300</v>
      </c>
      <c r="D5125" t="s">
        <v>9301</v>
      </c>
      <c r="E5125" s="148" t="s">
        <v>9302</v>
      </c>
      <c r="F5125" t="s">
        <v>9303</v>
      </c>
      <c r="G5125" s="376" t="s">
        <v>9304</v>
      </c>
      <c r="H5125" t="s">
        <v>9305</v>
      </c>
      <c r="I5125"/>
      <c r="J5125"/>
      <c r="K5125" s="148" t="s">
        <v>9326</v>
      </c>
      <c r="L5125" s="148" t="s">
        <v>9327</v>
      </c>
      <c r="M5125" s="1" t="s">
        <v>9328</v>
      </c>
      <c r="N5125" s="457">
        <v>0</v>
      </c>
      <c r="O5125" s="458">
        <v>435</v>
      </c>
      <c r="P5125" s="373">
        <v>435</v>
      </c>
      <c r="Q5125" s="374">
        <v>435</v>
      </c>
      <c r="R5125" s="373">
        <v>435</v>
      </c>
      <c r="S5125" s="374">
        <v>435</v>
      </c>
      <c r="T5125" t="s">
        <v>280</v>
      </c>
      <c r="U5125" t="str">
        <f>VLOOKUP(T5125,[8]Votes!$A$1:$E$234,3,FALSE)</f>
        <v>011 Ministry of Local Government</v>
      </c>
      <c r="V5125" t="s">
        <v>9329</v>
      </c>
      <c r="W5125" s="45">
        <v>1</v>
      </c>
      <c r="X5125" s="45">
        <v>1</v>
      </c>
      <c r="Y5125" s="45">
        <v>1</v>
      </c>
      <c r="Z5125" s="45">
        <v>1</v>
      </c>
      <c r="AA5125" s="45">
        <v>1</v>
      </c>
      <c r="AB5125" s="45">
        <v>1</v>
      </c>
      <c r="AC5125" s="150">
        <v>1</v>
      </c>
      <c r="AD5125" s="150">
        <v>0</v>
      </c>
      <c r="AE5125" s="49">
        <f t="shared" si="188"/>
        <v>0.875</v>
      </c>
      <c r="AF5125" s="276"/>
      <c r="AG5125" s="17">
        <v>0</v>
      </c>
      <c r="AH5125" s="276">
        <v>0</v>
      </c>
      <c r="AI5125" s="276">
        <v>2</v>
      </c>
      <c r="AJ5125" s="44">
        <v>2</v>
      </c>
      <c r="AK5125" s="158">
        <v>0</v>
      </c>
      <c r="AL5125" s="151">
        <v>0</v>
      </c>
      <c r="AM5125" s="147">
        <f t="shared" si="187"/>
        <v>0</v>
      </c>
      <c r="AN5125" t="s">
        <v>280</v>
      </c>
      <c r="AO5125" s="148" t="s">
        <v>1151</v>
      </c>
      <c r="AP5125" t="s">
        <v>9321</v>
      </c>
    </row>
    <row r="5126" spans="1:42" s="45" customFormat="1" ht="15" customHeight="1" x14ac:dyDescent="0.3">
      <c r="A5126" s="371" t="s">
        <v>8323</v>
      </c>
      <c r="B5126" t="s">
        <v>8324</v>
      </c>
      <c r="C5126" s="148" t="s">
        <v>9300</v>
      </c>
      <c r="D5126" t="s">
        <v>9301</v>
      </c>
      <c r="E5126" s="148" t="s">
        <v>9302</v>
      </c>
      <c r="F5126" t="s">
        <v>9303</v>
      </c>
      <c r="G5126" s="376" t="s">
        <v>9304</v>
      </c>
      <c r="H5126" t="s">
        <v>9305</v>
      </c>
      <c r="I5126"/>
      <c r="J5126"/>
      <c r="K5126" s="148" t="s">
        <v>9326</v>
      </c>
      <c r="L5126" s="148" t="s">
        <v>9327</v>
      </c>
      <c r="M5126" s="1" t="s">
        <v>9330</v>
      </c>
      <c r="N5126" s="457">
        <v>0</v>
      </c>
      <c r="O5126" s="458">
        <v>435</v>
      </c>
      <c r="P5126" s="373">
        <v>435</v>
      </c>
      <c r="Q5126" s="374">
        <v>435</v>
      </c>
      <c r="R5126" s="373">
        <v>435</v>
      </c>
      <c r="S5126" s="374">
        <v>435</v>
      </c>
      <c r="T5126" t="s">
        <v>280</v>
      </c>
      <c r="U5126" t="str">
        <f>VLOOKUP(T5126,[8]Votes!$A$1:$E$234,3,FALSE)</f>
        <v>011 Ministry of Local Government</v>
      </c>
      <c r="V5126" t="s">
        <v>9331</v>
      </c>
      <c r="W5126" s="45">
        <v>1</v>
      </c>
      <c r="X5126" s="45">
        <v>1</v>
      </c>
      <c r="Y5126" s="45">
        <v>1</v>
      </c>
      <c r="Z5126" s="45">
        <v>1</v>
      </c>
      <c r="AA5126" s="45">
        <v>1</v>
      </c>
      <c r="AB5126" s="45">
        <v>1</v>
      </c>
      <c r="AC5126" s="150">
        <v>1</v>
      </c>
      <c r="AD5126" s="150">
        <v>0</v>
      </c>
      <c r="AE5126" s="49">
        <f t="shared" si="188"/>
        <v>0.875</v>
      </c>
      <c r="AF5126" s="276"/>
      <c r="AG5126" s="17">
        <v>0</v>
      </c>
      <c r="AH5126" s="276">
        <v>0</v>
      </c>
      <c r="AI5126" s="276">
        <v>0.9</v>
      </c>
      <c r="AJ5126" s="44">
        <v>0.9</v>
      </c>
      <c r="AK5126" s="158">
        <v>0</v>
      </c>
      <c r="AL5126" s="151">
        <v>0</v>
      </c>
      <c r="AM5126" s="147">
        <f t="shared" si="187"/>
        <v>0</v>
      </c>
      <c r="AN5126" t="s">
        <v>280</v>
      </c>
      <c r="AO5126" s="148" t="s">
        <v>1151</v>
      </c>
      <c r="AP5126" t="s">
        <v>255</v>
      </c>
    </row>
    <row r="5127" spans="1:42" s="45" customFormat="1" x14ac:dyDescent="0.3">
      <c r="A5127" s="371" t="s">
        <v>8323</v>
      </c>
      <c r="B5127" t="s">
        <v>8324</v>
      </c>
      <c r="C5127" s="148" t="s">
        <v>9300</v>
      </c>
      <c r="D5127" t="s">
        <v>9301</v>
      </c>
      <c r="E5127" s="148" t="s">
        <v>9302</v>
      </c>
      <c r="F5127" t="s">
        <v>9303</v>
      </c>
      <c r="G5127" s="376" t="s">
        <v>9304</v>
      </c>
      <c r="H5127" t="s">
        <v>9305</v>
      </c>
      <c r="I5127"/>
      <c r="J5127"/>
      <c r="K5127" s="148" t="s">
        <v>9326</v>
      </c>
      <c r="L5127" s="148" t="s">
        <v>9327</v>
      </c>
      <c r="M5127" s="1" t="s">
        <v>9330</v>
      </c>
      <c r="N5127" s="457">
        <v>0</v>
      </c>
      <c r="O5127" s="458">
        <v>435</v>
      </c>
      <c r="P5127" s="373">
        <v>435</v>
      </c>
      <c r="Q5127" s="374">
        <v>435</v>
      </c>
      <c r="R5127" s="373">
        <v>435</v>
      </c>
      <c r="S5127" s="374">
        <v>435</v>
      </c>
      <c r="T5127" t="s">
        <v>280</v>
      </c>
      <c r="U5127" t="str">
        <f>VLOOKUP(T5127,[8]Votes!$A$1:$E$234,3,FALSE)</f>
        <v>011 Ministry of Local Government</v>
      </c>
      <c r="V5127" t="s">
        <v>9332</v>
      </c>
      <c r="W5127" s="45">
        <v>1</v>
      </c>
      <c r="X5127" s="45">
        <v>1</v>
      </c>
      <c r="Y5127" s="45">
        <v>1</v>
      </c>
      <c r="Z5127" s="45">
        <v>1</v>
      </c>
      <c r="AA5127" s="45">
        <v>0</v>
      </c>
      <c r="AB5127" s="45">
        <v>1</v>
      </c>
      <c r="AC5127" s="150">
        <v>1</v>
      </c>
      <c r="AD5127" s="150">
        <v>0</v>
      </c>
      <c r="AE5127" s="49">
        <f t="shared" si="188"/>
        <v>0.75</v>
      </c>
      <c r="AF5127" s="276"/>
      <c r="AG5127" s="17">
        <v>0</v>
      </c>
      <c r="AH5127" s="276">
        <v>0</v>
      </c>
      <c r="AI5127" s="276">
        <v>0</v>
      </c>
      <c r="AJ5127" s="44">
        <v>0</v>
      </c>
      <c r="AK5127" s="158">
        <v>0</v>
      </c>
      <c r="AL5127" s="151">
        <v>0</v>
      </c>
      <c r="AM5127" s="147">
        <f t="shared" si="187"/>
        <v>0</v>
      </c>
      <c r="AN5127" t="s">
        <v>280</v>
      </c>
      <c r="AO5127" s="148" t="s">
        <v>1151</v>
      </c>
      <c r="AP5127" t="s">
        <v>9333</v>
      </c>
    </row>
    <row r="5128" spans="1:42" s="45" customFormat="1" x14ac:dyDescent="0.3">
      <c r="A5128" s="371" t="s">
        <v>8323</v>
      </c>
      <c r="B5128" t="s">
        <v>8324</v>
      </c>
      <c r="C5128" s="148" t="s">
        <v>9300</v>
      </c>
      <c r="D5128" t="s">
        <v>9301</v>
      </c>
      <c r="E5128" s="148" t="s">
        <v>9302</v>
      </c>
      <c r="F5128" t="s">
        <v>9303</v>
      </c>
      <c r="G5128" s="376" t="s">
        <v>9304</v>
      </c>
      <c r="H5128" t="s">
        <v>9305</v>
      </c>
      <c r="I5128"/>
      <c r="J5128"/>
      <c r="K5128" s="148" t="s">
        <v>9334</v>
      </c>
      <c r="L5128" s="148" t="s">
        <v>9335</v>
      </c>
      <c r="M5128" s="1" t="s">
        <v>9336</v>
      </c>
      <c r="N5128" s="457">
        <v>0</v>
      </c>
      <c r="O5128" s="458">
        <v>87</v>
      </c>
      <c r="P5128" s="373">
        <v>87</v>
      </c>
      <c r="Q5128" s="374">
        <v>87</v>
      </c>
      <c r="R5128" s="373">
        <v>87</v>
      </c>
      <c r="S5128" s="374">
        <v>87</v>
      </c>
      <c r="T5128" t="s">
        <v>280</v>
      </c>
      <c r="U5128" t="str">
        <f>VLOOKUP(T5128,[8]Votes!$A$1:$E$234,3,FALSE)</f>
        <v>011 Ministry of Local Government</v>
      </c>
      <c r="V5128" t="s">
        <v>9337</v>
      </c>
      <c r="W5128" s="45">
        <v>1</v>
      </c>
      <c r="X5128" s="45">
        <v>1</v>
      </c>
      <c r="Y5128" s="45">
        <v>1</v>
      </c>
      <c r="Z5128" s="45">
        <v>1</v>
      </c>
      <c r="AA5128" s="45">
        <v>1</v>
      </c>
      <c r="AB5128" s="45">
        <v>1</v>
      </c>
      <c r="AC5128" s="150">
        <v>1</v>
      </c>
      <c r="AD5128" s="150">
        <v>0</v>
      </c>
      <c r="AE5128" s="49">
        <f t="shared" si="188"/>
        <v>0.875</v>
      </c>
      <c r="AF5128" s="276"/>
      <c r="AG5128" s="17">
        <v>0</v>
      </c>
      <c r="AH5128" s="276">
        <v>0</v>
      </c>
      <c r="AI5128" s="276">
        <v>2</v>
      </c>
      <c r="AJ5128" s="44">
        <v>2</v>
      </c>
      <c r="AK5128" s="158">
        <v>0</v>
      </c>
      <c r="AL5128" s="151">
        <v>0</v>
      </c>
      <c r="AM5128" s="147">
        <f t="shared" si="187"/>
        <v>0</v>
      </c>
      <c r="AN5128" t="s">
        <v>280</v>
      </c>
      <c r="AO5128" s="148" t="s">
        <v>1151</v>
      </c>
      <c r="AP5128" t="s">
        <v>9338</v>
      </c>
    </row>
    <row r="5129" spans="1:42" s="45" customFormat="1" x14ac:dyDescent="0.3">
      <c r="A5129" s="371" t="s">
        <v>8323</v>
      </c>
      <c r="B5129" t="s">
        <v>8324</v>
      </c>
      <c r="C5129" s="148" t="s">
        <v>9300</v>
      </c>
      <c r="D5129" t="s">
        <v>9301</v>
      </c>
      <c r="E5129" s="148" t="s">
        <v>9302</v>
      </c>
      <c r="F5129" t="s">
        <v>9303</v>
      </c>
      <c r="G5129" s="376" t="s">
        <v>9304</v>
      </c>
      <c r="H5129" t="s">
        <v>9305</v>
      </c>
      <c r="I5129"/>
      <c r="J5129"/>
      <c r="K5129" s="148" t="s">
        <v>9334</v>
      </c>
      <c r="L5129" s="148" t="s">
        <v>9335</v>
      </c>
      <c r="M5129" s="1" t="s">
        <v>9336</v>
      </c>
      <c r="N5129" s="457">
        <v>0</v>
      </c>
      <c r="O5129" s="458">
        <v>87</v>
      </c>
      <c r="P5129" s="373">
        <v>87</v>
      </c>
      <c r="Q5129" s="374">
        <v>87</v>
      </c>
      <c r="R5129" s="373">
        <v>87</v>
      </c>
      <c r="S5129" s="374">
        <v>87</v>
      </c>
      <c r="T5129" t="s">
        <v>280</v>
      </c>
      <c r="U5129" t="str">
        <f>VLOOKUP(T5129,[8]Votes!$A$1:$E$234,3,FALSE)</f>
        <v>011 Ministry of Local Government</v>
      </c>
      <c r="V5129" t="s">
        <v>9339</v>
      </c>
      <c r="W5129" s="45">
        <v>1</v>
      </c>
      <c r="X5129" s="45">
        <v>1</v>
      </c>
      <c r="Y5129" s="45">
        <v>1</v>
      </c>
      <c r="Z5129" s="45">
        <v>1</v>
      </c>
      <c r="AA5129" s="45">
        <v>1</v>
      </c>
      <c r="AB5129" s="45">
        <v>1</v>
      </c>
      <c r="AC5129" s="150">
        <v>0</v>
      </c>
      <c r="AD5129" s="150">
        <v>0</v>
      </c>
      <c r="AE5129" s="49">
        <f t="shared" si="188"/>
        <v>0.75</v>
      </c>
      <c r="AF5129" s="276"/>
      <c r="AG5129" s="17">
        <v>0</v>
      </c>
      <c r="AH5129" s="276">
        <v>0</v>
      </c>
      <c r="AI5129" s="276">
        <v>0.4</v>
      </c>
      <c r="AJ5129" s="44">
        <v>0.4</v>
      </c>
      <c r="AK5129" s="158">
        <v>0</v>
      </c>
      <c r="AL5129" s="151">
        <v>0</v>
      </c>
      <c r="AM5129" s="147">
        <f t="shared" si="187"/>
        <v>0</v>
      </c>
      <c r="AN5129" t="s">
        <v>280</v>
      </c>
      <c r="AO5129" s="148" t="s">
        <v>1151</v>
      </c>
      <c r="AP5129" t="s">
        <v>119</v>
      </c>
    </row>
    <row r="5130" spans="1:42" s="45" customFormat="1" x14ac:dyDescent="0.3">
      <c r="A5130" s="371" t="s">
        <v>8323</v>
      </c>
      <c r="B5130" t="s">
        <v>8324</v>
      </c>
      <c r="C5130" s="148" t="s">
        <v>9300</v>
      </c>
      <c r="D5130" t="s">
        <v>9301</v>
      </c>
      <c r="E5130" s="148" t="s">
        <v>9302</v>
      </c>
      <c r="F5130" t="s">
        <v>9303</v>
      </c>
      <c r="G5130" s="376" t="s">
        <v>9304</v>
      </c>
      <c r="H5130" t="s">
        <v>9305</v>
      </c>
      <c r="I5130"/>
      <c r="J5130"/>
      <c r="K5130" s="148" t="s">
        <v>9340</v>
      </c>
      <c r="L5130" s="148" t="s">
        <v>9341</v>
      </c>
      <c r="M5130" s="1" t="s">
        <v>9342</v>
      </c>
      <c r="N5130" s="457">
        <v>0</v>
      </c>
      <c r="O5130" s="458">
        <v>435</v>
      </c>
      <c r="P5130" s="373">
        <v>435</v>
      </c>
      <c r="Q5130" s="374">
        <v>435</v>
      </c>
      <c r="R5130" s="373">
        <v>435</v>
      </c>
      <c r="S5130" s="374">
        <v>435</v>
      </c>
      <c r="T5130" t="s">
        <v>280</v>
      </c>
      <c r="U5130" t="str">
        <f>VLOOKUP(T5130,[8]Votes!$A$1:$E$234,3,FALSE)</f>
        <v>011 Ministry of Local Government</v>
      </c>
      <c r="V5130" t="s">
        <v>9343</v>
      </c>
      <c r="W5130" s="45">
        <v>1</v>
      </c>
      <c r="X5130" s="45">
        <v>1</v>
      </c>
      <c r="Y5130" s="45">
        <v>1</v>
      </c>
      <c r="Z5130" s="45">
        <v>1</v>
      </c>
      <c r="AA5130" s="45">
        <v>1</v>
      </c>
      <c r="AB5130" s="45">
        <v>1</v>
      </c>
      <c r="AC5130" s="150">
        <v>1</v>
      </c>
      <c r="AD5130" s="150">
        <v>0</v>
      </c>
      <c r="AE5130" s="49">
        <f t="shared" si="188"/>
        <v>0.875</v>
      </c>
      <c r="AF5130" s="276"/>
      <c r="AG5130" s="17">
        <v>0</v>
      </c>
      <c r="AH5130" s="276">
        <v>0</v>
      </c>
      <c r="AI5130" s="276">
        <v>0</v>
      </c>
      <c r="AJ5130" s="44">
        <v>30</v>
      </c>
      <c r="AK5130" s="158">
        <v>0</v>
      </c>
      <c r="AL5130" s="151">
        <v>0</v>
      </c>
      <c r="AM5130" s="147">
        <f t="shared" si="187"/>
        <v>0</v>
      </c>
      <c r="AN5130" t="s">
        <v>280</v>
      </c>
      <c r="AO5130" s="148" t="s">
        <v>1151</v>
      </c>
      <c r="AP5130" t="s">
        <v>982</v>
      </c>
    </row>
    <row r="5131" spans="1:42" customFormat="1" x14ac:dyDescent="0.3">
      <c r="A5131" s="386" t="s">
        <v>8323</v>
      </c>
      <c r="B5131" t="s">
        <v>8324</v>
      </c>
      <c r="C5131" s="200" t="s">
        <v>13229</v>
      </c>
      <c r="D5131" t="s">
        <v>6838</v>
      </c>
      <c r="E5131" s="200" t="s">
        <v>13230</v>
      </c>
      <c r="F5131" t="s">
        <v>12811</v>
      </c>
      <c r="G5131" s="200" t="s">
        <v>13231</v>
      </c>
      <c r="H5131" t="s">
        <v>12812</v>
      </c>
      <c r="K5131" s="200" t="s">
        <v>13232</v>
      </c>
      <c r="L5131" t="s">
        <v>12754</v>
      </c>
      <c r="M5131" s="1"/>
      <c r="N5131" s="423"/>
      <c r="O5131" s="1"/>
      <c r="P5131" s="3"/>
      <c r="Q5131" s="3"/>
      <c r="R5131" s="3"/>
      <c r="S5131" s="3"/>
      <c r="V5131" t="s">
        <v>12755</v>
      </c>
      <c r="AF5131" s="64"/>
      <c r="AH5131" s="4"/>
      <c r="AI5131" s="4"/>
      <c r="AJ5131" s="4"/>
      <c r="AK5131" s="398"/>
      <c r="AL5131" s="398"/>
      <c r="AM5131" s="4"/>
    </row>
    <row r="5132" spans="1:42" customFormat="1" x14ac:dyDescent="0.3">
      <c r="A5132" s="386" t="s">
        <v>8323</v>
      </c>
      <c r="B5132" t="s">
        <v>8324</v>
      </c>
      <c r="C5132" s="200" t="s">
        <v>13229</v>
      </c>
      <c r="D5132" t="s">
        <v>6838</v>
      </c>
      <c r="E5132" s="200" t="s">
        <v>13230</v>
      </c>
      <c r="F5132" t="s">
        <v>12811</v>
      </c>
      <c r="G5132" s="200" t="s">
        <v>13231</v>
      </c>
      <c r="H5132" t="s">
        <v>12812</v>
      </c>
      <c r="K5132" s="200" t="s">
        <v>13233</v>
      </c>
      <c r="L5132" t="s">
        <v>12808</v>
      </c>
      <c r="M5132" s="1"/>
      <c r="N5132" s="423"/>
      <c r="O5132" s="1"/>
      <c r="P5132" s="3"/>
      <c r="Q5132" s="3"/>
      <c r="R5132" s="3"/>
      <c r="S5132" s="3"/>
      <c r="V5132" t="s">
        <v>12809</v>
      </c>
      <c r="AF5132" s="64"/>
      <c r="AH5132" s="4"/>
      <c r="AI5132" s="4"/>
      <c r="AJ5132" s="4"/>
      <c r="AK5132" s="398"/>
      <c r="AL5132" s="398"/>
      <c r="AM5132" s="4"/>
    </row>
    <row r="5133" spans="1:42" customFormat="1" x14ac:dyDescent="0.3">
      <c r="A5133" s="386" t="s">
        <v>8323</v>
      </c>
      <c r="B5133" t="s">
        <v>8324</v>
      </c>
      <c r="C5133" s="200" t="s">
        <v>13229</v>
      </c>
      <c r="D5133" t="s">
        <v>6838</v>
      </c>
      <c r="E5133" s="200" t="s">
        <v>13230</v>
      </c>
      <c r="F5133" t="s">
        <v>12811</v>
      </c>
      <c r="G5133" s="200" t="s">
        <v>13231</v>
      </c>
      <c r="H5133" t="s">
        <v>12812</v>
      </c>
      <c r="K5133" s="200" t="s">
        <v>13234</v>
      </c>
      <c r="L5133" t="s">
        <v>12756</v>
      </c>
      <c r="M5133" s="1" t="s">
        <v>5766</v>
      </c>
      <c r="N5133" s="423"/>
      <c r="O5133" s="1"/>
      <c r="P5133" s="3"/>
      <c r="Q5133" s="3"/>
      <c r="R5133" s="3"/>
      <c r="S5133" s="3"/>
      <c r="V5133" t="s">
        <v>12792</v>
      </c>
      <c r="AF5133" s="64"/>
      <c r="AH5133" s="4"/>
      <c r="AI5133" s="4"/>
      <c r="AJ5133" s="4"/>
      <c r="AK5133" s="46"/>
      <c r="AL5133" s="46"/>
      <c r="AM5133" s="4"/>
    </row>
    <row r="5134" spans="1:42" customFormat="1" x14ac:dyDescent="0.3">
      <c r="A5134" s="386" t="s">
        <v>8323</v>
      </c>
      <c r="B5134" t="s">
        <v>8324</v>
      </c>
      <c r="C5134" s="200" t="s">
        <v>13229</v>
      </c>
      <c r="D5134" t="s">
        <v>6838</v>
      </c>
      <c r="E5134" s="200" t="s">
        <v>13230</v>
      </c>
      <c r="F5134" t="s">
        <v>12811</v>
      </c>
      <c r="G5134" s="200" t="s">
        <v>13231</v>
      </c>
      <c r="H5134" t="s">
        <v>12812</v>
      </c>
      <c r="K5134" s="200" t="s">
        <v>13235</v>
      </c>
      <c r="L5134" t="s">
        <v>12757</v>
      </c>
      <c r="M5134" s="1" t="s">
        <v>12758</v>
      </c>
      <c r="N5134" s="423"/>
      <c r="O5134" s="1"/>
      <c r="P5134" s="3"/>
      <c r="Q5134" s="3"/>
      <c r="R5134" s="3"/>
      <c r="S5134" s="3"/>
      <c r="V5134" t="s">
        <v>12793</v>
      </c>
      <c r="AF5134" s="64"/>
      <c r="AH5134" s="4"/>
      <c r="AI5134" s="4"/>
      <c r="AJ5134" s="4"/>
      <c r="AK5134" s="46"/>
      <c r="AL5134" s="46"/>
      <c r="AM5134" s="4"/>
    </row>
    <row r="5135" spans="1:42" customFormat="1" x14ac:dyDescent="0.3">
      <c r="A5135" s="386" t="s">
        <v>8323</v>
      </c>
      <c r="B5135" t="s">
        <v>8324</v>
      </c>
      <c r="C5135" s="200" t="s">
        <v>13229</v>
      </c>
      <c r="D5135" t="s">
        <v>6838</v>
      </c>
      <c r="E5135" s="200" t="s">
        <v>13230</v>
      </c>
      <c r="F5135" t="s">
        <v>12811</v>
      </c>
      <c r="G5135" s="200" t="s">
        <v>13231</v>
      </c>
      <c r="H5135" t="s">
        <v>12812</v>
      </c>
      <c r="K5135" s="200" t="s">
        <v>13236</v>
      </c>
      <c r="L5135" t="s">
        <v>12759</v>
      </c>
      <c r="M5135" s="1" t="s">
        <v>12760</v>
      </c>
      <c r="N5135" s="423"/>
      <c r="O5135" s="1"/>
      <c r="P5135" s="3"/>
      <c r="Q5135" s="3"/>
      <c r="R5135" s="3"/>
      <c r="S5135" s="3"/>
      <c r="V5135" t="s">
        <v>12794</v>
      </c>
      <c r="AF5135" s="64"/>
      <c r="AH5135" s="4"/>
      <c r="AI5135" s="4"/>
      <c r="AJ5135" s="4"/>
      <c r="AK5135" s="46"/>
      <c r="AL5135" s="46"/>
      <c r="AM5135" s="4"/>
    </row>
    <row r="5136" spans="1:42" customFormat="1" x14ac:dyDescent="0.3">
      <c r="A5136" s="386" t="s">
        <v>8323</v>
      </c>
      <c r="B5136" t="s">
        <v>8324</v>
      </c>
      <c r="C5136" s="200" t="s">
        <v>13229</v>
      </c>
      <c r="D5136" t="s">
        <v>6838</v>
      </c>
      <c r="E5136" s="200" t="s">
        <v>13230</v>
      </c>
      <c r="F5136" t="s">
        <v>12811</v>
      </c>
      <c r="G5136" s="200" t="s">
        <v>13231</v>
      </c>
      <c r="H5136" t="s">
        <v>12812</v>
      </c>
      <c r="K5136" s="200" t="s">
        <v>13237</v>
      </c>
      <c r="L5136" t="s">
        <v>12761</v>
      </c>
      <c r="M5136" s="1" t="s">
        <v>12762</v>
      </c>
      <c r="N5136" s="423"/>
      <c r="O5136" s="1"/>
      <c r="P5136" s="3"/>
      <c r="Q5136" s="3"/>
      <c r="R5136" s="3"/>
      <c r="S5136" s="3"/>
      <c r="V5136" t="s">
        <v>5782</v>
      </c>
      <c r="AF5136" s="64"/>
      <c r="AH5136" s="4"/>
      <c r="AI5136" s="4"/>
      <c r="AJ5136" s="4"/>
      <c r="AK5136" s="46"/>
      <c r="AL5136" s="46"/>
      <c r="AM5136" s="4"/>
    </row>
    <row r="5137" spans="1:39" customFormat="1" x14ac:dyDescent="0.3">
      <c r="A5137" s="386" t="s">
        <v>8323</v>
      </c>
      <c r="B5137" t="s">
        <v>8324</v>
      </c>
      <c r="C5137" s="200" t="s">
        <v>13229</v>
      </c>
      <c r="D5137" t="s">
        <v>6838</v>
      </c>
      <c r="E5137" s="200" t="s">
        <v>13230</v>
      </c>
      <c r="F5137" t="s">
        <v>12811</v>
      </c>
      <c r="G5137" s="200" t="s">
        <v>13231</v>
      </c>
      <c r="H5137" t="s">
        <v>12812</v>
      </c>
      <c r="K5137" s="200" t="s">
        <v>13238</v>
      </c>
      <c r="L5137" t="s">
        <v>12763</v>
      </c>
      <c r="M5137" s="1" t="s">
        <v>12764</v>
      </c>
      <c r="N5137" s="423"/>
      <c r="O5137" s="1"/>
      <c r="P5137" s="3"/>
      <c r="Q5137" s="3"/>
      <c r="R5137" s="3"/>
      <c r="S5137" s="3"/>
      <c r="V5137" t="s">
        <v>5783</v>
      </c>
      <c r="AF5137" s="64"/>
      <c r="AH5137" s="4"/>
      <c r="AI5137" s="4"/>
      <c r="AJ5137" s="4"/>
      <c r="AK5137" s="46"/>
      <c r="AL5137" s="46"/>
      <c r="AM5137" s="4"/>
    </row>
    <row r="5138" spans="1:39" customFormat="1" x14ac:dyDescent="0.3">
      <c r="A5138" s="386" t="s">
        <v>8323</v>
      </c>
      <c r="B5138" t="s">
        <v>8324</v>
      </c>
      <c r="C5138" s="200" t="s">
        <v>13229</v>
      </c>
      <c r="D5138" t="s">
        <v>6838</v>
      </c>
      <c r="E5138" s="200" t="s">
        <v>13230</v>
      </c>
      <c r="F5138" t="s">
        <v>12811</v>
      </c>
      <c r="G5138" s="200" t="s">
        <v>13231</v>
      </c>
      <c r="H5138" t="s">
        <v>12812</v>
      </c>
      <c r="K5138" s="200" t="s">
        <v>13239</v>
      </c>
      <c r="L5138" t="s">
        <v>12765</v>
      </c>
      <c r="M5138" s="1" t="s">
        <v>12766</v>
      </c>
      <c r="N5138" s="423"/>
      <c r="O5138" s="1"/>
      <c r="P5138" s="3"/>
      <c r="Q5138" s="3"/>
      <c r="R5138" s="3"/>
      <c r="S5138" s="3"/>
      <c r="V5138" t="s">
        <v>12795</v>
      </c>
      <c r="AF5138" s="64"/>
      <c r="AH5138" s="4"/>
      <c r="AI5138" s="4"/>
      <c r="AJ5138" s="4"/>
      <c r="AK5138" s="46"/>
      <c r="AL5138" s="46"/>
      <c r="AM5138" s="4"/>
    </row>
    <row r="5139" spans="1:39" customFormat="1" x14ac:dyDescent="0.3">
      <c r="A5139" s="386" t="s">
        <v>8323</v>
      </c>
      <c r="B5139" t="s">
        <v>8324</v>
      </c>
      <c r="C5139" s="200" t="s">
        <v>13229</v>
      </c>
      <c r="D5139" t="s">
        <v>6838</v>
      </c>
      <c r="E5139" s="200" t="s">
        <v>13230</v>
      </c>
      <c r="F5139" t="s">
        <v>12811</v>
      </c>
      <c r="G5139" s="200" t="s">
        <v>13231</v>
      </c>
      <c r="H5139" t="s">
        <v>12812</v>
      </c>
      <c r="K5139" s="200" t="s">
        <v>13240</v>
      </c>
      <c r="L5139" t="s">
        <v>12767</v>
      </c>
      <c r="M5139" s="1" t="s">
        <v>12768</v>
      </c>
      <c r="N5139" s="423"/>
      <c r="O5139" s="1"/>
      <c r="P5139" s="3"/>
      <c r="Q5139" s="3"/>
      <c r="R5139" s="3"/>
      <c r="S5139" s="3"/>
      <c r="V5139" t="s">
        <v>12796</v>
      </c>
      <c r="AF5139" s="64"/>
      <c r="AH5139" s="4"/>
      <c r="AI5139" s="4"/>
      <c r="AJ5139" s="4"/>
      <c r="AK5139" s="46"/>
      <c r="AL5139" s="46"/>
      <c r="AM5139" s="4"/>
    </row>
    <row r="5140" spans="1:39" customFormat="1" x14ac:dyDescent="0.3">
      <c r="A5140" s="386" t="s">
        <v>8323</v>
      </c>
      <c r="B5140" t="s">
        <v>8324</v>
      </c>
      <c r="C5140" s="200" t="s">
        <v>13229</v>
      </c>
      <c r="D5140" t="s">
        <v>6838</v>
      </c>
      <c r="E5140" s="200" t="s">
        <v>13230</v>
      </c>
      <c r="F5140" t="s">
        <v>12811</v>
      </c>
      <c r="G5140" s="200" t="s">
        <v>13231</v>
      </c>
      <c r="H5140" t="s">
        <v>12812</v>
      </c>
      <c r="K5140" s="200" t="s">
        <v>13241</v>
      </c>
      <c r="L5140" t="s">
        <v>12769</v>
      </c>
      <c r="M5140" s="1" t="s">
        <v>12770</v>
      </c>
      <c r="N5140" s="423"/>
      <c r="O5140" s="1"/>
      <c r="P5140" s="3"/>
      <c r="Q5140" s="3"/>
      <c r="R5140" s="3"/>
      <c r="S5140" s="3"/>
      <c r="V5140" t="s">
        <v>5786</v>
      </c>
      <c r="AF5140" s="64"/>
      <c r="AH5140" s="4"/>
      <c r="AI5140" s="4"/>
      <c r="AJ5140" s="4"/>
      <c r="AK5140" s="46"/>
      <c r="AL5140" s="46"/>
      <c r="AM5140" s="4"/>
    </row>
    <row r="5141" spans="1:39" customFormat="1" x14ac:dyDescent="0.3">
      <c r="A5141" s="386" t="s">
        <v>8323</v>
      </c>
      <c r="B5141" t="s">
        <v>8324</v>
      </c>
      <c r="C5141" s="200" t="s">
        <v>13229</v>
      </c>
      <c r="D5141" t="s">
        <v>6838</v>
      </c>
      <c r="E5141" s="200" t="s">
        <v>13230</v>
      </c>
      <c r="F5141" t="s">
        <v>12811</v>
      </c>
      <c r="G5141" s="200" t="s">
        <v>13231</v>
      </c>
      <c r="H5141" t="s">
        <v>12812</v>
      </c>
      <c r="K5141" s="200" t="s">
        <v>13242</v>
      </c>
      <c r="L5141" t="s">
        <v>12771</v>
      </c>
      <c r="M5141" s="1" t="s">
        <v>12772</v>
      </c>
      <c r="N5141" s="423"/>
      <c r="O5141" s="1"/>
      <c r="P5141" s="3"/>
      <c r="Q5141" s="3"/>
      <c r="R5141" s="3"/>
      <c r="S5141" s="3"/>
      <c r="V5141" t="s">
        <v>12800</v>
      </c>
      <c r="AF5141" s="64"/>
      <c r="AH5141" s="4"/>
      <c r="AI5141" s="4"/>
      <c r="AJ5141" s="4"/>
      <c r="AK5141" s="46"/>
      <c r="AL5141" s="46"/>
      <c r="AM5141" s="4"/>
    </row>
    <row r="5142" spans="1:39" customFormat="1" x14ac:dyDescent="0.3">
      <c r="A5142" s="386" t="s">
        <v>8323</v>
      </c>
      <c r="B5142" t="s">
        <v>8324</v>
      </c>
      <c r="C5142" s="200" t="s">
        <v>13229</v>
      </c>
      <c r="D5142" t="s">
        <v>6838</v>
      </c>
      <c r="E5142" s="200" t="s">
        <v>13230</v>
      </c>
      <c r="F5142" t="s">
        <v>12811</v>
      </c>
      <c r="G5142" s="200" t="s">
        <v>13231</v>
      </c>
      <c r="H5142" t="s">
        <v>12812</v>
      </c>
      <c r="K5142" s="200" t="s">
        <v>13243</v>
      </c>
      <c r="L5142" t="s">
        <v>12773</v>
      </c>
      <c r="M5142" s="1" t="s">
        <v>12774</v>
      </c>
      <c r="N5142" s="423"/>
      <c r="O5142" s="1"/>
      <c r="P5142" s="3"/>
      <c r="Q5142" s="3"/>
      <c r="R5142" s="3"/>
      <c r="S5142" s="3"/>
      <c r="V5142" t="s">
        <v>12797</v>
      </c>
      <c r="AF5142" s="64"/>
      <c r="AH5142" s="4"/>
      <c r="AI5142" s="4"/>
      <c r="AJ5142" s="4"/>
      <c r="AK5142" s="46"/>
      <c r="AL5142" s="46"/>
      <c r="AM5142" s="4"/>
    </row>
    <row r="5143" spans="1:39" customFormat="1" x14ac:dyDescent="0.3">
      <c r="A5143" s="386" t="s">
        <v>8323</v>
      </c>
      <c r="B5143" t="s">
        <v>8324</v>
      </c>
      <c r="C5143" s="200" t="s">
        <v>13229</v>
      </c>
      <c r="D5143" t="s">
        <v>6838</v>
      </c>
      <c r="E5143" s="200" t="s">
        <v>13230</v>
      </c>
      <c r="F5143" t="s">
        <v>12811</v>
      </c>
      <c r="G5143" s="200" t="s">
        <v>13231</v>
      </c>
      <c r="H5143" t="s">
        <v>12812</v>
      </c>
      <c r="K5143" s="200" t="s">
        <v>13244</v>
      </c>
      <c r="L5143" t="s">
        <v>12775</v>
      </c>
      <c r="M5143" s="1" t="s">
        <v>12776</v>
      </c>
      <c r="N5143" s="423"/>
      <c r="O5143" s="1"/>
      <c r="P5143" s="3"/>
      <c r="Q5143" s="3"/>
      <c r="R5143" s="3"/>
      <c r="S5143" s="3"/>
      <c r="V5143" t="s">
        <v>12798</v>
      </c>
      <c r="AF5143" s="64"/>
      <c r="AH5143" s="4"/>
      <c r="AI5143" s="4"/>
      <c r="AJ5143" s="4"/>
      <c r="AK5143" s="46"/>
      <c r="AL5143" s="46"/>
      <c r="AM5143" s="4"/>
    </row>
    <row r="5144" spans="1:39" customFormat="1" x14ac:dyDescent="0.3">
      <c r="A5144" s="386" t="s">
        <v>8323</v>
      </c>
      <c r="B5144" t="s">
        <v>8324</v>
      </c>
      <c r="C5144" s="200" t="s">
        <v>13229</v>
      </c>
      <c r="D5144" t="s">
        <v>6838</v>
      </c>
      <c r="E5144" s="200" t="s">
        <v>13230</v>
      </c>
      <c r="F5144" t="s">
        <v>12811</v>
      </c>
      <c r="G5144" s="200" t="s">
        <v>13231</v>
      </c>
      <c r="H5144" t="s">
        <v>12812</v>
      </c>
      <c r="K5144" s="200" t="s">
        <v>13245</v>
      </c>
      <c r="L5144" t="s">
        <v>12777</v>
      </c>
      <c r="M5144" s="1" t="s">
        <v>12778</v>
      </c>
      <c r="N5144" s="423"/>
      <c r="O5144" s="1"/>
      <c r="P5144" s="3"/>
      <c r="Q5144" s="3"/>
      <c r="R5144" s="3"/>
      <c r="S5144" s="3"/>
      <c r="V5144" t="s">
        <v>5789</v>
      </c>
      <c r="AF5144" s="64"/>
      <c r="AH5144" s="4"/>
      <c r="AI5144" s="4"/>
      <c r="AJ5144" s="4"/>
      <c r="AK5144" s="46"/>
      <c r="AL5144" s="46"/>
      <c r="AM5144" s="4"/>
    </row>
    <row r="5145" spans="1:39" customFormat="1" x14ac:dyDescent="0.3">
      <c r="A5145" s="386" t="s">
        <v>8323</v>
      </c>
      <c r="B5145" t="s">
        <v>8324</v>
      </c>
      <c r="C5145" s="200" t="s">
        <v>13229</v>
      </c>
      <c r="D5145" t="s">
        <v>6838</v>
      </c>
      <c r="E5145" s="200" t="s">
        <v>13230</v>
      </c>
      <c r="F5145" t="s">
        <v>12811</v>
      </c>
      <c r="G5145" s="200" t="s">
        <v>13231</v>
      </c>
      <c r="H5145" t="s">
        <v>12812</v>
      </c>
      <c r="K5145" s="200" t="s">
        <v>13246</v>
      </c>
      <c r="L5145" t="s">
        <v>12779</v>
      </c>
      <c r="M5145" s="1" t="s">
        <v>12780</v>
      </c>
      <c r="N5145" s="423"/>
      <c r="O5145" s="1"/>
      <c r="P5145" s="3"/>
      <c r="Q5145" s="3"/>
      <c r="R5145" s="3"/>
      <c r="S5145" s="3"/>
      <c r="V5145" t="s">
        <v>12799</v>
      </c>
      <c r="AF5145" s="64"/>
      <c r="AH5145" s="4"/>
      <c r="AI5145" s="4"/>
      <c r="AJ5145" s="4"/>
      <c r="AK5145" s="46"/>
      <c r="AL5145" s="46"/>
      <c r="AM5145" s="4"/>
    </row>
    <row r="5146" spans="1:39" customFormat="1" x14ac:dyDescent="0.3">
      <c r="A5146" s="386" t="s">
        <v>8323</v>
      </c>
      <c r="B5146" t="s">
        <v>8324</v>
      </c>
      <c r="C5146" s="200" t="s">
        <v>13229</v>
      </c>
      <c r="D5146" t="s">
        <v>6838</v>
      </c>
      <c r="E5146" s="200" t="s">
        <v>13230</v>
      </c>
      <c r="F5146" t="s">
        <v>12811</v>
      </c>
      <c r="G5146" s="200" t="s">
        <v>13231</v>
      </c>
      <c r="H5146" t="s">
        <v>12812</v>
      </c>
      <c r="K5146" s="200" t="s">
        <v>13247</v>
      </c>
      <c r="L5146" t="s">
        <v>12806</v>
      </c>
      <c r="M5146" s="1" t="s">
        <v>12781</v>
      </c>
      <c r="N5146" s="423"/>
      <c r="O5146" s="1"/>
      <c r="P5146" s="3"/>
      <c r="Q5146" s="3"/>
      <c r="R5146" s="3"/>
      <c r="S5146" s="3"/>
      <c r="V5146" t="s">
        <v>12805</v>
      </c>
      <c r="AF5146" s="64"/>
      <c r="AH5146" s="4"/>
      <c r="AI5146" s="4"/>
      <c r="AJ5146" s="4"/>
      <c r="AK5146" s="46"/>
      <c r="AL5146" s="46"/>
      <c r="AM5146" s="4"/>
    </row>
    <row r="5147" spans="1:39" customFormat="1" x14ac:dyDescent="0.3">
      <c r="A5147" s="386" t="s">
        <v>8323</v>
      </c>
      <c r="B5147" t="s">
        <v>8324</v>
      </c>
      <c r="C5147" s="200" t="s">
        <v>13229</v>
      </c>
      <c r="D5147" t="s">
        <v>6838</v>
      </c>
      <c r="E5147" s="200" t="s">
        <v>13230</v>
      </c>
      <c r="F5147" t="s">
        <v>12811</v>
      </c>
      <c r="G5147" s="200" t="s">
        <v>13231</v>
      </c>
      <c r="H5147" t="s">
        <v>12812</v>
      </c>
      <c r="K5147" s="200" t="s">
        <v>13248</v>
      </c>
      <c r="L5147" t="s">
        <v>12782</v>
      </c>
      <c r="M5147" s="1"/>
      <c r="N5147" s="423"/>
      <c r="O5147" s="1"/>
      <c r="P5147" s="3"/>
      <c r="Q5147" s="3"/>
      <c r="R5147" s="3"/>
      <c r="S5147" s="3"/>
      <c r="V5147" t="s">
        <v>12782</v>
      </c>
      <c r="AF5147" s="64"/>
      <c r="AH5147" s="4"/>
      <c r="AI5147" s="4"/>
      <c r="AJ5147" s="4"/>
      <c r="AK5147" s="46"/>
      <c r="AL5147" s="46"/>
      <c r="AM5147" s="4"/>
    </row>
    <row r="5148" spans="1:39" customFormat="1" x14ac:dyDescent="0.3">
      <c r="A5148" s="386" t="s">
        <v>8323</v>
      </c>
      <c r="B5148" t="s">
        <v>8324</v>
      </c>
      <c r="C5148" s="200" t="s">
        <v>13229</v>
      </c>
      <c r="D5148" t="s">
        <v>6838</v>
      </c>
      <c r="E5148" s="200" t="s">
        <v>13230</v>
      </c>
      <c r="F5148" t="s">
        <v>12811</v>
      </c>
      <c r="G5148" s="200" t="s">
        <v>13231</v>
      </c>
      <c r="H5148" t="s">
        <v>12812</v>
      </c>
      <c r="K5148" s="200" t="s">
        <v>13232</v>
      </c>
      <c r="L5148" t="s">
        <v>12783</v>
      </c>
      <c r="M5148" s="1" t="s">
        <v>12784</v>
      </c>
      <c r="N5148" s="423"/>
      <c r="O5148" s="1"/>
      <c r="P5148" s="3"/>
      <c r="Q5148" s="3"/>
      <c r="R5148" s="3"/>
      <c r="S5148" s="3"/>
      <c r="V5148" t="s">
        <v>12783</v>
      </c>
      <c r="AF5148" s="64"/>
      <c r="AH5148" s="4"/>
      <c r="AI5148" s="4"/>
      <c r="AJ5148" s="4"/>
      <c r="AK5148" s="46"/>
      <c r="AL5148" s="46"/>
      <c r="AM5148" s="4"/>
    </row>
    <row r="5149" spans="1:39" customFormat="1" x14ac:dyDescent="0.3">
      <c r="A5149" s="386" t="s">
        <v>8323</v>
      </c>
      <c r="B5149" t="s">
        <v>8324</v>
      </c>
      <c r="C5149" s="200" t="s">
        <v>13229</v>
      </c>
      <c r="D5149" t="s">
        <v>6838</v>
      </c>
      <c r="E5149" s="200" t="s">
        <v>13230</v>
      </c>
      <c r="F5149" t="s">
        <v>12811</v>
      </c>
      <c r="G5149" s="200" t="s">
        <v>13231</v>
      </c>
      <c r="H5149" t="s">
        <v>12812</v>
      </c>
      <c r="K5149" s="200" t="s">
        <v>13232</v>
      </c>
      <c r="L5149" t="s">
        <v>12785</v>
      </c>
      <c r="M5149" s="1" t="s">
        <v>12786</v>
      </c>
      <c r="N5149" s="423"/>
      <c r="O5149" s="1"/>
      <c r="P5149" s="3"/>
      <c r="Q5149" s="3"/>
      <c r="R5149" s="3"/>
      <c r="S5149" s="3"/>
      <c r="V5149" t="s">
        <v>12801</v>
      </c>
      <c r="AF5149" s="64"/>
      <c r="AH5149" s="4"/>
      <c r="AI5149" s="4"/>
      <c r="AJ5149" s="4"/>
      <c r="AK5149" s="46"/>
      <c r="AL5149" s="46"/>
      <c r="AM5149" s="4"/>
    </row>
    <row r="5150" spans="1:39" customFormat="1" x14ac:dyDescent="0.3">
      <c r="A5150" s="386" t="s">
        <v>8323</v>
      </c>
      <c r="B5150" t="s">
        <v>8324</v>
      </c>
      <c r="C5150" s="200" t="s">
        <v>13229</v>
      </c>
      <c r="D5150" t="s">
        <v>6838</v>
      </c>
      <c r="E5150" s="200" t="s">
        <v>13230</v>
      </c>
      <c r="F5150" t="s">
        <v>12811</v>
      </c>
      <c r="G5150" s="200" t="s">
        <v>13231</v>
      </c>
      <c r="H5150" t="s">
        <v>12812</v>
      </c>
      <c r="K5150" s="200" t="s">
        <v>13249</v>
      </c>
      <c r="L5150" t="s">
        <v>12787</v>
      </c>
      <c r="M5150" s="1" t="s">
        <v>12788</v>
      </c>
      <c r="N5150" s="423"/>
      <c r="O5150" s="1"/>
      <c r="P5150" s="3"/>
      <c r="Q5150" s="3"/>
      <c r="R5150" s="3"/>
      <c r="S5150" s="3"/>
      <c r="V5150" t="s">
        <v>12802</v>
      </c>
      <c r="AF5150" s="64"/>
      <c r="AH5150" s="4"/>
      <c r="AI5150" s="4"/>
      <c r="AJ5150" s="4"/>
      <c r="AK5150" s="46"/>
      <c r="AL5150" s="46"/>
      <c r="AM5150" s="4"/>
    </row>
    <row r="5151" spans="1:39" customFormat="1" x14ac:dyDescent="0.3">
      <c r="A5151" s="386" t="s">
        <v>8323</v>
      </c>
      <c r="B5151" t="s">
        <v>8324</v>
      </c>
      <c r="C5151" s="200" t="s">
        <v>13229</v>
      </c>
      <c r="D5151" t="s">
        <v>6838</v>
      </c>
      <c r="E5151" s="200" t="s">
        <v>13230</v>
      </c>
      <c r="F5151" t="s">
        <v>12811</v>
      </c>
      <c r="G5151" s="200" t="s">
        <v>13231</v>
      </c>
      <c r="H5151" t="s">
        <v>12812</v>
      </c>
      <c r="K5151" s="200" t="s">
        <v>13250</v>
      </c>
      <c r="L5151" t="s">
        <v>12789</v>
      </c>
      <c r="M5151" s="1" t="s">
        <v>12790</v>
      </c>
      <c r="N5151" s="423"/>
      <c r="O5151" s="1"/>
      <c r="P5151" s="3"/>
      <c r="Q5151" s="3"/>
      <c r="R5151" s="3"/>
      <c r="S5151" s="3"/>
      <c r="V5151" t="s">
        <v>12803</v>
      </c>
      <c r="AF5151" s="64"/>
      <c r="AH5151" s="4"/>
      <c r="AI5151" s="4"/>
      <c r="AJ5151" s="4"/>
      <c r="AK5151" s="46"/>
      <c r="AL5151" s="46"/>
      <c r="AM5151" s="4"/>
    </row>
    <row r="5152" spans="1:39" customFormat="1" x14ac:dyDescent="0.3">
      <c r="A5152" s="386" t="s">
        <v>8323</v>
      </c>
      <c r="B5152" t="s">
        <v>8324</v>
      </c>
      <c r="C5152" s="200" t="s">
        <v>13229</v>
      </c>
      <c r="D5152" t="s">
        <v>6838</v>
      </c>
      <c r="E5152" s="200" t="s">
        <v>13230</v>
      </c>
      <c r="F5152" t="s">
        <v>12811</v>
      </c>
      <c r="G5152" s="200" t="s">
        <v>13231</v>
      </c>
      <c r="H5152" t="s">
        <v>12812</v>
      </c>
      <c r="K5152" s="200" t="s">
        <v>13251</v>
      </c>
      <c r="L5152" t="s">
        <v>12791</v>
      </c>
      <c r="M5152" s="1" t="s">
        <v>12807</v>
      </c>
      <c r="N5152" s="423"/>
      <c r="O5152" s="1"/>
      <c r="P5152" s="3"/>
      <c r="Q5152" s="3"/>
      <c r="R5152" s="3"/>
      <c r="S5152" s="3"/>
      <c r="V5152" t="s">
        <v>12804</v>
      </c>
      <c r="AF5152" s="64"/>
      <c r="AH5152" s="4"/>
      <c r="AI5152" s="4"/>
      <c r="AJ5152" s="4"/>
      <c r="AK5152" s="46"/>
      <c r="AL5152" s="46"/>
      <c r="AM5152" s="4"/>
    </row>
    <row r="5153" spans="1:42" s="53" customFormat="1" ht="15" customHeight="1" x14ac:dyDescent="0.3">
      <c r="A5153" s="50" t="s">
        <v>7397</v>
      </c>
      <c r="B5153" s="51" t="s">
        <v>7398</v>
      </c>
      <c r="C5153" s="50" t="s">
        <v>7399</v>
      </c>
      <c r="D5153" s="51" t="s">
        <v>1491</v>
      </c>
      <c r="E5153" s="50" t="s">
        <v>7399</v>
      </c>
      <c r="F5153" s="51" t="s">
        <v>1493</v>
      </c>
      <c r="G5153" s="50" t="s">
        <v>7399</v>
      </c>
      <c r="H5153" s="51" t="s">
        <v>1491</v>
      </c>
      <c r="I5153" s="51"/>
      <c r="J5153" s="51"/>
      <c r="K5153" s="50" t="s">
        <v>7399</v>
      </c>
      <c r="L5153" s="51" t="s">
        <v>1491</v>
      </c>
      <c r="M5153" s="420" t="s">
        <v>271</v>
      </c>
      <c r="N5153" s="420" t="s">
        <v>271</v>
      </c>
      <c r="O5153" s="420" t="s">
        <v>271</v>
      </c>
      <c r="P5153" s="60" t="s">
        <v>271</v>
      </c>
      <c r="Q5153" s="60" t="s">
        <v>271</v>
      </c>
      <c r="R5153" s="60" t="s">
        <v>271</v>
      </c>
      <c r="S5153" s="60" t="s">
        <v>271</v>
      </c>
      <c r="T5153" s="60" t="s">
        <v>271</v>
      </c>
      <c r="U5153" s="60" t="s">
        <v>271</v>
      </c>
      <c r="V5153" s="51" t="s">
        <v>1489</v>
      </c>
      <c r="W5153" s="54"/>
      <c r="X5153" s="54"/>
      <c r="Y5153" s="54"/>
      <c r="Z5153" s="54"/>
      <c r="AA5153" s="54"/>
      <c r="AB5153" s="54"/>
      <c r="AC5153" s="54"/>
      <c r="AD5153" s="54"/>
      <c r="AE5153" s="55"/>
      <c r="AF5153" s="56"/>
      <c r="AG5153" s="55"/>
      <c r="AH5153" s="56"/>
      <c r="AI5153" s="56"/>
      <c r="AJ5153" s="56"/>
      <c r="AK5153" s="57">
        <v>260</v>
      </c>
      <c r="AL5153" s="57">
        <v>260</v>
      </c>
      <c r="AM5153" s="147">
        <f t="shared" ref="AM5153:AM5216" si="189">SUM(AK5153:AL5153)</f>
        <v>520</v>
      </c>
      <c r="AN5153" s="52"/>
      <c r="AO5153" s="52"/>
      <c r="AP5153" s="51"/>
    </row>
    <row r="5154" spans="1:42" s="53" customFormat="1" ht="15" customHeight="1" x14ac:dyDescent="0.3">
      <c r="A5154" s="50" t="s">
        <v>7397</v>
      </c>
      <c r="B5154" s="51" t="s">
        <v>7398</v>
      </c>
      <c r="C5154" s="50" t="s">
        <v>7399</v>
      </c>
      <c r="D5154" s="51" t="s">
        <v>1491</v>
      </c>
      <c r="E5154" s="50" t="s">
        <v>7399</v>
      </c>
      <c r="F5154" s="51" t="s">
        <v>1493</v>
      </c>
      <c r="G5154" s="50" t="s">
        <v>7399</v>
      </c>
      <c r="H5154" s="51" t="s">
        <v>1491</v>
      </c>
      <c r="I5154" s="51"/>
      <c r="J5154" s="51"/>
      <c r="K5154" s="50" t="s">
        <v>7399</v>
      </c>
      <c r="L5154" s="51" t="s">
        <v>1491</v>
      </c>
      <c r="M5154" s="420" t="s">
        <v>271</v>
      </c>
      <c r="N5154" s="420" t="s">
        <v>271</v>
      </c>
      <c r="O5154" s="420" t="s">
        <v>271</v>
      </c>
      <c r="P5154" s="60" t="s">
        <v>271</v>
      </c>
      <c r="Q5154" s="60" t="s">
        <v>271</v>
      </c>
      <c r="R5154" s="60" t="s">
        <v>271</v>
      </c>
      <c r="S5154" s="60" t="s">
        <v>271</v>
      </c>
      <c r="T5154" s="60" t="s">
        <v>271</v>
      </c>
      <c r="U5154" s="60" t="s">
        <v>271</v>
      </c>
      <c r="V5154" s="51" t="s">
        <v>1490</v>
      </c>
      <c r="W5154" s="54"/>
      <c r="X5154" s="54"/>
      <c r="Y5154" s="54"/>
      <c r="Z5154" s="54"/>
      <c r="AA5154" s="54"/>
      <c r="AB5154" s="54"/>
      <c r="AC5154" s="54"/>
      <c r="AD5154" s="54"/>
      <c r="AE5154" s="55"/>
      <c r="AF5154" s="56"/>
      <c r="AG5154" s="55"/>
      <c r="AH5154" s="56"/>
      <c r="AI5154" s="56"/>
      <c r="AJ5154" s="56"/>
      <c r="AK5154" s="57">
        <v>79</v>
      </c>
      <c r="AL5154" s="57">
        <v>79</v>
      </c>
      <c r="AM5154" s="147">
        <f t="shared" si="189"/>
        <v>158</v>
      </c>
      <c r="AN5154" s="52"/>
      <c r="AO5154" s="52"/>
      <c r="AP5154" s="51"/>
    </row>
    <row r="5155" spans="1:42" s="53" customFormat="1" ht="15" customHeight="1" x14ac:dyDescent="0.3">
      <c r="A5155" s="50" t="s">
        <v>7397</v>
      </c>
      <c r="B5155" s="51" t="s">
        <v>7398</v>
      </c>
      <c r="C5155" s="50" t="s">
        <v>7399</v>
      </c>
      <c r="D5155" s="51" t="s">
        <v>1491</v>
      </c>
      <c r="E5155" s="50" t="s">
        <v>7399</v>
      </c>
      <c r="F5155" s="51" t="s">
        <v>1493</v>
      </c>
      <c r="G5155" s="50" t="s">
        <v>7399</v>
      </c>
      <c r="H5155" s="51" t="s">
        <v>1491</v>
      </c>
      <c r="I5155" s="51"/>
      <c r="J5155" s="51"/>
      <c r="K5155" s="50" t="s">
        <v>7399</v>
      </c>
      <c r="L5155" s="51" t="s">
        <v>1491</v>
      </c>
      <c r="M5155" s="420" t="s">
        <v>271</v>
      </c>
      <c r="N5155" s="420" t="s">
        <v>271</v>
      </c>
      <c r="O5155" s="420" t="s">
        <v>271</v>
      </c>
      <c r="P5155" s="60" t="s">
        <v>271</v>
      </c>
      <c r="Q5155" s="60" t="s">
        <v>271</v>
      </c>
      <c r="R5155" s="60" t="s">
        <v>271</v>
      </c>
      <c r="S5155" s="60" t="s">
        <v>271</v>
      </c>
      <c r="T5155" s="60" t="s">
        <v>271</v>
      </c>
      <c r="U5155" s="60" t="s">
        <v>271</v>
      </c>
      <c r="V5155" s="51" t="s">
        <v>1495</v>
      </c>
      <c r="W5155" s="54"/>
      <c r="X5155" s="54"/>
      <c r="Y5155" s="54"/>
      <c r="Z5155" s="54"/>
      <c r="AA5155" s="54"/>
      <c r="AB5155" s="54"/>
      <c r="AC5155" s="54"/>
      <c r="AD5155" s="54"/>
      <c r="AE5155" s="55"/>
      <c r="AF5155" s="56"/>
      <c r="AG5155" s="55"/>
      <c r="AH5155" s="56"/>
      <c r="AI5155" s="56"/>
      <c r="AJ5155" s="56"/>
      <c r="AK5155" s="57">
        <v>79</v>
      </c>
      <c r="AL5155" s="57">
        <v>81</v>
      </c>
      <c r="AM5155" s="147">
        <f t="shared" si="189"/>
        <v>160</v>
      </c>
      <c r="AN5155" s="52"/>
      <c r="AO5155" s="52"/>
      <c r="AP5155" s="51"/>
    </row>
    <row r="5156" spans="1:42" s="53" customFormat="1" ht="15" customHeight="1" x14ac:dyDescent="0.3">
      <c r="A5156" s="50" t="s">
        <v>7397</v>
      </c>
      <c r="B5156" s="51" t="s">
        <v>7398</v>
      </c>
      <c r="C5156" s="50" t="s">
        <v>7399</v>
      </c>
      <c r="D5156" s="51" t="s">
        <v>1491</v>
      </c>
      <c r="E5156" s="50" t="s">
        <v>7399</v>
      </c>
      <c r="F5156" s="51" t="s">
        <v>1493</v>
      </c>
      <c r="G5156" s="50" t="s">
        <v>7399</v>
      </c>
      <c r="H5156" s="51" t="s">
        <v>1491</v>
      </c>
      <c r="I5156" s="51"/>
      <c r="J5156" s="51"/>
      <c r="K5156" s="50" t="s">
        <v>7399</v>
      </c>
      <c r="L5156" s="51" t="s">
        <v>1491</v>
      </c>
      <c r="M5156" s="420" t="s">
        <v>271</v>
      </c>
      <c r="N5156" s="420" t="s">
        <v>271</v>
      </c>
      <c r="O5156" s="420" t="s">
        <v>271</v>
      </c>
      <c r="P5156" s="60" t="s">
        <v>271</v>
      </c>
      <c r="Q5156" s="60" t="s">
        <v>271</v>
      </c>
      <c r="R5156" s="60" t="s">
        <v>271</v>
      </c>
      <c r="S5156" s="60" t="s">
        <v>271</v>
      </c>
      <c r="T5156" s="60" t="s">
        <v>271</v>
      </c>
      <c r="U5156" s="60" t="s">
        <v>271</v>
      </c>
      <c r="V5156" s="51" t="s">
        <v>11627</v>
      </c>
      <c r="W5156" s="54"/>
      <c r="X5156" s="54"/>
      <c r="Y5156" s="54"/>
      <c r="Z5156" s="54"/>
      <c r="AA5156" s="54"/>
      <c r="AB5156" s="54"/>
      <c r="AC5156" s="54"/>
      <c r="AD5156" s="54"/>
      <c r="AE5156" s="55"/>
      <c r="AF5156" s="56"/>
      <c r="AG5156" s="55"/>
      <c r="AH5156" s="56"/>
      <c r="AI5156" s="56"/>
      <c r="AJ5156" s="56"/>
      <c r="AK5156" s="57">
        <v>1076</v>
      </c>
      <c r="AL5156" s="57">
        <v>1076</v>
      </c>
      <c r="AM5156" s="147">
        <f t="shared" si="189"/>
        <v>2152</v>
      </c>
      <c r="AN5156" s="52"/>
      <c r="AO5156" s="52"/>
      <c r="AP5156" s="51"/>
    </row>
    <row r="5157" spans="1:42" s="18" customFormat="1" ht="15" customHeight="1" x14ac:dyDescent="0.3">
      <c r="A5157" s="207" t="s">
        <v>7397</v>
      </c>
      <c r="B5157" s="18" t="s">
        <v>7398</v>
      </c>
      <c r="C5157" s="207" t="s">
        <v>7400</v>
      </c>
      <c r="D5157" s="18" t="s">
        <v>7401</v>
      </c>
      <c r="E5157" s="207" t="s">
        <v>7402</v>
      </c>
      <c r="F5157" s="18" t="s">
        <v>7403</v>
      </c>
      <c r="G5157" s="207" t="s">
        <v>7404</v>
      </c>
      <c r="H5157" s="18" t="s">
        <v>7405</v>
      </c>
      <c r="I5157" s="156" t="s">
        <v>7406</v>
      </c>
      <c r="J5157" s="18" t="s">
        <v>7407</v>
      </c>
      <c r="K5157" s="156" t="s">
        <v>7408</v>
      </c>
      <c r="L5157" s="18" t="s">
        <v>7409</v>
      </c>
      <c r="M5157" s="18" t="s">
        <v>7410</v>
      </c>
      <c r="N5157" s="18">
        <v>94.5</v>
      </c>
      <c r="O5157" s="18">
        <v>50</v>
      </c>
      <c r="P5157" s="16">
        <v>60</v>
      </c>
      <c r="Q5157" s="16">
        <v>75</v>
      </c>
      <c r="R5157" s="16">
        <v>80</v>
      </c>
      <c r="S5157" s="16">
        <v>85</v>
      </c>
      <c r="T5157" s="18" t="s">
        <v>831</v>
      </c>
      <c r="U5157" t="str">
        <f>VLOOKUP(T5157,[8]Votes!$A$1:$E$234,3,FALSE)</f>
        <v>108 National Planning Authority</v>
      </c>
      <c r="V5157" s="18" t="s">
        <v>7411</v>
      </c>
      <c r="W5157" s="48">
        <v>1</v>
      </c>
      <c r="X5157" s="48">
        <v>1</v>
      </c>
      <c r="Y5157" s="48">
        <v>0</v>
      </c>
      <c r="Z5157" s="48">
        <v>1</v>
      </c>
      <c r="AA5157" s="48">
        <v>1</v>
      </c>
      <c r="AB5157" s="48">
        <v>0</v>
      </c>
      <c r="AC5157" s="150">
        <v>1</v>
      </c>
      <c r="AD5157" s="150">
        <v>1</v>
      </c>
      <c r="AE5157" s="49">
        <f t="shared" ref="AE5157:AE5220" si="190">SUM(W5157:AD5157)/8</f>
        <v>0.75</v>
      </c>
      <c r="AF5157" s="255"/>
      <c r="AG5157" s="17">
        <v>0</v>
      </c>
      <c r="AH5157" s="255">
        <v>0.72499999999999998</v>
      </c>
      <c r="AI5157" s="255">
        <v>7.25</v>
      </c>
      <c r="AJ5157" s="255">
        <v>1.5225</v>
      </c>
      <c r="AK5157" s="256">
        <f>1.5225/2</f>
        <v>0.76124999999999998</v>
      </c>
      <c r="AL5157" s="256">
        <f>1.5225/2</f>
        <v>0.76124999999999998</v>
      </c>
      <c r="AM5157" s="147">
        <f t="shared" si="189"/>
        <v>1.5225</v>
      </c>
      <c r="AN5157" t="s">
        <v>831</v>
      </c>
      <c r="AO5157" s="18" t="s">
        <v>834</v>
      </c>
      <c r="AP5157" s="18" t="s">
        <v>982</v>
      </c>
    </row>
    <row r="5158" spans="1:42" s="18" customFormat="1" ht="15" customHeight="1" x14ac:dyDescent="0.3">
      <c r="A5158" s="207" t="s">
        <v>7397</v>
      </c>
      <c r="B5158" s="18" t="s">
        <v>7398</v>
      </c>
      <c r="C5158" s="207" t="s">
        <v>7400</v>
      </c>
      <c r="D5158" s="18" t="s">
        <v>7401</v>
      </c>
      <c r="E5158" s="207" t="s">
        <v>7402</v>
      </c>
      <c r="F5158" s="18" t="s">
        <v>7403</v>
      </c>
      <c r="G5158" s="207" t="s">
        <v>7404</v>
      </c>
      <c r="H5158" s="18" t="s">
        <v>7405</v>
      </c>
      <c r="I5158" s="156" t="s">
        <v>7406</v>
      </c>
      <c r="J5158" s="18" t="s">
        <v>7407</v>
      </c>
      <c r="K5158" s="156" t="s">
        <v>7408</v>
      </c>
      <c r="L5158" s="18" t="s">
        <v>7409</v>
      </c>
      <c r="M5158" s="18" t="s">
        <v>7412</v>
      </c>
      <c r="N5158" s="18">
        <v>60</v>
      </c>
      <c r="O5158" s="18">
        <v>70</v>
      </c>
      <c r="P5158" s="16">
        <v>85</v>
      </c>
      <c r="Q5158" s="16">
        <v>90</v>
      </c>
      <c r="R5158" s="16">
        <v>95</v>
      </c>
      <c r="S5158" s="16">
        <v>100</v>
      </c>
      <c r="T5158" s="18" t="s">
        <v>831</v>
      </c>
      <c r="U5158" t="str">
        <f>VLOOKUP(T5158,[8]Votes!$A$1:$E$234,3,FALSE)</f>
        <v>108 National Planning Authority</v>
      </c>
      <c r="V5158" s="18" t="s">
        <v>7413</v>
      </c>
      <c r="W5158" s="48">
        <v>1</v>
      </c>
      <c r="X5158" s="48">
        <v>1</v>
      </c>
      <c r="Y5158" s="48">
        <v>0</v>
      </c>
      <c r="Z5158" s="48">
        <v>1</v>
      </c>
      <c r="AA5158" s="48">
        <v>1</v>
      </c>
      <c r="AB5158" s="48">
        <v>0</v>
      </c>
      <c r="AC5158" s="150">
        <v>1</v>
      </c>
      <c r="AD5158" s="150">
        <v>1</v>
      </c>
      <c r="AE5158" s="49">
        <f t="shared" si="190"/>
        <v>0.75</v>
      </c>
      <c r="AF5158" s="255"/>
      <c r="AG5158" s="17">
        <v>0</v>
      </c>
      <c r="AH5158" s="255">
        <v>0.28999999999999998</v>
      </c>
      <c r="AI5158" s="255">
        <v>2.1749999999999998</v>
      </c>
      <c r="AJ5158" s="255">
        <v>0.36249999999999999</v>
      </c>
      <c r="AK5158" s="256">
        <f>0.3625/2</f>
        <v>0.18124999999999999</v>
      </c>
      <c r="AL5158" s="256">
        <f>0.3625/2</f>
        <v>0.18124999999999999</v>
      </c>
      <c r="AM5158" s="147">
        <f t="shared" si="189"/>
        <v>0.36249999999999999</v>
      </c>
      <c r="AN5158" t="s">
        <v>831</v>
      </c>
      <c r="AO5158" s="18" t="s">
        <v>834</v>
      </c>
      <c r="AP5158" s="18" t="s">
        <v>982</v>
      </c>
    </row>
    <row r="5159" spans="1:42" s="18" customFormat="1" ht="15" customHeight="1" x14ac:dyDescent="0.3">
      <c r="A5159" s="207" t="s">
        <v>7397</v>
      </c>
      <c r="B5159" s="18" t="s">
        <v>7398</v>
      </c>
      <c r="C5159" s="207" t="s">
        <v>7400</v>
      </c>
      <c r="D5159" s="18" t="s">
        <v>7401</v>
      </c>
      <c r="E5159" s="207" t="s">
        <v>7402</v>
      </c>
      <c r="F5159" s="18" t="s">
        <v>7403</v>
      </c>
      <c r="G5159" s="207" t="s">
        <v>7404</v>
      </c>
      <c r="H5159" s="18" t="s">
        <v>7405</v>
      </c>
      <c r="I5159" s="156" t="s">
        <v>7406</v>
      </c>
      <c r="J5159" s="18" t="s">
        <v>7407</v>
      </c>
      <c r="K5159" s="156" t="s">
        <v>7414</v>
      </c>
      <c r="L5159" s="18" t="s">
        <v>7415</v>
      </c>
      <c r="M5159" s="18" t="s">
        <v>7416</v>
      </c>
      <c r="N5159" s="18">
        <v>0</v>
      </c>
      <c r="O5159" s="18">
        <v>70</v>
      </c>
      <c r="P5159" s="16">
        <v>80</v>
      </c>
      <c r="Q5159" s="16">
        <v>90</v>
      </c>
      <c r="R5159" s="16">
        <v>95</v>
      </c>
      <c r="S5159" s="16">
        <v>100</v>
      </c>
      <c r="T5159" s="18" t="s">
        <v>831</v>
      </c>
      <c r="U5159" t="str">
        <f>VLOOKUP(T5159,[8]Votes!$A$1:$E$234,3,FALSE)</f>
        <v>108 National Planning Authority</v>
      </c>
      <c r="V5159" s="18" t="s">
        <v>7417</v>
      </c>
      <c r="W5159" s="48">
        <v>1</v>
      </c>
      <c r="X5159" s="48">
        <v>1</v>
      </c>
      <c r="Y5159" s="48">
        <v>0</v>
      </c>
      <c r="Z5159" s="48">
        <v>1</v>
      </c>
      <c r="AA5159" s="48">
        <v>1</v>
      </c>
      <c r="AB5159" s="48">
        <v>0</v>
      </c>
      <c r="AC5159" s="150">
        <v>1</v>
      </c>
      <c r="AD5159" s="150">
        <v>1</v>
      </c>
      <c r="AE5159" s="49">
        <f t="shared" si="190"/>
        <v>0.75</v>
      </c>
      <c r="AF5159" s="255"/>
      <c r="AG5159" s="17">
        <v>0</v>
      </c>
      <c r="AH5159" s="255">
        <v>1.0149999999999999</v>
      </c>
      <c r="AI5159" s="255">
        <v>1.0149999999999999</v>
      </c>
      <c r="AJ5159" s="255">
        <v>1.0149999999999999</v>
      </c>
      <c r="AK5159" s="256">
        <f>1.015/2</f>
        <v>0.50749999999999995</v>
      </c>
      <c r="AL5159" s="256">
        <f>1.015/2</f>
        <v>0.50749999999999995</v>
      </c>
      <c r="AM5159" s="147">
        <f t="shared" si="189"/>
        <v>1.0149999999999999</v>
      </c>
      <c r="AN5159" s="18" t="s">
        <v>831</v>
      </c>
      <c r="AO5159" s="18" t="s">
        <v>834</v>
      </c>
    </row>
    <row r="5160" spans="1:42" s="18" customFormat="1" ht="15" customHeight="1" x14ac:dyDescent="0.3">
      <c r="A5160" s="207" t="s">
        <v>7397</v>
      </c>
      <c r="B5160" s="18" t="s">
        <v>7398</v>
      </c>
      <c r="C5160" s="207" t="s">
        <v>7400</v>
      </c>
      <c r="D5160" s="18" t="s">
        <v>7401</v>
      </c>
      <c r="E5160" s="207" t="s">
        <v>7402</v>
      </c>
      <c r="F5160" s="18" t="s">
        <v>7403</v>
      </c>
      <c r="G5160" s="207" t="s">
        <v>7404</v>
      </c>
      <c r="H5160" s="18" t="s">
        <v>7405</v>
      </c>
      <c r="I5160" s="156" t="s">
        <v>7406</v>
      </c>
      <c r="J5160" s="18" t="s">
        <v>7407</v>
      </c>
      <c r="K5160" s="156" t="s">
        <v>7414</v>
      </c>
      <c r="L5160" s="18" t="s">
        <v>7415</v>
      </c>
      <c r="M5160" s="18" t="s">
        <v>7418</v>
      </c>
      <c r="N5160" s="18">
        <v>0</v>
      </c>
      <c r="O5160" s="18">
        <v>50</v>
      </c>
      <c r="P5160" s="16">
        <v>70</v>
      </c>
      <c r="Q5160" s="16">
        <v>80</v>
      </c>
      <c r="R5160" s="16">
        <v>90</v>
      </c>
      <c r="S5160" s="16">
        <v>100</v>
      </c>
      <c r="T5160" s="18" t="s">
        <v>831</v>
      </c>
      <c r="U5160" t="str">
        <f>VLOOKUP(T5160,[8]Votes!$A$1:$E$234,3,FALSE)</f>
        <v>108 National Planning Authority</v>
      </c>
      <c r="V5160" s="18" t="s">
        <v>7419</v>
      </c>
      <c r="W5160" s="48">
        <v>1</v>
      </c>
      <c r="X5160" s="48">
        <v>1</v>
      </c>
      <c r="Y5160" s="48">
        <v>0</v>
      </c>
      <c r="Z5160" s="48">
        <v>1</v>
      </c>
      <c r="AA5160" s="48">
        <v>1</v>
      </c>
      <c r="AB5160" s="48">
        <v>0</v>
      </c>
      <c r="AC5160" s="150">
        <v>1</v>
      </c>
      <c r="AD5160" s="150">
        <v>1</v>
      </c>
      <c r="AE5160" s="49">
        <f t="shared" si="190"/>
        <v>0.75</v>
      </c>
      <c r="AF5160" s="255"/>
      <c r="AG5160" s="17">
        <v>0</v>
      </c>
      <c r="AH5160" s="255">
        <v>0.36249999999999999</v>
      </c>
      <c r="AI5160" s="255">
        <v>1.0874999999999999</v>
      </c>
      <c r="AJ5160" s="255">
        <v>1.0874999999999999</v>
      </c>
      <c r="AK5160" s="256">
        <f>1.0875/2</f>
        <v>0.54374999999999996</v>
      </c>
      <c r="AL5160" s="256">
        <f>1.0875/2</f>
        <v>0.54374999999999996</v>
      </c>
      <c r="AM5160" s="147">
        <f t="shared" si="189"/>
        <v>1.0874999999999999</v>
      </c>
      <c r="AN5160" s="18" t="s">
        <v>831</v>
      </c>
      <c r="AO5160" s="18" t="s">
        <v>834</v>
      </c>
    </row>
    <row r="5161" spans="1:42" s="18" customFormat="1" ht="15" customHeight="1" x14ac:dyDescent="0.3">
      <c r="A5161" s="207" t="s">
        <v>7397</v>
      </c>
      <c r="B5161" s="18" t="s">
        <v>7398</v>
      </c>
      <c r="C5161" s="207" t="s">
        <v>7400</v>
      </c>
      <c r="D5161" s="18" t="s">
        <v>7401</v>
      </c>
      <c r="E5161" s="207" t="s">
        <v>7402</v>
      </c>
      <c r="F5161" s="18" t="s">
        <v>7403</v>
      </c>
      <c r="G5161" s="207" t="s">
        <v>7404</v>
      </c>
      <c r="H5161" s="18" t="s">
        <v>7405</v>
      </c>
      <c r="I5161" s="156" t="s">
        <v>7406</v>
      </c>
      <c r="J5161" s="18" t="s">
        <v>7407</v>
      </c>
      <c r="K5161" s="156" t="s">
        <v>7420</v>
      </c>
      <c r="L5161" s="18" t="s">
        <v>7421</v>
      </c>
      <c r="M5161" s="18" t="s">
        <v>7422</v>
      </c>
      <c r="N5161" s="18">
        <v>0</v>
      </c>
      <c r="O5161" s="18">
        <v>0</v>
      </c>
      <c r="P5161" s="16">
        <v>0</v>
      </c>
      <c r="Q5161" s="16">
        <v>30</v>
      </c>
      <c r="R5161" s="16">
        <v>0</v>
      </c>
      <c r="S5161" s="16">
        <v>0</v>
      </c>
      <c r="T5161" s="18" t="s">
        <v>831</v>
      </c>
      <c r="U5161" t="str">
        <f>VLOOKUP(T5161,[8]Votes!$A$1:$E$234,3,FALSE)</f>
        <v>108 National Planning Authority</v>
      </c>
      <c r="V5161" s="18" t="s">
        <v>7423</v>
      </c>
      <c r="W5161" s="48">
        <v>1</v>
      </c>
      <c r="X5161" s="48">
        <v>1</v>
      </c>
      <c r="Y5161" s="48">
        <v>0</v>
      </c>
      <c r="Z5161" s="48">
        <v>0</v>
      </c>
      <c r="AA5161" s="48">
        <v>0</v>
      </c>
      <c r="AB5161" s="48">
        <v>0</v>
      </c>
      <c r="AC5161" s="150">
        <v>0</v>
      </c>
      <c r="AD5161" s="150">
        <v>1</v>
      </c>
      <c r="AE5161" s="49">
        <f t="shared" si="190"/>
        <v>0.375</v>
      </c>
      <c r="AF5161" s="255"/>
      <c r="AG5161" s="17">
        <v>0</v>
      </c>
      <c r="AH5161" s="255">
        <v>0</v>
      </c>
      <c r="AI5161" s="255">
        <v>0</v>
      </c>
      <c r="AJ5161" s="255">
        <v>120.65388412681401</v>
      </c>
      <c r="AK5161" s="256">
        <v>0</v>
      </c>
      <c r="AL5161" s="256">
        <v>0</v>
      </c>
      <c r="AM5161" s="147">
        <f t="shared" si="189"/>
        <v>0</v>
      </c>
      <c r="AN5161" s="18" t="s">
        <v>831</v>
      </c>
      <c r="AO5161" s="18" t="s">
        <v>834</v>
      </c>
      <c r="AP5161" s="228"/>
    </row>
    <row r="5162" spans="1:42" s="18" customFormat="1" ht="15" customHeight="1" x14ac:dyDescent="0.3">
      <c r="A5162" s="207" t="s">
        <v>7397</v>
      </c>
      <c r="B5162" s="18" t="s">
        <v>7398</v>
      </c>
      <c r="C5162" s="207" t="s">
        <v>7400</v>
      </c>
      <c r="D5162" s="18" t="s">
        <v>7401</v>
      </c>
      <c r="E5162" s="207" t="s">
        <v>7402</v>
      </c>
      <c r="F5162" s="18" t="s">
        <v>7403</v>
      </c>
      <c r="G5162" s="207" t="s">
        <v>7404</v>
      </c>
      <c r="H5162" s="18" t="s">
        <v>7405</v>
      </c>
      <c r="I5162" s="156" t="s">
        <v>7406</v>
      </c>
      <c r="J5162" s="18" t="s">
        <v>7407</v>
      </c>
      <c r="K5162" s="156" t="s">
        <v>7424</v>
      </c>
      <c r="L5162" s="18" t="s">
        <v>7425</v>
      </c>
      <c r="M5162" s="18" t="s">
        <v>7426</v>
      </c>
      <c r="N5162" s="18">
        <v>0</v>
      </c>
      <c r="O5162" s="18">
        <v>0</v>
      </c>
      <c r="P5162" s="16">
        <v>0</v>
      </c>
      <c r="Q5162" s="16">
        <v>0</v>
      </c>
      <c r="R5162" s="16">
        <v>0</v>
      </c>
      <c r="S5162" s="16">
        <v>1</v>
      </c>
      <c r="T5162" s="18" t="s">
        <v>831</v>
      </c>
      <c r="U5162" t="str">
        <f>VLOOKUP(T5162,[8]Votes!$A$1:$E$234,3,FALSE)</f>
        <v>108 National Planning Authority</v>
      </c>
      <c r="V5162" s="18" t="s">
        <v>7427</v>
      </c>
      <c r="W5162" s="48">
        <v>1</v>
      </c>
      <c r="X5162" s="48">
        <v>1</v>
      </c>
      <c r="Y5162" s="48">
        <v>1</v>
      </c>
      <c r="Z5162" s="48">
        <v>1</v>
      </c>
      <c r="AA5162" s="48">
        <v>1</v>
      </c>
      <c r="AB5162" s="48">
        <v>1</v>
      </c>
      <c r="AC5162" s="150">
        <v>1</v>
      </c>
      <c r="AD5162" s="150">
        <v>1</v>
      </c>
      <c r="AE5162" s="49">
        <f t="shared" si="190"/>
        <v>1</v>
      </c>
      <c r="AF5162" s="255"/>
      <c r="AG5162" s="17">
        <v>0</v>
      </c>
      <c r="AH5162" s="255">
        <v>0</v>
      </c>
      <c r="AI5162" s="255">
        <v>0</v>
      </c>
      <c r="AJ5162" s="255">
        <v>4.3499999999999996</v>
      </c>
      <c r="AK5162" s="383">
        <v>4.3499999999999996</v>
      </c>
      <c r="AL5162" s="383">
        <v>4.3499999999999996</v>
      </c>
      <c r="AM5162" s="147">
        <f t="shared" si="189"/>
        <v>8.6999999999999993</v>
      </c>
      <c r="AN5162" s="18" t="s">
        <v>831</v>
      </c>
      <c r="AO5162" s="18" t="s">
        <v>834</v>
      </c>
      <c r="AP5162" s="18" t="s">
        <v>982</v>
      </c>
    </row>
    <row r="5163" spans="1:42" s="18" customFormat="1" ht="15" customHeight="1" x14ac:dyDescent="0.3">
      <c r="A5163" s="207" t="s">
        <v>7397</v>
      </c>
      <c r="B5163" s="18" t="s">
        <v>7398</v>
      </c>
      <c r="C5163" s="207" t="s">
        <v>7400</v>
      </c>
      <c r="D5163" s="18" t="s">
        <v>7401</v>
      </c>
      <c r="E5163" s="207" t="s">
        <v>7402</v>
      </c>
      <c r="F5163" s="18" t="s">
        <v>7403</v>
      </c>
      <c r="G5163" s="207" t="s">
        <v>7404</v>
      </c>
      <c r="H5163" s="18" t="s">
        <v>7405</v>
      </c>
      <c r="I5163" s="156" t="s">
        <v>7406</v>
      </c>
      <c r="J5163" s="18" t="s">
        <v>7407</v>
      </c>
      <c r="K5163" s="156" t="s">
        <v>7428</v>
      </c>
      <c r="L5163" s="18" t="s">
        <v>7429</v>
      </c>
      <c r="M5163" s="18" t="s">
        <v>7430</v>
      </c>
      <c r="N5163" s="18">
        <v>0</v>
      </c>
      <c r="O5163" s="18">
        <v>1</v>
      </c>
      <c r="P5163" s="16">
        <v>0</v>
      </c>
      <c r="Q5163" s="16">
        <v>0</v>
      </c>
      <c r="R5163" s="16">
        <v>0</v>
      </c>
      <c r="S5163" s="16">
        <v>0</v>
      </c>
      <c r="T5163" s="18" t="s">
        <v>921</v>
      </c>
      <c r="U5163" t="str">
        <f>VLOOKUP(T5163,[8]Votes!$A$1:$E$234,3,FALSE)</f>
        <v>008 Ministry of Finance, Planning &amp; Economic Dev.</v>
      </c>
      <c r="V5163" s="18" t="s">
        <v>7431</v>
      </c>
      <c r="W5163" s="48">
        <v>1</v>
      </c>
      <c r="X5163" s="48">
        <v>1</v>
      </c>
      <c r="Y5163" s="48">
        <v>0</v>
      </c>
      <c r="Z5163" s="48">
        <v>1</v>
      </c>
      <c r="AA5163" s="48">
        <v>1</v>
      </c>
      <c r="AB5163" s="48">
        <v>0</v>
      </c>
      <c r="AC5163" s="150">
        <v>1</v>
      </c>
      <c r="AD5163" s="150">
        <v>1</v>
      </c>
      <c r="AE5163" s="49">
        <f t="shared" si="190"/>
        <v>0.75</v>
      </c>
      <c r="AF5163" s="255"/>
      <c r="AG5163" s="17">
        <v>0</v>
      </c>
      <c r="AH5163" s="255">
        <v>0</v>
      </c>
      <c r="AI5163" s="255">
        <v>0.14499999999999999</v>
      </c>
      <c r="AJ5163" s="255">
        <v>0</v>
      </c>
      <c r="AK5163" s="256">
        <v>0</v>
      </c>
      <c r="AL5163" s="256">
        <f>0.2/2</f>
        <v>0.1</v>
      </c>
      <c r="AM5163" s="147">
        <f t="shared" si="189"/>
        <v>0.1</v>
      </c>
      <c r="AN5163" s="18" t="s">
        <v>921</v>
      </c>
      <c r="AO5163" s="18" t="s">
        <v>880</v>
      </c>
    </row>
    <row r="5164" spans="1:42" s="18" customFormat="1" ht="15" customHeight="1" x14ac:dyDescent="0.3">
      <c r="A5164" s="207" t="s">
        <v>7397</v>
      </c>
      <c r="B5164" s="18" t="s">
        <v>7398</v>
      </c>
      <c r="C5164" s="207" t="s">
        <v>7400</v>
      </c>
      <c r="D5164" s="18" t="s">
        <v>7401</v>
      </c>
      <c r="E5164" s="207" t="s">
        <v>7402</v>
      </c>
      <c r="F5164" s="18" t="s">
        <v>7403</v>
      </c>
      <c r="G5164" s="207" t="s">
        <v>7404</v>
      </c>
      <c r="H5164" s="18" t="s">
        <v>7405</v>
      </c>
      <c r="I5164" s="156" t="s">
        <v>7406</v>
      </c>
      <c r="J5164" s="18" t="s">
        <v>7407</v>
      </c>
      <c r="K5164" s="156" t="s">
        <v>7432</v>
      </c>
      <c r="L5164" s="18" t="s">
        <v>7433</v>
      </c>
      <c r="M5164" s="18" t="s">
        <v>7434</v>
      </c>
      <c r="N5164" s="18">
        <v>0</v>
      </c>
      <c r="O5164" s="18">
        <v>1</v>
      </c>
      <c r="P5164" s="16">
        <v>0</v>
      </c>
      <c r="Q5164" s="16">
        <v>0</v>
      </c>
      <c r="R5164" s="16">
        <v>0</v>
      </c>
      <c r="S5164" s="16">
        <v>0</v>
      </c>
      <c r="T5164" s="18" t="s">
        <v>921</v>
      </c>
      <c r="U5164" t="str">
        <f>VLOOKUP(T5164,[8]Votes!$A$1:$E$234,3,FALSE)</f>
        <v>008 Ministry of Finance, Planning &amp; Economic Dev.</v>
      </c>
      <c r="V5164" s="18" t="s">
        <v>7435</v>
      </c>
      <c r="W5164" s="48">
        <v>1</v>
      </c>
      <c r="X5164" s="48">
        <v>1</v>
      </c>
      <c r="Y5164" s="48">
        <v>0</v>
      </c>
      <c r="Z5164" s="48">
        <v>1</v>
      </c>
      <c r="AA5164" s="48">
        <v>1</v>
      </c>
      <c r="AB5164" s="48">
        <v>0</v>
      </c>
      <c r="AC5164" s="150">
        <v>1</v>
      </c>
      <c r="AD5164" s="150">
        <v>1</v>
      </c>
      <c r="AE5164" s="49">
        <f t="shared" si="190"/>
        <v>0.75</v>
      </c>
      <c r="AF5164" s="255"/>
      <c r="AG5164" s="17">
        <v>0</v>
      </c>
      <c r="AH5164" s="255">
        <v>0</v>
      </c>
      <c r="AI5164" s="255">
        <v>0.14499999999999999</v>
      </c>
      <c r="AJ5164" s="255">
        <v>0</v>
      </c>
      <c r="AK5164" s="256">
        <v>0</v>
      </c>
      <c r="AL5164" s="256">
        <v>0</v>
      </c>
      <c r="AM5164" s="147">
        <f t="shared" si="189"/>
        <v>0</v>
      </c>
      <c r="AN5164" s="18" t="s">
        <v>921</v>
      </c>
      <c r="AO5164" s="18" t="s">
        <v>880</v>
      </c>
    </row>
    <row r="5165" spans="1:42" s="18" customFormat="1" ht="15" customHeight="1" x14ac:dyDescent="0.3">
      <c r="A5165" s="207" t="s">
        <v>7397</v>
      </c>
      <c r="B5165" s="18" t="s">
        <v>7398</v>
      </c>
      <c r="C5165" s="207" t="s">
        <v>7400</v>
      </c>
      <c r="D5165" s="18" t="s">
        <v>7401</v>
      </c>
      <c r="E5165" s="207" t="s">
        <v>7402</v>
      </c>
      <c r="F5165" s="18" t="s">
        <v>7403</v>
      </c>
      <c r="G5165" s="207" t="s">
        <v>7404</v>
      </c>
      <c r="H5165" s="18" t="s">
        <v>7405</v>
      </c>
      <c r="I5165" s="156" t="s">
        <v>7406</v>
      </c>
      <c r="J5165" s="18" t="s">
        <v>7407</v>
      </c>
      <c r="K5165" s="156" t="s">
        <v>7436</v>
      </c>
      <c r="L5165" s="18" t="s">
        <v>7437</v>
      </c>
      <c r="M5165" s="18" t="s">
        <v>7438</v>
      </c>
      <c r="N5165" s="18">
        <v>50</v>
      </c>
      <c r="O5165" s="18">
        <v>60</v>
      </c>
      <c r="P5165" s="16">
        <v>79</v>
      </c>
      <c r="Q5165" s="16">
        <v>85</v>
      </c>
      <c r="R5165" s="16">
        <v>90</v>
      </c>
      <c r="S5165" s="16">
        <v>95</v>
      </c>
      <c r="T5165" s="18" t="s">
        <v>1563</v>
      </c>
      <c r="U5165" t="str">
        <f>VLOOKUP(T5165,[8]Votes!$A$1:$E$234,3,FALSE)</f>
        <v>124 Equal Opportunities Commission</v>
      </c>
      <c r="V5165" s="18" t="s">
        <v>7439</v>
      </c>
      <c r="W5165" s="48">
        <v>1</v>
      </c>
      <c r="X5165" s="48">
        <v>1</v>
      </c>
      <c r="Y5165" s="48">
        <v>0</v>
      </c>
      <c r="Z5165" s="48">
        <v>1</v>
      </c>
      <c r="AA5165" s="48">
        <v>1</v>
      </c>
      <c r="AB5165" s="48">
        <v>0</v>
      </c>
      <c r="AC5165" s="150">
        <v>1</v>
      </c>
      <c r="AD5165" s="150">
        <v>1</v>
      </c>
      <c r="AE5165" s="49">
        <f t="shared" si="190"/>
        <v>0.75</v>
      </c>
      <c r="AF5165" s="357"/>
      <c r="AG5165" s="17">
        <v>0</v>
      </c>
      <c r="AH5165" s="357">
        <v>1.885</v>
      </c>
      <c r="AI5165" s="357">
        <v>2.0299999999999998</v>
      </c>
      <c r="AJ5165" s="357">
        <v>2.3199999999999998</v>
      </c>
      <c r="AK5165" s="358">
        <f>2.175/4</f>
        <v>0.54374999999999996</v>
      </c>
      <c r="AL5165" s="358">
        <f>2.03/4</f>
        <v>0.50749999999999995</v>
      </c>
      <c r="AM5165" s="147">
        <f t="shared" si="189"/>
        <v>1.05125</v>
      </c>
      <c r="AN5165" s="18" t="s">
        <v>1563</v>
      </c>
      <c r="AO5165" s="18" t="s">
        <v>1565</v>
      </c>
    </row>
    <row r="5166" spans="1:42" s="18" customFormat="1" ht="15" customHeight="1" x14ac:dyDescent="0.3">
      <c r="A5166" s="207" t="s">
        <v>7397</v>
      </c>
      <c r="B5166" s="18" t="s">
        <v>7398</v>
      </c>
      <c r="C5166" s="207" t="s">
        <v>7400</v>
      </c>
      <c r="D5166" s="18" t="s">
        <v>7401</v>
      </c>
      <c r="E5166" s="207" t="s">
        <v>7402</v>
      </c>
      <c r="F5166" s="18" t="s">
        <v>7403</v>
      </c>
      <c r="G5166" s="207" t="s">
        <v>7404</v>
      </c>
      <c r="H5166" s="18" t="s">
        <v>7405</v>
      </c>
      <c r="I5166" s="156" t="s">
        <v>7406</v>
      </c>
      <c r="J5166" s="18" t="s">
        <v>7407</v>
      </c>
      <c r="K5166" s="156" t="s">
        <v>7436</v>
      </c>
      <c r="L5166" s="18" t="s">
        <v>7437</v>
      </c>
      <c r="M5166" s="18" t="s">
        <v>7440</v>
      </c>
      <c r="N5166" s="18">
        <v>40</v>
      </c>
      <c r="O5166" s="18">
        <v>70</v>
      </c>
      <c r="P5166" s="16">
        <v>80</v>
      </c>
      <c r="Q5166" s="16">
        <v>85</v>
      </c>
      <c r="R5166" s="16">
        <v>90</v>
      </c>
      <c r="S5166" s="16">
        <v>100</v>
      </c>
      <c r="T5166" s="18" t="s">
        <v>1563</v>
      </c>
      <c r="U5166" t="str">
        <f>VLOOKUP(T5166,[8]Votes!$A$1:$E$234,3,FALSE)</f>
        <v>124 Equal Opportunities Commission</v>
      </c>
      <c r="W5166" s="48"/>
      <c r="X5166" s="48"/>
      <c r="Y5166" s="48"/>
      <c r="Z5166" s="48"/>
      <c r="AA5166" s="48"/>
      <c r="AB5166" s="48"/>
      <c r="AC5166" s="150">
        <v>0</v>
      </c>
      <c r="AD5166" s="150">
        <v>0</v>
      </c>
      <c r="AE5166" s="49">
        <f t="shared" si="190"/>
        <v>0</v>
      </c>
      <c r="AF5166" s="17"/>
      <c r="AG5166" s="17">
        <v>0</v>
      </c>
      <c r="AH5166" s="17"/>
      <c r="AI5166" s="17"/>
      <c r="AJ5166" s="17"/>
      <c r="AK5166" s="154"/>
      <c r="AL5166" s="154"/>
      <c r="AM5166" s="147">
        <f t="shared" si="189"/>
        <v>0</v>
      </c>
    </row>
    <row r="5167" spans="1:42" s="18" customFormat="1" ht="15" customHeight="1" x14ac:dyDescent="0.3">
      <c r="A5167" s="207" t="s">
        <v>7397</v>
      </c>
      <c r="B5167" s="18" t="s">
        <v>7398</v>
      </c>
      <c r="C5167" s="207" t="s">
        <v>7400</v>
      </c>
      <c r="D5167" s="18" t="s">
        <v>7401</v>
      </c>
      <c r="E5167" s="207" t="s">
        <v>7402</v>
      </c>
      <c r="F5167" s="18" t="s">
        <v>7403</v>
      </c>
      <c r="G5167" s="207" t="s">
        <v>7404</v>
      </c>
      <c r="H5167" s="18" t="s">
        <v>7405</v>
      </c>
      <c r="I5167" s="156" t="s">
        <v>7441</v>
      </c>
      <c r="J5167" s="18" t="s">
        <v>7442</v>
      </c>
      <c r="K5167" s="156" t="s">
        <v>7443</v>
      </c>
      <c r="L5167" s="18" t="s">
        <v>7444</v>
      </c>
      <c r="M5167" s="18" t="s">
        <v>7445</v>
      </c>
      <c r="N5167" s="18">
        <v>0</v>
      </c>
      <c r="O5167" s="18">
        <v>0</v>
      </c>
      <c r="P5167" s="16">
        <v>0</v>
      </c>
      <c r="Q5167" s="16">
        <v>20</v>
      </c>
      <c r="R5167" s="16">
        <v>50</v>
      </c>
      <c r="S5167" s="16">
        <v>70</v>
      </c>
      <c r="T5167" s="18" t="s">
        <v>831</v>
      </c>
      <c r="U5167" t="str">
        <f>VLOOKUP(T5167,[8]Votes!$A$1:$E$234,3,FALSE)</f>
        <v>108 National Planning Authority</v>
      </c>
      <c r="V5167" s="18" t="s">
        <v>7446</v>
      </c>
      <c r="W5167" s="48">
        <v>1</v>
      </c>
      <c r="X5167" s="48">
        <v>0</v>
      </c>
      <c r="Y5167" s="48">
        <v>0</v>
      </c>
      <c r="Z5167" s="48">
        <v>1</v>
      </c>
      <c r="AA5167" s="48">
        <v>1</v>
      </c>
      <c r="AB5167" s="48">
        <v>1</v>
      </c>
      <c r="AC5167" s="150">
        <v>1</v>
      </c>
      <c r="AD5167" s="150">
        <v>1</v>
      </c>
      <c r="AE5167" s="49">
        <f t="shared" si="190"/>
        <v>0.75</v>
      </c>
      <c r="AF5167" s="255"/>
      <c r="AG5167" s="17">
        <v>0</v>
      </c>
      <c r="AH5167" s="255">
        <v>0.72499999999999998</v>
      </c>
      <c r="AI5167" s="255">
        <v>0.435</v>
      </c>
      <c r="AJ5167" s="255">
        <v>0.14499999999999999</v>
      </c>
      <c r="AK5167" s="256">
        <f>0.145/2</f>
        <v>7.2499999999999995E-2</v>
      </c>
      <c r="AL5167" s="256">
        <f>0.29/2</f>
        <v>0.14499999999999999</v>
      </c>
      <c r="AM5167" s="147">
        <f t="shared" si="189"/>
        <v>0.21749999999999997</v>
      </c>
      <c r="AN5167" s="18" t="s">
        <v>831</v>
      </c>
      <c r="AO5167" s="18" t="s">
        <v>834</v>
      </c>
    </row>
    <row r="5168" spans="1:42" s="18" customFormat="1" ht="15" customHeight="1" x14ac:dyDescent="0.3">
      <c r="A5168" s="207" t="s">
        <v>7397</v>
      </c>
      <c r="B5168" s="18" t="s">
        <v>7398</v>
      </c>
      <c r="C5168" s="207" t="s">
        <v>7400</v>
      </c>
      <c r="D5168" s="18" t="s">
        <v>7401</v>
      </c>
      <c r="E5168" s="207" t="s">
        <v>7402</v>
      </c>
      <c r="F5168" s="18" t="s">
        <v>7403</v>
      </c>
      <c r="G5168" s="207" t="s">
        <v>7404</v>
      </c>
      <c r="H5168" s="18" t="s">
        <v>7405</v>
      </c>
      <c r="I5168" s="156" t="s">
        <v>7441</v>
      </c>
      <c r="J5168" s="18" t="s">
        <v>7442</v>
      </c>
      <c r="K5168" s="156" t="s">
        <v>7443</v>
      </c>
      <c r="L5168" s="18" t="s">
        <v>7444</v>
      </c>
      <c r="M5168" s="18" t="s">
        <v>7449</v>
      </c>
      <c r="N5168" s="18">
        <v>0</v>
      </c>
      <c r="O5168" s="18">
        <v>0</v>
      </c>
      <c r="P5168" s="16">
        <v>40</v>
      </c>
      <c r="Q5168" s="16">
        <v>60</v>
      </c>
      <c r="R5168" s="16">
        <v>100</v>
      </c>
      <c r="S5168" s="16">
        <v>100</v>
      </c>
      <c r="T5168" s="18" t="s">
        <v>831</v>
      </c>
      <c r="U5168" t="str">
        <f>VLOOKUP(T5168,[8]Votes!$A$1:$E$234,3,FALSE)</f>
        <v>108 National Planning Authority</v>
      </c>
      <c r="V5168" s="18" t="s">
        <v>7450</v>
      </c>
      <c r="W5168" s="48">
        <v>1</v>
      </c>
      <c r="X5168" s="48">
        <v>0</v>
      </c>
      <c r="Y5168" s="48">
        <v>0</v>
      </c>
      <c r="Z5168" s="48">
        <v>1</v>
      </c>
      <c r="AA5168" s="48">
        <v>1</v>
      </c>
      <c r="AB5168" s="48">
        <v>1</v>
      </c>
      <c r="AC5168" s="150">
        <v>1</v>
      </c>
      <c r="AD5168" s="150">
        <v>1</v>
      </c>
      <c r="AE5168" s="49">
        <f t="shared" si="190"/>
        <v>0.75</v>
      </c>
      <c r="AF5168" s="255"/>
      <c r="AG5168" s="17">
        <v>0</v>
      </c>
      <c r="AH5168" s="255">
        <v>0</v>
      </c>
      <c r="AI5168" s="255">
        <v>1.1599999999999999</v>
      </c>
      <c r="AJ5168" s="255">
        <v>0.28999999999999998</v>
      </c>
      <c r="AK5168" s="256">
        <f>0.29/2</f>
        <v>0.14499999999999999</v>
      </c>
      <c r="AL5168" s="256">
        <f>0.435/2</f>
        <v>0.2175</v>
      </c>
      <c r="AM5168" s="147">
        <f t="shared" si="189"/>
        <v>0.36249999999999999</v>
      </c>
      <c r="AN5168" s="18" t="s">
        <v>831</v>
      </c>
      <c r="AO5168" s="18" t="s">
        <v>834</v>
      </c>
    </row>
    <row r="5169" spans="1:42" s="18" customFormat="1" ht="15" customHeight="1" x14ac:dyDescent="0.3">
      <c r="A5169" s="207" t="s">
        <v>7397</v>
      </c>
      <c r="B5169" s="18" t="s">
        <v>7398</v>
      </c>
      <c r="C5169" s="207" t="s">
        <v>7400</v>
      </c>
      <c r="D5169" s="18" t="s">
        <v>7401</v>
      </c>
      <c r="E5169" s="207" t="s">
        <v>7402</v>
      </c>
      <c r="F5169" s="18" t="s">
        <v>7403</v>
      </c>
      <c r="G5169" s="207" t="s">
        <v>7404</v>
      </c>
      <c r="H5169" s="18" t="s">
        <v>7405</v>
      </c>
      <c r="I5169" s="156" t="s">
        <v>7441</v>
      </c>
      <c r="J5169" s="18" t="s">
        <v>7442</v>
      </c>
      <c r="K5169" s="156" t="s">
        <v>7443</v>
      </c>
      <c r="L5169" s="18" t="s">
        <v>7444</v>
      </c>
      <c r="M5169" s="18" t="s">
        <v>7451</v>
      </c>
      <c r="N5169" s="18">
        <v>0</v>
      </c>
      <c r="O5169" s="18">
        <v>200</v>
      </c>
      <c r="P5169" s="16">
        <v>200</v>
      </c>
      <c r="Q5169" s="16">
        <v>200</v>
      </c>
      <c r="R5169" s="16">
        <v>200</v>
      </c>
      <c r="S5169" s="16">
        <v>200</v>
      </c>
      <c r="T5169" s="18" t="s">
        <v>831</v>
      </c>
      <c r="U5169" t="str">
        <f>VLOOKUP(T5169,[8]Votes!$A$1:$E$234,3,FALSE)</f>
        <v>108 National Planning Authority</v>
      </c>
      <c r="V5169" s="18" t="s">
        <v>7452</v>
      </c>
      <c r="W5169" s="48">
        <v>1</v>
      </c>
      <c r="X5169" s="48">
        <v>0</v>
      </c>
      <c r="Y5169" s="48">
        <v>0</v>
      </c>
      <c r="Z5169" s="48">
        <v>1</v>
      </c>
      <c r="AA5169" s="48">
        <v>1</v>
      </c>
      <c r="AB5169" s="48">
        <v>1</v>
      </c>
      <c r="AC5169" s="150">
        <v>1</v>
      </c>
      <c r="AD5169" s="150">
        <v>1</v>
      </c>
      <c r="AE5169" s="49">
        <f t="shared" si="190"/>
        <v>0.75</v>
      </c>
      <c r="AF5169" s="255"/>
      <c r="AG5169" s="17">
        <v>0</v>
      </c>
      <c r="AH5169" s="255">
        <v>0</v>
      </c>
      <c r="AI5169" s="255">
        <v>4.3499999999999996</v>
      </c>
      <c r="AJ5169" s="255">
        <v>1.1599999999999999</v>
      </c>
      <c r="AK5169" s="256">
        <f>1.45/2</f>
        <v>0.72499999999999998</v>
      </c>
      <c r="AL5169" s="256">
        <f>1.74/2</f>
        <v>0.87</v>
      </c>
      <c r="AM5169" s="147">
        <f t="shared" si="189"/>
        <v>1.595</v>
      </c>
      <c r="AN5169" s="18" t="s">
        <v>831</v>
      </c>
      <c r="AO5169" s="18" t="s">
        <v>834</v>
      </c>
    </row>
    <row r="5170" spans="1:42" s="18" customFormat="1" ht="15" customHeight="1" x14ac:dyDescent="0.3">
      <c r="A5170" s="207" t="s">
        <v>7397</v>
      </c>
      <c r="B5170" s="18" t="s">
        <v>7398</v>
      </c>
      <c r="C5170" s="207" t="s">
        <v>7400</v>
      </c>
      <c r="D5170" s="18" t="s">
        <v>7401</v>
      </c>
      <c r="E5170" s="207" t="s">
        <v>7402</v>
      </c>
      <c r="F5170" s="18" t="s">
        <v>7403</v>
      </c>
      <c r="G5170" s="207" t="s">
        <v>7404</v>
      </c>
      <c r="H5170" s="18" t="s">
        <v>7405</v>
      </c>
      <c r="I5170" s="156" t="s">
        <v>7441</v>
      </c>
      <c r="J5170" s="18" t="s">
        <v>7442</v>
      </c>
      <c r="K5170" s="156" t="s">
        <v>7443</v>
      </c>
      <c r="L5170" s="18" t="s">
        <v>7444</v>
      </c>
      <c r="M5170" s="18" t="s">
        <v>7453</v>
      </c>
      <c r="N5170" s="18">
        <v>0</v>
      </c>
      <c r="O5170" s="18">
        <v>40</v>
      </c>
      <c r="P5170" s="16">
        <v>55</v>
      </c>
      <c r="Q5170" s="16">
        <v>70</v>
      </c>
      <c r="R5170" s="16">
        <v>90</v>
      </c>
      <c r="S5170" s="16">
        <v>120</v>
      </c>
      <c r="T5170" s="18" t="s">
        <v>831</v>
      </c>
      <c r="U5170" t="str">
        <f>VLOOKUP(T5170,[8]Votes!$A$1:$E$234,3,FALSE)</f>
        <v>108 National Planning Authority</v>
      </c>
      <c r="V5170" s="18" t="s">
        <v>7454</v>
      </c>
      <c r="W5170" s="48">
        <v>1</v>
      </c>
      <c r="X5170" s="48">
        <v>0</v>
      </c>
      <c r="Y5170" s="48">
        <v>0</v>
      </c>
      <c r="Z5170" s="48">
        <v>1</v>
      </c>
      <c r="AA5170" s="48">
        <v>1</v>
      </c>
      <c r="AB5170" s="48">
        <v>1</v>
      </c>
      <c r="AC5170" s="150">
        <v>1</v>
      </c>
      <c r="AD5170" s="150">
        <v>1</v>
      </c>
      <c r="AE5170" s="49">
        <f t="shared" si="190"/>
        <v>0.75</v>
      </c>
      <c r="AF5170" s="255"/>
      <c r="AG5170" s="17">
        <v>0</v>
      </c>
      <c r="AH5170" s="255">
        <v>0.59449999999999992</v>
      </c>
      <c r="AI5170" s="255">
        <v>6.2349999999999994</v>
      </c>
      <c r="AJ5170" s="255">
        <v>2.1749999999999998</v>
      </c>
      <c r="AK5170" s="256">
        <f>2.61/2</f>
        <v>1.3049999999999999</v>
      </c>
      <c r="AL5170" s="256">
        <f>4.495/2</f>
        <v>2.2475000000000001</v>
      </c>
      <c r="AM5170" s="147">
        <f t="shared" si="189"/>
        <v>3.5525000000000002</v>
      </c>
      <c r="AN5170" s="18" t="s">
        <v>831</v>
      </c>
      <c r="AO5170" s="18" t="s">
        <v>834</v>
      </c>
    </row>
    <row r="5171" spans="1:42" s="18" customFormat="1" ht="15" customHeight="1" x14ac:dyDescent="0.3">
      <c r="A5171" s="207" t="s">
        <v>7397</v>
      </c>
      <c r="B5171" s="18" t="s">
        <v>7398</v>
      </c>
      <c r="C5171" s="207" t="s">
        <v>7400</v>
      </c>
      <c r="D5171" s="18" t="s">
        <v>7401</v>
      </c>
      <c r="E5171" s="207" t="s">
        <v>7402</v>
      </c>
      <c r="F5171" s="18" t="s">
        <v>7403</v>
      </c>
      <c r="G5171" s="207" t="s">
        <v>7404</v>
      </c>
      <c r="H5171" s="18" t="s">
        <v>7405</v>
      </c>
      <c r="I5171" s="156" t="s">
        <v>7441</v>
      </c>
      <c r="J5171" s="18" t="s">
        <v>7442</v>
      </c>
      <c r="K5171" s="156" t="s">
        <v>7443</v>
      </c>
      <c r="L5171" s="18" t="s">
        <v>7444</v>
      </c>
      <c r="M5171" s="18" t="s">
        <v>7455</v>
      </c>
      <c r="N5171" s="18">
        <v>0</v>
      </c>
      <c r="O5171" s="18">
        <v>0</v>
      </c>
      <c r="P5171" s="16">
        <v>30</v>
      </c>
      <c r="Q5171" s="16">
        <v>50</v>
      </c>
      <c r="R5171" s="16">
        <v>80</v>
      </c>
      <c r="S5171" s="16">
        <v>100</v>
      </c>
      <c r="T5171" s="18" t="s">
        <v>831</v>
      </c>
      <c r="U5171" t="str">
        <f>VLOOKUP(T5171,[8]Votes!$A$1:$E$234,3,FALSE)</f>
        <v>108 National Planning Authority</v>
      </c>
      <c r="W5171" s="48"/>
      <c r="X5171" s="48"/>
      <c r="Y5171" s="48"/>
      <c r="Z5171" s="48"/>
      <c r="AA5171" s="48"/>
      <c r="AB5171" s="48"/>
      <c r="AC5171" s="150">
        <v>0</v>
      </c>
      <c r="AD5171" s="150">
        <v>0</v>
      </c>
      <c r="AE5171" s="49">
        <f t="shared" si="190"/>
        <v>0</v>
      </c>
      <c r="AF5171" s="17"/>
      <c r="AG5171" s="17">
        <v>0</v>
      </c>
      <c r="AH5171" s="17"/>
      <c r="AI5171" s="17"/>
      <c r="AJ5171" s="17"/>
      <c r="AK5171" s="154"/>
      <c r="AL5171" s="154"/>
      <c r="AM5171" s="147">
        <f t="shared" si="189"/>
        <v>0</v>
      </c>
    </row>
    <row r="5172" spans="1:42" s="18" customFormat="1" ht="15" customHeight="1" x14ac:dyDescent="0.3">
      <c r="A5172" s="207" t="s">
        <v>7397</v>
      </c>
      <c r="B5172" s="18" t="s">
        <v>7398</v>
      </c>
      <c r="C5172" s="207" t="s">
        <v>7400</v>
      </c>
      <c r="D5172" s="18" t="s">
        <v>7401</v>
      </c>
      <c r="E5172" s="207" t="s">
        <v>7402</v>
      </c>
      <c r="F5172" s="18" t="s">
        <v>7403</v>
      </c>
      <c r="G5172" s="207" t="s">
        <v>7404</v>
      </c>
      <c r="H5172" s="18" t="s">
        <v>7405</v>
      </c>
      <c r="I5172" s="156" t="s">
        <v>7441</v>
      </c>
      <c r="J5172" s="18" t="s">
        <v>7442</v>
      </c>
      <c r="K5172" s="156" t="s">
        <v>7443</v>
      </c>
      <c r="L5172" s="18" t="s">
        <v>7444</v>
      </c>
      <c r="M5172" s="18" t="s">
        <v>7456</v>
      </c>
      <c r="N5172" s="18">
        <v>0</v>
      </c>
      <c r="O5172" s="18">
        <v>40</v>
      </c>
      <c r="P5172" s="16">
        <v>55</v>
      </c>
      <c r="Q5172" s="16">
        <v>70</v>
      </c>
      <c r="R5172" s="16">
        <v>85</v>
      </c>
      <c r="S5172" s="16">
        <v>100</v>
      </c>
      <c r="T5172" s="18" t="s">
        <v>831</v>
      </c>
      <c r="U5172" t="str">
        <f>VLOOKUP(T5172,[8]Votes!$A$1:$E$234,3,FALSE)</f>
        <v>108 National Planning Authority</v>
      </c>
      <c r="W5172" s="48"/>
      <c r="X5172" s="48"/>
      <c r="Y5172" s="48"/>
      <c r="Z5172" s="48"/>
      <c r="AA5172" s="48"/>
      <c r="AB5172" s="48"/>
      <c r="AC5172" s="150">
        <v>0</v>
      </c>
      <c r="AD5172" s="150">
        <v>0</v>
      </c>
      <c r="AE5172" s="49">
        <f t="shared" si="190"/>
        <v>0</v>
      </c>
      <c r="AF5172" s="17"/>
      <c r="AG5172" s="17">
        <v>0</v>
      </c>
      <c r="AH5172" s="17"/>
      <c r="AI5172" s="17"/>
      <c r="AJ5172" s="17"/>
      <c r="AK5172" s="154"/>
      <c r="AL5172" s="154"/>
      <c r="AM5172" s="147">
        <f t="shared" si="189"/>
        <v>0</v>
      </c>
    </row>
    <row r="5173" spans="1:42" s="18" customFormat="1" ht="15" customHeight="1" x14ac:dyDescent="0.3">
      <c r="A5173" s="207" t="s">
        <v>7397</v>
      </c>
      <c r="B5173" s="18" t="s">
        <v>7398</v>
      </c>
      <c r="C5173" s="207" t="s">
        <v>7400</v>
      </c>
      <c r="D5173" s="18" t="s">
        <v>7401</v>
      </c>
      <c r="E5173" s="207" t="s">
        <v>7402</v>
      </c>
      <c r="F5173" s="18" t="s">
        <v>7403</v>
      </c>
      <c r="G5173" s="207" t="s">
        <v>7404</v>
      </c>
      <c r="H5173" s="18" t="s">
        <v>7405</v>
      </c>
      <c r="I5173" s="156" t="s">
        <v>7441</v>
      </c>
      <c r="J5173" s="18" t="s">
        <v>7442</v>
      </c>
      <c r="K5173" s="156" t="s">
        <v>7443</v>
      </c>
      <c r="L5173" s="18" t="s">
        <v>7444</v>
      </c>
      <c r="M5173" s="18" t="s">
        <v>7457</v>
      </c>
      <c r="N5173" s="18">
        <v>0</v>
      </c>
      <c r="O5173" s="18">
        <v>20</v>
      </c>
      <c r="P5173" s="16">
        <v>25</v>
      </c>
      <c r="Q5173" s="16">
        <v>30</v>
      </c>
      <c r="R5173" s="16">
        <v>35</v>
      </c>
      <c r="S5173" s="16">
        <v>40</v>
      </c>
      <c r="T5173" s="18" t="s">
        <v>831</v>
      </c>
      <c r="U5173" t="str">
        <f>VLOOKUP(T5173,[8]Votes!$A$1:$E$234,3,FALSE)</f>
        <v>108 National Planning Authority</v>
      </c>
      <c r="W5173" s="48"/>
      <c r="X5173" s="48"/>
      <c r="Y5173" s="48"/>
      <c r="Z5173" s="48"/>
      <c r="AA5173" s="48"/>
      <c r="AB5173" s="48"/>
      <c r="AC5173" s="150">
        <v>0</v>
      </c>
      <c r="AD5173" s="150">
        <v>0</v>
      </c>
      <c r="AE5173" s="49">
        <f t="shared" si="190"/>
        <v>0</v>
      </c>
      <c r="AF5173" s="17"/>
      <c r="AG5173" s="17">
        <v>0</v>
      </c>
      <c r="AH5173" s="17"/>
      <c r="AI5173" s="17"/>
      <c r="AJ5173" s="17"/>
      <c r="AK5173" s="154"/>
      <c r="AL5173" s="154"/>
      <c r="AM5173" s="147">
        <f t="shared" si="189"/>
        <v>0</v>
      </c>
    </row>
    <row r="5174" spans="1:42" s="18" customFormat="1" ht="15" customHeight="1" x14ac:dyDescent="0.3">
      <c r="A5174" s="207" t="s">
        <v>7397</v>
      </c>
      <c r="B5174" s="18" t="s">
        <v>7398</v>
      </c>
      <c r="C5174" s="207" t="s">
        <v>7400</v>
      </c>
      <c r="D5174" s="18" t="s">
        <v>7401</v>
      </c>
      <c r="E5174" s="207" t="s">
        <v>7402</v>
      </c>
      <c r="F5174" s="18" t="s">
        <v>7403</v>
      </c>
      <c r="G5174" s="207" t="s">
        <v>7404</v>
      </c>
      <c r="H5174" s="18" t="s">
        <v>7405</v>
      </c>
      <c r="I5174" s="156" t="s">
        <v>7441</v>
      </c>
      <c r="J5174" s="18" t="s">
        <v>7442</v>
      </c>
      <c r="K5174" s="156" t="s">
        <v>7443</v>
      </c>
      <c r="L5174" s="18" t="s">
        <v>7444</v>
      </c>
      <c r="M5174" s="18" t="s">
        <v>7458</v>
      </c>
      <c r="N5174" s="18">
        <v>0</v>
      </c>
      <c r="O5174" s="18">
        <v>65</v>
      </c>
      <c r="P5174" s="16">
        <v>60</v>
      </c>
      <c r="Q5174" s="16">
        <v>50</v>
      </c>
      <c r="R5174" s="16">
        <v>50</v>
      </c>
      <c r="S5174" s="16">
        <v>50</v>
      </c>
      <c r="T5174" s="18" t="s">
        <v>831</v>
      </c>
      <c r="U5174" t="str">
        <f>VLOOKUP(T5174,[8]Votes!$A$1:$E$234,3,FALSE)</f>
        <v>108 National Planning Authority</v>
      </c>
      <c r="W5174" s="48"/>
      <c r="X5174" s="48"/>
      <c r="Y5174" s="48"/>
      <c r="Z5174" s="48"/>
      <c r="AA5174" s="48"/>
      <c r="AB5174" s="48"/>
      <c r="AC5174" s="150">
        <v>0</v>
      </c>
      <c r="AD5174" s="150">
        <v>0</v>
      </c>
      <c r="AE5174" s="49">
        <f t="shared" si="190"/>
        <v>0</v>
      </c>
      <c r="AF5174" s="17"/>
      <c r="AG5174" s="17">
        <v>0</v>
      </c>
      <c r="AH5174" s="17"/>
      <c r="AI5174" s="17"/>
      <c r="AJ5174" s="17"/>
      <c r="AK5174" s="154"/>
      <c r="AL5174" s="154"/>
      <c r="AM5174" s="147">
        <f t="shared" si="189"/>
        <v>0</v>
      </c>
    </row>
    <row r="5175" spans="1:42" s="18" customFormat="1" ht="15" customHeight="1" x14ac:dyDescent="0.3">
      <c r="A5175" s="207" t="s">
        <v>7397</v>
      </c>
      <c r="B5175" s="18" t="s">
        <v>7398</v>
      </c>
      <c r="C5175" s="207" t="s">
        <v>7400</v>
      </c>
      <c r="D5175" s="18" t="s">
        <v>7401</v>
      </c>
      <c r="E5175" s="207" t="s">
        <v>7402</v>
      </c>
      <c r="F5175" s="18" t="s">
        <v>7403</v>
      </c>
      <c r="G5175" s="207" t="s">
        <v>7404</v>
      </c>
      <c r="H5175" s="18" t="s">
        <v>7405</v>
      </c>
      <c r="I5175" s="156" t="s">
        <v>7441</v>
      </c>
      <c r="J5175" s="18" t="s">
        <v>7442</v>
      </c>
      <c r="K5175" s="156" t="s">
        <v>7443</v>
      </c>
      <c r="L5175" s="18" t="s">
        <v>7444</v>
      </c>
      <c r="P5175" s="16"/>
      <c r="Q5175" s="16"/>
      <c r="R5175" s="16"/>
      <c r="S5175" s="16"/>
      <c r="U5175" t="e">
        <f>VLOOKUP(T5175,[8]Votes!$A$1:$E$234,3,FALSE)</f>
        <v>#N/A</v>
      </c>
      <c r="W5175" s="48"/>
      <c r="X5175" s="48"/>
      <c r="Y5175" s="48"/>
      <c r="Z5175" s="48"/>
      <c r="AA5175" s="48"/>
      <c r="AB5175" s="48"/>
      <c r="AC5175" s="150">
        <v>0</v>
      </c>
      <c r="AD5175" s="150">
        <v>0</v>
      </c>
      <c r="AE5175" s="49">
        <f t="shared" si="190"/>
        <v>0</v>
      </c>
      <c r="AF5175" s="17"/>
      <c r="AG5175" s="17">
        <v>0</v>
      </c>
      <c r="AH5175" s="17"/>
      <c r="AI5175" s="17"/>
      <c r="AJ5175" s="17"/>
      <c r="AK5175" s="154"/>
      <c r="AL5175" s="154"/>
      <c r="AM5175" s="147">
        <f t="shared" si="189"/>
        <v>0</v>
      </c>
    </row>
    <row r="5176" spans="1:42" s="18" customFormat="1" x14ac:dyDescent="0.3">
      <c r="A5176" s="207" t="s">
        <v>7397</v>
      </c>
      <c r="B5176" s="18" t="s">
        <v>7398</v>
      </c>
      <c r="C5176" s="207" t="s">
        <v>7400</v>
      </c>
      <c r="D5176" s="18" t="s">
        <v>7401</v>
      </c>
      <c r="E5176" s="207" t="s">
        <v>7402</v>
      </c>
      <c r="F5176" s="18" t="s">
        <v>7403</v>
      </c>
      <c r="G5176" s="207" t="s">
        <v>7404</v>
      </c>
      <c r="H5176" s="18" t="s">
        <v>7405</v>
      </c>
      <c r="I5176" s="156" t="s">
        <v>7459</v>
      </c>
      <c r="J5176" s="18" t="s">
        <v>7460</v>
      </c>
      <c r="K5176" s="156" t="s">
        <v>7461</v>
      </c>
      <c r="L5176" s="18" t="s">
        <v>7462</v>
      </c>
      <c r="M5176" s="18" t="s">
        <v>7463</v>
      </c>
      <c r="N5176" s="18">
        <v>0</v>
      </c>
      <c r="O5176" s="18">
        <v>0</v>
      </c>
      <c r="P5176" s="16">
        <v>0</v>
      </c>
      <c r="Q5176" s="16">
        <v>0</v>
      </c>
      <c r="R5176" s="16">
        <v>0</v>
      </c>
      <c r="S5176" s="16">
        <v>0</v>
      </c>
      <c r="T5176" s="18" t="s">
        <v>831</v>
      </c>
      <c r="U5176" t="str">
        <f>VLOOKUP(T5176,[8]Votes!$A$1:$E$234,3,FALSE)</f>
        <v>108 National Planning Authority</v>
      </c>
      <c r="V5176" s="18" t="s">
        <v>7464</v>
      </c>
      <c r="W5176" s="48">
        <v>0</v>
      </c>
      <c r="X5176" s="48">
        <v>0</v>
      </c>
      <c r="Y5176" s="48">
        <v>0</v>
      </c>
      <c r="Z5176" s="48">
        <v>1</v>
      </c>
      <c r="AA5176" s="48">
        <v>1</v>
      </c>
      <c r="AB5176" s="48">
        <v>0</v>
      </c>
      <c r="AC5176" s="150">
        <v>1</v>
      </c>
      <c r="AD5176" s="150">
        <v>1</v>
      </c>
      <c r="AE5176" s="49">
        <f t="shared" si="190"/>
        <v>0.5</v>
      </c>
      <c r="AF5176" s="255"/>
      <c r="AG5176" s="17">
        <v>0</v>
      </c>
      <c r="AH5176" s="255">
        <v>0</v>
      </c>
      <c r="AI5176" s="255">
        <v>0</v>
      </c>
      <c r="AJ5176" s="255">
        <v>0.72499999999999998</v>
      </c>
      <c r="AK5176" s="256">
        <v>0</v>
      </c>
      <c r="AL5176" s="256">
        <v>0</v>
      </c>
      <c r="AM5176" s="147">
        <f t="shared" si="189"/>
        <v>0</v>
      </c>
      <c r="AN5176" s="18" t="s">
        <v>831</v>
      </c>
      <c r="AO5176" s="18" t="s">
        <v>834</v>
      </c>
    </row>
    <row r="5177" spans="1:42" s="18" customFormat="1" ht="15" customHeight="1" x14ac:dyDescent="0.3">
      <c r="A5177" s="207" t="s">
        <v>7397</v>
      </c>
      <c r="B5177" s="18" t="s">
        <v>7398</v>
      </c>
      <c r="C5177" s="207" t="s">
        <v>7400</v>
      </c>
      <c r="D5177" s="18" t="s">
        <v>7401</v>
      </c>
      <c r="E5177" s="207" t="s">
        <v>7402</v>
      </c>
      <c r="F5177" s="18" t="s">
        <v>7403</v>
      </c>
      <c r="G5177" s="207" t="s">
        <v>7404</v>
      </c>
      <c r="H5177" s="18" t="s">
        <v>7405</v>
      </c>
      <c r="I5177" s="156" t="s">
        <v>7465</v>
      </c>
      <c r="J5177" s="18" t="s">
        <v>7466</v>
      </c>
      <c r="K5177" s="156" t="s">
        <v>7467</v>
      </c>
      <c r="L5177" s="18" t="s">
        <v>7468</v>
      </c>
      <c r="M5177" s="18" t="s">
        <v>7469</v>
      </c>
      <c r="N5177" s="18">
        <v>0</v>
      </c>
      <c r="O5177" s="18">
        <v>4</v>
      </c>
      <c r="P5177" s="16">
        <v>4</v>
      </c>
      <c r="Q5177" s="16">
        <v>4</v>
      </c>
      <c r="R5177" s="16">
        <v>4</v>
      </c>
      <c r="S5177" s="16">
        <v>4</v>
      </c>
      <c r="T5177" s="18" t="s">
        <v>921</v>
      </c>
      <c r="U5177" t="str">
        <f>VLOOKUP(T5177,[8]Votes!$A$1:$E$234,3,FALSE)</f>
        <v>008 Ministry of Finance, Planning &amp; Economic Dev.</v>
      </c>
      <c r="V5177" s="18" t="s">
        <v>7470</v>
      </c>
      <c r="W5177" s="48">
        <v>1</v>
      </c>
      <c r="X5177" s="48">
        <v>1</v>
      </c>
      <c r="Y5177" s="48">
        <v>0</v>
      </c>
      <c r="Z5177" s="48">
        <v>1</v>
      </c>
      <c r="AA5177" s="48">
        <v>1</v>
      </c>
      <c r="AB5177" s="48">
        <v>0</v>
      </c>
      <c r="AC5177" s="150">
        <v>1</v>
      </c>
      <c r="AD5177" s="150">
        <v>1</v>
      </c>
      <c r="AE5177" s="49">
        <f t="shared" si="190"/>
        <v>0.75</v>
      </c>
      <c r="AF5177" s="255"/>
      <c r="AG5177" s="17">
        <v>0</v>
      </c>
      <c r="AH5177" s="255">
        <v>0</v>
      </c>
      <c r="AI5177" s="255">
        <v>1.595</v>
      </c>
      <c r="AJ5177" s="255">
        <v>1.595</v>
      </c>
      <c r="AK5177" s="256">
        <f>1.595/2</f>
        <v>0.79749999999999999</v>
      </c>
      <c r="AL5177" s="256">
        <f>1.595/2</f>
        <v>0.79749999999999999</v>
      </c>
      <c r="AM5177" s="147">
        <f t="shared" si="189"/>
        <v>1.595</v>
      </c>
      <c r="AN5177" s="18" t="s">
        <v>921</v>
      </c>
      <c r="AO5177" s="18" t="s">
        <v>880</v>
      </c>
    </row>
    <row r="5178" spans="1:42" s="18" customFormat="1" ht="15" customHeight="1" x14ac:dyDescent="0.3">
      <c r="A5178" s="207" t="s">
        <v>7397</v>
      </c>
      <c r="B5178" s="18" t="s">
        <v>7398</v>
      </c>
      <c r="C5178" s="207" t="s">
        <v>7400</v>
      </c>
      <c r="D5178" s="18" t="s">
        <v>7401</v>
      </c>
      <c r="E5178" s="207" t="s">
        <v>7402</v>
      </c>
      <c r="F5178" s="18" t="s">
        <v>7403</v>
      </c>
      <c r="G5178" s="207" t="s">
        <v>7404</v>
      </c>
      <c r="H5178" s="18" t="s">
        <v>7405</v>
      </c>
      <c r="I5178" s="156" t="s">
        <v>7465</v>
      </c>
      <c r="J5178" s="18" t="s">
        <v>7466</v>
      </c>
      <c r="K5178" s="156" t="s">
        <v>7471</v>
      </c>
      <c r="L5178" s="18" t="s">
        <v>7472</v>
      </c>
      <c r="M5178" s="18" t="s">
        <v>7473</v>
      </c>
      <c r="N5178" s="18">
        <v>0</v>
      </c>
      <c r="O5178" s="18">
        <v>15</v>
      </c>
      <c r="P5178" s="16">
        <v>15</v>
      </c>
      <c r="Q5178" s="16">
        <v>15</v>
      </c>
      <c r="R5178" s="16">
        <v>15</v>
      </c>
      <c r="S5178" s="16">
        <v>15</v>
      </c>
      <c r="T5178" s="18" t="s">
        <v>921</v>
      </c>
      <c r="U5178" t="str">
        <f>VLOOKUP(T5178,[8]Votes!$A$1:$E$234,3,FALSE)</f>
        <v>008 Ministry of Finance, Planning &amp; Economic Dev.</v>
      </c>
      <c r="W5178" s="48"/>
      <c r="X5178" s="48"/>
      <c r="Y5178" s="48"/>
      <c r="Z5178" s="48"/>
      <c r="AA5178" s="48"/>
      <c r="AB5178" s="48"/>
      <c r="AC5178" s="150">
        <v>0</v>
      </c>
      <c r="AD5178" s="150">
        <v>0</v>
      </c>
      <c r="AE5178" s="49">
        <f t="shared" si="190"/>
        <v>0</v>
      </c>
      <c r="AF5178" s="17"/>
      <c r="AG5178" s="17">
        <v>0</v>
      </c>
      <c r="AH5178" s="17"/>
      <c r="AI5178" s="17"/>
      <c r="AJ5178" s="17"/>
      <c r="AK5178" s="154"/>
      <c r="AL5178" s="154"/>
      <c r="AM5178" s="147">
        <f t="shared" si="189"/>
        <v>0</v>
      </c>
    </row>
    <row r="5179" spans="1:42" s="18" customFormat="1" ht="15" customHeight="1" x14ac:dyDescent="0.3">
      <c r="A5179" s="207" t="s">
        <v>7397</v>
      </c>
      <c r="B5179" s="18" t="s">
        <v>7398</v>
      </c>
      <c r="C5179" s="207" t="s">
        <v>7400</v>
      </c>
      <c r="D5179" s="18" t="s">
        <v>7401</v>
      </c>
      <c r="E5179" s="207" t="s">
        <v>7402</v>
      </c>
      <c r="F5179" s="18" t="s">
        <v>7403</v>
      </c>
      <c r="G5179" s="207" t="s">
        <v>7404</v>
      </c>
      <c r="H5179" s="18" t="s">
        <v>7405</v>
      </c>
      <c r="I5179" s="156" t="s">
        <v>7474</v>
      </c>
      <c r="J5179" s="18" t="s">
        <v>7475</v>
      </c>
      <c r="K5179" s="359" t="s">
        <v>7476</v>
      </c>
      <c r="L5179" s="18" t="s">
        <v>7477</v>
      </c>
      <c r="M5179" s="18" t="s">
        <v>7478</v>
      </c>
      <c r="N5179" s="18">
        <v>0</v>
      </c>
      <c r="O5179" s="18">
        <v>0</v>
      </c>
      <c r="P5179" s="16">
        <v>0</v>
      </c>
      <c r="Q5179" s="16">
        <v>0</v>
      </c>
      <c r="R5179" s="16">
        <v>0</v>
      </c>
      <c r="S5179" s="16">
        <v>1</v>
      </c>
      <c r="T5179" s="18" t="s">
        <v>921</v>
      </c>
      <c r="U5179" t="str">
        <f>VLOOKUP(T5179,[8]Votes!$A$1:$E$234,3,FALSE)</f>
        <v>008 Ministry of Finance, Planning &amp; Economic Dev.</v>
      </c>
      <c r="V5179" s="18" t="s">
        <v>7479</v>
      </c>
      <c r="W5179" s="48">
        <v>1</v>
      </c>
      <c r="X5179" s="48">
        <v>1</v>
      </c>
      <c r="Y5179" s="48">
        <v>0</v>
      </c>
      <c r="Z5179" s="48">
        <v>1</v>
      </c>
      <c r="AA5179" s="48">
        <v>1</v>
      </c>
      <c r="AB5179" s="48">
        <v>1</v>
      </c>
      <c r="AC5179" s="150">
        <v>0</v>
      </c>
      <c r="AD5179" s="150">
        <v>1</v>
      </c>
      <c r="AE5179" s="49">
        <f t="shared" si="190"/>
        <v>0.75</v>
      </c>
      <c r="AF5179" s="255"/>
      <c r="AG5179" s="17">
        <v>0</v>
      </c>
      <c r="AH5179" s="255">
        <v>1.0149999999999999</v>
      </c>
      <c r="AI5179" s="255">
        <v>1.0149999999999999</v>
      </c>
      <c r="AJ5179" s="255">
        <v>1.0149999999999999</v>
      </c>
      <c r="AK5179" s="256">
        <f>1.015/2</f>
        <v>0.50749999999999995</v>
      </c>
      <c r="AL5179" s="256">
        <f>1.015/2</f>
        <v>0.50749999999999995</v>
      </c>
      <c r="AM5179" s="147">
        <f t="shared" si="189"/>
        <v>1.0149999999999999</v>
      </c>
      <c r="AN5179" s="18" t="s">
        <v>921</v>
      </c>
      <c r="AO5179" s="18" t="s">
        <v>880</v>
      </c>
    </row>
    <row r="5180" spans="1:42" s="18" customFormat="1" ht="15" customHeight="1" x14ac:dyDescent="0.3">
      <c r="A5180" s="207" t="s">
        <v>7397</v>
      </c>
      <c r="B5180" s="18" t="s">
        <v>7398</v>
      </c>
      <c r="C5180" s="207" t="s">
        <v>7400</v>
      </c>
      <c r="D5180" s="18" t="s">
        <v>7401</v>
      </c>
      <c r="E5180" s="207" t="s">
        <v>7402</v>
      </c>
      <c r="F5180" s="18" t="s">
        <v>7403</v>
      </c>
      <c r="G5180" s="207" t="s">
        <v>7404</v>
      </c>
      <c r="H5180" s="18" t="s">
        <v>7405</v>
      </c>
      <c r="I5180" s="156" t="s">
        <v>7474</v>
      </c>
      <c r="J5180" s="18" t="s">
        <v>7475</v>
      </c>
      <c r="K5180" s="359" t="s">
        <v>7480</v>
      </c>
      <c r="L5180" s="18" t="s">
        <v>7481</v>
      </c>
      <c r="M5180" s="18" t="s">
        <v>7482</v>
      </c>
      <c r="N5180" s="18">
        <v>0</v>
      </c>
      <c r="O5180" s="18">
        <v>30</v>
      </c>
      <c r="P5180" s="16">
        <v>50</v>
      </c>
      <c r="Q5180" s="16">
        <v>60</v>
      </c>
      <c r="R5180" s="16">
        <v>70</v>
      </c>
      <c r="S5180" s="16">
        <v>80</v>
      </c>
      <c r="T5180" s="18" t="s">
        <v>921</v>
      </c>
      <c r="U5180" t="str">
        <f>VLOOKUP(T5180,[8]Votes!$A$1:$E$234,3,FALSE)</f>
        <v>008 Ministry of Finance, Planning &amp; Economic Dev.</v>
      </c>
      <c r="V5180" s="18" t="s">
        <v>7483</v>
      </c>
      <c r="W5180" s="48">
        <v>1</v>
      </c>
      <c r="X5180" s="48">
        <v>1</v>
      </c>
      <c r="Y5180" s="48">
        <v>0</v>
      </c>
      <c r="Z5180" s="48">
        <v>1</v>
      </c>
      <c r="AA5180" s="48">
        <v>1</v>
      </c>
      <c r="AB5180" s="48">
        <v>0</v>
      </c>
      <c r="AC5180" s="150">
        <v>1</v>
      </c>
      <c r="AD5180" s="150">
        <v>1</v>
      </c>
      <c r="AE5180" s="49">
        <f t="shared" si="190"/>
        <v>0.75</v>
      </c>
      <c r="AF5180" s="255"/>
      <c r="AG5180" s="17">
        <v>0</v>
      </c>
      <c r="AH5180" s="255">
        <v>0.10150000000000001</v>
      </c>
      <c r="AI5180" s="255">
        <v>0.10150000000000001</v>
      </c>
      <c r="AJ5180" s="255">
        <v>0.10150000000000001</v>
      </c>
      <c r="AK5180" s="256">
        <f>0.1015/2</f>
        <v>5.0750000000000003E-2</v>
      </c>
      <c r="AL5180" s="256">
        <f>0.4/2</f>
        <v>0.2</v>
      </c>
      <c r="AM5180" s="147">
        <f t="shared" si="189"/>
        <v>0.25075000000000003</v>
      </c>
      <c r="AN5180" s="18" t="s">
        <v>921</v>
      </c>
      <c r="AO5180" s="18" t="s">
        <v>880</v>
      </c>
    </row>
    <row r="5181" spans="1:42" s="18" customFormat="1" ht="15" customHeight="1" x14ac:dyDescent="0.3">
      <c r="A5181" s="207" t="s">
        <v>7397</v>
      </c>
      <c r="B5181" s="18" t="s">
        <v>7398</v>
      </c>
      <c r="C5181" s="207" t="s">
        <v>7400</v>
      </c>
      <c r="D5181" s="18" t="s">
        <v>7401</v>
      </c>
      <c r="E5181" s="207" t="s">
        <v>7402</v>
      </c>
      <c r="F5181" s="18" t="s">
        <v>7403</v>
      </c>
      <c r="G5181" s="207" t="s">
        <v>7404</v>
      </c>
      <c r="H5181" s="18" t="s">
        <v>7405</v>
      </c>
      <c r="I5181" s="156" t="s">
        <v>7474</v>
      </c>
      <c r="J5181" s="18" t="s">
        <v>7475</v>
      </c>
      <c r="K5181" s="359" t="s">
        <v>7484</v>
      </c>
      <c r="L5181" s="18" t="s">
        <v>7485</v>
      </c>
      <c r="M5181" s="18" t="s">
        <v>7486</v>
      </c>
      <c r="N5181" s="18">
        <v>0</v>
      </c>
      <c r="O5181" s="18">
        <v>70</v>
      </c>
      <c r="P5181" s="16">
        <v>85</v>
      </c>
      <c r="Q5181" s="16">
        <v>90</v>
      </c>
      <c r="R5181" s="16">
        <v>95</v>
      </c>
      <c r="S5181" s="16">
        <v>100</v>
      </c>
      <c r="T5181" s="18" t="s">
        <v>831</v>
      </c>
      <c r="U5181" t="str">
        <f>VLOOKUP(T5181,[8]Votes!$A$1:$E$234,3,FALSE)</f>
        <v>108 National Planning Authority</v>
      </c>
      <c r="V5181" s="18" t="s">
        <v>7487</v>
      </c>
      <c r="W5181" s="48">
        <v>1</v>
      </c>
      <c r="X5181" s="48">
        <v>1</v>
      </c>
      <c r="Y5181" s="48">
        <v>0</v>
      </c>
      <c r="Z5181" s="48">
        <v>1</v>
      </c>
      <c r="AA5181" s="48">
        <v>1</v>
      </c>
      <c r="AB5181" s="48">
        <v>0</v>
      </c>
      <c r="AC5181" s="150">
        <v>1</v>
      </c>
      <c r="AD5181" s="150">
        <v>1</v>
      </c>
      <c r="AE5181" s="49">
        <f t="shared" si="190"/>
        <v>0.75</v>
      </c>
      <c r="AF5181" s="255"/>
      <c r="AG5181" s="17">
        <v>0</v>
      </c>
      <c r="AH5181" s="255">
        <v>5.8</v>
      </c>
      <c r="AI5181" s="255">
        <v>5.8</v>
      </c>
      <c r="AJ5181" s="255">
        <v>5.8</v>
      </c>
      <c r="AK5181" s="383">
        <v>5.8</v>
      </c>
      <c r="AL5181" s="383">
        <v>5.8</v>
      </c>
      <c r="AM5181" s="147">
        <f t="shared" si="189"/>
        <v>11.6</v>
      </c>
      <c r="AN5181" s="18" t="s">
        <v>831</v>
      </c>
      <c r="AO5181" s="18" t="s">
        <v>834</v>
      </c>
    </row>
    <row r="5182" spans="1:42" s="18" customFormat="1" ht="15" customHeight="1" x14ac:dyDescent="0.3">
      <c r="A5182" s="207" t="s">
        <v>7397</v>
      </c>
      <c r="B5182" s="18" t="s">
        <v>7398</v>
      </c>
      <c r="C5182" s="207" t="s">
        <v>7400</v>
      </c>
      <c r="D5182" s="18" t="s">
        <v>7401</v>
      </c>
      <c r="E5182" s="207" t="s">
        <v>7402</v>
      </c>
      <c r="F5182" s="18" t="s">
        <v>7403</v>
      </c>
      <c r="G5182" s="208" t="s">
        <v>7488</v>
      </c>
      <c r="H5182" s="18" t="s">
        <v>7489</v>
      </c>
      <c r="I5182" s="156" t="s">
        <v>7490</v>
      </c>
      <c r="J5182" s="18" t="s">
        <v>7491</v>
      </c>
      <c r="K5182" s="156" t="s">
        <v>7492</v>
      </c>
      <c r="L5182" s="18" t="s">
        <v>7493</v>
      </c>
      <c r="M5182" s="18" t="s">
        <v>7494</v>
      </c>
      <c r="N5182" s="18">
        <v>0</v>
      </c>
      <c r="O5182" s="18">
        <v>25</v>
      </c>
      <c r="P5182" s="16">
        <v>50</v>
      </c>
      <c r="Q5182" s="16">
        <v>75</v>
      </c>
      <c r="R5182" s="16">
        <v>100</v>
      </c>
      <c r="S5182" s="16">
        <v>100</v>
      </c>
      <c r="T5182" s="18" t="s">
        <v>7495</v>
      </c>
      <c r="U5182" t="e">
        <f>VLOOKUP(T5182,[8]Votes!$A$1:$E$234,3,FALSE)</f>
        <v>#N/A</v>
      </c>
      <c r="V5182" s="18" t="s">
        <v>7496</v>
      </c>
      <c r="W5182" s="48">
        <v>1</v>
      </c>
      <c r="X5182" s="48">
        <v>1</v>
      </c>
      <c r="Y5182" s="48">
        <v>1</v>
      </c>
      <c r="Z5182" s="48">
        <v>1</v>
      </c>
      <c r="AA5182" s="48">
        <v>1</v>
      </c>
      <c r="AB5182" s="48">
        <v>1</v>
      </c>
      <c r="AC5182" s="150">
        <v>1</v>
      </c>
      <c r="AD5182" s="150">
        <v>1</v>
      </c>
      <c r="AE5182" s="49">
        <f t="shared" si="190"/>
        <v>1</v>
      </c>
      <c r="AF5182" s="255"/>
      <c r="AG5182" s="17">
        <v>0</v>
      </c>
      <c r="AH5182" s="255">
        <v>560</v>
      </c>
      <c r="AI5182" s="255">
        <v>260</v>
      </c>
      <c r="AJ5182" s="255">
        <v>350</v>
      </c>
      <c r="AK5182" s="256">
        <v>0</v>
      </c>
      <c r="AL5182" s="256">
        <v>0</v>
      </c>
      <c r="AM5182" s="147">
        <f t="shared" si="189"/>
        <v>0</v>
      </c>
      <c r="AN5182" s="18" t="s">
        <v>255</v>
      </c>
      <c r="AO5182" s="18" t="s">
        <v>1045</v>
      </c>
      <c r="AP5182" s="18" t="s">
        <v>982</v>
      </c>
    </row>
    <row r="5183" spans="1:42" s="18" customFormat="1" ht="15" customHeight="1" x14ac:dyDescent="0.3">
      <c r="A5183" s="207" t="s">
        <v>7397</v>
      </c>
      <c r="B5183" s="18" t="s">
        <v>7398</v>
      </c>
      <c r="C5183" s="207" t="s">
        <v>7400</v>
      </c>
      <c r="D5183" s="18" t="s">
        <v>7401</v>
      </c>
      <c r="E5183" s="207" t="s">
        <v>7402</v>
      </c>
      <c r="F5183" s="18" t="s">
        <v>7403</v>
      </c>
      <c r="G5183" s="208" t="s">
        <v>7497</v>
      </c>
      <c r="H5183" s="18" t="s">
        <v>7498</v>
      </c>
      <c r="I5183" s="156" t="s">
        <v>7499</v>
      </c>
      <c r="J5183" s="18" t="s">
        <v>7498</v>
      </c>
      <c r="K5183" s="156" t="s">
        <v>7500</v>
      </c>
      <c r="L5183" s="18" t="s">
        <v>7501</v>
      </c>
      <c r="M5183" s="18" t="s">
        <v>7502</v>
      </c>
      <c r="N5183" s="18">
        <v>0</v>
      </c>
      <c r="O5183" s="18">
        <v>0</v>
      </c>
      <c r="P5183" s="16">
        <v>1</v>
      </c>
      <c r="Q5183" s="16">
        <v>0</v>
      </c>
      <c r="R5183" s="16">
        <v>0</v>
      </c>
      <c r="S5183" s="16">
        <v>0</v>
      </c>
      <c r="T5183" s="18" t="s">
        <v>831</v>
      </c>
      <c r="U5183" t="str">
        <f>VLOOKUP(T5183,[8]Votes!$A$1:$E$234,3,FALSE)</f>
        <v>108 National Planning Authority</v>
      </c>
      <c r="V5183" s="18" t="s">
        <v>7503</v>
      </c>
      <c r="W5183" s="48">
        <v>1</v>
      </c>
      <c r="X5183" s="48">
        <v>1</v>
      </c>
      <c r="Y5183" s="48">
        <v>1</v>
      </c>
      <c r="Z5183" s="48">
        <v>1</v>
      </c>
      <c r="AA5183" s="48">
        <v>1</v>
      </c>
      <c r="AB5183" s="48">
        <v>0</v>
      </c>
      <c r="AC5183" s="150">
        <v>1</v>
      </c>
      <c r="AD5183" s="150">
        <v>1</v>
      </c>
      <c r="AE5183" s="49">
        <f t="shared" si="190"/>
        <v>0.875</v>
      </c>
      <c r="AF5183" s="255"/>
      <c r="AG5183" s="17">
        <v>0</v>
      </c>
      <c r="AH5183" s="255">
        <v>1.45</v>
      </c>
      <c r="AI5183" s="255">
        <v>0.72499999999999998</v>
      </c>
      <c r="AJ5183" s="255">
        <v>0</v>
      </c>
      <c r="AK5183" s="256">
        <f>0.2/2</f>
        <v>0.1</v>
      </c>
      <c r="AL5183" s="256">
        <f>0.15/2</f>
        <v>7.4999999999999997E-2</v>
      </c>
      <c r="AM5183" s="147">
        <f t="shared" si="189"/>
        <v>0.17499999999999999</v>
      </c>
      <c r="AN5183" s="18" t="s">
        <v>831</v>
      </c>
      <c r="AO5183" s="18" t="s">
        <v>834</v>
      </c>
    </row>
    <row r="5184" spans="1:42" s="18" customFormat="1" ht="15" customHeight="1" x14ac:dyDescent="0.3">
      <c r="A5184" s="207" t="s">
        <v>7397</v>
      </c>
      <c r="B5184" s="18" t="s">
        <v>7398</v>
      </c>
      <c r="C5184" s="207" t="s">
        <v>7400</v>
      </c>
      <c r="D5184" s="18" t="s">
        <v>7401</v>
      </c>
      <c r="E5184" s="207" t="s">
        <v>7402</v>
      </c>
      <c r="F5184" s="18" t="s">
        <v>7403</v>
      </c>
      <c r="G5184" s="208" t="s">
        <v>7504</v>
      </c>
      <c r="H5184" s="18" t="s">
        <v>7505</v>
      </c>
      <c r="I5184" s="156" t="s">
        <v>7504</v>
      </c>
      <c r="J5184" s="18" t="s">
        <v>7505</v>
      </c>
      <c r="K5184" s="156" t="s">
        <v>7506</v>
      </c>
      <c r="L5184" s="18" t="s">
        <v>7507</v>
      </c>
      <c r="M5184" s="18" t="s">
        <v>7508</v>
      </c>
      <c r="N5184" s="18">
        <v>0</v>
      </c>
      <c r="O5184" s="18">
        <v>50</v>
      </c>
      <c r="P5184" s="16">
        <v>60</v>
      </c>
      <c r="Q5184" s="16">
        <v>75</v>
      </c>
      <c r="R5184" s="16">
        <v>80</v>
      </c>
      <c r="S5184" s="16">
        <v>100</v>
      </c>
      <c r="T5184" s="18" t="s">
        <v>921</v>
      </c>
      <c r="U5184" t="str">
        <f>VLOOKUP(T5184,[8]Votes!$A$1:$E$234,3,FALSE)</f>
        <v>008 Ministry of Finance, Planning &amp; Economic Dev.</v>
      </c>
      <c r="W5184" s="48"/>
      <c r="X5184" s="48"/>
      <c r="Y5184" s="48"/>
      <c r="Z5184" s="48"/>
      <c r="AA5184" s="48"/>
      <c r="AB5184" s="48"/>
      <c r="AC5184" s="150">
        <v>0</v>
      </c>
      <c r="AD5184" s="150">
        <v>0</v>
      </c>
      <c r="AE5184" s="49">
        <f t="shared" si="190"/>
        <v>0</v>
      </c>
      <c r="AF5184" s="17"/>
      <c r="AG5184" s="17">
        <v>0</v>
      </c>
      <c r="AH5184" s="17"/>
      <c r="AI5184" s="17"/>
      <c r="AJ5184" s="17"/>
      <c r="AK5184" s="154"/>
      <c r="AL5184" s="154"/>
      <c r="AM5184" s="147">
        <f t="shared" si="189"/>
        <v>0</v>
      </c>
    </row>
    <row r="5185" spans="1:47" s="18" customFormat="1" ht="15" customHeight="1" x14ac:dyDescent="0.3">
      <c r="A5185" s="207" t="s">
        <v>7397</v>
      </c>
      <c r="B5185" s="18" t="s">
        <v>7398</v>
      </c>
      <c r="C5185" s="207" t="s">
        <v>7400</v>
      </c>
      <c r="D5185" s="18" t="s">
        <v>7401</v>
      </c>
      <c r="E5185" s="207" t="s">
        <v>7402</v>
      </c>
      <c r="F5185" s="18" t="s">
        <v>7403</v>
      </c>
      <c r="G5185" s="208" t="s">
        <v>7504</v>
      </c>
      <c r="H5185" s="18" t="s">
        <v>7505</v>
      </c>
      <c r="I5185" s="156" t="s">
        <v>7509</v>
      </c>
      <c r="J5185" s="18" t="s">
        <v>7510</v>
      </c>
      <c r="K5185" s="156" t="s">
        <v>7511</v>
      </c>
      <c r="L5185" s="18" t="s">
        <v>7512</v>
      </c>
      <c r="M5185" s="18" t="s">
        <v>7513</v>
      </c>
      <c r="N5185" s="18">
        <v>0</v>
      </c>
      <c r="O5185" s="18">
        <v>20</v>
      </c>
      <c r="P5185" s="16">
        <v>40</v>
      </c>
      <c r="Q5185" s="16">
        <v>60</v>
      </c>
      <c r="R5185" s="16">
        <v>80</v>
      </c>
      <c r="S5185" s="16">
        <v>100</v>
      </c>
      <c r="T5185" s="18" t="s">
        <v>1452</v>
      </c>
      <c r="U5185" t="str">
        <f>VLOOKUP(T5185,[8]Votes!$A$1:$E$234,3,FALSE)</f>
        <v>153 Public Procurement and Disposal of Public Assets Authority</v>
      </c>
      <c r="V5185" s="18" t="s">
        <v>7514</v>
      </c>
      <c r="W5185" s="48">
        <v>1</v>
      </c>
      <c r="X5185" s="48">
        <v>1</v>
      </c>
      <c r="Y5185" s="48">
        <v>0</v>
      </c>
      <c r="Z5185" s="48">
        <v>1</v>
      </c>
      <c r="AA5185" s="48">
        <v>1</v>
      </c>
      <c r="AB5185" s="48">
        <v>1</v>
      </c>
      <c r="AC5185" s="150">
        <v>0</v>
      </c>
      <c r="AD5185" s="150">
        <v>1</v>
      </c>
      <c r="AE5185" s="49">
        <f t="shared" si="190"/>
        <v>0.75</v>
      </c>
      <c r="AF5185" s="255"/>
      <c r="AG5185" s="17">
        <v>0</v>
      </c>
      <c r="AH5185" s="255">
        <v>0.28999999999999998</v>
      </c>
      <c r="AI5185" s="255">
        <v>0.36249999999999999</v>
      </c>
      <c r="AJ5185" s="255">
        <v>0.435</v>
      </c>
      <c r="AK5185" s="256">
        <f>0.58/2</f>
        <v>0.28999999999999998</v>
      </c>
      <c r="AL5185" s="256">
        <f>0.59/2</f>
        <v>0.29499999999999998</v>
      </c>
      <c r="AM5185" s="147">
        <f t="shared" si="189"/>
        <v>0.58499999999999996</v>
      </c>
      <c r="AN5185" s="18" t="s">
        <v>1452</v>
      </c>
      <c r="AO5185" s="18" t="s">
        <v>5363</v>
      </c>
    </row>
    <row r="5186" spans="1:47" s="18" customFormat="1" ht="15" customHeight="1" x14ac:dyDescent="0.3">
      <c r="A5186" s="207" t="s">
        <v>7397</v>
      </c>
      <c r="B5186" s="18" t="s">
        <v>7398</v>
      </c>
      <c r="C5186" s="207" t="s">
        <v>7400</v>
      </c>
      <c r="D5186" s="18" t="s">
        <v>7401</v>
      </c>
      <c r="E5186" s="207" t="s">
        <v>7402</v>
      </c>
      <c r="F5186" s="18" t="s">
        <v>7403</v>
      </c>
      <c r="G5186" s="208" t="s">
        <v>7504</v>
      </c>
      <c r="H5186" s="18" t="s">
        <v>7505</v>
      </c>
      <c r="I5186" s="156" t="s">
        <v>7509</v>
      </c>
      <c r="J5186" s="18" t="s">
        <v>7510</v>
      </c>
      <c r="K5186" s="156" t="s">
        <v>7515</v>
      </c>
      <c r="L5186" s="18" t="s">
        <v>7516</v>
      </c>
      <c r="M5186" s="18" t="s">
        <v>7517</v>
      </c>
      <c r="N5186" s="18">
        <v>50</v>
      </c>
      <c r="O5186" s="18">
        <v>60</v>
      </c>
      <c r="P5186" s="16">
        <v>70</v>
      </c>
      <c r="Q5186" s="16">
        <v>80</v>
      </c>
      <c r="R5186" s="16">
        <v>0</v>
      </c>
      <c r="S5186" s="16">
        <v>0</v>
      </c>
      <c r="T5186" s="18" t="s">
        <v>921</v>
      </c>
      <c r="U5186" t="str">
        <f>VLOOKUP(T5186,[8]Votes!$A$1:$E$234,3,FALSE)</f>
        <v>008 Ministry of Finance, Planning &amp; Economic Dev.</v>
      </c>
      <c r="V5186" s="18" t="s">
        <v>7518</v>
      </c>
      <c r="W5186" s="48">
        <v>1</v>
      </c>
      <c r="X5186" s="48">
        <v>0</v>
      </c>
      <c r="Y5186" s="48">
        <v>0</v>
      </c>
      <c r="Z5186" s="48">
        <v>1</v>
      </c>
      <c r="AA5186" s="48">
        <v>1</v>
      </c>
      <c r="AB5186" s="48">
        <v>0</v>
      </c>
      <c r="AC5186" s="150">
        <v>0</v>
      </c>
      <c r="AD5186" s="150">
        <v>1</v>
      </c>
      <c r="AE5186" s="49">
        <f t="shared" si="190"/>
        <v>0.5</v>
      </c>
      <c r="AF5186" s="255"/>
      <c r="AG5186" s="17">
        <v>0</v>
      </c>
      <c r="AH5186" s="255">
        <v>0</v>
      </c>
      <c r="AI5186" s="255">
        <v>0.435</v>
      </c>
      <c r="AJ5186" s="255">
        <v>0.435</v>
      </c>
      <c r="AK5186" s="256">
        <v>0</v>
      </c>
      <c r="AL5186" s="256">
        <v>0</v>
      </c>
      <c r="AM5186" s="147">
        <f t="shared" si="189"/>
        <v>0</v>
      </c>
      <c r="AN5186" s="18" t="s">
        <v>921</v>
      </c>
      <c r="AO5186" s="18" t="s">
        <v>880</v>
      </c>
    </row>
    <row r="5187" spans="1:47" s="18" customFormat="1" ht="15" customHeight="1" x14ac:dyDescent="0.3">
      <c r="A5187" s="207" t="s">
        <v>7397</v>
      </c>
      <c r="B5187" s="18" t="s">
        <v>7398</v>
      </c>
      <c r="C5187" s="207" t="s">
        <v>7400</v>
      </c>
      <c r="D5187" s="18" t="s">
        <v>7401</v>
      </c>
      <c r="E5187" s="207" t="s">
        <v>7402</v>
      </c>
      <c r="F5187" s="18" t="s">
        <v>7403</v>
      </c>
      <c r="G5187" s="208" t="s">
        <v>7504</v>
      </c>
      <c r="H5187" s="18" t="s">
        <v>7505</v>
      </c>
      <c r="I5187" s="156" t="s">
        <v>7509</v>
      </c>
      <c r="J5187" s="18" t="s">
        <v>7510</v>
      </c>
      <c r="K5187" s="156" t="s">
        <v>7515</v>
      </c>
      <c r="L5187" s="18" t="s">
        <v>7516</v>
      </c>
      <c r="M5187" s="18" t="s">
        <v>7519</v>
      </c>
      <c r="N5187" s="18">
        <v>0</v>
      </c>
      <c r="O5187" s="18">
        <v>0</v>
      </c>
      <c r="P5187" s="16">
        <v>10</v>
      </c>
      <c r="Q5187" s="16">
        <v>10</v>
      </c>
      <c r="R5187" s="16">
        <v>0</v>
      </c>
      <c r="S5187" s="16">
        <v>0</v>
      </c>
      <c r="T5187" s="18" t="s">
        <v>831</v>
      </c>
      <c r="U5187" t="str">
        <f>VLOOKUP(T5187,[8]Votes!$A$1:$E$234,3,FALSE)</f>
        <v>108 National Planning Authority</v>
      </c>
      <c r="V5187" s="18" t="s">
        <v>7520</v>
      </c>
      <c r="W5187" s="48">
        <v>1</v>
      </c>
      <c r="X5187" s="48">
        <v>1</v>
      </c>
      <c r="Y5187" s="48">
        <v>1</v>
      </c>
      <c r="Z5187" s="48">
        <v>1</v>
      </c>
      <c r="AA5187" s="48">
        <v>1</v>
      </c>
      <c r="AB5187" s="48">
        <v>1</v>
      </c>
      <c r="AC5187" s="150">
        <v>1</v>
      </c>
      <c r="AD5187" s="150">
        <v>1</v>
      </c>
      <c r="AE5187" s="49">
        <f t="shared" si="190"/>
        <v>1</v>
      </c>
      <c r="AF5187" s="255"/>
      <c r="AG5187" s="17">
        <v>0</v>
      </c>
      <c r="AH5187" s="255">
        <v>0.28999999999999998</v>
      </c>
      <c r="AI5187" s="255">
        <v>1.45</v>
      </c>
      <c r="AJ5187" s="255">
        <v>1.45</v>
      </c>
      <c r="AK5187" s="383">
        <v>5.18</v>
      </c>
      <c r="AL5187" s="383">
        <v>5.45</v>
      </c>
      <c r="AM5187" s="147">
        <f t="shared" si="189"/>
        <v>10.629999999999999</v>
      </c>
      <c r="AN5187" s="18" t="s">
        <v>831</v>
      </c>
      <c r="AO5187" s="18" t="s">
        <v>834</v>
      </c>
      <c r="AP5187" s="18" t="s">
        <v>982</v>
      </c>
    </row>
    <row r="5188" spans="1:47" s="18" customFormat="1" ht="15" customHeight="1" x14ac:dyDescent="0.3">
      <c r="A5188" s="207" t="s">
        <v>7397</v>
      </c>
      <c r="B5188" s="18" t="s">
        <v>7398</v>
      </c>
      <c r="C5188" s="207" t="s">
        <v>7400</v>
      </c>
      <c r="D5188" s="18" t="s">
        <v>7401</v>
      </c>
      <c r="E5188" s="207" t="s">
        <v>7402</v>
      </c>
      <c r="F5188" s="18" t="s">
        <v>7403</v>
      </c>
      <c r="G5188" s="208" t="s">
        <v>7504</v>
      </c>
      <c r="H5188" s="18" t="s">
        <v>7505</v>
      </c>
      <c r="I5188" s="156" t="s">
        <v>7509</v>
      </c>
      <c r="J5188" s="18" t="s">
        <v>7510</v>
      </c>
      <c r="K5188" s="156" t="s">
        <v>7515</v>
      </c>
      <c r="L5188" s="18" t="s">
        <v>7516</v>
      </c>
      <c r="P5188" s="16"/>
      <c r="Q5188" s="16"/>
      <c r="R5188" s="16"/>
      <c r="S5188" s="16"/>
      <c r="U5188" t="e">
        <f>VLOOKUP(T5188,[8]Votes!$A$1:$E$234,3,FALSE)</f>
        <v>#N/A</v>
      </c>
      <c r="V5188" s="18" t="s">
        <v>7521</v>
      </c>
      <c r="W5188" s="48">
        <v>1</v>
      </c>
      <c r="X5188" s="48">
        <v>1</v>
      </c>
      <c r="Y5188" s="48">
        <v>0</v>
      </c>
      <c r="Z5188" s="48">
        <v>1</v>
      </c>
      <c r="AA5188" s="48">
        <v>1</v>
      </c>
      <c r="AB5188" s="48">
        <v>1</v>
      </c>
      <c r="AC5188" s="150">
        <v>1</v>
      </c>
      <c r="AD5188" s="150">
        <v>1</v>
      </c>
      <c r="AE5188" s="49">
        <f t="shared" si="190"/>
        <v>0.875</v>
      </c>
      <c r="AF5188" s="255"/>
      <c r="AG5188" s="17">
        <v>0</v>
      </c>
      <c r="AH5188" s="255">
        <v>49.679528222598677</v>
      </c>
      <c r="AI5188" s="255">
        <v>49.679528222598677</v>
      </c>
      <c r="AJ5188" s="255">
        <v>49.679528222598677</v>
      </c>
      <c r="AK5188" s="256">
        <v>0</v>
      </c>
      <c r="AL5188" s="256">
        <v>0</v>
      </c>
      <c r="AM5188" s="147">
        <f t="shared" si="189"/>
        <v>0</v>
      </c>
      <c r="AN5188" s="18" t="s">
        <v>2168</v>
      </c>
      <c r="AO5188" s="18" t="e">
        <v>#N/A</v>
      </c>
      <c r="AP5188" s="18" t="s">
        <v>7522</v>
      </c>
    </row>
    <row r="5189" spans="1:47" s="18" customFormat="1" ht="15" customHeight="1" x14ac:dyDescent="0.3">
      <c r="A5189" s="207" t="s">
        <v>7397</v>
      </c>
      <c r="B5189" s="18" t="s">
        <v>7398</v>
      </c>
      <c r="C5189" s="207" t="s">
        <v>7400</v>
      </c>
      <c r="D5189" s="18" t="s">
        <v>7401</v>
      </c>
      <c r="E5189" s="207" t="s">
        <v>7402</v>
      </c>
      <c r="F5189" s="18" t="s">
        <v>7403</v>
      </c>
      <c r="G5189" s="208" t="s">
        <v>7504</v>
      </c>
      <c r="H5189" s="18" t="s">
        <v>7505</v>
      </c>
      <c r="I5189" s="156" t="s">
        <v>7509</v>
      </c>
      <c r="J5189" s="18" t="s">
        <v>7510</v>
      </c>
      <c r="K5189" s="156" t="s">
        <v>7523</v>
      </c>
      <c r="L5189" s="18" t="s">
        <v>7524</v>
      </c>
      <c r="M5189" s="18" t="s">
        <v>7524</v>
      </c>
      <c r="N5189" s="18">
        <v>0</v>
      </c>
      <c r="O5189" s="18">
        <v>0</v>
      </c>
      <c r="P5189" s="16">
        <v>1</v>
      </c>
      <c r="Q5189" s="16">
        <v>0</v>
      </c>
      <c r="R5189" s="16">
        <v>0</v>
      </c>
      <c r="S5189" s="16">
        <v>0</v>
      </c>
      <c r="T5189" s="18" t="s">
        <v>921</v>
      </c>
      <c r="U5189" t="str">
        <f>VLOOKUP(T5189,[8]Votes!$A$1:$E$234,3,FALSE)</f>
        <v>008 Ministry of Finance, Planning &amp; Economic Dev.</v>
      </c>
      <c r="V5189" s="18" t="s">
        <v>7525</v>
      </c>
      <c r="W5189" s="48">
        <v>1</v>
      </c>
      <c r="X5189" s="48">
        <v>1</v>
      </c>
      <c r="Y5189" s="48">
        <v>0</v>
      </c>
      <c r="Z5189" s="48">
        <v>1</v>
      </c>
      <c r="AA5189" s="48">
        <v>0</v>
      </c>
      <c r="AB5189" s="48">
        <v>1</v>
      </c>
      <c r="AC5189" s="150">
        <v>0</v>
      </c>
      <c r="AD5189" s="150">
        <v>1</v>
      </c>
      <c r="AE5189" s="49">
        <f t="shared" si="190"/>
        <v>0.625</v>
      </c>
      <c r="AF5189" s="255"/>
      <c r="AG5189" s="17">
        <v>1</v>
      </c>
      <c r="AH5189" s="255">
        <v>0</v>
      </c>
      <c r="AI5189" s="255">
        <v>1.2469999999999999</v>
      </c>
      <c r="AJ5189" s="255">
        <v>1.0149999999999999</v>
      </c>
      <c r="AK5189" s="256">
        <v>0</v>
      </c>
      <c r="AL5189" s="256">
        <v>0</v>
      </c>
      <c r="AM5189" s="147">
        <f t="shared" si="189"/>
        <v>0</v>
      </c>
      <c r="AN5189" s="18" t="s">
        <v>921</v>
      </c>
      <c r="AO5189" s="18" t="s">
        <v>880</v>
      </c>
    </row>
    <row r="5190" spans="1:47" s="18" customFormat="1" ht="15" customHeight="1" x14ac:dyDescent="0.3">
      <c r="A5190" s="207" t="s">
        <v>7397</v>
      </c>
      <c r="B5190" s="18" t="s">
        <v>7398</v>
      </c>
      <c r="C5190" s="207" t="s">
        <v>7400</v>
      </c>
      <c r="D5190" s="18" t="s">
        <v>7401</v>
      </c>
      <c r="E5190" s="207" t="s">
        <v>7402</v>
      </c>
      <c r="F5190" s="18" t="s">
        <v>7403</v>
      </c>
      <c r="G5190" s="208" t="s">
        <v>7504</v>
      </c>
      <c r="H5190" s="18" t="s">
        <v>7505</v>
      </c>
      <c r="I5190" s="156" t="s">
        <v>7509</v>
      </c>
      <c r="J5190" s="18" t="s">
        <v>7510</v>
      </c>
      <c r="K5190" s="156" t="s">
        <v>7526</v>
      </c>
      <c r="L5190" s="18" t="s">
        <v>7527</v>
      </c>
      <c r="M5190" s="18" t="s">
        <v>7528</v>
      </c>
      <c r="N5190" s="18">
        <v>0</v>
      </c>
      <c r="O5190" s="18">
        <v>0</v>
      </c>
      <c r="P5190" s="16">
        <v>0</v>
      </c>
      <c r="Q5190" s="16">
        <v>1</v>
      </c>
      <c r="R5190" s="16">
        <v>0</v>
      </c>
      <c r="S5190" s="16">
        <v>0</v>
      </c>
      <c r="T5190" s="18" t="s">
        <v>921</v>
      </c>
      <c r="U5190" t="str">
        <f>VLOOKUP(T5190,[8]Votes!$A$1:$E$234,3,FALSE)</f>
        <v>008 Ministry of Finance, Planning &amp; Economic Dev.</v>
      </c>
      <c r="V5190" s="18" t="s">
        <v>7529</v>
      </c>
      <c r="W5190" s="48">
        <v>1</v>
      </c>
      <c r="X5190" s="48">
        <v>1</v>
      </c>
      <c r="Y5190" s="48">
        <v>0</v>
      </c>
      <c r="Z5190" s="48">
        <v>0</v>
      </c>
      <c r="AA5190" s="48">
        <v>1</v>
      </c>
      <c r="AB5190" s="48">
        <v>0</v>
      </c>
      <c r="AC5190" s="150">
        <v>1</v>
      </c>
      <c r="AD5190" s="150">
        <v>1</v>
      </c>
      <c r="AE5190" s="49">
        <f t="shared" si="190"/>
        <v>0.625</v>
      </c>
      <c r="AF5190" s="255"/>
      <c r="AG5190" s="17">
        <v>1</v>
      </c>
      <c r="AH5190" s="255">
        <v>0</v>
      </c>
      <c r="AI5190" s="255">
        <v>3.19</v>
      </c>
      <c r="AJ5190" s="255">
        <v>3.19</v>
      </c>
      <c r="AK5190" s="256">
        <v>0</v>
      </c>
      <c r="AL5190" s="256">
        <v>0</v>
      </c>
      <c r="AM5190" s="147">
        <f t="shared" si="189"/>
        <v>0</v>
      </c>
      <c r="AN5190" s="18" t="s">
        <v>921</v>
      </c>
      <c r="AO5190" s="18" t="s">
        <v>880</v>
      </c>
    </row>
    <row r="5191" spans="1:47" s="18" customFormat="1" ht="15" customHeight="1" x14ac:dyDescent="0.3">
      <c r="A5191" s="207" t="s">
        <v>7397</v>
      </c>
      <c r="B5191" s="18" t="s">
        <v>7398</v>
      </c>
      <c r="C5191" s="207" t="s">
        <v>7400</v>
      </c>
      <c r="D5191" s="18" t="s">
        <v>7401</v>
      </c>
      <c r="E5191" s="207" t="s">
        <v>7402</v>
      </c>
      <c r="F5191" s="18" t="s">
        <v>7403</v>
      </c>
      <c r="G5191" s="208" t="s">
        <v>7504</v>
      </c>
      <c r="H5191" s="18" t="s">
        <v>7505</v>
      </c>
      <c r="I5191" s="156" t="s">
        <v>7509</v>
      </c>
      <c r="J5191" s="18" t="s">
        <v>7510</v>
      </c>
      <c r="K5191" s="156" t="s">
        <v>7530</v>
      </c>
      <c r="L5191" s="18" t="s">
        <v>7531</v>
      </c>
      <c r="M5191" s="18" t="s">
        <v>7532</v>
      </c>
      <c r="N5191" s="18">
        <v>1</v>
      </c>
      <c r="O5191" s="18">
        <v>0</v>
      </c>
      <c r="P5191" s="16">
        <v>0</v>
      </c>
      <c r="Q5191" s="16">
        <v>1</v>
      </c>
      <c r="R5191" s="16">
        <v>0</v>
      </c>
      <c r="S5191" s="16">
        <v>0</v>
      </c>
      <c r="T5191" s="18" t="s">
        <v>921</v>
      </c>
      <c r="U5191" t="str">
        <f>VLOOKUP(T5191,[8]Votes!$A$1:$E$234,3,FALSE)</f>
        <v>008 Ministry of Finance, Planning &amp; Economic Dev.</v>
      </c>
      <c r="V5191" s="18" t="s">
        <v>7533</v>
      </c>
      <c r="W5191" s="48">
        <v>1</v>
      </c>
      <c r="X5191" s="48">
        <v>1</v>
      </c>
      <c r="Y5191" s="48">
        <v>0</v>
      </c>
      <c r="Z5191" s="48">
        <v>1</v>
      </c>
      <c r="AA5191" s="48">
        <v>1</v>
      </c>
      <c r="AB5191" s="48">
        <v>0</v>
      </c>
      <c r="AC5191" s="150">
        <v>1</v>
      </c>
      <c r="AD5191" s="150">
        <v>1</v>
      </c>
      <c r="AE5191" s="49">
        <f t="shared" si="190"/>
        <v>0.75</v>
      </c>
      <c r="AF5191" s="255"/>
      <c r="AG5191" s="17">
        <v>0</v>
      </c>
      <c r="AH5191" s="255">
        <v>0</v>
      </c>
      <c r="AI5191" s="255">
        <v>0.435</v>
      </c>
      <c r="AJ5191" s="255">
        <v>0.14499999999999999</v>
      </c>
      <c r="AK5191" s="256">
        <f>0.3/2</f>
        <v>0.15</v>
      </c>
      <c r="AL5191" s="256">
        <v>0</v>
      </c>
      <c r="AM5191" s="147">
        <f t="shared" si="189"/>
        <v>0.15</v>
      </c>
      <c r="AN5191" s="18" t="s">
        <v>921</v>
      </c>
      <c r="AO5191" s="18" t="s">
        <v>880</v>
      </c>
      <c r="AP5191" s="18" t="s">
        <v>982</v>
      </c>
    </row>
    <row r="5192" spans="1:47" s="18" customFormat="1" x14ac:dyDescent="0.3">
      <c r="A5192" s="207" t="s">
        <v>7397</v>
      </c>
      <c r="B5192" s="18" t="s">
        <v>7398</v>
      </c>
      <c r="C5192" s="207" t="s">
        <v>7400</v>
      </c>
      <c r="D5192" s="18" t="s">
        <v>7401</v>
      </c>
      <c r="E5192" s="207" t="s">
        <v>7402</v>
      </c>
      <c r="F5192" s="18" t="s">
        <v>7403</v>
      </c>
      <c r="G5192" s="208" t="s">
        <v>7504</v>
      </c>
      <c r="H5192" s="18" t="s">
        <v>7505</v>
      </c>
      <c r="I5192" s="156" t="s">
        <v>7509</v>
      </c>
      <c r="J5192" s="18" t="s">
        <v>7510</v>
      </c>
      <c r="K5192" s="156" t="s">
        <v>7534</v>
      </c>
      <c r="L5192" s="18" t="s">
        <v>7535</v>
      </c>
      <c r="M5192" s="18" t="s">
        <v>7536</v>
      </c>
      <c r="N5192" s="18">
        <v>0</v>
      </c>
      <c r="O5192" s="18">
        <v>0</v>
      </c>
      <c r="P5192" s="16">
        <v>12</v>
      </c>
      <c r="Q5192" s="16">
        <v>0</v>
      </c>
      <c r="R5192" s="16">
        <v>0</v>
      </c>
      <c r="S5192" s="16">
        <v>0</v>
      </c>
      <c r="T5192" s="18" t="s">
        <v>1167</v>
      </c>
      <c r="U5192" t="str">
        <f>VLOOKUP(T5192,[8]Votes!$A$1:$E$234,3,FALSE)</f>
        <v>003 Office of the Prime Minister</v>
      </c>
      <c r="V5192" s="18" t="s">
        <v>7537</v>
      </c>
      <c r="W5192" s="48">
        <v>1</v>
      </c>
      <c r="X5192" s="48">
        <v>0</v>
      </c>
      <c r="Y5192" s="48">
        <v>0</v>
      </c>
      <c r="Z5192" s="48">
        <v>1</v>
      </c>
      <c r="AA5192" s="48">
        <v>1</v>
      </c>
      <c r="AB5192" s="48">
        <v>0</v>
      </c>
      <c r="AC5192" s="150">
        <v>0</v>
      </c>
      <c r="AD5192" s="150">
        <v>1</v>
      </c>
      <c r="AE5192" s="49">
        <f t="shared" si="190"/>
        <v>0.5</v>
      </c>
      <c r="AF5192" s="255"/>
      <c r="AG5192" s="17">
        <v>0</v>
      </c>
      <c r="AH5192" s="255">
        <v>0</v>
      </c>
      <c r="AI5192" s="255">
        <v>2.1604999999999999</v>
      </c>
      <c r="AJ5192" s="255">
        <v>2.1604999999999999</v>
      </c>
      <c r="AK5192" s="256">
        <v>0</v>
      </c>
      <c r="AL5192" s="256">
        <v>0</v>
      </c>
      <c r="AM5192" s="147">
        <f t="shared" si="189"/>
        <v>0</v>
      </c>
      <c r="AN5192" s="18" t="s">
        <v>1167</v>
      </c>
      <c r="AO5192" s="18" t="s">
        <v>1170</v>
      </c>
    </row>
    <row r="5193" spans="1:47" s="18" customFormat="1" ht="15" customHeight="1" x14ac:dyDescent="0.3">
      <c r="A5193" s="207" t="s">
        <v>7397</v>
      </c>
      <c r="B5193" s="18" t="s">
        <v>7398</v>
      </c>
      <c r="C5193" s="207" t="s">
        <v>7400</v>
      </c>
      <c r="D5193" s="18" t="s">
        <v>7401</v>
      </c>
      <c r="E5193" s="207" t="s">
        <v>7402</v>
      </c>
      <c r="F5193" s="18" t="s">
        <v>7403</v>
      </c>
      <c r="G5193" s="208" t="s">
        <v>7504</v>
      </c>
      <c r="H5193" s="18" t="s">
        <v>7505</v>
      </c>
      <c r="I5193" s="156" t="s">
        <v>7509</v>
      </c>
      <c r="J5193" s="18" t="s">
        <v>7510</v>
      </c>
      <c r="K5193" s="156" t="s">
        <v>7538</v>
      </c>
      <c r="L5193" s="18" t="s">
        <v>7539</v>
      </c>
      <c r="M5193" s="18" t="s">
        <v>7540</v>
      </c>
      <c r="N5193" s="18">
        <v>0</v>
      </c>
      <c r="O5193" s="18">
        <v>0</v>
      </c>
      <c r="P5193" s="16">
        <v>15</v>
      </c>
      <c r="Q5193" s="16">
        <v>0</v>
      </c>
      <c r="R5193" s="16">
        <v>0</v>
      </c>
      <c r="S5193" s="16">
        <v>0</v>
      </c>
      <c r="T5193" s="18" t="s">
        <v>1167</v>
      </c>
      <c r="U5193" t="str">
        <f>VLOOKUP(T5193,[8]Votes!$A$1:$E$234,3,FALSE)</f>
        <v>003 Office of the Prime Minister</v>
      </c>
      <c r="W5193" s="48"/>
      <c r="X5193" s="48"/>
      <c r="Y5193" s="48"/>
      <c r="Z5193" s="48"/>
      <c r="AA5193" s="48"/>
      <c r="AB5193" s="48"/>
      <c r="AC5193" s="150">
        <v>0</v>
      </c>
      <c r="AD5193" s="150">
        <v>0</v>
      </c>
      <c r="AE5193" s="49">
        <f t="shared" si="190"/>
        <v>0</v>
      </c>
      <c r="AF5193" s="17"/>
      <c r="AG5193" s="17">
        <v>0</v>
      </c>
      <c r="AH5193" s="17"/>
      <c r="AI5193" s="17"/>
      <c r="AJ5193" s="17"/>
      <c r="AK5193" s="154"/>
      <c r="AL5193" s="154"/>
      <c r="AM5193" s="147">
        <f t="shared" si="189"/>
        <v>0</v>
      </c>
    </row>
    <row r="5194" spans="1:47" s="18" customFormat="1" x14ac:dyDescent="0.3">
      <c r="A5194" s="207" t="s">
        <v>7397</v>
      </c>
      <c r="B5194" s="18" t="s">
        <v>7398</v>
      </c>
      <c r="C5194" s="207" t="s">
        <v>7400</v>
      </c>
      <c r="D5194" s="18" t="s">
        <v>7401</v>
      </c>
      <c r="E5194" s="207" t="s">
        <v>7402</v>
      </c>
      <c r="F5194" s="18" t="s">
        <v>7403</v>
      </c>
      <c r="G5194" s="208" t="s">
        <v>7504</v>
      </c>
      <c r="H5194" s="18" t="s">
        <v>7505</v>
      </c>
      <c r="I5194" s="156" t="s">
        <v>7541</v>
      </c>
      <c r="J5194" s="18" t="s">
        <v>7542</v>
      </c>
      <c r="K5194" s="156" t="s">
        <v>7543</v>
      </c>
      <c r="L5194" s="18" t="s">
        <v>7544</v>
      </c>
      <c r="M5194" s="18" t="s">
        <v>7545</v>
      </c>
      <c r="N5194" s="18">
        <v>0</v>
      </c>
      <c r="O5194" s="18">
        <v>0</v>
      </c>
      <c r="P5194" s="16">
        <v>1</v>
      </c>
      <c r="Q5194" s="16">
        <v>0</v>
      </c>
      <c r="R5194" s="16">
        <v>0</v>
      </c>
      <c r="S5194" s="16">
        <v>0</v>
      </c>
      <c r="T5194" s="18" t="s">
        <v>921</v>
      </c>
      <c r="U5194" t="str">
        <f>VLOOKUP(T5194,[8]Votes!$A$1:$E$234,3,FALSE)</f>
        <v>008 Ministry of Finance, Planning &amp; Economic Dev.</v>
      </c>
      <c r="V5194" s="18" t="s">
        <v>7546</v>
      </c>
      <c r="W5194" s="48">
        <v>1</v>
      </c>
      <c r="X5194" s="48">
        <v>0</v>
      </c>
      <c r="Y5194" s="48">
        <v>0</v>
      </c>
      <c r="Z5194" s="48">
        <v>1</v>
      </c>
      <c r="AA5194" s="48">
        <v>1</v>
      </c>
      <c r="AB5194" s="48">
        <v>0</v>
      </c>
      <c r="AC5194" s="150">
        <v>0</v>
      </c>
      <c r="AD5194" s="150">
        <v>1</v>
      </c>
      <c r="AE5194" s="49">
        <f t="shared" si="190"/>
        <v>0.5</v>
      </c>
      <c r="AF5194" s="255"/>
      <c r="AG5194" s="17">
        <v>0</v>
      </c>
      <c r="AH5194" s="255">
        <v>0.2175</v>
      </c>
      <c r="AI5194" s="255">
        <v>0.2175</v>
      </c>
      <c r="AJ5194" s="255">
        <v>0</v>
      </c>
      <c r="AK5194" s="256">
        <v>0</v>
      </c>
      <c r="AL5194" s="256">
        <v>0</v>
      </c>
      <c r="AM5194" s="147">
        <f t="shared" si="189"/>
        <v>0</v>
      </c>
      <c r="AN5194" s="18" t="s">
        <v>921</v>
      </c>
      <c r="AO5194" s="18" t="s">
        <v>880</v>
      </c>
    </row>
    <row r="5195" spans="1:47" s="18" customFormat="1" ht="15" customHeight="1" x14ac:dyDescent="0.3">
      <c r="A5195" s="207" t="s">
        <v>7397</v>
      </c>
      <c r="B5195" s="18" t="s">
        <v>7398</v>
      </c>
      <c r="C5195" s="207" t="s">
        <v>7400</v>
      </c>
      <c r="D5195" s="18" t="s">
        <v>7401</v>
      </c>
      <c r="E5195" s="207" t="s">
        <v>7402</v>
      </c>
      <c r="F5195" s="18" t="s">
        <v>7403</v>
      </c>
      <c r="G5195" s="208" t="s">
        <v>7504</v>
      </c>
      <c r="H5195" s="18" t="s">
        <v>7505</v>
      </c>
      <c r="I5195" s="156" t="s">
        <v>7547</v>
      </c>
      <c r="J5195" s="18" t="s">
        <v>7548</v>
      </c>
      <c r="K5195" s="156" t="s">
        <v>7549</v>
      </c>
      <c r="L5195" s="18" t="s">
        <v>7550</v>
      </c>
      <c r="M5195" s="18" t="s">
        <v>7551</v>
      </c>
      <c r="N5195" s="18">
        <v>0</v>
      </c>
      <c r="O5195" s="18">
        <v>270</v>
      </c>
      <c r="P5195" s="16">
        <v>280</v>
      </c>
      <c r="Q5195" s="16">
        <v>290</v>
      </c>
      <c r="R5195" s="16">
        <v>300</v>
      </c>
      <c r="S5195" s="16">
        <v>310</v>
      </c>
      <c r="T5195" s="18" t="s">
        <v>921</v>
      </c>
      <c r="U5195" t="str">
        <f>VLOOKUP(T5195,[8]Votes!$A$1:$E$234,3,FALSE)</f>
        <v>008 Ministry of Finance, Planning &amp; Economic Dev.</v>
      </c>
      <c r="V5195" s="18" t="s">
        <v>7552</v>
      </c>
      <c r="W5195" s="48">
        <v>1</v>
      </c>
      <c r="X5195" s="48">
        <v>1</v>
      </c>
      <c r="Y5195" s="48">
        <v>0</v>
      </c>
      <c r="Z5195" s="48">
        <v>1</v>
      </c>
      <c r="AA5195" s="48">
        <v>1</v>
      </c>
      <c r="AB5195" s="48">
        <v>0</v>
      </c>
      <c r="AC5195" s="150">
        <v>1</v>
      </c>
      <c r="AD5195" s="150">
        <v>1</v>
      </c>
      <c r="AE5195" s="49">
        <f t="shared" si="190"/>
        <v>0.75</v>
      </c>
      <c r="AF5195" s="255"/>
      <c r="AG5195" s="17">
        <v>0</v>
      </c>
      <c r="AH5195" s="255">
        <v>0.2175</v>
      </c>
      <c r="AI5195" s="255">
        <v>0.2175</v>
      </c>
      <c r="AJ5195" s="255">
        <v>0.2175</v>
      </c>
      <c r="AK5195" s="256">
        <f>0.2175/2</f>
        <v>0.10875</v>
      </c>
      <c r="AL5195" s="256">
        <f>0.2175/2</f>
        <v>0.10875</v>
      </c>
      <c r="AM5195" s="147">
        <f t="shared" si="189"/>
        <v>0.2175</v>
      </c>
      <c r="AN5195" s="18" t="s">
        <v>921</v>
      </c>
      <c r="AO5195" s="18" t="s">
        <v>880</v>
      </c>
    </row>
    <row r="5196" spans="1:47" s="18" customFormat="1" ht="15" customHeight="1" x14ac:dyDescent="0.3">
      <c r="A5196" s="207" t="s">
        <v>7397</v>
      </c>
      <c r="B5196" s="18" t="s">
        <v>7398</v>
      </c>
      <c r="C5196" s="207" t="s">
        <v>7400</v>
      </c>
      <c r="D5196" s="18" t="s">
        <v>7401</v>
      </c>
      <c r="E5196" s="207" t="s">
        <v>7402</v>
      </c>
      <c r="F5196" s="18" t="s">
        <v>7403</v>
      </c>
      <c r="G5196" s="208" t="s">
        <v>7504</v>
      </c>
      <c r="H5196" s="18" t="s">
        <v>7505</v>
      </c>
      <c r="I5196" s="156" t="s">
        <v>7553</v>
      </c>
      <c r="J5196" s="18" t="s">
        <v>7554</v>
      </c>
      <c r="K5196" s="156" t="s">
        <v>7555</v>
      </c>
      <c r="L5196" s="18" t="s">
        <v>7556</v>
      </c>
      <c r="M5196" s="18" t="s">
        <v>7557</v>
      </c>
      <c r="N5196" s="18">
        <v>0</v>
      </c>
      <c r="O5196" s="18">
        <v>1</v>
      </c>
      <c r="P5196" s="16">
        <v>1</v>
      </c>
      <c r="Q5196" s="16">
        <v>1</v>
      </c>
      <c r="R5196" s="16">
        <v>1</v>
      </c>
      <c r="S5196" s="16">
        <v>1</v>
      </c>
      <c r="T5196" s="18" t="s">
        <v>921</v>
      </c>
      <c r="U5196" t="str">
        <f>VLOOKUP(T5196,[8]Votes!$A$1:$E$234,3,FALSE)</f>
        <v>008 Ministry of Finance, Planning &amp; Economic Dev.</v>
      </c>
      <c r="V5196" s="18" t="s">
        <v>7558</v>
      </c>
      <c r="W5196" s="48">
        <v>1</v>
      </c>
      <c r="X5196" s="48">
        <v>0</v>
      </c>
      <c r="Y5196" s="48">
        <v>0</v>
      </c>
      <c r="Z5196" s="48">
        <v>1</v>
      </c>
      <c r="AA5196" s="48">
        <v>1</v>
      </c>
      <c r="AB5196" s="48">
        <v>0</v>
      </c>
      <c r="AC5196" s="150">
        <v>1</v>
      </c>
      <c r="AD5196" s="150">
        <v>1</v>
      </c>
      <c r="AE5196" s="49">
        <f t="shared" si="190"/>
        <v>0.625</v>
      </c>
      <c r="AF5196" s="255"/>
      <c r="AG5196" s="17">
        <v>0</v>
      </c>
      <c r="AH5196" s="255">
        <v>0</v>
      </c>
      <c r="AI5196" s="255">
        <v>2.9</v>
      </c>
      <c r="AJ5196" s="255">
        <v>2.1749999999999998</v>
      </c>
      <c r="AK5196" s="256">
        <f>0.45/2</f>
        <v>0.22500000000000001</v>
      </c>
      <c r="AL5196" s="256">
        <f>0.45/2</f>
        <v>0.22500000000000001</v>
      </c>
      <c r="AM5196" s="147">
        <f t="shared" si="189"/>
        <v>0.45</v>
      </c>
      <c r="AN5196" s="18" t="s">
        <v>921</v>
      </c>
      <c r="AO5196" s="18" t="s">
        <v>880</v>
      </c>
    </row>
    <row r="5197" spans="1:47" s="18" customFormat="1" ht="15" customHeight="1" x14ac:dyDescent="0.3">
      <c r="A5197" s="207" t="s">
        <v>7397</v>
      </c>
      <c r="B5197" s="18" t="s">
        <v>7398</v>
      </c>
      <c r="C5197" s="207" t="s">
        <v>7400</v>
      </c>
      <c r="D5197" s="18" t="s">
        <v>7401</v>
      </c>
      <c r="E5197" s="207" t="s">
        <v>7402</v>
      </c>
      <c r="F5197" s="18" t="s">
        <v>7403</v>
      </c>
      <c r="G5197" s="208" t="s">
        <v>7504</v>
      </c>
      <c r="H5197" s="18" t="s">
        <v>7505</v>
      </c>
      <c r="I5197" s="156" t="s">
        <v>7553</v>
      </c>
      <c r="J5197" s="18" t="s">
        <v>7554</v>
      </c>
      <c r="K5197" s="156" t="s">
        <v>7559</v>
      </c>
      <c r="L5197" s="18" t="s">
        <v>7560</v>
      </c>
      <c r="M5197" s="18" t="s">
        <v>7561</v>
      </c>
      <c r="N5197" s="18" t="s">
        <v>7562</v>
      </c>
      <c r="O5197" s="18">
        <v>4</v>
      </c>
      <c r="P5197" s="16">
        <v>4</v>
      </c>
      <c r="Q5197" s="16">
        <v>4</v>
      </c>
      <c r="R5197" s="16">
        <v>4</v>
      </c>
      <c r="S5197" s="16">
        <v>4</v>
      </c>
      <c r="T5197" s="18" t="s">
        <v>1167</v>
      </c>
      <c r="U5197" t="str">
        <f>VLOOKUP(T5197,[8]Votes!$A$1:$E$234,3,FALSE)</f>
        <v>003 Office of the Prime Minister</v>
      </c>
      <c r="V5197" s="18" t="s">
        <v>7563</v>
      </c>
      <c r="W5197" s="48">
        <v>1</v>
      </c>
      <c r="X5197" s="48">
        <v>1</v>
      </c>
      <c r="Y5197" s="48">
        <v>0</v>
      </c>
      <c r="Z5197" s="48">
        <v>1</v>
      </c>
      <c r="AA5197" s="48">
        <v>1</v>
      </c>
      <c r="AB5197" s="48">
        <v>0</v>
      </c>
      <c r="AC5197" s="150">
        <v>1</v>
      </c>
      <c r="AD5197" s="150">
        <v>1</v>
      </c>
      <c r="AE5197" s="49">
        <f t="shared" si="190"/>
        <v>0.75</v>
      </c>
      <c r="AF5197" s="255"/>
      <c r="AG5197" s="17">
        <v>0</v>
      </c>
      <c r="AH5197" s="255">
        <v>0.28999999999999998</v>
      </c>
      <c r="AI5197" s="255">
        <v>0.36249999999999999</v>
      </c>
      <c r="AJ5197" s="255">
        <v>0.435</v>
      </c>
      <c r="AK5197" s="256">
        <f>7.5/2</f>
        <v>3.75</v>
      </c>
      <c r="AL5197" s="256">
        <f>7.5/2</f>
        <v>3.75</v>
      </c>
      <c r="AM5197" s="147">
        <f t="shared" si="189"/>
        <v>7.5</v>
      </c>
      <c r="AN5197" s="18" t="s">
        <v>1167</v>
      </c>
      <c r="AO5197" s="18" t="s">
        <v>1170</v>
      </c>
    </row>
    <row r="5198" spans="1:47" s="18" customFormat="1" ht="15" customHeight="1" x14ac:dyDescent="0.3">
      <c r="A5198" s="207" t="s">
        <v>7397</v>
      </c>
      <c r="B5198" s="18" t="s">
        <v>7398</v>
      </c>
      <c r="C5198" s="207" t="s">
        <v>7400</v>
      </c>
      <c r="D5198" s="18" t="s">
        <v>7401</v>
      </c>
      <c r="E5198" s="207" t="s">
        <v>7402</v>
      </c>
      <c r="F5198" s="18" t="s">
        <v>7403</v>
      </c>
      <c r="G5198" s="208" t="s">
        <v>7504</v>
      </c>
      <c r="H5198" s="18" t="s">
        <v>7505</v>
      </c>
      <c r="I5198" s="156" t="s">
        <v>7553</v>
      </c>
      <c r="J5198" s="18" t="s">
        <v>7554</v>
      </c>
      <c r="K5198" s="156" t="s">
        <v>7559</v>
      </c>
      <c r="L5198" s="18" t="s">
        <v>7560</v>
      </c>
      <c r="P5198" s="16"/>
      <c r="Q5198" s="16"/>
      <c r="R5198" s="16"/>
      <c r="S5198" s="16"/>
      <c r="T5198" s="18" t="s">
        <v>1167</v>
      </c>
      <c r="U5198" t="str">
        <f>VLOOKUP(T5198,[8]Votes!$A$1:$E$234,3,FALSE)</f>
        <v>003 Office of the Prime Minister</v>
      </c>
      <c r="V5198" s="18" t="s">
        <v>7564</v>
      </c>
      <c r="W5198" s="48">
        <v>1</v>
      </c>
      <c r="X5198" s="48">
        <v>1</v>
      </c>
      <c r="Y5198" s="48">
        <v>0</v>
      </c>
      <c r="Z5198" s="48">
        <v>1</v>
      </c>
      <c r="AA5198" s="48">
        <v>1</v>
      </c>
      <c r="AB5198" s="48">
        <v>0</v>
      </c>
      <c r="AC5198" s="150">
        <v>1</v>
      </c>
      <c r="AD5198" s="150">
        <v>1</v>
      </c>
      <c r="AE5198" s="49">
        <f t="shared" si="190"/>
        <v>0.75</v>
      </c>
      <c r="AF5198" s="255"/>
      <c r="AG5198" s="17">
        <v>0</v>
      </c>
      <c r="AH5198" s="255">
        <v>145</v>
      </c>
      <c r="AI5198" s="255">
        <v>145</v>
      </c>
      <c r="AJ5198" s="255">
        <v>100</v>
      </c>
      <c r="AK5198" s="256">
        <f>10/2</f>
        <v>5</v>
      </c>
      <c r="AL5198" s="256">
        <f>10/2</f>
        <v>5</v>
      </c>
      <c r="AM5198" s="147">
        <f t="shared" si="189"/>
        <v>10</v>
      </c>
      <c r="AN5198" s="18" t="s">
        <v>1167</v>
      </c>
      <c r="AO5198" s="18" t="s">
        <v>1170</v>
      </c>
      <c r="AP5198" s="18" t="s">
        <v>2168</v>
      </c>
      <c r="AU5198" s="228"/>
    </row>
    <row r="5199" spans="1:47" s="18" customFormat="1" ht="15" customHeight="1" x14ac:dyDescent="0.3">
      <c r="A5199" s="207" t="s">
        <v>7397</v>
      </c>
      <c r="B5199" s="18" t="s">
        <v>7398</v>
      </c>
      <c r="C5199" s="207" t="s">
        <v>7400</v>
      </c>
      <c r="D5199" s="18" t="s">
        <v>7401</v>
      </c>
      <c r="E5199" s="207" t="s">
        <v>7402</v>
      </c>
      <c r="F5199" s="18" t="s">
        <v>7403</v>
      </c>
      <c r="G5199" s="208" t="s">
        <v>7504</v>
      </c>
      <c r="H5199" s="18" t="s">
        <v>7505</v>
      </c>
      <c r="I5199" s="156" t="s">
        <v>7553</v>
      </c>
      <c r="J5199" s="18" t="s">
        <v>7554</v>
      </c>
      <c r="K5199" s="156" t="s">
        <v>7565</v>
      </c>
      <c r="L5199" s="18" t="s">
        <v>7566</v>
      </c>
      <c r="M5199" s="18" t="s">
        <v>7567</v>
      </c>
      <c r="N5199" s="18" t="s">
        <v>7562</v>
      </c>
      <c r="O5199" s="18">
        <v>4</v>
      </c>
      <c r="P5199" s="16">
        <v>4</v>
      </c>
      <c r="Q5199" s="16">
        <v>4</v>
      </c>
      <c r="R5199" s="16">
        <v>4</v>
      </c>
      <c r="S5199" s="16">
        <v>4</v>
      </c>
      <c r="T5199" s="18" t="s">
        <v>1167</v>
      </c>
      <c r="U5199" t="str">
        <f>VLOOKUP(T5199,[8]Votes!$A$1:$E$234,3,FALSE)</f>
        <v>003 Office of the Prime Minister</v>
      </c>
      <c r="V5199" s="18" t="s">
        <v>7568</v>
      </c>
      <c r="W5199" s="48">
        <v>1</v>
      </c>
      <c r="X5199" s="48">
        <v>1</v>
      </c>
      <c r="Y5199" s="48">
        <v>0</v>
      </c>
      <c r="Z5199" s="48">
        <v>1</v>
      </c>
      <c r="AA5199" s="48">
        <v>1</v>
      </c>
      <c r="AB5199" s="48">
        <v>0</v>
      </c>
      <c r="AC5199" s="150">
        <v>1</v>
      </c>
      <c r="AD5199" s="150">
        <v>1</v>
      </c>
      <c r="AE5199" s="49">
        <f t="shared" si="190"/>
        <v>0.75</v>
      </c>
      <c r="AF5199" s="255"/>
      <c r="AG5199" s="17">
        <v>0</v>
      </c>
      <c r="AH5199" s="255">
        <v>34.799999999999997</v>
      </c>
      <c r="AI5199" s="255">
        <v>34.799999999999997</v>
      </c>
      <c r="AJ5199" s="255">
        <v>34.799999999999997</v>
      </c>
      <c r="AK5199" s="256">
        <f>20/2</f>
        <v>10</v>
      </c>
      <c r="AL5199" s="256">
        <f>20.1/2</f>
        <v>10.050000000000001</v>
      </c>
      <c r="AM5199" s="147">
        <f t="shared" si="189"/>
        <v>20.05</v>
      </c>
      <c r="AN5199" s="18" t="s">
        <v>1167</v>
      </c>
      <c r="AO5199" s="18" t="s">
        <v>1170</v>
      </c>
      <c r="AP5199" s="18" t="s">
        <v>7522</v>
      </c>
    </row>
    <row r="5200" spans="1:47" s="18" customFormat="1" x14ac:dyDescent="0.3">
      <c r="A5200" s="207" t="s">
        <v>7397</v>
      </c>
      <c r="B5200" s="18" t="s">
        <v>7398</v>
      </c>
      <c r="C5200" s="207" t="s">
        <v>7400</v>
      </c>
      <c r="D5200" s="18" t="s">
        <v>7401</v>
      </c>
      <c r="E5200" s="207" t="s">
        <v>7402</v>
      </c>
      <c r="F5200" s="18" t="s">
        <v>7403</v>
      </c>
      <c r="G5200" s="208" t="s">
        <v>7504</v>
      </c>
      <c r="H5200" s="18" t="s">
        <v>7505</v>
      </c>
      <c r="I5200" s="156" t="s">
        <v>7553</v>
      </c>
      <c r="J5200" s="18" t="s">
        <v>7554</v>
      </c>
      <c r="K5200" s="156" t="s">
        <v>7569</v>
      </c>
      <c r="L5200" s="18" t="s">
        <v>7570</v>
      </c>
      <c r="M5200" s="18" t="s">
        <v>7571</v>
      </c>
      <c r="N5200" s="18" t="s">
        <v>7562</v>
      </c>
      <c r="O5200" s="18">
        <v>12</v>
      </c>
      <c r="P5200" s="16">
        <v>12</v>
      </c>
      <c r="Q5200" s="16">
        <v>12</v>
      </c>
      <c r="R5200" s="16">
        <v>0</v>
      </c>
      <c r="S5200" s="16">
        <v>0</v>
      </c>
      <c r="T5200" s="18" t="s">
        <v>1167</v>
      </c>
      <c r="U5200" t="str">
        <f>VLOOKUP(T5200,[8]Votes!$A$1:$E$234,3,FALSE)</f>
        <v>003 Office of the Prime Minister</v>
      </c>
      <c r="V5200" s="18" t="s">
        <v>7572</v>
      </c>
      <c r="W5200" s="48">
        <v>0</v>
      </c>
      <c r="X5200" s="48">
        <v>0</v>
      </c>
      <c r="Y5200" s="48">
        <v>0</v>
      </c>
      <c r="Z5200" s="48">
        <v>1</v>
      </c>
      <c r="AA5200" s="48">
        <v>1</v>
      </c>
      <c r="AB5200" s="48">
        <v>0</v>
      </c>
      <c r="AC5200" s="150">
        <v>1</v>
      </c>
      <c r="AD5200" s="150">
        <v>1</v>
      </c>
      <c r="AE5200" s="49">
        <f t="shared" si="190"/>
        <v>0.5</v>
      </c>
      <c r="AF5200" s="255"/>
      <c r="AG5200" s="17">
        <v>0</v>
      </c>
      <c r="AH5200" s="255">
        <v>1.45</v>
      </c>
      <c r="AI5200" s="255">
        <v>1.45</v>
      </c>
      <c r="AJ5200" s="255">
        <v>1.4789999999999999</v>
      </c>
      <c r="AK5200" s="256">
        <v>0</v>
      </c>
      <c r="AL5200" s="256">
        <v>0</v>
      </c>
      <c r="AM5200" s="147">
        <f t="shared" si="189"/>
        <v>0</v>
      </c>
      <c r="AN5200" s="18" t="s">
        <v>1167</v>
      </c>
      <c r="AO5200" s="18" t="s">
        <v>1170</v>
      </c>
    </row>
    <row r="5201" spans="1:42" s="18" customFormat="1" ht="15" customHeight="1" x14ac:dyDescent="0.3">
      <c r="A5201" s="207" t="s">
        <v>7397</v>
      </c>
      <c r="B5201" s="18" t="s">
        <v>7398</v>
      </c>
      <c r="C5201" s="207" t="s">
        <v>7400</v>
      </c>
      <c r="D5201" s="18" t="s">
        <v>7401</v>
      </c>
      <c r="E5201" s="207" t="s">
        <v>7402</v>
      </c>
      <c r="F5201" s="18" t="s">
        <v>7403</v>
      </c>
      <c r="G5201" s="208" t="s">
        <v>7504</v>
      </c>
      <c r="H5201" s="18" t="s">
        <v>7505</v>
      </c>
      <c r="I5201" s="156" t="s">
        <v>7573</v>
      </c>
      <c r="J5201" s="18" t="s">
        <v>7574</v>
      </c>
      <c r="K5201" s="156" t="s">
        <v>7575</v>
      </c>
      <c r="L5201" s="18" t="s">
        <v>7576</v>
      </c>
      <c r="M5201" s="18" t="s">
        <v>7577</v>
      </c>
      <c r="N5201" s="18">
        <v>0</v>
      </c>
      <c r="O5201" s="18">
        <v>0</v>
      </c>
      <c r="P5201" s="16">
        <v>1</v>
      </c>
      <c r="Q5201" s="16">
        <v>0</v>
      </c>
      <c r="R5201" s="16">
        <v>0</v>
      </c>
      <c r="S5201" s="16">
        <v>0</v>
      </c>
      <c r="T5201" s="18" t="s">
        <v>921</v>
      </c>
      <c r="U5201" t="str">
        <f>VLOOKUP(T5201,[8]Votes!$A$1:$E$234,3,FALSE)</f>
        <v>008 Ministry of Finance, Planning &amp; Economic Dev.</v>
      </c>
      <c r="V5201" s="18" t="s">
        <v>7578</v>
      </c>
      <c r="W5201" s="48">
        <v>1</v>
      </c>
      <c r="X5201" s="48">
        <v>1</v>
      </c>
      <c r="Y5201" s="48">
        <v>0</v>
      </c>
      <c r="Z5201" s="48">
        <v>1</v>
      </c>
      <c r="AA5201" s="48">
        <v>1</v>
      </c>
      <c r="AB5201" s="48">
        <v>0</v>
      </c>
      <c r="AC5201" s="150">
        <v>1</v>
      </c>
      <c r="AD5201" s="150">
        <v>1</v>
      </c>
      <c r="AE5201" s="49">
        <f t="shared" si="190"/>
        <v>0.75</v>
      </c>
      <c r="AF5201" s="255"/>
      <c r="AG5201" s="17">
        <v>0</v>
      </c>
      <c r="AH5201" s="255">
        <v>0</v>
      </c>
      <c r="AI5201" s="255">
        <v>0</v>
      </c>
      <c r="AJ5201" s="255">
        <v>0</v>
      </c>
      <c r="AK5201" s="256">
        <f>0.725/2</f>
        <v>0.36249999999999999</v>
      </c>
      <c r="AL5201" s="256">
        <v>0</v>
      </c>
      <c r="AM5201" s="147">
        <f t="shared" si="189"/>
        <v>0.36249999999999999</v>
      </c>
      <c r="AN5201" s="18" t="s">
        <v>921</v>
      </c>
      <c r="AO5201" s="18" t="s">
        <v>880</v>
      </c>
    </row>
    <row r="5202" spans="1:42" s="18" customFormat="1" ht="15" customHeight="1" x14ac:dyDescent="0.3">
      <c r="A5202" s="207" t="s">
        <v>7397</v>
      </c>
      <c r="B5202" s="18" t="s">
        <v>7398</v>
      </c>
      <c r="C5202" s="207" t="s">
        <v>7400</v>
      </c>
      <c r="D5202" s="18" t="s">
        <v>7401</v>
      </c>
      <c r="E5202" s="207" t="s">
        <v>7402</v>
      </c>
      <c r="F5202" s="18" t="s">
        <v>7403</v>
      </c>
      <c r="G5202" s="208" t="s">
        <v>7504</v>
      </c>
      <c r="H5202" s="18" t="s">
        <v>7505</v>
      </c>
      <c r="I5202" s="156" t="s">
        <v>7579</v>
      </c>
      <c r="J5202" s="18" t="s">
        <v>7580</v>
      </c>
      <c r="K5202" s="156" t="s">
        <v>7581</v>
      </c>
      <c r="L5202" s="18" t="s">
        <v>7582</v>
      </c>
      <c r="M5202" s="18" t="s">
        <v>7583</v>
      </c>
      <c r="N5202" s="18">
        <v>0</v>
      </c>
      <c r="O5202" s="18">
        <v>0</v>
      </c>
      <c r="P5202" s="16">
        <v>3</v>
      </c>
      <c r="Q5202" s="16">
        <v>8</v>
      </c>
      <c r="R5202" s="16">
        <v>14</v>
      </c>
      <c r="S5202" s="16">
        <v>18</v>
      </c>
      <c r="T5202" s="18" t="s">
        <v>921</v>
      </c>
      <c r="U5202" t="str">
        <f>VLOOKUP(T5202,[8]Votes!$A$1:$E$234,3,FALSE)</f>
        <v>008 Ministry of Finance, Planning &amp; Economic Dev.</v>
      </c>
      <c r="V5202" s="18" t="s">
        <v>7584</v>
      </c>
      <c r="W5202" s="48">
        <v>1</v>
      </c>
      <c r="X5202" s="48">
        <v>0</v>
      </c>
      <c r="Y5202" s="48">
        <v>0</v>
      </c>
      <c r="Z5202" s="48">
        <v>1</v>
      </c>
      <c r="AA5202" s="48">
        <v>1</v>
      </c>
      <c r="AB5202" s="48">
        <v>0</v>
      </c>
      <c r="AC5202" s="150">
        <v>1</v>
      </c>
      <c r="AD5202" s="150">
        <v>1</v>
      </c>
      <c r="AE5202" s="49">
        <f t="shared" si="190"/>
        <v>0.625</v>
      </c>
      <c r="AF5202" s="255"/>
      <c r="AG5202" s="17">
        <v>0</v>
      </c>
      <c r="AH5202" s="255">
        <v>0</v>
      </c>
      <c r="AI5202" s="255">
        <v>0.14499999999999999</v>
      </c>
      <c r="AJ5202" s="255">
        <v>0</v>
      </c>
      <c r="AK5202" s="256">
        <f>0.25/2</f>
        <v>0.125</v>
      </c>
      <c r="AL5202" s="256"/>
      <c r="AM5202" s="147">
        <f t="shared" si="189"/>
        <v>0.125</v>
      </c>
      <c r="AN5202" s="18" t="s">
        <v>921</v>
      </c>
      <c r="AO5202" s="18" t="s">
        <v>880</v>
      </c>
    </row>
    <row r="5203" spans="1:42" s="18" customFormat="1" ht="15" customHeight="1" x14ac:dyDescent="0.3">
      <c r="A5203" s="207" t="s">
        <v>7397</v>
      </c>
      <c r="B5203" s="18" t="s">
        <v>7398</v>
      </c>
      <c r="C5203" s="207" t="s">
        <v>7400</v>
      </c>
      <c r="D5203" s="18" t="s">
        <v>7401</v>
      </c>
      <c r="E5203" s="207" t="s">
        <v>7402</v>
      </c>
      <c r="F5203" s="18" t="s">
        <v>7403</v>
      </c>
      <c r="G5203" s="208" t="s">
        <v>7504</v>
      </c>
      <c r="H5203" s="18" t="s">
        <v>7505</v>
      </c>
      <c r="I5203" s="156" t="s">
        <v>7579</v>
      </c>
      <c r="J5203" s="18" t="s">
        <v>7580</v>
      </c>
      <c r="K5203" s="156" t="s">
        <v>7585</v>
      </c>
      <c r="L5203" s="18" t="s">
        <v>7586</v>
      </c>
      <c r="M5203" s="18" t="s">
        <v>7587</v>
      </c>
      <c r="N5203" s="18">
        <v>0</v>
      </c>
      <c r="O5203" s="18">
        <v>0</v>
      </c>
      <c r="P5203" s="16">
        <v>1</v>
      </c>
      <c r="Q5203" s="16">
        <v>1</v>
      </c>
      <c r="R5203" s="16">
        <v>1</v>
      </c>
      <c r="S5203" s="16">
        <v>1</v>
      </c>
      <c r="T5203" s="18" t="s">
        <v>921</v>
      </c>
      <c r="U5203" t="str">
        <f>VLOOKUP(T5203,[8]Votes!$A$1:$E$234,3,FALSE)</f>
        <v>008 Ministry of Finance, Planning &amp; Economic Dev.</v>
      </c>
      <c r="V5203" s="18" t="s">
        <v>7588</v>
      </c>
      <c r="W5203" s="48">
        <v>1</v>
      </c>
      <c r="X5203" s="48">
        <v>0</v>
      </c>
      <c r="Y5203" s="48">
        <v>0</v>
      </c>
      <c r="Z5203" s="48">
        <v>1</v>
      </c>
      <c r="AA5203" s="48">
        <v>1</v>
      </c>
      <c r="AB5203" s="48">
        <v>0</v>
      </c>
      <c r="AC5203" s="150">
        <v>1</v>
      </c>
      <c r="AD5203" s="150">
        <v>1</v>
      </c>
      <c r="AE5203" s="49">
        <f t="shared" si="190"/>
        <v>0.625</v>
      </c>
      <c r="AF5203" s="255"/>
      <c r="AG5203" s="17">
        <v>0</v>
      </c>
      <c r="AH5203" s="255">
        <v>42.62</v>
      </c>
      <c r="AI5203" s="255">
        <v>62.62</v>
      </c>
      <c r="AJ5203" s="255">
        <v>52.62</v>
      </c>
      <c r="AK5203" s="256">
        <f>27/2</f>
        <v>13.5</v>
      </c>
      <c r="AL5203" s="256">
        <f>28/2</f>
        <v>14</v>
      </c>
      <c r="AM5203" s="147">
        <f t="shared" si="189"/>
        <v>27.5</v>
      </c>
      <c r="AN5203" s="18" t="s">
        <v>921</v>
      </c>
      <c r="AO5203" s="18" t="s">
        <v>880</v>
      </c>
    </row>
    <row r="5204" spans="1:42" s="18" customFormat="1" ht="15" customHeight="1" x14ac:dyDescent="0.3">
      <c r="A5204" s="207" t="s">
        <v>7397</v>
      </c>
      <c r="B5204" s="18" t="s">
        <v>7398</v>
      </c>
      <c r="C5204" s="208" t="s">
        <v>7589</v>
      </c>
      <c r="D5204" s="18" t="s">
        <v>7590</v>
      </c>
      <c r="E5204" s="208" t="s">
        <v>7591</v>
      </c>
      <c r="F5204" s="18" t="s">
        <v>7592</v>
      </c>
      <c r="G5204" s="156" t="s">
        <v>7593</v>
      </c>
      <c r="H5204" s="18" t="s">
        <v>7594</v>
      </c>
      <c r="I5204" s="156"/>
      <c r="K5204" s="156" t="s">
        <v>7595</v>
      </c>
      <c r="L5204" s="18" t="s">
        <v>7596</v>
      </c>
      <c r="M5204" s="18" t="s">
        <v>7597</v>
      </c>
      <c r="N5204" s="18">
        <v>0</v>
      </c>
      <c r="O5204" s="18">
        <v>0</v>
      </c>
      <c r="P5204" s="16">
        <v>0</v>
      </c>
      <c r="Q5204" s="16">
        <v>0</v>
      </c>
      <c r="R5204" s="16">
        <v>1</v>
      </c>
      <c r="S5204" s="16">
        <v>1</v>
      </c>
      <c r="T5204" s="18" t="s">
        <v>4115</v>
      </c>
      <c r="U5204" t="str">
        <f>VLOOKUP(T5204,[8]Votes!$A$1:$E$234,3,FALSE)</f>
        <v>309 National Identification and Registration Authority (NIRA)</v>
      </c>
      <c r="V5204" s="18" t="s">
        <v>7598</v>
      </c>
      <c r="W5204" s="48">
        <v>1</v>
      </c>
      <c r="X5204" s="48">
        <v>0</v>
      </c>
      <c r="Y5204" s="48">
        <v>0</v>
      </c>
      <c r="Z5204" s="48">
        <v>1</v>
      </c>
      <c r="AA5204" s="48">
        <v>1</v>
      </c>
      <c r="AB5204" s="48">
        <v>1</v>
      </c>
      <c r="AC5204" s="150">
        <v>1</v>
      </c>
      <c r="AD5204" s="150">
        <v>1</v>
      </c>
      <c r="AE5204" s="49">
        <f t="shared" si="190"/>
        <v>0.75</v>
      </c>
      <c r="AF5204" s="255">
        <v>1</v>
      </c>
      <c r="AG5204" s="17">
        <v>0</v>
      </c>
      <c r="AH5204" s="255">
        <v>0</v>
      </c>
      <c r="AI5204" s="255">
        <v>1.45</v>
      </c>
      <c r="AJ5204" s="255">
        <v>0.72499999999999998</v>
      </c>
      <c r="AK5204" s="256">
        <f>7/2</f>
        <v>3.5</v>
      </c>
      <c r="AL5204" s="256">
        <f>7/2</f>
        <v>3.5</v>
      </c>
      <c r="AM5204" s="147">
        <f t="shared" si="189"/>
        <v>7</v>
      </c>
      <c r="AN5204" s="18" t="s">
        <v>4115</v>
      </c>
      <c r="AO5204" s="18" t="s">
        <v>4116</v>
      </c>
    </row>
    <row r="5205" spans="1:42" s="18" customFormat="1" ht="15" customHeight="1" x14ac:dyDescent="0.3">
      <c r="A5205" s="207" t="s">
        <v>7397</v>
      </c>
      <c r="B5205" s="18" t="s">
        <v>7398</v>
      </c>
      <c r="C5205" s="208" t="s">
        <v>7589</v>
      </c>
      <c r="D5205" s="18" t="s">
        <v>7590</v>
      </c>
      <c r="E5205" s="208" t="s">
        <v>7591</v>
      </c>
      <c r="F5205" s="18" t="s">
        <v>7592</v>
      </c>
      <c r="G5205" s="156" t="s">
        <v>7593</v>
      </c>
      <c r="H5205" s="18" t="s">
        <v>7594</v>
      </c>
      <c r="I5205" s="156"/>
      <c r="K5205" s="156" t="s">
        <v>7595</v>
      </c>
      <c r="L5205" s="18" t="s">
        <v>7596</v>
      </c>
      <c r="P5205" s="16"/>
      <c r="Q5205" s="16"/>
      <c r="R5205" s="16"/>
      <c r="S5205" s="16"/>
      <c r="U5205" t="e">
        <f>VLOOKUP(T5205,[8]Votes!$A$1:$E$234,3,FALSE)</f>
        <v>#N/A</v>
      </c>
      <c r="V5205" s="18" t="s">
        <v>7599</v>
      </c>
      <c r="W5205" s="48">
        <v>1</v>
      </c>
      <c r="X5205" s="48">
        <v>0</v>
      </c>
      <c r="Y5205" s="48">
        <v>0</v>
      </c>
      <c r="Z5205" s="48">
        <v>1</v>
      </c>
      <c r="AA5205" s="48">
        <v>1</v>
      </c>
      <c r="AB5205" s="48">
        <v>1</v>
      </c>
      <c r="AC5205" s="150">
        <v>1</v>
      </c>
      <c r="AD5205" s="150">
        <v>1</v>
      </c>
      <c r="AE5205" s="49">
        <f t="shared" si="190"/>
        <v>0.75</v>
      </c>
      <c r="AF5205" s="255"/>
      <c r="AG5205" s="17">
        <v>0</v>
      </c>
      <c r="AH5205" s="255">
        <v>1.45</v>
      </c>
      <c r="AI5205" s="255">
        <v>1.45</v>
      </c>
      <c r="AJ5205" s="255">
        <v>1.45</v>
      </c>
      <c r="AK5205" s="256">
        <f>1.45/2</f>
        <v>0.72499999999999998</v>
      </c>
      <c r="AL5205" s="256">
        <f>1.45/2</f>
        <v>0.72499999999999998</v>
      </c>
      <c r="AM5205" s="147">
        <f t="shared" si="189"/>
        <v>1.45</v>
      </c>
      <c r="AN5205" s="18" t="s">
        <v>1446</v>
      </c>
      <c r="AO5205" s="18" t="s">
        <v>3715</v>
      </c>
      <c r="AP5205" s="18" t="s">
        <v>7600</v>
      </c>
    </row>
    <row r="5206" spans="1:42" s="18" customFormat="1" ht="15" customHeight="1" x14ac:dyDescent="0.3">
      <c r="A5206" s="207" t="s">
        <v>7397</v>
      </c>
      <c r="B5206" s="18" t="s">
        <v>7398</v>
      </c>
      <c r="C5206" s="208" t="s">
        <v>7589</v>
      </c>
      <c r="D5206" s="18" t="s">
        <v>7590</v>
      </c>
      <c r="E5206" s="208" t="s">
        <v>7591</v>
      </c>
      <c r="F5206" s="18" t="s">
        <v>7592</v>
      </c>
      <c r="G5206" s="156" t="s">
        <v>7593</v>
      </c>
      <c r="H5206" s="18" t="s">
        <v>7594</v>
      </c>
      <c r="I5206" s="156"/>
      <c r="K5206" s="156" t="s">
        <v>7601</v>
      </c>
      <c r="L5206" s="18" t="s">
        <v>7602</v>
      </c>
      <c r="M5206" s="18" t="s">
        <v>7603</v>
      </c>
      <c r="N5206" s="18">
        <v>0</v>
      </c>
      <c r="O5206" s="18">
        <v>0</v>
      </c>
      <c r="P5206" s="16">
        <v>1</v>
      </c>
      <c r="Q5206" s="16">
        <v>0</v>
      </c>
      <c r="R5206" s="16">
        <v>0</v>
      </c>
      <c r="S5206" s="16">
        <v>0</v>
      </c>
      <c r="T5206" s="18" t="s">
        <v>1446</v>
      </c>
      <c r="U5206" t="str">
        <f>VLOOKUP(T5206,[8]Votes!$A$1:$E$234,3,FALSE)</f>
        <v>141 Uganda Revenue Authority</v>
      </c>
      <c r="V5206" s="18" t="s">
        <v>7604</v>
      </c>
      <c r="W5206" s="48">
        <v>1</v>
      </c>
      <c r="X5206" s="48">
        <v>1</v>
      </c>
      <c r="Y5206" s="48">
        <v>0</v>
      </c>
      <c r="Z5206" s="48">
        <v>1</v>
      </c>
      <c r="AA5206" s="48">
        <v>1</v>
      </c>
      <c r="AB5206" s="48">
        <v>1</v>
      </c>
      <c r="AC5206" s="150">
        <v>0</v>
      </c>
      <c r="AD5206" s="150">
        <v>1</v>
      </c>
      <c r="AE5206" s="49">
        <f t="shared" si="190"/>
        <v>0.75</v>
      </c>
      <c r="AF5206" s="255"/>
      <c r="AG5206" s="17">
        <v>0</v>
      </c>
      <c r="AH5206" s="255">
        <v>0</v>
      </c>
      <c r="AI5206" s="255">
        <v>5.22</v>
      </c>
      <c r="AJ5206" s="255">
        <v>0</v>
      </c>
      <c r="AK5206" s="256">
        <v>0</v>
      </c>
      <c r="AL5206" s="256">
        <v>0</v>
      </c>
      <c r="AM5206" s="147">
        <f t="shared" si="189"/>
        <v>0</v>
      </c>
      <c r="AN5206" s="18" t="s">
        <v>1446</v>
      </c>
      <c r="AO5206" s="18" t="s">
        <v>3715</v>
      </c>
      <c r="AP5206" s="18" t="s">
        <v>4115</v>
      </c>
    </row>
    <row r="5207" spans="1:42" s="18" customFormat="1" ht="15" customHeight="1" x14ac:dyDescent="0.3">
      <c r="A5207" s="207" t="s">
        <v>7397</v>
      </c>
      <c r="B5207" s="18" t="s">
        <v>7398</v>
      </c>
      <c r="C5207" s="208" t="s">
        <v>7589</v>
      </c>
      <c r="D5207" s="18" t="s">
        <v>7590</v>
      </c>
      <c r="E5207" s="208" t="s">
        <v>7591</v>
      </c>
      <c r="F5207" s="18" t="s">
        <v>7592</v>
      </c>
      <c r="G5207" s="156" t="s">
        <v>7593</v>
      </c>
      <c r="H5207" s="18" t="s">
        <v>7594</v>
      </c>
      <c r="I5207" s="156"/>
      <c r="K5207" s="156" t="s">
        <v>7605</v>
      </c>
      <c r="L5207" s="18" t="s">
        <v>7606</v>
      </c>
      <c r="M5207" s="18" t="s">
        <v>7607</v>
      </c>
      <c r="N5207" s="18">
        <v>0</v>
      </c>
      <c r="O5207" s="18">
        <v>7</v>
      </c>
      <c r="P5207" s="16">
        <v>7</v>
      </c>
      <c r="Q5207" s="16">
        <v>7</v>
      </c>
      <c r="R5207" s="16">
        <v>7</v>
      </c>
      <c r="S5207" s="16">
        <v>7</v>
      </c>
      <c r="T5207" s="18" t="s">
        <v>1446</v>
      </c>
      <c r="U5207" t="str">
        <f>VLOOKUP(T5207,[8]Votes!$A$1:$E$234,3,FALSE)</f>
        <v>141 Uganda Revenue Authority</v>
      </c>
      <c r="V5207" s="18" t="s">
        <v>7608</v>
      </c>
      <c r="W5207" s="48">
        <v>1</v>
      </c>
      <c r="X5207" s="48">
        <v>1</v>
      </c>
      <c r="Y5207" s="48">
        <v>0</v>
      </c>
      <c r="Z5207" s="48">
        <v>1</v>
      </c>
      <c r="AA5207" s="48">
        <v>1</v>
      </c>
      <c r="AB5207" s="48">
        <v>1</v>
      </c>
      <c r="AC5207" s="150">
        <v>0</v>
      </c>
      <c r="AD5207" s="150">
        <v>1</v>
      </c>
      <c r="AE5207" s="49">
        <f t="shared" si="190"/>
        <v>0.75</v>
      </c>
      <c r="AF5207" s="176"/>
      <c r="AG5207" s="17">
        <v>0</v>
      </c>
      <c r="AH5207" s="176">
        <v>2.9</v>
      </c>
      <c r="AI5207" s="176">
        <v>2.9</v>
      </c>
      <c r="AJ5207" s="176">
        <v>2.9</v>
      </c>
      <c r="AK5207" s="177">
        <f>2.9/2</f>
        <v>1.45</v>
      </c>
      <c r="AL5207" s="177">
        <f>2.9/2</f>
        <v>1.45</v>
      </c>
      <c r="AM5207" s="147">
        <f t="shared" si="189"/>
        <v>2.9</v>
      </c>
      <c r="AN5207" s="18" t="s">
        <v>1446</v>
      </c>
      <c r="AO5207" s="18" t="s">
        <v>3715</v>
      </c>
    </row>
    <row r="5208" spans="1:42" s="18" customFormat="1" ht="15" customHeight="1" x14ac:dyDescent="0.3">
      <c r="A5208" s="207" t="s">
        <v>7397</v>
      </c>
      <c r="B5208" s="18" t="s">
        <v>7398</v>
      </c>
      <c r="C5208" s="208" t="s">
        <v>7589</v>
      </c>
      <c r="D5208" s="18" t="s">
        <v>7590</v>
      </c>
      <c r="E5208" s="208" t="s">
        <v>7591</v>
      </c>
      <c r="F5208" s="18" t="s">
        <v>7592</v>
      </c>
      <c r="G5208" s="156" t="s">
        <v>7593</v>
      </c>
      <c r="H5208" s="18" t="s">
        <v>7594</v>
      </c>
      <c r="I5208" s="156"/>
      <c r="K5208" s="156" t="s">
        <v>7609</v>
      </c>
      <c r="L5208" s="18" t="s">
        <v>7610</v>
      </c>
      <c r="M5208" s="18" t="s">
        <v>7611</v>
      </c>
      <c r="N5208" s="18">
        <v>0</v>
      </c>
      <c r="O5208" s="18">
        <v>0</v>
      </c>
      <c r="P5208" s="16">
        <v>1</v>
      </c>
      <c r="Q5208" s="16">
        <v>0</v>
      </c>
      <c r="R5208" s="16">
        <v>0</v>
      </c>
      <c r="S5208" s="16">
        <v>0</v>
      </c>
      <c r="T5208" s="18" t="s">
        <v>1446</v>
      </c>
      <c r="U5208" t="str">
        <f>VLOOKUP(T5208,[8]Votes!$A$1:$E$234,3,FALSE)</f>
        <v>141 Uganda Revenue Authority</v>
      </c>
      <c r="V5208" s="18" t="s">
        <v>7612</v>
      </c>
      <c r="W5208" s="48"/>
      <c r="X5208" s="48"/>
      <c r="Y5208" s="48"/>
      <c r="Z5208" s="48"/>
      <c r="AA5208" s="48"/>
      <c r="AB5208" s="48"/>
      <c r="AC5208" s="150">
        <v>0</v>
      </c>
      <c r="AD5208" s="150">
        <v>0</v>
      </c>
      <c r="AE5208" s="49">
        <f t="shared" si="190"/>
        <v>0</v>
      </c>
      <c r="AF5208" s="176"/>
      <c r="AG5208" s="17">
        <v>0</v>
      </c>
      <c r="AH5208" s="176">
        <v>0.54</v>
      </c>
      <c r="AI5208" s="176">
        <v>0.28999999999999998</v>
      </c>
      <c r="AJ5208" s="176">
        <v>0.15</v>
      </c>
      <c r="AK5208" s="177">
        <v>0</v>
      </c>
      <c r="AL5208" s="177">
        <v>0</v>
      </c>
      <c r="AM5208" s="147">
        <f t="shared" si="189"/>
        <v>0</v>
      </c>
      <c r="AN5208" s="18" t="s">
        <v>1446</v>
      </c>
      <c r="AO5208" s="18" t="s">
        <v>3715</v>
      </c>
    </row>
    <row r="5209" spans="1:42" s="18" customFormat="1" ht="15" customHeight="1" x14ac:dyDescent="0.3">
      <c r="A5209" s="207" t="s">
        <v>7397</v>
      </c>
      <c r="B5209" s="18" t="s">
        <v>7398</v>
      </c>
      <c r="C5209" s="208" t="s">
        <v>7589</v>
      </c>
      <c r="D5209" s="18" t="s">
        <v>7590</v>
      </c>
      <c r="E5209" s="208" t="s">
        <v>7591</v>
      </c>
      <c r="F5209" s="18" t="s">
        <v>7592</v>
      </c>
      <c r="G5209" s="156" t="s">
        <v>7593</v>
      </c>
      <c r="H5209" s="18" t="s">
        <v>7594</v>
      </c>
      <c r="I5209" s="156"/>
      <c r="K5209" s="156" t="s">
        <v>7609</v>
      </c>
      <c r="L5209" s="18" t="s">
        <v>7610</v>
      </c>
      <c r="M5209" s="18" t="s">
        <v>7613</v>
      </c>
      <c r="N5209" s="18">
        <v>0</v>
      </c>
      <c r="O5209" s="18">
        <v>1</v>
      </c>
      <c r="P5209" s="16">
        <v>0</v>
      </c>
      <c r="Q5209" s="16">
        <v>0</v>
      </c>
      <c r="R5209" s="16">
        <v>0</v>
      </c>
      <c r="S5209" s="16">
        <v>0</v>
      </c>
      <c r="T5209" s="18" t="s">
        <v>1446</v>
      </c>
      <c r="U5209" t="str">
        <f>VLOOKUP(T5209,[8]Votes!$A$1:$E$234,3,FALSE)</f>
        <v>141 Uganda Revenue Authority</v>
      </c>
      <c r="V5209" s="18" t="s">
        <v>7614</v>
      </c>
      <c r="W5209" s="48"/>
      <c r="X5209" s="48"/>
      <c r="Y5209" s="48"/>
      <c r="Z5209" s="48"/>
      <c r="AA5209" s="48"/>
      <c r="AB5209" s="48"/>
      <c r="AC5209" s="150">
        <v>0</v>
      </c>
      <c r="AD5209" s="150">
        <v>0</v>
      </c>
      <c r="AE5209" s="49">
        <f t="shared" si="190"/>
        <v>0</v>
      </c>
      <c r="AF5209" s="176"/>
      <c r="AG5209" s="17">
        <v>0</v>
      </c>
      <c r="AH5209" s="176">
        <v>0.52</v>
      </c>
      <c r="AI5209" s="176">
        <v>0.57999999999999996</v>
      </c>
      <c r="AJ5209" s="176">
        <v>0.42</v>
      </c>
      <c r="AK5209" s="177">
        <v>0</v>
      </c>
      <c r="AL5209" s="177">
        <v>0</v>
      </c>
      <c r="AM5209" s="147">
        <f t="shared" si="189"/>
        <v>0</v>
      </c>
      <c r="AN5209" s="18" t="s">
        <v>1446</v>
      </c>
      <c r="AO5209" s="18" t="s">
        <v>3715</v>
      </c>
    </row>
    <row r="5210" spans="1:42" s="18" customFormat="1" ht="15" customHeight="1" x14ac:dyDescent="0.3">
      <c r="A5210" s="207" t="s">
        <v>7397</v>
      </c>
      <c r="B5210" s="18" t="s">
        <v>7398</v>
      </c>
      <c r="C5210" s="208" t="s">
        <v>7589</v>
      </c>
      <c r="D5210" s="18" t="s">
        <v>7590</v>
      </c>
      <c r="E5210" s="208" t="s">
        <v>7591</v>
      </c>
      <c r="F5210" s="18" t="s">
        <v>7592</v>
      </c>
      <c r="G5210" s="156" t="s">
        <v>7593</v>
      </c>
      <c r="H5210" s="18" t="s">
        <v>7594</v>
      </c>
      <c r="I5210" s="156"/>
      <c r="K5210" s="156" t="s">
        <v>7609</v>
      </c>
      <c r="L5210" s="18" t="s">
        <v>7610</v>
      </c>
      <c r="M5210" s="18" t="s">
        <v>7615</v>
      </c>
      <c r="N5210" s="18">
        <v>0</v>
      </c>
      <c r="O5210" s="18">
        <v>0</v>
      </c>
      <c r="P5210" s="16">
        <v>0</v>
      </c>
      <c r="Q5210" s="16">
        <v>1</v>
      </c>
      <c r="R5210" s="16">
        <v>0</v>
      </c>
      <c r="S5210" s="16">
        <v>0</v>
      </c>
      <c r="T5210" s="18" t="s">
        <v>1446</v>
      </c>
      <c r="U5210" t="str">
        <f>VLOOKUP(T5210,[8]Votes!$A$1:$E$234,3,FALSE)</f>
        <v>141 Uganda Revenue Authority</v>
      </c>
      <c r="V5210" s="18" t="s">
        <v>7616</v>
      </c>
      <c r="W5210" s="48"/>
      <c r="X5210" s="48"/>
      <c r="Y5210" s="48"/>
      <c r="Z5210" s="48"/>
      <c r="AA5210" s="48"/>
      <c r="AB5210" s="48"/>
      <c r="AC5210" s="150">
        <v>0</v>
      </c>
      <c r="AD5210" s="150">
        <v>0</v>
      </c>
      <c r="AE5210" s="49">
        <f t="shared" si="190"/>
        <v>0</v>
      </c>
      <c r="AF5210" s="176"/>
      <c r="AG5210" s="17">
        <v>0</v>
      </c>
      <c r="AH5210" s="176">
        <v>0.25</v>
      </c>
      <c r="AI5210" s="176">
        <v>0.28999999999999998</v>
      </c>
      <c r="AJ5210" s="176">
        <v>0</v>
      </c>
      <c r="AK5210" s="177">
        <v>0</v>
      </c>
      <c r="AL5210" s="177">
        <v>0</v>
      </c>
      <c r="AM5210" s="147">
        <f t="shared" si="189"/>
        <v>0</v>
      </c>
      <c r="AN5210" s="18" t="s">
        <v>1446</v>
      </c>
      <c r="AO5210" s="18" t="s">
        <v>3715</v>
      </c>
    </row>
    <row r="5211" spans="1:42" s="18" customFormat="1" ht="15" customHeight="1" x14ac:dyDescent="0.3">
      <c r="A5211" s="207" t="s">
        <v>7397</v>
      </c>
      <c r="B5211" s="18" t="s">
        <v>7398</v>
      </c>
      <c r="C5211" s="208" t="s">
        <v>7589</v>
      </c>
      <c r="D5211" s="18" t="s">
        <v>7590</v>
      </c>
      <c r="E5211" s="208" t="s">
        <v>7591</v>
      </c>
      <c r="F5211" s="18" t="s">
        <v>7592</v>
      </c>
      <c r="G5211" s="156" t="s">
        <v>7593</v>
      </c>
      <c r="H5211" s="18" t="s">
        <v>7594</v>
      </c>
      <c r="I5211" s="156"/>
      <c r="K5211" s="156" t="s">
        <v>7609</v>
      </c>
      <c r="L5211" s="18" t="s">
        <v>7610</v>
      </c>
      <c r="M5211" s="18" t="s">
        <v>7617</v>
      </c>
      <c r="N5211" s="18">
        <v>0</v>
      </c>
      <c r="O5211" s="18">
        <v>0</v>
      </c>
      <c r="P5211" s="16">
        <v>1</v>
      </c>
      <c r="Q5211" s="16">
        <v>0</v>
      </c>
      <c r="R5211" s="16">
        <v>0</v>
      </c>
      <c r="S5211" s="16">
        <v>0</v>
      </c>
      <c r="T5211" s="18" t="s">
        <v>1446</v>
      </c>
      <c r="U5211" t="str">
        <f>VLOOKUP(T5211,[8]Votes!$A$1:$E$234,3,FALSE)</f>
        <v>141 Uganda Revenue Authority</v>
      </c>
      <c r="V5211" s="18" t="s">
        <v>7618</v>
      </c>
      <c r="W5211" s="48">
        <v>0</v>
      </c>
      <c r="X5211" s="48">
        <v>0</v>
      </c>
      <c r="Y5211" s="48">
        <v>0</v>
      </c>
      <c r="Z5211" s="48">
        <v>1</v>
      </c>
      <c r="AA5211" s="48">
        <v>1</v>
      </c>
      <c r="AB5211" s="48">
        <v>0</v>
      </c>
      <c r="AC5211" s="150">
        <v>0</v>
      </c>
      <c r="AD5211" s="150">
        <v>1</v>
      </c>
      <c r="AE5211" s="49">
        <f t="shared" si="190"/>
        <v>0.375</v>
      </c>
      <c r="AF5211" s="176"/>
      <c r="AG5211" s="17">
        <v>0</v>
      </c>
      <c r="AH5211" s="176">
        <v>0.52</v>
      </c>
      <c r="AI5211" s="176">
        <v>0</v>
      </c>
      <c r="AJ5211" s="176">
        <v>0</v>
      </c>
      <c r="AK5211" s="177">
        <v>0</v>
      </c>
      <c r="AL5211" s="177">
        <v>0</v>
      </c>
      <c r="AM5211" s="147">
        <f t="shared" si="189"/>
        <v>0</v>
      </c>
      <c r="AN5211" s="18" t="s">
        <v>1446</v>
      </c>
      <c r="AO5211" s="18" t="s">
        <v>3715</v>
      </c>
    </row>
    <row r="5212" spans="1:42" s="18" customFormat="1" ht="15" customHeight="1" x14ac:dyDescent="0.3">
      <c r="A5212" s="207" t="s">
        <v>7397</v>
      </c>
      <c r="B5212" s="18" t="s">
        <v>7398</v>
      </c>
      <c r="C5212" s="208" t="s">
        <v>7589</v>
      </c>
      <c r="D5212" s="18" t="s">
        <v>7590</v>
      </c>
      <c r="E5212" s="208" t="s">
        <v>7591</v>
      </c>
      <c r="F5212" s="18" t="s">
        <v>7592</v>
      </c>
      <c r="G5212" s="156" t="s">
        <v>7593</v>
      </c>
      <c r="H5212" s="18" t="s">
        <v>7594</v>
      </c>
      <c r="I5212" s="156"/>
      <c r="K5212" s="156" t="s">
        <v>7609</v>
      </c>
      <c r="L5212" s="18" t="s">
        <v>7610</v>
      </c>
      <c r="M5212" s="18" t="s">
        <v>7619</v>
      </c>
      <c r="N5212" s="18">
        <v>0</v>
      </c>
      <c r="O5212" s="18">
        <v>0</v>
      </c>
      <c r="P5212" s="16">
        <v>1</v>
      </c>
      <c r="Q5212" s="16">
        <v>0</v>
      </c>
      <c r="R5212" s="16">
        <v>0</v>
      </c>
      <c r="S5212" s="16">
        <v>0</v>
      </c>
      <c r="T5212" s="18" t="s">
        <v>1446</v>
      </c>
      <c r="U5212" t="str">
        <f>VLOOKUP(T5212,[8]Votes!$A$1:$E$234,3,FALSE)</f>
        <v>141 Uganda Revenue Authority</v>
      </c>
      <c r="V5212" s="18" t="s">
        <v>7620</v>
      </c>
      <c r="W5212" s="48">
        <v>0</v>
      </c>
      <c r="X5212" s="48">
        <v>0</v>
      </c>
      <c r="Y5212" s="48">
        <v>0</v>
      </c>
      <c r="Z5212" s="48">
        <v>1</v>
      </c>
      <c r="AA5212" s="48">
        <v>1</v>
      </c>
      <c r="AB5212" s="48">
        <v>0</v>
      </c>
      <c r="AC5212" s="150">
        <v>0</v>
      </c>
      <c r="AD5212" s="150">
        <v>1</v>
      </c>
      <c r="AE5212" s="49">
        <f t="shared" si="190"/>
        <v>0.375</v>
      </c>
      <c r="AF5212" s="176"/>
      <c r="AG5212" s="17">
        <v>0</v>
      </c>
      <c r="AH5212" s="176">
        <v>0.49</v>
      </c>
      <c r="AI5212" s="176">
        <v>0</v>
      </c>
      <c r="AJ5212" s="176">
        <v>0</v>
      </c>
      <c r="AK5212" s="177">
        <v>0</v>
      </c>
      <c r="AL5212" s="177">
        <v>0</v>
      </c>
      <c r="AM5212" s="147">
        <f t="shared" si="189"/>
        <v>0</v>
      </c>
      <c r="AN5212" s="18" t="s">
        <v>1446</v>
      </c>
      <c r="AO5212" s="18" t="s">
        <v>3715</v>
      </c>
    </row>
    <row r="5213" spans="1:42" s="18" customFormat="1" ht="15" customHeight="1" x14ac:dyDescent="0.3">
      <c r="A5213" s="207" t="s">
        <v>7397</v>
      </c>
      <c r="B5213" s="18" t="s">
        <v>7398</v>
      </c>
      <c r="C5213" s="208" t="s">
        <v>7589</v>
      </c>
      <c r="D5213" s="18" t="s">
        <v>7590</v>
      </c>
      <c r="E5213" s="208" t="s">
        <v>7591</v>
      </c>
      <c r="F5213" s="18" t="s">
        <v>7592</v>
      </c>
      <c r="G5213" s="156" t="s">
        <v>7593</v>
      </c>
      <c r="H5213" s="18" t="s">
        <v>7594</v>
      </c>
      <c r="I5213" s="156"/>
      <c r="K5213" s="156" t="s">
        <v>7609</v>
      </c>
      <c r="L5213" s="18" t="s">
        <v>7610</v>
      </c>
      <c r="M5213" s="18" t="s">
        <v>7621</v>
      </c>
      <c r="N5213" s="18">
        <v>0</v>
      </c>
      <c r="O5213" s="18">
        <v>0</v>
      </c>
      <c r="P5213" s="16">
        <v>2</v>
      </c>
      <c r="Q5213" s="16">
        <v>2</v>
      </c>
      <c r="R5213" s="16">
        <v>0</v>
      </c>
      <c r="S5213" s="16">
        <v>0</v>
      </c>
      <c r="T5213" s="18" t="s">
        <v>1446</v>
      </c>
      <c r="U5213" t="str">
        <f>VLOOKUP(T5213,[8]Votes!$A$1:$E$234,3,FALSE)</f>
        <v>141 Uganda Revenue Authority</v>
      </c>
      <c r="V5213" s="18" t="s">
        <v>7622</v>
      </c>
      <c r="W5213" s="48">
        <v>1</v>
      </c>
      <c r="X5213" s="48">
        <v>1</v>
      </c>
      <c r="Y5213" s="48">
        <v>0</v>
      </c>
      <c r="Z5213" s="48">
        <v>1</v>
      </c>
      <c r="AA5213" s="48">
        <v>0</v>
      </c>
      <c r="AB5213" s="48">
        <v>0</v>
      </c>
      <c r="AC5213" s="150">
        <v>0</v>
      </c>
      <c r="AD5213" s="150">
        <v>1</v>
      </c>
      <c r="AE5213" s="49">
        <f t="shared" si="190"/>
        <v>0.5</v>
      </c>
      <c r="AF5213" s="176"/>
      <c r="AG5213" s="17">
        <v>0</v>
      </c>
      <c r="AH5213" s="176">
        <v>0.15</v>
      </c>
      <c r="AI5213" s="176">
        <v>0.15</v>
      </c>
      <c r="AJ5213" s="176">
        <v>0.15</v>
      </c>
      <c r="AK5213" s="177">
        <v>0</v>
      </c>
      <c r="AL5213" s="177">
        <v>0</v>
      </c>
      <c r="AM5213" s="147">
        <f t="shared" si="189"/>
        <v>0</v>
      </c>
      <c r="AN5213" s="18" t="s">
        <v>1446</v>
      </c>
      <c r="AO5213" s="18" t="s">
        <v>3715</v>
      </c>
    </row>
    <row r="5214" spans="1:42" s="18" customFormat="1" ht="15" customHeight="1" x14ac:dyDescent="0.3">
      <c r="A5214" s="207" t="s">
        <v>7397</v>
      </c>
      <c r="B5214" s="18" t="s">
        <v>7398</v>
      </c>
      <c r="C5214" s="208" t="s">
        <v>7589</v>
      </c>
      <c r="D5214" s="18" t="s">
        <v>7590</v>
      </c>
      <c r="E5214" s="208" t="s">
        <v>7591</v>
      </c>
      <c r="F5214" s="18" t="s">
        <v>7592</v>
      </c>
      <c r="G5214" s="156" t="s">
        <v>7623</v>
      </c>
      <c r="H5214" s="18" t="s">
        <v>7624</v>
      </c>
      <c r="I5214" s="156"/>
      <c r="K5214" s="156" t="s">
        <v>7625</v>
      </c>
      <c r="L5214" s="18" t="s">
        <v>7626</v>
      </c>
      <c r="M5214" s="18" t="s">
        <v>7627</v>
      </c>
      <c r="N5214" s="18">
        <v>0</v>
      </c>
      <c r="O5214" s="18">
        <v>5</v>
      </c>
      <c r="P5214" s="16">
        <v>5</v>
      </c>
      <c r="Q5214" s="16">
        <v>5</v>
      </c>
      <c r="R5214" s="16">
        <v>5</v>
      </c>
      <c r="S5214" s="16">
        <v>5</v>
      </c>
      <c r="T5214" s="18" t="s">
        <v>921</v>
      </c>
      <c r="U5214" t="str">
        <f>VLOOKUP(T5214,[8]Votes!$A$1:$E$234,3,FALSE)</f>
        <v>008 Ministry of Finance, Planning &amp; Economic Dev.</v>
      </c>
      <c r="V5214" s="18" t="s">
        <v>7628</v>
      </c>
      <c r="W5214" s="48">
        <v>1</v>
      </c>
      <c r="X5214" s="48">
        <v>1</v>
      </c>
      <c r="Y5214" s="48">
        <v>1</v>
      </c>
      <c r="Z5214" s="48">
        <v>1</v>
      </c>
      <c r="AA5214" s="48">
        <v>1</v>
      </c>
      <c r="AB5214" s="48">
        <v>1</v>
      </c>
      <c r="AC5214" s="150">
        <v>1</v>
      </c>
      <c r="AD5214" s="150">
        <v>1</v>
      </c>
      <c r="AE5214" s="49">
        <f t="shared" si="190"/>
        <v>1</v>
      </c>
      <c r="AF5214" s="255"/>
      <c r="AG5214" s="17">
        <v>0</v>
      </c>
      <c r="AH5214" s="255">
        <v>1.45</v>
      </c>
      <c r="AI5214" s="255">
        <v>2.4649999999999999</v>
      </c>
      <c r="AJ5214" s="255">
        <v>2.4649999999999999</v>
      </c>
      <c r="AK5214" s="256">
        <f>2.465/2</f>
        <v>1.2324999999999999</v>
      </c>
      <c r="AL5214" s="256">
        <f>2.32/2</f>
        <v>1.1599999999999999</v>
      </c>
      <c r="AM5214" s="147">
        <f t="shared" si="189"/>
        <v>2.3925000000000001</v>
      </c>
      <c r="AN5214" s="18" t="s">
        <v>921</v>
      </c>
      <c r="AO5214" s="18" t="s">
        <v>880</v>
      </c>
    </row>
    <row r="5215" spans="1:42" s="18" customFormat="1" ht="15" customHeight="1" x14ac:dyDescent="0.3">
      <c r="A5215" s="207" t="s">
        <v>7397</v>
      </c>
      <c r="B5215" s="18" t="s">
        <v>7398</v>
      </c>
      <c r="C5215" s="208" t="s">
        <v>7589</v>
      </c>
      <c r="D5215" s="18" t="s">
        <v>7590</v>
      </c>
      <c r="E5215" s="208" t="s">
        <v>7591</v>
      </c>
      <c r="F5215" s="18" t="s">
        <v>7592</v>
      </c>
      <c r="G5215" s="156" t="s">
        <v>7623</v>
      </c>
      <c r="H5215" s="18" t="s">
        <v>7624</v>
      </c>
      <c r="I5215" s="156"/>
      <c r="K5215" s="156" t="s">
        <v>7625</v>
      </c>
      <c r="L5215" s="18" t="s">
        <v>7626</v>
      </c>
      <c r="M5215" s="18" t="s">
        <v>7629</v>
      </c>
      <c r="N5215" s="18">
        <v>0</v>
      </c>
      <c r="O5215" s="18">
        <v>1</v>
      </c>
      <c r="P5215" s="16">
        <v>1</v>
      </c>
      <c r="Q5215" s="16">
        <v>1</v>
      </c>
      <c r="R5215" s="16">
        <v>1</v>
      </c>
      <c r="S5215" s="16">
        <v>1</v>
      </c>
      <c r="T5215" s="18" t="s">
        <v>921</v>
      </c>
      <c r="U5215" t="str">
        <f>VLOOKUP(T5215,[8]Votes!$A$1:$E$234,3,FALSE)</f>
        <v>008 Ministry of Finance, Planning &amp; Economic Dev.</v>
      </c>
      <c r="V5215" s="18" t="s">
        <v>7630</v>
      </c>
      <c r="W5215" s="48">
        <v>1</v>
      </c>
      <c r="X5215" s="48">
        <v>1</v>
      </c>
      <c r="Y5215" s="48">
        <v>1</v>
      </c>
      <c r="Z5215" s="48">
        <v>1</v>
      </c>
      <c r="AA5215" s="48">
        <v>1</v>
      </c>
      <c r="AB5215" s="48">
        <v>1</v>
      </c>
      <c r="AC5215" s="150">
        <v>1</v>
      </c>
      <c r="AD5215" s="150">
        <v>1</v>
      </c>
      <c r="AE5215" s="49">
        <f t="shared" si="190"/>
        <v>1</v>
      </c>
      <c r="AF5215" s="176"/>
      <c r="AG5215" s="17">
        <v>0</v>
      </c>
      <c r="AH5215" s="176">
        <v>2.1800000000000002</v>
      </c>
      <c r="AI5215" s="176">
        <v>4.3499999999999996</v>
      </c>
      <c r="AJ5215" s="176">
        <v>4.3499999999999996</v>
      </c>
      <c r="AK5215" s="177">
        <f>4.35/2</f>
        <v>2.1749999999999998</v>
      </c>
      <c r="AL5215" s="177">
        <f>4.35/2</f>
        <v>2.1749999999999998</v>
      </c>
      <c r="AM5215" s="147">
        <f t="shared" si="189"/>
        <v>4.3499999999999996</v>
      </c>
      <c r="AN5215" s="18" t="s">
        <v>921</v>
      </c>
      <c r="AO5215" s="18" t="s">
        <v>880</v>
      </c>
    </row>
    <row r="5216" spans="1:42" s="18" customFormat="1" ht="15" customHeight="1" x14ac:dyDescent="0.3">
      <c r="A5216" s="207" t="s">
        <v>7397</v>
      </c>
      <c r="B5216" s="18" t="s">
        <v>7398</v>
      </c>
      <c r="C5216" s="208" t="s">
        <v>7589</v>
      </c>
      <c r="D5216" s="18" t="s">
        <v>7590</v>
      </c>
      <c r="E5216" s="208" t="s">
        <v>7591</v>
      </c>
      <c r="F5216" s="18" t="s">
        <v>7592</v>
      </c>
      <c r="G5216" s="156" t="s">
        <v>7623</v>
      </c>
      <c r="H5216" s="18" t="s">
        <v>7624</v>
      </c>
      <c r="I5216" s="156"/>
      <c r="K5216" s="156" t="s">
        <v>7625</v>
      </c>
      <c r="L5216" s="18" t="s">
        <v>7626</v>
      </c>
      <c r="M5216" s="18" t="s">
        <v>7631</v>
      </c>
      <c r="N5216" s="18">
        <v>0</v>
      </c>
      <c r="O5216" s="18">
        <v>1</v>
      </c>
      <c r="P5216" s="16">
        <v>1</v>
      </c>
      <c r="Q5216" s="16">
        <v>1</v>
      </c>
      <c r="R5216" s="16">
        <v>1</v>
      </c>
      <c r="S5216" s="16">
        <v>1</v>
      </c>
      <c r="T5216" s="18" t="s">
        <v>921</v>
      </c>
      <c r="U5216" t="str">
        <f>VLOOKUP(T5216,[8]Votes!$A$1:$E$234,3,FALSE)</f>
        <v>008 Ministry of Finance, Planning &amp; Economic Dev.</v>
      </c>
      <c r="W5216" s="48"/>
      <c r="X5216" s="48"/>
      <c r="Y5216" s="48"/>
      <c r="Z5216" s="48"/>
      <c r="AA5216" s="48"/>
      <c r="AB5216" s="48"/>
      <c r="AC5216" s="150">
        <v>0</v>
      </c>
      <c r="AD5216" s="150">
        <v>0</v>
      </c>
      <c r="AE5216" s="49">
        <f t="shared" si="190"/>
        <v>0</v>
      </c>
      <c r="AF5216" s="17"/>
      <c r="AG5216" s="17">
        <v>0</v>
      </c>
      <c r="AH5216" s="17"/>
      <c r="AI5216" s="17"/>
      <c r="AJ5216" s="17"/>
      <c r="AK5216" s="154"/>
      <c r="AL5216" s="154"/>
      <c r="AM5216" s="147">
        <f t="shared" si="189"/>
        <v>0</v>
      </c>
      <c r="AN5216" s="18" t="s">
        <v>921</v>
      </c>
      <c r="AO5216" s="18" t="s">
        <v>880</v>
      </c>
    </row>
    <row r="5217" spans="1:42" s="18" customFormat="1" ht="15" customHeight="1" x14ac:dyDescent="0.3">
      <c r="A5217" s="207" t="s">
        <v>7397</v>
      </c>
      <c r="B5217" s="18" t="s">
        <v>7398</v>
      </c>
      <c r="C5217" s="208" t="s">
        <v>7589</v>
      </c>
      <c r="D5217" s="18" t="s">
        <v>7590</v>
      </c>
      <c r="E5217" s="208" t="s">
        <v>7591</v>
      </c>
      <c r="F5217" s="18" t="s">
        <v>7592</v>
      </c>
      <c r="G5217" s="156" t="s">
        <v>7623</v>
      </c>
      <c r="H5217" s="18" t="s">
        <v>7624</v>
      </c>
      <c r="I5217" s="156"/>
      <c r="K5217" s="156" t="s">
        <v>7625</v>
      </c>
      <c r="L5217" s="18" t="s">
        <v>7626</v>
      </c>
      <c r="M5217" s="18" t="s">
        <v>7632</v>
      </c>
      <c r="N5217" s="18">
        <v>0</v>
      </c>
      <c r="O5217" s="18">
        <v>0</v>
      </c>
      <c r="P5217" s="16">
        <v>1</v>
      </c>
      <c r="Q5217" s="16">
        <v>0</v>
      </c>
      <c r="R5217" s="16">
        <v>0</v>
      </c>
      <c r="S5217" s="16">
        <v>0</v>
      </c>
      <c r="T5217" s="18" t="s">
        <v>921</v>
      </c>
      <c r="U5217" t="str">
        <f>VLOOKUP(T5217,[8]Votes!$A$1:$E$234,3,FALSE)</f>
        <v>008 Ministry of Finance, Planning &amp; Economic Dev.</v>
      </c>
      <c r="V5217" s="18" t="s">
        <v>7633</v>
      </c>
      <c r="W5217" s="48">
        <v>1</v>
      </c>
      <c r="X5217" s="48">
        <v>1</v>
      </c>
      <c r="Y5217" s="48">
        <v>0</v>
      </c>
      <c r="Z5217" s="48">
        <v>1</v>
      </c>
      <c r="AA5217" s="48">
        <v>1</v>
      </c>
      <c r="AB5217" s="48">
        <v>1</v>
      </c>
      <c r="AC5217" s="150">
        <v>1</v>
      </c>
      <c r="AD5217" s="150">
        <v>1</v>
      </c>
      <c r="AE5217" s="49">
        <f t="shared" si="190"/>
        <v>0.875</v>
      </c>
      <c r="AF5217" s="176"/>
      <c r="AG5217" s="17">
        <v>0</v>
      </c>
      <c r="AH5217" s="176">
        <v>0</v>
      </c>
      <c r="AI5217" s="176">
        <v>0.28999999999999998</v>
      </c>
      <c r="AJ5217" s="176">
        <v>0</v>
      </c>
      <c r="AK5217" s="177">
        <f>0.3/2</f>
        <v>0.15</v>
      </c>
      <c r="AL5217" s="177">
        <f>0.2/2</f>
        <v>0.1</v>
      </c>
      <c r="AM5217" s="147">
        <f t="shared" ref="AM5217:AM5280" si="191">SUM(AK5217:AL5217)</f>
        <v>0.25</v>
      </c>
      <c r="AN5217" s="18" t="s">
        <v>921</v>
      </c>
      <c r="AO5217" s="18" t="s">
        <v>880</v>
      </c>
    </row>
    <row r="5218" spans="1:42" s="18" customFormat="1" ht="15" customHeight="1" x14ac:dyDescent="0.3">
      <c r="A5218" s="207" t="s">
        <v>7397</v>
      </c>
      <c r="B5218" s="18" t="s">
        <v>7398</v>
      </c>
      <c r="C5218" s="208" t="s">
        <v>7589</v>
      </c>
      <c r="D5218" s="18" t="s">
        <v>7590</v>
      </c>
      <c r="E5218" s="208" t="s">
        <v>7591</v>
      </c>
      <c r="F5218" s="18" t="s">
        <v>7592</v>
      </c>
      <c r="G5218" s="156" t="s">
        <v>7623</v>
      </c>
      <c r="H5218" s="18" t="s">
        <v>7624</v>
      </c>
      <c r="I5218" s="156"/>
      <c r="K5218" s="156" t="s">
        <v>7625</v>
      </c>
      <c r="L5218" s="18" t="s">
        <v>7626</v>
      </c>
      <c r="M5218" s="18" t="s">
        <v>11628</v>
      </c>
      <c r="N5218" s="18">
        <v>2</v>
      </c>
      <c r="O5218" s="18">
        <v>1</v>
      </c>
      <c r="P5218" s="16">
        <v>1</v>
      </c>
      <c r="Q5218" s="16">
        <v>2</v>
      </c>
      <c r="R5218" s="16">
        <v>1</v>
      </c>
      <c r="S5218" s="16">
        <v>1</v>
      </c>
      <c r="T5218" s="18" t="s">
        <v>11629</v>
      </c>
      <c r="U5218" t="s">
        <v>11630</v>
      </c>
      <c r="V5218" s="18" t="s">
        <v>11631</v>
      </c>
      <c r="W5218" s="48">
        <v>1</v>
      </c>
      <c r="X5218" s="48">
        <v>1</v>
      </c>
      <c r="Y5218" s="48">
        <v>0</v>
      </c>
      <c r="Z5218" s="48">
        <v>1</v>
      </c>
      <c r="AA5218" s="48">
        <v>1</v>
      </c>
      <c r="AB5218" s="48">
        <v>1</v>
      </c>
      <c r="AC5218" s="150">
        <v>0</v>
      </c>
      <c r="AD5218" s="150">
        <v>1</v>
      </c>
      <c r="AE5218" s="49">
        <f t="shared" si="190"/>
        <v>0.75</v>
      </c>
      <c r="AF5218" s="176"/>
      <c r="AG5218" s="17"/>
      <c r="AH5218" s="176"/>
      <c r="AI5218" s="176"/>
      <c r="AJ5218" s="176"/>
      <c r="AK5218" s="177">
        <f>0.3/2</f>
        <v>0.15</v>
      </c>
      <c r="AL5218" s="177">
        <f>0.3/2</f>
        <v>0.15</v>
      </c>
      <c r="AM5218" s="147">
        <f t="shared" si="191"/>
        <v>0.3</v>
      </c>
      <c r="AN5218" s="18" t="s">
        <v>11629</v>
      </c>
      <c r="AO5218" s="18" t="s">
        <v>11630</v>
      </c>
    </row>
    <row r="5219" spans="1:42" s="18" customFormat="1" ht="15" customHeight="1" x14ac:dyDescent="0.3">
      <c r="A5219" s="207" t="s">
        <v>7397</v>
      </c>
      <c r="B5219" s="18" t="s">
        <v>7398</v>
      </c>
      <c r="C5219" s="208" t="s">
        <v>7589</v>
      </c>
      <c r="D5219" s="18" t="s">
        <v>7590</v>
      </c>
      <c r="E5219" s="208" t="s">
        <v>7591</v>
      </c>
      <c r="F5219" s="18" t="s">
        <v>7592</v>
      </c>
      <c r="G5219" s="156" t="s">
        <v>7623</v>
      </c>
      <c r="H5219" s="18" t="s">
        <v>7624</v>
      </c>
      <c r="I5219" s="156"/>
      <c r="K5219" s="156" t="s">
        <v>7634</v>
      </c>
      <c r="L5219" s="18" t="s">
        <v>11632</v>
      </c>
      <c r="M5219" s="18" t="s">
        <v>11633</v>
      </c>
      <c r="N5219" s="460">
        <v>0.66</v>
      </c>
      <c r="O5219" s="460">
        <v>0.73</v>
      </c>
      <c r="P5219" s="38">
        <v>0.81</v>
      </c>
      <c r="Q5219" s="38">
        <v>0.85</v>
      </c>
      <c r="R5219" s="38">
        <v>0.87</v>
      </c>
      <c r="S5219" s="38">
        <v>0.9</v>
      </c>
      <c r="T5219" s="18" t="s">
        <v>11629</v>
      </c>
      <c r="U5219" t="s">
        <v>11630</v>
      </c>
      <c r="V5219" s="18" t="s">
        <v>11634</v>
      </c>
      <c r="W5219" s="48">
        <v>1</v>
      </c>
      <c r="X5219" s="48">
        <v>1</v>
      </c>
      <c r="Y5219" s="48">
        <v>0</v>
      </c>
      <c r="Z5219" s="48">
        <v>1</v>
      </c>
      <c r="AA5219" s="48">
        <v>1</v>
      </c>
      <c r="AB5219" s="48">
        <v>1</v>
      </c>
      <c r="AC5219" s="150">
        <v>0</v>
      </c>
      <c r="AD5219" s="150">
        <v>1</v>
      </c>
      <c r="AE5219" s="49">
        <f t="shared" si="190"/>
        <v>0.75</v>
      </c>
      <c r="AF5219" s="176"/>
      <c r="AG5219" s="17"/>
      <c r="AH5219" s="176"/>
      <c r="AI5219" s="176"/>
      <c r="AJ5219" s="176"/>
      <c r="AK5219" s="177">
        <f>2.9/2</f>
        <v>1.45</v>
      </c>
      <c r="AL5219" s="177">
        <f>3.3/2</f>
        <v>1.65</v>
      </c>
      <c r="AM5219" s="147">
        <f t="shared" si="191"/>
        <v>3.0999999999999996</v>
      </c>
      <c r="AN5219" s="18" t="s">
        <v>11629</v>
      </c>
      <c r="AO5219" s="18" t="s">
        <v>11630</v>
      </c>
    </row>
    <row r="5220" spans="1:42" s="18" customFormat="1" ht="15" customHeight="1" x14ac:dyDescent="0.3">
      <c r="A5220" s="207" t="s">
        <v>7397</v>
      </c>
      <c r="B5220" s="18" t="s">
        <v>7398</v>
      </c>
      <c r="C5220" s="208" t="s">
        <v>7589</v>
      </c>
      <c r="D5220" s="18" t="s">
        <v>7590</v>
      </c>
      <c r="E5220" s="208" t="s">
        <v>7591</v>
      </c>
      <c r="F5220" s="18" t="s">
        <v>7592</v>
      </c>
      <c r="G5220" s="156" t="s">
        <v>7623</v>
      </c>
      <c r="H5220" s="18" t="s">
        <v>7624</v>
      </c>
      <c r="I5220" s="156"/>
      <c r="K5220" s="156" t="s">
        <v>11635</v>
      </c>
      <c r="L5220" s="18" t="s">
        <v>7635</v>
      </c>
      <c r="M5220" s="18" t="s">
        <v>7636</v>
      </c>
      <c r="N5220" s="18">
        <v>5</v>
      </c>
      <c r="O5220" s="18">
        <v>2</v>
      </c>
      <c r="P5220" s="16">
        <v>3</v>
      </c>
      <c r="Q5220" s="16">
        <v>3</v>
      </c>
      <c r="R5220" s="16">
        <v>1</v>
      </c>
      <c r="S5220" s="16">
        <v>1</v>
      </c>
      <c r="T5220" s="18" t="s">
        <v>2571</v>
      </c>
      <c r="U5220" t="str">
        <f>VLOOKUP(T5220,[8]Votes!$A$1:$E$234,3,FALSE)</f>
        <v>122 Kampala Capital City Authority</v>
      </c>
      <c r="V5220" s="18" t="s">
        <v>7637</v>
      </c>
      <c r="W5220" s="48">
        <v>1</v>
      </c>
      <c r="X5220" s="48">
        <v>1</v>
      </c>
      <c r="Y5220" s="48">
        <v>1</v>
      </c>
      <c r="Z5220" s="48">
        <v>1</v>
      </c>
      <c r="AA5220" s="48">
        <v>1</v>
      </c>
      <c r="AB5220" s="48">
        <v>1</v>
      </c>
      <c r="AC5220" s="150">
        <v>0</v>
      </c>
      <c r="AD5220" s="150">
        <v>1</v>
      </c>
      <c r="AE5220" s="49">
        <f t="shared" si="190"/>
        <v>0.875</v>
      </c>
      <c r="AF5220" s="176"/>
      <c r="AG5220" s="17">
        <v>0</v>
      </c>
      <c r="AH5220" s="176">
        <v>1.26</v>
      </c>
      <c r="AI5220" s="176">
        <v>0.73</v>
      </c>
      <c r="AJ5220" s="176">
        <v>0.73</v>
      </c>
      <c r="AK5220" s="384">
        <v>1.53</v>
      </c>
      <c r="AL5220" s="384">
        <v>2.73</v>
      </c>
      <c r="AM5220" s="147">
        <f t="shared" si="191"/>
        <v>4.26</v>
      </c>
      <c r="AN5220" s="18" t="s">
        <v>2571</v>
      </c>
      <c r="AO5220" s="18" t="s">
        <v>2573</v>
      </c>
    </row>
    <row r="5221" spans="1:42" s="18" customFormat="1" ht="15" customHeight="1" x14ac:dyDescent="0.3">
      <c r="A5221" s="207" t="s">
        <v>7397</v>
      </c>
      <c r="B5221" s="18" t="s">
        <v>7398</v>
      </c>
      <c r="C5221" s="208" t="s">
        <v>7589</v>
      </c>
      <c r="D5221" s="18" t="s">
        <v>7590</v>
      </c>
      <c r="E5221" s="208" t="s">
        <v>7591</v>
      </c>
      <c r="F5221" s="18" t="s">
        <v>7592</v>
      </c>
      <c r="G5221" s="156" t="s">
        <v>7638</v>
      </c>
      <c r="H5221" s="18" t="s">
        <v>7639</v>
      </c>
      <c r="I5221" s="156"/>
      <c r="K5221" s="156" t="s">
        <v>7640</v>
      </c>
      <c r="L5221" s="18" t="s">
        <v>7641</v>
      </c>
      <c r="M5221" s="18" t="s">
        <v>7642</v>
      </c>
      <c r="N5221" s="18">
        <v>0</v>
      </c>
      <c r="O5221" s="18">
        <v>0</v>
      </c>
      <c r="P5221" s="16">
        <v>1</v>
      </c>
      <c r="Q5221" s="16">
        <v>0</v>
      </c>
      <c r="R5221" s="16">
        <v>0</v>
      </c>
      <c r="S5221" s="16">
        <v>0</v>
      </c>
      <c r="T5221" s="18" t="s">
        <v>921</v>
      </c>
      <c r="U5221" t="str">
        <f>VLOOKUP(T5221,[8]Votes!$A$1:$E$234,3,FALSE)</f>
        <v>008 Ministry of Finance, Planning &amp; Economic Dev.</v>
      </c>
      <c r="V5221" s="18" t="s">
        <v>7643</v>
      </c>
      <c r="W5221" s="48">
        <v>1</v>
      </c>
      <c r="X5221" s="48">
        <v>1</v>
      </c>
      <c r="Y5221" s="48">
        <v>0</v>
      </c>
      <c r="Z5221" s="48">
        <v>0</v>
      </c>
      <c r="AA5221" s="48">
        <v>1</v>
      </c>
      <c r="AB5221" s="48">
        <v>1</v>
      </c>
      <c r="AC5221" s="150">
        <v>1</v>
      </c>
      <c r="AD5221" s="150">
        <v>1</v>
      </c>
      <c r="AE5221" s="49">
        <f t="shared" ref="AE5221:AE5284" si="192">SUM(W5221:AD5221)/8</f>
        <v>0.75</v>
      </c>
      <c r="AF5221" s="176"/>
      <c r="AG5221" s="17">
        <v>0</v>
      </c>
      <c r="AH5221" s="176">
        <v>2.89</v>
      </c>
      <c r="AI5221" s="176">
        <v>24.36</v>
      </c>
      <c r="AJ5221" s="176">
        <v>26.1</v>
      </c>
      <c r="AK5221" s="177">
        <f>4/2</f>
        <v>2</v>
      </c>
      <c r="AL5221" s="177">
        <f>4/2</f>
        <v>2</v>
      </c>
      <c r="AM5221" s="147">
        <f t="shared" si="191"/>
        <v>4</v>
      </c>
      <c r="AN5221" s="18" t="s">
        <v>921</v>
      </c>
      <c r="AO5221" s="18" t="s">
        <v>880</v>
      </c>
    </row>
    <row r="5222" spans="1:42" s="18" customFormat="1" ht="15" customHeight="1" x14ac:dyDescent="0.3">
      <c r="A5222" s="207" t="s">
        <v>7397</v>
      </c>
      <c r="B5222" s="18" t="s">
        <v>7398</v>
      </c>
      <c r="C5222" s="208" t="s">
        <v>7589</v>
      </c>
      <c r="D5222" s="18" t="s">
        <v>7590</v>
      </c>
      <c r="E5222" s="208" t="s">
        <v>7591</v>
      </c>
      <c r="F5222" s="18" t="s">
        <v>7592</v>
      </c>
      <c r="G5222" s="156" t="s">
        <v>7638</v>
      </c>
      <c r="H5222" s="18" t="s">
        <v>7639</v>
      </c>
      <c r="I5222" s="156"/>
      <c r="K5222" s="156" t="s">
        <v>7640</v>
      </c>
      <c r="L5222" s="18" t="s">
        <v>7641</v>
      </c>
      <c r="M5222" s="18" t="s">
        <v>7644</v>
      </c>
      <c r="N5222" s="18">
        <v>0</v>
      </c>
      <c r="O5222" s="18">
        <v>0</v>
      </c>
      <c r="P5222" s="16">
        <v>0</v>
      </c>
      <c r="Q5222" s="16">
        <v>0</v>
      </c>
      <c r="R5222" s="16">
        <v>0</v>
      </c>
      <c r="S5222" s="16">
        <v>0</v>
      </c>
      <c r="T5222" s="18" t="s">
        <v>921</v>
      </c>
      <c r="U5222" t="str">
        <f>VLOOKUP(T5222,[8]Votes!$A$1:$E$234,3,FALSE)</f>
        <v>008 Ministry of Finance, Planning &amp; Economic Dev.</v>
      </c>
      <c r="W5222" s="48"/>
      <c r="X5222" s="48"/>
      <c r="Y5222" s="48"/>
      <c r="Z5222" s="48"/>
      <c r="AA5222" s="48"/>
      <c r="AB5222" s="48"/>
      <c r="AC5222" s="150">
        <v>0</v>
      </c>
      <c r="AD5222" s="150">
        <v>0</v>
      </c>
      <c r="AE5222" s="49">
        <f t="shared" si="192"/>
        <v>0</v>
      </c>
      <c r="AF5222" s="17"/>
      <c r="AG5222" s="17">
        <v>0</v>
      </c>
      <c r="AH5222" s="17"/>
      <c r="AI5222" s="17"/>
      <c r="AJ5222" s="17"/>
      <c r="AK5222" s="154"/>
      <c r="AL5222" s="154"/>
      <c r="AM5222" s="147">
        <f t="shared" si="191"/>
        <v>0</v>
      </c>
    </row>
    <row r="5223" spans="1:42" s="18" customFormat="1" ht="15" customHeight="1" x14ac:dyDescent="0.3">
      <c r="A5223" s="207" t="s">
        <v>7397</v>
      </c>
      <c r="B5223" s="18" t="s">
        <v>7398</v>
      </c>
      <c r="C5223" s="208" t="s">
        <v>7589</v>
      </c>
      <c r="D5223" s="18" t="s">
        <v>7590</v>
      </c>
      <c r="E5223" s="208" t="s">
        <v>7591</v>
      </c>
      <c r="F5223" s="18" t="s">
        <v>7592</v>
      </c>
      <c r="G5223" s="156" t="s">
        <v>7638</v>
      </c>
      <c r="H5223" s="18" t="s">
        <v>7639</v>
      </c>
      <c r="I5223" s="156"/>
      <c r="K5223" s="156" t="s">
        <v>7640</v>
      </c>
      <c r="L5223" s="18" t="s">
        <v>7641</v>
      </c>
      <c r="M5223" s="18" t="s">
        <v>7645</v>
      </c>
      <c r="N5223" s="18">
        <v>0</v>
      </c>
      <c r="O5223" s="18">
        <v>1</v>
      </c>
      <c r="P5223" s="16">
        <v>0</v>
      </c>
      <c r="Q5223" s="16">
        <v>0</v>
      </c>
      <c r="R5223" s="16">
        <v>0</v>
      </c>
      <c r="S5223" s="16">
        <v>0</v>
      </c>
      <c r="T5223" s="18" t="s">
        <v>921</v>
      </c>
      <c r="U5223" t="str">
        <f>VLOOKUP(T5223,[8]Votes!$A$1:$E$234,3,FALSE)</f>
        <v>008 Ministry of Finance, Planning &amp; Economic Dev.</v>
      </c>
      <c r="W5223" s="48"/>
      <c r="X5223" s="48"/>
      <c r="Y5223" s="48"/>
      <c r="Z5223" s="48"/>
      <c r="AA5223" s="48"/>
      <c r="AB5223" s="48"/>
      <c r="AC5223" s="150">
        <v>0</v>
      </c>
      <c r="AD5223" s="150">
        <v>0</v>
      </c>
      <c r="AE5223" s="49">
        <f t="shared" si="192"/>
        <v>0</v>
      </c>
      <c r="AF5223" s="17"/>
      <c r="AG5223" s="17">
        <v>0</v>
      </c>
      <c r="AH5223" s="17"/>
      <c r="AI5223" s="17"/>
      <c r="AJ5223" s="17"/>
      <c r="AK5223" s="154"/>
      <c r="AL5223" s="154"/>
      <c r="AM5223" s="147">
        <f t="shared" si="191"/>
        <v>0</v>
      </c>
    </row>
    <row r="5224" spans="1:42" s="18" customFormat="1" ht="15" customHeight="1" x14ac:dyDescent="0.3">
      <c r="A5224" s="207" t="s">
        <v>7397</v>
      </c>
      <c r="B5224" s="18" t="s">
        <v>7398</v>
      </c>
      <c r="C5224" s="208" t="s">
        <v>7589</v>
      </c>
      <c r="D5224" s="18" t="s">
        <v>7590</v>
      </c>
      <c r="E5224" s="208" t="s">
        <v>7591</v>
      </c>
      <c r="F5224" s="18" t="s">
        <v>7592</v>
      </c>
      <c r="G5224" s="156" t="s">
        <v>7638</v>
      </c>
      <c r="H5224" s="18" t="s">
        <v>7639</v>
      </c>
      <c r="I5224" s="156"/>
      <c r="K5224" s="156" t="s">
        <v>7640</v>
      </c>
      <c r="L5224" s="18" t="s">
        <v>7641</v>
      </c>
      <c r="M5224" s="18" t="s">
        <v>7646</v>
      </c>
      <c r="N5224" s="18">
        <v>0</v>
      </c>
      <c r="O5224" s="18">
        <v>0</v>
      </c>
      <c r="P5224" s="16">
        <v>1</v>
      </c>
      <c r="Q5224" s="16">
        <v>0</v>
      </c>
      <c r="R5224" s="16">
        <v>0</v>
      </c>
      <c r="S5224" s="16">
        <v>0</v>
      </c>
      <c r="T5224" s="18" t="s">
        <v>921</v>
      </c>
      <c r="U5224" t="str">
        <f>VLOOKUP(T5224,[8]Votes!$A$1:$E$234,3,FALSE)</f>
        <v>008 Ministry of Finance, Planning &amp; Economic Dev.</v>
      </c>
      <c r="W5224" s="48"/>
      <c r="X5224" s="48"/>
      <c r="Y5224" s="48"/>
      <c r="Z5224" s="48"/>
      <c r="AA5224" s="48"/>
      <c r="AB5224" s="48"/>
      <c r="AC5224" s="150">
        <v>0</v>
      </c>
      <c r="AD5224" s="150">
        <v>0</v>
      </c>
      <c r="AE5224" s="49">
        <f t="shared" si="192"/>
        <v>0</v>
      </c>
      <c r="AF5224" s="17"/>
      <c r="AG5224" s="17">
        <v>0</v>
      </c>
      <c r="AH5224" s="17"/>
      <c r="AI5224" s="17"/>
      <c r="AJ5224" s="17"/>
      <c r="AK5224" s="154"/>
      <c r="AL5224" s="154"/>
      <c r="AM5224" s="147">
        <f t="shared" si="191"/>
        <v>0</v>
      </c>
    </row>
    <row r="5225" spans="1:42" s="18" customFormat="1" ht="15" customHeight="1" x14ac:dyDescent="0.3">
      <c r="A5225" s="207" t="s">
        <v>7397</v>
      </c>
      <c r="B5225" s="18" t="s">
        <v>7398</v>
      </c>
      <c r="C5225" s="208" t="s">
        <v>7589</v>
      </c>
      <c r="D5225" s="18" t="s">
        <v>7590</v>
      </c>
      <c r="E5225" s="208" t="s">
        <v>7591</v>
      </c>
      <c r="F5225" s="18" t="s">
        <v>7592</v>
      </c>
      <c r="G5225" s="156" t="s">
        <v>7638</v>
      </c>
      <c r="H5225" s="18" t="s">
        <v>7639</v>
      </c>
      <c r="I5225" s="156"/>
      <c r="K5225" s="156" t="s">
        <v>7640</v>
      </c>
      <c r="L5225" s="18" t="s">
        <v>7641</v>
      </c>
      <c r="M5225" s="18" t="s">
        <v>7647</v>
      </c>
      <c r="N5225" s="18">
        <v>0</v>
      </c>
      <c r="O5225" s="18">
        <v>2</v>
      </c>
      <c r="P5225" s="16">
        <v>2</v>
      </c>
      <c r="Q5225" s="16">
        <v>2</v>
      </c>
      <c r="R5225" s="16">
        <v>0</v>
      </c>
      <c r="S5225" s="16">
        <v>0</v>
      </c>
      <c r="T5225" s="18" t="s">
        <v>921</v>
      </c>
      <c r="U5225" t="str">
        <f>VLOOKUP(T5225,[8]Votes!$A$1:$E$234,3,FALSE)</f>
        <v>008 Ministry of Finance, Planning &amp; Economic Dev.</v>
      </c>
      <c r="W5225" s="48"/>
      <c r="X5225" s="48"/>
      <c r="Y5225" s="48"/>
      <c r="Z5225" s="48"/>
      <c r="AA5225" s="48"/>
      <c r="AB5225" s="48"/>
      <c r="AC5225" s="150">
        <v>0</v>
      </c>
      <c r="AD5225" s="150">
        <v>0</v>
      </c>
      <c r="AE5225" s="49">
        <f t="shared" si="192"/>
        <v>0</v>
      </c>
      <c r="AF5225" s="17"/>
      <c r="AG5225" s="17">
        <v>0</v>
      </c>
      <c r="AH5225" s="17"/>
      <c r="AI5225" s="17"/>
      <c r="AJ5225" s="17"/>
      <c r="AK5225" s="154"/>
      <c r="AL5225" s="154"/>
      <c r="AM5225" s="147">
        <f t="shared" si="191"/>
        <v>0</v>
      </c>
    </row>
    <row r="5226" spans="1:42" s="18" customFormat="1" ht="15" customHeight="1" x14ac:dyDescent="0.3">
      <c r="A5226" s="207" t="s">
        <v>7397</v>
      </c>
      <c r="B5226" s="18" t="s">
        <v>7398</v>
      </c>
      <c r="C5226" s="208" t="s">
        <v>7589</v>
      </c>
      <c r="D5226" s="18" t="s">
        <v>7590</v>
      </c>
      <c r="E5226" s="208" t="s">
        <v>7591</v>
      </c>
      <c r="F5226" s="18" t="s">
        <v>7592</v>
      </c>
      <c r="G5226" s="156" t="s">
        <v>7638</v>
      </c>
      <c r="H5226" s="18" t="s">
        <v>7639</v>
      </c>
      <c r="I5226" s="156"/>
      <c r="K5226" s="156" t="s">
        <v>7648</v>
      </c>
      <c r="L5226" s="18" t="s">
        <v>7649</v>
      </c>
      <c r="M5226" s="18" t="s">
        <v>7650</v>
      </c>
      <c r="N5226" s="18">
        <v>0</v>
      </c>
      <c r="O5226" s="18">
        <v>1</v>
      </c>
      <c r="P5226" s="16">
        <v>1</v>
      </c>
      <c r="Q5226" s="16">
        <v>1</v>
      </c>
      <c r="R5226" s="16">
        <v>1</v>
      </c>
      <c r="S5226" s="16">
        <v>1</v>
      </c>
      <c r="T5226" s="18" t="s">
        <v>921</v>
      </c>
      <c r="U5226" t="str">
        <f>VLOOKUP(T5226,[8]Votes!$A$1:$E$234,3,FALSE)</f>
        <v>008 Ministry of Finance, Planning &amp; Economic Dev.</v>
      </c>
      <c r="V5226" s="18" t="s">
        <v>7651</v>
      </c>
      <c r="W5226" s="48">
        <v>1</v>
      </c>
      <c r="X5226" s="48">
        <v>1</v>
      </c>
      <c r="Y5226" s="48">
        <v>0</v>
      </c>
      <c r="Z5226" s="48">
        <v>1</v>
      </c>
      <c r="AA5226" s="48">
        <v>1</v>
      </c>
      <c r="AB5226" s="48">
        <v>1</v>
      </c>
      <c r="AC5226" s="150">
        <v>0</v>
      </c>
      <c r="AD5226" s="150">
        <v>1</v>
      </c>
      <c r="AE5226" s="49">
        <f t="shared" si="192"/>
        <v>0.75</v>
      </c>
      <c r="AF5226" s="176"/>
      <c r="AG5226" s="17">
        <v>0</v>
      </c>
      <c r="AH5226" s="176">
        <v>0.36</v>
      </c>
      <c r="AI5226" s="176">
        <v>0.36</v>
      </c>
      <c r="AJ5226" s="176">
        <v>0.36</v>
      </c>
      <c r="AK5226" s="177">
        <f>1.36/2</f>
        <v>0.68</v>
      </c>
      <c r="AL5226" s="177">
        <f>1.4/2</f>
        <v>0.7</v>
      </c>
      <c r="AM5226" s="147">
        <f t="shared" si="191"/>
        <v>1.38</v>
      </c>
      <c r="AN5226" s="18" t="s">
        <v>921</v>
      </c>
      <c r="AO5226" s="18" t="s">
        <v>880</v>
      </c>
    </row>
    <row r="5227" spans="1:42" s="18" customFormat="1" ht="15" customHeight="1" x14ac:dyDescent="0.3">
      <c r="A5227" s="207" t="s">
        <v>7397</v>
      </c>
      <c r="B5227" s="18" t="s">
        <v>7398</v>
      </c>
      <c r="C5227" s="208" t="s">
        <v>7589</v>
      </c>
      <c r="D5227" s="18" t="s">
        <v>7590</v>
      </c>
      <c r="E5227" s="208" t="s">
        <v>7591</v>
      </c>
      <c r="F5227" s="18" t="s">
        <v>7592</v>
      </c>
      <c r="G5227" s="156" t="s">
        <v>7638</v>
      </c>
      <c r="H5227" s="18" t="s">
        <v>7639</v>
      </c>
      <c r="I5227" s="156"/>
      <c r="K5227" s="156" t="s">
        <v>7652</v>
      </c>
      <c r="L5227" s="18" t="s">
        <v>7653</v>
      </c>
      <c r="M5227" s="18" t="s">
        <v>7654</v>
      </c>
      <c r="N5227" s="18">
        <v>0</v>
      </c>
      <c r="O5227" s="18">
        <v>0</v>
      </c>
      <c r="P5227" s="16">
        <v>1</v>
      </c>
      <c r="Q5227" s="16">
        <v>0</v>
      </c>
      <c r="R5227" s="16">
        <v>0</v>
      </c>
      <c r="S5227" s="16">
        <v>0</v>
      </c>
      <c r="T5227" s="18" t="s">
        <v>921</v>
      </c>
      <c r="U5227" t="str">
        <f>VLOOKUP(T5227,[8]Votes!$A$1:$E$234,3,FALSE)</f>
        <v>008 Ministry of Finance, Planning &amp; Economic Dev.</v>
      </c>
      <c r="V5227" s="18" t="s">
        <v>7655</v>
      </c>
      <c r="W5227" s="48">
        <v>1</v>
      </c>
      <c r="X5227" s="48">
        <v>1</v>
      </c>
      <c r="Y5227" s="48">
        <v>0</v>
      </c>
      <c r="Z5227" s="48">
        <v>1</v>
      </c>
      <c r="AA5227" s="48">
        <v>1</v>
      </c>
      <c r="AB5227" s="48">
        <v>1</v>
      </c>
      <c r="AC5227" s="150">
        <v>0</v>
      </c>
      <c r="AD5227" s="150">
        <v>1</v>
      </c>
      <c r="AE5227" s="49">
        <f t="shared" si="192"/>
        <v>0.75</v>
      </c>
      <c r="AF5227" s="176"/>
      <c r="AG5227" s="17">
        <v>0</v>
      </c>
      <c r="AH5227" s="176">
        <v>0</v>
      </c>
      <c r="AI5227" s="176">
        <v>0</v>
      </c>
      <c r="AJ5227" s="176">
        <v>0</v>
      </c>
      <c r="AK5227" s="177">
        <f>0.5/2</f>
        <v>0.25</v>
      </c>
      <c r="AL5227" s="177">
        <f>0.5/2</f>
        <v>0.25</v>
      </c>
      <c r="AM5227" s="147">
        <f t="shared" si="191"/>
        <v>0.5</v>
      </c>
      <c r="AN5227" s="18" t="s">
        <v>921</v>
      </c>
      <c r="AO5227" s="18" t="s">
        <v>880</v>
      </c>
    </row>
    <row r="5228" spans="1:42" s="18" customFormat="1" ht="15" customHeight="1" x14ac:dyDescent="0.3">
      <c r="A5228" s="207" t="s">
        <v>7397</v>
      </c>
      <c r="B5228" s="18" t="s">
        <v>7398</v>
      </c>
      <c r="C5228" s="208" t="s">
        <v>7589</v>
      </c>
      <c r="D5228" s="18" t="s">
        <v>7590</v>
      </c>
      <c r="E5228" s="208" t="s">
        <v>7591</v>
      </c>
      <c r="F5228" s="18" t="s">
        <v>7592</v>
      </c>
      <c r="G5228" s="156" t="s">
        <v>7638</v>
      </c>
      <c r="H5228" s="18" t="s">
        <v>7639</v>
      </c>
      <c r="I5228" s="156"/>
      <c r="K5228" s="156" t="s">
        <v>7656</v>
      </c>
      <c r="L5228" s="18" t="s">
        <v>7657</v>
      </c>
      <c r="M5228" s="18" t="s">
        <v>7658</v>
      </c>
      <c r="N5228" s="18">
        <v>0</v>
      </c>
      <c r="O5228" s="18">
        <v>0</v>
      </c>
      <c r="P5228" s="16">
        <v>1</v>
      </c>
      <c r="Q5228" s="16">
        <v>0</v>
      </c>
      <c r="R5228" s="16">
        <v>0</v>
      </c>
      <c r="S5228" s="16">
        <v>0</v>
      </c>
      <c r="T5228" s="18" t="s">
        <v>921</v>
      </c>
      <c r="U5228" t="str">
        <f>VLOOKUP(T5228,[8]Votes!$A$1:$E$234,3,FALSE)</f>
        <v>008 Ministry of Finance, Planning &amp; Economic Dev.</v>
      </c>
      <c r="V5228" s="223" t="s">
        <v>7659</v>
      </c>
      <c r="W5228" s="282">
        <v>1</v>
      </c>
      <c r="X5228" s="282">
        <v>1</v>
      </c>
      <c r="Y5228" s="282">
        <v>0</v>
      </c>
      <c r="Z5228" s="282">
        <v>1</v>
      </c>
      <c r="AA5228" s="282">
        <v>1</v>
      </c>
      <c r="AB5228" s="282">
        <v>1</v>
      </c>
      <c r="AC5228" s="150">
        <v>0</v>
      </c>
      <c r="AD5228" s="150">
        <v>1</v>
      </c>
      <c r="AE5228" s="49">
        <f t="shared" si="192"/>
        <v>0.75</v>
      </c>
      <c r="AF5228" s="360"/>
      <c r="AG5228" s="17">
        <v>0</v>
      </c>
      <c r="AH5228" s="360"/>
      <c r="AI5228" s="360"/>
      <c r="AJ5228" s="360"/>
      <c r="AK5228" s="361">
        <f>0.58/2</f>
        <v>0.28999999999999998</v>
      </c>
      <c r="AL5228" s="361">
        <f>0.59/2</f>
        <v>0.29499999999999998</v>
      </c>
      <c r="AM5228" s="147">
        <f t="shared" si="191"/>
        <v>0.58499999999999996</v>
      </c>
      <c r="AN5228" s="162" t="s">
        <v>921</v>
      </c>
      <c r="AO5228" s="162" t="s">
        <v>880</v>
      </c>
      <c r="AP5228" s="223"/>
    </row>
    <row r="5229" spans="1:42" s="18" customFormat="1" ht="15" customHeight="1" x14ac:dyDescent="0.3">
      <c r="A5229" s="207" t="s">
        <v>7397</v>
      </c>
      <c r="B5229" s="18" t="s">
        <v>7398</v>
      </c>
      <c r="C5229" s="208" t="s">
        <v>7589</v>
      </c>
      <c r="D5229" s="18" t="s">
        <v>7590</v>
      </c>
      <c r="E5229" s="208" t="s">
        <v>7591</v>
      </c>
      <c r="F5229" s="18" t="s">
        <v>7592</v>
      </c>
      <c r="G5229" s="156" t="s">
        <v>7638</v>
      </c>
      <c r="H5229" s="18" t="s">
        <v>7639</v>
      </c>
      <c r="I5229" s="156"/>
      <c r="K5229" s="156" t="s">
        <v>7660</v>
      </c>
      <c r="L5229" s="18" t="s">
        <v>7661</v>
      </c>
      <c r="M5229" s="18" t="s">
        <v>7662</v>
      </c>
      <c r="N5229" s="18">
        <v>0</v>
      </c>
      <c r="O5229" s="18">
        <v>0</v>
      </c>
      <c r="P5229" s="16">
        <v>1</v>
      </c>
      <c r="Q5229" s="16">
        <v>0</v>
      </c>
      <c r="R5229" s="16">
        <v>0</v>
      </c>
      <c r="S5229" s="16">
        <v>0</v>
      </c>
      <c r="T5229" s="18" t="s">
        <v>921</v>
      </c>
      <c r="U5229" t="str">
        <f>VLOOKUP(T5229,[8]Votes!$A$1:$E$234,3,FALSE)</f>
        <v>008 Ministry of Finance, Planning &amp; Economic Dev.</v>
      </c>
      <c r="V5229" s="18" t="s">
        <v>7663</v>
      </c>
      <c r="W5229" s="48">
        <v>1</v>
      </c>
      <c r="X5229" s="48">
        <v>0</v>
      </c>
      <c r="Y5229" s="48">
        <v>0</v>
      </c>
      <c r="Z5229" s="48">
        <v>1</v>
      </c>
      <c r="AA5229" s="48">
        <v>1</v>
      </c>
      <c r="AB5229" s="48">
        <v>0</v>
      </c>
      <c r="AC5229" s="150">
        <v>1</v>
      </c>
      <c r="AD5229" s="150">
        <v>1</v>
      </c>
      <c r="AE5229" s="49">
        <f t="shared" si="192"/>
        <v>0.625</v>
      </c>
      <c r="AF5229" s="176"/>
      <c r="AG5229" s="17">
        <v>0</v>
      </c>
      <c r="AH5229" s="176">
        <v>0.77</v>
      </c>
      <c r="AI5229" s="176">
        <v>0.46</v>
      </c>
      <c r="AJ5229" s="176">
        <v>0.13</v>
      </c>
      <c r="AK5229" s="177">
        <f>0.4/2</f>
        <v>0.2</v>
      </c>
      <c r="AL5229" s="177">
        <f>0.4/2</f>
        <v>0.2</v>
      </c>
      <c r="AM5229" s="147">
        <f t="shared" si="191"/>
        <v>0.4</v>
      </c>
      <c r="AN5229" s="18" t="s">
        <v>921</v>
      </c>
      <c r="AO5229" s="18" t="s">
        <v>880</v>
      </c>
    </row>
    <row r="5230" spans="1:42" s="18" customFormat="1" ht="15" customHeight="1" x14ac:dyDescent="0.3">
      <c r="A5230" s="207" t="s">
        <v>7397</v>
      </c>
      <c r="B5230" s="18" t="s">
        <v>7398</v>
      </c>
      <c r="C5230" s="208" t="s">
        <v>7589</v>
      </c>
      <c r="D5230" s="18" t="s">
        <v>7590</v>
      </c>
      <c r="E5230" s="208" t="s">
        <v>7591</v>
      </c>
      <c r="F5230" s="18" t="s">
        <v>7592</v>
      </c>
      <c r="G5230" s="156" t="s">
        <v>7638</v>
      </c>
      <c r="H5230" s="18" t="s">
        <v>7639</v>
      </c>
      <c r="I5230" s="156"/>
      <c r="K5230" s="156" t="s">
        <v>7664</v>
      </c>
      <c r="L5230" s="18" t="s">
        <v>7665</v>
      </c>
      <c r="M5230" s="18" t="s">
        <v>7666</v>
      </c>
      <c r="N5230" s="18">
        <v>0</v>
      </c>
      <c r="O5230" s="18">
        <v>1</v>
      </c>
      <c r="P5230" s="16">
        <v>0</v>
      </c>
      <c r="Q5230" s="16">
        <v>0</v>
      </c>
      <c r="R5230" s="16">
        <v>0</v>
      </c>
      <c r="S5230" s="16">
        <v>0</v>
      </c>
      <c r="T5230" s="18" t="s">
        <v>921</v>
      </c>
      <c r="U5230" t="str">
        <f>VLOOKUP(T5230,[8]Votes!$A$1:$E$234,3,FALSE)</f>
        <v>008 Ministry of Finance, Planning &amp; Economic Dev.</v>
      </c>
      <c r="V5230" s="18" t="s">
        <v>7667</v>
      </c>
      <c r="W5230" s="48">
        <v>1</v>
      </c>
      <c r="X5230" s="48">
        <v>1</v>
      </c>
      <c r="Y5230" s="48">
        <v>0</v>
      </c>
      <c r="Z5230" s="48">
        <v>1</v>
      </c>
      <c r="AA5230" s="48">
        <v>1</v>
      </c>
      <c r="AB5230" s="48">
        <v>1</v>
      </c>
      <c r="AC5230" s="150">
        <v>0</v>
      </c>
      <c r="AD5230" s="150">
        <v>1</v>
      </c>
      <c r="AE5230" s="49">
        <f t="shared" si="192"/>
        <v>0.75</v>
      </c>
      <c r="AF5230" s="255"/>
      <c r="AG5230" s="17">
        <v>0</v>
      </c>
      <c r="AH5230" s="255">
        <v>0</v>
      </c>
      <c r="AI5230" s="255">
        <v>0.28999999999999998</v>
      </c>
      <c r="AJ5230" s="255">
        <v>0</v>
      </c>
      <c r="AK5230" s="256">
        <v>0</v>
      </c>
      <c r="AL5230" s="256">
        <v>0</v>
      </c>
      <c r="AM5230" s="147">
        <f t="shared" si="191"/>
        <v>0</v>
      </c>
      <c r="AN5230" s="18" t="s">
        <v>921</v>
      </c>
      <c r="AO5230" s="18" t="s">
        <v>880</v>
      </c>
    </row>
    <row r="5231" spans="1:42" s="18" customFormat="1" ht="15" customHeight="1" x14ac:dyDescent="0.3">
      <c r="A5231" s="207" t="s">
        <v>7397</v>
      </c>
      <c r="B5231" s="18" t="s">
        <v>7398</v>
      </c>
      <c r="C5231" s="208" t="s">
        <v>7589</v>
      </c>
      <c r="D5231" s="18" t="s">
        <v>7590</v>
      </c>
      <c r="E5231" s="208" t="s">
        <v>7591</v>
      </c>
      <c r="F5231" s="18" t="s">
        <v>7592</v>
      </c>
      <c r="G5231" s="156" t="s">
        <v>7638</v>
      </c>
      <c r="H5231" s="18" t="s">
        <v>7639</v>
      </c>
      <c r="I5231" s="156"/>
      <c r="K5231" s="156" t="s">
        <v>7664</v>
      </c>
      <c r="L5231" s="18" t="s">
        <v>7665</v>
      </c>
      <c r="P5231" s="16"/>
      <c r="Q5231" s="16"/>
      <c r="R5231" s="16"/>
      <c r="S5231" s="16"/>
      <c r="T5231" s="18" t="s">
        <v>921</v>
      </c>
      <c r="U5231" t="str">
        <f>VLOOKUP(T5231,[8]Votes!$A$1:$E$234,3,FALSE)</f>
        <v>008 Ministry of Finance, Planning &amp; Economic Dev.</v>
      </c>
      <c r="V5231" s="18" t="s">
        <v>7668</v>
      </c>
      <c r="W5231" s="48">
        <v>1</v>
      </c>
      <c r="X5231" s="48">
        <v>1</v>
      </c>
      <c r="Y5231" s="48">
        <v>0</v>
      </c>
      <c r="Z5231" s="48">
        <v>1</v>
      </c>
      <c r="AA5231" s="48">
        <v>1</v>
      </c>
      <c r="AB5231" s="48">
        <v>1</v>
      </c>
      <c r="AC5231" s="150"/>
      <c r="AD5231" s="150">
        <v>1</v>
      </c>
      <c r="AE5231" s="49">
        <f t="shared" si="192"/>
        <v>0.75</v>
      </c>
      <c r="AF5231" s="255"/>
      <c r="AG5231" s="17">
        <v>0</v>
      </c>
      <c r="AH5231" s="255">
        <v>0</v>
      </c>
      <c r="AI5231" s="255">
        <v>0.28999999999999998</v>
      </c>
      <c r="AJ5231" s="255">
        <v>0.28999999999999998</v>
      </c>
      <c r="AK5231" s="256">
        <v>0</v>
      </c>
      <c r="AL5231" s="256">
        <v>0</v>
      </c>
      <c r="AM5231" s="147">
        <f t="shared" si="191"/>
        <v>0</v>
      </c>
      <c r="AN5231" s="18" t="s">
        <v>921</v>
      </c>
      <c r="AO5231" s="18" t="s">
        <v>880</v>
      </c>
    </row>
    <row r="5232" spans="1:42" s="18" customFormat="1" ht="15" customHeight="1" x14ac:dyDescent="0.3">
      <c r="A5232" s="207" t="s">
        <v>7397</v>
      </c>
      <c r="B5232" s="18" t="s">
        <v>7398</v>
      </c>
      <c r="C5232" s="208" t="s">
        <v>7589</v>
      </c>
      <c r="D5232" s="18" t="s">
        <v>7590</v>
      </c>
      <c r="E5232" s="208" t="s">
        <v>7591</v>
      </c>
      <c r="F5232" s="18" t="s">
        <v>7592</v>
      </c>
      <c r="G5232" s="156" t="s">
        <v>7638</v>
      </c>
      <c r="H5232" s="18" t="s">
        <v>7639</v>
      </c>
      <c r="I5232" s="156"/>
      <c r="K5232" s="156" t="s">
        <v>7669</v>
      </c>
      <c r="L5232" s="18" t="s">
        <v>7670</v>
      </c>
      <c r="M5232" s="18" t="s">
        <v>7671</v>
      </c>
      <c r="N5232" s="18">
        <v>0</v>
      </c>
      <c r="O5232" s="18">
        <v>0</v>
      </c>
      <c r="P5232" s="16">
        <v>0</v>
      </c>
      <c r="Q5232" s="16">
        <v>1</v>
      </c>
      <c r="R5232" s="16">
        <v>0</v>
      </c>
      <c r="S5232" s="16">
        <v>0</v>
      </c>
      <c r="T5232" s="18" t="s">
        <v>7672</v>
      </c>
      <c r="U5232" t="e">
        <f>VLOOKUP(T5232,[8]Votes!$A$1:$E$234,3,FALSE)</f>
        <v>#N/A</v>
      </c>
      <c r="V5232" s="18" t="s">
        <v>7673</v>
      </c>
      <c r="W5232" s="48">
        <v>1</v>
      </c>
      <c r="X5232" s="48"/>
      <c r="Y5232" s="48">
        <v>0</v>
      </c>
      <c r="Z5232" s="48">
        <v>1</v>
      </c>
      <c r="AA5232" s="48">
        <v>1</v>
      </c>
      <c r="AB5232" s="48">
        <v>1</v>
      </c>
      <c r="AC5232" s="150">
        <v>0</v>
      </c>
      <c r="AD5232" s="150">
        <v>1</v>
      </c>
      <c r="AE5232" s="49">
        <f t="shared" si="192"/>
        <v>0.625</v>
      </c>
      <c r="AF5232" s="255"/>
      <c r="AG5232" s="17">
        <v>0</v>
      </c>
      <c r="AH5232" s="255">
        <v>0</v>
      </c>
      <c r="AI5232" s="255">
        <v>0.72499999999999998</v>
      </c>
      <c r="AJ5232" s="255">
        <v>0.72499999999999998</v>
      </c>
      <c r="AK5232" s="256">
        <f>0.73/2</f>
        <v>0.36499999999999999</v>
      </c>
      <c r="AL5232" s="256">
        <f>1/2</f>
        <v>0.5</v>
      </c>
      <c r="AM5232" s="147">
        <f t="shared" si="191"/>
        <v>0.86499999999999999</v>
      </c>
      <c r="AN5232" s="18" t="s">
        <v>5019</v>
      </c>
      <c r="AO5232" s="18" t="s">
        <v>880</v>
      </c>
      <c r="AP5232" s="18" t="s">
        <v>1191</v>
      </c>
    </row>
    <row r="5233" spans="1:42" s="18" customFormat="1" ht="15" customHeight="1" x14ac:dyDescent="0.3">
      <c r="A5233" s="207" t="s">
        <v>7397</v>
      </c>
      <c r="B5233" s="18" t="s">
        <v>7398</v>
      </c>
      <c r="C5233" s="208" t="s">
        <v>7589</v>
      </c>
      <c r="D5233" s="18" t="s">
        <v>7590</v>
      </c>
      <c r="E5233" s="208" t="s">
        <v>7591</v>
      </c>
      <c r="F5233" s="18" t="s">
        <v>7592</v>
      </c>
      <c r="G5233" s="156" t="s">
        <v>7638</v>
      </c>
      <c r="H5233" s="18" t="s">
        <v>7639</v>
      </c>
      <c r="I5233" s="156"/>
      <c r="K5233" s="156" t="s">
        <v>7669</v>
      </c>
      <c r="L5233" s="18" t="s">
        <v>7670</v>
      </c>
      <c r="M5233" s="18" t="s">
        <v>7674</v>
      </c>
      <c r="N5233" s="18">
        <v>0</v>
      </c>
      <c r="O5233" s="18">
        <v>1</v>
      </c>
      <c r="P5233" s="16">
        <v>1</v>
      </c>
      <c r="Q5233" s="16">
        <v>1</v>
      </c>
      <c r="R5233" s="16">
        <v>0</v>
      </c>
      <c r="S5233" s="16">
        <v>0</v>
      </c>
      <c r="T5233" s="18" t="s">
        <v>921</v>
      </c>
      <c r="U5233" t="str">
        <f>VLOOKUP(T5233,[8]Votes!$A$1:$E$234,3,FALSE)</f>
        <v>008 Ministry of Finance, Planning &amp; Economic Dev.</v>
      </c>
      <c r="W5233" s="48"/>
      <c r="X5233" s="48"/>
      <c r="Y5233" s="48"/>
      <c r="Z5233" s="48"/>
      <c r="AA5233" s="48"/>
      <c r="AB5233" s="48"/>
      <c r="AC5233" s="150">
        <v>0</v>
      </c>
      <c r="AD5233" s="150">
        <v>0</v>
      </c>
      <c r="AE5233" s="49">
        <f t="shared" si="192"/>
        <v>0</v>
      </c>
      <c r="AF5233" s="17"/>
      <c r="AG5233" s="17">
        <v>0</v>
      </c>
      <c r="AH5233" s="17"/>
      <c r="AI5233" s="17"/>
      <c r="AJ5233" s="17"/>
      <c r="AK5233" s="154"/>
      <c r="AL5233" s="154"/>
      <c r="AM5233" s="147">
        <f t="shared" si="191"/>
        <v>0</v>
      </c>
    </row>
    <row r="5234" spans="1:42" s="18" customFormat="1" ht="15" customHeight="1" x14ac:dyDescent="0.3">
      <c r="A5234" s="207" t="s">
        <v>7397</v>
      </c>
      <c r="B5234" s="18" t="s">
        <v>7398</v>
      </c>
      <c r="C5234" s="208" t="s">
        <v>7589</v>
      </c>
      <c r="D5234" s="18" t="s">
        <v>7590</v>
      </c>
      <c r="E5234" s="208" t="s">
        <v>7591</v>
      </c>
      <c r="F5234" s="18" t="s">
        <v>7592</v>
      </c>
      <c r="G5234" s="156" t="s">
        <v>7638</v>
      </c>
      <c r="H5234" s="18" t="s">
        <v>7639</v>
      </c>
      <c r="I5234" s="156"/>
      <c r="K5234" s="156" t="s">
        <v>7675</v>
      </c>
      <c r="L5234" s="18" t="s">
        <v>7676</v>
      </c>
      <c r="M5234" s="18" t="s">
        <v>7677</v>
      </c>
      <c r="N5234" s="18">
        <v>1</v>
      </c>
      <c r="O5234" s="18">
        <v>1</v>
      </c>
      <c r="P5234" s="16">
        <v>1</v>
      </c>
      <c r="Q5234" s="16">
        <v>1</v>
      </c>
      <c r="R5234" s="16">
        <v>1</v>
      </c>
      <c r="S5234" s="16">
        <v>1</v>
      </c>
      <c r="T5234" s="18" t="s">
        <v>2571</v>
      </c>
      <c r="U5234" t="str">
        <f>VLOOKUP(T5234,[8]Votes!$A$1:$E$234,3,FALSE)</f>
        <v>122 Kampala Capital City Authority</v>
      </c>
      <c r="V5234" s="18" t="s">
        <v>7678</v>
      </c>
      <c r="W5234" s="48">
        <v>1</v>
      </c>
      <c r="X5234" s="48">
        <v>1</v>
      </c>
      <c r="Y5234" s="48">
        <v>0</v>
      </c>
      <c r="Z5234" s="48">
        <v>1</v>
      </c>
      <c r="AA5234" s="48">
        <v>1</v>
      </c>
      <c r="AB5234" s="48">
        <v>0</v>
      </c>
      <c r="AC5234" s="150">
        <v>1</v>
      </c>
      <c r="AD5234" s="150">
        <v>1</v>
      </c>
      <c r="AE5234" s="49">
        <f t="shared" si="192"/>
        <v>0.75</v>
      </c>
      <c r="AF5234" s="176"/>
      <c r="AG5234" s="17">
        <v>0</v>
      </c>
      <c r="AH5234" s="176">
        <v>1.49</v>
      </c>
      <c r="AI5234" s="176">
        <v>0.56999999999999995</v>
      </c>
      <c r="AJ5234" s="176">
        <v>0.56000000000000005</v>
      </c>
      <c r="AK5234" s="384">
        <v>0.56000000000000005</v>
      </c>
      <c r="AL5234" s="384">
        <v>1.56</v>
      </c>
      <c r="AM5234" s="147">
        <f t="shared" si="191"/>
        <v>2.12</v>
      </c>
      <c r="AN5234" s="18" t="s">
        <v>2571</v>
      </c>
    </row>
    <row r="5235" spans="1:42" s="18" customFormat="1" ht="15" customHeight="1" x14ac:dyDescent="0.3">
      <c r="A5235" s="207" t="s">
        <v>7397</v>
      </c>
      <c r="B5235" s="18" t="s">
        <v>7398</v>
      </c>
      <c r="C5235" s="208" t="s">
        <v>7589</v>
      </c>
      <c r="D5235" s="18" t="s">
        <v>7590</v>
      </c>
      <c r="E5235" s="208" t="s">
        <v>7591</v>
      </c>
      <c r="F5235" s="18" t="s">
        <v>7592</v>
      </c>
      <c r="G5235" s="156" t="s">
        <v>7638</v>
      </c>
      <c r="H5235" s="18" t="s">
        <v>7639</v>
      </c>
      <c r="I5235" s="156"/>
      <c r="K5235" s="156" t="s">
        <v>7679</v>
      </c>
      <c r="L5235" s="18" t="s">
        <v>7680</v>
      </c>
      <c r="M5235" s="18" t="s">
        <v>7681</v>
      </c>
      <c r="N5235" s="18">
        <v>225.8</v>
      </c>
      <c r="O5235" s="18">
        <v>228</v>
      </c>
      <c r="P5235" s="16">
        <v>230</v>
      </c>
      <c r="Q5235" s="16">
        <v>232</v>
      </c>
      <c r="R5235" s="16">
        <v>234</v>
      </c>
      <c r="S5235" s="16">
        <v>236</v>
      </c>
      <c r="T5235" s="18" t="s">
        <v>1233</v>
      </c>
      <c r="U5235" t="str">
        <f>VLOOKUP(T5235,[8]Votes!$A$1:$E$234,3,FALSE)</f>
        <v>006 Ministry of Foreign Affairs</v>
      </c>
      <c r="V5235" s="18" t="s">
        <v>7682</v>
      </c>
      <c r="W5235" s="48">
        <v>1</v>
      </c>
      <c r="X5235" s="48">
        <v>1</v>
      </c>
      <c r="Y5235" s="48">
        <v>0</v>
      </c>
      <c r="Z5235" s="48">
        <v>1</v>
      </c>
      <c r="AA5235" s="48">
        <v>1</v>
      </c>
      <c r="AB5235" s="48">
        <v>1</v>
      </c>
      <c r="AC5235" s="150">
        <v>0</v>
      </c>
      <c r="AD5235" s="150">
        <v>1</v>
      </c>
      <c r="AE5235" s="49">
        <f t="shared" si="192"/>
        <v>0.75</v>
      </c>
      <c r="AF5235" s="176"/>
      <c r="AG5235" s="17">
        <v>0</v>
      </c>
      <c r="AH5235" s="176"/>
      <c r="AI5235" s="176"/>
      <c r="AJ5235" s="176"/>
      <c r="AK5235" s="384">
        <v>0.5</v>
      </c>
      <c r="AL5235" s="384">
        <v>0.55000000000000004</v>
      </c>
      <c r="AM5235" s="147">
        <f t="shared" si="191"/>
        <v>1.05</v>
      </c>
      <c r="AN5235" s="18" t="s">
        <v>1233</v>
      </c>
      <c r="AO5235" s="18" t="s">
        <v>1650</v>
      </c>
      <c r="AP5235" s="18" t="s">
        <v>7683</v>
      </c>
    </row>
    <row r="5236" spans="1:42" s="18" customFormat="1" ht="15" customHeight="1" x14ac:dyDescent="0.3">
      <c r="A5236" s="207" t="s">
        <v>7397</v>
      </c>
      <c r="B5236" s="18" t="s">
        <v>7398</v>
      </c>
      <c r="C5236" s="208" t="s">
        <v>7589</v>
      </c>
      <c r="D5236" s="18" t="s">
        <v>7590</v>
      </c>
      <c r="E5236" s="208" t="s">
        <v>7591</v>
      </c>
      <c r="F5236" s="18" t="s">
        <v>7592</v>
      </c>
      <c r="G5236" s="156" t="s">
        <v>7684</v>
      </c>
      <c r="H5236" s="18" t="s">
        <v>7685</v>
      </c>
      <c r="K5236" s="156" t="s">
        <v>7686</v>
      </c>
      <c r="L5236" s="18" t="s">
        <v>7687</v>
      </c>
      <c r="M5236" s="18" t="s">
        <v>7688</v>
      </c>
      <c r="N5236" s="18">
        <v>0</v>
      </c>
      <c r="O5236" s="18">
        <v>10</v>
      </c>
      <c r="P5236" s="16">
        <v>12</v>
      </c>
      <c r="Q5236" s="16">
        <v>12</v>
      </c>
      <c r="R5236" s="16">
        <v>12</v>
      </c>
      <c r="S5236" s="16">
        <v>12</v>
      </c>
      <c r="T5236" s="18" t="s">
        <v>1446</v>
      </c>
      <c r="U5236" t="str">
        <f>VLOOKUP(T5236,[8]Votes!$A$1:$E$234,3,FALSE)</f>
        <v>141 Uganda Revenue Authority</v>
      </c>
      <c r="V5236" s="18" t="s">
        <v>7689</v>
      </c>
      <c r="W5236" s="48">
        <v>1</v>
      </c>
      <c r="X5236" s="48">
        <v>1</v>
      </c>
      <c r="Y5236" s="48">
        <v>1</v>
      </c>
      <c r="Z5236" s="48">
        <v>1</v>
      </c>
      <c r="AA5236" s="48">
        <v>1</v>
      </c>
      <c r="AB5236" s="48">
        <v>1</v>
      </c>
      <c r="AC5236" s="150">
        <v>0</v>
      </c>
      <c r="AD5236" s="150">
        <v>1</v>
      </c>
      <c r="AE5236" s="49">
        <f t="shared" si="192"/>
        <v>0.875</v>
      </c>
      <c r="AF5236" s="255"/>
      <c r="AG5236" s="17">
        <v>0</v>
      </c>
      <c r="AH5236" s="255">
        <v>345.87</v>
      </c>
      <c r="AI5236" s="255">
        <v>155.30000000000001</v>
      </c>
      <c r="AJ5236" s="255">
        <v>173.79033792266677</v>
      </c>
      <c r="AK5236" s="383">
        <v>334.01</v>
      </c>
      <c r="AL5236" s="383">
        <v>335</v>
      </c>
      <c r="AM5236" s="147">
        <f t="shared" si="191"/>
        <v>669.01</v>
      </c>
      <c r="AN5236" s="18" t="s">
        <v>1446</v>
      </c>
      <c r="AO5236" s="18" t="s">
        <v>3715</v>
      </c>
    </row>
    <row r="5237" spans="1:42" s="18" customFormat="1" ht="15" customHeight="1" x14ac:dyDescent="0.3">
      <c r="A5237" s="207" t="s">
        <v>7397</v>
      </c>
      <c r="B5237" s="18" t="s">
        <v>7398</v>
      </c>
      <c r="C5237" s="208" t="s">
        <v>7589</v>
      </c>
      <c r="D5237" s="18" t="s">
        <v>7590</v>
      </c>
      <c r="E5237" s="208" t="s">
        <v>7591</v>
      </c>
      <c r="F5237" s="18" t="s">
        <v>7592</v>
      </c>
      <c r="G5237" s="156" t="s">
        <v>7684</v>
      </c>
      <c r="H5237" s="18" t="s">
        <v>7685</v>
      </c>
      <c r="K5237" s="156" t="s">
        <v>7686</v>
      </c>
      <c r="L5237" s="18" t="s">
        <v>7687</v>
      </c>
      <c r="M5237" s="18" t="s">
        <v>7690</v>
      </c>
      <c r="N5237" s="18">
        <v>0</v>
      </c>
      <c r="O5237" s="18">
        <v>10</v>
      </c>
      <c r="P5237" s="16">
        <v>15</v>
      </c>
      <c r="Q5237" s="16">
        <v>15</v>
      </c>
      <c r="R5237" s="16">
        <v>15</v>
      </c>
      <c r="S5237" s="16">
        <v>15</v>
      </c>
      <c r="T5237" s="18" t="s">
        <v>1446</v>
      </c>
      <c r="U5237" t="str">
        <f>VLOOKUP(T5237,[8]Votes!$A$1:$E$234,3,FALSE)</f>
        <v>141 Uganda Revenue Authority</v>
      </c>
      <c r="V5237" s="18" t="s">
        <v>7691</v>
      </c>
      <c r="W5237" s="48">
        <v>1</v>
      </c>
      <c r="X5237" s="48">
        <v>1</v>
      </c>
      <c r="Y5237" s="48">
        <v>0</v>
      </c>
      <c r="Z5237" s="48">
        <v>1</v>
      </c>
      <c r="AA5237" s="48">
        <v>1</v>
      </c>
      <c r="AB5237" s="48">
        <v>0</v>
      </c>
      <c r="AC5237" s="150">
        <v>1</v>
      </c>
      <c r="AD5237" s="150">
        <v>1</v>
      </c>
      <c r="AE5237" s="49">
        <f t="shared" si="192"/>
        <v>0.75</v>
      </c>
      <c r="AF5237" s="176"/>
      <c r="AG5237" s="17">
        <v>0</v>
      </c>
      <c r="AH5237" s="176">
        <v>0</v>
      </c>
      <c r="AI5237" s="176">
        <v>4.3499999999999996</v>
      </c>
      <c r="AJ5237" s="176">
        <v>4.3499999999999996</v>
      </c>
      <c r="AK5237" s="384">
        <v>4.3499999999999996</v>
      </c>
      <c r="AL5237" s="384">
        <v>4.3499999999999996</v>
      </c>
      <c r="AM5237" s="147">
        <f t="shared" si="191"/>
        <v>8.6999999999999993</v>
      </c>
      <c r="AN5237" s="18" t="s">
        <v>1446</v>
      </c>
      <c r="AO5237" s="18" t="s">
        <v>3715</v>
      </c>
    </row>
    <row r="5238" spans="1:42" s="18" customFormat="1" ht="15" customHeight="1" x14ac:dyDescent="0.3">
      <c r="A5238" s="207" t="s">
        <v>7397</v>
      </c>
      <c r="B5238" s="18" t="s">
        <v>7398</v>
      </c>
      <c r="C5238" s="208" t="s">
        <v>7589</v>
      </c>
      <c r="D5238" s="18" t="s">
        <v>7590</v>
      </c>
      <c r="E5238" s="208" t="s">
        <v>7591</v>
      </c>
      <c r="F5238" s="18" t="s">
        <v>7592</v>
      </c>
      <c r="G5238" s="156" t="s">
        <v>7684</v>
      </c>
      <c r="H5238" s="18" t="s">
        <v>7685</v>
      </c>
      <c r="K5238" s="156" t="s">
        <v>7686</v>
      </c>
      <c r="L5238" s="18" t="s">
        <v>7687</v>
      </c>
      <c r="M5238" s="18" t="s">
        <v>7692</v>
      </c>
      <c r="N5238" s="18">
        <v>0</v>
      </c>
      <c r="O5238" s="18">
        <v>17855</v>
      </c>
      <c r="P5238" s="16">
        <v>19819</v>
      </c>
      <c r="Q5238" s="16">
        <v>23003</v>
      </c>
      <c r="R5238" s="16">
        <v>26334</v>
      </c>
      <c r="S5238" s="16">
        <v>30386</v>
      </c>
      <c r="T5238" s="18" t="s">
        <v>1446</v>
      </c>
      <c r="U5238" t="str">
        <f>VLOOKUP(T5238,[8]Votes!$A$1:$E$234,3,FALSE)</f>
        <v>141 Uganda Revenue Authority</v>
      </c>
      <c r="W5238" s="48"/>
      <c r="X5238" s="48"/>
      <c r="Y5238" s="48"/>
      <c r="Z5238" s="48"/>
      <c r="AA5238" s="48"/>
      <c r="AB5238" s="48"/>
      <c r="AC5238" s="150">
        <v>0</v>
      </c>
      <c r="AD5238" s="150">
        <v>0</v>
      </c>
      <c r="AE5238" s="49">
        <f t="shared" si="192"/>
        <v>0</v>
      </c>
      <c r="AF5238" s="17"/>
      <c r="AG5238" s="17">
        <v>0</v>
      </c>
      <c r="AH5238" s="17"/>
      <c r="AI5238" s="17"/>
      <c r="AJ5238" s="17"/>
      <c r="AK5238" s="154"/>
      <c r="AL5238" s="154"/>
      <c r="AM5238" s="147">
        <f t="shared" si="191"/>
        <v>0</v>
      </c>
    </row>
    <row r="5239" spans="1:42" s="18" customFormat="1" ht="15" customHeight="1" x14ac:dyDescent="0.3">
      <c r="A5239" s="207" t="s">
        <v>7397</v>
      </c>
      <c r="B5239" s="18" t="s">
        <v>7398</v>
      </c>
      <c r="C5239" s="208" t="s">
        <v>7589</v>
      </c>
      <c r="D5239" s="18" t="s">
        <v>7590</v>
      </c>
      <c r="E5239" s="208" t="s">
        <v>7591</v>
      </c>
      <c r="F5239" s="18" t="s">
        <v>7592</v>
      </c>
      <c r="G5239" s="156" t="s">
        <v>7684</v>
      </c>
      <c r="H5239" s="18" t="s">
        <v>7685</v>
      </c>
      <c r="K5239" s="156" t="s">
        <v>7686</v>
      </c>
      <c r="L5239" s="18" t="s">
        <v>7687</v>
      </c>
      <c r="M5239" s="18" t="s">
        <v>7693</v>
      </c>
      <c r="N5239" s="18">
        <v>0</v>
      </c>
      <c r="O5239" s="18">
        <v>6</v>
      </c>
      <c r="P5239" s="16">
        <v>7</v>
      </c>
      <c r="Q5239" s="16">
        <v>8</v>
      </c>
      <c r="R5239" s="16">
        <v>9</v>
      </c>
      <c r="S5239" s="16">
        <v>9.5</v>
      </c>
      <c r="T5239" s="18" t="s">
        <v>6300</v>
      </c>
      <c r="U5239" t="str">
        <f>VLOOKUP(T5239,[8]Votes!$A$1:$E$234,3,FALSE)</f>
        <v>147 Local Government Finance Commission</v>
      </c>
      <c r="V5239" s="18" t="s">
        <v>7694</v>
      </c>
      <c r="W5239" s="48">
        <v>1</v>
      </c>
      <c r="X5239" s="48">
        <v>1</v>
      </c>
      <c r="Y5239" s="48">
        <v>0</v>
      </c>
      <c r="Z5239" s="48">
        <v>1</v>
      </c>
      <c r="AA5239" s="48">
        <v>1</v>
      </c>
      <c r="AB5239" s="48">
        <v>0</v>
      </c>
      <c r="AC5239" s="150">
        <v>1</v>
      </c>
      <c r="AD5239" s="150">
        <v>1</v>
      </c>
      <c r="AE5239" s="49">
        <f t="shared" si="192"/>
        <v>0.75</v>
      </c>
      <c r="AF5239" s="176"/>
      <c r="AG5239" s="17">
        <v>0</v>
      </c>
      <c r="AH5239" s="176">
        <v>2.9</v>
      </c>
      <c r="AI5239" s="176">
        <v>2.9</v>
      </c>
      <c r="AJ5239" s="176">
        <v>2.9</v>
      </c>
      <c r="AK5239" s="384">
        <v>3.9</v>
      </c>
      <c r="AL5239" s="384">
        <v>3.9</v>
      </c>
      <c r="AM5239" s="147">
        <f t="shared" si="191"/>
        <v>7.8</v>
      </c>
      <c r="AN5239" s="18" t="s">
        <v>6300</v>
      </c>
      <c r="AO5239" s="18" t="s">
        <v>6301</v>
      </c>
    </row>
    <row r="5240" spans="1:42" s="18" customFormat="1" ht="15" customHeight="1" x14ac:dyDescent="0.3">
      <c r="A5240" s="207" t="s">
        <v>7397</v>
      </c>
      <c r="B5240" s="18" t="s">
        <v>7398</v>
      </c>
      <c r="C5240" s="208" t="s">
        <v>7589</v>
      </c>
      <c r="D5240" s="18" t="s">
        <v>7590</v>
      </c>
      <c r="E5240" s="208" t="s">
        <v>7591</v>
      </c>
      <c r="F5240" s="18" t="s">
        <v>7592</v>
      </c>
      <c r="G5240" s="156" t="s">
        <v>7684</v>
      </c>
      <c r="H5240" s="18" t="s">
        <v>7685</v>
      </c>
      <c r="K5240" s="156" t="s">
        <v>7686</v>
      </c>
      <c r="L5240" s="18" t="s">
        <v>7687</v>
      </c>
      <c r="M5240" s="18" t="s">
        <v>7695</v>
      </c>
      <c r="N5240" s="18">
        <v>0</v>
      </c>
      <c r="O5240" s="18">
        <v>577</v>
      </c>
      <c r="P5240" s="16">
        <v>640</v>
      </c>
      <c r="Q5240" s="16">
        <v>719</v>
      </c>
      <c r="R5240" s="16">
        <v>810</v>
      </c>
      <c r="S5240" s="16">
        <v>913</v>
      </c>
      <c r="T5240" s="18" t="s">
        <v>1446</v>
      </c>
      <c r="U5240" t="str">
        <f>VLOOKUP(T5240,[8]Votes!$A$1:$E$234,3,FALSE)</f>
        <v>141 Uganda Revenue Authority</v>
      </c>
      <c r="W5240" s="48"/>
      <c r="X5240" s="48"/>
      <c r="Y5240" s="48"/>
      <c r="Z5240" s="48"/>
      <c r="AA5240" s="48"/>
      <c r="AB5240" s="48"/>
      <c r="AC5240" s="150">
        <v>0</v>
      </c>
      <c r="AD5240" s="150">
        <v>0</v>
      </c>
      <c r="AE5240" s="49">
        <f t="shared" si="192"/>
        <v>0</v>
      </c>
      <c r="AF5240" s="17"/>
      <c r="AG5240" s="17">
        <v>0</v>
      </c>
      <c r="AH5240" s="17"/>
      <c r="AI5240" s="17"/>
      <c r="AJ5240" s="17"/>
      <c r="AK5240" s="154"/>
      <c r="AL5240" s="154"/>
      <c r="AM5240" s="147">
        <f t="shared" si="191"/>
        <v>0</v>
      </c>
    </row>
    <row r="5241" spans="1:42" s="18" customFormat="1" ht="15" customHeight="1" x14ac:dyDescent="0.3">
      <c r="A5241" s="207" t="s">
        <v>7397</v>
      </c>
      <c r="B5241" s="18" t="s">
        <v>7398</v>
      </c>
      <c r="C5241" s="208" t="s">
        <v>7589</v>
      </c>
      <c r="D5241" s="18" t="s">
        <v>7590</v>
      </c>
      <c r="E5241" s="208" t="s">
        <v>7591</v>
      </c>
      <c r="F5241" s="18" t="s">
        <v>7592</v>
      </c>
      <c r="G5241" s="156" t="s">
        <v>7684</v>
      </c>
      <c r="H5241" s="18" t="s">
        <v>7685</v>
      </c>
      <c r="K5241" s="156" t="s">
        <v>7696</v>
      </c>
      <c r="L5241" s="18" t="s">
        <v>7641</v>
      </c>
      <c r="M5241" s="18" t="s">
        <v>7644</v>
      </c>
      <c r="N5241" s="18">
        <v>1</v>
      </c>
      <c r="O5241" s="18">
        <v>1</v>
      </c>
      <c r="P5241" s="16">
        <v>2</v>
      </c>
      <c r="Q5241" s="16">
        <v>4</v>
      </c>
      <c r="R5241" s="16">
        <v>5</v>
      </c>
      <c r="S5241" s="16">
        <v>6</v>
      </c>
      <c r="T5241" s="18" t="s">
        <v>6300</v>
      </c>
      <c r="U5241" t="str">
        <f>VLOOKUP(T5241,[8]Votes!$A$1:$E$234,3,FALSE)</f>
        <v>147 Local Government Finance Commission</v>
      </c>
      <c r="V5241" s="18" t="s">
        <v>7697</v>
      </c>
      <c r="W5241" s="48">
        <v>1</v>
      </c>
      <c r="X5241" s="48">
        <v>1</v>
      </c>
      <c r="Y5241" s="48">
        <v>0</v>
      </c>
      <c r="Z5241" s="48">
        <v>1</v>
      </c>
      <c r="AA5241" s="48">
        <v>1</v>
      </c>
      <c r="AB5241" s="48">
        <v>0</v>
      </c>
      <c r="AC5241" s="150">
        <v>1</v>
      </c>
      <c r="AD5241" s="150">
        <v>1</v>
      </c>
      <c r="AE5241" s="49">
        <f t="shared" si="192"/>
        <v>0.75</v>
      </c>
      <c r="AF5241" s="255"/>
      <c r="AG5241" s="17">
        <v>0</v>
      </c>
      <c r="AH5241" s="255">
        <v>0</v>
      </c>
      <c r="AI5241" s="255">
        <v>0</v>
      </c>
      <c r="AJ5241" s="255">
        <v>1.45</v>
      </c>
      <c r="AK5241" s="256">
        <v>0</v>
      </c>
      <c r="AL5241" s="256">
        <v>0</v>
      </c>
      <c r="AM5241" s="147">
        <f t="shared" si="191"/>
        <v>0</v>
      </c>
      <c r="AN5241" s="18" t="s">
        <v>6300</v>
      </c>
      <c r="AO5241" s="18" t="s">
        <v>6301</v>
      </c>
    </row>
    <row r="5242" spans="1:42" s="18" customFormat="1" ht="15" customHeight="1" x14ac:dyDescent="0.3">
      <c r="A5242" s="207" t="s">
        <v>7397</v>
      </c>
      <c r="B5242" s="18" t="s">
        <v>7398</v>
      </c>
      <c r="C5242" s="208" t="s">
        <v>7589</v>
      </c>
      <c r="D5242" s="18" t="s">
        <v>7590</v>
      </c>
      <c r="E5242" s="208" t="s">
        <v>7591</v>
      </c>
      <c r="F5242" s="18" t="s">
        <v>7592</v>
      </c>
      <c r="G5242" s="156" t="s">
        <v>7684</v>
      </c>
      <c r="H5242" s="18" t="s">
        <v>7685</v>
      </c>
      <c r="K5242" s="156" t="s">
        <v>7698</v>
      </c>
      <c r="L5242" s="18" t="s">
        <v>7699</v>
      </c>
      <c r="M5242" s="18" t="s">
        <v>7700</v>
      </c>
      <c r="N5242" s="18">
        <v>0</v>
      </c>
      <c r="O5242" s="18">
        <v>20</v>
      </c>
      <c r="P5242" s="16">
        <v>40</v>
      </c>
      <c r="Q5242" s="16">
        <v>60</v>
      </c>
      <c r="R5242" s="16">
        <v>80</v>
      </c>
      <c r="S5242" s="16">
        <v>100</v>
      </c>
      <c r="T5242" s="18" t="s">
        <v>2571</v>
      </c>
      <c r="U5242" t="str">
        <f>VLOOKUP(T5242,[8]Votes!$A$1:$E$234,3,FALSE)</f>
        <v>122 Kampala Capital City Authority</v>
      </c>
      <c r="V5242" s="18" t="s">
        <v>7701</v>
      </c>
      <c r="W5242" s="48">
        <v>1</v>
      </c>
      <c r="X5242" s="48">
        <v>1</v>
      </c>
      <c r="Y5242" s="48">
        <v>1</v>
      </c>
      <c r="Z5242" s="48">
        <v>1</v>
      </c>
      <c r="AA5242" s="48">
        <v>1</v>
      </c>
      <c r="AB5242" s="48">
        <v>1</v>
      </c>
      <c r="AC5242" s="150">
        <v>1</v>
      </c>
      <c r="AD5242" s="150">
        <v>1</v>
      </c>
      <c r="AE5242" s="49">
        <f t="shared" si="192"/>
        <v>1</v>
      </c>
      <c r="AF5242" s="255"/>
      <c r="AG5242" s="17">
        <v>0</v>
      </c>
      <c r="AH5242" s="255">
        <v>3.0014999999999996</v>
      </c>
      <c r="AI5242" s="255">
        <v>3.4944999999999999</v>
      </c>
      <c r="AJ5242" s="255">
        <v>3.7265000000000001</v>
      </c>
      <c r="AK5242" s="383">
        <v>6.4950000000000001</v>
      </c>
      <c r="AL5242" s="383">
        <v>7.2925000000000004</v>
      </c>
      <c r="AM5242" s="147">
        <f t="shared" si="191"/>
        <v>13.787500000000001</v>
      </c>
      <c r="AN5242" s="18" t="s">
        <v>2571</v>
      </c>
      <c r="AO5242" s="18" t="s">
        <v>2573</v>
      </c>
    </row>
    <row r="5243" spans="1:42" s="18" customFormat="1" ht="15" customHeight="1" x14ac:dyDescent="0.3">
      <c r="A5243" s="207" t="s">
        <v>7397</v>
      </c>
      <c r="B5243" s="18" t="s">
        <v>7398</v>
      </c>
      <c r="C5243" s="208" t="s">
        <v>7589</v>
      </c>
      <c r="D5243" s="18" t="s">
        <v>7590</v>
      </c>
      <c r="E5243" s="208" t="s">
        <v>7591</v>
      </c>
      <c r="F5243" s="18" t="s">
        <v>7592</v>
      </c>
      <c r="G5243" s="156" t="s">
        <v>7684</v>
      </c>
      <c r="H5243" s="18" t="s">
        <v>7685</v>
      </c>
      <c r="K5243" s="156" t="s">
        <v>7702</v>
      </c>
      <c r="L5243" s="18" t="s">
        <v>7703</v>
      </c>
      <c r="M5243" s="18" t="s">
        <v>7704</v>
      </c>
      <c r="N5243" s="18">
        <v>0</v>
      </c>
      <c r="O5243" s="18">
        <v>15</v>
      </c>
      <c r="P5243" s="16">
        <v>20</v>
      </c>
      <c r="Q5243" s="16">
        <v>15</v>
      </c>
      <c r="R5243" s="16">
        <v>15</v>
      </c>
      <c r="S5243" s="16">
        <v>15</v>
      </c>
      <c r="T5243" s="18" t="s">
        <v>2571</v>
      </c>
      <c r="U5243" t="str">
        <f>VLOOKUP(T5243,[8]Votes!$A$1:$E$234,3,FALSE)</f>
        <v>122 Kampala Capital City Authority</v>
      </c>
      <c r="W5243" s="48"/>
      <c r="X5243" s="48"/>
      <c r="Y5243" s="48"/>
      <c r="Z5243" s="48"/>
      <c r="AA5243" s="48"/>
      <c r="AB5243" s="48"/>
      <c r="AC5243" s="150">
        <v>0</v>
      </c>
      <c r="AD5243" s="150">
        <v>0</v>
      </c>
      <c r="AE5243" s="49">
        <f t="shared" si="192"/>
        <v>0</v>
      </c>
      <c r="AF5243" s="17"/>
      <c r="AG5243" s="17">
        <v>0</v>
      </c>
      <c r="AH5243" s="17"/>
      <c r="AI5243" s="17"/>
      <c r="AJ5243" s="17"/>
      <c r="AK5243" s="154"/>
      <c r="AL5243" s="154"/>
      <c r="AM5243" s="147">
        <f t="shared" si="191"/>
        <v>0</v>
      </c>
      <c r="AN5243" s="18" t="s">
        <v>2571</v>
      </c>
      <c r="AO5243" s="18" t="s">
        <v>2573</v>
      </c>
    </row>
    <row r="5244" spans="1:42" s="18" customFormat="1" ht="15" customHeight="1" x14ac:dyDescent="0.3">
      <c r="A5244" s="207" t="s">
        <v>7397</v>
      </c>
      <c r="B5244" s="18" t="s">
        <v>7398</v>
      </c>
      <c r="C5244" s="208" t="s">
        <v>7589</v>
      </c>
      <c r="D5244" s="18" t="s">
        <v>7590</v>
      </c>
      <c r="E5244" s="208" t="s">
        <v>7591</v>
      </c>
      <c r="F5244" s="18" t="s">
        <v>7592</v>
      </c>
      <c r="G5244" s="156" t="s">
        <v>7684</v>
      </c>
      <c r="H5244" s="18" t="s">
        <v>7685</v>
      </c>
      <c r="K5244" s="156" t="s">
        <v>7702</v>
      </c>
      <c r="L5244" s="18" t="s">
        <v>7703</v>
      </c>
      <c r="M5244" s="18" t="s">
        <v>7705</v>
      </c>
      <c r="N5244" s="431">
        <v>165000</v>
      </c>
      <c r="O5244" s="431">
        <v>189750</v>
      </c>
      <c r="P5244" s="26">
        <v>227700</v>
      </c>
      <c r="Q5244" s="26">
        <v>261855</v>
      </c>
      <c r="R5244" s="26">
        <v>301133</v>
      </c>
      <c r="S5244" s="26">
        <v>346303</v>
      </c>
      <c r="T5244" s="18" t="s">
        <v>2571</v>
      </c>
      <c r="U5244" t="str">
        <f>VLOOKUP(T5244,[8]Votes!$A$1:$E$234,3,FALSE)</f>
        <v>122 Kampala Capital City Authority</v>
      </c>
      <c r="W5244" s="48"/>
      <c r="X5244" s="48"/>
      <c r="Y5244" s="48"/>
      <c r="Z5244" s="48"/>
      <c r="AA5244" s="48"/>
      <c r="AB5244" s="48"/>
      <c r="AC5244" s="150">
        <v>0</v>
      </c>
      <c r="AD5244" s="150">
        <v>0</v>
      </c>
      <c r="AE5244" s="49">
        <f t="shared" si="192"/>
        <v>0</v>
      </c>
      <c r="AF5244" s="17"/>
      <c r="AG5244" s="17">
        <v>0</v>
      </c>
      <c r="AH5244" s="17"/>
      <c r="AI5244" s="17"/>
      <c r="AJ5244" s="17"/>
      <c r="AK5244" s="154"/>
      <c r="AL5244" s="154"/>
      <c r="AM5244" s="147">
        <f t="shared" si="191"/>
        <v>0</v>
      </c>
      <c r="AN5244" s="18" t="s">
        <v>2571</v>
      </c>
      <c r="AO5244" s="18" t="s">
        <v>2573</v>
      </c>
    </row>
    <row r="5245" spans="1:42" s="18" customFormat="1" ht="15" customHeight="1" x14ac:dyDescent="0.3">
      <c r="A5245" s="207" t="s">
        <v>7397</v>
      </c>
      <c r="B5245" s="18" t="s">
        <v>7398</v>
      </c>
      <c r="C5245" s="208" t="s">
        <v>7589</v>
      </c>
      <c r="D5245" s="18" t="s">
        <v>7590</v>
      </c>
      <c r="E5245" s="208" t="s">
        <v>7591</v>
      </c>
      <c r="F5245" s="18" t="s">
        <v>7592</v>
      </c>
      <c r="G5245" s="156" t="s">
        <v>7684</v>
      </c>
      <c r="H5245" s="18" t="s">
        <v>7685</v>
      </c>
      <c r="K5245" s="156" t="s">
        <v>7702</v>
      </c>
      <c r="L5245" s="18" t="s">
        <v>7703</v>
      </c>
      <c r="M5245" s="277" t="s">
        <v>11636</v>
      </c>
      <c r="N5245" s="431">
        <v>0</v>
      </c>
      <c r="O5245" s="431">
        <v>0</v>
      </c>
      <c r="P5245" s="26">
        <v>7201</v>
      </c>
      <c r="Q5245" s="26">
        <v>7800</v>
      </c>
      <c r="R5245" s="26">
        <v>8023</v>
      </c>
      <c r="S5245" s="26">
        <v>8111</v>
      </c>
      <c r="T5245" s="18" t="s">
        <v>11629</v>
      </c>
      <c r="U5245" t="s">
        <v>11630</v>
      </c>
      <c r="V5245" s="18" t="s">
        <v>11637</v>
      </c>
      <c r="W5245" s="48">
        <v>1</v>
      </c>
      <c r="X5245" s="48">
        <v>1</v>
      </c>
      <c r="Y5245" s="48">
        <v>1</v>
      </c>
      <c r="Z5245" s="48">
        <v>1</v>
      </c>
      <c r="AA5245" s="48">
        <v>1</v>
      </c>
      <c r="AB5245" s="48">
        <v>1</v>
      </c>
      <c r="AC5245" s="150">
        <v>1</v>
      </c>
      <c r="AD5245" s="150">
        <v>1</v>
      </c>
      <c r="AE5245" s="49">
        <f t="shared" si="192"/>
        <v>1</v>
      </c>
      <c r="AF5245" s="17"/>
      <c r="AG5245" s="17">
        <v>0</v>
      </c>
      <c r="AH5245" s="17">
        <v>0</v>
      </c>
      <c r="AI5245" s="17">
        <v>0</v>
      </c>
      <c r="AJ5245" s="17">
        <v>0.3</v>
      </c>
      <c r="AK5245" s="154">
        <f>0.3/2</f>
        <v>0.15</v>
      </c>
      <c r="AL5245" s="154">
        <f>0.3/2</f>
        <v>0.15</v>
      </c>
      <c r="AM5245" s="147">
        <f t="shared" si="191"/>
        <v>0.3</v>
      </c>
      <c r="AN5245" s="18" t="s">
        <v>11629</v>
      </c>
      <c r="AO5245" s="18" t="s">
        <v>11630</v>
      </c>
    </row>
    <row r="5246" spans="1:42" s="18" customFormat="1" ht="15" customHeight="1" x14ac:dyDescent="0.3">
      <c r="A5246" s="207" t="s">
        <v>7397</v>
      </c>
      <c r="B5246" s="18" t="s">
        <v>7398</v>
      </c>
      <c r="C5246" s="208" t="s">
        <v>8042</v>
      </c>
      <c r="D5246" s="18" t="s">
        <v>8043</v>
      </c>
      <c r="E5246" s="208" t="s">
        <v>11638</v>
      </c>
      <c r="F5246" s="18" t="s">
        <v>7592</v>
      </c>
      <c r="G5246" s="156" t="s">
        <v>11639</v>
      </c>
      <c r="H5246" s="18" t="s">
        <v>7707</v>
      </c>
      <c r="K5246" s="156" t="s">
        <v>11640</v>
      </c>
      <c r="L5246" s="18" t="s">
        <v>7709</v>
      </c>
      <c r="M5246" s="18" t="s">
        <v>7710</v>
      </c>
      <c r="N5246" s="18">
        <v>0</v>
      </c>
      <c r="O5246" s="18">
        <v>60</v>
      </c>
      <c r="P5246" s="16">
        <v>70</v>
      </c>
      <c r="Q5246" s="16">
        <v>80</v>
      </c>
      <c r="R5246" s="16">
        <v>90</v>
      </c>
      <c r="S5246" s="16">
        <v>100</v>
      </c>
      <c r="T5246" s="18" t="s">
        <v>1446</v>
      </c>
      <c r="U5246" t="str">
        <f>VLOOKUP(T5246,[8]Votes!$A$1:$E$234,3,FALSE)</f>
        <v>141 Uganda Revenue Authority</v>
      </c>
      <c r="V5246" s="18" t="s">
        <v>7711</v>
      </c>
      <c r="W5246" s="48">
        <v>1</v>
      </c>
      <c r="X5246" s="48">
        <v>1</v>
      </c>
      <c r="Y5246" s="48">
        <v>0</v>
      </c>
      <c r="Z5246" s="48">
        <v>1</v>
      </c>
      <c r="AA5246" s="48">
        <v>1</v>
      </c>
      <c r="AB5246" s="48">
        <v>1</v>
      </c>
      <c r="AC5246" s="150">
        <v>0</v>
      </c>
      <c r="AD5246" s="150">
        <v>1</v>
      </c>
      <c r="AE5246" s="49">
        <f t="shared" si="192"/>
        <v>0.75</v>
      </c>
      <c r="AF5246" s="255"/>
      <c r="AG5246" s="17">
        <v>0</v>
      </c>
      <c r="AH5246" s="255">
        <v>23.663999999999998</v>
      </c>
      <c r="AI5246" s="255">
        <v>26.447999999999997</v>
      </c>
      <c r="AJ5246" s="255">
        <v>23.582000000000001</v>
      </c>
      <c r="AK5246" s="383">
        <v>15</v>
      </c>
      <c r="AL5246" s="383">
        <v>16.5</v>
      </c>
      <c r="AM5246" s="147">
        <f t="shared" si="191"/>
        <v>31.5</v>
      </c>
      <c r="AN5246" s="18" t="s">
        <v>1446</v>
      </c>
      <c r="AO5246" s="18" t="s">
        <v>3715</v>
      </c>
    </row>
    <row r="5247" spans="1:42" s="18" customFormat="1" ht="15" customHeight="1" x14ac:dyDescent="0.3">
      <c r="A5247" s="207" t="s">
        <v>7397</v>
      </c>
      <c r="B5247" s="18" t="s">
        <v>7398</v>
      </c>
      <c r="C5247" s="208" t="s">
        <v>8042</v>
      </c>
      <c r="D5247" s="18" t="s">
        <v>8043</v>
      </c>
      <c r="E5247" s="208" t="s">
        <v>11638</v>
      </c>
      <c r="F5247" s="18" t="s">
        <v>7592</v>
      </c>
      <c r="G5247" s="156" t="s">
        <v>11639</v>
      </c>
      <c r="H5247" s="18" t="s">
        <v>7707</v>
      </c>
      <c r="K5247" s="156" t="s">
        <v>11640</v>
      </c>
      <c r="L5247" s="18" t="s">
        <v>7709</v>
      </c>
      <c r="M5247" s="18" t="s">
        <v>7712</v>
      </c>
      <c r="N5247" s="18">
        <v>0</v>
      </c>
      <c r="O5247" s="18">
        <v>1</v>
      </c>
      <c r="P5247" s="16">
        <v>1</v>
      </c>
      <c r="Q5247" s="16">
        <v>1</v>
      </c>
      <c r="R5247" s="16">
        <v>1</v>
      </c>
      <c r="S5247" s="16">
        <v>1</v>
      </c>
      <c r="T5247" s="18" t="s">
        <v>1446</v>
      </c>
      <c r="U5247" t="str">
        <f>VLOOKUP(T5247,[8]Votes!$A$1:$E$234,3,FALSE)</f>
        <v>141 Uganda Revenue Authority</v>
      </c>
      <c r="V5247" s="18" t="s">
        <v>7713</v>
      </c>
      <c r="W5247" s="48">
        <v>1</v>
      </c>
      <c r="X5247" s="48">
        <v>1</v>
      </c>
      <c r="Y5247" s="48">
        <v>0</v>
      </c>
      <c r="Z5247" s="48">
        <v>1</v>
      </c>
      <c r="AA5247" s="48">
        <v>1</v>
      </c>
      <c r="AB5247" s="48">
        <v>0</v>
      </c>
      <c r="AC5247" s="150">
        <v>1</v>
      </c>
      <c r="AD5247" s="150">
        <v>1</v>
      </c>
      <c r="AE5247" s="49">
        <f t="shared" si="192"/>
        <v>0.75</v>
      </c>
      <c r="AF5247" s="255"/>
      <c r="AG5247" s="17">
        <v>0</v>
      </c>
      <c r="AH5247" s="255">
        <v>27.143999999999995</v>
      </c>
      <c r="AI5247" s="255">
        <v>27.84</v>
      </c>
      <c r="AJ5247" s="255">
        <v>20.797999999999998</v>
      </c>
      <c r="AK5247" s="383">
        <v>3.06</v>
      </c>
      <c r="AL5247" s="383">
        <v>3.93</v>
      </c>
      <c r="AM5247" s="147">
        <f t="shared" si="191"/>
        <v>6.99</v>
      </c>
      <c r="AN5247" s="18" t="s">
        <v>1446</v>
      </c>
      <c r="AO5247" s="18" t="s">
        <v>3715</v>
      </c>
    </row>
    <row r="5248" spans="1:42" s="18" customFormat="1" ht="15" customHeight="1" x14ac:dyDescent="0.3">
      <c r="A5248" s="207" t="s">
        <v>7397</v>
      </c>
      <c r="B5248" s="18" t="s">
        <v>7398</v>
      </c>
      <c r="C5248" s="208" t="s">
        <v>8042</v>
      </c>
      <c r="D5248" s="18" t="s">
        <v>8043</v>
      </c>
      <c r="E5248" s="208" t="s">
        <v>11638</v>
      </c>
      <c r="F5248" s="18" t="s">
        <v>7592</v>
      </c>
      <c r="G5248" s="156" t="s">
        <v>11639</v>
      </c>
      <c r="H5248" s="18" t="s">
        <v>7707</v>
      </c>
      <c r="K5248" s="156" t="s">
        <v>11640</v>
      </c>
      <c r="L5248" s="18" t="s">
        <v>7709</v>
      </c>
      <c r="M5248" s="18" t="s">
        <v>7714</v>
      </c>
      <c r="N5248" s="18">
        <v>0</v>
      </c>
      <c r="O5248" s="18">
        <v>30</v>
      </c>
      <c r="P5248" s="16">
        <v>50</v>
      </c>
      <c r="Q5248" s="16">
        <v>70</v>
      </c>
      <c r="R5248" s="16">
        <v>80</v>
      </c>
      <c r="S5248" s="16">
        <v>100</v>
      </c>
      <c r="T5248" s="18" t="s">
        <v>1446</v>
      </c>
      <c r="U5248" t="str">
        <f>VLOOKUP(T5248,[8]Votes!$A$1:$E$234,3,FALSE)</f>
        <v>141 Uganda Revenue Authority</v>
      </c>
      <c r="W5248" s="48"/>
      <c r="X5248" s="48"/>
      <c r="Y5248" s="48"/>
      <c r="Z5248" s="48"/>
      <c r="AA5248" s="48"/>
      <c r="AB5248" s="48"/>
      <c r="AC5248" s="150">
        <v>0</v>
      </c>
      <c r="AD5248" s="150">
        <v>0</v>
      </c>
      <c r="AE5248" s="49">
        <f t="shared" si="192"/>
        <v>0</v>
      </c>
      <c r="AF5248" s="17"/>
      <c r="AG5248" s="17">
        <v>0</v>
      </c>
      <c r="AH5248" s="17"/>
      <c r="AI5248" s="17"/>
      <c r="AJ5248" s="17"/>
      <c r="AK5248" s="154"/>
      <c r="AL5248" s="154"/>
      <c r="AM5248" s="147">
        <f t="shared" si="191"/>
        <v>0</v>
      </c>
    </row>
    <row r="5249" spans="1:41" s="18" customFormat="1" ht="15" customHeight="1" x14ac:dyDescent="0.3">
      <c r="A5249" s="207" t="s">
        <v>7397</v>
      </c>
      <c r="B5249" s="18" t="s">
        <v>7398</v>
      </c>
      <c r="C5249" s="208" t="s">
        <v>8042</v>
      </c>
      <c r="D5249" s="18" t="s">
        <v>8043</v>
      </c>
      <c r="E5249" s="208" t="s">
        <v>11638</v>
      </c>
      <c r="F5249" s="18" t="s">
        <v>7592</v>
      </c>
      <c r="G5249" s="156" t="s">
        <v>11639</v>
      </c>
      <c r="H5249" s="18" t="s">
        <v>7707</v>
      </c>
      <c r="K5249" s="156" t="s">
        <v>11641</v>
      </c>
      <c r="L5249" s="18" t="s">
        <v>11642</v>
      </c>
      <c r="M5249" s="18" t="s">
        <v>11643</v>
      </c>
      <c r="N5249" s="18">
        <v>0</v>
      </c>
      <c r="O5249" s="18">
        <v>0</v>
      </c>
      <c r="P5249" s="16">
        <v>0</v>
      </c>
      <c r="Q5249" s="16">
        <v>1</v>
      </c>
      <c r="R5249" s="16">
        <v>1</v>
      </c>
      <c r="S5249" s="16">
        <v>1</v>
      </c>
      <c r="T5249" s="18" t="s">
        <v>11629</v>
      </c>
      <c r="U5249" s="159" t="s">
        <v>11644</v>
      </c>
      <c r="V5249" s="18" t="s">
        <v>11645</v>
      </c>
      <c r="W5249" s="48">
        <v>1</v>
      </c>
      <c r="X5249" s="48">
        <v>1</v>
      </c>
      <c r="Y5249" s="48">
        <v>0</v>
      </c>
      <c r="Z5249" s="48">
        <v>1</v>
      </c>
      <c r="AA5249" s="48">
        <v>1</v>
      </c>
      <c r="AB5249" s="48">
        <v>1</v>
      </c>
      <c r="AC5249" s="150">
        <v>0</v>
      </c>
      <c r="AD5249" s="150">
        <v>1</v>
      </c>
      <c r="AE5249" s="49">
        <f t="shared" si="192"/>
        <v>0.75</v>
      </c>
      <c r="AF5249" s="17"/>
      <c r="AG5249" s="17"/>
      <c r="AH5249" s="17"/>
      <c r="AI5249" s="17"/>
      <c r="AJ5249" s="17"/>
      <c r="AK5249" s="385">
        <v>6.8</v>
      </c>
      <c r="AL5249" s="154">
        <f>4/2</f>
        <v>2</v>
      </c>
      <c r="AM5249" s="147">
        <f t="shared" si="191"/>
        <v>8.8000000000000007</v>
      </c>
      <c r="AN5249" s="18" t="s">
        <v>11629</v>
      </c>
      <c r="AO5249" s="18" t="s">
        <v>11630</v>
      </c>
    </row>
    <row r="5250" spans="1:41" s="18" customFormat="1" ht="15" customHeight="1" x14ac:dyDescent="0.3">
      <c r="A5250" s="207" t="s">
        <v>7397</v>
      </c>
      <c r="B5250" s="18" t="s">
        <v>7398</v>
      </c>
      <c r="C5250" s="208" t="s">
        <v>8042</v>
      </c>
      <c r="D5250" s="18" t="s">
        <v>8043</v>
      </c>
      <c r="E5250" s="208" t="s">
        <v>11638</v>
      </c>
      <c r="F5250" s="18" t="s">
        <v>7592</v>
      </c>
      <c r="G5250" s="156" t="s">
        <v>11639</v>
      </c>
      <c r="H5250" s="18" t="s">
        <v>7707</v>
      </c>
      <c r="K5250" s="156" t="s">
        <v>11641</v>
      </c>
      <c r="L5250" s="18" t="s">
        <v>11642</v>
      </c>
      <c r="M5250" s="18" t="s">
        <v>11646</v>
      </c>
      <c r="N5250" s="18">
        <v>0</v>
      </c>
      <c r="O5250" s="18">
        <v>0</v>
      </c>
      <c r="P5250" s="16">
        <v>0</v>
      </c>
      <c r="Q5250" s="16">
        <v>5</v>
      </c>
      <c r="R5250" s="16">
        <v>20</v>
      </c>
      <c r="S5250" s="16">
        <v>30</v>
      </c>
      <c r="T5250" s="18" t="s">
        <v>11629</v>
      </c>
      <c r="U5250" s="159" t="s">
        <v>11644</v>
      </c>
      <c r="V5250" s="18" t="s">
        <v>11647</v>
      </c>
      <c r="W5250" s="48">
        <v>1</v>
      </c>
      <c r="X5250" s="48">
        <v>1</v>
      </c>
      <c r="Y5250" s="48">
        <v>0</v>
      </c>
      <c r="Z5250" s="48">
        <v>1</v>
      </c>
      <c r="AA5250" s="48">
        <v>1</v>
      </c>
      <c r="AB5250" s="48">
        <v>1</v>
      </c>
      <c r="AC5250" s="150">
        <v>0</v>
      </c>
      <c r="AD5250" s="150">
        <v>1</v>
      </c>
      <c r="AE5250" s="49">
        <f t="shared" si="192"/>
        <v>0.75</v>
      </c>
      <c r="AF5250" s="17"/>
      <c r="AG5250" s="17"/>
      <c r="AH5250" s="17"/>
      <c r="AI5250" s="17"/>
      <c r="AJ5250" s="17"/>
      <c r="AK5250" s="154">
        <f>0.8/2</f>
        <v>0.4</v>
      </c>
      <c r="AL5250" s="154">
        <f>0.8/2</f>
        <v>0.4</v>
      </c>
      <c r="AM5250" s="147">
        <f t="shared" si="191"/>
        <v>0.8</v>
      </c>
      <c r="AN5250" s="18" t="s">
        <v>11629</v>
      </c>
      <c r="AO5250" s="18" t="s">
        <v>11630</v>
      </c>
    </row>
    <row r="5251" spans="1:41" s="18" customFormat="1" ht="15" customHeight="1" x14ac:dyDescent="0.3">
      <c r="A5251" s="207" t="s">
        <v>7397</v>
      </c>
      <c r="B5251" s="18" t="s">
        <v>7398</v>
      </c>
      <c r="C5251" s="208" t="s">
        <v>7589</v>
      </c>
      <c r="D5251" s="18" t="s">
        <v>7590</v>
      </c>
      <c r="E5251" s="208" t="s">
        <v>7591</v>
      </c>
      <c r="F5251" s="18" t="s">
        <v>7592</v>
      </c>
      <c r="G5251" s="156" t="s">
        <v>7706</v>
      </c>
      <c r="H5251" s="18" t="s">
        <v>7707</v>
      </c>
      <c r="K5251" s="156" t="s">
        <v>7708</v>
      </c>
      <c r="L5251" s="18" t="s">
        <v>7716</v>
      </c>
      <c r="M5251" s="18" t="s">
        <v>7717</v>
      </c>
      <c r="N5251" s="18">
        <v>79.400000000000006</v>
      </c>
      <c r="O5251" s="18">
        <v>100</v>
      </c>
      <c r="P5251" s="16">
        <v>109</v>
      </c>
      <c r="Q5251" s="16">
        <v>112</v>
      </c>
      <c r="R5251" s="16">
        <v>115</v>
      </c>
      <c r="S5251" s="16">
        <v>120</v>
      </c>
      <c r="T5251" s="18" t="s">
        <v>2571</v>
      </c>
      <c r="U5251" t="str">
        <f>VLOOKUP(T5251,[8]Votes!$A$1:$E$234,3,FALSE)</f>
        <v>122 Kampala Capital City Authority</v>
      </c>
      <c r="W5251" s="48"/>
      <c r="X5251" s="48"/>
      <c r="Y5251" s="48"/>
      <c r="Z5251" s="48"/>
      <c r="AA5251" s="48"/>
      <c r="AB5251" s="48"/>
      <c r="AC5251" s="150">
        <v>0</v>
      </c>
      <c r="AD5251" s="150">
        <v>0</v>
      </c>
      <c r="AE5251" s="49">
        <f t="shared" si="192"/>
        <v>0</v>
      </c>
      <c r="AF5251" s="17"/>
      <c r="AG5251" s="17">
        <v>0</v>
      </c>
      <c r="AH5251" s="17"/>
      <c r="AI5251" s="17"/>
      <c r="AJ5251" s="17"/>
      <c r="AK5251" s="154"/>
      <c r="AL5251" s="154"/>
      <c r="AM5251" s="147">
        <f t="shared" si="191"/>
        <v>0</v>
      </c>
      <c r="AN5251" s="18" t="s">
        <v>2571</v>
      </c>
      <c r="AO5251" s="18" t="s">
        <v>11630</v>
      </c>
    </row>
    <row r="5252" spans="1:41" s="14" customFormat="1" ht="15" customHeight="1" x14ac:dyDescent="0.3">
      <c r="A5252" s="207" t="s">
        <v>7397</v>
      </c>
      <c r="B5252" s="14" t="s">
        <v>7398</v>
      </c>
      <c r="C5252" s="208" t="s">
        <v>7589</v>
      </c>
      <c r="D5252" s="14" t="s">
        <v>7590</v>
      </c>
      <c r="E5252" s="208" t="s">
        <v>7591</v>
      </c>
      <c r="F5252" s="14" t="s">
        <v>7592</v>
      </c>
      <c r="G5252" s="386" t="s">
        <v>7706</v>
      </c>
      <c r="H5252" s="14" t="s">
        <v>7707</v>
      </c>
      <c r="K5252" s="386" t="s">
        <v>7708</v>
      </c>
      <c r="L5252" s="14" t="s">
        <v>7716</v>
      </c>
      <c r="M5252" s="14" t="s">
        <v>11648</v>
      </c>
      <c r="N5252" s="277">
        <v>0</v>
      </c>
      <c r="O5252" s="461">
        <v>43.4</v>
      </c>
      <c r="P5252" s="387">
        <v>110.1</v>
      </c>
      <c r="Q5252" s="387">
        <v>150.19999999999999</v>
      </c>
      <c r="R5252" s="387">
        <v>200.31</v>
      </c>
      <c r="S5252" s="387">
        <v>251.1</v>
      </c>
      <c r="T5252" s="159" t="s">
        <v>11629</v>
      </c>
      <c r="U5252" s="159" t="s">
        <v>11644</v>
      </c>
      <c r="V5252" s="14" t="s">
        <v>11649</v>
      </c>
      <c r="W5252" s="388">
        <v>1</v>
      </c>
      <c r="X5252" s="388">
        <v>1</v>
      </c>
      <c r="Y5252" s="388">
        <v>0</v>
      </c>
      <c r="Z5252" s="388">
        <v>1</v>
      </c>
      <c r="AA5252" s="388">
        <v>1</v>
      </c>
      <c r="AB5252" s="388">
        <v>1</v>
      </c>
      <c r="AC5252" s="389">
        <v>0</v>
      </c>
      <c r="AD5252" s="389">
        <v>1</v>
      </c>
      <c r="AE5252" s="390">
        <f t="shared" si="192"/>
        <v>0.75</v>
      </c>
      <c r="AF5252" s="23"/>
      <c r="AG5252" s="23"/>
      <c r="AH5252" s="23"/>
      <c r="AI5252" s="23"/>
      <c r="AJ5252" s="23"/>
      <c r="AK5252" s="153">
        <f>1.7/2</f>
        <v>0.85</v>
      </c>
      <c r="AL5252" s="153">
        <f>1.9/2</f>
        <v>0.95</v>
      </c>
      <c r="AM5252" s="147">
        <f t="shared" si="191"/>
        <v>1.7999999999999998</v>
      </c>
      <c r="AN5252" s="18" t="s">
        <v>11629</v>
      </c>
      <c r="AO5252" s="18" t="s">
        <v>11630</v>
      </c>
    </row>
    <row r="5253" spans="1:41" s="18" customFormat="1" ht="15" customHeight="1" x14ac:dyDescent="0.3">
      <c r="A5253" s="207" t="s">
        <v>7397</v>
      </c>
      <c r="B5253" s="18" t="s">
        <v>7398</v>
      </c>
      <c r="C5253" s="208" t="s">
        <v>7589</v>
      </c>
      <c r="D5253" s="18" t="s">
        <v>7590</v>
      </c>
      <c r="E5253" s="208" t="s">
        <v>7591</v>
      </c>
      <c r="F5253" s="18" t="s">
        <v>7592</v>
      </c>
      <c r="G5253" s="156" t="s">
        <v>7718</v>
      </c>
      <c r="H5253" s="18" t="s">
        <v>7719</v>
      </c>
      <c r="K5253" s="156" t="s">
        <v>7720</v>
      </c>
      <c r="L5253" s="18" t="s">
        <v>7721</v>
      </c>
      <c r="M5253" s="18" t="s">
        <v>7722</v>
      </c>
      <c r="N5253" s="18">
        <v>0</v>
      </c>
      <c r="O5253" s="18">
        <v>1</v>
      </c>
      <c r="P5253" s="16">
        <v>1</v>
      </c>
      <c r="Q5253" s="16">
        <v>1</v>
      </c>
      <c r="R5253" s="16">
        <v>1</v>
      </c>
      <c r="S5253" s="16">
        <v>1</v>
      </c>
      <c r="T5253" s="18" t="s">
        <v>921</v>
      </c>
      <c r="U5253" t="str">
        <f>VLOOKUP(T5253,[8]Votes!$A$1:$E$234,3,FALSE)</f>
        <v>008 Ministry of Finance, Planning &amp; Economic Dev.</v>
      </c>
      <c r="V5253" s="18" t="s">
        <v>7723</v>
      </c>
      <c r="W5253" s="48">
        <v>1</v>
      </c>
      <c r="X5253" s="48">
        <v>1</v>
      </c>
      <c r="Y5253" s="48">
        <v>0</v>
      </c>
      <c r="Z5253" s="48">
        <v>1</v>
      </c>
      <c r="AA5253" s="48">
        <v>1</v>
      </c>
      <c r="AB5253" s="48">
        <v>0</v>
      </c>
      <c r="AC5253" s="150">
        <v>0</v>
      </c>
      <c r="AD5253" s="150">
        <v>1</v>
      </c>
      <c r="AE5253" s="49">
        <f t="shared" si="192"/>
        <v>0.625</v>
      </c>
      <c r="AF5253" s="255"/>
      <c r="AG5253" s="17">
        <v>0</v>
      </c>
      <c r="AH5253" s="255">
        <v>0</v>
      </c>
      <c r="AI5253" s="255">
        <v>1.6384999999999998</v>
      </c>
      <c r="AJ5253" s="255">
        <v>0.72499999999999998</v>
      </c>
      <c r="AK5253" s="256">
        <f>0.725/2</f>
        <v>0.36249999999999999</v>
      </c>
      <c r="AL5253" s="256">
        <f>0.725/2</f>
        <v>0.36249999999999999</v>
      </c>
      <c r="AM5253" s="147">
        <f t="shared" si="191"/>
        <v>0.72499999999999998</v>
      </c>
      <c r="AN5253" s="18" t="s">
        <v>921</v>
      </c>
      <c r="AO5253" s="18" t="s">
        <v>880</v>
      </c>
    </row>
    <row r="5254" spans="1:41" s="18" customFormat="1" ht="15" customHeight="1" x14ac:dyDescent="0.3">
      <c r="A5254" s="207" t="s">
        <v>7397</v>
      </c>
      <c r="B5254" s="18" t="s">
        <v>7398</v>
      </c>
      <c r="C5254" s="208" t="s">
        <v>7589</v>
      </c>
      <c r="D5254" s="18" t="s">
        <v>7590</v>
      </c>
      <c r="E5254" s="208" t="s">
        <v>7591</v>
      </c>
      <c r="F5254" s="18" t="s">
        <v>7592</v>
      </c>
      <c r="G5254" s="156" t="s">
        <v>7718</v>
      </c>
      <c r="H5254" s="18" t="s">
        <v>7719</v>
      </c>
      <c r="K5254" s="156" t="s">
        <v>7724</v>
      </c>
      <c r="L5254" s="18" t="s">
        <v>7725</v>
      </c>
      <c r="M5254" s="18" t="s">
        <v>7726</v>
      </c>
      <c r="N5254" s="18">
        <v>0</v>
      </c>
      <c r="O5254" s="18">
        <v>0</v>
      </c>
      <c r="P5254" s="16">
        <v>1</v>
      </c>
      <c r="Q5254" s="16">
        <v>0</v>
      </c>
      <c r="R5254" s="16">
        <v>0</v>
      </c>
      <c r="S5254" s="16">
        <v>0</v>
      </c>
      <c r="T5254" s="18" t="s">
        <v>921</v>
      </c>
      <c r="U5254" t="str">
        <f>VLOOKUP(T5254,[8]Votes!$A$1:$E$234,3,FALSE)</f>
        <v>008 Ministry of Finance, Planning &amp; Economic Dev.</v>
      </c>
      <c r="W5254" s="48"/>
      <c r="X5254" s="48"/>
      <c r="Y5254" s="48"/>
      <c r="Z5254" s="48"/>
      <c r="AA5254" s="48"/>
      <c r="AB5254" s="48"/>
      <c r="AC5254" s="150">
        <v>0</v>
      </c>
      <c r="AD5254" s="150">
        <v>0</v>
      </c>
      <c r="AE5254" s="49">
        <f t="shared" si="192"/>
        <v>0</v>
      </c>
      <c r="AF5254" s="17"/>
      <c r="AG5254" s="17">
        <v>0</v>
      </c>
      <c r="AH5254" s="17"/>
      <c r="AI5254" s="17"/>
      <c r="AJ5254" s="17"/>
      <c r="AK5254" s="154"/>
      <c r="AL5254" s="154"/>
      <c r="AM5254" s="147">
        <f t="shared" si="191"/>
        <v>0</v>
      </c>
    </row>
    <row r="5255" spans="1:41" s="18" customFormat="1" x14ac:dyDescent="0.3">
      <c r="A5255" s="207" t="s">
        <v>7397</v>
      </c>
      <c r="B5255" s="18" t="s">
        <v>7398</v>
      </c>
      <c r="C5255" s="208" t="s">
        <v>7589</v>
      </c>
      <c r="D5255" s="18" t="s">
        <v>7590</v>
      </c>
      <c r="E5255" s="208" t="s">
        <v>7591</v>
      </c>
      <c r="F5255" s="18" t="s">
        <v>7592</v>
      </c>
      <c r="G5255" s="156" t="s">
        <v>7718</v>
      </c>
      <c r="H5255" s="18" t="s">
        <v>7719</v>
      </c>
      <c r="K5255" s="156" t="s">
        <v>7727</v>
      </c>
      <c r="L5255" s="18" t="s">
        <v>7728</v>
      </c>
      <c r="M5255" s="18" t="s">
        <v>7729</v>
      </c>
      <c r="N5255" s="18">
        <v>0</v>
      </c>
      <c r="O5255" s="14">
        <v>0</v>
      </c>
      <c r="P5255" s="16">
        <v>1</v>
      </c>
      <c r="Q5255" s="16">
        <v>0</v>
      </c>
      <c r="R5255" s="16">
        <v>0</v>
      </c>
      <c r="S5255" s="16">
        <v>0</v>
      </c>
      <c r="T5255" s="18" t="s">
        <v>921</v>
      </c>
      <c r="U5255" t="str">
        <f>VLOOKUP(T5255,[8]Votes!$A$1:$E$234,3,FALSE)</f>
        <v>008 Ministry of Finance, Planning &amp; Economic Dev.</v>
      </c>
      <c r="V5255" s="18" t="s">
        <v>7730</v>
      </c>
      <c r="W5255" s="48">
        <v>0</v>
      </c>
      <c r="X5255" s="48">
        <v>0</v>
      </c>
      <c r="Y5255" s="48">
        <v>0</v>
      </c>
      <c r="Z5255" s="48">
        <v>1</v>
      </c>
      <c r="AA5255" s="48">
        <v>1</v>
      </c>
      <c r="AB5255" s="48">
        <v>0</v>
      </c>
      <c r="AC5255" s="150">
        <v>1</v>
      </c>
      <c r="AD5255" s="150">
        <v>1</v>
      </c>
      <c r="AE5255" s="49">
        <f t="shared" si="192"/>
        <v>0.5</v>
      </c>
      <c r="AF5255" s="176"/>
      <c r="AG5255" s="17">
        <v>0</v>
      </c>
      <c r="AH5255" s="176">
        <v>0.9</v>
      </c>
      <c r="AI5255" s="176">
        <v>0.28999999999999998</v>
      </c>
      <c r="AJ5255" s="176">
        <v>0.15</v>
      </c>
      <c r="AK5255" s="177">
        <v>0</v>
      </c>
      <c r="AL5255" s="177">
        <v>0</v>
      </c>
      <c r="AM5255" s="147">
        <f t="shared" si="191"/>
        <v>0</v>
      </c>
      <c r="AN5255" s="18" t="s">
        <v>921</v>
      </c>
      <c r="AO5255" s="18" t="s">
        <v>880</v>
      </c>
    </row>
    <row r="5256" spans="1:41" s="18" customFormat="1" ht="15" customHeight="1" x14ac:dyDescent="0.3">
      <c r="A5256" s="207" t="s">
        <v>7397</v>
      </c>
      <c r="B5256" s="18" t="s">
        <v>7398</v>
      </c>
      <c r="C5256" s="208" t="s">
        <v>7589</v>
      </c>
      <c r="D5256" s="18" t="s">
        <v>7590</v>
      </c>
      <c r="E5256" s="208" t="s">
        <v>7591</v>
      </c>
      <c r="F5256" s="18" t="s">
        <v>7592</v>
      </c>
      <c r="G5256" s="156" t="s">
        <v>7718</v>
      </c>
      <c r="H5256" s="18" t="s">
        <v>7719</v>
      </c>
      <c r="K5256" s="156" t="s">
        <v>7731</v>
      </c>
      <c r="L5256" s="18" t="s">
        <v>7732</v>
      </c>
      <c r="M5256" s="18" t="s">
        <v>7733</v>
      </c>
      <c r="N5256" s="18">
        <v>0</v>
      </c>
      <c r="O5256" s="18">
        <v>1</v>
      </c>
      <c r="P5256" s="16">
        <v>1</v>
      </c>
      <c r="Q5256" s="16">
        <v>1</v>
      </c>
      <c r="R5256" s="16">
        <v>1</v>
      </c>
      <c r="S5256" s="16">
        <v>1</v>
      </c>
      <c r="T5256" s="18" t="s">
        <v>921</v>
      </c>
      <c r="U5256" t="str">
        <f>VLOOKUP(T5256,[8]Votes!$A$1:$E$234,3,FALSE)</f>
        <v>008 Ministry of Finance, Planning &amp; Economic Dev.</v>
      </c>
      <c r="V5256" s="18" t="s">
        <v>7734</v>
      </c>
      <c r="W5256" s="48">
        <v>1</v>
      </c>
      <c r="X5256" s="48">
        <v>1</v>
      </c>
      <c r="Y5256" s="48">
        <v>0</v>
      </c>
      <c r="Z5256" s="48">
        <v>1</v>
      </c>
      <c r="AA5256" s="48">
        <v>1</v>
      </c>
      <c r="AB5256" s="48">
        <v>1</v>
      </c>
      <c r="AC5256" s="150">
        <v>0</v>
      </c>
      <c r="AD5256" s="150">
        <v>1</v>
      </c>
      <c r="AE5256" s="49">
        <f t="shared" si="192"/>
        <v>0.75</v>
      </c>
      <c r="AF5256" s="176"/>
      <c r="AG5256" s="17">
        <v>0</v>
      </c>
      <c r="AH5256" s="176">
        <v>0.42</v>
      </c>
      <c r="AI5256" s="176">
        <v>0.28999999999999998</v>
      </c>
      <c r="AJ5256" s="176">
        <v>0.15</v>
      </c>
      <c r="AK5256" s="177">
        <f>9/2</f>
        <v>4.5</v>
      </c>
      <c r="AL5256" s="177">
        <f>9/2</f>
        <v>4.5</v>
      </c>
      <c r="AM5256" s="147">
        <f t="shared" si="191"/>
        <v>9</v>
      </c>
      <c r="AN5256" s="18" t="s">
        <v>921</v>
      </c>
      <c r="AO5256" s="18" t="s">
        <v>880</v>
      </c>
    </row>
    <row r="5257" spans="1:41" s="18" customFormat="1" x14ac:dyDescent="0.3">
      <c r="A5257" s="207" t="s">
        <v>7397</v>
      </c>
      <c r="B5257" s="18" t="s">
        <v>7398</v>
      </c>
      <c r="C5257" s="208" t="s">
        <v>7589</v>
      </c>
      <c r="D5257" s="18" t="s">
        <v>7590</v>
      </c>
      <c r="E5257" s="208" t="s">
        <v>7591</v>
      </c>
      <c r="F5257" s="18" t="s">
        <v>7592</v>
      </c>
      <c r="G5257" s="156" t="s">
        <v>7718</v>
      </c>
      <c r="H5257" s="18" t="s">
        <v>7719</v>
      </c>
      <c r="K5257" s="156" t="s">
        <v>7735</v>
      </c>
      <c r="L5257" s="18" t="s">
        <v>7736</v>
      </c>
      <c r="M5257" s="18" t="s">
        <v>7736</v>
      </c>
      <c r="N5257" s="18">
        <v>0</v>
      </c>
      <c r="O5257" s="18">
        <v>0</v>
      </c>
      <c r="P5257" s="16">
        <v>1</v>
      </c>
      <c r="Q5257" s="16">
        <v>0</v>
      </c>
      <c r="R5257" s="16">
        <v>0</v>
      </c>
      <c r="S5257" s="16">
        <v>0</v>
      </c>
      <c r="T5257" s="18" t="s">
        <v>921</v>
      </c>
      <c r="U5257" t="str">
        <f>VLOOKUP(T5257,[8]Votes!$A$1:$E$234,3,FALSE)</f>
        <v>008 Ministry of Finance, Planning &amp; Economic Dev.</v>
      </c>
      <c r="V5257" s="18" t="s">
        <v>7737</v>
      </c>
      <c r="W5257" s="48">
        <v>1</v>
      </c>
      <c r="X5257" s="48">
        <v>0</v>
      </c>
      <c r="Y5257" s="48">
        <v>0</v>
      </c>
      <c r="Z5257" s="48">
        <v>1</v>
      </c>
      <c r="AA5257" s="48">
        <v>1</v>
      </c>
      <c r="AB5257" s="48">
        <v>0</v>
      </c>
      <c r="AC5257" s="150">
        <v>0</v>
      </c>
      <c r="AD5257" s="150">
        <v>1</v>
      </c>
      <c r="AE5257" s="49">
        <f t="shared" si="192"/>
        <v>0.5</v>
      </c>
      <c r="AF5257" s="176"/>
      <c r="AG5257" s="17">
        <v>0</v>
      </c>
      <c r="AH5257" s="176">
        <v>0.28999999999999998</v>
      </c>
      <c r="AI5257" s="176">
        <v>0.33</v>
      </c>
      <c r="AJ5257" s="176">
        <v>0.19</v>
      </c>
      <c r="AK5257" s="177">
        <v>0</v>
      </c>
      <c r="AL5257" s="177">
        <v>0</v>
      </c>
      <c r="AM5257" s="147">
        <f t="shared" si="191"/>
        <v>0</v>
      </c>
      <c r="AN5257" s="18" t="s">
        <v>921</v>
      </c>
      <c r="AO5257" s="18" t="s">
        <v>880</v>
      </c>
    </row>
    <row r="5258" spans="1:41" s="18" customFormat="1" ht="15" customHeight="1" x14ac:dyDescent="0.3">
      <c r="A5258" s="207" t="s">
        <v>7397</v>
      </c>
      <c r="B5258" s="18" t="s">
        <v>7398</v>
      </c>
      <c r="C5258" s="208" t="s">
        <v>7589</v>
      </c>
      <c r="D5258" s="18" t="s">
        <v>7590</v>
      </c>
      <c r="E5258" s="208" t="s">
        <v>7591</v>
      </c>
      <c r="F5258" s="18" t="s">
        <v>7592</v>
      </c>
      <c r="G5258" s="156" t="s">
        <v>7738</v>
      </c>
      <c r="H5258" s="18" t="s">
        <v>7739</v>
      </c>
      <c r="K5258" s="156" t="s">
        <v>7740</v>
      </c>
      <c r="L5258" s="18" t="s">
        <v>7741</v>
      </c>
      <c r="M5258" s="18" t="s">
        <v>7742</v>
      </c>
      <c r="N5258" s="18">
        <v>0</v>
      </c>
      <c r="O5258" s="18">
        <v>70</v>
      </c>
      <c r="P5258" s="16">
        <v>80</v>
      </c>
      <c r="Q5258" s="16">
        <v>90</v>
      </c>
      <c r="R5258" s="16">
        <v>95</v>
      </c>
      <c r="S5258" s="16">
        <v>100</v>
      </c>
      <c r="T5258" s="18" t="s">
        <v>921</v>
      </c>
      <c r="U5258" t="str">
        <f>VLOOKUP(T5258,[8]Votes!$A$1:$E$234,3,FALSE)</f>
        <v>008 Ministry of Finance, Planning &amp; Economic Dev.</v>
      </c>
      <c r="V5258" s="18" t="s">
        <v>7743</v>
      </c>
      <c r="W5258" s="48">
        <v>1</v>
      </c>
      <c r="X5258" s="48">
        <v>1</v>
      </c>
      <c r="Y5258" s="48">
        <v>0</v>
      </c>
      <c r="Z5258" s="48">
        <v>1</v>
      </c>
      <c r="AA5258" s="48">
        <v>1</v>
      </c>
      <c r="AB5258" s="48">
        <v>0</v>
      </c>
      <c r="AC5258" s="150">
        <v>0</v>
      </c>
      <c r="AD5258" s="150">
        <v>1</v>
      </c>
      <c r="AE5258" s="49">
        <f t="shared" si="192"/>
        <v>0.625</v>
      </c>
      <c r="AF5258" s="176"/>
      <c r="AG5258" s="17">
        <v>0</v>
      </c>
      <c r="AH5258" s="176">
        <v>2.3199999999999998</v>
      </c>
      <c r="AI5258" s="176">
        <v>0.73</v>
      </c>
      <c r="AJ5258" s="176">
        <v>0.73</v>
      </c>
      <c r="AK5258" s="177">
        <f>1.8/2</f>
        <v>0.9</v>
      </c>
      <c r="AL5258" s="177">
        <f>1.2/2</f>
        <v>0.6</v>
      </c>
      <c r="AM5258" s="147">
        <f t="shared" si="191"/>
        <v>1.5</v>
      </c>
      <c r="AN5258" s="18" t="s">
        <v>921</v>
      </c>
      <c r="AO5258" s="18" t="s">
        <v>880</v>
      </c>
    </row>
    <row r="5259" spans="1:41" s="18" customFormat="1" ht="15" customHeight="1" x14ac:dyDescent="0.3">
      <c r="A5259" s="207" t="s">
        <v>7397</v>
      </c>
      <c r="B5259" s="18" t="s">
        <v>7398</v>
      </c>
      <c r="C5259" s="208" t="s">
        <v>7589</v>
      </c>
      <c r="D5259" s="18" t="s">
        <v>7590</v>
      </c>
      <c r="E5259" s="208" t="s">
        <v>7591</v>
      </c>
      <c r="F5259" s="18" t="s">
        <v>7592</v>
      </c>
      <c r="G5259" s="156" t="s">
        <v>7744</v>
      </c>
      <c r="H5259" s="18" t="s">
        <v>7745</v>
      </c>
      <c r="K5259" s="156" t="s">
        <v>7746</v>
      </c>
      <c r="L5259" s="18" t="s">
        <v>7649</v>
      </c>
      <c r="M5259" s="18" t="s">
        <v>7747</v>
      </c>
      <c r="N5259" s="18">
        <v>0</v>
      </c>
      <c r="O5259" s="18">
        <v>100</v>
      </c>
      <c r="P5259" s="16">
        <v>100</v>
      </c>
      <c r="Q5259" s="16">
        <v>100</v>
      </c>
      <c r="R5259" s="16">
        <v>100</v>
      </c>
      <c r="S5259" s="16">
        <v>100</v>
      </c>
      <c r="T5259" s="18" t="s">
        <v>921</v>
      </c>
      <c r="U5259" t="str">
        <f>VLOOKUP(T5259,[8]Votes!$A$1:$E$234,3,FALSE)</f>
        <v>008 Ministry of Finance, Planning &amp; Economic Dev.</v>
      </c>
      <c r="V5259" s="18" t="s">
        <v>7748</v>
      </c>
      <c r="W5259" s="48">
        <v>1</v>
      </c>
      <c r="X5259" s="48">
        <v>1</v>
      </c>
      <c r="Y5259" s="48">
        <v>0</v>
      </c>
      <c r="Z5259" s="48">
        <v>1</v>
      </c>
      <c r="AA5259" s="48">
        <v>1</v>
      </c>
      <c r="AB5259" s="48">
        <v>1</v>
      </c>
      <c r="AC5259" s="150">
        <v>1</v>
      </c>
      <c r="AD5259" s="150">
        <v>1</v>
      </c>
      <c r="AE5259" s="49">
        <f t="shared" si="192"/>
        <v>0.875</v>
      </c>
      <c r="AF5259" s="176"/>
      <c r="AG5259" s="17">
        <v>0</v>
      </c>
      <c r="AH5259" s="176">
        <v>0.12</v>
      </c>
      <c r="AI5259" s="176">
        <v>0.12</v>
      </c>
      <c r="AJ5259" s="176">
        <v>0.12</v>
      </c>
      <c r="AK5259" s="177">
        <f>0.05/2</f>
        <v>2.5000000000000001E-2</v>
      </c>
      <c r="AL5259" s="177">
        <f>0.05/2</f>
        <v>2.5000000000000001E-2</v>
      </c>
      <c r="AM5259" s="147">
        <f t="shared" si="191"/>
        <v>0.05</v>
      </c>
      <c r="AN5259" s="18" t="s">
        <v>921</v>
      </c>
      <c r="AO5259" s="18" t="s">
        <v>880</v>
      </c>
    </row>
    <row r="5260" spans="1:41" s="18" customFormat="1" ht="15" customHeight="1" x14ac:dyDescent="0.3">
      <c r="A5260" s="207" t="s">
        <v>7397</v>
      </c>
      <c r="B5260" s="18" t="s">
        <v>7398</v>
      </c>
      <c r="C5260" s="208" t="s">
        <v>7589</v>
      </c>
      <c r="D5260" s="18" t="s">
        <v>7590</v>
      </c>
      <c r="E5260" s="208" t="s">
        <v>7591</v>
      </c>
      <c r="F5260" s="18" t="s">
        <v>7592</v>
      </c>
      <c r="G5260" s="156" t="s">
        <v>7744</v>
      </c>
      <c r="H5260" s="18" t="s">
        <v>7745</v>
      </c>
      <c r="K5260" s="156" t="s">
        <v>7746</v>
      </c>
      <c r="L5260" s="18" t="s">
        <v>7649</v>
      </c>
      <c r="M5260" s="18" t="s">
        <v>7749</v>
      </c>
      <c r="N5260" s="18">
        <v>0</v>
      </c>
      <c r="O5260" s="18">
        <v>1</v>
      </c>
      <c r="P5260" s="16">
        <v>1</v>
      </c>
      <c r="Q5260" s="16">
        <v>1</v>
      </c>
      <c r="R5260" s="16">
        <v>1</v>
      </c>
      <c r="S5260" s="16">
        <v>1</v>
      </c>
      <c r="T5260" s="18" t="s">
        <v>921</v>
      </c>
      <c r="U5260" t="str">
        <f>VLOOKUP(T5260,[8]Votes!$A$1:$E$234,3,FALSE)</f>
        <v>008 Ministry of Finance, Planning &amp; Economic Dev.</v>
      </c>
      <c r="V5260" s="18" t="s">
        <v>7750</v>
      </c>
      <c r="W5260" s="48">
        <v>1</v>
      </c>
      <c r="X5260" s="48">
        <v>1</v>
      </c>
      <c r="Y5260" s="48">
        <v>0</v>
      </c>
      <c r="Z5260" s="48">
        <v>1</v>
      </c>
      <c r="AA5260" s="48"/>
      <c r="AB5260" s="48">
        <v>1</v>
      </c>
      <c r="AC5260" s="150">
        <v>0</v>
      </c>
      <c r="AD5260" s="150">
        <v>1</v>
      </c>
      <c r="AE5260" s="49">
        <f t="shared" si="192"/>
        <v>0.625</v>
      </c>
      <c r="AF5260" s="176"/>
      <c r="AG5260" s="17">
        <v>0</v>
      </c>
      <c r="AH5260" s="176">
        <v>7.0000000000000007E-2</v>
      </c>
      <c r="AI5260" s="176">
        <v>7.0000000000000007E-2</v>
      </c>
      <c r="AJ5260" s="176">
        <v>7.0000000000000007E-2</v>
      </c>
      <c r="AK5260" s="177">
        <v>0</v>
      </c>
      <c r="AL5260" s="177">
        <v>0</v>
      </c>
      <c r="AM5260" s="147">
        <f t="shared" si="191"/>
        <v>0</v>
      </c>
      <c r="AN5260" s="18" t="s">
        <v>921</v>
      </c>
      <c r="AO5260" s="18" t="s">
        <v>880</v>
      </c>
    </row>
    <row r="5261" spans="1:41" s="18" customFormat="1" ht="15" customHeight="1" x14ac:dyDescent="0.3">
      <c r="A5261" s="207" t="s">
        <v>7397</v>
      </c>
      <c r="B5261" s="18" t="s">
        <v>7398</v>
      </c>
      <c r="C5261" s="208" t="s">
        <v>7589</v>
      </c>
      <c r="D5261" s="18" t="s">
        <v>7590</v>
      </c>
      <c r="E5261" s="208" t="s">
        <v>7591</v>
      </c>
      <c r="F5261" s="18" t="s">
        <v>7592</v>
      </c>
      <c r="G5261" s="156" t="s">
        <v>7744</v>
      </c>
      <c r="H5261" s="18" t="s">
        <v>7745</v>
      </c>
      <c r="K5261" s="156" t="s">
        <v>7754</v>
      </c>
      <c r="L5261" s="18" t="s">
        <v>7755</v>
      </c>
      <c r="M5261" s="18" t="s">
        <v>7756</v>
      </c>
      <c r="N5261" s="18">
        <v>0</v>
      </c>
      <c r="O5261" s="18">
        <v>1</v>
      </c>
      <c r="P5261" s="16">
        <v>1</v>
      </c>
      <c r="Q5261" s="16">
        <v>1</v>
      </c>
      <c r="R5261" s="16">
        <v>1</v>
      </c>
      <c r="S5261" s="16">
        <v>1</v>
      </c>
      <c r="T5261" s="18" t="s">
        <v>921</v>
      </c>
      <c r="U5261" t="str">
        <f>VLOOKUP(T5261,[8]Votes!$A$1:$E$234,3,FALSE)</f>
        <v>008 Ministry of Finance, Planning &amp; Economic Dev.</v>
      </c>
      <c r="V5261" s="18" t="s">
        <v>7757</v>
      </c>
      <c r="W5261" s="48">
        <v>1</v>
      </c>
      <c r="X5261" s="48">
        <v>1</v>
      </c>
      <c r="Y5261" s="48">
        <v>0</v>
      </c>
      <c r="Z5261" s="48">
        <v>1</v>
      </c>
      <c r="AA5261" s="48">
        <v>1</v>
      </c>
      <c r="AB5261" s="48">
        <v>1</v>
      </c>
      <c r="AC5261" s="150">
        <v>0</v>
      </c>
      <c r="AD5261" s="150">
        <v>1</v>
      </c>
      <c r="AE5261" s="49">
        <f t="shared" si="192"/>
        <v>0.75</v>
      </c>
      <c r="AF5261" s="176"/>
      <c r="AG5261" s="17">
        <v>0</v>
      </c>
      <c r="AH5261" s="176">
        <v>1.45</v>
      </c>
      <c r="AI5261" s="176">
        <v>1.31</v>
      </c>
      <c r="AJ5261" s="176">
        <v>1.02</v>
      </c>
      <c r="AK5261" s="177">
        <f>1.02/2</f>
        <v>0.51</v>
      </c>
      <c r="AL5261" s="177">
        <f>1.02/2</f>
        <v>0.51</v>
      </c>
      <c r="AM5261" s="147">
        <f t="shared" si="191"/>
        <v>1.02</v>
      </c>
      <c r="AN5261" s="18" t="s">
        <v>921</v>
      </c>
      <c r="AO5261" s="18" t="s">
        <v>880</v>
      </c>
    </row>
    <row r="5262" spans="1:41" s="18" customFormat="1" ht="15" customHeight="1" x14ac:dyDescent="0.3">
      <c r="A5262" s="207" t="s">
        <v>7397</v>
      </c>
      <c r="B5262" s="18" t="s">
        <v>7398</v>
      </c>
      <c r="C5262" s="208" t="s">
        <v>7589</v>
      </c>
      <c r="D5262" s="18" t="s">
        <v>7590</v>
      </c>
      <c r="E5262" s="208" t="s">
        <v>7591</v>
      </c>
      <c r="F5262" s="18" t="s">
        <v>7592</v>
      </c>
      <c r="G5262" s="156" t="s">
        <v>7744</v>
      </c>
      <c r="H5262" s="18" t="s">
        <v>7745</v>
      </c>
      <c r="K5262" s="156" t="s">
        <v>7754</v>
      </c>
      <c r="L5262" s="18" t="s">
        <v>7755</v>
      </c>
      <c r="M5262" s="18" t="s">
        <v>7758</v>
      </c>
      <c r="N5262" s="18">
        <v>0</v>
      </c>
      <c r="O5262" s="18">
        <v>0</v>
      </c>
      <c r="P5262" s="16">
        <v>0</v>
      </c>
      <c r="Q5262" s="16">
        <v>0</v>
      </c>
      <c r="R5262" s="16">
        <v>0</v>
      </c>
      <c r="S5262" s="16">
        <v>0</v>
      </c>
      <c r="T5262" s="18" t="s">
        <v>921</v>
      </c>
      <c r="U5262" t="str">
        <f>VLOOKUP(T5262,[8]Votes!$A$1:$E$234,3,FALSE)</f>
        <v>008 Ministry of Finance, Planning &amp; Economic Dev.</v>
      </c>
      <c r="V5262" s="18" t="s">
        <v>7759</v>
      </c>
      <c r="W5262" s="48">
        <v>1</v>
      </c>
      <c r="X5262" s="48">
        <v>1</v>
      </c>
      <c r="Y5262" s="48">
        <v>0</v>
      </c>
      <c r="Z5262" s="48">
        <v>1</v>
      </c>
      <c r="AA5262" s="48">
        <v>1</v>
      </c>
      <c r="AB5262" s="48">
        <v>1</v>
      </c>
      <c r="AC5262" s="150">
        <v>0</v>
      </c>
      <c r="AD5262" s="150">
        <v>1</v>
      </c>
      <c r="AE5262" s="49">
        <f t="shared" si="192"/>
        <v>0.75</v>
      </c>
      <c r="AF5262" s="176"/>
      <c r="AG5262" s="17">
        <v>0</v>
      </c>
      <c r="AH5262" s="176">
        <v>7.0000000000000007E-2</v>
      </c>
      <c r="AI5262" s="176">
        <v>7.0000000000000007E-2</v>
      </c>
      <c r="AJ5262" s="176">
        <v>7.0000000000000007E-2</v>
      </c>
      <c r="AK5262" s="177">
        <f>1/2</f>
        <v>0.5</v>
      </c>
      <c r="AL5262" s="177">
        <f>1/2</f>
        <v>0.5</v>
      </c>
      <c r="AM5262" s="147">
        <f t="shared" si="191"/>
        <v>1</v>
      </c>
      <c r="AN5262" s="18" t="s">
        <v>921</v>
      </c>
      <c r="AO5262" s="18" t="s">
        <v>880</v>
      </c>
    </row>
    <row r="5263" spans="1:41" s="18" customFormat="1" ht="15" customHeight="1" x14ac:dyDescent="0.3">
      <c r="A5263" s="207" t="s">
        <v>7397</v>
      </c>
      <c r="B5263" s="18" t="s">
        <v>7398</v>
      </c>
      <c r="C5263" s="208" t="s">
        <v>7589</v>
      </c>
      <c r="D5263" s="18" t="s">
        <v>7590</v>
      </c>
      <c r="E5263" s="208" t="s">
        <v>7591</v>
      </c>
      <c r="F5263" s="18" t="s">
        <v>7592</v>
      </c>
      <c r="G5263" s="156" t="s">
        <v>7744</v>
      </c>
      <c r="H5263" s="18" t="s">
        <v>7745</v>
      </c>
      <c r="K5263" s="156" t="s">
        <v>7754</v>
      </c>
      <c r="L5263" s="18" t="s">
        <v>7755</v>
      </c>
      <c r="P5263" s="16"/>
      <c r="Q5263" s="16"/>
      <c r="R5263" s="16"/>
      <c r="S5263" s="16"/>
      <c r="T5263" s="18" t="s">
        <v>921</v>
      </c>
      <c r="U5263" t="str">
        <f>VLOOKUP(T5263,[8]Votes!$A$1:$E$234,3,FALSE)</f>
        <v>008 Ministry of Finance, Planning &amp; Economic Dev.</v>
      </c>
      <c r="V5263" s="18" t="s">
        <v>7760</v>
      </c>
      <c r="W5263" s="48">
        <v>1</v>
      </c>
      <c r="X5263" s="48">
        <v>0</v>
      </c>
      <c r="Y5263" s="48">
        <v>0</v>
      </c>
      <c r="Z5263" s="48">
        <v>1</v>
      </c>
      <c r="AA5263" s="48">
        <v>1</v>
      </c>
      <c r="AB5263" s="48">
        <v>1</v>
      </c>
      <c r="AC5263" s="150">
        <v>0</v>
      </c>
      <c r="AD5263" s="150">
        <v>1</v>
      </c>
      <c r="AE5263" s="49">
        <f t="shared" si="192"/>
        <v>0.625</v>
      </c>
      <c r="AF5263" s="176"/>
      <c r="AG5263" s="17">
        <v>0</v>
      </c>
      <c r="AH5263" s="176">
        <v>2.3199999999999998</v>
      </c>
      <c r="AI5263" s="176">
        <v>0.73</v>
      </c>
      <c r="AJ5263" s="176">
        <v>0.73</v>
      </c>
      <c r="AK5263" s="177">
        <f>0.73/4</f>
        <v>0.1825</v>
      </c>
      <c r="AL5263" s="177">
        <f>0.73/4</f>
        <v>0.1825</v>
      </c>
      <c r="AM5263" s="147">
        <f t="shared" si="191"/>
        <v>0.36499999999999999</v>
      </c>
      <c r="AN5263" s="18" t="s">
        <v>921</v>
      </c>
      <c r="AO5263" s="18" t="s">
        <v>880</v>
      </c>
    </row>
    <row r="5264" spans="1:41" s="18" customFormat="1" x14ac:dyDescent="0.3">
      <c r="A5264" s="207" t="s">
        <v>7397</v>
      </c>
      <c r="B5264" s="18" t="s">
        <v>7398</v>
      </c>
      <c r="C5264" s="208" t="s">
        <v>7589</v>
      </c>
      <c r="D5264" s="18" t="s">
        <v>7590</v>
      </c>
      <c r="E5264" s="208" t="s">
        <v>7591</v>
      </c>
      <c r="F5264" s="18" t="s">
        <v>7592</v>
      </c>
      <c r="G5264" s="156" t="s">
        <v>7761</v>
      </c>
      <c r="H5264" s="18" t="s">
        <v>7762</v>
      </c>
      <c r="K5264" s="156" t="s">
        <v>7763</v>
      </c>
      <c r="L5264" s="18" t="s">
        <v>7764</v>
      </c>
      <c r="M5264" s="18" t="s">
        <v>7765</v>
      </c>
      <c r="N5264" s="18">
        <v>0</v>
      </c>
      <c r="O5264" s="18">
        <v>7.5</v>
      </c>
      <c r="P5264" s="16">
        <v>6</v>
      </c>
      <c r="Q5264" s="16" t="s">
        <v>7766</v>
      </c>
      <c r="R5264" s="16">
        <v>3</v>
      </c>
      <c r="S5264" s="16" t="s">
        <v>7767</v>
      </c>
      <c r="T5264" s="18" t="s">
        <v>921</v>
      </c>
      <c r="U5264" t="str">
        <f>VLOOKUP(T5264,[8]Votes!$A$1:$E$234,3,FALSE)</f>
        <v>008 Ministry of Finance, Planning &amp; Economic Dev.</v>
      </c>
      <c r="V5264" s="18" t="s">
        <v>7768</v>
      </c>
      <c r="W5264" s="48">
        <v>1</v>
      </c>
      <c r="X5264" s="48">
        <v>1</v>
      </c>
      <c r="Y5264" s="48">
        <v>0</v>
      </c>
      <c r="Z5264" s="48">
        <v>1</v>
      </c>
      <c r="AA5264" s="48">
        <v>0</v>
      </c>
      <c r="AB5264" s="48">
        <v>0</v>
      </c>
      <c r="AC5264" s="150">
        <v>0</v>
      </c>
      <c r="AD5264" s="150">
        <v>1</v>
      </c>
      <c r="AE5264" s="49">
        <f t="shared" si="192"/>
        <v>0.5</v>
      </c>
      <c r="AF5264" s="176"/>
      <c r="AG5264" s="17">
        <v>0</v>
      </c>
      <c r="AH5264" s="176">
        <v>0</v>
      </c>
      <c r="AI5264" s="176">
        <v>0</v>
      </c>
      <c r="AJ5264" s="176">
        <v>0</v>
      </c>
      <c r="AK5264" s="177">
        <v>0</v>
      </c>
      <c r="AL5264" s="177">
        <v>0</v>
      </c>
      <c r="AM5264" s="147">
        <f t="shared" si="191"/>
        <v>0</v>
      </c>
      <c r="AN5264" s="18" t="s">
        <v>921</v>
      </c>
      <c r="AO5264" s="18" t="s">
        <v>880</v>
      </c>
    </row>
    <row r="5265" spans="1:41" s="18" customFormat="1" ht="15" customHeight="1" x14ac:dyDescent="0.3">
      <c r="A5265" s="207" t="s">
        <v>7397</v>
      </c>
      <c r="B5265" s="18" t="s">
        <v>7398</v>
      </c>
      <c r="C5265" s="208" t="s">
        <v>7589</v>
      </c>
      <c r="D5265" s="18" t="s">
        <v>7590</v>
      </c>
      <c r="E5265" s="208" t="s">
        <v>7591</v>
      </c>
      <c r="F5265" s="18" t="s">
        <v>7592</v>
      </c>
      <c r="G5265" s="156" t="s">
        <v>7769</v>
      </c>
      <c r="H5265" s="18" t="s">
        <v>7770</v>
      </c>
      <c r="K5265" s="156" t="s">
        <v>7771</v>
      </c>
      <c r="L5265" s="18" t="s">
        <v>7772</v>
      </c>
      <c r="M5265" s="18" t="s">
        <v>7773</v>
      </c>
      <c r="N5265" s="18">
        <v>0</v>
      </c>
      <c r="O5265" s="18">
        <v>0</v>
      </c>
      <c r="P5265" s="16">
        <v>1</v>
      </c>
      <c r="Q5265" s="16">
        <v>1</v>
      </c>
      <c r="R5265" s="16">
        <v>1</v>
      </c>
      <c r="S5265" s="16">
        <v>1</v>
      </c>
      <c r="T5265" s="18" t="s">
        <v>921</v>
      </c>
      <c r="U5265" t="str">
        <f>VLOOKUP(T5265,[8]Votes!$A$1:$E$234,3,FALSE)</f>
        <v>008 Ministry of Finance, Planning &amp; Economic Dev.</v>
      </c>
      <c r="V5265" s="18" t="s">
        <v>7774</v>
      </c>
      <c r="W5265" s="48">
        <v>1</v>
      </c>
      <c r="X5265" s="48">
        <v>1</v>
      </c>
      <c r="Y5265" s="48">
        <v>0</v>
      </c>
      <c r="Z5265" s="48">
        <v>1</v>
      </c>
      <c r="AA5265" s="48">
        <v>1</v>
      </c>
      <c r="AB5265" s="48">
        <v>1</v>
      </c>
      <c r="AC5265" s="150">
        <v>1</v>
      </c>
      <c r="AD5265" s="150">
        <v>1</v>
      </c>
      <c r="AE5265" s="49">
        <f t="shared" si="192"/>
        <v>0.875</v>
      </c>
      <c r="AF5265" s="255"/>
      <c r="AG5265" s="17">
        <v>0</v>
      </c>
      <c r="AH5265" s="255">
        <v>2.3199999999999998</v>
      </c>
      <c r="AI5265" s="255">
        <v>1.45</v>
      </c>
      <c r="AJ5265" s="255">
        <v>0.72499999999999998</v>
      </c>
      <c r="AK5265" s="256">
        <f>1/2</f>
        <v>0.5</v>
      </c>
      <c r="AL5265" s="256">
        <f>1/2</f>
        <v>0.5</v>
      </c>
      <c r="AM5265" s="147">
        <f t="shared" si="191"/>
        <v>1</v>
      </c>
      <c r="AN5265" s="18" t="s">
        <v>921</v>
      </c>
      <c r="AO5265" s="18" t="s">
        <v>880</v>
      </c>
    </row>
    <row r="5266" spans="1:41" s="18" customFormat="1" ht="15" customHeight="1" x14ac:dyDescent="0.3">
      <c r="A5266" s="207" t="s">
        <v>7397</v>
      </c>
      <c r="B5266" s="18" t="s">
        <v>7398</v>
      </c>
      <c r="C5266" s="208" t="s">
        <v>7589</v>
      </c>
      <c r="D5266" s="18" t="s">
        <v>7590</v>
      </c>
      <c r="E5266" s="208" t="s">
        <v>7591</v>
      </c>
      <c r="F5266" s="18" t="s">
        <v>7592</v>
      </c>
      <c r="G5266" s="156" t="s">
        <v>7775</v>
      </c>
      <c r="H5266" s="18" t="s">
        <v>7776</v>
      </c>
      <c r="K5266" s="156" t="s">
        <v>7777</v>
      </c>
      <c r="L5266" s="18" t="s">
        <v>7778</v>
      </c>
      <c r="M5266" s="18" t="s">
        <v>7779</v>
      </c>
      <c r="N5266" s="18">
        <v>0</v>
      </c>
      <c r="O5266" s="18">
        <v>0</v>
      </c>
      <c r="P5266" s="16">
        <v>1</v>
      </c>
      <c r="Q5266" s="16">
        <v>0</v>
      </c>
      <c r="R5266" s="16">
        <v>0</v>
      </c>
      <c r="S5266" s="16">
        <v>0</v>
      </c>
      <c r="T5266" s="18" t="s">
        <v>921</v>
      </c>
      <c r="U5266" t="str">
        <f>VLOOKUP(T5266,[8]Votes!$A$1:$E$234,3,FALSE)</f>
        <v>008 Ministry of Finance, Planning &amp; Economic Dev.</v>
      </c>
      <c r="V5266" s="18" t="s">
        <v>7780</v>
      </c>
      <c r="W5266" s="48">
        <v>1</v>
      </c>
      <c r="X5266" s="48">
        <v>1</v>
      </c>
      <c r="Y5266" s="48">
        <v>0</v>
      </c>
      <c r="Z5266" s="48">
        <v>1</v>
      </c>
      <c r="AA5266" s="48">
        <v>1</v>
      </c>
      <c r="AB5266" s="48">
        <v>0</v>
      </c>
      <c r="AC5266" s="150">
        <v>1</v>
      </c>
      <c r="AD5266" s="150">
        <v>1</v>
      </c>
      <c r="AE5266" s="49">
        <f t="shared" si="192"/>
        <v>0.75</v>
      </c>
      <c r="AF5266" s="255"/>
      <c r="AG5266" s="17">
        <v>0</v>
      </c>
      <c r="AH5266" s="255">
        <v>0</v>
      </c>
      <c r="AI5266" s="255">
        <v>0</v>
      </c>
      <c r="AJ5266" s="255">
        <v>0</v>
      </c>
      <c r="AK5266" s="256">
        <f>0.5/2</f>
        <v>0.25</v>
      </c>
      <c r="AL5266" s="256">
        <f>0.5/2</f>
        <v>0.25</v>
      </c>
      <c r="AM5266" s="147">
        <f t="shared" si="191"/>
        <v>0.5</v>
      </c>
      <c r="AN5266" s="18" t="s">
        <v>921</v>
      </c>
      <c r="AO5266" s="18" t="s">
        <v>880</v>
      </c>
    </row>
    <row r="5267" spans="1:41" s="18" customFormat="1" ht="15" customHeight="1" x14ac:dyDescent="0.3">
      <c r="A5267" s="207" t="s">
        <v>7397</v>
      </c>
      <c r="B5267" s="18" t="s">
        <v>7398</v>
      </c>
      <c r="C5267" s="208" t="s">
        <v>7589</v>
      </c>
      <c r="D5267" s="18" t="s">
        <v>7590</v>
      </c>
      <c r="E5267" s="208" t="s">
        <v>7591</v>
      </c>
      <c r="F5267" s="18" t="s">
        <v>7592</v>
      </c>
      <c r="G5267" s="156" t="s">
        <v>7775</v>
      </c>
      <c r="H5267" s="18" t="s">
        <v>7776</v>
      </c>
      <c r="K5267" s="156" t="s">
        <v>7777</v>
      </c>
      <c r="L5267" s="18" t="s">
        <v>7778</v>
      </c>
      <c r="M5267" s="18" t="s">
        <v>7781</v>
      </c>
      <c r="N5267" s="18">
        <v>0</v>
      </c>
      <c r="O5267" s="18">
        <v>0</v>
      </c>
      <c r="P5267" s="16">
        <v>0</v>
      </c>
      <c r="Q5267" s="16">
        <v>40</v>
      </c>
      <c r="R5267" s="16">
        <v>75</v>
      </c>
      <c r="S5267" s="16">
        <v>95</v>
      </c>
      <c r="T5267" s="18" t="s">
        <v>921</v>
      </c>
      <c r="U5267" t="str">
        <f>VLOOKUP(T5267,[8]Votes!$A$1:$E$234,3,FALSE)</f>
        <v>008 Ministry of Finance, Planning &amp; Economic Dev.</v>
      </c>
      <c r="V5267" s="18" t="s">
        <v>7782</v>
      </c>
      <c r="W5267" s="48">
        <v>1</v>
      </c>
      <c r="X5267" s="48">
        <v>0</v>
      </c>
      <c r="Y5267" s="48">
        <v>0</v>
      </c>
      <c r="Z5267" s="48">
        <v>1</v>
      </c>
      <c r="AA5267" s="48">
        <v>1</v>
      </c>
      <c r="AB5267" s="48">
        <v>0</v>
      </c>
      <c r="AC5267" s="150">
        <v>1</v>
      </c>
      <c r="AD5267" s="150">
        <v>1</v>
      </c>
      <c r="AE5267" s="49">
        <f t="shared" si="192"/>
        <v>0.625</v>
      </c>
      <c r="AF5267" s="255"/>
      <c r="AG5267" s="17">
        <v>0</v>
      </c>
      <c r="AH5267" s="255">
        <v>0</v>
      </c>
      <c r="AI5267" s="255">
        <v>0</v>
      </c>
      <c r="AJ5267" s="255">
        <v>0</v>
      </c>
      <c r="AK5267" s="383">
        <v>0.28999999999999998</v>
      </c>
      <c r="AL5267" s="383">
        <v>0.28999999999999998</v>
      </c>
      <c r="AM5267" s="147">
        <f t="shared" si="191"/>
        <v>0.57999999999999996</v>
      </c>
      <c r="AN5267" s="18" t="s">
        <v>921</v>
      </c>
      <c r="AO5267" s="18" t="s">
        <v>880</v>
      </c>
    </row>
    <row r="5268" spans="1:41" s="18" customFormat="1" ht="15" customHeight="1" x14ac:dyDescent="0.3">
      <c r="A5268" s="207" t="s">
        <v>7397</v>
      </c>
      <c r="B5268" s="18" t="s">
        <v>7398</v>
      </c>
      <c r="C5268" s="208" t="s">
        <v>7589</v>
      </c>
      <c r="D5268" s="18" t="s">
        <v>7590</v>
      </c>
      <c r="E5268" s="208" t="s">
        <v>7591</v>
      </c>
      <c r="F5268" s="18" t="s">
        <v>7592</v>
      </c>
      <c r="G5268" s="156" t="s">
        <v>7775</v>
      </c>
      <c r="H5268" s="18" t="s">
        <v>7776</v>
      </c>
      <c r="K5268" s="156" t="s">
        <v>7777</v>
      </c>
      <c r="L5268" s="18" t="s">
        <v>7778</v>
      </c>
      <c r="P5268" s="16"/>
      <c r="Q5268" s="16"/>
      <c r="R5268" s="16"/>
      <c r="S5268" s="16"/>
      <c r="T5268" s="18" t="s">
        <v>921</v>
      </c>
      <c r="U5268" t="str">
        <f>VLOOKUP(T5268,[8]Votes!$A$1:$E$234,3,FALSE)</f>
        <v>008 Ministry of Finance, Planning &amp; Economic Dev.</v>
      </c>
      <c r="V5268" s="18" t="s">
        <v>7783</v>
      </c>
      <c r="W5268" s="48">
        <v>1</v>
      </c>
      <c r="X5268" s="48">
        <v>1</v>
      </c>
      <c r="Y5268" s="48">
        <v>0</v>
      </c>
      <c r="Z5268" s="48">
        <v>1</v>
      </c>
      <c r="AA5268" s="48">
        <v>1</v>
      </c>
      <c r="AB5268" s="48">
        <v>0</v>
      </c>
      <c r="AC5268" s="150">
        <v>1</v>
      </c>
      <c r="AD5268" s="150">
        <v>1</v>
      </c>
      <c r="AE5268" s="49">
        <f t="shared" si="192"/>
        <v>0.75</v>
      </c>
      <c r="AF5268" s="255"/>
      <c r="AG5268" s="17">
        <v>0</v>
      </c>
      <c r="AH5268" s="255">
        <v>0</v>
      </c>
      <c r="AI5268" s="255">
        <v>0.435</v>
      </c>
      <c r="AJ5268" s="255">
        <v>0</v>
      </c>
      <c r="AK5268" s="256">
        <f>0.3/2</f>
        <v>0.15</v>
      </c>
      <c r="AL5268" s="256">
        <f>0.3/2</f>
        <v>0.15</v>
      </c>
      <c r="AM5268" s="147">
        <f t="shared" si="191"/>
        <v>0.3</v>
      </c>
      <c r="AN5268" s="18" t="s">
        <v>921</v>
      </c>
      <c r="AO5268" s="18" t="s">
        <v>880</v>
      </c>
    </row>
    <row r="5269" spans="1:41" s="18" customFormat="1" ht="15" customHeight="1" x14ac:dyDescent="0.3">
      <c r="A5269" s="207" t="s">
        <v>7397</v>
      </c>
      <c r="B5269" s="18" t="s">
        <v>7398</v>
      </c>
      <c r="C5269" s="208" t="s">
        <v>7589</v>
      </c>
      <c r="D5269" s="18" t="s">
        <v>7590</v>
      </c>
      <c r="E5269" s="208" t="s">
        <v>7591</v>
      </c>
      <c r="F5269" s="18" t="s">
        <v>7592</v>
      </c>
      <c r="G5269" s="156" t="s">
        <v>7775</v>
      </c>
      <c r="H5269" s="18" t="s">
        <v>7776</v>
      </c>
      <c r="K5269" s="156" t="s">
        <v>7777</v>
      </c>
      <c r="L5269" s="18" t="s">
        <v>7778</v>
      </c>
      <c r="P5269" s="16"/>
      <c r="Q5269" s="16"/>
      <c r="R5269" s="16"/>
      <c r="S5269" s="16"/>
      <c r="T5269" s="18" t="s">
        <v>921</v>
      </c>
      <c r="U5269" t="str">
        <f>VLOOKUP(T5269,[8]Votes!$A$1:$E$234,3,FALSE)</f>
        <v>008 Ministry of Finance, Planning &amp; Economic Dev.</v>
      </c>
      <c r="V5269" s="18" t="s">
        <v>7784</v>
      </c>
      <c r="W5269" s="48">
        <v>1</v>
      </c>
      <c r="X5269" s="48">
        <v>1</v>
      </c>
      <c r="Y5269" s="48">
        <v>0</v>
      </c>
      <c r="Z5269" s="48">
        <v>1</v>
      </c>
      <c r="AA5269" s="48">
        <v>1</v>
      </c>
      <c r="AB5269" s="48">
        <v>0</v>
      </c>
      <c r="AC5269" s="150">
        <v>1</v>
      </c>
      <c r="AD5269" s="150">
        <v>1</v>
      </c>
      <c r="AE5269" s="49">
        <f t="shared" si="192"/>
        <v>0.75</v>
      </c>
      <c r="AF5269" s="255"/>
      <c r="AG5269" s="17">
        <v>0</v>
      </c>
      <c r="AH5269" s="255">
        <v>0</v>
      </c>
      <c r="AI5269" s="255">
        <v>0</v>
      </c>
      <c r="AJ5269" s="255">
        <v>0</v>
      </c>
      <c r="AK5269" s="256">
        <f>0.15/2</f>
        <v>7.4999999999999997E-2</v>
      </c>
      <c r="AL5269" s="256">
        <f>0.15/2</f>
        <v>7.4999999999999997E-2</v>
      </c>
      <c r="AM5269" s="147">
        <f t="shared" si="191"/>
        <v>0.15</v>
      </c>
      <c r="AN5269" s="18" t="s">
        <v>921</v>
      </c>
      <c r="AO5269" s="18" t="s">
        <v>880</v>
      </c>
    </row>
    <row r="5270" spans="1:41" s="18" customFormat="1" ht="15" customHeight="1" x14ac:dyDescent="0.3">
      <c r="A5270" s="207" t="s">
        <v>7397</v>
      </c>
      <c r="B5270" s="18" t="s">
        <v>7398</v>
      </c>
      <c r="C5270" s="208" t="s">
        <v>7589</v>
      </c>
      <c r="D5270" s="18" t="s">
        <v>7590</v>
      </c>
      <c r="E5270" s="208" t="s">
        <v>7591</v>
      </c>
      <c r="F5270" s="18" t="s">
        <v>7592</v>
      </c>
      <c r="G5270" s="156" t="s">
        <v>7775</v>
      </c>
      <c r="H5270" s="18" t="s">
        <v>7776</v>
      </c>
      <c r="K5270" s="156" t="s">
        <v>7777</v>
      </c>
      <c r="L5270" s="18" t="s">
        <v>7778</v>
      </c>
      <c r="P5270" s="16"/>
      <c r="Q5270" s="16"/>
      <c r="R5270" s="16"/>
      <c r="S5270" s="16"/>
      <c r="T5270" s="18" t="s">
        <v>921</v>
      </c>
      <c r="U5270" t="str">
        <f>VLOOKUP(T5270,[8]Votes!$A$1:$E$234,3,FALSE)</f>
        <v>008 Ministry of Finance, Planning &amp; Economic Dev.</v>
      </c>
      <c r="V5270" s="18" t="s">
        <v>7785</v>
      </c>
      <c r="W5270" s="48">
        <v>1</v>
      </c>
      <c r="X5270" s="48">
        <v>1</v>
      </c>
      <c r="Y5270" s="48">
        <v>0</v>
      </c>
      <c r="Z5270" s="48">
        <v>1</v>
      </c>
      <c r="AA5270" s="48">
        <v>1</v>
      </c>
      <c r="AB5270" s="48">
        <v>0</v>
      </c>
      <c r="AC5270" s="150">
        <v>1</v>
      </c>
      <c r="AD5270" s="150">
        <v>1</v>
      </c>
      <c r="AE5270" s="49">
        <f t="shared" si="192"/>
        <v>0.75</v>
      </c>
      <c r="AF5270" s="255"/>
      <c r="AG5270" s="17">
        <v>0</v>
      </c>
      <c r="AH5270" s="255">
        <v>0</v>
      </c>
      <c r="AI5270" s="255">
        <v>0</v>
      </c>
      <c r="AJ5270" s="255">
        <v>0</v>
      </c>
      <c r="AK5270" s="256">
        <v>0</v>
      </c>
      <c r="AL5270" s="256">
        <v>0</v>
      </c>
      <c r="AM5270" s="147">
        <f t="shared" si="191"/>
        <v>0</v>
      </c>
      <c r="AN5270" s="18" t="s">
        <v>921</v>
      </c>
      <c r="AO5270" s="18" t="s">
        <v>880</v>
      </c>
    </row>
    <row r="5271" spans="1:41" s="18" customFormat="1" ht="15" customHeight="1" x14ac:dyDescent="0.3">
      <c r="A5271" s="207" t="s">
        <v>7397</v>
      </c>
      <c r="B5271" s="18" t="s">
        <v>7398</v>
      </c>
      <c r="C5271" s="208" t="s">
        <v>7589</v>
      </c>
      <c r="D5271" s="18" t="s">
        <v>7590</v>
      </c>
      <c r="E5271" s="208" t="s">
        <v>7591</v>
      </c>
      <c r="F5271" s="18" t="s">
        <v>7592</v>
      </c>
      <c r="G5271" s="156" t="s">
        <v>7775</v>
      </c>
      <c r="H5271" s="18" t="s">
        <v>7776</v>
      </c>
      <c r="K5271" s="156" t="s">
        <v>7777</v>
      </c>
      <c r="L5271" s="18" t="s">
        <v>7778</v>
      </c>
      <c r="P5271" s="16"/>
      <c r="Q5271" s="16"/>
      <c r="R5271" s="16"/>
      <c r="S5271" s="16"/>
      <c r="T5271" s="18" t="s">
        <v>921</v>
      </c>
      <c r="U5271" t="str">
        <f>VLOOKUP(T5271,[8]Votes!$A$1:$E$234,3,FALSE)</f>
        <v>008 Ministry of Finance, Planning &amp; Economic Dev.</v>
      </c>
      <c r="V5271" s="18" t="s">
        <v>7786</v>
      </c>
      <c r="W5271" s="48">
        <v>1</v>
      </c>
      <c r="X5271" s="48">
        <v>1</v>
      </c>
      <c r="Y5271" s="48">
        <v>0</v>
      </c>
      <c r="Z5271" s="48">
        <v>1</v>
      </c>
      <c r="AA5271" s="48">
        <v>1</v>
      </c>
      <c r="AB5271" s="48">
        <v>0</v>
      </c>
      <c r="AC5271" s="150">
        <v>1</v>
      </c>
      <c r="AD5271" s="150">
        <v>1</v>
      </c>
      <c r="AE5271" s="49">
        <f t="shared" si="192"/>
        <v>0.75</v>
      </c>
      <c r="AF5271" s="255"/>
      <c r="AG5271" s="17">
        <v>0</v>
      </c>
      <c r="AH5271" s="255">
        <v>0</v>
      </c>
      <c r="AI5271" s="255">
        <v>0</v>
      </c>
      <c r="AJ5271" s="255">
        <v>0</v>
      </c>
      <c r="AK5271" s="256">
        <f>0.55/20</f>
        <v>2.7500000000000004E-2</v>
      </c>
      <c r="AL5271" s="256">
        <f>0.55/20</f>
        <v>2.7500000000000004E-2</v>
      </c>
      <c r="AM5271" s="147">
        <f t="shared" si="191"/>
        <v>5.5000000000000007E-2</v>
      </c>
      <c r="AN5271" s="18" t="s">
        <v>921</v>
      </c>
      <c r="AO5271" s="18" t="s">
        <v>880</v>
      </c>
    </row>
    <row r="5272" spans="1:41" s="18" customFormat="1" ht="15" customHeight="1" x14ac:dyDescent="0.3">
      <c r="A5272" s="207" t="s">
        <v>7397</v>
      </c>
      <c r="B5272" s="18" t="s">
        <v>7398</v>
      </c>
      <c r="C5272" s="208" t="s">
        <v>7589</v>
      </c>
      <c r="D5272" s="18" t="s">
        <v>7590</v>
      </c>
      <c r="E5272" s="208" t="s">
        <v>7591</v>
      </c>
      <c r="F5272" s="18" t="s">
        <v>7592</v>
      </c>
      <c r="G5272" s="156" t="s">
        <v>7775</v>
      </c>
      <c r="H5272" s="18" t="s">
        <v>7776</v>
      </c>
      <c r="K5272" s="156" t="s">
        <v>7787</v>
      </c>
      <c r="L5272" s="18" t="s">
        <v>7788</v>
      </c>
      <c r="M5272" s="18" t="s">
        <v>7789</v>
      </c>
      <c r="N5272" s="18">
        <v>0</v>
      </c>
      <c r="O5272" s="18">
        <v>0</v>
      </c>
      <c r="P5272" s="16">
        <v>25</v>
      </c>
      <c r="Q5272" s="16">
        <v>50</v>
      </c>
      <c r="R5272" s="16">
        <v>75</v>
      </c>
      <c r="S5272" s="16">
        <v>100</v>
      </c>
      <c r="T5272" s="18" t="s">
        <v>921</v>
      </c>
      <c r="U5272" t="str">
        <f>VLOOKUP(T5272,[8]Votes!$A$1:$E$234,3,FALSE)</f>
        <v>008 Ministry of Finance, Planning &amp; Economic Dev.</v>
      </c>
      <c r="V5272" s="18" t="s">
        <v>7790</v>
      </c>
      <c r="W5272" s="48">
        <v>1</v>
      </c>
      <c r="X5272" s="48">
        <v>0</v>
      </c>
      <c r="Y5272" s="48">
        <v>0</v>
      </c>
      <c r="Z5272" s="48">
        <v>1</v>
      </c>
      <c r="AA5272" s="48">
        <v>1</v>
      </c>
      <c r="AB5272" s="48">
        <v>0</v>
      </c>
      <c r="AC5272" s="150">
        <v>1</v>
      </c>
      <c r="AD5272" s="150">
        <v>1</v>
      </c>
      <c r="AE5272" s="49">
        <f t="shared" si="192"/>
        <v>0.625</v>
      </c>
      <c r="AF5272" s="176"/>
      <c r="AG5272" s="17">
        <v>0</v>
      </c>
      <c r="AH5272" s="176">
        <v>0</v>
      </c>
      <c r="AI5272" s="176">
        <v>5.76</v>
      </c>
      <c r="AJ5272" s="176">
        <v>5.9</v>
      </c>
      <c r="AK5272" s="177">
        <f>1.5/2</f>
        <v>0.75</v>
      </c>
      <c r="AL5272" s="177">
        <f>3.1/2</f>
        <v>1.55</v>
      </c>
      <c r="AM5272" s="147">
        <f t="shared" si="191"/>
        <v>2.2999999999999998</v>
      </c>
      <c r="AN5272" s="18" t="s">
        <v>921</v>
      </c>
      <c r="AO5272" s="18" t="s">
        <v>880</v>
      </c>
    </row>
    <row r="5273" spans="1:41" s="18" customFormat="1" ht="15" customHeight="1" x14ac:dyDescent="0.3">
      <c r="A5273" s="207" t="s">
        <v>7397</v>
      </c>
      <c r="B5273" s="18" t="s">
        <v>7398</v>
      </c>
      <c r="C5273" s="208" t="s">
        <v>7589</v>
      </c>
      <c r="D5273" s="18" t="s">
        <v>7590</v>
      </c>
      <c r="E5273" s="208" t="s">
        <v>7591</v>
      </c>
      <c r="F5273" s="18" t="s">
        <v>7592</v>
      </c>
      <c r="G5273" s="156" t="s">
        <v>7791</v>
      </c>
      <c r="H5273" s="18" t="s">
        <v>7792</v>
      </c>
      <c r="K5273" s="156" t="s">
        <v>7793</v>
      </c>
      <c r="L5273" s="18" t="s">
        <v>7794</v>
      </c>
      <c r="M5273" s="18" t="s">
        <v>7795</v>
      </c>
      <c r="N5273" s="18">
        <v>0.111</v>
      </c>
      <c r="O5273" s="18">
        <v>15</v>
      </c>
      <c r="P5273" s="16">
        <v>18</v>
      </c>
      <c r="Q5273" s="16">
        <v>20</v>
      </c>
      <c r="R5273" s="16">
        <v>25</v>
      </c>
      <c r="S5273" s="16">
        <v>30</v>
      </c>
      <c r="T5273" s="18" t="s">
        <v>6300</v>
      </c>
      <c r="U5273" t="str">
        <f>VLOOKUP(T5273,[8]Votes!$A$1:$E$234,3,FALSE)</f>
        <v>147 Local Government Finance Commission</v>
      </c>
      <c r="V5273" s="18" t="s">
        <v>7796</v>
      </c>
      <c r="W5273" s="48">
        <v>1</v>
      </c>
      <c r="X5273" s="48">
        <v>1</v>
      </c>
      <c r="Y5273" s="48">
        <v>0</v>
      </c>
      <c r="Z5273" s="48">
        <v>1</v>
      </c>
      <c r="AA5273" s="48">
        <v>1</v>
      </c>
      <c r="AB5273" s="48">
        <v>0</v>
      </c>
      <c r="AC5273" s="150">
        <v>1</v>
      </c>
      <c r="AD5273" s="150">
        <v>1</v>
      </c>
      <c r="AE5273" s="49">
        <f t="shared" si="192"/>
        <v>0.75</v>
      </c>
      <c r="AF5273" s="255"/>
      <c r="AG5273" s="17">
        <v>0</v>
      </c>
      <c r="AH5273" s="255">
        <v>0</v>
      </c>
      <c r="AI5273" s="255">
        <v>0.72499999999999998</v>
      </c>
      <c r="AJ5273" s="255">
        <v>0.72499999999999998</v>
      </c>
      <c r="AK5273" s="256">
        <f>0.725/2</f>
        <v>0.36249999999999999</v>
      </c>
      <c r="AL5273" s="177">
        <f>0.725/2</f>
        <v>0.36249999999999999</v>
      </c>
      <c r="AM5273" s="147">
        <f t="shared" si="191"/>
        <v>0.72499999999999998</v>
      </c>
      <c r="AN5273" s="18" t="s">
        <v>6300</v>
      </c>
      <c r="AO5273" s="18" t="s">
        <v>6301</v>
      </c>
    </row>
    <row r="5274" spans="1:41" s="18" customFormat="1" ht="15" customHeight="1" x14ac:dyDescent="0.3">
      <c r="A5274" s="207" t="s">
        <v>7397</v>
      </c>
      <c r="B5274" s="18" t="s">
        <v>7398</v>
      </c>
      <c r="C5274" s="208" t="s">
        <v>7589</v>
      </c>
      <c r="D5274" s="18" t="s">
        <v>7590</v>
      </c>
      <c r="E5274" s="208" t="s">
        <v>7591</v>
      </c>
      <c r="F5274" s="18" t="s">
        <v>7592</v>
      </c>
      <c r="G5274" s="156" t="s">
        <v>7791</v>
      </c>
      <c r="H5274" s="18" t="s">
        <v>7792</v>
      </c>
      <c r="K5274" s="156" t="s">
        <v>7797</v>
      </c>
      <c r="L5274" s="18" t="s">
        <v>7798</v>
      </c>
      <c r="M5274" s="18" t="s">
        <v>7799</v>
      </c>
      <c r="N5274" s="18">
        <v>0</v>
      </c>
      <c r="O5274" s="18">
        <v>80</v>
      </c>
      <c r="P5274" s="16">
        <v>90</v>
      </c>
      <c r="Q5274" s="16">
        <v>100</v>
      </c>
      <c r="R5274" s="16">
        <v>100</v>
      </c>
      <c r="S5274" s="16">
        <v>100</v>
      </c>
      <c r="T5274" s="18" t="s">
        <v>831</v>
      </c>
      <c r="U5274" t="str">
        <f>VLOOKUP(T5274,[8]Votes!$A$1:$E$234,3,FALSE)</f>
        <v>108 National Planning Authority</v>
      </c>
      <c r="V5274" s="18" t="s">
        <v>7800</v>
      </c>
      <c r="W5274" s="48">
        <v>1</v>
      </c>
      <c r="X5274" s="48">
        <v>1</v>
      </c>
      <c r="Y5274" s="48">
        <v>1</v>
      </c>
      <c r="Z5274" s="48">
        <v>1</v>
      </c>
      <c r="AA5274" s="48">
        <v>1</v>
      </c>
      <c r="AB5274" s="48">
        <v>1</v>
      </c>
      <c r="AC5274" s="150">
        <v>1</v>
      </c>
      <c r="AD5274" s="150">
        <v>1</v>
      </c>
      <c r="AE5274" s="49">
        <f t="shared" si="192"/>
        <v>1</v>
      </c>
      <c r="AF5274" s="255"/>
      <c r="AG5274" s="17">
        <v>0</v>
      </c>
      <c r="AH5274" s="255">
        <v>1.45</v>
      </c>
      <c r="AI5274" s="255">
        <v>1.45</v>
      </c>
      <c r="AJ5274" s="255">
        <v>1.45</v>
      </c>
      <c r="AK5274" s="383">
        <v>3.5</v>
      </c>
      <c r="AL5274" s="383">
        <v>3.5</v>
      </c>
      <c r="AM5274" s="147">
        <f t="shared" si="191"/>
        <v>7</v>
      </c>
      <c r="AN5274" s="18" t="s">
        <v>831</v>
      </c>
      <c r="AO5274" s="18" t="s">
        <v>834</v>
      </c>
    </row>
    <row r="5275" spans="1:41" s="18" customFormat="1" ht="15" customHeight="1" x14ac:dyDescent="0.3">
      <c r="A5275" s="207" t="s">
        <v>7397</v>
      </c>
      <c r="B5275" s="18" t="s">
        <v>7398</v>
      </c>
      <c r="C5275" s="208" t="s">
        <v>7589</v>
      </c>
      <c r="D5275" s="18" t="s">
        <v>7590</v>
      </c>
      <c r="E5275" s="208" t="s">
        <v>7591</v>
      </c>
      <c r="F5275" s="18" t="s">
        <v>7592</v>
      </c>
      <c r="G5275" s="156" t="s">
        <v>7791</v>
      </c>
      <c r="H5275" s="18" t="s">
        <v>7792</v>
      </c>
      <c r="K5275" s="156" t="s">
        <v>7797</v>
      </c>
      <c r="L5275" s="18" t="s">
        <v>7798</v>
      </c>
      <c r="M5275" s="18" t="s">
        <v>7801</v>
      </c>
      <c r="N5275" s="18">
        <v>0</v>
      </c>
      <c r="O5275" s="18">
        <v>65</v>
      </c>
      <c r="P5275" s="16">
        <v>75</v>
      </c>
      <c r="Q5275" s="16">
        <v>80</v>
      </c>
      <c r="R5275" s="16">
        <v>100</v>
      </c>
      <c r="S5275" s="16">
        <v>100</v>
      </c>
      <c r="T5275" s="18" t="s">
        <v>831</v>
      </c>
      <c r="U5275" t="str">
        <f>VLOOKUP(T5275,[8]Votes!$A$1:$E$234,3,FALSE)</f>
        <v>108 National Planning Authority</v>
      </c>
      <c r="W5275" s="48"/>
      <c r="X5275" s="48"/>
      <c r="Y5275" s="48"/>
      <c r="Z5275" s="48"/>
      <c r="AA5275" s="48"/>
      <c r="AB5275" s="48"/>
      <c r="AC5275" s="150">
        <v>0</v>
      </c>
      <c r="AD5275" s="150">
        <v>0</v>
      </c>
      <c r="AE5275" s="49">
        <f t="shared" si="192"/>
        <v>0</v>
      </c>
      <c r="AF5275" s="17"/>
      <c r="AG5275" s="17">
        <v>0</v>
      </c>
      <c r="AH5275" s="17"/>
      <c r="AI5275" s="17"/>
      <c r="AJ5275" s="17"/>
      <c r="AK5275" s="154"/>
      <c r="AL5275" s="154"/>
      <c r="AM5275" s="147">
        <f t="shared" si="191"/>
        <v>0</v>
      </c>
    </row>
    <row r="5276" spans="1:41" s="18" customFormat="1" ht="15" customHeight="1" x14ac:dyDescent="0.3">
      <c r="A5276" s="207" t="s">
        <v>7397</v>
      </c>
      <c r="B5276" s="18" t="s">
        <v>7398</v>
      </c>
      <c r="C5276" s="208" t="s">
        <v>7589</v>
      </c>
      <c r="D5276" s="18" t="s">
        <v>7590</v>
      </c>
      <c r="E5276" s="208" t="s">
        <v>7591</v>
      </c>
      <c r="F5276" s="18" t="s">
        <v>7592</v>
      </c>
      <c r="G5276" s="156" t="s">
        <v>7791</v>
      </c>
      <c r="H5276" s="18" t="s">
        <v>7792</v>
      </c>
      <c r="K5276" s="156" t="s">
        <v>7802</v>
      </c>
      <c r="L5276" s="18" t="s">
        <v>7803</v>
      </c>
      <c r="M5276" s="18" t="s">
        <v>7804</v>
      </c>
      <c r="N5276" s="18">
        <v>0</v>
      </c>
      <c r="O5276" s="18">
        <v>1</v>
      </c>
      <c r="P5276" s="16">
        <v>0</v>
      </c>
      <c r="Q5276" s="16">
        <v>0</v>
      </c>
      <c r="R5276" s="16">
        <v>0</v>
      </c>
      <c r="S5276" s="16">
        <v>0</v>
      </c>
      <c r="T5276" s="18" t="s">
        <v>831</v>
      </c>
      <c r="U5276" t="str">
        <f>VLOOKUP(T5276,[8]Votes!$A$1:$E$234,3,FALSE)</f>
        <v>108 National Planning Authority</v>
      </c>
      <c r="V5276" s="18" t="s">
        <v>7805</v>
      </c>
      <c r="W5276" s="48">
        <v>0</v>
      </c>
      <c r="X5276" s="48">
        <v>0</v>
      </c>
      <c r="Y5276" s="48">
        <v>0</v>
      </c>
      <c r="Z5276" s="48">
        <v>0</v>
      </c>
      <c r="AA5276" s="48">
        <v>0</v>
      </c>
      <c r="AB5276" s="48">
        <v>0</v>
      </c>
      <c r="AC5276" s="150">
        <v>0</v>
      </c>
      <c r="AD5276" s="150">
        <v>0</v>
      </c>
      <c r="AE5276" s="49">
        <f t="shared" si="192"/>
        <v>0</v>
      </c>
      <c r="AF5276" s="255"/>
      <c r="AG5276" s="17">
        <v>0</v>
      </c>
      <c r="AH5276" s="255">
        <v>0</v>
      </c>
      <c r="AI5276" s="255">
        <v>0.435</v>
      </c>
      <c r="AJ5276" s="255">
        <v>0</v>
      </c>
      <c r="AK5276" s="256">
        <v>0</v>
      </c>
      <c r="AL5276" s="256">
        <v>0</v>
      </c>
      <c r="AM5276" s="147">
        <f t="shared" si="191"/>
        <v>0</v>
      </c>
      <c r="AN5276" s="18" t="s">
        <v>831</v>
      </c>
      <c r="AO5276" s="18" t="s">
        <v>834</v>
      </c>
    </row>
    <row r="5277" spans="1:41" s="18" customFormat="1" ht="15" customHeight="1" x14ac:dyDescent="0.3">
      <c r="A5277" s="207" t="s">
        <v>7397</v>
      </c>
      <c r="B5277" s="18" t="s">
        <v>7398</v>
      </c>
      <c r="C5277" s="208" t="s">
        <v>7589</v>
      </c>
      <c r="D5277" s="18" t="s">
        <v>7590</v>
      </c>
      <c r="E5277" s="208" t="s">
        <v>7591</v>
      </c>
      <c r="F5277" s="18" t="s">
        <v>7592</v>
      </c>
      <c r="G5277" s="156" t="s">
        <v>7806</v>
      </c>
      <c r="H5277" s="18" t="s">
        <v>7807</v>
      </c>
      <c r="K5277" s="156" t="s">
        <v>7808</v>
      </c>
      <c r="L5277" s="18" t="s">
        <v>7809</v>
      </c>
      <c r="M5277" s="18" t="s">
        <v>7810</v>
      </c>
      <c r="N5277" s="18">
        <v>58</v>
      </c>
      <c r="O5277" s="18">
        <v>60</v>
      </c>
      <c r="P5277" s="16">
        <v>65</v>
      </c>
      <c r="Q5277" s="16">
        <v>70</v>
      </c>
      <c r="R5277" s="16">
        <v>75</v>
      </c>
      <c r="S5277" s="16">
        <v>80</v>
      </c>
      <c r="T5277" s="18" t="s">
        <v>921</v>
      </c>
      <c r="U5277" t="str">
        <f>VLOOKUP(T5277,[8]Votes!$A$1:$E$234,3,FALSE)</f>
        <v>008 Ministry of Finance, Planning &amp; Economic Dev.</v>
      </c>
      <c r="V5277" s="18" t="s">
        <v>7811</v>
      </c>
      <c r="W5277" s="48">
        <v>1</v>
      </c>
      <c r="X5277" s="48">
        <v>1</v>
      </c>
      <c r="Y5277" s="48">
        <v>0</v>
      </c>
      <c r="Z5277" s="48">
        <v>1</v>
      </c>
      <c r="AA5277" s="48">
        <v>1</v>
      </c>
      <c r="AB5277" s="48">
        <v>1</v>
      </c>
      <c r="AC5277" s="150">
        <v>1</v>
      </c>
      <c r="AD5277" s="150">
        <v>1</v>
      </c>
      <c r="AE5277" s="49">
        <f t="shared" si="192"/>
        <v>0.875</v>
      </c>
      <c r="AF5277" s="176"/>
      <c r="AG5277" s="17">
        <v>0</v>
      </c>
      <c r="AH5277" s="176">
        <v>3.19</v>
      </c>
      <c r="AI5277" s="176">
        <v>1.45</v>
      </c>
      <c r="AJ5277" s="176">
        <v>1.45</v>
      </c>
      <c r="AK5277" s="177">
        <f>52/2</f>
        <v>26</v>
      </c>
      <c r="AL5277" s="177">
        <f>53/2</f>
        <v>26.5</v>
      </c>
      <c r="AM5277" s="147">
        <f t="shared" si="191"/>
        <v>52.5</v>
      </c>
      <c r="AN5277" s="18" t="s">
        <v>921</v>
      </c>
      <c r="AO5277" s="18" t="s">
        <v>880</v>
      </c>
    </row>
    <row r="5278" spans="1:41" s="18" customFormat="1" ht="15" customHeight="1" x14ac:dyDescent="0.3">
      <c r="A5278" s="207" t="s">
        <v>7397</v>
      </c>
      <c r="B5278" s="18" t="s">
        <v>7398</v>
      </c>
      <c r="C5278" s="208" t="s">
        <v>7589</v>
      </c>
      <c r="D5278" s="18" t="s">
        <v>7590</v>
      </c>
      <c r="E5278" s="208" t="s">
        <v>7591</v>
      </c>
      <c r="F5278" s="18" t="s">
        <v>7592</v>
      </c>
      <c r="G5278" s="156" t="s">
        <v>7806</v>
      </c>
      <c r="H5278" s="18" t="s">
        <v>7807</v>
      </c>
      <c r="K5278" s="156" t="s">
        <v>7808</v>
      </c>
      <c r="L5278" s="18" t="s">
        <v>7809</v>
      </c>
      <c r="M5278" s="18" t="s">
        <v>7812</v>
      </c>
      <c r="N5278" s="18">
        <v>54</v>
      </c>
      <c r="O5278" s="18">
        <v>60</v>
      </c>
      <c r="P5278" s="16">
        <v>70</v>
      </c>
      <c r="Q5278" s="16">
        <v>85</v>
      </c>
      <c r="R5278" s="16">
        <v>90</v>
      </c>
      <c r="S5278" s="16">
        <v>100</v>
      </c>
      <c r="T5278" s="18" t="s">
        <v>831</v>
      </c>
      <c r="U5278" t="str">
        <f>VLOOKUP(T5278,[8]Votes!$A$1:$E$234,3,FALSE)</f>
        <v>108 National Planning Authority</v>
      </c>
      <c r="V5278" s="18" t="s">
        <v>7813</v>
      </c>
      <c r="W5278" s="48">
        <v>1</v>
      </c>
      <c r="X5278" s="48">
        <v>0</v>
      </c>
      <c r="Y5278" s="48">
        <v>0</v>
      </c>
      <c r="Z5278" s="48">
        <v>1</v>
      </c>
      <c r="AA5278" s="48">
        <v>1</v>
      </c>
      <c r="AB5278" s="48">
        <v>0</v>
      </c>
      <c r="AC5278" s="150">
        <v>0</v>
      </c>
      <c r="AD5278" s="150">
        <v>1</v>
      </c>
      <c r="AE5278" s="49">
        <f t="shared" si="192"/>
        <v>0.5</v>
      </c>
      <c r="AF5278" s="176"/>
      <c r="AG5278" s="17">
        <v>0</v>
      </c>
      <c r="AH5278" s="176">
        <v>0</v>
      </c>
      <c r="AI5278" s="176">
        <v>0.28999999999999998</v>
      </c>
      <c r="AJ5278" s="176">
        <v>0.28999999999999998</v>
      </c>
      <c r="AK5278" s="177">
        <v>0</v>
      </c>
      <c r="AL5278" s="177">
        <v>0</v>
      </c>
      <c r="AM5278" s="147">
        <f t="shared" si="191"/>
        <v>0</v>
      </c>
      <c r="AN5278" s="18" t="s">
        <v>831</v>
      </c>
      <c r="AO5278" s="18" t="s">
        <v>834</v>
      </c>
    </row>
    <row r="5279" spans="1:41" s="18" customFormat="1" ht="15" customHeight="1" x14ac:dyDescent="0.3">
      <c r="A5279" s="207" t="s">
        <v>7397</v>
      </c>
      <c r="B5279" s="18" t="s">
        <v>7398</v>
      </c>
      <c r="C5279" s="208" t="s">
        <v>7589</v>
      </c>
      <c r="D5279" s="18" t="s">
        <v>7590</v>
      </c>
      <c r="E5279" s="208" t="s">
        <v>7591</v>
      </c>
      <c r="F5279" s="18" t="s">
        <v>7592</v>
      </c>
      <c r="G5279" s="156" t="s">
        <v>7806</v>
      </c>
      <c r="H5279" s="18" t="s">
        <v>7807</v>
      </c>
      <c r="K5279" s="156" t="s">
        <v>7808</v>
      </c>
      <c r="L5279" s="18" t="s">
        <v>7809</v>
      </c>
      <c r="M5279" s="18" t="s">
        <v>7814</v>
      </c>
      <c r="N5279" s="18">
        <v>53.2</v>
      </c>
      <c r="O5279" s="18">
        <v>55</v>
      </c>
      <c r="P5279" s="16">
        <v>65</v>
      </c>
      <c r="Q5279" s="16">
        <v>75</v>
      </c>
      <c r="R5279" s="16">
        <v>85</v>
      </c>
      <c r="S5279" s="16">
        <v>95</v>
      </c>
      <c r="T5279" s="18" t="s">
        <v>831</v>
      </c>
      <c r="U5279" t="str">
        <f>VLOOKUP(T5279,[8]Votes!$A$1:$E$234,3,FALSE)</f>
        <v>108 National Planning Authority</v>
      </c>
      <c r="W5279" s="48"/>
      <c r="X5279" s="48"/>
      <c r="Y5279" s="48"/>
      <c r="Z5279" s="48"/>
      <c r="AA5279" s="48"/>
      <c r="AB5279" s="48"/>
      <c r="AC5279" s="150">
        <v>0</v>
      </c>
      <c r="AD5279" s="150"/>
      <c r="AE5279" s="49">
        <f t="shared" si="192"/>
        <v>0</v>
      </c>
      <c r="AF5279" s="17"/>
      <c r="AG5279" s="17">
        <v>0</v>
      </c>
      <c r="AH5279" s="17"/>
      <c r="AI5279" s="17"/>
      <c r="AJ5279" s="17"/>
      <c r="AK5279" s="154"/>
      <c r="AL5279" s="154"/>
      <c r="AM5279" s="147">
        <f t="shared" si="191"/>
        <v>0</v>
      </c>
    </row>
    <row r="5280" spans="1:41" s="18" customFormat="1" ht="15" customHeight="1" x14ac:dyDescent="0.3">
      <c r="A5280" s="207" t="s">
        <v>7397</v>
      </c>
      <c r="B5280" s="18" t="s">
        <v>7398</v>
      </c>
      <c r="C5280" s="208" t="s">
        <v>7589</v>
      </c>
      <c r="D5280" s="18" t="s">
        <v>7590</v>
      </c>
      <c r="E5280" s="208" t="s">
        <v>7591</v>
      </c>
      <c r="F5280" s="18" t="s">
        <v>7592</v>
      </c>
      <c r="G5280" s="156" t="s">
        <v>7806</v>
      </c>
      <c r="H5280" s="18" t="s">
        <v>7807</v>
      </c>
      <c r="K5280" s="156" t="s">
        <v>7808</v>
      </c>
      <c r="L5280" s="18" t="s">
        <v>7809</v>
      </c>
      <c r="M5280" s="18" t="s">
        <v>7815</v>
      </c>
      <c r="N5280" s="18">
        <v>62.2</v>
      </c>
      <c r="O5280" s="18">
        <v>65</v>
      </c>
      <c r="P5280" s="16">
        <v>75</v>
      </c>
      <c r="Q5280" s="16">
        <v>80</v>
      </c>
      <c r="R5280" s="16">
        <v>85</v>
      </c>
      <c r="S5280" s="16">
        <v>95</v>
      </c>
      <c r="T5280" s="18" t="s">
        <v>831</v>
      </c>
      <c r="U5280" t="str">
        <f>VLOOKUP(T5280,[8]Votes!$A$1:$E$234,3,FALSE)</f>
        <v>108 National Planning Authority</v>
      </c>
      <c r="W5280" s="48"/>
      <c r="X5280" s="48"/>
      <c r="Y5280" s="48"/>
      <c r="Z5280" s="48"/>
      <c r="AA5280" s="48"/>
      <c r="AB5280" s="48"/>
      <c r="AC5280" s="150">
        <v>0</v>
      </c>
      <c r="AD5280" s="150">
        <v>0</v>
      </c>
      <c r="AE5280" s="49">
        <f t="shared" si="192"/>
        <v>0</v>
      </c>
      <c r="AF5280" s="17"/>
      <c r="AG5280" s="17">
        <v>0</v>
      </c>
      <c r="AH5280" s="17"/>
      <c r="AI5280" s="17"/>
      <c r="AJ5280" s="17"/>
      <c r="AK5280" s="154"/>
      <c r="AL5280" s="154"/>
      <c r="AM5280" s="147">
        <f t="shared" si="191"/>
        <v>0</v>
      </c>
    </row>
    <row r="5281" spans="1:41" s="18" customFormat="1" x14ac:dyDescent="0.3">
      <c r="A5281" s="207" t="s">
        <v>7397</v>
      </c>
      <c r="B5281" s="18" t="s">
        <v>7398</v>
      </c>
      <c r="C5281" s="208" t="s">
        <v>7589</v>
      </c>
      <c r="D5281" s="18" t="s">
        <v>7590</v>
      </c>
      <c r="E5281" s="208" t="s">
        <v>7591</v>
      </c>
      <c r="F5281" s="18" t="s">
        <v>7592</v>
      </c>
      <c r="G5281" s="156" t="s">
        <v>7806</v>
      </c>
      <c r="H5281" s="18" t="s">
        <v>7807</v>
      </c>
      <c r="K5281" s="156" t="s">
        <v>7818</v>
      </c>
      <c r="L5281" s="18" t="s">
        <v>7819</v>
      </c>
      <c r="M5281" s="18" t="s">
        <v>7820</v>
      </c>
      <c r="N5281" s="18">
        <v>0</v>
      </c>
      <c r="O5281" s="18">
        <v>0</v>
      </c>
      <c r="P5281" s="16">
        <v>1</v>
      </c>
      <c r="Q5281" s="16">
        <v>0</v>
      </c>
      <c r="R5281" s="16">
        <v>1</v>
      </c>
      <c r="S5281" s="16">
        <v>0</v>
      </c>
      <c r="T5281" s="18" t="s">
        <v>831</v>
      </c>
      <c r="U5281" t="str">
        <f>VLOOKUP(T5281,[8]Votes!$A$1:$E$234,3,FALSE)</f>
        <v>108 National Planning Authority</v>
      </c>
      <c r="V5281" s="18" t="s">
        <v>7821</v>
      </c>
      <c r="W5281" s="48">
        <v>1</v>
      </c>
      <c r="X5281" s="48">
        <v>0</v>
      </c>
      <c r="Y5281" s="48">
        <v>0</v>
      </c>
      <c r="Z5281" s="48">
        <v>1</v>
      </c>
      <c r="AA5281" s="48">
        <v>1</v>
      </c>
      <c r="AB5281" s="48">
        <v>0</v>
      </c>
      <c r="AC5281" s="150">
        <v>0</v>
      </c>
      <c r="AD5281" s="150">
        <v>1</v>
      </c>
      <c r="AE5281" s="49">
        <f t="shared" si="192"/>
        <v>0.5</v>
      </c>
      <c r="AF5281" s="255"/>
      <c r="AG5281" s="17">
        <v>0</v>
      </c>
      <c r="AH5281" s="255">
        <v>0</v>
      </c>
      <c r="AI5281" s="255">
        <v>0.31900000000000001</v>
      </c>
      <c r="AJ5281" s="255">
        <v>0</v>
      </c>
      <c r="AK5281" s="256">
        <v>0</v>
      </c>
      <c r="AL5281" s="256">
        <v>0</v>
      </c>
      <c r="AM5281" s="147">
        <f t="shared" ref="AM5281:AM5344" si="193">SUM(AK5281:AL5281)</f>
        <v>0</v>
      </c>
      <c r="AN5281" s="18" t="s">
        <v>831</v>
      </c>
      <c r="AO5281" s="18" t="s">
        <v>834</v>
      </c>
    </row>
    <row r="5282" spans="1:41" s="18" customFormat="1" ht="15" customHeight="1" x14ac:dyDescent="0.3">
      <c r="A5282" s="207" t="s">
        <v>7397</v>
      </c>
      <c r="B5282" s="18" t="s">
        <v>7398</v>
      </c>
      <c r="C5282" s="208" t="s">
        <v>7589</v>
      </c>
      <c r="D5282" s="18" t="s">
        <v>7590</v>
      </c>
      <c r="E5282" s="208" t="s">
        <v>7591</v>
      </c>
      <c r="F5282" s="18" t="s">
        <v>7592</v>
      </c>
      <c r="G5282" s="156" t="s">
        <v>7806</v>
      </c>
      <c r="H5282" s="18" t="s">
        <v>7807</v>
      </c>
      <c r="K5282" s="156" t="s">
        <v>7822</v>
      </c>
      <c r="L5282" s="18" t="s">
        <v>7823</v>
      </c>
      <c r="M5282" s="18" t="s">
        <v>7824</v>
      </c>
      <c r="N5282" s="18">
        <v>1</v>
      </c>
      <c r="O5282" s="18">
        <v>1</v>
      </c>
      <c r="P5282" s="16">
        <v>1</v>
      </c>
      <c r="Q5282" s="16">
        <v>1</v>
      </c>
      <c r="R5282" s="16">
        <v>1</v>
      </c>
      <c r="S5282" s="16">
        <v>1</v>
      </c>
      <c r="T5282" s="18" t="s">
        <v>921</v>
      </c>
      <c r="U5282" t="str">
        <f>VLOOKUP(T5282,[8]Votes!$A$1:$E$234,3,FALSE)</f>
        <v>008 Ministry of Finance, Planning &amp; Economic Dev.</v>
      </c>
      <c r="V5282" s="18" t="s">
        <v>7825</v>
      </c>
      <c r="W5282" s="48">
        <v>1</v>
      </c>
      <c r="X5282" s="48">
        <v>1</v>
      </c>
      <c r="Y5282" s="48">
        <v>0</v>
      </c>
      <c r="Z5282" s="48">
        <v>1</v>
      </c>
      <c r="AA5282" s="48">
        <v>1</v>
      </c>
      <c r="AB5282" s="48">
        <v>0</v>
      </c>
      <c r="AC5282" s="150">
        <v>1</v>
      </c>
      <c r="AD5282" s="150">
        <v>1</v>
      </c>
      <c r="AE5282" s="49">
        <f t="shared" si="192"/>
        <v>0.75</v>
      </c>
      <c r="AF5282" s="255"/>
      <c r="AG5282" s="17">
        <v>0</v>
      </c>
      <c r="AH5282" s="255">
        <v>0.14499999999999999</v>
      </c>
      <c r="AI5282" s="255">
        <v>0.14499999999999999</v>
      </c>
      <c r="AJ5282" s="255">
        <v>0.14499999999999999</v>
      </c>
      <c r="AK5282" s="256">
        <f>0.145/1000</f>
        <v>1.45E-4</v>
      </c>
      <c r="AL5282" s="177">
        <f>0.145/1000</f>
        <v>1.45E-4</v>
      </c>
      <c r="AM5282" s="147">
        <f t="shared" si="193"/>
        <v>2.9E-4</v>
      </c>
      <c r="AN5282" s="18" t="s">
        <v>921</v>
      </c>
      <c r="AO5282" s="18" t="s">
        <v>880</v>
      </c>
    </row>
    <row r="5283" spans="1:41" s="18" customFormat="1" ht="15" customHeight="1" x14ac:dyDescent="0.3">
      <c r="A5283" s="207" t="s">
        <v>7397</v>
      </c>
      <c r="B5283" s="18" t="s">
        <v>7398</v>
      </c>
      <c r="C5283" s="208" t="s">
        <v>7589</v>
      </c>
      <c r="D5283" s="18" t="s">
        <v>7590</v>
      </c>
      <c r="E5283" s="208" t="s">
        <v>7591</v>
      </c>
      <c r="F5283" s="18" t="s">
        <v>7592</v>
      </c>
      <c r="G5283" s="156" t="s">
        <v>7806</v>
      </c>
      <c r="H5283" s="18" t="s">
        <v>7807</v>
      </c>
      <c r="K5283" s="156" t="s">
        <v>7826</v>
      </c>
      <c r="L5283" s="18" t="s">
        <v>7827</v>
      </c>
      <c r="M5283" s="18" t="s">
        <v>7828</v>
      </c>
      <c r="N5283" s="18">
        <v>0</v>
      </c>
      <c r="O5283" s="18">
        <v>1</v>
      </c>
      <c r="P5283" s="16">
        <v>1</v>
      </c>
      <c r="Q5283" s="16">
        <v>1</v>
      </c>
      <c r="R5283" s="16">
        <v>1</v>
      </c>
      <c r="S5283" s="16">
        <v>1</v>
      </c>
      <c r="T5283" s="18" t="s">
        <v>921</v>
      </c>
      <c r="U5283" t="str">
        <f>VLOOKUP(T5283,[8]Votes!$A$1:$E$234,3,FALSE)</f>
        <v>008 Ministry of Finance, Planning &amp; Economic Dev.</v>
      </c>
      <c r="V5283" s="18" t="s">
        <v>7829</v>
      </c>
      <c r="W5283" s="48">
        <v>0</v>
      </c>
      <c r="X5283" s="48">
        <v>1</v>
      </c>
      <c r="Y5283" s="48">
        <v>0</v>
      </c>
      <c r="Z5283" s="48">
        <v>1</v>
      </c>
      <c r="AA5283" s="48">
        <v>1</v>
      </c>
      <c r="AB5283" s="48">
        <v>1</v>
      </c>
      <c r="AC5283" s="150">
        <v>0</v>
      </c>
      <c r="AD5283" s="150">
        <v>1</v>
      </c>
      <c r="AE5283" s="49">
        <f t="shared" si="192"/>
        <v>0.625</v>
      </c>
      <c r="AF5283" s="255"/>
      <c r="AG5283" s="17">
        <v>0</v>
      </c>
      <c r="AH5283" s="255">
        <v>0.14499999999999999</v>
      </c>
      <c r="AI5283" s="255">
        <v>0.14499999999999999</v>
      </c>
      <c r="AJ5283" s="255">
        <v>0.14499999999999999</v>
      </c>
      <c r="AK5283" s="256">
        <f>0.145/2</f>
        <v>7.2499999999999995E-2</v>
      </c>
      <c r="AL5283" s="256">
        <f>0.145/2</f>
        <v>7.2499999999999995E-2</v>
      </c>
      <c r="AM5283" s="147">
        <f t="shared" si="193"/>
        <v>0.14499999999999999</v>
      </c>
      <c r="AN5283" s="18" t="s">
        <v>921</v>
      </c>
      <c r="AO5283" s="18" t="s">
        <v>880</v>
      </c>
    </row>
    <row r="5284" spans="1:41" s="18" customFormat="1" ht="15" customHeight="1" x14ac:dyDescent="0.3">
      <c r="A5284" s="207" t="s">
        <v>7397</v>
      </c>
      <c r="B5284" s="18" t="s">
        <v>7398</v>
      </c>
      <c r="C5284" s="208" t="s">
        <v>7589</v>
      </c>
      <c r="D5284" s="18" t="s">
        <v>7590</v>
      </c>
      <c r="E5284" s="208" t="s">
        <v>7591</v>
      </c>
      <c r="F5284" s="18" t="s">
        <v>7592</v>
      </c>
      <c r="G5284" s="156" t="s">
        <v>7806</v>
      </c>
      <c r="H5284" s="18" t="s">
        <v>7807</v>
      </c>
      <c r="K5284" s="156" t="s">
        <v>7830</v>
      </c>
      <c r="L5284" s="18" t="s">
        <v>7831</v>
      </c>
      <c r="M5284" s="18" t="s">
        <v>7832</v>
      </c>
      <c r="N5284" s="18">
        <v>65</v>
      </c>
      <c r="O5284" s="18">
        <v>70</v>
      </c>
      <c r="P5284" s="16">
        <v>72</v>
      </c>
      <c r="Q5284" s="16">
        <v>72</v>
      </c>
      <c r="R5284" s="16">
        <v>70</v>
      </c>
      <c r="S5284" s="16">
        <v>75</v>
      </c>
      <c r="T5284" s="18" t="s">
        <v>1563</v>
      </c>
      <c r="U5284" t="str">
        <f>VLOOKUP(T5284,[8]Votes!$A$1:$E$234,3,FALSE)</f>
        <v>124 Equal Opportunities Commission</v>
      </c>
      <c r="V5284" s="18" t="s">
        <v>7833</v>
      </c>
      <c r="W5284" s="48">
        <v>1</v>
      </c>
      <c r="X5284" s="48">
        <v>0</v>
      </c>
      <c r="Y5284" s="48">
        <v>1</v>
      </c>
      <c r="Z5284" s="48">
        <v>1</v>
      </c>
      <c r="AA5284" s="48">
        <v>1</v>
      </c>
      <c r="AB5284" s="48">
        <v>0</v>
      </c>
      <c r="AC5284" s="150">
        <v>1</v>
      </c>
      <c r="AD5284" s="150">
        <v>1</v>
      </c>
      <c r="AE5284" s="49">
        <f t="shared" si="192"/>
        <v>0.75</v>
      </c>
      <c r="AF5284" s="357"/>
      <c r="AG5284" s="17">
        <v>0</v>
      </c>
      <c r="AH5284" s="357">
        <v>1.45</v>
      </c>
      <c r="AI5284" s="357">
        <v>1.45</v>
      </c>
      <c r="AJ5284" s="357">
        <v>1.45</v>
      </c>
      <c r="AK5284" s="391">
        <v>1.45</v>
      </c>
      <c r="AL5284" s="391">
        <v>1.45</v>
      </c>
      <c r="AM5284" s="147">
        <f t="shared" si="193"/>
        <v>2.9</v>
      </c>
      <c r="AN5284" s="18" t="s">
        <v>1563</v>
      </c>
      <c r="AO5284" s="18" t="s">
        <v>1565</v>
      </c>
    </row>
    <row r="5285" spans="1:41" s="18" customFormat="1" ht="15" customHeight="1" x14ac:dyDescent="0.3">
      <c r="A5285" s="207" t="s">
        <v>7397</v>
      </c>
      <c r="B5285" s="18" t="s">
        <v>7398</v>
      </c>
      <c r="C5285" s="208" t="s">
        <v>7589</v>
      </c>
      <c r="D5285" s="18" t="s">
        <v>7590</v>
      </c>
      <c r="E5285" s="208" t="s">
        <v>7591</v>
      </c>
      <c r="F5285" s="18" t="s">
        <v>7592</v>
      </c>
      <c r="G5285" s="156" t="s">
        <v>7806</v>
      </c>
      <c r="H5285" s="18" t="s">
        <v>7807</v>
      </c>
      <c r="K5285" s="156" t="s">
        <v>7830</v>
      </c>
      <c r="L5285" s="18" t="s">
        <v>7831</v>
      </c>
      <c r="M5285" s="18" t="s">
        <v>7834</v>
      </c>
      <c r="N5285" s="18">
        <v>65</v>
      </c>
      <c r="O5285" s="18">
        <v>70</v>
      </c>
      <c r="P5285" s="16">
        <v>72</v>
      </c>
      <c r="Q5285" s="16">
        <v>75</v>
      </c>
      <c r="R5285" s="16">
        <v>80</v>
      </c>
      <c r="S5285" s="16">
        <v>85</v>
      </c>
      <c r="T5285" s="18" t="s">
        <v>1563</v>
      </c>
      <c r="U5285" t="str">
        <f>VLOOKUP(T5285,[8]Votes!$A$1:$E$234,3,FALSE)</f>
        <v>124 Equal Opportunities Commission</v>
      </c>
      <c r="W5285" s="48"/>
      <c r="X5285" s="48"/>
      <c r="Y5285" s="48"/>
      <c r="Z5285" s="48"/>
      <c r="AA5285" s="48"/>
      <c r="AB5285" s="48"/>
      <c r="AC5285" s="150">
        <v>0</v>
      </c>
      <c r="AD5285" s="150">
        <v>0</v>
      </c>
      <c r="AE5285" s="49">
        <f t="shared" ref="AE5285:AE5348" si="194">SUM(W5285:AD5285)/8</f>
        <v>0</v>
      </c>
      <c r="AF5285" s="357"/>
      <c r="AG5285" s="17">
        <v>0</v>
      </c>
      <c r="AH5285" s="357"/>
      <c r="AI5285" s="357"/>
      <c r="AJ5285" s="357"/>
      <c r="AK5285" s="358"/>
      <c r="AL5285" s="358"/>
      <c r="AM5285" s="147">
        <f t="shared" si="193"/>
        <v>0</v>
      </c>
    </row>
    <row r="5286" spans="1:41" s="18" customFormat="1" ht="15" customHeight="1" x14ac:dyDescent="0.3">
      <c r="A5286" s="207" t="s">
        <v>7397</v>
      </c>
      <c r="B5286" s="18" t="s">
        <v>7398</v>
      </c>
      <c r="C5286" s="208" t="s">
        <v>7589</v>
      </c>
      <c r="D5286" s="18" t="s">
        <v>7590</v>
      </c>
      <c r="E5286" s="208" t="s">
        <v>7591</v>
      </c>
      <c r="F5286" s="18" t="s">
        <v>7592</v>
      </c>
      <c r="G5286" s="156" t="s">
        <v>7806</v>
      </c>
      <c r="H5286" s="18" t="s">
        <v>7807</v>
      </c>
      <c r="K5286" s="156" t="s">
        <v>7830</v>
      </c>
      <c r="L5286" s="18" t="s">
        <v>7831</v>
      </c>
      <c r="M5286" s="18" t="s">
        <v>7835</v>
      </c>
      <c r="N5286" s="18">
        <v>40</v>
      </c>
      <c r="O5286" s="18">
        <v>60</v>
      </c>
      <c r="P5286" s="16">
        <v>62</v>
      </c>
      <c r="Q5286" s="16">
        <v>65</v>
      </c>
      <c r="R5286" s="16">
        <v>67</v>
      </c>
      <c r="S5286" s="16">
        <v>70</v>
      </c>
      <c r="T5286" s="18" t="s">
        <v>1563</v>
      </c>
      <c r="U5286" t="str">
        <f>VLOOKUP(T5286,[8]Votes!$A$1:$E$234,3,FALSE)</f>
        <v>124 Equal Opportunities Commission</v>
      </c>
      <c r="W5286" s="48"/>
      <c r="X5286" s="48"/>
      <c r="Y5286" s="48"/>
      <c r="Z5286" s="48"/>
      <c r="AA5286" s="48"/>
      <c r="AB5286" s="48"/>
      <c r="AC5286" s="150">
        <v>0</v>
      </c>
      <c r="AD5286" s="150">
        <v>0</v>
      </c>
      <c r="AE5286" s="49">
        <f t="shared" si="194"/>
        <v>0</v>
      </c>
      <c r="AF5286" s="357"/>
      <c r="AG5286" s="17">
        <v>0</v>
      </c>
      <c r="AH5286" s="357"/>
      <c r="AI5286" s="357"/>
      <c r="AJ5286" s="357"/>
      <c r="AK5286" s="358"/>
      <c r="AL5286" s="358"/>
      <c r="AM5286" s="147">
        <f t="shared" si="193"/>
        <v>0</v>
      </c>
    </row>
    <row r="5287" spans="1:41" s="18" customFormat="1" ht="15" customHeight="1" x14ac:dyDescent="0.3">
      <c r="A5287" s="207" t="s">
        <v>7397</v>
      </c>
      <c r="B5287" s="18" t="s">
        <v>7398</v>
      </c>
      <c r="C5287" s="208" t="s">
        <v>7589</v>
      </c>
      <c r="D5287" s="18" t="s">
        <v>7590</v>
      </c>
      <c r="E5287" s="208" t="s">
        <v>7591</v>
      </c>
      <c r="F5287" s="18" t="s">
        <v>7592</v>
      </c>
      <c r="G5287" s="156" t="s">
        <v>7836</v>
      </c>
      <c r="H5287" s="18" t="s">
        <v>7837</v>
      </c>
      <c r="K5287" s="156" t="s">
        <v>7838</v>
      </c>
      <c r="L5287" s="18" t="s">
        <v>7839</v>
      </c>
      <c r="M5287" s="18" t="s">
        <v>7840</v>
      </c>
      <c r="N5287" s="18">
        <v>0</v>
      </c>
      <c r="O5287" s="18">
        <v>40</v>
      </c>
      <c r="P5287" s="16">
        <v>50</v>
      </c>
      <c r="Q5287" s="16">
        <v>65</v>
      </c>
      <c r="R5287" s="16">
        <v>85</v>
      </c>
      <c r="S5287" s="16">
        <v>100</v>
      </c>
      <c r="T5287" s="18" t="s">
        <v>921</v>
      </c>
      <c r="U5287" t="str">
        <f>VLOOKUP(T5287,[8]Votes!$A$1:$E$234,3,FALSE)</f>
        <v>008 Ministry of Finance, Planning &amp; Economic Dev.</v>
      </c>
      <c r="V5287" s="18" t="s">
        <v>7837</v>
      </c>
      <c r="W5287" s="48">
        <v>1</v>
      </c>
      <c r="X5287" s="48">
        <v>1</v>
      </c>
      <c r="Y5287" s="48">
        <v>0</v>
      </c>
      <c r="Z5287" s="48">
        <v>1</v>
      </c>
      <c r="AA5287" s="48">
        <v>1</v>
      </c>
      <c r="AB5287" s="48">
        <v>1</v>
      </c>
      <c r="AC5287" s="150">
        <v>0</v>
      </c>
      <c r="AD5287" s="150">
        <v>1</v>
      </c>
      <c r="AE5287" s="49">
        <f t="shared" si="194"/>
        <v>0.75</v>
      </c>
      <c r="AF5287" s="255"/>
      <c r="AG5287" s="17">
        <v>0</v>
      </c>
      <c r="AH5287" s="255">
        <v>1.45</v>
      </c>
      <c r="AI5287" s="255">
        <v>1.45</v>
      </c>
      <c r="AJ5287" s="255">
        <v>1.45</v>
      </c>
      <c r="AK5287" s="383">
        <v>3.45</v>
      </c>
      <c r="AL5287" s="383">
        <v>3.5</v>
      </c>
      <c r="AM5287" s="147">
        <f t="shared" si="193"/>
        <v>6.95</v>
      </c>
      <c r="AN5287" s="18" t="s">
        <v>921</v>
      </c>
      <c r="AO5287" s="18" t="s">
        <v>880</v>
      </c>
    </row>
    <row r="5288" spans="1:41" s="18" customFormat="1" ht="15" customHeight="1" x14ac:dyDescent="0.3">
      <c r="A5288" s="207" t="s">
        <v>7397</v>
      </c>
      <c r="B5288" s="18" t="s">
        <v>7398</v>
      </c>
      <c r="C5288" s="208" t="s">
        <v>7589</v>
      </c>
      <c r="D5288" s="18" t="s">
        <v>7590</v>
      </c>
      <c r="E5288" s="208" t="s">
        <v>7591</v>
      </c>
      <c r="F5288" s="18" t="s">
        <v>7592</v>
      </c>
      <c r="G5288" s="156" t="s">
        <v>7836</v>
      </c>
      <c r="H5288" s="18" t="s">
        <v>7837</v>
      </c>
      <c r="K5288" s="156" t="s">
        <v>7838</v>
      </c>
      <c r="L5288" s="18" t="s">
        <v>7839</v>
      </c>
      <c r="M5288" s="18" t="s">
        <v>7841</v>
      </c>
      <c r="N5288" s="18">
        <v>0</v>
      </c>
      <c r="O5288" s="18">
        <v>10</v>
      </c>
      <c r="P5288" s="16">
        <v>24</v>
      </c>
      <c r="Q5288" s="16">
        <v>38</v>
      </c>
      <c r="R5288" s="16">
        <v>52</v>
      </c>
      <c r="S5288" s="16">
        <v>79</v>
      </c>
      <c r="T5288" s="18" t="s">
        <v>921</v>
      </c>
      <c r="U5288" t="str">
        <f>VLOOKUP(T5288,[8]Votes!$A$1:$E$234,3,FALSE)</f>
        <v>008 Ministry of Finance, Planning &amp; Economic Dev.</v>
      </c>
      <c r="W5288" s="48"/>
      <c r="X5288" s="48"/>
      <c r="Y5288" s="48"/>
      <c r="Z5288" s="48"/>
      <c r="AA5288" s="48"/>
      <c r="AB5288" s="48"/>
      <c r="AC5288" s="150">
        <v>0</v>
      </c>
      <c r="AD5288" s="150">
        <v>0</v>
      </c>
      <c r="AE5288" s="49">
        <f t="shared" si="194"/>
        <v>0</v>
      </c>
      <c r="AF5288" s="17"/>
      <c r="AG5288" s="17">
        <v>0</v>
      </c>
      <c r="AH5288" s="17"/>
      <c r="AI5288" s="17"/>
      <c r="AJ5288" s="17"/>
      <c r="AK5288" s="154"/>
      <c r="AL5288" s="154"/>
      <c r="AM5288" s="147">
        <f t="shared" si="193"/>
        <v>0</v>
      </c>
    </row>
    <row r="5289" spans="1:41" s="18" customFormat="1" ht="15" customHeight="1" x14ac:dyDescent="0.3">
      <c r="A5289" s="207" t="s">
        <v>7397</v>
      </c>
      <c r="B5289" s="18" t="s">
        <v>7398</v>
      </c>
      <c r="C5289" s="208" t="s">
        <v>7589</v>
      </c>
      <c r="D5289" s="18" t="s">
        <v>7590</v>
      </c>
      <c r="E5289" s="208" t="s">
        <v>7591</v>
      </c>
      <c r="F5289" s="18" t="s">
        <v>7592</v>
      </c>
      <c r="G5289" s="156" t="s">
        <v>7842</v>
      </c>
      <c r="H5289" s="18" t="s">
        <v>7843</v>
      </c>
      <c r="I5289" s="18" t="s">
        <v>7844</v>
      </c>
      <c r="J5289" s="18" t="s">
        <v>7845</v>
      </c>
      <c r="K5289" s="18" t="s">
        <v>7846</v>
      </c>
      <c r="L5289" s="18" t="s">
        <v>7847</v>
      </c>
      <c r="M5289" s="18" t="s">
        <v>7848</v>
      </c>
      <c r="N5289" s="18">
        <v>0</v>
      </c>
      <c r="O5289" s="18">
        <v>7</v>
      </c>
      <c r="P5289" s="16">
        <v>10</v>
      </c>
      <c r="Q5289" s="16">
        <v>10</v>
      </c>
      <c r="R5289" s="16">
        <v>10</v>
      </c>
      <c r="S5289" s="16">
        <v>10</v>
      </c>
      <c r="T5289" s="18" t="s">
        <v>921</v>
      </c>
      <c r="U5289" t="str">
        <f>VLOOKUP(T5289,[8]Votes!$A$1:$E$234,3,FALSE)</f>
        <v>008 Ministry of Finance, Planning &amp; Economic Dev.</v>
      </c>
      <c r="V5289" s="18" t="s">
        <v>7849</v>
      </c>
      <c r="W5289" s="48">
        <v>1</v>
      </c>
      <c r="X5289" s="48">
        <v>0</v>
      </c>
      <c r="Y5289" s="48">
        <v>0</v>
      </c>
      <c r="Z5289" s="48">
        <v>1</v>
      </c>
      <c r="AA5289" s="48">
        <v>1</v>
      </c>
      <c r="AB5289" s="48">
        <v>0</v>
      </c>
      <c r="AC5289" s="150">
        <v>1</v>
      </c>
      <c r="AD5289" s="150">
        <v>1</v>
      </c>
      <c r="AE5289" s="49">
        <f t="shared" si="194"/>
        <v>0.625</v>
      </c>
      <c r="AF5289" s="255"/>
      <c r="AG5289" s="17">
        <v>0</v>
      </c>
      <c r="AH5289" s="255">
        <v>7.2499999999999995E-2</v>
      </c>
      <c r="AI5289" s="255">
        <v>7.2499999999999995E-2</v>
      </c>
      <c r="AJ5289" s="255">
        <v>7.2499999999999995E-2</v>
      </c>
      <c r="AK5289" s="383">
        <v>0.1</v>
      </c>
      <c r="AL5289" s="256">
        <f>0.3/3</f>
        <v>9.9999999999999992E-2</v>
      </c>
      <c r="AM5289" s="147">
        <f t="shared" si="193"/>
        <v>0.2</v>
      </c>
      <c r="AN5289" s="18" t="s">
        <v>921</v>
      </c>
      <c r="AO5289" s="18" t="s">
        <v>880</v>
      </c>
    </row>
    <row r="5290" spans="1:41" s="18" customFormat="1" ht="15" customHeight="1" x14ac:dyDescent="0.3">
      <c r="A5290" s="207" t="s">
        <v>7397</v>
      </c>
      <c r="B5290" s="18" t="s">
        <v>7398</v>
      </c>
      <c r="C5290" s="208" t="s">
        <v>7589</v>
      </c>
      <c r="D5290" s="18" t="s">
        <v>7590</v>
      </c>
      <c r="E5290" s="208" t="s">
        <v>7591</v>
      </c>
      <c r="F5290" s="18" t="s">
        <v>7592</v>
      </c>
      <c r="G5290" s="156" t="s">
        <v>7842</v>
      </c>
      <c r="H5290" s="18" t="s">
        <v>7843</v>
      </c>
      <c r="I5290" s="18" t="s">
        <v>7844</v>
      </c>
      <c r="J5290" s="18" t="s">
        <v>7845</v>
      </c>
      <c r="K5290" s="18" t="s">
        <v>7846</v>
      </c>
      <c r="L5290" s="18" t="s">
        <v>7847</v>
      </c>
      <c r="M5290" s="18" t="s">
        <v>7848</v>
      </c>
      <c r="N5290" s="18">
        <v>0</v>
      </c>
      <c r="O5290" s="18">
        <v>7</v>
      </c>
      <c r="P5290" s="16">
        <v>7</v>
      </c>
      <c r="Q5290" s="16">
        <v>7</v>
      </c>
      <c r="R5290" s="16">
        <v>7</v>
      </c>
      <c r="S5290" s="16">
        <v>7</v>
      </c>
      <c r="T5290" s="18" t="s">
        <v>7852</v>
      </c>
      <c r="U5290" t="str">
        <f>VLOOKUP(T5290,[8]Votes!$A$1:$E$234,3,FALSE)</f>
        <v>131 Auditor General</v>
      </c>
      <c r="V5290" s="18" t="s">
        <v>7853</v>
      </c>
      <c r="W5290" s="48"/>
      <c r="X5290" s="48"/>
      <c r="Y5290" s="48"/>
      <c r="Z5290" s="48"/>
      <c r="AA5290" s="48"/>
      <c r="AB5290" s="48"/>
      <c r="AC5290" s="150">
        <v>0</v>
      </c>
      <c r="AD5290" s="150">
        <v>0</v>
      </c>
      <c r="AE5290" s="49">
        <f t="shared" si="194"/>
        <v>0</v>
      </c>
      <c r="AF5290" s="255"/>
      <c r="AG5290" s="17">
        <v>0</v>
      </c>
      <c r="AH5290" s="255">
        <v>0.435</v>
      </c>
      <c r="AI5290" s="255">
        <v>0.50749999999999995</v>
      </c>
      <c r="AJ5290" s="255">
        <v>0.55099999999999993</v>
      </c>
      <c r="AK5290" s="256">
        <v>0</v>
      </c>
      <c r="AL5290" s="256">
        <v>0</v>
      </c>
      <c r="AM5290" s="147">
        <f t="shared" si="193"/>
        <v>0</v>
      </c>
      <c r="AN5290" s="18" t="s">
        <v>7852</v>
      </c>
      <c r="AO5290" s="18" t="s">
        <v>7854</v>
      </c>
    </row>
    <row r="5291" spans="1:41" s="18" customFormat="1" ht="15" customHeight="1" x14ac:dyDescent="0.3">
      <c r="A5291" s="207" t="s">
        <v>7397</v>
      </c>
      <c r="B5291" s="18" t="s">
        <v>7398</v>
      </c>
      <c r="C5291" s="208" t="s">
        <v>7589</v>
      </c>
      <c r="D5291" s="18" t="s">
        <v>7590</v>
      </c>
      <c r="E5291" s="208" t="s">
        <v>7591</v>
      </c>
      <c r="F5291" s="18" t="s">
        <v>7592</v>
      </c>
      <c r="G5291" s="156" t="s">
        <v>7842</v>
      </c>
      <c r="H5291" s="18" t="s">
        <v>7843</v>
      </c>
      <c r="I5291" s="18" t="s">
        <v>7859</v>
      </c>
      <c r="J5291" s="18" t="s">
        <v>7860</v>
      </c>
      <c r="K5291" s="18" t="s">
        <v>7861</v>
      </c>
      <c r="L5291" s="18" t="s">
        <v>7862</v>
      </c>
      <c r="M5291" s="18" t="s">
        <v>7863</v>
      </c>
      <c r="N5291" s="18">
        <v>0</v>
      </c>
      <c r="O5291" s="18">
        <v>1</v>
      </c>
      <c r="P5291" s="16">
        <v>1</v>
      </c>
      <c r="Q5291" s="16">
        <v>1</v>
      </c>
      <c r="R5291" s="16">
        <v>1</v>
      </c>
      <c r="S5291" s="16">
        <v>1</v>
      </c>
      <c r="T5291" s="18" t="s">
        <v>921</v>
      </c>
      <c r="U5291" t="str">
        <f>VLOOKUP(T5291,[8]Votes!$A$1:$E$234,3,FALSE)</f>
        <v>008 Ministry of Finance, Planning &amp; Economic Dev.</v>
      </c>
      <c r="V5291" s="18" t="s">
        <v>7864</v>
      </c>
      <c r="W5291" s="48">
        <v>1</v>
      </c>
      <c r="X5291" s="48">
        <v>0</v>
      </c>
      <c r="Y5291" s="48">
        <v>0</v>
      </c>
      <c r="Z5291" s="48">
        <v>1</v>
      </c>
      <c r="AA5291" s="48">
        <v>1</v>
      </c>
      <c r="AB5291" s="48">
        <v>0</v>
      </c>
      <c r="AC5291" s="150">
        <v>1</v>
      </c>
      <c r="AD5291" s="150">
        <v>1</v>
      </c>
      <c r="AE5291" s="49">
        <f t="shared" si="194"/>
        <v>0.625</v>
      </c>
      <c r="AF5291" s="255"/>
      <c r="AG5291" s="17">
        <v>0</v>
      </c>
      <c r="AH5291" s="255">
        <v>0.14499999999999999</v>
      </c>
      <c r="AI5291" s="255">
        <v>0</v>
      </c>
      <c r="AJ5291" s="255">
        <v>0</v>
      </c>
      <c r="AK5291" s="256">
        <f>0.1/100</f>
        <v>1E-3</v>
      </c>
      <c r="AL5291" s="256">
        <f>0.1/100</f>
        <v>1E-3</v>
      </c>
      <c r="AM5291" s="147">
        <f t="shared" si="193"/>
        <v>2E-3</v>
      </c>
      <c r="AN5291" s="18" t="s">
        <v>921</v>
      </c>
      <c r="AO5291" s="18" t="s">
        <v>880</v>
      </c>
    </row>
    <row r="5292" spans="1:41" s="18" customFormat="1" ht="15" customHeight="1" x14ac:dyDescent="0.3">
      <c r="A5292" s="207" t="s">
        <v>7397</v>
      </c>
      <c r="B5292" s="18" t="s">
        <v>7398</v>
      </c>
      <c r="C5292" s="208" t="s">
        <v>7589</v>
      </c>
      <c r="D5292" s="18" t="s">
        <v>7590</v>
      </c>
      <c r="E5292" s="208" t="s">
        <v>7591</v>
      </c>
      <c r="F5292" s="18" t="s">
        <v>7592</v>
      </c>
      <c r="G5292" s="156" t="s">
        <v>7842</v>
      </c>
      <c r="H5292" s="18" t="s">
        <v>7843</v>
      </c>
      <c r="I5292" s="18" t="s">
        <v>7859</v>
      </c>
      <c r="J5292" s="18" t="s">
        <v>7860</v>
      </c>
      <c r="K5292" s="18" t="s">
        <v>7865</v>
      </c>
      <c r="L5292" s="18" t="s">
        <v>7866</v>
      </c>
      <c r="M5292" s="18" t="s">
        <v>7867</v>
      </c>
      <c r="N5292" s="18">
        <v>0</v>
      </c>
      <c r="O5292" s="18">
        <v>50</v>
      </c>
      <c r="P5292" s="16">
        <v>60</v>
      </c>
      <c r="Q5292" s="16">
        <v>70</v>
      </c>
      <c r="R5292" s="16">
        <v>80</v>
      </c>
      <c r="S5292" s="16">
        <v>90</v>
      </c>
      <c r="T5292" s="18" t="s">
        <v>921</v>
      </c>
      <c r="U5292" t="str">
        <f>VLOOKUP(T5292,[8]Votes!$A$1:$E$234,3,FALSE)</f>
        <v>008 Ministry of Finance, Planning &amp; Economic Dev.</v>
      </c>
      <c r="V5292" s="18" t="s">
        <v>7868</v>
      </c>
      <c r="W5292" s="48">
        <v>1</v>
      </c>
      <c r="X5292" s="48">
        <v>0</v>
      </c>
      <c r="Y5292" s="48">
        <v>0</v>
      </c>
      <c r="Z5292" s="48">
        <v>1</v>
      </c>
      <c r="AA5292" s="48">
        <v>1</v>
      </c>
      <c r="AB5292" s="48">
        <v>1</v>
      </c>
      <c r="AC5292" s="150">
        <v>0</v>
      </c>
      <c r="AD5292" s="150">
        <v>1</v>
      </c>
      <c r="AE5292" s="49">
        <f t="shared" si="194"/>
        <v>0.625</v>
      </c>
      <c r="AF5292" s="176"/>
      <c r="AG5292" s="17">
        <v>0</v>
      </c>
      <c r="AH5292" s="176">
        <v>5.22</v>
      </c>
      <c r="AI5292" s="176">
        <v>1.45</v>
      </c>
      <c r="AJ5292" s="176">
        <v>1.45</v>
      </c>
      <c r="AK5292" s="177">
        <f>1.45/2</f>
        <v>0.72499999999999998</v>
      </c>
      <c r="AL5292" s="177">
        <f>1.8/2</f>
        <v>0.9</v>
      </c>
      <c r="AM5292" s="147">
        <f t="shared" si="193"/>
        <v>1.625</v>
      </c>
      <c r="AN5292" s="18" t="s">
        <v>921</v>
      </c>
      <c r="AO5292" s="18" t="s">
        <v>880</v>
      </c>
    </row>
    <row r="5293" spans="1:41" s="18" customFormat="1" ht="15" customHeight="1" x14ac:dyDescent="0.3">
      <c r="A5293" s="207" t="s">
        <v>7397</v>
      </c>
      <c r="B5293" s="18" t="s">
        <v>7398</v>
      </c>
      <c r="C5293" s="208" t="s">
        <v>7589</v>
      </c>
      <c r="D5293" s="18" t="s">
        <v>7590</v>
      </c>
      <c r="E5293" s="208" t="s">
        <v>7591</v>
      </c>
      <c r="F5293" s="18" t="s">
        <v>7592</v>
      </c>
      <c r="G5293" s="156" t="s">
        <v>7842</v>
      </c>
      <c r="H5293" s="18" t="s">
        <v>7843</v>
      </c>
      <c r="I5293" s="18" t="s">
        <v>7859</v>
      </c>
      <c r="J5293" s="18" t="s">
        <v>7860</v>
      </c>
      <c r="K5293" s="18" t="s">
        <v>7869</v>
      </c>
      <c r="L5293" s="18" t="s">
        <v>7870</v>
      </c>
      <c r="M5293" s="18" t="s">
        <v>7863</v>
      </c>
      <c r="N5293" s="18">
        <v>0</v>
      </c>
      <c r="O5293" s="18">
        <v>1</v>
      </c>
      <c r="P5293" s="16">
        <v>1</v>
      </c>
      <c r="Q5293" s="16">
        <v>1</v>
      </c>
      <c r="R5293" s="16">
        <v>1</v>
      </c>
      <c r="S5293" s="16">
        <v>1</v>
      </c>
      <c r="T5293" s="18" t="s">
        <v>921</v>
      </c>
      <c r="U5293" t="str">
        <f>VLOOKUP(T5293,[8]Votes!$A$1:$E$234,3,FALSE)</f>
        <v>008 Ministry of Finance, Planning &amp; Economic Dev.</v>
      </c>
      <c r="W5293" s="48"/>
      <c r="X5293" s="48"/>
      <c r="Y5293" s="48"/>
      <c r="Z5293" s="48"/>
      <c r="AA5293" s="48"/>
      <c r="AB5293" s="48"/>
      <c r="AC5293" s="150">
        <v>0</v>
      </c>
      <c r="AD5293" s="150">
        <v>0</v>
      </c>
      <c r="AE5293" s="49">
        <f t="shared" si="194"/>
        <v>0</v>
      </c>
      <c r="AF5293" s="17"/>
      <c r="AG5293" s="17">
        <v>0</v>
      </c>
      <c r="AH5293" s="17"/>
      <c r="AI5293" s="17"/>
      <c r="AJ5293" s="17"/>
      <c r="AK5293" s="154"/>
      <c r="AL5293" s="154"/>
      <c r="AM5293" s="147">
        <f t="shared" si="193"/>
        <v>0</v>
      </c>
    </row>
    <row r="5294" spans="1:41" s="18" customFormat="1" ht="15" customHeight="1" x14ac:dyDescent="0.3">
      <c r="A5294" s="207" t="s">
        <v>7397</v>
      </c>
      <c r="B5294" s="18" t="s">
        <v>7398</v>
      </c>
      <c r="C5294" s="208" t="s">
        <v>8042</v>
      </c>
      <c r="D5294" s="18" t="s">
        <v>8043</v>
      </c>
      <c r="E5294" s="208" t="s">
        <v>11638</v>
      </c>
      <c r="F5294" s="18" t="s">
        <v>7592</v>
      </c>
      <c r="G5294" s="156" t="s">
        <v>11650</v>
      </c>
      <c r="H5294" s="18" t="s">
        <v>7872</v>
      </c>
      <c r="K5294" s="18">
        <v>18421601</v>
      </c>
      <c r="L5294" s="18" t="s">
        <v>7873</v>
      </c>
      <c r="M5294" s="18" t="s">
        <v>7874</v>
      </c>
      <c r="N5294" s="18">
        <v>0</v>
      </c>
      <c r="O5294" s="18">
        <v>0</v>
      </c>
      <c r="P5294" s="16">
        <v>20</v>
      </c>
      <c r="Q5294" s="16">
        <v>35</v>
      </c>
      <c r="R5294" s="16">
        <v>50</v>
      </c>
      <c r="S5294" s="16">
        <v>75</v>
      </c>
      <c r="T5294" s="18" t="s">
        <v>921</v>
      </c>
      <c r="U5294" t="str">
        <f>VLOOKUP(T5294,[8]Votes!$A$1:$E$234,3,FALSE)</f>
        <v>008 Ministry of Finance, Planning &amp; Economic Dev.</v>
      </c>
      <c r="V5294" s="18" t="s">
        <v>7875</v>
      </c>
      <c r="W5294" s="48">
        <v>1</v>
      </c>
      <c r="X5294" s="48">
        <v>1</v>
      </c>
      <c r="Y5294" s="48">
        <v>0</v>
      </c>
      <c r="Z5294" s="48">
        <v>1</v>
      </c>
      <c r="AA5294" s="48">
        <v>1</v>
      </c>
      <c r="AB5294" s="48">
        <v>1</v>
      </c>
      <c r="AC5294" s="150">
        <v>1</v>
      </c>
      <c r="AD5294" s="150">
        <v>1</v>
      </c>
      <c r="AE5294" s="49">
        <f t="shared" si="194"/>
        <v>0.875</v>
      </c>
      <c r="AF5294" s="255"/>
      <c r="AG5294" s="17">
        <v>0</v>
      </c>
      <c r="AH5294" s="255">
        <v>0</v>
      </c>
      <c r="AI5294" s="255">
        <v>0</v>
      </c>
      <c r="AJ5294" s="255">
        <v>0</v>
      </c>
      <c r="AK5294" s="256">
        <v>0</v>
      </c>
      <c r="AL5294" s="256">
        <v>0</v>
      </c>
      <c r="AM5294" s="147">
        <f t="shared" si="193"/>
        <v>0</v>
      </c>
      <c r="AN5294" s="18" t="s">
        <v>921</v>
      </c>
      <c r="AO5294" s="18" t="s">
        <v>880</v>
      </c>
    </row>
    <row r="5295" spans="1:41" s="18" customFormat="1" ht="15" customHeight="1" x14ac:dyDescent="0.3">
      <c r="A5295" s="207" t="s">
        <v>7397</v>
      </c>
      <c r="B5295" s="18" t="s">
        <v>7398</v>
      </c>
      <c r="C5295" s="208" t="s">
        <v>8042</v>
      </c>
      <c r="D5295" s="18" t="s">
        <v>8043</v>
      </c>
      <c r="E5295" s="208" t="s">
        <v>11638</v>
      </c>
      <c r="F5295" s="18" t="s">
        <v>7592</v>
      </c>
      <c r="G5295" s="156" t="s">
        <v>11650</v>
      </c>
      <c r="H5295" s="18" t="s">
        <v>7872</v>
      </c>
      <c r="K5295" s="18">
        <v>18421601</v>
      </c>
      <c r="L5295" s="18" t="s">
        <v>7873</v>
      </c>
      <c r="M5295" s="18" t="s">
        <v>7876</v>
      </c>
      <c r="N5295" s="18">
        <v>0</v>
      </c>
      <c r="O5295" s="18">
        <v>1</v>
      </c>
      <c r="P5295" s="16">
        <v>1</v>
      </c>
      <c r="Q5295" s="16">
        <v>1</v>
      </c>
      <c r="R5295" s="16">
        <v>1</v>
      </c>
      <c r="S5295" s="16">
        <v>1</v>
      </c>
      <c r="T5295" s="18" t="s">
        <v>921</v>
      </c>
      <c r="U5295" t="str">
        <f>VLOOKUP(T5295,[8]Votes!$A$1:$E$234,3,FALSE)</f>
        <v>008 Ministry of Finance, Planning &amp; Economic Dev.</v>
      </c>
      <c r="W5295" s="48"/>
      <c r="X5295" s="48"/>
      <c r="Y5295" s="48"/>
      <c r="Z5295" s="48"/>
      <c r="AA5295" s="48"/>
      <c r="AB5295" s="48"/>
      <c r="AC5295" s="150">
        <v>0</v>
      </c>
      <c r="AD5295" s="150">
        <v>0</v>
      </c>
      <c r="AE5295" s="49">
        <f t="shared" si="194"/>
        <v>0</v>
      </c>
      <c r="AF5295" s="17"/>
      <c r="AG5295" s="17">
        <v>0</v>
      </c>
      <c r="AH5295" s="17"/>
      <c r="AI5295" s="17"/>
      <c r="AJ5295" s="17"/>
      <c r="AK5295" s="154"/>
      <c r="AL5295" s="154"/>
      <c r="AM5295" s="147">
        <f t="shared" si="193"/>
        <v>0</v>
      </c>
    </row>
    <row r="5296" spans="1:41" s="18" customFormat="1" ht="15" customHeight="1" x14ac:dyDescent="0.3">
      <c r="A5296" s="207" t="s">
        <v>7397</v>
      </c>
      <c r="B5296" s="18" t="s">
        <v>7398</v>
      </c>
      <c r="C5296" s="208" t="s">
        <v>8042</v>
      </c>
      <c r="D5296" s="18" t="s">
        <v>8043</v>
      </c>
      <c r="E5296" s="208" t="s">
        <v>11638</v>
      </c>
      <c r="F5296" s="18" t="s">
        <v>7592</v>
      </c>
      <c r="G5296" s="156" t="s">
        <v>11650</v>
      </c>
      <c r="H5296" s="18" t="s">
        <v>7872</v>
      </c>
      <c r="K5296" s="18">
        <v>18421601</v>
      </c>
      <c r="L5296" s="18" t="s">
        <v>7873</v>
      </c>
      <c r="M5296" s="18" t="s">
        <v>7877</v>
      </c>
      <c r="N5296" s="18">
        <v>0</v>
      </c>
      <c r="O5296" s="18">
        <v>0</v>
      </c>
      <c r="P5296" s="16">
        <v>13</v>
      </c>
      <c r="Q5296" s="16">
        <v>13</v>
      </c>
      <c r="R5296" s="16">
        <v>14</v>
      </c>
      <c r="S5296" s="16">
        <v>14</v>
      </c>
      <c r="T5296" s="18" t="s">
        <v>921</v>
      </c>
      <c r="U5296" t="str">
        <f>VLOOKUP(T5296,[8]Votes!$A$1:$E$234,3,FALSE)</f>
        <v>008 Ministry of Finance, Planning &amp; Economic Dev.</v>
      </c>
      <c r="W5296" s="48"/>
      <c r="X5296" s="48"/>
      <c r="Y5296" s="48"/>
      <c r="Z5296" s="48"/>
      <c r="AA5296" s="48"/>
      <c r="AB5296" s="48"/>
      <c r="AC5296" s="150">
        <v>0</v>
      </c>
      <c r="AD5296" s="150">
        <v>0</v>
      </c>
      <c r="AE5296" s="49">
        <f t="shared" si="194"/>
        <v>0</v>
      </c>
      <c r="AF5296" s="17"/>
      <c r="AG5296" s="17">
        <v>0</v>
      </c>
      <c r="AH5296" s="17"/>
      <c r="AI5296" s="17"/>
      <c r="AJ5296" s="17"/>
      <c r="AK5296" s="154"/>
      <c r="AL5296" s="154"/>
      <c r="AM5296" s="147">
        <f t="shared" si="193"/>
        <v>0</v>
      </c>
    </row>
    <row r="5297" spans="1:42" s="18" customFormat="1" ht="15" customHeight="1" x14ac:dyDescent="0.3">
      <c r="A5297" s="207" t="s">
        <v>7397</v>
      </c>
      <c r="B5297" s="18" t="s">
        <v>7398</v>
      </c>
      <c r="C5297" s="208" t="s">
        <v>8042</v>
      </c>
      <c r="D5297" s="18" t="s">
        <v>8043</v>
      </c>
      <c r="E5297" s="208" t="s">
        <v>11638</v>
      </c>
      <c r="F5297" s="18" t="s">
        <v>7592</v>
      </c>
      <c r="G5297" s="156" t="s">
        <v>11650</v>
      </c>
      <c r="H5297" s="18" t="s">
        <v>7872</v>
      </c>
      <c r="K5297" s="18">
        <v>18421601</v>
      </c>
      <c r="L5297" s="18" t="s">
        <v>7873</v>
      </c>
      <c r="M5297" s="18" t="s">
        <v>7878</v>
      </c>
      <c r="N5297" s="18">
        <v>0</v>
      </c>
      <c r="O5297" s="18">
        <v>0</v>
      </c>
      <c r="P5297" s="16">
        <v>0</v>
      </c>
      <c r="Q5297" s="16">
        <v>5</v>
      </c>
      <c r="R5297" s="16">
        <v>6</v>
      </c>
      <c r="S5297" s="16">
        <v>7</v>
      </c>
      <c r="T5297" s="18" t="s">
        <v>921</v>
      </c>
      <c r="U5297" t="str">
        <f>VLOOKUP(T5297,[8]Votes!$A$1:$E$234,3,FALSE)</f>
        <v>008 Ministry of Finance, Planning &amp; Economic Dev.</v>
      </c>
      <c r="W5297" s="48"/>
      <c r="X5297" s="48"/>
      <c r="Y5297" s="48"/>
      <c r="Z5297" s="48"/>
      <c r="AA5297" s="48"/>
      <c r="AB5297" s="48"/>
      <c r="AC5297" s="150">
        <v>0</v>
      </c>
      <c r="AD5297" s="150">
        <v>0</v>
      </c>
      <c r="AE5297" s="49">
        <f t="shared" si="194"/>
        <v>0</v>
      </c>
      <c r="AF5297" s="17"/>
      <c r="AG5297" s="17">
        <v>0</v>
      </c>
      <c r="AH5297" s="17"/>
      <c r="AI5297" s="17"/>
      <c r="AJ5297" s="17"/>
      <c r="AK5297" s="154"/>
      <c r="AL5297" s="154"/>
      <c r="AM5297" s="147">
        <f t="shared" si="193"/>
        <v>0</v>
      </c>
    </row>
    <row r="5298" spans="1:42" s="18" customFormat="1" ht="15" customHeight="1" x14ac:dyDescent="0.3">
      <c r="A5298" s="207" t="s">
        <v>7397</v>
      </c>
      <c r="B5298" s="18" t="s">
        <v>7398</v>
      </c>
      <c r="C5298" s="208" t="s">
        <v>8042</v>
      </c>
      <c r="D5298" s="18" t="s">
        <v>8043</v>
      </c>
      <c r="E5298" s="208" t="s">
        <v>11638</v>
      </c>
      <c r="F5298" s="18" t="s">
        <v>7592</v>
      </c>
      <c r="G5298" s="156" t="s">
        <v>11650</v>
      </c>
      <c r="H5298" s="18" t="s">
        <v>7872</v>
      </c>
      <c r="K5298" s="18">
        <v>18421601</v>
      </c>
      <c r="L5298" s="18" t="s">
        <v>7873</v>
      </c>
      <c r="M5298" s="18" t="s">
        <v>7879</v>
      </c>
      <c r="N5298" s="18">
        <v>0</v>
      </c>
      <c r="O5298" s="18">
        <v>0</v>
      </c>
      <c r="P5298" s="16">
        <v>1</v>
      </c>
      <c r="Q5298" s="16">
        <v>0</v>
      </c>
      <c r="R5298" s="16">
        <v>0</v>
      </c>
      <c r="S5298" s="16">
        <v>0</v>
      </c>
      <c r="T5298" s="18" t="s">
        <v>921</v>
      </c>
      <c r="U5298" t="str">
        <f>VLOOKUP(T5298,[8]Votes!$A$1:$E$234,3,FALSE)</f>
        <v>008 Ministry of Finance, Planning &amp; Economic Dev.</v>
      </c>
      <c r="V5298" s="18" t="s">
        <v>7880</v>
      </c>
      <c r="W5298" s="48">
        <v>1</v>
      </c>
      <c r="X5298" s="48">
        <v>0</v>
      </c>
      <c r="Y5298" s="48">
        <v>0</v>
      </c>
      <c r="Z5298" s="48">
        <v>1</v>
      </c>
      <c r="AA5298" s="48"/>
      <c r="AB5298" s="48">
        <v>1</v>
      </c>
      <c r="AC5298" s="150">
        <v>1</v>
      </c>
      <c r="AD5298" s="150">
        <v>1</v>
      </c>
      <c r="AE5298" s="49">
        <f t="shared" si="194"/>
        <v>0.625</v>
      </c>
      <c r="AF5298" s="255"/>
      <c r="AG5298" s="17">
        <v>0</v>
      </c>
      <c r="AH5298" s="255">
        <v>4.3499999999999996</v>
      </c>
      <c r="AI5298" s="255">
        <v>4.3499999999999996</v>
      </c>
      <c r="AJ5298" s="255">
        <v>2.1749999999999998</v>
      </c>
      <c r="AK5298" s="256">
        <f>2.18/2</f>
        <v>1.0900000000000001</v>
      </c>
      <c r="AL5298" s="256">
        <f>4.35/4</f>
        <v>1.0874999999999999</v>
      </c>
      <c r="AM5298" s="147">
        <f t="shared" si="193"/>
        <v>2.1775000000000002</v>
      </c>
      <c r="AN5298" s="18" t="s">
        <v>921</v>
      </c>
      <c r="AO5298" s="18" t="s">
        <v>880</v>
      </c>
    </row>
    <row r="5299" spans="1:42" s="18" customFormat="1" ht="15" customHeight="1" x14ac:dyDescent="0.3">
      <c r="A5299" s="207" t="s">
        <v>7397</v>
      </c>
      <c r="B5299" s="18" t="s">
        <v>7398</v>
      </c>
      <c r="C5299" s="208" t="s">
        <v>8042</v>
      </c>
      <c r="D5299" s="18" t="s">
        <v>8043</v>
      </c>
      <c r="E5299" s="208" t="s">
        <v>11638</v>
      </c>
      <c r="F5299" s="18" t="s">
        <v>7592</v>
      </c>
      <c r="G5299" s="156" t="s">
        <v>11650</v>
      </c>
      <c r="H5299" s="18" t="s">
        <v>7872</v>
      </c>
      <c r="K5299" s="18">
        <v>18421601</v>
      </c>
      <c r="L5299" s="18" t="s">
        <v>7873</v>
      </c>
      <c r="M5299" s="18" t="s">
        <v>7881</v>
      </c>
      <c r="N5299" s="18">
        <v>0</v>
      </c>
      <c r="O5299" s="18">
        <v>60</v>
      </c>
      <c r="P5299" s="16">
        <v>70</v>
      </c>
      <c r="Q5299" s="16">
        <v>80</v>
      </c>
      <c r="R5299" s="16">
        <v>85</v>
      </c>
      <c r="S5299" s="16">
        <v>90</v>
      </c>
      <c r="T5299" s="18" t="s">
        <v>921</v>
      </c>
      <c r="U5299" t="str">
        <f>VLOOKUP(T5299,[8]Votes!$A$1:$E$234,3,FALSE)</f>
        <v>008 Ministry of Finance, Planning &amp; Economic Dev.</v>
      </c>
      <c r="W5299" s="48"/>
      <c r="X5299" s="48"/>
      <c r="Y5299" s="48"/>
      <c r="Z5299" s="48"/>
      <c r="AA5299" s="48"/>
      <c r="AB5299" s="48"/>
      <c r="AC5299" s="150">
        <v>0</v>
      </c>
      <c r="AD5299" s="150">
        <v>0</v>
      </c>
      <c r="AE5299" s="49">
        <f t="shared" si="194"/>
        <v>0</v>
      </c>
      <c r="AF5299" s="17"/>
      <c r="AG5299" s="17">
        <v>0</v>
      </c>
      <c r="AH5299" s="17"/>
      <c r="AI5299" s="17"/>
      <c r="AJ5299" s="17"/>
      <c r="AK5299" s="154"/>
      <c r="AL5299" s="154"/>
      <c r="AM5299" s="147">
        <f t="shared" si="193"/>
        <v>0</v>
      </c>
    </row>
    <row r="5300" spans="1:42" s="18" customFormat="1" ht="15" customHeight="1" x14ac:dyDescent="0.3">
      <c r="A5300" s="207" t="s">
        <v>7397</v>
      </c>
      <c r="B5300" s="18" t="s">
        <v>7398</v>
      </c>
      <c r="C5300" s="208" t="s">
        <v>8042</v>
      </c>
      <c r="D5300" s="18" t="s">
        <v>8043</v>
      </c>
      <c r="E5300" s="208" t="s">
        <v>11638</v>
      </c>
      <c r="F5300" s="18" t="s">
        <v>7592</v>
      </c>
      <c r="G5300" s="156" t="s">
        <v>11650</v>
      </c>
      <c r="H5300" s="18" t="s">
        <v>7872</v>
      </c>
      <c r="K5300" s="18">
        <v>18421602</v>
      </c>
      <c r="L5300" s="18" t="s">
        <v>7882</v>
      </c>
      <c r="M5300" s="18" t="s">
        <v>7883</v>
      </c>
      <c r="N5300" s="18">
        <v>0</v>
      </c>
      <c r="O5300" s="18">
        <v>25</v>
      </c>
      <c r="P5300" s="16">
        <v>50</v>
      </c>
      <c r="Q5300" s="16">
        <v>75</v>
      </c>
      <c r="R5300" s="16">
        <v>85</v>
      </c>
      <c r="S5300" s="16">
        <v>100</v>
      </c>
      <c r="T5300" s="18" t="s">
        <v>921</v>
      </c>
      <c r="U5300" t="str">
        <f>VLOOKUP(T5300,[8]Votes!$A$1:$E$234,3,FALSE)</f>
        <v>008 Ministry of Finance, Planning &amp; Economic Dev.</v>
      </c>
      <c r="V5300" s="18" t="s">
        <v>7884</v>
      </c>
      <c r="W5300" s="48">
        <v>1</v>
      </c>
      <c r="X5300" s="48">
        <v>1</v>
      </c>
      <c r="Y5300" s="48">
        <v>0</v>
      </c>
      <c r="Z5300" s="48">
        <v>1</v>
      </c>
      <c r="AA5300" s="48">
        <v>1</v>
      </c>
      <c r="AB5300" s="48">
        <v>1</v>
      </c>
      <c r="AC5300" s="150">
        <v>0</v>
      </c>
      <c r="AD5300" s="150">
        <v>1</v>
      </c>
      <c r="AE5300" s="49">
        <f t="shared" si="194"/>
        <v>0.75</v>
      </c>
      <c r="AF5300" s="176"/>
      <c r="AG5300" s="17">
        <v>0</v>
      </c>
      <c r="AH5300" s="176">
        <v>1.45</v>
      </c>
      <c r="AI5300" s="176">
        <v>6.96</v>
      </c>
      <c r="AJ5300" s="176">
        <v>2.9</v>
      </c>
      <c r="AK5300" s="384">
        <v>2.9</v>
      </c>
      <c r="AL5300" s="384">
        <v>2.9</v>
      </c>
      <c r="AM5300" s="147">
        <f t="shared" si="193"/>
        <v>5.8</v>
      </c>
      <c r="AN5300" s="18" t="s">
        <v>921</v>
      </c>
      <c r="AO5300" s="18" t="s">
        <v>880</v>
      </c>
    </row>
    <row r="5301" spans="1:42" s="18" customFormat="1" ht="15" customHeight="1" x14ac:dyDescent="0.3">
      <c r="A5301" s="207" t="s">
        <v>7397</v>
      </c>
      <c r="B5301" s="18" t="s">
        <v>7398</v>
      </c>
      <c r="C5301" s="208" t="s">
        <v>8042</v>
      </c>
      <c r="D5301" s="18" t="s">
        <v>8043</v>
      </c>
      <c r="E5301" s="208" t="s">
        <v>11638</v>
      </c>
      <c r="F5301" s="18" t="s">
        <v>7592</v>
      </c>
      <c r="G5301" s="156" t="s">
        <v>11650</v>
      </c>
      <c r="H5301" s="18" t="s">
        <v>7872</v>
      </c>
      <c r="K5301" s="18">
        <v>18421603</v>
      </c>
      <c r="L5301" s="18" t="s">
        <v>7885</v>
      </c>
      <c r="M5301" s="18" t="s">
        <v>7886</v>
      </c>
      <c r="N5301" s="18">
        <v>50</v>
      </c>
      <c r="O5301" s="18">
        <v>60</v>
      </c>
      <c r="P5301" s="16">
        <v>65</v>
      </c>
      <c r="Q5301" s="16">
        <v>75</v>
      </c>
      <c r="R5301" s="16">
        <v>90</v>
      </c>
      <c r="S5301" s="16">
        <v>100</v>
      </c>
      <c r="T5301" s="18" t="s">
        <v>921</v>
      </c>
      <c r="U5301" t="str">
        <f>VLOOKUP(T5301,[8]Votes!$A$1:$E$234,3,FALSE)</f>
        <v>008 Ministry of Finance, Planning &amp; Economic Dev.</v>
      </c>
      <c r="V5301" s="18" t="s">
        <v>7887</v>
      </c>
      <c r="W5301" s="48">
        <v>1</v>
      </c>
      <c r="X5301" s="48">
        <v>0</v>
      </c>
      <c r="Y5301" s="48">
        <v>0</v>
      </c>
      <c r="Z5301" s="48">
        <v>1</v>
      </c>
      <c r="AA5301" s="48">
        <v>1</v>
      </c>
      <c r="AB5301" s="48">
        <v>1</v>
      </c>
      <c r="AC5301" s="150">
        <v>1</v>
      </c>
      <c r="AD5301" s="150">
        <v>1</v>
      </c>
      <c r="AE5301" s="49">
        <f t="shared" si="194"/>
        <v>0.75</v>
      </c>
      <c r="AF5301" s="176"/>
      <c r="AG5301" s="17">
        <v>0</v>
      </c>
      <c r="AH5301" s="176">
        <v>1.54</v>
      </c>
      <c r="AI5301" s="176">
        <v>2.19</v>
      </c>
      <c r="AJ5301" s="176">
        <v>2.19</v>
      </c>
      <c r="AK5301" s="384">
        <f>1.73</f>
        <v>1.73</v>
      </c>
      <c r="AL5301" s="384">
        <v>1.7</v>
      </c>
      <c r="AM5301" s="147">
        <f t="shared" si="193"/>
        <v>3.4299999999999997</v>
      </c>
      <c r="AN5301" s="18" t="s">
        <v>921</v>
      </c>
      <c r="AO5301" s="18" t="s">
        <v>880</v>
      </c>
    </row>
    <row r="5302" spans="1:42" s="18" customFormat="1" ht="15" customHeight="1" x14ac:dyDescent="0.3">
      <c r="A5302" s="207" t="s">
        <v>7397</v>
      </c>
      <c r="B5302" s="18" t="s">
        <v>7398</v>
      </c>
      <c r="C5302" s="208" t="s">
        <v>8042</v>
      </c>
      <c r="D5302" s="18" t="s">
        <v>8043</v>
      </c>
      <c r="E5302" s="208" t="s">
        <v>11638</v>
      </c>
      <c r="F5302" s="18" t="s">
        <v>7592</v>
      </c>
      <c r="G5302" s="156" t="s">
        <v>11650</v>
      </c>
      <c r="H5302" s="18" t="s">
        <v>7872</v>
      </c>
      <c r="K5302" s="18">
        <v>18421603</v>
      </c>
      <c r="L5302" s="18" t="s">
        <v>7885</v>
      </c>
      <c r="P5302" s="16"/>
      <c r="Q5302" s="16"/>
      <c r="R5302" s="16"/>
      <c r="S5302" s="16"/>
      <c r="T5302" s="18" t="s">
        <v>921</v>
      </c>
      <c r="U5302" t="str">
        <f>VLOOKUP(T5302,[8]Votes!$A$1:$E$234,3,FALSE)</f>
        <v>008 Ministry of Finance, Planning &amp; Economic Dev.</v>
      </c>
      <c r="V5302" s="18" t="s">
        <v>7888</v>
      </c>
      <c r="W5302" s="48">
        <v>1</v>
      </c>
      <c r="X5302" s="48">
        <v>0</v>
      </c>
      <c r="Y5302" s="48">
        <v>0</v>
      </c>
      <c r="Z5302" s="48">
        <v>1</v>
      </c>
      <c r="AA5302" s="48">
        <v>1</v>
      </c>
      <c r="AB5302" s="48">
        <v>1</v>
      </c>
      <c r="AC5302" s="150">
        <v>1</v>
      </c>
      <c r="AD5302" s="150">
        <v>1</v>
      </c>
      <c r="AE5302" s="49">
        <f t="shared" si="194"/>
        <v>0.75</v>
      </c>
      <c r="AF5302" s="176"/>
      <c r="AG5302" s="17">
        <v>0</v>
      </c>
      <c r="AH5302" s="176">
        <v>34.85</v>
      </c>
      <c r="AI5302" s="176">
        <v>21.23</v>
      </c>
      <c r="AJ5302" s="176">
        <v>1.04</v>
      </c>
      <c r="AK5302" s="384">
        <v>3</v>
      </c>
      <c r="AL5302" s="384">
        <v>3.5</v>
      </c>
      <c r="AM5302" s="147">
        <f t="shared" si="193"/>
        <v>6.5</v>
      </c>
      <c r="AN5302" s="18" t="s">
        <v>921</v>
      </c>
      <c r="AO5302" s="18" t="s">
        <v>880</v>
      </c>
    </row>
    <row r="5303" spans="1:42" s="18" customFormat="1" ht="15" customHeight="1" x14ac:dyDescent="0.3">
      <c r="A5303" s="207" t="s">
        <v>7397</v>
      </c>
      <c r="B5303" s="18" t="s">
        <v>7398</v>
      </c>
      <c r="C5303" s="208" t="s">
        <v>8042</v>
      </c>
      <c r="D5303" s="18" t="s">
        <v>8043</v>
      </c>
      <c r="E5303" s="208" t="s">
        <v>11638</v>
      </c>
      <c r="F5303" s="18" t="s">
        <v>7592</v>
      </c>
      <c r="G5303" s="156" t="s">
        <v>11650</v>
      </c>
      <c r="H5303" s="18" t="s">
        <v>7872</v>
      </c>
      <c r="K5303" s="18">
        <v>18421603</v>
      </c>
      <c r="L5303" s="18" t="s">
        <v>7885</v>
      </c>
      <c r="P5303" s="16"/>
      <c r="Q5303" s="16"/>
      <c r="R5303" s="16"/>
      <c r="S5303" s="16"/>
      <c r="T5303" s="18" t="s">
        <v>921</v>
      </c>
      <c r="U5303" t="str">
        <f>VLOOKUP(T5303,[8]Votes!$A$1:$E$234,3,FALSE)</f>
        <v>008 Ministry of Finance, Planning &amp; Economic Dev.</v>
      </c>
      <c r="V5303" s="18" t="s">
        <v>7889</v>
      </c>
      <c r="W5303" s="48">
        <v>1</v>
      </c>
      <c r="X5303" s="48">
        <v>1</v>
      </c>
      <c r="Y5303" s="48">
        <v>0</v>
      </c>
      <c r="Z5303" s="48">
        <v>1</v>
      </c>
      <c r="AA5303" s="48">
        <v>1</v>
      </c>
      <c r="AB5303" s="48">
        <v>0</v>
      </c>
      <c r="AC5303" s="150">
        <v>1</v>
      </c>
      <c r="AD5303" s="150">
        <v>1</v>
      </c>
      <c r="AE5303" s="49">
        <f t="shared" si="194"/>
        <v>0.75</v>
      </c>
      <c r="AF5303" s="176"/>
      <c r="AG5303" s="17">
        <v>0</v>
      </c>
      <c r="AH5303" s="176">
        <v>0</v>
      </c>
      <c r="AI5303" s="176">
        <v>0</v>
      </c>
      <c r="AJ5303" s="176">
        <v>0</v>
      </c>
      <c r="AK5303" s="177">
        <f>11/2</f>
        <v>5.5</v>
      </c>
      <c r="AL5303" s="177">
        <f>12/3</f>
        <v>4</v>
      </c>
      <c r="AM5303" s="147">
        <f t="shared" si="193"/>
        <v>9.5</v>
      </c>
      <c r="AN5303" s="18" t="s">
        <v>921</v>
      </c>
      <c r="AO5303" s="18" t="s">
        <v>880</v>
      </c>
    </row>
    <row r="5304" spans="1:42" s="18" customFormat="1" ht="15" customHeight="1" x14ac:dyDescent="0.3">
      <c r="A5304" s="207" t="s">
        <v>7397</v>
      </c>
      <c r="B5304" s="18" t="s">
        <v>7398</v>
      </c>
      <c r="C5304" s="208" t="s">
        <v>8042</v>
      </c>
      <c r="D5304" s="18" t="s">
        <v>8043</v>
      </c>
      <c r="E5304" s="208" t="s">
        <v>11638</v>
      </c>
      <c r="F5304" s="18" t="s">
        <v>7592</v>
      </c>
      <c r="G5304" s="156" t="s">
        <v>11650</v>
      </c>
      <c r="H5304" s="18" t="s">
        <v>7872</v>
      </c>
      <c r="K5304" s="18">
        <v>18421604</v>
      </c>
      <c r="L5304" s="18" t="s">
        <v>7890</v>
      </c>
      <c r="M5304" s="18" t="s">
        <v>7891</v>
      </c>
      <c r="N5304" s="18">
        <v>0</v>
      </c>
      <c r="O5304" s="18">
        <v>30</v>
      </c>
      <c r="P5304" s="16">
        <v>69</v>
      </c>
      <c r="Q5304" s="16">
        <v>80</v>
      </c>
      <c r="R5304" s="16">
        <v>85</v>
      </c>
      <c r="S5304" s="16">
        <v>90</v>
      </c>
      <c r="T5304" s="18" t="s">
        <v>921</v>
      </c>
      <c r="U5304" t="str">
        <f>VLOOKUP(T5304,[8]Votes!$A$1:$E$234,3,FALSE)</f>
        <v>008 Ministry of Finance, Planning &amp; Economic Dev.</v>
      </c>
      <c r="W5304" s="48"/>
      <c r="X5304" s="48"/>
      <c r="Y5304" s="48"/>
      <c r="Z5304" s="48"/>
      <c r="AA5304" s="48"/>
      <c r="AB5304" s="48"/>
      <c r="AC5304" s="150">
        <v>0</v>
      </c>
      <c r="AD5304" s="150">
        <v>0</v>
      </c>
      <c r="AE5304" s="49">
        <f t="shared" si="194"/>
        <v>0</v>
      </c>
      <c r="AF5304" s="17"/>
      <c r="AG5304" s="17">
        <v>0</v>
      </c>
      <c r="AH5304" s="17"/>
      <c r="AI5304" s="17"/>
      <c r="AJ5304" s="17"/>
      <c r="AK5304" s="385"/>
      <c r="AL5304" s="385"/>
      <c r="AM5304" s="147">
        <f t="shared" si="193"/>
        <v>0</v>
      </c>
    </row>
    <row r="5305" spans="1:42" s="18" customFormat="1" ht="15" customHeight="1" x14ac:dyDescent="0.3">
      <c r="A5305" s="207" t="s">
        <v>7397</v>
      </c>
      <c r="B5305" s="18" t="s">
        <v>7398</v>
      </c>
      <c r="C5305" s="208" t="s">
        <v>8042</v>
      </c>
      <c r="D5305" s="18" t="s">
        <v>8043</v>
      </c>
      <c r="E5305" s="208" t="s">
        <v>11638</v>
      </c>
      <c r="F5305" s="18" t="s">
        <v>7592</v>
      </c>
      <c r="G5305" s="156" t="s">
        <v>11650</v>
      </c>
      <c r="H5305" s="18" t="s">
        <v>7872</v>
      </c>
      <c r="K5305" s="18">
        <v>18421604</v>
      </c>
      <c r="L5305" s="18" t="s">
        <v>7892</v>
      </c>
      <c r="P5305" s="16"/>
      <c r="Q5305" s="16"/>
      <c r="R5305" s="16"/>
      <c r="S5305" s="16"/>
      <c r="T5305" s="18" t="s">
        <v>921</v>
      </c>
      <c r="U5305" t="str">
        <f>VLOOKUP(T5305,[8]Votes!$A$1:$E$234,3,FALSE)</f>
        <v>008 Ministry of Finance, Planning &amp; Economic Dev.</v>
      </c>
      <c r="V5305" s="18" t="s">
        <v>7893</v>
      </c>
      <c r="W5305" s="48">
        <v>1</v>
      </c>
      <c r="X5305" s="48">
        <v>0</v>
      </c>
      <c r="Y5305" s="48">
        <v>0</v>
      </c>
      <c r="Z5305" s="48">
        <v>1</v>
      </c>
      <c r="AA5305" s="48">
        <v>1</v>
      </c>
      <c r="AB5305" s="48">
        <v>1</v>
      </c>
      <c r="AC5305" s="150">
        <v>1</v>
      </c>
      <c r="AD5305" s="150">
        <v>1</v>
      </c>
      <c r="AE5305" s="49">
        <f t="shared" si="194"/>
        <v>0.75</v>
      </c>
      <c r="AF5305" s="255"/>
      <c r="AG5305" s="17">
        <v>0</v>
      </c>
      <c r="AH5305" s="255">
        <v>17.399999999999999</v>
      </c>
      <c r="AI5305" s="255">
        <v>17.399999999999999</v>
      </c>
      <c r="AJ5305" s="255">
        <v>17.399999999999999</v>
      </c>
      <c r="AK5305" s="256">
        <f>17.4/3</f>
        <v>5.8</v>
      </c>
      <c r="AL5305" s="256">
        <f>17.4/3</f>
        <v>5.8</v>
      </c>
      <c r="AM5305" s="147">
        <f t="shared" si="193"/>
        <v>11.6</v>
      </c>
      <c r="AN5305" s="18" t="s">
        <v>921</v>
      </c>
      <c r="AO5305" s="18" t="s">
        <v>880</v>
      </c>
    </row>
    <row r="5306" spans="1:42" s="18" customFormat="1" ht="15" customHeight="1" x14ac:dyDescent="0.3">
      <c r="A5306" s="207" t="s">
        <v>7397</v>
      </c>
      <c r="B5306" s="18" t="s">
        <v>7398</v>
      </c>
      <c r="C5306" s="208" t="s">
        <v>8042</v>
      </c>
      <c r="D5306" s="18" t="s">
        <v>8043</v>
      </c>
      <c r="E5306" s="208" t="s">
        <v>11638</v>
      </c>
      <c r="F5306" s="18" t="s">
        <v>7592</v>
      </c>
      <c r="G5306" s="156" t="s">
        <v>11651</v>
      </c>
      <c r="H5306" s="18" t="s">
        <v>7895</v>
      </c>
      <c r="K5306" s="18">
        <v>18421701</v>
      </c>
      <c r="L5306" s="18" t="s">
        <v>7896</v>
      </c>
      <c r="M5306" s="18" t="s">
        <v>7897</v>
      </c>
      <c r="N5306" s="18">
        <v>0</v>
      </c>
      <c r="O5306" s="18">
        <v>1</v>
      </c>
      <c r="P5306" s="16">
        <v>1</v>
      </c>
      <c r="Q5306" s="16">
        <v>1</v>
      </c>
      <c r="R5306" s="16">
        <v>1</v>
      </c>
      <c r="S5306" s="16">
        <v>1</v>
      </c>
      <c r="T5306" s="18" t="s">
        <v>921</v>
      </c>
      <c r="U5306" t="str">
        <f>VLOOKUP(T5306,[8]Votes!$A$1:$E$234,3,FALSE)</f>
        <v>008 Ministry of Finance, Planning &amp; Economic Dev.</v>
      </c>
      <c r="V5306" s="18" t="s">
        <v>7898</v>
      </c>
      <c r="W5306" s="48">
        <v>1</v>
      </c>
      <c r="X5306" s="48">
        <v>1</v>
      </c>
      <c r="Y5306" s="48">
        <v>0</v>
      </c>
      <c r="Z5306" s="48">
        <v>1</v>
      </c>
      <c r="AA5306" s="48">
        <v>1</v>
      </c>
      <c r="AB5306" s="48">
        <v>1</v>
      </c>
      <c r="AC5306" s="150">
        <v>0</v>
      </c>
      <c r="AD5306" s="150">
        <v>1</v>
      </c>
      <c r="AE5306" s="49">
        <f t="shared" si="194"/>
        <v>0.75</v>
      </c>
      <c r="AF5306" s="176"/>
      <c r="AG5306" s="17">
        <v>0</v>
      </c>
      <c r="AH5306" s="176">
        <v>0.73</v>
      </c>
      <c r="AI5306" s="176">
        <v>0.73</v>
      </c>
      <c r="AJ5306" s="176">
        <v>0.73</v>
      </c>
      <c r="AK5306" s="177">
        <f>0.73/1000</f>
        <v>7.2999999999999996E-4</v>
      </c>
      <c r="AL5306" s="177">
        <f>0.73/1000</f>
        <v>7.2999999999999996E-4</v>
      </c>
      <c r="AM5306" s="147">
        <f t="shared" si="193"/>
        <v>1.4599999999999999E-3</v>
      </c>
      <c r="AN5306" s="18" t="s">
        <v>921</v>
      </c>
      <c r="AO5306" s="18" t="s">
        <v>880</v>
      </c>
    </row>
    <row r="5307" spans="1:42" s="18" customFormat="1" ht="15" customHeight="1" x14ac:dyDescent="0.3">
      <c r="A5307" s="207" t="s">
        <v>7397</v>
      </c>
      <c r="B5307" s="18" t="s">
        <v>7398</v>
      </c>
      <c r="C5307" s="208" t="s">
        <v>7589</v>
      </c>
      <c r="D5307" s="18" t="s">
        <v>7590</v>
      </c>
      <c r="E5307" s="208" t="s">
        <v>7591</v>
      </c>
      <c r="F5307" s="18" t="s">
        <v>7592</v>
      </c>
      <c r="G5307" s="156" t="s">
        <v>7899</v>
      </c>
      <c r="H5307" s="18" t="s">
        <v>7900</v>
      </c>
      <c r="I5307" s="156"/>
      <c r="K5307" s="156" t="s">
        <v>7901</v>
      </c>
      <c r="L5307" s="18" t="s">
        <v>7902</v>
      </c>
      <c r="M5307" s="18" t="s">
        <v>7903</v>
      </c>
      <c r="N5307" s="18">
        <v>0</v>
      </c>
      <c r="O5307" s="18">
        <v>0</v>
      </c>
      <c r="P5307" s="16">
        <v>1</v>
      </c>
      <c r="Q5307" s="16">
        <v>0</v>
      </c>
      <c r="R5307" s="16">
        <v>0</v>
      </c>
      <c r="S5307" s="16">
        <v>0</v>
      </c>
      <c r="T5307" s="18" t="s">
        <v>921</v>
      </c>
      <c r="U5307" t="str">
        <f>VLOOKUP(T5307,[8]Votes!$A$1:$E$234,3,FALSE)</f>
        <v>008 Ministry of Finance, Planning &amp; Economic Dev.</v>
      </c>
      <c r="V5307" s="18" t="s">
        <v>7904</v>
      </c>
      <c r="W5307" s="48">
        <v>1</v>
      </c>
      <c r="X5307" s="48">
        <v>1</v>
      </c>
      <c r="Y5307" s="48">
        <v>0</v>
      </c>
      <c r="Z5307" s="48">
        <v>1</v>
      </c>
      <c r="AA5307" s="48">
        <v>1</v>
      </c>
      <c r="AB5307" s="48">
        <v>0</v>
      </c>
      <c r="AC5307" s="150">
        <v>1</v>
      </c>
      <c r="AD5307" s="150">
        <v>1</v>
      </c>
      <c r="AE5307" s="49">
        <f t="shared" si="194"/>
        <v>0.75</v>
      </c>
      <c r="AF5307" s="176"/>
      <c r="AG5307" s="17">
        <v>0</v>
      </c>
      <c r="AH5307" s="176">
        <v>0.44</v>
      </c>
      <c r="AI5307" s="176">
        <v>0.44</v>
      </c>
      <c r="AJ5307" s="176">
        <v>0</v>
      </c>
      <c r="AK5307" s="177">
        <f>3/2</f>
        <v>1.5</v>
      </c>
      <c r="AL5307" s="177">
        <f>3.1/2</f>
        <v>1.55</v>
      </c>
      <c r="AM5307" s="147">
        <f t="shared" si="193"/>
        <v>3.05</v>
      </c>
      <c r="AN5307" s="18" t="s">
        <v>921</v>
      </c>
      <c r="AO5307" s="18" t="s">
        <v>880</v>
      </c>
    </row>
    <row r="5308" spans="1:42" s="18" customFormat="1" ht="15" customHeight="1" x14ac:dyDescent="0.3">
      <c r="A5308" s="207" t="s">
        <v>7397</v>
      </c>
      <c r="B5308" s="18" t="s">
        <v>7398</v>
      </c>
      <c r="C5308" s="208" t="s">
        <v>7589</v>
      </c>
      <c r="D5308" s="18" t="s">
        <v>7590</v>
      </c>
      <c r="E5308" s="208" t="s">
        <v>7591</v>
      </c>
      <c r="F5308" s="18" t="s">
        <v>7592</v>
      </c>
      <c r="G5308" s="156" t="s">
        <v>7899</v>
      </c>
      <c r="H5308" s="18" t="s">
        <v>7900</v>
      </c>
      <c r="I5308" s="156"/>
      <c r="K5308" s="156" t="s">
        <v>7901</v>
      </c>
      <c r="L5308" s="18" t="s">
        <v>7902</v>
      </c>
      <c r="M5308" s="18" t="s">
        <v>7905</v>
      </c>
      <c r="N5308" s="18">
        <v>0</v>
      </c>
      <c r="O5308" s="18">
        <v>50</v>
      </c>
      <c r="P5308" s="16">
        <v>70</v>
      </c>
      <c r="Q5308" s="16">
        <v>80</v>
      </c>
      <c r="R5308" s="16">
        <v>90</v>
      </c>
      <c r="S5308" s="16">
        <v>100</v>
      </c>
      <c r="T5308" s="18" t="s">
        <v>921</v>
      </c>
      <c r="U5308" t="str">
        <f>VLOOKUP(T5308,[8]Votes!$A$1:$E$234,3,FALSE)</f>
        <v>008 Ministry of Finance, Planning &amp; Economic Dev.</v>
      </c>
      <c r="W5308" s="48"/>
      <c r="X5308" s="48"/>
      <c r="Y5308" s="48"/>
      <c r="Z5308" s="48"/>
      <c r="AA5308" s="48"/>
      <c r="AB5308" s="48"/>
      <c r="AC5308" s="150">
        <v>0</v>
      </c>
      <c r="AD5308" s="150">
        <v>0</v>
      </c>
      <c r="AE5308" s="49">
        <f t="shared" si="194"/>
        <v>0</v>
      </c>
      <c r="AF5308" s="17"/>
      <c r="AG5308" s="17">
        <v>0</v>
      </c>
      <c r="AH5308" s="17"/>
      <c r="AI5308" s="17"/>
      <c r="AJ5308" s="17"/>
      <c r="AK5308" s="154"/>
      <c r="AL5308" s="154"/>
      <c r="AM5308" s="147">
        <f t="shared" si="193"/>
        <v>0</v>
      </c>
    </row>
    <row r="5309" spans="1:42" s="18" customFormat="1" ht="15" customHeight="1" x14ac:dyDescent="0.3">
      <c r="A5309" s="207" t="s">
        <v>7397</v>
      </c>
      <c r="B5309" s="18" t="s">
        <v>7398</v>
      </c>
      <c r="C5309" s="208" t="s">
        <v>7589</v>
      </c>
      <c r="D5309" s="18" t="s">
        <v>7590</v>
      </c>
      <c r="E5309" s="208" t="s">
        <v>7591</v>
      </c>
      <c r="F5309" s="18" t="s">
        <v>7592</v>
      </c>
      <c r="G5309" s="156" t="s">
        <v>7899</v>
      </c>
      <c r="H5309" s="18" t="s">
        <v>7900</v>
      </c>
      <c r="I5309" s="156"/>
      <c r="K5309" s="156" t="s">
        <v>7906</v>
      </c>
      <c r="L5309" s="18" t="s">
        <v>7907</v>
      </c>
      <c r="M5309" s="18" t="s">
        <v>7908</v>
      </c>
      <c r="N5309" s="18">
        <v>0</v>
      </c>
      <c r="O5309" s="18">
        <v>0</v>
      </c>
      <c r="P5309" s="16">
        <v>0</v>
      </c>
      <c r="Q5309" s="16">
        <v>1</v>
      </c>
      <c r="R5309" s="16">
        <v>0</v>
      </c>
      <c r="S5309" s="16">
        <v>0</v>
      </c>
      <c r="T5309" s="18" t="s">
        <v>921</v>
      </c>
      <c r="U5309" t="str">
        <f>VLOOKUP(T5309,[8]Votes!$A$1:$E$234,3,FALSE)</f>
        <v>008 Ministry of Finance, Planning &amp; Economic Dev.</v>
      </c>
      <c r="V5309" s="18" t="s">
        <v>7909</v>
      </c>
      <c r="W5309" s="48">
        <v>1</v>
      </c>
      <c r="X5309" s="48">
        <v>0</v>
      </c>
      <c r="Y5309" s="48">
        <v>0</v>
      </c>
      <c r="Z5309" s="48">
        <v>1</v>
      </c>
      <c r="AA5309" s="48">
        <v>0</v>
      </c>
      <c r="AB5309" s="48">
        <v>0</v>
      </c>
      <c r="AC5309" s="150">
        <v>0</v>
      </c>
      <c r="AD5309" s="150">
        <v>1</v>
      </c>
      <c r="AE5309" s="49">
        <f t="shared" si="194"/>
        <v>0.375</v>
      </c>
      <c r="AF5309" s="255"/>
      <c r="AG5309" s="17">
        <v>0</v>
      </c>
      <c r="AH5309" s="255">
        <v>0.14499999999999999</v>
      </c>
      <c r="AI5309" s="255">
        <v>0.28999999999999998</v>
      </c>
      <c r="AJ5309" s="255">
        <v>0</v>
      </c>
      <c r="AK5309" s="256">
        <v>0</v>
      </c>
      <c r="AL5309" s="256">
        <v>0</v>
      </c>
      <c r="AM5309" s="147">
        <f t="shared" si="193"/>
        <v>0</v>
      </c>
      <c r="AN5309" s="18" t="s">
        <v>921</v>
      </c>
      <c r="AO5309" s="18" t="s">
        <v>880</v>
      </c>
      <c r="AP5309" s="18" t="s">
        <v>1452</v>
      </c>
    </row>
    <row r="5310" spans="1:42" s="18" customFormat="1" ht="15" customHeight="1" x14ac:dyDescent="0.3">
      <c r="A5310" s="207" t="s">
        <v>7397</v>
      </c>
      <c r="B5310" s="18" t="s">
        <v>7398</v>
      </c>
      <c r="C5310" s="208" t="s">
        <v>7589</v>
      </c>
      <c r="D5310" s="18" t="s">
        <v>7590</v>
      </c>
      <c r="E5310" s="208" t="s">
        <v>7591</v>
      </c>
      <c r="F5310" s="18" t="s">
        <v>7592</v>
      </c>
      <c r="G5310" s="156" t="s">
        <v>7899</v>
      </c>
      <c r="H5310" s="18" t="s">
        <v>7900</v>
      </c>
      <c r="I5310" s="156"/>
      <c r="K5310" s="156" t="s">
        <v>7910</v>
      </c>
      <c r="L5310" s="18" t="s">
        <v>7911</v>
      </c>
      <c r="M5310" s="18" t="s">
        <v>7912</v>
      </c>
      <c r="N5310" s="18">
        <v>0</v>
      </c>
      <c r="O5310" s="18">
        <v>0</v>
      </c>
      <c r="P5310" s="16">
        <v>1</v>
      </c>
      <c r="Q5310" s="16">
        <v>0</v>
      </c>
      <c r="R5310" s="16">
        <v>0</v>
      </c>
      <c r="S5310" s="16">
        <v>0</v>
      </c>
      <c r="T5310" s="18" t="s">
        <v>921</v>
      </c>
      <c r="U5310" t="str">
        <f>VLOOKUP(T5310,[8]Votes!$A$1:$E$234,3,FALSE)</f>
        <v>008 Ministry of Finance, Planning &amp; Economic Dev.</v>
      </c>
      <c r="V5310" s="18" t="s">
        <v>7913</v>
      </c>
      <c r="W5310" s="48">
        <v>1</v>
      </c>
      <c r="X5310" s="48">
        <v>0</v>
      </c>
      <c r="Y5310" s="48">
        <v>0</v>
      </c>
      <c r="Z5310" s="48">
        <v>1</v>
      </c>
      <c r="AA5310" s="48">
        <v>0</v>
      </c>
      <c r="AB5310" s="48">
        <v>0</v>
      </c>
      <c r="AC5310" s="150">
        <v>0</v>
      </c>
      <c r="AD5310" s="150">
        <v>1</v>
      </c>
      <c r="AE5310" s="49">
        <f t="shared" si="194"/>
        <v>0.375</v>
      </c>
      <c r="AF5310" s="255"/>
      <c r="AG5310" s="17">
        <v>0</v>
      </c>
      <c r="AH5310" s="255">
        <v>0.79749999999999999</v>
      </c>
      <c r="AI5310" s="255">
        <v>0.68149999999999999</v>
      </c>
      <c r="AJ5310" s="255">
        <v>0.47849999999999998</v>
      </c>
      <c r="AK5310" s="256"/>
      <c r="AL5310" s="256">
        <v>0</v>
      </c>
      <c r="AM5310" s="147">
        <f t="shared" si="193"/>
        <v>0</v>
      </c>
      <c r="AN5310" s="18" t="s">
        <v>1452</v>
      </c>
      <c r="AO5310" s="18" t="s">
        <v>5363</v>
      </c>
      <c r="AP5310" s="18" t="s">
        <v>1191</v>
      </c>
    </row>
    <row r="5311" spans="1:42" s="18" customFormat="1" ht="15" customHeight="1" x14ac:dyDescent="0.3">
      <c r="A5311" s="207" t="s">
        <v>7397</v>
      </c>
      <c r="B5311" s="18" t="s">
        <v>7398</v>
      </c>
      <c r="C5311" s="208" t="s">
        <v>7589</v>
      </c>
      <c r="D5311" s="18" t="s">
        <v>7590</v>
      </c>
      <c r="E5311" s="208" t="s">
        <v>7591</v>
      </c>
      <c r="F5311" s="18" t="s">
        <v>7592</v>
      </c>
      <c r="G5311" s="156" t="s">
        <v>7899</v>
      </c>
      <c r="H5311" s="18" t="s">
        <v>7900</v>
      </c>
      <c r="I5311" s="156"/>
      <c r="K5311" s="156" t="s">
        <v>7914</v>
      </c>
      <c r="L5311" s="18" t="s">
        <v>7915</v>
      </c>
      <c r="M5311" s="18" t="s">
        <v>7916</v>
      </c>
      <c r="N5311" s="18">
        <v>0</v>
      </c>
      <c r="O5311" s="18">
        <v>0</v>
      </c>
      <c r="P5311" s="16">
        <v>0</v>
      </c>
      <c r="Q5311" s="16">
        <v>1</v>
      </c>
      <c r="R5311" s="16">
        <v>0</v>
      </c>
      <c r="S5311" s="16">
        <v>0</v>
      </c>
      <c r="T5311" s="18" t="s">
        <v>921</v>
      </c>
      <c r="U5311" t="str">
        <f>VLOOKUP(T5311,[8]Votes!$A$1:$E$234,3,FALSE)</f>
        <v>008 Ministry of Finance, Planning &amp; Economic Dev.</v>
      </c>
      <c r="W5311" s="48"/>
      <c r="X5311" s="48"/>
      <c r="Y5311" s="48"/>
      <c r="Z5311" s="48"/>
      <c r="AA5311" s="48"/>
      <c r="AB5311" s="48"/>
      <c r="AC5311" s="150">
        <v>0</v>
      </c>
      <c r="AD5311" s="150">
        <v>0</v>
      </c>
      <c r="AE5311" s="49">
        <f t="shared" si="194"/>
        <v>0</v>
      </c>
      <c r="AF5311" s="17"/>
      <c r="AG5311" s="17">
        <v>0</v>
      </c>
      <c r="AH5311" s="17"/>
      <c r="AI5311" s="17"/>
      <c r="AJ5311" s="17"/>
      <c r="AK5311" s="154"/>
      <c r="AL5311" s="154"/>
      <c r="AM5311" s="147">
        <f t="shared" si="193"/>
        <v>0</v>
      </c>
    </row>
    <row r="5312" spans="1:42" s="18" customFormat="1" ht="15" customHeight="1" x14ac:dyDescent="0.3">
      <c r="A5312" s="207" t="s">
        <v>7397</v>
      </c>
      <c r="B5312" s="18" t="s">
        <v>7398</v>
      </c>
      <c r="C5312" s="208" t="s">
        <v>7589</v>
      </c>
      <c r="D5312" s="18" t="s">
        <v>7590</v>
      </c>
      <c r="E5312" s="208" t="s">
        <v>7591</v>
      </c>
      <c r="F5312" s="18" t="s">
        <v>7592</v>
      </c>
      <c r="G5312" s="156" t="s">
        <v>7899</v>
      </c>
      <c r="H5312" s="18" t="s">
        <v>7900</v>
      </c>
      <c r="I5312" s="156"/>
      <c r="K5312" s="156" t="s">
        <v>7914</v>
      </c>
      <c r="L5312" s="18" t="s">
        <v>7915</v>
      </c>
      <c r="M5312" s="18" t="s">
        <v>7917</v>
      </c>
      <c r="N5312" s="18">
        <v>1</v>
      </c>
      <c r="O5312" s="18">
        <v>1</v>
      </c>
      <c r="P5312" s="16">
        <v>1</v>
      </c>
      <c r="Q5312" s="16">
        <v>1</v>
      </c>
      <c r="R5312" s="16">
        <v>0</v>
      </c>
      <c r="S5312" s="16">
        <v>0</v>
      </c>
      <c r="T5312" s="18" t="s">
        <v>921</v>
      </c>
      <c r="U5312" t="str">
        <f>VLOOKUP(T5312,[8]Votes!$A$1:$E$234,3,FALSE)</f>
        <v>008 Ministry of Finance, Planning &amp; Economic Dev.</v>
      </c>
      <c r="W5312" s="48"/>
      <c r="X5312" s="48"/>
      <c r="Y5312" s="48"/>
      <c r="Z5312" s="48"/>
      <c r="AA5312" s="48"/>
      <c r="AB5312" s="48"/>
      <c r="AC5312" s="150">
        <v>0</v>
      </c>
      <c r="AD5312" s="150">
        <v>0</v>
      </c>
      <c r="AE5312" s="49">
        <f t="shared" si="194"/>
        <v>0</v>
      </c>
      <c r="AF5312" s="17"/>
      <c r="AG5312" s="17">
        <v>0</v>
      </c>
      <c r="AH5312" s="17"/>
      <c r="AI5312" s="17"/>
      <c r="AJ5312" s="17"/>
      <c r="AK5312" s="154"/>
      <c r="AL5312" s="154"/>
      <c r="AM5312" s="147">
        <f t="shared" si="193"/>
        <v>0</v>
      </c>
    </row>
    <row r="5313" spans="1:45" s="18" customFormat="1" ht="15" customHeight="1" x14ac:dyDescent="0.3">
      <c r="A5313" s="207" t="s">
        <v>7397</v>
      </c>
      <c r="B5313" s="18" t="s">
        <v>7398</v>
      </c>
      <c r="C5313" s="208" t="s">
        <v>7589</v>
      </c>
      <c r="D5313" s="18" t="s">
        <v>7590</v>
      </c>
      <c r="E5313" s="208" t="s">
        <v>7591</v>
      </c>
      <c r="F5313" s="18" t="s">
        <v>7592</v>
      </c>
      <c r="G5313" s="156" t="s">
        <v>7899</v>
      </c>
      <c r="H5313" s="18" t="s">
        <v>7900</v>
      </c>
      <c r="I5313" s="156"/>
      <c r="K5313" s="156" t="s">
        <v>7918</v>
      </c>
      <c r="L5313" s="18" t="s">
        <v>7919</v>
      </c>
      <c r="M5313" s="18" t="s">
        <v>7920</v>
      </c>
      <c r="N5313" s="18">
        <v>0</v>
      </c>
      <c r="O5313" s="18">
        <v>0</v>
      </c>
      <c r="P5313" s="16">
        <v>0</v>
      </c>
      <c r="Q5313" s="16">
        <v>1</v>
      </c>
      <c r="R5313" s="16">
        <v>0</v>
      </c>
      <c r="S5313" s="16">
        <v>0</v>
      </c>
      <c r="T5313" s="18" t="s">
        <v>921</v>
      </c>
      <c r="U5313" t="str">
        <f>VLOOKUP(T5313,[8]Votes!$A$1:$E$234,3,FALSE)</f>
        <v>008 Ministry of Finance, Planning &amp; Economic Dev.</v>
      </c>
      <c r="V5313" s="18" t="s">
        <v>7921</v>
      </c>
      <c r="W5313" s="48">
        <v>1</v>
      </c>
      <c r="X5313" s="48">
        <v>0</v>
      </c>
      <c r="Y5313" s="48">
        <v>0</v>
      </c>
      <c r="Z5313" s="48">
        <v>1</v>
      </c>
      <c r="AA5313" s="48">
        <v>0</v>
      </c>
      <c r="AB5313" s="48">
        <v>0</v>
      </c>
      <c r="AC5313" s="150">
        <v>0</v>
      </c>
      <c r="AD5313" s="150">
        <v>1</v>
      </c>
      <c r="AE5313" s="49">
        <f t="shared" si="194"/>
        <v>0.375</v>
      </c>
      <c r="AF5313" s="255"/>
      <c r="AG5313" s="17">
        <v>0</v>
      </c>
      <c r="AH5313" s="255">
        <v>0</v>
      </c>
      <c r="AI5313" s="255">
        <v>0</v>
      </c>
      <c r="AJ5313" s="255">
        <v>0.55099999999999993</v>
      </c>
      <c r="AK5313" s="256">
        <v>0</v>
      </c>
      <c r="AL5313" s="256">
        <v>0</v>
      </c>
      <c r="AM5313" s="147">
        <f t="shared" si="193"/>
        <v>0</v>
      </c>
      <c r="AN5313" s="18" t="s">
        <v>1452</v>
      </c>
      <c r="AO5313" s="18" t="s">
        <v>5363</v>
      </c>
      <c r="AP5313" s="18" t="s">
        <v>1191</v>
      </c>
    </row>
    <row r="5314" spans="1:45" s="18" customFormat="1" ht="15" customHeight="1" x14ac:dyDescent="0.3">
      <c r="A5314" s="207" t="s">
        <v>7397</v>
      </c>
      <c r="B5314" s="18" t="s">
        <v>7398</v>
      </c>
      <c r="C5314" s="208" t="s">
        <v>7589</v>
      </c>
      <c r="D5314" s="18" t="s">
        <v>7590</v>
      </c>
      <c r="E5314" s="208" t="s">
        <v>7591</v>
      </c>
      <c r="F5314" s="18" t="s">
        <v>7592</v>
      </c>
      <c r="G5314" s="156" t="s">
        <v>7922</v>
      </c>
      <c r="H5314" s="18" t="s">
        <v>7923</v>
      </c>
      <c r="K5314" s="18">
        <v>18221901</v>
      </c>
      <c r="L5314" s="18" t="s">
        <v>7924</v>
      </c>
      <c r="M5314" s="18" t="s">
        <v>7925</v>
      </c>
      <c r="N5314" s="18">
        <v>0</v>
      </c>
      <c r="O5314" s="18">
        <v>1</v>
      </c>
      <c r="P5314" s="16">
        <v>1</v>
      </c>
      <c r="Q5314" s="16">
        <v>1</v>
      </c>
      <c r="R5314" s="16">
        <v>1</v>
      </c>
      <c r="S5314" s="16">
        <v>1</v>
      </c>
      <c r="T5314" s="18" t="s">
        <v>921</v>
      </c>
      <c r="U5314" t="str">
        <f>VLOOKUP(T5314,[8]Votes!$A$1:$E$234,3,FALSE)</f>
        <v>008 Ministry of Finance, Planning &amp; Economic Dev.</v>
      </c>
      <c r="V5314" s="18" t="s">
        <v>7926</v>
      </c>
      <c r="W5314" s="48">
        <v>1</v>
      </c>
      <c r="X5314" s="48">
        <v>1</v>
      </c>
      <c r="Y5314" s="48">
        <v>0</v>
      </c>
      <c r="Z5314" s="48">
        <v>1</v>
      </c>
      <c r="AA5314" s="48">
        <v>1</v>
      </c>
      <c r="AB5314" s="48">
        <v>1</v>
      </c>
      <c r="AC5314" s="150">
        <v>0</v>
      </c>
      <c r="AD5314" s="150">
        <v>1</v>
      </c>
      <c r="AE5314" s="49">
        <f t="shared" si="194"/>
        <v>0.75</v>
      </c>
      <c r="AF5314" s="255"/>
      <c r="AG5314" s="17">
        <v>0</v>
      </c>
      <c r="AH5314" s="255">
        <v>2.1749999999999998</v>
      </c>
      <c r="AI5314" s="255">
        <v>2.1749999999999998</v>
      </c>
      <c r="AJ5314" s="255">
        <v>2.3199999999999998</v>
      </c>
      <c r="AK5314" s="383">
        <v>2.4649999999999999</v>
      </c>
      <c r="AL5314" s="383">
        <v>2.61</v>
      </c>
      <c r="AM5314" s="147">
        <f t="shared" si="193"/>
        <v>5.0749999999999993</v>
      </c>
      <c r="AN5314" s="18" t="s">
        <v>921</v>
      </c>
      <c r="AO5314" s="18" t="s">
        <v>880</v>
      </c>
    </row>
    <row r="5315" spans="1:45" s="18" customFormat="1" ht="15" customHeight="1" x14ac:dyDescent="0.3">
      <c r="A5315" s="207" t="s">
        <v>7397</v>
      </c>
      <c r="B5315" s="18" t="s">
        <v>7398</v>
      </c>
      <c r="C5315" s="208" t="s">
        <v>7927</v>
      </c>
      <c r="D5315" s="18" t="s">
        <v>7928</v>
      </c>
      <c r="E5315" s="208" t="s">
        <v>7929</v>
      </c>
      <c r="F5315" s="18" t="s">
        <v>7930</v>
      </c>
      <c r="G5315" s="156" t="s">
        <v>7942</v>
      </c>
      <c r="H5315" s="18" t="s">
        <v>7943</v>
      </c>
      <c r="I5315" s="156"/>
      <c r="K5315" s="156" t="s">
        <v>7944</v>
      </c>
      <c r="L5315" s="18" t="s">
        <v>7945</v>
      </c>
      <c r="M5315" s="18" t="s">
        <v>7946</v>
      </c>
      <c r="N5315" s="18">
        <v>0</v>
      </c>
      <c r="O5315" s="18">
        <v>1</v>
      </c>
      <c r="P5315" s="16">
        <v>1</v>
      </c>
      <c r="Q5315" s="16">
        <v>1</v>
      </c>
      <c r="R5315" s="16">
        <v>1</v>
      </c>
      <c r="S5315" s="16">
        <v>1</v>
      </c>
      <c r="T5315" s="18" t="s">
        <v>1167</v>
      </c>
      <c r="U5315" t="str">
        <f>VLOOKUP(T5315,[8]Votes!$A$1:$E$234,3,FALSE)</f>
        <v>003 Office of the Prime Minister</v>
      </c>
      <c r="V5315" s="18" t="s">
        <v>7947</v>
      </c>
      <c r="W5315" s="48">
        <v>1</v>
      </c>
      <c r="X5315" s="48">
        <v>1</v>
      </c>
      <c r="Y5315" s="48">
        <v>0</v>
      </c>
      <c r="Z5315" s="48">
        <v>1</v>
      </c>
      <c r="AA5315" s="48">
        <v>1</v>
      </c>
      <c r="AB5315" s="48">
        <v>0</v>
      </c>
      <c r="AC5315" s="150">
        <v>1</v>
      </c>
      <c r="AD5315" s="150">
        <v>1</v>
      </c>
      <c r="AE5315" s="49">
        <f t="shared" si="194"/>
        <v>0.75</v>
      </c>
      <c r="AF5315" s="255"/>
      <c r="AG5315" s="17">
        <v>0</v>
      </c>
      <c r="AH5315" s="255">
        <v>10.44</v>
      </c>
      <c r="AI5315" s="255">
        <v>7.82</v>
      </c>
      <c r="AJ5315" s="255">
        <v>7.82</v>
      </c>
      <c r="AK5315" s="256">
        <f>8.82/2</f>
        <v>4.41</v>
      </c>
      <c r="AL5315" s="256">
        <f>8.83/2</f>
        <v>4.415</v>
      </c>
      <c r="AM5315" s="147">
        <f t="shared" si="193"/>
        <v>8.8249999999999993</v>
      </c>
      <c r="AN5315" s="18" t="s">
        <v>1167</v>
      </c>
      <c r="AO5315" s="18" t="s">
        <v>1170</v>
      </c>
    </row>
    <row r="5316" spans="1:45" s="18" customFormat="1" ht="15" customHeight="1" x14ac:dyDescent="0.3">
      <c r="A5316" s="207" t="s">
        <v>7397</v>
      </c>
      <c r="B5316" s="18" t="s">
        <v>7398</v>
      </c>
      <c r="C5316" s="208" t="s">
        <v>7927</v>
      </c>
      <c r="D5316" s="18" t="s">
        <v>7928</v>
      </c>
      <c r="E5316" s="208" t="s">
        <v>7929</v>
      </c>
      <c r="F5316" s="18" t="s">
        <v>7930</v>
      </c>
      <c r="G5316" s="156" t="s">
        <v>7942</v>
      </c>
      <c r="H5316" s="18" t="s">
        <v>7943</v>
      </c>
      <c r="I5316" s="156"/>
      <c r="K5316" s="156" t="s">
        <v>7948</v>
      </c>
      <c r="L5316" s="18" t="s">
        <v>7949</v>
      </c>
      <c r="M5316" s="18" t="s">
        <v>7950</v>
      </c>
      <c r="N5316" s="18">
        <v>0</v>
      </c>
      <c r="O5316" s="18">
        <v>1</v>
      </c>
      <c r="P5316" s="16">
        <v>1</v>
      </c>
      <c r="Q5316" s="16">
        <v>1</v>
      </c>
      <c r="R5316" s="16">
        <v>1</v>
      </c>
      <c r="S5316" s="16">
        <v>1</v>
      </c>
      <c r="T5316" s="18" t="s">
        <v>1167</v>
      </c>
      <c r="U5316" t="str">
        <f>VLOOKUP(T5316,[8]Votes!$A$1:$E$234,3,FALSE)</f>
        <v>003 Office of the Prime Minister</v>
      </c>
      <c r="V5316" s="18" t="s">
        <v>7951</v>
      </c>
      <c r="W5316" s="48">
        <v>1</v>
      </c>
      <c r="X5316" s="48">
        <v>1</v>
      </c>
      <c r="Y5316" s="48">
        <v>0</v>
      </c>
      <c r="Z5316" s="48">
        <v>1</v>
      </c>
      <c r="AA5316" s="48">
        <v>1</v>
      </c>
      <c r="AB5316" s="48">
        <v>0</v>
      </c>
      <c r="AC5316" s="150">
        <v>1</v>
      </c>
      <c r="AD5316" s="150">
        <v>1</v>
      </c>
      <c r="AE5316" s="49">
        <f t="shared" si="194"/>
        <v>0.75</v>
      </c>
      <c r="AF5316" s="176"/>
      <c r="AG5316" s="17">
        <v>0</v>
      </c>
      <c r="AH5316" s="176">
        <v>0</v>
      </c>
      <c r="AI5316" s="176">
        <v>0.15</v>
      </c>
      <c r="AJ5316" s="176">
        <v>0.15</v>
      </c>
      <c r="AK5316" s="177">
        <f>2.15/3</f>
        <v>0.71666666666666667</v>
      </c>
      <c r="AL5316" s="177">
        <f>2.25/3</f>
        <v>0.75</v>
      </c>
      <c r="AM5316" s="147">
        <f t="shared" si="193"/>
        <v>1.4666666666666668</v>
      </c>
      <c r="AN5316" s="18" t="s">
        <v>1167</v>
      </c>
      <c r="AO5316" s="18" t="s">
        <v>1170</v>
      </c>
    </row>
    <row r="5317" spans="1:45" s="18" customFormat="1" ht="15" customHeight="1" x14ac:dyDescent="0.3">
      <c r="A5317" s="207" t="s">
        <v>7397</v>
      </c>
      <c r="B5317" s="18" t="s">
        <v>7398</v>
      </c>
      <c r="C5317" s="208" t="s">
        <v>7927</v>
      </c>
      <c r="D5317" s="18" t="s">
        <v>7928</v>
      </c>
      <c r="E5317" s="208" t="s">
        <v>7929</v>
      </c>
      <c r="F5317" s="18" t="s">
        <v>7930</v>
      </c>
      <c r="G5317" s="156" t="s">
        <v>7952</v>
      </c>
      <c r="H5317" s="18" t="s">
        <v>7953</v>
      </c>
      <c r="I5317" s="156"/>
      <c r="K5317" s="156" t="s">
        <v>7954</v>
      </c>
      <c r="L5317" s="18" t="s">
        <v>7955</v>
      </c>
      <c r="M5317" s="18" t="s">
        <v>7956</v>
      </c>
      <c r="N5317" s="18">
        <v>0</v>
      </c>
      <c r="O5317" s="18">
        <v>1</v>
      </c>
      <c r="P5317" s="16">
        <v>1</v>
      </c>
      <c r="Q5317" s="16">
        <v>1</v>
      </c>
      <c r="R5317" s="16">
        <v>1</v>
      </c>
      <c r="S5317" s="16">
        <v>1</v>
      </c>
      <c r="T5317" s="18" t="s">
        <v>1167</v>
      </c>
      <c r="U5317" t="str">
        <f>VLOOKUP(T5317,[8]Votes!$A$1:$E$234,3,FALSE)</f>
        <v>003 Office of the Prime Minister</v>
      </c>
      <c r="V5317" s="18" t="s">
        <v>7957</v>
      </c>
      <c r="W5317" s="48">
        <v>1</v>
      </c>
      <c r="X5317" s="48">
        <v>1</v>
      </c>
      <c r="Y5317" s="48">
        <v>0</v>
      </c>
      <c r="Z5317" s="48">
        <v>1</v>
      </c>
      <c r="AA5317" s="48">
        <v>1</v>
      </c>
      <c r="AB5317" s="48">
        <v>0</v>
      </c>
      <c r="AC5317" s="150">
        <v>1</v>
      </c>
      <c r="AD5317" s="150">
        <v>1</v>
      </c>
      <c r="AE5317" s="49">
        <f t="shared" si="194"/>
        <v>0.75</v>
      </c>
      <c r="AF5317" s="255"/>
      <c r="AG5317" s="17">
        <v>0</v>
      </c>
      <c r="AH5317" s="255">
        <v>0</v>
      </c>
      <c r="AI5317" s="255">
        <v>10.44</v>
      </c>
      <c r="AJ5317" s="255">
        <v>10.44</v>
      </c>
      <c r="AK5317" s="256">
        <f>7.44/3</f>
        <v>2.48</v>
      </c>
      <c r="AL5317" s="256">
        <f>7.54/3</f>
        <v>2.5133333333333332</v>
      </c>
      <c r="AM5317" s="147">
        <f t="shared" si="193"/>
        <v>4.9933333333333332</v>
      </c>
      <c r="AN5317" s="18" t="s">
        <v>1167</v>
      </c>
      <c r="AO5317" s="18" t="s">
        <v>1170</v>
      </c>
      <c r="AP5317" s="18" t="s">
        <v>7958</v>
      </c>
    </row>
    <row r="5318" spans="1:45" s="18" customFormat="1" ht="15" customHeight="1" x14ac:dyDescent="0.3">
      <c r="A5318" s="207" t="s">
        <v>7397</v>
      </c>
      <c r="B5318" s="18" t="s">
        <v>7398</v>
      </c>
      <c r="C5318" s="208" t="s">
        <v>7927</v>
      </c>
      <c r="D5318" s="18" t="s">
        <v>7928</v>
      </c>
      <c r="E5318" s="208" t="s">
        <v>7929</v>
      </c>
      <c r="F5318" s="18" t="s">
        <v>7930</v>
      </c>
      <c r="G5318" s="156" t="s">
        <v>7952</v>
      </c>
      <c r="H5318" s="18" t="s">
        <v>7953</v>
      </c>
      <c r="I5318" s="156"/>
      <c r="K5318" s="156" t="s">
        <v>7954</v>
      </c>
      <c r="L5318" s="18" t="s">
        <v>7955</v>
      </c>
      <c r="P5318" s="16"/>
      <c r="Q5318" s="16"/>
      <c r="R5318" s="16"/>
      <c r="S5318" s="16"/>
      <c r="T5318" s="18" t="s">
        <v>1167</v>
      </c>
      <c r="U5318" t="str">
        <f>VLOOKUP(T5318,[8]Votes!$A$1:$E$234,3,FALSE)</f>
        <v>003 Office of the Prime Minister</v>
      </c>
      <c r="V5318" s="18" t="s">
        <v>7959</v>
      </c>
      <c r="W5318" s="48">
        <v>1</v>
      </c>
      <c r="X5318" s="48">
        <v>1</v>
      </c>
      <c r="Y5318" s="48">
        <v>0</v>
      </c>
      <c r="Z5318" s="48">
        <v>1</v>
      </c>
      <c r="AA5318" s="48">
        <v>1</v>
      </c>
      <c r="AB5318" s="48">
        <v>0</v>
      </c>
      <c r="AC5318" s="150">
        <v>1</v>
      </c>
      <c r="AD5318" s="150">
        <v>1</v>
      </c>
      <c r="AE5318" s="49">
        <f t="shared" si="194"/>
        <v>0.75</v>
      </c>
      <c r="AF5318" s="255"/>
      <c r="AG5318" s="17">
        <v>0</v>
      </c>
      <c r="AH5318" s="255">
        <v>0.14499999999999999</v>
      </c>
      <c r="AI5318" s="255">
        <v>0.14499999999999999</v>
      </c>
      <c r="AJ5318" s="255">
        <v>0</v>
      </c>
      <c r="AK5318" s="256">
        <f>2.25/3</f>
        <v>0.75</v>
      </c>
      <c r="AL5318" s="256">
        <f>2.35/3</f>
        <v>0.78333333333333333</v>
      </c>
      <c r="AM5318" s="147">
        <f t="shared" si="193"/>
        <v>1.5333333333333332</v>
      </c>
      <c r="AN5318" s="18" t="s">
        <v>1167</v>
      </c>
      <c r="AO5318" s="18" t="s">
        <v>1170</v>
      </c>
    </row>
    <row r="5319" spans="1:45" s="18" customFormat="1" ht="15" customHeight="1" x14ac:dyDescent="0.3">
      <c r="A5319" s="207" t="s">
        <v>7397</v>
      </c>
      <c r="B5319" s="18" t="s">
        <v>7398</v>
      </c>
      <c r="C5319" s="208" t="s">
        <v>7927</v>
      </c>
      <c r="D5319" s="18" t="s">
        <v>7928</v>
      </c>
      <c r="E5319" s="208" t="s">
        <v>7929</v>
      </c>
      <c r="F5319" s="18" t="s">
        <v>7930</v>
      </c>
      <c r="G5319" s="156" t="s">
        <v>7952</v>
      </c>
      <c r="H5319" s="18" t="s">
        <v>7953</v>
      </c>
      <c r="I5319" s="156"/>
      <c r="K5319" s="156" t="s">
        <v>7960</v>
      </c>
      <c r="L5319" s="18" t="s">
        <v>7961</v>
      </c>
      <c r="M5319" s="18" t="s">
        <v>7962</v>
      </c>
      <c r="N5319" s="18">
        <v>0</v>
      </c>
      <c r="O5319" s="18">
        <v>1</v>
      </c>
      <c r="P5319" s="16">
        <v>0</v>
      </c>
      <c r="Q5319" s="16">
        <v>0</v>
      </c>
      <c r="R5319" s="16">
        <v>1</v>
      </c>
      <c r="S5319" s="16">
        <v>0</v>
      </c>
      <c r="T5319" s="18" t="s">
        <v>1167</v>
      </c>
      <c r="U5319" t="str">
        <f>VLOOKUP(T5319,[8]Votes!$A$1:$E$234,3,FALSE)</f>
        <v>003 Office of the Prime Minister</v>
      </c>
      <c r="V5319" s="18" t="s">
        <v>7963</v>
      </c>
      <c r="W5319" s="48">
        <v>1</v>
      </c>
      <c r="X5319" s="48">
        <v>1</v>
      </c>
      <c r="Y5319" s="48">
        <v>0</v>
      </c>
      <c r="Z5319" s="48">
        <v>1</v>
      </c>
      <c r="AA5319" s="48">
        <v>1</v>
      </c>
      <c r="AB5319" s="48">
        <v>0</v>
      </c>
      <c r="AC5319" s="150">
        <v>1</v>
      </c>
      <c r="AD5319" s="150">
        <v>1</v>
      </c>
      <c r="AE5319" s="49">
        <f t="shared" si="194"/>
        <v>0.75</v>
      </c>
      <c r="AF5319" s="255"/>
      <c r="AG5319" s="17">
        <v>0</v>
      </c>
      <c r="AH5319" s="255">
        <v>3.625</v>
      </c>
      <c r="AI5319" s="255">
        <v>3.625</v>
      </c>
      <c r="AJ5319" s="255">
        <v>3.625</v>
      </c>
      <c r="AK5319" s="256">
        <f>6.5/2</f>
        <v>3.25</v>
      </c>
      <c r="AL5319" s="256">
        <f>6.5/2</f>
        <v>3.25</v>
      </c>
      <c r="AM5319" s="147">
        <f t="shared" si="193"/>
        <v>6.5</v>
      </c>
      <c r="AN5319" s="18" t="s">
        <v>1167</v>
      </c>
      <c r="AO5319" s="18" t="s">
        <v>1170</v>
      </c>
      <c r="AP5319" s="18" t="s">
        <v>7958</v>
      </c>
    </row>
    <row r="5320" spans="1:45" s="18" customFormat="1" ht="15" customHeight="1" x14ac:dyDescent="0.3">
      <c r="A5320" s="207" t="s">
        <v>7397</v>
      </c>
      <c r="B5320" s="18" t="s">
        <v>7398</v>
      </c>
      <c r="C5320" s="208" t="s">
        <v>7927</v>
      </c>
      <c r="D5320" s="18" t="s">
        <v>7928</v>
      </c>
      <c r="E5320" s="208" t="s">
        <v>7929</v>
      </c>
      <c r="F5320" s="18" t="s">
        <v>7930</v>
      </c>
      <c r="G5320" s="156" t="s">
        <v>7952</v>
      </c>
      <c r="H5320" s="18" t="s">
        <v>7953</v>
      </c>
      <c r="I5320" s="156"/>
      <c r="K5320" s="156" t="s">
        <v>7960</v>
      </c>
      <c r="L5320" s="18" t="s">
        <v>7961</v>
      </c>
      <c r="M5320" s="18" t="s">
        <v>7964</v>
      </c>
      <c r="N5320" s="18">
        <v>0</v>
      </c>
      <c r="O5320" s="18">
        <v>0</v>
      </c>
      <c r="P5320" s="16">
        <v>50</v>
      </c>
      <c r="Q5320" s="16">
        <v>65</v>
      </c>
      <c r="R5320" s="16">
        <v>85</v>
      </c>
      <c r="S5320" s="16">
        <v>100</v>
      </c>
      <c r="T5320" s="18" t="s">
        <v>1167</v>
      </c>
      <c r="U5320" t="str">
        <f>VLOOKUP(T5320,[8]Votes!$A$1:$E$234,3,FALSE)</f>
        <v>003 Office of the Prime Minister</v>
      </c>
      <c r="W5320" s="48"/>
      <c r="X5320" s="48"/>
      <c r="Y5320" s="48"/>
      <c r="Z5320" s="48"/>
      <c r="AA5320" s="48"/>
      <c r="AB5320" s="48"/>
      <c r="AC5320" s="150">
        <v>0</v>
      </c>
      <c r="AD5320" s="150">
        <v>0</v>
      </c>
      <c r="AE5320" s="49">
        <f t="shared" si="194"/>
        <v>0</v>
      </c>
      <c r="AF5320" s="17"/>
      <c r="AG5320" s="17">
        <v>0</v>
      </c>
      <c r="AH5320" s="17"/>
      <c r="AI5320" s="17"/>
      <c r="AJ5320" s="17"/>
      <c r="AK5320" s="154"/>
      <c r="AL5320" s="154"/>
      <c r="AM5320" s="147">
        <f t="shared" si="193"/>
        <v>0</v>
      </c>
    </row>
    <row r="5321" spans="1:45" s="18" customFormat="1" ht="15" customHeight="1" x14ac:dyDescent="0.3">
      <c r="A5321" s="207" t="s">
        <v>7397</v>
      </c>
      <c r="B5321" s="18" t="s">
        <v>7398</v>
      </c>
      <c r="C5321" s="208" t="s">
        <v>7927</v>
      </c>
      <c r="D5321" s="18" t="s">
        <v>7928</v>
      </c>
      <c r="E5321" s="208" t="s">
        <v>7929</v>
      </c>
      <c r="F5321" s="18" t="s">
        <v>7930</v>
      </c>
      <c r="G5321" s="156" t="s">
        <v>7952</v>
      </c>
      <c r="H5321" s="18" t="s">
        <v>7953</v>
      </c>
      <c r="I5321" s="156"/>
      <c r="K5321" s="156" t="s">
        <v>7965</v>
      </c>
      <c r="L5321" s="18" t="s">
        <v>7966</v>
      </c>
      <c r="M5321" s="18" t="s">
        <v>7967</v>
      </c>
      <c r="N5321" s="18">
        <v>0</v>
      </c>
      <c r="O5321" s="18">
        <v>1</v>
      </c>
      <c r="P5321" s="16">
        <v>1</v>
      </c>
      <c r="Q5321" s="16">
        <v>1</v>
      </c>
      <c r="R5321" s="16">
        <v>0</v>
      </c>
      <c r="S5321" s="16">
        <v>0</v>
      </c>
      <c r="T5321" s="18" t="s">
        <v>831</v>
      </c>
      <c r="U5321" t="str">
        <f>VLOOKUP(T5321,[8]Votes!$A$1:$E$234,3,FALSE)</f>
        <v>108 National Planning Authority</v>
      </c>
      <c r="V5321" s="18" t="s">
        <v>7968</v>
      </c>
      <c r="W5321" s="48">
        <v>1</v>
      </c>
      <c r="X5321" s="48">
        <v>0</v>
      </c>
      <c r="Y5321" s="48">
        <v>0</v>
      </c>
      <c r="Z5321" s="48">
        <v>1</v>
      </c>
      <c r="AA5321" s="48">
        <v>1</v>
      </c>
      <c r="AB5321" s="48">
        <v>0</v>
      </c>
      <c r="AC5321" s="150">
        <v>0</v>
      </c>
      <c r="AD5321" s="150">
        <v>1</v>
      </c>
      <c r="AE5321" s="49">
        <f t="shared" si="194"/>
        <v>0.5</v>
      </c>
      <c r="AF5321" s="255"/>
      <c r="AG5321" s="17">
        <v>0</v>
      </c>
      <c r="AH5321" s="255">
        <v>0.14499999999999999</v>
      </c>
      <c r="AI5321" s="255">
        <v>2.1749999999999998</v>
      </c>
      <c r="AJ5321" s="255">
        <v>2.1749999999999998</v>
      </c>
      <c r="AK5321" s="256">
        <v>0</v>
      </c>
      <c r="AL5321" s="256">
        <v>0</v>
      </c>
      <c r="AM5321" s="147">
        <f t="shared" si="193"/>
        <v>0</v>
      </c>
      <c r="AN5321" s="18" t="s">
        <v>831</v>
      </c>
      <c r="AO5321" s="18" t="s">
        <v>834</v>
      </c>
      <c r="AP5321" s="18" t="s">
        <v>982</v>
      </c>
      <c r="AR5321" s="228"/>
    </row>
    <row r="5322" spans="1:45" s="18" customFormat="1" ht="15" customHeight="1" x14ac:dyDescent="0.3">
      <c r="A5322" s="207" t="s">
        <v>7397</v>
      </c>
      <c r="B5322" s="18" t="s">
        <v>7398</v>
      </c>
      <c r="C5322" s="208" t="s">
        <v>7927</v>
      </c>
      <c r="D5322" s="18" t="s">
        <v>7928</v>
      </c>
      <c r="E5322" s="208" t="s">
        <v>7929</v>
      </c>
      <c r="F5322" s="18" t="s">
        <v>7930</v>
      </c>
      <c r="G5322" s="156" t="s">
        <v>7952</v>
      </c>
      <c r="H5322" s="18" t="s">
        <v>7953</v>
      </c>
      <c r="I5322" s="156"/>
      <c r="K5322" s="156" t="s">
        <v>7969</v>
      </c>
      <c r="L5322" s="18" t="s">
        <v>7970</v>
      </c>
      <c r="M5322" s="18" t="s">
        <v>7971</v>
      </c>
      <c r="N5322" s="18">
        <v>18</v>
      </c>
      <c r="O5322" s="18">
        <v>18</v>
      </c>
      <c r="P5322" s="16">
        <v>18</v>
      </c>
      <c r="Q5322" s="16">
        <v>18</v>
      </c>
      <c r="R5322" s="16">
        <v>18</v>
      </c>
      <c r="S5322" s="16">
        <v>18</v>
      </c>
      <c r="T5322" s="18" t="s">
        <v>7972</v>
      </c>
      <c r="U5322" t="e">
        <f>VLOOKUP(T5322,[8]Votes!$A$1:$E$234,3,FALSE)</f>
        <v>#N/A</v>
      </c>
      <c r="V5322" s="18" t="s">
        <v>7973</v>
      </c>
      <c r="W5322" s="48">
        <v>1</v>
      </c>
      <c r="X5322" s="48">
        <v>1</v>
      </c>
      <c r="Y5322" s="48">
        <v>0</v>
      </c>
      <c r="Z5322" s="48">
        <v>1</v>
      </c>
      <c r="AA5322" s="48">
        <v>1</v>
      </c>
      <c r="AB5322" s="48">
        <v>0</v>
      </c>
      <c r="AC5322" s="150">
        <v>1</v>
      </c>
      <c r="AD5322" s="150">
        <v>1</v>
      </c>
      <c r="AE5322" s="49">
        <f t="shared" si="194"/>
        <v>0.75</v>
      </c>
      <c r="AF5322" s="255"/>
      <c r="AG5322" s="17">
        <v>0</v>
      </c>
      <c r="AH5322" s="255">
        <v>131.85722711931891</v>
      </c>
      <c r="AI5322" s="255">
        <v>60.447590960227032</v>
      </c>
      <c r="AJ5322" s="255">
        <v>50.447590960226997</v>
      </c>
      <c r="AK5322" s="256">
        <v>0</v>
      </c>
      <c r="AL5322" s="256">
        <v>0</v>
      </c>
      <c r="AM5322" s="147">
        <f t="shared" si="193"/>
        <v>0</v>
      </c>
      <c r="AN5322" s="18" t="s">
        <v>921</v>
      </c>
      <c r="AO5322" s="18" t="s">
        <v>880</v>
      </c>
    </row>
    <row r="5323" spans="1:45" s="18" customFormat="1" ht="15" customHeight="1" x14ac:dyDescent="0.3">
      <c r="A5323" s="207" t="s">
        <v>7397</v>
      </c>
      <c r="B5323" s="18" t="s">
        <v>7398</v>
      </c>
      <c r="C5323" s="207" t="s">
        <v>7400</v>
      </c>
      <c r="D5323" s="18" t="s">
        <v>7401</v>
      </c>
      <c r="E5323" s="208" t="s">
        <v>7975</v>
      </c>
      <c r="F5323" s="18" t="s">
        <v>7976</v>
      </c>
      <c r="G5323" s="208" t="s">
        <v>7977</v>
      </c>
      <c r="H5323" s="18" t="s">
        <v>7978</v>
      </c>
      <c r="K5323" s="156" t="s">
        <v>7979</v>
      </c>
      <c r="L5323" s="18" t="s">
        <v>7980</v>
      </c>
      <c r="M5323" s="18" t="s">
        <v>7981</v>
      </c>
      <c r="N5323" s="18">
        <v>0</v>
      </c>
      <c r="O5323" s="18">
        <v>1</v>
      </c>
      <c r="P5323" s="16">
        <v>1</v>
      </c>
      <c r="Q5323" s="16">
        <v>1</v>
      </c>
      <c r="R5323" s="16">
        <v>1</v>
      </c>
      <c r="S5323" s="16">
        <v>1</v>
      </c>
      <c r="T5323" s="18" t="s">
        <v>1345</v>
      </c>
      <c r="U5323" t="str">
        <f>VLOOKUP(T5323,[8]Votes!$A$1:$E$234,3,FALSE)</f>
        <v>001 Office of the President</v>
      </c>
      <c r="V5323" s="18" t="s">
        <v>7982</v>
      </c>
      <c r="W5323" s="48">
        <v>1</v>
      </c>
      <c r="X5323" s="48">
        <v>1</v>
      </c>
      <c r="Y5323" s="48">
        <v>0</v>
      </c>
      <c r="Z5323" s="48">
        <v>1</v>
      </c>
      <c r="AA5323" s="48">
        <v>1</v>
      </c>
      <c r="AB5323" s="48">
        <v>0</v>
      </c>
      <c r="AC5323" s="150">
        <v>1</v>
      </c>
      <c r="AD5323" s="150">
        <v>1</v>
      </c>
      <c r="AE5323" s="49">
        <f t="shared" si="194"/>
        <v>0.75</v>
      </c>
      <c r="AF5323" s="255"/>
      <c r="AG5323" s="17">
        <v>0</v>
      </c>
      <c r="AH5323" s="255">
        <v>8.8739999999999988</v>
      </c>
      <c r="AI5323" s="255">
        <v>8.6999999999999993</v>
      </c>
      <c r="AJ5323" s="255">
        <v>8.6999999999999993</v>
      </c>
      <c r="AK5323" s="256">
        <f>8.7/2</f>
        <v>4.3499999999999996</v>
      </c>
      <c r="AL5323" s="256">
        <f>8.7/2</f>
        <v>4.3499999999999996</v>
      </c>
      <c r="AM5323" s="147">
        <f t="shared" si="193"/>
        <v>8.6999999999999993</v>
      </c>
      <c r="AN5323" s="18" t="s">
        <v>1345</v>
      </c>
      <c r="AO5323" s="18" t="s">
        <v>1334</v>
      </c>
      <c r="AS5323" s="228"/>
    </row>
    <row r="5324" spans="1:45" s="18" customFormat="1" ht="15" customHeight="1" x14ac:dyDescent="0.3">
      <c r="A5324" s="207" t="s">
        <v>7397</v>
      </c>
      <c r="B5324" s="18" t="s">
        <v>7398</v>
      </c>
      <c r="C5324" s="207" t="s">
        <v>7400</v>
      </c>
      <c r="D5324" s="18" t="s">
        <v>7401</v>
      </c>
      <c r="E5324" s="208" t="s">
        <v>7975</v>
      </c>
      <c r="F5324" s="18" t="s">
        <v>7976</v>
      </c>
      <c r="G5324" s="208" t="s">
        <v>7977</v>
      </c>
      <c r="H5324" s="18" t="s">
        <v>7978</v>
      </c>
      <c r="K5324" s="156" t="s">
        <v>7983</v>
      </c>
      <c r="L5324" s="18" t="s">
        <v>7984</v>
      </c>
      <c r="M5324" s="18" t="s">
        <v>7985</v>
      </c>
      <c r="N5324" s="18">
        <v>146</v>
      </c>
      <c r="O5324" s="18">
        <v>146</v>
      </c>
      <c r="P5324" s="16">
        <v>146</v>
      </c>
      <c r="Q5324" s="16">
        <v>146</v>
      </c>
      <c r="R5324" s="16">
        <v>146</v>
      </c>
      <c r="S5324" s="16">
        <v>146</v>
      </c>
      <c r="T5324" s="18" t="s">
        <v>1345</v>
      </c>
      <c r="U5324" t="str">
        <f>VLOOKUP(T5324,[8]Votes!$A$1:$E$234,3,FALSE)</f>
        <v>001 Office of the President</v>
      </c>
      <c r="V5324" s="18" t="s">
        <v>7986</v>
      </c>
      <c r="W5324" s="48">
        <v>1</v>
      </c>
      <c r="X5324" s="48">
        <v>1</v>
      </c>
      <c r="Y5324" s="48">
        <v>0</v>
      </c>
      <c r="Z5324" s="48">
        <v>1</v>
      </c>
      <c r="AA5324" s="48">
        <v>1</v>
      </c>
      <c r="AB5324" s="48">
        <v>0</v>
      </c>
      <c r="AC5324" s="150">
        <v>1</v>
      </c>
      <c r="AD5324" s="150">
        <v>1</v>
      </c>
      <c r="AE5324" s="49">
        <f t="shared" si="194"/>
        <v>0.75</v>
      </c>
      <c r="AF5324" s="255"/>
      <c r="AG5324" s="17">
        <v>0</v>
      </c>
      <c r="AH5324" s="255">
        <v>0</v>
      </c>
      <c r="AI5324" s="255">
        <v>41.411999999999999</v>
      </c>
      <c r="AJ5324" s="255">
        <v>62.988</v>
      </c>
      <c r="AK5324" s="256">
        <f>12/2</f>
        <v>6</v>
      </c>
      <c r="AL5324" s="256">
        <f>12.5/2</f>
        <v>6.25</v>
      </c>
      <c r="AM5324" s="147">
        <f t="shared" si="193"/>
        <v>12.25</v>
      </c>
      <c r="AN5324" s="18" t="s">
        <v>1345</v>
      </c>
      <c r="AO5324" s="18" t="s">
        <v>1334</v>
      </c>
      <c r="AP5324" s="18" t="s">
        <v>982</v>
      </c>
    </row>
    <row r="5325" spans="1:45" s="18" customFormat="1" ht="15" customHeight="1" x14ac:dyDescent="0.3">
      <c r="A5325" s="207" t="s">
        <v>7397</v>
      </c>
      <c r="B5325" s="18" t="s">
        <v>7398</v>
      </c>
      <c r="C5325" s="207" t="s">
        <v>7400</v>
      </c>
      <c r="D5325" s="18" t="s">
        <v>7401</v>
      </c>
      <c r="E5325" s="208" t="s">
        <v>7975</v>
      </c>
      <c r="F5325" s="18" t="s">
        <v>7976</v>
      </c>
      <c r="G5325" s="208" t="s">
        <v>7977</v>
      </c>
      <c r="H5325" s="18" t="s">
        <v>7978</v>
      </c>
      <c r="K5325" s="156" t="s">
        <v>7987</v>
      </c>
      <c r="L5325" s="18" t="s">
        <v>7988</v>
      </c>
      <c r="M5325" s="18" t="s">
        <v>7989</v>
      </c>
      <c r="N5325" s="18">
        <v>1</v>
      </c>
      <c r="O5325" s="18">
        <v>1</v>
      </c>
      <c r="P5325" s="16">
        <v>1</v>
      </c>
      <c r="Q5325" s="16">
        <v>1</v>
      </c>
      <c r="R5325" s="16">
        <v>1</v>
      </c>
      <c r="S5325" s="16">
        <v>1</v>
      </c>
      <c r="T5325" s="18" t="s">
        <v>1345</v>
      </c>
      <c r="U5325" t="str">
        <f>VLOOKUP(T5325,[8]Votes!$A$1:$E$234,3,FALSE)</f>
        <v>001 Office of the President</v>
      </c>
      <c r="V5325" s="18" t="s">
        <v>7990</v>
      </c>
      <c r="W5325" s="48">
        <v>1</v>
      </c>
      <c r="X5325" s="48">
        <v>1</v>
      </c>
      <c r="Y5325" s="48">
        <v>0</v>
      </c>
      <c r="Z5325" s="48">
        <v>1</v>
      </c>
      <c r="AA5325" s="48">
        <v>1</v>
      </c>
      <c r="AB5325" s="48">
        <v>0</v>
      </c>
      <c r="AC5325" s="150">
        <v>1</v>
      </c>
      <c r="AD5325" s="150">
        <v>1</v>
      </c>
      <c r="AE5325" s="49">
        <f t="shared" si="194"/>
        <v>0.75</v>
      </c>
      <c r="AF5325" s="255"/>
      <c r="AG5325" s="17">
        <v>0</v>
      </c>
      <c r="AH5325" s="255">
        <v>5.3650000000000002</v>
      </c>
      <c r="AI5325" s="255">
        <v>5.3650000000000002</v>
      </c>
      <c r="AJ5325" s="255">
        <v>5.3650000000000002</v>
      </c>
      <c r="AK5325" s="256">
        <f>5.365/2</f>
        <v>2.6825000000000001</v>
      </c>
      <c r="AL5325" s="256">
        <f>5.365/2</f>
        <v>2.6825000000000001</v>
      </c>
      <c r="AM5325" s="147">
        <f t="shared" si="193"/>
        <v>5.3650000000000002</v>
      </c>
      <c r="AN5325" s="18" t="s">
        <v>1345</v>
      </c>
      <c r="AO5325" s="18" t="s">
        <v>1334</v>
      </c>
      <c r="AP5325" s="18" t="s">
        <v>982</v>
      </c>
    </row>
    <row r="5326" spans="1:45" s="18" customFormat="1" ht="15" customHeight="1" x14ac:dyDescent="0.3">
      <c r="A5326" s="207" t="s">
        <v>7397</v>
      </c>
      <c r="B5326" s="18" t="s">
        <v>7398</v>
      </c>
      <c r="C5326" s="207" t="s">
        <v>7400</v>
      </c>
      <c r="D5326" s="18" t="s">
        <v>7401</v>
      </c>
      <c r="E5326" s="208" t="s">
        <v>7975</v>
      </c>
      <c r="F5326" s="18" t="s">
        <v>7976</v>
      </c>
      <c r="G5326" s="208" t="s">
        <v>7977</v>
      </c>
      <c r="H5326" s="18" t="s">
        <v>7978</v>
      </c>
      <c r="K5326" s="156" t="s">
        <v>7991</v>
      </c>
      <c r="L5326" s="18" t="s">
        <v>7992</v>
      </c>
      <c r="M5326" s="18" t="s">
        <v>7993</v>
      </c>
      <c r="N5326" s="18">
        <v>0</v>
      </c>
      <c r="O5326" s="18">
        <v>0</v>
      </c>
      <c r="P5326" s="16">
        <v>1</v>
      </c>
      <c r="Q5326" s="16">
        <v>0</v>
      </c>
      <c r="R5326" s="16">
        <v>0</v>
      </c>
      <c r="S5326" s="16">
        <v>0</v>
      </c>
      <c r="T5326" s="18" t="s">
        <v>1345</v>
      </c>
      <c r="U5326" t="str">
        <f>VLOOKUP(T5326,[8]Votes!$A$1:$E$234,3,FALSE)</f>
        <v>001 Office of the President</v>
      </c>
      <c r="V5326" s="18" t="s">
        <v>7994</v>
      </c>
      <c r="W5326" s="48">
        <v>0</v>
      </c>
      <c r="X5326" s="48">
        <v>0</v>
      </c>
      <c r="Y5326" s="48">
        <v>0</v>
      </c>
      <c r="Z5326" s="48">
        <v>1</v>
      </c>
      <c r="AA5326" s="48">
        <v>0</v>
      </c>
      <c r="AB5326" s="48">
        <v>0</v>
      </c>
      <c r="AC5326" s="150">
        <v>1</v>
      </c>
      <c r="AD5326" s="150">
        <v>1</v>
      </c>
      <c r="AE5326" s="49">
        <f t="shared" si="194"/>
        <v>0.375</v>
      </c>
      <c r="AF5326" s="255"/>
      <c r="AG5326" s="17">
        <v>0</v>
      </c>
      <c r="AH5326" s="255">
        <v>0</v>
      </c>
      <c r="AI5326" s="255">
        <v>0.87</v>
      </c>
      <c r="AJ5326" s="255">
        <v>0</v>
      </c>
      <c r="AK5326" s="256">
        <v>0</v>
      </c>
      <c r="AL5326" s="256">
        <v>0</v>
      </c>
      <c r="AM5326" s="147">
        <f t="shared" si="193"/>
        <v>0</v>
      </c>
      <c r="AN5326" s="18" t="s">
        <v>1345</v>
      </c>
      <c r="AO5326" s="18" t="s">
        <v>1334</v>
      </c>
    </row>
    <row r="5327" spans="1:45" s="18" customFormat="1" x14ac:dyDescent="0.3">
      <c r="A5327" s="207" t="s">
        <v>7397</v>
      </c>
      <c r="B5327" s="18" t="s">
        <v>7398</v>
      </c>
      <c r="C5327" s="207" t="s">
        <v>7400</v>
      </c>
      <c r="D5327" s="18" t="s">
        <v>7401</v>
      </c>
      <c r="E5327" s="208" t="s">
        <v>7975</v>
      </c>
      <c r="F5327" s="18" t="s">
        <v>7976</v>
      </c>
      <c r="G5327" s="208" t="s">
        <v>7977</v>
      </c>
      <c r="H5327" s="18" t="s">
        <v>7978</v>
      </c>
      <c r="K5327" s="156" t="s">
        <v>7995</v>
      </c>
      <c r="L5327" s="18" t="s">
        <v>7996</v>
      </c>
      <c r="M5327" s="18" t="s">
        <v>7997</v>
      </c>
      <c r="N5327" s="18">
        <v>0</v>
      </c>
      <c r="O5327" s="18">
        <v>0</v>
      </c>
      <c r="P5327" s="16">
        <v>1</v>
      </c>
      <c r="Q5327" s="16">
        <v>0</v>
      </c>
      <c r="R5327" s="16">
        <v>0</v>
      </c>
      <c r="S5327" s="16">
        <v>0</v>
      </c>
      <c r="T5327" s="18" t="s">
        <v>1345</v>
      </c>
      <c r="U5327" t="str">
        <f>VLOOKUP(T5327,[8]Votes!$A$1:$E$234,3,FALSE)</f>
        <v>001 Office of the President</v>
      </c>
      <c r="V5327" s="18" t="s">
        <v>7998</v>
      </c>
      <c r="W5327" s="48">
        <v>0</v>
      </c>
      <c r="X5327" s="48">
        <v>0</v>
      </c>
      <c r="Y5327" s="48">
        <v>0</v>
      </c>
      <c r="Z5327" s="48">
        <v>1</v>
      </c>
      <c r="AA5327" s="48">
        <v>1</v>
      </c>
      <c r="AB5327" s="48">
        <v>0</v>
      </c>
      <c r="AC5327" s="150">
        <v>1</v>
      </c>
      <c r="AD5327" s="150">
        <v>1</v>
      </c>
      <c r="AE5327" s="49">
        <f t="shared" si="194"/>
        <v>0.5</v>
      </c>
      <c r="AF5327" s="255"/>
      <c r="AG5327" s="17">
        <v>0</v>
      </c>
      <c r="AH5327" s="255">
        <v>0</v>
      </c>
      <c r="AI5327" s="255">
        <v>1.45</v>
      </c>
      <c r="AJ5327" s="255">
        <v>0</v>
      </c>
      <c r="AK5327" s="256">
        <v>0</v>
      </c>
      <c r="AL5327" s="256">
        <v>0</v>
      </c>
      <c r="AM5327" s="147">
        <f t="shared" si="193"/>
        <v>0</v>
      </c>
      <c r="AN5327" s="18" t="s">
        <v>1345</v>
      </c>
      <c r="AO5327" s="18" t="s">
        <v>1334</v>
      </c>
    </row>
    <row r="5328" spans="1:45" s="18" customFormat="1" ht="15" customHeight="1" x14ac:dyDescent="0.3">
      <c r="A5328" s="207" t="s">
        <v>7397</v>
      </c>
      <c r="B5328" s="18" t="s">
        <v>7398</v>
      </c>
      <c r="C5328" s="208" t="s">
        <v>7927</v>
      </c>
      <c r="D5328" s="18" t="s">
        <v>7928</v>
      </c>
      <c r="E5328" s="156" t="s">
        <v>7999</v>
      </c>
      <c r="F5328" s="18" t="s">
        <v>7976</v>
      </c>
      <c r="G5328" s="156" t="s">
        <v>8006</v>
      </c>
      <c r="H5328" s="18" t="s">
        <v>8007</v>
      </c>
      <c r="K5328" s="156" t="s">
        <v>8008</v>
      </c>
      <c r="L5328" s="18" t="s">
        <v>8009</v>
      </c>
      <c r="M5328" s="18" t="s">
        <v>8010</v>
      </c>
      <c r="N5328" s="18">
        <v>0</v>
      </c>
      <c r="O5328" s="18">
        <v>1</v>
      </c>
      <c r="P5328" s="16">
        <v>0</v>
      </c>
      <c r="Q5328" s="16">
        <v>0</v>
      </c>
      <c r="R5328" s="16">
        <v>0</v>
      </c>
      <c r="S5328" s="16">
        <v>0</v>
      </c>
      <c r="T5328" s="18" t="s">
        <v>831</v>
      </c>
      <c r="U5328" t="str">
        <f>VLOOKUP(T5328,[8]Votes!$A$1:$E$234,3,FALSE)</f>
        <v>108 National Planning Authority</v>
      </c>
      <c r="V5328" s="18" t="s">
        <v>8011</v>
      </c>
      <c r="W5328" s="48">
        <v>1</v>
      </c>
      <c r="X5328" s="48">
        <v>1</v>
      </c>
      <c r="Y5328" s="48">
        <v>0</v>
      </c>
      <c r="Z5328" s="48">
        <v>1</v>
      </c>
      <c r="AA5328" s="48">
        <v>1</v>
      </c>
      <c r="AB5328" s="48">
        <v>0</v>
      </c>
      <c r="AC5328" s="150">
        <v>1</v>
      </c>
      <c r="AD5328" s="150">
        <v>1</v>
      </c>
      <c r="AE5328" s="49">
        <f t="shared" si="194"/>
        <v>0.75</v>
      </c>
      <c r="AF5328" s="255"/>
      <c r="AG5328" s="17">
        <v>0</v>
      </c>
      <c r="AH5328" s="255">
        <v>0</v>
      </c>
      <c r="AI5328" s="255">
        <v>2.9</v>
      </c>
      <c r="AJ5328" s="255">
        <v>2.9</v>
      </c>
      <c r="AK5328" s="256">
        <f>2.9/10</f>
        <v>0.28999999999999998</v>
      </c>
      <c r="AL5328" s="256">
        <f>2.9/10</f>
        <v>0.28999999999999998</v>
      </c>
      <c r="AM5328" s="147">
        <f t="shared" si="193"/>
        <v>0.57999999999999996</v>
      </c>
      <c r="AN5328" s="18" t="s">
        <v>831</v>
      </c>
      <c r="AO5328" s="18" t="s">
        <v>834</v>
      </c>
      <c r="AP5328" s="18" t="s">
        <v>982</v>
      </c>
    </row>
    <row r="5329" spans="1:45" s="18" customFormat="1" ht="15" customHeight="1" x14ac:dyDescent="0.3">
      <c r="A5329" s="207" t="s">
        <v>7397</v>
      </c>
      <c r="B5329" s="18" t="s">
        <v>7398</v>
      </c>
      <c r="C5329" s="208" t="s">
        <v>7927</v>
      </c>
      <c r="D5329" s="18" t="s">
        <v>7928</v>
      </c>
      <c r="E5329" s="156" t="s">
        <v>7999</v>
      </c>
      <c r="F5329" s="18" t="s">
        <v>7976</v>
      </c>
      <c r="G5329" s="156" t="s">
        <v>8006</v>
      </c>
      <c r="H5329" s="18" t="s">
        <v>8007</v>
      </c>
      <c r="K5329" s="156" t="s">
        <v>8008</v>
      </c>
      <c r="L5329" s="18" t="s">
        <v>8009</v>
      </c>
      <c r="M5329" s="18" t="s">
        <v>8012</v>
      </c>
      <c r="N5329" s="18">
        <v>0</v>
      </c>
      <c r="O5329" s="18">
        <v>0</v>
      </c>
      <c r="P5329" s="16">
        <v>30</v>
      </c>
      <c r="Q5329" s="16">
        <v>50</v>
      </c>
      <c r="R5329" s="16">
        <v>75</v>
      </c>
      <c r="S5329" s="16">
        <v>100</v>
      </c>
      <c r="T5329" s="18" t="s">
        <v>831</v>
      </c>
      <c r="U5329" t="str">
        <f>VLOOKUP(T5329,[8]Votes!$A$1:$E$234,3,FALSE)</f>
        <v>108 National Planning Authority</v>
      </c>
      <c r="W5329" s="48"/>
      <c r="X5329" s="48"/>
      <c r="Y5329" s="48"/>
      <c r="Z5329" s="48"/>
      <c r="AA5329" s="48"/>
      <c r="AB5329" s="48"/>
      <c r="AC5329" s="150">
        <v>0</v>
      </c>
      <c r="AD5329" s="150">
        <v>0</v>
      </c>
      <c r="AE5329" s="49">
        <f t="shared" si="194"/>
        <v>0</v>
      </c>
      <c r="AF5329" s="17"/>
      <c r="AG5329" s="17">
        <v>0</v>
      </c>
      <c r="AH5329" s="17"/>
      <c r="AI5329" s="17"/>
      <c r="AJ5329" s="17"/>
      <c r="AK5329" s="154"/>
      <c r="AL5329" s="154"/>
      <c r="AM5329" s="147">
        <f t="shared" si="193"/>
        <v>0</v>
      </c>
    </row>
    <row r="5330" spans="1:45" s="18" customFormat="1" ht="15" customHeight="1" x14ac:dyDescent="0.3">
      <c r="A5330" s="207" t="s">
        <v>7397</v>
      </c>
      <c r="B5330" s="18" t="s">
        <v>7398</v>
      </c>
      <c r="C5330" s="208" t="s">
        <v>7927</v>
      </c>
      <c r="D5330" s="18" t="s">
        <v>7928</v>
      </c>
      <c r="E5330" s="156" t="s">
        <v>7999</v>
      </c>
      <c r="F5330" s="18" t="s">
        <v>7976</v>
      </c>
      <c r="G5330" s="156" t="s">
        <v>8013</v>
      </c>
      <c r="H5330" s="18" t="s">
        <v>8014</v>
      </c>
      <c r="K5330" s="156" t="s">
        <v>8015</v>
      </c>
      <c r="L5330" s="18" t="s">
        <v>8016</v>
      </c>
      <c r="M5330" s="18" t="s">
        <v>8017</v>
      </c>
      <c r="N5330" s="18">
        <v>0</v>
      </c>
      <c r="O5330" s="18">
        <v>1</v>
      </c>
      <c r="P5330" s="16">
        <v>1</v>
      </c>
      <c r="Q5330" s="16">
        <v>1</v>
      </c>
      <c r="R5330" s="16">
        <v>1</v>
      </c>
      <c r="S5330" s="16">
        <v>1</v>
      </c>
      <c r="T5330" s="10" t="s">
        <v>1345</v>
      </c>
      <c r="U5330" t="str">
        <f>VLOOKUP(T5330,[8]Votes!$A$1:$E$234,3,FALSE)</f>
        <v>001 Office of the President</v>
      </c>
      <c r="V5330" t="s">
        <v>8018</v>
      </c>
      <c r="W5330" s="45">
        <v>1</v>
      </c>
      <c r="X5330" s="45">
        <v>1</v>
      </c>
      <c r="Y5330" s="45">
        <v>0</v>
      </c>
      <c r="Z5330" s="45">
        <v>1</v>
      </c>
      <c r="AA5330" s="45">
        <v>1</v>
      </c>
      <c r="AB5330" s="45">
        <v>0</v>
      </c>
      <c r="AC5330" s="150">
        <v>1</v>
      </c>
      <c r="AD5330" s="150">
        <v>1</v>
      </c>
      <c r="AE5330" s="49">
        <f t="shared" si="194"/>
        <v>0.75</v>
      </c>
      <c r="AF5330" s="362"/>
      <c r="AG5330" s="17">
        <v>0</v>
      </c>
      <c r="AH5330" s="362">
        <v>0</v>
      </c>
      <c r="AI5330" s="362">
        <v>2.1749999999999998</v>
      </c>
      <c r="AJ5330" s="362">
        <v>1.45</v>
      </c>
      <c r="AK5330" s="363">
        <f>1.45/2</f>
        <v>0.72499999999999998</v>
      </c>
      <c r="AL5330" s="363">
        <f>1.45/2</f>
        <v>0.72499999999999998</v>
      </c>
      <c r="AM5330" s="147">
        <f t="shared" si="193"/>
        <v>1.45</v>
      </c>
      <c r="AN5330" s="10" t="s">
        <v>1345</v>
      </c>
      <c r="AO5330" s="18" t="s">
        <v>1334</v>
      </c>
      <c r="AP5330"/>
    </row>
    <row r="5331" spans="1:45" s="18" customFormat="1" ht="15" customHeight="1" x14ac:dyDescent="0.3">
      <c r="A5331" s="207" t="s">
        <v>7397</v>
      </c>
      <c r="B5331" s="18" t="s">
        <v>7398</v>
      </c>
      <c r="C5331" s="208" t="s">
        <v>8042</v>
      </c>
      <c r="D5331" s="18" t="s">
        <v>8043</v>
      </c>
      <c r="E5331" s="156" t="s">
        <v>8044</v>
      </c>
      <c r="F5331" s="18" t="s">
        <v>7976</v>
      </c>
      <c r="G5331" s="156" t="s">
        <v>11652</v>
      </c>
      <c r="H5331" s="18" t="s">
        <v>8014</v>
      </c>
      <c r="I5331" s="156"/>
      <c r="K5331" s="156" t="s">
        <v>11653</v>
      </c>
      <c r="L5331" s="18" t="s">
        <v>8019</v>
      </c>
      <c r="M5331" s="18" t="s">
        <v>8020</v>
      </c>
      <c r="N5331" s="18">
        <v>0</v>
      </c>
      <c r="O5331" s="18">
        <v>0</v>
      </c>
      <c r="P5331" s="16">
        <v>1</v>
      </c>
      <c r="Q5331" s="16">
        <v>1</v>
      </c>
      <c r="R5331" s="16">
        <v>1</v>
      </c>
      <c r="S5331" s="16">
        <v>1</v>
      </c>
      <c r="T5331" s="18" t="s">
        <v>831</v>
      </c>
      <c r="U5331" t="str">
        <f>VLOOKUP(T5331,[8]Votes!$A$1:$E$234,3,FALSE)</f>
        <v>108 National Planning Authority</v>
      </c>
      <c r="V5331" s="18" t="s">
        <v>8021</v>
      </c>
      <c r="W5331" s="48">
        <v>1</v>
      </c>
      <c r="X5331" s="48">
        <v>1</v>
      </c>
      <c r="Y5331" s="48">
        <v>0</v>
      </c>
      <c r="Z5331" s="48">
        <v>1</v>
      </c>
      <c r="AA5331" s="48">
        <v>1</v>
      </c>
      <c r="AB5331" s="48">
        <v>0</v>
      </c>
      <c r="AC5331" s="150">
        <v>1</v>
      </c>
      <c r="AD5331" s="150">
        <v>1</v>
      </c>
      <c r="AE5331" s="49">
        <f t="shared" si="194"/>
        <v>0.75</v>
      </c>
      <c r="AF5331" s="255"/>
      <c r="AG5331" s="17">
        <v>0</v>
      </c>
      <c r="AH5331" s="255">
        <v>6.5249999999999995</v>
      </c>
      <c r="AI5331" s="255">
        <v>6.5249999999999995</v>
      </c>
      <c r="AJ5331" s="255">
        <v>1.74</v>
      </c>
      <c r="AK5331" s="256">
        <f>1.74/2</f>
        <v>0.87</v>
      </c>
      <c r="AL5331" s="256">
        <f>1.74/2</f>
        <v>0.87</v>
      </c>
      <c r="AM5331" s="147">
        <f t="shared" si="193"/>
        <v>1.74</v>
      </c>
      <c r="AN5331" s="18" t="s">
        <v>831</v>
      </c>
      <c r="AO5331" s="18" t="s">
        <v>834</v>
      </c>
      <c r="AP5331" s="18" t="s">
        <v>982</v>
      </c>
    </row>
    <row r="5332" spans="1:45" s="18" customFormat="1" ht="15" customHeight="1" x14ac:dyDescent="0.3">
      <c r="A5332" s="207" t="s">
        <v>7397</v>
      </c>
      <c r="B5332" s="18" t="s">
        <v>7398</v>
      </c>
      <c r="C5332" s="208" t="s">
        <v>8042</v>
      </c>
      <c r="D5332" s="18" t="s">
        <v>8043</v>
      </c>
      <c r="E5332" s="156" t="s">
        <v>8044</v>
      </c>
      <c r="F5332" s="18" t="s">
        <v>7976</v>
      </c>
      <c r="G5332" s="156" t="s">
        <v>11652</v>
      </c>
      <c r="H5332" s="18" t="s">
        <v>8014</v>
      </c>
      <c r="I5332" s="156"/>
      <c r="K5332" s="156" t="s">
        <v>11653</v>
      </c>
      <c r="L5332" s="18" t="s">
        <v>8019</v>
      </c>
      <c r="M5332" s="18" t="s">
        <v>8022</v>
      </c>
      <c r="N5332" s="18">
        <v>0</v>
      </c>
      <c r="O5332" s="18">
        <v>0</v>
      </c>
      <c r="P5332" s="16">
        <v>1</v>
      </c>
      <c r="Q5332" s="16">
        <v>1</v>
      </c>
      <c r="R5332" s="16">
        <v>1</v>
      </c>
      <c r="S5332" s="16">
        <v>1</v>
      </c>
      <c r="T5332" s="18" t="s">
        <v>831</v>
      </c>
      <c r="U5332" t="str">
        <f>VLOOKUP(T5332,[8]Votes!$A$1:$E$234,3,FALSE)</f>
        <v>108 National Planning Authority</v>
      </c>
      <c r="W5332" s="48"/>
      <c r="X5332" s="48"/>
      <c r="Y5332" s="48"/>
      <c r="Z5332" s="48"/>
      <c r="AA5332" s="48"/>
      <c r="AB5332" s="48"/>
      <c r="AC5332" s="150">
        <v>0</v>
      </c>
      <c r="AD5332" s="150">
        <v>0</v>
      </c>
      <c r="AE5332" s="49">
        <f t="shared" si="194"/>
        <v>0</v>
      </c>
      <c r="AF5332" s="17"/>
      <c r="AG5332" s="17">
        <v>0</v>
      </c>
      <c r="AH5332" s="17"/>
      <c r="AI5332" s="17"/>
      <c r="AJ5332" s="17"/>
      <c r="AK5332" s="154"/>
      <c r="AL5332" s="154"/>
      <c r="AM5332" s="147">
        <f t="shared" si="193"/>
        <v>0</v>
      </c>
    </row>
    <row r="5333" spans="1:45" s="18" customFormat="1" ht="15" customHeight="1" x14ac:dyDescent="0.3">
      <c r="A5333" s="207" t="s">
        <v>7397</v>
      </c>
      <c r="B5333" s="18" t="s">
        <v>7398</v>
      </c>
      <c r="C5333" s="208" t="s">
        <v>7927</v>
      </c>
      <c r="D5333" s="18" t="s">
        <v>7928</v>
      </c>
      <c r="E5333" s="156" t="s">
        <v>7999</v>
      </c>
      <c r="F5333" s="18" t="s">
        <v>7976</v>
      </c>
      <c r="G5333" s="156" t="s">
        <v>8013</v>
      </c>
      <c r="H5333" s="18" t="s">
        <v>8014</v>
      </c>
      <c r="I5333" s="156"/>
      <c r="K5333" s="156" t="s">
        <v>8023</v>
      </c>
      <c r="L5333" s="18" t="s">
        <v>8024</v>
      </c>
      <c r="M5333" s="18" t="s">
        <v>8025</v>
      </c>
      <c r="N5333" s="18">
        <v>1</v>
      </c>
      <c r="O5333" s="18">
        <v>1</v>
      </c>
      <c r="P5333" s="16">
        <v>1</v>
      </c>
      <c r="Q5333" s="16">
        <v>1</v>
      </c>
      <c r="R5333" s="16">
        <v>1</v>
      </c>
      <c r="S5333" s="16">
        <v>1</v>
      </c>
      <c r="T5333" s="18" t="s">
        <v>831</v>
      </c>
      <c r="U5333" t="str">
        <f>VLOOKUP(T5333,[8]Votes!$A$1:$E$234,3,FALSE)</f>
        <v>108 National Planning Authority</v>
      </c>
      <c r="W5333" s="48"/>
      <c r="X5333" s="48"/>
      <c r="Y5333" s="48"/>
      <c r="Z5333" s="48"/>
      <c r="AA5333" s="48"/>
      <c r="AB5333" s="48"/>
      <c r="AC5333" s="150">
        <v>0</v>
      </c>
      <c r="AD5333" s="150">
        <v>0</v>
      </c>
      <c r="AE5333" s="49">
        <f t="shared" si="194"/>
        <v>0</v>
      </c>
      <c r="AF5333" s="17"/>
      <c r="AG5333" s="17">
        <v>0</v>
      </c>
      <c r="AH5333" s="17"/>
      <c r="AI5333" s="17"/>
      <c r="AJ5333" s="17"/>
      <c r="AK5333" s="154"/>
      <c r="AL5333" s="154"/>
      <c r="AM5333" s="147">
        <f t="shared" si="193"/>
        <v>0</v>
      </c>
    </row>
    <row r="5334" spans="1:45" s="18" customFormat="1" ht="15" customHeight="1" x14ac:dyDescent="0.3">
      <c r="A5334" s="207" t="s">
        <v>7397</v>
      </c>
      <c r="B5334" s="18" t="s">
        <v>7398</v>
      </c>
      <c r="C5334" s="208" t="s">
        <v>7927</v>
      </c>
      <c r="D5334" s="18" t="s">
        <v>7928</v>
      </c>
      <c r="E5334" s="156" t="s">
        <v>7999</v>
      </c>
      <c r="F5334" s="18" t="s">
        <v>7976</v>
      </c>
      <c r="G5334" s="156" t="s">
        <v>8013</v>
      </c>
      <c r="H5334" s="18" t="s">
        <v>8014</v>
      </c>
      <c r="I5334" s="156"/>
      <c r="K5334" s="156" t="s">
        <v>8026</v>
      </c>
      <c r="L5334" s="18" t="s">
        <v>8027</v>
      </c>
      <c r="M5334" s="18" t="s">
        <v>8028</v>
      </c>
      <c r="N5334" s="18">
        <v>0</v>
      </c>
      <c r="O5334" s="18">
        <v>1</v>
      </c>
      <c r="P5334" s="16">
        <v>0</v>
      </c>
      <c r="Q5334" s="16">
        <v>0</v>
      </c>
      <c r="R5334" s="16">
        <v>1</v>
      </c>
      <c r="S5334" s="16">
        <v>0</v>
      </c>
      <c r="T5334" s="18" t="s">
        <v>1167</v>
      </c>
      <c r="U5334" t="str">
        <f>VLOOKUP(T5334,[8]Votes!$A$1:$E$234,3,FALSE)</f>
        <v>003 Office of the Prime Minister</v>
      </c>
      <c r="V5334" s="18" t="s">
        <v>8029</v>
      </c>
      <c r="W5334" s="48">
        <v>1</v>
      </c>
      <c r="X5334" s="48">
        <v>1</v>
      </c>
      <c r="Y5334" s="48">
        <v>0</v>
      </c>
      <c r="Z5334" s="48">
        <v>1</v>
      </c>
      <c r="AA5334" s="48">
        <v>1</v>
      </c>
      <c r="AB5334" s="48">
        <v>0</v>
      </c>
      <c r="AC5334" s="150">
        <v>1</v>
      </c>
      <c r="AD5334" s="150">
        <v>1</v>
      </c>
      <c r="AE5334" s="49">
        <f t="shared" si="194"/>
        <v>0.75</v>
      </c>
      <c r="AF5334" s="255"/>
      <c r="AG5334" s="17">
        <v>0</v>
      </c>
      <c r="AH5334" s="255">
        <v>1.45</v>
      </c>
      <c r="AI5334" s="255">
        <v>2.1749999999999998</v>
      </c>
      <c r="AJ5334" s="255">
        <v>0</v>
      </c>
      <c r="AK5334" s="256">
        <f>1.5/2</f>
        <v>0.75</v>
      </c>
      <c r="AL5334" s="256">
        <f>1.5/2</f>
        <v>0.75</v>
      </c>
      <c r="AM5334" s="147">
        <f t="shared" si="193"/>
        <v>1.5</v>
      </c>
      <c r="AN5334" s="18" t="s">
        <v>1167</v>
      </c>
      <c r="AO5334" s="18" t="s">
        <v>1170</v>
      </c>
      <c r="AP5334" s="18" t="s">
        <v>831</v>
      </c>
    </row>
    <row r="5335" spans="1:45" s="18" customFormat="1" ht="15" customHeight="1" x14ac:dyDescent="0.3">
      <c r="A5335" s="207" t="s">
        <v>7397</v>
      </c>
      <c r="B5335" s="18" t="s">
        <v>7398</v>
      </c>
      <c r="C5335" s="208" t="s">
        <v>7927</v>
      </c>
      <c r="D5335" s="18" t="s">
        <v>7928</v>
      </c>
      <c r="E5335" s="156" t="s">
        <v>7999</v>
      </c>
      <c r="F5335" s="18" t="s">
        <v>7976</v>
      </c>
      <c r="G5335" s="156" t="s">
        <v>8013</v>
      </c>
      <c r="H5335" s="18" t="s">
        <v>8014</v>
      </c>
      <c r="I5335" s="156"/>
      <c r="K5335" s="156" t="s">
        <v>8026</v>
      </c>
      <c r="L5335" s="18" t="s">
        <v>8027</v>
      </c>
      <c r="M5335" s="18" t="s">
        <v>8030</v>
      </c>
      <c r="N5335" s="18">
        <v>0</v>
      </c>
      <c r="O5335" s="18">
        <v>0</v>
      </c>
      <c r="P5335" s="16">
        <v>30</v>
      </c>
      <c r="Q5335" s="16">
        <v>50</v>
      </c>
      <c r="R5335" s="16">
        <v>70</v>
      </c>
      <c r="S5335" s="16">
        <v>90</v>
      </c>
      <c r="T5335" s="18" t="s">
        <v>1167</v>
      </c>
      <c r="U5335" t="str">
        <f>VLOOKUP(T5335,[8]Votes!$A$1:$E$234,3,FALSE)</f>
        <v>003 Office of the Prime Minister</v>
      </c>
      <c r="W5335" s="48"/>
      <c r="X5335" s="48"/>
      <c r="Y5335" s="48"/>
      <c r="Z5335" s="48"/>
      <c r="AA5335" s="48"/>
      <c r="AB5335" s="48"/>
      <c r="AC5335" s="150">
        <v>0</v>
      </c>
      <c r="AD5335" s="150">
        <v>0</v>
      </c>
      <c r="AE5335" s="49">
        <f t="shared" si="194"/>
        <v>0</v>
      </c>
      <c r="AF5335" s="17"/>
      <c r="AG5335" s="17">
        <v>0</v>
      </c>
      <c r="AH5335" s="17"/>
      <c r="AI5335" s="17"/>
      <c r="AJ5335" s="17"/>
      <c r="AK5335" s="154"/>
      <c r="AL5335" s="154"/>
      <c r="AM5335" s="147">
        <f t="shared" si="193"/>
        <v>0</v>
      </c>
    </row>
    <row r="5336" spans="1:45" s="18" customFormat="1" ht="15" customHeight="1" x14ac:dyDescent="0.3">
      <c r="A5336" s="207" t="s">
        <v>7397</v>
      </c>
      <c r="B5336" s="18" t="s">
        <v>7398</v>
      </c>
      <c r="C5336" s="208" t="s">
        <v>7927</v>
      </c>
      <c r="D5336" s="18" t="s">
        <v>7928</v>
      </c>
      <c r="E5336" s="156" t="s">
        <v>7999</v>
      </c>
      <c r="F5336" s="18" t="s">
        <v>7976</v>
      </c>
      <c r="G5336" s="156" t="s">
        <v>8013</v>
      </c>
      <c r="H5336" s="18" t="s">
        <v>8014</v>
      </c>
      <c r="I5336" s="156"/>
      <c r="K5336" s="156" t="s">
        <v>8031</v>
      </c>
      <c r="L5336" s="18" t="s">
        <v>8032</v>
      </c>
      <c r="M5336" s="18" t="s">
        <v>8033</v>
      </c>
      <c r="N5336" s="18">
        <v>0</v>
      </c>
      <c r="O5336" s="18">
        <v>1</v>
      </c>
      <c r="P5336" s="16">
        <v>1</v>
      </c>
      <c r="Q5336" s="16">
        <v>1</v>
      </c>
      <c r="R5336" s="16">
        <v>1</v>
      </c>
      <c r="S5336" s="16">
        <v>1</v>
      </c>
      <c r="T5336" s="18" t="s">
        <v>1167</v>
      </c>
      <c r="U5336" t="str">
        <f>VLOOKUP(T5336,[8]Votes!$A$1:$E$234,3,FALSE)</f>
        <v>003 Office of the Prime Minister</v>
      </c>
      <c r="W5336" s="48"/>
      <c r="X5336" s="48"/>
      <c r="Y5336" s="48"/>
      <c r="Z5336" s="48"/>
      <c r="AA5336" s="48"/>
      <c r="AB5336" s="48"/>
      <c r="AC5336" s="150">
        <v>0</v>
      </c>
      <c r="AD5336" s="150">
        <v>0</v>
      </c>
      <c r="AE5336" s="49">
        <f t="shared" si="194"/>
        <v>0</v>
      </c>
      <c r="AF5336" s="17"/>
      <c r="AG5336" s="17">
        <v>0</v>
      </c>
      <c r="AH5336" s="17"/>
      <c r="AI5336" s="17"/>
      <c r="AJ5336" s="17"/>
      <c r="AK5336" s="154"/>
      <c r="AL5336" s="154"/>
      <c r="AM5336" s="147">
        <f t="shared" si="193"/>
        <v>0</v>
      </c>
    </row>
    <row r="5337" spans="1:45" s="18" customFormat="1" ht="15" customHeight="1" x14ac:dyDescent="0.3">
      <c r="A5337" s="207" t="s">
        <v>7397</v>
      </c>
      <c r="B5337" s="18" t="s">
        <v>7398</v>
      </c>
      <c r="C5337" s="208" t="s">
        <v>7927</v>
      </c>
      <c r="D5337" s="18" t="s">
        <v>7928</v>
      </c>
      <c r="E5337" s="156" t="s">
        <v>7999</v>
      </c>
      <c r="F5337" s="18" t="s">
        <v>7976</v>
      </c>
      <c r="G5337" s="156" t="s">
        <v>8013</v>
      </c>
      <c r="H5337" s="18" t="s">
        <v>8014</v>
      </c>
      <c r="I5337" s="156"/>
      <c r="K5337" s="156" t="s">
        <v>8034</v>
      </c>
      <c r="L5337" s="18" t="s">
        <v>8035</v>
      </c>
      <c r="M5337" s="18" t="s">
        <v>8036</v>
      </c>
      <c r="N5337" s="18">
        <v>0</v>
      </c>
      <c r="O5337" s="18">
        <v>80</v>
      </c>
      <c r="P5337" s="16">
        <v>80</v>
      </c>
      <c r="Q5337" s="16">
        <v>80</v>
      </c>
      <c r="R5337" s="16">
        <v>80</v>
      </c>
      <c r="S5337" s="16">
        <v>80</v>
      </c>
      <c r="T5337" s="18" t="s">
        <v>921</v>
      </c>
      <c r="U5337" t="str">
        <f>VLOOKUP(T5337,[8]Votes!$A$1:$E$234,3,FALSE)</f>
        <v>008 Ministry of Finance, Planning &amp; Economic Dev.</v>
      </c>
      <c r="V5337" s="18" t="s">
        <v>11654</v>
      </c>
      <c r="W5337" s="48">
        <v>1</v>
      </c>
      <c r="X5337" s="48">
        <v>1</v>
      </c>
      <c r="Y5337" s="48">
        <v>0</v>
      </c>
      <c r="Z5337" s="48">
        <v>1</v>
      </c>
      <c r="AA5337" s="48">
        <v>1</v>
      </c>
      <c r="AB5337" s="48"/>
      <c r="AC5337" s="150">
        <v>1</v>
      </c>
      <c r="AD5337" s="150">
        <v>1</v>
      </c>
      <c r="AE5337" s="49">
        <f t="shared" si="194"/>
        <v>0.75</v>
      </c>
      <c r="AF5337" s="17"/>
      <c r="AG5337" s="17">
        <v>0</v>
      </c>
      <c r="AH5337" s="17"/>
      <c r="AI5337" s="17"/>
      <c r="AJ5337" s="17"/>
      <c r="AK5337" s="154">
        <v>2.5</v>
      </c>
      <c r="AL5337" s="154">
        <v>2.5</v>
      </c>
      <c r="AM5337" s="147">
        <f t="shared" si="193"/>
        <v>5</v>
      </c>
      <c r="AN5337" s="18" t="s">
        <v>921</v>
      </c>
      <c r="AO5337" s="18" t="s">
        <v>880</v>
      </c>
    </row>
    <row r="5338" spans="1:45" s="18" customFormat="1" ht="15" customHeight="1" x14ac:dyDescent="0.3">
      <c r="A5338" s="207" t="s">
        <v>7397</v>
      </c>
      <c r="B5338" s="18" t="s">
        <v>7398</v>
      </c>
      <c r="C5338" s="208" t="s">
        <v>7927</v>
      </c>
      <c r="D5338" s="18" t="s">
        <v>7928</v>
      </c>
      <c r="E5338" s="156" t="s">
        <v>7999</v>
      </c>
      <c r="F5338" s="18" t="s">
        <v>7976</v>
      </c>
      <c r="G5338" s="156" t="s">
        <v>8013</v>
      </c>
      <c r="H5338" s="18" t="s">
        <v>8014</v>
      </c>
      <c r="I5338" s="156"/>
      <c r="K5338" s="156" t="s">
        <v>8034</v>
      </c>
      <c r="L5338" s="18" t="s">
        <v>8035</v>
      </c>
      <c r="M5338" s="18" t="s">
        <v>8037</v>
      </c>
      <c r="N5338" s="18">
        <v>0</v>
      </c>
      <c r="O5338" s="18">
        <v>20</v>
      </c>
      <c r="P5338" s="16">
        <v>40</v>
      </c>
      <c r="Q5338" s="16">
        <v>60</v>
      </c>
      <c r="R5338" s="16">
        <v>80</v>
      </c>
      <c r="S5338" s="16">
        <v>100</v>
      </c>
      <c r="T5338" s="18" t="s">
        <v>921</v>
      </c>
      <c r="U5338" t="str">
        <f>VLOOKUP(T5338,[8]Votes!$A$1:$E$234,3,FALSE)</f>
        <v>008 Ministry of Finance, Planning &amp; Economic Dev.</v>
      </c>
      <c r="W5338" s="48"/>
      <c r="X5338" s="48"/>
      <c r="Y5338" s="48"/>
      <c r="Z5338" s="48"/>
      <c r="AA5338" s="48"/>
      <c r="AB5338" s="48"/>
      <c r="AC5338" s="150">
        <v>0</v>
      </c>
      <c r="AD5338" s="150">
        <v>0</v>
      </c>
      <c r="AE5338" s="49">
        <f t="shared" si="194"/>
        <v>0</v>
      </c>
      <c r="AF5338" s="17"/>
      <c r="AG5338" s="17">
        <v>0</v>
      </c>
      <c r="AH5338" s="17"/>
      <c r="AI5338" s="17"/>
      <c r="AJ5338" s="17"/>
      <c r="AK5338" s="154"/>
      <c r="AL5338" s="154"/>
      <c r="AM5338" s="147">
        <f t="shared" si="193"/>
        <v>0</v>
      </c>
    </row>
    <row r="5339" spans="1:45" s="18" customFormat="1" ht="15" customHeight="1" x14ac:dyDescent="0.3">
      <c r="A5339" s="207" t="s">
        <v>7397</v>
      </c>
      <c r="B5339" s="18" t="s">
        <v>7398</v>
      </c>
      <c r="C5339" s="208" t="s">
        <v>7927</v>
      </c>
      <c r="D5339" s="18" t="s">
        <v>7928</v>
      </c>
      <c r="E5339" s="156" t="s">
        <v>7999</v>
      </c>
      <c r="F5339" s="18" t="s">
        <v>7976</v>
      </c>
      <c r="G5339" s="156" t="s">
        <v>8013</v>
      </c>
      <c r="H5339" s="18" t="s">
        <v>8014</v>
      </c>
      <c r="I5339" s="156"/>
      <c r="K5339" s="156" t="s">
        <v>8038</v>
      </c>
      <c r="L5339" s="18" t="s">
        <v>8039</v>
      </c>
      <c r="M5339" s="18" t="s">
        <v>8040</v>
      </c>
      <c r="N5339" s="18">
        <v>50</v>
      </c>
      <c r="O5339" s="18">
        <v>50</v>
      </c>
      <c r="P5339" s="16">
        <v>75</v>
      </c>
      <c r="Q5339" s="16">
        <v>100</v>
      </c>
      <c r="R5339" s="16">
        <v>110</v>
      </c>
      <c r="S5339" s="16">
        <v>114</v>
      </c>
      <c r="T5339" s="18" t="s">
        <v>1167</v>
      </c>
      <c r="U5339" t="str">
        <f>VLOOKUP(T5339,[8]Votes!$A$1:$E$234,3,FALSE)</f>
        <v>003 Office of the Prime Minister</v>
      </c>
      <c r="V5339" t="s">
        <v>8041</v>
      </c>
      <c r="W5339" s="45">
        <v>1</v>
      </c>
      <c r="X5339" s="45">
        <v>1</v>
      </c>
      <c r="Y5339" s="45">
        <v>0</v>
      </c>
      <c r="Z5339" s="45">
        <v>1</v>
      </c>
      <c r="AA5339" s="45">
        <v>1</v>
      </c>
      <c r="AB5339" s="45">
        <v>0</v>
      </c>
      <c r="AC5339" s="150">
        <v>1</v>
      </c>
      <c r="AD5339" s="150">
        <v>1</v>
      </c>
      <c r="AE5339" s="49">
        <f t="shared" si="194"/>
        <v>0.75</v>
      </c>
      <c r="AF5339" s="362"/>
      <c r="AG5339" s="17">
        <v>0</v>
      </c>
      <c r="AH5339" s="362">
        <v>1.9575</v>
      </c>
      <c r="AI5339" s="362">
        <v>1.9575</v>
      </c>
      <c r="AJ5339" s="362">
        <v>1.9575</v>
      </c>
      <c r="AK5339" s="363">
        <f>5/2</f>
        <v>2.5</v>
      </c>
      <c r="AL5339" s="363">
        <f>5/2</f>
        <v>2.5</v>
      </c>
      <c r="AM5339" s="147">
        <f t="shared" si="193"/>
        <v>5</v>
      </c>
      <c r="AN5339" t="s">
        <v>1167</v>
      </c>
      <c r="AO5339" s="18" t="s">
        <v>1170</v>
      </c>
      <c r="AP5339" t="s">
        <v>982</v>
      </c>
    </row>
    <row r="5340" spans="1:45" s="18" customFormat="1" ht="15" customHeight="1" x14ac:dyDescent="0.3">
      <c r="A5340" s="207" t="s">
        <v>7397</v>
      </c>
      <c r="B5340" s="18" t="s">
        <v>7398</v>
      </c>
      <c r="C5340" s="208" t="s">
        <v>8042</v>
      </c>
      <c r="D5340" s="18" t="s">
        <v>8043</v>
      </c>
      <c r="E5340" s="156" t="s">
        <v>8044</v>
      </c>
      <c r="F5340" s="18" t="s">
        <v>7976</v>
      </c>
      <c r="G5340" s="156" t="s">
        <v>8045</v>
      </c>
      <c r="H5340" s="18" t="s">
        <v>8046</v>
      </c>
      <c r="I5340" s="156"/>
      <c r="K5340" s="156" t="s">
        <v>8047</v>
      </c>
      <c r="L5340" s="18" t="s">
        <v>8048</v>
      </c>
      <c r="M5340" s="18" t="s">
        <v>8049</v>
      </c>
      <c r="N5340" s="18">
        <v>0</v>
      </c>
      <c r="O5340" s="18">
        <v>1</v>
      </c>
      <c r="P5340" s="16">
        <v>1</v>
      </c>
      <c r="Q5340" s="16">
        <v>1</v>
      </c>
      <c r="R5340" s="16">
        <v>1</v>
      </c>
      <c r="S5340" s="16">
        <v>1</v>
      </c>
      <c r="T5340" s="18" t="s">
        <v>921</v>
      </c>
      <c r="U5340" t="str">
        <f>VLOOKUP(T5340,[8]Votes!$A$1:$E$234,3,FALSE)</f>
        <v>008 Ministry of Finance, Planning &amp; Economic Dev.</v>
      </c>
      <c r="V5340" s="18" t="s">
        <v>8050</v>
      </c>
      <c r="W5340" s="48">
        <v>1</v>
      </c>
      <c r="X5340" s="48">
        <v>0</v>
      </c>
      <c r="Y5340" s="48">
        <v>0</v>
      </c>
      <c r="Z5340" s="48">
        <v>1</v>
      </c>
      <c r="AA5340" s="48">
        <v>1</v>
      </c>
      <c r="AB5340" s="48">
        <v>1</v>
      </c>
      <c r="AC5340" s="150">
        <v>1</v>
      </c>
      <c r="AD5340" s="150">
        <v>1</v>
      </c>
      <c r="AE5340" s="49">
        <f t="shared" si="194"/>
        <v>0.75</v>
      </c>
      <c r="AF5340" s="255"/>
      <c r="AG5340" s="17">
        <v>0</v>
      </c>
      <c r="AH5340" s="255">
        <v>1.45</v>
      </c>
      <c r="AI5340" s="255">
        <v>2.9</v>
      </c>
      <c r="AJ5340" s="255">
        <v>3.48</v>
      </c>
      <c r="AK5340" s="256">
        <f>3.335/2</f>
        <v>1.6675</v>
      </c>
      <c r="AL5340" s="256">
        <f>3.625/2</f>
        <v>1.8125</v>
      </c>
      <c r="AM5340" s="147">
        <f t="shared" si="193"/>
        <v>3.48</v>
      </c>
      <c r="AN5340" s="18" t="s">
        <v>921</v>
      </c>
      <c r="AO5340" s="18" t="s">
        <v>880</v>
      </c>
      <c r="AP5340" s="18" t="s">
        <v>831</v>
      </c>
    </row>
    <row r="5341" spans="1:45" s="18" customFormat="1" ht="15" customHeight="1" x14ac:dyDescent="0.3">
      <c r="A5341" s="207" t="s">
        <v>7397</v>
      </c>
      <c r="B5341" s="18" t="s">
        <v>7398</v>
      </c>
      <c r="C5341" s="208" t="s">
        <v>8042</v>
      </c>
      <c r="D5341" s="18" t="s">
        <v>8043</v>
      </c>
      <c r="E5341" s="156" t="s">
        <v>8044</v>
      </c>
      <c r="F5341" s="18" t="s">
        <v>7976</v>
      </c>
      <c r="G5341" s="156" t="s">
        <v>8045</v>
      </c>
      <c r="H5341" s="18" t="s">
        <v>8046</v>
      </c>
      <c r="I5341" s="156"/>
      <c r="K5341" s="156" t="s">
        <v>8047</v>
      </c>
      <c r="L5341" s="18" t="s">
        <v>8048</v>
      </c>
      <c r="M5341" s="18" t="s">
        <v>8051</v>
      </c>
      <c r="N5341" s="18">
        <v>0</v>
      </c>
      <c r="O5341" s="18">
        <v>28</v>
      </c>
      <c r="P5341" s="16">
        <v>50</v>
      </c>
      <c r="Q5341" s="16">
        <v>75</v>
      </c>
      <c r="R5341" s="16">
        <v>85</v>
      </c>
      <c r="S5341" s="16">
        <v>100</v>
      </c>
      <c r="T5341" s="18" t="s">
        <v>921</v>
      </c>
      <c r="U5341" t="str">
        <f>VLOOKUP(T5341,[8]Votes!$A$1:$E$234,3,FALSE)</f>
        <v>008 Ministry of Finance, Planning &amp; Economic Dev.</v>
      </c>
      <c r="W5341" s="48"/>
      <c r="X5341" s="48"/>
      <c r="Y5341" s="48"/>
      <c r="Z5341" s="48"/>
      <c r="AA5341" s="48"/>
      <c r="AB5341" s="48"/>
      <c r="AC5341" s="150">
        <v>0</v>
      </c>
      <c r="AD5341" s="150">
        <v>0</v>
      </c>
      <c r="AE5341" s="49">
        <f t="shared" si="194"/>
        <v>0</v>
      </c>
      <c r="AF5341" s="17"/>
      <c r="AG5341" s="17">
        <v>0</v>
      </c>
      <c r="AH5341" s="17"/>
      <c r="AI5341" s="17"/>
      <c r="AJ5341" s="17"/>
      <c r="AK5341" s="154"/>
      <c r="AL5341" s="154"/>
      <c r="AM5341" s="147">
        <f t="shared" si="193"/>
        <v>0</v>
      </c>
      <c r="AS5341" s="228"/>
    </row>
    <row r="5342" spans="1:45" s="18" customFormat="1" ht="15" customHeight="1" x14ac:dyDescent="0.3">
      <c r="A5342" s="207" t="s">
        <v>7397</v>
      </c>
      <c r="B5342" s="18" t="s">
        <v>7398</v>
      </c>
      <c r="C5342" s="208" t="s">
        <v>8042</v>
      </c>
      <c r="D5342" s="18" t="s">
        <v>8043</v>
      </c>
      <c r="E5342" s="156" t="s">
        <v>8044</v>
      </c>
      <c r="F5342" s="18" t="s">
        <v>7976</v>
      </c>
      <c r="G5342" s="156" t="s">
        <v>8045</v>
      </c>
      <c r="H5342" s="18" t="s">
        <v>8046</v>
      </c>
      <c r="I5342" s="156"/>
      <c r="K5342" s="156" t="s">
        <v>8047</v>
      </c>
      <c r="L5342" s="18" t="s">
        <v>8048</v>
      </c>
      <c r="M5342" s="18" t="s">
        <v>8052</v>
      </c>
      <c r="N5342" s="18">
        <v>0</v>
      </c>
      <c r="O5342" s="18">
        <v>6</v>
      </c>
      <c r="P5342" s="16">
        <v>18</v>
      </c>
      <c r="Q5342" s="16">
        <v>18</v>
      </c>
      <c r="R5342" s="16">
        <v>18</v>
      </c>
      <c r="S5342" s="16">
        <v>18</v>
      </c>
      <c r="T5342" s="18" t="s">
        <v>921</v>
      </c>
      <c r="U5342" t="str">
        <f>VLOOKUP(T5342,[8]Votes!$A$1:$E$234,3,FALSE)</f>
        <v>008 Ministry of Finance, Planning &amp; Economic Dev.</v>
      </c>
      <c r="W5342" s="48"/>
      <c r="X5342" s="48"/>
      <c r="Y5342" s="48"/>
      <c r="Z5342" s="48"/>
      <c r="AA5342" s="48"/>
      <c r="AB5342" s="48"/>
      <c r="AC5342" s="150">
        <v>0</v>
      </c>
      <c r="AD5342" s="150">
        <v>0</v>
      </c>
      <c r="AE5342" s="49">
        <f t="shared" si="194"/>
        <v>0</v>
      </c>
      <c r="AF5342" s="17"/>
      <c r="AG5342" s="17">
        <v>0</v>
      </c>
      <c r="AH5342" s="17"/>
      <c r="AI5342" s="17"/>
      <c r="AJ5342" s="17"/>
      <c r="AK5342" s="154"/>
      <c r="AL5342" s="154"/>
      <c r="AM5342" s="147">
        <f t="shared" si="193"/>
        <v>0</v>
      </c>
    </row>
    <row r="5343" spans="1:45" s="18" customFormat="1" ht="15" customHeight="1" x14ac:dyDescent="0.3">
      <c r="A5343" s="207" t="s">
        <v>7397</v>
      </c>
      <c r="B5343" s="18" t="s">
        <v>7398</v>
      </c>
      <c r="C5343" s="208" t="s">
        <v>8042</v>
      </c>
      <c r="D5343" s="18" t="s">
        <v>8043</v>
      </c>
      <c r="E5343" s="156" t="s">
        <v>8044</v>
      </c>
      <c r="F5343" s="18" t="s">
        <v>7976</v>
      </c>
      <c r="G5343" s="156" t="s">
        <v>8053</v>
      </c>
      <c r="H5343" s="18" t="s">
        <v>8054</v>
      </c>
      <c r="I5343" s="156"/>
      <c r="K5343" s="156" t="s">
        <v>8055</v>
      </c>
      <c r="L5343" s="18" t="s">
        <v>8056</v>
      </c>
      <c r="M5343" s="18" t="s">
        <v>8057</v>
      </c>
      <c r="N5343" s="18">
        <v>0</v>
      </c>
      <c r="O5343" s="18">
        <v>20</v>
      </c>
      <c r="P5343" s="16">
        <v>40</v>
      </c>
      <c r="Q5343" s="16">
        <v>60</v>
      </c>
      <c r="R5343" s="16">
        <v>80</v>
      </c>
      <c r="S5343" s="16">
        <v>100</v>
      </c>
      <c r="T5343" s="18" t="s">
        <v>921</v>
      </c>
      <c r="U5343" t="str">
        <f>VLOOKUP(T5343,[8]Votes!$A$1:$E$234,3,FALSE)</f>
        <v>008 Ministry of Finance, Planning &amp; Economic Dev.</v>
      </c>
      <c r="V5343" s="18" t="s">
        <v>8058</v>
      </c>
      <c r="W5343" s="48">
        <v>1</v>
      </c>
      <c r="X5343" s="48">
        <v>1</v>
      </c>
      <c r="Y5343" s="48">
        <v>0</v>
      </c>
      <c r="Z5343" s="48">
        <v>1</v>
      </c>
      <c r="AA5343" s="48">
        <v>1</v>
      </c>
      <c r="AB5343" s="48">
        <v>1</v>
      </c>
      <c r="AC5343" s="150">
        <v>1</v>
      </c>
      <c r="AD5343" s="150">
        <v>1</v>
      </c>
      <c r="AE5343" s="49">
        <f t="shared" si="194"/>
        <v>0.875</v>
      </c>
      <c r="AF5343" s="255"/>
      <c r="AG5343" s="17">
        <v>0</v>
      </c>
      <c r="AH5343" s="255">
        <v>1.885</v>
      </c>
      <c r="AI5343" s="255">
        <v>2.1749999999999998</v>
      </c>
      <c r="AJ5343" s="255">
        <v>2.61</v>
      </c>
      <c r="AK5343" s="256">
        <f>1.74/2</f>
        <v>0.87</v>
      </c>
      <c r="AL5343" s="256">
        <f>1.45/2</f>
        <v>0.72499999999999998</v>
      </c>
      <c r="AM5343" s="147">
        <f t="shared" si="193"/>
        <v>1.595</v>
      </c>
      <c r="AN5343" s="18" t="s">
        <v>921</v>
      </c>
      <c r="AO5343" s="18" t="s">
        <v>880</v>
      </c>
    </row>
    <row r="5344" spans="1:45" s="18" customFormat="1" ht="15" customHeight="1" x14ac:dyDescent="0.3">
      <c r="A5344" s="207" t="s">
        <v>7397</v>
      </c>
      <c r="B5344" s="18" t="s">
        <v>7398</v>
      </c>
      <c r="C5344" s="208" t="s">
        <v>8042</v>
      </c>
      <c r="D5344" s="18" t="s">
        <v>8043</v>
      </c>
      <c r="E5344" s="156" t="s">
        <v>8044</v>
      </c>
      <c r="F5344" s="18" t="s">
        <v>7976</v>
      </c>
      <c r="G5344" s="156" t="s">
        <v>8053</v>
      </c>
      <c r="H5344" s="18" t="s">
        <v>8054</v>
      </c>
      <c r="I5344" s="156"/>
      <c r="K5344" s="156" t="s">
        <v>8055</v>
      </c>
      <c r="L5344" s="18" t="s">
        <v>8056</v>
      </c>
      <c r="M5344" s="18" t="s">
        <v>8059</v>
      </c>
      <c r="N5344" s="18">
        <v>0</v>
      </c>
      <c r="O5344" s="18">
        <v>5</v>
      </c>
      <c r="P5344" s="16">
        <v>7</v>
      </c>
      <c r="Q5344" s="16">
        <v>8</v>
      </c>
      <c r="R5344" s="16">
        <v>10</v>
      </c>
      <c r="S5344" s="16">
        <v>10</v>
      </c>
      <c r="T5344" s="18" t="s">
        <v>921</v>
      </c>
      <c r="U5344" t="str">
        <f>VLOOKUP(T5344,[8]Votes!$A$1:$E$234,3,FALSE)</f>
        <v>008 Ministry of Finance, Planning &amp; Economic Dev.</v>
      </c>
      <c r="V5344" s="18" t="s">
        <v>8060</v>
      </c>
      <c r="W5344" s="48">
        <v>1</v>
      </c>
      <c r="X5344" s="48">
        <v>1</v>
      </c>
      <c r="Y5344" s="48">
        <v>0</v>
      </c>
      <c r="Z5344" s="48">
        <v>1</v>
      </c>
      <c r="AA5344" s="48">
        <v>1</v>
      </c>
      <c r="AB5344" s="48">
        <v>1</v>
      </c>
      <c r="AC5344" s="150">
        <v>1</v>
      </c>
      <c r="AD5344" s="150">
        <v>1</v>
      </c>
      <c r="AE5344" s="49">
        <f t="shared" si="194"/>
        <v>0.875</v>
      </c>
      <c r="AF5344" s="255"/>
      <c r="AG5344" s="17">
        <v>0</v>
      </c>
      <c r="AH5344" s="255">
        <v>18.096</v>
      </c>
      <c r="AI5344" s="255">
        <v>18.965999999999998</v>
      </c>
      <c r="AJ5344" s="255">
        <v>19.836000000000002</v>
      </c>
      <c r="AK5344" s="256">
        <f>21.228/2</f>
        <v>10.614000000000001</v>
      </c>
      <c r="AL5344" s="256">
        <f>23.316/2</f>
        <v>11.657999999999999</v>
      </c>
      <c r="AM5344" s="147">
        <f t="shared" si="193"/>
        <v>22.271999999999998</v>
      </c>
      <c r="AN5344" s="18" t="s">
        <v>921</v>
      </c>
      <c r="AO5344" s="18" t="s">
        <v>880</v>
      </c>
    </row>
    <row r="5345" spans="1:42" s="18" customFormat="1" x14ac:dyDescent="0.3">
      <c r="A5345" s="207" t="s">
        <v>7397</v>
      </c>
      <c r="B5345" s="18" t="s">
        <v>7398</v>
      </c>
      <c r="C5345" s="208" t="s">
        <v>8042</v>
      </c>
      <c r="D5345" s="18" t="s">
        <v>8043</v>
      </c>
      <c r="E5345" s="156" t="s">
        <v>8044</v>
      </c>
      <c r="F5345" s="18" t="s">
        <v>7976</v>
      </c>
      <c r="G5345" s="156" t="s">
        <v>8053</v>
      </c>
      <c r="H5345" s="18" t="s">
        <v>8054</v>
      </c>
      <c r="I5345" s="156"/>
      <c r="K5345" s="156" t="s">
        <v>8055</v>
      </c>
      <c r="L5345" s="18" t="s">
        <v>8056</v>
      </c>
      <c r="M5345" s="18" t="s">
        <v>8061</v>
      </c>
      <c r="N5345" s="18" t="s">
        <v>119</v>
      </c>
      <c r="O5345" s="18">
        <v>0</v>
      </c>
      <c r="P5345" s="16">
        <v>0</v>
      </c>
      <c r="Q5345" s="16">
        <v>0</v>
      </c>
      <c r="R5345" s="16">
        <v>1</v>
      </c>
      <c r="S5345" s="16">
        <v>0</v>
      </c>
      <c r="T5345" s="18" t="s">
        <v>7852</v>
      </c>
      <c r="U5345" t="str">
        <f>VLOOKUP(T5345,[8]Votes!$A$1:$E$234,3,FALSE)</f>
        <v>131 Auditor General</v>
      </c>
      <c r="V5345" s="18" t="s">
        <v>8062</v>
      </c>
      <c r="W5345" s="48">
        <v>1</v>
      </c>
      <c r="X5345" s="48">
        <v>0</v>
      </c>
      <c r="Y5345" s="48">
        <v>0</v>
      </c>
      <c r="Z5345" s="48">
        <v>1</v>
      </c>
      <c r="AA5345" s="48">
        <v>0</v>
      </c>
      <c r="AB5345" s="48">
        <v>0</v>
      </c>
      <c r="AC5345" s="150">
        <v>1</v>
      </c>
      <c r="AD5345" s="150">
        <v>1</v>
      </c>
      <c r="AE5345" s="49">
        <f t="shared" si="194"/>
        <v>0.5</v>
      </c>
      <c r="AF5345" s="255"/>
      <c r="AG5345" s="17">
        <v>0</v>
      </c>
      <c r="AH5345" s="255">
        <v>0</v>
      </c>
      <c r="AI5345" s="255">
        <v>2.1749999999999998</v>
      </c>
      <c r="AJ5345" s="255">
        <v>3.24</v>
      </c>
      <c r="AK5345" s="256">
        <v>0</v>
      </c>
      <c r="AL5345" s="256">
        <v>0</v>
      </c>
      <c r="AM5345" s="147">
        <f t="shared" ref="AM5345:AM5408" si="195">SUM(AK5345:AL5345)</f>
        <v>0</v>
      </c>
      <c r="AN5345" s="18" t="s">
        <v>7852</v>
      </c>
      <c r="AO5345" s="18" t="s">
        <v>7854</v>
      </c>
    </row>
    <row r="5346" spans="1:42" s="18" customFormat="1" ht="15" customHeight="1" x14ac:dyDescent="0.3">
      <c r="A5346" s="207" t="s">
        <v>7397</v>
      </c>
      <c r="B5346" s="18" t="s">
        <v>7398</v>
      </c>
      <c r="C5346" s="208" t="s">
        <v>8042</v>
      </c>
      <c r="D5346" s="18" t="s">
        <v>8043</v>
      </c>
      <c r="E5346" s="156" t="s">
        <v>8044</v>
      </c>
      <c r="F5346" s="18" t="s">
        <v>7976</v>
      </c>
      <c r="G5346" s="156" t="s">
        <v>8053</v>
      </c>
      <c r="H5346" s="18" t="s">
        <v>8054</v>
      </c>
      <c r="I5346" s="156"/>
      <c r="K5346" s="156" t="s">
        <v>8055</v>
      </c>
      <c r="L5346" s="18" t="s">
        <v>8056</v>
      </c>
      <c r="M5346" s="18" t="s">
        <v>8063</v>
      </c>
      <c r="N5346" s="18">
        <v>0</v>
      </c>
      <c r="O5346" s="18">
        <v>50</v>
      </c>
      <c r="P5346" s="16">
        <v>60</v>
      </c>
      <c r="Q5346" s="16">
        <v>70</v>
      </c>
      <c r="R5346" s="16">
        <v>80</v>
      </c>
      <c r="S5346" s="16">
        <v>100</v>
      </c>
      <c r="T5346" s="18" t="s">
        <v>7852</v>
      </c>
      <c r="U5346" t="str">
        <f>VLOOKUP(T5346,[8]Votes!$A$1:$E$234,3,FALSE)</f>
        <v>131 Auditor General</v>
      </c>
      <c r="V5346" s="18" t="s">
        <v>8064</v>
      </c>
      <c r="W5346" s="48">
        <v>1</v>
      </c>
      <c r="X5346" s="48">
        <v>1</v>
      </c>
      <c r="Y5346" s="48">
        <v>0</v>
      </c>
      <c r="Z5346" s="48">
        <v>1</v>
      </c>
      <c r="AA5346" s="48">
        <v>1</v>
      </c>
      <c r="AB5346" s="48">
        <v>1</v>
      </c>
      <c r="AC5346" s="150">
        <v>1</v>
      </c>
      <c r="AD5346" s="150">
        <v>1</v>
      </c>
      <c r="AE5346" s="49">
        <f t="shared" si="194"/>
        <v>0.875</v>
      </c>
      <c r="AF5346" s="255"/>
      <c r="AG5346" s="17">
        <v>0</v>
      </c>
      <c r="AH5346" s="255">
        <v>18.096</v>
      </c>
      <c r="AI5346" s="255">
        <v>18.965999999999998</v>
      </c>
      <c r="AJ5346" s="255">
        <v>18.835999999999999</v>
      </c>
      <c r="AK5346" s="256">
        <f>4.5/4</f>
        <v>1.125</v>
      </c>
      <c r="AL5346" s="256">
        <f>5/4</f>
        <v>1.25</v>
      </c>
      <c r="AM5346" s="147">
        <f t="shared" si="195"/>
        <v>2.375</v>
      </c>
      <c r="AN5346" s="18" t="s">
        <v>7852</v>
      </c>
      <c r="AO5346" s="18" t="s">
        <v>7854</v>
      </c>
      <c r="AP5346" s="18" t="s">
        <v>1191</v>
      </c>
    </row>
    <row r="5347" spans="1:42" s="18" customFormat="1" ht="15" customHeight="1" x14ac:dyDescent="0.3">
      <c r="A5347" s="207" t="s">
        <v>7397</v>
      </c>
      <c r="B5347" s="18" t="s">
        <v>7398</v>
      </c>
      <c r="C5347" s="208" t="s">
        <v>8042</v>
      </c>
      <c r="D5347" s="18" t="s">
        <v>8043</v>
      </c>
      <c r="E5347" s="156" t="s">
        <v>8044</v>
      </c>
      <c r="F5347" s="18" t="s">
        <v>7976</v>
      </c>
      <c r="G5347" s="156" t="s">
        <v>8053</v>
      </c>
      <c r="H5347" s="18" t="s">
        <v>8054</v>
      </c>
      <c r="I5347" s="156"/>
      <c r="K5347" s="156" t="s">
        <v>8055</v>
      </c>
      <c r="L5347" s="18" t="s">
        <v>8056</v>
      </c>
      <c r="M5347" s="18" t="s">
        <v>8065</v>
      </c>
      <c r="N5347" s="18">
        <v>0</v>
      </c>
      <c r="O5347" s="18">
        <v>1</v>
      </c>
      <c r="P5347" s="16">
        <v>1</v>
      </c>
      <c r="Q5347" s="16">
        <v>1</v>
      </c>
      <c r="R5347" s="16">
        <v>1</v>
      </c>
      <c r="S5347" s="16">
        <v>1</v>
      </c>
      <c r="T5347" s="18" t="s">
        <v>7852</v>
      </c>
      <c r="U5347" t="str">
        <f>VLOOKUP(T5347,[8]Votes!$A$1:$E$234,3,FALSE)</f>
        <v>131 Auditor General</v>
      </c>
      <c r="V5347" s="18" t="s">
        <v>8066</v>
      </c>
      <c r="W5347" s="48">
        <v>1</v>
      </c>
      <c r="X5347" s="48">
        <v>1</v>
      </c>
      <c r="Y5347" s="48">
        <v>0</v>
      </c>
      <c r="Z5347" s="48">
        <v>1</v>
      </c>
      <c r="AA5347" s="48">
        <v>1</v>
      </c>
      <c r="AB5347" s="48">
        <v>1</v>
      </c>
      <c r="AC5347" s="150">
        <v>1</v>
      </c>
      <c r="AD5347" s="150">
        <v>1</v>
      </c>
      <c r="AE5347" s="49">
        <f t="shared" si="194"/>
        <v>0.875</v>
      </c>
      <c r="AF5347" s="255"/>
      <c r="AG5347" s="17">
        <v>0</v>
      </c>
      <c r="AH5347" s="255">
        <v>0.72499999999999998</v>
      </c>
      <c r="AI5347" s="255">
        <v>3.19</v>
      </c>
      <c r="AJ5347" s="255">
        <v>2.1749999999999998</v>
      </c>
      <c r="AK5347" s="256">
        <f>3.19/6</f>
        <v>0.53166666666666662</v>
      </c>
      <c r="AL5347" s="256">
        <f>4.19/6</f>
        <v>0.69833333333333336</v>
      </c>
      <c r="AM5347" s="147">
        <f t="shared" si="195"/>
        <v>1.23</v>
      </c>
      <c r="AN5347" s="18" t="s">
        <v>7852</v>
      </c>
      <c r="AO5347" s="18" t="s">
        <v>7854</v>
      </c>
      <c r="AP5347" s="18" t="s">
        <v>1191</v>
      </c>
    </row>
    <row r="5348" spans="1:42" s="18" customFormat="1" ht="15" customHeight="1" x14ac:dyDescent="0.3">
      <c r="A5348" s="207" t="s">
        <v>7397</v>
      </c>
      <c r="B5348" s="18" t="s">
        <v>7398</v>
      </c>
      <c r="C5348" s="208" t="s">
        <v>8042</v>
      </c>
      <c r="D5348" s="18" t="s">
        <v>8043</v>
      </c>
      <c r="E5348" s="156" t="s">
        <v>8044</v>
      </c>
      <c r="F5348" s="18" t="s">
        <v>7976</v>
      </c>
      <c r="G5348" s="156" t="s">
        <v>8053</v>
      </c>
      <c r="H5348" s="18" t="s">
        <v>8054</v>
      </c>
      <c r="I5348" s="156"/>
      <c r="K5348" s="156" t="s">
        <v>8055</v>
      </c>
      <c r="L5348" s="18" t="s">
        <v>8056</v>
      </c>
      <c r="P5348" s="16"/>
      <c r="Q5348" s="16"/>
      <c r="R5348" s="16"/>
      <c r="S5348" s="16"/>
      <c r="T5348" s="18" t="s">
        <v>7852</v>
      </c>
      <c r="U5348" t="str">
        <f>VLOOKUP(T5348,[8]Votes!$A$1:$E$234,3,FALSE)</f>
        <v>131 Auditor General</v>
      </c>
      <c r="V5348" s="18" t="s">
        <v>8067</v>
      </c>
      <c r="W5348" s="48">
        <v>1</v>
      </c>
      <c r="X5348" s="48">
        <v>1</v>
      </c>
      <c r="Y5348" s="48">
        <v>0</v>
      </c>
      <c r="Z5348" s="48">
        <v>1</v>
      </c>
      <c r="AA5348" s="48">
        <v>1</v>
      </c>
      <c r="AB5348" s="48">
        <v>1</v>
      </c>
      <c r="AC5348" s="150">
        <v>1</v>
      </c>
      <c r="AD5348" s="150">
        <v>1</v>
      </c>
      <c r="AE5348" s="49">
        <f t="shared" si="194"/>
        <v>0.875</v>
      </c>
      <c r="AF5348" s="255"/>
      <c r="AG5348" s="17">
        <v>0</v>
      </c>
      <c r="AH5348" s="255">
        <v>20</v>
      </c>
      <c r="AI5348" s="255">
        <v>27.83</v>
      </c>
      <c r="AJ5348" s="255">
        <v>24.8</v>
      </c>
      <c r="AK5348" s="256">
        <f>0.75/2</f>
        <v>0.375</v>
      </c>
      <c r="AL5348" s="256">
        <f>0.8/2</f>
        <v>0.4</v>
      </c>
      <c r="AM5348" s="147">
        <f t="shared" si="195"/>
        <v>0.77500000000000002</v>
      </c>
      <c r="AN5348" s="18" t="s">
        <v>7852</v>
      </c>
      <c r="AO5348" s="18" t="s">
        <v>7854</v>
      </c>
      <c r="AP5348" s="18" t="s">
        <v>8068</v>
      </c>
    </row>
    <row r="5349" spans="1:42" s="18" customFormat="1" ht="15" customHeight="1" x14ac:dyDescent="0.3">
      <c r="A5349" s="207" t="s">
        <v>7397</v>
      </c>
      <c r="B5349" s="18" t="s">
        <v>7398</v>
      </c>
      <c r="C5349" s="208" t="s">
        <v>8042</v>
      </c>
      <c r="D5349" s="18" t="s">
        <v>8043</v>
      </c>
      <c r="E5349" s="156" t="s">
        <v>8044</v>
      </c>
      <c r="F5349" s="18" t="s">
        <v>7976</v>
      </c>
      <c r="G5349" s="156" t="s">
        <v>8053</v>
      </c>
      <c r="H5349" s="18" t="s">
        <v>8054</v>
      </c>
      <c r="I5349" s="156"/>
      <c r="K5349" s="156" t="s">
        <v>8069</v>
      </c>
      <c r="L5349" s="18" t="s">
        <v>8070</v>
      </c>
      <c r="M5349" s="18" t="s">
        <v>8071</v>
      </c>
      <c r="N5349" s="18">
        <v>0</v>
      </c>
      <c r="O5349" s="18">
        <v>1</v>
      </c>
      <c r="P5349" s="16">
        <v>1</v>
      </c>
      <c r="Q5349" s="16">
        <v>1</v>
      </c>
      <c r="R5349" s="16">
        <v>1</v>
      </c>
      <c r="S5349" s="16">
        <v>1</v>
      </c>
      <c r="T5349" s="18" t="s">
        <v>921</v>
      </c>
      <c r="U5349" t="str">
        <f>VLOOKUP(T5349,[8]Votes!$A$1:$E$234,3,FALSE)</f>
        <v>008 Ministry of Finance, Planning &amp; Economic Dev.</v>
      </c>
      <c r="V5349" s="18" t="s">
        <v>8072</v>
      </c>
      <c r="W5349" s="48">
        <v>1</v>
      </c>
      <c r="X5349" s="48">
        <v>1</v>
      </c>
      <c r="Y5349" s="48">
        <v>0</v>
      </c>
      <c r="Z5349" s="48">
        <v>1</v>
      </c>
      <c r="AA5349" s="48">
        <v>1</v>
      </c>
      <c r="AB5349" s="48">
        <v>1</v>
      </c>
      <c r="AC5349" s="150">
        <v>1</v>
      </c>
      <c r="AD5349" s="150">
        <v>1</v>
      </c>
      <c r="AE5349" s="49">
        <f t="shared" ref="AE5349:AE5409" si="196">SUM(W5349:AD5349)/8</f>
        <v>0.875</v>
      </c>
      <c r="AF5349" s="255"/>
      <c r="AG5349" s="17">
        <v>0</v>
      </c>
      <c r="AH5349" s="255">
        <v>1.45</v>
      </c>
      <c r="AI5349" s="255">
        <v>1.45</v>
      </c>
      <c r="AJ5349" s="255">
        <v>1.45</v>
      </c>
      <c r="AK5349" s="256">
        <f>1.45/1.5</f>
        <v>0.96666666666666667</v>
      </c>
      <c r="AL5349" s="256">
        <f>1.45/1.5</f>
        <v>0.96666666666666667</v>
      </c>
      <c r="AM5349" s="147">
        <f t="shared" si="195"/>
        <v>1.9333333333333333</v>
      </c>
      <c r="AN5349" s="18" t="s">
        <v>921</v>
      </c>
      <c r="AO5349" s="18" t="s">
        <v>880</v>
      </c>
    </row>
    <row r="5350" spans="1:42" s="18" customFormat="1" ht="15" customHeight="1" x14ac:dyDescent="0.3">
      <c r="A5350" s="207" t="s">
        <v>7397</v>
      </c>
      <c r="B5350" s="18" t="s">
        <v>7398</v>
      </c>
      <c r="C5350" s="208" t="s">
        <v>8042</v>
      </c>
      <c r="D5350" s="18" t="s">
        <v>8043</v>
      </c>
      <c r="E5350" s="156" t="s">
        <v>8044</v>
      </c>
      <c r="F5350" s="18" t="s">
        <v>7976</v>
      </c>
      <c r="G5350" s="156" t="s">
        <v>8053</v>
      </c>
      <c r="H5350" s="18" t="s">
        <v>8054</v>
      </c>
      <c r="I5350" s="156"/>
      <c r="K5350" s="156" t="s">
        <v>8069</v>
      </c>
      <c r="L5350" s="18" t="s">
        <v>8070</v>
      </c>
      <c r="P5350" s="16"/>
      <c r="Q5350" s="16"/>
      <c r="R5350" s="16"/>
      <c r="S5350" s="16"/>
      <c r="T5350" s="18" t="s">
        <v>921</v>
      </c>
      <c r="U5350" t="str">
        <f>VLOOKUP(T5350,[8]Votes!$A$1:$E$234,3,FALSE)</f>
        <v>008 Ministry of Finance, Planning &amp; Economic Dev.</v>
      </c>
      <c r="V5350" s="18" t="s">
        <v>8073</v>
      </c>
      <c r="W5350" s="48">
        <v>1</v>
      </c>
      <c r="X5350" s="48">
        <v>1</v>
      </c>
      <c r="Y5350" s="48">
        <v>0</v>
      </c>
      <c r="Z5350" s="48">
        <v>1</v>
      </c>
      <c r="AA5350" s="48">
        <v>1</v>
      </c>
      <c r="AB5350" s="48">
        <v>1</v>
      </c>
      <c r="AC5350" s="150">
        <v>1</v>
      </c>
      <c r="AD5350" s="150">
        <v>1</v>
      </c>
      <c r="AE5350" s="49">
        <f t="shared" si="196"/>
        <v>0.875</v>
      </c>
      <c r="AF5350" s="255"/>
      <c r="AG5350" s="17">
        <v>0</v>
      </c>
      <c r="AH5350" s="255">
        <v>0.72499999999999998</v>
      </c>
      <c r="AI5350" s="255">
        <v>0.72499999999999998</v>
      </c>
      <c r="AJ5350" s="255">
        <v>0.72499999999999998</v>
      </c>
      <c r="AK5350" s="256">
        <f>0.725/2</f>
        <v>0.36249999999999999</v>
      </c>
      <c r="AL5350" s="256">
        <f>0.73/2</f>
        <v>0.36499999999999999</v>
      </c>
      <c r="AM5350" s="147">
        <f t="shared" si="195"/>
        <v>0.72750000000000004</v>
      </c>
      <c r="AN5350" s="18" t="s">
        <v>921</v>
      </c>
      <c r="AO5350" s="18" t="s">
        <v>880</v>
      </c>
    </row>
    <row r="5351" spans="1:42" s="18" customFormat="1" ht="15" customHeight="1" x14ac:dyDescent="0.3">
      <c r="A5351" s="207" t="s">
        <v>7397</v>
      </c>
      <c r="B5351" s="18" t="s">
        <v>7398</v>
      </c>
      <c r="C5351" s="208" t="s">
        <v>8042</v>
      </c>
      <c r="D5351" s="18" t="s">
        <v>8043</v>
      </c>
      <c r="E5351" s="156" t="s">
        <v>8044</v>
      </c>
      <c r="F5351" s="18" t="s">
        <v>7976</v>
      </c>
      <c r="G5351" s="156" t="s">
        <v>8053</v>
      </c>
      <c r="H5351" s="18" t="s">
        <v>8054</v>
      </c>
      <c r="I5351" s="156"/>
      <c r="K5351" s="156" t="s">
        <v>8074</v>
      </c>
      <c r="L5351" s="18" t="s">
        <v>8075</v>
      </c>
      <c r="M5351" s="18" t="s">
        <v>8076</v>
      </c>
      <c r="N5351" s="18">
        <v>0</v>
      </c>
      <c r="O5351" s="18">
        <v>0</v>
      </c>
      <c r="P5351" s="16">
        <v>0</v>
      </c>
      <c r="Q5351" s="16">
        <v>0</v>
      </c>
      <c r="R5351" s="16">
        <v>1</v>
      </c>
      <c r="S5351" s="16">
        <v>0</v>
      </c>
      <c r="T5351" s="18" t="s">
        <v>921</v>
      </c>
      <c r="U5351" t="str">
        <f>VLOOKUP(T5351,[8]Votes!$A$1:$E$234,3,FALSE)</f>
        <v>008 Ministry of Finance, Planning &amp; Economic Dev.</v>
      </c>
      <c r="V5351" s="18" t="s">
        <v>8077</v>
      </c>
      <c r="W5351" s="48">
        <v>0</v>
      </c>
      <c r="X5351" s="48">
        <v>0</v>
      </c>
      <c r="Y5351" s="48">
        <v>0</v>
      </c>
      <c r="Z5351" s="48">
        <v>1</v>
      </c>
      <c r="AA5351" s="48">
        <v>1</v>
      </c>
      <c r="AB5351" s="48">
        <v>0</v>
      </c>
      <c r="AC5351" s="150">
        <v>0</v>
      </c>
      <c r="AD5351" s="150">
        <v>1</v>
      </c>
      <c r="AE5351" s="49">
        <f t="shared" si="196"/>
        <v>0.375</v>
      </c>
      <c r="AF5351" s="255"/>
      <c r="AG5351" s="17">
        <v>0</v>
      </c>
      <c r="AH5351" s="255">
        <v>0</v>
      </c>
      <c r="AI5351" s="255">
        <v>0</v>
      </c>
      <c r="AJ5351" s="255">
        <v>0.72499999999999998</v>
      </c>
      <c r="AK5351" s="256">
        <v>0</v>
      </c>
      <c r="AL5351" s="256">
        <v>0</v>
      </c>
      <c r="AM5351" s="147">
        <f t="shared" si="195"/>
        <v>0</v>
      </c>
      <c r="AN5351" s="18" t="s">
        <v>921</v>
      </c>
      <c r="AO5351" s="18" t="s">
        <v>880</v>
      </c>
    </row>
    <row r="5352" spans="1:42" s="18" customFormat="1" ht="15" customHeight="1" x14ac:dyDescent="0.3">
      <c r="A5352" s="207" t="s">
        <v>7397</v>
      </c>
      <c r="B5352" s="18" t="s">
        <v>7398</v>
      </c>
      <c r="C5352" s="208" t="s">
        <v>8042</v>
      </c>
      <c r="D5352" s="18" t="s">
        <v>8043</v>
      </c>
      <c r="E5352" s="156" t="s">
        <v>8044</v>
      </c>
      <c r="F5352" s="18" t="s">
        <v>7976</v>
      </c>
      <c r="G5352" s="156" t="s">
        <v>8053</v>
      </c>
      <c r="H5352" s="18" t="s">
        <v>8054</v>
      </c>
      <c r="I5352" s="156"/>
      <c r="K5352" s="156" t="s">
        <v>8078</v>
      </c>
      <c r="L5352" s="18" t="s">
        <v>8079</v>
      </c>
      <c r="M5352" s="18" t="s">
        <v>8080</v>
      </c>
      <c r="N5352" s="18">
        <v>0</v>
      </c>
      <c r="O5352" s="18">
        <v>0</v>
      </c>
      <c r="P5352" s="16">
        <v>0</v>
      </c>
      <c r="Q5352" s="16">
        <v>1</v>
      </c>
      <c r="R5352" s="16">
        <v>1</v>
      </c>
      <c r="S5352" s="16">
        <v>1</v>
      </c>
      <c r="T5352" s="18" t="s">
        <v>921</v>
      </c>
      <c r="U5352" t="str">
        <f>VLOOKUP(T5352,[8]Votes!$A$1:$E$234,3,FALSE)</f>
        <v>008 Ministry of Finance, Planning &amp; Economic Dev.</v>
      </c>
      <c r="V5352" s="18" t="s">
        <v>8081</v>
      </c>
      <c r="W5352" s="48">
        <v>1</v>
      </c>
      <c r="X5352" s="48">
        <v>1</v>
      </c>
      <c r="Y5352" s="48">
        <v>0</v>
      </c>
      <c r="Z5352" s="48">
        <v>1</v>
      </c>
      <c r="AA5352" s="48">
        <v>1</v>
      </c>
      <c r="AB5352" s="48">
        <v>1</v>
      </c>
      <c r="AC5352" s="150">
        <v>1</v>
      </c>
      <c r="AD5352" s="150">
        <v>1</v>
      </c>
      <c r="AE5352" s="49">
        <f t="shared" si="196"/>
        <v>0.875</v>
      </c>
      <c r="AF5352" s="255"/>
      <c r="AG5352" s="17">
        <v>0</v>
      </c>
      <c r="AH5352" s="255">
        <v>0</v>
      </c>
      <c r="AI5352" s="255">
        <v>0</v>
      </c>
      <c r="AJ5352" s="255">
        <v>0.72499999999999998</v>
      </c>
      <c r="AK5352" s="256">
        <v>0</v>
      </c>
      <c r="AL5352" s="256">
        <f>0.4/2</f>
        <v>0.2</v>
      </c>
      <c r="AM5352" s="147">
        <f t="shared" si="195"/>
        <v>0.2</v>
      </c>
      <c r="AN5352" s="18" t="s">
        <v>921</v>
      </c>
      <c r="AO5352" s="18" t="s">
        <v>880</v>
      </c>
    </row>
    <row r="5353" spans="1:42" s="18" customFormat="1" ht="15" customHeight="1" x14ac:dyDescent="0.3">
      <c r="A5353" s="207" t="s">
        <v>7397</v>
      </c>
      <c r="B5353" s="18" t="s">
        <v>7398</v>
      </c>
      <c r="C5353" s="208" t="s">
        <v>7927</v>
      </c>
      <c r="D5353" s="18" t="s">
        <v>7928</v>
      </c>
      <c r="E5353" s="156" t="s">
        <v>7999</v>
      </c>
      <c r="F5353" s="18" t="s">
        <v>7976</v>
      </c>
      <c r="G5353" s="156" t="s">
        <v>8013</v>
      </c>
      <c r="H5353" s="18" t="s">
        <v>8084</v>
      </c>
      <c r="I5353" s="156"/>
      <c r="K5353" s="156" t="s">
        <v>11655</v>
      </c>
      <c r="L5353" s="18" t="s">
        <v>8086</v>
      </c>
      <c r="M5353" s="18" t="s">
        <v>8087</v>
      </c>
      <c r="N5353" s="18">
        <v>0</v>
      </c>
      <c r="O5353" s="18">
        <v>0</v>
      </c>
      <c r="P5353" s="16">
        <v>0</v>
      </c>
      <c r="Q5353" s="16">
        <v>1</v>
      </c>
      <c r="R5353" s="16">
        <v>0</v>
      </c>
      <c r="S5353" s="16">
        <v>0</v>
      </c>
      <c r="T5353" s="18" t="s">
        <v>831</v>
      </c>
      <c r="U5353" t="str">
        <f>VLOOKUP(T5353,[8]Votes!$A$1:$E$234,3,FALSE)</f>
        <v>108 National Planning Authority</v>
      </c>
      <c r="V5353" s="18" t="s">
        <v>8088</v>
      </c>
      <c r="W5353" s="48">
        <v>0</v>
      </c>
      <c r="X5353" s="48">
        <v>0</v>
      </c>
      <c r="Y5353" s="48">
        <v>0</v>
      </c>
      <c r="Z5353" s="48">
        <v>1</v>
      </c>
      <c r="AA5353" s="48">
        <v>0</v>
      </c>
      <c r="AB5353" s="48">
        <v>0</v>
      </c>
      <c r="AC5353" s="150">
        <v>0</v>
      </c>
      <c r="AD5353" s="150">
        <v>1</v>
      </c>
      <c r="AE5353" s="49">
        <f t="shared" si="196"/>
        <v>0.25</v>
      </c>
      <c r="AF5353" s="255"/>
      <c r="AG5353" s="17">
        <v>0</v>
      </c>
      <c r="AH5353" s="255">
        <v>0</v>
      </c>
      <c r="AI5353" s="255">
        <v>0</v>
      </c>
      <c r="AJ5353" s="255">
        <v>1.1599999999999999</v>
      </c>
      <c r="AK5353" s="256">
        <v>0</v>
      </c>
      <c r="AL5353" s="256">
        <v>0</v>
      </c>
      <c r="AM5353" s="147">
        <f t="shared" si="195"/>
        <v>0</v>
      </c>
      <c r="AN5353" s="18" t="s">
        <v>831</v>
      </c>
      <c r="AO5353" s="18" t="s">
        <v>834</v>
      </c>
    </row>
    <row r="5354" spans="1:42" s="18" customFormat="1" x14ac:dyDescent="0.3">
      <c r="A5354" s="207" t="s">
        <v>7397</v>
      </c>
      <c r="B5354" s="18" t="s">
        <v>7398</v>
      </c>
      <c r="C5354" s="208" t="s">
        <v>7927</v>
      </c>
      <c r="D5354" s="18" t="s">
        <v>7928</v>
      </c>
      <c r="E5354" s="156" t="s">
        <v>7999</v>
      </c>
      <c r="F5354" s="18" t="s">
        <v>7976</v>
      </c>
      <c r="G5354" s="156" t="s">
        <v>8013</v>
      </c>
      <c r="H5354" s="18" t="s">
        <v>8084</v>
      </c>
      <c r="I5354" s="156"/>
      <c r="K5354" s="156">
        <v>18340408</v>
      </c>
      <c r="L5354" s="18" t="s">
        <v>8090</v>
      </c>
      <c r="M5354" s="18" t="s">
        <v>8091</v>
      </c>
      <c r="N5354" s="18">
        <v>0</v>
      </c>
      <c r="O5354" s="18">
        <v>1</v>
      </c>
      <c r="P5354" s="16">
        <v>1</v>
      </c>
      <c r="Q5354" s="16">
        <v>1</v>
      </c>
      <c r="R5354" s="16">
        <v>1</v>
      </c>
      <c r="S5354" s="16">
        <v>1</v>
      </c>
      <c r="T5354" s="18" t="s">
        <v>831</v>
      </c>
      <c r="U5354" t="str">
        <f>VLOOKUP(T5354,[8]Votes!$A$1:$E$234,3,FALSE)</f>
        <v>108 National Planning Authority</v>
      </c>
      <c r="V5354" s="18" t="s">
        <v>8092</v>
      </c>
      <c r="W5354" s="48">
        <v>1</v>
      </c>
      <c r="X5354" s="48">
        <v>0</v>
      </c>
      <c r="Y5354" s="48">
        <v>0</v>
      </c>
      <c r="Z5354" s="48">
        <v>1</v>
      </c>
      <c r="AA5354" s="48">
        <v>1</v>
      </c>
      <c r="AB5354" s="48">
        <v>0</v>
      </c>
      <c r="AC5354" s="150">
        <v>0</v>
      </c>
      <c r="AD5354" s="150">
        <v>1</v>
      </c>
      <c r="AE5354" s="49">
        <f t="shared" si="196"/>
        <v>0.5</v>
      </c>
      <c r="AF5354" s="255"/>
      <c r="AG5354" s="17">
        <v>0</v>
      </c>
      <c r="AH5354" s="255">
        <v>0.2175</v>
      </c>
      <c r="AI5354" s="255">
        <v>0.2175</v>
      </c>
      <c r="AJ5354" s="255">
        <v>0.2175</v>
      </c>
      <c r="AK5354" s="256">
        <v>0</v>
      </c>
      <c r="AL5354" s="256">
        <v>0</v>
      </c>
      <c r="AM5354" s="147">
        <f t="shared" si="195"/>
        <v>0</v>
      </c>
      <c r="AN5354" s="18" t="s">
        <v>831</v>
      </c>
      <c r="AO5354" s="18" t="s">
        <v>834</v>
      </c>
    </row>
    <row r="5355" spans="1:42" s="18" customFormat="1" ht="15" customHeight="1" x14ac:dyDescent="0.3">
      <c r="A5355" s="207" t="s">
        <v>7397</v>
      </c>
      <c r="B5355" s="18" t="s">
        <v>7398</v>
      </c>
      <c r="C5355" s="207" t="s">
        <v>7400</v>
      </c>
      <c r="D5355" s="18" t="s">
        <v>7401</v>
      </c>
      <c r="E5355" s="208" t="s">
        <v>8093</v>
      </c>
      <c r="F5355" s="18" t="s">
        <v>8094</v>
      </c>
      <c r="G5355" s="156" t="s">
        <v>8095</v>
      </c>
      <c r="H5355" s="18" t="s">
        <v>8096</v>
      </c>
      <c r="I5355" s="156"/>
      <c r="K5355" s="156" t="s">
        <v>8097</v>
      </c>
      <c r="L5355" s="18" t="s">
        <v>8098</v>
      </c>
      <c r="M5355" s="18" t="s">
        <v>8099</v>
      </c>
      <c r="N5355" s="18">
        <v>50</v>
      </c>
      <c r="O5355" s="18">
        <v>100</v>
      </c>
      <c r="P5355" s="16">
        <v>100</v>
      </c>
      <c r="Q5355" s="16">
        <v>100</v>
      </c>
      <c r="R5355" s="16">
        <v>100</v>
      </c>
      <c r="S5355" s="16">
        <v>100</v>
      </c>
      <c r="T5355" s="18" t="s">
        <v>8100</v>
      </c>
      <c r="U5355" t="str">
        <f>VLOOKUP(T5355,[8]Votes!$A$1:$E$234,3,FALSE)</f>
        <v>143 Uganda Bureau of Statistics</v>
      </c>
      <c r="V5355" s="18" t="s">
        <v>8101</v>
      </c>
      <c r="W5355" s="48">
        <v>1</v>
      </c>
      <c r="X5355" s="48">
        <v>1</v>
      </c>
      <c r="Y5355" s="48">
        <v>0</v>
      </c>
      <c r="Z5355" s="48">
        <v>1</v>
      </c>
      <c r="AA5355" s="48">
        <v>1</v>
      </c>
      <c r="AB5355" s="48">
        <v>0</v>
      </c>
      <c r="AC5355" s="150">
        <v>1</v>
      </c>
      <c r="AD5355" s="150">
        <v>1</v>
      </c>
      <c r="AE5355" s="49">
        <f t="shared" si="196"/>
        <v>0.75</v>
      </c>
      <c r="AF5355" s="255"/>
      <c r="AG5355" s="17">
        <v>0</v>
      </c>
      <c r="AH5355" s="255">
        <v>134.63415799216955</v>
      </c>
      <c r="AI5355" s="255">
        <v>288.55</v>
      </c>
      <c r="AJ5355" s="255">
        <v>264.24</v>
      </c>
      <c r="AK5355" s="383">
        <v>228.86</v>
      </c>
      <c r="AL5355" s="383">
        <v>191.02</v>
      </c>
      <c r="AM5355" s="147">
        <f t="shared" si="195"/>
        <v>419.88</v>
      </c>
      <c r="AN5355" s="18" t="s">
        <v>8100</v>
      </c>
      <c r="AO5355" s="18" t="s">
        <v>2019</v>
      </c>
    </row>
    <row r="5356" spans="1:42" s="18" customFormat="1" ht="15" customHeight="1" x14ac:dyDescent="0.3">
      <c r="A5356" s="207" t="s">
        <v>7397</v>
      </c>
      <c r="B5356" s="18" t="s">
        <v>7398</v>
      </c>
      <c r="C5356" s="207" t="s">
        <v>7400</v>
      </c>
      <c r="D5356" s="18" t="s">
        <v>7401</v>
      </c>
      <c r="E5356" s="208" t="s">
        <v>8093</v>
      </c>
      <c r="F5356" s="18" t="s">
        <v>8094</v>
      </c>
      <c r="G5356" s="156" t="s">
        <v>8095</v>
      </c>
      <c r="H5356" s="18" t="s">
        <v>8096</v>
      </c>
      <c r="I5356" s="156"/>
      <c r="K5356" s="156" t="s">
        <v>8102</v>
      </c>
      <c r="L5356" s="18" t="s">
        <v>8103</v>
      </c>
      <c r="M5356" s="18" t="s">
        <v>8104</v>
      </c>
      <c r="N5356" s="18">
        <v>66</v>
      </c>
      <c r="O5356" s="18">
        <v>100</v>
      </c>
      <c r="P5356" s="16">
        <v>100</v>
      </c>
      <c r="Q5356" s="16">
        <v>100</v>
      </c>
      <c r="R5356" s="16">
        <v>100</v>
      </c>
      <c r="S5356" s="16">
        <v>100</v>
      </c>
      <c r="T5356" s="18" t="s">
        <v>8100</v>
      </c>
      <c r="U5356" t="str">
        <f>VLOOKUP(T5356,[8]Votes!$A$1:$E$234,3,FALSE)</f>
        <v>143 Uganda Bureau of Statistics</v>
      </c>
      <c r="W5356" s="48"/>
      <c r="X5356" s="48"/>
      <c r="Y5356" s="48"/>
      <c r="Z5356" s="48"/>
      <c r="AA5356" s="48"/>
      <c r="AB5356" s="48"/>
      <c r="AC5356" s="150">
        <v>0</v>
      </c>
      <c r="AD5356" s="150">
        <v>0</v>
      </c>
      <c r="AE5356" s="49">
        <f t="shared" si="196"/>
        <v>0</v>
      </c>
      <c r="AF5356" s="17"/>
      <c r="AG5356" s="17">
        <v>0</v>
      </c>
      <c r="AH5356" s="17"/>
      <c r="AI5356" s="17"/>
      <c r="AJ5356" s="17"/>
      <c r="AK5356" s="154"/>
      <c r="AL5356" s="154"/>
      <c r="AM5356" s="147">
        <f t="shared" si="195"/>
        <v>0</v>
      </c>
    </row>
    <row r="5357" spans="1:42" s="18" customFormat="1" ht="15" customHeight="1" x14ac:dyDescent="0.3">
      <c r="A5357" s="207" t="s">
        <v>7397</v>
      </c>
      <c r="B5357" s="18" t="s">
        <v>7398</v>
      </c>
      <c r="C5357" s="207" t="s">
        <v>7400</v>
      </c>
      <c r="D5357" s="18" t="s">
        <v>7401</v>
      </c>
      <c r="E5357" s="208" t="s">
        <v>8093</v>
      </c>
      <c r="F5357" s="18" t="s">
        <v>8094</v>
      </c>
      <c r="G5357" s="156" t="s">
        <v>8105</v>
      </c>
      <c r="H5357" s="18" t="s">
        <v>8106</v>
      </c>
      <c r="I5357" s="156"/>
      <c r="K5357" s="156" t="s">
        <v>8107</v>
      </c>
      <c r="L5357" s="18" t="s">
        <v>8108</v>
      </c>
      <c r="M5357" s="18" t="s">
        <v>8109</v>
      </c>
      <c r="N5357" s="18">
        <v>15</v>
      </c>
      <c r="O5357" s="18">
        <v>25</v>
      </c>
      <c r="P5357" s="16">
        <v>35</v>
      </c>
      <c r="Q5357" s="16">
        <v>45</v>
      </c>
      <c r="R5357" s="16">
        <v>55</v>
      </c>
      <c r="S5357" s="16">
        <v>65</v>
      </c>
      <c r="T5357" s="18" t="s">
        <v>8100</v>
      </c>
      <c r="U5357" t="str">
        <f>VLOOKUP(T5357,[8]Votes!$A$1:$E$234,3,FALSE)</f>
        <v>143 Uganda Bureau of Statistics</v>
      </c>
      <c r="V5357" s="18" t="s">
        <v>8110</v>
      </c>
      <c r="W5357" s="48">
        <v>1</v>
      </c>
      <c r="X5357" s="48">
        <v>0</v>
      </c>
      <c r="Y5357" s="48">
        <v>1</v>
      </c>
      <c r="Z5357" s="48">
        <v>1</v>
      </c>
      <c r="AA5357" s="48">
        <v>1</v>
      </c>
      <c r="AB5357" s="48">
        <v>0</v>
      </c>
      <c r="AC5357" s="150">
        <v>1</v>
      </c>
      <c r="AD5357" s="150">
        <v>1</v>
      </c>
      <c r="AE5357" s="49">
        <f t="shared" si="196"/>
        <v>0.75</v>
      </c>
      <c r="AF5357" s="255"/>
      <c r="AG5357" s="17">
        <v>0</v>
      </c>
      <c r="AH5357" s="255">
        <v>4.3499999999999996</v>
      </c>
      <c r="AI5357" s="255">
        <v>33.93</v>
      </c>
      <c r="AJ5357" s="255">
        <v>4.3499999999999996</v>
      </c>
      <c r="AK5357" s="256">
        <f>2.35/2</f>
        <v>1.175</v>
      </c>
      <c r="AL5357" s="256">
        <f>3.96/3</f>
        <v>1.32</v>
      </c>
      <c r="AM5357" s="147">
        <f t="shared" si="195"/>
        <v>2.4950000000000001</v>
      </c>
      <c r="AN5357" s="18" t="s">
        <v>8100</v>
      </c>
      <c r="AO5357" s="18" t="s">
        <v>2019</v>
      </c>
    </row>
    <row r="5358" spans="1:42" s="18" customFormat="1" ht="15" customHeight="1" x14ac:dyDescent="0.3">
      <c r="A5358" s="207" t="s">
        <v>7397</v>
      </c>
      <c r="B5358" s="18" t="s">
        <v>7398</v>
      </c>
      <c r="C5358" s="207" t="s">
        <v>7400</v>
      </c>
      <c r="D5358" s="18" t="s">
        <v>7401</v>
      </c>
      <c r="E5358" s="208" t="s">
        <v>8093</v>
      </c>
      <c r="F5358" s="18" t="s">
        <v>8094</v>
      </c>
      <c r="G5358" s="156" t="s">
        <v>8105</v>
      </c>
      <c r="H5358" s="18" t="s">
        <v>8106</v>
      </c>
      <c r="I5358" s="156"/>
      <c r="K5358" s="156" t="s">
        <v>8111</v>
      </c>
      <c r="L5358" s="18" t="s">
        <v>8112</v>
      </c>
      <c r="M5358" s="18" t="s">
        <v>8113</v>
      </c>
      <c r="O5358" s="18">
        <v>1500</v>
      </c>
      <c r="P5358" s="16">
        <v>2000</v>
      </c>
      <c r="Q5358" s="16">
        <v>2300</v>
      </c>
      <c r="R5358" s="16">
        <v>2500</v>
      </c>
      <c r="S5358" s="16">
        <v>3000</v>
      </c>
      <c r="T5358" s="18" t="s">
        <v>8100</v>
      </c>
      <c r="U5358" t="str">
        <f>VLOOKUP(T5358,[8]Votes!$A$1:$E$234,3,FALSE)</f>
        <v>143 Uganda Bureau of Statistics</v>
      </c>
      <c r="V5358" s="18" t="s">
        <v>8114</v>
      </c>
      <c r="W5358" s="48">
        <v>1</v>
      </c>
      <c r="X5358" s="48">
        <v>0</v>
      </c>
      <c r="Y5358" s="48">
        <v>1</v>
      </c>
      <c r="Z5358" s="48">
        <v>1</v>
      </c>
      <c r="AA5358" s="48">
        <v>1</v>
      </c>
      <c r="AB5358" s="48">
        <v>0</v>
      </c>
      <c r="AC5358" s="150">
        <v>1</v>
      </c>
      <c r="AD5358" s="150">
        <v>1</v>
      </c>
      <c r="AE5358" s="49">
        <f t="shared" si="196"/>
        <v>0.75</v>
      </c>
      <c r="AF5358" s="176"/>
      <c r="AG5358" s="17">
        <v>0</v>
      </c>
      <c r="AH5358" s="176">
        <v>0.15</v>
      </c>
      <c r="AI5358" s="176">
        <v>0.15</v>
      </c>
      <c r="AJ5358" s="176">
        <v>0.15</v>
      </c>
      <c r="AK5358" s="177">
        <f>0.15/2</f>
        <v>7.4999999999999997E-2</v>
      </c>
      <c r="AL5358" s="177">
        <f>0.15/2</f>
        <v>7.4999999999999997E-2</v>
      </c>
      <c r="AM5358" s="147">
        <f t="shared" si="195"/>
        <v>0.15</v>
      </c>
      <c r="AN5358" s="18" t="s">
        <v>8100</v>
      </c>
    </row>
    <row r="5359" spans="1:42" s="18" customFormat="1" ht="15" customHeight="1" x14ac:dyDescent="0.3">
      <c r="A5359" s="207" t="s">
        <v>7397</v>
      </c>
      <c r="B5359" s="18" t="s">
        <v>7398</v>
      </c>
      <c r="C5359" s="207" t="s">
        <v>7400</v>
      </c>
      <c r="D5359" s="18" t="s">
        <v>7401</v>
      </c>
      <c r="E5359" s="208" t="s">
        <v>8093</v>
      </c>
      <c r="F5359" s="18" t="s">
        <v>8094</v>
      </c>
      <c r="G5359" s="156" t="s">
        <v>8115</v>
      </c>
      <c r="H5359" s="18" t="s">
        <v>8116</v>
      </c>
      <c r="I5359" s="156"/>
      <c r="K5359" s="156" t="s">
        <v>8117</v>
      </c>
      <c r="L5359" s="18" t="s">
        <v>8118</v>
      </c>
      <c r="M5359" s="18" t="s">
        <v>8119</v>
      </c>
      <c r="N5359" s="18">
        <v>0</v>
      </c>
      <c r="O5359" s="18">
        <v>30</v>
      </c>
      <c r="P5359" s="16">
        <v>30</v>
      </c>
      <c r="Q5359" s="16">
        <v>30</v>
      </c>
      <c r="R5359" s="16">
        <v>30</v>
      </c>
      <c r="S5359" s="16">
        <v>30</v>
      </c>
      <c r="T5359" s="18" t="s">
        <v>8100</v>
      </c>
      <c r="U5359" t="str">
        <f>VLOOKUP(T5359,[8]Votes!$A$1:$E$234,3,FALSE)</f>
        <v>143 Uganda Bureau of Statistics</v>
      </c>
      <c r="V5359" s="18" t="s">
        <v>8120</v>
      </c>
      <c r="W5359" s="48">
        <v>1</v>
      </c>
      <c r="X5359" s="48">
        <v>0</v>
      </c>
      <c r="Y5359" s="48">
        <v>1</v>
      </c>
      <c r="Z5359" s="48">
        <v>1</v>
      </c>
      <c r="AA5359" s="48">
        <v>1</v>
      </c>
      <c r="AB5359" s="48">
        <v>0</v>
      </c>
      <c r="AC5359" s="150">
        <v>1</v>
      </c>
      <c r="AD5359" s="150">
        <v>1</v>
      </c>
      <c r="AE5359" s="49">
        <f t="shared" si="196"/>
        <v>0.75</v>
      </c>
      <c r="AF5359" s="176"/>
      <c r="AG5359" s="17">
        <v>0</v>
      </c>
      <c r="AH5359" s="176">
        <v>0.36</v>
      </c>
      <c r="AI5359" s="176">
        <v>0.36</v>
      </c>
      <c r="AJ5359" s="176">
        <v>0.36</v>
      </c>
      <c r="AK5359" s="177">
        <f>0.36/2</f>
        <v>0.18</v>
      </c>
      <c r="AL5359" s="177">
        <f>0.36/2</f>
        <v>0.18</v>
      </c>
      <c r="AM5359" s="147">
        <f t="shared" si="195"/>
        <v>0.36</v>
      </c>
      <c r="AN5359" s="18" t="s">
        <v>8100</v>
      </c>
    </row>
    <row r="5360" spans="1:42" s="18" customFormat="1" x14ac:dyDescent="0.3">
      <c r="A5360" s="207" t="s">
        <v>7397</v>
      </c>
      <c r="B5360" s="18" t="s">
        <v>7398</v>
      </c>
      <c r="C5360" s="207" t="s">
        <v>7400</v>
      </c>
      <c r="D5360" s="18" t="s">
        <v>7401</v>
      </c>
      <c r="E5360" s="208" t="s">
        <v>8093</v>
      </c>
      <c r="F5360" s="18" t="s">
        <v>8094</v>
      </c>
      <c r="G5360" s="156" t="s">
        <v>8121</v>
      </c>
      <c r="H5360" s="18" t="s">
        <v>8122</v>
      </c>
      <c r="I5360" s="156"/>
      <c r="K5360" s="156" t="s">
        <v>8123</v>
      </c>
      <c r="L5360" s="18" t="s">
        <v>8124</v>
      </c>
      <c r="M5360" s="18" t="s">
        <v>8125</v>
      </c>
      <c r="N5360" s="18">
        <v>0</v>
      </c>
      <c r="O5360" s="18">
        <v>0</v>
      </c>
      <c r="P5360" s="16">
        <v>1</v>
      </c>
      <c r="Q5360" s="16">
        <v>0</v>
      </c>
      <c r="R5360" s="16">
        <v>0</v>
      </c>
      <c r="S5360" s="16">
        <v>0</v>
      </c>
      <c r="T5360" s="18" t="s">
        <v>8100</v>
      </c>
      <c r="U5360" t="str">
        <f>VLOOKUP(T5360,[8]Votes!$A$1:$E$234,3,FALSE)</f>
        <v>143 Uganda Bureau of Statistics</v>
      </c>
      <c r="V5360" s="18" t="s">
        <v>8126</v>
      </c>
      <c r="W5360" s="48">
        <v>1</v>
      </c>
      <c r="X5360" s="48">
        <v>0</v>
      </c>
      <c r="Y5360" s="48">
        <v>0</v>
      </c>
      <c r="Z5360" s="48">
        <v>1</v>
      </c>
      <c r="AA5360" s="48">
        <v>1</v>
      </c>
      <c r="AB5360" s="48">
        <v>0</v>
      </c>
      <c r="AC5360" s="150">
        <v>0</v>
      </c>
      <c r="AD5360" s="150">
        <v>1</v>
      </c>
      <c r="AE5360" s="49">
        <f t="shared" si="196"/>
        <v>0.5</v>
      </c>
      <c r="AF5360" s="255"/>
      <c r="AG5360" s="17">
        <v>0</v>
      </c>
      <c r="AH5360" s="255">
        <v>7.2499999999999995E-2</v>
      </c>
      <c r="AI5360" s="255">
        <v>2.8999999999999998E-2</v>
      </c>
      <c r="AJ5360" s="255">
        <v>0</v>
      </c>
      <c r="AK5360" s="256">
        <v>0</v>
      </c>
      <c r="AL5360" s="256">
        <v>0</v>
      </c>
      <c r="AM5360" s="147">
        <f t="shared" si="195"/>
        <v>0</v>
      </c>
      <c r="AN5360" s="18" t="s">
        <v>8100</v>
      </c>
      <c r="AO5360" s="18" t="s">
        <v>2019</v>
      </c>
    </row>
    <row r="5361" spans="1:45" s="18" customFormat="1" ht="15" customHeight="1" x14ac:dyDescent="0.3">
      <c r="A5361" s="207" t="s">
        <v>7397</v>
      </c>
      <c r="B5361" s="18" t="s">
        <v>7398</v>
      </c>
      <c r="C5361" s="207" t="s">
        <v>7400</v>
      </c>
      <c r="D5361" s="18" t="s">
        <v>7401</v>
      </c>
      <c r="E5361" s="208" t="s">
        <v>8093</v>
      </c>
      <c r="F5361" s="18" t="s">
        <v>8094</v>
      </c>
      <c r="G5361" s="156" t="s">
        <v>8127</v>
      </c>
      <c r="H5361" s="18" t="s">
        <v>8128</v>
      </c>
      <c r="I5361" s="156"/>
      <c r="K5361" s="156" t="s">
        <v>8129</v>
      </c>
      <c r="L5361" s="18" t="s">
        <v>8130</v>
      </c>
      <c r="M5361" s="18" t="s">
        <v>8131</v>
      </c>
      <c r="N5361" s="18">
        <v>60</v>
      </c>
      <c r="O5361" s="18">
        <v>80</v>
      </c>
      <c r="P5361" s="16">
        <v>100</v>
      </c>
      <c r="Q5361" s="16">
        <v>100</v>
      </c>
      <c r="R5361" s="16">
        <v>100</v>
      </c>
      <c r="S5361" s="16">
        <v>100</v>
      </c>
      <c r="T5361" s="18" t="s">
        <v>8100</v>
      </c>
      <c r="U5361" t="str">
        <f>VLOOKUP(T5361,[8]Votes!$A$1:$E$234,3,FALSE)</f>
        <v>143 Uganda Bureau of Statistics</v>
      </c>
      <c r="V5361" s="18" t="s">
        <v>8132</v>
      </c>
      <c r="W5361" s="48">
        <v>1</v>
      </c>
      <c r="X5361" s="48">
        <v>0</v>
      </c>
      <c r="Y5361" s="48">
        <v>1</v>
      </c>
      <c r="Z5361" s="48">
        <v>1</v>
      </c>
      <c r="AA5361" s="48">
        <v>0</v>
      </c>
      <c r="AB5361" s="48">
        <v>0</v>
      </c>
      <c r="AC5361" s="150">
        <v>0</v>
      </c>
      <c r="AD5361" s="150">
        <v>1</v>
      </c>
      <c r="AE5361" s="49">
        <f t="shared" si="196"/>
        <v>0.5</v>
      </c>
      <c r="AF5361" s="255"/>
      <c r="AG5361" s="17">
        <v>0</v>
      </c>
      <c r="AH5361" s="255">
        <v>0.28999999999999998</v>
      </c>
      <c r="AI5361" s="255">
        <v>0.14499999999999999</v>
      </c>
      <c r="AJ5361" s="255">
        <v>0</v>
      </c>
      <c r="AK5361" s="256">
        <v>0</v>
      </c>
      <c r="AL5361" s="256">
        <v>0</v>
      </c>
      <c r="AM5361" s="147">
        <f t="shared" si="195"/>
        <v>0</v>
      </c>
      <c r="AN5361" s="18" t="s">
        <v>8100</v>
      </c>
      <c r="AO5361" s="18" t="s">
        <v>2019</v>
      </c>
    </row>
    <row r="5362" spans="1:45" s="18" customFormat="1" ht="15" customHeight="1" x14ac:dyDescent="0.3">
      <c r="A5362" s="207" t="s">
        <v>7397</v>
      </c>
      <c r="B5362" s="18" t="s">
        <v>7398</v>
      </c>
      <c r="C5362" s="207" t="s">
        <v>7400</v>
      </c>
      <c r="D5362" s="18" t="s">
        <v>7401</v>
      </c>
      <c r="E5362" s="208" t="s">
        <v>8093</v>
      </c>
      <c r="F5362" s="18" t="s">
        <v>8094</v>
      </c>
      <c r="G5362" s="156" t="s">
        <v>8127</v>
      </c>
      <c r="H5362" s="18" t="s">
        <v>8128</v>
      </c>
      <c r="I5362" s="156"/>
      <c r="K5362" s="156" t="s">
        <v>8129</v>
      </c>
      <c r="L5362" s="18" t="s">
        <v>8130</v>
      </c>
      <c r="M5362" s="18" t="s">
        <v>8133</v>
      </c>
      <c r="N5362" s="18">
        <v>0</v>
      </c>
      <c r="O5362" s="18">
        <v>1</v>
      </c>
      <c r="P5362" s="16">
        <v>1</v>
      </c>
      <c r="Q5362" s="16">
        <v>1</v>
      </c>
      <c r="R5362" s="16">
        <v>1</v>
      </c>
      <c r="S5362" s="16">
        <v>1</v>
      </c>
      <c r="T5362" s="18" t="s">
        <v>8100</v>
      </c>
      <c r="U5362" t="str">
        <f>VLOOKUP(T5362,[8]Votes!$A$1:$E$234,3,FALSE)</f>
        <v>143 Uganda Bureau of Statistics</v>
      </c>
      <c r="W5362" s="48"/>
      <c r="X5362" s="48"/>
      <c r="Y5362" s="48"/>
      <c r="Z5362" s="48"/>
      <c r="AA5362" s="48"/>
      <c r="AB5362" s="48"/>
      <c r="AC5362" s="150">
        <v>0</v>
      </c>
      <c r="AD5362" s="150">
        <v>0</v>
      </c>
      <c r="AE5362" s="49">
        <f t="shared" si="196"/>
        <v>0</v>
      </c>
      <c r="AF5362" s="17"/>
      <c r="AG5362" s="17">
        <v>0</v>
      </c>
      <c r="AH5362" s="17"/>
      <c r="AI5362" s="17"/>
      <c r="AJ5362" s="17"/>
      <c r="AK5362" s="154"/>
      <c r="AL5362" s="154"/>
      <c r="AM5362" s="147">
        <f t="shared" si="195"/>
        <v>0</v>
      </c>
    </row>
    <row r="5363" spans="1:45" s="18" customFormat="1" ht="15" customHeight="1" x14ac:dyDescent="0.3">
      <c r="A5363" s="207" t="s">
        <v>7397</v>
      </c>
      <c r="B5363" s="18" t="s">
        <v>7398</v>
      </c>
      <c r="C5363" s="207" t="s">
        <v>7400</v>
      </c>
      <c r="D5363" s="18" t="s">
        <v>7401</v>
      </c>
      <c r="E5363" s="208" t="s">
        <v>8093</v>
      </c>
      <c r="F5363" s="18" t="s">
        <v>8094</v>
      </c>
      <c r="G5363" s="156" t="s">
        <v>8134</v>
      </c>
      <c r="H5363" s="18" t="s">
        <v>8135</v>
      </c>
      <c r="I5363" s="156"/>
      <c r="K5363" s="156" t="s">
        <v>8136</v>
      </c>
      <c r="L5363" s="18" t="s">
        <v>8137</v>
      </c>
      <c r="M5363" s="18" t="s">
        <v>8138</v>
      </c>
      <c r="N5363" s="18">
        <v>31</v>
      </c>
      <c r="O5363" s="18">
        <v>50</v>
      </c>
      <c r="P5363" s="16">
        <v>60</v>
      </c>
      <c r="Q5363" s="16">
        <v>70</v>
      </c>
      <c r="R5363" s="16">
        <v>80</v>
      </c>
      <c r="S5363" s="16">
        <v>90</v>
      </c>
      <c r="T5363" s="18" t="s">
        <v>8100</v>
      </c>
      <c r="U5363" t="str">
        <f>VLOOKUP(T5363,[8]Votes!$A$1:$E$234,3,FALSE)</f>
        <v>143 Uganda Bureau of Statistics</v>
      </c>
      <c r="V5363" s="18" t="s">
        <v>8139</v>
      </c>
      <c r="W5363" s="48">
        <v>1</v>
      </c>
      <c r="X5363" s="48">
        <v>0</v>
      </c>
      <c r="Y5363" s="48">
        <v>0</v>
      </c>
      <c r="Z5363" s="48">
        <v>1</v>
      </c>
      <c r="AA5363" s="48">
        <v>1</v>
      </c>
      <c r="AB5363" s="48">
        <v>0</v>
      </c>
      <c r="AC5363" s="150">
        <v>0</v>
      </c>
      <c r="AD5363" s="150">
        <v>1</v>
      </c>
      <c r="AE5363" s="49">
        <f t="shared" si="196"/>
        <v>0.5</v>
      </c>
      <c r="AF5363" s="255"/>
      <c r="AG5363" s="17">
        <v>0</v>
      </c>
      <c r="AH5363" s="255">
        <v>7.2499999999999995E-2</v>
      </c>
      <c r="AI5363" s="255">
        <v>7.2499999999999995E-2</v>
      </c>
      <c r="AJ5363" s="255">
        <v>7.2499999999999995E-2</v>
      </c>
      <c r="AK5363" s="256">
        <v>0</v>
      </c>
      <c r="AL5363" s="256">
        <v>0</v>
      </c>
      <c r="AM5363" s="147">
        <f t="shared" si="195"/>
        <v>0</v>
      </c>
      <c r="AN5363" s="18" t="s">
        <v>8100</v>
      </c>
      <c r="AO5363" s="18" t="s">
        <v>2019</v>
      </c>
    </row>
    <row r="5364" spans="1:45" s="18" customFormat="1" ht="15" customHeight="1" x14ac:dyDescent="0.3">
      <c r="A5364" s="207" t="s">
        <v>7397</v>
      </c>
      <c r="B5364" s="18" t="s">
        <v>7398</v>
      </c>
      <c r="C5364" s="207" t="s">
        <v>7400</v>
      </c>
      <c r="D5364" s="18" t="s">
        <v>7401</v>
      </c>
      <c r="E5364" s="208" t="s">
        <v>8093</v>
      </c>
      <c r="F5364" s="18" t="s">
        <v>8094</v>
      </c>
      <c r="G5364" s="156" t="s">
        <v>8140</v>
      </c>
      <c r="H5364" s="18" t="s">
        <v>8141</v>
      </c>
      <c r="I5364" s="156"/>
      <c r="K5364" s="156" t="s">
        <v>8142</v>
      </c>
      <c r="L5364" s="18" t="s">
        <v>8143</v>
      </c>
      <c r="M5364" s="18" t="s">
        <v>8144</v>
      </c>
      <c r="N5364" s="18">
        <v>35</v>
      </c>
      <c r="O5364" s="18">
        <v>40</v>
      </c>
      <c r="P5364" s="16">
        <v>60</v>
      </c>
      <c r="Q5364" s="16">
        <v>75</v>
      </c>
      <c r="R5364" s="16">
        <v>80</v>
      </c>
      <c r="S5364" s="16">
        <v>90</v>
      </c>
      <c r="T5364" s="18" t="s">
        <v>8100</v>
      </c>
      <c r="U5364" t="str">
        <f>VLOOKUP(T5364,[8]Votes!$A$1:$E$234,3,FALSE)</f>
        <v>143 Uganda Bureau of Statistics</v>
      </c>
      <c r="V5364" s="18" t="s">
        <v>8145</v>
      </c>
      <c r="W5364" s="48">
        <v>1</v>
      </c>
      <c r="X5364" s="48">
        <v>0</v>
      </c>
      <c r="Y5364" s="48">
        <v>0</v>
      </c>
      <c r="Z5364" s="48">
        <v>1</v>
      </c>
      <c r="AA5364" s="48">
        <v>1</v>
      </c>
      <c r="AB5364" s="48">
        <v>0</v>
      </c>
      <c r="AC5364" s="150">
        <v>0</v>
      </c>
      <c r="AD5364" s="150">
        <v>1</v>
      </c>
      <c r="AE5364" s="49">
        <f t="shared" si="196"/>
        <v>0.5</v>
      </c>
      <c r="AF5364" s="255"/>
      <c r="AG5364" s="17">
        <v>0</v>
      </c>
      <c r="AH5364" s="255">
        <v>0.72499999999999998</v>
      </c>
      <c r="AI5364" s="255">
        <v>0.72499999999999998</v>
      </c>
      <c r="AJ5364" s="255">
        <v>0</v>
      </c>
      <c r="AK5364" s="256">
        <v>0</v>
      </c>
      <c r="AL5364" s="256">
        <v>0</v>
      </c>
      <c r="AM5364" s="147">
        <f t="shared" si="195"/>
        <v>0</v>
      </c>
      <c r="AN5364" s="18" t="s">
        <v>8100</v>
      </c>
      <c r="AO5364" s="18" t="s">
        <v>2019</v>
      </c>
    </row>
    <row r="5365" spans="1:45" s="18" customFormat="1" ht="15" customHeight="1" x14ac:dyDescent="0.3">
      <c r="A5365" s="207" t="s">
        <v>7397</v>
      </c>
      <c r="B5365" s="18" t="s">
        <v>7398</v>
      </c>
      <c r="C5365" s="207" t="s">
        <v>7400</v>
      </c>
      <c r="D5365" s="18" t="s">
        <v>7401</v>
      </c>
      <c r="E5365" s="208" t="s">
        <v>8093</v>
      </c>
      <c r="F5365" s="18" t="s">
        <v>8094</v>
      </c>
      <c r="G5365" s="156" t="s">
        <v>8140</v>
      </c>
      <c r="H5365" s="18" t="s">
        <v>8141</v>
      </c>
      <c r="I5365" s="156"/>
      <c r="K5365" s="156" t="s">
        <v>8146</v>
      </c>
      <c r="L5365" s="18" t="s">
        <v>8147</v>
      </c>
      <c r="M5365" s="18" t="s">
        <v>8148</v>
      </c>
      <c r="N5365" s="18">
        <v>35</v>
      </c>
      <c r="O5365" s="18">
        <v>40</v>
      </c>
      <c r="P5365" s="16">
        <v>60</v>
      </c>
      <c r="Q5365" s="16">
        <v>75</v>
      </c>
      <c r="R5365" s="16">
        <v>80</v>
      </c>
      <c r="S5365" s="16">
        <v>90</v>
      </c>
      <c r="T5365" s="18" t="s">
        <v>8100</v>
      </c>
      <c r="U5365" t="str">
        <f>VLOOKUP(T5365,[8]Votes!$A$1:$E$234,3,FALSE)</f>
        <v>143 Uganda Bureau of Statistics</v>
      </c>
      <c r="V5365" s="18" t="s">
        <v>8149</v>
      </c>
      <c r="W5365" s="48">
        <v>1</v>
      </c>
      <c r="X5365" s="48">
        <v>1</v>
      </c>
      <c r="Y5365" s="48">
        <v>0</v>
      </c>
      <c r="Z5365" s="48">
        <v>1</v>
      </c>
      <c r="AA5365" s="48">
        <v>1</v>
      </c>
      <c r="AB5365" s="48">
        <v>0</v>
      </c>
      <c r="AC5365" s="150">
        <v>1</v>
      </c>
      <c r="AD5365" s="150">
        <v>1</v>
      </c>
      <c r="AE5365" s="49">
        <f t="shared" si="196"/>
        <v>0.75</v>
      </c>
      <c r="AF5365" s="255"/>
      <c r="AG5365" s="17">
        <v>0</v>
      </c>
      <c r="AH5365" s="255">
        <v>0</v>
      </c>
      <c r="AI5365" s="255">
        <v>7.2499999999999995E-2</v>
      </c>
      <c r="AJ5365" s="255">
        <v>0</v>
      </c>
      <c r="AK5365" s="256">
        <f>0.2/2</f>
        <v>0.1</v>
      </c>
      <c r="AL5365" s="256">
        <f>0.3/2</f>
        <v>0.15</v>
      </c>
      <c r="AM5365" s="147">
        <f t="shared" si="195"/>
        <v>0.25</v>
      </c>
      <c r="AN5365" s="18" t="s">
        <v>8100</v>
      </c>
      <c r="AO5365" s="18" t="s">
        <v>2019</v>
      </c>
    </row>
    <row r="5366" spans="1:45" s="18" customFormat="1" ht="15" customHeight="1" x14ac:dyDescent="0.3">
      <c r="A5366" s="207" t="s">
        <v>7397</v>
      </c>
      <c r="B5366" s="18" t="s">
        <v>7398</v>
      </c>
      <c r="C5366" s="207" t="s">
        <v>7400</v>
      </c>
      <c r="D5366" s="18" t="s">
        <v>7401</v>
      </c>
      <c r="E5366" s="208" t="s">
        <v>8093</v>
      </c>
      <c r="F5366" s="18" t="s">
        <v>8094</v>
      </c>
      <c r="G5366" s="156" t="s">
        <v>8150</v>
      </c>
      <c r="H5366" s="18" t="s">
        <v>8151</v>
      </c>
      <c r="I5366" s="156"/>
      <c r="K5366" s="156" t="s">
        <v>8152</v>
      </c>
      <c r="L5366" s="18" t="s">
        <v>8153</v>
      </c>
      <c r="M5366" s="18" t="s">
        <v>8154</v>
      </c>
      <c r="N5366" s="18">
        <v>20</v>
      </c>
      <c r="O5366" s="18">
        <v>60</v>
      </c>
      <c r="P5366" s="16">
        <v>60</v>
      </c>
      <c r="Q5366" s="16">
        <v>60</v>
      </c>
      <c r="R5366" s="16">
        <v>60</v>
      </c>
      <c r="S5366" s="16">
        <v>60</v>
      </c>
      <c r="T5366" s="18" t="s">
        <v>8100</v>
      </c>
      <c r="U5366" t="str">
        <f>VLOOKUP(T5366,[8]Votes!$A$1:$E$234,3,FALSE)</f>
        <v>143 Uganda Bureau of Statistics</v>
      </c>
      <c r="V5366" s="18" t="s">
        <v>8155</v>
      </c>
      <c r="W5366" s="48">
        <v>1</v>
      </c>
      <c r="X5366" s="48">
        <v>0</v>
      </c>
      <c r="Y5366" s="48">
        <v>1</v>
      </c>
      <c r="Z5366" s="48">
        <v>1</v>
      </c>
      <c r="AA5366" s="48">
        <v>1</v>
      </c>
      <c r="AB5366" s="48">
        <v>0</v>
      </c>
      <c r="AC5366" s="150">
        <v>1</v>
      </c>
      <c r="AD5366" s="150">
        <v>1</v>
      </c>
      <c r="AE5366" s="49">
        <f t="shared" si="196"/>
        <v>0.75</v>
      </c>
      <c r="AF5366" s="255"/>
      <c r="AG5366" s="17">
        <v>0</v>
      </c>
      <c r="AH5366" s="255">
        <v>0.14499999999999999</v>
      </c>
      <c r="AI5366" s="255">
        <v>0.14499999999999999</v>
      </c>
      <c r="AJ5366" s="255">
        <v>0.14499999999999999</v>
      </c>
      <c r="AK5366" s="256">
        <f>0.145/2</f>
        <v>7.2499999999999995E-2</v>
      </c>
      <c r="AL5366" s="256">
        <f>0.145/2</f>
        <v>7.2499999999999995E-2</v>
      </c>
      <c r="AM5366" s="147">
        <f t="shared" si="195"/>
        <v>0.14499999999999999</v>
      </c>
      <c r="AN5366" s="18" t="s">
        <v>8100</v>
      </c>
      <c r="AO5366" s="18" t="s">
        <v>2019</v>
      </c>
    </row>
    <row r="5367" spans="1:45" s="18" customFormat="1" ht="15" customHeight="1" x14ac:dyDescent="0.3">
      <c r="A5367" s="207" t="s">
        <v>7397</v>
      </c>
      <c r="B5367" s="18" t="s">
        <v>7398</v>
      </c>
      <c r="C5367" s="207" t="s">
        <v>7400</v>
      </c>
      <c r="D5367" s="18" t="s">
        <v>7401</v>
      </c>
      <c r="E5367" s="208" t="s">
        <v>8093</v>
      </c>
      <c r="F5367" s="18" t="s">
        <v>8094</v>
      </c>
      <c r="G5367" s="156" t="s">
        <v>8156</v>
      </c>
      <c r="H5367" s="18" t="s">
        <v>8157</v>
      </c>
      <c r="I5367" s="156"/>
      <c r="K5367" s="156" t="s">
        <v>8158</v>
      </c>
      <c r="L5367" s="18" t="s">
        <v>8159</v>
      </c>
      <c r="M5367" s="18" t="s">
        <v>8160</v>
      </c>
      <c r="N5367" s="18">
        <v>5</v>
      </c>
      <c r="O5367" s="18">
        <v>5</v>
      </c>
      <c r="P5367" s="16">
        <v>5</v>
      </c>
      <c r="Q5367" s="16">
        <v>5</v>
      </c>
      <c r="R5367" s="16">
        <v>5</v>
      </c>
      <c r="S5367" s="16">
        <v>5</v>
      </c>
      <c r="T5367" s="18" t="s">
        <v>8100</v>
      </c>
      <c r="U5367" t="str">
        <f>VLOOKUP(T5367,[8]Votes!$A$1:$E$234,3,FALSE)</f>
        <v>143 Uganda Bureau of Statistics</v>
      </c>
      <c r="V5367" s="18" t="s">
        <v>8161</v>
      </c>
      <c r="W5367" s="48">
        <v>1</v>
      </c>
      <c r="X5367" s="48">
        <v>0</v>
      </c>
      <c r="Y5367" s="48">
        <v>0</v>
      </c>
      <c r="Z5367" s="48">
        <v>1</v>
      </c>
      <c r="AA5367" s="48">
        <v>1</v>
      </c>
      <c r="AB5367" s="48">
        <v>0</v>
      </c>
      <c r="AC5367" s="150">
        <v>0</v>
      </c>
      <c r="AD5367" s="150">
        <v>1</v>
      </c>
      <c r="AE5367" s="49">
        <f t="shared" si="196"/>
        <v>0.5</v>
      </c>
      <c r="AF5367" s="255"/>
      <c r="AG5367" s="17">
        <v>0</v>
      </c>
      <c r="AH5367" s="255">
        <v>0</v>
      </c>
      <c r="AI5367" s="255">
        <v>0</v>
      </c>
      <c r="AJ5367" s="255">
        <v>0</v>
      </c>
      <c r="AK5367" s="256">
        <v>0</v>
      </c>
      <c r="AL5367" s="256">
        <v>0</v>
      </c>
      <c r="AM5367" s="147">
        <f t="shared" si="195"/>
        <v>0</v>
      </c>
      <c r="AN5367" s="18" t="s">
        <v>8100</v>
      </c>
      <c r="AO5367" s="18" t="s">
        <v>2019</v>
      </c>
    </row>
    <row r="5368" spans="1:45" s="18" customFormat="1" ht="15" customHeight="1" x14ac:dyDescent="0.3">
      <c r="A5368" s="207" t="s">
        <v>7397</v>
      </c>
      <c r="B5368" s="18" t="s">
        <v>7398</v>
      </c>
      <c r="C5368" s="207" t="s">
        <v>7400</v>
      </c>
      <c r="D5368" s="18" t="s">
        <v>7401</v>
      </c>
      <c r="E5368" s="208" t="s">
        <v>8093</v>
      </c>
      <c r="F5368" s="18" t="s">
        <v>8094</v>
      </c>
      <c r="G5368" s="156" t="s">
        <v>8162</v>
      </c>
      <c r="H5368" s="18" t="s">
        <v>8163</v>
      </c>
      <c r="I5368" s="156"/>
      <c r="K5368" s="156" t="s">
        <v>8164</v>
      </c>
      <c r="L5368" s="18" t="s">
        <v>8165</v>
      </c>
      <c r="M5368" s="18" t="s">
        <v>8166</v>
      </c>
      <c r="N5368" s="18">
        <v>0</v>
      </c>
      <c r="O5368" s="18">
        <v>0</v>
      </c>
      <c r="P5368" s="16">
        <v>0</v>
      </c>
      <c r="Q5368" s="16">
        <v>5</v>
      </c>
      <c r="R5368" s="16">
        <v>10</v>
      </c>
      <c r="S5368" s="16">
        <v>10</v>
      </c>
      <c r="T5368" s="18" t="s">
        <v>8100</v>
      </c>
      <c r="U5368" t="str">
        <f>VLOOKUP(T5368,[8]Votes!$A$1:$E$234,3,FALSE)</f>
        <v>143 Uganda Bureau of Statistics</v>
      </c>
      <c r="V5368" s="18" t="s">
        <v>8167</v>
      </c>
      <c r="W5368" s="48">
        <v>1</v>
      </c>
      <c r="X5368" s="48">
        <v>0</v>
      </c>
      <c r="Y5368" s="48">
        <v>0</v>
      </c>
      <c r="Z5368" s="48">
        <v>1</v>
      </c>
      <c r="AA5368" s="48">
        <v>1</v>
      </c>
      <c r="AB5368" s="48">
        <v>0</v>
      </c>
      <c r="AC5368" s="150">
        <v>0</v>
      </c>
      <c r="AD5368" s="150">
        <v>1</v>
      </c>
      <c r="AE5368" s="49">
        <f t="shared" si="196"/>
        <v>0.5</v>
      </c>
      <c r="AF5368" s="255"/>
      <c r="AG5368" s="17">
        <v>0</v>
      </c>
      <c r="AH5368" s="255">
        <v>0.14499999999999999</v>
      </c>
      <c r="AI5368" s="255">
        <v>0.14499999999999999</v>
      </c>
      <c r="AJ5368" s="255">
        <v>0.14499999999999999</v>
      </c>
      <c r="AK5368" s="256">
        <v>0</v>
      </c>
      <c r="AL5368" s="256">
        <v>0</v>
      </c>
      <c r="AM5368" s="147">
        <f t="shared" si="195"/>
        <v>0</v>
      </c>
      <c r="AN5368" s="18" t="s">
        <v>8100</v>
      </c>
      <c r="AO5368" s="18" t="s">
        <v>2019</v>
      </c>
      <c r="AS5368" s="228"/>
    </row>
    <row r="5369" spans="1:45" s="18" customFormat="1" ht="15" customHeight="1" x14ac:dyDescent="0.3">
      <c r="A5369" s="207" t="s">
        <v>7397</v>
      </c>
      <c r="B5369" s="18" t="s">
        <v>7398</v>
      </c>
      <c r="C5369" s="207" t="s">
        <v>7400</v>
      </c>
      <c r="D5369" s="18" t="s">
        <v>7401</v>
      </c>
      <c r="E5369" s="208" t="s">
        <v>8093</v>
      </c>
      <c r="F5369" s="18" t="s">
        <v>8094</v>
      </c>
      <c r="G5369" s="156" t="s">
        <v>8168</v>
      </c>
      <c r="H5369" s="18" t="s">
        <v>8169</v>
      </c>
      <c r="I5369" s="156" t="s">
        <v>8170</v>
      </c>
      <c r="J5369" s="18" t="s">
        <v>8171</v>
      </c>
      <c r="K5369" s="156" t="s">
        <v>8172</v>
      </c>
      <c r="L5369" s="18" t="s">
        <v>8173</v>
      </c>
      <c r="M5369" s="18" t="s">
        <v>8174</v>
      </c>
      <c r="N5369" s="18">
        <v>39</v>
      </c>
      <c r="O5369" s="18">
        <v>49</v>
      </c>
      <c r="P5369" s="16">
        <v>59</v>
      </c>
      <c r="Q5369" s="16">
        <v>69</v>
      </c>
      <c r="R5369" s="16">
        <v>79</v>
      </c>
      <c r="S5369" s="16">
        <v>89</v>
      </c>
      <c r="T5369" s="18" t="s">
        <v>8100</v>
      </c>
      <c r="U5369" t="str">
        <f>VLOOKUP(T5369,[8]Votes!$A$1:$E$234,3,FALSE)</f>
        <v>143 Uganda Bureau of Statistics</v>
      </c>
      <c r="V5369" s="18" t="s">
        <v>8175</v>
      </c>
      <c r="W5369" s="48">
        <v>1</v>
      </c>
      <c r="X5369" s="48">
        <v>0</v>
      </c>
      <c r="Y5369" s="48">
        <v>0</v>
      </c>
      <c r="Z5369" s="48">
        <v>1</v>
      </c>
      <c r="AA5369" s="48">
        <v>1</v>
      </c>
      <c r="AB5369" s="48">
        <v>0</v>
      </c>
      <c r="AC5369" s="150">
        <v>0</v>
      </c>
      <c r="AD5369" s="150">
        <v>1</v>
      </c>
      <c r="AE5369" s="49">
        <f t="shared" si="196"/>
        <v>0.5</v>
      </c>
      <c r="AF5369" s="255"/>
      <c r="AG5369" s="17">
        <v>0</v>
      </c>
      <c r="AH5369" s="255">
        <v>9.4829999999999988</v>
      </c>
      <c r="AI5369" s="255">
        <v>6.96</v>
      </c>
      <c r="AJ5369" s="255">
        <v>7.8299999999999992</v>
      </c>
      <c r="AK5369" s="256">
        <v>0</v>
      </c>
      <c r="AL5369" s="256">
        <v>0</v>
      </c>
      <c r="AM5369" s="147">
        <f t="shared" si="195"/>
        <v>0</v>
      </c>
      <c r="AN5369" s="18" t="s">
        <v>8100</v>
      </c>
      <c r="AO5369" s="18" t="s">
        <v>2019</v>
      </c>
      <c r="AS5369" s="228"/>
    </row>
    <row r="5370" spans="1:45" s="18" customFormat="1" ht="15" customHeight="1" x14ac:dyDescent="0.3">
      <c r="A5370" s="207" t="s">
        <v>7397</v>
      </c>
      <c r="B5370" s="18" t="s">
        <v>7398</v>
      </c>
      <c r="C5370" s="207" t="s">
        <v>7400</v>
      </c>
      <c r="D5370" s="18" t="s">
        <v>7401</v>
      </c>
      <c r="E5370" s="208" t="s">
        <v>8093</v>
      </c>
      <c r="F5370" s="18" t="s">
        <v>8094</v>
      </c>
      <c r="G5370" s="156" t="s">
        <v>8168</v>
      </c>
      <c r="H5370" s="18" t="s">
        <v>8169</v>
      </c>
      <c r="I5370" s="156" t="s">
        <v>8170</v>
      </c>
      <c r="J5370" s="18" t="s">
        <v>8171</v>
      </c>
      <c r="K5370" s="156" t="s">
        <v>8176</v>
      </c>
      <c r="L5370" s="18" t="s">
        <v>8173</v>
      </c>
      <c r="M5370" s="18" t="s">
        <v>8177</v>
      </c>
      <c r="N5370" s="18">
        <v>1</v>
      </c>
      <c r="O5370" s="18">
        <v>3</v>
      </c>
      <c r="P5370" s="16">
        <v>3</v>
      </c>
      <c r="Q5370" s="16">
        <v>3</v>
      </c>
      <c r="R5370" s="16">
        <v>3</v>
      </c>
      <c r="S5370" s="16">
        <v>3</v>
      </c>
      <c r="T5370" s="18" t="s">
        <v>8100</v>
      </c>
      <c r="U5370" t="str">
        <f>VLOOKUP(T5370,[8]Votes!$A$1:$E$234,3,FALSE)</f>
        <v>143 Uganda Bureau of Statistics</v>
      </c>
      <c r="W5370" s="48"/>
      <c r="X5370" s="48"/>
      <c r="Y5370" s="48"/>
      <c r="Z5370" s="48"/>
      <c r="AA5370" s="48"/>
      <c r="AB5370" s="48"/>
      <c r="AC5370" s="150">
        <v>0</v>
      </c>
      <c r="AD5370" s="150">
        <v>0</v>
      </c>
      <c r="AE5370" s="49">
        <f t="shared" si="196"/>
        <v>0</v>
      </c>
      <c r="AF5370" s="17"/>
      <c r="AG5370" s="17">
        <v>0</v>
      </c>
      <c r="AH5370" s="17"/>
      <c r="AI5370" s="17"/>
      <c r="AJ5370" s="17"/>
      <c r="AK5370" s="154"/>
      <c r="AL5370" s="154"/>
      <c r="AM5370" s="147">
        <f t="shared" si="195"/>
        <v>0</v>
      </c>
    </row>
    <row r="5371" spans="1:45" s="18" customFormat="1" ht="15" customHeight="1" x14ac:dyDescent="0.3">
      <c r="A5371" s="207" t="s">
        <v>7397</v>
      </c>
      <c r="B5371" s="18" t="s">
        <v>7398</v>
      </c>
      <c r="C5371" s="207" t="s">
        <v>7400</v>
      </c>
      <c r="D5371" s="18" t="s">
        <v>7401</v>
      </c>
      <c r="E5371" s="208" t="s">
        <v>8093</v>
      </c>
      <c r="F5371" s="18" t="s">
        <v>8094</v>
      </c>
      <c r="G5371" s="156" t="s">
        <v>8168</v>
      </c>
      <c r="H5371" s="18" t="s">
        <v>8169</v>
      </c>
      <c r="I5371" s="156" t="s">
        <v>8170</v>
      </c>
      <c r="J5371" s="18" t="s">
        <v>8171</v>
      </c>
      <c r="K5371" s="156" t="s">
        <v>8178</v>
      </c>
      <c r="L5371" s="18" t="s">
        <v>8179</v>
      </c>
      <c r="M5371" s="18" t="s">
        <v>8180</v>
      </c>
      <c r="N5371" s="18">
        <v>0</v>
      </c>
      <c r="O5371" s="18">
        <v>1</v>
      </c>
      <c r="P5371" s="16">
        <v>1</v>
      </c>
      <c r="Q5371" s="16">
        <v>1</v>
      </c>
      <c r="R5371" s="16">
        <v>1</v>
      </c>
      <c r="S5371" s="16">
        <v>1</v>
      </c>
      <c r="T5371" s="18" t="s">
        <v>921</v>
      </c>
      <c r="U5371" t="str">
        <f>VLOOKUP(T5371,[8]Votes!$A$1:$E$234,3,FALSE)</f>
        <v>008 Ministry of Finance, Planning &amp; Economic Dev.</v>
      </c>
      <c r="V5371" s="18" t="s">
        <v>8181</v>
      </c>
      <c r="W5371" s="48">
        <v>1</v>
      </c>
      <c r="X5371" s="48">
        <v>1</v>
      </c>
      <c r="Y5371" s="48">
        <v>0</v>
      </c>
      <c r="Z5371" s="48">
        <v>1</v>
      </c>
      <c r="AA5371" s="48">
        <v>1</v>
      </c>
      <c r="AB5371" s="48">
        <v>0</v>
      </c>
      <c r="AC5371" s="150">
        <v>1</v>
      </c>
      <c r="AD5371" s="150">
        <v>1</v>
      </c>
      <c r="AE5371" s="49">
        <f t="shared" si="196"/>
        <v>0.75</v>
      </c>
      <c r="AF5371" s="255"/>
      <c r="AG5371" s="17">
        <v>0</v>
      </c>
      <c r="AH5371" s="255">
        <v>0</v>
      </c>
      <c r="AI5371" s="255">
        <v>0.435</v>
      </c>
      <c r="AJ5371" s="255">
        <v>0.435</v>
      </c>
      <c r="AK5371" s="256">
        <f>0.435/4</f>
        <v>0.10875</v>
      </c>
      <c r="AL5371" s="256">
        <f>0.435/4</f>
        <v>0.10875</v>
      </c>
      <c r="AM5371" s="147">
        <f t="shared" si="195"/>
        <v>0.2175</v>
      </c>
      <c r="AN5371" s="18" t="s">
        <v>921</v>
      </c>
      <c r="AO5371" s="18" t="s">
        <v>880</v>
      </c>
    </row>
    <row r="5372" spans="1:45" s="18" customFormat="1" ht="15" customHeight="1" x14ac:dyDescent="0.3">
      <c r="A5372" s="207" t="s">
        <v>7397</v>
      </c>
      <c r="B5372" s="18" t="s">
        <v>7398</v>
      </c>
      <c r="C5372" s="207" t="s">
        <v>7400</v>
      </c>
      <c r="D5372" s="18" t="s">
        <v>7401</v>
      </c>
      <c r="E5372" s="208" t="s">
        <v>8093</v>
      </c>
      <c r="F5372" s="18" t="s">
        <v>8094</v>
      </c>
      <c r="G5372" s="156" t="s">
        <v>8168</v>
      </c>
      <c r="H5372" s="18" t="s">
        <v>8169</v>
      </c>
      <c r="I5372" s="156" t="s">
        <v>8170</v>
      </c>
      <c r="J5372" s="18" t="s">
        <v>8171</v>
      </c>
      <c r="K5372" s="156" t="s">
        <v>8182</v>
      </c>
      <c r="L5372" s="18" t="s">
        <v>8183</v>
      </c>
      <c r="M5372" s="18" t="s">
        <v>8184</v>
      </c>
      <c r="N5372" s="18">
        <v>0</v>
      </c>
      <c r="O5372" s="18">
        <v>20</v>
      </c>
      <c r="P5372" s="16">
        <v>40</v>
      </c>
      <c r="Q5372" s="16">
        <v>60</v>
      </c>
      <c r="R5372" s="16">
        <v>80</v>
      </c>
      <c r="S5372" s="16">
        <v>100</v>
      </c>
      <c r="T5372" s="18" t="s">
        <v>5698</v>
      </c>
      <c r="U5372" t="str">
        <f>VLOOKUP(T5372,[8]Votes!$A$1:$E$234,3,FALSE)</f>
        <v>143 Uganda Bureau of Statistics</v>
      </c>
      <c r="V5372" s="18" t="s">
        <v>8185</v>
      </c>
      <c r="W5372" s="48">
        <v>1</v>
      </c>
      <c r="X5372" s="48">
        <v>0</v>
      </c>
      <c r="Y5372" s="48">
        <v>1</v>
      </c>
      <c r="Z5372" s="48">
        <v>1</v>
      </c>
      <c r="AA5372" s="48">
        <v>1</v>
      </c>
      <c r="AB5372" s="48">
        <v>0</v>
      </c>
      <c r="AC5372" s="150">
        <v>1</v>
      </c>
      <c r="AD5372" s="150">
        <v>1</v>
      </c>
      <c r="AE5372" s="49">
        <f t="shared" si="196"/>
        <v>0.75</v>
      </c>
      <c r="AF5372" s="255"/>
      <c r="AG5372" s="17">
        <v>0</v>
      </c>
      <c r="AH5372" s="255">
        <v>9.4829999999999988</v>
      </c>
      <c r="AI5372" s="255">
        <v>6.96</v>
      </c>
      <c r="AJ5372" s="255">
        <v>6.7859999999999987</v>
      </c>
      <c r="AK5372" s="256">
        <f>6.96/3</f>
        <v>2.3199999999999998</v>
      </c>
      <c r="AL5372" s="256">
        <f>7.83/3</f>
        <v>2.61</v>
      </c>
      <c r="AM5372" s="147">
        <f t="shared" si="195"/>
        <v>4.93</v>
      </c>
      <c r="AN5372" s="18" t="s">
        <v>8100</v>
      </c>
      <c r="AO5372" s="18" t="s">
        <v>2019</v>
      </c>
    </row>
    <row r="5373" spans="1:45" s="18" customFormat="1" ht="15" customHeight="1" x14ac:dyDescent="0.3">
      <c r="A5373" s="207" t="s">
        <v>7397</v>
      </c>
      <c r="B5373" s="18" t="s">
        <v>7398</v>
      </c>
      <c r="C5373" s="207" t="s">
        <v>7400</v>
      </c>
      <c r="D5373" s="18" t="s">
        <v>7401</v>
      </c>
      <c r="E5373" s="208" t="s">
        <v>8093</v>
      </c>
      <c r="F5373" s="18" t="s">
        <v>8094</v>
      </c>
      <c r="G5373" s="156" t="s">
        <v>8168</v>
      </c>
      <c r="H5373" s="18" t="s">
        <v>8169</v>
      </c>
      <c r="I5373" s="156" t="s">
        <v>8186</v>
      </c>
      <c r="J5373" s="18" t="s">
        <v>8187</v>
      </c>
      <c r="K5373" s="156" t="s">
        <v>8188</v>
      </c>
      <c r="L5373" s="18" t="s">
        <v>8189</v>
      </c>
      <c r="M5373" s="18" t="s">
        <v>8190</v>
      </c>
      <c r="N5373" s="18">
        <v>40</v>
      </c>
      <c r="O5373" s="18">
        <v>50</v>
      </c>
      <c r="P5373" s="16">
        <v>60</v>
      </c>
      <c r="Q5373" s="16">
        <v>70</v>
      </c>
      <c r="R5373" s="16">
        <v>80</v>
      </c>
      <c r="S5373" s="16">
        <v>90</v>
      </c>
      <c r="T5373" s="18" t="s">
        <v>8100</v>
      </c>
      <c r="U5373" t="str">
        <f>VLOOKUP(T5373,[8]Votes!$A$1:$E$234,3,FALSE)</f>
        <v>143 Uganda Bureau of Statistics</v>
      </c>
      <c r="V5373" s="18" t="s">
        <v>8191</v>
      </c>
      <c r="W5373" s="48">
        <v>1</v>
      </c>
      <c r="X5373" s="48">
        <v>1</v>
      </c>
      <c r="Y5373" s="48">
        <v>0</v>
      </c>
      <c r="Z5373" s="48">
        <v>1</v>
      </c>
      <c r="AA5373" s="48">
        <v>1</v>
      </c>
      <c r="AB5373" s="48">
        <v>0</v>
      </c>
      <c r="AC5373" s="150">
        <v>1</v>
      </c>
      <c r="AD5373" s="150">
        <v>1</v>
      </c>
      <c r="AE5373" s="49">
        <f t="shared" si="196"/>
        <v>0.75</v>
      </c>
      <c r="AF5373" s="255"/>
      <c r="AG5373" s="17">
        <v>0</v>
      </c>
      <c r="AH5373" s="255">
        <v>5.22</v>
      </c>
      <c r="AI5373" s="255">
        <v>20.88</v>
      </c>
      <c r="AJ5373" s="255">
        <v>18.27</v>
      </c>
      <c r="AK5373" s="256">
        <f>21.8/2</f>
        <v>10.9</v>
      </c>
      <c r="AL5373" s="256">
        <f>5.88/2</f>
        <v>2.94</v>
      </c>
      <c r="AM5373" s="147">
        <f t="shared" si="195"/>
        <v>13.84</v>
      </c>
      <c r="AN5373" s="18" t="s">
        <v>8100</v>
      </c>
      <c r="AO5373" s="18" t="s">
        <v>2019</v>
      </c>
    </row>
    <row r="5374" spans="1:45" s="18" customFormat="1" ht="15" customHeight="1" x14ac:dyDescent="0.3">
      <c r="A5374" s="207" t="s">
        <v>7397</v>
      </c>
      <c r="B5374" s="18" t="s">
        <v>7398</v>
      </c>
      <c r="C5374" s="207" t="s">
        <v>7400</v>
      </c>
      <c r="D5374" s="18" t="s">
        <v>7401</v>
      </c>
      <c r="E5374" s="208" t="s">
        <v>8093</v>
      </c>
      <c r="F5374" s="18" t="s">
        <v>8094</v>
      </c>
      <c r="G5374" s="156" t="s">
        <v>8168</v>
      </c>
      <c r="H5374" s="18" t="s">
        <v>8169</v>
      </c>
      <c r="I5374" s="156" t="s">
        <v>8186</v>
      </c>
      <c r="J5374" s="18" t="s">
        <v>8187</v>
      </c>
      <c r="K5374" s="156" t="s">
        <v>8192</v>
      </c>
      <c r="L5374" s="18" t="s">
        <v>8193</v>
      </c>
      <c r="M5374" s="18" t="s">
        <v>8194</v>
      </c>
      <c r="N5374" s="18">
        <v>0</v>
      </c>
      <c r="O5374" s="18">
        <v>30</v>
      </c>
      <c r="P5374" s="16">
        <v>65</v>
      </c>
      <c r="Q5374" s="16">
        <v>70</v>
      </c>
      <c r="R5374" s="16">
        <v>85</v>
      </c>
      <c r="S5374" s="16">
        <v>100</v>
      </c>
      <c r="T5374" s="18" t="s">
        <v>4115</v>
      </c>
      <c r="U5374" t="str">
        <f>VLOOKUP(T5374,[8]Votes!$A$1:$E$234,3,FALSE)</f>
        <v>309 National Identification and Registration Authority (NIRA)</v>
      </c>
      <c r="V5374" s="18" t="s">
        <v>8195</v>
      </c>
      <c r="W5374" s="48">
        <v>1</v>
      </c>
      <c r="X5374" s="48">
        <v>0</v>
      </c>
      <c r="Y5374" s="48">
        <v>1</v>
      </c>
      <c r="Z5374" s="48">
        <v>1</v>
      </c>
      <c r="AA5374" s="48">
        <v>1</v>
      </c>
      <c r="AB5374" s="48">
        <v>0</v>
      </c>
      <c r="AC5374" s="150">
        <v>1</v>
      </c>
      <c r="AD5374" s="150">
        <v>1</v>
      </c>
      <c r="AE5374" s="49">
        <f t="shared" si="196"/>
        <v>0.75</v>
      </c>
      <c r="AF5374" s="255"/>
      <c r="AG5374" s="17">
        <v>0</v>
      </c>
      <c r="AH5374" s="255">
        <v>14.442</v>
      </c>
      <c r="AI5374" s="255">
        <v>23.14</v>
      </c>
      <c r="AJ5374" s="255">
        <v>24.36</v>
      </c>
      <c r="AK5374" s="256">
        <f>24.882/4</f>
        <v>6.2205000000000004</v>
      </c>
      <c r="AL5374" s="256">
        <f>26.448/4</f>
        <v>6.6120000000000001</v>
      </c>
      <c r="AM5374" s="147">
        <f t="shared" si="195"/>
        <v>12.8325</v>
      </c>
      <c r="AN5374" s="18" t="s">
        <v>4115</v>
      </c>
      <c r="AO5374" s="18" t="s">
        <v>4116</v>
      </c>
    </row>
    <row r="5375" spans="1:45" s="18" customFormat="1" ht="15" customHeight="1" x14ac:dyDescent="0.3">
      <c r="A5375" s="207" t="s">
        <v>7397</v>
      </c>
      <c r="B5375" s="18" t="s">
        <v>7398</v>
      </c>
      <c r="C5375" s="207" t="s">
        <v>7400</v>
      </c>
      <c r="D5375" s="18" t="s">
        <v>7401</v>
      </c>
      <c r="E5375" s="208" t="s">
        <v>8196</v>
      </c>
      <c r="F5375" s="18" t="s">
        <v>8197</v>
      </c>
      <c r="G5375" s="156" t="s">
        <v>8198</v>
      </c>
      <c r="H5375" s="18" t="s">
        <v>8199</v>
      </c>
      <c r="I5375" s="156"/>
      <c r="K5375" s="156" t="s">
        <v>8200</v>
      </c>
      <c r="L5375" s="18" t="s">
        <v>8201</v>
      </c>
      <c r="M5375" s="18" t="s">
        <v>8202</v>
      </c>
      <c r="N5375" s="18">
        <v>0</v>
      </c>
      <c r="O5375" s="18">
        <v>0</v>
      </c>
      <c r="P5375" s="16">
        <v>1</v>
      </c>
      <c r="Q5375" s="16">
        <v>1</v>
      </c>
      <c r="R5375" s="16">
        <v>1</v>
      </c>
      <c r="S5375" s="16">
        <v>1</v>
      </c>
      <c r="T5375" s="18" t="s">
        <v>831</v>
      </c>
      <c r="U5375" t="str">
        <f>VLOOKUP(T5375,[8]Votes!$A$1:$E$234,3,FALSE)</f>
        <v>108 National Planning Authority</v>
      </c>
      <c r="V5375" s="18" t="s">
        <v>8203</v>
      </c>
      <c r="W5375" s="48">
        <v>1</v>
      </c>
      <c r="X5375" s="48">
        <v>0</v>
      </c>
      <c r="Y5375" s="48">
        <v>0</v>
      </c>
      <c r="Z5375" s="48">
        <v>1</v>
      </c>
      <c r="AA5375" s="48">
        <v>1</v>
      </c>
      <c r="AB5375" s="48">
        <v>0</v>
      </c>
      <c r="AC5375" s="150">
        <v>0</v>
      </c>
      <c r="AD5375" s="150">
        <v>1</v>
      </c>
      <c r="AE5375" s="49">
        <f t="shared" si="196"/>
        <v>0.5</v>
      </c>
      <c r="AF5375" s="176"/>
      <c r="AG5375" s="17">
        <v>0</v>
      </c>
      <c r="AH5375" s="176">
        <v>0</v>
      </c>
      <c r="AI5375" s="176">
        <v>0.36</v>
      </c>
      <c r="AJ5375" s="176">
        <v>0</v>
      </c>
      <c r="AK5375" s="177">
        <v>0</v>
      </c>
      <c r="AL5375" s="177">
        <v>0</v>
      </c>
      <c r="AM5375" s="147">
        <f t="shared" si="195"/>
        <v>0</v>
      </c>
      <c r="AN5375" s="18" t="s">
        <v>831</v>
      </c>
      <c r="AO5375" s="18" t="s">
        <v>834</v>
      </c>
    </row>
    <row r="5376" spans="1:45" s="18" customFormat="1" ht="15" customHeight="1" x14ac:dyDescent="0.3">
      <c r="A5376" s="207" t="s">
        <v>7397</v>
      </c>
      <c r="B5376" s="18" t="s">
        <v>7398</v>
      </c>
      <c r="C5376" s="207" t="s">
        <v>7400</v>
      </c>
      <c r="D5376" s="18" t="s">
        <v>7401</v>
      </c>
      <c r="E5376" s="208" t="s">
        <v>8196</v>
      </c>
      <c r="F5376" s="18" t="s">
        <v>8197</v>
      </c>
      <c r="G5376" s="156" t="s">
        <v>8198</v>
      </c>
      <c r="H5376" s="18" t="s">
        <v>8199</v>
      </c>
      <c r="I5376" s="156"/>
      <c r="K5376" s="156" t="s">
        <v>8200</v>
      </c>
      <c r="L5376" s="18" t="s">
        <v>8201</v>
      </c>
      <c r="M5376" s="18" t="s">
        <v>8204</v>
      </c>
      <c r="N5376" s="18">
        <v>0</v>
      </c>
      <c r="O5376" s="18">
        <v>0</v>
      </c>
      <c r="P5376" s="16">
        <v>0</v>
      </c>
      <c r="Q5376" s="16">
        <v>30</v>
      </c>
      <c r="R5376" s="16">
        <v>60</v>
      </c>
      <c r="S5376" s="16">
        <v>75</v>
      </c>
      <c r="T5376" s="18" t="s">
        <v>831</v>
      </c>
      <c r="U5376" t="str">
        <f>VLOOKUP(T5376,[8]Votes!$A$1:$E$234,3,FALSE)</f>
        <v>108 National Planning Authority</v>
      </c>
      <c r="V5376" s="18" t="s">
        <v>8205</v>
      </c>
      <c r="W5376" s="48">
        <v>1</v>
      </c>
      <c r="X5376" s="48">
        <v>0</v>
      </c>
      <c r="Y5376" s="48">
        <v>0</v>
      </c>
      <c r="Z5376" s="48">
        <v>1</v>
      </c>
      <c r="AA5376" s="48">
        <v>1</v>
      </c>
      <c r="AB5376" s="48">
        <v>0</v>
      </c>
      <c r="AC5376" s="150">
        <v>0</v>
      </c>
      <c r="AD5376" s="150">
        <v>1</v>
      </c>
      <c r="AE5376" s="49">
        <f t="shared" si="196"/>
        <v>0.5</v>
      </c>
      <c r="AF5376" s="176"/>
      <c r="AG5376" s="17">
        <v>0</v>
      </c>
      <c r="AH5376" s="176">
        <v>0</v>
      </c>
      <c r="AI5376" s="176">
        <v>0</v>
      </c>
      <c r="AJ5376" s="176">
        <v>0.73</v>
      </c>
      <c r="AK5376" s="177">
        <v>0</v>
      </c>
      <c r="AL5376" s="177">
        <v>0</v>
      </c>
      <c r="AM5376" s="147">
        <f t="shared" si="195"/>
        <v>0</v>
      </c>
      <c r="AN5376" s="18" t="s">
        <v>831</v>
      </c>
      <c r="AO5376" s="18" t="s">
        <v>834</v>
      </c>
    </row>
    <row r="5377" spans="1:41" s="18" customFormat="1" ht="15" customHeight="1" x14ac:dyDescent="0.3">
      <c r="A5377" s="207" t="s">
        <v>7397</v>
      </c>
      <c r="B5377" s="18" t="s">
        <v>7398</v>
      </c>
      <c r="C5377" s="207" t="s">
        <v>7400</v>
      </c>
      <c r="D5377" s="18" t="s">
        <v>7401</v>
      </c>
      <c r="E5377" s="208" t="s">
        <v>8196</v>
      </c>
      <c r="F5377" s="18" t="s">
        <v>8197</v>
      </c>
      <c r="G5377" s="156" t="s">
        <v>8198</v>
      </c>
      <c r="H5377" s="18" t="s">
        <v>8199</v>
      </c>
      <c r="I5377" s="156"/>
      <c r="K5377" s="156" t="s">
        <v>8200</v>
      </c>
      <c r="L5377" s="18" t="s">
        <v>8201</v>
      </c>
      <c r="M5377" s="18" t="s">
        <v>8206</v>
      </c>
      <c r="N5377" s="18">
        <v>0</v>
      </c>
      <c r="O5377" s="18">
        <v>0</v>
      </c>
      <c r="P5377" s="16">
        <v>1</v>
      </c>
      <c r="Q5377" s="16">
        <v>1</v>
      </c>
      <c r="R5377" s="16">
        <v>1</v>
      </c>
      <c r="S5377" s="16">
        <v>1</v>
      </c>
      <c r="T5377" s="18" t="s">
        <v>831</v>
      </c>
      <c r="U5377" t="str">
        <f>VLOOKUP(T5377,[8]Votes!$A$1:$E$234,3,FALSE)</f>
        <v>108 National Planning Authority</v>
      </c>
      <c r="V5377" s="18" t="s">
        <v>8207</v>
      </c>
      <c r="W5377" s="48">
        <v>1</v>
      </c>
      <c r="X5377" s="48">
        <v>0</v>
      </c>
      <c r="Y5377" s="48">
        <v>0</v>
      </c>
      <c r="Z5377" s="48">
        <v>1</v>
      </c>
      <c r="AA5377" s="48">
        <v>1</v>
      </c>
      <c r="AB5377" s="48">
        <v>0</v>
      </c>
      <c r="AC5377" s="150">
        <v>0</v>
      </c>
      <c r="AD5377" s="150">
        <v>1</v>
      </c>
      <c r="AE5377" s="49">
        <f t="shared" si="196"/>
        <v>0.5</v>
      </c>
      <c r="AF5377" s="176"/>
      <c r="AG5377" s="17">
        <v>0</v>
      </c>
      <c r="AH5377" s="176">
        <v>0</v>
      </c>
      <c r="AI5377" s="176">
        <v>1.02</v>
      </c>
      <c r="AJ5377" s="176">
        <v>1.02</v>
      </c>
      <c r="AK5377" s="177">
        <v>0</v>
      </c>
      <c r="AL5377" s="177">
        <v>0</v>
      </c>
      <c r="AM5377" s="147">
        <f t="shared" si="195"/>
        <v>0</v>
      </c>
      <c r="AN5377" s="18" t="s">
        <v>831</v>
      </c>
      <c r="AO5377" s="18" t="s">
        <v>834</v>
      </c>
    </row>
    <row r="5378" spans="1:41" s="18" customFormat="1" ht="15" customHeight="1" x14ac:dyDescent="0.3">
      <c r="A5378" s="207" t="s">
        <v>7397</v>
      </c>
      <c r="B5378" s="18" t="s">
        <v>7398</v>
      </c>
      <c r="C5378" s="208" t="s">
        <v>8042</v>
      </c>
      <c r="D5378" s="18" t="s">
        <v>8043</v>
      </c>
      <c r="E5378" s="208" t="s">
        <v>11656</v>
      </c>
      <c r="F5378" s="18" t="s">
        <v>8197</v>
      </c>
      <c r="G5378" s="156" t="s">
        <v>11657</v>
      </c>
      <c r="H5378" s="18" t="s">
        <v>8209</v>
      </c>
      <c r="I5378" s="156"/>
      <c r="K5378" s="156" t="s">
        <v>11658</v>
      </c>
      <c r="L5378" s="18" t="s">
        <v>8211</v>
      </c>
      <c r="M5378" s="18" t="s">
        <v>8212</v>
      </c>
      <c r="N5378" s="18">
        <v>0</v>
      </c>
      <c r="O5378" s="18">
        <v>0</v>
      </c>
      <c r="P5378" s="16">
        <v>1</v>
      </c>
      <c r="Q5378" s="16">
        <v>0</v>
      </c>
      <c r="R5378" s="16">
        <v>0</v>
      </c>
      <c r="S5378" s="16">
        <v>0</v>
      </c>
      <c r="T5378" s="18" t="s">
        <v>7852</v>
      </c>
      <c r="U5378" t="str">
        <f>VLOOKUP(T5378,[8]Votes!$A$1:$E$234,3,FALSE)</f>
        <v>131 Auditor General</v>
      </c>
      <c r="V5378" s="18" t="s">
        <v>8213</v>
      </c>
      <c r="W5378" s="48">
        <v>1</v>
      </c>
      <c r="X5378" s="48">
        <v>1</v>
      </c>
      <c r="Y5378" s="48">
        <v>0</v>
      </c>
      <c r="Z5378" s="48">
        <v>1</v>
      </c>
      <c r="AA5378" s="48">
        <v>1</v>
      </c>
      <c r="AB5378" s="48">
        <v>0</v>
      </c>
      <c r="AC5378" s="150">
        <v>1</v>
      </c>
      <c r="AD5378" s="150">
        <v>1</v>
      </c>
      <c r="AE5378" s="49">
        <f t="shared" si="196"/>
        <v>0.75</v>
      </c>
      <c r="AF5378" s="255"/>
      <c r="AG5378" s="17">
        <v>1</v>
      </c>
      <c r="AH5378" s="255">
        <v>0.47849999999999998</v>
      </c>
      <c r="AI5378" s="255">
        <v>0.72499999999999998</v>
      </c>
      <c r="AJ5378" s="255">
        <v>0</v>
      </c>
      <c r="AK5378" s="383">
        <v>0.25</v>
      </c>
      <c r="AL5378" s="383">
        <v>0.34799999999999998</v>
      </c>
      <c r="AM5378" s="147">
        <f t="shared" si="195"/>
        <v>0.59799999999999998</v>
      </c>
      <c r="AN5378" s="18" t="s">
        <v>7852</v>
      </c>
      <c r="AO5378" s="18" t="s">
        <v>7854</v>
      </c>
    </row>
    <row r="5379" spans="1:41" s="18" customFormat="1" ht="15" customHeight="1" x14ac:dyDescent="0.3">
      <c r="A5379" s="207" t="s">
        <v>7397</v>
      </c>
      <c r="B5379" s="18" t="s">
        <v>7398</v>
      </c>
      <c r="C5379" s="208" t="s">
        <v>8042</v>
      </c>
      <c r="D5379" s="18" t="s">
        <v>8043</v>
      </c>
      <c r="E5379" s="208" t="s">
        <v>11656</v>
      </c>
      <c r="F5379" s="18" t="s">
        <v>8197</v>
      </c>
      <c r="G5379" s="156" t="s">
        <v>11657</v>
      </c>
      <c r="H5379" s="18" t="s">
        <v>8209</v>
      </c>
      <c r="I5379" s="156"/>
      <c r="K5379" s="156" t="s">
        <v>11658</v>
      </c>
      <c r="L5379" s="18" t="s">
        <v>8211</v>
      </c>
      <c r="M5379" s="18" t="s">
        <v>8214</v>
      </c>
      <c r="N5379" s="18">
        <v>0</v>
      </c>
      <c r="O5379" s="18">
        <v>0</v>
      </c>
      <c r="P5379" s="16">
        <v>0</v>
      </c>
      <c r="Q5379" s="16">
        <v>0.2</v>
      </c>
      <c r="R5379" s="16">
        <v>0.4</v>
      </c>
      <c r="S5379" s="16">
        <v>0.5</v>
      </c>
      <c r="T5379" s="18" t="s">
        <v>7852</v>
      </c>
      <c r="U5379" t="str">
        <f>VLOOKUP(T5379,[8]Votes!$A$1:$E$234,3,FALSE)</f>
        <v>131 Auditor General</v>
      </c>
      <c r="V5379" s="18" t="s">
        <v>8215</v>
      </c>
      <c r="W5379" s="48">
        <v>1</v>
      </c>
      <c r="X5379" s="48">
        <v>1</v>
      </c>
      <c r="Y5379" s="48">
        <v>0</v>
      </c>
      <c r="Z5379" s="48">
        <v>1</v>
      </c>
      <c r="AA5379" s="48">
        <v>1</v>
      </c>
      <c r="AB5379" s="48">
        <v>0</v>
      </c>
      <c r="AC5379" s="150">
        <v>1</v>
      </c>
      <c r="AD5379" s="150">
        <v>1</v>
      </c>
      <c r="AE5379" s="49">
        <f t="shared" si="196"/>
        <v>0.75</v>
      </c>
      <c r="AF5379" s="255"/>
      <c r="AG5379" s="17">
        <v>0</v>
      </c>
      <c r="AH5379" s="255">
        <v>0</v>
      </c>
      <c r="AI5379" s="255">
        <v>0</v>
      </c>
      <c r="AJ5379" s="255">
        <v>0.28999999999999998</v>
      </c>
      <c r="AK5379" s="383">
        <v>0.1</v>
      </c>
      <c r="AL5379" s="383">
        <v>0.15</v>
      </c>
      <c r="AM5379" s="147">
        <f t="shared" si="195"/>
        <v>0.25</v>
      </c>
      <c r="AN5379" s="18" t="s">
        <v>7852</v>
      </c>
      <c r="AO5379" s="18" t="s">
        <v>7854</v>
      </c>
    </row>
    <row r="5380" spans="1:41" s="18" customFormat="1" ht="15" customHeight="1" x14ac:dyDescent="0.3">
      <c r="A5380" s="207" t="s">
        <v>7397</v>
      </c>
      <c r="B5380" s="18" t="s">
        <v>7398</v>
      </c>
      <c r="C5380" s="207" t="s">
        <v>7400</v>
      </c>
      <c r="D5380" s="18" t="s">
        <v>7401</v>
      </c>
      <c r="E5380" s="208" t="s">
        <v>8196</v>
      </c>
      <c r="F5380" s="18" t="s">
        <v>8197</v>
      </c>
      <c r="G5380" s="156" t="s">
        <v>8216</v>
      </c>
      <c r="H5380" s="18" t="s">
        <v>8217</v>
      </c>
      <c r="I5380" s="156"/>
      <c r="K5380" s="156" t="s">
        <v>8218</v>
      </c>
      <c r="L5380" s="18" t="s">
        <v>8219</v>
      </c>
      <c r="M5380" s="18" t="s">
        <v>8220</v>
      </c>
      <c r="N5380" s="18">
        <v>34</v>
      </c>
      <c r="O5380" s="18">
        <v>38</v>
      </c>
      <c r="P5380" s="16">
        <v>40</v>
      </c>
      <c r="Q5380" s="16">
        <v>46</v>
      </c>
      <c r="R5380" s="16">
        <v>50</v>
      </c>
      <c r="S5380" s="16">
        <v>52</v>
      </c>
      <c r="T5380" s="18" t="s">
        <v>7852</v>
      </c>
      <c r="U5380" t="str">
        <f>VLOOKUP(T5380,[8]Votes!$A$1:$E$234,3,FALSE)</f>
        <v>131 Auditor General</v>
      </c>
      <c r="V5380" s="18" t="s">
        <v>8221</v>
      </c>
      <c r="W5380" s="48">
        <v>1</v>
      </c>
      <c r="X5380" s="48">
        <v>1</v>
      </c>
      <c r="Y5380" s="48">
        <v>0</v>
      </c>
      <c r="Z5380" s="48">
        <v>1</v>
      </c>
      <c r="AA5380" s="48">
        <v>1</v>
      </c>
      <c r="AB5380" s="48">
        <v>0</v>
      </c>
      <c r="AC5380" s="150">
        <v>1</v>
      </c>
      <c r="AD5380" s="150">
        <v>1</v>
      </c>
      <c r="AE5380" s="49">
        <f t="shared" si="196"/>
        <v>0.75</v>
      </c>
      <c r="AF5380" s="176"/>
      <c r="AG5380" s="17">
        <v>0</v>
      </c>
      <c r="AH5380" s="176">
        <v>4.8</v>
      </c>
      <c r="AI5380" s="176">
        <v>5.08</v>
      </c>
      <c r="AJ5380" s="176">
        <v>6.5</v>
      </c>
      <c r="AK5380" s="177">
        <f>6.5/2</f>
        <v>3.25</v>
      </c>
      <c r="AL5380" s="177">
        <f>7/2</f>
        <v>3.5</v>
      </c>
      <c r="AM5380" s="147">
        <f t="shared" si="195"/>
        <v>6.75</v>
      </c>
      <c r="AN5380" s="18" t="s">
        <v>7852</v>
      </c>
      <c r="AO5380" s="18" t="s">
        <v>7854</v>
      </c>
    </row>
    <row r="5381" spans="1:41" s="18" customFormat="1" ht="15" customHeight="1" x14ac:dyDescent="0.3">
      <c r="A5381" s="207" t="s">
        <v>7397</v>
      </c>
      <c r="B5381" s="18" t="s">
        <v>7398</v>
      </c>
      <c r="C5381" s="207" t="s">
        <v>7400</v>
      </c>
      <c r="D5381" s="18" t="s">
        <v>7401</v>
      </c>
      <c r="E5381" s="208" t="s">
        <v>8196</v>
      </c>
      <c r="F5381" s="18" t="s">
        <v>8197</v>
      </c>
      <c r="G5381" s="156" t="s">
        <v>8216</v>
      </c>
      <c r="H5381" s="18" t="s">
        <v>8217</v>
      </c>
      <c r="I5381" s="156"/>
      <c r="K5381" s="156" t="s">
        <v>8222</v>
      </c>
      <c r="L5381" s="18" t="s">
        <v>8219</v>
      </c>
      <c r="M5381" s="18" t="s">
        <v>8223</v>
      </c>
      <c r="N5381" s="18">
        <v>0.5</v>
      </c>
      <c r="O5381" s="18">
        <v>0.5</v>
      </c>
      <c r="P5381" s="16">
        <v>0.55000000000000004</v>
      </c>
      <c r="Q5381" s="16">
        <v>0.6</v>
      </c>
      <c r="R5381" s="16">
        <v>0.6</v>
      </c>
      <c r="S5381" s="16">
        <v>0.7</v>
      </c>
      <c r="T5381" s="18" t="s">
        <v>7852</v>
      </c>
      <c r="U5381" t="str">
        <f>VLOOKUP(T5381,[8]Votes!$A$1:$E$234,3,FALSE)</f>
        <v>131 Auditor General</v>
      </c>
      <c r="W5381" s="48"/>
      <c r="X5381" s="48"/>
      <c r="Y5381" s="48"/>
      <c r="Z5381" s="48"/>
      <c r="AA5381" s="48"/>
      <c r="AB5381" s="48"/>
      <c r="AC5381" s="150">
        <v>0</v>
      </c>
      <c r="AD5381" s="150">
        <v>0</v>
      </c>
      <c r="AE5381" s="49">
        <f t="shared" si="196"/>
        <v>0</v>
      </c>
      <c r="AF5381" s="17"/>
      <c r="AG5381" s="17">
        <v>0</v>
      </c>
      <c r="AH5381" s="17"/>
      <c r="AI5381" s="17"/>
      <c r="AJ5381" s="17"/>
      <c r="AK5381" s="154"/>
      <c r="AL5381" s="154"/>
      <c r="AM5381" s="147">
        <f t="shared" si="195"/>
        <v>0</v>
      </c>
    </row>
    <row r="5382" spans="1:41" s="18" customFormat="1" ht="15" customHeight="1" x14ac:dyDescent="0.3">
      <c r="A5382" s="207" t="s">
        <v>7397</v>
      </c>
      <c r="B5382" s="18" t="s">
        <v>7398</v>
      </c>
      <c r="C5382" s="207" t="s">
        <v>7400</v>
      </c>
      <c r="D5382" s="18" t="s">
        <v>7401</v>
      </c>
      <c r="E5382" s="208" t="s">
        <v>8196</v>
      </c>
      <c r="F5382" s="18" t="s">
        <v>8197</v>
      </c>
      <c r="G5382" s="156" t="s">
        <v>8216</v>
      </c>
      <c r="H5382" s="18" t="s">
        <v>8217</v>
      </c>
      <c r="I5382" s="156"/>
      <c r="K5382" s="156" t="s">
        <v>8222</v>
      </c>
      <c r="L5382" s="18" t="s">
        <v>8224</v>
      </c>
      <c r="M5382" s="18" t="s">
        <v>8225</v>
      </c>
      <c r="N5382" s="18">
        <v>1</v>
      </c>
      <c r="O5382" s="18">
        <v>1</v>
      </c>
      <c r="P5382" s="16">
        <v>1</v>
      </c>
      <c r="Q5382" s="16">
        <v>1</v>
      </c>
      <c r="R5382" s="16">
        <v>1</v>
      </c>
      <c r="S5382" s="16">
        <v>1</v>
      </c>
      <c r="T5382" s="18" t="s">
        <v>1563</v>
      </c>
      <c r="U5382" t="str">
        <f>VLOOKUP(T5382,[8]Votes!$A$1:$E$234,3,FALSE)</f>
        <v>124 Equal Opportunities Commission</v>
      </c>
      <c r="V5382" s="18" t="s">
        <v>8226</v>
      </c>
      <c r="W5382" s="48">
        <v>1</v>
      </c>
      <c r="X5382" s="48">
        <v>0</v>
      </c>
      <c r="Y5382" s="48">
        <v>0</v>
      </c>
      <c r="Z5382" s="48">
        <v>1</v>
      </c>
      <c r="AA5382" s="48">
        <v>1</v>
      </c>
      <c r="AB5382" s="48">
        <v>0</v>
      </c>
      <c r="AC5382" s="150">
        <v>1</v>
      </c>
      <c r="AD5382" s="150">
        <v>1</v>
      </c>
      <c r="AE5382" s="49">
        <f t="shared" si="196"/>
        <v>0.625</v>
      </c>
      <c r="AF5382" s="17"/>
      <c r="AG5382" s="17">
        <v>0</v>
      </c>
      <c r="AH5382" s="17">
        <v>1.99</v>
      </c>
      <c r="AI5382" s="17">
        <v>2</v>
      </c>
      <c r="AJ5382" s="17">
        <v>2.02</v>
      </c>
      <c r="AK5382" s="154">
        <f>2.01/3</f>
        <v>0.66999999999999993</v>
      </c>
      <c r="AL5382" s="154">
        <f>2/3</f>
        <v>0.66666666666666663</v>
      </c>
      <c r="AM5382" s="147">
        <f t="shared" si="195"/>
        <v>1.3366666666666664</v>
      </c>
      <c r="AN5382" s="18" t="s">
        <v>1563</v>
      </c>
    </row>
    <row r="5383" spans="1:41" s="18" customFormat="1" ht="15" customHeight="1" x14ac:dyDescent="0.3">
      <c r="A5383" s="207" t="s">
        <v>7397</v>
      </c>
      <c r="B5383" s="18" t="s">
        <v>7398</v>
      </c>
      <c r="C5383" s="207" t="s">
        <v>7400</v>
      </c>
      <c r="D5383" s="18" t="s">
        <v>7401</v>
      </c>
      <c r="E5383" s="208" t="s">
        <v>8196</v>
      </c>
      <c r="F5383" s="18" t="s">
        <v>8197</v>
      </c>
      <c r="G5383" s="156" t="s">
        <v>8227</v>
      </c>
      <c r="H5383" s="18" t="s">
        <v>8228</v>
      </c>
      <c r="I5383" s="156"/>
      <c r="K5383" s="156" t="s">
        <v>8229</v>
      </c>
      <c r="L5383" s="18" t="s">
        <v>8230</v>
      </c>
      <c r="M5383" s="18" t="s">
        <v>8231</v>
      </c>
      <c r="N5383" s="18">
        <v>0</v>
      </c>
      <c r="O5383" s="18">
        <v>0</v>
      </c>
      <c r="P5383" s="16">
        <v>50</v>
      </c>
      <c r="Q5383" s="16">
        <v>100</v>
      </c>
      <c r="R5383" s="16">
        <v>0</v>
      </c>
      <c r="S5383" s="16">
        <v>0</v>
      </c>
      <c r="T5383" s="18" t="s">
        <v>1345</v>
      </c>
      <c r="U5383" t="str">
        <f>VLOOKUP(T5383,[8]Votes!$A$1:$E$234,3,FALSE)</f>
        <v>001 Office of the President</v>
      </c>
      <c r="V5383" s="18" t="s">
        <v>8232</v>
      </c>
      <c r="W5383" s="48">
        <v>1</v>
      </c>
      <c r="X5383" s="48">
        <v>0</v>
      </c>
      <c r="Y5383" s="48">
        <v>0</v>
      </c>
      <c r="Z5383" s="48">
        <v>1</v>
      </c>
      <c r="AA5383" s="48">
        <v>1</v>
      </c>
      <c r="AB5383" s="48">
        <v>0</v>
      </c>
      <c r="AC5383" s="150">
        <v>0</v>
      </c>
      <c r="AD5383" s="150">
        <v>1</v>
      </c>
      <c r="AE5383" s="49">
        <f t="shared" si="196"/>
        <v>0.5</v>
      </c>
      <c r="AF5383" s="255"/>
      <c r="AG5383" s="17">
        <v>0</v>
      </c>
      <c r="AH5383" s="255">
        <v>0</v>
      </c>
      <c r="AI5383" s="255">
        <v>7.2499999999999995E-2</v>
      </c>
      <c r="AJ5383" s="255">
        <v>0</v>
      </c>
      <c r="AK5383" s="256">
        <v>0</v>
      </c>
      <c r="AL5383" s="256">
        <v>0</v>
      </c>
      <c r="AM5383" s="147">
        <f t="shared" si="195"/>
        <v>0</v>
      </c>
      <c r="AN5383" s="18" t="s">
        <v>1345</v>
      </c>
      <c r="AO5383" s="18" t="s">
        <v>1334</v>
      </c>
    </row>
    <row r="5384" spans="1:41" s="18" customFormat="1" ht="15" customHeight="1" x14ac:dyDescent="0.3">
      <c r="A5384" s="207" t="s">
        <v>7397</v>
      </c>
      <c r="B5384" s="18" t="s">
        <v>7398</v>
      </c>
      <c r="C5384" s="207" t="s">
        <v>7400</v>
      </c>
      <c r="D5384" s="18" t="s">
        <v>7401</v>
      </c>
      <c r="E5384" s="208" t="s">
        <v>8196</v>
      </c>
      <c r="F5384" s="18" t="s">
        <v>8197</v>
      </c>
      <c r="G5384" s="156" t="s">
        <v>8227</v>
      </c>
      <c r="H5384" s="18" t="s">
        <v>8228</v>
      </c>
      <c r="I5384" s="156"/>
      <c r="K5384" s="156" t="s">
        <v>8233</v>
      </c>
      <c r="L5384" s="18" t="s">
        <v>8234</v>
      </c>
      <c r="M5384" s="18" t="s">
        <v>8235</v>
      </c>
      <c r="N5384" s="18" t="s">
        <v>7562</v>
      </c>
      <c r="O5384" s="18">
        <v>1</v>
      </c>
      <c r="P5384" s="16" t="s">
        <v>7562</v>
      </c>
      <c r="Q5384" s="16" t="s">
        <v>7562</v>
      </c>
      <c r="R5384" s="16">
        <v>1</v>
      </c>
      <c r="S5384" s="16">
        <v>1</v>
      </c>
      <c r="T5384" s="18" t="s">
        <v>1167</v>
      </c>
      <c r="U5384" t="str">
        <f>VLOOKUP(T5384,[8]Votes!$A$1:$E$234,3,FALSE)</f>
        <v>003 Office of the Prime Minister</v>
      </c>
      <c r="V5384" s="18" t="s">
        <v>8236</v>
      </c>
      <c r="W5384" s="48">
        <v>1</v>
      </c>
      <c r="X5384" s="48">
        <v>0</v>
      </c>
      <c r="Y5384" s="48">
        <v>0</v>
      </c>
      <c r="Z5384" s="48">
        <v>1</v>
      </c>
      <c r="AA5384" s="48">
        <v>1</v>
      </c>
      <c r="AB5384" s="48">
        <v>0</v>
      </c>
      <c r="AC5384" s="150">
        <v>0</v>
      </c>
      <c r="AD5384" s="150">
        <v>1</v>
      </c>
      <c r="AE5384" s="49">
        <f t="shared" si="196"/>
        <v>0.5</v>
      </c>
      <c r="AF5384" s="255"/>
      <c r="AG5384" s="17">
        <v>0</v>
      </c>
      <c r="AH5384" s="255">
        <v>0.14499999999999999</v>
      </c>
      <c r="AI5384" s="255">
        <v>0</v>
      </c>
      <c r="AJ5384" s="255">
        <v>0</v>
      </c>
      <c r="AK5384" s="256">
        <v>0</v>
      </c>
      <c r="AL5384" s="256">
        <v>0</v>
      </c>
      <c r="AM5384" s="147">
        <f t="shared" si="195"/>
        <v>0</v>
      </c>
      <c r="AN5384" s="18" t="s">
        <v>1167</v>
      </c>
      <c r="AO5384" s="18" t="s">
        <v>1170</v>
      </c>
    </row>
    <row r="5385" spans="1:41" s="18" customFormat="1" ht="15" customHeight="1" x14ac:dyDescent="0.3">
      <c r="A5385" s="207" t="s">
        <v>7397</v>
      </c>
      <c r="B5385" s="18" t="s">
        <v>7398</v>
      </c>
      <c r="C5385" s="207" t="s">
        <v>7400</v>
      </c>
      <c r="D5385" s="18" t="s">
        <v>7401</v>
      </c>
      <c r="E5385" s="208" t="s">
        <v>8196</v>
      </c>
      <c r="F5385" s="18" t="s">
        <v>8197</v>
      </c>
      <c r="G5385" s="156" t="s">
        <v>8227</v>
      </c>
      <c r="H5385" s="18" t="s">
        <v>8228</v>
      </c>
      <c r="I5385" s="156"/>
      <c r="K5385" s="156" t="s">
        <v>8237</v>
      </c>
      <c r="L5385" s="18" t="s">
        <v>8234</v>
      </c>
      <c r="M5385" s="18" t="s">
        <v>8238</v>
      </c>
      <c r="N5385" s="18" t="s">
        <v>7562</v>
      </c>
      <c r="O5385" s="18">
        <v>2</v>
      </c>
      <c r="P5385" s="16">
        <v>2</v>
      </c>
      <c r="Q5385" s="16">
        <v>2</v>
      </c>
      <c r="R5385" s="16">
        <v>2</v>
      </c>
      <c r="S5385" s="16">
        <v>2</v>
      </c>
      <c r="T5385" s="18" t="s">
        <v>1167</v>
      </c>
      <c r="U5385" t="str">
        <f>VLOOKUP(T5385,[8]Votes!$A$1:$E$234,3,FALSE)</f>
        <v>003 Office of the Prime Minister</v>
      </c>
      <c r="V5385" s="18" t="s">
        <v>8239</v>
      </c>
      <c r="W5385" s="48">
        <v>1</v>
      </c>
      <c r="X5385" s="48">
        <v>0</v>
      </c>
      <c r="Y5385" s="48">
        <v>0</v>
      </c>
      <c r="Z5385" s="48">
        <v>1</v>
      </c>
      <c r="AA5385" s="48">
        <v>1</v>
      </c>
      <c r="AB5385" s="48">
        <v>1</v>
      </c>
      <c r="AC5385" s="150">
        <v>1</v>
      </c>
      <c r="AD5385" s="150">
        <v>1</v>
      </c>
      <c r="AE5385" s="49">
        <f t="shared" si="196"/>
        <v>0.75</v>
      </c>
      <c r="AF5385" s="255"/>
      <c r="AG5385" s="17">
        <v>0</v>
      </c>
      <c r="AH5385" s="255">
        <v>4.3499999999999997E-2</v>
      </c>
      <c r="AI5385" s="255">
        <v>4.3499999999999997E-2</v>
      </c>
      <c r="AJ5385" s="255">
        <v>4.3499999999999997E-2</v>
      </c>
      <c r="AK5385" s="256">
        <f>5/2</f>
        <v>2.5</v>
      </c>
      <c r="AL5385" s="256">
        <f>5/2</f>
        <v>2.5</v>
      </c>
      <c r="AM5385" s="147">
        <f t="shared" si="195"/>
        <v>5</v>
      </c>
      <c r="AN5385" s="18" t="s">
        <v>1167</v>
      </c>
      <c r="AO5385" s="18" t="s">
        <v>1170</v>
      </c>
    </row>
    <row r="5386" spans="1:41" s="18" customFormat="1" ht="15" customHeight="1" x14ac:dyDescent="0.3">
      <c r="A5386" s="207" t="s">
        <v>7397</v>
      </c>
      <c r="B5386" s="18" t="s">
        <v>7398</v>
      </c>
      <c r="C5386" s="207" t="s">
        <v>7400</v>
      </c>
      <c r="D5386" s="18" t="s">
        <v>7401</v>
      </c>
      <c r="E5386" s="208" t="s">
        <v>8196</v>
      </c>
      <c r="F5386" s="18" t="s">
        <v>8197</v>
      </c>
      <c r="G5386" s="156" t="s">
        <v>8227</v>
      </c>
      <c r="H5386" s="18" t="s">
        <v>8228</v>
      </c>
      <c r="I5386" s="156"/>
      <c r="K5386" s="156" t="s">
        <v>8240</v>
      </c>
      <c r="L5386" s="18" t="s">
        <v>8241</v>
      </c>
      <c r="M5386" s="18" t="s">
        <v>8242</v>
      </c>
      <c r="N5386" s="18" t="s">
        <v>7562</v>
      </c>
      <c r="O5386" s="18">
        <v>50</v>
      </c>
      <c r="P5386" s="16">
        <v>50</v>
      </c>
      <c r="Q5386" s="16">
        <v>50</v>
      </c>
      <c r="R5386" s="16">
        <v>50</v>
      </c>
      <c r="S5386" s="16">
        <v>50</v>
      </c>
      <c r="T5386" s="18" t="s">
        <v>1167</v>
      </c>
      <c r="U5386" t="str">
        <f>VLOOKUP(T5386,[8]Votes!$A$1:$E$234,3,FALSE)</f>
        <v>003 Office of the Prime Minister</v>
      </c>
      <c r="V5386" s="18" t="s">
        <v>8243</v>
      </c>
      <c r="W5386" s="48">
        <v>1</v>
      </c>
      <c r="X5386" s="48">
        <v>0</v>
      </c>
      <c r="Y5386" s="48">
        <v>0</v>
      </c>
      <c r="Z5386" s="48">
        <v>1</v>
      </c>
      <c r="AA5386" s="48">
        <v>1</v>
      </c>
      <c r="AB5386" s="48">
        <v>1</v>
      </c>
      <c r="AC5386" s="150">
        <v>1</v>
      </c>
      <c r="AD5386" s="150">
        <v>1</v>
      </c>
      <c r="AE5386" s="49">
        <f t="shared" si="196"/>
        <v>0.75</v>
      </c>
      <c r="AF5386" s="176"/>
      <c r="AG5386" s="17">
        <v>0</v>
      </c>
      <c r="AH5386" s="176">
        <v>1.1599999999999999</v>
      </c>
      <c r="AI5386" s="176">
        <v>1.31</v>
      </c>
      <c r="AJ5386" s="176">
        <v>1.45</v>
      </c>
      <c r="AK5386" s="384">
        <v>1.5</v>
      </c>
      <c r="AL5386" s="384">
        <v>1.58</v>
      </c>
      <c r="AM5386" s="147">
        <f t="shared" si="195"/>
        <v>3.08</v>
      </c>
      <c r="AN5386" s="18" t="s">
        <v>1167</v>
      </c>
    </row>
    <row r="5387" spans="1:41" s="18" customFormat="1" ht="15" customHeight="1" x14ac:dyDescent="0.3">
      <c r="A5387" s="207" t="s">
        <v>7397</v>
      </c>
      <c r="B5387" s="18" t="s">
        <v>7398</v>
      </c>
      <c r="C5387" s="207" t="s">
        <v>7400</v>
      </c>
      <c r="D5387" s="18" t="s">
        <v>7401</v>
      </c>
      <c r="E5387" s="208" t="s">
        <v>8196</v>
      </c>
      <c r="F5387" s="18" t="s">
        <v>8197</v>
      </c>
      <c r="G5387" s="156" t="s">
        <v>8227</v>
      </c>
      <c r="H5387" s="18" t="s">
        <v>8228</v>
      </c>
      <c r="I5387" s="156"/>
      <c r="K5387" s="156" t="s">
        <v>8244</v>
      </c>
      <c r="L5387" s="18" t="s">
        <v>8245</v>
      </c>
      <c r="M5387" s="18" t="s">
        <v>8246</v>
      </c>
      <c r="N5387" s="18">
        <v>1</v>
      </c>
      <c r="O5387" s="18">
        <v>1</v>
      </c>
      <c r="P5387" s="16">
        <v>1</v>
      </c>
      <c r="Q5387" s="16">
        <v>1</v>
      </c>
      <c r="R5387" s="16">
        <v>1</v>
      </c>
      <c r="S5387" s="16">
        <v>1</v>
      </c>
      <c r="T5387" s="18" t="s">
        <v>1167</v>
      </c>
      <c r="U5387" t="str">
        <f>VLOOKUP(T5387,[8]Votes!$A$1:$E$234,3,FALSE)</f>
        <v>003 Office of the Prime Minister</v>
      </c>
      <c r="V5387" s="18" t="s">
        <v>8247</v>
      </c>
      <c r="W5387" s="48">
        <v>1</v>
      </c>
      <c r="X5387" s="48">
        <v>0</v>
      </c>
      <c r="Y5387" s="48">
        <v>0</v>
      </c>
      <c r="Z5387" s="48">
        <v>1</v>
      </c>
      <c r="AA5387" s="48">
        <v>1</v>
      </c>
      <c r="AB5387" s="48">
        <v>1</v>
      </c>
      <c r="AC5387" s="150">
        <v>1</v>
      </c>
      <c r="AD5387" s="150">
        <v>1</v>
      </c>
      <c r="AE5387" s="49">
        <f t="shared" si="196"/>
        <v>0.75</v>
      </c>
      <c r="AF5387" s="176"/>
      <c r="AG5387" s="17">
        <v>0</v>
      </c>
      <c r="AH5387" s="176">
        <v>0.28999999999999998</v>
      </c>
      <c r="AI5387" s="176">
        <v>0.28999999999999998</v>
      </c>
      <c r="AJ5387" s="176">
        <v>0.28999999999999998</v>
      </c>
      <c r="AK5387" s="384">
        <v>2</v>
      </c>
      <c r="AL5387" s="384">
        <v>2</v>
      </c>
      <c r="AM5387" s="147">
        <f t="shared" si="195"/>
        <v>4</v>
      </c>
      <c r="AN5387" s="18" t="s">
        <v>1167</v>
      </c>
    </row>
    <row r="5388" spans="1:41" s="18" customFormat="1" ht="15" customHeight="1" x14ac:dyDescent="0.3">
      <c r="A5388" s="207" t="s">
        <v>7397</v>
      </c>
      <c r="B5388" s="18" t="s">
        <v>7398</v>
      </c>
      <c r="C5388" s="207" t="s">
        <v>7400</v>
      </c>
      <c r="D5388" s="18" t="s">
        <v>7401</v>
      </c>
      <c r="E5388" s="208" t="s">
        <v>8196</v>
      </c>
      <c r="F5388" s="18" t="s">
        <v>8197</v>
      </c>
      <c r="G5388" s="156" t="s">
        <v>8227</v>
      </c>
      <c r="H5388" s="18" t="s">
        <v>8228</v>
      </c>
      <c r="I5388" s="156"/>
      <c r="K5388" s="156" t="s">
        <v>8244</v>
      </c>
      <c r="L5388" s="18" t="s">
        <v>8245</v>
      </c>
      <c r="M5388" s="18" t="s">
        <v>8248</v>
      </c>
      <c r="N5388" s="18" t="s">
        <v>7562</v>
      </c>
      <c r="O5388" s="18">
        <v>100</v>
      </c>
      <c r="P5388" s="16">
        <v>100</v>
      </c>
      <c r="Q5388" s="16">
        <v>100</v>
      </c>
      <c r="R5388" s="16">
        <v>100</v>
      </c>
      <c r="S5388" s="16">
        <v>100</v>
      </c>
      <c r="T5388" s="18" t="s">
        <v>1167</v>
      </c>
      <c r="U5388" t="str">
        <f>VLOOKUP(T5388,[8]Votes!$A$1:$E$234,3,FALSE)</f>
        <v>003 Office of the Prime Minister</v>
      </c>
      <c r="W5388" s="48"/>
      <c r="X5388" s="48"/>
      <c r="Y5388" s="48"/>
      <c r="Z5388" s="48"/>
      <c r="AA5388" s="48"/>
      <c r="AB5388" s="48"/>
      <c r="AC5388" s="150">
        <v>0</v>
      </c>
      <c r="AD5388" s="150">
        <v>0</v>
      </c>
      <c r="AE5388" s="49">
        <f t="shared" si="196"/>
        <v>0</v>
      </c>
      <c r="AF5388" s="17"/>
      <c r="AG5388" s="17">
        <v>0</v>
      </c>
      <c r="AH5388" s="17"/>
      <c r="AI5388" s="17"/>
      <c r="AJ5388" s="17"/>
      <c r="AK5388" s="154"/>
      <c r="AL5388" s="154"/>
      <c r="AM5388" s="147">
        <f t="shared" si="195"/>
        <v>0</v>
      </c>
    </row>
    <row r="5389" spans="1:41" s="18" customFormat="1" ht="15" customHeight="1" x14ac:dyDescent="0.3">
      <c r="A5389" s="207" t="s">
        <v>7397</v>
      </c>
      <c r="B5389" s="18" t="s">
        <v>7398</v>
      </c>
      <c r="C5389" s="207" t="s">
        <v>7400</v>
      </c>
      <c r="D5389" s="18" t="s">
        <v>7401</v>
      </c>
      <c r="E5389" s="208" t="s">
        <v>8196</v>
      </c>
      <c r="F5389" s="18" t="s">
        <v>8197</v>
      </c>
      <c r="G5389" s="156" t="s">
        <v>8227</v>
      </c>
      <c r="H5389" s="18" t="s">
        <v>8228</v>
      </c>
      <c r="I5389" s="156"/>
      <c r="K5389" s="156" t="s">
        <v>8249</v>
      </c>
      <c r="L5389" s="18" t="s">
        <v>8250</v>
      </c>
      <c r="M5389" s="18" t="s">
        <v>8251</v>
      </c>
      <c r="N5389" s="18">
        <v>0</v>
      </c>
      <c r="O5389" s="18">
        <v>1</v>
      </c>
      <c r="P5389" s="16">
        <v>1</v>
      </c>
      <c r="Q5389" s="16">
        <v>1</v>
      </c>
      <c r="R5389" s="16">
        <v>1</v>
      </c>
      <c r="S5389" s="16">
        <v>1</v>
      </c>
      <c r="T5389" s="18" t="s">
        <v>1167</v>
      </c>
      <c r="U5389" t="str">
        <f>VLOOKUP(T5389,[8]Votes!$A$1:$E$234,3,FALSE)</f>
        <v>003 Office of the Prime Minister</v>
      </c>
      <c r="V5389" s="18" t="s">
        <v>8252</v>
      </c>
      <c r="W5389" s="48">
        <v>1</v>
      </c>
      <c r="X5389" s="48">
        <v>1</v>
      </c>
      <c r="Y5389" s="48">
        <v>1</v>
      </c>
      <c r="Z5389" s="48">
        <v>1</v>
      </c>
      <c r="AA5389" s="48">
        <v>1</v>
      </c>
      <c r="AB5389" s="48">
        <v>1</v>
      </c>
      <c r="AC5389" s="150">
        <v>1</v>
      </c>
      <c r="AD5389" s="150">
        <v>1</v>
      </c>
      <c r="AE5389" s="49">
        <f t="shared" si="196"/>
        <v>1</v>
      </c>
      <c r="AF5389" s="176"/>
      <c r="AG5389" s="17">
        <v>0</v>
      </c>
      <c r="AH5389" s="176">
        <v>1.1599999999999999</v>
      </c>
      <c r="AI5389" s="176">
        <v>0</v>
      </c>
      <c r="AJ5389" s="176">
        <v>0</v>
      </c>
      <c r="AK5389" s="177">
        <f>3/2</f>
        <v>1.5</v>
      </c>
      <c r="AL5389" s="177">
        <f>3/2</f>
        <v>1.5</v>
      </c>
      <c r="AM5389" s="147">
        <f t="shared" si="195"/>
        <v>3</v>
      </c>
      <c r="AN5389" s="18" t="s">
        <v>1167</v>
      </c>
    </row>
    <row r="5390" spans="1:41" s="18" customFormat="1" ht="15" customHeight="1" x14ac:dyDescent="0.3">
      <c r="A5390" s="207" t="s">
        <v>7397</v>
      </c>
      <c r="B5390" s="18" t="s">
        <v>7398</v>
      </c>
      <c r="C5390" s="207" t="s">
        <v>7400</v>
      </c>
      <c r="D5390" s="18" t="s">
        <v>7401</v>
      </c>
      <c r="E5390" s="208" t="s">
        <v>8196</v>
      </c>
      <c r="F5390" s="18" t="s">
        <v>8197</v>
      </c>
      <c r="G5390" s="156" t="s">
        <v>8227</v>
      </c>
      <c r="H5390" s="18" t="s">
        <v>8228</v>
      </c>
      <c r="I5390" s="156"/>
      <c r="K5390" s="156" t="s">
        <v>8249</v>
      </c>
      <c r="L5390" s="18" t="s">
        <v>8250</v>
      </c>
      <c r="M5390" s="18" t="s">
        <v>8253</v>
      </c>
      <c r="O5390" s="18">
        <v>80</v>
      </c>
      <c r="P5390" s="16">
        <v>85</v>
      </c>
      <c r="Q5390" s="16">
        <v>90</v>
      </c>
      <c r="R5390" s="16">
        <v>95</v>
      </c>
      <c r="S5390" s="16">
        <v>100</v>
      </c>
      <c r="T5390" s="18" t="s">
        <v>1167</v>
      </c>
      <c r="U5390" t="str">
        <f>VLOOKUP(T5390,[8]Votes!$A$1:$E$234,3,FALSE)</f>
        <v>003 Office of the Prime Minister</v>
      </c>
      <c r="W5390" s="48"/>
      <c r="X5390" s="48"/>
      <c r="Y5390" s="48"/>
      <c r="Z5390" s="48"/>
      <c r="AA5390" s="48"/>
      <c r="AB5390" s="48"/>
      <c r="AC5390" s="150">
        <v>0</v>
      </c>
      <c r="AD5390" s="150">
        <v>0</v>
      </c>
      <c r="AE5390" s="49">
        <f t="shared" si="196"/>
        <v>0</v>
      </c>
      <c r="AF5390" s="17"/>
      <c r="AG5390" s="17">
        <v>0</v>
      </c>
      <c r="AH5390" s="17"/>
      <c r="AI5390" s="17"/>
      <c r="AJ5390" s="17"/>
      <c r="AK5390" s="154"/>
      <c r="AL5390" s="154"/>
      <c r="AM5390" s="147">
        <f t="shared" si="195"/>
        <v>0</v>
      </c>
    </row>
    <row r="5391" spans="1:41" s="18" customFormat="1" ht="15" customHeight="1" x14ac:dyDescent="0.3">
      <c r="A5391" s="207" t="s">
        <v>7397</v>
      </c>
      <c r="B5391" s="18" t="s">
        <v>7398</v>
      </c>
      <c r="C5391" s="207" t="s">
        <v>7400</v>
      </c>
      <c r="D5391" s="18" t="s">
        <v>7401</v>
      </c>
      <c r="E5391" s="208" t="s">
        <v>8196</v>
      </c>
      <c r="F5391" s="18" t="s">
        <v>8197</v>
      </c>
      <c r="G5391" s="156" t="s">
        <v>8227</v>
      </c>
      <c r="H5391" s="18" t="s">
        <v>8228</v>
      </c>
      <c r="I5391" s="156"/>
      <c r="K5391" s="156" t="s">
        <v>8249</v>
      </c>
      <c r="L5391" s="18" t="s">
        <v>8250</v>
      </c>
      <c r="M5391" s="18" t="s">
        <v>8254</v>
      </c>
      <c r="N5391" s="18">
        <v>0</v>
      </c>
      <c r="O5391" s="18">
        <v>17</v>
      </c>
      <c r="P5391" s="16">
        <v>17</v>
      </c>
      <c r="Q5391" s="16">
        <v>17</v>
      </c>
      <c r="R5391" s="16">
        <v>17</v>
      </c>
      <c r="S5391" s="16">
        <v>17</v>
      </c>
      <c r="T5391" s="18" t="s">
        <v>1167</v>
      </c>
      <c r="U5391" t="str">
        <f>VLOOKUP(T5391,[8]Votes!$A$1:$E$234,3,FALSE)</f>
        <v>003 Office of the Prime Minister</v>
      </c>
      <c r="W5391" s="48"/>
      <c r="X5391" s="48"/>
      <c r="Y5391" s="48"/>
      <c r="Z5391" s="48"/>
      <c r="AA5391" s="48"/>
      <c r="AB5391" s="48"/>
      <c r="AC5391" s="150">
        <v>0</v>
      </c>
      <c r="AD5391" s="150">
        <v>0</v>
      </c>
      <c r="AE5391" s="49">
        <f t="shared" si="196"/>
        <v>0</v>
      </c>
      <c r="AF5391" s="17"/>
      <c r="AG5391" s="17">
        <v>0</v>
      </c>
      <c r="AH5391" s="17"/>
      <c r="AI5391" s="17"/>
      <c r="AJ5391" s="17"/>
      <c r="AK5391" s="154"/>
      <c r="AL5391" s="154"/>
      <c r="AM5391" s="147">
        <f t="shared" si="195"/>
        <v>0</v>
      </c>
    </row>
    <row r="5392" spans="1:41" s="18" customFormat="1" ht="15" customHeight="1" x14ac:dyDescent="0.3">
      <c r="A5392" s="207" t="s">
        <v>7397</v>
      </c>
      <c r="B5392" s="18" t="s">
        <v>7398</v>
      </c>
      <c r="C5392" s="207" t="s">
        <v>7400</v>
      </c>
      <c r="D5392" s="18" t="s">
        <v>7401</v>
      </c>
      <c r="E5392" s="208" t="s">
        <v>8196</v>
      </c>
      <c r="F5392" s="18" t="s">
        <v>8197</v>
      </c>
      <c r="G5392" s="156" t="s">
        <v>8255</v>
      </c>
      <c r="H5392" s="18" t="s">
        <v>8256</v>
      </c>
      <c r="I5392" s="156"/>
      <c r="K5392" s="156" t="s">
        <v>8257</v>
      </c>
      <c r="L5392" s="18" t="s">
        <v>8258</v>
      </c>
      <c r="M5392" s="18" t="s">
        <v>8259</v>
      </c>
      <c r="N5392" s="18">
        <v>0</v>
      </c>
      <c r="O5392" s="18">
        <v>0</v>
      </c>
      <c r="P5392" s="16">
        <v>0</v>
      </c>
      <c r="Q5392" s="16">
        <v>1</v>
      </c>
      <c r="R5392" s="16">
        <v>2</v>
      </c>
      <c r="S5392" s="16">
        <v>3</v>
      </c>
      <c r="T5392" s="18" t="s">
        <v>7852</v>
      </c>
      <c r="U5392" t="str">
        <f>VLOOKUP(T5392,[8]Votes!$A$1:$E$234,3,FALSE)</f>
        <v>131 Auditor General</v>
      </c>
      <c r="V5392" s="18" t="s">
        <v>8260</v>
      </c>
      <c r="W5392" s="48">
        <v>1</v>
      </c>
      <c r="X5392" s="48">
        <v>1</v>
      </c>
      <c r="Y5392" s="48">
        <v>0</v>
      </c>
      <c r="Z5392" s="48">
        <v>1</v>
      </c>
      <c r="AA5392" s="48">
        <v>1</v>
      </c>
      <c r="AB5392" s="48">
        <v>0</v>
      </c>
      <c r="AC5392" s="150">
        <v>1</v>
      </c>
      <c r="AD5392" s="150">
        <v>1</v>
      </c>
      <c r="AE5392" s="49">
        <f t="shared" si="196"/>
        <v>0.75</v>
      </c>
      <c r="AF5392" s="176"/>
      <c r="AG5392" s="17">
        <v>0</v>
      </c>
      <c r="AH5392" s="176">
        <v>0.12</v>
      </c>
      <c r="AI5392" s="176">
        <v>0.19</v>
      </c>
      <c r="AJ5392" s="176">
        <v>0.2</v>
      </c>
      <c r="AK5392" s="384">
        <v>0.22</v>
      </c>
      <c r="AL5392" s="384">
        <v>0.22</v>
      </c>
      <c r="AM5392" s="147">
        <f t="shared" si="195"/>
        <v>0.44</v>
      </c>
      <c r="AN5392" s="18" t="s">
        <v>7852</v>
      </c>
    </row>
    <row r="5393" spans="1:42" s="18" customFormat="1" ht="15" customHeight="1" x14ac:dyDescent="0.3">
      <c r="A5393" s="207" t="s">
        <v>7397</v>
      </c>
      <c r="B5393" s="18" t="s">
        <v>7398</v>
      </c>
      <c r="C5393" s="207" t="s">
        <v>7400</v>
      </c>
      <c r="D5393" s="18" t="s">
        <v>7401</v>
      </c>
      <c r="E5393" s="208" t="s">
        <v>8196</v>
      </c>
      <c r="F5393" s="18" t="s">
        <v>8197</v>
      </c>
      <c r="G5393" s="156" t="s">
        <v>8255</v>
      </c>
      <c r="H5393" s="18" t="s">
        <v>8256</v>
      </c>
      <c r="I5393" s="156"/>
      <c r="K5393" s="156" t="s">
        <v>8257</v>
      </c>
      <c r="L5393" s="18" t="s">
        <v>8258</v>
      </c>
      <c r="M5393" s="18" t="s">
        <v>8261</v>
      </c>
      <c r="N5393" s="18">
        <v>0</v>
      </c>
      <c r="O5393" s="18">
        <v>0</v>
      </c>
      <c r="P5393" s="16">
        <v>2</v>
      </c>
      <c r="Q5393" s="16">
        <v>3</v>
      </c>
      <c r="R5393" s="16">
        <v>4</v>
      </c>
      <c r="S5393" s="16">
        <v>6</v>
      </c>
      <c r="T5393" s="18" t="s">
        <v>7852</v>
      </c>
      <c r="U5393" t="str">
        <f>VLOOKUP(T5393,[8]Votes!$A$1:$E$234,3,FALSE)</f>
        <v>131 Auditor General</v>
      </c>
      <c r="V5393" s="18" t="s">
        <v>8262</v>
      </c>
      <c r="W5393" s="48">
        <v>1</v>
      </c>
      <c r="X5393" s="48">
        <v>1</v>
      </c>
      <c r="Y5393" s="48">
        <v>0</v>
      </c>
      <c r="Z5393" s="48">
        <v>1</v>
      </c>
      <c r="AA5393" s="48">
        <v>1</v>
      </c>
      <c r="AB5393" s="48">
        <v>0</v>
      </c>
      <c r="AC5393" s="150">
        <v>1</v>
      </c>
      <c r="AD5393" s="150">
        <v>1</v>
      </c>
      <c r="AE5393" s="49">
        <f t="shared" si="196"/>
        <v>0.75</v>
      </c>
      <c r="AF5393" s="176"/>
      <c r="AG5393" s="17">
        <v>0</v>
      </c>
      <c r="AH5393" s="176">
        <v>7.0000000000000007E-2</v>
      </c>
      <c r="AI5393" s="176">
        <v>0.09</v>
      </c>
      <c r="AJ5393" s="176">
        <v>0.23</v>
      </c>
      <c r="AK5393" s="384">
        <v>0.17</v>
      </c>
      <c r="AL5393" s="384">
        <v>0.12</v>
      </c>
      <c r="AM5393" s="147">
        <f t="shared" si="195"/>
        <v>0.29000000000000004</v>
      </c>
      <c r="AN5393" s="18" t="s">
        <v>7852</v>
      </c>
    </row>
    <row r="5394" spans="1:42" s="18" customFormat="1" ht="15" customHeight="1" x14ac:dyDescent="0.3">
      <c r="A5394" s="207" t="s">
        <v>7397</v>
      </c>
      <c r="B5394" s="18" t="s">
        <v>7398</v>
      </c>
      <c r="C5394" s="207" t="s">
        <v>7400</v>
      </c>
      <c r="D5394" s="18" t="s">
        <v>7401</v>
      </c>
      <c r="E5394" s="208" t="s">
        <v>8196</v>
      </c>
      <c r="F5394" s="18" t="s">
        <v>8197</v>
      </c>
      <c r="G5394" s="156" t="s">
        <v>8255</v>
      </c>
      <c r="H5394" s="18" t="s">
        <v>8256</v>
      </c>
      <c r="I5394" s="156"/>
      <c r="K5394" s="156" t="s">
        <v>8257</v>
      </c>
      <c r="L5394" s="18" t="s">
        <v>8258</v>
      </c>
      <c r="M5394" s="18" t="s">
        <v>8263</v>
      </c>
      <c r="N5394" s="18">
        <v>0</v>
      </c>
      <c r="O5394" s="18">
        <v>50</v>
      </c>
      <c r="P5394" s="16">
        <v>50</v>
      </c>
      <c r="Q5394" s="16">
        <v>50</v>
      </c>
      <c r="R5394" s="16">
        <v>50</v>
      </c>
      <c r="S5394" s="16">
        <v>50</v>
      </c>
      <c r="T5394" s="18" t="s">
        <v>1446</v>
      </c>
      <c r="U5394" t="str">
        <f>VLOOKUP(T5394,[8]Votes!$A$1:$E$234,3,FALSE)</f>
        <v>141 Uganda Revenue Authority</v>
      </c>
      <c r="V5394" s="18" t="s">
        <v>8264</v>
      </c>
      <c r="W5394" s="48">
        <v>1</v>
      </c>
      <c r="X5394" s="48">
        <v>1</v>
      </c>
      <c r="Y5394" s="48">
        <v>0</v>
      </c>
      <c r="Z5394" s="48">
        <v>1</v>
      </c>
      <c r="AA5394" s="48">
        <v>1</v>
      </c>
      <c r="AB5394" s="48">
        <v>0</v>
      </c>
      <c r="AC5394" s="150">
        <v>1</v>
      </c>
      <c r="AD5394" s="150">
        <v>1</v>
      </c>
      <c r="AE5394" s="49">
        <f t="shared" si="196"/>
        <v>0.75</v>
      </c>
      <c r="AF5394" s="176"/>
      <c r="AG5394" s="17">
        <v>0</v>
      </c>
      <c r="AH5394" s="176">
        <v>0.67</v>
      </c>
      <c r="AI5394" s="176">
        <v>0.67</v>
      </c>
      <c r="AJ5394" s="176">
        <v>0.67</v>
      </c>
      <c r="AK5394" s="177">
        <f>0.67/2</f>
        <v>0.33500000000000002</v>
      </c>
      <c r="AL5394" s="177">
        <f>0.67/2</f>
        <v>0.33500000000000002</v>
      </c>
      <c r="AM5394" s="147">
        <f t="shared" si="195"/>
        <v>0.67</v>
      </c>
      <c r="AN5394" s="18" t="s">
        <v>1446</v>
      </c>
    </row>
    <row r="5395" spans="1:42" s="18" customFormat="1" ht="15" customHeight="1" x14ac:dyDescent="0.3">
      <c r="A5395" s="207" t="s">
        <v>7397</v>
      </c>
      <c r="B5395" s="18" t="s">
        <v>7398</v>
      </c>
      <c r="C5395" s="207" t="s">
        <v>7400</v>
      </c>
      <c r="D5395" s="18" t="s">
        <v>7401</v>
      </c>
      <c r="E5395" s="208" t="s">
        <v>8196</v>
      </c>
      <c r="F5395" s="18" t="s">
        <v>8197</v>
      </c>
      <c r="G5395" s="156" t="s">
        <v>8255</v>
      </c>
      <c r="H5395" s="18" t="s">
        <v>8256</v>
      </c>
      <c r="I5395" s="156"/>
      <c r="K5395" s="156" t="s">
        <v>8257</v>
      </c>
      <c r="L5395" s="18" t="s">
        <v>8258</v>
      </c>
      <c r="P5395" s="16"/>
      <c r="Q5395" s="16"/>
      <c r="R5395" s="16"/>
      <c r="S5395" s="16"/>
      <c r="T5395" s="18" t="s">
        <v>921</v>
      </c>
      <c r="U5395" t="str">
        <f>VLOOKUP(T5395,[8]Votes!$A$1:$E$234,3,FALSE)</f>
        <v>008 Ministry of Finance, Planning &amp; Economic Dev.</v>
      </c>
      <c r="V5395" s="18" t="s">
        <v>8265</v>
      </c>
      <c r="W5395" s="48">
        <v>1</v>
      </c>
      <c r="X5395" s="48">
        <v>1</v>
      </c>
      <c r="Y5395" s="48">
        <v>0</v>
      </c>
      <c r="Z5395" s="48">
        <v>1</v>
      </c>
      <c r="AA5395" s="48">
        <v>1</v>
      </c>
      <c r="AB5395" s="48">
        <v>0</v>
      </c>
      <c r="AC5395" s="150">
        <v>1</v>
      </c>
      <c r="AD5395" s="150">
        <v>1</v>
      </c>
      <c r="AE5395" s="49">
        <f t="shared" si="196"/>
        <v>0.75</v>
      </c>
      <c r="AF5395" s="176"/>
      <c r="AG5395" s="17">
        <v>0</v>
      </c>
      <c r="AH5395" s="176">
        <v>0.28999999999999998</v>
      </c>
      <c r="AI5395" s="176">
        <v>0.28999999999999998</v>
      </c>
      <c r="AJ5395" s="176">
        <v>0.28999999999999998</v>
      </c>
      <c r="AK5395" s="177">
        <f>0.29/2</f>
        <v>0.14499999999999999</v>
      </c>
      <c r="AL5395" s="177">
        <f>0.29/2</f>
        <v>0.14499999999999999</v>
      </c>
      <c r="AM5395" s="147">
        <f t="shared" si="195"/>
        <v>0.28999999999999998</v>
      </c>
      <c r="AN5395" s="18" t="s">
        <v>921</v>
      </c>
    </row>
    <row r="5396" spans="1:42" s="18" customFormat="1" ht="15" customHeight="1" x14ac:dyDescent="0.3">
      <c r="A5396" s="207" t="s">
        <v>7397</v>
      </c>
      <c r="B5396" s="18" t="s">
        <v>7398</v>
      </c>
      <c r="C5396" s="207" t="s">
        <v>7400</v>
      </c>
      <c r="D5396" s="18" t="s">
        <v>7401</v>
      </c>
      <c r="E5396" s="208" t="s">
        <v>8196</v>
      </c>
      <c r="F5396" s="18" t="s">
        <v>8197</v>
      </c>
      <c r="G5396" s="156" t="s">
        <v>8255</v>
      </c>
      <c r="H5396" s="18" t="s">
        <v>8256</v>
      </c>
      <c r="I5396" s="156"/>
      <c r="K5396" s="156" t="s">
        <v>8266</v>
      </c>
      <c r="L5396" s="18" t="s">
        <v>8267</v>
      </c>
      <c r="M5396" s="18" t="s">
        <v>8268</v>
      </c>
      <c r="N5396" s="18">
        <v>0</v>
      </c>
      <c r="O5396" s="18">
        <v>15</v>
      </c>
      <c r="P5396" s="16">
        <v>15</v>
      </c>
      <c r="Q5396" s="16">
        <v>15</v>
      </c>
      <c r="R5396" s="16">
        <v>15</v>
      </c>
      <c r="S5396" s="16">
        <v>15</v>
      </c>
      <c r="T5396" s="18" t="s">
        <v>921</v>
      </c>
      <c r="U5396" t="str">
        <f>VLOOKUP(T5396,[8]Votes!$A$1:$E$234,3,FALSE)</f>
        <v>008 Ministry of Finance, Planning &amp; Economic Dev.</v>
      </c>
      <c r="W5396" s="48"/>
      <c r="X5396" s="48"/>
      <c r="Y5396" s="48"/>
      <c r="Z5396" s="48"/>
      <c r="AA5396" s="48"/>
      <c r="AB5396" s="48"/>
      <c r="AC5396" s="150">
        <v>0</v>
      </c>
      <c r="AD5396" s="150">
        <v>0</v>
      </c>
      <c r="AE5396" s="49">
        <f t="shared" si="196"/>
        <v>0</v>
      </c>
      <c r="AF5396" s="17"/>
      <c r="AG5396" s="17">
        <v>0</v>
      </c>
      <c r="AH5396" s="17"/>
      <c r="AI5396" s="17"/>
      <c r="AJ5396" s="17"/>
      <c r="AK5396" s="154"/>
      <c r="AL5396" s="154"/>
      <c r="AM5396" s="147">
        <f t="shared" si="195"/>
        <v>0</v>
      </c>
    </row>
    <row r="5397" spans="1:42" s="18" customFormat="1" ht="15" customHeight="1" x14ac:dyDescent="0.3">
      <c r="A5397" s="207" t="s">
        <v>7397</v>
      </c>
      <c r="B5397" s="18" t="s">
        <v>7398</v>
      </c>
      <c r="C5397" s="207" t="s">
        <v>7400</v>
      </c>
      <c r="D5397" s="18" t="s">
        <v>7401</v>
      </c>
      <c r="E5397" s="208" t="s">
        <v>8196</v>
      </c>
      <c r="F5397" s="18" t="s">
        <v>8197</v>
      </c>
      <c r="G5397" s="156" t="s">
        <v>8255</v>
      </c>
      <c r="H5397" s="18" t="s">
        <v>8256</v>
      </c>
      <c r="I5397" s="156"/>
      <c r="K5397" s="156" t="s">
        <v>8266</v>
      </c>
      <c r="L5397" s="18" t="s">
        <v>8267</v>
      </c>
      <c r="M5397" s="18" t="s">
        <v>8269</v>
      </c>
      <c r="N5397" s="18">
        <v>0</v>
      </c>
      <c r="O5397" s="18">
        <v>20</v>
      </c>
      <c r="P5397" s="16">
        <v>30</v>
      </c>
      <c r="Q5397" s="16">
        <v>40</v>
      </c>
      <c r="R5397" s="16">
        <v>50</v>
      </c>
      <c r="S5397" s="16">
        <v>60</v>
      </c>
      <c r="T5397" s="18" t="s">
        <v>921</v>
      </c>
      <c r="U5397" t="str">
        <f>VLOOKUP(T5397,[8]Votes!$A$1:$E$234,3,FALSE)</f>
        <v>008 Ministry of Finance, Planning &amp; Economic Dev.</v>
      </c>
      <c r="W5397" s="48"/>
      <c r="X5397" s="48"/>
      <c r="Y5397" s="48"/>
      <c r="Z5397" s="48"/>
      <c r="AA5397" s="48"/>
      <c r="AB5397" s="48"/>
      <c r="AC5397" s="150">
        <v>0</v>
      </c>
      <c r="AD5397" s="150">
        <v>0</v>
      </c>
      <c r="AE5397" s="49">
        <f t="shared" si="196"/>
        <v>0</v>
      </c>
      <c r="AF5397" s="17"/>
      <c r="AG5397" s="17">
        <v>0</v>
      </c>
      <c r="AH5397" s="17"/>
      <c r="AI5397" s="17"/>
      <c r="AJ5397" s="17"/>
      <c r="AK5397" s="154"/>
      <c r="AL5397" s="154"/>
      <c r="AM5397" s="147">
        <f t="shared" si="195"/>
        <v>0</v>
      </c>
    </row>
    <row r="5398" spans="1:42" s="18" customFormat="1" ht="15" customHeight="1" x14ac:dyDescent="0.3">
      <c r="A5398" s="207" t="s">
        <v>7397</v>
      </c>
      <c r="B5398" s="18" t="s">
        <v>7398</v>
      </c>
      <c r="C5398" s="207" t="s">
        <v>7400</v>
      </c>
      <c r="D5398" s="18" t="s">
        <v>7401</v>
      </c>
      <c r="E5398" s="208" t="s">
        <v>8196</v>
      </c>
      <c r="F5398" s="18" t="s">
        <v>8197</v>
      </c>
      <c r="G5398" s="156" t="s">
        <v>8270</v>
      </c>
      <c r="H5398" s="18" t="s">
        <v>8271</v>
      </c>
      <c r="I5398" s="156"/>
      <c r="K5398" s="156" t="s">
        <v>8272</v>
      </c>
      <c r="L5398" s="18" t="s">
        <v>8273</v>
      </c>
      <c r="M5398" s="18" t="s">
        <v>8274</v>
      </c>
      <c r="N5398" s="18">
        <v>1</v>
      </c>
      <c r="O5398" s="18">
        <v>1</v>
      </c>
      <c r="P5398" s="16">
        <v>1</v>
      </c>
      <c r="Q5398" s="16">
        <v>1</v>
      </c>
      <c r="R5398" s="16">
        <v>1</v>
      </c>
      <c r="S5398" s="16">
        <v>1</v>
      </c>
      <c r="T5398" s="18" t="s">
        <v>1167</v>
      </c>
      <c r="U5398" t="str">
        <f>VLOOKUP(T5398,[8]Votes!$A$1:$E$234,3,FALSE)</f>
        <v>003 Office of the Prime Minister</v>
      </c>
      <c r="V5398" s="18" t="s">
        <v>8275</v>
      </c>
      <c r="W5398" s="48">
        <v>1</v>
      </c>
      <c r="X5398" s="48">
        <v>0</v>
      </c>
      <c r="Y5398" s="48">
        <v>0</v>
      </c>
      <c r="Z5398" s="48">
        <v>1</v>
      </c>
      <c r="AA5398" s="48">
        <v>1</v>
      </c>
      <c r="AB5398" s="48">
        <v>0</v>
      </c>
      <c r="AC5398" s="150">
        <v>0</v>
      </c>
      <c r="AD5398" s="150">
        <v>1</v>
      </c>
      <c r="AE5398" s="49">
        <f t="shared" si="196"/>
        <v>0.5</v>
      </c>
      <c r="AF5398" s="176"/>
      <c r="AG5398" s="17">
        <v>0</v>
      </c>
      <c r="AH5398" s="176">
        <v>0</v>
      </c>
      <c r="AI5398" s="176">
        <v>0.15</v>
      </c>
      <c r="AJ5398" s="176">
        <v>0</v>
      </c>
      <c r="AK5398" s="177">
        <v>0</v>
      </c>
      <c r="AL5398" s="177">
        <v>0</v>
      </c>
      <c r="AM5398" s="147">
        <f t="shared" si="195"/>
        <v>0</v>
      </c>
      <c r="AN5398" s="18" t="s">
        <v>1167</v>
      </c>
    </row>
    <row r="5399" spans="1:42" s="18" customFormat="1" ht="15" customHeight="1" x14ac:dyDescent="0.3">
      <c r="A5399" s="207" t="s">
        <v>7397</v>
      </c>
      <c r="B5399" s="18" t="s">
        <v>7398</v>
      </c>
      <c r="C5399" s="207" t="s">
        <v>7400</v>
      </c>
      <c r="D5399" s="18" t="s">
        <v>7401</v>
      </c>
      <c r="E5399" s="208" t="s">
        <v>8196</v>
      </c>
      <c r="F5399" s="18" t="s">
        <v>8197</v>
      </c>
      <c r="G5399" s="156" t="s">
        <v>8270</v>
      </c>
      <c r="H5399" s="18" t="s">
        <v>8271</v>
      </c>
      <c r="I5399" s="156"/>
      <c r="K5399" s="156" t="s">
        <v>8276</v>
      </c>
      <c r="L5399" s="18" t="s">
        <v>8277</v>
      </c>
      <c r="M5399" s="18" t="s">
        <v>8278</v>
      </c>
      <c r="N5399" s="18">
        <v>0</v>
      </c>
      <c r="O5399" s="18">
        <v>5</v>
      </c>
      <c r="P5399" s="16">
        <v>5</v>
      </c>
      <c r="Q5399" s="16">
        <v>5</v>
      </c>
      <c r="R5399" s="16">
        <v>5</v>
      </c>
      <c r="S5399" s="16">
        <v>5</v>
      </c>
      <c r="T5399" s="18" t="s">
        <v>921</v>
      </c>
      <c r="U5399" t="str">
        <f>VLOOKUP(T5399,[8]Votes!$A$1:$E$234,3,FALSE)</f>
        <v>008 Ministry of Finance, Planning &amp; Economic Dev.</v>
      </c>
      <c r="V5399" s="18" t="s">
        <v>8279</v>
      </c>
      <c r="W5399" s="48">
        <v>1</v>
      </c>
      <c r="X5399" s="48">
        <v>0</v>
      </c>
      <c r="Y5399" s="48">
        <v>1</v>
      </c>
      <c r="Z5399" s="48">
        <v>1</v>
      </c>
      <c r="AA5399" s="48">
        <v>1</v>
      </c>
      <c r="AB5399" s="48">
        <v>0</v>
      </c>
      <c r="AC5399" s="150">
        <v>1</v>
      </c>
      <c r="AD5399" s="150">
        <v>1</v>
      </c>
      <c r="AE5399" s="49">
        <f t="shared" si="196"/>
        <v>0.75</v>
      </c>
      <c r="AF5399" s="255"/>
      <c r="AG5399" s="17">
        <v>0</v>
      </c>
      <c r="AH5399" s="255">
        <v>0.10150000000000001</v>
      </c>
      <c r="AI5399" s="255">
        <v>0.10150000000000001</v>
      </c>
      <c r="AJ5399" s="255">
        <v>0.10150000000000001</v>
      </c>
      <c r="AK5399" s="383">
        <v>0.10150000000000001</v>
      </c>
      <c r="AL5399" s="383">
        <v>0.10150000000000001</v>
      </c>
      <c r="AM5399" s="147">
        <f t="shared" si="195"/>
        <v>0.20300000000000001</v>
      </c>
      <c r="AN5399" s="18" t="s">
        <v>921</v>
      </c>
      <c r="AO5399" s="18" t="s">
        <v>880</v>
      </c>
    </row>
    <row r="5400" spans="1:42" s="18" customFormat="1" ht="15" customHeight="1" x14ac:dyDescent="0.3">
      <c r="A5400" s="207" t="s">
        <v>7397</v>
      </c>
      <c r="B5400" s="18" t="s">
        <v>7398</v>
      </c>
      <c r="C5400" s="207" t="s">
        <v>7400</v>
      </c>
      <c r="D5400" s="18" t="s">
        <v>7401</v>
      </c>
      <c r="E5400" s="208" t="s">
        <v>8196</v>
      </c>
      <c r="F5400" s="18" t="s">
        <v>8197</v>
      </c>
      <c r="G5400" s="156" t="s">
        <v>8270</v>
      </c>
      <c r="H5400" s="18" t="s">
        <v>8271</v>
      </c>
      <c r="I5400" s="156"/>
      <c r="K5400" s="156" t="s">
        <v>8276</v>
      </c>
      <c r="L5400" s="18" t="s">
        <v>8277</v>
      </c>
      <c r="P5400" s="16"/>
      <c r="Q5400" s="16"/>
      <c r="R5400" s="16"/>
      <c r="S5400" s="16"/>
      <c r="T5400" s="18" t="s">
        <v>921</v>
      </c>
      <c r="U5400" t="str">
        <f>VLOOKUP(T5400,[8]Votes!$A$1:$E$234,3,FALSE)</f>
        <v>008 Ministry of Finance, Planning &amp; Economic Dev.</v>
      </c>
      <c r="V5400" s="18" t="s">
        <v>8280</v>
      </c>
      <c r="W5400" s="48">
        <v>1</v>
      </c>
      <c r="X5400" s="48">
        <v>1</v>
      </c>
      <c r="Y5400" s="48">
        <v>1</v>
      </c>
      <c r="Z5400" s="48">
        <v>1</v>
      </c>
      <c r="AA5400" s="48">
        <v>1</v>
      </c>
      <c r="AB5400" s="48">
        <v>0</v>
      </c>
      <c r="AC5400" s="150">
        <v>1</v>
      </c>
      <c r="AD5400" s="150">
        <v>1</v>
      </c>
      <c r="AE5400" s="49">
        <f t="shared" si="196"/>
        <v>0.875</v>
      </c>
      <c r="AF5400" s="176"/>
      <c r="AG5400" s="17">
        <v>0</v>
      </c>
      <c r="AH5400" s="176">
        <v>0.1</v>
      </c>
      <c r="AI5400" s="176">
        <v>0.1</v>
      </c>
      <c r="AJ5400" s="176">
        <v>0.1</v>
      </c>
      <c r="AK5400" s="384">
        <v>0.2</v>
      </c>
      <c r="AL5400" s="384">
        <v>0.2</v>
      </c>
      <c r="AM5400" s="147">
        <f t="shared" si="195"/>
        <v>0.4</v>
      </c>
      <c r="AN5400" s="18" t="s">
        <v>921</v>
      </c>
      <c r="AO5400" s="18" t="s">
        <v>880</v>
      </c>
    </row>
    <row r="5401" spans="1:42" s="18" customFormat="1" ht="15" customHeight="1" x14ac:dyDescent="0.3">
      <c r="A5401" s="207" t="s">
        <v>7397</v>
      </c>
      <c r="B5401" s="18" t="s">
        <v>7398</v>
      </c>
      <c r="C5401" s="207" t="s">
        <v>7400</v>
      </c>
      <c r="D5401" s="18" t="s">
        <v>7401</v>
      </c>
      <c r="E5401" s="208" t="s">
        <v>8196</v>
      </c>
      <c r="F5401" s="18" t="s">
        <v>8197</v>
      </c>
      <c r="G5401" s="156" t="s">
        <v>8281</v>
      </c>
      <c r="H5401" s="18" t="s">
        <v>8282</v>
      </c>
      <c r="I5401" s="156"/>
      <c r="K5401" s="156" t="s">
        <v>8283</v>
      </c>
      <c r="L5401" s="18" t="s">
        <v>8284</v>
      </c>
      <c r="M5401" s="18" t="s">
        <v>8285</v>
      </c>
      <c r="N5401" s="18">
        <v>20</v>
      </c>
      <c r="O5401" s="18">
        <v>30</v>
      </c>
      <c r="P5401" s="16">
        <v>50</v>
      </c>
      <c r="Q5401" s="16">
        <v>70</v>
      </c>
      <c r="R5401" s="16">
        <v>85</v>
      </c>
      <c r="S5401" s="16">
        <v>100</v>
      </c>
      <c r="T5401" s="18" t="s">
        <v>1167</v>
      </c>
      <c r="U5401" t="str">
        <f>VLOOKUP(T5401,[8]Votes!$A$1:$E$234,3,FALSE)</f>
        <v>003 Office of the Prime Minister</v>
      </c>
      <c r="V5401" s="18" t="s">
        <v>8286</v>
      </c>
      <c r="W5401" s="48">
        <v>1</v>
      </c>
      <c r="X5401" s="48">
        <v>1</v>
      </c>
      <c r="Y5401" s="48">
        <v>0</v>
      </c>
      <c r="Z5401" s="48">
        <v>1</v>
      </c>
      <c r="AA5401" s="48">
        <v>1</v>
      </c>
      <c r="AB5401" s="48">
        <v>0</v>
      </c>
      <c r="AC5401" s="150">
        <v>1</v>
      </c>
      <c r="AD5401" s="150">
        <v>1</v>
      </c>
      <c r="AE5401" s="49">
        <f t="shared" si="196"/>
        <v>0.75</v>
      </c>
      <c r="AF5401" s="255"/>
      <c r="AG5401" s="17">
        <v>0</v>
      </c>
      <c r="AH5401" s="255">
        <v>0.14499999999999999</v>
      </c>
      <c r="AI5401" s="255">
        <v>0.14499999999999999</v>
      </c>
      <c r="AJ5401" s="255">
        <v>0.14499999999999999</v>
      </c>
      <c r="AK5401" s="256">
        <f>2.65/2</f>
        <v>1.325</v>
      </c>
      <c r="AL5401" s="256">
        <f>2.65/2</f>
        <v>1.325</v>
      </c>
      <c r="AM5401" s="147">
        <f t="shared" si="195"/>
        <v>2.65</v>
      </c>
      <c r="AN5401" s="18" t="s">
        <v>1167</v>
      </c>
      <c r="AO5401" s="18" t="s">
        <v>1170</v>
      </c>
    </row>
    <row r="5402" spans="1:42" s="18" customFormat="1" ht="15" customHeight="1" x14ac:dyDescent="0.3">
      <c r="A5402" s="207" t="s">
        <v>7397</v>
      </c>
      <c r="B5402" s="18" t="s">
        <v>7398</v>
      </c>
      <c r="C5402" s="207" t="s">
        <v>7400</v>
      </c>
      <c r="D5402" s="18" t="s">
        <v>7401</v>
      </c>
      <c r="E5402" s="208" t="s">
        <v>8196</v>
      </c>
      <c r="F5402" s="18" t="s">
        <v>8197</v>
      </c>
      <c r="G5402" s="156" t="s">
        <v>8281</v>
      </c>
      <c r="H5402" s="18" t="s">
        <v>8282</v>
      </c>
      <c r="I5402" s="156"/>
      <c r="K5402" s="156" t="s">
        <v>8283</v>
      </c>
      <c r="L5402" s="18" t="s">
        <v>8284</v>
      </c>
      <c r="M5402" s="18" t="s">
        <v>8287</v>
      </c>
      <c r="N5402" s="18">
        <v>0</v>
      </c>
      <c r="O5402" s="18">
        <v>20</v>
      </c>
      <c r="P5402" s="16">
        <v>40</v>
      </c>
      <c r="Q5402" s="16">
        <v>60</v>
      </c>
      <c r="R5402" s="16">
        <v>80</v>
      </c>
      <c r="S5402" s="16">
        <v>100</v>
      </c>
      <c r="T5402" s="18" t="s">
        <v>2172</v>
      </c>
      <c r="U5402" t="str">
        <f>VLOOKUP(T5402,[8]Votes!$A$1:$E$234,3,FALSE)</f>
        <v>005 Ministry of Public Service</v>
      </c>
      <c r="W5402" s="48"/>
      <c r="X5402" s="48"/>
      <c r="Y5402" s="48"/>
      <c r="Z5402" s="48"/>
      <c r="AA5402" s="48"/>
      <c r="AB5402" s="48"/>
      <c r="AC5402" s="150">
        <v>0</v>
      </c>
      <c r="AD5402" s="150">
        <v>0</v>
      </c>
      <c r="AE5402" s="49">
        <f t="shared" si="196"/>
        <v>0</v>
      </c>
      <c r="AF5402" s="17"/>
      <c r="AG5402" s="17">
        <v>0</v>
      </c>
      <c r="AH5402" s="17"/>
      <c r="AI5402" s="17"/>
      <c r="AJ5402" s="17"/>
      <c r="AK5402" s="154"/>
      <c r="AL5402" s="154"/>
      <c r="AM5402" s="147">
        <f t="shared" si="195"/>
        <v>0</v>
      </c>
    </row>
    <row r="5403" spans="1:42" s="18" customFormat="1" ht="15" customHeight="1" x14ac:dyDescent="0.3">
      <c r="A5403" s="207" t="s">
        <v>7397</v>
      </c>
      <c r="B5403" s="18" t="s">
        <v>7398</v>
      </c>
      <c r="C5403" s="207" t="s">
        <v>7400</v>
      </c>
      <c r="D5403" s="18" t="s">
        <v>7401</v>
      </c>
      <c r="E5403" s="208" t="s">
        <v>8196</v>
      </c>
      <c r="F5403" s="18" t="s">
        <v>8197</v>
      </c>
      <c r="G5403" s="156" t="s">
        <v>8281</v>
      </c>
      <c r="H5403" s="18" t="s">
        <v>8282</v>
      </c>
      <c r="I5403" s="156"/>
      <c r="K5403" s="156" t="s">
        <v>8288</v>
      </c>
      <c r="L5403" s="18" t="s">
        <v>8289</v>
      </c>
      <c r="M5403" s="18" t="s">
        <v>8290</v>
      </c>
      <c r="N5403" s="18">
        <v>0</v>
      </c>
      <c r="O5403" s="18">
        <v>0</v>
      </c>
      <c r="P5403" s="16">
        <v>1</v>
      </c>
      <c r="Q5403" s="16">
        <v>0</v>
      </c>
      <c r="R5403" s="16">
        <v>0</v>
      </c>
      <c r="S5403" s="16">
        <v>0</v>
      </c>
      <c r="T5403" s="18" t="s">
        <v>2172</v>
      </c>
      <c r="U5403" t="str">
        <f>VLOOKUP(T5403,[8]Votes!$A$1:$E$234,3,FALSE)</f>
        <v>005 Ministry of Public Service</v>
      </c>
      <c r="V5403" s="18" t="s">
        <v>8291</v>
      </c>
      <c r="W5403" s="48">
        <v>1</v>
      </c>
      <c r="X5403" s="48">
        <v>0</v>
      </c>
      <c r="Y5403" s="48">
        <v>0</v>
      </c>
      <c r="Z5403" s="48">
        <v>1</v>
      </c>
      <c r="AA5403" s="48">
        <v>1</v>
      </c>
      <c r="AB5403" s="48">
        <v>1</v>
      </c>
      <c r="AC5403" s="150">
        <v>1</v>
      </c>
      <c r="AD5403" s="150">
        <v>1</v>
      </c>
      <c r="AE5403" s="49">
        <f t="shared" si="196"/>
        <v>0.75</v>
      </c>
      <c r="AF5403" s="176"/>
      <c r="AG5403" s="17">
        <v>0</v>
      </c>
      <c r="AH5403" s="176">
        <v>0</v>
      </c>
      <c r="AI5403" s="176">
        <v>0.44</v>
      </c>
      <c r="AJ5403" s="176">
        <v>0</v>
      </c>
      <c r="AK5403" s="384">
        <v>0.75800000000000001</v>
      </c>
      <c r="AL5403" s="384">
        <v>0.49</v>
      </c>
      <c r="AM5403" s="147">
        <f t="shared" si="195"/>
        <v>1.248</v>
      </c>
      <c r="AN5403" s="18" t="s">
        <v>2172</v>
      </c>
    </row>
    <row r="5404" spans="1:42" s="18" customFormat="1" ht="15" customHeight="1" x14ac:dyDescent="0.3">
      <c r="A5404" s="207" t="s">
        <v>7397</v>
      </c>
      <c r="B5404" s="18" t="s">
        <v>7398</v>
      </c>
      <c r="C5404" s="207" t="s">
        <v>7400</v>
      </c>
      <c r="D5404" s="18" t="s">
        <v>7401</v>
      </c>
      <c r="E5404" s="208" t="s">
        <v>8196</v>
      </c>
      <c r="F5404" s="18" t="s">
        <v>8197</v>
      </c>
      <c r="G5404" s="156" t="s">
        <v>8281</v>
      </c>
      <c r="H5404" s="18" t="s">
        <v>8282</v>
      </c>
      <c r="I5404" s="156"/>
      <c r="K5404" s="156" t="s">
        <v>8292</v>
      </c>
      <c r="L5404" s="18" t="s">
        <v>8293</v>
      </c>
      <c r="M5404" s="18" t="s">
        <v>8294</v>
      </c>
      <c r="N5404" s="18">
        <v>0</v>
      </c>
      <c r="O5404" s="18">
        <v>35</v>
      </c>
      <c r="P5404" s="16">
        <v>47</v>
      </c>
      <c r="Q5404" s="16">
        <v>63</v>
      </c>
      <c r="R5404" s="16">
        <v>80</v>
      </c>
      <c r="S5404" s="16">
        <v>100</v>
      </c>
      <c r="T5404" s="18" t="s">
        <v>2172</v>
      </c>
      <c r="U5404" t="str">
        <f>VLOOKUP(T5404,[8]Votes!$A$1:$E$234,3,FALSE)</f>
        <v>005 Ministry of Public Service</v>
      </c>
      <c r="V5404" s="18" t="s">
        <v>8295</v>
      </c>
      <c r="W5404" s="48">
        <v>1</v>
      </c>
      <c r="X5404" s="48">
        <v>0</v>
      </c>
      <c r="Y5404" s="48">
        <v>0</v>
      </c>
      <c r="Z5404" s="48">
        <v>1</v>
      </c>
      <c r="AA5404" s="48">
        <v>0</v>
      </c>
      <c r="AB5404" s="48">
        <v>0</v>
      </c>
      <c r="AC5404" s="150">
        <v>0</v>
      </c>
      <c r="AD5404" s="150">
        <v>1</v>
      </c>
      <c r="AE5404" s="49">
        <f t="shared" si="196"/>
        <v>0.375</v>
      </c>
      <c r="AF5404" s="255"/>
      <c r="AG5404" s="17">
        <v>0</v>
      </c>
      <c r="AH5404" s="255">
        <v>0</v>
      </c>
      <c r="AI5404" s="255">
        <v>61.595999999999997</v>
      </c>
      <c r="AJ5404" s="255">
        <v>20.532</v>
      </c>
      <c r="AK5404" s="256">
        <v>0</v>
      </c>
      <c r="AL5404" s="256">
        <v>0</v>
      </c>
      <c r="AM5404" s="147">
        <f t="shared" si="195"/>
        <v>0</v>
      </c>
      <c r="AN5404" s="18" t="s">
        <v>2172</v>
      </c>
      <c r="AO5404" s="18" t="s">
        <v>2236</v>
      </c>
      <c r="AP5404" s="18" t="s">
        <v>8296</v>
      </c>
    </row>
    <row r="5405" spans="1:42" s="18" customFormat="1" ht="15" customHeight="1" x14ac:dyDescent="0.3">
      <c r="A5405" s="207" t="s">
        <v>7397</v>
      </c>
      <c r="B5405" s="18" t="s">
        <v>7398</v>
      </c>
      <c r="C5405" s="207" t="s">
        <v>7400</v>
      </c>
      <c r="D5405" s="18" t="s">
        <v>7401</v>
      </c>
      <c r="E5405" s="208" t="s">
        <v>8196</v>
      </c>
      <c r="F5405" s="18" t="s">
        <v>8197</v>
      </c>
      <c r="G5405" s="156" t="s">
        <v>8281</v>
      </c>
      <c r="H5405" s="18" t="s">
        <v>8282</v>
      </c>
      <c r="I5405" s="156"/>
      <c r="K5405" s="156" t="s">
        <v>8297</v>
      </c>
      <c r="L5405" s="18" t="s">
        <v>8298</v>
      </c>
      <c r="M5405" s="18" t="s">
        <v>8299</v>
      </c>
      <c r="N5405" s="18">
        <v>2</v>
      </c>
      <c r="O5405" s="18">
        <v>2</v>
      </c>
      <c r="P5405" s="16">
        <v>2</v>
      </c>
      <c r="Q5405" s="16">
        <v>2</v>
      </c>
      <c r="R5405" s="16">
        <v>2</v>
      </c>
      <c r="S5405" s="16">
        <v>2</v>
      </c>
      <c r="T5405" s="18" t="s">
        <v>6300</v>
      </c>
      <c r="U5405" t="s">
        <v>6301</v>
      </c>
      <c r="V5405" s="18" t="s">
        <v>8300</v>
      </c>
      <c r="W5405" s="48">
        <v>1</v>
      </c>
      <c r="X5405" s="48">
        <v>1</v>
      </c>
      <c r="Y5405" s="48">
        <v>0</v>
      </c>
      <c r="Z5405" s="48">
        <v>1</v>
      </c>
      <c r="AA5405" s="48">
        <v>1</v>
      </c>
      <c r="AB5405" s="48">
        <v>0</v>
      </c>
      <c r="AC5405" s="150">
        <v>1</v>
      </c>
      <c r="AD5405" s="150">
        <v>1</v>
      </c>
      <c r="AE5405" s="49">
        <f t="shared" si="196"/>
        <v>0.75</v>
      </c>
      <c r="AF5405" s="255"/>
      <c r="AG5405" s="17">
        <v>0</v>
      </c>
      <c r="AH5405" s="255">
        <v>2.8999999999999998E-2</v>
      </c>
      <c r="AI5405" s="255">
        <v>2.8999999999999998E-2</v>
      </c>
      <c r="AJ5405" s="255">
        <v>2.8999999999999998E-2</v>
      </c>
      <c r="AK5405" s="256">
        <v>0</v>
      </c>
      <c r="AL5405" s="256">
        <v>0</v>
      </c>
      <c r="AM5405" s="147">
        <f t="shared" si="195"/>
        <v>0</v>
      </c>
      <c r="AN5405" s="18" t="s">
        <v>6300</v>
      </c>
      <c r="AO5405" s="18" t="s">
        <v>6301</v>
      </c>
      <c r="AP5405" s="18" t="s">
        <v>280</v>
      </c>
    </row>
    <row r="5406" spans="1:42" s="18" customFormat="1" ht="15" customHeight="1" x14ac:dyDescent="0.3">
      <c r="A5406" s="207" t="s">
        <v>7397</v>
      </c>
      <c r="B5406" s="18" t="s">
        <v>7398</v>
      </c>
      <c r="C5406" s="207" t="s">
        <v>7400</v>
      </c>
      <c r="D5406" s="18" t="s">
        <v>7401</v>
      </c>
      <c r="E5406" s="208" t="s">
        <v>8196</v>
      </c>
      <c r="F5406" s="18" t="s">
        <v>8197</v>
      </c>
      <c r="G5406" s="156" t="s">
        <v>8281</v>
      </c>
      <c r="H5406" s="18" t="s">
        <v>8282</v>
      </c>
      <c r="I5406" s="156"/>
      <c r="K5406" s="156" t="s">
        <v>8301</v>
      </c>
      <c r="L5406" s="18" t="s">
        <v>8302</v>
      </c>
      <c r="M5406" s="18" t="s">
        <v>8303</v>
      </c>
      <c r="N5406" s="18">
        <v>0</v>
      </c>
      <c r="O5406" s="18">
        <v>10</v>
      </c>
      <c r="P5406" s="16">
        <v>10</v>
      </c>
      <c r="Q5406" s="16">
        <v>10</v>
      </c>
      <c r="R5406" s="16">
        <v>10</v>
      </c>
      <c r="S5406" s="16">
        <v>10</v>
      </c>
      <c r="T5406" s="18" t="s">
        <v>1446</v>
      </c>
      <c r="U5406" t="str">
        <f>VLOOKUP(T5406,[8]Votes!$A$1:$E$234,3,FALSE)</f>
        <v>141 Uganda Revenue Authority</v>
      </c>
      <c r="V5406" s="18" t="s">
        <v>8304</v>
      </c>
      <c r="W5406" s="48">
        <v>1</v>
      </c>
      <c r="X5406" s="48">
        <v>1</v>
      </c>
      <c r="Y5406" s="48">
        <v>0</v>
      </c>
      <c r="Z5406" s="48">
        <v>1</v>
      </c>
      <c r="AA5406" s="48">
        <v>1</v>
      </c>
      <c r="AB5406" s="48">
        <v>0</v>
      </c>
      <c r="AC5406" s="150">
        <v>1</v>
      </c>
      <c r="AD5406" s="150">
        <v>1</v>
      </c>
      <c r="AE5406" s="49">
        <f t="shared" si="196"/>
        <v>0.75</v>
      </c>
      <c r="AF5406" s="255"/>
      <c r="AG5406" s="17">
        <v>0</v>
      </c>
      <c r="AH5406" s="255">
        <v>0.1885</v>
      </c>
      <c r="AI5406" s="255">
        <v>0.377</v>
      </c>
      <c r="AJ5406" s="255">
        <v>0.377</v>
      </c>
      <c r="AK5406" s="256">
        <f>0.377/2</f>
        <v>0.1885</v>
      </c>
      <c r="AL5406" s="256">
        <f>0.377/2</f>
        <v>0.1885</v>
      </c>
      <c r="AM5406" s="147">
        <f t="shared" si="195"/>
        <v>0.377</v>
      </c>
      <c r="AN5406" s="18" t="s">
        <v>1446</v>
      </c>
      <c r="AO5406" s="18" t="s">
        <v>3715</v>
      </c>
    </row>
    <row r="5407" spans="1:42" s="18" customFormat="1" ht="15" customHeight="1" x14ac:dyDescent="0.3">
      <c r="A5407" s="207" t="s">
        <v>7397</v>
      </c>
      <c r="B5407" s="18" t="s">
        <v>7398</v>
      </c>
      <c r="C5407" s="207" t="s">
        <v>7400</v>
      </c>
      <c r="D5407" s="18" t="s">
        <v>7401</v>
      </c>
      <c r="E5407" s="208" t="s">
        <v>8196</v>
      </c>
      <c r="F5407" s="18" t="s">
        <v>8197</v>
      </c>
      <c r="G5407" s="156" t="s">
        <v>8281</v>
      </c>
      <c r="H5407" s="18" t="s">
        <v>8282</v>
      </c>
      <c r="I5407" s="156"/>
      <c r="K5407" s="156" t="s">
        <v>8305</v>
      </c>
      <c r="L5407" s="18" t="s">
        <v>8306</v>
      </c>
      <c r="M5407" s="18" t="s">
        <v>8307</v>
      </c>
      <c r="N5407" s="18">
        <v>1</v>
      </c>
      <c r="O5407" s="18">
        <v>1</v>
      </c>
      <c r="P5407" s="16">
        <v>1</v>
      </c>
      <c r="Q5407" s="16">
        <v>1</v>
      </c>
      <c r="R5407" s="16">
        <v>1</v>
      </c>
      <c r="S5407" s="16">
        <v>1</v>
      </c>
      <c r="T5407" s="18" t="s">
        <v>1167</v>
      </c>
      <c r="U5407" t="str">
        <f>VLOOKUP(T5407,[8]Votes!$A$1:$E$234,3,FALSE)</f>
        <v>003 Office of the Prime Minister</v>
      </c>
      <c r="V5407" s="18" t="s">
        <v>8308</v>
      </c>
      <c r="W5407" s="48">
        <v>1</v>
      </c>
      <c r="X5407" s="48">
        <v>1</v>
      </c>
      <c r="Y5407" s="48">
        <v>0</v>
      </c>
      <c r="Z5407" s="48">
        <v>1</v>
      </c>
      <c r="AA5407" s="48">
        <v>1</v>
      </c>
      <c r="AB5407" s="48">
        <v>0</v>
      </c>
      <c r="AC5407" s="150">
        <v>1</v>
      </c>
      <c r="AD5407" s="150">
        <v>1</v>
      </c>
      <c r="AE5407" s="49">
        <f t="shared" si="196"/>
        <v>0.75</v>
      </c>
      <c r="AF5407" s="176"/>
      <c r="AG5407" s="17">
        <v>0</v>
      </c>
      <c r="AH5407" s="176">
        <v>0</v>
      </c>
      <c r="AI5407" s="176">
        <v>0</v>
      </c>
      <c r="AJ5407" s="176">
        <v>0</v>
      </c>
      <c r="AK5407" s="177">
        <f>4/2</f>
        <v>2</v>
      </c>
      <c r="AL5407" s="177">
        <f>4/2</f>
        <v>2</v>
      </c>
      <c r="AM5407" s="147">
        <f t="shared" si="195"/>
        <v>4</v>
      </c>
      <c r="AN5407" s="18" t="s">
        <v>1167</v>
      </c>
    </row>
    <row r="5408" spans="1:42" s="18" customFormat="1" ht="15" customHeight="1" x14ac:dyDescent="0.3">
      <c r="A5408" s="207" t="s">
        <v>7397</v>
      </c>
      <c r="B5408" s="18" t="s">
        <v>7398</v>
      </c>
      <c r="C5408" s="207" t="s">
        <v>7400</v>
      </c>
      <c r="D5408" s="18" t="s">
        <v>7401</v>
      </c>
      <c r="E5408" s="208" t="s">
        <v>8196</v>
      </c>
      <c r="F5408" s="18" t="s">
        <v>8197</v>
      </c>
      <c r="G5408" s="156" t="s">
        <v>8281</v>
      </c>
      <c r="H5408" s="18" t="s">
        <v>8282</v>
      </c>
      <c r="I5408" s="156"/>
      <c r="K5408" s="156" t="s">
        <v>8309</v>
      </c>
      <c r="L5408" s="18" t="s">
        <v>8310</v>
      </c>
      <c r="M5408" s="18" t="s">
        <v>8311</v>
      </c>
      <c r="N5408" s="18">
        <v>1</v>
      </c>
      <c r="O5408" s="18">
        <v>1</v>
      </c>
      <c r="P5408" s="16">
        <v>1</v>
      </c>
      <c r="Q5408" s="16">
        <v>1</v>
      </c>
      <c r="R5408" s="16">
        <v>1</v>
      </c>
      <c r="S5408" s="16">
        <v>1</v>
      </c>
      <c r="T5408" s="18" t="s">
        <v>831</v>
      </c>
      <c r="U5408" t="str">
        <f>VLOOKUP(T5408,[8]Votes!$A$1:$E$234,3,FALSE)</f>
        <v>108 National Planning Authority</v>
      </c>
      <c r="V5408" s="18" t="s">
        <v>8312</v>
      </c>
      <c r="W5408" s="48">
        <v>1</v>
      </c>
      <c r="X5408" s="48">
        <v>1</v>
      </c>
      <c r="Y5408" s="48">
        <v>0</v>
      </c>
      <c r="Z5408" s="48">
        <v>1</v>
      </c>
      <c r="AA5408" s="48">
        <v>1</v>
      </c>
      <c r="AB5408" s="48">
        <v>0</v>
      </c>
      <c r="AC5408" s="150">
        <v>1</v>
      </c>
      <c r="AD5408" s="150">
        <v>1</v>
      </c>
      <c r="AE5408" s="49">
        <f t="shared" si="196"/>
        <v>0.75</v>
      </c>
      <c r="AF5408" s="255"/>
      <c r="AG5408" s="17">
        <v>0</v>
      </c>
      <c r="AH5408" s="255">
        <v>1.0149999999999999</v>
      </c>
      <c r="AI5408" s="255">
        <v>1.0149999999999999</v>
      </c>
      <c r="AJ5408" s="255">
        <v>1.0149999999999999</v>
      </c>
      <c r="AK5408" s="256">
        <f>4/2</f>
        <v>2</v>
      </c>
      <c r="AL5408" s="256">
        <f>4/2</f>
        <v>2</v>
      </c>
      <c r="AM5408" s="147">
        <f t="shared" si="195"/>
        <v>4</v>
      </c>
      <c r="AN5408" s="18" t="s">
        <v>831</v>
      </c>
      <c r="AO5408" s="18" t="s">
        <v>834</v>
      </c>
    </row>
    <row r="5409" spans="1:41" customFormat="1" ht="15" customHeight="1" x14ac:dyDescent="0.3">
      <c r="A5409" s="207" t="s">
        <v>7397</v>
      </c>
      <c r="B5409" s="18" t="s">
        <v>7398</v>
      </c>
      <c r="C5409" s="207" t="s">
        <v>7400</v>
      </c>
      <c r="D5409" s="18" t="s">
        <v>7401</v>
      </c>
      <c r="E5409" s="208" t="s">
        <v>8196</v>
      </c>
      <c r="F5409" s="18" t="s">
        <v>8197</v>
      </c>
      <c r="G5409" s="156" t="s">
        <v>8281</v>
      </c>
      <c r="H5409" s="18" t="s">
        <v>8282</v>
      </c>
      <c r="K5409" s="156" t="s">
        <v>11659</v>
      </c>
      <c r="L5409" t="s">
        <v>11660</v>
      </c>
      <c r="M5409" s="18" t="s">
        <v>11661</v>
      </c>
      <c r="N5409" s="423">
        <v>0</v>
      </c>
      <c r="O5409" s="1">
        <v>0</v>
      </c>
      <c r="P5409" s="3">
        <v>0</v>
      </c>
      <c r="Q5409" s="3">
        <v>1</v>
      </c>
      <c r="R5409" s="3">
        <v>1</v>
      </c>
      <c r="S5409" s="3">
        <v>1</v>
      </c>
      <c r="T5409" s="18" t="s">
        <v>11629</v>
      </c>
      <c r="U5409" s="159" t="s">
        <v>11630</v>
      </c>
      <c r="V5409" t="s">
        <v>11662</v>
      </c>
      <c r="W5409" s="48">
        <v>1</v>
      </c>
      <c r="X5409" s="48">
        <v>1</v>
      </c>
      <c r="Y5409" s="48">
        <v>0</v>
      </c>
      <c r="Z5409" s="48">
        <v>1</v>
      </c>
      <c r="AA5409" s="48">
        <v>1</v>
      </c>
      <c r="AB5409" s="48">
        <v>1</v>
      </c>
      <c r="AC5409" s="150">
        <v>0</v>
      </c>
      <c r="AD5409" s="150">
        <v>1</v>
      </c>
      <c r="AE5409" s="49">
        <f t="shared" si="196"/>
        <v>0.75</v>
      </c>
      <c r="AF5409" s="4"/>
      <c r="AG5409" s="45"/>
      <c r="AH5409" s="4"/>
      <c r="AI5409" s="4"/>
      <c r="AJ5409" s="4"/>
      <c r="AK5409" s="392">
        <v>0.3</v>
      </c>
      <c r="AL5409" s="392">
        <v>0.5</v>
      </c>
      <c r="AM5409" s="147">
        <f t="shared" ref="AM5409" si="197">SUM(AK5409:AL5409)</f>
        <v>0.8</v>
      </c>
      <c r="AN5409" s="18" t="s">
        <v>11629</v>
      </c>
      <c r="AO5409" s="18" t="s">
        <v>11630</v>
      </c>
    </row>
    <row r="5410" spans="1:41" customFormat="1" ht="15" customHeight="1" x14ac:dyDescent="0.3">
      <c r="A5410" s="386" t="s">
        <v>7397</v>
      </c>
      <c r="B5410" s="14" t="s">
        <v>7398</v>
      </c>
      <c r="C5410" s="200" t="s">
        <v>12810</v>
      </c>
      <c r="D5410" t="s">
        <v>6838</v>
      </c>
      <c r="E5410" s="200" t="s">
        <v>12860</v>
      </c>
      <c r="F5410" t="s">
        <v>12811</v>
      </c>
      <c r="G5410" s="200" t="s">
        <v>12813</v>
      </c>
      <c r="H5410" t="s">
        <v>12812</v>
      </c>
      <c r="K5410" s="200" t="s">
        <v>12814</v>
      </c>
      <c r="L5410" t="s">
        <v>12754</v>
      </c>
      <c r="M5410" s="1"/>
      <c r="N5410" s="423"/>
      <c r="O5410" s="1"/>
      <c r="P5410" s="3"/>
      <c r="Q5410" s="3"/>
      <c r="R5410" s="3"/>
      <c r="S5410" s="3"/>
      <c r="V5410" t="s">
        <v>12755</v>
      </c>
      <c r="AF5410" s="64"/>
      <c r="AH5410" s="4"/>
      <c r="AI5410" s="4"/>
      <c r="AJ5410" s="4"/>
      <c r="AK5410" s="398"/>
      <c r="AL5410" s="398"/>
      <c r="AM5410" s="4"/>
    </row>
    <row r="5411" spans="1:41" customFormat="1" ht="15" customHeight="1" x14ac:dyDescent="0.3">
      <c r="A5411" s="386" t="s">
        <v>7397</v>
      </c>
      <c r="B5411" s="14" t="s">
        <v>7398</v>
      </c>
      <c r="C5411" s="200" t="s">
        <v>12810</v>
      </c>
      <c r="D5411" t="s">
        <v>6838</v>
      </c>
      <c r="E5411" s="200" t="s">
        <v>12860</v>
      </c>
      <c r="F5411" t="s">
        <v>12811</v>
      </c>
      <c r="G5411" s="200" t="s">
        <v>12813</v>
      </c>
      <c r="H5411" t="s">
        <v>12812</v>
      </c>
      <c r="K5411" s="200" t="s">
        <v>12815</v>
      </c>
      <c r="L5411" t="s">
        <v>12808</v>
      </c>
      <c r="M5411" s="1"/>
      <c r="N5411" s="423"/>
      <c r="O5411" s="1"/>
      <c r="P5411" s="3"/>
      <c r="Q5411" s="3"/>
      <c r="R5411" s="3"/>
      <c r="S5411" s="3"/>
      <c r="V5411" t="s">
        <v>12809</v>
      </c>
      <c r="AF5411" s="64"/>
      <c r="AH5411" s="4"/>
      <c r="AI5411" s="4"/>
      <c r="AJ5411" s="4"/>
      <c r="AK5411" s="398"/>
      <c r="AL5411" s="398"/>
      <c r="AM5411" s="4"/>
    </row>
    <row r="5412" spans="1:41" customFormat="1" ht="15" customHeight="1" x14ac:dyDescent="0.3">
      <c r="A5412" s="386" t="s">
        <v>7397</v>
      </c>
      <c r="B5412" s="14" t="s">
        <v>7398</v>
      </c>
      <c r="C5412" s="200" t="s">
        <v>12810</v>
      </c>
      <c r="D5412" t="s">
        <v>6838</v>
      </c>
      <c r="E5412" s="200" t="s">
        <v>12860</v>
      </c>
      <c r="F5412" t="s">
        <v>12811</v>
      </c>
      <c r="G5412" s="200" t="s">
        <v>12813</v>
      </c>
      <c r="H5412" t="s">
        <v>12812</v>
      </c>
      <c r="K5412" s="200" t="s">
        <v>12816</v>
      </c>
      <c r="L5412" t="s">
        <v>12756</v>
      </c>
      <c r="M5412" s="1" t="s">
        <v>5766</v>
      </c>
      <c r="N5412" s="423"/>
      <c r="O5412" s="1"/>
      <c r="P5412" s="3"/>
      <c r="Q5412" s="3"/>
      <c r="R5412" s="3"/>
      <c r="S5412" s="3"/>
      <c r="V5412" t="s">
        <v>12792</v>
      </c>
      <c r="AF5412" s="64"/>
      <c r="AH5412" s="4"/>
      <c r="AI5412" s="4"/>
      <c r="AJ5412" s="4"/>
      <c r="AK5412" s="46"/>
      <c r="AL5412" s="46"/>
      <c r="AM5412" s="4"/>
    </row>
    <row r="5413" spans="1:41" customFormat="1" ht="15" customHeight="1" x14ac:dyDescent="0.3">
      <c r="A5413" s="386" t="s">
        <v>7397</v>
      </c>
      <c r="B5413" s="14" t="s">
        <v>7398</v>
      </c>
      <c r="C5413" s="200" t="s">
        <v>12810</v>
      </c>
      <c r="D5413" t="s">
        <v>6838</v>
      </c>
      <c r="E5413" s="200" t="s">
        <v>12860</v>
      </c>
      <c r="F5413" t="s">
        <v>12811</v>
      </c>
      <c r="G5413" s="200" t="s">
        <v>12813</v>
      </c>
      <c r="H5413" t="s">
        <v>12812</v>
      </c>
      <c r="K5413" s="200" t="s">
        <v>12817</v>
      </c>
      <c r="L5413" t="s">
        <v>12757</v>
      </c>
      <c r="M5413" s="1" t="s">
        <v>12758</v>
      </c>
      <c r="N5413" s="423"/>
      <c r="O5413" s="1"/>
      <c r="P5413" s="3"/>
      <c r="Q5413" s="3"/>
      <c r="R5413" s="3"/>
      <c r="S5413" s="3"/>
      <c r="V5413" t="s">
        <v>12793</v>
      </c>
      <c r="AF5413" s="64"/>
      <c r="AH5413" s="4"/>
      <c r="AI5413" s="4"/>
      <c r="AJ5413" s="4"/>
      <c r="AK5413" s="46"/>
      <c r="AL5413" s="46"/>
      <c r="AM5413" s="4"/>
    </row>
    <row r="5414" spans="1:41" customFormat="1" ht="15" customHeight="1" x14ac:dyDescent="0.3">
      <c r="A5414" s="386" t="s">
        <v>7397</v>
      </c>
      <c r="B5414" s="14" t="s">
        <v>7398</v>
      </c>
      <c r="C5414" s="200" t="s">
        <v>12810</v>
      </c>
      <c r="D5414" t="s">
        <v>6838</v>
      </c>
      <c r="E5414" s="200" t="s">
        <v>12860</v>
      </c>
      <c r="F5414" t="s">
        <v>12811</v>
      </c>
      <c r="G5414" s="200" t="s">
        <v>12813</v>
      </c>
      <c r="H5414" t="s">
        <v>12812</v>
      </c>
      <c r="K5414" s="200" t="s">
        <v>12818</v>
      </c>
      <c r="L5414" t="s">
        <v>12759</v>
      </c>
      <c r="M5414" s="1" t="s">
        <v>12760</v>
      </c>
      <c r="N5414" s="423"/>
      <c r="O5414" s="1"/>
      <c r="P5414" s="3"/>
      <c r="Q5414" s="3"/>
      <c r="R5414" s="3"/>
      <c r="S5414" s="3"/>
      <c r="V5414" t="s">
        <v>12794</v>
      </c>
      <c r="AF5414" s="64"/>
      <c r="AH5414" s="4"/>
      <c r="AI5414" s="4"/>
      <c r="AJ5414" s="4"/>
      <c r="AK5414" s="46"/>
      <c r="AL5414" s="46"/>
      <c r="AM5414" s="4"/>
    </row>
    <row r="5415" spans="1:41" customFormat="1" ht="15" customHeight="1" x14ac:dyDescent="0.3">
      <c r="A5415" s="386" t="s">
        <v>7397</v>
      </c>
      <c r="B5415" s="14" t="s">
        <v>7398</v>
      </c>
      <c r="C5415" s="200" t="s">
        <v>12810</v>
      </c>
      <c r="D5415" t="s">
        <v>6838</v>
      </c>
      <c r="E5415" s="200" t="s">
        <v>12860</v>
      </c>
      <c r="F5415" t="s">
        <v>12811</v>
      </c>
      <c r="G5415" s="200" t="s">
        <v>12813</v>
      </c>
      <c r="H5415" t="s">
        <v>12812</v>
      </c>
      <c r="K5415" s="200" t="s">
        <v>12819</v>
      </c>
      <c r="L5415" t="s">
        <v>12761</v>
      </c>
      <c r="M5415" s="1" t="s">
        <v>12762</v>
      </c>
      <c r="N5415" s="423"/>
      <c r="O5415" s="1"/>
      <c r="P5415" s="3"/>
      <c r="Q5415" s="3"/>
      <c r="R5415" s="3"/>
      <c r="S5415" s="3"/>
      <c r="V5415" t="s">
        <v>5782</v>
      </c>
      <c r="AF5415" s="64"/>
      <c r="AH5415" s="4"/>
      <c r="AI5415" s="4"/>
      <c r="AJ5415" s="4"/>
      <c r="AK5415" s="46"/>
      <c r="AL5415" s="46"/>
      <c r="AM5415" s="4"/>
    </row>
    <row r="5416" spans="1:41" customFormat="1" ht="15" customHeight="1" x14ac:dyDescent="0.3">
      <c r="A5416" s="386" t="s">
        <v>7397</v>
      </c>
      <c r="B5416" s="14" t="s">
        <v>7398</v>
      </c>
      <c r="C5416" s="200" t="s">
        <v>12810</v>
      </c>
      <c r="D5416" t="s">
        <v>6838</v>
      </c>
      <c r="E5416" s="200" t="s">
        <v>12860</v>
      </c>
      <c r="F5416" t="s">
        <v>12811</v>
      </c>
      <c r="G5416" s="200" t="s">
        <v>12813</v>
      </c>
      <c r="H5416" t="s">
        <v>12812</v>
      </c>
      <c r="K5416" s="200" t="s">
        <v>12820</v>
      </c>
      <c r="L5416" t="s">
        <v>12763</v>
      </c>
      <c r="M5416" s="1" t="s">
        <v>12764</v>
      </c>
      <c r="N5416" s="423"/>
      <c r="O5416" s="1"/>
      <c r="P5416" s="3"/>
      <c r="Q5416" s="3"/>
      <c r="R5416" s="3"/>
      <c r="S5416" s="3"/>
      <c r="V5416" t="s">
        <v>5783</v>
      </c>
      <c r="AF5416" s="64"/>
      <c r="AH5416" s="4"/>
      <c r="AI5416" s="4"/>
      <c r="AJ5416" s="4"/>
      <c r="AK5416" s="46"/>
      <c r="AL5416" s="46"/>
      <c r="AM5416" s="4"/>
    </row>
    <row r="5417" spans="1:41" customFormat="1" ht="15" customHeight="1" x14ac:dyDescent="0.3">
      <c r="A5417" s="386" t="s">
        <v>7397</v>
      </c>
      <c r="B5417" s="14" t="s">
        <v>7398</v>
      </c>
      <c r="C5417" s="200" t="s">
        <v>12810</v>
      </c>
      <c r="D5417" t="s">
        <v>6838</v>
      </c>
      <c r="E5417" s="200" t="s">
        <v>12860</v>
      </c>
      <c r="F5417" t="s">
        <v>12811</v>
      </c>
      <c r="G5417" s="200" t="s">
        <v>12813</v>
      </c>
      <c r="H5417" t="s">
        <v>12812</v>
      </c>
      <c r="K5417" s="200" t="s">
        <v>12821</v>
      </c>
      <c r="L5417" t="s">
        <v>12765</v>
      </c>
      <c r="M5417" s="1" t="s">
        <v>12766</v>
      </c>
      <c r="N5417" s="423"/>
      <c r="O5417" s="1"/>
      <c r="P5417" s="3"/>
      <c r="Q5417" s="3"/>
      <c r="R5417" s="3"/>
      <c r="S5417" s="3"/>
      <c r="V5417" t="s">
        <v>12795</v>
      </c>
      <c r="AF5417" s="64"/>
      <c r="AH5417" s="4"/>
      <c r="AI5417" s="4"/>
      <c r="AJ5417" s="4"/>
      <c r="AK5417" s="46"/>
      <c r="AL5417" s="46"/>
      <c r="AM5417" s="4"/>
    </row>
    <row r="5418" spans="1:41" customFormat="1" ht="15" customHeight="1" x14ac:dyDescent="0.3">
      <c r="A5418" s="386" t="s">
        <v>7397</v>
      </c>
      <c r="B5418" s="14" t="s">
        <v>7398</v>
      </c>
      <c r="C5418" s="200" t="s">
        <v>12810</v>
      </c>
      <c r="D5418" t="s">
        <v>6838</v>
      </c>
      <c r="E5418" s="200" t="s">
        <v>12860</v>
      </c>
      <c r="F5418" t="s">
        <v>12811</v>
      </c>
      <c r="G5418" s="200" t="s">
        <v>12813</v>
      </c>
      <c r="H5418" t="s">
        <v>12812</v>
      </c>
      <c r="K5418" s="200" t="s">
        <v>12822</v>
      </c>
      <c r="L5418" t="s">
        <v>12767</v>
      </c>
      <c r="M5418" s="1" t="s">
        <v>12768</v>
      </c>
      <c r="N5418" s="423"/>
      <c r="O5418" s="1"/>
      <c r="P5418" s="3"/>
      <c r="Q5418" s="3"/>
      <c r="R5418" s="3"/>
      <c r="S5418" s="3"/>
      <c r="V5418" t="s">
        <v>12796</v>
      </c>
      <c r="AF5418" s="64"/>
      <c r="AH5418" s="4"/>
      <c r="AI5418" s="4"/>
      <c r="AJ5418" s="4"/>
      <c r="AK5418" s="46"/>
      <c r="AL5418" s="46"/>
      <c r="AM5418" s="4"/>
    </row>
    <row r="5419" spans="1:41" customFormat="1" ht="15" customHeight="1" x14ac:dyDescent="0.3">
      <c r="A5419" s="386" t="s">
        <v>7397</v>
      </c>
      <c r="B5419" s="14" t="s">
        <v>7398</v>
      </c>
      <c r="C5419" s="200" t="s">
        <v>12810</v>
      </c>
      <c r="D5419" t="s">
        <v>6838</v>
      </c>
      <c r="E5419" s="200" t="s">
        <v>12860</v>
      </c>
      <c r="F5419" t="s">
        <v>12811</v>
      </c>
      <c r="G5419" s="200" t="s">
        <v>12813</v>
      </c>
      <c r="H5419" t="s">
        <v>12812</v>
      </c>
      <c r="K5419" s="200" t="s">
        <v>12823</v>
      </c>
      <c r="L5419" t="s">
        <v>12769</v>
      </c>
      <c r="M5419" s="1" t="s">
        <v>12770</v>
      </c>
      <c r="N5419" s="423"/>
      <c r="O5419" s="1"/>
      <c r="P5419" s="3"/>
      <c r="Q5419" s="3"/>
      <c r="R5419" s="3"/>
      <c r="S5419" s="3"/>
      <c r="V5419" t="s">
        <v>5786</v>
      </c>
      <c r="AF5419" s="64"/>
      <c r="AH5419" s="4"/>
      <c r="AI5419" s="4"/>
      <c r="AJ5419" s="4"/>
      <c r="AK5419" s="46"/>
      <c r="AL5419" s="46"/>
      <c r="AM5419" s="4"/>
    </row>
    <row r="5420" spans="1:41" customFormat="1" ht="15" customHeight="1" x14ac:dyDescent="0.3">
      <c r="A5420" s="386" t="s">
        <v>7397</v>
      </c>
      <c r="B5420" s="14" t="s">
        <v>7398</v>
      </c>
      <c r="C5420" s="200" t="s">
        <v>12810</v>
      </c>
      <c r="D5420" t="s">
        <v>6838</v>
      </c>
      <c r="E5420" s="200" t="s">
        <v>12860</v>
      </c>
      <c r="F5420" t="s">
        <v>12811</v>
      </c>
      <c r="G5420" s="200" t="s">
        <v>12813</v>
      </c>
      <c r="H5420" t="s">
        <v>12812</v>
      </c>
      <c r="K5420" s="200" t="s">
        <v>12824</v>
      </c>
      <c r="L5420" t="s">
        <v>12771</v>
      </c>
      <c r="M5420" s="1" t="s">
        <v>12772</v>
      </c>
      <c r="N5420" s="423"/>
      <c r="O5420" s="1"/>
      <c r="P5420" s="3"/>
      <c r="Q5420" s="3"/>
      <c r="R5420" s="3"/>
      <c r="S5420" s="3"/>
      <c r="V5420" t="s">
        <v>12800</v>
      </c>
      <c r="AF5420" s="64"/>
      <c r="AH5420" s="4"/>
      <c r="AI5420" s="4"/>
      <c r="AJ5420" s="4"/>
      <c r="AK5420" s="46"/>
      <c r="AL5420" s="46"/>
      <c r="AM5420" s="4"/>
    </row>
    <row r="5421" spans="1:41" customFormat="1" ht="15" customHeight="1" x14ac:dyDescent="0.3">
      <c r="A5421" s="386" t="s">
        <v>7397</v>
      </c>
      <c r="B5421" s="14" t="s">
        <v>7398</v>
      </c>
      <c r="C5421" s="200" t="s">
        <v>12810</v>
      </c>
      <c r="D5421" t="s">
        <v>6838</v>
      </c>
      <c r="E5421" s="200" t="s">
        <v>12860</v>
      </c>
      <c r="F5421" t="s">
        <v>12811</v>
      </c>
      <c r="G5421" s="200" t="s">
        <v>12813</v>
      </c>
      <c r="H5421" t="s">
        <v>12812</v>
      </c>
      <c r="K5421" s="200" t="s">
        <v>12825</v>
      </c>
      <c r="L5421" t="s">
        <v>12773</v>
      </c>
      <c r="M5421" s="1" t="s">
        <v>12774</v>
      </c>
      <c r="N5421" s="423"/>
      <c r="O5421" s="1"/>
      <c r="P5421" s="3"/>
      <c r="Q5421" s="3"/>
      <c r="R5421" s="3"/>
      <c r="S5421" s="3"/>
      <c r="V5421" t="s">
        <v>12797</v>
      </c>
      <c r="AF5421" s="64"/>
      <c r="AH5421" s="4"/>
      <c r="AI5421" s="4"/>
      <c r="AJ5421" s="4"/>
      <c r="AK5421" s="46"/>
      <c r="AL5421" s="46"/>
      <c r="AM5421" s="4"/>
    </row>
    <row r="5422" spans="1:41" customFormat="1" ht="15" customHeight="1" x14ac:dyDescent="0.3">
      <c r="A5422" s="386" t="s">
        <v>7397</v>
      </c>
      <c r="B5422" s="14" t="s">
        <v>7398</v>
      </c>
      <c r="C5422" s="200" t="s">
        <v>12810</v>
      </c>
      <c r="D5422" t="s">
        <v>6838</v>
      </c>
      <c r="E5422" s="200" t="s">
        <v>12860</v>
      </c>
      <c r="F5422" t="s">
        <v>12811</v>
      </c>
      <c r="G5422" s="200" t="s">
        <v>12813</v>
      </c>
      <c r="H5422" t="s">
        <v>12812</v>
      </c>
      <c r="K5422" s="200" t="s">
        <v>12826</v>
      </c>
      <c r="L5422" t="s">
        <v>12775</v>
      </c>
      <c r="M5422" s="1" t="s">
        <v>12776</v>
      </c>
      <c r="N5422" s="423"/>
      <c r="O5422" s="1"/>
      <c r="P5422" s="3"/>
      <c r="Q5422" s="3"/>
      <c r="R5422" s="3"/>
      <c r="S5422" s="3"/>
      <c r="V5422" t="s">
        <v>12798</v>
      </c>
      <c r="AF5422" s="64"/>
      <c r="AH5422" s="4"/>
      <c r="AI5422" s="4"/>
      <c r="AJ5422" s="4"/>
      <c r="AK5422" s="46"/>
      <c r="AL5422" s="46"/>
      <c r="AM5422" s="4"/>
    </row>
    <row r="5423" spans="1:41" customFormat="1" ht="15" customHeight="1" x14ac:dyDescent="0.3">
      <c r="A5423" s="386" t="s">
        <v>7397</v>
      </c>
      <c r="B5423" s="14" t="s">
        <v>7398</v>
      </c>
      <c r="C5423" s="200" t="s">
        <v>12810</v>
      </c>
      <c r="D5423" t="s">
        <v>6838</v>
      </c>
      <c r="E5423" s="200" t="s">
        <v>12860</v>
      </c>
      <c r="F5423" t="s">
        <v>12811</v>
      </c>
      <c r="G5423" s="200" t="s">
        <v>12813</v>
      </c>
      <c r="H5423" t="s">
        <v>12812</v>
      </c>
      <c r="K5423" s="200" t="s">
        <v>12827</v>
      </c>
      <c r="L5423" t="s">
        <v>12777</v>
      </c>
      <c r="M5423" s="1" t="s">
        <v>12778</v>
      </c>
      <c r="N5423" s="423"/>
      <c r="O5423" s="1"/>
      <c r="P5423" s="3"/>
      <c r="Q5423" s="3"/>
      <c r="R5423" s="3"/>
      <c r="S5423" s="3"/>
      <c r="V5423" t="s">
        <v>5789</v>
      </c>
      <c r="AF5423" s="64"/>
      <c r="AH5423" s="4"/>
      <c r="AI5423" s="4"/>
      <c r="AJ5423" s="4"/>
      <c r="AK5423" s="46"/>
      <c r="AL5423" s="46"/>
      <c r="AM5423" s="4"/>
    </row>
    <row r="5424" spans="1:41" customFormat="1" ht="15" customHeight="1" x14ac:dyDescent="0.3">
      <c r="A5424" s="386" t="s">
        <v>7397</v>
      </c>
      <c r="B5424" s="14" t="s">
        <v>7398</v>
      </c>
      <c r="C5424" s="200" t="s">
        <v>12810</v>
      </c>
      <c r="D5424" t="s">
        <v>6838</v>
      </c>
      <c r="E5424" s="200" t="s">
        <v>12860</v>
      </c>
      <c r="F5424" t="s">
        <v>12811</v>
      </c>
      <c r="G5424" s="200" t="s">
        <v>12813</v>
      </c>
      <c r="H5424" t="s">
        <v>12812</v>
      </c>
      <c r="K5424" s="200" t="s">
        <v>12828</v>
      </c>
      <c r="L5424" t="s">
        <v>12779</v>
      </c>
      <c r="M5424" s="1" t="s">
        <v>12780</v>
      </c>
      <c r="N5424" s="423"/>
      <c r="O5424" s="1"/>
      <c r="P5424" s="3"/>
      <c r="Q5424" s="3"/>
      <c r="R5424" s="3"/>
      <c r="S5424" s="3"/>
      <c r="V5424" t="s">
        <v>12799</v>
      </c>
      <c r="AF5424" s="64"/>
      <c r="AH5424" s="4"/>
      <c r="AI5424" s="4"/>
      <c r="AJ5424" s="4"/>
      <c r="AK5424" s="46"/>
      <c r="AL5424" s="46"/>
      <c r="AM5424" s="4"/>
    </row>
    <row r="5425" spans="1:50" customFormat="1" ht="15" customHeight="1" x14ac:dyDescent="0.3">
      <c r="A5425" s="386" t="s">
        <v>7397</v>
      </c>
      <c r="B5425" s="14" t="s">
        <v>7398</v>
      </c>
      <c r="C5425" s="200" t="s">
        <v>12810</v>
      </c>
      <c r="D5425" t="s">
        <v>6838</v>
      </c>
      <c r="E5425" s="200" t="s">
        <v>12860</v>
      </c>
      <c r="F5425" t="s">
        <v>12811</v>
      </c>
      <c r="G5425" s="200" t="s">
        <v>12813</v>
      </c>
      <c r="H5425" t="s">
        <v>12812</v>
      </c>
      <c r="K5425" s="200" t="s">
        <v>12829</v>
      </c>
      <c r="L5425" t="s">
        <v>12806</v>
      </c>
      <c r="M5425" s="1" t="s">
        <v>12781</v>
      </c>
      <c r="N5425" s="423"/>
      <c r="O5425" s="1"/>
      <c r="P5425" s="3"/>
      <c r="Q5425" s="3"/>
      <c r="R5425" s="3"/>
      <c r="S5425" s="3"/>
      <c r="V5425" t="s">
        <v>12805</v>
      </c>
      <c r="AF5425" s="64"/>
      <c r="AH5425" s="4"/>
      <c r="AI5425" s="4"/>
      <c r="AJ5425" s="4"/>
      <c r="AK5425" s="46"/>
      <c r="AL5425" s="46"/>
      <c r="AM5425" s="4"/>
    </row>
    <row r="5426" spans="1:50" customFormat="1" ht="15" customHeight="1" x14ac:dyDescent="0.3">
      <c r="A5426" s="386" t="s">
        <v>7397</v>
      </c>
      <c r="B5426" s="14" t="s">
        <v>7398</v>
      </c>
      <c r="C5426" s="200" t="s">
        <v>12810</v>
      </c>
      <c r="D5426" t="s">
        <v>6838</v>
      </c>
      <c r="E5426" s="200" t="s">
        <v>12860</v>
      </c>
      <c r="F5426" t="s">
        <v>12811</v>
      </c>
      <c r="G5426" s="200" t="s">
        <v>12813</v>
      </c>
      <c r="H5426" t="s">
        <v>12812</v>
      </c>
      <c r="K5426" s="200" t="s">
        <v>12830</v>
      </c>
      <c r="L5426" t="s">
        <v>12782</v>
      </c>
      <c r="M5426" s="1"/>
      <c r="N5426" s="423"/>
      <c r="O5426" s="1"/>
      <c r="P5426" s="3"/>
      <c r="Q5426" s="3"/>
      <c r="R5426" s="3"/>
      <c r="S5426" s="3"/>
      <c r="V5426" t="s">
        <v>12782</v>
      </c>
      <c r="AF5426" s="64"/>
      <c r="AH5426" s="4"/>
      <c r="AI5426" s="4"/>
      <c r="AJ5426" s="4"/>
      <c r="AK5426" s="46"/>
      <c r="AL5426" s="46"/>
      <c r="AM5426" s="4"/>
    </row>
    <row r="5427" spans="1:50" customFormat="1" ht="15" customHeight="1" x14ac:dyDescent="0.3">
      <c r="A5427" s="386" t="s">
        <v>7397</v>
      </c>
      <c r="B5427" s="14" t="s">
        <v>7398</v>
      </c>
      <c r="C5427" s="200" t="s">
        <v>12810</v>
      </c>
      <c r="D5427" t="s">
        <v>6838</v>
      </c>
      <c r="E5427" s="200" t="s">
        <v>12860</v>
      </c>
      <c r="F5427" t="s">
        <v>12811</v>
      </c>
      <c r="G5427" s="200" t="s">
        <v>12813</v>
      </c>
      <c r="H5427" t="s">
        <v>12812</v>
      </c>
      <c r="K5427" s="200" t="s">
        <v>12831</v>
      </c>
      <c r="L5427" t="s">
        <v>12783</v>
      </c>
      <c r="M5427" s="1" t="s">
        <v>12784</v>
      </c>
      <c r="N5427" s="423"/>
      <c r="O5427" s="1"/>
      <c r="P5427" s="3"/>
      <c r="Q5427" s="3"/>
      <c r="R5427" s="3"/>
      <c r="S5427" s="3"/>
      <c r="V5427" t="s">
        <v>12783</v>
      </c>
      <c r="AF5427" s="64"/>
      <c r="AH5427" s="4"/>
      <c r="AI5427" s="4"/>
      <c r="AJ5427" s="4"/>
      <c r="AK5427" s="46"/>
      <c r="AL5427" s="46"/>
      <c r="AM5427" s="4"/>
    </row>
    <row r="5428" spans="1:50" customFormat="1" ht="15" customHeight="1" x14ac:dyDescent="0.3">
      <c r="A5428" s="386" t="s">
        <v>7397</v>
      </c>
      <c r="B5428" s="14" t="s">
        <v>7398</v>
      </c>
      <c r="C5428" s="200" t="s">
        <v>12810</v>
      </c>
      <c r="D5428" t="s">
        <v>6838</v>
      </c>
      <c r="E5428" s="200" t="s">
        <v>12860</v>
      </c>
      <c r="F5428" t="s">
        <v>12811</v>
      </c>
      <c r="G5428" s="200" t="s">
        <v>12813</v>
      </c>
      <c r="H5428" t="s">
        <v>12812</v>
      </c>
      <c r="K5428" s="200" t="s">
        <v>12832</v>
      </c>
      <c r="L5428" t="s">
        <v>12785</v>
      </c>
      <c r="M5428" s="1" t="s">
        <v>12786</v>
      </c>
      <c r="N5428" s="423"/>
      <c r="O5428" s="1"/>
      <c r="P5428" s="3"/>
      <c r="Q5428" s="3"/>
      <c r="R5428" s="3"/>
      <c r="S5428" s="3"/>
      <c r="V5428" t="s">
        <v>12801</v>
      </c>
      <c r="AF5428" s="64"/>
      <c r="AH5428" s="4"/>
      <c r="AI5428" s="4"/>
      <c r="AJ5428" s="4"/>
      <c r="AK5428" s="46"/>
      <c r="AL5428" s="46"/>
      <c r="AM5428" s="4"/>
    </row>
    <row r="5429" spans="1:50" customFormat="1" ht="15" customHeight="1" x14ac:dyDescent="0.3">
      <c r="A5429" s="386" t="s">
        <v>7397</v>
      </c>
      <c r="B5429" s="14" t="s">
        <v>7398</v>
      </c>
      <c r="C5429" s="200" t="s">
        <v>12810</v>
      </c>
      <c r="D5429" t="s">
        <v>6838</v>
      </c>
      <c r="E5429" s="200" t="s">
        <v>12860</v>
      </c>
      <c r="F5429" t="s">
        <v>12811</v>
      </c>
      <c r="G5429" s="200" t="s">
        <v>12813</v>
      </c>
      <c r="H5429" t="s">
        <v>12812</v>
      </c>
      <c r="K5429" s="200" t="s">
        <v>12833</v>
      </c>
      <c r="L5429" t="s">
        <v>12787</v>
      </c>
      <c r="M5429" s="1" t="s">
        <v>12788</v>
      </c>
      <c r="N5429" s="423"/>
      <c r="O5429" s="1"/>
      <c r="P5429" s="3"/>
      <c r="Q5429" s="3"/>
      <c r="R5429" s="3"/>
      <c r="S5429" s="3"/>
      <c r="V5429" t="s">
        <v>12802</v>
      </c>
      <c r="AF5429" s="64"/>
      <c r="AH5429" s="4"/>
      <c r="AI5429" s="4"/>
      <c r="AJ5429" s="4"/>
      <c r="AK5429" s="46"/>
      <c r="AL5429" s="46"/>
      <c r="AM5429" s="4"/>
    </row>
    <row r="5430" spans="1:50" customFormat="1" ht="15" customHeight="1" x14ac:dyDescent="0.3">
      <c r="A5430" s="386" t="s">
        <v>7397</v>
      </c>
      <c r="B5430" s="14" t="s">
        <v>7398</v>
      </c>
      <c r="C5430" s="200" t="s">
        <v>12810</v>
      </c>
      <c r="D5430" t="s">
        <v>6838</v>
      </c>
      <c r="E5430" s="200" t="s">
        <v>12860</v>
      </c>
      <c r="F5430" t="s">
        <v>12811</v>
      </c>
      <c r="G5430" s="200" t="s">
        <v>12813</v>
      </c>
      <c r="H5430" t="s">
        <v>12812</v>
      </c>
      <c r="K5430" s="200" t="s">
        <v>12834</v>
      </c>
      <c r="L5430" t="s">
        <v>12789</v>
      </c>
      <c r="M5430" s="1" t="s">
        <v>12790</v>
      </c>
      <c r="N5430" s="423"/>
      <c r="O5430" s="1"/>
      <c r="P5430" s="3"/>
      <c r="Q5430" s="3"/>
      <c r="R5430" s="3"/>
      <c r="S5430" s="3"/>
      <c r="V5430" t="s">
        <v>12803</v>
      </c>
      <c r="AF5430" s="64"/>
      <c r="AH5430" s="4"/>
      <c r="AI5430" s="4"/>
      <c r="AJ5430" s="4"/>
      <c r="AK5430" s="46"/>
      <c r="AL5430" s="46"/>
      <c r="AM5430" s="4"/>
    </row>
    <row r="5431" spans="1:50" customFormat="1" ht="15" customHeight="1" x14ac:dyDescent="0.3">
      <c r="A5431" s="386" t="s">
        <v>7397</v>
      </c>
      <c r="B5431" s="14" t="s">
        <v>7398</v>
      </c>
      <c r="C5431" s="200" t="s">
        <v>12810</v>
      </c>
      <c r="D5431" t="s">
        <v>6838</v>
      </c>
      <c r="E5431" s="200" t="s">
        <v>12860</v>
      </c>
      <c r="F5431" t="s">
        <v>12811</v>
      </c>
      <c r="G5431" s="200" t="s">
        <v>12813</v>
      </c>
      <c r="H5431" t="s">
        <v>12812</v>
      </c>
      <c r="K5431" s="200" t="s">
        <v>12835</v>
      </c>
      <c r="L5431" t="s">
        <v>12791</v>
      </c>
      <c r="M5431" s="1" t="s">
        <v>12807</v>
      </c>
      <c r="N5431" s="423"/>
      <c r="O5431" s="1"/>
      <c r="P5431" s="3"/>
      <c r="Q5431" s="3"/>
      <c r="R5431" s="3"/>
      <c r="S5431" s="3"/>
      <c r="V5431" t="s">
        <v>12804</v>
      </c>
      <c r="AF5431" s="64"/>
      <c r="AH5431" s="4"/>
      <c r="AI5431" s="4"/>
      <c r="AJ5431" s="4"/>
      <c r="AK5431" s="46"/>
      <c r="AL5431" s="46"/>
      <c r="AM5431" s="4"/>
    </row>
    <row r="5432" spans="1:50" s="53" customFormat="1" x14ac:dyDescent="0.3">
      <c r="A5432" s="50" t="s">
        <v>8325</v>
      </c>
      <c r="B5432" s="51" t="s">
        <v>8326</v>
      </c>
      <c r="C5432" s="50" t="s">
        <v>11713</v>
      </c>
      <c r="D5432" s="51" t="s">
        <v>1491</v>
      </c>
      <c r="E5432" s="50" t="s">
        <v>11713</v>
      </c>
      <c r="F5432" s="51" t="s">
        <v>1493</v>
      </c>
      <c r="G5432" s="50" t="s">
        <v>11713</v>
      </c>
      <c r="H5432" s="51" t="s">
        <v>1491</v>
      </c>
      <c r="I5432" s="51"/>
      <c r="J5432" s="51"/>
      <c r="K5432" s="50" t="s">
        <v>11713</v>
      </c>
      <c r="L5432" s="51" t="s">
        <v>1491</v>
      </c>
      <c r="M5432" s="420" t="s">
        <v>271</v>
      </c>
      <c r="N5432" s="420" t="s">
        <v>271</v>
      </c>
      <c r="O5432" s="420" t="s">
        <v>271</v>
      </c>
      <c r="P5432" s="60" t="s">
        <v>271</v>
      </c>
      <c r="Q5432" s="60" t="s">
        <v>271</v>
      </c>
      <c r="R5432" s="60" t="s">
        <v>271</v>
      </c>
      <c r="S5432" s="60" t="s">
        <v>271</v>
      </c>
      <c r="T5432" s="60" t="s">
        <v>271</v>
      </c>
      <c r="U5432" s="60" t="s">
        <v>271</v>
      </c>
      <c r="V5432" s="51" t="s">
        <v>1489</v>
      </c>
      <c r="W5432" s="54"/>
      <c r="X5432" s="54"/>
      <c r="Y5432" s="54"/>
      <c r="Z5432" s="54"/>
      <c r="AA5432" s="54"/>
      <c r="AB5432" s="54"/>
      <c r="AC5432" s="54"/>
      <c r="AD5432" s="54"/>
      <c r="AE5432" s="55"/>
      <c r="AF5432" s="56"/>
      <c r="AG5432" s="55"/>
      <c r="AH5432" s="56"/>
      <c r="AI5432" s="56"/>
      <c r="AJ5432" s="56"/>
      <c r="AK5432" s="57">
        <v>112.43</v>
      </c>
      <c r="AL5432" s="57">
        <v>112.43</v>
      </c>
      <c r="AM5432" s="56">
        <f t="shared" ref="AM5432:AM5495" si="198">SUM(AK5432:AL5432)</f>
        <v>224.86</v>
      </c>
      <c r="AN5432" s="52"/>
      <c r="AO5432" s="52"/>
      <c r="AP5432" s="51"/>
    </row>
    <row r="5433" spans="1:50" s="53" customFormat="1" x14ac:dyDescent="0.3">
      <c r="A5433" s="50" t="s">
        <v>8325</v>
      </c>
      <c r="B5433" s="51" t="s">
        <v>8326</v>
      </c>
      <c r="C5433" s="50" t="s">
        <v>11713</v>
      </c>
      <c r="D5433" s="51" t="s">
        <v>1491</v>
      </c>
      <c r="E5433" s="50" t="s">
        <v>11713</v>
      </c>
      <c r="F5433" s="51" t="s">
        <v>1493</v>
      </c>
      <c r="G5433" s="50" t="s">
        <v>11713</v>
      </c>
      <c r="H5433" s="51" t="s">
        <v>1491</v>
      </c>
      <c r="I5433" s="51"/>
      <c r="J5433" s="51"/>
      <c r="K5433" s="50" t="s">
        <v>11713</v>
      </c>
      <c r="L5433" s="51" t="s">
        <v>1491</v>
      </c>
      <c r="M5433" s="420" t="s">
        <v>271</v>
      </c>
      <c r="N5433" s="420" t="s">
        <v>271</v>
      </c>
      <c r="O5433" s="420" t="s">
        <v>271</v>
      </c>
      <c r="P5433" s="60" t="s">
        <v>271</v>
      </c>
      <c r="Q5433" s="60" t="s">
        <v>271</v>
      </c>
      <c r="R5433" s="60" t="s">
        <v>271</v>
      </c>
      <c r="S5433" s="60" t="s">
        <v>271</v>
      </c>
      <c r="T5433" s="60" t="s">
        <v>271</v>
      </c>
      <c r="U5433" s="60" t="s">
        <v>271</v>
      </c>
      <c r="V5433" s="51" t="s">
        <v>1490</v>
      </c>
      <c r="W5433" s="54"/>
      <c r="X5433" s="54"/>
      <c r="Y5433" s="54"/>
      <c r="Z5433" s="54"/>
      <c r="AA5433" s="54"/>
      <c r="AB5433" s="54"/>
      <c r="AC5433" s="54"/>
      <c r="AD5433" s="54"/>
      <c r="AE5433" s="55"/>
      <c r="AF5433" s="56"/>
      <c r="AG5433" s="55"/>
      <c r="AH5433" s="56"/>
      <c r="AI5433" s="56"/>
      <c r="AJ5433" s="56"/>
      <c r="AK5433" s="57">
        <v>44.972000000000008</v>
      </c>
      <c r="AL5433" s="57">
        <v>44.972000000000008</v>
      </c>
      <c r="AM5433" s="56">
        <f t="shared" si="198"/>
        <v>89.944000000000017</v>
      </c>
      <c r="AN5433" s="52"/>
      <c r="AO5433" s="52"/>
      <c r="AP5433" s="51"/>
    </row>
    <row r="5434" spans="1:50" s="53" customFormat="1" x14ac:dyDescent="0.3">
      <c r="A5434" s="50" t="s">
        <v>8325</v>
      </c>
      <c r="B5434" s="51" t="s">
        <v>8326</v>
      </c>
      <c r="C5434" s="50" t="s">
        <v>11713</v>
      </c>
      <c r="D5434" s="51" t="s">
        <v>1491</v>
      </c>
      <c r="E5434" s="50" t="s">
        <v>11713</v>
      </c>
      <c r="F5434" s="51" t="s">
        <v>1493</v>
      </c>
      <c r="G5434" s="50" t="s">
        <v>11713</v>
      </c>
      <c r="H5434" s="51" t="s">
        <v>1491</v>
      </c>
      <c r="I5434" s="51"/>
      <c r="J5434" s="51"/>
      <c r="K5434" s="50" t="s">
        <v>11713</v>
      </c>
      <c r="L5434" s="51" t="s">
        <v>1491</v>
      </c>
      <c r="M5434" s="420" t="s">
        <v>271</v>
      </c>
      <c r="N5434" s="420" t="s">
        <v>271</v>
      </c>
      <c r="O5434" s="420" t="s">
        <v>271</v>
      </c>
      <c r="P5434" s="60" t="s">
        <v>271</v>
      </c>
      <c r="Q5434" s="60" t="s">
        <v>271</v>
      </c>
      <c r="R5434" s="60" t="s">
        <v>271</v>
      </c>
      <c r="S5434" s="60" t="s">
        <v>271</v>
      </c>
      <c r="T5434" s="60" t="s">
        <v>271</v>
      </c>
      <c r="U5434" s="60" t="s">
        <v>271</v>
      </c>
      <c r="V5434" s="51" t="s">
        <v>1495</v>
      </c>
      <c r="W5434" s="54"/>
      <c r="X5434" s="54"/>
      <c r="Y5434" s="54"/>
      <c r="Z5434" s="54"/>
      <c r="AA5434" s="54"/>
      <c r="AB5434" s="54"/>
      <c r="AC5434" s="54"/>
      <c r="AD5434" s="54"/>
      <c r="AE5434" s="55"/>
      <c r="AF5434" s="56"/>
      <c r="AG5434" s="55"/>
      <c r="AH5434" s="56"/>
      <c r="AI5434" s="56"/>
      <c r="AJ5434" s="56"/>
      <c r="AK5434" s="57">
        <v>28.599202999999999</v>
      </c>
      <c r="AL5434" s="57">
        <v>24.528593999999998</v>
      </c>
      <c r="AM5434" s="56">
        <f t="shared" si="198"/>
        <v>53.127797000000001</v>
      </c>
      <c r="AN5434" s="52"/>
      <c r="AO5434" s="52"/>
      <c r="AP5434" s="51"/>
    </row>
    <row r="5435" spans="1:50" s="14" customFormat="1" x14ac:dyDescent="0.3">
      <c r="A5435" s="386" t="s">
        <v>8325</v>
      </c>
      <c r="B5435" s="14" t="s">
        <v>8326</v>
      </c>
      <c r="C5435" s="14" t="s">
        <v>11714</v>
      </c>
      <c r="D5435" s="14" t="s">
        <v>6838</v>
      </c>
      <c r="E5435" s="14" t="s">
        <v>11715</v>
      </c>
      <c r="F5435" s="12" t="s">
        <v>11716</v>
      </c>
      <c r="G5435" s="14" t="s">
        <v>11717</v>
      </c>
      <c r="H5435" s="12" t="s">
        <v>11718</v>
      </c>
      <c r="K5435" s="14" t="s">
        <v>11719</v>
      </c>
      <c r="L5435" s="14" t="s">
        <v>11720</v>
      </c>
      <c r="M5435" s="14" t="s">
        <v>11721</v>
      </c>
      <c r="N5435" s="14">
        <v>24</v>
      </c>
      <c r="O5435" s="14">
        <v>0</v>
      </c>
      <c r="P5435" s="12">
        <v>50</v>
      </c>
      <c r="Q5435" s="12">
        <v>36</v>
      </c>
      <c r="R5435" s="12">
        <v>10</v>
      </c>
      <c r="S5435" s="12">
        <v>10</v>
      </c>
      <c r="T5435" s="14" t="s">
        <v>11722</v>
      </c>
      <c r="U5435" t="s">
        <v>11723</v>
      </c>
      <c r="V5435" s="14" t="s">
        <v>11724</v>
      </c>
      <c r="W5435" s="388">
        <v>1</v>
      </c>
      <c r="X5435" s="388">
        <v>0</v>
      </c>
      <c r="Y5435" s="388">
        <v>0</v>
      </c>
      <c r="Z5435" s="388">
        <v>1</v>
      </c>
      <c r="AA5435" s="388">
        <v>1</v>
      </c>
      <c r="AB5435" s="388">
        <v>0</v>
      </c>
      <c r="AC5435" s="150">
        <v>1</v>
      </c>
      <c r="AD5435" s="150">
        <v>1</v>
      </c>
      <c r="AE5435" s="49">
        <f t="shared" ref="AE5435:AE5498" si="199">SUM(W5435:AD5435)/8</f>
        <v>0.625</v>
      </c>
      <c r="AF5435" s="397"/>
      <c r="AG5435" s="17">
        <v>0</v>
      </c>
      <c r="AH5435" s="397">
        <v>0</v>
      </c>
      <c r="AI5435" s="397">
        <v>0.35</v>
      </c>
      <c r="AJ5435" s="397">
        <v>0.2646</v>
      </c>
      <c r="AK5435" s="398">
        <v>0</v>
      </c>
      <c r="AL5435" s="398">
        <v>0</v>
      </c>
      <c r="AM5435" s="17">
        <f t="shared" si="198"/>
        <v>0</v>
      </c>
      <c r="AN5435" s="14" t="s">
        <v>11722</v>
      </c>
      <c r="AO5435" s="12" t="s">
        <v>11723</v>
      </c>
      <c r="AP5435" s="399"/>
      <c r="AQ5435" s="400"/>
      <c r="AR5435" s="399"/>
      <c r="AS5435" s="399"/>
      <c r="AT5435" s="399"/>
      <c r="AX5435" s="400"/>
    </row>
    <row r="5436" spans="1:50" s="14" customFormat="1" x14ac:dyDescent="0.3">
      <c r="A5436" s="386" t="s">
        <v>8325</v>
      </c>
      <c r="B5436" s="14" t="s">
        <v>8326</v>
      </c>
      <c r="C5436" s="14" t="s">
        <v>11714</v>
      </c>
      <c r="D5436" s="14" t="s">
        <v>6838</v>
      </c>
      <c r="E5436" s="14" t="s">
        <v>11715</v>
      </c>
      <c r="F5436" s="12" t="s">
        <v>11716</v>
      </c>
      <c r="G5436" s="14" t="s">
        <v>11717</v>
      </c>
      <c r="H5436" s="12" t="s">
        <v>11718</v>
      </c>
      <c r="K5436" s="14" t="s">
        <v>11725</v>
      </c>
      <c r="L5436" s="12" t="s">
        <v>11726</v>
      </c>
      <c r="M5436" s="14" t="s">
        <v>11727</v>
      </c>
      <c r="N5436" s="418">
        <v>0</v>
      </c>
      <c r="O5436" s="418">
        <v>0</v>
      </c>
      <c r="P5436" s="12" t="s">
        <v>11728</v>
      </c>
      <c r="Q5436" s="401">
        <v>0</v>
      </c>
      <c r="R5436" s="401">
        <v>0</v>
      </c>
      <c r="S5436" s="401">
        <v>0</v>
      </c>
      <c r="T5436" s="14" t="s">
        <v>11722</v>
      </c>
      <c r="U5436" t="s">
        <v>11723</v>
      </c>
      <c r="V5436" s="14" t="s">
        <v>11729</v>
      </c>
      <c r="W5436" s="388">
        <v>1</v>
      </c>
      <c r="X5436" s="388">
        <v>1</v>
      </c>
      <c r="Y5436" s="388">
        <v>0</v>
      </c>
      <c r="Z5436" s="388">
        <v>1</v>
      </c>
      <c r="AA5436" s="388">
        <v>0</v>
      </c>
      <c r="AB5436" s="388">
        <v>0</v>
      </c>
      <c r="AC5436" s="150">
        <v>0</v>
      </c>
      <c r="AD5436" s="150">
        <v>1</v>
      </c>
      <c r="AE5436" s="49">
        <f t="shared" si="199"/>
        <v>0.5</v>
      </c>
      <c r="AF5436" s="397"/>
      <c r="AG5436" s="17">
        <v>0</v>
      </c>
      <c r="AH5436" s="397">
        <v>0</v>
      </c>
      <c r="AI5436" s="397">
        <v>0.3</v>
      </c>
      <c r="AJ5436" s="397">
        <v>0</v>
      </c>
      <c r="AK5436" s="398">
        <v>0</v>
      </c>
      <c r="AL5436" s="398">
        <v>0</v>
      </c>
      <c r="AM5436" s="17">
        <f t="shared" si="198"/>
        <v>0</v>
      </c>
      <c r="AN5436" s="14" t="s">
        <v>11730</v>
      </c>
      <c r="AO5436" s="12" t="s">
        <v>11723</v>
      </c>
      <c r="AP5436" s="399"/>
      <c r="AQ5436" s="400"/>
      <c r="AR5436" s="399"/>
      <c r="AS5436" s="399"/>
      <c r="AT5436" s="399"/>
      <c r="AX5436" s="400"/>
    </row>
    <row r="5437" spans="1:50" s="14" customFormat="1" x14ac:dyDescent="0.3">
      <c r="A5437" s="386" t="s">
        <v>8325</v>
      </c>
      <c r="B5437" s="14" t="s">
        <v>8326</v>
      </c>
      <c r="C5437" s="14" t="s">
        <v>11714</v>
      </c>
      <c r="D5437" s="14" t="s">
        <v>6838</v>
      </c>
      <c r="E5437" s="14" t="s">
        <v>11715</v>
      </c>
      <c r="F5437" s="12" t="s">
        <v>11716</v>
      </c>
      <c r="G5437" s="14" t="s">
        <v>11717</v>
      </c>
      <c r="H5437" s="12" t="s">
        <v>11718</v>
      </c>
      <c r="K5437" s="14" t="s">
        <v>11725</v>
      </c>
      <c r="L5437" s="12" t="s">
        <v>11726</v>
      </c>
      <c r="M5437" s="14" t="s">
        <v>11731</v>
      </c>
      <c r="N5437" s="438">
        <v>0.1</v>
      </c>
      <c r="O5437" s="438">
        <v>0.35</v>
      </c>
      <c r="P5437" s="41">
        <v>1</v>
      </c>
      <c r="Q5437" s="401">
        <v>0</v>
      </c>
      <c r="R5437" s="401">
        <v>0</v>
      </c>
      <c r="S5437" s="401">
        <v>0</v>
      </c>
      <c r="T5437" s="14" t="s">
        <v>11722</v>
      </c>
      <c r="U5437" t="s">
        <v>11723</v>
      </c>
      <c r="V5437" s="14" t="s">
        <v>11732</v>
      </c>
      <c r="W5437" s="388">
        <v>1</v>
      </c>
      <c r="X5437" s="388">
        <v>1</v>
      </c>
      <c r="Y5437" s="388">
        <v>0</v>
      </c>
      <c r="Z5437" s="388">
        <v>1</v>
      </c>
      <c r="AA5437" s="388">
        <v>1</v>
      </c>
      <c r="AB5437" s="388">
        <v>1</v>
      </c>
      <c r="AC5437" s="150">
        <v>1</v>
      </c>
      <c r="AD5437" s="150">
        <v>1</v>
      </c>
      <c r="AE5437" s="49">
        <f t="shared" si="199"/>
        <v>0.875</v>
      </c>
      <c r="AF5437" s="397"/>
      <c r="AG5437" s="17">
        <v>1</v>
      </c>
      <c r="AH5437" s="397">
        <v>20</v>
      </c>
      <c r="AI5437" s="397">
        <v>35</v>
      </c>
      <c r="AJ5437" s="397">
        <v>21</v>
      </c>
      <c r="AK5437" s="398">
        <v>34.410297</v>
      </c>
      <c r="AL5437" s="398">
        <v>34.410297</v>
      </c>
      <c r="AM5437" s="17">
        <f t="shared" si="198"/>
        <v>68.820594</v>
      </c>
      <c r="AN5437" s="14" t="s">
        <v>11722</v>
      </c>
      <c r="AO5437" s="12" t="s">
        <v>11723</v>
      </c>
      <c r="AP5437" s="399"/>
      <c r="AQ5437" s="400"/>
      <c r="AR5437" s="399"/>
      <c r="AS5437" s="399"/>
      <c r="AT5437" s="399"/>
      <c r="AX5437" s="400"/>
    </row>
    <row r="5438" spans="1:50" s="14" customFormat="1" x14ac:dyDescent="0.3">
      <c r="A5438" s="386" t="s">
        <v>8325</v>
      </c>
      <c r="B5438" s="14" t="s">
        <v>8326</v>
      </c>
      <c r="C5438" s="14" t="s">
        <v>11714</v>
      </c>
      <c r="D5438" s="14" t="s">
        <v>6838</v>
      </c>
      <c r="E5438" s="14" t="s">
        <v>11715</v>
      </c>
      <c r="F5438" s="12" t="s">
        <v>11716</v>
      </c>
      <c r="G5438" s="14" t="s">
        <v>11717</v>
      </c>
      <c r="H5438" s="12" t="s">
        <v>11718</v>
      </c>
      <c r="K5438" s="14" t="s">
        <v>11725</v>
      </c>
      <c r="L5438" s="12" t="s">
        <v>11726</v>
      </c>
      <c r="M5438" s="14" t="s">
        <v>11733</v>
      </c>
      <c r="O5438" s="438">
        <v>0.3</v>
      </c>
      <c r="P5438" s="41">
        <v>1</v>
      </c>
      <c r="Q5438" s="401">
        <v>0</v>
      </c>
      <c r="R5438" s="401">
        <v>0</v>
      </c>
      <c r="S5438" s="401">
        <v>0</v>
      </c>
      <c r="T5438" s="14" t="s">
        <v>11722</v>
      </c>
      <c r="U5438" t="s">
        <v>11723</v>
      </c>
      <c r="V5438" s="14" t="s">
        <v>11734</v>
      </c>
      <c r="W5438" s="388">
        <v>1</v>
      </c>
      <c r="X5438" s="388">
        <v>1</v>
      </c>
      <c r="Y5438" s="388">
        <v>0</v>
      </c>
      <c r="Z5438" s="388">
        <v>1</v>
      </c>
      <c r="AA5438" s="388">
        <v>0</v>
      </c>
      <c r="AB5438" s="388">
        <v>1</v>
      </c>
      <c r="AC5438" s="150">
        <v>1</v>
      </c>
      <c r="AD5438" s="150">
        <v>1</v>
      </c>
      <c r="AE5438" s="49">
        <f t="shared" si="199"/>
        <v>0.75</v>
      </c>
      <c r="AF5438" s="397"/>
      <c r="AG5438" s="17">
        <v>0</v>
      </c>
      <c r="AH5438" s="397">
        <v>0.54</v>
      </c>
      <c r="AI5438" s="397">
        <v>0.96</v>
      </c>
      <c r="AJ5438" s="397">
        <v>0</v>
      </c>
      <c r="AK5438" s="398">
        <v>0</v>
      </c>
      <c r="AL5438" s="398">
        <v>0</v>
      </c>
      <c r="AM5438" s="17">
        <f t="shared" si="198"/>
        <v>0</v>
      </c>
      <c r="AN5438" s="14" t="s">
        <v>11722</v>
      </c>
      <c r="AO5438" s="12" t="s">
        <v>11723</v>
      </c>
      <c r="AP5438" s="399"/>
      <c r="AQ5438" s="400"/>
      <c r="AR5438" s="399"/>
      <c r="AS5438" s="399"/>
      <c r="AT5438" s="399"/>
      <c r="AX5438" s="400"/>
    </row>
    <row r="5439" spans="1:50" s="14" customFormat="1" x14ac:dyDescent="0.3">
      <c r="A5439" s="386" t="s">
        <v>8325</v>
      </c>
      <c r="B5439" s="14" t="s">
        <v>8326</v>
      </c>
      <c r="C5439" s="14" t="s">
        <v>11714</v>
      </c>
      <c r="D5439" s="14" t="s">
        <v>6838</v>
      </c>
      <c r="E5439" s="14" t="s">
        <v>11715</v>
      </c>
      <c r="F5439" s="12" t="s">
        <v>11716</v>
      </c>
      <c r="G5439" s="14" t="s">
        <v>11717</v>
      </c>
      <c r="H5439" s="12" t="s">
        <v>11718</v>
      </c>
      <c r="K5439" s="14" t="s">
        <v>11725</v>
      </c>
      <c r="L5439" s="12" t="s">
        <v>11726</v>
      </c>
      <c r="M5439" s="14" t="s">
        <v>11735</v>
      </c>
      <c r="N5439" s="418">
        <v>0</v>
      </c>
      <c r="O5439" s="418">
        <v>0</v>
      </c>
      <c r="P5439" s="12">
        <v>3</v>
      </c>
      <c r="Q5439" s="401">
        <v>0</v>
      </c>
      <c r="R5439" s="401">
        <v>0</v>
      </c>
      <c r="S5439" s="401">
        <v>0</v>
      </c>
      <c r="T5439" s="14" t="s">
        <v>11722</v>
      </c>
      <c r="U5439" t="s">
        <v>11723</v>
      </c>
      <c r="V5439" s="12" t="s">
        <v>11736</v>
      </c>
      <c r="W5439" s="388">
        <v>1</v>
      </c>
      <c r="X5439" s="388">
        <v>1</v>
      </c>
      <c r="Y5439" s="388">
        <v>0</v>
      </c>
      <c r="Z5439" s="388">
        <v>1</v>
      </c>
      <c r="AA5439" s="388">
        <v>0</v>
      </c>
      <c r="AB5439" s="388">
        <v>1</v>
      </c>
      <c r="AC5439" s="150">
        <v>1</v>
      </c>
      <c r="AD5439" s="150">
        <v>1</v>
      </c>
      <c r="AE5439" s="49">
        <f t="shared" si="199"/>
        <v>0.75</v>
      </c>
      <c r="AF5439" s="397"/>
      <c r="AG5439" s="17">
        <v>0</v>
      </c>
      <c r="AH5439" s="397">
        <v>0</v>
      </c>
      <c r="AI5439" s="397">
        <v>0.3</v>
      </c>
      <c r="AJ5439" s="397">
        <v>0</v>
      </c>
      <c r="AK5439" s="398">
        <v>0</v>
      </c>
      <c r="AL5439" s="398">
        <v>0</v>
      </c>
      <c r="AM5439" s="17">
        <f t="shared" si="198"/>
        <v>0</v>
      </c>
      <c r="AN5439" s="14" t="s">
        <v>11722</v>
      </c>
      <c r="AO5439" s="12" t="s">
        <v>11723</v>
      </c>
      <c r="AP5439" s="399"/>
      <c r="AQ5439" s="400"/>
      <c r="AR5439" s="399"/>
      <c r="AS5439" s="399"/>
      <c r="AT5439" s="399"/>
      <c r="AX5439" s="400"/>
    </row>
    <row r="5440" spans="1:50" s="14" customFormat="1" x14ac:dyDescent="0.3">
      <c r="A5440" s="386" t="s">
        <v>8325</v>
      </c>
      <c r="B5440" s="14" t="s">
        <v>8326</v>
      </c>
      <c r="C5440" s="14" t="s">
        <v>11714</v>
      </c>
      <c r="D5440" s="14" t="s">
        <v>6838</v>
      </c>
      <c r="E5440" s="14" t="s">
        <v>11715</v>
      </c>
      <c r="F5440" s="12" t="s">
        <v>11716</v>
      </c>
      <c r="G5440" s="14" t="s">
        <v>11717</v>
      </c>
      <c r="H5440" s="12" t="s">
        <v>11718</v>
      </c>
      <c r="K5440" s="14" t="s">
        <v>11725</v>
      </c>
      <c r="L5440" s="12" t="s">
        <v>11726</v>
      </c>
      <c r="M5440" s="14" t="s">
        <v>11737</v>
      </c>
      <c r="N5440" s="418">
        <v>0</v>
      </c>
      <c r="O5440" s="418">
        <v>0</v>
      </c>
      <c r="P5440" s="12">
        <v>5</v>
      </c>
      <c r="Q5440" s="401">
        <v>0</v>
      </c>
      <c r="R5440" s="401">
        <v>0</v>
      </c>
      <c r="S5440" s="401">
        <v>0</v>
      </c>
      <c r="T5440" s="14" t="s">
        <v>11722</v>
      </c>
      <c r="U5440" t="s">
        <v>11723</v>
      </c>
      <c r="V5440" s="12" t="s">
        <v>11738</v>
      </c>
      <c r="W5440" s="388">
        <v>1</v>
      </c>
      <c r="X5440" s="388">
        <v>1</v>
      </c>
      <c r="Y5440" s="388">
        <v>0</v>
      </c>
      <c r="Z5440" s="388">
        <v>1</v>
      </c>
      <c r="AA5440" s="388">
        <v>0</v>
      </c>
      <c r="AB5440" s="388">
        <v>1</v>
      </c>
      <c r="AC5440" s="150">
        <v>1</v>
      </c>
      <c r="AD5440" s="150">
        <v>1</v>
      </c>
      <c r="AE5440" s="49">
        <f t="shared" si="199"/>
        <v>0.75</v>
      </c>
      <c r="AF5440" s="397"/>
      <c r="AG5440" s="17">
        <v>0</v>
      </c>
      <c r="AH5440" s="397">
        <v>0</v>
      </c>
      <c r="AI5440" s="397">
        <v>1.66</v>
      </c>
      <c r="AJ5440" s="397">
        <v>0</v>
      </c>
      <c r="AK5440" s="398">
        <v>0</v>
      </c>
      <c r="AL5440" s="398">
        <v>0</v>
      </c>
      <c r="AM5440" s="17">
        <f t="shared" si="198"/>
        <v>0</v>
      </c>
      <c r="AN5440" s="14" t="s">
        <v>11722</v>
      </c>
      <c r="AO5440" s="12" t="s">
        <v>11723</v>
      </c>
      <c r="AP5440" s="399"/>
      <c r="AQ5440" s="400"/>
      <c r="AR5440" s="399"/>
      <c r="AS5440" s="399"/>
      <c r="AT5440" s="399"/>
      <c r="AX5440" s="400"/>
    </row>
    <row r="5441" spans="1:50" s="14" customFormat="1" x14ac:dyDescent="0.3">
      <c r="A5441" s="386" t="s">
        <v>8325</v>
      </c>
      <c r="B5441" s="14" t="s">
        <v>8326</v>
      </c>
      <c r="C5441" s="14" t="s">
        <v>11714</v>
      </c>
      <c r="D5441" s="14" t="s">
        <v>6838</v>
      </c>
      <c r="E5441" s="14" t="s">
        <v>11715</v>
      </c>
      <c r="F5441" s="12" t="s">
        <v>11716</v>
      </c>
      <c r="G5441" s="14" t="s">
        <v>11717</v>
      </c>
      <c r="H5441" s="12" t="s">
        <v>11718</v>
      </c>
      <c r="K5441" s="14" t="s">
        <v>11725</v>
      </c>
      <c r="L5441" s="12" t="s">
        <v>11726</v>
      </c>
      <c r="M5441" s="14" t="s">
        <v>11739</v>
      </c>
      <c r="N5441" s="418">
        <v>0</v>
      </c>
      <c r="O5441" s="418">
        <v>0</v>
      </c>
      <c r="P5441" s="12">
        <v>2</v>
      </c>
      <c r="Q5441" s="12">
        <v>3</v>
      </c>
      <c r="R5441" s="12">
        <v>2</v>
      </c>
      <c r="S5441" s="401">
        <v>0</v>
      </c>
      <c r="T5441" s="14" t="s">
        <v>11722</v>
      </c>
      <c r="U5441" t="s">
        <v>11723</v>
      </c>
      <c r="V5441" s="14" t="s">
        <v>11740</v>
      </c>
      <c r="W5441" s="388">
        <v>1</v>
      </c>
      <c r="X5441" s="388">
        <v>1</v>
      </c>
      <c r="Y5441" s="388">
        <v>0</v>
      </c>
      <c r="Z5441" s="388">
        <v>1</v>
      </c>
      <c r="AA5441" s="388">
        <v>0</v>
      </c>
      <c r="AB5441" s="388">
        <v>1</v>
      </c>
      <c r="AC5441" s="150">
        <v>1</v>
      </c>
      <c r="AD5441" s="150">
        <v>1</v>
      </c>
      <c r="AE5441" s="49">
        <f t="shared" si="199"/>
        <v>0.75</v>
      </c>
      <c r="AF5441" s="397"/>
      <c r="AG5441" s="17">
        <v>0</v>
      </c>
      <c r="AH5441" s="397">
        <v>0</v>
      </c>
      <c r="AI5441" s="397">
        <v>7.8239999999999998</v>
      </c>
      <c r="AJ5441" s="397">
        <v>11.736000000000001</v>
      </c>
      <c r="AK5441" s="398">
        <v>0</v>
      </c>
      <c r="AL5441" s="398">
        <v>0</v>
      </c>
      <c r="AM5441" s="17">
        <f t="shared" si="198"/>
        <v>0</v>
      </c>
      <c r="AN5441" s="14" t="s">
        <v>11722</v>
      </c>
      <c r="AO5441" s="12" t="s">
        <v>11723</v>
      </c>
      <c r="AP5441" s="399"/>
      <c r="AQ5441" s="400"/>
      <c r="AR5441" s="399"/>
      <c r="AS5441" s="399"/>
      <c r="AT5441" s="399"/>
      <c r="AX5441" s="400"/>
    </row>
    <row r="5442" spans="1:50" s="14" customFormat="1" x14ac:dyDescent="0.3">
      <c r="A5442" s="386" t="s">
        <v>8325</v>
      </c>
      <c r="B5442" s="14" t="s">
        <v>8326</v>
      </c>
      <c r="C5442" s="14" t="s">
        <v>11714</v>
      </c>
      <c r="D5442" s="14" t="s">
        <v>6838</v>
      </c>
      <c r="E5442" s="14" t="s">
        <v>11715</v>
      </c>
      <c r="F5442" s="12" t="s">
        <v>11716</v>
      </c>
      <c r="G5442" s="14" t="s">
        <v>11717</v>
      </c>
      <c r="H5442" s="12" t="s">
        <v>11718</v>
      </c>
      <c r="K5442" s="14" t="s">
        <v>11725</v>
      </c>
      <c r="L5442" s="12" t="s">
        <v>11726</v>
      </c>
      <c r="M5442" s="14" t="s">
        <v>11741</v>
      </c>
      <c r="N5442" s="418">
        <v>0</v>
      </c>
      <c r="O5442" s="14">
        <v>1</v>
      </c>
      <c r="P5442" s="12">
        <v>2</v>
      </c>
      <c r="Q5442" s="12">
        <v>3</v>
      </c>
      <c r="R5442" s="12">
        <v>2</v>
      </c>
      <c r="S5442" s="12">
        <v>2</v>
      </c>
      <c r="T5442" s="14" t="s">
        <v>11722</v>
      </c>
      <c r="U5442" t="s">
        <v>11723</v>
      </c>
      <c r="V5442" s="14" t="s">
        <v>11742</v>
      </c>
      <c r="W5442" s="388">
        <v>1</v>
      </c>
      <c r="X5442" s="388">
        <v>1</v>
      </c>
      <c r="Y5442" s="388">
        <v>0</v>
      </c>
      <c r="Z5442" s="388">
        <v>1</v>
      </c>
      <c r="AA5442" s="388">
        <v>1</v>
      </c>
      <c r="AB5442" s="388">
        <v>1</v>
      </c>
      <c r="AC5442" s="150">
        <v>1</v>
      </c>
      <c r="AD5442" s="150">
        <v>1</v>
      </c>
      <c r="AE5442" s="49">
        <f t="shared" si="199"/>
        <v>0.875</v>
      </c>
      <c r="AF5442" s="397"/>
      <c r="AG5442" s="17">
        <v>0</v>
      </c>
      <c r="AH5442" s="397">
        <v>1.8</v>
      </c>
      <c r="AI5442" s="397">
        <v>3.6</v>
      </c>
      <c r="AJ5442" s="397">
        <v>5.67</v>
      </c>
      <c r="AK5442" s="398">
        <v>0</v>
      </c>
      <c r="AL5442" s="398">
        <v>0</v>
      </c>
      <c r="AM5442" s="17">
        <f t="shared" si="198"/>
        <v>0</v>
      </c>
      <c r="AN5442" s="14" t="s">
        <v>11722</v>
      </c>
      <c r="AO5442" s="12" t="s">
        <v>11723</v>
      </c>
      <c r="AP5442" s="399"/>
      <c r="AQ5442" s="400"/>
      <c r="AR5442" s="399"/>
      <c r="AS5442" s="399"/>
      <c r="AT5442" s="399"/>
      <c r="AX5442" s="400"/>
    </row>
    <row r="5443" spans="1:50" s="14" customFormat="1" x14ac:dyDescent="0.3">
      <c r="A5443" s="386" t="s">
        <v>8325</v>
      </c>
      <c r="B5443" s="14" t="s">
        <v>8326</v>
      </c>
      <c r="C5443" s="14" t="s">
        <v>11714</v>
      </c>
      <c r="D5443" s="14" t="s">
        <v>6838</v>
      </c>
      <c r="E5443" s="14" t="s">
        <v>11715</v>
      </c>
      <c r="F5443" s="12" t="s">
        <v>11716</v>
      </c>
      <c r="G5443" s="14" t="s">
        <v>11717</v>
      </c>
      <c r="H5443" s="12" t="s">
        <v>11718</v>
      </c>
      <c r="K5443" s="14" t="s">
        <v>11725</v>
      </c>
      <c r="L5443" s="12" t="s">
        <v>11726</v>
      </c>
      <c r="M5443" s="14" t="s">
        <v>11743</v>
      </c>
      <c r="O5443" s="14">
        <v>3</v>
      </c>
      <c r="P5443" s="12">
        <v>5</v>
      </c>
      <c r="Q5443" s="12">
        <v>4</v>
      </c>
      <c r="R5443" s="12">
        <v>2</v>
      </c>
      <c r="S5443" s="12">
        <v>2</v>
      </c>
      <c r="T5443" s="14" t="s">
        <v>11722</v>
      </c>
      <c r="U5443" t="s">
        <v>11723</v>
      </c>
      <c r="V5443" s="14" t="s">
        <v>11744</v>
      </c>
      <c r="W5443" s="388">
        <v>1</v>
      </c>
      <c r="X5443" s="388">
        <v>1</v>
      </c>
      <c r="Y5443" s="388">
        <v>0</v>
      </c>
      <c r="Z5443" s="388">
        <v>1</v>
      </c>
      <c r="AA5443" s="388">
        <v>1</v>
      </c>
      <c r="AB5443" s="388">
        <v>1</v>
      </c>
      <c r="AC5443" s="150">
        <v>1</v>
      </c>
      <c r="AD5443" s="150">
        <v>1</v>
      </c>
      <c r="AE5443" s="49">
        <f t="shared" si="199"/>
        <v>0.875</v>
      </c>
      <c r="AF5443" s="397"/>
      <c r="AG5443" s="17">
        <v>0</v>
      </c>
      <c r="AH5443" s="397">
        <v>3.3</v>
      </c>
      <c r="AI5443" s="397">
        <v>5.5</v>
      </c>
      <c r="AJ5443" s="397">
        <v>4.62</v>
      </c>
      <c r="AK5443" s="398">
        <v>0</v>
      </c>
      <c r="AL5443" s="398">
        <v>0</v>
      </c>
      <c r="AM5443" s="17">
        <f t="shared" si="198"/>
        <v>0</v>
      </c>
      <c r="AN5443" s="14" t="s">
        <v>11722</v>
      </c>
      <c r="AO5443" s="12" t="s">
        <v>11723</v>
      </c>
      <c r="AP5443" s="399"/>
      <c r="AQ5443" s="400"/>
      <c r="AR5443" s="399"/>
      <c r="AS5443" s="399"/>
      <c r="AT5443" s="399"/>
      <c r="AX5443" s="400"/>
    </row>
    <row r="5444" spans="1:50" s="14" customFormat="1" x14ac:dyDescent="0.3">
      <c r="A5444" s="386" t="s">
        <v>8325</v>
      </c>
      <c r="B5444" s="14" t="s">
        <v>8326</v>
      </c>
      <c r="C5444" s="14" t="s">
        <v>11714</v>
      </c>
      <c r="D5444" s="14" t="s">
        <v>6838</v>
      </c>
      <c r="E5444" s="14" t="s">
        <v>11715</v>
      </c>
      <c r="F5444" s="12" t="s">
        <v>11716</v>
      </c>
      <c r="G5444" s="14" t="s">
        <v>11717</v>
      </c>
      <c r="H5444" s="12" t="s">
        <v>11718</v>
      </c>
      <c r="K5444" s="14" t="s">
        <v>11725</v>
      </c>
      <c r="L5444" s="12" t="s">
        <v>11726</v>
      </c>
      <c r="M5444" s="14" t="s">
        <v>11745</v>
      </c>
      <c r="O5444" s="14">
        <v>1</v>
      </c>
      <c r="P5444" s="12">
        <v>3</v>
      </c>
      <c r="Q5444" s="12">
        <v>6</v>
      </c>
      <c r="R5444" s="12">
        <v>2</v>
      </c>
      <c r="S5444" s="12">
        <v>2</v>
      </c>
      <c r="T5444" s="14" t="s">
        <v>11722</v>
      </c>
      <c r="U5444" t="s">
        <v>11723</v>
      </c>
      <c r="V5444" s="14" t="s">
        <v>11746</v>
      </c>
      <c r="W5444" s="388">
        <v>1</v>
      </c>
      <c r="X5444" s="388">
        <v>1</v>
      </c>
      <c r="Y5444" s="388">
        <v>0</v>
      </c>
      <c r="Z5444" s="388">
        <v>1</v>
      </c>
      <c r="AA5444" s="388">
        <v>1</v>
      </c>
      <c r="AB5444" s="388">
        <v>1</v>
      </c>
      <c r="AC5444" s="150">
        <v>1</v>
      </c>
      <c r="AD5444" s="150">
        <v>1</v>
      </c>
      <c r="AE5444" s="49">
        <f t="shared" si="199"/>
        <v>0.875</v>
      </c>
      <c r="AF5444" s="397"/>
      <c r="AG5444" s="17">
        <v>0</v>
      </c>
      <c r="AH5444" s="397">
        <v>0.86</v>
      </c>
      <c r="AI5444" s="397">
        <v>2.58</v>
      </c>
      <c r="AJ5444" s="397">
        <v>5.4180000000000001</v>
      </c>
      <c r="AK5444" s="398">
        <v>0</v>
      </c>
      <c r="AL5444" s="398">
        <v>0</v>
      </c>
      <c r="AM5444" s="17">
        <f t="shared" si="198"/>
        <v>0</v>
      </c>
      <c r="AN5444" s="14" t="s">
        <v>11722</v>
      </c>
      <c r="AO5444" s="12" t="s">
        <v>11723</v>
      </c>
      <c r="AP5444" s="399"/>
      <c r="AQ5444" s="400"/>
      <c r="AR5444" s="399"/>
      <c r="AS5444" s="399"/>
      <c r="AT5444" s="399"/>
      <c r="AX5444" s="400"/>
    </row>
    <row r="5445" spans="1:50" s="14" customFormat="1" x14ac:dyDescent="0.3">
      <c r="A5445" s="386" t="s">
        <v>8325</v>
      </c>
      <c r="B5445" s="14" t="s">
        <v>8326</v>
      </c>
      <c r="C5445" s="14" t="s">
        <v>11714</v>
      </c>
      <c r="D5445" s="14" t="s">
        <v>6838</v>
      </c>
      <c r="E5445" s="14" t="s">
        <v>11715</v>
      </c>
      <c r="F5445" s="12" t="s">
        <v>11716</v>
      </c>
      <c r="G5445" s="14" t="s">
        <v>11717</v>
      </c>
      <c r="H5445" s="12" t="s">
        <v>11718</v>
      </c>
      <c r="K5445" s="14" t="s">
        <v>11725</v>
      </c>
      <c r="L5445" s="12" t="s">
        <v>11726</v>
      </c>
      <c r="M5445" s="14" t="s">
        <v>11747</v>
      </c>
      <c r="O5445" s="417">
        <v>0</v>
      </c>
      <c r="P5445" s="12">
        <v>0</v>
      </c>
      <c r="Q5445" s="12">
        <v>10</v>
      </c>
      <c r="R5445" s="12">
        <v>3</v>
      </c>
      <c r="S5445" s="12">
        <v>3</v>
      </c>
      <c r="T5445" s="14" t="s">
        <v>11722</v>
      </c>
      <c r="U5445" t="s">
        <v>11723</v>
      </c>
      <c r="V5445" s="14" t="s">
        <v>11748</v>
      </c>
      <c r="W5445" s="388">
        <v>1</v>
      </c>
      <c r="X5445" s="388">
        <v>1</v>
      </c>
      <c r="Y5445" s="388">
        <v>0</v>
      </c>
      <c r="Z5445" s="388">
        <v>0</v>
      </c>
      <c r="AA5445" s="388">
        <v>0</v>
      </c>
      <c r="AB5445" s="388">
        <v>1</v>
      </c>
      <c r="AC5445" s="150">
        <v>1</v>
      </c>
      <c r="AD5445" s="150">
        <v>1</v>
      </c>
      <c r="AE5445" s="49">
        <f t="shared" si="199"/>
        <v>0.625</v>
      </c>
      <c r="AF5445" s="397"/>
      <c r="AG5445" s="17">
        <v>0</v>
      </c>
      <c r="AH5445" s="397">
        <v>0</v>
      </c>
      <c r="AI5445" s="397">
        <v>2</v>
      </c>
      <c r="AJ5445" s="397">
        <v>2.1</v>
      </c>
      <c r="AK5445" s="398">
        <v>0</v>
      </c>
      <c r="AL5445" s="398">
        <v>0</v>
      </c>
      <c r="AM5445" s="17">
        <f t="shared" si="198"/>
        <v>0</v>
      </c>
      <c r="AN5445" s="14" t="s">
        <v>11722</v>
      </c>
      <c r="AO5445" s="12" t="s">
        <v>11723</v>
      </c>
      <c r="AP5445" s="399"/>
      <c r="AQ5445" s="400"/>
      <c r="AR5445" s="399"/>
      <c r="AS5445" s="399"/>
      <c r="AT5445" s="399"/>
      <c r="AX5445" s="400"/>
    </row>
    <row r="5446" spans="1:50" s="14" customFormat="1" x14ac:dyDescent="0.3">
      <c r="A5446" s="386" t="s">
        <v>8325</v>
      </c>
      <c r="B5446" s="14" t="s">
        <v>8326</v>
      </c>
      <c r="C5446" s="14" t="s">
        <v>11714</v>
      </c>
      <c r="D5446" s="14" t="s">
        <v>6838</v>
      </c>
      <c r="E5446" s="14" t="s">
        <v>11715</v>
      </c>
      <c r="F5446" s="12" t="s">
        <v>11716</v>
      </c>
      <c r="G5446" s="14" t="s">
        <v>11717</v>
      </c>
      <c r="H5446" s="12" t="s">
        <v>11718</v>
      </c>
      <c r="K5446" s="14" t="s">
        <v>11725</v>
      </c>
      <c r="L5446" s="12" t="s">
        <v>11726</v>
      </c>
      <c r="M5446" s="14" t="s">
        <v>11749</v>
      </c>
      <c r="O5446" s="417">
        <v>0</v>
      </c>
      <c r="P5446" s="41">
        <v>0.5</v>
      </c>
      <c r="Q5446" s="41">
        <v>1</v>
      </c>
      <c r="R5446" s="12">
        <v>0</v>
      </c>
      <c r="S5446" s="12">
        <v>0</v>
      </c>
      <c r="T5446" s="14" t="s">
        <v>11722</v>
      </c>
      <c r="U5446" t="s">
        <v>11723</v>
      </c>
      <c r="V5446" s="14" t="s">
        <v>11750</v>
      </c>
      <c r="W5446" s="388">
        <v>1</v>
      </c>
      <c r="X5446" s="388">
        <v>0</v>
      </c>
      <c r="Y5446" s="388">
        <v>0</v>
      </c>
      <c r="Z5446" s="388">
        <v>0</v>
      </c>
      <c r="AA5446" s="388">
        <v>1</v>
      </c>
      <c r="AB5446" s="388">
        <v>1</v>
      </c>
      <c r="AC5446" s="150">
        <v>1</v>
      </c>
      <c r="AD5446" s="150">
        <v>1</v>
      </c>
      <c r="AE5446" s="49">
        <f t="shared" si="199"/>
        <v>0.625</v>
      </c>
      <c r="AF5446" s="397"/>
      <c r="AG5446" s="17">
        <v>0</v>
      </c>
      <c r="AH5446" s="397">
        <v>0</v>
      </c>
      <c r="AI5446" s="397">
        <v>2.15</v>
      </c>
      <c r="AJ5446" s="397">
        <v>2.15</v>
      </c>
      <c r="AK5446" s="398">
        <v>0</v>
      </c>
      <c r="AL5446" s="398">
        <v>0</v>
      </c>
      <c r="AM5446" s="17">
        <f t="shared" si="198"/>
        <v>0</v>
      </c>
      <c r="AN5446" s="14" t="s">
        <v>11722</v>
      </c>
      <c r="AO5446" s="12" t="s">
        <v>11723</v>
      </c>
      <c r="AP5446" s="399"/>
      <c r="AQ5446" s="400"/>
      <c r="AR5446" s="399"/>
      <c r="AS5446" s="399"/>
      <c r="AT5446" s="399"/>
      <c r="AX5446" s="400"/>
    </row>
    <row r="5447" spans="1:50" s="14" customFormat="1" x14ac:dyDescent="0.3">
      <c r="A5447" s="386" t="s">
        <v>8325</v>
      </c>
      <c r="B5447" s="14" t="s">
        <v>8326</v>
      </c>
      <c r="C5447" s="14" t="s">
        <v>11714</v>
      </c>
      <c r="D5447" s="14" t="s">
        <v>6838</v>
      </c>
      <c r="E5447" s="14" t="s">
        <v>11715</v>
      </c>
      <c r="F5447" s="12" t="s">
        <v>11716</v>
      </c>
      <c r="G5447" s="14" t="s">
        <v>11717</v>
      </c>
      <c r="H5447" s="12" t="s">
        <v>11718</v>
      </c>
      <c r="K5447" s="14" t="s">
        <v>11725</v>
      </c>
      <c r="L5447" s="12" t="s">
        <v>11726</v>
      </c>
      <c r="M5447" s="14" t="s">
        <v>11751</v>
      </c>
      <c r="O5447" s="417">
        <v>0</v>
      </c>
      <c r="P5447" s="41">
        <v>0.5</v>
      </c>
      <c r="Q5447" s="41">
        <v>1</v>
      </c>
      <c r="R5447" s="12"/>
      <c r="S5447" s="12"/>
      <c r="T5447" s="14" t="s">
        <v>11722</v>
      </c>
      <c r="U5447" t="s">
        <v>11723</v>
      </c>
      <c r="V5447" s="14" t="s">
        <v>11752</v>
      </c>
      <c r="W5447" s="388">
        <v>1</v>
      </c>
      <c r="X5447" s="388">
        <v>1</v>
      </c>
      <c r="Y5447" s="388">
        <v>0</v>
      </c>
      <c r="Z5447" s="388">
        <v>1</v>
      </c>
      <c r="AA5447" s="388">
        <v>1</v>
      </c>
      <c r="AB5447" s="388">
        <v>1</v>
      </c>
      <c r="AC5447" s="150">
        <v>1</v>
      </c>
      <c r="AD5447" s="150">
        <v>1</v>
      </c>
      <c r="AE5447" s="49">
        <f t="shared" si="199"/>
        <v>0.875</v>
      </c>
      <c r="AF5447" s="397"/>
      <c r="AG5447" s="17">
        <v>0</v>
      </c>
      <c r="AH5447" s="397">
        <v>0</v>
      </c>
      <c r="AI5447" s="397">
        <v>2.8</v>
      </c>
      <c r="AJ5447" s="397">
        <v>2.8</v>
      </c>
      <c r="AK5447" s="398">
        <v>0</v>
      </c>
      <c r="AL5447" s="398">
        <v>0</v>
      </c>
      <c r="AM5447" s="17">
        <f t="shared" si="198"/>
        <v>0</v>
      </c>
      <c r="AN5447" s="14" t="s">
        <v>11722</v>
      </c>
      <c r="AO5447" s="12" t="s">
        <v>11723</v>
      </c>
      <c r="AP5447" s="399"/>
      <c r="AQ5447" s="400"/>
      <c r="AR5447" s="399"/>
      <c r="AS5447" s="399"/>
      <c r="AT5447" s="399"/>
      <c r="AX5447" s="400"/>
    </row>
    <row r="5448" spans="1:50" s="14" customFormat="1" x14ac:dyDescent="0.3">
      <c r="A5448" s="386" t="s">
        <v>8325</v>
      </c>
      <c r="B5448" s="14" t="s">
        <v>8326</v>
      </c>
      <c r="C5448" s="14" t="s">
        <v>11714</v>
      </c>
      <c r="D5448" s="14" t="s">
        <v>6838</v>
      </c>
      <c r="E5448" s="14" t="s">
        <v>11715</v>
      </c>
      <c r="F5448" s="12" t="s">
        <v>11716</v>
      </c>
      <c r="G5448" s="14" t="s">
        <v>11717</v>
      </c>
      <c r="H5448" s="12" t="s">
        <v>11718</v>
      </c>
      <c r="K5448" s="14" t="s">
        <v>11725</v>
      </c>
      <c r="L5448" s="12" t="s">
        <v>11726</v>
      </c>
      <c r="M5448" s="14" t="s">
        <v>11753</v>
      </c>
      <c r="N5448" s="400">
        <v>0</v>
      </c>
      <c r="O5448" s="400">
        <v>0</v>
      </c>
      <c r="P5448" s="403">
        <v>0</v>
      </c>
      <c r="Q5448" s="403">
        <v>0</v>
      </c>
      <c r="R5448" s="403">
        <v>1</v>
      </c>
      <c r="S5448" s="403">
        <v>0</v>
      </c>
      <c r="T5448" s="14" t="s">
        <v>1588</v>
      </c>
      <c r="U5448" t="s">
        <v>1590</v>
      </c>
      <c r="V5448" s="14" t="s">
        <v>11754</v>
      </c>
      <c r="W5448" s="388"/>
      <c r="X5448" s="388"/>
      <c r="Y5448" s="388"/>
      <c r="Z5448" s="388"/>
      <c r="AA5448" s="388"/>
      <c r="AB5448" s="388"/>
      <c r="AC5448" s="150">
        <v>0</v>
      </c>
      <c r="AD5448" s="150">
        <v>0</v>
      </c>
      <c r="AE5448" s="49">
        <f t="shared" si="199"/>
        <v>0</v>
      </c>
      <c r="AF5448" s="397"/>
      <c r="AG5448" s="17">
        <v>0</v>
      </c>
      <c r="AH5448" s="397">
        <v>0</v>
      </c>
      <c r="AI5448" s="397">
        <v>0</v>
      </c>
      <c r="AJ5448" s="397">
        <v>0.25</v>
      </c>
      <c r="AK5448" s="398">
        <v>0</v>
      </c>
      <c r="AL5448" s="398">
        <v>0</v>
      </c>
      <c r="AM5448" s="17">
        <f t="shared" si="198"/>
        <v>0</v>
      </c>
      <c r="AN5448" s="14" t="s">
        <v>1588</v>
      </c>
      <c r="AO5448" s="12" t="s">
        <v>1590</v>
      </c>
      <c r="AP5448" s="399"/>
      <c r="AQ5448" s="400"/>
      <c r="AR5448" s="399"/>
      <c r="AS5448" s="399"/>
      <c r="AT5448" s="399"/>
      <c r="AX5448" s="400"/>
    </row>
    <row r="5449" spans="1:50" s="14" customFormat="1" x14ac:dyDescent="0.3">
      <c r="A5449" s="386" t="s">
        <v>8325</v>
      </c>
      <c r="B5449" s="14" t="s">
        <v>8326</v>
      </c>
      <c r="C5449" s="14" t="s">
        <v>11714</v>
      </c>
      <c r="D5449" s="14" t="s">
        <v>6838</v>
      </c>
      <c r="E5449" s="14" t="s">
        <v>11715</v>
      </c>
      <c r="F5449" s="12" t="s">
        <v>11716</v>
      </c>
      <c r="G5449" s="14" t="s">
        <v>11717</v>
      </c>
      <c r="H5449" s="12" t="s">
        <v>11718</v>
      </c>
      <c r="K5449" s="14" t="s">
        <v>11725</v>
      </c>
      <c r="L5449" s="12" t="s">
        <v>11726</v>
      </c>
      <c r="M5449" s="14" t="s">
        <v>11755</v>
      </c>
      <c r="N5449" s="400"/>
      <c r="O5449" s="400"/>
      <c r="P5449" s="403"/>
      <c r="Q5449" s="403"/>
      <c r="R5449" s="403">
        <v>1</v>
      </c>
      <c r="S5449" s="403"/>
      <c r="T5449" s="14" t="s">
        <v>1588</v>
      </c>
      <c r="U5449" t="s">
        <v>1590</v>
      </c>
      <c r="V5449" s="14" t="s">
        <v>11756</v>
      </c>
      <c r="W5449" s="388"/>
      <c r="X5449" s="388"/>
      <c r="Y5449" s="388"/>
      <c r="Z5449" s="388"/>
      <c r="AA5449" s="388"/>
      <c r="AB5449" s="388"/>
      <c r="AC5449" s="150">
        <v>0</v>
      </c>
      <c r="AD5449" s="150">
        <v>0</v>
      </c>
      <c r="AE5449" s="49">
        <f t="shared" si="199"/>
        <v>0</v>
      </c>
      <c r="AF5449" s="397"/>
      <c r="AG5449" s="17">
        <v>0</v>
      </c>
      <c r="AH5449" s="397">
        <v>0</v>
      </c>
      <c r="AI5449" s="397">
        <v>0</v>
      </c>
      <c r="AJ5449" s="397">
        <v>0</v>
      </c>
      <c r="AK5449" s="398">
        <v>0</v>
      </c>
      <c r="AL5449" s="398">
        <v>0</v>
      </c>
      <c r="AM5449" s="17">
        <f t="shared" si="198"/>
        <v>0</v>
      </c>
      <c r="AN5449" s="14" t="s">
        <v>1588</v>
      </c>
      <c r="AO5449" s="12" t="s">
        <v>1590</v>
      </c>
      <c r="AP5449" s="399"/>
      <c r="AQ5449" s="400"/>
      <c r="AR5449" s="399"/>
      <c r="AS5449" s="399"/>
      <c r="AT5449" s="399"/>
      <c r="AX5449" s="400"/>
    </row>
    <row r="5450" spans="1:50" s="14" customFormat="1" x14ac:dyDescent="0.3">
      <c r="A5450" s="386" t="s">
        <v>8325</v>
      </c>
      <c r="B5450" s="14" t="s">
        <v>8326</v>
      </c>
      <c r="C5450" s="14" t="s">
        <v>11714</v>
      </c>
      <c r="D5450" s="14" t="s">
        <v>6838</v>
      </c>
      <c r="E5450" s="14" t="s">
        <v>11715</v>
      </c>
      <c r="F5450" s="12" t="s">
        <v>11716</v>
      </c>
      <c r="G5450" s="14" t="s">
        <v>11717</v>
      </c>
      <c r="H5450" s="12" t="s">
        <v>11718</v>
      </c>
      <c r="K5450" s="14" t="s">
        <v>11725</v>
      </c>
      <c r="L5450" s="12" t="s">
        <v>11726</v>
      </c>
      <c r="M5450" s="14" t="s">
        <v>11757</v>
      </c>
      <c r="N5450" s="400"/>
      <c r="O5450" s="400">
        <v>0</v>
      </c>
      <c r="P5450" s="403">
        <v>0</v>
      </c>
      <c r="Q5450" s="403">
        <v>1</v>
      </c>
      <c r="R5450" s="403">
        <v>0</v>
      </c>
      <c r="S5450" s="403">
        <v>0</v>
      </c>
      <c r="T5450" s="14" t="s">
        <v>1588</v>
      </c>
      <c r="U5450" t="s">
        <v>1590</v>
      </c>
      <c r="V5450" s="14" t="s">
        <v>11758</v>
      </c>
      <c r="W5450" s="388"/>
      <c r="X5450" s="388"/>
      <c r="Y5450" s="388"/>
      <c r="Z5450" s="388"/>
      <c r="AA5450" s="388"/>
      <c r="AB5450" s="388"/>
      <c r="AC5450" s="150">
        <v>0</v>
      </c>
      <c r="AD5450" s="150">
        <v>0</v>
      </c>
      <c r="AE5450" s="49">
        <f t="shared" si="199"/>
        <v>0</v>
      </c>
      <c r="AF5450" s="397"/>
      <c r="AG5450" s="17">
        <v>0</v>
      </c>
      <c r="AH5450" s="397">
        <v>0</v>
      </c>
      <c r="AI5450" s="397">
        <v>0</v>
      </c>
      <c r="AJ5450" s="397">
        <v>0.05</v>
      </c>
      <c r="AK5450" s="398">
        <v>0</v>
      </c>
      <c r="AL5450" s="398">
        <v>0</v>
      </c>
      <c r="AM5450" s="17">
        <f t="shared" si="198"/>
        <v>0</v>
      </c>
      <c r="AN5450" s="14" t="s">
        <v>1588</v>
      </c>
      <c r="AO5450" s="12" t="s">
        <v>1590</v>
      </c>
      <c r="AP5450" s="399"/>
      <c r="AQ5450" s="400"/>
      <c r="AR5450" s="399"/>
      <c r="AS5450" s="399"/>
      <c r="AT5450" s="399"/>
      <c r="AX5450" s="400"/>
    </row>
    <row r="5451" spans="1:50" s="14" customFormat="1" x14ac:dyDescent="0.3">
      <c r="A5451" s="386" t="s">
        <v>8325</v>
      </c>
      <c r="B5451" s="14" t="s">
        <v>8326</v>
      </c>
      <c r="C5451" s="14" t="s">
        <v>11714</v>
      </c>
      <c r="D5451" s="14" t="s">
        <v>6838</v>
      </c>
      <c r="E5451" s="14" t="s">
        <v>11715</v>
      </c>
      <c r="F5451" s="12" t="s">
        <v>11716</v>
      </c>
      <c r="G5451" s="14" t="s">
        <v>11717</v>
      </c>
      <c r="H5451" s="12" t="s">
        <v>11718</v>
      </c>
      <c r="K5451" s="14" t="s">
        <v>11725</v>
      </c>
      <c r="L5451" s="12" t="s">
        <v>11726</v>
      </c>
      <c r="N5451" s="400"/>
      <c r="O5451" s="400"/>
      <c r="P5451" s="403"/>
      <c r="Q5451" s="403"/>
      <c r="R5451" s="403"/>
      <c r="S5451" s="403"/>
      <c r="T5451" s="14" t="s">
        <v>1588</v>
      </c>
      <c r="U5451" t="s">
        <v>1590</v>
      </c>
      <c r="V5451" s="14" t="s">
        <v>11759</v>
      </c>
      <c r="W5451" s="388"/>
      <c r="X5451" s="388"/>
      <c r="Y5451" s="388"/>
      <c r="Z5451" s="388"/>
      <c r="AA5451" s="388"/>
      <c r="AB5451" s="388"/>
      <c r="AC5451" s="150">
        <v>0</v>
      </c>
      <c r="AD5451" s="150">
        <v>0</v>
      </c>
      <c r="AE5451" s="49">
        <f t="shared" si="199"/>
        <v>0</v>
      </c>
      <c r="AF5451" s="397"/>
      <c r="AG5451" s="17">
        <v>0</v>
      </c>
      <c r="AH5451" s="397">
        <v>0</v>
      </c>
      <c r="AI5451" s="397">
        <v>0</v>
      </c>
      <c r="AJ5451" s="397">
        <v>0.25</v>
      </c>
      <c r="AK5451" s="398">
        <v>0</v>
      </c>
      <c r="AL5451" s="398">
        <v>0</v>
      </c>
      <c r="AM5451" s="17">
        <f t="shared" si="198"/>
        <v>0</v>
      </c>
      <c r="AN5451" s="14" t="s">
        <v>1588</v>
      </c>
      <c r="AO5451" s="12" t="s">
        <v>1590</v>
      </c>
      <c r="AP5451" s="399"/>
      <c r="AQ5451" s="400"/>
      <c r="AR5451" s="399"/>
      <c r="AS5451" s="399"/>
      <c r="AT5451" s="399"/>
      <c r="AX5451" s="400"/>
    </row>
    <row r="5452" spans="1:50" s="14" customFormat="1" x14ac:dyDescent="0.3">
      <c r="A5452" s="386" t="s">
        <v>8325</v>
      </c>
      <c r="B5452" s="14" t="s">
        <v>8326</v>
      </c>
      <c r="C5452" s="14" t="s">
        <v>11714</v>
      </c>
      <c r="D5452" s="14" t="s">
        <v>6838</v>
      </c>
      <c r="E5452" s="14" t="s">
        <v>11715</v>
      </c>
      <c r="F5452" s="12" t="s">
        <v>11716</v>
      </c>
      <c r="G5452" s="14" t="s">
        <v>11717</v>
      </c>
      <c r="H5452" s="12" t="s">
        <v>11718</v>
      </c>
      <c r="K5452" s="14" t="s">
        <v>11725</v>
      </c>
      <c r="L5452" s="12" t="s">
        <v>11726</v>
      </c>
      <c r="N5452" s="400"/>
      <c r="O5452" s="400"/>
      <c r="P5452" s="403"/>
      <c r="Q5452" s="403"/>
      <c r="R5452" s="403"/>
      <c r="S5452" s="403"/>
      <c r="T5452" s="14" t="s">
        <v>1588</v>
      </c>
      <c r="U5452" t="s">
        <v>1590</v>
      </c>
      <c r="V5452" s="14" t="s">
        <v>11760</v>
      </c>
      <c r="W5452" s="388"/>
      <c r="X5452" s="388"/>
      <c r="Y5452" s="388"/>
      <c r="Z5452" s="388"/>
      <c r="AA5452" s="388"/>
      <c r="AB5452" s="388"/>
      <c r="AC5452" s="150">
        <v>0</v>
      </c>
      <c r="AD5452" s="150">
        <v>0</v>
      </c>
      <c r="AE5452" s="49">
        <f t="shared" si="199"/>
        <v>0</v>
      </c>
      <c r="AF5452" s="397"/>
      <c r="AG5452" s="17">
        <v>0</v>
      </c>
      <c r="AH5452" s="397">
        <v>0</v>
      </c>
      <c r="AI5452" s="397">
        <v>0</v>
      </c>
      <c r="AJ5452" s="397">
        <v>0</v>
      </c>
      <c r="AK5452" s="398">
        <v>0</v>
      </c>
      <c r="AL5452" s="398">
        <v>0</v>
      </c>
      <c r="AM5452" s="17">
        <f t="shared" si="198"/>
        <v>0</v>
      </c>
      <c r="AN5452" s="14" t="s">
        <v>1588</v>
      </c>
      <c r="AO5452" s="12" t="s">
        <v>1590</v>
      </c>
      <c r="AP5452" s="399"/>
      <c r="AQ5452" s="400"/>
      <c r="AR5452" s="399"/>
      <c r="AS5452" s="399"/>
      <c r="AT5452" s="399"/>
      <c r="AX5452" s="400"/>
    </row>
    <row r="5453" spans="1:50" s="14" customFormat="1" x14ac:dyDescent="0.3">
      <c r="A5453" s="386" t="s">
        <v>8325</v>
      </c>
      <c r="B5453" s="14" t="s">
        <v>8326</v>
      </c>
      <c r="C5453" s="14" t="s">
        <v>11714</v>
      </c>
      <c r="D5453" s="14" t="s">
        <v>6838</v>
      </c>
      <c r="E5453" s="14" t="s">
        <v>11715</v>
      </c>
      <c r="F5453" s="12" t="s">
        <v>11716</v>
      </c>
      <c r="G5453" s="14" t="s">
        <v>11717</v>
      </c>
      <c r="H5453" s="12" t="s">
        <v>11718</v>
      </c>
      <c r="K5453" s="14" t="s">
        <v>11725</v>
      </c>
      <c r="L5453" s="12" t="s">
        <v>11726</v>
      </c>
      <c r="N5453" s="400"/>
      <c r="O5453" s="400"/>
      <c r="P5453" s="403"/>
      <c r="Q5453" s="403"/>
      <c r="R5453" s="403"/>
      <c r="S5453" s="403"/>
      <c r="T5453" s="14" t="s">
        <v>1588</v>
      </c>
      <c r="U5453" t="s">
        <v>1590</v>
      </c>
      <c r="V5453" s="14" t="s">
        <v>11761</v>
      </c>
      <c r="W5453" s="388"/>
      <c r="X5453" s="388"/>
      <c r="Y5453" s="388"/>
      <c r="Z5453" s="388"/>
      <c r="AA5453" s="388"/>
      <c r="AB5453" s="388"/>
      <c r="AC5453" s="150">
        <v>0</v>
      </c>
      <c r="AD5453" s="150">
        <v>0</v>
      </c>
      <c r="AE5453" s="49">
        <f t="shared" si="199"/>
        <v>0</v>
      </c>
      <c r="AF5453" s="397"/>
      <c r="AG5453" s="17">
        <v>0</v>
      </c>
      <c r="AH5453" s="397">
        <v>0</v>
      </c>
      <c r="AI5453" s="397">
        <v>0</v>
      </c>
      <c r="AJ5453" s="397">
        <v>0</v>
      </c>
      <c r="AK5453" s="398">
        <v>0</v>
      </c>
      <c r="AL5453" s="398">
        <v>0</v>
      </c>
      <c r="AM5453" s="17">
        <f t="shared" si="198"/>
        <v>0</v>
      </c>
      <c r="AN5453" s="14" t="s">
        <v>1588</v>
      </c>
      <c r="AO5453" s="12" t="s">
        <v>1590</v>
      </c>
      <c r="AP5453" s="399"/>
      <c r="AQ5453" s="400"/>
      <c r="AR5453" s="399"/>
      <c r="AS5453" s="399"/>
      <c r="AT5453" s="399"/>
      <c r="AX5453" s="400"/>
    </row>
    <row r="5454" spans="1:50" s="14" customFormat="1" x14ac:dyDescent="0.3">
      <c r="A5454" s="386" t="s">
        <v>8325</v>
      </c>
      <c r="B5454" s="14" t="s">
        <v>8326</v>
      </c>
      <c r="C5454" s="14" t="s">
        <v>11714</v>
      </c>
      <c r="D5454" s="14" t="s">
        <v>6838</v>
      </c>
      <c r="E5454" s="14" t="s">
        <v>11715</v>
      </c>
      <c r="F5454" s="12" t="s">
        <v>11716</v>
      </c>
      <c r="G5454" s="14" t="s">
        <v>11717</v>
      </c>
      <c r="H5454" s="12" t="s">
        <v>11718</v>
      </c>
      <c r="K5454" s="14" t="s">
        <v>11725</v>
      </c>
      <c r="L5454" s="12" t="s">
        <v>11726</v>
      </c>
      <c r="M5454" s="14" t="s">
        <v>11762</v>
      </c>
      <c r="O5454" s="14">
        <v>0</v>
      </c>
      <c r="P5454" s="404">
        <v>1</v>
      </c>
      <c r="Q5454" s="404">
        <v>1</v>
      </c>
      <c r="R5454" s="404">
        <v>1</v>
      </c>
      <c r="S5454" s="404">
        <v>1</v>
      </c>
      <c r="T5454" s="14" t="s">
        <v>771</v>
      </c>
      <c r="U5454" t="s">
        <v>773</v>
      </c>
      <c r="V5454" s="14" t="s">
        <v>11763</v>
      </c>
      <c r="W5454" s="388"/>
      <c r="X5454" s="388"/>
      <c r="Y5454" s="388"/>
      <c r="Z5454" s="388"/>
      <c r="AA5454" s="388"/>
      <c r="AB5454" s="388"/>
      <c r="AC5454" s="150">
        <v>0</v>
      </c>
      <c r="AD5454" s="150">
        <v>0</v>
      </c>
      <c r="AE5454" s="49">
        <f t="shared" si="199"/>
        <v>0</v>
      </c>
      <c r="AF5454" s="397"/>
      <c r="AG5454" s="17">
        <v>0</v>
      </c>
      <c r="AH5454" s="397">
        <v>0</v>
      </c>
      <c r="AI5454" s="397">
        <v>0.4</v>
      </c>
      <c r="AJ5454" s="397">
        <v>0.4</v>
      </c>
      <c r="AK5454" s="398">
        <v>0</v>
      </c>
      <c r="AL5454" s="398">
        <v>0</v>
      </c>
      <c r="AM5454" s="17">
        <f t="shared" si="198"/>
        <v>0</v>
      </c>
      <c r="AN5454" s="14" t="s">
        <v>771</v>
      </c>
      <c r="AO5454" s="12" t="s">
        <v>773</v>
      </c>
      <c r="AP5454" s="399"/>
      <c r="AQ5454" s="400"/>
      <c r="AR5454" s="399"/>
      <c r="AS5454" s="399"/>
      <c r="AT5454" s="399"/>
      <c r="AX5454" s="400"/>
    </row>
    <row r="5455" spans="1:50" s="12" customFormat="1" x14ac:dyDescent="0.3">
      <c r="A5455" s="386" t="s">
        <v>8325</v>
      </c>
      <c r="B5455" s="14" t="s">
        <v>8326</v>
      </c>
      <c r="C5455" s="14" t="s">
        <v>11714</v>
      </c>
      <c r="D5455" s="12" t="s">
        <v>6838</v>
      </c>
      <c r="E5455" s="14" t="s">
        <v>11715</v>
      </c>
      <c r="F5455" s="12" t="s">
        <v>11716</v>
      </c>
      <c r="G5455" s="14" t="s">
        <v>11717</v>
      </c>
      <c r="H5455" s="12" t="s">
        <v>11718</v>
      </c>
      <c r="K5455" s="14" t="s">
        <v>11725</v>
      </c>
      <c r="L5455" s="12" t="s">
        <v>11726</v>
      </c>
      <c r="M5455" s="14" t="s">
        <v>11764</v>
      </c>
      <c r="N5455" s="14"/>
      <c r="O5455" s="14">
        <v>0</v>
      </c>
      <c r="P5455" s="14">
        <v>2</v>
      </c>
      <c r="Q5455" s="14">
        <v>2</v>
      </c>
      <c r="R5455" s="14">
        <v>2</v>
      </c>
      <c r="S5455" s="14">
        <v>4</v>
      </c>
      <c r="T5455" s="14" t="s">
        <v>771</v>
      </c>
      <c r="U5455" t="s">
        <v>773</v>
      </c>
      <c r="V5455" s="14" t="s">
        <v>11765</v>
      </c>
      <c r="W5455" s="388"/>
      <c r="X5455" s="388"/>
      <c r="Y5455" s="388"/>
      <c r="Z5455" s="388"/>
      <c r="AA5455" s="388"/>
      <c r="AB5455" s="388"/>
      <c r="AC5455" s="150">
        <v>0</v>
      </c>
      <c r="AD5455" s="150">
        <v>0</v>
      </c>
      <c r="AE5455" s="49">
        <f t="shared" si="199"/>
        <v>0</v>
      </c>
      <c r="AF5455" s="397"/>
      <c r="AG5455" s="17">
        <v>0</v>
      </c>
      <c r="AH5455" s="397">
        <v>0</v>
      </c>
      <c r="AI5455" s="397">
        <v>2</v>
      </c>
      <c r="AJ5455" s="397">
        <v>2</v>
      </c>
      <c r="AK5455" s="398">
        <v>0</v>
      </c>
      <c r="AL5455" s="398">
        <v>0</v>
      </c>
      <c r="AM5455" s="17">
        <f t="shared" si="198"/>
        <v>0</v>
      </c>
      <c r="AN5455" s="14" t="s">
        <v>771</v>
      </c>
      <c r="AO5455" s="12" t="s">
        <v>773</v>
      </c>
      <c r="AP5455" s="405"/>
      <c r="AQ5455" s="400"/>
      <c r="AR5455" s="405"/>
      <c r="AS5455" s="405"/>
      <c r="AT5455" s="405"/>
      <c r="AX5455" s="402"/>
    </row>
    <row r="5456" spans="1:50" s="12" customFormat="1" x14ac:dyDescent="0.3">
      <c r="A5456" s="386" t="s">
        <v>8325</v>
      </c>
      <c r="B5456" s="14" t="s">
        <v>8326</v>
      </c>
      <c r="C5456" s="14" t="s">
        <v>11714</v>
      </c>
      <c r="D5456" s="12" t="s">
        <v>6838</v>
      </c>
      <c r="E5456" s="14" t="s">
        <v>11715</v>
      </c>
      <c r="F5456" s="12" t="s">
        <v>11716</v>
      </c>
      <c r="G5456" s="14" t="s">
        <v>11717</v>
      </c>
      <c r="H5456" s="12" t="s">
        <v>11718</v>
      </c>
      <c r="K5456" s="14" t="s">
        <v>11725</v>
      </c>
      <c r="L5456" s="12" t="s">
        <v>11726</v>
      </c>
      <c r="M5456" s="14" t="s">
        <v>11766</v>
      </c>
      <c r="N5456" s="14"/>
      <c r="O5456" s="14"/>
      <c r="P5456" s="404">
        <v>2</v>
      </c>
      <c r="Q5456" s="404">
        <v>2</v>
      </c>
      <c r="R5456" s="404">
        <v>2</v>
      </c>
      <c r="S5456" s="404">
        <v>4</v>
      </c>
      <c r="T5456" s="14" t="s">
        <v>771</v>
      </c>
      <c r="U5456" t="s">
        <v>773</v>
      </c>
      <c r="V5456" s="14" t="s">
        <v>11767</v>
      </c>
      <c r="W5456" s="388"/>
      <c r="X5456" s="388"/>
      <c r="Y5456" s="388"/>
      <c r="Z5456" s="388"/>
      <c r="AA5456" s="388"/>
      <c r="AB5456" s="388"/>
      <c r="AC5456" s="150">
        <v>0</v>
      </c>
      <c r="AD5456" s="150">
        <v>0</v>
      </c>
      <c r="AE5456" s="49">
        <f t="shared" si="199"/>
        <v>0</v>
      </c>
      <c r="AF5456" s="397"/>
      <c r="AG5456" s="17">
        <v>0</v>
      </c>
      <c r="AH5456" s="397">
        <v>0</v>
      </c>
      <c r="AI5456" s="397">
        <v>0.8</v>
      </c>
      <c r="AJ5456" s="397">
        <v>0.8</v>
      </c>
      <c r="AK5456" s="398">
        <v>0</v>
      </c>
      <c r="AL5456" s="398">
        <v>0</v>
      </c>
      <c r="AM5456" s="17">
        <f t="shared" si="198"/>
        <v>0</v>
      </c>
      <c r="AN5456" s="14" t="s">
        <v>771</v>
      </c>
      <c r="AO5456" s="12" t="s">
        <v>773</v>
      </c>
      <c r="AP5456" s="405"/>
      <c r="AQ5456" s="400"/>
      <c r="AR5456" s="405"/>
      <c r="AS5456" s="405"/>
      <c r="AT5456" s="405"/>
      <c r="AX5456" s="402"/>
    </row>
    <row r="5457" spans="1:50" s="14" customFormat="1" x14ac:dyDescent="0.3">
      <c r="A5457" s="386" t="s">
        <v>8325</v>
      </c>
      <c r="B5457" s="14" t="s">
        <v>8326</v>
      </c>
      <c r="C5457" s="14" t="s">
        <v>11714</v>
      </c>
      <c r="D5457" s="14" t="s">
        <v>6838</v>
      </c>
      <c r="E5457" s="14" t="s">
        <v>11715</v>
      </c>
      <c r="F5457" s="12" t="s">
        <v>11716</v>
      </c>
      <c r="G5457" s="14" t="s">
        <v>11717</v>
      </c>
      <c r="H5457" s="12" t="s">
        <v>11718</v>
      </c>
      <c r="K5457" s="14" t="s">
        <v>11768</v>
      </c>
      <c r="L5457" s="12" t="s">
        <v>11769</v>
      </c>
      <c r="M5457" s="14" t="s">
        <v>11770</v>
      </c>
      <c r="O5457" s="417"/>
      <c r="P5457" s="25">
        <v>20</v>
      </c>
      <c r="Q5457" s="25">
        <v>20</v>
      </c>
      <c r="R5457" s="12">
        <v>0</v>
      </c>
      <c r="S5457" s="12">
        <v>0</v>
      </c>
      <c r="T5457" s="14" t="s">
        <v>11722</v>
      </c>
      <c r="U5457" t="s">
        <v>11723</v>
      </c>
      <c r="V5457" s="14" t="s">
        <v>11771</v>
      </c>
      <c r="W5457" s="388">
        <v>1</v>
      </c>
      <c r="X5457" s="388">
        <v>0</v>
      </c>
      <c r="Y5457" s="388">
        <v>0</v>
      </c>
      <c r="Z5457" s="388">
        <v>1</v>
      </c>
      <c r="AA5457" s="388">
        <v>0</v>
      </c>
      <c r="AB5457" s="388">
        <v>0</v>
      </c>
      <c r="AC5457" s="150">
        <v>0</v>
      </c>
      <c r="AD5457" s="150">
        <v>1</v>
      </c>
      <c r="AE5457" s="49">
        <f t="shared" si="199"/>
        <v>0.375</v>
      </c>
      <c r="AF5457" s="397"/>
      <c r="AG5457" s="17">
        <v>0</v>
      </c>
      <c r="AH5457" s="397">
        <v>0.12</v>
      </c>
      <c r="AI5457" s="397">
        <v>0.12</v>
      </c>
      <c r="AJ5457" s="397">
        <v>0.126</v>
      </c>
      <c r="AK5457" s="398">
        <v>0</v>
      </c>
      <c r="AL5457" s="398">
        <v>0</v>
      </c>
      <c r="AM5457" s="17">
        <f t="shared" si="198"/>
        <v>0</v>
      </c>
      <c r="AN5457" s="14" t="s">
        <v>11722</v>
      </c>
      <c r="AO5457" s="12" t="s">
        <v>11723</v>
      </c>
      <c r="AP5457" s="399"/>
      <c r="AQ5457" s="400"/>
      <c r="AR5457" s="399"/>
      <c r="AS5457" s="399"/>
      <c r="AT5457" s="399"/>
      <c r="AX5457" s="400"/>
    </row>
    <row r="5458" spans="1:50" s="14" customFormat="1" x14ac:dyDescent="0.3">
      <c r="A5458" s="386" t="s">
        <v>8325</v>
      </c>
      <c r="B5458" s="14" t="s">
        <v>8326</v>
      </c>
      <c r="C5458" s="14" t="s">
        <v>11714</v>
      </c>
      <c r="D5458" s="14" t="s">
        <v>6838</v>
      </c>
      <c r="E5458" s="14" t="s">
        <v>11715</v>
      </c>
      <c r="F5458" s="12" t="s">
        <v>11716</v>
      </c>
      <c r="G5458" s="14" t="s">
        <v>11717</v>
      </c>
      <c r="H5458" s="12" t="s">
        <v>11718</v>
      </c>
      <c r="K5458" s="14" t="s">
        <v>11768</v>
      </c>
      <c r="L5458" s="12" t="s">
        <v>11769</v>
      </c>
      <c r="M5458" s="14" t="s">
        <v>11772</v>
      </c>
      <c r="N5458" s="168">
        <v>3</v>
      </c>
      <c r="O5458" s="168"/>
      <c r="P5458" s="189">
        <v>30</v>
      </c>
      <c r="Q5458" s="189">
        <v>0</v>
      </c>
      <c r="R5458" s="189">
        <v>0</v>
      </c>
      <c r="S5458" s="189"/>
      <c r="T5458" s="14" t="s">
        <v>11722</v>
      </c>
      <c r="U5458" t="s">
        <v>11723</v>
      </c>
      <c r="V5458" s="14" t="s">
        <v>11773</v>
      </c>
      <c r="W5458" s="388">
        <v>1</v>
      </c>
      <c r="X5458" s="388">
        <v>0</v>
      </c>
      <c r="Y5458" s="388">
        <v>0</v>
      </c>
      <c r="Z5458" s="388">
        <v>1</v>
      </c>
      <c r="AA5458" s="388">
        <v>1</v>
      </c>
      <c r="AB5458" s="388">
        <v>0</v>
      </c>
      <c r="AC5458" s="150">
        <v>0</v>
      </c>
      <c r="AD5458" s="150">
        <v>1</v>
      </c>
      <c r="AE5458" s="49">
        <f t="shared" si="199"/>
        <v>0.5</v>
      </c>
      <c r="AF5458" s="397"/>
      <c r="AG5458" s="17">
        <v>0</v>
      </c>
      <c r="AH5458" s="397">
        <v>0</v>
      </c>
      <c r="AI5458" s="397">
        <v>1.05</v>
      </c>
      <c r="AJ5458" s="397">
        <v>0</v>
      </c>
      <c r="AK5458" s="398">
        <v>0</v>
      </c>
      <c r="AL5458" s="398">
        <v>0</v>
      </c>
      <c r="AM5458" s="17">
        <f t="shared" si="198"/>
        <v>0</v>
      </c>
      <c r="AN5458" s="14" t="s">
        <v>11722</v>
      </c>
      <c r="AO5458" s="12" t="s">
        <v>11723</v>
      </c>
      <c r="AP5458" s="399"/>
      <c r="AQ5458" s="400"/>
      <c r="AR5458" s="399"/>
      <c r="AS5458" s="399"/>
      <c r="AT5458" s="399"/>
      <c r="AX5458" s="400"/>
    </row>
    <row r="5459" spans="1:50" s="14" customFormat="1" x14ac:dyDescent="0.3">
      <c r="A5459" s="386" t="s">
        <v>8325</v>
      </c>
      <c r="B5459" s="14" t="s">
        <v>8326</v>
      </c>
      <c r="C5459" s="14" t="s">
        <v>11714</v>
      </c>
      <c r="D5459" s="14" t="s">
        <v>6838</v>
      </c>
      <c r="E5459" s="14" t="s">
        <v>11715</v>
      </c>
      <c r="F5459" s="12" t="s">
        <v>11716</v>
      </c>
      <c r="G5459" s="14" t="s">
        <v>11717</v>
      </c>
      <c r="H5459" s="12" t="s">
        <v>11718</v>
      </c>
      <c r="K5459" s="14" t="s">
        <v>11768</v>
      </c>
      <c r="L5459" s="12" t="s">
        <v>11769</v>
      </c>
      <c r="M5459" s="14" t="s">
        <v>11774</v>
      </c>
      <c r="N5459" s="168">
        <v>30</v>
      </c>
      <c r="O5459" s="168"/>
      <c r="P5459" s="189">
        <v>200</v>
      </c>
      <c r="Q5459" s="189">
        <v>100</v>
      </c>
      <c r="R5459" s="189">
        <v>20</v>
      </c>
      <c r="S5459" s="189"/>
      <c r="T5459" s="14" t="s">
        <v>11722</v>
      </c>
      <c r="U5459" t="s">
        <v>11723</v>
      </c>
      <c r="V5459" s="14" t="s">
        <v>11775</v>
      </c>
      <c r="W5459" s="388">
        <v>1</v>
      </c>
      <c r="X5459" s="388">
        <v>0</v>
      </c>
      <c r="Y5459" s="388">
        <v>0</v>
      </c>
      <c r="Z5459" s="388">
        <v>1</v>
      </c>
      <c r="AA5459" s="388">
        <v>0</v>
      </c>
      <c r="AB5459" s="388">
        <v>0</v>
      </c>
      <c r="AC5459" s="150">
        <v>1</v>
      </c>
      <c r="AD5459" s="150">
        <v>1</v>
      </c>
      <c r="AE5459" s="49">
        <f t="shared" si="199"/>
        <v>0.5</v>
      </c>
      <c r="AF5459" s="397"/>
      <c r="AG5459" s="17">
        <v>0</v>
      </c>
      <c r="AH5459" s="397">
        <v>0</v>
      </c>
      <c r="AI5459" s="397">
        <v>0.4</v>
      </c>
      <c r="AJ5459" s="397">
        <v>0.21</v>
      </c>
      <c r="AK5459" s="398">
        <v>0</v>
      </c>
      <c r="AL5459" s="398">
        <v>0</v>
      </c>
      <c r="AM5459" s="17">
        <f t="shared" si="198"/>
        <v>0</v>
      </c>
      <c r="AN5459" s="14" t="s">
        <v>11722</v>
      </c>
      <c r="AO5459" s="12" t="s">
        <v>11723</v>
      </c>
      <c r="AP5459" s="399"/>
      <c r="AQ5459" s="400"/>
      <c r="AR5459" s="399"/>
      <c r="AS5459" s="399"/>
      <c r="AT5459" s="399"/>
      <c r="AX5459" s="400"/>
    </row>
    <row r="5460" spans="1:50" s="14" customFormat="1" x14ac:dyDescent="0.3">
      <c r="A5460" s="386" t="s">
        <v>8325</v>
      </c>
      <c r="B5460" s="14" t="s">
        <v>8326</v>
      </c>
      <c r="C5460" s="14" t="s">
        <v>11714</v>
      </c>
      <c r="D5460" s="14" t="s">
        <v>6838</v>
      </c>
      <c r="E5460" s="14" t="s">
        <v>11715</v>
      </c>
      <c r="F5460" s="12" t="s">
        <v>11716</v>
      </c>
      <c r="G5460" s="14" t="s">
        <v>11717</v>
      </c>
      <c r="H5460" s="12" t="s">
        <v>11718</v>
      </c>
      <c r="K5460" s="14" t="s">
        <v>11768</v>
      </c>
      <c r="L5460" s="12" t="s">
        <v>11769</v>
      </c>
      <c r="M5460" s="14" t="s">
        <v>11776</v>
      </c>
      <c r="N5460" s="168">
        <v>100</v>
      </c>
      <c r="O5460" s="168">
        <v>50</v>
      </c>
      <c r="P5460" s="189">
        <v>100</v>
      </c>
      <c r="Q5460" s="189">
        <v>50</v>
      </c>
      <c r="R5460" s="189">
        <v>10</v>
      </c>
      <c r="S5460" s="189">
        <v>10</v>
      </c>
      <c r="T5460" s="14" t="s">
        <v>11722</v>
      </c>
      <c r="U5460" t="s">
        <v>11723</v>
      </c>
      <c r="V5460" s="14" t="s">
        <v>11777</v>
      </c>
      <c r="W5460" s="388">
        <v>1</v>
      </c>
      <c r="X5460" s="388">
        <v>0</v>
      </c>
      <c r="Y5460" s="388">
        <v>0</v>
      </c>
      <c r="Z5460" s="388">
        <v>1</v>
      </c>
      <c r="AA5460" s="388">
        <v>0</v>
      </c>
      <c r="AB5460" s="388">
        <v>0</v>
      </c>
      <c r="AC5460" s="150">
        <v>1</v>
      </c>
      <c r="AD5460" s="150">
        <v>1</v>
      </c>
      <c r="AE5460" s="49">
        <f t="shared" si="199"/>
        <v>0.5</v>
      </c>
      <c r="AF5460" s="397"/>
      <c r="AG5460" s="17">
        <v>0</v>
      </c>
      <c r="AH5460" s="397">
        <v>2.4E-2</v>
      </c>
      <c r="AI5460" s="397">
        <v>4.8000000000000001E-2</v>
      </c>
      <c r="AJ5460" s="397">
        <v>2.52E-2</v>
      </c>
      <c r="AK5460" s="398">
        <v>0</v>
      </c>
      <c r="AL5460" s="398">
        <v>0</v>
      </c>
      <c r="AM5460" s="17">
        <f t="shared" si="198"/>
        <v>0</v>
      </c>
      <c r="AN5460" s="14" t="s">
        <v>11722</v>
      </c>
      <c r="AO5460" s="12" t="s">
        <v>11723</v>
      </c>
      <c r="AP5460" s="399"/>
      <c r="AQ5460" s="400"/>
      <c r="AR5460" s="399"/>
      <c r="AS5460" s="399"/>
      <c r="AT5460" s="399"/>
      <c r="AX5460" s="400"/>
    </row>
    <row r="5461" spans="1:50" s="14" customFormat="1" x14ac:dyDescent="0.3">
      <c r="A5461" s="386" t="s">
        <v>8325</v>
      </c>
      <c r="B5461" s="14" t="s">
        <v>8326</v>
      </c>
      <c r="C5461" s="14" t="s">
        <v>11714</v>
      </c>
      <c r="D5461" s="14" t="s">
        <v>6838</v>
      </c>
      <c r="E5461" s="14" t="s">
        <v>11715</v>
      </c>
      <c r="F5461" s="12" t="s">
        <v>11716</v>
      </c>
      <c r="G5461" s="14" t="s">
        <v>11717</v>
      </c>
      <c r="H5461" s="12" t="s">
        <v>11718</v>
      </c>
      <c r="K5461" s="14" t="s">
        <v>11768</v>
      </c>
      <c r="L5461" s="12" t="s">
        <v>11769</v>
      </c>
      <c r="M5461" s="14" t="s">
        <v>11778</v>
      </c>
      <c r="N5461" s="168"/>
      <c r="O5461" s="168"/>
      <c r="P5461" s="189">
        <v>3</v>
      </c>
      <c r="Q5461" s="189"/>
      <c r="R5461" s="189"/>
      <c r="S5461" s="189"/>
      <c r="T5461" s="14" t="s">
        <v>11722</v>
      </c>
      <c r="U5461" t="s">
        <v>11723</v>
      </c>
      <c r="V5461" s="14" t="s">
        <v>11779</v>
      </c>
      <c r="W5461" s="388">
        <v>1</v>
      </c>
      <c r="X5461" s="388">
        <v>0</v>
      </c>
      <c r="Y5461" s="388">
        <v>0</v>
      </c>
      <c r="Z5461" s="388">
        <v>1</v>
      </c>
      <c r="AA5461" s="388">
        <v>0</v>
      </c>
      <c r="AB5461" s="388">
        <v>0</v>
      </c>
      <c r="AC5461" s="150">
        <v>1</v>
      </c>
      <c r="AD5461" s="150">
        <v>1</v>
      </c>
      <c r="AE5461" s="49">
        <f t="shared" si="199"/>
        <v>0.5</v>
      </c>
      <c r="AF5461" s="397"/>
      <c r="AG5461" s="17">
        <v>0</v>
      </c>
      <c r="AH5461" s="397">
        <v>0</v>
      </c>
      <c r="AI5461" s="397">
        <v>1.2</v>
      </c>
      <c r="AJ5461" s="397">
        <v>0</v>
      </c>
      <c r="AK5461" s="398">
        <v>0</v>
      </c>
      <c r="AL5461" s="398">
        <v>0</v>
      </c>
      <c r="AM5461" s="17">
        <f t="shared" si="198"/>
        <v>0</v>
      </c>
      <c r="AN5461" s="14" t="s">
        <v>11722</v>
      </c>
      <c r="AO5461" s="12" t="s">
        <v>11723</v>
      </c>
      <c r="AP5461" s="399"/>
      <c r="AQ5461" s="400"/>
      <c r="AR5461" s="399"/>
      <c r="AS5461" s="399"/>
      <c r="AT5461" s="399"/>
      <c r="AX5461" s="400"/>
    </row>
    <row r="5462" spans="1:50" s="14" customFormat="1" x14ac:dyDescent="0.3">
      <c r="A5462" s="386" t="s">
        <v>8325</v>
      </c>
      <c r="B5462" s="14" t="s">
        <v>8326</v>
      </c>
      <c r="C5462" s="14" t="s">
        <v>11714</v>
      </c>
      <c r="D5462" s="14" t="s">
        <v>6838</v>
      </c>
      <c r="E5462" s="14" t="s">
        <v>11715</v>
      </c>
      <c r="F5462" s="12" t="s">
        <v>11716</v>
      </c>
      <c r="G5462" s="14" t="s">
        <v>11717</v>
      </c>
      <c r="H5462" s="12" t="s">
        <v>11718</v>
      </c>
      <c r="K5462" s="14" t="s">
        <v>11768</v>
      </c>
      <c r="L5462" s="12" t="s">
        <v>11769</v>
      </c>
      <c r="M5462" s="14" t="s">
        <v>11780</v>
      </c>
      <c r="N5462" s="168"/>
      <c r="O5462" s="168"/>
      <c r="P5462" s="189">
        <v>5</v>
      </c>
      <c r="Q5462" s="189"/>
      <c r="R5462" s="189"/>
      <c r="S5462" s="189"/>
      <c r="T5462" s="14" t="s">
        <v>11722</v>
      </c>
      <c r="U5462" t="s">
        <v>11723</v>
      </c>
      <c r="V5462" s="14" t="s">
        <v>11781</v>
      </c>
      <c r="W5462" s="388">
        <v>1</v>
      </c>
      <c r="X5462" s="388">
        <v>0</v>
      </c>
      <c r="Y5462" s="388">
        <v>0</v>
      </c>
      <c r="Z5462" s="388">
        <v>1</v>
      </c>
      <c r="AA5462" s="388">
        <v>0</v>
      </c>
      <c r="AB5462" s="388">
        <v>0</v>
      </c>
      <c r="AC5462" s="150">
        <v>1</v>
      </c>
      <c r="AD5462" s="150">
        <v>1</v>
      </c>
      <c r="AE5462" s="49">
        <f t="shared" si="199"/>
        <v>0.5</v>
      </c>
      <c r="AF5462" s="397"/>
      <c r="AG5462" s="17">
        <v>0</v>
      </c>
      <c r="AH5462" s="397">
        <v>0</v>
      </c>
      <c r="AI5462" s="397">
        <v>2.2800000000000001E-2</v>
      </c>
      <c r="AJ5462" s="397">
        <v>0</v>
      </c>
      <c r="AK5462" s="398">
        <v>0</v>
      </c>
      <c r="AL5462" s="398">
        <v>0</v>
      </c>
      <c r="AM5462" s="17">
        <f t="shared" si="198"/>
        <v>0</v>
      </c>
      <c r="AN5462" s="14" t="s">
        <v>11722</v>
      </c>
      <c r="AO5462" s="12" t="s">
        <v>11723</v>
      </c>
      <c r="AP5462" s="399"/>
      <c r="AQ5462" s="400"/>
      <c r="AR5462" s="399"/>
      <c r="AS5462" s="399"/>
      <c r="AT5462" s="399"/>
      <c r="AX5462" s="400"/>
    </row>
    <row r="5463" spans="1:50" s="14" customFormat="1" x14ac:dyDescent="0.3">
      <c r="A5463" s="386" t="s">
        <v>8325</v>
      </c>
      <c r="B5463" s="14" t="s">
        <v>8326</v>
      </c>
      <c r="C5463" s="14" t="s">
        <v>11714</v>
      </c>
      <c r="D5463" s="14" t="s">
        <v>6838</v>
      </c>
      <c r="E5463" s="14" t="s">
        <v>11715</v>
      </c>
      <c r="F5463" s="12" t="s">
        <v>11716</v>
      </c>
      <c r="G5463" s="14" t="s">
        <v>11717</v>
      </c>
      <c r="H5463" s="12" t="s">
        <v>11718</v>
      </c>
      <c r="K5463" s="14" t="s">
        <v>11768</v>
      </c>
      <c r="L5463" s="12" t="s">
        <v>11769</v>
      </c>
      <c r="M5463" s="14" t="s">
        <v>11782</v>
      </c>
      <c r="N5463" s="400">
        <v>1</v>
      </c>
      <c r="O5463" s="400">
        <v>0</v>
      </c>
      <c r="P5463" s="403">
        <v>2</v>
      </c>
      <c r="Q5463" s="403">
        <v>1</v>
      </c>
      <c r="R5463" s="403">
        <v>1</v>
      </c>
      <c r="S5463" s="403">
        <v>1</v>
      </c>
      <c r="T5463" s="14" t="s">
        <v>1588</v>
      </c>
      <c r="U5463" t="s">
        <v>1590</v>
      </c>
      <c r="V5463" s="14" t="s">
        <v>11783</v>
      </c>
      <c r="W5463" s="388"/>
      <c r="X5463" s="388"/>
      <c r="Y5463" s="388"/>
      <c r="Z5463" s="388"/>
      <c r="AA5463" s="388"/>
      <c r="AB5463" s="388"/>
      <c r="AC5463" s="150">
        <v>0</v>
      </c>
      <c r="AD5463" s="150">
        <v>0</v>
      </c>
      <c r="AE5463" s="49">
        <f t="shared" si="199"/>
        <v>0</v>
      </c>
      <c r="AF5463" s="397"/>
      <c r="AG5463" s="17">
        <v>0</v>
      </c>
      <c r="AH5463" s="397">
        <v>0</v>
      </c>
      <c r="AI5463" s="397">
        <v>2</v>
      </c>
      <c r="AJ5463" s="397">
        <v>0.75</v>
      </c>
      <c r="AK5463" s="398">
        <v>0</v>
      </c>
      <c r="AL5463" s="398">
        <v>0</v>
      </c>
      <c r="AM5463" s="17">
        <f t="shared" si="198"/>
        <v>0</v>
      </c>
      <c r="AN5463" s="14" t="s">
        <v>1588</v>
      </c>
      <c r="AO5463" s="12" t="s">
        <v>1590</v>
      </c>
      <c r="AP5463" s="399"/>
      <c r="AQ5463" s="400"/>
      <c r="AR5463" s="399"/>
      <c r="AS5463" s="399"/>
      <c r="AT5463" s="399"/>
      <c r="AX5463" s="400"/>
    </row>
    <row r="5464" spans="1:50" s="12" customFormat="1" x14ac:dyDescent="0.3">
      <c r="A5464" s="386" t="s">
        <v>8325</v>
      </c>
      <c r="B5464" s="14" t="s">
        <v>8326</v>
      </c>
      <c r="C5464" s="14" t="s">
        <v>11714</v>
      </c>
      <c r="D5464" s="12" t="s">
        <v>6838</v>
      </c>
      <c r="E5464" s="14" t="s">
        <v>11715</v>
      </c>
      <c r="F5464" s="12" t="s">
        <v>11716</v>
      </c>
      <c r="G5464" s="14" t="s">
        <v>11717</v>
      </c>
      <c r="H5464" s="12" t="s">
        <v>11718</v>
      </c>
      <c r="K5464" s="14" t="s">
        <v>11768</v>
      </c>
      <c r="L5464" s="12" t="s">
        <v>11769</v>
      </c>
      <c r="M5464" s="14" t="s">
        <v>11784</v>
      </c>
      <c r="N5464" s="242"/>
      <c r="O5464" s="14">
        <v>60</v>
      </c>
      <c r="P5464" s="404">
        <v>60</v>
      </c>
      <c r="Q5464" s="404">
        <v>60</v>
      </c>
      <c r="R5464" s="404">
        <v>60</v>
      </c>
      <c r="S5464" s="404">
        <v>60</v>
      </c>
      <c r="T5464" s="14" t="s">
        <v>771</v>
      </c>
      <c r="U5464" t="s">
        <v>773</v>
      </c>
      <c r="V5464" s="14" t="s">
        <v>11785</v>
      </c>
      <c r="W5464" s="388"/>
      <c r="X5464" s="388"/>
      <c r="Y5464" s="388"/>
      <c r="Z5464" s="388"/>
      <c r="AA5464" s="388"/>
      <c r="AB5464" s="388"/>
      <c r="AC5464" s="150">
        <v>0</v>
      </c>
      <c r="AD5464" s="150">
        <v>0</v>
      </c>
      <c r="AE5464" s="49">
        <f t="shared" si="199"/>
        <v>0</v>
      </c>
      <c r="AF5464" s="397"/>
      <c r="AG5464" s="17">
        <v>0</v>
      </c>
      <c r="AH5464" s="397">
        <v>1</v>
      </c>
      <c r="AI5464" s="397">
        <v>1</v>
      </c>
      <c r="AJ5464" s="397">
        <v>1</v>
      </c>
      <c r="AK5464" s="398">
        <v>0</v>
      </c>
      <c r="AL5464" s="398">
        <v>0</v>
      </c>
      <c r="AM5464" s="17">
        <f t="shared" si="198"/>
        <v>0</v>
      </c>
      <c r="AN5464" s="14" t="s">
        <v>771</v>
      </c>
      <c r="AO5464" s="12" t="s">
        <v>773</v>
      </c>
      <c r="AP5464" s="405"/>
      <c r="AQ5464" s="400"/>
      <c r="AR5464" s="405"/>
      <c r="AS5464" s="405"/>
      <c r="AT5464" s="405"/>
      <c r="AX5464" s="402"/>
    </row>
    <row r="5465" spans="1:50" s="14" customFormat="1" x14ac:dyDescent="0.3">
      <c r="A5465" s="386" t="s">
        <v>8325</v>
      </c>
      <c r="B5465" s="14" t="s">
        <v>8326</v>
      </c>
      <c r="C5465" s="14" t="s">
        <v>11714</v>
      </c>
      <c r="D5465" s="14" t="s">
        <v>6838</v>
      </c>
      <c r="E5465" s="14" t="s">
        <v>11715</v>
      </c>
      <c r="F5465" s="12" t="s">
        <v>11716</v>
      </c>
      <c r="G5465" s="14" t="s">
        <v>11786</v>
      </c>
      <c r="H5465" s="12" t="s">
        <v>11787</v>
      </c>
      <c r="K5465" s="14" t="s">
        <v>11788</v>
      </c>
      <c r="L5465" s="12" t="s">
        <v>11789</v>
      </c>
      <c r="M5465" s="14" t="s">
        <v>11790</v>
      </c>
      <c r="N5465" s="418">
        <v>0</v>
      </c>
      <c r="O5465" s="14">
        <v>1</v>
      </c>
      <c r="P5465" s="12">
        <v>2</v>
      </c>
      <c r="Q5465" s="12">
        <v>3</v>
      </c>
      <c r="R5465" s="12">
        <v>2</v>
      </c>
      <c r="S5465" s="12">
        <v>2</v>
      </c>
      <c r="T5465" s="14" t="s">
        <v>11722</v>
      </c>
      <c r="U5465" t="s">
        <v>11723</v>
      </c>
      <c r="V5465" s="14" t="s">
        <v>11791</v>
      </c>
      <c r="W5465" s="388">
        <v>1</v>
      </c>
      <c r="X5465" s="388">
        <v>0</v>
      </c>
      <c r="Y5465" s="388">
        <v>0</v>
      </c>
      <c r="Z5465" s="388">
        <v>1</v>
      </c>
      <c r="AA5465" s="388">
        <v>1</v>
      </c>
      <c r="AB5465" s="388">
        <v>1</v>
      </c>
      <c r="AC5465" s="150">
        <v>1</v>
      </c>
      <c r="AD5465" s="150">
        <v>1</v>
      </c>
      <c r="AE5465" s="49">
        <f t="shared" si="199"/>
        <v>0.75</v>
      </c>
      <c r="AF5465" s="397"/>
      <c r="AG5465" s="17">
        <v>0</v>
      </c>
      <c r="AH5465" s="397">
        <v>0.4</v>
      </c>
      <c r="AI5465" s="397">
        <v>0.8</v>
      </c>
      <c r="AJ5465" s="397">
        <v>1.26</v>
      </c>
      <c r="AK5465" s="398">
        <v>2.8327360000000001</v>
      </c>
      <c r="AL5465" s="398">
        <v>2.8327360000000001</v>
      </c>
      <c r="AM5465" s="17">
        <f t="shared" si="198"/>
        <v>5.6654720000000003</v>
      </c>
      <c r="AN5465" s="14" t="s">
        <v>11722</v>
      </c>
      <c r="AO5465" s="12" t="s">
        <v>11723</v>
      </c>
      <c r="AP5465" s="399"/>
      <c r="AQ5465" s="400"/>
      <c r="AR5465" s="399"/>
      <c r="AS5465" s="399"/>
      <c r="AT5465" s="399"/>
      <c r="AX5465" s="400"/>
    </row>
    <row r="5466" spans="1:50" s="14" customFormat="1" x14ac:dyDescent="0.3">
      <c r="A5466" s="386" t="s">
        <v>8325</v>
      </c>
      <c r="B5466" s="14" t="s">
        <v>8326</v>
      </c>
      <c r="C5466" s="14" t="s">
        <v>11714</v>
      </c>
      <c r="D5466" s="14" t="s">
        <v>6838</v>
      </c>
      <c r="E5466" s="14" t="s">
        <v>11715</v>
      </c>
      <c r="F5466" s="12" t="s">
        <v>11716</v>
      </c>
      <c r="G5466" s="14" t="s">
        <v>11786</v>
      </c>
      <c r="H5466" s="12" t="s">
        <v>11787</v>
      </c>
      <c r="K5466" s="14" t="s">
        <v>11788</v>
      </c>
      <c r="L5466" s="12" t="s">
        <v>11789</v>
      </c>
      <c r="M5466" s="14" t="s">
        <v>11792</v>
      </c>
      <c r="N5466" s="14">
        <v>1</v>
      </c>
      <c r="O5466" s="14">
        <v>3</v>
      </c>
      <c r="P5466" s="12">
        <v>3</v>
      </c>
      <c r="Q5466" s="12">
        <v>4</v>
      </c>
      <c r="R5466" s="12">
        <v>4</v>
      </c>
      <c r="S5466" s="12">
        <v>3</v>
      </c>
      <c r="T5466" s="14" t="s">
        <v>11722</v>
      </c>
      <c r="U5466" t="s">
        <v>11723</v>
      </c>
      <c r="V5466" s="14" t="s">
        <v>11793</v>
      </c>
      <c r="W5466" s="388">
        <v>1</v>
      </c>
      <c r="X5466" s="388">
        <v>0</v>
      </c>
      <c r="Y5466" s="388">
        <v>0</v>
      </c>
      <c r="Z5466" s="388">
        <v>1</v>
      </c>
      <c r="AA5466" s="388">
        <v>1</v>
      </c>
      <c r="AB5466" s="388">
        <v>1</v>
      </c>
      <c r="AC5466" s="150">
        <v>1</v>
      </c>
      <c r="AD5466" s="150">
        <v>1</v>
      </c>
      <c r="AE5466" s="49">
        <f t="shared" si="199"/>
        <v>0.75</v>
      </c>
      <c r="AF5466" s="397"/>
      <c r="AG5466" s="17">
        <v>0</v>
      </c>
      <c r="AH5466" s="397">
        <v>0.25</v>
      </c>
      <c r="AI5466" s="397">
        <v>0.75</v>
      </c>
      <c r="AJ5466" s="397">
        <v>1.05</v>
      </c>
      <c r="AK5466" s="398">
        <v>2.9600000000000004</v>
      </c>
      <c r="AL5466" s="398">
        <v>3.12</v>
      </c>
      <c r="AM5466" s="17">
        <f t="shared" si="198"/>
        <v>6.08</v>
      </c>
      <c r="AN5466" s="14" t="s">
        <v>11722</v>
      </c>
      <c r="AO5466" s="12" t="s">
        <v>11723</v>
      </c>
      <c r="AP5466" s="399"/>
      <c r="AQ5466" s="400"/>
      <c r="AR5466" s="399"/>
      <c r="AS5466" s="399"/>
      <c r="AT5466" s="399"/>
      <c r="AX5466" s="400"/>
    </row>
    <row r="5467" spans="1:50" s="14" customFormat="1" x14ac:dyDescent="0.3">
      <c r="A5467" s="386" t="s">
        <v>8325</v>
      </c>
      <c r="B5467" s="14" t="s">
        <v>8326</v>
      </c>
      <c r="C5467" s="14" t="s">
        <v>11714</v>
      </c>
      <c r="D5467" s="14" t="s">
        <v>6838</v>
      </c>
      <c r="E5467" s="14" t="s">
        <v>11715</v>
      </c>
      <c r="F5467" s="12" t="s">
        <v>11716</v>
      </c>
      <c r="G5467" s="14" t="s">
        <v>11786</v>
      </c>
      <c r="H5467" s="12" t="s">
        <v>11787</v>
      </c>
      <c r="K5467" s="14" t="s">
        <v>11788</v>
      </c>
      <c r="L5467" s="12" t="s">
        <v>11789</v>
      </c>
      <c r="M5467" s="14" t="s">
        <v>11794</v>
      </c>
      <c r="P5467" s="12">
        <v>3</v>
      </c>
      <c r="Q5467" s="12">
        <v>4</v>
      </c>
      <c r="R5467" s="12">
        <v>4</v>
      </c>
      <c r="S5467" s="12">
        <v>4</v>
      </c>
      <c r="T5467" s="14" t="s">
        <v>11722</v>
      </c>
      <c r="U5467" t="s">
        <v>11723</v>
      </c>
      <c r="V5467" s="14" t="s">
        <v>11795</v>
      </c>
      <c r="W5467" s="388">
        <v>1</v>
      </c>
      <c r="X5467" s="388">
        <v>0</v>
      </c>
      <c r="Y5467" s="388">
        <v>0</v>
      </c>
      <c r="Z5467" s="388">
        <v>1</v>
      </c>
      <c r="AA5467" s="388">
        <v>1</v>
      </c>
      <c r="AB5467" s="388">
        <v>1</v>
      </c>
      <c r="AC5467" s="150">
        <v>1</v>
      </c>
      <c r="AD5467" s="150">
        <v>1</v>
      </c>
      <c r="AE5467" s="49">
        <f t="shared" si="199"/>
        <v>0.75</v>
      </c>
      <c r="AF5467" s="397"/>
      <c r="AG5467" s="17">
        <v>0</v>
      </c>
      <c r="AH5467" s="397">
        <v>0</v>
      </c>
      <c r="AI5467" s="397">
        <v>0.6</v>
      </c>
      <c r="AJ5467" s="397">
        <v>0.84</v>
      </c>
      <c r="AK5467" s="398">
        <v>1.2</v>
      </c>
      <c r="AL5467" s="398">
        <v>1.2</v>
      </c>
      <c r="AM5467" s="17">
        <f t="shared" si="198"/>
        <v>2.4</v>
      </c>
      <c r="AN5467" s="14" t="s">
        <v>11722</v>
      </c>
      <c r="AO5467" s="12" t="s">
        <v>11723</v>
      </c>
      <c r="AP5467" s="399"/>
      <c r="AQ5467" s="400"/>
      <c r="AR5467" s="399"/>
      <c r="AS5467" s="399"/>
      <c r="AT5467" s="399"/>
      <c r="AX5467" s="400"/>
    </row>
    <row r="5468" spans="1:50" s="14" customFormat="1" x14ac:dyDescent="0.3">
      <c r="A5468" s="386" t="s">
        <v>8325</v>
      </c>
      <c r="B5468" s="14" t="s">
        <v>8326</v>
      </c>
      <c r="C5468" s="14" t="s">
        <v>11714</v>
      </c>
      <c r="D5468" s="14" t="s">
        <v>6838</v>
      </c>
      <c r="E5468" s="14" t="s">
        <v>11715</v>
      </c>
      <c r="F5468" s="12" t="s">
        <v>11716</v>
      </c>
      <c r="G5468" s="14" t="s">
        <v>11786</v>
      </c>
      <c r="H5468" s="12" t="s">
        <v>11787</v>
      </c>
      <c r="K5468" s="14" t="s">
        <v>11788</v>
      </c>
      <c r="L5468" s="12" t="s">
        <v>11789</v>
      </c>
      <c r="M5468" s="14" t="s">
        <v>11796</v>
      </c>
      <c r="N5468" s="14">
        <v>5</v>
      </c>
      <c r="O5468" s="14">
        <v>5</v>
      </c>
      <c r="P5468" s="12">
        <v>20</v>
      </c>
      <c r="Q5468" s="12">
        <v>20</v>
      </c>
      <c r="R5468" s="12">
        <v>10</v>
      </c>
      <c r="S5468" s="12">
        <v>1</v>
      </c>
      <c r="T5468" s="14" t="s">
        <v>11722</v>
      </c>
      <c r="U5468" t="s">
        <v>11723</v>
      </c>
      <c r="V5468" s="14" t="s">
        <v>11797</v>
      </c>
      <c r="W5468" s="388">
        <v>1</v>
      </c>
      <c r="X5468" s="388">
        <v>0</v>
      </c>
      <c r="Y5468" s="388">
        <v>0</v>
      </c>
      <c r="Z5468" s="388">
        <v>1</v>
      </c>
      <c r="AA5468" s="388">
        <v>1</v>
      </c>
      <c r="AB5468" s="388">
        <v>1</v>
      </c>
      <c r="AC5468" s="150">
        <v>1</v>
      </c>
      <c r="AD5468" s="150">
        <v>1</v>
      </c>
      <c r="AE5468" s="49">
        <f t="shared" si="199"/>
        <v>0.75</v>
      </c>
      <c r="AF5468" s="397"/>
      <c r="AG5468" s="17">
        <v>0</v>
      </c>
      <c r="AH5468" s="397">
        <v>2.5000000000000001E-2</v>
      </c>
      <c r="AI5468" s="397">
        <v>2.5000000000000001E-2</v>
      </c>
      <c r="AJ5468" s="397">
        <v>0.1</v>
      </c>
      <c r="AK5468" s="398">
        <v>0.1</v>
      </c>
      <c r="AL5468" s="398">
        <v>0.1</v>
      </c>
      <c r="AM5468" s="17">
        <f t="shared" si="198"/>
        <v>0.2</v>
      </c>
      <c r="AN5468" s="14" t="s">
        <v>11722</v>
      </c>
      <c r="AO5468" s="12" t="s">
        <v>11723</v>
      </c>
      <c r="AP5468" s="399"/>
      <c r="AQ5468" s="400"/>
      <c r="AR5468" s="399"/>
      <c r="AS5468" s="399"/>
      <c r="AT5468" s="399"/>
      <c r="AX5468" s="400"/>
    </row>
    <row r="5469" spans="1:50" s="14" customFormat="1" x14ac:dyDescent="0.3">
      <c r="A5469" s="386" t="s">
        <v>8325</v>
      </c>
      <c r="B5469" s="14" t="s">
        <v>8326</v>
      </c>
      <c r="C5469" s="14" t="s">
        <v>11798</v>
      </c>
      <c r="D5469" s="14" t="s">
        <v>11799</v>
      </c>
      <c r="E5469" s="14" t="s">
        <v>11800</v>
      </c>
      <c r="F5469" s="12" t="s">
        <v>11716</v>
      </c>
      <c r="G5469" s="14" t="s">
        <v>11801</v>
      </c>
      <c r="H5469" s="12" t="s">
        <v>11802</v>
      </c>
      <c r="K5469" s="14" t="s">
        <v>11803</v>
      </c>
      <c r="L5469" s="14" t="s">
        <v>11804</v>
      </c>
      <c r="M5469" s="14" t="s">
        <v>11805</v>
      </c>
      <c r="O5469" s="14">
        <v>64</v>
      </c>
      <c r="P5469" s="12">
        <v>64</v>
      </c>
      <c r="Q5469" s="12">
        <v>64</v>
      </c>
      <c r="R5469" s="12">
        <v>20</v>
      </c>
      <c r="S5469" s="12">
        <v>20</v>
      </c>
      <c r="T5469" s="14" t="s">
        <v>11722</v>
      </c>
      <c r="U5469" t="s">
        <v>11723</v>
      </c>
      <c r="V5469" s="14" t="s">
        <v>11806</v>
      </c>
      <c r="W5469" s="388">
        <v>1</v>
      </c>
      <c r="X5469" s="388">
        <v>0</v>
      </c>
      <c r="Y5469" s="388">
        <v>0</v>
      </c>
      <c r="Z5469" s="388">
        <v>1</v>
      </c>
      <c r="AA5469" s="388">
        <v>0</v>
      </c>
      <c r="AB5469" s="388">
        <v>0</v>
      </c>
      <c r="AC5469" s="150">
        <v>0</v>
      </c>
      <c r="AD5469" s="150">
        <v>0</v>
      </c>
      <c r="AE5469" s="49">
        <f t="shared" si="199"/>
        <v>0.25</v>
      </c>
      <c r="AF5469" s="397"/>
      <c r="AG5469" s="17">
        <v>0</v>
      </c>
      <c r="AH5469" s="397">
        <v>2.56</v>
      </c>
      <c r="AI5469" s="397">
        <v>2.6880000000000002</v>
      </c>
      <c r="AJ5469" s="397">
        <v>2.8224</v>
      </c>
      <c r="AK5469" s="398">
        <v>0</v>
      </c>
      <c r="AL5469" s="398">
        <v>0</v>
      </c>
      <c r="AM5469" s="17">
        <f t="shared" si="198"/>
        <v>0</v>
      </c>
      <c r="AN5469" s="14" t="s">
        <v>11722</v>
      </c>
      <c r="AO5469" s="12" t="s">
        <v>11723</v>
      </c>
      <c r="AP5469" s="399"/>
      <c r="AQ5469" s="399"/>
      <c r="AR5469" s="399"/>
      <c r="AS5469" s="399"/>
      <c r="AT5469" s="399"/>
      <c r="AX5469" s="400"/>
    </row>
    <row r="5470" spans="1:50" s="14" customFormat="1" x14ac:dyDescent="0.3">
      <c r="A5470" s="386" t="s">
        <v>8325</v>
      </c>
      <c r="B5470" s="14" t="s">
        <v>8326</v>
      </c>
      <c r="C5470" s="14" t="s">
        <v>11807</v>
      </c>
      <c r="D5470" s="14" t="s">
        <v>11808</v>
      </c>
      <c r="E5470" s="14" t="s">
        <v>11809</v>
      </c>
      <c r="F5470" s="12" t="s">
        <v>11716</v>
      </c>
      <c r="G5470" s="14" t="s">
        <v>11810</v>
      </c>
      <c r="H5470" s="12" t="s">
        <v>11802</v>
      </c>
      <c r="K5470" s="14" t="s">
        <v>11811</v>
      </c>
      <c r="L5470" s="14" t="s">
        <v>11804</v>
      </c>
      <c r="M5470" s="14" t="s">
        <v>11812</v>
      </c>
      <c r="O5470" s="14">
        <v>100</v>
      </c>
      <c r="P5470" s="12">
        <v>100</v>
      </c>
      <c r="Q5470" s="12">
        <v>100</v>
      </c>
      <c r="R5470" s="12">
        <v>59</v>
      </c>
      <c r="S5470" s="12">
        <v>59</v>
      </c>
      <c r="T5470" s="14" t="s">
        <v>11722</v>
      </c>
      <c r="U5470" t="s">
        <v>11723</v>
      </c>
      <c r="V5470" s="14" t="s">
        <v>11813</v>
      </c>
      <c r="W5470" s="388">
        <v>1</v>
      </c>
      <c r="X5470" s="388">
        <v>0</v>
      </c>
      <c r="Y5470" s="388">
        <v>0</v>
      </c>
      <c r="Z5470" s="388">
        <v>1</v>
      </c>
      <c r="AA5470" s="388">
        <v>0</v>
      </c>
      <c r="AB5470" s="388">
        <v>0</v>
      </c>
      <c r="AC5470" s="150">
        <v>0</v>
      </c>
      <c r="AD5470" s="150">
        <v>0</v>
      </c>
      <c r="AE5470" s="49">
        <f t="shared" si="199"/>
        <v>0.25</v>
      </c>
      <c r="AF5470" s="397"/>
      <c r="AG5470" s="17">
        <v>0</v>
      </c>
      <c r="AH5470" s="397">
        <v>0.27200000000000002</v>
      </c>
      <c r="AI5470" s="397">
        <v>0.28560000000000002</v>
      </c>
      <c r="AJ5470" s="397">
        <v>0.29987999999999998</v>
      </c>
      <c r="AK5470" s="398">
        <v>0.125</v>
      </c>
      <c r="AL5470" s="398">
        <v>0.125</v>
      </c>
      <c r="AM5470" s="17">
        <f t="shared" si="198"/>
        <v>0.25</v>
      </c>
      <c r="AN5470" s="14" t="s">
        <v>11722</v>
      </c>
      <c r="AO5470" s="12" t="s">
        <v>11723</v>
      </c>
      <c r="AP5470" s="399"/>
      <c r="AQ5470" s="399"/>
      <c r="AR5470" s="399"/>
      <c r="AS5470" s="399"/>
      <c r="AT5470" s="399"/>
      <c r="AX5470" s="400"/>
    </row>
    <row r="5471" spans="1:50" s="14" customFormat="1" x14ac:dyDescent="0.3">
      <c r="A5471" s="386" t="s">
        <v>8325</v>
      </c>
      <c r="B5471" s="14" t="s">
        <v>8326</v>
      </c>
      <c r="C5471" s="14" t="s">
        <v>11798</v>
      </c>
      <c r="D5471" s="14" t="s">
        <v>11799</v>
      </c>
      <c r="E5471" s="14" t="s">
        <v>11800</v>
      </c>
      <c r="F5471" s="12" t="s">
        <v>11716</v>
      </c>
      <c r="G5471" s="14" t="s">
        <v>11801</v>
      </c>
      <c r="H5471" s="12" t="s">
        <v>11802</v>
      </c>
      <c r="K5471" s="14" t="s">
        <v>11814</v>
      </c>
      <c r="L5471" s="14" t="s">
        <v>11815</v>
      </c>
      <c r="M5471" s="14" t="s">
        <v>11816</v>
      </c>
      <c r="N5471" s="14">
        <v>499</v>
      </c>
      <c r="O5471" s="14">
        <v>1000</v>
      </c>
      <c r="P5471" s="12">
        <v>1100</v>
      </c>
      <c r="Q5471" s="12">
        <v>1200</v>
      </c>
      <c r="R5471" s="12">
        <v>1300</v>
      </c>
      <c r="S5471" s="12">
        <v>1500</v>
      </c>
      <c r="T5471" s="14" t="s">
        <v>11817</v>
      </c>
      <c r="U5471" t="s">
        <v>11818</v>
      </c>
      <c r="V5471" s="14" t="s">
        <v>11819</v>
      </c>
      <c r="W5471" s="388"/>
      <c r="X5471" s="388"/>
      <c r="Y5471" s="388"/>
      <c r="Z5471" s="388"/>
      <c r="AA5471" s="388"/>
      <c r="AB5471" s="388"/>
      <c r="AC5471" s="150">
        <v>0</v>
      </c>
      <c r="AD5471" s="150">
        <v>0</v>
      </c>
      <c r="AE5471" s="49">
        <f t="shared" si="199"/>
        <v>0</v>
      </c>
      <c r="AF5471" s="397"/>
      <c r="AG5471" s="17">
        <v>0</v>
      </c>
      <c r="AH5471" s="397">
        <v>0.36</v>
      </c>
      <c r="AI5471" s="397">
        <v>0.39</v>
      </c>
      <c r="AJ5471" s="397">
        <v>0.42</v>
      </c>
      <c r="AK5471" s="398">
        <v>0</v>
      </c>
      <c r="AL5471" s="398">
        <v>0</v>
      </c>
      <c r="AM5471" s="17">
        <f t="shared" si="198"/>
        <v>0</v>
      </c>
      <c r="AN5471" s="14" t="s">
        <v>11817</v>
      </c>
      <c r="AO5471" s="12" t="s">
        <v>11818</v>
      </c>
      <c r="AP5471" s="399"/>
      <c r="AQ5471" s="399"/>
      <c r="AR5471" s="399"/>
      <c r="AS5471" s="399"/>
      <c r="AT5471" s="399"/>
      <c r="AX5471" s="400"/>
    </row>
    <row r="5472" spans="1:50" s="14" customFormat="1" x14ac:dyDescent="0.3">
      <c r="A5472" s="386" t="s">
        <v>8325</v>
      </c>
      <c r="B5472" s="14" t="s">
        <v>8326</v>
      </c>
      <c r="C5472" s="14" t="s">
        <v>11798</v>
      </c>
      <c r="D5472" s="14" t="s">
        <v>11799</v>
      </c>
      <c r="E5472" s="14" t="s">
        <v>11800</v>
      </c>
      <c r="F5472" s="12" t="s">
        <v>11716</v>
      </c>
      <c r="G5472" s="14" t="s">
        <v>11801</v>
      </c>
      <c r="H5472" s="12" t="s">
        <v>11802</v>
      </c>
      <c r="K5472" s="14" t="s">
        <v>11820</v>
      </c>
      <c r="L5472" s="14" t="s">
        <v>11821</v>
      </c>
      <c r="M5472" s="14" t="s">
        <v>11822</v>
      </c>
      <c r="N5472" s="14">
        <v>7</v>
      </c>
      <c r="O5472" s="418">
        <v>0</v>
      </c>
      <c r="P5472" s="12">
        <v>2</v>
      </c>
      <c r="Q5472" s="12">
        <v>2</v>
      </c>
      <c r="R5472" s="401">
        <v>0</v>
      </c>
      <c r="S5472" s="401">
        <v>0</v>
      </c>
      <c r="T5472" s="14" t="s">
        <v>11722</v>
      </c>
      <c r="U5472" t="s">
        <v>11723</v>
      </c>
      <c r="V5472" s="14" t="s">
        <v>11823</v>
      </c>
      <c r="W5472" s="388">
        <v>1</v>
      </c>
      <c r="X5472" s="388">
        <v>1</v>
      </c>
      <c r="Y5472" s="388">
        <v>1</v>
      </c>
      <c r="Z5472" s="388">
        <v>1</v>
      </c>
      <c r="AA5472" s="388">
        <v>0</v>
      </c>
      <c r="AB5472" s="388">
        <v>0</v>
      </c>
      <c r="AC5472" s="150">
        <v>1</v>
      </c>
      <c r="AD5472" s="150">
        <v>1</v>
      </c>
      <c r="AE5472" s="49">
        <f t="shared" si="199"/>
        <v>0.75</v>
      </c>
      <c r="AF5472" s="397"/>
      <c r="AG5472" s="17">
        <v>0</v>
      </c>
      <c r="AH5472" s="397">
        <v>0</v>
      </c>
      <c r="AI5472" s="397">
        <v>1.29</v>
      </c>
      <c r="AJ5472" s="397">
        <v>1.3545</v>
      </c>
      <c r="AK5472" s="398">
        <v>1.29</v>
      </c>
      <c r="AL5472" s="398">
        <v>1.35</v>
      </c>
      <c r="AM5472" s="17">
        <f t="shared" si="198"/>
        <v>2.64</v>
      </c>
      <c r="AN5472" s="14" t="s">
        <v>11722</v>
      </c>
      <c r="AO5472" s="12" t="s">
        <v>11723</v>
      </c>
      <c r="AP5472" s="399"/>
      <c r="AQ5472" s="399"/>
      <c r="AR5472" s="399"/>
      <c r="AS5472" s="399"/>
      <c r="AT5472" s="399"/>
      <c r="AX5472" s="400"/>
    </row>
    <row r="5473" spans="1:50" s="14" customFormat="1" x14ac:dyDescent="0.3">
      <c r="A5473" s="386" t="s">
        <v>8325</v>
      </c>
      <c r="B5473" s="14" t="s">
        <v>8326</v>
      </c>
      <c r="C5473" s="14" t="s">
        <v>11714</v>
      </c>
      <c r="D5473" s="14" t="s">
        <v>6838</v>
      </c>
      <c r="E5473" s="14" t="s">
        <v>11715</v>
      </c>
      <c r="F5473" s="12" t="s">
        <v>11716</v>
      </c>
      <c r="G5473" s="14" t="s">
        <v>11824</v>
      </c>
      <c r="H5473" s="12" t="s">
        <v>11802</v>
      </c>
      <c r="K5473" s="14" t="s">
        <v>11825</v>
      </c>
      <c r="L5473" s="12" t="s">
        <v>11826</v>
      </c>
      <c r="M5473" s="14" t="s">
        <v>11827</v>
      </c>
      <c r="P5473" s="12">
        <v>20</v>
      </c>
      <c r="Q5473" s="12">
        <v>20</v>
      </c>
      <c r="R5473" s="12">
        <v>10</v>
      </c>
      <c r="S5473" s="12">
        <v>10</v>
      </c>
      <c r="T5473" s="14" t="s">
        <v>11722</v>
      </c>
      <c r="U5473" t="s">
        <v>11723</v>
      </c>
      <c r="V5473" s="14" t="s">
        <v>11828</v>
      </c>
      <c r="W5473" s="388">
        <v>1</v>
      </c>
      <c r="X5473" s="388">
        <v>0</v>
      </c>
      <c r="Y5473" s="388">
        <v>0</v>
      </c>
      <c r="Z5473" s="388">
        <v>1</v>
      </c>
      <c r="AA5473" s="388">
        <v>1</v>
      </c>
      <c r="AB5473" s="388">
        <v>0</v>
      </c>
      <c r="AC5473" s="150">
        <v>1</v>
      </c>
      <c r="AD5473" s="150">
        <v>1</v>
      </c>
      <c r="AE5473" s="49">
        <f t="shared" si="199"/>
        <v>0.625</v>
      </c>
      <c r="AF5473" s="397"/>
      <c r="AG5473" s="17">
        <v>0</v>
      </c>
      <c r="AH5473" s="397">
        <v>0.3</v>
      </c>
      <c r="AI5473" s="397">
        <v>0.3</v>
      </c>
      <c r="AJ5473" s="397">
        <v>0.315</v>
      </c>
      <c r="AK5473" s="398">
        <v>0</v>
      </c>
      <c r="AL5473" s="398">
        <v>0</v>
      </c>
      <c r="AM5473" s="17">
        <f t="shared" si="198"/>
        <v>0</v>
      </c>
      <c r="AN5473" s="14" t="s">
        <v>11722</v>
      </c>
      <c r="AO5473" s="12" t="s">
        <v>11723</v>
      </c>
      <c r="AP5473" s="399"/>
      <c r="AQ5473" s="400"/>
      <c r="AR5473" s="399"/>
      <c r="AS5473" s="399"/>
      <c r="AT5473" s="399"/>
      <c r="AX5473" s="400"/>
    </row>
    <row r="5474" spans="1:50" s="14" customFormat="1" x14ac:dyDescent="0.3">
      <c r="A5474" s="386" t="s">
        <v>8325</v>
      </c>
      <c r="B5474" s="14" t="s">
        <v>8326</v>
      </c>
      <c r="C5474" s="14" t="s">
        <v>11714</v>
      </c>
      <c r="D5474" s="14" t="s">
        <v>6838</v>
      </c>
      <c r="E5474" s="14" t="s">
        <v>11715</v>
      </c>
      <c r="F5474" s="12" t="s">
        <v>11716</v>
      </c>
      <c r="G5474" s="14" t="s">
        <v>11824</v>
      </c>
      <c r="H5474" s="12" t="s">
        <v>11802</v>
      </c>
      <c r="K5474" s="14" t="s">
        <v>11825</v>
      </c>
      <c r="L5474" s="12" t="s">
        <v>11826</v>
      </c>
      <c r="M5474" s="14" t="s">
        <v>11829</v>
      </c>
      <c r="P5474" s="12">
        <v>20</v>
      </c>
      <c r="Q5474" s="12">
        <v>20</v>
      </c>
      <c r="R5474" s="12">
        <v>10</v>
      </c>
      <c r="S5474" s="12">
        <v>10</v>
      </c>
      <c r="T5474" s="14" t="s">
        <v>11722</v>
      </c>
      <c r="U5474" t="s">
        <v>11723</v>
      </c>
      <c r="V5474" s="14" t="s">
        <v>11830</v>
      </c>
      <c r="W5474" s="388">
        <v>1</v>
      </c>
      <c r="X5474" s="388">
        <v>0</v>
      </c>
      <c r="Y5474" s="388">
        <v>0</v>
      </c>
      <c r="Z5474" s="388">
        <v>1</v>
      </c>
      <c r="AA5474" s="388">
        <v>1</v>
      </c>
      <c r="AB5474" s="388">
        <v>0</v>
      </c>
      <c r="AC5474" s="150">
        <v>1</v>
      </c>
      <c r="AD5474" s="150">
        <v>1</v>
      </c>
      <c r="AE5474" s="49">
        <f t="shared" si="199"/>
        <v>0.625</v>
      </c>
      <c r="AF5474" s="397"/>
      <c r="AG5474" s="17">
        <v>0</v>
      </c>
      <c r="AH5474" s="397">
        <v>0</v>
      </c>
      <c r="AI5474" s="397">
        <v>0.1</v>
      </c>
      <c r="AJ5474" s="397">
        <v>0.1</v>
      </c>
      <c r="AK5474" s="398">
        <v>0</v>
      </c>
      <c r="AL5474" s="398">
        <v>0</v>
      </c>
      <c r="AM5474" s="17">
        <f t="shared" si="198"/>
        <v>0</v>
      </c>
      <c r="AN5474" s="14" t="s">
        <v>11722</v>
      </c>
      <c r="AO5474" s="12" t="s">
        <v>11723</v>
      </c>
      <c r="AP5474" s="399"/>
      <c r="AQ5474" s="400"/>
      <c r="AR5474" s="399"/>
      <c r="AS5474" s="399"/>
      <c r="AT5474" s="399"/>
      <c r="AX5474" s="400"/>
    </row>
    <row r="5475" spans="1:50" s="14" customFormat="1" x14ac:dyDescent="0.3">
      <c r="A5475" s="386" t="s">
        <v>8325</v>
      </c>
      <c r="B5475" s="14" t="s">
        <v>8326</v>
      </c>
      <c r="C5475" s="14" t="s">
        <v>11714</v>
      </c>
      <c r="D5475" s="14" t="s">
        <v>6838</v>
      </c>
      <c r="E5475" s="14" t="s">
        <v>11715</v>
      </c>
      <c r="F5475" s="12" t="s">
        <v>11716</v>
      </c>
      <c r="G5475" s="14" t="s">
        <v>11824</v>
      </c>
      <c r="H5475" s="12" t="s">
        <v>11802</v>
      </c>
      <c r="K5475" s="14" t="s">
        <v>11825</v>
      </c>
      <c r="L5475" s="12" t="s">
        <v>11826</v>
      </c>
      <c r="M5475" s="14" t="s">
        <v>11831</v>
      </c>
      <c r="N5475" s="14">
        <v>3</v>
      </c>
      <c r="O5475" s="14">
        <v>2</v>
      </c>
      <c r="P5475" s="12">
        <v>5</v>
      </c>
      <c r="Q5475" s="12">
        <v>20</v>
      </c>
      <c r="R5475" s="12">
        <v>10</v>
      </c>
      <c r="S5475" s="12">
        <v>10</v>
      </c>
      <c r="T5475" s="14" t="s">
        <v>11722</v>
      </c>
      <c r="U5475" t="s">
        <v>11723</v>
      </c>
      <c r="V5475" s="14" t="s">
        <v>11832</v>
      </c>
      <c r="W5475" s="388">
        <v>1</v>
      </c>
      <c r="X5475" s="388">
        <v>0</v>
      </c>
      <c r="Y5475" s="388">
        <v>0</v>
      </c>
      <c r="Z5475" s="388">
        <v>1</v>
      </c>
      <c r="AA5475" s="388">
        <v>1</v>
      </c>
      <c r="AB5475" s="388">
        <v>0</v>
      </c>
      <c r="AC5475" s="150">
        <v>1</v>
      </c>
      <c r="AD5475" s="150">
        <v>1</v>
      </c>
      <c r="AE5475" s="49">
        <f t="shared" si="199"/>
        <v>0.625</v>
      </c>
      <c r="AF5475" s="397"/>
      <c r="AG5475" s="17">
        <v>0</v>
      </c>
      <c r="AH5475" s="397">
        <v>9.0999999999999998E-2</v>
      </c>
      <c r="AI5475" s="397">
        <v>6.0600000000000001E-2</v>
      </c>
      <c r="AJ5475" s="397">
        <v>0.1515</v>
      </c>
      <c r="AK5475" s="398">
        <v>0</v>
      </c>
      <c r="AL5475" s="398">
        <v>0</v>
      </c>
      <c r="AM5475" s="17">
        <f t="shared" si="198"/>
        <v>0</v>
      </c>
      <c r="AN5475" s="14" t="s">
        <v>11722</v>
      </c>
      <c r="AO5475" s="12" t="s">
        <v>11723</v>
      </c>
      <c r="AP5475" s="399"/>
      <c r="AQ5475" s="400"/>
      <c r="AR5475" s="399"/>
      <c r="AS5475" s="399"/>
      <c r="AT5475" s="399"/>
      <c r="AX5475" s="400"/>
    </row>
    <row r="5476" spans="1:50" s="14" customFormat="1" x14ac:dyDescent="0.3">
      <c r="A5476" s="386" t="s">
        <v>8325</v>
      </c>
      <c r="B5476" s="14" t="s">
        <v>8326</v>
      </c>
      <c r="C5476" s="14" t="s">
        <v>11714</v>
      </c>
      <c r="D5476" s="14" t="s">
        <v>6838</v>
      </c>
      <c r="E5476" s="14" t="s">
        <v>11715</v>
      </c>
      <c r="F5476" s="12" t="s">
        <v>11716</v>
      </c>
      <c r="G5476" s="14" t="s">
        <v>11824</v>
      </c>
      <c r="H5476" s="12" t="s">
        <v>11802</v>
      </c>
      <c r="K5476" s="14" t="s">
        <v>11825</v>
      </c>
      <c r="L5476" s="12" t="s">
        <v>11826</v>
      </c>
      <c r="M5476" s="14" t="s">
        <v>11833</v>
      </c>
      <c r="O5476" s="418">
        <v>0</v>
      </c>
      <c r="P5476" s="12">
        <v>5</v>
      </c>
      <c r="Q5476" s="12">
        <v>5</v>
      </c>
      <c r="R5476" s="12">
        <v>5</v>
      </c>
      <c r="S5476" s="12">
        <v>5</v>
      </c>
      <c r="T5476" s="14" t="s">
        <v>11722</v>
      </c>
      <c r="U5476" t="s">
        <v>11723</v>
      </c>
      <c r="V5476" s="14" t="s">
        <v>11834</v>
      </c>
      <c r="W5476" s="388">
        <v>1</v>
      </c>
      <c r="X5476" s="388">
        <v>0</v>
      </c>
      <c r="Y5476" s="388">
        <v>0</v>
      </c>
      <c r="Z5476" s="388">
        <v>1</v>
      </c>
      <c r="AA5476" s="388">
        <v>1</v>
      </c>
      <c r="AB5476" s="388">
        <v>0</v>
      </c>
      <c r="AC5476" s="150">
        <v>1</v>
      </c>
      <c r="AD5476" s="150">
        <v>1</v>
      </c>
      <c r="AE5476" s="49">
        <f t="shared" si="199"/>
        <v>0.625</v>
      </c>
      <c r="AF5476" s="397"/>
      <c r="AG5476" s="17">
        <v>0</v>
      </c>
      <c r="AH5476" s="397">
        <v>0</v>
      </c>
      <c r="AI5476" s="397">
        <v>0.3</v>
      </c>
      <c r="AJ5476" s="397">
        <v>0.315</v>
      </c>
      <c r="AK5476" s="398">
        <v>0</v>
      </c>
      <c r="AL5476" s="398">
        <v>0</v>
      </c>
      <c r="AM5476" s="17">
        <f t="shared" si="198"/>
        <v>0</v>
      </c>
      <c r="AN5476" s="14" t="s">
        <v>11722</v>
      </c>
      <c r="AO5476" s="12" t="s">
        <v>11723</v>
      </c>
      <c r="AP5476" s="399"/>
      <c r="AQ5476" s="400"/>
      <c r="AR5476" s="399"/>
      <c r="AS5476" s="399"/>
      <c r="AT5476" s="399"/>
      <c r="AX5476" s="400"/>
    </row>
    <row r="5477" spans="1:50" s="14" customFormat="1" x14ac:dyDescent="0.3">
      <c r="A5477" s="386" t="s">
        <v>8325</v>
      </c>
      <c r="B5477" s="14" t="s">
        <v>8326</v>
      </c>
      <c r="C5477" s="14" t="s">
        <v>11714</v>
      </c>
      <c r="D5477" s="14" t="s">
        <v>6838</v>
      </c>
      <c r="E5477" s="14" t="s">
        <v>11715</v>
      </c>
      <c r="F5477" s="12" t="s">
        <v>11716</v>
      </c>
      <c r="G5477" s="14" t="s">
        <v>11824</v>
      </c>
      <c r="H5477" s="12" t="s">
        <v>11802</v>
      </c>
      <c r="K5477" s="14" t="s">
        <v>11825</v>
      </c>
      <c r="L5477" s="12" t="s">
        <v>11826</v>
      </c>
      <c r="M5477" s="14" t="s">
        <v>11835</v>
      </c>
      <c r="O5477" s="418">
        <v>0</v>
      </c>
      <c r="P5477" s="21">
        <v>5</v>
      </c>
      <c r="Q5477" s="21">
        <v>5</v>
      </c>
      <c r="R5477" s="21">
        <v>5</v>
      </c>
      <c r="S5477" s="21">
        <v>5</v>
      </c>
      <c r="T5477" s="14" t="s">
        <v>11722</v>
      </c>
      <c r="U5477" t="s">
        <v>11723</v>
      </c>
      <c r="V5477" s="14" t="s">
        <v>11836</v>
      </c>
      <c r="W5477" s="388">
        <v>1</v>
      </c>
      <c r="X5477" s="388">
        <v>0</v>
      </c>
      <c r="Y5477" s="388">
        <v>0</v>
      </c>
      <c r="Z5477" s="388">
        <v>1</v>
      </c>
      <c r="AA5477" s="388">
        <v>1</v>
      </c>
      <c r="AB5477" s="388">
        <v>0</v>
      </c>
      <c r="AC5477" s="150">
        <v>1</v>
      </c>
      <c r="AD5477" s="150">
        <v>1</v>
      </c>
      <c r="AE5477" s="49">
        <f t="shared" si="199"/>
        <v>0.625</v>
      </c>
      <c r="AF5477" s="397"/>
      <c r="AG5477" s="17">
        <v>0</v>
      </c>
      <c r="AH5477" s="397">
        <v>0</v>
      </c>
      <c r="AI5477" s="397">
        <v>0.38</v>
      </c>
      <c r="AJ5477" s="397">
        <v>0.39900000000000002</v>
      </c>
      <c r="AK5477" s="398">
        <v>0</v>
      </c>
      <c r="AL5477" s="398">
        <v>0</v>
      </c>
      <c r="AM5477" s="17">
        <f t="shared" si="198"/>
        <v>0</v>
      </c>
      <c r="AN5477" s="14" t="s">
        <v>11722</v>
      </c>
      <c r="AO5477" s="12" t="s">
        <v>11723</v>
      </c>
      <c r="AP5477" s="399"/>
      <c r="AQ5477" s="400"/>
      <c r="AR5477" s="399"/>
      <c r="AS5477" s="399"/>
      <c r="AT5477" s="399"/>
      <c r="AX5477" s="400"/>
    </row>
    <row r="5478" spans="1:50" s="14" customFormat="1" x14ac:dyDescent="0.3">
      <c r="A5478" s="386" t="s">
        <v>8325</v>
      </c>
      <c r="B5478" s="14" t="s">
        <v>8326</v>
      </c>
      <c r="C5478" s="14" t="s">
        <v>11714</v>
      </c>
      <c r="D5478" s="14" t="s">
        <v>6838</v>
      </c>
      <c r="E5478" s="14" t="s">
        <v>11715</v>
      </c>
      <c r="F5478" s="12" t="s">
        <v>11716</v>
      </c>
      <c r="G5478" s="14" t="s">
        <v>11824</v>
      </c>
      <c r="H5478" s="12" t="s">
        <v>11802</v>
      </c>
      <c r="K5478" s="14" t="s">
        <v>11825</v>
      </c>
      <c r="L5478" s="12" t="s">
        <v>11826</v>
      </c>
      <c r="M5478" s="14" t="s">
        <v>11837</v>
      </c>
      <c r="N5478" s="400"/>
      <c r="O5478" s="418">
        <v>0</v>
      </c>
      <c r="P5478" s="21">
        <v>8</v>
      </c>
      <c r="Q5478" s="21">
        <v>8</v>
      </c>
      <c r="R5478" s="21">
        <v>8</v>
      </c>
      <c r="S5478" s="21">
        <v>8</v>
      </c>
      <c r="T5478" s="14" t="s">
        <v>11722</v>
      </c>
      <c r="U5478" t="s">
        <v>11723</v>
      </c>
      <c r="V5478" s="14" t="s">
        <v>11838</v>
      </c>
      <c r="W5478" s="388">
        <v>1</v>
      </c>
      <c r="X5478" s="388">
        <v>0</v>
      </c>
      <c r="Y5478" s="388">
        <v>0</v>
      </c>
      <c r="Z5478" s="388">
        <v>1</v>
      </c>
      <c r="AA5478" s="388">
        <v>1</v>
      </c>
      <c r="AB5478" s="388">
        <v>0</v>
      </c>
      <c r="AC5478" s="150">
        <v>1</v>
      </c>
      <c r="AD5478" s="150">
        <v>1</v>
      </c>
      <c r="AE5478" s="49">
        <f t="shared" si="199"/>
        <v>0.625</v>
      </c>
      <c r="AF5478" s="397"/>
      <c r="AG5478" s="17">
        <v>0</v>
      </c>
      <c r="AH5478" s="397">
        <v>0</v>
      </c>
      <c r="AI5478" s="397">
        <v>0.04</v>
      </c>
      <c r="AJ5478" s="397">
        <v>4.2000000000000003E-2</v>
      </c>
      <c r="AK5478" s="398">
        <v>0</v>
      </c>
      <c r="AL5478" s="398">
        <v>0</v>
      </c>
      <c r="AM5478" s="17">
        <f t="shared" si="198"/>
        <v>0</v>
      </c>
      <c r="AN5478" s="14" t="s">
        <v>11722</v>
      </c>
      <c r="AO5478" s="12" t="s">
        <v>11723</v>
      </c>
      <c r="AP5478" s="399"/>
      <c r="AQ5478" s="400"/>
      <c r="AR5478" s="399"/>
      <c r="AS5478" s="399"/>
      <c r="AT5478" s="399"/>
      <c r="AX5478" s="400"/>
    </row>
    <row r="5479" spans="1:50" s="14" customFormat="1" x14ac:dyDescent="0.3">
      <c r="A5479" s="386" t="s">
        <v>8325</v>
      </c>
      <c r="B5479" s="14" t="s">
        <v>8326</v>
      </c>
      <c r="C5479" s="14" t="s">
        <v>11714</v>
      </c>
      <c r="D5479" s="14" t="s">
        <v>6838</v>
      </c>
      <c r="E5479" s="14" t="s">
        <v>11715</v>
      </c>
      <c r="F5479" s="12" t="s">
        <v>11716</v>
      </c>
      <c r="G5479" s="14" t="s">
        <v>11824</v>
      </c>
      <c r="H5479" s="12" t="s">
        <v>11802</v>
      </c>
      <c r="K5479" s="14" t="s">
        <v>11825</v>
      </c>
      <c r="L5479" s="12" t="s">
        <v>11826</v>
      </c>
      <c r="M5479" s="14" t="s">
        <v>11839</v>
      </c>
      <c r="N5479" s="400"/>
      <c r="O5479" s="418">
        <v>0</v>
      </c>
      <c r="P5479" s="401">
        <v>0</v>
      </c>
      <c r="Q5479" s="401">
        <v>0</v>
      </c>
      <c r="R5479" s="12">
        <v>2</v>
      </c>
      <c r="S5479" s="12">
        <v>2</v>
      </c>
      <c r="T5479" s="14" t="s">
        <v>11722</v>
      </c>
      <c r="U5479" t="s">
        <v>11723</v>
      </c>
      <c r="V5479" s="14" t="s">
        <v>11840</v>
      </c>
      <c r="W5479" s="388">
        <v>1</v>
      </c>
      <c r="X5479" s="388">
        <v>0</v>
      </c>
      <c r="Y5479" s="388">
        <v>0</v>
      </c>
      <c r="Z5479" s="388">
        <v>1</v>
      </c>
      <c r="AA5479" s="388">
        <v>1</v>
      </c>
      <c r="AB5479" s="388">
        <v>0</v>
      </c>
      <c r="AC5479" s="150">
        <v>1</v>
      </c>
      <c r="AD5479" s="150">
        <v>1</v>
      </c>
      <c r="AE5479" s="49">
        <f t="shared" si="199"/>
        <v>0.625</v>
      </c>
      <c r="AF5479" s="397"/>
      <c r="AG5479" s="17">
        <v>0</v>
      </c>
      <c r="AH5479" s="397">
        <v>0</v>
      </c>
      <c r="AI5479" s="397">
        <v>0</v>
      </c>
      <c r="AJ5479" s="397">
        <v>0</v>
      </c>
      <c r="AK5479" s="398">
        <v>0</v>
      </c>
      <c r="AL5479" s="398">
        <v>0</v>
      </c>
      <c r="AM5479" s="17">
        <f t="shared" si="198"/>
        <v>0</v>
      </c>
      <c r="AN5479" s="14" t="s">
        <v>11722</v>
      </c>
      <c r="AO5479" s="12" t="s">
        <v>11723</v>
      </c>
      <c r="AP5479" s="399"/>
      <c r="AQ5479" s="400"/>
      <c r="AR5479" s="399"/>
      <c r="AS5479" s="399"/>
      <c r="AT5479" s="399"/>
      <c r="AX5479" s="400"/>
    </row>
    <row r="5480" spans="1:50" s="14" customFormat="1" x14ac:dyDescent="0.3">
      <c r="A5480" s="386" t="s">
        <v>8325</v>
      </c>
      <c r="B5480" s="14" t="s">
        <v>8326</v>
      </c>
      <c r="C5480" s="14" t="s">
        <v>11714</v>
      </c>
      <c r="D5480" s="14" t="s">
        <v>6838</v>
      </c>
      <c r="E5480" s="14" t="s">
        <v>11715</v>
      </c>
      <c r="F5480" s="12" t="s">
        <v>11716</v>
      </c>
      <c r="G5480" s="14" t="s">
        <v>11824</v>
      </c>
      <c r="H5480" s="12" t="s">
        <v>11802</v>
      </c>
      <c r="K5480" s="14" t="s">
        <v>11825</v>
      </c>
      <c r="L5480" s="12" t="s">
        <v>11826</v>
      </c>
      <c r="M5480" s="14" t="s">
        <v>11841</v>
      </c>
      <c r="N5480" s="400"/>
      <c r="O5480" s="418">
        <v>0</v>
      </c>
      <c r="P5480" s="12">
        <v>1</v>
      </c>
      <c r="Q5480" s="12">
        <v>2</v>
      </c>
      <c r="R5480" s="12">
        <v>4</v>
      </c>
      <c r="S5480" s="12">
        <v>4</v>
      </c>
      <c r="T5480" s="14" t="s">
        <v>11722</v>
      </c>
      <c r="U5480" t="s">
        <v>11723</v>
      </c>
      <c r="V5480" s="14" t="s">
        <v>11842</v>
      </c>
      <c r="W5480" s="388">
        <v>1</v>
      </c>
      <c r="X5480" s="388">
        <v>0</v>
      </c>
      <c r="Y5480" s="388">
        <v>0</v>
      </c>
      <c r="Z5480" s="388">
        <v>1</v>
      </c>
      <c r="AA5480" s="388">
        <v>1</v>
      </c>
      <c r="AB5480" s="388">
        <v>0</v>
      </c>
      <c r="AC5480" s="150">
        <v>1</v>
      </c>
      <c r="AD5480" s="150">
        <v>1</v>
      </c>
      <c r="AE5480" s="49">
        <f t="shared" si="199"/>
        <v>0.625</v>
      </c>
      <c r="AF5480" s="397"/>
      <c r="AG5480" s="17">
        <v>0</v>
      </c>
      <c r="AH5480" s="397">
        <v>0</v>
      </c>
      <c r="AI5480" s="397">
        <v>1.1534</v>
      </c>
      <c r="AJ5480" s="397">
        <v>2.3068</v>
      </c>
      <c r="AK5480" s="398">
        <v>2.27</v>
      </c>
      <c r="AL5480" s="398">
        <v>2.2999999999999998</v>
      </c>
      <c r="AM5480" s="17">
        <f t="shared" si="198"/>
        <v>4.57</v>
      </c>
      <c r="AN5480" s="14" t="s">
        <v>11722</v>
      </c>
      <c r="AO5480" s="12" t="s">
        <v>11723</v>
      </c>
      <c r="AP5480" s="399"/>
      <c r="AQ5480" s="400"/>
      <c r="AR5480" s="399"/>
      <c r="AS5480" s="399"/>
      <c r="AT5480" s="399"/>
      <c r="AX5480" s="400"/>
    </row>
    <row r="5481" spans="1:50" s="14" customFormat="1" x14ac:dyDescent="0.3">
      <c r="A5481" s="386" t="s">
        <v>8325</v>
      </c>
      <c r="B5481" s="14" t="s">
        <v>8326</v>
      </c>
      <c r="C5481" s="14" t="s">
        <v>11714</v>
      </c>
      <c r="D5481" s="14" t="s">
        <v>6838</v>
      </c>
      <c r="E5481" s="14" t="s">
        <v>11715</v>
      </c>
      <c r="F5481" s="12" t="s">
        <v>11716</v>
      </c>
      <c r="G5481" s="14" t="s">
        <v>11824</v>
      </c>
      <c r="H5481" s="12" t="s">
        <v>11802</v>
      </c>
      <c r="K5481" s="14" t="s">
        <v>11825</v>
      </c>
      <c r="L5481" s="12" t="s">
        <v>11826</v>
      </c>
      <c r="M5481" s="14" t="s">
        <v>11843</v>
      </c>
      <c r="N5481" s="400">
        <v>82</v>
      </c>
      <c r="O5481" s="418">
        <v>0</v>
      </c>
      <c r="P5481" s="12">
        <v>0</v>
      </c>
      <c r="Q5481" s="12">
        <v>23</v>
      </c>
      <c r="R5481" s="12">
        <v>12</v>
      </c>
      <c r="S5481" s="12">
        <v>12</v>
      </c>
      <c r="T5481" s="14" t="s">
        <v>11722</v>
      </c>
      <c r="U5481" t="s">
        <v>11723</v>
      </c>
      <c r="V5481" s="14" t="s">
        <v>11844</v>
      </c>
      <c r="W5481" s="388">
        <v>1</v>
      </c>
      <c r="X5481" s="388">
        <v>0</v>
      </c>
      <c r="Y5481" s="388">
        <v>0</v>
      </c>
      <c r="Z5481" s="388">
        <v>1</v>
      </c>
      <c r="AA5481" s="388">
        <v>1</v>
      </c>
      <c r="AB5481" s="388">
        <v>0</v>
      </c>
      <c r="AC5481" s="150">
        <v>1</v>
      </c>
      <c r="AD5481" s="150">
        <v>1</v>
      </c>
      <c r="AE5481" s="49">
        <f t="shared" si="199"/>
        <v>0.625</v>
      </c>
      <c r="AF5481" s="397"/>
      <c r="AG5481" s="17">
        <v>0</v>
      </c>
      <c r="AH5481" s="397">
        <v>0</v>
      </c>
      <c r="AI5481" s="397">
        <v>0</v>
      </c>
      <c r="AJ5481" s="397">
        <v>3.21468</v>
      </c>
      <c r="AK5481" s="398">
        <v>2.21</v>
      </c>
      <c r="AL5481" s="398">
        <v>2.21</v>
      </c>
      <c r="AM5481" s="17">
        <f t="shared" si="198"/>
        <v>4.42</v>
      </c>
      <c r="AN5481" s="14" t="s">
        <v>11722</v>
      </c>
      <c r="AO5481" s="12" t="s">
        <v>11723</v>
      </c>
      <c r="AP5481" s="399"/>
      <c r="AQ5481" s="400"/>
      <c r="AR5481" s="399"/>
      <c r="AS5481" s="399"/>
      <c r="AT5481" s="399"/>
      <c r="AX5481" s="400"/>
    </row>
    <row r="5482" spans="1:50" s="14" customFormat="1" x14ac:dyDescent="0.3">
      <c r="A5482" s="386" t="s">
        <v>8325</v>
      </c>
      <c r="B5482" s="14" t="s">
        <v>8326</v>
      </c>
      <c r="C5482" s="14" t="s">
        <v>11714</v>
      </c>
      <c r="D5482" s="14" t="s">
        <v>6838</v>
      </c>
      <c r="E5482" s="14" t="s">
        <v>11715</v>
      </c>
      <c r="F5482" s="12" t="s">
        <v>11716</v>
      </c>
      <c r="G5482" s="14" t="s">
        <v>11824</v>
      </c>
      <c r="H5482" s="12" t="s">
        <v>11802</v>
      </c>
      <c r="K5482" s="14" t="s">
        <v>11825</v>
      </c>
      <c r="L5482" s="12" t="s">
        <v>11826</v>
      </c>
      <c r="M5482" s="14" t="s">
        <v>11845</v>
      </c>
      <c r="N5482" s="400">
        <v>139</v>
      </c>
      <c r="O5482" s="14">
        <v>1</v>
      </c>
      <c r="P5482" s="12"/>
      <c r="Q5482" s="12">
        <v>86</v>
      </c>
      <c r="R5482" s="12">
        <v>20</v>
      </c>
      <c r="S5482" s="12">
        <v>20</v>
      </c>
      <c r="T5482" s="14" t="s">
        <v>11722</v>
      </c>
      <c r="U5482" t="s">
        <v>11723</v>
      </c>
      <c r="V5482" s="14" t="s">
        <v>11846</v>
      </c>
      <c r="W5482" s="388">
        <v>1</v>
      </c>
      <c r="X5482" s="388">
        <v>0</v>
      </c>
      <c r="Y5482" s="388">
        <v>0</v>
      </c>
      <c r="Z5482" s="388">
        <v>1</v>
      </c>
      <c r="AA5482" s="388">
        <v>1</v>
      </c>
      <c r="AB5482" s="388">
        <v>0</v>
      </c>
      <c r="AC5482" s="150">
        <v>1</v>
      </c>
      <c r="AD5482" s="150">
        <v>1</v>
      </c>
      <c r="AE5482" s="49">
        <f t="shared" si="199"/>
        <v>0.625</v>
      </c>
      <c r="AF5482" s="397"/>
      <c r="AG5482" s="17">
        <v>0</v>
      </c>
      <c r="AH5482" s="397">
        <v>0</v>
      </c>
      <c r="AI5482" s="397">
        <v>0</v>
      </c>
      <c r="AJ5482" s="397">
        <v>2.05884</v>
      </c>
      <c r="AK5482" s="398">
        <v>2.06</v>
      </c>
      <c r="AL5482" s="398">
        <v>2.06</v>
      </c>
      <c r="AM5482" s="17">
        <f t="shared" si="198"/>
        <v>4.12</v>
      </c>
      <c r="AN5482" s="14" t="s">
        <v>11722</v>
      </c>
      <c r="AO5482" s="12" t="s">
        <v>11723</v>
      </c>
      <c r="AP5482" s="399"/>
      <c r="AQ5482" s="400"/>
      <c r="AR5482" s="399"/>
      <c r="AS5482" s="399"/>
      <c r="AT5482" s="399"/>
      <c r="AX5482" s="400"/>
    </row>
    <row r="5483" spans="1:50" s="14" customFormat="1" x14ac:dyDescent="0.3">
      <c r="A5483" s="386" t="s">
        <v>8325</v>
      </c>
      <c r="B5483" s="14" t="s">
        <v>8326</v>
      </c>
      <c r="C5483" s="14" t="s">
        <v>11714</v>
      </c>
      <c r="D5483" s="14" t="s">
        <v>6838</v>
      </c>
      <c r="E5483" s="14" t="s">
        <v>11715</v>
      </c>
      <c r="F5483" s="12" t="s">
        <v>11716</v>
      </c>
      <c r="G5483" s="14" t="s">
        <v>11824</v>
      </c>
      <c r="H5483" s="12" t="s">
        <v>11802</v>
      </c>
      <c r="K5483" s="14" t="s">
        <v>11825</v>
      </c>
      <c r="L5483" s="12" t="s">
        <v>11826</v>
      </c>
      <c r="M5483" s="14" t="s">
        <v>11847</v>
      </c>
      <c r="N5483" s="438">
        <v>1</v>
      </c>
      <c r="O5483" s="438">
        <v>1</v>
      </c>
      <c r="P5483" s="41">
        <v>1</v>
      </c>
      <c r="Q5483" s="41">
        <v>1</v>
      </c>
      <c r="R5483" s="41">
        <v>1</v>
      </c>
      <c r="S5483" s="41">
        <v>1</v>
      </c>
      <c r="T5483" s="14" t="s">
        <v>11722</v>
      </c>
      <c r="U5483" t="s">
        <v>11723</v>
      </c>
      <c r="V5483" s="14" t="s">
        <v>11848</v>
      </c>
      <c r="W5483" s="388">
        <v>1</v>
      </c>
      <c r="X5483" s="388">
        <v>0</v>
      </c>
      <c r="Y5483" s="388">
        <v>0</v>
      </c>
      <c r="Z5483" s="388">
        <v>1</v>
      </c>
      <c r="AA5483" s="388">
        <v>1</v>
      </c>
      <c r="AB5483" s="388">
        <v>0</v>
      </c>
      <c r="AC5483" s="150">
        <v>1</v>
      </c>
      <c r="AD5483" s="150">
        <v>1</v>
      </c>
      <c r="AE5483" s="49">
        <f t="shared" si="199"/>
        <v>0.625</v>
      </c>
      <c r="AF5483" s="397"/>
      <c r="AG5483" s="17">
        <v>0</v>
      </c>
      <c r="AH5483" s="397">
        <v>6.2399999999999997E-2</v>
      </c>
      <c r="AI5483" s="397">
        <v>6.2399999999999997E-2</v>
      </c>
      <c r="AJ5483" s="397">
        <v>6.2399999999999997E-2</v>
      </c>
      <c r="AK5483" s="398">
        <v>0.09</v>
      </c>
      <c r="AL5483" s="398">
        <v>0.09</v>
      </c>
      <c r="AM5483" s="17">
        <f t="shared" si="198"/>
        <v>0.18</v>
      </c>
      <c r="AN5483" s="14" t="s">
        <v>11722</v>
      </c>
      <c r="AO5483" s="12" t="s">
        <v>11723</v>
      </c>
      <c r="AP5483" s="399"/>
      <c r="AQ5483" s="400"/>
      <c r="AR5483" s="399"/>
      <c r="AS5483" s="399"/>
      <c r="AT5483" s="399"/>
      <c r="AX5483" s="400"/>
    </row>
    <row r="5484" spans="1:50" s="14" customFormat="1" x14ac:dyDescent="0.3">
      <c r="A5484" s="386" t="s">
        <v>8325</v>
      </c>
      <c r="B5484" s="14" t="s">
        <v>8326</v>
      </c>
      <c r="C5484" s="14" t="s">
        <v>11807</v>
      </c>
      <c r="D5484" s="14" t="s">
        <v>11808</v>
      </c>
      <c r="E5484" s="14" t="s">
        <v>11809</v>
      </c>
      <c r="F5484" s="12" t="s">
        <v>11716</v>
      </c>
      <c r="G5484" s="14" t="s">
        <v>11810</v>
      </c>
      <c r="H5484" s="12" t="s">
        <v>11802</v>
      </c>
      <c r="K5484" s="14" t="s">
        <v>11849</v>
      </c>
      <c r="L5484" s="12" t="s">
        <v>11826</v>
      </c>
      <c r="M5484" s="14" t="s">
        <v>11850</v>
      </c>
      <c r="N5484" s="14">
        <v>4</v>
      </c>
      <c r="O5484" s="14">
        <v>4</v>
      </c>
      <c r="P5484" s="12">
        <v>4</v>
      </c>
      <c r="Q5484" s="12">
        <v>4</v>
      </c>
      <c r="R5484" s="12">
        <v>4</v>
      </c>
      <c r="S5484" s="12">
        <v>4</v>
      </c>
      <c r="T5484" s="14" t="s">
        <v>11722</v>
      </c>
      <c r="U5484" t="s">
        <v>11723</v>
      </c>
      <c r="V5484" s="14" t="s">
        <v>11851</v>
      </c>
      <c r="W5484" s="388">
        <v>1</v>
      </c>
      <c r="X5484" s="388">
        <v>0</v>
      </c>
      <c r="Y5484" s="388">
        <v>0</v>
      </c>
      <c r="Z5484" s="388">
        <v>1</v>
      </c>
      <c r="AA5484" s="388">
        <v>1</v>
      </c>
      <c r="AB5484" s="388">
        <v>0</v>
      </c>
      <c r="AC5484" s="150">
        <v>1</v>
      </c>
      <c r="AD5484" s="150">
        <v>1</v>
      </c>
      <c r="AE5484" s="49">
        <f t="shared" si="199"/>
        <v>0.625</v>
      </c>
      <c r="AF5484" s="397"/>
      <c r="AG5484" s="17">
        <v>0</v>
      </c>
      <c r="AH5484" s="397">
        <v>0</v>
      </c>
      <c r="AI5484" s="397">
        <v>4.8000000000000001E-2</v>
      </c>
      <c r="AJ5484" s="397">
        <v>0.14174999999999999</v>
      </c>
      <c r="AK5484" s="398">
        <v>3.7999999999999999E-2</v>
      </c>
      <c r="AL5484" s="398">
        <v>3.7999999999999999E-2</v>
      </c>
      <c r="AM5484" s="17">
        <f t="shared" si="198"/>
        <v>7.5999999999999998E-2</v>
      </c>
      <c r="AN5484" s="14" t="s">
        <v>11722</v>
      </c>
      <c r="AO5484" s="12" t="s">
        <v>11723</v>
      </c>
      <c r="AP5484" s="399"/>
      <c r="AQ5484" s="399"/>
      <c r="AR5484" s="399"/>
      <c r="AS5484" s="399"/>
      <c r="AT5484" s="399"/>
      <c r="AX5484" s="400"/>
    </row>
    <row r="5485" spans="1:50" s="14" customFormat="1" x14ac:dyDescent="0.3">
      <c r="A5485" s="386" t="s">
        <v>8325</v>
      </c>
      <c r="B5485" s="14" t="s">
        <v>8326</v>
      </c>
      <c r="C5485" s="14" t="s">
        <v>11807</v>
      </c>
      <c r="D5485" s="14" t="s">
        <v>11808</v>
      </c>
      <c r="E5485" s="14" t="s">
        <v>11809</v>
      </c>
      <c r="F5485" s="12" t="s">
        <v>11716</v>
      </c>
      <c r="G5485" s="14" t="s">
        <v>11810</v>
      </c>
      <c r="H5485" s="12" t="s">
        <v>11802</v>
      </c>
      <c r="K5485" s="14" t="s">
        <v>11849</v>
      </c>
      <c r="L5485" s="12" t="s">
        <v>11826</v>
      </c>
      <c r="M5485" s="14" t="s">
        <v>11852</v>
      </c>
      <c r="N5485" s="14">
        <v>4</v>
      </c>
      <c r="O5485" s="14">
        <v>4</v>
      </c>
      <c r="P5485" s="12">
        <v>4</v>
      </c>
      <c r="Q5485" s="12">
        <v>4</v>
      </c>
      <c r="R5485" s="12">
        <v>4</v>
      </c>
      <c r="S5485" s="12">
        <v>4</v>
      </c>
      <c r="T5485" s="14" t="s">
        <v>11722</v>
      </c>
      <c r="U5485" t="s">
        <v>11723</v>
      </c>
      <c r="V5485" s="14" t="s">
        <v>11853</v>
      </c>
      <c r="W5485" s="388">
        <v>1</v>
      </c>
      <c r="X5485" s="388">
        <v>0</v>
      </c>
      <c r="Y5485" s="388">
        <v>0</v>
      </c>
      <c r="Z5485" s="388">
        <v>1</v>
      </c>
      <c r="AA5485" s="388">
        <v>1</v>
      </c>
      <c r="AB5485" s="388">
        <v>0</v>
      </c>
      <c r="AC5485" s="150">
        <v>1</v>
      </c>
      <c r="AD5485" s="150">
        <v>1</v>
      </c>
      <c r="AE5485" s="49">
        <f t="shared" si="199"/>
        <v>0.625</v>
      </c>
      <c r="AF5485" s="397"/>
      <c r="AG5485" s="17">
        <v>0</v>
      </c>
      <c r="AH5485" s="397">
        <v>0</v>
      </c>
      <c r="AI5485" s="397">
        <v>4.8000000000000001E-2</v>
      </c>
      <c r="AJ5485" s="397">
        <v>0.20895</v>
      </c>
      <c r="AK5485" s="398">
        <v>0.2</v>
      </c>
      <c r="AL5485" s="398">
        <v>0.2</v>
      </c>
      <c r="AM5485" s="17">
        <f t="shared" si="198"/>
        <v>0.4</v>
      </c>
      <c r="AN5485" s="14" t="s">
        <v>11722</v>
      </c>
      <c r="AO5485" s="12" t="s">
        <v>11723</v>
      </c>
      <c r="AP5485" s="399"/>
      <c r="AQ5485" s="399"/>
      <c r="AR5485" s="399"/>
      <c r="AS5485" s="399"/>
      <c r="AT5485" s="399"/>
      <c r="AX5485" s="400"/>
    </row>
    <row r="5486" spans="1:50" s="14" customFormat="1" x14ac:dyDescent="0.3">
      <c r="A5486" s="386" t="s">
        <v>8325</v>
      </c>
      <c r="B5486" s="14" t="s">
        <v>8326</v>
      </c>
      <c r="C5486" s="14" t="s">
        <v>11714</v>
      </c>
      <c r="D5486" s="14" t="s">
        <v>6838</v>
      </c>
      <c r="E5486" s="14" t="s">
        <v>11715</v>
      </c>
      <c r="F5486" s="12" t="s">
        <v>11716</v>
      </c>
      <c r="G5486" s="14" t="s">
        <v>11824</v>
      </c>
      <c r="H5486" s="12" t="s">
        <v>11802</v>
      </c>
      <c r="K5486" s="14" t="s">
        <v>11825</v>
      </c>
      <c r="L5486" s="12" t="s">
        <v>11826</v>
      </c>
      <c r="M5486" s="14" t="s">
        <v>11854</v>
      </c>
      <c r="N5486" s="418">
        <v>0</v>
      </c>
      <c r="O5486" s="418">
        <v>0</v>
      </c>
      <c r="P5486" s="41">
        <v>1</v>
      </c>
      <c r="Q5486" s="41">
        <v>1</v>
      </c>
      <c r="R5486" s="41">
        <v>0.1</v>
      </c>
      <c r="S5486" s="41">
        <v>0.15</v>
      </c>
      <c r="T5486" s="14" t="s">
        <v>11722</v>
      </c>
      <c r="U5486" t="s">
        <v>11723</v>
      </c>
      <c r="V5486" s="14" t="s">
        <v>11855</v>
      </c>
      <c r="W5486" s="388">
        <v>1</v>
      </c>
      <c r="X5486" s="388">
        <v>0</v>
      </c>
      <c r="Y5486" s="388">
        <v>0</v>
      </c>
      <c r="Z5486" s="388">
        <v>1</v>
      </c>
      <c r="AA5486" s="388">
        <v>1</v>
      </c>
      <c r="AB5486" s="388">
        <v>0</v>
      </c>
      <c r="AC5486" s="150">
        <v>1</v>
      </c>
      <c r="AD5486" s="150">
        <v>1</v>
      </c>
      <c r="AE5486" s="49">
        <f t="shared" si="199"/>
        <v>0.625</v>
      </c>
      <c r="AF5486" s="397"/>
      <c r="AG5486" s="17">
        <v>0</v>
      </c>
      <c r="AH5486" s="397">
        <v>0</v>
      </c>
      <c r="AI5486" s="397">
        <v>0.1512</v>
      </c>
      <c r="AJ5486" s="397">
        <v>0.15876000000000001</v>
      </c>
      <c r="AK5486" s="398">
        <v>2.98E-2</v>
      </c>
      <c r="AL5486" s="398">
        <v>2.98E-2</v>
      </c>
      <c r="AM5486" s="17">
        <f t="shared" si="198"/>
        <v>5.96E-2</v>
      </c>
      <c r="AN5486" s="14" t="s">
        <v>11722</v>
      </c>
      <c r="AO5486" s="12" t="s">
        <v>11723</v>
      </c>
      <c r="AP5486" s="399"/>
      <c r="AQ5486" s="400"/>
      <c r="AR5486" s="399"/>
      <c r="AS5486" s="399"/>
      <c r="AT5486" s="399"/>
      <c r="AX5486" s="400"/>
    </row>
    <row r="5487" spans="1:50" s="14" customFormat="1" x14ac:dyDescent="0.3">
      <c r="A5487" s="386" t="s">
        <v>8325</v>
      </c>
      <c r="B5487" s="14" t="s">
        <v>8326</v>
      </c>
      <c r="C5487" s="14" t="s">
        <v>11714</v>
      </c>
      <c r="D5487" s="14" t="s">
        <v>6838</v>
      </c>
      <c r="E5487" s="14" t="s">
        <v>11715</v>
      </c>
      <c r="F5487" s="12" t="s">
        <v>11716</v>
      </c>
      <c r="G5487" s="14" t="s">
        <v>11824</v>
      </c>
      <c r="H5487" s="12" t="s">
        <v>11802</v>
      </c>
      <c r="K5487" s="14" t="s">
        <v>11825</v>
      </c>
      <c r="L5487" s="12" t="s">
        <v>11826</v>
      </c>
      <c r="M5487" s="14" t="s">
        <v>11856</v>
      </c>
      <c r="N5487" s="14">
        <v>4</v>
      </c>
      <c r="O5487" s="14">
        <v>4</v>
      </c>
      <c r="P5487" s="12">
        <v>4</v>
      </c>
      <c r="Q5487" s="12">
        <v>4</v>
      </c>
      <c r="R5487" s="12">
        <v>4</v>
      </c>
      <c r="S5487" s="12">
        <v>4</v>
      </c>
      <c r="T5487" s="14" t="s">
        <v>11722</v>
      </c>
      <c r="U5487" t="s">
        <v>11723</v>
      </c>
      <c r="V5487" s="14" t="s">
        <v>11857</v>
      </c>
      <c r="W5487" s="388">
        <v>1</v>
      </c>
      <c r="X5487" s="388">
        <v>0</v>
      </c>
      <c r="Y5487" s="388">
        <v>0</v>
      </c>
      <c r="Z5487" s="388">
        <v>1</v>
      </c>
      <c r="AA5487" s="388">
        <v>1</v>
      </c>
      <c r="AB5487" s="388">
        <v>0</v>
      </c>
      <c r="AC5487" s="150">
        <v>1</v>
      </c>
      <c r="AD5487" s="150">
        <v>1</v>
      </c>
      <c r="AE5487" s="49">
        <f t="shared" si="199"/>
        <v>0.625</v>
      </c>
      <c r="AF5487" s="397"/>
      <c r="AG5487" s="17">
        <v>0</v>
      </c>
      <c r="AH5487" s="397">
        <v>0</v>
      </c>
      <c r="AI5487" s="397">
        <v>0.02</v>
      </c>
      <c r="AJ5487" s="397">
        <v>0.31142999999999998</v>
      </c>
      <c r="AK5487" s="398">
        <v>0.18</v>
      </c>
      <c r="AL5487" s="398">
        <v>0.18</v>
      </c>
      <c r="AM5487" s="17">
        <f t="shared" si="198"/>
        <v>0.36</v>
      </c>
      <c r="AN5487" s="14" t="s">
        <v>11722</v>
      </c>
      <c r="AO5487" s="12" t="s">
        <v>11723</v>
      </c>
      <c r="AP5487" s="399"/>
      <c r="AQ5487" s="400"/>
      <c r="AR5487" s="399"/>
      <c r="AS5487" s="399"/>
      <c r="AT5487" s="399"/>
      <c r="AX5487" s="400"/>
    </row>
    <row r="5488" spans="1:50" s="14" customFormat="1" x14ac:dyDescent="0.3">
      <c r="A5488" s="386" t="s">
        <v>8325</v>
      </c>
      <c r="B5488" s="14" t="s">
        <v>8326</v>
      </c>
      <c r="C5488" s="14" t="s">
        <v>11714</v>
      </c>
      <c r="D5488" s="14" t="s">
        <v>6838</v>
      </c>
      <c r="E5488" s="14" t="s">
        <v>11715</v>
      </c>
      <c r="F5488" s="12" t="s">
        <v>11716</v>
      </c>
      <c r="G5488" s="14" t="s">
        <v>11824</v>
      </c>
      <c r="H5488" s="12" t="s">
        <v>11802</v>
      </c>
      <c r="K5488" s="14" t="s">
        <v>11825</v>
      </c>
      <c r="L5488" s="12" t="s">
        <v>11826</v>
      </c>
      <c r="M5488" s="14" t="s">
        <v>11858</v>
      </c>
      <c r="N5488" s="438">
        <v>1</v>
      </c>
      <c r="O5488" s="438">
        <v>1</v>
      </c>
      <c r="P5488" s="41">
        <v>1</v>
      </c>
      <c r="Q5488" s="41">
        <v>1</v>
      </c>
      <c r="R5488" s="41">
        <v>1</v>
      </c>
      <c r="S5488" s="41">
        <v>1</v>
      </c>
      <c r="T5488" s="14" t="s">
        <v>11722</v>
      </c>
      <c r="U5488" t="s">
        <v>11723</v>
      </c>
      <c r="V5488" s="14" t="s">
        <v>11859</v>
      </c>
      <c r="W5488" s="388">
        <v>1</v>
      </c>
      <c r="X5488" s="388">
        <v>0</v>
      </c>
      <c r="Y5488" s="388">
        <v>0</v>
      </c>
      <c r="Z5488" s="388">
        <v>1</v>
      </c>
      <c r="AA5488" s="388">
        <v>1</v>
      </c>
      <c r="AB5488" s="388">
        <v>0</v>
      </c>
      <c r="AC5488" s="150">
        <v>1</v>
      </c>
      <c r="AD5488" s="150">
        <v>1</v>
      </c>
      <c r="AE5488" s="49">
        <f t="shared" si="199"/>
        <v>0.625</v>
      </c>
      <c r="AF5488" s="397"/>
      <c r="AG5488" s="17">
        <v>0</v>
      </c>
      <c r="AH5488" s="397">
        <v>0</v>
      </c>
      <c r="AI5488" s="397">
        <v>7.4999999999999997E-2</v>
      </c>
      <c r="AJ5488" s="397">
        <v>7.4999999999999997E-2</v>
      </c>
      <c r="AK5488" s="398">
        <v>0</v>
      </c>
      <c r="AL5488" s="398">
        <v>0</v>
      </c>
      <c r="AM5488" s="17">
        <f t="shared" si="198"/>
        <v>0</v>
      </c>
      <c r="AN5488" s="14" t="s">
        <v>11722</v>
      </c>
      <c r="AO5488" s="12" t="s">
        <v>11723</v>
      </c>
      <c r="AP5488" s="399"/>
      <c r="AQ5488" s="400"/>
      <c r="AR5488" s="399"/>
      <c r="AS5488" s="399"/>
      <c r="AT5488" s="399"/>
      <c r="AX5488" s="400"/>
    </row>
    <row r="5489" spans="1:50" s="14" customFormat="1" x14ac:dyDescent="0.3">
      <c r="A5489" s="386" t="s">
        <v>8325</v>
      </c>
      <c r="B5489" s="14" t="s">
        <v>8326</v>
      </c>
      <c r="C5489" s="14" t="s">
        <v>11807</v>
      </c>
      <c r="D5489" s="14" t="s">
        <v>11808</v>
      </c>
      <c r="E5489" s="14" t="s">
        <v>11809</v>
      </c>
      <c r="F5489" s="12" t="s">
        <v>11716</v>
      </c>
      <c r="G5489" s="14" t="s">
        <v>11810</v>
      </c>
      <c r="H5489" s="12" t="s">
        <v>11802</v>
      </c>
      <c r="K5489" s="14" t="s">
        <v>11849</v>
      </c>
      <c r="L5489" s="12" t="s">
        <v>11826</v>
      </c>
      <c r="M5489" s="14" t="s">
        <v>11860</v>
      </c>
      <c r="N5489" s="14">
        <v>4</v>
      </c>
      <c r="O5489" s="14">
        <v>4</v>
      </c>
      <c r="P5489" s="12">
        <v>4</v>
      </c>
      <c r="Q5489" s="12">
        <v>4</v>
      </c>
      <c r="R5489" s="12">
        <v>4</v>
      </c>
      <c r="S5489" s="12">
        <v>4</v>
      </c>
      <c r="T5489" s="14" t="s">
        <v>11722</v>
      </c>
      <c r="U5489" t="s">
        <v>11723</v>
      </c>
      <c r="V5489" s="14" t="s">
        <v>11861</v>
      </c>
      <c r="W5489" s="388">
        <v>1</v>
      </c>
      <c r="X5489" s="388">
        <v>0</v>
      </c>
      <c r="Y5489" s="388">
        <v>0</v>
      </c>
      <c r="Z5489" s="388">
        <v>1</v>
      </c>
      <c r="AA5489" s="388">
        <v>1</v>
      </c>
      <c r="AB5489" s="388">
        <v>0</v>
      </c>
      <c r="AC5489" s="150">
        <v>1</v>
      </c>
      <c r="AD5489" s="150">
        <v>1</v>
      </c>
      <c r="AE5489" s="49">
        <f t="shared" si="199"/>
        <v>0.625</v>
      </c>
      <c r="AF5489" s="397"/>
      <c r="AG5489" s="17">
        <v>0</v>
      </c>
      <c r="AH5489" s="397">
        <v>0</v>
      </c>
      <c r="AI5489" s="397">
        <v>0.25819999999999999</v>
      </c>
      <c r="AJ5489" s="397">
        <v>0.27111000000000002</v>
      </c>
      <c r="AK5489" s="398">
        <v>7.1999999999999995E-2</v>
      </c>
      <c r="AL5489" s="398">
        <v>7.1999999999999995E-2</v>
      </c>
      <c r="AM5489" s="17">
        <f t="shared" si="198"/>
        <v>0.14399999999999999</v>
      </c>
      <c r="AN5489" s="14" t="s">
        <v>11722</v>
      </c>
      <c r="AO5489" s="12" t="s">
        <v>11723</v>
      </c>
      <c r="AP5489" s="399"/>
      <c r="AQ5489" s="399"/>
      <c r="AR5489" s="399"/>
      <c r="AS5489" s="399"/>
      <c r="AT5489" s="399"/>
      <c r="AX5489" s="400"/>
    </row>
    <row r="5490" spans="1:50" s="14" customFormat="1" x14ac:dyDescent="0.3">
      <c r="A5490" s="386" t="s">
        <v>8325</v>
      </c>
      <c r="B5490" s="14" t="s">
        <v>8326</v>
      </c>
      <c r="C5490" s="14" t="s">
        <v>11714</v>
      </c>
      <c r="D5490" s="14" t="s">
        <v>6838</v>
      </c>
      <c r="E5490" s="14" t="s">
        <v>11715</v>
      </c>
      <c r="F5490" s="12" t="s">
        <v>11716</v>
      </c>
      <c r="G5490" s="14" t="s">
        <v>11824</v>
      </c>
      <c r="H5490" s="12" t="s">
        <v>11802</v>
      </c>
      <c r="K5490" s="14" t="s">
        <v>11825</v>
      </c>
      <c r="L5490" s="12" t="s">
        <v>11826</v>
      </c>
      <c r="M5490" s="14" t="s">
        <v>11862</v>
      </c>
      <c r="N5490" s="418">
        <v>0</v>
      </c>
      <c r="O5490" s="418">
        <v>0</v>
      </c>
      <c r="P5490" s="41">
        <v>1</v>
      </c>
      <c r="Q5490" s="41">
        <v>1</v>
      </c>
      <c r="R5490" s="41">
        <v>1</v>
      </c>
      <c r="S5490" s="41">
        <v>1</v>
      </c>
      <c r="T5490" s="14" t="s">
        <v>11722</v>
      </c>
      <c r="U5490" t="s">
        <v>11723</v>
      </c>
      <c r="V5490" s="14" t="s">
        <v>11863</v>
      </c>
      <c r="W5490" s="388">
        <v>1</v>
      </c>
      <c r="X5490" s="388">
        <v>0</v>
      </c>
      <c r="Y5490" s="388">
        <v>0</v>
      </c>
      <c r="Z5490" s="388">
        <v>1</v>
      </c>
      <c r="AA5490" s="388">
        <v>1</v>
      </c>
      <c r="AB5490" s="388">
        <v>0</v>
      </c>
      <c r="AC5490" s="150">
        <v>1</v>
      </c>
      <c r="AD5490" s="150">
        <v>1</v>
      </c>
      <c r="AE5490" s="49">
        <f t="shared" si="199"/>
        <v>0.625</v>
      </c>
      <c r="AF5490" s="397"/>
      <c r="AG5490" s="17">
        <v>0</v>
      </c>
      <c r="AH5490" s="397">
        <v>0</v>
      </c>
      <c r="AI5490" s="397">
        <v>1.5</v>
      </c>
      <c r="AJ5490" s="397">
        <v>1.5875999999999999</v>
      </c>
      <c r="AK5490" s="398">
        <v>2.6539999999999999</v>
      </c>
      <c r="AL5490" s="398">
        <v>2.6539999999999999</v>
      </c>
      <c r="AM5490" s="17">
        <f t="shared" si="198"/>
        <v>5.3079999999999998</v>
      </c>
      <c r="AN5490" s="14" t="s">
        <v>11722</v>
      </c>
      <c r="AO5490" s="12" t="s">
        <v>11723</v>
      </c>
      <c r="AP5490" s="399"/>
      <c r="AQ5490" s="400"/>
      <c r="AR5490" s="399"/>
      <c r="AS5490" s="399"/>
      <c r="AT5490" s="399"/>
      <c r="AX5490" s="400"/>
    </row>
    <row r="5491" spans="1:50" s="14" customFormat="1" x14ac:dyDescent="0.3">
      <c r="A5491" s="386" t="s">
        <v>8325</v>
      </c>
      <c r="B5491" s="14" t="s">
        <v>8326</v>
      </c>
      <c r="C5491" s="14" t="s">
        <v>11714</v>
      </c>
      <c r="D5491" s="14" t="s">
        <v>6838</v>
      </c>
      <c r="E5491" s="14" t="s">
        <v>11715</v>
      </c>
      <c r="F5491" s="12" t="s">
        <v>11716</v>
      </c>
      <c r="G5491" s="14" t="s">
        <v>11824</v>
      </c>
      <c r="H5491" s="12" t="s">
        <v>11802</v>
      </c>
      <c r="K5491" s="14" t="s">
        <v>11825</v>
      </c>
      <c r="L5491" s="12" t="s">
        <v>11826</v>
      </c>
      <c r="M5491" s="14" t="s">
        <v>11864</v>
      </c>
      <c r="N5491" s="418"/>
      <c r="O5491" s="418"/>
      <c r="P5491" s="41"/>
      <c r="Q5491" s="41">
        <v>0.85</v>
      </c>
      <c r="R5491" s="41">
        <v>0.85</v>
      </c>
      <c r="S5491" s="41">
        <v>0.87</v>
      </c>
      <c r="T5491" s="14" t="s">
        <v>11865</v>
      </c>
      <c r="U5491" t="s">
        <v>11866</v>
      </c>
      <c r="V5491" s="14" t="s">
        <v>11867</v>
      </c>
      <c r="W5491" s="388"/>
      <c r="X5491" s="388"/>
      <c r="Y5491" s="388"/>
      <c r="Z5491" s="388"/>
      <c r="AA5491" s="388"/>
      <c r="AB5491" s="388"/>
      <c r="AC5491" s="150">
        <v>0</v>
      </c>
      <c r="AD5491" s="150">
        <v>0</v>
      </c>
      <c r="AE5491" s="49">
        <f t="shared" si="199"/>
        <v>0</v>
      </c>
      <c r="AF5491" s="397"/>
      <c r="AG5491" s="17">
        <v>0</v>
      </c>
      <c r="AH5491" s="397"/>
      <c r="AI5491" s="397"/>
      <c r="AJ5491" s="397">
        <v>1.2</v>
      </c>
      <c r="AK5491" s="398">
        <v>0</v>
      </c>
      <c r="AL5491" s="398">
        <v>0</v>
      </c>
      <c r="AM5491" s="17">
        <f t="shared" si="198"/>
        <v>0</v>
      </c>
      <c r="AN5491" s="14" t="s">
        <v>11865</v>
      </c>
      <c r="AO5491" s="12" t="s">
        <v>11866</v>
      </c>
      <c r="AP5491" s="399"/>
      <c r="AQ5491" s="400"/>
      <c r="AR5491" s="399"/>
      <c r="AS5491" s="399"/>
      <c r="AT5491" s="399"/>
      <c r="AX5491" s="400"/>
    </row>
    <row r="5492" spans="1:50" s="14" customFormat="1" x14ac:dyDescent="0.3">
      <c r="A5492" s="386" t="s">
        <v>8325</v>
      </c>
      <c r="B5492" s="14" t="s">
        <v>8326</v>
      </c>
      <c r="C5492" s="14" t="s">
        <v>11714</v>
      </c>
      <c r="D5492" s="14" t="s">
        <v>6838</v>
      </c>
      <c r="E5492" s="14" t="s">
        <v>11715</v>
      </c>
      <c r="F5492" s="12" t="s">
        <v>11716</v>
      </c>
      <c r="G5492" s="14" t="s">
        <v>11824</v>
      </c>
      <c r="H5492" s="12" t="s">
        <v>11802</v>
      </c>
      <c r="K5492" s="14" t="s">
        <v>11825</v>
      </c>
      <c r="L5492" s="12" t="s">
        <v>11826</v>
      </c>
      <c r="M5492" s="14" t="s">
        <v>11868</v>
      </c>
      <c r="N5492" s="418"/>
      <c r="O5492" s="418"/>
      <c r="P5492" s="41"/>
      <c r="Q5492" s="12">
        <v>2</v>
      </c>
      <c r="R5492" s="12">
        <v>2</v>
      </c>
      <c r="S5492" s="12">
        <v>2</v>
      </c>
      <c r="T5492" s="14" t="s">
        <v>11865</v>
      </c>
      <c r="U5492" t="s">
        <v>11866</v>
      </c>
      <c r="V5492" s="14" t="s">
        <v>11869</v>
      </c>
      <c r="W5492" s="388"/>
      <c r="X5492" s="388"/>
      <c r="Y5492" s="388"/>
      <c r="Z5492" s="388"/>
      <c r="AA5492" s="388"/>
      <c r="AB5492" s="388"/>
      <c r="AC5492" s="150">
        <v>0</v>
      </c>
      <c r="AD5492" s="150">
        <v>0</v>
      </c>
      <c r="AE5492" s="49">
        <f t="shared" si="199"/>
        <v>0</v>
      </c>
      <c r="AF5492" s="397"/>
      <c r="AG5492" s="17">
        <v>0</v>
      </c>
      <c r="AH5492" s="397"/>
      <c r="AI5492" s="397"/>
      <c r="AJ5492" s="397">
        <v>0.2</v>
      </c>
      <c r="AK5492" s="398">
        <v>0</v>
      </c>
      <c r="AL5492" s="398">
        <v>0</v>
      </c>
      <c r="AM5492" s="17">
        <f t="shared" si="198"/>
        <v>0</v>
      </c>
      <c r="AN5492" s="14" t="s">
        <v>11865</v>
      </c>
      <c r="AO5492" s="12" t="s">
        <v>11866</v>
      </c>
      <c r="AP5492" s="399"/>
      <c r="AQ5492" s="400"/>
      <c r="AR5492" s="399"/>
      <c r="AS5492" s="399"/>
      <c r="AT5492" s="399"/>
      <c r="AX5492" s="400"/>
    </row>
    <row r="5493" spans="1:50" s="12" customFormat="1" x14ac:dyDescent="0.3">
      <c r="A5493" s="386" t="s">
        <v>8325</v>
      </c>
      <c r="B5493" s="14" t="s">
        <v>8326</v>
      </c>
      <c r="C5493" s="14" t="s">
        <v>11714</v>
      </c>
      <c r="D5493" s="12" t="s">
        <v>6838</v>
      </c>
      <c r="E5493" s="14" t="s">
        <v>11715</v>
      </c>
      <c r="F5493" s="12" t="s">
        <v>11716</v>
      </c>
      <c r="G5493" s="14" t="s">
        <v>11824</v>
      </c>
      <c r="H5493" s="12" t="s">
        <v>11802</v>
      </c>
      <c r="K5493" s="14" t="s">
        <v>11825</v>
      </c>
      <c r="L5493" s="12" t="s">
        <v>11826</v>
      </c>
      <c r="M5493" s="14" t="s">
        <v>11870</v>
      </c>
      <c r="N5493" s="14"/>
      <c r="O5493" s="14"/>
      <c r="P5493" s="404">
        <v>3000</v>
      </c>
      <c r="Q5493" s="404">
        <v>3000</v>
      </c>
      <c r="R5493" s="404">
        <v>3000</v>
      </c>
      <c r="S5493" s="404">
        <v>3000</v>
      </c>
      <c r="T5493" s="14" t="s">
        <v>771</v>
      </c>
      <c r="U5493" t="s">
        <v>773</v>
      </c>
      <c r="V5493" s="14" t="s">
        <v>11871</v>
      </c>
      <c r="W5493" s="388"/>
      <c r="X5493" s="388"/>
      <c r="Y5493" s="388"/>
      <c r="Z5493" s="388"/>
      <c r="AA5493" s="388"/>
      <c r="AB5493" s="388"/>
      <c r="AC5493" s="150">
        <v>0</v>
      </c>
      <c r="AD5493" s="150">
        <v>0</v>
      </c>
      <c r="AE5493" s="49">
        <f t="shared" si="199"/>
        <v>0</v>
      </c>
      <c r="AF5493" s="397"/>
      <c r="AG5493" s="17">
        <v>0</v>
      </c>
      <c r="AH5493" s="397">
        <v>0</v>
      </c>
      <c r="AI5493" s="397">
        <v>1.0860000000000001</v>
      </c>
      <c r="AJ5493" s="397">
        <v>1.0860000000000001</v>
      </c>
      <c r="AK5493" s="398">
        <v>0</v>
      </c>
      <c r="AL5493" s="398">
        <v>0</v>
      </c>
      <c r="AM5493" s="17">
        <f t="shared" si="198"/>
        <v>0</v>
      </c>
      <c r="AN5493" s="14" t="s">
        <v>771</v>
      </c>
      <c r="AO5493" s="12" t="s">
        <v>773</v>
      </c>
      <c r="AP5493" s="405"/>
      <c r="AQ5493" s="400"/>
      <c r="AR5493" s="405"/>
      <c r="AS5493" s="405"/>
      <c r="AT5493" s="405"/>
      <c r="AX5493" s="402"/>
    </row>
    <row r="5494" spans="1:50" s="14" customFormat="1" x14ac:dyDescent="0.3">
      <c r="A5494" s="386" t="s">
        <v>8325</v>
      </c>
      <c r="B5494" s="14" t="s">
        <v>8326</v>
      </c>
      <c r="C5494" s="14" t="s">
        <v>11807</v>
      </c>
      <c r="D5494" s="14" t="s">
        <v>11808</v>
      </c>
      <c r="E5494" s="14" t="s">
        <v>11809</v>
      </c>
      <c r="F5494" s="12" t="s">
        <v>11716</v>
      </c>
      <c r="G5494" s="14" t="s">
        <v>11872</v>
      </c>
      <c r="H5494" s="12" t="s">
        <v>11873</v>
      </c>
      <c r="K5494" s="14" t="s">
        <v>11874</v>
      </c>
      <c r="L5494" s="14" t="s">
        <v>11875</v>
      </c>
      <c r="M5494" s="14" t="s">
        <v>11876</v>
      </c>
      <c r="N5494" s="14">
        <v>0</v>
      </c>
      <c r="O5494" s="14">
        <v>400</v>
      </c>
      <c r="P5494" s="12">
        <v>450</v>
      </c>
      <c r="Q5494" s="12">
        <v>450</v>
      </c>
      <c r="R5494" s="12">
        <v>450</v>
      </c>
      <c r="S5494" s="12">
        <v>450</v>
      </c>
      <c r="T5494" s="14" t="s">
        <v>7194</v>
      </c>
      <c r="U5494" t="s">
        <v>7396</v>
      </c>
      <c r="V5494" s="14" t="s">
        <v>11877</v>
      </c>
      <c r="W5494" s="388"/>
      <c r="X5494" s="388"/>
      <c r="Y5494" s="388"/>
      <c r="Z5494" s="388"/>
      <c r="AA5494" s="388"/>
      <c r="AB5494" s="388"/>
      <c r="AC5494" s="150">
        <v>0</v>
      </c>
      <c r="AD5494" s="150">
        <v>0</v>
      </c>
      <c r="AE5494" s="49">
        <f t="shared" si="199"/>
        <v>0</v>
      </c>
      <c r="AF5494" s="397"/>
      <c r="AG5494" s="17">
        <v>0</v>
      </c>
      <c r="AH5494" s="397">
        <v>0.1</v>
      </c>
      <c r="AI5494" s="397">
        <v>0.1</v>
      </c>
      <c r="AJ5494" s="397">
        <v>0.1</v>
      </c>
      <c r="AK5494" s="398">
        <v>0</v>
      </c>
      <c r="AL5494" s="398">
        <v>0</v>
      </c>
      <c r="AM5494" s="17">
        <f t="shared" si="198"/>
        <v>0</v>
      </c>
      <c r="AN5494" s="14" t="s">
        <v>7194</v>
      </c>
      <c r="AO5494" s="12" t="s">
        <v>7396</v>
      </c>
      <c r="AP5494" s="399"/>
      <c r="AQ5494" s="399"/>
      <c r="AR5494" s="399"/>
      <c r="AS5494" s="399"/>
      <c r="AT5494" s="399"/>
      <c r="AX5494" s="400"/>
    </row>
    <row r="5495" spans="1:50" s="14" customFormat="1" x14ac:dyDescent="0.3">
      <c r="A5495" s="386" t="s">
        <v>8325</v>
      </c>
      <c r="B5495" s="14" t="s">
        <v>8326</v>
      </c>
      <c r="C5495" s="14" t="s">
        <v>11798</v>
      </c>
      <c r="D5495" s="14" t="s">
        <v>11799</v>
      </c>
      <c r="E5495" s="14" t="s">
        <v>11800</v>
      </c>
      <c r="F5495" s="12" t="s">
        <v>11716</v>
      </c>
      <c r="G5495" s="14" t="s">
        <v>11878</v>
      </c>
      <c r="H5495" s="12" t="s">
        <v>11873</v>
      </c>
      <c r="K5495" s="14" t="s">
        <v>11879</v>
      </c>
      <c r="L5495" s="12" t="s">
        <v>11880</v>
      </c>
      <c r="M5495" s="14" t="s">
        <v>11881</v>
      </c>
      <c r="P5495" s="12"/>
      <c r="Q5495" s="12">
        <v>92</v>
      </c>
      <c r="R5495" s="12">
        <v>100</v>
      </c>
      <c r="S5495" s="12">
        <v>100</v>
      </c>
      <c r="T5495" s="14" t="s">
        <v>11865</v>
      </c>
      <c r="U5495" t="s">
        <v>11866</v>
      </c>
      <c r="V5495" s="14" t="s">
        <v>11882</v>
      </c>
      <c r="W5495" s="388"/>
      <c r="X5495" s="388"/>
      <c r="Y5495" s="388"/>
      <c r="Z5495" s="388"/>
      <c r="AA5495" s="388"/>
      <c r="AB5495" s="388"/>
      <c r="AC5495" s="150">
        <v>0</v>
      </c>
      <c r="AD5495" s="150">
        <v>0</v>
      </c>
      <c r="AE5495" s="49">
        <f t="shared" si="199"/>
        <v>0</v>
      </c>
      <c r="AF5495" s="397"/>
      <c r="AG5495" s="17">
        <v>0</v>
      </c>
      <c r="AH5495" s="397">
        <v>0</v>
      </c>
      <c r="AI5495" s="397">
        <v>0</v>
      </c>
      <c r="AJ5495" s="397">
        <v>2</v>
      </c>
      <c r="AK5495" s="398">
        <v>0</v>
      </c>
      <c r="AL5495" s="398">
        <v>0</v>
      </c>
      <c r="AM5495" s="17">
        <f t="shared" si="198"/>
        <v>0</v>
      </c>
      <c r="AN5495" s="14" t="s">
        <v>11865</v>
      </c>
      <c r="AO5495" s="12" t="s">
        <v>11866</v>
      </c>
      <c r="AP5495" s="399"/>
      <c r="AQ5495" s="400"/>
      <c r="AR5495" s="399"/>
      <c r="AS5495" s="399"/>
      <c r="AT5495" s="399"/>
      <c r="AX5495" s="400"/>
    </row>
    <row r="5496" spans="1:50" s="14" customFormat="1" x14ac:dyDescent="0.3">
      <c r="A5496" s="386" t="s">
        <v>8325</v>
      </c>
      <c r="B5496" s="14" t="s">
        <v>8326</v>
      </c>
      <c r="C5496" s="14" t="s">
        <v>11798</v>
      </c>
      <c r="D5496" s="14" t="s">
        <v>11799</v>
      </c>
      <c r="E5496" s="14" t="s">
        <v>11800</v>
      </c>
      <c r="F5496" s="12" t="s">
        <v>11716</v>
      </c>
      <c r="G5496" s="14" t="s">
        <v>11878</v>
      </c>
      <c r="H5496" s="12" t="s">
        <v>11873</v>
      </c>
      <c r="K5496" s="14" t="s">
        <v>11879</v>
      </c>
      <c r="L5496" s="12" t="s">
        <v>11880</v>
      </c>
      <c r="M5496" s="14" t="s">
        <v>11883</v>
      </c>
      <c r="P5496" s="12"/>
      <c r="Q5496" s="12">
        <v>160</v>
      </c>
      <c r="R5496" s="12">
        <v>160</v>
      </c>
      <c r="S5496" s="12">
        <v>160</v>
      </c>
      <c r="T5496" s="14" t="s">
        <v>11865</v>
      </c>
      <c r="U5496" t="s">
        <v>11866</v>
      </c>
      <c r="V5496" s="14" t="s">
        <v>11884</v>
      </c>
      <c r="W5496" s="388"/>
      <c r="X5496" s="388"/>
      <c r="Y5496" s="388"/>
      <c r="Z5496" s="388"/>
      <c r="AA5496" s="388"/>
      <c r="AB5496" s="388"/>
      <c r="AC5496" s="150">
        <v>0</v>
      </c>
      <c r="AD5496" s="150">
        <v>0</v>
      </c>
      <c r="AE5496" s="49">
        <f t="shared" si="199"/>
        <v>0</v>
      </c>
      <c r="AF5496" s="397"/>
      <c r="AG5496" s="17">
        <v>0</v>
      </c>
      <c r="AH5496" s="397">
        <v>0</v>
      </c>
      <c r="AI5496" s="397">
        <v>0</v>
      </c>
      <c r="AJ5496" s="397">
        <v>0.3</v>
      </c>
      <c r="AK5496" s="398">
        <v>0</v>
      </c>
      <c r="AL5496" s="398">
        <v>0</v>
      </c>
      <c r="AM5496" s="17">
        <f t="shared" ref="AM5496:AM5559" si="200">SUM(AK5496:AL5496)</f>
        <v>0</v>
      </c>
      <c r="AN5496" s="14" t="s">
        <v>11865</v>
      </c>
      <c r="AO5496" s="12" t="s">
        <v>11866</v>
      </c>
      <c r="AP5496" s="399"/>
      <c r="AQ5496" s="400"/>
      <c r="AR5496" s="399"/>
      <c r="AS5496" s="399"/>
      <c r="AT5496" s="399"/>
      <c r="AX5496" s="400"/>
    </row>
    <row r="5497" spans="1:50" s="14" customFormat="1" x14ac:dyDescent="0.3">
      <c r="A5497" s="386" t="s">
        <v>8325</v>
      </c>
      <c r="B5497" s="14" t="s">
        <v>8326</v>
      </c>
      <c r="C5497" s="14" t="s">
        <v>11714</v>
      </c>
      <c r="D5497" s="14" t="s">
        <v>6838</v>
      </c>
      <c r="E5497" s="14" t="s">
        <v>11715</v>
      </c>
      <c r="F5497" s="12" t="s">
        <v>11716</v>
      </c>
      <c r="G5497" s="14" t="s">
        <v>11885</v>
      </c>
      <c r="H5497" s="12" t="s">
        <v>11873</v>
      </c>
      <c r="K5497" s="14" t="s">
        <v>11886</v>
      </c>
      <c r="L5497" s="12" t="s">
        <v>11880</v>
      </c>
      <c r="M5497" s="469" t="s">
        <v>11887</v>
      </c>
      <c r="N5497" s="470"/>
      <c r="O5497" s="469"/>
      <c r="P5497" s="476"/>
      <c r="Q5497" s="477">
        <v>0.56000000000000005</v>
      </c>
      <c r="R5497" s="477">
        <v>0.77</v>
      </c>
      <c r="S5497" s="477">
        <v>1</v>
      </c>
      <c r="T5497" s="14" t="s">
        <v>7194</v>
      </c>
      <c r="U5497" t="s">
        <v>7396</v>
      </c>
      <c r="V5497" s="14" t="s">
        <v>11888</v>
      </c>
      <c r="W5497" s="388"/>
      <c r="X5497" s="388"/>
      <c r="Y5497" s="388"/>
      <c r="Z5497" s="388"/>
      <c r="AA5497" s="388"/>
      <c r="AB5497" s="388"/>
      <c r="AC5497" s="150">
        <v>0</v>
      </c>
      <c r="AD5497" s="150">
        <v>0</v>
      </c>
      <c r="AE5497" s="49">
        <f t="shared" si="199"/>
        <v>0</v>
      </c>
      <c r="AF5497" s="397"/>
      <c r="AG5497" s="17">
        <v>0</v>
      </c>
      <c r="AH5497" s="397">
        <v>0.68400000000000005</v>
      </c>
      <c r="AI5497" s="397">
        <v>0.68400000000000005</v>
      </c>
      <c r="AJ5497" s="397">
        <v>0.68400000000000005</v>
      </c>
      <c r="AK5497" s="398">
        <v>0</v>
      </c>
      <c r="AL5497" s="398">
        <v>0</v>
      </c>
      <c r="AM5497" s="17">
        <f t="shared" si="200"/>
        <v>0</v>
      </c>
      <c r="AN5497" s="14" t="s">
        <v>7194</v>
      </c>
      <c r="AO5497" s="12" t="s">
        <v>7396</v>
      </c>
      <c r="AP5497" s="399"/>
      <c r="AQ5497" s="400"/>
      <c r="AR5497" s="399"/>
      <c r="AS5497" s="399"/>
      <c r="AT5497" s="399"/>
      <c r="AX5497" s="400"/>
    </row>
    <row r="5498" spans="1:50" s="14" customFormat="1" x14ac:dyDescent="0.3">
      <c r="A5498" s="386" t="s">
        <v>8325</v>
      </c>
      <c r="B5498" s="14" t="s">
        <v>8326</v>
      </c>
      <c r="C5498" s="14" t="s">
        <v>11714</v>
      </c>
      <c r="D5498" s="14" t="s">
        <v>6838</v>
      </c>
      <c r="E5498" s="14" t="s">
        <v>11715</v>
      </c>
      <c r="F5498" s="12" t="s">
        <v>11716</v>
      </c>
      <c r="G5498" s="14" t="s">
        <v>11885</v>
      </c>
      <c r="H5498" s="12" t="s">
        <v>11873</v>
      </c>
      <c r="K5498" s="14" t="s">
        <v>11886</v>
      </c>
      <c r="L5498" s="12" t="s">
        <v>11880</v>
      </c>
      <c r="M5498" s="469"/>
      <c r="N5498" s="470"/>
      <c r="O5498" s="469"/>
      <c r="P5498" s="476"/>
      <c r="Q5498" s="477"/>
      <c r="R5498" s="477"/>
      <c r="S5498" s="477"/>
      <c r="T5498" s="14" t="s">
        <v>7194</v>
      </c>
      <c r="U5498" t="s">
        <v>7396</v>
      </c>
      <c r="V5498" s="14" t="s">
        <v>11889</v>
      </c>
      <c r="W5498" s="388"/>
      <c r="X5498" s="388"/>
      <c r="Y5498" s="388"/>
      <c r="Z5498" s="388"/>
      <c r="AA5498" s="388"/>
      <c r="AB5498" s="388"/>
      <c r="AC5498" s="150">
        <v>0</v>
      </c>
      <c r="AD5498" s="150">
        <v>0</v>
      </c>
      <c r="AE5498" s="49">
        <f t="shared" si="199"/>
        <v>0</v>
      </c>
      <c r="AF5498" s="397"/>
      <c r="AG5498" s="17">
        <v>0</v>
      </c>
      <c r="AH5498" s="397">
        <v>1.56</v>
      </c>
      <c r="AI5498" s="397">
        <v>1.56</v>
      </c>
      <c r="AJ5498" s="397">
        <v>1.56</v>
      </c>
      <c r="AK5498" s="398">
        <v>0</v>
      </c>
      <c r="AL5498" s="398">
        <v>0</v>
      </c>
      <c r="AM5498" s="17">
        <f t="shared" si="200"/>
        <v>0</v>
      </c>
      <c r="AN5498" s="14" t="s">
        <v>7194</v>
      </c>
      <c r="AO5498" s="12" t="s">
        <v>7396</v>
      </c>
      <c r="AP5498" s="399"/>
      <c r="AQ5498" s="400"/>
      <c r="AR5498" s="399"/>
      <c r="AS5498" s="399"/>
      <c r="AT5498" s="399"/>
      <c r="AX5498" s="400"/>
    </row>
    <row r="5499" spans="1:50" s="14" customFormat="1" x14ac:dyDescent="0.3">
      <c r="A5499" s="386" t="s">
        <v>8325</v>
      </c>
      <c r="B5499" s="14" t="s">
        <v>8326</v>
      </c>
      <c r="C5499" s="14" t="s">
        <v>11807</v>
      </c>
      <c r="D5499" s="14" t="s">
        <v>11808</v>
      </c>
      <c r="E5499" s="14" t="s">
        <v>11809</v>
      </c>
      <c r="F5499" s="12" t="s">
        <v>11716</v>
      </c>
      <c r="G5499" s="14" t="s">
        <v>11890</v>
      </c>
      <c r="H5499" s="12" t="s">
        <v>11891</v>
      </c>
      <c r="K5499" s="14" t="s">
        <v>11892</v>
      </c>
      <c r="L5499" s="12" t="s">
        <v>11893</v>
      </c>
      <c r="M5499" s="14" t="s">
        <v>11894</v>
      </c>
      <c r="N5499" s="14">
        <v>20</v>
      </c>
      <c r="O5499" s="14">
        <v>25</v>
      </c>
      <c r="P5499" s="12">
        <v>64</v>
      </c>
      <c r="Q5499" s="12">
        <v>100</v>
      </c>
      <c r="R5499" s="12">
        <v>150</v>
      </c>
      <c r="S5499" s="12">
        <v>200</v>
      </c>
      <c r="T5499" s="14" t="s">
        <v>11817</v>
      </c>
      <c r="U5499" t="s">
        <v>11818</v>
      </c>
      <c r="V5499" s="14" t="s">
        <v>11895</v>
      </c>
      <c r="W5499" s="388"/>
      <c r="X5499" s="388"/>
      <c r="Y5499" s="388"/>
      <c r="Z5499" s="388"/>
      <c r="AA5499" s="388"/>
      <c r="AB5499" s="388"/>
      <c r="AC5499" s="150">
        <v>0</v>
      </c>
      <c r="AD5499" s="150">
        <v>0</v>
      </c>
      <c r="AE5499" s="49">
        <f t="shared" ref="AE5499:AE5562" si="201">SUM(W5499:AD5499)/8</f>
        <v>0</v>
      </c>
      <c r="AF5499" s="397"/>
      <c r="AG5499" s="17">
        <v>0</v>
      </c>
      <c r="AH5499" s="397">
        <v>0.1</v>
      </c>
      <c r="AI5499" s="397">
        <v>0.12</v>
      </c>
      <c r="AJ5499" s="397">
        <v>0.14000000000000001</v>
      </c>
      <c r="AK5499" s="398">
        <v>0</v>
      </c>
      <c r="AL5499" s="398">
        <v>0</v>
      </c>
      <c r="AM5499" s="17">
        <f t="shared" si="200"/>
        <v>0</v>
      </c>
      <c r="AN5499" s="14" t="s">
        <v>11817</v>
      </c>
      <c r="AO5499" s="12" t="s">
        <v>11818</v>
      </c>
      <c r="AP5499" s="399"/>
      <c r="AQ5499" s="399"/>
      <c r="AR5499" s="399"/>
      <c r="AS5499" s="399"/>
      <c r="AT5499" s="399"/>
      <c r="AX5499" s="400"/>
    </row>
    <row r="5500" spans="1:50" s="12" customFormat="1" x14ac:dyDescent="0.3">
      <c r="A5500" s="386" t="s">
        <v>8325</v>
      </c>
      <c r="B5500" s="14" t="s">
        <v>8326</v>
      </c>
      <c r="C5500" s="14" t="s">
        <v>11807</v>
      </c>
      <c r="D5500" s="12" t="s">
        <v>11808</v>
      </c>
      <c r="E5500" s="14" t="s">
        <v>11809</v>
      </c>
      <c r="F5500" s="12" t="s">
        <v>11716</v>
      </c>
      <c r="G5500" s="14" t="s">
        <v>11890</v>
      </c>
      <c r="H5500" s="12" t="s">
        <v>11891</v>
      </c>
      <c r="K5500" s="14" t="s">
        <v>11892</v>
      </c>
      <c r="L5500" s="12" t="s">
        <v>11893</v>
      </c>
      <c r="M5500" s="14" t="s">
        <v>11896</v>
      </c>
      <c r="N5500" s="14"/>
      <c r="O5500" s="14">
        <v>50</v>
      </c>
      <c r="P5500" s="404">
        <v>50</v>
      </c>
      <c r="Q5500" s="404">
        <v>50</v>
      </c>
      <c r="R5500" s="404">
        <v>50</v>
      </c>
      <c r="S5500" s="404">
        <v>50</v>
      </c>
      <c r="T5500" s="14" t="s">
        <v>771</v>
      </c>
      <c r="U5500" t="s">
        <v>773</v>
      </c>
      <c r="V5500" s="14" t="s">
        <v>11897</v>
      </c>
      <c r="W5500" s="388"/>
      <c r="X5500" s="388"/>
      <c r="Y5500" s="388"/>
      <c r="Z5500" s="388"/>
      <c r="AA5500" s="388"/>
      <c r="AB5500" s="388"/>
      <c r="AC5500" s="150">
        <v>0</v>
      </c>
      <c r="AD5500" s="150">
        <v>0</v>
      </c>
      <c r="AE5500" s="49">
        <f t="shared" si="201"/>
        <v>0</v>
      </c>
      <c r="AF5500" s="397"/>
      <c r="AG5500" s="17">
        <v>0</v>
      </c>
      <c r="AH5500" s="397">
        <v>5.2600000000000001E-2</v>
      </c>
      <c r="AI5500" s="397">
        <v>5.2600000000000001E-2</v>
      </c>
      <c r="AJ5500" s="397">
        <v>5.2600000000000001E-2</v>
      </c>
      <c r="AK5500" s="398">
        <v>0</v>
      </c>
      <c r="AL5500" s="398">
        <v>0</v>
      </c>
      <c r="AM5500" s="17">
        <f t="shared" si="200"/>
        <v>0</v>
      </c>
      <c r="AN5500" s="14" t="s">
        <v>771</v>
      </c>
      <c r="AO5500" s="12" t="s">
        <v>773</v>
      </c>
      <c r="AP5500" s="405"/>
      <c r="AQ5500" s="405"/>
      <c r="AR5500" s="405"/>
      <c r="AS5500" s="405"/>
      <c r="AT5500" s="405"/>
      <c r="AX5500" s="402"/>
    </row>
    <row r="5501" spans="1:50" s="14" customFormat="1" x14ac:dyDescent="0.3">
      <c r="A5501" s="386" t="s">
        <v>8325</v>
      </c>
      <c r="B5501" s="14" t="s">
        <v>8326</v>
      </c>
      <c r="C5501" s="14" t="s">
        <v>11798</v>
      </c>
      <c r="D5501" s="14" t="s">
        <v>11799</v>
      </c>
      <c r="E5501" s="14" t="s">
        <v>11800</v>
      </c>
      <c r="F5501" s="12" t="s">
        <v>11716</v>
      </c>
      <c r="G5501" s="14" t="s">
        <v>11898</v>
      </c>
      <c r="H5501" s="12" t="s">
        <v>11891</v>
      </c>
      <c r="K5501" s="14" t="s">
        <v>11899</v>
      </c>
      <c r="L5501" s="12" t="s">
        <v>11900</v>
      </c>
      <c r="M5501" s="14" t="s">
        <v>11901</v>
      </c>
      <c r="O5501" s="14">
        <v>14</v>
      </c>
      <c r="P5501" s="12">
        <v>15</v>
      </c>
      <c r="Q5501" s="12">
        <v>17</v>
      </c>
      <c r="R5501" s="12">
        <v>19</v>
      </c>
      <c r="S5501" s="12">
        <v>20</v>
      </c>
      <c r="T5501" s="14" t="s">
        <v>11722</v>
      </c>
      <c r="U5501" t="s">
        <v>11723</v>
      </c>
      <c r="V5501" s="14" t="s">
        <v>11902</v>
      </c>
      <c r="W5501" s="388">
        <v>1</v>
      </c>
      <c r="X5501" s="388">
        <v>1</v>
      </c>
      <c r="Y5501" s="388">
        <v>1</v>
      </c>
      <c r="Z5501" s="388">
        <v>1</v>
      </c>
      <c r="AA5501" s="388">
        <v>1</v>
      </c>
      <c r="AB5501" s="388">
        <v>1</v>
      </c>
      <c r="AC5501" s="150">
        <v>1</v>
      </c>
      <c r="AD5501" s="150">
        <v>1</v>
      </c>
      <c r="AE5501" s="49">
        <f t="shared" si="201"/>
        <v>1</v>
      </c>
      <c r="AF5501" s="397"/>
      <c r="AG5501" s="17">
        <v>0</v>
      </c>
      <c r="AH5501" s="397">
        <f>14*0.054</f>
        <v>0.75600000000000001</v>
      </c>
      <c r="AI5501" s="397">
        <f>15*0.054</f>
        <v>0.80999999999999994</v>
      </c>
      <c r="AJ5501" s="397">
        <f>17*0.054</f>
        <v>0.91800000000000004</v>
      </c>
      <c r="AK5501" s="398">
        <v>2.0781999999999998</v>
      </c>
      <c r="AL5501" s="398">
        <v>2.0781999999999998</v>
      </c>
      <c r="AM5501" s="17">
        <f t="shared" si="200"/>
        <v>4.1563999999999997</v>
      </c>
      <c r="AN5501" s="14" t="s">
        <v>11722</v>
      </c>
      <c r="AO5501" s="12" t="s">
        <v>11723</v>
      </c>
      <c r="AP5501" s="399"/>
      <c r="AQ5501" s="399"/>
      <c r="AR5501" s="399"/>
      <c r="AS5501" s="399"/>
      <c r="AT5501" s="399"/>
      <c r="AX5501" s="400"/>
    </row>
    <row r="5502" spans="1:50" s="14" customFormat="1" x14ac:dyDescent="0.3">
      <c r="A5502" s="386" t="s">
        <v>8325</v>
      </c>
      <c r="B5502" s="14" t="s">
        <v>8326</v>
      </c>
      <c r="C5502" s="14" t="s">
        <v>11798</v>
      </c>
      <c r="D5502" s="14" t="s">
        <v>11799</v>
      </c>
      <c r="E5502" s="14" t="s">
        <v>11800</v>
      </c>
      <c r="F5502" s="12" t="s">
        <v>11716</v>
      </c>
      <c r="G5502" s="14" t="s">
        <v>11898</v>
      </c>
      <c r="H5502" s="12" t="s">
        <v>11891</v>
      </c>
      <c r="K5502" s="14" t="s">
        <v>11899</v>
      </c>
      <c r="L5502" s="12" t="s">
        <v>11900</v>
      </c>
      <c r="M5502" s="14" t="s">
        <v>11903</v>
      </c>
      <c r="O5502" s="14">
        <v>82</v>
      </c>
      <c r="P5502" s="12">
        <v>82</v>
      </c>
      <c r="Q5502" s="12">
        <v>105</v>
      </c>
      <c r="R5502" s="12">
        <v>127</v>
      </c>
      <c r="S5502" s="12">
        <v>146</v>
      </c>
      <c r="T5502" s="14" t="s">
        <v>11722</v>
      </c>
      <c r="U5502" t="s">
        <v>11723</v>
      </c>
      <c r="V5502" s="14" t="s">
        <v>11904</v>
      </c>
      <c r="W5502" s="388">
        <v>1</v>
      </c>
      <c r="X5502" s="388">
        <v>1</v>
      </c>
      <c r="Y5502" s="388">
        <v>1</v>
      </c>
      <c r="Z5502" s="388">
        <v>1</v>
      </c>
      <c r="AA5502" s="388">
        <v>1</v>
      </c>
      <c r="AB5502" s="388">
        <v>1</v>
      </c>
      <c r="AC5502" s="150">
        <v>1</v>
      </c>
      <c r="AD5502" s="150">
        <v>1</v>
      </c>
      <c r="AE5502" s="49">
        <f t="shared" si="201"/>
        <v>1</v>
      </c>
      <c r="AF5502" s="397"/>
      <c r="AG5502" s="17">
        <v>0</v>
      </c>
      <c r="AH5502" s="397">
        <f>82*0.024</f>
        <v>1.968</v>
      </c>
      <c r="AI5502" s="397">
        <f>82*0.024</f>
        <v>1.968</v>
      </c>
      <c r="AJ5502" s="397">
        <f>105*0.024</f>
        <v>2.52</v>
      </c>
      <c r="AK5502" s="398">
        <v>1.536</v>
      </c>
      <c r="AL5502" s="398">
        <v>1.536</v>
      </c>
      <c r="AM5502" s="17">
        <f t="shared" si="200"/>
        <v>3.0720000000000001</v>
      </c>
      <c r="AN5502" s="14" t="s">
        <v>11722</v>
      </c>
      <c r="AO5502" s="12" t="s">
        <v>11723</v>
      </c>
      <c r="AP5502" s="399"/>
      <c r="AQ5502" s="399"/>
      <c r="AR5502" s="399"/>
      <c r="AS5502" s="399"/>
      <c r="AT5502" s="399"/>
      <c r="AX5502" s="400"/>
    </row>
    <row r="5503" spans="1:50" s="12" customFormat="1" x14ac:dyDescent="0.3">
      <c r="A5503" s="386" t="s">
        <v>8325</v>
      </c>
      <c r="B5503" s="14" t="s">
        <v>8326</v>
      </c>
      <c r="C5503" s="14" t="s">
        <v>11905</v>
      </c>
      <c r="D5503" s="12" t="s">
        <v>11906</v>
      </c>
      <c r="E5503" s="14" t="s">
        <v>11907</v>
      </c>
      <c r="F5503" s="12" t="s">
        <v>11716</v>
      </c>
      <c r="G5503" s="14" t="s">
        <v>11908</v>
      </c>
      <c r="H5503" s="12" t="s">
        <v>11891</v>
      </c>
      <c r="K5503" s="14" t="s">
        <v>11909</v>
      </c>
      <c r="L5503" s="12" t="s">
        <v>11900</v>
      </c>
      <c r="M5503" s="14" t="s">
        <v>11910</v>
      </c>
      <c r="N5503" s="14"/>
      <c r="O5503" s="14"/>
      <c r="P5503" s="404">
        <v>1</v>
      </c>
      <c r="Q5503" s="404">
        <v>1</v>
      </c>
      <c r="R5503" s="404">
        <v>1</v>
      </c>
      <c r="S5503" s="404">
        <v>1</v>
      </c>
      <c r="T5503" s="14" t="s">
        <v>771</v>
      </c>
      <c r="U5503" t="s">
        <v>773</v>
      </c>
      <c r="V5503" s="14" t="s">
        <v>11911</v>
      </c>
      <c r="W5503" s="388"/>
      <c r="X5503" s="388"/>
      <c r="Y5503" s="388"/>
      <c r="Z5503" s="388"/>
      <c r="AA5503" s="388"/>
      <c r="AB5503" s="388"/>
      <c r="AC5503" s="150">
        <v>0</v>
      </c>
      <c r="AD5503" s="150">
        <v>0</v>
      </c>
      <c r="AE5503" s="49">
        <f t="shared" si="201"/>
        <v>0</v>
      </c>
      <c r="AF5503" s="397"/>
      <c r="AG5503" s="17">
        <v>0</v>
      </c>
      <c r="AH5503" s="397">
        <v>0</v>
      </c>
      <c r="AI5503" s="397">
        <v>0.1</v>
      </c>
      <c r="AJ5503" s="397">
        <v>0.1</v>
      </c>
      <c r="AK5503" s="398">
        <v>0</v>
      </c>
      <c r="AL5503" s="398">
        <v>0</v>
      </c>
      <c r="AM5503" s="17">
        <f t="shared" si="200"/>
        <v>0</v>
      </c>
      <c r="AN5503" s="14" t="s">
        <v>771</v>
      </c>
      <c r="AO5503" s="12" t="s">
        <v>773</v>
      </c>
      <c r="AP5503" s="405"/>
      <c r="AQ5503" s="405"/>
      <c r="AR5503" s="405"/>
      <c r="AS5503" s="405"/>
      <c r="AT5503" s="405"/>
      <c r="AX5503" s="402"/>
    </row>
    <row r="5504" spans="1:50" s="14" customFormat="1" x14ac:dyDescent="0.3">
      <c r="A5504" s="386" t="s">
        <v>8325</v>
      </c>
      <c r="B5504" s="14" t="s">
        <v>8326</v>
      </c>
      <c r="C5504" s="14" t="s">
        <v>11714</v>
      </c>
      <c r="D5504" s="14" t="s">
        <v>6838</v>
      </c>
      <c r="E5504" s="14" t="s">
        <v>11715</v>
      </c>
      <c r="F5504" s="12" t="s">
        <v>11716</v>
      </c>
      <c r="G5504" s="14" t="s">
        <v>11912</v>
      </c>
      <c r="H5504" s="12" t="s">
        <v>11913</v>
      </c>
      <c r="K5504" s="14" t="s">
        <v>11914</v>
      </c>
      <c r="L5504" s="12" t="s">
        <v>11915</v>
      </c>
      <c r="M5504" s="14" t="s">
        <v>11916</v>
      </c>
      <c r="N5504" s="465">
        <v>0</v>
      </c>
      <c r="O5504" s="14">
        <v>28</v>
      </c>
      <c r="P5504" s="12">
        <v>30</v>
      </c>
      <c r="Q5504" s="12">
        <v>34</v>
      </c>
      <c r="R5504" s="12">
        <v>20</v>
      </c>
      <c r="S5504" s="12">
        <v>24</v>
      </c>
      <c r="T5504" s="14" t="s">
        <v>11722</v>
      </c>
      <c r="U5504" t="s">
        <v>11723</v>
      </c>
      <c r="V5504" s="14" t="s">
        <v>11917</v>
      </c>
      <c r="W5504" s="388">
        <v>1</v>
      </c>
      <c r="X5504" s="388">
        <v>0</v>
      </c>
      <c r="Y5504" s="388">
        <v>0</v>
      </c>
      <c r="Z5504" s="388">
        <v>1</v>
      </c>
      <c r="AA5504" s="388">
        <v>1</v>
      </c>
      <c r="AB5504" s="388">
        <v>0</v>
      </c>
      <c r="AC5504" s="150">
        <v>0</v>
      </c>
      <c r="AD5504" s="150">
        <v>1</v>
      </c>
      <c r="AE5504" s="49">
        <f t="shared" si="201"/>
        <v>0.5</v>
      </c>
      <c r="AF5504" s="397"/>
      <c r="AG5504" s="17">
        <v>0</v>
      </c>
      <c r="AH5504" s="397">
        <f>28*0.037</f>
        <v>1.036</v>
      </c>
      <c r="AI5504" s="397">
        <f>30*0.037</f>
        <v>1.1099999999999999</v>
      </c>
      <c r="AJ5504" s="397">
        <f>34*0.037</f>
        <v>1.258</v>
      </c>
      <c r="AK5504" s="398">
        <v>0</v>
      </c>
      <c r="AL5504" s="398">
        <v>0</v>
      </c>
      <c r="AM5504" s="17">
        <f t="shared" si="200"/>
        <v>0</v>
      </c>
      <c r="AN5504" s="14" t="s">
        <v>11722</v>
      </c>
      <c r="AO5504" s="12" t="s">
        <v>11723</v>
      </c>
      <c r="AP5504" s="399"/>
      <c r="AQ5504" s="400"/>
      <c r="AR5504" s="399"/>
      <c r="AS5504" s="399"/>
      <c r="AT5504" s="399"/>
      <c r="AX5504" s="400"/>
    </row>
    <row r="5505" spans="1:50" s="14" customFormat="1" x14ac:dyDescent="0.3">
      <c r="A5505" s="386" t="s">
        <v>8325</v>
      </c>
      <c r="B5505" s="14" t="s">
        <v>8326</v>
      </c>
      <c r="C5505" s="14" t="s">
        <v>11714</v>
      </c>
      <c r="D5505" s="14" t="s">
        <v>6838</v>
      </c>
      <c r="E5505" s="14" t="s">
        <v>11715</v>
      </c>
      <c r="F5505" s="12" t="s">
        <v>11716</v>
      </c>
      <c r="G5505" s="14" t="s">
        <v>11912</v>
      </c>
      <c r="H5505" s="12" t="s">
        <v>11913</v>
      </c>
      <c r="K5505" s="14" t="s">
        <v>11914</v>
      </c>
      <c r="L5505" s="12" t="s">
        <v>11915</v>
      </c>
      <c r="M5505" s="14" t="s">
        <v>11918</v>
      </c>
      <c r="N5505" s="465">
        <v>0</v>
      </c>
      <c r="O5505" s="14">
        <v>164</v>
      </c>
      <c r="P5505" s="12">
        <v>164</v>
      </c>
      <c r="Q5505" s="12">
        <v>210</v>
      </c>
      <c r="R5505" s="12">
        <v>15</v>
      </c>
      <c r="S5505" s="12">
        <v>18</v>
      </c>
      <c r="T5505" s="14" t="s">
        <v>11722</v>
      </c>
      <c r="U5505" t="s">
        <v>11723</v>
      </c>
      <c r="V5505" s="14" t="s">
        <v>11919</v>
      </c>
      <c r="W5505" s="388">
        <v>1</v>
      </c>
      <c r="X5505" s="388">
        <v>0</v>
      </c>
      <c r="Y5505" s="388">
        <v>0</v>
      </c>
      <c r="Z5505" s="388">
        <v>1</v>
      </c>
      <c r="AA5505" s="388">
        <v>1</v>
      </c>
      <c r="AB5505" s="388">
        <v>0</v>
      </c>
      <c r="AC5505" s="150">
        <v>0</v>
      </c>
      <c r="AD5505" s="150">
        <v>1</v>
      </c>
      <c r="AE5505" s="49">
        <f t="shared" si="201"/>
        <v>0.5</v>
      </c>
      <c r="AF5505" s="397"/>
      <c r="AG5505" s="17">
        <v>0</v>
      </c>
      <c r="AH5505" s="397">
        <f>164*0.01</f>
        <v>1.6400000000000001</v>
      </c>
      <c r="AI5505" s="397">
        <f>164*0.01</f>
        <v>1.6400000000000001</v>
      </c>
      <c r="AJ5505" s="397">
        <f>210*0.01</f>
        <v>2.1</v>
      </c>
      <c r="AK5505" s="398">
        <v>0</v>
      </c>
      <c r="AL5505" s="398">
        <v>0</v>
      </c>
      <c r="AM5505" s="17">
        <f t="shared" si="200"/>
        <v>0</v>
      </c>
      <c r="AN5505" s="14" t="s">
        <v>11722</v>
      </c>
      <c r="AO5505" s="12" t="s">
        <v>11723</v>
      </c>
      <c r="AP5505" s="399"/>
      <c r="AQ5505" s="400"/>
      <c r="AR5505" s="399"/>
      <c r="AS5505" s="399"/>
      <c r="AT5505" s="399"/>
      <c r="AX5505" s="400"/>
    </row>
    <row r="5506" spans="1:50" s="14" customFormat="1" x14ac:dyDescent="0.3">
      <c r="A5506" s="386" t="s">
        <v>8325</v>
      </c>
      <c r="B5506" s="14" t="s">
        <v>8326</v>
      </c>
      <c r="C5506" s="14" t="s">
        <v>11714</v>
      </c>
      <c r="D5506" s="14" t="s">
        <v>6838</v>
      </c>
      <c r="E5506" s="14" t="s">
        <v>11715</v>
      </c>
      <c r="F5506" s="12" t="s">
        <v>11716</v>
      </c>
      <c r="G5506" s="14" t="s">
        <v>11912</v>
      </c>
      <c r="H5506" s="12" t="s">
        <v>11913</v>
      </c>
      <c r="K5506" s="14" t="s">
        <v>11914</v>
      </c>
      <c r="L5506" s="12" t="s">
        <v>11915</v>
      </c>
      <c r="M5506" s="14" t="s">
        <v>11920</v>
      </c>
      <c r="N5506" s="465"/>
      <c r="O5506" s="14">
        <v>139</v>
      </c>
      <c r="P5506" s="12">
        <v>142</v>
      </c>
      <c r="Q5506" s="12">
        <v>148</v>
      </c>
      <c r="R5506" s="12">
        <v>20</v>
      </c>
      <c r="S5506" s="12">
        <v>26</v>
      </c>
      <c r="T5506" s="14" t="s">
        <v>11722</v>
      </c>
      <c r="U5506" t="s">
        <v>11723</v>
      </c>
      <c r="V5506" s="14" t="s">
        <v>11921</v>
      </c>
      <c r="W5506" s="388">
        <v>1</v>
      </c>
      <c r="X5506" s="388">
        <v>0</v>
      </c>
      <c r="Y5506" s="388">
        <v>0</v>
      </c>
      <c r="Z5506" s="388">
        <v>1</v>
      </c>
      <c r="AA5506" s="388">
        <v>1</v>
      </c>
      <c r="AB5506" s="388">
        <v>0</v>
      </c>
      <c r="AC5506" s="150">
        <v>0</v>
      </c>
      <c r="AD5506" s="150">
        <v>1</v>
      </c>
      <c r="AE5506" s="49">
        <f t="shared" si="201"/>
        <v>0.5</v>
      </c>
      <c r="AF5506" s="397"/>
      <c r="AG5506" s="17">
        <v>0</v>
      </c>
      <c r="AH5506" s="397">
        <f>139*0.01</f>
        <v>1.3900000000000001</v>
      </c>
      <c r="AI5506" s="397">
        <f>142*0.01</f>
        <v>1.42</v>
      </c>
      <c r="AJ5506" s="397">
        <f>148*0.01</f>
        <v>1.48</v>
      </c>
      <c r="AK5506" s="398">
        <v>0</v>
      </c>
      <c r="AL5506" s="398">
        <v>0</v>
      </c>
      <c r="AM5506" s="17">
        <f t="shared" si="200"/>
        <v>0</v>
      </c>
      <c r="AN5506" s="14" t="s">
        <v>11722</v>
      </c>
      <c r="AO5506" s="12" t="s">
        <v>11723</v>
      </c>
      <c r="AP5506" s="399"/>
      <c r="AQ5506" s="400"/>
      <c r="AR5506" s="399"/>
      <c r="AS5506" s="399"/>
      <c r="AT5506" s="399"/>
      <c r="AX5506" s="400"/>
    </row>
    <row r="5507" spans="1:50" s="14" customFormat="1" x14ac:dyDescent="0.3">
      <c r="A5507" s="386" t="s">
        <v>8325</v>
      </c>
      <c r="B5507" s="14" t="s">
        <v>8326</v>
      </c>
      <c r="C5507" s="14" t="s">
        <v>11807</v>
      </c>
      <c r="D5507" s="14" t="s">
        <v>11808</v>
      </c>
      <c r="E5507" s="14" t="s">
        <v>11809</v>
      </c>
      <c r="F5507" s="12" t="s">
        <v>11716</v>
      </c>
      <c r="G5507" s="14" t="s">
        <v>11922</v>
      </c>
      <c r="H5507" s="12" t="s">
        <v>11913</v>
      </c>
      <c r="K5507" s="14" t="s">
        <v>11923</v>
      </c>
      <c r="L5507" s="14" t="s">
        <v>11924</v>
      </c>
      <c r="M5507" s="14" t="s">
        <v>11925</v>
      </c>
      <c r="N5507" s="400">
        <v>0</v>
      </c>
      <c r="O5507" s="400">
        <v>8</v>
      </c>
      <c r="P5507" s="403">
        <v>8</v>
      </c>
      <c r="Q5507" s="403">
        <v>8</v>
      </c>
      <c r="R5507" s="403">
        <v>8</v>
      </c>
      <c r="S5507" s="403">
        <v>8</v>
      </c>
      <c r="T5507" s="14" t="s">
        <v>1588</v>
      </c>
      <c r="U5507" t="s">
        <v>1590</v>
      </c>
      <c r="V5507" s="14" t="s">
        <v>11926</v>
      </c>
      <c r="W5507" s="388"/>
      <c r="X5507" s="388"/>
      <c r="Y5507" s="388"/>
      <c r="Z5507" s="388"/>
      <c r="AA5507" s="388"/>
      <c r="AB5507" s="388"/>
      <c r="AC5507" s="150">
        <v>0</v>
      </c>
      <c r="AD5507" s="150">
        <v>0</v>
      </c>
      <c r="AE5507" s="49">
        <f t="shared" si="201"/>
        <v>0</v>
      </c>
      <c r="AF5507" s="397"/>
      <c r="AG5507" s="17">
        <v>0</v>
      </c>
      <c r="AH5507" s="397">
        <v>0.48</v>
      </c>
      <c r="AI5507" s="397">
        <v>0.48</v>
      </c>
      <c r="AJ5507" s="397">
        <v>0.48</v>
      </c>
      <c r="AK5507" s="398">
        <v>0.48</v>
      </c>
      <c r="AL5507" s="398">
        <v>0.48</v>
      </c>
      <c r="AM5507" s="17">
        <f t="shared" si="200"/>
        <v>0.96</v>
      </c>
      <c r="AN5507" s="14" t="s">
        <v>1588</v>
      </c>
      <c r="AO5507" s="12" t="s">
        <v>1590</v>
      </c>
      <c r="AP5507" s="399"/>
      <c r="AQ5507" s="399"/>
      <c r="AR5507" s="399"/>
      <c r="AS5507" s="399"/>
      <c r="AT5507" s="399"/>
      <c r="AX5507" s="400"/>
    </row>
    <row r="5508" spans="1:50" s="14" customFormat="1" x14ac:dyDescent="0.3">
      <c r="A5508" s="386" t="s">
        <v>8325</v>
      </c>
      <c r="B5508" s="14" t="s">
        <v>8326</v>
      </c>
      <c r="C5508" s="14" t="s">
        <v>11807</v>
      </c>
      <c r="D5508" s="14" t="s">
        <v>11808</v>
      </c>
      <c r="E5508" s="14" t="s">
        <v>11809</v>
      </c>
      <c r="F5508" s="12" t="s">
        <v>11716</v>
      </c>
      <c r="G5508" s="14" t="s">
        <v>11922</v>
      </c>
      <c r="H5508" s="12" t="s">
        <v>11913</v>
      </c>
      <c r="K5508" s="14" t="s">
        <v>11927</v>
      </c>
      <c r="L5508" s="12" t="s">
        <v>11928</v>
      </c>
      <c r="M5508" s="14" t="s">
        <v>11929</v>
      </c>
      <c r="N5508" s="400">
        <v>1</v>
      </c>
      <c r="O5508" s="400">
        <v>0</v>
      </c>
      <c r="P5508" s="402">
        <v>0</v>
      </c>
      <c r="Q5508" s="402">
        <v>20</v>
      </c>
      <c r="R5508" s="402">
        <v>20</v>
      </c>
      <c r="S5508" s="400">
        <v>20</v>
      </c>
      <c r="T5508" s="14" t="s">
        <v>11722</v>
      </c>
      <c r="U5508" t="s">
        <v>11723</v>
      </c>
      <c r="V5508" s="14" t="s">
        <v>11930</v>
      </c>
      <c r="W5508" s="388">
        <v>1</v>
      </c>
      <c r="X5508" s="388">
        <v>0</v>
      </c>
      <c r="Y5508" s="388">
        <v>0</v>
      </c>
      <c r="Z5508" s="388">
        <v>1</v>
      </c>
      <c r="AA5508" s="388">
        <v>1</v>
      </c>
      <c r="AB5508" s="388">
        <v>1</v>
      </c>
      <c r="AC5508" s="150">
        <v>1</v>
      </c>
      <c r="AD5508" s="150">
        <v>1</v>
      </c>
      <c r="AE5508" s="49">
        <f t="shared" si="201"/>
        <v>0.75</v>
      </c>
      <c r="AF5508" s="397"/>
      <c r="AG5508" s="17">
        <v>0</v>
      </c>
      <c r="AH5508" s="397">
        <v>0</v>
      </c>
      <c r="AI5508" s="397">
        <v>0</v>
      </c>
      <c r="AJ5508" s="397">
        <v>0.36749999999999999</v>
      </c>
      <c r="AK5508" s="398">
        <v>0.48</v>
      </c>
      <c r="AL5508" s="398">
        <v>0.48</v>
      </c>
      <c r="AM5508" s="17">
        <f t="shared" si="200"/>
        <v>0.96</v>
      </c>
      <c r="AN5508" s="14" t="s">
        <v>11722</v>
      </c>
      <c r="AO5508" s="12" t="s">
        <v>11723</v>
      </c>
      <c r="AP5508" s="399"/>
      <c r="AQ5508" s="399"/>
      <c r="AR5508" s="399"/>
      <c r="AS5508" s="399"/>
      <c r="AT5508" s="399"/>
      <c r="AX5508" s="400"/>
    </row>
    <row r="5509" spans="1:50" s="12" customFormat="1" x14ac:dyDescent="0.3">
      <c r="A5509" s="386" t="s">
        <v>8325</v>
      </c>
      <c r="B5509" s="14" t="s">
        <v>8326</v>
      </c>
      <c r="C5509" s="14" t="s">
        <v>11807</v>
      </c>
      <c r="D5509" s="12" t="s">
        <v>11808</v>
      </c>
      <c r="E5509" s="14" t="s">
        <v>11809</v>
      </c>
      <c r="F5509" s="12" t="s">
        <v>11716</v>
      </c>
      <c r="G5509" s="14" t="s">
        <v>11922</v>
      </c>
      <c r="H5509" s="12" t="s">
        <v>11913</v>
      </c>
      <c r="K5509" s="14" t="s">
        <v>11927</v>
      </c>
      <c r="L5509" s="12" t="s">
        <v>11928</v>
      </c>
      <c r="M5509" s="14" t="s">
        <v>11931</v>
      </c>
      <c r="N5509" s="14">
        <v>24</v>
      </c>
      <c r="O5509" s="14"/>
      <c r="P5509" s="12">
        <v>24</v>
      </c>
      <c r="Q5509" s="12">
        <v>24</v>
      </c>
      <c r="R5509" s="12">
        <v>24</v>
      </c>
      <c r="S5509" s="12">
        <v>24</v>
      </c>
      <c r="T5509" s="14" t="s">
        <v>11722</v>
      </c>
      <c r="U5509" t="s">
        <v>11723</v>
      </c>
      <c r="V5509" s="14" t="s">
        <v>11932</v>
      </c>
      <c r="W5509" s="388">
        <v>1</v>
      </c>
      <c r="X5509" s="388">
        <v>0</v>
      </c>
      <c r="Y5509" s="388">
        <v>0</v>
      </c>
      <c r="Z5509" s="388">
        <v>1</v>
      </c>
      <c r="AA5509" s="388">
        <v>1</v>
      </c>
      <c r="AB5509" s="388">
        <v>1</v>
      </c>
      <c r="AC5509" s="150">
        <v>1</v>
      </c>
      <c r="AD5509" s="150">
        <v>1</v>
      </c>
      <c r="AE5509" s="49">
        <f t="shared" si="201"/>
        <v>0.75</v>
      </c>
      <c r="AF5509" s="397"/>
      <c r="AG5509" s="17">
        <v>0</v>
      </c>
      <c r="AH5509" s="397">
        <v>0</v>
      </c>
      <c r="AI5509" s="397">
        <v>0.16800000000000001</v>
      </c>
      <c r="AJ5509" s="397">
        <v>0.1764</v>
      </c>
      <c r="AK5509" s="398">
        <v>4.8000000000000001E-2</v>
      </c>
      <c r="AL5509" s="398">
        <v>4.8000000000000001E-2</v>
      </c>
      <c r="AM5509" s="17">
        <f t="shared" si="200"/>
        <v>9.6000000000000002E-2</v>
      </c>
      <c r="AN5509" s="14" t="s">
        <v>11722</v>
      </c>
      <c r="AO5509" s="12" t="s">
        <v>11723</v>
      </c>
      <c r="AP5509" s="399"/>
      <c r="AQ5509" s="399"/>
      <c r="AR5509" s="399"/>
      <c r="AS5509" s="399"/>
      <c r="AT5509" s="399"/>
      <c r="AX5509" s="402"/>
    </row>
    <row r="5510" spans="1:50" s="12" customFormat="1" x14ac:dyDescent="0.3">
      <c r="A5510" s="386" t="s">
        <v>8325</v>
      </c>
      <c r="B5510" s="14" t="s">
        <v>8326</v>
      </c>
      <c r="C5510" s="14" t="s">
        <v>11807</v>
      </c>
      <c r="D5510" s="12" t="s">
        <v>11808</v>
      </c>
      <c r="E5510" s="14" t="s">
        <v>11809</v>
      </c>
      <c r="F5510" s="12" t="s">
        <v>11716</v>
      </c>
      <c r="G5510" s="14" t="s">
        <v>11922</v>
      </c>
      <c r="H5510" s="12" t="s">
        <v>11913</v>
      </c>
      <c r="K5510" s="14" t="s">
        <v>11927</v>
      </c>
      <c r="L5510" s="12" t="s">
        <v>11928</v>
      </c>
      <c r="M5510" s="14" t="s">
        <v>11933</v>
      </c>
      <c r="N5510" s="14">
        <v>36</v>
      </c>
      <c r="O5510" s="14"/>
      <c r="P5510" s="12">
        <v>36</v>
      </c>
      <c r="Q5510" s="12">
        <v>36</v>
      </c>
      <c r="R5510" s="12">
        <v>36</v>
      </c>
      <c r="S5510" s="12">
        <v>36</v>
      </c>
      <c r="T5510" s="14" t="s">
        <v>11722</v>
      </c>
      <c r="U5510" t="s">
        <v>11723</v>
      </c>
      <c r="V5510" s="14" t="s">
        <v>11934</v>
      </c>
      <c r="W5510" s="388">
        <v>1</v>
      </c>
      <c r="X5510" s="388">
        <v>0</v>
      </c>
      <c r="Y5510" s="388">
        <v>0</v>
      </c>
      <c r="Z5510" s="388">
        <v>1</v>
      </c>
      <c r="AA5510" s="388">
        <v>1</v>
      </c>
      <c r="AB5510" s="388">
        <v>1</v>
      </c>
      <c r="AC5510" s="150">
        <v>1</v>
      </c>
      <c r="AD5510" s="150">
        <v>1</v>
      </c>
      <c r="AE5510" s="49">
        <f t="shared" si="201"/>
        <v>0.75</v>
      </c>
      <c r="AF5510" s="397"/>
      <c r="AG5510" s="17">
        <v>0</v>
      </c>
      <c r="AH5510" s="397">
        <v>0</v>
      </c>
      <c r="AI5510" s="397">
        <v>0.126</v>
      </c>
      <c r="AJ5510" s="397">
        <v>0.1323</v>
      </c>
      <c r="AK5510" s="398">
        <v>4.0160000000000001E-2</v>
      </c>
      <c r="AL5510" s="398">
        <v>4.0160000000000001E-2</v>
      </c>
      <c r="AM5510" s="17">
        <f t="shared" si="200"/>
        <v>8.0320000000000003E-2</v>
      </c>
      <c r="AN5510" s="14" t="s">
        <v>11722</v>
      </c>
      <c r="AO5510" s="12" t="s">
        <v>11723</v>
      </c>
      <c r="AP5510" s="399"/>
      <c r="AQ5510" s="399"/>
      <c r="AR5510" s="399"/>
      <c r="AS5510" s="399"/>
      <c r="AT5510" s="399"/>
      <c r="AX5510" s="402"/>
    </row>
    <row r="5511" spans="1:50" s="12" customFormat="1" x14ac:dyDescent="0.3">
      <c r="A5511" s="386" t="s">
        <v>8325</v>
      </c>
      <c r="B5511" s="14" t="s">
        <v>8326</v>
      </c>
      <c r="C5511" s="14" t="s">
        <v>11807</v>
      </c>
      <c r="D5511" s="12" t="s">
        <v>11808</v>
      </c>
      <c r="E5511" s="14" t="s">
        <v>11809</v>
      </c>
      <c r="F5511" s="12" t="s">
        <v>11716</v>
      </c>
      <c r="G5511" s="14" t="s">
        <v>11922</v>
      </c>
      <c r="H5511" s="12" t="s">
        <v>11913</v>
      </c>
      <c r="K5511" s="14" t="s">
        <v>11927</v>
      </c>
      <c r="L5511" s="12" t="s">
        <v>11928</v>
      </c>
      <c r="M5511" s="14" t="s">
        <v>11935</v>
      </c>
      <c r="N5511" s="14"/>
      <c r="O5511" s="14"/>
      <c r="P5511" s="28">
        <v>100000</v>
      </c>
      <c r="Q5511" s="28">
        <v>100000</v>
      </c>
      <c r="R5511" s="28">
        <v>100000</v>
      </c>
      <c r="S5511" s="28">
        <v>100000</v>
      </c>
      <c r="T5511" s="14" t="s">
        <v>11722</v>
      </c>
      <c r="U5511" t="s">
        <v>11723</v>
      </c>
      <c r="V5511" s="14" t="s">
        <v>11936</v>
      </c>
      <c r="W5511" s="388">
        <v>1</v>
      </c>
      <c r="X5511" s="388">
        <v>0</v>
      </c>
      <c r="Y5511" s="388">
        <v>0</v>
      </c>
      <c r="Z5511" s="388">
        <v>1</v>
      </c>
      <c r="AA5511" s="388">
        <v>1</v>
      </c>
      <c r="AB5511" s="388">
        <v>1</v>
      </c>
      <c r="AC5511" s="150">
        <v>1</v>
      </c>
      <c r="AD5511" s="150">
        <v>1</v>
      </c>
      <c r="AE5511" s="49">
        <f t="shared" si="201"/>
        <v>0.75</v>
      </c>
      <c r="AF5511" s="397"/>
      <c r="AG5511" s="17">
        <v>0</v>
      </c>
      <c r="AH5511" s="397">
        <v>0</v>
      </c>
      <c r="AI5511" s="397">
        <v>0.5</v>
      </c>
      <c r="AJ5511" s="397">
        <v>0.52500000000000002</v>
      </c>
      <c r="AK5511" s="398">
        <v>0.30903999999999998</v>
      </c>
      <c r="AL5511" s="398">
        <v>0.30903999999999998</v>
      </c>
      <c r="AM5511" s="17">
        <f t="shared" si="200"/>
        <v>0.61807999999999996</v>
      </c>
      <c r="AN5511" s="14" t="s">
        <v>11722</v>
      </c>
      <c r="AO5511" s="12" t="s">
        <v>11723</v>
      </c>
      <c r="AP5511" s="399"/>
      <c r="AQ5511" s="399"/>
      <c r="AR5511" s="399"/>
      <c r="AS5511" s="399"/>
      <c r="AT5511" s="399"/>
      <c r="AX5511" s="402"/>
    </row>
    <row r="5512" spans="1:50" s="12" customFormat="1" x14ac:dyDescent="0.3">
      <c r="A5512" s="386" t="s">
        <v>8325</v>
      </c>
      <c r="B5512" s="14" t="s">
        <v>8326</v>
      </c>
      <c r="C5512" s="14" t="s">
        <v>11714</v>
      </c>
      <c r="D5512" s="12" t="s">
        <v>6838</v>
      </c>
      <c r="E5512" s="14" t="s">
        <v>11715</v>
      </c>
      <c r="F5512" s="12" t="s">
        <v>11716</v>
      </c>
      <c r="G5512" s="14" t="s">
        <v>11912</v>
      </c>
      <c r="H5512" s="12" t="s">
        <v>11913</v>
      </c>
      <c r="K5512" s="14" t="s">
        <v>11937</v>
      </c>
      <c r="L5512" s="12" t="s">
        <v>11928</v>
      </c>
      <c r="M5512" s="14" t="s">
        <v>11938</v>
      </c>
      <c r="N5512" s="400"/>
      <c r="O5512" s="400"/>
      <c r="P5512" s="403"/>
      <c r="Q5512" s="403">
        <v>1000</v>
      </c>
      <c r="R5512" s="403">
        <v>1000</v>
      </c>
      <c r="S5512" s="403">
        <v>1000</v>
      </c>
      <c r="T5512" s="14" t="s">
        <v>5578</v>
      </c>
      <c r="U5512" t="s">
        <v>880</v>
      </c>
      <c r="V5512" s="12" t="s">
        <v>11939</v>
      </c>
      <c r="W5512" s="407"/>
      <c r="X5512" s="407"/>
      <c r="Y5512" s="407"/>
      <c r="Z5512" s="407"/>
      <c r="AA5512" s="407"/>
      <c r="AB5512" s="407"/>
      <c r="AC5512" s="150">
        <v>0</v>
      </c>
      <c r="AD5512" s="150">
        <v>0</v>
      </c>
      <c r="AE5512" s="49">
        <f t="shared" si="201"/>
        <v>0</v>
      </c>
      <c r="AF5512" s="397"/>
      <c r="AG5512" s="17">
        <v>0</v>
      </c>
      <c r="AH5512" s="397">
        <v>0</v>
      </c>
      <c r="AI5512" s="397">
        <v>0</v>
      </c>
      <c r="AJ5512" s="397">
        <v>0.08</v>
      </c>
      <c r="AK5512" s="398">
        <v>0</v>
      </c>
      <c r="AL5512" s="398">
        <v>0</v>
      </c>
      <c r="AM5512" s="17">
        <f t="shared" si="200"/>
        <v>0</v>
      </c>
      <c r="AN5512" s="14" t="s">
        <v>5578</v>
      </c>
      <c r="AO5512" s="12" t="s">
        <v>880</v>
      </c>
      <c r="AP5512" s="405"/>
      <c r="AQ5512" s="402"/>
      <c r="AR5512" s="405"/>
      <c r="AS5512" s="405"/>
      <c r="AT5512" s="405"/>
      <c r="AX5512" s="402"/>
    </row>
    <row r="5513" spans="1:50" s="14" customFormat="1" x14ac:dyDescent="0.3">
      <c r="A5513" s="386" t="s">
        <v>8325</v>
      </c>
      <c r="B5513" s="14" t="s">
        <v>8326</v>
      </c>
      <c r="C5513" s="14" t="s">
        <v>11807</v>
      </c>
      <c r="D5513" s="14" t="s">
        <v>11808</v>
      </c>
      <c r="E5513" s="14" t="s">
        <v>11809</v>
      </c>
      <c r="F5513" s="12" t="s">
        <v>11716</v>
      </c>
      <c r="G5513" s="14" t="s">
        <v>11922</v>
      </c>
      <c r="H5513" s="12" t="s">
        <v>11913</v>
      </c>
      <c r="K5513" s="14" t="s">
        <v>11940</v>
      </c>
      <c r="L5513" s="12" t="s">
        <v>11941</v>
      </c>
      <c r="M5513" s="14" t="s">
        <v>11942</v>
      </c>
      <c r="P5513" s="12"/>
      <c r="Q5513" s="12">
        <v>40</v>
      </c>
      <c r="R5513" s="12">
        <v>40</v>
      </c>
      <c r="S5513" s="12">
        <v>40</v>
      </c>
      <c r="T5513" s="14" t="s">
        <v>11865</v>
      </c>
      <c r="U5513" t="s">
        <v>11866</v>
      </c>
      <c r="V5513" s="14" t="s">
        <v>11943</v>
      </c>
      <c r="W5513" s="388"/>
      <c r="X5513" s="388"/>
      <c r="Y5513" s="388"/>
      <c r="Z5513" s="388"/>
      <c r="AA5513" s="388"/>
      <c r="AB5513" s="388"/>
      <c r="AC5513" s="150">
        <v>0</v>
      </c>
      <c r="AD5513" s="150">
        <v>0</v>
      </c>
      <c r="AE5513" s="49">
        <f t="shared" si="201"/>
        <v>0</v>
      </c>
      <c r="AF5513" s="397"/>
      <c r="AG5513" s="17">
        <v>0</v>
      </c>
      <c r="AH5513" s="397"/>
      <c r="AI5513" s="397"/>
      <c r="AJ5513" s="397">
        <v>4</v>
      </c>
      <c r="AK5513" s="398">
        <v>0</v>
      </c>
      <c r="AL5513" s="398">
        <v>0</v>
      </c>
      <c r="AM5513" s="17">
        <f t="shared" si="200"/>
        <v>0</v>
      </c>
      <c r="AN5513" s="14" t="s">
        <v>11865</v>
      </c>
      <c r="AO5513" s="12" t="s">
        <v>11866</v>
      </c>
      <c r="AP5513" s="399"/>
      <c r="AQ5513" s="399"/>
      <c r="AR5513" s="399"/>
      <c r="AS5513" s="399"/>
      <c r="AT5513" s="399"/>
      <c r="AX5513" s="400"/>
    </row>
    <row r="5514" spans="1:50" s="12" customFormat="1" x14ac:dyDescent="0.3">
      <c r="A5514" s="386" t="s">
        <v>8325</v>
      </c>
      <c r="B5514" s="14" t="s">
        <v>8326</v>
      </c>
      <c r="C5514" s="14" t="s">
        <v>11807</v>
      </c>
      <c r="D5514" s="12" t="s">
        <v>11808</v>
      </c>
      <c r="E5514" s="14" t="s">
        <v>11809</v>
      </c>
      <c r="F5514" s="12" t="s">
        <v>11716</v>
      </c>
      <c r="G5514" s="14" t="s">
        <v>11922</v>
      </c>
      <c r="H5514" s="12" t="s">
        <v>11913</v>
      </c>
      <c r="K5514" s="14" t="s">
        <v>11940</v>
      </c>
      <c r="L5514" s="12" t="s">
        <v>11941</v>
      </c>
      <c r="M5514" s="14" t="s">
        <v>11944</v>
      </c>
      <c r="N5514" s="14"/>
      <c r="O5514" s="14"/>
      <c r="P5514" s="12">
        <v>12</v>
      </c>
      <c r="Q5514" s="12">
        <v>12</v>
      </c>
      <c r="R5514" s="12">
        <v>12</v>
      </c>
      <c r="S5514" s="12">
        <v>12</v>
      </c>
      <c r="T5514" s="14" t="s">
        <v>11722</v>
      </c>
      <c r="U5514" t="s">
        <v>11723</v>
      </c>
      <c r="V5514" s="14" t="s">
        <v>11945</v>
      </c>
      <c r="W5514" s="388">
        <v>1</v>
      </c>
      <c r="X5514" s="388">
        <v>0</v>
      </c>
      <c r="Y5514" s="388">
        <v>0</v>
      </c>
      <c r="Z5514" s="388">
        <v>1</v>
      </c>
      <c r="AA5514" s="388">
        <v>1</v>
      </c>
      <c r="AB5514" s="388">
        <v>1</v>
      </c>
      <c r="AC5514" s="150">
        <v>0</v>
      </c>
      <c r="AD5514" s="150">
        <v>1</v>
      </c>
      <c r="AE5514" s="49">
        <f t="shared" si="201"/>
        <v>0.625</v>
      </c>
      <c r="AF5514" s="397"/>
      <c r="AG5514" s="17">
        <v>0</v>
      </c>
      <c r="AH5514" s="397">
        <v>0</v>
      </c>
      <c r="AI5514" s="397">
        <v>3.5999999999999997E-2</v>
      </c>
      <c r="AJ5514" s="397">
        <v>3.78E-2</v>
      </c>
      <c r="AK5514" s="398">
        <v>0.13164000000000001</v>
      </c>
      <c r="AL5514" s="398">
        <v>0.13164000000000001</v>
      </c>
      <c r="AM5514" s="17">
        <f t="shared" si="200"/>
        <v>0.26328000000000001</v>
      </c>
      <c r="AN5514" s="14" t="s">
        <v>11722</v>
      </c>
      <c r="AO5514" s="12" t="s">
        <v>11723</v>
      </c>
      <c r="AP5514" s="399"/>
      <c r="AQ5514" s="399"/>
      <c r="AR5514" s="399"/>
      <c r="AS5514" s="399"/>
      <c r="AT5514" s="399"/>
      <c r="AX5514" s="402"/>
    </row>
    <row r="5515" spans="1:50" s="12" customFormat="1" x14ac:dyDescent="0.3">
      <c r="A5515" s="386" t="s">
        <v>8325</v>
      </c>
      <c r="B5515" s="14" t="s">
        <v>8326</v>
      </c>
      <c r="C5515" s="14" t="s">
        <v>11714</v>
      </c>
      <c r="D5515" s="12" t="s">
        <v>6838</v>
      </c>
      <c r="E5515" s="14" t="s">
        <v>11715</v>
      </c>
      <c r="F5515" s="12" t="s">
        <v>11716</v>
      </c>
      <c r="G5515" s="14" t="s">
        <v>11912</v>
      </c>
      <c r="H5515" s="12" t="s">
        <v>11913</v>
      </c>
      <c r="K5515" s="14" t="s">
        <v>11946</v>
      </c>
      <c r="L5515" s="12" t="s">
        <v>11947</v>
      </c>
      <c r="M5515" s="14" t="s">
        <v>11948</v>
      </c>
      <c r="N5515" s="14">
        <v>1</v>
      </c>
      <c r="O5515" s="14">
        <v>1</v>
      </c>
      <c r="P5515" s="12">
        <v>1</v>
      </c>
      <c r="Q5515" s="12">
        <v>1</v>
      </c>
      <c r="R5515" s="12">
        <v>1</v>
      </c>
      <c r="S5515" s="12">
        <v>1</v>
      </c>
      <c r="T5515" s="14" t="s">
        <v>11722</v>
      </c>
      <c r="U5515" t="s">
        <v>11723</v>
      </c>
      <c r="V5515" s="14" t="s">
        <v>11949</v>
      </c>
      <c r="W5515" s="388">
        <v>0</v>
      </c>
      <c r="X5515" s="388">
        <v>1</v>
      </c>
      <c r="Y5515" s="388">
        <v>1</v>
      </c>
      <c r="Z5515" s="388">
        <v>1</v>
      </c>
      <c r="AA5515" s="388">
        <v>1</v>
      </c>
      <c r="AB5515" s="388">
        <v>0</v>
      </c>
      <c r="AC5515" s="150">
        <v>0</v>
      </c>
      <c r="AD5515" s="150">
        <v>1</v>
      </c>
      <c r="AE5515" s="49">
        <f t="shared" si="201"/>
        <v>0.625</v>
      </c>
      <c r="AF5515" s="397"/>
      <c r="AG5515" s="17">
        <v>0</v>
      </c>
      <c r="AH5515" s="397">
        <v>0.18</v>
      </c>
      <c r="AI5515" s="397">
        <v>0.235183478</v>
      </c>
      <c r="AJ5515" s="397">
        <v>0.24694265200000001</v>
      </c>
      <c r="AK5515" s="398">
        <v>0.15867000000000001</v>
      </c>
      <c r="AL5515" s="398">
        <v>0.15867000000000001</v>
      </c>
      <c r="AM5515" s="17">
        <f t="shared" si="200"/>
        <v>0.31734000000000001</v>
      </c>
      <c r="AN5515" s="14" t="s">
        <v>11722</v>
      </c>
      <c r="AO5515" s="12" t="s">
        <v>11723</v>
      </c>
      <c r="AP5515" s="399"/>
      <c r="AQ5515" s="400"/>
      <c r="AR5515" s="399"/>
      <c r="AS5515" s="399"/>
      <c r="AT5515" s="399"/>
      <c r="AX5515" s="402"/>
    </row>
    <row r="5516" spans="1:50" s="12" customFormat="1" x14ac:dyDescent="0.3">
      <c r="A5516" s="386" t="s">
        <v>8325</v>
      </c>
      <c r="B5516" s="14" t="s">
        <v>8326</v>
      </c>
      <c r="C5516" s="14" t="s">
        <v>11714</v>
      </c>
      <c r="D5516" s="12" t="s">
        <v>6838</v>
      </c>
      <c r="E5516" s="14" t="s">
        <v>11715</v>
      </c>
      <c r="F5516" s="12" t="s">
        <v>11716</v>
      </c>
      <c r="G5516" s="14" t="s">
        <v>11912</v>
      </c>
      <c r="H5516" s="12" t="s">
        <v>11913</v>
      </c>
      <c r="K5516" s="14" t="s">
        <v>11946</v>
      </c>
      <c r="L5516" s="12" t="s">
        <v>11947</v>
      </c>
      <c r="M5516" s="14" t="s">
        <v>11950</v>
      </c>
      <c r="N5516" s="14">
        <v>1</v>
      </c>
      <c r="O5516" s="14"/>
      <c r="P5516" s="12">
        <v>1</v>
      </c>
      <c r="Q5516" s="12">
        <v>1</v>
      </c>
      <c r="R5516" s="12">
        <v>1</v>
      </c>
      <c r="S5516" s="12">
        <v>1</v>
      </c>
      <c r="T5516" s="14" t="s">
        <v>11722</v>
      </c>
      <c r="U5516" t="s">
        <v>11723</v>
      </c>
      <c r="V5516" s="14" t="s">
        <v>11951</v>
      </c>
      <c r="W5516" s="388">
        <v>0</v>
      </c>
      <c r="X5516" s="388">
        <v>1</v>
      </c>
      <c r="Y5516" s="388">
        <v>1</v>
      </c>
      <c r="Z5516" s="388">
        <v>1</v>
      </c>
      <c r="AA5516" s="388">
        <v>1</v>
      </c>
      <c r="AB5516" s="388">
        <v>0</v>
      </c>
      <c r="AC5516" s="150">
        <v>0</v>
      </c>
      <c r="AD5516" s="150">
        <v>1</v>
      </c>
      <c r="AE5516" s="49">
        <f t="shared" si="201"/>
        <v>0.625</v>
      </c>
      <c r="AF5516" s="397"/>
      <c r="AG5516" s="17">
        <v>0</v>
      </c>
      <c r="AH5516" s="397">
        <v>0.83620000000000005</v>
      </c>
      <c r="AI5516" s="397">
        <v>1.056546</v>
      </c>
      <c r="AJ5516" s="397">
        <v>1.1093732999999999</v>
      </c>
      <c r="AK5516" s="398">
        <v>0.89737699999999998</v>
      </c>
      <c r="AL5516" s="398">
        <v>0.89737699999999998</v>
      </c>
      <c r="AM5516" s="17">
        <f t="shared" si="200"/>
        <v>1.794754</v>
      </c>
      <c r="AN5516" s="14" t="s">
        <v>11722</v>
      </c>
      <c r="AO5516" s="12" t="s">
        <v>11723</v>
      </c>
      <c r="AP5516" s="399"/>
      <c r="AQ5516" s="400"/>
      <c r="AR5516" s="399"/>
      <c r="AS5516" s="399"/>
      <c r="AT5516" s="399"/>
      <c r="AX5516" s="402"/>
    </row>
    <row r="5517" spans="1:50" s="12" customFormat="1" x14ac:dyDescent="0.3">
      <c r="A5517" s="386" t="s">
        <v>8325</v>
      </c>
      <c r="B5517" s="14" t="s">
        <v>8326</v>
      </c>
      <c r="C5517" s="14" t="s">
        <v>11714</v>
      </c>
      <c r="D5517" s="12" t="s">
        <v>6838</v>
      </c>
      <c r="E5517" s="14" t="s">
        <v>11715</v>
      </c>
      <c r="F5517" s="12" t="s">
        <v>11716</v>
      </c>
      <c r="G5517" s="14" t="s">
        <v>11912</v>
      </c>
      <c r="H5517" s="12" t="s">
        <v>11913</v>
      </c>
      <c r="K5517" s="14" t="s">
        <v>11946</v>
      </c>
      <c r="L5517" s="12" t="s">
        <v>11947</v>
      </c>
      <c r="M5517" s="14" t="s">
        <v>11952</v>
      </c>
      <c r="N5517" s="14">
        <v>1</v>
      </c>
      <c r="O5517" s="14">
        <v>1</v>
      </c>
      <c r="P5517" s="12">
        <v>1</v>
      </c>
      <c r="Q5517" s="12">
        <v>1</v>
      </c>
      <c r="R5517" s="12">
        <v>1</v>
      </c>
      <c r="S5517" s="12">
        <v>1</v>
      </c>
      <c r="T5517" s="14" t="s">
        <v>11722</v>
      </c>
      <c r="U5517" t="s">
        <v>11723</v>
      </c>
      <c r="V5517" s="14" t="s">
        <v>11953</v>
      </c>
      <c r="W5517" s="388">
        <v>0</v>
      </c>
      <c r="X5517" s="388">
        <v>1</v>
      </c>
      <c r="Y5517" s="388">
        <v>1</v>
      </c>
      <c r="Z5517" s="388">
        <v>1</v>
      </c>
      <c r="AA5517" s="388">
        <v>1</v>
      </c>
      <c r="AB5517" s="388">
        <v>0</v>
      </c>
      <c r="AC5517" s="150">
        <v>0</v>
      </c>
      <c r="AD5517" s="150">
        <v>1</v>
      </c>
      <c r="AE5517" s="49">
        <f t="shared" si="201"/>
        <v>0.625</v>
      </c>
      <c r="AF5517" s="397"/>
      <c r="AG5517" s="17">
        <v>0</v>
      </c>
      <c r="AH5517" s="397">
        <v>0.15</v>
      </c>
      <c r="AI5517" s="397">
        <v>0.16625899999999999</v>
      </c>
      <c r="AJ5517" s="397">
        <v>0.17457195</v>
      </c>
      <c r="AK5517" s="398">
        <v>0.22624688000000001</v>
      </c>
      <c r="AL5517" s="398">
        <v>0.22624688000000001</v>
      </c>
      <c r="AM5517" s="17">
        <f t="shared" si="200"/>
        <v>0.45249376000000002</v>
      </c>
      <c r="AN5517" s="14" t="s">
        <v>11722</v>
      </c>
      <c r="AO5517" s="12" t="s">
        <v>11723</v>
      </c>
      <c r="AP5517" s="399"/>
      <c r="AQ5517" s="400"/>
      <c r="AR5517" s="399"/>
      <c r="AS5517" s="399"/>
      <c r="AT5517" s="399"/>
      <c r="AX5517" s="402"/>
    </row>
    <row r="5518" spans="1:50" s="12" customFormat="1" x14ac:dyDescent="0.3">
      <c r="A5518" s="386" t="s">
        <v>8325</v>
      </c>
      <c r="B5518" s="14" t="s">
        <v>8326</v>
      </c>
      <c r="C5518" s="14" t="s">
        <v>11714</v>
      </c>
      <c r="D5518" s="12" t="s">
        <v>6838</v>
      </c>
      <c r="E5518" s="14" t="s">
        <v>11715</v>
      </c>
      <c r="F5518" s="12" t="s">
        <v>11716</v>
      </c>
      <c r="G5518" s="14" t="s">
        <v>11912</v>
      </c>
      <c r="H5518" s="12" t="s">
        <v>11913</v>
      </c>
      <c r="K5518" s="14" t="s">
        <v>11946</v>
      </c>
      <c r="L5518" s="12" t="s">
        <v>11947</v>
      </c>
      <c r="M5518" s="14" t="s">
        <v>11954</v>
      </c>
      <c r="N5518" s="14">
        <v>1</v>
      </c>
      <c r="O5518" s="14"/>
      <c r="P5518" s="12">
        <v>1</v>
      </c>
      <c r="Q5518" s="12">
        <v>1</v>
      </c>
      <c r="R5518" s="12">
        <v>1</v>
      </c>
      <c r="S5518" s="12">
        <v>1</v>
      </c>
      <c r="T5518" s="14" t="s">
        <v>11722</v>
      </c>
      <c r="U5518" t="s">
        <v>11723</v>
      </c>
      <c r="V5518" s="14" t="s">
        <v>11955</v>
      </c>
      <c r="W5518" s="388">
        <v>0</v>
      </c>
      <c r="X5518" s="388">
        <v>1</v>
      </c>
      <c r="Y5518" s="388">
        <v>1</v>
      </c>
      <c r="Z5518" s="388">
        <v>1</v>
      </c>
      <c r="AA5518" s="388">
        <v>1</v>
      </c>
      <c r="AB5518" s="388">
        <v>0</v>
      </c>
      <c r="AC5518" s="150">
        <v>0</v>
      </c>
      <c r="AD5518" s="150">
        <v>1</v>
      </c>
      <c r="AE5518" s="49">
        <f t="shared" si="201"/>
        <v>0.625</v>
      </c>
      <c r="AF5518" s="397"/>
      <c r="AG5518" s="17">
        <v>0</v>
      </c>
      <c r="AH5518" s="397">
        <v>0.3788533</v>
      </c>
      <c r="AI5518" s="397">
        <v>0.42555340000000003</v>
      </c>
      <c r="AJ5518" s="397">
        <v>0.44630999999999998</v>
      </c>
      <c r="AK5518" s="398">
        <v>0.46965000000000001</v>
      </c>
      <c r="AL5518" s="398">
        <v>0.46965000000000001</v>
      </c>
      <c r="AM5518" s="17">
        <f t="shared" si="200"/>
        <v>0.93930000000000002</v>
      </c>
      <c r="AN5518" s="14" t="s">
        <v>11722</v>
      </c>
      <c r="AO5518" s="12" t="s">
        <v>11723</v>
      </c>
      <c r="AP5518" s="399"/>
      <c r="AQ5518" s="400"/>
      <c r="AR5518" s="399"/>
      <c r="AS5518" s="399"/>
      <c r="AT5518" s="399"/>
      <c r="AX5518" s="402"/>
    </row>
    <row r="5519" spans="1:50" s="12" customFormat="1" x14ac:dyDescent="0.3">
      <c r="A5519" s="386" t="s">
        <v>8325</v>
      </c>
      <c r="B5519" s="14" t="s">
        <v>8326</v>
      </c>
      <c r="C5519" s="14" t="s">
        <v>11714</v>
      </c>
      <c r="D5519" s="12" t="s">
        <v>6838</v>
      </c>
      <c r="E5519" s="14" t="s">
        <v>11715</v>
      </c>
      <c r="F5519" s="12" t="s">
        <v>11716</v>
      </c>
      <c r="G5519" s="14" t="s">
        <v>11912</v>
      </c>
      <c r="H5519" s="12" t="s">
        <v>11913</v>
      </c>
      <c r="K5519" s="14" t="s">
        <v>11946</v>
      </c>
      <c r="L5519" s="12" t="s">
        <v>11947</v>
      </c>
      <c r="M5519" s="408" t="s">
        <v>11956</v>
      </c>
      <c r="N5519" s="408"/>
      <c r="O5519" s="408">
        <v>1</v>
      </c>
      <c r="P5519" s="409">
        <v>1</v>
      </c>
      <c r="Q5519" s="409">
        <v>1</v>
      </c>
      <c r="R5519" s="409">
        <v>1</v>
      </c>
      <c r="S5519" s="409">
        <v>1</v>
      </c>
      <c r="T5519" s="14" t="s">
        <v>771</v>
      </c>
      <c r="U5519" t="s">
        <v>773</v>
      </c>
      <c r="V5519" s="408" t="s">
        <v>11957</v>
      </c>
      <c r="W5519" s="410"/>
      <c r="X5519" s="410"/>
      <c r="Y5519" s="410"/>
      <c r="Z5519" s="410"/>
      <c r="AA5519" s="410"/>
      <c r="AB5519" s="410"/>
      <c r="AC5519" s="150">
        <v>0</v>
      </c>
      <c r="AD5519" s="150">
        <v>0</v>
      </c>
      <c r="AE5519" s="49">
        <f t="shared" si="201"/>
        <v>0</v>
      </c>
      <c r="AF5519" s="397"/>
      <c r="AG5519" s="17">
        <v>0</v>
      </c>
      <c r="AH5519" s="397">
        <v>0</v>
      </c>
      <c r="AI5519" s="397">
        <v>0.1</v>
      </c>
      <c r="AJ5519" s="397">
        <v>0.1</v>
      </c>
      <c r="AK5519" s="398">
        <v>0</v>
      </c>
      <c r="AL5519" s="398">
        <v>0</v>
      </c>
      <c r="AM5519" s="17">
        <f t="shared" si="200"/>
        <v>0</v>
      </c>
      <c r="AN5519" s="14" t="s">
        <v>771</v>
      </c>
      <c r="AO5519" s="12" t="s">
        <v>773</v>
      </c>
      <c r="AP5519" s="405"/>
      <c r="AQ5519" s="400"/>
      <c r="AR5519" s="405"/>
      <c r="AS5519" s="405"/>
      <c r="AT5519" s="405"/>
      <c r="AX5519" s="402"/>
    </row>
    <row r="5520" spans="1:50" s="12" customFormat="1" x14ac:dyDescent="0.3">
      <c r="A5520" s="386" t="s">
        <v>8325</v>
      </c>
      <c r="B5520" s="14" t="s">
        <v>8326</v>
      </c>
      <c r="C5520" s="14" t="s">
        <v>11714</v>
      </c>
      <c r="D5520" s="12" t="s">
        <v>6838</v>
      </c>
      <c r="E5520" s="14" t="s">
        <v>11715</v>
      </c>
      <c r="F5520" s="12" t="s">
        <v>11716</v>
      </c>
      <c r="G5520" s="14" t="s">
        <v>11912</v>
      </c>
      <c r="H5520" s="12" t="s">
        <v>11913</v>
      </c>
      <c r="K5520" s="14" t="s">
        <v>11946</v>
      </c>
      <c r="L5520" s="12" t="s">
        <v>11947</v>
      </c>
      <c r="M5520" s="14" t="s">
        <v>11958</v>
      </c>
      <c r="N5520" s="14"/>
      <c r="O5520" s="14"/>
      <c r="Q5520" s="12">
        <v>1</v>
      </c>
      <c r="S5520" s="12">
        <v>1</v>
      </c>
      <c r="T5520" s="14" t="s">
        <v>5578</v>
      </c>
      <c r="U5520" t="s">
        <v>880</v>
      </c>
      <c r="V5520" s="14" t="s">
        <v>11959</v>
      </c>
      <c r="W5520" s="388"/>
      <c r="X5520" s="388"/>
      <c r="Y5520" s="388"/>
      <c r="Z5520" s="388"/>
      <c r="AA5520" s="388"/>
      <c r="AB5520" s="388"/>
      <c r="AC5520" s="150">
        <v>0</v>
      </c>
      <c r="AD5520" s="150">
        <v>0</v>
      </c>
      <c r="AE5520" s="49">
        <f t="shared" si="201"/>
        <v>0</v>
      </c>
      <c r="AF5520" s="397"/>
      <c r="AG5520" s="17">
        <v>0</v>
      </c>
      <c r="AH5520" s="397">
        <v>0</v>
      </c>
      <c r="AI5520" s="397">
        <v>0</v>
      </c>
      <c r="AJ5520" s="397">
        <v>0.1</v>
      </c>
      <c r="AK5520" s="398">
        <v>0</v>
      </c>
      <c r="AL5520" s="398">
        <v>0</v>
      </c>
      <c r="AM5520" s="17">
        <f t="shared" si="200"/>
        <v>0</v>
      </c>
      <c r="AN5520" s="14" t="s">
        <v>5578</v>
      </c>
      <c r="AO5520" s="12" t="s">
        <v>880</v>
      </c>
      <c r="AP5520" s="405"/>
      <c r="AQ5520" s="400"/>
      <c r="AR5520" s="405"/>
      <c r="AS5520" s="405"/>
      <c r="AT5520" s="405"/>
      <c r="AX5520" s="402"/>
    </row>
    <row r="5521" spans="1:50" s="12" customFormat="1" x14ac:dyDescent="0.3">
      <c r="A5521" s="386" t="s">
        <v>8325</v>
      </c>
      <c r="B5521" s="14" t="s">
        <v>8326</v>
      </c>
      <c r="C5521" s="14" t="s">
        <v>11714</v>
      </c>
      <c r="D5521" s="12" t="s">
        <v>6838</v>
      </c>
      <c r="E5521" s="14" t="s">
        <v>11715</v>
      </c>
      <c r="F5521" s="12" t="s">
        <v>11716</v>
      </c>
      <c r="G5521" s="14" t="s">
        <v>11912</v>
      </c>
      <c r="H5521" s="12" t="s">
        <v>11913</v>
      </c>
      <c r="K5521" s="14" t="s">
        <v>11946</v>
      </c>
      <c r="L5521" s="12" t="s">
        <v>11947</v>
      </c>
      <c r="M5521" s="14" t="s">
        <v>11960</v>
      </c>
      <c r="N5521" s="14"/>
      <c r="O5521" s="14"/>
      <c r="Q5521" s="12">
        <v>1</v>
      </c>
      <c r="S5521" s="12">
        <v>1</v>
      </c>
      <c r="T5521" s="14" t="s">
        <v>5578</v>
      </c>
      <c r="U5521" t="s">
        <v>880</v>
      </c>
      <c r="V5521" s="14" t="s">
        <v>11961</v>
      </c>
      <c r="W5521" s="388"/>
      <c r="X5521" s="388"/>
      <c r="Y5521" s="388"/>
      <c r="Z5521" s="388"/>
      <c r="AA5521" s="388"/>
      <c r="AB5521" s="388"/>
      <c r="AC5521" s="150">
        <v>0</v>
      </c>
      <c r="AD5521" s="150">
        <v>0</v>
      </c>
      <c r="AE5521" s="49">
        <f t="shared" si="201"/>
        <v>0</v>
      </c>
      <c r="AF5521" s="397"/>
      <c r="AG5521" s="17">
        <v>0</v>
      </c>
      <c r="AH5521" s="397">
        <v>0</v>
      </c>
      <c r="AI5521" s="397">
        <v>0</v>
      </c>
      <c r="AJ5521" s="397">
        <v>0.1</v>
      </c>
      <c r="AK5521" s="398">
        <v>0</v>
      </c>
      <c r="AL5521" s="398">
        <v>0</v>
      </c>
      <c r="AM5521" s="17">
        <f t="shared" si="200"/>
        <v>0</v>
      </c>
      <c r="AN5521" s="14" t="s">
        <v>5578</v>
      </c>
      <c r="AO5521" s="12" t="s">
        <v>880</v>
      </c>
      <c r="AP5521" s="405"/>
      <c r="AQ5521" s="400"/>
      <c r="AR5521" s="405"/>
      <c r="AS5521" s="405"/>
      <c r="AT5521" s="405"/>
      <c r="AX5521" s="402"/>
    </row>
    <row r="5522" spans="1:50" s="14" customFormat="1" x14ac:dyDescent="0.3">
      <c r="A5522" s="386" t="s">
        <v>8325</v>
      </c>
      <c r="B5522" s="14" t="s">
        <v>8326</v>
      </c>
      <c r="C5522" s="14" t="s">
        <v>11714</v>
      </c>
      <c r="D5522" s="14" t="s">
        <v>6838</v>
      </c>
      <c r="E5522" s="14" t="s">
        <v>11715</v>
      </c>
      <c r="F5522" s="12" t="s">
        <v>11716</v>
      </c>
      <c r="G5522" s="14" t="s">
        <v>11962</v>
      </c>
      <c r="H5522" s="14" t="s">
        <v>11963</v>
      </c>
      <c r="K5522" s="14" t="s">
        <v>11964</v>
      </c>
      <c r="L5522" s="14" t="s">
        <v>11965</v>
      </c>
      <c r="M5522" s="14" t="s">
        <v>11966</v>
      </c>
      <c r="O5522" s="14">
        <v>1200</v>
      </c>
      <c r="P5522" s="12">
        <v>1200</v>
      </c>
      <c r="Q5522" s="12">
        <v>1200</v>
      </c>
      <c r="R5522" s="12">
        <v>1200</v>
      </c>
      <c r="S5522" s="12">
        <v>1200</v>
      </c>
      <c r="T5522" s="14" t="s">
        <v>11722</v>
      </c>
      <c r="U5522" t="s">
        <v>11723</v>
      </c>
      <c r="V5522" s="14" t="s">
        <v>11967</v>
      </c>
      <c r="W5522" s="388">
        <v>1</v>
      </c>
      <c r="X5522" s="388">
        <v>0</v>
      </c>
      <c r="Y5522" s="388">
        <v>0</v>
      </c>
      <c r="Z5522" s="388">
        <v>1</v>
      </c>
      <c r="AA5522" s="388">
        <v>1</v>
      </c>
      <c r="AB5522" s="388">
        <v>0</v>
      </c>
      <c r="AC5522" s="150">
        <v>0</v>
      </c>
      <c r="AD5522" s="150">
        <v>1</v>
      </c>
      <c r="AE5522" s="49">
        <f t="shared" si="201"/>
        <v>0.5</v>
      </c>
      <c r="AF5522" s="397"/>
      <c r="AG5522" s="17">
        <v>0</v>
      </c>
      <c r="AH5522" s="397">
        <v>0.06</v>
      </c>
      <c r="AI5522" s="397">
        <v>0.06</v>
      </c>
      <c r="AJ5522" s="397">
        <v>0.06</v>
      </c>
      <c r="AK5522" s="398">
        <v>0.26335999999999998</v>
      </c>
      <c r="AL5522" s="398">
        <v>0.26335999999999998</v>
      </c>
      <c r="AM5522" s="17">
        <f t="shared" si="200"/>
        <v>0.52671999999999997</v>
      </c>
      <c r="AN5522" s="14" t="s">
        <v>11722</v>
      </c>
      <c r="AO5522" s="12" t="s">
        <v>11723</v>
      </c>
      <c r="AP5522" s="399"/>
      <c r="AQ5522" s="400"/>
      <c r="AR5522" s="399"/>
      <c r="AS5522" s="399"/>
      <c r="AT5522" s="399"/>
      <c r="AX5522" s="400"/>
    </row>
    <row r="5523" spans="1:50" s="14" customFormat="1" x14ac:dyDescent="0.3">
      <c r="A5523" s="386" t="s">
        <v>8325</v>
      </c>
      <c r="B5523" s="14" t="s">
        <v>8326</v>
      </c>
      <c r="C5523" s="14" t="s">
        <v>11714</v>
      </c>
      <c r="D5523" s="14" t="s">
        <v>6838</v>
      </c>
      <c r="E5523" s="14" t="s">
        <v>11715</v>
      </c>
      <c r="F5523" s="12" t="s">
        <v>11716</v>
      </c>
      <c r="G5523" s="14" t="s">
        <v>11968</v>
      </c>
      <c r="H5523" s="12" t="s">
        <v>11969</v>
      </c>
      <c r="K5523" s="14" t="s">
        <v>11970</v>
      </c>
      <c r="L5523" s="14" t="s">
        <v>11971</v>
      </c>
      <c r="M5523" s="14" t="s">
        <v>11972</v>
      </c>
      <c r="N5523" s="400">
        <v>0</v>
      </c>
      <c r="O5523" s="400">
        <v>0</v>
      </c>
      <c r="P5523" s="402">
        <v>100</v>
      </c>
      <c r="Q5523" s="402">
        <v>100</v>
      </c>
      <c r="R5523" s="402">
        <v>20</v>
      </c>
      <c r="S5523" s="402">
        <v>20</v>
      </c>
      <c r="T5523" s="14" t="s">
        <v>11722</v>
      </c>
      <c r="U5523" t="s">
        <v>11723</v>
      </c>
      <c r="V5523" s="14" t="s">
        <v>11973</v>
      </c>
      <c r="W5523" s="388">
        <v>1</v>
      </c>
      <c r="X5523" s="388">
        <v>0</v>
      </c>
      <c r="Y5523" s="388">
        <v>0</v>
      </c>
      <c r="Z5523" s="388">
        <v>1</v>
      </c>
      <c r="AA5523" s="388">
        <v>0</v>
      </c>
      <c r="AB5523" s="388">
        <v>0</v>
      </c>
      <c r="AC5523" s="150">
        <v>0</v>
      </c>
      <c r="AD5523" s="150">
        <v>1</v>
      </c>
      <c r="AE5523" s="49">
        <f t="shared" si="201"/>
        <v>0.375</v>
      </c>
      <c r="AF5523" s="397"/>
      <c r="AG5523" s="17">
        <v>0</v>
      </c>
      <c r="AH5523" s="397">
        <v>0</v>
      </c>
      <c r="AI5523" s="397">
        <v>0.05</v>
      </c>
      <c r="AJ5523" s="397">
        <v>5.2499999999999998E-2</v>
      </c>
      <c r="AK5523" s="398">
        <v>0</v>
      </c>
      <c r="AL5523" s="398">
        <v>0</v>
      </c>
      <c r="AM5523" s="17">
        <f t="shared" si="200"/>
        <v>0</v>
      </c>
      <c r="AN5523" s="14" t="s">
        <v>11722</v>
      </c>
      <c r="AO5523" s="12" t="s">
        <v>11723</v>
      </c>
      <c r="AP5523" s="399"/>
      <c r="AQ5523" s="400"/>
      <c r="AR5523" s="399"/>
      <c r="AS5523" s="399"/>
      <c r="AT5523" s="399"/>
      <c r="AX5523" s="400"/>
    </row>
    <row r="5524" spans="1:50" s="14" customFormat="1" x14ac:dyDescent="0.3">
      <c r="A5524" s="386" t="s">
        <v>8325</v>
      </c>
      <c r="B5524" s="14" t="s">
        <v>8326</v>
      </c>
      <c r="C5524" s="14" t="s">
        <v>11714</v>
      </c>
      <c r="D5524" s="14" t="s">
        <v>6838</v>
      </c>
      <c r="E5524" s="14" t="s">
        <v>11715</v>
      </c>
      <c r="F5524" s="12" t="s">
        <v>11716</v>
      </c>
      <c r="G5524" s="14" t="s">
        <v>11968</v>
      </c>
      <c r="H5524" s="12" t="s">
        <v>11969</v>
      </c>
      <c r="K5524" s="14" t="s">
        <v>11974</v>
      </c>
      <c r="L5524" s="12" t="s">
        <v>11975</v>
      </c>
      <c r="M5524" s="14" t="s">
        <v>11976</v>
      </c>
      <c r="N5524" s="400">
        <v>0</v>
      </c>
      <c r="O5524" s="400">
        <v>0</v>
      </c>
      <c r="P5524" s="402">
        <v>20</v>
      </c>
      <c r="Q5524" s="402">
        <v>20</v>
      </c>
      <c r="R5524" s="402">
        <v>0</v>
      </c>
      <c r="S5524" s="402">
        <v>5</v>
      </c>
      <c r="T5524" s="14" t="s">
        <v>11722</v>
      </c>
      <c r="U5524" t="s">
        <v>11723</v>
      </c>
      <c r="V5524" s="14" t="s">
        <v>11977</v>
      </c>
      <c r="W5524" s="388">
        <v>1</v>
      </c>
      <c r="X5524" s="388">
        <v>0</v>
      </c>
      <c r="Y5524" s="388">
        <v>0</v>
      </c>
      <c r="Z5524" s="388">
        <v>1</v>
      </c>
      <c r="AA5524" s="388">
        <v>0</v>
      </c>
      <c r="AB5524" s="388">
        <v>0</v>
      </c>
      <c r="AC5524" s="150">
        <v>0</v>
      </c>
      <c r="AD5524" s="150">
        <v>1</v>
      </c>
      <c r="AE5524" s="49">
        <f t="shared" si="201"/>
        <v>0.375</v>
      </c>
      <c r="AF5524" s="397"/>
      <c r="AG5524" s="17">
        <v>0</v>
      </c>
      <c r="AH5524" s="397">
        <v>0</v>
      </c>
      <c r="AI5524" s="397">
        <v>0.28999999999999998</v>
      </c>
      <c r="AJ5524" s="397">
        <v>0.30449999999999999</v>
      </c>
      <c r="AK5524" s="398">
        <v>0</v>
      </c>
      <c r="AL5524" s="398">
        <v>0</v>
      </c>
      <c r="AM5524" s="17">
        <f t="shared" si="200"/>
        <v>0</v>
      </c>
      <c r="AN5524" s="14" t="s">
        <v>11722</v>
      </c>
      <c r="AO5524" s="12" t="s">
        <v>11723</v>
      </c>
      <c r="AP5524" s="399"/>
      <c r="AQ5524" s="400"/>
      <c r="AR5524" s="399"/>
      <c r="AS5524" s="399"/>
      <c r="AT5524" s="399"/>
      <c r="AX5524" s="400"/>
    </row>
    <row r="5525" spans="1:50" s="14" customFormat="1" x14ac:dyDescent="0.3">
      <c r="A5525" s="386" t="s">
        <v>8325</v>
      </c>
      <c r="B5525" s="14" t="s">
        <v>8326</v>
      </c>
      <c r="C5525" s="14" t="s">
        <v>11714</v>
      </c>
      <c r="D5525" s="14" t="s">
        <v>6838</v>
      </c>
      <c r="E5525" s="14" t="s">
        <v>11715</v>
      </c>
      <c r="F5525" s="12" t="s">
        <v>11716</v>
      </c>
      <c r="G5525" s="14" t="s">
        <v>11968</v>
      </c>
      <c r="H5525" s="12" t="s">
        <v>11969</v>
      </c>
      <c r="K5525" s="14" t="s">
        <v>11974</v>
      </c>
      <c r="L5525" s="12" t="s">
        <v>11975</v>
      </c>
      <c r="M5525" s="14" t="s">
        <v>11978</v>
      </c>
      <c r="N5525" s="400">
        <v>0</v>
      </c>
      <c r="O5525" s="400">
        <v>1</v>
      </c>
      <c r="P5525" s="403">
        <v>0</v>
      </c>
      <c r="Q5525" s="403">
        <v>1</v>
      </c>
      <c r="R5525" s="403">
        <v>0</v>
      </c>
      <c r="S5525" s="403">
        <v>0</v>
      </c>
      <c r="T5525" s="14" t="s">
        <v>1588</v>
      </c>
      <c r="U5525" t="s">
        <v>1590</v>
      </c>
      <c r="V5525" s="14" t="s">
        <v>11979</v>
      </c>
      <c r="W5525" s="388"/>
      <c r="X5525" s="388"/>
      <c r="Y5525" s="388"/>
      <c r="Z5525" s="388"/>
      <c r="AA5525" s="388"/>
      <c r="AB5525" s="388"/>
      <c r="AC5525" s="150">
        <v>0</v>
      </c>
      <c r="AD5525" s="150">
        <v>0</v>
      </c>
      <c r="AE5525" s="49">
        <f t="shared" si="201"/>
        <v>0</v>
      </c>
      <c r="AF5525" s="397"/>
      <c r="AG5525" s="17">
        <v>0</v>
      </c>
      <c r="AH5525" s="397">
        <v>0.1</v>
      </c>
      <c r="AI5525" s="397">
        <v>0.06</v>
      </c>
      <c r="AJ5525" s="397">
        <v>0.06</v>
      </c>
      <c r="AK5525" s="398">
        <v>0.06</v>
      </c>
      <c r="AL5525" s="398">
        <v>0.06</v>
      </c>
      <c r="AM5525" s="17">
        <f t="shared" si="200"/>
        <v>0.12</v>
      </c>
      <c r="AN5525" s="14" t="s">
        <v>1588</v>
      </c>
      <c r="AO5525" s="12" t="s">
        <v>1590</v>
      </c>
      <c r="AP5525" s="399"/>
      <c r="AQ5525" s="400"/>
      <c r="AR5525" s="399"/>
      <c r="AS5525" s="399"/>
      <c r="AT5525" s="399"/>
      <c r="AX5525" s="400"/>
    </row>
    <row r="5526" spans="1:50" s="14" customFormat="1" x14ac:dyDescent="0.3">
      <c r="A5526" s="386" t="s">
        <v>8325</v>
      </c>
      <c r="B5526" s="14" t="s">
        <v>8326</v>
      </c>
      <c r="C5526" s="14" t="s">
        <v>11807</v>
      </c>
      <c r="D5526" s="14" t="s">
        <v>11808</v>
      </c>
      <c r="E5526" s="14" t="s">
        <v>11809</v>
      </c>
      <c r="F5526" s="12" t="s">
        <v>11716</v>
      </c>
      <c r="G5526" s="14" t="s">
        <v>11980</v>
      </c>
      <c r="H5526" s="12" t="s">
        <v>11969</v>
      </c>
      <c r="K5526" s="14" t="s">
        <v>11981</v>
      </c>
      <c r="L5526" s="12" t="s">
        <v>11982</v>
      </c>
      <c r="M5526" s="14" t="s">
        <v>11983</v>
      </c>
      <c r="N5526" s="400">
        <v>0</v>
      </c>
      <c r="O5526" s="400">
        <v>0</v>
      </c>
      <c r="P5526" s="402">
        <v>24</v>
      </c>
      <c r="Q5526" s="402">
        <v>24</v>
      </c>
      <c r="R5526" s="402">
        <v>4</v>
      </c>
      <c r="S5526" s="402">
        <v>4</v>
      </c>
      <c r="T5526" s="14" t="s">
        <v>11722</v>
      </c>
      <c r="U5526" t="s">
        <v>11723</v>
      </c>
      <c r="V5526" s="14" t="s">
        <v>11984</v>
      </c>
      <c r="W5526" s="388">
        <v>1</v>
      </c>
      <c r="X5526" s="388">
        <v>1</v>
      </c>
      <c r="Y5526" s="388">
        <v>0</v>
      </c>
      <c r="Z5526" s="388">
        <v>1</v>
      </c>
      <c r="AA5526" s="388">
        <v>1</v>
      </c>
      <c r="AB5526" s="388">
        <v>0</v>
      </c>
      <c r="AC5526" s="150">
        <v>0</v>
      </c>
      <c r="AD5526" s="150">
        <v>1</v>
      </c>
      <c r="AE5526" s="49">
        <f t="shared" si="201"/>
        <v>0.625</v>
      </c>
      <c r="AF5526" s="397"/>
      <c r="AG5526" s="17">
        <v>0</v>
      </c>
      <c r="AH5526" s="397">
        <v>0</v>
      </c>
      <c r="AI5526" s="397">
        <v>0.51839999999999997</v>
      </c>
      <c r="AJ5526" s="397">
        <v>0.54432000000000003</v>
      </c>
      <c r="AK5526" s="398">
        <v>1.5384</v>
      </c>
      <c r="AL5526" s="398">
        <v>1.5384</v>
      </c>
      <c r="AM5526" s="17">
        <f t="shared" si="200"/>
        <v>3.0768</v>
      </c>
      <c r="AN5526" s="14" t="s">
        <v>11722</v>
      </c>
      <c r="AO5526" s="12" t="s">
        <v>11723</v>
      </c>
      <c r="AP5526" s="399"/>
      <c r="AQ5526" s="399"/>
      <c r="AR5526" s="399"/>
      <c r="AS5526" s="399"/>
      <c r="AT5526" s="399"/>
      <c r="AX5526" s="400"/>
    </row>
    <row r="5527" spans="1:50" s="14" customFormat="1" x14ac:dyDescent="0.3">
      <c r="A5527" s="386" t="s">
        <v>8325</v>
      </c>
      <c r="B5527" s="14" t="s">
        <v>8326</v>
      </c>
      <c r="C5527" s="14" t="s">
        <v>11807</v>
      </c>
      <c r="D5527" s="14" t="s">
        <v>11808</v>
      </c>
      <c r="E5527" s="14" t="s">
        <v>11809</v>
      </c>
      <c r="F5527" s="12" t="s">
        <v>11716</v>
      </c>
      <c r="G5527" s="14" t="s">
        <v>11980</v>
      </c>
      <c r="H5527" s="12" t="s">
        <v>11969</v>
      </c>
      <c r="K5527" s="14" t="s">
        <v>11981</v>
      </c>
      <c r="L5527" s="12" t="s">
        <v>11982</v>
      </c>
      <c r="M5527" s="469" t="s">
        <v>11985</v>
      </c>
      <c r="N5527" s="470">
        <v>0</v>
      </c>
      <c r="O5527" s="470">
        <v>0</v>
      </c>
      <c r="P5527" s="468">
        <v>0</v>
      </c>
      <c r="Q5527" s="468">
        <v>0</v>
      </c>
      <c r="R5527" s="468">
        <v>0</v>
      </c>
      <c r="S5527" s="468">
        <v>10000</v>
      </c>
      <c r="T5527" s="14" t="s">
        <v>1588</v>
      </c>
      <c r="U5527" t="s">
        <v>1590</v>
      </c>
      <c r="V5527" s="14" t="s">
        <v>11986</v>
      </c>
      <c r="W5527" s="388"/>
      <c r="X5527" s="388"/>
      <c r="Y5527" s="388"/>
      <c r="Z5527" s="388"/>
      <c r="AA5527" s="388"/>
      <c r="AB5527" s="388"/>
      <c r="AC5527" s="150">
        <v>0</v>
      </c>
      <c r="AD5527" s="150">
        <v>0</v>
      </c>
      <c r="AE5527" s="49">
        <f t="shared" si="201"/>
        <v>0</v>
      </c>
      <c r="AF5527" s="397"/>
      <c r="AG5527" s="17">
        <v>0</v>
      </c>
      <c r="AH5527" s="397">
        <v>0</v>
      </c>
      <c r="AI5527" s="397">
        <v>0</v>
      </c>
      <c r="AJ5527" s="397">
        <v>0</v>
      </c>
      <c r="AK5527" s="398">
        <v>0</v>
      </c>
      <c r="AL5527" s="398">
        <v>0</v>
      </c>
      <c r="AM5527" s="17">
        <f t="shared" si="200"/>
        <v>0</v>
      </c>
      <c r="AN5527" s="14" t="s">
        <v>1588</v>
      </c>
      <c r="AO5527" s="12" t="s">
        <v>1590</v>
      </c>
      <c r="AP5527" s="399"/>
      <c r="AQ5527" s="399"/>
      <c r="AR5527" s="399"/>
      <c r="AS5527" s="399"/>
      <c r="AT5527" s="399"/>
      <c r="AX5527" s="400"/>
    </row>
    <row r="5528" spans="1:50" s="14" customFormat="1" x14ac:dyDescent="0.3">
      <c r="A5528" s="386" t="s">
        <v>8325</v>
      </c>
      <c r="B5528" s="14" t="s">
        <v>8326</v>
      </c>
      <c r="C5528" s="14" t="s">
        <v>11807</v>
      </c>
      <c r="D5528" s="14" t="s">
        <v>11808</v>
      </c>
      <c r="E5528" s="14" t="s">
        <v>11809</v>
      </c>
      <c r="F5528" s="12" t="s">
        <v>11716</v>
      </c>
      <c r="G5528" s="14" t="s">
        <v>11980</v>
      </c>
      <c r="H5528" s="12" t="s">
        <v>11969</v>
      </c>
      <c r="K5528" s="14" t="s">
        <v>11981</v>
      </c>
      <c r="L5528" s="12" t="s">
        <v>11982</v>
      </c>
      <c r="M5528" s="469"/>
      <c r="N5528" s="470"/>
      <c r="O5528" s="470"/>
      <c r="P5528" s="468"/>
      <c r="Q5528" s="468"/>
      <c r="R5528" s="468"/>
      <c r="S5528" s="468"/>
      <c r="T5528" s="14" t="s">
        <v>1588</v>
      </c>
      <c r="U5528" t="s">
        <v>1590</v>
      </c>
      <c r="V5528" s="14" t="s">
        <v>11987</v>
      </c>
      <c r="W5528" s="388"/>
      <c r="X5528" s="388"/>
      <c r="Y5528" s="388"/>
      <c r="Z5528" s="388"/>
      <c r="AA5528" s="388"/>
      <c r="AB5528" s="388"/>
      <c r="AC5528" s="150">
        <v>0</v>
      </c>
      <c r="AD5528" s="150">
        <v>0</v>
      </c>
      <c r="AE5528" s="49">
        <f t="shared" si="201"/>
        <v>0</v>
      </c>
      <c r="AF5528" s="397"/>
      <c r="AG5528" s="17">
        <v>0</v>
      </c>
      <c r="AH5528" s="397">
        <v>0</v>
      </c>
      <c r="AI5528" s="397">
        <v>0</v>
      </c>
      <c r="AJ5528" s="397">
        <v>0</v>
      </c>
      <c r="AK5528" s="398">
        <v>0</v>
      </c>
      <c r="AL5528" s="398">
        <v>0</v>
      </c>
      <c r="AM5528" s="17">
        <f t="shared" si="200"/>
        <v>0</v>
      </c>
      <c r="AN5528" s="14" t="s">
        <v>1588</v>
      </c>
      <c r="AO5528" s="12" t="s">
        <v>1590</v>
      </c>
      <c r="AP5528" s="399"/>
      <c r="AQ5528" s="399"/>
      <c r="AR5528" s="399"/>
      <c r="AS5528" s="399"/>
      <c r="AT5528" s="399"/>
      <c r="AX5528" s="400"/>
    </row>
    <row r="5529" spans="1:50" s="14" customFormat="1" x14ac:dyDescent="0.3">
      <c r="A5529" s="386" t="s">
        <v>8325</v>
      </c>
      <c r="B5529" s="14" t="s">
        <v>8326</v>
      </c>
      <c r="C5529" s="14" t="s">
        <v>11807</v>
      </c>
      <c r="D5529" s="14" t="s">
        <v>11808</v>
      </c>
      <c r="E5529" s="14" t="s">
        <v>11809</v>
      </c>
      <c r="F5529" s="12" t="s">
        <v>11716</v>
      </c>
      <c r="G5529" s="14" t="s">
        <v>11980</v>
      </c>
      <c r="H5529" s="12" t="s">
        <v>11969</v>
      </c>
      <c r="K5529" s="14" t="s">
        <v>11981</v>
      </c>
      <c r="L5529" s="12" t="s">
        <v>11982</v>
      </c>
      <c r="M5529" s="469"/>
      <c r="N5529" s="470"/>
      <c r="O5529" s="470"/>
      <c r="P5529" s="468"/>
      <c r="Q5529" s="468"/>
      <c r="R5529" s="468"/>
      <c r="S5529" s="468"/>
      <c r="T5529" s="14" t="s">
        <v>1588</v>
      </c>
      <c r="U5529" t="s">
        <v>1590</v>
      </c>
      <c r="V5529" s="14" t="s">
        <v>11988</v>
      </c>
      <c r="W5529" s="388"/>
      <c r="X5529" s="388"/>
      <c r="Y5529" s="388"/>
      <c r="Z5529" s="388"/>
      <c r="AA5529" s="388"/>
      <c r="AB5529" s="388"/>
      <c r="AC5529" s="150">
        <v>0</v>
      </c>
      <c r="AD5529" s="150">
        <v>0</v>
      </c>
      <c r="AE5529" s="49">
        <f t="shared" si="201"/>
        <v>0</v>
      </c>
      <c r="AF5529" s="397"/>
      <c r="AG5529" s="17">
        <v>0</v>
      </c>
      <c r="AH5529" s="397">
        <v>0</v>
      </c>
      <c r="AI5529" s="397">
        <v>0</v>
      </c>
      <c r="AJ5529" s="397">
        <v>0</v>
      </c>
      <c r="AK5529" s="398">
        <v>0</v>
      </c>
      <c r="AL5529" s="398">
        <v>0</v>
      </c>
      <c r="AM5529" s="17">
        <f t="shared" si="200"/>
        <v>0</v>
      </c>
      <c r="AN5529" s="14" t="s">
        <v>1588</v>
      </c>
      <c r="AO5529" s="12" t="s">
        <v>1590</v>
      </c>
      <c r="AP5529" s="399"/>
      <c r="AQ5529" s="399"/>
      <c r="AR5529" s="399"/>
      <c r="AS5529" s="399"/>
      <c r="AT5529" s="399"/>
      <c r="AX5529" s="400"/>
    </row>
    <row r="5530" spans="1:50" s="14" customFormat="1" x14ac:dyDescent="0.3">
      <c r="A5530" s="386" t="s">
        <v>8325</v>
      </c>
      <c r="B5530" s="14" t="s">
        <v>8326</v>
      </c>
      <c r="C5530" s="14" t="s">
        <v>11714</v>
      </c>
      <c r="D5530" s="14" t="s">
        <v>6838</v>
      </c>
      <c r="E5530" s="14" t="s">
        <v>11989</v>
      </c>
      <c r="F5530" s="12" t="s">
        <v>11990</v>
      </c>
      <c r="G5530" s="14" t="s">
        <v>11991</v>
      </c>
      <c r="H5530" s="12" t="s">
        <v>11992</v>
      </c>
      <c r="K5530" s="14" t="s">
        <v>11993</v>
      </c>
      <c r="L5530" s="12" t="s">
        <v>11994</v>
      </c>
      <c r="M5530" s="14" t="s">
        <v>11995</v>
      </c>
      <c r="P5530" s="12"/>
      <c r="Q5530" s="12">
        <v>1</v>
      </c>
      <c r="R5530" s="12"/>
      <c r="S5530" s="12"/>
      <c r="T5530" s="14" t="s">
        <v>11722</v>
      </c>
      <c r="U5530" t="s">
        <v>11723</v>
      </c>
      <c r="V5530" s="14" t="s">
        <v>11996</v>
      </c>
      <c r="W5530" s="388">
        <v>1</v>
      </c>
      <c r="X5530" s="388">
        <v>0</v>
      </c>
      <c r="Y5530" s="388">
        <v>0</v>
      </c>
      <c r="Z5530" s="388">
        <v>1</v>
      </c>
      <c r="AA5530" s="388">
        <v>0</v>
      </c>
      <c r="AB5530" s="388">
        <v>0</v>
      </c>
      <c r="AC5530" s="150">
        <v>1</v>
      </c>
      <c r="AD5530" s="150">
        <v>1</v>
      </c>
      <c r="AE5530" s="49">
        <f t="shared" si="201"/>
        <v>0.5</v>
      </c>
      <c r="AF5530" s="397"/>
      <c r="AG5530" s="17">
        <v>0</v>
      </c>
      <c r="AH5530" s="397">
        <v>0</v>
      </c>
      <c r="AI5530" s="397">
        <v>0</v>
      </c>
      <c r="AJ5530" s="397">
        <v>7.4444999999999997E-2</v>
      </c>
      <c r="AK5530" s="398">
        <v>0</v>
      </c>
      <c r="AL5530" s="398">
        <v>0</v>
      </c>
      <c r="AM5530" s="17">
        <f t="shared" si="200"/>
        <v>0</v>
      </c>
      <c r="AN5530" s="14" t="s">
        <v>11722</v>
      </c>
      <c r="AO5530" s="12" t="s">
        <v>11723</v>
      </c>
      <c r="AP5530" s="399"/>
      <c r="AQ5530" s="400"/>
      <c r="AR5530" s="399"/>
      <c r="AS5530" s="399"/>
      <c r="AT5530" s="399"/>
      <c r="AX5530" s="400"/>
    </row>
    <row r="5531" spans="1:50" s="14" customFormat="1" x14ac:dyDescent="0.3">
      <c r="A5531" s="386" t="s">
        <v>8325</v>
      </c>
      <c r="B5531" s="14" t="s">
        <v>8326</v>
      </c>
      <c r="C5531" s="14" t="s">
        <v>11714</v>
      </c>
      <c r="D5531" s="14" t="s">
        <v>6838</v>
      </c>
      <c r="E5531" s="14" t="s">
        <v>11989</v>
      </c>
      <c r="F5531" s="12" t="s">
        <v>11990</v>
      </c>
      <c r="G5531" s="14" t="s">
        <v>11991</v>
      </c>
      <c r="H5531" s="12" t="s">
        <v>11992</v>
      </c>
      <c r="K5531" s="14" t="s">
        <v>11993</v>
      </c>
      <c r="L5531" s="12" t="s">
        <v>11994</v>
      </c>
      <c r="M5531" s="14" t="s">
        <v>11997</v>
      </c>
      <c r="P5531" s="12"/>
      <c r="Q5531" s="12">
        <v>1</v>
      </c>
      <c r="R5531" s="12"/>
      <c r="S5531" s="12"/>
      <c r="T5531" s="14" t="s">
        <v>11722</v>
      </c>
      <c r="U5531" t="s">
        <v>11723</v>
      </c>
      <c r="V5531" s="14" t="s">
        <v>11998</v>
      </c>
      <c r="W5531" s="388">
        <v>1</v>
      </c>
      <c r="X5531" s="388">
        <v>0</v>
      </c>
      <c r="Y5531" s="388">
        <v>0</v>
      </c>
      <c r="Z5531" s="388">
        <v>1</v>
      </c>
      <c r="AA5531" s="388">
        <v>0</v>
      </c>
      <c r="AB5531" s="388">
        <v>0</v>
      </c>
      <c r="AC5531" s="150">
        <v>1</v>
      </c>
      <c r="AD5531" s="150">
        <v>1</v>
      </c>
      <c r="AE5531" s="49">
        <f t="shared" si="201"/>
        <v>0.5</v>
      </c>
      <c r="AF5531" s="397"/>
      <c r="AG5531" s="17">
        <v>0</v>
      </c>
      <c r="AH5531" s="397">
        <v>0</v>
      </c>
      <c r="AI5531" s="397">
        <v>0</v>
      </c>
      <c r="AJ5531" s="397">
        <v>6.9195000000000007E-2</v>
      </c>
      <c r="AK5531" s="398">
        <v>0</v>
      </c>
      <c r="AL5531" s="398">
        <v>0</v>
      </c>
      <c r="AM5531" s="17">
        <f t="shared" si="200"/>
        <v>0</v>
      </c>
      <c r="AN5531" s="14" t="s">
        <v>11722</v>
      </c>
      <c r="AO5531" s="12" t="s">
        <v>11723</v>
      </c>
      <c r="AP5531" s="399"/>
      <c r="AQ5531" s="400"/>
      <c r="AR5531" s="399"/>
      <c r="AS5531" s="399"/>
      <c r="AT5531" s="399"/>
      <c r="AX5531" s="400"/>
    </row>
    <row r="5532" spans="1:50" s="14" customFormat="1" x14ac:dyDescent="0.3">
      <c r="A5532" s="386" t="s">
        <v>8325</v>
      </c>
      <c r="B5532" s="14" t="s">
        <v>8326</v>
      </c>
      <c r="C5532" s="14" t="s">
        <v>11714</v>
      </c>
      <c r="D5532" s="14" t="s">
        <v>6838</v>
      </c>
      <c r="E5532" s="14" t="s">
        <v>11989</v>
      </c>
      <c r="F5532" s="12" t="s">
        <v>11990</v>
      </c>
      <c r="G5532" s="14" t="s">
        <v>11991</v>
      </c>
      <c r="H5532" s="12" t="s">
        <v>11992</v>
      </c>
      <c r="K5532" s="14" t="s">
        <v>11993</v>
      </c>
      <c r="L5532" s="12" t="s">
        <v>11994</v>
      </c>
      <c r="M5532" s="14" t="s">
        <v>11999</v>
      </c>
      <c r="P5532" s="12"/>
      <c r="Q5532" s="12">
        <v>1</v>
      </c>
      <c r="R5532" s="12"/>
      <c r="S5532" s="12"/>
      <c r="T5532" s="14" t="s">
        <v>11722</v>
      </c>
      <c r="U5532" t="s">
        <v>11723</v>
      </c>
      <c r="V5532" s="14" t="s">
        <v>12000</v>
      </c>
      <c r="W5532" s="388">
        <v>1</v>
      </c>
      <c r="X5532" s="388">
        <v>0</v>
      </c>
      <c r="Y5532" s="388">
        <v>0</v>
      </c>
      <c r="Z5532" s="388">
        <v>1</v>
      </c>
      <c r="AA5532" s="388">
        <v>0</v>
      </c>
      <c r="AB5532" s="388">
        <v>0</v>
      </c>
      <c r="AC5532" s="150">
        <v>1</v>
      </c>
      <c r="AD5532" s="150">
        <v>1</v>
      </c>
      <c r="AE5532" s="49">
        <f t="shared" si="201"/>
        <v>0.5</v>
      </c>
      <c r="AF5532" s="397"/>
      <c r="AG5532" s="17">
        <v>0</v>
      </c>
      <c r="AH5532" s="397">
        <v>0</v>
      </c>
      <c r="AI5532" s="397">
        <v>0</v>
      </c>
      <c r="AJ5532" s="397">
        <v>0.102732</v>
      </c>
      <c r="AK5532" s="398">
        <v>0</v>
      </c>
      <c r="AL5532" s="398">
        <v>0</v>
      </c>
      <c r="AM5532" s="17">
        <f t="shared" si="200"/>
        <v>0</v>
      </c>
      <c r="AN5532" s="14" t="s">
        <v>11722</v>
      </c>
      <c r="AO5532" s="12" t="s">
        <v>11723</v>
      </c>
      <c r="AP5532" s="399"/>
      <c r="AQ5532" s="400"/>
      <c r="AR5532" s="399"/>
      <c r="AS5532" s="399"/>
      <c r="AT5532" s="399"/>
      <c r="AX5532" s="400"/>
    </row>
    <row r="5533" spans="1:50" s="14" customFormat="1" x14ac:dyDescent="0.3">
      <c r="A5533" s="386" t="s">
        <v>8325</v>
      </c>
      <c r="B5533" s="14" t="s">
        <v>8326</v>
      </c>
      <c r="C5533" s="14" t="s">
        <v>11714</v>
      </c>
      <c r="D5533" s="14" t="s">
        <v>6838</v>
      </c>
      <c r="E5533" s="14" t="s">
        <v>11989</v>
      </c>
      <c r="F5533" s="12" t="s">
        <v>11990</v>
      </c>
      <c r="G5533" s="14" t="s">
        <v>11991</v>
      </c>
      <c r="H5533" s="12" t="s">
        <v>11992</v>
      </c>
      <c r="K5533" s="14" t="s">
        <v>11993</v>
      </c>
      <c r="L5533" s="12" t="s">
        <v>11994</v>
      </c>
      <c r="M5533" s="14" t="s">
        <v>12001</v>
      </c>
      <c r="P5533" s="12"/>
      <c r="Q5533" s="12">
        <v>1</v>
      </c>
      <c r="R5533" s="12"/>
      <c r="S5533" s="12"/>
      <c r="T5533" s="14" t="s">
        <v>11722</v>
      </c>
      <c r="U5533" t="s">
        <v>11723</v>
      </c>
      <c r="V5533" s="14" t="s">
        <v>12002</v>
      </c>
      <c r="W5533" s="388">
        <v>1</v>
      </c>
      <c r="X5533" s="388">
        <v>0</v>
      </c>
      <c r="Y5533" s="388">
        <v>0</v>
      </c>
      <c r="Z5533" s="388">
        <v>1</v>
      </c>
      <c r="AA5533" s="388">
        <v>0</v>
      </c>
      <c r="AB5533" s="388">
        <v>0</v>
      </c>
      <c r="AC5533" s="150">
        <v>1</v>
      </c>
      <c r="AD5533" s="150">
        <v>1</v>
      </c>
      <c r="AE5533" s="49">
        <f t="shared" si="201"/>
        <v>0.5</v>
      </c>
      <c r="AF5533" s="397"/>
      <c r="AG5533" s="17">
        <v>0</v>
      </c>
      <c r="AH5533" s="397">
        <v>0</v>
      </c>
      <c r="AI5533" s="397">
        <v>0</v>
      </c>
      <c r="AJ5533" s="397">
        <v>0.19592999999999999</v>
      </c>
      <c r="AK5533" s="398">
        <v>0</v>
      </c>
      <c r="AL5533" s="398">
        <v>0</v>
      </c>
      <c r="AM5533" s="17">
        <f t="shared" si="200"/>
        <v>0</v>
      </c>
      <c r="AN5533" s="14" t="s">
        <v>11722</v>
      </c>
      <c r="AO5533" s="12" t="s">
        <v>11723</v>
      </c>
      <c r="AP5533" s="399"/>
      <c r="AQ5533" s="400"/>
      <c r="AR5533" s="399"/>
      <c r="AS5533" s="399"/>
      <c r="AT5533" s="399"/>
      <c r="AX5533" s="400"/>
    </row>
    <row r="5534" spans="1:50" s="14" customFormat="1" x14ac:dyDescent="0.3">
      <c r="A5534" s="386" t="s">
        <v>8325</v>
      </c>
      <c r="B5534" s="14" t="s">
        <v>8326</v>
      </c>
      <c r="C5534" s="14" t="s">
        <v>11714</v>
      </c>
      <c r="D5534" s="14" t="s">
        <v>6838</v>
      </c>
      <c r="E5534" s="14" t="s">
        <v>11989</v>
      </c>
      <c r="F5534" s="12" t="s">
        <v>11990</v>
      </c>
      <c r="G5534" s="14" t="s">
        <v>11991</v>
      </c>
      <c r="H5534" s="12" t="s">
        <v>11992</v>
      </c>
      <c r="K5534" s="14" t="s">
        <v>11993</v>
      </c>
      <c r="L5534" s="12" t="s">
        <v>11994</v>
      </c>
      <c r="M5534" s="14" t="s">
        <v>12003</v>
      </c>
      <c r="P5534" s="12">
        <v>10</v>
      </c>
      <c r="Q5534" s="12">
        <v>20</v>
      </c>
      <c r="R5534" s="12">
        <v>0</v>
      </c>
      <c r="S5534" s="12">
        <v>0</v>
      </c>
      <c r="T5534" s="14" t="s">
        <v>11722</v>
      </c>
      <c r="U5534" t="s">
        <v>11723</v>
      </c>
      <c r="V5534" s="14" t="s">
        <v>12004</v>
      </c>
      <c r="W5534" s="388">
        <v>1</v>
      </c>
      <c r="X5534" s="388">
        <v>0</v>
      </c>
      <c r="Y5534" s="388">
        <v>0</v>
      </c>
      <c r="Z5534" s="388">
        <v>1</v>
      </c>
      <c r="AA5534" s="388">
        <v>0</v>
      </c>
      <c r="AB5534" s="388">
        <v>0</v>
      </c>
      <c r="AC5534" s="150">
        <v>1</v>
      </c>
      <c r="AD5534" s="150">
        <v>1</v>
      </c>
      <c r="AE5534" s="49">
        <f t="shared" si="201"/>
        <v>0.5</v>
      </c>
      <c r="AF5534" s="397"/>
      <c r="AG5534" s="17">
        <v>0</v>
      </c>
      <c r="AH5534" s="397">
        <v>0</v>
      </c>
      <c r="AI5534" s="397">
        <v>0.5</v>
      </c>
      <c r="AJ5534" s="397">
        <v>1</v>
      </c>
      <c r="AK5534" s="398">
        <v>0</v>
      </c>
      <c r="AL5534" s="398">
        <v>0</v>
      </c>
      <c r="AM5534" s="17">
        <f t="shared" si="200"/>
        <v>0</v>
      </c>
      <c r="AN5534" s="14" t="s">
        <v>11722</v>
      </c>
      <c r="AO5534" s="12" t="s">
        <v>11723</v>
      </c>
      <c r="AP5534" s="399"/>
      <c r="AQ5534" s="400"/>
      <c r="AR5534" s="399"/>
      <c r="AS5534" s="399"/>
      <c r="AT5534" s="399"/>
      <c r="AX5534" s="400"/>
    </row>
    <row r="5535" spans="1:50" s="14" customFormat="1" x14ac:dyDescent="0.3">
      <c r="A5535" s="386" t="s">
        <v>8325</v>
      </c>
      <c r="B5535" s="14" t="s">
        <v>8326</v>
      </c>
      <c r="C5535" s="14" t="s">
        <v>11714</v>
      </c>
      <c r="D5535" s="14" t="s">
        <v>6838</v>
      </c>
      <c r="E5535" s="14" t="s">
        <v>11989</v>
      </c>
      <c r="F5535" s="12" t="s">
        <v>11990</v>
      </c>
      <c r="G5535" s="14" t="s">
        <v>11991</v>
      </c>
      <c r="H5535" s="12" t="s">
        <v>11992</v>
      </c>
      <c r="K5535" s="14" t="s">
        <v>11993</v>
      </c>
      <c r="L5535" s="12" t="s">
        <v>11994</v>
      </c>
      <c r="M5535" s="14" t="s">
        <v>12005</v>
      </c>
      <c r="P5535" s="12"/>
      <c r="Q5535" s="12"/>
      <c r="R5535" s="12">
        <v>0</v>
      </c>
      <c r="S5535" s="12">
        <v>0</v>
      </c>
      <c r="T5535" s="14" t="s">
        <v>11722</v>
      </c>
      <c r="U5535" t="s">
        <v>11723</v>
      </c>
      <c r="V5535" s="14" t="s">
        <v>12006</v>
      </c>
      <c r="W5535" s="388">
        <v>1</v>
      </c>
      <c r="X5535" s="388">
        <v>0</v>
      </c>
      <c r="Y5535" s="388">
        <v>0</v>
      </c>
      <c r="Z5535" s="388">
        <v>1</v>
      </c>
      <c r="AA5535" s="388">
        <v>0</v>
      </c>
      <c r="AB5535" s="388">
        <v>0</v>
      </c>
      <c r="AC5535" s="150">
        <v>1</v>
      </c>
      <c r="AD5535" s="150">
        <v>1</v>
      </c>
      <c r="AE5535" s="49">
        <f t="shared" si="201"/>
        <v>0.5</v>
      </c>
      <c r="AF5535" s="397"/>
      <c r="AG5535" s="17">
        <v>0</v>
      </c>
      <c r="AH5535" s="397">
        <v>0</v>
      </c>
      <c r="AI5535" s="397">
        <v>0</v>
      </c>
      <c r="AJ5535" s="397">
        <v>0</v>
      </c>
      <c r="AK5535" s="398">
        <v>0</v>
      </c>
      <c r="AL5535" s="398">
        <v>0</v>
      </c>
      <c r="AM5535" s="17">
        <f t="shared" si="200"/>
        <v>0</v>
      </c>
      <c r="AN5535" s="14" t="s">
        <v>11722</v>
      </c>
      <c r="AO5535" s="12" t="s">
        <v>11723</v>
      </c>
      <c r="AP5535" s="399"/>
      <c r="AQ5535" s="400"/>
      <c r="AR5535" s="399"/>
      <c r="AS5535" s="399"/>
      <c r="AT5535" s="399"/>
      <c r="AX5535" s="400"/>
    </row>
    <row r="5536" spans="1:50" s="14" customFormat="1" x14ac:dyDescent="0.3">
      <c r="A5536" s="386" t="s">
        <v>8325</v>
      </c>
      <c r="B5536" s="14" t="s">
        <v>8326</v>
      </c>
      <c r="C5536" s="14" t="s">
        <v>11714</v>
      </c>
      <c r="D5536" s="14" t="s">
        <v>6838</v>
      </c>
      <c r="E5536" s="14" t="s">
        <v>11989</v>
      </c>
      <c r="F5536" s="12" t="s">
        <v>11990</v>
      </c>
      <c r="G5536" s="14" t="s">
        <v>11991</v>
      </c>
      <c r="H5536" s="12" t="s">
        <v>11992</v>
      </c>
      <c r="K5536" s="14" t="s">
        <v>11993</v>
      </c>
      <c r="L5536" s="12" t="s">
        <v>11994</v>
      </c>
      <c r="M5536" s="14" t="s">
        <v>12007</v>
      </c>
      <c r="P5536" s="12">
        <v>1</v>
      </c>
      <c r="Q5536" s="12"/>
      <c r="R5536" s="12"/>
      <c r="S5536" s="12"/>
      <c r="T5536" s="14" t="s">
        <v>11722</v>
      </c>
      <c r="U5536" t="s">
        <v>11723</v>
      </c>
      <c r="V5536" s="14" t="s">
        <v>12008</v>
      </c>
      <c r="W5536" s="388">
        <v>1</v>
      </c>
      <c r="X5536" s="388">
        <v>0</v>
      </c>
      <c r="Y5536" s="388">
        <v>0</v>
      </c>
      <c r="Z5536" s="388">
        <v>1</v>
      </c>
      <c r="AA5536" s="388">
        <v>1</v>
      </c>
      <c r="AB5536" s="388">
        <v>0</v>
      </c>
      <c r="AC5536" s="150">
        <v>1</v>
      </c>
      <c r="AD5536" s="150">
        <v>1</v>
      </c>
      <c r="AE5536" s="49">
        <f t="shared" si="201"/>
        <v>0.625</v>
      </c>
      <c r="AF5536" s="397"/>
      <c r="AG5536" s="17">
        <v>0</v>
      </c>
      <c r="AH5536" s="397">
        <v>0</v>
      </c>
      <c r="AI5536" s="397">
        <v>3.7170000000000002E-2</v>
      </c>
      <c r="AJ5536" s="397">
        <v>0</v>
      </c>
      <c r="AK5536" s="398">
        <v>2.5000000000000001E-2</v>
      </c>
      <c r="AL5536" s="398">
        <v>2.5000000000000001E-2</v>
      </c>
      <c r="AM5536" s="17">
        <f t="shared" si="200"/>
        <v>0.05</v>
      </c>
      <c r="AN5536" s="14" t="s">
        <v>11722</v>
      </c>
      <c r="AO5536" s="12" t="s">
        <v>11723</v>
      </c>
      <c r="AP5536" s="399"/>
      <c r="AQ5536" s="400"/>
      <c r="AR5536" s="399"/>
      <c r="AS5536" s="399"/>
      <c r="AT5536" s="399"/>
      <c r="AX5536" s="400"/>
    </row>
    <row r="5537" spans="1:50" s="14" customFormat="1" x14ac:dyDescent="0.3">
      <c r="A5537" s="386" t="s">
        <v>8325</v>
      </c>
      <c r="B5537" s="14" t="s">
        <v>8326</v>
      </c>
      <c r="C5537" s="14" t="s">
        <v>11714</v>
      </c>
      <c r="D5537" s="14" t="s">
        <v>6838</v>
      </c>
      <c r="E5537" s="14" t="s">
        <v>11989</v>
      </c>
      <c r="F5537" s="12" t="s">
        <v>11990</v>
      </c>
      <c r="G5537" s="14" t="s">
        <v>11991</v>
      </c>
      <c r="H5537" s="12" t="s">
        <v>11992</v>
      </c>
      <c r="K5537" s="14" t="s">
        <v>11993</v>
      </c>
      <c r="L5537" s="12" t="s">
        <v>11994</v>
      </c>
      <c r="M5537" s="14" t="s">
        <v>12009</v>
      </c>
      <c r="O5537" s="14">
        <v>1</v>
      </c>
      <c r="P5537" s="12">
        <v>1</v>
      </c>
      <c r="Q5537" s="12">
        <v>1</v>
      </c>
      <c r="R5537" s="12">
        <v>0</v>
      </c>
      <c r="S5537" s="12">
        <v>0</v>
      </c>
      <c r="T5537" s="14" t="s">
        <v>11722</v>
      </c>
      <c r="U5537" t="s">
        <v>11723</v>
      </c>
      <c r="V5537" s="14" t="s">
        <v>12010</v>
      </c>
      <c r="W5537" s="388">
        <v>1</v>
      </c>
      <c r="X5537" s="388">
        <v>0</v>
      </c>
      <c r="Y5537" s="388">
        <v>0</v>
      </c>
      <c r="Z5537" s="388">
        <v>1</v>
      </c>
      <c r="AA5537" s="388">
        <v>0</v>
      </c>
      <c r="AB5537" s="388">
        <v>0</v>
      </c>
      <c r="AC5537" s="150">
        <v>1</v>
      </c>
      <c r="AD5537" s="150">
        <v>1</v>
      </c>
      <c r="AE5537" s="49">
        <f t="shared" si="201"/>
        <v>0.5</v>
      </c>
      <c r="AF5537" s="397"/>
      <c r="AG5537" s="17">
        <v>0</v>
      </c>
      <c r="AH5537" s="397">
        <v>0.67200000000000004</v>
      </c>
      <c r="AI5537" s="397">
        <v>0.67200000000000004</v>
      </c>
      <c r="AJ5537" s="397">
        <v>0.67200000000000004</v>
      </c>
      <c r="AK5537" s="398">
        <v>0</v>
      </c>
      <c r="AL5537" s="398">
        <v>0</v>
      </c>
      <c r="AM5537" s="17">
        <f t="shared" si="200"/>
        <v>0</v>
      </c>
      <c r="AN5537" s="14" t="s">
        <v>11722</v>
      </c>
      <c r="AO5537" s="12" t="s">
        <v>11723</v>
      </c>
      <c r="AP5537" s="399"/>
      <c r="AQ5537" s="400"/>
      <c r="AR5537" s="399"/>
      <c r="AS5537" s="399"/>
      <c r="AT5537" s="399"/>
      <c r="AX5537" s="400"/>
    </row>
    <row r="5538" spans="1:50" s="14" customFormat="1" x14ac:dyDescent="0.3">
      <c r="A5538" s="386" t="s">
        <v>8325</v>
      </c>
      <c r="B5538" s="14" t="s">
        <v>8326</v>
      </c>
      <c r="C5538" s="14" t="s">
        <v>11714</v>
      </c>
      <c r="D5538" s="14" t="s">
        <v>6838</v>
      </c>
      <c r="E5538" s="14" t="s">
        <v>11989</v>
      </c>
      <c r="F5538" s="12" t="s">
        <v>11990</v>
      </c>
      <c r="G5538" s="14" t="s">
        <v>11991</v>
      </c>
      <c r="H5538" s="12" t="s">
        <v>11992</v>
      </c>
      <c r="K5538" s="14" t="s">
        <v>11993</v>
      </c>
      <c r="L5538" s="12" t="s">
        <v>11994</v>
      </c>
      <c r="M5538" s="14" t="s">
        <v>12011</v>
      </c>
      <c r="O5538" s="14">
        <v>1</v>
      </c>
      <c r="P5538" s="12">
        <v>1</v>
      </c>
      <c r="Q5538" s="12">
        <v>1</v>
      </c>
      <c r="R5538" s="12">
        <v>1</v>
      </c>
      <c r="S5538" s="12">
        <v>1</v>
      </c>
      <c r="T5538" s="14" t="s">
        <v>11722</v>
      </c>
      <c r="U5538" t="s">
        <v>11723</v>
      </c>
      <c r="V5538" s="14" t="s">
        <v>12012</v>
      </c>
      <c r="W5538" s="388">
        <v>1</v>
      </c>
      <c r="X5538" s="388">
        <v>0</v>
      </c>
      <c r="Y5538" s="388">
        <v>0</v>
      </c>
      <c r="Z5538" s="388">
        <v>1</v>
      </c>
      <c r="AA5538" s="388">
        <v>1</v>
      </c>
      <c r="AB5538" s="388">
        <v>0</v>
      </c>
      <c r="AC5538" s="150">
        <v>1</v>
      </c>
      <c r="AD5538" s="150">
        <v>1</v>
      </c>
      <c r="AE5538" s="49">
        <f t="shared" si="201"/>
        <v>0.625</v>
      </c>
      <c r="AF5538" s="397"/>
      <c r="AG5538" s="17">
        <v>0</v>
      </c>
      <c r="AH5538" s="397">
        <v>7.1999999999999995E-2</v>
      </c>
      <c r="AI5538" s="397">
        <v>7.1999999999999995E-2</v>
      </c>
      <c r="AJ5538" s="397">
        <v>7.1999999999999995E-2</v>
      </c>
      <c r="AK5538" s="398">
        <v>3.5000000000000003E-2</v>
      </c>
      <c r="AL5538" s="398">
        <v>3.5000000000000003E-2</v>
      </c>
      <c r="AM5538" s="17">
        <f t="shared" si="200"/>
        <v>7.0000000000000007E-2</v>
      </c>
      <c r="AN5538" s="14" t="s">
        <v>11722</v>
      </c>
      <c r="AO5538" s="12" t="s">
        <v>11723</v>
      </c>
      <c r="AP5538" s="399"/>
      <c r="AQ5538" s="400"/>
      <c r="AR5538" s="399"/>
      <c r="AS5538" s="399"/>
      <c r="AT5538" s="399"/>
      <c r="AX5538" s="400"/>
    </row>
    <row r="5539" spans="1:50" s="14" customFormat="1" x14ac:dyDescent="0.3">
      <c r="A5539" s="386" t="s">
        <v>8325</v>
      </c>
      <c r="B5539" s="14" t="s">
        <v>8326</v>
      </c>
      <c r="C5539" s="14" t="s">
        <v>11714</v>
      </c>
      <c r="D5539" s="14" t="s">
        <v>6838</v>
      </c>
      <c r="E5539" s="14" t="s">
        <v>11989</v>
      </c>
      <c r="F5539" s="12" t="s">
        <v>11990</v>
      </c>
      <c r="G5539" s="14" t="s">
        <v>11991</v>
      </c>
      <c r="H5539" s="12" t="s">
        <v>11992</v>
      </c>
      <c r="K5539" s="14" t="s">
        <v>11993</v>
      </c>
      <c r="L5539" s="12" t="s">
        <v>11994</v>
      </c>
      <c r="M5539" s="14" t="s">
        <v>12013</v>
      </c>
      <c r="P5539" s="12">
        <v>8</v>
      </c>
      <c r="Q5539" s="12">
        <v>8</v>
      </c>
      <c r="R5539" s="12">
        <v>8</v>
      </c>
      <c r="S5539" s="12">
        <v>8</v>
      </c>
      <c r="T5539" s="14" t="s">
        <v>11722</v>
      </c>
      <c r="U5539" t="s">
        <v>11723</v>
      </c>
      <c r="V5539" s="14" t="s">
        <v>12014</v>
      </c>
      <c r="W5539" s="388">
        <v>1</v>
      </c>
      <c r="X5539" s="388">
        <v>0</v>
      </c>
      <c r="Y5539" s="388">
        <v>0</v>
      </c>
      <c r="Z5539" s="388">
        <v>1</v>
      </c>
      <c r="AA5539" s="388">
        <v>1</v>
      </c>
      <c r="AB5539" s="388">
        <v>0</v>
      </c>
      <c r="AC5539" s="150">
        <v>1</v>
      </c>
      <c r="AD5539" s="150">
        <v>1</v>
      </c>
      <c r="AE5539" s="49">
        <f t="shared" si="201"/>
        <v>0.625</v>
      </c>
      <c r="AF5539" s="397"/>
      <c r="AG5539" s="17">
        <v>0</v>
      </c>
      <c r="AH5539" s="397">
        <v>0.15876000000000001</v>
      </c>
      <c r="AI5539" s="397">
        <v>0.15876000000000001</v>
      </c>
      <c r="AJ5539" s="397">
        <v>0.15876000000000001</v>
      </c>
      <c r="AK5539" s="398">
        <v>2.4E-2</v>
      </c>
      <c r="AL5539" s="398">
        <v>0.24</v>
      </c>
      <c r="AM5539" s="17">
        <f t="shared" si="200"/>
        <v>0.26400000000000001</v>
      </c>
      <c r="AN5539" s="14" t="s">
        <v>11722</v>
      </c>
      <c r="AO5539" s="12" t="s">
        <v>11723</v>
      </c>
      <c r="AP5539" s="399"/>
      <c r="AQ5539" s="400"/>
      <c r="AR5539" s="399"/>
      <c r="AS5539" s="399"/>
      <c r="AT5539" s="399"/>
      <c r="AX5539" s="400"/>
    </row>
    <row r="5540" spans="1:50" s="14" customFormat="1" x14ac:dyDescent="0.3">
      <c r="A5540" s="386" t="s">
        <v>8325</v>
      </c>
      <c r="B5540" s="14" t="s">
        <v>8326</v>
      </c>
      <c r="C5540" s="14" t="s">
        <v>11714</v>
      </c>
      <c r="D5540" s="14" t="s">
        <v>6838</v>
      </c>
      <c r="E5540" s="14" t="s">
        <v>11989</v>
      </c>
      <c r="F5540" s="12" t="s">
        <v>11990</v>
      </c>
      <c r="G5540" s="14" t="s">
        <v>11991</v>
      </c>
      <c r="H5540" s="12" t="s">
        <v>11992</v>
      </c>
      <c r="K5540" s="14" t="s">
        <v>11993</v>
      </c>
      <c r="L5540" s="12" t="s">
        <v>11994</v>
      </c>
      <c r="M5540" s="14" t="s">
        <v>12015</v>
      </c>
      <c r="P5540" s="12">
        <v>450</v>
      </c>
      <c r="Q5540" s="12">
        <v>550</v>
      </c>
      <c r="R5540" s="12">
        <v>400</v>
      </c>
      <c r="S5540" s="12">
        <v>600</v>
      </c>
      <c r="T5540" s="14" t="s">
        <v>11722</v>
      </c>
      <c r="U5540" t="s">
        <v>11723</v>
      </c>
      <c r="V5540" s="14" t="s">
        <v>12016</v>
      </c>
      <c r="W5540" s="388">
        <v>1</v>
      </c>
      <c r="X5540" s="388">
        <v>0</v>
      </c>
      <c r="Y5540" s="388">
        <v>0</v>
      </c>
      <c r="Z5540" s="388">
        <v>1</v>
      </c>
      <c r="AA5540" s="388">
        <v>1</v>
      </c>
      <c r="AB5540" s="388">
        <v>0</v>
      </c>
      <c r="AC5540" s="150">
        <v>1</v>
      </c>
      <c r="AD5540" s="150">
        <v>1</v>
      </c>
      <c r="AE5540" s="49">
        <f t="shared" si="201"/>
        <v>0.625</v>
      </c>
      <c r="AF5540" s="397"/>
      <c r="AG5540" s="17">
        <v>0</v>
      </c>
      <c r="AH5540" s="397">
        <v>0</v>
      </c>
      <c r="AI5540" s="397">
        <v>2.8799999999999999E-2</v>
      </c>
      <c r="AJ5540" s="397">
        <v>4.2335999999999999E-2</v>
      </c>
      <c r="AK5540" s="398">
        <v>0.01</v>
      </c>
      <c r="AL5540" s="398">
        <v>0.01</v>
      </c>
      <c r="AM5540" s="17">
        <f t="shared" si="200"/>
        <v>0.02</v>
      </c>
      <c r="AN5540" s="14" t="s">
        <v>11722</v>
      </c>
      <c r="AO5540" s="12" t="s">
        <v>11723</v>
      </c>
      <c r="AP5540" s="399"/>
      <c r="AQ5540" s="400"/>
      <c r="AR5540" s="399"/>
      <c r="AS5540" s="399"/>
      <c r="AT5540" s="399"/>
      <c r="AX5540" s="400"/>
    </row>
    <row r="5541" spans="1:50" s="14" customFormat="1" x14ac:dyDescent="0.3">
      <c r="A5541" s="386" t="s">
        <v>8325</v>
      </c>
      <c r="B5541" s="14" t="s">
        <v>8326</v>
      </c>
      <c r="C5541" s="14" t="s">
        <v>11807</v>
      </c>
      <c r="D5541" s="14" t="s">
        <v>11808</v>
      </c>
      <c r="E5541" s="14" t="s">
        <v>12017</v>
      </c>
      <c r="F5541" s="12" t="s">
        <v>11990</v>
      </c>
      <c r="G5541" s="14" t="s">
        <v>12018</v>
      </c>
      <c r="H5541" s="12" t="s">
        <v>11992</v>
      </c>
      <c r="K5541" s="14" t="s">
        <v>12019</v>
      </c>
      <c r="L5541" s="12" t="s">
        <v>11994</v>
      </c>
      <c r="M5541" s="14" t="s">
        <v>12020</v>
      </c>
      <c r="P5541" s="12"/>
      <c r="Q5541" s="12">
        <v>296</v>
      </c>
      <c r="R5541" s="12">
        <v>296</v>
      </c>
      <c r="S5541" s="12">
        <v>296</v>
      </c>
      <c r="T5541" s="14" t="s">
        <v>11865</v>
      </c>
      <c r="U5541" t="s">
        <v>11866</v>
      </c>
      <c r="V5541" s="14" t="s">
        <v>12021</v>
      </c>
      <c r="W5541" s="388"/>
      <c r="X5541" s="388"/>
      <c r="Y5541" s="388"/>
      <c r="Z5541" s="388"/>
      <c r="AA5541" s="388"/>
      <c r="AB5541" s="388"/>
      <c r="AC5541" s="150">
        <v>0</v>
      </c>
      <c r="AD5541" s="150">
        <v>0</v>
      </c>
      <c r="AE5541" s="49">
        <f t="shared" si="201"/>
        <v>0</v>
      </c>
      <c r="AF5541" s="397"/>
      <c r="AG5541" s="17">
        <v>0</v>
      </c>
      <c r="AH5541" s="397"/>
      <c r="AI5541" s="397"/>
      <c r="AJ5541" s="397">
        <v>3.2</v>
      </c>
      <c r="AK5541" s="398">
        <v>0</v>
      </c>
      <c r="AL5541" s="398">
        <v>0</v>
      </c>
      <c r="AM5541" s="17">
        <f t="shared" si="200"/>
        <v>0</v>
      </c>
      <c r="AN5541" s="14" t="s">
        <v>11865</v>
      </c>
      <c r="AO5541" s="12" t="s">
        <v>11866</v>
      </c>
      <c r="AP5541" s="399"/>
      <c r="AQ5541" s="400"/>
      <c r="AR5541" s="399"/>
      <c r="AS5541" s="399"/>
      <c r="AT5541" s="399"/>
      <c r="AX5541" s="400"/>
    </row>
    <row r="5542" spans="1:50" s="14" customFormat="1" x14ac:dyDescent="0.3">
      <c r="A5542" s="386" t="s">
        <v>8325</v>
      </c>
      <c r="B5542" s="14" t="s">
        <v>8326</v>
      </c>
      <c r="C5542" s="14" t="s">
        <v>11714</v>
      </c>
      <c r="D5542" s="14" t="s">
        <v>6838</v>
      </c>
      <c r="E5542" s="14" t="s">
        <v>11989</v>
      </c>
      <c r="F5542" s="12" t="s">
        <v>11990</v>
      </c>
      <c r="G5542" s="14" t="s">
        <v>11991</v>
      </c>
      <c r="H5542" s="12" t="s">
        <v>11992</v>
      </c>
      <c r="K5542" s="14" t="s">
        <v>11993</v>
      </c>
      <c r="L5542" s="12" t="s">
        <v>11994</v>
      </c>
      <c r="M5542" s="14" t="s">
        <v>12022</v>
      </c>
      <c r="N5542" s="400"/>
      <c r="O5542" s="400">
        <v>0</v>
      </c>
      <c r="P5542" s="403">
        <v>1</v>
      </c>
      <c r="Q5542" s="403">
        <v>1</v>
      </c>
      <c r="R5542" s="403">
        <v>1</v>
      </c>
      <c r="S5542" s="403">
        <v>1</v>
      </c>
      <c r="T5542" s="14" t="s">
        <v>1588</v>
      </c>
      <c r="U5542" t="s">
        <v>1590</v>
      </c>
      <c r="V5542" s="14" t="s">
        <v>12023</v>
      </c>
      <c r="W5542" s="388"/>
      <c r="X5542" s="388"/>
      <c r="Y5542" s="388"/>
      <c r="Z5542" s="388"/>
      <c r="AA5542" s="388"/>
      <c r="AB5542" s="388"/>
      <c r="AC5542" s="150">
        <v>0</v>
      </c>
      <c r="AD5542" s="150">
        <v>0</v>
      </c>
      <c r="AE5542" s="49">
        <f t="shared" si="201"/>
        <v>0</v>
      </c>
      <c r="AF5542" s="397"/>
      <c r="AG5542" s="17">
        <v>0</v>
      </c>
      <c r="AH5542" s="397">
        <v>0</v>
      </c>
      <c r="AI5542" s="397">
        <v>0</v>
      </c>
      <c r="AJ5542" s="397">
        <v>0.1</v>
      </c>
      <c r="AK5542" s="398">
        <v>0</v>
      </c>
      <c r="AL5542" s="398">
        <v>0</v>
      </c>
      <c r="AM5542" s="17">
        <f t="shared" si="200"/>
        <v>0</v>
      </c>
      <c r="AN5542" s="14" t="s">
        <v>1588</v>
      </c>
      <c r="AO5542" s="12" t="s">
        <v>1590</v>
      </c>
      <c r="AP5542" s="399"/>
      <c r="AQ5542" s="400"/>
      <c r="AR5542" s="399"/>
      <c r="AS5542" s="399"/>
      <c r="AT5542" s="399"/>
      <c r="AX5542" s="400"/>
    </row>
    <row r="5543" spans="1:50" s="14" customFormat="1" x14ac:dyDescent="0.3">
      <c r="A5543" s="386" t="s">
        <v>8325</v>
      </c>
      <c r="B5543" s="14" t="s">
        <v>8326</v>
      </c>
      <c r="C5543" s="14" t="s">
        <v>11714</v>
      </c>
      <c r="D5543" s="14" t="s">
        <v>6838</v>
      </c>
      <c r="E5543" s="14" t="s">
        <v>11989</v>
      </c>
      <c r="F5543" s="12" t="s">
        <v>11990</v>
      </c>
      <c r="G5543" s="14" t="s">
        <v>11991</v>
      </c>
      <c r="H5543" s="12" t="s">
        <v>11992</v>
      </c>
      <c r="K5543" s="14" t="s">
        <v>11993</v>
      </c>
      <c r="L5543" s="12" t="s">
        <v>11994</v>
      </c>
      <c r="M5543" s="14" t="s">
        <v>12024</v>
      </c>
      <c r="N5543" s="400">
        <v>0</v>
      </c>
      <c r="O5543" s="400">
        <v>0</v>
      </c>
      <c r="P5543" s="403">
        <v>0</v>
      </c>
      <c r="Q5543" s="403">
        <v>1</v>
      </c>
      <c r="R5543" s="403">
        <v>0</v>
      </c>
      <c r="S5543" s="403">
        <v>0</v>
      </c>
      <c r="T5543" s="14" t="s">
        <v>11722</v>
      </c>
      <c r="U5543" t="s">
        <v>11723</v>
      </c>
      <c r="V5543" s="14" t="s">
        <v>12025</v>
      </c>
      <c r="W5543" s="388">
        <v>1</v>
      </c>
      <c r="X5543" s="388">
        <v>0</v>
      </c>
      <c r="Y5543" s="388">
        <v>0</v>
      </c>
      <c r="Z5543" s="388">
        <v>1</v>
      </c>
      <c r="AA5543" s="388">
        <v>0</v>
      </c>
      <c r="AB5543" s="388">
        <v>0</v>
      </c>
      <c r="AC5543" s="150">
        <v>1</v>
      </c>
      <c r="AD5543" s="150">
        <v>1</v>
      </c>
      <c r="AE5543" s="49">
        <f t="shared" si="201"/>
        <v>0.5</v>
      </c>
      <c r="AF5543" s="397"/>
      <c r="AG5543" s="17">
        <v>0</v>
      </c>
      <c r="AH5543" s="397">
        <v>0</v>
      </c>
      <c r="AI5543" s="397">
        <v>0</v>
      </c>
      <c r="AJ5543" s="397">
        <v>0.2</v>
      </c>
      <c r="AK5543" s="398">
        <v>0</v>
      </c>
      <c r="AL5543" s="398">
        <v>0</v>
      </c>
      <c r="AM5543" s="17">
        <f t="shared" si="200"/>
        <v>0</v>
      </c>
      <c r="AN5543" s="14" t="s">
        <v>11722</v>
      </c>
      <c r="AO5543" s="12" t="s">
        <v>11723</v>
      </c>
      <c r="AP5543" s="399"/>
      <c r="AQ5543" s="400"/>
      <c r="AR5543" s="399"/>
      <c r="AS5543" s="399"/>
      <c r="AT5543" s="399"/>
      <c r="AX5543" s="400"/>
    </row>
    <row r="5544" spans="1:50" s="14" customFormat="1" x14ac:dyDescent="0.3">
      <c r="A5544" s="386" t="s">
        <v>8325</v>
      </c>
      <c r="B5544" s="14" t="s">
        <v>8326</v>
      </c>
      <c r="C5544" s="14" t="s">
        <v>11714</v>
      </c>
      <c r="D5544" s="14" t="s">
        <v>6838</v>
      </c>
      <c r="E5544" s="14" t="s">
        <v>11989</v>
      </c>
      <c r="F5544" s="12" t="s">
        <v>11990</v>
      </c>
      <c r="G5544" s="14" t="s">
        <v>12026</v>
      </c>
      <c r="H5544" s="12" t="s">
        <v>12027</v>
      </c>
      <c r="K5544" s="14" t="s">
        <v>12028</v>
      </c>
      <c r="L5544" s="12" t="s">
        <v>12029</v>
      </c>
      <c r="M5544" s="14" t="s">
        <v>12030</v>
      </c>
      <c r="O5544" s="418">
        <v>0</v>
      </c>
      <c r="P5544" s="12">
        <v>1</v>
      </c>
      <c r="Q5544" s="401">
        <v>0</v>
      </c>
      <c r="R5544" s="401">
        <v>0</v>
      </c>
      <c r="S5544" s="401">
        <v>0</v>
      </c>
      <c r="T5544" s="14" t="s">
        <v>11722</v>
      </c>
      <c r="U5544" t="s">
        <v>11723</v>
      </c>
      <c r="V5544" s="14" t="s">
        <v>12031</v>
      </c>
      <c r="W5544" s="388">
        <v>1</v>
      </c>
      <c r="X5544" s="388">
        <v>0</v>
      </c>
      <c r="Y5544" s="388">
        <v>0</v>
      </c>
      <c r="Z5544" s="388">
        <v>1</v>
      </c>
      <c r="AA5544" s="388">
        <v>1</v>
      </c>
      <c r="AB5544" s="388">
        <v>0</v>
      </c>
      <c r="AC5544" s="150">
        <v>0</v>
      </c>
      <c r="AD5544" s="150">
        <v>1</v>
      </c>
      <c r="AE5544" s="49">
        <f t="shared" si="201"/>
        <v>0.5</v>
      </c>
      <c r="AF5544" s="397"/>
      <c r="AG5544" s="17">
        <v>0</v>
      </c>
      <c r="AH5544" s="397">
        <v>0</v>
      </c>
      <c r="AI5544" s="397">
        <v>5.1999999999999998E-2</v>
      </c>
      <c r="AJ5544" s="397">
        <v>0</v>
      </c>
      <c r="AK5544" s="398">
        <v>0</v>
      </c>
      <c r="AL5544" s="398">
        <v>0</v>
      </c>
      <c r="AM5544" s="17">
        <f t="shared" si="200"/>
        <v>0</v>
      </c>
      <c r="AN5544" s="14" t="s">
        <v>11722</v>
      </c>
      <c r="AO5544" s="12" t="s">
        <v>11723</v>
      </c>
      <c r="AP5544" s="399"/>
      <c r="AQ5544" s="400"/>
      <c r="AR5544" s="399"/>
      <c r="AS5544" s="399"/>
      <c r="AT5544" s="399"/>
      <c r="AX5544" s="400"/>
    </row>
    <row r="5545" spans="1:50" s="14" customFormat="1" x14ac:dyDescent="0.3">
      <c r="A5545" s="386" t="s">
        <v>8325</v>
      </c>
      <c r="B5545" s="14" t="s">
        <v>8326</v>
      </c>
      <c r="C5545" s="14" t="s">
        <v>11714</v>
      </c>
      <c r="D5545" s="14" t="s">
        <v>6838</v>
      </c>
      <c r="E5545" s="14" t="s">
        <v>11989</v>
      </c>
      <c r="F5545" s="12" t="s">
        <v>11990</v>
      </c>
      <c r="G5545" s="14" t="s">
        <v>12026</v>
      </c>
      <c r="H5545" s="12" t="s">
        <v>12027</v>
      </c>
      <c r="K5545" s="14" t="s">
        <v>12028</v>
      </c>
      <c r="L5545" s="12" t="s">
        <v>12029</v>
      </c>
      <c r="M5545" s="14" t="s">
        <v>12032</v>
      </c>
      <c r="O5545" s="418">
        <v>0</v>
      </c>
      <c r="P5545" s="12">
        <v>1</v>
      </c>
      <c r="Q5545" s="401">
        <v>0</v>
      </c>
      <c r="R5545" s="401">
        <v>0</v>
      </c>
      <c r="S5545" s="401">
        <v>0</v>
      </c>
      <c r="T5545" s="14" t="s">
        <v>11722</v>
      </c>
      <c r="U5545" t="s">
        <v>11723</v>
      </c>
      <c r="V5545" s="14" t="s">
        <v>12033</v>
      </c>
      <c r="W5545" s="388">
        <v>1</v>
      </c>
      <c r="X5545" s="388">
        <v>0</v>
      </c>
      <c r="Y5545" s="388">
        <v>0</v>
      </c>
      <c r="Z5545" s="388">
        <v>1</v>
      </c>
      <c r="AA5545" s="388">
        <v>1</v>
      </c>
      <c r="AB5545" s="388">
        <v>0</v>
      </c>
      <c r="AC5545" s="150">
        <v>0</v>
      </c>
      <c r="AD5545" s="150">
        <v>1</v>
      </c>
      <c r="AE5545" s="49">
        <f t="shared" si="201"/>
        <v>0.5</v>
      </c>
      <c r="AF5545" s="397"/>
      <c r="AG5545" s="17">
        <v>0</v>
      </c>
      <c r="AH5545" s="397">
        <v>0</v>
      </c>
      <c r="AI5545" s="397">
        <v>0.15040000000000001</v>
      </c>
      <c r="AJ5545" s="397">
        <v>0</v>
      </c>
      <c r="AK5545" s="398">
        <v>0</v>
      </c>
      <c r="AL5545" s="398">
        <v>0</v>
      </c>
      <c r="AM5545" s="17">
        <f t="shared" si="200"/>
        <v>0</v>
      </c>
      <c r="AN5545" s="14" t="s">
        <v>11722</v>
      </c>
      <c r="AO5545" s="12" t="s">
        <v>11723</v>
      </c>
      <c r="AP5545" s="399"/>
      <c r="AQ5545" s="400"/>
      <c r="AR5545" s="399"/>
      <c r="AS5545" s="399"/>
      <c r="AT5545" s="399"/>
      <c r="AX5545" s="400"/>
    </row>
    <row r="5546" spans="1:50" s="14" customFormat="1" x14ac:dyDescent="0.3">
      <c r="A5546" s="386" t="s">
        <v>8325</v>
      </c>
      <c r="B5546" s="14" t="s">
        <v>8326</v>
      </c>
      <c r="C5546" s="14" t="s">
        <v>11714</v>
      </c>
      <c r="D5546" s="14" t="s">
        <v>6838</v>
      </c>
      <c r="E5546" s="14" t="s">
        <v>11989</v>
      </c>
      <c r="F5546" s="12" t="s">
        <v>11990</v>
      </c>
      <c r="G5546" s="14" t="s">
        <v>12026</v>
      </c>
      <c r="H5546" s="12" t="s">
        <v>12027</v>
      </c>
      <c r="K5546" s="14" t="s">
        <v>12028</v>
      </c>
      <c r="L5546" s="12" t="s">
        <v>12029</v>
      </c>
      <c r="M5546" s="14" t="s">
        <v>12034</v>
      </c>
      <c r="P5546" s="12">
        <v>6</v>
      </c>
      <c r="Q5546" s="12"/>
      <c r="R5546" s="12"/>
      <c r="S5546" s="12"/>
      <c r="T5546" s="14" t="s">
        <v>11722</v>
      </c>
      <c r="U5546" t="s">
        <v>11723</v>
      </c>
      <c r="V5546" s="14" t="s">
        <v>12035</v>
      </c>
      <c r="W5546" s="388">
        <v>1</v>
      </c>
      <c r="X5546" s="388">
        <v>0</v>
      </c>
      <c r="Y5546" s="388">
        <v>0</v>
      </c>
      <c r="Z5546" s="388">
        <v>1</v>
      </c>
      <c r="AA5546" s="388">
        <v>1</v>
      </c>
      <c r="AB5546" s="388">
        <v>0</v>
      </c>
      <c r="AC5546" s="150">
        <v>0</v>
      </c>
      <c r="AD5546" s="150">
        <v>1</v>
      </c>
      <c r="AE5546" s="49">
        <f t="shared" si="201"/>
        <v>0.5</v>
      </c>
      <c r="AF5546" s="397"/>
      <c r="AG5546" s="17">
        <v>0</v>
      </c>
      <c r="AH5546" s="397">
        <v>0</v>
      </c>
      <c r="AI5546" s="397">
        <v>0.246</v>
      </c>
      <c r="AJ5546" s="397">
        <v>0</v>
      </c>
      <c r="AK5546" s="398">
        <v>0.2036</v>
      </c>
      <c r="AL5546" s="398">
        <v>0.2036</v>
      </c>
      <c r="AM5546" s="17">
        <f t="shared" si="200"/>
        <v>0.40720000000000001</v>
      </c>
      <c r="AN5546" s="14" t="s">
        <v>11722</v>
      </c>
      <c r="AO5546" s="12" t="s">
        <v>11723</v>
      </c>
      <c r="AP5546" s="399"/>
      <c r="AQ5546" s="400"/>
      <c r="AR5546" s="399"/>
      <c r="AS5546" s="399"/>
      <c r="AT5546" s="399"/>
      <c r="AX5546" s="400"/>
    </row>
    <row r="5547" spans="1:50" s="14" customFormat="1" x14ac:dyDescent="0.3">
      <c r="A5547" s="386" t="s">
        <v>8325</v>
      </c>
      <c r="B5547" s="14" t="s">
        <v>8326</v>
      </c>
      <c r="C5547" s="14" t="s">
        <v>11714</v>
      </c>
      <c r="D5547" s="14" t="s">
        <v>6838</v>
      </c>
      <c r="E5547" s="14" t="s">
        <v>11989</v>
      </c>
      <c r="F5547" s="12" t="s">
        <v>11990</v>
      </c>
      <c r="G5547" s="14" t="s">
        <v>12026</v>
      </c>
      <c r="H5547" s="12" t="s">
        <v>12027</v>
      </c>
      <c r="K5547" s="14" t="s">
        <v>12028</v>
      </c>
      <c r="L5547" s="12" t="s">
        <v>12029</v>
      </c>
      <c r="M5547" s="14" t="s">
        <v>12036</v>
      </c>
      <c r="P5547" s="12">
        <v>1</v>
      </c>
      <c r="Q5547" s="12"/>
      <c r="R5547" s="12"/>
      <c r="S5547" s="12"/>
      <c r="T5547" s="14" t="s">
        <v>11722</v>
      </c>
      <c r="U5547" t="s">
        <v>11723</v>
      </c>
      <c r="V5547" s="14" t="s">
        <v>12037</v>
      </c>
      <c r="W5547" s="388">
        <v>1</v>
      </c>
      <c r="X5547" s="388">
        <v>0</v>
      </c>
      <c r="Y5547" s="388">
        <v>0</v>
      </c>
      <c r="Z5547" s="388">
        <v>1</v>
      </c>
      <c r="AA5547" s="388">
        <v>1</v>
      </c>
      <c r="AB5547" s="388">
        <v>0</v>
      </c>
      <c r="AC5547" s="150">
        <v>0</v>
      </c>
      <c r="AD5547" s="150">
        <v>1</v>
      </c>
      <c r="AE5547" s="49">
        <f t="shared" si="201"/>
        <v>0.5</v>
      </c>
      <c r="AF5547" s="397"/>
      <c r="AG5547" s="17">
        <v>0</v>
      </c>
      <c r="AH5547" s="397">
        <v>0</v>
      </c>
      <c r="AI5547" s="397">
        <v>0.2</v>
      </c>
      <c r="AJ5547" s="397">
        <v>0</v>
      </c>
      <c r="AK5547" s="398">
        <v>0</v>
      </c>
      <c r="AL5547" s="398">
        <v>0</v>
      </c>
      <c r="AM5547" s="17">
        <f t="shared" si="200"/>
        <v>0</v>
      </c>
      <c r="AN5547" s="14" t="s">
        <v>11722</v>
      </c>
      <c r="AO5547" s="12" t="s">
        <v>11723</v>
      </c>
      <c r="AP5547" s="399"/>
      <c r="AQ5547" s="400"/>
      <c r="AR5547" s="399"/>
      <c r="AS5547" s="399"/>
      <c r="AT5547" s="399"/>
      <c r="AX5547" s="400"/>
    </row>
    <row r="5548" spans="1:50" s="14" customFormat="1" x14ac:dyDescent="0.3">
      <c r="A5548" s="386" t="s">
        <v>8325</v>
      </c>
      <c r="B5548" s="14" t="s">
        <v>8326</v>
      </c>
      <c r="C5548" s="14" t="s">
        <v>11714</v>
      </c>
      <c r="D5548" s="14" t="s">
        <v>6838</v>
      </c>
      <c r="E5548" s="14" t="s">
        <v>11989</v>
      </c>
      <c r="F5548" s="12" t="s">
        <v>11990</v>
      </c>
      <c r="G5548" s="14" t="s">
        <v>12026</v>
      </c>
      <c r="H5548" s="12" t="s">
        <v>12027</v>
      </c>
      <c r="K5548" s="14" t="s">
        <v>12028</v>
      </c>
      <c r="L5548" s="12" t="s">
        <v>12029</v>
      </c>
      <c r="M5548" s="14" t="s">
        <v>12038</v>
      </c>
      <c r="P5548" s="12">
        <v>4</v>
      </c>
      <c r="Q5548" s="12">
        <v>4</v>
      </c>
      <c r="R5548" s="12">
        <v>4</v>
      </c>
      <c r="S5548" s="12">
        <v>4</v>
      </c>
      <c r="T5548" s="14" t="s">
        <v>11722</v>
      </c>
      <c r="U5548" t="s">
        <v>11723</v>
      </c>
      <c r="V5548" s="14" t="s">
        <v>12039</v>
      </c>
      <c r="W5548" s="388">
        <v>1</v>
      </c>
      <c r="X5548" s="388">
        <v>0</v>
      </c>
      <c r="Y5548" s="388">
        <v>0</v>
      </c>
      <c r="Z5548" s="388">
        <v>1</v>
      </c>
      <c r="AA5548" s="388">
        <v>1</v>
      </c>
      <c r="AB5548" s="388">
        <v>0</v>
      </c>
      <c r="AC5548" s="150">
        <v>0</v>
      </c>
      <c r="AD5548" s="150">
        <v>1</v>
      </c>
      <c r="AE5548" s="49">
        <f t="shared" si="201"/>
        <v>0.5</v>
      </c>
      <c r="AF5548" s="397"/>
      <c r="AG5548" s="17">
        <v>0</v>
      </c>
      <c r="AH5548" s="397">
        <v>0</v>
      </c>
      <c r="AI5548" s="397">
        <v>0.20799999999999999</v>
      </c>
      <c r="AJ5548" s="397">
        <v>0.21840000000000001</v>
      </c>
      <c r="AK5548" s="398">
        <v>0.21840000000000001</v>
      </c>
      <c r="AL5548" s="398">
        <v>0.21840000000000001</v>
      </c>
      <c r="AM5548" s="17">
        <f t="shared" si="200"/>
        <v>0.43680000000000002</v>
      </c>
      <c r="AN5548" s="14" t="s">
        <v>11722</v>
      </c>
      <c r="AO5548" s="12" t="s">
        <v>11723</v>
      </c>
      <c r="AP5548" s="399"/>
      <c r="AQ5548" s="400"/>
      <c r="AR5548" s="399"/>
      <c r="AS5548" s="399"/>
      <c r="AT5548" s="399"/>
      <c r="AX5548" s="400"/>
    </row>
    <row r="5549" spans="1:50" s="14" customFormat="1" x14ac:dyDescent="0.3">
      <c r="A5549" s="386" t="s">
        <v>8325</v>
      </c>
      <c r="B5549" s="14" t="s">
        <v>8326</v>
      </c>
      <c r="C5549" s="14" t="s">
        <v>11714</v>
      </c>
      <c r="D5549" s="14" t="s">
        <v>6838</v>
      </c>
      <c r="E5549" s="14" t="s">
        <v>11989</v>
      </c>
      <c r="F5549" s="12" t="s">
        <v>11990</v>
      </c>
      <c r="G5549" s="14" t="s">
        <v>12026</v>
      </c>
      <c r="H5549" s="12" t="s">
        <v>12027</v>
      </c>
      <c r="K5549" s="14" t="s">
        <v>12028</v>
      </c>
      <c r="L5549" s="12" t="s">
        <v>12029</v>
      </c>
      <c r="M5549" s="14" t="s">
        <v>12040</v>
      </c>
      <c r="P5549" s="12"/>
      <c r="Q5549" s="12">
        <v>1</v>
      </c>
      <c r="R5549" s="12">
        <v>1</v>
      </c>
      <c r="S5549" s="12">
        <v>1</v>
      </c>
      <c r="T5549" s="14" t="s">
        <v>11865</v>
      </c>
      <c r="U5549" t="s">
        <v>11866</v>
      </c>
      <c r="V5549" s="14" t="s">
        <v>12041</v>
      </c>
      <c r="W5549" s="388"/>
      <c r="X5549" s="388"/>
      <c r="Y5549" s="388"/>
      <c r="Z5549" s="388"/>
      <c r="AA5549" s="388"/>
      <c r="AB5549" s="388"/>
      <c r="AC5549" s="150">
        <v>0</v>
      </c>
      <c r="AD5549" s="150">
        <v>0</v>
      </c>
      <c r="AE5549" s="49">
        <f t="shared" si="201"/>
        <v>0</v>
      </c>
      <c r="AF5549" s="397"/>
      <c r="AG5549" s="17">
        <v>0</v>
      </c>
      <c r="AH5549" s="397"/>
      <c r="AI5549" s="397"/>
      <c r="AJ5549" s="397">
        <v>0.1</v>
      </c>
      <c r="AK5549" s="398">
        <v>0</v>
      </c>
      <c r="AL5549" s="398">
        <v>0</v>
      </c>
      <c r="AM5549" s="17">
        <f t="shared" si="200"/>
        <v>0</v>
      </c>
      <c r="AN5549" s="14" t="s">
        <v>11865</v>
      </c>
      <c r="AO5549" s="12" t="s">
        <v>11866</v>
      </c>
      <c r="AP5549" s="399"/>
      <c r="AQ5549" s="400"/>
      <c r="AR5549" s="399"/>
      <c r="AS5549" s="399"/>
      <c r="AT5549" s="399"/>
      <c r="AX5549" s="400"/>
    </row>
    <row r="5550" spans="1:50" s="14" customFormat="1" x14ac:dyDescent="0.3">
      <c r="A5550" s="386" t="s">
        <v>8325</v>
      </c>
      <c r="B5550" s="14" t="s">
        <v>8326</v>
      </c>
      <c r="C5550" s="14" t="s">
        <v>11714</v>
      </c>
      <c r="D5550" s="14" t="s">
        <v>6838</v>
      </c>
      <c r="E5550" s="14" t="s">
        <v>11989</v>
      </c>
      <c r="F5550" s="12" t="s">
        <v>11990</v>
      </c>
      <c r="G5550" s="14" t="s">
        <v>12042</v>
      </c>
      <c r="H5550" s="12" t="s">
        <v>12043</v>
      </c>
      <c r="K5550" s="14" t="s">
        <v>12044</v>
      </c>
      <c r="L5550" s="12" t="s">
        <v>12045</v>
      </c>
      <c r="M5550" s="14" t="s">
        <v>12046</v>
      </c>
      <c r="N5550" s="400">
        <v>0</v>
      </c>
      <c r="O5550" s="400"/>
      <c r="P5550" s="400">
        <v>1</v>
      </c>
      <c r="Q5550" s="400">
        <v>1</v>
      </c>
      <c r="R5550" s="400">
        <v>1</v>
      </c>
      <c r="S5550" s="400">
        <v>1</v>
      </c>
      <c r="T5550" s="411" t="s">
        <v>11722</v>
      </c>
      <c r="U5550" t="s">
        <v>11723</v>
      </c>
      <c r="V5550" s="14" t="s">
        <v>12047</v>
      </c>
      <c r="W5550" s="388">
        <v>1</v>
      </c>
      <c r="X5550" s="388">
        <v>1</v>
      </c>
      <c r="Y5550" s="388">
        <v>1</v>
      </c>
      <c r="Z5550" s="388">
        <v>1</v>
      </c>
      <c r="AA5550" s="388">
        <v>1</v>
      </c>
      <c r="AB5550" s="388">
        <v>1</v>
      </c>
      <c r="AC5550" s="150">
        <v>1</v>
      </c>
      <c r="AD5550" s="150">
        <v>1</v>
      </c>
      <c r="AE5550" s="49">
        <f t="shared" si="201"/>
        <v>1</v>
      </c>
      <c r="AF5550" s="397"/>
      <c r="AG5550" s="17">
        <v>0</v>
      </c>
      <c r="AH5550" s="397">
        <v>0.16545000000000001</v>
      </c>
      <c r="AI5550" s="397">
        <v>0.22059999999999999</v>
      </c>
      <c r="AJ5550" s="397">
        <v>0.23163</v>
      </c>
      <c r="AK5550" s="398">
        <v>0</v>
      </c>
      <c r="AL5550" s="398">
        <v>0</v>
      </c>
      <c r="AM5550" s="17">
        <f t="shared" si="200"/>
        <v>0</v>
      </c>
      <c r="AN5550" s="14" t="s">
        <v>11722</v>
      </c>
      <c r="AO5550" s="12" t="s">
        <v>11723</v>
      </c>
      <c r="AP5550" s="399"/>
      <c r="AQ5550" s="400"/>
      <c r="AR5550" s="399"/>
      <c r="AS5550" s="399"/>
      <c r="AT5550" s="399"/>
      <c r="AX5550" s="400"/>
    </row>
    <row r="5551" spans="1:50" s="14" customFormat="1" x14ac:dyDescent="0.3">
      <c r="A5551" s="386" t="s">
        <v>8325</v>
      </c>
      <c r="B5551" s="14" t="s">
        <v>8326</v>
      </c>
      <c r="C5551" s="14" t="s">
        <v>11798</v>
      </c>
      <c r="D5551" s="14" t="s">
        <v>11799</v>
      </c>
      <c r="E5551" s="14" t="s">
        <v>12048</v>
      </c>
      <c r="F5551" s="12" t="s">
        <v>11990</v>
      </c>
      <c r="G5551" s="14" t="s">
        <v>12049</v>
      </c>
      <c r="H5551" s="12" t="s">
        <v>12043</v>
      </c>
      <c r="K5551" s="14" t="s">
        <v>12050</v>
      </c>
      <c r="L5551" s="12" t="s">
        <v>12045</v>
      </c>
      <c r="M5551" s="469" t="s">
        <v>12051</v>
      </c>
      <c r="N5551" s="470">
        <v>94</v>
      </c>
      <c r="O5551" s="470">
        <v>103</v>
      </c>
      <c r="P5551" s="471">
        <v>114</v>
      </c>
      <c r="Q5551" s="471">
        <v>125</v>
      </c>
      <c r="R5551" s="471">
        <v>138</v>
      </c>
      <c r="S5551" s="471">
        <v>151</v>
      </c>
      <c r="T5551" s="411" t="s">
        <v>11722</v>
      </c>
      <c r="U5551" t="s">
        <v>11723</v>
      </c>
      <c r="V5551" s="14" t="s">
        <v>12052</v>
      </c>
      <c r="W5551" s="388">
        <v>1</v>
      </c>
      <c r="X5551" s="388">
        <v>1</v>
      </c>
      <c r="Y5551" s="388">
        <v>0</v>
      </c>
      <c r="Z5551" s="388">
        <v>1</v>
      </c>
      <c r="AA5551" s="388">
        <v>1</v>
      </c>
      <c r="AB5551" s="388">
        <v>1</v>
      </c>
      <c r="AC5551" s="150">
        <v>1</v>
      </c>
      <c r="AD5551" s="150">
        <v>1</v>
      </c>
      <c r="AE5551" s="49">
        <f t="shared" si="201"/>
        <v>0.875</v>
      </c>
      <c r="AF5551" s="397"/>
      <c r="AG5551" s="17">
        <v>0</v>
      </c>
      <c r="AH5551" s="397">
        <f>4.69446*0.47</f>
        <v>2.2063961999999999</v>
      </c>
      <c r="AI5551" s="397">
        <f>4.69446*0.47</f>
        <v>2.2063961999999999</v>
      </c>
      <c r="AJ5551" s="397">
        <f>4.929183*0.47</f>
        <v>2.3167160099999999</v>
      </c>
      <c r="AK5551" s="398">
        <v>6.0498881999999998</v>
      </c>
      <c r="AL5551" s="398">
        <v>6.0498881999999998</v>
      </c>
      <c r="AM5551" s="17">
        <f t="shared" si="200"/>
        <v>12.0997764</v>
      </c>
      <c r="AN5551" s="14" t="s">
        <v>11722</v>
      </c>
      <c r="AO5551" s="12" t="s">
        <v>11723</v>
      </c>
      <c r="AP5551" s="399"/>
      <c r="AQ5551" s="400"/>
      <c r="AR5551" s="399"/>
      <c r="AS5551" s="399"/>
      <c r="AT5551" s="399"/>
      <c r="AX5551" s="400"/>
    </row>
    <row r="5552" spans="1:50" s="14" customFormat="1" x14ac:dyDescent="0.3">
      <c r="A5552" s="386" t="s">
        <v>8325</v>
      </c>
      <c r="B5552" s="14" t="s">
        <v>8326</v>
      </c>
      <c r="C5552" s="14" t="s">
        <v>11905</v>
      </c>
      <c r="D5552" s="14" t="s">
        <v>11906</v>
      </c>
      <c r="E5552" s="14" t="s">
        <v>12053</v>
      </c>
      <c r="F5552" s="12" t="s">
        <v>11990</v>
      </c>
      <c r="G5552" s="14" t="s">
        <v>12054</v>
      </c>
      <c r="H5552" s="12" t="s">
        <v>12043</v>
      </c>
      <c r="K5552" s="14" t="s">
        <v>12055</v>
      </c>
      <c r="L5552" s="12" t="s">
        <v>12045</v>
      </c>
      <c r="M5552" s="469"/>
      <c r="N5552" s="470"/>
      <c r="O5552" s="470"/>
      <c r="P5552" s="471"/>
      <c r="Q5552" s="471"/>
      <c r="R5552" s="471"/>
      <c r="S5552" s="471"/>
      <c r="T5552" s="411" t="s">
        <v>11722</v>
      </c>
      <c r="U5552" t="s">
        <v>11723</v>
      </c>
      <c r="V5552" s="14" t="s">
        <v>12056</v>
      </c>
      <c r="W5552" s="388">
        <v>1</v>
      </c>
      <c r="X5552" s="388">
        <v>1</v>
      </c>
      <c r="Y5552" s="388">
        <v>1</v>
      </c>
      <c r="Z5552" s="388">
        <v>1</v>
      </c>
      <c r="AA5552" s="388">
        <v>1</v>
      </c>
      <c r="AB5552" s="388">
        <v>1</v>
      </c>
      <c r="AC5552" s="150">
        <v>1</v>
      </c>
      <c r="AD5552" s="150">
        <v>1</v>
      </c>
      <c r="AE5552" s="49">
        <f t="shared" si="201"/>
        <v>1</v>
      </c>
      <c r="AF5552" s="397"/>
      <c r="AG5552" s="17">
        <v>0</v>
      </c>
      <c r="AH5552" s="397">
        <f>4.69446*0.53</f>
        <v>2.4880638000000004</v>
      </c>
      <c r="AI5552" s="397">
        <f>4.69446*0.53</f>
        <v>2.4880638000000004</v>
      </c>
      <c r="AJ5552" s="397">
        <f>4.929183*0.53</f>
        <v>2.6124669900000002</v>
      </c>
      <c r="AK5552" s="398">
        <v>4.9517387999999993</v>
      </c>
      <c r="AL5552" s="398">
        <v>4.9517387999999993</v>
      </c>
      <c r="AM5552" s="17">
        <f t="shared" si="200"/>
        <v>9.9034775999999987</v>
      </c>
      <c r="AN5552" s="14" t="s">
        <v>11722</v>
      </c>
      <c r="AO5552" s="12" t="s">
        <v>11723</v>
      </c>
      <c r="AP5552" s="399"/>
      <c r="AQ5552" s="400"/>
      <c r="AR5552" s="399"/>
      <c r="AS5552" s="399"/>
      <c r="AT5552" s="399"/>
      <c r="AX5552" s="400"/>
    </row>
    <row r="5553" spans="1:50" s="14" customFormat="1" x14ac:dyDescent="0.3">
      <c r="A5553" s="386" t="s">
        <v>8325</v>
      </c>
      <c r="B5553" s="14" t="s">
        <v>8326</v>
      </c>
      <c r="C5553" s="14" t="s">
        <v>11798</v>
      </c>
      <c r="D5553" s="14" t="s">
        <v>11799</v>
      </c>
      <c r="E5553" s="14" t="s">
        <v>12048</v>
      </c>
      <c r="F5553" s="12" t="s">
        <v>11990</v>
      </c>
      <c r="G5553" s="14" t="s">
        <v>12049</v>
      </c>
      <c r="H5553" s="12" t="s">
        <v>12043</v>
      </c>
      <c r="K5553" s="14" t="s">
        <v>12050</v>
      </c>
      <c r="L5553" s="12" t="s">
        <v>12045</v>
      </c>
      <c r="M5553" s="469" t="s">
        <v>12057</v>
      </c>
      <c r="N5553" s="470">
        <v>975</v>
      </c>
      <c r="O5553" s="470">
        <v>1073</v>
      </c>
      <c r="P5553" s="471">
        <v>1180</v>
      </c>
      <c r="Q5553" s="471">
        <v>1298</v>
      </c>
      <c r="R5553" s="471">
        <v>1427</v>
      </c>
      <c r="S5553" s="471">
        <v>1570</v>
      </c>
      <c r="T5553" s="411" t="s">
        <v>11722</v>
      </c>
      <c r="U5553" t="s">
        <v>11723</v>
      </c>
      <c r="V5553" s="14" t="s">
        <v>12058</v>
      </c>
      <c r="W5553" s="388">
        <v>1</v>
      </c>
      <c r="X5553" s="388">
        <v>1</v>
      </c>
      <c r="Y5553" s="388">
        <v>0</v>
      </c>
      <c r="Z5553" s="388">
        <v>1</v>
      </c>
      <c r="AA5553" s="388">
        <v>1</v>
      </c>
      <c r="AB5553" s="388">
        <v>1</v>
      </c>
      <c r="AC5553" s="150">
        <v>1</v>
      </c>
      <c r="AD5553" s="150">
        <v>1</v>
      </c>
      <c r="AE5553" s="49">
        <f t="shared" si="201"/>
        <v>0.875</v>
      </c>
      <c r="AF5553" s="397"/>
      <c r="AG5553" s="17">
        <v>0</v>
      </c>
      <c r="AH5553" s="397">
        <f>5.59819*0.6</f>
        <v>3.358914</v>
      </c>
      <c r="AI5553" s="397">
        <f>5.59819*0.6</f>
        <v>3.358914</v>
      </c>
      <c r="AJ5553" s="397">
        <f>5.8780995*0.6</f>
        <v>3.5268597000000002</v>
      </c>
      <c r="AK5553" s="398">
        <v>10.285334399999998</v>
      </c>
      <c r="AL5553" s="398">
        <v>10.2853344</v>
      </c>
      <c r="AM5553" s="17">
        <f t="shared" si="200"/>
        <v>20.5706688</v>
      </c>
      <c r="AN5553" s="14" t="s">
        <v>11722</v>
      </c>
      <c r="AO5553" s="12" t="s">
        <v>11723</v>
      </c>
      <c r="AP5553" s="399"/>
      <c r="AQ5553" s="400"/>
      <c r="AR5553" s="399"/>
      <c r="AS5553" s="399"/>
      <c r="AT5553" s="399"/>
      <c r="AX5553" s="400"/>
    </row>
    <row r="5554" spans="1:50" s="14" customFormat="1" x14ac:dyDescent="0.3">
      <c r="A5554" s="386" t="s">
        <v>8325</v>
      </c>
      <c r="B5554" s="14" t="s">
        <v>8326</v>
      </c>
      <c r="C5554" s="14" t="s">
        <v>11905</v>
      </c>
      <c r="D5554" s="14" t="s">
        <v>11906</v>
      </c>
      <c r="E5554" s="14" t="s">
        <v>12053</v>
      </c>
      <c r="F5554" s="12" t="s">
        <v>11990</v>
      </c>
      <c r="G5554" s="14" t="s">
        <v>12054</v>
      </c>
      <c r="H5554" s="12" t="s">
        <v>12043</v>
      </c>
      <c r="K5554" s="14" t="s">
        <v>12055</v>
      </c>
      <c r="L5554" s="12" t="s">
        <v>12045</v>
      </c>
      <c r="M5554" s="469"/>
      <c r="N5554" s="470"/>
      <c r="O5554" s="470"/>
      <c r="P5554" s="471"/>
      <c r="Q5554" s="471"/>
      <c r="R5554" s="471"/>
      <c r="S5554" s="471"/>
      <c r="T5554" s="411" t="s">
        <v>11722</v>
      </c>
      <c r="U5554" t="s">
        <v>11723</v>
      </c>
      <c r="V5554" s="14" t="s">
        <v>12059</v>
      </c>
      <c r="W5554" s="388">
        <v>1</v>
      </c>
      <c r="X5554" s="388">
        <v>1</v>
      </c>
      <c r="Y5554" s="388">
        <v>1</v>
      </c>
      <c r="Z5554" s="388">
        <v>1</v>
      </c>
      <c r="AA5554" s="388">
        <v>1</v>
      </c>
      <c r="AB5554" s="388">
        <v>1</v>
      </c>
      <c r="AC5554" s="150">
        <v>1</v>
      </c>
      <c r="AD5554" s="150">
        <v>1</v>
      </c>
      <c r="AE5554" s="49">
        <f t="shared" si="201"/>
        <v>1</v>
      </c>
      <c r="AF5554" s="397"/>
      <c r="AG5554" s="17">
        <v>0</v>
      </c>
      <c r="AH5554" s="397">
        <f>5.59819*0.4</f>
        <v>2.2392759999999998</v>
      </c>
      <c r="AI5554" s="397">
        <f>5.59819*0.4</f>
        <v>2.2392759999999998</v>
      </c>
      <c r="AJ5554" s="397">
        <f>5.8780995*0.4</f>
        <v>2.3512398000000001</v>
      </c>
      <c r="AK5554" s="398">
        <v>7.5397375999999996</v>
      </c>
      <c r="AL5554" s="398">
        <v>7.5397375999999996</v>
      </c>
      <c r="AM5554" s="17">
        <f t="shared" si="200"/>
        <v>15.079475199999999</v>
      </c>
      <c r="AN5554" s="14" t="s">
        <v>11722</v>
      </c>
      <c r="AO5554" s="12" t="s">
        <v>11723</v>
      </c>
      <c r="AP5554" s="399"/>
      <c r="AQ5554" s="400"/>
      <c r="AR5554" s="399"/>
      <c r="AS5554" s="399"/>
      <c r="AT5554" s="399"/>
      <c r="AX5554" s="400"/>
    </row>
    <row r="5555" spans="1:50" s="14" customFormat="1" x14ac:dyDescent="0.3">
      <c r="A5555" s="386" t="s">
        <v>8325</v>
      </c>
      <c r="B5555" s="14" t="s">
        <v>8326</v>
      </c>
      <c r="C5555" s="14" t="s">
        <v>11798</v>
      </c>
      <c r="D5555" s="14" t="s">
        <v>11799</v>
      </c>
      <c r="E5555" s="14" t="s">
        <v>12048</v>
      </c>
      <c r="F5555" s="12" t="s">
        <v>11990</v>
      </c>
      <c r="G5555" s="14" t="s">
        <v>12049</v>
      </c>
      <c r="H5555" s="12" t="s">
        <v>12043</v>
      </c>
      <c r="K5555" s="14" t="s">
        <v>12050</v>
      </c>
      <c r="L5555" s="12" t="s">
        <v>12045</v>
      </c>
      <c r="M5555" s="469" t="s">
        <v>12060</v>
      </c>
      <c r="N5555" s="470">
        <v>17083</v>
      </c>
      <c r="O5555" s="470">
        <v>18791</v>
      </c>
      <c r="P5555" s="471">
        <v>20670</v>
      </c>
      <c r="Q5555" s="471">
        <v>22737</v>
      </c>
      <c r="R5555" s="471">
        <v>25011</v>
      </c>
      <c r="S5555" s="471">
        <v>27512</v>
      </c>
      <c r="T5555" s="411" t="s">
        <v>11722</v>
      </c>
      <c r="U5555" t="s">
        <v>11723</v>
      </c>
      <c r="V5555" s="14" t="s">
        <v>12061</v>
      </c>
      <c r="W5555" s="388">
        <v>1</v>
      </c>
      <c r="X5555" s="388">
        <v>1</v>
      </c>
      <c r="Y5555" s="388">
        <v>0</v>
      </c>
      <c r="Z5555" s="388">
        <v>1</v>
      </c>
      <c r="AA5555" s="388">
        <v>1</v>
      </c>
      <c r="AB5555" s="388">
        <v>1</v>
      </c>
      <c r="AC5555" s="150">
        <v>1</v>
      </c>
      <c r="AD5555" s="150">
        <v>1</v>
      </c>
      <c r="AE5555" s="49">
        <f t="shared" si="201"/>
        <v>0.875</v>
      </c>
      <c r="AF5555" s="397"/>
      <c r="AG5555" s="17">
        <v>0</v>
      </c>
      <c r="AH5555" s="397">
        <f>29.523293*0.35</f>
        <v>10.333152549999999</v>
      </c>
      <c r="AI5555" s="397">
        <f>29.523293*0.35</f>
        <v>10.333152549999999</v>
      </c>
      <c r="AJ5555" s="397">
        <f>30.99945765*0.35</f>
        <v>10.8498101775</v>
      </c>
      <c r="AK5555" s="398">
        <v>41.374816799999998</v>
      </c>
      <c r="AL5555" s="398">
        <v>41.374816799999998</v>
      </c>
      <c r="AM5555" s="17">
        <f t="shared" si="200"/>
        <v>82.749633599999996</v>
      </c>
      <c r="AN5555" s="14" t="s">
        <v>11722</v>
      </c>
      <c r="AO5555" s="12" t="s">
        <v>11723</v>
      </c>
      <c r="AP5555" s="399"/>
      <c r="AQ5555" s="400"/>
      <c r="AR5555" s="399"/>
      <c r="AS5555" s="399"/>
      <c r="AT5555" s="399"/>
      <c r="AX5555" s="400"/>
    </row>
    <row r="5556" spans="1:50" s="14" customFormat="1" x14ac:dyDescent="0.3">
      <c r="A5556" s="386" t="s">
        <v>8325</v>
      </c>
      <c r="B5556" s="14" t="s">
        <v>8326</v>
      </c>
      <c r="C5556" s="14" t="s">
        <v>11905</v>
      </c>
      <c r="D5556" s="14" t="s">
        <v>11906</v>
      </c>
      <c r="E5556" s="14" t="s">
        <v>12053</v>
      </c>
      <c r="F5556" s="12" t="s">
        <v>11990</v>
      </c>
      <c r="G5556" s="14" t="s">
        <v>12054</v>
      </c>
      <c r="H5556" s="12" t="s">
        <v>12043</v>
      </c>
      <c r="K5556" s="14" t="s">
        <v>12055</v>
      </c>
      <c r="L5556" s="12" t="s">
        <v>12045</v>
      </c>
      <c r="M5556" s="469"/>
      <c r="N5556" s="470"/>
      <c r="O5556" s="470"/>
      <c r="P5556" s="471"/>
      <c r="Q5556" s="471"/>
      <c r="R5556" s="471"/>
      <c r="S5556" s="471"/>
      <c r="T5556" s="411" t="s">
        <v>11722</v>
      </c>
      <c r="U5556" t="s">
        <v>11723</v>
      </c>
      <c r="V5556" s="14" t="s">
        <v>12062</v>
      </c>
      <c r="W5556" s="388">
        <v>1</v>
      </c>
      <c r="X5556" s="388">
        <v>1</v>
      </c>
      <c r="Y5556" s="388">
        <v>1</v>
      </c>
      <c r="Z5556" s="388">
        <v>1</v>
      </c>
      <c r="AA5556" s="388">
        <v>1</v>
      </c>
      <c r="AB5556" s="388">
        <v>1</v>
      </c>
      <c r="AC5556" s="150">
        <v>1</v>
      </c>
      <c r="AD5556" s="150">
        <v>1</v>
      </c>
      <c r="AE5556" s="49">
        <f t="shared" si="201"/>
        <v>1</v>
      </c>
      <c r="AF5556" s="397"/>
      <c r="AG5556" s="17">
        <v>0</v>
      </c>
      <c r="AH5556" s="397">
        <f>29.523293*0.65</f>
        <v>19.190140450000001</v>
      </c>
      <c r="AI5556" s="397">
        <f>29.523293*0.65</f>
        <v>19.190140450000001</v>
      </c>
      <c r="AJ5556" s="397">
        <f>30.99945765*0.65</f>
        <v>20.1496474725</v>
      </c>
      <c r="AK5556" s="398">
        <v>32.732601399000004</v>
      </c>
      <c r="AL5556" s="398">
        <v>32.732601399000004</v>
      </c>
      <c r="AM5556" s="17">
        <f t="shared" si="200"/>
        <v>65.465202798000007</v>
      </c>
      <c r="AN5556" s="14" t="s">
        <v>11722</v>
      </c>
      <c r="AO5556" s="12" t="s">
        <v>11723</v>
      </c>
      <c r="AP5556" s="399"/>
      <c r="AQ5556" s="400"/>
      <c r="AR5556" s="399"/>
      <c r="AS5556" s="399"/>
      <c r="AT5556" s="399"/>
      <c r="AX5556" s="400"/>
    </row>
    <row r="5557" spans="1:50" s="14" customFormat="1" x14ac:dyDescent="0.3">
      <c r="A5557" s="386" t="s">
        <v>8325</v>
      </c>
      <c r="B5557" s="14" t="s">
        <v>8326</v>
      </c>
      <c r="C5557" s="14" t="s">
        <v>11798</v>
      </c>
      <c r="D5557" s="14" t="s">
        <v>11799</v>
      </c>
      <c r="E5557" s="14" t="s">
        <v>12048</v>
      </c>
      <c r="F5557" s="12" t="s">
        <v>11990</v>
      </c>
      <c r="G5557" s="14" t="s">
        <v>12049</v>
      </c>
      <c r="H5557" s="12" t="s">
        <v>12043</v>
      </c>
      <c r="K5557" s="14" t="s">
        <v>12050</v>
      </c>
      <c r="L5557" s="12" t="s">
        <v>12045</v>
      </c>
      <c r="M5557" s="469" t="s">
        <v>12063</v>
      </c>
      <c r="N5557" s="470">
        <v>79906</v>
      </c>
      <c r="O5557" s="470">
        <v>87896</v>
      </c>
      <c r="P5557" s="471">
        <v>96686</v>
      </c>
      <c r="Q5557" s="471">
        <v>106354</v>
      </c>
      <c r="R5557" s="471">
        <v>116990</v>
      </c>
      <c r="S5557" s="471">
        <v>128689</v>
      </c>
      <c r="T5557" s="411" t="s">
        <v>11722</v>
      </c>
      <c r="U5557" t="s">
        <v>11723</v>
      </c>
      <c r="V5557" s="14" t="s">
        <v>12064</v>
      </c>
      <c r="W5557" s="388">
        <v>1</v>
      </c>
      <c r="X5557" s="388">
        <v>1</v>
      </c>
      <c r="Y5557" s="388">
        <v>0</v>
      </c>
      <c r="Z5557" s="388">
        <v>1</v>
      </c>
      <c r="AA5557" s="388">
        <v>1</v>
      </c>
      <c r="AB5557" s="388">
        <v>1</v>
      </c>
      <c r="AC5557" s="150">
        <v>1</v>
      </c>
      <c r="AD5557" s="150">
        <v>1</v>
      </c>
      <c r="AE5557" s="49">
        <f t="shared" si="201"/>
        <v>0.875</v>
      </c>
      <c r="AF5557" s="397"/>
      <c r="AG5557" s="17">
        <v>0</v>
      </c>
      <c r="AH5557" s="397">
        <f>10.750250389*0.37</f>
        <v>3.97759264393</v>
      </c>
      <c r="AI5557" s="397">
        <f>10.750250389*0.37</f>
        <v>3.97759264393</v>
      </c>
      <c r="AJ5557" s="397">
        <f>10.750250389*0.37</f>
        <v>3.97759264393</v>
      </c>
      <c r="AK5557" s="398">
        <v>27.744450552</v>
      </c>
      <c r="AL5557" s="398">
        <v>27.744450552</v>
      </c>
      <c r="AM5557" s="17">
        <f t="shared" si="200"/>
        <v>55.488901104</v>
      </c>
      <c r="AN5557" s="14" t="s">
        <v>11722</v>
      </c>
      <c r="AO5557" s="12" t="s">
        <v>11723</v>
      </c>
      <c r="AP5557" s="399"/>
      <c r="AQ5557" s="400"/>
      <c r="AR5557" s="399"/>
      <c r="AS5557" s="399"/>
      <c r="AT5557" s="399"/>
      <c r="AX5557" s="400"/>
    </row>
    <row r="5558" spans="1:50" s="14" customFormat="1" x14ac:dyDescent="0.3">
      <c r="A5558" s="386" t="s">
        <v>8325</v>
      </c>
      <c r="B5558" s="14" t="s">
        <v>8326</v>
      </c>
      <c r="C5558" s="14" t="s">
        <v>11905</v>
      </c>
      <c r="D5558" s="14" t="s">
        <v>11906</v>
      </c>
      <c r="E5558" s="14" t="s">
        <v>12053</v>
      </c>
      <c r="F5558" s="12" t="s">
        <v>11990</v>
      </c>
      <c r="G5558" s="14" t="s">
        <v>12054</v>
      </c>
      <c r="H5558" s="12" t="s">
        <v>12043</v>
      </c>
      <c r="K5558" s="14" t="s">
        <v>12055</v>
      </c>
      <c r="L5558" s="12" t="s">
        <v>12045</v>
      </c>
      <c r="M5558" s="469"/>
      <c r="N5558" s="470"/>
      <c r="O5558" s="470"/>
      <c r="P5558" s="471"/>
      <c r="Q5558" s="471"/>
      <c r="R5558" s="471"/>
      <c r="S5558" s="471"/>
      <c r="T5558" s="411" t="s">
        <v>11722</v>
      </c>
      <c r="U5558" t="s">
        <v>11723</v>
      </c>
      <c r="V5558" s="14" t="s">
        <v>12065</v>
      </c>
      <c r="W5558" s="388">
        <v>1</v>
      </c>
      <c r="X5558" s="388">
        <v>1</v>
      </c>
      <c r="Y5558" s="388">
        <v>1</v>
      </c>
      <c r="Z5558" s="388">
        <v>1</v>
      </c>
      <c r="AA5558" s="388">
        <v>1</v>
      </c>
      <c r="AB5558" s="388">
        <v>1</v>
      </c>
      <c r="AC5558" s="150">
        <v>1</v>
      </c>
      <c r="AD5558" s="150">
        <v>1</v>
      </c>
      <c r="AE5558" s="49">
        <f t="shared" si="201"/>
        <v>1</v>
      </c>
      <c r="AF5558" s="397"/>
      <c r="AG5558" s="17">
        <v>0</v>
      </c>
      <c r="AH5558" s="397">
        <f>10.750250389*0.63</f>
        <v>6.7726577450700001</v>
      </c>
      <c r="AI5558" s="397">
        <f>10.750250389*0.63</f>
        <v>6.7726577450700001</v>
      </c>
      <c r="AJ5558" s="397">
        <f>10.750250389*0.63</f>
        <v>6.7726577450700001</v>
      </c>
      <c r="AK5558" s="398">
        <v>18.496300368000004</v>
      </c>
      <c r="AL5558" s="398">
        <v>18.496300368000004</v>
      </c>
      <c r="AM5558" s="17">
        <f t="shared" si="200"/>
        <v>36.992600736000007</v>
      </c>
      <c r="AN5558" s="14" t="s">
        <v>11722</v>
      </c>
      <c r="AO5558" s="12" t="s">
        <v>11723</v>
      </c>
      <c r="AP5558" s="399"/>
      <c r="AQ5558" s="400"/>
      <c r="AR5558" s="399"/>
      <c r="AS5558" s="399"/>
      <c r="AT5558" s="399"/>
      <c r="AX5558" s="400"/>
    </row>
    <row r="5559" spans="1:50" s="14" customFormat="1" x14ac:dyDescent="0.3">
      <c r="A5559" s="386" t="s">
        <v>8325</v>
      </c>
      <c r="B5559" s="14" t="s">
        <v>8326</v>
      </c>
      <c r="C5559" s="14" t="s">
        <v>11798</v>
      </c>
      <c r="D5559" s="14" t="s">
        <v>11799</v>
      </c>
      <c r="E5559" s="14" t="s">
        <v>12048</v>
      </c>
      <c r="F5559" s="12" t="s">
        <v>11990</v>
      </c>
      <c r="G5559" s="14" t="s">
        <v>12049</v>
      </c>
      <c r="H5559" s="12" t="s">
        <v>12043</v>
      </c>
      <c r="K5559" s="14" t="s">
        <v>12050</v>
      </c>
      <c r="L5559" s="12" t="s">
        <v>12045</v>
      </c>
      <c r="M5559" s="469" t="s">
        <v>12066</v>
      </c>
      <c r="N5559" s="470">
        <v>30907</v>
      </c>
      <c r="O5559" s="470">
        <v>33997</v>
      </c>
      <c r="P5559" s="471">
        <v>37397</v>
      </c>
      <c r="Q5559" s="471">
        <v>41137</v>
      </c>
      <c r="R5559" s="471">
        <v>45250</v>
      </c>
      <c r="S5559" s="471">
        <v>49776</v>
      </c>
      <c r="T5559" s="14" t="s">
        <v>11722</v>
      </c>
      <c r="U5559" t="s">
        <v>11723</v>
      </c>
      <c r="V5559" s="14" t="s">
        <v>12067</v>
      </c>
      <c r="W5559" s="388">
        <v>1</v>
      </c>
      <c r="X5559" s="388">
        <v>1</v>
      </c>
      <c r="Y5559" s="388">
        <v>0</v>
      </c>
      <c r="Z5559" s="388">
        <v>1</v>
      </c>
      <c r="AA5559" s="388">
        <v>1</v>
      </c>
      <c r="AB5559" s="388">
        <v>1</v>
      </c>
      <c r="AC5559" s="150">
        <v>1</v>
      </c>
      <c r="AD5559" s="150">
        <v>1</v>
      </c>
      <c r="AE5559" s="49">
        <f t="shared" si="201"/>
        <v>0.875</v>
      </c>
      <c r="AF5559" s="397"/>
      <c r="AG5559" s="17">
        <v>0</v>
      </c>
      <c r="AH5559" s="397">
        <f>10.277859611*0.37</f>
        <v>3.8028080560699999</v>
      </c>
      <c r="AI5559" s="397">
        <f>10.277859611*0.37</f>
        <v>3.8028080560699999</v>
      </c>
      <c r="AJ5559" s="397">
        <f>11.349575111*0.37</f>
        <v>4.1993427910700003</v>
      </c>
      <c r="AK5559" s="398">
        <v>24.543167795999999</v>
      </c>
      <c r="AL5559" s="398">
        <v>24.543167795999999</v>
      </c>
      <c r="AM5559" s="17">
        <f t="shared" si="200"/>
        <v>49.086335591999998</v>
      </c>
      <c r="AN5559" s="14" t="s">
        <v>11722</v>
      </c>
      <c r="AO5559" s="12" t="s">
        <v>11723</v>
      </c>
      <c r="AP5559" s="399"/>
      <c r="AQ5559" s="400"/>
      <c r="AR5559" s="399"/>
      <c r="AS5559" s="399"/>
      <c r="AT5559" s="399"/>
      <c r="AX5559" s="400"/>
    </row>
    <row r="5560" spans="1:50" s="14" customFormat="1" x14ac:dyDescent="0.3">
      <c r="A5560" s="386" t="s">
        <v>8325</v>
      </c>
      <c r="B5560" s="14" t="s">
        <v>8326</v>
      </c>
      <c r="C5560" s="14" t="s">
        <v>11905</v>
      </c>
      <c r="D5560" s="14" t="s">
        <v>11906</v>
      </c>
      <c r="E5560" s="14" t="s">
        <v>12053</v>
      </c>
      <c r="F5560" s="12" t="s">
        <v>11990</v>
      </c>
      <c r="G5560" s="14" t="s">
        <v>12054</v>
      </c>
      <c r="H5560" s="12" t="s">
        <v>12043</v>
      </c>
      <c r="K5560" s="14" t="s">
        <v>12055</v>
      </c>
      <c r="L5560" s="12" t="s">
        <v>12045</v>
      </c>
      <c r="M5560" s="469"/>
      <c r="N5560" s="470"/>
      <c r="O5560" s="470"/>
      <c r="P5560" s="471"/>
      <c r="Q5560" s="471"/>
      <c r="R5560" s="471"/>
      <c r="S5560" s="471"/>
      <c r="T5560" s="14" t="s">
        <v>11722</v>
      </c>
      <c r="U5560" t="s">
        <v>11723</v>
      </c>
      <c r="V5560" s="14" t="s">
        <v>12068</v>
      </c>
      <c r="W5560" s="388">
        <v>1</v>
      </c>
      <c r="X5560" s="388">
        <v>1</v>
      </c>
      <c r="Y5560" s="388">
        <v>1</v>
      </c>
      <c r="Z5560" s="388">
        <v>1</v>
      </c>
      <c r="AA5560" s="388">
        <v>1</v>
      </c>
      <c r="AB5560" s="388">
        <v>1</v>
      </c>
      <c r="AC5560" s="150">
        <v>1</v>
      </c>
      <c r="AD5560" s="150">
        <v>1</v>
      </c>
      <c r="AE5560" s="49">
        <f t="shared" si="201"/>
        <v>1</v>
      </c>
      <c r="AF5560" s="397"/>
      <c r="AG5560" s="17">
        <v>0</v>
      </c>
      <c r="AH5560" s="397">
        <f>10.277859611*0.63</f>
        <v>6.4750515549300003</v>
      </c>
      <c r="AI5560" s="397">
        <f>10.277859611*0.63</f>
        <v>6.4750515549300003</v>
      </c>
      <c r="AJ5560" s="397">
        <f>11.349575111*0.63</f>
        <v>7.1502323199299997</v>
      </c>
      <c r="AK5560" s="398">
        <v>16.362111863999999</v>
      </c>
      <c r="AL5560" s="398">
        <v>16.362111863999999</v>
      </c>
      <c r="AM5560" s="17">
        <f t="shared" ref="AM5560:AM5623" si="202">SUM(AK5560:AL5560)</f>
        <v>32.724223727999998</v>
      </c>
      <c r="AN5560" s="14" t="s">
        <v>11722</v>
      </c>
      <c r="AO5560" s="12" t="s">
        <v>11723</v>
      </c>
      <c r="AP5560" s="399"/>
      <c r="AQ5560" s="400"/>
      <c r="AR5560" s="399"/>
      <c r="AS5560" s="399"/>
      <c r="AT5560" s="399"/>
      <c r="AX5560" s="400"/>
    </row>
    <row r="5561" spans="1:50" s="14" customFormat="1" x14ac:dyDescent="0.3">
      <c r="A5561" s="386" t="s">
        <v>8325</v>
      </c>
      <c r="B5561" s="14" t="s">
        <v>8326</v>
      </c>
      <c r="C5561" s="14" t="s">
        <v>11798</v>
      </c>
      <c r="D5561" s="14" t="s">
        <v>11799</v>
      </c>
      <c r="E5561" s="14" t="s">
        <v>12048</v>
      </c>
      <c r="F5561" s="12" t="s">
        <v>11990</v>
      </c>
      <c r="G5561" s="14" t="s">
        <v>12049</v>
      </c>
      <c r="H5561" s="12" t="s">
        <v>12043</v>
      </c>
      <c r="K5561" s="14" t="s">
        <v>12050</v>
      </c>
      <c r="L5561" s="12" t="s">
        <v>12045</v>
      </c>
      <c r="M5561" s="470" t="s">
        <v>12069</v>
      </c>
      <c r="N5561" s="470">
        <v>1904</v>
      </c>
      <c r="O5561" s="470">
        <v>2094</v>
      </c>
      <c r="P5561" s="471">
        <v>2303</v>
      </c>
      <c r="Q5561" s="471">
        <v>1803</v>
      </c>
      <c r="R5561" s="471">
        <v>1303</v>
      </c>
      <c r="S5561" s="471">
        <v>803</v>
      </c>
      <c r="T5561" s="14" t="s">
        <v>11722</v>
      </c>
      <c r="U5561" t="s">
        <v>11723</v>
      </c>
      <c r="V5561" s="14" t="s">
        <v>12070</v>
      </c>
      <c r="W5561" s="388">
        <v>1</v>
      </c>
      <c r="X5561" s="388">
        <v>1</v>
      </c>
      <c r="Y5561" s="388">
        <v>0</v>
      </c>
      <c r="Z5561" s="388">
        <v>1</v>
      </c>
      <c r="AA5561" s="388">
        <v>1</v>
      </c>
      <c r="AB5561" s="388">
        <v>1</v>
      </c>
      <c r="AC5561" s="150">
        <v>1</v>
      </c>
      <c r="AD5561" s="150">
        <v>1</v>
      </c>
      <c r="AE5561" s="49">
        <f t="shared" si="201"/>
        <v>0.875</v>
      </c>
      <c r="AF5561" s="397"/>
      <c r="AG5561" s="17">
        <v>0</v>
      </c>
      <c r="AH5561" s="397">
        <f>0.4062*0.37</f>
        <v>0.15029400000000001</v>
      </c>
      <c r="AI5561" s="397">
        <f>0.4062*0.37</f>
        <v>0.15029400000000001</v>
      </c>
      <c r="AJ5561" s="397">
        <f>0.4062*0.37</f>
        <v>0.15029400000000001</v>
      </c>
      <c r="AK5561" s="398">
        <v>1.067094252</v>
      </c>
      <c r="AL5561" s="398">
        <v>1.067094252</v>
      </c>
      <c r="AM5561" s="17">
        <f t="shared" si="202"/>
        <v>2.1341885039999999</v>
      </c>
      <c r="AN5561" s="14" t="s">
        <v>11722</v>
      </c>
      <c r="AO5561" s="12" t="s">
        <v>11723</v>
      </c>
      <c r="AP5561" s="399"/>
      <c r="AQ5561" s="400"/>
      <c r="AR5561" s="399"/>
      <c r="AS5561" s="399"/>
      <c r="AT5561" s="399"/>
      <c r="AX5561" s="400"/>
    </row>
    <row r="5562" spans="1:50" s="14" customFormat="1" x14ac:dyDescent="0.3">
      <c r="A5562" s="386" t="s">
        <v>8325</v>
      </c>
      <c r="B5562" s="14" t="s">
        <v>8326</v>
      </c>
      <c r="C5562" s="14" t="s">
        <v>11905</v>
      </c>
      <c r="D5562" s="14" t="s">
        <v>11906</v>
      </c>
      <c r="E5562" s="14" t="s">
        <v>12053</v>
      </c>
      <c r="F5562" s="12" t="s">
        <v>11990</v>
      </c>
      <c r="G5562" s="14" t="s">
        <v>12054</v>
      </c>
      <c r="H5562" s="12" t="s">
        <v>12043</v>
      </c>
      <c r="K5562" s="14" t="s">
        <v>12055</v>
      </c>
      <c r="L5562" s="12" t="s">
        <v>12045</v>
      </c>
      <c r="M5562" s="470"/>
      <c r="N5562" s="470"/>
      <c r="O5562" s="470"/>
      <c r="P5562" s="471"/>
      <c r="Q5562" s="471"/>
      <c r="R5562" s="471"/>
      <c r="S5562" s="471"/>
      <c r="T5562" s="14" t="s">
        <v>11722</v>
      </c>
      <c r="U5562" t="s">
        <v>11723</v>
      </c>
      <c r="V5562" s="14" t="s">
        <v>12071</v>
      </c>
      <c r="W5562" s="388">
        <v>1</v>
      </c>
      <c r="X5562" s="388">
        <v>1</v>
      </c>
      <c r="Y5562" s="388">
        <v>1</v>
      </c>
      <c r="Z5562" s="388">
        <v>1</v>
      </c>
      <c r="AA5562" s="388">
        <v>1</v>
      </c>
      <c r="AB5562" s="388">
        <v>1</v>
      </c>
      <c r="AC5562" s="150">
        <v>1</v>
      </c>
      <c r="AD5562" s="150">
        <v>1</v>
      </c>
      <c r="AE5562" s="49">
        <f t="shared" si="201"/>
        <v>1</v>
      </c>
      <c r="AF5562" s="397"/>
      <c r="AG5562" s="17">
        <v>0</v>
      </c>
      <c r="AH5562" s="397">
        <f>0.4062*0.63</f>
        <v>0.25590600000000002</v>
      </c>
      <c r="AI5562" s="397">
        <f>0.4062*0.63</f>
        <v>0.25590600000000002</v>
      </c>
      <c r="AJ5562" s="397">
        <f>0.4062*0.63</f>
        <v>0.25590600000000002</v>
      </c>
      <c r="AK5562" s="398">
        <v>0.71139616800000005</v>
      </c>
      <c r="AL5562" s="398">
        <v>0.71139616800000005</v>
      </c>
      <c r="AM5562" s="17">
        <f t="shared" si="202"/>
        <v>1.4227923360000001</v>
      </c>
      <c r="AN5562" s="14" t="s">
        <v>11722</v>
      </c>
      <c r="AO5562" s="12" t="s">
        <v>11723</v>
      </c>
      <c r="AP5562" s="399"/>
      <c r="AQ5562" s="400"/>
      <c r="AR5562" s="399"/>
      <c r="AS5562" s="399"/>
      <c r="AT5562" s="399"/>
      <c r="AX5562" s="400"/>
    </row>
    <row r="5563" spans="1:50" s="14" customFormat="1" x14ac:dyDescent="0.3">
      <c r="A5563" s="386" t="s">
        <v>8325</v>
      </c>
      <c r="B5563" s="14" t="s">
        <v>8326</v>
      </c>
      <c r="C5563" s="14" t="s">
        <v>11714</v>
      </c>
      <c r="D5563" s="14" t="s">
        <v>6838</v>
      </c>
      <c r="E5563" s="14" t="s">
        <v>11989</v>
      </c>
      <c r="F5563" s="12" t="s">
        <v>11990</v>
      </c>
      <c r="G5563" s="14" t="s">
        <v>12042</v>
      </c>
      <c r="H5563" s="12" t="s">
        <v>12043</v>
      </c>
      <c r="K5563" s="14" t="s">
        <v>12044</v>
      </c>
      <c r="L5563" s="12" t="s">
        <v>12045</v>
      </c>
      <c r="M5563" s="14" t="s">
        <v>12072</v>
      </c>
      <c r="N5563" s="14">
        <v>1</v>
      </c>
      <c r="O5563" s="14">
        <v>0</v>
      </c>
      <c r="P5563" s="12">
        <v>1</v>
      </c>
      <c r="Q5563" s="12">
        <v>1</v>
      </c>
      <c r="R5563" s="12">
        <v>1</v>
      </c>
      <c r="S5563" s="12">
        <v>1</v>
      </c>
      <c r="T5563" s="14" t="s">
        <v>11722</v>
      </c>
      <c r="U5563" t="s">
        <v>11723</v>
      </c>
      <c r="V5563" s="14" t="s">
        <v>12073</v>
      </c>
      <c r="W5563" s="388">
        <v>1</v>
      </c>
      <c r="X5563" s="388">
        <v>1</v>
      </c>
      <c r="Y5563" s="388">
        <v>0</v>
      </c>
      <c r="Z5563" s="388">
        <v>1</v>
      </c>
      <c r="AA5563" s="388">
        <v>1</v>
      </c>
      <c r="AB5563" s="388">
        <v>1</v>
      </c>
      <c r="AC5563" s="150">
        <v>1</v>
      </c>
      <c r="AD5563" s="150">
        <v>1</v>
      </c>
      <c r="AE5563" s="49">
        <f t="shared" ref="AE5563:AE5626" si="203">SUM(W5563:AD5563)/8</f>
        <v>0.875</v>
      </c>
      <c r="AF5563" s="397"/>
      <c r="AG5563" s="17">
        <v>0</v>
      </c>
      <c r="AH5563" s="397">
        <v>0</v>
      </c>
      <c r="AI5563" s="397">
        <v>0.70409999999999995</v>
      </c>
      <c r="AJ5563" s="397">
        <v>0.73930499999999999</v>
      </c>
      <c r="AK5563" s="398">
        <v>0.7</v>
      </c>
      <c r="AL5563" s="398">
        <v>0.74</v>
      </c>
      <c r="AM5563" s="17">
        <f t="shared" si="202"/>
        <v>1.44</v>
      </c>
      <c r="AN5563" s="14" t="s">
        <v>11722</v>
      </c>
      <c r="AO5563" s="12" t="s">
        <v>11723</v>
      </c>
      <c r="AP5563" s="399"/>
      <c r="AQ5563" s="400"/>
      <c r="AR5563" s="399"/>
      <c r="AS5563" s="399"/>
      <c r="AT5563" s="399"/>
      <c r="AX5563" s="400"/>
    </row>
    <row r="5564" spans="1:50" s="14" customFormat="1" x14ac:dyDescent="0.3">
      <c r="A5564" s="386" t="s">
        <v>8325</v>
      </c>
      <c r="B5564" s="14" t="s">
        <v>8326</v>
      </c>
      <c r="C5564" s="14" t="s">
        <v>11714</v>
      </c>
      <c r="D5564" s="14" t="s">
        <v>6838</v>
      </c>
      <c r="E5564" s="14" t="s">
        <v>11989</v>
      </c>
      <c r="F5564" s="12" t="s">
        <v>11990</v>
      </c>
      <c r="G5564" s="14" t="s">
        <v>12042</v>
      </c>
      <c r="H5564" s="12" t="s">
        <v>12043</v>
      </c>
      <c r="K5564" s="14" t="s">
        <v>12044</v>
      </c>
      <c r="L5564" s="12" t="s">
        <v>12045</v>
      </c>
      <c r="M5564" s="14" t="s">
        <v>12074</v>
      </c>
      <c r="N5564" s="14">
        <v>0</v>
      </c>
      <c r="O5564" s="14">
        <v>0</v>
      </c>
      <c r="P5564" s="12">
        <v>1</v>
      </c>
      <c r="Q5564" s="12">
        <v>0</v>
      </c>
      <c r="R5564" s="12">
        <v>0</v>
      </c>
      <c r="S5564" s="12">
        <v>0</v>
      </c>
      <c r="T5564" s="14" t="s">
        <v>11722</v>
      </c>
      <c r="U5564" t="s">
        <v>11723</v>
      </c>
      <c r="V5564" s="14" t="s">
        <v>12075</v>
      </c>
      <c r="W5564" s="388">
        <v>1</v>
      </c>
      <c r="X5564" s="388">
        <v>1</v>
      </c>
      <c r="Y5564" s="388">
        <v>1</v>
      </c>
      <c r="Z5564" s="388">
        <v>1</v>
      </c>
      <c r="AA5564" s="388">
        <v>1</v>
      </c>
      <c r="AB5564" s="388">
        <v>1</v>
      </c>
      <c r="AC5564" s="150">
        <v>1</v>
      </c>
      <c r="AD5564" s="150">
        <v>1</v>
      </c>
      <c r="AE5564" s="49">
        <f t="shared" si="203"/>
        <v>1</v>
      </c>
      <c r="AF5564" s="397"/>
      <c r="AG5564" s="17">
        <v>0</v>
      </c>
      <c r="AH5564" s="397">
        <v>0</v>
      </c>
      <c r="AI5564" s="397">
        <v>0.1</v>
      </c>
      <c r="AJ5564" s="397">
        <v>0</v>
      </c>
      <c r="AK5564" s="398">
        <v>0.1</v>
      </c>
      <c r="AL5564" s="398">
        <v>0.1</v>
      </c>
      <c r="AM5564" s="17">
        <f t="shared" si="202"/>
        <v>0.2</v>
      </c>
      <c r="AN5564" s="14" t="s">
        <v>11722</v>
      </c>
      <c r="AO5564" s="12" t="s">
        <v>11723</v>
      </c>
      <c r="AP5564" s="399"/>
      <c r="AQ5564" s="400"/>
      <c r="AR5564" s="399"/>
      <c r="AS5564" s="399"/>
      <c r="AT5564" s="399"/>
      <c r="AX5564" s="400"/>
    </row>
    <row r="5565" spans="1:50" s="14" customFormat="1" x14ac:dyDescent="0.3">
      <c r="A5565" s="386" t="s">
        <v>8325</v>
      </c>
      <c r="B5565" s="14" t="s">
        <v>8326</v>
      </c>
      <c r="C5565" s="14" t="s">
        <v>11714</v>
      </c>
      <c r="D5565" s="14" t="s">
        <v>6838</v>
      </c>
      <c r="E5565" s="14" t="s">
        <v>11989</v>
      </c>
      <c r="F5565" s="12" t="s">
        <v>11990</v>
      </c>
      <c r="G5565" s="14" t="s">
        <v>12042</v>
      </c>
      <c r="H5565" s="12" t="s">
        <v>12043</v>
      </c>
      <c r="K5565" s="14" t="s">
        <v>12044</v>
      </c>
      <c r="L5565" s="12" t="s">
        <v>12045</v>
      </c>
      <c r="M5565" s="14" t="s">
        <v>12076</v>
      </c>
      <c r="N5565" s="14">
        <v>1</v>
      </c>
      <c r="O5565" s="14">
        <v>1</v>
      </c>
      <c r="P5565" s="12">
        <v>1</v>
      </c>
      <c r="Q5565" s="12">
        <v>1</v>
      </c>
      <c r="R5565" s="12">
        <v>1</v>
      </c>
      <c r="S5565" s="12">
        <v>1</v>
      </c>
      <c r="T5565" s="14" t="s">
        <v>11722</v>
      </c>
      <c r="U5565" t="s">
        <v>11723</v>
      </c>
      <c r="V5565" s="14" t="s">
        <v>12077</v>
      </c>
      <c r="W5565" s="388">
        <v>1</v>
      </c>
      <c r="X5565" s="388">
        <v>1</v>
      </c>
      <c r="Y5565" s="388">
        <v>1</v>
      </c>
      <c r="Z5565" s="388">
        <v>1</v>
      </c>
      <c r="AA5565" s="388">
        <v>1</v>
      </c>
      <c r="AB5565" s="388">
        <v>1</v>
      </c>
      <c r="AC5565" s="150">
        <v>1</v>
      </c>
      <c r="AD5565" s="150">
        <v>1</v>
      </c>
      <c r="AE5565" s="49">
        <f t="shared" si="203"/>
        <v>1</v>
      </c>
      <c r="AF5565" s="397"/>
      <c r="AG5565" s="17">
        <v>0</v>
      </c>
      <c r="AH5565" s="397">
        <v>0.05</v>
      </c>
      <c r="AI5565" s="397">
        <v>0.05</v>
      </c>
      <c r="AJ5565" s="397">
        <v>5.2499999999999998E-2</v>
      </c>
      <c r="AK5565" s="398">
        <v>0.05</v>
      </c>
      <c r="AL5565" s="398">
        <v>0.05</v>
      </c>
      <c r="AM5565" s="17">
        <f t="shared" si="202"/>
        <v>0.1</v>
      </c>
      <c r="AN5565" s="14" t="s">
        <v>11722</v>
      </c>
      <c r="AO5565" s="12" t="s">
        <v>11723</v>
      </c>
      <c r="AP5565" s="399"/>
      <c r="AQ5565" s="400"/>
      <c r="AR5565" s="399"/>
      <c r="AS5565" s="399"/>
      <c r="AT5565" s="399"/>
      <c r="AX5565" s="400"/>
    </row>
    <row r="5566" spans="1:50" s="14" customFormat="1" x14ac:dyDescent="0.3">
      <c r="A5566" s="386" t="s">
        <v>8325</v>
      </c>
      <c r="B5566" s="14" t="s">
        <v>8326</v>
      </c>
      <c r="C5566" s="14" t="s">
        <v>11714</v>
      </c>
      <c r="D5566" s="14" t="s">
        <v>6838</v>
      </c>
      <c r="E5566" s="14" t="s">
        <v>11989</v>
      </c>
      <c r="F5566" s="12" t="s">
        <v>11990</v>
      </c>
      <c r="G5566" s="14" t="s">
        <v>12042</v>
      </c>
      <c r="H5566" s="12" t="s">
        <v>12043</v>
      </c>
      <c r="K5566" s="14" t="s">
        <v>12044</v>
      </c>
      <c r="L5566" s="12" t="s">
        <v>12045</v>
      </c>
      <c r="M5566" s="14" t="s">
        <v>12078</v>
      </c>
      <c r="N5566" s="14">
        <v>1</v>
      </c>
      <c r="O5566" s="14">
        <v>1</v>
      </c>
      <c r="P5566" s="12">
        <v>1</v>
      </c>
      <c r="Q5566" s="12">
        <v>1</v>
      </c>
      <c r="R5566" s="12">
        <v>1</v>
      </c>
      <c r="S5566" s="12">
        <v>1</v>
      </c>
      <c r="T5566" s="14" t="s">
        <v>11722</v>
      </c>
      <c r="U5566" t="s">
        <v>11723</v>
      </c>
      <c r="V5566" s="14" t="s">
        <v>12079</v>
      </c>
      <c r="W5566" s="388">
        <v>1</v>
      </c>
      <c r="X5566" s="388">
        <v>1</v>
      </c>
      <c r="Y5566" s="388">
        <v>1</v>
      </c>
      <c r="Z5566" s="388">
        <v>1</v>
      </c>
      <c r="AA5566" s="388">
        <v>1</v>
      </c>
      <c r="AB5566" s="388">
        <v>1</v>
      </c>
      <c r="AC5566" s="150">
        <v>1</v>
      </c>
      <c r="AD5566" s="150">
        <v>1</v>
      </c>
      <c r="AE5566" s="49">
        <f t="shared" si="203"/>
        <v>1</v>
      </c>
      <c r="AF5566" s="397"/>
      <c r="AG5566" s="17">
        <v>0</v>
      </c>
      <c r="AH5566" s="397">
        <v>0.1</v>
      </c>
      <c r="AI5566" s="397">
        <v>0.1</v>
      </c>
      <c r="AJ5566" s="397">
        <v>0.105</v>
      </c>
      <c r="AK5566" s="398">
        <v>0</v>
      </c>
      <c r="AL5566" s="398">
        <v>0</v>
      </c>
      <c r="AM5566" s="17">
        <f t="shared" si="202"/>
        <v>0</v>
      </c>
      <c r="AN5566" s="14" t="s">
        <v>11722</v>
      </c>
      <c r="AO5566" s="12" t="s">
        <v>11723</v>
      </c>
      <c r="AP5566" s="399"/>
      <c r="AQ5566" s="400"/>
      <c r="AR5566" s="399"/>
      <c r="AS5566" s="399"/>
      <c r="AT5566" s="399"/>
      <c r="AX5566" s="400"/>
    </row>
    <row r="5567" spans="1:50" s="14" customFormat="1" x14ac:dyDescent="0.3">
      <c r="A5567" s="386" t="s">
        <v>8325</v>
      </c>
      <c r="B5567" s="14" t="s">
        <v>8326</v>
      </c>
      <c r="C5567" s="14" t="s">
        <v>11714</v>
      </c>
      <c r="D5567" s="14" t="s">
        <v>6838</v>
      </c>
      <c r="E5567" s="14" t="s">
        <v>11989</v>
      </c>
      <c r="F5567" s="12" t="s">
        <v>11990</v>
      </c>
      <c r="G5567" s="14" t="s">
        <v>12042</v>
      </c>
      <c r="H5567" s="12" t="s">
        <v>12043</v>
      </c>
      <c r="K5567" s="14" t="s">
        <v>12044</v>
      </c>
      <c r="L5567" s="12" t="s">
        <v>12045</v>
      </c>
      <c r="M5567" s="14" t="s">
        <v>12080</v>
      </c>
      <c r="N5567" s="14">
        <v>1</v>
      </c>
      <c r="O5567" s="14">
        <v>1</v>
      </c>
      <c r="P5567" s="12">
        <v>1</v>
      </c>
      <c r="Q5567" s="12">
        <v>1</v>
      </c>
      <c r="R5567" s="12">
        <v>1</v>
      </c>
      <c r="S5567" s="12">
        <v>1</v>
      </c>
      <c r="T5567" s="14" t="s">
        <v>11722</v>
      </c>
      <c r="U5567" t="s">
        <v>11723</v>
      </c>
      <c r="V5567" s="14" t="s">
        <v>12081</v>
      </c>
      <c r="W5567" s="388">
        <v>1</v>
      </c>
      <c r="X5567" s="388">
        <v>1</v>
      </c>
      <c r="Y5567" s="388">
        <v>1</v>
      </c>
      <c r="Z5567" s="388">
        <v>1</v>
      </c>
      <c r="AA5567" s="388">
        <v>1</v>
      </c>
      <c r="AB5567" s="388">
        <v>1</v>
      </c>
      <c r="AC5567" s="150">
        <v>1</v>
      </c>
      <c r="AD5567" s="150">
        <v>1</v>
      </c>
      <c r="AE5567" s="49">
        <f t="shared" si="203"/>
        <v>1</v>
      </c>
      <c r="AF5567" s="397"/>
      <c r="AG5567" s="17">
        <v>0</v>
      </c>
      <c r="AH5567" s="397">
        <v>0.12</v>
      </c>
      <c r="AI5567" s="397">
        <v>0.12</v>
      </c>
      <c r="AJ5567" s="397">
        <v>0.14000000000000001</v>
      </c>
      <c r="AK5567" s="398">
        <v>0.12</v>
      </c>
      <c r="AL5567" s="398">
        <v>0.14000000000000001</v>
      </c>
      <c r="AM5567" s="17">
        <f t="shared" si="202"/>
        <v>0.26</v>
      </c>
      <c r="AN5567" s="14" t="s">
        <v>11722</v>
      </c>
      <c r="AO5567" s="12" t="s">
        <v>11723</v>
      </c>
      <c r="AP5567" s="399"/>
      <c r="AQ5567" s="400"/>
      <c r="AR5567" s="399"/>
      <c r="AS5567" s="399"/>
      <c r="AT5567" s="399"/>
      <c r="AX5567" s="400"/>
    </row>
    <row r="5568" spans="1:50" s="14" customFormat="1" x14ac:dyDescent="0.3">
      <c r="A5568" s="386" t="s">
        <v>8325</v>
      </c>
      <c r="B5568" s="14" t="s">
        <v>8326</v>
      </c>
      <c r="C5568" s="14" t="s">
        <v>11798</v>
      </c>
      <c r="D5568" s="14" t="s">
        <v>11799</v>
      </c>
      <c r="E5568" s="14" t="s">
        <v>12048</v>
      </c>
      <c r="F5568" s="12" t="s">
        <v>11990</v>
      </c>
      <c r="G5568" s="14" t="s">
        <v>12049</v>
      </c>
      <c r="H5568" s="12" t="s">
        <v>12043</v>
      </c>
      <c r="K5568" s="14" t="s">
        <v>12050</v>
      </c>
      <c r="L5568" s="12" t="s">
        <v>12045</v>
      </c>
      <c r="M5568" s="14" t="s">
        <v>12082</v>
      </c>
      <c r="N5568" s="14">
        <v>4</v>
      </c>
      <c r="O5568" s="14">
        <v>4</v>
      </c>
      <c r="P5568" s="12">
        <v>4</v>
      </c>
      <c r="Q5568" s="12">
        <v>4</v>
      </c>
      <c r="R5568" s="12">
        <v>4</v>
      </c>
      <c r="S5568" s="12">
        <v>4</v>
      </c>
      <c r="T5568" s="14" t="s">
        <v>11722</v>
      </c>
      <c r="U5568" t="s">
        <v>11723</v>
      </c>
      <c r="V5568" s="14" t="s">
        <v>12083</v>
      </c>
      <c r="W5568" s="388">
        <v>1</v>
      </c>
      <c r="X5568" s="388">
        <v>1</v>
      </c>
      <c r="Y5568" s="388">
        <v>1</v>
      </c>
      <c r="Z5568" s="388">
        <v>1</v>
      </c>
      <c r="AA5568" s="388">
        <v>1</v>
      </c>
      <c r="AB5568" s="388">
        <v>1</v>
      </c>
      <c r="AC5568" s="150">
        <v>1</v>
      </c>
      <c r="AD5568" s="150">
        <v>1</v>
      </c>
      <c r="AE5568" s="49">
        <f t="shared" si="203"/>
        <v>1</v>
      </c>
      <c r="AF5568" s="397"/>
      <c r="AG5568" s="17">
        <v>0</v>
      </c>
      <c r="AH5568" s="397">
        <v>0.63466</v>
      </c>
      <c r="AI5568" s="397">
        <v>0.63466</v>
      </c>
      <c r="AJ5568" s="397">
        <v>0.66639300000000001</v>
      </c>
      <c r="AK5568" s="398">
        <v>0.63</v>
      </c>
      <c r="AL5568" s="398">
        <v>0.67</v>
      </c>
      <c r="AM5568" s="17">
        <f t="shared" si="202"/>
        <v>1.3</v>
      </c>
      <c r="AN5568" s="14" t="s">
        <v>11722</v>
      </c>
      <c r="AO5568" s="12" t="s">
        <v>11723</v>
      </c>
      <c r="AP5568" s="399"/>
      <c r="AQ5568" s="400"/>
      <c r="AR5568" s="399"/>
      <c r="AS5568" s="399"/>
      <c r="AT5568" s="399"/>
      <c r="AX5568" s="400"/>
    </row>
    <row r="5569" spans="1:50" s="14" customFormat="1" x14ac:dyDescent="0.3">
      <c r="A5569" s="386" t="s">
        <v>8325</v>
      </c>
      <c r="B5569" s="14" t="s">
        <v>8326</v>
      </c>
      <c r="C5569" s="14" t="s">
        <v>11798</v>
      </c>
      <c r="D5569" s="14" t="s">
        <v>11799</v>
      </c>
      <c r="E5569" s="14" t="s">
        <v>12048</v>
      </c>
      <c r="F5569" s="12" t="s">
        <v>11990</v>
      </c>
      <c r="G5569" s="14" t="s">
        <v>12049</v>
      </c>
      <c r="H5569" s="12" t="s">
        <v>12043</v>
      </c>
      <c r="K5569" s="14" t="s">
        <v>12050</v>
      </c>
      <c r="L5569" s="12" t="s">
        <v>12045</v>
      </c>
      <c r="M5569" s="14" t="s">
        <v>12084</v>
      </c>
      <c r="N5569" s="14">
        <v>8</v>
      </c>
      <c r="O5569" s="14">
        <v>16</v>
      </c>
      <c r="P5569" s="12">
        <v>16</v>
      </c>
      <c r="Q5569" s="12">
        <v>16</v>
      </c>
      <c r="R5569" s="12">
        <v>24</v>
      </c>
      <c r="S5569" s="12">
        <v>32</v>
      </c>
      <c r="T5569" s="14" t="s">
        <v>11722</v>
      </c>
      <c r="U5569" t="s">
        <v>11723</v>
      </c>
      <c r="V5569" s="14" t="s">
        <v>12085</v>
      </c>
      <c r="W5569" s="388">
        <v>1</v>
      </c>
      <c r="X5569" s="388">
        <v>1</v>
      </c>
      <c r="Y5569" s="388">
        <v>1</v>
      </c>
      <c r="Z5569" s="388">
        <v>1</v>
      </c>
      <c r="AA5569" s="388">
        <v>1</v>
      </c>
      <c r="AB5569" s="388">
        <v>1</v>
      </c>
      <c r="AC5569" s="150">
        <v>1</v>
      </c>
      <c r="AD5569" s="150">
        <v>1</v>
      </c>
      <c r="AE5569" s="49">
        <f t="shared" si="203"/>
        <v>1</v>
      </c>
      <c r="AF5569" s="397"/>
      <c r="AG5569" s="17">
        <v>0</v>
      </c>
      <c r="AH5569" s="397">
        <f>(0.2*1)*4</f>
        <v>0.8</v>
      </c>
      <c r="AI5569" s="397">
        <f>(0.2*1)*4</f>
        <v>0.8</v>
      </c>
      <c r="AJ5569" s="397">
        <f>(0.2*1)*4</f>
        <v>0.8</v>
      </c>
      <c r="AK5569" s="398">
        <v>0.8</v>
      </c>
      <c r="AL5569" s="398">
        <v>0.8</v>
      </c>
      <c r="AM5569" s="17">
        <f t="shared" si="202"/>
        <v>1.6</v>
      </c>
      <c r="AN5569" s="14" t="s">
        <v>11722</v>
      </c>
      <c r="AO5569" s="12" t="s">
        <v>11723</v>
      </c>
      <c r="AP5569" s="399"/>
      <c r="AQ5569" s="400"/>
      <c r="AR5569" s="399"/>
      <c r="AS5569" s="399"/>
      <c r="AT5569" s="399"/>
      <c r="AX5569" s="400"/>
    </row>
    <row r="5570" spans="1:50" s="14" customFormat="1" x14ac:dyDescent="0.3">
      <c r="A5570" s="386" t="s">
        <v>8325</v>
      </c>
      <c r="B5570" s="14" t="s">
        <v>8326</v>
      </c>
      <c r="C5570" s="14" t="s">
        <v>11905</v>
      </c>
      <c r="D5570" s="14" t="s">
        <v>11906</v>
      </c>
      <c r="E5570" s="14" t="s">
        <v>12053</v>
      </c>
      <c r="F5570" s="12" t="s">
        <v>11990</v>
      </c>
      <c r="G5570" s="14" t="s">
        <v>12054</v>
      </c>
      <c r="H5570" s="12" t="s">
        <v>12043</v>
      </c>
      <c r="K5570" s="14" t="s">
        <v>12055</v>
      </c>
      <c r="L5570" s="12" t="s">
        <v>12045</v>
      </c>
      <c r="M5570" s="14" t="s">
        <v>12086</v>
      </c>
      <c r="O5570" s="14">
        <v>12</v>
      </c>
      <c r="P5570" s="12">
        <v>12</v>
      </c>
      <c r="Q5570" s="12">
        <v>12</v>
      </c>
      <c r="R5570" s="12">
        <v>18</v>
      </c>
      <c r="S5570" s="12">
        <v>32</v>
      </c>
      <c r="T5570" s="14" t="s">
        <v>11722</v>
      </c>
      <c r="U5570" t="s">
        <v>11723</v>
      </c>
      <c r="V5570" s="14" t="s">
        <v>12087</v>
      </c>
      <c r="W5570" s="388">
        <v>1</v>
      </c>
      <c r="X5570" s="388">
        <v>1</v>
      </c>
      <c r="Y5570" s="388">
        <v>1</v>
      </c>
      <c r="Z5570" s="388">
        <v>1</v>
      </c>
      <c r="AA5570" s="388">
        <v>1</v>
      </c>
      <c r="AB5570" s="388">
        <v>1</v>
      </c>
      <c r="AC5570" s="150">
        <v>1</v>
      </c>
      <c r="AD5570" s="150">
        <v>1</v>
      </c>
      <c r="AE5570" s="49">
        <f t="shared" si="203"/>
        <v>1</v>
      </c>
      <c r="AF5570" s="397"/>
      <c r="AG5570" s="17">
        <v>0</v>
      </c>
      <c r="AH5570" s="397">
        <f>(0.05*3)*4</f>
        <v>0.60000000000000009</v>
      </c>
      <c r="AI5570" s="397">
        <f>(0.05*3)*4</f>
        <v>0.60000000000000009</v>
      </c>
      <c r="AJ5570" s="397">
        <f>(0.05*3)*4</f>
        <v>0.60000000000000009</v>
      </c>
      <c r="AK5570" s="398">
        <v>0.6</v>
      </c>
      <c r="AL5570" s="398">
        <v>0.6</v>
      </c>
      <c r="AM5570" s="17">
        <f t="shared" si="202"/>
        <v>1.2</v>
      </c>
      <c r="AN5570" s="14" t="s">
        <v>11722</v>
      </c>
      <c r="AO5570" s="12" t="s">
        <v>11723</v>
      </c>
      <c r="AP5570" s="399"/>
      <c r="AQ5570" s="400"/>
      <c r="AR5570" s="399"/>
      <c r="AS5570" s="399"/>
      <c r="AT5570" s="399"/>
      <c r="AX5570" s="400"/>
    </row>
    <row r="5571" spans="1:50" s="14" customFormat="1" x14ac:dyDescent="0.3">
      <c r="A5571" s="386" t="s">
        <v>8325</v>
      </c>
      <c r="B5571" s="14" t="s">
        <v>8326</v>
      </c>
      <c r="C5571" s="14" t="s">
        <v>11905</v>
      </c>
      <c r="D5571" s="14" t="s">
        <v>11906</v>
      </c>
      <c r="E5571" s="14" t="s">
        <v>12053</v>
      </c>
      <c r="F5571" s="12" t="s">
        <v>11990</v>
      </c>
      <c r="G5571" s="14" t="s">
        <v>12054</v>
      </c>
      <c r="H5571" s="12" t="s">
        <v>12043</v>
      </c>
      <c r="K5571" s="14" t="s">
        <v>12055</v>
      </c>
      <c r="L5571" s="12" t="s">
        <v>12045</v>
      </c>
      <c r="M5571" s="14" t="s">
        <v>12088</v>
      </c>
      <c r="N5571" s="14">
        <v>0</v>
      </c>
      <c r="O5571" s="14">
        <v>188</v>
      </c>
      <c r="P5571" s="12">
        <v>188</v>
      </c>
      <c r="Q5571" s="12">
        <v>204</v>
      </c>
      <c r="R5571" s="12">
        <v>220</v>
      </c>
      <c r="S5571" s="12">
        <v>220</v>
      </c>
      <c r="T5571" s="14" t="s">
        <v>11722</v>
      </c>
      <c r="U5571" t="s">
        <v>11723</v>
      </c>
      <c r="V5571" s="14" t="s">
        <v>12089</v>
      </c>
      <c r="W5571" s="388">
        <v>1</v>
      </c>
      <c r="X5571" s="388">
        <v>1</v>
      </c>
      <c r="Y5571" s="388">
        <v>1</v>
      </c>
      <c r="Z5571" s="388">
        <v>1</v>
      </c>
      <c r="AA5571" s="388">
        <v>1</v>
      </c>
      <c r="AB5571" s="388">
        <v>1</v>
      </c>
      <c r="AC5571" s="150">
        <v>1</v>
      </c>
      <c r="AD5571" s="150">
        <v>1</v>
      </c>
      <c r="AE5571" s="49">
        <f t="shared" si="203"/>
        <v>1</v>
      </c>
      <c r="AF5571" s="397"/>
      <c r="AG5571" s="17">
        <v>0</v>
      </c>
      <c r="AH5571" s="397">
        <v>4.7537999999999982</v>
      </c>
      <c r="AI5571" s="397">
        <v>5.0040000000000013</v>
      </c>
      <c r="AJ5571" s="397">
        <v>7.6568419999999975</v>
      </c>
      <c r="AK5571" s="398">
        <v>5.0040000000000013</v>
      </c>
      <c r="AL5571" s="398">
        <v>7.6568419999999975</v>
      </c>
      <c r="AM5571" s="17">
        <f t="shared" si="202"/>
        <v>12.660841999999999</v>
      </c>
      <c r="AN5571" s="14" t="s">
        <v>11722</v>
      </c>
      <c r="AO5571" s="12" t="s">
        <v>11723</v>
      </c>
      <c r="AP5571" s="399"/>
      <c r="AQ5571" s="400"/>
      <c r="AR5571" s="399"/>
      <c r="AS5571" s="399"/>
      <c r="AT5571" s="399"/>
      <c r="AX5571" s="400"/>
    </row>
    <row r="5572" spans="1:50" s="14" customFormat="1" x14ac:dyDescent="0.3">
      <c r="A5572" s="386" t="s">
        <v>8325</v>
      </c>
      <c r="B5572" s="14" t="s">
        <v>8326</v>
      </c>
      <c r="C5572" s="14" t="s">
        <v>11798</v>
      </c>
      <c r="D5572" s="14" t="s">
        <v>11799</v>
      </c>
      <c r="E5572" s="14" t="s">
        <v>12048</v>
      </c>
      <c r="F5572" s="12" t="s">
        <v>11990</v>
      </c>
      <c r="G5572" s="14" t="s">
        <v>12049</v>
      </c>
      <c r="H5572" s="12" t="s">
        <v>12043</v>
      </c>
      <c r="K5572" s="14" t="s">
        <v>12050</v>
      </c>
      <c r="L5572" s="12" t="s">
        <v>12045</v>
      </c>
      <c r="M5572" s="14" t="s">
        <v>12090</v>
      </c>
      <c r="N5572" s="14">
        <v>0</v>
      </c>
      <c r="O5572" s="14">
        <v>76</v>
      </c>
      <c r="P5572" s="12">
        <v>80</v>
      </c>
      <c r="Q5572" s="12">
        <v>88</v>
      </c>
      <c r="R5572" s="12">
        <v>96</v>
      </c>
      <c r="S5572" s="12">
        <v>100</v>
      </c>
      <c r="T5572" s="14" t="s">
        <v>11722</v>
      </c>
      <c r="U5572" t="s">
        <v>11723</v>
      </c>
      <c r="V5572" s="14" t="s">
        <v>12091</v>
      </c>
      <c r="W5572" s="388">
        <v>1</v>
      </c>
      <c r="X5572" s="388">
        <v>1</v>
      </c>
      <c r="Y5572" s="388">
        <v>1</v>
      </c>
      <c r="Z5572" s="388">
        <v>1</v>
      </c>
      <c r="AA5572" s="388">
        <v>1</v>
      </c>
      <c r="AB5572" s="388">
        <v>1</v>
      </c>
      <c r="AC5572" s="150">
        <v>1</v>
      </c>
      <c r="AD5572" s="150">
        <v>1</v>
      </c>
      <c r="AE5572" s="49">
        <f t="shared" si="203"/>
        <v>1</v>
      </c>
      <c r="AF5572" s="397"/>
      <c r="AG5572" s="17">
        <v>0</v>
      </c>
      <c r="AH5572" s="397">
        <v>6.4166800000000004</v>
      </c>
      <c r="AI5572" s="397">
        <v>6.7544000000000004</v>
      </c>
      <c r="AJ5572" s="397">
        <v>7.4298400000000004</v>
      </c>
      <c r="AK5572" s="398">
        <v>6.7544000000000004</v>
      </c>
      <c r="AL5572" s="398">
        <v>7.4298400000000004</v>
      </c>
      <c r="AM5572" s="17">
        <f t="shared" si="202"/>
        <v>14.184240000000001</v>
      </c>
      <c r="AN5572" s="14" t="s">
        <v>11722</v>
      </c>
      <c r="AO5572" s="12" t="s">
        <v>11723</v>
      </c>
      <c r="AP5572" s="399"/>
      <c r="AQ5572" s="400"/>
      <c r="AR5572" s="399"/>
      <c r="AS5572" s="399"/>
      <c r="AT5572" s="399"/>
      <c r="AX5572" s="400"/>
    </row>
    <row r="5573" spans="1:50" s="14" customFormat="1" x14ac:dyDescent="0.3">
      <c r="A5573" s="386" t="s">
        <v>8325</v>
      </c>
      <c r="B5573" s="14" t="s">
        <v>8326</v>
      </c>
      <c r="C5573" s="14" t="s">
        <v>11798</v>
      </c>
      <c r="D5573" s="14" t="s">
        <v>11799</v>
      </c>
      <c r="E5573" s="14" t="s">
        <v>12048</v>
      </c>
      <c r="F5573" s="12" t="s">
        <v>11990</v>
      </c>
      <c r="G5573" s="14" t="s">
        <v>12049</v>
      </c>
      <c r="H5573" s="12" t="s">
        <v>12043</v>
      </c>
      <c r="K5573" s="14" t="s">
        <v>12050</v>
      </c>
      <c r="L5573" s="12" t="s">
        <v>12045</v>
      </c>
      <c r="M5573" s="14" t="s">
        <v>12092</v>
      </c>
      <c r="N5573" s="14">
        <v>0</v>
      </c>
      <c r="O5573" s="14">
        <v>16</v>
      </c>
      <c r="P5573" s="12">
        <v>16</v>
      </c>
      <c r="Q5573" s="12">
        <v>16</v>
      </c>
      <c r="R5573" s="12">
        <v>16</v>
      </c>
      <c r="S5573" s="12">
        <v>16</v>
      </c>
      <c r="T5573" s="14" t="s">
        <v>11722</v>
      </c>
      <c r="U5573" t="s">
        <v>11723</v>
      </c>
      <c r="V5573" s="14" t="s">
        <v>12093</v>
      </c>
      <c r="W5573" s="388">
        <v>1</v>
      </c>
      <c r="X5573" s="388">
        <v>1</v>
      </c>
      <c r="Y5573" s="388">
        <v>1</v>
      </c>
      <c r="Z5573" s="388">
        <v>1</v>
      </c>
      <c r="AA5573" s="388">
        <v>1</v>
      </c>
      <c r="AB5573" s="388">
        <v>1</v>
      </c>
      <c r="AC5573" s="150">
        <v>1</v>
      </c>
      <c r="AD5573" s="150">
        <v>1</v>
      </c>
      <c r="AE5573" s="49">
        <f t="shared" si="203"/>
        <v>1</v>
      </c>
      <c r="AF5573" s="397"/>
      <c r="AG5573" s="17">
        <v>0</v>
      </c>
      <c r="AH5573" s="397">
        <v>9.8657599999999999</v>
      </c>
      <c r="AI5573" s="397">
        <v>9.8657599999999999</v>
      </c>
      <c r="AJ5573" s="397">
        <v>9.8657599999999999</v>
      </c>
      <c r="AK5573" s="398">
        <v>9.8657599999999999</v>
      </c>
      <c r="AL5573" s="398">
        <v>9.8657599999999999</v>
      </c>
      <c r="AM5573" s="17">
        <f t="shared" si="202"/>
        <v>19.73152</v>
      </c>
      <c r="AN5573" s="14" t="s">
        <v>11722</v>
      </c>
      <c r="AO5573" s="12" t="s">
        <v>11723</v>
      </c>
      <c r="AP5573" s="399"/>
      <c r="AQ5573" s="400"/>
      <c r="AR5573" s="399"/>
      <c r="AS5573" s="399"/>
      <c r="AT5573" s="399"/>
      <c r="AX5573" s="400"/>
    </row>
    <row r="5574" spans="1:50" s="14" customFormat="1" x14ac:dyDescent="0.3">
      <c r="A5574" s="386" t="s">
        <v>8325</v>
      </c>
      <c r="B5574" s="14" t="s">
        <v>8326</v>
      </c>
      <c r="C5574" s="14" t="s">
        <v>11905</v>
      </c>
      <c r="D5574" s="14" t="s">
        <v>11906</v>
      </c>
      <c r="E5574" s="14" t="s">
        <v>12053</v>
      </c>
      <c r="F5574" s="12" t="s">
        <v>11990</v>
      </c>
      <c r="G5574" s="14" t="s">
        <v>12054</v>
      </c>
      <c r="H5574" s="12" t="s">
        <v>12043</v>
      </c>
      <c r="K5574" s="14" t="s">
        <v>12055</v>
      </c>
      <c r="L5574" s="12" t="s">
        <v>12045</v>
      </c>
      <c r="M5574" s="14" t="s">
        <v>12094</v>
      </c>
      <c r="N5574" s="14">
        <v>0</v>
      </c>
      <c r="O5574" s="14">
        <v>0</v>
      </c>
      <c r="P5574" s="12">
        <v>408</v>
      </c>
      <c r="Q5574" s="12">
        <v>408</v>
      </c>
      <c r="R5574" s="12">
        <v>408</v>
      </c>
      <c r="S5574" s="12">
        <v>408</v>
      </c>
      <c r="T5574" s="14" t="s">
        <v>11722</v>
      </c>
      <c r="U5574" t="s">
        <v>11723</v>
      </c>
      <c r="V5574" s="14" t="s">
        <v>12095</v>
      </c>
      <c r="W5574" s="388">
        <v>1</v>
      </c>
      <c r="X5574" s="388">
        <v>1</v>
      </c>
      <c r="Y5574" s="388">
        <v>1</v>
      </c>
      <c r="Z5574" s="388">
        <v>1</v>
      </c>
      <c r="AA5574" s="388">
        <v>1</v>
      </c>
      <c r="AB5574" s="388">
        <v>1</v>
      </c>
      <c r="AC5574" s="150">
        <v>1</v>
      </c>
      <c r="AD5574" s="150">
        <v>1</v>
      </c>
      <c r="AE5574" s="49">
        <f t="shared" si="203"/>
        <v>1</v>
      </c>
      <c r="AF5574" s="397"/>
      <c r="AG5574" s="17">
        <v>0</v>
      </c>
      <c r="AH5574" s="397">
        <f>5.85072072*0.6</f>
        <v>3.510432432</v>
      </c>
      <c r="AI5574" s="397">
        <f>5.85072072*0.6</f>
        <v>3.510432432</v>
      </c>
      <c r="AJ5574" s="397">
        <f>6.143256756*0.6</f>
        <v>3.6859540536000002</v>
      </c>
      <c r="AK5574" s="398">
        <v>3.510432432</v>
      </c>
      <c r="AL5574" s="398">
        <v>3.6859540536000002</v>
      </c>
      <c r="AM5574" s="17">
        <f t="shared" si="202"/>
        <v>7.1963864855999997</v>
      </c>
      <c r="AN5574" s="14" t="s">
        <v>11722</v>
      </c>
      <c r="AO5574" s="12" t="s">
        <v>11723</v>
      </c>
      <c r="AP5574" s="399"/>
      <c r="AQ5574" s="400"/>
      <c r="AR5574" s="399"/>
      <c r="AS5574" s="399"/>
      <c r="AT5574" s="399"/>
      <c r="AX5574" s="400"/>
    </row>
    <row r="5575" spans="1:50" s="14" customFormat="1" x14ac:dyDescent="0.3">
      <c r="A5575" s="386" t="s">
        <v>8325</v>
      </c>
      <c r="B5575" s="14" t="s">
        <v>8326</v>
      </c>
      <c r="C5575" s="14" t="s">
        <v>11798</v>
      </c>
      <c r="D5575" s="14" t="s">
        <v>11799</v>
      </c>
      <c r="E5575" s="14" t="s">
        <v>12048</v>
      </c>
      <c r="F5575" s="12" t="s">
        <v>11990</v>
      </c>
      <c r="G5575" s="14" t="s">
        <v>12049</v>
      </c>
      <c r="H5575" s="12" t="s">
        <v>12043</v>
      </c>
      <c r="K5575" s="14" t="s">
        <v>12050</v>
      </c>
      <c r="L5575" s="12" t="s">
        <v>12045</v>
      </c>
      <c r="M5575" s="14" t="s">
        <v>12096</v>
      </c>
      <c r="N5575" s="14">
        <v>0</v>
      </c>
      <c r="O5575" s="14">
        <v>0</v>
      </c>
      <c r="P5575" s="12">
        <v>163.20000000000002</v>
      </c>
      <c r="Q5575" s="12">
        <v>163.20000000000002</v>
      </c>
      <c r="R5575" s="12">
        <v>163.20000000000002</v>
      </c>
      <c r="S5575" s="12">
        <v>163.20000000000002</v>
      </c>
      <c r="T5575" s="14" t="s">
        <v>11722</v>
      </c>
      <c r="U5575" t="s">
        <v>11723</v>
      </c>
      <c r="V5575" s="14" t="s">
        <v>12097</v>
      </c>
      <c r="W5575" s="388">
        <v>1</v>
      </c>
      <c r="X5575" s="388">
        <v>1</v>
      </c>
      <c r="Y5575" s="388">
        <v>1</v>
      </c>
      <c r="Z5575" s="388">
        <v>1</v>
      </c>
      <c r="AA5575" s="388">
        <v>1</v>
      </c>
      <c r="AB5575" s="388">
        <v>1</v>
      </c>
      <c r="AC5575" s="150">
        <v>1</v>
      </c>
      <c r="AD5575" s="150">
        <v>1</v>
      </c>
      <c r="AE5575" s="49">
        <f t="shared" si="203"/>
        <v>1</v>
      </c>
      <c r="AF5575" s="397"/>
      <c r="AG5575" s="17">
        <v>0</v>
      </c>
      <c r="AH5575" s="397">
        <f>5.85072072*0.4</f>
        <v>2.340288288</v>
      </c>
      <c r="AI5575" s="397">
        <f>5.85072072*0.4</f>
        <v>2.340288288</v>
      </c>
      <c r="AJ5575" s="397">
        <f>6.143256756*0.4</f>
        <v>2.4573027024000003</v>
      </c>
      <c r="AK5575" s="398">
        <v>2.340288288</v>
      </c>
      <c r="AL5575" s="398">
        <v>2.4573027024000003</v>
      </c>
      <c r="AM5575" s="17">
        <f t="shared" si="202"/>
        <v>4.7975909903999998</v>
      </c>
      <c r="AN5575" s="14" t="s">
        <v>11722</v>
      </c>
      <c r="AO5575" s="12" t="s">
        <v>11723</v>
      </c>
      <c r="AP5575" s="399"/>
      <c r="AQ5575" s="400"/>
      <c r="AR5575" s="399"/>
      <c r="AS5575" s="399"/>
      <c r="AT5575" s="399"/>
      <c r="AX5575" s="400"/>
    </row>
    <row r="5576" spans="1:50" s="14" customFormat="1" x14ac:dyDescent="0.3">
      <c r="A5576" s="386" t="s">
        <v>8325</v>
      </c>
      <c r="B5576" s="14" t="s">
        <v>8326</v>
      </c>
      <c r="C5576" s="14" t="s">
        <v>11905</v>
      </c>
      <c r="D5576" s="14" t="s">
        <v>11906</v>
      </c>
      <c r="E5576" s="14" t="s">
        <v>12053</v>
      </c>
      <c r="F5576" s="12" t="s">
        <v>11990</v>
      </c>
      <c r="G5576" s="14" t="s">
        <v>12054</v>
      </c>
      <c r="H5576" s="12" t="s">
        <v>12043</v>
      </c>
      <c r="K5576" s="14" t="s">
        <v>12055</v>
      </c>
      <c r="L5576" s="12" t="s">
        <v>12045</v>
      </c>
      <c r="M5576" s="14" t="s">
        <v>12098</v>
      </c>
      <c r="N5576" s="14">
        <v>0</v>
      </c>
      <c r="O5576" s="14">
        <v>0</v>
      </c>
      <c r="P5576" s="12">
        <v>408</v>
      </c>
      <c r="Q5576" s="12">
        <v>408</v>
      </c>
      <c r="R5576" s="12">
        <v>408</v>
      </c>
      <c r="S5576" s="12">
        <v>408</v>
      </c>
      <c r="T5576" s="14" t="s">
        <v>11722</v>
      </c>
      <c r="U5576" t="s">
        <v>11723</v>
      </c>
      <c r="V5576" s="14" t="s">
        <v>12099</v>
      </c>
      <c r="W5576" s="388">
        <v>1</v>
      </c>
      <c r="X5576" s="388">
        <v>1</v>
      </c>
      <c r="Y5576" s="388">
        <v>1</v>
      </c>
      <c r="Z5576" s="388">
        <v>1</v>
      </c>
      <c r="AA5576" s="388">
        <v>1</v>
      </c>
      <c r="AB5576" s="388">
        <v>1</v>
      </c>
      <c r="AC5576" s="150">
        <v>1</v>
      </c>
      <c r="AD5576" s="150">
        <v>1</v>
      </c>
      <c r="AE5576" s="49">
        <f t="shared" si="203"/>
        <v>1</v>
      </c>
      <c r="AF5576" s="397"/>
      <c r="AG5576" s="17">
        <v>0</v>
      </c>
      <c r="AH5576" s="397">
        <f>6.3316*0.4</f>
        <v>2.5326400000000002</v>
      </c>
      <c r="AI5576" s="397">
        <f>6.3316*0.4</f>
        <v>2.5326400000000002</v>
      </c>
      <c r="AJ5576" s="397">
        <f>6.64818*0.6</f>
        <v>3.9889079999999999</v>
      </c>
      <c r="AK5576" s="398">
        <v>2.5326400000000002</v>
      </c>
      <c r="AL5576" s="398">
        <v>3.9889079999999999</v>
      </c>
      <c r="AM5576" s="17">
        <f t="shared" si="202"/>
        <v>6.5215480000000001</v>
      </c>
      <c r="AN5576" s="14" t="s">
        <v>11722</v>
      </c>
      <c r="AO5576" s="12" t="s">
        <v>11723</v>
      </c>
      <c r="AP5576" s="399"/>
      <c r="AQ5576" s="400"/>
      <c r="AR5576" s="399"/>
      <c r="AS5576" s="399"/>
      <c r="AT5576" s="399"/>
      <c r="AX5576" s="400"/>
    </row>
    <row r="5577" spans="1:50" s="14" customFormat="1" x14ac:dyDescent="0.3">
      <c r="A5577" s="386" t="s">
        <v>8325</v>
      </c>
      <c r="B5577" s="14" t="s">
        <v>8326</v>
      </c>
      <c r="C5577" s="14" t="s">
        <v>11798</v>
      </c>
      <c r="D5577" s="14" t="s">
        <v>11799</v>
      </c>
      <c r="E5577" s="14" t="s">
        <v>12048</v>
      </c>
      <c r="F5577" s="12" t="s">
        <v>11990</v>
      </c>
      <c r="G5577" s="14" t="s">
        <v>12049</v>
      </c>
      <c r="H5577" s="12" t="s">
        <v>12043</v>
      </c>
      <c r="K5577" s="14" t="s">
        <v>12050</v>
      </c>
      <c r="L5577" s="12" t="s">
        <v>12045</v>
      </c>
      <c r="M5577" s="14" t="s">
        <v>12100</v>
      </c>
      <c r="N5577" s="14">
        <v>0</v>
      </c>
      <c r="O5577" s="14">
        <v>0</v>
      </c>
      <c r="P5577" s="12">
        <v>163.20000000000002</v>
      </c>
      <c r="Q5577" s="12">
        <v>163.20000000000002</v>
      </c>
      <c r="R5577" s="12">
        <v>163.20000000000002</v>
      </c>
      <c r="S5577" s="12">
        <v>163.20000000000002</v>
      </c>
      <c r="T5577" s="14" t="s">
        <v>11722</v>
      </c>
      <c r="U5577" t="s">
        <v>11723</v>
      </c>
      <c r="V5577" s="14" t="s">
        <v>12101</v>
      </c>
      <c r="W5577" s="388">
        <v>1</v>
      </c>
      <c r="X5577" s="388">
        <v>1</v>
      </c>
      <c r="Y5577" s="388">
        <v>1</v>
      </c>
      <c r="Z5577" s="388">
        <v>1</v>
      </c>
      <c r="AA5577" s="388">
        <v>1</v>
      </c>
      <c r="AB5577" s="388">
        <v>1</v>
      </c>
      <c r="AC5577" s="150">
        <v>1</v>
      </c>
      <c r="AD5577" s="150">
        <v>1</v>
      </c>
      <c r="AE5577" s="49">
        <f t="shared" si="203"/>
        <v>1</v>
      </c>
      <c r="AF5577" s="397"/>
      <c r="AG5577" s="17">
        <v>0</v>
      </c>
      <c r="AH5577" s="397">
        <f>6.3316*0.7</f>
        <v>4.4321199999999994</v>
      </c>
      <c r="AI5577" s="397">
        <f>6.3316*0.7</f>
        <v>4.4321199999999994</v>
      </c>
      <c r="AJ5577" s="397">
        <f>6.64818*0.4</f>
        <v>2.6592720000000001</v>
      </c>
      <c r="AK5577" s="398">
        <v>4.4321199999999994</v>
      </c>
      <c r="AL5577" s="398">
        <v>2.6592720000000001</v>
      </c>
      <c r="AM5577" s="17">
        <f t="shared" si="202"/>
        <v>7.091391999999999</v>
      </c>
      <c r="AN5577" s="14" t="s">
        <v>11722</v>
      </c>
      <c r="AO5577" s="12" t="s">
        <v>11723</v>
      </c>
      <c r="AP5577" s="399"/>
      <c r="AQ5577" s="400"/>
      <c r="AR5577" s="399"/>
      <c r="AS5577" s="399"/>
      <c r="AT5577" s="399"/>
      <c r="AX5577" s="400"/>
    </row>
    <row r="5578" spans="1:50" s="12" customFormat="1" x14ac:dyDescent="0.3">
      <c r="A5578" s="386" t="s">
        <v>8325</v>
      </c>
      <c r="B5578" s="14" t="s">
        <v>8326</v>
      </c>
      <c r="C5578" s="14" t="s">
        <v>11905</v>
      </c>
      <c r="D5578" s="12" t="s">
        <v>11906</v>
      </c>
      <c r="E5578" s="14" t="s">
        <v>12053</v>
      </c>
      <c r="F5578" s="12" t="s">
        <v>11990</v>
      </c>
      <c r="G5578" s="14" t="s">
        <v>12054</v>
      </c>
      <c r="H5578" s="12" t="s">
        <v>12043</v>
      </c>
      <c r="K5578" s="14" t="s">
        <v>12055</v>
      </c>
      <c r="L5578" s="12" t="s">
        <v>12045</v>
      </c>
      <c r="M5578" s="14" t="s">
        <v>12102</v>
      </c>
      <c r="N5578" s="14"/>
      <c r="O5578" s="14"/>
      <c r="P5578" s="12">
        <v>250</v>
      </c>
      <c r="Q5578" s="12">
        <v>250</v>
      </c>
      <c r="R5578" s="12">
        <v>250</v>
      </c>
      <c r="S5578" s="12">
        <v>250</v>
      </c>
      <c r="T5578" s="14" t="s">
        <v>771</v>
      </c>
      <c r="U5578" t="s">
        <v>773</v>
      </c>
      <c r="V5578" s="14" t="s">
        <v>12103</v>
      </c>
      <c r="W5578" s="388"/>
      <c r="X5578" s="388"/>
      <c r="Y5578" s="388"/>
      <c r="Z5578" s="388"/>
      <c r="AA5578" s="388"/>
      <c r="AB5578" s="388"/>
      <c r="AC5578" s="150">
        <v>0</v>
      </c>
      <c r="AD5578" s="150">
        <v>0</v>
      </c>
      <c r="AE5578" s="49">
        <f t="shared" si="203"/>
        <v>0</v>
      </c>
      <c r="AF5578" s="397"/>
      <c r="AG5578" s="17">
        <v>0</v>
      </c>
      <c r="AH5578" s="397">
        <v>0</v>
      </c>
      <c r="AI5578" s="397">
        <v>0.1</v>
      </c>
      <c r="AJ5578" s="397">
        <v>0.1</v>
      </c>
      <c r="AK5578" s="398">
        <v>0</v>
      </c>
      <c r="AL5578" s="398">
        <v>0</v>
      </c>
      <c r="AM5578" s="17">
        <f t="shared" si="202"/>
        <v>0</v>
      </c>
      <c r="AN5578" s="14" t="s">
        <v>771</v>
      </c>
      <c r="AO5578" s="12" t="s">
        <v>773</v>
      </c>
      <c r="AP5578" s="405"/>
      <c r="AQ5578" s="405"/>
      <c r="AR5578" s="405"/>
      <c r="AS5578" s="405"/>
      <c r="AT5578" s="405"/>
      <c r="AX5578" s="402"/>
    </row>
    <row r="5579" spans="1:50" s="12" customFormat="1" x14ac:dyDescent="0.3">
      <c r="A5579" s="386" t="s">
        <v>8325</v>
      </c>
      <c r="B5579" s="14" t="s">
        <v>8326</v>
      </c>
      <c r="C5579" s="14" t="s">
        <v>11905</v>
      </c>
      <c r="D5579" s="12" t="s">
        <v>11906</v>
      </c>
      <c r="E5579" s="14" t="s">
        <v>12053</v>
      </c>
      <c r="F5579" s="12" t="s">
        <v>11990</v>
      </c>
      <c r="G5579" s="14" t="s">
        <v>12054</v>
      </c>
      <c r="H5579" s="12" t="s">
        <v>12043</v>
      </c>
      <c r="K5579" s="14" t="s">
        <v>12055</v>
      </c>
      <c r="L5579" s="12" t="s">
        <v>12045</v>
      </c>
      <c r="M5579" s="14" t="s">
        <v>12104</v>
      </c>
      <c r="N5579" s="14">
        <v>2000</v>
      </c>
      <c r="O5579" s="14">
        <v>2000</v>
      </c>
      <c r="P5579" s="12">
        <v>2000</v>
      </c>
      <c r="Q5579" s="12">
        <v>2000</v>
      </c>
      <c r="R5579" s="12">
        <v>2000</v>
      </c>
      <c r="S5579" s="12">
        <v>2000</v>
      </c>
      <c r="T5579" s="14" t="s">
        <v>771</v>
      </c>
      <c r="U5579" t="s">
        <v>773</v>
      </c>
      <c r="V5579" s="14" t="s">
        <v>12105</v>
      </c>
      <c r="W5579" s="388"/>
      <c r="X5579" s="388"/>
      <c r="Y5579" s="388"/>
      <c r="Z5579" s="388"/>
      <c r="AA5579" s="388"/>
      <c r="AB5579" s="388"/>
      <c r="AC5579" s="150">
        <v>0</v>
      </c>
      <c r="AD5579" s="150">
        <v>0</v>
      </c>
      <c r="AE5579" s="49">
        <f t="shared" si="203"/>
        <v>0</v>
      </c>
      <c r="AF5579" s="397"/>
      <c r="AG5579" s="17">
        <v>0</v>
      </c>
      <c r="AH5579" s="397">
        <v>0</v>
      </c>
      <c r="AI5579" s="397">
        <v>0.66</v>
      </c>
      <c r="AJ5579" s="397">
        <v>0.66</v>
      </c>
      <c r="AK5579" s="398">
        <v>0</v>
      </c>
      <c r="AL5579" s="398">
        <v>0</v>
      </c>
      <c r="AM5579" s="17">
        <f t="shared" si="202"/>
        <v>0</v>
      </c>
      <c r="AN5579" s="14" t="s">
        <v>771</v>
      </c>
      <c r="AO5579" s="12" t="s">
        <v>773</v>
      </c>
      <c r="AP5579" s="405"/>
      <c r="AQ5579" s="405"/>
      <c r="AR5579" s="405"/>
      <c r="AS5579" s="405"/>
      <c r="AT5579" s="405"/>
      <c r="AX5579" s="402"/>
    </row>
    <row r="5580" spans="1:50" s="12" customFormat="1" x14ac:dyDescent="0.3">
      <c r="A5580" s="386" t="s">
        <v>8325</v>
      </c>
      <c r="B5580" s="14" t="s">
        <v>8326</v>
      </c>
      <c r="C5580" s="14" t="s">
        <v>11905</v>
      </c>
      <c r="D5580" s="12" t="s">
        <v>11906</v>
      </c>
      <c r="E5580" s="14" t="s">
        <v>12053</v>
      </c>
      <c r="F5580" s="12" t="s">
        <v>11990</v>
      </c>
      <c r="G5580" s="14" t="s">
        <v>12054</v>
      </c>
      <c r="H5580" s="12" t="s">
        <v>12043</v>
      </c>
      <c r="K5580" s="14" t="s">
        <v>12055</v>
      </c>
      <c r="L5580" s="12" t="s">
        <v>12045</v>
      </c>
      <c r="M5580" s="14" t="s">
        <v>12106</v>
      </c>
      <c r="N5580" s="14">
        <v>120</v>
      </c>
      <c r="O5580" s="14">
        <v>120</v>
      </c>
      <c r="P5580" s="12">
        <v>120</v>
      </c>
      <c r="Q5580" s="12">
        <v>120</v>
      </c>
      <c r="R5580" s="12">
        <v>120</v>
      </c>
      <c r="S5580" s="12">
        <v>120</v>
      </c>
      <c r="T5580" s="14" t="s">
        <v>771</v>
      </c>
      <c r="U5580" t="s">
        <v>773</v>
      </c>
      <c r="V5580" s="14" t="s">
        <v>12107</v>
      </c>
      <c r="W5580" s="388"/>
      <c r="X5580" s="388"/>
      <c r="Y5580" s="388"/>
      <c r="Z5580" s="388"/>
      <c r="AA5580" s="388"/>
      <c r="AB5580" s="388"/>
      <c r="AC5580" s="150">
        <v>0</v>
      </c>
      <c r="AD5580" s="150">
        <v>0</v>
      </c>
      <c r="AE5580" s="49">
        <f t="shared" si="203"/>
        <v>0</v>
      </c>
      <c r="AF5580" s="397"/>
      <c r="AG5580" s="17">
        <v>0</v>
      </c>
      <c r="AH5580" s="397">
        <v>0</v>
      </c>
      <c r="AI5580" s="397">
        <v>0.08</v>
      </c>
      <c r="AJ5580" s="397">
        <v>0.08</v>
      </c>
      <c r="AK5580" s="398">
        <v>0</v>
      </c>
      <c r="AL5580" s="398">
        <v>0</v>
      </c>
      <c r="AM5580" s="17">
        <f t="shared" si="202"/>
        <v>0</v>
      </c>
      <c r="AN5580" s="14" t="s">
        <v>771</v>
      </c>
      <c r="AO5580" s="12" t="s">
        <v>773</v>
      </c>
      <c r="AP5580" s="405"/>
      <c r="AQ5580" s="405"/>
      <c r="AR5580" s="405"/>
      <c r="AS5580" s="405"/>
      <c r="AT5580" s="405"/>
      <c r="AX5580" s="402"/>
    </row>
    <row r="5581" spans="1:50" s="12" customFormat="1" x14ac:dyDescent="0.3">
      <c r="A5581" s="386" t="s">
        <v>8325</v>
      </c>
      <c r="B5581" s="14" t="s">
        <v>8326</v>
      </c>
      <c r="C5581" s="14" t="s">
        <v>11905</v>
      </c>
      <c r="D5581" s="12" t="s">
        <v>11906</v>
      </c>
      <c r="E5581" s="14" t="s">
        <v>12053</v>
      </c>
      <c r="F5581" s="12" t="s">
        <v>11990</v>
      </c>
      <c r="G5581" s="14" t="s">
        <v>12054</v>
      </c>
      <c r="H5581" s="12" t="s">
        <v>12043</v>
      </c>
      <c r="K5581" s="14" t="s">
        <v>12055</v>
      </c>
      <c r="L5581" s="12" t="s">
        <v>12045</v>
      </c>
      <c r="M5581" s="14" t="s">
        <v>12108</v>
      </c>
      <c r="N5581" s="14">
        <v>600</v>
      </c>
      <c r="O5581" s="14">
        <v>600</v>
      </c>
      <c r="P5581" s="12">
        <v>600</v>
      </c>
      <c r="Q5581" s="12">
        <v>600</v>
      </c>
      <c r="R5581" s="12">
        <v>600</v>
      </c>
      <c r="S5581" s="12">
        <v>600</v>
      </c>
      <c r="T5581" s="14" t="s">
        <v>771</v>
      </c>
      <c r="U5581" t="s">
        <v>773</v>
      </c>
      <c r="V5581" s="14" t="s">
        <v>12109</v>
      </c>
      <c r="W5581" s="388"/>
      <c r="X5581" s="388"/>
      <c r="Y5581" s="388"/>
      <c r="Z5581" s="388"/>
      <c r="AA5581" s="388"/>
      <c r="AB5581" s="388"/>
      <c r="AC5581" s="150">
        <v>0</v>
      </c>
      <c r="AD5581" s="150">
        <v>0</v>
      </c>
      <c r="AE5581" s="49">
        <f t="shared" si="203"/>
        <v>0</v>
      </c>
      <c r="AF5581" s="397"/>
      <c r="AG5581" s="17">
        <v>0</v>
      </c>
      <c r="AH5581" s="397">
        <v>0</v>
      </c>
      <c r="AI5581" s="397">
        <v>0.2</v>
      </c>
      <c r="AJ5581" s="397">
        <v>0.2</v>
      </c>
      <c r="AK5581" s="398">
        <v>0</v>
      </c>
      <c r="AL5581" s="398">
        <v>0</v>
      </c>
      <c r="AM5581" s="17">
        <f t="shared" si="202"/>
        <v>0</v>
      </c>
      <c r="AN5581" s="14" t="s">
        <v>771</v>
      </c>
      <c r="AO5581" s="12" t="s">
        <v>773</v>
      </c>
      <c r="AP5581" s="405"/>
      <c r="AQ5581" s="405"/>
      <c r="AR5581" s="405"/>
      <c r="AS5581" s="405"/>
      <c r="AT5581" s="405"/>
      <c r="AX5581" s="402"/>
    </row>
    <row r="5582" spans="1:50" s="12" customFormat="1" x14ac:dyDescent="0.3">
      <c r="A5582" s="386" t="s">
        <v>8325</v>
      </c>
      <c r="B5582" s="14" t="s">
        <v>8326</v>
      </c>
      <c r="C5582" s="14" t="s">
        <v>11905</v>
      </c>
      <c r="D5582" s="12" t="s">
        <v>11906</v>
      </c>
      <c r="E5582" s="14" t="s">
        <v>12053</v>
      </c>
      <c r="F5582" s="12" t="s">
        <v>11990</v>
      </c>
      <c r="G5582" s="14" t="s">
        <v>12054</v>
      </c>
      <c r="H5582" s="12" t="s">
        <v>12043</v>
      </c>
      <c r="K5582" s="14" t="s">
        <v>12055</v>
      </c>
      <c r="L5582" s="12" t="s">
        <v>12045</v>
      </c>
      <c r="M5582" s="14" t="s">
        <v>12110</v>
      </c>
      <c r="N5582" s="14">
        <v>100</v>
      </c>
      <c r="O5582" s="14">
        <v>100</v>
      </c>
      <c r="P5582" s="12">
        <v>100</v>
      </c>
      <c r="Q5582" s="12">
        <v>100</v>
      </c>
      <c r="R5582" s="12">
        <v>100</v>
      </c>
      <c r="S5582" s="12">
        <v>100</v>
      </c>
      <c r="T5582" s="14" t="s">
        <v>771</v>
      </c>
      <c r="U5582" t="s">
        <v>773</v>
      </c>
      <c r="V5582" s="14" t="s">
        <v>12111</v>
      </c>
      <c r="W5582" s="388"/>
      <c r="X5582" s="388"/>
      <c r="Y5582" s="388"/>
      <c r="Z5582" s="388"/>
      <c r="AA5582" s="388"/>
      <c r="AB5582" s="388"/>
      <c r="AC5582" s="150">
        <v>0</v>
      </c>
      <c r="AD5582" s="150">
        <v>0</v>
      </c>
      <c r="AE5582" s="49">
        <f t="shared" si="203"/>
        <v>0</v>
      </c>
      <c r="AF5582" s="397"/>
      <c r="AG5582" s="17">
        <v>0</v>
      </c>
      <c r="AH5582" s="397">
        <v>0</v>
      </c>
      <c r="AI5582" s="397">
        <v>0.05</v>
      </c>
      <c r="AJ5582" s="397">
        <v>0.05</v>
      </c>
      <c r="AK5582" s="398">
        <v>0</v>
      </c>
      <c r="AL5582" s="398">
        <v>0</v>
      </c>
      <c r="AM5582" s="17">
        <f t="shared" si="202"/>
        <v>0</v>
      </c>
      <c r="AN5582" s="14" t="s">
        <v>771</v>
      </c>
      <c r="AO5582" s="12" t="s">
        <v>773</v>
      </c>
      <c r="AP5582" s="405"/>
      <c r="AQ5582" s="405"/>
      <c r="AR5582" s="405"/>
      <c r="AS5582" s="405"/>
      <c r="AT5582" s="405"/>
      <c r="AX5582" s="402"/>
    </row>
    <row r="5583" spans="1:50" s="14" customFormat="1" x14ac:dyDescent="0.3">
      <c r="A5583" s="386" t="s">
        <v>8325</v>
      </c>
      <c r="B5583" s="14" t="s">
        <v>8326</v>
      </c>
      <c r="C5583" s="14" t="s">
        <v>11798</v>
      </c>
      <c r="D5583" s="14" t="s">
        <v>11799</v>
      </c>
      <c r="E5583" s="14" t="s">
        <v>12048</v>
      </c>
      <c r="F5583" s="12" t="s">
        <v>11990</v>
      </c>
      <c r="G5583" s="14" t="s">
        <v>12049</v>
      </c>
      <c r="H5583" s="12" t="s">
        <v>12043</v>
      </c>
      <c r="K5583" s="14" t="s">
        <v>12112</v>
      </c>
      <c r="L5583" s="12" t="s">
        <v>12113</v>
      </c>
      <c r="M5583" s="14" t="s">
        <v>12114</v>
      </c>
      <c r="N5583" s="14">
        <v>0</v>
      </c>
      <c r="P5583" s="12">
        <v>8</v>
      </c>
      <c r="Q5583" s="12">
        <v>8</v>
      </c>
      <c r="R5583" s="12">
        <v>8</v>
      </c>
      <c r="S5583" s="12">
        <v>8</v>
      </c>
      <c r="T5583" s="14" t="s">
        <v>11722</v>
      </c>
      <c r="U5583" t="s">
        <v>11723</v>
      </c>
      <c r="V5583" s="14" t="s">
        <v>12115</v>
      </c>
      <c r="W5583" s="388">
        <v>1</v>
      </c>
      <c r="X5583" s="388">
        <v>0</v>
      </c>
      <c r="Y5583" s="388">
        <v>0</v>
      </c>
      <c r="Z5583" s="388">
        <v>1</v>
      </c>
      <c r="AA5583" s="388">
        <v>1</v>
      </c>
      <c r="AB5583" s="388">
        <v>1</v>
      </c>
      <c r="AC5583" s="150">
        <v>1</v>
      </c>
      <c r="AD5583" s="150">
        <v>1</v>
      </c>
      <c r="AE5583" s="49">
        <f t="shared" si="203"/>
        <v>0.75</v>
      </c>
      <c r="AF5583" s="397"/>
      <c r="AG5583" s="17">
        <v>0</v>
      </c>
      <c r="AH5583" s="397">
        <v>0.4</v>
      </c>
      <c r="AI5583" s="397">
        <v>0.4</v>
      </c>
      <c r="AJ5583" s="397">
        <v>0.42</v>
      </c>
      <c r="AK5583" s="398">
        <v>0.42</v>
      </c>
      <c r="AL5583" s="398">
        <v>0.42</v>
      </c>
      <c r="AM5583" s="17">
        <f t="shared" si="202"/>
        <v>0.84</v>
      </c>
      <c r="AN5583" s="14" t="s">
        <v>11722</v>
      </c>
      <c r="AO5583" s="12" t="s">
        <v>11723</v>
      </c>
      <c r="AP5583" s="399"/>
      <c r="AQ5583" s="399"/>
      <c r="AR5583" s="399"/>
      <c r="AS5583" s="399"/>
      <c r="AT5583" s="399"/>
      <c r="AX5583" s="400"/>
    </row>
    <row r="5584" spans="1:50" s="14" customFormat="1" x14ac:dyDescent="0.3">
      <c r="A5584" s="386" t="s">
        <v>8325</v>
      </c>
      <c r="B5584" s="14" t="s">
        <v>8326</v>
      </c>
      <c r="C5584" s="14" t="s">
        <v>11714</v>
      </c>
      <c r="D5584" s="14" t="s">
        <v>6838</v>
      </c>
      <c r="E5584" s="14" t="s">
        <v>11989</v>
      </c>
      <c r="F5584" s="12" t="s">
        <v>11990</v>
      </c>
      <c r="G5584" s="14" t="s">
        <v>12042</v>
      </c>
      <c r="H5584" s="12" t="s">
        <v>12043</v>
      </c>
      <c r="K5584" s="14" t="s">
        <v>12116</v>
      </c>
      <c r="L5584" s="12" t="s">
        <v>12113</v>
      </c>
      <c r="M5584" s="14" t="s">
        <v>12117</v>
      </c>
      <c r="N5584" s="14">
        <v>1</v>
      </c>
      <c r="O5584" s="14">
        <v>1</v>
      </c>
      <c r="P5584" s="12">
        <v>1</v>
      </c>
      <c r="Q5584" s="12">
        <v>1</v>
      </c>
      <c r="R5584" s="12">
        <v>1</v>
      </c>
      <c r="S5584" s="12">
        <v>1</v>
      </c>
      <c r="T5584" s="14" t="s">
        <v>11722</v>
      </c>
      <c r="U5584" t="s">
        <v>11723</v>
      </c>
      <c r="V5584" s="14" t="s">
        <v>12118</v>
      </c>
      <c r="W5584" s="388">
        <v>1</v>
      </c>
      <c r="X5584" s="388">
        <v>0</v>
      </c>
      <c r="Y5584" s="388">
        <v>0</v>
      </c>
      <c r="Z5584" s="388">
        <v>1</v>
      </c>
      <c r="AA5584" s="388">
        <v>1</v>
      </c>
      <c r="AB5584" s="388">
        <v>1</v>
      </c>
      <c r="AC5584" s="150">
        <v>1</v>
      </c>
      <c r="AD5584" s="150">
        <v>1</v>
      </c>
      <c r="AE5584" s="49">
        <f t="shared" si="203"/>
        <v>0.75</v>
      </c>
      <c r="AF5584" s="397"/>
      <c r="AG5584" s="17">
        <v>0</v>
      </c>
      <c r="AH5584" s="397">
        <v>0.1</v>
      </c>
      <c r="AI5584" s="397">
        <v>0.1</v>
      </c>
      <c r="AJ5584" s="397">
        <v>0.105</v>
      </c>
      <c r="AK5584" s="398">
        <v>0</v>
      </c>
      <c r="AL5584" s="398">
        <v>0</v>
      </c>
      <c r="AM5584" s="17">
        <f t="shared" si="202"/>
        <v>0</v>
      </c>
      <c r="AN5584" s="14" t="s">
        <v>11722</v>
      </c>
      <c r="AO5584" s="12" t="s">
        <v>11723</v>
      </c>
      <c r="AP5584" s="399"/>
      <c r="AQ5584" s="400"/>
      <c r="AR5584" s="399"/>
      <c r="AS5584" s="399"/>
      <c r="AT5584" s="399"/>
      <c r="AX5584" s="400"/>
    </row>
    <row r="5585" spans="1:50" s="14" customFormat="1" x14ac:dyDescent="0.3">
      <c r="A5585" s="386" t="s">
        <v>8325</v>
      </c>
      <c r="B5585" s="14" t="s">
        <v>8326</v>
      </c>
      <c r="C5585" s="14" t="s">
        <v>11798</v>
      </c>
      <c r="D5585" s="14" t="s">
        <v>11799</v>
      </c>
      <c r="E5585" s="14" t="s">
        <v>12048</v>
      </c>
      <c r="F5585" s="12" t="s">
        <v>11990</v>
      </c>
      <c r="G5585" s="14" t="s">
        <v>12049</v>
      </c>
      <c r="H5585" s="12" t="s">
        <v>12043</v>
      </c>
      <c r="K5585" s="14" t="s">
        <v>12112</v>
      </c>
      <c r="L5585" s="12" t="s">
        <v>12113</v>
      </c>
      <c r="M5585" s="14" t="s">
        <v>12119</v>
      </c>
      <c r="N5585" s="14">
        <v>76</v>
      </c>
      <c r="O5585" s="14">
        <v>76</v>
      </c>
      <c r="P5585" s="12">
        <v>80</v>
      </c>
      <c r="Q5585" s="12">
        <v>88</v>
      </c>
      <c r="R5585" s="12">
        <v>96</v>
      </c>
      <c r="S5585" s="12">
        <v>100</v>
      </c>
      <c r="T5585" s="14" t="s">
        <v>11722</v>
      </c>
      <c r="U5585" t="s">
        <v>11723</v>
      </c>
      <c r="V5585" s="14" t="s">
        <v>12120</v>
      </c>
      <c r="W5585" s="388">
        <v>1</v>
      </c>
      <c r="X5585" s="388">
        <v>0</v>
      </c>
      <c r="Y5585" s="388">
        <v>0</v>
      </c>
      <c r="Z5585" s="388">
        <v>1</v>
      </c>
      <c r="AA5585" s="388">
        <v>1</v>
      </c>
      <c r="AB5585" s="388">
        <v>1</v>
      </c>
      <c r="AC5585" s="150">
        <v>1</v>
      </c>
      <c r="AD5585" s="150">
        <v>1</v>
      </c>
      <c r="AE5585" s="49">
        <f t="shared" si="203"/>
        <v>0.75</v>
      </c>
      <c r="AF5585" s="397"/>
      <c r="AG5585" s="17">
        <v>0</v>
      </c>
      <c r="AH5585" s="397">
        <v>3.08636</v>
      </c>
      <c r="AI5585" s="397">
        <v>3.2488000000000001</v>
      </c>
      <c r="AJ5585" s="397">
        <v>3.752364</v>
      </c>
      <c r="AK5585" s="398">
        <v>3.25</v>
      </c>
      <c r="AL5585" s="398">
        <v>3.75</v>
      </c>
      <c r="AM5585" s="17">
        <f t="shared" si="202"/>
        <v>7</v>
      </c>
      <c r="AN5585" s="14" t="s">
        <v>11722</v>
      </c>
      <c r="AO5585" s="12" t="s">
        <v>11723</v>
      </c>
      <c r="AP5585" s="399"/>
      <c r="AQ5585" s="399"/>
      <c r="AR5585" s="399"/>
      <c r="AS5585" s="399"/>
      <c r="AT5585" s="399"/>
      <c r="AX5585" s="400"/>
    </row>
    <row r="5586" spans="1:50" s="14" customFormat="1" x14ac:dyDescent="0.3">
      <c r="A5586" s="386" t="s">
        <v>8325</v>
      </c>
      <c r="B5586" s="14" t="s">
        <v>8326</v>
      </c>
      <c r="C5586" s="14" t="s">
        <v>11807</v>
      </c>
      <c r="D5586" s="14" t="s">
        <v>11808</v>
      </c>
      <c r="E5586" s="14" t="s">
        <v>12017</v>
      </c>
      <c r="F5586" s="12" t="s">
        <v>11990</v>
      </c>
      <c r="G5586" s="14" t="s">
        <v>12121</v>
      </c>
      <c r="H5586" s="12" t="s">
        <v>12043</v>
      </c>
      <c r="K5586" s="14" t="s">
        <v>12122</v>
      </c>
      <c r="L5586" s="12" t="s">
        <v>12113</v>
      </c>
      <c r="M5586" s="14" t="s">
        <v>12123</v>
      </c>
      <c r="N5586" s="14">
        <v>8</v>
      </c>
      <c r="O5586" s="14">
        <v>8</v>
      </c>
      <c r="P5586" s="12">
        <v>8</v>
      </c>
      <c r="Q5586" s="12">
        <v>8</v>
      </c>
      <c r="R5586" s="12">
        <v>8</v>
      </c>
      <c r="S5586" s="12">
        <v>8</v>
      </c>
      <c r="T5586" s="14" t="s">
        <v>11722</v>
      </c>
      <c r="U5586" t="s">
        <v>11723</v>
      </c>
      <c r="V5586" s="14" t="s">
        <v>12124</v>
      </c>
      <c r="W5586" s="388">
        <v>1</v>
      </c>
      <c r="X5586" s="388">
        <v>0</v>
      </c>
      <c r="Y5586" s="388">
        <v>0</v>
      </c>
      <c r="Z5586" s="388">
        <v>1</v>
      </c>
      <c r="AA5586" s="388">
        <v>1</v>
      </c>
      <c r="AB5586" s="388">
        <v>1</v>
      </c>
      <c r="AC5586" s="150">
        <v>1</v>
      </c>
      <c r="AD5586" s="150">
        <v>1</v>
      </c>
      <c r="AE5586" s="49">
        <f t="shared" si="203"/>
        <v>0.75</v>
      </c>
      <c r="AF5586" s="397"/>
      <c r="AG5586" s="17">
        <v>0</v>
      </c>
      <c r="AH5586" s="397">
        <v>0.4</v>
      </c>
      <c r="AI5586" s="397">
        <v>0.4</v>
      </c>
      <c r="AJ5586" s="397">
        <v>0.42</v>
      </c>
      <c r="AK5586" s="398">
        <v>0.4</v>
      </c>
      <c r="AL5586" s="398">
        <v>0.4</v>
      </c>
      <c r="AM5586" s="17">
        <f t="shared" si="202"/>
        <v>0.8</v>
      </c>
      <c r="AN5586" s="14" t="s">
        <v>11722</v>
      </c>
      <c r="AO5586" s="12" t="s">
        <v>11723</v>
      </c>
      <c r="AP5586" s="399"/>
      <c r="AQ5586" s="399"/>
      <c r="AR5586" s="399"/>
      <c r="AS5586" s="399"/>
      <c r="AT5586" s="399"/>
      <c r="AX5586" s="400"/>
    </row>
    <row r="5587" spans="1:50" s="14" customFormat="1" x14ac:dyDescent="0.3">
      <c r="A5587" s="386" t="s">
        <v>8325</v>
      </c>
      <c r="B5587" s="14" t="s">
        <v>8326</v>
      </c>
      <c r="C5587" s="14" t="s">
        <v>11714</v>
      </c>
      <c r="D5587" s="14" t="s">
        <v>6838</v>
      </c>
      <c r="E5587" s="14" t="s">
        <v>11989</v>
      </c>
      <c r="F5587" s="12" t="s">
        <v>11990</v>
      </c>
      <c r="G5587" s="14" t="s">
        <v>12042</v>
      </c>
      <c r="H5587" s="12" t="s">
        <v>12125</v>
      </c>
      <c r="K5587" s="14" t="s">
        <v>12126</v>
      </c>
      <c r="L5587" s="12" t="s">
        <v>12127</v>
      </c>
      <c r="M5587" s="14" t="s">
        <v>12128</v>
      </c>
      <c r="N5587" s="400">
        <v>0</v>
      </c>
      <c r="O5587" s="400">
        <v>0</v>
      </c>
      <c r="P5587" s="402">
        <v>0</v>
      </c>
      <c r="Q5587" s="402">
        <v>1</v>
      </c>
      <c r="R5587" s="402">
        <v>0</v>
      </c>
      <c r="S5587" s="402">
        <v>0</v>
      </c>
      <c r="T5587" s="14" t="s">
        <v>11722</v>
      </c>
      <c r="U5587" t="s">
        <v>11723</v>
      </c>
      <c r="V5587" s="14" t="s">
        <v>12129</v>
      </c>
      <c r="W5587" s="388">
        <v>1</v>
      </c>
      <c r="X5587" s="388">
        <v>0</v>
      </c>
      <c r="Y5587" s="388">
        <v>0</v>
      </c>
      <c r="Z5587" s="388">
        <v>1</v>
      </c>
      <c r="AA5587" s="388">
        <v>1</v>
      </c>
      <c r="AB5587" s="388">
        <v>1</v>
      </c>
      <c r="AC5587" s="150">
        <v>1</v>
      </c>
      <c r="AD5587" s="150">
        <v>1</v>
      </c>
      <c r="AE5587" s="49">
        <f t="shared" si="203"/>
        <v>0.75</v>
      </c>
      <c r="AF5587" s="397"/>
      <c r="AG5587" s="17">
        <v>0</v>
      </c>
      <c r="AH5587" s="397">
        <v>0</v>
      </c>
      <c r="AI5587" s="397">
        <v>0.02</v>
      </c>
      <c r="AJ5587" s="397">
        <v>0</v>
      </c>
      <c r="AK5587" s="398">
        <v>0</v>
      </c>
      <c r="AL5587" s="398">
        <v>0</v>
      </c>
      <c r="AM5587" s="17">
        <f t="shared" si="202"/>
        <v>0</v>
      </c>
      <c r="AN5587" s="14" t="s">
        <v>11722</v>
      </c>
      <c r="AO5587" s="12" t="s">
        <v>11723</v>
      </c>
      <c r="AP5587" s="399"/>
      <c r="AQ5587" s="399"/>
      <c r="AR5587" s="399"/>
      <c r="AS5587" s="399"/>
      <c r="AT5587" s="399"/>
      <c r="AX5587" s="400"/>
    </row>
    <row r="5588" spans="1:50" s="14" customFormat="1" x14ac:dyDescent="0.3">
      <c r="A5588" s="386" t="s">
        <v>8325</v>
      </c>
      <c r="B5588" s="14" t="s">
        <v>8326</v>
      </c>
      <c r="C5588" s="14" t="s">
        <v>11714</v>
      </c>
      <c r="D5588" s="14" t="s">
        <v>6838</v>
      </c>
      <c r="E5588" s="14" t="s">
        <v>11989</v>
      </c>
      <c r="F5588" s="12" t="s">
        <v>11990</v>
      </c>
      <c r="G5588" s="14" t="s">
        <v>12042</v>
      </c>
      <c r="H5588" s="12" t="s">
        <v>12125</v>
      </c>
      <c r="K5588" s="14" t="s">
        <v>12126</v>
      </c>
      <c r="L5588" s="12" t="s">
        <v>12127</v>
      </c>
      <c r="M5588" s="14" t="s">
        <v>12130</v>
      </c>
      <c r="N5588" s="438">
        <v>0</v>
      </c>
      <c r="O5588" s="438">
        <v>0.5</v>
      </c>
      <c r="P5588" s="41">
        <v>0.5</v>
      </c>
      <c r="Q5588" s="12">
        <v>0</v>
      </c>
      <c r="R5588" s="12">
        <v>0</v>
      </c>
      <c r="S5588" s="12">
        <v>0</v>
      </c>
      <c r="T5588" s="14" t="s">
        <v>11722</v>
      </c>
      <c r="U5588" t="s">
        <v>11723</v>
      </c>
      <c r="V5588" s="14" t="s">
        <v>12131</v>
      </c>
      <c r="W5588" s="388">
        <v>1</v>
      </c>
      <c r="X5588" s="388">
        <v>0</v>
      </c>
      <c r="Y5588" s="388">
        <v>0</v>
      </c>
      <c r="Z5588" s="388">
        <v>1</v>
      </c>
      <c r="AA5588" s="388">
        <v>1</v>
      </c>
      <c r="AB5588" s="388">
        <v>1</v>
      </c>
      <c r="AC5588" s="150">
        <v>1</v>
      </c>
      <c r="AD5588" s="150">
        <v>1</v>
      </c>
      <c r="AE5588" s="49">
        <f t="shared" si="203"/>
        <v>0.75</v>
      </c>
      <c r="AF5588" s="397"/>
      <c r="AG5588" s="17">
        <v>0</v>
      </c>
      <c r="AH5588" s="397">
        <v>2.7832560000000002</v>
      </c>
      <c r="AI5588" s="397">
        <v>1.1000000000000001</v>
      </c>
      <c r="AJ5588" s="397">
        <v>1.155</v>
      </c>
      <c r="AK5588" s="398">
        <v>1.5</v>
      </c>
      <c r="AL5588" s="398">
        <v>1.5</v>
      </c>
      <c r="AM5588" s="17">
        <f t="shared" si="202"/>
        <v>3</v>
      </c>
      <c r="AN5588" s="14" t="s">
        <v>11722</v>
      </c>
      <c r="AO5588" s="12" t="s">
        <v>11723</v>
      </c>
      <c r="AP5588" s="399"/>
      <c r="AQ5588" s="400"/>
      <c r="AR5588" s="399"/>
      <c r="AS5588" s="399"/>
      <c r="AT5588" s="399"/>
      <c r="AX5588" s="400"/>
    </row>
    <row r="5589" spans="1:50" s="14" customFormat="1" x14ac:dyDescent="0.3">
      <c r="A5589" s="386" t="s">
        <v>8325</v>
      </c>
      <c r="B5589" s="14" t="s">
        <v>8326</v>
      </c>
      <c r="C5589" s="14" t="s">
        <v>11714</v>
      </c>
      <c r="D5589" s="14" t="s">
        <v>6838</v>
      </c>
      <c r="E5589" s="14" t="s">
        <v>11989</v>
      </c>
      <c r="F5589" s="12" t="s">
        <v>11990</v>
      </c>
      <c r="G5589" s="14" t="s">
        <v>12042</v>
      </c>
      <c r="H5589" s="12" t="s">
        <v>12125</v>
      </c>
      <c r="K5589" s="14" t="s">
        <v>12126</v>
      </c>
      <c r="L5589" s="12" t="s">
        <v>12127</v>
      </c>
      <c r="M5589" s="14" t="s">
        <v>12132</v>
      </c>
      <c r="N5589" s="14">
        <v>0</v>
      </c>
      <c r="O5589" s="14">
        <v>19</v>
      </c>
      <c r="P5589" s="12">
        <v>13</v>
      </c>
      <c r="Q5589" s="12">
        <v>20</v>
      </c>
      <c r="R5589" s="12">
        <v>30</v>
      </c>
      <c r="S5589" s="12">
        <v>40</v>
      </c>
      <c r="T5589" s="14" t="s">
        <v>11722</v>
      </c>
      <c r="U5589" t="s">
        <v>11723</v>
      </c>
      <c r="V5589" s="14" t="s">
        <v>12133</v>
      </c>
      <c r="W5589" s="388">
        <v>1</v>
      </c>
      <c r="X5589" s="388">
        <v>0</v>
      </c>
      <c r="Y5589" s="388">
        <v>0</v>
      </c>
      <c r="Z5589" s="388">
        <v>1</v>
      </c>
      <c r="AA5589" s="388">
        <v>1</v>
      </c>
      <c r="AB5589" s="388">
        <v>1</v>
      </c>
      <c r="AC5589" s="150">
        <v>1</v>
      </c>
      <c r="AD5589" s="150">
        <v>1</v>
      </c>
      <c r="AE5589" s="49">
        <f t="shared" si="203"/>
        <v>0.75</v>
      </c>
      <c r="AF5589" s="397"/>
      <c r="AG5589" s="17">
        <v>0</v>
      </c>
      <c r="AH5589" s="397">
        <v>0.23749999999999999</v>
      </c>
      <c r="AI5589" s="397">
        <v>7.2149999999999999</v>
      </c>
      <c r="AJ5589" s="397">
        <v>7.5757500000000002</v>
      </c>
      <c r="AK5589" s="398">
        <v>2.5289637171087178</v>
      </c>
      <c r="AL5589" s="398">
        <v>2.5249999999999999</v>
      </c>
      <c r="AM5589" s="17">
        <f t="shared" si="202"/>
        <v>5.0539637171087177</v>
      </c>
      <c r="AN5589" s="14" t="s">
        <v>11722</v>
      </c>
      <c r="AO5589" s="12" t="s">
        <v>11723</v>
      </c>
      <c r="AP5589" s="399"/>
      <c r="AQ5589" s="400"/>
      <c r="AR5589" s="399"/>
      <c r="AS5589" s="399"/>
      <c r="AT5589" s="399"/>
      <c r="AX5589" s="400"/>
    </row>
    <row r="5590" spans="1:50" s="14" customFormat="1" x14ac:dyDescent="0.3">
      <c r="A5590" s="386" t="s">
        <v>8325</v>
      </c>
      <c r="B5590" s="14" t="s">
        <v>8326</v>
      </c>
      <c r="C5590" s="14" t="s">
        <v>11714</v>
      </c>
      <c r="D5590" s="14" t="s">
        <v>6838</v>
      </c>
      <c r="E5590" s="14" t="s">
        <v>11989</v>
      </c>
      <c r="F5590" s="12" t="s">
        <v>11990</v>
      </c>
      <c r="G5590" s="14" t="s">
        <v>12042</v>
      </c>
      <c r="H5590" s="12" t="s">
        <v>12125</v>
      </c>
      <c r="K5590" s="14" t="s">
        <v>12126</v>
      </c>
      <c r="L5590" s="12" t="s">
        <v>12127</v>
      </c>
      <c r="M5590" s="14" t="s">
        <v>12134</v>
      </c>
      <c r="N5590" s="14">
        <v>0</v>
      </c>
      <c r="O5590" s="14">
        <v>19</v>
      </c>
      <c r="P5590" s="12">
        <v>13</v>
      </c>
      <c r="Q5590" s="12">
        <v>20</v>
      </c>
      <c r="R5590" s="12">
        <v>30</v>
      </c>
      <c r="S5590" s="12">
        <v>40</v>
      </c>
      <c r="T5590" s="14" t="s">
        <v>11722</v>
      </c>
      <c r="U5590" t="s">
        <v>11723</v>
      </c>
      <c r="V5590" s="14" t="s">
        <v>12135</v>
      </c>
      <c r="W5590" s="388">
        <v>1</v>
      </c>
      <c r="X5590" s="388">
        <v>0</v>
      </c>
      <c r="Y5590" s="388">
        <v>0</v>
      </c>
      <c r="Z5590" s="388">
        <v>1</v>
      </c>
      <c r="AA5590" s="388">
        <v>1</v>
      </c>
      <c r="AB5590" s="388">
        <v>1</v>
      </c>
      <c r="AC5590" s="150">
        <v>1</v>
      </c>
      <c r="AD5590" s="150">
        <v>1</v>
      </c>
      <c r="AE5590" s="49">
        <f t="shared" si="203"/>
        <v>0.75</v>
      </c>
      <c r="AF5590" s="397"/>
      <c r="AG5590" s="17">
        <v>0</v>
      </c>
      <c r="AH5590" s="397">
        <v>5.13</v>
      </c>
      <c r="AI5590" s="397">
        <v>3.51</v>
      </c>
      <c r="AJ5590" s="397">
        <v>5.67</v>
      </c>
      <c r="AK5590" s="398">
        <v>0</v>
      </c>
      <c r="AL5590" s="398">
        <v>0</v>
      </c>
      <c r="AM5590" s="17">
        <f t="shared" si="202"/>
        <v>0</v>
      </c>
      <c r="AN5590" s="14" t="s">
        <v>11722</v>
      </c>
      <c r="AO5590" s="12" t="s">
        <v>11723</v>
      </c>
      <c r="AP5590" s="399"/>
      <c r="AQ5590" s="400"/>
      <c r="AR5590" s="399"/>
      <c r="AS5590" s="399"/>
      <c r="AT5590" s="399"/>
      <c r="AX5590" s="400"/>
    </row>
    <row r="5591" spans="1:50" s="14" customFormat="1" x14ac:dyDescent="0.3">
      <c r="A5591" s="386" t="s">
        <v>8325</v>
      </c>
      <c r="B5591" s="14" t="s">
        <v>8326</v>
      </c>
      <c r="C5591" s="14" t="s">
        <v>11714</v>
      </c>
      <c r="D5591" s="14" t="s">
        <v>6838</v>
      </c>
      <c r="E5591" s="14" t="s">
        <v>11989</v>
      </c>
      <c r="F5591" s="12" t="s">
        <v>11990</v>
      </c>
      <c r="G5591" s="14" t="s">
        <v>12042</v>
      </c>
      <c r="H5591" s="12" t="s">
        <v>12125</v>
      </c>
      <c r="K5591" s="14" t="s">
        <v>12126</v>
      </c>
      <c r="L5591" s="12" t="s">
        <v>12127</v>
      </c>
      <c r="M5591" s="14" t="s">
        <v>12136</v>
      </c>
      <c r="N5591" s="14">
        <v>65</v>
      </c>
      <c r="O5591" s="14">
        <v>6</v>
      </c>
      <c r="P5591" s="12">
        <v>5</v>
      </c>
      <c r="Q5591" s="12">
        <v>10</v>
      </c>
      <c r="R5591" s="12">
        <v>10</v>
      </c>
      <c r="S5591" s="12">
        <v>10</v>
      </c>
      <c r="T5591" s="14" t="s">
        <v>11722</v>
      </c>
      <c r="U5591" t="s">
        <v>11723</v>
      </c>
      <c r="V5591" s="14" t="s">
        <v>12137</v>
      </c>
      <c r="W5591" s="388">
        <v>1</v>
      </c>
      <c r="X5591" s="388">
        <v>0</v>
      </c>
      <c r="Y5591" s="388">
        <v>0</v>
      </c>
      <c r="Z5591" s="388">
        <v>1</v>
      </c>
      <c r="AA5591" s="388">
        <v>1</v>
      </c>
      <c r="AB5591" s="388">
        <v>1</v>
      </c>
      <c r="AC5591" s="150">
        <v>1</v>
      </c>
      <c r="AD5591" s="150">
        <v>1</v>
      </c>
      <c r="AE5591" s="49">
        <f t="shared" si="203"/>
        <v>0.75</v>
      </c>
      <c r="AF5591" s="397"/>
      <c r="AG5591" s="17">
        <v>0</v>
      </c>
      <c r="AH5591" s="397">
        <v>0.54</v>
      </c>
      <c r="AI5591" s="397">
        <v>0.9</v>
      </c>
      <c r="AJ5591" s="397">
        <v>0.94499999999999995</v>
      </c>
      <c r="AK5591" s="398">
        <v>0.73250000000000004</v>
      </c>
      <c r="AL5591" s="398">
        <v>0.73250000000000004</v>
      </c>
      <c r="AM5591" s="17">
        <f t="shared" si="202"/>
        <v>1.4650000000000001</v>
      </c>
      <c r="AN5591" s="14" t="s">
        <v>11722</v>
      </c>
      <c r="AO5591" s="12" t="s">
        <v>11723</v>
      </c>
      <c r="AP5591" s="399"/>
      <c r="AQ5591" s="400"/>
      <c r="AR5591" s="399"/>
      <c r="AS5591" s="399"/>
      <c r="AT5591" s="399"/>
      <c r="AX5591" s="400"/>
    </row>
    <row r="5592" spans="1:50" s="14" customFormat="1" x14ac:dyDescent="0.3">
      <c r="A5592" s="386" t="s">
        <v>8325</v>
      </c>
      <c r="B5592" s="14" t="s">
        <v>8326</v>
      </c>
      <c r="C5592" s="14" t="s">
        <v>11714</v>
      </c>
      <c r="D5592" s="14" t="s">
        <v>6838</v>
      </c>
      <c r="E5592" s="14" t="s">
        <v>11989</v>
      </c>
      <c r="F5592" s="12" t="s">
        <v>11990</v>
      </c>
      <c r="G5592" s="14" t="s">
        <v>12042</v>
      </c>
      <c r="H5592" s="12" t="s">
        <v>12125</v>
      </c>
      <c r="K5592" s="14" t="s">
        <v>12126</v>
      </c>
      <c r="L5592" s="12" t="s">
        <v>12127</v>
      </c>
      <c r="M5592" s="14" t="s">
        <v>12138</v>
      </c>
      <c r="N5592" s="14">
        <v>0</v>
      </c>
      <c r="O5592" s="14">
        <v>0</v>
      </c>
      <c r="P5592" s="12">
        <v>0</v>
      </c>
      <c r="Q5592" s="12">
        <v>2</v>
      </c>
      <c r="R5592" s="12">
        <v>3</v>
      </c>
      <c r="S5592" s="12">
        <v>3</v>
      </c>
      <c r="T5592" s="14" t="s">
        <v>11722</v>
      </c>
      <c r="U5592" t="s">
        <v>11723</v>
      </c>
      <c r="V5592" s="14" t="s">
        <v>12139</v>
      </c>
      <c r="W5592" s="388">
        <v>1</v>
      </c>
      <c r="X5592" s="388">
        <v>0</v>
      </c>
      <c r="Y5592" s="388">
        <v>0</v>
      </c>
      <c r="Z5592" s="388">
        <v>1</v>
      </c>
      <c r="AA5592" s="388">
        <v>1</v>
      </c>
      <c r="AB5592" s="388">
        <v>1</v>
      </c>
      <c r="AC5592" s="150">
        <v>1</v>
      </c>
      <c r="AD5592" s="150">
        <v>1</v>
      </c>
      <c r="AE5592" s="49">
        <f t="shared" si="203"/>
        <v>0.75</v>
      </c>
      <c r="AF5592" s="397"/>
      <c r="AG5592" s="17">
        <v>0</v>
      </c>
      <c r="AH5592" s="397">
        <v>0</v>
      </c>
      <c r="AI5592" s="397">
        <v>0</v>
      </c>
      <c r="AJ5592" s="397">
        <v>1.47</v>
      </c>
      <c r="AK5592" s="398">
        <v>0</v>
      </c>
      <c r="AL5592" s="398">
        <v>0</v>
      </c>
      <c r="AM5592" s="17">
        <f t="shared" si="202"/>
        <v>0</v>
      </c>
      <c r="AN5592" s="14" t="s">
        <v>11722</v>
      </c>
      <c r="AO5592" s="12" t="s">
        <v>11723</v>
      </c>
      <c r="AP5592" s="399"/>
      <c r="AQ5592" s="400"/>
      <c r="AR5592" s="399"/>
      <c r="AS5592" s="399"/>
      <c r="AT5592" s="399"/>
      <c r="AX5592" s="400"/>
    </row>
    <row r="5593" spans="1:50" s="14" customFormat="1" x14ac:dyDescent="0.3">
      <c r="A5593" s="386" t="s">
        <v>8325</v>
      </c>
      <c r="B5593" s="14" t="s">
        <v>8326</v>
      </c>
      <c r="C5593" s="14" t="s">
        <v>11714</v>
      </c>
      <c r="D5593" s="14" t="s">
        <v>6838</v>
      </c>
      <c r="E5593" s="14" t="s">
        <v>11989</v>
      </c>
      <c r="F5593" s="12" t="s">
        <v>11990</v>
      </c>
      <c r="G5593" s="14" t="s">
        <v>12042</v>
      </c>
      <c r="H5593" s="12" t="s">
        <v>12125</v>
      </c>
      <c r="K5593" s="14" t="s">
        <v>12126</v>
      </c>
      <c r="L5593" s="12" t="s">
        <v>12127</v>
      </c>
      <c r="M5593" s="14" t="s">
        <v>12140</v>
      </c>
      <c r="N5593" s="14">
        <v>1</v>
      </c>
      <c r="O5593" s="14">
        <v>4</v>
      </c>
      <c r="P5593" s="12">
        <v>4</v>
      </c>
      <c r="Q5593" s="12">
        <v>4</v>
      </c>
      <c r="R5593" s="12">
        <v>4</v>
      </c>
      <c r="S5593" s="12">
        <v>4</v>
      </c>
      <c r="T5593" s="14" t="s">
        <v>11722</v>
      </c>
      <c r="U5593" t="s">
        <v>11723</v>
      </c>
      <c r="V5593" s="14" t="s">
        <v>12141</v>
      </c>
      <c r="W5593" s="388">
        <v>1</v>
      </c>
      <c r="X5593" s="388">
        <v>0</v>
      </c>
      <c r="Y5593" s="388">
        <v>0</v>
      </c>
      <c r="Z5593" s="388">
        <v>1</v>
      </c>
      <c r="AA5593" s="388">
        <v>1</v>
      </c>
      <c r="AB5593" s="388">
        <v>1</v>
      </c>
      <c r="AC5593" s="150">
        <v>1</v>
      </c>
      <c r="AD5593" s="150">
        <v>1</v>
      </c>
      <c r="AE5593" s="49">
        <f t="shared" si="203"/>
        <v>0.75</v>
      </c>
      <c r="AF5593" s="397"/>
      <c r="AG5593" s="17">
        <v>0</v>
      </c>
      <c r="AH5593" s="397">
        <v>0</v>
      </c>
      <c r="AI5593" s="397">
        <v>2.8</v>
      </c>
      <c r="AJ5593" s="397">
        <v>2.94</v>
      </c>
      <c r="AK5593" s="398">
        <v>1.4</v>
      </c>
      <c r="AL5593" s="398">
        <v>2.8</v>
      </c>
      <c r="AM5593" s="17">
        <f t="shared" si="202"/>
        <v>4.1999999999999993</v>
      </c>
      <c r="AN5593" s="14" t="s">
        <v>11722</v>
      </c>
      <c r="AO5593" s="12" t="s">
        <v>11723</v>
      </c>
      <c r="AP5593" s="399"/>
      <c r="AQ5593" s="400"/>
      <c r="AR5593" s="399"/>
      <c r="AS5593" s="399"/>
      <c r="AT5593" s="399"/>
      <c r="AX5593" s="400"/>
    </row>
    <row r="5594" spans="1:50" s="14" customFormat="1" x14ac:dyDescent="0.3">
      <c r="A5594" s="386" t="s">
        <v>8325</v>
      </c>
      <c r="B5594" s="14" t="s">
        <v>8326</v>
      </c>
      <c r="C5594" s="14" t="s">
        <v>11714</v>
      </c>
      <c r="D5594" s="14" t="s">
        <v>6838</v>
      </c>
      <c r="E5594" s="14" t="s">
        <v>11989</v>
      </c>
      <c r="F5594" s="12" t="s">
        <v>11990</v>
      </c>
      <c r="G5594" s="14" t="s">
        <v>12042</v>
      </c>
      <c r="H5594" s="12" t="s">
        <v>12125</v>
      </c>
      <c r="K5594" s="14" t="s">
        <v>12126</v>
      </c>
      <c r="L5594" s="12" t="s">
        <v>12127</v>
      </c>
      <c r="M5594" s="14" t="s">
        <v>12142</v>
      </c>
      <c r="N5594" s="14">
        <v>0</v>
      </c>
      <c r="O5594" s="14">
        <v>0</v>
      </c>
      <c r="P5594" s="12">
        <v>0</v>
      </c>
      <c r="Q5594" s="12">
        <v>2</v>
      </c>
      <c r="R5594" s="12">
        <v>3</v>
      </c>
      <c r="S5594" s="12">
        <v>4</v>
      </c>
      <c r="T5594" s="14" t="s">
        <v>11722</v>
      </c>
      <c r="U5594" t="s">
        <v>11723</v>
      </c>
      <c r="V5594" s="14" t="s">
        <v>12143</v>
      </c>
      <c r="W5594" s="388">
        <v>1</v>
      </c>
      <c r="X5594" s="388">
        <v>0</v>
      </c>
      <c r="Y5594" s="388">
        <v>0</v>
      </c>
      <c r="Z5594" s="388">
        <v>1</v>
      </c>
      <c r="AA5594" s="388">
        <v>1</v>
      </c>
      <c r="AB5594" s="388">
        <v>1</v>
      </c>
      <c r="AC5594" s="150">
        <v>1</v>
      </c>
      <c r="AD5594" s="150">
        <v>1</v>
      </c>
      <c r="AE5594" s="49">
        <f t="shared" si="203"/>
        <v>0.75</v>
      </c>
      <c r="AF5594" s="397"/>
      <c r="AG5594" s="17">
        <v>0</v>
      </c>
      <c r="AH5594" s="397">
        <v>0</v>
      </c>
      <c r="AI5594" s="397">
        <v>0</v>
      </c>
      <c r="AJ5594" s="397">
        <v>0.5</v>
      </c>
      <c r="AK5594" s="398">
        <v>0</v>
      </c>
      <c r="AL5594" s="398">
        <v>0.43923823914480181</v>
      </c>
      <c r="AM5594" s="17">
        <f t="shared" si="202"/>
        <v>0.43923823914480181</v>
      </c>
      <c r="AN5594" s="14" t="s">
        <v>11722</v>
      </c>
      <c r="AO5594" s="12" t="s">
        <v>11723</v>
      </c>
      <c r="AP5594" s="399"/>
      <c r="AQ5594" s="400"/>
      <c r="AR5594" s="399"/>
      <c r="AS5594" s="399"/>
      <c r="AT5594" s="399"/>
      <c r="AX5594" s="400"/>
    </row>
    <row r="5595" spans="1:50" s="14" customFormat="1" x14ac:dyDescent="0.3">
      <c r="A5595" s="386" t="s">
        <v>8325</v>
      </c>
      <c r="B5595" s="14" t="s">
        <v>8326</v>
      </c>
      <c r="C5595" s="14" t="s">
        <v>11714</v>
      </c>
      <c r="D5595" s="14" t="s">
        <v>6838</v>
      </c>
      <c r="E5595" s="14" t="s">
        <v>11989</v>
      </c>
      <c r="F5595" s="12" t="s">
        <v>11990</v>
      </c>
      <c r="G5595" s="14" t="s">
        <v>12042</v>
      </c>
      <c r="H5595" s="12" t="s">
        <v>12125</v>
      </c>
      <c r="K5595" s="14" t="s">
        <v>12126</v>
      </c>
      <c r="L5595" s="12" t="s">
        <v>12127</v>
      </c>
      <c r="M5595" s="14" t="s">
        <v>12144</v>
      </c>
      <c r="N5595" s="14">
        <v>1</v>
      </c>
      <c r="P5595" s="12">
        <v>4</v>
      </c>
      <c r="Q5595" s="12">
        <v>4</v>
      </c>
      <c r="R5595" s="12">
        <v>4</v>
      </c>
      <c r="S5595" s="12">
        <v>5</v>
      </c>
      <c r="T5595" s="14" t="s">
        <v>11722</v>
      </c>
      <c r="U5595" t="s">
        <v>11723</v>
      </c>
      <c r="V5595" s="14" t="s">
        <v>12145</v>
      </c>
      <c r="W5595" s="388">
        <v>1</v>
      </c>
      <c r="X5595" s="388">
        <v>0</v>
      </c>
      <c r="Y5595" s="388">
        <v>0</v>
      </c>
      <c r="Z5595" s="388">
        <v>1</v>
      </c>
      <c r="AA5595" s="388">
        <v>1</v>
      </c>
      <c r="AB5595" s="388">
        <v>1</v>
      </c>
      <c r="AC5595" s="150">
        <v>1</v>
      </c>
      <c r="AD5595" s="150">
        <v>1</v>
      </c>
      <c r="AE5595" s="49">
        <f t="shared" si="203"/>
        <v>0.75</v>
      </c>
      <c r="AF5595" s="397"/>
      <c r="AG5595" s="17">
        <v>0</v>
      </c>
      <c r="AH5595" s="397">
        <v>0</v>
      </c>
      <c r="AI5595" s="397">
        <v>1</v>
      </c>
      <c r="AJ5595" s="397">
        <v>1.05</v>
      </c>
      <c r="AK5595" s="398">
        <v>0.35</v>
      </c>
      <c r="AL5595" s="398">
        <v>0.35</v>
      </c>
      <c r="AM5595" s="17">
        <f t="shared" si="202"/>
        <v>0.7</v>
      </c>
      <c r="AN5595" s="14" t="s">
        <v>11722</v>
      </c>
      <c r="AO5595" s="12" t="s">
        <v>11723</v>
      </c>
      <c r="AP5595" s="399"/>
      <c r="AQ5595" s="400"/>
      <c r="AR5595" s="399"/>
      <c r="AS5595" s="399"/>
      <c r="AT5595" s="399"/>
      <c r="AX5595" s="400"/>
    </row>
    <row r="5596" spans="1:50" s="14" customFormat="1" x14ac:dyDescent="0.3">
      <c r="A5596" s="386" t="s">
        <v>8325</v>
      </c>
      <c r="B5596" s="14" t="s">
        <v>8326</v>
      </c>
      <c r="C5596" s="14" t="s">
        <v>11714</v>
      </c>
      <c r="D5596" s="14" t="s">
        <v>6838</v>
      </c>
      <c r="E5596" s="14" t="s">
        <v>11989</v>
      </c>
      <c r="F5596" s="12" t="s">
        <v>11990</v>
      </c>
      <c r="G5596" s="14" t="s">
        <v>12042</v>
      </c>
      <c r="H5596" s="12" t="s">
        <v>12125</v>
      </c>
      <c r="K5596" s="14" t="s">
        <v>12126</v>
      </c>
      <c r="L5596" s="12" t="s">
        <v>12127</v>
      </c>
      <c r="M5596" s="14" t="s">
        <v>12146</v>
      </c>
      <c r="P5596" s="12">
        <v>1</v>
      </c>
      <c r="Q5596" s="12"/>
      <c r="R5596" s="12"/>
      <c r="S5596" s="12"/>
      <c r="T5596" s="14" t="s">
        <v>11722</v>
      </c>
      <c r="U5596" t="s">
        <v>11723</v>
      </c>
      <c r="V5596" s="14" t="s">
        <v>12147</v>
      </c>
      <c r="W5596" s="388">
        <v>1</v>
      </c>
      <c r="X5596" s="388">
        <v>0</v>
      </c>
      <c r="Y5596" s="388">
        <v>0</v>
      </c>
      <c r="Z5596" s="388">
        <v>1</v>
      </c>
      <c r="AA5596" s="388">
        <v>1</v>
      </c>
      <c r="AB5596" s="388">
        <v>1</v>
      </c>
      <c r="AC5596" s="150">
        <v>1</v>
      </c>
      <c r="AD5596" s="150">
        <v>1</v>
      </c>
      <c r="AE5596" s="49">
        <f t="shared" si="203"/>
        <v>0.75</v>
      </c>
      <c r="AF5596" s="397"/>
      <c r="AG5596" s="17">
        <v>0</v>
      </c>
      <c r="AH5596" s="397">
        <v>0</v>
      </c>
      <c r="AI5596" s="397">
        <v>2.35</v>
      </c>
      <c r="AJ5596" s="397">
        <v>13.965</v>
      </c>
      <c r="AK5596" s="398">
        <v>0</v>
      </c>
      <c r="AL5596" s="398">
        <v>0</v>
      </c>
      <c r="AM5596" s="17">
        <f t="shared" si="202"/>
        <v>0</v>
      </c>
      <c r="AN5596" s="14" t="s">
        <v>11722</v>
      </c>
      <c r="AO5596" s="12" t="s">
        <v>11723</v>
      </c>
      <c r="AP5596" s="399"/>
      <c r="AQ5596" s="400"/>
      <c r="AR5596" s="399"/>
      <c r="AS5596" s="399"/>
      <c r="AT5596" s="399"/>
      <c r="AX5596" s="400"/>
    </row>
    <row r="5597" spans="1:50" s="14" customFormat="1" x14ac:dyDescent="0.3">
      <c r="A5597" s="386" t="s">
        <v>8325</v>
      </c>
      <c r="B5597" s="14" t="s">
        <v>8326</v>
      </c>
      <c r="C5597" s="14" t="s">
        <v>11714</v>
      </c>
      <c r="D5597" s="14" t="s">
        <v>6838</v>
      </c>
      <c r="E5597" s="14" t="s">
        <v>11989</v>
      </c>
      <c r="F5597" s="12" t="s">
        <v>11990</v>
      </c>
      <c r="G5597" s="14" t="s">
        <v>12042</v>
      </c>
      <c r="H5597" s="12" t="s">
        <v>12125</v>
      </c>
      <c r="K5597" s="14" t="s">
        <v>12126</v>
      </c>
      <c r="L5597" s="12" t="s">
        <v>12127</v>
      </c>
      <c r="M5597" s="14" t="s">
        <v>12148</v>
      </c>
      <c r="O5597" s="14">
        <v>19</v>
      </c>
      <c r="P5597" s="12">
        <v>13</v>
      </c>
      <c r="Q5597" s="12">
        <v>20</v>
      </c>
      <c r="R5597" s="12">
        <v>30</v>
      </c>
      <c r="S5597" s="12">
        <v>40</v>
      </c>
      <c r="T5597" s="14" t="s">
        <v>11722</v>
      </c>
      <c r="U5597" t="s">
        <v>11723</v>
      </c>
      <c r="V5597" s="14" t="s">
        <v>12149</v>
      </c>
      <c r="W5597" s="388">
        <v>1</v>
      </c>
      <c r="X5597" s="388">
        <v>0</v>
      </c>
      <c r="Y5597" s="388">
        <v>0</v>
      </c>
      <c r="Z5597" s="388">
        <v>1</v>
      </c>
      <c r="AA5597" s="388">
        <v>1</v>
      </c>
      <c r="AB5597" s="388">
        <v>1</v>
      </c>
      <c r="AC5597" s="150">
        <v>1</v>
      </c>
      <c r="AD5597" s="150">
        <v>1</v>
      </c>
      <c r="AE5597" s="49">
        <f t="shared" si="203"/>
        <v>0.75</v>
      </c>
      <c r="AF5597" s="397"/>
      <c r="AG5597" s="17">
        <v>0</v>
      </c>
      <c r="AH5597" s="397">
        <v>1.0901259000000001</v>
      </c>
      <c r="AI5597" s="397">
        <v>0.58499999999999996</v>
      </c>
      <c r="AJ5597" s="397">
        <v>0.94499999999999995</v>
      </c>
      <c r="AK5597" s="398">
        <v>2</v>
      </c>
      <c r="AL5597" s="398">
        <v>2</v>
      </c>
      <c r="AM5597" s="17">
        <f t="shared" si="202"/>
        <v>4</v>
      </c>
      <c r="AN5597" s="14" t="s">
        <v>11722</v>
      </c>
      <c r="AO5597" s="12" t="s">
        <v>11723</v>
      </c>
      <c r="AP5597" s="399"/>
      <c r="AQ5597" s="400"/>
      <c r="AR5597" s="399"/>
      <c r="AS5597" s="399"/>
      <c r="AT5597" s="399"/>
      <c r="AX5597" s="400"/>
    </row>
    <row r="5598" spans="1:50" s="14" customFormat="1" x14ac:dyDescent="0.3">
      <c r="A5598" s="386" t="s">
        <v>8325</v>
      </c>
      <c r="B5598" s="14" t="s">
        <v>8326</v>
      </c>
      <c r="C5598" s="14" t="s">
        <v>11714</v>
      </c>
      <c r="D5598" s="14" t="s">
        <v>6838</v>
      </c>
      <c r="E5598" s="14" t="s">
        <v>11989</v>
      </c>
      <c r="F5598" s="12" t="s">
        <v>11990</v>
      </c>
      <c r="G5598" s="14" t="s">
        <v>12042</v>
      </c>
      <c r="H5598" s="12" t="s">
        <v>12125</v>
      </c>
      <c r="K5598" s="14" t="s">
        <v>12126</v>
      </c>
      <c r="L5598" s="12" t="s">
        <v>12127</v>
      </c>
      <c r="M5598" s="14" t="s">
        <v>12150</v>
      </c>
      <c r="N5598" s="400">
        <v>0.4</v>
      </c>
      <c r="O5598" s="400">
        <v>0.5</v>
      </c>
      <c r="P5598" s="403">
        <v>0.5</v>
      </c>
      <c r="Q5598" s="403">
        <v>0.6</v>
      </c>
      <c r="R5598" s="403">
        <v>0.7</v>
      </c>
      <c r="S5598" s="403">
        <v>0.8</v>
      </c>
      <c r="T5598" s="14" t="s">
        <v>1588</v>
      </c>
      <c r="U5598" t="s">
        <v>1590</v>
      </c>
      <c r="V5598" s="14" t="s">
        <v>12151</v>
      </c>
      <c r="W5598" s="388"/>
      <c r="X5598" s="388"/>
      <c r="Y5598" s="388"/>
      <c r="Z5598" s="388"/>
      <c r="AA5598" s="388"/>
      <c r="AB5598" s="388"/>
      <c r="AC5598" s="150">
        <v>0</v>
      </c>
      <c r="AD5598" s="150">
        <v>0</v>
      </c>
      <c r="AE5598" s="49">
        <f t="shared" si="203"/>
        <v>0</v>
      </c>
      <c r="AF5598" s="397"/>
      <c r="AG5598" s="17">
        <v>0</v>
      </c>
      <c r="AH5598" s="397">
        <v>0.2</v>
      </c>
      <c r="AI5598" s="397">
        <v>0.1</v>
      </c>
      <c r="AJ5598" s="397">
        <v>0.1</v>
      </c>
      <c r="AK5598" s="398"/>
      <c r="AL5598" s="398">
        <v>0.1</v>
      </c>
      <c r="AM5598" s="17">
        <f t="shared" si="202"/>
        <v>0.1</v>
      </c>
      <c r="AN5598" s="14" t="s">
        <v>1588</v>
      </c>
      <c r="AO5598" s="12" t="s">
        <v>1590</v>
      </c>
      <c r="AP5598" s="399"/>
      <c r="AQ5598" s="400"/>
      <c r="AR5598" s="399"/>
      <c r="AS5598" s="399"/>
      <c r="AT5598" s="399"/>
      <c r="AX5598" s="400"/>
    </row>
    <row r="5599" spans="1:50" s="14" customFormat="1" x14ac:dyDescent="0.3">
      <c r="A5599" s="386" t="s">
        <v>8325</v>
      </c>
      <c r="B5599" s="14" t="s">
        <v>8326</v>
      </c>
      <c r="C5599" s="14" t="s">
        <v>11714</v>
      </c>
      <c r="D5599" s="14" t="s">
        <v>6838</v>
      </c>
      <c r="E5599" s="14" t="s">
        <v>11989</v>
      </c>
      <c r="F5599" s="12" t="s">
        <v>11990</v>
      </c>
      <c r="G5599" s="14" t="s">
        <v>12042</v>
      </c>
      <c r="H5599" s="12" t="s">
        <v>12125</v>
      </c>
      <c r="K5599" s="14" t="s">
        <v>12126</v>
      </c>
      <c r="L5599" s="12" t="s">
        <v>12127</v>
      </c>
      <c r="M5599" s="14" t="s">
        <v>12152</v>
      </c>
      <c r="N5599" s="400">
        <v>1</v>
      </c>
      <c r="O5599" s="400">
        <v>0</v>
      </c>
      <c r="P5599" s="403">
        <v>0</v>
      </c>
      <c r="Q5599" s="403">
        <v>1</v>
      </c>
      <c r="R5599" s="403">
        <v>0</v>
      </c>
      <c r="S5599" s="403">
        <v>0</v>
      </c>
      <c r="T5599" s="14" t="s">
        <v>1588</v>
      </c>
      <c r="U5599" t="s">
        <v>1590</v>
      </c>
      <c r="V5599" s="14" t="s">
        <v>12153</v>
      </c>
      <c r="W5599" s="388"/>
      <c r="X5599" s="388"/>
      <c r="Y5599" s="388"/>
      <c r="Z5599" s="388"/>
      <c r="AA5599" s="388"/>
      <c r="AB5599" s="388"/>
      <c r="AC5599" s="150">
        <v>0</v>
      </c>
      <c r="AD5599" s="150">
        <v>0</v>
      </c>
      <c r="AE5599" s="49">
        <f t="shared" si="203"/>
        <v>0</v>
      </c>
      <c r="AF5599" s="397"/>
      <c r="AG5599" s="17">
        <v>0</v>
      </c>
      <c r="AH5599" s="397">
        <v>0</v>
      </c>
      <c r="AI5599" s="397">
        <v>0</v>
      </c>
      <c r="AJ5599" s="397">
        <v>0.06</v>
      </c>
      <c r="AK5599" s="398">
        <v>0</v>
      </c>
      <c r="AL5599" s="398">
        <v>0</v>
      </c>
      <c r="AM5599" s="17">
        <f t="shared" si="202"/>
        <v>0</v>
      </c>
      <c r="AN5599" s="14" t="s">
        <v>1588</v>
      </c>
      <c r="AO5599" s="12" t="s">
        <v>1590</v>
      </c>
      <c r="AP5599" s="399"/>
      <c r="AQ5599" s="400"/>
      <c r="AR5599" s="399"/>
      <c r="AS5599" s="399"/>
      <c r="AT5599" s="399"/>
      <c r="AX5599" s="400"/>
    </row>
    <row r="5600" spans="1:50" s="14" customFormat="1" x14ac:dyDescent="0.3">
      <c r="A5600" s="386" t="s">
        <v>8325</v>
      </c>
      <c r="B5600" s="14" t="s">
        <v>8326</v>
      </c>
      <c r="C5600" s="14" t="s">
        <v>11798</v>
      </c>
      <c r="D5600" s="14" t="s">
        <v>11799</v>
      </c>
      <c r="E5600" s="14" t="s">
        <v>12048</v>
      </c>
      <c r="F5600" s="12" t="s">
        <v>11990</v>
      </c>
      <c r="G5600" s="14" t="s">
        <v>12049</v>
      </c>
      <c r="H5600" s="12" t="s">
        <v>12125</v>
      </c>
      <c r="K5600" s="14" t="s">
        <v>12154</v>
      </c>
      <c r="L5600" s="12" t="s">
        <v>12127</v>
      </c>
      <c r="M5600" s="14" t="s">
        <v>12155</v>
      </c>
      <c r="N5600" s="439">
        <v>0</v>
      </c>
      <c r="O5600" s="466">
        <v>10</v>
      </c>
      <c r="P5600" s="412">
        <v>10</v>
      </c>
      <c r="Q5600" s="412">
        <v>10</v>
      </c>
      <c r="R5600" s="412">
        <v>10</v>
      </c>
      <c r="S5600" s="412">
        <v>10</v>
      </c>
      <c r="T5600" s="14" t="s">
        <v>12156</v>
      </c>
      <c r="U5600" t="e">
        <v>#N/A</v>
      </c>
      <c r="V5600" s="14" t="s">
        <v>12157</v>
      </c>
      <c r="W5600" s="388"/>
      <c r="X5600" s="388"/>
      <c r="Y5600" s="388"/>
      <c r="Z5600" s="388"/>
      <c r="AA5600" s="388"/>
      <c r="AB5600" s="388"/>
      <c r="AC5600" s="150">
        <v>0</v>
      </c>
      <c r="AD5600" s="150">
        <v>0</v>
      </c>
      <c r="AE5600" s="49">
        <f t="shared" si="203"/>
        <v>0</v>
      </c>
      <c r="AF5600" s="397"/>
      <c r="AG5600" s="17">
        <v>0</v>
      </c>
      <c r="AH5600" s="397">
        <v>10</v>
      </c>
      <c r="AI5600" s="397">
        <v>10</v>
      </c>
      <c r="AJ5600" s="397">
        <v>10</v>
      </c>
      <c r="AK5600" s="398">
        <v>0</v>
      </c>
      <c r="AL5600" s="398">
        <v>0</v>
      </c>
      <c r="AM5600" s="17">
        <f t="shared" si="202"/>
        <v>0</v>
      </c>
      <c r="AN5600" s="14" t="s">
        <v>12156</v>
      </c>
      <c r="AO5600" s="12" t="s">
        <v>182</v>
      </c>
      <c r="AP5600" s="399"/>
      <c r="AQ5600" s="400"/>
      <c r="AR5600" s="399"/>
      <c r="AS5600" s="399"/>
      <c r="AT5600" s="399"/>
      <c r="AX5600" s="400"/>
    </row>
    <row r="5601" spans="1:50" s="14" customFormat="1" x14ac:dyDescent="0.3">
      <c r="A5601" s="386" t="s">
        <v>8325</v>
      </c>
      <c r="B5601" s="14" t="s">
        <v>8326</v>
      </c>
      <c r="C5601" s="14" t="s">
        <v>11714</v>
      </c>
      <c r="D5601" s="14" t="s">
        <v>6838</v>
      </c>
      <c r="E5601" s="14" t="s">
        <v>11989</v>
      </c>
      <c r="F5601" s="12" t="s">
        <v>11990</v>
      </c>
      <c r="G5601" s="14" t="s">
        <v>12042</v>
      </c>
      <c r="H5601" s="12" t="s">
        <v>12125</v>
      </c>
      <c r="K5601" s="14" t="s">
        <v>12158</v>
      </c>
      <c r="L5601" s="12" t="s">
        <v>12159</v>
      </c>
      <c r="M5601" s="14" t="s">
        <v>12160</v>
      </c>
      <c r="N5601" s="400">
        <v>0</v>
      </c>
      <c r="O5601" s="400">
        <v>0</v>
      </c>
      <c r="P5601" s="403">
        <v>0</v>
      </c>
      <c r="Q5601" s="403">
        <v>1</v>
      </c>
      <c r="R5601" s="403">
        <v>0</v>
      </c>
      <c r="S5601" s="403">
        <v>0</v>
      </c>
      <c r="T5601" s="14" t="s">
        <v>1588</v>
      </c>
      <c r="U5601" t="s">
        <v>1590</v>
      </c>
      <c r="V5601" s="14" t="s">
        <v>12161</v>
      </c>
      <c r="W5601" s="388"/>
      <c r="X5601" s="388"/>
      <c r="Y5601" s="388"/>
      <c r="Z5601" s="388"/>
      <c r="AA5601" s="388"/>
      <c r="AB5601" s="388"/>
      <c r="AC5601" s="150">
        <v>0</v>
      </c>
      <c r="AD5601" s="150">
        <v>0</v>
      </c>
      <c r="AE5601" s="49">
        <f t="shared" si="203"/>
        <v>0</v>
      </c>
      <c r="AF5601" s="397"/>
      <c r="AG5601" s="17">
        <v>0</v>
      </c>
      <c r="AH5601" s="397">
        <v>0</v>
      </c>
      <c r="AI5601" s="397">
        <v>0</v>
      </c>
      <c r="AJ5601" s="397">
        <v>0.2</v>
      </c>
      <c r="AK5601" s="398">
        <v>0</v>
      </c>
      <c r="AL5601" s="398">
        <v>0</v>
      </c>
      <c r="AM5601" s="17">
        <f t="shared" si="202"/>
        <v>0</v>
      </c>
      <c r="AN5601" s="14" t="s">
        <v>1588</v>
      </c>
      <c r="AO5601" s="12" t="s">
        <v>1590</v>
      </c>
      <c r="AP5601" s="399"/>
      <c r="AQ5601" s="400"/>
      <c r="AR5601" s="399"/>
      <c r="AS5601" s="399"/>
      <c r="AT5601" s="399"/>
      <c r="AX5601" s="400"/>
    </row>
    <row r="5602" spans="1:50" s="14" customFormat="1" x14ac:dyDescent="0.3">
      <c r="A5602" s="386" t="s">
        <v>8325</v>
      </c>
      <c r="B5602" s="14" t="s">
        <v>8326</v>
      </c>
      <c r="C5602" s="14" t="s">
        <v>11714</v>
      </c>
      <c r="D5602" s="14" t="s">
        <v>6838</v>
      </c>
      <c r="E5602" s="14" t="s">
        <v>11989</v>
      </c>
      <c r="F5602" s="12" t="s">
        <v>11990</v>
      </c>
      <c r="G5602" s="14" t="s">
        <v>12042</v>
      </c>
      <c r="H5602" s="12" t="s">
        <v>12125</v>
      </c>
      <c r="K5602" s="14" t="s">
        <v>12158</v>
      </c>
      <c r="L5602" s="12" t="s">
        <v>12159</v>
      </c>
      <c r="M5602" s="14" t="s">
        <v>12162</v>
      </c>
      <c r="Q5602" s="14">
        <v>2</v>
      </c>
      <c r="R5602" s="14">
        <v>2</v>
      </c>
      <c r="S5602" s="14">
        <v>2</v>
      </c>
      <c r="T5602" s="14" t="s">
        <v>11865</v>
      </c>
      <c r="U5602" t="s">
        <v>11866</v>
      </c>
      <c r="V5602" s="14" t="s">
        <v>12163</v>
      </c>
      <c r="W5602" s="388"/>
      <c r="X5602" s="388"/>
      <c r="Y5602" s="388"/>
      <c r="Z5602" s="388"/>
      <c r="AA5602" s="388"/>
      <c r="AB5602" s="388"/>
      <c r="AC5602" s="150">
        <v>0</v>
      </c>
      <c r="AD5602" s="150">
        <v>0</v>
      </c>
      <c r="AE5602" s="49">
        <f t="shared" si="203"/>
        <v>0</v>
      </c>
      <c r="AF5602" s="397"/>
      <c r="AG5602" s="17">
        <v>0</v>
      </c>
      <c r="AH5602" s="397">
        <v>0</v>
      </c>
      <c r="AI5602" s="397">
        <v>0</v>
      </c>
      <c r="AJ5602" s="397">
        <v>1.5</v>
      </c>
      <c r="AK5602" s="398">
        <v>0</v>
      </c>
      <c r="AL5602" s="398">
        <v>0</v>
      </c>
      <c r="AM5602" s="17">
        <f t="shared" si="202"/>
        <v>0</v>
      </c>
      <c r="AN5602" s="14" t="s">
        <v>11865</v>
      </c>
      <c r="AO5602" s="12" t="s">
        <v>11866</v>
      </c>
      <c r="AP5602" s="399"/>
      <c r="AQ5602" s="400"/>
      <c r="AR5602" s="399"/>
      <c r="AS5602" s="399"/>
      <c r="AT5602" s="399"/>
      <c r="AX5602" s="400"/>
    </row>
    <row r="5603" spans="1:50" s="14" customFormat="1" x14ac:dyDescent="0.3">
      <c r="A5603" s="386" t="s">
        <v>8325</v>
      </c>
      <c r="B5603" s="14" t="s">
        <v>8326</v>
      </c>
      <c r="C5603" s="14" t="s">
        <v>11714</v>
      </c>
      <c r="D5603" s="14" t="s">
        <v>6838</v>
      </c>
      <c r="E5603" s="14" t="s">
        <v>11989</v>
      </c>
      <c r="F5603" s="12" t="s">
        <v>11990</v>
      </c>
      <c r="G5603" s="14" t="s">
        <v>12042</v>
      </c>
      <c r="H5603" s="12" t="s">
        <v>12125</v>
      </c>
      <c r="K5603" s="14" t="s">
        <v>12164</v>
      </c>
      <c r="L5603" s="12" t="s">
        <v>12165</v>
      </c>
      <c r="M5603" s="14" t="s">
        <v>12166</v>
      </c>
      <c r="N5603" s="400">
        <v>0</v>
      </c>
      <c r="O5603" s="400">
        <v>0</v>
      </c>
      <c r="P5603" s="402">
        <v>0</v>
      </c>
      <c r="Q5603" s="402">
        <v>1</v>
      </c>
      <c r="R5603" s="402">
        <v>0</v>
      </c>
      <c r="S5603" s="402">
        <v>0</v>
      </c>
      <c r="T5603" s="14" t="s">
        <v>11722</v>
      </c>
      <c r="U5603" t="s">
        <v>11723</v>
      </c>
      <c r="V5603" s="14" t="s">
        <v>12167</v>
      </c>
      <c r="W5603" s="388">
        <v>1</v>
      </c>
      <c r="X5603" s="388">
        <v>0</v>
      </c>
      <c r="Y5603" s="388">
        <v>0</v>
      </c>
      <c r="Z5603" s="388">
        <v>1</v>
      </c>
      <c r="AA5603" s="388">
        <v>1</v>
      </c>
      <c r="AB5603" s="388">
        <v>1</v>
      </c>
      <c r="AC5603" s="150">
        <v>1</v>
      </c>
      <c r="AD5603" s="150">
        <v>1</v>
      </c>
      <c r="AE5603" s="49">
        <f t="shared" si="203"/>
        <v>0.75</v>
      </c>
      <c r="AF5603" s="397"/>
      <c r="AG5603" s="17">
        <v>0</v>
      </c>
      <c r="AH5603" s="397">
        <v>0</v>
      </c>
      <c r="AI5603" s="397">
        <v>0.08</v>
      </c>
      <c r="AJ5603" s="397">
        <v>8.4000000000000005E-2</v>
      </c>
      <c r="AK5603" s="398">
        <v>0</v>
      </c>
      <c r="AL5603" s="398">
        <v>0</v>
      </c>
      <c r="AM5603" s="17">
        <f t="shared" si="202"/>
        <v>0</v>
      </c>
      <c r="AN5603" s="14" t="s">
        <v>11722</v>
      </c>
      <c r="AO5603" s="12" t="s">
        <v>11723</v>
      </c>
      <c r="AP5603" s="399"/>
      <c r="AQ5603" s="400"/>
      <c r="AR5603" s="399"/>
      <c r="AS5603" s="399"/>
      <c r="AT5603" s="399"/>
      <c r="AX5603" s="400"/>
    </row>
    <row r="5604" spans="1:50" s="14" customFormat="1" x14ac:dyDescent="0.3">
      <c r="A5604" s="386" t="s">
        <v>8325</v>
      </c>
      <c r="B5604" s="14" t="s">
        <v>8326</v>
      </c>
      <c r="C5604" s="14" t="s">
        <v>11714</v>
      </c>
      <c r="D5604" s="14" t="s">
        <v>6838</v>
      </c>
      <c r="E5604" s="14" t="s">
        <v>11989</v>
      </c>
      <c r="F5604" s="12" t="s">
        <v>11990</v>
      </c>
      <c r="G5604" s="14" t="s">
        <v>12042</v>
      </c>
      <c r="H5604" s="12" t="s">
        <v>12125</v>
      </c>
      <c r="K5604" s="14" t="s">
        <v>12164</v>
      </c>
      <c r="L5604" s="12" t="s">
        <v>12165</v>
      </c>
      <c r="M5604" s="14" t="s">
        <v>12168</v>
      </c>
      <c r="N5604" s="400">
        <v>0</v>
      </c>
      <c r="O5604" s="400">
        <v>0</v>
      </c>
      <c r="P5604" s="402">
        <v>0</v>
      </c>
      <c r="Q5604" s="402">
        <v>1</v>
      </c>
      <c r="R5604" s="402">
        <v>0</v>
      </c>
      <c r="S5604" s="402">
        <v>0</v>
      </c>
      <c r="T5604" s="14" t="s">
        <v>11722</v>
      </c>
      <c r="U5604" t="s">
        <v>11723</v>
      </c>
      <c r="V5604" s="14" t="s">
        <v>12169</v>
      </c>
      <c r="W5604" s="388">
        <v>1</v>
      </c>
      <c r="X5604" s="388">
        <v>0</v>
      </c>
      <c r="Y5604" s="388">
        <v>0</v>
      </c>
      <c r="Z5604" s="388">
        <v>1</v>
      </c>
      <c r="AA5604" s="388">
        <v>1</v>
      </c>
      <c r="AB5604" s="388">
        <v>1</v>
      </c>
      <c r="AC5604" s="150">
        <v>1</v>
      </c>
      <c r="AD5604" s="150">
        <v>1</v>
      </c>
      <c r="AE5604" s="49">
        <f t="shared" si="203"/>
        <v>0.75</v>
      </c>
      <c r="AF5604" s="397"/>
      <c r="AG5604" s="17">
        <v>0</v>
      </c>
      <c r="AH5604" s="397">
        <v>0</v>
      </c>
      <c r="AI5604" s="397">
        <v>0.3</v>
      </c>
      <c r="AJ5604" s="397">
        <v>0</v>
      </c>
      <c r="AK5604" s="398">
        <v>0</v>
      </c>
      <c r="AL5604" s="398">
        <v>0</v>
      </c>
      <c r="AM5604" s="17">
        <f t="shared" si="202"/>
        <v>0</v>
      </c>
      <c r="AN5604" s="14" t="s">
        <v>11722</v>
      </c>
      <c r="AO5604" s="12" t="s">
        <v>11723</v>
      </c>
      <c r="AP5604" s="399"/>
      <c r="AQ5604" s="400"/>
      <c r="AR5604" s="399"/>
      <c r="AS5604" s="399"/>
      <c r="AT5604" s="399"/>
      <c r="AX5604" s="400"/>
    </row>
    <row r="5605" spans="1:50" s="14" customFormat="1" x14ac:dyDescent="0.3">
      <c r="A5605" s="386" t="s">
        <v>8325</v>
      </c>
      <c r="B5605" s="14" t="s">
        <v>8326</v>
      </c>
      <c r="C5605" s="14" t="s">
        <v>11714</v>
      </c>
      <c r="D5605" s="14" t="s">
        <v>6838</v>
      </c>
      <c r="E5605" s="14" t="s">
        <v>11989</v>
      </c>
      <c r="F5605" s="12" t="s">
        <v>11990</v>
      </c>
      <c r="G5605" s="14" t="s">
        <v>12042</v>
      </c>
      <c r="H5605" s="12" t="s">
        <v>12125</v>
      </c>
      <c r="K5605" s="14" t="s">
        <v>12164</v>
      </c>
      <c r="L5605" s="12" t="s">
        <v>12165</v>
      </c>
      <c r="M5605" s="14" t="s">
        <v>12170</v>
      </c>
      <c r="O5605" s="14">
        <v>5</v>
      </c>
      <c r="P5605" s="12">
        <v>8</v>
      </c>
      <c r="Q5605" s="12">
        <v>10</v>
      </c>
      <c r="R5605" s="12">
        <v>11</v>
      </c>
      <c r="S5605" s="12">
        <v>11</v>
      </c>
      <c r="T5605" s="14" t="s">
        <v>11722</v>
      </c>
      <c r="U5605" t="s">
        <v>11723</v>
      </c>
      <c r="V5605" s="14" t="s">
        <v>12171</v>
      </c>
      <c r="W5605" s="388">
        <v>1</v>
      </c>
      <c r="X5605" s="388">
        <v>0</v>
      </c>
      <c r="Y5605" s="388">
        <v>0</v>
      </c>
      <c r="Z5605" s="388">
        <v>1</v>
      </c>
      <c r="AA5605" s="388">
        <v>1</v>
      </c>
      <c r="AB5605" s="388">
        <v>1</v>
      </c>
      <c r="AC5605" s="150">
        <v>1</v>
      </c>
      <c r="AD5605" s="150">
        <v>1</v>
      </c>
      <c r="AE5605" s="49">
        <f t="shared" si="203"/>
        <v>0.75</v>
      </c>
      <c r="AF5605" s="397"/>
      <c r="AG5605" s="17">
        <v>0</v>
      </c>
      <c r="AH5605" s="397">
        <v>0.6</v>
      </c>
      <c r="AI5605" s="397">
        <v>1.2</v>
      </c>
      <c r="AJ5605" s="397">
        <v>1.3859999999999999</v>
      </c>
      <c r="AK5605" s="398">
        <v>0</v>
      </c>
      <c r="AL5605" s="398">
        <v>0</v>
      </c>
      <c r="AM5605" s="17">
        <f t="shared" si="202"/>
        <v>0</v>
      </c>
      <c r="AN5605" s="14" t="s">
        <v>11722</v>
      </c>
      <c r="AO5605" s="12" t="s">
        <v>11723</v>
      </c>
      <c r="AP5605" s="399"/>
      <c r="AQ5605" s="400"/>
      <c r="AR5605" s="399"/>
      <c r="AS5605" s="399"/>
      <c r="AT5605" s="399"/>
      <c r="AX5605" s="400"/>
    </row>
    <row r="5606" spans="1:50" s="14" customFormat="1" x14ac:dyDescent="0.3">
      <c r="A5606" s="386" t="s">
        <v>8325</v>
      </c>
      <c r="B5606" s="14" t="s">
        <v>8326</v>
      </c>
      <c r="C5606" s="14" t="s">
        <v>11714</v>
      </c>
      <c r="D5606" s="14" t="s">
        <v>6838</v>
      </c>
      <c r="E5606" s="14" t="s">
        <v>11989</v>
      </c>
      <c r="F5606" s="12" t="s">
        <v>11990</v>
      </c>
      <c r="G5606" s="14" t="s">
        <v>12042</v>
      </c>
      <c r="H5606" s="12" t="s">
        <v>12125</v>
      </c>
      <c r="K5606" s="14" t="s">
        <v>12164</v>
      </c>
      <c r="L5606" s="12" t="s">
        <v>12165</v>
      </c>
      <c r="M5606" s="14" t="s">
        <v>12172</v>
      </c>
      <c r="N5606" s="400">
        <v>1792</v>
      </c>
      <c r="O5606" s="400">
        <v>250</v>
      </c>
      <c r="P5606" s="402">
        <v>300</v>
      </c>
      <c r="Q5606" s="402">
        <v>300</v>
      </c>
      <c r="R5606" s="402">
        <v>300</v>
      </c>
      <c r="S5606" s="402">
        <v>300</v>
      </c>
      <c r="T5606" s="14" t="s">
        <v>11722</v>
      </c>
      <c r="U5606" t="s">
        <v>11723</v>
      </c>
      <c r="V5606" s="14" t="s">
        <v>12173</v>
      </c>
      <c r="W5606" s="388">
        <v>1</v>
      </c>
      <c r="X5606" s="388">
        <v>0</v>
      </c>
      <c r="Y5606" s="388">
        <v>0</v>
      </c>
      <c r="Z5606" s="388">
        <v>1</v>
      </c>
      <c r="AA5606" s="388">
        <v>1</v>
      </c>
      <c r="AB5606" s="388">
        <v>1</v>
      </c>
      <c r="AC5606" s="150">
        <v>1</v>
      </c>
      <c r="AD5606" s="150">
        <v>1</v>
      </c>
      <c r="AE5606" s="49">
        <f t="shared" si="203"/>
        <v>0.75</v>
      </c>
      <c r="AF5606" s="397"/>
      <c r="AG5606" s="17">
        <v>0</v>
      </c>
      <c r="AH5606" s="397">
        <v>1.25</v>
      </c>
      <c r="AI5606" s="397">
        <v>1.5</v>
      </c>
      <c r="AJ5606" s="397">
        <v>1.575</v>
      </c>
      <c r="AK5606" s="398">
        <v>2.1698200000000001</v>
      </c>
      <c r="AL5606" s="398">
        <v>2.1698200000000001</v>
      </c>
      <c r="AM5606" s="17">
        <f t="shared" si="202"/>
        <v>4.3396400000000002</v>
      </c>
      <c r="AN5606" s="14" t="s">
        <v>11722</v>
      </c>
      <c r="AO5606" s="12" t="s">
        <v>11723</v>
      </c>
      <c r="AP5606" s="399"/>
      <c r="AQ5606" s="400"/>
      <c r="AR5606" s="399"/>
      <c r="AS5606" s="399"/>
      <c r="AT5606" s="399"/>
      <c r="AX5606" s="400"/>
    </row>
    <row r="5607" spans="1:50" s="14" customFormat="1" x14ac:dyDescent="0.3">
      <c r="A5607" s="386" t="s">
        <v>8325</v>
      </c>
      <c r="B5607" s="14" t="s">
        <v>8326</v>
      </c>
      <c r="C5607" s="14" t="s">
        <v>11714</v>
      </c>
      <c r="D5607" s="14" t="s">
        <v>6838</v>
      </c>
      <c r="E5607" s="14" t="s">
        <v>11989</v>
      </c>
      <c r="F5607" s="12" t="s">
        <v>11990</v>
      </c>
      <c r="G5607" s="14" t="s">
        <v>12042</v>
      </c>
      <c r="H5607" s="12" t="s">
        <v>12125</v>
      </c>
      <c r="K5607" s="14" t="s">
        <v>12164</v>
      </c>
      <c r="L5607" s="12" t="s">
        <v>12165</v>
      </c>
      <c r="M5607" s="14" t="s">
        <v>12174</v>
      </c>
      <c r="N5607" s="14">
        <v>0</v>
      </c>
      <c r="O5607" s="14">
        <v>0</v>
      </c>
      <c r="P5607" s="12">
        <v>5</v>
      </c>
      <c r="Q5607" s="12">
        <v>7</v>
      </c>
      <c r="R5607" s="12">
        <v>7</v>
      </c>
      <c r="S5607" s="12">
        <v>9</v>
      </c>
      <c r="T5607" s="14" t="s">
        <v>11722</v>
      </c>
      <c r="U5607" t="s">
        <v>11723</v>
      </c>
      <c r="V5607" s="14" t="s">
        <v>12175</v>
      </c>
      <c r="W5607" s="388">
        <v>1</v>
      </c>
      <c r="X5607" s="388">
        <v>0</v>
      </c>
      <c r="Y5607" s="388">
        <v>0</v>
      </c>
      <c r="Z5607" s="388">
        <v>1</v>
      </c>
      <c r="AA5607" s="388">
        <v>1</v>
      </c>
      <c r="AB5607" s="388">
        <v>1</v>
      </c>
      <c r="AC5607" s="150">
        <v>1</v>
      </c>
      <c r="AD5607" s="150">
        <v>1</v>
      </c>
      <c r="AE5607" s="49">
        <f t="shared" si="203"/>
        <v>0.75</v>
      </c>
      <c r="AF5607" s="397"/>
      <c r="AG5607" s="17">
        <v>0</v>
      </c>
      <c r="AH5607" s="397">
        <v>0</v>
      </c>
      <c r="AI5607" s="397">
        <v>0.47499999999999998</v>
      </c>
      <c r="AJ5607" s="397">
        <v>0.69825000000000004</v>
      </c>
      <c r="AK5607" s="398">
        <v>0</v>
      </c>
      <c r="AL5607" s="398">
        <v>0</v>
      </c>
      <c r="AM5607" s="17">
        <f t="shared" si="202"/>
        <v>0</v>
      </c>
      <c r="AN5607" s="14" t="s">
        <v>11722</v>
      </c>
      <c r="AO5607" s="12" t="s">
        <v>11723</v>
      </c>
      <c r="AP5607" s="399"/>
      <c r="AQ5607" s="400"/>
      <c r="AR5607" s="399"/>
      <c r="AS5607" s="399"/>
      <c r="AT5607" s="399"/>
      <c r="AX5607" s="400"/>
    </row>
    <row r="5608" spans="1:50" s="14" customFormat="1" x14ac:dyDescent="0.3">
      <c r="A5608" s="386" t="s">
        <v>8325</v>
      </c>
      <c r="B5608" s="14" t="s">
        <v>8326</v>
      </c>
      <c r="C5608" s="14" t="s">
        <v>11714</v>
      </c>
      <c r="D5608" s="14" t="s">
        <v>6838</v>
      </c>
      <c r="E5608" s="14" t="s">
        <v>11989</v>
      </c>
      <c r="F5608" s="12" t="s">
        <v>11990</v>
      </c>
      <c r="G5608" s="14" t="s">
        <v>12042</v>
      </c>
      <c r="H5608" s="12" t="s">
        <v>12125</v>
      </c>
      <c r="K5608" s="14" t="s">
        <v>12164</v>
      </c>
      <c r="L5608" s="12" t="s">
        <v>12165</v>
      </c>
      <c r="M5608" s="14" t="s">
        <v>12176</v>
      </c>
      <c r="N5608" s="14">
        <v>0</v>
      </c>
      <c r="O5608" s="14">
        <v>0</v>
      </c>
      <c r="P5608" s="12">
        <v>1</v>
      </c>
      <c r="Q5608" s="12">
        <v>0</v>
      </c>
      <c r="R5608" s="12">
        <v>0</v>
      </c>
      <c r="S5608" s="12">
        <v>0</v>
      </c>
      <c r="T5608" s="14" t="s">
        <v>11722</v>
      </c>
      <c r="U5608" t="s">
        <v>11723</v>
      </c>
      <c r="V5608" s="14" t="s">
        <v>12177</v>
      </c>
      <c r="W5608" s="388">
        <v>1</v>
      </c>
      <c r="X5608" s="388">
        <v>0</v>
      </c>
      <c r="Y5608" s="388">
        <v>0</v>
      </c>
      <c r="Z5608" s="388">
        <v>1</v>
      </c>
      <c r="AA5608" s="388">
        <v>1</v>
      </c>
      <c r="AB5608" s="388">
        <v>1</v>
      </c>
      <c r="AC5608" s="150">
        <v>1</v>
      </c>
      <c r="AD5608" s="150">
        <v>1</v>
      </c>
      <c r="AE5608" s="49">
        <f t="shared" si="203"/>
        <v>0.75</v>
      </c>
      <c r="AF5608" s="397"/>
      <c r="AG5608" s="17">
        <v>0</v>
      </c>
      <c r="AH5608" s="397">
        <v>0</v>
      </c>
      <c r="AI5608" s="397">
        <v>0.13200000000000001</v>
      </c>
      <c r="AJ5608" s="397">
        <v>0</v>
      </c>
      <c r="AK5608" s="398">
        <v>0</v>
      </c>
      <c r="AL5608" s="398">
        <v>0</v>
      </c>
      <c r="AM5608" s="17">
        <f t="shared" si="202"/>
        <v>0</v>
      </c>
      <c r="AN5608" s="14" t="s">
        <v>11722</v>
      </c>
      <c r="AO5608" s="12" t="s">
        <v>11723</v>
      </c>
      <c r="AP5608" s="399"/>
      <c r="AQ5608" s="400"/>
      <c r="AR5608" s="399"/>
      <c r="AS5608" s="399"/>
      <c r="AT5608" s="399"/>
      <c r="AX5608" s="400"/>
    </row>
    <row r="5609" spans="1:50" s="14" customFormat="1" x14ac:dyDescent="0.3">
      <c r="A5609" s="386" t="s">
        <v>8325</v>
      </c>
      <c r="B5609" s="14" t="s">
        <v>8326</v>
      </c>
      <c r="C5609" s="14" t="s">
        <v>11714</v>
      </c>
      <c r="D5609" s="14" t="s">
        <v>6838</v>
      </c>
      <c r="E5609" s="14" t="s">
        <v>11989</v>
      </c>
      <c r="F5609" s="12" t="s">
        <v>11990</v>
      </c>
      <c r="G5609" s="14" t="s">
        <v>12042</v>
      </c>
      <c r="H5609" s="12" t="s">
        <v>12125</v>
      </c>
      <c r="K5609" s="14" t="s">
        <v>12164</v>
      </c>
      <c r="L5609" s="12" t="s">
        <v>12165</v>
      </c>
      <c r="M5609" s="14" t="s">
        <v>12178</v>
      </c>
      <c r="N5609" s="14">
        <v>34</v>
      </c>
      <c r="O5609" s="14">
        <v>15</v>
      </c>
      <c r="P5609" s="12">
        <v>20</v>
      </c>
      <c r="Q5609" s="12">
        <v>20</v>
      </c>
      <c r="R5609" s="12">
        <v>20</v>
      </c>
      <c r="S5609" s="12">
        <v>20</v>
      </c>
      <c r="T5609" s="14" t="s">
        <v>11722</v>
      </c>
      <c r="U5609" t="s">
        <v>11723</v>
      </c>
      <c r="V5609" s="14" t="s">
        <v>12179</v>
      </c>
      <c r="W5609" s="388">
        <v>1</v>
      </c>
      <c r="X5609" s="388">
        <v>0</v>
      </c>
      <c r="Y5609" s="388">
        <v>0</v>
      </c>
      <c r="Z5609" s="388">
        <v>1</v>
      </c>
      <c r="AA5609" s="388">
        <v>1</v>
      </c>
      <c r="AB5609" s="388">
        <v>1</v>
      </c>
      <c r="AC5609" s="150">
        <v>1</v>
      </c>
      <c r="AD5609" s="150">
        <v>1</v>
      </c>
      <c r="AE5609" s="49">
        <f t="shared" si="203"/>
        <v>0.75</v>
      </c>
      <c r="AF5609" s="397"/>
      <c r="AG5609" s="17">
        <v>0</v>
      </c>
      <c r="AH5609" s="397">
        <v>0.64201519500000004</v>
      </c>
      <c r="AI5609" s="397">
        <v>0.64201519500000004</v>
      </c>
      <c r="AJ5609" s="397">
        <v>0.89882127300000003</v>
      </c>
      <c r="AK5609" s="398">
        <v>0.94</v>
      </c>
      <c r="AL5609" s="398">
        <v>0.94</v>
      </c>
      <c r="AM5609" s="17">
        <f t="shared" si="202"/>
        <v>1.88</v>
      </c>
      <c r="AN5609" s="14" t="s">
        <v>11722</v>
      </c>
      <c r="AO5609" s="12" t="s">
        <v>11723</v>
      </c>
      <c r="AP5609" s="399"/>
      <c r="AQ5609" s="400"/>
      <c r="AR5609" s="399"/>
      <c r="AS5609" s="399"/>
      <c r="AT5609" s="399"/>
      <c r="AX5609" s="400"/>
    </row>
    <row r="5610" spans="1:50" s="14" customFormat="1" x14ac:dyDescent="0.3">
      <c r="A5610" s="386" t="s">
        <v>8325</v>
      </c>
      <c r="B5610" s="14" t="s">
        <v>8326</v>
      </c>
      <c r="C5610" s="14" t="s">
        <v>11714</v>
      </c>
      <c r="D5610" s="14" t="s">
        <v>6838</v>
      </c>
      <c r="E5610" s="14" t="s">
        <v>11989</v>
      </c>
      <c r="F5610" s="12" t="s">
        <v>11990</v>
      </c>
      <c r="G5610" s="14" t="s">
        <v>12042</v>
      </c>
      <c r="H5610" s="12" t="s">
        <v>12125</v>
      </c>
      <c r="K5610" s="14" t="s">
        <v>12164</v>
      </c>
      <c r="L5610" s="12" t="s">
        <v>12165</v>
      </c>
      <c r="M5610" s="14" t="s">
        <v>12180</v>
      </c>
      <c r="N5610" s="14">
        <v>92</v>
      </c>
      <c r="O5610" s="14">
        <v>265</v>
      </c>
      <c r="P5610" s="12">
        <v>265</v>
      </c>
      <c r="Q5610" s="12">
        <v>270</v>
      </c>
      <c r="R5610" s="12">
        <v>290</v>
      </c>
      <c r="S5610" s="12">
        <v>300</v>
      </c>
      <c r="T5610" s="14" t="s">
        <v>11722</v>
      </c>
      <c r="U5610" t="s">
        <v>11723</v>
      </c>
      <c r="V5610" s="14" t="s">
        <v>12181</v>
      </c>
      <c r="W5610" s="388">
        <v>1</v>
      </c>
      <c r="X5610" s="388">
        <v>0</v>
      </c>
      <c r="Y5610" s="388">
        <v>0</v>
      </c>
      <c r="Z5610" s="388">
        <v>1</v>
      </c>
      <c r="AA5610" s="388">
        <v>1</v>
      </c>
      <c r="AB5610" s="388">
        <v>1</v>
      </c>
      <c r="AC5610" s="150">
        <v>1</v>
      </c>
      <c r="AD5610" s="150">
        <v>1</v>
      </c>
      <c r="AE5610" s="49">
        <f t="shared" si="203"/>
        <v>0.75</v>
      </c>
      <c r="AF5610" s="397"/>
      <c r="AG5610" s="17">
        <v>0</v>
      </c>
      <c r="AH5610" s="397">
        <v>0.49199999999999999</v>
      </c>
      <c r="AI5610" s="397">
        <v>6.0155000000000003</v>
      </c>
      <c r="AJ5610" s="397">
        <v>6.3162750000000001</v>
      </c>
      <c r="AK5610" s="398">
        <v>1.5084</v>
      </c>
      <c r="AL5610" s="398">
        <v>1.5084</v>
      </c>
      <c r="AM5610" s="17">
        <f t="shared" si="202"/>
        <v>3.0167999999999999</v>
      </c>
      <c r="AN5610" s="14" t="s">
        <v>11722</v>
      </c>
      <c r="AO5610" s="12" t="s">
        <v>11723</v>
      </c>
      <c r="AP5610" s="399"/>
      <c r="AQ5610" s="400"/>
      <c r="AR5610" s="399"/>
      <c r="AS5610" s="399"/>
      <c r="AT5610" s="399"/>
      <c r="AX5610" s="400"/>
    </row>
    <row r="5611" spans="1:50" s="14" customFormat="1" x14ac:dyDescent="0.3">
      <c r="A5611" s="386" t="s">
        <v>8325</v>
      </c>
      <c r="B5611" s="14" t="s">
        <v>8326</v>
      </c>
      <c r="C5611" s="14" t="s">
        <v>11714</v>
      </c>
      <c r="D5611" s="14" t="s">
        <v>6838</v>
      </c>
      <c r="E5611" s="14" t="s">
        <v>11989</v>
      </c>
      <c r="F5611" s="12" t="s">
        <v>11990</v>
      </c>
      <c r="G5611" s="14" t="s">
        <v>12042</v>
      </c>
      <c r="H5611" s="12" t="s">
        <v>12125</v>
      </c>
      <c r="K5611" s="14" t="s">
        <v>12164</v>
      </c>
      <c r="L5611" s="12" t="s">
        <v>12165</v>
      </c>
      <c r="M5611" s="14" t="s">
        <v>12182</v>
      </c>
      <c r="N5611" s="14">
        <v>80</v>
      </c>
      <c r="O5611" s="14">
        <v>85</v>
      </c>
      <c r="P5611" s="12">
        <v>99</v>
      </c>
      <c r="Q5611" s="12">
        <v>99</v>
      </c>
      <c r="R5611" s="12">
        <v>99</v>
      </c>
      <c r="S5611" s="12">
        <v>99</v>
      </c>
      <c r="T5611" s="14" t="s">
        <v>11722</v>
      </c>
      <c r="U5611" t="s">
        <v>11723</v>
      </c>
      <c r="V5611" s="14" t="s">
        <v>12183</v>
      </c>
      <c r="W5611" s="388">
        <v>1</v>
      </c>
      <c r="X5611" s="388">
        <v>0</v>
      </c>
      <c r="Y5611" s="388">
        <v>0</v>
      </c>
      <c r="Z5611" s="388">
        <v>1</v>
      </c>
      <c r="AA5611" s="388">
        <v>1</v>
      </c>
      <c r="AB5611" s="388">
        <v>1</v>
      </c>
      <c r="AC5611" s="150">
        <v>1</v>
      </c>
      <c r="AD5611" s="150">
        <v>1</v>
      </c>
      <c r="AE5611" s="49">
        <f t="shared" si="203"/>
        <v>0.75</v>
      </c>
      <c r="AF5611" s="397"/>
      <c r="AG5611" s="17">
        <v>0</v>
      </c>
      <c r="AH5611" s="397">
        <v>1.3046236</v>
      </c>
      <c r="AI5611" s="397">
        <v>1.5</v>
      </c>
      <c r="AJ5611" s="397">
        <v>1.575</v>
      </c>
      <c r="AK5611" s="398">
        <v>0.94</v>
      </c>
      <c r="AL5611" s="398">
        <v>0.94</v>
      </c>
      <c r="AM5611" s="17">
        <f t="shared" si="202"/>
        <v>1.88</v>
      </c>
      <c r="AN5611" s="14" t="s">
        <v>11722</v>
      </c>
      <c r="AO5611" s="12" t="s">
        <v>11723</v>
      </c>
      <c r="AP5611" s="399"/>
      <c r="AQ5611" s="400"/>
      <c r="AR5611" s="399"/>
      <c r="AS5611" s="399"/>
      <c r="AT5611" s="399"/>
      <c r="AX5611" s="400"/>
    </row>
    <row r="5612" spans="1:50" s="14" customFormat="1" x14ac:dyDescent="0.3">
      <c r="A5612" s="386" t="s">
        <v>8325</v>
      </c>
      <c r="B5612" s="14" t="s">
        <v>8326</v>
      </c>
      <c r="C5612" s="14" t="s">
        <v>11714</v>
      </c>
      <c r="D5612" s="14" t="s">
        <v>6838</v>
      </c>
      <c r="E5612" s="14" t="s">
        <v>11989</v>
      </c>
      <c r="F5612" s="12" t="s">
        <v>11990</v>
      </c>
      <c r="G5612" s="14" t="s">
        <v>12042</v>
      </c>
      <c r="H5612" s="12" t="s">
        <v>12125</v>
      </c>
      <c r="K5612" s="14" t="s">
        <v>12164</v>
      </c>
      <c r="L5612" s="12" t="s">
        <v>12165</v>
      </c>
      <c r="M5612" s="14" t="s">
        <v>12184</v>
      </c>
      <c r="N5612" s="14">
        <v>70</v>
      </c>
      <c r="O5612" s="14">
        <v>80</v>
      </c>
      <c r="P5612" s="12">
        <v>99</v>
      </c>
      <c r="Q5612" s="12">
        <v>99</v>
      </c>
      <c r="R5612" s="12">
        <v>99</v>
      </c>
      <c r="S5612" s="12">
        <v>99</v>
      </c>
      <c r="T5612" s="14" t="s">
        <v>11722</v>
      </c>
      <c r="U5612" t="s">
        <v>11723</v>
      </c>
      <c r="V5612" s="14" t="s">
        <v>12185</v>
      </c>
      <c r="W5612" s="388">
        <v>1</v>
      </c>
      <c r="X5612" s="388">
        <v>0</v>
      </c>
      <c r="Y5612" s="388">
        <v>0</v>
      </c>
      <c r="Z5612" s="388">
        <v>1</v>
      </c>
      <c r="AA5612" s="388">
        <v>1</v>
      </c>
      <c r="AB5612" s="388">
        <v>1</v>
      </c>
      <c r="AC5612" s="150">
        <v>1</v>
      </c>
      <c r="AD5612" s="150">
        <v>1</v>
      </c>
      <c r="AE5612" s="49">
        <f t="shared" si="203"/>
        <v>0.75</v>
      </c>
      <c r="AF5612" s="397"/>
      <c r="AG5612" s="17">
        <v>0</v>
      </c>
      <c r="AH5612" s="397">
        <v>0.2</v>
      </c>
      <c r="AI5612" s="397">
        <v>0.92500000000000004</v>
      </c>
      <c r="AJ5612" s="397">
        <v>0.92500000000000004</v>
      </c>
      <c r="AK5612" s="398">
        <v>0.6</v>
      </c>
      <c r="AL5612" s="398">
        <v>0.6</v>
      </c>
      <c r="AM5612" s="17">
        <f t="shared" si="202"/>
        <v>1.2</v>
      </c>
      <c r="AN5612" s="14" t="s">
        <v>11722</v>
      </c>
      <c r="AO5612" s="12" t="s">
        <v>11723</v>
      </c>
      <c r="AP5612" s="399"/>
      <c r="AQ5612" s="400"/>
      <c r="AR5612" s="399"/>
      <c r="AS5612" s="399"/>
      <c r="AT5612" s="399"/>
      <c r="AX5612" s="400"/>
    </row>
    <row r="5613" spans="1:50" s="14" customFormat="1" x14ac:dyDescent="0.3">
      <c r="A5613" s="386" t="s">
        <v>8325</v>
      </c>
      <c r="B5613" s="14" t="s">
        <v>8326</v>
      </c>
      <c r="C5613" s="14" t="s">
        <v>11714</v>
      </c>
      <c r="D5613" s="14" t="s">
        <v>6838</v>
      </c>
      <c r="E5613" s="14" t="s">
        <v>11989</v>
      </c>
      <c r="F5613" s="12" t="s">
        <v>11990</v>
      </c>
      <c r="G5613" s="14" t="s">
        <v>12042</v>
      </c>
      <c r="H5613" s="12" t="s">
        <v>12125</v>
      </c>
      <c r="K5613" s="14" t="s">
        <v>12164</v>
      </c>
      <c r="L5613" s="12" t="s">
        <v>12165</v>
      </c>
      <c r="M5613" s="14" t="s">
        <v>12186</v>
      </c>
      <c r="N5613" s="400">
        <v>1792</v>
      </c>
      <c r="O5613" s="400">
        <v>2042</v>
      </c>
      <c r="P5613" s="402">
        <v>2342</v>
      </c>
      <c r="Q5613" s="402">
        <v>2642</v>
      </c>
      <c r="R5613" s="402">
        <v>2942</v>
      </c>
      <c r="S5613" s="402">
        <v>3242</v>
      </c>
      <c r="T5613" s="14" t="s">
        <v>11722</v>
      </c>
      <c r="U5613" t="s">
        <v>11723</v>
      </c>
      <c r="V5613" s="14" t="s">
        <v>12187</v>
      </c>
      <c r="W5613" s="388">
        <v>1</v>
      </c>
      <c r="X5613" s="388">
        <v>0</v>
      </c>
      <c r="Y5613" s="388">
        <v>0</v>
      </c>
      <c r="Z5613" s="388">
        <v>1</v>
      </c>
      <c r="AA5613" s="388">
        <v>1</v>
      </c>
      <c r="AB5613" s="388">
        <v>1</v>
      </c>
      <c r="AC5613" s="150">
        <v>1</v>
      </c>
      <c r="AD5613" s="150">
        <v>1</v>
      </c>
      <c r="AE5613" s="49">
        <f t="shared" si="203"/>
        <v>0.75</v>
      </c>
      <c r="AF5613" s="397"/>
      <c r="AG5613" s="17">
        <v>0</v>
      </c>
      <c r="AH5613" s="397">
        <v>1.0209999999999999</v>
      </c>
      <c r="AI5613" s="397">
        <v>1.171</v>
      </c>
      <c r="AJ5613" s="397">
        <v>1.3870499999999999</v>
      </c>
      <c r="AK5613" s="398">
        <v>2.964</v>
      </c>
      <c r="AL5613" s="398">
        <v>2.964</v>
      </c>
      <c r="AM5613" s="17">
        <f t="shared" si="202"/>
        <v>5.9279999999999999</v>
      </c>
      <c r="AN5613" s="14" t="s">
        <v>11722</v>
      </c>
      <c r="AO5613" s="12" t="s">
        <v>11723</v>
      </c>
      <c r="AP5613" s="399"/>
      <c r="AQ5613" s="400"/>
      <c r="AR5613" s="399"/>
      <c r="AS5613" s="399"/>
      <c r="AT5613" s="399"/>
      <c r="AX5613" s="400"/>
    </row>
    <row r="5614" spans="1:50" s="14" customFormat="1" x14ac:dyDescent="0.3">
      <c r="A5614" s="386" t="s">
        <v>8325</v>
      </c>
      <c r="B5614" s="14" t="s">
        <v>8326</v>
      </c>
      <c r="C5614" s="14" t="s">
        <v>11714</v>
      </c>
      <c r="D5614" s="14" t="s">
        <v>6838</v>
      </c>
      <c r="E5614" s="14" t="s">
        <v>11989</v>
      </c>
      <c r="F5614" s="12" t="s">
        <v>11990</v>
      </c>
      <c r="G5614" s="14" t="s">
        <v>12042</v>
      </c>
      <c r="H5614" s="12" t="s">
        <v>12125</v>
      </c>
      <c r="K5614" s="14" t="s">
        <v>12164</v>
      </c>
      <c r="L5614" s="12" t="s">
        <v>12165</v>
      </c>
      <c r="M5614" s="14" t="s">
        <v>12188</v>
      </c>
      <c r="N5614" s="168"/>
      <c r="O5614" s="168"/>
      <c r="P5614" s="189"/>
      <c r="Q5614" s="189">
        <v>1</v>
      </c>
      <c r="R5614" s="189"/>
      <c r="S5614" s="189"/>
      <c r="T5614" s="14" t="s">
        <v>11722</v>
      </c>
      <c r="U5614" t="s">
        <v>11723</v>
      </c>
      <c r="V5614" s="14" t="s">
        <v>12189</v>
      </c>
      <c r="W5614" s="388">
        <v>1</v>
      </c>
      <c r="X5614" s="388">
        <v>0</v>
      </c>
      <c r="Y5614" s="388">
        <v>0</v>
      </c>
      <c r="Z5614" s="388">
        <v>1</v>
      </c>
      <c r="AA5614" s="388">
        <v>1</v>
      </c>
      <c r="AB5614" s="388">
        <v>1</v>
      </c>
      <c r="AC5614" s="150">
        <v>1</v>
      </c>
      <c r="AD5614" s="150">
        <v>1</v>
      </c>
      <c r="AE5614" s="49">
        <f t="shared" si="203"/>
        <v>0.75</v>
      </c>
      <c r="AF5614" s="397"/>
      <c r="AG5614" s="17">
        <v>0</v>
      </c>
      <c r="AH5614" s="397">
        <v>0</v>
      </c>
      <c r="AI5614" s="397">
        <v>0</v>
      </c>
      <c r="AJ5614" s="397">
        <v>0.21</v>
      </c>
      <c r="AK5614" s="398">
        <v>0</v>
      </c>
      <c r="AL5614" s="398">
        <v>0</v>
      </c>
      <c r="AM5614" s="17">
        <f t="shared" si="202"/>
        <v>0</v>
      </c>
      <c r="AN5614" s="14" t="s">
        <v>11722</v>
      </c>
      <c r="AO5614" s="12" t="s">
        <v>11723</v>
      </c>
      <c r="AP5614" s="399"/>
      <c r="AQ5614" s="400"/>
      <c r="AR5614" s="399"/>
      <c r="AS5614" s="399"/>
      <c r="AT5614" s="399"/>
      <c r="AX5614" s="400"/>
    </row>
    <row r="5615" spans="1:50" s="12" customFormat="1" x14ac:dyDescent="0.3">
      <c r="A5615" s="386" t="s">
        <v>8325</v>
      </c>
      <c r="B5615" s="14" t="s">
        <v>8326</v>
      </c>
      <c r="C5615" s="14" t="s">
        <v>11714</v>
      </c>
      <c r="D5615" s="12" t="s">
        <v>6838</v>
      </c>
      <c r="E5615" s="14" t="s">
        <v>11989</v>
      </c>
      <c r="F5615" s="12" t="s">
        <v>11990</v>
      </c>
      <c r="G5615" s="14" t="s">
        <v>12042</v>
      </c>
      <c r="H5615" s="12" t="s">
        <v>12125</v>
      </c>
      <c r="K5615" s="14" t="s">
        <v>12164</v>
      </c>
      <c r="L5615" s="12" t="s">
        <v>12165</v>
      </c>
      <c r="M5615" s="14" t="s">
        <v>12190</v>
      </c>
      <c r="N5615" s="14"/>
      <c r="O5615" s="14"/>
      <c r="P5615" s="404">
        <v>2</v>
      </c>
      <c r="Q5615" s="404">
        <v>2</v>
      </c>
      <c r="R5615" s="404">
        <v>2</v>
      </c>
      <c r="S5615" s="404">
        <v>2</v>
      </c>
      <c r="T5615" s="14" t="s">
        <v>771</v>
      </c>
      <c r="U5615" t="s">
        <v>773</v>
      </c>
      <c r="V5615" s="14" t="s">
        <v>12191</v>
      </c>
      <c r="W5615" s="388"/>
      <c r="X5615" s="388"/>
      <c r="Y5615" s="388"/>
      <c r="Z5615" s="388"/>
      <c r="AA5615" s="388"/>
      <c r="AB5615" s="388"/>
      <c r="AC5615" s="150">
        <v>0</v>
      </c>
      <c r="AD5615" s="150">
        <v>0</v>
      </c>
      <c r="AE5615" s="49">
        <f t="shared" si="203"/>
        <v>0</v>
      </c>
      <c r="AF5615" s="397"/>
      <c r="AG5615" s="17">
        <v>0</v>
      </c>
      <c r="AH5615" s="397">
        <v>0</v>
      </c>
      <c r="AI5615" s="397">
        <v>0.5</v>
      </c>
      <c r="AJ5615" s="397">
        <v>0.5</v>
      </c>
      <c r="AK5615" s="398">
        <v>0</v>
      </c>
      <c r="AL5615" s="398">
        <v>0</v>
      </c>
      <c r="AM5615" s="17">
        <f t="shared" si="202"/>
        <v>0</v>
      </c>
      <c r="AN5615" s="14" t="s">
        <v>771</v>
      </c>
      <c r="AO5615" s="12" t="s">
        <v>773</v>
      </c>
      <c r="AP5615" s="405"/>
      <c r="AQ5615" s="400"/>
      <c r="AR5615" s="405"/>
      <c r="AS5615" s="405"/>
      <c r="AT5615" s="405"/>
      <c r="AX5615" s="402"/>
    </row>
    <row r="5616" spans="1:50" s="14" customFormat="1" x14ac:dyDescent="0.3">
      <c r="A5616" s="386" t="s">
        <v>8325</v>
      </c>
      <c r="B5616" s="14" t="s">
        <v>8326</v>
      </c>
      <c r="C5616" s="14" t="s">
        <v>11714</v>
      </c>
      <c r="D5616" s="14" t="s">
        <v>6838</v>
      </c>
      <c r="E5616" s="14" t="s">
        <v>11989</v>
      </c>
      <c r="F5616" s="12" t="s">
        <v>11990</v>
      </c>
      <c r="G5616" s="14" t="s">
        <v>12042</v>
      </c>
      <c r="H5616" s="12" t="s">
        <v>12125</v>
      </c>
      <c r="K5616" s="14" t="s">
        <v>12164</v>
      </c>
      <c r="L5616" s="12" t="s">
        <v>12165</v>
      </c>
      <c r="M5616" s="14" t="s">
        <v>12192</v>
      </c>
      <c r="N5616" s="418">
        <v>0</v>
      </c>
      <c r="O5616" s="418">
        <v>0</v>
      </c>
      <c r="P5616" s="12">
        <v>386</v>
      </c>
      <c r="Q5616" s="12">
        <v>482</v>
      </c>
      <c r="R5616" s="12">
        <v>482</v>
      </c>
      <c r="S5616" s="12">
        <v>482</v>
      </c>
      <c r="T5616" s="14" t="s">
        <v>11722</v>
      </c>
      <c r="U5616" t="s">
        <v>11723</v>
      </c>
      <c r="V5616" s="14" t="s">
        <v>12193</v>
      </c>
      <c r="W5616" s="388">
        <v>1</v>
      </c>
      <c r="X5616" s="388">
        <v>0</v>
      </c>
      <c r="Y5616" s="388">
        <v>0</v>
      </c>
      <c r="Z5616" s="388">
        <v>1</v>
      </c>
      <c r="AA5616" s="388">
        <v>1</v>
      </c>
      <c r="AB5616" s="388">
        <v>1</v>
      </c>
      <c r="AC5616" s="150">
        <v>1</v>
      </c>
      <c r="AD5616" s="150">
        <v>1</v>
      </c>
      <c r="AE5616" s="49">
        <f t="shared" si="203"/>
        <v>0.75</v>
      </c>
      <c r="AF5616" s="397"/>
      <c r="AG5616" s="17">
        <v>0</v>
      </c>
      <c r="AH5616" s="397">
        <v>0.5</v>
      </c>
      <c r="AI5616" s="397">
        <v>1.1579999999999999</v>
      </c>
      <c r="AJ5616" s="397">
        <v>1.1579999999999999</v>
      </c>
      <c r="AK5616" s="398">
        <v>1.1634200000000001</v>
      </c>
      <c r="AL5616" s="398">
        <v>1.1634200000000001</v>
      </c>
      <c r="AM5616" s="17">
        <f t="shared" si="202"/>
        <v>2.3268400000000002</v>
      </c>
      <c r="AN5616" s="14" t="s">
        <v>11722</v>
      </c>
      <c r="AO5616" s="12" t="s">
        <v>11723</v>
      </c>
      <c r="AP5616" s="399"/>
      <c r="AQ5616" s="400"/>
      <c r="AR5616" s="399"/>
      <c r="AS5616" s="399"/>
      <c r="AT5616" s="399"/>
      <c r="AX5616" s="400"/>
    </row>
    <row r="5617" spans="1:50" s="14" customFormat="1" x14ac:dyDescent="0.3">
      <c r="A5617" s="386" t="s">
        <v>8325</v>
      </c>
      <c r="B5617" s="14" t="s">
        <v>8326</v>
      </c>
      <c r="C5617" s="14" t="s">
        <v>11714</v>
      </c>
      <c r="D5617" s="14" t="s">
        <v>6838</v>
      </c>
      <c r="E5617" s="14" t="s">
        <v>11989</v>
      </c>
      <c r="F5617" s="12" t="s">
        <v>11990</v>
      </c>
      <c r="G5617" s="14" t="s">
        <v>12194</v>
      </c>
      <c r="H5617" s="12" t="s">
        <v>12195</v>
      </c>
      <c r="K5617" s="14" t="s">
        <v>12196</v>
      </c>
      <c r="L5617" s="12" t="s">
        <v>12197</v>
      </c>
      <c r="M5617" s="14" t="s">
        <v>12198</v>
      </c>
      <c r="N5617" s="14">
        <v>24</v>
      </c>
      <c r="P5617" s="12">
        <v>48</v>
      </c>
      <c r="Q5617" s="12">
        <v>96</v>
      </c>
      <c r="R5617" s="12">
        <v>96</v>
      </c>
      <c r="S5617" s="12">
        <v>96</v>
      </c>
      <c r="T5617" s="14" t="s">
        <v>11722</v>
      </c>
      <c r="U5617" t="s">
        <v>11723</v>
      </c>
      <c r="V5617" s="14" t="s">
        <v>12199</v>
      </c>
      <c r="W5617" s="388">
        <v>1</v>
      </c>
      <c r="X5617" s="388">
        <v>1</v>
      </c>
      <c r="Y5617" s="388">
        <v>1</v>
      </c>
      <c r="Z5617" s="388">
        <v>1</v>
      </c>
      <c r="AA5617" s="388">
        <v>1</v>
      </c>
      <c r="AB5617" s="388">
        <v>1</v>
      </c>
      <c r="AC5617" s="150">
        <v>0</v>
      </c>
      <c r="AD5617" s="150">
        <v>1</v>
      </c>
      <c r="AE5617" s="49">
        <f t="shared" si="203"/>
        <v>0.875</v>
      </c>
      <c r="AF5617" s="397"/>
      <c r="AG5617" s="17">
        <v>0</v>
      </c>
      <c r="AH5617" s="397">
        <v>0</v>
      </c>
      <c r="AI5617" s="397">
        <v>0.01</v>
      </c>
      <c r="AJ5617" s="397">
        <v>0.57791999999999999</v>
      </c>
      <c r="AK5617" s="398">
        <v>0.06</v>
      </c>
      <c r="AL5617" s="398">
        <v>0.06</v>
      </c>
      <c r="AM5617" s="17">
        <f t="shared" si="202"/>
        <v>0.12</v>
      </c>
      <c r="AN5617" s="14" t="s">
        <v>11722</v>
      </c>
      <c r="AO5617" s="12" t="s">
        <v>11723</v>
      </c>
      <c r="AP5617" s="399"/>
      <c r="AQ5617" s="400"/>
      <c r="AR5617" s="399"/>
      <c r="AS5617" s="399"/>
      <c r="AT5617" s="399"/>
      <c r="AX5617" s="400"/>
    </row>
    <row r="5618" spans="1:50" s="14" customFormat="1" x14ac:dyDescent="0.3">
      <c r="A5618" s="386" t="s">
        <v>8325</v>
      </c>
      <c r="B5618" s="14" t="s">
        <v>8326</v>
      </c>
      <c r="C5618" s="14" t="s">
        <v>11714</v>
      </c>
      <c r="D5618" s="14" t="s">
        <v>6838</v>
      </c>
      <c r="E5618" s="14" t="s">
        <v>11989</v>
      </c>
      <c r="F5618" s="12" t="s">
        <v>11990</v>
      </c>
      <c r="G5618" s="14" t="s">
        <v>12194</v>
      </c>
      <c r="H5618" s="12" t="s">
        <v>12195</v>
      </c>
      <c r="K5618" s="14" t="s">
        <v>12196</v>
      </c>
      <c r="L5618" s="12" t="s">
        <v>12197</v>
      </c>
      <c r="M5618" s="14" t="s">
        <v>12200</v>
      </c>
      <c r="N5618" s="467">
        <v>0.3</v>
      </c>
      <c r="O5618" s="467">
        <v>0.3</v>
      </c>
      <c r="P5618" s="413">
        <v>0.6</v>
      </c>
      <c r="Q5618" s="413">
        <v>0.9</v>
      </c>
      <c r="R5618" s="413">
        <v>1</v>
      </c>
      <c r="S5618" s="413">
        <v>1</v>
      </c>
      <c r="T5618" s="14" t="s">
        <v>11722</v>
      </c>
      <c r="U5618" t="s">
        <v>11723</v>
      </c>
      <c r="V5618" s="14" t="s">
        <v>12201</v>
      </c>
      <c r="W5618" s="388">
        <v>1</v>
      </c>
      <c r="X5618" s="388">
        <v>1</v>
      </c>
      <c r="Y5618" s="388">
        <v>1</v>
      </c>
      <c r="Z5618" s="388">
        <v>1</v>
      </c>
      <c r="AA5618" s="388">
        <v>1</v>
      </c>
      <c r="AB5618" s="388">
        <v>1</v>
      </c>
      <c r="AC5618" s="150">
        <v>1</v>
      </c>
      <c r="AD5618" s="150">
        <v>1</v>
      </c>
      <c r="AE5618" s="49">
        <f t="shared" si="203"/>
        <v>1</v>
      </c>
      <c r="AF5618" s="397"/>
      <c r="AG5618" s="17">
        <v>0</v>
      </c>
      <c r="AH5618" s="397">
        <v>0</v>
      </c>
      <c r="AI5618" s="397">
        <v>3.3175840000000001</v>
      </c>
      <c r="AJ5618" s="397">
        <v>4.5285021600000004</v>
      </c>
      <c r="AK5618" s="398">
        <v>4.3372580000000003</v>
      </c>
      <c r="AL5618" s="398">
        <v>4.3372580000000003</v>
      </c>
      <c r="AM5618" s="17">
        <f t="shared" si="202"/>
        <v>8.6745160000000006</v>
      </c>
      <c r="AN5618" s="14" t="s">
        <v>11722</v>
      </c>
      <c r="AO5618" s="12" t="s">
        <v>11723</v>
      </c>
      <c r="AP5618" s="399"/>
      <c r="AQ5618" s="400"/>
      <c r="AR5618" s="399"/>
      <c r="AS5618" s="399"/>
      <c r="AT5618" s="399"/>
      <c r="AX5618" s="400"/>
    </row>
    <row r="5619" spans="1:50" s="14" customFormat="1" x14ac:dyDescent="0.3">
      <c r="A5619" s="386" t="s">
        <v>8325</v>
      </c>
      <c r="B5619" s="14" t="s">
        <v>8326</v>
      </c>
      <c r="C5619" s="14" t="s">
        <v>11714</v>
      </c>
      <c r="D5619" s="14" t="s">
        <v>6838</v>
      </c>
      <c r="E5619" s="14" t="s">
        <v>11989</v>
      </c>
      <c r="F5619" s="12" t="s">
        <v>11990</v>
      </c>
      <c r="G5619" s="14" t="s">
        <v>12194</v>
      </c>
      <c r="H5619" s="12" t="s">
        <v>12195</v>
      </c>
      <c r="K5619" s="14" t="s">
        <v>12196</v>
      </c>
      <c r="L5619" s="12" t="s">
        <v>12197</v>
      </c>
      <c r="M5619" s="14" t="s">
        <v>12202</v>
      </c>
      <c r="N5619" s="467">
        <v>1</v>
      </c>
      <c r="O5619" s="467">
        <v>1</v>
      </c>
      <c r="P5619" s="413">
        <v>1</v>
      </c>
      <c r="Q5619" s="413">
        <v>1</v>
      </c>
      <c r="R5619" s="413">
        <v>1</v>
      </c>
      <c r="S5619" s="413">
        <v>1</v>
      </c>
      <c r="T5619" s="14" t="s">
        <v>11722</v>
      </c>
      <c r="U5619" t="s">
        <v>11723</v>
      </c>
      <c r="V5619" s="14" t="s">
        <v>12203</v>
      </c>
      <c r="W5619" s="388">
        <v>1</v>
      </c>
      <c r="X5619" s="388">
        <v>1</v>
      </c>
      <c r="Y5619" s="388">
        <v>1</v>
      </c>
      <c r="Z5619" s="388">
        <v>1</v>
      </c>
      <c r="AA5619" s="388">
        <v>1</v>
      </c>
      <c r="AB5619" s="388">
        <v>1</v>
      </c>
      <c r="AC5619" s="150">
        <v>1</v>
      </c>
      <c r="AD5619" s="150">
        <v>1</v>
      </c>
      <c r="AE5619" s="49">
        <f t="shared" si="203"/>
        <v>1</v>
      </c>
      <c r="AF5619" s="397"/>
      <c r="AG5619" s="17">
        <v>0</v>
      </c>
      <c r="AH5619" s="397">
        <v>11.150471599999999</v>
      </c>
      <c r="AI5619" s="397">
        <v>11.150471599999999</v>
      </c>
      <c r="AJ5619" s="397">
        <v>13.02</v>
      </c>
      <c r="AK5619" s="398">
        <v>14.103819</v>
      </c>
      <c r="AL5619" s="398">
        <v>14.103819</v>
      </c>
      <c r="AM5619" s="17">
        <f t="shared" si="202"/>
        <v>28.207637999999999</v>
      </c>
      <c r="AN5619" s="14" t="s">
        <v>11722</v>
      </c>
      <c r="AO5619" s="12" t="s">
        <v>11723</v>
      </c>
      <c r="AP5619" s="399"/>
      <c r="AQ5619" s="400"/>
      <c r="AR5619" s="399"/>
      <c r="AS5619" s="399"/>
      <c r="AT5619" s="399"/>
      <c r="AX5619" s="400"/>
    </row>
    <row r="5620" spans="1:50" s="14" customFormat="1" x14ac:dyDescent="0.3">
      <c r="A5620" s="386" t="s">
        <v>8325</v>
      </c>
      <c r="B5620" s="14" t="s">
        <v>8326</v>
      </c>
      <c r="C5620" s="14" t="s">
        <v>11714</v>
      </c>
      <c r="D5620" s="14" t="s">
        <v>6838</v>
      </c>
      <c r="E5620" s="14" t="s">
        <v>11989</v>
      </c>
      <c r="F5620" s="12" t="s">
        <v>11990</v>
      </c>
      <c r="G5620" s="14" t="s">
        <v>12194</v>
      </c>
      <c r="H5620" s="12" t="s">
        <v>12195</v>
      </c>
      <c r="K5620" s="14" t="s">
        <v>12196</v>
      </c>
      <c r="L5620" s="12" t="s">
        <v>12197</v>
      </c>
      <c r="M5620" s="14" t="s">
        <v>12204</v>
      </c>
      <c r="N5620" s="168"/>
      <c r="O5620" s="168">
        <v>5</v>
      </c>
      <c r="P5620" s="189">
        <v>5</v>
      </c>
      <c r="Q5620" s="189">
        <v>5</v>
      </c>
      <c r="R5620" s="189">
        <v>5</v>
      </c>
      <c r="S5620" s="189">
        <v>5</v>
      </c>
      <c r="T5620" s="14" t="s">
        <v>11722</v>
      </c>
      <c r="U5620" t="s">
        <v>11723</v>
      </c>
      <c r="V5620" s="14" t="s">
        <v>12205</v>
      </c>
      <c r="W5620" s="388">
        <v>0</v>
      </c>
      <c r="X5620" s="388">
        <v>0</v>
      </c>
      <c r="Y5620" s="388">
        <v>0</v>
      </c>
      <c r="Z5620" s="388">
        <v>1</v>
      </c>
      <c r="AA5620" s="388">
        <v>0</v>
      </c>
      <c r="AB5620" s="388">
        <v>0</v>
      </c>
      <c r="AC5620" s="150">
        <v>0</v>
      </c>
      <c r="AD5620" s="150">
        <v>1</v>
      </c>
      <c r="AE5620" s="49">
        <f t="shared" si="203"/>
        <v>0.25</v>
      </c>
      <c r="AF5620" s="397"/>
      <c r="AG5620" s="17">
        <v>0</v>
      </c>
      <c r="AH5620" s="397">
        <v>0.2</v>
      </c>
      <c r="AI5620" s="397">
        <v>0.3</v>
      </c>
      <c r="AJ5620" s="397">
        <v>0.315</v>
      </c>
      <c r="AK5620" s="398">
        <v>0</v>
      </c>
      <c r="AL5620" s="398">
        <v>0</v>
      </c>
      <c r="AM5620" s="17">
        <f t="shared" si="202"/>
        <v>0</v>
      </c>
      <c r="AN5620" s="14" t="s">
        <v>11722</v>
      </c>
      <c r="AO5620" s="12" t="s">
        <v>11723</v>
      </c>
      <c r="AP5620" s="399"/>
      <c r="AQ5620" s="400"/>
      <c r="AR5620" s="399"/>
      <c r="AS5620" s="399"/>
      <c r="AT5620" s="399"/>
      <c r="AX5620" s="400"/>
    </row>
    <row r="5621" spans="1:50" s="14" customFormat="1" x14ac:dyDescent="0.3">
      <c r="A5621" s="386" t="s">
        <v>8325</v>
      </c>
      <c r="B5621" s="14" t="s">
        <v>8326</v>
      </c>
      <c r="C5621" s="14" t="s">
        <v>11714</v>
      </c>
      <c r="D5621" s="14" t="s">
        <v>6838</v>
      </c>
      <c r="E5621" s="14" t="s">
        <v>11989</v>
      </c>
      <c r="F5621" s="12" t="s">
        <v>11990</v>
      </c>
      <c r="G5621" s="14" t="s">
        <v>12194</v>
      </c>
      <c r="H5621" s="12" t="s">
        <v>12195</v>
      </c>
      <c r="K5621" s="14" t="s">
        <v>12196</v>
      </c>
      <c r="L5621" s="12" t="s">
        <v>12197</v>
      </c>
      <c r="M5621" s="243" t="s">
        <v>12206</v>
      </c>
      <c r="N5621" s="203"/>
      <c r="O5621" s="203">
        <v>12</v>
      </c>
      <c r="P5621" s="414">
        <v>12</v>
      </c>
      <c r="Q5621" s="414">
        <v>12</v>
      </c>
      <c r="R5621" s="414">
        <v>4</v>
      </c>
      <c r="S5621" s="414">
        <v>4</v>
      </c>
      <c r="T5621" s="243" t="s">
        <v>11722</v>
      </c>
      <c r="U5621" t="s">
        <v>11723</v>
      </c>
      <c r="V5621" s="243" t="s">
        <v>12207</v>
      </c>
      <c r="W5621" s="415">
        <v>0</v>
      </c>
      <c r="X5621" s="415">
        <v>0</v>
      </c>
      <c r="Y5621" s="415">
        <v>0</v>
      </c>
      <c r="Z5621" s="415">
        <v>1</v>
      </c>
      <c r="AA5621" s="415">
        <v>0</v>
      </c>
      <c r="AB5621" s="415">
        <v>0</v>
      </c>
      <c r="AC5621" s="150">
        <v>0</v>
      </c>
      <c r="AD5621" s="150">
        <v>1</v>
      </c>
      <c r="AE5621" s="49">
        <f t="shared" si="203"/>
        <v>0.25</v>
      </c>
      <c r="AF5621" s="397"/>
      <c r="AG5621" s="17">
        <v>0</v>
      </c>
      <c r="AH5621" s="397">
        <v>0</v>
      </c>
      <c r="AI5621" s="397">
        <v>0.2482</v>
      </c>
      <c r="AJ5621" s="397">
        <v>0.26061000000000001</v>
      </c>
      <c r="AK5621" s="398">
        <v>0</v>
      </c>
      <c r="AL5621" s="398">
        <v>0</v>
      </c>
      <c r="AM5621" s="17">
        <f t="shared" si="202"/>
        <v>0</v>
      </c>
      <c r="AN5621" s="14" t="s">
        <v>11722</v>
      </c>
      <c r="AO5621" s="12" t="s">
        <v>11723</v>
      </c>
      <c r="AP5621" s="399"/>
      <c r="AQ5621" s="400"/>
      <c r="AR5621" s="399"/>
      <c r="AS5621" s="399"/>
      <c r="AT5621" s="399"/>
      <c r="AX5621" s="400"/>
    </row>
    <row r="5622" spans="1:50" s="14" customFormat="1" x14ac:dyDescent="0.3">
      <c r="A5622" s="386" t="s">
        <v>8325</v>
      </c>
      <c r="B5622" s="14" t="s">
        <v>8326</v>
      </c>
      <c r="C5622" s="14" t="s">
        <v>11714</v>
      </c>
      <c r="D5622" s="14" t="s">
        <v>6838</v>
      </c>
      <c r="E5622" s="14" t="s">
        <v>11989</v>
      </c>
      <c r="F5622" s="12" t="s">
        <v>11990</v>
      </c>
      <c r="G5622" s="14" t="s">
        <v>12194</v>
      </c>
      <c r="H5622" s="12" t="s">
        <v>12195</v>
      </c>
      <c r="K5622" s="14" t="s">
        <v>12196</v>
      </c>
      <c r="L5622" s="12" t="s">
        <v>12197</v>
      </c>
      <c r="M5622" s="14" t="s">
        <v>12208</v>
      </c>
      <c r="N5622" s="168"/>
      <c r="O5622" s="168"/>
      <c r="P5622" s="189"/>
      <c r="Q5622" s="189">
        <v>1</v>
      </c>
      <c r="R5622" s="189"/>
      <c r="S5622" s="189"/>
      <c r="T5622" s="14" t="s">
        <v>11722</v>
      </c>
      <c r="U5622" t="s">
        <v>11723</v>
      </c>
      <c r="V5622" s="14" t="s">
        <v>12209</v>
      </c>
      <c r="W5622" s="388">
        <v>1</v>
      </c>
      <c r="X5622" s="388">
        <v>0</v>
      </c>
      <c r="Y5622" s="388">
        <v>0</v>
      </c>
      <c r="Z5622" s="388">
        <v>0</v>
      </c>
      <c r="AA5622" s="388">
        <v>0</v>
      </c>
      <c r="AB5622" s="388">
        <v>0</v>
      </c>
      <c r="AC5622" s="150">
        <v>0</v>
      </c>
      <c r="AD5622" s="150">
        <v>1</v>
      </c>
      <c r="AE5622" s="49">
        <f t="shared" si="203"/>
        <v>0.25</v>
      </c>
      <c r="AF5622" s="397"/>
      <c r="AG5622" s="17">
        <v>0</v>
      </c>
      <c r="AH5622" s="397">
        <v>0</v>
      </c>
      <c r="AI5622" s="397">
        <v>0</v>
      </c>
      <c r="AJ5622" s="397">
        <v>0.185</v>
      </c>
      <c r="AK5622" s="398">
        <v>0</v>
      </c>
      <c r="AL5622" s="398">
        <v>0</v>
      </c>
      <c r="AM5622" s="17">
        <f t="shared" si="202"/>
        <v>0</v>
      </c>
      <c r="AN5622" s="14" t="s">
        <v>11722</v>
      </c>
      <c r="AO5622" s="12" t="s">
        <v>11723</v>
      </c>
      <c r="AP5622" s="399"/>
      <c r="AQ5622" s="400"/>
      <c r="AR5622" s="399"/>
      <c r="AS5622" s="399"/>
      <c r="AT5622" s="399"/>
      <c r="AX5622" s="400"/>
    </row>
    <row r="5623" spans="1:50" s="14" customFormat="1" x14ac:dyDescent="0.3">
      <c r="A5623" s="386" t="s">
        <v>8325</v>
      </c>
      <c r="B5623" s="14" t="s">
        <v>8326</v>
      </c>
      <c r="C5623" s="14" t="s">
        <v>11714</v>
      </c>
      <c r="D5623" s="14" t="s">
        <v>6838</v>
      </c>
      <c r="E5623" s="14" t="s">
        <v>11989</v>
      </c>
      <c r="F5623" s="12" t="s">
        <v>11990</v>
      </c>
      <c r="G5623" s="14" t="s">
        <v>12194</v>
      </c>
      <c r="H5623" s="12" t="s">
        <v>12195</v>
      </c>
      <c r="K5623" s="14" t="s">
        <v>12196</v>
      </c>
      <c r="L5623" s="12" t="s">
        <v>12197</v>
      </c>
      <c r="M5623" s="14" t="s">
        <v>12210</v>
      </c>
      <c r="N5623" s="168">
        <v>1</v>
      </c>
      <c r="O5623" s="168">
        <v>1</v>
      </c>
      <c r="P5623" s="189">
        <v>1</v>
      </c>
      <c r="Q5623" s="189">
        <v>1</v>
      </c>
      <c r="R5623" s="189">
        <v>1</v>
      </c>
      <c r="S5623" s="189">
        <v>1</v>
      </c>
      <c r="T5623" s="14" t="s">
        <v>11722</v>
      </c>
      <c r="U5623" t="s">
        <v>11723</v>
      </c>
      <c r="V5623" s="14" t="s">
        <v>12211</v>
      </c>
      <c r="W5623" s="388">
        <v>1</v>
      </c>
      <c r="X5623" s="388">
        <v>1</v>
      </c>
      <c r="Y5623" s="388">
        <v>1</v>
      </c>
      <c r="Z5623" s="388">
        <v>1</v>
      </c>
      <c r="AA5623" s="388">
        <v>1</v>
      </c>
      <c r="AB5623" s="388">
        <v>1</v>
      </c>
      <c r="AC5623" s="150">
        <v>1</v>
      </c>
      <c r="AD5623" s="150">
        <v>1</v>
      </c>
      <c r="AE5623" s="49">
        <f t="shared" si="203"/>
        <v>1</v>
      </c>
      <c r="AF5623" s="397"/>
      <c r="AG5623" s="17">
        <v>0</v>
      </c>
      <c r="AH5623" s="397">
        <v>0.05</v>
      </c>
      <c r="AI5623" s="397">
        <v>0.05</v>
      </c>
      <c r="AJ5623" s="397">
        <v>5.2499999999999998E-2</v>
      </c>
      <c r="AK5623" s="398">
        <v>0.372</v>
      </c>
      <c r="AL5623" s="398">
        <v>0.372</v>
      </c>
      <c r="AM5623" s="17">
        <f t="shared" si="202"/>
        <v>0.74399999999999999</v>
      </c>
      <c r="AN5623" s="14" t="s">
        <v>11722</v>
      </c>
      <c r="AO5623" s="12" t="s">
        <v>11723</v>
      </c>
      <c r="AP5623" s="399"/>
      <c r="AQ5623" s="400"/>
      <c r="AR5623" s="399"/>
      <c r="AS5623" s="399"/>
      <c r="AT5623" s="399"/>
      <c r="AX5623" s="400"/>
    </row>
    <row r="5624" spans="1:50" s="14" customFormat="1" x14ac:dyDescent="0.3">
      <c r="A5624" s="386" t="s">
        <v>8325</v>
      </c>
      <c r="B5624" s="14" t="s">
        <v>8326</v>
      </c>
      <c r="C5624" s="14" t="s">
        <v>11714</v>
      </c>
      <c r="D5624" s="14" t="s">
        <v>6838</v>
      </c>
      <c r="E5624" s="14" t="s">
        <v>11989</v>
      </c>
      <c r="F5624" s="12" t="s">
        <v>11990</v>
      </c>
      <c r="G5624" s="14" t="s">
        <v>12194</v>
      </c>
      <c r="H5624" s="12" t="s">
        <v>12195</v>
      </c>
      <c r="K5624" s="14" t="s">
        <v>12196</v>
      </c>
      <c r="L5624" s="12" t="s">
        <v>12197</v>
      </c>
      <c r="M5624" s="14" t="s">
        <v>12212</v>
      </c>
      <c r="N5624" s="168">
        <v>1</v>
      </c>
      <c r="O5624" s="168">
        <v>1</v>
      </c>
      <c r="P5624" s="189">
        <v>1</v>
      </c>
      <c r="Q5624" s="189">
        <v>1</v>
      </c>
      <c r="R5624" s="189">
        <v>1</v>
      </c>
      <c r="S5624" s="189">
        <v>1</v>
      </c>
      <c r="T5624" s="14" t="s">
        <v>11722</v>
      </c>
      <c r="U5624" t="s">
        <v>11723</v>
      </c>
      <c r="V5624" s="14" t="s">
        <v>12213</v>
      </c>
      <c r="W5624" s="388">
        <v>1</v>
      </c>
      <c r="X5624" s="388">
        <v>0</v>
      </c>
      <c r="Y5624" s="388">
        <v>0</v>
      </c>
      <c r="Z5624" s="388">
        <v>1</v>
      </c>
      <c r="AA5624" s="388">
        <v>1</v>
      </c>
      <c r="AB5624" s="388">
        <v>0</v>
      </c>
      <c r="AC5624" s="150">
        <v>0</v>
      </c>
      <c r="AD5624" s="150">
        <v>1</v>
      </c>
      <c r="AE5624" s="49">
        <f t="shared" si="203"/>
        <v>0.5</v>
      </c>
      <c r="AF5624" s="397"/>
      <c r="AG5624" s="17">
        <v>0</v>
      </c>
      <c r="AH5624" s="397">
        <v>0.05</v>
      </c>
      <c r="AI5624" s="397">
        <v>0.05</v>
      </c>
      <c r="AJ5624" s="397">
        <v>5.2499999999999998E-2</v>
      </c>
      <c r="AK5624" s="398">
        <v>5.2499999999999998E-2</v>
      </c>
      <c r="AL5624" s="398">
        <v>5.2499999999999998E-2</v>
      </c>
      <c r="AM5624" s="17">
        <f t="shared" ref="AM5624:AM5687" si="204">SUM(AK5624:AL5624)</f>
        <v>0.105</v>
      </c>
      <c r="AN5624" s="14" t="s">
        <v>11722</v>
      </c>
      <c r="AO5624" s="12" t="s">
        <v>11723</v>
      </c>
      <c r="AP5624" s="399"/>
      <c r="AQ5624" s="400"/>
      <c r="AR5624" s="399"/>
      <c r="AS5624" s="399"/>
      <c r="AT5624" s="399"/>
      <c r="AX5624" s="400"/>
    </row>
    <row r="5625" spans="1:50" s="14" customFormat="1" x14ac:dyDescent="0.3">
      <c r="A5625" s="386" t="s">
        <v>8325</v>
      </c>
      <c r="B5625" s="14" t="s">
        <v>8326</v>
      </c>
      <c r="C5625" s="14" t="s">
        <v>11714</v>
      </c>
      <c r="D5625" s="14" t="s">
        <v>6838</v>
      </c>
      <c r="E5625" s="14" t="s">
        <v>11989</v>
      </c>
      <c r="F5625" s="12" t="s">
        <v>11990</v>
      </c>
      <c r="G5625" s="14" t="s">
        <v>12194</v>
      </c>
      <c r="H5625" s="12" t="s">
        <v>12195</v>
      </c>
      <c r="K5625" s="14" t="s">
        <v>12196</v>
      </c>
      <c r="L5625" s="12" t="s">
        <v>12197</v>
      </c>
      <c r="M5625" s="14" t="s">
        <v>12214</v>
      </c>
      <c r="N5625" s="467">
        <v>1</v>
      </c>
      <c r="O5625" s="467">
        <v>1</v>
      </c>
      <c r="P5625" s="413">
        <v>1</v>
      </c>
      <c r="Q5625" s="413">
        <v>1</v>
      </c>
      <c r="R5625" s="413">
        <v>1</v>
      </c>
      <c r="S5625" s="413">
        <v>1</v>
      </c>
      <c r="T5625" s="14" t="s">
        <v>11722</v>
      </c>
      <c r="U5625" t="s">
        <v>11723</v>
      </c>
      <c r="V5625" s="14" t="s">
        <v>12215</v>
      </c>
      <c r="W5625" s="388">
        <v>1</v>
      </c>
      <c r="X5625" s="388">
        <v>1</v>
      </c>
      <c r="Y5625" s="388">
        <v>1</v>
      </c>
      <c r="Z5625" s="388">
        <v>1</v>
      </c>
      <c r="AA5625" s="388">
        <v>1</v>
      </c>
      <c r="AB5625" s="388">
        <v>1</v>
      </c>
      <c r="AC5625" s="150">
        <v>0</v>
      </c>
      <c r="AD5625" s="150">
        <v>1</v>
      </c>
      <c r="AE5625" s="49">
        <f t="shared" si="203"/>
        <v>0.875</v>
      </c>
      <c r="AF5625" s="397"/>
      <c r="AG5625" s="17">
        <v>0</v>
      </c>
      <c r="AH5625" s="397">
        <v>4.62</v>
      </c>
      <c r="AI5625" s="397">
        <v>6.5</v>
      </c>
      <c r="AJ5625" s="397">
        <v>6.8250000000000002</v>
      </c>
      <c r="AK5625" s="398">
        <v>6.1</v>
      </c>
      <c r="AL5625" s="398">
        <v>6.1</v>
      </c>
      <c r="AM5625" s="17">
        <f t="shared" si="204"/>
        <v>12.2</v>
      </c>
      <c r="AN5625" s="14" t="s">
        <v>11722</v>
      </c>
      <c r="AO5625" s="12" t="s">
        <v>11723</v>
      </c>
      <c r="AP5625" s="399"/>
      <c r="AQ5625" s="400"/>
      <c r="AR5625" s="399"/>
      <c r="AS5625" s="399"/>
      <c r="AT5625" s="399"/>
      <c r="AX5625" s="400"/>
    </row>
    <row r="5626" spans="1:50" s="14" customFormat="1" x14ac:dyDescent="0.3">
      <c r="A5626" s="386" t="s">
        <v>8325</v>
      </c>
      <c r="B5626" s="14" t="s">
        <v>8326</v>
      </c>
      <c r="C5626" s="14" t="s">
        <v>11714</v>
      </c>
      <c r="D5626" s="14" t="s">
        <v>6838</v>
      </c>
      <c r="E5626" s="14" t="s">
        <v>11989</v>
      </c>
      <c r="F5626" s="12" t="s">
        <v>11990</v>
      </c>
      <c r="G5626" s="14" t="s">
        <v>12194</v>
      </c>
      <c r="H5626" s="12" t="s">
        <v>12195</v>
      </c>
      <c r="K5626" s="14" t="s">
        <v>12196</v>
      </c>
      <c r="L5626" s="12" t="s">
        <v>12197</v>
      </c>
      <c r="M5626" s="14" t="s">
        <v>12216</v>
      </c>
      <c r="N5626" s="168">
        <v>0</v>
      </c>
      <c r="O5626" s="168">
        <v>0</v>
      </c>
      <c r="P5626" s="189">
        <v>120</v>
      </c>
      <c r="Q5626" s="189">
        <v>120</v>
      </c>
      <c r="R5626" s="189">
        <v>0</v>
      </c>
      <c r="S5626" s="189">
        <v>0</v>
      </c>
      <c r="T5626" s="14" t="s">
        <v>11722</v>
      </c>
      <c r="U5626" t="s">
        <v>11723</v>
      </c>
      <c r="V5626" s="14" t="s">
        <v>12217</v>
      </c>
      <c r="W5626" s="388">
        <v>0</v>
      </c>
      <c r="X5626" s="388">
        <v>0</v>
      </c>
      <c r="Y5626" s="388">
        <v>0</v>
      </c>
      <c r="Z5626" s="388">
        <v>0</v>
      </c>
      <c r="AA5626" s="388">
        <v>0</v>
      </c>
      <c r="AB5626" s="388">
        <v>0</v>
      </c>
      <c r="AC5626" s="150">
        <v>0</v>
      </c>
      <c r="AD5626" s="150">
        <v>0</v>
      </c>
      <c r="AE5626" s="49">
        <f t="shared" si="203"/>
        <v>0</v>
      </c>
      <c r="AF5626" s="397"/>
      <c r="AG5626" s="17">
        <v>0</v>
      </c>
      <c r="AH5626" s="397">
        <v>0</v>
      </c>
      <c r="AI5626" s="397">
        <v>0.16</v>
      </c>
      <c r="AJ5626" s="397">
        <v>0.16</v>
      </c>
      <c r="AK5626" s="398">
        <v>0</v>
      </c>
      <c r="AL5626" s="398">
        <v>0.1</v>
      </c>
      <c r="AM5626" s="17">
        <f t="shared" si="204"/>
        <v>0.1</v>
      </c>
      <c r="AN5626" s="14" t="s">
        <v>11722</v>
      </c>
      <c r="AO5626" s="12" t="s">
        <v>11723</v>
      </c>
      <c r="AP5626" s="399"/>
      <c r="AQ5626" s="400"/>
      <c r="AR5626" s="399"/>
      <c r="AS5626" s="399"/>
      <c r="AT5626" s="399"/>
      <c r="AX5626" s="400"/>
    </row>
    <row r="5627" spans="1:50" s="14" customFormat="1" x14ac:dyDescent="0.3">
      <c r="A5627" s="386" t="s">
        <v>8325</v>
      </c>
      <c r="B5627" s="14" t="s">
        <v>8326</v>
      </c>
      <c r="C5627" s="14" t="s">
        <v>11714</v>
      </c>
      <c r="D5627" s="14" t="s">
        <v>6838</v>
      </c>
      <c r="E5627" s="14" t="s">
        <v>11989</v>
      </c>
      <c r="F5627" s="12" t="s">
        <v>11990</v>
      </c>
      <c r="G5627" s="14" t="s">
        <v>12194</v>
      </c>
      <c r="H5627" s="12" t="s">
        <v>12195</v>
      </c>
      <c r="K5627" s="14" t="s">
        <v>12196</v>
      </c>
      <c r="L5627" s="12" t="s">
        <v>12197</v>
      </c>
      <c r="M5627" s="14" t="s">
        <v>12218</v>
      </c>
      <c r="N5627" s="168" t="s">
        <v>12219</v>
      </c>
      <c r="O5627" s="467">
        <v>1</v>
      </c>
      <c r="P5627" s="413">
        <v>1</v>
      </c>
      <c r="Q5627" s="413">
        <v>1</v>
      </c>
      <c r="R5627" s="413">
        <v>1</v>
      </c>
      <c r="S5627" s="413">
        <v>1</v>
      </c>
      <c r="T5627" s="14" t="s">
        <v>11722</v>
      </c>
      <c r="U5627" t="s">
        <v>11723</v>
      </c>
      <c r="V5627" s="14" t="s">
        <v>12220</v>
      </c>
      <c r="W5627" s="388">
        <v>1</v>
      </c>
      <c r="X5627" s="388">
        <v>1</v>
      </c>
      <c r="Y5627" s="388">
        <v>0</v>
      </c>
      <c r="Z5627" s="388">
        <v>1</v>
      </c>
      <c r="AA5627" s="388">
        <v>1</v>
      </c>
      <c r="AB5627" s="388">
        <v>1</v>
      </c>
      <c r="AC5627" s="150">
        <v>0</v>
      </c>
      <c r="AD5627" s="150">
        <v>1</v>
      </c>
      <c r="AE5627" s="49">
        <f t="shared" ref="AE5627:AE5690" si="205">SUM(W5627:AD5627)/8</f>
        <v>0.75</v>
      </c>
      <c r="AF5627" s="397"/>
      <c r="AG5627" s="17">
        <v>0</v>
      </c>
      <c r="AH5627" s="397">
        <v>6.9947999999999997</v>
      </c>
      <c r="AI5627" s="397">
        <v>7.4939999999999998</v>
      </c>
      <c r="AJ5627" s="397">
        <v>9.4424399999999995</v>
      </c>
      <c r="AK5627" s="398">
        <v>9.318702</v>
      </c>
      <c r="AL5627" s="398">
        <v>9.318702</v>
      </c>
      <c r="AM5627" s="17">
        <f t="shared" si="204"/>
        <v>18.637404</v>
      </c>
      <c r="AN5627" s="14" t="s">
        <v>11722</v>
      </c>
      <c r="AO5627" s="12" t="s">
        <v>11723</v>
      </c>
      <c r="AP5627" s="399"/>
      <c r="AQ5627" s="400"/>
      <c r="AR5627" s="399"/>
      <c r="AS5627" s="399"/>
      <c r="AT5627" s="399"/>
      <c r="AX5627" s="400"/>
    </row>
    <row r="5628" spans="1:50" s="14" customFormat="1" x14ac:dyDescent="0.3">
      <c r="A5628" s="386" t="s">
        <v>8325</v>
      </c>
      <c r="B5628" s="14" t="s">
        <v>8326</v>
      </c>
      <c r="C5628" s="14" t="s">
        <v>11714</v>
      </c>
      <c r="D5628" s="14" t="s">
        <v>6838</v>
      </c>
      <c r="E5628" s="14" t="s">
        <v>11989</v>
      </c>
      <c r="F5628" s="12" t="s">
        <v>11990</v>
      </c>
      <c r="G5628" s="14" t="s">
        <v>12194</v>
      </c>
      <c r="H5628" s="12" t="s">
        <v>12195</v>
      </c>
      <c r="K5628" s="14" t="s">
        <v>12196</v>
      </c>
      <c r="L5628" s="12" t="s">
        <v>12197</v>
      </c>
      <c r="M5628" s="14" t="s">
        <v>12221</v>
      </c>
      <c r="O5628" s="14">
        <v>1</v>
      </c>
      <c r="P5628" s="12"/>
      <c r="Q5628" s="12"/>
      <c r="R5628" s="12"/>
      <c r="S5628" s="12"/>
      <c r="T5628" s="14" t="s">
        <v>11722</v>
      </c>
      <c r="U5628" t="s">
        <v>11723</v>
      </c>
      <c r="V5628" s="168" t="s">
        <v>12222</v>
      </c>
      <c r="W5628" s="416">
        <v>0</v>
      </c>
      <c r="X5628" s="416">
        <v>0</v>
      </c>
      <c r="Y5628" s="416">
        <v>0</v>
      </c>
      <c r="Z5628" s="416">
        <v>1</v>
      </c>
      <c r="AA5628" s="416">
        <v>0</v>
      </c>
      <c r="AB5628" s="416">
        <v>0</v>
      </c>
      <c r="AC5628" s="150">
        <v>0</v>
      </c>
      <c r="AD5628" s="150">
        <v>1</v>
      </c>
      <c r="AE5628" s="49">
        <f t="shared" si="205"/>
        <v>0.25</v>
      </c>
      <c r="AF5628" s="397"/>
      <c r="AG5628" s="17">
        <v>0</v>
      </c>
      <c r="AH5628" s="397">
        <v>0.10199999999999999</v>
      </c>
      <c r="AI5628" s="397">
        <v>0</v>
      </c>
      <c r="AJ5628" s="397">
        <v>0</v>
      </c>
      <c r="AK5628" s="398">
        <v>0</v>
      </c>
      <c r="AL5628" s="398">
        <v>0</v>
      </c>
      <c r="AM5628" s="17">
        <f t="shared" si="204"/>
        <v>0</v>
      </c>
      <c r="AN5628" s="14" t="s">
        <v>11722</v>
      </c>
      <c r="AO5628" s="12" t="s">
        <v>11723</v>
      </c>
      <c r="AP5628" s="399"/>
      <c r="AQ5628" s="400"/>
      <c r="AR5628" s="399"/>
      <c r="AS5628" s="399"/>
      <c r="AT5628" s="399"/>
      <c r="AX5628" s="400"/>
    </row>
    <row r="5629" spans="1:50" s="14" customFormat="1" x14ac:dyDescent="0.3">
      <c r="A5629" s="386" t="s">
        <v>8325</v>
      </c>
      <c r="B5629" s="14" t="s">
        <v>8326</v>
      </c>
      <c r="C5629" s="14" t="s">
        <v>11714</v>
      </c>
      <c r="D5629" s="14" t="s">
        <v>6838</v>
      </c>
      <c r="E5629" s="14" t="s">
        <v>11989</v>
      </c>
      <c r="F5629" s="12" t="s">
        <v>11990</v>
      </c>
      <c r="G5629" s="14" t="s">
        <v>12194</v>
      </c>
      <c r="H5629" s="12" t="s">
        <v>12195</v>
      </c>
      <c r="K5629" s="14" t="s">
        <v>12196</v>
      </c>
      <c r="L5629" s="12" t="s">
        <v>12197</v>
      </c>
      <c r="M5629" s="14" t="s">
        <v>12223</v>
      </c>
      <c r="O5629" s="14">
        <v>2</v>
      </c>
      <c r="P5629" s="12">
        <v>4</v>
      </c>
      <c r="Q5629" s="12">
        <v>4</v>
      </c>
      <c r="R5629" s="12">
        <v>4</v>
      </c>
      <c r="S5629" s="12">
        <v>4</v>
      </c>
      <c r="T5629" s="14" t="s">
        <v>11722</v>
      </c>
      <c r="U5629" t="s">
        <v>11723</v>
      </c>
      <c r="V5629" s="168" t="s">
        <v>12224</v>
      </c>
      <c r="W5629" s="416">
        <v>1</v>
      </c>
      <c r="X5629" s="416">
        <v>1</v>
      </c>
      <c r="Y5629" s="416">
        <v>0</v>
      </c>
      <c r="Z5629" s="416">
        <v>1</v>
      </c>
      <c r="AA5629" s="416">
        <v>1</v>
      </c>
      <c r="AB5629" s="416">
        <v>0</v>
      </c>
      <c r="AC5629" s="150">
        <v>0</v>
      </c>
      <c r="AD5629" s="150">
        <v>1</v>
      </c>
      <c r="AE5629" s="49">
        <f t="shared" si="205"/>
        <v>0.625</v>
      </c>
      <c r="AF5629" s="397"/>
      <c r="AG5629" s="17">
        <v>0</v>
      </c>
      <c r="AH5629" s="397">
        <v>0.21340000000000001</v>
      </c>
      <c r="AI5629" s="397">
        <v>0.21840000000000001</v>
      </c>
      <c r="AJ5629" s="397">
        <v>0.22364999999999999</v>
      </c>
      <c r="AK5629" s="398">
        <v>0.581125</v>
      </c>
      <c r="AL5629" s="398">
        <v>0.581125</v>
      </c>
      <c r="AM5629" s="17">
        <f t="shared" si="204"/>
        <v>1.16225</v>
      </c>
      <c r="AN5629" s="14" t="s">
        <v>11722</v>
      </c>
      <c r="AO5629" s="12" t="s">
        <v>11723</v>
      </c>
      <c r="AP5629" s="399"/>
      <c r="AQ5629" s="400"/>
      <c r="AR5629" s="399"/>
      <c r="AS5629" s="399"/>
      <c r="AT5629" s="399"/>
      <c r="AX5629" s="400"/>
    </row>
    <row r="5630" spans="1:50" s="14" customFormat="1" x14ac:dyDescent="0.3">
      <c r="A5630" s="386" t="s">
        <v>8325</v>
      </c>
      <c r="B5630" s="14" t="s">
        <v>8326</v>
      </c>
      <c r="C5630" s="14" t="s">
        <v>11714</v>
      </c>
      <c r="D5630" s="14" t="s">
        <v>6838</v>
      </c>
      <c r="E5630" s="14" t="s">
        <v>11989</v>
      </c>
      <c r="F5630" s="12" t="s">
        <v>11990</v>
      </c>
      <c r="G5630" s="14" t="s">
        <v>12194</v>
      </c>
      <c r="H5630" s="12" t="s">
        <v>12195</v>
      </c>
      <c r="K5630" s="14" t="s">
        <v>12196</v>
      </c>
      <c r="L5630" s="12" t="s">
        <v>12197</v>
      </c>
      <c r="M5630" s="14" t="s">
        <v>12225</v>
      </c>
      <c r="P5630" s="12">
        <v>1</v>
      </c>
      <c r="Q5630" s="12"/>
      <c r="R5630" s="12"/>
      <c r="S5630" s="12"/>
      <c r="T5630" s="14" t="s">
        <v>11722</v>
      </c>
      <c r="U5630" t="s">
        <v>11723</v>
      </c>
      <c r="V5630" s="168" t="s">
        <v>12226</v>
      </c>
      <c r="W5630" s="416">
        <v>1</v>
      </c>
      <c r="X5630" s="416">
        <v>1</v>
      </c>
      <c r="Y5630" s="416">
        <v>0</v>
      </c>
      <c r="Z5630" s="416">
        <v>1</v>
      </c>
      <c r="AA5630" s="416">
        <v>0</v>
      </c>
      <c r="AB5630" s="416">
        <v>0</v>
      </c>
      <c r="AC5630" s="150">
        <v>0</v>
      </c>
      <c r="AD5630" s="150">
        <v>1</v>
      </c>
      <c r="AE5630" s="49">
        <f t="shared" si="205"/>
        <v>0.5</v>
      </c>
      <c r="AF5630" s="397"/>
      <c r="AG5630" s="17">
        <v>0</v>
      </c>
      <c r="AH5630" s="397">
        <v>0</v>
      </c>
      <c r="AI5630" s="397">
        <v>0.12039999999999999</v>
      </c>
      <c r="AJ5630" s="397">
        <v>0.12642</v>
      </c>
      <c r="AK5630" s="398">
        <v>0</v>
      </c>
      <c r="AL5630" s="398">
        <v>0</v>
      </c>
      <c r="AM5630" s="17">
        <f t="shared" si="204"/>
        <v>0</v>
      </c>
      <c r="AN5630" s="14" t="s">
        <v>11722</v>
      </c>
      <c r="AO5630" s="12" t="s">
        <v>11723</v>
      </c>
      <c r="AP5630" s="399"/>
      <c r="AQ5630" s="400"/>
      <c r="AR5630" s="399"/>
      <c r="AS5630" s="399"/>
      <c r="AT5630" s="399"/>
      <c r="AX5630" s="400"/>
    </row>
    <row r="5631" spans="1:50" s="14" customFormat="1" x14ac:dyDescent="0.3">
      <c r="A5631" s="386" t="s">
        <v>8325</v>
      </c>
      <c r="B5631" s="14" t="s">
        <v>8326</v>
      </c>
      <c r="C5631" s="14" t="s">
        <v>11714</v>
      </c>
      <c r="D5631" s="14" t="s">
        <v>6838</v>
      </c>
      <c r="E5631" s="14" t="s">
        <v>11989</v>
      </c>
      <c r="F5631" s="12" t="s">
        <v>11990</v>
      </c>
      <c r="G5631" s="14" t="s">
        <v>12194</v>
      </c>
      <c r="H5631" s="12" t="s">
        <v>12195</v>
      </c>
      <c r="K5631" s="14" t="s">
        <v>12196</v>
      </c>
      <c r="L5631" s="12" t="s">
        <v>12197</v>
      </c>
      <c r="M5631" s="14" t="s">
        <v>12227</v>
      </c>
      <c r="P5631" s="12">
        <v>1</v>
      </c>
      <c r="Q5631" s="12"/>
      <c r="R5631" s="12"/>
      <c r="S5631" s="12"/>
      <c r="T5631" s="14" t="s">
        <v>11722</v>
      </c>
      <c r="U5631" t="s">
        <v>11723</v>
      </c>
      <c r="V5631" s="168" t="s">
        <v>12228</v>
      </c>
      <c r="W5631" s="416">
        <v>1</v>
      </c>
      <c r="X5631" s="416">
        <v>1</v>
      </c>
      <c r="Y5631" s="416">
        <v>0</v>
      </c>
      <c r="Z5631" s="416">
        <v>1</v>
      </c>
      <c r="AA5631" s="416">
        <v>0</v>
      </c>
      <c r="AB5631" s="416">
        <v>0</v>
      </c>
      <c r="AC5631" s="150">
        <v>0</v>
      </c>
      <c r="AD5631" s="150">
        <v>1</v>
      </c>
      <c r="AE5631" s="49">
        <f t="shared" si="205"/>
        <v>0.5</v>
      </c>
      <c r="AF5631" s="397"/>
      <c r="AG5631" s="17">
        <v>0</v>
      </c>
      <c r="AH5631" s="397">
        <v>0</v>
      </c>
      <c r="AI5631" s="397">
        <v>0.12039999999999999</v>
      </c>
      <c r="AJ5631" s="397">
        <v>0.12642</v>
      </c>
      <c r="AK5631" s="398">
        <v>0</v>
      </c>
      <c r="AL5631" s="398">
        <v>0</v>
      </c>
      <c r="AM5631" s="17">
        <f t="shared" si="204"/>
        <v>0</v>
      </c>
      <c r="AN5631" s="14" t="s">
        <v>11722</v>
      </c>
      <c r="AO5631" s="12" t="s">
        <v>11723</v>
      </c>
      <c r="AP5631" s="399"/>
      <c r="AQ5631" s="400"/>
      <c r="AR5631" s="399"/>
      <c r="AS5631" s="399"/>
      <c r="AT5631" s="399"/>
      <c r="AX5631" s="400"/>
    </row>
    <row r="5632" spans="1:50" s="14" customFormat="1" x14ac:dyDescent="0.3">
      <c r="A5632" s="386" t="s">
        <v>8325</v>
      </c>
      <c r="B5632" s="14" t="s">
        <v>8326</v>
      </c>
      <c r="C5632" s="14" t="s">
        <v>11714</v>
      </c>
      <c r="D5632" s="14" t="s">
        <v>6838</v>
      </c>
      <c r="E5632" s="14" t="s">
        <v>11989</v>
      </c>
      <c r="F5632" s="12" t="s">
        <v>11990</v>
      </c>
      <c r="G5632" s="14" t="s">
        <v>12194</v>
      </c>
      <c r="H5632" s="12" t="s">
        <v>12195</v>
      </c>
      <c r="K5632" s="14" t="s">
        <v>12196</v>
      </c>
      <c r="L5632" s="12" t="s">
        <v>12197</v>
      </c>
      <c r="M5632" s="14" t="s">
        <v>12229</v>
      </c>
      <c r="P5632" s="12">
        <v>1</v>
      </c>
      <c r="Q5632" s="12"/>
      <c r="R5632" s="12"/>
      <c r="S5632" s="12"/>
      <c r="T5632" s="14" t="s">
        <v>11722</v>
      </c>
      <c r="U5632" t="s">
        <v>11723</v>
      </c>
      <c r="V5632" s="168" t="s">
        <v>12230</v>
      </c>
      <c r="W5632" s="416">
        <v>1</v>
      </c>
      <c r="X5632" s="416">
        <v>1</v>
      </c>
      <c r="Y5632" s="416">
        <v>0</v>
      </c>
      <c r="Z5632" s="416">
        <v>1</v>
      </c>
      <c r="AA5632" s="416">
        <v>0</v>
      </c>
      <c r="AB5632" s="416">
        <v>0</v>
      </c>
      <c r="AC5632" s="150">
        <v>0</v>
      </c>
      <c r="AD5632" s="150">
        <v>1</v>
      </c>
      <c r="AE5632" s="49">
        <f t="shared" si="205"/>
        <v>0.5</v>
      </c>
      <c r="AF5632" s="397"/>
      <c r="AG5632" s="17">
        <v>0</v>
      </c>
      <c r="AH5632" s="397">
        <v>0</v>
      </c>
      <c r="AI5632" s="397">
        <v>0.12039999999999999</v>
      </c>
      <c r="AJ5632" s="397">
        <v>0.12642</v>
      </c>
      <c r="AK5632" s="398">
        <v>0</v>
      </c>
      <c r="AL5632" s="398">
        <v>0</v>
      </c>
      <c r="AM5632" s="17">
        <f t="shared" si="204"/>
        <v>0</v>
      </c>
      <c r="AN5632" s="14" t="s">
        <v>11722</v>
      </c>
      <c r="AO5632" s="12" t="s">
        <v>11723</v>
      </c>
      <c r="AP5632" s="399"/>
      <c r="AQ5632" s="400"/>
      <c r="AR5632" s="399"/>
      <c r="AS5632" s="399"/>
      <c r="AT5632" s="399"/>
      <c r="AX5632" s="400"/>
    </row>
    <row r="5633" spans="1:50" s="14" customFormat="1" x14ac:dyDescent="0.3">
      <c r="A5633" s="386" t="s">
        <v>8325</v>
      </c>
      <c r="B5633" s="14" t="s">
        <v>8326</v>
      </c>
      <c r="C5633" s="14" t="s">
        <v>11714</v>
      </c>
      <c r="D5633" s="14" t="s">
        <v>6838</v>
      </c>
      <c r="E5633" s="14" t="s">
        <v>11989</v>
      </c>
      <c r="F5633" s="12" t="s">
        <v>11990</v>
      </c>
      <c r="G5633" s="14" t="s">
        <v>12194</v>
      </c>
      <c r="H5633" s="12" t="s">
        <v>12195</v>
      </c>
      <c r="K5633" s="14" t="s">
        <v>12196</v>
      </c>
      <c r="L5633" s="12" t="s">
        <v>12197</v>
      </c>
      <c r="M5633" s="14" t="s">
        <v>12231</v>
      </c>
      <c r="P5633" s="12">
        <v>1</v>
      </c>
      <c r="Q5633" s="12"/>
      <c r="R5633" s="12"/>
      <c r="S5633" s="12"/>
      <c r="T5633" s="14" t="s">
        <v>11722</v>
      </c>
      <c r="U5633" t="s">
        <v>11723</v>
      </c>
      <c r="V5633" s="168" t="s">
        <v>12232</v>
      </c>
      <c r="W5633" s="416">
        <v>1</v>
      </c>
      <c r="X5633" s="416">
        <v>1</v>
      </c>
      <c r="Y5633" s="416">
        <v>0</v>
      </c>
      <c r="Z5633" s="416">
        <v>1</v>
      </c>
      <c r="AA5633" s="416">
        <v>0</v>
      </c>
      <c r="AB5633" s="416">
        <v>0</v>
      </c>
      <c r="AC5633" s="150">
        <v>0</v>
      </c>
      <c r="AD5633" s="150">
        <v>1</v>
      </c>
      <c r="AE5633" s="49">
        <f t="shared" si="205"/>
        <v>0.5</v>
      </c>
      <c r="AF5633" s="397"/>
      <c r="AG5633" s="17">
        <v>0</v>
      </c>
      <c r="AH5633" s="397">
        <v>0</v>
      </c>
      <c r="AI5633" s="397">
        <v>0.12039999999999999</v>
      </c>
      <c r="AJ5633" s="397">
        <v>0.12642</v>
      </c>
      <c r="AK5633" s="398">
        <v>0</v>
      </c>
      <c r="AL5633" s="398">
        <v>0</v>
      </c>
      <c r="AM5633" s="17">
        <f t="shared" si="204"/>
        <v>0</v>
      </c>
      <c r="AN5633" s="14" t="s">
        <v>11722</v>
      </c>
      <c r="AO5633" s="12" t="s">
        <v>11723</v>
      </c>
      <c r="AP5633" s="399"/>
      <c r="AQ5633" s="400"/>
      <c r="AR5633" s="399"/>
      <c r="AS5633" s="399"/>
      <c r="AT5633" s="399"/>
      <c r="AX5633" s="400"/>
    </row>
    <row r="5634" spans="1:50" s="14" customFormat="1" x14ac:dyDescent="0.3">
      <c r="A5634" s="386" t="s">
        <v>8325</v>
      </c>
      <c r="B5634" s="14" t="s">
        <v>8326</v>
      </c>
      <c r="C5634" s="14" t="s">
        <v>11714</v>
      </c>
      <c r="D5634" s="14" t="s">
        <v>6838</v>
      </c>
      <c r="E5634" s="14" t="s">
        <v>11989</v>
      </c>
      <c r="F5634" s="12" t="s">
        <v>11990</v>
      </c>
      <c r="G5634" s="14" t="s">
        <v>12194</v>
      </c>
      <c r="H5634" s="12" t="s">
        <v>12195</v>
      </c>
      <c r="K5634" s="14" t="s">
        <v>12196</v>
      </c>
      <c r="L5634" s="12" t="s">
        <v>12197</v>
      </c>
      <c r="M5634" s="14" t="s">
        <v>12233</v>
      </c>
      <c r="N5634" s="14">
        <v>0</v>
      </c>
      <c r="P5634" s="12">
        <v>4</v>
      </c>
      <c r="Q5634" s="12">
        <v>4</v>
      </c>
      <c r="R5634" s="12">
        <v>4</v>
      </c>
      <c r="S5634" s="12">
        <v>4</v>
      </c>
      <c r="T5634" s="14" t="s">
        <v>11722</v>
      </c>
      <c r="U5634" t="s">
        <v>11723</v>
      </c>
      <c r="V5634" s="168" t="s">
        <v>12234</v>
      </c>
      <c r="W5634" s="416">
        <v>1</v>
      </c>
      <c r="X5634" s="416">
        <v>1</v>
      </c>
      <c r="Y5634" s="416">
        <v>1</v>
      </c>
      <c r="Z5634" s="416">
        <v>1</v>
      </c>
      <c r="AA5634" s="416">
        <v>1</v>
      </c>
      <c r="AB5634" s="416">
        <v>1</v>
      </c>
      <c r="AC5634" s="150">
        <v>0</v>
      </c>
      <c r="AD5634" s="150">
        <v>1</v>
      </c>
      <c r="AE5634" s="49">
        <f t="shared" si="205"/>
        <v>0.875</v>
      </c>
      <c r="AF5634" s="397"/>
      <c r="AG5634" s="17">
        <v>0</v>
      </c>
      <c r="AH5634" s="397">
        <v>0</v>
      </c>
      <c r="AI5634" s="397">
        <v>0.12392</v>
      </c>
      <c r="AJ5634" s="397">
        <v>0.13011600000000001</v>
      </c>
      <c r="AK5634" s="398">
        <v>0.54300000000000004</v>
      </c>
      <c r="AL5634" s="398">
        <v>0.54300000000000004</v>
      </c>
      <c r="AM5634" s="17">
        <f t="shared" si="204"/>
        <v>1.0860000000000001</v>
      </c>
      <c r="AN5634" s="14" t="s">
        <v>11722</v>
      </c>
      <c r="AO5634" s="12" t="s">
        <v>11723</v>
      </c>
      <c r="AP5634" s="399"/>
      <c r="AQ5634" s="400"/>
      <c r="AR5634" s="399"/>
      <c r="AS5634" s="399"/>
      <c r="AT5634" s="399"/>
      <c r="AX5634" s="400"/>
    </row>
    <row r="5635" spans="1:50" s="14" customFormat="1" x14ac:dyDescent="0.3">
      <c r="A5635" s="386" t="s">
        <v>8325</v>
      </c>
      <c r="B5635" s="14" t="s">
        <v>8326</v>
      </c>
      <c r="C5635" s="14" t="s">
        <v>11714</v>
      </c>
      <c r="D5635" s="14" t="s">
        <v>6838</v>
      </c>
      <c r="E5635" s="14" t="s">
        <v>11989</v>
      </c>
      <c r="F5635" s="12" t="s">
        <v>11990</v>
      </c>
      <c r="G5635" s="14" t="s">
        <v>12194</v>
      </c>
      <c r="H5635" s="12" t="s">
        <v>12195</v>
      </c>
      <c r="K5635" s="14" t="s">
        <v>12196</v>
      </c>
      <c r="L5635" s="12" t="s">
        <v>12197</v>
      </c>
      <c r="M5635" s="14" t="s">
        <v>12235</v>
      </c>
      <c r="P5635" s="12">
        <v>4</v>
      </c>
      <c r="Q5635" s="12">
        <v>4</v>
      </c>
      <c r="R5635" s="12">
        <v>4</v>
      </c>
      <c r="S5635" s="12">
        <v>4</v>
      </c>
      <c r="T5635" s="14" t="s">
        <v>11722</v>
      </c>
      <c r="U5635" t="s">
        <v>11723</v>
      </c>
      <c r="V5635" s="168" t="s">
        <v>12236</v>
      </c>
      <c r="W5635" s="416">
        <v>0</v>
      </c>
      <c r="X5635" s="416">
        <v>0</v>
      </c>
      <c r="Y5635" s="416">
        <v>0</v>
      </c>
      <c r="Z5635" s="416">
        <v>1</v>
      </c>
      <c r="AA5635" s="416">
        <v>1</v>
      </c>
      <c r="AB5635" s="416">
        <v>0</v>
      </c>
      <c r="AC5635" s="150">
        <v>1</v>
      </c>
      <c r="AD5635" s="150">
        <v>1</v>
      </c>
      <c r="AE5635" s="49">
        <f t="shared" si="205"/>
        <v>0.5</v>
      </c>
      <c r="AF5635" s="397"/>
      <c r="AG5635" s="17">
        <v>0</v>
      </c>
      <c r="AH5635" s="397">
        <v>0</v>
      </c>
      <c r="AI5635" s="397">
        <v>0.1104</v>
      </c>
      <c r="AJ5635" s="397">
        <v>0.11592</v>
      </c>
      <c r="AK5635" s="398">
        <v>0</v>
      </c>
      <c r="AL5635" s="398">
        <v>0</v>
      </c>
      <c r="AM5635" s="17">
        <f t="shared" si="204"/>
        <v>0</v>
      </c>
      <c r="AN5635" s="14" t="s">
        <v>11722</v>
      </c>
      <c r="AO5635" s="12" t="s">
        <v>11723</v>
      </c>
      <c r="AP5635" s="399"/>
      <c r="AQ5635" s="400"/>
      <c r="AR5635" s="399"/>
      <c r="AS5635" s="399"/>
      <c r="AT5635" s="399"/>
      <c r="AX5635" s="400"/>
    </row>
    <row r="5636" spans="1:50" s="14" customFormat="1" x14ac:dyDescent="0.3">
      <c r="A5636" s="386" t="s">
        <v>8325</v>
      </c>
      <c r="B5636" s="14" t="s">
        <v>8326</v>
      </c>
      <c r="C5636" s="14" t="s">
        <v>11714</v>
      </c>
      <c r="D5636" s="14" t="s">
        <v>6838</v>
      </c>
      <c r="E5636" s="14" t="s">
        <v>11989</v>
      </c>
      <c r="F5636" s="12" t="s">
        <v>11990</v>
      </c>
      <c r="G5636" s="14" t="s">
        <v>12194</v>
      </c>
      <c r="H5636" s="12" t="s">
        <v>12195</v>
      </c>
      <c r="K5636" s="14" t="s">
        <v>12196</v>
      </c>
      <c r="L5636" s="12" t="s">
        <v>12197</v>
      </c>
      <c r="M5636" s="14" t="s">
        <v>12237</v>
      </c>
      <c r="P5636" s="12">
        <v>4</v>
      </c>
      <c r="Q5636" s="12">
        <v>4</v>
      </c>
      <c r="R5636" s="12">
        <v>4</v>
      </c>
      <c r="S5636" s="12">
        <v>4</v>
      </c>
      <c r="T5636" s="14" t="s">
        <v>11722</v>
      </c>
      <c r="U5636" t="s">
        <v>11723</v>
      </c>
      <c r="V5636" s="168" t="s">
        <v>12238</v>
      </c>
      <c r="W5636" s="416">
        <v>0</v>
      </c>
      <c r="X5636" s="416">
        <v>0</v>
      </c>
      <c r="Y5636" s="416">
        <v>0</v>
      </c>
      <c r="Z5636" s="416">
        <v>1</v>
      </c>
      <c r="AA5636" s="416">
        <v>1</v>
      </c>
      <c r="AB5636" s="416">
        <v>0</v>
      </c>
      <c r="AC5636" s="150">
        <v>0</v>
      </c>
      <c r="AD5636" s="150">
        <v>1</v>
      </c>
      <c r="AE5636" s="49">
        <f t="shared" si="205"/>
        <v>0.375</v>
      </c>
      <c r="AF5636" s="397"/>
      <c r="AG5636" s="17">
        <v>0</v>
      </c>
      <c r="AH5636" s="397">
        <v>0</v>
      </c>
      <c r="AI5636" s="397">
        <v>0.1104</v>
      </c>
      <c r="AJ5636" s="397">
        <v>0.11592</v>
      </c>
      <c r="AK5636" s="398">
        <v>0</v>
      </c>
      <c r="AL5636" s="398">
        <v>0</v>
      </c>
      <c r="AM5636" s="17">
        <f t="shared" si="204"/>
        <v>0</v>
      </c>
      <c r="AN5636" s="14" t="s">
        <v>11722</v>
      </c>
      <c r="AO5636" s="12" t="s">
        <v>11723</v>
      </c>
      <c r="AP5636" s="399"/>
      <c r="AQ5636" s="400"/>
      <c r="AR5636" s="399"/>
      <c r="AS5636" s="399"/>
      <c r="AT5636" s="399"/>
      <c r="AX5636" s="400"/>
    </row>
    <row r="5637" spans="1:50" s="14" customFormat="1" x14ac:dyDescent="0.3">
      <c r="A5637" s="386" t="s">
        <v>8325</v>
      </c>
      <c r="B5637" s="14" t="s">
        <v>8326</v>
      </c>
      <c r="C5637" s="14" t="s">
        <v>11807</v>
      </c>
      <c r="D5637" s="14" t="s">
        <v>11808</v>
      </c>
      <c r="E5637" s="14" t="s">
        <v>12017</v>
      </c>
      <c r="F5637" s="12" t="s">
        <v>11990</v>
      </c>
      <c r="G5637" s="14" t="s">
        <v>12239</v>
      </c>
      <c r="H5637" s="12" t="s">
        <v>12195</v>
      </c>
      <c r="K5637" s="14" t="s">
        <v>12240</v>
      </c>
      <c r="L5637" s="12" t="s">
        <v>12197</v>
      </c>
      <c r="M5637" s="14" t="s">
        <v>12241</v>
      </c>
      <c r="P5637" s="12">
        <v>4</v>
      </c>
      <c r="Q5637" s="12">
        <v>4</v>
      </c>
      <c r="R5637" s="12">
        <v>2</v>
      </c>
      <c r="S5637" s="12">
        <v>2</v>
      </c>
      <c r="T5637" s="14" t="s">
        <v>11722</v>
      </c>
      <c r="U5637" t="s">
        <v>11723</v>
      </c>
      <c r="V5637" s="168" t="s">
        <v>12242</v>
      </c>
      <c r="W5637" s="416">
        <v>0</v>
      </c>
      <c r="X5637" s="416">
        <v>0</v>
      </c>
      <c r="Y5637" s="416">
        <v>0</v>
      </c>
      <c r="Z5637" s="416">
        <v>1</v>
      </c>
      <c r="AA5637" s="416">
        <v>1</v>
      </c>
      <c r="AB5637" s="416">
        <v>0</v>
      </c>
      <c r="AC5637" s="150">
        <v>0</v>
      </c>
      <c r="AD5637" s="150">
        <v>1</v>
      </c>
      <c r="AE5637" s="49">
        <f t="shared" si="205"/>
        <v>0.375</v>
      </c>
      <c r="AF5637" s="397"/>
      <c r="AG5637" s="17">
        <v>0</v>
      </c>
      <c r="AH5637" s="397">
        <v>0</v>
      </c>
      <c r="AI5637" s="397">
        <v>0.1104</v>
      </c>
      <c r="AJ5637" s="397">
        <v>0.11592</v>
      </c>
      <c r="AK5637" s="398">
        <v>0</v>
      </c>
      <c r="AL5637" s="398">
        <v>0</v>
      </c>
      <c r="AM5637" s="17">
        <f t="shared" si="204"/>
        <v>0</v>
      </c>
      <c r="AN5637" s="14" t="s">
        <v>11722</v>
      </c>
      <c r="AO5637" s="12" t="s">
        <v>11723</v>
      </c>
      <c r="AP5637" s="399"/>
      <c r="AQ5637" s="399"/>
      <c r="AR5637" s="399"/>
      <c r="AS5637" s="399"/>
      <c r="AT5637" s="399"/>
      <c r="AX5637" s="400"/>
    </row>
    <row r="5638" spans="1:50" s="14" customFormat="1" x14ac:dyDescent="0.3">
      <c r="A5638" s="386" t="s">
        <v>8325</v>
      </c>
      <c r="B5638" s="14" t="s">
        <v>8326</v>
      </c>
      <c r="C5638" s="14" t="s">
        <v>11807</v>
      </c>
      <c r="D5638" s="14" t="s">
        <v>11808</v>
      </c>
      <c r="E5638" s="14" t="s">
        <v>12017</v>
      </c>
      <c r="F5638" s="12" t="s">
        <v>11990</v>
      </c>
      <c r="G5638" s="14" t="s">
        <v>12239</v>
      </c>
      <c r="H5638" s="12" t="s">
        <v>12195</v>
      </c>
      <c r="K5638" s="14" t="s">
        <v>12240</v>
      </c>
      <c r="L5638" s="12" t="s">
        <v>12197</v>
      </c>
      <c r="M5638" s="14" t="s">
        <v>12243</v>
      </c>
      <c r="P5638" s="12">
        <v>55</v>
      </c>
      <c r="Q5638" s="12"/>
      <c r="R5638" s="12"/>
      <c r="S5638" s="12"/>
      <c r="T5638" s="14" t="s">
        <v>11722</v>
      </c>
      <c r="U5638" t="s">
        <v>11723</v>
      </c>
      <c r="V5638" s="14" t="s">
        <v>12244</v>
      </c>
      <c r="W5638" s="388">
        <v>1</v>
      </c>
      <c r="X5638" s="388">
        <v>1</v>
      </c>
      <c r="Y5638" s="388">
        <v>0</v>
      </c>
      <c r="Z5638" s="388">
        <v>1</v>
      </c>
      <c r="AA5638" s="388">
        <v>1</v>
      </c>
      <c r="AB5638" s="388">
        <v>0</v>
      </c>
      <c r="AC5638" s="150">
        <v>0</v>
      </c>
      <c r="AD5638" s="150">
        <v>1</v>
      </c>
      <c r="AE5638" s="49">
        <f t="shared" si="205"/>
        <v>0.625</v>
      </c>
      <c r="AF5638" s="397"/>
      <c r="AG5638" s="17">
        <v>0</v>
      </c>
      <c r="AH5638" s="397">
        <v>0</v>
      </c>
      <c r="AI5638" s="397">
        <v>0.16800000000000001</v>
      </c>
      <c r="AJ5638" s="397">
        <v>0</v>
      </c>
      <c r="AK5638" s="398">
        <v>0</v>
      </c>
      <c r="AL5638" s="398">
        <v>0</v>
      </c>
      <c r="AM5638" s="17">
        <f t="shared" si="204"/>
        <v>0</v>
      </c>
      <c r="AN5638" s="14" t="s">
        <v>11722</v>
      </c>
      <c r="AO5638" s="12" t="s">
        <v>11723</v>
      </c>
      <c r="AP5638" s="399"/>
      <c r="AQ5638" s="399"/>
      <c r="AR5638" s="399"/>
      <c r="AS5638" s="399"/>
      <c r="AT5638" s="399"/>
      <c r="AX5638" s="400"/>
    </row>
    <row r="5639" spans="1:50" s="14" customFormat="1" x14ac:dyDescent="0.3">
      <c r="A5639" s="386" t="s">
        <v>8325</v>
      </c>
      <c r="B5639" s="14" t="s">
        <v>8326</v>
      </c>
      <c r="C5639" s="14" t="s">
        <v>11714</v>
      </c>
      <c r="D5639" s="14" t="s">
        <v>6838</v>
      </c>
      <c r="E5639" s="14" t="s">
        <v>11989</v>
      </c>
      <c r="F5639" s="12" t="s">
        <v>11990</v>
      </c>
      <c r="G5639" s="14" t="s">
        <v>12194</v>
      </c>
      <c r="H5639" s="12" t="s">
        <v>12195</v>
      </c>
      <c r="K5639" s="14" t="s">
        <v>12196</v>
      </c>
      <c r="L5639" s="12" t="s">
        <v>12197</v>
      </c>
      <c r="M5639" s="14" t="s">
        <v>12245</v>
      </c>
      <c r="P5639" s="12">
        <v>1</v>
      </c>
      <c r="Q5639" s="12"/>
      <c r="R5639" s="12"/>
      <c r="S5639" s="12"/>
      <c r="T5639" s="14" t="s">
        <v>11722</v>
      </c>
      <c r="U5639" t="s">
        <v>11723</v>
      </c>
      <c r="V5639" s="14" t="s">
        <v>12245</v>
      </c>
      <c r="W5639" s="388">
        <v>1</v>
      </c>
      <c r="X5639" s="388">
        <v>1</v>
      </c>
      <c r="Y5639" s="388">
        <v>0</v>
      </c>
      <c r="Z5639" s="388">
        <v>1</v>
      </c>
      <c r="AA5639" s="388">
        <v>1</v>
      </c>
      <c r="AB5639" s="388">
        <v>0</v>
      </c>
      <c r="AC5639" s="150">
        <v>0</v>
      </c>
      <c r="AD5639" s="150">
        <v>1</v>
      </c>
      <c r="AE5639" s="49">
        <f t="shared" si="205"/>
        <v>0.625</v>
      </c>
      <c r="AF5639" s="397"/>
      <c r="AG5639" s="17">
        <v>0</v>
      </c>
      <c r="AH5639" s="397">
        <v>0</v>
      </c>
      <c r="AI5639" s="397">
        <v>0.25</v>
      </c>
      <c r="AJ5639" s="397">
        <v>0</v>
      </c>
      <c r="AK5639" s="398">
        <v>0</v>
      </c>
      <c r="AL5639" s="398">
        <v>0</v>
      </c>
      <c r="AM5639" s="17">
        <f t="shared" si="204"/>
        <v>0</v>
      </c>
      <c r="AN5639" s="14" t="s">
        <v>11722</v>
      </c>
      <c r="AO5639" s="12" t="s">
        <v>11723</v>
      </c>
      <c r="AP5639" s="399"/>
      <c r="AQ5639" s="400"/>
      <c r="AR5639" s="399"/>
      <c r="AS5639" s="399"/>
      <c r="AT5639" s="399"/>
      <c r="AX5639" s="400"/>
    </row>
    <row r="5640" spans="1:50" s="14" customFormat="1" x14ac:dyDescent="0.3">
      <c r="A5640" s="386" t="s">
        <v>8325</v>
      </c>
      <c r="B5640" s="14" t="s">
        <v>8326</v>
      </c>
      <c r="C5640" s="14" t="s">
        <v>11714</v>
      </c>
      <c r="D5640" s="14" t="s">
        <v>6838</v>
      </c>
      <c r="E5640" s="14" t="s">
        <v>11989</v>
      </c>
      <c r="F5640" s="12" t="s">
        <v>11990</v>
      </c>
      <c r="G5640" s="14" t="s">
        <v>12194</v>
      </c>
      <c r="H5640" s="12" t="s">
        <v>12195</v>
      </c>
      <c r="K5640" s="14" t="s">
        <v>12196</v>
      </c>
      <c r="L5640" s="12" t="s">
        <v>12197</v>
      </c>
      <c r="M5640" s="14" t="s">
        <v>12246</v>
      </c>
      <c r="P5640" s="12">
        <v>19</v>
      </c>
      <c r="Q5640" s="12">
        <v>20</v>
      </c>
      <c r="R5640" s="12">
        <v>10</v>
      </c>
      <c r="S5640" s="12">
        <v>20</v>
      </c>
      <c r="T5640" s="14" t="s">
        <v>11722</v>
      </c>
      <c r="U5640" t="s">
        <v>11723</v>
      </c>
      <c r="V5640" s="14" t="s">
        <v>12247</v>
      </c>
      <c r="W5640" s="388">
        <v>1</v>
      </c>
      <c r="X5640" s="388">
        <v>1</v>
      </c>
      <c r="Y5640" s="388">
        <v>0</v>
      </c>
      <c r="Z5640" s="388">
        <v>1</v>
      </c>
      <c r="AA5640" s="388">
        <v>1</v>
      </c>
      <c r="AB5640" s="388">
        <v>0</v>
      </c>
      <c r="AC5640" s="150">
        <v>0</v>
      </c>
      <c r="AD5640" s="150">
        <v>1</v>
      </c>
      <c r="AE5640" s="49">
        <f t="shared" si="205"/>
        <v>0.625</v>
      </c>
      <c r="AF5640" s="397"/>
      <c r="AG5640" s="17">
        <v>0</v>
      </c>
      <c r="AH5640" s="397">
        <v>0</v>
      </c>
      <c r="AI5640" s="397">
        <v>1.09525772</v>
      </c>
      <c r="AJ5640" s="397">
        <v>1.1685480029999999</v>
      </c>
      <c r="AK5640" s="398">
        <v>0.103644</v>
      </c>
      <c r="AL5640" s="398">
        <v>0.50364399999999998</v>
      </c>
      <c r="AM5640" s="17">
        <f t="shared" si="204"/>
        <v>0.60728799999999994</v>
      </c>
      <c r="AN5640" s="14" t="s">
        <v>11722</v>
      </c>
      <c r="AO5640" s="12" t="s">
        <v>11723</v>
      </c>
      <c r="AP5640" s="399"/>
      <c r="AQ5640" s="400"/>
      <c r="AR5640" s="399"/>
      <c r="AS5640" s="399"/>
      <c r="AT5640" s="399"/>
      <c r="AX5640" s="400"/>
    </row>
    <row r="5641" spans="1:50" s="14" customFormat="1" x14ac:dyDescent="0.3">
      <c r="A5641" s="386" t="s">
        <v>8325</v>
      </c>
      <c r="B5641" s="14" t="s">
        <v>8326</v>
      </c>
      <c r="C5641" s="14" t="s">
        <v>11807</v>
      </c>
      <c r="D5641" s="14" t="s">
        <v>11808</v>
      </c>
      <c r="E5641" s="14" t="s">
        <v>12017</v>
      </c>
      <c r="F5641" s="12" t="s">
        <v>11990</v>
      </c>
      <c r="G5641" s="14" t="s">
        <v>12239</v>
      </c>
      <c r="H5641" s="12" t="s">
        <v>12195</v>
      </c>
      <c r="K5641" s="14" t="s">
        <v>12240</v>
      </c>
      <c r="L5641" s="12" t="s">
        <v>12197</v>
      </c>
      <c r="M5641" s="14" t="s">
        <v>12248</v>
      </c>
      <c r="P5641" s="12">
        <v>76</v>
      </c>
      <c r="Q5641" s="12">
        <v>80</v>
      </c>
      <c r="R5641" s="12">
        <v>30</v>
      </c>
      <c r="S5641" s="12">
        <v>60</v>
      </c>
      <c r="T5641" s="14" t="s">
        <v>11722</v>
      </c>
      <c r="U5641" t="s">
        <v>11723</v>
      </c>
      <c r="V5641" s="14" t="s">
        <v>12249</v>
      </c>
      <c r="W5641" s="388">
        <v>1</v>
      </c>
      <c r="X5641" s="388">
        <v>1</v>
      </c>
      <c r="Y5641" s="388">
        <v>0</v>
      </c>
      <c r="Z5641" s="388">
        <v>1</v>
      </c>
      <c r="AA5641" s="388">
        <v>1</v>
      </c>
      <c r="AB5641" s="388">
        <v>0</v>
      </c>
      <c r="AC5641" s="150">
        <v>0</v>
      </c>
      <c r="AD5641" s="150">
        <v>1</v>
      </c>
      <c r="AE5641" s="49">
        <f t="shared" si="205"/>
        <v>0.625</v>
      </c>
      <c r="AF5641" s="397"/>
      <c r="AG5641" s="17">
        <v>0</v>
      </c>
      <c r="AH5641" s="397">
        <v>0</v>
      </c>
      <c r="AI5641" s="397">
        <v>0.21</v>
      </c>
      <c r="AJ5641" s="397">
        <v>0.2205</v>
      </c>
      <c r="AK5641" s="398">
        <v>0</v>
      </c>
      <c r="AL5641" s="398">
        <v>0</v>
      </c>
      <c r="AM5641" s="17">
        <f t="shared" si="204"/>
        <v>0</v>
      </c>
      <c r="AN5641" s="14" t="s">
        <v>11722</v>
      </c>
      <c r="AO5641" s="12" t="s">
        <v>11723</v>
      </c>
      <c r="AP5641" s="399"/>
      <c r="AQ5641" s="399"/>
      <c r="AR5641" s="399"/>
      <c r="AS5641" s="399"/>
      <c r="AT5641" s="399"/>
      <c r="AX5641" s="400"/>
    </row>
    <row r="5642" spans="1:50" s="14" customFormat="1" x14ac:dyDescent="0.3">
      <c r="A5642" s="386" t="s">
        <v>8325</v>
      </c>
      <c r="B5642" s="14" t="s">
        <v>8326</v>
      </c>
      <c r="C5642" s="14" t="s">
        <v>11807</v>
      </c>
      <c r="D5642" s="14" t="s">
        <v>11808</v>
      </c>
      <c r="E5642" s="14" t="s">
        <v>12017</v>
      </c>
      <c r="F5642" s="12" t="s">
        <v>11990</v>
      </c>
      <c r="G5642" s="14" t="s">
        <v>12239</v>
      </c>
      <c r="H5642" s="12" t="s">
        <v>12195</v>
      </c>
      <c r="K5642" s="14" t="s">
        <v>12240</v>
      </c>
      <c r="L5642" s="12" t="s">
        <v>12197</v>
      </c>
      <c r="M5642" s="14" t="s">
        <v>12250</v>
      </c>
      <c r="O5642" s="14">
        <v>1</v>
      </c>
      <c r="P5642" s="12">
        <v>4</v>
      </c>
      <c r="Q5642" s="12">
        <v>4</v>
      </c>
      <c r="R5642" s="12">
        <v>60</v>
      </c>
      <c r="S5642" s="12">
        <v>120</v>
      </c>
      <c r="T5642" s="14" t="s">
        <v>11722</v>
      </c>
      <c r="U5642" t="s">
        <v>11723</v>
      </c>
      <c r="V5642" s="14" t="s">
        <v>12251</v>
      </c>
      <c r="W5642" s="388">
        <v>1</v>
      </c>
      <c r="X5642" s="388">
        <v>1</v>
      </c>
      <c r="Y5642" s="388">
        <v>0</v>
      </c>
      <c r="Z5642" s="388">
        <v>1</v>
      </c>
      <c r="AA5642" s="388">
        <v>1</v>
      </c>
      <c r="AB5642" s="388">
        <v>0</v>
      </c>
      <c r="AC5642" s="150">
        <v>0</v>
      </c>
      <c r="AD5642" s="150">
        <v>1</v>
      </c>
      <c r="AE5642" s="49">
        <f t="shared" si="205"/>
        <v>0.625</v>
      </c>
      <c r="AF5642" s="397"/>
      <c r="AG5642" s="17">
        <v>0</v>
      </c>
      <c r="AH5642" s="397">
        <v>0</v>
      </c>
      <c r="AI5642" s="397">
        <v>0.32</v>
      </c>
      <c r="AJ5642" s="397">
        <v>0.33600000000000002</v>
      </c>
      <c r="AK5642" s="398">
        <v>0</v>
      </c>
      <c r="AL5642" s="398">
        <v>0</v>
      </c>
      <c r="AM5642" s="17">
        <f t="shared" si="204"/>
        <v>0</v>
      </c>
      <c r="AN5642" s="14" t="s">
        <v>11722</v>
      </c>
      <c r="AO5642" s="12" t="s">
        <v>11723</v>
      </c>
      <c r="AP5642" s="399"/>
      <c r="AQ5642" s="399"/>
      <c r="AR5642" s="399"/>
      <c r="AS5642" s="399"/>
      <c r="AT5642" s="399"/>
      <c r="AX5642" s="400"/>
    </row>
    <row r="5643" spans="1:50" s="14" customFormat="1" x14ac:dyDescent="0.3">
      <c r="A5643" s="386" t="s">
        <v>8325</v>
      </c>
      <c r="B5643" s="14" t="s">
        <v>8326</v>
      </c>
      <c r="C5643" s="14" t="s">
        <v>11714</v>
      </c>
      <c r="D5643" s="14" t="s">
        <v>6838</v>
      </c>
      <c r="E5643" s="14" t="s">
        <v>11989</v>
      </c>
      <c r="F5643" s="12" t="s">
        <v>11990</v>
      </c>
      <c r="G5643" s="14" t="s">
        <v>12194</v>
      </c>
      <c r="H5643" s="12" t="s">
        <v>12195</v>
      </c>
      <c r="K5643" s="14" t="s">
        <v>12196</v>
      </c>
      <c r="L5643" s="12" t="s">
        <v>12197</v>
      </c>
      <c r="M5643" s="14" t="s">
        <v>12252</v>
      </c>
      <c r="P5643" s="12">
        <v>1</v>
      </c>
      <c r="Q5643" s="12">
        <v>1</v>
      </c>
      <c r="R5643" s="12">
        <v>1</v>
      </c>
      <c r="S5643" s="12">
        <v>1</v>
      </c>
      <c r="T5643" s="14" t="s">
        <v>11722</v>
      </c>
      <c r="U5643" t="s">
        <v>11723</v>
      </c>
      <c r="V5643" s="14" t="s">
        <v>12253</v>
      </c>
      <c r="W5643" s="388">
        <v>1</v>
      </c>
      <c r="X5643" s="388">
        <v>1</v>
      </c>
      <c r="Y5643" s="388">
        <v>0</v>
      </c>
      <c r="Z5643" s="388">
        <v>1</v>
      </c>
      <c r="AA5643" s="388">
        <v>1</v>
      </c>
      <c r="AB5643" s="388">
        <v>0</v>
      </c>
      <c r="AC5643" s="150">
        <v>0</v>
      </c>
      <c r="AD5643" s="150">
        <v>1</v>
      </c>
      <c r="AE5643" s="49">
        <f t="shared" si="205"/>
        <v>0.625</v>
      </c>
      <c r="AF5643" s="397"/>
      <c r="AG5643" s="17">
        <v>0</v>
      </c>
      <c r="AH5643" s="397">
        <v>0</v>
      </c>
      <c r="AI5643" s="397">
        <v>0.17349999999999999</v>
      </c>
      <c r="AJ5643" s="397">
        <v>0.182175</v>
      </c>
      <c r="AK5643" s="398">
        <v>0</v>
      </c>
      <c r="AL5643" s="398">
        <v>0</v>
      </c>
      <c r="AM5643" s="17">
        <f t="shared" si="204"/>
        <v>0</v>
      </c>
      <c r="AN5643" s="14" t="s">
        <v>11722</v>
      </c>
      <c r="AO5643" s="12" t="s">
        <v>11723</v>
      </c>
      <c r="AP5643" s="399"/>
      <c r="AQ5643" s="400"/>
      <c r="AR5643" s="399"/>
      <c r="AS5643" s="399"/>
      <c r="AT5643" s="399"/>
      <c r="AX5643" s="400"/>
    </row>
    <row r="5644" spans="1:50" s="14" customFormat="1" x14ac:dyDescent="0.3">
      <c r="A5644" s="386" t="s">
        <v>8325</v>
      </c>
      <c r="B5644" s="14" t="s">
        <v>8326</v>
      </c>
      <c r="C5644" s="14" t="s">
        <v>11714</v>
      </c>
      <c r="D5644" s="14" t="s">
        <v>6838</v>
      </c>
      <c r="E5644" s="14" t="s">
        <v>11989</v>
      </c>
      <c r="F5644" s="12" t="s">
        <v>11990</v>
      </c>
      <c r="G5644" s="14" t="s">
        <v>12194</v>
      </c>
      <c r="H5644" s="12" t="s">
        <v>12195</v>
      </c>
      <c r="K5644" s="14" t="s">
        <v>12196</v>
      </c>
      <c r="L5644" s="12" t="s">
        <v>12197</v>
      </c>
      <c r="M5644" s="14" t="s">
        <v>12254</v>
      </c>
      <c r="P5644" s="41">
        <v>1</v>
      </c>
      <c r="Q5644" s="41">
        <v>1</v>
      </c>
      <c r="R5644" s="41">
        <v>1</v>
      </c>
      <c r="S5644" s="41">
        <v>1</v>
      </c>
      <c r="T5644" s="14" t="s">
        <v>11722</v>
      </c>
      <c r="U5644" t="s">
        <v>11723</v>
      </c>
      <c r="V5644" s="14" t="s">
        <v>12255</v>
      </c>
      <c r="W5644" s="388">
        <v>1</v>
      </c>
      <c r="X5644" s="388">
        <v>1</v>
      </c>
      <c r="Y5644" s="388">
        <v>0</v>
      </c>
      <c r="Z5644" s="388">
        <v>1</v>
      </c>
      <c r="AA5644" s="388">
        <v>1</v>
      </c>
      <c r="AB5644" s="388">
        <v>1</v>
      </c>
      <c r="AC5644" s="150">
        <v>1</v>
      </c>
      <c r="AD5644" s="150">
        <v>1</v>
      </c>
      <c r="AE5644" s="49">
        <f t="shared" si="205"/>
        <v>0.875</v>
      </c>
      <c r="AF5644" s="397"/>
      <c r="AG5644" s="17">
        <v>0</v>
      </c>
      <c r="AH5644" s="397">
        <v>0</v>
      </c>
      <c r="AI5644" s="397">
        <v>0.04</v>
      </c>
      <c r="AJ5644" s="397">
        <v>5.04E-2</v>
      </c>
      <c r="AK5644" s="398">
        <v>0</v>
      </c>
      <c r="AL5644" s="398">
        <v>0</v>
      </c>
      <c r="AM5644" s="17">
        <f t="shared" si="204"/>
        <v>0</v>
      </c>
      <c r="AN5644" s="14" t="s">
        <v>11722</v>
      </c>
      <c r="AO5644" s="12" t="s">
        <v>11723</v>
      </c>
      <c r="AP5644" s="399"/>
      <c r="AQ5644" s="400"/>
      <c r="AR5644" s="399"/>
      <c r="AS5644" s="399"/>
      <c r="AT5644" s="399"/>
      <c r="AX5644" s="400"/>
    </row>
    <row r="5645" spans="1:50" s="14" customFormat="1" x14ac:dyDescent="0.3">
      <c r="A5645" s="386" t="s">
        <v>8325</v>
      </c>
      <c r="B5645" s="14" t="s">
        <v>8326</v>
      </c>
      <c r="C5645" s="14" t="s">
        <v>11714</v>
      </c>
      <c r="D5645" s="14" t="s">
        <v>6838</v>
      </c>
      <c r="E5645" s="14" t="s">
        <v>11989</v>
      </c>
      <c r="F5645" s="12" t="s">
        <v>11990</v>
      </c>
      <c r="G5645" s="14" t="s">
        <v>12194</v>
      </c>
      <c r="H5645" s="12" t="s">
        <v>12195</v>
      </c>
      <c r="K5645" s="14" t="s">
        <v>12196</v>
      </c>
      <c r="L5645" s="12" t="s">
        <v>12197</v>
      </c>
      <c r="M5645" s="14" t="s">
        <v>12256</v>
      </c>
      <c r="N5645" s="14">
        <v>14</v>
      </c>
      <c r="P5645" s="12">
        <v>50</v>
      </c>
      <c r="Q5645" s="12">
        <v>50</v>
      </c>
      <c r="R5645" s="12">
        <v>50</v>
      </c>
      <c r="S5645" s="12">
        <v>50</v>
      </c>
      <c r="T5645" s="14" t="s">
        <v>11722</v>
      </c>
      <c r="U5645" t="s">
        <v>11723</v>
      </c>
      <c r="V5645" s="14" t="s">
        <v>12257</v>
      </c>
      <c r="W5645" s="388">
        <v>1</v>
      </c>
      <c r="X5645" s="388">
        <v>1</v>
      </c>
      <c r="Y5645" s="388">
        <v>0</v>
      </c>
      <c r="Z5645" s="388">
        <v>1</v>
      </c>
      <c r="AA5645" s="388">
        <v>1</v>
      </c>
      <c r="AB5645" s="388">
        <v>1</v>
      </c>
      <c r="AC5645" s="150">
        <v>1</v>
      </c>
      <c r="AD5645" s="150">
        <v>1</v>
      </c>
      <c r="AE5645" s="49">
        <f t="shared" si="205"/>
        <v>0.875</v>
      </c>
      <c r="AF5645" s="397"/>
      <c r="AG5645" s="17">
        <v>0</v>
      </c>
      <c r="AH5645" s="397">
        <v>0</v>
      </c>
      <c r="AI5645" s="397">
        <v>0.26</v>
      </c>
      <c r="AJ5645" s="397">
        <v>0.27300000000000002</v>
      </c>
      <c r="AK5645" s="398">
        <v>0.57525000000000004</v>
      </c>
      <c r="AL5645" s="398">
        <v>0.57525000000000004</v>
      </c>
      <c r="AM5645" s="17">
        <f t="shared" si="204"/>
        <v>1.1505000000000001</v>
      </c>
      <c r="AN5645" s="14" t="s">
        <v>11722</v>
      </c>
      <c r="AO5645" s="12" t="s">
        <v>11723</v>
      </c>
      <c r="AP5645" s="399"/>
      <c r="AQ5645" s="400"/>
      <c r="AR5645" s="399"/>
      <c r="AS5645" s="399"/>
      <c r="AT5645" s="399"/>
      <c r="AX5645" s="400"/>
    </row>
    <row r="5646" spans="1:50" s="14" customFormat="1" x14ac:dyDescent="0.3">
      <c r="A5646" s="386" t="s">
        <v>8325</v>
      </c>
      <c r="B5646" s="14" t="s">
        <v>8326</v>
      </c>
      <c r="C5646" s="14" t="s">
        <v>11714</v>
      </c>
      <c r="D5646" s="14" t="s">
        <v>6838</v>
      </c>
      <c r="E5646" s="14" t="s">
        <v>11989</v>
      </c>
      <c r="F5646" s="12" t="s">
        <v>11990</v>
      </c>
      <c r="G5646" s="14" t="s">
        <v>12194</v>
      </c>
      <c r="H5646" s="12" t="s">
        <v>12195</v>
      </c>
      <c r="K5646" s="14" t="s">
        <v>12196</v>
      </c>
      <c r="L5646" s="12" t="s">
        <v>12197</v>
      </c>
      <c r="M5646" s="14" t="s">
        <v>12258</v>
      </c>
      <c r="P5646" s="12">
        <v>12</v>
      </c>
      <c r="Q5646" s="12">
        <v>12</v>
      </c>
      <c r="R5646" s="12">
        <v>12</v>
      </c>
      <c r="S5646" s="12">
        <v>12</v>
      </c>
      <c r="T5646" s="14" t="s">
        <v>11722</v>
      </c>
      <c r="U5646" t="s">
        <v>11723</v>
      </c>
      <c r="V5646" s="14" t="s">
        <v>12259</v>
      </c>
      <c r="W5646" s="388">
        <v>1</v>
      </c>
      <c r="X5646" s="388">
        <v>1</v>
      </c>
      <c r="Y5646" s="388">
        <v>0</v>
      </c>
      <c r="Z5646" s="388">
        <v>1</v>
      </c>
      <c r="AA5646" s="388">
        <v>1</v>
      </c>
      <c r="AB5646" s="388">
        <v>1</v>
      </c>
      <c r="AC5646" s="150">
        <v>1</v>
      </c>
      <c r="AD5646" s="150">
        <v>1</v>
      </c>
      <c r="AE5646" s="49">
        <f t="shared" si="205"/>
        <v>0.875</v>
      </c>
      <c r="AF5646" s="397"/>
      <c r="AG5646" s="17">
        <v>0</v>
      </c>
      <c r="AH5646" s="397">
        <v>0</v>
      </c>
      <c r="AI5646" s="397">
        <v>2.4E-2</v>
      </c>
      <c r="AJ5646" s="397">
        <v>6.3E-2</v>
      </c>
      <c r="AK5646" s="398">
        <v>0</v>
      </c>
      <c r="AL5646" s="398">
        <v>0</v>
      </c>
      <c r="AM5646" s="17">
        <f t="shared" si="204"/>
        <v>0</v>
      </c>
      <c r="AN5646" s="14" t="s">
        <v>11722</v>
      </c>
      <c r="AO5646" s="12" t="s">
        <v>11723</v>
      </c>
      <c r="AP5646" s="399"/>
      <c r="AQ5646" s="400"/>
      <c r="AR5646" s="399"/>
      <c r="AS5646" s="399"/>
      <c r="AT5646" s="399"/>
      <c r="AX5646" s="400"/>
    </row>
    <row r="5647" spans="1:50" s="12" customFormat="1" x14ac:dyDescent="0.3">
      <c r="A5647" s="386" t="s">
        <v>8325</v>
      </c>
      <c r="B5647" s="14" t="s">
        <v>8326</v>
      </c>
      <c r="C5647" s="14" t="s">
        <v>11714</v>
      </c>
      <c r="D5647" s="12" t="s">
        <v>6838</v>
      </c>
      <c r="E5647" s="14" t="s">
        <v>11989</v>
      </c>
      <c r="F5647" s="12" t="s">
        <v>11990</v>
      </c>
      <c r="G5647" s="14" t="s">
        <v>12194</v>
      </c>
      <c r="H5647" s="12" t="s">
        <v>12195</v>
      </c>
      <c r="K5647" s="14" t="s">
        <v>12196</v>
      </c>
      <c r="L5647" s="12" t="s">
        <v>12197</v>
      </c>
      <c r="M5647" s="14" t="s">
        <v>12260</v>
      </c>
      <c r="N5647" s="14">
        <v>1</v>
      </c>
      <c r="O5647" s="14">
        <v>1</v>
      </c>
      <c r="P5647" s="12">
        <v>1</v>
      </c>
      <c r="Q5647" s="12">
        <v>1</v>
      </c>
      <c r="R5647" s="12">
        <v>1</v>
      </c>
      <c r="S5647" s="12">
        <v>1</v>
      </c>
      <c r="T5647" s="14" t="s">
        <v>11722</v>
      </c>
      <c r="U5647" t="s">
        <v>11723</v>
      </c>
      <c r="V5647" s="14" t="s">
        <v>12261</v>
      </c>
      <c r="W5647" s="388">
        <v>1</v>
      </c>
      <c r="X5647" s="388">
        <v>0</v>
      </c>
      <c r="Y5647" s="388">
        <v>0</v>
      </c>
      <c r="Z5647" s="388">
        <v>1</v>
      </c>
      <c r="AA5647" s="388">
        <v>1</v>
      </c>
      <c r="AB5647" s="388">
        <v>0</v>
      </c>
      <c r="AC5647" s="150">
        <v>0</v>
      </c>
      <c r="AD5647" s="150">
        <v>1</v>
      </c>
      <c r="AE5647" s="49">
        <f t="shared" si="205"/>
        <v>0.5</v>
      </c>
      <c r="AF5647" s="397"/>
      <c r="AG5647" s="17">
        <v>0</v>
      </c>
      <c r="AH5647" s="397">
        <v>0.24</v>
      </c>
      <c r="AI5647" s="397">
        <v>0.25</v>
      </c>
      <c r="AJ5647" s="397">
        <v>0.26250000000000001</v>
      </c>
      <c r="AK5647" s="398">
        <v>0.14800000000000002</v>
      </c>
      <c r="AL5647" s="398">
        <v>0.14800000000000002</v>
      </c>
      <c r="AM5647" s="17">
        <f t="shared" si="204"/>
        <v>0.29600000000000004</v>
      </c>
      <c r="AN5647" s="14" t="s">
        <v>11722</v>
      </c>
      <c r="AO5647" s="12" t="s">
        <v>11723</v>
      </c>
      <c r="AP5647" s="399"/>
      <c r="AQ5647" s="400"/>
      <c r="AR5647" s="399"/>
      <c r="AS5647" s="399"/>
      <c r="AT5647" s="399"/>
      <c r="AX5647" s="402"/>
    </row>
    <row r="5648" spans="1:50" s="12" customFormat="1" x14ac:dyDescent="0.3">
      <c r="A5648" s="386" t="s">
        <v>8325</v>
      </c>
      <c r="B5648" s="14" t="s">
        <v>8326</v>
      </c>
      <c r="C5648" s="14" t="s">
        <v>11714</v>
      </c>
      <c r="D5648" s="12" t="s">
        <v>6838</v>
      </c>
      <c r="E5648" s="14" t="s">
        <v>11989</v>
      </c>
      <c r="F5648" s="12" t="s">
        <v>11990</v>
      </c>
      <c r="G5648" s="14" t="s">
        <v>12194</v>
      </c>
      <c r="H5648" s="12" t="s">
        <v>12195</v>
      </c>
      <c r="K5648" s="14" t="s">
        <v>12196</v>
      </c>
      <c r="L5648" s="12" t="s">
        <v>12197</v>
      </c>
      <c r="M5648" s="14" t="s">
        <v>12262</v>
      </c>
      <c r="N5648" s="14">
        <v>2</v>
      </c>
      <c r="O5648" s="14">
        <v>1</v>
      </c>
      <c r="P5648" s="12">
        <v>4</v>
      </c>
      <c r="Q5648" s="12">
        <v>4</v>
      </c>
      <c r="R5648" s="12">
        <v>4</v>
      </c>
      <c r="S5648" s="12">
        <v>4</v>
      </c>
      <c r="T5648" s="14" t="s">
        <v>11722</v>
      </c>
      <c r="U5648" t="s">
        <v>11723</v>
      </c>
      <c r="V5648" s="14" t="s">
        <v>12263</v>
      </c>
      <c r="W5648" s="388">
        <v>1</v>
      </c>
      <c r="X5648" s="388">
        <v>1</v>
      </c>
      <c r="Y5648" s="388">
        <v>0</v>
      </c>
      <c r="Z5648" s="388">
        <v>1</v>
      </c>
      <c r="AA5648" s="388">
        <v>1</v>
      </c>
      <c r="AB5648" s="388">
        <v>1</v>
      </c>
      <c r="AC5648" s="150">
        <v>1</v>
      </c>
      <c r="AD5648" s="150">
        <v>1</v>
      </c>
      <c r="AE5648" s="49">
        <f t="shared" si="205"/>
        <v>0.875</v>
      </c>
      <c r="AF5648" s="397"/>
      <c r="AG5648" s="17">
        <v>0</v>
      </c>
      <c r="AH5648" s="397">
        <v>4.4999999999999998E-2</v>
      </c>
      <c r="AI5648" s="397">
        <v>4.4999999999999998E-2</v>
      </c>
      <c r="AJ5648" s="397">
        <v>4.725E-2</v>
      </c>
      <c r="AK5648" s="398">
        <v>9.2594999999999997E-2</v>
      </c>
      <c r="AL5648" s="398">
        <v>9.2594999999999997E-2</v>
      </c>
      <c r="AM5648" s="17">
        <f t="shared" si="204"/>
        <v>0.18518999999999999</v>
      </c>
      <c r="AN5648" s="14" t="s">
        <v>11722</v>
      </c>
      <c r="AO5648" s="12" t="s">
        <v>11723</v>
      </c>
      <c r="AP5648" s="399"/>
      <c r="AQ5648" s="400"/>
      <c r="AR5648" s="399"/>
      <c r="AS5648" s="399"/>
      <c r="AT5648" s="399"/>
      <c r="AX5648" s="402"/>
    </row>
    <row r="5649" spans="1:50" s="12" customFormat="1" x14ac:dyDescent="0.3">
      <c r="A5649" s="386" t="s">
        <v>8325</v>
      </c>
      <c r="B5649" s="14" t="s">
        <v>8326</v>
      </c>
      <c r="C5649" s="14" t="s">
        <v>11714</v>
      </c>
      <c r="D5649" s="12" t="s">
        <v>6838</v>
      </c>
      <c r="E5649" s="14" t="s">
        <v>11989</v>
      </c>
      <c r="F5649" s="12" t="s">
        <v>11990</v>
      </c>
      <c r="G5649" s="14" t="s">
        <v>12194</v>
      </c>
      <c r="H5649" s="12" t="s">
        <v>12195</v>
      </c>
      <c r="K5649" s="14" t="s">
        <v>12196</v>
      </c>
      <c r="L5649" s="12" t="s">
        <v>12197</v>
      </c>
      <c r="M5649" s="14" t="s">
        <v>12264</v>
      </c>
      <c r="N5649" s="14"/>
      <c r="O5649" s="438">
        <v>1</v>
      </c>
      <c r="P5649" s="41">
        <v>1</v>
      </c>
      <c r="Q5649" s="41">
        <v>1</v>
      </c>
      <c r="R5649" s="41">
        <v>1</v>
      </c>
      <c r="S5649" s="41">
        <v>1</v>
      </c>
      <c r="T5649" s="14" t="s">
        <v>11722</v>
      </c>
      <c r="U5649" t="s">
        <v>11723</v>
      </c>
      <c r="V5649" s="14" t="s">
        <v>12265</v>
      </c>
      <c r="W5649" s="388">
        <v>1</v>
      </c>
      <c r="X5649" s="388">
        <v>0</v>
      </c>
      <c r="Y5649" s="388">
        <v>0</v>
      </c>
      <c r="Z5649" s="388">
        <v>1</v>
      </c>
      <c r="AA5649" s="388">
        <v>1</v>
      </c>
      <c r="AB5649" s="388">
        <v>0</v>
      </c>
      <c r="AC5649" s="150">
        <v>0</v>
      </c>
      <c r="AD5649" s="150">
        <v>1</v>
      </c>
      <c r="AE5649" s="49">
        <f t="shared" si="205"/>
        <v>0.5</v>
      </c>
      <c r="AF5649" s="397"/>
      <c r="AG5649" s="17">
        <v>0</v>
      </c>
      <c r="AH5649" s="397">
        <v>7.0000000000000007E-2</v>
      </c>
      <c r="AI5649" s="397">
        <v>0.1</v>
      </c>
      <c r="AJ5649" s="397">
        <v>0.105</v>
      </c>
      <c r="AK5649" s="398">
        <v>0</v>
      </c>
      <c r="AL5649" s="398">
        <v>0</v>
      </c>
      <c r="AM5649" s="17">
        <f t="shared" si="204"/>
        <v>0</v>
      </c>
      <c r="AN5649" s="14" t="s">
        <v>11722</v>
      </c>
      <c r="AO5649" s="12" t="s">
        <v>11723</v>
      </c>
      <c r="AP5649" s="399"/>
      <c r="AQ5649" s="400"/>
      <c r="AR5649" s="399"/>
      <c r="AS5649" s="399"/>
      <c r="AT5649" s="399"/>
      <c r="AX5649" s="402"/>
    </row>
    <row r="5650" spans="1:50" s="12" customFormat="1" x14ac:dyDescent="0.3">
      <c r="A5650" s="386" t="s">
        <v>8325</v>
      </c>
      <c r="B5650" s="14" t="s">
        <v>8326</v>
      </c>
      <c r="C5650" s="14" t="s">
        <v>11714</v>
      </c>
      <c r="D5650" s="12" t="s">
        <v>6838</v>
      </c>
      <c r="E5650" s="14" t="s">
        <v>11989</v>
      </c>
      <c r="F5650" s="12" t="s">
        <v>11990</v>
      </c>
      <c r="G5650" s="14" t="s">
        <v>12194</v>
      </c>
      <c r="H5650" s="12" t="s">
        <v>12195</v>
      </c>
      <c r="K5650" s="14" t="s">
        <v>12196</v>
      </c>
      <c r="L5650" s="12" t="s">
        <v>12197</v>
      </c>
      <c r="M5650" s="14" t="s">
        <v>12266</v>
      </c>
      <c r="N5650" s="14">
        <v>1</v>
      </c>
      <c r="O5650" s="14">
        <v>1</v>
      </c>
      <c r="P5650" s="12">
        <v>1</v>
      </c>
      <c r="Q5650" s="12">
        <v>1</v>
      </c>
      <c r="R5650" s="12">
        <v>1</v>
      </c>
      <c r="S5650" s="12">
        <v>1</v>
      </c>
      <c r="T5650" s="14" t="s">
        <v>11722</v>
      </c>
      <c r="U5650" t="s">
        <v>11723</v>
      </c>
      <c r="V5650" s="14" t="s">
        <v>12267</v>
      </c>
      <c r="W5650" s="388">
        <v>1</v>
      </c>
      <c r="X5650" s="388">
        <v>0</v>
      </c>
      <c r="Y5650" s="388">
        <v>0</v>
      </c>
      <c r="Z5650" s="388">
        <v>1</v>
      </c>
      <c r="AA5650" s="388">
        <v>1</v>
      </c>
      <c r="AB5650" s="388">
        <v>0</v>
      </c>
      <c r="AC5650" s="150">
        <v>0</v>
      </c>
      <c r="AD5650" s="150">
        <v>1</v>
      </c>
      <c r="AE5650" s="49">
        <f t="shared" si="205"/>
        <v>0.5</v>
      </c>
      <c r="AF5650" s="397"/>
      <c r="AG5650" s="17">
        <v>0</v>
      </c>
      <c r="AH5650" s="397">
        <v>0.12</v>
      </c>
      <c r="AI5650" s="397">
        <v>0.2</v>
      </c>
      <c r="AJ5650" s="397">
        <v>0.21</v>
      </c>
      <c r="AK5650" s="398">
        <v>0.59050000000000002</v>
      </c>
      <c r="AL5650" s="398">
        <v>0.59050000000000002</v>
      </c>
      <c r="AM5650" s="17">
        <f t="shared" si="204"/>
        <v>1.181</v>
      </c>
      <c r="AN5650" s="14" t="s">
        <v>11722</v>
      </c>
      <c r="AO5650" s="12" t="s">
        <v>11723</v>
      </c>
      <c r="AP5650" s="399"/>
      <c r="AQ5650" s="400"/>
      <c r="AR5650" s="399"/>
      <c r="AS5650" s="399"/>
      <c r="AT5650" s="399"/>
      <c r="AX5650" s="402"/>
    </row>
    <row r="5651" spans="1:50" s="12" customFormat="1" x14ac:dyDescent="0.3">
      <c r="A5651" s="386" t="s">
        <v>8325</v>
      </c>
      <c r="B5651" s="14" t="s">
        <v>8326</v>
      </c>
      <c r="C5651" s="14" t="s">
        <v>11714</v>
      </c>
      <c r="D5651" s="12" t="s">
        <v>6838</v>
      </c>
      <c r="E5651" s="14" t="s">
        <v>11989</v>
      </c>
      <c r="F5651" s="12" t="s">
        <v>11990</v>
      </c>
      <c r="G5651" s="14" t="s">
        <v>12194</v>
      </c>
      <c r="H5651" s="12" t="s">
        <v>12195</v>
      </c>
      <c r="K5651" s="14" t="s">
        <v>12196</v>
      </c>
      <c r="L5651" s="12" t="s">
        <v>12197</v>
      </c>
      <c r="M5651" s="14" t="s">
        <v>12268</v>
      </c>
      <c r="N5651" s="14"/>
      <c r="O5651" s="14">
        <v>12</v>
      </c>
      <c r="P5651" s="12">
        <v>12</v>
      </c>
      <c r="Q5651" s="12">
        <v>12</v>
      </c>
      <c r="R5651" s="12">
        <v>12</v>
      </c>
      <c r="S5651" s="12">
        <v>12</v>
      </c>
      <c r="T5651" s="14" t="s">
        <v>11722</v>
      </c>
      <c r="U5651" t="s">
        <v>11723</v>
      </c>
      <c r="V5651" s="14" t="s">
        <v>12269</v>
      </c>
      <c r="W5651" s="388">
        <v>1</v>
      </c>
      <c r="X5651" s="388">
        <v>0</v>
      </c>
      <c r="Y5651" s="388">
        <v>0</v>
      </c>
      <c r="Z5651" s="388">
        <v>1</v>
      </c>
      <c r="AA5651" s="388">
        <v>1</v>
      </c>
      <c r="AB5651" s="388">
        <v>0</v>
      </c>
      <c r="AC5651" s="150">
        <v>0</v>
      </c>
      <c r="AD5651" s="150">
        <v>1</v>
      </c>
      <c r="AE5651" s="49">
        <f t="shared" si="205"/>
        <v>0.5</v>
      </c>
      <c r="AF5651" s="397"/>
      <c r="AG5651" s="17">
        <v>0</v>
      </c>
      <c r="AH5651" s="397">
        <v>0.03</v>
      </c>
      <c r="AI5651" s="397">
        <v>0.05</v>
      </c>
      <c r="AJ5651" s="397">
        <v>5.2499999999999998E-2</v>
      </c>
      <c r="AK5651" s="398">
        <v>0.34799999999999998</v>
      </c>
      <c r="AL5651" s="398">
        <v>0.34799999999999998</v>
      </c>
      <c r="AM5651" s="17">
        <f t="shared" si="204"/>
        <v>0.69599999999999995</v>
      </c>
      <c r="AN5651" s="14" t="s">
        <v>11722</v>
      </c>
      <c r="AO5651" s="12" t="s">
        <v>11723</v>
      </c>
      <c r="AP5651" s="399"/>
      <c r="AQ5651" s="400"/>
      <c r="AR5651" s="399"/>
      <c r="AS5651" s="399"/>
      <c r="AT5651" s="399"/>
      <c r="AX5651" s="402"/>
    </row>
    <row r="5652" spans="1:50" s="12" customFormat="1" x14ac:dyDescent="0.3">
      <c r="A5652" s="386" t="s">
        <v>8325</v>
      </c>
      <c r="B5652" s="14" t="s">
        <v>8326</v>
      </c>
      <c r="C5652" s="14" t="s">
        <v>11714</v>
      </c>
      <c r="D5652" s="12" t="s">
        <v>6838</v>
      </c>
      <c r="E5652" s="14" t="s">
        <v>11989</v>
      </c>
      <c r="F5652" s="12" t="s">
        <v>11990</v>
      </c>
      <c r="G5652" s="14" t="s">
        <v>12194</v>
      </c>
      <c r="H5652" s="12" t="s">
        <v>12195</v>
      </c>
      <c r="K5652" s="14" t="s">
        <v>12196</v>
      </c>
      <c r="L5652" s="12" t="s">
        <v>12197</v>
      </c>
      <c r="M5652" s="14" t="s">
        <v>12270</v>
      </c>
      <c r="N5652" s="14">
        <v>1</v>
      </c>
      <c r="O5652" s="14">
        <v>1</v>
      </c>
      <c r="P5652" s="12">
        <v>1</v>
      </c>
      <c r="Q5652" s="12">
        <v>1</v>
      </c>
      <c r="R5652" s="12">
        <v>1</v>
      </c>
      <c r="S5652" s="12">
        <v>1</v>
      </c>
      <c r="T5652" s="14" t="s">
        <v>11722</v>
      </c>
      <c r="U5652" t="s">
        <v>11723</v>
      </c>
      <c r="V5652" s="14" t="s">
        <v>12271</v>
      </c>
      <c r="W5652" s="388">
        <v>1</v>
      </c>
      <c r="X5652" s="388">
        <v>0</v>
      </c>
      <c r="Y5652" s="388">
        <v>0</v>
      </c>
      <c r="Z5652" s="388">
        <v>1</v>
      </c>
      <c r="AA5652" s="388">
        <v>1</v>
      </c>
      <c r="AB5652" s="388">
        <v>0</v>
      </c>
      <c r="AC5652" s="150">
        <v>0</v>
      </c>
      <c r="AD5652" s="150">
        <v>1</v>
      </c>
      <c r="AE5652" s="49">
        <f t="shared" si="205"/>
        <v>0.5</v>
      </c>
      <c r="AF5652" s="397"/>
      <c r="AG5652" s="17">
        <v>0</v>
      </c>
      <c r="AH5652" s="397">
        <v>6.8000000000000005E-2</v>
      </c>
      <c r="AI5652" s="397">
        <v>0.08</v>
      </c>
      <c r="AJ5652" s="397">
        <v>8.4000000000000005E-2</v>
      </c>
      <c r="AK5652" s="398">
        <v>0.20800000000000002</v>
      </c>
      <c r="AL5652" s="398">
        <v>0.20800000000000002</v>
      </c>
      <c r="AM5652" s="17">
        <f t="shared" si="204"/>
        <v>0.41600000000000004</v>
      </c>
      <c r="AN5652" s="14" t="s">
        <v>11722</v>
      </c>
      <c r="AO5652" s="12" t="s">
        <v>11723</v>
      </c>
      <c r="AP5652" s="399"/>
      <c r="AQ5652" s="400"/>
      <c r="AR5652" s="399"/>
      <c r="AS5652" s="399"/>
      <c r="AT5652" s="399"/>
      <c r="AX5652" s="402"/>
    </row>
    <row r="5653" spans="1:50" s="12" customFormat="1" x14ac:dyDescent="0.3">
      <c r="A5653" s="386" t="s">
        <v>8325</v>
      </c>
      <c r="B5653" s="14" t="s">
        <v>8326</v>
      </c>
      <c r="C5653" s="14" t="s">
        <v>11714</v>
      </c>
      <c r="D5653" s="12" t="s">
        <v>6838</v>
      </c>
      <c r="E5653" s="14" t="s">
        <v>11989</v>
      </c>
      <c r="F5653" s="12" t="s">
        <v>11990</v>
      </c>
      <c r="G5653" s="14" t="s">
        <v>12194</v>
      </c>
      <c r="H5653" s="12" t="s">
        <v>12195</v>
      </c>
      <c r="K5653" s="14" t="s">
        <v>12196</v>
      </c>
      <c r="L5653" s="12" t="s">
        <v>12197</v>
      </c>
      <c r="M5653" s="14" t="s">
        <v>12272</v>
      </c>
      <c r="N5653" s="14">
        <v>1</v>
      </c>
      <c r="O5653" s="14">
        <v>1</v>
      </c>
      <c r="P5653" s="12">
        <v>1</v>
      </c>
      <c r="Q5653" s="12">
        <v>1</v>
      </c>
      <c r="R5653" s="12">
        <v>1</v>
      </c>
      <c r="S5653" s="12">
        <v>1</v>
      </c>
      <c r="T5653" s="14" t="s">
        <v>11722</v>
      </c>
      <c r="U5653" t="s">
        <v>11723</v>
      </c>
      <c r="V5653" s="14" t="s">
        <v>12273</v>
      </c>
      <c r="W5653" s="388">
        <v>1</v>
      </c>
      <c r="X5653" s="388">
        <v>0</v>
      </c>
      <c r="Y5653" s="388">
        <v>0</v>
      </c>
      <c r="Z5653" s="388">
        <v>1</v>
      </c>
      <c r="AA5653" s="388">
        <v>1</v>
      </c>
      <c r="AB5653" s="388">
        <v>0</v>
      </c>
      <c r="AC5653" s="150">
        <v>0</v>
      </c>
      <c r="AD5653" s="150">
        <v>1</v>
      </c>
      <c r="AE5653" s="49">
        <f t="shared" si="205"/>
        <v>0.5</v>
      </c>
      <c r="AF5653" s="397"/>
      <c r="AG5653" s="17">
        <v>0</v>
      </c>
      <c r="AH5653" s="397">
        <v>2.4199999999999999E-2</v>
      </c>
      <c r="AI5653" s="397">
        <v>2.4199999999999999E-2</v>
      </c>
      <c r="AJ5653" s="397">
        <v>2.4199999999999999E-2</v>
      </c>
      <c r="AK5653" s="398">
        <v>0</v>
      </c>
      <c r="AL5653" s="398">
        <v>0</v>
      </c>
      <c r="AM5653" s="17">
        <f t="shared" si="204"/>
        <v>0</v>
      </c>
      <c r="AN5653" s="14" t="s">
        <v>11722</v>
      </c>
      <c r="AO5653" s="12" t="s">
        <v>11723</v>
      </c>
      <c r="AP5653" s="399"/>
      <c r="AQ5653" s="400"/>
      <c r="AR5653" s="399"/>
      <c r="AS5653" s="399"/>
      <c r="AT5653" s="399"/>
      <c r="AX5653" s="402"/>
    </row>
    <row r="5654" spans="1:50" s="12" customFormat="1" x14ac:dyDescent="0.3">
      <c r="A5654" s="386" t="s">
        <v>8325</v>
      </c>
      <c r="B5654" s="14" t="s">
        <v>8326</v>
      </c>
      <c r="C5654" s="14" t="s">
        <v>11714</v>
      </c>
      <c r="D5654" s="12" t="s">
        <v>6838</v>
      </c>
      <c r="E5654" s="14" t="s">
        <v>11989</v>
      </c>
      <c r="F5654" s="12" t="s">
        <v>11990</v>
      </c>
      <c r="G5654" s="14" t="s">
        <v>12194</v>
      </c>
      <c r="H5654" s="12" t="s">
        <v>12195</v>
      </c>
      <c r="K5654" s="14" t="s">
        <v>12196</v>
      </c>
      <c r="L5654" s="12" t="s">
        <v>12197</v>
      </c>
      <c r="M5654" s="14" t="s">
        <v>12274</v>
      </c>
      <c r="N5654" s="14">
        <v>4</v>
      </c>
      <c r="O5654" s="14">
        <v>4</v>
      </c>
      <c r="P5654" s="12">
        <v>4</v>
      </c>
      <c r="Q5654" s="12">
        <v>4</v>
      </c>
      <c r="R5654" s="12">
        <v>4</v>
      </c>
      <c r="S5654" s="12">
        <v>4</v>
      </c>
      <c r="T5654" s="14" t="s">
        <v>11722</v>
      </c>
      <c r="U5654" t="s">
        <v>11723</v>
      </c>
      <c r="V5654" s="14" t="s">
        <v>12275</v>
      </c>
      <c r="W5654" s="388">
        <v>1</v>
      </c>
      <c r="X5654" s="388">
        <v>0</v>
      </c>
      <c r="Y5654" s="388">
        <v>0</v>
      </c>
      <c r="Z5654" s="388">
        <v>1</v>
      </c>
      <c r="AA5654" s="388">
        <v>1</v>
      </c>
      <c r="AB5654" s="388">
        <v>0</v>
      </c>
      <c r="AC5654" s="150">
        <v>0</v>
      </c>
      <c r="AD5654" s="150">
        <v>1</v>
      </c>
      <c r="AE5654" s="49">
        <f t="shared" si="205"/>
        <v>0.5</v>
      </c>
      <c r="AF5654" s="397"/>
      <c r="AG5654" s="17">
        <v>0</v>
      </c>
      <c r="AH5654" s="397">
        <v>0</v>
      </c>
      <c r="AI5654" s="397">
        <v>0.4</v>
      </c>
      <c r="AJ5654" s="397">
        <v>0.42</v>
      </c>
      <c r="AK5654" s="398">
        <v>0.52500000000000002</v>
      </c>
      <c r="AL5654" s="398">
        <v>0.52500000000000002</v>
      </c>
      <c r="AM5654" s="17">
        <f t="shared" si="204"/>
        <v>1.05</v>
      </c>
      <c r="AN5654" s="14" t="s">
        <v>11722</v>
      </c>
      <c r="AO5654" s="12" t="s">
        <v>11723</v>
      </c>
      <c r="AP5654" s="399"/>
      <c r="AQ5654" s="400"/>
      <c r="AR5654" s="399"/>
      <c r="AS5654" s="399"/>
      <c r="AT5654" s="399"/>
      <c r="AX5654" s="402"/>
    </row>
    <row r="5655" spans="1:50" s="12" customFormat="1" x14ac:dyDescent="0.3">
      <c r="A5655" s="386" t="s">
        <v>8325</v>
      </c>
      <c r="B5655" s="14" t="s">
        <v>8326</v>
      </c>
      <c r="C5655" s="14" t="s">
        <v>11714</v>
      </c>
      <c r="D5655" s="12" t="s">
        <v>6838</v>
      </c>
      <c r="E5655" s="14" t="s">
        <v>11989</v>
      </c>
      <c r="F5655" s="12" t="s">
        <v>11990</v>
      </c>
      <c r="G5655" s="14" t="s">
        <v>12194</v>
      </c>
      <c r="H5655" s="12" t="s">
        <v>12195</v>
      </c>
      <c r="K5655" s="14" t="s">
        <v>12196</v>
      </c>
      <c r="L5655" s="12" t="s">
        <v>12197</v>
      </c>
      <c r="M5655" s="14" t="s">
        <v>12276</v>
      </c>
      <c r="N5655" s="14"/>
      <c r="O5655" s="14"/>
      <c r="P5655" s="12">
        <v>8</v>
      </c>
      <c r="T5655" s="14" t="s">
        <v>11722</v>
      </c>
      <c r="U5655" t="s">
        <v>11723</v>
      </c>
      <c r="V5655" s="14" t="s">
        <v>12277</v>
      </c>
      <c r="W5655" s="388">
        <v>1</v>
      </c>
      <c r="X5655" s="388">
        <v>0</v>
      </c>
      <c r="Y5655" s="388">
        <v>0</v>
      </c>
      <c r="Z5655" s="388">
        <v>1</v>
      </c>
      <c r="AA5655" s="388">
        <v>1</v>
      </c>
      <c r="AB5655" s="388">
        <v>0</v>
      </c>
      <c r="AC5655" s="150">
        <v>0</v>
      </c>
      <c r="AD5655" s="150">
        <v>1</v>
      </c>
      <c r="AE5655" s="49">
        <f t="shared" si="205"/>
        <v>0.5</v>
      </c>
      <c r="AF5655" s="397"/>
      <c r="AG5655" s="17">
        <v>0</v>
      </c>
      <c r="AH5655" s="397">
        <v>0</v>
      </c>
      <c r="AI5655" s="397">
        <v>0.38700000000000001</v>
      </c>
      <c r="AJ5655" s="397">
        <v>0</v>
      </c>
      <c r="AK5655" s="398">
        <v>0</v>
      </c>
      <c r="AL5655" s="398">
        <v>0</v>
      </c>
      <c r="AM5655" s="17">
        <f t="shared" si="204"/>
        <v>0</v>
      </c>
      <c r="AN5655" s="14" t="s">
        <v>11722</v>
      </c>
      <c r="AO5655" s="12" t="s">
        <v>11723</v>
      </c>
      <c r="AP5655" s="399"/>
      <c r="AQ5655" s="400"/>
      <c r="AR5655" s="399"/>
      <c r="AS5655" s="399"/>
      <c r="AT5655" s="399"/>
      <c r="AX5655" s="402"/>
    </row>
    <row r="5656" spans="1:50" s="12" customFormat="1" x14ac:dyDescent="0.3">
      <c r="A5656" s="386" t="s">
        <v>8325</v>
      </c>
      <c r="B5656" s="14" t="s">
        <v>8326</v>
      </c>
      <c r="C5656" s="14" t="s">
        <v>11714</v>
      </c>
      <c r="D5656" s="12" t="s">
        <v>6838</v>
      </c>
      <c r="E5656" s="14" t="s">
        <v>11989</v>
      </c>
      <c r="F5656" s="12" t="s">
        <v>11990</v>
      </c>
      <c r="G5656" s="14" t="s">
        <v>12194</v>
      </c>
      <c r="H5656" s="12" t="s">
        <v>12195</v>
      </c>
      <c r="K5656" s="14" t="s">
        <v>12196</v>
      </c>
      <c r="L5656" s="12" t="s">
        <v>12197</v>
      </c>
      <c r="M5656" s="14" t="s">
        <v>12278</v>
      </c>
      <c r="N5656" s="14"/>
      <c r="O5656" s="14"/>
      <c r="P5656" s="12">
        <v>50</v>
      </c>
      <c r="Q5656" s="12">
        <v>50</v>
      </c>
      <c r="R5656" s="12">
        <v>25</v>
      </c>
      <c r="T5656" s="14" t="s">
        <v>11722</v>
      </c>
      <c r="U5656" t="s">
        <v>11723</v>
      </c>
      <c r="V5656" s="14" t="s">
        <v>12279</v>
      </c>
      <c r="W5656" s="388">
        <v>1</v>
      </c>
      <c r="X5656" s="388">
        <v>0</v>
      </c>
      <c r="Y5656" s="388">
        <v>0</v>
      </c>
      <c r="Z5656" s="388">
        <v>1</v>
      </c>
      <c r="AA5656" s="388">
        <v>1</v>
      </c>
      <c r="AB5656" s="388">
        <v>0</v>
      </c>
      <c r="AC5656" s="150">
        <v>0</v>
      </c>
      <c r="AD5656" s="150">
        <v>1</v>
      </c>
      <c r="AE5656" s="49">
        <f t="shared" si="205"/>
        <v>0.5</v>
      </c>
      <c r="AF5656" s="397"/>
      <c r="AG5656" s="17">
        <v>0</v>
      </c>
      <c r="AH5656" s="397">
        <v>0</v>
      </c>
      <c r="AI5656" s="397">
        <v>4.4651999999999997E-2</v>
      </c>
      <c r="AJ5656" s="397">
        <v>4.2209999999999998E-2</v>
      </c>
      <c r="AK5656" s="398">
        <v>0</v>
      </c>
      <c r="AL5656" s="398">
        <v>0</v>
      </c>
      <c r="AM5656" s="17">
        <f t="shared" si="204"/>
        <v>0</v>
      </c>
      <c r="AN5656" s="14" t="s">
        <v>11722</v>
      </c>
      <c r="AO5656" s="12" t="s">
        <v>11723</v>
      </c>
      <c r="AP5656" s="399"/>
      <c r="AQ5656" s="400"/>
      <c r="AR5656" s="399"/>
      <c r="AS5656" s="399"/>
      <c r="AT5656" s="399"/>
      <c r="AX5656" s="402"/>
    </row>
    <row r="5657" spans="1:50" s="12" customFormat="1" x14ac:dyDescent="0.3">
      <c r="A5657" s="386" t="s">
        <v>8325</v>
      </c>
      <c r="B5657" s="14" t="s">
        <v>8326</v>
      </c>
      <c r="C5657" s="14" t="s">
        <v>11714</v>
      </c>
      <c r="D5657" s="12" t="s">
        <v>6838</v>
      </c>
      <c r="E5657" s="14" t="s">
        <v>11989</v>
      </c>
      <c r="F5657" s="12" t="s">
        <v>11990</v>
      </c>
      <c r="G5657" s="14" t="s">
        <v>12194</v>
      </c>
      <c r="H5657" s="12" t="s">
        <v>12195</v>
      </c>
      <c r="K5657" s="14" t="s">
        <v>12196</v>
      </c>
      <c r="L5657" s="12" t="s">
        <v>12197</v>
      </c>
      <c r="M5657" s="14" t="s">
        <v>12280</v>
      </c>
      <c r="N5657" s="14"/>
      <c r="O5657" s="14"/>
      <c r="P5657" s="12">
        <v>1</v>
      </c>
      <c r="Q5657" s="12">
        <v>1</v>
      </c>
      <c r="R5657" s="12">
        <v>1</v>
      </c>
      <c r="S5657" s="12">
        <v>1</v>
      </c>
      <c r="T5657" s="14" t="s">
        <v>11722</v>
      </c>
      <c r="U5657" t="s">
        <v>11723</v>
      </c>
      <c r="V5657" s="14" t="s">
        <v>12281</v>
      </c>
      <c r="W5657" s="388">
        <v>1</v>
      </c>
      <c r="X5657" s="388">
        <v>0</v>
      </c>
      <c r="Y5657" s="388">
        <v>0</v>
      </c>
      <c r="Z5657" s="388">
        <v>1</v>
      </c>
      <c r="AA5657" s="388">
        <v>1</v>
      </c>
      <c r="AB5657" s="388">
        <v>0</v>
      </c>
      <c r="AC5657" s="150">
        <v>0</v>
      </c>
      <c r="AD5657" s="150">
        <v>1</v>
      </c>
      <c r="AE5657" s="49">
        <f t="shared" si="205"/>
        <v>0.5</v>
      </c>
      <c r="AF5657" s="397"/>
      <c r="AG5657" s="17">
        <v>0</v>
      </c>
      <c r="AH5657" s="397">
        <v>0</v>
      </c>
      <c r="AI5657" s="397">
        <v>0.25</v>
      </c>
      <c r="AJ5657" s="397">
        <v>0.26250000000000001</v>
      </c>
      <c r="AK5657" s="398">
        <v>0.1</v>
      </c>
      <c r="AL5657" s="398">
        <v>0.05</v>
      </c>
      <c r="AM5657" s="17">
        <f t="shared" si="204"/>
        <v>0.15000000000000002</v>
      </c>
      <c r="AN5657" s="14" t="s">
        <v>11722</v>
      </c>
      <c r="AO5657" s="12" t="s">
        <v>11723</v>
      </c>
      <c r="AP5657" s="399"/>
      <c r="AQ5657" s="400"/>
      <c r="AR5657" s="399"/>
      <c r="AS5657" s="399"/>
      <c r="AT5657" s="399"/>
      <c r="AX5657" s="402"/>
    </row>
    <row r="5658" spans="1:50" s="12" customFormat="1" x14ac:dyDescent="0.3">
      <c r="A5658" s="386" t="s">
        <v>8325</v>
      </c>
      <c r="B5658" s="14" t="s">
        <v>8326</v>
      </c>
      <c r="C5658" s="14" t="s">
        <v>11714</v>
      </c>
      <c r="D5658" s="12" t="s">
        <v>6838</v>
      </c>
      <c r="E5658" s="14" t="s">
        <v>11989</v>
      </c>
      <c r="F5658" s="12" t="s">
        <v>11990</v>
      </c>
      <c r="G5658" s="14" t="s">
        <v>12194</v>
      </c>
      <c r="H5658" s="12" t="s">
        <v>12195</v>
      </c>
      <c r="K5658" s="14" t="s">
        <v>12196</v>
      </c>
      <c r="L5658" s="12" t="s">
        <v>12197</v>
      </c>
      <c r="M5658" s="14" t="s">
        <v>12282</v>
      </c>
      <c r="N5658" s="14">
        <v>4</v>
      </c>
      <c r="O5658" s="14">
        <v>4</v>
      </c>
      <c r="P5658" s="12">
        <v>4</v>
      </c>
      <c r="Q5658" s="12">
        <v>4</v>
      </c>
      <c r="R5658" s="12">
        <v>4</v>
      </c>
      <c r="S5658" s="12">
        <v>4</v>
      </c>
      <c r="T5658" s="14" t="s">
        <v>11722</v>
      </c>
      <c r="U5658" t="s">
        <v>11723</v>
      </c>
      <c r="V5658" s="14" t="s">
        <v>12283</v>
      </c>
      <c r="W5658" s="388">
        <v>1</v>
      </c>
      <c r="X5658" s="388">
        <v>0</v>
      </c>
      <c r="Y5658" s="388">
        <v>0</v>
      </c>
      <c r="Z5658" s="388">
        <v>1</v>
      </c>
      <c r="AA5658" s="388">
        <v>1</v>
      </c>
      <c r="AB5658" s="388">
        <v>0</v>
      </c>
      <c r="AC5658" s="150">
        <v>1</v>
      </c>
      <c r="AD5658" s="150">
        <v>1</v>
      </c>
      <c r="AE5658" s="49">
        <f t="shared" si="205"/>
        <v>0.625</v>
      </c>
      <c r="AF5658" s="397"/>
      <c r="AG5658" s="17">
        <v>0</v>
      </c>
      <c r="AH5658" s="397">
        <v>0</v>
      </c>
      <c r="AI5658" s="397">
        <v>0.6</v>
      </c>
      <c r="AJ5658" s="397">
        <v>0.66149999999999998</v>
      </c>
      <c r="AK5658" s="398">
        <v>2.3158799999999999</v>
      </c>
      <c r="AL5658" s="398">
        <v>2.3158799999999999</v>
      </c>
      <c r="AM5658" s="17">
        <f t="shared" si="204"/>
        <v>4.6317599999999999</v>
      </c>
      <c r="AN5658" s="14" t="s">
        <v>11722</v>
      </c>
      <c r="AO5658" s="12" t="s">
        <v>11723</v>
      </c>
      <c r="AP5658" s="399"/>
      <c r="AQ5658" s="400"/>
      <c r="AR5658" s="399"/>
      <c r="AS5658" s="399"/>
      <c r="AT5658" s="399"/>
      <c r="AX5658" s="402"/>
    </row>
    <row r="5659" spans="1:50" s="12" customFormat="1" x14ac:dyDescent="0.3">
      <c r="A5659" s="386" t="s">
        <v>8325</v>
      </c>
      <c r="B5659" s="14" t="s">
        <v>8326</v>
      </c>
      <c r="C5659" s="14" t="s">
        <v>11714</v>
      </c>
      <c r="D5659" s="12" t="s">
        <v>6838</v>
      </c>
      <c r="E5659" s="14" t="s">
        <v>11989</v>
      </c>
      <c r="F5659" s="12" t="s">
        <v>11990</v>
      </c>
      <c r="G5659" s="14" t="s">
        <v>12194</v>
      </c>
      <c r="H5659" s="12" t="s">
        <v>12195</v>
      </c>
      <c r="K5659" s="14" t="s">
        <v>12196</v>
      </c>
      <c r="L5659" s="12" t="s">
        <v>12197</v>
      </c>
      <c r="M5659" s="14" t="s">
        <v>12284</v>
      </c>
      <c r="N5659" s="14"/>
      <c r="O5659" s="14"/>
      <c r="P5659" s="12">
        <v>1</v>
      </c>
      <c r="Q5659" s="12">
        <v>1</v>
      </c>
      <c r="R5659" s="12">
        <v>1</v>
      </c>
      <c r="S5659" s="12">
        <v>1</v>
      </c>
      <c r="T5659" s="14" t="s">
        <v>11722</v>
      </c>
      <c r="U5659" t="s">
        <v>11723</v>
      </c>
      <c r="V5659" s="14" t="s">
        <v>12285</v>
      </c>
      <c r="W5659" s="388">
        <v>1</v>
      </c>
      <c r="X5659" s="388">
        <v>0</v>
      </c>
      <c r="Y5659" s="388">
        <v>0</v>
      </c>
      <c r="Z5659" s="388">
        <v>1</v>
      </c>
      <c r="AA5659" s="388">
        <v>0</v>
      </c>
      <c r="AB5659" s="388">
        <v>0</v>
      </c>
      <c r="AC5659" s="150">
        <v>1</v>
      </c>
      <c r="AD5659" s="150">
        <v>1</v>
      </c>
      <c r="AE5659" s="49">
        <f t="shared" si="205"/>
        <v>0.5</v>
      </c>
      <c r="AF5659" s="397"/>
      <c r="AG5659" s="17">
        <v>0</v>
      </c>
      <c r="AH5659" s="397">
        <v>0</v>
      </c>
      <c r="AI5659" s="397">
        <v>9.4E-2</v>
      </c>
      <c r="AJ5659" s="397">
        <v>9.8699999999999996E-2</v>
      </c>
      <c r="AK5659" s="398">
        <v>0</v>
      </c>
      <c r="AL5659" s="398">
        <v>0</v>
      </c>
      <c r="AM5659" s="17">
        <f t="shared" si="204"/>
        <v>0</v>
      </c>
      <c r="AN5659" s="14" t="s">
        <v>11722</v>
      </c>
      <c r="AO5659" s="12" t="s">
        <v>11723</v>
      </c>
      <c r="AP5659" s="399"/>
      <c r="AQ5659" s="400"/>
      <c r="AR5659" s="399"/>
      <c r="AS5659" s="399"/>
      <c r="AT5659" s="399"/>
      <c r="AX5659" s="402"/>
    </row>
    <row r="5660" spans="1:50" s="12" customFormat="1" x14ac:dyDescent="0.3">
      <c r="A5660" s="386" t="s">
        <v>8325</v>
      </c>
      <c r="B5660" s="14" t="s">
        <v>8326</v>
      </c>
      <c r="C5660" s="14" t="s">
        <v>11714</v>
      </c>
      <c r="D5660" s="12" t="s">
        <v>6838</v>
      </c>
      <c r="E5660" s="14" t="s">
        <v>11989</v>
      </c>
      <c r="F5660" s="12" t="s">
        <v>11990</v>
      </c>
      <c r="G5660" s="14" t="s">
        <v>12194</v>
      </c>
      <c r="H5660" s="12" t="s">
        <v>12195</v>
      </c>
      <c r="K5660" s="14" t="s">
        <v>12196</v>
      </c>
      <c r="L5660" s="12" t="s">
        <v>12197</v>
      </c>
      <c r="M5660" s="14" t="s">
        <v>12286</v>
      </c>
      <c r="N5660" s="14"/>
      <c r="O5660" s="14"/>
      <c r="P5660" s="12">
        <v>12</v>
      </c>
      <c r="Q5660" s="12">
        <v>12</v>
      </c>
      <c r="R5660" s="12">
        <v>4</v>
      </c>
      <c r="S5660" s="12">
        <v>4</v>
      </c>
      <c r="T5660" s="14" t="s">
        <v>11722</v>
      </c>
      <c r="U5660" t="s">
        <v>11723</v>
      </c>
      <c r="V5660" s="14" t="s">
        <v>12287</v>
      </c>
      <c r="W5660" s="388">
        <v>1</v>
      </c>
      <c r="X5660" s="388">
        <v>0</v>
      </c>
      <c r="Y5660" s="388">
        <v>0</v>
      </c>
      <c r="Z5660" s="388">
        <v>1</v>
      </c>
      <c r="AA5660" s="388">
        <v>0</v>
      </c>
      <c r="AB5660" s="388">
        <v>0</v>
      </c>
      <c r="AC5660" s="150">
        <v>1</v>
      </c>
      <c r="AD5660" s="150">
        <v>1</v>
      </c>
      <c r="AE5660" s="49">
        <f t="shared" si="205"/>
        <v>0.5</v>
      </c>
      <c r="AF5660" s="397"/>
      <c r="AG5660" s="17">
        <v>0</v>
      </c>
      <c r="AH5660" s="397">
        <v>0</v>
      </c>
      <c r="AI5660" s="397">
        <v>0.13621249999999999</v>
      </c>
      <c r="AJ5660" s="397">
        <v>0.143023125</v>
      </c>
      <c r="AK5660" s="398">
        <v>0</v>
      </c>
      <c r="AL5660" s="398">
        <v>0</v>
      </c>
      <c r="AM5660" s="17">
        <f t="shared" si="204"/>
        <v>0</v>
      </c>
      <c r="AN5660" s="14" t="s">
        <v>11722</v>
      </c>
      <c r="AO5660" s="12" t="s">
        <v>11723</v>
      </c>
      <c r="AP5660" s="399"/>
      <c r="AQ5660" s="400"/>
      <c r="AR5660" s="399"/>
      <c r="AS5660" s="399"/>
      <c r="AT5660" s="399"/>
      <c r="AX5660" s="402"/>
    </row>
    <row r="5661" spans="1:50" s="12" customFormat="1" x14ac:dyDescent="0.3">
      <c r="A5661" s="386" t="s">
        <v>8325</v>
      </c>
      <c r="B5661" s="14" t="s">
        <v>8326</v>
      </c>
      <c r="C5661" s="14" t="s">
        <v>11714</v>
      </c>
      <c r="D5661" s="12" t="s">
        <v>6838</v>
      </c>
      <c r="E5661" s="14" t="s">
        <v>11989</v>
      </c>
      <c r="F5661" s="12" t="s">
        <v>11990</v>
      </c>
      <c r="G5661" s="14" t="s">
        <v>12194</v>
      </c>
      <c r="H5661" s="12" t="s">
        <v>12195</v>
      </c>
      <c r="K5661" s="14" t="s">
        <v>12196</v>
      </c>
      <c r="L5661" s="12" t="s">
        <v>12197</v>
      </c>
      <c r="M5661" s="14" t="s">
        <v>12288</v>
      </c>
      <c r="N5661" s="14"/>
      <c r="O5661" s="14"/>
      <c r="P5661" s="12">
        <v>1</v>
      </c>
      <c r="Q5661" s="12">
        <v>1</v>
      </c>
      <c r="R5661" s="12">
        <v>1</v>
      </c>
      <c r="S5661" s="12">
        <v>1</v>
      </c>
      <c r="T5661" s="14" t="s">
        <v>11722</v>
      </c>
      <c r="U5661" t="s">
        <v>11723</v>
      </c>
      <c r="V5661" s="14" t="s">
        <v>12289</v>
      </c>
      <c r="W5661" s="388">
        <v>1</v>
      </c>
      <c r="X5661" s="388">
        <v>0</v>
      </c>
      <c r="Y5661" s="388">
        <v>0</v>
      </c>
      <c r="Z5661" s="388">
        <v>1</v>
      </c>
      <c r="AA5661" s="388">
        <v>0</v>
      </c>
      <c r="AB5661" s="388">
        <v>0</v>
      </c>
      <c r="AC5661" s="150">
        <v>1</v>
      </c>
      <c r="AD5661" s="150">
        <v>1</v>
      </c>
      <c r="AE5661" s="49">
        <f t="shared" si="205"/>
        <v>0.5</v>
      </c>
      <c r="AF5661" s="397"/>
      <c r="AG5661" s="17">
        <v>0</v>
      </c>
      <c r="AH5661" s="397">
        <v>0</v>
      </c>
      <c r="AI5661" s="397">
        <v>0.24</v>
      </c>
      <c r="AJ5661" s="397">
        <v>0</v>
      </c>
      <c r="AK5661" s="398">
        <v>0</v>
      </c>
      <c r="AL5661" s="398">
        <v>0</v>
      </c>
      <c r="AM5661" s="17">
        <f t="shared" si="204"/>
        <v>0</v>
      </c>
      <c r="AN5661" s="14" t="s">
        <v>11722</v>
      </c>
      <c r="AO5661" s="12" t="s">
        <v>11723</v>
      </c>
      <c r="AP5661" s="399"/>
      <c r="AQ5661" s="400"/>
      <c r="AR5661" s="399"/>
      <c r="AS5661" s="399"/>
      <c r="AT5661" s="399"/>
      <c r="AX5661" s="402"/>
    </row>
    <row r="5662" spans="1:50" s="12" customFormat="1" x14ac:dyDescent="0.3">
      <c r="A5662" s="386" t="s">
        <v>8325</v>
      </c>
      <c r="B5662" s="14" t="s">
        <v>8326</v>
      </c>
      <c r="C5662" s="14" t="s">
        <v>11714</v>
      </c>
      <c r="D5662" s="12" t="s">
        <v>6838</v>
      </c>
      <c r="E5662" s="14" t="s">
        <v>11989</v>
      </c>
      <c r="F5662" s="12" t="s">
        <v>11990</v>
      </c>
      <c r="G5662" s="14" t="s">
        <v>12194</v>
      </c>
      <c r="H5662" s="12" t="s">
        <v>12195</v>
      </c>
      <c r="K5662" s="14" t="s">
        <v>12196</v>
      </c>
      <c r="L5662" s="12" t="s">
        <v>12197</v>
      </c>
      <c r="M5662" s="14" t="s">
        <v>12290</v>
      </c>
      <c r="N5662" s="14"/>
      <c r="O5662" s="14"/>
      <c r="P5662" s="12">
        <v>1</v>
      </c>
      <c r="Q5662" s="12">
        <v>1</v>
      </c>
      <c r="R5662" s="12">
        <v>1</v>
      </c>
      <c r="S5662" s="12">
        <v>1</v>
      </c>
      <c r="T5662" s="14" t="s">
        <v>11722</v>
      </c>
      <c r="U5662" t="s">
        <v>11723</v>
      </c>
      <c r="V5662" s="14" t="s">
        <v>12291</v>
      </c>
      <c r="W5662" s="388">
        <v>1</v>
      </c>
      <c r="X5662" s="388">
        <v>0</v>
      </c>
      <c r="Y5662" s="388">
        <v>0</v>
      </c>
      <c r="Z5662" s="388">
        <v>1</v>
      </c>
      <c r="AA5662" s="388">
        <v>0</v>
      </c>
      <c r="AB5662" s="388">
        <v>0</v>
      </c>
      <c r="AC5662" s="150">
        <v>1</v>
      </c>
      <c r="AD5662" s="150">
        <v>1</v>
      </c>
      <c r="AE5662" s="49">
        <f t="shared" si="205"/>
        <v>0.5</v>
      </c>
      <c r="AF5662" s="397"/>
      <c r="AG5662" s="17">
        <v>0</v>
      </c>
      <c r="AH5662" s="397">
        <v>0</v>
      </c>
      <c r="AI5662" s="397">
        <v>0.27500000000000002</v>
      </c>
      <c r="AJ5662" s="397">
        <v>0.28875000000000001</v>
      </c>
      <c r="AK5662" s="398">
        <v>0</v>
      </c>
      <c r="AL5662" s="398">
        <v>0</v>
      </c>
      <c r="AM5662" s="17">
        <f t="shared" si="204"/>
        <v>0</v>
      </c>
      <c r="AN5662" s="14" t="s">
        <v>11722</v>
      </c>
      <c r="AO5662" s="12" t="s">
        <v>11723</v>
      </c>
      <c r="AP5662" s="399"/>
      <c r="AQ5662" s="400"/>
      <c r="AR5662" s="399"/>
      <c r="AS5662" s="399"/>
      <c r="AT5662" s="399"/>
      <c r="AX5662" s="402"/>
    </row>
    <row r="5663" spans="1:50" s="12" customFormat="1" x14ac:dyDescent="0.3">
      <c r="A5663" s="386" t="s">
        <v>8325</v>
      </c>
      <c r="B5663" s="14" t="s">
        <v>8326</v>
      </c>
      <c r="C5663" s="14" t="s">
        <v>11714</v>
      </c>
      <c r="D5663" s="12" t="s">
        <v>6838</v>
      </c>
      <c r="E5663" s="14" t="s">
        <v>11989</v>
      </c>
      <c r="F5663" s="12" t="s">
        <v>11990</v>
      </c>
      <c r="G5663" s="14" t="s">
        <v>12194</v>
      </c>
      <c r="H5663" s="12" t="s">
        <v>12195</v>
      </c>
      <c r="K5663" s="14" t="s">
        <v>12196</v>
      </c>
      <c r="L5663" s="12" t="s">
        <v>12197</v>
      </c>
      <c r="M5663" s="14" t="s">
        <v>12292</v>
      </c>
      <c r="N5663" s="14"/>
      <c r="O5663" s="14"/>
      <c r="P5663" s="12">
        <v>1</v>
      </c>
      <c r="Q5663" s="12">
        <v>1</v>
      </c>
      <c r="R5663" s="12">
        <v>1</v>
      </c>
      <c r="S5663" s="12">
        <v>1</v>
      </c>
      <c r="T5663" s="14" t="s">
        <v>11722</v>
      </c>
      <c r="U5663" t="s">
        <v>11723</v>
      </c>
      <c r="V5663" s="14" t="s">
        <v>12293</v>
      </c>
      <c r="W5663" s="388">
        <v>1</v>
      </c>
      <c r="X5663" s="388">
        <v>0</v>
      </c>
      <c r="Y5663" s="388">
        <v>0</v>
      </c>
      <c r="Z5663" s="388">
        <v>1</v>
      </c>
      <c r="AA5663" s="388">
        <v>0</v>
      </c>
      <c r="AB5663" s="388">
        <v>0</v>
      </c>
      <c r="AC5663" s="150">
        <v>1</v>
      </c>
      <c r="AD5663" s="150">
        <v>1</v>
      </c>
      <c r="AE5663" s="49">
        <f t="shared" si="205"/>
        <v>0.5</v>
      </c>
      <c r="AF5663" s="397"/>
      <c r="AG5663" s="17">
        <v>0</v>
      </c>
      <c r="AH5663" s="397">
        <v>0</v>
      </c>
      <c r="AI5663" s="397">
        <v>0.27500000000000002</v>
      </c>
      <c r="AJ5663" s="397">
        <v>0.28875000000000001</v>
      </c>
      <c r="AK5663" s="398">
        <v>0</v>
      </c>
      <c r="AL5663" s="398">
        <v>0</v>
      </c>
      <c r="AM5663" s="17">
        <f t="shared" si="204"/>
        <v>0</v>
      </c>
      <c r="AN5663" s="14" t="s">
        <v>11722</v>
      </c>
      <c r="AO5663" s="12" t="s">
        <v>11723</v>
      </c>
      <c r="AP5663" s="399"/>
      <c r="AQ5663" s="400"/>
      <c r="AR5663" s="399"/>
      <c r="AS5663" s="399"/>
      <c r="AT5663" s="399"/>
      <c r="AX5663" s="402"/>
    </row>
    <row r="5664" spans="1:50" s="12" customFormat="1" x14ac:dyDescent="0.3">
      <c r="A5664" s="386" t="s">
        <v>8325</v>
      </c>
      <c r="B5664" s="14" t="s">
        <v>8326</v>
      </c>
      <c r="C5664" s="14" t="s">
        <v>11714</v>
      </c>
      <c r="D5664" s="12" t="s">
        <v>6838</v>
      </c>
      <c r="E5664" s="14" t="s">
        <v>11989</v>
      </c>
      <c r="F5664" s="12" t="s">
        <v>11990</v>
      </c>
      <c r="G5664" s="14" t="s">
        <v>12194</v>
      </c>
      <c r="H5664" s="12" t="s">
        <v>12195</v>
      </c>
      <c r="K5664" s="14" t="s">
        <v>12196</v>
      </c>
      <c r="L5664" s="12" t="s">
        <v>12197</v>
      </c>
      <c r="M5664" s="14" t="s">
        <v>12294</v>
      </c>
      <c r="N5664" s="14"/>
      <c r="O5664" s="14"/>
      <c r="P5664" s="41">
        <v>1</v>
      </c>
      <c r="Q5664" s="41">
        <v>1</v>
      </c>
      <c r="R5664" s="41">
        <v>1</v>
      </c>
      <c r="S5664" s="41">
        <v>1</v>
      </c>
      <c r="T5664" s="14" t="s">
        <v>11722</v>
      </c>
      <c r="U5664" t="s">
        <v>11723</v>
      </c>
      <c r="V5664" s="14" t="s">
        <v>12295</v>
      </c>
      <c r="W5664" s="388">
        <v>1</v>
      </c>
      <c r="X5664" s="388">
        <v>0</v>
      </c>
      <c r="Y5664" s="388">
        <v>0</v>
      </c>
      <c r="Z5664" s="388">
        <v>1</v>
      </c>
      <c r="AA5664" s="388">
        <v>0</v>
      </c>
      <c r="AB5664" s="388">
        <v>0</v>
      </c>
      <c r="AC5664" s="150">
        <v>1</v>
      </c>
      <c r="AD5664" s="150">
        <v>1</v>
      </c>
      <c r="AE5664" s="49">
        <f t="shared" si="205"/>
        <v>0.5</v>
      </c>
      <c r="AF5664" s="397"/>
      <c r="AG5664" s="17">
        <v>0</v>
      </c>
      <c r="AH5664" s="397">
        <v>0</v>
      </c>
      <c r="AI5664" s="397">
        <v>0.27500000000000002</v>
      </c>
      <c r="AJ5664" s="397">
        <v>0.28875000000000001</v>
      </c>
      <c r="AK5664" s="398">
        <v>0</v>
      </c>
      <c r="AL5664" s="398">
        <v>0</v>
      </c>
      <c r="AM5664" s="17">
        <f t="shared" si="204"/>
        <v>0</v>
      </c>
      <c r="AN5664" s="14" t="s">
        <v>11722</v>
      </c>
      <c r="AO5664" s="12" t="s">
        <v>11723</v>
      </c>
      <c r="AP5664" s="399"/>
      <c r="AQ5664" s="400"/>
      <c r="AR5664" s="399"/>
      <c r="AS5664" s="399"/>
      <c r="AT5664" s="399"/>
      <c r="AX5664" s="402"/>
    </row>
    <row r="5665" spans="1:50" s="12" customFormat="1" x14ac:dyDescent="0.3">
      <c r="A5665" s="386" t="s">
        <v>8325</v>
      </c>
      <c r="B5665" s="14" t="s">
        <v>8326</v>
      </c>
      <c r="C5665" s="14" t="s">
        <v>11714</v>
      </c>
      <c r="D5665" s="12" t="s">
        <v>6838</v>
      </c>
      <c r="E5665" s="14" t="s">
        <v>11989</v>
      </c>
      <c r="F5665" s="12" t="s">
        <v>11990</v>
      </c>
      <c r="G5665" s="14" t="s">
        <v>12194</v>
      </c>
      <c r="H5665" s="12" t="s">
        <v>12195</v>
      </c>
      <c r="K5665" s="14" t="s">
        <v>12196</v>
      </c>
      <c r="L5665" s="12" t="s">
        <v>12197</v>
      </c>
      <c r="M5665" s="14" t="s">
        <v>12296</v>
      </c>
      <c r="N5665" s="14"/>
      <c r="O5665" s="14"/>
      <c r="Q5665" s="12">
        <v>1</v>
      </c>
      <c r="T5665" s="14" t="s">
        <v>11722</v>
      </c>
      <c r="U5665" t="s">
        <v>11723</v>
      </c>
      <c r="V5665" s="14" t="s">
        <v>12297</v>
      </c>
      <c r="W5665" s="388">
        <v>1</v>
      </c>
      <c r="X5665" s="388">
        <v>0</v>
      </c>
      <c r="Y5665" s="388">
        <v>0</v>
      </c>
      <c r="Z5665" s="388">
        <v>1</v>
      </c>
      <c r="AA5665" s="388">
        <v>0</v>
      </c>
      <c r="AB5665" s="388">
        <v>0</v>
      </c>
      <c r="AC5665" s="150">
        <v>1</v>
      </c>
      <c r="AD5665" s="150">
        <v>1</v>
      </c>
      <c r="AE5665" s="49">
        <f t="shared" si="205"/>
        <v>0.5</v>
      </c>
      <c r="AF5665" s="397"/>
      <c r="AG5665" s="17">
        <v>0</v>
      </c>
      <c r="AH5665" s="397">
        <v>0</v>
      </c>
      <c r="AI5665" s="397">
        <v>0</v>
      </c>
      <c r="AJ5665" s="397">
        <v>0</v>
      </c>
      <c r="AK5665" s="398">
        <v>0</v>
      </c>
      <c r="AL5665" s="398">
        <v>0</v>
      </c>
      <c r="AM5665" s="17">
        <f t="shared" si="204"/>
        <v>0</v>
      </c>
      <c r="AN5665" s="14" t="s">
        <v>11722</v>
      </c>
      <c r="AO5665" s="12" t="s">
        <v>11723</v>
      </c>
      <c r="AP5665" s="399"/>
      <c r="AQ5665" s="400"/>
      <c r="AR5665" s="399"/>
      <c r="AS5665" s="399"/>
      <c r="AT5665" s="399"/>
      <c r="AX5665" s="402"/>
    </row>
    <row r="5666" spans="1:50" s="12" customFormat="1" x14ac:dyDescent="0.3">
      <c r="A5666" s="386" t="s">
        <v>8325</v>
      </c>
      <c r="B5666" s="14" t="s">
        <v>8326</v>
      </c>
      <c r="C5666" s="14" t="s">
        <v>11714</v>
      </c>
      <c r="D5666" s="12" t="s">
        <v>6838</v>
      </c>
      <c r="E5666" s="14" t="s">
        <v>11989</v>
      </c>
      <c r="F5666" s="12" t="s">
        <v>11990</v>
      </c>
      <c r="G5666" s="14" t="s">
        <v>12194</v>
      </c>
      <c r="H5666" s="12" t="s">
        <v>12195</v>
      </c>
      <c r="K5666" s="14" t="s">
        <v>12196</v>
      </c>
      <c r="L5666" s="12" t="s">
        <v>12197</v>
      </c>
      <c r="M5666" s="14" t="s">
        <v>12298</v>
      </c>
      <c r="N5666" s="14"/>
      <c r="O5666" s="14"/>
      <c r="S5666" s="12">
        <v>1</v>
      </c>
      <c r="T5666" s="14" t="s">
        <v>11722</v>
      </c>
      <c r="U5666" t="s">
        <v>11723</v>
      </c>
      <c r="V5666" s="14" t="s">
        <v>12299</v>
      </c>
      <c r="W5666" s="388">
        <v>1</v>
      </c>
      <c r="X5666" s="388">
        <v>0</v>
      </c>
      <c r="Y5666" s="388">
        <v>0</v>
      </c>
      <c r="Z5666" s="388">
        <v>1</v>
      </c>
      <c r="AA5666" s="388">
        <v>1</v>
      </c>
      <c r="AB5666" s="388">
        <v>0</v>
      </c>
      <c r="AC5666" s="150">
        <v>1</v>
      </c>
      <c r="AD5666" s="150">
        <v>1</v>
      </c>
      <c r="AE5666" s="49">
        <f t="shared" si="205"/>
        <v>0.625</v>
      </c>
      <c r="AF5666" s="397"/>
      <c r="AG5666" s="17">
        <v>0</v>
      </c>
      <c r="AH5666" s="397">
        <v>0</v>
      </c>
      <c r="AI5666" s="397">
        <v>0</v>
      </c>
      <c r="AJ5666" s="397">
        <v>0</v>
      </c>
      <c r="AK5666" s="398">
        <v>0</v>
      </c>
      <c r="AL5666" s="398">
        <v>0.41639955000000001</v>
      </c>
      <c r="AM5666" s="17">
        <f t="shared" si="204"/>
        <v>0.41639955000000001</v>
      </c>
      <c r="AN5666" s="14" t="s">
        <v>11722</v>
      </c>
      <c r="AO5666" s="12" t="s">
        <v>11723</v>
      </c>
      <c r="AP5666" s="399"/>
      <c r="AQ5666" s="400"/>
      <c r="AR5666" s="399"/>
      <c r="AS5666" s="399"/>
      <c r="AT5666" s="399"/>
      <c r="AX5666" s="402"/>
    </row>
    <row r="5667" spans="1:50" s="12" customFormat="1" x14ac:dyDescent="0.3">
      <c r="A5667" s="386" t="s">
        <v>8325</v>
      </c>
      <c r="B5667" s="14" t="s">
        <v>8326</v>
      </c>
      <c r="C5667" s="14" t="s">
        <v>11714</v>
      </c>
      <c r="D5667" s="12" t="s">
        <v>6838</v>
      </c>
      <c r="E5667" s="14" t="s">
        <v>11989</v>
      </c>
      <c r="F5667" s="12" t="s">
        <v>11990</v>
      </c>
      <c r="G5667" s="14" t="s">
        <v>12194</v>
      </c>
      <c r="H5667" s="12" t="s">
        <v>12195</v>
      </c>
      <c r="K5667" s="14" t="s">
        <v>12196</v>
      </c>
      <c r="L5667" s="12" t="s">
        <v>12197</v>
      </c>
      <c r="M5667" s="14" t="s">
        <v>12300</v>
      </c>
      <c r="N5667" s="14"/>
      <c r="O5667" s="14"/>
      <c r="P5667" s="12">
        <v>5</v>
      </c>
      <c r="Q5667" s="12">
        <v>5</v>
      </c>
      <c r="R5667" s="12">
        <v>5</v>
      </c>
      <c r="S5667" s="12">
        <v>5</v>
      </c>
      <c r="T5667" s="14" t="s">
        <v>11722</v>
      </c>
      <c r="U5667" t="s">
        <v>11723</v>
      </c>
      <c r="V5667" s="14" t="s">
        <v>12301</v>
      </c>
      <c r="W5667" s="388">
        <v>1</v>
      </c>
      <c r="X5667" s="388">
        <v>0</v>
      </c>
      <c r="Y5667" s="388">
        <v>0</v>
      </c>
      <c r="Z5667" s="388">
        <v>1</v>
      </c>
      <c r="AA5667" s="388">
        <v>1</v>
      </c>
      <c r="AB5667" s="388">
        <v>0</v>
      </c>
      <c r="AC5667" s="150">
        <v>1</v>
      </c>
      <c r="AD5667" s="150">
        <v>1</v>
      </c>
      <c r="AE5667" s="49">
        <f t="shared" si="205"/>
        <v>0.625</v>
      </c>
      <c r="AF5667" s="397"/>
      <c r="AG5667" s="17">
        <v>0</v>
      </c>
      <c r="AH5667" s="397">
        <v>8.3559999999999995E-2</v>
      </c>
      <c r="AI5667" s="397">
        <v>0.10356</v>
      </c>
      <c r="AJ5667" s="397">
        <v>0.31791900000000001</v>
      </c>
      <c r="AK5667" s="398">
        <v>0.2</v>
      </c>
      <c r="AL5667" s="398">
        <v>0.2</v>
      </c>
      <c r="AM5667" s="17">
        <f t="shared" si="204"/>
        <v>0.4</v>
      </c>
      <c r="AN5667" s="14" t="s">
        <v>11722</v>
      </c>
      <c r="AO5667" s="12" t="s">
        <v>11723</v>
      </c>
      <c r="AP5667" s="399"/>
      <c r="AQ5667" s="400"/>
      <c r="AR5667" s="399"/>
      <c r="AS5667" s="399"/>
      <c r="AT5667" s="399"/>
      <c r="AX5667" s="402"/>
    </row>
    <row r="5668" spans="1:50" s="12" customFormat="1" x14ac:dyDescent="0.3">
      <c r="A5668" s="386" t="s">
        <v>8325</v>
      </c>
      <c r="B5668" s="14" t="s">
        <v>8326</v>
      </c>
      <c r="C5668" s="14" t="s">
        <v>11714</v>
      </c>
      <c r="D5668" s="12" t="s">
        <v>6838</v>
      </c>
      <c r="E5668" s="14" t="s">
        <v>11989</v>
      </c>
      <c r="F5668" s="12" t="s">
        <v>11990</v>
      </c>
      <c r="G5668" s="14" t="s">
        <v>12194</v>
      </c>
      <c r="H5668" s="12" t="s">
        <v>12195</v>
      </c>
      <c r="K5668" s="14" t="s">
        <v>12196</v>
      </c>
      <c r="L5668" s="12" t="s">
        <v>12197</v>
      </c>
      <c r="M5668" s="14" t="s">
        <v>12302</v>
      </c>
      <c r="N5668" s="14"/>
      <c r="O5668" s="14">
        <v>4</v>
      </c>
      <c r="P5668" s="12">
        <v>4</v>
      </c>
      <c r="Q5668" s="12">
        <v>4</v>
      </c>
      <c r="R5668" s="12">
        <v>4</v>
      </c>
      <c r="S5668" s="12">
        <v>4</v>
      </c>
      <c r="T5668" s="14" t="s">
        <v>11722</v>
      </c>
      <c r="U5668" t="s">
        <v>11723</v>
      </c>
      <c r="V5668" s="14" t="s">
        <v>12303</v>
      </c>
      <c r="W5668" s="388">
        <v>1</v>
      </c>
      <c r="X5668" s="388">
        <v>0</v>
      </c>
      <c r="Y5668" s="388">
        <v>0</v>
      </c>
      <c r="Z5668" s="388">
        <v>1</v>
      </c>
      <c r="AA5668" s="388">
        <v>1</v>
      </c>
      <c r="AB5668" s="388">
        <v>0</v>
      </c>
      <c r="AC5668" s="150">
        <v>1</v>
      </c>
      <c r="AD5668" s="150">
        <v>1</v>
      </c>
      <c r="AE5668" s="49">
        <f t="shared" si="205"/>
        <v>0.625</v>
      </c>
      <c r="AF5668" s="397"/>
      <c r="AG5668" s="17">
        <v>0</v>
      </c>
      <c r="AH5668" s="397">
        <v>6.8000000000000005E-2</v>
      </c>
      <c r="AI5668" s="397">
        <v>8.8639999999999997E-2</v>
      </c>
      <c r="AJ5668" s="397">
        <v>0.10680705</v>
      </c>
      <c r="AK5668" s="398">
        <v>0</v>
      </c>
      <c r="AL5668" s="398">
        <v>0</v>
      </c>
      <c r="AM5668" s="17">
        <f t="shared" si="204"/>
        <v>0</v>
      </c>
      <c r="AN5668" s="14" t="s">
        <v>11722</v>
      </c>
      <c r="AO5668" s="12" t="s">
        <v>11723</v>
      </c>
      <c r="AP5668" s="399"/>
      <c r="AQ5668" s="400"/>
      <c r="AR5668" s="399"/>
      <c r="AS5668" s="399"/>
      <c r="AT5668" s="399"/>
      <c r="AX5668" s="402"/>
    </row>
    <row r="5669" spans="1:50" s="12" customFormat="1" x14ac:dyDescent="0.3">
      <c r="A5669" s="386" t="s">
        <v>8325</v>
      </c>
      <c r="B5669" s="14" t="s">
        <v>8326</v>
      </c>
      <c r="C5669" s="14" t="s">
        <v>11714</v>
      </c>
      <c r="D5669" s="12" t="s">
        <v>6838</v>
      </c>
      <c r="E5669" s="14" t="s">
        <v>11989</v>
      </c>
      <c r="F5669" s="12" t="s">
        <v>11990</v>
      </c>
      <c r="G5669" s="14" t="s">
        <v>12194</v>
      </c>
      <c r="H5669" s="12" t="s">
        <v>12195</v>
      </c>
      <c r="K5669" s="14" t="s">
        <v>12196</v>
      </c>
      <c r="L5669" s="12" t="s">
        <v>12197</v>
      </c>
      <c r="M5669" s="14" t="s">
        <v>12304</v>
      </c>
      <c r="N5669" s="14">
        <v>5</v>
      </c>
      <c r="O5669" s="14">
        <v>5</v>
      </c>
      <c r="P5669" s="12">
        <v>5</v>
      </c>
      <c r="Q5669" s="12">
        <v>5</v>
      </c>
      <c r="R5669" s="12">
        <v>5</v>
      </c>
      <c r="S5669" s="12">
        <v>5</v>
      </c>
      <c r="T5669" s="14" t="s">
        <v>11722</v>
      </c>
      <c r="U5669" t="s">
        <v>11723</v>
      </c>
      <c r="V5669" s="14" t="s">
        <v>12305</v>
      </c>
      <c r="W5669" s="388">
        <v>1</v>
      </c>
      <c r="X5669" s="388">
        <v>0</v>
      </c>
      <c r="Y5669" s="388">
        <v>0</v>
      </c>
      <c r="Z5669" s="388">
        <v>1</v>
      </c>
      <c r="AA5669" s="388">
        <v>1</v>
      </c>
      <c r="AB5669" s="388">
        <v>0</v>
      </c>
      <c r="AC5669" s="150">
        <v>1</v>
      </c>
      <c r="AD5669" s="150">
        <v>1</v>
      </c>
      <c r="AE5669" s="49">
        <f t="shared" si="205"/>
        <v>0.625</v>
      </c>
      <c r="AF5669" s="397"/>
      <c r="AG5669" s="17">
        <v>0</v>
      </c>
      <c r="AH5669" s="397">
        <v>7.9200000000000007E-2</v>
      </c>
      <c r="AI5669" s="397">
        <v>8.3159999999999998E-2</v>
      </c>
      <c r="AJ5669" s="397">
        <v>8.7318000000000007E-2</v>
      </c>
      <c r="AK5669" s="398">
        <v>0.1</v>
      </c>
      <c r="AL5669" s="398">
        <v>0.1</v>
      </c>
      <c r="AM5669" s="17">
        <f t="shared" si="204"/>
        <v>0.2</v>
      </c>
      <c r="AN5669" s="14" t="s">
        <v>11722</v>
      </c>
      <c r="AO5669" s="12" t="s">
        <v>11723</v>
      </c>
      <c r="AP5669" s="399"/>
      <c r="AQ5669" s="400"/>
      <c r="AR5669" s="399"/>
      <c r="AS5669" s="399"/>
      <c r="AT5669" s="399"/>
      <c r="AX5669" s="402"/>
    </row>
    <row r="5670" spans="1:50" s="12" customFormat="1" x14ac:dyDescent="0.3">
      <c r="A5670" s="386" t="s">
        <v>8325</v>
      </c>
      <c r="B5670" s="14" t="s">
        <v>8326</v>
      </c>
      <c r="C5670" s="14" t="s">
        <v>11714</v>
      </c>
      <c r="D5670" s="12" t="s">
        <v>6838</v>
      </c>
      <c r="E5670" s="14" t="s">
        <v>11989</v>
      </c>
      <c r="F5670" s="12" t="s">
        <v>11990</v>
      </c>
      <c r="G5670" s="14" t="s">
        <v>12194</v>
      </c>
      <c r="H5670" s="12" t="s">
        <v>12195</v>
      </c>
      <c r="K5670" s="14" t="s">
        <v>12196</v>
      </c>
      <c r="L5670" s="12" t="s">
        <v>12197</v>
      </c>
      <c r="M5670" s="14" t="s">
        <v>12306</v>
      </c>
      <c r="N5670" s="14">
        <v>1</v>
      </c>
      <c r="O5670" s="14">
        <v>1</v>
      </c>
      <c r="P5670" s="12">
        <v>1</v>
      </c>
      <c r="Q5670" s="12">
        <v>1</v>
      </c>
      <c r="R5670" s="12">
        <v>1</v>
      </c>
      <c r="S5670" s="12">
        <v>1</v>
      </c>
      <c r="T5670" s="14" t="s">
        <v>11722</v>
      </c>
      <c r="U5670" t="s">
        <v>11723</v>
      </c>
      <c r="V5670" s="14" t="s">
        <v>12307</v>
      </c>
      <c r="W5670" s="388">
        <v>1</v>
      </c>
      <c r="X5670" s="388">
        <v>0</v>
      </c>
      <c r="Y5670" s="388">
        <v>0</v>
      </c>
      <c r="Z5670" s="388">
        <v>1</v>
      </c>
      <c r="AA5670" s="388">
        <v>1</v>
      </c>
      <c r="AB5670" s="388">
        <v>0</v>
      </c>
      <c r="AC5670" s="150">
        <v>1</v>
      </c>
      <c r="AD5670" s="150">
        <v>1</v>
      </c>
      <c r="AE5670" s="49">
        <f t="shared" si="205"/>
        <v>0.625</v>
      </c>
      <c r="AF5670" s="397"/>
      <c r="AG5670" s="17">
        <v>0</v>
      </c>
      <c r="AH5670" s="397">
        <v>0.25</v>
      </c>
      <c r="AI5670" s="397">
        <v>0.2</v>
      </c>
      <c r="AJ5670" s="397">
        <v>0.21</v>
      </c>
      <c r="AK5670" s="398">
        <v>0.12</v>
      </c>
      <c r="AL5670" s="398">
        <v>0.12</v>
      </c>
      <c r="AM5670" s="17">
        <f t="shared" si="204"/>
        <v>0.24</v>
      </c>
      <c r="AN5670" s="14" t="s">
        <v>11722</v>
      </c>
      <c r="AO5670" s="12" t="s">
        <v>11723</v>
      </c>
      <c r="AP5670" s="399"/>
      <c r="AQ5670" s="400"/>
      <c r="AR5670" s="399"/>
      <c r="AS5670" s="399"/>
      <c r="AT5670" s="399"/>
      <c r="AX5670" s="402"/>
    </row>
    <row r="5671" spans="1:50" s="12" customFormat="1" x14ac:dyDescent="0.3">
      <c r="A5671" s="386" t="s">
        <v>8325</v>
      </c>
      <c r="B5671" s="14" t="s">
        <v>8326</v>
      </c>
      <c r="C5671" s="14" t="s">
        <v>11714</v>
      </c>
      <c r="D5671" s="12" t="s">
        <v>6838</v>
      </c>
      <c r="E5671" s="14" t="s">
        <v>11989</v>
      </c>
      <c r="F5671" s="12" t="s">
        <v>11990</v>
      </c>
      <c r="G5671" s="14" t="s">
        <v>12194</v>
      </c>
      <c r="H5671" s="12" t="s">
        <v>12195</v>
      </c>
      <c r="K5671" s="14" t="s">
        <v>12196</v>
      </c>
      <c r="L5671" s="12" t="s">
        <v>12197</v>
      </c>
      <c r="M5671" s="14" t="s">
        <v>12308</v>
      </c>
      <c r="N5671" s="14">
        <v>1</v>
      </c>
      <c r="O5671" s="14">
        <v>1</v>
      </c>
      <c r="P5671" s="12">
        <v>1</v>
      </c>
      <c r="Q5671" s="12">
        <v>1</v>
      </c>
      <c r="R5671" s="12">
        <v>1</v>
      </c>
      <c r="S5671" s="12">
        <v>1</v>
      </c>
      <c r="T5671" s="14" t="s">
        <v>11722</v>
      </c>
      <c r="U5671" t="s">
        <v>11723</v>
      </c>
      <c r="V5671" s="14" t="s">
        <v>12309</v>
      </c>
      <c r="W5671" s="388">
        <v>1</v>
      </c>
      <c r="X5671" s="388">
        <v>0</v>
      </c>
      <c r="Y5671" s="388">
        <v>0</v>
      </c>
      <c r="Z5671" s="388">
        <v>1</v>
      </c>
      <c r="AA5671" s="388">
        <v>1</v>
      </c>
      <c r="AB5671" s="388">
        <v>0</v>
      </c>
      <c r="AC5671" s="150">
        <v>1</v>
      </c>
      <c r="AD5671" s="150">
        <v>1</v>
      </c>
      <c r="AE5671" s="49">
        <f t="shared" si="205"/>
        <v>0.625</v>
      </c>
      <c r="AF5671" s="397"/>
      <c r="AG5671" s="17">
        <v>0</v>
      </c>
      <c r="AH5671" s="397">
        <v>0.1</v>
      </c>
      <c r="AI5671" s="397">
        <v>0.25</v>
      </c>
      <c r="AJ5671" s="397">
        <v>0.26250000000000001</v>
      </c>
      <c r="AK5671" s="398">
        <v>0.115</v>
      </c>
      <c r="AL5671" s="398">
        <v>0.115</v>
      </c>
      <c r="AM5671" s="17">
        <f t="shared" si="204"/>
        <v>0.23</v>
      </c>
      <c r="AN5671" s="14" t="s">
        <v>11722</v>
      </c>
      <c r="AO5671" s="12" t="s">
        <v>11723</v>
      </c>
      <c r="AP5671" s="399"/>
      <c r="AQ5671" s="400"/>
      <c r="AR5671" s="399"/>
      <c r="AS5671" s="399"/>
      <c r="AT5671" s="399"/>
      <c r="AX5671" s="402"/>
    </row>
    <row r="5672" spans="1:50" s="12" customFormat="1" x14ac:dyDescent="0.3">
      <c r="A5672" s="386" t="s">
        <v>8325</v>
      </c>
      <c r="B5672" s="14" t="s">
        <v>8326</v>
      </c>
      <c r="C5672" s="14" t="s">
        <v>11714</v>
      </c>
      <c r="D5672" s="12" t="s">
        <v>6838</v>
      </c>
      <c r="E5672" s="14" t="s">
        <v>11989</v>
      </c>
      <c r="F5672" s="12" t="s">
        <v>11990</v>
      </c>
      <c r="G5672" s="14" t="s">
        <v>12194</v>
      </c>
      <c r="H5672" s="12" t="s">
        <v>12195</v>
      </c>
      <c r="K5672" s="14" t="s">
        <v>12196</v>
      </c>
      <c r="L5672" s="12" t="s">
        <v>12197</v>
      </c>
      <c r="M5672" s="14" t="s">
        <v>12310</v>
      </c>
      <c r="N5672" s="14">
        <v>1</v>
      </c>
      <c r="O5672" s="14">
        <v>1</v>
      </c>
      <c r="P5672" s="12">
        <v>1</v>
      </c>
      <c r="Q5672" s="12">
        <v>1</v>
      </c>
      <c r="R5672" s="12">
        <v>1</v>
      </c>
      <c r="S5672" s="12">
        <v>1</v>
      </c>
      <c r="T5672" s="14" t="s">
        <v>11722</v>
      </c>
      <c r="U5672" t="s">
        <v>11723</v>
      </c>
      <c r="V5672" s="14" t="s">
        <v>12311</v>
      </c>
      <c r="W5672" s="388">
        <v>1</v>
      </c>
      <c r="X5672" s="388">
        <v>0</v>
      </c>
      <c r="Y5672" s="388">
        <v>0</v>
      </c>
      <c r="Z5672" s="388">
        <v>1</v>
      </c>
      <c r="AA5672" s="388">
        <v>1</v>
      </c>
      <c r="AB5672" s="388">
        <v>0</v>
      </c>
      <c r="AC5672" s="150">
        <v>1</v>
      </c>
      <c r="AD5672" s="150">
        <v>1</v>
      </c>
      <c r="AE5672" s="49">
        <f t="shared" si="205"/>
        <v>0.625</v>
      </c>
      <c r="AF5672" s="397"/>
      <c r="AG5672" s="17">
        <v>0</v>
      </c>
      <c r="AH5672" s="397">
        <v>4.5600000000000002E-2</v>
      </c>
      <c r="AI5672" s="397">
        <v>0.108</v>
      </c>
      <c r="AJ5672" s="397">
        <v>0.1134</v>
      </c>
      <c r="AK5672" s="398">
        <v>0.108</v>
      </c>
      <c r="AL5672" s="398">
        <v>0.108</v>
      </c>
      <c r="AM5672" s="17">
        <f t="shared" si="204"/>
        <v>0.216</v>
      </c>
      <c r="AN5672" s="14" t="s">
        <v>11722</v>
      </c>
      <c r="AO5672" s="12" t="s">
        <v>11723</v>
      </c>
      <c r="AP5672" s="399"/>
      <c r="AQ5672" s="400"/>
      <c r="AR5672" s="399"/>
      <c r="AS5672" s="399"/>
      <c r="AT5672" s="399"/>
      <c r="AX5672" s="402"/>
    </row>
    <row r="5673" spans="1:50" s="12" customFormat="1" x14ac:dyDescent="0.3">
      <c r="A5673" s="386" t="s">
        <v>8325</v>
      </c>
      <c r="B5673" s="14" t="s">
        <v>8326</v>
      </c>
      <c r="C5673" s="14" t="s">
        <v>11714</v>
      </c>
      <c r="D5673" s="12" t="s">
        <v>6838</v>
      </c>
      <c r="E5673" s="14" t="s">
        <v>11989</v>
      </c>
      <c r="F5673" s="12" t="s">
        <v>11990</v>
      </c>
      <c r="G5673" s="14" t="s">
        <v>12194</v>
      </c>
      <c r="H5673" s="12" t="s">
        <v>12195</v>
      </c>
      <c r="K5673" s="14" t="s">
        <v>12196</v>
      </c>
      <c r="L5673" s="12" t="s">
        <v>12197</v>
      </c>
      <c r="M5673" s="14" t="s">
        <v>12312</v>
      </c>
      <c r="N5673" s="14"/>
      <c r="O5673" s="14">
        <v>1</v>
      </c>
      <c r="T5673" s="14" t="s">
        <v>11722</v>
      </c>
      <c r="U5673" t="s">
        <v>11723</v>
      </c>
      <c r="V5673" s="14" t="s">
        <v>12313</v>
      </c>
      <c r="W5673" s="388">
        <v>1</v>
      </c>
      <c r="X5673" s="388">
        <v>0</v>
      </c>
      <c r="Y5673" s="388">
        <v>0</v>
      </c>
      <c r="Z5673" s="388">
        <v>1</v>
      </c>
      <c r="AA5673" s="388">
        <v>0</v>
      </c>
      <c r="AB5673" s="388">
        <v>0</v>
      </c>
      <c r="AC5673" s="150">
        <v>1</v>
      </c>
      <c r="AD5673" s="150">
        <v>1</v>
      </c>
      <c r="AE5673" s="49">
        <f t="shared" si="205"/>
        <v>0.5</v>
      </c>
      <c r="AF5673" s="397"/>
      <c r="AG5673" s="17">
        <v>0</v>
      </c>
      <c r="AH5673" s="397">
        <v>0</v>
      </c>
      <c r="AI5673" s="397">
        <v>0.15340000000000001</v>
      </c>
      <c r="AJ5673" s="397">
        <v>0</v>
      </c>
      <c r="AK5673" s="398">
        <v>0</v>
      </c>
      <c r="AL5673" s="398">
        <v>0</v>
      </c>
      <c r="AM5673" s="17">
        <f t="shared" si="204"/>
        <v>0</v>
      </c>
      <c r="AN5673" s="14" t="s">
        <v>11722</v>
      </c>
      <c r="AO5673" s="12" t="s">
        <v>11723</v>
      </c>
      <c r="AP5673" s="399"/>
      <c r="AQ5673" s="400"/>
      <c r="AR5673" s="399"/>
      <c r="AS5673" s="399"/>
      <c r="AT5673" s="399"/>
      <c r="AX5673" s="402"/>
    </row>
    <row r="5674" spans="1:50" s="12" customFormat="1" x14ac:dyDescent="0.3">
      <c r="A5674" s="386" t="s">
        <v>8325</v>
      </c>
      <c r="B5674" s="14" t="s">
        <v>8326</v>
      </c>
      <c r="C5674" s="14" t="s">
        <v>11714</v>
      </c>
      <c r="D5674" s="12" t="s">
        <v>6838</v>
      </c>
      <c r="E5674" s="14" t="s">
        <v>11989</v>
      </c>
      <c r="F5674" s="12" t="s">
        <v>11990</v>
      </c>
      <c r="G5674" s="14" t="s">
        <v>12194</v>
      </c>
      <c r="H5674" s="12" t="s">
        <v>12195</v>
      </c>
      <c r="K5674" s="14" t="s">
        <v>12196</v>
      </c>
      <c r="L5674" s="12" t="s">
        <v>12197</v>
      </c>
      <c r="M5674" s="14" t="s">
        <v>12314</v>
      </c>
      <c r="N5674" s="14"/>
      <c r="O5674" s="14"/>
      <c r="P5674" s="12">
        <v>1</v>
      </c>
      <c r="Q5674" s="12">
        <v>1</v>
      </c>
      <c r="R5674" s="12">
        <v>1</v>
      </c>
      <c r="S5674" s="12">
        <v>1</v>
      </c>
      <c r="T5674" s="14" t="s">
        <v>11722</v>
      </c>
      <c r="U5674" t="s">
        <v>11723</v>
      </c>
      <c r="V5674" s="14" t="s">
        <v>12315</v>
      </c>
      <c r="W5674" s="388">
        <v>1</v>
      </c>
      <c r="X5674" s="388">
        <v>0</v>
      </c>
      <c r="Y5674" s="388">
        <v>0</v>
      </c>
      <c r="Z5674" s="388">
        <v>1</v>
      </c>
      <c r="AA5674" s="388">
        <v>1</v>
      </c>
      <c r="AB5674" s="388">
        <v>0</v>
      </c>
      <c r="AC5674" s="150">
        <v>1</v>
      </c>
      <c r="AD5674" s="150">
        <v>1</v>
      </c>
      <c r="AE5674" s="49">
        <f t="shared" si="205"/>
        <v>0.625</v>
      </c>
      <c r="AF5674" s="397"/>
      <c r="AG5674" s="17">
        <v>0</v>
      </c>
      <c r="AH5674" s="397">
        <v>0</v>
      </c>
      <c r="AI5674" s="397">
        <v>0.30659999999999998</v>
      </c>
      <c r="AJ5674" s="397">
        <v>0.32192999999999999</v>
      </c>
      <c r="AK5674" s="398">
        <v>0.12</v>
      </c>
      <c r="AL5674" s="398">
        <v>0.12</v>
      </c>
      <c r="AM5674" s="17">
        <f t="shared" si="204"/>
        <v>0.24</v>
      </c>
      <c r="AN5674" s="14" t="s">
        <v>11722</v>
      </c>
      <c r="AO5674" s="12" t="s">
        <v>11723</v>
      </c>
      <c r="AP5674" s="399"/>
      <c r="AQ5674" s="400"/>
      <c r="AR5674" s="399"/>
      <c r="AS5674" s="399"/>
      <c r="AT5674" s="399"/>
      <c r="AX5674" s="402"/>
    </row>
    <row r="5675" spans="1:50" s="12" customFormat="1" x14ac:dyDescent="0.3">
      <c r="A5675" s="386" t="s">
        <v>8325</v>
      </c>
      <c r="B5675" s="14" t="s">
        <v>8326</v>
      </c>
      <c r="C5675" s="14" t="s">
        <v>11807</v>
      </c>
      <c r="D5675" s="12" t="s">
        <v>11808</v>
      </c>
      <c r="E5675" s="14" t="s">
        <v>12017</v>
      </c>
      <c r="F5675" s="12" t="s">
        <v>11990</v>
      </c>
      <c r="G5675" s="14" t="s">
        <v>12239</v>
      </c>
      <c r="H5675" s="12" t="s">
        <v>12195</v>
      </c>
      <c r="K5675" s="14" t="s">
        <v>12240</v>
      </c>
      <c r="L5675" s="12" t="s">
        <v>12197</v>
      </c>
      <c r="M5675" s="14" t="s">
        <v>12316</v>
      </c>
      <c r="N5675" s="14"/>
      <c r="O5675" s="14"/>
      <c r="P5675" s="12">
        <v>50</v>
      </c>
      <c r="Q5675" s="12">
        <v>50</v>
      </c>
      <c r="R5675" s="12">
        <v>35</v>
      </c>
      <c r="S5675" s="12">
        <v>35</v>
      </c>
      <c r="T5675" s="14" t="s">
        <v>11722</v>
      </c>
      <c r="U5675" t="s">
        <v>11723</v>
      </c>
      <c r="V5675" s="14" t="s">
        <v>12317</v>
      </c>
      <c r="W5675" s="388">
        <v>1</v>
      </c>
      <c r="X5675" s="388">
        <v>0</v>
      </c>
      <c r="Y5675" s="388">
        <v>0</v>
      </c>
      <c r="Z5675" s="388">
        <v>1</v>
      </c>
      <c r="AA5675" s="388">
        <v>0</v>
      </c>
      <c r="AB5675" s="388">
        <v>0</v>
      </c>
      <c r="AC5675" s="150">
        <v>1</v>
      </c>
      <c r="AD5675" s="150">
        <v>1</v>
      </c>
      <c r="AE5675" s="49">
        <f t="shared" si="205"/>
        <v>0.5</v>
      </c>
      <c r="AF5675" s="397"/>
      <c r="AG5675" s="17">
        <v>0</v>
      </c>
      <c r="AH5675" s="397">
        <v>0</v>
      </c>
      <c r="AI5675" s="397">
        <v>0.09</v>
      </c>
      <c r="AJ5675" s="397">
        <v>9.4500000000000001E-2</v>
      </c>
      <c r="AK5675" s="398">
        <v>9.4500000000000001E-2</v>
      </c>
      <c r="AL5675" s="398">
        <v>9.4500000000000001E-2</v>
      </c>
      <c r="AM5675" s="17">
        <f t="shared" si="204"/>
        <v>0.189</v>
      </c>
      <c r="AN5675" s="14" t="s">
        <v>11722</v>
      </c>
      <c r="AO5675" s="12" t="s">
        <v>11723</v>
      </c>
      <c r="AP5675" s="399"/>
      <c r="AQ5675" s="399"/>
      <c r="AR5675" s="399"/>
      <c r="AS5675" s="399"/>
      <c r="AT5675" s="399"/>
      <c r="AX5675" s="402"/>
    </row>
    <row r="5676" spans="1:50" s="12" customFormat="1" x14ac:dyDescent="0.3">
      <c r="A5676" s="386" t="s">
        <v>8325</v>
      </c>
      <c r="B5676" s="14" t="s">
        <v>8326</v>
      </c>
      <c r="C5676" s="14" t="s">
        <v>11714</v>
      </c>
      <c r="D5676" s="12" t="s">
        <v>6838</v>
      </c>
      <c r="E5676" s="14" t="s">
        <v>11989</v>
      </c>
      <c r="F5676" s="12" t="s">
        <v>11990</v>
      </c>
      <c r="G5676" s="14" t="s">
        <v>12194</v>
      </c>
      <c r="H5676" s="12" t="s">
        <v>12195</v>
      </c>
      <c r="K5676" s="14" t="s">
        <v>12196</v>
      </c>
      <c r="L5676" s="12" t="s">
        <v>12197</v>
      </c>
      <c r="M5676" s="14" t="s">
        <v>12318</v>
      </c>
      <c r="N5676" s="14">
        <v>24</v>
      </c>
      <c r="O5676" s="14">
        <v>24</v>
      </c>
      <c r="P5676" s="12">
        <v>24</v>
      </c>
      <c r="Q5676" s="12">
        <v>24</v>
      </c>
      <c r="R5676" s="12">
        <v>24</v>
      </c>
      <c r="S5676" s="12">
        <v>24</v>
      </c>
      <c r="T5676" s="14" t="s">
        <v>11722</v>
      </c>
      <c r="U5676" t="s">
        <v>11723</v>
      </c>
      <c r="V5676" s="14" t="s">
        <v>12319</v>
      </c>
      <c r="W5676" s="388">
        <v>1</v>
      </c>
      <c r="X5676" s="388">
        <v>0</v>
      </c>
      <c r="Y5676" s="388">
        <v>0</v>
      </c>
      <c r="Z5676" s="388">
        <v>1</v>
      </c>
      <c r="AA5676" s="388">
        <v>1</v>
      </c>
      <c r="AB5676" s="388">
        <v>0</v>
      </c>
      <c r="AC5676" s="150">
        <v>1</v>
      </c>
      <c r="AD5676" s="150">
        <v>1</v>
      </c>
      <c r="AE5676" s="49">
        <f t="shared" si="205"/>
        <v>0.625</v>
      </c>
      <c r="AF5676" s="397"/>
      <c r="AG5676" s="17">
        <v>0</v>
      </c>
      <c r="AH5676" s="397">
        <v>0</v>
      </c>
      <c r="AI5676" s="397">
        <v>9.6000000000000002E-2</v>
      </c>
      <c r="AJ5676" s="397">
        <v>0.10584</v>
      </c>
      <c r="AK5676" s="398">
        <v>0.191</v>
      </c>
      <c r="AL5676" s="398">
        <v>0.191</v>
      </c>
      <c r="AM5676" s="17">
        <f t="shared" si="204"/>
        <v>0.38200000000000001</v>
      </c>
      <c r="AN5676" s="14" t="s">
        <v>11722</v>
      </c>
      <c r="AO5676" s="12" t="s">
        <v>11723</v>
      </c>
      <c r="AP5676" s="399"/>
      <c r="AQ5676" s="400"/>
      <c r="AR5676" s="399"/>
      <c r="AS5676" s="399"/>
      <c r="AT5676" s="399"/>
      <c r="AX5676" s="402"/>
    </row>
    <row r="5677" spans="1:50" s="12" customFormat="1" x14ac:dyDescent="0.3">
      <c r="A5677" s="386" t="s">
        <v>8325</v>
      </c>
      <c r="B5677" s="14" t="s">
        <v>8326</v>
      </c>
      <c r="C5677" s="14" t="s">
        <v>11714</v>
      </c>
      <c r="D5677" s="12" t="s">
        <v>6838</v>
      </c>
      <c r="E5677" s="14" t="s">
        <v>11989</v>
      </c>
      <c r="F5677" s="12" t="s">
        <v>11990</v>
      </c>
      <c r="G5677" s="14" t="s">
        <v>12194</v>
      </c>
      <c r="H5677" s="12" t="s">
        <v>12195</v>
      </c>
      <c r="K5677" s="14" t="s">
        <v>12196</v>
      </c>
      <c r="L5677" s="12" t="s">
        <v>12197</v>
      </c>
      <c r="M5677" s="14" t="s">
        <v>12320</v>
      </c>
      <c r="N5677" s="14"/>
      <c r="O5677" s="14"/>
      <c r="P5677" s="12">
        <v>4</v>
      </c>
      <c r="Q5677" s="12">
        <v>4</v>
      </c>
      <c r="R5677" s="12">
        <v>4</v>
      </c>
      <c r="S5677" s="12">
        <v>4</v>
      </c>
      <c r="T5677" s="14" t="s">
        <v>11722</v>
      </c>
      <c r="U5677" t="s">
        <v>11723</v>
      </c>
      <c r="V5677" s="14" t="s">
        <v>12321</v>
      </c>
      <c r="W5677" s="388">
        <v>1</v>
      </c>
      <c r="X5677" s="388">
        <v>0</v>
      </c>
      <c r="Y5677" s="388">
        <v>0</v>
      </c>
      <c r="Z5677" s="388">
        <v>1</v>
      </c>
      <c r="AA5677" s="388">
        <v>0</v>
      </c>
      <c r="AB5677" s="388">
        <v>0</v>
      </c>
      <c r="AC5677" s="150">
        <v>1</v>
      </c>
      <c r="AD5677" s="150">
        <v>1</v>
      </c>
      <c r="AE5677" s="49">
        <f t="shared" si="205"/>
        <v>0.5</v>
      </c>
      <c r="AF5677" s="397"/>
      <c r="AG5677" s="17">
        <v>0</v>
      </c>
      <c r="AH5677" s="397">
        <v>0</v>
      </c>
      <c r="AI5677" s="397">
        <v>0.12</v>
      </c>
      <c r="AJ5677" s="397">
        <v>0.1323</v>
      </c>
      <c r="AK5677" s="398">
        <v>0</v>
      </c>
      <c r="AL5677" s="398">
        <v>0</v>
      </c>
      <c r="AM5677" s="17">
        <f t="shared" si="204"/>
        <v>0</v>
      </c>
      <c r="AN5677" s="14" t="s">
        <v>11722</v>
      </c>
      <c r="AO5677" s="12" t="s">
        <v>11723</v>
      </c>
      <c r="AP5677" s="399"/>
      <c r="AQ5677" s="400"/>
      <c r="AR5677" s="399"/>
      <c r="AS5677" s="399"/>
      <c r="AT5677" s="399"/>
      <c r="AX5677" s="402"/>
    </row>
    <row r="5678" spans="1:50" s="12" customFormat="1" x14ac:dyDescent="0.3">
      <c r="A5678" s="386" t="s">
        <v>8325</v>
      </c>
      <c r="B5678" s="14" t="s">
        <v>8326</v>
      </c>
      <c r="C5678" s="14" t="s">
        <v>11714</v>
      </c>
      <c r="D5678" s="12" t="s">
        <v>6838</v>
      </c>
      <c r="E5678" s="14" t="s">
        <v>11989</v>
      </c>
      <c r="F5678" s="12" t="s">
        <v>11990</v>
      </c>
      <c r="G5678" s="14" t="s">
        <v>12194</v>
      </c>
      <c r="H5678" s="12" t="s">
        <v>12195</v>
      </c>
      <c r="K5678" s="14" t="s">
        <v>12196</v>
      </c>
      <c r="L5678" s="12" t="s">
        <v>12197</v>
      </c>
      <c r="M5678" s="14" t="s">
        <v>12322</v>
      </c>
      <c r="N5678" s="14"/>
      <c r="O5678" s="14"/>
      <c r="P5678" s="12">
        <v>1</v>
      </c>
      <c r="Q5678" s="12">
        <v>1</v>
      </c>
      <c r="R5678" s="12">
        <v>1</v>
      </c>
      <c r="S5678" s="12">
        <v>1</v>
      </c>
      <c r="T5678" s="14" t="s">
        <v>11722</v>
      </c>
      <c r="U5678" t="s">
        <v>11723</v>
      </c>
      <c r="V5678" s="14" t="s">
        <v>12323</v>
      </c>
      <c r="W5678" s="388">
        <v>1</v>
      </c>
      <c r="X5678" s="388">
        <v>0</v>
      </c>
      <c r="Y5678" s="388">
        <v>0</v>
      </c>
      <c r="Z5678" s="388">
        <v>1</v>
      </c>
      <c r="AA5678" s="388">
        <v>1</v>
      </c>
      <c r="AB5678" s="388">
        <v>0</v>
      </c>
      <c r="AC5678" s="150">
        <v>1</v>
      </c>
      <c r="AD5678" s="150">
        <v>1</v>
      </c>
      <c r="AE5678" s="49">
        <f t="shared" si="205"/>
        <v>0.625</v>
      </c>
      <c r="AF5678" s="397"/>
      <c r="AG5678" s="17">
        <v>0</v>
      </c>
      <c r="AH5678" s="397">
        <v>0</v>
      </c>
      <c r="AI5678" s="397">
        <v>0.192</v>
      </c>
      <c r="AJ5678" s="397">
        <v>0.21168000000000001</v>
      </c>
      <c r="AK5678" s="398">
        <v>0</v>
      </c>
      <c r="AL5678" s="398">
        <v>0</v>
      </c>
      <c r="AM5678" s="17">
        <f t="shared" si="204"/>
        <v>0</v>
      </c>
      <c r="AN5678" s="14" t="s">
        <v>11722</v>
      </c>
      <c r="AO5678" s="12" t="s">
        <v>11723</v>
      </c>
      <c r="AP5678" s="399"/>
      <c r="AQ5678" s="400"/>
      <c r="AR5678" s="399"/>
      <c r="AS5678" s="399"/>
      <c r="AT5678" s="399"/>
      <c r="AX5678" s="402"/>
    </row>
    <row r="5679" spans="1:50" s="12" customFormat="1" x14ac:dyDescent="0.3">
      <c r="A5679" s="386" t="s">
        <v>8325</v>
      </c>
      <c r="B5679" s="14" t="s">
        <v>8326</v>
      </c>
      <c r="C5679" s="14" t="s">
        <v>11714</v>
      </c>
      <c r="D5679" s="12" t="s">
        <v>6838</v>
      </c>
      <c r="E5679" s="14" t="s">
        <v>11989</v>
      </c>
      <c r="F5679" s="12" t="s">
        <v>11990</v>
      </c>
      <c r="G5679" s="14" t="s">
        <v>12194</v>
      </c>
      <c r="H5679" s="12" t="s">
        <v>12195</v>
      </c>
      <c r="K5679" s="14" t="s">
        <v>12196</v>
      </c>
      <c r="L5679" s="12" t="s">
        <v>12197</v>
      </c>
      <c r="M5679" s="14" t="s">
        <v>12324</v>
      </c>
      <c r="N5679" s="14"/>
      <c r="O5679" s="14"/>
      <c r="P5679" s="12">
        <v>1</v>
      </c>
      <c r="Q5679" s="12">
        <v>1</v>
      </c>
      <c r="R5679" s="12">
        <v>1</v>
      </c>
      <c r="S5679" s="12">
        <v>1</v>
      </c>
      <c r="T5679" s="14" t="s">
        <v>11722</v>
      </c>
      <c r="U5679" t="s">
        <v>11723</v>
      </c>
      <c r="V5679" s="14" t="s">
        <v>12325</v>
      </c>
      <c r="W5679" s="388">
        <v>1</v>
      </c>
      <c r="X5679" s="388">
        <v>0</v>
      </c>
      <c r="Y5679" s="388">
        <v>0</v>
      </c>
      <c r="Z5679" s="388">
        <v>1</v>
      </c>
      <c r="AA5679" s="388">
        <v>1</v>
      </c>
      <c r="AB5679" s="388">
        <v>0</v>
      </c>
      <c r="AC5679" s="150">
        <v>1</v>
      </c>
      <c r="AD5679" s="150">
        <v>1</v>
      </c>
      <c r="AE5679" s="49">
        <f t="shared" si="205"/>
        <v>0.625</v>
      </c>
      <c r="AF5679" s="397"/>
      <c r="AG5679" s="17">
        <v>0</v>
      </c>
      <c r="AH5679" s="397">
        <v>0</v>
      </c>
      <c r="AI5679" s="397">
        <v>0.192</v>
      </c>
      <c r="AJ5679" s="397">
        <v>0.21168000000000001</v>
      </c>
      <c r="AK5679" s="398">
        <v>0.01</v>
      </c>
      <c r="AL5679" s="398">
        <v>0.01</v>
      </c>
      <c r="AM5679" s="17">
        <f t="shared" si="204"/>
        <v>0.02</v>
      </c>
      <c r="AN5679" s="14" t="s">
        <v>11722</v>
      </c>
      <c r="AO5679" s="12" t="s">
        <v>11723</v>
      </c>
      <c r="AP5679" s="399"/>
      <c r="AQ5679" s="400"/>
      <c r="AR5679" s="399"/>
      <c r="AS5679" s="399"/>
      <c r="AT5679" s="399"/>
      <c r="AX5679" s="402"/>
    </row>
    <row r="5680" spans="1:50" s="12" customFormat="1" x14ac:dyDescent="0.3">
      <c r="A5680" s="386" t="s">
        <v>8325</v>
      </c>
      <c r="B5680" s="14" t="s">
        <v>8326</v>
      </c>
      <c r="C5680" s="14" t="s">
        <v>11714</v>
      </c>
      <c r="D5680" s="12" t="s">
        <v>6838</v>
      </c>
      <c r="E5680" s="14" t="s">
        <v>11989</v>
      </c>
      <c r="F5680" s="12" t="s">
        <v>11990</v>
      </c>
      <c r="G5680" s="14" t="s">
        <v>12194</v>
      </c>
      <c r="H5680" s="12" t="s">
        <v>12195</v>
      </c>
      <c r="K5680" s="14" t="s">
        <v>12196</v>
      </c>
      <c r="L5680" s="12" t="s">
        <v>12197</v>
      </c>
      <c r="M5680" s="14" t="s">
        <v>12326</v>
      </c>
      <c r="N5680" s="14"/>
      <c r="O5680" s="14"/>
      <c r="P5680" s="12">
        <v>1</v>
      </c>
      <c r="T5680" s="14" t="s">
        <v>11722</v>
      </c>
      <c r="U5680" t="s">
        <v>11723</v>
      </c>
      <c r="V5680" s="14" t="s">
        <v>12327</v>
      </c>
      <c r="W5680" s="388">
        <v>1</v>
      </c>
      <c r="X5680" s="388">
        <v>0</v>
      </c>
      <c r="Y5680" s="388">
        <v>0</v>
      </c>
      <c r="Z5680" s="388">
        <v>1</v>
      </c>
      <c r="AA5680" s="388">
        <v>0</v>
      </c>
      <c r="AB5680" s="388">
        <v>0</v>
      </c>
      <c r="AC5680" s="150">
        <v>1</v>
      </c>
      <c r="AD5680" s="150">
        <v>1</v>
      </c>
      <c r="AE5680" s="49">
        <f t="shared" si="205"/>
        <v>0.5</v>
      </c>
      <c r="AF5680" s="397"/>
      <c r="AG5680" s="17">
        <v>0</v>
      </c>
      <c r="AH5680" s="397">
        <v>0</v>
      </c>
      <c r="AI5680" s="397">
        <v>9.4E-2</v>
      </c>
      <c r="AJ5680" s="397">
        <v>0</v>
      </c>
      <c r="AK5680" s="398">
        <v>0</v>
      </c>
      <c r="AL5680" s="398">
        <v>0</v>
      </c>
      <c r="AM5680" s="17">
        <f t="shared" si="204"/>
        <v>0</v>
      </c>
      <c r="AN5680" s="14" t="s">
        <v>11722</v>
      </c>
      <c r="AO5680" s="12" t="s">
        <v>11723</v>
      </c>
      <c r="AP5680" s="399"/>
      <c r="AQ5680" s="400"/>
      <c r="AR5680" s="399"/>
      <c r="AS5680" s="399"/>
      <c r="AT5680" s="399"/>
      <c r="AX5680" s="402"/>
    </row>
    <row r="5681" spans="1:50" s="12" customFormat="1" x14ac:dyDescent="0.3">
      <c r="A5681" s="386" t="s">
        <v>8325</v>
      </c>
      <c r="B5681" s="14" t="s">
        <v>8326</v>
      </c>
      <c r="C5681" s="14" t="s">
        <v>11714</v>
      </c>
      <c r="D5681" s="12" t="s">
        <v>6838</v>
      </c>
      <c r="E5681" s="14" t="s">
        <v>11989</v>
      </c>
      <c r="F5681" s="12" t="s">
        <v>11990</v>
      </c>
      <c r="G5681" s="14" t="s">
        <v>12194</v>
      </c>
      <c r="H5681" s="12" t="s">
        <v>12195</v>
      </c>
      <c r="K5681" s="14" t="s">
        <v>12196</v>
      </c>
      <c r="L5681" s="12" t="s">
        <v>12197</v>
      </c>
      <c r="M5681" s="14" t="s">
        <v>12328</v>
      </c>
      <c r="N5681" s="14">
        <v>1</v>
      </c>
      <c r="O5681" s="14"/>
      <c r="P5681" s="12">
        <v>4</v>
      </c>
      <c r="Q5681" s="12">
        <v>4</v>
      </c>
      <c r="R5681" s="12">
        <v>2</v>
      </c>
      <c r="S5681" s="12">
        <v>2</v>
      </c>
      <c r="T5681" s="14" t="s">
        <v>11722</v>
      </c>
      <c r="U5681" t="s">
        <v>11723</v>
      </c>
      <c r="V5681" s="14" t="s">
        <v>12329</v>
      </c>
      <c r="W5681" s="388">
        <v>1</v>
      </c>
      <c r="X5681" s="388">
        <v>0</v>
      </c>
      <c r="Y5681" s="388">
        <v>0</v>
      </c>
      <c r="Z5681" s="388">
        <v>1</v>
      </c>
      <c r="AA5681" s="388">
        <v>0</v>
      </c>
      <c r="AB5681" s="388">
        <v>0</v>
      </c>
      <c r="AC5681" s="150">
        <v>1</v>
      </c>
      <c r="AD5681" s="150">
        <v>1</v>
      </c>
      <c r="AE5681" s="49">
        <f t="shared" si="205"/>
        <v>0.5</v>
      </c>
      <c r="AF5681" s="397"/>
      <c r="AG5681" s="17">
        <v>0</v>
      </c>
      <c r="AH5681" s="397">
        <v>0</v>
      </c>
      <c r="AI5681" s="397">
        <v>0.34439999999999998</v>
      </c>
      <c r="AJ5681" s="397">
        <v>0.36162</v>
      </c>
      <c r="AK5681" s="398">
        <v>0.08</v>
      </c>
      <c r="AL5681" s="398">
        <v>0.08</v>
      </c>
      <c r="AM5681" s="17">
        <f t="shared" si="204"/>
        <v>0.16</v>
      </c>
      <c r="AN5681" s="14" t="s">
        <v>11722</v>
      </c>
      <c r="AO5681" s="12" t="s">
        <v>11723</v>
      </c>
      <c r="AP5681" s="399"/>
      <c r="AQ5681" s="400"/>
      <c r="AR5681" s="399"/>
      <c r="AS5681" s="399"/>
      <c r="AT5681" s="399"/>
      <c r="AX5681" s="402"/>
    </row>
    <row r="5682" spans="1:50" s="12" customFormat="1" x14ac:dyDescent="0.3">
      <c r="A5682" s="386" t="s">
        <v>8325</v>
      </c>
      <c r="B5682" s="14" t="s">
        <v>8326</v>
      </c>
      <c r="C5682" s="14" t="s">
        <v>11714</v>
      </c>
      <c r="D5682" s="12" t="s">
        <v>6838</v>
      </c>
      <c r="E5682" s="14" t="s">
        <v>11989</v>
      </c>
      <c r="F5682" s="12" t="s">
        <v>11990</v>
      </c>
      <c r="G5682" s="14" t="s">
        <v>12194</v>
      </c>
      <c r="H5682" s="12" t="s">
        <v>12195</v>
      </c>
      <c r="K5682" s="14" t="s">
        <v>12196</v>
      </c>
      <c r="L5682" s="12" t="s">
        <v>12197</v>
      </c>
      <c r="M5682" s="14" t="s">
        <v>12330</v>
      </c>
      <c r="N5682" s="14"/>
      <c r="O5682" s="14"/>
      <c r="P5682" s="12">
        <v>4</v>
      </c>
      <c r="Q5682" s="12">
        <v>4</v>
      </c>
      <c r="R5682" s="12">
        <v>2</v>
      </c>
      <c r="S5682" s="12">
        <v>2</v>
      </c>
      <c r="T5682" s="14" t="s">
        <v>11722</v>
      </c>
      <c r="U5682" t="s">
        <v>11723</v>
      </c>
      <c r="V5682" s="14" t="s">
        <v>12331</v>
      </c>
      <c r="W5682" s="388">
        <v>1</v>
      </c>
      <c r="X5682" s="388">
        <v>0</v>
      </c>
      <c r="Y5682" s="388">
        <v>0</v>
      </c>
      <c r="Z5682" s="388">
        <v>1</v>
      </c>
      <c r="AA5682" s="388">
        <v>0</v>
      </c>
      <c r="AB5682" s="388">
        <v>0</v>
      </c>
      <c r="AC5682" s="150">
        <v>1</v>
      </c>
      <c r="AD5682" s="150">
        <v>1</v>
      </c>
      <c r="AE5682" s="49">
        <f t="shared" si="205"/>
        <v>0.5</v>
      </c>
      <c r="AF5682" s="397"/>
      <c r="AG5682" s="17">
        <v>0</v>
      </c>
      <c r="AH5682" s="397">
        <v>0</v>
      </c>
      <c r="AI5682" s="397">
        <v>0.34960000000000002</v>
      </c>
      <c r="AJ5682" s="397">
        <v>0.36708000000000002</v>
      </c>
      <c r="AK5682" s="398">
        <v>0</v>
      </c>
      <c r="AL5682" s="398">
        <v>0</v>
      </c>
      <c r="AM5682" s="17">
        <f t="shared" si="204"/>
        <v>0</v>
      </c>
      <c r="AN5682" s="14" t="s">
        <v>11722</v>
      </c>
      <c r="AO5682" s="12" t="s">
        <v>11723</v>
      </c>
      <c r="AP5682" s="399"/>
      <c r="AQ5682" s="400"/>
      <c r="AR5682" s="399"/>
      <c r="AS5682" s="399"/>
      <c r="AT5682" s="399"/>
      <c r="AX5682" s="402"/>
    </row>
    <row r="5683" spans="1:50" s="12" customFormat="1" x14ac:dyDescent="0.3">
      <c r="A5683" s="386" t="s">
        <v>8325</v>
      </c>
      <c r="B5683" s="14" t="s">
        <v>8326</v>
      </c>
      <c r="C5683" s="14" t="s">
        <v>11714</v>
      </c>
      <c r="D5683" s="12" t="s">
        <v>6838</v>
      </c>
      <c r="E5683" s="14" t="s">
        <v>11989</v>
      </c>
      <c r="F5683" s="12" t="s">
        <v>11990</v>
      </c>
      <c r="G5683" s="14" t="s">
        <v>12194</v>
      </c>
      <c r="H5683" s="12" t="s">
        <v>12195</v>
      </c>
      <c r="K5683" s="14" t="s">
        <v>12196</v>
      </c>
      <c r="L5683" s="12" t="s">
        <v>12197</v>
      </c>
      <c r="M5683" s="14" t="s">
        <v>12332</v>
      </c>
      <c r="N5683" s="14"/>
      <c r="O5683" s="14"/>
      <c r="P5683" s="12">
        <v>24</v>
      </c>
      <c r="Q5683" s="12">
        <v>24</v>
      </c>
      <c r="R5683" s="12">
        <v>24</v>
      </c>
      <c r="S5683" s="12">
        <v>24</v>
      </c>
      <c r="T5683" s="14" t="s">
        <v>11722</v>
      </c>
      <c r="U5683" t="s">
        <v>11723</v>
      </c>
      <c r="V5683" s="14" t="s">
        <v>12333</v>
      </c>
      <c r="W5683" s="388">
        <v>1</v>
      </c>
      <c r="X5683" s="388">
        <v>0</v>
      </c>
      <c r="Y5683" s="388">
        <v>0</v>
      </c>
      <c r="Z5683" s="388">
        <v>1</v>
      </c>
      <c r="AA5683" s="388">
        <v>0</v>
      </c>
      <c r="AB5683" s="388">
        <v>0</v>
      </c>
      <c r="AC5683" s="150">
        <v>1</v>
      </c>
      <c r="AD5683" s="150">
        <v>1</v>
      </c>
      <c r="AE5683" s="49">
        <f t="shared" si="205"/>
        <v>0.5</v>
      </c>
      <c r="AF5683" s="397"/>
      <c r="AG5683" s="17">
        <v>0</v>
      </c>
      <c r="AH5683" s="397">
        <v>0</v>
      </c>
      <c r="AI5683" s="397">
        <v>0.2024</v>
      </c>
      <c r="AJ5683" s="397">
        <v>0.22314600000000001</v>
      </c>
      <c r="AK5683" s="398">
        <v>0</v>
      </c>
      <c r="AL5683" s="398">
        <v>0</v>
      </c>
      <c r="AM5683" s="17">
        <f t="shared" si="204"/>
        <v>0</v>
      </c>
      <c r="AN5683" s="14" t="s">
        <v>11722</v>
      </c>
      <c r="AO5683" s="12" t="s">
        <v>11723</v>
      </c>
      <c r="AP5683" s="399"/>
      <c r="AQ5683" s="400"/>
      <c r="AR5683" s="399"/>
      <c r="AS5683" s="399"/>
      <c r="AT5683" s="399"/>
      <c r="AX5683" s="402"/>
    </row>
    <row r="5684" spans="1:50" s="12" customFormat="1" x14ac:dyDescent="0.3">
      <c r="A5684" s="386" t="s">
        <v>8325</v>
      </c>
      <c r="B5684" s="14" t="s">
        <v>8326</v>
      </c>
      <c r="C5684" s="14" t="s">
        <v>11714</v>
      </c>
      <c r="D5684" s="12" t="s">
        <v>6838</v>
      </c>
      <c r="E5684" s="14" t="s">
        <v>11989</v>
      </c>
      <c r="F5684" s="12" t="s">
        <v>11990</v>
      </c>
      <c r="G5684" s="14" t="s">
        <v>12194</v>
      </c>
      <c r="H5684" s="12" t="s">
        <v>12195</v>
      </c>
      <c r="K5684" s="14" t="s">
        <v>12196</v>
      </c>
      <c r="L5684" s="12" t="s">
        <v>12197</v>
      </c>
      <c r="M5684" s="14" t="s">
        <v>12334</v>
      </c>
      <c r="N5684" s="14"/>
      <c r="O5684" s="14"/>
      <c r="P5684" s="12">
        <v>1</v>
      </c>
      <c r="Q5684" s="12">
        <v>1</v>
      </c>
      <c r="R5684" s="12">
        <v>1</v>
      </c>
      <c r="S5684" s="12">
        <v>1</v>
      </c>
      <c r="T5684" s="14" t="s">
        <v>11722</v>
      </c>
      <c r="U5684" t="s">
        <v>11723</v>
      </c>
      <c r="V5684" s="14" t="s">
        <v>12335</v>
      </c>
      <c r="W5684" s="388">
        <v>1</v>
      </c>
      <c r="X5684" s="388">
        <v>0</v>
      </c>
      <c r="Y5684" s="388">
        <v>0</v>
      </c>
      <c r="Z5684" s="388">
        <v>1</v>
      </c>
      <c r="AA5684" s="388">
        <v>0</v>
      </c>
      <c r="AB5684" s="388">
        <v>0</v>
      </c>
      <c r="AC5684" s="150">
        <v>1</v>
      </c>
      <c r="AD5684" s="150">
        <v>1</v>
      </c>
      <c r="AE5684" s="49">
        <f t="shared" si="205"/>
        <v>0.5</v>
      </c>
      <c r="AF5684" s="397"/>
      <c r="AG5684" s="17">
        <v>0</v>
      </c>
      <c r="AH5684" s="397">
        <v>0</v>
      </c>
      <c r="AI5684" s="397">
        <v>9.0999999999999998E-2</v>
      </c>
      <c r="AJ5684" s="397">
        <v>9.5549999999999996E-2</v>
      </c>
      <c r="AK5684" s="398">
        <v>0</v>
      </c>
      <c r="AL5684" s="398">
        <v>0</v>
      </c>
      <c r="AM5684" s="17">
        <f t="shared" si="204"/>
        <v>0</v>
      </c>
      <c r="AN5684" s="14" t="s">
        <v>11722</v>
      </c>
      <c r="AO5684" s="12" t="s">
        <v>11723</v>
      </c>
      <c r="AP5684" s="399"/>
      <c r="AQ5684" s="400"/>
      <c r="AR5684" s="399"/>
      <c r="AS5684" s="399"/>
      <c r="AT5684" s="399"/>
      <c r="AX5684" s="402"/>
    </row>
    <row r="5685" spans="1:50" s="12" customFormat="1" x14ac:dyDescent="0.3">
      <c r="A5685" s="386" t="s">
        <v>8325</v>
      </c>
      <c r="B5685" s="14" t="s">
        <v>8326</v>
      </c>
      <c r="C5685" s="14" t="s">
        <v>11714</v>
      </c>
      <c r="D5685" s="12" t="s">
        <v>6838</v>
      </c>
      <c r="E5685" s="14" t="s">
        <v>11989</v>
      </c>
      <c r="F5685" s="12" t="s">
        <v>11990</v>
      </c>
      <c r="G5685" s="14" t="s">
        <v>12194</v>
      </c>
      <c r="H5685" s="12" t="s">
        <v>12195</v>
      </c>
      <c r="K5685" s="14" t="s">
        <v>12196</v>
      </c>
      <c r="L5685" s="12" t="s">
        <v>12197</v>
      </c>
      <c r="M5685" s="14" t="s">
        <v>12336</v>
      </c>
      <c r="N5685" s="14"/>
      <c r="O5685" s="14"/>
      <c r="P5685" s="12">
        <v>1</v>
      </c>
      <c r="Q5685" s="12">
        <v>1</v>
      </c>
      <c r="R5685" s="12">
        <v>1</v>
      </c>
      <c r="S5685" s="12">
        <v>1</v>
      </c>
      <c r="T5685" s="14" t="s">
        <v>11722</v>
      </c>
      <c r="U5685" t="s">
        <v>11723</v>
      </c>
      <c r="V5685" s="14" t="s">
        <v>12337</v>
      </c>
      <c r="W5685" s="388">
        <v>1</v>
      </c>
      <c r="X5685" s="388">
        <v>0</v>
      </c>
      <c r="Y5685" s="388">
        <v>0</v>
      </c>
      <c r="Z5685" s="388">
        <v>1</v>
      </c>
      <c r="AA5685" s="388">
        <v>0</v>
      </c>
      <c r="AB5685" s="388">
        <v>0</v>
      </c>
      <c r="AC5685" s="150">
        <v>1</v>
      </c>
      <c r="AD5685" s="150">
        <v>1</v>
      </c>
      <c r="AE5685" s="49">
        <f t="shared" si="205"/>
        <v>0.5</v>
      </c>
      <c r="AF5685" s="397"/>
      <c r="AG5685" s="17">
        <v>0</v>
      </c>
      <c r="AH5685" s="397">
        <v>0</v>
      </c>
      <c r="AI5685" s="397">
        <v>4.4999999999999998E-2</v>
      </c>
      <c r="AJ5685" s="397">
        <v>4.9612499999999997E-2</v>
      </c>
      <c r="AK5685" s="398">
        <v>0</v>
      </c>
      <c r="AL5685" s="398">
        <v>0</v>
      </c>
      <c r="AM5685" s="17">
        <f t="shared" si="204"/>
        <v>0</v>
      </c>
      <c r="AN5685" s="14" t="s">
        <v>11722</v>
      </c>
      <c r="AO5685" s="12" t="s">
        <v>11723</v>
      </c>
      <c r="AP5685" s="399"/>
      <c r="AQ5685" s="400"/>
      <c r="AR5685" s="399"/>
      <c r="AS5685" s="399"/>
      <c r="AT5685" s="399"/>
      <c r="AX5685" s="402"/>
    </row>
    <row r="5686" spans="1:50" s="12" customFormat="1" x14ac:dyDescent="0.3">
      <c r="A5686" s="386" t="s">
        <v>8325</v>
      </c>
      <c r="B5686" s="14" t="s">
        <v>8326</v>
      </c>
      <c r="C5686" s="14" t="s">
        <v>11714</v>
      </c>
      <c r="D5686" s="12" t="s">
        <v>6838</v>
      </c>
      <c r="E5686" s="14" t="s">
        <v>11989</v>
      </c>
      <c r="F5686" s="12" t="s">
        <v>11990</v>
      </c>
      <c r="G5686" s="14" t="s">
        <v>12194</v>
      </c>
      <c r="H5686" s="12" t="s">
        <v>12195</v>
      </c>
      <c r="K5686" s="14" t="s">
        <v>12196</v>
      </c>
      <c r="L5686" s="12" t="s">
        <v>12197</v>
      </c>
      <c r="M5686" s="14" t="s">
        <v>12338</v>
      </c>
      <c r="N5686" s="14"/>
      <c r="O5686" s="14"/>
      <c r="P5686" s="12">
        <v>1</v>
      </c>
      <c r="Q5686" s="12">
        <v>1</v>
      </c>
      <c r="R5686" s="12">
        <v>1</v>
      </c>
      <c r="S5686" s="12">
        <v>1</v>
      </c>
      <c r="T5686" s="14" t="s">
        <v>11722</v>
      </c>
      <c r="U5686" t="s">
        <v>11723</v>
      </c>
      <c r="V5686" s="14" t="s">
        <v>12339</v>
      </c>
      <c r="W5686" s="388">
        <v>1</v>
      </c>
      <c r="X5686" s="388">
        <v>0</v>
      </c>
      <c r="Y5686" s="388">
        <v>0</v>
      </c>
      <c r="Z5686" s="388">
        <v>1</v>
      </c>
      <c r="AA5686" s="388">
        <v>0</v>
      </c>
      <c r="AB5686" s="388">
        <v>0</v>
      </c>
      <c r="AC5686" s="150">
        <v>1</v>
      </c>
      <c r="AD5686" s="150">
        <v>1</v>
      </c>
      <c r="AE5686" s="49">
        <f t="shared" si="205"/>
        <v>0.5</v>
      </c>
      <c r="AF5686" s="397"/>
      <c r="AG5686" s="17">
        <v>0</v>
      </c>
      <c r="AH5686" s="397">
        <v>0</v>
      </c>
      <c r="AI5686" s="397">
        <v>2.8000000000000001E-2</v>
      </c>
      <c r="AJ5686" s="397">
        <v>2.9399999999999999E-2</v>
      </c>
      <c r="AK5686" s="398">
        <v>0</v>
      </c>
      <c r="AL5686" s="398">
        <v>0</v>
      </c>
      <c r="AM5686" s="17">
        <f t="shared" si="204"/>
        <v>0</v>
      </c>
      <c r="AN5686" s="14" t="s">
        <v>11722</v>
      </c>
      <c r="AO5686" s="12" t="s">
        <v>11723</v>
      </c>
      <c r="AP5686" s="399"/>
      <c r="AQ5686" s="400"/>
      <c r="AR5686" s="399"/>
      <c r="AS5686" s="399"/>
      <c r="AT5686" s="399"/>
      <c r="AX5686" s="402"/>
    </row>
    <row r="5687" spans="1:50" s="12" customFormat="1" x14ac:dyDescent="0.3">
      <c r="A5687" s="386" t="s">
        <v>8325</v>
      </c>
      <c r="B5687" s="14" t="s">
        <v>8326</v>
      </c>
      <c r="C5687" s="14" t="s">
        <v>11714</v>
      </c>
      <c r="D5687" s="12" t="s">
        <v>6838</v>
      </c>
      <c r="E5687" s="14" t="s">
        <v>11989</v>
      </c>
      <c r="F5687" s="12" t="s">
        <v>11990</v>
      </c>
      <c r="G5687" s="14" t="s">
        <v>12194</v>
      </c>
      <c r="H5687" s="12" t="s">
        <v>12195</v>
      </c>
      <c r="K5687" s="14" t="s">
        <v>12196</v>
      </c>
      <c r="L5687" s="12" t="s">
        <v>12197</v>
      </c>
      <c r="M5687" s="14" t="s">
        <v>12340</v>
      </c>
      <c r="N5687" s="14">
        <v>1</v>
      </c>
      <c r="O5687" s="14">
        <v>1</v>
      </c>
      <c r="P5687" s="12">
        <v>1</v>
      </c>
      <c r="Q5687" s="12">
        <v>1</v>
      </c>
      <c r="R5687" s="12">
        <v>1</v>
      </c>
      <c r="S5687" s="12">
        <v>1</v>
      </c>
      <c r="T5687" s="14" t="s">
        <v>11722</v>
      </c>
      <c r="U5687" t="s">
        <v>11723</v>
      </c>
      <c r="V5687" s="14" t="s">
        <v>12341</v>
      </c>
      <c r="W5687" s="388">
        <v>1</v>
      </c>
      <c r="X5687" s="388">
        <v>0</v>
      </c>
      <c r="Y5687" s="388">
        <v>0</v>
      </c>
      <c r="Z5687" s="388">
        <v>1</v>
      </c>
      <c r="AA5687" s="388">
        <v>0</v>
      </c>
      <c r="AB5687" s="388">
        <v>0</v>
      </c>
      <c r="AC5687" s="150">
        <v>1</v>
      </c>
      <c r="AD5687" s="150">
        <v>1</v>
      </c>
      <c r="AE5687" s="49">
        <f t="shared" si="205"/>
        <v>0.5</v>
      </c>
      <c r="AF5687" s="397"/>
      <c r="AG5687" s="17">
        <v>0</v>
      </c>
      <c r="AH5687" s="397">
        <v>0</v>
      </c>
      <c r="AI5687" s="397">
        <v>5.1999999999999998E-2</v>
      </c>
      <c r="AJ5687" s="397">
        <v>5.7329999999999999E-2</v>
      </c>
      <c r="AK5687" s="398">
        <v>0</v>
      </c>
      <c r="AL5687" s="398">
        <v>0</v>
      </c>
      <c r="AM5687" s="17">
        <f t="shared" si="204"/>
        <v>0</v>
      </c>
      <c r="AN5687" s="14" t="s">
        <v>11722</v>
      </c>
      <c r="AO5687" s="12" t="s">
        <v>11723</v>
      </c>
      <c r="AP5687" s="399"/>
      <c r="AQ5687" s="400"/>
      <c r="AR5687" s="399"/>
      <c r="AS5687" s="399"/>
      <c r="AT5687" s="399"/>
      <c r="AX5687" s="402"/>
    </row>
    <row r="5688" spans="1:50" s="12" customFormat="1" x14ac:dyDescent="0.3">
      <c r="A5688" s="386" t="s">
        <v>8325</v>
      </c>
      <c r="B5688" s="14" t="s">
        <v>8326</v>
      </c>
      <c r="C5688" s="14" t="s">
        <v>11714</v>
      </c>
      <c r="D5688" s="12" t="s">
        <v>6838</v>
      </c>
      <c r="E5688" s="14" t="s">
        <v>11989</v>
      </c>
      <c r="F5688" s="12" t="s">
        <v>11990</v>
      </c>
      <c r="G5688" s="14" t="s">
        <v>12194</v>
      </c>
      <c r="H5688" s="12" t="s">
        <v>12195</v>
      </c>
      <c r="K5688" s="14" t="s">
        <v>12196</v>
      </c>
      <c r="L5688" s="12" t="s">
        <v>12197</v>
      </c>
      <c r="M5688" s="14" t="s">
        <v>12342</v>
      </c>
      <c r="N5688" s="14"/>
      <c r="O5688" s="14">
        <v>2</v>
      </c>
      <c r="P5688" s="12">
        <v>2</v>
      </c>
      <c r="Q5688" s="12">
        <v>2</v>
      </c>
      <c r="R5688" s="12">
        <v>2</v>
      </c>
      <c r="S5688" s="12">
        <v>2</v>
      </c>
      <c r="T5688" s="14" t="s">
        <v>11722</v>
      </c>
      <c r="U5688" t="s">
        <v>11723</v>
      </c>
      <c r="V5688" s="14" t="s">
        <v>12343</v>
      </c>
      <c r="W5688" s="388">
        <v>1</v>
      </c>
      <c r="X5688" s="388">
        <v>0</v>
      </c>
      <c r="Y5688" s="388">
        <v>0</v>
      </c>
      <c r="Z5688" s="388">
        <v>1</v>
      </c>
      <c r="AA5688" s="388">
        <v>0</v>
      </c>
      <c r="AB5688" s="388">
        <v>0</v>
      </c>
      <c r="AC5688" s="150">
        <v>1</v>
      </c>
      <c r="AD5688" s="150">
        <v>1</v>
      </c>
      <c r="AE5688" s="49">
        <f t="shared" si="205"/>
        <v>0.5</v>
      </c>
      <c r="AF5688" s="397"/>
      <c r="AG5688" s="17">
        <v>0</v>
      </c>
      <c r="AH5688" s="397">
        <v>0</v>
      </c>
      <c r="AI5688" s="397">
        <v>0.216</v>
      </c>
      <c r="AJ5688" s="397">
        <v>0.23813999999999999</v>
      </c>
      <c r="AK5688" s="398">
        <v>0</v>
      </c>
      <c r="AL5688" s="398">
        <v>0</v>
      </c>
      <c r="AM5688" s="17">
        <f t="shared" ref="AM5688:AM5751" si="206">SUM(AK5688:AL5688)</f>
        <v>0</v>
      </c>
      <c r="AN5688" s="14" t="s">
        <v>11722</v>
      </c>
      <c r="AO5688" s="12" t="s">
        <v>11723</v>
      </c>
      <c r="AP5688" s="399"/>
      <c r="AQ5688" s="400"/>
      <c r="AR5688" s="399"/>
      <c r="AS5688" s="399"/>
      <c r="AT5688" s="399"/>
      <c r="AX5688" s="402"/>
    </row>
    <row r="5689" spans="1:50" s="12" customFormat="1" x14ac:dyDescent="0.3">
      <c r="A5689" s="386" t="s">
        <v>8325</v>
      </c>
      <c r="B5689" s="14" t="s">
        <v>8326</v>
      </c>
      <c r="C5689" s="14" t="s">
        <v>11714</v>
      </c>
      <c r="D5689" s="12" t="s">
        <v>6838</v>
      </c>
      <c r="E5689" s="14" t="s">
        <v>11989</v>
      </c>
      <c r="F5689" s="12" t="s">
        <v>11990</v>
      </c>
      <c r="G5689" s="14" t="s">
        <v>12194</v>
      </c>
      <c r="H5689" s="12" t="s">
        <v>12195</v>
      </c>
      <c r="K5689" s="14" t="s">
        <v>12196</v>
      </c>
      <c r="L5689" s="12" t="s">
        <v>12197</v>
      </c>
      <c r="M5689" s="14" t="s">
        <v>12344</v>
      </c>
      <c r="N5689" s="14"/>
      <c r="O5689" s="14"/>
      <c r="P5689" s="12">
        <v>4</v>
      </c>
      <c r="Q5689" s="12">
        <v>4</v>
      </c>
      <c r="R5689" s="12">
        <v>2</v>
      </c>
      <c r="S5689" s="12">
        <v>2</v>
      </c>
      <c r="T5689" s="14" t="s">
        <v>11722</v>
      </c>
      <c r="U5689" t="s">
        <v>11723</v>
      </c>
      <c r="V5689" s="14" t="s">
        <v>12345</v>
      </c>
      <c r="W5689" s="388">
        <v>1</v>
      </c>
      <c r="X5689" s="388">
        <v>0</v>
      </c>
      <c r="Y5689" s="388">
        <v>0</v>
      </c>
      <c r="Z5689" s="388">
        <v>1</v>
      </c>
      <c r="AA5689" s="388">
        <v>0</v>
      </c>
      <c r="AB5689" s="388">
        <v>0</v>
      </c>
      <c r="AC5689" s="150">
        <v>1</v>
      </c>
      <c r="AD5689" s="150">
        <v>1</v>
      </c>
      <c r="AE5689" s="49">
        <f t="shared" si="205"/>
        <v>0.5</v>
      </c>
      <c r="AF5689" s="397"/>
      <c r="AG5689" s="17">
        <v>0</v>
      </c>
      <c r="AH5689" s="397">
        <v>0</v>
      </c>
      <c r="AI5689" s="397">
        <v>0.06</v>
      </c>
      <c r="AJ5689" s="397">
        <v>6.615E-2</v>
      </c>
      <c r="AK5689" s="398">
        <v>0</v>
      </c>
      <c r="AL5689" s="398">
        <v>0</v>
      </c>
      <c r="AM5689" s="17">
        <f t="shared" si="206"/>
        <v>0</v>
      </c>
      <c r="AN5689" s="14" t="s">
        <v>11722</v>
      </c>
      <c r="AO5689" s="12" t="s">
        <v>11723</v>
      </c>
      <c r="AP5689" s="399"/>
      <c r="AQ5689" s="400"/>
      <c r="AR5689" s="399"/>
      <c r="AS5689" s="399"/>
      <c r="AT5689" s="399"/>
      <c r="AX5689" s="402"/>
    </row>
    <row r="5690" spans="1:50" s="12" customFormat="1" x14ac:dyDescent="0.3">
      <c r="A5690" s="386" t="s">
        <v>8325</v>
      </c>
      <c r="B5690" s="14" t="s">
        <v>8326</v>
      </c>
      <c r="C5690" s="14" t="s">
        <v>11714</v>
      </c>
      <c r="D5690" s="12" t="s">
        <v>6838</v>
      </c>
      <c r="E5690" s="14" t="s">
        <v>11989</v>
      </c>
      <c r="F5690" s="12" t="s">
        <v>11990</v>
      </c>
      <c r="G5690" s="14" t="s">
        <v>12194</v>
      </c>
      <c r="H5690" s="12" t="s">
        <v>12195</v>
      </c>
      <c r="K5690" s="14" t="s">
        <v>12196</v>
      </c>
      <c r="L5690" s="12" t="s">
        <v>12197</v>
      </c>
      <c r="M5690" s="14" t="s">
        <v>12346</v>
      </c>
      <c r="N5690" s="14"/>
      <c r="O5690" s="14">
        <v>1</v>
      </c>
      <c r="P5690" s="12">
        <v>1</v>
      </c>
      <c r="Q5690" s="12">
        <v>1</v>
      </c>
      <c r="R5690" s="12">
        <v>1</v>
      </c>
      <c r="S5690" s="12">
        <v>1</v>
      </c>
      <c r="T5690" s="14" t="s">
        <v>11722</v>
      </c>
      <c r="U5690" t="s">
        <v>11723</v>
      </c>
      <c r="V5690" s="14" t="s">
        <v>12347</v>
      </c>
      <c r="W5690" s="388">
        <v>1</v>
      </c>
      <c r="X5690" s="388">
        <v>0</v>
      </c>
      <c r="Y5690" s="388">
        <v>0</v>
      </c>
      <c r="Z5690" s="388">
        <v>1</v>
      </c>
      <c r="AA5690" s="388">
        <v>0</v>
      </c>
      <c r="AB5690" s="388">
        <v>0</v>
      </c>
      <c r="AC5690" s="150">
        <v>1</v>
      </c>
      <c r="AD5690" s="150">
        <v>1</v>
      </c>
      <c r="AE5690" s="49">
        <f t="shared" si="205"/>
        <v>0.5</v>
      </c>
      <c r="AF5690" s="397"/>
      <c r="AG5690" s="17">
        <v>0</v>
      </c>
      <c r="AH5690" s="397">
        <v>0</v>
      </c>
      <c r="AI5690" s="397">
        <v>0.101325</v>
      </c>
      <c r="AJ5690" s="397">
        <v>0.11171081300000001</v>
      </c>
      <c r="AK5690" s="398">
        <v>0.11</v>
      </c>
      <c r="AL5690" s="398">
        <v>0.11</v>
      </c>
      <c r="AM5690" s="17">
        <f t="shared" si="206"/>
        <v>0.22</v>
      </c>
      <c r="AN5690" s="14" t="s">
        <v>11722</v>
      </c>
      <c r="AO5690" s="12" t="s">
        <v>11723</v>
      </c>
      <c r="AP5690" s="399"/>
      <c r="AQ5690" s="400"/>
      <c r="AR5690" s="399"/>
      <c r="AS5690" s="399"/>
      <c r="AT5690" s="399"/>
      <c r="AX5690" s="402"/>
    </row>
    <row r="5691" spans="1:50" s="12" customFormat="1" x14ac:dyDescent="0.3">
      <c r="A5691" s="386" t="s">
        <v>8325</v>
      </c>
      <c r="B5691" s="14" t="s">
        <v>8326</v>
      </c>
      <c r="C5691" s="14" t="s">
        <v>11714</v>
      </c>
      <c r="D5691" s="12" t="s">
        <v>6838</v>
      </c>
      <c r="E5691" s="14" t="s">
        <v>11989</v>
      </c>
      <c r="F5691" s="12" t="s">
        <v>11990</v>
      </c>
      <c r="G5691" s="14" t="s">
        <v>12194</v>
      </c>
      <c r="H5691" s="12" t="s">
        <v>12195</v>
      </c>
      <c r="K5691" s="14" t="s">
        <v>12196</v>
      </c>
      <c r="L5691" s="12" t="s">
        <v>12197</v>
      </c>
      <c r="M5691" s="14" t="s">
        <v>12348</v>
      </c>
      <c r="N5691" s="14"/>
      <c r="O5691" s="14"/>
      <c r="P5691" s="12">
        <v>1</v>
      </c>
      <c r="Q5691" s="12">
        <v>1</v>
      </c>
      <c r="R5691" s="12">
        <v>1</v>
      </c>
      <c r="S5691" s="12">
        <v>1</v>
      </c>
      <c r="T5691" s="14" t="s">
        <v>11722</v>
      </c>
      <c r="U5691" t="s">
        <v>11723</v>
      </c>
      <c r="V5691" s="14" t="s">
        <v>12349</v>
      </c>
      <c r="W5691" s="388">
        <v>1</v>
      </c>
      <c r="X5691" s="388">
        <v>0</v>
      </c>
      <c r="Y5691" s="388">
        <v>0</v>
      </c>
      <c r="Z5691" s="388">
        <v>1</v>
      </c>
      <c r="AA5691" s="388">
        <v>0</v>
      </c>
      <c r="AB5691" s="388">
        <v>0</v>
      </c>
      <c r="AC5691" s="150">
        <v>1</v>
      </c>
      <c r="AD5691" s="150">
        <v>1</v>
      </c>
      <c r="AE5691" s="49">
        <f t="shared" ref="AE5691:AE5754" si="207">SUM(W5691:AD5691)/8</f>
        <v>0.5</v>
      </c>
      <c r="AF5691" s="397"/>
      <c r="AG5691" s="17">
        <v>0</v>
      </c>
      <c r="AH5691" s="397">
        <v>0</v>
      </c>
      <c r="AI5691" s="397">
        <v>5.04E-2</v>
      </c>
      <c r="AJ5691" s="397">
        <v>8.8200000000000001E-2</v>
      </c>
      <c r="AK5691" s="398">
        <v>0</v>
      </c>
      <c r="AL5691" s="398">
        <v>0</v>
      </c>
      <c r="AM5691" s="17">
        <f t="shared" si="206"/>
        <v>0</v>
      </c>
      <c r="AN5691" s="14" t="s">
        <v>11722</v>
      </c>
      <c r="AO5691" s="12" t="s">
        <v>11723</v>
      </c>
      <c r="AP5691" s="399"/>
      <c r="AQ5691" s="400"/>
      <c r="AR5691" s="399"/>
      <c r="AS5691" s="399"/>
      <c r="AT5691" s="399"/>
      <c r="AX5691" s="402"/>
    </row>
    <row r="5692" spans="1:50" s="12" customFormat="1" x14ac:dyDescent="0.3">
      <c r="A5692" s="386" t="s">
        <v>8325</v>
      </c>
      <c r="B5692" s="14" t="s">
        <v>8326</v>
      </c>
      <c r="C5692" s="14" t="s">
        <v>11714</v>
      </c>
      <c r="D5692" s="12" t="s">
        <v>6838</v>
      </c>
      <c r="E5692" s="14" t="s">
        <v>11989</v>
      </c>
      <c r="F5692" s="12" t="s">
        <v>11990</v>
      </c>
      <c r="G5692" s="14" t="s">
        <v>12194</v>
      </c>
      <c r="H5692" s="12" t="s">
        <v>12195</v>
      </c>
      <c r="K5692" s="14" t="s">
        <v>12196</v>
      </c>
      <c r="L5692" s="12" t="s">
        <v>12197</v>
      </c>
      <c r="M5692" s="14" t="s">
        <v>12350</v>
      </c>
      <c r="N5692" s="14"/>
      <c r="O5692" s="14">
        <v>4</v>
      </c>
      <c r="P5692" s="12">
        <v>4</v>
      </c>
      <c r="Q5692" s="12">
        <v>4</v>
      </c>
      <c r="R5692" s="12">
        <v>4</v>
      </c>
      <c r="S5692" s="12">
        <v>4</v>
      </c>
      <c r="T5692" s="14" t="s">
        <v>11722</v>
      </c>
      <c r="U5692" t="s">
        <v>11723</v>
      </c>
      <c r="V5692" s="14" t="s">
        <v>12351</v>
      </c>
      <c r="W5692" s="388">
        <v>1</v>
      </c>
      <c r="X5692" s="388">
        <v>0</v>
      </c>
      <c r="Y5692" s="388">
        <v>0</v>
      </c>
      <c r="Z5692" s="388">
        <v>1</v>
      </c>
      <c r="AA5692" s="388">
        <v>1</v>
      </c>
      <c r="AB5692" s="388">
        <v>0</v>
      </c>
      <c r="AC5692" s="150">
        <v>1</v>
      </c>
      <c r="AD5692" s="150">
        <v>1</v>
      </c>
      <c r="AE5692" s="49">
        <f t="shared" si="207"/>
        <v>0.625</v>
      </c>
      <c r="AF5692" s="397"/>
      <c r="AG5692" s="17">
        <v>0</v>
      </c>
      <c r="AH5692" s="397">
        <v>0</v>
      </c>
      <c r="AI5692" s="397">
        <v>0.21959999999999999</v>
      </c>
      <c r="AJ5692" s="397">
        <v>0.24210899999999999</v>
      </c>
      <c r="AK5692" s="398">
        <v>0.2208</v>
      </c>
      <c r="AL5692" s="398">
        <v>0.2208</v>
      </c>
      <c r="AM5692" s="17">
        <f t="shared" si="206"/>
        <v>0.44159999999999999</v>
      </c>
      <c r="AN5692" s="14" t="s">
        <v>11722</v>
      </c>
      <c r="AO5692" s="12" t="s">
        <v>11723</v>
      </c>
      <c r="AP5692" s="399"/>
      <c r="AQ5692" s="400"/>
      <c r="AR5692" s="399"/>
      <c r="AS5692" s="399"/>
      <c r="AT5692" s="399"/>
      <c r="AX5692" s="402"/>
    </row>
    <row r="5693" spans="1:50" s="12" customFormat="1" x14ac:dyDescent="0.3">
      <c r="A5693" s="386" t="s">
        <v>8325</v>
      </c>
      <c r="B5693" s="14" t="s">
        <v>8326</v>
      </c>
      <c r="C5693" s="14" t="s">
        <v>11714</v>
      </c>
      <c r="D5693" s="12" t="s">
        <v>6838</v>
      </c>
      <c r="E5693" s="14" t="s">
        <v>11989</v>
      </c>
      <c r="F5693" s="12" t="s">
        <v>11990</v>
      </c>
      <c r="G5693" s="14" t="s">
        <v>12194</v>
      </c>
      <c r="H5693" s="12" t="s">
        <v>12195</v>
      </c>
      <c r="K5693" s="14" t="s">
        <v>12196</v>
      </c>
      <c r="L5693" s="12" t="s">
        <v>12197</v>
      </c>
      <c r="M5693" s="14" t="s">
        <v>12352</v>
      </c>
      <c r="N5693" s="14"/>
      <c r="O5693" s="14"/>
      <c r="P5693" s="12">
        <v>1</v>
      </c>
      <c r="Q5693" s="12">
        <v>1</v>
      </c>
      <c r="R5693" s="12">
        <v>1</v>
      </c>
      <c r="S5693" s="12">
        <v>1</v>
      </c>
      <c r="T5693" s="14" t="s">
        <v>11722</v>
      </c>
      <c r="U5693" t="s">
        <v>11723</v>
      </c>
      <c r="V5693" s="14" t="s">
        <v>12353</v>
      </c>
      <c r="W5693" s="388">
        <v>1</v>
      </c>
      <c r="X5693" s="388">
        <v>0</v>
      </c>
      <c r="Y5693" s="388">
        <v>0</v>
      </c>
      <c r="Z5693" s="388">
        <v>1</v>
      </c>
      <c r="AA5693" s="388">
        <v>1</v>
      </c>
      <c r="AB5693" s="388">
        <v>0</v>
      </c>
      <c r="AC5693" s="150">
        <v>1</v>
      </c>
      <c r="AD5693" s="150">
        <v>1</v>
      </c>
      <c r="AE5693" s="49">
        <f t="shared" si="207"/>
        <v>0.625</v>
      </c>
      <c r="AF5693" s="397"/>
      <c r="AG5693" s="17">
        <v>0</v>
      </c>
      <c r="AH5693" s="397">
        <v>0</v>
      </c>
      <c r="AI5693" s="397">
        <v>0.105</v>
      </c>
      <c r="AJ5693" s="397">
        <v>0.11025</v>
      </c>
      <c r="AK5693" s="398">
        <v>0.11025</v>
      </c>
      <c r="AL5693" s="398">
        <v>0.11025</v>
      </c>
      <c r="AM5693" s="17">
        <f t="shared" si="206"/>
        <v>0.2205</v>
      </c>
      <c r="AN5693" s="14" t="s">
        <v>11722</v>
      </c>
      <c r="AO5693" s="12" t="s">
        <v>11723</v>
      </c>
      <c r="AP5693" s="399"/>
      <c r="AQ5693" s="400"/>
      <c r="AR5693" s="399"/>
      <c r="AS5693" s="399"/>
      <c r="AT5693" s="399"/>
      <c r="AX5693" s="402"/>
    </row>
    <row r="5694" spans="1:50" s="12" customFormat="1" x14ac:dyDescent="0.3">
      <c r="A5694" s="386" t="s">
        <v>8325</v>
      </c>
      <c r="B5694" s="14" t="s">
        <v>8326</v>
      </c>
      <c r="C5694" s="14" t="s">
        <v>11714</v>
      </c>
      <c r="D5694" s="12" t="s">
        <v>6838</v>
      </c>
      <c r="E5694" s="14" t="s">
        <v>11989</v>
      </c>
      <c r="F5694" s="12" t="s">
        <v>11990</v>
      </c>
      <c r="G5694" s="14" t="s">
        <v>12194</v>
      </c>
      <c r="H5694" s="12" t="s">
        <v>12195</v>
      </c>
      <c r="K5694" s="14" t="s">
        <v>12196</v>
      </c>
      <c r="L5694" s="12" t="s">
        <v>12197</v>
      </c>
      <c r="M5694" s="14" t="s">
        <v>12354</v>
      </c>
      <c r="N5694" s="14"/>
      <c r="O5694" s="14"/>
      <c r="P5694" s="12">
        <v>4</v>
      </c>
      <c r="Q5694" s="12">
        <v>4</v>
      </c>
      <c r="R5694" s="12">
        <v>4</v>
      </c>
      <c r="S5694" s="12">
        <v>4</v>
      </c>
      <c r="T5694" s="14" t="s">
        <v>11722</v>
      </c>
      <c r="U5694" t="s">
        <v>11723</v>
      </c>
      <c r="V5694" s="14" t="s">
        <v>12355</v>
      </c>
      <c r="W5694" s="388">
        <v>1</v>
      </c>
      <c r="X5694" s="388">
        <v>0</v>
      </c>
      <c r="Y5694" s="388">
        <v>0</v>
      </c>
      <c r="Z5694" s="388">
        <v>1</v>
      </c>
      <c r="AA5694" s="388">
        <v>1</v>
      </c>
      <c r="AB5694" s="388">
        <v>0</v>
      </c>
      <c r="AC5694" s="150">
        <v>1</v>
      </c>
      <c r="AD5694" s="150">
        <v>1</v>
      </c>
      <c r="AE5694" s="49">
        <f t="shared" si="207"/>
        <v>0.625</v>
      </c>
      <c r="AF5694" s="397"/>
      <c r="AG5694" s="17">
        <v>0</v>
      </c>
      <c r="AH5694" s="397">
        <v>0</v>
      </c>
      <c r="AI5694" s="397">
        <v>0.40160000000000001</v>
      </c>
      <c r="AJ5694" s="397">
        <v>0.42168</v>
      </c>
      <c r="AK5694" s="398">
        <v>0.216</v>
      </c>
      <c r="AL5694" s="398">
        <v>0.216</v>
      </c>
      <c r="AM5694" s="17">
        <f t="shared" si="206"/>
        <v>0.432</v>
      </c>
      <c r="AN5694" s="14" t="s">
        <v>11722</v>
      </c>
      <c r="AO5694" s="12" t="s">
        <v>11723</v>
      </c>
      <c r="AP5694" s="399"/>
      <c r="AQ5694" s="400"/>
      <c r="AR5694" s="399"/>
      <c r="AS5694" s="399"/>
      <c r="AT5694" s="399"/>
      <c r="AX5694" s="402"/>
    </row>
    <row r="5695" spans="1:50" s="12" customFormat="1" x14ac:dyDescent="0.3">
      <c r="A5695" s="386" t="s">
        <v>8325</v>
      </c>
      <c r="B5695" s="14" t="s">
        <v>8326</v>
      </c>
      <c r="C5695" s="14" t="s">
        <v>11714</v>
      </c>
      <c r="D5695" s="12" t="s">
        <v>6838</v>
      </c>
      <c r="E5695" s="14" t="s">
        <v>11989</v>
      </c>
      <c r="F5695" s="12" t="s">
        <v>11990</v>
      </c>
      <c r="G5695" s="14" t="s">
        <v>12194</v>
      </c>
      <c r="H5695" s="12" t="s">
        <v>12195</v>
      </c>
      <c r="K5695" s="14" t="s">
        <v>12196</v>
      </c>
      <c r="L5695" s="12" t="s">
        <v>12197</v>
      </c>
      <c r="M5695" s="14" t="s">
        <v>12356</v>
      </c>
      <c r="N5695" s="14"/>
      <c r="O5695" s="14"/>
      <c r="P5695" s="12">
        <v>4</v>
      </c>
      <c r="Q5695" s="12">
        <v>4</v>
      </c>
      <c r="R5695" s="12">
        <v>2</v>
      </c>
      <c r="S5695" s="12">
        <v>2</v>
      </c>
      <c r="T5695" s="14" t="s">
        <v>11722</v>
      </c>
      <c r="U5695" t="s">
        <v>11723</v>
      </c>
      <c r="V5695" s="14" t="s">
        <v>12357</v>
      </c>
      <c r="W5695" s="388">
        <v>1</v>
      </c>
      <c r="X5695" s="388">
        <v>0</v>
      </c>
      <c r="Y5695" s="388">
        <v>0</v>
      </c>
      <c r="Z5695" s="388">
        <v>1</v>
      </c>
      <c r="AA5695" s="388">
        <v>0</v>
      </c>
      <c r="AB5695" s="388">
        <v>0</v>
      </c>
      <c r="AC5695" s="150">
        <v>1</v>
      </c>
      <c r="AD5695" s="150">
        <v>1</v>
      </c>
      <c r="AE5695" s="49">
        <f t="shared" si="207"/>
        <v>0.5</v>
      </c>
      <c r="AF5695" s="397"/>
      <c r="AG5695" s="17">
        <v>0</v>
      </c>
      <c r="AH5695" s="397">
        <v>0</v>
      </c>
      <c r="AI5695" s="397">
        <v>0.27239999999999998</v>
      </c>
      <c r="AJ5695" s="397">
        <v>0.300321</v>
      </c>
      <c r="AK5695" s="398">
        <v>0</v>
      </c>
      <c r="AL5695" s="398">
        <v>0</v>
      </c>
      <c r="AM5695" s="17">
        <f t="shared" si="206"/>
        <v>0</v>
      </c>
      <c r="AN5695" s="14" t="s">
        <v>11722</v>
      </c>
      <c r="AO5695" s="12" t="s">
        <v>11723</v>
      </c>
      <c r="AP5695" s="399"/>
      <c r="AQ5695" s="400"/>
      <c r="AR5695" s="399"/>
      <c r="AS5695" s="399"/>
      <c r="AT5695" s="399"/>
      <c r="AX5695" s="402"/>
    </row>
    <row r="5696" spans="1:50" s="12" customFormat="1" x14ac:dyDescent="0.3">
      <c r="A5696" s="386" t="s">
        <v>8325</v>
      </c>
      <c r="B5696" s="14" t="s">
        <v>8326</v>
      </c>
      <c r="C5696" s="14" t="s">
        <v>11714</v>
      </c>
      <c r="D5696" s="12" t="s">
        <v>6838</v>
      </c>
      <c r="E5696" s="14" t="s">
        <v>11989</v>
      </c>
      <c r="F5696" s="12" t="s">
        <v>11990</v>
      </c>
      <c r="G5696" s="14" t="s">
        <v>12194</v>
      </c>
      <c r="H5696" s="12" t="s">
        <v>12195</v>
      </c>
      <c r="K5696" s="14" t="s">
        <v>12196</v>
      </c>
      <c r="L5696" s="12" t="s">
        <v>12197</v>
      </c>
      <c r="M5696" s="14" t="s">
        <v>12358</v>
      </c>
      <c r="N5696" s="14"/>
      <c r="O5696" s="14">
        <v>1</v>
      </c>
      <c r="P5696" s="12">
        <v>1</v>
      </c>
      <c r="Q5696" s="12">
        <v>1</v>
      </c>
      <c r="R5696" s="12">
        <v>1</v>
      </c>
      <c r="S5696" s="12">
        <v>1</v>
      </c>
      <c r="T5696" s="14" t="s">
        <v>11722</v>
      </c>
      <c r="U5696" t="s">
        <v>11723</v>
      </c>
      <c r="V5696" s="14" t="s">
        <v>12359</v>
      </c>
      <c r="W5696" s="388">
        <v>1</v>
      </c>
      <c r="X5696" s="388">
        <v>0</v>
      </c>
      <c r="Y5696" s="388">
        <v>0</v>
      </c>
      <c r="Z5696" s="388">
        <v>1</v>
      </c>
      <c r="AA5696" s="388">
        <v>0</v>
      </c>
      <c r="AB5696" s="388">
        <v>0</v>
      </c>
      <c r="AC5696" s="150">
        <v>1</v>
      </c>
      <c r="AD5696" s="150">
        <v>1</v>
      </c>
      <c r="AE5696" s="49">
        <f t="shared" si="207"/>
        <v>0.5</v>
      </c>
      <c r="AF5696" s="397"/>
      <c r="AG5696" s="17">
        <v>0</v>
      </c>
      <c r="AH5696" s="397">
        <v>0</v>
      </c>
      <c r="AI5696" s="397">
        <v>2.1000000000000001E-2</v>
      </c>
      <c r="AJ5696" s="397">
        <v>2.205E-2</v>
      </c>
      <c r="AK5696" s="398">
        <v>0</v>
      </c>
      <c r="AL5696" s="398">
        <v>0</v>
      </c>
      <c r="AM5696" s="17">
        <f t="shared" si="206"/>
        <v>0</v>
      </c>
      <c r="AN5696" s="14" t="s">
        <v>11722</v>
      </c>
      <c r="AO5696" s="12" t="s">
        <v>11723</v>
      </c>
      <c r="AP5696" s="399"/>
      <c r="AQ5696" s="400"/>
      <c r="AR5696" s="399"/>
      <c r="AS5696" s="399"/>
      <c r="AT5696" s="399"/>
      <c r="AX5696" s="402"/>
    </row>
    <row r="5697" spans="1:50" s="12" customFormat="1" x14ac:dyDescent="0.3">
      <c r="A5697" s="386" t="s">
        <v>8325</v>
      </c>
      <c r="B5697" s="14" t="s">
        <v>8326</v>
      </c>
      <c r="C5697" s="14" t="s">
        <v>11714</v>
      </c>
      <c r="D5697" s="12" t="s">
        <v>6838</v>
      </c>
      <c r="E5697" s="14" t="s">
        <v>11989</v>
      </c>
      <c r="F5697" s="12" t="s">
        <v>11990</v>
      </c>
      <c r="G5697" s="14" t="s">
        <v>12194</v>
      </c>
      <c r="H5697" s="12" t="s">
        <v>12195</v>
      </c>
      <c r="K5697" s="14" t="s">
        <v>12196</v>
      </c>
      <c r="L5697" s="12" t="s">
        <v>12197</v>
      </c>
      <c r="M5697" s="14" t="s">
        <v>12360</v>
      </c>
      <c r="N5697" s="14"/>
      <c r="O5697" s="14"/>
      <c r="P5697" s="12">
        <v>4</v>
      </c>
      <c r="Q5697" s="12">
        <v>4</v>
      </c>
      <c r="R5697" s="12">
        <v>2</v>
      </c>
      <c r="S5697" s="12">
        <v>2</v>
      </c>
      <c r="T5697" s="14" t="s">
        <v>11722</v>
      </c>
      <c r="U5697" t="s">
        <v>11723</v>
      </c>
      <c r="V5697" s="14" t="s">
        <v>12361</v>
      </c>
      <c r="W5697" s="388">
        <v>1</v>
      </c>
      <c r="X5697" s="388">
        <v>0</v>
      </c>
      <c r="Y5697" s="388">
        <v>0</v>
      </c>
      <c r="Z5697" s="388">
        <v>1</v>
      </c>
      <c r="AA5697" s="388">
        <v>0</v>
      </c>
      <c r="AB5697" s="388">
        <v>0</v>
      </c>
      <c r="AC5697" s="150">
        <v>1</v>
      </c>
      <c r="AD5697" s="150">
        <v>1</v>
      </c>
      <c r="AE5697" s="49">
        <f t="shared" si="207"/>
        <v>0.5</v>
      </c>
      <c r="AF5697" s="397"/>
      <c r="AG5697" s="17">
        <v>0</v>
      </c>
      <c r="AH5697" s="397">
        <v>0</v>
      </c>
      <c r="AI5697" s="397">
        <v>8.4000000000000005E-2</v>
      </c>
      <c r="AJ5697" s="397">
        <v>8.8200000000000001E-2</v>
      </c>
      <c r="AK5697" s="398">
        <v>0</v>
      </c>
      <c r="AL5697" s="398">
        <v>0</v>
      </c>
      <c r="AM5697" s="17">
        <f t="shared" si="206"/>
        <v>0</v>
      </c>
      <c r="AN5697" s="14" t="s">
        <v>11722</v>
      </c>
      <c r="AO5697" s="12" t="s">
        <v>11723</v>
      </c>
      <c r="AP5697" s="399"/>
      <c r="AQ5697" s="400"/>
      <c r="AR5697" s="399"/>
      <c r="AS5697" s="399"/>
      <c r="AT5697" s="399"/>
      <c r="AX5697" s="402"/>
    </row>
    <row r="5698" spans="1:50" s="12" customFormat="1" x14ac:dyDescent="0.3">
      <c r="A5698" s="386" t="s">
        <v>8325</v>
      </c>
      <c r="B5698" s="14" t="s">
        <v>8326</v>
      </c>
      <c r="C5698" s="14" t="s">
        <v>11714</v>
      </c>
      <c r="D5698" s="12" t="s">
        <v>6838</v>
      </c>
      <c r="E5698" s="14" t="s">
        <v>11989</v>
      </c>
      <c r="F5698" s="12" t="s">
        <v>11990</v>
      </c>
      <c r="G5698" s="14" t="s">
        <v>12194</v>
      </c>
      <c r="H5698" s="12" t="s">
        <v>12195</v>
      </c>
      <c r="K5698" s="14" t="s">
        <v>12196</v>
      </c>
      <c r="L5698" s="12" t="s">
        <v>12197</v>
      </c>
      <c r="M5698" s="14" t="s">
        <v>12362</v>
      </c>
      <c r="N5698" s="14">
        <v>0</v>
      </c>
      <c r="O5698" s="14">
        <v>0</v>
      </c>
      <c r="P5698" s="12">
        <v>2</v>
      </c>
      <c r="Q5698" s="12">
        <v>2</v>
      </c>
      <c r="R5698" s="12">
        <v>1</v>
      </c>
      <c r="S5698" s="12">
        <v>1</v>
      </c>
      <c r="T5698" s="14" t="s">
        <v>11722</v>
      </c>
      <c r="U5698" t="s">
        <v>11723</v>
      </c>
      <c r="V5698" s="14" t="s">
        <v>12363</v>
      </c>
      <c r="W5698" s="388">
        <v>1</v>
      </c>
      <c r="X5698" s="388">
        <v>0</v>
      </c>
      <c r="Y5698" s="388">
        <v>0</v>
      </c>
      <c r="Z5698" s="388">
        <v>1</v>
      </c>
      <c r="AA5698" s="388">
        <v>0</v>
      </c>
      <c r="AB5698" s="388">
        <v>0</v>
      </c>
      <c r="AC5698" s="150">
        <v>1</v>
      </c>
      <c r="AD5698" s="150">
        <v>1</v>
      </c>
      <c r="AE5698" s="49">
        <f t="shared" si="207"/>
        <v>0.5</v>
      </c>
      <c r="AF5698" s="397"/>
      <c r="AG5698" s="17">
        <v>0</v>
      </c>
      <c r="AH5698" s="397">
        <v>0</v>
      </c>
      <c r="AI5698" s="397">
        <v>0.1</v>
      </c>
      <c r="AJ5698" s="397">
        <v>0.11025</v>
      </c>
      <c r="AK5698" s="398">
        <v>0</v>
      </c>
      <c r="AL5698" s="398">
        <v>0</v>
      </c>
      <c r="AM5698" s="17">
        <f t="shared" si="206"/>
        <v>0</v>
      </c>
      <c r="AN5698" s="14" t="s">
        <v>11722</v>
      </c>
      <c r="AO5698" s="12" t="s">
        <v>11723</v>
      </c>
      <c r="AP5698" s="399"/>
      <c r="AQ5698" s="400"/>
      <c r="AR5698" s="399"/>
      <c r="AS5698" s="399"/>
      <c r="AT5698" s="399"/>
      <c r="AX5698" s="402"/>
    </row>
    <row r="5699" spans="1:50" s="12" customFormat="1" x14ac:dyDescent="0.3">
      <c r="A5699" s="386" t="s">
        <v>8325</v>
      </c>
      <c r="B5699" s="14" t="s">
        <v>8326</v>
      </c>
      <c r="C5699" s="14" t="s">
        <v>11714</v>
      </c>
      <c r="D5699" s="12" t="s">
        <v>6838</v>
      </c>
      <c r="E5699" s="14" t="s">
        <v>11989</v>
      </c>
      <c r="F5699" s="12" t="s">
        <v>11990</v>
      </c>
      <c r="G5699" s="14" t="s">
        <v>12194</v>
      </c>
      <c r="H5699" s="12" t="s">
        <v>12195</v>
      </c>
      <c r="K5699" s="14" t="s">
        <v>12196</v>
      </c>
      <c r="L5699" s="12" t="s">
        <v>12197</v>
      </c>
      <c r="M5699" s="14" t="s">
        <v>12364</v>
      </c>
      <c r="N5699" s="14"/>
      <c r="O5699" s="14"/>
      <c r="P5699" s="12">
        <v>1</v>
      </c>
      <c r="R5699" s="12">
        <v>1</v>
      </c>
      <c r="T5699" s="14" t="s">
        <v>11722</v>
      </c>
      <c r="U5699" t="s">
        <v>11723</v>
      </c>
      <c r="V5699" s="14" t="s">
        <v>12365</v>
      </c>
      <c r="W5699" s="388">
        <v>1</v>
      </c>
      <c r="X5699" s="388">
        <v>0</v>
      </c>
      <c r="Y5699" s="388">
        <v>0</v>
      </c>
      <c r="Z5699" s="388">
        <v>1</v>
      </c>
      <c r="AA5699" s="388">
        <v>0</v>
      </c>
      <c r="AB5699" s="388">
        <v>0</v>
      </c>
      <c r="AC5699" s="150">
        <v>1</v>
      </c>
      <c r="AD5699" s="150">
        <v>1</v>
      </c>
      <c r="AE5699" s="49">
        <f t="shared" si="207"/>
        <v>0.5</v>
      </c>
      <c r="AF5699" s="397"/>
      <c r="AG5699" s="17">
        <v>0</v>
      </c>
      <c r="AH5699" s="397">
        <v>0</v>
      </c>
      <c r="AI5699" s="397">
        <v>6.4000000000000001E-2</v>
      </c>
      <c r="AJ5699" s="397">
        <v>0</v>
      </c>
      <c r="AK5699" s="398">
        <v>0</v>
      </c>
      <c r="AL5699" s="398">
        <v>0</v>
      </c>
      <c r="AM5699" s="17">
        <f t="shared" si="206"/>
        <v>0</v>
      </c>
      <c r="AN5699" s="14" t="s">
        <v>11722</v>
      </c>
      <c r="AO5699" s="12" t="s">
        <v>11723</v>
      </c>
      <c r="AP5699" s="399"/>
      <c r="AQ5699" s="400"/>
      <c r="AR5699" s="399"/>
      <c r="AS5699" s="399"/>
      <c r="AT5699" s="399"/>
      <c r="AX5699" s="402"/>
    </row>
    <row r="5700" spans="1:50" s="12" customFormat="1" x14ac:dyDescent="0.3">
      <c r="A5700" s="386" t="s">
        <v>8325</v>
      </c>
      <c r="B5700" s="14" t="s">
        <v>8326</v>
      </c>
      <c r="C5700" s="14" t="s">
        <v>11714</v>
      </c>
      <c r="D5700" s="12" t="s">
        <v>6838</v>
      </c>
      <c r="E5700" s="14" t="s">
        <v>11989</v>
      </c>
      <c r="F5700" s="12" t="s">
        <v>11990</v>
      </c>
      <c r="G5700" s="14" t="s">
        <v>12194</v>
      </c>
      <c r="H5700" s="12" t="s">
        <v>12195</v>
      </c>
      <c r="K5700" s="14" t="s">
        <v>12196</v>
      </c>
      <c r="L5700" s="12" t="s">
        <v>12197</v>
      </c>
      <c r="M5700" s="14" t="s">
        <v>12366</v>
      </c>
      <c r="N5700" s="14"/>
      <c r="O5700" s="14"/>
      <c r="P5700" s="12">
        <v>4</v>
      </c>
      <c r="Q5700" s="12">
        <v>4</v>
      </c>
      <c r="R5700" s="12">
        <v>2</v>
      </c>
      <c r="S5700" s="12">
        <v>2</v>
      </c>
      <c r="T5700" s="14" t="s">
        <v>11722</v>
      </c>
      <c r="U5700" t="s">
        <v>11723</v>
      </c>
      <c r="V5700" s="14" t="s">
        <v>12367</v>
      </c>
      <c r="W5700" s="388">
        <v>1</v>
      </c>
      <c r="X5700" s="388">
        <v>0</v>
      </c>
      <c r="Y5700" s="388">
        <v>0</v>
      </c>
      <c r="Z5700" s="388">
        <v>1</v>
      </c>
      <c r="AA5700" s="388">
        <v>0</v>
      </c>
      <c r="AB5700" s="388">
        <v>0</v>
      </c>
      <c r="AC5700" s="150">
        <v>1</v>
      </c>
      <c r="AD5700" s="150">
        <v>1</v>
      </c>
      <c r="AE5700" s="49">
        <f t="shared" si="207"/>
        <v>0.5</v>
      </c>
      <c r="AF5700" s="397"/>
      <c r="AG5700" s="17">
        <v>0</v>
      </c>
      <c r="AH5700" s="397">
        <v>0</v>
      </c>
      <c r="AI5700" s="397">
        <v>0.38040000000000002</v>
      </c>
      <c r="AJ5700" s="397">
        <v>0.39942</v>
      </c>
      <c r="AK5700" s="398">
        <v>0</v>
      </c>
      <c r="AL5700" s="398">
        <v>0</v>
      </c>
      <c r="AM5700" s="17">
        <f t="shared" si="206"/>
        <v>0</v>
      </c>
      <c r="AN5700" s="14" t="s">
        <v>11722</v>
      </c>
      <c r="AO5700" s="12" t="s">
        <v>11723</v>
      </c>
      <c r="AP5700" s="399"/>
      <c r="AQ5700" s="400"/>
      <c r="AR5700" s="399"/>
      <c r="AS5700" s="399"/>
      <c r="AT5700" s="399"/>
      <c r="AX5700" s="402"/>
    </row>
    <row r="5701" spans="1:50" s="12" customFormat="1" x14ac:dyDescent="0.3">
      <c r="A5701" s="386" t="s">
        <v>8325</v>
      </c>
      <c r="B5701" s="14" t="s">
        <v>8326</v>
      </c>
      <c r="C5701" s="14" t="s">
        <v>11714</v>
      </c>
      <c r="D5701" s="12" t="s">
        <v>6838</v>
      </c>
      <c r="E5701" s="14" t="s">
        <v>11989</v>
      </c>
      <c r="F5701" s="12" t="s">
        <v>11990</v>
      </c>
      <c r="G5701" s="14" t="s">
        <v>12194</v>
      </c>
      <c r="H5701" s="12" t="s">
        <v>12195</v>
      </c>
      <c r="K5701" s="14" t="s">
        <v>12196</v>
      </c>
      <c r="L5701" s="12" t="s">
        <v>12197</v>
      </c>
      <c r="M5701" s="14" t="s">
        <v>12368</v>
      </c>
      <c r="N5701" s="14"/>
      <c r="O5701" s="14"/>
      <c r="P5701" s="12">
        <v>2</v>
      </c>
      <c r="Q5701" s="12">
        <v>2</v>
      </c>
      <c r="R5701" s="12">
        <v>2</v>
      </c>
      <c r="S5701" s="12">
        <v>2</v>
      </c>
      <c r="T5701" s="14" t="s">
        <v>11722</v>
      </c>
      <c r="U5701" t="s">
        <v>11723</v>
      </c>
      <c r="V5701" s="14" t="s">
        <v>12369</v>
      </c>
      <c r="W5701" s="388">
        <v>1</v>
      </c>
      <c r="X5701" s="388">
        <v>0</v>
      </c>
      <c r="Y5701" s="388">
        <v>0</v>
      </c>
      <c r="Z5701" s="388">
        <v>1</v>
      </c>
      <c r="AA5701" s="388">
        <v>0</v>
      </c>
      <c r="AB5701" s="388">
        <v>0</v>
      </c>
      <c r="AC5701" s="150">
        <v>1</v>
      </c>
      <c r="AD5701" s="150">
        <v>1</v>
      </c>
      <c r="AE5701" s="49">
        <f t="shared" si="207"/>
        <v>0.5</v>
      </c>
      <c r="AF5701" s="397"/>
      <c r="AG5701" s="17">
        <v>0</v>
      </c>
      <c r="AH5701" s="397">
        <v>0.13919999999999999</v>
      </c>
      <c r="AI5701" s="397">
        <v>0.13919999999999999</v>
      </c>
      <c r="AJ5701" s="397">
        <v>0.14616000000000001</v>
      </c>
      <c r="AK5701" s="398">
        <v>0</v>
      </c>
      <c r="AL5701" s="398">
        <v>0</v>
      </c>
      <c r="AM5701" s="17">
        <f t="shared" si="206"/>
        <v>0</v>
      </c>
      <c r="AN5701" s="14" t="s">
        <v>11722</v>
      </c>
      <c r="AO5701" s="12" t="s">
        <v>11723</v>
      </c>
      <c r="AP5701" s="399"/>
      <c r="AQ5701" s="400"/>
      <c r="AR5701" s="399"/>
      <c r="AS5701" s="399"/>
      <c r="AT5701" s="399"/>
      <c r="AX5701" s="402"/>
    </row>
    <row r="5702" spans="1:50" s="12" customFormat="1" x14ac:dyDescent="0.3">
      <c r="A5702" s="386" t="s">
        <v>8325</v>
      </c>
      <c r="B5702" s="14" t="s">
        <v>8326</v>
      </c>
      <c r="C5702" s="14" t="s">
        <v>11714</v>
      </c>
      <c r="D5702" s="12" t="s">
        <v>6838</v>
      </c>
      <c r="E5702" s="14" t="s">
        <v>11989</v>
      </c>
      <c r="F5702" s="12" t="s">
        <v>11990</v>
      </c>
      <c r="G5702" s="14" t="s">
        <v>12194</v>
      </c>
      <c r="H5702" s="12" t="s">
        <v>12195</v>
      </c>
      <c r="K5702" s="14" t="s">
        <v>12196</v>
      </c>
      <c r="L5702" s="12" t="s">
        <v>12197</v>
      </c>
      <c r="M5702" s="14" t="s">
        <v>12370</v>
      </c>
      <c r="N5702" s="14"/>
      <c r="O5702" s="14"/>
      <c r="P5702" s="12">
        <v>3</v>
      </c>
      <c r="Q5702" s="12">
        <v>3</v>
      </c>
      <c r="R5702" s="12">
        <v>3</v>
      </c>
      <c r="S5702" s="12">
        <v>3</v>
      </c>
      <c r="T5702" s="14" t="s">
        <v>11722</v>
      </c>
      <c r="U5702" t="s">
        <v>11723</v>
      </c>
      <c r="V5702" s="14" t="s">
        <v>12371</v>
      </c>
      <c r="W5702" s="388">
        <v>1</v>
      </c>
      <c r="X5702" s="388">
        <v>0</v>
      </c>
      <c r="Y5702" s="388">
        <v>0</v>
      </c>
      <c r="Z5702" s="388">
        <v>1</v>
      </c>
      <c r="AA5702" s="388">
        <v>0</v>
      </c>
      <c r="AB5702" s="388">
        <v>0</v>
      </c>
      <c r="AC5702" s="150">
        <v>1</v>
      </c>
      <c r="AD5702" s="150">
        <v>1</v>
      </c>
      <c r="AE5702" s="49">
        <f t="shared" si="207"/>
        <v>0.5</v>
      </c>
      <c r="AF5702" s="397"/>
      <c r="AG5702" s="17">
        <v>0</v>
      </c>
      <c r="AH5702" s="397">
        <v>0</v>
      </c>
      <c r="AI5702" s="397">
        <v>9.6000000000000002E-2</v>
      </c>
      <c r="AJ5702" s="397">
        <v>0.1008</v>
      </c>
      <c r="AK5702" s="398">
        <v>0</v>
      </c>
      <c r="AL5702" s="398">
        <v>0</v>
      </c>
      <c r="AM5702" s="17">
        <f t="shared" si="206"/>
        <v>0</v>
      </c>
      <c r="AN5702" s="14" t="s">
        <v>11722</v>
      </c>
      <c r="AO5702" s="12" t="s">
        <v>11723</v>
      </c>
      <c r="AP5702" s="399"/>
      <c r="AQ5702" s="400"/>
      <c r="AR5702" s="399"/>
      <c r="AS5702" s="399"/>
      <c r="AT5702" s="399"/>
      <c r="AX5702" s="402"/>
    </row>
    <row r="5703" spans="1:50" s="12" customFormat="1" x14ac:dyDescent="0.3">
      <c r="A5703" s="386" t="s">
        <v>8325</v>
      </c>
      <c r="B5703" s="14" t="s">
        <v>8326</v>
      </c>
      <c r="C5703" s="14" t="s">
        <v>11714</v>
      </c>
      <c r="D5703" s="12" t="s">
        <v>6838</v>
      </c>
      <c r="E5703" s="14" t="s">
        <v>11989</v>
      </c>
      <c r="F5703" s="12" t="s">
        <v>11990</v>
      </c>
      <c r="G5703" s="14" t="s">
        <v>12194</v>
      </c>
      <c r="H5703" s="12" t="s">
        <v>12195</v>
      </c>
      <c r="K5703" s="14" t="s">
        <v>12196</v>
      </c>
      <c r="L5703" s="12" t="s">
        <v>12197</v>
      </c>
      <c r="M5703" s="14" t="s">
        <v>12372</v>
      </c>
      <c r="N5703" s="14"/>
      <c r="O5703" s="14"/>
      <c r="P5703" s="12">
        <v>4</v>
      </c>
      <c r="Q5703" s="12">
        <v>4</v>
      </c>
      <c r="R5703" s="12">
        <v>2</v>
      </c>
      <c r="S5703" s="12">
        <v>2</v>
      </c>
      <c r="T5703" s="14" t="s">
        <v>11722</v>
      </c>
      <c r="U5703" t="s">
        <v>11723</v>
      </c>
      <c r="V5703" s="14" t="s">
        <v>12373</v>
      </c>
      <c r="W5703" s="388">
        <v>1</v>
      </c>
      <c r="X5703" s="388">
        <v>0</v>
      </c>
      <c r="Y5703" s="388">
        <v>0</v>
      </c>
      <c r="Z5703" s="388">
        <v>1</v>
      </c>
      <c r="AA5703" s="388">
        <v>0</v>
      </c>
      <c r="AB5703" s="388">
        <v>0</v>
      </c>
      <c r="AC5703" s="150">
        <v>1</v>
      </c>
      <c r="AD5703" s="150">
        <v>1</v>
      </c>
      <c r="AE5703" s="49">
        <f t="shared" si="207"/>
        <v>0.5</v>
      </c>
      <c r="AF5703" s="397"/>
      <c r="AG5703" s="17">
        <v>0</v>
      </c>
      <c r="AH5703" s="397">
        <v>0</v>
      </c>
      <c r="AI5703" s="397">
        <v>0.38040000000000002</v>
      </c>
      <c r="AJ5703" s="397">
        <v>0.39942</v>
      </c>
      <c r="AK5703" s="398">
        <v>0</v>
      </c>
      <c r="AL5703" s="398">
        <v>0</v>
      </c>
      <c r="AM5703" s="17">
        <f t="shared" si="206"/>
        <v>0</v>
      </c>
      <c r="AN5703" s="14" t="s">
        <v>11722</v>
      </c>
      <c r="AO5703" s="12" t="s">
        <v>11723</v>
      </c>
      <c r="AP5703" s="399"/>
      <c r="AQ5703" s="400"/>
      <c r="AR5703" s="399"/>
      <c r="AS5703" s="399"/>
      <c r="AT5703" s="399"/>
      <c r="AX5703" s="402"/>
    </row>
    <row r="5704" spans="1:50" s="12" customFormat="1" x14ac:dyDescent="0.3">
      <c r="A5704" s="386" t="s">
        <v>8325</v>
      </c>
      <c r="B5704" s="14" t="s">
        <v>8326</v>
      </c>
      <c r="C5704" s="14" t="s">
        <v>11714</v>
      </c>
      <c r="D5704" s="12" t="s">
        <v>6838</v>
      </c>
      <c r="E5704" s="14" t="s">
        <v>11989</v>
      </c>
      <c r="F5704" s="12" t="s">
        <v>11990</v>
      </c>
      <c r="G5704" s="14" t="s">
        <v>12194</v>
      </c>
      <c r="H5704" s="12" t="s">
        <v>12195</v>
      </c>
      <c r="K5704" s="14" t="s">
        <v>12196</v>
      </c>
      <c r="L5704" s="12" t="s">
        <v>12197</v>
      </c>
      <c r="M5704" s="14" t="s">
        <v>12374</v>
      </c>
      <c r="N5704" s="14"/>
      <c r="O5704" s="14"/>
      <c r="P5704" s="12">
        <v>1</v>
      </c>
      <c r="Q5704" s="12">
        <v>1</v>
      </c>
      <c r="R5704" s="12">
        <v>1</v>
      </c>
      <c r="S5704" s="12">
        <v>1</v>
      </c>
      <c r="T5704" s="14" t="s">
        <v>11722</v>
      </c>
      <c r="U5704" t="s">
        <v>11723</v>
      </c>
      <c r="V5704" s="14" t="s">
        <v>12375</v>
      </c>
      <c r="W5704" s="388">
        <v>1</v>
      </c>
      <c r="X5704" s="388">
        <v>0</v>
      </c>
      <c r="Y5704" s="388">
        <v>0</v>
      </c>
      <c r="Z5704" s="388">
        <v>1</v>
      </c>
      <c r="AA5704" s="388">
        <v>0</v>
      </c>
      <c r="AB5704" s="388">
        <v>0</v>
      </c>
      <c r="AC5704" s="150">
        <v>1</v>
      </c>
      <c r="AD5704" s="150">
        <v>1</v>
      </c>
      <c r="AE5704" s="49">
        <f t="shared" si="207"/>
        <v>0.5</v>
      </c>
      <c r="AF5704" s="397"/>
      <c r="AG5704" s="17">
        <v>0</v>
      </c>
      <c r="AH5704" s="397">
        <v>0</v>
      </c>
      <c r="AI5704" s="397">
        <v>0.2</v>
      </c>
      <c r="AJ5704" s="397">
        <v>0.2205</v>
      </c>
      <c r="AK5704" s="398">
        <v>0</v>
      </c>
      <c r="AL5704" s="398">
        <v>0</v>
      </c>
      <c r="AM5704" s="17">
        <f t="shared" si="206"/>
        <v>0</v>
      </c>
      <c r="AN5704" s="14" t="s">
        <v>11722</v>
      </c>
      <c r="AO5704" s="12" t="s">
        <v>11723</v>
      </c>
      <c r="AP5704" s="399"/>
      <c r="AQ5704" s="400"/>
      <c r="AR5704" s="399"/>
      <c r="AS5704" s="399"/>
      <c r="AT5704" s="399"/>
      <c r="AX5704" s="402"/>
    </row>
    <row r="5705" spans="1:50" s="12" customFormat="1" x14ac:dyDescent="0.3">
      <c r="A5705" s="386" t="s">
        <v>8325</v>
      </c>
      <c r="B5705" s="14" t="s">
        <v>8326</v>
      </c>
      <c r="C5705" s="14" t="s">
        <v>11714</v>
      </c>
      <c r="D5705" s="12" t="s">
        <v>6838</v>
      </c>
      <c r="E5705" s="14" t="s">
        <v>11989</v>
      </c>
      <c r="F5705" s="12" t="s">
        <v>11990</v>
      </c>
      <c r="G5705" s="14" t="s">
        <v>12194</v>
      </c>
      <c r="H5705" s="12" t="s">
        <v>12195</v>
      </c>
      <c r="K5705" s="14" t="s">
        <v>12196</v>
      </c>
      <c r="L5705" s="12" t="s">
        <v>12197</v>
      </c>
      <c r="M5705" s="14" t="s">
        <v>12376</v>
      </c>
      <c r="N5705" s="14"/>
      <c r="O5705" s="14"/>
      <c r="Q5705" s="12">
        <v>1</v>
      </c>
      <c r="T5705" s="14" t="s">
        <v>11722</v>
      </c>
      <c r="U5705" t="s">
        <v>11723</v>
      </c>
      <c r="V5705" s="14" t="s">
        <v>12377</v>
      </c>
      <c r="W5705" s="388">
        <v>1</v>
      </c>
      <c r="X5705" s="388">
        <v>0</v>
      </c>
      <c r="Y5705" s="388">
        <v>0</v>
      </c>
      <c r="Z5705" s="388">
        <v>1</v>
      </c>
      <c r="AA5705" s="388">
        <v>0</v>
      </c>
      <c r="AB5705" s="388">
        <v>0</v>
      </c>
      <c r="AC5705" s="150">
        <v>1</v>
      </c>
      <c r="AD5705" s="150">
        <v>1</v>
      </c>
      <c r="AE5705" s="49">
        <f t="shared" si="207"/>
        <v>0.5</v>
      </c>
      <c r="AF5705" s="397"/>
      <c r="AG5705" s="17">
        <v>0</v>
      </c>
      <c r="AH5705" s="397">
        <v>0</v>
      </c>
      <c r="AI5705" s="397">
        <v>0</v>
      </c>
      <c r="AJ5705" s="397">
        <v>0.29767500000000002</v>
      </c>
      <c r="AK5705" s="398">
        <v>0</v>
      </c>
      <c r="AL5705" s="398">
        <v>0</v>
      </c>
      <c r="AM5705" s="17">
        <f t="shared" si="206"/>
        <v>0</v>
      </c>
      <c r="AN5705" s="14" t="s">
        <v>11722</v>
      </c>
      <c r="AO5705" s="12" t="s">
        <v>11723</v>
      </c>
      <c r="AP5705" s="399"/>
      <c r="AQ5705" s="400"/>
      <c r="AR5705" s="399"/>
      <c r="AS5705" s="399"/>
      <c r="AT5705" s="399"/>
      <c r="AX5705" s="402"/>
    </row>
    <row r="5706" spans="1:50" s="12" customFormat="1" x14ac:dyDescent="0.3">
      <c r="A5706" s="386" t="s">
        <v>8325</v>
      </c>
      <c r="B5706" s="14" t="s">
        <v>8326</v>
      </c>
      <c r="C5706" s="14" t="s">
        <v>11714</v>
      </c>
      <c r="D5706" s="12" t="s">
        <v>6838</v>
      </c>
      <c r="E5706" s="14" t="s">
        <v>11989</v>
      </c>
      <c r="F5706" s="12" t="s">
        <v>11990</v>
      </c>
      <c r="G5706" s="14" t="s">
        <v>12194</v>
      </c>
      <c r="H5706" s="12" t="s">
        <v>12195</v>
      </c>
      <c r="K5706" s="14" t="s">
        <v>12196</v>
      </c>
      <c r="L5706" s="12" t="s">
        <v>12197</v>
      </c>
      <c r="M5706" s="14" t="s">
        <v>12378</v>
      </c>
      <c r="N5706" s="14"/>
      <c r="O5706" s="14"/>
      <c r="R5706" s="12">
        <v>1</v>
      </c>
      <c r="T5706" s="14" t="s">
        <v>11722</v>
      </c>
      <c r="U5706" t="s">
        <v>11723</v>
      </c>
      <c r="V5706" s="14" t="s">
        <v>12379</v>
      </c>
      <c r="W5706" s="388">
        <v>1</v>
      </c>
      <c r="X5706" s="388">
        <v>0</v>
      </c>
      <c r="Y5706" s="388">
        <v>0</v>
      </c>
      <c r="Z5706" s="388">
        <v>1</v>
      </c>
      <c r="AA5706" s="388">
        <v>0</v>
      </c>
      <c r="AB5706" s="388">
        <v>0</v>
      </c>
      <c r="AC5706" s="150">
        <v>1</v>
      </c>
      <c r="AD5706" s="150">
        <v>1</v>
      </c>
      <c r="AE5706" s="49">
        <f t="shared" si="207"/>
        <v>0.5</v>
      </c>
      <c r="AF5706" s="397"/>
      <c r="AG5706" s="17">
        <v>0</v>
      </c>
      <c r="AH5706" s="397">
        <v>0</v>
      </c>
      <c r="AI5706" s="397">
        <v>0</v>
      </c>
      <c r="AJ5706" s="397">
        <v>0</v>
      </c>
      <c r="AK5706" s="398">
        <v>0</v>
      </c>
      <c r="AL5706" s="398">
        <v>0</v>
      </c>
      <c r="AM5706" s="17">
        <f t="shared" si="206"/>
        <v>0</v>
      </c>
      <c r="AN5706" s="14" t="s">
        <v>11722</v>
      </c>
      <c r="AO5706" s="12" t="s">
        <v>11723</v>
      </c>
      <c r="AP5706" s="399"/>
      <c r="AQ5706" s="400"/>
      <c r="AR5706" s="399"/>
      <c r="AS5706" s="399"/>
      <c r="AT5706" s="399"/>
      <c r="AX5706" s="402"/>
    </row>
    <row r="5707" spans="1:50" s="12" customFormat="1" x14ac:dyDescent="0.3">
      <c r="A5707" s="386" t="s">
        <v>8325</v>
      </c>
      <c r="B5707" s="14" t="s">
        <v>8326</v>
      </c>
      <c r="C5707" s="14" t="s">
        <v>11714</v>
      </c>
      <c r="D5707" s="12" t="s">
        <v>6838</v>
      </c>
      <c r="E5707" s="14" t="s">
        <v>11989</v>
      </c>
      <c r="F5707" s="12" t="s">
        <v>11990</v>
      </c>
      <c r="G5707" s="14" t="s">
        <v>12194</v>
      </c>
      <c r="H5707" s="12" t="s">
        <v>12195</v>
      </c>
      <c r="K5707" s="14" t="s">
        <v>12196</v>
      </c>
      <c r="L5707" s="12" t="s">
        <v>12197</v>
      </c>
      <c r="M5707" s="14" t="s">
        <v>12380</v>
      </c>
      <c r="N5707" s="14"/>
      <c r="O5707" s="14"/>
      <c r="P5707" s="41">
        <v>0.5</v>
      </c>
      <c r="Q5707" s="41">
        <v>0.7</v>
      </c>
      <c r="R5707" s="41">
        <v>0.8</v>
      </c>
      <c r="S5707" s="41">
        <v>1</v>
      </c>
      <c r="T5707" s="14" t="s">
        <v>11722</v>
      </c>
      <c r="U5707" t="s">
        <v>11723</v>
      </c>
      <c r="V5707" s="14" t="s">
        <v>12381</v>
      </c>
      <c r="W5707" s="388">
        <v>1</v>
      </c>
      <c r="X5707" s="388">
        <v>0</v>
      </c>
      <c r="Y5707" s="388">
        <v>0</v>
      </c>
      <c r="Z5707" s="388">
        <v>1</v>
      </c>
      <c r="AA5707" s="388">
        <v>0</v>
      </c>
      <c r="AB5707" s="388">
        <v>0</v>
      </c>
      <c r="AC5707" s="150">
        <v>1</v>
      </c>
      <c r="AD5707" s="150">
        <v>1</v>
      </c>
      <c r="AE5707" s="49">
        <f t="shared" si="207"/>
        <v>0.5</v>
      </c>
      <c r="AF5707" s="397"/>
      <c r="AG5707" s="17">
        <v>0</v>
      </c>
      <c r="AH5707" s="397">
        <v>0</v>
      </c>
      <c r="AI5707" s="397">
        <v>2.8000000000000001E-2</v>
      </c>
      <c r="AJ5707" s="397">
        <v>1.7639999999999999E-2</v>
      </c>
      <c r="AK5707" s="398">
        <v>0</v>
      </c>
      <c r="AL5707" s="398">
        <v>0</v>
      </c>
      <c r="AM5707" s="17">
        <f t="shared" si="206"/>
        <v>0</v>
      </c>
      <c r="AN5707" s="14" t="s">
        <v>11722</v>
      </c>
      <c r="AO5707" s="12" t="s">
        <v>11723</v>
      </c>
      <c r="AP5707" s="399"/>
      <c r="AQ5707" s="400"/>
      <c r="AR5707" s="399"/>
      <c r="AS5707" s="399"/>
      <c r="AT5707" s="399"/>
      <c r="AX5707" s="402"/>
    </row>
    <row r="5708" spans="1:50" s="12" customFormat="1" x14ac:dyDescent="0.3">
      <c r="A5708" s="386" t="s">
        <v>8325</v>
      </c>
      <c r="B5708" s="14" t="s">
        <v>8326</v>
      </c>
      <c r="C5708" s="14" t="s">
        <v>11714</v>
      </c>
      <c r="D5708" s="12" t="s">
        <v>6838</v>
      </c>
      <c r="E5708" s="14" t="s">
        <v>11989</v>
      </c>
      <c r="F5708" s="12" t="s">
        <v>11990</v>
      </c>
      <c r="G5708" s="14" t="s">
        <v>12194</v>
      </c>
      <c r="H5708" s="12" t="s">
        <v>12195</v>
      </c>
      <c r="K5708" s="14" t="s">
        <v>12196</v>
      </c>
      <c r="L5708" s="12" t="s">
        <v>12197</v>
      </c>
      <c r="M5708" s="14" t="s">
        <v>12382</v>
      </c>
      <c r="N5708" s="14"/>
      <c r="O5708" s="14"/>
      <c r="Q5708" s="12">
        <v>1</v>
      </c>
      <c r="T5708" s="14" t="s">
        <v>11722</v>
      </c>
      <c r="U5708" t="s">
        <v>11723</v>
      </c>
      <c r="V5708" s="14" t="s">
        <v>12383</v>
      </c>
      <c r="W5708" s="388">
        <v>1</v>
      </c>
      <c r="X5708" s="388">
        <v>0</v>
      </c>
      <c r="Y5708" s="388">
        <v>0</v>
      </c>
      <c r="Z5708" s="388">
        <v>1</v>
      </c>
      <c r="AA5708" s="388">
        <v>0</v>
      </c>
      <c r="AB5708" s="388">
        <v>0</v>
      </c>
      <c r="AC5708" s="150">
        <v>1</v>
      </c>
      <c r="AD5708" s="150">
        <v>1</v>
      </c>
      <c r="AE5708" s="49">
        <f t="shared" si="207"/>
        <v>0.5</v>
      </c>
      <c r="AF5708" s="397"/>
      <c r="AG5708" s="17">
        <v>0</v>
      </c>
      <c r="AH5708" s="397">
        <v>0</v>
      </c>
      <c r="AI5708" s="397">
        <v>0</v>
      </c>
      <c r="AJ5708" s="397">
        <v>3.15E-2</v>
      </c>
      <c r="AK5708" s="398">
        <v>0</v>
      </c>
      <c r="AL5708" s="398">
        <v>0</v>
      </c>
      <c r="AM5708" s="17">
        <f t="shared" si="206"/>
        <v>0</v>
      </c>
      <c r="AN5708" s="14" t="s">
        <v>11722</v>
      </c>
      <c r="AO5708" s="12" t="s">
        <v>11723</v>
      </c>
      <c r="AP5708" s="399"/>
      <c r="AQ5708" s="400"/>
      <c r="AR5708" s="399"/>
      <c r="AS5708" s="399"/>
      <c r="AT5708" s="399"/>
      <c r="AX5708" s="402"/>
    </row>
    <row r="5709" spans="1:50" s="12" customFormat="1" x14ac:dyDescent="0.3">
      <c r="A5709" s="386" t="s">
        <v>8325</v>
      </c>
      <c r="B5709" s="14" t="s">
        <v>8326</v>
      </c>
      <c r="C5709" s="14" t="s">
        <v>11714</v>
      </c>
      <c r="D5709" s="12" t="s">
        <v>6838</v>
      </c>
      <c r="E5709" s="14" t="s">
        <v>11989</v>
      </c>
      <c r="F5709" s="12" t="s">
        <v>11990</v>
      </c>
      <c r="G5709" s="14" t="s">
        <v>12194</v>
      </c>
      <c r="H5709" s="12" t="s">
        <v>12195</v>
      </c>
      <c r="K5709" s="14" t="s">
        <v>12196</v>
      </c>
      <c r="L5709" s="12" t="s">
        <v>12197</v>
      </c>
      <c r="M5709" s="14"/>
      <c r="N5709" s="14"/>
      <c r="O5709" s="14"/>
      <c r="T5709" s="14" t="s">
        <v>11722</v>
      </c>
      <c r="U5709" t="s">
        <v>11723</v>
      </c>
      <c r="V5709" s="14" t="s">
        <v>12384</v>
      </c>
      <c r="W5709" s="388">
        <v>1</v>
      </c>
      <c r="X5709" s="388">
        <v>0</v>
      </c>
      <c r="Y5709" s="388">
        <v>0</v>
      </c>
      <c r="Z5709" s="388">
        <v>1</v>
      </c>
      <c r="AA5709" s="388">
        <v>0</v>
      </c>
      <c r="AB5709" s="388">
        <v>0</v>
      </c>
      <c r="AC5709" s="150">
        <v>1</v>
      </c>
      <c r="AD5709" s="150">
        <v>1</v>
      </c>
      <c r="AE5709" s="49">
        <f t="shared" si="207"/>
        <v>0.5</v>
      </c>
      <c r="AF5709" s="397"/>
      <c r="AG5709" s="17">
        <v>0</v>
      </c>
      <c r="AH5709" s="397">
        <v>0</v>
      </c>
      <c r="AI5709" s="397">
        <v>0</v>
      </c>
      <c r="AJ5709" s="397">
        <v>0</v>
      </c>
      <c r="AK5709" s="398">
        <v>0</v>
      </c>
      <c r="AL5709" s="398">
        <v>0</v>
      </c>
      <c r="AM5709" s="17">
        <f t="shared" si="206"/>
        <v>0</v>
      </c>
      <c r="AN5709" s="14" t="s">
        <v>11722</v>
      </c>
      <c r="AO5709" s="12" t="s">
        <v>11723</v>
      </c>
      <c r="AP5709" s="399"/>
      <c r="AQ5709" s="400"/>
      <c r="AR5709" s="399"/>
      <c r="AS5709" s="399"/>
      <c r="AT5709" s="399"/>
      <c r="AX5709" s="402"/>
    </row>
    <row r="5710" spans="1:50" s="14" customFormat="1" x14ac:dyDescent="0.3">
      <c r="A5710" s="386" t="s">
        <v>8325</v>
      </c>
      <c r="B5710" s="14" t="s">
        <v>8326</v>
      </c>
      <c r="C5710" s="14" t="s">
        <v>11714</v>
      </c>
      <c r="D5710" s="14" t="s">
        <v>6838</v>
      </c>
      <c r="E5710" s="14" t="s">
        <v>11989</v>
      </c>
      <c r="F5710" s="12" t="s">
        <v>11990</v>
      </c>
      <c r="G5710" s="14" t="s">
        <v>12194</v>
      </c>
      <c r="H5710" s="12" t="s">
        <v>12195</v>
      </c>
      <c r="K5710" s="14" t="s">
        <v>12196</v>
      </c>
      <c r="L5710" s="12" t="s">
        <v>12197</v>
      </c>
      <c r="M5710" s="14" t="s">
        <v>12020</v>
      </c>
      <c r="P5710" s="12"/>
      <c r="Q5710" s="12">
        <v>296</v>
      </c>
      <c r="R5710" s="12">
        <v>296</v>
      </c>
      <c r="S5710" s="12">
        <v>296</v>
      </c>
      <c r="T5710" s="14" t="s">
        <v>11865</v>
      </c>
      <c r="U5710" t="s">
        <v>11866</v>
      </c>
      <c r="V5710" s="14" t="s">
        <v>12385</v>
      </c>
      <c r="W5710" s="388"/>
      <c r="X5710" s="388"/>
      <c r="Y5710" s="388"/>
      <c r="Z5710" s="388"/>
      <c r="AA5710" s="388"/>
      <c r="AB5710" s="388"/>
      <c r="AC5710" s="150">
        <v>0</v>
      </c>
      <c r="AD5710" s="150">
        <v>0</v>
      </c>
      <c r="AE5710" s="49">
        <f t="shared" si="207"/>
        <v>0</v>
      </c>
      <c r="AF5710" s="397"/>
      <c r="AG5710" s="17">
        <v>0</v>
      </c>
      <c r="AH5710" s="397"/>
      <c r="AI5710" s="397"/>
      <c r="AJ5710" s="397">
        <v>3.2</v>
      </c>
      <c r="AK5710" s="398">
        <v>0</v>
      </c>
      <c r="AL5710" s="398">
        <v>0</v>
      </c>
      <c r="AM5710" s="17">
        <f t="shared" si="206"/>
        <v>0</v>
      </c>
      <c r="AN5710" s="14" t="s">
        <v>11865</v>
      </c>
      <c r="AO5710" s="12" t="s">
        <v>11866</v>
      </c>
      <c r="AP5710" s="399"/>
      <c r="AQ5710" s="400"/>
      <c r="AR5710" s="399"/>
      <c r="AS5710" s="399"/>
      <c r="AT5710" s="399"/>
      <c r="AX5710" s="400"/>
    </row>
    <row r="5711" spans="1:50" s="12" customFormat="1" x14ac:dyDescent="0.3">
      <c r="A5711" s="386" t="s">
        <v>8325</v>
      </c>
      <c r="B5711" s="14" t="s">
        <v>8326</v>
      </c>
      <c r="C5711" s="14" t="s">
        <v>11714</v>
      </c>
      <c r="D5711" s="12" t="s">
        <v>6838</v>
      </c>
      <c r="E5711" s="14" t="s">
        <v>11989</v>
      </c>
      <c r="F5711" s="12" t="s">
        <v>11990</v>
      </c>
      <c r="G5711" s="14" t="s">
        <v>12194</v>
      </c>
      <c r="H5711" s="12" t="s">
        <v>12195</v>
      </c>
      <c r="K5711" s="14" t="s">
        <v>12196</v>
      </c>
      <c r="L5711" s="12" t="s">
        <v>12197</v>
      </c>
      <c r="M5711" s="14" t="s">
        <v>12386</v>
      </c>
      <c r="N5711" s="14"/>
      <c r="O5711" s="14">
        <v>0</v>
      </c>
      <c r="P5711" s="404">
        <v>0</v>
      </c>
      <c r="Q5711" s="404">
        <v>2</v>
      </c>
      <c r="R5711" s="404">
        <v>0</v>
      </c>
      <c r="S5711" s="404">
        <v>1</v>
      </c>
      <c r="T5711" s="14" t="s">
        <v>11722</v>
      </c>
      <c r="U5711" t="s">
        <v>11723</v>
      </c>
      <c r="V5711" s="14" t="s">
        <v>12387</v>
      </c>
      <c r="W5711" s="388">
        <v>1</v>
      </c>
      <c r="X5711" s="388">
        <v>0</v>
      </c>
      <c r="Y5711" s="388">
        <v>0</v>
      </c>
      <c r="Z5711" s="388">
        <v>1</v>
      </c>
      <c r="AA5711" s="388">
        <v>0</v>
      </c>
      <c r="AB5711" s="388">
        <v>0</v>
      </c>
      <c r="AC5711" s="150">
        <v>1</v>
      </c>
      <c r="AD5711" s="150">
        <v>1</v>
      </c>
      <c r="AE5711" s="49">
        <f t="shared" si="207"/>
        <v>0.5</v>
      </c>
      <c r="AF5711" s="397"/>
      <c r="AG5711" s="17">
        <v>0</v>
      </c>
      <c r="AH5711" s="397">
        <v>0</v>
      </c>
      <c r="AI5711" s="397">
        <v>0</v>
      </c>
      <c r="AJ5711" s="397">
        <v>3.3839999999999999</v>
      </c>
      <c r="AK5711" s="398">
        <v>0</v>
      </c>
      <c r="AL5711" s="398">
        <v>0</v>
      </c>
      <c r="AM5711" s="17">
        <f t="shared" si="206"/>
        <v>0</v>
      </c>
      <c r="AN5711" s="14" t="s">
        <v>11730</v>
      </c>
      <c r="AO5711" s="12" t="s">
        <v>11723</v>
      </c>
      <c r="AP5711" s="405"/>
      <c r="AQ5711" s="400"/>
      <c r="AR5711" s="405"/>
      <c r="AS5711" s="405"/>
      <c r="AT5711" s="405"/>
      <c r="AX5711" s="402"/>
    </row>
    <row r="5712" spans="1:50" s="12" customFormat="1" x14ac:dyDescent="0.3">
      <c r="A5712" s="386" t="s">
        <v>8325</v>
      </c>
      <c r="B5712" s="14" t="s">
        <v>8326</v>
      </c>
      <c r="C5712" s="14" t="s">
        <v>11714</v>
      </c>
      <c r="D5712" s="12" t="s">
        <v>6838</v>
      </c>
      <c r="E5712" s="14" t="s">
        <v>11989</v>
      </c>
      <c r="F5712" s="12" t="s">
        <v>11990</v>
      </c>
      <c r="G5712" s="14" t="s">
        <v>12194</v>
      </c>
      <c r="H5712" s="12" t="s">
        <v>12195</v>
      </c>
      <c r="K5712" s="14" t="s">
        <v>12196</v>
      </c>
      <c r="L5712" s="12" t="s">
        <v>12197</v>
      </c>
      <c r="M5712" s="14" t="s">
        <v>11812</v>
      </c>
      <c r="N5712" s="14"/>
      <c r="O5712" s="14">
        <v>0</v>
      </c>
      <c r="P5712" s="404">
        <v>0</v>
      </c>
      <c r="Q5712" s="404">
        <v>50</v>
      </c>
      <c r="R5712" s="404">
        <v>0</v>
      </c>
      <c r="S5712" s="404">
        <v>50</v>
      </c>
      <c r="T5712" s="14" t="s">
        <v>11722</v>
      </c>
      <c r="U5712" t="s">
        <v>11723</v>
      </c>
      <c r="V5712" s="14" t="s">
        <v>12388</v>
      </c>
      <c r="W5712" s="388">
        <v>1</v>
      </c>
      <c r="X5712" s="388">
        <v>0</v>
      </c>
      <c r="Y5712" s="388">
        <v>0</v>
      </c>
      <c r="Z5712" s="388">
        <v>1</v>
      </c>
      <c r="AA5712" s="388">
        <v>0</v>
      </c>
      <c r="AB5712" s="388">
        <v>0</v>
      </c>
      <c r="AC5712" s="150">
        <v>1</v>
      </c>
      <c r="AD5712" s="150">
        <v>1</v>
      </c>
      <c r="AE5712" s="49">
        <f t="shared" si="207"/>
        <v>0.5</v>
      </c>
      <c r="AF5712" s="397"/>
      <c r="AG5712" s="17">
        <v>0</v>
      </c>
      <c r="AH5712" s="397">
        <v>0</v>
      </c>
      <c r="AI5712" s="397">
        <v>0</v>
      </c>
      <c r="AJ5712" s="397">
        <v>0.12</v>
      </c>
      <c r="AK5712" s="398">
        <v>0</v>
      </c>
      <c r="AL5712" s="398">
        <v>0</v>
      </c>
      <c r="AM5712" s="17">
        <f t="shared" si="206"/>
        <v>0</v>
      </c>
      <c r="AN5712" s="14" t="s">
        <v>11730</v>
      </c>
      <c r="AO5712" s="12" t="s">
        <v>11723</v>
      </c>
      <c r="AP5712" s="405"/>
      <c r="AQ5712" s="400"/>
      <c r="AR5712" s="405"/>
      <c r="AS5712" s="405"/>
      <c r="AT5712" s="405"/>
      <c r="AX5712" s="402"/>
    </row>
    <row r="5713" spans="1:50" s="12" customFormat="1" x14ac:dyDescent="0.3">
      <c r="A5713" s="386" t="s">
        <v>8325</v>
      </c>
      <c r="B5713" s="14" t="s">
        <v>8326</v>
      </c>
      <c r="C5713" s="14" t="s">
        <v>11714</v>
      </c>
      <c r="D5713" s="12" t="s">
        <v>6838</v>
      </c>
      <c r="E5713" s="14" t="s">
        <v>11989</v>
      </c>
      <c r="F5713" s="12" t="s">
        <v>11990</v>
      </c>
      <c r="G5713" s="14" t="s">
        <v>12194</v>
      </c>
      <c r="H5713" s="12" t="s">
        <v>12195</v>
      </c>
      <c r="K5713" s="14" t="s">
        <v>12196</v>
      </c>
      <c r="L5713" s="12" t="s">
        <v>12197</v>
      </c>
      <c r="M5713" s="14" t="s">
        <v>12389</v>
      </c>
      <c r="N5713" s="14"/>
      <c r="O5713" s="14">
        <v>0</v>
      </c>
      <c r="P5713" s="404">
        <v>0</v>
      </c>
      <c r="Q5713" s="404">
        <v>2</v>
      </c>
      <c r="R5713" s="404">
        <v>0</v>
      </c>
      <c r="S5713" s="404">
        <v>0</v>
      </c>
      <c r="T5713" s="14" t="s">
        <v>11722</v>
      </c>
      <c r="U5713" t="s">
        <v>11723</v>
      </c>
      <c r="V5713" s="14" t="s">
        <v>12390</v>
      </c>
      <c r="W5713" s="388">
        <v>1</v>
      </c>
      <c r="X5713" s="388">
        <v>0</v>
      </c>
      <c r="Y5713" s="388">
        <v>0</v>
      </c>
      <c r="Z5713" s="388">
        <v>1</v>
      </c>
      <c r="AA5713" s="388">
        <v>0</v>
      </c>
      <c r="AB5713" s="388">
        <v>0</v>
      </c>
      <c r="AC5713" s="150">
        <v>1</v>
      </c>
      <c r="AD5713" s="150">
        <v>1</v>
      </c>
      <c r="AE5713" s="49">
        <f t="shared" si="207"/>
        <v>0.5</v>
      </c>
      <c r="AF5713" s="397"/>
      <c r="AG5713" s="17">
        <v>0</v>
      </c>
      <c r="AH5713" s="397">
        <v>0</v>
      </c>
      <c r="AI5713" s="397"/>
      <c r="AJ5713" s="397">
        <v>0.74199999999999999</v>
      </c>
      <c r="AK5713" s="398">
        <v>0</v>
      </c>
      <c r="AL5713" s="398"/>
      <c r="AM5713" s="17">
        <f t="shared" si="206"/>
        <v>0</v>
      </c>
      <c r="AN5713" s="14" t="s">
        <v>11730</v>
      </c>
      <c r="AO5713" s="12" t="s">
        <v>11723</v>
      </c>
      <c r="AP5713" s="405"/>
      <c r="AQ5713" s="400"/>
      <c r="AR5713" s="405"/>
      <c r="AS5713" s="405"/>
      <c r="AT5713" s="405"/>
      <c r="AX5713" s="402"/>
    </row>
    <row r="5714" spans="1:50" s="12" customFormat="1" x14ac:dyDescent="0.3">
      <c r="A5714" s="386" t="s">
        <v>8325</v>
      </c>
      <c r="B5714" s="14" t="s">
        <v>8326</v>
      </c>
      <c r="C5714" s="14" t="s">
        <v>11714</v>
      </c>
      <c r="D5714" s="12" t="s">
        <v>6838</v>
      </c>
      <c r="E5714" s="14" t="s">
        <v>11989</v>
      </c>
      <c r="F5714" s="12" t="s">
        <v>11990</v>
      </c>
      <c r="G5714" s="14" t="s">
        <v>12194</v>
      </c>
      <c r="H5714" s="12" t="s">
        <v>12195</v>
      </c>
      <c r="K5714" s="14" t="s">
        <v>12196</v>
      </c>
      <c r="L5714" s="12" t="s">
        <v>12197</v>
      </c>
      <c r="M5714" s="14" t="s">
        <v>12391</v>
      </c>
      <c r="N5714" s="14"/>
      <c r="O5714" s="14"/>
      <c r="P5714" s="404"/>
      <c r="Q5714" s="404">
        <v>1</v>
      </c>
      <c r="R5714" s="404">
        <v>0</v>
      </c>
      <c r="S5714" s="404">
        <v>1</v>
      </c>
      <c r="T5714" s="14" t="s">
        <v>11722</v>
      </c>
      <c r="U5714" t="s">
        <v>11723</v>
      </c>
      <c r="V5714" s="14" t="s">
        <v>12392</v>
      </c>
      <c r="W5714" s="388">
        <v>1</v>
      </c>
      <c r="X5714" s="388">
        <v>0</v>
      </c>
      <c r="Y5714" s="388">
        <v>0</v>
      </c>
      <c r="Z5714" s="388">
        <v>1</v>
      </c>
      <c r="AA5714" s="388">
        <v>0</v>
      </c>
      <c r="AB5714" s="388">
        <v>0</v>
      </c>
      <c r="AC5714" s="150">
        <v>1</v>
      </c>
      <c r="AD5714" s="150">
        <v>1</v>
      </c>
      <c r="AE5714" s="49">
        <f t="shared" si="207"/>
        <v>0.5</v>
      </c>
      <c r="AF5714" s="397"/>
      <c r="AG5714" s="17">
        <v>0</v>
      </c>
      <c r="AH5714" s="397">
        <v>0</v>
      </c>
      <c r="AI5714" s="397">
        <v>0</v>
      </c>
      <c r="AJ5714" s="397">
        <v>0.08</v>
      </c>
      <c r="AK5714" s="398">
        <v>0</v>
      </c>
      <c r="AL5714" s="398">
        <v>0</v>
      </c>
      <c r="AM5714" s="17">
        <f t="shared" si="206"/>
        <v>0</v>
      </c>
      <c r="AN5714" s="14" t="s">
        <v>11730</v>
      </c>
      <c r="AO5714" s="12" t="s">
        <v>11723</v>
      </c>
      <c r="AP5714" s="405"/>
      <c r="AQ5714" s="400"/>
      <c r="AR5714" s="405"/>
      <c r="AS5714" s="405"/>
      <c r="AT5714" s="405"/>
      <c r="AX5714" s="402"/>
    </row>
    <row r="5715" spans="1:50" s="12" customFormat="1" x14ac:dyDescent="0.3">
      <c r="A5715" s="386" t="s">
        <v>8325</v>
      </c>
      <c r="B5715" s="14" t="s">
        <v>8326</v>
      </c>
      <c r="C5715" s="14" t="s">
        <v>11714</v>
      </c>
      <c r="D5715" s="12" t="s">
        <v>6838</v>
      </c>
      <c r="E5715" s="14" t="s">
        <v>11989</v>
      </c>
      <c r="F5715" s="12" t="s">
        <v>11990</v>
      </c>
      <c r="G5715" s="14" t="s">
        <v>12194</v>
      </c>
      <c r="H5715" s="12" t="s">
        <v>12195</v>
      </c>
      <c r="K5715" s="14" t="s">
        <v>12196</v>
      </c>
      <c r="L5715" s="12" t="s">
        <v>12197</v>
      </c>
      <c r="M5715" s="14" t="s">
        <v>12393</v>
      </c>
      <c r="N5715" s="14"/>
      <c r="O5715" s="14"/>
      <c r="Q5715" s="12">
        <v>5</v>
      </c>
      <c r="R5715" s="12">
        <v>5</v>
      </c>
      <c r="S5715" s="12">
        <v>5</v>
      </c>
      <c r="T5715" s="14" t="s">
        <v>5578</v>
      </c>
      <c r="U5715" t="s">
        <v>880</v>
      </c>
      <c r="V5715" s="12" t="s">
        <v>12394</v>
      </c>
      <c r="W5715" s="407"/>
      <c r="X5715" s="407"/>
      <c r="Y5715" s="407"/>
      <c r="Z5715" s="407"/>
      <c r="AA5715" s="407"/>
      <c r="AB5715" s="407"/>
      <c r="AC5715" s="150">
        <v>0</v>
      </c>
      <c r="AD5715" s="150">
        <v>0</v>
      </c>
      <c r="AE5715" s="49">
        <f t="shared" si="207"/>
        <v>0</v>
      </c>
      <c r="AF5715" s="397"/>
      <c r="AG5715" s="17">
        <v>0</v>
      </c>
      <c r="AH5715" s="397">
        <v>0</v>
      </c>
      <c r="AI5715" s="397">
        <v>0</v>
      </c>
      <c r="AJ5715" s="397">
        <v>0.4</v>
      </c>
      <c r="AK5715" s="398">
        <v>0</v>
      </c>
      <c r="AL5715" s="398">
        <v>0</v>
      </c>
      <c r="AM5715" s="17">
        <f t="shared" si="206"/>
        <v>0</v>
      </c>
      <c r="AN5715" s="14" t="s">
        <v>5578</v>
      </c>
      <c r="AO5715" s="12" t="s">
        <v>880</v>
      </c>
      <c r="AP5715" s="405"/>
      <c r="AQ5715" s="402"/>
      <c r="AR5715" s="405"/>
      <c r="AS5715" s="405"/>
      <c r="AT5715" s="405"/>
      <c r="AX5715" s="402"/>
    </row>
    <row r="5716" spans="1:50" s="14" customFormat="1" x14ac:dyDescent="0.3">
      <c r="A5716" s="386" t="s">
        <v>8325</v>
      </c>
      <c r="B5716" s="14" t="s">
        <v>8326</v>
      </c>
      <c r="C5716" s="14" t="s">
        <v>11714</v>
      </c>
      <c r="D5716" s="14" t="s">
        <v>6838</v>
      </c>
      <c r="E5716" s="14" t="s">
        <v>11989</v>
      </c>
      <c r="F5716" s="12" t="s">
        <v>11990</v>
      </c>
      <c r="G5716" s="14" t="s">
        <v>12395</v>
      </c>
      <c r="H5716" s="12" t="s">
        <v>12396</v>
      </c>
      <c r="K5716" s="14" t="s">
        <v>12397</v>
      </c>
      <c r="L5716" s="12" t="s">
        <v>12398</v>
      </c>
      <c r="M5716" s="14" t="s">
        <v>12399</v>
      </c>
      <c r="N5716" s="14">
        <v>1</v>
      </c>
      <c r="P5716" s="12">
        <v>4</v>
      </c>
      <c r="Q5716" s="12">
        <v>5</v>
      </c>
      <c r="R5716" s="12">
        <v>3</v>
      </c>
      <c r="S5716" s="12">
        <v>4</v>
      </c>
      <c r="T5716" s="14" t="s">
        <v>11722</v>
      </c>
      <c r="U5716" t="s">
        <v>11723</v>
      </c>
      <c r="V5716" s="14" t="s">
        <v>12400</v>
      </c>
      <c r="W5716" s="388">
        <v>1</v>
      </c>
      <c r="X5716" s="388">
        <v>0</v>
      </c>
      <c r="Y5716" s="388">
        <v>0</v>
      </c>
      <c r="Z5716" s="388">
        <v>1</v>
      </c>
      <c r="AA5716" s="388">
        <v>1</v>
      </c>
      <c r="AB5716" s="388">
        <v>1</v>
      </c>
      <c r="AC5716" s="150">
        <v>1</v>
      </c>
      <c r="AD5716" s="150">
        <v>1</v>
      </c>
      <c r="AE5716" s="49">
        <f t="shared" si="207"/>
        <v>0.75</v>
      </c>
      <c r="AF5716" s="397"/>
      <c r="AG5716" s="17">
        <v>0</v>
      </c>
      <c r="AH5716" s="397">
        <v>0</v>
      </c>
      <c r="AI5716" s="397">
        <v>0.25900000000000001</v>
      </c>
      <c r="AJ5716" s="397">
        <v>0.33232499999999998</v>
      </c>
      <c r="AK5716" s="398">
        <v>0</v>
      </c>
      <c r="AL5716" s="398">
        <v>0</v>
      </c>
      <c r="AM5716" s="17">
        <f t="shared" si="206"/>
        <v>0</v>
      </c>
      <c r="AN5716" s="14" t="s">
        <v>11730</v>
      </c>
      <c r="AO5716" s="12" t="s">
        <v>11723</v>
      </c>
      <c r="AP5716" s="399"/>
      <c r="AQ5716" s="400"/>
      <c r="AR5716" s="399"/>
      <c r="AS5716" s="399"/>
      <c r="AT5716" s="399"/>
      <c r="AX5716" s="400"/>
    </row>
    <row r="5717" spans="1:50" s="14" customFormat="1" x14ac:dyDescent="0.3">
      <c r="A5717" s="386" t="s">
        <v>8325</v>
      </c>
      <c r="B5717" s="14" t="s">
        <v>8326</v>
      </c>
      <c r="C5717" s="14" t="s">
        <v>11714</v>
      </c>
      <c r="D5717" s="14" t="s">
        <v>6838</v>
      </c>
      <c r="E5717" s="14" t="s">
        <v>11989</v>
      </c>
      <c r="F5717" s="12" t="s">
        <v>11990</v>
      </c>
      <c r="G5717" s="14" t="s">
        <v>12395</v>
      </c>
      <c r="H5717" s="12" t="s">
        <v>12396</v>
      </c>
      <c r="K5717" s="14" t="s">
        <v>12397</v>
      </c>
      <c r="L5717" s="12" t="s">
        <v>12398</v>
      </c>
      <c r="M5717" s="14" t="s">
        <v>12401</v>
      </c>
      <c r="N5717" s="14">
        <v>279</v>
      </c>
      <c r="O5717" s="14">
        <v>140</v>
      </c>
      <c r="P5717" s="12">
        <v>160</v>
      </c>
      <c r="Q5717" s="12">
        <v>160</v>
      </c>
      <c r="R5717" s="12">
        <v>160</v>
      </c>
      <c r="S5717" s="12">
        <v>160</v>
      </c>
      <c r="T5717" s="14" t="s">
        <v>11722</v>
      </c>
      <c r="U5717" t="s">
        <v>11723</v>
      </c>
      <c r="V5717" s="14" t="s">
        <v>12402</v>
      </c>
      <c r="W5717" s="388">
        <v>1</v>
      </c>
      <c r="X5717" s="388">
        <v>0</v>
      </c>
      <c r="Y5717" s="388">
        <v>0</v>
      </c>
      <c r="Z5717" s="388">
        <v>1</v>
      </c>
      <c r="AA5717" s="388">
        <v>1</v>
      </c>
      <c r="AB5717" s="388">
        <v>1</v>
      </c>
      <c r="AC5717" s="150">
        <v>1</v>
      </c>
      <c r="AD5717" s="150">
        <v>1</v>
      </c>
      <c r="AE5717" s="49">
        <f t="shared" si="207"/>
        <v>0.75</v>
      </c>
      <c r="AF5717" s="397"/>
      <c r="AG5717" s="17">
        <v>0</v>
      </c>
      <c r="AH5717" s="397">
        <v>0.1</v>
      </c>
      <c r="AI5717" s="397">
        <v>0.21279999999999999</v>
      </c>
      <c r="AJ5717" s="397">
        <v>0.22344</v>
      </c>
      <c r="AK5717" s="398">
        <v>0.3</v>
      </c>
      <c r="AL5717" s="398">
        <v>0.3</v>
      </c>
      <c r="AM5717" s="17">
        <f t="shared" si="206"/>
        <v>0.6</v>
      </c>
      <c r="AN5717" s="14" t="s">
        <v>11730</v>
      </c>
      <c r="AO5717" s="12" t="s">
        <v>11723</v>
      </c>
      <c r="AP5717" s="399"/>
      <c r="AQ5717" s="400"/>
      <c r="AR5717" s="399"/>
      <c r="AS5717" s="399"/>
      <c r="AT5717" s="399"/>
      <c r="AX5717" s="400"/>
    </row>
    <row r="5718" spans="1:50" s="14" customFormat="1" x14ac:dyDescent="0.3">
      <c r="A5718" s="386" t="s">
        <v>8325</v>
      </c>
      <c r="B5718" s="14" t="s">
        <v>8326</v>
      </c>
      <c r="C5718" s="14" t="s">
        <v>11807</v>
      </c>
      <c r="D5718" s="14" t="s">
        <v>11808</v>
      </c>
      <c r="E5718" s="14" t="s">
        <v>12017</v>
      </c>
      <c r="F5718" s="12" t="s">
        <v>11990</v>
      </c>
      <c r="G5718" s="14" t="s">
        <v>12403</v>
      </c>
      <c r="H5718" s="12" t="s">
        <v>12396</v>
      </c>
      <c r="K5718" s="14" t="s">
        <v>12404</v>
      </c>
      <c r="L5718" s="12" t="s">
        <v>12398</v>
      </c>
      <c r="M5718" s="14" t="s">
        <v>12405</v>
      </c>
      <c r="O5718" s="14">
        <v>4</v>
      </c>
      <c r="P5718" s="12">
        <v>4</v>
      </c>
      <c r="Q5718" s="12">
        <v>4</v>
      </c>
      <c r="R5718" s="12">
        <v>4</v>
      </c>
      <c r="S5718" s="12">
        <v>4</v>
      </c>
      <c r="T5718" s="14" t="s">
        <v>11722</v>
      </c>
      <c r="U5718" t="s">
        <v>11723</v>
      </c>
      <c r="V5718" s="14" t="s">
        <v>12406</v>
      </c>
      <c r="W5718" s="388">
        <v>1</v>
      </c>
      <c r="X5718" s="388">
        <v>0</v>
      </c>
      <c r="Y5718" s="388">
        <v>0</v>
      </c>
      <c r="Z5718" s="388">
        <v>1</v>
      </c>
      <c r="AA5718" s="388">
        <v>1</v>
      </c>
      <c r="AB5718" s="388">
        <v>1</v>
      </c>
      <c r="AC5718" s="150">
        <v>1</v>
      </c>
      <c r="AD5718" s="150">
        <v>1</v>
      </c>
      <c r="AE5718" s="49">
        <f t="shared" si="207"/>
        <v>0.75</v>
      </c>
      <c r="AF5718" s="397"/>
      <c r="AG5718" s="17">
        <v>0</v>
      </c>
      <c r="AH5718" s="397">
        <v>9.8599999999999993E-2</v>
      </c>
      <c r="AI5718" s="397">
        <v>0.1852</v>
      </c>
      <c r="AJ5718" s="397">
        <v>0.19445999999999999</v>
      </c>
      <c r="AK5718" s="398">
        <v>0.19</v>
      </c>
      <c r="AL5718" s="398">
        <v>0.19</v>
      </c>
      <c r="AM5718" s="17">
        <f t="shared" si="206"/>
        <v>0.38</v>
      </c>
      <c r="AN5718" s="14" t="s">
        <v>11730</v>
      </c>
      <c r="AO5718" s="12" t="s">
        <v>11723</v>
      </c>
      <c r="AP5718" s="399"/>
      <c r="AQ5718" s="399"/>
      <c r="AR5718" s="399"/>
      <c r="AS5718" s="399"/>
      <c r="AT5718" s="399"/>
      <c r="AX5718" s="400"/>
    </row>
    <row r="5719" spans="1:50" s="14" customFormat="1" x14ac:dyDescent="0.3">
      <c r="A5719" s="386" t="s">
        <v>8325</v>
      </c>
      <c r="B5719" s="14" t="s">
        <v>8326</v>
      </c>
      <c r="C5719" s="14" t="s">
        <v>11905</v>
      </c>
      <c r="D5719" s="14" t="s">
        <v>11906</v>
      </c>
      <c r="E5719" s="14" t="s">
        <v>12053</v>
      </c>
      <c r="F5719" s="12" t="s">
        <v>11990</v>
      </c>
      <c r="G5719" s="14" t="s">
        <v>12407</v>
      </c>
      <c r="H5719" s="12" t="s">
        <v>12396</v>
      </c>
      <c r="K5719" s="14" t="s">
        <v>12408</v>
      </c>
      <c r="L5719" s="12" t="s">
        <v>12398</v>
      </c>
      <c r="M5719" s="14" t="s">
        <v>12409</v>
      </c>
      <c r="N5719" s="14">
        <v>0</v>
      </c>
      <c r="O5719" s="14">
        <v>1</v>
      </c>
      <c r="P5719" s="12">
        <v>1</v>
      </c>
      <c r="Q5719" s="12">
        <v>1</v>
      </c>
      <c r="R5719" s="12">
        <v>1</v>
      </c>
      <c r="S5719" s="12">
        <v>1</v>
      </c>
      <c r="T5719" s="14" t="s">
        <v>11722</v>
      </c>
      <c r="U5719" t="s">
        <v>11723</v>
      </c>
      <c r="V5719" s="14" t="s">
        <v>12410</v>
      </c>
      <c r="W5719" s="388">
        <v>1</v>
      </c>
      <c r="X5719" s="388">
        <v>0</v>
      </c>
      <c r="Y5719" s="388">
        <v>0</v>
      </c>
      <c r="Z5719" s="388">
        <v>1</v>
      </c>
      <c r="AA5719" s="388">
        <v>1</v>
      </c>
      <c r="AB5719" s="388">
        <v>1</v>
      </c>
      <c r="AC5719" s="150">
        <v>1</v>
      </c>
      <c r="AD5719" s="150">
        <v>1</v>
      </c>
      <c r="AE5719" s="49">
        <f t="shared" si="207"/>
        <v>0.75</v>
      </c>
      <c r="AF5719" s="397"/>
      <c r="AG5719" s="17">
        <v>0</v>
      </c>
      <c r="AH5719" s="397">
        <v>0.18</v>
      </c>
      <c r="AI5719" s="397">
        <v>0.18</v>
      </c>
      <c r="AJ5719" s="397">
        <v>0.18</v>
      </c>
      <c r="AK5719" s="398">
        <v>0.36</v>
      </c>
      <c r="AL5719" s="398">
        <v>0.36</v>
      </c>
      <c r="AM5719" s="17">
        <f t="shared" si="206"/>
        <v>0.72</v>
      </c>
      <c r="AN5719" s="14" t="s">
        <v>11722</v>
      </c>
      <c r="AO5719" s="12" t="s">
        <v>11723</v>
      </c>
      <c r="AP5719" s="399"/>
      <c r="AQ5719" s="399"/>
      <c r="AR5719" s="399"/>
      <c r="AS5719" s="399"/>
      <c r="AT5719" s="399"/>
      <c r="AX5719" s="400"/>
    </row>
    <row r="5720" spans="1:50" s="14" customFormat="1" x14ac:dyDescent="0.3">
      <c r="A5720" s="386" t="s">
        <v>8325</v>
      </c>
      <c r="B5720" s="14" t="s">
        <v>8326</v>
      </c>
      <c r="C5720" s="14" t="s">
        <v>11905</v>
      </c>
      <c r="D5720" s="14" t="s">
        <v>11906</v>
      </c>
      <c r="E5720" s="14" t="s">
        <v>12053</v>
      </c>
      <c r="F5720" s="12" t="s">
        <v>11990</v>
      </c>
      <c r="G5720" s="14" t="s">
        <v>12407</v>
      </c>
      <c r="H5720" s="12" t="s">
        <v>12396</v>
      </c>
      <c r="K5720" s="14" t="s">
        <v>12408</v>
      </c>
      <c r="L5720" s="12" t="s">
        <v>12398</v>
      </c>
      <c r="M5720" s="14" t="s">
        <v>12411</v>
      </c>
      <c r="N5720" s="14">
        <v>5</v>
      </c>
      <c r="O5720" s="14">
        <v>5</v>
      </c>
      <c r="P5720" s="12">
        <v>4</v>
      </c>
      <c r="Q5720" s="12">
        <v>4</v>
      </c>
      <c r="R5720" s="12">
        <v>4</v>
      </c>
      <c r="S5720" s="12">
        <v>4</v>
      </c>
      <c r="T5720" s="14" t="s">
        <v>11722</v>
      </c>
      <c r="U5720" t="s">
        <v>11723</v>
      </c>
      <c r="V5720" s="14" t="s">
        <v>12412</v>
      </c>
      <c r="W5720" s="388">
        <v>1</v>
      </c>
      <c r="X5720" s="388">
        <v>0</v>
      </c>
      <c r="Y5720" s="388">
        <v>0</v>
      </c>
      <c r="Z5720" s="388">
        <v>1</v>
      </c>
      <c r="AA5720" s="388">
        <v>1</v>
      </c>
      <c r="AB5720" s="388">
        <v>1</v>
      </c>
      <c r="AC5720" s="150">
        <v>1</v>
      </c>
      <c r="AD5720" s="150">
        <v>1</v>
      </c>
      <c r="AE5720" s="49">
        <f t="shared" si="207"/>
        <v>0.75</v>
      </c>
      <c r="AF5720" s="397"/>
      <c r="AG5720" s="17">
        <v>0</v>
      </c>
      <c r="AH5720" s="397">
        <f>5*0.072</f>
        <v>0.36</v>
      </c>
      <c r="AI5720" s="397">
        <f>4*0.072</f>
        <v>0.28799999999999998</v>
      </c>
      <c r="AJ5720" s="397">
        <f>4*0.072</f>
        <v>0.28799999999999998</v>
      </c>
      <c r="AK5720" s="398">
        <v>0.42799999999999999</v>
      </c>
      <c r="AL5720" s="398">
        <v>0.42799999999999999</v>
      </c>
      <c r="AM5720" s="17">
        <f t="shared" si="206"/>
        <v>0.85599999999999998</v>
      </c>
      <c r="AN5720" s="14" t="s">
        <v>11722</v>
      </c>
      <c r="AO5720" s="12" t="s">
        <v>11723</v>
      </c>
      <c r="AP5720" s="399"/>
      <c r="AQ5720" s="399"/>
      <c r="AR5720" s="399"/>
      <c r="AS5720" s="399"/>
      <c r="AT5720" s="399"/>
      <c r="AX5720" s="400"/>
    </row>
    <row r="5721" spans="1:50" s="14" customFormat="1" x14ac:dyDescent="0.3">
      <c r="A5721" s="386" t="s">
        <v>8325</v>
      </c>
      <c r="B5721" s="14" t="s">
        <v>8326</v>
      </c>
      <c r="C5721" s="14" t="s">
        <v>11905</v>
      </c>
      <c r="D5721" s="14" t="s">
        <v>11906</v>
      </c>
      <c r="E5721" s="14" t="s">
        <v>12053</v>
      </c>
      <c r="F5721" s="12" t="s">
        <v>11990</v>
      </c>
      <c r="G5721" s="14" t="s">
        <v>12407</v>
      </c>
      <c r="H5721" s="12" t="s">
        <v>12396</v>
      </c>
      <c r="K5721" s="14" t="s">
        <v>12408</v>
      </c>
      <c r="L5721" s="12" t="s">
        <v>12398</v>
      </c>
      <c r="M5721" s="14" t="s">
        <v>12413</v>
      </c>
      <c r="O5721" s="14">
        <v>14</v>
      </c>
      <c r="P5721" s="12">
        <v>15</v>
      </c>
      <c r="Q5721" s="12">
        <v>17</v>
      </c>
      <c r="R5721" s="12">
        <v>19</v>
      </c>
      <c r="S5721" s="12">
        <v>20</v>
      </c>
      <c r="T5721" s="14" t="s">
        <v>11722</v>
      </c>
      <c r="U5721" t="s">
        <v>11723</v>
      </c>
      <c r="V5721" s="14" t="s">
        <v>12410</v>
      </c>
      <c r="W5721" s="388">
        <v>1</v>
      </c>
      <c r="X5721" s="388">
        <v>0</v>
      </c>
      <c r="Y5721" s="388">
        <v>0</v>
      </c>
      <c r="Z5721" s="388">
        <v>1</v>
      </c>
      <c r="AA5721" s="388">
        <v>1</v>
      </c>
      <c r="AB5721" s="388">
        <v>1</v>
      </c>
      <c r="AC5721" s="150">
        <v>1</v>
      </c>
      <c r="AD5721" s="150">
        <v>1</v>
      </c>
      <c r="AE5721" s="49">
        <f t="shared" si="207"/>
        <v>0.75</v>
      </c>
      <c r="AF5721" s="397"/>
      <c r="AG5721" s="17">
        <v>0</v>
      </c>
      <c r="AH5721" s="397">
        <f>14*0.072</f>
        <v>1.008</v>
      </c>
      <c r="AI5721" s="397">
        <f>15*0.072</f>
        <v>1.0799999999999998</v>
      </c>
      <c r="AJ5721" s="397">
        <f>17*0.072</f>
        <v>1.224</v>
      </c>
      <c r="AK5721" s="398">
        <v>1.08</v>
      </c>
      <c r="AL5721" s="398">
        <v>1.22</v>
      </c>
      <c r="AM5721" s="17">
        <f t="shared" si="206"/>
        <v>2.2999999999999998</v>
      </c>
      <c r="AN5721" s="14" t="s">
        <v>11722</v>
      </c>
      <c r="AO5721" s="12" t="s">
        <v>11723</v>
      </c>
      <c r="AP5721" s="399"/>
      <c r="AQ5721" s="399"/>
      <c r="AR5721" s="399"/>
      <c r="AS5721" s="399"/>
      <c r="AT5721" s="399"/>
      <c r="AX5721" s="400"/>
    </row>
    <row r="5722" spans="1:50" s="14" customFormat="1" x14ac:dyDescent="0.3">
      <c r="A5722" s="386" t="s">
        <v>8325</v>
      </c>
      <c r="B5722" s="14" t="s">
        <v>8326</v>
      </c>
      <c r="C5722" s="14" t="s">
        <v>11905</v>
      </c>
      <c r="D5722" s="14" t="s">
        <v>11906</v>
      </c>
      <c r="E5722" s="14" t="s">
        <v>12053</v>
      </c>
      <c r="F5722" s="12" t="s">
        <v>11990</v>
      </c>
      <c r="G5722" s="14" t="s">
        <v>12407</v>
      </c>
      <c r="H5722" s="12" t="s">
        <v>12396</v>
      </c>
      <c r="K5722" s="14" t="s">
        <v>12408</v>
      </c>
      <c r="L5722" s="12" t="s">
        <v>12398</v>
      </c>
      <c r="M5722" s="14" t="s">
        <v>12414</v>
      </c>
      <c r="N5722" s="14">
        <v>0</v>
      </c>
      <c r="O5722" s="14">
        <v>82</v>
      </c>
      <c r="P5722" s="12">
        <v>82</v>
      </c>
      <c r="Q5722" s="12">
        <v>105</v>
      </c>
      <c r="R5722" s="12">
        <v>127</v>
      </c>
      <c r="S5722" s="12">
        <v>146</v>
      </c>
      <c r="T5722" s="14" t="s">
        <v>11722</v>
      </c>
      <c r="U5722" t="s">
        <v>11723</v>
      </c>
      <c r="V5722" s="14" t="s">
        <v>12415</v>
      </c>
      <c r="W5722" s="388">
        <v>1</v>
      </c>
      <c r="X5722" s="388">
        <v>0</v>
      </c>
      <c r="Y5722" s="388">
        <v>0</v>
      </c>
      <c r="Z5722" s="388">
        <v>1</v>
      </c>
      <c r="AA5722" s="388">
        <v>1</v>
      </c>
      <c r="AB5722" s="388">
        <v>1</v>
      </c>
      <c r="AC5722" s="150">
        <v>1</v>
      </c>
      <c r="AD5722" s="150">
        <v>1</v>
      </c>
      <c r="AE5722" s="49">
        <f t="shared" si="207"/>
        <v>0.75</v>
      </c>
      <c r="AF5722" s="397"/>
      <c r="AG5722" s="17">
        <v>0</v>
      </c>
      <c r="AH5722" s="397">
        <f>82*0.036</f>
        <v>2.952</v>
      </c>
      <c r="AI5722" s="397">
        <f>82*0.036</f>
        <v>2.952</v>
      </c>
      <c r="AJ5722" s="397">
        <f>105*0.036</f>
        <v>3.78</v>
      </c>
      <c r="AK5722" s="398">
        <v>0</v>
      </c>
      <c r="AL5722" s="398">
        <v>0</v>
      </c>
      <c r="AM5722" s="17">
        <f t="shared" si="206"/>
        <v>0</v>
      </c>
      <c r="AN5722" s="14" t="s">
        <v>11722</v>
      </c>
      <c r="AO5722" s="12" t="s">
        <v>11723</v>
      </c>
      <c r="AP5722" s="399"/>
      <c r="AQ5722" s="399"/>
      <c r="AR5722" s="399"/>
      <c r="AS5722" s="399"/>
      <c r="AT5722" s="399"/>
      <c r="AX5722" s="400"/>
    </row>
    <row r="5723" spans="1:50" s="14" customFormat="1" x14ac:dyDescent="0.3">
      <c r="A5723" s="386" t="s">
        <v>8325</v>
      </c>
      <c r="B5723" s="14" t="s">
        <v>8326</v>
      </c>
      <c r="C5723" s="14" t="s">
        <v>11905</v>
      </c>
      <c r="D5723" s="14" t="s">
        <v>11906</v>
      </c>
      <c r="E5723" s="14" t="s">
        <v>12053</v>
      </c>
      <c r="F5723" s="12" t="s">
        <v>11990</v>
      </c>
      <c r="G5723" s="14" t="s">
        <v>12407</v>
      </c>
      <c r="H5723" s="12" t="s">
        <v>12396</v>
      </c>
      <c r="K5723" s="14" t="s">
        <v>12408</v>
      </c>
      <c r="L5723" s="12" t="s">
        <v>12398</v>
      </c>
      <c r="M5723" s="14" t="s">
        <v>12416</v>
      </c>
      <c r="O5723" s="14">
        <v>139</v>
      </c>
      <c r="P5723" s="12">
        <v>142</v>
      </c>
      <c r="Q5723" s="12">
        <v>148</v>
      </c>
      <c r="R5723" s="12">
        <v>154</v>
      </c>
      <c r="S5723" s="12">
        <v>160</v>
      </c>
      <c r="T5723" s="14" t="s">
        <v>11722</v>
      </c>
      <c r="U5723" t="s">
        <v>11723</v>
      </c>
      <c r="V5723" s="14" t="s">
        <v>12417</v>
      </c>
      <c r="W5723" s="388">
        <v>1</v>
      </c>
      <c r="X5723" s="388">
        <v>0</v>
      </c>
      <c r="Y5723" s="388">
        <v>0</v>
      </c>
      <c r="Z5723" s="388">
        <v>1</v>
      </c>
      <c r="AA5723" s="388">
        <v>1</v>
      </c>
      <c r="AB5723" s="388">
        <v>1</v>
      </c>
      <c r="AC5723" s="150">
        <v>1</v>
      </c>
      <c r="AD5723" s="150">
        <v>1</v>
      </c>
      <c r="AE5723" s="49">
        <f t="shared" si="207"/>
        <v>0.75</v>
      </c>
      <c r="AF5723" s="397"/>
      <c r="AG5723" s="17">
        <v>0</v>
      </c>
      <c r="AH5723" s="397">
        <f>139*0.024</f>
        <v>3.3359999999999999</v>
      </c>
      <c r="AI5723" s="397">
        <f>142*0.024</f>
        <v>3.4079999999999999</v>
      </c>
      <c r="AJ5723" s="397">
        <f>148*0.024</f>
        <v>3.552</v>
      </c>
      <c r="AK5723" s="398">
        <v>0</v>
      </c>
      <c r="AL5723" s="398">
        <v>0</v>
      </c>
      <c r="AM5723" s="17">
        <f t="shared" si="206"/>
        <v>0</v>
      </c>
      <c r="AN5723" s="14" t="s">
        <v>11722</v>
      </c>
      <c r="AO5723" s="12" t="s">
        <v>11723</v>
      </c>
      <c r="AP5723" s="399"/>
      <c r="AQ5723" s="399"/>
      <c r="AR5723" s="399"/>
      <c r="AS5723" s="399"/>
      <c r="AT5723" s="399"/>
      <c r="AX5723" s="400"/>
    </row>
    <row r="5724" spans="1:50" s="14" customFormat="1" x14ac:dyDescent="0.3">
      <c r="A5724" s="386" t="s">
        <v>8325</v>
      </c>
      <c r="B5724" s="14" t="s">
        <v>8326</v>
      </c>
      <c r="C5724" s="14" t="s">
        <v>11714</v>
      </c>
      <c r="D5724" s="14" t="s">
        <v>6838</v>
      </c>
      <c r="E5724" s="14" t="s">
        <v>11989</v>
      </c>
      <c r="F5724" s="12" t="s">
        <v>11990</v>
      </c>
      <c r="G5724" s="14" t="s">
        <v>12395</v>
      </c>
      <c r="H5724" s="12" t="s">
        <v>12396</v>
      </c>
      <c r="K5724" s="14" t="s">
        <v>12397</v>
      </c>
      <c r="L5724" s="12" t="s">
        <v>12398</v>
      </c>
      <c r="M5724" s="14" t="s">
        <v>12418</v>
      </c>
      <c r="O5724" s="438">
        <v>1</v>
      </c>
      <c r="P5724" s="41">
        <v>1</v>
      </c>
      <c r="Q5724" s="41">
        <v>1</v>
      </c>
      <c r="R5724" s="41">
        <v>1</v>
      </c>
      <c r="S5724" s="41">
        <v>1</v>
      </c>
      <c r="T5724" s="14" t="s">
        <v>11722</v>
      </c>
      <c r="U5724" t="s">
        <v>11723</v>
      </c>
      <c r="V5724" s="14" t="s">
        <v>12419</v>
      </c>
      <c r="W5724" s="388">
        <v>1</v>
      </c>
      <c r="X5724" s="388">
        <v>0</v>
      </c>
      <c r="Y5724" s="388">
        <v>0</v>
      </c>
      <c r="Z5724" s="388">
        <v>1</v>
      </c>
      <c r="AA5724" s="388">
        <v>1</v>
      </c>
      <c r="AB5724" s="388">
        <v>1</v>
      </c>
      <c r="AC5724" s="150">
        <v>1</v>
      </c>
      <c r="AD5724" s="150">
        <v>1</v>
      </c>
      <c r="AE5724" s="49">
        <f t="shared" si="207"/>
        <v>0.75</v>
      </c>
      <c r="AF5724" s="397"/>
      <c r="AG5724" s="17">
        <v>0</v>
      </c>
      <c r="AH5724" s="397">
        <v>6.5199999999999994E-2</v>
      </c>
      <c r="AI5724" s="397">
        <v>0.13408</v>
      </c>
      <c r="AJ5724" s="397">
        <v>0.14078399999999999</v>
      </c>
      <c r="AK5724" s="398">
        <v>0.32700000000000001</v>
      </c>
      <c r="AL5724" s="398">
        <v>0.32700000000000001</v>
      </c>
      <c r="AM5724" s="17">
        <f t="shared" si="206"/>
        <v>0.65400000000000003</v>
      </c>
      <c r="AN5724" s="14" t="s">
        <v>11730</v>
      </c>
      <c r="AO5724" s="12" t="s">
        <v>11723</v>
      </c>
      <c r="AP5724" s="399"/>
      <c r="AQ5724" s="400"/>
      <c r="AR5724" s="399"/>
      <c r="AS5724" s="399"/>
      <c r="AT5724" s="399"/>
      <c r="AX5724" s="400"/>
    </row>
    <row r="5725" spans="1:50" s="12" customFormat="1" x14ac:dyDescent="0.3">
      <c r="A5725" s="386" t="s">
        <v>8325</v>
      </c>
      <c r="B5725" s="14" t="s">
        <v>8326</v>
      </c>
      <c r="C5725" s="14" t="s">
        <v>11905</v>
      </c>
      <c r="D5725" s="12" t="s">
        <v>11906</v>
      </c>
      <c r="E5725" s="14" t="s">
        <v>12053</v>
      </c>
      <c r="F5725" s="12" t="s">
        <v>11990</v>
      </c>
      <c r="G5725" s="14" t="s">
        <v>12407</v>
      </c>
      <c r="H5725" s="12" t="s">
        <v>12396</v>
      </c>
      <c r="K5725" s="14" t="s">
        <v>12408</v>
      </c>
      <c r="L5725" s="12" t="s">
        <v>12398</v>
      </c>
      <c r="M5725" s="14" t="s">
        <v>12420</v>
      </c>
      <c r="N5725" s="14"/>
      <c r="O5725" s="14">
        <v>300</v>
      </c>
      <c r="P5725" s="404">
        <v>300</v>
      </c>
      <c r="Q5725" s="404">
        <v>300</v>
      </c>
      <c r="R5725" s="404">
        <v>300</v>
      </c>
      <c r="S5725" s="404">
        <v>300</v>
      </c>
      <c r="T5725" s="14" t="s">
        <v>771</v>
      </c>
      <c r="U5725" t="s">
        <v>773</v>
      </c>
      <c r="V5725" s="14" t="s">
        <v>12421</v>
      </c>
      <c r="W5725" s="388"/>
      <c r="X5725" s="388"/>
      <c r="Y5725" s="388"/>
      <c r="Z5725" s="388"/>
      <c r="AA5725" s="388"/>
      <c r="AB5725" s="388"/>
      <c r="AC5725" s="150">
        <v>0</v>
      </c>
      <c r="AD5725" s="150">
        <v>0</v>
      </c>
      <c r="AE5725" s="49">
        <f t="shared" si="207"/>
        <v>0</v>
      </c>
      <c r="AF5725" s="397"/>
      <c r="AG5725" s="17">
        <v>0</v>
      </c>
      <c r="AH5725" s="397">
        <v>0.6</v>
      </c>
      <c r="AI5725" s="397">
        <v>0.6</v>
      </c>
      <c r="AJ5725" s="397">
        <v>0.6</v>
      </c>
      <c r="AK5725" s="398">
        <v>0</v>
      </c>
      <c r="AL5725" s="398">
        <v>0</v>
      </c>
      <c r="AM5725" s="17">
        <f t="shared" si="206"/>
        <v>0</v>
      </c>
      <c r="AN5725" s="14" t="s">
        <v>771</v>
      </c>
      <c r="AO5725" s="12" t="s">
        <v>773</v>
      </c>
      <c r="AP5725" s="405"/>
      <c r="AQ5725" s="405"/>
      <c r="AR5725" s="405"/>
      <c r="AS5725" s="405"/>
      <c r="AT5725" s="405"/>
      <c r="AX5725" s="402"/>
    </row>
    <row r="5726" spans="1:50" s="14" customFormat="1" x14ac:dyDescent="0.3">
      <c r="A5726" s="386" t="s">
        <v>8325</v>
      </c>
      <c r="B5726" s="14" t="s">
        <v>8326</v>
      </c>
      <c r="C5726" s="14" t="s">
        <v>11905</v>
      </c>
      <c r="D5726" s="14" t="s">
        <v>11906</v>
      </c>
      <c r="E5726" s="14" t="s">
        <v>12053</v>
      </c>
      <c r="F5726" s="12" t="s">
        <v>11990</v>
      </c>
      <c r="G5726" s="14" t="s">
        <v>12422</v>
      </c>
      <c r="H5726" s="12" t="s">
        <v>12423</v>
      </c>
      <c r="K5726" s="14" t="s">
        <v>12424</v>
      </c>
      <c r="L5726" s="12" t="s">
        <v>12425</v>
      </c>
      <c r="M5726" s="14" t="s">
        <v>12426</v>
      </c>
      <c r="O5726" s="400">
        <v>1320</v>
      </c>
      <c r="P5726" s="402">
        <v>1380</v>
      </c>
      <c r="Q5726" s="402">
        <v>1500</v>
      </c>
      <c r="R5726" s="402">
        <v>1620</v>
      </c>
      <c r="S5726" s="402">
        <v>1680</v>
      </c>
      <c r="T5726" s="14" t="s">
        <v>11722</v>
      </c>
      <c r="U5726" t="s">
        <v>11723</v>
      </c>
      <c r="V5726" s="14" t="s">
        <v>12427</v>
      </c>
      <c r="W5726" s="388">
        <v>1</v>
      </c>
      <c r="X5726" s="388">
        <v>1</v>
      </c>
      <c r="Y5726" s="388">
        <v>1</v>
      </c>
      <c r="Z5726" s="388">
        <v>1</v>
      </c>
      <c r="AA5726" s="388">
        <v>1</v>
      </c>
      <c r="AB5726" s="388">
        <v>1</v>
      </c>
      <c r="AC5726" s="150">
        <v>1</v>
      </c>
      <c r="AD5726" s="150">
        <v>1</v>
      </c>
      <c r="AE5726" s="49">
        <f t="shared" si="207"/>
        <v>1</v>
      </c>
      <c r="AF5726" s="397"/>
      <c r="AG5726" s="17">
        <v>0</v>
      </c>
      <c r="AH5726" s="397">
        <v>6.0508800000000003</v>
      </c>
      <c r="AI5726" s="397">
        <v>6.32592</v>
      </c>
      <c r="AJ5726" s="397">
        <v>6.8760000000000003</v>
      </c>
      <c r="AK5726" s="398">
        <v>0</v>
      </c>
      <c r="AL5726" s="398">
        <v>0</v>
      </c>
      <c r="AM5726" s="17">
        <f t="shared" si="206"/>
        <v>0</v>
      </c>
      <c r="AN5726" s="14" t="s">
        <v>11730</v>
      </c>
      <c r="AO5726" s="12" t="s">
        <v>11723</v>
      </c>
      <c r="AP5726" s="399"/>
      <c r="AQ5726" s="399"/>
      <c r="AR5726" s="399"/>
      <c r="AS5726" s="399"/>
      <c r="AT5726" s="399"/>
      <c r="AX5726" s="400"/>
    </row>
    <row r="5727" spans="1:50" s="14" customFormat="1" x14ac:dyDescent="0.3">
      <c r="A5727" s="386" t="s">
        <v>8325</v>
      </c>
      <c r="B5727" s="14" t="s">
        <v>8326</v>
      </c>
      <c r="C5727" s="14" t="s">
        <v>11905</v>
      </c>
      <c r="D5727" s="14" t="s">
        <v>11906</v>
      </c>
      <c r="E5727" s="14" t="s">
        <v>12053</v>
      </c>
      <c r="F5727" s="12" t="s">
        <v>11990</v>
      </c>
      <c r="G5727" s="14" t="s">
        <v>12422</v>
      </c>
      <c r="H5727" s="12" t="s">
        <v>12423</v>
      </c>
      <c r="K5727" s="14" t="s">
        <v>12424</v>
      </c>
      <c r="L5727" s="12" t="s">
        <v>12425</v>
      </c>
      <c r="M5727" s="14" t="s">
        <v>12428</v>
      </c>
      <c r="O5727" s="400">
        <v>1600</v>
      </c>
      <c r="P5727" s="402">
        <v>1680</v>
      </c>
      <c r="Q5727" s="402">
        <v>1840</v>
      </c>
      <c r="R5727" s="402">
        <v>2000</v>
      </c>
      <c r="S5727" s="402">
        <v>2080</v>
      </c>
      <c r="T5727" s="14" t="s">
        <v>11722</v>
      </c>
      <c r="U5727" t="s">
        <v>11723</v>
      </c>
      <c r="V5727" s="14" t="s">
        <v>12429</v>
      </c>
      <c r="W5727" s="388">
        <v>1</v>
      </c>
      <c r="X5727" s="388">
        <v>1</v>
      </c>
      <c r="Y5727" s="388">
        <v>1</v>
      </c>
      <c r="Z5727" s="388">
        <v>1</v>
      </c>
      <c r="AA5727" s="388">
        <v>1</v>
      </c>
      <c r="AB5727" s="388">
        <v>1</v>
      </c>
      <c r="AC5727" s="150">
        <v>1</v>
      </c>
      <c r="AD5727" s="150">
        <v>1</v>
      </c>
      <c r="AE5727" s="49">
        <f t="shared" si="207"/>
        <v>1</v>
      </c>
      <c r="AF5727" s="397"/>
      <c r="AG5727" s="17">
        <v>0</v>
      </c>
      <c r="AH5727" s="397">
        <v>5.0039999999999996</v>
      </c>
      <c r="AI5727" s="397">
        <v>5.2542</v>
      </c>
      <c r="AJ5727" s="397">
        <v>5.7545999999999999</v>
      </c>
      <c r="AK5727" s="398">
        <v>0</v>
      </c>
      <c r="AL5727" s="398">
        <v>0</v>
      </c>
      <c r="AM5727" s="17">
        <f t="shared" si="206"/>
        <v>0</v>
      </c>
      <c r="AN5727" s="14" t="s">
        <v>11730</v>
      </c>
      <c r="AO5727" s="12" t="s">
        <v>11723</v>
      </c>
      <c r="AP5727" s="399"/>
      <c r="AQ5727" s="399"/>
      <c r="AR5727" s="399"/>
      <c r="AS5727" s="399"/>
      <c r="AT5727" s="399"/>
      <c r="AX5727" s="400"/>
    </row>
    <row r="5728" spans="1:50" s="14" customFormat="1" x14ac:dyDescent="0.3">
      <c r="A5728" s="386" t="s">
        <v>8325</v>
      </c>
      <c r="B5728" s="14" t="s">
        <v>8326</v>
      </c>
      <c r="C5728" s="14" t="s">
        <v>11905</v>
      </c>
      <c r="D5728" s="14" t="s">
        <v>11906</v>
      </c>
      <c r="E5728" s="14" t="s">
        <v>12053</v>
      </c>
      <c r="F5728" s="12" t="s">
        <v>11990</v>
      </c>
      <c r="G5728" s="14" t="s">
        <v>12422</v>
      </c>
      <c r="H5728" s="12" t="s">
        <v>12423</v>
      </c>
      <c r="K5728" s="14" t="s">
        <v>12424</v>
      </c>
      <c r="L5728" s="12" t="s">
        <v>12425</v>
      </c>
      <c r="M5728" s="14" t="s">
        <v>12430</v>
      </c>
      <c r="O5728" s="400">
        <v>1440</v>
      </c>
      <c r="P5728" s="402">
        <v>1840</v>
      </c>
      <c r="Q5728" s="402">
        <v>2000</v>
      </c>
      <c r="R5728" s="402">
        <v>2160</v>
      </c>
      <c r="S5728" s="402">
        <v>2240</v>
      </c>
      <c r="T5728" s="14" t="s">
        <v>11722</v>
      </c>
      <c r="U5728" t="s">
        <v>11723</v>
      </c>
      <c r="V5728" s="14" t="s">
        <v>12431</v>
      </c>
      <c r="W5728" s="388">
        <v>1</v>
      </c>
      <c r="X5728" s="388">
        <v>1</v>
      </c>
      <c r="Y5728" s="388">
        <v>1</v>
      </c>
      <c r="Z5728" s="388">
        <v>1</v>
      </c>
      <c r="AA5728" s="388">
        <v>1</v>
      </c>
      <c r="AB5728" s="388">
        <v>1</v>
      </c>
      <c r="AC5728" s="150">
        <v>1</v>
      </c>
      <c r="AD5728" s="150">
        <v>1</v>
      </c>
      <c r="AE5728" s="49">
        <f t="shared" si="207"/>
        <v>1</v>
      </c>
      <c r="AF5728" s="397"/>
      <c r="AG5728" s="17">
        <v>0</v>
      </c>
      <c r="AH5728" s="397">
        <v>4.5035999999999996</v>
      </c>
      <c r="AI5728" s="397">
        <v>4.7538</v>
      </c>
      <c r="AJ5728" s="397">
        <v>5.2542</v>
      </c>
      <c r="AK5728" s="398">
        <v>0</v>
      </c>
      <c r="AL5728" s="398">
        <v>0</v>
      </c>
      <c r="AM5728" s="17">
        <f t="shared" si="206"/>
        <v>0</v>
      </c>
      <c r="AN5728" s="14" t="s">
        <v>11730</v>
      </c>
      <c r="AO5728" s="12" t="s">
        <v>11723</v>
      </c>
      <c r="AP5728" s="399"/>
      <c r="AQ5728" s="399"/>
      <c r="AR5728" s="399"/>
      <c r="AS5728" s="399"/>
      <c r="AT5728" s="399"/>
      <c r="AX5728" s="400"/>
    </row>
    <row r="5729" spans="1:50" s="12" customFormat="1" x14ac:dyDescent="0.3">
      <c r="A5729" s="386" t="s">
        <v>8325</v>
      </c>
      <c r="B5729" s="14" t="s">
        <v>8326</v>
      </c>
      <c r="C5729" s="14" t="s">
        <v>11905</v>
      </c>
      <c r="D5729" s="12" t="s">
        <v>11906</v>
      </c>
      <c r="E5729" s="14" t="s">
        <v>12053</v>
      </c>
      <c r="F5729" s="12" t="s">
        <v>11990</v>
      </c>
      <c r="G5729" s="14" t="s">
        <v>12422</v>
      </c>
      <c r="H5729" s="12" t="s">
        <v>12423</v>
      </c>
      <c r="K5729" s="14" t="s">
        <v>12424</v>
      </c>
      <c r="L5729" s="12" t="s">
        <v>12425</v>
      </c>
      <c r="M5729" s="14" t="s">
        <v>12432</v>
      </c>
      <c r="N5729" s="14"/>
      <c r="O5729" s="14"/>
      <c r="Q5729" s="12">
        <v>50</v>
      </c>
      <c r="R5729" s="12">
        <v>50</v>
      </c>
      <c r="S5729" s="12">
        <v>50</v>
      </c>
      <c r="T5729" s="14" t="s">
        <v>5578</v>
      </c>
      <c r="U5729" t="s">
        <v>880</v>
      </c>
      <c r="V5729" s="12" t="s">
        <v>12433</v>
      </c>
      <c r="W5729" s="407"/>
      <c r="X5729" s="407"/>
      <c r="Y5729" s="407"/>
      <c r="Z5729" s="407"/>
      <c r="AA5729" s="407"/>
      <c r="AB5729" s="407"/>
      <c r="AC5729" s="150">
        <v>0</v>
      </c>
      <c r="AD5729" s="150">
        <v>0</v>
      </c>
      <c r="AE5729" s="49">
        <f t="shared" si="207"/>
        <v>0</v>
      </c>
      <c r="AF5729" s="397"/>
      <c r="AG5729" s="17">
        <v>0</v>
      </c>
      <c r="AH5729" s="397">
        <v>0</v>
      </c>
      <c r="AI5729" s="397">
        <v>0</v>
      </c>
      <c r="AJ5729" s="397">
        <v>0.22</v>
      </c>
      <c r="AK5729" s="398">
        <v>0</v>
      </c>
      <c r="AL5729" s="398">
        <v>0</v>
      </c>
      <c r="AM5729" s="17">
        <f t="shared" si="206"/>
        <v>0</v>
      </c>
      <c r="AN5729" s="14" t="s">
        <v>5578</v>
      </c>
      <c r="AO5729" s="12" t="s">
        <v>880</v>
      </c>
      <c r="AP5729" s="405"/>
      <c r="AQ5729" s="402"/>
      <c r="AR5729" s="405"/>
      <c r="AS5729" s="405"/>
      <c r="AT5729" s="405"/>
      <c r="AX5729" s="402"/>
    </row>
    <row r="5730" spans="1:50" s="14" customFormat="1" x14ac:dyDescent="0.3">
      <c r="A5730" s="386" t="s">
        <v>8325</v>
      </c>
      <c r="B5730" s="14" t="s">
        <v>8326</v>
      </c>
      <c r="C5730" s="14" t="s">
        <v>11905</v>
      </c>
      <c r="D5730" s="14" t="s">
        <v>11906</v>
      </c>
      <c r="E5730" s="14" t="s">
        <v>12053</v>
      </c>
      <c r="F5730" s="12" t="s">
        <v>11990</v>
      </c>
      <c r="G5730" s="14" t="s">
        <v>12422</v>
      </c>
      <c r="H5730" s="12" t="s">
        <v>12423</v>
      </c>
      <c r="K5730" s="14" t="s">
        <v>12424</v>
      </c>
      <c r="L5730" s="12" t="s">
        <v>12425</v>
      </c>
      <c r="M5730" s="14" t="s">
        <v>12434</v>
      </c>
      <c r="N5730" s="400">
        <v>0</v>
      </c>
      <c r="O5730" s="400">
        <v>64</v>
      </c>
      <c r="P5730" s="402">
        <v>64</v>
      </c>
      <c r="Q5730" s="12">
        <v>64</v>
      </c>
      <c r="R5730" s="12">
        <v>64</v>
      </c>
      <c r="S5730" s="12">
        <v>64</v>
      </c>
      <c r="T5730" s="14" t="s">
        <v>11722</v>
      </c>
      <c r="U5730" t="s">
        <v>11723</v>
      </c>
      <c r="V5730" s="14" t="s">
        <v>12435</v>
      </c>
      <c r="W5730" s="388">
        <v>1</v>
      </c>
      <c r="X5730" s="388">
        <v>1</v>
      </c>
      <c r="Y5730" s="388">
        <v>1</v>
      </c>
      <c r="Z5730" s="388">
        <v>1</v>
      </c>
      <c r="AA5730" s="388">
        <v>0</v>
      </c>
      <c r="AB5730" s="388">
        <v>1</v>
      </c>
      <c r="AC5730" s="150">
        <v>1</v>
      </c>
      <c r="AD5730" s="150">
        <v>1</v>
      </c>
      <c r="AE5730" s="49">
        <f t="shared" si="207"/>
        <v>0.875</v>
      </c>
      <c r="AF5730" s="397"/>
      <c r="AG5730" s="17">
        <v>0</v>
      </c>
      <c r="AH5730" s="397">
        <v>1.28</v>
      </c>
      <c r="AI5730" s="397">
        <v>1.3440000000000001</v>
      </c>
      <c r="AJ5730" s="397">
        <v>1.4112</v>
      </c>
      <c r="AK5730" s="398">
        <v>0</v>
      </c>
      <c r="AL5730" s="398">
        <v>0</v>
      </c>
      <c r="AM5730" s="17">
        <f t="shared" si="206"/>
        <v>0</v>
      </c>
      <c r="AN5730" s="14" t="s">
        <v>11730</v>
      </c>
      <c r="AO5730" s="12" t="s">
        <v>11723</v>
      </c>
      <c r="AP5730" s="399"/>
      <c r="AQ5730" s="399"/>
      <c r="AR5730" s="399"/>
      <c r="AS5730" s="399"/>
      <c r="AT5730" s="399"/>
      <c r="AX5730" s="400"/>
    </row>
    <row r="5731" spans="1:50" s="14" customFormat="1" x14ac:dyDescent="0.3">
      <c r="A5731" s="386" t="s">
        <v>8325</v>
      </c>
      <c r="B5731" s="14" t="s">
        <v>8326</v>
      </c>
      <c r="C5731" s="14" t="s">
        <v>11807</v>
      </c>
      <c r="D5731" s="14" t="s">
        <v>11808</v>
      </c>
      <c r="E5731" s="14" t="s">
        <v>12017</v>
      </c>
      <c r="F5731" s="12" t="s">
        <v>11990</v>
      </c>
      <c r="G5731" s="14" t="s">
        <v>12436</v>
      </c>
      <c r="H5731" s="12" t="s">
        <v>12423</v>
      </c>
      <c r="K5731" s="14" t="s">
        <v>12437</v>
      </c>
      <c r="L5731" s="12" t="s">
        <v>12438</v>
      </c>
      <c r="M5731" s="14" t="s">
        <v>12439</v>
      </c>
      <c r="N5731" s="400">
        <v>0</v>
      </c>
      <c r="O5731" s="400">
        <v>40</v>
      </c>
      <c r="P5731" s="402">
        <v>40</v>
      </c>
      <c r="Q5731" s="12">
        <v>40</v>
      </c>
      <c r="R5731" s="12">
        <v>40</v>
      </c>
      <c r="S5731" s="12">
        <v>40</v>
      </c>
      <c r="T5731" s="14" t="s">
        <v>11722</v>
      </c>
      <c r="U5731" t="s">
        <v>11723</v>
      </c>
      <c r="V5731" s="14" t="s">
        <v>12440</v>
      </c>
      <c r="W5731" s="388">
        <v>1</v>
      </c>
      <c r="X5731" s="388">
        <v>1</v>
      </c>
      <c r="Y5731" s="388">
        <v>1</v>
      </c>
      <c r="Z5731" s="388">
        <v>1</v>
      </c>
      <c r="AA5731" s="388">
        <v>1</v>
      </c>
      <c r="AB5731" s="388">
        <v>1</v>
      </c>
      <c r="AC5731" s="150">
        <v>1</v>
      </c>
      <c r="AD5731" s="150">
        <v>1</v>
      </c>
      <c r="AE5731" s="49">
        <f t="shared" si="207"/>
        <v>1</v>
      </c>
      <c r="AF5731" s="397"/>
      <c r="AG5731" s="17">
        <v>0</v>
      </c>
      <c r="AH5731" s="397">
        <v>0</v>
      </c>
      <c r="AI5731" s="397">
        <v>0.45200000000000001</v>
      </c>
      <c r="AJ5731" s="397">
        <v>0.47460000000000002</v>
      </c>
      <c r="AK5731" s="398">
        <v>0.45</v>
      </c>
      <c r="AL5731" s="398">
        <v>0.47</v>
      </c>
      <c r="AM5731" s="17">
        <f t="shared" si="206"/>
        <v>0.91999999999999993</v>
      </c>
      <c r="AN5731" s="14" t="s">
        <v>11730</v>
      </c>
      <c r="AO5731" s="12" t="s">
        <v>11723</v>
      </c>
      <c r="AP5731" s="399"/>
      <c r="AQ5731" s="399"/>
      <c r="AR5731" s="399"/>
      <c r="AS5731" s="399"/>
      <c r="AT5731" s="399"/>
      <c r="AX5731" s="400"/>
    </row>
    <row r="5732" spans="1:50" s="14" customFormat="1" x14ac:dyDescent="0.3">
      <c r="A5732" s="386" t="s">
        <v>8325</v>
      </c>
      <c r="B5732" s="14" t="s">
        <v>8326</v>
      </c>
      <c r="C5732" s="14" t="s">
        <v>11714</v>
      </c>
      <c r="D5732" s="14" t="s">
        <v>6838</v>
      </c>
      <c r="E5732" s="14" t="s">
        <v>11989</v>
      </c>
      <c r="F5732" s="12" t="s">
        <v>11990</v>
      </c>
      <c r="G5732" s="14" t="s">
        <v>12441</v>
      </c>
      <c r="H5732" s="12" t="s">
        <v>12423</v>
      </c>
      <c r="K5732" s="14" t="s">
        <v>12442</v>
      </c>
      <c r="L5732" s="12" t="s">
        <v>12438</v>
      </c>
      <c r="M5732" s="14" t="s">
        <v>12443</v>
      </c>
      <c r="N5732" s="400">
        <v>0</v>
      </c>
      <c r="O5732" s="400">
        <v>0</v>
      </c>
      <c r="P5732" s="402">
        <v>1</v>
      </c>
      <c r="Q5732" s="12">
        <v>0</v>
      </c>
      <c r="R5732" s="12">
        <v>0</v>
      </c>
      <c r="S5732" s="12">
        <v>0</v>
      </c>
      <c r="T5732" s="14" t="s">
        <v>11722</v>
      </c>
      <c r="U5732" t="s">
        <v>11723</v>
      </c>
      <c r="V5732" s="14" t="s">
        <v>12444</v>
      </c>
      <c r="W5732" s="388">
        <v>1</v>
      </c>
      <c r="X5732" s="388">
        <v>1</v>
      </c>
      <c r="Y5732" s="388">
        <v>1</v>
      </c>
      <c r="Z5732" s="388">
        <v>1</v>
      </c>
      <c r="AA5732" s="388">
        <v>1</v>
      </c>
      <c r="AB5732" s="388">
        <v>1</v>
      </c>
      <c r="AC5732" s="150">
        <v>1</v>
      </c>
      <c r="AD5732" s="150">
        <v>1</v>
      </c>
      <c r="AE5732" s="49">
        <f t="shared" si="207"/>
        <v>1</v>
      </c>
      <c r="AF5732" s="397"/>
      <c r="AG5732" s="17">
        <v>0</v>
      </c>
      <c r="AH5732" s="397">
        <v>0</v>
      </c>
      <c r="AI5732" s="397">
        <v>0.2</v>
      </c>
      <c r="AJ5732" s="397">
        <v>0</v>
      </c>
      <c r="AK5732" s="398">
        <v>0</v>
      </c>
      <c r="AL5732" s="398">
        <v>0</v>
      </c>
      <c r="AM5732" s="17">
        <f t="shared" si="206"/>
        <v>0</v>
      </c>
      <c r="AN5732" s="14" t="s">
        <v>11730</v>
      </c>
      <c r="AO5732" s="12" t="s">
        <v>11723</v>
      </c>
      <c r="AP5732" s="399"/>
      <c r="AQ5732" s="400"/>
      <c r="AR5732" s="399"/>
      <c r="AS5732" s="399"/>
      <c r="AT5732" s="399"/>
      <c r="AX5732" s="400"/>
    </row>
    <row r="5733" spans="1:50" s="14" customFormat="1" x14ac:dyDescent="0.3">
      <c r="A5733" s="386" t="s">
        <v>8325</v>
      </c>
      <c r="B5733" s="14" t="s">
        <v>8326</v>
      </c>
      <c r="C5733" s="14" t="s">
        <v>11714</v>
      </c>
      <c r="D5733" s="14" t="s">
        <v>6838</v>
      </c>
      <c r="E5733" s="14" t="s">
        <v>11989</v>
      </c>
      <c r="F5733" s="12" t="s">
        <v>11990</v>
      </c>
      <c r="G5733" s="14" t="s">
        <v>12441</v>
      </c>
      <c r="H5733" s="12" t="s">
        <v>12423</v>
      </c>
      <c r="K5733" s="14" t="s">
        <v>12442</v>
      </c>
      <c r="L5733" s="12" t="s">
        <v>12438</v>
      </c>
      <c r="M5733" s="14" t="s">
        <v>12445</v>
      </c>
      <c r="N5733" s="400">
        <v>128</v>
      </c>
      <c r="O5733" s="400">
        <v>32</v>
      </c>
      <c r="P5733" s="402">
        <v>32</v>
      </c>
      <c r="Q5733" s="12">
        <v>32</v>
      </c>
      <c r="R5733" s="12">
        <v>32</v>
      </c>
      <c r="S5733" s="12">
        <v>32</v>
      </c>
      <c r="T5733" s="14" t="s">
        <v>11722</v>
      </c>
      <c r="U5733" t="s">
        <v>11723</v>
      </c>
      <c r="V5733" s="14" t="s">
        <v>12446</v>
      </c>
      <c r="W5733" s="388">
        <v>1</v>
      </c>
      <c r="X5733" s="388">
        <v>1</v>
      </c>
      <c r="Y5733" s="388">
        <v>1</v>
      </c>
      <c r="Z5733" s="388">
        <v>1</v>
      </c>
      <c r="AA5733" s="388">
        <v>1</v>
      </c>
      <c r="AB5733" s="388">
        <v>1</v>
      </c>
      <c r="AC5733" s="150">
        <v>1</v>
      </c>
      <c r="AD5733" s="150">
        <v>1</v>
      </c>
      <c r="AE5733" s="49">
        <f t="shared" si="207"/>
        <v>1</v>
      </c>
      <c r="AF5733" s="397"/>
      <c r="AG5733" s="17">
        <v>0</v>
      </c>
      <c r="AH5733" s="397">
        <v>0.42399999999999999</v>
      </c>
      <c r="AI5733" s="397">
        <v>0.88200000000000001</v>
      </c>
      <c r="AJ5733" s="397">
        <v>0.92610000000000003</v>
      </c>
      <c r="AK5733" s="398">
        <v>1.0573760000000001</v>
      </c>
      <c r="AL5733" s="398">
        <v>1.0573760000000001</v>
      </c>
      <c r="AM5733" s="17">
        <f t="shared" si="206"/>
        <v>2.1147520000000002</v>
      </c>
      <c r="AN5733" s="14" t="s">
        <v>11730</v>
      </c>
      <c r="AO5733" s="12" t="s">
        <v>11723</v>
      </c>
      <c r="AP5733" s="399"/>
      <c r="AQ5733" s="400"/>
      <c r="AR5733" s="399"/>
      <c r="AS5733" s="399"/>
      <c r="AT5733" s="399"/>
      <c r="AX5733" s="400"/>
    </row>
    <row r="5734" spans="1:50" s="14" customFormat="1" x14ac:dyDescent="0.3">
      <c r="A5734" s="386" t="s">
        <v>8325</v>
      </c>
      <c r="B5734" s="14" t="s">
        <v>8326</v>
      </c>
      <c r="C5734" s="14" t="s">
        <v>11807</v>
      </c>
      <c r="D5734" s="14" t="s">
        <v>11808</v>
      </c>
      <c r="E5734" s="14" t="s">
        <v>12017</v>
      </c>
      <c r="F5734" s="12" t="s">
        <v>11990</v>
      </c>
      <c r="G5734" s="14" t="s">
        <v>12436</v>
      </c>
      <c r="H5734" s="12" t="s">
        <v>12423</v>
      </c>
      <c r="K5734" s="14" t="s">
        <v>12437</v>
      </c>
      <c r="L5734" s="12" t="s">
        <v>12438</v>
      </c>
      <c r="M5734" s="14" t="s">
        <v>12447</v>
      </c>
      <c r="N5734" s="400">
        <v>0</v>
      </c>
      <c r="O5734" s="400">
        <v>120</v>
      </c>
      <c r="P5734" s="402">
        <v>120</v>
      </c>
      <c r="Q5734" s="12">
        <v>120</v>
      </c>
      <c r="R5734" s="12">
        <v>120</v>
      </c>
      <c r="S5734" s="12">
        <v>120</v>
      </c>
      <c r="T5734" s="14" t="s">
        <v>11722</v>
      </c>
      <c r="U5734" t="s">
        <v>11723</v>
      </c>
      <c r="V5734" s="14" t="s">
        <v>12448</v>
      </c>
      <c r="W5734" s="388">
        <v>1</v>
      </c>
      <c r="X5734" s="388">
        <v>1</v>
      </c>
      <c r="Y5734" s="388">
        <v>1</v>
      </c>
      <c r="Z5734" s="388">
        <v>1</v>
      </c>
      <c r="AA5734" s="388">
        <v>1</v>
      </c>
      <c r="AB5734" s="388">
        <v>1</v>
      </c>
      <c r="AC5734" s="150">
        <v>1</v>
      </c>
      <c r="AD5734" s="150">
        <v>1</v>
      </c>
      <c r="AE5734" s="49">
        <f t="shared" si="207"/>
        <v>1</v>
      </c>
      <c r="AF5734" s="397"/>
      <c r="AG5734" s="17">
        <v>0</v>
      </c>
      <c r="AH5734" s="397">
        <v>0</v>
      </c>
      <c r="AI5734" s="397">
        <v>0.35039999999999999</v>
      </c>
      <c r="AJ5734" s="397">
        <v>0.36792000000000002</v>
      </c>
      <c r="AK5734" s="398">
        <v>0.35</v>
      </c>
      <c r="AL5734" s="398">
        <v>0.37</v>
      </c>
      <c r="AM5734" s="17">
        <f t="shared" si="206"/>
        <v>0.72</v>
      </c>
      <c r="AN5734" s="14" t="s">
        <v>11730</v>
      </c>
      <c r="AO5734" s="12" t="s">
        <v>11723</v>
      </c>
      <c r="AP5734" s="399"/>
      <c r="AQ5734" s="399"/>
      <c r="AR5734" s="399"/>
      <c r="AS5734" s="399"/>
      <c r="AT5734" s="399"/>
      <c r="AX5734" s="400"/>
    </row>
    <row r="5735" spans="1:50" s="14" customFormat="1" x14ac:dyDescent="0.3">
      <c r="A5735" s="386" t="s">
        <v>8325</v>
      </c>
      <c r="B5735" s="14" t="s">
        <v>8326</v>
      </c>
      <c r="C5735" s="14" t="s">
        <v>11807</v>
      </c>
      <c r="D5735" s="14" t="s">
        <v>11808</v>
      </c>
      <c r="E5735" s="14" t="s">
        <v>12017</v>
      </c>
      <c r="F5735" s="12" t="s">
        <v>11990</v>
      </c>
      <c r="G5735" s="14" t="s">
        <v>12436</v>
      </c>
      <c r="H5735" s="12" t="s">
        <v>12423</v>
      </c>
      <c r="K5735" s="14" t="s">
        <v>12437</v>
      </c>
      <c r="L5735" s="12" t="s">
        <v>12438</v>
      </c>
      <c r="M5735" s="14" t="s">
        <v>12449</v>
      </c>
      <c r="N5735" s="400">
        <v>0</v>
      </c>
      <c r="O5735" s="400">
        <v>56</v>
      </c>
      <c r="P5735" s="402">
        <v>56</v>
      </c>
      <c r="Q5735" s="12">
        <v>56</v>
      </c>
      <c r="R5735" s="12">
        <v>56</v>
      </c>
      <c r="S5735" s="12">
        <v>56</v>
      </c>
      <c r="T5735" s="14" t="s">
        <v>11722</v>
      </c>
      <c r="U5735" t="s">
        <v>11723</v>
      </c>
      <c r="V5735" s="14" t="s">
        <v>12450</v>
      </c>
      <c r="W5735" s="388">
        <v>1</v>
      </c>
      <c r="X5735" s="388">
        <v>1</v>
      </c>
      <c r="Y5735" s="388">
        <v>1</v>
      </c>
      <c r="Z5735" s="388">
        <v>1</v>
      </c>
      <c r="AA5735" s="388">
        <v>1</v>
      </c>
      <c r="AB5735" s="388">
        <v>1</v>
      </c>
      <c r="AC5735" s="150">
        <v>1</v>
      </c>
      <c r="AD5735" s="150">
        <v>1</v>
      </c>
      <c r="AE5735" s="49">
        <f t="shared" si="207"/>
        <v>1</v>
      </c>
      <c r="AF5735" s="397"/>
      <c r="AG5735" s="17">
        <v>0</v>
      </c>
      <c r="AH5735" s="397">
        <v>0.20080000000000001</v>
      </c>
      <c r="AI5735" s="397">
        <v>0.20080000000000001</v>
      </c>
      <c r="AJ5735" s="397">
        <v>0.21084</v>
      </c>
      <c r="AK5735" s="398">
        <v>0.54200000000000004</v>
      </c>
      <c r="AL5735" s="398">
        <v>0.54200000000000004</v>
      </c>
      <c r="AM5735" s="17">
        <f t="shared" si="206"/>
        <v>1.0840000000000001</v>
      </c>
      <c r="AN5735" s="14" t="s">
        <v>11730</v>
      </c>
      <c r="AO5735" s="12" t="s">
        <v>11723</v>
      </c>
      <c r="AP5735" s="399"/>
      <c r="AQ5735" s="399"/>
      <c r="AR5735" s="399"/>
      <c r="AS5735" s="399"/>
      <c r="AT5735" s="399"/>
      <c r="AX5735" s="400"/>
    </row>
    <row r="5736" spans="1:50" s="14" customFormat="1" x14ac:dyDescent="0.3">
      <c r="A5736" s="386" t="s">
        <v>8325</v>
      </c>
      <c r="B5736" s="14" t="s">
        <v>8326</v>
      </c>
      <c r="C5736" s="14" t="s">
        <v>11905</v>
      </c>
      <c r="D5736" s="14" t="s">
        <v>11906</v>
      </c>
      <c r="E5736" s="14" t="s">
        <v>12053</v>
      </c>
      <c r="F5736" s="12" t="s">
        <v>11990</v>
      </c>
      <c r="G5736" s="14" t="s">
        <v>12422</v>
      </c>
      <c r="H5736" s="12" t="s">
        <v>12423</v>
      </c>
      <c r="K5736" s="14" t="s">
        <v>12451</v>
      </c>
      <c r="L5736" s="12" t="s">
        <v>12438</v>
      </c>
      <c r="M5736" s="14" t="s">
        <v>12452</v>
      </c>
      <c r="N5736" s="400">
        <v>0</v>
      </c>
      <c r="O5736" s="400">
        <v>0</v>
      </c>
      <c r="P5736" s="402">
        <v>0</v>
      </c>
      <c r="Q5736" s="12">
        <v>7</v>
      </c>
      <c r="R5736" s="12">
        <v>7</v>
      </c>
      <c r="S5736" s="12">
        <v>6</v>
      </c>
      <c r="T5736" s="14" t="s">
        <v>11722</v>
      </c>
      <c r="U5736" t="s">
        <v>11723</v>
      </c>
      <c r="V5736" s="14" t="s">
        <v>12453</v>
      </c>
      <c r="W5736" s="388">
        <v>1</v>
      </c>
      <c r="X5736" s="388">
        <v>1</v>
      </c>
      <c r="Y5736" s="388">
        <v>1</v>
      </c>
      <c r="Z5736" s="388">
        <v>1</v>
      </c>
      <c r="AA5736" s="388">
        <v>1</v>
      </c>
      <c r="AB5736" s="388">
        <v>1</v>
      </c>
      <c r="AC5736" s="150">
        <v>1</v>
      </c>
      <c r="AD5736" s="150">
        <v>1</v>
      </c>
      <c r="AE5736" s="49">
        <f t="shared" si="207"/>
        <v>1</v>
      </c>
      <c r="AF5736" s="397"/>
      <c r="AG5736" s="17">
        <v>0</v>
      </c>
      <c r="AH5736" s="397">
        <v>0</v>
      </c>
      <c r="AI5736" s="397">
        <v>0</v>
      </c>
      <c r="AJ5736" s="397">
        <v>8.9101771500000009</v>
      </c>
      <c r="AK5736" s="398">
        <v>0</v>
      </c>
      <c r="AL5736" s="398">
        <v>0</v>
      </c>
      <c r="AM5736" s="17">
        <f t="shared" si="206"/>
        <v>0</v>
      </c>
      <c r="AN5736" s="14" t="s">
        <v>11722</v>
      </c>
      <c r="AO5736" s="12" t="s">
        <v>11723</v>
      </c>
      <c r="AP5736" s="399"/>
      <c r="AQ5736" s="400"/>
      <c r="AR5736" s="399"/>
      <c r="AS5736" s="399"/>
      <c r="AT5736" s="399"/>
      <c r="AX5736" s="400"/>
    </row>
    <row r="5737" spans="1:50" s="14" customFormat="1" x14ac:dyDescent="0.3">
      <c r="A5737" s="386" t="s">
        <v>8325</v>
      </c>
      <c r="B5737" s="14" t="s">
        <v>8326</v>
      </c>
      <c r="C5737" s="14" t="s">
        <v>11905</v>
      </c>
      <c r="D5737" s="14" t="s">
        <v>11906</v>
      </c>
      <c r="E5737" s="14" t="s">
        <v>12053</v>
      </c>
      <c r="F5737" s="12" t="s">
        <v>11990</v>
      </c>
      <c r="G5737" s="14" t="s">
        <v>12422</v>
      </c>
      <c r="H5737" s="12" t="s">
        <v>12423</v>
      </c>
      <c r="K5737" s="14" t="s">
        <v>12451</v>
      </c>
      <c r="L5737" s="12" t="s">
        <v>12438</v>
      </c>
      <c r="M5737" s="14" t="s">
        <v>12454</v>
      </c>
      <c r="N5737" s="400">
        <v>0</v>
      </c>
      <c r="O5737" s="400">
        <v>0</v>
      </c>
      <c r="P5737" s="402">
        <v>0</v>
      </c>
      <c r="Q5737" s="12">
        <v>7</v>
      </c>
      <c r="R5737" s="12">
        <v>7</v>
      </c>
      <c r="S5737" s="12">
        <v>6</v>
      </c>
      <c r="T5737" s="14" t="s">
        <v>11722</v>
      </c>
      <c r="U5737" t="s">
        <v>11723</v>
      </c>
      <c r="V5737" s="14" t="s">
        <v>12455</v>
      </c>
      <c r="W5737" s="388">
        <v>1</v>
      </c>
      <c r="X5737" s="388">
        <v>1</v>
      </c>
      <c r="Y5737" s="388">
        <v>1</v>
      </c>
      <c r="Z5737" s="388">
        <v>1</v>
      </c>
      <c r="AA5737" s="388">
        <v>1</v>
      </c>
      <c r="AB5737" s="388">
        <v>1</v>
      </c>
      <c r="AC5737" s="150">
        <v>1</v>
      </c>
      <c r="AD5737" s="150">
        <v>1</v>
      </c>
      <c r="AE5737" s="49">
        <f t="shared" si="207"/>
        <v>1</v>
      </c>
      <c r="AF5737" s="397"/>
      <c r="AG5737" s="17">
        <v>0</v>
      </c>
      <c r="AH5737" s="397">
        <v>0</v>
      </c>
      <c r="AI5737" s="397">
        <v>0</v>
      </c>
      <c r="AJ5737" s="397">
        <v>8.9101771500000009</v>
      </c>
      <c r="AK5737" s="398">
        <v>0</v>
      </c>
      <c r="AL5737" s="398">
        <v>0</v>
      </c>
      <c r="AM5737" s="17">
        <f t="shared" si="206"/>
        <v>0</v>
      </c>
      <c r="AN5737" s="14" t="s">
        <v>11722</v>
      </c>
      <c r="AO5737" s="12" t="s">
        <v>11723</v>
      </c>
      <c r="AP5737" s="399"/>
      <c r="AQ5737" s="400"/>
      <c r="AR5737" s="399"/>
      <c r="AS5737" s="399"/>
      <c r="AT5737" s="399"/>
      <c r="AX5737" s="400"/>
    </row>
    <row r="5738" spans="1:50" s="14" customFormat="1" x14ac:dyDescent="0.3">
      <c r="A5738" s="386" t="s">
        <v>8325</v>
      </c>
      <c r="B5738" s="14" t="s">
        <v>8326</v>
      </c>
      <c r="C5738" s="14" t="s">
        <v>11905</v>
      </c>
      <c r="D5738" s="14" t="s">
        <v>11906</v>
      </c>
      <c r="E5738" s="14" t="s">
        <v>12053</v>
      </c>
      <c r="F5738" s="12" t="s">
        <v>11990</v>
      </c>
      <c r="G5738" s="14" t="s">
        <v>12422</v>
      </c>
      <c r="H5738" s="12" t="s">
        <v>12423</v>
      </c>
      <c r="K5738" s="14" t="s">
        <v>12451</v>
      </c>
      <c r="L5738" s="12" t="s">
        <v>12438</v>
      </c>
      <c r="M5738" s="14" t="s">
        <v>12456</v>
      </c>
      <c r="N5738" s="400">
        <v>0</v>
      </c>
      <c r="O5738" s="400">
        <v>0</v>
      </c>
      <c r="P5738" s="402">
        <v>0</v>
      </c>
      <c r="Q5738" s="12">
        <v>7</v>
      </c>
      <c r="R5738" s="12">
        <v>7</v>
      </c>
      <c r="S5738" s="12">
        <v>6</v>
      </c>
      <c r="T5738" s="14" t="s">
        <v>11722</v>
      </c>
      <c r="U5738" t="s">
        <v>11723</v>
      </c>
      <c r="V5738" s="14" t="s">
        <v>12457</v>
      </c>
      <c r="W5738" s="388">
        <v>1</v>
      </c>
      <c r="X5738" s="388">
        <v>1</v>
      </c>
      <c r="Y5738" s="388">
        <v>1</v>
      </c>
      <c r="Z5738" s="388">
        <v>1</v>
      </c>
      <c r="AA5738" s="388">
        <v>1</v>
      </c>
      <c r="AB5738" s="388">
        <v>1</v>
      </c>
      <c r="AC5738" s="150">
        <v>1</v>
      </c>
      <c r="AD5738" s="150">
        <v>1</v>
      </c>
      <c r="AE5738" s="49">
        <f t="shared" si="207"/>
        <v>1</v>
      </c>
      <c r="AF5738" s="397"/>
      <c r="AG5738" s="17">
        <v>0</v>
      </c>
      <c r="AH5738" s="397">
        <v>0</v>
      </c>
      <c r="AI5738" s="397">
        <v>0</v>
      </c>
      <c r="AJ5738" s="397">
        <v>8.9101771500000009</v>
      </c>
      <c r="AK5738" s="398">
        <v>0</v>
      </c>
      <c r="AL5738" s="398">
        <v>0</v>
      </c>
      <c r="AM5738" s="17">
        <f t="shared" si="206"/>
        <v>0</v>
      </c>
      <c r="AN5738" s="14" t="s">
        <v>11722</v>
      </c>
      <c r="AO5738" s="12" t="s">
        <v>11723</v>
      </c>
      <c r="AP5738" s="399"/>
      <c r="AQ5738" s="400"/>
      <c r="AR5738" s="399"/>
      <c r="AS5738" s="399"/>
      <c r="AT5738" s="399"/>
      <c r="AX5738" s="400"/>
    </row>
    <row r="5739" spans="1:50" s="14" customFormat="1" x14ac:dyDescent="0.3">
      <c r="A5739" s="386" t="s">
        <v>8325</v>
      </c>
      <c r="B5739" s="14" t="s">
        <v>8326</v>
      </c>
      <c r="C5739" s="14" t="s">
        <v>11798</v>
      </c>
      <c r="D5739" s="14" t="s">
        <v>11799</v>
      </c>
      <c r="E5739" s="14" t="s">
        <v>12048</v>
      </c>
      <c r="F5739" s="12" t="s">
        <v>11990</v>
      </c>
      <c r="G5739" s="14" t="s">
        <v>12458</v>
      </c>
      <c r="H5739" s="12" t="s">
        <v>12423</v>
      </c>
      <c r="K5739" s="14" t="s">
        <v>12459</v>
      </c>
      <c r="L5739" s="14" t="s">
        <v>12460</v>
      </c>
      <c r="M5739" s="14" t="s">
        <v>12461</v>
      </c>
      <c r="O5739" s="400"/>
      <c r="P5739" s="402"/>
      <c r="Q5739" s="402">
        <v>7000</v>
      </c>
      <c r="R5739" s="402">
        <v>9000</v>
      </c>
      <c r="S5739" s="402">
        <v>11000</v>
      </c>
      <c r="T5739" s="14" t="s">
        <v>11865</v>
      </c>
      <c r="U5739" t="s">
        <v>11866</v>
      </c>
      <c r="V5739" s="14" t="s">
        <v>12462</v>
      </c>
      <c r="W5739" s="388"/>
      <c r="X5739" s="388"/>
      <c r="Y5739" s="388"/>
      <c r="Z5739" s="388"/>
      <c r="AA5739" s="388"/>
      <c r="AB5739" s="388"/>
      <c r="AC5739" s="150">
        <v>0</v>
      </c>
      <c r="AD5739" s="150">
        <v>0</v>
      </c>
      <c r="AE5739" s="49">
        <f t="shared" si="207"/>
        <v>0</v>
      </c>
      <c r="AF5739" s="397"/>
      <c r="AG5739" s="17">
        <v>0</v>
      </c>
      <c r="AH5739" s="397"/>
      <c r="AI5739" s="397"/>
      <c r="AJ5739" s="397">
        <v>1.2</v>
      </c>
      <c r="AK5739" s="398">
        <v>0</v>
      </c>
      <c r="AL5739" s="398">
        <v>0</v>
      </c>
      <c r="AM5739" s="17">
        <f t="shared" si="206"/>
        <v>0</v>
      </c>
      <c r="AN5739" s="14" t="s">
        <v>11865</v>
      </c>
      <c r="AO5739" s="12" t="s">
        <v>11866</v>
      </c>
      <c r="AP5739" s="399"/>
      <c r="AQ5739" s="399"/>
      <c r="AR5739" s="399"/>
      <c r="AS5739" s="399"/>
      <c r="AT5739" s="399"/>
      <c r="AX5739" s="400"/>
    </row>
    <row r="5740" spans="1:50" s="14" customFormat="1" x14ac:dyDescent="0.3">
      <c r="A5740" s="386" t="s">
        <v>8325</v>
      </c>
      <c r="B5740" s="14" t="s">
        <v>8326</v>
      </c>
      <c r="C5740" s="14" t="s">
        <v>11905</v>
      </c>
      <c r="D5740" s="14" t="s">
        <v>11906</v>
      </c>
      <c r="E5740" s="14" t="s">
        <v>12053</v>
      </c>
      <c r="F5740" s="12" t="s">
        <v>11990</v>
      </c>
      <c r="G5740" s="14" t="s">
        <v>12422</v>
      </c>
      <c r="H5740" s="12" t="s">
        <v>12423</v>
      </c>
      <c r="K5740" s="14" t="s">
        <v>12463</v>
      </c>
      <c r="L5740" s="14" t="s">
        <v>12464</v>
      </c>
      <c r="M5740" s="14" t="s">
        <v>12465</v>
      </c>
      <c r="P5740" s="12"/>
      <c r="Q5740" s="12">
        <v>1</v>
      </c>
      <c r="R5740" s="12">
        <v>1</v>
      </c>
      <c r="S5740" s="12">
        <v>1</v>
      </c>
      <c r="T5740" s="14" t="s">
        <v>5578</v>
      </c>
      <c r="U5740" t="s">
        <v>880</v>
      </c>
      <c r="V5740" s="12" t="s">
        <v>12466</v>
      </c>
      <c r="W5740" s="407"/>
      <c r="X5740" s="407"/>
      <c r="Y5740" s="407"/>
      <c r="Z5740" s="407"/>
      <c r="AA5740" s="407"/>
      <c r="AB5740" s="407"/>
      <c r="AC5740" s="150">
        <v>0</v>
      </c>
      <c r="AD5740" s="150">
        <v>0</v>
      </c>
      <c r="AE5740" s="49">
        <f t="shared" si="207"/>
        <v>0</v>
      </c>
      <c r="AF5740" s="397"/>
      <c r="AG5740" s="17">
        <v>0</v>
      </c>
      <c r="AH5740" s="397">
        <v>0</v>
      </c>
      <c r="AI5740" s="397">
        <v>0</v>
      </c>
      <c r="AJ5740" s="397">
        <v>3.5999999999999997E-2</v>
      </c>
      <c r="AK5740" s="398">
        <v>0</v>
      </c>
      <c r="AL5740" s="398">
        <v>0</v>
      </c>
      <c r="AM5740" s="17">
        <f t="shared" si="206"/>
        <v>0</v>
      </c>
      <c r="AN5740" s="14" t="s">
        <v>5578</v>
      </c>
      <c r="AO5740" s="12" t="s">
        <v>880</v>
      </c>
      <c r="AP5740" s="405"/>
      <c r="AQ5740" s="399"/>
      <c r="AR5740" s="399"/>
      <c r="AS5740" s="399"/>
      <c r="AT5740" s="399"/>
      <c r="AX5740" s="400"/>
    </row>
    <row r="5741" spans="1:50" s="14" customFormat="1" x14ac:dyDescent="0.3">
      <c r="A5741" s="386" t="s">
        <v>8325</v>
      </c>
      <c r="B5741" s="14" t="s">
        <v>8326</v>
      </c>
      <c r="C5741" s="14" t="s">
        <v>11714</v>
      </c>
      <c r="D5741" s="14" t="s">
        <v>6838</v>
      </c>
      <c r="E5741" s="14" t="s">
        <v>12467</v>
      </c>
      <c r="F5741" s="12" t="s">
        <v>12468</v>
      </c>
      <c r="G5741" s="14" t="s">
        <v>12469</v>
      </c>
      <c r="H5741" s="12" t="s">
        <v>12470</v>
      </c>
      <c r="K5741" s="14" t="s">
        <v>12471</v>
      </c>
      <c r="L5741" s="12" t="s">
        <v>12472</v>
      </c>
      <c r="M5741" s="14" t="s">
        <v>12473</v>
      </c>
      <c r="P5741" s="12">
        <v>1</v>
      </c>
      <c r="Q5741" s="12"/>
      <c r="R5741" s="12">
        <v>1</v>
      </c>
      <c r="S5741" s="12"/>
      <c r="T5741" s="14" t="s">
        <v>11722</v>
      </c>
      <c r="U5741" t="s">
        <v>11723</v>
      </c>
      <c r="V5741" s="14" t="s">
        <v>12474</v>
      </c>
      <c r="W5741" s="388">
        <v>1</v>
      </c>
      <c r="X5741" s="388">
        <v>0</v>
      </c>
      <c r="Y5741" s="388">
        <v>0</v>
      </c>
      <c r="Z5741" s="388">
        <v>1</v>
      </c>
      <c r="AA5741" s="388">
        <v>0</v>
      </c>
      <c r="AB5741" s="388">
        <v>0</v>
      </c>
      <c r="AC5741" s="150">
        <v>1</v>
      </c>
      <c r="AD5741" s="150">
        <v>1</v>
      </c>
      <c r="AE5741" s="49">
        <f t="shared" si="207"/>
        <v>0.5</v>
      </c>
      <c r="AF5741" s="397"/>
      <c r="AG5741" s="17">
        <v>0</v>
      </c>
      <c r="AH5741" s="397">
        <v>0</v>
      </c>
      <c r="AI5741" s="397">
        <v>0.09</v>
      </c>
      <c r="AJ5741" s="397">
        <v>0</v>
      </c>
      <c r="AK5741" s="398">
        <v>0</v>
      </c>
      <c r="AL5741" s="398">
        <v>0</v>
      </c>
      <c r="AM5741" s="17">
        <f t="shared" si="206"/>
        <v>0</v>
      </c>
      <c r="AN5741" s="14" t="s">
        <v>11722</v>
      </c>
      <c r="AO5741" s="12" t="s">
        <v>11723</v>
      </c>
      <c r="AP5741" s="399"/>
      <c r="AQ5741" s="399"/>
      <c r="AR5741" s="399"/>
      <c r="AS5741" s="399"/>
      <c r="AT5741" s="399"/>
      <c r="AX5741" s="400"/>
    </row>
    <row r="5742" spans="1:50" s="12" customFormat="1" x14ac:dyDescent="0.3">
      <c r="A5742" s="386" t="s">
        <v>8325</v>
      </c>
      <c r="B5742" s="14" t="s">
        <v>8326</v>
      </c>
      <c r="C5742" s="14" t="s">
        <v>11714</v>
      </c>
      <c r="D5742" s="12" t="s">
        <v>6838</v>
      </c>
      <c r="E5742" s="14" t="s">
        <v>12467</v>
      </c>
      <c r="F5742" s="12" t="s">
        <v>12468</v>
      </c>
      <c r="G5742" s="14" t="s">
        <v>12469</v>
      </c>
      <c r="H5742" s="12" t="s">
        <v>12470</v>
      </c>
      <c r="K5742" s="14" t="s">
        <v>12471</v>
      </c>
      <c r="L5742" s="12" t="s">
        <v>12472</v>
      </c>
      <c r="M5742" s="14" t="s">
        <v>12475</v>
      </c>
      <c r="N5742" s="14">
        <v>12</v>
      </c>
      <c r="O5742" s="14"/>
      <c r="P5742" s="12">
        <v>12</v>
      </c>
      <c r="Q5742" s="12">
        <v>12</v>
      </c>
      <c r="R5742" s="12">
        <v>10</v>
      </c>
      <c r="S5742" s="12">
        <v>10</v>
      </c>
      <c r="T5742" s="14" t="s">
        <v>11722</v>
      </c>
      <c r="U5742" t="s">
        <v>11723</v>
      </c>
      <c r="V5742" s="14" t="s">
        <v>12476</v>
      </c>
      <c r="W5742" s="388">
        <v>1</v>
      </c>
      <c r="X5742" s="388">
        <v>0</v>
      </c>
      <c r="Y5742" s="388">
        <v>0</v>
      </c>
      <c r="Z5742" s="388">
        <v>1</v>
      </c>
      <c r="AA5742" s="388">
        <v>0</v>
      </c>
      <c r="AB5742" s="388">
        <v>0</v>
      </c>
      <c r="AC5742" s="150">
        <v>1</v>
      </c>
      <c r="AD5742" s="150">
        <v>1</v>
      </c>
      <c r="AE5742" s="49">
        <f t="shared" si="207"/>
        <v>0.5</v>
      </c>
      <c r="AF5742" s="397"/>
      <c r="AG5742" s="17">
        <v>0</v>
      </c>
      <c r="AH5742" s="397">
        <v>0</v>
      </c>
      <c r="AI5742" s="397">
        <v>0.06</v>
      </c>
      <c r="AJ5742" s="397">
        <v>6.3E-2</v>
      </c>
      <c r="AK5742" s="398">
        <v>0</v>
      </c>
      <c r="AL5742" s="398">
        <v>0</v>
      </c>
      <c r="AM5742" s="17">
        <f t="shared" si="206"/>
        <v>0</v>
      </c>
      <c r="AN5742" s="14" t="s">
        <v>11722</v>
      </c>
      <c r="AO5742" s="12" t="s">
        <v>11723</v>
      </c>
      <c r="AP5742" s="399"/>
      <c r="AQ5742" s="400"/>
      <c r="AR5742" s="399"/>
      <c r="AS5742" s="399"/>
      <c r="AT5742" s="399"/>
      <c r="AX5742" s="402"/>
    </row>
    <row r="5743" spans="1:50" s="12" customFormat="1" x14ac:dyDescent="0.3">
      <c r="A5743" s="386" t="s">
        <v>8325</v>
      </c>
      <c r="B5743" s="14" t="s">
        <v>8326</v>
      </c>
      <c r="C5743" s="14" t="s">
        <v>11807</v>
      </c>
      <c r="D5743" s="12" t="s">
        <v>11808</v>
      </c>
      <c r="E5743" s="14" t="s">
        <v>12477</v>
      </c>
      <c r="F5743" s="12" t="s">
        <v>12468</v>
      </c>
      <c r="G5743" s="14" t="s">
        <v>12478</v>
      </c>
      <c r="H5743" s="12" t="s">
        <v>12470</v>
      </c>
      <c r="K5743" s="14" t="s">
        <v>12479</v>
      </c>
      <c r="L5743" s="12" t="s">
        <v>12472</v>
      </c>
      <c r="M5743" s="14" t="s">
        <v>12480</v>
      </c>
      <c r="N5743" s="14"/>
      <c r="O5743" s="14"/>
      <c r="P5743" s="12">
        <v>80</v>
      </c>
      <c r="Q5743" s="12">
        <v>80</v>
      </c>
      <c r="R5743" s="12">
        <v>40</v>
      </c>
      <c r="S5743" s="12">
        <v>40</v>
      </c>
      <c r="T5743" s="14" t="s">
        <v>11722</v>
      </c>
      <c r="U5743" t="s">
        <v>11723</v>
      </c>
      <c r="V5743" s="14" t="s">
        <v>12481</v>
      </c>
      <c r="W5743" s="388">
        <v>1</v>
      </c>
      <c r="X5743" s="388">
        <v>0</v>
      </c>
      <c r="Y5743" s="388">
        <v>0</v>
      </c>
      <c r="Z5743" s="388">
        <v>1</v>
      </c>
      <c r="AA5743" s="388">
        <v>0</v>
      </c>
      <c r="AB5743" s="388">
        <v>0</v>
      </c>
      <c r="AC5743" s="150">
        <v>1</v>
      </c>
      <c r="AD5743" s="150">
        <v>1</v>
      </c>
      <c r="AE5743" s="49">
        <f t="shared" si="207"/>
        <v>0.5</v>
      </c>
      <c r="AF5743" s="397"/>
      <c r="AG5743" s="17">
        <v>0</v>
      </c>
      <c r="AH5743" s="397">
        <v>0</v>
      </c>
      <c r="AI5743" s="397">
        <v>0.08</v>
      </c>
      <c r="AJ5743" s="397">
        <v>8.4000000000000005E-2</v>
      </c>
      <c r="AK5743" s="398">
        <v>0</v>
      </c>
      <c r="AL5743" s="398">
        <v>0</v>
      </c>
      <c r="AM5743" s="17">
        <f t="shared" si="206"/>
        <v>0</v>
      </c>
      <c r="AN5743" s="14" t="s">
        <v>11722</v>
      </c>
      <c r="AO5743" s="12" t="s">
        <v>11723</v>
      </c>
      <c r="AP5743" s="399"/>
      <c r="AQ5743" s="399"/>
      <c r="AR5743" s="399"/>
      <c r="AS5743" s="399"/>
      <c r="AT5743" s="399"/>
      <c r="AX5743" s="402"/>
    </row>
    <row r="5744" spans="1:50" s="14" customFormat="1" x14ac:dyDescent="0.3">
      <c r="A5744" s="386" t="s">
        <v>8325</v>
      </c>
      <c r="B5744" s="14" t="s">
        <v>8326</v>
      </c>
      <c r="C5744" s="14" t="s">
        <v>11714</v>
      </c>
      <c r="D5744" s="14" t="s">
        <v>6838</v>
      </c>
      <c r="E5744" s="14" t="s">
        <v>12467</v>
      </c>
      <c r="F5744" s="12" t="s">
        <v>12468</v>
      </c>
      <c r="G5744" s="14" t="s">
        <v>12469</v>
      </c>
      <c r="H5744" s="12" t="s">
        <v>12470</v>
      </c>
      <c r="K5744" s="14" t="s">
        <v>12482</v>
      </c>
      <c r="L5744" s="14" t="s">
        <v>12483</v>
      </c>
      <c r="M5744" s="14" t="s">
        <v>12484</v>
      </c>
      <c r="P5744" s="12"/>
      <c r="Q5744" s="12">
        <v>60</v>
      </c>
      <c r="R5744" s="12">
        <v>62</v>
      </c>
      <c r="S5744" s="12">
        <v>64</v>
      </c>
      <c r="T5744" s="14" t="s">
        <v>11865</v>
      </c>
      <c r="U5744" t="s">
        <v>11866</v>
      </c>
      <c r="V5744" s="12" t="s">
        <v>12485</v>
      </c>
      <c r="W5744" s="407"/>
      <c r="X5744" s="407"/>
      <c r="Y5744" s="407"/>
      <c r="Z5744" s="407"/>
      <c r="AA5744" s="407"/>
      <c r="AB5744" s="407"/>
      <c r="AC5744" s="150">
        <v>0</v>
      </c>
      <c r="AD5744" s="150">
        <v>0</v>
      </c>
      <c r="AE5744" s="49">
        <f t="shared" si="207"/>
        <v>0</v>
      </c>
      <c r="AF5744" s="397"/>
      <c r="AG5744" s="17">
        <v>0</v>
      </c>
      <c r="AH5744" s="397"/>
      <c r="AI5744" s="397"/>
      <c r="AJ5744" s="397">
        <v>1.2</v>
      </c>
      <c r="AK5744" s="398">
        <v>0</v>
      </c>
      <c r="AL5744" s="398">
        <v>0</v>
      </c>
      <c r="AM5744" s="17">
        <f t="shared" si="206"/>
        <v>0</v>
      </c>
      <c r="AN5744" s="14" t="s">
        <v>11865</v>
      </c>
      <c r="AO5744" s="12" t="s">
        <v>11866</v>
      </c>
      <c r="AP5744" s="399"/>
      <c r="AQ5744" s="400"/>
      <c r="AR5744" s="399"/>
      <c r="AS5744" s="399"/>
      <c r="AT5744" s="399"/>
      <c r="AX5744" s="400"/>
    </row>
    <row r="5745" spans="1:50" s="14" customFormat="1" x14ac:dyDescent="0.3">
      <c r="A5745" s="386" t="s">
        <v>8325</v>
      </c>
      <c r="B5745" s="14" t="s">
        <v>8326</v>
      </c>
      <c r="C5745" s="14" t="s">
        <v>11714</v>
      </c>
      <c r="D5745" s="14" t="s">
        <v>6838</v>
      </c>
      <c r="E5745" s="14" t="s">
        <v>12467</v>
      </c>
      <c r="F5745" s="12" t="s">
        <v>12468</v>
      </c>
      <c r="G5745" s="14" t="s">
        <v>12469</v>
      </c>
      <c r="H5745" s="12" t="s">
        <v>12470</v>
      </c>
      <c r="K5745" s="14" t="s">
        <v>12486</v>
      </c>
      <c r="L5745" s="14" t="s">
        <v>12487</v>
      </c>
      <c r="M5745" s="14" t="s">
        <v>12488</v>
      </c>
      <c r="P5745" s="12"/>
      <c r="Q5745" s="12">
        <v>15</v>
      </c>
      <c r="R5745" s="12">
        <v>20</v>
      </c>
      <c r="S5745" s="12">
        <v>25</v>
      </c>
      <c r="T5745" s="14" t="s">
        <v>11865</v>
      </c>
      <c r="U5745" t="s">
        <v>11866</v>
      </c>
      <c r="V5745" s="12" t="s">
        <v>12489</v>
      </c>
      <c r="W5745" s="407"/>
      <c r="X5745" s="407"/>
      <c r="Y5745" s="407"/>
      <c r="Z5745" s="407"/>
      <c r="AA5745" s="407"/>
      <c r="AB5745" s="407"/>
      <c r="AC5745" s="150">
        <v>0</v>
      </c>
      <c r="AD5745" s="150">
        <v>0</v>
      </c>
      <c r="AE5745" s="49">
        <f t="shared" si="207"/>
        <v>0</v>
      </c>
      <c r="AF5745" s="397"/>
      <c r="AG5745" s="17">
        <v>0</v>
      </c>
      <c r="AH5745" s="397"/>
      <c r="AI5745" s="397"/>
      <c r="AJ5745" s="397">
        <v>2</v>
      </c>
      <c r="AK5745" s="398">
        <v>0</v>
      </c>
      <c r="AL5745" s="398">
        <v>0</v>
      </c>
      <c r="AM5745" s="17">
        <f t="shared" si="206"/>
        <v>0</v>
      </c>
      <c r="AN5745" s="14" t="s">
        <v>11865</v>
      </c>
      <c r="AO5745" s="12" t="s">
        <v>11866</v>
      </c>
      <c r="AP5745" s="399"/>
      <c r="AQ5745" s="400"/>
      <c r="AR5745" s="399"/>
      <c r="AS5745" s="399"/>
      <c r="AT5745" s="399"/>
      <c r="AX5745" s="400"/>
    </row>
    <row r="5746" spans="1:50" s="14" customFormat="1" x14ac:dyDescent="0.3">
      <c r="A5746" s="386" t="s">
        <v>8325</v>
      </c>
      <c r="B5746" s="14" t="s">
        <v>8326</v>
      </c>
      <c r="C5746" s="14" t="s">
        <v>11714</v>
      </c>
      <c r="D5746" s="14" t="s">
        <v>6838</v>
      </c>
      <c r="E5746" s="14" t="s">
        <v>12467</v>
      </c>
      <c r="F5746" s="12" t="s">
        <v>12468</v>
      </c>
      <c r="G5746" s="14" t="s">
        <v>12469</v>
      </c>
      <c r="H5746" s="12" t="s">
        <v>12470</v>
      </c>
      <c r="K5746" s="14" t="s">
        <v>12490</v>
      </c>
      <c r="L5746" s="12" t="s">
        <v>12491</v>
      </c>
      <c r="M5746" s="14" t="s">
        <v>12492</v>
      </c>
      <c r="N5746" s="400">
        <v>0</v>
      </c>
      <c r="O5746" s="417">
        <v>0</v>
      </c>
      <c r="P5746" s="402">
        <v>1</v>
      </c>
      <c r="Q5746" s="402">
        <v>0</v>
      </c>
      <c r="R5746" s="402"/>
      <c r="S5746" s="402">
        <v>0</v>
      </c>
      <c r="T5746" s="14" t="s">
        <v>11722</v>
      </c>
      <c r="U5746" t="s">
        <v>11723</v>
      </c>
      <c r="V5746" s="14" t="s">
        <v>12493</v>
      </c>
      <c r="W5746" s="388">
        <v>1</v>
      </c>
      <c r="X5746" s="388">
        <v>1</v>
      </c>
      <c r="Y5746" s="388">
        <v>1</v>
      </c>
      <c r="Z5746" s="388">
        <v>1</v>
      </c>
      <c r="AA5746" s="388">
        <v>1</v>
      </c>
      <c r="AB5746" s="388">
        <v>1</v>
      </c>
      <c r="AC5746" s="150">
        <v>1</v>
      </c>
      <c r="AD5746" s="150">
        <v>1</v>
      </c>
      <c r="AE5746" s="49">
        <f t="shared" si="207"/>
        <v>1</v>
      </c>
      <c r="AF5746" s="397"/>
      <c r="AG5746" s="17">
        <v>0</v>
      </c>
      <c r="AH5746" s="397">
        <v>0</v>
      </c>
      <c r="AI5746" s="397">
        <v>9.4500000000000001E-2</v>
      </c>
      <c r="AJ5746" s="397">
        <v>0</v>
      </c>
      <c r="AK5746" s="398">
        <v>8.5360000000000005E-2</v>
      </c>
      <c r="AL5746" s="398">
        <v>8.5360000000000005E-2</v>
      </c>
      <c r="AM5746" s="17">
        <f t="shared" si="206"/>
        <v>0.17072000000000001</v>
      </c>
      <c r="AN5746" s="14" t="s">
        <v>11722</v>
      </c>
      <c r="AO5746" s="12" t="s">
        <v>11723</v>
      </c>
      <c r="AP5746" s="399"/>
      <c r="AQ5746" s="400"/>
      <c r="AR5746" s="399"/>
      <c r="AS5746" s="399"/>
      <c r="AT5746" s="399"/>
      <c r="AX5746" s="400"/>
    </row>
    <row r="5747" spans="1:50" s="14" customFormat="1" x14ac:dyDescent="0.3">
      <c r="A5747" s="386" t="s">
        <v>8325</v>
      </c>
      <c r="B5747" s="14" t="s">
        <v>8326</v>
      </c>
      <c r="C5747" s="14" t="s">
        <v>11798</v>
      </c>
      <c r="D5747" s="14" t="s">
        <v>11799</v>
      </c>
      <c r="E5747" s="14" t="s">
        <v>12494</v>
      </c>
      <c r="F5747" s="12" t="s">
        <v>12468</v>
      </c>
      <c r="G5747" s="14" t="s">
        <v>12495</v>
      </c>
      <c r="H5747" s="12" t="s">
        <v>12470</v>
      </c>
      <c r="K5747" s="14" t="s">
        <v>12496</v>
      </c>
      <c r="L5747" s="12" t="s">
        <v>12491</v>
      </c>
      <c r="M5747" s="14" t="s">
        <v>12497</v>
      </c>
      <c r="O5747" s="400">
        <v>980</v>
      </c>
      <c r="P5747" s="402">
        <v>980</v>
      </c>
      <c r="Q5747" s="402">
        <v>980</v>
      </c>
      <c r="R5747" s="402">
        <v>980</v>
      </c>
      <c r="S5747" s="402">
        <v>980</v>
      </c>
      <c r="T5747" s="14" t="s">
        <v>11722</v>
      </c>
      <c r="U5747" t="s">
        <v>11723</v>
      </c>
      <c r="V5747" s="14" t="s">
        <v>12498</v>
      </c>
      <c r="W5747" s="388">
        <v>1</v>
      </c>
      <c r="X5747" s="388">
        <v>1</v>
      </c>
      <c r="Y5747" s="388">
        <v>1</v>
      </c>
      <c r="Z5747" s="388">
        <v>1</v>
      </c>
      <c r="AA5747" s="388">
        <v>1</v>
      </c>
      <c r="AB5747" s="388">
        <v>1</v>
      </c>
      <c r="AC5747" s="150">
        <v>1</v>
      </c>
      <c r="AD5747" s="150">
        <v>1</v>
      </c>
      <c r="AE5747" s="49">
        <f t="shared" si="207"/>
        <v>1</v>
      </c>
      <c r="AF5747" s="397"/>
      <c r="AG5747" s="17">
        <v>0</v>
      </c>
      <c r="AH5747" s="397">
        <v>2.3640400000000001</v>
      </c>
      <c r="AI5747" s="397">
        <v>2.3640400000000001</v>
      </c>
      <c r="AJ5747" s="397">
        <v>2.3640400000000001</v>
      </c>
      <c r="AK5747" s="398">
        <v>2.36</v>
      </c>
      <c r="AL5747" s="398">
        <v>2.36</v>
      </c>
      <c r="AM5747" s="17">
        <f t="shared" si="206"/>
        <v>4.72</v>
      </c>
      <c r="AN5747" s="14" t="s">
        <v>11722</v>
      </c>
      <c r="AO5747" s="12" t="s">
        <v>11723</v>
      </c>
      <c r="AP5747" s="399"/>
      <c r="AQ5747" s="399"/>
      <c r="AR5747" s="399"/>
      <c r="AS5747" s="399"/>
      <c r="AT5747" s="399"/>
      <c r="AX5747" s="400"/>
    </row>
    <row r="5748" spans="1:50" s="14" customFormat="1" x14ac:dyDescent="0.3">
      <c r="A5748" s="386" t="s">
        <v>8325</v>
      </c>
      <c r="B5748" s="14" t="s">
        <v>8326</v>
      </c>
      <c r="C5748" s="14" t="s">
        <v>11714</v>
      </c>
      <c r="D5748" s="14" t="s">
        <v>6838</v>
      </c>
      <c r="E5748" s="14" t="s">
        <v>12467</v>
      </c>
      <c r="F5748" s="12" t="s">
        <v>12468</v>
      </c>
      <c r="G5748" s="14" t="s">
        <v>12469</v>
      </c>
      <c r="H5748" s="12" t="s">
        <v>12470</v>
      </c>
      <c r="K5748" s="14" t="s">
        <v>12490</v>
      </c>
      <c r="L5748" s="12" t="s">
        <v>12491</v>
      </c>
      <c r="M5748" s="14" t="s">
        <v>12499</v>
      </c>
      <c r="N5748" s="400">
        <v>0</v>
      </c>
      <c r="O5748" s="400">
        <v>0</v>
      </c>
      <c r="P5748" s="402">
        <v>4</v>
      </c>
      <c r="Q5748" s="400"/>
      <c r="R5748" s="402">
        <v>4</v>
      </c>
      <c r="S5748" s="402">
        <v>4</v>
      </c>
      <c r="T5748" s="14" t="s">
        <v>11722</v>
      </c>
      <c r="U5748" t="s">
        <v>11723</v>
      </c>
      <c r="V5748" s="14" t="s">
        <v>12500</v>
      </c>
      <c r="W5748" s="388">
        <v>1</v>
      </c>
      <c r="X5748" s="388">
        <v>1</v>
      </c>
      <c r="Y5748" s="388">
        <v>1</v>
      </c>
      <c r="Z5748" s="388">
        <v>1</v>
      </c>
      <c r="AA5748" s="388">
        <v>1</v>
      </c>
      <c r="AB5748" s="388">
        <v>1</v>
      </c>
      <c r="AC5748" s="150">
        <v>1</v>
      </c>
      <c r="AD5748" s="150">
        <v>1</v>
      </c>
      <c r="AE5748" s="49">
        <f t="shared" si="207"/>
        <v>1</v>
      </c>
      <c r="AF5748" s="397"/>
      <c r="AG5748" s="17">
        <v>0</v>
      </c>
      <c r="AH5748" s="397">
        <v>0</v>
      </c>
      <c r="AI5748" s="397">
        <v>0</v>
      </c>
      <c r="AJ5748" s="397">
        <v>0.23163</v>
      </c>
      <c r="AK5748" s="398">
        <v>0.23</v>
      </c>
      <c r="AL5748" s="398">
        <v>0.23</v>
      </c>
      <c r="AM5748" s="17">
        <f t="shared" si="206"/>
        <v>0.46</v>
      </c>
      <c r="AN5748" s="14" t="s">
        <v>11722</v>
      </c>
      <c r="AO5748" s="12" t="s">
        <v>11723</v>
      </c>
      <c r="AP5748" s="399"/>
      <c r="AQ5748" s="400"/>
      <c r="AR5748" s="399"/>
      <c r="AS5748" s="399"/>
      <c r="AT5748" s="399"/>
      <c r="AX5748" s="400"/>
    </row>
    <row r="5749" spans="1:50" s="14" customFormat="1" x14ac:dyDescent="0.3">
      <c r="A5749" s="386" t="s">
        <v>8325</v>
      </c>
      <c r="B5749" s="14" t="s">
        <v>8326</v>
      </c>
      <c r="C5749" s="14" t="s">
        <v>11807</v>
      </c>
      <c r="D5749" s="14" t="s">
        <v>11808</v>
      </c>
      <c r="E5749" s="14" t="s">
        <v>12477</v>
      </c>
      <c r="F5749" s="12" t="s">
        <v>12468</v>
      </c>
      <c r="G5749" s="14" t="s">
        <v>12478</v>
      </c>
      <c r="H5749" s="12" t="s">
        <v>12470</v>
      </c>
      <c r="K5749" s="14" t="s">
        <v>12501</v>
      </c>
      <c r="L5749" s="12" t="s">
        <v>12491</v>
      </c>
      <c r="M5749" s="14" t="s">
        <v>12502</v>
      </c>
      <c r="O5749" s="14">
        <v>4</v>
      </c>
      <c r="P5749" s="12">
        <v>4</v>
      </c>
      <c r="Q5749" s="12">
        <v>4</v>
      </c>
      <c r="R5749" s="12">
        <v>4</v>
      </c>
      <c r="S5749" s="12"/>
      <c r="T5749" s="14" t="s">
        <v>11722</v>
      </c>
      <c r="U5749" t="s">
        <v>11723</v>
      </c>
      <c r="V5749" s="14" t="s">
        <v>12503</v>
      </c>
      <c r="W5749" s="388">
        <v>1</v>
      </c>
      <c r="X5749" s="388">
        <v>1</v>
      </c>
      <c r="Y5749" s="388">
        <v>0</v>
      </c>
      <c r="Z5749" s="388">
        <v>1</v>
      </c>
      <c r="AA5749" s="388">
        <v>1</v>
      </c>
      <c r="AB5749" s="388">
        <v>1</v>
      </c>
      <c r="AC5749" s="150">
        <v>1</v>
      </c>
      <c r="AD5749" s="150">
        <v>1</v>
      </c>
      <c r="AE5749" s="49">
        <f t="shared" si="207"/>
        <v>0.875</v>
      </c>
      <c r="AF5749" s="397"/>
      <c r="AG5749" s="17">
        <v>0</v>
      </c>
      <c r="AH5749" s="397">
        <v>0</v>
      </c>
      <c r="AI5749" s="397">
        <v>7.1099999999999997E-2</v>
      </c>
      <c r="AJ5749" s="397">
        <v>0.14931</v>
      </c>
      <c r="AK5749" s="398">
        <v>0.05</v>
      </c>
      <c r="AL5749" s="398">
        <v>0.05</v>
      </c>
      <c r="AM5749" s="17">
        <f t="shared" si="206"/>
        <v>0.1</v>
      </c>
      <c r="AN5749" s="14" t="s">
        <v>11722</v>
      </c>
      <c r="AO5749" s="12" t="s">
        <v>11723</v>
      </c>
      <c r="AP5749" s="399"/>
      <c r="AQ5749" s="399"/>
      <c r="AR5749" s="399"/>
      <c r="AS5749" s="399"/>
      <c r="AT5749" s="399"/>
      <c r="AX5749" s="400"/>
    </row>
    <row r="5750" spans="1:50" s="14" customFormat="1" x14ac:dyDescent="0.3">
      <c r="A5750" s="386" t="s">
        <v>8325</v>
      </c>
      <c r="B5750" s="14" t="s">
        <v>8326</v>
      </c>
      <c r="C5750" s="14" t="s">
        <v>11714</v>
      </c>
      <c r="D5750" s="14" t="s">
        <v>6838</v>
      </c>
      <c r="E5750" s="14" t="s">
        <v>12467</v>
      </c>
      <c r="F5750" s="12" t="s">
        <v>12468</v>
      </c>
      <c r="G5750" s="14" t="s">
        <v>12469</v>
      </c>
      <c r="H5750" s="12" t="s">
        <v>12470</v>
      </c>
      <c r="K5750" s="14" t="s">
        <v>12490</v>
      </c>
      <c r="L5750" s="12" t="s">
        <v>12491</v>
      </c>
      <c r="M5750" s="14" t="s">
        <v>12504</v>
      </c>
      <c r="O5750" s="418">
        <v>0</v>
      </c>
      <c r="P5750" s="401">
        <v>0</v>
      </c>
      <c r="Q5750" s="12">
        <v>2</v>
      </c>
      <c r="R5750" s="12">
        <v>2</v>
      </c>
      <c r="S5750" s="12">
        <v>1</v>
      </c>
      <c r="T5750" s="14" t="s">
        <v>11722</v>
      </c>
      <c r="U5750" t="s">
        <v>11723</v>
      </c>
      <c r="V5750" s="14" t="s">
        <v>12505</v>
      </c>
      <c r="W5750" s="388">
        <v>1</v>
      </c>
      <c r="X5750" s="388">
        <v>1</v>
      </c>
      <c r="Y5750" s="388">
        <v>1</v>
      </c>
      <c r="Z5750" s="388">
        <v>1</v>
      </c>
      <c r="AA5750" s="388">
        <v>0</v>
      </c>
      <c r="AB5750" s="388">
        <v>0</v>
      </c>
      <c r="AC5750" s="150">
        <v>1</v>
      </c>
      <c r="AD5750" s="150">
        <v>1</v>
      </c>
      <c r="AE5750" s="49">
        <f t="shared" si="207"/>
        <v>0.75</v>
      </c>
      <c r="AF5750" s="397"/>
      <c r="AG5750" s="17">
        <v>0</v>
      </c>
      <c r="AH5750" s="397">
        <v>0</v>
      </c>
      <c r="AI5750" s="397">
        <v>0</v>
      </c>
      <c r="AJ5750" s="397">
        <v>2.5457649</v>
      </c>
      <c r="AK5750" s="398">
        <v>0</v>
      </c>
      <c r="AL5750" s="398">
        <v>0</v>
      </c>
      <c r="AM5750" s="17">
        <f t="shared" si="206"/>
        <v>0</v>
      </c>
      <c r="AN5750" s="14" t="s">
        <v>11722</v>
      </c>
      <c r="AO5750" s="12" t="s">
        <v>11723</v>
      </c>
      <c r="AP5750" s="399"/>
      <c r="AQ5750" s="400"/>
      <c r="AR5750" s="399"/>
      <c r="AS5750" s="399"/>
      <c r="AT5750" s="399"/>
      <c r="AX5750" s="400"/>
    </row>
    <row r="5751" spans="1:50" s="14" customFormat="1" x14ac:dyDescent="0.3">
      <c r="A5751" s="386" t="s">
        <v>8325</v>
      </c>
      <c r="B5751" s="14" t="s">
        <v>8326</v>
      </c>
      <c r="C5751" s="14" t="s">
        <v>11714</v>
      </c>
      <c r="D5751" s="14" t="s">
        <v>6838</v>
      </c>
      <c r="E5751" s="14" t="s">
        <v>12467</v>
      </c>
      <c r="F5751" s="12" t="s">
        <v>12468</v>
      </c>
      <c r="G5751" s="14" t="s">
        <v>12469</v>
      </c>
      <c r="H5751" s="12" t="s">
        <v>12470</v>
      </c>
      <c r="K5751" s="14" t="s">
        <v>12490</v>
      </c>
      <c r="L5751" s="12" t="s">
        <v>12491</v>
      </c>
      <c r="M5751" s="14" t="s">
        <v>12506</v>
      </c>
      <c r="N5751" s="400">
        <v>0</v>
      </c>
      <c r="O5751" s="400">
        <v>0</v>
      </c>
      <c r="P5751" s="402">
        <v>4</v>
      </c>
      <c r="Q5751" s="402">
        <v>4</v>
      </c>
      <c r="R5751" s="402">
        <v>4</v>
      </c>
      <c r="S5751" s="402">
        <v>4</v>
      </c>
      <c r="T5751" s="14" t="s">
        <v>11722</v>
      </c>
      <c r="U5751" t="s">
        <v>11723</v>
      </c>
      <c r="V5751" s="14" t="s">
        <v>12507</v>
      </c>
      <c r="W5751" s="388">
        <v>1</v>
      </c>
      <c r="X5751" s="388">
        <v>1</v>
      </c>
      <c r="Y5751" s="388">
        <v>1</v>
      </c>
      <c r="Z5751" s="388">
        <v>1</v>
      </c>
      <c r="AA5751" s="388">
        <v>1</v>
      </c>
      <c r="AB5751" s="388">
        <v>1</v>
      </c>
      <c r="AC5751" s="150">
        <v>1</v>
      </c>
      <c r="AD5751" s="150">
        <v>1</v>
      </c>
      <c r="AE5751" s="49">
        <f t="shared" si="207"/>
        <v>1</v>
      </c>
      <c r="AF5751" s="397"/>
      <c r="AG5751" s="17">
        <v>0</v>
      </c>
      <c r="AH5751" s="397">
        <v>0</v>
      </c>
      <c r="AI5751" s="397">
        <v>0.03</v>
      </c>
      <c r="AJ5751" s="397">
        <v>0.15876000000000001</v>
      </c>
      <c r="AK5751" s="398">
        <v>0.156</v>
      </c>
      <c r="AL5751" s="398">
        <v>0.156</v>
      </c>
      <c r="AM5751" s="17">
        <f t="shared" si="206"/>
        <v>0.312</v>
      </c>
      <c r="AN5751" s="14" t="s">
        <v>11722</v>
      </c>
      <c r="AO5751" s="12" t="s">
        <v>11723</v>
      </c>
      <c r="AP5751" s="399"/>
      <c r="AQ5751" s="400"/>
      <c r="AR5751" s="399"/>
      <c r="AS5751" s="399"/>
      <c r="AT5751" s="399"/>
      <c r="AX5751" s="400"/>
    </row>
    <row r="5752" spans="1:50" s="14" customFormat="1" x14ac:dyDescent="0.3">
      <c r="A5752" s="386" t="s">
        <v>8325</v>
      </c>
      <c r="B5752" s="14" t="s">
        <v>8326</v>
      </c>
      <c r="C5752" s="14" t="s">
        <v>11807</v>
      </c>
      <c r="D5752" s="14" t="s">
        <v>11808</v>
      </c>
      <c r="E5752" s="14" t="s">
        <v>12477</v>
      </c>
      <c r="F5752" s="12" t="s">
        <v>12468</v>
      </c>
      <c r="G5752" s="14" t="s">
        <v>12478</v>
      </c>
      <c r="H5752" s="12" t="s">
        <v>12470</v>
      </c>
      <c r="K5752" s="14" t="s">
        <v>12501</v>
      </c>
      <c r="L5752" s="12" t="s">
        <v>12491</v>
      </c>
      <c r="M5752" s="14" t="s">
        <v>12508</v>
      </c>
      <c r="N5752" s="400"/>
      <c r="O5752" s="400">
        <v>0</v>
      </c>
      <c r="P5752" s="403">
        <v>5</v>
      </c>
      <c r="Q5752" s="403">
        <v>5</v>
      </c>
      <c r="R5752" s="403">
        <v>5</v>
      </c>
      <c r="S5752" s="403">
        <v>5</v>
      </c>
      <c r="T5752" s="14" t="s">
        <v>1588</v>
      </c>
      <c r="U5752" t="s">
        <v>1590</v>
      </c>
      <c r="V5752" s="14" t="s">
        <v>12509</v>
      </c>
      <c r="W5752" s="388"/>
      <c r="X5752" s="388"/>
      <c r="Y5752" s="388"/>
      <c r="Z5752" s="388"/>
      <c r="AA5752" s="388"/>
      <c r="AB5752" s="388"/>
      <c r="AC5752" s="150">
        <v>0</v>
      </c>
      <c r="AD5752" s="150">
        <v>0</v>
      </c>
      <c r="AE5752" s="49">
        <f t="shared" si="207"/>
        <v>0</v>
      </c>
      <c r="AF5752" s="397"/>
      <c r="AG5752" s="17">
        <v>0</v>
      </c>
      <c r="AH5752" s="397">
        <v>0</v>
      </c>
      <c r="AI5752" s="397">
        <v>1.4999999999999999E-2</v>
      </c>
      <c r="AJ5752" s="397">
        <v>1.4999999999999999E-2</v>
      </c>
      <c r="AK5752" s="398">
        <v>1.4999999999999999E-2</v>
      </c>
      <c r="AL5752" s="398">
        <v>1.4999999999999999E-2</v>
      </c>
      <c r="AM5752" s="17">
        <f t="shared" ref="AM5752:AM5815" si="208">SUM(AK5752:AL5752)</f>
        <v>0.03</v>
      </c>
      <c r="AN5752" s="14" t="s">
        <v>1588</v>
      </c>
      <c r="AO5752" s="12" t="s">
        <v>1590</v>
      </c>
      <c r="AP5752" s="399"/>
      <c r="AQ5752" s="399"/>
      <c r="AR5752" s="399"/>
      <c r="AS5752" s="399"/>
      <c r="AT5752" s="399"/>
      <c r="AX5752" s="400"/>
    </row>
    <row r="5753" spans="1:50" s="14" customFormat="1" x14ac:dyDescent="0.3">
      <c r="A5753" s="386" t="s">
        <v>8325</v>
      </c>
      <c r="B5753" s="14" t="s">
        <v>8326</v>
      </c>
      <c r="C5753" s="14" t="s">
        <v>11798</v>
      </c>
      <c r="D5753" s="14" t="s">
        <v>11799</v>
      </c>
      <c r="E5753" s="14" t="s">
        <v>12494</v>
      </c>
      <c r="F5753" s="12" t="s">
        <v>12468</v>
      </c>
      <c r="G5753" s="14" t="s">
        <v>12495</v>
      </c>
      <c r="H5753" s="12" t="s">
        <v>12470</v>
      </c>
      <c r="K5753" s="14" t="s">
        <v>12496</v>
      </c>
      <c r="L5753" s="12" t="s">
        <v>12491</v>
      </c>
      <c r="M5753" s="14" t="s">
        <v>12510</v>
      </c>
      <c r="N5753" s="400"/>
      <c r="O5753" s="400">
        <v>0.6</v>
      </c>
      <c r="P5753" s="403">
        <v>0.6</v>
      </c>
      <c r="Q5753" s="403">
        <v>0.7</v>
      </c>
      <c r="R5753" s="403">
        <v>0.75</v>
      </c>
      <c r="S5753" s="403">
        <v>0.8</v>
      </c>
      <c r="T5753" s="14" t="s">
        <v>1588</v>
      </c>
      <c r="U5753" t="s">
        <v>1590</v>
      </c>
      <c r="V5753" s="14" t="s">
        <v>12511</v>
      </c>
      <c r="W5753" s="388"/>
      <c r="X5753" s="388"/>
      <c r="Y5753" s="388"/>
      <c r="Z5753" s="388"/>
      <c r="AA5753" s="388"/>
      <c r="AB5753" s="388"/>
      <c r="AC5753" s="150">
        <v>0</v>
      </c>
      <c r="AD5753" s="150">
        <v>0</v>
      </c>
      <c r="AE5753" s="49">
        <f t="shared" si="207"/>
        <v>0</v>
      </c>
      <c r="AF5753" s="397"/>
      <c r="AG5753" s="17">
        <v>0</v>
      </c>
      <c r="AH5753" s="397">
        <v>0.1</v>
      </c>
      <c r="AI5753" s="397">
        <v>0.1</v>
      </c>
      <c r="AJ5753" s="397">
        <v>0.12</v>
      </c>
      <c r="AK5753" s="398">
        <v>0.23</v>
      </c>
      <c r="AL5753" s="398">
        <v>0.23</v>
      </c>
      <c r="AM5753" s="17">
        <f t="shared" si="208"/>
        <v>0.46</v>
      </c>
      <c r="AN5753" s="14" t="s">
        <v>1588</v>
      </c>
      <c r="AO5753" s="12" t="s">
        <v>1590</v>
      </c>
      <c r="AP5753" s="399"/>
      <c r="AQ5753" s="399"/>
      <c r="AR5753" s="399"/>
      <c r="AS5753" s="399"/>
      <c r="AT5753" s="399"/>
      <c r="AX5753" s="400"/>
    </row>
    <row r="5754" spans="1:50" s="14" customFormat="1" x14ac:dyDescent="0.3">
      <c r="A5754" s="386" t="s">
        <v>8325</v>
      </c>
      <c r="B5754" s="14" t="s">
        <v>8326</v>
      </c>
      <c r="C5754" s="14" t="s">
        <v>11807</v>
      </c>
      <c r="D5754" s="14" t="s">
        <v>11808</v>
      </c>
      <c r="E5754" s="14" t="s">
        <v>12477</v>
      </c>
      <c r="F5754" s="12" t="s">
        <v>12468</v>
      </c>
      <c r="G5754" s="14" t="s">
        <v>12478</v>
      </c>
      <c r="H5754" s="12" t="s">
        <v>12470</v>
      </c>
      <c r="K5754" s="14" t="s">
        <v>12501</v>
      </c>
      <c r="L5754" s="12" t="s">
        <v>12491</v>
      </c>
      <c r="M5754" s="14" t="s">
        <v>12512</v>
      </c>
      <c r="N5754" s="400">
        <v>0</v>
      </c>
      <c r="O5754" s="400">
        <v>0</v>
      </c>
      <c r="P5754" s="403">
        <v>5</v>
      </c>
      <c r="Q5754" s="403">
        <v>5</v>
      </c>
      <c r="R5754" s="403">
        <v>5</v>
      </c>
      <c r="S5754" s="403">
        <v>5</v>
      </c>
      <c r="T5754" s="14" t="s">
        <v>1588</v>
      </c>
      <c r="U5754" t="s">
        <v>1590</v>
      </c>
      <c r="V5754" s="14" t="s">
        <v>12509</v>
      </c>
      <c r="W5754" s="388"/>
      <c r="X5754" s="388"/>
      <c r="Y5754" s="388"/>
      <c r="Z5754" s="388"/>
      <c r="AA5754" s="388"/>
      <c r="AB5754" s="388"/>
      <c r="AC5754" s="150">
        <v>0</v>
      </c>
      <c r="AD5754" s="150">
        <v>0</v>
      </c>
      <c r="AE5754" s="49">
        <f t="shared" si="207"/>
        <v>0</v>
      </c>
      <c r="AF5754" s="397"/>
      <c r="AG5754" s="17">
        <v>0</v>
      </c>
      <c r="AH5754" s="397">
        <v>0</v>
      </c>
      <c r="AI5754" s="397">
        <v>1.4999999999999999E-2</v>
      </c>
      <c r="AJ5754" s="397">
        <v>1.4999999999999999E-2</v>
      </c>
      <c r="AK5754" s="398">
        <v>1.4999999999999999E-2</v>
      </c>
      <c r="AL5754" s="398">
        <v>0.02</v>
      </c>
      <c r="AM5754" s="17">
        <f t="shared" si="208"/>
        <v>3.5000000000000003E-2</v>
      </c>
      <c r="AN5754" s="14" t="s">
        <v>1588</v>
      </c>
      <c r="AO5754" s="12" t="s">
        <v>1590</v>
      </c>
      <c r="AP5754" s="399"/>
      <c r="AQ5754" s="399"/>
      <c r="AR5754" s="399"/>
      <c r="AS5754" s="399"/>
      <c r="AT5754" s="399"/>
      <c r="AX5754" s="400"/>
    </row>
    <row r="5755" spans="1:50" s="14" customFormat="1" x14ac:dyDescent="0.3">
      <c r="A5755" s="386" t="s">
        <v>8325</v>
      </c>
      <c r="B5755" s="14" t="s">
        <v>8326</v>
      </c>
      <c r="C5755" s="14" t="s">
        <v>11807</v>
      </c>
      <c r="D5755" s="14" t="s">
        <v>11808</v>
      </c>
      <c r="E5755" s="14" t="s">
        <v>12477</v>
      </c>
      <c r="F5755" s="12" t="s">
        <v>12468</v>
      </c>
      <c r="G5755" s="14" t="s">
        <v>12478</v>
      </c>
      <c r="H5755" s="12" t="s">
        <v>12470</v>
      </c>
      <c r="K5755" s="14" t="s">
        <v>12501</v>
      </c>
      <c r="L5755" s="12" t="s">
        <v>12491</v>
      </c>
      <c r="M5755" s="14" t="s">
        <v>12513</v>
      </c>
      <c r="N5755" s="400">
        <v>0</v>
      </c>
      <c r="O5755" s="400">
        <v>0</v>
      </c>
      <c r="P5755" s="403">
        <v>8</v>
      </c>
      <c r="Q5755" s="403">
        <v>0</v>
      </c>
      <c r="R5755" s="403">
        <v>8</v>
      </c>
      <c r="S5755" s="403">
        <v>0</v>
      </c>
      <c r="T5755" s="14" t="s">
        <v>1588</v>
      </c>
      <c r="U5755" t="s">
        <v>1590</v>
      </c>
      <c r="V5755" s="14" t="s">
        <v>12514</v>
      </c>
      <c r="W5755" s="388"/>
      <c r="X5755" s="388"/>
      <c r="Y5755" s="388"/>
      <c r="Z5755" s="388"/>
      <c r="AA5755" s="388"/>
      <c r="AB5755" s="388"/>
      <c r="AC5755" s="150">
        <v>0</v>
      </c>
      <c r="AD5755" s="150">
        <v>0</v>
      </c>
      <c r="AE5755" s="49">
        <f t="shared" ref="AE5755:AE5818" si="209">SUM(W5755:AD5755)/8</f>
        <v>0</v>
      </c>
      <c r="AF5755" s="397"/>
      <c r="AG5755" s="17">
        <v>0</v>
      </c>
      <c r="AH5755" s="397">
        <v>0</v>
      </c>
      <c r="AI5755" s="397">
        <v>0.04</v>
      </c>
      <c r="AJ5755" s="397">
        <v>0</v>
      </c>
      <c r="AK5755" s="398">
        <v>1.4999999999999999E-2</v>
      </c>
      <c r="AL5755" s="398">
        <v>1.4999999999999999E-2</v>
      </c>
      <c r="AM5755" s="17">
        <f t="shared" si="208"/>
        <v>0.03</v>
      </c>
      <c r="AN5755" s="14" t="s">
        <v>1588</v>
      </c>
      <c r="AO5755" s="12" t="s">
        <v>1590</v>
      </c>
      <c r="AP5755" s="399"/>
      <c r="AQ5755" s="399"/>
      <c r="AR5755" s="399"/>
      <c r="AS5755" s="399"/>
      <c r="AT5755" s="399"/>
      <c r="AX5755" s="400"/>
    </row>
    <row r="5756" spans="1:50" s="14" customFormat="1" x14ac:dyDescent="0.3">
      <c r="A5756" s="386" t="s">
        <v>8325</v>
      </c>
      <c r="B5756" s="14" t="s">
        <v>8326</v>
      </c>
      <c r="C5756" s="14" t="s">
        <v>11714</v>
      </c>
      <c r="D5756" s="14" t="s">
        <v>6838</v>
      </c>
      <c r="E5756" s="14" t="s">
        <v>12467</v>
      </c>
      <c r="F5756" s="12" t="s">
        <v>12468</v>
      </c>
      <c r="G5756" s="14" t="s">
        <v>12469</v>
      </c>
      <c r="H5756" s="12" t="s">
        <v>12470</v>
      </c>
      <c r="K5756" s="14" t="s">
        <v>12490</v>
      </c>
      <c r="L5756" s="12" t="s">
        <v>12491</v>
      </c>
      <c r="M5756" s="14" t="s">
        <v>12515</v>
      </c>
      <c r="N5756" s="400">
        <v>0</v>
      </c>
      <c r="O5756" s="400">
        <v>0</v>
      </c>
      <c r="P5756" s="403">
        <v>1</v>
      </c>
      <c r="Q5756" s="403">
        <v>0</v>
      </c>
      <c r="R5756" s="403">
        <v>0</v>
      </c>
      <c r="S5756" s="403">
        <v>0</v>
      </c>
      <c r="T5756" s="14" t="s">
        <v>1588</v>
      </c>
      <c r="U5756" t="s">
        <v>1590</v>
      </c>
      <c r="V5756" s="14" t="s">
        <v>12516</v>
      </c>
      <c r="W5756" s="388"/>
      <c r="X5756" s="388"/>
      <c r="Y5756" s="388"/>
      <c r="Z5756" s="388"/>
      <c r="AA5756" s="388"/>
      <c r="AB5756" s="388"/>
      <c r="AC5756" s="150">
        <v>0</v>
      </c>
      <c r="AD5756" s="150">
        <v>0</v>
      </c>
      <c r="AE5756" s="49">
        <f t="shared" si="209"/>
        <v>0</v>
      </c>
      <c r="AF5756" s="397"/>
      <c r="AG5756" s="17">
        <v>0</v>
      </c>
      <c r="AH5756" s="397">
        <v>0</v>
      </c>
      <c r="AI5756" s="397">
        <v>0.03</v>
      </c>
      <c r="AJ5756" s="397">
        <v>0.05</v>
      </c>
      <c r="AK5756" s="398">
        <v>0.05</v>
      </c>
      <c r="AL5756" s="398">
        <v>0.05</v>
      </c>
      <c r="AM5756" s="17">
        <f t="shared" si="208"/>
        <v>0.1</v>
      </c>
      <c r="AN5756" s="14" t="s">
        <v>1588</v>
      </c>
      <c r="AO5756" s="12" t="s">
        <v>1590</v>
      </c>
      <c r="AP5756" s="399"/>
      <c r="AQ5756" s="400"/>
      <c r="AR5756" s="399"/>
      <c r="AS5756" s="399"/>
      <c r="AT5756" s="399"/>
      <c r="AX5756" s="400"/>
    </row>
    <row r="5757" spans="1:50" s="14" customFormat="1" x14ac:dyDescent="0.3">
      <c r="A5757" s="386" t="s">
        <v>8325</v>
      </c>
      <c r="B5757" s="14" t="s">
        <v>8326</v>
      </c>
      <c r="C5757" s="14" t="s">
        <v>11714</v>
      </c>
      <c r="D5757" s="14" t="s">
        <v>6838</v>
      </c>
      <c r="E5757" s="14" t="s">
        <v>12467</v>
      </c>
      <c r="F5757" s="12" t="s">
        <v>12468</v>
      </c>
      <c r="G5757" s="14" t="s">
        <v>12469</v>
      </c>
      <c r="H5757" s="12" t="s">
        <v>12470</v>
      </c>
      <c r="K5757" s="14" t="s">
        <v>12490</v>
      </c>
      <c r="L5757" s="12" t="s">
        <v>12491</v>
      </c>
      <c r="M5757" s="14" t="s">
        <v>12517</v>
      </c>
      <c r="N5757" s="400">
        <v>0</v>
      </c>
      <c r="O5757" s="400">
        <v>2</v>
      </c>
      <c r="P5757" s="403">
        <v>5</v>
      </c>
      <c r="Q5757" s="403">
        <v>8</v>
      </c>
      <c r="R5757" s="403">
        <v>10</v>
      </c>
      <c r="S5757" s="403">
        <v>12</v>
      </c>
      <c r="T5757" s="14" t="s">
        <v>1588</v>
      </c>
      <c r="U5757" t="s">
        <v>1590</v>
      </c>
      <c r="V5757" s="14" t="s">
        <v>12518</v>
      </c>
      <c r="W5757" s="388"/>
      <c r="X5757" s="388"/>
      <c r="Y5757" s="388"/>
      <c r="Z5757" s="388"/>
      <c r="AA5757" s="388"/>
      <c r="AB5757" s="388"/>
      <c r="AC5757" s="150">
        <v>0</v>
      </c>
      <c r="AD5757" s="150">
        <v>0</v>
      </c>
      <c r="AE5757" s="49">
        <f t="shared" si="209"/>
        <v>0</v>
      </c>
      <c r="AF5757" s="397"/>
      <c r="AG5757" s="17">
        <v>0</v>
      </c>
      <c r="AH5757" s="397">
        <v>0.01</v>
      </c>
      <c r="AI5757" s="397">
        <v>2.5000000000000001E-2</v>
      </c>
      <c r="AJ5757" s="397">
        <v>0.04</v>
      </c>
      <c r="AK5757" s="398">
        <v>0</v>
      </c>
      <c r="AL5757" s="398">
        <v>0</v>
      </c>
      <c r="AM5757" s="17">
        <f t="shared" si="208"/>
        <v>0</v>
      </c>
      <c r="AN5757" s="14" t="s">
        <v>1588</v>
      </c>
      <c r="AO5757" s="12" t="s">
        <v>1590</v>
      </c>
      <c r="AP5757" s="399"/>
      <c r="AQ5757" s="400"/>
      <c r="AR5757" s="399"/>
      <c r="AS5757" s="399"/>
      <c r="AT5757" s="399"/>
      <c r="AX5757" s="400"/>
    </row>
    <row r="5758" spans="1:50" s="14" customFormat="1" x14ac:dyDescent="0.3">
      <c r="A5758" s="386" t="s">
        <v>8325</v>
      </c>
      <c r="B5758" s="14" t="s">
        <v>8326</v>
      </c>
      <c r="C5758" s="14" t="s">
        <v>11714</v>
      </c>
      <c r="D5758" s="14" t="s">
        <v>6838</v>
      </c>
      <c r="E5758" s="14" t="s">
        <v>12467</v>
      </c>
      <c r="F5758" s="12" t="s">
        <v>12468</v>
      </c>
      <c r="G5758" s="14" t="s">
        <v>12469</v>
      </c>
      <c r="H5758" s="12" t="s">
        <v>12470</v>
      </c>
      <c r="K5758" s="14" t="s">
        <v>12519</v>
      </c>
      <c r="L5758" s="12" t="s">
        <v>12520</v>
      </c>
      <c r="M5758" s="14" t="s">
        <v>12521</v>
      </c>
      <c r="N5758" s="400"/>
      <c r="O5758" s="400">
        <v>1</v>
      </c>
      <c r="P5758" s="403">
        <v>0</v>
      </c>
      <c r="Q5758" s="403">
        <v>0</v>
      </c>
      <c r="R5758" s="403">
        <v>1</v>
      </c>
      <c r="S5758" s="403">
        <v>0</v>
      </c>
      <c r="T5758" s="14" t="s">
        <v>1588</v>
      </c>
      <c r="U5758" t="s">
        <v>1590</v>
      </c>
      <c r="V5758" s="14" t="s">
        <v>12522</v>
      </c>
      <c r="W5758" s="388"/>
      <c r="X5758" s="388"/>
      <c r="Y5758" s="388"/>
      <c r="Z5758" s="388"/>
      <c r="AA5758" s="388"/>
      <c r="AB5758" s="388"/>
      <c r="AC5758" s="150">
        <v>0</v>
      </c>
      <c r="AD5758" s="150">
        <v>0</v>
      </c>
      <c r="AE5758" s="49">
        <f t="shared" si="209"/>
        <v>0</v>
      </c>
      <c r="AF5758" s="397"/>
      <c r="AG5758" s="17">
        <v>0</v>
      </c>
      <c r="AH5758" s="397">
        <v>0</v>
      </c>
      <c r="AI5758" s="397">
        <v>0</v>
      </c>
      <c r="AJ5758" s="397">
        <v>0</v>
      </c>
      <c r="AK5758" s="398">
        <v>0</v>
      </c>
      <c r="AL5758" s="398">
        <v>0</v>
      </c>
      <c r="AM5758" s="17">
        <f t="shared" si="208"/>
        <v>0</v>
      </c>
      <c r="AN5758" s="14" t="s">
        <v>1588</v>
      </c>
      <c r="AO5758" s="12" t="s">
        <v>1590</v>
      </c>
      <c r="AP5758" s="399"/>
      <c r="AQ5758" s="400"/>
      <c r="AR5758" s="399"/>
      <c r="AS5758" s="399"/>
      <c r="AT5758" s="399"/>
      <c r="AX5758" s="400"/>
    </row>
    <row r="5759" spans="1:50" s="14" customFormat="1" x14ac:dyDescent="0.3">
      <c r="A5759" s="386" t="s">
        <v>8325</v>
      </c>
      <c r="B5759" s="14" t="s">
        <v>8326</v>
      </c>
      <c r="C5759" s="14" t="s">
        <v>11714</v>
      </c>
      <c r="D5759" s="14" t="s">
        <v>6838</v>
      </c>
      <c r="E5759" s="14" t="s">
        <v>12467</v>
      </c>
      <c r="F5759" s="12" t="s">
        <v>12468</v>
      </c>
      <c r="G5759" s="14" t="s">
        <v>12469</v>
      </c>
      <c r="H5759" s="12" t="s">
        <v>12470</v>
      </c>
      <c r="K5759" s="14" t="s">
        <v>12519</v>
      </c>
      <c r="L5759" s="12" t="s">
        <v>12520</v>
      </c>
      <c r="M5759" s="14" t="s">
        <v>12523</v>
      </c>
      <c r="N5759" s="400">
        <v>0</v>
      </c>
      <c r="O5759" s="400">
        <v>0</v>
      </c>
      <c r="P5759" s="402">
        <v>1</v>
      </c>
      <c r="Q5759" s="402">
        <v>0</v>
      </c>
      <c r="R5759" s="402">
        <v>0</v>
      </c>
      <c r="S5759" s="402">
        <v>0</v>
      </c>
      <c r="T5759" s="14" t="s">
        <v>11722</v>
      </c>
      <c r="U5759" t="s">
        <v>11723</v>
      </c>
      <c r="V5759" s="14" t="s">
        <v>12524</v>
      </c>
      <c r="W5759" s="388">
        <v>1</v>
      </c>
      <c r="X5759" s="388">
        <v>0</v>
      </c>
      <c r="Y5759" s="388">
        <v>0</v>
      </c>
      <c r="Z5759" s="388">
        <v>1</v>
      </c>
      <c r="AA5759" s="388">
        <v>1</v>
      </c>
      <c r="AB5759" s="388">
        <v>1</v>
      </c>
      <c r="AC5759" s="150">
        <v>1</v>
      </c>
      <c r="AD5759" s="150">
        <v>1</v>
      </c>
      <c r="AE5759" s="49">
        <f t="shared" si="209"/>
        <v>0.75</v>
      </c>
      <c r="AF5759" s="397"/>
      <c r="AG5759" s="17">
        <v>0</v>
      </c>
      <c r="AH5759" s="397">
        <v>0</v>
      </c>
      <c r="AI5759" s="397">
        <v>7.4200000000000002E-2</v>
      </c>
      <c r="AJ5759" s="397">
        <v>0</v>
      </c>
      <c r="AK5759" s="398">
        <v>0</v>
      </c>
      <c r="AL5759" s="398">
        <v>0</v>
      </c>
      <c r="AM5759" s="17">
        <f t="shared" si="208"/>
        <v>0</v>
      </c>
      <c r="AN5759" s="14" t="s">
        <v>11722</v>
      </c>
      <c r="AO5759" s="12" t="s">
        <v>11723</v>
      </c>
      <c r="AP5759" s="399"/>
      <c r="AQ5759" s="400"/>
      <c r="AR5759" s="399"/>
      <c r="AS5759" s="399"/>
      <c r="AT5759" s="399"/>
      <c r="AX5759" s="400"/>
    </row>
    <row r="5760" spans="1:50" s="14" customFormat="1" x14ac:dyDescent="0.3">
      <c r="A5760" s="386" t="s">
        <v>8325</v>
      </c>
      <c r="B5760" s="14" t="s">
        <v>8326</v>
      </c>
      <c r="C5760" s="14" t="s">
        <v>11714</v>
      </c>
      <c r="D5760" s="14" t="s">
        <v>6838</v>
      </c>
      <c r="E5760" s="14" t="s">
        <v>12467</v>
      </c>
      <c r="F5760" s="12" t="s">
        <v>12468</v>
      </c>
      <c r="G5760" s="14" t="s">
        <v>12469</v>
      </c>
      <c r="H5760" s="12" t="s">
        <v>12470</v>
      </c>
      <c r="K5760" s="14" t="s">
        <v>12519</v>
      </c>
      <c r="L5760" s="12" t="s">
        <v>12520</v>
      </c>
      <c r="M5760" s="14" t="s">
        <v>12525</v>
      </c>
      <c r="N5760" s="400">
        <v>0</v>
      </c>
      <c r="O5760" s="400">
        <v>0</v>
      </c>
      <c r="P5760" s="41">
        <v>1</v>
      </c>
      <c r="Q5760" s="41">
        <v>1</v>
      </c>
      <c r="R5760" s="41">
        <v>1</v>
      </c>
      <c r="S5760" s="41">
        <v>1</v>
      </c>
      <c r="T5760" s="14" t="s">
        <v>11722</v>
      </c>
      <c r="U5760" t="s">
        <v>11723</v>
      </c>
      <c r="V5760" s="14" t="s">
        <v>12525</v>
      </c>
      <c r="W5760" s="388">
        <v>1</v>
      </c>
      <c r="X5760" s="388">
        <v>0</v>
      </c>
      <c r="Y5760" s="388">
        <v>0</v>
      </c>
      <c r="Z5760" s="388">
        <v>1</v>
      </c>
      <c r="AA5760" s="388">
        <v>1</v>
      </c>
      <c r="AB5760" s="388">
        <v>1</v>
      </c>
      <c r="AC5760" s="150">
        <v>1</v>
      </c>
      <c r="AD5760" s="150">
        <v>1</v>
      </c>
      <c r="AE5760" s="49">
        <f t="shared" si="209"/>
        <v>0.75</v>
      </c>
      <c r="AF5760" s="397"/>
      <c r="AG5760" s="17">
        <v>0</v>
      </c>
      <c r="AH5760" s="397">
        <v>0</v>
      </c>
      <c r="AI5760" s="397">
        <v>0.19620000000000001</v>
      </c>
      <c r="AJ5760" s="397">
        <v>0.20601</v>
      </c>
      <c r="AK5760" s="398">
        <v>0.20601</v>
      </c>
      <c r="AL5760" s="398">
        <v>0.21631049999999999</v>
      </c>
      <c r="AM5760" s="17">
        <f t="shared" si="208"/>
        <v>0.42232049999999999</v>
      </c>
      <c r="AN5760" s="14" t="s">
        <v>11722</v>
      </c>
      <c r="AO5760" s="12" t="s">
        <v>11723</v>
      </c>
      <c r="AP5760" s="399"/>
      <c r="AQ5760" s="400"/>
      <c r="AR5760" s="399"/>
      <c r="AS5760" s="399"/>
      <c r="AT5760" s="399"/>
      <c r="AX5760" s="400"/>
    </row>
    <row r="5761" spans="1:50" s="14" customFormat="1" x14ac:dyDescent="0.3">
      <c r="A5761" s="386" t="s">
        <v>8325</v>
      </c>
      <c r="B5761" s="14" t="s">
        <v>8326</v>
      </c>
      <c r="C5761" s="14" t="s">
        <v>11714</v>
      </c>
      <c r="D5761" s="14" t="s">
        <v>6838</v>
      </c>
      <c r="E5761" s="14" t="s">
        <v>12467</v>
      </c>
      <c r="F5761" s="12" t="s">
        <v>12468</v>
      </c>
      <c r="G5761" s="14" t="s">
        <v>12526</v>
      </c>
      <c r="H5761" s="12" t="s">
        <v>12527</v>
      </c>
      <c r="K5761" s="14" t="s">
        <v>12528</v>
      </c>
      <c r="L5761" s="12" t="s">
        <v>12529</v>
      </c>
      <c r="M5761" s="14" t="s">
        <v>12530</v>
      </c>
      <c r="N5761" s="400">
        <v>145</v>
      </c>
      <c r="O5761" s="400">
        <v>0</v>
      </c>
      <c r="P5761" s="152">
        <v>160</v>
      </c>
      <c r="Q5761" s="152">
        <v>180</v>
      </c>
      <c r="R5761" s="152">
        <v>200</v>
      </c>
      <c r="S5761" s="152">
        <v>200</v>
      </c>
      <c r="T5761" s="14" t="s">
        <v>11722</v>
      </c>
      <c r="U5761" t="s">
        <v>11723</v>
      </c>
      <c r="V5761" s="14" t="s">
        <v>12531</v>
      </c>
      <c r="W5761" s="388">
        <v>1</v>
      </c>
      <c r="X5761" s="388">
        <v>1</v>
      </c>
      <c r="Y5761" s="388">
        <v>0</v>
      </c>
      <c r="Z5761" s="388">
        <v>1</v>
      </c>
      <c r="AA5761" s="388">
        <v>1</v>
      </c>
      <c r="AB5761" s="388">
        <v>1</v>
      </c>
      <c r="AC5761" s="150">
        <v>1</v>
      </c>
      <c r="AD5761" s="150">
        <v>1</v>
      </c>
      <c r="AE5761" s="49">
        <f t="shared" si="209"/>
        <v>0.875</v>
      </c>
      <c r="AF5761" s="397"/>
      <c r="AG5761" s="17">
        <v>0</v>
      </c>
      <c r="AH5761" s="397">
        <v>0.4768</v>
      </c>
      <c r="AI5761" s="397">
        <v>0.4768</v>
      </c>
      <c r="AJ5761" s="397">
        <v>1.0012799999999999</v>
      </c>
      <c r="AK5761" s="398">
        <v>8.4000000000000005E-2</v>
      </c>
      <c r="AL5761" s="398">
        <v>8.4000000000000005E-2</v>
      </c>
      <c r="AM5761" s="17">
        <f t="shared" si="208"/>
        <v>0.16800000000000001</v>
      </c>
      <c r="AN5761" s="14" t="s">
        <v>11722</v>
      </c>
      <c r="AO5761" s="12" t="s">
        <v>11723</v>
      </c>
      <c r="AP5761" s="399"/>
      <c r="AQ5761" s="400"/>
      <c r="AR5761" s="399"/>
      <c r="AS5761" s="399"/>
      <c r="AT5761" s="399"/>
      <c r="AX5761" s="400"/>
    </row>
    <row r="5762" spans="1:50" s="14" customFormat="1" x14ac:dyDescent="0.3">
      <c r="A5762" s="386" t="s">
        <v>8325</v>
      </c>
      <c r="B5762" s="14" t="s">
        <v>8326</v>
      </c>
      <c r="C5762" s="14" t="s">
        <v>11714</v>
      </c>
      <c r="D5762" s="14" t="s">
        <v>6838</v>
      </c>
      <c r="E5762" s="14" t="s">
        <v>12467</v>
      </c>
      <c r="F5762" s="12" t="s">
        <v>12468</v>
      </c>
      <c r="G5762" s="14" t="s">
        <v>12526</v>
      </c>
      <c r="H5762" s="12" t="s">
        <v>12527</v>
      </c>
      <c r="K5762" s="14" t="s">
        <v>12528</v>
      </c>
      <c r="L5762" s="12" t="s">
        <v>12529</v>
      </c>
      <c r="M5762" s="14" t="s">
        <v>12532</v>
      </c>
      <c r="N5762" s="400">
        <v>20</v>
      </c>
      <c r="O5762" s="400">
        <v>20</v>
      </c>
      <c r="P5762" s="152">
        <v>20</v>
      </c>
      <c r="Q5762" s="152">
        <v>20</v>
      </c>
      <c r="R5762" s="152">
        <v>20</v>
      </c>
      <c r="S5762" s="152">
        <v>20</v>
      </c>
      <c r="T5762" s="14" t="s">
        <v>11722</v>
      </c>
      <c r="U5762" t="s">
        <v>11723</v>
      </c>
      <c r="V5762" s="14" t="s">
        <v>12533</v>
      </c>
      <c r="W5762" s="388">
        <v>1</v>
      </c>
      <c r="X5762" s="388">
        <v>1</v>
      </c>
      <c r="Y5762" s="388">
        <v>0</v>
      </c>
      <c r="Z5762" s="388">
        <v>1</v>
      </c>
      <c r="AA5762" s="388">
        <v>1</v>
      </c>
      <c r="AB5762" s="388">
        <v>1</v>
      </c>
      <c r="AC5762" s="150">
        <v>1</v>
      </c>
      <c r="AD5762" s="150">
        <v>1</v>
      </c>
      <c r="AE5762" s="49">
        <f t="shared" si="209"/>
        <v>0.875</v>
      </c>
      <c r="AF5762" s="397"/>
      <c r="AG5762" s="17">
        <v>0</v>
      </c>
      <c r="AH5762" s="397">
        <v>0.16470000000000001</v>
      </c>
      <c r="AI5762" s="397">
        <v>0.21959999999999999</v>
      </c>
      <c r="AJ5762" s="397">
        <v>0.23058000000000001</v>
      </c>
      <c r="AK5762" s="398">
        <f>1.18785818</f>
        <v>1.1878581800000001</v>
      </c>
      <c r="AL5762" s="398">
        <f>1.18785818</f>
        <v>1.1878581800000001</v>
      </c>
      <c r="AM5762" s="17">
        <f t="shared" si="208"/>
        <v>2.3757163600000002</v>
      </c>
      <c r="AN5762" s="14" t="s">
        <v>11722</v>
      </c>
      <c r="AO5762" s="12" t="s">
        <v>11723</v>
      </c>
      <c r="AP5762" s="399"/>
      <c r="AQ5762" s="400"/>
      <c r="AR5762" s="399"/>
      <c r="AS5762" s="399"/>
      <c r="AT5762" s="399"/>
      <c r="AX5762" s="400"/>
    </row>
    <row r="5763" spans="1:50" s="14" customFormat="1" x14ac:dyDescent="0.3">
      <c r="A5763" s="386" t="s">
        <v>8325</v>
      </c>
      <c r="B5763" s="14" t="s">
        <v>8326</v>
      </c>
      <c r="C5763" s="14" t="s">
        <v>11714</v>
      </c>
      <c r="D5763" s="14" t="s">
        <v>6838</v>
      </c>
      <c r="E5763" s="14" t="s">
        <v>12467</v>
      </c>
      <c r="F5763" s="12" t="s">
        <v>12468</v>
      </c>
      <c r="G5763" s="14" t="s">
        <v>12526</v>
      </c>
      <c r="H5763" s="12" t="s">
        <v>12527</v>
      </c>
      <c r="K5763" s="14" t="s">
        <v>12528</v>
      </c>
      <c r="L5763" s="12" t="s">
        <v>12529</v>
      </c>
      <c r="M5763" s="14" t="s">
        <v>12534</v>
      </c>
      <c r="N5763" s="400"/>
      <c r="O5763" s="400">
        <v>0</v>
      </c>
      <c r="P5763" s="152">
        <v>4</v>
      </c>
      <c r="Q5763" s="152">
        <v>4</v>
      </c>
      <c r="R5763" s="152">
        <v>4</v>
      </c>
      <c r="S5763" s="152">
        <v>4</v>
      </c>
      <c r="T5763" s="14" t="s">
        <v>11722</v>
      </c>
      <c r="U5763" t="s">
        <v>11723</v>
      </c>
      <c r="V5763" s="14" t="s">
        <v>12535</v>
      </c>
      <c r="W5763" s="388">
        <v>1</v>
      </c>
      <c r="X5763" s="388">
        <v>1</v>
      </c>
      <c r="Y5763" s="388">
        <v>0</v>
      </c>
      <c r="Z5763" s="388">
        <v>1</v>
      </c>
      <c r="AA5763" s="388">
        <v>1</v>
      </c>
      <c r="AB5763" s="388">
        <v>1</v>
      </c>
      <c r="AC5763" s="150">
        <v>1</v>
      </c>
      <c r="AD5763" s="150">
        <v>1</v>
      </c>
      <c r="AE5763" s="49">
        <f t="shared" si="209"/>
        <v>0.875</v>
      </c>
      <c r="AF5763" s="397"/>
      <c r="AG5763" s="17">
        <v>0</v>
      </c>
      <c r="AH5763" s="397">
        <v>0</v>
      </c>
      <c r="AI5763" s="397">
        <v>0.1472</v>
      </c>
      <c r="AJ5763" s="397">
        <v>0.30912000000000001</v>
      </c>
      <c r="AK5763" s="398">
        <v>0</v>
      </c>
      <c r="AL5763" s="398">
        <v>0</v>
      </c>
      <c r="AM5763" s="17">
        <f t="shared" si="208"/>
        <v>0</v>
      </c>
      <c r="AN5763" s="14" t="s">
        <v>11722</v>
      </c>
      <c r="AO5763" s="12" t="s">
        <v>11723</v>
      </c>
      <c r="AP5763" s="399"/>
      <c r="AQ5763" s="400"/>
      <c r="AR5763" s="399"/>
      <c r="AS5763" s="399"/>
      <c r="AT5763" s="399"/>
      <c r="AX5763" s="400"/>
    </row>
    <row r="5764" spans="1:50" s="14" customFormat="1" x14ac:dyDescent="0.3">
      <c r="A5764" s="386" t="s">
        <v>8325</v>
      </c>
      <c r="B5764" s="14" t="s">
        <v>8326</v>
      </c>
      <c r="C5764" s="14" t="s">
        <v>11714</v>
      </c>
      <c r="D5764" s="14" t="s">
        <v>6838</v>
      </c>
      <c r="E5764" s="14" t="s">
        <v>12467</v>
      </c>
      <c r="F5764" s="12" t="s">
        <v>12468</v>
      </c>
      <c r="G5764" s="14" t="s">
        <v>12526</v>
      </c>
      <c r="H5764" s="12" t="s">
        <v>12527</v>
      </c>
      <c r="K5764" s="14" t="s">
        <v>12528</v>
      </c>
      <c r="L5764" s="12" t="s">
        <v>12529</v>
      </c>
      <c r="M5764" s="14" t="s">
        <v>12536</v>
      </c>
      <c r="N5764" s="400"/>
      <c r="O5764" s="400">
        <v>0</v>
      </c>
      <c r="P5764" s="152">
        <v>200</v>
      </c>
      <c r="Q5764" s="152">
        <v>200</v>
      </c>
      <c r="R5764" s="152">
        <v>200</v>
      </c>
      <c r="S5764" s="152">
        <v>200</v>
      </c>
      <c r="T5764" s="14" t="s">
        <v>11722</v>
      </c>
      <c r="U5764" t="s">
        <v>11723</v>
      </c>
      <c r="V5764" s="14" t="s">
        <v>12537</v>
      </c>
      <c r="W5764" s="388">
        <v>1</v>
      </c>
      <c r="X5764" s="388">
        <v>1</v>
      </c>
      <c r="Y5764" s="388">
        <v>0</v>
      </c>
      <c r="Z5764" s="388">
        <v>1</v>
      </c>
      <c r="AA5764" s="388">
        <v>1</v>
      </c>
      <c r="AB5764" s="388">
        <v>1</v>
      </c>
      <c r="AC5764" s="150">
        <v>1</v>
      </c>
      <c r="AD5764" s="150">
        <v>1</v>
      </c>
      <c r="AE5764" s="49">
        <f t="shared" si="209"/>
        <v>0.875</v>
      </c>
      <c r="AF5764" s="397"/>
      <c r="AG5764" s="17">
        <v>0</v>
      </c>
      <c r="AH5764" s="397">
        <v>0</v>
      </c>
      <c r="AI5764" s="397">
        <v>4.8000000000000001E-2</v>
      </c>
      <c r="AJ5764" s="397">
        <v>5.04E-2</v>
      </c>
      <c r="AK5764" s="398">
        <v>0.108</v>
      </c>
      <c r="AL5764" s="398">
        <v>0.108</v>
      </c>
      <c r="AM5764" s="17">
        <f t="shared" si="208"/>
        <v>0.216</v>
      </c>
      <c r="AN5764" s="14" t="s">
        <v>11722</v>
      </c>
      <c r="AO5764" s="12" t="s">
        <v>11723</v>
      </c>
      <c r="AP5764" s="399"/>
      <c r="AQ5764" s="400"/>
      <c r="AR5764" s="399"/>
      <c r="AS5764" s="399"/>
      <c r="AT5764" s="399"/>
      <c r="AX5764" s="400"/>
    </row>
    <row r="5765" spans="1:50" s="14" customFormat="1" x14ac:dyDescent="0.3">
      <c r="A5765" s="386" t="s">
        <v>8325</v>
      </c>
      <c r="B5765" s="14" t="s">
        <v>8326</v>
      </c>
      <c r="C5765" s="14" t="s">
        <v>11714</v>
      </c>
      <c r="D5765" s="14" t="s">
        <v>6838</v>
      </c>
      <c r="E5765" s="14" t="s">
        <v>12467</v>
      </c>
      <c r="F5765" s="12" t="s">
        <v>12468</v>
      </c>
      <c r="G5765" s="14" t="s">
        <v>12526</v>
      </c>
      <c r="H5765" s="12" t="s">
        <v>12527</v>
      </c>
      <c r="K5765" s="14" t="s">
        <v>12528</v>
      </c>
      <c r="L5765" s="12" t="s">
        <v>12529</v>
      </c>
      <c r="M5765" s="14" t="s">
        <v>12538</v>
      </c>
      <c r="N5765" s="400"/>
      <c r="O5765" s="400">
        <v>0</v>
      </c>
      <c r="P5765" s="152">
        <v>12</v>
      </c>
      <c r="Q5765" s="152">
        <v>12</v>
      </c>
      <c r="R5765" s="152">
        <v>12</v>
      </c>
      <c r="S5765" s="152">
        <v>12</v>
      </c>
      <c r="T5765" s="14" t="s">
        <v>11722</v>
      </c>
      <c r="U5765" t="s">
        <v>11723</v>
      </c>
      <c r="V5765" s="14" t="s">
        <v>12539</v>
      </c>
      <c r="W5765" s="388">
        <v>1</v>
      </c>
      <c r="X5765" s="388">
        <v>1</v>
      </c>
      <c r="Y5765" s="388">
        <v>0</v>
      </c>
      <c r="Z5765" s="388">
        <v>1</v>
      </c>
      <c r="AA5765" s="388">
        <v>1</v>
      </c>
      <c r="AB5765" s="388">
        <v>1</v>
      </c>
      <c r="AC5765" s="150">
        <v>1</v>
      </c>
      <c r="AD5765" s="150">
        <v>1</v>
      </c>
      <c r="AE5765" s="49">
        <f t="shared" si="209"/>
        <v>0.875</v>
      </c>
      <c r="AF5765" s="397"/>
      <c r="AG5765" s="17">
        <v>0</v>
      </c>
      <c r="AH5765" s="397">
        <v>0.06</v>
      </c>
      <c r="AI5765" s="397">
        <v>0.06</v>
      </c>
      <c r="AJ5765" s="397">
        <v>6.3E-2</v>
      </c>
      <c r="AK5765" s="398">
        <v>7.9200000000000007E-2</v>
      </c>
      <c r="AL5765" s="398">
        <v>0.79200000000000004</v>
      </c>
      <c r="AM5765" s="17">
        <f t="shared" si="208"/>
        <v>0.87120000000000009</v>
      </c>
      <c r="AN5765" s="14" t="s">
        <v>11722</v>
      </c>
      <c r="AO5765" s="12" t="s">
        <v>11723</v>
      </c>
      <c r="AP5765" s="399"/>
      <c r="AQ5765" s="400"/>
      <c r="AR5765" s="399"/>
      <c r="AS5765" s="399"/>
      <c r="AT5765" s="399"/>
      <c r="AX5765" s="400"/>
    </row>
    <row r="5766" spans="1:50" s="14" customFormat="1" x14ac:dyDescent="0.3">
      <c r="A5766" s="386" t="s">
        <v>8325</v>
      </c>
      <c r="B5766" s="14" t="s">
        <v>8326</v>
      </c>
      <c r="C5766" s="14" t="s">
        <v>11714</v>
      </c>
      <c r="D5766" s="14" t="s">
        <v>6838</v>
      </c>
      <c r="E5766" s="14" t="s">
        <v>12467</v>
      </c>
      <c r="F5766" s="12" t="s">
        <v>12468</v>
      </c>
      <c r="G5766" s="14" t="s">
        <v>12526</v>
      </c>
      <c r="H5766" s="12" t="s">
        <v>12527</v>
      </c>
      <c r="K5766" s="14" t="s">
        <v>12528</v>
      </c>
      <c r="L5766" s="12" t="s">
        <v>12529</v>
      </c>
      <c r="M5766" s="14" t="s">
        <v>12538</v>
      </c>
      <c r="N5766" s="400"/>
      <c r="O5766" s="400">
        <v>0</v>
      </c>
      <c r="P5766" s="152">
        <v>12</v>
      </c>
      <c r="Q5766" s="152">
        <v>12</v>
      </c>
      <c r="R5766" s="152">
        <v>12</v>
      </c>
      <c r="S5766" s="152">
        <v>12</v>
      </c>
      <c r="T5766" s="14" t="s">
        <v>11722</v>
      </c>
      <c r="U5766" t="s">
        <v>11723</v>
      </c>
      <c r="V5766" s="14" t="s">
        <v>12540</v>
      </c>
      <c r="W5766" s="388">
        <v>1</v>
      </c>
      <c r="X5766" s="388">
        <v>1</v>
      </c>
      <c r="Y5766" s="388">
        <v>0</v>
      </c>
      <c r="Z5766" s="388">
        <v>1</v>
      </c>
      <c r="AA5766" s="388">
        <v>1</v>
      </c>
      <c r="AB5766" s="388">
        <v>1</v>
      </c>
      <c r="AC5766" s="150">
        <v>1</v>
      </c>
      <c r="AD5766" s="150">
        <v>1</v>
      </c>
      <c r="AE5766" s="49">
        <f t="shared" si="209"/>
        <v>0.875</v>
      </c>
      <c r="AF5766" s="397"/>
      <c r="AG5766" s="17">
        <v>0</v>
      </c>
      <c r="AH5766" s="397">
        <v>0</v>
      </c>
      <c r="AI5766" s="397">
        <v>1.6E-2</v>
      </c>
      <c r="AJ5766" s="397">
        <v>1.6799999999999999E-2</v>
      </c>
      <c r="AK5766" s="398"/>
      <c r="AL5766" s="398"/>
      <c r="AM5766" s="17">
        <f t="shared" si="208"/>
        <v>0</v>
      </c>
      <c r="AN5766" s="14" t="s">
        <v>11722</v>
      </c>
      <c r="AO5766" s="12" t="s">
        <v>11723</v>
      </c>
      <c r="AP5766" s="399"/>
      <c r="AQ5766" s="400"/>
      <c r="AR5766" s="399"/>
      <c r="AS5766" s="399"/>
      <c r="AT5766" s="399"/>
      <c r="AX5766" s="400"/>
    </row>
    <row r="5767" spans="1:50" s="14" customFormat="1" x14ac:dyDescent="0.3">
      <c r="A5767" s="386" t="s">
        <v>8325</v>
      </c>
      <c r="B5767" s="14" t="s">
        <v>8326</v>
      </c>
      <c r="C5767" s="14" t="s">
        <v>11714</v>
      </c>
      <c r="D5767" s="14" t="s">
        <v>6838</v>
      </c>
      <c r="E5767" s="14" t="s">
        <v>12467</v>
      </c>
      <c r="F5767" s="12" t="s">
        <v>12468</v>
      </c>
      <c r="G5767" s="14" t="s">
        <v>12526</v>
      </c>
      <c r="H5767" s="12" t="s">
        <v>12527</v>
      </c>
      <c r="K5767" s="14" t="s">
        <v>12528</v>
      </c>
      <c r="L5767" s="12" t="s">
        <v>12529</v>
      </c>
      <c r="M5767" s="469" t="s">
        <v>12541</v>
      </c>
      <c r="N5767" s="474"/>
      <c r="O5767" s="474">
        <v>50</v>
      </c>
      <c r="P5767" s="475">
        <v>50</v>
      </c>
      <c r="Q5767" s="475">
        <v>50</v>
      </c>
      <c r="R5767" s="475">
        <v>50</v>
      </c>
      <c r="S5767" s="475">
        <v>46</v>
      </c>
      <c r="T5767" s="14" t="s">
        <v>1588</v>
      </c>
      <c r="U5767" t="s">
        <v>1590</v>
      </c>
      <c r="V5767" s="14" t="s">
        <v>12542</v>
      </c>
      <c r="W5767" s="388"/>
      <c r="X5767" s="388"/>
      <c r="Y5767" s="388"/>
      <c r="Z5767" s="388"/>
      <c r="AA5767" s="388"/>
      <c r="AB5767" s="388"/>
      <c r="AC5767" s="150">
        <v>0</v>
      </c>
      <c r="AD5767" s="150">
        <v>0</v>
      </c>
      <c r="AE5767" s="49">
        <f t="shared" si="209"/>
        <v>0</v>
      </c>
      <c r="AF5767" s="397"/>
      <c r="AG5767" s="17">
        <v>0</v>
      </c>
      <c r="AH5767" s="397">
        <v>0</v>
      </c>
      <c r="AI5767" s="397">
        <v>0.2</v>
      </c>
      <c r="AJ5767" s="397">
        <v>0.2</v>
      </c>
      <c r="AK5767" s="398">
        <v>0.06</v>
      </c>
      <c r="AL5767" s="398">
        <v>0.06</v>
      </c>
      <c r="AM5767" s="17">
        <f t="shared" si="208"/>
        <v>0.12</v>
      </c>
      <c r="AN5767" s="14" t="s">
        <v>1588</v>
      </c>
      <c r="AO5767" s="12" t="s">
        <v>1590</v>
      </c>
      <c r="AP5767" s="399"/>
      <c r="AQ5767" s="400"/>
      <c r="AR5767" s="399"/>
      <c r="AS5767" s="399"/>
      <c r="AT5767" s="399"/>
      <c r="AX5767" s="400"/>
    </row>
    <row r="5768" spans="1:50" s="14" customFormat="1" x14ac:dyDescent="0.3">
      <c r="A5768" s="386" t="s">
        <v>8325</v>
      </c>
      <c r="B5768" s="14" t="s">
        <v>8326</v>
      </c>
      <c r="C5768" s="14" t="s">
        <v>11714</v>
      </c>
      <c r="D5768" s="14" t="s">
        <v>6838</v>
      </c>
      <c r="E5768" s="14" t="s">
        <v>12467</v>
      </c>
      <c r="F5768" s="12" t="s">
        <v>12468</v>
      </c>
      <c r="G5768" s="14" t="s">
        <v>12526</v>
      </c>
      <c r="H5768" s="12" t="s">
        <v>12527</v>
      </c>
      <c r="K5768" s="14" t="s">
        <v>12528</v>
      </c>
      <c r="L5768" s="12" t="s">
        <v>12529</v>
      </c>
      <c r="M5768" s="469"/>
      <c r="N5768" s="474"/>
      <c r="O5768" s="474"/>
      <c r="P5768" s="475"/>
      <c r="Q5768" s="475"/>
      <c r="R5768" s="475"/>
      <c r="S5768" s="475"/>
      <c r="T5768" s="14" t="s">
        <v>1588</v>
      </c>
      <c r="U5768" t="s">
        <v>1590</v>
      </c>
      <c r="V5768" s="14" t="s">
        <v>12543</v>
      </c>
      <c r="W5768" s="388"/>
      <c r="X5768" s="388"/>
      <c r="Y5768" s="388"/>
      <c r="Z5768" s="388"/>
      <c r="AA5768" s="388"/>
      <c r="AB5768" s="388"/>
      <c r="AC5768" s="150">
        <v>0</v>
      </c>
      <c r="AD5768" s="150">
        <v>0</v>
      </c>
      <c r="AE5768" s="49">
        <f t="shared" si="209"/>
        <v>0</v>
      </c>
      <c r="AF5768" s="397"/>
      <c r="AG5768" s="17">
        <v>0</v>
      </c>
      <c r="AH5768" s="397">
        <v>0</v>
      </c>
      <c r="AI5768" s="397">
        <v>0.1</v>
      </c>
      <c r="AJ5768" s="397">
        <v>0.1</v>
      </c>
      <c r="AK5768" s="398">
        <v>5.5E-2</v>
      </c>
      <c r="AL5768" s="398">
        <v>0.55000000000000004</v>
      </c>
      <c r="AM5768" s="17">
        <f t="shared" si="208"/>
        <v>0.60500000000000009</v>
      </c>
      <c r="AN5768" s="14" t="s">
        <v>1588</v>
      </c>
      <c r="AO5768" s="12" t="s">
        <v>1590</v>
      </c>
      <c r="AP5768" s="399"/>
      <c r="AQ5768" s="400"/>
      <c r="AR5768" s="399"/>
      <c r="AS5768" s="399"/>
      <c r="AT5768" s="399"/>
      <c r="AX5768" s="400"/>
    </row>
    <row r="5769" spans="1:50" s="14" customFormat="1" x14ac:dyDescent="0.3">
      <c r="A5769" s="386" t="s">
        <v>8325</v>
      </c>
      <c r="B5769" s="14" t="s">
        <v>8326</v>
      </c>
      <c r="C5769" s="14" t="s">
        <v>11714</v>
      </c>
      <c r="D5769" s="14" t="s">
        <v>6838</v>
      </c>
      <c r="E5769" s="14" t="s">
        <v>12467</v>
      </c>
      <c r="F5769" s="12" t="s">
        <v>12468</v>
      </c>
      <c r="G5769" s="14" t="s">
        <v>12526</v>
      </c>
      <c r="H5769" s="12" t="s">
        <v>12527</v>
      </c>
      <c r="K5769" s="14" t="s">
        <v>12544</v>
      </c>
      <c r="L5769" s="12" t="s">
        <v>12545</v>
      </c>
      <c r="M5769" s="14" t="s">
        <v>12546</v>
      </c>
      <c r="P5769" s="12">
        <v>2</v>
      </c>
      <c r="Q5769" s="12">
        <v>2</v>
      </c>
      <c r="R5769" s="12"/>
      <c r="S5769" s="12"/>
      <c r="T5769" s="14" t="s">
        <v>11722</v>
      </c>
      <c r="U5769" t="s">
        <v>11723</v>
      </c>
      <c r="V5769" s="14" t="s">
        <v>12547</v>
      </c>
      <c r="W5769" s="388">
        <v>1</v>
      </c>
      <c r="X5769" s="388">
        <v>1</v>
      </c>
      <c r="Y5769" s="388">
        <v>1</v>
      </c>
      <c r="Z5769" s="388">
        <v>0</v>
      </c>
      <c r="AA5769" s="388">
        <v>0</v>
      </c>
      <c r="AB5769" s="388">
        <v>0</v>
      </c>
      <c r="AC5769" s="150">
        <v>1</v>
      </c>
      <c r="AD5769" s="150">
        <v>1</v>
      </c>
      <c r="AE5769" s="49">
        <f t="shared" si="209"/>
        <v>0.625</v>
      </c>
      <c r="AF5769" s="397"/>
      <c r="AG5769" s="17">
        <v>0</v>
      </c>
      <c r="AH5769" s="397">
        <v>0</v>
      </c>
      <c r="AI5769" s="397">
        <v>0</v>
      </c>
      <c r="AJ5769" s="397">
        <v>1.4279999999999999</v>
      </c>
      <c r="AK5769" s="398">
        <v>0</v>
      </c>
      <c r="AL5769" s="398">
        <v>0</v>
      </c>
      <c r="AM5769" s="17">
        <f t="shared" si="208"/>
        <v>0</v>
      </c>
      <c r="AN5769" s="14" t="s">
        <v>11722</v>
      </c>
      <c r="AO5769" s="12" t="s">
        <v>11723</v>
      </c>
      <c r="AP5769" s="399"/>
      <c r="AQ5769" s="400"/>
      <c r="AR5769" s="399"/>
      <c r="AS5769" s="399"/>
      <c r="AT5769" s="399"/>
      <c r="AX5769" s="400"/>
    </row>
    <row r="5770" spans="1:50" s="14" customFormat="1" x14ac:dyDescent="0.3">
      <c r="A5770" s="386" t="s">
        <v>8325</v>
      </c>
      <c r="B5770" s="14" t="s">
        <v>8326</v>
      </c>
      <c r="C5770" s="14" t="s">
        <v>11714</v>
      </c>
      <c r="D5770" s="14" t="s">
        <v>6838</v>
      </c>
      <c r="E5770" s="14" t="s">
        <v>12467</v>
      </c>
      <c r="F5770" s="12" t="s">
        <v>12468</v>
      </c>
      <c r="G5770" s="14" t="s">
        <v>12526</v>
      </c>
      <c r="H5770" s="12" t="s">
        <v>12527</v>
      </c>
      <c r="K5770" s="14" t="s">
        <v>12544</v>
      </c>
      <c r="L5770" s="12" t="s">
        <v>12545</v>
      </c>
      <c r="M5770" s="14" t="s">
        <v>12548</v>
      </c>
      <c r="O5770" s="14">
        <v>1</v>
      </c>
      <c r="P5770" s="12">
        <v>1</v>
      </c>
      <c r="Q5770" s="12">
        <v>1</v>
      </c>
      <c r="R5770" s="12">
        <v>1</v>
      </c>
      <c r="S5770" s="12"/>
      <c r="T5770" s="14" t="s">
        <v>11722</v>
      </c>
      <c r="U5770" t="s">
        <v>11723</v>
      </c>
      <c r="V5770" s="14" t="s">
        <v>12549</v>
      </c>
      <c r="W5770" s="388">
        <v>1</v>
      </c>
      <c r="X5770" s="388">
        <v>0</v>
      </c>
      <c r="Y5770" s="388">
        <v>0</v>
      </c>
      <c r="Z5770" s="388">
        <v>1</v>
      </c>
      <c r="AA5770" s="388">
        <v>1</v>
      </c>
      <c r="AB5770" s="388">
        <v>1</v>
      </c>
      <c r="AC5770" s="150">
        <v>1</v>
      </c>
      <c r="AD5770" s="150">
        <v>1</v>
      </c>
      <c r="AE5770" s="49">
        <f t="shared" si="209"/>
        <v>0.75</v>
      </c>
      <c r="AF5770" s="397"/>
      <c r="AG5770" s="17">
        <v>0</v>
      </c>
      <c r="AH5770" s="397">
        <v>0</v>
      </c>
      <c r="AI5770" s="397">
        <v>5.1999999999999998E-2</v>
      </c>
      <c r="AJ5770" s="397">
        <v>5.4600000000000003E-2</v>
      </c>
      <c r="AK5770" s="398">
        <v>5.4600000000000003E-2</v>
      </c>
      <c r="AL5770" s="398">
        <v>5.4600000000000003E-2</v>
      </c>
      <c r="AM5770" s="17">
        <f t="shared" si="208"/>
        <v>0.10920000000000001</v>
      </c>
      <c r="AN5770" s="14" t="s">
        <v>11722</v>
      </c>
      <c r="AO5770" s="12" t="s">
        <v>11723</v>
      </c>
      <c r="AP5770" s="399"/>
      <c r="AQ5770" s="400"/>
      <c r="AR5770" s="399"/>
      <c r="AS5770" s="399"/>
      <c r="AT5770" s="399"/>
      <c r="AX5770" s="400"/>
    </row>
    <row r="5771" spans="1:50" s="12" customFormat="1" x14ac:dyDescent="0.3">
      <c r="A5771" s="386" t="s">
        <v>8325</v>
      </c>
      <c r="B5771" s="14" t="s">
        <v>8326</v>
      </c>
      <c r="C5771" s="14" t="s">
        <v>11807</v>
      </c>
      <c r="D5771" s="12" t="s">
        <v>11808</v>
      </c>
      <c r="E5771" s="14" t="s">
        <v>12477</v>
      </c>
      <c r="F5771" s="12" t="s">
        <v>12468</v>
      </c>
      <c r="G5771" s="14" t="s">
        <v>12550</v>
      </c>
      <c r="H5771" s="12" t="s">
        <v>12527</v>
      </c>
      <c r="K5771" s="14" t="s">
        <v>12551</v>
      </c>
      <c r="L5771" s="12" t="s">
        <v>12545</v>
      </c>
      <c r="M5771" s="14" t="s">
        <v>12552</v>
      </c>
      <c r="N5771" s="14"/>
      <c r="O5771" s="14"/>
      <c r="P5771" s="12">
        <v>2</v>
      </c>
      <c r="Q5771" s="12">
        <v>2</v>
      </c>
      <c r="R5771" s="12">
        <v>2</v>
      </c>
      <c r="S5771" s="12">
        <v>2</v>
      </c>
      <c r="T5771" s="14" t="s">
        <v>11722</v>
      </c>
      <c r="U5771" t="s">
        <v>11723</v>
      </c>
      <c r="V5771" s="14" t="s">
        <v>12553</v>
      </c>
      <c r="W5771" s="388">
        <v>1</v>
      </c>
      <c r="X5771" s="388">
        <v>1</v>
      </c>
      <c r="Y5771" s="388">
        <v>1</v>
      </c>
      <c r="Z5771" s="388">
        <v>1</v>
      </c>
      <c r="AA5771" s="388">
        <v>0</v>
      </c>
      <c r="AB5771" s="388">
        <v>0</v>
      </c>
      <c r="AC5771" s="150">
        <v>1</v>
      </c>
      <c r="AD5771" s="150">
        <v>1</v>
      </c>
      <c r="AE5771" s="49">
        <f t="shared" si="209"/>
        <v>0.75</v>
      </c>
      <c r="AF5771" s="397"/>
      <c r="AG5771" s="17">
        <v>0</v>
      </c>
      <c r="AH5771" s="397">
        <v>0</v>
      </c>
      <c r="AI5771" s="397">
        <v>2.4E-2</v>
      </c>
      <c r="AJ5771" s="397">
        <v>2.52E-2</v>
      </c>
      <c r="AK5771" s="398">
        <v>0</v>
      </c>
      <c r="AL5771" s="398">
        <v>0</v>
      </c>
      <c r="AM5771" s="17">
        <f t="shared" si="208"/>
        <v>0</v>
      </c>
      <c r="AN5771" s="14" t="s">
        <v>11722</v>
      </c>
      <c r="AO5771" s="12" t="s">
        <v>11723</v>
      </c>
      <c r="AP5771" s="399"/>
      <c r="AQ5771" s="399"/>
      <c r="AR5771" s="399"/>
      <c r="AS5771" s="399"/>
      <c r="AT5771" s="399"/>
      <c r="AX5771" s="402"/>
    </row>
    <row r="5772" spans="1:50" s="12" customFormat="1" x14ac:dyDescent="0.3">
      <c r="A5772" s="386" t="s">
        <v>8325</v>
      </c>
      <c r="B5772" s="14" t="s">
        <v>8326</v>
      </c>
      <c r="C5772" s="14" t="s">
        <v>11807</v>
      </c>
      <c r="D5772" s="12" t="s">
        <v>11808</v>
      </c>
      <c r="E5772" s="14" t="s">
        <v>12477</v>
      </c>
      <c r="F5772" s="12" t="s">
        <v>12468</v>
      </c>
      <c r="G5772" s="14" t="s">
        <v>12550</v>
      </c>
      <c r="H5772" s="12" t="s">
        <v>12527</v>
      </c>
      <c r="K5772" s="14" t="s">
        <v>12551</v>
      </c>
      <c r="L5772" s="12" t="s">
        <v>12545</v>
      </c>
      <c r="M5772" s="14" t="s">
        <v>12554</v>
      </c>
      <c r="N5772" s="14"/>
      <c r="O5772" s="14"/>
      <c r="P5772" s="12">
        <v>12</v>
      </c>
      <c r="Q5772" s="12">
        <v>12</v>
      </c>
      <c r="R5772" s="12">
        <v>12</v>
      </c>
      <c r="S5772" s="12">
        <v>12</v>
      </c>
      <c r="T5772" s="14" t="s">
        <v>11722</v>
      </c>
      <c r="U5772" t="s">
        <v>11723</v>
      </c>
      <c r="V5772" s="14" t="s">
        <v>12555</v>
      </c>
      <c r="W5772" s="388">
        <v>1</v>
      </c>
      <c r="X5772" s="388">
        <v>1</v>
      </c>
      <c r="Y5772" s="388">
        <v>1</v>
      </c>
      <c r="Z5772" s="388">
        <v>1</v>
      </c>
      <c r="AA5772" s="388">
        <v>1</v>
      </c>
      <c r="AB5772" s="388">
        <v>1</v>
      </c>
      <c r="AC5772" s="150">
        <v>1</v>
      </c>
      <c r="AD5772" s="150">
        <v>1</v>
      </c>
      <c r="AE5772" s="49">
        <f t="shared" si="209"/>
        <v>1</v>
      </c>
      <c r="AF5772" s="397"/>
      <c r="AG5772" s="17">
        <v>0</v>
      </c>
      <c r="AH5772" s="397">
        <v>0</v>
      </c>
      <c r="AI5772" s="397">
        <v>9.6000000000000002E-2</v>
      </c>
      <c r="AJ5772" s="397">
        <v>0.1008</v>
      </c>
      <c r="AK5772" s="398">
        <v>0.54</v>
      </c>
      <c r="AL5772" s="398">
        <v>0.54</v>
      </c>
      <c r="AM5772" s="17">
        <f t="shared" si="208"/>
        <v>1.08</v>
      </c>
      <c r="AN5772" s="14" t="s">
        <v>11722</v>
      </c>
      <c r="AO5772" s="12" t="s">
        <v>11723</v>
      </c>
      <c r="AP5772" s="399"/>
      <c r="AQ5772" s="399"/>
      <c r="AR5772" s="399"/>
      <c r="AS5772" s="399"/>
      <c r="AT5772" s="399"/>
      <c r="AX5772" s="402"/>
    </row>
    <row r="5773" spans="1:50" s="14" customFormat="1" x14ac:dyDescent="0.3">
      <c r="A5773" s="386" t="s">
        <v>8325</v>
      </c>
      <c r="B5773" s="14" t="s">
        <v>8326</v>
      </c>
      <c r="C5773" s="14" t="s">
        <v>11807</v>
      </c>
      <c r="D5773" s="14" t="s">
        <v>11808</v>
      </c>
      <c r="E5773" s="14" t="s">
        <v>12477</v>
      </c>
      <c r="F5773" s="12" t="s">
        <v>12468</v>
      </c>
      <c r="G5773" s="14" t="s">
        <v>12550</v>
      </c>
      <c r="H5773" s="12" t="s">
        <v>12527</v>
      </c>
      <c r="K5773" s="14" t="s">
        <v>12551</v>
      </c>
      <c r="L5773" s="12" t="s">
        <v>12545</v>
      </c>
      <c r="M5773" s="14" t="s">
        <v>12556</v>
      </c>
      <c r="P5773" s="12">
        <v>1</v>
      </c>
      <c r="Q5773" s="12">
        <v>1</v>
      </c>
      <c r="R5773" s="12">
        <v>1</v>
      </c>
      <c r="S5773" s="12">
        <v>1</v>
      </c>
      <c r="T5773" s="14" t="s">
        <v>11722</v>
      </c>
      <c r="U5773" t="s">
        <v>11723</v>
      </c>
      <c r="V5773" s="14" t="s">
        <v>12556</v>
      </c>
      <c r="W5773" s="388">
        <v>1</v>
      </c>
      <c r="X5773" s="388">
        <v>0</v>
      </c>
      <c r="Y5773" s="388">
        <v>0</v>
      </c>
      <c r="Z5773" s="388">
        <v>1</v>
      </c>
      <c r="AA5773" s="388">
        <v>1</v>
      </c>
      <c r="AB5773" s="388">
        <v>0</v>
      </c>
      <c r="AC5773" s="150">
        <v>1</v>
      </c>
      <c r="AD5773" s="150">
        <v>1</v>
      </c>
      <c r="AE5773" s="49">
        <f t="shared" si="209"/>
        <v>0.625</v>
      </c>
      <c r="AF5773" s="397"/>
      <c r="AG5773" s="17">
        <v>0</v>
      </c>
      <c r="AH5773" s="397">
        <v>0</v>
      </c>
      <c r="AI5773" s="397">
        <v>0.25</v>
      </c>
      <c r="AJ5773" s="397">
        <v>0.26250000000000001</v>
      </c>
      <c r="AK5773" s="398">
        <v>0.2</v>
      </c>
      <c r="AL5773" s="398">
        <v>0.2</v>
      </c>
      <c r="AM5773" s="17">
        <f t="shared" si="208"/>
        <v>0.4</v>
      </c>
      <c r="AN5773" s="14" t="s">
        <v>11722</v>
      </c>
      <c r="AO5773" s="12" t="s">
        <v>11723</v>
      </c>
      <c r="AP5773" s="399"/>
      <c r="AQ5773" s="399"/>
      <c r="AR5773" s="399"/>
      <c r="AS5773" s="399"/>
      <c r="AT5773" s="399"/>
      <c r="AX5773" s="400"/>
    </row>
    <row r="5774" spans="1:50" s="14" customFormat="1" x14ac:dyDescent="0.3">
      <c r="A5774" s="386" t="s">
        <v>8325</v>
      </c>
      <c r="B5774" s="14" t="s">
        <v>8326</v>
      </c>
      <c r="C5774" s="14" t="s">
        <v>11714</v>
      </c>
      <c r="D5774" s="14" t="s">
        <v>6838</v>
      </c>
      <c r="E5774" s="14" t="s">
        <v>12467</v>
      </c>
      <c r="F5774" s="12" t="s">
        <v>12468</v>
      </c>
      <c r="G5774" s="14" t="s">
        <v>12526</v>
      </c>
      <c r="H5774" s="12" t="s">
        <v>12527</v>
      </c>
      <c r="K5774" s="14" t="s">
        <v>12544</v>
      </c>
      <c r="L5774" s="12" t="s">
        <v>12545</v>
      </c>
      <c r="M5774" s="469" t="s">
        <v>12557</v>
      </c>
      <c r="N5774" s="473"/>
      <c r="O5774" s="473">
        <v>0.6</v>
      </c>
      <c r="P5774" s="472">
        <v>0.6</v>
      </c>
      <c r="Q5774" s="472">
        <v>0.6</v>
      </c>
      <c r="R5774" s="472">
        <v>0.7</v>
      </c>
      <c r="S5774" s="472">
        <v>0.8</v>
      </c>
      <c r="T5774" s="14" t="s">
        <v>1588</v>
      </c>
      <c r="U5774" t="s">
        <v>1590</v>
      </c>
      <c r="V5774" s="14" t="s">
        <v>12558</v>
      </c>
      <c r="W5774" s="388"/>
      <c r="X5774" s="388"/>
      <c r="Y5774" s="388"/>
      <c r="Z5774" s="388"/>
      <c r="AA5774" s="388"/>
      <c r="AB5774" s="388"/>
      <c r="AC5774" s="150">
        <v>0</v>
      </c>
      <c r="AD5774" s="150">
        <v>0</v>
      </c>
      <c r="AE5774" s="49">
        <f t="shared" si="209"/>
        <v>0</v>
      </c>
      <c r="AF5774" s="397"/>
      <c r="AG5774" s="17">
        <v>0</v>
      </c>
      <c r="AH5774" s="397">
        <v>0.1</v>
      </c>
      <c r="AI5774" s="397">
        <v>0.1</v>
      </c>
      <c r="AJ5774" s="397">
        <v>0.15</v>
      </c>
      <c r="AK5774" s="398">
        <v>0.02</v>
      </c>
      <c r="AL5774" s="398">
        <v>0.02</v>
      </c>
      <c r="AM5774" s="17">
        <f t="shared" si="208"/>
        <v>0.04</v>
      </c>
      <c r="AN5774" s="14" t="s">
        <v>1588</v>
      </c>
      <c r="AO5774" s="12" t="s">
        <v>1590</v>
      </c>
      <c r="AP5774" s="399"/>
      <c r="AQ5774" s="400"/>
      <c r="AR5774" s="399"/>
      <c r="AS5774" s="399"/>
      <c r="AT5774" s="399"/>
      <c r="AX5774" s="400"/>
    </row>
    <row r="5775" spans="1:50" s="14" customFormat="1" x14ac:dyDescent="0.3">
      <c r="A5775" s="386" t="s">
        <v>8325</v>
      </c>
      <c r="B5775" s="14" t="s">
        <v>8326</v>
      </c>
      <c r="C5775" s="14" t="s">
        <v>11714</v>
      </c>
      <c r="D5775" s="14" t="s">
        <v>6838</v>
      </c>
      <c r="E5775" s="14" t="s">
        <v>12467</v>
      </c>
      <c r="F5775" s="12" t="s">
        <v>12468</v>
      </c>
      <c r="G5775" s="14" t="s">
        <v>12526</v>
      </c>
      <c r="H5775" s="12" t="s">
        <v>12527</v>
      </c>
      <c r="K5775" s="14" t="s">
        <v>12544</v>
      </c>
      <c r="L5775" s="12" t="s">
        <v>12545</v>
      </c>
      <c r="M5775" s="469"/>
      <c r="N5775" s="473"/>
      <c r="O5775" s="473"/>
      <c r="P5775" s="472"/>
      <c r="Q5775" s="472"/>
      <c r="R5775" s="472"/>
      <c r="S5775" s="472"/>
      <c r="T5775" s="14" t="s">
        <v>1588</v>
      </c>
      <c r="U5775" t="s">
        <v>1590</v>
      </c>
      <c r="V5775" s="14" t="s">
        <v>12511</v>
      </c>
      <c r="W5775" s="388"/>
      <c r="X5775" s="388"/>
      <c r="Y5775" s="388"/>
      <c r="Z5775" s="388"/>
      <c r="AA5775" s="388"/>
      <c r="AB5775" s="388"/>
      <c r="AC5775" s="150">
        <v>0</v>
      </c>
      <c r="AD5775" s="150">
        <v>0</v>
      </c>
      <c r="AE5775" s="49">
        <f t="shared" si="209"/>
        <v>0</v>
      </c>
      <c r="AF5775" s="397"/>
      <c r="AG5775" s="17">
        <v>0</v>
      </c>
      <c r="AH5775" s="397">
        <v>0.15</v>
      </c>
      <c r="AI5775" s="397">
        <v>0.1</v>
      </c>
      <c r="AJ5775" s="397">
        <v>0.15</v>
      </c>
      <c r="AK5775" s="398">
        <v>0</v>
      </c>
      <c r="AL5775" s="398">
        <v>0</v>
      </c>
      <c r="AM5775" s="17">
        <f t="shared" si="208"/>
        <v>0</v>
      </c>
      <c r="AN5775" s="14" t="s">
        <v>1588</v>
      </c>
      <c r="AO5775" s="12" t="s">
        <v>1590</v>
      </c>
      <c r="AP5775" s="399"/>
      <c r="AQ5775" s="400"/>
      <c r="AR5775" s="399"/>
      <c r="AS5775" s="399"/>
      <c r="AT5775" s="399"/>
      <c r="AX5775" s="400"/>
    </row>
    <row r="5776" spans="1:50" s="14" customFormat="1" x14ac:dyDescent="0.3">
      <c r="A5776" s="386" t="s">
        <v>8325</v>
      </c>
      <c r="B5776" s="14" t="s">
        <v>8326</v>
      </c>
      <c r="C5776" s="14" t="s">
        <v>11714</v>
      </c>
      <c r="D5776" s="14" t="s">
        <v>6838</v>
      </c>
      <c r="E5776" s="14" t="s">
        <v>12467</v>
      </c>
      <c r="F5776" s="12" t="s">
        <v>12468</v>
      </c>
      <c r="G5776" s="14" t="s">
        <v>12526</v>
      </c>
      <c r="H5776" s="12" t="s">
        <v>12527</v>
      </c>
      <c r="K5776" s="14" t="s">
        <v>12544</v>
      </c>
      <c r="L5776" s="12" t="s">
        <v>12545</v>
      </c>
      <c r="M5776" s="469"/>
      <c r="N5776" s="473"/>
      <c r="O5776" s="473"/>
      <c r="P5776" s="472"/>
      <c r="Q5776" s="472"/>
      <c r="R5776" s="472"/>
      <c r="S5776" s="472"/>
      <c r="T5776" s="14" t="s">
        <v>1588</v>
      </c>
      <c r="U5776" t="s">
        <v>1590</v>
      </c>
      <c r="V5776" s="14" t="s">
        <v>12559</v>
      </c>
      <c r="W5776" s="388"/>
      <c r="X5776" s="388"/>
      <c r="Y5776" s="388"/>
      <c r="Z5776" s="388"/>
      <c r="AA5776" s="388"/>
      <c r="AB5776" s="388"/>
      <c r="AC5776" s="150">
        <v>0</v>
      </c>
      <c r="AD5776" s="150">
        <v>0</v>
      </c>
      <c r="AE5776" s="49">
        <f t="shared" si="209"/>
        <v>0</v>
      </c>
      <c r="AF5776" s="397"/>
      <c r="AG5776" s="17">
        <v>0</v>
      </c>
      <c r="AH5776" s="397">
        <v>0.3</v>
      </c>
      <c r="AI5776" s="397">
        <v>0.3</v>
      </c>
      <c r="AJ5776" s="397">
        <v>0.32</v>
      </c>
      <c r="AK5776" s="398">
        <v>0.33700000000000002</v>
      </c>
      <c r="AL5776" s="398">
        <v>0.33700000000000002</v>
      </c>
      <c r="AM5776" s="17">
        <f t="shared" si="208"/>
        <v>0.67400000000000004</v>
      </c>
      <c r="AN5776" s="14" t="s">
        <v>1588</v>
      </c>
      <c r="AO5776" s="12" t="s">
        <v>1590</v>
      </c>
      <c r="AP5776" s="399"/>
      <c r="AQ5776" s="400"/>
      <c r="AR5776" s="399"/>
      <c r="AS5776" s="399"/>
      <c r="AT5776" s="399"/>
      <c r="AX5776" s="400"/>
    </row>
    <row r="5777" spans="1:50" s="14" customFormat="1" x14ac:dyDescent="0.3">
      <c r="A5777" s="386" t="s">
        <v>8325</v>
      </c>
      <c r="B5777" s="14" t="s">
        <v>8326</v>
      </c>
      <c r="C5777" s="14" t="s">
        <v>11714</v>
      </c>
      <c r="D5777" s="14" t="s">
        <v>6838</v>
      </c>
      <c r="E5777" s="14" t="s">
        <v>12467</v>
      </c>
      <c r="F5777" s="12" t="s">
        <v>12468</v>
      </c>
      <c r="G5777" s="14" t="s">
        <v>12526</v>
      </c>
      <c r="H5777" s="12" t="s">
        <v>12527</v>
      </c>
      <c r="K5777" s="14" t="s">
        <v>12544</v>
      </c>
      <c r="L5777" s="12" t="s">
        <v>12545</v>
      </c>
      <c r="M5777" s="14" t="s">
        <v>12560</v>
      </c>
      <c r="N5777" s="400">
        <v>0</v>
      </c>
      <c r="O5777" s="400">
        <v>0</v>
      </c>
      <c r="P5777" s="403">
        <v>0.6</v>
      </c>
      <c r="Q5777" s="403">
        <v>0.6</v>
      </c>
      <c r="R5777" s="403">
        <v>0.8</v>
      </c>
      <c r="S5777" s="403">
        <v>0.9</v>
      </c>
      <c r="T5777" s="14" t="s">
        <v>1588</v>
      </c>
      <c r="U5777" t="s">
        <v>1590</v>
      </c>
      <c r="V5777" s="14" t="s">
        <v>12561</v>
      </c>
      <c r="W5777" s="388"/>
      <c r="X5777" s="388"/>
      <c r="Y5777" s="388"/>
      <c r="Z5777" s="388"/>
      <c r="AA5777" s="388"/>
      <c r="AB5777" s="388"/>
      <c r="AC5777" s="150">
        <v>0</v>
      </c>
      <c r="AD5777" s="150">
        <v>0</v>
      </c>
      <c r="AE5777" s="49">
        <f t="shared" si="209"/>
        <v>0</v>
      </c>
      <c r="AF5777" s="397"/>
      <c r="AG5777" s="17">
        <v>0</v>
      </c>
      <c r="AH5777" s="397">
        <v>0</v>
      </c>
      <c r="AI5777" s="397">
        <v>0.32</v>
      </c>
      <c r="AJ5777" s="397">
        <v>0.42</v>
      </c>
      <c r="AK5777" s="398">
        <v>0</v>
      </c>
      <c r="AL5777" s="398">
        <v>0</v>
      </c>
      <c r="AM5777" s="17">
        <f t="shared" si="208"/>
        <v>0</v>
      </c>
      <c r="AN5777" s="14" t="s">
        <v>1588</v>
      </c>
      <c r="AO5777" s="12" t="s">
        <v>1590</v>
      </c>
      <c r="AP5777" s="399"/>
      <c r="AQ5777" s="400"/>
      <c r="AR5777" s="399"/>
      <c r="AS5777" s="399"/>
      <c r="AT5777" s="399"/>
      <c r="AX5777" s="400"/>
    </row>
    <row r="5778" spans="1:50" s="14" customFormat="1" x14ac:dyDescent="0.3">
      <c r="A5778" s="386" t="s">
        <v>8325</v>
      </c>
      <c r="B5778" s="14" t="s">
        <v>8326</v>
      </c>
      <c r="C5778" s="14" t="s">
        <v>11714</v>
      </c>
      <c r="D5778" s="14" t="s">
        <v>6838</v>
      </c>
      <c r="E5778" s="14" t="s">
        <v>12467</v>
      </c>
      <c r="F5778" s="12" t="s">
        <v>12468</v>
      </c>
      <c r="G5778" s="14" t="s">
        <v>12526</v>
      </c>
      <c r="H5778" s="12" t="s">
        <v>12527</v>
      </c>
      <c r="K5778" s="14" t="s">
        <v>12562</v>
      </c>
      <c r="L5778" s="12" t="s">
        <v>12563</v>
      </c>
      <c r="M5778" s="14" t="s">
        <v>12564</v>
      </c>
      <c r="O5778" s="14">
        <v>1</v>
      </c>
      <c r="P5778" s="12"/>
      <c r="Q5778" s="12"/>
      <c r="R5778" s="12"/>
      <c r="S5778" s="12"/>
      <c r="T5778" s="14" t="s">
        <v>11722</v>
      </c>
      <c r="U5778" t="s">
        <v>11723</v>
      </c>
      <c r="V5778" s="14" t="s">
        <v>12565</v>
      </c>
      <c r="W5778" s="388">
        <v>1</v>
      </c>
      <c r="X5778" s="388">
        <v>1</v>
      </c>
      <c r="Y5778" s="388">
        <v>0</v>
      </c>
      <c r="Z5778" s="388">
        <v>1</v>
      </c>
      <c r="AA5778" s="388">
        <v>1</v>
      </c>
      <c r="AB5778" s="388">
        <v>1</v>
      </c>
      <c r="AC5778" s="150">
        <v>1</v>
      </c>
      <c r="AD5778" s="150">
        <v>1</v>
      </c>
      <c r="AE5778" s="49">
        <f t="shared" si="209"/>
        <v>0.875</v>
      </c>
      <c r="AF5778" s="397"/>
      <c r="AG5778" s="17">
        <v>0</v>
      </c>
      <c r="AH5778" s="397">
        <v>0</v>
      </c>
      <c r="AI5778" s="397">
        <v>5.1999999999999998E-2</v>
      </c>
      <c r="AJ5778" s="397">
        <v>0</v>
      </c>
      <c r="AK5778" s="398">
        <v>0</v>
      </c>
      <c r="AL5778" s="398">
        <v>0</v>
      </c>
      <c r="AM5778" s="17">
        <f t="shared" si="208"/>
        <v>0</v>
      </c>
      <c r="AN5778" s="14" t="s">
        <v>11722</v>
      </c>
      <c r="AO5778" s="12" t="s">
        <v>11723</v>
      </c>
      <c r="AP5778" s="399"/>
      <c r="AQ5778" s="400"/>
      <c r="AR5778" s="399"/>
      <c r="AS5778" s="399"/>
      <c r="AT5778" s="399"/>
      <c r="AX5778" s="400"/>
    </row>
    <row r="5779" spans="1:50" s="14" customFormat="1" x14ac:dyDescent="0.3">
      <c r="A5779" s="386" t="s">
        <v>8325</v>
      </c>
      <c r="B5779" s="14" t="s">
        <v>8326</v>
      </c>
      <c r="C5779" s="14" t="s">
        <v>11714</v>
      </c>
      <c r="D5779" s="14" t="s">
        <v>6838</v>
      </c>
      <c r="E5779" s="14" t="s">
        <v>12467</v>
      </c>
      <c r="F5779" s="12" t="s">
        <v>12468</v>
      </c>
      <c r="G5779" s="14" t="s">
        <v>12526</v>
      </c>
      <c r="H5779" s="12" t="s">
        <v>12527</v>
      </c>
      <c r="K5779" s="14" t="s">
        <v>12562</v>
      </c>
      <c r="L5779" s="12" t="s">
        <v>12563</v>
      </c>
      <c r="M5779" s="14" t="s">
        <v>12566</v>
      </c>
      <c r="N5779" s="14">
        <v>4</v>
      </c>
      <c r="O5779" s="14">
        <v>4</v>
      </c>
      <c r="P5779" s="12">
        <v>4</v>
      </c>
      <c r="Q5779" s="12">
        <v>4</v>
      </c>
      <c r="R5779" s="12">
        <v>4</v>
      </c>
      <c r="S5779" s="12">
        <v>4</v>
      </c>
      <c r="T5779" s="14" t="s">
        <v>11722</v>
      </c>
      <c r="U5779" t="s">
        <v>11723</v>
      </c>
      <c r="V5779" s="14" t="s">
        <v>12567</v>
      </c>
      <c r="W5779" s="388">
        <v>1</v>
      </c>
      <c r="X5779" s="388">
        <v>1</v>
      </c>
      <c r="Y5779" s="388">
        <v>0</v>
      </c>
      <c r="Z5779" s="388">
        <v>1</v>
      </c>
      <c r="AA5779" s="388">
        <v>1</v>
      </c>
      <c r="AB5779" s="388">
        <v>1</v>
      </c>
      <c r="AC5779" s="150">
        <v>1</v>
      </c>
      <c r="AD5779" s="150">
        <v>1</v>
      </c>
      <c r="AE5779" s="49">
        <f t="shared" si="209"/>
        <v>0.875</v>
      </c>
      <c r="AF5779" s="397"/>
      <c r="AG5779" s="17">
        <v>0</v>
      </c>
      <c r="AH5779" s="397">
        <v>0</v>
      </c>
      <c r="AI5779" s="397">
        <v>0.22059999999999999</v>
      </c>
      <c r="AJ5779" s="397">
        <v>0.23163</v>
      </c>
      <c r="AK5779" s="398">
        <v>0</v>
      </c>
      <c r="AL5779" s="398">
        <v>0</v>
      </c>
      <c r="AM5779" s="17">
        <f t="shared" si="208"/>
        <v>0</v>
      </c>
      <c r="AN5779" s="14" t="s">
        <v>11722</v>
      </c>
      <c r="AO5779" s="12" t="s">
        <v>11723</v>
      </c>
      <c r="AP5779" s="399"/>
      <c r="AQ5779" s="400"/>
      <c r="AR5779" s="399"/>
      <c r="AS5779" s="399"/>
      <c r="AT5779" s="399"/>
      <c r="AX5779" s="400"/>
    </row>
    <row r="5780" spans="1:50" s="14" customFormat="1" x14ac:dyDescent="0.3">
      <c r="A5780" s="386" t="s">
        <v>8325</v>
      </c>
      <c r="B5780" s="14" t="s">
        <v>8326</v>
      </c>
      <c r="C5780" s="14" t="s">
        <v>11714</v>
      </c>
      <c r="D5780" s="14" t="s">
        <v>6838</v>
      </c>
      <c r="E5780" s="14" t="s">
        <v>12467</v>
      </c>
      <c r="F5780" s="12" t="s">
        <v>12468</v>
      </c>
      <c r="G5780" s="14" t="s">
        <v>12526</v>
      </c>
      <c r="H5780" s="12" t="s">
        <v>12527</v>
      </c>
      <c r="K5780" s="14" t="s">
        <v>12562</v>
      </c>
      <c r="L5780" s="12" t="s">
        <v>12563</v>
      </c>
      <c r="M5780" s="14" t="s">
        <v>12568</v>
      </c>
      <c r="Q5780" s="14">
        <v>175</v>
      </c>
      <c r="R5780" s="14">
        <v>175</v>
      </c>
      <c r="S5780" s="14">
        <v>175</v>
      </c>
      <c r="T5780" s="14" t="s">
        <v>11865</v>
      </c>
      <c r="U5780" t="s">
        <v>11866</v>
      </c>
      <c r="V5780" s="14" t="s">
        <v>12569</v>
      </c>
      <c r="W5780" s="388"/>
      <c r="X5780" s="388"/>
      <c r="Y5780" s="388"/>
      <c r="Z5780" s="388"/>
      <c r="AA5780" s="388"/>
      <c r="AB5780" s="388"/>
      <c r="AC5780" s="150">
        <v>0</v>
      </c>
      <c r="AD5780" s="150">
        <v>0</v>
      </c>
      <c r="AE5780" s="49">
        <f t="shared" si="209"/>
        <v>0</v>
      </c>
      <c r="AF5780" s="397"/>
      <c r="AG5780" s="17">
        <v>0</v>
      </c>
      <c r="AH5780" s="397"/>
      <c r="AI5780" s="397"/>
      <c r="AJ5780" s="397">
        <v>0.4</v>
      </c>
      <c r="AK5780" s="398">
        <v>0</v>
      </c>
      <c r="AL5780" s="398">
        <v>0</v>
      </c>
      <c r="AM5780" s="17">
        <f t="shared" si="208"/>
        <v>0</v>
      </c>
      <c r="AN5780" s="14" t="s">
        <v>11865</v>
      </c>
      <c r="AO5780" s="12" t="s">
        <v>11866</v>
      </c>
      <c r="AQ5780" s="400"/>
      <c r="AR5780" s="399"/>
      <c r="AS5780" s="399"/>
      <c r="AT5780" s="399"/>
      <c r="AX5780" s="400"/>
    </row>
    <row r="5781" spans="1:50" s="14" customFormat="1" x14ac:dyDescent="0.3">
      <c r="A5781" s="386" t="s">
        <v>8325</v>
      </c>
      <c r="B5781" s="14" t="s">
        <v>8326</v>
      </c>
      <c r="C5781" s="14" t="s">
        <v>11714</v>
      </c>
      <c r="D5781" s="14" t="s">
        <v>6838</v>
      </c>
      <c r="E5781" s="14" t="s">
        <v>12570</v>
      </c>
      <c r="F5781" s="12" t="s">
        <v>12571</v>
      </c>
      <c r="G5781" s="14" t="s">
        <v>12572</v>
      </c>
      <c r="H5781" s="12" t="s">
        <v>12573</v>
      </c>
      <c r="K5781" s="14" t="s">
        <v>12574</v>
      </c>
      <c r="L5781" s="12" t="s">
        <v>12575</v>
      </c>
      <c r="M5781" s="14" t="s">
        <v>12576</v>
      </c>
      <c r="O5781" s="418">
        <v>0</v>
      </c>
      <c r="P5781" s="12">
        <v>8</v>
      </c>
      <c r="Q5781" s="401">
        <v>0</v>
      </c>
      <c r="R5781" s="401">
        <v>0</v>
      </c>
      <c r="S5781" s="401">
        <v>0</v>
      </c>
      <c r="T5781" s="14" t="s">
        <v>11722</v>
      </c>
      <c r="U5781" t="s">
        <v>11723</v>
      </c>
      <c r="V5781" s="14" t="s">
        <v>12577</v>
      </c>
      <c r="W5781" s="388">
        <v>1</v>
      </c>
      <c r="X5781" s="388">
        <v>0</v>
      </c>
      <c r="Y5781" s="388">
        <v>0</v>
      </c>
      <c r="Z5781" s="388">
        <v>1</v>
      </c>
      <c r="AA5781" s="388">
        <v>1</v>
      </c>
      <c r="AB5781" s="388">
        <v>1</v>
      </c>
      <c r="AC5781" s="150">
        <v>1</v>
      </c>
      <c r="AD5781" s="150">
        <v>1</v>
      </c>
      <c r="AE5781" s="49">
        <f t="shared" si="209"/>
        <v>0.75</v>
      </c>
      <c r="AF5781" s="397"/>
      <c r="AG5781" s="17">
        <v>0</v>
      </c>
      <c r="AH5781" s="397">
        <v>0</v>
      </c>
      <c r="AI5781" s="397">
        <v>5.1999999999999998E-2</v>
      </c>
      <c r="AJ5781" s="397">
        <v>0</v>
      </c>
      <c r="AK5781" s="398">
        <v>0</v>
      </c>
      <c r="AL5781" s="398">
        <v>0</v>
      </c>
      <c r="AM5781" s="17">
        <f t="shared" si="208"/>
        <v>0</v>
      </c>
      <c r="AN5781" s="14" t="s">
        <v>11722</v>
      </c>
      <c r="AO5781" s="12" t="s">
        <v>11723</v>
      </c>
      <c r="AP5781" s="399"/>
      <c r="AQ5781" s="400"/>
      <c r="AR5781" s="399"/>
      <c r="AS5781" s="399"/>
      <c r="AT5781" s="399"/>
      <c r="AX5781" s="400"/>
    </row>
    <row r="5782" spans="1:50" s="14" customFormat="1" x14ac:dyDescent="0.3">
      <c r="A5782" s="386" t="s">
        <v>8325</v>
      </c>
      <c r="B5782" s="14" t="s">
        <v>8326</v>
      </c>
      <c r="C5782" s="14" t="s">
        <v>11714</v>
      </c>
      <c r="D5782" s="14" t="s">
        <v>6838</v>
      </c>
      <c r="E5782" s="14" t="s">
        <v>12570</v>
      </c>
      <c r="F5782" s="12" t="s">
        <v>12571</v>
      </c>
      <c r="G5782" s="14" t="s">
        <v>12572</v>
      </c>
      <c r="H5782" s="12" t="s">
        <v>12573</v>
      </c>
      <c r="K5782" s="14" t="s">
        <v>12574</v>
      </c>
      <c r="L5782" s="12" t="s">
        <v>12575</v>
      </c>
      <c r="M5782" s="14" t="s">
        <v>12578</v>
      </c>
      <c r="O5782" s="418">
        <v>0</v>
      </c>
      <c r="P5782" s="12">
        <v>1</v>
      </c>
      <c r="Q5782" s="401">
        <v>0</v>
      </c>
      <c r="R5782" s="401">
        <v>0</v>
      </c>
      <c r="S5782" s="401">
        <v>0</v>
      </c>
      <c r="T5782" s="14" t="s">
        <v>11722</v>
      </c>
      <c r="U5782" t="s">
        <v>11723</v>
      </c>
      <c r="V5782" s="14" t="s">
        <v>12579</v>
      </c>
      <c r="W5782" s="388">
        <v>1</v>
      </c>
      <c r="X5782" s="388">
        <v>0</v>
      </c>
      <c r="Y5782" s="388">
        <v>0</v>
      </c>
      <c r="Z5782" s="388">
        <v>1</v>
      </c>
      <c r="AA5782" s="388">
        <v>1</v>
      </c>
      <c r="AB5782" s="388">
        <v>1</v>
      </c>
      <c r="AC5782" s="150">
        <v>1</v>
      </c>
      <c r="AD5782" s="150">
        <v>1</v>
      </c>
      <c r="AE5782" s="49">
        <f t="shared" si="209"/>
        <v>0.75</v>
      </c>
      <c r="AF5782" s="397"/>
      <c r="AG5782" s="17">
        <v>0</v>
      </c>
      <c r="AH5782" s="397">
        <v>0</v>
      </c>
      <c r="AI5782" s="397">
        <v>5.1999999999999998E-2</v>
      </c>
      <c r="AJ5782" s="397">
        <v>0</v>
      </c>
      <c r="AK5782" s="398">
        <v>0</v>
      </c>
      <c r="AL5782" s="398">
        <v>0</v>
      </c>
      <c r="AM5782" s="17">
        <f t="shared" si="208"/>
        <v>0</v>
      </c>
      <c r="AN5782" s="14" t="s">
        <v>11722</v>
      </c>
      <c r="AO5782" s="12" t="s">
        <v>11723</v>
      </c>
      <c r="AP5782" s="399"/>
      <c r="AQ5782" s="400"/>
      <c r="AR5782" s="399"/>
      <c r="AS5782" s="399"/>
      <c r="AT5782" s="399"/>
      <c r="AX5782" s="400"/>
    </row>
    <row r="5783" spans="1:50" s="14" customFormat="1" x14ac:dyDescent="0.3">
      <c r="A5783" s="386" t="s">
        <v>8325</v>
      </c>
      <c r="B5783" s="14" t="s">
        <v>8326</v>
      </c>
      <c r="C5783" s="14" t="s">
        <v>11714</v>
      </c>
      <c r="D5783" s="14" t="s">
        <v>6838</v>
      </c>
      <c r="E5783" s="14" t="s">
        <v>12570</v>
      </c>
      <c r="F5783" s="12" t="s">
        <v>12571</v>
      </c>
      <c r="G5783" s="14" t="s">
        <v>12572</v>
      </c>
      <c r="H5783" s="12" t="s">
        <v>12573</v>
      </c>
      <c r="K5783" s="14" t="s">
        <v>12574</v>
      </c>
      <c r="L5783" s="12" t="s">
        <v>12575</v>
      </c>
      <c r="M5783" s="14" t="s">
        <v>12580</v>
      </c>
      <c r="P5783" s="400">
        <v>1</v>
      </c>
      <c r="T5783" s="14" t="s">
        <v>11722</v>
      </c>
      <c r="U5783" t="s">
        <v>11723</v>
      </c>
      <c r="V5783" s="14" t="s">
        <v>12581</v>
      </c>
      <c r="W5783" s="388">
        <v>1</v>
      </c>
      <c r="X5783" s="388">
        <v>0</v>
      </c>
      <c r="Y5783" s="388">
        <v>0</v>
      </c>
      <c r="Z5783" s="388">
        <v>1</v>
      </c>
      <c r="AA5783" s="388">
        <v>1</v>
      </c>
      <c r="AB5783" s="388">
        <v>1</v>
      </c>
      <c r="AC5783" s="150">
        <v>1</v>
      </c>
      <c r="AD5783" s="150">
        <v>1</v>
      </c>
      <c r="AE5783" s="49">
        <f t="shared" si="209"/>
        <v>0.75</v>
      </c>
      <c r="AF5783" s="397"/>
      <c r="AG5783" s="17">
        <v>0</v>
      </c>
      <c r="AH5783" s="397">
        <v>0</v>
      </c>
      <c r="AI5783" s="397">
        <v>0.18</v>
      </c>
      <c r="AJ5783" s="397">
        <v>0</v>
      </c>
      <c r="AK5783" s="398">
        <v>0</v>
      </c>
      <c r="AL5783" s="398">
        <v>0</v>
      </c>
      <c r="AM5783" s="17">
        <f t="shared" si="208"/>
        <v>0</v>
      </c>
      <c r="AN5783" s="14" t="s">
        <v>11722</v>
      </c>
      <c r="AO5783" s="12" t="s">
        <v>11723</v>
      </c>
      <c r="AP5783" s="399"/>
      <c r="AQ5783" s="400"/>
      <c r="AR5783" s="399"/>
      <c r="AS5783" s="399"/>
      <c r="AT5783" s="399"/>
      <c r="AX5783" s="400"/>
    </row>
    <row r="5784" spans="1:50" s="14" customFormat="1" x14ac:dyDescent="0.3">
      <c r="A5784" s="386" t="s">
        <v>8325</v>
      </c>
      <c r="B5784" s="14" t="s">
        <v>8326</v>
      </c>
      <c r="C5784" s="14" t="s">
        <v>11714</v>
      </c>
      <c r="D5784" s="14" t="s">
        <v>6838</v>
      </c>
      <c r="E5784" s="14" t="s">
        <v>12570</v>
      </c>
      <c r="F5784" s="12" t="s">
        <v>12571</v>
      </c>
      <c r="G5784" s="14" t="s">
        <v>12572</v>
      </c>
      <c r="H5784" s="12" t="s">
        <v>12573</v>
      </c>
      <c r="K5784" s="14" t="s">
        <v>12574</v>
      </c>
      <c r="L5784" s="12" t="s">
        <v>12575</v>
      </c>
      <c r="M5784" s="14" t="s">
        <v>12582</v>
      </c>
      <c r="P5784" s="402">
        <v>1</v>
      </c>
      <c r="Q5784" s="12"/>
      <c r="R5784" s="12"/>
      <c r="S5784" s="12"/>
      <c r="T5784" s="14" t="s">
        <v>11722</v>
      </c>
      <c r="U5784" t="s">
        <v>11723</v>
      </c>
      <c r="V5784" s="14" t="s">
        <v>12583</v>
      </c>
      <c r="W5784" s="388">
        <v>1</v>
      </c>
      <c r="X5784" s="388">
        <v>0</v>
      </c>
      <c r="Y5784" s="388">
        <v>0</v>
      </c>
      <c r="Z5784" s="388">
        <v>1</v>
      </c>
      <c r="AA5784" s="388">
        <v>1</v>
      </c>
      <c r="AB5784" s="388">
        <v>1</v>
      </c>
      <c r="AC5784" s="150">
        <v>1</v>
      </c>
      <c r="AD5784" s="150">
        <v>1</v>
      </c>
      <c r="AE5784" s="49">
        <f t="shared" si="209"/>
        <v>0.75</v>
      </c>
      <c r="AF5784" s="397"/>
      <c r="AG5784" s="17">
        <v>0</v>
      </c>
      <c r="AH5784" s="397">
        <v>0</v>
      </c>
      <c r="AI5784" s="397">
        <v>0.14399999999999999</v>
      </c>
      <c r="AJ5784" s="397">
        <v>0</v>
      </c>
      <c r="AK5784" s="398">
        <v>0</v>
      </c>
      <c r="AL5784" s="398">
        <v>0</v>
      </c>
      <c r="AM5784" s="17">
        <f t="shared" si="208"/>
        <v>0</v>
      </c>
      <c r="AN5784" s="14" t="s">
        <v>11722</v>
      </c>
      <c r="AO5784" s="12" t="s">
        <v>11723</v>
      </c>
      <c r="AP5784" s="399"/>
      <c r="AQ5784" s="400"/>
      <c r="AR5784" s="399"/>
      <c r="AS5784" s="399"/>
      <c r="AT5784" s="399"/>
      <c r="AX5784" s="400"/>
    </row>
    <row r="5785" spans="1:50" s="14" customFormat="1" x14ac:dyDescent="0.3">
      <c r="A5785" s="386" t="s">
        <v>8325</v>
      </c>
      <c r="B5785" s="14" t="s">
        <v>8326</v>
      </c>
      <c r="C5785" s="14" t="s">
        <v>11714</v>
      </c>
      <c r="D5785" s="14" t="s">
        <v>6838</v>
      </c>
      <c r="E5785" s="14" t="s">
        <v>12570</v>
      </c>
      <c r="F5785" s="12" t="s">
        <v>12571</v>
      </c>
      <c r="G5785" s="14" t="s">
        <v>12572</v>
      </c>
      <c r="H5785" s="12" t="s">
        <v>12573</v>
      </c>
      <c r="K5785" s="14" t="s">
        <v>12574</v>
      </c>
      <c r="L5785" s="12" t="s">
        <v>12575</v>
      </c>
      <c r="M5785" s="14" t="s">
        <v>12584</v>
      </c>
      <c r="P5785" s="402">
        <v>1</v>
      </c>
      <c r="Q5785" s="12"/>
      <c r="R5785" s="12"/>
      <c r="S5785" s="12"/>
      <c r="T5785" s="14" t="s">
        <v>11722</v>
      </c>
      <c r="U5785" t="s">
        <v>11723</v>
      </c>
      <c r="V5785" s="14" t="s">
        <v>12585</v>
      </c>
      <c r="W5785" s="388">
        <v>1</v>
      </c>
      <c r="X5785" s="388">
        <v>0</v>
      </c>
      <c r="Y5785" s="388">
        <v>0</v>
      </c>
      <c r="Z5785" s="388">
        <v>1</v>
      </c>
      <c r="AA5785" s="388">
        <v>1</v>
      </c>
      <c r="AB5785" s="388">
        <v>1</v>
      </c>
      <c r="AC5785" s="150">
        <v>1</v>
      </c>
      <c r="AD5785" s="150">
        <v>1</v>
      </c>
      <c r="AE5785" s="49">
        <f t="shared" si="209"/>
        <v>0.75</v>
      </c>
      <c r="AF5785" s="397"/>
      <c r="AG5785" s="17">
        <v>0</v>
      </c>
      <c r="AH5785" s="397">
        <v>0</v>
      </c>
      <c r="AI5785" s="397">
        <v>0.14399999999999999</v>
      </c>
      <c r="AJ5785" s="397">
        <v>0</v>
      </c>
      <c r="AK5785" s="398">
        <v>0</v>
      </c>
      <c r="AL5785" s="398">
        <v>0</v>
      </c>
      <c r="AM5785" s="17">
        <f t="shared" si="208"/>
        <v>0</v>
      </c>
      <c r="AN5785" s="14" t="s">
        <v>11722</v>
      </c>
      <c r="AO5785" s="12" t="s">
        <v>11723</v>
      </c>
      <c r="AP5785" s="399"/>
      <c r="AQ5785" s="400"/>
      <c r="AR5785" s="399"/>
      <c r="AS5785" s="399"/>
      <c r="AT5785" s="399"/>
      <c r="AX5785" s="400"/>
    </row>
    <row r="5786" spans="1:50" s="14" customFormat="1" x14ac:dyDescent="0.3">
      <c r="A5786" s="386" t="s">
        <v>8325</v>
      </c>
      <c r="B5786" s="14" t="s">
        <v>8326</v>
      </c>
      <c r="C5786" s="14" t="s">
        <v>11714</v>
      </c>
      <c r="D5786" s="14" t="s">
        <v>6838</v>
      </c>
      <c r="E5786" s="14" t="s">
        <v>12570</v>
      </c>
      <c r="F5786" s="12" t="s">
        <v>12571</v>
      </c>
      <c r="G5786" s="14" t="s">
        <v>12572</v>
      </c>
      <c r="H5786" s="12" t="s">
        <v>12573</v>
      </c>
      <c r="K5786" s="14" t="s">
        <v>12574</v>
      </c>
      <c r="L5786" s="12" t="s">
        <v>12575</v>
      </c>
      <c r="M5786" s="14" t="s">
        <v>12586</v>
      </c>
      <c r="P5786" s="402">
        <v>1</v>
      </c>
      <c r="Q5786" s="12"/>
      <c r="R5786" s="12"/>
      <c r="S5786" s="12"/>
      <c r="T5786" s="14" t="s">
        <v>11722</v>
      </c>
      <c r="U5786" t="s">
        <v>11723</v>
      </c>
      <c r="V5786" s="14" t="s">
        <v>12587</v>
      </c>
      <c r="W5786" s="388">
        <v>1</v>
      </c>
      <c r="X5786" s="388">
        <v>0</v>
      </c>
      <c r="Y5786" s="388">
        <v>0</v>
      </c>
      <c r="Z5786" s="388">
        <v>1</v>
      </c>
      <c r="AA5786" s="388">
        <v>1</v>
      </c>
      <c r="AB5786" s="388">
        <v>1</v>
      </c>
      <c r="AC5786" s="150">
        <v>1</v>
      </c>
      <c r="AD5786" s="150">
        <v>1</v>
      </c>
      <c r="AE5786" s="49">
        <f t="shared" si="209"/>
        <v>0.75</v>
      </c>
      <c r="AF5786" s="397"/>
      <c r="AG5786" s="17">
        <v>0</v>
      </c>
      <c r="AH5786" s="397">
        <v>0</v>
      </c>
      <c r="AI5786" s="397">
        <v>0.18</v>
      </c>
      <c r="AJ5786" s="397">
        <v>0</v>
      </c>
      <c r="AK5786" s="398">
        <v>0</v>
      </c>
      <c r="AL5786" s="398">
        <v>0</v>
      </c>
      <c r="AM5786" s="17">
        <f t="shared" si="208"/>
        <v>0</v>
      </c>
      <c r="AN5786" s="14" t="s">
        <v>11722</v>
      </c>
      <c r="AO5786" s="12" t="s">
        <v>11723</v>
      </c>
      <c r="AP5786" s="399"/>
      <c r="AQ5786" s="400"/>
      <c r="AR5786" s="399"/>
      <c r="AS5786" s="399"/>
      <c r="AT5786" s="399"/>
      <c r="AX5786" s="400"/>
    </row>
    <row r="5787" spans="1:50" s="14" customFormat="1" x14ac:dyDescent="0.3">
      <c r="A5787" s="386" t="s">
        <v>8325</v>
      </c>
      <c r="B5787" s="14" t="s">
        <v>8326</v>
      </c>
      <c r="C5787" s="14" t="s">
        <v>11714</v>
      </c>
      <c r="D5787" s="14" t="s">
        <v>6838</v>
      </c>
      <c r="E5787" s="14" t="s">
        <v>12570</v>
      </c>
      <c r="F5787" s="12" t="s">
        <v>12571</v>
      </c>
      <c r="G5787" s="14" t="s">
        <v>12572</v>
      </c>
      <c r="H5787" s="12" t="s">
        <v>12573</v>
      </c>
      <c r="K5787" s="14" t="s">
        <v>12574</v>
      </c>
      <c r="L5787" s="12" t="s">
        <v>12575</v>
      </c>
      <c r="M5787" s="14" t="s">
        <v>12588</v>
      </c>
      <c r="N5787" s="400">
        <v>0</v>
      </c>
      <c r="O5787" s="400">
        <v>1</v>
      </c>
      <c r="P5787" s="402">
        <v>0</v>
      </c>
      <c r="Q5787" s="402">
        <v>0</v>
      </c>
      <c r="R5787" s="402">
        <v>0</v>
      </c>
      <c r="S5787" s="402">
        <v>0</v>
      </c>
      <c r="T5787" s="14" t="s">
        <v>11722</v>
      </c>
      <c r="U5787" t="s">
        <v>11723</v>
      </c>
      <c r="V5787" s="14" t="s">
        <v>12588</v>
      </c>
      <c r="W5787" s="388">
        <v>1</v>
      </c>
      <c r="X5787" s="388">
        <v>0</v>
      </c>
      <c r="Y5787" s="388">
        <v>0</v>
      </c>
      <c r="Z5787" s="388">
        <v>1</v>
      </c>
      <c r="AA5787" s="388">
        <v>1</v>
      </c>
      <c r="AB5787" s="388">
        <v>1</v>
      </c>
      <c r="AC5787" s="150">
        <v>1</v>
      </c>
      <c r="AD5787" s="150">
        <v>1</v>
      </c>
      <c r="AE5787" s="49">
        <f t="shared" si="209"/>
        <v>0.75</v>
      </c>
      <c r="AF5787" s="397"/>
      <c r="AG5787" s="17">
        <v>0</v>
      </c>
      <c r="AH5787" s="397">
        <v>0.2</v>
      </c>
      <c r="AI5787" s="397">
        <v>0</v>
      </c>
      <c r="AJ5787" s="397">
        <v>0</v>
      </c>
      <c r="AK5787" s="398">
        <v>0.23599999999999999</v>
      </c>
      <c r="AL5787" s="398">
        <v>0.23599999999999999</v>
      </c>
      <c r="AM5787" s="17">
        <f t="shared" si="208"/>
        <v>0.47199999999999998</v>
      </c>
      <c r="AN5787" s="14" t="s">
        <v>11722</v>
      </c>
      <c r="AO5787" s="12" t="s">
        <v>11723</v>
      </c>
      <c r="AP5787" s="399"/>
      <c r="AQ5787" s="400"/>
      <c r="AR5787" s="399"/>
      <c r="AS5787" s="399"/>
      <c r="AT5787" s="399"/>
      <c r="AX5787" s="400"/>
    </row>
    <row r="5788" spans="1:50" s="14" customFormat="1" x14ac:dyDescent="0.3">
      <c r="A5788" s="386" t="s">
        <v>8325</v>
      </c>
      <c r="B5788" s="14" t="s">
        <v>8326</v>
      </c>
      <c r="C5788" s="14" t="s">
        <v>11714</v>
      </c>
      <c r="D5788" s="14" t="s">
        <v>6838</v>
      </c>
      <c r="E5788" s="14" t="s">
        <v>12570</v>
      </c>
      <c r="F5788" s="12" t="s">
        <v>12571</v>
      </c>
      <c r="G5788" s="14" t="s">
        <v>12572</v>
      </c>
      <c r="H5788" s="12" t="s">
        <v>12573</v>
      </c>
      <c r="K5788" s="14" t="s">
        <v>12574</v>
      </c>
      <c r="L5788" s="12" t="s">
        <v>12575</v>
      </c>
      <c r="M5788" s="14" t="s">
        <v>12589</v>
      </c>
      <c r="N5788" s="400">
        <v>0</v>
      </c>
      <c r="O5788" s="400">
        <v>0</v>
      </c>
      <c r="P5788" s="402">
        <v>1</v>
      </c>
      <c r="Q5788" s="402">
        <v>0</v>
      </c>
      <c r="R5788" s="402">
        <v>0</v>
      </c>
      <c r="S5788" s="402">
        <v>0</v>
      </c>
      <c r="T5788" s="14" t="s">
        <v>11722</v>
      </c>
      <c r="U5788" t="s">
        <v>11723</v>
      </c>
      <c r="V5788" s="14" t="s">
        <v>12589</v>
      </c>
      <c r="W5788" s="388">
        <v>1</v>
      </c>
      <c r="X5788" s="388">
        <v>0</v>
      </c>
      <c r="Y5788" s="388">
        <v>0</v>
      </c>
      <c r="Z5788" s="388">
        <v>1</v>
      </c>
      <c r="AA5788" s="388">
        <v>1</v>
      </c>
      <c r="AB5788" s="388">
        <v>1</v>
      </c>
      <c r="AC5788" s="150">
        <v>1</v>
      </c>
      <c r="AD5788" s="150">
        <v>1</v>
      </c>
      <c r="AE5788" s="49">
        <f t="shared" si="209"/>
        <v>0.75</v>
      </c>
      <c r="AF5788" s="397"/>
      <c r="AG5788" s="17">
        <v>0</v>
      </c>
      <c r="AH5788" s="397">
        <v>0</v>
      </c>
      <c r="AI5788" s="397">
        <v>0.20132</v>
      </c>
      <c r="AJ5788" s="397">
        <v>0</v>
      </c>
      <c r="AK5788" s="398">
        <v>0</v>
      </c>
      <c r="AL5788" s="398">
        <v>0</v>
      </c>
      <c r="AM5788" s="17">
        <f t="shared" si="208"/>
        <v>0</v>
      </c>
      <c r="AN5788" s="14" t="s">
        <v>11722</v>
      </c>
      <c r="AO5788" s="12" t="s">
        <v>11723</v>
      </c>
      <c r="AP5788" s="399"/>
      <c r="AQ5788" s="400"/>
      <c r="AR5788" s="399"/>
      <c r="AS5788" s="399"/>
      <c r="AT5788" s="399"/>
      <c r="AX5788" s="400"/>
    </row>
    <row r="5789" spans="1:50" s="14" customFormat="1" x14ac:dyDescent="0.3">
      <c r="A5789" s="386" t="s">
        <v>8325</v>
      </c>
      <c r="B5789" s="14" t="s">
        <v>8326</v>
      </c>
      <c r="C5789" s="14" t="s">
        <v>11714</v>
      </c>
      <c r="D5789" s="14" t="s">
        <v>6838</v>
      </c>
      <c r="E5789" s="14" t="s">
        <v>12570</v>
      </c>
      <c r="F5789" s="12" t="s">
        <v>12571</v>
      </c>
      <c r="G5789" s="14" t="s">
        <v>12572</v>
      </c>
      <c r="H5789" s="12" t="s">
        <v>12573</v>
      </c>
      <c r="K5789" s="14" t="s">
        <v>12574</v>
      </c>
      <c r="L5789" s="12" t="s">
        <v>12575</v>
      </c>
      <c r="M5789" s="14" t="s">
        <v>12590</v>
      </c>
      <c r="N5789" s="14">
        <v>0</v>
      </c>
      <c r="O5789" s="14">
        <v>0</v>
      </c>
      <c r="P5789" s="12">
        <v>0</v>
      </c>
      <c r="Q5789" s="12">
        <v>1</v>
      </c>
      <c r="R5789" s="12">
        <v>0</v>
      </c>
      <c r="S5789" s="12">
        <v>0</v>
      </c>
      <c r="T5789" s="14" t="s">
        <v>11722</v>
      </c>
      <c r="U5789" t="s">
        <v>11723</v>
      </c>
      <c r="V5789" s="14" t="s">
        <v>12590</v>
      </c>
      <c r="W5789" s="388">
        <v>1</v>
      </c>
      <c r="X5789" s="388">
        <v>0</v>
      </c>
      <c r="Y5789" s="388">
        <v>0</v>
      </c>
      <c r="Z5789" s="388">
        <v>1</v>
      </c>
      <c r="AA5789" s="388">
        <v>1</v>
      </c>
      <c r="AB5789" s="388">
        <v>1</v>
      </c>
      <c r="AC5789" s="150">
        <v>1</v>
      </c>
      <c r="AD5789" s="150">
        <v>1</v>
      </c>
      <c r="AE5789" s="49">
        <f t="shared" si="209"/>
        <v>0.75</v>
      </c>
      <c r="AF5789" s="397"/>
      <c r="AG5789" s="17">
        <v>0</v>
      </c>
      <c r="AH5789" s="397">
        <v>0</v>
      </c>
      <c r="AI5789" s="397">
        <v>0.108</v>
      </c>
      <c r="AJ5789" s="397">
        <v>0</v>
      </c>
      <c r="AK5789" s="398">
        <v>0</v>
      </c>
      <c r="AL5789" s="398">
        <v>0</v>
      </c>
      <c r="AM5789" s="17">
        <f t="shared" si="208"/>
        <v>0</v>
      </c>
      <c r="AN5789" s="14" t="s">
        <v>11722</v>
      </c>
      <c r="AO5789" s="12" t="s">
        <v>11723</v>
      </c>
      <c r="AP5789" s="399"/>
      <c r="AQ5789" s="400"/>
      <c r="AR5789" s="399"/>
      <c r="AS5789" s="399"/>
      <c r="AT5789" s="399"/>
      <c r="AX5789" s="400"/>
    </row>
    <row r="5790" spans="1:50" s="14" customFormat="1" x14ac:dyDescent="0.3">
      <c r="A5790" s="386" t="s">
        <v>8325</v>
      </c>
      <c r="B5790" s="14" t="s">
        <v>8326</v>
      </c>
      <c r="C5790" s="14" t="s">
        <v>11714</v>
      </c>
      <c r="D5790" s="14" t="s">
        <v>6838</v>
      </c>
      <c r="E5790" s="14" t="s">
        <v>12570</v>
      </c>
      <c r="F5790" s="12" t="s">
        <v>12571</v>
      </c>
      <c r="G5790" s="14" t="s">
        <v>12572</v>
      </c>
      <c r="H5790" s="12" t="s">
        <v>12573</v>
      </c>
      <c r="K5790" s="14" t="s">
        <v>12574</v>
      </c>
      <c r="L5790" s="12" t="s">
        <v>12575</v>
      </c>
      <c r="M5790" s="14" t="s">
        <v>12591</v>
      </c>
      <c r="N5790" s="14">
        <v>1</v>
      </c>
      <c r="P5790" s="12">
        <v>1</v>
      </c>
      <c r="Q5790" s="12"/>
      <c r="R5790" s="12"/>
      <c r="S5790" s="12"/>
      <c r="T5790" s="14" t="s">
        <v>11722</v>
      </c>
      <c r="U5790" t="s">
        <v>11723</v>
      </c>
      <c r="V5790" s="14" t="s">
        <v>12592</v>
      </c>
      <c r="W5790" s="388">
        <v>1</v>
      </c>
      <c r="X5790" s="388">
        <v>0</v>
      </c>
      <c r="Y5790" s="388">
        <v>0</v>
      </c>
      <c r="Z5790" s="388">
        <v>1</v>
      </c>
      <c r="AA5790" s="388">
        <v>1</v>
      </c>
      <c r="AB5790" s="388">
        <v>1</v>
      </c>
      <c r="AC5790" s="150">
        <v>1</v>
      </c>
      <c r="AD5790" s="150">
        <v>1</v>
      </c>
      <c r="AE5790" s="49">
        <f t="shared" si="209"/>
        <v>0.75</v>
      </c>
      <c r="AF5790" s="397"/>
      <c r="AG5790" s="17">
        <v>0</v>
      </c>
      <c r="AH5790" s="397">
        <v>0</v>
      </c>
      <c r="AI5790" s="397">
        <v>7.4200000000000002E-2</v>
      </c>
      <c r="AJ5790" s="397">
        <v>0</v>
      </c>
      <c r="AK5790" s="398">
        <v>0</v>
      </c>
      <c r="AL5790" s="398">
        <v>0</v>
      </c>
      <c r="AM5790" s="17">
        <f t="shared" si="208"/>
        <v>0</v>
      </c>
      <c r="AN5790" s="14" t="s">
        <v>11722</v>
      </c>
      <c r="AO5790" s="12" t="s">
        <v>11723</v>
      </c>
      <c r="AP5790" s="399"/>
      <c r="AQ5790" s="400"/>
      <c r="AR5790" s="399"/>
      <c r="AS5790" s="399"/>
      <c r="AT5790" s="399"/>
      <c r="AX5790" s="400"/>
    </row>
    <row r="5791" spans="1:50" s="14" customFormat="1" x14ac:dyDescent="0.3">
      <c r="A5791" s="386" t="s">
        <v>8325</v>
      </c>
      <c r="B5791" s="14" t="s">
        <v>8326</v>
      </c>
      <c r="C5791" s="14" t="s">
        <v>11714</v>
      </c>
      <c r="D5791" s="14" t="s">
        <v>6838</v>
      </c>
      <c r="E5791" s="14" t="s">
        <v>12570</v>
      </c>
      <c r="F5791" s="12" t="s">
        <v>12571</v>
      </c>
      <c r="G5791" s="14" t="s">
        <v>12572</v>
      </c>
      <c r="H5791" s="12" t="s">
        <v>12573</v>
      </c>
      <c r="K5791" s="14" t="s">
        <v>12574</v>
      </c>
      <c r="L5791" s="12" t="s">
        <v>12575</v>
      </c>
      <c r="M5791" s="14" t="s">
        <v>12593</v>
      </c>
      <c r="N5791" s="418">
        <v>0</v>
      </c>
      <c r="O5791" s="418">
        <v>0</v>
      </c>
      <c r="P5791" s="401">
        <v>0</v>
      </c>
      <c r="Q5791" s="12">
        <v>1</v>
      </c>
      <c r="R5791" s="401">
        <v>0</v>
      </c>
      <c r="S5791" s="401">
        <v>0</v>
      </c>
      <c r="T5791" s="14" t="s">
        <v>11722</v>
      </c>
      <c r="U5791" t="s">
        <v>11723</v>
      </c>
      <c r="V5791" s="14" t="s">
        <v>12594</v>
      </c>
      <c r="W5791" s="388">
        <v>1</v>
      </c>
      <c r="X5791" s="388">
        <v>0</v>
      </c>
      <c r="Y5791" s="388">
        <v>0</v>
      </c>
      <c r="Z5791" s="388">
        <v>1</v>
      </c>
      <c r="AA5791" s="388">
        <v>1</v>
      </c>
      <c r="AB5791" s="388">
        <v>1</v>
      </c>
      <c r="AC5791" s="150">
        <v>1</v>
      </c>
      <c r="AD5791" s="150">
        <v>1</v>
      </c>
      <c r="AE5791" s="49">
        <f t="shared" si="209"/>
        <v>0.75</v>
      </c>
      <c r="AF5791" s="397"/>
      <c r="AG5791" s="17">
        <v>0</v>
      </c>
      <c r="AH5791" s="397">
        <v>0</v>
      </c>
      <c r="AI5791" s="397">
        <v>0</v>
      </c>
      <c r="AJ5791" s="397">
        <v>1.575E-2</v>
      </c>
      <c r="AK5791" s="398">
        <v>0</v>
      </c>
      <c r="AL5791" s="398">
        <v>0</v>
      </c>
      <c r="AM5791" s="17">
        <f t="shared" si="208"/>
        <v>0</v>
      </c>
      <c r="AN5791" s="14" t="s">
        <v>11722</v>
      </c>
      <c r="AO5791" s="12" t="s">
        <v>11723</v>
      </c>
      <c r="AP5791" s="399"/>
      <c r="AQ5791" s="400"/>
      <c r="AR5791" s="399"/>
      <c r="AS5791" s="399"/>
      <c r="AT5791" s="399"/>
      <c r="AX5791" s="400"/>
    </row>
    <row r="5792" spans="1:50" s="12" customFormat="1" x14ac:dyDescent="0.3">
      <c r="A5792" s="386" t="s">
        <v>8325</v>
      </c>
      <c r="B5792" s="14" t="s">
        <v>8326</v>
      </c>
      <c r="C5792" s="14" t="s">
        <v>11714</v>
      </c>
      <c r="D5792" s="12" t="s">
        <v>6838</v>
      </c>
      <c r="E5792" s="14" t="s">
        <v>12570</v>
      </c>
      <c r="F5792" s="12" t="s">
        <v>12571</v>
      </c>
      <c r="G5792" s="14" t="s">
        <v>12572</v>
      </c>
      <c r="H5792" s="12" t="s">
        <v>12573</v>
      </c>
      <c r="K5792" s="14" t="s">
        <v>12574</v>
      </c>
      <c r="L5792" s="12" t="s">
        <v>12575</v>
      </c>
      <c r="M5792" s="14" t="s">
        <v>12595</v>
      </c>
      <c r="N5792" s="14"/>
      <c r="O5792" s="14"/>
      <c r="P5792" s="404"/>
      <c r="Q5792" s="404">
        <v>1</v>
      </c>
      <c r="R5792" s="404"/>
      <c r="S5792" s="404"/>
      <c r="T5792" s="14" t="s">
        <v>5578</v>
      </c>
      <c r="U5792" t="s">
        <v>880</v>
      </c>
      <c r="V5792" s="14" t="s">
        <v>12596</v>
      </c>
      <c r="W5792" s="388"/>
      <c r="X5792" s="388"/>
      <c r="Y5792" s="388"/>
      <c r="Z5792" s="388"/>
      <c r="AA5792" s="388"/>
      <c r="AB5792" s="388"/>
      <c r="AC5792" s="150">
        <v>0</v>
      </c>
      <c r="AD5792" s="150">
        <v>0</v>
      </c>
      <c r="AE5792" s="49">
        <f t="shared" si="209"/>
        <v>0</v>
      </c>
      <c r="AF5792" s="397"/>
      <c r="AG5792" s="17">
        <v>0</v>
      </c>
      <c r="AH5792" s="397">
        <v>0</v>
      </c>
      <c r="AI5792" s="397">
        <v>0</v>
      </c>
      <c r="AJ5792" s="397">
        <v>1.8</v>
      </c>
      <c r="AK5792" s="398">
        <v>0</v>
      </c>
      <c r="AL5792" s="398">
        <v>0</v>
      </c>
      <c r="AM5792" s="17">
        <f t="shared" si="208"/>
        <v>0</v>
      </c>
      <c r="AN5792" s="14" t="s">
        <v>5578</v>
      </c>
      <c r="AO5792" s="12" t="s">
        <v>880</v>
      </c>
      <c r="AP5792" s="405"/>
      <c r="AQ5792" s="400"/>
      <c r="AR5792" s="405"/>
      <c r="AS5792" s="405"/>
      <c r="AT5792" s="405"/>
      <c r="AX5792" s="402"/>
    </row>
    <row r="5793" spans="1:50" s="12" customFormat="1" x14ac:dyDescent="0.3">
      <c r="A5793" s="386" t="s">
        <v>8325</v>
      </c>
      <c r="B5793" s="14" t="s">
        <v>8326</v>
      </c>
      <c r="C5793" s="14" t="s">
        <v>11714</v>
      </c>
      <c r="D5793" s="12" t="s">
        <v>6838</v>
      </c>
      <c r="E5793" s="14" t="s">
        <v>12570</v>
      </c>
      <c r="F5793" s="12" t="s">
        <v>12571</v>
      </c>
      <c r="G5793" s="14" t="s">
        <v>12572</v>
      </c>
      <c r="H5793" s="12" t="s">
        <v>12573</v>
      </c>
      <c r="K5793" s="14" t="s">
        <v>12574</v>
      </c>
      <c r="L5793" s="12" t="s">
        <v>12575</v>
      </c>
      <c r="M5793" s="14" t="s">
        <v>12597</v>
      </c>
      <c r="N5793" s="14"/>
      <c r="O5793" s="14"/>
      <c r="P5793" s="404"/>
      <c r="Q5793" s="404">
        <v>1</v>
      </c>
      <c r="R5793" s="404"/>
      <c r="S5793" s="404"/>
      <c r="T5793" s="14" t="s">
        <v>5578</v>
      </c>
      <c r="U5793" t="s">
        <v>880</v>
      </c>
      <c r="V5793" s="14" t="s">
        <v>12598</v>
      </c>
      <c r="W5793" s="388"/>
      <c r="X5793" s="388"/>
      <c r="Y5793" s="388"/>
      <c r="Z5793" s="388"/>
      <c r="AA5793" s="388"/>
      <c r="AB5793" s="388"/>
      <c r="AC5793" s="150">
        <v>0</v>
      </c>
      <c r="AD5793" s="150">
        <v>0</v>
      </c>
      <c r="AE5793" s="49">
        <f t="shared" si="209"/>
        <v>0</v>
      </c>
      <c r="AF5793" s="397"/>
      <c r="AG5793" s="17">
        <v>0</v>
      </c>
      <c r="AH5793" s="397">
        <v>0</v>
      </c>
      <c r="AI5793" s="397">
        <v>0</v>
      </c>
      <c r="AJ5793" s="397">
        <v>0.04</v>
      </c>
      <c r="AK5793" s="398">
        <v>0</v>
      </c>
      <c r="AL5793" s="398">
        <v>0</v>
      </c>
      <c r="AM5793" s="17">
        <f t="shared" si="208"/>
        <v>0</v>
      </c>
      <c r="AN5793" s="14" t="s">
        <v>5578</v>
      </c>
      <c r="AO5793" s="12" t="s">
        <v>880</v>
      </c>
      <c r="AP5793" s="405"/>
      <c r="AQ5793" s="400"/>
      <c r="AR5793" s="405"/>
      <c r="AS5793" s="405"/>
      <c r="AT5793" s="405"/>
      <c r="AX5793" s="402"/>
    </row>
    <row r="5794" spans="1:50" s="14" customFormat="1" x14ac:dyDescent="0.3">
      <c r="A5794" s="386" t="s">
        <v>8325</v>
      </c>
      <c r="B5794" s="14" t="s">
        <v>8326</v>
      </c>
      <c r="C5794" s="14" t="s">
        <v>11714</v>
      </c>
      <c r="D5794" s="14" t="s">
        <v>6838</v>
      </c>
      <c r="E5794" s="14" t="s">
        <v>12570</v>
      </c>
      <c r="F5794" s="12" t="s">
        <v>12571</v>
      </c>
      <c r="G5794" s="14" t="s">
        <v>12599</v>
      </c>
      <c r="H5794" s="12" t="s">
        <v>12600</v>
      </c>
      <c r="K5794" s="14" t="s">
        <v>12601</v>
      </c>
      <c r="L5794" s="14" t="s">
        <v>12602</v>
      </c>
      <c r="M5794" s="14" t="s">
        <v>12603</v>
      </c>
      <c r="N5794" s="14">
        <v>1</v>
      </c>
      <c r="O5794" s="14">
        <v>1</v>
      </c>
      <c r="P5794" s="401">
        <v>0</v>
      </c>
      <c r="Q5794" s="401">
        <v>0</v>
      </c>
      <c r="R5794" s="401">
        <v>0</v>
      </c>
      <c r="S5794" s="401">
        <v>0</v>
      </c>
      <c r="T5794" s="14" t="s">
        <v>11722</v>
      </c>
      <c r="U5794" t="s">
        <v>11723</v>
      </c>
      <c r="V5794" s="14" t="s">
        <v>12604</v>
      </c>
      <c r="W5794" s="388">
        <v>1</v>
      </c>
      <c r="X5794" s="388">
        <v>0</v>
      </c>
      <c r="Y5794" s="388">
        <v>0</v>
      </c>
      <c r="Z5794" s="388">
        <v>1</v>
      </c>
      <c r="AA5794" s="388">
        <v>1</v>
      </c>
      <c r="AB5794" s="388">
        <v>0</v>
      </c>
      <c r="AC5794" s="150">
        <v>0</v>
      </c>
      <c r="AD5794" s="150">
        <v>1</v>
      </c>
      <c r="AE5794" s="49">
        <f t="shared" si="209"/>
        <v>0.5</v>
      </c>
      <c r="AF5794" s="397"/>
      <c r="AG5794" s="17">
        <v>0</v>
      </c>
      <c r="AH5794" s="397">
        <v>0</v>
      </c>
      <c r="AI5794" s="397">
        <v>0.12909999999999999</v>
      </c>
      <c r="AJ5794" s="397">
        <v>0</v>
      </c>
      <c r="AK5794" s="398">
        <v>0</v>
      </c>
      <c r="AL5794" s="398">
        <v>0</v>
      </c>
      <c r="AM5794" s="17">
        <f t="shared" si="208"/>
        <v>0</v>
      </c>
      <c r="AN5794" s="14" t="s">
        <v>11722</v>
      </c>
      <c r="AO5794" s="12" t="s">
        <v>11723</v>
      </c>
      <c r="AP5794" s="399"/>
      <c r="AQ5794" s="400"/>
      <c r="AR5794" s="399"/>
      <c r="AS5794" s="399"/>
      <c r="AT5794" s="399"/>
      <c r="AX5794" s="400"/>
    </row>
    <row r="5795" spans="1:50" s="14" customFormat="1" x14ac:dyDescent="0.3">
      <c r="A5795" s="386" t="s">
        <v>8325</v>
      </c>
      <c r="B5795" s="14" t="s">
        <v>8326</v>
      </c>
      <c r="C5795" s="14" t="s">
        <v>11714</v>
      </c>
      <c r="D5795" s="14" t="s">
        <v>6838</v>
      </c>
      <c r="E5795" s="14" t="s">
        <v>12570</v>
      </c>
      <c r="F5795" s="12" t="s">
        <v>12571</v>
      </c>
      <c r="G5795" s="14" t="s">
        <v>12599</v>
      </c>
      <c r="H5795" s="12" t="s">
        <v>12600</v>
      </c>
      <c r="K5795" s="14" t="s">
        <v>12605</v>
      </c>
      <c r="L5795" s="12" t="s">
        <v>12606</v>
      </c>
      <c r="M5795" s="14" t="s">
        <v>12607</v>
      </c>
      <c r="N5795" s="438">
        <v>1</v>
      </c>
      <c r="O5795" s="438">
        <v>1</v>
      </c>
      <c r="P5795" s="41">
        <v>0.5</v>
      </c>
      <c r="Q5795" s="41">
        <v>0.65</v>
      </c>
      <c r="R5795" s="41">
        <v>0.8</v>
      </c>
      <c r="S5795" s="41">
        <v>1</v>
      </c>
      <c r="T5795" s="14" t="s">
        <v>11722</v>
      </c>
      <c r="U5795" t="s">
        <v>11723</v>
      </c>
      <c r="V5795" s="14" t="s">
        <v>12608</v>
      </c>
      <c r="W5795" s="388">
        <v>1</v>
      </c>
      <c r="X5795" s="388">
        <v>1</v>
      </c>
      <c r="Y5795" s="388">
        <v>0</v>
      </c>
      <c r="Z5795" s="388">
        <v>1</v>
      </c>
      <c r="AA5795" s="388">
        <v>1</v>
      </c>
      <c r="AB5795" s="388">
        <v>1</v>
      </c>
      <c r="AC5795" s="150">
        <v>1</v>
      </c>
      <c r="AD5795" s="150">
        <v>1</v>
      </c>
      <c r="AE5795" s="49">
        <f t="shared" si="209"/>
        <v>0.875</v>
      </c>
      <c r="AF5795" s="397"/>
      <c r="AG5795" s="17">
        <v>0</v>
      </c>
      <c r="AH5795" s="397">
        <v>3.42</v>
      </c>
      <c r="AI5795" s="397">
        <v>3.1379999999999999</v>
      </c>
      <c r="AJ5795" s="397">
        <v>3.984</v>
      </c>
      <c r="AK5795" s="398">
        <v>0</v>
      </c>
      <c r="AL5795" s="398">
        <v>0</v>
      </c>
      <c r="AM5795" s="17">
        <f t="shared" si="208"/>
        <v>0</v>
      </c>
      <c r="AN5795" s="14" t="s">
        <v>11722</v>
      </c>
      <c r="AO5795" s="12" t="s">
        <v>11723</v>
      </c>
      <c r="AP5795" s="399"/>
      <c r="AQ5795" s="399"/>
      <c r="AR5795" s="399"/>
      <c r="AS5795" s="399"/>
      <c r="AT5795" s="399"/>
      <c r="AX5795" s="400"/>
    </row>
    <row r="5796" spans="1:50" s="14" customFormat="1" x14ac:dyDescent="0.3">
      <c r="A5796" s="386" t="s">
        <v>8325</v>
      </c>
      <c r="B5796" s="14" t="s">
        <v>8326</v>
      </c>
      <c r="C5796" s="14" t="s">
        <v>11714</v>
      </c>
      <c r="D5796" s="14" t="s">
        <v>6838</v>
      </c>
      <c r="E5796" s="14" t="s">
        <v>12570</v>
      </c>
      <c r="F5796" s="12" t="s">
        <v>12571</v>
      </c>
      <c r="G5796" s="14" t="s">
        <v>12599</v>
      </c>
      <c r="H5796" s="12" t="s">
        <v>12600</v>
      </c>
      <c r="K5796" s="14" t="s">
        <v>12605</v>
      </c>
      <c r="L5796" s="12" t="s">
        <v>12606</v>
      </c>
      <c r="M5796" s="14" t="s">
        <v>12609</v>
      </c>
      <c r="N5796" s="438">
        <v>0.93</v>
      </c>
      <c r="O5796" s="438">
        <v>0.93</v>
      </c>
      <c r="P5796" s="41">
        <v>0.27</v>
      </c>
      <c r="Q5796" s="41">
        <v>0.4</v>
      </c>
      <c r="R5796" s="41">
        <v>0.6</v>
      </c>
      <c r="S5796" s="41">
        <v>0.8</v>
      </c>
      <c r="T5796" s="14" t="s">
        <v>11722</v>
      </c>
      <c r="U5796" t="s">
        <v>11723</v>
      </c>
      <c r="V5796" s="14" t="s">
        <v>12610</v>
      </c>
      <c r="W5796" s="388">
        <v>1</v>
      </c>
      <c r="X5796" s="388">
        <v>1</v>
      </c>
      <c r="Y5796" s="388">
        <v>0</v>
      </c>
      <c r="Z5796" s="388">
        <v>1</v>
      </c>
      <c r="AA5796" s="388">
        <v>1</v>
      </c>
      <c r="AB5796" s="388">
        <v>1</v>
      </c>
      <c r="AC5796" s="150">
        <v>1</v>
      </c>
      <c r="AD5796" s="150">
        <v>1</v>
      </c>
      <c r="AE5796" s="49">
        <f t="shared" si="209"/>
        <v>0.875</v>
      </c>
      <c r="AF5796" s="397"/>
      <c r="AG5796" s="17">
        <v>0</v>
      </c>
      <c r="AH5796" s="397">
        <v>4.1639999999999997</v>
      </c>
      <c r="AI5796" s="397">
        <v>4.3986000000000001</v>
      </c>
      <c r="AJ5796" s="397">
        <v>6.3719999999999999</v>
      </c>
      <c r="AK5796" s="398">
        <v>0</v>
      </c>
      <c r="AL5796" s="398">
        <v>0</v>
      </c>
      <c r="AM5796" s="17">
        <f t="shared" si="208"/>
        <v>0</v>
      </c>
      <c r="AN5796" s="14" t="s">
        <v>11722</v>
      </c>
      <c r="AO5796" s="12" t="s">
        <v>11723</v>
      </c>
      <c r="AP5796" s="399"/>
      <c r="AQ5796" s="400"/>
      <c r="AR5796" s="399"/>
      <c r="AS5796" s="399"/>
      <c r="AT5796" s="399"/>
      <c r="AX5796" s="400"/>
    </row>
    <row r="5797" spans="1:50" s="14" customFormat="1" x14ac:dyDescent="0.3">
      <c r="A5797" s="386" t="s">
        <v>8325</v>
      </c>
      <c r="B5797" s="14" t="s">
        <v>8326</v>
      </c>
      <c r="C5797" s="14" t="s">
        <v>11714</v>
      </c>
      <c r="D5797" s="14" t="s">
        <v>6838</v>
      </c>
      <c r="E5797" s="14" t="s">
        <v>12570</v>
      </c>
      <c r="F5797" s="12" t="s">
        <v>12571</v>
      </c>
      <c r="G5797" s="14" t="s">
        <v>12599</v>
      </c>
      <c r="H5797" s="12" t="s">
        <v>12600</v>
      </c>
      <c r="K5797" s="14" t="s">
        <v>12605</v>
      </c>
      <c r="L5797" s="12" t="s">
        <v>12606</v>
      </c>
      <c r="M5797" s="14" t="s">
        <v>12611</v>
      </c>
      <c r="N5797" s="438">
        <v>0.62</v>
      </c>
      <c r="O5797" s="438">
        <v>0.67</v>
      </c>
      <c r="P5797" s="41">
        <v>0.5</v>
      </c>
      <c r="Q5797" s="41">
        <v>0.6</v>
      </c>
      <c r="R5797" s="41">
        <v>0.7</v>
      </c>
      <c r="S5797" s="41">
        <v>0.8</v>
      </c>
      <c r="T5797" s="14" t="s">
        <v>11722</v>
      </c>
      <c r="U5797" t="s">
        <v>11723</v>
      </c>
      <c r="V5797" s="14" t="s">
        <v>12612</v>
      </c>
      <c r="W5797" s="388">
        <v>1</v>
      </c>
      <c r="X5797" s="388">
        <v>1</v>
      </c>
      <c r="Y5797" s="388">
        <v>0</v>
      </c>
      <c r="Z5797" s="388">
        <v>1</v>
      </c>
      <c r="AA5797" s="388">
        <v>1</v>
      </c>
      <c r="AB5797" s="388">
        <v>1</v>
      </c>
      <c r="AC5797" s="150">
        <v>1</v>
      </c>
      <c r="AD5797" s="150">
        <v>1</v>
      </c>
      <c r="AE5797" s="49">
        <f t="shared" si="209"/>
        <v>0.875</v>
      </c>
      <c r="AF5797" s="397"/>
      <c r="AG5797" s="17">
        <v>0</v>
      </c>
      <c r="AH5797" s="397">
        <v>15.138</v>
      </c>
      <c r="AI5797" s="397">
        <v>20.538</v>
      </c>
      <c r="AJ5797" s="397">
        <v>24.588000000000001</v>
      </c>
      <c r="AK5797" s="398">
        <v>0</v>
      </c>
      <c r="AL5797" s="398">
        <v>0</v>
      </c>
      <c r="AM5797" s="17">
        <f t="shared" si="208"/>
        <v>0</v>
      </c>
      <c r="AN5797" s="14" t="s">
        <v>11722</v>
      </c>
      <c r="AO5797" s="12" t="s">
        <v>11723</v>
      </c>
      <c r="AP5797" s="399"/>
      <c r="AQ5797" s="400"/>
      <c r="AR5797" s="399"/>
      <c r="AS5797" s="399"/>
      <c r="AT5797" s="399"/>
      <c r="AX5797" s="400"/>
    </row>
    <row r="5798" spans="1:50" s="14" customFormat="1" x14ac:dyDescent="0.3">
      <c r="A5798" s="386" t="s">
        <v>8325</v>
      </c>
      <c r="B5798" s="14" t="s">
        <v>8326</v>
      </c>
      <c r="C5798" s="14" t="s">
        <v>11714</v>
      </c>
      <c r="D5798" s="14" t="s">
        <v>6838</v>
      </c>
      <c r="E5798" s="14" t="s">
        <v>12570</v>
      </c>
      <c r="F5798" s="12" t="s">
        <v>12571</v>
      </c>
      <c r="G5798" s="14" t="s">
        <v>12599</v>
      </c>
      <c r="H5798" s="12" t="s">
        <v>12600</v>
      </c>
      <c r="K5798" s="14" t="s">
        <v>12605</v>
      </c>
      <c r="L5798" s="12" t="s">
        <v>12606</v>
      </c>
      <c r="M5798" s="14" t="s">
        <v>12613</v>
      </c>
      <c r="N5798" s="438">
        <v>0.55000000000000004</v>
      </c>
      <c r="O5798" s="438">
        <v>0.73</v>
      </c>
      <c r="P5798" s="41">
        <v>0.6</v>
      </c>
      <c r="Q5798" s="41">
        <v>0.7</v>
      </c>
      <c r="R5798" s="41">
        <v>0.8</v>
      </c>
      <c r="S5798" s="41">
        <v>0.9</v>
      </c>
      <c r="T5798" s="14" t="s">
        <v>11722</v>
      </c>
      <c r="U5798" t="s">
        <v>11723</v>
      </c>
      <c r="V5798" s="14" t="s">
        <v>12614</v>
      </c>
      <c r="W5798" s="388">
        <v>1</v>
      </c>
      <c r="X5798" s="388">
        <v>1</v>
      </c>
      <c r="Y5798" s="388">
        <v>0</v>
      </c>
      <c r="Z5798" s="388">
        <v>1</v>
      </c>
      <c r="AA5798" s="388">
        <v>1</v>
      </c>
      <c r="AB5798" s="388">
        <v>1</v>
      </c>
      <c r="AC5798" s="150">
        <v>1</v>
      </c>
      <c r="AD5798" s="150">
        <v>1</v>
      </c>
      <c r="AE5798" s="49">
        <f t="shared" si="209"/>
        <v>0.875</v>
      </c>
      <c r="AF5798" s="397"/>
      <c r="AG5798" s="17">
        <v>0</v>
      </c>
      <c r="AH5798" s="397">
        <v>7.096476</v>
      </c>
      <c r="AI5798" s="397">
        <v>11.560320000000001</v>
      </c>
      <c r="AJ5798" s="397">
        <v>13.48704</v>
      </c>
      <c r="AK5798" s="398">
        <v>0</v>
      </c>
      <c r="AL5798" s="398">
        <v>0</v>
      </c>
      <c r="AM5798" s="17">
        <f t="shared" si="208"/>
        <v>0</v>
      </c>
      <c r="AN5798" s="14" t="s">
        <v>11722</v>
      </c>
      <c r="AO5798" s="12" t="s">
        <v>11723</v>
      </c>
      <c r="AP5798" s="399"/>
      <c r="AQ5798" s="400"/>
      <c r="AR5798" s="399"/>
      <c r="AS5798" s="399"/>
      <c r="AT5798" s="399"/>
      <c r="AX5798" s="400"/>
    </row>
    <row r="5799" spans="1:50" s="14" customFormat="1" x14ac:dyDescent="0.3">
      <c r="A5799" s="386" t="s">
        <v>8325</v>
      </c>
      <c r="B5799" s="14" t="s">
        <v>8326</v>
      </c>
      <c r="C5799" s="14" t="s">
        <v>11714</v>
      </c>
      <c r="D5799" s="14" t="s">
        <v>6838</v>
      </c>
      <c r="E5799" s="14" t="s">
        <v>12570</v>
      </c>
      <c r="F5799" s="12" t="s">
        <v>12571</v>
      </c>
      <c r="G5799" s="14" t="s">
        <v>12599</v>
      </c>
      <c r="H5799" s="12" t="s">
        <v>12600</v>
      </c>
      <c r="K5799" s="14" t="s">
        <v>12605</v>
      </c>
      <c r="L5799" s="12" t="s">
        <v>12606</v>
      </c>
      <c r="M5799" s="14" t="s">
        <v>12615</v>
      </c>
      <c r="N5799" s="438">
        <v>0.45</v>
      </c>
      <c r="O5799" s="438">
        <v>0.7</v>
      </c>
      <c r="P5799" s="41">
        <v>0.7</v>
      </c>
      <c r="Q5799" s="41">
        <v>0.8</v>
      </c>
      <c r="R5799" s="41">
        <v>0.9</v>
      </c>
      <c r="S5799" s="41">
        <v>1</v>
      </c>
      <c r="T5799" s="14" t="s">
        <v>11722</v>
      </c>
      <c r="U5799" t="s">
        <v>11723</v>
      </c>
      <c r="V5799" s="14" t="s">
        <v>12616</v>
      </c>
      <c r="W5799" s="388">
        <v>1</v>
      </c>
      <c r="X5799" s="388">
        <v>1</v>
      </c>
      <c r="Y5799" s="388">
        <v>0</v>
      </c>
      <c r="Z5799" s="388">
        <v>1</v>
      </c>
      <c r="AA5799" s="388">
        <v>1</v>
      </c>
      <c r="AB5799" s="388">
        <v>1</v>
      </c>
      <c r="AC5799" s="150">
        <v>1</v>
      </c>
      <c r="AD5799" s="150">
        <v>1</v>
      </c>
      <c r="AE5799" s="49">
        <f t="shared" si="209"/>
        <v>0.875</v>
      </c>
      <c r="AF5799" s="397"/>
      <c r="AG5799" s="17">
        <v>0</v>
      </c>
      <c r="AH5799" s="397">
        <v>5.8114215600000003</v>
      </c>
      <c r="AI5799" s="397">
        <v>13.171200000000001</v>
      </c>
      <c r="AJ5799" s="397">
        <v>15.0528</v>
      </c>
      <c r="AK5799" s="398">
        <v>0</v>
      </c>
      <c r="AL5799" s="398">
        <v>0</v>
      </c>
      <c r="AM5799" s="17">
        <f t="shared" si="208"/>
        <v>0</v>
      </c>
      <c r="AN5799" s="14" t="s">
        <v>11722</v>
      </c>
      <c r="AO5799" s="12" t="s">
        <v>11723</v>
      </c>
      <c r="AP5799" s="399"/>
      <c r="AQ5799" s="400"/>
      <c r="AR5799" s="399"/>
      <c r="AS5799" s="399"/>
      <c r="AT5799" s="399"/>
      <c r="AX5799" s="400"/>
    </row>
    <row r="5800" spans="1:50" s="14" customFormat="1" x14ac:dyDescent="0.3">
      <c r="A5800" s="386" t="s">
        <v>8325</v>
      </c>
      <c r="B5800" s="14" t="s">
        <v>8326</v>
      </c>
      <c r="C5800" s="14" t="s">
        <v>11714</v>
      </c>
      <c r="D5800" s="14" t="s">
        <v>6838</v>
      </c>
      <c r="E5800" s="14" t="s">
        <v>12570</v>
      </c>
      <c r="F5800" s="12" t="s">
        <v>12571</v>
      </c>
      <c r="G5800" s="14" t="s">
        <v>12599</v>
      </c>
      <c r="H5800" s="12" t="s">
        <v>12600</v>
      </c>
      <c r="K5800" s="14" t="s">
        <v>12605</v>
      </c>
      <c r="L5800" s="12" t="s">
        <v>12606</v>
      </c>
      <c r="M5800" s="14" t="s">
        <v>12617</v>
      </c>
      <c r="N5800" s="438">
        <v>0.43</v>
      </c>
      <c r="O5800" s="438">
        <v>0.47</v>
      </c>
      <c r="P5800" s="41">
        <v>0.6</v>
      </c>
      <c r="Q5800" s="41">
        <v>0.7</v>
      </c>
      <c r="R5800" s="41">
        <v>0.8</v>
      </c>
      <c r="S5800" s="41">
        <v>0.9</v>
      </c>
      <c r="T5800" s="14" t="s">
        <v>11722</v>
      </c>
      <c r="U5800" t="s">
        <v>11723</v>
      </c>
      <c r="V5800" s="14" t="s">
        <v>12618</v>
      </c>
      <c r="W5800" s="388">
        <v>1</v>
      </c>
      <c r="X5800" s="388">
        <v>1</v>
      </c>
      <c r="Y5800" s="388">
        <v>0</v>
      </c>
      <c r="Z5800" s="388">
        <v>1</v>
      </c>
      <c r="AA5800" s="388">
        <v>1</v>
      </c>
      <c r="AB5800" s="388">
        <v>1</v>
      </c>
      <c r="AC5800" s="150">
        <v>1</v>
      </c>
      <c r="AD5800" s="150">
        <v>1</v>
      </c>
      <c r="AE5800" s="49">
        <f t="shared" si="209"/>
        <v>0.875</v>
      </c>
      <c r="AF5800" s="397"/>
      <c r="AG5800" s="17">
        <v>0</v>
      </c>
      <c r="AH5800" s="397">
        <v>8.5120377979999997</v>
      </c>
      <c r="AI5800" s="397">
        <v>31.36056</v>
      </c>
      <c r="AJ5800" s="397">
        <v>35.84064</v>
      </c>
      <c r="AK5800" s="398">
        <v>0</v>
      </c>
      <c r="AL5800" s="398">
        <v>0</v>
      </c>
      <c r="AM5800" s="17">
        <f t="shared" si="208"/>
        <v>0</v>
      </c>
      <c r="AN5800" s="14" t="s">
        <v>11722</v>
      </c>
      <c r="AO5800" s="12" t="s">
        <v>11723</v>
      </c>
      <c r="AP5800" s="399"/>
      <c r="AQ5800" s="400"/>
      <c r="AR5800" s="399"/>
      <c r="AS5800" s="399"/>
      <c r="AT5800" s="399"/>
      <c r="AX5800" s="400"/>
    </row>
    <row r="5801" spans="1:50" s="14" customFormat="1" x14ac:dyDescent="0.3">
      <c r="A5801" s="386" t="s">
        <v>8325</v>
      </c>
      <c r="B5801" s="14" t="s">
        <v>8326</v>
      </c>
      <c r="C5801" s="14" t="s">
        <v>11714</v>
      </c>
      <c r="D5801" s="14" t="s">
        <v>6838</v>
      </c>
      <c r="E5801" s="14" t="s">
        <v>12570</v>
      </c>
      <c r="F5801" s="12" t="s">
        <v>12571</v>
      </c>
      <c r="G5801" s="14" t="s">
        <v>12599</v>
      </c>
      <c r="H5801" s="12" t="s">
        <v>12600</v>
      </c>
      <c r="K5801" s="14" t="s">
        <v>12605</v>
      </c>
      <c r="L5801" s="12" t="s">
        <v>12606</v>
      </c>
      <c r="M5801" s="14" t="s">
        <v>12619</v>
      </c>
      <c r="N5801" s="438">
        <v>0.26</v>
      </c>
      <c r="O5801" s="438">
        <v>0.26</v>
      </c>
      <c r="P5801" s="401">
        <v>0</v>
      </c>
      <c r="Q5801" s="401">
        <v>0</v>
      </c>
      <c r="R5801" s="401">
        <v>0</v>
      </c>
      <c r="S5801" s="401">
        <v>0</v>
      </c>
      <c r="T5801" s="14" t="s">
        <v>11722</v>
      </c>
      <c r="U5801" t="s">
        <v>11723</v>
      </c>
      <c r="V5801" s="14" t="s">
        <v>12620</v>
      </c>
      <c r="W5801" s="388">
        <v>1</v>
      </c>
      <c r="X5801" s="388">
        <v>1</v>
      </c>
      <c r="Y5801" s="388">
        <v>0</v>
      </c>
      <c r="Z5801" s="388">
        <v>1</v>
      </c>
      <c r="AA5801" s="388">
        <v>1</v>
      </c>
      <c r="AB5801" s="388">
        <v>1</v>
      </c>
      <c r="AC5801" s="150">
        <v>1</v>
      </c>
      <c r="AD5801" s="150">
        <v>1</v>
      </c>
      <c r="AE5801" s="49">
        <f t="shared" si="209"/>
        <v>0.875</v>
      </c>
      <c r="AF5801" s="397"/>
      <c r="AG5801" s="17">
        <v>0</v>
      </c>
      <c r="AH5801" s="397">
        <v>1.1981759999999999</v>
      </c>
      <c r="AI5801" s="397">
        <v>0</v>
      </c>
      <c r="AJ5801" s="397">
        <v>0</v>
      </c>
      <c r="AK5801" s="398">
        <v>0</v>
      </c>
      <c r="AL5801" s="398">
        <v>0</v>
      </c>
      <c r="AM5801" s="17">
        <f t="shared" si="208"/>
        <v>0</v>
      </c>
      <c r="AN5801" s="14" t="s">
        <v>11722</v>
      </c>
      <c r="AO5801" s="12" t="s">
        <v>11723</v>
      </c>
      <c r="AP5801" s="399"/>
      <c r="AQ5801" s="400"/>
      <c r="AR5801" s="399"/>
      <c r="AS5801" s="399"/>
      <c r="AT5801" s="399"/>
      <c r="AX5801" s="400"/>
    </row>
    <row r="5802" spans="1:50" s="14" customFormat="1" x14ac:dyDescent="0.3">
      <c r="A5802" s="386" t="s">
        <v>8325</v>
      </c>
      <c r="B5802" s="14" t="s">
        <v>8326</v>
      </c>
      <c r="C5802" s="14" t="s">
        <v>11714</v>
      </c>
      <c r="D5802" s="14" t="s">
        <v>6838</v>
      </c>
      <c r="E5802" s="14" t="s">
        <v>12570</v>
      </c>
      <c r="F5802" s="12" t="s">
        <v>12571</v>
      </c>
      <c r="G5802" s="14" t="s">
        <v>12599</v>
      </c>
      <c r="H5802" s="12" t="s">
        <v>12600</v>
      </c>
      <c r="K5802" s="14" t="s">
        <v>12605</v>
      </c>
      <c r="L5802" s="12" t="s">
        <v>12606</v>
      </c>
      <c r="M5802" s="14" t="s">
        <v>12621</v>
      </c>
      <c r="N5802" s="438">
        <v>0.46</v>
      </c>
      <c r="O5802" s="438">
        <v>0.46</v>
      </c>
      <c r="P5802" s="41">
        <v>0.4</v>
      </c>
      <c r="Q5802" s="41">
        <v>0.6</v>
      </c>
      <c r="R5802" s="41">
        <v>0.7</v>
      </c>
      <c r="S5802" s="41">
        <v>0.8</v>
      </c>
      <c r="T5802" s="14" t="s">
        <v>11722</v>
      </c>
      <c r="U5802" t="s">
        <v>11723</v>
      </c>
      <c r="V5802" s="14" t="s">
        <v>12622</v>
      </c>
      <c r="W5802" s="388">
        <v>1</v>
      </c>
      <c r="X5802" s="388">
        <v>1</v>
      </c>
      <c r="Y5802" s="388">
        <v>0</v>
      </c>
      <c r="Z5802" s="388">
        <v>1</v>
      </c>
      <c r="AA5802" s="388">
        <v>1</v>
      </c>
      <c r="AB5802" s="388">
        <v>1</v>
      </c>
      <c r="AC5802" s="150">
        <v>1</v>
      </c>
      <c r="AD5802" s="150">
        <v>1</v>
      </c>
      <c r="AE5802" s="49">
        <f t="shared" si="209"/>
        <v>0.875</v>
      </c>
      <c r="AF5802" s="397"/>
      <c r="AG5802" s="17">
        <v>0</v>
      </c>
      <c r="AH5802" s="397">
        <v>8.3211134569999992</v>
      </c>
      <c r="AI5802" s="397">
        <v>52.429583999999998</v>
      </c>
      <c r="AJ5802" s="397">
        <v>78.644375999999994</v>
      </c>
      <c r="AK5802" s="398">
        <v>0</v>
      </c>
      <c r="AL5802" s="398">
        <v>0</v>
      </c>
      <c r="AM5802" s="17">
        <f t="shared" si="208"/>
        <v>0</v>
      </c>
      <c r="AN5802" s="14" t="s">
        <v>11722</v>
      </c>
      <c r="AO5802" s="12" t="s">
        <v>11723</v>
      </c>
      <c r="AP5802" s="399"/>
      <c r="AQ5802" s="400"/>
      <c r="AR5802" s="399"/>
      <c r="AS5802" s="399"/>
      <c r="AT5802" s="399"/>
      <c r="AX5802" s="400"/>
    </row>
    <row r="5803" spans="1:50" s="14" customFormat="1" x14ac:dyDescent="0.3">
      <c r="A5803" s="386" t="s">
        <v>8325</v>
      </c>
      <c r="B5803" s="14" t="s">
        <v>8326</v>
      </c>
      <c r="C5803" s="14" t="s">
        <v>11714</v>
      </c>
      <c r="D5803" s="14" t="s">
        <v>6838</v>
      </c>
      <c r="E5803" s="14" t="s">
        <v>12570</v>
      </c>
      <c r="F5803" s="12" t="s">
        <v>12571</v>
      </c>
      <c r="G5803" s="14" t="s">
        <v>12599</v>
      </c>
      <c r="H5803" s="12" t="s">
        <v>12600</v>
      </c>
      <c r="K5803" s="14" t="s">
        <v>12605</v>
      </c>
      <c r="L5803" s="12" t="s">
        <v>12606</v>
      </c>
      <c r="M5803" s="14" t="s">
        <v>12623</v>
      </c>
      <c r="N5803" s="14">
        <v>1</v>
      </c>
      <c r="O5803" s="14">
        <v>1</v>
      </c>
      <c r="P5803" s="12">
        <v>1</v>
      </c>
      <c r="Q5803" s="12">
        <v>1</v>
      </c>
      <c r="R5803" s="12">
        <v>1</v>
      </c>
      <c r="S5803" s="12">
        <v>1</v>
      </c>
      <c r="T5803" s="14" t="s">
        <v>11722</v>
      </c>
      <c r="U5803" t="s">
        <v>11723</v>
      </c>
      <c r="V5803" s="14" t="s">
        <v>12624</v>
      </c>
      <c r="W5803" s="388">
        <v>1</v>
      </c>
      <c r="X5803" s="388">
        <v>1</v>
      </c>
      <c r="Y5803" s="388">
        <v>0</v>
      </c>
      <c r="Z5803" s="388">
        <v>1</v>
      </c>
      <c r="AA5803" s="388">
        <v>1</v>
      </c>
      <c r="AB5803" s="388">
        <v>1</v>
      </c>
      <c r="AC5803" s="150">
        <v>1</v>
      </c>
      <c r="AD5803" s="150">
        <v>1</v>
      </c>
      <c r="AE5803" s="49">
        <f t="shared" si="209"/>
        <v>0.875</v>
      </c>
      <c r="AF5803" s="397"/>
      <c r="AG5803" s="17">
        <v>0</v>
      </c>
      <c r="AH5803" s="397">
        <v>38.365146000000003</v>
      </c>
      <c r="AI5803" s="397">
        <v>79.872659483000007</v>
      </c>
      <c r="AJ5803" s="397">
        <v>91.026312219999994</v>
      </c>
      <c r="AK5803" s="398">
        <v>39.877115331999995</v>
      </c>
      <c r="AL5803" s="398">
        <v>39.877115331999995</v>
      </c>
      <c r="AM5803" s="17">
        <f t="shared" si="208"/>
        <v>79.754230663999991</v>
      </c>
      <c r="AN5803" s="14" t="s">
        <v>11722</v>
      </c>
      <c r="AO5803" s="12" t="s">
        <v>11723</v>
      </c>
      <c r="AP5803" s="399"/>
      <c r="AQ5803" s="400"/>
      <c r="AR5803" s="399"/>
      <c r="AS5803" s="399"/>
      <c r="AT5803" s="399"/>
      <c r="AX5803" s="400"/>
    </row>
    <row r="5804" spans="1:50" s="14" customFormat="1" x14ac:dyDescent="0.3">
      <c r="A5804" s="386" t="s">
        <v>8325</v>
      </c>
      <c r="B5804" s="14" t="s">
        <v>8326</v>
      </c>
      <c r="C5804" s="14" t="s">
        <v>11714</v>
      </c>
      <c r="D5804" s="14" t="s">
        <v>6838</v>
      </c>
      <c r="E5804" s="14" t="s">
        <v>12570</v>
      </c>
      <c r="F5804" s="12" t="s">
        <v>12571</v>
      </c>
      <c r="G5804" s="14" t="s">
        <v>12599</v>
      </c>
      <c r="H5804" s="12" t="s">
        <v>12600</v>
      </c>
      <c r="K5804" s="14" t="s">
        <v>12605</v>
      </c>
      <c r="L5804" s="12" t="s">
        <v>12606</v>
      </c>
      <c r="M5804" s="469" t="s">
        <v>12625</v>
      </c>
      <c r="N5804" s="470"/>
      <c r="O5804" s="470">
        <v>1</v>
      </c>
      <c r="P5804" s="471">
        <v>1</v>
      </c>
      <c r="Q5804" s="471">
        <v>1</v>
      </c>
      <c r="R5804" s="471">
        <v>1</v>
      </c>
      <c r="S5804" s="471">
        <v>1</v>
      </c>
      <c r="T5804" s="14" t="s">
        <v>1588</v>
      </c>
      <c r="U5804" t="s">
        <v>1590</v>
      </c>
      <c r="V5804" s="14" t="s">
        <v>12626</v>
      </c>
      <c r="W5804" s="388"/>
      <c r="X5804" s="388"/>
      <c r="Y5804" s="388"/>
      <c r="Z5804" s="388"/>
      <c r="AA5804" s="388"/>
      <c r="AB5804" s="388"/>
      <c r="AC5804" s="150">
        <v>0</v>
      </c>
      <c r="AD5804" s="150">
        <v>0</v>
      </c>
      <c r="AE5804" s="49">
        <f t="shared" si="209"/>
        <v>0</v>
      </c>
      <c r="AF5804" s="397"/>
      <c r="AG5804" s="17">
        <v>0</v>
      </c>
      <c r="AH5804" s="397">
        <v>1.5</v>
      </c>
      <c r="AI5804" s="397">
        <v>1.8</v>
      </c>
      <c r="AJ5804" s="397">
        <v>2</v>
      </c>
      <c r="AK5804" s="398">
        <v>1</v>
      </c>
      <c r="AL5804" s="398">
        <v>1</v>
      </c>
      <c r="AM5804" s="17">
        <f t="shared" si="208"/>
        <v>2</v>
      </c>
      <c r="AN5804" s="14" t="s">
        <v>1588</v>
      </c>
      <c r="AO5804" s="12" t="s">
        <v>1590</v>
      </c>
      <c r="AP5804" s="399"/>
      <c r="AQ5804" s="400"/>
      <c r="AR5804" s="399"/>
      <c r="AS5804" s="399"/>
      <c r="AT5804" s="399"/>
      <c r="AX5804" s="400"/>
    </row>
    <row r="5805" spans="1:50" s="14" customFormat="1" x14ac:dyDescent="0.3">
      <c r="A5805" s="386" t="s">
        <v>8325</v>
      </c>
      <c r="B5805" s="14" t="s">
        <v>8326</v>
      </c>
      <c r="C5805" s="14" t="s">
        <v>11714</v>
      </c>
      <c r="D5805" s="14" t="s">
        <v>6838</v>
      </c>
      <c r="E5805" s="14" t="s">
        <v>12570</v>
      </c>
      <c r="F5805" s="12" t="s">
        <v>12571</v>
      </c>
      <c r="G5805" s="14" t="s">
        <v>12599</v>
      </c>
      <c r="H5805" s="12" t="s">
        <v>12600</v>
      </c>
      <c r="K5805" s="14" t="s">
        <v>12605</v>
      </c>
      <c r="L5805" s="12" t="s">
        <v>12606</v>
      </c>
      <c r="M5805" s="469"/>
      <c r="N5805" s="470"/>
      <c r="O5805" s="470"/>
      <c r="P5805" s="471"/>
      <c r="Q5805" s="471"/>
      <c r="R5805" s="471"/>
      <c r="S5805" s="471"/>
      <c r="T5805" s="14" t="s">
        <v>1588</v>
      </c>
      <c r="U5805" t="s">
        <v>1590</v>
      </c>
      <c r="V5805" s="14" t="s">
        <v>12627</v>
      </c>
      <c r="W5805" s="388"/>
      <c r="X5805" s="388"/>
      <c r="Y5805" s="388"/>
      <c r="Z5805" s="388"/>
      <c r="AA5805" s="388"/>
      <c r="AB5805" s="388"/>
      <c r="AC5805" s="150">
        <v>0</v>
      </c>
      <c r="AD5805" s="150">
        <v>0</v>
      </c>
      <c r="AE5805" s="49">
        <f t="shared" si="209"/>
        <v>0</v>
      </c>
      <c r="AF5805" s="397"/>
      <c r="AG5805" s="17">
        <v>0</v>
      </c>
      <c r="AH5805" s="397">
        <v>0.05</v>
      </c>
      <c r="AI5805" s="397">
        <v>0.06</v>
      </c>
      <c r="AJ5805" s="397">
        <v>7.0000000000000007E-2</v>
      </c>
      <c r="AK5805" s="398">
        <v>7.0000000000000007E-2</v>
      </c>
      <c r="AL5805" s="398">
        <v>7.0000000000000007E-2</v>
      </c>
      <c r="AM5805" s="17">
        <f t="shared" si="208"/>
        <v>0.14000000000000001</v>
      </c>
      <c r="AN5805" s="14" t="s">
        <v>1588</v>
      </c>
      <c r="AO5805" s="12" t="s">
        <v>1590</v>
      </c>
      <c r="AP5805" s="399"/>
      <c r="AQ5805" s="400"/>
      <c r="AR5805" s="399"/>
      <c r="AS5805" s="399"/>
      <c r="AT5805" s="399"/>
      <c r="AX5805" s="400"/>
    </row>
    <row r="5806" spans="1:50" s="14" customFormat="1" x14ac:dyDescent="0.3">
      <c r="A5806" s="386" t="s">
        <v>8325</v>
      </c>
      <c r="B5806" s="14" t="s">
        <v>8326</v>
      </c>
      <c r="C5806" s="14" t="s">
        <v>11714</v>
      </c>
      <c r="D5806" s="14" t="s">
        <v>6838</v>
      </c>
      <c r="E5806" s="14" t="s">
        <v>12570</v>
      </c>
      <c r="F5806" s="12" t="s">
        <v>12571</v>
      </c>
      <c r="G5806" s="14" t="s">
        <v>12599</v>
      </c>
      <c r="H5806" s="12" t="s">
        <v>12600</v>
      </c>
      <c r="K5806" s="14" t="s">
        <v>12605</v>
      </c>
      <c r="L5806" s="12" t="s">
        <v>12606</v>
      </c>
      <c r="M5806" s="469"/>
      <c r="N5806" s="470"/>
      <c r="O5806" s="470"/>
      <c r="P5806" s="471"/>
      <c r="Q5806" s="471"/>
      <c r="R5806" s="471"/>
      <c r="S5806" s="471"/>
      <c r="T5806" s="14" t="s">
        <v>1588</v>
      </c>
      <c r="U5806" t="s">
        <v>1590</v>
      </c>
      <c r="V5806" s="14" t="s">
        <v>12628</v>
      </c>
      <c r="W5806" s="388"/>
      <c r="X5806" s="388"/>
      <c r="Y5806" s="388"/>
      <c r="Z5806" s="388"/>
      <c r="AA5806" s="388"/>
      <c r="AB5806" s="388"/>
      <c r="AC5806" s="150">
        <v>0</v>
      </c>
      <c r="AD5806" s="150">
        <v>0</v>
      </c>
      <c r="AE5806" s="49">
        <f t="shared" si="209"/>
        <v>0</v>
      </c>
      <c r="AF5806" s="397"/>
      <c r="AG5806" s="17">
        <v>0</v>
      </c>
      <c r="AH5806" s="397">
        <v>1.5</v>
      </c>
      <c r="AI5806" s="397">
        <v>1.5</v>
      </c>
      <c r="AJ5806" s="397">
        <v>1.6</v>
      </c>
      <c r="AK5806" s="398">
        <v>1.27</v>
      </c>
      <c r="AL5806" s="398">
        <v>1.27</v>
      </c>
      <c r="AM5806" s="17">
        <f t="shared" si="208"/>
        <v>2.54</v>
      </c>
      <c r="AN5806" s="14" t="s">
        <v>1588</v>
      </c>
      <c r="AO5806" s="12" t="s">
        <v>1590</v>
      </c>
      <c r="AP5806" s="399"/>
      <c r="AQ5806" s="400"/>
      <c r="AR5806" s="399"/>
      <c r="AS5806" s="399"/>
      <c r="AT5806" s="399"/>
      <c r="AX5806" s="400"/>
    </row>
    <row r="5807" spans="1:50" s="14" customFormat="1" x14ac:dyDescent="0.3">
      <c r="A5807" s="386" t="s">
        <v>8325</v>
      </c>
      <c r="B5807" s="14" t="s">
        <v>8326</v>
      </c>
      <c r="C5807" s="14" t="s">
        <v>11714</v>
      </c>
      <c r="D5807" s="14" t="s">
        <v>6838</v>
      </c>
      <c r="E5807" s="14" t="s">
        <v>12570</v>
      </c>
      <c r="F5807" s="12" t="s">
        <v>12571</v>
      </c>
      <c r="G5807" s="14" t="s">
        <v>12599</v>
      </c>
      <c r="H5807" s="12" t="s">
        <v>12600</v>
      </c>
      <c r="K5807" s="14" t="s">
        <v>12605</v>
      </c>
      <c r="L5807" s="12" t="s">
        <v>12606</v>
      </c>
      <c r="M5807" s="14" t="s">
        <v>12629</v>
      </c>
      <c r="N5807" s="400"/>
      <c r="O5807" s="400">
        <v>1</v>
      </c>
      <c r="P5807" s="403">
        <v>1</v>
      </c>
      <c r="Q5807" s="403">
        <v>1</v>
      </c>
      <c r="R5807" s="403">
        <v>1</v>
      </c>
      <c r="S5807" s="403">
        <v>1</v>
      </c>
      <c r="T5807" s="14" t="s">
        <v>1588</v>
      </c>
      <c r="U5807" t="s">
        <v>1590</v>
      </c>
      <c r="V5807" s="14" t="s">
        <v>12630</v>
      </c>
      <c r="W5807" s="388"/>
      <c r="X5807" s="388"/>
      <c r="Y5807" s="388"/>
      <c r="Z5807" s="388"/>
      <c r="AA5807" s="388"/>
      <c r="AB5807" s="388"/>
      <c r="AC5807" s="150">
        <v>0</v>
      </c>
      <c r="AD5807" s="150">
        <v>0</v>
      </c>
      <c r="AE5807" s="49">
        <f t="shared" si="209"/>
        <v>0</v>
      </c>
      <c r="AF5807" s="397"/>
      <c r="AG5807" s="17">
        <v>0</v>
      </c>
      <c r="AH5807" s="397">
        <v>0.4</v>
      </c>
      <c r="AI5807" s="397">
        <v>0.4</v>
      </c>
      <c r="AJ5807" s="397">
        <v>0.4</v>
      </c>
      <c r="AK5807" s="398">
        <v>0.55105199999999999</v>
      </c>
      <c r="AL5807" s="398">
        <v>0.55105199999999999</v>
      </c>
      <c r="AM5807" s="17">
        <f t="shared" si="208"/>
        <v>1.102104</v>
      </c>
      <c r="AN5807" s="14" t="s">
        <v>1588</v>
      </c>
      <c r="AO5807" s="12" t="s">
        <v>1590</v>
      </c>
      <c r="AP5807" s="399"/>
      <c r="AQ5807" s="400"/>
      <c r="AR5807" s="399"/>
      <c r="AS5807" s="399"/>
      <c r="AT5807" s="399"/>
      <c r="AX5807" s="400"/>
    </row>
    <row r="5808" spans="1:50" s="14" customFormat="1" x14ac:dyDescent="0.3">
      <c r="A5808" s="386" t="s">
        <v>8325</v>
      </c>
      <c r="B5808" s="14" t="s">
        <v>8326</v>
      </c>
      <c r="C5808" s="14" t="s">
        <v>11714</v>
      </c>
      <c r="D5808" s="14" t="s">
        <v>6838</v>
      </c>
      <c r="E5808" s="14" t="s">
        <v>12570</v>
      </c>
      <c r="F5808" s="12" t="s">
        <v>12571</v>
      </c>
      <c r="G5808" s="14" t="s">
        <v>12599</v>
      </c>
      <c r="H5808" s="12" t="s">
        <v>12600</v>
      </c>
      <c r="K5808" s="14" t="s">
        <v>12605</v>
      </c>
      <c r="L5808" s="12" t="s">
        <v>12606</v>
      </c>
      <c r="M5808" s="14" t="s">
        <v>12631</v>
      </c>
      <c r="N5808" s="400"/>
      <c r="O5808" s="400">
        <v>12</v>
      </c>
      <c r="P5808" s="403">
        <v>12</v>
      </c>
      <c r="Q5808" s="403">
        <v>12</v>
      </c>
      <c r="R5808" s="403">
        <v>12</v>
      </c>
      <c r="S5808" s="403">
        <v>12</v>
      </c>
      <c r="T5808" s="14" t="s">
        <v>1588</v>
      </c>
      <c r="U5808" t="s">
        <v>1590</v>
      </c>
      <c r="V5808" s="14" t="s">
        <v>12632</v>
      </c>
      <c r="W5808" s="388"/>
      <c r="X5808" s="388"/>
      <c r="Y5808" s="388"/>
      <c r="Z5808" s="388"/>
      <c r="AA5808" s="388"/>
      <c r="AB5808" s="388"/>
      <c r="AC5808" s="150">
        <v>0</v>
      </c>
      <c r="AD5808" s="150">
        <v>0</v>
      </c>
      <c r="AE5808" s="49">
        <f t="shared" si="209"/>
        <v>0</v>
      </c>
      <c r="AF5808" s="397"/>
      <c r="AG5808" s="17">
        <v>0</v>
      </c>
      <c r="AH5808" s="397">
        <v>0.4</v>
      </c>
      <c r="AI5808" s="397">
        <v>0.4</v>
      </c>
      <c r="AJ5808" s="397">
        <v>0.4</v>
      </c>
      <c r="AK5808" s="398">
        <v>0.26044600000000001</v>
      </c>
      <c r="AL5808" s="398">
        <v>0.26044600000000001</v>
      </c>
      <c r="AM5808" s="17">
        <f t="shared" si="208"/>
        <v>0.52089200000000002</v>
      </c>
      <c r="AN5808" s="14" t="s">
        <v>1588</v>
      </c>
      <c r="AO5808" s="12" t="s">
        <v>1590</v>
      </c>
      <c r="AP5808" s="399"/>
      <c r="AQ5808" s="400"/>
      <c r="AR5808" s="399"/>
      <c r="AS5808" s="399"/>
      <c r="AT5808" s="399"/>
      <c r="AX5808" s="400"/>
    </row>
    <row r="5809" spans="1:50" s="14" customFormat="1" x14ac:dyDescent="0.3">
      <c r="A5809" s="386" t="s">
        <v>8325</v>
      </c>
      <c r="B5809" s="14" t="s">
        <v>8326</v>
      </c>
      <c r="C5809" s="14" t="s">
        <v>11714</v>
      </c>
      <c r="D5809" s="14" t="s">
        <v>6838</v>
      </c>
      <c r="E5809" s="14" t="s">
        <v>12570</v>
      </c>
      <c r="F5809" s="12" t="s">
        <v>12571</v>
      </c>
      <c r="G5809" s="14" t="s">
        <v>12599</v>
      </c>
      <c r="H5809" s="12" t="s">
        <v>12600</v>
      </c>
      <c r="K5809" s="14" t="s">
        <v>12605</v>
      </c>
      <c r="L5809" s="12" t="s">
        <v>12606</v>
      </c>
      <c r="M5809" s="14" t="s">
        <v>12633</v>
      </c>
      <c r="N5809" s="400">
        <v>8</v>
      </c>
      <c r="O5809" s="400">
        <v>8</v>
      </c>
      <c r="P5809" s="403">
        <v>8</v>
      </c>
      <c r="Q5809" s="403">
        <v>8</v>
      </c>
      <c r="R5809" s="403">
        <v>8</v>
      </c>
      <c r="S5809" s="403">
        <v>8</v>
      </c>
      <c r="T5809" s="14" t="s">
        <v>1588</v>
      </c>
      <c r="U5809" t="s">
        <v>1590</v>
      </c>
      <c r="V5809" s="14" t="s">
        <v>12634</v>
      </c>
      <c r="W5809" s="388"/>
      <c r="X5809" s="388"/>
      <c r="Y5809" s="388"/>
      <c r="Z5809" s="388"/>
      <c r="AA5809" s="388"/>
      <c r="AB5809" s="388"/>
      <c r="AC5809" s="150">
        <v>0</v>
      </c>
      <c r="AD5809" s="150">
        <v>0</v>
      </c>
      <c r="AE5809" s="49">
        <f t="shared" si="209"/>
        <v>0</v>
      </c>
      <c r="AF5809" s="397"/>
      <c r="AG5809" s="17">
        <v>0</v>
      </c>
      <c r="AH5809" s="397">
        <v>0.4</v>
      </c>
      <c r="AI5809" s="397">
        <v>0.4</v>
      </c>
      <c r="AJ5809" s="397">
        <v>0.4</v>
      </c>
      <c r="AK5809" s="398">
        <v>1.6486499999999999</v>
      </c>
      <c r="AL5809" s="398">
        <v>1.6486499999999999</v>
      </c>
      <c r="AM5809" s="17">
        <f t="shared" si="208"/>
        <v>3.2972999999999999</v>
      </c>
      <c r="AN5809" s="14" t="s">
        <v>1588</v>
      </c>
      <c r="AO5809" s="12" t="s">
        <v>1590</v>
      </c>
      <c r="AP5809" s="399"/>
      <c r="AQ5809" s="400"/>
      <c r="AR5809" s="399"/>
      <c r="AS5809" s="399"/>
      <c r="AT5809" s="399"/>
      <c r="AX5809" s="400"/>
    </row>
    <row r="5810" spans="1:50" s="14" customFormat="1" x14ac:dyDescent="0.3">
      <c r="A5810" s="386" t="s">
        <v>8325</v>
      </c>
      <c r="B5810" s="14" t="s">
        <v>8326</v>
      </c>
      <c r="C5810" s="14" t="s">
        <v>11714</v>
      </c>
      <c r="D5810" s="14" t="s">
        <v>6838</v>
      </c>
      <c r="E5810" s="14" t="s">
        <v>12570</v>
      </c>
      <c r="F5810" s="12" t="s">
        <v>12571</v>
      </c>
      <c r="G5810" s="14" t="s">
        <v>12599</v>
      </c>
      <c r="H5810" s="12" t="s">
        <v>12600</v>
      </c>
      <c r="K5810" s="14" t="s">
        <v>12605</v>
      </c>
      <c r="L5810" s="12" t="s">
        <v>12606</v>
      </c>
      <c r="M5810" s="14" t="s">
        <v>12635</v>
      </c>
      <c r="N5810" s="400">
        <v>1</v>
      </c>
      <c r="O5810" s="400">
        <v>1</v>
      </c>
      <c r="P5810" s="403">
        <v>1</v>
      </c>
      <c r="Q5810" s="403">
        <v>1</v>
      </c>
      <c r="R5810" s="403">
        <v>1</v>
      </c>
      <c r="S5810" s="403">
        <v>1</v>
      </c>
      <c r="T5810" s="14" t="s">
        <v>1588</v>
      </c>
      <c r="U5810" t="s">
        <v>1590</v>
      </c>
      <c r="V5810" s="14" t="s">
        <v>12636</v>
      </c>
      <c r="W5810" s="388"/>
      <c r="X5810" s="388"/>
      <c r="Y5810" s="388"/>
      <c r="Z5810" s="388"/>
      <c r="AA5810" s="388"/>
      <c r="AB5810" s="388"/>
      <c r="AC5810" s="150">
        <v>0</v>
      </c>
      <c r="AD5810" s="150">
        <v>0</v>
      </c>
      <c r="AE5810" s="49">
        <f t="shared" si="209"/>
        <v>0</v>
      </c>
      <c r="AF5810" s="397"/>
      <c r="AG5810" s="17">
        <v>0</v>
      </c>
      <c r="AH5810" s="397">
        <v>2</v>
      </c>
      <c r="AI5810" s="397">
        <v>2</v>
      </c>
      <c r="AJ5810" s="397">
        <v>2</v>
      </c>
      <c r="AK5810" s="398">
        <v>2.1</v>
      </c>
      <c r="AL5810" s="398">
        <v>2.1</v>
      </c>
      <c r="AM5810" s="17">
        <f t="shared" si="208"/>
        <v>4.2</v>
      </c>
      <c r="AN5810" s="14" t="s">
        <v>1588</v>
      </c>
      <c r="AO5810" s="12" t="s">
        <v>1590</v>
      </c>
      <c r="AP5810" s="399"/>
      <c r="AQ5810" s="400"/>
      <c r="AR5810" s="399"/>
      <c r="AS5810" s="399"/>
      <c r="AT5810" s="399"/>
      <c r="AX5810" s="400"/>
    </row>
    <row r="5811" spans="1:50" s="14" customFormat="1" x14ac:dyDescent="0.3">
      <c r="A5811" s="386" t="s">
        <v>8325</v>
      </c>
      <c r="B5811" s="14" t="s">
        <v>8326</v>
      </c>
      <c r="C5811" s="14" t="s">
        <v>11714</v>
      </c>
      <c r="D5811" s="14" t="s">
        <v>6838</v>
      </c>
      <c r="E5811" s="14" t="s">
        <v>12570</v>
      </c>
      <c r="F5811" s="12" t="s">
        <v>12571</v>
      </c>
      <c r="G5811" s="14" t="s">
        <v>12599</v>
      </c>
      <c r="H5811" s="12" t="s">
        <v>12600</v>
      </c>
      <c r="K5811" s="14" t="s">
        <v>12605</v>
      </c>
      <c r="L5811" s="12" t="s">
        <v>12606</v>
      </c>
      <c r="M5811" s="14" t="s">
        <v>12637</v>
      </c>
      <c r="N5811" s="400"/>
      <c r="O5811" s="400">
        <v>1</v>
      </c>
      <c r="P5811" s="403">
        <v>1</v>
      </c>
      <c r="Q5811" s="403">
        <v>1</v>
      </c>
      <c r="R5811" s="403">
        <v>1</v>
      </c>
      <c r="S5811" s="403">
        <v>1</v>
      </c>
      <c r="T5811" s="14" t="s">
        <v>1588</v>
      </c>
      <c r="U5811" t="s">
        <v>1590</v>
      </c>
      <c r="V5811" s="14" t="s">
        <v>12638</v>
      </c>
      <c r="W5811" s="388"/>
      <c r="X5811" s="388"/>
      <c r="Y5811" s="388"/>
      <c r="Z5811" s="388"/>
      <c r="AA5811" s="388"/>
      <c r="AB5811" s="388"/>
      <c r="AC5811" s="150">
        <v>0</v>
      </c>
      <c r="AD5811" s="150">
        <v>0</v>
      </c>
      <c r="AE5811" s="49">
        <f t="shared" si="209"/>
        <v>0</v>
      </c>
      <c r="AF5811" s="397"/>
      <c r="AG5811" s="17">
        <v>0</v>
      </c>
      <c r="AH5811" s="397">
        <v>4</v>
      </c>
      <c r="AI5811" s="397">
        <v>4</v>
      </c>
      <c r="AJ5811" s="397">
        <v>4</v>
      </c>
      <c r="AK5811" s="398">
        <v>5.12</v>
      </c>
      <c r="AL5811" s="398">
        <v>5.12</v>
      </c>
      <c r="AM5811" s="17">
        <f t="shared" si="208"/>
        <v>10.24</v>
      </c>
      <c r="AN5811" s="14" t="s">
        <v>1588</v>
      </c>
      <c r="AO5811" s="12" t="s">
        <v>1590</v>
      </c>
      <c r="AP5811" s="399"/>
      <c r="AQ5811" s="400"/>
      <c r="AR5811" s="399"/>
      <c r="AS5811" s="399"/>
      <c r="AT5811" s="399"/>
      <c r="AX5811" s="400"/>
    </row>
    <row r="5812" spans="1:50" s="14" customFormat="1" x14ac:dyDescent="0.3">
      <c r="A5812" s="386" t="s">
        <v>8325</v>
      </c>
      <c r="B5812" s="14" t="s">
        <v>8326</v>
      </c>
      <c r="C5812" s="14" t="s">
        <v>11807</v>
      </c>
      <c r="D5812" s="14" t="s">
        <v>11808</v>
      </c>
      <c r="E5812" s="14" t="s">
        <v>12639</v>
      </c>
      <c r="F5812" s="12" t="s">
        <v>12571</v>
      </c>
      <c r="G5812" s="14" t="s">
        <v>12640</v>
      </c>
      <c r="H5812" s="12" t="s">
        <v>12600</v>
      </c>
      <c r="K5812" s="14" t="s">
        <v>12641</v>
      </c>
      <c r="L5812" s="12" t="s">
        <v>12642</v>
      </c>
      <c r="M5812" s="14" t="s">
        <v>12643</v>
      </c>
      <c r="N5812" s="14">
        <v>100</v>
      </c>
      <c r="O5812" s="14">
        <v>400</v>
      </c>
      <c r="P5812" s="12">
        <v>400</v>
      </c>
      <c r="Q5812" s="12">
        <v>400</v>
      </c>
      <c r="R5812" s="12">
        <v>400</v>
      </c>
      <c r="S5812" s="12">
        <v>400</v>
      </c>
      <c r="T5812" s="14" t="s">
        <v>11722</v>
      </c>
      <c r="U5812" t="s">
        <v>11723</v>
      </c>
      <c r="V5812" s="14" t="s">
        <v>12644</v>
      </c>
      <c r="W5812" s="388">
        <v>1</v>
      </c>
      <c r="X5812" s="388">
        <v>0</v>
      </c>
      <c r="Y5812" s="388">
        <v>0</v>
      </c>
      <c r="Z5812" s="388">
        <v>1</v>
      </c>
      <c r="AA5812" s="388">
        <v>1</v>
      </c>
      <c r="AB5812" s="388">
        <v>0</v>
      </c>
      <c r="AC5812" s="150">
        <v>1</v>
      </c>
      <c r="AD5812" s="150">
        <v>1</v>
      </c>
      <c r="AE5812" s="49">
        <f t="shared" si="209"/>
        <v>0.625</v>
      </c>
      <c r="AF5812" s="397"/>
      <c r="AG5812" s="17">
        <v>0</v>
      </c>
      <c r="AH5812" s="397">
        <v>0.16</v>
      </c>
      <c r="AI5812" s="397">
        <v>0.16</v>
      </c>
      <c r="AJ5812" s="397">
        <v>0.16800000000000001</v>
      </c>
      <c r="AK5812" s="398">
        <v>0.65</v>
      </c>
      <c r="AL5812" s="398">
        <v>0.65</v>
      </c>
      <c r="AM5812" s="17">
        <f t="shared" si="208"/>
        <v>1.3</v>
      </c>
      <c r="AN5812" s="14" t="s">
        <v>11722</v>
      </c>
      <c r="AO5812" s="12" t="s">
        <v>11723</v>
      </c>
      <c r="AP5812" s="399"/>
      <c r="AQ5812" s="399"/>
      <c r="AR5812" s="399"/>
      <c r="AS5812" s="399"/>
      <c r="AT5812" s="399"/>
      <c r="AX5812" s="400"/>
    </row>
    <row r="5813" spans="1:50" s="14" customFormat="1" x14ac:dyDescent="0.3">
      <c r="A5813" s="386" t="s">
        <v>8325</v>
      </c>
      <c r="B5813" s="14" t="s">
        <v>8326</v>
      </c>
      <c r="C5813" s="14" t="s">
        <v>11807</v>
      </c>
      <c r="D5813" s="14" t="s">
        <v>11808</v>
      </c>
      <c r="E5813" s="14" t="s">
        <v>12639</v>
      </c>
      <c r="F5813" s="12" t="s">
        <v>12571</v>
      </c>
      <c r="G5813" s="14" t="s">
        <v>12640</v>
      </c>
      <c r="H5813" s="12" t="s">
        <v>12600</v>
      </c>
      <c r="K5813" s="14" t="s">
        <v>12641</v>
      </c>
      <c r="L5813" s="12" t="s">
        <v>12642</v>
      </c>
      <c r="M5813" s="14" t="s">
        <v>12645</v>
      </c>
      <c r="N5813" s="400">
        <v>1</v>
      </c>
      <c r="O5813" s="400">
        <v>0</v>
      </c>
      <c r="P5813" s="402">
        <v>1</v>
      </c>
      <c r="Q5813" s="402">
        <v>1</v>
      </c>
      <c r="R5813" s="402">
        <v>1</v>
      </c>
      <c r="S5813" s="402">
        <v>1</v>
      </c>
      <c r="T5813" s="14" t="s">
        <v>11722</v>
      </c>
      <c r="U5813" t="s">
        <v>11723</v>
      </c>
      <c r="V5813" s="14" t="s">
        <v>12645</v>
      </c>
      <c r="W5813" s="388">
        <v>1</v>
      </c>
      <c r="X5813" s="388">
        <v>0</v>
      </c>
      <c r="Y5813" s="388">
        <v>0</v>
      </c>
      <c r="Z5813" s="388">
        <v>1</v>
      </c>
      <c r="AA5813" s="388">
        <v>1</v>
      </c>
      <c r="AB5813" s="388">
        <v>0</v>
      </c>
      <c r="AC5813" s="150">
        <v>1</v>
      </c>
      <c r="AD5813" s="150">
        <v>1</v>
      </c>
      <c r="AE5813" s="49">
        <f t="shared" si="209"/>
        <v>0.625</v>
      </c>
      <c r="AF5813" s="397"/>
      <c r="AG5813" s="17">
        <v>0</v>
      </c>
      <c r="AH5813" s="397">
        <v>0</v>
      </c>
      <c r="AI5813" s="397">
        <v>0.2</v>
      </c>
      <c r="AJ5813" s="397">
        <v>0.2</v>
      </c>
      <c r="AK5813" s="398">
        <v>0.15290000000000001</v>
      </c>
      <c r="AL5813" s="398">
        <v>0.15290000000000001</v>
      </c>
      <c r="AM5813" s="17">
        <f t="shared" si="208"/>
        <v>0.30580000000000002</v>
      </c>
      <c r="AN5813" s="14" t="s">
        <v>11722</v>
      </c>
      <c r="AO5813" s="12" t="s">
        <v>11723</v>
      </c>
      <c r="AP5813" s="399"/>
      <c r="AQ5813" s="399"/>
      <c r="AR5813" s="399"/>
      <c r="AS5813" s="399"/>
      <c r="AT5813" s="399"/>
      <c r="AX5813" s="400"/>
    </row>
    <row r="5814" spans="1:50" s="14" customFormat="1" x14ac:dyDescent="0.3">
      <c r="A5814" s="386" t="s">
        <v>8325</v>
      </c>
      <c r="B5814" s="14" t="s">
        <v>8326</v>
      </c>
      <c r="C5814" s="14" t="s">
        <v>11807</v>
      </c>
      <c r="D5814" s="14" t="s">
        <v>11808</v>
      </c>
      <c r="E5814" s="14" t="s">
        <v>12639</v>
      </c>
      <c r="F5814" s="12" t="s">
        <v>12571</v>
      </c>
      <c r="G5814" s="14" t="s">
        <v>12640</v>
      </c>
      <c r="H5814" s="12" t="s">
        <v>12600</v>
      </c>
      <c r="K5814" s="14" t="s">
        <v>12641</v>
      </c>
      <c r="L5814" s="12" t="s">
        <v>12642</v>
      </c>
      <c r="M5814" s="14" t="s">
        <v>12646</v>
      </c>
      <c r="N5814" s="400">
        <v>0</v>
      </c>
      <c r="O5814" s="400">
        <v>0</v>
      </c>
      <c r="P5814" s="402">
        <v>250</v>
      </c>
      <c r="Q5814" s="402">
        <v>271</v>
      </c>
      <c r="R5814" s="402">
        <v>208</v>
      </c>
      <c r="S5814" s="402">
        <v>208</v>
      </c>
      <c r="T5814" s="14" t="s">
        <v>11722</v>
      </c>
      <c r="U5814" t="s">
        <v>11723</v>
      </c>
      <c r="V5814" s="14" t="s">
        <v>12646</v>
      </c>
      <c r="W5814" s="388">
        <v>1</v>
      </c>
      <c r="X5814" s="388">
        <v>0</v>
      </c>
      <c r="Y5814" s="388">
        <v>0</v>
      </c>
      <c r="Z5814" s="388">
        <v>1</v>
      </c>
      <c r="AA5814" s="388">
        <v>1</v>
      </c>
      <c r="AB5814" s="388">
        <v>0</v>
      </c>
      <c r="AC5814" s="150">
        <v>1</v>
      </c>
      <c r="AD5814" s="150">
        <v>1</v>
      </c>
      <c r="AE5814" s="49">
        <f t="shared" si="209"/>
        <v>0.625</v>
      </c>
      <c r="AF5814" s="397"/>
      <c r="AG5814" s="17">
        <v>0</v>
      </c>
      <c r="AH5814" s="397">
        <v>0</v>
      </c>
      <c r="AI5814" s="397">
        <v>0.57197200000000004</v>
      </c>
      <c r="AJ5814" s="397">
        <v>0.59046540000000003</v>
      </c>
      <c r="AK5814" s="398">
        <v>1.9906600000000001</v>
      </c>
      <c r="AL5814" s="398">
        <v>1.9906600000000001</v>
      </c>
      <c r="AM5814" s="17">
        <f t="shared" si="208"/>
        <v>3.9813200000000002</v>
      </c>
      <c r="AN5814" s="14" t="s">
        <v>11722</v>
      </c>
      <c r="AO5814" s="12" t="s">
        <v>11723</v>
      </c>
      <c r="AP5814" s="399"/>
      <c r="AQ5814" s="399"/>
      <c r="AR5814" s="399"/>
      <c r="AS5814" s="399"/>
      <c r="AT5814" s="399"/>
      <c r="AX5814" s="400"/>
    </row>
    <row r="5815" spans="1:50" s="14" customFormat="1" x14ac:dyDescent="0.3">
      <c r="A5815" s="386" t="s">
        <v>8325</v>
      </c>
      <c r="B5815" s="14" t="s">
        <v>8326</v>
      </c>
      <c r="C5815" s="14" t="s">
        <v>11714</v>
      </c>
      <c r="D5815" s="14" t="s">
        <v>6838</v>
      </c>
      <c r="E5815" s="14" t="s">
        <v>12570</v>
      </c>
      <c r="F5815" s="12" t="s">
        <v>12571</v>
      </c>
      <c r="G5815" s="14" t="s">
        <v>12599</v>
      </c>
      <c r="H5815" s="12" t="s">
        <v>12600</v>
      </c>
      <c r="K5815" s="14" t="s">
        <v>12647</v>
      </c>
      <c r="L5815" s="12" t="s">
        <v>12642</v>
      </c>
      <c r="M5815" s="14" t="s">
        <v>12648</v>
      </c>
      <c r="N5815" s="400"/>
      <c r="O5815" s="400">
        <v>1</v>
      </c>
      <c r="P5815" s="402">
        <v>1</v>
      </c>
      <c r="Q5815" s="402">
        <v>1</v>
      </c>
      <c r="R5815" s="402">
        <v>1</v>
      </c>
      <c r="S5815" s="402">
        <v>1</v>
      </c>
      <c r="T5815" s="14" t="s">
        <v>11722</v>
      </c>
      <c r="U5815" t="s">
        <v>11723</v>
      </c>
      <c r="V5815" s="14" t="s">
        <v>12649</v>
      </c>
      <c r="W5815" s="388">
        <v>1</v>
      </c>
      <c r="X5815" s="388">
        <v>0</v>
      </c>
      <c r="Y5815" s="388">
        <v>0</v>
      </c>
      <c r="Z5815" s="388">
        <v>1</v>
      </c>
      <c r="AA5815" s="388">
        <v>1</v>
      </c>
      <c r="AB5815" s="388">
        <v>0</v>
      </c>
      <c r="AC5815" s="150">
        <v>1</v>
      </c>
      <c r="AD5815" s="150">
        <v>1</v>
      </c>
      <c r="AE5815" s="49">
        <f t="shared" si="209"/>
        <v>0.625</v>
      </c>
      <c r="AF5815" s="397"/>
      <c r="AG5815" s="17">
        <v>0</v>
      </c>
      <c r="AH5815" s="397">
        <v>0</v>
      </c>
      <c r="AI5815" s="397">
        <v>7.1999999999999995E-2</v>
      </c>
      <c r="AJ5815" s="397">
        <v>7.1999999999999995E-2</v>
      </c>
      <c r="AK5815" s="398">
        <v>1.2749999999999999E-2</v>
      </c>
      <c r="AL5815" s="398">
        <v>1.2749999999999999E-2</v>
      </c>
      <c r="AM5815" s="17">
        <f t="shared" si="208"/>
        <v>2.5499999999999998E-2</v>
      </c>
      <c r="AN5815" s="14" t="s">
        <v>11722</v>
      </c>
      <c r="AO5815" s="12" t="s">
        <v>11723</v>
      </c>
      <c r="AP5815" s="399"/>
      <c r="AQ5815" s="399"/>
      <c r="AR5815" s="399"/>
      <c r="AS5815" s="399"/>
      <c r="AT5815" s="399"/>
      <c r="AX5815" s="400"/>
    </row>
    <row r="5816" spans="1:50" s="14" customFormat="1" x14ac:dyDescent="0.3">
      <c r="A5816" s="386" t="s">
        <v>8325</v>
      </c>
      <c r="B5816" s="14" t="s">
        <v>8326</v>
      </c>
      <c r="C5816" s="14" t="s">
        <v>11807</v>
      </c>
      <c r="D5816" s="14" t="s">
        <v>11808</v>
      </c>
      <c r="E5816" s="14" t="s">
        <v>12639</v>
      </c>
      <c r="F5816" s="12" t="s">
        <v>12571</v>
      </c>
      <c r="G5816" s="14" t="s">
        <v>12640</v>
      </c>
      <c r="H5816" s="12" t="s">
        <v>12600</v>
      </c>
      <c r="K5816" s="14" t="s">
        <v>12641</v>
      </c>
      <c r="L5816" s="12" t="s">
        <v>12642</v>
      </c>
      <c r="M5816" s="14" t="s">
        <v>12650</v>
      </c>
      <c r="N5816" s="400">
        <v>0</v>
      </c>
      <c r="O5816" s="400">
        <v>0</v>
      </c>
      <c r="P5816" s="402">
        <v>1280</v>
      </c>
      <c r="Q5816" s="402">
        <v>1280</v>
      </c>
      <c r="R5816" s="402">
        <v>1280</v>
      </c>
      <c r="S5816" s="402">
        <v>1280</v>
      </c>
      <c r="T5816" s="14" t="s">
        <v>11722</v>
      </c>
      <c r="U5816" t="s">
        <v>11723</v>
      </c>
      <c r="V5816" s="14" t="s">
        <v>12650</v>
      </c>
      <c r="W5816" s="388">
        <v>1</v>
      </c>
      <c r="X5816" s="388">
        <v>0</v>
      </c>
      <c r="Y5816" s="388">
        <v>0</v>
      </c>
      <c r="Z5816" s="388">
        <v>1</v>
      </c>
      <c r="AA5816" s="388">
        <v>1</v>
      </c>
      <c r="AB5816" s="388">
        <v>0</v>
      </c>
      <c r="AC5816" s="150">
        <v>1</v>
      </c>
      <c r="AD5816" s="150">
        <v>1</v>
      </c>
      <c r="AE5816" s="49">
        <f t="shared" si="209"/>
        <v>0.625</v>
      </c>
      <c r="AF5816" s="397"/>
      <c r="AG5816" s="17">
        <v>0</v>
      </c>
      <c r="AH5816" s="397">
        <v>0</v>
      </c>
      <c r="AI5816" s="397">
        <v>0.84408000000000005</v>
      </c>
      <c r="AJ5816" s="397">
        <v>0.66833549999999997</v>
      </c>
      <c r="AK5816" s="398">
        <v>3.9957806119999999</v>
      </c>
      <c r="AL5816" s="398">
        <v>4.075780612</v>
      </c>
      <c r="AM5816" s="17">
        <f t="shared" ref="AM5816:AM5856" si="210">SUM(AK5816:AL5816)</f>
        <v>8.0715612239999999</v>
      </c>
      <c r="AN5816" s="14" t="s">
        <v>11722</v>
      </c>
      <c r="AO5816" s="12" t="s">
        <v>11723</v>
      </c>
      <c r="AP5816" s="399"/>
      <c r="AQ5816" s="399"/>
      <c r="AR5816" s="399"/>
      <c r="AS5816" s="399"/>
      <c r="AT5816" s="399"/>
      <c r="AX5816" s="400"/>
    </row>
    <row r="5817" spans="1:50" s="14" customFormat="1" x14ac:dyDescent="0.3">
      <c r="A5817" s="386" t="s">
        <v>8325</v>
      </c>
      <c r="B5817" s="14" t="s">
        <v>8326</v>
      </c>
      <c r="C5817" s="14" t="s">
        <v>11807</v>
      </c>
      <c r="D5817" s="14" t="s">
        <v>11808</v>
      </c>
      <c r="E5817" s="14" t="s">
        <v>12639</v>
      </c>
      <c r="F5817" s="12" t="s">
        <v>12571</v>
      </c>
      <c r="G5817" s="14" t="s">
        <v>12640</v>
      </c>
      <c r="H5817" s="12" t="s">
        <v>12600</v>
      </c>
      <c r="K5817" s="14" t="s">
        <v>12641</v>
      </c>
      <c r="L5817" s="12" t="s">
        <v>12642</v>
      </c>
      <c r="M5817" s="14" t="s">
        <v>11812</v>
      </c>
      <c r="N5817" s="400">
        <v>0</v>
      </c>
      <c r="O5817" s="400">
        <v>0</v>
      </c>
      <c r="P5817" s="402">
        <v>50</v>
      </c>
      <c r="Q5817" s="12">
        <v>50</v>
      </c>
      <c r="R5817" s="12">
        <v>50</v>
      </c>
      <c r="S5817" s="12">
        <v>50</v>
      </c>
      <c r="T5817" s="14" t="s">
        <v>11722</v>
      </c>
      <c r="U5817" t="s">
        <v>11723</v>
      </c>
      <c r="V5817" s="14" t="s">
        <v>12651</v>
      </c>
      <c r="W5817" s="388">
        <v>1</v>
      </c>
      <c r="X5817" s="388">
        <v>0</v>
      </c>
      <c r="Y5817" s="388">
        <v>0</v>
      </c>
      <c r="Z5817" s="388">
        <v>1</v>
      </c>
      <c r="AA5817" s="388">
        <v>1</v>
      </c>
      <c r="AB5817" s="388">
        <v>0</v>
      </c>
      <c r="AC5817" s="150">
        <v>1</v>
      </c>
      <c r="AD5817" s="150">
        <v>1</v>
      </c>
      <c r="AE5817" s="49">
        <f t="shared" si="209"/>
        <v>0.625</v>
      </c>
      <c r="AF5817" s="397"/>
      <c r="AG5817" s="17">
        <v>0</v>
      </c>
      <c r="AH5817" s="397">
        <v>0.14000000000000001</v>
      </c>
      <c r="AI5817" s="397">
        <v>0.14699999999999999</v>
      </c>
      <c r="AJ5817" s="397">
        <v>0.15434999999999999</v>
      </c>
      <c r="AK5817" s="398">
        <v>0.1620675</v>
      </c>
      <c r="AL5817" s="398">
        <v>0.17017080000000001</v>
      </c>
      <c r="AM5817" s="17">
        <f t="shared" si="210"/>
        <v>0.33223829999999999</v>
      </c>
      <c r="AN5817" s="14" t="s">
        <v>11730</v>
      </c>
      <c r="AO5817" s="12" t="s">
        <v>11723</v>
      </c>
      <c r="AP5817" s="399"/>
      <c r="AQ5817" s="399"/>
      <c r="AR5817" s="399"/>
      <c r="AS5817" s="399"/>
      <c r="AT5817" s="399"/>
      <c r="AX5817" s="400"/>
    </row>
    <row r="5818" spans="1:50" s="14" customFormat="1" x14ac:dyDescent="0.3">
      <c r="A5818" s="386" t="s">
        <v>8325</v>
      </c>
      <c r="B5818" s="14" t="s">
        <v>8326</v>
      </c>
      <c r="C5818" s="14" t="s">
        <v>11807</v>
      </c>
      <c r="D5818" s="14" t="s">
        <v>11808</v>
      </c>
      <c r="E5818" s="14" t="s">
        <v>12639</v>
      </c>
      <c r="F5818" s="12" t="s">
        <v>12571</v>
      </c>
      <c r="G5818" s="14" t="s">
        <v>12640</v>
      </c>
      <c r="H5818" s="12" t="s">
        <v>12600</v>
      </c>
      <c r="K5818" s="14" t="s">
        <v>12641</v>
      </c>
      <c r="L5818" s="12" t="s">
        <v>12642</v>
      </c>
      <c r="M5818" s="470" t="s">
        <v>12652</v>
      </c>
      <c r="N5818" s="470"/>
      <c r="O5818" s="470">
        <v>150</v>
      </c>
      <c r="P5818" s="468">
        <v>150</v>
      </c>
      <c r="Q5818" s="468">
        <v>150</v>
      </c>
      <c r="R5818" s="468">
        <v>150</v>
      </c>
      <c r="S5818" s="468">
        <v>150</v>
      </c>
      <c r="T5818" s="14" t="s">
        <v>1588</v>
      </c>
      <c r="U5818" t="s">
        <v>1590</v>
      </c>
      <c r="V5818" s="14" t="s">
        <v>12653</v>
      </c>
      <c r="W5818" s="388"/>
      <c r="X5818" s="388"/>
      <c r="Y5818" s="388"/>
      <c r="Z5818" s="388"/>
      <c r="AA5818" s="388"/>
      <c r="AB5818" s="388"/>
      <c r="AC5818" s="150">
        <v>0</v>
      </c>
      <c r="AD5818" s="150">
        <v>0</v>
      </c>
      <c r="AE5818" s="49">
        <f t="shared" si="209"/>
        <v>0</v>
      </c>
      <c r="AF5818" s="397"/>
      <c r="AG5818" s="17">
        <v>0</v>
      </c>
      <c r="AH5818" s="397">
        <v>0.25</v>
      </c>
      <c r="AI5818" s="397">
        <v>0.28000000000000003</v>
      </c>
      <c r="AJ5818" s="397">
        <v>0.3</v>
      </c>
      <c r="AK5818" s="398">
        <v>0.15</v>
      </c>
      <c r="AL5818" s="398">
        <v>0.15</v>
      </c>
      <c r="AM5818" s="17">
        <f t="shared" si="210"/>
        <v>0.3</v>
      </c>
      <c r="AN5818" s="14" t="s">
        <v>1588</v>
      </c>
      <c r="AO5818" s="12" t="s">
        <v>1590</v>
      </c>
      <c r="AP5818" s="399"/>
      <c r="AQ5818" s="399"/>
      <c r="AR5818" s="399"/>
      <c r="AS5818" s="399"/>
      <c r="AT5818" s="399"/>
      <c r="AX5818" s="400"/>
    </row>
    <row r="5819" spans="1:50" s="14" customFormat="1" x14ac:dyDescent="0.3">
      <c r="A5819" s="386" t="s">
        <v>8325</v>
      </c>
      <c r="B5819" s="14" t="s">
        <v>8326</v>
      </c>
      <c r="C5819" s="14" t="s">
        <v>11807</v>
      </c>
      <c r="D5819" s="14" t="s">
        <v>11808</v>
      </c>
      <c r="E5819" s="14" t="s">
        <v>12639</v>
      </c>
      <c r="F5819" s="12" t="s">
        <v>12571</v>
      </c>
      <c r="G5819" s="14" t="s">
        <v>12640</v>
      </c>
      <c r="H5819" s="12" t="s">
        <v>12600</v>
      </c>
      <c r="K5819" s="14" t="s">
        <v>12641</v>
      </c>
      <c r="L5819" s="12" t="s">
        <v>12642</v>
      </c>
      <c r="M5819" s="470"/>
      <c r="N5819" s="470"/>
      <c r="O5819" s="470"/>
      <c r="P5819" s="468"/>
      <c r="Q5819" s="468"/>
      <c r="R5819" s="468"/>
      <c r="S5819" s="468"/>
      <c r="T5819" s="14" t="s">
        <v>1588</v>
      </c>
      <c r="U5819" t="s">
        <v>1590</v>
      </c>
      <c r="V5819" s="14" t="s">
        <v>12654</v>
      </c>
      <c r="W5819" s="388"/>
      <c r="X5819" s="388"/>
      <c r="Y5819" s="388"/>
      <c r="Z5819" s="388"/>
      <c r="AA5819" s="388"/>
      <c r="AB5819" s="388"/>
      <c r="AC5819" s="150">
        <v>0</v>
      </c>
      <c r="AD5819" s="150">
        <v>0</v>
      </c>
      <c r="AE5819" s="49">
        <f t="shared" ref="AE5819:AE5853" si="211">SUM(W5819:AD5819)/8</f>
        <v>0</v>
      </c>
      <c r="AF5819" s="397"/>
      <c r="AG5819" s="17">
        <v>0</v>
      </c>
      <c r="AH5819" s="397">
        <v>0.15</v>
      </c>
      <c r="AI5819" s="397">
        <v>0.18</v>
      </c>
      <c r="AJ5819" s="397">
        <v>0.2</v>
      </c>
      <c r="AK5819" s="398">
        <v>0.15</v>
      </c>
      <c r="AL5819" s="398">
        <v>0.15</v>
      </c>
      <c r="AM5819" s="17">
        <f t="shared" si="210"/>
        <v>0.3</v>
      </c>
      <c r="AN5819" s="14" t="s">
        <v>1588</v>
      </c>
      <c r="AO5819" s="12" t="s">
        <v>1590</v>
      </c>
      <c r="AP5819" s="399"/>
      <c r="AQ5819" s="399"/>
      <c r="AR5819" s="399"/>
      <c r="AS5819" s="399"/>
      <c r="AT5819" s="399"/>
      <c r="AX5819" s="400"/>
    </row>
    <row r="5820" spans="1:50" s="14" customFormat="1" x14ac:dyDescent="0.3">
      <c r="A5820" s="386" t="s">
        <v>8325</v>
      </c>
      <c r="B5820" s="14" t="s">
        <v>8326</v>
      </c>
      <c r="C5820" s="14" t="s">
        <v>11807</v>
      </c>
      <c r="D5820" s="14" t="s">
        <v>11808</v>
      </c>
      <c r="E5820" s="14" t="s">
        <v>12639</v>
      </c>
      <c r="F5820" s="12" t="s">
        <v>12571</v>
      </c>
      <c r="G5820" s="14" t="s">
        <v>12640</v>
      </c>
      <c r="H5820" s="12" t="s">
        <v>12600</v>
      </c>
      <c r="K5820" s="14" t="s">
        <v>12641</v>
      </c>
      <c r="L5820" s="12" t="s">
        <v>12642</v>
      </c>
      <c r="M5820" s="470"/>
      <c r="N5820" s="470"/>
      <c r="O5820" s="470"/>
      <c r="P5820" s="468"/>
      <c r="Q5820" s="468"/>
      <c r="R5820" s="468"/>
      <c r="S5820" s="468"/>
      <c r="T5820" s="14" t="s">
        <v>1588</v>
      </c>
      <c r="U5820" t="s">
        <v>1590</v>
      </c>
      <c r="V5820" s="14" t="s">
        <v>12655</v>
      </c>
      <c r="W5820" s="388"/>
      <c r="X5820" s="388"/>
      <c r="Y5820" s="388"/>
      <c r="Z5820" s="388"/>
      <c r="AA5820" s="388"/>
      <c r="AB5820" s="388"/>
      <c r="AC5820" s="150">
        <v>0</v>
      </c>
      <c r="AD5820" s="150">
        <v>0</v>
      </c>
      <c r="AE5820" s="49">
        <f t="shared" si="211"/>
        <v>0</v>
      </c>
      <c r="AF5820" s="397"/>
      <c r="AG5820" s="17">
        <v>0</v>
      </c>
      <c r="AH5820" s="397">
        <v>0</v>
      </c>
      <c r="AI5820" s="397">
        <v>0</v>
      </c>
      <c r="AJ5820" s="397">
        <v>0.05</v>
      </c>
      <c r="AK5820" s="398">
        <v>0.1</v>
      </c>
      <c r="AL5820" s="398">
        <v>0.1</v>
      </c>
      <c r="AM5820" s="17">
        <f t="shared" si="210"/>
        <v>0.2</v>
      </c>
      <c r="AN5820" s="14" t="s">
        <v>1588</v>
      </c>
      <c r="AO5820" s="12" t="s">
        <v>1590</v>
      </c>
      <c r="AP5820" s="399"/>
      <c r="AQ5820" s="399"/>
      <c r="AR5820" s="399"/>
      <c r="AS5820" s="399"/>
      <c r="AT5820" s="399"/>
      <c r="AX5820" s="400"/>
    </row>
    <row r="5821" spans="1:50" s="14" customFormat="1" x14ac:dyDescent="0.3">
      <c r="A5821" s="386" t="s">
        <v>8325</v>
      </c>
      <c r="B5821" s="14" t="s">
        <v>8326</v>
      </c>
      <c r="C5821" s="14" t="s">
        <v>11807</v>
      </c>
      <c r="D5821" s="14" t="s">
        <v>11808</v>
      </c>
      <c r="E5821" s="14" t="s">
        <v>12639</v>
      </c>
      <c r="F5821" s="12" t="s">
        <v>12571</v>
      </c>
      <c r="G5821" s="14" t="s">
        <v>12640</v>
      </c>
      <c r="H5821" s="12" t="s">
        <v>12600</v>
      </c>
      <c r="K5821" s="14" t="s">
        <v>12641</v>
      </c>
      <c r="L5821" s="12" t="s">
        <v>12642</v>
      </c>
      <c r="M5821" s="14" t="s">
        <v>12656</v>
      </c>
      <c r="N5821" s="400"/>
      <c r="O5821" s="400"/>
      <c r="P5821" s="402"/>
      <c r="Q5821" s="402">
        <v>2</v>
      </c>
      <c r="R5821" s="402">
        <v>2</v>
      </c>
      <c r="S5821" s="402">
        <v>2</v>
      </c>
      <c r="T5821" s="14" t="s">
        <v>11865</v>
      </c>
      <c r="U5821" t="s">
        <v>11866</v>
      </c>
      <c r="V5821" s="14" t="s">
        <v>12657</v>
      </c>
      <c r="W5821" s="388"/>
      <c r="X5821" s="388"/>
      <c r="Y5821" s="388"/>
      <c r="Z5821" s="388"/>
      <c r="AA5821" s="388"/>
      <c r="AB5821" s="388"/>
      <c r="AC5821" s="150">
        <v>0</v>
      </c>
      <c r="AD5821" s="150">
        <v>0</v>
      </c>
      <c r="AE5821" s="49">
        <f t="shared" si="211"/>
        <v>0</v>
      </c>
      <c r="AF5821" s="397"/>
      <c r="AG5821" s="17">
        <v>0</v>
      </c>
      <c r="AH5821" s="397"/>
      <c r="AI5821" s="397"/>
      <c r="AJ5821" s="397">
        <v>0.4</v>
      </c>
      <c r="AK5821" s="398">
        <v>0</v>
      </c>
      <c r="AL5821" s="398">
        <v>0</v>
      </c>
      <c r="AM5821" s="17">
        <f t="shared" si="210"/>
        <v>0</v>
      </c>
      <c r="AN5821" s="14" t="s">
        <v>11865</v>
      </c>
      <c r="AO5821" s="12" t="s">
        <v>11866</v>
      </c>
      <c r="AP5821" s="399"/>
      <c r="AQ5821" s="399"/>
      <c r="AR5821" s="399"/>
      <c r="AS5821" s="399"/>
      <c r="AT5821" s="399"/>
      <c r="AX5821" s="400"/>
    </row>
    <row r="5822" spans="1:50" s="12" customFormat="1" x14ac:dyDescent="0.3">
      <c r="A5822" s="386" t="s">
        <v>8325</v>
      </c>
      <c r="B5822" s="14" t="s">
        <v>8326</v>
      </c>
      <c r="C5822" s="14" t="s">
        <v>11807</v>
      </c>
      <c r="D5822" s="12" t="s">
        <v>11808</v>
      </c>
      <c r="E5822" s="14" t="s">
        <v>12639</v>
      </c>
      <c r="F5822" s="12" t="s">
        <v>12571</v>
      </c>
      <c r="G5822" s="14" t="s">
        <v>12640</v>
      </c>
      <c r="H5822" s="12" t="s">
        <v>12600</v>
      </c>
      <c r="K5822" s="14" t="s">
        <v>12641</v>
      </c>
      <c r="L5822" s="12" t="s">
        <v>12642</v>
      </c>
      <c r="M5822" s="14" t="s">
        <v>12658</v>
      </c>
      <c r="N5822" s="14"/>
      <c r="O5822" s="14"/>
      <c r="P5822" s="404">
        <v>20</v>
      </c>
      <c r="Q5822" s="404">
        <v>20</v>
      </c>
      <c r="R5822" s="404">
        <v>20</v>
      </c>
      <c r="S5822" s="404">
        <v>20</v>
      </c>
      <c r="T5822" s="14" t="s">
        <v>771</v>
      </c>
      <c r="U5822" t="s">
        <v>773</v>
      </c>
      <c r="V5822" s="14" t="s">
        <v>12659</v>
      </c>
      <c r="W5822" s="388"/>
      <c r="X5822" s="388"/>
      <c r="Y5822" s="388"/>
      <c r="Z5822" s="388"/>
      <c r="AA5822" s="388"/>
      <c r="AB5822" s="388"/>
      <c r="AC5822" s="150">
        <v>0</v>
      </c>
      <c r="AD5822" s="150">
        <v>0</v>
      </c>
      <c r="AE5822" s="49">
        <f t="shared" si="211"/>
        <v>0</v>
      </c>
      <c r="AF5822" s="397"/>
      <c r="AG5822" s="17">
        <v>0</v>
      </c>
      <c r="AH5822" s="397">
        <v>0</v>
      </c>
      <c r="AI5822" s="397">
        <v>0.02</v>
      </c>
      <c r="AJ5822" s="397">
        <v>0.02</v>
      </c>
      <c r="AK5822" s="398">
        <v>0</v>
      </c>
      <c r="AL5822" s="398">
        <v>0</v>
      </c>
      <c r="AM5822" s="17">
        <f t="shared" si="210"/>
        <v>0</v>
      </c>
      <c r="AN5822" s="14" t="s">
        <v>771</v>
      </c>
      <c r="AO5822" s="12" t="s">
        <v>773</v>
      </c>
      <c r="AP5822" s="405"/>
      <c r="AQ5822" s="405"/>
      <c r="AR5822" s="405"/>
      <c r="AS5822" s="405"/>
      <c r="AT5822" s="405"/>
      <c r="AX5822" s="402"/>
    </row>
    <row r="5823" spans="1:50" s="12" customFormat="1" x14ac:dyDescent="0.3">
      <c r="A5823" s="386" t="s">
        <v>8325</v>
      </c>
      <c r="B5823" s="14" t="s">
        <v>8326</v>
      </c>
      <c r="C5823" s="14" t="s">
        <v>11807</v>
      </c>
      <c r="D5823" s="12" t="s">
        <v>11808</v>
      </c>
      <c r="E5823" s="14" t="s">
        <v>12639</v>
      </c>
      <c r="F5823" s="12" t="s">
        <v>12571</v>
      </c>
      <c r="G5823" s="14" t="s">
        <v>12640</v>
      </c>
      <c r="H5823" s="12" t="s">
        <v>12600</v>
      </c>
      <c r="K5823" s="14" t="s">
        <v>12641</v>
      </c>
      <c r="L5823" s="12" t="s">
        <v>12642</v>
      </c>
      <c r="M5823" s="14" t="s">
        <v>12660</v>
      </c>
      <c r="N5823" s="14"/>
      <c r="O5823" s="14">
        <v>120</v>
      </c>
      <c r="P5823" s="404">
        <v>120</v>
      </c>
      <c r="Q5823" s="404">
        <v>120</v>
      </c>
      <c r="R5823" s="404">
        <v>120</v>
      </c>
      <c r="S5823" s="404">
        <v>120</v>
      </c>
      <c r="T5823" s="14" t="s">
        <v>771</v>
      </c>
      <c r="U5823" t="s">
        <v>773</v>
      </c>
      <c r="V5823" s="14" t="s">
        <v>12661</v>
      </c>
      <c r="W5823" s="388"/>
      <c r="X5823" s="388"/>
      <c r="Y5823" s="388"/>
      <c r="Z5823" s="388"/>
      <c r="AA5823" s="388"/>
      <c r="AB5823" s="388"/>
      <c r="AC5823" s="150">
        <v>0</v>
      </c>
      <c r="AD5823" s="150">
        <v>0</v>
      </c>
      <c r="AE5823" s="49">
        <f t="shared" si="211"/>
        <v>0</v>
      </c>
      <c r="AF5823" s="397"/>
      <c r="AG5823" s="17">
        <v>0</v>
      </c>
      <c r="AH5823" s="397">
        <v>0.02</v>
      </c>
      <c r="AI5823" s="397">
        <v>0.02</v>
      </c>
      <c r="AJ5823" s="397">
        <v>0.02</v>
      </c>
      <c r="AK5823" s="398">
        <v>0</v>
      </c>
      <c r="AL5823" s="398">
        <v>0</v>
      </c>
      <c r="AM5823" s="17">
        <f t="shared" si="210"/>
        <v>0</v>
      </c>
      <c r="AN5823" s="14" t="s">
        <v>771</v>
      </c>
      <c r="AO5823" s="12" t="s">
        <v>773</v>
      </c>
      <c r="AP5823" s="405"/>
      <c r="AQ5823" s="405"/>
      <c r="AR5823" s="405"/>
      <c r="AS5823" s="405"/>
      <c r="AT5823" s="405"/>
      <c r="AX5823" s="402"/>
    </row>
    <row r="5824" spans="1:50" s="12" customFormat="1" x14ac:dyDescent="0.3">
      <c r="A5824" s="386" t="s">
        <v>8325</v>
      </c>
      <c r="B5824" s="14" t="s">
        <v>8326</v>
      </c>
      <c r="C5824" s="14" t="s">
        <v>11807</v>
      </c>
      <c r="D5824" s="12" t="s">
        <v>11808</v>
      </c>
      <c r="E5824" s="14" t="s">
        <v>12639</v>
      </c>
      <c r="F5824" s="12" t="s">
        <v>12571</v>
      </c>
      <c r="G5824" s="14" t="s">
        <v>12640</v>
      </c>
      <c r="H5824" s="12" t="s">
        <v>12600</v>
      </c>
      <c r="K5824" s="14" t="s">
        <v>12641</v>
      </c>
      <c r="L5824" s="12" t="s">
        <v>12642</v>
      </c>
      <c r="M5824" s="14" t="s">
        <v>12662</v>
      </c>
      <c r="N5824" s="14"/>
      <c r="O5824" s="14"/>
      <c r="P5824" s="404"/>
      <c r="Q5824" s="404">
        <v>8</v>
      </c>
      <c r="R5824" s="404">
        <v>8</v>
      </c>
      <c r="S5824" s="404">
        <v>8</v>
      </c>
      <c r="T5824" s="14" t="s">
        <v>5578</v>
      </c>
      <c r="U5824" t="s">
        <v>880</v>
      </c>
      <c r="V5824" s="14" t="s">
        <v>12663</v>
      </c>
      <c r="W5824" s="388"/>
      <c r="X5824" s="388"/>
      <c r="Y5824" s="388"/>
      <c r="Z5824" s="388"/>
      <c r="AA5824" s="388"/>
      <c r="AB5824" s="388"/>
      <c r="AC5824" s="150">
        <v>0</v>
      </c>
      <c r="AD5824" s="150">
        <v>0</v>
      </c>
      <c r="AE5824" s="49">
        <f t="shared" si="211"/>
        <v>0</v>
      </c>
      <c r="AF5824" s="397"/>
      <c r="AG5824" s="17">
        <v>0</v>
      </c>
      <c r="AH5824" s="397">
        <v>0</v>
      </c>
      <c r="AI5824" s="397">
        <v>0</v>
      </c>
      <c r="AJ5824" s="397">
        <v>0.12</v>
      </c>
      <c r="AK5824" s="398">
        <v>0</v>
      </c>
      <c r="AL5824" s="398">
        <v>0</v>
      </c>
      <c r="AM5824" s="17">
        <f t="shared" si="210"/>
        <v>0</v>
      </c>
      <c r="AN5824" s="14" t="s">
        <v>5578</v>
      </c>
      <c r="AO5824" s="12" t="s">
        <v>880</v>
      </c>
      <c r="AP5824" s="405"/>
      <c r="AQ5824" s="405"/>
      <c r="AR5824" s="405"/>
      <c r="AS5824" s="405"/>
      <c r="AT5824" s="405"/>
      <c r="AX5824" s="402"/>
    </row>
    <row r="5825" spans="1:50" s="14" customFormat="1" x14ac:dyDescent="0.3">
      <c r="A5825" s="386" t="s">
        <v>8325</v>
      </c>
      <c r="B5825" s="14" t="s">
        <v>8326</v>
      </c>
      <c r="C5825" s="14" t="s">
        <v>11714</v>
      </c>
      <c r="D5825" s="14" t="s">
        <v>6838</v>
      </c>
      <c r="E5825" s="14" t="s">
        <v>12570</v>
      </c>
      <c r="F5825" s="12" t="s">
        <v>12571</v>
      </c>
      <c r="G5825" s="14" t="s">
        <v>12599</v>
      </c>
      <c r="H5825" s="12" t="s">
        <v>12600</v>
      </c>
      <c r="K5825" s="14" t="s">
        <v>12664</v>
      </c>
      <c r="L5825" s="12" t="s">
        <v>12665</v>
      </c>
      <c r="M5825" s="14" t="s">
        <v>12666</v>
      </c>
      <c r="N5825" s="400">
        <v>0</v>
      </c>
      <c r="O5825" s="400">
        <v>56</v>
      </c>
      <c r="P5825" s="402">
        <v>60</v>
      </c>
      <c r="Q5825" s="402">
        <v>64</v>
      </c>
      <c r="R5825" s="402">
        <v>80</v>
      </c>
      <c r="S5825" s="402">
        <v>80</v>
      </c>
      <c r="T5825" s="14" t="s">
        <v>11722</v>
      </c>
      <c r="U5825" t="s">
        <v>11723</v>
      </c>
      <c r="V5825" s="14" t="s">
        <v>12667</v>
      </c>
      <c r="W5825" s="388">
        <v>1</v>
      </c>
      <c r="X5825" s="388">
        <v>0</v>
      </c>
      <c r="Y5825" s="388">
        <v>0</v>
      </c>
      <c r="Z5825" s="388">
        <v>1</v>
      </c>
      <c r="AA5825" s="388">
        <v>0</v>
      </c>
      <c r="AB5825" s="388">
        <v>1</v>
      </c>
      <c r="AC5825" s="150">
        <v>1</v>
      </c>
      <c r="AD5825" s="150">
        <v>1</v>
      </c>
      <c r="AE5825" s="49">
        <f t="shared" si="211"/>
        <v>0.625</v>
      </c>
      <c r="AF5825" s="397"/>
      <c r="AG5825" s="17">
        <v>0</v>
      </c>
      <c r="AH5825" s="397">
        <v>0.21</v>
      </c>
      <c r="AI5825" s="397">
        <v>0.22500000000000001</v>
      </c>
      <c r="AJ5825" s="397">
        <v>0.26774999999999999</v>
      </c>
      <c r="AK5825" s="398">
        <v>0</v>
      </c>
      <c r="AL5825" s="398">
        <v>0</v>
      </c>
      <c r="AM5825" s="17">
        <f t="shared" si="210"/>
        <v>0</v>
      </c>
      <c r="AN5825" s="14" t="s">
        <v>11722</v>
      </c>
      <c r="AO5825" s="12" t="s">
        <v>11723</v>
      </c>
      <c r="AP5825" s="399"/>
      <c r="AQ5825" s="400"/>
      <c r="AR5825" s="399"/>
      <c r="AS5825" s="399"/>
      <c r="AT5825" s="399"/>
      <c r="AX5825" s="400"/>
    </row>
    <row r="5826" spans="1:50" s="14" customFormat="1" x14ac:dyDescent="0.3">
      <c r="A5826" s="386" t="s">
        <v>8325</v>
      </c>
      <c r="B5826" s="14" t="s">
        <v>8326</v>
      </c>
      <c r="C5826" s="14" t="s">
        <v>11714</v>
      </c>
      <c r="D5826" s="14" t="s">
        <v>6838</v>
      </c>
      <c r="E5826" s="14" t="s">
        <v>12570</v>
      </c>
      <c r="F5826" s="12" t="s">
        <v>12571</v>
      </c>
      <c r="G5826" s="14" t="s">
        <v>12599</v>
      </c>
      <c r="H5826" s="12" t="s">
        <v>12600</v>
      </c>
      <c r="K5826" s="14" t="s">
        <v>12664</v>
      </c>
      <c r="L5826" s="12" t="s">
        <v>12665</v>
      </c>
      <c r="M5826" s="14" t="s">
        <v>12668</v>
      </c>
      <c r="N5826" s="400">
        <v>0</v>
      </c>
      <c r="O5826" s="400">
        <v>0</v>
      </c>
      <c r="P5826" s="402">
        <v>416</v>
      </c>
      <c r="Q5826" s="402">
        <v>416</v>
      </c>
      <c r="R5826" s="402">
        <v>416</v>
      </c>
      <c r="S5826" s="402">
        <v>416</v>
      </c>
      <c r="T5826" s="14" t="s">
        <v>11722</v>
      </c>
      <c r="U5826" t="s">
        <v>11723</v>
      </c>
      <c r="V5826" s="14" t="s">
        <v>12669</v>
      </c>
      <c r="W5826" s="388">
        <v>1</v>
      </c>
      <c r="X5826" s="388">
        <v>0</v>
      </c>
      <c r="Y5826" s="388">
        <v>0</v>
      </c>
      <c r="Z5826" s="388">
        <v>1</v>
      </c>
      <c r="AA5826" s="388">
        <v>0</v>
      </c>
      <c r="AB5826" s="388">
        <v>1</v>
      </c>
      <c r="AC5826" s="150">
        <v>1</v>
      </c>
      <c r="AD5826" s="150">
        <v>1</v>
      </c>
      <c r="AE5826" s="49">
        <f t="shared" si="211"/>
        <v>0.625</v>
      </c>
      <c r="AF5826" s="397"/>
      <c r="AG5826" s="17">
        <v>0</v>
      </c>
      <c r="AH5826" s="397">
        <v>1.456</v>
      </c>
      <c r="AI5826" s="397">
        <v>1.456</v>
      </c>
      <c r="AJ5826" s="397">
        <v>1.5287999999999999</v>
      </c>
      <c r="AK5826" s="398">
        <v>0</v>
      </c>
      <c r="AL5826" s="398">
        <v>0</v>
      </c>
      <c r="AM5826" s="17">
        <f t="shared" si="210"/>
        <v>0</v>
      </c>
      <c r="AN5826" s="14" t="s">
        <v>11722</v>
      </c>
      <c r="AO5826" s="12" t="s">
        <v>11723</v>
      </c>
      <c r="AP5826" s="399"/>
      <c r="AQ5826" s="400"/>
      <c r="AR5826" s="399"/>
      <c r="AS5826" s="399"/>
      <c r="AT5826" s="399"/>
      <c r="AX5826" s="400"/>
    </row>
    <row r="5827" spans="1:50" s="14" customFormat="1" x14ac:dyDescent="0.3">
      <c r="A5827" s="386" t="s">
        <v>8325</v>
      </c>
      <c r="B5827" s="14" t="s">
        <v>8326</v>
      </c>
      <c r="C5827" s="14" t="s">
        <v>11714</v>
      </c>
      <c r="D5827" s="14" t="s">
        <v>6838</v>
      </c>
      <c r="E5827" s="14" t="s">
        <v>12570</v>
      </c>
      <c r="F5827" s="12" t="s">
        <v>12571</v>
      </c>
      <c r="G5827" s="14" t="s">
        <v>12599</v>
      </c>
      <c r="H5827" s="12" t="s">
        <v>12600</v>
      </c>
      <c r="K5827" s="14" t="s">
        <v>12664</v>
      </c>
      <c r="L5827" s="12" t="s">
        <v>12665</v>
      </c>
      <c r="M5827" s="14" t="s">
        <v>12670</v>
      </c>
      <c r="N5827" s="400">
        <v>0</v>
      </c>
      <c r="O5827" s="400">
        <v>0</v>
      </c>
      <c r="P5827" s="402">
        <v>36</v>
      </c>
      <c r="Q5827" s="402">
        <v>36</v>
      </c>
      <c r="R5827" s="402">
        <v>36</v>
      </c>
      <c r="S5827" s="402">
        <v>36</v>
      </c>
      <c r="T5827" s="14" t="s">
        <v>11722</v>
      </c>
      <c r="U5827" t="s">
        <v>11723</v>
      </c>
      <c r="V5827" s="14" t="s">
        <v>12671</v>
      </c>
      <c r="W5827" s="388">
        <v>1</v>
      </c>
      <c r="X5827" s="388">
        <v>0</v>
      </c>
      <c r="Y5827" s="388">
        <v>0</v>
      </c>
      <c r="Z5827" s="388">
        <v>1</v>
      </c>
      <c r="AA5827" s="388">
        <v>1</v>
      </c>
      <c r="AB5827" s="388">
        <v>1</v>
      </c>
      <c r="AC5827" s="150">
        <v>1</v>
      </c>
      <c r="AD5827" s="150">
        <v>1</v>
      </c>
      <c r="AE5827" s="49">
        <f t="shared" si="211"/>
        <v>0.75</v>
      </c>
      <c r="AF5827" s="397"/>
      <c r="AG5827" s="17">
        <v>0</v>
      </c>
      <c r="AH5827" s="397">
        <v>0.25900000000000001</v>
      </c>
      <c r="AI5827" s="397">
        <v>0.27750000000000002</v>
      </c>
      <c r="AJ5827" s="397">
        <v>0.33022499999999999</v>
      </c>
      <c r="AK5827" s="398">
        <v>4.3200000000000002E-2</v>
      </c>
      <c r="AL5827" s="398">
        <v>4.3200000000000002E-2</v>
      </c>
      <c r="AM5827" s="17">
        <f t="shared" si="210"/>
        <v>8.6400000000000005E-2</v>
      </c>
      <c r="AN5827" s="14" t="s">
        <v>11722</v>
      </c>
      <c r="AO5827" s="12" t="s">
        <v>11723</v>
      </c>
      <c r="AP5827" s="399"/>
      <c r="AQ5827" s="400"/>
      <c r="AR5827" s="399"/>
      <c r="AS5827" s="399"/>
      <c r="AT5827" s="399"/>
      <c r="AX5827" s="400"/>
    </row>
    <row r="5828" spans="1:50" s="14" customFormat="1" x14ac:dyDescent="0.3">
      <c r="A5828" s="386" t="s">
        <v>8325</v>
      </c>
      <c r="B5828" s="14" t="s">
        <v>8326</v>
      </c>
      <c r="C5828" s="14" t="s">
        <v>11714</v>
      </c>
      <c r="D5828" s="14" t="s">
        <v>6838</v>
      </c>
      <c r="E5828" s="14" t="s">
        <v>12570</v>
      </c>
      <c r="F5828" s="12" t="s">
        <v>12571</v>
      </c>
      <c r="G5828" s="14" t="s">
        <v>12599</v>
      </c>
      <c r="H5828" s="12" t="s">
        <v>12600</v>
      </c>
      <c r="K5828" s="14" t="s">
        <v>12664</v>
      </c>
      <c r="L5828" s="12" t="s">
        <v>12665</v>
      </c>
      <c r="M5828" s="14" t="s">
        <v>12672</v>
      </c>
      <c r="N5828" s="400">
        <v>6</v>
      </c>
      <c r="O5828" s="400">
        <v>11</v>
      </c>
      <c r="P5828" s="402">
        <v>56</v>
      </c>
      <c r="Q5828" s="402">
        <v>56</v>
      </c>
      <c r="R5828" s="402">
        <v>56</v>
      </c>
      <c r="S5828" s="402">
        <v>56</v>
      </c>
      <c r="T5828" s="14" t="s">
        <v>11722</v>
      </c>
      <c r="U5828" t="s">
        <v>11723</v>
      </c>
      <c r="V5828" s="14" t="s">
        <v>12673</v>
      </c>
      <c r="W5828" s="388">
        <v>1</v>
      </c>
      <c r="X5828" s="388">
        <v>0</v>
      </c>
      <c r="Y5828" s="388">
        <v>0</v>
      </c>
      <c r="Z5828" s="388">
        <v>1</v>
      </c>
      <c r="AA5828" s="388">
        <v>0</v>
      </c>
      <c r="AB5828" s="388">
        <v>1</v>
      </c>
      <c r="AC5828" s="150">
        <v>1</v>
      </c>
      <c r="AD5828" s="150">
        <v>1</v>
      </c>
      <c r="AE5828" s="49">
        <f t="shared" si="211"/>
        <v>0.625</v>
      </c>
      <c r="AF5828" s="397"/>
      <c r="AG5828" s="17">
        <v>0</v>
      </c>
      <c r="AH5828" s="397">
        <v>0.44</v>
      </c>
      <c r="AI5828" s="397">
        <v>2.2400000000000002</v>
      </c>
      <c r="AJ5828" s="397">
        <v>2.3519999999999999</v>
      </c>
      <c r="AK5828" s="398">
        <v>0</v>
      </c>
      <c r="AL5828" s="398">
        <v>0</v>
      </c>
      <c r="AM5828" s="17">
        <f t="shared" si="210"/>
        <v>0</v>
      </c>
      <c r="AN5828" s="14" t="s">
        <v>11722</v>
      </c>
      <c r="AO5828" s="12" t="s">
        <v>11723</v>
      </c>
      <c r="AP5828" s="399"/>
      <c r="AQ5828" s="400"/>
      <c r="AR5828" s="399"/>
      <c r="AS5828" s="399"/>
      <c r="AT5828" s="399"/>
      <c r="AX5828" s="400"/>
    </row>
    <row r="5829" spans="1:50" s="14" customFormat="1" x14ac:dyDescent="0.3">
      <c r="A5829" s="386" t="s">
        <v>8325</v>
      </c>
      <c r="B5829" s="14" t="s">
        <v>8326</v>
      </c>
      <c r="C5829" s="14" t="s">
        <v>11905</v>
      </c>
      <c r="D5829" s="14" t="s">
        <v>11906</v>
      </c>
      <c r="E5829" s="14" t="s">
        <v>12674</v>
      </c>
      <c r="F5829" s="12" t="s">
        <v>12571</v>
      </c>
      <c r="G5829" s="14" t="s">
        <v>12675</v>
      </c>
      <c r="H5829" s="12" t="s">
        <v>12676</v>
      </c>
      <c r="K5829" s="14" t="s">
        <v>12677</v>
      </c>
      <c r="L5829" s="12" t="s">
        <v>12678</v>
      </c>
      <c r="M5829" s="14" t="s">
        <v>12679</v>
      </c>
      <c r="N5829" s="14">
        <v>206</v>
      </c>
      <c r="O5829" s="14">
        <v>21</v>
      </c>
      <c r="P5829" s="12">
        <v>80</v>
      </c>
      <c r="Q5829" s="12">
        <v>215</v>
      </c>
      <c r="R5829" s="12">
        <v>220</v>
      </c>
      <c r="S5829" s="12">
        <v>215</v>
      </c>
      <c r="T5829" s="14" t="s">
        <v>11722</v>
      </c>
      <c r="U5829" t="s">
        <v>11723</v>
      </c>
      <c r="V5829" s="14" t="s">
        <v>12680</v>
      </c>
      <c r="W5829" s="388">
        <v>1</v>
      </c>
      <c r="X5829" s="388">
        <v>1</v>
      </c>
      <c r="Y5829" s="388">
        <v>0</v>
      </c>
      <c r="Z5829" s="388">
        <v>1</v>
      </c>
      <c r="AA5829" s="388">
        <v>1</v>
      </c>
      <c r="AB5829" s="388">
        <v>1</v>
      </c>
      <c r="AC5829" s="150">
        <v>0</v>
      </c>
      <c r="AD5829" s="150">
        <v>1</v>
      </c>
      <c r="AE5829" s="49">
        <f t="shared" si="211"/>
        <v>0.75</v>
      </c>
      <c r="AF5829" s="397"/>
      <c r="AG5829" s="17">
        <v>0</v>
      </c>
      <c r="AH5829" s="397">
        <v>6.1246080000000003</v>
      </c>
      <c r="AI5829" s="397">
        <v>23</v>
      </c>
      <c r="AJ5829" s="397">
        <v>43.05</v>
      </c>
      <c r="AK5829" s="398">
        <v>0</v>
      </c>
      <c r="AL5829" s="398">
        <v>0</v>
      </c>
      <c r="AM5829" s="17">
        <f t="shared" si="210"/>
        <v>0</v>
      </c>
      <c r="AN5829" s="14" t="s">
        <v>11722</v>
      </c>
      <c r="AO5829" s="12" t="s">
        <v>11723</v>
      </c>
      <c r="AP5829" s="399"/>
      <c r="AQ5829" s="400"/>
      <c r="AR5829" s="399"/>
      <c r="AS5829" s="399"/>
      <c r="AT5829" s="399"/>
      <c r="AX5829" s="400"/>
    </row>
    <row r="5830" spans="1:50" s="14" customFormat="1" x14ac:dyDescent="0.3">
      <c r="A5830" s="386" t="s">
        <v>8325</v>
      </c>
      <c r="B5830" s="14" t="s">
        <v>8326</v>
      </c>
      <c r="C5830" s="14" t="s">
        <v>11714</v>
      </c>
      <c r="D5830" s="14" t="s">
        <v>6838</v>
      </c>
      <c r="E5830" s="14" t="s">
        <v>12570</v>
      </c>
      <c r="F5830" s="12" t="s">
        <v>12571</v>
      </c>
      <c r="G5830" s="14" t="s">
        <v>12681</v>
      </c>
      <c r="H5830" s="12" t="s">
        <v>12676</v>
      </c>
      <c r="K5830" s="14" t="s">
        <v>12682</v>
      </c>
      <c r="L5830" s="12" t="s">
        <v>12678</v>
      </c>
      <c r="M5830" s="14" t="s">
        <v>1597</v>
      </c>
      <c r="N5830" s="400">
        <v>15</v>
      </c>
      <c r="O5830" s="400">
        <v>0</v>
      </c>
      <c r="P5830" s="403">
        <v>2</v>
      </c>
      <c r="Q5830" s="403">
        <v>7</v>
      </c>
      <c r="R5830" s="403">
        <v>9</v>
      </c>
      <c r="S5830" s="403">
        <v>12</v>
      </c>
      <c r="T5830" s="14" t="s">
        <v>1588</v>
      </c>
      <c r="U5830" t="s">
        <v>1590</v>
      </c>
      <c r="V5830" s="14" t="s">
        <v>12680</v>
      </c>
      <c r="W5830" s="388"/>
      <c r="X5830" s="388"/>
      <c r="Y5830" s="388"/>
      <c r="Z5830" s="388"/>
      <c r="AA5830" s="388"/>
      <c r="AB5830" s="388"/>
      <c r="AC5830" s="150">
        <v>0</v>
      </c>
      <c r="AD5830" s="150">
        <v>0</v>
      </c>
      <c r="AE5830" s="49">
        <f t="shared" si="211"/>
        <v>0</v>
      </c>
      <c r="AF5830" s="397"/>
      <c r="AG5830" s="17">
        <v>0</v>
      </c>
      <c r="AH5830" s="397">
        <v>0</v>
      </c>
      <c r="AI5830" s="397">
        <v>0.5</v>
      </c>
      <c r="AJ5830" s="397">
        <v>1.75</v>
      </c>
      <c r="AK5830" s="398">
        <v>0.3</v>
      </c>
      <c r="AL5830" s="398">
        <v>0.3</v>
      </c>
      <c r="AM5830" s="17">
        <f t="shared" si="210"/>
        <v>0.6</v>
      </c>
      <c r="AN5830" s="14" t="s">
        <v>1588</v>
      </c>
      <c r="AO5830" s="12" t="s">
        <v>1590</v>
      </c>
      <c r="AP5830" s="399"/>
      <c r="AQ5830" s="400"/>
      <c r="AR5830" s="399"/>
      <c r="AS5830" s="399"/>
      <c r="AT5830" s="399"/>
      <c r="AX5830" s="400"/>
    </row>
    <row r="5831" spans="1:50" s="14" customFormat="1" x14ac:dyDescent="0.3">
      <c r="A5831" s="386" t="s">
        <v>8325</v>
      </c>
      <c r="B5831" s="14" t="s">
        <v>8326</v>
      </c>
      <c r="C5831" s="14" t="s">
        <v>11905</v>
      </c>
      <c r="D5831" s="14" t="s">
        <v>11906</v>
      </c>
      <c r="E5831" s="14" t="s">
        <v>12674</v>
      </c>
      <c r="F5831" s="12" t="s">
        <v>12571</v>
      </c>
      <c r="G5831" s="14" t="s">
        <v>12675</v>
      </c>
      <c r="H5831" s="12" t="s">
        <v>12676</v>
      </c>
      <c r="K5831" s="14" t="s">
        <v>12677</v>
      </c>
      <c r="L5831" s="12" t="s">
        <v>12678</v>
      </c>
      <c r="M5831" s="14" t="s">
        <v>12683</v>
      </c>
      <c r="N5831" s="14">
        <v>43</v>
      </c>
      <c r="O5831" s="14">
        <v>3</v>
      </c>
      <c r="P5831" s="12">
        <v>50</v>
      </c>
      <c r="Q5831" s="12">
        <v>100</v>
      </c>
      <c r="R5831" s="12">
        <v>100</v>
      </c>
      <c r="S5831" s="12">
        <v>100</v>
      </c>
      <c r="T5831" s="14" t="s">
        <v>11722</v>
      </c>
      <c r="U5831" t="s">
        <v>11723</v>
      </c>
      <c r="V5831" s="14" t="s">
        <v>12684</v>
      </c>
      <c r="W5831" s="388">
        <v>1</v>
      </c>
      <c r="X5831" s="388">
        <v>1</v>
      </c>
      <c r="Y5831" s="388">
        <v>0</v>
      </c>
      <c r="Z5831" s="388">
        <v>1</v>
      </c>
      <c r="AA5831" s="388">
        <v>1</v>
      </c>
      <c r="AB5831" s="388">
        <v>1</v>
      </c>
      <c r="AC5831" s="150">
        <v>0</v>
      </c>
      <c r="AD5831" s="150">
        <v>1</v>
      </c>
      <c r="AE5831" s="49">
        <f t="shared" si="211"/>
        <v>0.75</v>
      </c>
      <c r="AF5831" s="397"/>
      <c r="AG5831" s="17">
        <v>0</v>
      </c>
      <c r="AH5831" s="397">
        <v>0</v>
      </c>
      <c r="AI5831" s="397">
        <v>0.85</v>
      </c>
      <c r="AJ5831" s="397">
        <v>1.7849999999999999</v>
      </c>
      <c r="AK5831" s="398">
        <v>0</v>
      </c>
      <c r="AL5831" s="398">
        <v>0</v>
      </c>
      <c r="AM5831" s="17">
        <f t="shared" si="210"/>
        <v>0</v>
      </c>
      <c r="AN5831" s="14" t="s">
        <v>11722</v>
      </c>
      <c r="AO5831" s="12" t="s">
        <v>11723</v>
      </c>
      <c r="AP5831" s="399"/>
      <c r="AQ5831" s="400"/>
      <c r="AR5831" s="399"/>
      <c r="AS5831" s="399"/>
      <c r="AT5831" s="399"/>
      <c r="AX5831" s="400"/>
    </row>
    <row r="5832" spans="1:50" s="14" customFormat="1" x14ac:dyDescent="0.3">
      <c r="A5832" s="386" t="s">
        <v>8325</v>
      </c>
      <c r="B5832" s="14" t="s">
        <v>8326</v>
      </c>
      <c r="C5832" s="14" t="s">
        <v>11905</v>
      </c>
      <c r="D5832" s="14" t="s">
        <v>11906</v>
      </c>
      <c r="E5832" s="14" t="s">
        <v>12674</v>
      </c>
      <c r="F5832" s="12" t="s">
        <v>12571</v>
      </c>
      <c r="G5832" s="14" t="s">
        <v>12675</v>
      </c>
      <c r="H5832" s="12" t="s">
        <v>12676</v>
      </c>
      <c r="K5832" s="14" t="s">
        <v>12677</v>
      </c>
      <c r="L5832" s="12" t="s">
        <v>12678</v>
      </c>
      <c r="M5832" s="14" t="s">
        <v>12685</v>
      </c>
      <c r="N5832" s="418">
        <v>0</v>
      </c>
      <c r="O5832" s="418">
        <v>0</v>
      </c>
      <c r="P5832" s="401">
        <v>0</v>
      </c>
      <c r="Q5832" s="12">
        <v>1</v>
      </c>
      <c r="R5832" s="12">
        <v>1</v>
      </c>
      <c r="S5832" s="12">
        <v>1</v>
      </c>
      <c r="T5832" s="14" t="s">
        <v>11722</v>
      </c>
      <c r="U5832" t="s">
        <v>11723</v>
      </c>
      <c r="V5832" s="14" t="s">
        <v>12686</v>
      </c>
      <c r="W5832" s="388">
        <v>1</v>
      </c>
      <c r="X5832" s="388">
        <v>1</v>
      </c>
      <c r="Y5832" s="388">
        <v>0</v>
      </c>
      <c r="Z5832" s="388">
        <v>1</v>
      </c>
      <c r="AA5832" s="388">
        <v>1</v>
      </c>
      <c r="AB5832" s="388">
        <v>1</v>
      </c>
      <c r="AC5832" s="150">
        <v>0</v>
      </c>
      <c r="AD5832" s="150">
        <v>1</v>
      </c>
      <c r="AE5832" s="49">
        <f t="shared" si="211"/>
        <v>0.75</v>
      </c>
      <c r="AF5832" s="397"/>
      <c r="AG5832" s="17">
        <v>0</v>
      </c>
      <c r="AH5832" s="397">
        <v>0</v>
      </c>
      <c r="AI5832" s="397">
        <v>0</v>
      </c>
      <c r="AJ5832" s="397">
        <v>0.315</v>
      </c>
      <c r="AK5832" s="398">
        <v>0</v>
      </c>
      <c r="AL5832" s="398">
        <v>0</v>
      </c>
      <c r="AM5832" s="17">
        <f t="shared" si="210"/>
        <v>0</v>
      </c>
      <c r="AN5832" s="14" t="s">
        <v>11722</v>
      </c>
      <c r="AO5832" s="12" t="s">
        <v>11723</v>
      </c>
      <c r="AP5832" s="399"/>
      <c r="AQ5832" s="400"/>
      <c r="AR5832" s="399"/>
      <c r="AS5832" s="399"/>
      <c r="AT5832" s="399"/>
      <c r="AX5832" s="400"/>
    </row>
    <row r="5833" spans="1:50" s="12" customFormat="1" x14ac:dyDescent="0.3">
      <c r="A5833" s="386" t="s">
        <v>8325</v>
      </c>
      <c r="B5833" s="14" t="s">
        <v>8326</v>
      </c>
      <c r="C5833" s="14" t="s">
        <v>11714</v>
      </c>
      <c r="D5833" s="12" t="s">
        <v>6838</v>
      </c>
      <c r="E5833" s="14" t="s">
        <v>12570</v>
      </c>
      <c r="F5833" s="12" t="s">
        <v>12571</v>
      </c>
      <c r="G5833" s="14" t="s">
        <v>12681</v>
      </c>
      <c r="H5833" s="12" t="s">
        <v>12676</v>
      </c>
      <c r="K5833" s="14" t="s">
        <v>12682</v>
      </c>
      <c r="L5833" s="12" t="s">
        <v>12678</v>
      </c>
      <c r="M5833" s="14" t="s">
        <v>12687</v>
      </c>
      <c r="N5833" s="14"/>
      <c r="O5833" s="14">
        <v>60</v>
      </c>
      <c r="P5833" s="12">
        <v>60</v>
      </c>
      <c r="Q5833" s="12">
        <v>60</v>
      </c>
      <c r="R5833" s="12">
        <v>60</v>
      </c>
      <c r="S5833" s="12">
        <v>60</v>
      </c>
      <c r="T5833" s="14" t="s">
        <v>771</v>
      </c>
      <c r="U5833" t="s">
        <v>773</v>
      </c>
      <c r="V5833" s="14" t="s">
        <v>12688</v>
      </c>
      <c r="W5833" s="388"/>
      <c r="X5833" s="388"/>
      <c r="Y5833" s="388"/>
      <c r="Z5833" s="388"/>
      <c r="AA5833" s="388"/>
      <c r="AB5833" s="388"/>
      <c r="AC5833" s="150">
        <v>0</v>
      </c>
      <c r="AD5833" s="150">
        <v>0</v>
      </c>
      <c r="AE5833" s="49">
        <f t="shared" si="211"/>
        <v>0</v>
      </c>
      <c r="AF5833" s="397"/>
      <c r="AG5833" s="17">
        <v>0</v>
      </c>
      <c r="AH5833" s="397">
        <v>1</v>
      </c>
      <c r="AI5833" s="397">
        <v>1</v>
      </c>
      <c r="AJ5833" s="397">
        <v>1</v>
      </c>
      <c r="AK5833" s="398">
        <v>0</v>
      </c>
      <c r="AL5833" s="398">
        <v>0</v>
      </c>
      <c r="AM5833" s="17">
        <f t="shared" si="210"/>
        <v>0</v>
      </c>
      <c r="AN5833" s="14" t="s">
        <v>771</v>
      </c>
      <c r="AO5833" s="12" t="s">
        <v>773</v>
      </c>
      <c r="AP5833" s="405"/>
      <c r="AQ5833" s="400"/>
      <c r="AR5833" s="405"/>
      <c r="AS5833" s="405"/>
      <c r="AT5833" s="405"/>
      <c r="AX5833" s="402"/>
    </row>
    <row r="5834" spans="1:50" s="14" customFormat="1" x14ac:dyDescent="0.3">
      <c r="A5834" s="386" t="s">
        <v>8325</v>
      </c>
      <c r="B5834" s="14" t="s">
        <v>8326</v>
      </c>
      <c r="C5834" s="14" t="s">
        <v>11714</v>
      </c>
      <c r="D5834" s="14" t="s">
        <v>6838</v>
      </c>
      <c r="E5834" s="14" t="s">
        <v>12570</v>
      </c>
      <c r="F5834" s="12" t="s">
        <v>12571</v>
      </c>
      <c r="G5834" s="14" t="s">
        <v>12681</v>
      </c>
      <c r="H5834" s="12" t="s">
        <v>12676</v>
      </c>
      <c r="K5834" s="14" t="s">
        <v>12689</v>
      </c>
      <c r="L5834" s="12" t="s">
        <v>12690</v>
      </c>
      <c r="M5834" s="14" t="s">
        <v>12691</v>
      </c>
      <c r="P5834" s="21">
        <v>18</v>
      </c>
      <c r="Q5834" s="21">
        <v>18</v>
      </c>
      <c r="R5834" s="21">
        <v>18</v>
      </c>
      <c r="S5834" s="21">
        <v>18</v>
      </c>
      <c r="T5834" s="14" t="s">
        <v>11722</v>
      </c>
      <c r="U5834" t="s">
        <v>11723</v>
      </c>
      <c r="V5834" s="14" t="s">
        <v>12692</v>
      </c>
      <c r="W5834" s="388">
        <v>1</v>
      </c>
      <c r="X5834" s="388">
        <v>1</v>
      </c>
      <c r="Y5834" s="388">
        <v>0</v>
      </c>
      <c r="Z5834" s="388">
        <v>1</v>
      </c>
      <c r="AA5834" s="388">
        <v>1</v>
      </c>
      <c r="AB5834" s="388">
        <v>0</v>
      </c>
      <c r="AC5834" s="150">
        <v>0</v>
      </c>
      <c r="AD5834" s="150">
        <v>1</v>
      </c>
      <c r="AE5834" s="49">
        <f t="shared" si="211"/>
        <v>0.625</v>
      </c>
      <c r="AF5834" s="397"/>
      <c r="AG5834" s="17">
        <v>0</v>
      </c>
      <c r="AH5834" s="397">
        <v>1.02</v>
      </c>
      <c r="AI5834" s="397">
        <v>1.02</v>
      </c>
      <c r="AJ5834" s="397">
        <v>1.071</v>
      </c>
      <c r="AK5834" s="398">
        <v>0.33979999999999999</v>
      </c>
      <c r="AL5834" s="398">
        <v>0.33979999999999999</v>
      </c>
      <c r="AM5834" s="17">
        <f t="shared" si="210"/>
        <v>0.67959999999999998</v>
      </c>
      <c r="AN5834" s="14" t="s">
        <v>11722</v>
      </c>
      <c r="AO5834" s="12" t="s">
        <v>11723</v>
      </c>
      <c r="AP5834" s="399"/>
      <c r="AQ5834" s="400"/>
      <c r="AR5834" s="399"/>
      <c r="AS5834" s="399"/>
      <c r="AT5834" s="399"/>
      <c r="AX5834" s="400"/>
    </row>
    <row r="5835" spans="1:50" s="14" customFormat="1" x14ac:dyDescent="0.3">
      <c r="A5835" s="386" t="s">
        <v>8325</v>
      </c>
      <c r="B5835" s="14" t="s">
        <v>8326</v>
      </c>
      <c r="C5835" s="14" t="s">
        <v>11714</v>
      </c>
      <c r="D5835" s="14" t="s">
        <v>6838</v>
      </c>
      <c r="E5835" s="14" t="s">
        <v>12570</v>
      </c>
      <c r="F5835" s="12" t="s">
        <v>12571</v>
      </c>
      <c r="G5835" s="14" t="s">
        <v>12681</v>
      </c>
      <c r="H5835" s="12" t="s">
        <v>12676</v>
      </c>
      <c r="K5835" s="14" t="s">
        <v>12689</v>
      </c>
      <c r="L5835" s="12" t="s">
        <v>12690</v>
      </c>
      <c r="M5835" s="469" t="s">
        <v>12693</v>
      </c>
      <c r="N5835" s="470"/>
      <c r="O5835" s="470"/>
      <c r="P5835" s="471"/>
      <c r="Q5835" s="471">
        <v>30</v>
      </c>
      <c r="R5835" s="471">
        <v>20</v>
      </c>
      <c r="S5835" s="471">
        <v>10</v>
      </c>
      <c r="T5835" s="14" t="s">
        <v>1588</v>
      </c>
      <c r="U5835" t="s">
        <v>1590</v>
      </c>
      <c r="V5835" s="14" t="s">
        <v>12694</v>
      </c>
      <c r="W5835" s="388"/>
      <c r="X5835" s="388"/>
      <c r="Y5835" s="388"/>
      <c r="Z5835" s="388"/>
      <c r="AA5835" s="388"/>
      <c r="AB5835" s="388"/>
      <c r="AC5835" s="150">
        <v>0</v>
      </c>
      <c r="AD5835" s="150">
        <v>0</v>
      </c>
      <c r="AE5835" s="49">
        <f t="shared" si="211"/>
        <v>0</v>
      </c>
      <c r="AF5835" s="397"/>
      <c r="AG5835" s="17">
        <v>0</v>
      </c>
      <c r="AH5835" s="397">
        <v>0.05</v>
      </c>
      <c r="AI5835" s="397">
        <v>0</v>
      </c>
      <c r="AJ5835" s="397">
        <v>0.16</v>
      </c>
      <c r="AK5835" s="398">
        <v>4.9000000000000002E-2</v>
      </c>
      <c r="AL5835" s="398">
        <v>4.9000000000000002E-2</v>
      </c>
      <c r="AM5835" s="17">
        <f t="shared" si="210"/>
        <v>9.8000000000000004E-2</v>
      </c>
      <c r="AN5835" s="14" t="s">
        <v>1588</v>
      </c>
      <c r="AO5835" s="12" t="s">
        <v>1590</v>
      </c>
      <c r="AP5835" s="399"/>
      <c r="AQ5835" s="400"/>
      <c r="AR5835" s="399"/>
      <c r="AS5835" s="399"/>
      <c r="AT5835" s="399"/>
      <c r="AX5835" s="400"/>
    </row>
    <row r="5836" spans="1:50" s="14" customFormat="1" x14ac:dyDescent="0.3">
      <c r="A5836" s="386" t="s">
        <v>8325</v>
      </c>
      <c r="B5836" s="14" t="s">
        <v>8326</v>
      </c>
      <c r="C5836" s="14" t="s">
        <v>11714</v>
      </c>
      <c r="D5836" s="14" t="s">
        <v>6838</v>
      </c>
      <c r="E5836" s="14" t="s">
        <v>12570</v>
      </c>
      <c r="F5836" s="12" t="s">
        <v>12571</v>
      </c>
      <c r="G5836" s="14" t="s">
        <v>12681</v>
      </c>
      <c r="H5836" s="12" t="s">
        <v>12676</v>
      </c>
      <c r="K5836" s="14" t="s">
        <v>12689</v>
      </c>
      <c r="L5836" s="12" t="s">
        <v>12690</v>
      </c>
      <c r="M5836" s="469"/>
      <c r="N5836" s="470"/>
      <c r="O5836" s="470"/>
      <c r="P5836" s="471"/>
      <c r="Q5836" s="471"/>
      <c r="R5836" s="471"/>
      <c r="S5836" s="471"/>
      <c r="T5836" s="14" t="s">
        <v>1588</v>
      </c>
      <c r="U5836" t="s">
        <v>1590</v>
      </c>
      <c r="V5836" s="14" t="s">
        <v>12695</v>
      </c>
      <c r="W5836" s="388"/>
      <c r="X5836" s="388"/>
      <c r="Y5836" s="388"/>
      <c r="Z5836" s="388"/>
      <c r="AA5836" s="388"/>
      <c r="AB5836" s="388"/>
      <c r="AC5836" s="150">
        <v>0</v>
      </c>
      <c r="AD5836" s="150">
        <v>0</v>
      </c>
      <c r="AE5836" s="49">
        <f t="shared" si="211"/>
        <v>0</v>
      </c>
      <c r="AF5836" s="397"/>
      <c r="AG5836" s="17">
        <v>0</v>
      </c>
      <c r="AH5836" s="397">
        <v>0</v>
      </c>
      <c r="AI5836" s="397">
        <v>0</v>
      </c>
      <c r="AJ5836" s="397">
        <v>0.2</v>
      </c>
      <c r="AK5836" s="398">
        <v>0.03</v>
      </c>
      <c r="AL5836" s="398">
        <v>0.03</v>
      </c>
      <c r="AM5836" s="17">
        <f t="shared" si="210"/>
        <v>0.06</v>
      </c>
      <c r="AN5836" s="14" t="s">
        <v>1588</v>
      </c>
      <c r="AO5836" s="12" t="s">
        <v>1590</v>
      </c>
      <c r="AP5836" s="399"/>
      <c r="AQ5836" s="400"/>
      <c r="AR5836" s="399"/>
      <c r="AS5836" s="399"/>
      <c r="AT5836" s="399"/>
      <c r="AX5836" s="400"/>
    </row>
    <row r="5837" spans="1:50" s="14" customFormat="1" x14ac:dyDescent="0.3">
      <c r="A5837" s="386" t="s">
        <v>8325</v>
      </c>
      <c r="B5837" s="14" t="s">
        <v>8326</v>
      </c>
      <c r="C5837" s="14" t="s">
        <v>11714</v>
      </c>
      <c r="D5837" s="14" t="s">
        <v>6838</v>
      </c>
      <c r="E5837" s="14" t="s">
        <v>12570</v>
      </c>
      <c r="F5837" s="12" t="s">
        <v>12571</v>
      </c>
      <c r="G5837" s="14" t="s">
        <v>12681</v>
      </c>
      <c r="H5837" s="12" t="s">
        <v>12676</v>
      </c>
      <c r="K5837" s="14" t="s">
        <v>12689</v>
      </c>
      <c r="L5837" s="12" t="s">
        <v>12690</v>
      </c>
      <c r="M5837" s="14" t="s">
        <v>12696</v>
      </c>
      <c r="N5837" s="400"/>
      <c r="O5837" s="400"/>
      <c r="P5837" s="402"/>
      <c r="Q5837" s="402">
        <v>100</v>
      </c>
      <c r="R5837" s="402">
        <v>100</v>
      </c>
      <c r="S5837" s="402">
        <v>100</v>
      </c>
      <c r="T5837" s="14" t="s">
        <v>11865</v>
      </c>
      <c r="U5837" t="s">
        <v>11866</v>
      </c>
      <c r="V5837" s="14" t="s">
        <v>12697</v>
      </c>
      <c r="W5837" s="388"/>
      <c r="X5837" s="388"/>
      <c r="Y5837" s="388"/>
      <c r="Z5837" s="388"/>
      <c r="AA5837" s="388"/>
      <c r="AB5837" s="388"/>
      <c r="AC5837" s="150">
        <v>0</v>
      </c>
      <c r="AD5837" s="150">
        <v>0</v>
      </c>
      <c r="AE5837" s="49">
        <f t="shared" si="211"/>
        <v>0</v>
      </c>
      <c r="AF5837" s="397"/>
      <c r="AG5837" s="17">
        <v>0</v>
      </c>
      <c r="AH5837" s="397"/>
      <c r="AI5837" s="397"/>
      <c r="AJ5837" s="397">
        <v>0.6</v>
      </c>
      <c r="AK5837" s="398">
        <v>0</v>
      </c>
      <c r="AL5837" s="398">
        <v>0</v>
      </c>
      <c r="AM5837" s="17">
        <f t="shared" si="210"/>
        <v>0</v>
      </c>
      <c r="AN5837" s="14" t="s">
        <v>11865</v>
      </c>
      <c r="AO5837" s="12" t="s">
        <v>11866</v>
      </c>
      <c r="AP5837" s="399"/>
      <c r="AQ5837" s="400"/>
      <c r="AR5837" s="399"/>
      <c r="AS5837" s="399"/>
      <c r="AT5837" s="399"/>
      <c r="AX5837" s="400"/>
    </row>
    <row r="5838" spans="1:50" s="12" customFormat="1" x14ac:dyDescent="0.3">
      <c r="A5838" s="386" t="s">
        <v>8325</v>
      </c>
      <c r="B5838" s="14" t="s">
        <v>8326</v>
      </c>
      <c r="C5838" s="14" t="s">
        <v>11714</v>
      </c>
      <c r="D5838" s="12" t="s">
        <v>6838</v>
      </c>
      <c r="E5838" s="14" t="s">
        <v>12570</v>
      </c>
      <c r="F5838" s="12" t="s">
        <v>12571</v>
      </c>
      <c r="G5838" s="14" t="s">
        <v>12681</v>
      </c>
      <c r="H5838" s="12" t="s">
        <v>12676</v>
      </c>
      <c r="K5838" s="14" t="s">
        <v>12689</v>
      </c>
      <c r="L5838" s="12" t="s">
        <v>12690</v>
      </c>
      <c r="M5838" s="14" t="s">
        <v>12698</v>
      </c>
      <c r="N5838" s="14"/>
      <c r="O5838" s="14">
        <v>5</v>
      </c>
      <c r="P5838" s="12">
        <v>5</v>
      </c>
      <c r="Q5838" s="12">
        <v>5</v>
      </c>
      <c r="R5838" s="12">
        <v>5</v>
      </c>
      <c r="S5838" s="12">
        <v>5</v>
      </c>
      <c r="T5838" s="14" t="s">
        <v>771</v>
      </c>
      <c r="U5838" t="s">
        <v>773</v>
      </c>
      <c r="V5838" s="14" t="s">
        <v>12699</v>
      </c>
      <c r="W5838" s="388"/>
      <c r="X5838" s="388"/>
      <c r="Y5838" s="388"/>
      <c r="Z5838" s="388"/>
      <c r="AA5838" s="388"/>
      <c r="AB5838" s="388"/>
      <c r="AC5838" s="150">
        <v>0</v>
      </c>
      <c r="AD5838" s="150">
        <v>0</v>
      </c>
      <c r="AE5838" s="49">
        <f t="shared" si="211"/>
        <v>0</v>
      </c>
      <c r="AF5838" s="397"/>
      <c r="AG5838" s="17">
        <v>0</v>
      </c>
      <c r="AH5838" s="397">
        <v>0</v>
      </c>
      <c r="AI5838" s="397">
        <v>0.25</v>
      </c>
      <c r="AJ5838" s="397">
        <v>0.25</v>
      </c>
      <c r="AK5838" s="398">
        <v>0</v>
      </c>
      <c r="AL5838" s="398">
        <v>0</v>
      </c>
      <c r="AM5838" s="17">
        <f t="shared" si="210"/>
        <v>0</v>
      </c>
      <c r="AN5838" s="14" t="s">
        <v>771</v>
      </c>
      <c r="AO5838" s="12" t="s">
        <v>773</v>
      </c>
      <c r="AP5838" s="405"/>
      <c r="AQ5838" s="400"/>
      <c r="AR5838" s="405"/>
      <c r="AS5838" s="405"/>
      <c r="AT5838" s="405"/>
      <c r="AX5838" s="402"/>
    </row>
    <row r="5839" spans="1:50" s="14" customFormat="1" x14ac:dyDescent="0.3">
      <c r="A5839" s="386" t="s">
        <v>8325</v>
      </c>
      <c r="B5839" s="14" t="s">
        <v>8326</v>
      </c>
      <c r="C5839" s="14" t="s">
        <v>11714</v>
      </c>
      <c r="D5839" s="14" t="s">
        <v>6838</v>
      </c>
      <c r="E5839" s="14" t="s">
        <v>12570</v>
      </c>
      <c r="F5839" s="12" t="s">
        <v>12571</v>
      </c>
      <c r="G5839" s="14" t="s">
        <v>12681</v>
      </c>
      <c r="H5839" s="12" t="s">
        <v>12676</v>
      </c>
      <c r="K5839" s="14" t="s">
        <v>12700</v>
      </c>
      <c r="L5839" s="12" t="s">
        <v>12701</v>
      </c>
      <c r="M5839" s="14" t="s">
        <v>12702</v>
      </c>
      <c r="N5839" s="418">
        <v>0</v>
      </c>
      <c r="O5839" s="14">
        <v>7</v>
      </c>
      <c r="P5839" s="14">
        <v>10</v>
      </c>
      <c r="Q5839" s="14">
        <v>10</v>
      </c>
      <c r="R5839" s="14">
        <v>10</v>
      </c>
      <c r="S5839" s="14">
        <v>10</v>
      </c>
      <c r="T5839" s="14" t="s">
        <v>11722</v>
      </c>
      <c r="U5839" t="s">
        <v>11723</v>
      </c>
      <c r="V5839" s="14" t="s">
        <v>12703</v>
      </c>
      <c r="W5839" s="388">
        <v>1</v>
      </c>
      <c r="X5839" s="388">
        <v>0</v>
      </c>
      <c r="Y5839" s="388">
        <v>0</v>
      </c>
      <c r="Z5839" s="388">
        <v>1</v>
      </c>
      <c r="AA5839" s="388">
        <v>1</v>
      </c>
      <c r="AB5839" s="388">
        <v>1</v>
      </c>
      <c r="AC5839" s="150">
        <v>1</v>
      </c>
      <c r="AD5839" s="150">
        <v>1</v>
      </c>
      <c r="AE5839" s="49">
        <f t="shared" si="211"/>
        <v>0.75</v>
      </c>
      <c r="AF5839" s="397"/>
      <c r="AG5839" s="17">
        <v>0</v>
      </c>
      <c r="AH5839" s="397">
        <v>1.0445</v>
      </c>
      <c r="AI5839" s="397">
        <v>1.788</v>
      </c>
      <c r="AJ5839" s="397">
        <v>1.8774</v>
      </c>
      <c r="AK5839" s="398">
        <v>1.5478552999999999</v>
      </c>
      <c r="AL5839" s="398">
        <v>1.5478552999999999</v>
      </c>
      <c r="AM5839" s="17">
        <f t="shared" si="210"/>
        <v>3.0957105999999999</v>
      </c>
      <c r="AN5839" s="14" t="s">
        <v>11722</v>
      </c>
      <c r="AO5839" s="12" t="s">
        <v>11723</v>
      </c>
      <c r="AP5839" s="399"/>
      <c r="AQ5839" s="400"/>
      <c r="AR5839" s="399"/>
      <c r="AS5839" s="399"/>
      <c r="AT5839" s="399"/>
      <c r="AX5839" s="400"/>
    </row>
    <row r="5840" spans="1:50" s="14" customFormat="1" x14ac:dyDescent="0.3">
      <c r="A5840" s="386" t="s">
        <v>8325</v>
      </c>
      <c r="B5840" s="14" t="s">
        <v>8326</v>
      </c>
      <c r="C5840" s="14" t="s">
        <v>11714</v>
      </c>
      <c r="D5840" s="14" t="s">
        <v>6838</v>
      </c>
      <c r="E5840" s="14" t="s">
        <v>12570</v>
      </c>
      <c r="F5840" s="12" t="s">
        <v>12571</v>
      </c>
      <c r="G5840" s="14" t="s">
        <v>12681</v>
      </c>
      <c r="H5840" s="12" t="s">
        <v>12676</v>
      </c>
      <c r="K5840" s="14" t="s">
        <v>12700</v>
      </c>
      <c r="L5840" s="12" t="s">
        <v>12701</v>
      </c>
      <c r="M5840" s="14" t="s">
        <v>12704</v>
      </c>
      <c r="N5840" s="400"/>
      <c r="O5840" s="400">
        <v>4</v>
      </c>
      <c r="P5840" s="403">
        <v>4</v>
      </c>
      <c r="Q5840" s="403">
        <v>4</v>
      </c>
      <c r="R5840" s="403">
        <v>4</v>
      </c>
      <c r="S5840" s="403">
        <v>4</v>
      </c>
      <c r="T5840" s="14" t="s">
        <v>1588</v>
      </c>
      <c r="U5840" t="s">
        <v>1590</v>
      </c>
      <c r="V5840" s="14" t="s">
        <v>12705</v>
      </c>
      <c r="W5840" s="388"/>
      <c r="X5840" s="388"/>
      <c r="Y5840" s="388"/>
      <c r="Z5840" s="388"/>
      <c r="AA5840" s="388"/>
      <c r="AB5840" s="388"/>
      <c r="AC5840" s="150">
        <v>0</v>
      </c>
      <c r="AD5840" s="150">
        <v>0</v>
      </c>
      <c r="AE5840" s="49">
        <f t="shared" si="211"/>
        <v>0</v>
      </c>
      <c r="AF5840" s="397"/>
      <c r="AG5840" s="17">
        <v>0</v>
      </c>
      <c r="AH5840" s="397">
        <v>0.16</v>
      </c>
      <c r="AI5840" s="397">
        <v>0.16</v>
      </c>
      <c r="AJ5840" s="397">
        <v>0.16</v>
      </c>
      <c r="AK5840" s="398">
        <v>8.5000000000000006E-2</v>
      </c>
      <c r="AL5840" s="398">
        <v>8.5000000000000006E-2</v>
      </c>
      <c r="AM5840" s="17">
        <f t="shared" si="210"/>
        <v>0.17</v>
      </c>
      <c r="AN5840" s="14" t="s">
        <v>1588</v>
      </c>
      <c r="AO5840" s="12" t="s">
        <v>1590</v>
      </c>
      <c r="AP5840" s="399"/>
      <c r="AQ5840" s="400"/>
      <c r="AR5840" s="399"/>
      <c r="AS5840" s="399"/>
      <c r="AT5840" s="399"/>
      <c r="AX5840" s="400"/>
    </row>
    <row r="5841" spans="1:50" s="12" customFormat="1" x14ac:dyDescent="0.3">
      <c r="A5841" s="386" t="s">
        <v>8325</v>
      </c>
      <c r="B5841" s="14" t="s">
        <v>8326</v>
      </c>
      <c r="C5841" s="14" t="s">
        <v>11714</v>
      </c>
      <c r="D5841" s="12" t="s">
        <v>6838</v>
      </c>
      <c r="E5841" s="14" t="s">
        <v>12570</v>
      </c>
      <c r="F5841" s="12" t="s">
        <v>12571</v>
      </c>
      <c r="G5841" s="14" t="s">
        <v>12681</v>
      </c>
      <c r="H5841" s="12" t="s">
        <v>12676</v>
      </c>
      <c r="K5841" s="14" t="s">
        <v>12700</v>
      </c>
      <c r="L5841" s="12" t="s">
        <v>12701</v>
      </c>
      <c r="M5841" s="14" t="s">
        <v>12706</v>
      </c>
      <c r="N5841" s="14"/>
      <c r="O5841" s="14">
        <v>0</v>
      </c>
      <c r="P5841" s="404">
        <v>4</v>
      </c>
      <c r="Q5841" s="404">
        <v>4</v>
      </c>
      <c r="R5841" s="404">
        <v>4</v>
      </c>
      <c r="S5841" s="404">
        <v>4</v>
      </c>
      <c r="T5841" s="14" t="s">
        <v>771</v>
      </c>
      <c r="U5841" t="s">
        <v>773</v>
      </c>
      <c r="V5841" s="14" t="s">
        <v>12707</v>
      </c>
      <c r="W5841" s="388"/>
      <c r="X5841" s="388"/>
      <c r="Y5841" s="388"/>
      <c r="Z5841" s="388"/>
      <c r="AA5841" s="388"/>
      <c r="AB5841" s="388"/>
      <c r="AC5841" s="150">
        <v>0</v>
      </c>
      <c r="AD5841" s="150">
        <v>0</v>
      </c>
      <c r="AE5841" s="49">
        <f t="shared" si="211"/>
        <v>0</v>
      </c>
      <c r="AF5841" s="397"/>
      <c r="AG5841" s="17">
        <v>0</v>
      </c>
      <c r="AH5841" s="397">
        <v>0</v>
      </c>
      <c r="AI5841" s="397">
        <v>0.25</v>
      </c>
      <c r="AJ5841" s="397">
        <v>0.25</v>
      </c>
      <c r="AK5841" s="398">
        <v>0</v>
      </c>
      <c r="AL5841" s="398">
        <v>0</v>
      </c>
      <c r="AM5841" s="17">
        <f t="shared" si="210"/>
        <v>0</v>
      </c>
      <c r="AN5841" s="14" t="s">
        <v>771</v>
      </c>
      <c r="AO5841" s="12" t="s">
        <v>773</v>
      </c>
      <c r="AP5841" s="405"/>
      <c r="AQ5841" s="400"/>
      <c r="AR5841" s="405"/>
      <c r="AS5841" s="405"/>
      <c r="AT5841" s="405"/>
      <c r="AX5841" s="402"/>
    </row>
    <row r="5842" spans="1:50" s="14" customFormat="1" x14ac:dyDescent="0.3">
      <c r="A5842" s="386" t="s">
        <v>8325</v>
      </c>
      <c r="B5842" s="14" t="s">
        <v>8326</v>
      </c>
      <c r="C5842" s="14" t="s">
        <v>11714</v>
      </c>
      <c r="D5842" s="14" t="s">
        <v>6838</v>
      </c>
      <c r="E5842" s="14" t="s">
        <v>12570</v>
      </c>
      <c r="F5842" s="12" t="s">
        <v>12571</v>
      </c>
      <c r="G5842" s="14" t="s">
        <v>12681</v>
      </c>
      <c r="H5842" s="12" t="s">
        <v>12676</v>
      </c>
      <c r="K5842" s="14" t="s">
        <v>12708</v>
      </c>
      <c r="L5842" s="12" t="s">
        <v>12709</v>
      </c>
      <c r="M5842" s="14" t="s">
        <v>12710</v>
      </c>
      <c r="N5842" s="418">
        <v>0</v>
      </c>
      <c r="P5842" s="14">
        <v>6</v>
      </c>
      <c r="Q5842" s="14">
        <v>6</v>
      </c>
      <c r="R5842" s="14">
        <v>6</v>
      </c>
      <c r="S5842" s="14">
        <v>6</v>
      </c>
      <c r="T5842" s="14" t="s">
        <v>11722</v>
      </c>
      <c r="U5842" t="s">
        <v>11723</v>
      </c>
      <c r="V5842" s="14" t="s">
        <v>12711</v>
      </c>
      <c r="W5842" s="388">
        <v>1</v>
      </c>
      <c r="X5842" s="388">
        <v>1</v>
      </c>
      <c r="Y5842" s="388">
        <v>1</v>
      </c>
      <c r="Z5842" s="388">
        <v>1</v>
      </c>
      <c r="AA5842" s="388">
        <v>1</v>
      </c>
      <c r="AB5842" s="388">
        <v>1</v>
      </c>
      <c r="AC5842" s="150">
        <v>1</v>
      </c>
      <c r="AD5842" s="150">
        <v>1</v>
      </c>
      <c r="AE5842" s="49">
        <f t="shared" si="211"/>
        <v>1</v>
      </c>
      <c r="AF5842" s="397"/>
      <c r="AG5842" s="17">
        <v>0</v>
      </c>
      <c r="AH5842" s="397">
        <v>0</v>
      </c>
      <c r="AI5842" s="397">
        <v>1.54</v>
      </c>
      <c r="AJ5842" s="397">
        <v>1.617</v>
      </c>
      <c r="AK5842" s="398">
        <v>1.62</v>
      </c>
      <c r="AL5842" s="398">
        <v>1.62</v>
      </c>
      <c r="AM5842" s="17">
        <f t="shared" si="210"/>
        <v>3.24</v>
      </c>
      <c r="AN5842" s="14" t="s">
        <v>11722</v>
      </c>
      <c r="AO5842" s="12" t="s">
        <v>11723</v>
      </c>
      <c r="AP5842" s="399"/>
      <c r="AQ5842" s="400"/>
      <c r="AR5842" s="399"/>
      <c r="AS5842" s="399"/>
      <c r="AT5842" s="399"/>
      <c r="AX5842" s="400"/>
    </row>
    <row r="5843" spans="1:50" s="14" customFormat="1" x14ac:dyDescent="0.3">
      <c r="A5843" s="386" t="s">
        <v>8325</v>
      </c>
      <c r="B5843" s="14" t="s">
        <v>8326</v>
      </c>
      <c r="C5843" s="14" t="s">
        <v>11714</v>
      </c>
      <c r="D5843" s="14" t="s">
        <v>6838</v>
      </c>
      <c r="E5843" s="14" t="s">
        <v>12570</v>
      </c>
      <c r="F5843" s="12" t="s">
        <v>12571</v>
      </c>
      <c r="G5843" s="14" t="s">
        <v>12681</v>
      </c>
      <c r="H5843" s="12" t="s">
        <v>12676</v>
      </c>
      <c r="K5843" s="14" t="s">
        <v>12708</v>
      </c>
      <c r="L5843" s="12" t="s">
        <v>12709</v>
      </c>
      <c r="M5843" s="14" t="s">
        <v>12712</v>
      </c>
      <c r="N5843" s="418">
        <v>0</v>
      </c>
      <c r="O5843" s="14">
        <v>1</v>
      </c>
      <c r="P5843" s="14">
        <v>7</v>
      </c>
      <c r="Q5843" s="14">
        <v>7</v>
      </c>
      <c r="R5843" s="14">
        <v>7</v>
      </c>
      <c r="S5843" s="14">
        <v>7</v>
      </c>
      <c r="T5843" s="14" t="s">
        <v>11722</v>
      </c>
      <c r="U5843" t="s">
        <v>11723</v>
      </c>
      <c r="V5843" s="14" t="s">
        <v>12713</v>
      </c>
      <c r="W5843" s="388">
        <v>1</v>
      </c>
      <c r="X5843" s="388">
        <v>1</v>
      </c>
      <c r="Y5843" s="388">
        <v>1</v>
      </c>
      <c r="Z5843" s="388">
        <v>1</v>
      </c>
      <c r="AA5843" s="388">
        <v>1</v>
      </c>
      <c r="AB5843" s="388">
        <v>1</v>
      </c>
      <c r="AC5843" s="150">
        <v>1</v>
      </c>
      <c r="AD5843" s="150">
        <v>1</v>
      </c>
      <c r="AE5843" s="49">
        <f t="shared" si="211"/>
        <v>1</v>
      </c>
      <c r="AF5843" s="397"/>
      <c r="AG5843" s="17">
        <v>0</v>
      </c>
      <c r="AH5843" s="397">
        <v>0.35</v>
      </c>
      <c r="AI5843" s="397">
        <v>0.92</v>
      </c>
      <c r="AJ5843" s="397">
        <v>0.96599999999999997</v>
      </c>
      <c r="AK5843" s="398">
        <v>1.0620000000000001</v>
      </c>
      <c r="AL5843" s="398">
        <v>1.0620000000000001</v>
      </c>
      <c r="AM5843" s="17">
        <f t="shared" si="210"/>
        <v>2.1240000000000001</v>
      </c>
      <c r="AN5843" s="14" t="s">
        <v>11722</v>
      </c>
      <c r="AO5843" s="12" t="s">
        <v>11723</v>
      </c>
      <c r="AP5843" s="399"/>
      <c r="AQ5843" s="400"/>
      <c r="AR5843" s="399"/>
      <c r="AS5843" s="399"/>
      <c r="AT5843" s="399"/>
      <c r="AX5843" s="400"/>
    </row>
    <row r="5844" spans="1:50" s="14" customFormat="1" x14ac:dyDescent="0.3">
      <c r="A5844" s="386" t="s">
        <v>8325</v>
      </c>
      <c r="B5844" s="14" t="s">
        <v>8326</v>
      </c>
      <c r="C5844" s="14" t="s">
        <v>11714</v>
      </c>
      <c r="D5844" s="14" t="s">
        <v>6838</v>
      </c>
      <c r="E5844" s="14" t="s">
        <v>12570</v>
      </c>
      <c r="F5844" s="12" t="s">
        <v>12571</v>
      </c>
      <c r="G5844" s="14" t="s">
        <v>12714</v>
      </c>
      <c r="H5844" s="12" t="s">
        <v>12715</v>
      </c>
      <c r="K5844" s="14" t="s">
        <v>12716</v>
      </c>
      <c r="L5844" s="12" t="s">
        <v>12717</v>
      </c>
      <c r="M5844" s="14" t="s">
        <v>12718</v>
      </c>
      <c r="N5844" s="418">
        <v>0</v>
      </c>
      <c r="O5844" s="418">
        <v>0</v>
      </c>
      <c r="P5844" s="12">
        <v>12</v>
      </c>
      <c r="Q5844" s="12">
        <v>12</v>
      </c>
      <c r="R5844" s="12">
        <v>12</v>
      </c>
      <c r="S5844" s="12">
        <v>12</v>
      </c>
      <c r="T5844" s="14" t="s">
        <v>11722</v>
      </c>
      <c r="U5844" t="s">
        <v>11723</v>
      </c>
      <c r="V5844" s="14" t="s">
        <v>12719</v>
      </c>
      <c r="W5844" s="388">
        <v>1</v>
      </c>
      <c r="X5844" s="388">
        <v>0</v>
      </c>
      <c r="Y5844" s="388">
        <v>0</v>
      </c>
      <c r="Z5844" s="388">
        <v>1</v>
      </c>
      <c r="AA5844" s="388">
        <v>1</v>
      </c>
      <c r="AB5844" s="388">
        <v>1</v>
      </c>
      <c r="AC5844" s="150">
        <v>1</v>
      </c>
      <c r="AD5844" s="150">
        <v>1</v>
      </c>
      <c r="AE5844" s="49">
        <f t="shared" si="211"/>
        <v>0.75</v>
      </c>
      <c r="AF5844" s="397"/>
      <c r="AG5844" s="17">
        <v>0</v>
      </c>
      <c r="AH5844" s="397">
        <v>0.3</v>
      </c>
      <c r="AI5844" s="397">
        <v>0.3</v>
      </c>
      <c r="AJ5844" s="397">
        <v>0.315</v>
      </c>
      <c r="AK5844" s="398">
        <v>0</v>
      </c>
      <c r="AL5844" s="398">
        <v>0</v>
      </c>
      <c r="AM5844" s="17">
        <f t="shared" si="210"/>
        <v>0</v>
      </c>
      <c r="AN5844" s="14" t="s">
        <v>11722</v>
      </c>
      <c r="AO5844" s="12" t="s">
        <v>11723</v>
      </c>
      <c r="AP5844" s="399"/>
      <c r="AQ5844" s="400"/>
      <c r="AR5844" s="399"/>
      <c r="AS5844" s="399"/>
      <c r="AT5844" s="399"/>
      <c r="AX5844" s="400"/>
    </row>
    <row r="5845" spans="1:50" s="14" customFormat="1" x14ac:dyDescent="0.3">
      <c r="A5845" s="386" t="s">
        <v>8325</v>
      </c>
      <c r="B5845" s="14" t="s">
        <v>8326</v>
      </c>
      <c r="C5845" s="14" t="s">
        <v>11714</v>
      </c>
      <c r="D5845" s="14" t="s">
        <v>6838</v>
      </c>
      <c r="E5845" s="14" t="s">
        <v>12570</v>
      </c>
      <c r="F5845" s="12" t="s">
        <v>12571</v>
      </c>
      <c r="G5845" s="14" t="s">
        <v>12714</v>
      </c>
      <c r="H5845" s="12" t="s">
        <v>12715</v>
      </c>
      <c r="K5845" s="14" t="s">
        <v>12716</v>
      </c>
      <c r="L5845" s="12" t="s">
        <v>12717</v>
      </c>
      <c r="M5845" s="14" t="s">
        <v>12720</v>
      </c>
      <c r="N5845" s="14">
        <v>13</v>
      </c>
      <c r="P5845" s="12">
        <v>5</v>
      </c>
      <c r="Q5845" s="12">
        <v>5</v>
      </c>
      <c r="R5845" s="12">
        <v>5</v>
      </c>
      <c r="S5845" s="12">
        <v>5</v>
      </c>
      <c r="T5845" s="14" t="s">
        <v>11722</v>
      </c>
      <c r="U5845" t="s">
        <v>11723</v>
      </c>
      <c r="V5845" s="14" t="s">
        <v>12721</v>
      </c>
      <c r="W5845" s="388">
        <v>1</v>
      </c>
      <c r="X5845" s="388">
        <v>0</v>
      </c>
      <c r="Y5845" s="388">
        <v>0</v>
      </c>
      <c r="Z5845" s="388">
        <v>1</v>
      </c>
      <c r="AA5845" s="388">
        <v>1</v>
      </c>
      <c r="AB5845" s="388">
        <v>1</v>
      </c>
      <c r="AC5845" s="150">
        <v>1</v>
      </c>
      <c r="AD5845" s="150">
        <v>1</v>
      </c>
      <c r="AE5845" s="49">
        <f t="shared" si="211"/>
        <v>0.75</v>
      </c>
      <c r="AF5845" s="397"/>
      <c r="AG5845" s="17">
        <v>0</v>
      </c>
      <c r="AH5845" s="397">
        <v>1.5</v>
      </c>
      <c r="AI5845" s="397">
        <v>2.2900800000000001</v>
      </c>
      <c r="AJ5845" s="397">
        <v>2.2900800000000001</v>
      </c>
      <c r="AK5845" s="398">
        <v>1.5799080000000001</v>
      </c>
      <c r="AL5845" s="398">
        <v>1.5799080000000001</v>
      </c>
      <c r="AM5845" s="17">
        <f t="shared" si="210"/>
        <v>3.1598160000000002</v>
      </c>
      <c r="AN5845" s="14" t="s">
        <v>11722</v>
      </c>
      <c r="AO5845" s="12" t="s">
        <v>11723</v>
      </c>
      <c r="AP5845" s="399"/>
      <c r="AQ5845" s="400"/>
      <c r="AR5845" s="399"/>
      <c r="AS5845" s="399"/>
      <c r="AT5845" s="399"/>
      <c r="AX5845" s="400"/>
    </row>
    <row r="5846" spans="1:50" s="14" customFormat="1" x14ac:dyDescent="0.3">
      <c r="A5846" s="386" t="s">
        <v>8325</v>
      </c>
      <c r="B5846" s="14" t="s">
        <v>8326</v>
      </c>
      <c r="C5846" s="14" t="s">
        <v>11714</v>
      </c>
      <c r="D5846" s="14" t="s">
        <v>6838</v>
      </c>
      <c r="E5846" s="14" t="s">
        <v>12570</v>
      </c>
      <c r="F5846" s="12" t="s">
        <v>12571</v>
      </c>
      <c r="G5846" s="14" t="s">
        <v>12714</v>
      </c>
      <c r="H5846" s="12" t="s">
        <v>12715</v>
      </c>
      <c r="K5846" s="14" t="s">
        <v>12716</v>
      </c>
      <c r="L5846" s="12" t="s">
        <v>12717</v>
      </c>
      <c r="M5846" s="14" t="s">
        <v>12722</v>
      </c>
      <c r="N5846" s="418">
        <v>0</v>
      </c>
      <c r="O5846" s="14">
        <v>1</v>
      </c>
      <c r="P5846" s="12">
        <v>1</v>
      </c>
      <c r="Q5846" s="12">
        <v>1</v>
      </c>
      <c r="R5846" s="12">
        <v>1</v>
      </c>
      <c r="S5846" s="12">
        <v>1</v>
      </c>
      <c r="T5846" s="14" t="s">
        <v>11722</v>
      </c>
      <c r="U5846" t="s">
        <v>11723</v>
      </c>
      <c r="V5846" s="14" t="s">
        <v>12723</v>
      </c>
      <c r="W5846" s="388">
        <v>1</v>
      </c>
      <c r="X5846" s="388">
        <v>0</v>
      </c>
      <c r="Y5846" s="388">
        <v>0</v>
      </c>
      <c r="Z5846" s="388">
        <v>1</v>
      </c>
      <c r="AA5846" s="388">
        <v>1</v>
      </c>
      <c r="AB5846" s="388">
        <v>1</v>
      </c>
      <c r="AC5846" s="150">
        <v>1</v>
      </c>
      <c r="AD5846" s="150">
        <v>1</v>
      </c>
      <c r="AE5846" s="49">
        <f t="shared" si="211"/>
        <v>0.75</v>
      </c>
      <c r="AF5846" s="397"/>
      <c r="AG5846" s="17">
        <v>0</v>
      </c>
      <c r="AH5846" s="397">
        <v>0.1</v>
      </c>
      <c r="AI5846" s="397">
        <v>0.1</v>
      </c>
      <c r="AJ5846" s="397">
        <v>0.105</v>
      </c>
      <c r="AK5846" s="398">
        <v>0.1</v>
      </c>
      <c r="AL5846" s="398">
        <v>0.1</v>
      </c>
      <c r="AM5846" s="17">
        <f t="shared" si="210"/>
        <v>0.2</v>
      </c>
      <c r="AN5846" s="14" t="s">
        <v>11722</v>
      </c>
      <c r="AO5846" s="12" t="s">
        <v>11723</v>
      </c>
      <c r="AP5846" s="399"/>
      <c r="AQ5846" s="400"/>
      <c r="AR5846" s="399"/>
      <c r="AS5846" s="399"/>
      <c r="AT5846" s="399"/>
      <c r="AX5846" s="400"/>
    </row>
    <row r="5847" spans="1:50" s="14" customFormat="1" x14ac:dyDescent="0.3">
      <c r="A5847" s="386" t="s">
        <v>8325</v>
      </c>
      <c r="B5847" s="14" t="s">
        <v>8326</v>
      </c>
      <c r="C5847" s="14" t="s">
        <v>11714</v>
      </c>
      <c r="D5847" s="14" t="s">
        <v>6838</v>
      </c>
      <c r="E5847" s="14" t="s">
        <v>12570</v>
      </c>
      <c r="F5847" s="12" t="s">
        <v>12571</v>
      </c>
      <c r="G5847" s="14" t="s">
        <v>12714</v>
      </c>
      <c r="H5847" s="12" t="s">
        <v>12715</v>
      </c>
      <c r="K5847" s="14" t="s">
        <v>12716</v>
      </c>
      <c r="L5847" s="12" t="s">
        <v>12717</v>
      </c>
      <c r="M5847" s="14" t="s">
        <v>12724</v>
      </c>
      <c r="N5847" s="400">
        <v>0</v>
      </c>
      <c r="O5847" s="400">
        <v>0</v>
      </c>
      <c r="P5847" s="403">
        <v>0</v>
      </c>
      <c r="Q5847" s="403">
        <v>1</v>
      </c>
      <c r="R5847" s="403">
        <v>0</v>
      </c>
      <c r="S5847" s="403">
        <v>0</v>
      </c>
      <c r="T5847" s="14" t="s">
        <v>1588</v>
      </c>
      <c r="U5847" t="s">
        <v>1590</v>
      </c>
      <c r="V5847" s="14" t="s">
        <v>12725</v>
      </c>
      <c r="W5847" s="388"/>
      <c r="X5847" s="388"/>
      <c r="Y5847" s="388"/>
      <c r="Z5847" s="388"/>
      <c r="AA5847" s="388"/>
      <c r="AB5847" s="388"/>
      <c r="AC5847" s="150">
        <v>0</v>
      </c>
      <c r="AD5847" s="150">
        <v>0</v>
      </c>
      <c r="AE5847" s="49">
        <f t="shared" si="211"/>
        <v>0</v>
      </c>
      <c r="AF5847" s="397"/>
      <c r="AG5847" s="17">
        <v>0</v>
      </c>
      <c r="AH5847" s="397">
        <v>0</v>
      </c>
      <c r="AI5847" s="397">
        <v>0</v>
      </c>
      <c r="AJ5847" s="397">
        <v>0.05</v>
      </c>
      <c r="AK5847" s="398">
        <v>0.05</v>
      </c>
      <c r="AL5847" s="398">
        <v>0.05</v>
      </c>
      <c r="AM5847" s="17">
        <f t="shared" si="210"/>
        <v>0.1</v>
      </c>
      <c r="AN5847" s="14" t="s">
        <v>1588</v>
      </c>
      <c r="AO5847" s="12" t="s">
        <v>1590</v>
      </c>
      <c r="AP5847" s="399"/>
      <c r="AQ5847" s="400"/>
      <c r="AR5847" s="399"/>
      <c r="AS5847" s="399"/>
      <c r="AT5847" s="399"/>
      <c r="AX5847" s="400"/>
    </row>
    <row r="5848" spans="1:50" s="14" customFormat="1" x14ac:dyDescent="0.3">
      <c r="A5848" s="386" t="s">
        <v>8325</v>
      </c>
      <c r="B5848" s="14" t="s">
        <v>8326</v>
      </c>
      <c r="C5848" s="14" t="s">
        <v>11807</v>
      </c>
      <c r="D5848" s="14" t="s">
        <v>11808</v>
      </c>
      <c r="E5848" s="14" t="s">
        <v>12639</v>
      </c>
      <c r="F5848" s="12" t="s">
        <v>12571</v>
      </c>
      <c r="G5848" s="14" t="s">
        <v>12726</v>
      </c>
      <c r="H5848" s="12" t="s">
        <v>12715</v>
      </c>
      <c r="K5848" s="14" t="s">
        <v>12727</v>
      </c>
      <c r="L5848" s="12" t="s">
        <v>12717</v>
      </c>
      <c r="M5848" s="14" t="s">
        <v>12728</v>
      </c>
      <c r="N5848" s="400"/>
      <c r="O5848" s="400"/>
      <c r="P5848" s="403"/>
      <c r="Q5848" s="403">
        <v>1</v>
      </c>
      <c r="R5848" s="403">
        <v>1</v>
      </c>
      <c r="S5848" s="403">
        <v>1</v>
      </c>
      <c r="T5848" s="14" t="s">
        <v>11865</v>
      </c>
      <c r="U5848" t="s">
        <v>11866</v>
      </c>
      <c r="V5848" s="14" t="s">
        <v>12729</v>
      </c>
      <c r="W5848" s="388"/>
      <c r="X5848" s="388"/>
      <c r="Y5848" s="388"/>
      <c r="Z5848" s="388"/>
      <c r="AA5848" s="388"/>
      <c r="AB5848" s="388"/>
      <c r="AC5848" s="150">
        <v>0</v>
      </c>
      <c r="AD5848" s="150">
        <v>0</v>
      </c>
      <c r="AE5848" s="49">
        <f t="shared" si="211"/>
        <v>0</v>
      </c>
      <c r="AF5848" s="397"/>
      <c r="AG5848" s="17">
        <v>0</v>
      </c>
      <c r="AH5848" s="397">
        <v>0</v>
      </c>
      <c r="AI5848" s="397">
        <v>0</v>
      </c>
      <c r="AJ5848" s="397">
        <v>0.3</v>
      </c>
      <c r="AK5848" s="398">
        <v>0</v>
      </c>
      <c r="AL5848" s="398">
        <v>0</v>
      </c>
      <c r="AM5848" s="17">
        <f t="shared" si="210"/>
        <v>0</v>
      </c>
      <c r="AN5848" s="14" t="s">
        <v>11865</v>
      </c>
      <c r="AO5848" s="12" t="s">
        <v>11866</v>
      </c>
      <c r="AP5848" s="399"/>
      <c r="AQ5848" s="400"/>
      <c r="AR5848" s="399"/>
      <c r="AS5848" s="399"/>
      <c r="AT5848" s="399"/>
      <c r="AX5848" s="400"/>
    </row>
    <row r="5849" spans="1:50" s="14" customFormat="1" x14ac:dyDescent="0.3">
      <c r="A5849" s="386" t="s">
        <v>8325</v>
      </c>
      <c r="B5849" s="14" t="s">
        <v>8326</v>
      </c>
      <c r="C5849" s="14" t="s">
        <v>11714</v>
      </c>
      <c r="D5849" s="14" t="s">
        <v>6838</v>
      </c>
      <c r="E5849" s="14" t="s">
        <v>12570</v>
      </c>
      <c r="F5849" s="12" t="s">
        <v>12571</v>
      </c>
      <c r="G5849" s="14" t="s">
        <v>12714</v>
      </c>
      <c r="H5849" s="12" t="s">
        <v>12715</v>
      </c>
      <c r="K5849" s="14" t="s">
        <v>12716</v>
      </c>
      <c r="L5849" s="12" t="s">
        <v>12717</v>
      </c>
      <c r="M5849" s="14" t="s">
        <v>12730</v>
      </c>
      <c r="N5849" s="14">
        <v>200</v>
      </c>
      <c r="O5849" s="14">
        <v>400</v>
      </c>
      <c r="P5849" s="12">
        <v>410</v>
      </c>
      <c r="Q5849" s="12">
        <v>800</v>
      </c>
      <c r="R5849" s="12">
        <v>1000</v>
      </c>
      <c r="S5849" s="12">
        <v>1300</v>
      </c>
      <c r="T5849" s="14" t="s">
        <v>11817</v>
      </c>
      <c r="U5849" t="s">
        <v>11818</v>
      </c>
      <c r="V5849" s="14" t="s">
        <v>12731</v>
      </c>
      <c r="W5849" s="388"/>
      <c r="X5849" s="388"/>
      <c r="Y5849" s="388"/>
      <c r="Z5849" s="388"/>
      <c r="AA5849" s="388"/>
      <c r="AB5849" s="388"/>
      <c r="AC5849" s="150">
        <v>0</v>
      </c>
      <c r="AD5849" s="150">
        <v>0</v>
      </c>
      <c r="AE5849" s="49">
        <f t="shared" si="211"/>
        <v>0</v>
      </c>
      <c r="AF5849" s="397"/>
      <c r="AG5849" s="17">
        <v>0</v>
      </c>
      <c r="AH5849" s="397">
        <v>0.28999999999999998</v>
      </c>
      <c r="AI5849" s="397">
        <v>0.31</v>
      </c>
      <c r="AJ5849" s="397">
        <v>0.54</v>
      </c>
      <c r="AK5849" s="398">
        <v>0.78</v>
      </c>
      <c r="AL5849" s="398">
        <v>0.78</v>
      </c>
      <c r="AM5849" s="17">
        <f t="shared" si="210"/>
        <v>1.56</v>
      </c>
      <c r="AN5849" s="14" t="s">
        <v>11817</v>
      </c>
      <c r="AO5849" s="12" t="s">
        <v>11818</v>
      </c>
      <c r="AP5849" s="399"/>
      <c r="AQ5849" s="400"/>
      <c r="AR5849" s="399"/>
      <c r="AS5849" s="399"/>
      <c r="AT5849" s="399"/>
      <c r="AX5849" s="400"/>
    </row>
    <row r="5850" spans="1:50" s="14" customFormat="1" x14ac:dyDescent="0.3">
      <c r="A5850" s="386" t="s">
        <v>8325</v>
      </c>
      <c r="B5850" s="14" t="s">
        <v>8326</v>
      </c>
      <c r="C5850" s="14" t="s">
        <v>11714</v>
      </c>
      <c r="D5850" s="14" t="s">
        <v>6838</v>
      </c>
      <c r="E5850" s="14" t="s">
        <v>12570</v>
      </c>
      <c r="F5850" s="12" t="s">
        <v>12571</v>
      </c>
      <c r="G5850" s="14" t="s">
        <v>12714</v>
      </c>
      <c r="H5850" s="12" t="s">
        <v>12715</v>
      </c>
      <c r="K5850" s="14" t="s">
        <v>12716</v>
      </c>
      <c r="L5850" s="12" t="s">
        <v>12717</v>
      </c>
      <c r="M5850" s="14" t="s">
        <v>12732</v>
      </c>
      <c r="N5850" s="14">
        <v>100</v>
      </c>
      <c r="O5850" s="14">
        <v>400</v>
      </c>
      <c r="P5850" s="12">
        <v>410</v>
      </c>
      <c r="Q5850" s="12">
        <v>800</v>
      </c>
      <c r="R5850" s="12">
        <v>1000</v>
      </c>
      <c r="S5850" s="12">
        <v>1300</v>
      </c>
      <c r="T5850" s="14" t="s">
        <v>11817</v>
      </c>
      <c r="U5850" t="s">
        <v>11818</v>
      </c>
      <c r="V5850" s="14" t="s">
        <v>12733</v>
      </c>
      <c r="W5850" s="388"/>
      <c r="X5850" s="388"/>
      <c r="Y5850" s="388"/>
      <c r="Z5850" s="388"/>
      <c r="AA5850" s="388"/>
      <c r="AB5850" s="388"/>
      <c r="AC5850" s="150">
        <v>0</v>
      </c>
      <c r="AD5850" s="150">
        <v>0</v>
      </c>
      <c r="AE5850" s="49">
        <f t="shared" si="211"/>
        <v>0</v>
      </c>
      <c r="AF5850" s="397"/>
      <c r="AG5850" s="17">
        <v>0</v>
      </c>
      <c r="AH5850" s="397"/>
      <c r="AI5850" s="397"/>
      <c r="AJ5850" s="397"/>
      <c r="AK5850" s="398"/>
      <c r="AL5850" s="398"/>
      <c r="AM5850" s="17">
        <f t="shared" si="210"/>
        <v>0</v>
      </c>
      <c r="AN5850" s="14" t="s">
        <v>11817</v>
      </c>
      <c r="AO5850" s="12" t="s">
        <v>11818</v>
      </c>
      <c r="AP5850" s="399"/>
      <c r="AQ5850" s="400"/>
      <c r="AR5850" s="399"/>
      <c r="AS5850" s="399"/>
      <c r="AT5850" s="399"/>
      <c r="AX5850" s="400"/>
    </row>
    <row r="5851" spans="1:50" s="12" customFormat="1" x14ac:dyDescent="0.3">
      <c r="A5851" s="386" t="s">
        <v>8325</v>
      </c>
      <c r="B5851" s="14" t="s">
        <v>8326</v>
      </c>
      <c r="C5851" s="14" t="s">
        <v>11714</v>
      </c>
      <c r="D5851" s="12" t="s">
        <v>6838</v>
      </c>
      <c r="E5851" s="14" t="s">
        <v>12570</v>
      </c>
      <c r="F5851" s="12" t="s">
        <v>12571</v>
      </c>
      <c r="G5851" s="14" t="s">
        <v>12714</v>
      </c>
      <c r="H5851" s="12" t="s">
        <v>12715</v>
      </c>
      <c r="K5851" s="14" t="s">
        <v>12716</v>
      </c>
      <c r="L5851" s="12" t="s">
        <v>12717</v>
      </c>
      <c r="M5851" s="14" t="s">
        <v>12734</v>
      </c>
      <c r="N5851" s="14">
        <v>1</v>
      </c>
      <c r="O5851" s="14">
        <v>1</v>
      </c>
      <c r="P5851" s="12">
        <v>1</v>
      </c>
      <c r="Q5851" s="12">
        <v>1</v>
      </c>
      <c r="R5851" s="12">
        <v>1</v>
      </c>
      <c r="S5851" s="12">
        <v>1</v>
      </c>
      <c r="T5851" s="14" t="s">
        <v>771</v>
      </c>
      <c r="U5851" t="s">
        <v>773</v>
      </c>
      <c r="V5851" s="14" t="s">
        <v>12735</v>
      </c>
      <c r="W5851" s="388"/>
      <c r="X5851" s="388"/>
      <c r="Y5851" s="388"/>
      <c r="Z5851" s="388"/>
      <c r="AA5851" s="388"/>
      <c r="AB5851" s="388"/>
      <c r="AC5851" s="150">
        <v>0</v>
      </c>
      <c r="AD5851" s="150">
        <v>0</v>
      </c>
      <c r="AE5851" s="49">
        <f t="shared" si="211"/>
        <v>0</v>
      </c>
      <c r="AF5851" s="397"/>
      <c r="AG5851" s="17">
        <v>0</v>
      </c>
      <c r="AH5851" s="397">
        <v>0</v>
      </c>
      <c r="AI5851" s="397">
        <v>0.01</v>
      </c>
      <c r="AJ5851" s="397">
        <v>0.01</v>
      </c>
      <c r="AK5851" s="398">
        <v>0</v>
      </c>
      <c r="AL5851" s="398">
        <v>0</v>
      </c>
      <c r="AM5851" s="17">
        <f t="shared" si="210"/>
        <v>0</v>
      </c>
      <c r="AN5851" s="14" t="s">
        <v>771</v>
      </c>
      <c r="AO5851" s="12" t="s">
        <v>773</v>
      </c>
      <c r="AP5851" s="405"/>
      <c r="AQ5851" s="400"/>
      <c r="AR5851" s="405"/>
      <c r="AS5851" s="405"/>
      <c r="AT5851" s="405"/>
      <c r="AX5851" s="402"/>
    </row>
    <row r="5852" spans="1:50" s="14" customFormat="1" x14ac:dyDescent="0.3">
      <c r="A5852" s="386" t="s">
        <v>8325</v>
      </c>
      <c r="B5852" s="14" t="s">
        <v>8326</v>
      </c>
      <c r="C5852" s="14" t="s">
        <v>11807</v>
      </c>
      <c r="D5852" s="14" t="s">
        <v>11808</v>
      </c>
      <c r="E5852" s="14" t="s">
        <v>12639</v>
      </c>
      <c r="F5852" s="12" t="s">
        <v>12571</v>
      </c>
      <c r="G5852" s="14" t="s">
        <v>12726</v>
      </c>
      <c r="H5852" s="12" t="s">
        <v>12715</v>
      </c>
      <c r="K5852" s="14" t="s">
        <v>12736</v>
      </c>
      <c r="L5852" s="12" t="s">
        <v>12737</v>
      </c>
      <c r="M5852" s="14" t="s">
        <v>12738</v>
      </c>
      <c r="N5852" s="400"/>
      <c r="O5852" s="400">
        <v>1</v>
      </c>
      <c r="P5852" s="403">
        <v>1</v>
      </c>
      <c r="Q5852" s="403">
        <v>1</v>
      </c>
      <c r="R5852" s="403">
        <v>1</v>
      </c>
      <c r="S5852" s="403">
        <v>1</v>
      </c>
      <c r="T5852" s="14" t="s">
        <v>1588</v>
      </c>
      <c r="U5852" t="s">
        <v>1590</v>
      </c>
      <c r="V5852" s="14" t="s">
        <v>12739</v>
      </c>
      <c r="W5852" s="388"/>
      <c r="X5852" s="388"/>
      <c r="Y5852" s="388"/>
      <c r="Z5852" s="388"/>
      <c r="AA5852" s="388"/>
      <c r="AB5852" s="388"/>
      <c r="AC5852" s="150">
        <v>0</v>
      </c>
      <c r="AD5852" s="150">
        <v>0</v>
      </c>
      <c r="AE5852" s="49">
        <f t="shared" si="211"/>
        <v>0</v>
      </c>
      <c r="AF5852" s="397"/>
      <c r="AG5852" s="17">
        <v>0</v>
      </c>
      <c r="AH5852" s="397">
        <v>0.1</v>
      </c>
      <c r="AI5852" s="397">
        <v>0.09</v>
      </c>
      <c r="AJ5852" s="397">
        <v>0.08</v>
      </c>
      <c r="AK5852" s="398">
        <v>0.15</v>
      </c>
      <c r="AL5852" s="398">
        <v>0.15</v>
      </c>
      <c r="AM5852" s="17">
        <f t="shared" si="210"/>
        <v>0.3</v>
      </c>
      <c r="AN5852" s="14" t="s">
        <v>1588</v>
      </c>
      <c r="AO5852" s="12" t="s">
        <v>1590</v>
      </c>
      <c r="AP5852" s="399"/>
      <c r="AQ5852" s="399"/>
      <c r="AR5852" s="399"/>
      <c r="AS5852" s="399"/>
      <c r="AT5852" s="399"/>
      <c r="AX5852" s="400"/>
    </row>
    <row r="5853" spans="1:50" s="14" customFormat="1" x14ac:dyDescent="0.3">
      <c r="A5853" s="386" t="s">
        <v>8325</v>
      </c>
      <c r="B5853" s="14" t="s">
        <v>8326</v>
      </c>
      <c r="C5853" s="14" t="s">
        <v>11807</v>
      </c>
      <c r="D5853" s="14" t="s">
        <v>11808</v>
      </c>
      <c r="E5853" s="14" t="s">
        <v>12639</v>
      </c>
      <c r="F5853" s="12" t="s">
        <v>12571</v>
      </c>
      <c r="G5853" s="14" t="s">
        <v>12726</v>
      </c>
      <c r="H5853" s="12" t="s">
        <v>12715</v>
      </c>
      <c r="K5853" s="14" t="s">
        <v>12736</v>
      </c>
      <c r="L5853" s="12" t="s">
        <v>12737</v>
      </c>
      <c r="M5853" s="14" t="s">
        <v>12740</v>
      </c>
      <c r="P5853" s="12"/>
      <c r="Q5853" s="12">
        <v>1</v>
      </c>
      <c r="S5853" s="12"/>
      <c r="T5853" s="14" t="s">
        <v>11817</v>
      </c>
      <c r="U5853" t="s">
        <v>11818</v>
      </c>
      <c r="V5853" s="14" t="s">
        <v>12741</v>
      </c>
      <c r="W5853" s="388"/>
      <c r="X5853" s="388"/>
      <c r="Y5853" s="388"/>
      <c r="Z5853" s="388"/>
      <c r="AA5853" s="388"/>
      <c r="AB5853" s="388"/>
      <c r="AC5853" s="150">
        <v>0</v>
      </c>
      <c r="AD5853" s="150">
        <v>0</v>
      </c>
      <c r="AE5853" s="49">
        <f t="shared" si="211"/>
        <v>0</v>
      </c>
      <c r="AF5853" s="397"/>
      <c r="AG5853" s="17">
        <v>0</v>
      </c>
      <c r="AH5853" s="397">
        <v>0</v>
      </c>
      <c r="AI5853" s="397">
        <v>0</v>
      </c>
      <c r="AJ5853" s="397">
        <v>0.43</v>
      </c>
      <c r="AK5853" s="398">
        <v>0</v>
      </c>
      <c r="AL5853" s="398">
        <v>0</v>
      </c>
      <c r="AM5853" s="17">
        <f t="shared" si="210"/>
        <v>0</v>
      </c>
      <c r="AN5853" s="14" t="s">
        <v>11817</v>
      </c>
      <c r="AO5853" s="12" t="s">
        <v>11818</v>
      </c>
      <c r="AP5853" s="399"/>
      <c r="AQ5853" s="399"/>
      <c r="AR5853" s="399"/>
      <c r="AS5853" s="399"/>
      <c r="AT5853" s="399"/>
      <c r="AX5853" s="400"/>
    </row>
    <row r="5854" spans="1:50" s="14" customFormat="1" x14ac:dyDescent="0.3">
      <c r="A5854" s="386" t="s">
        <v>8325</v>
      </c>
      <c r="B5854" s="14" t="s">
        <v>8326</v>
      </c>
      <c r="C5854" s="386" t="s">
        <v>11798</v>
      </c>
      <c r="D5854" s="14" t="s">
        <v>11799</v>
      </c>
      <c r="E5854" s="386" t="s">
        <v>12750</v>
      </c>
      <c r="F5854" s="12" t="s">
        <v>11990</v>
      </c>
      <c r="G5854" s="386" t="s">
        <v>12751</v>
      </c>
      <c r="H5854" s="12" t="s">
        <v>12043</v>
      </c>
      <c r="K5854" s="386" t="s">
        <v>12752</v>
      </c>
      <c r="L5854" s="12" t="s">
        <v>12742</v>
      </c>
      <c r="M5854" s="14" t="s">
        <v>12743</v>
      </c>
      <c r="O5854" s="14">
        <v>76</v>
      </c>
      <c r="P5854" s="12">
        <v>46</v>
      </c>
      <c r="Q5854" s="12">
        <v>46</v>
      </c>
      <c r="R5854" s="14">
        <v>46</v>
      </c>
      <c r="S5854" s="12">
        <v>45</v>
      </c>
      <c r="T5854" s="14" t="s">
        <v>180</v>
      </c>
      <c r="U5854" s="316" t="s">
        <v>182</v>
      </c>
      <c r="V5854" t="s">
        <v>12744</v>
      </c>
      <c r="AE5854" s="150"/>
      <c r="AF5854" s="397"/>
      <c r="AG5854" s="17"/>
      <c r="AH5854" s="17">
        <v>0.2</v>
      </c>
      <c r="AI5854" s="397">
        <v>0.15</v>
      </c>
      <c r="AJ5854" s="397">
        <v>0.15</v>
      </c>
      <c r="AK5854" s="398">
        <v>0.15</v>
      </c>
      <c r="AL5854" s="398">
        <v>0.15</v>
      </c>
      <c r="AM5854" s="17">
        <f t="shared" si="210"/>
        <v>0.3</v>
      </c>
      <c r="AN5854" s="388" t="s">
        <v>180</v>
      </c>
      <c r="AO5854" s="316" t="s">
        <v>182</v>
      </c>
      <c r="AP5854" s="399"/>
      <c r="AQ5854" s="399"/>
      <c r="AR5854" s="399"/>
      <c r="AS5854" s="399"/>
      <c r="AT5854" s="399"/>
      <c r="AX5854" s="400"/>
    </row>
    <row r="5855" spans="1:50" s="14" customFormat="1" x14ac:dyDescent="0.3">
      <c r="A5855" s="386" t="s">
        <v>8325</v>
      </c>
      <c r="B5855" s="14" t="s">
        <v>8326</v>
      </c>
      <c r="C5855" s="386" t="s">
        <v>11798</v>
      </c>
      <c r="D5855" s="14" t="s">
        <v>11799</v>
      </c>
      <c r="E5855" s="386" t="s">
        <v>12750</v>
      </c>
      <c r="F5855" s="12" t="s">
        <v>11990</v>
      </c>
      <c r="G5855" s="386" t="s">
        <v>12751</v>
      </c>
      <c r="H5855" s="12" t="s">
        <v>12043</v>
      </c>
      <c r="K5855" s="386" t="s">
        <v>12753</v>
      </c>
      <c r="L5855" s="12" t="s">
        <v>12742</v>
      </c>
      <c r="M5855" s="14" t="s">
        <v>12745</v>
      </c>
      <c r="P5855" s="12"/>
      <c r="Q5855" s="12"/>
      <c r="S5855" s="12"/>
      <c r="T5855" s="14" t="s">
        <v>180</v>
      </c>
      <c r="U5855" s="316" t="s">
        <v>182</v>
      </c>
      <c r="V5855" t="s">
        <v>12746</v>
      </c>
      <c r="AE5855" s="150"/>
      <c r="AF5855" s="397"/>
      <c r="AG5855" s="17"/>
      <c r="AH5855" s="17">
        <v>13.099</v>
      </c>
      <c r="AI5855" s="397">
        <v>13.353999999999999</v>
      </c>
      <c r="AJ5855" s="397">
        <v>13.474</v>
      </c>
      <c r="AK5855" s="398">
        <v>13.624000000000001</v>
      </c>
      <c r="AL5855" s="398">
        <v>13.699</v>
      </c>
      <c r="AM5855" s="17">
        <f t="shared" si="210"/>
        <v>27.323</v>
      </c>
      <c r="AN5855" s="388" t="s">
        <v>180</v>
      </c>
      <c r="AO5855" s="316" t="s">
        <v>182</v>
      </c>
      <c r="AP5855" s="399"/>
      <c r="AQ5855" s="399"/>
      <c r="AR5855" s="399"/>
      <c r="AS5855" s="399"/>
      <c r="AT5855" s="399"/>
      <c r="AX5855" s="400"/>
    </row>
    <row r="5856" spans="1:50" s="14" customFormat="1" x14ac:dyDescent="0.3">
      <c r="A5856" s="386" t="s">
        <v>8325</v>
      </c>
      <c r="B5856" s="14" t="s">
        <v>8326</v>
      </c>
      <c r="C5856" s="14" t="s">
        <v>11714</v>
      </c>
      <c r="D5856" s="14" t="s">
        <v>6838</v>
      </c>
      <c r="E5856" s="14">
        <v>1935</v>
      </c>
      <c r="F5856" s="12" t="s">
        <v>11990</v>
      </c>
      <c r="G5856" s="14">
        <v>193501</v>
      </c>
      <c r="H5856" s="12" t="s">
        <v>12043</v>
      </c>
      <c r="K5856" s="14">
        <v>19350101</v>
      </c>
      <c r="L5856" s="12" t="s">
        <v>12747</v>
      </c>
      <c r="M5856" s="14" t="s">
        <v>12748</v>
      </c>
      <c r="N5856" s="14">
        <v>101</v>
      </c>
      <c r="O5856" s="14">
        <v>136</v>
      </c>
      <c r="P5856" s="12">
        <v>156</v>
      </c>
      <c r="Q5856" s="12">
        <v>176</v>
      </c>
      <c r="R5856" s="14">
        <v>196</v>
      </c>
      <c r="S5856" s="12">
        <v>226</v>
      </c>
      <c r="T5856" s="14" t="s">
        <v>180</v>
      </c>
      <c r="U5856" s="316" t="s">
        <v>182</v>
      </c>
      <c r="V5856" t="s">
        <v>12749</v>
      </c>
      <c r="AE5856" s="150"/>
      <c r="AF5856" s="397"/>
      <c r="AG5856" s="17"/>
      <c r="AH5856" s="17">
        <v>2.718</v>
      </c>
      <c r="AI5856" s="397">
        <v>4.99</v>
      </c>
      <c r="AJ5856" s="397">
        <v>5</v>
      </c>
      <c r="AK5856" s="398">
        <v>5.37</v>
      </c>
      <c r="AL5856" s="398">
        <v>4.9800000000000004</v>
      </c>
      <c r="AM5856" s="17">
        <f t="shared" si="210"/>
        <v>10.350000000000001</v>
      </c>
      <c r="AN5856" s="388" t="s">
        <v>180</v>
      </c>
      <c r="AO5856" s="316" t="s">
        <v>182</v>
      </c>
      <c r="AP5856" s="399"/>
      <c r="AQ5856" s="399"/>
      <c r="AR5856" s="399"/>
      <c r="AS5856" s="399"/>
      <c r="AT5856" s="399"/>
      <c r="AX5856" s="400"/>
    </row>
    <row r="5857" spans="1:39" customFormat="1" x14ac:dyDescent="0.3">
      <c r="A5857" s="386" t="s">
        <v>8325</v>
      </c>
      <c r="B5857" s="14" t="s">
        <v>8326</v>
      </c>
      <c r="C5857" s="200" t="s">
        <v>12836</v>
      </c>
      <c r="D5857" t="s">
        <v>6838</v>
      </c>
      <c r="E5857" s="200" t="s">
        <v>12859</v>
      </c>
      <c r="F5857" t="s">
        <v>12811</v>
      </c>
      <c r="G5857" s="200" t="s">
        <v>12837</v>
      </c>
      <c r="H5857" t="s">
        <v>12812</v>
      </c>
      <c r="K5857" s="200" t="s">
        <v>12838</v>
      </c>
      <c r="L5857" t="s">
        <v>12754</v>
      </c>
      <c r="M5857" s="1"/>
      <c r="N5857" s="423"/>
      <c r="O5857" s="1"/>
      <c r="P5857" s="3"/>
      <c r="Q5857" s="3"/>
      <c r="R5857" s="3"/>
      <c r="S5857" s="3"/>
      <c r="V5857" t="s">
        <v>12755</v>
      </c>
      <c r="AF5857" s="64"/>
      <c r="AH5857" s="4"/>
      <c r="AI5857" s="4"/>
      <c r="AJ5857" s="4"/>
      <c r="AK5857" s="398"/>
      <c r="AL5857" s="398"/>
      <c r="AM5857" s="4"/>
    </row>
    <row r="5858" spans="1:39" customFormat="1" x14ac:dyDescent="0.3">
      <c r="A5858" s="386" t="s">
        <v>8325</v>
      </c>
      <c r="B5858" s="14" t="s">
        <v>8326</v>
      </c>
      <c r="C5858" s="200" t="s">
        <v>12836</v>
      </c>
      <c r="D5858" t="s">
        <v>6838</v>
      </c>
      <c r="E5858" s="200" t="s">
        <v>12859</v>
      </c>
      <c r="F5858" t="s">
        <v>12811</v>
      </c>
      <c r="G5858" s="200" t="s">
        <v>12837</v>
      </c>
      <c r="H5858" t="s">
        <v>12812</v>
      </c>
      <c r="K5858" s="200" t="s">
        <v>12839</v>
      </c>
      <c r="L5858" t="s">
        <v>12808</v>
      </c>
      <c r="M5858" s="1"/>
      <c r="N5858" s="423"/>
      <c r="O5858" s="1"/>
      <c r="P5858" s="3"/>
      <c r="Q5858" s="3"/>
      <c r="R5858" s="3"/>
      <c r="S5858" s="3"/>
      <c r="V5858" t="s">
        <v>12809</v>
      </c>
      <c r="AF5858" s="64"/>
      <c r="AH5858" s="4"/>
      <c r="AI5858" s="4"/>
      <c r="AJ5858" s="4"/>
      <c r="AK5858" s="398"/>
      <c r="AL5858" s="398"/>
      <c r="AM5858" s="4"/>
    </row>
    <row r="5859" spans="1:39" customFormat="1" x14ac:dyDescent="0.3">
      <c r="A5859" s="386" t="s">
        <v>8325</v>
      </c>
      <c r="B5859" s="14" t="s">
        <v>8326</v>
      </c>
      <c r="C5859" s="200" t="s">
        <v>12836</v>
      </c>
      <c r="D5859" t="s">
        <v>6838</v>
      </c>
      <c r="E5859" s="200" t="s">
        <v>12859</v>
      </c>
      <c r="F5859" t="s">
        <v>12811</v>
      </c>
      <c r="G5859" s="200" t="s">
        <v>12837</v>
      </c>
      <c r="H5859" t="s">
        <v>12812</v>
      </c>
      <c r="K5859" s="200" t="s">
        <v>12840</v>
      </c>
      <c r="L5859" t="s">
        <v>12756</v>
      </c>
      <c r="M5859" s="1" t="s">
        <v>5766</v>
      </c>
      <c r="N5859" s="423"/>
      <c r="O5859" s="1"/>
      <c r="P5859" s="3"/>
      <c r="Q5859" s="3"/>
      <c r="R5859" s="3"/>
      <c r="S5859" s="3"/>
      <c r="V5859" t="s">
        <v>12792</v>
      </c>
      <c r="AF5859" s="64"/>
      <c r="AH5859" s="4"/>
      <c r="AI5859" s="4"/>
      <c r="AJ5859" s="4"/>
      <c r="AK5859" s="46"/>
      <c r="AL5859" s="46"/>
      <c r="AM5859" s="4"/>
    </row>
    <row r="5860" spans="1:39" customFormat="1" x14ac:dyDescent="0.3">
      <c r="A5860" s="386" t="s">
        <v>8325</v>
      </c>
      <c r="B5860" s="14" t="s">
        <v>8326</v>
      </c>
      <c r="C5860" s="200" t="s">
        <v>12836</v>
      </c>
      <c r="D5860" t="s">
        <v>6838</v>
      </c>
      <c r="E5860" s="200" t="s">
        <v>12859</v>
      </c>
      <c r="F5860" t="s">
        <v>12811</v>
      </c>
      <c r="G5860" s="200" t="s">
        <v>12837</v>
      </c>
      <c r="H5860" t="s">
        <v>12812</v>
      </c>
      <c r="K5860" s="200" t="s">
        <v>12841</v>
      </c>
      <c r="L5860" t="s">
        <v>12757</v>
      </c>
      <c r="M5860" s="1" t="s">
        <v>12758</v>
      </c>
      <c r="N5860" s="423"/>
      <c r="O5860" s="1"/>
      <c r="P5860" s="3"/>
      <c r="Q5860" s="3"/>
      <c r="R5860" s="3"/>
      <c r="S5860" s="3"/>
      <c r="V5860" t="s">
        <v>12793</v>
      </c>
      <c r="AF5860" s="64"/>
      <c r="AH5860" s="4"/>
      <c r="AI5860" s="4"/>
      <c r="AJ5860" s="4"/>
      <c r="AK5860" s="46"/>
      <c r="AL5860" s="46"/>
      <c r="AM5860" s="4"/>
    </row>
    <row r="5861" spans="1:39" customFormat="1" x14ac:dyDescent="0.3">
      <c r="A5861" s="386" t="s">
        <v>8325</v>
      </c>
      <c r="B5861" s="14" t="s">
        <v>8326</v>
      </c>
      <c r="C5861" s="200" t="s">
        <v>12836</v>
      </c>
      <c r="D5861" t="s">
        <v>6838</v>
      </c>
      <c r="E5861" s="200" t="s">
        <v>12859</v>
      </c>
      <c r="F5861" t="s">
        <v>12811</v>
      </c>
      <c r="G5861" s="200" t="s">
        <v>12837</v>
      </c>
      <c r="H5861" t="s">
        <v>12812</v>
      </c>
      <c r="K5861" s="200" t="s">
        <v>12842</v>
      </c>
      <c r="L5861" t="s">
        <v>12759</v>
      </c>
      <c r="M5861" s="1" t="s">
        <v>12760</v>
      </c>
      <c r="N5861" s="423"/>
      <c r="O5861" s="1"/>
      <c r="P5861" s="3"/>
      <c r="Q5861" s="3"/>
      <c r="R5861" s="3"/>
      <c r="S5861" s="3"/>
      <c r="V5861" t="s">
        <v>12794</v>
      </c>
      <c r="AF5861" s="64"/>
      <c r="AH5861" s="4"/>
      <c r="AI5861" s="4"/>
      <c r="AJ5861" s="4"/>
      <c r="AK5861" s="46"/>
      <c r="AL5861" s="46"/>
      <c r="AM5861" s="4"/>
    </row>
    <row r="5862" spans="1:39" customFormat="1" x14ac:dyDescent="0.3">
      <c r="A5862" s="386" t="s">
        <v>8325</v>
      </c>
      <c r="B5862" s="14" t="s">
        <v>8326</v>
      </c>
      <c r="C5862" s="200" t="s">
        <v>12836</v>
      </c>
      <c r="D5862" t="s">
        <v>6838</v>
      </c>
      <c r="E5862" s="200" t="s">
        <v>12859</v>
      </c>
      <c r="F5862" t="s">
        <v>12811</v>
      </c>
      <c r="G5862" s="200" t="s">
        <v>12837</v>
      </c>
      <c r="H5862" t="s">
        <v>12812</v>
      </c>
      <c r="K5862" s="200" t="s">
        <v>12843</v>
      </c>
      <c r="L5862" t="s">
        <v>12761</v>
      </c>
      <c r="M5862" s="1" t="s">
        <v>12762</v>
      </c>
      <c r="N5862" s="423"/>
      <c r="O5862" s="1"/>
      <c r="P5862" s="3"/>
      <c r="Q5862" s="3"/>
      <c r="R5862" s="3"/>
      <c r="S5862" s="3"/>
      <c r="V5862" t="s">
        <v>5782</v>
      </c>
      <c r="AF5862" s="64"/>
      <c r="AH5862" s="4"/>
      <c r="AI5862" s="4"/>
      <c r="AJ5862" s="4"/>
      <c r="AK5862" s="46"/>
      <c r="AL5862" s="46"/>
      <c r="AM5862" s="4"/>
    </row>
    <row r="5863" spans="1:39" customFormat="1" x14ac:dyDescent="0.3">
      <c r="A5863" s="386" t="s">
        <v>8325</v>
      </c>
      <c r="B5863" s="14" t="s">
        <v>8326</v>
      </c>
      <c r="C5863" s="200" t="s">
        <v>12836</v>
      </c>
      <c r="D5863" t="s">
        <v>6838</v>
      </c>
      <c r="E5863" s="200" t="s">
        <v>12859</v>
      </c>
      <c r="F5863" t="s">
        <v>12811</v>
      </c>
      <c r="G5863" s="200" t="s">
        <v>12837</v>
      </c>
      <c r="H5863" t="s">
        <v>12812</v>
      </c>
      <c r="K5863" s="200" t="s">
        <v>12844</v>
      </c>
      <c r="L5863" t="s">
        <v>12763</v>
      </c>
      <c r="M5863" s="1" t="s">
        <v>12764</v>
      </c>
      <c r="N5863" s="423"/>
      <c r="O5863" s="1"/>
      <c r="P5863" s="3"/>
      <c r="Q5863" s="3"/>
      <c r="R5863" s="3"/>
      <c r="S5863" s="3"/>
      <c r="V5863" t="s">
        <v>5783</v>
      </c>
      <c r="AF5863" s="64"/>
      <c r="AH5863" s="4"/>
      <c r="AI5863" s="4"/>
      <c r="AJ5863" s="4"/>
      <c r="AK5863" s="46"/>
      <c r="AL5863" s="46"/>
      <c r="AM5863" s="4"/>
    </row>
    <row r="5864" spans="1:39" customFormat="1" x14ac:dyDescent="0.3">
      <c r="A5864" s="386" t="s">
        <v>8325</v>
      </c>
      <c r="B5864" s="14" t="s">
        <v>8326</v>
      </c>
      <c r="C5864" s="200" t="s">
        <v>12836</v>
      </c>
      <c r="D5864" t="s">
        <v>6838</v>
      </c>
      <c r="E5864" s="200" t="s">
        <v>12859</v>
      </c>
      <c r="F5864" t="s">
        <v>12811</v>
      </c>
      <c r="G5864" s="200" t="s">
        <v>12837</v>
      </c>
      <c r="H5864" t="s">
        <v>12812</v>
      </c>
      <c r="K5864" s="200" t="s">
        <v>12845</v>
      </c>
      <c r="L5864" t="s">
        <v>12765</v>
      </c>
      <c r="M5864" s="1" t="s">
        <v>12766</v>
      </c>
      <c r="N5864" s="423"/>
      <c r="O5864" s="1"/>
      <c r="P5864" s="3"/>
      <c r="Q5864" s="3"/>
      <c r="R5864" s="3"/>
      <c r="S5864" s="3"/>
      <c r="V5864" t="s">
        <v>12795</v>
      </c>
      <c r="AF5864" s="64"/>
      <c r="AH5864" s="4"/>
      <c r="AI5864" s="4"/>
      <c r="AJ5864" s="4"/>
      <c r="AK5864" s="46"/>
      <c r="AL5864" s="46"/>
      <c r="AM5864" s="4"/>
    </row>
    <row r="5865" spans="1:39" customFormat="1" x14ac:dyDescent="0.3">
      <c r="A5865" s="386" t="s">
        <v>8325</v>
      </c>
      <c r="B5865" s="14" t="s">
        <v>8326</v>
      </c>
      <c r="C5865" s="200" t="s">
        <v>12836</v>
      </c>
      <c r="D5865" t="s">
        <v>6838</v>
      </c>
      <c r="E5865" s="200" t="s">
        <v>12859</v>
      </c>
      <c r="F5865" t="s">
        <v>12811</v>
      </c>
      <c r="G5865" s="200" t="s">
        <v>12837</v>
      </c>
      <c r="H5865" t="s">
        <v>12812</v>
      </c>
      <c r="K5865" s="200" t="s">
        <v>12846</v>
      </c>
      <c r="L5865" t="s">
        <v>12767</v>
      </c>
      <c r="M5865" s="1" t="s">
        <v>12768</v>
      </c>
      <c r="N5865" s="423"/>
      <c r="O5865" s="1"/>
      <c r="P5865" s="3"/>
      <c r="Q5865" s="3"/>
      <c r="R5865" s="3"/>
      <c r="S5865" s="3"/>
      <c r="V5865" t="s">
        <v>12796</v>
      </c>
      <c r="AF5865" s="64"/>
      <c r="AH5865" s="4"/>
      <c r="AI5865" s="4"/>
      <c r="AJ5865" s="4"/>
      <c r="AK5865" s="46"/>
      <c r="AL5865" s="46"/>
      <c r="AM5865" s="4"/>
    </row>
    <row r="5866" spans="1:39" customFormat="1" x14ac:dyDescent="0.3">
      <c r="A5866" s="386" t="s">
        <v>8325</v>
      </c>
      <c r="B5866" s="14" t="s">
        <v>8326</v>
      </c>
      <c r="C5866" s="200" t="s">
        <v>12836</v>
      </c>
      <c r="D5866" t="s">
        <v>6838</v>
      </c>
      <c r="E5866" s="200" t="s">
        <v>12859</v>
      </c>
      <c r="F5866" t="s">
        <v>12811</v>
      </c>
      <c r="G5866" s="200" t="s">
        <v>12837</v>
      </c>
      <c r="H5866" t="s">
        <v>12812</v>
      </c>
      <c r="K5866" s="200" t="s">
        <v>12847</v>
      </c>
      <c r="L5866" t="s">
        <v>12769</v>
      </c>
      <c r="M5866" s="1" t="s">
        <v>12770</v>
      </c>
      <c r="N5866" s="423"/>
      <c r="O5866" s="1"/>
      <c r="P5866" s="3"/>
      <c r="Q5866" s="3"/>
      <c r="R5866" s="3"/>
      <c r="S5866" s="3"/>
      <c r="V5866" t="s">
        <v>5786</v>
      </c>
      <c r="AF5866" s="64"/>
      <c r="AH5866" s="4"/>
      <c r="AI5866" s="4"/>
      <c r="AJ5866" s="4"/>
      <c r="AK5866" s="46"/>
      <c r="AL5866" s="46"/>
      <c r="AM5866" s="4"/>
    </row>
    <row r="5867" spans="1:39" customFormat="1" x14ac:dyDescent="0.3">
      <c r="A5867" s="386" t="s">
        <v>8325</v>
      </c>
      <c r="B5867" s="14" t="s">
        <v>8326</v>
      </c>
      <c r="C5867" s="200" t="s">
        <v>12836</v>
      </c>
      <c r="D5867" t="s">
        <v>6838</v>
      </c>
      <c r="E5867" s="200" t="s">
        <v>12859</v>
      </c>
      <c r="F5867" t="s">
        <v>12811</v>
      </c>
      <c r="G5867" s="200" t="s">
        <v>12837</v>
      </c>
      <c r="H5867" t="s">
        <v>12812</v>
      </c>
      <c r="K5867" s="200" t="s">
        <v>12848</v>
      </c>
      <c r="L5867" t="s">
        <v>12771</v>
      </c>
      <c r="M5867" s="1" t="s">
        <v>12772</v>
      </c>
      <c r="N5867" s="423"/>
      <c r="O5867" s="1"/>
      <c r="P5867" s="3"/>
      <c r="Q5867" s="3"/>
      <c r="R5867" s="3"/>
      <c r="S5867" s="3"/>
      <c r="V5867" t="s">
        <v>12800</v>
      </c>
      <c r="AF5867" s="64"/>
      <c r="AH5867" s="4"/>
      <c r="AI5867" s="4"/>
      <c r="AJ5867" s="4"/>
      <c r="AK5867" s="46"/>
      <c r="AL5867" s="46"/>
      <c r="AM5867" s="4"/>
    </row>
    <row r="5868" spans="1:39" customFormat="1" x14ac:dyDescent="0.3">
      <c r="A5868" s="386" t="s">
        <v>8325</v>
      </c>
      <c r="B5868" s="14" t="s">
        <v>8326</v>
      </c>
      <c r="C5868" s="200" t="s">
        <v>12836</v>
      </c>
      <c r="D5868" t="s">
        <v>6838</v>
      </c>
      <c r="E5868" s="200" t="s">
        <v>12859</v>
      </c>
      <c r="F5868" t="s">
        <v>12811</v>
      </c>
      <c r="G5868" s="200" t="s">
        <v>12837</v>
      </c>
      <c r="H5868" t="s">
        <v>12812</v>
      </c>
      <c r="K5868" s="200" t="s">
        <v>12849</v>
      </c>
      <c r="L5868" t="s">
        <v>12773</v>
      </c>
      <c r="M5868" s="1" t="s">
        <v>12774</v>
      </c>
      <c r="N5868" s="423"/>
      <c r="O5868" s="1"/>
      <c r="P5868" s="3"/>
      <c r="Q5868" s="3"/>
      <c r="R5868" s="3"/>
      <c r="S5868" s="3"/>
      <c r="V5868" t="s">
        <v>12797</v>
      </c>
      <c r="AF5868" s="64"/>
      <c r="AH5868" s="4"/>
      <c r="AI5868" s="4"/>
      <c r="AJ5868" s="4"/>
      <c r="AK5868" s="46"/>
      <c r="AL5868" s="46"/>
      <c r="AM5868" s="4"/>
    </row>
    <row r="5869" spans="1:39" customFormat="1" x14ac:dyDescent="0.3">
      <c r="A5869" s="386" t="s">
        <v>8325</v>
      </c>
      <c r="B5869" s="14" t="s">
        <v>8326</v>
      </c>
      <c r="C5869" s="200" t="s">
        <v>12836</v>
      </c>
      <c r="D5869" t="s">
        <v>6838</v>
      </c>
      <c r="E5869" s="200" t="s">
        <v>12859</v>
      </c>
      <c r="F5869" t="s">
        <v>12811</v>
      </c>
      <c r="G5869" s="200" t="s">
        <v>12837</v>
      </c>
      <c r="H5869" t="s">
        <v>12812</v>
      </c>
      <c r="K5869" s="200" t="s">
        <v>12850</v>
      </c>
      <c r="L5869" t="s">
        <v>12775</v>
      </c>
      <c r="M5869" s="1" t="s">
        <v>12776</v>
      </c>
      <c r="N5869" s="423"/>
      <c r="O5869" s="1"/>
      <c r="P5869" s="3"/>
      <c r="Q5869" s="3"/>
      <c r="R5869" s="3"/>
      <c r="S5869" s="3"/>
      <c r="V5869" t="s">
        <v>12798</v>
      </c>
      <c r="AF5869" s="64"/>
      <c r="AH5869" s="4"/>
      <c r="AI5869" s="4"/>
      <c r="AJ5869" s="4"/>
      <c r="AK5869" s="46"/>
      <c r="AL5869" s="46"/>
      <c r="AM5869" s="4"/>
    </row>
    <row r="5870" spans="1:39" customFormat="1" x14ac:dyDescent="0.3">
      <c r="A5870" s="386" t="s">
        <v>8325</v>
      </c>
      <c r="B5870" s="14" t="s">
        <v>8326</v>
      </c>
      <c r="C5870" s="200" t="s">
        <v>12836</v>
      </c>
      <c r="D5870" t="s">
        <v>6838</v>
      </c>
      <c r="E5870" s="200" t="s">
        <v>12859</v>
      </c>
      <c r="F5870" t="s">
        <v>12811</v>
      </c>
      <c r="G5870" s="200" t="s">
        <v>12837</v>
      </c>
      <c r="H5870" t="s">
        <v>12812</v>
      </c>
      <c r="K5870" s="200" t="s">
        <v>12851</v>
      </c>
      <c r="L5870" t="s">
        <v>12777</v>
      </c>
      <c r="M5870" s="1" t="s">
        <v>12778</v>
      </c>
      <c r="N5870" s="423"/>
      <c r="O5870" s="1"/>
      <c r="P5870" s="3"/>
      <c r="Q5870" s="3"/>
      <c r="R5870" s="3"/>
      <c r="S5870" s="3"/>
      <c r="V5870" t="s">
        <v>5789</v>
      </c>
      <c r="AF5870" s="64"/>
      <c r="AH5870" s="4"/>
      <c r="AI5870" s="4"/>
      <c r="AJ5870" s="4"/>
      <c r="AK5870" s="46"/>
      <c r="AL5870" s="46"/>
      <c r="AM5870" s="4"/>
    </row>
    <row r="5871" spans="1:39" customFormat="1" x14ac:dyDescent="0.3">
      <c r="A5871" s="386" t="s">
        <v>8325</v>
      </c>
      <c r="B5871" s="14" t="s">
        <v>8326</v>
      </c>
      <c r="C5871" s="200" t="s">
        <v>12836</v>
      </c>
      <c r="D5871" t="s">
        <v>6838</v>
      </c>
      <c r="E5871" s="200" t="s">
        <v>12859</v>
      </c>
      <c r="F5871" t="s">
        <v>12811</v>
      </c>
      <c r="G5871" s="200" t="s">
        <v>12837</v>
      </c>
      <c r="H5871" t="s">
        <v>12812</v>
      </c>
      <c r="K5871" s="200" t="s">
        <v>12852</v>
      </c>
      <c r="L5871" t="s">
        <v>12779</v>
      </c>
      <c r="M5871" s="1" t="s">
        <v>12780</v>
      </c>
      <c r="N5871" s="423"/>
      <c r="O5871" s="1"/>
      <c r="P5871" s="3"/>
      <c r="Q5871" s="3"/>
      <c r="R5871" s="3"/>
      <c r="S5871" s="3"/>
      <c r="V5871" t="s">
        <v>12799</v>
      </c>
      <c r="AF5871" s="64"/>
      <c r="AH5871" s="4"/>
      <c r="AI5871" s="4"/>
      <c r="AJ5871" s="4"/>
      <c r="AK5871" s="46"/>
      <c r="AL5871" s="46"/>
      <c r="AM5871" s="4"/>
    </row>
    <row r="5872" spans="1:39" customFormat="1" x14ac:dyDescent="0.3">
      <c r="A5872" s="386" t="s">
        <v>8325</v>
      </c>
      <c r="B5872" s="14" t="s">
        <v>8326</v>
      </c>
      <c r="C5872" s="200" t="s">
        <v>12836</v>
      </c>
      <c r="D5872" t="s">
        <v>6838</v>
      </c>
      <c r="E5872" s="200" t="s">
        <v>12859</v>
      </c>
      <c r="F5872" t="s">
        <v>12811</v>
      </c>
      <c r="G5872" s="200" t="s">
        <v>12837</v>
      </c>
      <c r="H5872" t="s">
        <v>12812</v>
      </c>
      <c r="K5872" s="200" t="s">
        <v>12853</v>
      </c>
      <c r="L5872" t="s">
        <v>12806</v>
      </c>
      <c r="M5872" s="1" t="s">
        <v>12781</v>
      </c>
      <c r="N5872" s="423"/>
      <c r="O5872" s="1"/>
      <c r="P5872" s="3"/>
      <c r="Q5872" s="3"/>
      <c r="R5872" s="3"/>
      <c r="S5872" s="3"/>
      <c r="V5872" t="s">
        <v>12805</v>
      </c>
      <c r="AF5872" s="64"/>
      <c r="AH5872" s="4"/>
      <c r="AI5872" s="4"/>
      <c r="AJ5872" s="4"/>
      <c r="AK5872" s="46"/>
      <c r="AL5872" s="46"/>
      <c r="AM5872" s="4"/>
    </row>
    <row r="5873" spans="1:39" customFormat="1" x14ac:dyDescent="0.3">
      <c r="A5873" s="386" t="s">
        <v>8325</v>
      </c>
      <c r="B5873" s="14" t="s">
        <v>8326</v>
      </c>
      <c r="C5873" s="200" t="s">
        <v>12836</v>
      </c>
      <c r="D5873" t="s">
        <v>6838</v>
      </c>
      <c r="E5873" s="200" t="s">
        <v>12859</v>
      </c>
      <c r="F5873" t="s">
        <v>12811</v>
      </c>
      <c r="G5873" s="200" t="s">
        <v>12837</v>
      </c>
      <c r="H5873" t="s">
        <v>12812</v>
      </c>
      <c r="K5873" s="200" t="s">
        <v>12854</v>
      </c>
      <c r="L5873" t="s">
        <v>12782</v>
      </c>
      <c r="M5873" s="1"/>
      <c r="N5873" s="423"/>
      <c r="O5873" s="1"/>
      <c r="P5873" s="3"/>
      <c r="Q5873" s="3"/>
      <c r="R5873" s="3"/>
      <c r="S5873" s="3"/>
      <c r="V5873" t="s">
        <v>12782</v>
      </c>
      <c r="AF5873" s="64"/>
      <c r="AH5873" s="4"/>
      <c r="AI5873" s="4"/>
      <c r="AJ5873" s="4"/>
      <c r="AK5873" s="46"/>
      <c r="AL5873" s="46"/>
      <c r="AM5873" s="4"/>
    </row>
    <row r="5874" spans="1:39" customFormat="1" x14ac:dyDescent="0.3">
      <c r="A5874" s="386" t="s">
        <v>8325</v>
      </c>
      <c r="B5874" s="14" t="s">
        <v>8326</v>
      </c>
      <c r="C5874" s="200" t="s">
        <v>12836</v>
      </c>
      <c r="D5874" t="s">
        <v>6838</v>
      </c>
      <c r="E5874" s="200" t="s">
        <v>12859</v>
      </c>
      <c r="F5874" t="s">
        <v>12811</v>
      </c>
      <c r="G5874" s="200" t="s">
        <v>12837</v>
      </c>
      <c r="H5874" t="s">
        <v>12812</v>
      </c>
      <c r="K5874" s="200" t="s">
        <v>12855</v>
      </c>
      <c r="L5874" t="s">
        <v>12783</v>
      </c>
      <c r="M5874" s="1" t="s">
        <v>12784</v>
      </c>
      <c r="N5874" s="423"/>
      <c r="O5874" s="1"/>
      <c r="P5874" s="3"/>
      <c r="Q5874" s="3"/>
      <c r="R5874" s="3"/>
      <c r="S5874" s="3"/>
      <c r="V5874" t="s">
        <v>12783</v>
      </c>
      <c r="AF5874" s="64"/>
      <c r="AH5874" s="4"/>
      <c r="AI5874" s="4"/>
      <c r="AJ5874" s="4"/>
      <c r="AK5874" s="46"/>
      <c r="AL5874" s="46"/>
      <c r="AM5874" s="4"/>
    </row>
    <row r="5875" spans="1:39" customFormat="1" x14ac:dyDescent="0.3">
      <c r="A5875" s="386" t="s">
        <v>8325</v>
      </c>
      <c r="B5875" s="14" t="s">
        <v>8326</v>
      </c>
      <c r="C5875" s="200" t="s">
        <v>12836</v>
      </c>
      <c r="D5875" t="s">
        <v>6838</v>
      </c>
      <c r="E5875" s="200" t="s">
        <v>12859</v>
      </c>
      <c r="F5875" t="s">
        <v>12811</v>
      </c>
      <c r="G5875" s="200" t="s">
        <v>12837</v>
      </c>
      <c r="H5875" t="s">
        <v>12812</v>
      </c>
      <c r="K5875" s="200" t="s">
        <v>12855</v>
      </c>
      <c r="L5875" t="s">
        <v>12785</v>
      </c>
      <c r="M5875" s="1" t="s">
        <v>12786</v>
      </c>
      <c r="N5875" s="423"/>
      <c r="O5875" s="1"/>
      <c r="P5875" s="3"/>
      <c r="Q5875" s="3"/>
      <c r="R5875" s="3"/>
      <c r="S5875" s="3"/>
      <c r="V5875" t="s">
        <v>12801</v>
      </c>
      <c r="AF5875" s="64"/>
      <c r="AH5875" s="4"/>
      <c r="AI5875" s="4"/>
      <c r="AJ5875" s="4"/>
      <c r="AK5875" s="46"/>
      <c r="AL5875" s="46"/>
      <c r="AM5875" s="4"/>
    </row>
    <row r="5876" spans="1:39" customFormat="1" x14ac:dyDescent="0.3">
      <c r="A5876" s="386" t="s">
        <v>8325</v>
      </c>
      <c r="B5876" s="14" t="s">
        <v>8326</v>
      </c>
      <c r="C5876" s="200" t="s">
        <v>12836</v>
      </c>
      <c r="D5876" t="s">
        <v>6838</v>
      </c>
      <c r="E5876" s="200" t="s">
        <v>12859</v>
      </c>
      <c r="F5876" t="s">
        <v>12811</v>
      </c>
      <c r="G5876" s="200" t="s">
        <v>12837</v>
      </c>
      <c r="H5876" t="s">
        <v>12812</v>
      </c>
      <c r="K5876" s="200" t="s">
        <v>12856</v>
      </c>
      <c r="L5876" t="s">
        <v>12787</v>
      </c>
      <c r="M5876" s="1" t="s">
        <v>12788</v>
      </c>
      <c r="N5876" s="423"/>
      <c r="O5876" s="1"/>
      <c r="P5876" s="3"/>
      <c r="Q5876" s="3"/>
      <c r="R5876" s="3"/>
      <c r="S5876" s="3"/>
      <c r="V5876" t="s">
        <v>12802</v>
      </c>
      <c r="AF5876" s="64"/>
      <c r="AH5876" s="4"/>
      <c r="AI5876" s="4"/>
      <c r="AJ5876" s="4"/>
      <c r="AK5876" s="46"/>
      <c r="AL5876" s="46"/>
      <c r="AM5876" s="4"/>
    </row>
    <row r="5877" spans="1:39" customFormat="1" x14ac:dyDescent="0.3">
      <c r="A5877" s="386" t="s">
        <v>8325</v>
      </c>
      <c r="B5877" s="14" t="s">
        <v>8326</v>
      </c>
      <c r="C5877" s="200" t="s">
        <v>12836</v>
      </c>
      <c r="D5877" t="s">
        <v>6838</v>
      </c>
      <c r="E5877" s="200" t="s">
        <v>12859</v>
      </c>
      <c r="F5877" t="s">
        <v>12811</v>
      </c>
      <c r="G5877" s="200" t="s">
        <v>12837</v>
      </c>
      <c r="H5877" t="s">
        <v>12812</v>
      </c>
      <c r="K5877" s="200" t="s">
        <v>12857</v>
      </c>
      <c r="L5877" t="s">
        <v>12789</v>
      </c>
      <c r="M5877" s="1" t="s">
        <v>12790</v>
      </c>
      <c r="N5877" s="423"/>
      <c r="O5877" s="1"/>
      <c r="P5877" s="3"/>
      <c r="Q5877" s="3"/>
      <c r="R5877" s="3"/>
      <c r="S5877" s="3"/>
      <c r="V5877" t="s">
        <v>12803</v>
      </c>
      <c r="AF5877" s="64"/>
      <c r="AH5877" s="4"/>
      <c r="AI5877" s="4"/>
      <c r="AJ5877" s="4"/>
      <c r="AK5877" s="46"/>
      <c r="AL5877" s="46"/>
      <c r="AM5877" s="4"/>
    </row>
    <row r="5878" spans="1:39" customFormat="1" x14ac:dyDescent="0.3">
      <c r="A5878" s="386" t="s">
        <v>8325</v>
      </c>
      <c r="B5878" s="14" t="s">
        <v>8326</v>
      </c>
      <c r="C5878" s="200" t="s">
        <v>12836</v>
      </c>
      <c r="D5878" t="s">
        <v>6838</v>
      </c>
      <c r="E5878" s="200" t="s">
        <v>12859</v>
      </c>
      <c r="F5878" t="s">
        <v>12811</v>
      </c>
      <c r="G5878" s="200" t="s">
        <v>12837</v>
      </c>
      <c r="H5878" t="s">
        <v>12812</v>
      </c>
      <c r="K5878" s="200" t="s">
        <v>12858</v>
      </c>
      <c r="L5878" t="s">
        <v>12791</v>
      </c>
      <c r="M5878" s="1" t="s">
        <v>12807</v>
      </c>
      <c r="N5878" s="423"/>
      <c r="O5878" s="1"/>
      <c r="P5878" s="3"/>
      <c r="Q5878" s="3"/>
      <c r="R5878" s="3"/>
      <c r="S5878" s="3"/>
      <c r="V5878" t="s">
        <v>12804</v>
      </c>
      <c r="AF5878" s="64"/>
      <c r="AH5878" s="4"/>
      <c r="AI5878" s="4"/>
      <c r="AJ5878" s="4"/>
      <c r="AK5878" s="46"/>
      <c r="AL5878" s="46"/>
      <c r="AM5878" s="4"/>
    </row>
    <row r="5879" spans="1:39" customFormat="1" x14ac:dyDescent="0.3">
      <c r="A5879" s="386" t="s">
        <v>8327</v>
      </c>
      <c r="B5879" t="s">
        <v>13275</v>
      </c>
      <c r="C5879" s="200" t="s">
        <v>13252</v>
      </c>
      <c r="D5879" t="s">
        <v>6838</v>
      </c>
      <c r="E5879" s="200" t="s">
        <v>13253</v>
      </c>
      <c r="F5879" t="s">
        <v>12811</v>
      </c>
      <c r="G5879" s="200" t="s">
        <v>13254</v>
      </c>
      <c r="H5879" t="s">
        <v>12812</v>
      </c>
      <c r="K5879" s="200" t="s">
        <v>13255</v>
      </c>
      <c r="L5879" t="s">
        <v>12754</v>
      </c>
      <c r="M5879" s="1"/>
      <c r="N5879" s="423"/>
      <c r="O5879" s="1"/>
      <c r="P5879" s="3"/>
      <c r="Q5879" s="3"/>
      <c r="R5879" s="3"/>
      <c r="S5879" s="3"/>
      <c r="V5879" t="s">
        <v>12755</v>
      </c>
      <c r="AF5879" s="64"/>
      <c r="AH5879" s="4"/>
      <c r="AI5879" s="4"/>
      <c r="AJ5879" s="4"/>
      <c r="AK5879" s="398"/>
      <c r="AL5879" s="398"/>
      <c r="AM5879" s="4"/>
    </row>
    <row r="5880" spans="1:39" customFormat="1" x14ac:dyDescent="0.3">
      <c r="A5880" s="386" t="s">
        <v>8327</v>
      </c>
      <c r="B5880" t="s">
        <v>13275</v>
      </c>
      <c r="C5880" s="200" t="s">
        <v>13252</v>
      </c>
      <c r="D5880" t="s">
        <v>6838</v>
      </c>
      <c r="E5880" s="200" t="s">
        <v>13253</v>
      </c>
      <c r="F5880" t="s">
        <v>12811</v>
      </c>
      <c r="G5880" s="200" t="s">
        <v>13254</v>
      </c>
      <c r="H5880" t="s">
        <v>12812</v>
      </c>
      <c r="K5880" s="200" t="s">
        <v>13256</v>
      </c>
      <c r="L5880" t="s">
        <v>12808</v>
      </c>
      <c r="M5880" s="1"/>
      <c r="N5880" s="423"/>
      <c r="O5880" s="1"/>
      <c r="P5880" s="3"/>
      <c r="Q5880" s="3"/>
      <c r="R5880" s="3"/>
      <c r="S5880" s="3"/>
      <c r="V5880" t="s">
        <v>12809</v>
      </c>
      <c r="AF5880" s="64"/>
      <c r="AH5880" s="4"/>
      <c r="AI5880" s="4"/>
      <c r="AJ5880" s="4"/>
      <c r="AK5880" s="398"/>
      <c r="AL5880" s="398"/>
      <c r="AM5880" s="4"/>
    </row>
    <row r="5881" spans="1:39" customFormat="1" x14ac:dyDescent="0.3">
      <c r="A5881" s="386" t="s">
        <v>8327</v>
      </c>
      <c r="B5881" t="s">
        <v>13275</v>
      </c>
      <c r="C5881" s="200" t="s">
        <v>13252</v>
      </c>
      <c r="D5881" t="s">
        <v>6838</v>
      </c>
      <c r="E5881" s="200" t="s">
        <v>13253</v>
      </c>
      <c r="F5881" t="s">
        <v>12811</v>
      </c>
      <c r="G5881" s="200" t="s">
        <v>13254</v>
      </c>
      <c r="H5881" t="s">
        <v>12812</v>
      </c>
      <c r="K5881" s="200" t="s">
        <v>13257</v>
      </c>
      <c r="L5881" t="s">
        <v>12756</v>
      </c>
      <c r="M5881" s="1" t="s">
        <v>5766</v>
      </c>
      <c r="N5881" s="423"/>
      <c r="O5881" s="1"/>
      <c r="P5881" s="3"/>
      <c r="Q5881" s="3"/>
      <c r="R5881" s="3"/>
      <c r="S5881" s="3"/>
      <c r="V5881" t="s">
        <v>12792</v>
      </c>
      <c r="AF5881" s="64"/>
      <c r="AH5881" s="4"/>
      <c r="AI5881" s="4"/>
      <c r="AJ5881" s="4"/>
      <c r="AK5881" s="46"/>
      <c r="AL5881" s="46"/>
      <c r="AM5881" s="4"/>
    </row>
    <row r="5882" spans="1:39" customFormat="1" x14ac:dyDescent="0.3">
      <c r="A5882" s="386" t="s">
        <v>8327</v>
      </c>
      <c r="B5882" t="s">
        <v>13275</v>
      </c>
      <c r="C5882" s="200" t="s">
        <v>13252</v>
      </c>
      <c r="D5882" t="s">
        <v>6838</v>
      </c>
      <c r="E5882" s="200" t="s">
        <v>13253</v>
      </c>
      <c r="F5882" t="s">
        <v>12811</v>
      </c>
      <c r="G5882" s="200" t="s">
        <v>13254</v>
      </c>
      <c r="H5882" t="s">
        <v>12812</v>
      </c>
      <c r="K5882" s="200" t="s">
        <v>13258</v>
      </c>
      <c r="L5882" t="s">
        <v>12757</v>
      </c>
      <c r="M5882" s="1" t="s">
        <v>12758</v>
      </c>
      <c r="N5882" s="423"/>
      <c r="O5882" s="1"/>
      <c r="P5882" s="3"/>
      <c r="Q5882" s="3"/>
      <c r="R5882" s="3"/>
      <c r="S5882" s="3"/>
      <c r="V5882" t="s">
        <v>12793</v>
      </c>
      <c r="AF5882" s="64"/>
      <c r="AH5882" s="4"/>
      <c r="AI5882" s="4"/>
      <c r="AJ5882" s="4"/>
      <c r="AK5882" s="46"/>
      <c r="AL5882" s="46"/>
      <c r="AM5882" s="4"/>
    </row>
    <row r="5883" spans="1:39" customFormat="1" x14ac:dyDescent="0.3">
      <c r="A5883" s="386" t="s">
        <v>8327</v>
      </c>
      <c r="B5883" t="s">
        <v>13275</v>
      </c>
      <c r="C5883" s="200" t="s">
        <v>13252</v>
      </c>
      <c r="D5883" t="s">
        <v>6838</v>
      </c>
      <c r="E5883" s="200" t="s">
        <v>13253</v>
      </c>
      <c r="F5883" t="s">
        <v>12811</v>
      </c>
      <c r="G5883" s="200" t="s">
        <v>13254</v>
      </c>
      <c r="H5883" t="s">
        <v>12812</v>
      </c>
      <c r="K5883" s="200" t="s">
        <v>13259</v>
      </c>
      <c r="L5883" t="s">
        <v>12759</v>
      </c>
      <c r="M5883" s="1" t="s">
        <v>12760</v>
      </c>
      <c r="N5883" s="423"/>
      <c r="O5883" s="1"/>
      <c r="P5883" s="3"/>
      <c r="Q5883" s="3"/>
      <c r="R5883" s="3"/>
      <c r="S5883" s="3"/>
      <c r="V5883" t="s">
        <v>12794</v>
      </c>
      <c r="AF5883" s="64"/>
      <c r="AH5883" s="4"/>
      <c r="AI5883" s="4"/>
      <c r="AJ5883" s="4"/>
      <c r="AK5883" s="46"/>
      <c r="AL5883" s="46"/>
      <c r="AM5883" s="4"/>
    </row>
    <row r="5884" spans="1:39" customFormat="1" x14ac:dyDescent="0.3">
      <c r="A5884" s="386" t="s">
        <v>8327</v>
      </c>
      <c r="B5884" t="s">
        <v>13275</v>
      </c>
      <c r="C5884" s="200" t="s">
        <v>13252</v>
      </c>
      <c r="D5884" t="s">
        <v>6838</v>
      </c>
      <c r="E5884" s="200" t="s">
        <v>13253</v>
      </c>
      <c r="F5884" t="s">
        <v>12811</v>
      </c>
      <c r="G5884" s="200" t="s">
        <v>13254</v>
      </c>
      <c r="H5884" t="s">
        <v>12812</v>
      </c>
      <c r="K5884" s="200" t="s">
        <v>13260</v>
      </c>
      <c r="L5884" t="s">
        <v>12761</v>
      </c>
      <c r="M5884" s="1" t="s">
        <v>12762</v>
      </c>
      <c r="N5884" s="423"/>
      <c r="O5884" s="1"/>
      <c r="P5884" s="3"/>
      <c r="Q5884" s="3"/>
      <c r="R5884" s="3"/>
      <c r="S5884" s="3"/>
      <c r="V5884" t="s">
        <v>5782</v>
      </c>
      <c r="AF5884" s="64"/>
      <c r="AH5884" s="4"/>
      <c r="AI5884" s="4"/>
      <c r="AJ5884" s="4"/>
      <c r="AK5884" s="46"/>
      <c r="AL5884" s="46"/>
      <c r="AM5884" s="4"/>
    </row>
    <row r="5885" spans="1:39" customFormat="1" x14ac:dyDescent="0.3">
      <c r="A5885" s="386" t="s">
        <v>8327</v>
      </c>
      <c r="B5885" t="s">
        <v>13275</v>
      </c>
      <c r="C5885" s="200" t="s">
        <v>13252</v>
      </c>
      <c r="D5885" t="s">
        <v>6838</v>
      </c>
      <c r="E5885" s="200" t="s">
        <v>13253</v>
      </c>
      <c r="F5885" t="s">
        <v>12811</v>
      </c>
      <c r="G5885" s="200" t="s">
        <v>13254</v>
      </c>
      <c r="H5885" t="s">
        <v>12812</v>
      </c>
      <c r="K5885" s="200" t="s">
        <v>13261</v>
      </c>
      <c r="L5885" t="s">
        <v>12763</v>
      </c>
      <c r="M5885" s="1" t="s">
        <v>12764</v>
      </c>
      <c r="N5885" s="423"/>
      <c r="O5885" s="1"/>
      <c r="P5885" s="3"/>
      <c r="Q5885" s="3"/>
      <c r="R5885" s="3"/>
      <c r="S5885" s="3"/>
      <c r="V5885" t="s">
        <v>5783</v>
      </c>
      <c r="AF5885" s="64"/>
      <c r="AH5885" s="4"/>
      <c r="AI5885" s="4"/>
      <c r="AJ5885" s="4"/>
      <c r="AK5885" s="46"/>
      <c r="AL5885" s="46"/>
      <c r="AM5885" s="4"/>
    </row>
    <row r="5886" spans="1:39" customFormat="1" x14ac:dyDescent="0.3">
      <c r="A5886" s="386" t="s">
        <v>8327</v>
      </c>
      <c r="B5886" t="s">
        <v>13275</v>
      </c>
      <c r="C5886" s="200" t="s">
        <v>13252</v>
      </c>
      <c r="D5886" t="s">
        <v>6838</v>
      </c>
      <c r="E5886" s="200" t="s">
        <v>13253</v>
      </c>
      <c r="F5886" t="s">
        <v>12811</v>
      </c>
      <c r="G5886" s="200" t="s">
        <v>13254</v>
      </c>
      <c r="H5886" t="s">
        <v>12812</v>
      </c>
      <c r="K5886" s="200" t="s">
        <v>13262</v>
      </c>
      <c r="L5886" t="s">
        <v>12765</v>
      </c>
      <c r="M5886" s="1" t="s">
        <v>12766</v>
      </c>
      <c r="N5886" s="423"/>
      <c r="O5886" s="1"/>
      <c r="P5886" s="3"/>
      <c r="Q5886" s="3"/>
      <c r="R5886" s="3"/>
      <c r="S5886" s="3"/>
      <c r="V5886" t="s">
        <v>12795</v>
      </c>
      <c r="AF5886" s="64"/>
      <c r="AH5886" s="4"/>
      <c r="AI5886" s="4"/>
      <c r="AJ5886" s="4"/>
      <c r="AK5886" s="46"/>
      <c r="AL5886" s="46"/>
      <c r="AM5886" s="4"/>
    </row>
    <row r="5887" spans="1:39" customFormat="1" x14ac:dyDescent="0.3">
      <c r="A5887" s="386" t="s">
        <v>8327</v>
      </c>
      <c r="B5887" t="s">
        <v>13275</v>
      </c>
      <c r="C5887" s="200" t="s">
        <v>13252</v>
      </c>
      <c r="D5887" t="s">
        <v>6838</v>
      </c>
      <c r="E5887" s="200" t="s">
        <v>13253</v>
      </c>
      <c r="F5887" t="s">
        <v>12811</v>
      </c>
      <c r="G5887" s="200" t="s">
        <v>13254</v>
      </c>
      <c r="H5887" t="s">
        <v>12812</v>
      </c>
      <c r="K5887" s="200" t="s">
        <v>13263</v>
      </c>
      <c r="L5887" t="s">
        <v>12767</v>
      </c>
      <c r="M5887" s="1" t="s">
        <v>12768</v>
      </c>
      <c r="N5887" s="423"/>
      <c r="O5887" s="1"/>
      <c r="P5887" s="3"/>
      <c r="Q5887" s="3"/>
      <c r="R5887" s="3"/>
      <c r="S5887" s="3"/>
      <c r="V5887" t="s">
        <v>12796</v>
      </c>
      <c r="AF5887" s="64"/>
      <c r="AH5887" s="4"/>
      <c r="AI5887" s="4"/>
      <c r="AJ5887" s="4"/>
      <c r="AK5887" s="46"/>
      <c r="AL5887" s="46"/>
      <c r="AM5887" s="4"/>
    </row>
    <row r="5888" spans="1:39" customFormat="1" x14ac:dyDescent="0.3">
      <c r="A5888" s="386" t="s">
        <v>8327</v>
      </c>
      <c r="B5888" t="s">
        <v>13275</v>
      </c>
      <c r="C5888" s="200" t="s">
        <v>13252</v>
      </c>
      <c r="D5888" t="s">
        <v>6838</v>
      </c>
      <c r="E5888" s="200" t="s">
        <v>13253</v>
      </c>
      <c r="F5888" t="s">
        <v>12811</v>
      </c>
      <c r="G5888" s="200" t="s">
        <v>13254</v>
      </c>
      <c r="H5888" t="s">
        <v>12812</v>
      </c>
      <c r="K5888" s="200" t="s">
        <v>13264</v>
      </c>
      <c r="L5888" t="s">
        <v>12769</v>
      </c>
      <c r="M5888" s="1" t="s">
        <v>12770</v>
      </c>
      <c r="N5888" s="423"/>
      <c r="O5888" s="1"/>
      <c r="P5888" s="3"/>
      <c r="Q5888" s="3"/>
      <c r="R5888" s="3"/>
      <c r="S5888" s="3"/>
      <c r="V5888" t="s">
        <v>5786</v>
      </c>
      <c r="AF5888" s="64"/>
      <c r="AH5888" s="4"/>
      <c r="AI5888" s="4"/>
      <c r="AJ5888" s="4"/>
      <c r="AK5888" s="46"/>
      <c r="AL5888" s="46"/>
      <c r="AM5888" s="4"/>
    </row>
    <row r="5889" spans="1:39" customFormat="1" x14ac:dyDescent="0.3">
      <c r="A5889" s="386" t="s">
        <v>8327</v>
      </c>
      <c r="B5889" t="s">
        <v>13275</v>
      </c>
      <c r="C5889" s="200" t="s">
        <v>13252</v>
      </c>
      <c r="D5889" t="s">
        <v>6838</v>
      </c>
      <c r="E5889" s="200" t="s">
        <v>13253</v>
      </c>
      <c r="F5889" t="s">
        <v>12811</v>
      </c>
      <c r="G5889" s="200" t="s">
        <v>13254</v>
      </c>
      <c r="H5889" t="s">
        <v>12812</v>
      </c>
      <c r="K5889" s="200" t="s">
        <v>13265</v>
      </c>
      <c r="L5889" t="s">
        <v>12771</v>
      </c>
      <c r="M5889" s="1" t="s">
        <v>12772</v>
      </c>
      <c r="N5889" s="423"/>
      <c r="O5889" s="1"/>
      <c r="P5889" s="3"/>
      <c r="Q5889" s="3"/>
      <c r="R5889" s="3"/>
      <c r="S5889" s="3"/>
      <c r="V5889" t="s">
        <v>12800</v>
      </c>
      <c r="AF5889" s="64"/>
      <c r="AH5889" s="4"/>
      <c r="AI5889" s="4"/>
      <c r="AJ5889" s="4"/>
      <c r="AK5889" s="46"/>
      <c r="AL5889" s="46"/>
      <c r="AM5889" s="4"/>
    </row>
    <row r="5890" spans="1:39" customFormat="1" x14ac:dyDescent="0.3">
      <c r="A5890" s="386" t="s">
        <v>8327</v>
      </c>
      <c r="B5890" t="s">
        <v>13275</v>
      </c>
      <c r="C5890" s="200" t="s">
        <v>13252</v>
      </c>
      <c r="D5890" t="s">
        <v>6838</v>
      </c>
      <c r="E5890" s="200" t="s">
        <v>13253</v>
      </c>
      <c r="F5890" t="s">
        <v>12811</v>
      </c>
      <c r="G5890" s="200" t="s">
        <v>13254</v>
      </c>
      <c r="H5890" t="s">
        <v>12812</v>
      </c>
      <c r="K5890" s="200" t="s">
        <v>13266</v>
      </c>
      <c r="L5890" t="s">
        <v>12773</v>
      </c>
      <c r="M5890" s="1" t="s">
        <v>12774</v>
      </c>
      <c r="N5890" s="423"/>
      <c r="O5890" s="1"/>
      <c r="P5890" s="3"/>
      <c r="Q5890" s="3"/>
      <c r="R5890" s="3"/>
      <c r="S5890" s="3"/>
      <c r="V5890" t="s">
        <v>12797</v>
      </c>
      <c r="AF5890" s="64"/>
      <c r="AH5890" s="4"/>
      <c r="AI5890" s="4"/>
      <c r="AJ5890" s="4"/>
      <c r="AK5890" s="46"/>
      <c r="AL5890" s="46"/>
      <c r="AM5890" s="4"/>
    </row>
    <row r="5891" spans="1:39" customFormat="1" x14ac:dyDescent="0.3">
      <c r="A5891" s="386" t="s">
        <v>8327</v>
      </c>
      <c r="B5891" t="s">
        <v>13275</v>
      </c>
      <c r="C5891" s="200" t="s">
        <v>13252</v>
      </c>
      <c r="D5891" t="s">
        <v>6838</v>
      </c>
      <c r="E5891" s="200" t="s">
        <v>13253</v>
      </c>
      <c r="F5891" t="s">
        <v>12811</v>
      </c>
      <c r="G5891" s="200" t="s">
        <v>13254</v>
      </c>
      <c r="H5891" t="s">
        <v>12812</v>
      </c>
      <c r="K5891" s="200" t="s">
        <v>13267</v>
      </c>
      <c r="L5891" t="s">
        <v>12775</v>
      </c>
      <c r="M5891" s="1" t="s">
        <v>12776</v>
      </c>
      <c r="N5891" s="423"/>
      <c r="O5891" s="1"/>
      <c r="P5891" s="3"/>
      <c r="Q5891" s="3"/>
      <c r="R5891" s="3"/>
      <c r="S5891" s="3"/>
      <c r="V5891" t="s">
        <v>12798</v>
      </c>
      <c r="AF5891" s="64"/>
      <c r="AH5891" s="4"/>
      <c r="AI5891" s="4"/>
      <c r="AJ5891" s="4"/>
      <c r="AK5891" s="46"/>
      <c r="AL5891" s="46"/>
      <c r="AM5891" s="4"/>
    </row>
    <row r="5892" spans="1:39" customFormat="1" x14ac:dyDescent="0.3">
      <c r="A5892" s="386" t="s">
        <v>8327</v>
      </c>
      <c r="B5892" t="s">
        <v>13275</v>
      </c>
      <c r="C5892" s="200" t="s">
        <v>13252</v>
      </c>
      <c r="D5892" t="s">
        <v>6838</v>
      </c>
      <c r="E5892" s="200" t="s">
        <v>13253</v>
      </c>
      <c r="F5892" t="s">
        <v>12811</v>
      </c>
      <c r="G5892" s="200" t="s">
        <v>13254</v>
      </c>
      <c r="H5892" t="s">
        <v>12812</v>
      </c>
      <c r="K5892" s="200" t="s">
        <v>13268</v>
      </c>
      <c r="L5892" t="s">
        <v>12777</v>
      </c>
      <c r="M5892" s="1" t="s">
        <v>12778</v>
      </c>
      <c r="N5892" s="423"/>
      <c r="O5892" s="1"/>
      <c r="P5892" s="3"/>
      <c r="Q5892" s="3"/>
      <c r="R5892" s="3"/>
      <c r="S5892" s="3"/>
      <c r="V5892" t="s">
        <v>5789</v>
      </c>
      <c r="AF5892" s="64"/>
      <c r="AH5892" s="4"/>
      <c r="AI5892" s="4"/>
      <c r="AJ5892" s="4"/>
      <c r="AK5892" s="46"/>
      <c r="AL5892" s="46"/>
      <c r="AM5892" s="4"/>
    </row>
    <row r="5893" spans="1:39" customFormat="1" x14ac:dyDescent="0.3">
      <c r="A5893" s="386" t="s">
        <v>8327</v>
      </c>
      <c r="B5893" t="s">
        <v>13275</v>
      </c>
      <c r="C5893" s="200" t="s">
        <v>13252</v>
      </c>
      <c r="D5893" t="s">
        <v>6838</v>
      </c>
      <c r="E5893" s="200" t="s">
        <v>13253</v>
      </c>
      <c r="F5893" t="s">
        <v>12811</v>
      </c>
      <c r="G5893" s="200" t="s">
        <v>13254</v>
      </c>
      <c r="H5893" t="s">
        <v>12812</v>
      </c>
      <c r="K5893" s="200" t="s">
        <v>13269</v>
      </c>
      <c r="L5893" t="s">
        <v>12779</v>
      </c>
      <c r="M5893" s="1" t="s">
        <v>12780</v>
      </c>
      <c r="N5893" s="423"/>
      <c r="O5893" s="1"/>
      <c r="P5893" s="3"/>
      <c r="Q5893" s="3"/>
      <c r="R5893" s="3"/>
      <c r="S5893" s="3"/>
      <c r="V5893" t="s">
        <v>12799</v>
      </c>
      <c r="AF5893" s="64"/>
      <c r="AH5893" s="4"/>
      <c r="AI5893" s="4"/>
      <c r="AJ5893" s="4"/>
      <c r="AK5893" s="46"/>
      <c r="AL5893" s="46"/>
      <c r="AM5893" s="4"/>
    </row>
    <row r="5894" spans="1:39" customFormat="1" x14ac:dyDescent="0.3">
      <c r="A5894" s="386" t="s">
        <v>8327</v>
      </c>
      <c r="B5894" t="s">
        <v>13275</v>
      </c>
      <c r="C5894" s="200" t="s">
        <v>13252</v>
      </c>
      <c r="D5894" t="s">
        <v>6838</v>
      </c>
      <c r="E5894" s="200" t="s">
        <v>13253</v>
      </c>
      <c r="F5894" t="s">
        <v>12811</v>
      </c>
      <c r="G5894" s="200" t="s">
        <v>13254</v>
      </c>
      <c r="H5894" t="s">
        <v>12812</v>
      </c>
      <c r="K5894" s="200" t="s">
        <v>13270</v>
      </c>
      <c r="L5894" t="s">
        <v>12806</v>
      </c>
      <c r="M5894" s="1" t="s">
        <v>12781</v>
      </c>
      <c r="N5894" s="423"/>
      <c r="O5894" s="1"/>
      <c r="P5894" s="3"/>
      <c r="Q5894" s="3"/>
      <c r="R5894" s="3"/>
      <c r="S5894" s="3"/>
      <c r="V5894" t="s">
        <v>12805</v>
      </c>
      <c r="AF5894" s="64"/>
      <c r="AH5894" s="4"/>
      <c r="AI5894" s="4"/>
      <c r="AJ5894" s="4"/>
      <c r="AK5894" s="46"/>
      <c r="AL5894" s="46"/>
      <c r="AM5894" s="4"/>
    </row>
    <row r="5895" spans="1:39" customFormat="1" x14ac:dyDescent="0.3">
      <c r="A5895" s="386" t="s">
        <v>8327</v>
      </c>
      <c r="B5895" t="s">
        <v>13275</v>
      </c>
      <c r="C5895" s="200" t="s">
        <v>13252</v>
      </c>
      <c r="D5895" t="s">
        <v>6838</v>
      </c>
      <c r="E5895" s="200" t="s">
        <v>13253</v>
      </c>
      <c r="F5895" t="s">
        <v>12811</v>
      </c>
      <c r="G5895" s="200" t="s">
        <v>13254</v>
      </c>
      <c r="H5895" t="s">
        <v>12812</v>
      </c>
      <c r="K5895" s="200" t="s">
        <v>13271</v>
      </c>
      <c r="L5895" t="s">
        <v>12782</v>
      </c>
      <c r="M5895" s="1"/>
      <c r="N5895" s="423"/>
      <c r="O5895" s="1"/>
      <c r="P5895" s="3"/>
      <c r="Q5895" s="3"/>
      <c r="R5895" s="3"/>
      <c r="S5895" s="3"/>
      <c r="V5895" t="s">
        <v>12782</v>
      </c>
      <c r="AF5895" s="64"/>
      <c r="AH5895" s="4"/>
      <c r="AI5895" s="4"/>
      <c r="AJ5895" s="4"/>
      <c r="AK5895" s="46"/>
      <c r="AL5895" s="46"/>
      <c r="AM5895" s="4"/>
    </row>
    <row r="5896" spans="1:39" customFormat="1" x14ac:dyDescent="0.3">
      <c r="A5896" s="386" t="s">
        <v>8327</v>
      </c>
      <c r="B5896" t="s">
        <v>13275</v>
      </c>
      <c r="C5896" s="200" t="s">
        <v>13252</v>
      </c>
      <c r="D5896" t="s">
        <v>6838</v>
      </c>
      <c r="E5896" s="200" t="s">
        <v>13253</v>
      </c>
      <c r="F5896" t="s">
        <v>12811</v>
      </c>
      <c r="G5896" s="200" t="s">
        <v>13254</v>
      </c>
      <c r="H5896" t="s">
        <v>12812</v>
      </c>
      <c r="K5896" s="200" t="s">
        <v>13255</v>
      </c>
      <c r="L5896" t="s">
        <v>12783</v>
      </c>
      <c r="M5896" s="1" t="s">
        <v>12784</v>
      </c>
      <c r="N5896" s="423"/>
      <c r="O5896" s="1"/>
      <c r="P5896" s="3"/>
      <c r="Q5896" s="3"/>
      <c r="R5896" s="3"/>
      <c r="S5896" s="3"/>
      <c r="V5896" t="s">
        <v>12783</v>
      </c>
      <c r="AF5896" s="64"/>
      <c r="AH5896" s="4"/>
      <c r="AI5896" s="4"/>
      <c r="AJ5896" s="4"/>
      <c r="AK5896" s="46"/>
      <c r="AL5896" s="46"/>
      <c r="AM5896" s="4"/>
    </row>
    <row r="5897" spans="1:39" customFormat="1" x14ac:dyDescent="0.3">
      <c r="A5897" s="386" t="s">
        <v>8327</v>
      </c>
      <c r="B5897" t="s">
        <v>13275</v>
      </c>
      <c r="C5897" s="200" t="s">
        <v>13252</v>
      </c>
      <c r="D5897" t="s">
        <v>6838</v>
      </c>
      <c r="E5897" s="200" t="s">
        <v>13253</v>
      </c>
      <c r="F5897" t="s">
        <v>12811</v>
      </c>
      <c r="G5897" s="200" t="s">
        <v>13254</v>
      </c>
      <c r="H5897" t="s">
        <v>12812</v>
      </c>
      <c r="K5897" s="200" t="s">
        <v>13255</v>
      </c>
      <c r="L5897" t="s">
        <v>12785</v>
      </c>
      <c r="M5897" s="1" t="s">
        <v>12786</v>
      </c>
      <c r="N5897" s="423"/>
      <c r="O5897" s="1"/>
      <c r="P5897" s="3"/>
      <c r="Q5897" s="3"/>
      <c r="R5897" s="3"/>
      <c r="S5897" s="3"/>
      <c r="V5897" t="s">
        <v>12801</v>
      </c>
      <c r="AF5897" s="64"/>
      <c r="AH5897" s="4"/>
      <c r="AI5897" s="4"/>
      <c r="AJ5897" s="4"/>
      <c r="AK5897" s="46"/>
      <c r="AL5897" s="46"/>
      <c r="AM5897" s="4"/>
    </row>
    <row r="5898" spans="1:39" customFormat="1" x14ac:dyDescent="0.3">
      <c r="A5898" s="386" t="s">
        <v>8327</v>
      </c>
      <c r="B5898" t="s">
        <v>13275</v>
      </c>
      <c r="C5898" s="200" t="s">
        <v>13252</v>
      </c>
      <c r="D5898" t="s">
        <v>6838</v>
      </c>
      <c r="E5898" s="200" t="s">
        <v>13253</v>
      </c>
      <c r="F5898" t="s">
        <v>12811</v>
      </c>
      <c r="G5898" s="200" t="s">
        <v>13254</v>
      </c>
      <c r="H5898" t="s">
        <v>12812</v>
      </c>
      <c r="K5898" s="200" t="s">
        <v>13272</v>
      </c>
      <c r="L5898" t="s">
        <v>12787</v>
      </c>
      <c r="M5898" s="1" t="s">
        <v>12788</v>
      </c>
      <c r="N5898" s="423"/>
      <c r="O5898" s="1"/>
      <c r="P5898" s="3"/>
      <c r="Q5898" s="3"/>
      <c r="R5898" s="3"/>
      <c r="S5898" s="3"/>
      <c r="V5898" t="s">
        <v>12802</v>
      </c>
      <c r="AF5898" s="64"/>
      <c r="AH5898" s="4"/>
      <c r="AI5898" s="4"/>
      <c r="AJ5898" s="4"/>
      <c r="AK5898" s="46"/>
      <c r="AL5898" s="46"/>
      <c r="AM5898" s="4"/>
    </row>
    <row r="5899" spans="1:39" customFormat="1" x14ac:dyDescent="0.3">
      <c r="A5899" s="386" t="s">
        <v>8327</v>
      </c>
      <c r="B5899" t="s">
        <v>13275</v>
      </c>
      <c r="C5899" s="200" t="s">
        <v>13252</v>
      </c>
      <c r="D5899" t="s">
        <v>6838</v>
      </c>
      <c r="E5899" s="200" t="s">
        <v>13253</v>
      </c>
      <c r="F5899" t="s">
        <v>12811</v>
      </c>
      <c r="G5899" s="200" t="s">
        <v>13254</v>
      </c>
      <c r="H5899" t="s">
        <v>12812</v>
      </c>
      <c r="K5899" s="200" t="s">
        <v>13273</v>
      </c>
      <c r="L5899" t="s">
        <v>12789</v>
      </c>
      <c r="M5899" s="1" t="s">
        <v>12790</v>
      </c>
      <c r="N5899" s="423"/>
      <c r="O5899" s="1"/>
      <c r="P5899" s="3"/>
      <c r="Q5899" s="3"/>
      <c r="R5899" s="3"/>
      <c r="S5899" s="3"/>
      <c r="V5899" t="s">
        <v>12803</v>
      </c>
      <c r="AF5899" s="64"/>
      <c r="AH5899" s="4"/>
      <c r="AI5899" s="4"/>
      <c r="AJ5899" s="4"/>
      <c r="AK5899" s="46"/>
      <c r="AL5899" s="46"/>
      <c r="AM5899" s="4"/>
    </row>
    <row r="5900" spans="1:39" customFormat="1" x14ac:dyDescent="0.3">
      <c r="A5900" s="386" t="s">
        <v>8327</v>
      </c>
      <c r="B5900" t="s">
        <v>13275</v>
      </c>
      <c r="C5900" s="200" t="s">
        <v>13252</v>
      </c>
      <c r="D5900" t="s">
        <v>6838</v>
      </c>
      <c r="E5900" s="200" t="s">
        <v>13253</v>
      </c>
      <c r="F5900" t="s">
        <v>12811</v>
      </c>
      <c r="G5900" s="200" t="s">
        <v>13254</v>
      </c>
      <c r="H5900" t="s">
        <v>12812</v>
      </c>
      <c r="K5900" s="200" t="s">
        <v>13274</v>
      </c>
      <c r="L5900" t="s">
        <v>12791</v>
      </c>
      <c r="M5900" s="1" t="s">
        <v>12807</v>
      </c>
      <c r="N5900" s="423"/>
      <c r="O5900" s="1"/>
      <c r="P5900" s="3"/>
      <c r="Q5900" s="3"/>
      <c r="R5900" s="3"/>
      <c r="S5900" s="3"/>
      <c r="V5900" t="s">
        <v>12804</v>
      </c>
      <c r="AF5900" s="64"/>
      <c r="AH5900" s="4"/>
      <c r="AI5900" s="4"/>
      <c r="AJ5900" s="4"/>
      <c r="AK5900" s="46"/>
      <c r="AL5900" s="46"/>
      <c r="AM5900" s="4"/>
    </row>
  </sheetData>
  <sheetProtection algorithmName="SHA-512" hashValue="N9EkZK5LC/AMK4QokypSbzj660GBBtvMft15B7L0veVDrOF2/TVVHQJdtG5/K/Xmek69sgYhFi3a9OKDlNIYYQ==" saltValue="bYEbnS4WCLpQ240p/FsmNg==" spinCount="100000" sheet="1" autoFilter="0" pivotTables="0"/>
  <protectedRanges>
    <protectedRange algorithmName="SHA-512" hashValue="lLoAV23vayJIeC+1v/ZduC0aKohlW+qlg8MKNuOX25qWDLsEVgpuVxPEYtXRIqVuGyPL9Pa9bJKSulXXKTHVxw==" saltValue="mdE18MM5WIpZe1fyLf7OAg==" spinCount="100000" sqref="M564:T585 P6295:T6863 M6295:O6862 M5854:T5856 M5:T346" name="M_T"/>
    <protectedRange algorithmName="SHA-512" hashValue="jY96UnylzPd2vZkRLfM8XmmJGWFJSSTGviPCXzMTiv3QOzQIjhLd0w3jlLlozcwC8eGz4qqU/rnIYRCHborlOw==" saltValue="CqFUHF8Z4PJMj52R2Kx+yA==" spinCount="100000" sqref="AK564:AL585 AK5:AL346 AK6295:AL6863" name="FY2023_24 and FY2024_25"/>
    <protectedRange algorithmName="SHA-512" hashValue="LnnTiFHW88v+Lt/birpZCwnxW62fSr/gAkBSFlUfSgwdfFWdf99knSzHDeoMAIBP5f47zs9wPG8trApANE0a5A==" saltValue="YxL3gEWV5b0y4dkncLyqQQ==" spinCount="100000" sqref="AI5854:AL5856 W5:AA139 W140:AB140 AC5:AD212 W141:AA212 W213:AD213 W214:AA324 W564:AD585 AE5854:AE5856 AN5854:AO5856 U5854:U5856 AC214:AD324 W325:AD346 W6295:AD6863" name="criteria"/>
    <protectedRange algorithmName="SHA-512" hashValue="8vlAHijakGcEe+uTbvEo8hCNUrc8oV0mPYVwLAtftdU3yRwsScROrfrNOwGt5fx3OSsSqzs+dvl7p3PJCgs5zA==" saltValue="Ip3QQ+Fe7ypKUoABAhonuA==" spinCount="100000" sqref="AF564:AG585 AF5854:AG5856 AF5:AG346 AF6295:AG6863" name="AF_AG"/>
    <protectedRange algorithmName="SHA-512" hashValue="xVHQb+m8TPrCupBSUPofR+4mBqbTXWKv8zWrwen32Akm8RblXJOWFy/Cy2P4w35dSJ+elIHPqNYqI9hLSfD6TQ==" saltValue="1vuIOlrMbfwb5AHSRxNcMw==" spinCount="100000" sqref="M3369:T3488" name="M_T_1"/>
    <protectedRange algorithmName="SHA-512" hashValue="jY96UnylzPd2vZkRLfM8XmmJGWFJSSTGviPCXzMTiv3QOzQIjhLd0w3jlLlozcwC8eGz4qqU/rnIYRCHborlOw==" saltValue="CqFUHF8Z4PJMj52R2Kx+yA==" spinCount="100000" sqref="AK3369:AL3488" name="FY2023_24 and FY2024_25_1"/>
    <protectedRange algorithmName="SHA-512" hashValue="LnnTiFHW88v+Lt/birpZCwnxW62fSr/gAkBSFlUfSgwdfFWdf99knSzHDeoMAIBP5f47zs9wPG8trApANE0a5A==" saltValue="YxL3gEWV5b0y4dkncLyqQQ==" spinCount="100000" sqref="W3369:AD3488" name="criteria_1"/>
    <protectedRange algorithmName="SHA-512" hashValue="8vlAHijakGcEe+uTbvEo8hCNUrc8oV0mPYVwLAtftdU3yRwsScROrfrNOwGt5fx3OSsSqzs+dvl7p3PJCgs5zA==" saltValue="Ip3QQ+Fe7ypKUoABAhonuA==" spinCount="100000" sqref="AF3369:AG3488" name="AF_AG_1"/>
    <protectedRange algorithmName="SHA-512" hashValue="xVHQb+m8TPrCupBSUPofR+4mBqbTXWKv8zWrwen32Akm8RblXJOWFy/Cy2P4w35dSJ+elIHPqNYqI9hLSfD6TQ==" saltValue="1vuIOlrMbfwb5AHSRxNcMw==" spinCount="100000" sqref="M2165:T2318" name="M_T_2"/>
    <protectedRange algorithmName="SHA-512" hashValue="jY96UnylzPd2vZkRLfM8XmmJGWFJSSTGviPCXzMTiv3QOzQIjhLd0w3jlLlozcwC8eGz4qqU/rnIYRCHborlOw==" saltValue="CqFUHF8Z4PJMj52R2Kx+yA==" spinCount="100000" sqref="AK2168:AL2240 AK2254:AL2262 AK2264:AL2265 AK2274:AL2277 AK2283:AL2318" name="FY2023_24 and FY2024_25_2"/>
    <protectedRange algorithmName="SHA-512" hashValue="LnnTiFHW88v+Lt/birpZCwnxW62fSr/gAkBSFlUfSgwdfFWdf99knSzHDeoMAIBP5f47zs9wPG8trApANE0a5A==" saltValue="YxL3gEWV5b0y4dkncLyqQQ==" spinCount="100000" sqref="W2165:AD2318" name="criteria_2"/>
    <protectedRange algorithmName="SHA-512" hashValue="8vlAHijakGcEe+uTbvEo8hCNUrc8oV0mPYVwLAtftdU3yRwsScROrfrNOwGt5fx3OSsSqzs+dvl7p3PJCgs5zA==" saltValue="Ip3QQ+Fe7ypKUoABAhonuA==" spinCount="100000" sqref="AF2165:AG2318" name="AF_AG_2"/>
    <protectedRange algorithmName="SHA-512" hashValue="jY96UnylzPd2vZkRLfM8XmmJGWFJSSTGviPCXzMTiv3QOzQIjhLd0w3jlLlozcwC8eGz4qqU/rnIYRCHborlOw==" saltValue="CqFUHF8Z4PJMj52R2Kx+yA==" spinCount="100000" sqref="AK2165:AL2165" name="FY2023_24 and FY2024_25_1_1"/>
    <protectedRange algorithmName="SHA-512" hashValue="jY96UnylzPd2vZkRLfM8XmmJGWFJSSTGviPCXzMTiv3QOzQIjhLd0w3jlLlozcwC8eGz4qqU/rnIYRCHborlOw==" saltValue="CqFUHF8Z4PJMj52R2Kx+yA==" spinCount="100000" sqref="AK2166:AL2166" name="FY2023_24 and FY2024_25_2_1"/>
    <protectedRange algorithmName="SHA-512" hashValue="jY96UnylzPd2vZkRLfM8XmmJGWFJSSTGviPCXzMTiv3QOzQIjhLd0w3jlLlozcwC8eGz4qqU/rnIYRCHborlOw==" saltValue="CqFUHF8Z4PJMj52R2Kx+yA==" spinCount="100000" sqref="AK2167:AL2167" name="FY2023_24 and FY2024_25_3"/>
    <protectedRange algorithmName="SHA-512" hashValue="jY96UnylzPd2vZkRLfM8XmmJGWFJSSTGviPCXzMTiv3QOzQIjhLd0w3jlLlozcwC8eGz4qqU/rnIYRCHborlOw==" saltValue="CqFUHF8Z4PJMj52R2Kx+yA==" spinCount="100000" sqref="AK2241:AL2242" name="FY2023_24 and FY2024_25_4"/>
    <protectedRange algorithmName="SHA-512" hashValue="jY96UnylzPd2vZkRLfM8XmmJGWFJSSTGviPCXzMTiv3QOzQIjhLd0w3jlLlozcwC8eGz4qqU/rnIYRCHborlOw==" saltValue="CqFUHF8Z4PJMj52R2Kx+yA==" spinCount="100000" sqref="AK2243:AL2243" name="FY2023_24 and FY2024_25_5"/>
    <protectedRange algorithmName="SHA-512" hashValue="jY96UnylzPd2vZkRLfM8XmmJGWFJSSTGviPCXzMTiv3QOzQIjhLd0w3jlLlozcwC8eGz4qqU/rnIYRCHborlOw==" saltValue="CqFUHF8Z4PJMj52R2Kx+yA==" spinCount="100000" sqref="AK2244:AL2245" name="FY2023_24 and FY2024_25_6"/>
    <protectedRange algorithmName="SHA-512" hashValue="jY96UnylzPd2vZkRLfM8XmmJGWFJSSTGviPCXzMTiv3QOzQIjhLd0w3jlLlozcwC8eGz4qqU/rnIYRCHborlOw==" saltValue="CqFUHF8Z4PJMj52R2Kx+yA==" spinCount="100000" sqref="AK2246:AL2246" name="FY2023_24 and FY2024_25_7"/>
    <protectedRange algorithmName="SHA-512" hashValue="jY96UnylzPd2vZkRLfM8XmmJGWFJSSTGviPCXzMTiv3QOzQIjhLd0w3jlLlozcwC8eGz4qqU/rnIYRCHborlOw==" saltValue="CqFUHF8Z4PJMj52R2Kx+yA==" spinCount="100000" sqref="AK2247:AL2252" name="FY2023_24 and FY2024_25_8"/>
    <protectedRange algorithmName="SHA-512" hashValue="jY96UnylzPd2vZkRLfM8XmmJGWFJSSTGviPCXzMTiv3QOzQIjhLd0w3jlLlozcwC8eGz4qqU/rnIYRCHborlOw==" saltValue="CqFUHF8Z4PJMj52R2Kx+yA==" spinCount="100000" sqref="AK2253:AL2253" name="FY2023_24 and FY2024_25_9"/>
    <protectedRange algorithmName="SHA-512" hashValue="jY96UnylzPd2vZkRLfM8XmmJGWFJSSTGviPCXzMTiv3QOzQIjhLd0w3jlLlozcwC8eGz4qqU/rnIYRCHborlOw==" saltValue="CqFUHF8Z4PJMj52R2Kx+yA==" spinCount="100000" sqref="AK2263:AL2263" name="FY2023_24 and FY2024_25_10"/>
    <protectedRange algorithmName="SHA-512" hashValue="jY96UnylzPd2vZkRLfM8XmmJGWFJSSTGviPCXzMTiv3QOzQIjhLd0w3jlLlozcwC8eGz4qqU/rnIYRCHborlOw==" saltValue="CqFUHF8Z4PJMj52R2Kx+yA==" spinCount="100000" sqref="AK2266:AL2266" name="FY2023_24 and FY2024_25_11"/>
    <protectedRange algorithmName="SHA-512" hashValue="jY96UnylzPd2vZkRLfM8XmmJGWFJSSTGviPCXzMTiv3QOzQIjhLd0w3jlLlozcwC8eGz4qqU/rnIYRCHborlOw==" saltValue="CqFUHF8Z4PJMj52R2Kx+yA==" spinCount="100000" sqref="AK2267:AL2272" name="FY2023_24 and FY2024_25_12"/>
    <protectedRange algorithmName="SHA-512" hashValue="jY96UnylzPd2vZkRLfM8XmmJGWFJSSTGviPCXzMTiv3QOzQIjhLd0w3jlLlozcwC8eGz4qqU/rnIYRCHborlOw==" saltValue="CqFUHF8Z4PJMj52R2Kx+yA==" spinCount="100000" sqref="AK2273:AL2273" name="FY2023_24 and FY2024_25_13"/>
    <protectedRange algorithmName="SHA-512" hashValue="jY96UnylzPd2vZkRLfM8XmmJGWFJSSTGviPCXzMTiv3QOzQIjhLd0w3jlLlozcwC8eGz4qqU/rnIYRCHborlOw==" saltValue="CqFUHF8Z4PJMj52R2Kx+yA==" spinCount="100000" sqref="AK2278:AL2279" name="FY2023_24 and FY2024_25_14"/>
    <protectedRange algorithmName="SHA-512" hashValue="jY96UnylzPd2vZkRLfM8XmmJGWFJSSTGviPCXzMTiv3QOzQIjhLd0w3jlLlozcwC8eGz4qqU/rnIYRCHborlOw==" saltValue="CqFUHF8Z4PJMj52R2Kx+yA==" spinCount="100000" sqref="AK2280:AL2280" name="FY2023_24 and FY2024_25_15"/>
    <protectedRange algorithmName="SHA-512" hashValue="jY96UnylzPd2vZkRLfM8XmmJGWFJSSTGviPCXzMTiv3QOzQIjhLd0w3jlLlozcwC8eGz4qqU/rnIYRCHborlOw==" saltValue="CqFUHF8Z4PJMj52R2Kx+yA==" spinCount="100000" sqref="AK2281:AL2282" name="FY2023_24 and FY2024_25_16"/>
    <protectedRange algorithmName="SHA-512" hashValue="xVHQb+m8TPrCupBSUPofR+4mBqbTXWKv8zWrwen32Akm8RblXJOWFy/Cy2P4w35dSJ+elIHPqNYqI9hLSfD6TQ==" saltValue="1vuIOlrMbfwb5AHSRxNcMw==" spinCount="100000" sqref="M1688:T1923" name="M_T_3"/>
    <protectedRange algorithmName="SHA-512" hashValue="jY96UnylzPd2vZkRLfM8XmmJGWFJSSTGviPCXzMTiv3QOzQIjhLd0w3jlLlozcwC8eGz4qqU/rnIYRCHborlOw==" saltValue="CqFUHF8Z4PJMj52R2Kx+yA==" spinCount="100000" sqref="AK1688:AL1923" name="FY2023_24 and FY2024_25_17"/>
    <protectedRange algorithmName="SHA-512" hashValue="LnnTiFHW88v+Lt/birpZCwnxW62fSr/gAkBSFlUfSgwdfFWdf99knSzHDeoMAIBP5f47zs9wPG8trApANE0a5A==" saltValue="YxL3gEWV5b0y4dkncLyqQQ==" spinCount="100000" sqref="W1688:AD1923" name="criteria_3"/>
    <protectedRange algorithmName="SHA-512" hashValue="8vlAHijakGcEe+uTbvEo8hCNUrc8oV0mPYVwLAtftdU3yRwsScROrfrNOwGt5fx3OSsSqzs+dvl7p3PJCgs5zA==" saltValue="Ip3QQ+Fe7ypKUoABAhonuA==" spinCount="100000" sqref="AF1688:AG1923" name="AF_AG_3"/>
    <protectedRange algorithmName="SHA-512" hashValue="xVHQb+m8TPrCupBSUPofR+4mBqbTXWKv8zWrwen32Akm8RblXJOWFy/Cy2P4w35dSJ+elIHPqNYqI9hLSfD6TQ==" saltValue="1vuIOlrMbfwb5AHSRxNcMw==" spinCount="100000" sqref="M3053:T3099" name="M_T_4"/>
    <protectedRange algorithmName="SHA-512" hashValue="jY96UnylzPd2vZkRLfM8XmmJGWFJSSTGviPCXzMTiv3QOzQIjhLd0w3jlLlozcwC8eGz4qqU/rnIYRCHborlOw==" saltValue="CqFUHF8Z4PJMj52R2Kx+yA==" spinCount="100000" sqref="AK3053:AL3099" name="FY2023_24 and FY2024_25_18"/>
    <protectedRange algorithmName="SHA-512" hashValue="LnnTiFHW88v+Lt/birpZCwnxW62fSr/gAkBSFlUfSgwdfFWdf99knSzHDeoMAIBP5f47zs9wPG8trApANE0a5A==" saltValue="YxL3gEWV5b0y4dkncLyqQQ==" spinCount="100000" sqref="W3053:AD3099" name="criteria_4"/>
    <protectedRange algorithmName="SHA-512" hashValue="8vlAHijakGcEe+uTbvEo8hCNUrc8oV0mPYVwLAtftdU3yRwsScROrfrNOwGt5fx3OSsSqzs+dvl7p3PJCgs5zA==" saltValue="Ip3QQ+Fe7ypKUoABAhonuA==" spinCount="100000" sqref="AF3053:AG3099" name="AF_AG_4"/>
    <protectedRange algorithmName="SHA-512" hashValue="8vlAHijakGcEe+uTbvEo8hCNUrc8oV0mPYVwLAtftdU3yRwsScROrfrNOwGt5fx3OSsSqzs+dvl7p3PJCgs5zA==" saltValue="Ip3QQ+Fe7ypKUoABAhonuA==" spinCount="100000" sqref="AF703:AG896" name="AF_AG_5"/>
    <protectedRange algorithmName="SHA-512" hashValue="LnnTiFHW88v+Lt/birpZCwnxW62fSr/gAkBSFlUfSgwdfFWdf99knSzHDeoMAIBP5f47zs9wPG8trApANE0a5A==" saltValue="YxL3gEWV5b0y4dkncLyqQQ==" spinCount="100000" sqref="X703:AD896 W703:W839 W841:W896" name="criteria_5"/>
    <protectedRange algorithmName="SHA-512" hashValue="jY96UnylzPd2vZkRLfM8XmmJGWFJSSTGviPCXzMTiv3QOzQIjhLd0w3jlLlozcwC8eGz4qqU/rnIYRCHborlOw==" saltValue="CqFUHF8Z4PJMj52R2Kx+yA==" spinCount="100000" sqref="AK703:AL896" name="FY2023_24 and FY2024_25_19"/>
    <protectedRange algorithmName="SHA-512" hashValue="CLISI2ZMumPLAyUxJQhdHzgrtAeF6lRi/GfKKvTVPi0dyl+W/U2GQrkwYDjNzlV88w3OFYXTim+xbXU+Wqv2lQ==" saltValue="BvRIv+y+7x0cwTyauBN3lQ==" spinCount="100000" sqref="M703:T896" name="M_T_5"/>
    <protectedRange algorithmName="SHA-512" hashValue="kG2jXDzNBS18uRvr24CyLz/COB7q2lOAtKxPbqY5LqR4WIXTPLGHlNi5u6X10IUco/G6Aq1w5pVHkcjqt3XGMA==" saltValue="MwhRIiMB5YpwG6oQE/b0gw==" spinCount="100000" sqref="M350:T563" name="M_T_6"/>
    <protectedRange algorithmName="SHA-512" hashValue="jY96UnylzPd2vZkRLfM8XmmJGWFJSSTGviPCXzMTiv3QOzQIjhLd0w3jlLlozcwC8eGz4qqU/rnIYRCHborlOw==" saltValue="CqFUHF8Z4PJMj52R2Kx+yA==" spinCount="100000" sqref="AK350:AL563" name="FY2023_24 and FY2024_25_20"/>
    <protectedRange algorithmName="SHA-512" hashValue="LnnTiFHW88v+Lt/birpZCwnxW62fSr/gAkBSFlUfSgwdfFWdf99knSzHDeoMAIBP5f47zs9wPG8trApANE0a5A==" saltValue="YxL3gEWV5b0y4dkncLyqQQ==" spinCount="100000" sqref="W350:AD563" name="criteria_6"/>
    <protectedRange algorithmName="SHA-512" hashValue="8vlAHijakGcEe+uTbvEo8hCNUrc8oV0mPYVwLAtftdU3yRwsScROrfrNOwGt5fx3OSsSqzs+dvl7p3PJCgs5zA==" saltValue="Ip3QQ+Fe7ypKUoABAhonuA==" spinCount="100000" sqref="AF350:AG563" name="AF_AG_6"/>
    <protectedRange algorithmName="SHA-512" hashValue="nLcegsJX47F7uJYL8DTkP+lOviKS28bM8yKg1iAYM2fR/lXGExJ8qGkgHiH0hbYN/WPyjqARqV9zhTJ51oDn/g==" saltValue="rcm7gXZvDezH29V6F1cHNA==" spinCount="100000" sqref="M589:T677" name="M_T_7"/>
    <protectedRange algorithmName="SHA-512" hashValue="jY96UnylzPd2vZkRLfM8XmmJGWFJSSTGviPCXzMTiv3QOzQIjhLd0w3jlLlozcwC8eGz4qqU/rnIYRCHborlOw==" saltValue="CqFUHF8Z4PJMj52R2Kx+yA==" spinCount="100000" sqref="AK589:AL677" name="FY2023_24 and FY2024_25_21"/>
    <protectedRange algorithmName="SHA-512" hashValue="LnnTiFHW88v+Lt/birpZCwnxW62fSr/gAkBSFlUfSgwdfFWdf99knSzHDeoMAIBP5f47zs9wPG8trApANE0a5A==" saltValue="YxL3gEWV5b0y4dkncLyqQQ==" spinCount="100000" sqref="W589:AD677" name="criteria_7"/>
    <protectedRange algorithmName="SHA-512" hashValue="8vlAHijakGcEe+uTbvEo8hCNUrc8oV0mPYVwLAtftdU3yRwsScROrfrNOwGt5fx3OSsSqzs+dvl7p3PJCgs5zA==" saltValue="Ip3QQ+Fe7ypKUoABAhonuA==" spinCount="100000" sqref="AF589:AG677" name="AF_AG_7"/>
    <protectedRange algorithmName="SHA-512" hashValue="xVHQb+m8TPrCupBSUPofR+4mBqbTXWKv8zWrwen32Akm8RblXJOWFy/Cy2P4w35dSJ+elIHPqNYqI9hLSfD6TQ==" saltValue="1vuIOlrMbfwb5AHSRxNcMw==" spinCount="100000" sqref="M1114:T1410" name="M_T_8"/>
    <protectedRange algorithmName="SHA-512" hashValue="jY96UnylzPd2vZkRLfM8XmmJGWFJSSTGviPCXzMTiv3QOzQIjhLd0w3jlLlozcwC8eGz4qqU/rnIYRCHborlOw==" saltValue="CqFUHF8Z4PJMj52R2Kx+yA==" spinCount="100000" sqref="AN1118:AO1120 AK1114:AL1117 AK1121:AL1410" name="FY2023_24 and FY2024_25_22"/>
    <protectedRange algorithmName="SHA-512" hashValue="LnnTiFHW88v+Lt/birpZCwnxW62fSr/gAkBSFlUfSgwdfFWdf99knSzHDeoMAIBP5f47zs9wPG8trApANE0a5A==" saltValue="YxL3gEWV5b0y4dkncLyqQQ==" spinCount="100000" sqref="W1114:AD1410" name="criteria_8"/>
    <protectedRange algorithmName="SHA-512" hashValue="8vlAHijakGcEe+uTbvEo8hCNUrc8oV0mPYVwLAtftdU3yRwsScROrfrNOwGt5fx3OSsSqzs+dvl7p3PJCgs5zA==" saltValue="Ip3QQ+Fe7ypKUoABAhonuA==" spinCount="100000" sqref="AF1114:AG1410" name="AF_AG_8"/>
    <protectedRange algorithmName="SHA-512" hashValue="xVHQb+m8TPrCupBSUPofR+4mBqbTXWKv8zWrwen32Akm8RblXJOWFy/Cy2P4w35dSJ+elIHPqNYqI9hLSfD6TQ==" saltValue="1vuIOlrMbfwb5AHSRxNcMw==" spinCount="100000" sqref="M1949:T2139" name="M_T_57"/>
    <protectedRange algorithmName="SHA-512" hashValue="jY96UnylzPd2vZkRLfM8XmmJGWFJSSTGviPCXzMTiv3QOzQIjhLd0w3jlLlozcwC8eGz4qqU/rnIYRCHborlOw==" saltValue="CqFUHF8Z4PJMj52R2Kx+yA==" spinCount="100000" sqref="AK1949:AL2139" name="FY2023_24 and FY2024_25_57"/>
    <protectedRange algorithmName="SHA-512" hashValue="LnnTiFHW88v+Lt/birpZCwnxW62fSr/gAkBSFlUfSgwdfFWdf99knSzHDeoMAIBP5f47zs9wPG8trApANE0a5A==" saltValue="YxL3gEWV5b0y4dkncLyqQQ==" spinCount="100000" sqref="W1949:AD2139" name="criteria_57"/>
    <protectedRange algorithmName="SHA-512" hashValue="8vlAHijakGcEe+uTbvEo8hCNUrc8oV0mPYVwLAtftdU3yRwsScROrfrNOwGt5fx3OSsSqzs+dvl7p3PJCgs5zA==" saltValue="Ip3QQ+Fe7ypKUoABAhonuA==" spinCount="100000" sqref="AF1949:AG2139" name="AF_AG_57"/>
    <protectedRange algorithmName="SHA-512" hashValue="nCaviusofFs+xAXTSjlO71BGcSPnfoHZDAYiz3Ilw6LtgwR+vDnW3+2cvi3VR0TXhe4heBh/AXhBSmC85SXJWA==" saltValue="x+jnLsaUjvHb8tijmdPUdA==" spinCount="100000" sqref="M922:T1065" name="M_T_62"/>
    <protectedRange algorithmName="SHA-512" hashValue="jY96UnylzPd2vZkRLfM8XmmJGWFJSSTGviPCXzMTiv3QOzQIjhLd0w3jlLlozcwC8eGz4qqU/rnIYRCHborlOw==" saltValue="CqFUHF8Z4PJMj52R2Kx+yA==" spinCount="100000" sqref="AK922:AL1065" name="FY2023_24 and FY2024_25_62"/>
    <protectedRange algorithmName="SHA-512" hashValue="LnnTiFHW88v+Lt/birpZCwnxW62fSr/gAkBSFlUfSgwdfFWdf99knSzHDeoMAIBP5f47zs9wPG8trApANE0a5A==" saltValue="YxL3gEWV5b0y4dkncLyqQQ==" spinCount="100000" sqref="W922:AD1065" name="criteria_59"/>
    <protectedRange algorithmName="SHA-512" hashValue="8vlAHijakGcEe+uTbvEo8hCNUrc8oV0mPYVwLAtftdU3yRwsScROrfrNOwGt5fx3OSsSqzs+dvl7p3PJCgs5zA==" saltValue="Ip3QQ+Fe7ypKUoABAhonuA==" spinCount="100000" sqref="AF922:AG1065" name="AF_AG_62"/>
    <protectedRange algorithmName="SHA-512" hashValue="xVHQb+m8TPrCupBSUPofR+4mBqbTXWKv8zWrwen32Akm8RblXJOWFy/Cy2P4w35dSJ+elIHPqNYqI9hLSfD6TQ==" saltValue="1vuIOlrMbfwb5AHSRxNcMw==" spinCount="100000" sqref="M1436:T1662" name="M_T_64"/>
    <protectedRange algorithmName="SHA-512" hashValue="jY96UnylzPd2vZkRLfM8XmmJGWFJSSTGviPCXzMTiv3QOzQIjhLd0w3jlLlozcwC8eGz4qqU/rnIYRCHborlOw==" saltValue="CqFUHF8Z4PJMj52R2Kx+yA==" spinCount="100000" sqref="AK1436:AL1662" name="FY2023_24 and FY2024_25_64"/>
    <protectedRange algorithmName="SHA-512" hashValue="LnnTiFHW88v+Lt/birpZCwnxW62fSr/gAkBSFlUfSgwdfFWdf99knSzHDeoMAIBP5f47zs9wPG8trApANE0a5A==" saltValue="YxL3gEWV5b0y4dkncLyqQQ==" spinCount="100000" sqref="W1436:AD1662" name="criteria_61"/>
    <protectedRange algorithmName="SHA-512" hashValue="8vlAHijakGcEe+uTbvEo8hCNUrc8oV0mPYVwLAtftdU3yRwsScROrfrNOwGt5fx3OSsSqzs+dvl7p3PJCgs5zA==" saltValue="Ip3QQ+Fe7ypKUoABAhonuA==" spinCount="100000" sqref="AF1436:AG1662" name="AF_AG_64"/>
    <protectedRange algorithmName="SHA-512" hashValue="xVHQb+m8TPrCupBSUPofR+4mBqbTXWKv8zWrwen32Akm8RblXJOWFy/Cy2P4w35dSJ+elIHPqNYqI9hLSfD6TQ==" saltValue="1vuIOlrMbfwb5AHSRxNcMw==" spinCount="100000" sqref="M4985:T5130" name="M_T_65"/>
    <protectedRange algorithmName="SHA-512" hashValue="jY96UnylzPd2vZkRLfM8XmmJGWFJSSTGviPCXzMTiv3QOzQIjhLd0w3jlLlozcwC8eGz4qqU/rnIYRCHborlOw==" saltValue="CqFUHF8Z4PJMj52R2Kx+yA==" spinCount="100000" sqref="AK4985:AL5130" name="FY2023_24 and FY2024_25_65"/>
    <protectedRange algorithmName="SHA-512" hashValue="LnnTiFHW88v+Lt/birpZCwnxW62fSr/gAkBSFlUfSgwdfFWdf99knSzHDeoMAIBP5f47zs9wPG8trApANE0a5A==" saltValue="YxL3gEWV5b0y4dkncLyqQQ==" spinCount="100000" sqref="W4985:AD5130" name="criteria_62"/>
    <protectedRange algorithmName="SHA-512" hashValue="8vlAHijakGcEe+uTbvEo8hCNUrc8oV0mPYVwLAtftdU3yRwsScROrfrNOwGt5fx3OSsSqzs+dvl7p3PJCgs5zA==" saltValue="Ip3QQ+Fe7ypKUoABAhonuA==" spinCount="100000" sqref="AF4985:AG5130" name="AF_AG_65"/>
    <protectedRange algorithmName="SHA-512" hashValue="GDGS2TaAIYjNLSb20yoJWy4wOtkxoK96tcSezZFmNyBfEtOD6Itcj7oFiFWSAExgraAeeltEy8korcVadUXtFw==" saltValue="9O/DYZ74VDJcHNVjXajmaQ==" spinCount="100000" sqref="AF2476:AG2591 AF2615:AG3008" name="AF_AG_66"/>
    <protectedRange algorithmName="SHA-512" hashValue="eCX2jS+NAQ2BFAW7jagPr/3n72rJjgTGAzklK4MiSbKADLLLz2vWY4bhLX9o0jA1yv3+DN1xcmeljIECcjzTMg==" saltValue="1vAJKwGWpYwe9XB3h3i16g==" spinCount="100000" sqref="W2476:AD2591 AD2615:AD3008 W2615:AC3000 W3002:AC3008" name="criteria_63"/>
    <protectedRange algorithmName="SHA-512" hashValue="gVyKTAfvvIYbPepVUMvTsFeBIUJPaCjRmK6fuQPUK7glFNKZh52H/DkLf8HYjLX/Ew5VIgMONTUvKIMf5aSK5Q==" saltValue="hDIznH+VzQSbuDvpokIu6g==" spinCount="100000" sqref="AK2476:AL2482 AK2615:AL3008 AK2484:AL2564 AK2566:AL2591" name="FY2023_24 and FY2024_25_66"/>
    <protectedRange algorithmName="SHA-512" hashValue="RqWbCaHYYURZomQEW4YKDnNUioCJwQ0yqWqCuHP+pF3XMenTGCTgzBUmk76Ykrxq++qdTeCJ/G4K25Kpy89CRw==" saltValue="24WyVratIrocb7mJrbarzA==" spinCount="100000" sqref="M2341:T2343 M2347:T3027" name="M_T_66"/>
    <protectedRange algorithmName="SHA-512" hashValue="eCX2jS+NAQ2BFAW7jagPr/3n72rJjgTGAzklK4MiSbKADLLLz2vWY4bhLX9o0jA1yv3+DN1xcmeljIECcjzTMg==" saltValue="1vAJKwGWpYwe9XB3h3i16g==" spinCount="100000" sqref="W2347:AD2475" name="criteria_2_2"/>
    <protectedRange algorithmName="SHA-512" hashValue="gVyKTAfvvIYbPepVUMvTsFeBIUJPaCjRmK6fuQPUK7glFNKZh52H/DkLf8HYjLX/Ew5VIgMONTUvKIMf5aSK5Q==" saltValue="hDIznH+VzQSbuDvpokIu6g==" spinCount="100000" sqref="AK2347:AL2475" name="FY2023_24 and FY2024_25_3_2"/>
    <protectedRange algorithmName="SHA-512" hashValue="eCX2jS+NAQ2BFAW7jagPr/3n72rJjgTGAzklK4MiSbKADLLLz2vWY4bhLX9o0jA1yv3+DN1xcmeljIECcjzTMg==" saltValue="1vAJKwGWpYwe9XB3h3i16g==" spinCount="100000" sqref="W2592:AD2614" name="criteria_4_2"/>
    <protectedRange algorithmName="SHA-512" hashValue="GDGS2TaAIYjNLSb20yoJWy4wOtkxoK96tcSezZFmNyBfEtOD6Itcj7oFiFWSAExgraAeeltEy8korcVadUXtFw==" saltValue="9O/DYZ74VDJcHNVjXajmaQ==" spinCount="100000" sqref="AF2592:AG2614" name="AF_AG_1_2"/>
    <protectedRange algorithmName="SHA-512" hashValue="gVyKTAfvvIYbPepVUMvTsFeBIUJPaCjRmK6fuQPUK7glFNKZh52H/DkLf8HYjLX/Ew5VIgMONTUvKIMf5aSK5Q==" saltValue="hDIznH+VzQSbuDvpokIu6g==" spinCount="100000" sqref="AK2592:AL2614" name="FY2023_24 and FY2024_25_5_2"/>
    <protectedRange algorithmName="SHA-512" hashValue="GDGS2TaAIYjNLSb20yoJWy4wOtkxoK96tcSezZFmNyBfEtOD6Itcj7oFiFWSAExgraAeeltEy8korcVadUXtFw==" saltValue="9O/DYZ74VDJcHNVjXajmaQ==" spinCount="100000" sqref="AF2347:AG2475" name="AF_AG_2_2"/>
    <protectedRange algorithmName="SHA-512" hashValue="eCX2jS+NAQ2BFAW7jagPr/3n72rJjgTGAzklK4MiSbKADLLLz2vWY4bhLX9o0jA1yv3+DN1xcmeljIECcjzTMg==" saltValue="1vAJKwGWpYwe9XB3h3i16g==" spinCount="100000" sqref="W2341:AD2343 W3009:AD3027" name="criteria_5_2"/>
    <protectedRange algorithmName="SHA-512" hashValue="GDGS2TaAIYjNLSb20yoJWy4wOtkxoK96tcSezZFmNyBfEtOD6Itcj7oFiFWSAExgraAeeltEy8korcVadUXtFw==" saltValue="9O/DYZ74VDJcHNVjXajmaQ==" spinCount="100000" sqref="AF3009 AF2341:AG2343 AF3011:AF3027 AG3009:AG3027" name="AF_AG_3_2"/>
    <protectedRange algorithmName="SHA-512" hashValue="gVyKTAfvvIYbPepVUMvTsFeBIUJPaCjRmK6fuQPUK7glFNKZh52H/DkLf8HYjLX/Ew5VIgMONTUvKIMf5aSK5Q==" saltValue="hDIznH+VzQSbuDvpokIu6g==" spinCount="100000" sqref="AK2341:AL2343 AK3009:AL3027" name="FY2023_24 and FY2024_25_6_2"/>
    <protectedRange algorithmName="SHA-512" hashValue="gVyKTAfvvIYbPepVUMvTsFeBIUJPaCjRmK6fuQPUK7glFNKZh52H/DkLf8HYjLX/Ew5VIgMONTUvKIMf5aSK5Q==" saltValue="hDIznH+VzQSbuDvpokIu6g==" spinCount="100000" sqref="AK2483:AL2483" name="FY2023_24 and FY2024_25_2_3"/>
    <protectedRange algorithmName="SHA-512" hashValue="gVyKTAfvvIYbPepVUMvTsFeBIUJPaCjRmK6fuQPUK7glFNKZh52H/DkLf8HYjLX/Ew5VIgMONTUvKIMf5aSK5Q==" saltValue="hDIznH+VzQSbuDvpokIu6g==" spinCount="100000" sqref="AK2565:AL2565" name="FY2023_24 and FY2024_25_2_2_1"/>
    <protectedRange password="A560" sqref="T5245 M5252 M5246:T5248 M5251:T5251 N5249:T5250 M5157:T5217 M5220:T5244 M5218:M5219 T5218:T5219 M5253:T5409" name="M_T_63"/>
    <protectedRange password="A560" sqref="AK5157:AL5409" name="FY2023_24 and FY2024_25_63"/>
    <protectedRange password="A560" sqref="W5157:AD5409" name="criteria_60"/>
    <protectedRange password="A560" sqref="AF5157:AG5409" name="AF_AG_63"/>
    <protectedRange password="A560" sqref="N5245:S5245" name="M_T_1_1_1"/>
    <protectedRange password="A560" sqref="N5219:S5219" name="M_T_8_2"/>
    <protectedRange password="A560" sqref="N5218:S5218" name="M_T_10_1"/>
    <protectedRange algorithmName="SHA-512" hashValue="xVHQb+m8TPrCupBSUPofR+4mBqbTXWKv8zWrwen32Akm8RblXJOWFy/Cy2P4w35dSJ+elIHPqNYqI9hLSfD6TQ==" saltValue="1vuIOlrMbfwb5AHSRxNcMw==" spinCount="100000" sqref="M3125:T3125" name="M_T_67"/>
    <protectedRange algorithmName="SHA-512" hashValue="jY96UnylzPd2vZkRLfM8XmmJGWFJSSTGviPCXzMTiv3QOzQIjhLd0w3jlLlozcwC8eGz4qqU/rnIYRCHborlOw==" saltValue="CqFUHF8Z4PJMj52R2Kx+yA==" spinCount="100000" sqref="AK3125:AL3125" name="FY2023_24 and FY2024_25_67"/>
    <protectedRange algorithmName="SHA-512" hashValue="xVHQb+m8TPrCupBSUPofR+4mBqbTXWKv8zWrwen32Akm8RblXJOWFy/Cy2P4w35dSJ+elIHPqNYqI9hLSfD6TQ==" saltValue="1vuIOlrMbfwb5AHSRxNcMw==" spinCount="100000" sqref="M3127:T3129" name="M_T_1_2"/>
    <protectedRange algorithmName="SHA-512" hashValue="jY96UnylzPd2vZkRLfM8XmmJGWFJSSTGviPCXzMTiv3QOzQIjhLd0w3jlLlozcwC8eGz4qqU/rnIYRCHborlOw==" saltValue="CqFUHF8Z4PJMj52R2Kx+yA==" spinCount="100000" sqref="AK3127:AL3129" name="FY2023_24 and FY2024_25_1_3"/>
    <protectedRange algorithmName="SHA-512" hashValue="xVHQb+m8TPrCupBSUPofR+4mBqbTXWKv8zWrwen32Akm8RblXJOWFy/Cy2P4w35dSJ+elIHPqNYqI9hLSfD6TQ==" saltValue="1vuIOlrMbfwb5AHSRxNcMw==" spinCount="100000" sqref="M3130:T3142" name="M_T_2_2"/>
    <protectedRange algorithmName="SHA-512" hashValue="jY96UnylzPd2vZkRLfM8XmmJGWFJSSTGviPCXzMTiv3QOzQIjhLd0w3jlLlozcwC8eGz4qqU/rnIYRCHborlOw==" saltValue="CqFUHF8Z4PJMj52R2Kx+yA==" spinCount="100000" sqref="AK3130:AL3142" name="FY2023_24 and FY2024_25_2_4"/>
    <protectedRange algorithmName="SHA-512" hashValue="xVHQb+m8TPrCupBSUPofR+4mBqbTXWKv8zWrwen32Akm8RblXJOWFy/Cy2P4w35dSJ+elIHPqNYqI9hLSfD6TQ==" saltValue="1vuIOlrMbfwb5AHSRxNcMw==" spinCount="100000" sqref="M3143:T3147" name="M_T_3_2"/>
    <protectedRange algorithmName="SHA-512" hashValue="jY96UnylzPd2vZkRLfM8XmmJGWFJSSTGviPCXzMTiv3QOzQIjhLd0w3jlLlozcwC8eGz4qqU/rnIYRCHborlOw==" saltValue="CqFUHF8Z4PJMj52R2Kx+yA==" spinCount="100000" sqref="AK3143:AL3147" name="FY2023_24 and FY2024_25_3_3"/>
    <protectedRange algorithmName="SHA-512" hashValue="xVHQb+m8TPrCupBSUPofR+4mBqbTXWKv8zWrwen32Akm8RblXJOWFy/Cy2P4w35dSJ+elIHPqNYqI9hLSfD6TQ==" saltValue="1vuIOlrMbfwb5AHSRxNcMw==" spinCount="100000" sqref="M3148:T3150 M3151:S3161" name="M_T_4_2"/>
    <protectedRange algorithmName="SHA-512" hashValue="jY96UnylzPd2vZkRLfM8XmmJGWFJSSTGviPCXzMTiv3QOzQIjhLd0w3jlLlozcwC8eGz4qqU/rnIYRCHborlOw==" saltValue="CqFUHF8Z4PJMj52R2Kx+yA==" spinCount="100000" sqref="AK3148:AL3150" name="FY2023_24 and FY2024_25_4_2"/>
    <protectedRange algorithmName="SHA-512" hashValue="xVHQb+m8TPrCupBSUPofR+4mBqbTXWKv8zWrwen32Akm8RblXJOWFy/Cy2P4w35dSJ+elIHPqNYqI9hLSfD6TQ==" saltValue="1vuIOlrMbfwb5AHSRxNcMw==" spinCount="100000" sqref="T3151:T3161 M3162:T3170" name="M_T_5_2"/>
    <protectedRange algorithmName="SHA-512" hashValue="jY96UnylzPd2vZkRLfM8XmmJGWFJSSTGviPCXzMTiv3QOzQIjhLd0w3jlLlozcwC8eGz4qqU/rnIYRCHborlOw==" saltValue="CqFUHF8Z4PJMj52R2Kx+yA==" spinCount="100000" sqref="AK3162:AL3170" name="FY2023_24 and FY2024_25_5_3"/>
    <protectedRange algorithmName="SHA-512" hashValue="xVHQb+m8TPrCupBSUPofR+4mBqbTXWKv8zWrwen32Akm8RblXJOWFy/Cy2P4w35dSJ+elIHPqNYqI9hLSfD6TQ==" saltValue="1vuIOlrMbfwb5AHSRxNcMw==" spinCount="100000" sqref="M3171:T3173" name="M_T_6_2"/>
    <protectedRange algorithmName="SHA-512" hashValue="jY96UnylzPd2vZkRLfM8XmmJGWFJSSTGviPCXzMTiv3QOzQIjhLd0w3jlLlozcwC8eGz4qqU/rnIYRCHborlOw==" saltValue="CqFUHF8Z4PJMj52R2Kx+yA==" spinCount="100000" sqref="AK3171:AL3173" name="FY2023_24 and FY2024_25_6_3"/>
    <protectedRange algorithmName="SHA-512" hashValue="xVHQb+m8TPrCupBSUPofR+4mBqbTXWKv8zWrwen32Akm8RblXJOWFy/Cy2P4w35dSJ+elIHPqNYqI9hLSfD6TQ==" saltValue="1vuIOlrMbfwb5AHSRxNcMw==" spinCount="100000" sqref="M3174:T3179" name="M_T_7_2"/>
    <protectedRange algorithmName="SHA-512" hashValue="jY96UnylzPd2vZkRLfM8XmmJGWFJSSTGviPCXzMTiv3QOzQIjhLd0w3jlLlozcwC8eGz4qqU/rnIYRCHborlOw==" saltValue="CqFUHF8Z4PJMj52R2Kx+yA==" spinCount="100000" sqref="AK3174:AL3179" name="FY2023_24 and FY2024_25_7_2"/>
    <protectedRange algorithmName="SHA-512" hashValue="xVHQb+m8TPrCupBSUPofR+4mBqbTXWKv8zWrwen32Akm8RblXJOWFy/Cy2P4w35dSJ+elIHPqNYqI9hLSfD6TQ==" saltValue="1vuIOlrMbfwb5AHSRxNcMw==" spinCount="100000" sqref="M3180:T3185" name="M_T_8_3"/>
    <protectedRange algorithmName="SHA-512" hashValue="jY96UnylzPd2vZkRLfM8XmmJGWFJSSTGviPCXzMTiv3QOzQIjhLd0w3jlLlozcwC8eGz4qqU/rnIYRCHborlOw==" saltValue="CqFUHF8Z4PJMj52R2Kx+yA==" spinCount="100000" sqref="AK3180:AL3185" name="FY2023_24 and FY2024_25_8_2"/>
    <protectedRange algorithmName="SHA-512" hashValue="xVHQb+m8TPrCupBSUPofR+4mBqbTXWKv8zWrwen32Akm8RblXJOWFy/Cy2P4w35dSJ+elIHPqNYqI9hLSfD6TQ==" saltValue="1vuIOlrMbfwb5AHSRxNcMw==" spinCount="100000" sqref="M3186:T3187" name="M_T_9_2"/>
    <protectedRange algorithmName="SHA-512" hashValue="jY96UnylzPd2vZkRLfM8XmmJGWFJSSTGviPCXzMTiv3QOzQIjhLd0w3jlLlozcwC8eGz4qqU/rnIYRCHborlOw==" saltValue="CqFUHF8Z4PJMj52R2Kx+yA==" spinCount="100000" sqref="AK3186:AL3187" name="FY2023_24 and FY2024_25_9_2"/>
    <protectedRange algorithmName="SHA-512" hashValue="xVHQb+m8TPrCupBSUPofR+4mBqbTXWKv8zWrwen32Akm8RblXJOWFy/Cy2P4w35dSJ+elIHPqNYqI9hLSfD6TQ==" saltValue="1vuIOlrMbfwb5AHSRxNcMw==" spinCount="100000" sqref="M3188:T3190" name="M_T_10_2"/>
    <protectedRange algorithmName="SHA-512" hashValue="jY96UnylzPd2vZkRLfM8XmmJGWFJSSTGviPCXzMTiv3QOzQIjhLd0w3jlLlozcwC8eGz4qqU/rnIYRCHborlOw==" saltValue="CqFUHF8Z4PJMj52R2Kx+yA==" spinCount="100000" sqref="AK3188:AL3190" name="FY2023_24 and FY2024_25_10_2"/>
    <protectedRange algorithmName="SHA-512" hashValue="xVHQb+m8TPrCupBSUPofR+4mBqbTXWKv8zWrwen32Akm8RblXJOWFy/Cy2P4w35dSJ+elIHPqNYqI9hLSfD6TQ==" saltValue="1vuIOlrMbfwb5AHSRxNcMw==" spinCount="100000" sqref="M3191:T3191" name="M_T_11_1"/>
    <protectedRange algorithmName="SHA-512" hashValue="jY96UnylzPd2vZkRLfM8XmmJGWFJSSTGviPCXzMTiv3QOzQIjhLd0w3jlLlozcwC8eGz4qqU/rnIYRCHborlOw==" saltValue="CqFUHF8Z4PJMj52R2Kx+yA==" spinCount="100000" sqref="AK3191:AL3191" name="FY2023_24 and FY2024_25_11_2"/>
    <protectedRange algorithmName="SHA-512" hashValue="xVHQb+m8TPrCupBSUPofR+4mBqbTXWKv8zWrwen32Akm8RblXJOWFy/Cy2P4w35dSJ+elIHPqNYqI9hLSfD6TQ==" saltValue="1vuIOlrMbfwb5AHSRxNcMw==" spinCount="100000" sqref="M3192:T3196" name="M_T_12_1"/>
    <protectedRange algorithmName="SHA-512" hashValue="jY96UnylzPd2vZkRLfM8XmmJGWFJSSTGviPCXzMTiv3QOzQIjhLd0w3jlLlozcwC8eGz4qqU/rnIYRCHborlOw==" saltValue="CqFUHF8Z4PJMj52R2Kx+yA==" spinCount="100000" sqref="AK3192:AL3196" name="FY2023_24 and FY2024_25_12_2"/>
    <protectedRange algorithmName="SHA-512" hashValue="xVHQb+m8TPrCupBSUPofR+4mBqbTXWKv8zWrwen32Akm8RblXJOWFy/Cy2P4w35dSJ+elIHPqNYqI9hLSfD6TQ==" saltValue="1vuIOlrMbfwb5AHSRxNcMw==" spinCount="100000" sqref="M3197:T3197" name="M_T_13_1"/>
    <protectedRange algorithmName="SHA-512" hashValue="jY96UnylzPd2vZkRLfM8XmmJGWFJSSTGviPCXzMTiv3QOzQIjhLd0w3jlLlozcwC8eGz4qqU/rnIYRCHborlOw==" saltValue="CqFUHF8Z4PJMj52R2Kx+yA==" spinCount="100000" sqref="AK3197:AL3197" name="FY2023_24 and FY2024_25_13_2"/>
    <protectedRange algorithmName="SHA-512" hashValue="xVHQb+m8TPrCupBSUPofR+4mBqbTXWKv8zWrwen32Akm8RblXJOWFy/Cy2P4w35dSJ+elIHPqNYqI9hLSfD6TQ==" saltValue="1vuIOlrMbfwb5AHSRxNcMw==" spinCount="100000" sqref="M3198:T3200" name="M_T_14_1"/>
    <protectedRange algorithmName="SHA-512" hashValue="jY96UnylzPd2vZkRLfM8XmmJGWFJSSTGviPCXzMTiv3QOzQIjhLd0w3jlLlozcwC8eGz4qqU/rnIYRCHborlOw==" saltValue="CqFUHF8Z4PJMj52R2Kx+yA==" spinCount="100000" sqref="AK3198:AL3200" name="FY2023_24 and FY2024_25_14_2"/>
    <protectedRange algorithmName="SHA-512" hashValue="xVHQb+m8TPrCupBSUPofR+4mBqbTXWKv8zWrwen32Akm8RblXJOWFy/Cy2P4w35dSJ+elIHPqNYqI9hLSfD6TQ==" saltValue="1vuIOlrMbfwb5AHSRxNcMw==" spinCount="100000" sqref="M3201:T3201" name="M_T_15_1"/>
    <protectedRange algorithmName="SHA-512" hashValue="jY96UnylzPd2vZkRLfM8XmmJGWFJSSTGviPCXzMTiv3QOzQIjhLd0w3jlLlozcwC8eGz4qqU/rnIYRCHborlOw==" saltValue="CqFUHF8Z4PJMj52R2Kx+yA==" spinCount="100000" sqref="AK3201:AL3201" name="FY2023_24 and FY2024_25_15_2"/>
    <protectedRange algorithmName="SHA-512" hashValue="xVHQb+m8TPrCupBSUPofR+4mBqbTXWKv8zWrwen32Akm8RblXJOWFy/Cy2P4w35dSJ+elIHPqNYqI9hLSfD6TQ==" saltValue="1vuIOlrMbfwb5AHSRxNcMw==" spinCount="100000" sqref="M3202:T3203" name="M_T_16_1"/>
    <protectedRange algorithmName="SHA-512" hashValue="jY96UnylzPd2vZkRLfM8XmmJGWFJSSTGviPCXzMTiv3QOzQIjhLd0w3jlLlozcwC8eGz4qqU/rnIYRCHborlOw==" saltValue="CqFUHF8Z4PJMj52R2Kx+yA==" spinCount="100000" sqref="AK3202:AL3203" name="FY2023_24 and FY2024_25_16_2"/>
    <protectedRange algorithmName="SHA-512" hashValue="xVHQb+m8TPrCupBSUPofR+4mBqbTXWKv8zWrwen32Akm8RblXJOWFy/Cy2P4w35dSJ+elIHPqNYqI9hLSfD6TQ==" saltValue="1vuIOlrMbfwb5AHSRxNcMw==" spinCount="100000" sqref="M3204:T3206" name="M_T_17_1"/>
    <protectedRange algorithmName="SHA-512" hashValue="jY96UnylzPd2vZkRLfM8XmmJGWFJSSTGviPCXzMTiv3QOzQIjhLd0w3jlLlozcwC8eGz4qqU/rnIYRCHborlOw==" saltValue="CqFUHF8Z4PJMj52R2Kx+yA==" spinCount="100000" sqref="AK3204:AL3206" name="FY2023_24 and FY2024_25_17_2"/>
    <protectedRange algorithmName="SHA-512" hashValue="xVHQb+m8TPrCupBSUPofR+4mBqbTXWKv8zWrwen32Akm8RblXJOWFy/Cy2P4w35dSJ+elIHPqNYqI9hLSfD6TQ==" saltValue="1vuIOlrMbfwb5AHSRxNcMw==" spinCount="100000" sqref="M3207:T3207" name="M_T_18_1"/>
    <protectedRange algorithmName="SHA-512" hashValue="jY96UnylzPd2vZkRLfM8XmmJGWFJSSTGviPCXzMTiv3QOzQIjhLd0w3jlLlozcwC8eGz4qqU/rnIYRCHborlOw==" saltValue="CqFUHF8Z4PJMj52R2Kx+yA==" spinCount="100000" sqref="AK3207:AL3207" name="FY2023_24 and FY2024_25_18_2"/>
    <protectedRange algorithmName="SHA-512" hashValue="xVHQb+m8TPrCupBSUPofR+4mBqbTXWKv8zWrwen32Akm8RblXJOWFy/Cy2P4w35dSJ+elIHPqNYqI9hLSfD6TQ==" saltValue="1vuIOlrMbfwb5AHSRxNcMw==" spinCount="100000" sqref="M3208:T3208" name="M_T_19_1"/>
    <protectedRange algorithmName="SHA-512" hashValue="jY96UnylzPd2vZkRLfM8XmmJGWFJSSTGviPCXzMTiv3QOzQIjhLd0w3jlLlozcwC8eGz4qqU/rnIYRCHborlOw==" saltValue="CqFUHF8Z4PJMj52R2Kx+yA==" spinCount="100000" sqref="AK3208:AL3208" name="FY2023_24 and FY2024_25_19_2"/>
    <protectedRange algorithmName="SHA-512" hashValue="xVHQb+m8TPrCupBSUPofR+4mBqbTXWKv8zWrwen32Akm8RblXJOWFy/Cy2P4w35dSJ+elIHPqNYqI9hLSfD6TQ==" saltValue="1vuIOlrMbfwb5AHSRxNcMw==" spinCount="100000" sqref="M3209:T3209" name="M_T_20_1"/>
    <protectedRange algorithmName="SHA-512" hashValue="jY96UnylzPd2vZkRLfM8XmmJGWFJSSTGviPCXzMTiv3QOzQIjhLd0w3jlLlozcwC8eGz4qqU/rnIYRCHborlOw==" saltValue="CqFUHF8Z4PJMj52R2Kx+yA==" spinCount="100000" sqref="AK3209:AL3209" name="FY2023_24 and FY2024_25_20_2"/>
    <protectedRange algorithmName="SHA-512" hashValue="xVHQb+m8TPrCupBSUPofR+4mBqbTXWKv8zWrwen32Akm8RblXJOWFy/Cy2P4w35dSJ+elIHPqNYqI9hLSfD6TQ==" saltValue="1vuIOlrMbfwb5AHSRxNcMw==" spinCount="100000" sqref="M3210:T3214" name="M_T_21_1"/>
    <protectedRange algorithmName="SHA-512" hashValue="jY96UnylzPd2vZkRLfM8XmmJGWFJSSTGviPCXzMTiv3QOzQIjhLd0w3jlLlozcwC8eGz4qqU/rnIYRCHborlOw==" saltValue="CqFUHF8Z4PJMj52R2Kx+yA==" spinCount="100000" sqref="AK3210:AL3214" name="FY2023_24 and FY2024_25_21_2"/>
    <protectedRange algorithmName="SHA-512" hashValue="xVHQb+m8TPrCupBSUPofR+4mBqbTXWKv8zWrwen32Akm8RblXJOWFy/Cy2P4w35dSJ+elIHPqNYqI9hLSfD6TQ==" saltValue="1vuIOlrMbfwb5AHSRxNcMw==" spinCount="100000" sqref="M3215:T3220" name="M_T_22_1"/>
    <protectedRange algorithmName="SHA-512" hashValue="jY96UnylzPd2vZkRLfM8XmmJGWFJSSTGviPCXzMTiv3QOzQIjhLd0w3jlLlozcwC8eGz4qqU/rnIYRCHborlOw==" saltValue="CqFUHF8Z4PJMj52R2Kx+yA==" spinCount="100000" sqref="AK3215:AL3220" name="FY2023_24 and FY2024_25_22_2"/>
    <protectedRange algorithmName="SHA-512" hashValue="xVHQb+m8TPrCupBSUPofR+4mBqbTXWKv8zWrwen32Akm8RblXJOWFy/Cy2P4w35dSJ+elIHPqNYqI9hLSfD6TQ==" saltValue="1vuIOlrMbfwb5AHSRxNcMw==" spinCount="100000" sqref="M3224:T3225" name="M_T_23_1"/>
    <protectedRange algorithmName="SHA-512" hashValue="jY96UnylzPd2vZkRLfM8XmmJGWFJSSTGviPCXzMTiv3QOzQIjhLd0w3jlLlozcwC8eGz4qqU/rnIYRCHborlOw==" saltValue="CqFUHF8Z4PJMj52R2Kx+yA==" spinCount="100000" sqref="AK3224:AL3225" name="FY2023_24 and FY2024_25_23_2"/>
    <protectedRange algorithmName="SHA-512" hashValue="xVHQb+m8TPrCupBSUPofR+4mBqbTXWKv8zWrwen32Akm8RblXJOWFy/Cy2P4w35dSJ+elIHPqNYqI9hLSfD6TQ==" saltValue="1vuIOlrMbfwb5AHSRxNcMw==" spinCount="100000" sqref="M3226:T3233" name="M_T_24_1"/>
    <protectedRange algorithmName="SHA-512" hashValue="jY96UnylzPd2vZkRLfM8XmmJGWFJSSTGviPCXzMTiv3QOzQIjhLd0w3jlLlozcwC8eGz4qqU/rnIYRCHborlOw==" saltValue="CqFUHF8Z4PJMj52R2Kx+yA==" spinCount="100000" sqref="AK3226:AL3233" name="FY2023_24 and FY2024_25_24_1"/>
    <protectedRange algorithmName="SHA-512" hashValue="xVHQb+m8TPrCupBSUPofR+4mBqbTXWKv8zWrwen32Akm8RblXJOWFy/Cy2P4w35dSJ+elIHPqNYqI9hLSfD6TQ==" saltValue="1vuIOlrMbfwb5AHSRxNcMw==" spinCount="100000" sqref="M3234:T3234" name="M_T_25_1"/>
    <protectedRange algorithmName="SHA-512" hashValue="jY96UnylzPd2vZkRLfM8XmmJGWFJSSTGviPCXzMTiv3QOzQIjhLd0w3jlLlozcwC8eGz4qqU/rnIYRCHborlOw==" saltValue="CqFUHF8Z4PJMj52R2Kx+yA==" spinCount="100000" sqref="AK3234:AL3234" name="FY2023_24 and FY2024_25_25_1"/>
    <protectedRange algorithmName="SHA-512" hashValue="xVHQb+m8TPrCupBSUPofR+4mBqbTXWKv8zWrwen32Akm8RblXJOWFy/Cy2P4w35dSJ+elIHPqNYqI9hLSfD6TQ==" saltValue="1vuIOlrMbfwb5AHSRxNcMw==" spinCount="100000" sqref="M3235:T3235" name="M_T_26_1"/>
    <protectedRange algorithmName="SHA-512" hashValue="jY96UnylzPd2vZkRLfM8XmmJGWFJSSTGviPCXzMTiv3QOzQIjhLd0w3jlLlozcwC8eGz4qqU/rnIYRCHborlOw==" saltValue="CqFUHF8Z4PJMj52R2Kx+yA==" spinCount="100000" sqref="AK3235:AL3235" name="FY2023_24 and FY2024_25_26_1"/>
    <protectedRange algorithmName="SHA-512" hashValue="xVHQb+m8TPrCupBSUPofR+4mBqbTXWKv8zWrwen32Akm8RblXJOWFy/Cy2P4w35dSJ+elIHPqNYqI9hLSfD6TQ==" saltValue="1vuIOlrMbfwb5AHSRxNcMw==" spinCount="100000" sqref="M3236:T3239" name="M_T_27_1"/>
    <protectedRange algorithmName="SHA-512" hashValue="jY96UnylzPd2vZkRLfM8XmmJGWFJSSTGviPCXzMTiv3QOzQIjhLd0w3jlLlozcwC8eGz4qqU/rnIYRCHborlOw==" saltValue="CqFUHF8Z4PJMj52R2Kx+yA==" spinCount="100000" sqref="AK3236:AL3239" name="FY2023_24 and FY2024_25_27_1"/>
    <protectedRange algorithmName="SHA-512" hashValue="xVHQb+m8TPrCupBSUPofR+4mBqbTXWKv8zWrwen32Akm8RblXJOWFy/Cy2P4w35dSJ+elIHPqNYqI9hLSfD6TQ==" saltValue="1vuIOlrMbfwb5AHSRxNcMw==" spinCount="100000" sqref="M3240:T3240" name="M_T_28_1"/>
    <protectedRange algorithmName="SHA-512" hashValue="jY96UnylzPd2vZkRLfM8XmmJGWFJSSTGviPCXzMTiv3QOzQIjhLd0w3jlLlozcwC8eGz4qqU/rnIYRCHborlOw==" saltValue="CqFUHF8Z4PJMj52R2Kx+yA==" spinCount="100000" sqref="AK3240:AL3240" name="FY2023_24 and FY2024_25_28_1"/>
    <protectedRange algorithmName="SHA-512" hashValue="xVHQb+m8TPrCupBSUPofR+4mBqbTXWKv8zWrwen32Akm8RblXJOWFy/Cy2P4w35dSJ+elIHPqNYqI9hLSfD6TQ==" saltValue="1vuIOlrMbfwb5AHSRxNcMw==" spinCount="100000" sqref="M3242:T3268" name="M_T_29_1"/>
    <protectedRange algorithmName="SHA-512" hashValue="jY96UnylzPd2vZkRLfM8XmmJGWFJSSTGviPCXzMTiv3QOzQIjhLd0w3jlLlozcwC8eGz4qqU/rnIYRCHborlOw==" saltValue="CqFUHF8Z4PJMj52R2Kx+yA==" spinCount="100000" sqref="AK3242:AL3268" name="FY2023_24 and FY2024_25_29_1"/>
    <protectedRange algorithmName="SHA-512" hashValue="xVHQb+m8TPrCupBSUPofR+4mBqbTXWKv8zWrwen32Akm8RblXJOWFy/Cy2P4w35dSJ+elIHPqNYqI9hLSfD6TQ==" saltValue="1vuIOlrMbfwb5AHSRxNcMw==" spinCount="100000" sqref="M3269:T3270" name="M_T_30_1"/>
    <protectedRange algorithmName="SHA-512" hashValue="jY96UnylzPd2vZkRLfM8XmmJGWFJSSTGviPCXzMTiv3QOzQIjhLd0w3jlLlozcwC8eGz4qqU/rnIYRCHborlOw==" saltValue="CqFUHF8Z4PJMj52R2Kx+yA==" spinCount="100000" sqref="AK3269:AL3270" name="FY2023_24 and FY2024_25_30_1"/>
    <protectedRange algorithmName="SHA-512" hashValue="xVHQb+m8TPrCupBSUPofR+4mBqbTXWKv8zWrwen32Akm8RblXJOWFy/Cy2P4w35dSJ+elIHPqNYqI9hLSfD6TQ==" saltValue="1vuIOlrMbfwb5AHSRxNcMw==" spinCount="100000" sqref="M3271:T3273" name="M_T_31_1"/>
    <protectedRange algorithmName="SHA-512" hashValue="jY96UnylzPd2vZkRLfM8XmmJGWFJSSTGviPCXzMTiv3QOzQIjhLd0w3jlLlozcwC8eGz4qqU/rnIYRCHborlOw==" saltValue="CqFUHF8Z4PJMj52R2Kx+yA==" spinCount="100000" sqref="AK3271:AL3273" name="FY2023_24 and FY2024_25_31_1"/>
    <protectedRange algorithmName="SHA-512" hashValue="xVHQb+m8TPrCupBSUPofR+4mBqbTXWKv8zWrwen32Akm8RblXJOWFy/Cy2P4w35dSJ+elIHPqNYqI9hLSfD6TQ==" saltValue="1vuIOlrMbfwb5AHSRxNcMw==" spinCount="100000" sqref="M3274:T3274" name="M_T_32_1"/>
    <protectedRange algorithmName="SHA-512" hashValue="jY96UnylzPd2vZkRLfM8XmmJGWFJSSTGviPCXzMTiv3QOzQIjhLd0w3jlLlozcwC8eGz4qqU/rnIYRCHborlOw==" saltValue="CqFUHF8Z4PJMj52R2Kx+yA==" spinCount="100000" sqref="AK3274:AL3274" name="FY2023_24 and FY2024_25_32_1"/>
    <protectedRange algorithmName="SHA-512" hashValue="xVHQb+m8TPrCupBSUPofR+4mBqbTXWKv8zWrwen32Akm8RblXJOWFy/Cy2P4w35dSJ+elIHPqNYqI9hLSfD6TQ==" saltValue="1vuIOlrMbfwb5AHSRxNcMw==" spinCount="100000" sqref="M3275:T3276" name="M_T_33_1"/>
    <protectedRange algorithmName="SHA-512" hashValue="jY96UnylzPd2vZkRLfM8XmmJGWFJSSTGviPCXzMTiv3QOzQIjhLd0w3jlLlozcwC8eGz4qqU/rnIYRCHborlOw==" saltValue="CqFUHF8Z4PJMj52R2Kx+yA==" spinCount="100000" sqref="AK3275:AL3276" name="FY2023_24 and FY2024_25_33_1"/>
    <protectedRange algorithmName="SHA-512" hashValue="xVHQb+m8TPrCupBSUPofR+4mBqbTXWKv8zWrwen32Akm8RblXJOWFy/Cy2P4w35dSJ+elIHPqNYqI9hLSfD6TQ==" saltValue="1vuIOlrMbfwb5AHSRxNcMw==" spinCount="100000" sqref="M3279:T3282" name="M_T_34_1"/>
    <protectedRange algorithmName="SHA-512" hashValue="jY96UnylzPd2vZkRLfM8XmmJGWFJSSTGviPCXzMTiv3QOzQIjhLd0w3jlLlozcwC8eGz4qqU/rnIYRCHborlOw==" saltValue="CqFUHF8Z4PJMj52R2Kx+yA==" spinCount="100000" sqref="AK3279:AL3282" name="FY2023_24 and FY2024_25_34_1"/>
    <protectedRange algorithmName="SHA-512" hashValue="xVHQb+m8TPrCupBSUPofR+4mBqbTXWKv8zWrwen32Akm8RblXJOWFy/Cy2P4w35dSJ+elIHPqNYqI9hLSfD6TQ==" saltValue="1vuIOlrMbfwb5AHSRxNcMw==" spinCount="100000" sqref="M3283:T3288" name="M_T_35_1"/>
    <protectedRange algorithmName="SHA-512" hashValue="jY96UnylzPd2vZkRLfM8XmmJGWFJSSTGviPCXzMTiv3QOzQIjhLd0w3jlLlozcwC8eGz4qqU/rnIYRCHborlOw==" saltValue="CqFUHF8Z4PJMj52R2Kx+yA==" spinCount="100000" sqref="AK3283:AL3288" name="FY2023_24 and FY2024_25_35_1"/>
    <protectedRange algorithmName="SHA-512" hashValue="xVHQb+m8TPrCupBSUPofR+4mBqbTXWKv8zWrwen32Akm8RblXJOWFy/Cy2P4w35dSJ+elIHPqNYqI9hLSfD6TQ==" saltValue="1vuIOlrMbfwb5AHSRxNcMw==" spinCount="100000" sqref="M3289:T3291" name="M_T_36_1"/>
    <protectedRange algorithmName="SHA-512" hashValue="jY96UnylzPd2vZkRLfM8XmmJGWFJSSTGviPCXzMTiv3QOzQIjhLd0w3jlLlozcwC8eGz4qqU/rnIYRCHborlOw==" saltValue="CqFUHF8Z4PJMj52R2Kx+yA==" spinCount="100000" sqref="AK3289:AL3291" name="FY2023_24 and FY2024_25_36_1"/>
    <protectedRange algorithmName="SHA-512" hashValue="xVHQb+m8TPrCupBSUPofR+4mBqbTXWKv8zWrwen32Akm8RblXJOWFy/Cy2P4w35dSJ+elIHPqNYqI9hLSfD6TQ==" saltValue="1vuIOlrMbfwb5AHSRxNcMw==" spinCount="100000" sqref="M3292:T3292" name="M_T_37_1"/>
    <protectedRange algorithmName="SHA-512" hashValue="jY96UnylzPd2vZkRLfM8XmmJGWFJSSTGviPCXzMTiv3QOzQIjhLd0w3jlLlozcwC8eGz4qqU/rnIYRCHborlOw==" saltValue="CqFUHF8Z4PJMj52R2Kx+yA==" spinCount="100000" sqref="AK3292:AL3292" name="FY2023_24 and FY2024_25_37_1"/>
    <protectedRange algorithmName="SHA-512" hashValue="xVHQb+m8TPrCupBSUPofR+4mBqbTXWKv8zWrwen32Akm8RblXJOWFy/Cy2P4w35dSJ+elIHPqNYqI9hLSfD6TQ==" saltValue="1vuIOlrMbfwb5AHSRxNcMw==" spinCount="100000" sqref="M3293:T3294" name="M_T_38_1"/>
    <protectedRange algorithmName="SHA-512" hashValue="jY96UnylzPd2vZkRLfM8XmmJGWFJSSTGviPCXzMTiv3QOzQIjhLd0w3jlLlozcwC8eGz4qqU/rnIYRCHborlOw==" saltValue="CqFUHF8Z4PJMj52R2Kx+yA==" spinCount="100000" sqref="AK3293:AL3294" name="FY2023_24 and FY2024_25_38_1"/>
    <protectedRange algorithmName="SHA-512" hashValue="xVHQb+m8TPrCupBSUPofR+4mBqbTXWKv8zWrwen32Akm8RblXJOWFy/Cy2P4w35dSJ+elIHPqNYqI9hLSfD6TQ==" saltValue="1vuIOlrMbfwb5AHSRxNcMw==" spinCount="100000" sqref="M3295:T3313" name="M_T_39_1"/>
    <protectedRange algorithmName="SHA-512" hashValue="jY96UnylzPd2vZkRLfM8XmmJGWFJSSTGviPCXzMTiv3QOzQIjhLd0w3jlLlozcwC8eGz4qqU/rnIYRCHborlOw==" saltValue="CqFUHF8Z4PJMj52R2Kx+yA==" spinCount="100000" sqref="AK3295:AL3313" name="FY2023_24 and FY2024_25_39_1"/>
    <protectedRange algorithmName="SHA-512" hashValue="xVHQb+m8TPrCupBSUPofR+4mBqbTXWKv8zWrwen32Akm8RblXJOWFy/Cy2P4w35dSJ+elIHPqNYqI9hLSfD6TQ==" saltValue="1vuIOlrMbfwb5AHSRxNcMw==" spinCount="100000" sqref="M3314:T3315" name="M_T_40_1"/>
    <protectedRange algorithmName="SHA-512" hashValue="jY96UnylzPd2vZkRLfM8XmmJGWFJSSTGviPCXzMTiv3QOzQIjhLd0w3jlLlozcwC8eGz4qqU/rnIYRCHborlOw==" saltValue="CqFUHF8Z4PJMj52R2Kx+yA==" spinCount="100000" sqref="AK3314:AL3315" name="FY2023_24 and FY2024_25_40_1"/>
    <protectedRange algorithmName="SHA-512" hashValue="xVHQb+m8TPrCupBSUPofR+4mBqbTXWKv8zWrwen32Akm8RblXJOWFy/Cy2P4w35dSJ+elIHPqNYqI9hLSfD6TQ==" saltValue="1vuIOlrMbfwb5AHSRxNcMw==" spinCount="100000" sqref="M3316:T3317" name="M_T_41_1"/>
    <protectedRange algorithmName="SHA-512" hashValue="jY96UnylzPd2vZkRLfM8XmmJGWFJSSTGviPCXzMTiv3QOzQIjhLd0w3jlLlozcwC8eGz4qqU/rnIYRCHborlOw==" saltValue="CqFUHF8Z4PJMj52R2Kx+yA==" spinCount="100000" sqref="AK3316:AL3317" name="FY2023_24 and FY2024_25_41_1"/>
    <protectedRange algorithmName="SHA-512" hashValue="xVHQb+m8TPrCupBSUPofR+4mBqbTXWKv8zWrwen32Akm8RblXJOWFy/Cy2P4w35dSJ+elIHPqNYqI9hLSfD6TQ==" saltValue="1vuIOlrMbfwb5AHSRxNcMw==" spinCount="100000" sqref="M3318:T3318" name="M_T_42_1"/>
    <protectedRange algorithmName="SHA-512" hashValue="jY96UnylzPd2vZkRLfM8XmmJGWFJSSTGviPCXzMTiv3QOzQIjhLd0w3jlLlozcwC8eGz4qqU/rnIYRCHborlOw==" saltValue="CqFUHF8Z4PJMj52R2Kx+yA==" spinCount="100000" sqref="AK3318:AL3318" name="FY2023_24 and FY2024_25_42_1"/>
    <protectedRange algorithmName="SHA-512" hashValue="xVHQb+m8TPrCupBSUPofR+4mBqbTXWKv8zWrwen32Akm8RblXJOWFy/Cy2P4w35dSJ+elIHPqNYqI9hLSfD6TQ==" saltValue="1vuIOlrMbfwb5AHSRxNcMw==" spinCount="100000" sqref="M3319:T3320" name="M_T_43_1"/>
    <protectedRange algorithmName="SHA-512" hashValue="jY96UnylzPd2vZkRLfM8XmmJGWFJSSTGviPCXzMTiv3QOzQIjhLd0w3jlLlozcwC8eGz4qqU/rnIYRCHborlOw==" saltValue="CqFUHF8Z4PJMj52R2Kx+yA==" spinCount="100000" sqref="AK3319:AL3320" name="FY2023_24 and FY2024_25_43_1"/>
    <protectedRange algorithmName="SHA-512" hashValue="xVHQb+m8TPrCupBSUPofR+4mBqbTXWKv8zWrwen32Akm8RblXJOWFy/Cy2P4w35dSJ+elIHPqNYqI9hLSfD6TQ==" saltValue="1vuIOlrMbfwb5AHSRxNcMw==" spinCount="100000" sqref="M3321:T3321" name="M_T_44_1"/>
    <protectedRange algorithmName="SHA-512" hashValue="jY96UnylzPd2vZkRLfM8XmmJGWFJSSTGviPCXzMTiv3QOzQIjhLd0w3jlLlozcwC8eGz4qqU/rnIYRCHborlOw==" saltValue="CqFUHF8Z4PJMj52R2Kx+yA==" spinCount="100000" sqref="AK3321:AL3321" name="FY2023_24 and FY2024_25_44_1"/>
    <protectedRange algorithmName="SHA-512" hashValue="xVHQb+m8TPrCupBSUPofR+4mBqbTXWKv8zWrwen32Akm8RblXJOWFy/Cy2P4w35dSJ+elIHPqNYqI9hLSfD6TQ==" saltValue="1vuIOlrMbfwb5AHSRxNcMw==" spinCount="100000" sqref="M3322:T3322" name="M_T_45_1"/>
    <protectedRange algorithmName="SHA-512" hashValue="jY96UnylzPd2vZkRLfM8XmmJGWFJSSTGviPCXzMTiv3QOzQIjhLd0w3jlLlozcwC8eGz4qqU/rnIYRCHborlOw==" saltValue="CqFUHF8Z4PJMj52R2Kx+yA==" spinCount="100000" sqref="AK3322:AL3322" name="FY2023_24 and FY2024_25_45_1"/>
    <protectedRange algorithmName="SHA-512" hashValue="xVHQb+m8TPrCupBSUPofR+4mBqbTXWKv8zWrwen32Akm8RblXJOWFy/Cy2P4w35dSJ+elIHPqNYqI9hLSfD6TQ==" saltValue="1vuIOlrMbfwb5AHSRxNcMw==" spinCount="100000" sqref="M3323:T3323" name="M_T_46_1"/>
    <protectedRange algorithmName="SHA-512" hashValue="jY96UnylzPd2vZkRLfM8XmmJGWFJSSTGviPCXzMTiv3QOzQIjhLd0w3jlLlozcwC8eGz4qqU/rnIYRCHborlOw==" saltValue="CqFUHF8Z4PJMj52R2Kx+yA==" spinCount="100000" sqref="AK3323:AL3323" name="FY2023_24 and FY2024_25_46_1"/>
    <protectedRange algorithmName="SHA-512" hashValue="xVHQb+m8TPrCupBSUPofR+4mBqbTXWKv8zWrwen32Akm8RblXJOWFy/Cy2P4w35dSJ+elIHPqNYqI9hLSfD6TQ==" saltValue="1vuIOlrMbfwb5AHSRxNcMw==" spinCount="100000" sqref="M3324:T3325" name="M_T_47_1"/>
    <protectedRange algorithmName="SHA-512" hashValue="jY96UnylzPd2vZkRLfM8XmmJGWFJSSTGviPCXzMTiv3QOzQIjhLd0w3jlLlozcwC8eGz4qqU/rnIYRCHborlOw==" saltValue="CqFUHF8Z4PJMj52R2Kx+yA==" spinCount="100000" sqref="AK3324:AL3325" name="FY2023_24 and FY2024_25_47_1"/>
    <protectedRange algorithmName="SHA-512" hashValue="xVHQb+m8TPrCupBSUPofR+4mBqbTXWKv8zWrwen32Akm8RblXJOWFy/Cy2P4w35dSJ+elIHPqNYqI9hLSfD6TQ==" saltValue="1vuIOlrMbfwb5AHSRxNcMw==" spinCount="100000" sqref="M3326:T3328" name="M_T_48_1"/>
    <protectedRange algorithmName="SHA-512" hashValue="jY96UnylzPd2vZkRLfM8XmmJGWFJSSTGviPCXzMTiv3QOzQIjhLd0w3jlLlozcwC8eGz4qqU/rnIYRCHborlOw==" saltValue="CqFUHF8Z4PJMj52R2Kx+yA==" spinCount="100000" sqref="AK3326:AL3328" name="FY2023_24 and FY2024_25_48_1"/>
    <protectedRange algorithmName="SHA-512" hashValue="xVHQb+m8TPrCupBSUPofR+4mBqbTXWKv8zWrwen32Akm8RblXJOWFy/Cy2P4w35dSJ+elIHPqNYqI9hLSfD6TQ==" saltValue="1vuIOlrMbfwb5AHSRxNcMw==" spinCount="100000" sqref="M3329:T3331" name="M_T_49_1"/>
    <protectedRange algorithmName="SHA-512" hashValue="jY96UnylzPd2vZkRLfM8XmmJGWFJSSTGviPCXzMTiv3QOzQIjhLd0w3jlLlozcwC8eGz4qqU/rnIYRCHborlOw==" saltValue="CqFUHF8Z4PJMj52R2Kx+yA==" spinCount="100000" sqref="AK3329:AL3331" name="FY2023_24 and FY2024_25_49_1"/>
    <protectedRange algorithmName="SHA-512" hashValue="xVHQb+m8TPrCupBSUPofR+4mBqbTXWKv8zWrwen32Akm8RblXJOWFy/Cy2P4w35dSJ+elIHPqNYqI9hLSfD6TQ==" saltValue="1vuIOlrMbfwb5AHSRxNcMw==" spinCount="100000" sqref="M3332:T3332" name="M_T_50_1"/>
    <protectedRange algorithmName="SHA-512" hashValue="jY96UnylzPd2vZkRLfM8XmmJGWFJSSTGviPCXzMTiv3QOzQIjhLd0w3jlLlozcwC8eGz4qqU/rnIYRCHborlOw==" saltValue="CqFUHF8Z4PJMj52R2Kx+yA==" spinCount="100000" sqref="AK3332:AL3332" name="FY2023_24 and FY2024_25_50_1"/>
    <protectedRange algorithmName="SHA-512" hashValue="xVHQb+m8TPrCupBSUPofR+4mBqbTXWKv8zWrwen32Akm8RblXJOWFy/Cy2P4w35dSJ+elIHPqNYqI9hLSfD6TQ==" saltValue="1vuIOlrMbfwb5AHSRxNcMw==" spinCount="100000" sqref="M3333:T3333" name="M_T_51_1"/>
    <protectedRange algorithmName="SHA-512" hashValue="jY96UnylzPd2vZkRLfM8XmmJGWFJSSTGviPCXzMTiv3QOzQIjhLd0w3jlLlozcwC8eGz4qqU/rnIYRCHborlOw==" saltValue="CqFUHF8Z4PJMj52R2Kx+yA==" spinCount="100000" sqref="AK3333:AL3333" name="FY2023_24 and FY2024_25_51_1"/>
    <protectedRange algorithmName="SHA-512" hashValue="xVHQb+m8TPrCupBSUPofR+4mBqbTXWKv8zWrwen32Akm8RblXJOWFy/Cy2P4w35dSJ+elIHPqNYqI9hLSfD6TQ==" saltValue="1vuIOlrMbfwb5AHSRxNcMw==" spinCount="100000" sqref="M3334:T3334" name="M_T_52_1"/>
    <protectedRange algorithmName="SHA-512" hashValue="jY96UnylzPd2vZkRLfM8XmmJGWFJSSTGviPCXzMTiv3QOzQIjhLd0w3jlLlozcwC8eGz4qqU/rnIYRCHborlOw==" saltValue="CqFUHF8Z4PJMj52R2Kx+yA==" spinCount="100000" sqref="AK3334:AL3334" name="FY2023_24 and FY2024_25_52_1"/>
    <protectedRange algorithmName="SHA-512" hashValue="xVHQb+m8TPrCupBSUPofR+4mBqbTXWKv8zWrwen32Akm8RblXJOWFy/Cy2P4w35dSJ+elIHPqNYqI9hLSfD6TQ==" saltValue="1vuIOlrMbfwb5AHSRxNcMw==" spinCount="100000" sqref="M3335:T3335" name="M_T_53_1"/>
    <protectedRange algorithmName="SHA-512" hashValue="jY96UnylzPd2vZkRLfM8XmmJGWFJSSTGviPCXzMTiv3QOzQIjhLd0w3jlLlozcwC8eGz4qqU/rnIYRCHborlOw==" saltValue="CqFUHF8Z4PJMj52R2Kx+yA==" spinCount="100000" sqref="AK3335:AL3335" name="FY2023_24 and FY2024_25_53_1"/>
    <protectedRange algorithmName="SHA-512" hashValue="xVHQb+m8TPrCupBSUPofR+4mBqbTXWKv8zWrwen32Akm8RblXJOWFy/Cy2P4w35dSJ+elIHPqNYqI9hLSfD6TQ==" saltValue="1vuIOlrMbfwb5AHSRxNcMw==" spinCount="100000" sqref="M3336:T3336" name="M_T_54_1"/>
    <protectedRange algorithmName="SHA-512" hashValue="jY96UnylzPd2vZkRLfM8XmmJGWFJSSTGviPCXzMTiv3QOzQIjhLd0w3jlLlozcwC8eGz4qqU/rnIYRCHborlOw==" saltValue="CqFUHF8Z4PJMj52R2Kx+yA==" spinCount="100000" sqref="AK3336:AL3336" name="FY2023_24 and FY2024_25_54_1"/>
    <protectedRange algorithmName="SHA-512" hashValue="xVHQb+m8TPrCupBSUPofR+4mBqbTXWKv8zWrwen32Akm8RblXJOWFy/Cy2P4w35dSJ+elIHPqNYqI9hLSfD6TQ==" saltValue="1vuIOlrMbfwb5AHSRxNcMw==" spinCount="100000" sqref="M3337:T3339" name="M_T_55_1"/>
    <protectedRange algorithmName="SHA-512" hashValue="jY96UnylzPd2vZkRLfM8XmmJGWFJSSTGviPCXzMTiv3QOzQIjhLd0w3jlLlozcwC8eGz4qqU/rnIYRCHborlOw==" saltValue="CqFUHF8Z4PJMj52R2Kx+yA==" spinCount="100000" sqref="AK3337:AL3339" name="FY2023_24 and FY2024_25_55_1"/>
    <protectedRange algorithmName="SHA-512" hashValue="xVHQb+m8TPrCupBSUPofR+4mBqbTXWKv8zWrwen32Akm8RblXJOWFy/Cy2P4w35dSJ+elIHPqNYqI9hLSfD6TQ==" saltValue="1vuIOlrMbfwb5AHSRxNcMw==" spinCount="100000" sqref="M3340:T3342" name="M_T_56_1"/>
    <protectedRange algorithmName="SHA-512" hashValue="jY96UnylzPd2vZkRLfM8XmmJGWFJSSTGviPCXzMTiv3QOzQIjhLd0w3jlLlozcwC8eGz4qqU/rnIYRCHborlOw==" saltValue="CqFUHF8Z4PJMj52R2Kx+yA==" spinCount="100000" sqref="AK3340:AL3342" name="FY2023_24 and FY2024_25_56_1"/>
    <protectedRange algorithmName="SHA-512" hashValue="xVHQb+m8TPrCupBSUPofR+4mBqbTXWKv8zWrwen32Akm8RblXJOWFy/Cy2P4w35dSJ+elIHPqNYqI9hLSfD6TQ==" saltValue="1vuIOlrMbfwb5AHSRxNcMw==" spinCount="100000" sqref="M3343:T3343" name="M_T_57_1"/>
    <protectedRange algorithmName="SHA-512" hashValue="jY96UnylzPd2vZkRLfM8XmmJGWFJSSTGviPCXzMTiv3QOzQIjhLd0w3jlLlozcwC8eGz4qqU/rnIYRCHborlOw==" saltValue="CqFUHF8Z4PJMj52R2Kx+yA==" spinCount="100000" sqref="AK3343:AL3343" name="FY2023_24 and FY2024_25_57_1"/>
    <protectedRange algorithmName="SHA-512" hashValue="jY96UnylzPd2vZkRLfM8XmmJGWFJSSTGviPCXzMTiv3QOzQIjhLd0w3jlLlozcwC8eGz4qqU/rnIYRCHborlOw==" saltValue="CqFUHF8Z4PJMj52R2Kx+yA==" spinCount="100000" sqref="AK3152:AL3154 AL3151 AK3156:AL3161 AL3155" name="FY2023_24 and FY2024_25_4_1_2"/>
    <protectedRange algorithmName="SHA-512" hashValue="xVHQb+m8TPrCupBSUPofR+4mBqbTXWKv8zWrwen32Akm8RblXJOWFy/Cy2P4w35dSJ+elIHPqNYqI9hLSfD6TQ==" saltValue="1vuIOlrMbfwb5AHSRxNcMw==" spinCount="100000" sqref="M3221:T3223" name="M_T_58_1"/>
    <protectedRange algorithmName="SHA-512" hashValue="jY96UnylzPd2vZkRLfM8XmmJGWFJSSTGviPCXzMTiv3QOzQIjhLd0w3jlLlozcwC8eGz4qqU/rnIYRCHborlOw==" saltValue="CqFUHF8Z4PJMj52R2Kx+yA==" spinCount="100000" sqref="AK3221:AL3223" name="FY2023_24 and FY2024_25_58_1"/>
    <protectedRange algorithmName="SHA-512" hashValue="xVHQb+m8TPrCupBSUPofR+4mBqbTXWKv8zWrwen32Akm8RblXJOWFy/Cy2P4w35dSJ+elIHPqNYqI9hLSfD6TQ==" saltValue="1vuIOlrMbfwb5AHSRxNcMw==" spinCount="100000" sqref="M3241:T3241" name="M_T_59_1"/>
    <protectedRange algorithmName="SHA-512" hashValue="jY96UnylzPd2vZkRLfM8XmmJGWFJSSTGviPCXzMTiv3QOzQIjhLd0w3jlLlozcwC8eGz4qqU/rnIYRCHborlOw==" saltValue="CqFUHF8Z4PJMj52R2Kx+yA==" spinCount="100000" sqref="AK3241:AL3241" name="FY2023_24 and FY2024_25_59_1"/>
    <protectedRange algorithmName="SHA-512" hashValue="xVHQb+m8TPrCupBSUPofR+4mBqbTXWKv8zWrwen32Akm8RblXJOWFy/Cy2P4w35dSJ+elIHPqNYqI9hLSfD6TQ==" saltValue="1vuIOlrMbfwb5AHSRxNcMw==" spinCount="100000" sqref="M3277:T3278" name="M_T_60_1"/>
    <protectedRange algorithmName="SHA-512" hashValue="jY96UnylzPd2vZkRLfM8XmmJGWFJSSTGviPCXzMTiv3QOzQIjhLd0w3jlLlozcwC8eGz4qqU/rnIYRCHborlOw==" saltValue="CqFUHF8Z4PJMj52R2Kx+yA==" spinCount="100000" sqref="AK3277:AL3278" name="FY2023_24 and FY2024_25_60_1"/>
    <protectedRange algorithmName="SHA-512" hashValue="xVHQb+m8TPrCupBSUPofR+4mBqbTXWKv8zWrwen32Akm8RblXJOWFy/Cy2P4w35dSJ+elIHPqNYqI9hLSfD6TQ==" saltValue="1vuIOlrMbfwb5AHSRxNcMw==" spinCount="100000" sqref="M3126:T3126" name="M_T_61_1"/>
    <protectedRange algorithmName="SHA-512" hashValue="jY96UnylzPd2vZkRLfM8XmmJGWFJSSTGviPCXzMTiv3QOzQIjhLd0w3jlLlozcwC8eGz4qqU/rnIYRCHborlOw==" saltValue="CqFUHF8Z4PJMj52R2Kx+yA==" spinCount="100000" sqref="AK3126:AL3126" name="FY2023_24 and FY2024_25_61_1"/>
    <protectedRange algorithmName="SHA-512" hashValue="xVHQb+m8TPrCupBSUPofR+4mBqbTXWKv8zWrwen32Akm8RblXJOWFy/Cy2P4w35dSJ+elIHPqNYqI9hLSfD6TQ==" saltValue="1vuIOlrMbfwb5AHSRxNcMw==" spinCount="100000" sqref="M5435:T5853" name="M_T_9"/>
    <protectedRange algorithmName="SHA-512" hashValue="jY96UnylzPd2vZkRLfM8XmmJGWFJSSTGviPCXzMTiv3QOzQIjhLd0w3jlLlozcwC8eGz4qqU/rnIYRCHborlOw==" saltValue="CqFUHF8Z4PJMj52R2Kx+yA==" spinCount="100000" sqref="AK5435:AL5853" name="FY2023_24 and FY2024_25_23"/>
    <protectedRange algorithmName="SHA-512" hashValue="LnnTiFHW88v+Lt/birpZCwnxW62fSr/gAkBSFlUfSgwdfFWdf99knSzHDeoMAIBP5f47zs9wPG8trApANE0a5A==" saltValue="YxL3gEWV5b0y4dkncLyqQQ==" spinCount="100000" sqref="W5435:AD5853" name="criteria_9"/>
    <protectedRange algorithmName="SHA-512" hashValue="8vlAHijakGcEe+uTbvEo8hCNUrc8oV0mPYVwLAtftdU3yRwsScROrfrNOwGt5fx3OSsSqzs+dvl7p3PJCgs5zA==" saltValue="Ip3QQ+Fe7ypKUoABAhonuA==" spinCount="100000" sqref="AF5435:AG5853" name="AF_AG_9"/>
    <protectedRange algorithmName="SHA-512" hashValue="lLoAV23vayJIeC+1v/ZduC0aKohlW+qlg8MKNuOX25qWDLsEVgpuVxPEYtXRIqVuGyPL9Pa9bJKSulXXKTHVxw==" saltValue="mdE18MM5WIpZe1fyLf7OAg==" spinCount="100000" sqref="M678:T699" name="M_T_10"/>
    <protectedRange algorithmName="SHA-512" hashValue="jY96UnylzPd2vZkRLfM8XmmJGWFJSSTGviPCXzMTiv3QOzQIjhLd0w3jlLlozcwC8eGz4qqU/rnIYRCHborlOw==" saltValue="CqFUHF8Z4PJMj52R2Kx+yA==" spinCount="100000" sqref="AK678:AL699" name="FY2023_24 and FY2024_25_24"/>
    <protectedRange algorithmName="SHA-512" hashValue="LnnTiFHW88v+Lt/birpZCwnxW62fSr/gAkBSFlUfSgwdfFWdf99knSzHDeoMAIBP5f47zs9wPG8trApANE0a5A==" saltValue="YxL3gEWV5b0y4dkncLyqQQ==" spinCount="100000" sqref="W678:AD699" name="criteria_10"/>
    <protectedRange algorithmName="SHA-512" hashValue="8vlAHijakGcEe+uTbvEo8hCNUrc8oV0mPYVwLAtftdU3yRwsScROrfrNOwGt5fx3OSsSqzs+dvl7p3PJCgs5zA==" saltValue="Ip3QQ+Fe7ypKUoABAhonuA==" spinCount="100000" sqref="AF678:AG699" name="AF_AG_10"/>
    <protectedRange algorithmName="SHA-512" hashValue="lLoAV23vayJIeC+1v/ZduC0aKohlW+qlg8MKNuOX25qWDLsEVgpuVxPEYtXRIqVuGyPL9Pa9bJKSulXXKTHVxw==" saltValue="mdE18MM5WIpZe1fyLf7OAg==" spinCount="100000" sqref="M897:T918" name="M_T_11"/>
    <protectedRange algorithmName="SHA-512" hashValue="jY96UnylzPd2vZkRLfM8XmmJGWFJSSTGviPCXzMTiv3QOzQIjhLd0w3jlLlozcwC8eGz4qqU/rnIYRCHborlOw==" saltValue="CqFUHF8Z4PJMj52R2Kx+yA==" spinCount="100000" sqref="AK897:AL918" name="FY2023_24 and FY2024_25_25"/>
    <protectedRange algorithmName="SHA-512" hashValue="LnnTiFHW88v+Lt/birpZCwnxW62fSr/gAkBSFlUfSgwdfFWdf99knSzHDeoMAIBP5f47zs9wPG8trApANE0a5A==" saltValue="YxL3gEWV5b0y4dkncLyqQQ==" spinCount="100000" sqref="W897:AD918" name="criteria_11"/>
    <protectedRange algorithmName="SHA-512" hashValue="8vlAHijakGcEe+uTbvEo8hCNUrc8oV0mPYVwLAtftdU3yRwsScROrfrNOwGt5fx3OSsSqzs+dvl7p3PJCgs5zA==" saltValue="Ip3QQ+Fe7ypKUoABAhonuA==" spinCount="100000" sqref="AF897:AG918" name="AF_AG_11"/>
    <protectedRange algorithmName="SHA-512" hashValue="lLoAV23vayJIeC+1v/ZduC0aKohlW+qlg8MKNuOX25qWDLsEVgpuVxPEYtXRIqVuGyPL9Pa9bJKSulXXKTHVxw==" saltValue="mdE18MM5WIpZe1fyLf7OAg==" spinCount="100000" sqref="M1066:T1087" name="M_T_12"/>
    <protectedRange algorithmName="SHA-512" hashValue="jY96UnylzPd2vZkRLfM8XmmJGWFJSSTGviPCXzMTiv3QOzQIjhLd0w3jlLlozcwC8eGz4qqU/rnIYRCHborlOw==" saltValue="CqFUHF8Z4PJMj52R2Kx+yA==" spinCount="100000" sqref="AK1066:AL1087" name="FY2023_24 and FY2024_25_26"/>
    <protectedRange algorithmName="SHA-512" hashValue="LnnTiFHW88v+Lt/birpZCwnxW62fSr/gAkBSFlUfSgwdfFWdf99knSzHDeoMAIBP5f47zs9wPG8trApANE0a5A==" saltValue="YxL3gEWV5b0y4dkncLyqQQ==" spinCount="100000" sqref="W1066:AD1087" name="criteria_12"/>
    <protectedRange algorithmName="SHA-512" hashValue="8vlAHijakGcEe+uTbvEo8hCNUrc8oV0mPYVwLAtftdU3yRwsScROrfrNOwGt5fx3OSsSqzs+dvl7p3PJCgs5zA==" saltValue="Ip3QQ+Fe7ypKUoABAhonuA==" spinCount="100000" sqref="AF1066:AG1087" name="AF_AG_12"/>
    <protectedRange algorithmName="SHA-512" hashValue="lLoAV23vayJIeC+1v/ZduC0aKohlW+qlg8MKNuOX25qWDLsEVgpuVxPEYtXRIqVuGyPL9Pa9bJKSulXXKTHVxw==" saltValue="mdE18MM5WIpZe1fyLf7OAg==" spinCount="100000" sqref="M1088:T1109" name="M_T_13"/>
    <protectedRange algorithmName="SHA-512" hashValue="jY96UnylzPd2vZkRLfM8XmmJGWFJSSTGviPCXzMTiv3QOzQIjhLd0w3jlLlozcwC8eGz4qqU/rnIYRCHborlOw==" saltValue="CqFUHF8Z4PJMj52R2Kx+yA==" spinCount="100000" sqref="AK1088:AL1109" name="FY2023_24 and FY2024_25_27"/>
    <protectedRange algorithmName="SHA-512" hashValue="LnnTiFHW88v+Lt/birpZCwnxW62fSr/gAkBSFlUfSgwdfFWdf99knSzHDeoMAIBP5f47zs9wPG8trApANE0a5A==" saltValue="YxL3gEWV5b0y4dkncLyqQQ==" spinCount="100000" sqref="W1088:AD1109" name="criteria_13"/>
    <protectedRange algorithmName="SHA-512" hashValue="8vlAHijakGcEe+uTbvEo8hCNUrc8oV0mPYVwLAtftdU3yRwsScROrfrNOwGt5fx3OSsSqzs+dvl7p3PJCgs5zA==" saltValue="Ip3QQ+Fe7ypKUoABAhonuA==" spinCount="100000" sqref="AF1088:AG1109" name="AF_AG_13"/>
    <protectedRange algorithmName="SHA-512" hashValue="lLoAV23vayJIeC+1v/ZduC0aKohlW+qlg8MKNuOX25qWDLsEVgpuVxPEYtXRIqVuGyPL9Pa9bJKSulXXKTHVxw==" saltValue="mdE18MM5WIpZe1fyLf7OAg==" spinCount="100000" sqref="M1411:T1432" name="M_T_14"/>
    <protectedRange algorithmName="SHA-512" hashValue="jY96UnylzPd2vZkRLfM8XmmJGWFJSSTGviPCXzMTiv3QOzQIjhLd0w3jlLlozcwC8eGz4qqU/rnIYRCHborlOw==" saltValue="CqFUHF8Z4PJMj52R2Kx+yA==" spinCount="100000" sqref="AK1411:AL1432" name="FY2023_24 and FY2024_25_28"/>
    <protectedRange algorithmName="SHA-512" hashValue="LnnTiFHW88v+Lt/birpZCwnxW62fSr/gAkBSFlUfSgwdfFWdf99knSzHDeoMAIBP5f47zs9wPG8trApANE0a5A==" saltValue="YxL3gEWV5b0y4dkncLyqQQ==" spinCount="100000" sqref="W1411:AD1432" name="criteria_14"/>
    <protectedRange algorithmName="SHA-512" hashValue="8vlAHijakGcEe+uTbvEo8hCNUrc8oV0mPYVwLAtftdU3yRwsScROrfrNOwGt5fx3OSsSqzs+dvl7p3PJCgs5zA==" saltValue="Ip3QQ+Fe7ypKUoABAhonuA==" spinCount="100000" sqref="AF1411:AG1432" name="AF_AG_14"/>
    <protectedRange algorithmName="SHA-512" hashValue="lLoAV23vayJIeC+1v/ZduC0aKohlW+qlg8MKNuOX25qWDLsEVgpuVxPEYtXRIqVuGyPL9Pa9bJKSulXXKTHVxw==" saltValue="mdE18MM5WIpZe1fyLf7OAg==" spinCount="100000" sqref="M1663:T1684" name="M_T_15"/>
    <protectedRange algorithmName="SHA-512" hashValue="jY96UnylzPd2vZkRLfM8XmmJGWFJSSTGviPCXzMTiv3QOzQIjhLd0w3jlLlozcwC8eGz4qqU/rnIYRCHborlOw==" saltValue="CqFUHF8Z4PJMj52R2Kx+yA==" spinCount="100000" sqref="AK1663:AL1684" name="FY2023_24 and FY2024_25_29"/>
    <protectedRange algorithmName="SHA-512" hashValue="LnnTiFHW88v+Lt/birpZCwnxW62fSr/gAkBSFlUfSgwdfFWdf99knSzHDeoMAIBP5f47zs9wPG8trApANE0a5A==" saltValue="YxL3gEWV5b0y4dkncLyqQQ==" spinCount="100000" sqref="W1663:AD1684" name="criteria_15"/>
    <protectedRange algorithmName="SHA-512" hashValue="8vlAHijakGcEe+uTbvEo8hCNUrc8oV0mPYVwLAtftdU3yRwsScROrfrNOwGt5fx3OSsSqzs+dvl7p3PJCgs5zA==" saltValue="Ip3QQ+Fe7ypKUoABAhonuA==" spinCount="100000" sqref="AF1663:AG1684" name="AF_AG_15"/>
    <protectedRange algorithmName="SHA-512" hashValue="lLoAV23vayJIeC+1v/ZduC0aKohlW+qlg8MKNuOX25qWDLsEVgpuVxPEYtXRIqVuGyPL9Pa9bJKSulXXKTHVxw==" saltValue="mdE18MM5WIpZe1fyLf7OAg==" spinCount="100000" sqref="M1924:T1945" name="M_T_16"/>
    <protectedRange algorithmName="SHA-512" hashValue="jY96UnylzPd2vZkRLfM8XmmJGWFJSSTGviPCXzMTiv3QOzQIjhLd0w3jlLlozcwC8eGz4qqU/rnIYRCHborlOw==" saltValue="CqFUHF8Z4PJMj52R2Kx+yA==" spinCount="100000" sqref="AK1924:AL1945" name="FY2023_24 and FY2024_25_30"/>
    <protectedRange algorithmName="SHA-512" hashValue="LnnTiFHW88v+Lt/birpZCwnxW62fSr/gAkBSFlUfSgwdfFWdf99knSzHDeoMAIBP5f47zs9wPG8trApANE0a5A==" saltValue="YxL3gEWV5b0y4dkncLyqQQ==" spinCount="100000" sqref="W1924:AD1945" name="criteria_16"/>
    <protectedRange algorithmName="SHA-512" hashValue="8vlAHijakGcEe+uTbvEo8hCNUrc8oV0mPYVwLAtftdU3yRwsScROrfrNOwGt5fx3OSsSqzs+dvl7p3PJCgs5zA==" saltValue="Ip3QQ+Fe7ypKUoABAhonuA==" spinCount="100000" sqref="AF1924:AG1945" name="AF_AG_16"/>
    <protectedRange algorithmName="SHA-512" hashValue="lLoAV23vayJIeC+1v/ZduC0aKohlW+qlg8MKNuOX25qWDLsEVgpuVxPEYtXRIqVuGyPL9Pa9bJKSulXXKTHVxw==" saltValue="mdE18MM5WIpZe1fyLf7OAg==" spinCount="100000" sqref="M2140:T2161" name="M_T_17"/>
    <protectedRange algorithmName="SHA-512" hashValue="jY96UnylzPd2vZkRLfM8XmmJGWFJSSTGviPCXzMTiv3QOzQIjhLd0w3jlLlozcwC8eGz4qqU/rnIYRCHborlOw==" saltValue="CqFUHF8Z4PJMj52R2Kx+yA==" spinCount="100000" sqref="AK2140:AL2161" name="FY2023_24 and FY2024_25_31"/>
    <protectedRange algorithmName="SHA-512" hashValue="LnnTiFHW88v+Lt/birpZCwnxW62fSr/gAkBSFlUfSgwdfFWdf99knSzHDeoMAIBP5f47zs9wPG8trApANE0a5A==" saltValue="YxL3gEWV5b0y4dkncLyqQQ==" spinCount="100000" sqref="W2140:AD2161" name="criteria_17"/>
    <protectedRange algorithmName="SHA-512" hashValue="8vlAHijakGcEe+uTbvEo8hCNUrc8oV0mPYVwLAtftdU3yRwsScROrfrNOwGt5fx3OSsSqzs+dvl7p3PJCgs5zA==" saltValue="Ip3QQ+Fe7ypKUoABAhonuA==" spinCount="100000" sqref="AF2140:AG2161" name="AF_AG_17"/>
    <protectedRange algorithmName="SHA-512" hashValue="lLoAV23vayJIeC+1v/ZduC0aKohlW+qlg8MKNuOX25qWDLsEVgpuVxPEYtXRIqVuGyPL9Pa9bJKSulXXKTHVxw==" saltValue="mdE18MM5WIpZe1fyLf7OAg==" spinCount="100000" sqref="M2319:T2340" name="M_T_18"/>
    <protectedRange algorithmName="SHA-512" hashValue="jY96UnylzPd2vZkRLfM8XmmJGWFJSSTGviPCXzMTiv3QOzQIjhLd0w3jlLlozcwC8eGz4qqU/rnIYRCHborlOw==" saltValue="CqFUHF8Z4PJMj52R2Kx+yA==" spinCount="100000" sqref="AK2319:AL2340" name="FY2023_24 and FY2024_25_32"/>
    <protectedRange algorithmName="SHA-512" hashValue="LnnTiFHW88v+Lt/birpZCwnxW62fSr/gAkBSFlUfSgwdfFWdf99knSzHDeoMAIBP5f47zs9wPG8trApANE0a5A==" saltValue="YxL3gEWV5b0y4dkncLyqQQ==" spinCount="100000" sqref="W2319:AD2340" name="criteria_18"/>
    <protectedRange algorithmName="SHA-512" hashValue="8vlAHijakGcEe+uTbvEo8hCNUrc8oV0mPYVwLAtftdU3yRwsScROrfrNOwGt5fx3OSsSqzs+dvl7p3PJCgs5zA==" saltValue="Ip3QQ+Fe7ypKUoABAhonuA==" spinCount="100000" sqref="AF2319:AG2340" name="AF_AG_18"/>
    <protectedRange algorithmName="SHA-512" hashValue="lLoAV23vayJIeC+1v/ZduC0aKohlW+qlg8MKNuOX25qWDLsEVgpuVxPEYtXRIqVuGyPL9Pa9bJKSulXXKTHVxw==" saltValue="mdE18MM5WIpZe1fyLf7OAg==" spinCount="100000" sqref="M3028:T3049" name="M_T_19"/>
    <protectedRange algorithmName="SHA-512" hashValue="jY96UnylzPd2vZkRLfM8XmmJGWFJSSTGviPCXzMTiv3QOzQIjhLd0w3jlLlozcwC8eGz4qqU/rnIYRCHborlOw==" saltValue="CqFUHF8Z4PJMj52R2Kx+yA==" spinCount="100000" sqref="AK3028:AL3049" name="FY2023_24 and FY2024_25_33"/>
    <protectedRange algorithmName="SHA-512" hashValue="LnnTiFHW88v+Lt/birpZCwnxW62fSr/gAkBSFlUfSgwdfFWdf99knSzHDeoMAIBP5f47zs9wPG8trApANE0a5A==" saltValue="YxL3gEWV5b0y4dkncLyqQQ==" spinCount="100000" sqref="W3028:AD3049" name="criteria_19"/>
    <protectedRange algorithmName="SHA-512" hashValue="8vlAHijakGcEe+uTbvEo8hCNUrc8oV0mPYVwLAtftdU3yRwsScROrfrNOwGt5fx3OSsSqzs+dvl7p3PJCgs5zA==" saltValue="Ip3QQ+Fe7ypKUoABAhonuA==" spinCount="100000" sqref="AF3028:AG3049" name="AF_AG_19"/>
    <protectedRange algorithmName="SHA-512" hashValue="lLoAV23vayJIeC+1v/ZduC0aKohlW+qlg8MKNuOX25qWDLsEVgpuVxPEYtXRIqVuGyPL9Pa9bJKSulXXKTHVxw==" saltValue="mdE18MM5WIpZe1fyLf7OAg==" spinCount="100000" sqref="M3100:T3121" name="M_T_20"/>
    <protectedRange algorithmName="SHA-512" hashValue="jY96UnylzPd2vZkRLfM8XmmJGWFJSSTGviPCXzMTiv3QOzQIjhLd0w3jlLlozcwC8eGz4qqU/rnIYRCHborlOw==" saltValue="CqFUHF8Z4PJMj52R2Kx+yA==" spinCount="100000" sqref="AK3100:AL3121" name="FY2023_24 and FY2024_25_34"/>
    <protectedRange algorithmName="SHA-512" hashValue="LnnTiFHW88v+Lt/birpZCwnxW62fSr/gAkBSFlUfSgwdfFWdf99knSzHDeoMAIBP5f47zs9wPG8trApANE0a5A==" saltValue="YxL3gEWV5b0y4dkncLyqQQ==" spinCount="100000" sqref="W3100:AD3121" name="criteria_20"/>
    <protectedRange algorithmName="SHA-512" hashValue="8vlAHijakGcEe+uTbvEo8hCNUrc8oV0mPYVwLAtftdU3yRwsScROrfrNOwGt5fx3OSsSqzs+dvl7p3PJCgs5zA==" saltValue="Ip3QQ+Fe7ypKUoABAhonuA==" spinCount="100000" sqref="AF3100:AG3121" name="AF_AG_20"/>
    <protectedRange algorithmName="SHA-512" hashValue="lLoAV23vayJIeC+1v/ZduC0aKohlW+qlg8MKNuOX25qWDLsEVgpuVxPEYtXRIqVuGyPL9Pa9bJKSulXXKTHVxw==" saltValue="mdE18MM5WIpZe1fyLf7OAg==" spinCount="100000" sqref="M3344:T3365" name="M_T_21"/>
    <protectedRange algorithmName="SHA-512" hashValue="jY96UnylzPd2vZkRLfM8XmmJGWFJSSTGviPCXzMTiv3QOzQIjhLd0w3jlLlozcwC8eGz4qqU/rnIYRCHborlOw==" saltValue="CqFUHF8Z4PJMj52R2Kx+yA==" spinCount="100000" sqref="AK3344:AL3365" name="FY2023_24 and FY2024_25_35"/>
    <protectedRange algorithmName="SHA-512" hashValue="LnnTiFHW88v+Lt/birpZCwnxW62fSr/gAkBSFlUfSgwdfFWdf99knSzHDeoMAIBP5f47zs9wPG8trApANE0a5A==" saltValue="YxL3gEWV5b0y4dkncLyqQQ==" spinCount="100000" sqref="W3344:AD3365" name="criteria_21"/>
    <protectedRange algorithmName="SHA-512" hashValue="8vlAHijakGcEe+uTbvEo8hCNUrc8oV0mPYVwLAtftdU3yRwsScROrfrNOwGt5fx3OSsSqzs+dvl7p3PJCgs5zA==" saltValue="Ip3QQ+Fe7ypKUoABAhonuA==" spinCount="100000" sqref="AF3344:AG3365" name="AF_AG_21"/>
    <protectedRange algorithmName="SHA-512" hashValue="lLoAV23vayJIeC+1v/ZduC0aKohlW+qlg8MKNuOX25qWDLsEVgpuVxPEYtXRIqVuGyPL9Pa9bJKSulXXKTHVxw==" saltValue="mdE18MM5WIpZe1fyLf7OAg==" spinCount="100000" sqref="M3489:T3510" name="M_T_22"/>
    <protectedRange algorithmName="SHA-512" hashValue="jY96UnylzPd2vZkRLfM8XmmJGWFJSSTGviPCXzMTiv3QOzQIjhLd0w3jlLlozcwC8eGz4qqU/rnIYRCHborlOw==" saltValue="CqFUHF8Z4PJMj52R2Kx+yA==" spinCount="100000" sqref="AK3489:AL3510" name="FY2023_24 and FY2024_25_36"/>
    <protectedRange algorithmName="SHA-512" hashValue="LnnTiFHW88v+Lt/birpZCwnxW62fSr/gAkBSFlUfSgwdfFWdf99knSzHDeoMAIBP5f47zs9wPG8trApANE0a5A==" saltValue="YxL3gEWV5b0y4dkncLyqQQ==" spinCount="100000" sqref="W3489:AD3510" name="criteria_22"/>
    <protectedRange algorithmName="SHA-512" hashValue="8vlAHijakGcEe+uTbvEo8hCNUrc8oV0mPYVwLAtftdU3yRwsScROrfrNOwGt5fx3OSsSqzs+dvl7p3PJCgs5zA==" saltValue="Ip3QQ+Fe7ypKUoABAhonuA==" spinCount="100000" sqref="AF3489:AG3510" name="AF_AG_22"/>
    <protectedRange algorithmName="SHA-512" hashValue="lLoAV23vayJIeC+1v/ZduC0aKohlW+qlg8MKNuOX25qWDLsEVgpuVxPEYtXRIqVuGyPL9Pa9bJKSulXXKTHVxw==" saltValue="mdE18MM5WIpZe1fyLf7OAg==" spinCount="100000" sqref="M4960:T4981" name="M_T_23"/>
    <protectedRange algorithmName="SHA-512" hashValue="jY96UnylzPd2vZkRLfM8XmmJGWFJSSTGviPCXzMTiv3QOzQIjhLd0w3jlLlozcwC8eGz4qqU/rnIYRCHborlOw==" saltValue="CqFUHF8Z4PJMj52R2Kx+yA==" spinCount="100000" sqref="AK4960:AL4981" name="FY2023_24 and FY2024_25_37"/>
    <protectedRange algorithmName="SHA-512" hashValue="LnnTiFHW88v+Lt/birpZCwnxW62fSr/gAkBSFlUfSgwdfFWdf99knSzHDeoMAIBP5f47zs9wPG8trApANE0a5A==" saltValue="YxL3gEWV5b0y4dkncLyqQQ==" spinCount="100000" sqref="W4960:AD4981" name="criteria_23"/>
    <protectedRange algorithmName="SHA-512" hashValue="8vlAHijakGcEe+uTbvEo8hCNUrc8oV0mPYVwLAtftdU3yRwsScROrfrNOwGt5fx3OSsSqzs+dvl7p3PJCgs5zA==" saltValue="Ip3QQ+Fe7ypKUoABAhonuA==" spinCount="100000" sqref="AF4960:AG4981" name="AF_AG_23"/>
    <protectedRange algorithmName="SHA-512" hashValue="lLoAV23vayJIeC+1v/ZduC0aKohlW+qlg8MKNuOX25qWDLsEVgpuVxPEYtXRIqVuGyPL9Pa9bJKSulXXKTHVxw==" saltValue="mdE18MM5WIpZe1fyLf7OAg==" spinCount="100000" sqref="M5131:T5152" name="M_T_24"/>
    <protectedRange algorithmName="SHA-512" hashValue="jY96UnylzPd2vZkRLfM8XmmJGWFJSSTGviPCXzMTiv3QOzQIjhLd0w3jlLlozcwC8eGz4qqU/rnIYRCHborlOw==" saltValue="CqFUHF8Z4PJMj52R2Kx+yA==" spinCount="100000" sqref="AK5131:AL5152" name="FY2023_24 and FY2024_25_38"/>
    <protectedRange algorithmName="SHA-512" hashValue="LnnTiFHW88v+Lt/birpZCwnxW62fSr/gAkBSFlUfSgwdfFWdf99knSzHDeoMAIBP5f47zs9wPG8trApANE0a5A==" saltValue="YxL3gEWV5b0y4dkncLyqQQ==" spinCount="100000" sqref="W5131:AD5152" name="criteria_24"/>
    <protectedRange algorithmName="SHA-512" hashValue="8vlAHijakGcEe+uTbvEo8hCNUrc8oV0mPYVwLAtftdU3yRwsScROrfrNOwGt5fx3OSsSqzs+dvl7p3PJCgs5zA==" saltValue="Ip3QQ+Fe7ypKUoABAhonuA==" spinCount="100000" sqref="AF5131:AG5152" name="AF_AG_24"/>
    <protectedRange algorithmName="SHA-512" hashValue="lLoAV23vayJIeC+1v/ZduC0aKohlW+qlg8MKNuOX25qWDLsEVgpuVxPEYtXRIqVuGyPL9Pa9bJKSulXXKTHVxw==" saltValue="mdE18MM5WIpZe1fyLf7OAg==" spinCount="100000" sqref="M5410:T5431" name="M_T_25"/>
    <protectedRange algorithmName="SHA-512" hashValue="jY96UnylzPd2vZkRLfM8XmmJGWFJSSTGviPCXzMTiv3QOzQIjhLd0w3jlLlozcwC8eGz4qqU/rnIYRCHborlOw==" saltValue="CqFUHF8Z4PJMj52R2Kx+yA==" spinCount="100000" sqref="AK5410:AL5431" name="FY2023_24 and FY2024_25_39"/>
    <protectedRange algorithmName="SHA-512" hashValue="LnnTiFHW88v+Lt/birpZCwnxW62fSr/gAkBSFlUfSgwdfFWdf99knSzHDeoMAIBP5f47zs9wPG8trApANE0a5A==" saltValue="YxL3gEWV5b0y4dkncLyqQQ==" spinCount="100000" sqref="W5410:AD5431" name="criteria_25"/>
    <protectedRange algorithmName="SHA-512" hashValue="8vlAHijakGcEe+uTbvEo8hCNUrc8oV0mPYVwLAtftdU3yRwsScROrfrNOwGt5fx3OSsSqzs+dvl7p3PJCgs5zA==" saltValue="Ip3QQ+Fe7ypKUoABAhonuA==" spinCount="100000" sqref="AF5410:AG5431" name="AF_AG_25"/>
    <protectedRange algorithmName="SHA-512" hashValue="lLoAV23vayJIeC+1v/ZduC0aKohlW+qlg8MKNuOX25qWDLsEVgpuVxPEYtXRIqVuGyPL9Pa9bJKSulXXKTHVxw==" saltValue="mdE18MM5WIpZe1fyLf7OAg==" spinCount="100000" sqref="M5857:T5878" name="M_T_26"/>
    <protectedRange algorithmName="SHA-512" hashValue="jY96UnylzPd2vZkRLfM8XmmJGWFJSSTGviPCXzMTiv3QOzQIjhLd0w3jlLlozcwC8eGz4qqU/rnIYRCHborlOw==" saltValue="CqFUHF8Z4PJMj52R2Kx+yA==" spinCount="100000" sqref="AK5857:AL5878" name="FY2023_24 and FY2024_25_40"/>
    <protectedRange algorithmName="SHA-512" hashValue="LnnTiFHW88v+Lt/birpZCwnxW62fSr/gAkBSFlUfSgwdfFWdf99knSzHDeoMAIBP5f47zs9wPG8trApANE0a5A==" saltValue="YxL3gEWV5b0y4dkncLyqQQ==" spinCount="100000" sqref="W5857:AD5878" name="criteria_26"/>
    <protectedRange algorithmName="SHA-512" hashValue="8vlAHijakGcEe+uTbvEo8hCNUrc8oV0mPYVwLAtftdU3yRwsScROrfrNOwGt5fx3OSsSqzs+dvl7p3PJCgs5zA==" saltValue="Ip3QQ+Fe7ypKUoABAhonuA==" spinCount="100000" sqref="AF5857:AG5878" name="AF_AG_26"/>
    <protectedRange algorithmName="SHA-512" hashValue="lLoAV23vayJIeC+1v/ZduC0aKohlW+qlg8MKNuOX25qWDLsEVgpuVxPEYtXRIqVuGyPL9Pa9bJKSulXXKTHVxw==" saltValue="mdE18MM5WIpZe1fyLf7OAg==" spinCount="100000" sqref="M5879:T5900" name="M_T_27"/>
    <protectedRange algorithmName="SHA-512" hashValue="jY96UnylzPd2vZkRLfM8XmmJGWFJSSTGviPCXzMTiv3QOzQIjhLd0w3jlLlozcwC8eGz4qqU/rnIYRCHborlOw==" saltValue="CqFUHF8Z4PJMj52R2Kx+yA==" spinCount="100000" sqref="AK5879:AL5900" name="FY2023_24 and FY2024_25_41"/>
    <protectedRange algorithmName="SHA-512" hashValue="LnnTiFHW88v+Lt/birpZCwnxW62fSr/gAkBSFlUfSgwdfFWdf99knSzHDeoMAIBP5f47zs9wPG8trApANE0a5A==" saltValue="YxL3gEWV5b0y4dkncLyqQQ==" spinCount="100000" sqref="W5879:AD5900" name="criteria_27"/>
    <protectedRange algorithmName="SHA-512" hashValue="8vlAHijakGcEe+uTbvEo8hCNUrc8oV0mPYVwLAtftdU3yRwsScROrfrNOwGt5fx3OSsSqzs+dvl7p3PJCgs5zA==" saltValue="Ip3QQ+Fe7ypKUoABAhonuA==" spinCount="100000" sqref="AF5879:AG5900" name="AF_AG_27"/>
    <protectedRange algorithmName="SHA-512" hashValue="xVHQb+m8TPrCupBSUPofR+4mBqbTXWKv8zWrwen32Akm8RblXJOWFy/Cy2P4w35dSJ+elIHPqNYqI9hLSfD6TQ==" saltValue="1vuIOlrMbfwb5AHSRxNcMw==" spinCount="100000" sqref="O4930:V4959 M3514:T4929" name="M_T_28"/>
    <protectedRange algorithmName="SHA-512" hashValue="jY96UnylzPd2vZkRLfM8XmmJGWFJSSTGviPCXzMTiv3QOzQIjhLd0w3jlLlozcwC8eGz4qqU/rnIYRCHborlOw==" saltValue="CqFUHF8Z4PJMj52R2Kx+yA==" spinCount="100000" sqref="AK3514:AL4929" name="FY2023_24 and FY2024_25_42"/>
    <protectedRange algorithmName="SHA-512" hashValue="LnnTiFHW88v+Lt/birpZCwnxW62fSr/gAkBSFlUfSgwdfFWdf99knSzHDeoMAIBP5f47zs9wPG8trApANE0a5A==" saltValue="YxL3gEWV5b0y4dkncLyqQQ==" spinCount="100000" sqref="AJ4930:AO4959 W3514:AD4929 AE4930:AE4959" name="criteria_28"/>
    <protectedRange algorithmName="SHA-512" hashValue="8vlAHijakGcEe+uTbvEo8hCNUrc8oV0mPYVwLAtftdU3yRwsScROrfrNOwGt5fx3OSsSqzs+dvl7p3PJCgs5zA==" saltValue="Ip3QQ+Fe7ypKUoABAhonuA==" spinCount="100000" sqref="AF3514:AG4929" name="AF_AG_28"/>
  </protectedRanges>
  <autoFilter ref="A1:AP5900" xr:uid="{1F35F1F0-410E-47C3-971F-93D5911DA78B}"/>
  <mergeCells count="91">
    <mergeCell ref="R5497:R5498"/>
    <mergeCell ref="S5497:S5498"/>
    <mergeCell ref="M5497:M5498"/>
    <mergeCell ref="N5497:N5498"/>
    <mergeCell ref="O5497:O5498"/>
    <mergeCell ref="P5497:P5498"/>
    <mergeCell ref="Q5497:Q5498"/>
    <mergeCell ref="R5527:R5529"/>
    <mergeCell ref="S5527:S5529"/>
    <mergeCell ref="M5551:M5552"/>
    <mergeCell ref="N5551:N5552"/>
    <mergeCell ref="O5551:O5552"/>
    <mergeCell ref="P5551:P5552"/>
    <mergeCell ref="Q5551:Q5552"/>
    <mergeCell ref="R5551:R5552"/>
    <mergeCell ref="S5551:S5552"/>
    <mergeCell ref="M5527:M5529"/>
    <mergeCell ref="N5527:N5529"/>
    <mergeCell ref="O5527:O5529"/>
    <mergeCell ref="P5527:P5529"/>
    <mergeCell ref="Q5527:Q5529"/>
    <mergeCell ref="R5553:R5554"/>
    <mergeCell ref="S5553:S5554"/>
    <mergeCell ref="M5555:M5556"/>
    <mergeCell ref="N5555:N5556"/>
    <mergeCell ref="O5555:O5556"/>
    <mergeCell ref="P5555:P5556"/>
    <mergeCell ref="Q5555:Q5556"/>
    <mergeCell ref="R5555:R5556"/>
    <mergeCell ref="S5555:S5556"/>
    <mergeCell ref="M5553:M5554"/>
    <mergeCell ref="N5553:N5554"/>
    <mergeCell ref="O5553:O5554"/>
    <mergeCell ref="P5553:P5554"/>
    <mergeCell ref="Q5553:Q5554"/>
    <mergeCell ref="R5557:R5558"/>
    <mergeCell ref="S5557:S5558"/>
    <mergeCell ref="M5559:M5560"/>
    <mergeCell ref="N5559:N5560"/>
    <mergeCell ref="O5559:O5560"/>
    <mergeCell ref="P5559:P5560"/>
    <mergeCell ref="Q5559:Q5560"/>
    <mergeCell ref="R5559:R5560"/>
    <mergeCell ref="S5559:S5560"/>
    <mergeCell ref="M5557:M5558"/>
    <mergeCell ref="N5557:N5558"/>
    <mergeCell ref="O5557:O5558"/>
    <mergeCell ref="P5557:P5558"/>
    <mergeCell ref="Q5557:Q5558"/>
    <mergeCell ref="R5561:R5562"/>
    <mergeCell ref="S5561:S5562"/>
    <mergeCell ref="M5767:M5768"/>
    <mergeCell ref="N5767:N5768"/>
    <mergeCell ref="O5767:O5768"/>
    <mergeCell ref="P5767:P5768"/>
    <mergeCell ref="Q5767:Q5768"/>
    <mergeCell ref="R5767:R5768"/>
    <mergeCell ref="S5767:S5768"/>
    <mergeCell ref="M5561:M5562"/>
    <mergeCell ref="N5561:N5562"/>
    <mergeCell ref="O5561:O5562"/>
    <mergeCell ref="P5561:P5562"/>
    <mergeCell ref="Q5561:Q5562"/>
    <mergeCell ref="R5774:R5776"/>
    <mergeCell ref="S5774:S5776"/>
    <mergeCell ref="M5804:M5806"/>
    <mergeCell ref="N5804:N5806"/>
    <mergeCell ref="O5804:O5806"/>
    <mergeCell ref="P5804:P5806"/>
    <mergeCell ref="Q5804:Q5806"/>
    <mergeCell ref="R5804:R5806"/>
    <mergeCell ref="S5804:S5806"/>
    <mergeCell ref="M5774:M5776"/>
    <mergeCell ref="N5774:N5776"/>
    <mergeCell ref="O5774:O5776"/>
    <mergeCell ref="P5774:P5776"/>
    <mergeCell ref="Q5774:Q5776"/>
    <mergeCell ref="R5818:R5820"/>
    <mergeCell ref="S5818:S5820"/>
    <mergeCell ref="M5835:M5836"/>
    <mergeCell ref="N5835:N5836"/>
    <mergeCell ref="O5835:O5836"/>
    <mergeCell ref="P5835:P5836"/>
    <mergeCell ref="Q5835:Q5836"/>
    <mergeCell ref="R5835:R5836"/>
    <mergeCell ref="S5835:S5836"/>
    <mergeCell ref="M5818:M5820"/>
    <mergeCell ref="N5818:N5820"/>
    <mergeCell ref="O5818:O5820"/>
    <mergeCell ref="P5818:P5820"/>
    <mergeCell ref="Q5818:Q5820"/>
  </mergeCells>
  <phoneticPr fontId="11" type="noConversion"/>
  <conditionalFormatting sqref="AE4985:AE5152 AE5157:AE5431 AE5:AE3365">
    <cfRule type="cellIs" dxfId="212" priority="157" operator="greaterThanOrEqual">
      <formula>75%</formula>
    </cfRule>
  </conditionalFormatting>
  <conditionalFormatting sqref="AE4985:AE5152 AE5157:AE5431 AE5:AE3365">
    <cfRule type="cellIs" dxfId="211" priority="155" operator="lessThanOrEqual">
      <formula>50%</formula>
    </cfRule>
    <cfRule type="cellIs" dxfId="210" priority="156" operator="between">
      <formula>50.1%</formula>
      <formula>74.9%</formula>
    </cfRule>
  </conditionalFormatting>
  <conditionalFormatting sqref="AE2:AE4">
    <cfRule type="cellIs" dxfId="209" priority="154" operator="greaterThanOrEqual">
      <formula>75%</formula>
    </cfRule>
  </conditionalFormatting>
  <conditionalFormatting sqref="AE2:AE4">
    <cfRule type="cellIs" dxfId="208" priority="152" operator="lessThanOrEqual">
      <formula>50%</formula>
    </cfRule>
    <cfRule type="cellIs" dxfId="207" priority="153" operator="between">
      <formula>50.1%</formula>
      <formula>74.9%</formula>
    </cfRule>
  </conditionalFormatting>
  <conditionalFormatting sqref="AE3369:AE4981">
    <cfRule type="cellIs" dxfId="206" priority="147" operator="greaterThanOrEqual">
      <formula>75%</formula>
    </cfRule>
  </conditionalFormatting>
  <conditionalFormatting sqref="AE3369:AE4981">
    <cfRule type="cellIs" dxfId="205" priority="145" operator="lessThanOrEqual">
      <formula>50%</formula>
    </cfRule>
    <cfRule type="cellIs" dxfId="204" priority="146" operator="between">
      <formula>50.1%</formula>
      <formula>74.9%</formula>
    </cfRule>
  </conditionalFormatting>
  <conditionalFormatting sqref="AE3366:AE3368">
    <cfRule type="cellIs" dxfId="203" priority="144" operator="greaterThanOrEqual">
      <formula>75%</formula>
    </cfRule>
  </conditionalFormatting>
  <conditionalFormatting sqref="AE3366:AE3368">
    <cfRule type="cellIs" dxfId="202" priority="142" operator="lessThanOrEqual">
      <formula>50%</formula>
    </cfRule>
    <cfRule type="cellIs" dxfId="201" priority="143" operator="between">
      <formula>50.1%</formula>
      <formula>74.9%</formula>
    </cfRule>
  </conditionalFormatting>
  <conditionalFormatting sqref="AE2165:AE3365">
    <cfRule type="cellIs" dxfId="200" priority="141" operator="greaterThanOrEqual">
      <formula>75%</formula>
    </cfRule>
  </conditionalFormatting>
  <conditionalFormatting sqref="AE2165:AE3365">
    <cfRule type="cellIs" dxfId="199" priority="139" operator="lessThanOrEqual">
      <formula>50%</formula>
    </cfRule>
    <cfRule type="cellIs" dxfId="198" priority="140" operator="between">
      <formula>50.1%</formula>
      <formula>74.9%</formula>
    </cfRule>
  </conditionalFormatting>
  <conditionalFormatting sqref="AE2162:AE2164">
    <cfRule type="cellIs" dxfId="197" priority="138" operator="greaterThanOrEqual">
      <formula>75%</formula>
    </cfRule>
  </conditionalFormatting>
  <conditionalFormatting sqref="AE2162:AE2164">
    <cfRule type="cellIs" dxfId="196" priority="136" operator="lessThanOrEqual">
      <formula>50%</formula>
    </cfRule>
    <cfRule type="cellIs" dxfId="195" priority="137" operator="between">
      <formula>50.1%</formula>
      <formula>74.9%</formula>
    </cfRule>
  </conditionalFormatting>
  <conditionalFormatting sqref="AE1688:AE2161">
    <cfRule type="cellIs" dxfId="194" priority="135" operator="greaterThanOrEqual">
      <formula>75%</formula>
    </cfRule>
  </conditionalFormatting>
  <conditionalFormatting sqref="AE1688:AE2161">
    <cfRule type="cellIs" dxfId="193" priority="133" operator="lessThanOrEqual">
      <formula>50%</formula>
    </cfRule>
    <cfRule type="cellIs" dxfId="192" priority="134" operator="between">
      <formula>50.1%</formula>
      <formula>74.9%</formula>
    </cfRule>
  </conditionalFormatting>
  <conditionalFormatting sqref="AE1685:AE1687">
    <cfRule type="cellIs" dxfId="191" priority="132" operator="greaterThanOrEqual">
      <formula>75%</formula>
    </cfRule>
  </conditionalFormatting>
  <conditionalFormatting sqref="AE1685:AE1687">
    <cfRule type="cellIs" dxfId="190" priority="130" operator="lessThanOrEqual">
      <formula>50%</formula>
    </cfRule>
    <cfRule type="cellIs" dxfId="189" priority="131" operator="between">
      <formula>50.1%</formula>
      <formula>74.9%</formula>
    </cfRule>
  </conditionalFormatting>
  <conditionalFormatting sqref="AE3053:AE3365">
    <cfRule type="cellIs" dxfId="188" priority="129" operator="greaterThanOrEqual">
      <formula>75%</formula>
    </cfRule>
  </conditionalFormatting>
  <conditionalFormatting sqref="AE3053:AE3365">
    <cfRule type="cellIs" dxfId="187" priority="127" operator="lessThanOrEqual">
      <formula>50%</formula>
    </cfRule>
    <cfRule type="cellIs" dxfId="186" priority="128" operator="between">
      <formula>50.1%</formula>
      <formula>74.9%</formula>
    </cfRule>
  </conditionalFormatting>
  <conditionalFormatting sqref="AE3050:AE3052">
    <cfRule type="cellIs" dxfId="185" priority="126" operator="greaterThanOrEqual">
      <formula>75%</formula>
    </cfRule>
  </conditionalFormatting>
  <conditionalFormatting sqref="AE3050:AE3052">
    <cfRule type="cellIs" dxfId="184" priority="124" operator="lessThanOrEqual">
      <formula>50%</formula>
    </cfRule>
    <cfRule type="cellIs" dxfId="183" priority="125" operator="between">
      <formula>50.1%</formula>
      <formula>74.9%</formula>
    </cfRule>
  </conditionalFormatting>
  <conditionalFormatting sqref="AE700:AE702">
    <cfRule type="cellIs" dxfId="182" priority="120" operator="greaterThanOrEqual">
      <formula>75%</formula>
    </cfRule>
  </conditionalFormatting>
  <conditionalFormatting sqref="AE700:AE702">
    <cfRule type="cellIs" dxfId="181" priority="118" operator="lessThanOrEqual">
      <formula>50%</formula>
    </cfRule>
    <cfRule type="cellIs" dxfId="180" priority="119" operator="between">
      <formula>50.1%</formula>
      <formula>74.9%</formula>
    </cfRule>
  </conditionalFormatting>
  <conditionalFormatting sqref="AE350:AE585">
    <cfRule type="cellIs" dxfId="179" priority="117" operator="greaterThanOrEqual">
      <formula>75%</formula>
    </cfRule>
  </conditionalFormatting>
  <conditionalFormatting sqref="AE350:AE585">
    <cfRule type="cellIs" dxfId="178" priority="115" operator="lessThanOrEqual">
      <formula>50%</formula>
    </cfRule>
    <cfRule type="cellIs" dxfId="177" priority="116" operator="between">
      <formula>50.1%</formula>
      <formula>74.9%</formula>
    </cfRule>
  </conditionalFormatting>
  <conditionalFormatting sqref="AE347:AE349">
    <cfRule type="cellIs" dxfId="176" priority="114" operator="greaterThanOrEqual">
      <formula>75%</formula>
    </cfRule>
  </conditionalFormatting>
  <conditionalFormatting sqref="AE347:AE349">
    <cfRule type="cellIs" dxfId="175" priority="112" operator="lessThanOrEqual">
      <formula>50%</formula>
    </cfRule>
    <cfRule type="cellIs" dxfId="174" priority="113" operator="between">
      <formula>50.1%</formula>
      <formula>74.9%</formula>
    </cfRule>
  </conditionalFormatting>
  <conditionalFormatting sqref="AE586:AE588">
    <cfRule type="cellIs" dxfId="173" priority="108" operator="greaterThanOrEqual">
      <formula>75%</formula>
    </cfRule>
  </conditionalFormatting>
  <conditionalFormatting sqref="AE586:AE588">
    <cfRule type="cellIs" dxfId="172" priority="106" operator="lessThanOrEqual">
      <formula>50%</formula>
    </cfRule>
    <cfRule type="cellIs" dxfId="171" priority="107" operator="between">
      <formula>50.1%</formula>
      <formula>74.9%</formula>
    </cfRule>
  </conditionalFormatting>
  <conditionalFormatting sqref="AE1114:AE1684">
    <cfRule type="cellIs" dxfId="170" priority="105" operator="greaterThanOrEqual">
      <formula>75%</formula>
    </cfRule>
  </conditionalFormatting>
  <conditionalFormatting sqref="AE1114:AE1684">
    <cfRule type="cellIs" dxfId="169" priority="103" operator="lessThanOrEqual">
      <formula>50%</formula>
    </cfRule>
    <cfRule type="cellIs" dxfId="168" priority="104" operator="between">
      <formula>50.1%</formula>
      <formula>74.9%</formula>
    </cfRule>
  </conditionalFormatting>
  <conditionalFormatting sqref="AE1110:AE1113">
    <cfRule type="cellIs" dxfId="167" priority="102" operator="greaterThanOrEqual">
      <formula>75%</formula>
    </cfRule>
  </conditionalFormatting>
  <conditionalFormatting sqref="AE1110:AE1113">
    <cfRule type="cellIs" dxfId="166" priority="100" operator="lessThanOrEqual">
      <formula>50%</formula>
    </cfRule>
    <cfRule type="cellIs" dxfId="165" priority="101" operator="between">
      <formula>50.1%</formula>
      <formula>74.9%</formula>
    </cfRule>
  </conditionalFormatting>
  <conditionalFormatting sqref="AE3122:AE3124">
    <cfRule type="cellIs" dxfId="164" priority="96" operator="greaterThanOrEqual">
      <formula>75%</formula>
    </cfRule>
  </conditionalFormatting>
  <conditionalFormatting sqref="AE3122:AE3124">
    <cfRule type="cellIs" dxfId="163" priority="94" operator="lessThanOrEqual">
      <formula>50%</formula>
    </cfRule>
    <cfRule type="cellIs" dxfId="162" priority="95" operator="between">
      <formula>50.1%</formula>
      <formula>74.9%</formula>
    </cfRule>
  </conditionalFormatting>
  <conditionalFormatting sqref="AE1949:AE2161">
    <cfRule type="cellIs" dxfId="161" priority="78" operator="greaterThanOrEqual">
      <formula>75%</formula>
    </cfRule>
  </conditionalFormatting>
  <conditionalFormatting sqref="AE1949:AE2161">
    <cfRule type="cellIs" dxfId="160" priority="76" operator="lessThanOrEqual">
      <formula>50%</formula>
    </cfRule>
    <cfRule type="cellIs" dxfId="159" priority="77" operator="between">
      <formula>50.1%</formula>
      <formula>74.9%</formula>
    </cfRule>
  </conditionalFormatting>
  <conditionalFormatting sqref="AE1946:AE1948">
    <cfRule type="cellIs" dxfId="158" priority="75" operator="greaterThanOrEqual">
      <formula>75%</formula>
    </cfRule>
  </conditionalFormatting>
  <conditionalFormatting sqref="AE1946:AE1948">
    <cfRule type="cellIs" dxfId="157" priority="73" operator="lessThanOrEqual">
      <formula>50%</formula>
    </cfRule>
    <cfRule type="cellIs" dxfId="156" priority="74" operator="between">
      <formula>50.1%</formula>
      <formula>74.9%</formula>
    </cfRule>
  </conditionalFormatting>
  <conditionalFormatting sqref="AE922:AE1109">
    <cfRule type="cellIs" dxfId="155" priority="72" operator="greaterThanOrEqual">
      <formula>75%</formula>
    </cfRule>
  </conditionalFormatting>
  <conditionalFormatting sqref="AE922:AE1109">
    <cfRule type="cellIs" dxfId="154" priority="70" operator="lessThanOrEqual">
      <formula>50%</formula>
    </cfRule>
    <cfRule type="cellIs" dxfId="153" priority="71" operator="between">
      <formula>50.1%</formula>
      <formula>74.9%</formula>
    </cfRule>
  </conditionalFormatting>
  <conditionalFormatting sqref="AE919:AE921">
    <cfRule type="cellIs" dxfId="152" priority="69" operator="greaterThanOrEqual">
      <formula>75%</formula>
    </cfRule>
  </conditionalFormatting>
  <conditionalFormatting sqref="AE919:AE921">
    <cfRule type="cellIs" dxfId="151" priority="67" operator="lessThanOrEqual">
      <formula>50%</formula>
    </cfRule>
    <cfRule type="cellIs" dxfId="150" priority="68" operator="between">
      <formula>50.1%</formula>
      <formula>74.9%</formula>
    </cfRule>
  </conditionalFormatting>
  <conditionalFormatting sqref="AE1436:AE1684">
    <cfRule type="cellIs" dxfId="149" priority="60" operator="greaterThanOrEqual">
      <formula>75%</formula>
    </cfRule>
  </conditionalFormatting>
  <conditionalFormatting sqref="AE1436:AE1684">
    <cfRule type="cellIs" dxfId="148" priority="58" operator="lessThanOrEqual">
      <formula>50%</formula>
    </cfRule>
    <cfRule type="cellIs" dxfId="147" priority="59" operator="between">
      <formula>50.1%</formula>
      <formula>74.9%</formula>
    </cfRule>
  </conditionalFormatting>
  <conditionalFormatting sqref="AE1433:AE1435">
    <cfRule type="cellIs" dxfId="146" priority="57" operator="greaterThanOrEqual">
      <formula>75%</formula>
    </cfRule>
  </conditionalFormatting>
  <conditionalFormatting sqref="AE1433:AE1435">
    <cfRule type="cellIs" dxfId="145" priority="55" operator="lessThanOrEqual">
      <formula>50%</formula>
    </cfRule>
    <cfRule type="cellIs" dxfId="144" priority="56" operator="between">
      <formula>50.1%</formula>
      <formula>74.9%</formula>
    </cfRule>
  </conditionalFormatting>
  <conditionalFormatting sqref="AE2344:AE2346">
    <cfRule type="cellIs" dxfId="143" priority="45" operator="greaterThanOrEqual">
      <formula>75%</formula>
    </cfRule>
  </conditionalFormatting>
  <conditionalFormatting sqref="AE2344:AE2346">
    <cfRule type="cellIs" dxfId="142" priority="43" operator="lessThanOrEqual">
      <formula>50%</formula>
    </cfRule>
    <cfRule type="cellIs" dxfId="141" priority="44" operator="between">
      <formula>50.1%</formula>
      <formula>74.9%</formula>
    </cfRule>
  </conditionalFormatting>
  <conditionalFormatting sqref="AE4982:AE4984">
    <cfRule type="cellIs" dxfId="140" priority="51" operator="greaterThanOrEqual">
      <formula>75%</formula>
    </cfRule>
  </conditionalFormatting>
  <conditionalFormatting sqref="AE4982:AE4984">
    <cfRule type="cellIs" dxfId="139" priority="49" operator="lessThanOrEqual">
      <formula>50%</formula>
    </cfRule>
    <cfRule type="cellIs" dxfId="138" priority="50" operator="between">
      <formula>50.1%</formula>
      <formula>74.9%</formula>
    </cfRule>
  </conditionalFormatting>
  <conditionalFormatting sqref="AE5153:AE5156">
    <cfRule type="cellIs" dxfId="137" priority="39" operator="greaterThanOrEqual">
      <formula>75%</formula>
    </cfRule>
  </conditionalFormatting>
  <conditionalFormatting sqref="AE5153:AE5156">
    <cfRule type="cellIs" dxfId="136" priority="37" operator="lessThanOrEqual">
      <formula>50%</formula>
    </cfRule>
    <cfRule type="cellIs" dxfId="135" priority="38" operator="between">
      <formula>50.1%</formula>
      <formula>74.9%</formula>
    </cfRule>
  </conditionalFormatting>
  <conditionalFormatting sqref="AE3125 AE3242:AE3276 AE3279:AE3365 AE3127:AE3240">
    <cfRule type="cellIs" dxfId="134" priority="36" operator="greaterThanOrEqual">
      <formula>75%</formula>
    </cfRule>
  </conditionalFormatting>
  <conditionalFormatting sqref="AE3125 AE3242:AE3276 AE3279:AE3365 AE3127:AE3240">
    <cfRule type="cellIs" dxfId="133" priority="34" operator="lessThanOrEqual">
      <formula>50%</formula>
    </cfRule>
    <cfRule type="cellIs" dxfId="132" priority="35" operator="between">
      <formula>50.1%</formula>
      <formula>74.9%</formula>
    </cfRule>
  </conditionalFormatting>
  <conditionalFormatting sqref="AE3241">
    <cfRule type="cellIs" dxfId="131" priority="33" operator="greaterThanOrEqual">
      <formula>75%</formula>
    </cfRule>
  </conditionalFormatting>
  <conditionalFormatting sqref="AE3241">
    <cfRule type="cellIs" dxfId="130" priority="31" operator="lessThanOrEqual">
      <formula>50%</formula>
    </cfRule>
    <cfRule type="cellIs" dxfId="129" priority="32" operator="between">
      <formula>50.1%</formula>
      <formula>74.9%</formula>
    </cfRule>
  </conditionalFormatting>
  <conditionalFormatting sqref="AE3277:AE3278">
    <cfRule type="cellIs" dxfId="128" priority="30" operator="greaterThanOrEqual">
      <formula>75%</formula>
    </cfRule>
  </conditionalFormatting>
  <conditionalFormatting sqref="AE3277:AE3278">
    <cfRule type="cellIs" dxfId="127" priority="28" operator="lessThanOrEqual">
      <formula>50%</formula>
    </cfRule>
    <cfRule type="cellIs" dxfId="126" priority="29" operator="between">
      <formula>50.1%</formula>
      <formula>74.9%</formula>
    </cfRule>
  </conditionalFormatting>
  <conditionalFormatting sqref="AE3126">
    <cfRule type="cellIs" dxfId="125" priority="27" operator="greaterThanOrEqual">
      <formula>75%</formula>
    </cfRule>
  </conditionalFormatting>
  <conditionalFormatting sqref="AE3126">
    <cfRule type="cellIs" dxfId="124" priority="25" operator="lessThanOrEqual">
      <formula>50%</formula>
    </cfRule>
    <cfRule type="cellIs" dxfId="123" priority="26" operator="between">
      <formula>50.1%</formula>
      <formula>74.9%</formula>
    </cfRule>
  </conditionalFormatting>
  <conditionalFormatting sqref="AE5435:AE5853">
    <cfRule type="cellIs" dxfId="122" priority="24" operator="greaterThanOrEqual">
      <formula>75%</formula>
    </cfRule>
  </conditionalFormatting>
  <conditionalFormatting sqref="AE5435:AE5853">
    <cfRule type="cellIs" dxfId="121" priority="22" operator="lessThanOrEqual">
      <formula>50%</formula>
    </cfRule>
    <cfRule type="cellIs" dxfId="120" priority="23" operator="between">
      <formula>50.1%</formula>
      <formula>74.9%</formula>
    </cfRule>
  </conditionalFormatting>
  <conditionalFormatting sqref="AE5432:AE5434">
    <cfRule type="cellIs" dxfId="119" priority="21" operator="greaterThanOrEqual">
      <formula>75%</formula>
    </cfRule>
  </conditionalFormatting>
  <conditionalFormatting sqref="AE5432:AE5434">
    <cfRule type="cellIs" dxfId="118" priority="19" operator="lessThanOrEqual">
      <formula>50%</formula>
    </cfRule>
    <cfRule type="cellIs" dxfId="117" priority="20" operator="between">
      <formula>50.1%</formula>
      <formula>74.9%</formula>
    </cfRule>
  </conditionalFormatting>
  <conditionalFormatting sqref="AE3514:AE4959">
    <cfRule type="cellIs" dxfId="116" priority="6" operator="greaterThanOrEqual">
      <formula>75%</formula>
    </cfRule>
  </conditionalFormatting>
  <conditionalFormatting sqref="AE3514:AE4959">
    <cfRule type="cellIs" dxfId="115" priority="4" operator="lessThanOrEqual">
      <formula>50%</formula>
    </cfRule>
    <cfRule type="cellIs" dxfId="114" priority="5" operator="between">
      <formula>50.1%</formula>
      <formula>74.9%</formula>
    </cfRule>
  </conditionalFormatting>
  <conditionalFormatting sqref="AE3511:AE3513">
    <cfRule type="cellIs" dxfId="113" priority="3" operator="greaterThanOrEqual">
      <formula>75%</formula>
    </cfRule>
  </conditionalFormatting>
  <conditionalFormatting sqref="AE3511:AE3513">
    <cfRule type="cellIs" dxfId="112" priority="1" operator="lessThanOrEqual">
      <formula>50%</formula>
    </cfRule>
    <cfRule type="cellIs" dxfId="111" priority="2" operator="between">
      <formula>50.1%</formula>
      <formula>74.9%</formula>
    </cfRule>
  </conditionalFormatting>
  <hyperlinks>
    <hyperlink ref="N2060" location="_ftn1" display="_ftn1" xr:uid="{C11B6B56-773F-463F-949A-6841EECF89AE}"/>
    <hyperlink ref="N2077" location="_ftn2" display="_ftn2" xr:uid="{AFD0495E-0FCC-4ACC-B937-0303F3E0B05F}"/>
    <hyperlink ref="N1013" location="_ftn9" display="_ftn9" xr:uid="{50C3848B-300F-481D-8647-951FD1DA8891}"/>
    <hyperlink ref="N1040" location="_ftn14" display="_ftn14" xr:uid="{6ADDCB0C-C541-4A92-9FF0-7D46209B7913}"/>
    <hyperlink ref="M3171" location="_ftn3" display="_ftn3" xr:uid="{7CD66714-D26E-4F02-A85B-B55EEEF331CB}"/>
    <hyperlink ref="M3172" location="_ftn4" display="_ftn4" xr:uid="{3A24A507-4EB9-4BBC-A036-FC12D89D1115}"/>
    <hyperlink ref="M3244" location="_ftn6" display="_ftn6" xr:uid="{4F713481-2AAE-4EF5-AEA1-427B4D980BBF}"/>
  </hyperlink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580D-47F8-4653-A390-AA4DE6DE7A14}">
  <dimension ref="A1"/>
  <sheetViews>
    <sheetView workbookViewId="0">
      <selection sqref="A1:XFD1419"/>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F2BE7-0888-4173-BCF1-7F72351EBAED}">
  <sheetPr codeName="Sheet3" filterMode="1"/>
  <dimension ref="A1:AW3584"/>
  <sheetViews>
    <sheetView topLeftCell="AA1" zoomScale="130" zoomScaleNormal="130" workbookViewId="0">
      <pane ySplit="2" topLeftCell="A3013" activePane="bottomLeft" state="frozen"/>
      <selection activeCell="W40" sqref="W40"/>
      <selection pane="bottomLeft" activeCell="E3585" sqref="E3585"/>
    </sheetView>
  </sheetViews>
  <sheetFormatPr defaultColWidth="9.109375" defaultRowHeight="14.4" x14ac:dyDescent="0.3"/>
  <cols>
    <col min="1" max="1" width="7.88671875" style="283" customWidth="1"/>
    <col min="2" max="2" width="20" style="283" customWidth="1"/>
    <col min="3" max="3" width="8.88671875" style="283" customWidth="1"/>
    <col min="4" max="4" width="14.6640625" style="283" customWidth="1"/>
    <col min="5" max="5" width="10.6640625" style="283" customWidth="1"/>
    <col min="6" max="6" width="39.21875" style="283" customWidth="1"/>
    <col min="7" max="7" width="14.5546875" style="283" customWidth="1"/>
    <col min="8" max="8" width="46.5546875" style="1" customWidth="1"/>
    <col min="9" max="10" width="14.5546875" style="283" customWidth="1"/>
    <col min="11" max="11" width="18.5546875" style="283" customWidth="1"/>
    <col min="12" max="12" width="36.88671875" style="283" customWidth="1"/>
    <col min="13" max="13" width="21.6640625" style="283" customWidth="1"/>
    <col min="14" max="14" width="10.77734375" style="2" customWidth="1"/>
    <col min="15" max="15" width="10.33203125" style="3" customWidth="1"/>
    <col min="16" max="16" width="11.44140625" style="3" customWidth="1"/>
    <col min="17" max="17" width="10.5546875" style="3" customWidth="1"/>
    <col min="18" max="19" width="10.6640625" style="3" customWidth="1"/>
    <col min="20" max="20" width="10.6640625" style="283" customWidth="1"/>
    <col min="21" max="21" width="43.33203125" style="283" customWidth="1"/>
    <col min="22" max="22" width="46" style="283" customWidth="1"/>
    <col min="23" max="23" width="12.6640625" style="283" customWidth="1"/>
    <col min="24" max="24" width="12.5546875" style="283" customWidth="1"/>
    <col min="25" max="25" width="13.77734375" style="283" customWidth="1"/>
    <col min="26" max="27" width="14.5546875" style="283" customWidth="1"/>
    <col min="28" max="28" width="19.21875" style="283" customWidth="1"/>
    <col min="29" max="29" width="15" style="283" customWidth="1"/>
    <col min="30" max="30" width="20.88671875" style="283" customWidth="1"/>
    <col min="31" max="31" width="11.21875" style="283" customWidth="1"/>
    <col min="32" max="32" width="14.109375" style="64" customWidth="1"/>
    <col min="33" max="33" width="14.88671875" style="283" customWidth="1"/>
    <col min="34" max="35" width="10.5546875" style="4" customWidth="1"/>
    <col min="36" max="36" width="10.77734375" style="4" customWidth="1"/>
    <col min="37" max="37" width="12.109375" style="46" customWidth="1"/>
    <col min="38" max="38" width="12.6640625" style="46" customWidth="1"/>
    <col min="39" max="39" width="13.88671875" style="4" customWidth="1"/>
    <col min="40" max="41" width="9.109375" style="283" customWidth="1"/>
    <col min="42" max="42" width="13" style="283" customWidth="1"/>
    <col min="43" max="16384" width="9.109375" style="283"/>
  </cols>
  <sheetData>
    <row r="1" spans="1:42" x14ac:dyDescent="0.3">
      <c r="R1" s="3" t="s">
        <v>1500</v>
      </c>
      <c r="S1" s="3" t="s">
        <v>1500</v>
      </c>
      <c r="V1" s="284"/>
      <c r="W1" s="478" t="s">
        <v>1478</v>
      </c>
      <c r="X1" s="478"/>
      <c r="Y1" s="478"/>
      <c r="Z1" s="478"/>
      <c r="AA1" s="478"/>
      <c r="AB1" s="478"/>
      <c r="AC1" s="478"/>
      <c r="AD1" s="478"/>
      <c r="AE1" s="478"/>
      <c r="AF1" s="478"/>
      <c r="AG1" s="478"/>
      <c r="AJ1" s="58" t="s">
        <v>1494</v>
      </c>
      <c r="AK1" s="59">
        <f>SUM($AK$3:$AK$11322)</f>
        <v>26446.379612545312</v>
      </c>
      <c r="AL1" s="59">
        <f>SUM($AK$3:$AK$11322)</f>
        <v>26446.379612545312</v>
      </c>
      <c r="AM1" s="283"/>
    </row>
    <row r="2" spans="1:42" s="290" customFormat="1" x14ac:dyDescent="0.3">
      <c r="A2" s="285" t="s">
        <v>0</v>
      </c>
      <c r="B2" s="285" t="s">
        <v>1</v>
      </c>
      <c r="C2" s="285" t="s">
        <v>2</v>
      </c>
      <c r="D2" s="286" t="s">
        <v>3</v>
      </c>
      <c r="E2" s="285" t="s">
        <v>4</v>
      </c>
      <c r="F2" s="286" t="s">
        <v>5</v>
      </c>
      <c r="G2" s="285" t="s">
        <v>6</v>
      </c>
      <c r="H2" s="5" t="s">
        <v>7</v>
      </c>
      <c r="I2" s="286" t="s">
        <v>8</v>
      </c>
      <c r="J2" s="286" t="s">
        <v>9</v>
      </c>
      <c r="K2" s="285" t="s">
        <v>10</v>
      </c>
      <c r="L2" s="286" t="s">
        <v>11</v>
      </c>
      <c r="M2" s="286" t="s">
        <v>12</v>
      </c>
      <c r="N2" s="6" t="s">
        <v>13</v>
      </c>
      <c r="O2" s="7" t="s">
        <v>14</v>
      </c>
      <c r="P2" s="7" t="s">
        <v>15</v>
      </c>
      <c r="Q2" s="7" t="s">
        <v>16</v>
      </c>
      <c r="R2" s="7" t="s">
        <v>17</v>
      </c>
      <c r="S2" s="7" t="s">
        <v>18</v>
      </c>
      <c r="T2" s="286" t="s">
        <v>19</v>
      </c>
      <c r="U2" s="286" t="s">
        <v>20</v>
      </c>
      <c r="V2" s="286" t="s">
        <v>21</v>
      </c>
      <c r="W2" s="62" t="s">
        <v>1479</v>
      </c>
      <c r="X2" s="62" t="s">
        <v>1480</v>
      </c>
      <c r="Y2" s="62" t="s">
        <v>1487</v>
      </c>
      <c r="Z2" s="287" t="s">
        <v>1481</v>
      </c>
      <c r="AA2" s="287" t="s">
        <v>1482</v>
      </c>
      <c r="AB2" s="287" t="s">
        <v>1483</v>
      </c>
      <c r="AC2" s="62" t="s">
        <v>1484</v>
      </c>
      <c r="AD2" s="62" t="s">
        <v>1488</v>
      </c>
      <c r="AE2" s="62" t="s">
        <v>1485</v>
      </c>
      <c r="AF2" s="288" t="s">
        <v>1477</v>
      </c>
      <c r="AG2" s="289" t="s">
        <v>1486</v>
      </c>
      <c r="AH2" s="61" t="s">
        <v>22</v>
      </c>
      <c r="AI2" s="61" t="s">
        <v>23</v>
      </c>
      <c r="AJ2" s="61" t="s">
        <v>24</v>
      </c>
      <c r="AK2" s="62" t="s">
        <v>25</v>
      </c>
      <c r="AL2" s="62" t="s">
        <v>26</v>
      </c>
      <c r="AM2" s="8" t="s">
        <v>27</v>
      </c>
      <c r="AN2" s="5" t="s">
        <v>28</v>
      </c>
      <c r="AO2" s="5" t="s">
        <v>20</v>
      </c>
      <c r="AP2" s="286" t="s">
        <v>29</v>
      </c>
    </row>
    <row r="3" spans="1:42" s="293" customFormat="1" hidden="1" x14ac:dyDescent="0.3">
      <c r="A3" s="50" t="s">
        <v>30</v>
      </c>
      <c r="B3" s="51" t="s">
        <v>31</v>
      </c>
      <c r="C3" s="50" t="s">
        <v>1492</v>
      </c>
      <c r="D3" s="51" t="s">
        <v>1491</v>
      </c>
      <c r="E3" s="50" t="s">
        <v>1492</v>
      </c>
      <c r="F3" s="51" t="s">
        <v>1493</v>
      </c>
      <c r="G3" s="50" t="s">
        <v>1492</v>
      </c>
      <c r="H3" s="51" t="s">
        <v>1491</v>
      </c>
      <c r="I3" s="51"/>
      <c r="J3" s="51"/>
      <c r="K3" s="50" t="s">
        <v>1492</v>
      </c>
      <c r="L3" s="51" t="s">
        <v>1491</v>
      </c>
      <c r="M3" s="60" t="s">
        <v>271</v>
      </c>
      <c r="N3" s="60" t="s">
        <v>271</v>
      </c>
      <c r="O3" s="60" t="s">
        <v>271</v>
      </c>
      <c r="P3" s="60" t="s">
        <v>271</v>
      </c>
      <c r="Q3" s="60" t="s">
        <v>271</v>
      </c>
      <c r="R3" s="60" t="s">
        <v>271</v>
      </c>
      <c r="S3" s="60" t="s">
        <v>271</v>
      </c>
      <c r="T3" s="60" t="s">
        <v>271</v>
      </c>
      <c r="U3" s="60" t="s">
        <v>271</v>
      </c>
      <c r="V3" s="51" t="s">
        <v>1489</v>
      </c>
      <c r="W3" s="291"/>
      <c r="X3" s="291"/>
      <c r="Y3" s="291"/>
      <c r="Z3" s="291"/>
      <c r="AA3" s="291"/>
      <c r="AB3" s="291"/>
      <c r="AC3" s="291"/>
      <c r="AD3" s="291"/>
      <c r="AE3" s="292"/>
      <c r="AF3" s="65"/>
      <c r="AG3" s="292"/>
      <c r="AH3" s="56"/>
      <c r="AI3" s="56"/>
      <c r="AJ3" s="56"/>
      <c r="AK3" s="57">
        <v>203</v>
      </c>
      <c r="AL3" s="57">
        <v>203</v>
      </c>
      <c r="AM3" s="56">
        <f>SUM(AK3:AL3)</f>
        <v>406</v>
      </c>
      <c r="AN3" s="52" t="s">
        <v>1489</v>
      </c>
      <c r="AO3" s="52"/>
      <c r="AP3" s="51"/>
    </row>
    <row r="4" spans="1:42" s="293" customFormat="1" hidden="1" x14ac:dyDescent="0.3">
      <c r="A4" s="50" t="s">
        <v>30</v>
      </c>
      <c r="B4" s="51" t="s">
        <v>31</v>
      </c>
      <c r="C4" s="50" t="s">
        <v>1492</v>
      </c>
      <c r="D4" s="51" t="s">
        <v>1491</v>
      </c>
      <c r="E4" s="50" t="s">
        <v>1492</v>
      </c>
      <c r="F4" s="51" t="s">
        <v>1493</v>
      </c>
      <c r="G4" s="50" t="s">
        <v>1492</v>
      </c>
      <c r="H4" s="51" t="s">
        <v>1491</v>
      </c>
      <c r="I4" s="51"/>
      <c r="J4" s="51"/>
      <c r="K4" s="50" t="s">
        <v>1492</v>
      </c>
      <c r="L4" s="51" t="s">
        <v>1491</v>
      </c>
      <c r="M4" s="60" t="s">
        <v>271</v>
      </c>
      <c r="N4" s="60" t="s">
        <v>271</v>
      </c>
      <c r="O4" s="60" t="s">
        <v>271</v>
      </c>
      <c r="P4" s="60" t="s">
        <v>271</v>
      </c>
      <c r="Q4" s="60" t="s">
        <v>271</v>
      </c>
      <c r="R4" s="60" t="s">
        <v>271</v>
      </c>
      <c r="S4" s="60" t="s">
        <v>271</v>
      </c>
      <c r="T4" s="60" t="s">
        <v>271</v>
      </c>
      <c r="U4" s="60" t="s">
        <v>271</v>
      </c>
      <c r="V4" s="51" t="s">
        <v>1490</v>
      </c>
      <c r="W4" s="291"/>
      <c r="X4" s="291"/>
      <c r="Y4" s="291"/>
      <c r="Z4" s="291"/>
      <c r="AA4" s="291"/>
      <c r="AB4" s="291"/>
      <c r="AC4" s="291"/>
      <c r="AD4" s="291"/>
      <c r="AE4" s="292"/>
      <c r="AF4" s="65"/>
      <c r="AG4" s="292"/>
      <c r="AH4" s="56"/>
      <c r="AI4" s="56"/>
      <c r="AJ4" s="56"/>
      <c r="AK4" s="57">
        <v>81.2</v>
      </c>
      <c r="AL4" s="57">
        <v>81.2</v>
      </c>
      <c r="AM4" s="56">
        <f t="shared" ref="AM4:AM13" si="0">SUM(AK4:AL4)</f>
        <v>162.4</v>
      </c>
      <c r="AN4" s="52" t="s">
        <v>1501</v>
      </c>
      <c r="AO4" s="52"/>
      <c r="AP4" s="51"/>
    </row>
    <row r="5" spans="1:42" s="293" customFormat="1" hidden="1" x14ac:dyDescent="0.3">
      <c r="A5" s="50" t="s">
        <v>30</v>
      </c>
      <c r="B5" s="51" t="s">
        <v>31</v>
      </c>
      <c r="C5" s="50" t="s">
        <v>1492</v>
      </c>
      <c r="D5" s="51" t="s">
        <v>1491</v>
      </c>
      <c r="E5" s="50" t="s">
        <v>1492</v>
      </c>
      <c r="F5" s="51" t="s">
        <v>1493</v>
      </c>
      <c r="G5" s="50" t="s">
        <v>1492</v>
      </c>
      <c r="H5" s="51" t="s">
        <v>1491</v>
      </c>
      <c r="I5" s="51"/>
      <c r="J5" s="51"/>
      <c r="K5" s="50" t="s">
        <v>1492</v>
      </c>
      <c r="L5" s="51" t="s">
        <v>1491</v>
      </c>
      <c r="M5" s="60" t="s">
        <v>271</v>
      </c>
      <c r="N5" s="60" t="s">
        <v>271</v>
      </c>
      <c r="O5" s="60" t="s">
        <v>271</v>
      </c>
      <c r="P5" s="60" t="s">
        <v>271</v>
      </c>
      <c r="Q5" s="60" t="s">
        <v>271</v>
      </c>
      <c r="R5" s="60" t="s">
        <v>271</v>
      </c>
      <c r="S5" s="60" t="s">
        <v>271</v>
      </c>
      <c r="T5" s="60" t="s">
        <v>271</v>
      </c>
      <c r="U5" s="60" t="s">
        <v>271</v>
      </c>
      <c r="V5" s="51" t="s">
        <v>1495</v>
      </c>
      <c r="W5" s="291"/>
      <c r="X5" s="291"/>
      <c r="Y5" s="291"/>
      <c r="Z5" s="291"/>
      <c r="AA5" s="291"/>
      <c r="AB5" s="291"/>
      <c r="AC5" s="291"/>
      <c r="AD5" s="291"/>
      <c r="AE5" s="292"/>
      <c r="AF5" s="65"/>
      <c r="AG5" s="292"/>
      <c r="AH5" s="56"/>
      <c r="AI5" s="56"/>
      <c r="AJ5" s="56"/>
      <c r="AK5" s="57">
        <v>247.48606126069998</v>
      </c>
      <c r="AL5" s="57">
        <v>282.26901715100007</v>
      </c>
      <c r="AM5" s="56">
        <f t="shared" si="0"/>
        <v>529.75507841170008</v>
      </c>
      <c r="AN5" s="51" t="s">
        <v>1495</v>
      </c>
      <c r="AO5" s="52"/>
      <c r="AP5" s="51"/>
    </row>
    <row r="6" spans="1:42" s="294" customFormat="1" x14ac:dyDescent="0.3">
      <c r="A6" s="91" t="s">
        <v>30</v>
      </c>
      <c r="B6" s="92" t="s">
        <v>31</v>
      </c>
      <c r="C6" s="93" t="s">
        <v>32</v>
      </c>
      <c r="D6" s="94" t="s">
        <v>33</v>
      </c>
      <c r="E6" s="93" t="s">
        <v>34</v>
      </c>
      <c r="F6" s="94" t="s">
        <v>35</v>
      </c>
      <c r="G6" s="93" t="s">
        <v>36</v>
      </c>
      <c r="H6" s="94" t="s">
        <v>37</v>
      </c>
      <c r="I6" s="94" t="s">
        <v>38</v>
      </c>
      <c r="J6" s="94" t="s">
        <v>39</v>
      </c>
      <c r="K6" s="101" t="s">
        <v>40</v>
      </c>
      <c r="L6" s="102" t="s">
        <v>41</v>
      </c>
      <c r="M6" s="92" t="s">
        <v>42</v>
      </c>
      <c r="N6" s="103">
        <v>0</v>
      </c>
      <c r="O6" s="104">
        <v>1</v>
      </c>
      <c r="P6" s="104">
        <v>2</v>
      </c>
      <c r="Q6" s="104">
        <v>2</v>
      </c>
      <c r="R6" s="126">
        <v>2</v>
      </c>
      <c r="S6" s="126">
        <v>1</v>
      </c>
      <c r="T6" s="294" t="s">
        <v>43</v>
      </c>
      <c r="U6" s="294" t="s">
        <v>45</v>
      </c>
      <c r="V6" s="92" t="s">
        <v>44</v>
      </c>
      <c r="W6" s="295">
        <v>1</v>
      </c>
      <c r="X6" s="295">
        <v>1</v>
      </c>
      <c r="Y6" s="295">
        <v>1</v>
      </c>
      <c r="Z6" s="295">
        <v>1</v>
      </c>
      <c r="AA6" s="295">
        <v>1</v>
      </c>
      <c r="AB6" s="294">
        <v>1</v>
      </c>
      <c r="AC6" s="296">
        <v>1</v>
      </c>
      <c r="AD6" s="296">
        <v>1</v>
      </c>
      <c r="AE6" s="297">
        <f>SUM(W6:AD6)/8</f>
        <v>1</v>
      </c>
      <c r="AF6" s="95">
        <v>1</v>
      </c>
      <c r="AG6" s="297"/>
      <c r="AH6" s="96">
        <v>16.5</v>
      </c>
      <c r="AI6" s="96">
        <v>17.3</v>
      </c>
      <c r="AJ6" s="96">
        <v>17.899999999999999</v>
      </c>
      <c r="AK6" s="127">
        <v>15.5</v>
      </c>
      <c r="AL6" s="127">
        <v>15</v>
      </c>
      <c r="AM6" s="147">
        <f t="shared" si="0"/>
        <v>30.5</v>
      </c>
      <c r="AN6" s="97" t="s">
        <v>43</v>
      </c>
      <c r="AO6" s="97" t="s">
        <v>45</v>
      </c>
      <c r="AP6" s="92" t="s">
        <v>46</v>
      </c>
    </row>
    <row r="7" spans="1:42" s="294" customFormat="1" x14ac:dyDescent="0.3">
      <c r="A7" s="91" t="s">
        <v>30</v>
      </c>
      <c r="B7" s="92" t="s">
        <v>31</v>
      </c>
      <c r="C7" s="93" t="s">
        <v>32</v>
      </c>
      <c r="D7" s="94" t="s">
        <v>33</v>
      </c>
      <c r="E7" s="93" t="s">
        <v>34</v>
      </c>
      <c r="F7" s="94" t="s">
        <v>35</v>
      </c>
      <c r="G7" s="93" t="s">
        <v>36</v>
      </c>
      <c r="H7" s="94" t="s">
        <v>37</v>
      </c>
      <c r="I7" s="94" t="s">
        <v>38</v>
      </c>
      <c r="J7" s="94" t="s">
        <v>39</v>
      </c>
      <c r="K7" s="101" t="s">
        <v>40</v>
      </c>
      <c r="L7" s="102" t="s">
        <v>41</v>
      </c>
      <c r="M7" s="92" t="s">
        <v>47</v>
      </c>
      <c r="N7" s="103">
        <v>0</v>
      </c>
      <c r="O7" s="105">
        <v>2000000</v>
      </c>
      <c r="P7" s="105">
        <v>5000000</v>
      </c>
      <c r="Q7" s="105">
        <v>5000000</v>
      </c>
      <c r="R7" s="111">
        <v>5000000</v>
      </c>
      <c r="S7" s="111">
        <v>5000000</v>
      </c>
      <c r="T7" s="294" t="s">
        <v>43</v>
      </c>
      <c r="U7" s="294" t="s">
        <v>45</v>
      </c>
      <c r="V7" s="92" t="s">
        <v>44</v>
      </c>
      <c r="W7" s="295">
        <v>1</v>
      </c>
      <c r="X7" s="295">
        <v>1</v>
      </c>
      <c r="Y7" s="295">
        <v>1</v>
      </c>
      <c r="Z7" s="295">
        <v>1</v>
      </c>
      <c r="AA7" s="295">
        <v>1</v>
      </c>
      <c r="AB7" s="294">
        <v>1</v>
      </c>
      <c r="AC7" s="296">
        <v>1</v>
      </c>
      <c r="AD7" s="296">
        <v>1</v>
      </c>
      <c r="AE7" s="297">
        <f t="shared" ref="AE7:AE70" si="1">SUM(W7:AD7)/8</f>
        <v>1</v>
      </c>
      <c r="AF7" s="95">
        <v>0</v>
      </c>
      <c r="AG7" s="297"/>
      <c r="AH7" s="96"/>
      <c r="AI7" s="96"/>
      <c r="AJ7" s="96"/>
      <c r="AK7" s="109">
        <v>2</v>
      </c>
      <c r="AL7" s="109">
        <v>1</v>
      </c>
      <c r="AM7" s="147">
        <f t="shared" si="0"/>
        <v>3</v>
      </c>
      <c r="AN7" s="97" t="s">
        <v>43</v>
      </c>
      <c r="AO7" s="97" t="s">
        <v>45</v>
      </c>
      <c r="AP7" s="92" t="s">
        <v>46</v>
      </c>
    </row>
    <row r="8" spans="1:42" s="294" customFormat="1" x14ac:dyDescent="0.3">
      <c r="A8" s="91" t="s">
        <v>30</v>
      </c>
      <c r="B8" s="92" t="s">
        <v>31</v>
      </c>
      <c r="C8" s="93" t="s">
        <v>32</v>
      </c>
      <c r="D8" s="94" t="s">
        <v>33</v>
      </c>
      <c r="E8" s="93" t="s">
        <v>34</v>
      </c>
      <c r="F8" s="94" t="s">
        <v>35</v>
      </c>
      <c r="G8" s="93" t="s">
        <v>36</v>
      </c>
      <c r="H8" s="94" t="s">
        <v>37</v>
      </c>
      <c r="I8" s="94" t="s">
        <v>38</v>
      </c>
      <c r="J8" s="94" t="s">
        <v>39</v>
      </c>
      <c r="K8" s="101" t="s">
        <v>40</v>
      </c>
      <c r="L8" s="102" t="s">
        <v>41</v>
      </c>
      <c r="M8" s="92" t="s">
        <v>48</v>
      </c>
      <c r="N8" s="103">
        <v>0</v>
      </c>
      <c r="O8" s="104">
        <v>100</v>
      </c>
      <c r="P8" s="104">
        <v>700</v>
      </c>
      <c r="Q8" s="104">
        <v>700</v>
      </c>
      <c r="R8" s="110">
        <v>700</v>
      </c>
      <c r="S8" s="110">
        <v>700</v>
      </c>
      <c r="T8" s="294" t="s">
        <v>43</v>
      </c>
      <c r="U8" s="294" t="s">
        <v>45</v>
      </c>
      <c r="V8" s="92" t="s">
        <v>44</v>
      </c>
      <c r="W8" s="295">
        <v>1</v>
      </c>
      <c r="X8" s="295">
        <v>1</v>
      </c>
      <c r="Y8" s="295">
        <v>1</v>
      </c>
      <c r="Z8" s="295">
        <v>1</v>
      </c>
      <c r="AA8" s="295">
        <v>1</v>
      </c>
      <c r="AB8" s="294">
        <v>1</v>
      </c>
      <c r="AC8" s="296">
        <v>1</v>
      </c>
      <c r="AD8" s="296">
        <v>1</v>
      </c>
      <c r="AE8" s="297">
        <f t="shared" si="1"/>
        <v>1</v>
      </c>
      <c r="AF8" s="95">
        <v>0</v>
      </c>
      <c r="AG8" s="297"/>
      <c r="AH8" s="96"/>
      <c r="AI8" s="96"/>
      <c r="AJ8" s="96"/>
      <c r="AK8" s="109">
        <v>1</v>
      </c>
      <c r="AL8" s="109">
        <v>1</v>
      </c>
      <c r="AM8" s="147">
        <f t="shared" si="0"/>
        <v>2</v>
      </c>
      <c r="AN8" s="97" t="s">
        <v>43</v>
      </c>
      <c r="AO8" s="97" t="s">
        <v>45</v>
      </c>
      <c r="AP8" s="92" t="s">
        <v>46</v>
      </c>
    </row>
    <row r="9" spans="1:42" hidden="1" x14ac:dyDescent="0.3">
      <c r="A9" s="9" t="s">
        <v>30</v>
      </c>
      <c r="B9" s="10" t="s">
        <v>31</v>
      </c>
      <c r="C9" s="11" t="s">
        <v>32</v>
      </c>
      <c r="D9" s="12" t="s">
        <v>33</v>
      </c>
      <c r="E9" s="11" t="s">
        <v>34</v>
      </c>
      <c r="F9" s="12" t="s">
        <v>35</v>
      </c>
      <c r="G9" s="11" t="s">
        <v>36</v>
      </c>
      <c r="H9" s="12" t="s">
        <v>37</v>
      </c>
      <c r="I9" s="12" t="s">
        <v>38</v>
      </c>
      <c r="J9" s="12" t="s">
        <v>39</v>
      </c>
      <c r="K9" s="13" t="s">
        <v>49</v>
      </c>
      <c r="L9" s="12" t="s">
        <v>50</v>
      </c>
      <c r="M9" s="283" t="s">
        <v>51</v>
      </c>
      <c r="N9" s="2">
        <v>0</v>
      </c>
      <c r="O9" s="3">
        <v>1</v>
      </c>
      <c r="P9" s="3">
        <v>1</v>
      </c>
      <c r="Q9" s="3">
        <v>2</v>
      </c>
      <c r="R9" s="112">
        <v>2</v>
      </c>
      <c r="S9" s="112">
        <v>2</v>
      </c>
      <c r="T9" s="1" t="s">
        <v>43</v>
      </c>
      <c r="U9" s="283" t="s">
        <v>45</v>
      </c>
      <c r="V9" s="10" t="s">
        <v>52</v>
      </c>
      <c r="W9" s="298">
        <v>0</v>
      </c>
      <c r="X9" s="298">
        <v>0</v>
      </c>
      <c r="Y9" s="298">
        <v>0</v>
      </c>
      <c r="Z9" s="299">
        <v>1</v>
      </c>
      <c r="AA9" s="299">
        <v>1</v>
      </c>
      <c r="AB9" s="300">
        <v>0</v>
      </c>
      <c r="AC9" s="301">
        <v>1</v>
      </c>
      <c r="AD9" s="301">
        <v>0</v>
      </c>
      <c r="AE9" s="302">
        <f>SUM(W9:AD9)/8</f>
        <v>0.375</v>
      </c>
      <c r="AF9" s="63">
        <v>0</v>
      </c>
      <c r="AG9" s="302"/>
      <c r="AH9" s="17">
        <v>2</v>
      </c>
      <c r="AI9" s="17">
        <v>0.5</v>
      </c>
      <c r="AJ9" s="17">
        <v>5.5</v>
      </c>
      <c r="AK9" s="109"/>
      <c r="AL9" s="109"/>
      <c r="AM9" s="17" t="e">
        <f>SUM(#REF!)</f>
        <v>#REF!</v>
      </c>
      <c r="AN9" s="18" t="s">
        <v>43</v>
      </c>
      <c r="AO9" s="18" t="s">
        <v>45</v>
      </c>
      <c r="AP9" s="10" t="s">
        <v>53</v>
      </c>
    </row>
    <row r="10" spans="1:42" x14ac:dyDescent="0.3">
      <c r="A10" s="9" t="s">
        <v>30</v>
      </c>
      <c r="B10" s="10" t="s">
        <v>31</v>
      </c>
      <c r="C10" s="11" t="s">
        <v>32</v>
      </c>
      <c r="D10" s="12" t="s">
        <v>33</v>
      </c>
      <c r="E10" s="11" t="s">
        <v>34</v>
      </c>
      <c r="F10" s="12" t="s">
        <v>35</v>
      </c>
      <c r="G10" s="11" t="s">
        <v>36</v>
      </c>
      <c r="H10" s="12" t="s">
        <v>37</v>
      </c>
      <c r="I10" s="12" t="s">
        <v>38</v>
      </c>
      <c r="J10" s="12" t="s">
        <v>39</v>
      </c>
      <c r="K10" s="13" t="s">
        <v>49</v>
      </c>
      <c r="L10" s="12" t="s">
        <v>50</v>
      </c>
      <c r="M10" s="283" t="s">
        <v>54</v>
      </c>
      <c r="N10" s="15">
        <v>0</v>
      </c>
      <c r="O10" s="17">
        <v>0</v>
      </c>
      <c r="P10" s="3">
        <v>1</v>
      </c>
      <c r="Q10" s="3">
        <v>1</v>
      </c>
      <c r="R10" s="112">
        <v>1</v>
      </c>
      <c r="S10" s="112">
        <v>1</v>
      </c>
      <c r="T10" s="1" t="s">
        <v>43</v>
      </c>
      <c r="U10" s="283" t="s">
        <v>45</v>
      </c>
      <c r="V10" s="10" t="s">
        <v>55</v>
      </c>
      <c r="W10" s="298">
        <v>1</v>
      </c>
      <c r="X10" s="298">
        <v>0</v>
      </c>
      <c r="Y10" s="298">
        <v>1</v>
      </c>
      <c r="Z10" s="299">
        <v>1</v>
      </c>
      <c r="AA10" s="299">
        <v>1</v>
      </c>
      <c r="AB10" s="300">
        <v>1</v>
      </c>
      <c r="AC10" s="301">
        <v>1</v>
      </c>
      <c r="AD10" s="301">
        <v>1</v>
      </c>
      <c r="AE10" s="302">
        <f t="shared" si="1"/>
        <v>0.875</v>
      </c>
      <c r="AF10" s="63">
        <v>0</v>
      </c>
      <c r="AG10" s="302"/>
      <c r="AH10" s="17">
        <v>2.6</v>
      </c>
      <c r="AI10" s="17">
        <v>1</v>
      </c>
      <c r="AJ10" s="17">
        <v>4.2</v>
      </c>
      <c r="AK10" s="109">
        <v>1.6</v>
      </c>
      <c r="AL10" s="109">
        <v>3.6</v>
      </c>
      <c r="AM10" s="147">
        <f t="shared" si="0"/>
        <v>5.2</v>
      </c>
      <c r="AN10" s="18" t="s">
        <v>43</v>
      </c>
      <c r="AO10" s="18" t="s">
        <v>45</v>
      </c>
      <c r="AP10" s="10" t="s">
        <v>53</v>
      </c>
    </row>
    <row r="11" spans="1:42" x14ac:dyDescent="0.3">
      <c r="A11" s="9" t="s">
        <v>30</v>
      </c>
      <c r="B11" s="10" t="s">
        <v>31</v>
      </c>
      <c r="C11" s="11" t="s">
        <v>32</v>
      </c>
      <c r="D11" s="12" t="s">
        <v>33</v>
      </c>
      <c r="E11" s="11" t="s">
        <v>34</v>
      </c>
      <c r="F11" s="12" t="s">
        <v>35</v>
      </c>
      <c r="G11" s="11" t="s">
        <v>36</v>
      </c>
      <c r="H11" s="12" t="s">
        <v>37</v>
      </c>
      <c r="I11" s="12" t="s">
        <v>38</v>
      </c>
      <c r="J11" s="12" t="s">
        <v>39</v>
      </c>
      <c r="K11" s="13" t="s">
        <v>49</v>
      </c>
      <c r="L11" s="12" t="s">
        <v>50</v>
      </c>
      <c r="M11" s="283" t="s">
        <v>56</v>
      </c>
      <c r="N11" s="15"/>
      <c r="O11" s="17">
        <v>0</v>
      </c>
      <c r="P11" s="3">
        <v>1</v>
      </c>
      <c r="Q11" s="3">
        <v>1</v>
      </c>
      <c r="R11" s="112">
        <v>1</v>
      </c>
      <c r="S11" s="112">
        <v>1</v>
      </c>
      <c r="T11" s="1" t="s">
        <v>43</v>
      </c>
      <c r="U11" s="283" t="s">
        <v>45</v>
      </c>
      <c r="V11" s="10" t="s">
        <v>57</v>
      </c>
      <c r="W11" s="298">
        <v>1</v>
      </c>
      <c r="X11" s="298">
        <v>1</v>
      </c>
      <c r="Y11" s="298">
        <v>1</v>
      </c>
      <c r="Z11" s="299">
        <v>1</v>
      </c>
      <c r="AA11" s="299">
        <v>0</v>
      </c>
      <c r="AB11" s="300">
        <v>1</v>
      </c>
      <c r="AC11" s="301">
        <v>1</v>
      </c>
      <c r="AD11" s="301">
        <v>0</v>
      </c>
      <c r="AE11" s="302">
        <f t="shared" si="1"/>
        <v>0.75</v>
      </c>
      <c r="AF11" s="63">
        <v>0</v>
      </c>
      <c r="AG11" s="302"/>
      <c r="AH11" s="17">
        <v>15</v>
      </c>
      <c r="AI11" s="17">
        <v>5</v>
      </c>
      <c r="AJ11" s="17">
        <v>20</v>
      </c>
      <c r="AK11" s="127">
        <v>17</v>
      </c>
      <c r="AL11" s="109">
        <v>20</v>
      </c>
      <c r="AM11" s="147">
        <f t="shared" si="0"/>
        <v>37</v>
      </c>
      <c r="AN11" s="18" t="s">
        <v>43</v>
      </c>
      <c r="AO11" s="18" t="s">
        <v>45</v>
      </c>
      <c r="AP11" s="10" t="s">
        <v>58</v>
      </c>
    </row>
    <row r="12" spans="1:42" hidden="1" x14ac:dyDescent="0.3">
      <c r="A12" s="9" t="s">
        <v>30</v>
      </c>
      <c r="B12" s="10" t="s">
        <v>31</v>
      </c>
      <c r="C12" s="11" t="s">
        <v>32</v>
      </c>
      <c r="D12" s="12" t="s">
        <v>33</v>
      </c>
      <c r="E12" s="11" t="s">
        <v>34</v>
      </c>
      <c r="F12" s="12" t="s">
        <v>35</v>
      </c>
      <c r="G12" s="11" t="s">
        <v>36</v>
      </c>
      <c r="H12" s="12" t="s">
        <v>37</v>
      </c>
      <c r="I12" s="12" t="s">
        <v>38</v>
      </c>
      <c r="J12" s="12" t="s">
        <v>39</v>
      </c>
      <c r="K12" s="13" t="s">
        <v>49</v>
      </c>
      <c r="L12" s="12" t="s">
        <v>50</v>
      </c>
      <c r="M12" s="283" t="s">
        <v>59</v>
      </c>
      <c r="N12" s="15">
        <v>0</v>
      </c>
      <c r="O12" s="3">
        <v>2</v>
      </c>
      <c r="P12" s="3">
        <v>1</v>
      </c>
      <c r="Q12" s="3">
        <v>5</v>
      </c>
      <c r="R12" s="126">
        <v>8</v>
      </c>
      <c r="S12" s="126">
        <v>0</v>
      </c>
      <c r="T12" s="18" t="s">
        <v>43</v>
      </c>
      <c r="U12" s="283" t="s">
        <v>45</v>
      </c>
      <c r="V12" s="67" t="s">
        <v>60</v>
      </c>
      <c r="W12" s="298">
        <v>1</v>
      </c>
      <c r="X12" s="298">
        <v>0</v>
      </c>
      <c r="Y12" s="298">
        <v>0</v>
      </c>
      <c r="Z12" s="299">
        <v>1</v>
      </c>
      <c r="AA12" s="299">
        <v>1</v>
      </c>
      <c r="AB12" s="300">
        <v>0</v>
      </c>
      <c r="AC12" s="301">
        <v>1</v>
      </c>
      <c r="AD12" s="301">
        <v>1</v>
      </c>
      <c r="AE12" s="302">
        <f t="shared" si="1"/>
        <v>0.625</v>
      </c>
      <c r="AF12" s="63">
        <v>0</v>
      </c>
      <c r="AG12" s="302"/>
      <c r="AH12" s="17">
        <v>0.7</v>
      </c>
      <c r="AI12" s="17">
        <v>0</v>
      </c>
      <c r="AJ12" s="17">
        <v>0.82</v>
      </c>
      <c r="AK12" s="127">
        <v>2.5</v>
      </c>
      <c r="AL12" s="127"/>
      <c r="AM12" s="147">
        <f t="shared" si="0"/>
        <v>2.5</v>
      </c>
      <c r="AN12" s="18" t="s">
        <v>43</v>
      </c>
      <c r="AO12" s="18" t="s">
        <v>45</v>
      </c>
      <c r="AP12" s="10" t="s">
        <v>58</v>
      </c>
    </row>
    <row r="13" spans="1:42" hidden="1" x14ac:dyDescent="0.3">
      <c r="A13" s="9" t="s">
        <v>30</v>
      </c>
      <c r="B13" s="10" t="s">
        <v>31</v>
      </c>
      <c r="C13" s="11" t="s">
        <v>32</v>
      </c>
      <c r="D13" s="12" t="s">
        <v>33</v>
      </c>
      <c r="E13" s="11" t="s">
        <v>34</v>
      </c>
      <c r="F13" s="12" t="s">
        <v>35</v>
      </c>
      <c r="G13" s="11" t="s">
        <v>36</v>
      </c>
      <c r="H13" s="12" t="s">
        <v>37</v>
      </c>
      <c r="I13" s="12" t="s">
        <v>38</v>
      </c>
      <c r="J13" s="12" t="s">
        <v>39</v>
      </c>
      <c r="K13" s="13" t="s">
        <v>49</v>
      </c>
      <c r="L13" s="12" t="s">
        <v>50</v>
      </c>
      <c r="M13" s="10" t="s">
        <v>61</v>
      </c>
      <c r="N13" s="15">
        <v>0</v>
      </c>
      <c r="O13" s="20">
        <v>1</v>
      </c>
      <c r="P13" s="20">
        <v>1</v>
      </c>
      <c r="Q13" s="17">
        <v>0</v>
      </c>
      <c r="R13" s="113">
        <v>1</v>
      </c>
      <c r="S13" s="113">
        <v>0</v>
      </c>
      <c r="T13" s="18" t="s">
        <v>43</v>
      </c>
      <c r="U13" s="283" t="s">
        <v>45</v>
      </c>
      <c r="V13" s="10" t="s">
        <v>62</v>
      </c>
      <c r="W13" s="298">
        <v>1</v>
      </c>
      <c r="X13" s="298">
        <v>0</v>
      </c>
      <c r="Y13" s="298">
        <v>0</v>
      </c>
      <c r="Z13" s="299">
        <v>1</v>
      </c>
      <c r="AA13" s="299">
        <v>1</v>
      </c>
      <c r="AB13" s="300">
        <v>0</v>
      </c>
      <c r="AC13" s="301">
        <v>1</v>
      </c>
      <c r="AD13" s="301">
        <v>1</v>
      </c>
      <c r="AE13" s="302">
        <f t="shared" si="1"/>
        <v>0.625</v>
      </c>
      <c r="AF13" s="63">
        <v>0</v>
      </c>
      <c r="AG13" s="302"/>
      <c r="AH13" s="17">
        <v>0.65</v>
      </c>
      <c r="AI13" s="17">
        <v>0.65</v>
      </c>
      <c r="AJ13" s="17">
        <v>0.15</v>
      </c>
      <c r="AK13" s="127">
        <v>1</v>
      </c>
      <c r="AL13" s="127">
        <v>1.2</v>
      </c>
      <c r="AM13" s="147">
        <f t="shared" si="0"/>
        <v>2.2000000000000002</v>
      </c>
      <c r="AN13" s="18" t="s">
        <v>43</v>
      </c>
      <c r="AO13" s="18" t="s">
        <v>45</v>
      </c>
      <c r="AP13" s="18" t="s">
        <v>63</v>
      </c>
    </row>
    <row r="14" spans="1:42" s="300" customFormat="1" hidden="1" x14ac:dyDescent="0.3">
      <c r="A14" s="66" t="s">
        <v>30</v>
      </c>
      <c r="B14" s="67" t="s">
        <v>31</v>
      </c>
      <c r="C14" s="68" t="s">
        <v>32</v>
      </c>
      <c r="D14" s="69" t="s">
        <v>33</v>
      </c>
      <c r="E14" s="68" t="s">
        <v>34</v>
      </c>
      <c r="F14" s="69" t="s">
        <v>35</v>
      </c>
      <c r="G14" s="68" t="s">
        <v>36</v>
      </c>
      <c r="H14" s="69" t="s">
        <v>37</v>
      </c>
      <c r="I14" s="69" t="s">
        <v>38</v>
      </c>
      <c r="J14" s="69" t="s">
        <v>39</v>
      </c>
      <c r="K14" s="76" t="s">
        <v>49</v>
      </c>
      <c r="L14" s="69" t="s">
        <v>50</v>
      </c>
      <c r="M14" s="67" t="s">
        <v>64</v>
      </c>
      <c r="N14" s="70">
        <v>0</v>
      </c>
      <c r="O14" s="73">
        <v>0</v>
      </c>
      <c r="P14" s="106">
        <v>3</v>
      </c>
      <c r="Q14" s="106">
        <v>4</v>
      </c>
      <c r="R14" s="114">
        <v>3</v>
      </c>
      <c r="S14" s="114">
        <v>1</v>
      </c>
      <c r="T14" s="303" t="s">
        <v>43</v>
      </c>
      <c r="U14" s="300" t="s">
        <v>45</v>
      </c>
      <c r="V14" s="67" t="s">
        <v>65</v>
      </c>
      <c r="W14" s="299">
        <v>0</v>
      </c>
      <c r="X14" s="299">
        <v>0</v>
      </c>
      <c r="Y14" s="299">
        <v>0</v>
      </c>
      <c r="Z14" s="299">
        <v>1</v>
      </c>
      <c r="AA14" s="299">
        <v>1</v>
      </c>
      <c r="AB14" s="300">
        <v>0</v>
      </c>
      <c r="AC14" s="304">
        <v>1</v>
      </c>
      <c r="AD14" s="304">
        <v>1</v>
      </c>
      <c r="AE14" s="305">
        <f t="shared" si="1"/>
        <v>0.5</v>
      </c>
      <c r="AF14" s="72">
        <v>0</v>
      </c>
      <c r="AG14" s="305"/>
      <c r="AH14" s="73">
        <v>0.8</v>
      </c>
      <c r="AI14" s="73">
        <v>0</v>
      </c>
      <c r="AJ14" s="73">
        <v>2.2000000000000002</v>
      </c>
      <c r="AK14" s="109"/>
      <c r="AL14" s="109"/>
      <c r="AM14" s="73" t="e">
        <f>SUM(#REF!)</f>
        <v>#REF!</v>
      </c>
      <c r="AN14" s="74" t="s">
        <v>43</v>
      </c>
      <c r="AO14" s="74" t="s">
        <v>45</v>
      </c>
      <c r="AP14" s="67" t="s">
        <v>63</v>
      </c>
    </row>
    <row r="15" spans="1:42" hidden="1" x14ac:dyDescent="0.3">
      <c r="A15" s="9" t="s">
        <v>30</v>
      </c>
      <c r="B15" s="10" t="s">
        <v>31</v>
      </c>
      <c r="C15" s="11" t="s">
        <v>32</v>
      </c>
      <c r="D15" s="12" t="s">
        <v>33</v>
      </c>
      <c r="E15" s="11" t="s">
        <v>34</v>
      </c>
      <c r="F15" s="12" t="s">
        <v>35</v>
      </c>
      <c r="G15" s="11" t="s">
        <v>36</v>
      </c>
      <c r="H15" s="12" t="s">
        <v>37</v>
      </c>
      <c r="I15" s="12" t="s">
        <v>38</v>
      </c>
      <c r="J15" s="12" t="s">
        <v>39</v>
      </c>
      <c r="K15" s="11" t="s">
        <v>49</v>
      </c>
      <c r="L15" s="12" t="s">
        <v>50</v>
      </c>
      <c r="M15" s="10" t="s">
        <v>66</v>
      </c>
      <c r="N15" s="15">
        <v>0</v>
      </c>
      <c r="O15" s="17"/>
      <c r="P15" s="20">
        <v>8</v>
      </c>
      <c r="Q15" s="20">
        <v>10</v>
      </c>
      <c r="R15" s="114">
        <v>8</v>
      </c>
      <c r="S15" s="114">
        <v>8</v>
      </c>
      <c r="T15" s="306" t="s">
        <v>67</v>
      </c>
      <c r="U15" s="283" t="s">
        <v>68</v>
      </c>
      <c r="V15" s="10" t="s">
        <v>65</v>
      </c>
      <c r="W15" s="298">
        <v>0</v>
      </c>
      <c r="X15" s="298">
        <v>0</v>
      </c>
      <c r="Y15" s="298">
        <v>0</v>
      </c>
      <c r="Z15" s="299">
        <v>0</v>
      </c>
      <c r="AA15" s="299">
        <v>0</v>
      </c>
      <c r="AB15" s="300">
        <v>0</v>
      </c>
      <c r="AC15" s="301">
        <v>0</v>
      </c>
      <c r="AD15" s="301">
        <v>0</v>
      </c>
      <c r="AE15" s="302">
        <f t="shared" si="1"/>
        <v>0</v>
      </c>
      <c r="AF15" s="63">
        <v>1</v>
      </c>
      <c r="AG15" s="302"/>
      <c r="AH15" s="17"/>
      <c r="AI15" s="17"/>
      <c r="AJ15" s="17"/>
      <c r="AK15" s="109"/>
      <c r="AL15" s="109"/>
      <c r="AM15" s="17" t="e">
        <f>SUM(#REF!)</f>
        <v>#REF!</v>
      </c>
      <c r="AN15" s="100" t="s">
        <v>43</v>
      </c>
      <c r="AO15" s="100" t="s">
        <v>68</v>
      </c>
      <c r="AP15" s="10" t="s">
        <v>63</v>
      </c>
    </row>
    <row r="16" spans="1:42" x14ac:dyDescent="0.3">
      <c r="A16" s="9" t="s">
        <v>30</v>
      </c>
      <c r="B16" s="10" t="s">
        <v>31</v>
      </c>
      <c r="C16" s="11" t="s">
        <v>32</v>
      </c>
      <c r="D16" s="12" t="s">
        <v>33</v>
      </c>
      <c r="E16" s="11" t="s">
        <v>34</v>
      </c>
      <c r="F16" s="12" t="s">
        <v>35</v>
      </c>
      <c r="G16" s="11" t="s">
        <v>36</v>
      </c>
      <c r="H16" s="12" t="s">
        <v>37</v>
      </c>
      <c r="I16" s="12" t="s">
        <v>38</v>
      </c>
      <c r="J16" s="12" t="s">
        <v>39</v>
      </c>
      <c r="K16" s="11" t="s">
        <v>69</v>
      </c>
      <c r="L16" s="12" t="s">
        <v>70</v>
      </c>
      <c r="M16" s="10" t="s">
        <v>71</v>
      </c>
      <c r="N16" s="15">
        <v>0</v>
      </c>
      <c r="O16" s="16">
        <v>1</v>
      </c>
      <c r="P16" s="16">
        <v>1</v>
      </c>
      <c r="Q16" s="16">
        <v>1</v>
      </c>
      <c r="R16" s="110">
        <v>1</v>
      </c>
      <c r="S16" s="110">
        <v>1</v>
      </c>
      <c r="T16" s="10" t="s">
        <v>67</v>
      </c>
      <c r="U16" s="283" t="s">
        <v>68</v>
      </c>
      <c r="V16" s="10" t="s">
        <v>72</v>
      </c>
      <c r="W16" s="298">
        <v>1</v>
      </c>
      <c r="X16" s="298">
        <v>1</v>
      </c>
      <c r="Y16" s="298">
        <v>0</v>
      </c>
      <c r="Z16" s="299">
        <v>1</v>
      </c>
      <c r="AA16" s="299">
        <v>1</v>
      </c>
      <c r="AB16" s="300">
        <v>1</v>
      </c>
      <c r="AC16" s="301">
        <v>1</v>
      </c>
      <c r="AD16" s="301">
        <v>0</v>
      </c>
      <c r="AE16" s="302">
        <f t="shared" si="1"/>
        <v>0.75</v>
      </c>
      <c r="AF16" s="63">
        <v>0</v>
      </c>
      <c r="AG16" s="302"/>
      <c r="AH16" s="17">
        <v>16.5</v>
      </c>
      <c r="AI16" s="17">
        <v>19.5</v>
      </c>
      <c r="AJ16" s="17">
        <v>12.5</v>
      </c>
      <c r="AK16" s="127">
        <v>6</v>
      </c>
      <c r="AL16" s="127">
        <v>9</v>
      </c>
      <c r="AM16" s="147">
        <f t="shared" ref="AM16:AM17" si="2">SUM(AK16:AL16)</f>
        <v>15</v>
      </c>
      <c r="AN16" s="18" t="s">
        <v>67</v>
      </c>
      <c r="AO16" s="18" t="s">
        <v>68</v>
      </c>
      <c r="AP16" s="10" t="s">
        <v>58</v>
      </c>
    </row>
    <row r="17" spans="1:42" x14ac:dyDescent="0.3">
      <c r="A17" s="9" t="s">
        <v>30</v>
      </c>
      <c r="B17" s="10" t="s">
        <v>31</v>
      </c>
      <c r="C17" s="11" t="s">
        <v>32</v>
      </c>
      <c r="D17" s="12" t="s">
        <v>33</v>
      </c>
      <c r="E17" s="11" t="s">
        <v>34</v>
      </c>
      <c r="F17" s="12" t="s">
        <v>35</v>
      </c>
      <c r="G17" s="11" t="s">
        <v>36</v>
      </c>
      <c r="H17" s="12" t="s">
        <v>37</v>
      </c>
      <c r="I17" s="12" t="s">
        <v>38</v>
      </c>
      <c r="J17" s="12" t="s">
        <v>39</v>
      </c>
      <c r="K17" s="11" t="s">
        <v>69</v>
      </c>
      <c r="L17" s="12" t="s">
        <v>70</v>
      </c>
      <c r="M17" s="10" t="s">
        <v>73</v>
      </c>
      <c r="N17" s="15">
        <v>0</v>
      </c>
      <c r="O17" s="16">
        <v>4</v>
      </c>
      <c r="P17" s="16">
        <v>7</v>
      </c>
      <c r="Q17" s="16">
        <v>6</v>
      </c>
      <c r="R17" s="110">
        <v>5</v>
      </c>
      <c r="S17" s="110">
        <v>3</v>
      </c>
      <c r="T17" s="10" t="s">
        <v>67</v>
      </c>
      <c r="U17" s="283" t="s">
        <v>68</v>
      </c>
      <c r="V17" s="10" t="s">
        <v>74</v>
      </c>
      <c r="W17" s="298">
        <v>1</v>
      </c>
      <c r="X17" s="298">
        <v>1</v>
      </c>
      <c r="Y17" s="298">
        <v>1</v>
      </c>
      <c r="Z17" s="299">
        <v>1</v>
      </c>
      <c r="AA17" s="299">
        <v>1</v>
      </c>
      <c r="AB17" s="300">
        <v>1</v>
      </c>
      <c r="AC17" s="301">
        <v>1</v>
      </c>
      <c r="AD17" s="301">
        <v>1</v>
      </c>
      <c r="AE17" s="302">
        <f t="shared" si="1"/>
        <v>1</v>
      </c>
      <c r="AF17" s="63">
        <v>0</v>
      </c>
      <c r="AG17" s="302"/>
      <c r="AH17" s="17">
        <v>2.5</v>
      </c>
      <c r="AI17" s="17">
        <v>2.5</v>
      </c>
      <c r="AJ17" s="17">
        <v>2.5</v>
      </c>
      <c r="AK17" s="127">
        <v>1.5</v>
      </c>
      <c r="AL17" s="127">
        <v>2.5</v>
      </c>
      <c r="AM17" s="147">
        <f t="shared" si="2"/>
        <v>4</v>
      </c>
      <c r="AN17" s="18" t="s">
        <v>67</v>
      </c>
      <c r="AO17" s="18" t="s">
        <v>68</v>
      </c>
      <c r="AP17" s="10" t="s">
        <v>75</v>
      </c>
    </row>
    <row r="18" spans="1:42" hidden="1" x14ac:dyDescent="0.3">
      <c r="A18" s="9" t="s">
        <v>30</v>
      </c>
      <c r="B18" s="10" t="s">
        <v>31</v>
      </c>
      <c r="C18" s="11" t="s">
        <v>32</v>
      </c>
      <c r="D18" s="12" t="s">
        <v>33</v>
      </c>
      <c r="E18" s="11" t="s">
        <v>34</v>
      </c>
      <c r="F18" s="12" t="s">
        <v>35</v>
      </c>
      <c r="G18" s="11" t="s">
        <v>36</v>
      </c>
      <c r="H18" s="12" t="s">
        <v>37</v>
      </c>
      <c r="I18" s="12" t="s">
        <v>38</v>
      </c>
      <c r="J18" s="12" t="s">
        <v>39</v>
      </c>
      <c r="K18" s="11" t="s">
        <v>69</v>
      </c>
      <c r="L18" s="12" t="s">
        <v>70</v>
      </c>
      <c r="M18" s="10" t="s">
        <v>76</v>
      </c>
      <c r="N18" s="15">
        <v>0</v>
      </c>
      <c r="O18" s="16">
        <v>1</v>
      </c>
      <c r="P18" s="16">
        <v>1</v>
      </c>
      <c r="Q18" s="16">
        <v>1</v>
      </c>
      <c r="R18" s="110">
        <v>1</v>
      </c>
      <c r="S18" s="110">
        <v>1</v>
      </c>
      <c r="T18" s="10" t="s">
        <v>67</v>
      </c>
      <c r="U18" s="283" t="s">
        <v>68</v>
      </c>
      <c r="V18" s="10" t="s">
        <v>77</v>
      </c>
      <c r="W18" s="298">
        <v>1</v>
      </c>
      <c r="X18" s="298">
        <v>0</v>
      </c>
      <c r="Y18" s="298">
        <v>0</v>
      </c>
      <c r="Z18" s="299">
        <v>1</v>
      </c>
      <c r="AA18" s="299">
        <v>1</v>
      </c>
      <c r="AB18" s="300">
        <v>0</v>
      </c>
      <c r="AC18" s="301">
        <v>0</v>
      </c>
      <c r="AD18" s="301">
        <v>0</v>
      </c>
      <c r="AE18" s="302">
        <f t="shared" si="1"/>
        <v>0.375</v>
      </c>
      <c r="AF18" s="63">
        <v>0</v>
      </c>
      <c r="AG18" s="302"/>
      <c r="AH18" s="17">
        <v>3.3</v>
      </c>
      <c r="AI18" s="17">
        <v>6.2</v>
      </c>
      <c r="AJ18" s="17">
        <v>9.3000000000000007</v>
      </c>
      <c r="AK18" s="109"/>
      <c r="AL18" s="109"/>
      <c r="AM18" s="17" t="e">
        <f>SUM(#REF!)</f>
        <v>#REF!</v>
      </c>
      <c r="AN18" s="18" t="s">
        <v>67</v>
      </c>
      <c r="AO18" s="18" t="s">
        <v>68</v>
      </c>
      <c r="AP18" s="10" t="s">
        <v>63</v>
      </c>
    </row>
    <row r="19" spans="1:42" x14ac:dyDescent="0.3">
      <c r="A19" s="9" t="s">
        <v>30</v>
      </c>
      <c r="B19" s="10" t="s">
        <v>31</v>
      </c>
      <c r="C19" s="11" t="s">
        <v>32</v>
      </c>
      <c r="D19" s="12" t="s">
        <v>33</v>
      </c>
      <c r="E19" s="11" t="s">
        <v>34</v>
      </c>
      <c r="F19" s="12" t="s">
        <v>35</v>
      </c>
      <c r="G19" s="11" t="s">
        <v>36</v>
      </c>
      <c r="H19" s="12" t="s">
        <v>37</v>
      </c>
      <c r="I19" s="12" t="s">
        <v>38</v>
      </c>
      <c r="J19" s="12" t="s">
        <v>39</v>
      </c>
      <c r="K19" s="11" t="s">
        <v>78</v>
      </c>
      <c r="L19" s="12" t="s">
        <v>79</v>
      </c>
      <c r="M19" s="10" t="s">
        <v>80</v>
      </c>
      <c r="N19" s="15">
        <v>0</v>
      </c>
      <c r="O19" s="16">
        <v>3</v>
      </c>
      <c r="P19" s="16">
        <v>5</v>
      </c>
      <c r="Q19" s="16">
        <v>5</v>
      </c>
      <c r="R19" s="110">
        <v>3</v>
      </c>
      <c r="S19" s="110">
        <v>4</v>
      </c>
      <c r="T19" s="10" t="s">
        <v>67</v>
      </c>
      <c r="U19" s="283" t="s">
        <v>68</v>
      </c>
      <c r="V19" s="10" t="s">
        <v>81</v>
      </c>
      <c r="W19" s="298">
        <v>1</v>
      </c>
      <c r="X19" s="298">
        <v>0</v>
      </c>
      <c r="Y19" s="298">
        <v>0</v>
      </c>
      <c r="Z19" s="299">
        <v>1</v>
      </c>
      <c r="AA19" s="299">
        <v>1</v>
      </c>
      <c r="AB19" s="300">
        <v>1</v>
      </c>
      <c r="AC19" s="301">
        <v>1</v>
      </c>
      <c r="AD19" s="301">
        <v>1</v>
      </c>
      <c r="AE19" s="302">
        <f t="shared" si="1"/>
        <v>0.75</v>
      </c>
      <c r="AF19" s="63">
        <v>0</v>
      </c>
      <c r="AG19" s="302"/>
      <c r="AH19" s="17">
        <v>14.5</v>
      </c>
      <c r="AI19" s="17">
        <v>14.15</v>
      </c>
      <c r="AJ19" s="17">
        <v>15.2</v>
      </c>
      <c r="AK19" s="127">
        <v>10</v>
      </c>
      <c r="AL19" s="127">
        <v>14.64</v>
      </c>
      <c r="AM19" s="147">
        <f t="shared" ref="AM19:AM20" si="3">SUM(AK19:AL19)</f>
        <v>24.64</v>
      </c>
      <c r="AN19" s="18" t="s">
        <v>67</v>
      </c>
      <c r="AO19" s="18" t="s">
        <v>68</v>
      </c>
      <c r="AP19" s="10" t="s">
        <v>63</v>
      </c>
    </row>
    <row r="20" spans="1:42" x14ac:dyDescent="0.3">
      <c r="A20" s="9" t="s">
        <v>30</v>
      </c>
      <c r="B20" s="10" t="s">
        <v>31</v>
      </c>
      <c r="C20" s="11" t="s">
        <v>32</v>
      </c>
      <c r="D20" s="12" t="s">
        <v>33</v>
      </c>
      <c r="E20" s="11" t="s">
        <v>34</v>
      </c>
      <c r="F20" s="12" t="s">
        <v>35</v>
      </c>
      <c r="G20" s="11" t="s">
        <v>36</v>
      </c>
      <c r="H20" s="12" t="s">
        <v>37</v>
      </c>
      <c r="I20" s="12" t="s">
        <v>38</v>
      </c>
      <c r="J20" s="12" t="s">
        <v>39</v>
      </c>
      <c r="K20" s="11" t="s">
        <v>78</v>
      </c>
      <c r="L20" s="12" t="s">
        <v>79</v>
      </c>
      <c r="M20" s="10" t="s">
        <v>76</v>
      </c>
      <c r="N20" s="15">
        <v>0</v>
      </c>
      <c r="O20" s="17">
        <v>0</v>
      </c>
      <c r="P20" s="17">
        <v>0</v>
      </c>
      <c r="Q20" s="17">
        <v>0</v>
      </c>
      <c r="R20" s="110">
        <v>1</v>
      </c>
      <c r="S20" s="113">
        <v>0</v>
      </c>
      <c r="T20" s="10" t="s">
        <v>43</v>
      </c>
      <c r="U20" s="283" t="s">
        <v>45</v>
      </c>
      <c r="V20" s="10" t="s">
        <v>82</v>
      </c>
      <c r="W20" s="298">
        <v>1</v>
      </c>
      <c r="X20" s="298">
        <v>1</v>
      </c>
      <c r="Y20" s="298">
        <v>1</v>
      </c>
      <c r="Z20" s="299">
        <v>1</v>
      </c>
      <c r="AA20" s="299">
        <v>1</v>
      </c>
      <c r="AB20" s="300">
        <v>1</v>
      </c>
      <c r="AC20" s="301">
        <v>1</v>
      </c>
      <c r="AD20" s="301">
        <v>0</v>
      </c>
      <c r="AE20" s="302">
        <f t="shared" si="1"/>
        <v>0.875</v>
      </c>
      <c r="AF20" s="63">
        <v>0</v>
      </c>
      <c r="AG20" s="302"/>
      <c r="AH20" s="17">
        <v>0</v>
      </c>
      <c r="AI20" s="17"/>
      <c r="AJ20" s="17"/>
      <c r="AK20" s="109">
        <v>0.5</v>
      </c>
      <c r="AL20" s="127">
        <v>0.5</v>
      </c>
      <c r="AM20" s="147">
        <f t="shared" si="3"/>
        <v>1</v>
      </c>
      <c r="AN20" s="18" t="s">
        <v>43</v>
      </c>
      <c r="AO20" s="18" t="s">
        <v>45</v>
      </c>
      <c r="AP20" s="10" t="s">
        <v>63</v>
      </c>
    </row>
    <row r="21" spans="1:42" hidden="1" x14ac:dyDescent="0.3">
      <c r="A21" s="9" t="s">
        <v>30</v>
      </c>
      <c r="B21" s="10" t="s">
        <v>31</v>
      </c>
      <c r="C21" s="11" t="s">
        <v>32</v>
      </c>
      <c r="D21" s="12" t="s">
        <v>33</v>
      </c>
      <c r="E21" s="11" t="s">
        <v>34</v>
      </c>
      <c r="F21" s="12" t="s">
        <v>35</v>
      </c>
      <c r="G21" s="11" t="s">
        <v>36</v>
      </c>
      <c r="H21" s="12" t="s">
        <v>37</v>
      </c>
      <c r="I21" s="12" t="s">
        <v>83</v>
      </c>
      <c r="J21" s="12" t="s">
        <v>84</v>
      </c>
      <c r="K21" s="11" t="s">
        <v>85</v>
      </c>
      <c r="L21" s="12" t="s">
        <v>86</v>
      </c>
      <c r="M21" s="10" t="s">
        <v>87</v>
      </c>
      <c r="N21" s="15">
        <v>881</v>
      </c>
      <c r="O21" s="16">
        <v>9</v>
      </c>
      <c r="P21" s="16">
        <v>27</v>
      </c>
      <c r="Q21" s="16">
        <v>23</v>
      </c>
      <c r="R21" s="110">
        <v>23</v>
      </c>
      <c r="S21" s="110">
        <v>23</v>
      </c>
      <c r="T21" s="10" t="s">
        <v>67</v>
      </c>
      <c r="U21" s="283" t="s">
        <v>68</v>
      </c>
      <c r="V21" s="10" t="s">
        <v>88</v>
      </c>
      <c r="W21" s="298">
        <v>1</v>
      </c>
      <c r="X21" s="298">
        <v>0</v>
      </c>
      <c r="Y21" s="298">
        <v>0</v>
      </c>
      <c r="Z21" s="299">
        <v>1</v>
      </c>
      <c r="AA21" s="299">
        <v>0</v>
      </c>
      <c r="AB21" s="300">
        <v>0</v>
      </c>
      <c r="AC21" s="301">
        <v>0</v>
      </c>
      <c r="AD21" s="301">
        <v>0</v>
      </c>
      <c r="AE21" s="302">
        <f t="shared" si="1"/>
        <v>0.25</v>
      </c>
      <c r="AF21" s="63">
        <v>1</v>
      </c>
      <c r="AG21" s="302"/>
      <c r="AH21" s="17">
        <v>15.45</v>
      </c>
      <c r="AI21" s="17">
        <v>15.64</v>
      </c>
      <c r="AJ21" s="17">
        <v>16.170000000000002</v>
      </c>
      <c r="AK21" s="109">
        <v>16.73</v>
      </c>
      <c r="AL21" s="109">
        <v>17.32</v>
      </c>
      <c r="AM21" s="17" t="e">
        <f>SUM(#REF!)</f>
        <v>#REF!</v>
      </c>
      <c r="AN21" s="18" t="s">
        <v>67</v>
      </c>
      <c r="AO21" s="18" t="s">
        <v>68</v>
      </c>
      <c r="AP21" s="10" t="s">
        <v>89</v>
      </c>
    </row>
    <row r="22" spans="1:42" hidden="1" x14ac:dyDescent="0.3">
      <c r="A22" s="9" t="s">
        <v>30</v>
      </c>
      <c r="B22" s="10" t="s">
        <v>31</v>
      </c>
      <c r="C22" s="11" t="s">
        <v>32</v>
      </c>
      <c r="D22" s="12" t="s">
        <v>33</v>
      </c>
      <c r="E22" s="11" t="s">
        <v>34</v>
      </c>
      <c r="F22" s="12" t="s">
        <v>35</v>
      </c>
      <c r="G22" s="11" t="s">
        <v>36</v>
      </c>
      <c r="H22" s="12" t="s">
        <v>37</v>
      </c>
      <c r="I22" s="12" t="s">
        <v>83</v>
      </c>
      <c r="J22" s="12" t="s">
        <v>84</v>
      </c>
      <c r="K22" s="11" t="s">
        <v>85</v>
      </c>
      <c r="L22" s="12" t="s">
        <v>86</v>
      </c>
      <c r="M22" s="10" t="s">
        <v>90</v>
      </c>
      <c r="N22" s="15">
        <v>357</v>
      </c>
      <c r="O22" s="16">
        <v>15</v>
      </c>
      <c r="P22" s="16">
        <v>15</v>
      </c>
      <c r="Q22" s="21">
        <v>15</v>
      </c>
      <c r="R22" s="115">
        <v>15</v>
      </c>
      <c r="S22" s="115">
        <v>10</v>
      </c>
      <c r="T22" s="10" t="s">
        <v>67</v>
      </c>
      <c r="U22" s="283" t="s">
        <v>68</v>
      </c>
      <c r="V22" s="10" t="s">
        <v>91</v>
      </c>
      <c r="W22" s="298">
        <v>1</v>
      </c>
      <c r="X22" s="298">
        <v>0</v>
      </c>
      <c r="Y22" s="298">
        <v>0</v>
      </c>
      <c r="Z22" s="299">
        <v>1</v>
      </c>
      <c r="AA22" s="299">
        <v>0</v>
      </c>
      <c r="AB22" s="300">
        <v>0</v>
      </c>
      <c r="AC22" s="301">
        <v>0</v>
      </c>
      <c r="AD22" s="301">
        <v>0</v>
      </c>
      <c r="AE22" s="302">
        <f t="shared" si="1"/>
        <v>0.25</v>
      </c>
      <c r="AF22" s="63">
        <v>1</v>
      </c>
      <c r="AG22" s="302"/>
      <c r="AH22" s="17">
        <v>0.96</v>
      </c>
      <c r="AI22" s="17">
        <v>0.96</v>
      </c>
      <c r="AJ22" s="17">
        <v>0.96</v>
      </c>
      <c r="AK22" s="109">
        <v>0.96</v>
      </c>
      <c r="AL22" s="109">
        <v>0.96</v>
      </c>
      <c r="AM22" s="17" t="e">
        <f>SUM(#REF!)</f>
        <v>#REF!</v>
      </c>
      <c r="AN22" s="18" t="s">
        <v>67</v>
      </c>
      <c r="AO22" s="18" t="s">
        <v>68</v>
      </c>
      <c r="AP22" s="10" t="s">
        <v>92</v>
      </c>
    </row>
    <row r="23" spans="1:42" hidden="1" x14ac:dyDescent="0.3">
      <c r="A23" s="9" t="s">
        <v>30</v>
      </c>
      <c r="B23" s="10" t="s">
        <v>31</v>
      </c>
      <c r="C23" s="11" t="s">
        <v>32</v>
      </c>
      <c r="D23" s="12" t="s">
        <v>33</v>
      </c>
      <c r="E23" s="11" t="s">
        <v>34</v>
      </c>
      <c r="F23" s="12" t="s">
        <v>35</v>
      </c>
      <c r="G23" s="11" t="s">
        <v>36</v>
      </c>
      <c r="H23" s="12" t="s">
        <v>37</v>
      </c>
      <c r="I23" s="12" t="s">
        <v>83</v>
      </c>
      <c r="J23" s="12" t="s">
        <v>84</v>
      </c>
      <c r="K23" s="11" t="s">
        <v>85</v>
      </c>
      <c r="L23" s="12" t="s">
        <v>86</v>
      </c>
      <c r="M23" s="10" t="s">
        <v>90</v>
      </c>
      <c r="N23" s="15">
        <v>0</v>
      </c>
      <c r="O23" s="16">
        <v>5</v>
      </c>
      <c r="P23" s="16">
        <v>20</v>
      </c>
      <c r="Q23" s="21">
        <v>20</v>
      </c>
      <c r="R23" s="115">
        <v>20</v>
      </c>
      <c r="S23" s="115">
        <v>20</v>
      </c>
      <c r="T23" s="12" t="s">
        <v>43</v>
      </c>
      <c r="U23" s="283" t="s">
        <v>45</v>
      </c>
      <c r="V23" s="10" t="s">
        <v>91</v>
      </c>
      <c r="W23" s="298">
        <v>1</v>
      </c>
      <c r="X23" s="298">
        <v>0</v>
      </c>
      <c r="Y23" s="298">
        <v>0</v>
      </c>
      <c r="Z23" s="299">
        <v>1</v>
      </c>
      <c r="AA23" s="299">
        <v>0</v>
      </c>
      <c r="AB23" s="300">
        <v>0</v>
      </c>
      <c r="AC23" s="301">
        <v>0</v>
      </c>
      <c r="AD23" s="301">
        <v>0</v>
      </c>
      <c r="AE23" s="302">
        <f t="shared" si="1"/>
        <v>0.25</v>
      </c>
      <c r="AF23" s="63">
        <v>1</v>
      </c>
      <c r="AG23" s="302"/>
      <c r="AH23" s="17"/>
      <c r="AI23" s="17"/>
      <c r="AJ23" s="17"/>
      <c r="AK23" s="109"/>
      <c r="AL23" s="109"/>
      <c r="AM23" s="17" t="e">
        <f>SUM(#REF!)</f>
        <v>#REF!</v>
      </c>
      <c r="AN23" s="18" t="s">
        <v>43</v>
      </c>
      <c r="AO23" s="18" t="s">
        <v>45</v>
      </c>
      <c r="AP23" s="10" t="s">
        <v>92</v>
      </c>
    </row>
    <row r="24" spans="1:42" x14ac:dyDescent="0.3">
      <c r="A24" s="9" t="s">
        <v>30</v>
      </c>
      <c r="B24" s="10" t="s">
        <v>31</v>
      </c>
      <c r="C24" s="11" t="s">
        <v>32</v>
      </c>
      <c r="D24" s="12" t="s">
        <v>33</v>
      </c>
      <c r="E24" s="11" t="s">
        <v>34</v>
      </c>
      <c r="F24" s="12" t="s">
        <v>35</v>
      </c>
      <c r="G24" s="11" t="s">
        <v>36</v>
      </c>
      <c r="H24" s="12" t="s">
        <v>37</v>
      </c>
      <c r="I24" s="12" t="s">
        <v>83</v>
      </c>
      <c r="J24" s="12" t="s">
        <v>84</v>
      </c>
      <c r="K24" s="9" t="s">
        <v>93</v>
      </c>
      <c r="L24" s="10" t="s">
        <v>94</v>
      </c>
      <c r="M24" s="10" t="s">
        <v>95</v>
      </c>
      <c r="N24" s="15">
        <v>0</v>
      </c>
      <c r="O24" s="16">
        <v>4</v>
      </c>
      <c r="P24" s="16">
        <v>8</v>
      </c>
      <c r="Q24" s="21">
        <v>6</v>
      </c>
      <c r="R24" s="115">
        <v>6</v>
      </c>
      <c r="S24" s="115">
        <v>6</v>
      </c>
      <c r="T24" s="12" t="s">
        <v>67</v>
      </c>
      <c r="U24" s="283" t="s">
        <v>68</v>
      </c>
      <c r="V24" s="10" t="s">
        <v>96</v>
      </c>
      <c r="W24" s="298">
        <v>1</v>
      </c>
      <c r="X24" s="298">
        <v>1</v>
      </c>
      <c r="Y24" s="298">
        <v>1</v>
      </c>
      <c r="Z24" s="299">
        <v>1</v>
      </c>
      <c r="AA24" s="299">
        <v>1</v>
      </c>
      <c r="AB24" s="300">
        <v>1</v>
      </c>
      <c r="AC24" s="301">
        <v>1</v>
      </c>
      <c r="AD24" s="301">
        <v>0</v>
      </c>
      <c r="AE24" s="302">
        <f t="shared" si="1"/>
        <v>0.875</v>
      </c>
      <c r="AF24" s="63">
        <v>0</v>
      </c>
      <c r="AG24" s="302"/>
      <c r="AH24" s="17">
        <v>1.5</v>
      </c>
      <c r="AI24" s="17">
        <v>2.5</v>
      </c>
      <c r="AJ24" s="17">
        <v>2.2000000000000002</v>
      </c>
      <c r="AK24" s="127">
        <v>2</v>
      </c>
      <c r="AL24" s="127">
        <v>2</v>
      </c>
      <c r="AM24" s="147">
        <f t="shared" ref="AM24" si="4">SUM(AK24:AL24)</f>
        <v>4</v>
      </c>
      <c r="AN24" s="18" t="s">
        <v>67</v>
      </c>
      <c r="AO24" s="18" t="s">
        <v>68</v>
      </c>
      <c r="AP24" s="10" t="s">
        <v>97</v>
      </c>
    </row>
    <row r="25" spans="1:42" hidden="1" x14ac:dyDescent="0.3">
      <c r="A25" s="9" t="s">
        <v>30</v>
      </c>
      <c r="B25" s="10" t="s">
        <v>31</v>
      </c>
      <c r="C25" s="11" t="s">
        <v>32</v>
      </c>
      <c r="D25" s="12" t="s">
        <v>33</v>
      </c>
      <c r="E25" s="11" t="s">
        <v>34</v>
      </c>
      <c r="F25" s="12" t="s">
        <v>35</v>
      </c>
      <c r="G25" s="11" t="s">
        <v>36</v>
      </c>
      <c r="H25" s="12" t="s">
        <v>37</v>
      </c>
      <c r="I25" s="12" t="s">
        <v>83</v>
      </c>
      <c r="J25" s="12" t="s">
        <v>84</v>
      </c>
      <c r="K25" s="9" t="s">
        <v>98</v>
      </c>
      <c r="L25" s="10" t="s">
        <v>99</v>
      </c>
      <c r="M25" s="307" t="s">
        <v>100</v>
      </c>
      <c r="N25" s="15">
        <v>0</v>
      </c>
      <c r="O25" s="16"/>
      <c r="P25" s="16">
        <v>1</v>
      </c>
      <c r="Q25" s="21"/>
      <c r="R25" s="115"/>
      <c r="S25" s="115"/>
      <c r="T25" s="12" t="s">
        <v>101</v>
      </c>
      <c r="U25" s="283" t="s">
        <v>103</v>
      </c>
      <c r="V25" s="10" t="s">
        <v>102</v>
      </c>
      <c r="W25" s="298">
        <v>0</v>
      </c>
      <c r="X25" s="298">
        <v>0</v>
      </c>
      <c r="Y25" s="298">
        <v>0</v>
      </c>
      <c r="Z25" s="299">
        <v>1</v>
      </c>
      <c r="AA25" s="299">
        <v>1</v>
      </c>
      <c r="AB25" s="300">
        <v>0</v>
      </c>
      <c r="AC25" s="301">
        <v>0</v>
      </c>
      <c r="AD25" s="301">
        <v>0</v>
      </c>
      <c r="AE25" s="302">
        <f t="shared" si="1"/>
        <v>0.25</v>
      </c>
      <c r="AF25" s="63">
        <v>0</v>
      </c>
      <c r="AG25" s="302"/>
      <c r="AH25" s="17"/>
      <c r="AI25" s="17"/>
      <c r="AJ25" s="17"/>
      <c r="AK25" s="109"/>
      <c r="AL25" s="109"/>
      <c r="AM25" s="17" t="e">
        <f>SUM(#REF!)</f>
        <v>#REF!</v>
      </c>
      <c r="AN25" s="18" t="s">
        <v>101</v>
      </c>
      <c r="AO25" s="18" t="s">
        <v>103</v>
      </c>
      <c r="AP25" s="10" t="s">
        <v>92</v>
      </c>
    </row>
    <row r="26" spans="1:42" hidden="1" x14ac:dyDescent="0.3">
      <c r="A26" s="9" t="s">
        <v>30</v>
      </c>
      <c r="B26" s="10" t="s">
        <v>31</v>
      </c>
      <c r="C26" s="11" t="s">
        <v>32</v>
      </c>
      <c r="D26" s="12" t="s">
        <v>33</v>
      </c>
      <c r="E26" s="11" t="s">
        <v>34</v>
      </c>
      <c r="F26" s="12" t="s">
        <v>35</v>
      </c>
      <c r="G26" s="11" t="s">
        <v>36</v>
      </c>
      <c r="H26" s="12" t="s">
        <v>37</v>
      </c>
      <c r="I26" s="12" t="s">
        <v>83</v>
      </c>
      <c r="J26" s="12" t="s">
        <v>84</v>
      </c>
      <c r="K26" s="9" t="s">
        <v>98</v>
      </c>
      <c r="L26" s="10" t="s">
        <v>99</v>
      </c>
      <c r="M26" s="307" t="s">
        <v>104</v>
      </c>
      <c r="N26" s="15"/>
      <c r="O26" s="16">
        <v>80</v>
      </c>
      <c r="P26" s="16">
        <v>20</v>
      </c>
      <c r="Q26" s="21">
        <v>20</v>
      </c>
      <c r="R26" s="115">
        <v>20</v>
      </c>
      <c r="S26" s="115">
        <v>20</v>
      </c>
      <c r="T26" s="12" t="s">
        <v>67</v>
      </c>
      <c r="U26" s="283" t="s">
        <v>68</v>
      </c>
      <c r="V26" s="10" t="s">
        <v>102</v>
      </c>
      <c r="W26" s="298">
        <v>0</v>
      </c>
      <c r="X26" s="298">
        <v>0</v>
      </c>
      <c r="Y26" s="298">
        <v>0</v>
      </c>
      <c r="Z26" s="299">
        <v>1</v>
      </c>
      <c r="AA26" s="299">
        <v>1</v>
      </c>
      <c r="AB26" s="300">
        <v>0</v>
      </c>
      <c r="AC26" s="301">
        <v>0</v>
      </c>
      <c r="AD26" s="301">
        <v>0</v>
      </c>
      <c r="AE26" s="302">
        <f t="shared" si="1"/>
        <v>0.25</v>
      </c>
      <c r="AF26" s="63">
        <v>0</v>
      </c>
      <c r="AG26" s="302"/>
      <c r="AH26" s="17"/>
      <c r="AI26" s="17"/>
      <c r="AJ26" s="17"/>
      <c r="AK26" s="109"/>
      <c r="AL26" s="109"/>
      <c r="AM26" s="17" t="e">
        <f>SUM(#REF!)</f>
        <v>#REF!</v>
      </c>
      <c r="AN26" s="18" t="s">
        <v>67</v>
      </c>
      <c r="AO26" s="18" t="s">
        <v>68</v>
      </c>
      <c r="AP26" s="10" t="s">
        <v>92</v>
      </c>
    </row>
    <row r="27" spans="1:42" hidden="1" x14ac:dyDescent="0.3">
      <c r="A27" s="9" t="s">
        <v>30</v>
      </c>
      <c r="B27" s="10" t="s">
        <v>31</v>
      </c>
      <c r="C27" s="11" t="s">
        <v>32</v>
      </c>
      <c r="D27" s="12" t="s">
        <v>33</v>
      </c>
      <c r="E27" s="11" t="s">
        <v>34</v>
      </c>
      <c r="F27" s="12" t="s">
        <v>35</v>
      </c>
      <c r="G27" s="11" t="s">
        <v>36</v>
      </c>
      <c r="H27" s="12" t="s">
        <v>37</v>
      </c>
      <c r="I27" s="12" t="s">
        <v>83</v>
      </c>
      <c r="J27" s="12" t="s">
        <v>84</v>
      </c>
      <c r="K27" s="9" t="s">
        <v>105</v>
      </c>
      <c r="L27" s="10" t="s">
        <v>106</v>
      </c>
      <c r="M27" s="307" t="s">
        <v>107</v>
      </c>
      <c r="N27" s="15">
        <v>32</v>
      </c>
      <c r="O27" s="16">
        <v>22</v>
      </c>
      <c r="P27" s="16">
        <v>22</v>
      </c>
      <c r="Q27" s="21">
        <v>22</v>
      </c>
      <c r="R27" s="115">
        <v>22</v>
      </c>
      <c r="S27" s="115">
        <v>22</v>
      </c>
      <c r="T27" s="12" t="s">
        <v>67</v>
      </c>
      <c r="U27" s="283" t="s">
        <v>68</v>
      </c>
      <c r="V27" s="10" t="s">
        <v>108</v>
      </c>
      <c r="W27" s="298">
        <v>1</v>
      </c>
      <c r="X27" s="298">
        <v>0</v>
      </c>
      <c r="Y27" s="298">
        <v>0</v>
      </c>
      <c r="Z27" s="299">
        <v>1</v>
      </c>
      <c r="AA27" s="299">
        <v>1</v>
      </c>
      <c r="AB27" s="300">
        <v>0</v>
      </c>
      <c r="AC27" s="301">
        <v>0</v>
      </c>
      <c r="AD27" s="301">
        <v>0</v>
      </c>
      <c r="AE27" s="302">
        <f t="shared" si="1"/>
        <v>0.375</v>
      </c>
      <c r="AF27" s="63">
        <v>1</v>
      </c>
      <c r="AG27" s="302"/>
      <c r="AH27" s="17"/>
      <c r="AI27" s="17"/>
      <c r="AJ27" s="17"/>
      <c r="AK27" s="109"/>
      <c r="AL27" s="109"/>
      <c r="AM27" s="17" t="e">
        <f>SUM(#REF!)</f>
        <v>#REF!</v>
      </c>
      <c r="AN27" s="18" t="s">
        <v>67</v>
      </c>
      <c r="AO27" s="18" t="s">
        <v>68</v>
      </c>
      <c r="AP27" s="10" t="s">
        <v>92</v>
      </c>
    </row>
    <row r="28" spans="1:42" hidden="1" x14ac:dyDescent="0.3">
      <c r="A28" s="9" t="s">
        <v>30</v>
      </c>
      <c r="B28" s="10" t="s">
        <v>31</v>
      </c>
      <c r="C28" s="11" t="s">
        <v>32</v>
      </c>
      <c r="D28" s="12" t="s">
        <v>33</v>
      </c>
      <c r="E28" s="11" t="s">
        <v>34</v>
      </c>
      <c r="F28" s="12" t="s">
        <v>35</v>
      </c>
      <c r="G28" s="11" t="s">
        <v>36</v>
      </c>
      <c r="H28" s="12" t="s">
        <v>37</v>
      </c>
      <c r="I28" s="12" t="s">
        <v>83</v>
      </c>
      <c r="J28" s="12" t="s">
        <v>84</v>
      </c>
      <c r="K28" s="9" t="s">
        <v>109</v>
      </c>
      <c r="L28" s="10" t="s">
        <v>110</v>
      </c>
      <c r="M28" s="307" t="s">
        <v>111</v>
      </c>
      <c r="N28" s="15">
        <v>0</v>
      </c>
      <c r="O28" s="16">
        <v>55</v>
      </c>
      <c r="P28" s="16">
        <v>55</v>
      </c>
      <c r="Q28" s="21">
        <v>55</v>
      </c>
      <c r="R28" s="115">
        <v>55</v>
      </c>
      <c r="S28" s="115">
        <v>58</v>
      </c>
      <c r="T28" s="12" t="s">
        <v>67</v>
      </c>
      <c r="U28" s="283" t="s">
        <v>68</v>
      </c>
      <c r="V28" s="10" t="s">
        <v>112</v>
      </c>
      <c r="W28" s="298">
        <v>0</v>
      </c>
      <c r="X28" s="298">
        <v>0</v>
      </c>
      <c r="Y28" s="298">
        <v>0</v>
      </c>
      <c r="Z28" s="299">
        <v>0</v>
      </c>
      <c r="AA28" s="299">
        <v>0</v>
      </c>
      <c r="AB28" s="300">
        <v>0</v>
      </c>
      <c r="AC28" s="301">
        <v>0</v>
      </c>
      <c r="AD28" s="301">
        <v>0</v>
      </c>
      <c r="AE28" s="302">
        <f t="shared" si="1"/>
        <v>0</v>
      </c>
      <c r="AF28" s="63">
        <v>0</v>
      </c>
      <c r="AG28" s="302"/>
      <c r="AH28" s="17"/>
      <c r="AI28" s="17"/>
      <c r="AJ28" s="17"/>
      <c r="AK28" s="109"/>
      <c r="AL28" s="109"/>
      <c r="AM28" s="17" t="e">
        <f>SUM(#REF!)</f>
        <v>#REF!</v>
      </c>
      <c r="AN28" s="18" t="s">
        <v>67</v>
      </c>
      <c r="AO28" s="18" t="s">
        <v>68</v>
      </c>
      <c r="AP28" s="10" t="s">
        <v>92</v>
      </c>
    </row>
    <row r="29" spans="1:42" hidden="1" x14ac:dyDescent="0.3">
      <c r="A29" s="9" t="s">
        <v>30</v>
      </c>
      <c r="B29" s="10" t="s">
        <v>31</v>
      </c>
      <c r="C29" s="11" t="s">
        <v>32</v>
      </c>
      <c r="D29" s="12" t="s">
        <v>33</v>
      </c>
      <c r="E29" s="11" t="s">
        <v>34</v>
      </c>
      <c r="F29" s="12" t="s">
        <v>35</v>
      </c>
      <c r="G29" s="11" t="s">
        <v>36</v>
      </c>
      <c r="H29" s="12" t="s">
        <v>37</v>
      </c>
      <c r="I29" s="12" t="s">
        <v>113</v>
      </c>
      <c r="J29" s="12" t="s">
        <v>114</v>
      </c>
      <c r="K29" s="13" t="s">
        <v>115</v>
      </c>
      <c r="L29" s="14" t="s">
        <v>116</v>
      </c>
      <c r="M29" s="12" t="s">
        <v>117</v>
      </c>
      <c r="N29" s="22"/>
      <c r="O29" s="21">
        <v>0</v>
      </c>
      <c r="P29" s="21"/>
      <c r="Q29" s="21"/>
      <c r="R29" s="115">
        <v>1</v>
      </c>
      <c r="S29" s="115"/>
      <c r="T29" s="12" t="s">
        <v>92</v>
      </c>
      <c r="U29" s="283" t="s">
        <v>118</v>
      </c>
      <c r="V29" s="12"/>
      <c r="W29" s="298">
        <v>0</v>
      </c>
      <c r="X29" s="298">
        <v>0</v>
      </c>
      <c r="Y29" s="298">
        <v>0</v>
      </c>
      <c r="Z29" s="299">
        <v>0</v>
      </c>
      <c r="AA29" s="299">
        <v>0</v>
      </c>
      <c r="AB29" s="300">
        <v>0</v>
      </c>
      <c r="AC29" s="301">
        <v>0</v>
      </c>
      <c r="AD29" s="301">
        <v>0</v>
      </c>
      <c r="AE29" s="302">
        <f t="shared" si="1"/>
        <v>0</v>
      </c>
      <c r="AF29" s="63">
        <v>0</v>
      </c>
      <c r="AG29" s="302"/>
      <c r="AH29" s="23">
        <v>0</v>
      </c>
      <c r="AI29" s="23"/>
      <c r="AJ29" s="23"/>
      <c r="AK29" s="125"/>
      <c r="AL29" s="125"/>
      <c r="AM29" s="17" t="e">
        <f>SUM(#REF!)</f>
        <v>#REF!</v>
      </c>
      <c r="AN29" s="14" t="s">
        <v>92</v>
      </c>
      <c r="AO29" s="18" t="s">
        <v>118</v>
      </c>
      <c r="AP29" s="12" t="s">
        <v>119</v>
      </c>
    </row>
    <row r="30" spans="1:42" hidden="1" x14ac:dyDescent="0.3">
      <c r="A30" s="9" t="s">
        <v>30</v>
      </c>
      <c r="B30" s="10" t="s">
        <v>31</v>
      </c>
      <c r="C30" s="11" t="s">
        <v>32</v>
      </c>
      <c r="D30" s="12" t="s">
        <v>33</v>
      </c>
      <c r="E30" s="11" t="s">
        <v>34</v>
      </c>
      <c r="F30" s="12" t="s">
        <v>35</v>
      </c>
      <c r="G30" s="11" t="s">
        <v>36</v>
      </c>
      <c r="H30" s="12" t="s">
        <v>37</v>
      </c>
      <c r="I30" s="12" t="s">
        <v>120</v>
      </c>
      <c r="J30" s="12" t="s">
        <v>121</v>
      </c>
      <c r="K30" s="9" t="s">
        <v>122</v>
      </c>
      <c r="L30" s="10" t="s">
        <v>123</v>
      </c>
      <c r="M30" s="10" t="s">
        <v>124</v>
      </c>
      <c r="N30" s="15">
        <v>0</v>
      </c>
      <c r="O30" s="16">
        <v>3</v>
      </c>
      <c r="P30" s="16">
        <v>1</v>
      </c>
      <c r="Q30" s="21">
        <v>2</v>
      </c>
      <c r="R30" s="129">
        <v>1</v>
      </c>
      <c r="S30" s="129">
        <v>1</v>
      </c>
      <c r="T30" s="12" t="s">
        <v>67</v>
      </c>
      <c r="U30" s="283" t="s">
        <v>68</v>
      </c>
      <c r="V30" s="10" t="s">
        <v>125</v>
      </c>
      <c r="W30" s="298">
        <v>1</v>
      </c>
      <c r="X30" s="298">
        <v>0</v>
      </c>
      <c r="Y30" s="298">
        <v>0</v>
      </c>
      <c r="Z30" s="299">
        <v>1</v>
      </c>
      <c r="AA30" s="299">
        <v>1</v>
      </c>
      <c r="AB30" s="300">
        <v>1</v>
      </c>
      <c r="AC30" s="301">
        <v>1</v>
      </c>
      <c r="AD30" s="301">
        <v>0</v>
      </c>
      <c r="AE30" s="302">
        <f t="shared" si="1"/>
        <v>0.625</v>
      </c>
      <c r="AF30" s="63">
        <v>0</v>
      </c>
      <c r="AG30" s="302"/>
      <c r="AH30" s="17">
        <v>8.5</v>
      </c>
      <c r="AI30" s="17">
        <v>0.5</v>
      </c>
      <c r="AJ30" s="17">
        <v>1</v>
      </c>
      <c r="AK30" s="127">
        <v>1.2</v>
      </c>
      <c r="AL30" s="127">
        <v>2.6</v>
      </c>
      <c r="AM30" s="147">
        <f t="shared" ref="AM30:AM31" si="5">SUM(AK30:AL30)</f>
        <v>3.8</v>
      </c>
      <c r="AN30" s="18" t="s">
        <v>67</v>
      </c>
      <c r="AO30" s="18" t="s">
        <v>68</v>
      </c>
      <c r="AP30" s="10" t="s">
        <v>126</v>
      </c>
    </row>
    <row r="31" spans="1:42" hidden="1" x14ac:dyDescent="0.3">
      <c r="A31" s="9" t="s">
        <v>30</v>
      </c>
      <c r="B31" s="10" t="s">
        <v>31</v>
      </c>
      <c r="C31" s="11" t="s">
        <v>32</v>
      </c>
      <c r="D31" s="12" t="s">
        <v>33</v>
      </c>
      <c r="E31" s="11" t="s">
        <v>34</v>
      </c>
      <c r="F31" s="12" t="s">
        <v>35</v>
      </c>
      <c r="G31" s="11" t="s">
        <v>36</v>
      </c>
      <c r="H31" s="12" t="s">
        <v>37</v>
      </c>
      <c r="I31" s="12" t="s">
        <v>120</v>
      </c>
      <c r="J31" s="12" t="s">
        <v>121</v>
      </c>
      <c r="K31" s="9" t="s">
        <v>122</v>
      </c>
      <c r="L31" s="10" t="s">
        <v>123</v>
      </c>
      <c r="M31" s="10" t="s">
        <v>127</v>
      </c>
      <c r="N31" s="15">
        <v>0</v>
      </c>
      <c r="O31" s="16">
        <v>2</v>
      </c>
      <c r="P31" s="16">
        <v>2</v>
      </c>
      <c r="Q31" s="21">
        <v>2</v>
      </c>
      <c r="R31" s="115">
        <v>2</v>
      </c>
      <c r="S31" s="115">
        <v>2</v>
      </c>
      <c r="T31" s="12" t="s">
        <v>67</v>
      </c>
      <c r="U31" s="283" t="s">
        <v>68</v>
      </c>
      <c r="V31" s="10" t="s">
        <v>128</v>
      </c>
      <c r="W31" s="298">
        <v>1</v>
      </c>
      <c r="X31" s="298">
        <v>0</v>
      </c>
      <c r="Y31" s="298">
        <v>0</v>
      </c>
      <c r="Z31" s="299">
        <v>1</v>
      </c>
      <c r="AA31" s="299">
        <v>1</v>
      </c>
      <c r="AB31" s="300">
        <v>1</v>
      </c>
      <c r="AC31" s="301">
        <v>1</v>
      </c>
      <c r="AD31" s="301">
        <v>0</v>
      </c>
      <c r="AE31" s="302">
        <f t="shared" si="1"/>
        <v>0.625</v>
      </c>
      <c r="AF31" s="63">
        <v>0</v>
      </c>
      <c r="AG31" s="302"/>
      <c r="AH31" s="17"/>
      <c r="AI31" s="17"/>
      <c r="AJ31" s="17"/>
      <c r="AK31" s="109"/>
      <c r="AL31" s="127">
        <v>4</v>
      </c>
      <c r="AM31" s="147">
        <f t="shared" si="5"/>
        <v>4</v>
      </c>
      <c r="AN31" s="18" t="s">
        <v>67</v>
      </c>
      <c r="AO31" s="18" t="s">
        <v>68</v>
      </c>
      <c r="AP31" s="10" t="s">
        <v>129</v>
      </c>
    </row>
    <row r="32" spans="1:42" hidden="1" x14ac:dyDescent="0.3">
      <c r="A32" s="9" t="s">
        <v>30</v>
      </c>
      <c r="B32" s="10" t="s">
        <v>31</v>
      </c>
      <c r="C32" s="11" t="s">
        <v>32</v>
      </c>
      <c r="D32" s="12" t="s">
        <v>33</v>
      </c>
      <c r="E32" s="11" t="s">
        <v>34</v>
      </c>
      <c r="F32" s="12" t="s">
        <v>35</v>
      </c>
      <c r="G32" s="11" t="s">
        <v>36</v>
      </c>
      <c r="H32" s="12" t="s">
        <v>37</v>
      </c>
      <c r="I32" s="12" t="s">
        <v>120</v>
      </c>
      <c r="J32" s="12" t="s">
        <v>121</v>
      </c>
      <c r="K32" s="9" t="s">
        <v>130</v>
      </c>
      <c r="L32" s="10" t="s">
        <v>131</v>
      </c>
      <c r="M32" s="10" t="s">
        <v>132</v>
      </c>
      <c r="N32" s="15">
        <v>0</v>
      </c>
      <c r="O32" s="16">
        <v>15</v>
      </c>
      <c r="P32" s="16">
        <v>40</v>
      </c>
      <c r="Q32" s="21">
        <v>35</v>
      </c>
      <c r="R32" s="115">
        <v>35</v>
      </c>
      <c r="S32" s="115">
        <v>30</v>
      </c>
      <c r="T32" s="18" t="s">
        <v>67</v>
      </c>
      <c r="U32" s="283" t="s">
        <v>68</v>
      </c>
      <c r="V32" s="10" t="s">
        <v>133</v>
      </c>
      <c r="W32" s="298">
        <v>1</v>
      </c>
      <c r="X32" s="298">
        <v>0</v>
      </c>
      <c r="Y32" s="298">
        <v>0</v>
      </c>
      <c r="Z32" s="299">
        <v>1</v>
      </c>
      <c r="AA32" s="299">
        <v>1</v>
      </c>
      <c r="AB32" s="300">
        <v>0</v>
      </c>
      <c r="AC32" s="301">
        <v>0</v>
      </c>
      <c r="AD32" s="301">
        <v>0</v>
      </c>
      <c r="AE32" s="302">
        <f t="shared" si="1"/>
        <v>0.375</v>
      </c>
      <c r="AF32" s="63">
        <v>1</v>
      </c>
      <c r="AG32" s="302"/>
      <c r="AH32" s="17">
        <v>0</v>
      </c>
      <c r="AI32" s="17">
        <v>0.1</v>
      </c>
      <c r="AJ32" s="17">
        <v>0.1</v>
      </c>
      <c r="AK32" s="109">
        <v>0.1</v>
      </c>
      <c r="AL32" s="109">
        <v>0.1</v>
      </c>
      <c r="AM32" s="17" t="e">
        <f>SUM(#REF!)</f>
        <v>#REF!</v>
      </c>
      <c r="AN32" s="18" t="s">
        <v>67</v>
      </c>
      <c r="AO32" s="18" t="s">
        <v>68</v>
      </c>
      <c r="AP32" s="10" t="s">
        <v>134</v>
      </c>
    </row>
    <row r="33" spans="1:42" x14ac:dyDescent="0.3">
      <c r="A33" s="9" t="s">
        <v>30</v>
      </c>
      <c r="B33" s="10" t="s">
        <v>31</v>
      </c>
      <c r="C33" s="11" t="s">
        <v>32</v>
      </c>
      <c r="D33" s="12" t="s">
        <v>33</v>
      </c>
      <c r="E33" s="11" t="s">
        <v>34</v>
      </c>
      <c r="F33" s="12" t="s">
        <v>35</v>
      </c>
      <c r="G33" s="11" t="s">
        <v>36</v>
      </c>
      <c r="H33" s="12" t="s">
        <v>37</v>
      </c>
      <c r="I33" s="12" t="s">
        <v>120</v>
      </c>
      <c r="J33" s="12" t="s">
        <v>121</v>
      </c>
      <c r="K33" s="9" t="s">
        <v>135</v>
      </c>
      <c r="L33" s="14" t="s">
        <v>136</v>
      </c>
      <c r="M33" s="10" t="s">
        <v>137</v>
      </c>
      <c r="N33" s="19">
        <v>500000</v>
      </c>
      <c r="O33" s="16">
        <v>500000</v>
      </c>
      <c r="P33" s="16">
        <v>500000</v>
      </c>
      <c r="Q33" s="21">
        <v>500000</v>
      </c>
      <c r="R33" s="115">
        <v>500000</v>
      </c>
      <c r="S33" s="110">
        <v>500000</v>
      </c>
      <c r="T33" s="10" t="s">
        <v>43</v>
      </c>
      <c r="U33" s="283" t="s">
        <v>45</v>
      </c>
      <c r="V33" s="10" t="s">
        <v>138</v>
      </c>
      <c r="W33" s="298">
        <v>1</v>
      </c>
      <c r="X33" s="298">
        <v>1</v>
      </c>
      <c r="Y33" s="298">
        <v>1</v>
      </c>
      <c r="Z33" s="299">
        <v>1</v>
      </c>
      <c r="AA33" s="299">
        <v>1</v>
      </c>
      <c r="AB33" s="300">
        <v>1</v>
      </c>
      <c r="AC33" s="301">
        <v>1</v>
      </c>
      <c r="AD33" s="301">
        <v>1</v>
      </c>
      <c r="AE33" s="302">
        <f t="shared" si="1"/>
        <v>1</v>
      </c>
      <c r="AF33" s="63">
        <v>0</v>
      </c>
      <c r="AG33" s="302"/>
      <c r="AH33" s="17">
        <v>1.5</v>
      </c>
      <c r="AI33" s="17">
        <v>1.5</v>
      </c>
      <c r="AJ33" s="17">
        <v>1.5</v>
      </c>
      <c r="AK33" s="109">
        <v>1.5</v>
      </c>
      <c r="AL33" s="127">
        <v>2.5</v>
      </c>
      <c r="AM33" s="147">
        <f t="shared" ref="AM33:AM34" si="6">SUM(AK33:AL33)</f>
        <v>4</v>
      </c>
      <c r="AN33" s="18" t="s">
        <v>43</v>
      </c>
      <c r="AO33" s="18" t="s">
        <v>45</v>
      </c>
      <c r="AP33" s="10" t="s">
        <v>139</v>
      </c>
    </row>
    <row r="34" spans="1:42" x14ac:dyDescent="0.3">
      <c r="A34" s="9" t="s">
        <v>30</v>
      </c>
      <c r="B34" s="10" t="s">
        <v>31</v>
      </c>
      <c r="C34" s="11" t="s">
        <v>32</v>
      </c>
      <c r="D34" s="12" t="s">
        <v>33</v>
      </c>
      <c r="E34" s="11" t="s">
        <v>34</v>
      </c>
      <c r="F34" s="12" t="s">
        <v>35</v>
      </c>
      <c r="G34" s="11" t="s">
        <v>36</v>
      </c>
      <c r="H34" s="12" t="s">
        <v>37</v>
      </c>
      <c r="I34" s="12" t="s">
        <v>120</v>
      </c>
      <c r="J34" s="12" t="s">
        <v>121</v>
      </c>
      <c r="K34" s="9" t="s">
        <v>135</v>
      </c>
      <c r="L34" s="14" t="s">
        <v>136</v>
      </c>
      <c r="M34" s="10" t="s">
        <v>140</v>
      </c>
      <c r="N34" s="19">
        <v>500000</v>
      </c>
      <c r="O34" s="16">
        <v>500000</v>
      </c>
      <c r="P34" s="16">
        <v>500000</v>
      </c>
      <c r="Q34" s="21">
        <v>500000</v>
      </c>
      <c r="R34" s="115">
        <v>500000</v>
      </c>
      <c r="S34" s="110">
        <v>500000</v>
      </c>
      <c r="T34" s="10" t="s">
        <v>43</v>
      </c>
      <c r="U34" s="283" t="s">
        <v>45</v>
      </c>
      <c r="V34" s="10" t="s">
        <v>141</v>
      </c>
      <c r="W34" s="298">
        <v>1</v>
      </c>
      <c r="X34" s="298">
        <v>1</v>
      </c>
      <c r="Y34" s="298">
        <v>1</v>
      </c>
      <c r="Z34" s="299">
        <v>1</v>
      </c>
      <c r="AA34" s="299">
        <v>1</v>
      </c>
      <c r="AB34" s="300">
        <v>1</v>
      </c>
      <c r="AC34" s="301">
        <v>1</v>
      </c>
      <c r="AD34" s="301">
        <v>1</v>
      </c>
      <c r="AE34" s="302">
        <f t="shared" si="1"/>
        <v>1</v>
      </c>
      <c r="AF34" s="63">
        <v>0</v>
      </c>
      <c r="AG34" s="302"/>
      <c r="AH34" s="17">
        <v>1.5</v>
      </c>
      <c r="AI34" s="17">
        <v>1.5</v>
      </c>
      <c r="AJ34" s="17">
        <v>1.5</v>
      </c>
      <c r="AK34" s="109">
        <v>1.5</v>
      </c>
      <c r="AL34" s="127">
        <v>2.5</v>
      </c>
      <c r="AM34" s="147">
        <f t="shared" si="6"/>
        <v>4</v>
      </c>
      <c r="AN34" s="18" t="s">
        <v>43</v>
      </c>
      <c r="AO34" s="18" t="s">
        <v>45</v>
      </c>
      <c r="AP34" s="10" t="s">
        <v>139</v>
      </c>
    </row>
    <row r="35" spans="1:42" hidden="1" x14ac:dyDescent="0.3">
      <c r="A35" s="9" t="s">
        <v>30</v>
      </c>
      <c r="B35" s="10" t="s">
        <v>31</v>
      </c>
      <c r="C35" s="11" t="s">
        <v>32</v>
      </c>
      <c r="D35" s="12" t="s">
        <v>33</v>
      </c>
      <c r="E35" s="11" t="s">
        <v>34</v>
      </c>
      <c r="F35" s="12" t="s">
        <v>35</v>
      </c>
      <c r="G35" s="11" t="s">
        <v>36</v>
      </c>
      <c r="H35" s="12" t="s">
        <v>37</v>
      </c>
      <c r="I35" s="12" t="s">
        <v>120</v>
      </c>
      <c r="J35" s="12" t="s">
        <v>121</v>
      </c>
      <c r="K35" s="12" t="s">
        <v>135</v>
      </c>
      <c r="L35" s="14" t="s">
        <v>136</v>
      </c>
      <c r="M35" s="10" t="s">
        <v>132</v>
      </c>
      <c r="N35" s="15">
        <v>0</v>
      </c>
      <c r="O35" s="16">
        <v>15</v>
      </c>
      <c r="P35" s="16">
        <v>28</v>
      </c>
      <c r="Q35" s="21">
        <v>37</v>
      </c>
      <c r="R35" s="115">
        <v>38</v>
      </c>
      <c r="S35" s="110">
        <v>37</v>
      </c>
      <c r="T35" s="10" t="s">
        <v>67</v>
      </c>
      <c r="U35" s="283" t="s">
        <v>68</v>
      </c>
      <c r="V35" s="10" t="s">
        <v>142</v>
      </c>
      <c r="W35" s="298">
        <v>1</v>
      </c>
      <c r="X35" s="298">
        <v>0</v>
      </c>
      <c r="Y35" s="298">
        <v>0</v>
      </c>
      <c r="Z35" s="299">
        <v>1</v>
      </c>
      <c r="AA35" s="299">
        <v>1</v>
      </c>
      <c r="AB35" s="300">
        <v>0</v>
      </c>
      <c r="AC35" s="301">
        <v>0</v>
      </c>
      <c r="AD35" s="301">
        <v>0</v>
      </c>
      <c r="AE35" s="302">
        <f t="shared" si="1"/>
        <v>0.375</v>
      </c>
      <c r="AF35" s="63">
        <v>0</v>
      </c>
      <c r="AG35" s="302"/>
      <c r="AH35" s="17"/>
      <c r="AI35" s="17"/>
      <c r="AJ35" s="17"/>
      <c r="AK35" s="109"/>
      <c r="AL35" s="109"/>
      <c r="AM35" s="17" t="e">
        <f>SUM(#REF!)</f>
        <v>#REF!</v>
      </c>
      <c r="AN35" s="18" t="s">
        <v>67</v>
      </c>
      <c r="AO35" s="18" t="s">
        <v>68</v>
      </c>
      <c r="AP35" s="10" t="s">
        <v>43</v>
      </c>
    </row>
    <row r="36" spans="1:42" s="300" customFormat="1" x14ac:dyDescent="0.3">
      <c r="A36" s="66" t="s">
        <v>30</v>
      </c>
      <c r="B36" s="67" t="s">
        <v>31</v>
      </c>
      <c r="C36" s="68" t="s">
        <v>32</v>
      </c>
      <c r="D36" s="69" t="s">
        <v>33</v>
      </c>
      <c r="E36" s="68" t="s">
        <v>34</v>
      </c>
      <c r="F36" s="69" t="s">
        <v>35</v>
      </c>
      <c r="G36" s="68" t="s">
        <v>36</v>
      </c>
      <c r="H36" s="69" t="s">
        <v>37</v>
      </c>
      <c r="I36" s="69" t="s">
        <v>120</v>
      </c>
      <c r="J36" s="69" t="s">
        <v>121</v>
      </c>
      <c r="K36" s="66" t="s">
        <v>135</v>
      </c>
      <c r="L36" s="99" t="s">
        <v>136</v>
      </c>
      <c r="M36" s="67" t="s">
        <v>143</v>
      </c>
      <c r="N36" s="70">
        <v>14</v>
      </c>
      <c r="O36" s="75">
        <v>8</v>
      </c>
      <c r="P36" s="75">
        <v>8</v>
      </c>
      <c r="Q36" s="75">
        <v>27</v>
      </c>
      <c r="R36" s="129">
        <v>10</v>
      </c>
      <c r="S36" s="129">
        <v>25</v>
      </c>
      <c r="T36" s="67" t="s">
        <v>67</v>
      </c>
      <c r="U36" s="300" t="s">
        <v>68</v>
      </c>
      <c r="V36" s="67" t="s">
        <v>144</v>
      </c>
      <c r="W36" s="298">
        <v>1</v>
      </c>
      <c r="X36" s="298">
        <v>1</v>
      </c>
      <c r="Y36" s="298">
        <v>1</v>
      </c>
      <c r="Z36" s="299">
        <v>1</v>
      </c>
      <c r="AA36" s="299">
        <v>1</v>
      </c>
      <c r="AB36" s="300">
        <v>1</v>
      </c>
      <c r="AC36" s="301">
        <v>1</v>
      </c>
      <c r="AD36" s="301">
        <v>1</v>
      </c>
      <c r="AE36" s="305">
        <f t="shared" si="1"/>
        <v>1</v>
      </c>
      <c r="AF36" s="63">
        <v>0</v>
      </c>
      <c r="AG36" s="305"/>
      <c r="AH36" s="73">
        <v>10.8</v>
      </c>
      <c r="AI36" s="73">
        <v>12.5</v>
      </c>
      <c r="AJ36" s="73">
        <v>13.149999999999999</v>
      </c>
      <c r="AK36" s="127">
        <v>15</v>
      </c>
      <c r="AL36" s="127">
        <v>6</v>
      </c>
      <c r="AM36" s="147">
        <f t="shared" ref="AM36:AM45" si="7">SUM(AK36:AL36)</f>
        <v>21</v>
      </c>
      <c r="AN36" s="74" t="s">
        <v>67</v>
      </c>
      <c r="AO36" s="74" t="s">
        <v>68</v>
      </c>
      <c r="AP36" s="67" t="s">
        <v>145</v>
      </c>
    </row>
    <row r="37" spans="1:42" s="300" customFormat="1" x14ac:dyDescent="0.3">
      <c r="A37" s="66" t="s">
        <v>30</v>
      </c>
      <c r="B37" s="67" t="s">
        <v>31</v>
      </c>
      <c r="C37" s="68" t="s">
        <v>32</v>
      </c>
      <c r="D37" s="69" t="s">
        <v>33</v>
      </c>
      <c r="E37" s="68" t="s">
        <v>34</v>
      </c>
      <c r="F37" s="69" t="s">
        <v>35</v>
      </c>
      <c r="G37" s="68" t="s">
        <v>36</v>
      </c>
      <c r="H37" s="69" t="s">
        <v>37</v>
      </c>
      <c r="I37" s="69" t="s">
        <v>120</v>
      </c>
      <c r="J37" s="69" t="s">
        <v>121</v>
      </c>
      <c r="K37" s="66" t="s">
        <v>135</v>
      </c>
      <c r="L37" s="99" t="s">
        <v>136</v>
      </c>
      <c r="M37" s="67" t="s">
        <v>146</v>
      </c>
      <c r="N37" s="70">
        <v>0</v>
      </c>
      <c r="O37" s="75">
        <v>10</v>
      </c>
      <c r="P37" s="75">
        <v>30</v>
      </c>
      <c r="Q37" s="75">
        <v>35</v>
      </c>
      <c r="R37" s="115">
        <v>41</v>
      </c>
      <c r="S37" s="115">
        <v>40</v>
      </c>
      <c r="T37" s="67" t="s">
        <v>67</v>
      </c>
      <c r="U37" s="300" t="s">
        <v>68</v>
      </c>
      <c r="V37" s="67" t="s">
        <v>144</v>
      </c>
      <c r="W37" s="298">
        <v>1</v>
      </c>
      <c r="X37" s="298">
        <v>1</v>
      </c>
      <c r="Y37" s="298">
        <v>1</v>
      </c>
      <c r="Z37" s="299">
        <v>1</v>
      </c>
      <c r="AA37" s="299">
        <v>1</v>
      </c>
      <c r="AB37" s="300">
        <v>1</v>
      </c>
      <c r="AC37" s="301">
        <v>1</v>
      </c>
      <c r="AD37" s="301">
        <v>1</v>
      </c>
      <c r="AE37" s="305">
        <f t="shared" si="1"/>
        <v>1</v>
      </c>
      <c r="AF37" s="63">
        <v>0</v>
      </c>
      <c r="AG37" s="305"/>
      <c r="AH37" s="73"/>
      <c r="AI37" s="73"/>
      <c r="AJ37" s="73"/>
      <c r="AK37" s="127">
        <v>0.5</v>
      </c>
      <c r="AL37" s="127">
        <v>0.2</v>
      </c>
      <c r="AM37" s="147">
        <f t="shared" si="7"/>
        <v>0.7</v>
      </c>
      <c r="AN37" s="74" t="s">
        <v>67</v>
      </c>
      <c r="AO37" s="74" t="s">
        <v>68</v>
      </c>
      <c r="AP37" s="67" t="s">
        <v>145</v>
      </c>
    </row>
    <row r="38" spans="1:42" s="300" customFormat="1" x14ac:dyDescent="0.3">
      <c r="A38" s="66" t="s">
        <v>30</v>
      </c>
      <c r="B38" s="67" t="s">
        <v>31</v>
      </c>
      <c r="C38" s="68" t="s">
        <v>32</v>
      </c>
      <c r="D38" s="69" t="s">
        <v>33</v>
      </c>
      <c r="E38" s="68" t="s">
        <v>34</v>
      </c>
      <c r="F38" s="69" t="s">
        <v>35</v>
      </c>
      <c r="G38" s="68" t="s">
        <v>36</v>
      </c>
      <c r="H38" s="69" t="s">
        <v>37</v>
      </c>
      <c r="I38" s="69" t="s">
        <v>120</v>
      </c>
      <c r="J38" s="69" t="s">
        <v>121</v>
      </c>
      <c r="K38" s="66" t="s">
        <v>135</v>
      </c>
      <c r="L38" s="99" t="s">
        <v>136</v>
      </c>
      <c r="M38" s="67" t="s">
        <v>147</v>
      </c>
      <c r="N38" s="70">
        <v>0</v>
      </c>
      <c r="O38" s="75">
        <v>15</v>
      </c>
      <c r="P38" s="75">
        <v>40</v>
      </c>
      <c r="Q38" s="75">
        <v>70</v>
      </c>
      <c r="R38" s="115">
        <v>50</v>
      </c>
      <c r="S38" s="115">
        <v>48</v>
      </c>
      <c r="T38" s="67" t="s">
        <v>67</v>
      </c>
      <c r="U38" s="300" t="s">
        <v>68</v>
      </c>
      <c r="V38" s="67" t="s">
        <v>144</v>
      </c>
      <c r="W38" s="298">
        <v>1</v>
      </c>
      <c r="X38" s="298">
        <v>1</v>
      </c>
      <c r="Y38" s="298">
        <v>1</v>
      </c>
      <c r="Z38" s="299">
        <v>1</v>
      </c>
      <c r="AA38" s="299">
        <v>1</v>
      </c>
      <c r="AB38" s="300">
        <v>1</v>
      </c>
      <c r="AC38" s="301">
        <v>1</v>
      </c>
      <c r="AD38" s="301">
        <v>1</v>
      </c>
      <c r="AE38" s="305">
        <f t="shared" si="1"/>
        <v>1</v>
      </c>
      <c r="AF38" s="63">
        <v>0</v>
      </c>
      <c r="AG38" s="305"/>
      <c r="AH38" s="73"/>
      <c r="AI38" s="73"/>
      <c r="AJ38" s="73"/>
      <c r="AK38" s="127"/>
      <c r="AL38" s="127">
        <v>0.8</v>
      </c>
      <c r="AM38" s="147">
        <f t="shared" si="7"/>
        <v>0.8</v>
      </c>
      <c r="AN38" s="74" t="s">
        <v>67</v>
      </c>
      <c r="AO38" s="74" t="s">
        <v>68</v>
      </c>
      <c r="AP38" s="67" t="s">
        <v>145</v>
      </c>
    </row>
    <row r="39" spans="1:42" s="300" customFormat="1" x14ac:dyDescent="0.3">
      <c r="A39" s="66" t="s">
        <v>30</v>
      </c>
      <c r="B39" s="67" t="s">
        <v>31</v>
      </c>
      <c r="C39" s="68" t="s">
        <v>32</v>
      </c>
      <c r="D39" s="69" t="s">
        <v>33</v>
      </c>
      <c r="E39" s="68" t="s">
        <v>34</v>
      </c>
      <c r="F39" s="69" t="s">
        <v>35</v>
      </c>
      <c r="G39" s="68" t="s">
        <v>36</v>
      </c>
      <c r="H39" s="69" t="s">
        <v>37</v>
      </c>
      <c r="I39" s="69" t="s">
        <v>120</v>
      </c>
      <c r="J39" s="69" t="s">
        <v>121</v>
      </c>
      <c r="K39" s="66" t="s">
        <v>135</v>
      </c>
      <c r="L39" s="99" t="s">
        <v>136</v>
      </c>
      <c r="M39" s="67" t="s">
        <v>148</v>
      </c>
      <c r="N39" s="70">
        <v>128</v>
      </c>
      <c r="O39" s="75">
        <v>33</v>
      </c>
      <c r="P39" s="75">
        <v>47</v>
      </c>
      <c r="Q39" s="75">
        <v>66</v>
      </c>
      <c r="R39" s="129">
        <v>63</v>
      </c>
      <c r="S39" s="129">
        <v>69</v>
      </c>
      <c r="T39" s="67" t="s">
        <v>67</v>
      </c>
      <c r="U39" s="300" t="s">
        <v>68</v>
      </c>
      <c r="V39" s="67" t="s">
        <v>144</v>
      </c>
      <c r="W39" s="298">
        <v>1</v>
      </c>
      <c r="X39" s="298">
        <v>1</v>
      </c>
      <c r="Y39" s="298">
        <v>1</v>
      </c>
      <c r="Z39" s="299">
        <v>1</v>
      </c>
      <c r="AA39" s="299">
        <v>1</v>
      </c>
      <c r="AB39" s="300">
        <v>1</v>
      </c>
      <c r="AC39" s="301">
        <v>1</v>
      </c>
      <c r="AD39" s="301">
        <v>1</v>
      </c>
      <c r="AE39" s="305">
        <f t="shared" si="1"/>
        <v>1</v>
      </c>
      <c r="AF39" s="63">
        <v>0</v>
      </c>
      <c r="AG39" s="305"/>
      <c r="AH39" s="73"/>
      <c r="AI39" s="73"/>
      <c r="AJ39" s="73"/>
      <c r="AK39" s="127">
        <v>0.4</v>
      </c>
      <c r="AL39" s="127">
        <v>0.9</v>
      </c>
      <c r="AM39" s="147">
        <f t="shared" si="7"/>
        <v>1.3</v>
      </c>
      <c r="AN39" s="74" t="s">
        <v>67</v>
      </c>
      <c r="AO39" s="74" t="s">
        <v>68</v>
      </c>
      <c r="AP39" s="67" t="s">
        <v>145</v>
      </c>
    </row>
    <row r="40" spans="1:42" s="300" customFormat="1" x14ac:dyDescent="0.3">
      <c r="A40" s="66" t="s">
        <v>30</v>
      </c>
      <c r="B40" s="67" t="s">
        <v>31</v>
      </c>
      <c r="C40" s="68" t="s">
        <v>32</v>
      </c>
      <c r="D40" s="69" t="s">
        <v>33</v>
      </c>
      <c r="E40" s="68" t="s">
        <v>34</v>
      </c>
      <c r="F40" s="69" t="s">
        <v>35</v>
      </c>
      <c r="G40" s="68" t="s">
        <v>36</v>
      </c>
      <c r="H40" s="69" t="s">
        <v>37</v>
      </c>
      <c r="I40" s="69" t="s">
        <v>120</v>
      </c>
      <c r="J40" s="69" t="s">
        <v>121</v>
      </c>
      <c r="K40" s="66" t="s">
        <v>135</v>
      </c>
      <c r="L40" s="99" t="s">
        <v>136</v>
      </c>
      <c r="M40" s="67" t="s">
        <v>149</v>
      </c>
      <c r="N40" s="70">
        <v>0</v>
      </c>
      <c r="O40" s="75">
        <v>4</v>
      </c>
      <c r="P40" s="75">
        <v>6</v>
      </c>
      <c r="Q40" s="75">
        <v>15</v>
      </c>
      <c r="R40" s="129">
        <v>10</v>
      </c>
      <c r="S40" s="129">
        <v>12</v>
      </c>
      <c r="T40" s="67" t="s">
        <v>67</v>
      </c>
      <c r="U40" s="300" t="s">
        <v>68</v>
      </c>
      <c r="V40" s="67" t="s">
        <v>144</v>
      </c>
      <c r="W40" s="298">
        <v>1</v>
      </c>
      <c r="X40" s="298">
        <v>1</v>
      </c>
      <c r="Y40" s="298">
        <v>1</v>
      </c>
      <c r="Z40" s="299">
        <v>1</v>
      </c>
      <c r="AA40" s="299">
        <v>1</v>
      </c>
      <c r="AB40" s="300">
        <v>1</v>
      </c>
      <c r="AC40" s="301">
        <v>1</v>
      </c>
      <c r="AD40" s="301">
        <v>1</v>
      </c>
      <c r="AE40" s="305">
        <f t="shared" si="1"/>
        <v>1</v>
      </c>
      <c r="AF40" s="63">
        <v>0</v>
      </c>
      <c r="AG40" s="305"/>
      <c r="AH40" s="73"/>
      <c r="AI40" s="73"/>
      <c r="AJ40" s="73"/>
      <c r="AK40" s="127">
        <v>0.3</v>
      </c>
      <c r="AL40" s="127">
        <v>0.6</v>
      </c>
      <c r="AM40" s="147">
        <f t="shared" si="7"/>
        <v>0.89999999999999991</v>
      </c>
      <c r="AN40" s="74" t="s">
        <v>67</v>
      </c>
      <c r="AO40" s="74" t="s">
        <v>68</v>
      </c>
      <c r="AP40" s="67" t="s">
        <v>145</v>
      </c>
    </row>
    <row r="41" spans="1:42" x14ac:dyDescent="0.3">
      <c r="A41" s="9" t="s">
        <v>30</v>
      </c>
      <c r="B41" s="10" t="s">
        <v>31</v>
      </c>
      <c r="C41" s="11" t="s">
        <v>32</v>
      </c>
      <c r="D41" s="12" t="s">
        <v>33</v>
      </c>
      <c r="E41" s="11" t="s">
        <v>34</v>
      </c>
      <c r="F41" s="12" t="s">
        <v>35</v>
      </c>
      <c r="G41" s="11" t="s">
        <v>36</v>
      </c>
      <c r="H41" s="12" t="s">
        <v>37</v>
      </c>
      <c r="I41" s="12" t="s">
        <v>120</v>
      </c>
      <c r="J41" s="12" t="s">
        <v>121</v>
      </c>
      <c r="K41" s="9" t="s">
        <v>135</v>
      </c>
      <c r="L41" s="14" t="s">
        <v>136</v>
      </c>
      <c r="M41" s="10" t="s">
        <v>150</v>
      </c>
      <c r="N41" s="15">
        <v>0</v>
      </c>
      <c r="O41" s="21">
        <v>1</v>
      </c>
      <c r="P41" s="21">
        <v>2</v>
      </c>
      <c r="Q41" s="21">
        <v>3</v>
      </c>
      <c r="R41" s="115">
        <v>1</v>
      </c>
      <c r="S41" s="115">
        <v>3</v>
      </c>
      <c r="T41" s="12" t="s">
        <v>151</v>
      </c>
      <c r="U41" s="283" t="s">
        <v>153</v>
      </c>
      <c r="V41" s="10" t="s">
        <v>152</v>
      </c>
      <c r="W41" s="298">
        <v>1</v>
      </c>
      <c r="X41" s="298">
        <v>1</v>
      </c>
      <c r="Y41" s="298">
        <v>1</v>
      </c>
      <c r="Z41" s="299">
        <v>1</v>
      </c>
      <c r="AA41" s="299">
        <v>1</v>
      </c>
      <c r="AB41" s="300">
        <v>1</v>
      </c>
      <c r="AC41" s="301">
        <v>1</v>
      </c>
      <c r="AD41" s="301">
        <v>0</v>
      </c>
      <c r="AE41" s="302">
        <f t="shared" si="1"/>
        <v>0.875</v>
      </c>
      <c r="AF41" s="63">
        <v>0</v>
      </c>
      <c r="AG41" s="302"/>
      <c r="AH41" s="17">
        <v>2</v>
      </c>
      <c r="AI41" s="17">
        <v>2.5</v>
      </c>
      <c r="AJ41" s="17">
        <v>2.5</v>
      </c>
      <c r="AK41" s="127">
        <v>3.5</v>
      </c>
      <c r="AL41" s="127">
        <v>4.5</v>
      </c>
      <c r="AM41" s="147">
        <f t="shared" si="7"/>
        <v>8</v>
      </c>
      <c r="AN41" s="18" t="s">
        <v>151</v>
      </c>
      <c r="AO41" s="18" t="s">
        <v>153</v>
      </c>
      <c r="AP41" s="10" t="s">
        <v>154</v>
      </c>
    </row>
    <row r="42" spans="1:42" x14ac:dyDescent="0.3">
      <c r="A42" s="9" t="s">
        <v>30</v>
      </c>
      <c r="B42" s="10" t="s">
        <v>31</v>
      </c>
      <c r="C42" s="11" t="s">
        <v>32</v>
      </c>
      <c r="D42" s="12" t="s">
        <v>33</v>
      </c>
      <c r="E42" s="11" t="s">
        <v>34</v>
      </c>
      <c r="F42" s="12" t="s">
        <v>35</v>
      </c>
      <c r="G42" s="11" t="s">
        <v>36</v>
      </c>
      <c r="H42" s="12" t="s">
        <v>37</v>
      </c>
      <c r="I42" s="12" t="s">
        <v>120</v>
      </c>
      <c r="J42" s="12" t="s">
        <v>121</v>
      </c>
      <c r="K42" s="9" t="s">
        <v>135</v>
      </c>
      <c r="L42" s="14" t="s">
        <v>136</v>
      </c>
      <c r="M42" s="12" t="s">
        <v>155</v>
      </c>
      <c r="N42" s="15">
        <v>0</v>
      </c>
      <c r="O42" s="17">
        <v>0</v>
      </c>
      <c r="P42" s="21"/>
      <c r="Q42" s="21">
        <v>5</v>
      </c>
      <c r="R42" s="115"/>
      <c r="S42" s="129">
        <v>5</v>
      </c>
      <c r="T42" s="12" t="s">
        <v>156</v>
      </c>
      <c r="U42" s="283" t="s">
        <v>158</v>
      </c>
      <c r="V42" s="10" t="s">
        <v>157</v>
      </c>
      <c r="W42" s="298">
        <v>1</v>
      </c>
      <c r="X42" s="298">
        <v>1</v>
      </c>
      <c r="Y42" s="298">
        <v>1</v>
      </c>
      <c r="Z42" s="299">
        <v>1</v>
      </c>
      <c r="AA42" s="299">
        <v>1</v>
      </c>
      <c r="AB42" s="300">
        <v>1</v>
      </c>
      <c r="AC42" s="301">
        <v>0</v>
      </c>
      <c r="AD42" s="301">
        <v>0</v>
      </c>
      <c r="AE42" s="302">
        <f t="shared" si="1"/>
        <v>0.75</v>
      </c>
      <c r="AF42" s="63">
        <v>0</v>
      </c>
      <c r="AG42" s="302"/>
      <c r="AH42" s="17">
        <v>0</v>
      </c>
      <c r="AI42" s="17">
        <v>4.5</v>
      </c>
      <c r="AJ42" s="17">
        <v>5.5</v>
      </c>
      <c r="AK42" s="127">
        <v>3</v>
      </c>
      <c r="AL42" s="127">
        <v>4.0999999999999996</v>
      </c>
      <c r="AM42" s="147">
        <f t="shared" si="7"/>
        <v>7.1</v>
      </c>
      <c r="AN42" s="18" t="s">
        <v>156</v>
      </c>
      <c r="AO42" s="18" t="s">
        <v>158</v>
      </c>
      <c r="AP42" s="10" t="s">
        <v>159</v>
      </c>
    </row>
    <row r="43" spans="1:42" x14ac:dyDescent="0.3">
      <c r="A43" s="9" t="s">
        <v>30</v>
      </c>
      <c r="B43" s="10" t="s">
        <v>31</v>
      </c>
      <c r="C43" s="11" t="s">
        <v>32</v>
      </c>
      <c r="D43" s="12" t="s">
        <v>33</v>
      </c>
      <c r="E43" s="11" t="s">
        <v>34</v>
      </c>
      <c r="F43" s="12" t="s">
        <v>35</v>
      </c>
      <c r="G43" s="11" t="s">
        <v>36</v>
      </c>
      <c r="H43" s="12" t="s">
        <v>37</v>
      </c>
      <c r="I43" s="12" t="s">
        <v>120</v>
      </c>
      <c r="J43" s="12" t="s">
        <v>121</v>
      </c>
      <c r="K43" s="12" t="s">
        <v>135</v>
      </c>
      <c r="L43" s="14" t="s">
        <v>136</v>
      </c>
      <c r="M43" s="12" t="s">
        <v>160</v>
      </c>
      <c r="N43" s="15">
        <v>0</v>
      </c>
      <c r="O43" s="15">
        <v>5</v>
      </c>
      <c r="P43" s="24">
        <v>10</v>
      </c>
      <c r="Q43" s="24">
        <v>12</v>
      </c>
      <c r="R43" s="116">
        <v>9</v>
      </c>
      <c r="S43" s="116">
        <v>12</v>
      </c>
      <c r="T43" s="25" t="s">
        <v>43</v>
      </c>
      <c r="U43" s="283" t="s">
        <v>45</v>
      </c>
      <c r="V43" s="10" t="s">
        <v>1499</v>
      </c>
      <c r="W43" s="298">
        <v>1</v>
      </c>
      <c r="X43" s="298">
        <v>1</v>
      </c>
      <c r="Y43" s="298">
        <v>1</v>
      </c>
      <c r="Z43" s="299">
        <v>1</v>
      </c>
      <c r="AA43" s="299">
        <v>1</v>
      </c>
      <c r="AB43" s="300">
        <v>0</v>
      </c>
      <c r="AC43" s="301">
        <v>1</v>
      </c>
      <c r="AD43" s="301">
        <v>1</v>
      </c>
      <c r="AE43" s="302">
        <f t="shared" si="1"/>
        <v>0.875</v>
      </c>
      <c r="AF43" s="63">
        <v>0</v>
      </c>
      <c r="AG43" s="302"/>
      <c r="AH43" s="17"/>
      <c r="AI43" s="17"/>
      <c r="AJ43" s="17"/>
      <c r="AK43" s="127">
        <v>0.5</v>
      </c>
      <c r="AL43" s="127">
        <v>0.5</v>
      </c>
      <c r="AM43" s="147">
        <f t="shared" si="7"/>
        <v>1</v>
      </c>
      <c r="AN43" s="18" t="s">
        <v>43</v>
      </c>
      <c r="AO43" s="18" t="s">
        <v>45</v>
      </c>
      <c r="AP43" s="10" t="s">
        <v>161</v>
      </c>
    </row>
    <row r="44" spans="1:42" hidden="1" x14ac:dyDescent="0.3">
      <c r="A44" s="9" t="s">
        <v>30</v>
      </c>
      <c r="B44" s="10" t="s">
        <v>31</v>
      </c>
      <c r="C44" s="11" t="s">
        <v>32</v>
      </c>
      <c r="D44" s="12" t="s">
        <v>33</v>
      </c>
      <c r="E44" s="11" t="s">
        <v>34</v>
      </c>
      <c r="F44" s="12" t="s">
        <v>35</v>
      </c>
      <c r="G44" s="11" t="s">
        <v>36</v>
      </c>
      <c r="H44" s="12" t="s">
        <v>37</v>
      </c>
      <c r="I44" s="12" t="s">
        <v>120</v>
      </c>
      <c r="J44" s="12" t="s">
        <v>121</v>
      </c>
      <c r="K44" s="13" t="s">
        <v>162</v>
      </c>
      <c r="L44" s="14" t="s">
        <v>163</v>
      </c>
      <c r="M44" s="10" t="s">
        <v>164</v>
      </c>
      <c r="N44" s="15">
        <v>0</v>
      </c>
      <c r="O44" s="16">
        <v>2</v>
      </c>
      <c r="P44" s="16">
        <v>5</v>
      </c>
      <c r="Q44" s="21">
        <v>5</v>
      </c>
      <c r="R44" s="129">
        <v>4</v>
      </c>
      <c r="S44" s="129">
        <v>5</v>
      </c>
      <c r="T44" s="12" t="s">
        <v>67</v>
      </c>
      <c r="U44" s="283" t="s">
        <v>68</v>
      </c>
      <c r="V44" s="10" t="s">
        <v>165</v>
      </c>
      <c r="W44" s="298">
        <v>1</v>
      </c>
      <c r="X44" s="298">
        <v>0</v>
      </c>
      <c r="Y44" s="298">
        <v>0</v>
      </c>
      <c r="Z44" s="299">
        <v>1</v>
      </c>
      <c r="AA44" s="299">
        <v>1</v>
      </c>
      <c r="AB44" s="300">
        <v>1</v>
      </c>
      <c r="AC44" s="301">
        <v>0</v>
      </c>
      <c r="AD44" s="301">
        <v>1</v>
      </c>
      <c r="AE44" s="302">
        <f t="shared" si="1"/>
        <v>0.625</v>
      </c>
      <c r="AF44" s="63">
        <v>0</v>
      </c>
      <c r="AG44" s="302"/>
      <c r="AH44" s="17">
        <v>24.5</v>
      </c>
      <c r="AI44" s="17">
        <v>24.5</v>
      </c>
      <c r="AJ44" s="17">
        <v>15.67</v>
      </c>
      <c r="AK44" s="127">
        <v>10</v>
      </c>
      <c r="AL44" s="127">
        <v>17</v>
      </c>
      <c r="AM44" s="147">
        <f t="shared" si="7"/>
        <v>27</v>
      </c>
      <c r="AN44" s="18" t="s">
        <v>67</v>
      </c>
      <c r="AO44" s="18" t="s">
        <v>68</v>
      </c>
      <c r="AP44" s="10" t="s">
        <v>166</v>
      </c>
    </row>
    <row r="45" spans="1:42" hidden="1" x14ac:dyDescent="0.3">
      <c r="A45" s="9" t="s">
        <v>30</v>
      </c>
      <c r="B45" s="10" t="s">
        <v>31</v>
      </c>
      <c r="C45" s="11" t="s">
        <v>32</v>
      </c>
      <c r="D45" s="12" t="s">
        <v>33</v>
      </c>
      <c r="E45" s="11" t="s">
        <v>34</v>
      </c>
      <c r="F45" s="12" t="s">
        <v>35</v>
      </c>
      <c r="G45" s="11" t="s">
        <v>36</v>
      </c>
      <c r="H45" s="12" t="s">
        <v>37</v>
      </c>
      <c r="I45" s="12" t="s">
        <v>120</v>
      </c>
      <c r="J45" s="12" t="s">
        <v>121</v>
      </c>
      <c r="K45" s="13" t="s">
        <v>162</v>
      </c>
      <c r="L45" s="14" t="s">
        <v>163</v>
      </c>
      <c r="M45" s="10" t="s">
        <v>167</v>
      </c>
      <c r="N45" s="15">
        <v>1500</v>
      </c>
      <c r="O45" s="26">
        <v>2000</v>
      </c>
      <c r="P45" s="26">
        <v>2270</v>
      </c>
      <c r="Q45" s="27">
        <v>2120</v>
      </c>
      <c r="R45" s="117">
        <v>1810</v>
      </c>
      <c r="S45" s="117">
        <v>1922</v>
      </c>
      <c r="T45" s="28" t="s">
        <v>67</v>
      </c>
      <c r="U45" s="283" t="s">
        <v>68</v>
      </c>
      <c r="V45" s="10" t="s">
        <v>165</v>
      </c>
      <c r="W45" s="298">
        <v>1</v>
      </c>
      <c r="X45" s="298">
        <v>0</v>
      </c>
      <c r="Y45" s="298">
        <v>0</v>
      </c>
      <c r="Z45" s="299">
        <v>1</v>
      </c>
      <c r="AA45" s="299">
        <v>1</v>
      </c>
      <c r="AB45" s="300">
        <v>1</v>
      </c>
      <c r="AC45" s="301">
        <v>0</v>
      </c>
      <c r="AD45" s="301">
        <v>1</v>
      </c>
      <c r="AE45" s="302">
        <f t="shared" si="1"/>
        <v>0.625</v>
      </c>
      <c r="AF45" s="63">
        <v>0</v>
      </c>
      <c r="AG45" s="302"/>
      <c r="AH45" s="17"/>
      <c r="AI45" s="17"/>
      <c r="AJ45" s="17"/>
      <c r="AK45" s="109"/>
      <c r="AL45" s="127">
        <v>1.8</v>
      </c>
      <c r="AM45" s="147">
        <f t="shared" si="7"/>
        <v>1.8</v>
      </c>
      <c r="AN45" s="18" t="s">
        <v>67</v>
      </c>
      <c r="AO45" s="18" t="s">
        <v>68</v>
      </c>
      <c r="AP45" s="10" t="s">
        <v>166</v>
      </c>
    </row>
    <row r="46" spans="1:42" hidden="1" x14ac:dyDescent="0.3">
      <c r="A46" s="9" t="s">
        <v>30</v>
      </c>
      <c r="B46" s="10" t="s">
        <v>31</v>
      </c>
      <c r="C46" s="11" t="s">
        <v>32</v>
      </c>
      <c r="D46" s="12" t="s">
        <v>33</v>
      </c>
      <c r="E46" s="11" t="s">
        <v>34</v>
      </c>
      <c r="F46" s="12" t="s">
        <v>35</v>
      </c>
      <c r="G46" s="11" t="s">
        <v>36</v>
      </c>
      <c r="H46" s="12" t="s">
        <v>37</v>
      </c>
      <c r="I46" s="12" t="s">
        <v>120</v>
      </c>
      <c r="J46" s="12" t="s">
        <v>121</v>
      </c>
      <c r="K46" s="13" t="s">
        <v>168</v>
      </c>
      <c r="L46" s="14" t="s">
        <v>169</v>
      </c>
      <c r="M46" s="10" t="s">
        <v>170</v>
      </c>
      <c r="N46" s="15">
        <v>0</v>
      </c>
      <c r="O46" s="17">
        <v>0</v>
      </c>
      <c r="P46" s="16"/>
      <c r="Q46" s="16">
        <v>1</v>
      </c>
      <c r="R46" s="110">
        <v>1</v>
      </c>
      <c r="S46" s="110"/>
      <c r="T46" s="10" t="s">
        <v>43</v>
      </c>
      <c r="U46" s="283" t="s">
        <v>45</v>
      </c>
      <c r="V46" s="10" t="s">
        <v>171</v>
      </c>
      <c r="W46" s="298">
        <v>1</v>
      </c>
      <c r="X46" s="298">
        <v>0</v>
      </c>
      <c r="Y46" s="298">
        <v>0</v>
      </c>
      <c r="Z46" s="299">
        <v>1</v>
      </c>
      <c r="AA46" s="299">
        <v>1</v>
      </c>
      <c r="AB46" s="300">
        <v>1</v>
      </c>
      <c r="AC46" s="301">
        <v>0</v>
      </c>
      <c r="AD46" s="301">
        <v>0</v>
      </c>
      <c r="AE46" s="302">
        <f t="shared" si="1"/>
        <v>0.5</v>
      </c>
      <c r="AF46" s="63">
        <v>0</v>
      </c>
      <c r="AG46" s="302"/>
      <c r="AH46" s="17">
        <v>10</v>
      </c>
      <c r="AI46" s="17">
        <v>5</v>
      </c>
      <c r="AJ46" s="17">
        <v>5</v>
      </c>
      <c r="AK46" s="109"/>
      <c r="AL46" s="109"/>
      <c r="AM46" s="17" t="e">
        <f>SUM(#REF!)</f>
        <v>#REF!</v>
      </c>
      <c r="AN46" s="18" t="s">
        <v>67</v>
      </c>
      <c r="AO46" s="18" t="s">
        <v>68</v>
      </c>
      <c r="AP46" s="10" t="s">
        <v>172</v>
      </c>
    </row>
    <row r="47" spans="1:42" hidden="1" x14ac:dyDescent="0.3">
      <c r="A47" s="9" t="s">
        <v>30</v>
      </c>
      <c r="B47" s="10" t="s">
        <v>31</v>
      </c>
      <c r="C47" s="11" t="s">
        <v>32</v>
      </c>
      <c r="D47" s="12" t="s">
        <v>33</v>
      </c>
      <c r="E47" s="11" t="s">
        <v>34</v>
      </c>
      <c r="F47" s="12" t="s">
        <v>35</v>
      </c>
      <c r="G47" s="11" t="s">
        <v>36</v>
      </c>
      <c r="H47" s="12" t="s">
        <v>37</v>
      </c>
      <c r="I47" s="12" t="s">
        <v>120</v>
      </c>
      <c r="J47" s="12" t="s">
        <v>121</v>
      </c>
      <c r="K47" s="13" t="s">
        <v>173</v>
      </c>
      <c r="L47" s="14" t="s">
        <v>174</v>
      </c>
      <c r="M47" s="10" t="s">
        <v>175</v>
      </c>
      <c r="N47" s="15">
        <v>0</v>
      </c>
      <c r="O47" s="17">
        <v>0</v>
      </c>
      <c r="P47" s="16">
        <v>1</v>
      </c>
      <c r="Q47" s="21">
        <v>3</v>
      </c>
      <c r="R47" s="115">
        <v>2</v>
      </c>
      <c r="S47" s="115">
        <v>1</v>
      </c>
      <c r="T47" s="12" t="s">
        <v>101</v>
      </c>
      <c r="U47" s="283" t="s">
        <v>103</v>
      </c>
      <c r="V47" s="10" t="s">
        <v>176</v>
      </c>
      <c r="W47" s="298">
        <v>1</v>
      </c>
      <c r="X47" s="298">
        <v>0</v>
      </c>
      <c r="Y47" s="298">
        <v>0</v>
      </c>
      <c r="Z47" s="299">
        <v>1</v>
      </c>
      <c r="AA47" s="299">
        <v>1</v>
      </c>
      <c r="AB47" s="300">
        <v>0</v>
      </c>
      <c r="AC47" s="301">
        <v>0</v>
      </c>
      <c r="AD47" s="301">
        <v>0</v>
      </c>
      <c r="AE47" s="302">
        <f t="shared" si="1"/>
        <v>0.375</v>
      </c>
      <c r="AF47" s="63">
        <v>0</v>
      </c>
      <c r="AG47" s="302"/>
      <c r="AH47" s="17">
        <v>12.5</v>
      </c>
      <c r="AI47" s="17">
        <v>5.5</v>
      </c>
      <c r="AJ47" s="17">
        <v>22.83</v>
      </c>
      <c r="AK47" s="109"/>
      <c r="AL47" s="109"/>
      <c r="AM47" s="17" t="e">
        <f>SUM(#REF!)</f>
        <v>#REF!</v>
      </c>
      <c r="AN47" s="18" t="s">
        <v>101</v>
      </c>
      <c r="AO47" s="18" t="s">
        <v>103</v>
      </c>
      <c r="AP47" s="10" t="s">
        <v>177</v>
      </c>
    </row>
    <row r="48" spans="1:42" hidden="1" x14ac:dyDescent="0.3">
      <c r="A48" s="9" t="s">
        <v>30</v>
      </c>
      <c r="B48" s="10" t="s">
        <v>31</v>
      </c>
      <c r="C48" s="11" t="s">
        <v>32</v>
      </c>
      <c r="D48" s="12" t="s">
        <v>33</v>
      </c>
      <c r="E48" s="11" t="s">
        <v>34</v>
      </c>
      <c r="F48" s="12" t="s">
        <v>35</v>
      </c>
      <c r="G48" s="11" t="s">
        <v>36</v>
      </c>
      <c r="H48" s="12" t="s">
        <v>37</v>
      </c>
      <c r="I48" s="12" t="s">
        <v>120</v>
      </c>
      <c r="J48" s="12" t="s">
        <v>121</v>
      </c>
      <c r="K48" s="13" t="s">
        <v>173</v>
      </c>
      <c r="L48" s="14" t="s">
        <v>174</v>
      </c>
      <c r="M48" s="10" t="s">
        <v>178</v>
      </c>
      <c r="N48" s="15">
        <v>0</v>
      </c>
      <c r="O48" s="16">
        <v>3</v>
      </c>
      <c r="P48" s="16">
        <v>6</v>
      </c>
      <c r="Q48" s="21">
        <v>6</v>
      </c>
      <c r="R48" s="115">
        <v>6</v>
      </c>
      <c r="S48" s="115">
        <v>7</v>
      </c>
      <c r="T48" s="12" t="s">
        <v>101</v>
      </c>
      <c r="U48" s="283" t="s">
        <v>103</v>
      </c>
      <c r="V48" s="10" t="s">
        <v>176</v>
      </c>
      <c r="W48" s="298">
        <v>1</v>
      </c>
      <c r="X48" s="298">
        <v>0</v>
      </c>
      <c r="Y48" s="298">
        <v>0</v>
      </c>
      <c r="Z48" s="299">
        <v>1</v>
      </c>
      <c r="AA48" s="299">
        <v>1</v>
      </c>
      <c r="AB48" s="300">
        <v>0</v>
      </c>
      <c r="AC48" s="301">
        <v>0</v>
      </c>
      <c r="AD48" s="301">
        <v>0</v>
      </c>
      <c r="AE48" s="302">
        <f t="shared" si="1"/>
        <v>0.375</v>
      </c>
      <c r="AF48" s="63">
        <v>0</v>
      </c>
      <c r="AG48" s="302"/>
      <c r="AH48" s="17"/>
      <c r="AI48" s="17"/>
      <c r="AJ48" s="17"/>
      <c r="AK48" s="109"/>
      <c r="AL48" s="109"/>
      <c r="AM48" s="17" t="e">
        <f>SUM(#REF!)</f>
        <v>#REF!</v>
      </c>
      <c r="AN48" s="18" t="s">
        <v>101</v>
      </c>
      <c r="AO48" s="18" t="s">
        <v>103</v>
      </c>
      <c r="AP48" s="10" t="s">
        <v>177</v>
      </c>
    </row>
    <row r="49" spans="1:42" x14ac:dyDescent="0.3">
      <c r="A49" s="9" t="s">
        <v>30</v>
      </c>
      <c r="B49" s="10" t="s">
        <v>31</v>
      </c>
      <c r="C49" s="11" t="s">
        <v>32</v>
      </c>
      <c r="D49" s="12" t="s">
        <v>33</v>
      </c>
      <c r="E49" s="11" t="s">
        <v>34</v>
      </c>
      <c r="F49" s="12" t="s">
        <v>35</v>
      </c>
      <c r="G49" s="11" t="s">
        <v>36</v>
      </c>
      <c r="H49" s="12" t="s">
        <v>37</v>
      </c>
      <c r="I49" s="12" t="s">
        <v>120</v>
      </c>
      <c r="J49" s="12" t="s">
        <v>121</v>
      </c>
      <c r="K49" s="13" t="s">
        <v>173</v>
      </c>
      <c r="L49" s="14" t="s">
        <v>174</v>
      </c>
      <c r="M49" s="10" t="s">
        <v>179</v>
      </c>
      <c r="N49" s="15">
        <v>0</v>
      </c>
      <c r="O49" s="29">
        <v>5</v>
      </c>
      <c r="P49" s="29">
        <v>10</v>
      </c>
      <c r="Q49" s="29">
        <v>15</v>
      </c>
      <c r="R49" s="130">
        <v>7</v>
      </c>
      <c r="S49" s="130">
        <v>8</v>
      </c>
      <c r="T49" s="12" t="s">
        <v>180</v>
      </c>
      <c r="U49" s="283" t="s">
        <v>182</v>
      </c>
      <c r="V49" s="10" t="s">
        <v>181</v>
      </c>
      <c r="W49" s="298">
        <v>1</v>
      </c>
      <c r="X49" s="298">
        <v>1</v>
      </c>
      <c r="Y49" s="298">
        <v>1</v>
      </c>
      <c r="Z49" s="299">
        <v>1</v>
      </c>
      <c r="AA49" s="299">
        <v>1</v>
      </c>
      <c r="AB49" s="300">
        <v>1</v>
      </c>
      <c r="AC49" s="301">
        <v>1</v>
      </c>
      <c r="AD49" s="301">
        <v>1</v>
      </c>
      <c r="AE49" s="302">
        <f t="shared" si="1"/>
        <v>1</v>
      </c>
      <c r="AF49" s="63">
        <v>0</v>
      </c>
      <c r="AG49" s="302"/>
      <c r="AH49" s="17">
        <v>10</v>
      </c>
      <c r="AI49" s="17">
        <v>12</v>
      </c>
      <c r="AJ49" s="17">
        <v>12.5</v>
      </c>
      <c r="AK49" s="127">
        <v>7</v>
      </c>
      <c r="AL49" s="127">
        <v>8</v>
      </c>
      <c r="AM49" s="147">
        <f t="shared" ref="AM49:AM51" si="8">SUM(AK49:AL49)</f>
        <v>15</v>
      </c>
      <c r="AN49" s="18" t="s">
        <v>180</v>
      </c>
      <c r="AO49" s="18" t="s">
        <v>182</v>
      </c>
      <c r="AP49" s="10" t="s">
        <v>183</v>
      </c>
    </row>
    <row r="50" spans="1:42" x14ac:dyDescent="0.3">
      <c r="A50" s="9" t="s">
        <v>30</v>
      </c>
      <c r="B50" s="10" t="s">
        <v>31</v>
      </c>
      <c r="C50" s="11" t="s">
        <v>32</v>
      </c>
      <c r="D50" s="12" t="s">
        <v>33</v>
      </c>
      <c r="E50" s="11" t="s">
        <v>34</v>
      </c>
      <c r="F50" s="12" t="s">
        <v>35</v>
      </c>
      <c r="G50" s="11" t="s">
        <v>36</v>
      </c>
      <c r="H50" s="12" t="s">
        <v>37</v>
      </c>
      <c r="I50" s="12" t="s">
        <v>120</v>
      </c>
      <c r="J50" s="12" t="s">
        <v>121</v>
      </c>
      <c r="K50" s="13" t="s">
        <v>173</v>
      </c>
      <c r="L50" s="14" t="s">
        <v>174</v>
      </c>
      <c r="M50" s="10" t="s">
        <v>184</v>
      </c>
      <c r="N50" s="15">
        <v>200</v>
      </c>
      <c r="O50" s="29">
        <v>700</v>
      </c>
      <c r="P50" s="29">
        <v>1200</v>
      </c>
      <c r="Q50" s="29">
        <v>1700</v>
      </c>
      <c r="R50" s="130">
        <v>1200</v>
      </c>
      <c r="S50" s="130">
        <v>1500</v>
      </c>
      <c r="T50" s="12" t="s">
        <v>156</v>
      </c>
      <c r="U50" s="283" t="s">
        <v>158</v>
      </c>
      <c r="V50" s="10" t="s">
        <v>185</v>
      </c>
      <c r="W50" s="298">
        <v>1</v>
      </c>
      <c r="X50" s="298">
        <v>1</v>
      </c>
      <c r="Y50" s="298">
        <v>1</v>
      </c>
      <c r="Z50" s="299">
        <v>1</v>
      </c>
      <c r="AA50" s="299">
        <v>1</v>
      </c>
      <c r="AB50" s="300">
        <v>1</v>
      </c>
      <c r="AC50" s="301">
        <v>1</v>
      </c>
      <c r="AD50" s="301">
        <v>1</v>
      </c>
      <c r="AE50" s="302">
        <f t="shared" si="1"/>
        <v>1</v>
      </c>
      <c r="AF50" s="63">
        <v>0</v>
      </c>
      <c r="AG50" s="302"/>
      <c r="AH50" s="17">
        <v>3.5</v>
      </c>
      <c r="AI50" s="17">
        <v>5.2</v>
      </c>
      <c r="AJ50" s="17">
        <v>5.6</v>
      </c>
      <c r="AK50" s="127">
        <v>4</v>
      </c>
      <c r="AL50" s="127">
        <v>5.7</v>
      </c>
      <c r="AM50" s="147">
        <f t="shared" si="8"/>
        <v>9.6999999999999993</v>
      </c>
      <c r="AN50" s="18" t="s">
        <v>156</v>
      </c>
      <c r="AO50" s="18" t="s">
        <v>158</v>
      </c>
      <c r="AP50" s="10" t="s">
        <v>186</v>
      </c>
    </row>
    <row r="51" spans="1:42" x14ac:dyDescent="0.3">
      <c r="A51" s="9" t="s">
        <v>30</v>
      </c>
      <c r="B51" s="10" t="s">
        <v>31</v>
      </c>
      <c r="C51" s="11" t="s">
        <v>32</v>
      </c>
      <c r="D51" s="12" t="s">
        <v>33</v>
      </c>
      <c r="E51" s="11" t="s">
        <v>34</v>
      </c>
      <c r="F51" s="12" t="s">
        <v>35</v>
      </c>
      <c r="G51" s="11" t="s">
        <v>36</v>
      </c>
      <c r="H51" s="12" t="s">
        <v>37</v>
      </c>
      <c r="I51" s="12" t="s">
        <v>187</v>
      </c>
      <c r="J51" s="12" t="s">
        <v>188</v>
      </c>
      <c r="K51" s="13" t="s">
        <v>189</v>
      </c>
      <c r="L51" s="14" t="s">
        <v>190</v>
      </c>
      <c r="M51" s="10" t="s">
        <v>191</v>
      </c>
      <c r="N51" s="15">
        <v>128</v>
      </c>
      <c r="O51" s="21">
        <v>33</v>
      </c>
      <c r="P51" s="16">
        <v>47</v>
      </c>
      <c r="Q51" s="16">
        <v>66</v>
      </c>
      <c r="R51" s="110">
        <v>69</v>
      </c>
      <c r="S51" s="110">
        <v>63</v>
      </c>
      <c r="T51" s="10" t="s">
        <v>92</v>
      </c>
      <c r="U51" s="283" t="s">
        <v>118</v>
      </c>
      <c r="V51" s="10" t="s">
        <v>192</v>
      </c>
      <c r="W51" s="298">
        <v>1</v>
      </c>
      <c r="X51" s="298">
        <v>1</v>
      </c>
      <c r="Y51" s="298">
        <v>1</v>
      </c>
      <c r="Z51" s="299">
        <v>1</v>
      </c>
      <c r="AA51" s="299">
        <v>1</v>
      </c>
      <c r="AB51" s="300">
        <v>1</v>
      </c>
      <c r="AC51" s="301">
        <v>1</v>
      </c>
      <c r="AD51" s="301">
        <v>0</v>
      </c>
      <c r="AE51" s="302">
        <f t="shared" si="1"/>
        <v>0.875</v>
      </c>
      <c r="AF51" s="63">
        <v>0</v>
      </c>
      <c r="AG51" s="302">
        <f ca="1">COUNTIF(W:AG,AE51)</f>
        <v>0</v>
      </c>
      <c r="AH51" s="17">
        <v>0</v>
      </c>
      <c r="AI51" s="17">
        <v>1</v>
      </c>
      <c r="AJ51" s="17">
        <v>1</v>
      </c>
      <c r="AK51" s="109">
        <v>1</v>
      </c>
      <c r="AL51" s="109">
        <v>1</v>
      </c>
      <c r="AM51" s="147">
        <f t="shared" si="8"/>
        <v>2</v>
      </c>
      <c r="AN51" s="18" t="s">
        <v>92</v>
      </c>
      <c r="AO51" s="18" t="s">
        <v>118</v>
      </c>
      <c r="AP51" s="12" t="s">
        <v>193</v>
      </c>
    </row>
    <row r="52" spans="1:42" hidden="1" x14ac:dyDescent="0.3">
      <c r="A52" s="9" t="s">
        <v>30</v>
      </c>
      <c r="B52" s="10" t="s">
        <v>31</v>
      </c>
      <c r="C52" s="11" t="s">
        <v>32</v>
      </c>
      <c r="D52" s="12" t="s">
        <v>33</v>
      </c>
      <c r="E52" s="11" t="s">
        <v>34</v>
      </c>
      <c r="F52" s="12" t="s">
        <v>35</v>
      </c>
      <c r="G52" s="11" t="s">
        <v>36</v>
      </c>
      <c r="H52" s="12" t="s">
        <v>37</v>
      </c>
      <c r="I52" s="12" t="s">
        <v>187</v>
      </c>
      <c r="J52" s="12" t="s">
        <v>188</v>
      </c>
      <c r="K52" s="13" t="s">
        <v>189</v>
      </c>
      <c r="L52" s="14" t="s">
        <v>190</v>
      </c>
      <c r="M52" s="10" t="s">
        <v>194</v>
      </c>
      <c r="N52" s="15">
        <v>0</v>
      </c>
      <c r="O52" s="21">
        <v>29</v>
      </c>
      <c r="P52" s="16">
        <v>29</v>
      </c>
      <c r="Q52" s="16">
        <v>29</v>
      </c>
      <c r="R52" s="110">
        <v>29</v>
      </c>
      <c r="S52" s="110">
        <v>28</v>
      </c>
      <c r="T52" s="10" t="s">
        <v>67</v>
      </c>
      <c r="U52" s="283" t="s">
        <v>68</v>
      </c>
      <c r="V52" s="10" t="s">
        <v>195</v>
      </c>
      <c r="W52" s="298">
        <v>1</v>
      </c>
      <c r="X52" s="298">
        <v>0</v>
      </c>
      <c r="Y52" s="298">
        <v>0</v>
      </c>
      <c r="Z52" s="299">
        <v>1</v>
      </c>
      <c r="AA52" s="299">
        <v>1</v>
      </c>
      <c r="AB52" s="300">
        <v>0</v>
      </c>
      <c r="AC52" s="301">
        <v>1</v>
      </c>
      <c r="AD52" s="301">
        <v>0</v>
      </c>
      <c r="AE52" s="302">
        <f t="shared" si="1"/>
        <v>0.5</v>
      </c>
      <c r="AF52" s="63">
        <v>0</v>
      </c>
      <c r="AG52" s="302"/>
      <c r="AH52" s="17"/>
      <c r="AI52" s="17"/>
      <c r="AJ52" s="17"/>
      <c r="AK52" s="109"/>
      <c r="AL52" s="109"/>
      <c r="AM52" s="17" t="e">
        <f>SUM(#REF!)</f>
        <v>#REF!</v>
      </c>
      <c r="AN52" s="18" t="s">
        <v>67</v>
      </c>
      <c r="AO52" s="18" t="s">
        <v>68</v>
      </c>
      <c r="AP52" s="12"/>
    </row>
    <row r="53" spans="1:42" x14ac:dyDescent="0.3">
      <c r="A53" s="9" t="s">
        <v>30</v>
      </c>
      <c r="B53" s="10" t="s">
        <v>31</v>
      </c>
      <c r="C53" s="11" t="s">
        <v>32</v>
      </c>
      <c r="D53" s="12" t="s">
        <v>33</v>
      </c>
      <c r="E53" s="11" t="s">
        <v>34</v>
      </c>
      <c r="F53" s="12" t="s">
        <v>35</v>
      </c>
      <c r="G53" s="11" t="s">
        <v>36</v>
      </c>
      <c r="H53" s="12" t="s">
        <v>37</v>
      </c>
      <c r="I53" s="12" t="s">
        <v>196</v>
      </c>
      <c r="J53" s="12" t="s">
        <v>197</v>
      </c>
      <c r="K53" s="13" t="s">
        <v>198</v>
      </c>
      <c r="L53" s="14" t="s">
        <v>199</v>
      </c>
      <c r="M53" s="10" t="s">
        <v>200</v>
      </c>
      <c r="N53" s="15">
        <v>7</v>
      </c>
      <c r="O53" s="19">
        <v>1</v>
      </c>
      <c r="P53" s="26">
        <v>1</v>
      </c>
      <c r="Q53" s="26">
        <v>5</v>
      </c>
      <c r="R53" s="118">
        <v>5</v>
      </c>
      <c r="S53" s="118">
        <v>3</v>
      </c>
      <c r="T53" s="30" t="s">
        <v>67</v>
      </c>
      <c r="U53" s="283" t="s">
        <v>68</v>
      </c>
      <c r="V53" s="10" t="s">
        <v>201</v>
      </c>
      <c r="W53" s="298">
        <v>1</v>
      </c>
      <c r="X53" s="298">
        <v>1</v>
      </c>
      <c r="Y53" s="298">
        <v>1</v>
      </c>
      <c r="Z53" s="299">
        <v>1</v>
      </c>
      <c r="AA53" s="299">
        <v>1</v>
      </c>
      <c r="AB53" s="300">
        <v>1</v>
      </c>
      <c r="AC53" s="301">
        <v>1</v>
      </c>
      <c r="AD53" s="301">
        <v>1</v>
      </c>
      <c r="AE53" s="302">
        <f t="shared" si="1"/>
        <v>1</v>
      </c>
      <c r="AF53" s="63">
        <v>0</v>
      </c>
      <c r="AG53" s="302"/>
      <c r="AH53" s="17">
        <v>0</v>
      </c>
      <c r="AI53" s="17">
        <v>4</v>
      </c>
      <c r="AJ53" s="17">
        <v>4</v>
      </c>
      <c r="AK53" s="127">
        <v>2.8</v>
      </c>
      <c r="AL53" s="127">
        <v>1.2</v>
      </c>
      <c r="AM53" s="147">
        <f t="shared" ref="AM53:AM56" si="9">SUM(AK53:AL53)</f>
        <v>4</v>
      </c>
      <c r="AN53" s="18" t="s">
        <v>67</v>
      </c>
      <c r="AO53" s="18" t="s">
        <v>68</v>
      </c>
      <c r="AP53" s="12" t="s">
        <v>202</v>
      </c>
    </row>
    <row r="54" spans="1:42" hidden="1" x14ac:dyDescent="0.3">
      <c r="A54" s="9" t="s">
        <v>30</v>
      </c>
      <c r="B54" s="10" t="s">
        <v>31</v>
      </c>
      <c r="C54" s="11" t="s">
        <v>32</v>
      </c>
      <c r="D54" s="12" t="s">
        <v>33</v>
      </c>
      <c r="E54" s="11" t="s">
        <v>34</v>
      </c>
      <c r="F54" s="12" t="s">
        <v>35</v>
      </c>
      <c r="G54" s="11" t="s">
        <v>203</v>
      </c>
      <c r="H54" s="12" t="s">
        <v>204</v>
      </c>
      <c r="I54" s="12" t="s">
        <v>205</v>
      </c>
      <c r="J54" s="12" t="s">
        <v>206</v>
      </c>
      <c r="K54" s="11" t="s">
        <v>207</v>
      </c>
      <c r="L54" s="12" t="s">
        <v>208</v>
      </c>
      <c r="M54" s="10" t="s">
        <v>209</v>
      </c>
      <c r="N54" s="15">
        <v>4000</v>
      </c>
      <c r="O54" s="16">
        <v>0</v>
      </c>
      <c r="P54" s="16">
        <v>500</v>
      </c>
      <c r="Q54" s="16">
        <v>1000</v>
      </c>
      <c r="R54" s="126">
        <v>250</v>
      </c>
      <c r="S54" s="126">
        <v>250</v>
      </c>
      <c r="T54" s="10" t="s">
        <v>92</v>
      </c>
      <c r="U54" s="283" t="s">
        <v>118</v>
      </c>
      <c r="V54" s="10" t="s">
        <v>210</v>
      </c>
      <c r="W54" s="298">
        <v>1</v>
      </c>
      <c r="X54" s="298">
        <v>0</v>
      </c>
      <c r="Y54" s="298">
        <v>1</v>
      </c>
      <c r="Z54" s="299">
        <v>1</v>
      </c>
      <c r="AA54" s="299">
        <v>1</v>
      </c>
      <c r="AB54" s="300">
        <v>0</v>
      </c>
      <c r="AC54" s="301">
        <v>1</v>
      </c>
      <c r="AD54" s="301">
        <v>0</v>
      </c>
      <c r="AE54" s="302">
        <f t="shared" si="1"/>
        <v>0.625</v>
      </c>
      <c r="AF54" s="63">
        <v>0</v>
      </c>
      <c r="AG54" s="302"/>
      <c r="AH54" s="17">
        <v>5</v>
      </c>
      <c r="AI54" s="17">
        <v>18</v>
      </c>
      <c r="AJ54" s="17">
        <v>22</v>
      </c>
      <c r="AK54" s="127">
        <v>8</v>
      </c>
      <c r="AL54" s="127">
        <v>8</v>
      </c>
      <c r="AM54" s="147">
        <f t="shared" si="9"/>
        <v>16</v>
      </c>
      <c r="AN54" s="18" t="s">
        <v>92</v>
      </c>
      <c r="AO54" s="18" t="s">
        <v>118</v>
      </c>
      <c r="AP54" s="10" t="s">
        <v>211</v>
      </c>
    </row>
    <row r="55" spans="1:42" hidden="1" x14ac:dyDescent="0.3">
      <c r="A55" s="9" t="s">
        <v>30</v>
      </c>
      <c r="B55" s="10" t="s">
        <v>31</v>
      </c>
      <c r="C55" s="11" t="s">
        <v>32</v>
      </c>
      <c r="D55" s="12" t="s">
        <v>33</v>
      </c>
      <c r="E55" s="11" t="s">
        <v>34</v>
      </c>
      <c r="F55" s="12" t="s">
        <v>35</v>
      </c>
      <c r="G55" s="11" t="s">
        <v>203</v>
      </c>
      <c r="H55" s="12" t="s">
        <v>204</v>
      </c>
      <c r="I55" s="12" t="s">
        <v>205</v>
      </c>
      <c r="J55" s="12" t="s">
        <v>206</v>
      </c>
      <c r="K55" s="11" t="s">
        <v>207</v>
      </c>
      <c r="L55" s="12" t="s">
        <v>208</v>
      </c>
      <c r="M55" s="10" t="s">
        <v>212</v>
      </c>
      <c r="N55" s="15">
        <v>1061</v>
      </c>
      <c r="O55" s="20">
        <v>0</v>
      </c>
      <c r="P55" s="16">
        <v>1000</v>
      </c>
      <c r="Q55" s="16">
        <v>1000</v>
      </c>
      <c r="R55" s="110">
        <v>1000</v>
      </c>
      <c r="S55" s="110">
        <v>1000</v>
      </c>
      <c r="T55" s="10" t="s">
        <v>92</v>
      </c>
      <c r="U55" s="283" t="s">
        <v>118</v>
      </c>
      <c r="V55" s="10" t="s">
        <v>213</v>
      </c>
      <c r="W55" s="298">
        <v>1</v>
      </c>
      <c r="X55" s="298">
        <v>0</v>
      </c>
      <c r="Y55" s="298">
        <v>1</v>
      </c>
      <c r="Z55" s="299">
        <v>1</v>
      </c>
      <c r="AA55" s="299">
        <v>1</v>
      </c>
      <c r="AB55" s="300">
        <v>0</v>
      </c>
      <c r="AC55" s="301">
        <v>1</v>
      </c>
      <c r="AD55" s="301">
        <v>0</v>
      </c>
      <c r="AE55" s="302">
        <f t="shared" si="1"/>
        <v>0.625</v>
      </c>
      <c r="AF55" s="63">
        <v>0</v>
      </c>
      <c r="AG55" s="302"/>
      <c r="AH55" s="17">
        <v>3.5</v>
      </c>
      <c r="AI55" s="17">
        <v>7</v>
      </c>
      <c r="AJ55" s="17">
        <v>10</v>
      </c>
      <c r="AK55" s="127">
        <v>15</v>
      </c>
      <c r="AL55" s="127">
        <v>20</v>
      </c>
      <c r="AM55" s="147">
        <f t="shared" si="9"/>
        <v>35</v>
      </c>
      <c r="AN55" s="10" t="s">
        <v>92</v>
      </c>
      <c r="AO55" s="18" t="s">
        <v>118</v>
      </c>
      <c r="AP55" s="10" t="s">
        <v>214</v>
      </c>
    </row>
    <row r="56" spans="1:42" hidden="1" x14ac:dyDescent="0.3">
      <c r="A56" s="9" t="s">
        <v>30</v>
      </c>
      <c r="B56" s="10" t="s">
        <v>31</v>
      </c>
      <c r="C56" s="11" t="s">
        <v>32</v>
      </c>
      <c r="D56" s="12" t="s">
        <v>33</v>
      </c>
      <c r="E56" s="11" t="s">
        <v>34</v>
      </c>
      <c r="F56" s="12" t="s">
        <v>35</v>
      </c>
      <c r="G56" s="11" t="s">
        <v>203</v>
      </c>
      <c r="H56" s="12" t="s">
        <v>204</v>
      </c>
      <c r="I56" s="12" t="s">
        <v>205</v>
      </c>
      <c r="J56" s="12" t="s">
        <v>206</v>
      </c>
      <c r="K56" s="11" t="s">
        <v>207</v>
      </c>
      <c r="L56" s="12" t="s">
        <v>208</v>
      </c>
      <c r="M56" s="10" t="s">
        <v>215</v>
      </c>
      <c r="N56" s="15">
        <v>0</v>
      </c>
      <c r="O56" s="20"/>
      <c r="P56" s="16">
        <v>20</v>
      </c>
      <c r="Q56" s="16">
        <v>30</v>
      </c>
      <c r="R56" s="110">
        <v>120</v>
      </c>
      <c r="S56" s="110"/>
      <c r="T56" s="10" t="s">
        <v>92</v>
      </c>
      <c r="U56" s="283" t="s">
        <v>118</v>
      </c>
      <c r="V56" s="10" t="s">
        <v>216</v>
      </c>
      <c r="W56" s="298">
        <v>1</v>
      </c>
      <c r="X56" s="298">
        <v>0</v>
      </c>
      <c r="Y56" s="298">
        <v>1</v>
      </c>
      <c r="Z56" s="299">
        <v>1</v>
      </c>
      <c r="AA56" s="299">
        <v>1</v>
      </c>
      <c r="AB56" s="300">
        <v>0</v>
      </c>
      <c r="AC56" s="301">
        <v>1</v>
      </c>
      <c r="AD56" s="301">
        <v>0</v>
      </c>
      <c r="AE56" s="302">
        <f t="shared" si="1"/>
        <v>0.625</v>
      </c>
      <c r="AF56" s="63">
        <v>0</v>
      </c>
      <c r="AG56" s="302"/>
      <c r="AH56" s="17"/>
      <c r="AI56" s="17"/>
      <c r="AJ56" s="17"/>
      <c r="AK56" s="109"/>
      <c r="AL56" s="109"/>
      <c r="AM56" s="147">
        <f t="shared" si="9"/>
        <v>0</v>
      </c>
      <c r="AN56" s="10" t="s">
        <v>92</v>
      </c>
      <c r="AO56" s="18" t="s">
        <v>118</v>
      </c>
      <c r="AP56" s="10" t="s">
        <v>214</v>
      </c>
    </row>
    <row r="57" spans="1:42" hidden="1" x14ac:dyDescent="0.3">
      <c r="A57" s="9" t="s">
        <v>30</v>
      </c>
      <c r="B57" s="10" t="s">
        <v>31</v>
      </c>
      <c r="C57" s="11" t="s">
        <v>32</v>
      </c>
      <c r="D57" s="12" t="s">
        <v>33</v>
      </c>
      <c r="E57" s="11" t="s">
        <v>34</v>
      </c>
      <c r="F57" s="12" t="s">
        <v>35</v>
      </c>
      <c r="G57" s="11" t="s">
        <v>203</v>
      </c>
      <c r="H57" s="12" t="s">
        <v>204</v>
      </c>
      <c r="I57" s="12" t="s">
        <v>205</v>
      </c>
      <c r="J57" s="12" t="s">
        <v>206</v>
      </c>
      <c r="K57" s="11" t="s">
        <v>217</v>
      </c>
      <c r="L57" s="12" t="s">
        <v>218</v>
      </c>
      <c r="M57" s="10" t="s">
        <v>219</v>
      </c>
      <c r="N57" s="15">
        <v>0</v>
      </c>
      <c r="O57" s="20"/>
      <c r="P57" s="16">
        <v>1</v>
      </c>
      <c r="Q57" s="16"/>
      <c r="R57" s="110"/>
      <c r="S57" s="110"/>
      <c r="T57" s="10" t="s">
        <v>92</v>
      </c>
      <c r="U57" s="283" t="s">
        <v>118</v>
      </c>
      <c r="V57" s="10" t="s">
        <v>220</v>
      </c>
      <c r="W57" s="298">
        <v>1</v>
      </c>
      <c r="X57" s="298">
        <v>0</v>
      </c>
      <c r="Y57" s="298">
        <v>0</v>
      </c>
      <c r="Z57" s="299">
        <v>1</v>
      </c>
      <c r="AA57" s="299">
        <v>1</v>
      </c>
      <c r="AB57" s="300">
        <v>0</v>
      </c>
      <c r="AC57" s="301">
        <v>1</v>
      </c>
      <c r="AD57" s="301">
        <v>0</v>
      </c>
      <c r="AE57" s="302">
        <f t="shared" si="1"/>
        <v>0.5</v>
      </c>
      <c r="AF57" s="63">
        <v>0</v>
      </c>
      <c r="AG57" s="302"/>
      <c r="AH57" s="17"/>
      <c r="AI57" s="17"/>
      <c r="AJ57" s="17"/>
      <c r="AK57" s="109"/>
      <c r="AL57" s="109"/>
      <c r="AM57" s="17" t="e">
        <f>SUM(#REF!)</f>
        <v>#REF!</v>
      </c>
      <c r="AN57" s="10" t="s">
        <v>92</v>
      </c>
      <c r="AO57" s="18" t="s">
        <v>118</v>
      </c>
      <c r="AP57" s="10" t="s">
        <v>214</v>
      </c>
    </row>
    <row r="58" spans="1:42" hidden="1" x14ac:dyDescent="0.3">
      <c r="A58" s="9" t="s">
        <v>30</v>
      </c>
      <c r="B58" s="10" t="s">
        <v>31</v>
      </c>
      <c r="C58" s="11" t="s">
        <v>32</v>
      </c>
      <c r="D58" s="12" t="s">
        <v>33</v>
      </c>
      <c r="E58" s="11" t="s">
        <v>34</v>
      </c>
      <c r="F58" s="12" t="s">
        <v>35</v>
      </c>
      <c r="G58" s="11" t="s">
        <v>203</v>
      </c>
      <c r="H58" s="12" t="s">
        <v>204</v>
      </c>
      <c r="I58" s="12" t="s">
        <v>205</v>
      </c>
      <c r="J58" s="12" t="s">
        <v>206</v>
      </c>
      <c r="K58" s="11" t="s">
        <v>221</v>
      </c>
      <c r="L58" s="12" t="s">
        <v>218</v>
      </c>
      <c r="M58" s="10" t="s">
        <v>222</v>
      </c>
      <c r="N58" s="15">
        <v>0</v>
      </c>
      <c r="O58" s="20">
        <v>136</v>
      </c>
      <c r="P58" s="16">
        <v>525</v>
      </c>
      <c r="Q58" s="16">
        <v>1050</v>
      </c>
      <c r="R58" s="110">
        <v>1575</v>
      </c>
      <c r="S58" s="110">
        <v>2100</v>
      </c>
      <c r="T58" s="10" t="s">
        <v>92</v>
      </c>
      <c r="U58" s="283" t="s">
        <v>118</v>
      </c>
      <c r="V58" s="10" t="s">
        <v>223</v>
      </c>
      <c r="W58" s="298">
        <v>0</v>
      </c>
      <c r="X58" s="298">
        <v>0</v>
      </c>
      <c r="Y58" s="298">
        <v>0</v>
      </c>
      <c r="Z58" s="299">
        <v>0</v>
      </c>
      <c r="AA58" s="299">
        <v>0</v>
      </c>
      <c r="AB58" s="300">
        <v>0</v>
      </c>
      <c r="AC58" s="301">
        <v>0</v>
      </c>
      <c r="AD58" s="301">
        <v>0</v>
      </c>
      <c r="AE58" s="302">
        <f t="shared" si="1"/>
        <v>0</v>
      </c>
      <c r="AF58" s="63">
        <v>1</v>
      </c>
      <c r="AG58" s="302"/>
      <c r="AH58" s="17"/>
      <c r="AI58" s="17"/>
      <c r="AJ58" s="17"/>
      <c r="AK58" s="109"/>
      <c r="AL58" s="109"/>
      <c r="AM58" s="17" t="e">
        <f>SUM(#REF!)</f>
        <v>#REF!</v>
      </c>
      <c r="AN58" s="10" t="s">
        <v>92</v>
      </c>
      <c r="AO58" s="18" t="s">
        <v>118</v>
      </c>
      <c r="AP58" s="10" t="s">
        <v>214</v>
      </c>
    </row>
    <row r="59" spans="1:42" hidden="1" x14ac:dyDescent="0.3">
      <c r="A59" s="9" t="s">
        <v>30</v>
      </c>
      <c r="B59" s="10" t="s">
        <v>31</v>
      </c>
      <c r="C59" s="11" t="s">
        <v>32</v>
      </c>
      <c r="D59" s="12" t="s">
        <v>33</v>
      </c>
      <c r="E59" s="11" t="s">
        <v>34</v>
      </c>
      <c r="F59" s="12" t="s">
        <v>35</v>
      </c>
      <c r="G59" s="11" t="s">
        <v>203</v>
      </c>
      <c r="H59" s="12" t="s">
        <v>204</v>
      </c>
      <c r="I59" s="12" t="s">
        <v>205</v>
      </c>
      <c r="J59" s="12" t="s">
        <v>206</v>
      </c>
      <c r="K59" s="11" t="s">
        <v>224</v>
      </c>
      <c r="L59" s="12" t="s">
        <v>225</v>
      </c>
      <c r="M59" s="10" t="s">
        <v>226</v>
      </c>
      <c r="N59" s="15">
        <v>0</v>
      </c>
      <c r="O59" s="20">
        <v>0</v>
      </c>
      <c r="P59" s="16">
        <v>0</v>
      </c>
      <c r="Q59" s="16">
        <v>3</v>
      </c>
      <c r="R59" s="110">
        <v>7</v>
      </c>
      <c r="S59" s="110">
        <v>9</v>
      </c>
      <c r="T59" s="10" t="s">
        <v>92</v>
      </c>
      <c r="U59" s="283" t="s">
        <v>118</v>
      </c>
      <c r="V59" s="10" t="s">
        <v>227</v>
      </c>
      <c r="W59" s="298">
        <v>1</v>
      </c>
      <c r="X59" s="298">
        <v>0</v>
      </c>
      <c r="Y59" s="298">
        <v>0</v>
      </c>
      <c r="Z59" s="299">
        <v>1</v>
      </c>
      <c r="AA59" s="299">
        <v>0</v>
      </c>
      <c r="AB59" s="300">
        <v>0</v>
      </c>
      <c r="AC59" s="301">
        <v>0</v>
      </c>
      <c r="AD59" s="301">
        <v>0</v>
      </c>
      <c r="AE59" s="302">
        <f t="shared" si="1"/>
        <v>0.25</v>
      </c>
      <c r="AF59" s="63">
        <v>0</v>
      </c>
      <c r="AG59" s="302"/>
      <c r="AH59" s="17"/>
      <c r="AI59" s="17"/>
      <c r="AJ59" s="17"/>
      <c r="AK59" s="109"/>
      <c r="AL59" s="109"/>
      <c r="AM59" s="17" t="e">
        <f>SUM(#REF!)</f>
        <v>#REF!</v>
      </c>
      <c r="AN59" s="10" t="s">
        <v>92</v>
      </c>
      <c r="AO59" s="18" t="s">
        <v>118</v>
      </c>
      <c r="AP59" s="10" t="s">
        <v>228</v>
      </c>
    </row>
    <row r="60" spans="1:42" x14ac:dyDescent="0.3">
      <c r="A60" s="9" t="s">
        <v>30</v>
      </c>
      <c r="B60" s="10" t="s">
        <v>31</v>
      </c>
      <c r="C60" s="11" t="s">
        <v>32</v>
      </c>
      <c r="D60" s="12" t="s">
        <v>33</v>
      </c>
      <c r="E60" s="11" t="s">
        <v>34</v>
      </c>
      <c r="F60" s="12" t="s">
        <v>35</v>
      </c>
      <c r="G60" s="11" t="s">
        <v>203</v>
      </c>
      <c r="H60" s="12" t="s">
        <v>204</v>
      </c>
      <c r="I60" s="12" t="s">
        <v>205</v>
      </c>
      <c r="J60" s="12" t="s">
        <v>206</v>
      </c>
      <c r="K60" s="11" t="s">
        <v>229</v>
      </c>
      <c r="L60" s="12" t="s">
        <v>230</v>
      </c>
      <c r="M60" s="10" t="s">
        <v>231</v>
      </c>
      <c r="N60" s="15">
        <v>1000</v>
      </c>
      <c r="O60" s="16">
        <v>1000</v>
      </c>
      <c r="P60" s="16">
        <v>1000</v>
      </c>
      <c r="Q60" s="16">
        <v>1000</v>
      </c>
      <c r="R60" s="110">
        <v>1000</v>
      </c>
      <c r="S60" s="110">
        <v>1000</v>
      </c>
      <c r="T60" s="10" t="s">
        <v>92</v>
      </c>
      <c r="U60" s="283" t="s">
        <v>118</v>
      </c>
      <c r="V60" s="10" t="s">
        <v>232</v>
      </c>
      <c r="W60" s="298">
        <v>1</v>
      </c>
      <c r="X60" s="298">
        <v>1</v>
      </c>
      <c r="Y60" s="298">
        <v>1</v>
      </c>
      <c r="Z60" s="299">
        <v>1</v>
      </c>
      <c r="AA60" s="299">
        <v>1</v>
      </c>
      <c r="AB60" s="300">
        <v>0</v>
      </c>
      <c r="AC60" s="301">
        <v>1</v>
      </c>
      <c r="AD60" s="301">
        <v>0</v>
      </c>
      <c r="AE60" s="302">
        <f t="shared" si="1"/>
        <v>0.75</v>
      </c>
      <c r="AF60" s="63">
        <v>0</v>
      </c>
      <c r="AG60" s="302"/>
      <c r="AH60" s="17">
        <v>13.5</v>
      </c>
      <c r="AI60" s="17">
        <v>13.5</v>
      </c>
      <c r="AJ60" s="17">
        <v>13.5</v>
      </c>
      <c r="AK60" s="127">
        <v>12</v>
      </c>
      <c r="AL60" s="127">
        <v>13.5</v>
      </c>
      <c r="AM60" s="147">
        <f t="shared" ref="AM60:AM64" si="10">SUM(AK60:AL60)</f>
        <v>25.5</v>
      </c>
      <c r="AN60" s="18" t="s">
        <v>92</v>
      </c>
      <c r="AO60" s="18" t="s">
        <v>118</v>
      </c>
      <c r="AP60" s="10" t="s">
        <v>233</v>
      </c>
    </row>
    <row r="61" spans="1:42" x14ac:dyDescent="0.3">
      <c r="A61" s="9" t="s">
        <v>30</v>
      </c>
      <c r="B61" s="10" t="s">
        <v>31</v>
      </c>
      <c r="C61" s="11" t="s">
        <v>32</v>
      </c>
      <c r="D61" s="12" t="s">
        <v>33</v>
      </c>
      <c r="E61" s="11" t="s">
        <v>34</v>
      </c>
      <c r="F61" s="12" t="s">
        <v>35</v>
      </c>
      <c r="G61" s="11" t="s">
        <v>203</v>
      </c>
      <c r="H61" s="12" t="s">
        <v>204</v>
      </c>
      <c r="I61" s="12" t="s">
        <v>234</v>
      </c>
      <c r="J61" s="12" t="s">
        <v>235</v>
      </c>
      <c r="K61" s="11" t="s">
        <v>236</v>
      </c>
      <c r="L61" s="12" t="s">
        <v>237</v>
      </c>
      <c r="M61" s="10" t="s">
        <v>238</v>
      </c>
      <c r="N61" s="15">
        <v>2</v>
      </c>
      <c r="O61" s="16">
        <v>15</v>
      </c>
      <c r="P61" s="16">
        <v>30</v>
      </c>
      <c r="Q61" s="16">
        <v>50</v>
      </c>
      <c r="R61" s="126">
        <v>30</v>
      </c>
      <c r="S61" s="126">
        <v>60</v>
      </c>
      <c r="T61" s="10" t="s">
        <v>239</v>
      </c>
      <c r="U61" s="283" t="s">
        <v>241</v>
      </c>
      <c r="V61" s="10" t="s">
        <v>240</v>
      </c>
      <c r="W61" s="298">
        <v>1</v>
      </c>
      <c r="X61" s="298">
        <v>1</v>
      </c>
      <c r="Y61" s="298">
        <v>0</v>
      </c>
      <c r="Z61" s="299">
        <v>1</v>
      </c>
      <c r="AA61" s="299">
        <v>1</v>
      </c>
      <c r="AB61" s="300">
        <v>1</v>
      </c>
      <c r="AC61" s="301">
        <v>1</v>
      </c>
      <c r="AD61" s="301">
        <v>0</v>
      </c>
      <c r="AE61" s="302">
        <f t="shared" si="1"/>
        <v>0.75</v>
      </c>
      <c r="AF61" s="63">
        <v>0</v>
      </c>
      <c r="AG61" s="302"/>
      <c r="AH61" s="17">
        <v>28.5</v>
      </c>
      <c r="AI61" s="17">
        <v>20</v>
      </c>
      <c r="AJ61" s="17">
        <v>24.5</v>
      </c>
      <c r="AK61" s="127">
        <v>8</v>
      </c>
      <c r="AL61" s="127">
        <v>12</v>
      </c>
      <c r="AM61" s="147">
        <f t="shared" si="10"/>
        <v>20</v>
      </c>
      <c r="AN61" s="10" t="s">
        <v>239</v>
      </c>
      <c r="AO61" s="18" t="s">
        <v>241</v>
      </c>
      <c r="AP61" s="10" t="s">
        <v>242</v>
      </c>
    </row>
    <row r="62" spans="1:42" x14ac:dyDescent="0.3">
      <c r="A62" s="9" t="s">
        <v>30</v>
      </c>
      <c r="B62" s="10" t="s">
        <v>31</v>
      </c>
      <c r="C62" s="11" t="s">
        <v>32</v>
      </c>
      <c r="D62" s="12" t="s">
        <v>33</v>
      </c>
      <c r="E62" s="11" t="s">
        <v>34</v>
      </c>
      <c r="F62" s="12" t="s">
        <v>35</v>
      </c>
      <c r="G62" s="11" t="s">
        <v>203</v>
      </c>
      <c r="H62" s="12" t="s">
        <v>204</v>
      </c>
      <c r="I62" s="12" t="s">
        <v>234</v>
      </c>
      <c r="J62" s="12" t="s">
        <v>235</v>
      </c>
      <c r="K62" s="11" t="s">
        <v>236</v>
      </c>
      <c r="L62" s="12" t="s">
        <v>237</v>
      </c>
      <c r="M62" s="10" t="s">
        <v>243</v>
      </c>
      <c r="N62" s="15">
        <v>2</v>
      </c>
      <c r="O62" s="17">
        <v>0</v>
      </c>
      <c r="P62" s="16">
        <v>40</v>
      </c>
      <c r="Q62" s="16">
        <v>60</v>
      </c>
      <c r="R62" s="110">
        <v>80</v>
      </c>
      <c r="S62" s="110">
        <v>136</v>
      </c>
      <c r="T62" s="10" t="s">
        <v>239</v>
      </c>
      <c r="U62" s="283" t="s">
        <v>241</v>
      </c>
      <c r="V62" s="10" t="s">
        <v>240</v>
      </c>
      <c r="W62" s="298">
        <v>1</v>
      </c>
      <c r="X62" s="298">
        <v>1</v>
      </c>
      <c r="Y62" s="298">
        <v>0</v>
      </c>
      <c r="Z62" s="299">
        <v>1</v>
      </c>
      <c r="AA62" s="299">
        <v>1</v>
      </c>
      <c r="AB62" s="300">
        <v>1</v>
      </c>
      <c r="AC62" s="301">
        <v>1</v>
      </c>
      <c r="AD62" s="301">
        <v>0</v>
      </c>
      <c r="AE62" s="302">
        <f t="shared" si="1"/>
        <v>0.75</v>
      </c>
      <c r="AF62" s="63">
        <v>0</v>
      </c>
      <c r="AG62" s="302"/>
      <c r="AH62" s="17"/>
      <c r="AI62" s="17"/>
      <c r="AJ62" s="17"/>
      <c r="AK62" s="109"/>
      <c r="AL62" s="109"/>
      <c r="AM62" s="147">
        <f t="shared" si="10"/>
        <v>0</v>
      </c>
      <c r="AN62" s="10" t="s">
        <v>239</v>
      </c>
      <c r="AO62" s="18" t="s">
        <v>241</v>
      </c>
      <c r="AP62" s="10" t="s">
        <v>242</v>
      </c>
    </row>
    <row r="63" spans="1:42" x14ac:dyDescent="0.3">
      <c r="A63" s="9" t="s">
        <v>30</v>
      </c>
      <c r="B63" s="10" t="s">
        <v>31</v>
      </c>
      <c r="C63" s="11" t="s">
        <v>32</v>
      </c>
      <c r="D63" s="12" t="s">
        <v>33</v>
      </c>
      <c r="E63" s="11" t="s">
        <v>34</v>
      </c>
      <c r="F63" s="12" t="s">
        <v>35</v>
      </c>
      <c r="G63" s="11" t="s">
        <v>203</v>
      </c>
      <c r="H63" s="12" t="s">
        <v>204</v>
      </c>
      <c r="I63" s="12" t="s">
        <v>234</v>
      </c>
      <c r="J63" s="12" t="s">
        <v>235</v>
      </c>
      <c r="K63" s="11" t="s">
        <v>236</v>
      </c>
      <c r="L63" s="12" t="s">
        <v>237</v>
      </c>
      <c r="M63" s="10" t="s">
        <v>244</v>
      </c>
      <c r="N63" s="15">
        <v>0</v>
      </c>
      <c r="O63" s="16">
        <v>1</v>
      </c>
      <c r="P63" s="16">
        <v>1</v>
      </c>
      <c r="Q63" s="16">
        <v>2</v>
      </c>
      <c r="R63" s="110">
        <v>3</v>
      </c>
      <c r="S63" s="110">
        <v>2</v>
      </c>
      <c r="T63" s="10" t="s">
        <v>239</v>
      </c>
      <c r="U63" s="283" t="s">
        <v>241</v>
      </c>
      <c r="V63" s="10" t="s">
        <v>240</v>
      </c>
      <c r="W63" s="298">
        <v>1</v>
      </c>
      <c r="X63" s="298">
        <v>1</v>
      </c>
      <c r="Y63" s="298">
        <v>0</v>
      </c>
      <c r="Z63" s="299">
        <v>1</v>
      </c>
      <c r="AA63" s="299">
        <v>1</v>
      </c>
      <c r="AB63" s="300">
        <v>1</v>
      </c>
      <c r="AC63" s="301">
        <v>1</v>
      </c>
      <c r="AD63" s="301">
        <v>0</v>
      </c>
      <c r="AE63" s="302">
        <f t="shared" si="1"/>
        <v>0.75</v>
      </c>
      <c r="AF63" s="63">
        <v>0</v>
      </c>
      <c r="AG63" s="302"/>
      <c r="AH63" s="17"/>
      <c r="AI63" s="17"/>
      <c r="AJ63" s="17"/>
      <c r="AK63" s="127">
        <v>2</v>
      </c>
      <c r="AL63" s="127">
        <v>3</v>
      </c>
      <c r="AM63" s="147">
        <f t="shared" si="10"/>
        <v>5</v>
      </c>
      <c r="AN63" s="10" t="s">
        <v>239</v>
      </c>
      <c r="AO63" s="18" t="s">
        <v>241</v>
      </c>
      <c r="AP63" s="10" t="s">
        <v>242</v>
      </c>
    </row>
    <row r="64" spans="1:42" x14ac:dyDescent="0.3">
      <c r="A64" s="9" t="s">
        <v>30</v>
      </c>
      <c r="B64" s="10" t="s">
        <v>31</v>
      </c>
      <c r="C64" s="11" t="s">
        <v>32</v>
      </c>
      <c r="D64" s="12" t="s">
        <v>33</v>
      </c>
      <c r="E64" s="11" t="s">
        <v>34</v>
      </c>
      <c r="F64" s="12" t="s">
        <v>35</v>
      </c>
      <c r="G64" s="11" t="s">
        <v>203</v>
      </c>
      <c r="H64" s="12" t="s">
        <v>204</v>
      </c>
      <c r="I64" s="12" t="s">
        <v>234</v>
      </c>
      <c r="J64" s="12" t="s">
        <v>235</v>
      </c>
      <c r="K64" s="11" t="s">
        <v>245</v>
      </c>
      <c r="L64" s="12" t="s">
        <v>246</v>
      </c>
      <c r="M64" s="10" t="s">
        <v>247</v>
      </c>
      <c r="N64" s="15">
        <v>0</v>
      </c>
      <c r="O64" s="16">
        <v>100</v>
      </c>
      <c r="P64" s="16">
        <v>100</v>
      </c>
      <c r="Q64" s="16">
        <v>100</v>
      </c>
      <c r="R64" s="110">
        <v>100</v>
      </c>
      <c r="S64" s="110">
        <v>100</v>
      </c>
      <c r="T64" s="10" t="s">
        <v>92</v>
      </c>
      <c r="U64" s="283" t="s">
        <v>118</v>
      </c>
      <c r="V64" s="10" t="s">
        <v>248</v>
      </c>
      <c r="W64" s="298">
        <v>1</v>
      </c>
      <c r="X64" s="298">
        <v>1</v>
      </c>
      <c r="Y64" s="298">
        <v>1</v>
      </c>
      <c r="Z64" s="299">
        <v>1</v>
      </c>
      <c r="AA64" s="299">
        <v>1</v>
      </c>
      <c r="AB64" s="300">
        <v>1</v>
      </c>
      <c r="AC64" s="301">
        <v>1</v>
      </c>
      <c r="AD64" s="301">
        <v>1</v>
      </c>
      <c r="AE64" s="302">
        <f t="shared" si="1"/>
        <v>1</v>
      </c>
      <c r="AF64" s="63">
        <v>0</v>
      </c>
      <c r="AG64" s="302"/>
      <c r="AH64" s="17">
        <v>2</v>
      </c>
      <c r="AI64" s="17">
        <v>4</v>
      </c>
      <c r="AJ64" s="17">
        <v>4</v>
      </c>
      <c r="AK64" s="127">
        <v>0.8</v>
      </c>
      <c r="AL64" s="127">
        <v>0.8</v>
      </c>
      <c r="AM64" s="147">
        <f t="shared" si="10"/>
        <v>1.6</v>
      </c>
      <c r="AN64" s="18" t="s">
        <v>92</v>
      </c>
      <c r="AO64" s="18" t="s">
        <v>118</v>
      </c>
      <c r="AP64" s="10" t="s">
        <v>249</v>
      </c>
    </row>
    <row r="65" spans="1:42" s="300" customFormat="1" hidden="1" x14ac:dyDescent="0.3">
      <c r="A65" s="66" t="s">
        <v>30</v>
      </c>
      <c r="B65" s="67" t="s">
        <v>31</v>
      </c>
      <c r="C65" s="68" t="s">
        <v>32</v>
      </c>
      <c r="D65" s="69" t="s">
        <v>33</v>
      </c>
      <c r="E65" s="68" t="s">
        <v>34</v>
      </c>
      <c r="F65" s="69" t="s">
        <v>35</v>
      </c>
      <c r="G65" s="68" t="s">
        <v>203</v>
      </c>
      <c r="H65" s="69" t="s">
        <v>204</v>
      </c>
      <c r="I65" s="69" t="s">
        <v>250</v>
      </c>
      <c r="J65" s="69" t="s">
        <v>251</v>
      </c>
      <c r="K65" s="68" t="s">
        <v>252</v>
      </c>
      <c r="L65" s="69" t="s">
        <v>253</v>
      </c>
      <c r="M65" s="67" t="s">
        <v>254</v>
      </c>
      <c r="N65" s="70">
        <v>0</v>
      </c>
      <c r="O65" s="71">
        <v>136</v>
      </c>
      <c r="P65" s="71">
        <v>17250</v>
      </c>
      <c r="Q65" s="71">
        <v>34500</v>
      </c>
      <c r="R65" s="110">
        <v>51750</v>
      </c>
      <c r="S65" s="110">
        <v>69000</v>
      </c>
      <c r="T65" s="67" t="s">
        <v>92</v>
      </c>
      <c r="U65" s="300" t="s">
        <v>118</v>
      </c>
      <c r="V65" s="67"/>
      <c r="W65" s="298">
        <v>0</v>
      </c>
      <c r="X65" s="298">
        <v>0</v>
      </c>
      <c r="Y65" s="298">
        <v>0</v>
      </c>
      <c r="Z65" s="299">
        <v>0</v>
      </c>
      <c r="AA65" s="299">
        <v>0</v>
      </c>
      <c r="AB65" s="300">
        <v>0</v>
      </c>
      <c r="AC65" s="301">
        <v>0</v>
      </c>
      <c r="AD65" s="301">
        <v>0</v>
      </c>
      <c r="AE65" s="305">
        <f t="shared" si="1"/>
        <v>0</v>
      </c>
      <c r="AF65" s="63">
        <v>0</v>
      </c>
      <c r="AG65" s="305"/>
      <c r="AH65" s="73"/>
      <c r="AI65" s="73"/>
      <c r="AJ65" s="73"/>
      <c r="AK65" s="109"/>
      <c r="AL65" s="109"/>
      <c r="AM65" s="73" t="e">
        <f>SUM(#REF!)</f>
        <v>#REF!</v>
      </c>
      <c r="AN65" s="74" t="s">
        <v>92</v>
      </c>
      <c r="AO65" s="74" t="s">
        <v>118</v>
      </c>
      <c r="AP65" s="67" t="s">
        <v>255</v>
      </c>
    </row>
    <row r="66" spans="1:42" s="300" customFormat="1" hidden="1" x14ac:dyDescent="0.3">
      <c r="A66" s="66" t="s">
        <v>30</v>
      </c>
      <c r="B66" s="67" t="s">
        <v>31</v>
      </c>
      <c r="C66" s="68" t="s">
        <v>32</v>
      </c>
      <c r="D66" s="69" t="s">
        <v>33</v>
      </c>
      <c r="E66" s="68" t="s">
        <v>34</v>
      </c>
      <c r="F66" s="69" t="s">
        <v>35</v>
      </c>
      <c r="G66" s="68" t="s">
        <v>203</v>
      </c>
      <c r="H66" s="69" t="s">
        <v>204</v>
      </c>
      <c r="I66" s="69" t="s">
        <v>250</v>
      </c>
      <c r="J66" s="69" t="s">
        <v>251</v>
      </c>
      <c r="K66" s="68" t="s">
        <v>252</v>
      </c>
      <c r="L66" s="69" t="s">
        <v>253</v>
      </c>
      <c r="M66" s="67" t="s">
        <v>256</v>
      </c>
      <c r="N66" s="70">
        <v>0</v>
      </c>
      <c r="O66" s="71">
        <v>136</v>
      </c>
      <c r="P66" s="71">
        <v>2750</v>
      </c>
      <c r="Q66" s="71">
        <v>5500</v>
      </c>
      <c r="R66" s="110">
        <v>8250</v>
      </c>
      <c r="S66" s="110">
        <v>11000</v>
      </c>
      <c r="T66" s="67" t="s">
        <v>92</v>
      </c>
      <c r="U66" s="300" t="s">
        <v>118</v>
      </c>
      <c r="V66" s="67"/>
      <c r="W66" s="298">
        <v>0</v>
      </c>
      <c r="X66" s="298">
        <v>0</v>
      </c>
      <c r="Y66" s="298">
        <v>0</v>
      </c>
      <c r="Z66" s="299">
        <v>0</v>
      </c>
      <c r="AA66" s="299">
        <v>0</v>
      </c>
      <c r="AB66" s="300">
        <v>0</v>
      </c>
      <c r="AC66" s="301">
        <v>0</v>
      </c>
      <c r="AD66" s="301">
        <v>0</v>
      </c>
      <c r="AE66" s="305">
        <f t="shared" si="1"/>
        <v>0</v>
      </c>
      <c r="AF66" s="63">
        <v>0</v>
      </c>
      <c r="AG66" s="305"/>
      <c r="AH66" s="73"/>
      <c r="AI66" s="73"/>
      <c r="AJ66" s="73"/>
      <c r="AK66" s="109"/>
      <c r="AL66" s="109"/>
      <c r="AM66" s="73" t="e">
        <f>SUM(#REF!)</f>
        <v>#REF!</v>
      </c>
      <c r="AN66" s="74" t="s">
        <v>92</v>
      </c>
      <c r="AO66" s="74" t="s">
        <v>118</v>
      </c>
      <c r="AP66" s="67" t="s">
        <v>255</v>
      </c>
    </row>
    <row r="67" spans="1:42" s="300" customFormat="1" hidden="1" x14ac:dyDescent="0.3">
      <c r="A67" s="66" t="s">
        <v>30</v>
      </c>
      <c r="B67" s="67" t="s">
        <v>31</v>
      </c>
      <c r="C67" s="68" t="s">
        <v>32</v>
      </c>
      <c r="D67" s="69" t="s">
        <v>33</v>
      </c>
      <c r="E67" s="68" t="s">
        <v>34</v>
      </c>
      <c r="F67" s="69" t="s">
        <v>35</v>
      </c>
      <c r="G67" s="68" t="s">
        <v>203</v>
      </c>
      <c r="H67" s="69" t="s">
        <v>204</v>
      </c>
      <c r="I67" s="69" t="s">
        <v>250</v>
      </c>
      <c r="J67" s="69" t="s">
        <v>251</v>
      </c>
      <c r="K67" s="68" t="s">
        <v>252</v>
      </c>
      <c r="L67" s="69" t="s">
        <v>253</v>
      </c>
      <c r="M67" s="67" t="s">
        <v>257</v>
      </c>
      <c r="N67" s="70">
        <v>0</v>
      </c>
      <c r="O67" s="71">
        <v>136</v>
      </c>
      <c r="P67" s="71">
        <v>525</v>
      </c>
      <c r="Q67" s="71">
        <v>1050</v>
      </c>
      <c r="R67" s="110">
        <v>1575</v>
      </c>
      <c r="S67" s="110">
        <v>2100</v>
      </c>
      <c r="T67" s="67" t="s">
        <v>92</v>
      </c>
      <c r="U67" s="300" t="s">
        <v>118</v>
      </c>
      <c r="V67" s="67"/>
      <c r="W67" s="298">
        <v>0</v>
      </c>
      <c r="X67" s="298">
        <v>0</v>
      </c>
      <c r="Y67" s="298">
        <v>0</v>
      </c>
      <c r="Z67" s="299">
        <v>0</v>
      </c>
      <c r="AA67" s="299">
        <v>0</v>
      </c>
      <c r="AB67" s="300">
        <v>0</v>
      </c>
      <c r="AC67" s="301">
        <v>0</v>
      </c>
      <c r="AD67" s="301">
        <v>0</v>
      </c>
      <c r="AE67" s="305">
        <f t="shared" si="1"/>
        <v>0</v>
      </c>
      <c r="AF67" s="63">
        <v>0</v>
      </c>
      <c r="AG67" s="305"/>
      <c r="AH67" s="73"/>
      <c r="AI67" s="73"/>
      <c r="AJ67" s="73"/>
      <c r="AK67" s="109"/>
      <c r="AL67" s="109"/>
      <c r="AM67" s="73" t="e">
        <f>SUM(#REF!)</f>
        <v>#REF!</v>
      </c>
      <c r="AN67" s="74" t="s">
        <v>92</v>
      </c>
      <c r="AO67" s="74" t="s">
        <v>118</v>
      </c>
      <c r="AP67" s="67" t="s">
        <v>255</v>
      </c>
    </row>
    <row r="68" spans="1:42" s="300" customFormat="1" hidden="1" x14ac:dyDescent="0.3">
      <c r="A68" s="66" t="s">
        <v>30</v>
      </c>
      <c r="B68" s="67" t="s">
        <v>31</v>
      </c>
      <c r="C68" s="68" t="s">
        <v>32</v>
      </c>
      <c r="D68" s="69" t="s">
        <v>33</v>
      </c>
      <c r="E68" s="68" t="s">
        <v>34</v>
      </c>
      <c r="F68" s="69" t="s">
        <v>35</v>
      </c>
      <c r="G68" s="68" t="s">
        <v>203</v>
      </c>
      <c r="H68" s="69" t="s">
        <v>204</v>
      </c>
      <c r="I68" s="69" t="s">
        <v>258</v>
      </c>
      <c r="J68" s="69" t="s">
        <v>259</v>
      </c>
      <c r="K68" s="69" t="s">
        <v>260</v>
      </c>
      <c r="L68" s="69" t="s">
        <v>261</v>
      </c>
      <c r="M68" s="67" t="s">
        <v>262</v>
      </c>
      <c r="N68" s="70">
        <v>0</v>
      </c>
      <c r="O68" s="71">
        <v>0</v>
      </c>
      <c r="P68" s="71">
        <v>0</v>
      </c>
      <c r="Q68" s="71">
        <v>3</v>
      </c>
      <c r="R68" s="110">
        <v>3</v>
      </c>
      <c r="S68" s="110">
        <v>3</v>
      </c>
      <c r="T68" s="67" t="s">
        <v>92</v>
      </c>
      <c r="U68" s="300" t="s">
        <v>118</v>
      </c>
      <c r="V68" s="67"/>
      <c r="W68" s="298">
        <v>0</v>
      </c>
      <c r="X68" s="298">
        <v>0</v>
      </c>
      <c r="Y68" s="298">
        <v>0</v>
      </c>
      <c r="Z68" s="299">
        <v>0</v>
      </c>
      <c r="AA68" s="299">
        <v>0</v>
      </c>
      <c r="AB68" s="300">
        <v>0</v>
      </c>
      <c r="AC68" s="301">
        <v>0</v>
      </c>
      <c r="AD68" s="301">
        <v>0</v>
      </c>
      <c r="AE68" s="305">
        <f t="shared" si="1"/>
        <v>0</v>
      </c>
      <c r="AF68" s="63">
        <v>0</v>
      </c>
      <c r="AG68" s="305"/>
      <c r="AH68" s="73"/>
      <c r="AI68" s="73"/>
      <c r="AJ68" s="73"/>
      <c r="AK68" s="109"/>
      <c r="AL68" s="109"/>
      <c r="AM68" s="73" t="e">
        <f>SUM(#REF!)</f>
        <v>#REF!</v>
      </c>
      <c r="AN68" s="74" t="s">
        <v>92</v>
      </c>
      <c r="AO68" s="74" t="s">
        <v>118</v>
      </c>
      <c r="AP68" s="67" t="s">
        <v>67</v>
      </c>
    </row>
    <row r="69" spans="1:42" s="300" customFormat="1" hidden="1" x14ac:dyDescent="0.3">
      <c r="A69" s="66" t="s">
        <v>30</v>
      </c>
      <c r="B69" s="67" t="s">
        <v>31</v>
      </c>
      <c r="C69" s="68" t="s">
        <v>32</v>
      </c>
      <c r="D69" s="69" t="s">
        <v>33</v>
      </c>
      <c r="E69" s="68" t="s">
        <v>34</v>
      </c>
      <c r="F69" s="69" t="s">
        <v>35</v>
      </c>
      <c r="G69" s="68" t="s">
        <v>203</v>
      </c>
      <c r="H69" s="69" t="s">
        <v>204</v>
      </c>
      <c r="I69" s="69" t="s">
        <v>258</v>
      </c>
      <c r="J69" s="69" t="s">
        <v>259</v>
      </c>
      <c r="K69" s="69" t="s">
        <v>260</v>
      </c>
      <c r="L69" s="69" t="s">
        <v>261</v>
      </c>
      <c r="M69" s="67" t="s">
        <v>263</v>
      </c>
      <c r="N69" s="70">
        <v>5</v>
      </c>
      <c r="O69" s="71">
        <v>45</v>
      </c>
      <c r="P69" s="71">
        <v>60</v>
      </c>
      <c r="Q69" s="71">
        <v>60</v>
      </c>
      <c r="R69" s="110">
        <v>60</v>
      </c>
      <c r="S69" s="110">
        <v>51</v>
      </c>
      <c r="T69" s="67" t="s">
        <v>92</v>
      </c>
      <c r="U69" s="300" t="s">
        <v>118</v>
      </c>
      <c r="V69" s="67"/>
      <c r="W69" s="298">
        <v>0</v>
      </c>
      <c r="X69" s="298">
        <v>0</v>
      </c>
      <c r="Y69" s="298">
        <v>0</v>
      </c>
      <c r="Z69" s="299">
        <v>0</v>
      </c>
      <c r="AA69" s="299">
        <v>0</v>
      </c>
      <c r="AB69" s="300">
        <v>0</v>
      </c>
      <c r="AC69" s="301">
        <v>0</v>
      </c>
      <c r="AD69" s="301">
        <v>0</v>
      </c>
      <c r="AE69" s="305">
        <f t="shared" si="1"/>
        <v>0</v>
      </c>
      <c r="AF69" s="63">
        <v>0</v>
      </c>
      <c r="AG69" s="305"/>
      <c r="AH69" s="73"/>
      <c r="AI69" s="73"/>
      <c r="AJ69" s="73"/>
      <c r="AK69" s="109"/>
      <c r="AL69" s="109"/>
      <c r="AM69" s="73" t="e">
        <f>SUM(#REF!)</f>
        <v>#REF!</v>
      </c>
      <c r="AN69" s="74" t="s">
        <v>92</v>
      </c>
      <c r="AO69" s="74" t="s">
        <v>118</v>
      </c>
      <c r="AP69" s="67"/>
    </row>
    <row r="70" spans="1:42" s="300" customFormat="1" hidden="1" x14ac:dyDescent="0.3">
      <c r="A70" s="66" t="s">
        <v>30</v>
      </c>
      <c r="B70" s="67" t="s">
        <v>31</v>
      </c>
      <c r="C70" s="68" t="s">
        <v>32</v>
      </c>
      <c r="D70" s="69" t="s">
        <v>33</v>
      </c>
      <c r="E70" s="68" t="s">
        <v>34</v>
      </c>
      <c r="F70" s="69" t="s">
        <v>35</v>
      </c>
      <c r="G70" s="68" t="s">
        <v>203</v>
      </c>
      <c r="H70" s="69" t="s">
        <v>204</v>
      </c>
      <c r="I70" s="69" t="s">
        <v>258</v>
      </c>
      <c r="J70" s="69" t="s">
        <v>259</v>
      </c>
      <c r="K70" s="69" t="s">
        <v>260</v>
      </c>
      <c r="L70" s="69" t="s">
        <v>261</v>
      </c>
      <c r="M70" s="67" t="s">
        <v>264</v>
      </c>
      <c r="N70" s="70">
        <v>0</v>
      </c>
      <c r="O70" s="71">
        <v>3313</v>
      </c>
      <c r="P70" s="71">
        <v>3314</v>
      </c>
      <c r="Q70" s="71">
        <v>3313</v>
      </c>
      <c r="R70" s="110">
        <v>3313</v>
      </c>
      <c r="S70" s="110">
        <v>3315</v>
      </c>
      <c r="T70" s="67" t="s">
        <v>92</v>
      </c>
      <c r="U70" s="300" t="s">
        <v>118</v>
      </c>
      <c r="V70" s="67"/>
      <c r="W70" s="298">
        <v>0</v>
      </c>
      <c r="X70" s="298">
        <v>0</v>
      </c>
      <c r="Y70" s="298">
        <v>0</v>
      </c>
      <c r="Z70" s="299">
        <v>0</v>
      </c>
      <c r="AA70" s="299">
        <v>0</v>
      </c>
      <c r="AB70" s="300">
        <v>0</v>
      </c>
      <c r="AC70" s="301">
        <v>0</v>
      </c>
      <c r="AD70" s="301">
        <v>0</v>
      </c>
      <c r="AE70" s="305">
        <f t="shared" si="1"/>
        <v>0</v>
      </c>
      <c r="AF70" s="63">
        <v>0</v>
      </c>
      <c r="AG70" s="305"/>
      <c r="AH70" s="73"/>
      <c r="AI70" s="73"/>
      <c r="AJ70" s="73"/>
      <c r="AK70" s="109"/>
      <c r="AL70" s="109"/>
      <c r="AM70" s="73" t="e">
        <f>SUM(#REF!)</f>
        <v>#REF!</v>
      </c>
      <c r="AN70" s="74" t="s">
        <v>92</v>
      </c>
      <c r="AO70" s="74" t="s">
        <v>118</v>
      </c>
      <c r="AP70" s="67" t="s">
        <v>265</v>
      </c>
    </row>
    <row r="71" spans="1:42" x14ac:dyDescent="0.3">
      <c r="A71" s="9" t="s">
        <v>30</v>
      </c>
      <c r="B71" s="10" t="s">
        <v>31</v>
      </c>
      <c r="C71" s="11" t="s">
        <v>32</v>
      </c>
      <c r="D71" s="12" t="s">
        <v>33</v>
      </c>
      <c r="E71" s="11" t="s">
        <v>34</v>
      </c>
      <c r="F71" s="12" t="s">
        <v>35</v>
      </c>
      <c r="G71" s="11" t="s">
        <v>203</v>
      </c>
      <c r="H71" s="12" t="s">
        <v>204</v>
      </c>
      <c r="I71" s="12" t="s">
        <v>266</v>
      </c>
      <c r="J71" s="12" t="s">
        <v>267</v>
      </c>
      <c r="K71" s="11" t="s">
        <v>268</v>
      </c>
      <c r="L71" s="12" t="s">
        <v>269</v>
      </c>
      <c r="M71" s="10" t="s">
        <v>270</v>
      </c>
      <c r="N71" s="15">
        <v>3</v>
      </c>
      <c r="O71" s="16" t="s">
        <v>271</v>
      </c>
      <c r="P71" s="16">
        <v>20</v>
      </c>
      <c r="Q71" s="16">
        <v>20</v>
      </c>
      <c r="R71" s="110">
        <v>20</v>
      </c>
      <c r="S71" s="110">
        <v>20</v>
      </c>
      <c r="T71" s="10" t="s">
        <v>92</v>
      </c>
      <c r="U71" s="283" t="s">
        <v>118</v>
      </c>
      <c r="V71" s="10" t="s">
        <v>272</v>
      </c>
      <c r="W71" s="298">
        <v>1</v>
      </c>
      <c r="X71" s="298">
        <v>0</v>
      </c>
      <c r="Y71" s="298">
        <v>1</v>
      </c>
      <c r="Z71" s="299">
        <v>1</v>
      </c>
      <c r="AA71" s="299">
        <v>1</v>
      </c>
      <c r="AB71" s="300">
        <v>1</v>
      </c>
      <c r="AC71" s="301">
        <v>1</v>
      </c>
      <c r="AD71" s="301">
        <v>0</v>
      </c>
      <c r="AE71" s="302">
        <f t="shared" ref="AE71:AE134" si="11">SUM(W71:AD71)/8</f>
        <v>0.75</v>
      </c>
      <c r="AF71" s="63">
        <v>0</v>
      </c>
      <c r="AG71" s="302"/>
      <c r="AH71" s="17"/>
      <c r="AI71" s="17"/>
      <c r="AJ71" s="17"/>
      <c r="AK71" s="127">
        <v>1</v>
      </c>
      <c r="AL71" s="127">
        <v>1.2</v>
      </c>
      <c r="AM71" s="147">
        <f t="shared" ref="AM71:AM72" si="12">SUM(AK71:AL71)</f>
        <v>2.2000000000000002</v>
      </c>
      <c r="AN71" s="18" t="s">
        <v>92</v>
      </c>
      <c r="AO71" s="18" t="s">
        <v>118</v>
      </c>
      <c r="AP71" s="10" t="s">
        <v>273</v>
      </c>
    </row>
    <row r="72" spans="1:42" x14ac:dyDescent="0.3">
      <c r="A72" s="9" t="s">
        <v>30</v>
      </c>
      <c r="B72" s="10" t="s">
        <v>31</v>
      </c>
      <c r="C72" s="11" t="s">
        <v>32</v>
      </c>
      <c r="D72" s="12" t="s">
        <v>33</v>
      </c>
      <c r="E72" s="11" t="s">
        <v>34</v>
      </c>
      <c r="F72" s="12" t="s">
        <v>35</v>
      </c>
      <c r="G72" s="11" t="s">
        <v>203</v>
      </c>
      <c r="H72" s="12" t="s">
        <v>204</v>
      </c>
      <c r="I72" s="12" t="s">
        <v>274</v>
      </c>
      <c r="J72" s="12" t="s">
        <v>275</v>
      </c>
      <c r="K72" s="11" t="s">
        <v>276</v>
      </c>
      <c r="L72" s="12" t="s">
        <v>277</v>
      </c>
      <c r="M72" s="10" t="s">
        <v>278</v>
      </c>
      <c r="N72" s="15">
        <v>0</v>
      </c>
      <c r="O72" s="16"/>
      <c r="P72" s="16">
        <v>2</v>
      </c>
      <c r="Q72" s="16">
        <v>1</v>
      </c>
      <c r="R72" s="110">
        <v>1</v>
      </c>
      <c r="S72" s="110">
        <v>1</v>
      </c>
      <c r="T72" s="10" t="s">
        <v>92</v>
      </c>
      <c r="U72" s="283" t="s">
        <v>118</v>
      </c>
      <c r="V72" s="10" t="s">
        <v>279</v>
      </c>
      <c r="W72" s="298">
        <v>1</v>
      </c>
      <c r="X72" s="298">
        <v>1</v>
      </c>
      <c r="Y72" s="298">
        <v>1</v>
      </c>
      <c r="Z72" s="299">
        <v>1</v>
      </c>
      <c r="AA72" s="299">
        <v>1</v>
      </c>
      <c r="AB72" s="300">
        <v>0</v>
      </c>
      <c r="AC72" s="301">
        <v>1</v>
      </c>
      <c r="AD72" s="301">
        <v>0</v>
      </c>
      <c r="AE72" s="302">
        <f t="shared" si="11"/>
        <v>0.75</v>
      </c>
      <c r="AF72" s="63">
        <v>0</v>
      </c>
      <c r="AG72" s="302"/>
      <c r="AH72" s="17"/>
      <c r="AI72" s="17"/>
      <c r="AJ72" s="17"/>
      <c r="AK72" s="127">
        <v>0.4</v>
      </c>
      <c r="AL72" s="127">
        <v>0.4</v>
      </c>
      <c r="AM72" s="147">
        <f t="shared" si="12"/>
        <v>0.8</v>
      </c>
      <c r="AN72" s="18" t="s">
        <v>92</v>
      </c>
      <c r="AO72" s="18" t="s">
        <v>118</v>
      </c>
      <c r="AP72" s="10" t="s">
        <v>280</v>
      </c>
    </row>
    <row r="73" spans="1:42" hidden="1" x14ac:dyDescent="0.3">
      <c r="A73" s="9" t="s">
        <v>30</v>
      </c>
      <c r="B73" s="10" t="s">
        <v>31</v>
      </c>
      <c r="C73" s="11" t="s">
        <v>32</v>
      </c>
      <c r="D73" s="12" t="s">
        <v>33</v>
      </c>
      <c r="E73" s="11" t="s">
        <v>34</v>
      </c>
      <c r="F73" s="12" t="s">
        <v>35</v>
      </c>
      <c r="G73" s="11" t="s">
        <v>281</v>
      </c>
      <c r="H73" s="12" t="s">
        <v>282</v>
      </c>
      <c r="I73" s="12" t="s">
        <v>283</v>
      </c>
      <c r="J73" s="12" t="s">
        <v>284</v>
      </c>
      <c r="K73" s="11" t="s">
        <v>285</v>
      </c>
      <c r="L73" s="12" t="s">
        <v>286</v>
      </c>
      <c r="M73" s="10" t="s">
        <v>287</v>
      </c>
      <c r="N73" s="15">
        <v>0</v>
      </c>
      <c r="O73" s="16">
        <v>2</v>
      </c>
      <c r="P73" s="16">
        <v>2</v>
      </c>
      <c r="Q73" s="16">
        <v>2</v>
      </c>
      <c r="R73" s="110">
        <v>2</v>
      </c>
      <c r="S73" s="110">
        <v>2</v>
      </c>
      <c r="T73" s="10" t="s">
        <v>92</v>
      </c>
      <c r="U73" s="283" t="s">
        <v>118</v>
      </c>
      <c r="V73" s="10" t="s">
        <v>288</v>
      </c>
      <c r="W73" s="298">
        <v>0</v>
      </c>
      <c r="X73" s="298">
        <v>0</v>
      </c>
      <c r="Y73" s="298">
        <v>0</v>
      </c>
      <c r="Z73" s="299">
        <v>0</v>
      </c>
      <c r="AA73" s="299">
        <v>0</v>
      </c>
      <c r="AB73" s="300">
        <v>0</v>
      </c>
      <c r="AC73" s="301">
        <v>0</v>
      </c>
      <c r="AD73" s="301">
        <v>0</v>
      </c>
      <c r="AE73" s="302">
        <f t="shared" si="11"/>
        <v>0</v>
      </c>
      <c r="AF73" s="63">
        <v>1</v>
      </c>
      <c r="AG73" s="302"/>
      <c r="AH73" s="17">
        <v>2</v>
      </c>
      <c r="AI73" s="17">
        <v>2</v>
      </c>
      <c r="AJ73" s="17">
        <v>2</v>
      </c>
      <c r="AK73" s="109">
        <v>2</v>
      </c>
      <c r="AL73" s="109">
        <v>2</v>
      </c>
      <c r="AM73" s="17" t="e">
        <f>SUM(#REF!)</f>
        <v>#REF!</v>
      </c>
      <c r="AN73" s="18" t="s">
        <v>92</v>
      </c>
      <c r="AO73" s="18" t="s">
        <v>118</v>
      </c>
      <c r="AP73" s="10" t="s">
        <v>193</v>
      </c>
    </row>
    <row r="74" spans="1:42" x14ac:dyDescent="0.3">
      <c r="A74" s="9" t="s">
        <v>30</v>
      </c>
      <c r="B74" s="10" t="s">
        <v>31</v>
      </c>
      <c r="C74" s="11" t="s">
        <v>32</v>
      </c>
      <c r="D74" s="12" t="s">
        <v>33</v>
      </c>
      <c r="E74" s="11" t="s">
        <v>34</v>
      </c>
      <c r="F74" s="12" t="s">
        <v>35</v>
      </c>
      <c r="G74" s="11" t="s">
        <v>281</v>
      </c>
      <c r="H74" s="12" t="s">
        <v>282</v>
      </c>
      <c r="I74" s="12" t="s">
        <v>289</v>
      </c>
      <c r="J74" s="12" t="s">
        <v>290</v>
      </c>
      <c r="K74" s="11" t="s">
        <v>291</v>
      </c>
      <c r="L74" s="12" t="s">
        <v>292</v>
      </c>
      <c r="M74" s="10" t="s">
        <v>293</v>
      </c>
      <c r="N74" s="15">
        <v>120</v>
      </c>
      <c r="O74" s="16">
        <v>100</v>
      </c>
      <c r="P74" s="16">
        <v>200</v>
      </c>
      <c r="Q74" s="16">
        <v>200</v>
      </c>
      <c r="R74" s="110">
        <v>200</v>
      </c>
      <c r="S74" s="110">
        <v>200</v>
      </c>
      <c r="T74" s="10" t="s">
        <v>92</v>
      </c>
      <c r="U74" s="283" t="s">
        <v>118</v>
      </c>
      <c r="V74" s="10" t="s">
        <v>294</v>
      </c>
      <c r="W74" s="298">
        <v>1</v>
      </c>
      <c r="X74" s="298">
        <v>0</v>
      </c>
      <c r="Y74" s="298">
        <v>0</v>
      </c>
      <c r="Z74" s="299">
        <v>1</v>
      </c>
      <c r="AA74" s="299">
        <v>1</v>
      </c>
      <c r="AB74" s="300">
        <v>1</v>
      </c>
      <c r="AC74" s="301">
        <v>1</v>
      </c>
      <c r="AD74" s="301">
        <v>1</v>
      </c>
      <c r="AE74" s="302">
        <f t="shared" si="11"/>
        <v>0.75</v>
      </c>
      <c r="AF74" s="63">
        <v>0</v>
      </c>
      <c r="AG74" s="302"/>
      <c r="AH74" s="17">
        <v>0.5</v>
      </c>
      <c r="AI74" s="17">
        <v>0.5</v>
      </c>
      <c r="AJ74" s="17">
        <v>0.5</v>
      </c>
      <c r="AK74" s="127">
        <v>0.4</v>
      </c>
      <c r="AL74" s="127">
        <v>0.4</v>
      </c>
      <c r="AM74" s="147">
        <f t="shared" ref="AM74:AM76" si="13">SUM(AK74:AL74)</f>
        <v>0.8</v>
      </c>
      <c r="AN74" s="18" t="s">
        <v>92</v>
      </c>
      <c r="AO74" s="18" t="s">
        <v>118</v>
      </c>
      <c r="AP74" s="10" t="s">
        <v>295</v>
      </c>
    </row>
    <row r="75" spans="1:42" x14ac:dyDescent="0.3">
      <c r="A75" s="9" t="s">
        <v>30</v>
      </c>
      <c r="B75" s="10" t="s">
        <v>31</v>
      </c>
      <c r="C75" s="11" t="s">
        <v>32</v>
      </c>
      <c r="D75" s="12" t="s">
        <v>33</v>
      </c>
      <c r="E75" s="11" t="s">
        <v>34</v>
      </c>
      <c r="F75" s="12" t="s">
        <v>35</v>
      </c>
      <c r="G75" s="11" t="s">
        <v>281</v>
      </c>
      <c r="H75" s="12" t="s">
        <v>282</v>
      </c>
      <c r="I75" s="12" t="s">
        <v>289</v>
      </c>
      <c r="J75" s="12" t="s">
        <v>290</v>
      </c>
      <c r="K75" s="11" t="s">
        <v>291</v>
      </c>
      <c r="L75" s="12" t="s">
        <v>292</v>
      </c>
      <c r="M75" s="10" t="s">
        <v>296</v>
      </c>
      <c r="N75" s="15">
        <v>0</v>
      </c>
      <c r="O75" s="16">
        <v>50</v>
      </c>
      <c r="P75" s="16">
        <v>200</v>
      </c>
      <c r="Q75" s="16">
        <v>300</v>
      </c>
      <c r="R75" s="110">
        <v>300</v>
      </c>
      <c r="S75" s="110">
        <v>150</v>
      </c>
      <c r="T75" s="10" t="s">
        <v>92</v>
      </c>
      <c r="U75" s="283" t="s">
        <v>118</v>
      </c>
      <c r="V75" s="10" t="s">
        <v>294</v>
      </c>
      <c r="W75" s="298">
        <v>1</v>
      </c>
      <c r="X75" s="298">
        <v>0</v>
      </c>
      <c r="Y75" s="298">
        <v>0</v>
      </c>
      <c r="Z75" s="299">
        <v>1</v>
      </c>
      <c r="AA75" s="299">
        <v>1</v>
      </c>
      <c r="AB75" s="300">
        <v>1</v>
      </c>
      <c r="AC75" s="301">
        <v>1</v>
      </c>
      <c r="AD75" s="301">
        <v>1</v>
      </c>
      <c r="AE75" s="302">
        <f t="shared" si="11"/>
        <v>0.75</v>
      </c>
      <c r="AF75" s="63">
        <v>0</v>
      </c>
      <c r="AG75" s="302"/>
      <c r="AH75" s="17"/>
      <c r="AI75" s="17"/>
      <c r="AJ75" s="17"/>
      <c r="AK75" s="109">
        <v>0.2</v>
      </c>
      <c r="AL75" s="109">
        <v>0.1</v>
      </c>
      <c r="AM75" s="147">
        <f t="shared" si="13"/>
        <v>0.30000000000000004</v>
      </c>
      <c r="AN75" s="18" t="s">
        <v>43</v>
      </c>
      <c r="AO75" s="18" t="s">
        <v>45</v>
      </c>
      <c r="AP75" s="10" t="s">
        <v>92</v>
      </c>
    </row>
    <row r="76" spans="1:42" x14ac:dyDescent="0.3">
      <c r="A76" s="9" t="s">
        <v>30</v>
      </c>
      <c r="B76" s="10" t="s">
        <v>31</v>
      </c>
      <c r="C76" s="11" t="s">
        <v>32</v>
      </c>
      <c r="D76" s="12" t="s">
        <v>33</v>
      </c>
      <c r="E76" s="11" t="s">
        <v>34</v>
      </c>
      <c r="F76" s="12" t="s">
        <v>35</v>
      </c>
      <c r="G76" s="11" t="s">
        <v>281</v>
      </c>
      <c r="H76" s="12" t="s">
        <v>282</v>
      </c>
      <c r="I76" s="12" t="s">
        <v>289</v>
      </c>
      <c r="J76" s="12" t="s">
        <v>290</v>
      </c>
      <c r="K76" s="11" t="s">
        <v>297</v>
      </c>
      <c r="L76" s="12" t="s">
        <v>298</v>
      </c>
      <c r="M76" s="10" t="s">
        <v>299</v>
      </c>
      <c r="N76" s="15">
        <v>45</v>
      </c>
      <c r="O76" s="16">
        <v>50</v>
      </c>
      <c r="P76" s="16">
        <v>65</v>
      </c>
      <c r="Q76" s="16">
        <v>80</v>
      </c>
      <c r="R76" s="110">
        <v>100</v>
      </c>
      <c r="S76" s="110">
        <v>120</v>
      </c>
      <c r="T76" s="10" t="s">
        <v>92</v>
      </c>
      <c r="U76" s="283" t="s">
        <v>118</v>
      </c>
      <c r="V76" s="10" t="s">
        <v>300</v>
      </c>
      <c r="W76" s="298">
        <v>1</v>
      </c>
      <c r="X76" s="298">
        <v>0</v>
      </c>
      <c r="Y76" s="298">
        <v>0</v>
      </c>
      <c r="Z76" s="299">
        <v>1</v>
      </c>
      <c r="AA76" s="299">
        <v>1</v>
      </c>
      <c r="AB76" s="300">
        <v>1</v>
      </c>
      <c r="AC76" s="301">
        <v>1</v>
      </c>
      <c r="AD76" s="301">
        <v>1</v>
      </c>
      <c r="AE76" s="302">
        <f t="shared" si="11"/>
        <v>0.75</v>
      </c>
      <c r="AF76" s="63">
        <v>0</v>
      </c>
      <c r="AG76" s="302"/>
      <c r="AH76" s="17"/>
      <c r="AI76" s="17"/>
      <c r="AJ76" s="17"/>
      <c r="AK76" s="127">
        <v>0.1</v>
      </c>
      <c r="AL76" s="127">
        <v>0.1</v>
      </c>
      <c r="AM76" s="147">
        <f t="shared" si="13"/>
        <v>0.2</v>
      </c>
      <c r="AN76" s="18" t="s">
        <v>92</v>
      </c>
      <c r="AO76" s="18" t="s">
        <v>118</v>
      </c>
      <c r="AP76" s="10" t="s">
        <v>301</v>
      </c>
    </row>
    <row r="77" spans="1:42" hidden="1" x14ac:dyDescent="0.3">
      <c r="A77" s="9" t="s">
        <v>30</v>
      </c>
      <c r="B77" s="10" t="s">
        <v>31</v>
      </c>
      <c r="C77" s="11" t="s">
        <v>32</v>
      </c>
      <c r="D77" s="12" t="s">
        <v>33</v>
      </c>
      <c r="E77" s="11" t="s">
        <v>34</v>
      </c>
      <c r="F77" s="12" t="s">
        <v>35</v>
      </c>
      <c r="G77" s="11" t="s">
        <v>281</v>
      </c>
      <c r="H77" s="12" t="s">
        <v>282</v>
      </c>
      <c r="I77" s="12" t="s">
        <v>289</v>
      </c>
      <c r="J77" s="12" t="s">
        <v>290</v>
      </c>
      <c r="K77" s="11" t="s">
        <v>302</v>
      </c>
      <c r="L77" s="12" t="s">
        <v>303</v>
      </c>
      <c r="M77" s="10" t="s">
        <v>304</v>
      </c>
      <c r="N77" s="15">
        <v>0</v>
      </c>
      <c r="O77" s="16">
        <v>0</v>
      </c>
      <c r="P77" s="16">
        <v>30</v>
      </c>
      <c r="Q77" s="16">
        <v>30</v>
      </c>
      <c r="R77" s="110">
        <v>30</v>
      </c>
      <c r="S77" s="110">
        <v>26</v>
      </c>
      <c r="T77" s="10" t="s">
        <v>239</v>
      </c>
      <c r="U77" s="283" t="s">
        <v>241</v>
      </c>
      <c r="V77" s="10" t="s">
        <v>305</v>
      </c>
      <c r="W77" s="298">
        <v>1</v>
      </c>
      <c r="X77" s="298">
        <v>0</v>
      </c>
      <c r="Y77" s="298">
        <v>0</v>
      </c>
      <c r="Z77" s="299">
        <v>1</v>
      </c>
      <c r="AA77" s="299">
        <v>0</v>
      </c>
      <c r="AB77" s="300">
        <v>0</v>
      </c>
      <c r="AC77" s="301">
        <v>1</v>
      </c>
      <c r="AD77" s="301">
        <v>0</v>
      </c>
      <c r="AE77" s="302">
        <f t="shared" si="11"/>
        <v>0.375</v>
      </c>
      <c r="AF77" s="63">
        <v>1</v>
      </c>
      <c r="AG77" s="302">
        <v>0.01</v>
      </c>
      <c r="AH77" s="17"/>
      <c r="AI77" s="17"/>
      <c r="AJ77" s="17"/>
      <c r="AK77" s="109"/>
      <c r="AL77" s="109"/>
      <c r="AM77" s="17" t="e">
        <f>SUM(#REF!)</f>
        <v>#REF!</v>
      </c>
      <c r="AN77" s="10" t="s">
        <v>239</v>
      </c>
      <c r="AO77" s="18" t="s">
        <v>241</v>
      </c>
      <c r="AP77" s="10" t="s">
        <v>306</v>
      </c>
    </row>
    <row r="78" spans="1:42" x14ac:dyDescent="0.3">
      <c r="A78" s="9" t="s">
        <v>30</v>
      </c>
      <c r="B78" s="10" t="s">
        <v>31</v>
      </c>
      <c r="C78" s="11" t="s">
        <v>32</v>
      </c>
      <c r="D78" s="12" t="s">
        <v>33</v>
      </c>
      <c r="E78" s="11" t="s">
        <v>34</v>
      </c>
      <c r="F78" s="12" t="s">
        <v>35</v>
      </c>
      <c r="G78" s="11" t="s">
        <v>281</v>
      </c>
      <c r="H78" s="12" t="s">
        <v>282</v>
      </c>
      <c r="I78" s="12" t="s">
        <v>289</v>
      </c>
      <c r="J78" s="12" t="s">
        <v>290</v>
      </c>
      <c r="K78" s="11" t="s">
        <v>307</v>
      </c>
      <c r="L78" s="12" t="s">
        <v>292</v>
      </c>
      <c r="M78" s="10" t="s">
        <v>308</v>
      </c>
      <c r="N78" s="15">
        <v>68</v>
      </c>
      <c r="O78" s="16">
        <v>32</v>
      </c>
      <c r="P78" s="16">
        <v>32</v>
      </c>
      <c r="Q78" s="16">
        <v>32</v>
      </c>
      <c r="R78" s="110">
        <v>32</v>
      </c>
      <c r="S78" s="110">
        <v>40</v>
      </c>
      <c r="T78" s="10" t="s">
        <v>92</v>
      </c>
      <c r="U78" s="283" t="s">
        <v>118</v>
      </c>
      <c r="V78" s="10" t="s">
        <v>309</v>
      </c>
      <c r="W78" s="298">
        <v>1</v>
      </c>
      <c r="X78" s="298">
        <v>1</v>
      </c>
      <c r="Y78" s="298">
        <v>1</v>
      </c>
      <c r="Z78" s="299">
        <v>1</v>
      </c>
      <c r="AA78" s="299">
        <v>1</v>
      </c>
      <c r="AB78" s="300">
        <v>0</v>
      </c>
      <c r="AC78" s="301">
        <v>1</v>
      </c>
      <c r="AD78" s="301">
        <v>0</v>
      </c>
      <c r="AE78" s="302">
        <f t="shared" si="11"/>
        <v>0.75</v>
      </c>
      <c r="AF78" s="63">
        <v>0</v>
      </c>
      <c r="AG78" s="302"/>
      <c r="AH78" s="17">
        <v>1.5</v>
      </c>
      <c r="AI78" s="17">
        <v>1.5</v>
      </c>
      <c r="AJ78" s="17">
        <v>1.5</v>
      </c>
      <c r="AK78" s="109">
        <v>1.5</v>
      </c>
      <c r="AL78" s="109">
        <v>1.5</v>
      </c>
      <c r="AM78" s="147">
        <f t="shared" ref="AM78:AM79" si="14">SUM(AK78:AL78)</f>
        <v>3</v>
      </c>
      <c r="AN78" s="18" t="s">
        <v>92</v>
      </c>
      <c r="AO78" s="18" t="s">
        <v>118</v>
      </c>
      <c r="AP78" s="10" t="s">
        <v>255</v>
      </c>
    </row>
    <row r="79" spans="1:42" x14ac:dyDescent="0.3">
      <c r="A79" s="9" t="s">
        <v>30</v>
      </c>
      <c r="B79" s="10" t="s">
        <v>31</v>
      </c>
      <c r="C79" s="11" t="s">
        <v>32</v>
      </c>
      <c r="D79" s="12" t="s">
        <v>33</v>
      </c>
      <c r="E79" s="11" t="s">
        <v>34</v>
      </c>
      <c r="F79" s="12" t="s">
        <v>35</v>
      </c>
      <c r="G79" s="11" t="s">
        <v>281</v>
      </c>
      <c r="H79" s="12" t="s">
        <v>282</v>
      </c>
      <c r="I79" s="12" t="s">
        <v>289</v>
      </c>
      <c r="J79" s="12" t="s">
        <v>290</v>
      </c>
      <c r="K79" s="11" t="s">
        <v>307</v>
      </c>
      <c r="L79" s="12" t="s">
        <v>292</v>
      </c>
      <c r="M79" s="10" t="s">
        <v>310</v>
      </c>
      <c r="N79" s="15">
        <v>0</v>
      </c>
      <c r="O79" s="16">
        <v>25</v>
      </c>
      <c r="P79" s="16">
        <v>25</v>
      </c>
      <c r="Q79" s="16">
        <v>25</v>
      </c>
      <c r="R79" s="110">
        <v>25</v>
      </c>
      <c r="S79" s="110">
        <v>25</v>
      </c>
      <c r="T79" s="10" t="s">
        <v>92</v>
      </c>
      <c r="U79" s="283" t="s">
        <v>118</v>
      </c>
      <c r="V79" s="10" t="s">
        <v>311</v>
      </c>
      <c r="W79" s="298">
        <v>1</v>
      </c>
      <c r="X79" s="298">
        <v>1</v>
      </c>
      <c r="Y79" s="298">
        <v>1</v>
      </c>
      <c r="Z79" s="299">
        <v>1</v>
      </c>
      <c r="AA79" s="299">
        <v>1</v>
      </c>
      <c r="AB79" s="300">
        <v>1</v>
      </c>
      <c r="AC79" s="301">
        <v>1</v>
      </c>
      <c r="AD79" s="301">
        <v>0</v>
      </c>
      <c r="AE79" s="302">
        <f t="shared" si="11"/>
        <v>0.875</v>
      </c>
      <c r="AF79" s="63">
        <v>0</v>
      </c>
      <c r="AG79" s="302"/>
      <c r="AH79" s="17">
        <v>0.5</v>
      </c>
      <c r="AI79" s="17">
        <v>0.5</v>
      </c>
      <c r="AJ79" s="17">
        <v>0.5</v>
      </c>
      <c r="AK79" s="109">
        <v>0.5</v>
      </c>
      <c r="AL79" s="109">
        <v>0.5</v>
      </c>
      <c r="AM79" s="147">
        <f t="shared" si="14"/>
        <v>1</v>
      </c>
      <c r="AN79" s="18" t="s">
        <v>67</v>
      </c>
      <c r="AO79" s="18" t="s">
        <v>68</v>
      </c>
      <c r="AP79" s="10" t="s">
        <v>312</v>
      </c>
    </row>
    <row r="80" spans="1:42" hidden="1" x14ac:dyDescent="0.3">
      <c r="A80" s="9" t="s">
        <v>30</v>
      </c>
      <c r="B80" s="10" t="s">
        <v>31</v>
      </c>
      <c r="C80" s="11" t="s">
        <v>32</v>
      </c>
      <c r="D80" s="12" t="s">
        <v>33</v>
      </c>
      <c r="E80" s="11" t="s">
        <v>34</v>
      </c>
      <c r="F80" s="12" t="s">
        <v>35</v>
      </c>
      <c r="G80" s="11" t="s">
        <v>281</v>
      </c>
      <c r="H80" s="12" t="s">
        <v>282</v>
      </c>
      <c r="I80" s="12" t="s">
        <v>289</v>
      </c>
      <c r="J80" s="12" t="s">
        <v>290</v>
      </c>
      <c r="K80" s="11" t="s">
        <v>307</v>
      </c>
      <c r="L80" s="12" t="s">
        <v>292</v>
      </c>
      <c r="M80" s="10" t="s">
        <v>313</v>
      </c>
      <c r="N80" s="15">
        <v>0</v>
      </c>
      <c r="O80" s="21">
        <v>0</v>
      </c>
      <c r="P80" s="16">
        <v>1</v>
      </c>
      <c r="Q80" s="16">
        <v>1</v>
      </c>
      <c r="R80" s="110">
        <v>1</v>
      </c>
      <c r="S80" s="110"/>
      <c r="T80" s="10" t="s">
        <v>92</v>
      </c>
      <c r="U80" s="283" t="s">
        <v>118</v>
      </c>
      <c r="V80" s="10" t="s">
        <v>314</v>
      </c>
      <c r="W80" s="298">
        <v>1</v>
      </c>
      <c r="X80" s="298">
        <v>0</v>
      </c>
      <c r="Y80" s="298">
        <v>0</v>
      </c>
      <c r="Z80" s="299">
        <v>1</v>
      </c>
      <c r="AA80" s="299">
        <v>1</v>
      </c>
      <c r="AB80" s="300">
        <v>0</v>
      </c>
      <c r="AC80" s="301">
        <v>1</v>
      </c>
      <c r="AD80" s="301">
        <v>0</v>
      </c>
      <c r="AE80" s="302">
        <f t="shared" si="11"/>
        <v>0.5</v>
      </c>
      <c r="AF80" s="63">
        <v>0</v>
      </c>
      <c r="AG80" s="302"/>
      <c r="AH80" s="17">
        <v>0</v>
      </c>
      <c r="AI80" s="17">
        <v>1</v>
      </c>
      <c r="AJ80" s="17">
        <v>1</v>
      </c>
      <c r="AK80" s="109"/>
      <c r="AL80" s="109"/>
      <c r="AM80" s="17" t="e">
        <f>SUM(#REF!)</f>
        <v>#REF!</v>
      </c>
      <c r="AN80" s="18" t="s">
        <v>92</v>
      </c>
      <c r="AO80" s="18" t="s">
        <v>118</v>
      </c>
      <c r="AP80" s="10" t="s">
        <v>315</v>
      </c>
    </row>
    <row r="81" spans="1:42" x14ac:dyDescent="0.3">
      <c r="A81" s="9" t="s">
        <v>30</v>
      </c>
      <c r="B81" s="10" t="s">
        <v>31</v>
      </c>
      <c r="C81" s="11" t="s">
        <v>32</v>
      </c>
      <c r="D81" s="12" t="s">
        <v>33</v>
      </c>
      <c r="E81" s="11" t="s">
        <v>34</v>
      </c>
      <c r="F81" s="12" t="s">
        <v>35</v>
      </c>
      <c r="G81" s="11" t="s">
        <v>281</v>
      </c>
      <c r="H81" s="12" t="s">
        <v>282</v>
      </c>
      <c r="I81" s="12" t="s">
        <v>289</v>
      </c>
      <c r="J81" s="12" t="s">
        <v>290</v>
      </c>
      <c r="K81" s="11" t="s">
        <v>307</v>
      </c>
      <c r="L81" s="12" t="s">
        <v>292</v>
      </c>
      <c r="M81" s="10" t="s">
        <v>316</v>
      </c>
      <c r="N81" s="15">
        <v>0</v>
      </c>
      <c r="O81" s="16">
        <v>1</v>
      </c>
      <c r="P81" s="16">
        <v>1</v>
      </c>
      <c r="Q81" s="16">
        <v>1</v>
      </c>
      <c r="R81" s="110">
        <v>1</v>
      </c>
      <c r="S81" s="110">
        <v>1</v>
      </c>
      <c r="T81" s="10" t="s">
        <v>92</v>
      </c>
      <c r="U81" s="283" t="s">
        <v>118</v>
      </c>
      <c r="V81" s="10" t="s">
        <v>317</v>
      </c>
      <c r="W81" s="298">
        <v>1</v>
      </c>
      <c r="X81" s="298">
        <v>0</v>
      </c>
      <c r="Y81" s="298">
        <v>0</v>
      </c>
      <c r="Z81" s="299">
        <v>1</v>
      </c>
      <c r="AA81" s="299">
        <v>1</v>
      </c>
      <c r="AB81" s="300">
        <v>1</v>
      </c>
      <c r="AC81" s="301">
        <v>1</v>
      </c>
      <c r="AD81" s="301">
        <v>1</v>
      </c>
      <c r="AE81" s="302">
        <f t="shared" si="11"/>
        <v>0.75</v>
      </c>
      <c r="AF81" s="63">
        <v>0</v>
      </c>
      <c r="AG81" s="302"/>
      <c r="AH81" s="17">
        <v>5.5</v>
      </c>
      <c r="AI81" s="17">
        <v>10.5</v>
      </c>
      <c r="AJ81" s="17">
        <v>12.5</v>
      </c>
      <c r="AK81" s="127">
        <v>1.2</v>
      </c>
      <c r="AL81" s="127">
        <v>3.7</v>
      </c>
      <c r="AM81" s="147">
        <f t="shared" ref="AM81:AM85" si="15">SUM(AK81:AL81)</f>
        <v>4.9000000000000004</v>
      </c>
      <c r="AN81" s="18" t="s">
        <v>92</v>
      </c>
      <c r="AO81" s="18" t="s">
        <v>118</v>
      </c>
      <c r="AP81" s="10" t="s">
        <v>318</v>
      </c>
    </row>
    <row r="82" spans="1:42" x14ac:dyDescent="0.3">
      <c r="A82" s="9" t="s">
        <v>30</v>
      </c>
      <c r="B82" s="10" t="s">
        <v>31</v>
      </c>
      <c r="C82" s="11" t="s">
        <v>32</v>
      </c>
      <c r="D82" s="12" t="s">
        <v>33</v>
      </c>
      <c r="E82" s="11" t="s">
        <v>34</v>
      </c>
      <c r="F82" s="12" t="s">
        <v>35</v>
      </c>
      <c r="G82" s="11" t="s">
        <v>281</v>
      </c>
      <c r="H82" s="12" t="s">
        <v>282</v>
      </c>
      <c r="I82" s="12" t="s">
        <v>289</v>
      </c>
      <c r="J82" s="12" t="s">
        <v>290</v>
      </c>
      <c r="K82" s="11" t="s">
        <v>307</v>
      </c>
      <c r="L82" s="12" t="s">
        <v>292</v>
      </c>
      <c r="M82" s="10" t="s">
        <v>319</v>
      </c>
      <c r="N82" s="15">
        <v>0</v>
      </c>
      <c r="O82" s="16">
        <v>1</v>
      </c>
      <c r="P82" s="16">
        <v>1</v>
      </c>
      <c r="Q82" s="16">
        <v>1</v>
      </c>
      <c r="R82" s="110">
        <v>1</v>
      </c>
      <c r="S82" s="110">
        <v>1</v>
      </c>
      <c r="T82" s="10" t="s">
        <v>92</v>
      </c>
      <c r="U82" s="283" t="s">
        <v>118</v>
      </c>
      <c r="V82" s="10" t="s">
        <v>320</v>
      </c>
      <c r="W82" s="298">
        <v>1</v>
      </c>
      <c r="X82" s="298">
        <v>0</v>
      </c>
      <c r="Y82" s="298">
        <v>0</v>
      </c>
      <c r="Z82" s="299">
        <v>1</v>
      </c>
      <c r="AA82" s="299">
        <v>1</v>
      </c>
      <c r="AB82" s="300">
        <v>1</v>
      </c>
      <c r="AC82" s="301">
        <v>1</v>
      </c>
      <c r="AD82" s="301">
        <v>1</v>
      </c>
      <c r="AE82" s="302">
        <f t="shared" si="11"/>
        <v>0.75</v>
      </c>
      <c r="AF82" s="63">
        <v>0</v>
      </c>
      <c r="AG82" s="302"/>
      <c r="AH82" s="17"/>
      <c r="AI82" s="17"/>
      <c r="AJ82" s="17"/>
      <c r="AK82" s="127">
        <v>1.2</v>
      </c>
      <c r="AL82" s="127">
        <v>3.7</v>
      </c>
      <c r="AM82" s="147">
        <f t="shared" si="15"/>
        <v>4.9000000000000004</v>
      </c>
      <c r="AN82" s="18" t="s">
        <v>92</v>
      </c>
      <c r="AO82" s="18" t="s">
        <v>118</v>
      </c>
      <c r="AP82" s="10" t="s">
        <v>321</v>
      </c>
    </row>
    <row r="83" spans="1:42" x14ac:dyDescent="0.3">
      <c r="A83" s="9" t="s">
        <v>30</v>
      </c>
      <c r="B83" s="10" t="s">
        <v>31</v>
      </c>
      <c r="C83" s="11" t="s">
        <v>32</v>
      </c>
      <c r="D83" s="12" t="s">
        <v>33</v>
      </c>
      <c r="E83" s="11" t="s">
        <v>34</v>
      </c>
      <c r="F83" s="12" t="s">
        <v>35</v>
      </c>
      <c r="G83" s="11" t="s">
        <v>281</v>
      </c>
      <c r="H83" s="12" t="s">
        <v>282</v>
      </c>
      <c r="I83" s="12" t="s">
        <v>289</v>
      </c>
      <c r="J83" s="12" t="s">
        <v>290</v>
      </c>
      <c r="K83" s="11" t="s">
        <v>307</v>
      </c>
      <c r="L83" s="12" t="s">
        <v>292</v>
      </c>
      <c r="M83" s="10" t="s">
        <v>322</v>
      </c>
      <c r="N83" s="15">
        <v>5000000</v>
      </c>
      <c r="O83" s="31">
        <v>5000000</v>
      </c>
      <c r="P83" s="31">
        <v>5000000</v>
      </c>
      <c r="Q83" s="31">
        <v>5000000</v>
      </c>
      <c r="R83" s="131">
        <v>4000000</v>
      </c>
      <c r="S83" s="131">
        <v>4000000</v>
      </c>
      <c r="T83" s="18" t="s">
        <v>156</v>
      </c>
      <c r="U83" s="283" t="s">
        <v>158</v>
      </c>
      <c r="V83" s="10" t="s">
        <v>323</v>
      </c>
      <c r="W83" s="298">
        <v>1</v>
      </c>
      <c r="X83" s="298">
        <v>1</v>
      </c>
      <c r="Y83" s="298">
        <v>1</v>
      </c>
      <c r="Z83" s="299">
        <v>1</v>
      </c>
      <c r="AA83" s="299">
        <v>1</v>
      </c>
      <c r="AB83" s="300">
        <v>1</v>
      </c>
      <c r="AC83" s="301">
        <v>1</v>
      </c>
      <c r="AD83" s="301">
        <v>0</v>
      </c>
      <c r="AE83" s="302">
        <f t="shared" si="11"/>
        <v>0.875</v>
      </c>
      <c r="AF83" s="63">
        <v>0</v>
      </c>
      <c r="AG83" s="302"/>
      <c r="AH83" s="17">
        <v>0</v>
      </c>
      <c r="AI83" s="17">
        <v>13.5</v>
      </c>
      <c r="AJ83" s="17">
        <v>16.5</v>
      </c>
      <c r="AK83" s="127">
        <v>10.5</v>
      </c>
      <c r="AL83" s="127">
        <v>15.5</v>
      </c>
      <c r="AM83" s="147">
        <f t="shared" si="15"/>
        <v>26</v>
      </c>
      <c r="AN83" s="18" t="s">
        <v>156</v>
      </c>
      <c r="AO83" s="18" t="s">
        <v>158</v>
      </c>
      <c r="AP83" s="10" t="s">
        <v>324</v>
      </c>
    </row>
    <row r="84" spans="1:42" x14ac:dyDescent="0.3">
      <c r="A84" s="9" t="s">
        <v>30</v>
      </c>
      <c r="B84" s="10" t="s">
        <v>31</v>
      </c>
      <c r="C84" s="11" t="s">
        <v>32</v>
      </c>
      <c r="D84" s="12" t="s">
        <v>33</v>
      </c>
      <c r="E84" s="11" t="s">
        <v>34</v>
      </c>
      <c r="F84" s="12" t="s">
        <v>35</v>
      </c>
      <c r="G84" s="11" t="s">
        <v>281</v>
      </c>
      <c r="H84" s="12" t="s">
        <v>282</v>
      </c>
      <c r="I84" s="12" t="s">
        <v>289</v>
      </c>
      <c r="J84" s="12" t="s">
        <v>290</v>
      </c>
      <c r="K84" s="11" t="s">
        <v>307</v>
      </c>
      <c r="L84" s="12" t="s">
        <v>292</v>
      </c>
      <c r="M84" s="10" t="s">
        <v>325</v>
      </c>
      <c r="N84" s="15">
        <v>0</v>
      </c>
      <c r="O84" s="17">
        <v>0</v>
      </c>
      <c r="P84" s="16"/>
      <c r="Q84" s="16"/>
      <c r="R84" s="110"/>
      <c r="S84" s="110">
        <v>1</v>
      </c>
      <c r="T84" s="18" t="s">
        <v>326</v>
      </c>
      <c r="U84" s="283" t="s">
        <v>328</v>
      </c>
      <c r="V84" s="10" t="s">
        <v>327</v>
      </c>
      <c r="W84" s="298">
        <v>1</v>
      </c>
      <c r="X84" s="298">
        <v>1</v>
      </c>
      <c r="Y84" s="298">
        <v>0</v>
      </c>
      <c r="Z84" s="299">
        <v>1</v>
      </c>
      <c r="AA84" s="299">
        <v>1</v>
      </c>
      <c r="AB84" s="300">
        <v>1</v>
      </c>
      <c r="AC84" s="301">
        <v>1</v>
      </c>
      <c r="AD84" s="301">
        <v>1</v>
      </c>
      <c r="AE84" s="302">
        <f t="shared" si="11"/>
        <v>0.875</v>
      </c>
      <c r="AF84" s="63">
        <v>0</v>
      </c>
      <c r="AG84" s="302"/>
      <c r="AH84" s="17">
        <v>1.2</v>
      </c>
      <c r="AI84" s="17">
        <v>1.5</v>
      </c>
      <c r="AJ84" s="17">
        <v>0.7</v>
      </c>
      <c r="AK84" s="127">
        <v>0.5</v>
      </c>
      <c r="AL84" s="127">
        <v>1</v>
      </c>
      <c r="AM84" s="147">
        <f t="shared" si="15"/>
        <v>1.5</v>
      </c>
      <c r="AN84" s="18" t="s">
        <v>326</v>
      </c>
      <c r="AO84" s="18" t="s">
        <v>328</v>
      </c>
      <c r="AP84" s="10" t="s">
        <v>329</v>
      </c>
    </row>
    <row r="85" spans="1:42" s="294" customFormat="1" x14ac:dyDescent="0.3">
      <c r="A85" s="91" t="s">
        <v>30</v>
      </c>
      <c r="B85" s="92" t="s">
        <v>31</v>
      </c>
      <c r="C85" s="93" t="s">
        <v>32</v>
      </c>
      <c r="D85" s="94" t="s">
        <v>33</v>
      </c>
      <c r="E85" s="93" t="s">
        <v>34</v>
      </c>
      <c r="F85" s="94" t="s">
        <v>35</v>
      </c>
      <c r="G85" s="93" t="s">
        <v>281</v>
      </c>
      <c r="H85" s="94" t="s">
        <v>282</v>
      </c>
      <c r="I85" s="94" t="s">
        <v>289</v>
      </c>
      <c r="J85" s="94" t="s">
        <v>290</v>
      </c>
      <c r="K85" s="93" t="s">
        <v>330</v>
      </c>
      <c r="L85" s="94" t="s">
        <v>331</v>
      </c>
      <c r="M85" s="92" t="s">
        <v>332</v>
      </c>
      <c r="N85" s="15">
        <v>0</v>
      </c>
      <c r="O85" s="21">
        <v>0</v>
      </c>
      <c r="P85" s="16"/>
      <c r="Q85" s="16"/>
      <c r="R85" s="110">
        <v>1</v>
      </c>
      <c r="S85" s="110">
        <v>1</v>
      </c>
      <c r="T85" s="10" t="s">
        <v>92</v>
      </c>
      <c r="U85" s="283" t="s">
        <v>118</v>
      </c>
      <c r="V85" s="92" t="s">
        <v>333</v>
      </c>
      <c r="W85" s="298">
        <v>1</v>
      </c>
      <c r="X85" s="298">
        <v>1</v>
      </c>
      <c r="Y85" s="298">
        <v>1</v>
      </c>
      <c r="Z85" s="299">
        <v>1</v>
      </c>
      <c r="AA85" s="299">
        <v>1</v>
      </c>
      <c r="AB85" s="300">
        <v>1</v>
      </c>
      <c r="AC85" s="301">
        <v>1</v>
      </c>
      <c r="AD85" s="301">
        <v>1</v>
      </c>
      <c r="AE85" s="297">
        <f t="shared" si="11"/>
        <v>1</v>
      </c>
      <c r="AF85" s="63">
        <v>0</v>
      </c>
      <c r="AG85" s="297"/>
      <c r="AH85" s="96">
        <v>9.5</v>
      </c>
      <c r="AI85" s="96">
        <v>3</v>
      </c>
      <c r="AJ85" s="96">
        <v>3</v>
      </c>
      <c r="AK85" s="127">
        <v>3.5</v>
      </c>
      <c r="AL85" s="127">
        <v>5.5</v>
      </c>
      <c r="AM85" s="147">
        <f t="shared" si="15"/>
        <v>9</v>
      </c>
      <c r="AN85" s="97" t="s">
        <v>92</v>
      </c>
      <c r="AO85" s="97" t="s">
        <v>118</v>
      </c>
      <c r="AP85" s="92" t="s">
        <v>75</v>
      </c>
    </row>
    <row r="86" spans="1:42" s="309" customFormat="1" hidden="1" x14ac:dyDescent="0.3">
      <c r="A86" s="85" t="s">
        <v>30</v>
      </c>
      <c r="B86" s="86" t="s">
        <v>31</v>
      </c>
      <c r="C86" s="87" t="s">
        <v>32</v>
      </c>
      <c r="D86" s="88" t="s">
        <v>33</v>
      </c>
      <c r="E86" s="87" t="s">
        <v>34</v>
      </c>
      <c r="F86" s="88" t="s">
        <v>35</v>
      </c>
      <c r="G86" s="87" t="s">
        <v>281</v>
      </c>
      <c r="H86" s="88" t="s">
        <v>282</v>
      </c>
      <c r="I86" s="88" t="s">
        <v>289</v>
      </c>
      <c r="J86" s="88" t="s">
        <v>290</v>
      </c>
      <c r="K86" s="87" t="s">
        <v>330</v>
      </c>
      <c r="L86" s="88" t="s">
        <v>331</v>
      </c>
      <c r="M86" s="86" t="s">
        <v>334</v>
      </c>
      <c r="N86" s="15">
        <v>0</v>
      </c>
      <c r="O86" s="3">
        <v>1</v>
      </c>
      <c r="P86" s="3">
        <v>2</v>
      </c>
      <c r="Q86" s="3">
        <v>2</v>
      </c>
      <c r="R86" s="112">
        <v>2</v>
      </c>
      <c r="S86" s="112">
        <v>2</v>
      </c>
      <c r="T86" s="10" t="s">
        <v>92</v>
      </c>
      <c r="U86" s="283" t="s">
        <v>118</v>
      </c>
      <c r="V86" s="67" t="s">
        <v>335</v>
      </c>
      <c r="W86" s="298">
        <v>1</v>
      </c>
      <c r="X86" s="298">
        <v>0</v>
      </c>
      <c r="Y86" s="298">
        <v>0</v>
      </c>
      <c r="Z86" s="299">
        <v>0</v>
      </c>
      <c r="AA86" s="299">
        <v>0</v>
      </c>
      <c r="AB86" s="300">
        <v>0</v>
      </c>
      <c r="AC86" s="301">
        <v>0</v>
      </c>
      <c r="AD86" s="301">
        <v>0</v>
      </c>
      <c r="AE86" s="308">
        <f t="shared" si="11"/>
        <v>0.125</v>
      </c>
      <c r="AF86" s="63">
        <v>0</v>
      </c>
      <c r="AG86" s="308"/>
      <c r="AH86" s="89">
        <v>0</v>
      </c>
      <c r="AI86" s="89">
        <v>3</v>
      </c>
      <c r="AJ86" s="89">
        <v>3</v>
      </c>
      <c r="AK86" s="109"/>
      <c r="AL86" s="109"/>
      <c r="AM86" s="89" t="e">
        <f>SUM(#REF!)</f>
        <v>#REF!</v>
      </c>
      <c r="AN86" s="90" t="s">
        <v>336</v>
      </c>
      <c r="AO86" s="90" t="s">
        <v>118</v>
      </c>
      <c r="AP86" s="86" t="s">
        <v>337</v>
      </c>
    </row>
    <row r="87" spans="1:42" s="294" customFormat="1" x14ac:dyDescent="0.3">
      <c r="A87" s="91" t="s">
        <v>30</v>
      </c>
      <c r="B87" s="92" t="s">
        <v>31</v>
      </c>
      <c r="C87" s="93" t="s">
        <v>32</v>
      </c>
      <c r="D87" s="94" t="s">
        <v>33</v>
      </c>
      <c r="E87" s="93" t="s">
        <v>34</v>
      </c>
      <c r="F87" s="94" t="s">
        <v>35</v>
      </c>
      <c r="G87" s="93" t="s">
        <v>281</v>
      </c>
      <c r="H87" s="94" t="s">
        <v>282</v>
      </c>
      <c r="I87" s="94" t="s">
        <v>289</v>
      </c>
      <c r="J87" s="94" t="s">
        <v>290</v>
      </c>
      <c r="K87" s="93" t="s">
        <v>338</v>
      </c>
      <c r="L87" s="94" t="s">
        <v>339</v>
      </c>
      <c r="M87" s="92" t="s">
        <v>340</v>
      </c>
      <c r="N87" s="15">
        <v>0</v>
      </c>
      <c r="O87" s="21">
        <v>5000</v>
      </c>
      <c r="P87" s="16">
        <v>8250</v>
      </c>
      <c r="Q87" s="16">
        <v>9222</v>
      </c>
      <c r="R87" s="110">
        <v>10628</v>
      </c>
      <c r="S87" s="110">
        <v>12036</v>
      </c>
      <c r="T87" s="10" t="s">
        <v>92</v>
      </c>
      <c r="U87" s="283" t="s">
        <v>118</v>
      </c>
      <c r="V87" s="92" t="s">
        <v>341</v>
      </c>
      <c r="W87" s="298">
        <v>1</v>
      </c>
      <c r="X87" s="298">
        <v>1</v>
      </c>
      <c r="Y87" s="298">
        <v>1</v>
      </c>
      <c r="Z87" s="299">
        <v>1</v>
      </c>
      <c r="AA87" s="299">
        <v>1</v>
      </c>
      <c r="AB87" s="300">
        <v>1</v>
      </c>
      <c r="AC87" s="301">
        <v>1</v>
      </c>
      <c r="AD87" s="301">
        <v>0</v>
      </c>
      <c r="AE87" s="297">
        <f t="shared" si="11"/>
        <v>0.875</v>
      </c>
      <c r="AF87" s="63">
        <v>0</v>
      </c>
      <c r="AG87" s="297"/>
      <c r="AH87" s="96">
        <v>0</v>
      </c>
      <c r="AI87" s="98">
        <v>3</v>
      </c>
      <c r="AJ87" s="98">
        <v>3</v>
      </c>
      <c r="AK87" s="132">
        <v>1.8</v>
      </c>
      <c r="AL87" s="132">
        <v>3.2</v>
      </c>
      <c r="AM87" s="147">
        <f t="shared" ref="AM87" si="16">SUM(AK87:AL87)</f>
        <v>5</v>
      </c>
      <c r="AN87" s="97" t="s">
        <v>336</v>
      </c>
      <c r="AO87" s="97" t="s">
        <v>118</v>
      </c>
      <c r="AP87" s="92" t="s">
        <v>154</v>
      </c>
    </row>
    <row r="88" spans="1:42" hidden="1" x14ac:dyDescent="0.3">
      <c r="A88" s="9" t="s">
        <v>30</v>
      </c>
      <c r="B88" s="10" t="s">
        <v>31</v>
      </c>
      <c r="C88" s="11" t="s">
        <v>32</v>
      </c>
      <c r="D88" s="12" t="s">
        <v>33</v>
      </c>
      <c r="E88" s="11" t="s">
        <v>34</v>
      </c>
      <c r="F88" s="12" t="s">
        <v>35</v>
      </c>
      <c r="G88" s="11" t="s">
        <v>281</v>
      </c>
      <c r="H88" s="12" t="s">
        <v>282</v>
      </c>
      <c r="I88" s="12" t="s">
        <v>289</v>
      </c>
      <c r="J88" s="12" t="s">
        <v>290</v>
      </c>
      <c r="K88" s="11" t="s">
        <v>338</v>
      </c>
      <c r="L88" s="12" t="s">
        <v>342</v>
      </c>
      <c r="M88" s="10" t="s">
        <v>343</v>
      </c>
      <c r="N88" s="15">
        <v>0</v>
      </c>
      <c r="O88" s="21">
        <v>0</v>
      </c>
      <c r="P88" s="16">
        <v>2</v>
      </c>
      <c r="Q88" s="16">
        <v>3</v>
      </c>
      <c r="R88" s="110">
        <v>4</v>
      </c>
      <c r="S88" s="110">
        <v>4</v>
      </c>
      <c r="T88" s="10" t="s">
        <v>92</v>
      </c>
      <c r="U88" s="283" t="s">
        <v>118</v>
      </c>
      <c r="V88" s="10" t="s">
        <v>344</v>
      </c>
      <c r="W88" s="298">
        <v>1</v>
      </c>
      <c r="X88" s="298">
        <v>0</v>
      </c>
      <c r="Y88" s="298">
        <v>0</v>
      </c>
      <c r="Z88" s="299">
        <v>0</v>
      </c>
      <c r="AA88" s="299">
        <v>0</v>
      </c>
      <c r="AB88" s="300">
        <v>1</v>
      </c>
      <c r="AC88" s="301">
        <v>0</v>
      </c>
      <c r="AD88" s="301">
        <v>0</v>
      </c>
      <c r="AE88" s="302">
        <f t="shared" si="11"/>
        <v>0.25</v>
      </c>
      <c r="AF88" s="63">
        <v>0</v>
      </c>
      <c r="AG88" s="302"/>
      <c r="AH88" s="17">
        <v>0</v>
      </c>
      <c r="AI88" s="32">
        <v>5</v>
      </c>
      <c r="AJ88" s="32">
        <v>8</v>
      </c>
      <c r="AK88" s="123"/>
      <c r="AL88" s="123"/>
      <c r="AM88" s="17" t="e">
        <f>SUM(#REF!)</f>
        <v>#REF!</v>
      </c>
      <c r="AN88" s="18" t="s">
        <v>336</v>
      </c>
      <c r="AO88" s="18" t="s">
        <v>118</v>
      </c>
      <c r="AP88" s="10" t="s">
        <v>345</v>
      </c>
    </row>
    <row r="89" spans="1:42" hidden="1" x14ac:dyDescent="0.3">
      <c r="A89" s="9" t="s">
        <v>30</v>
      </c>
      <c r="B89" s="10" t="s">
        <v>31</v>
      </c>
      <c r="C89" s="11" t="s">
        <v>32</v>
      </c>
      <c r="D89" s="12" t="s">
        <v>33</v>
      </c>
      <c r="E89" s="11" t="s">
        <v>34</v>
      </c>
      <c r="F89" s="12" t="s">
        <v>35</v>
      </c>
      <c r="G89" s="11" t="s">
        <v>281</v>
      </c>
      <c r="H89" s="12" t="s">
        <v>282</v>
      </c>
      <c r="I89" s="12" t="s">
        <v>289</v>
      </c>
      <c r="J89" s="12" t="s">
        <v>290</v>
      </c>
      <c r="K89" s="11" t="s">
        <v>346</v>
      </c>
      <c r="L89" s="12" t="s">
        <v>347</v>
      </c>
      <c r="M89" s="10" t="s">
        <v>348</v>
      </c>
      <c r="N89" s="15"/>
      <c r="O89" s="16">
        <v>1</v>
      </c>
      <c r="P89" s="16">
        <v>1</v>
      </c>
      <c r="Q89" s="16">
        <v>1</v>
      </c>
      <c r="R89" s="110">
        <v>1</v>
      </c>
      <c r="S89" s="110">
        <v>1</v>
      </c>
      <c r="T89" s="10" t="s">
        <v>92</v>
      </c>
      <c r="U89" s="283" t="s">
        <v>118</v>
      </c>
      <c r="V89" s="10" t="s">
        <v>349</v>
      </c>
      <c r="W89" s="298">
        <v>1</v>
      </c>
      <c r="X89" s="298">
        <v>0</v>
      </c>
      <c r="Y89" s="298">
        <v>0</v>
      </c>
      <c r="Z89" s="299">
        <v>0</v>
      </c>
      <c r="AA89" s="299">
        <v>0</v>
      </c>
      <c r="AB89" s="300">
        <v>0</v>
      </c>
      <c r="AC89" s="301">
        <v>0</v>
      </c>
      <c r="AD89" s="301">
        <v>1</v>
      </c>
      <c r="AE89" s="302">
        <f t="shared" si="11"/>
        <v>0.25</v>
      </c>
      <c r="AF89" s="63">
        <v>0</v>
      </c>
      <c r="AG89" s="302"/>
      <c r="AH89" s="17">
        <v>26</v>
      </c>
      <c r="AI89" s="17">
        <v>28.5</v>
      </c>
      <c r="AJ89" s="17">
        <v>27.5</v>
      </c>
      <c r="AK89" s="109"/>
      <c r="AL89" s="109"/>
      <c r="AM89" s="17" t="e">
        <f>SUM(#REF!)</f>
        <v>#REF!</v>
      </c>
      <c r="AN89" s="283" t="s">
        <v>92</v>
      </c>
      <c r="AO89" s="18" t="s">
        <v>350</v>
      </c>
      <c r="AP89" s="10" t="s">
        <v>351</v>
      </c>
    </row>
    <row r="90" spans="1:42" x14ac:dyDescent="0.3">
      <c r="A90" s="9" t="s">
        <v>30</v>
      </c>
      <c r="B90" s="10" t="s">
        <v>31</v>
      </c>
      <c r="C90" s="11" t="s">
        <v>32</v>
      </c>
      <c r="D90" s="12" t="s">
        <v>33</v>
      </c>
      <c r="E90" s="11" t="s">
        <v>34</v>
      </c>
      <c r="F90" s="12" t="s">
        <v>35</v>
      </c>
      <c r="G90" s="11" t="s">
        <v>281</v>
      </c>
      <c r="H90" s="12" t="s">
        <v>282</v>
      </c>
      <c r="I90" s="12" t="s">
        <v>289</v>
      </c>
      <c r="J90" s="12" t="s">
        <v>290</v>
      </c>
      <c r="K90" s="11" t="s">
        <v>352</v>
      </c>
      <c r="L90" s="12" t="s">
        <v>353</v>
      </c>
      <c r="M90" s="10" t="s">
        <v>354</v>
      </c>
      <c r="N90" s="15">
        <v>0</v>
      </c>
      <c r="O90" s="17">
        <v>0</v>
      </c>
      <c r="P90" s="26">
        <v>23000000</v>
      </c>
      <c r="Q90" s="26">
        <v>23000000</v>
      </c>
      <c r="R90" s="118">
        <v>23000000</v>
      </c>
      <c r="S90" s="118">
        <v>23000000</v>
      </c>
      <c r="T90" s="18" t="s">
        <v>156</v>
      </c>
      <c r="U90" s="283" t="s">
        <v>158</v>
      </c>
      <c r="V90" s="10" t="s">
        <v>355</v>
      </c>
      <c r="W90" s="298">
        <v>1</v>
      </c>
      <c r="X90" s="298">
        <v>1</v>
      </c>
      <c r="Y90" s="298">
        <v>1</v>
      </c>
      <c r="Z90" s="299">
        <v>1</v>
      </c>
      <c r="AA90" s="299">
        <v>1</v>
      </c>
      <c r="AB90" s="300">
        <v>0</v>
      </c>
      <c r="AC90" s="301">
        <v>1</v>
      </c>
      <c r="AD90" s="301">
        <v>0</v>
      </c>
      <c r="AE90" s="302">
        <f t="shared" si="11"/>
        <v>0.75</v>
      </c>
      <c r="AF90" s="63">
        <v>0</v>
      </c>
      <c r="AG90" s="302"/>
      <c r="AH90" s="17">
        <v>0</v>
      </c>
      <c r="AI90" s="17">
        <v>19.5</v>
      </c>
      <c r="AJ90" s="17">
        <v>19.5</v>
      </c>
      <c r="AK90" s="127">
        <v>15</v>
      </c>
      <c r="AL90" s="127">
        <v>10</v>
      </c>
      <c r="AM90" s="147">
        <f t="shared" ref="AM90:AM93" si="17">SUM(AK90:AL90)</f>
        <v>25</v>
      </c>
      <c r="AN90" s="18" t="s">
        <v>156</v>
      </c>
      <c r="AO90" s="18" t="s">
        <v>158</v>
      </c>
      <c r="AP90" s="10" t="s">
        <v>139</v>
      </c>
    </row>
    <row r="91" spans="1:42" x14ac:dyDescent="0.3">
      <c r="A91" s="9" t="s">
        <v>30</v>
      </c>
      <c r="B91" s="10" t="s">
        <v>31</v>
      </c>
      <c r="C91" s="11" t="s">
        <v>32</v>
      </c>
      <c r="D91" s="12" t="s">
        <v>33</v>
      </c>
      <c r="E91" s="11" t="s">
        <v>34</v>
      </c>
      <c r="F91" s="12" t="s">
        <v>35</v>
      </c>
      <c r="G91" s="11" t="s">
        <v>281</v>
      </c>
      <c r="H91" s="12" t="s">
        <v>282</v>
      </c>
      <c r="I91" s="12" t="s">
        <v>289</v>
      </c>
      <c r="J91" s="12" t="s">
        <v>290</v>
      </c>
      <c r="K91" s="11" t="s">
        <v>356</v>
      </c>
      <c r="L91" s="12" t="s">
        <v>357</v>
      </c>
      <c r="M91" s="10" t="s">
        <v>358</v>
      </c>
      <c r="N91" s="15">
        <v>0</v>
      </c>
      <c r="O91" s="26">
        <v>500000</v>
      </c>
      <c r="P91" s="26">
        <v>510000</v>
      </c>
      <c r="Q91" s="26">
        <v>520000</v>
      </c>
      <c r="R91" s="133">
        <v>400000</v>
      </c>
      <c r="S91" s="133">
        <v>400000</v>
      </c>
      <c r="T91" s="18" t="s">
        <v>359</v>
      </c>
      <c r="U91" s="283" t="s">
        <v>361</v>
      </c>
      <c r="V91" s="10" t="s">
        <v>360</v>
      </c>
      <c r="W91" s="298">
        <v>1</v>
      </c>
      <c r="X91" s="298">
        <v>1</v>
      </c>
      <c r="Y91" s="298">
        <v>1</v>
      </c>
      <c r="Z91" s="299">
        <v>1</v>
      </c>
      <c r="AA91" s="299">
        <v>1</v>
      </c>
      <c r="AB91" s="300">
        <v>1</v>
      </c>
      <c r="AC91" s="301">
        <v>1</v>
      </c>
      <c r="AD91" s="301">
        <v>0</v>
      </c>
      <c r="AE91" s="302">
        <f t="shared" si="11"/>
        <v>0.875</v>
      </c>
      <c r="AF91" s="63">
        <v>0</v>
      </c>
      <c r="AG91" s="302"/>
      <c r="AH91" s="17">
        <v>169</v>
      </c>
      <c r="AI91" s="17">
        <v>105</v>
      </c>
      <c r="AJ91" s="17">
        <v>85.000000000000227</v>
      </c>
      <c r="AK91" s="127">
        <v>71.69</v>
      </c>
      <c r="AL91" s="127">
        <v>98.5</v>
      </c>
      <c r="AM91" s="147">
        <f t="shared" si="17"/>
        <v>170.19</v>
      </c>
      <c r="AN91" s="18" t="s">
        <v>359</v>
      </c>
      <c r="AO91" s="18" t="s">
        <v>361</v>
      </c>
      <c r="AP91" s="10" t="s">
        <v>362</v>
      </c>
    </row>
    <row r="92" spans="1:42" x14ac:dyDescent="0.3">
      <c r="A92" s="9" t="s">
        <v>30</v>
      </c>
      <c r="B92" s="10" t="s">
        <v>31</v>
      </c>
      <c r="C92" s="11" t="s">
        <v>32</v>
      </c>
      <c r="D92" s="12" t="s">
        <v>33</v>
      </c>
      <c r="E92" s="11" t="s">
        <v>34</v>
      </c>
      <c r="F92" s="12" t="s">
        <v>35</v>
      </c>
      <c r="G92" s="11" t="s">
        <v>281</v>
      </c>
      <c r="H92" s="12" t="s">
        <v>282</v>
      </c>
      <c r="I92" s="12" t="s">
        <v>289</v>
      </c>
      <c r="J92" s="12" t="s">
        <v>290</v>
      </c>
      <c r="K92" s="11" t="s">
        <v>363</v>
      </c>
      <c r="L92" s="12" t="s">
        <v>364</v>
      </c>
      <c r="M92" s="10" t="s">
        <v>365</v>
      </c>
      <c r="N92" s="15">
        <v>0</v>
      </c>
      <c r="O92" s="26">
        <v>1000</v>
      </c>
      <c r="P92" s="26">
        <v>1000</v>
      </c>
      <c r="Q92" s="26">
        <v>1000</v>
      </c>
      <c r="R92" s="118">
        <v>1000</v>
      </c>
      <c r="S92" s="118">
        <v>1000</v>
      </c>
      <c r="T92" s="30" t="s">
        <v>92</v>
      </c>
      <c r="U92" s="283" t="s">
        <v>118</v>
      </c>
      <c r="V92" s="10" t="s">
        <v>366</v>
      </c>
      <c r="W92" s="298">
        <v>1</v>
      </c>
      <c r="X92" s="298">
        <v>1</v>
      </c>
      <c r="Y92" s="298">
        <v>1</v>
      </c>
      <c r="Z92" s="299">
        <v>1</v>
      </c>
      <c r="AA92" s="299">
        <v>1</v>
      </c>
      <c r="AB92" s="300">
        <v>1</v>
      </c>
      <c r="AC92" s="301">
        <v>1</v>
      </c>
      <c r="AD92" s="301">
        <v>0</v>
      </c>
      <c r="AE92" s="302">
        <f t="shared" si="11"/>
        <v>0.875</v>
      </c>
      <c r="AF92" s="63">
        <v>0</v>
      </c>
      <c r="AG92" s="302"/>
      <c r="AH92" s="17"/>
      <c r="AI92" s="17"/>
      <c r="AJ92" s="17"/>
      <c r="AK92" s="109"/>
      <c r="AL92" s="127">
        <v>1.9</v>
      </c>
      <c r="AM92" s="147">
        <f t="shared" si="17"/>
        <v>1.9</v>
      </c>
      <c r="AN92" s="18" t="s">
        <v>92</v>
      </c>
      <c r="AO92" s="18" t="s">
        <v>118</v>
      </c>
      <c r="AP92" s="10" t="s">
        <v>280</v>
      </c>
    </row>
    <row r="93" spans="1:42" x14ac:dyDescent="0.3">
      <c r="A93" s="9" t="s">
        <v>30</v>
      </c>
      <c r="B93" s="10" t="s">
        <v>31</v>
      </c>
      <c r="C93" s="11" t="s">
        <v>32</v>
      </c>
      <c r="D93" s="12" t="s">
        <v>33</v>
      </c>
      <c r="E93" s="11" t="s">
        <v>34</v>
      </c>
      <c r="F93" s="12" t="s">
        <v>35</v>
      </c>
      <c r="G93" s="11" t="s">
        <v>281</v>
      </c>
      <c r="H93" s="12" t="s">
        <v>282</v>
      </c>
      <c r="I93" s="12" t="s">
        <v>289</v>
      </c>
      <c r="J93" s="12" t="s">
        <v>290</v>
      </c>
      <c r="K93" s="11" t="s">
        <v>367</v>
      </c>
      <c r="L93" s="12" t="s">
        <v>368</v>
      </c>
      <c r="M93" s="10" t="s">
        <v>369</v>
      </c>
      <c r="N93" s="15">
        <v>2</v>
      </c>
      <c r="O93" s="26"/>
      <c r="P93" s="26">
        <v>1</v>
      </c>
      <c r="Q93" s="26">
        <v>1</v>
      </c>
      <c r="R93" s="118">
        <v>1</v>
      </c>
      <c r="S93" s="118">
        <v>1</v>
      </c>
      <c r="T93" s="30" t="s">
        <v>92</v>
      </c>
      <c r="U93" s="283" t="s">
        <v>118</v>
      </c>
      <c r="V93" s="10" t="s">
        <v>1497</v>
      </c>
      <c r="W93" s="298">
        <v>1</v>
      </c>
      <c r="X93" s="298">
        <v>1</v>
      </c>
      <c r="Y93" s="298">
        <v>1</v>
      </c>
      <c r="Z93" s="299">
        <v>1</v>
      </c>
      <c r="AA93" s="299">
        <v>1</v>
      </c>
      <c r="AB93" s="300">
        <v>1</v>
      </c>
      <c r="AC93" s="301">
        <v>1</v>
      </c>
      <c r="AD93" s="301">
        <v>0</v>
      </c>
      <c r="AE93" s="302">
        <f t="shared" si="11"/>
        <v>0.875</v>
      </c>
      <c r="AF93" s="63">
        <v>0</v>
      </c>
      <c r="AG93" s="302"/>
      <c r="AH93" s="17"/>
      <c r="AI93" s="17"/>
      <c r="AJ93" s="17"/>
      <c r="AK93" s="127">
        <v>11.5</v>
      </c>
      <c r="AL93" s="127">
        <v>12</v>
      </c>
      <c r="AM93" s="147">
        <f t="shared" si="17"/>
        <v>23.5</v>
      </c>
      <c r="AN93" s="18" t="s">
        <v>92</v>
      </c>
      <c r="AO93" s="18" t="s">
        <v>118</v>
      </c>
      <c r="AP93" s="10" t="s">
        <v>370</v>
      </c>
    </row>
    <row r="94" spans="1:42" s="294" customFormat="1" hidden="1" x14ac:dyDescent="0.3">
      <c r="A94" s="91" t="s">
        <v>30</v>
      </c>
      <c r="B94" s="92" t="s">
        <v>31</v>
      </c>
      <c r="C94" s="93" t="s">
        <v>32</v>
      </c>
      <c r="D94" s="94" t="s">
        <v>33</v>
      </c>
      <c r="E94" s="93" t="s">
        <v>34</v>
      </c>
      <c r="F94" s="94" t="s">
        <v>35</v>
      </c>
      <c r="G94" s="93" t="s">
        <v>281</v>
      </c>
      <c r="H94" s="94" t="s">
        <v>282</v>
      </c>
      <c r="I94" s="94" t="s">
        <v>289</v>
      </c>
      <c r="J94" s="94" t="s">
        <v>290</v>
      </c>
      <c r="K94" s="93" t="s">
        <v>371</v>
      </c>
      <c r="L94" s="94" t="s">
        <v>372</v>
      </c>
      <c r="M94" s="92" t="s">
        <v>373</v>
      </c>
      <c r="N94" s="15">
        <v>0</v>
      </c>
      <c r="O94" s="26" t="s">
        <v>271</v>
      </c>
      <c r="P94" s="26">
        <v>1</v>
      </c>
      <c r="Q94" s="26">
        <v>1</v>
      </c>
      <c r="R94" s="118">
        <v>1</v>
      </c>
      <c r="S94" s="118">
        <v>1</v>
      </c>
      <c r="T94" s="30" t="s">
        <v>92</v>
      </c>
      <c r="U94" s="283" t="s">
        <v>118</v>
      </c>
      <c r="V94" s="92" t="s">
        <v>374</v>
      </c>
      <c r="W94" s="298">
        <v>0</v>
      </c>
      <c r="X94" s="298">
        <v>0</v>
      </c>
      <c r="Y94" s="298">
        <v>0</v>
      </c>
      <c r="Z94" s="299">
        <v>0</v>
      </c>
      <c r="AA94" s="299">
        <v>0</v>
      </c>
      <c r="AB94" s="300">
        <v>0</v>
      </c>
      <c r="AC94" s="301">
        <v>0</v>
      </c>
      <c r="AD94" s="301">
        <v>0</v>
      </c>
      <c r="AE94" s="297">
        <f t="shared" si="11"/>
        <v>0</v>
      </c>
      <c r="AF94" s="63">
        <v>0</v>
      </c>
      <c r="AG94" s="297"/>
      <c r="AH94" s="96"/>
      <c r="AI94" s="96"/>
      <c r="AJ94" s="96"/>
      <c r="AK94" s="109"/>
      <c r="AL94" s="109"/>
      <c r="AM94" s="96" t="e">
        <f>SUM(#REF!)</f>
        <v>#REF!</v>
      </c>
      <c r="AN94" s="97" t="s">
        <v>92</v>
      </c>
      <c r="AO94" s="97" t="s">
        <v>118</v>
      </c>
      <c r="AP94" s="92" t="s">
        <v>375</v>
      </c>
    </row>
    <row r="95" spans="1:42" hidden="1" x14ac:dyDescent="0.3">
      <c r="A95" s="9" t="s">
        <v>30</v>
      </c>
      <c r="B95" s="10" t="s">
        <v>31</v>
      </c>
      <c r="C95" s="11" t="s">
        <v>32</v>
      </c>
      <c r="D95" s="12" t="s">
        <v>33</v>
      </c>
      <c r="E95" s="11" t="s">
        <v>34</v>
      </c>
      <c r="F95" s="12" t="s">
        <v>35</v>
      </c>
      <c r="G95" s="11" t="s">
        <v>281</v>
      </c>
      <c r="H95" s="12" t="s">
        <v>282</v>
      </c>
      <c r="I95" s="12" t="s">
        <v>376</v>
      </c>
      <c r="J95" s="12" t="s">
        <v>377</v>
      </c>
      <c r="K95" s="11" t="s">
        <v>378</v>
      </c>
      <c r="L95" s="12" t="s">
        <v>379</v>
      </c>
      <c r="M95" s="10" t="s">
        <v>380</v>
      </c>
      <c r="N95" s="15">
        <v>61000</v>
      </c>
      <c r="O95" s="26">
        <v>250000</v>
      </c>
      <c r="P95" s="26">
        <v>4500000</v>
      </c>
      <c r="Q95" s="26">
        <v>550000</v>
      </c>
      <c r="R95" s="118">
        <v>650000</v>
      </c>
      <c r="S95" s="118">
        <v>750000</v>
      </c>
      <c r="T95" s="30" t="s">
        <v>92</v>
      </c>
      <c r="U95" s="283" t="s">
        <v>118</v>
      </c>
      <c r="V95" s="10"/>
      <c r="W95" s="298">
        <v>0</v>
      </c>
      <c r="X95" s="298">
        <v>0</v>
      </c>
      <c r="Y95" s="298">
        <v>0</v>
      </c>
      <c r="Z95" s="299">
        <v>0</v>
      </c>
      <c r="AA95" s="299">
        <v>0</v>
      </c>
      <c r="AB95" s="300">
        <v>0</v>
      </c>
      <c r="AC95" s="301">
        <v>0</v>
      </c>
      <c r="AD95" s="301">
        <v>0</v>
      </c>
      <c r="AE95" s="302">
        <f t="shared" si="11"/>
        <v>0</v>
      </c>
      <c r="AF95" s="63">
        <v>0</v>
      </c>
      <c r="AG95" s="17"/>
      <c r="AH95" s="17"/>
      <c r="AI95" s="17"/>
      <c r="AJ95" s="17"/>
      <c r="AK95" s="109"/>
      <c r="AL95" s="109"/>
      <c r="AM95" s="17" t="e">
        <f>SUM(#REF!)</f>
        <v>#REF!</v>
      </c>
      <c r="AN95" s="18" t="s">
        <v>92</v>
      </c>
      <c r="AO95" s="18" t="s">
        <v>118</v>
      </c>
      <c r="AP95" s="10"/>
    </row>
    <row r="96" spans="1:42" s="309" customFormat="1" hidden="1" x14ac:dyDescent="0.3">
      <c r="A96" s="85" t="s">
        <v>30</v>
      </c>
      <c r="B96" s="86" t="s">
        <v>31</v>
      </c>
      <c r="C96" s="87" t="s">
        <v>32</v>
      </c>
      <c r="D96" s="88" t="s">
        <v>33</v>
      </c>
      <c r="E96" s="87" t="s">
        <v>34</v>
      </c>
      <c r="F96" s="88" t="s">
        <v>35</v>
      </c>
      <c r="G96" s="87" t="s">
        <v>281</v>
      </c>
      <c r="H96" s="88" t="s">
        <v>282</v>
      </c>
      <c r="I96" s="88" t="s">
        <v>376</v>
      </c>
      <c r="J96" s="88" t="s">
        <v>377</v>
      </c>
      <c r="K96" s="87" t="s">
        <v>381</v>
      </c>
      <c r="L96" s="88" t="s">
        <v>292</v>
      </c>
      <c r="M96" s="86" t="s">
        <v>382</v>
      </c>
      <c r="N96" s="15">
        <v>0</v>
      </c>
      <c r="O96" s="26">
        <v>0</v>
      </c>
      <c r="P96" s="26">
        <v>1</v>
      </c>
      <c r="Q96" s="26">
        <v>2</v>
      </c>
      <c r="R96" s="118">
        <v>3</v>
      </c>
      <c r="S96" s="118">
        <v>3</v>
      </c>
      <c r="T96" s="30" t="s">
        <v>92</v>
      </c>
      <c r="U96" s="283" t="s">
        <v>118</v>
      </c>
      <c r="V96" s="86"/>
      <c r="W96" s="298">
        <v>0</v>
      </c>
      <c r="X96" s="298">
        <v>0</v>
      </c>
      <c r="Y96" s="298">
        <v>0</v>
      </c>
      <c r="Z96" s="299">
        <v>0</v>
      </c>
      <c r="AA96" s="299">
        <v>0</v>
      </c>
      <c r="AB96" s="300">
        <v>0</v>
      </c>
      <c r="AC96" s="301">
        <v>0</v>
      </c>
      <c r="AD96" s="301">
        <v>0</v>
      </c>
      <c r="AE96" s="308">
        <f t="shared" si="11"/>
        <v>0</v>
      </c>
      <c r="AF96" s="63">
        <v>0</v>
      </c>
      <c r="AG96" s="308"/>
      <c r="AH96" s="89"/>
      <c r="AI96" s="89"/>
      <c r="AJ96" s="89"/>
      <c r="AK96" s="109"/>
      <c r="AL96" s="109"/>
      <c r="AM96" s="89" t="e">
        <f>SUM(#REF!)</f>
        <v>#REF!</v>
      </c>
      <c r="AN96" s="90" t="s">
        <v>92</v>
      </c>
      <c r="AO96" s="90" t="s">
        <v>118</v>
      </c>
      <c r="AP96" s="86"/>
    </row>
    <row r="97" spans="1:42" hidden="1" x14ac:dyDescent="0.3">
      <c r="A97" s="9" t="s">
        <v>30</v>
      </c>
      <c r="B97" s="10" t="s">
        <v>31</v>
      </c>
      <c r="C97" s="11" t="s">
        <v>32</v>
      </c>
      <c r="D97" s="12" t="s">
        <v>33</v>
      </c>
      <c r="E97" s="11" t="s">
        <v>34</v>
      </c>
      <c r="F97" s="12" t="s">
        <v>35</v>
      </c>
      <c r="G97" s="11" t="s">
        <v>281</v>
      </c>
      <c r="H97" s="12" t="s">
        <v>282</v>
      </c>
      <c r="I97" s="12" t="s">
        <v>376</v>
      </c>
      <c r="J97" s="12" t="s">
        <v>377</v>
      </c>
      <c r="K97" s="11" t="s">
        <v>383</v>
      </c>
      <c r="L97" s="12" t="s">
        <v>339</v>
      </c>
      <c r="M97" s="10" t="s">
        <v>340</v>
      </c>
      <c r="N97" s="15">
        <v>0</v>
      </c>
      <c r="O97" s="26">
        <v>5000</v>
      </c>
      <c r="P97" s="26">
        <v>8250</v>
      </c>
      <c r="Q97" s="26">
        <v>9222</v>
      </c>
      <c r="R97" s="118">
        <v>10628</v>
      </c>
      <c r="S97" s="118">
        <v>12036</v>
      </c>
      <c r="T97" s="30" t="s">
        <v>336</v>
      </c>
      <c r="U97" s="283" t="s">
        <v>118</v>
      </c>
      <c r="V97" s="10"/>
      <c r="W97" s="298">
        <v>0</v>
      </c>
      <c r="X97" s="298">
        <v>0</v>
      </c>
      <c r="Y97" s="298">
        <v>0</v>
      </c>
      <c r="Z97" s="299">
        <v>0</v>
      </c>
      <c r="AA97" s="299">
        <v>0</v>
      </c>
      <c r="AB97" s="300">
        <v>0</v>
      </c>
      <c r="AC97" s="301">
        <v>0</v>
      </c>
      <c r="AD97" s="301">
        <v>0</v>
      </c>
      <c r="AE97" s="302">
        <f t="shared" si="11"/>
        <v>0</v>
      </c>
      <c r="AF97" s="63">
        <v>0</v>
      </c>
      <c r="AG97" s="302"/>
      <c r="AH97" s="17"/>
      <c r="AI97" s="17"/>
      <c r="AJ97" s="17"/>
      <c r="AK97" s="109"/>
      <c r="AL97" s="109"/>
      <c r="AM97" s="17" t="e">
        <f>SUM(#REF!)</f>
        <v>#REF!</v>
      </c>
      <c r="AN97" s="18" t="s">
        <v>92</v>
      </c>
      <c r="AO97" s="18" t="s">
        <v>118</v>
      </c>
      <c r="AP97" s="10"/>
    </row>
    <row r="98" spans="1:42" s="294" customFormat="1" hidden="1" x14ac:dyDescent="0.3">
      <c r="A98" s="91" t="s">
        <v>30</v>
      </c>
      <c r="B98" s="92" t="s">
        <v>31</v>
      </c>
      <c r="C98" s="93" t="s">
        <v>32</v>
      </c>
      <c r="D98" s="94" t="s">
        <v>33</v>
      </c>
      <c r="E98" s="93" t="s">
        <v>34</v>
      </c>
      <c r="F98" s="94" t="s">
        <v>35</v>
      </c>
      <c r="G98" s="93" t="s">
        <v>281</v>
      </c>
      <c r="H98" s="94" t="s">
        <v>282</v>
      </c>
      <c r="I98" s="94" t="s">
        <v>376</v>
      </c>
      <c r="J98" s="94" t="s">
        <v>377</v>
      </c>
      <c r="K98" s="93" t="s">
        <v>384</v>
      </c>
      <c r="L98" s="94" t="s">
        <v>342</v>
      </c>
      <c r="M98" s="92" t="s">
        <v>343</v>
      </c>
      <c r="N98" s="15">
        <v>0</v>
      </c>
      <c r="O98" s="26">
        <v>0</v>
      </c>
      <c r="P98" s="26">
        <v>2</v>
      </c>
      <c r="Q98" s="26">
        <v>3</v>
      </c>
      <c r="R98" s="118">
        <v>4</v>
      </c>
      <c r="S98" s="118">
        <v>4</v>
      </c>
      <c r="T98" s="30" t="s">
        <v>336</v>
      </c>
      <c r="U98" s="283" t="s">
        <v>118</v>
      </c>
      <c r="V98" s="92"/>
      <c r="W98" s="298">
        <v>0</v>
      </c>
      <c r="X98" s="298">
        <v>0</v>
      </c>
      <c r="Y98" s="298">
        <v>0</v>
      </c>
      <c r="Z98" s="299">
        <v>0</v>
      </c>
      <c r="AA98" s="299">
        <v>0</v>
      </c>
      <c r="AB98" s="300">
        <v>0</v>
      </c>
      <c r="AC98" s="301">
        <v>0</v>
      </c>
      <c r="AD98" s="301">
        <v>0</v>
      </c>
      <c r="AE98" s="297">
        <f t="shared" si="11"/>
        <v>0</v>
      </c>
      <c r="AF98" s="63">
        <v>0</v>
      </c>
      <c r="AG98" s="297"/>
      <c r="AH98" s="96"/>
      <c r="AI98" s="96"/>
      <c r="AJ98" s="96"/>
      <c r="AK98" s="109"/>
      <c r="AL98" s="109"/>
      <c r="AM98" s="96" t="e">
        <f>SUM(#REF!)</f>
        <v>#REF!</v>
      </c>
      <c r="AN98" s="97" t="s">
        <v>92</v>
      </c>
      <c r="AO98" s="97" t="s">
        <v>118</v>
      </c>
      <c r="AP98" s="92"/>
    </row>
    <row r="99" spans="1:42" hidden="1" x14ac:dyDescent="0.3">
      <c r="A99" s="9" t="s">
        <v>30</v>
      </c>
      <c r="B99" s="10" t="s">
        <v>31</v>
      </c>
      <c r="C99" s="11" t="s">
        <v>32</v>
      </c>
      <c r="D99" s="12" t="s">
        <v>33</v>
      </c>
      <c r="E99" s="11" t="s">
        <v>34</v>
      </c>
      <c r="F99" s="12" t="s">
        <v>35</v>
      </c>
      <c r="G99" s="11" t="s">
        <v>281</v>
      </c>
      <c r="H99" s="12" t="s">
        <v>282</v>
      </c>
      <c r="I99" s="12" t="s">
        <v>376</v>
      </c>
      <c r="J99" s="12" t="s">
        <v>377</v>
      </c>
      <c r="K99" s="11" t="s">
        <v>385</v>
      </c>
      <c r="L99" s="12" t="s">
        <v>347</v>
      </c>
      <c r="M99" s="10" t="s">
        <v>348</v>
      </c>
      <c r="N99" s="15"/>
      <c r="O99" s="26">
        <v>1</v>
      </c>
      <c r="P99" s="26">
        <v>1</v>
      </c>
      <c r="Q99" s="26">
        <v>1</v>
      </c>
      <c r="R99" s="118">
        <v>1</v>
      </c>
      <c r="S99" s="118">
        <v>1</v>
      </c>
      <c r="T99" s="30" t="s">
        <v>92</v>
      </c>
      <c r="U99" s="283" t="s">
        <v>118</v>
      </c>
      <c r="V99" s="10"/>
      <c r="W99" s="298">
        <v>0</v>
      </c>
      <c r="X99" s="298">
        <v>0</v>
      </c>
      <c r="Y99" s="298">
        <v>0</v>
      </c>
      <c r="Z99" s="299">
        <v>0</v>
      </c>
      <c r="AA99" s="299">
        <v>0</v>
      </c>
      <c r="AB99" s="300">
        <v>0</v>
      </c>
      <c r="AC99" s="301">
        <v>0</v>
      </c>
      <c r="AD99" s="301">
        <v>0</v>
      </c>
      <c r="AE99" s="302">
        <f t="shared" si="11"/>
        <v>0</v>
      </c>
      <c r="AF99" s="63">
        <v>0</v>
      </c>
      <c r="AG99" s="302"/>
      <c r="AH99" s="17"/>
      <c r="AI99" s="17"/>
      <c r="AJ99" s="17"/>
      <c r="AK99" s="109"/>
      <c r="AL99" s="109"/>
      <c r="AM99" s="17" t="e">
        <f>SUM(#REF!)</f>
        <v>#REF!</v>
      </c>
      <c r="AN99" s="18" t="s">
        <v>92</v>
      </c>
      <c r="AO99" s="18" t="s">
        <v>118</v>
      </c>
      <c r="AP99" s="10"/>
    </row>
    <row r="100" spans="1:42" s="300" customFormat="1" hidden="1" x14ac:dyDescent="0.3">
      <c r="A100" s="66" t="s">
        <v>30</v>
      </c>
      <c r="B100" s="67" t="s">
        <v>31</v>
      </c>
      <c r="C100" s="68" t="s">
        <v>32</v>
      </c>
      <c r="D100" s="69" t="s">
        <v>33</v>
      </c>
      <c r="E100" s="68" t="s">
        <v>34</v>
      </c>
      <c r="F100" s="69" t="s">
        <v>35</v>
      </c>
      <c r="G100" s="68" t="s">
        <v>281</v>
      </c>
      <c r="H100" s="69" t="s">
        <v>282</v>
      </c>
      <c r="I100" s="69" t="s">
        <v>386</v>
      </c>
      <c r="J100" s="69" t="s">
        <v>387</v>
      </c>
      <c r="K100" s="68" t="s">
        <v>388</v>
      </c>
      <c r="L100" s="69" t="s">
        <v>389</v>
      </c>
      <c r="M100" s="67" t="s">
        <v>390</v>
      </c>
      <c r="N100" s="70">
        <v>0</v>
      </c>
      <c r="O100" s="83"/>
      <c r="P100" s="83">
        <v>30</v>
      </c>
      <c r="Q100" s="83"/>
      <c r="R100" s="118"/>
      <c r="S100" s="118"/>
      <c r="T100" s="84" t="s">
        <v>92</v>
      </c>
      <c r="U100" s="300" t="s">
        <v>118</v>
      </c>
      <c r="V100" s="67" t="s">
        <v>391</v>
      </c>
      <c r="W100" s="299">
        <v>1</v>
      </c>
      <c r="X100" s="299">
        <v>0</v>
      </c>
      <c r="Y100" s="299">
        <v>0</v>
      </c>
      <c r="Z100" s="299">
        <v>1</v>
      </c>
      <c r="AA100" s="299">
        <v>1</v>
      </c>
      <c r="AB100" s="300">
        <v>0</v>
      </c>
      <c r="AC100" s="304">
        <v>1</v>
      </c>
      <c r="AD100" s="304">
        <v>0</v>
      </c>
      <c r="AE100" s="305">
        <f t="shared" si="11"/>
        <v>0.5</v>
      </c>
      <c r="AF100" s="72">
        <v>0</v>
      </c>
      <c r="AG100" s="305"/>
      <c r="AH100" s="73"/>
      <c r="AI100" s="73"/>
      <c r="AJ100" s="73"/>
      <c r="AK100" s="109"/>
      <c r="AL100" s="109"/>
      <c r="AM100" s="73" t="e">
        <f>SUM(#REF!)</f>
        <v>#REF!</v>
      </c>
      <c r="AN100" s="74" t="s">
        <v>92</v>
      </c>
      <c r="AO100" s="74" t="s">
        <v>118</v>
      </c>
      <c r="AP100" s="67" t="s">
        <v>280</v>
      </c>
    </row>
    <row r="101" spans="1:42" s="294" customFormat="1" x14ac:dyDescent="0.3">
      <c r="A101" s="91" t="s">
        <v>30</v>
      </c>
      <c r="B101" s="92" t="s">
        <v>31</v>
      </c>
      <c r="C101" s="93" t="s">
        <v>32</v>
      </c>
      <c r="D101" s="94" t="s">
        <v>33</v>
      </c>
      <c r="E101" s="93" t="s">
        <v>34</v>
      </c>
      <c r="F101" s="94" t="s">
        <v>35</v>
      </c>
      <c r="G101" s="93" t="s">
        <v>281</v>
      </c>
      <c r="H101" s="94" t="s">
        <v>282</v>
      </c>
      <c r="I101" s="94" t="s">
        <v>386</v>
      </c>
      <c r="J101" s="94" t="s">
        <v>387</v>
      </c>
      <c r="K101" s="93" t="s">
        <v>388</v>
      </c>
      <c r="L101" s="94" t="s">
        <v>389</v>
      </c>
      <c r="M101" s="92" t="s">
        <v>392</v>
      </c>
      <c r="N101" s="15">
        <v>0</v>
      </c>
      <c r="O101" s="26"/>
      <c r="P101" s="26">
        <v>5</v>
      </c>
      <c r="Q101" s="26">
        <v>5</v>
      </c>
      <c r="R101" s="118">
        <v>5</v>
      </c>
      <c r="S101" s="118">
        <v>5</v>
      </c>
      <c r="T101" s="30" t="s">
        <v>92</v>
      </c>
      <c r="U101" s="283" t="s">
        <v>118</v>
      </c>
      <c r="V101" s="92" t="s">
        <v>393</v>
      </c>
      <c r="W101" s="298">
        <v>1</v>
      </c>
      <c r="X101" s="298">
        <v>1</v>
      </c>
      <c r="Y101" s="298">
        <v>1</v>
      </c>
      <c r="Z101" s="299">
        <v>1</v>
      </c>
      <c r="AA101" s="299">
        <v>1</v>
      </c>
      <c r="AB101" s="300">
        <v>1</v>
      </c>
      <c r="AC101" s="301">
        <v>1</v>
      </c>
      <c r="AD101" s="301">
        <v>0</v>
      </c>
      <c r="AE101" s="297">
        <f t="shared" si="11"/>
        <v>0.875</v>
      </c>
      <c r="AF101" s="63">
        <v>0</v>
      </c>
      <c r="AG101" s="297"/>
      <c r="AH101" s="96"/>
      <c r="AI101" s="96"/>
      <c r="AJ101" s="96"/>
      <c r="AK101" s="127">
        <v>0.04</v>
      </c>
      <c r="AL101" s="127">
        <v>0.04</v>
      </c>
      <c r="AM101" s="147">
        <f t="shared" ref="AM101:AM102" si="18">SUM(AK101:AL101)</f>
        <v>0.08</v>
      </c>
      <c r="AN101" s="97" t="s">
        <v>92</v>
      </c>
      <c r="AO101" s="97" t="s">
        <v>118</v>
      </c>
      <c r="AP101" s="92" t="s">
        <v>280</v>
      </c>
    </row>
    <row r="102" spans="1:42" x14ac:dyDescent="0.3">
      <c r="A102" s="9" t="s">
        <v>30</v>
      </c>
      <c r="B102" s="10" t="s">
        <v>31</v>
      </c>
      <c r="C102" s="11" t="s">
        <v>32</v>
      </c>
      <c r="D102" s="12" t="s">
        <v>33</v>
      </c>
      <c r="E102" s="11" t="s">
        <v>34</v>
      </c>
      <c r="F102" s="12" t="s">
        <v>35</v>
      </c>
      <c r="G102" s="11" t="s">
        <v>281</v>
      </c>
      <c r="H102" s="12" t="s">
        <v>282</v>
      </c>
      <c r="I102" s="12" t="s">
        <v>394</v>
      </c>
      <c r="J102" s="12" t="s">
        <v>395</v>
      </c>
      <c r="K102" s="11" t="s">
        <v>396</v>
      </c>
      <c r="L102" s="12" t="s">
        <v>397</v>
      </c>
      <c r="M102" s="10" t="s">
        <v>398</v>
      </c>
      <c r="N102" s="15">
        <v>0</v>
      </c>
      <c r="O102" s="26">
        <v>5</v>
      </c>
      <c r="P102" s="26">
        <v>6</v>
      </c>
      <c r="Q102" s="26">
        <v>6</v>
      </c>
      <c r="R102" s="118">
        <v>6</v>
      </c>
      <c r="S102" s="118">
        <v>7</v>
      </c>
      <c r="T102" s="30" t="s">
        <v>92</v>
      </c>
      <c r="U102" s="283" t="s">
        <v>118</v>
      </c>
      <c r="V102" s="10" t="s">
        <v>399</v>
      </c>
      <c r="W102" s="298">
        <v>1</v>
      </c>
      <c r="X102" s="298">
        <v>1</v>
      </c>
      <c r="Y102" s="298">
        <v>1</v>
      </c>
      <c r="Z102" s="299">
        <v>1</v>
      </c>
      <c r="AA102" s="299">
        <v>1</v>
      </c>
      <c r="AB102" s="300">
        <v>1</v>
      </c>
      <c r="AC102" s="301">
        <v>1</v>
      </c>
      <c r="AD102" s="301">
        <v>0</v>
      </c>
      <c r="AE102" s="302">
        <f t="shared" si="11"/>
        <v>0.875</v>
      </c>
      <c r="AF102" s="63">
        <v>0</v>
      </c>
      <c r="AG102" s="17"/>
      <c r="AH102" s="17"/>
      <c r="AI102" s="17"/>
      <c r="AJ102" s="17"/>
      <c r="AK102" s="109"/>
      <c r="AL102" s="127">
        <v>1.8</v>
      </c>
      <c r="AM102" s="147">
        <f t="shared" si="18"/>
        <v>1.8</v>
      </c>
      <c r="AN102" s="18" t="s">
        <v>92</v>
      </c>
      <c r="AO102" s="18" t="s">
        <v>118</v>
      </c>
      <c r="AP102" s="10" t="s">
        <v>280</v>
      </c>
    </row>
    <row r="103" spans="1:42" s="300" customFormat="1" hidden="1" x14ac:dyDescent="0.3">
      <c r="A103" s="66" t="s">
        <v>30</v>
      </c>
      <c r="B103" s="67" t="s">
        <v>31</v>
      </c>
      <c r="C103" s="68" t="s">
        <v>32</v>
      </c>
      <c r="D103" s="69" t="s">
        <v>33</v>
      </c>
      <c r="E103" s="68" t="s">
        <v>34</v>
      </c>
      <c r="F103" s="69" t="s">
        <v>35</v>
      </c>
      <c r="G103" s="68" t="s">
        <v>400</v>
      </c>
      <c r="H103" s="69" t="s">
        <v>401</v>
      </c>
      <c r="I103" s="69" t="s">
        <v>402</v>
      </c>
      <c r="J103" s="69" t="s">
        <v>403</v>
      </c>
      <c r="K103" s="68" t="s">
        <v>404</v>
      </c>
      <c r="L103" s="69" t="s">
        <v>405</v>
      </c>
      <c r="M103" s="67" t="s">
        <v>406</v>
      </c>
      <c r="N103" s="70">
        <v>0</v>
      </c>
      <c r="O103" s="73">
        <v>0</v>
      </c>
      <c r="P103" s="71">
        <v>5</v>
      </c>
      <c r="Q103" s="71"/>
      <c r="R103" s="110"/>
      <c r="S103" s="110"/>
      <c r="T103" s="67" t="s">
        <v>407</v>
      </c>
      <c r="U103" s="300" t="s">
        <v>409</v>
      </c>
      <c r="V103" s="67" t="s">
        <v>408</v>
      </c>
      <c r="W103" s="298">
        <v>0</v>
      </c>
      <c r="X103" s="298">
        <v>0</v>
      </c>
      <c r="Y103" s="298">
        <v>0</v>
      </c>
      <c r="Z103" s="299">
        <v>0</v>
      </c>
      <c r="AA103" s="299">
        <v>0</v>
      </c>
      <c r="AB103" s="300">
        <v>0</v>
      </c>
      <c r="AC103" s="301">
        <v>0</v>
      </c>
      <c r="AD103" s="301">
        <v>0</v>
      </c>
      <c r="AE103" s="305">
        <f t="shared" si="11"/>
        <v>0</v>
      </c>
      <c r="AF103" s="63">
        <v>1</v>
      </c>
      <c r="AG103" s="305"/>
      <c r="AH103" s="73">
        <v>28.5</v>
      </c>
      <c r="AI103" s="73">
        <v>23.7</v>
      </c>
      <c r="AJ103" s="73"/>
      <c r="AK103" s="109"/>
      <c r="AL103" s="109"/>
      <c r="AM103" s="73" t="e">
        <f>SUM(#REF!)</f>
        <v>#REF!</v>
      </c>
      <c r="AN103" s="74" t="s">
        <v>407</v>
      </c>
      <c r="AO103" s="74" t="s">
        <v>409</v>
      </c>
      <c r="AP103" s="67" t="s">
        <v>410</v>
      </c>
    </row>
    <row r="104" spans="1:42" s="300" customFormat="1" x14ac:dyDescent="0.3">
      <c r="A104" s="66" t="s">
        <v>30</v>
      </c>
      <c r="B104" s="67" t="s">
        <v>31</v>
      </c>
      <c r="C104" s="68" t="s">
        <v>32</v>
      </c>
      <c r="D104" s="69" t="s">
        <v>33</v>
      </c>
      <c r="E104" s="68" t="s">
        <v>34</v>
      </c>
      <c r="F104" s="69" t="s">
        <v>35</v>
      </c>
      <c r="G104" s="68" t="s">
        <v>400</v>
      </c>
      <c r="H104" s="69" t="s">
        <v>401</v>
      </c>
      <c r="I104" s="69" t="s">
        <v>411</v>
      </c>
      <c r="J104" s="69" t="s">
        <v>412</v>
      </c>
      <c r="K104" s="68" t="s">
        <v>413</v>
      </c>
      <c r="L104" s="69" t="s">
        <v>414</v>
      </c>
      <c r="M104" s="67" t="s">
        <v>415</v>
      </c>
      <c r="N104" s="70">
        <v>0</v>
      </c>
      <c r="O104" s="73">
        <v>0</v>
      </c>
      <c r="P104" s="71">
        <v>1</v>
      </c>
      <c r="Q104" s="71">
        <v>4</v>
      </c>
      <c r="R104" s="110">
        <v>5</v>
      </c>
      <c r="S104" s="110">
        <v>13</v>
      </c>
      <c r="T104" s="67" t="s">
        <v>407</v>
      </c>
      <c r="U104" s="300" t="s">
        <v>409</v>
      </c>
      <c r="V104" s="67" t="s">
        <v>416</v>
      </c>
      <c r="W104" s="298">
        <v>1</v>
      </c>
      <c r="X104" s="298">
        <v>1</v>
      </c>
      <c r="Y104" s="298">
        <v>1</v>
      </c>
      <c r="Z104" s="299">
        <v>1</v>
      </c>
      <c r="AA104" s="299">
        <v>1</v>
      </c>
      <c r="AB104" s="300">
        <v>1</v>
      </c>
      <c r="AC104" s="301">
        <v>1</v>
      </c>
      <c r="AD104" s="301">
        <v>0</v>
      </c>
      <c r="AE104" s="305">
        <f t="shared" si="11"/>
        <v>0.875</v>
      </c>
      <c r="AF104" s="63">
        <v>0</v>
      </c>
      <c r="AG104" s="305"/>
      <c r="AH104" s="73">
        <v>233.5</v>
      </c>
      <c r="AI104" s="73">
        <v>97.5</v>
      </c>
      <c r="AJ104" s="73">
        <v>67.499999999999773</v>
      </c>
      <c r="AK104" s="127">
        <v>47.5</v>
      </c>
      <c r="AL104" s="109">
        <v>127.5</v>
      </c>
      <c r="AM104" s="147">
        <f t="shared" ref="AM104:AM124" si="19">SUM(AK104:AL104)</f>
        <v>175</v>
      </c>
      <c r="AN104" s="74" t="s">
        <v>407</v>
      </c>
      <c r="AO104" s="74" t="s">
        <v>409</v>
      </c>
      <c r="AP104" s="67" t="s">
        <v>139</v>
      </c>
    </row>
    <row r="105" spans="1:42" s="300" customFormat="1" x14ac:dyDescent="0.3">
      <c r="A105" s="66" t="s">
        <v>30</v>
      </c>
      <c r="B105" s="67" t="s">
        <v>31</v>
      </c>
      <c r="C105" s="68" t="s">
        <v>32</v>
      </c>
      <c r="D105" s="69" t="s">
        <v>33</v>
      </c>
      <c r="E105" s="68" t="s">
        <v>34</v>
      </c>
      <c r="F105" s="69" t="s">
        <v>35</v>
      </c>
      <c r="G105" s="68" t="s">
        <v>400</v>
      </c>
      <c r="H105" s="69" t="s">
        <v>401</v>
      </c>
      <c r="I105" s="69" t="s">
        <v>411</v>
      </c>
      <c r="J105" s="69" t="s">
        <v>412</v>
      </c>
      <c r="K105" s="68" t="s">
        <v>417</v>
      </c>
      <c r="L105" s="69" t="s">
        <v>418</v>
      </c>
      <c r="M105" s="67" t="s">
        <v>419</v>
      </c>
      <c r="N105" s="70">
        <v>0</v>
      </c>
      <c r="O105" s="71">
        <v>0</v>
      </c>
      <c r="P105" s="71">
        <v>0</v>
      </c>
      <c r="Q105" s="71">
        <v>2</v>
      </c>
      <c r="R105" s="110">
        <v>5</v>
      </c>
      <c r="S105" s="110">
        <v>13</v>
      </c>
      <c r="T105" s="67" t="s">
        <v>407</v>
      </c>
      <c r="U105" s="300" t="s">
        <v>409</v>
      </c>
      <c r="V105" s="67" t="s">
        <v>420</v>
      </c>
      <c r="W105" s="298">
        <v>1</v>
      </c>
      <c r="X105" s="298">
        <v>1</v>
      </c>
      <c r="Y105" s="298">
        <v>1</v>
      </c>
      <c r="Z105" s="299">
        <v>1</v>
      </c>
      <c r="AA105" s="299">
        <v>1</v>
      </c>
      <c r="AB105" s="300">
        <v>1</v>
      </c>
      <c r="AC105" s="301">
        <v>1</v>
      </c>
      <c r="AD105" s="301">
        <v>0</v>
      </c>
      <c r="AE105" s="305">
        <f t="shared" si="11"/>
        <v>0.875</v>
      </c>
      <c r="AF105" s="63">
        <v>0</v>
      </c>
      <c r="AG105" s="305"/>
      <c r="AH105" s="73">
        <v>2</v>
      </c>
      <c r="AI105" s="73">
        <v>0.5</v>
      </c>
      <c r="AJ105" s="73">
        <v>0.5</v>
      </c>
      <c r="AK105" s="109">
        <v>0.5</v>
      </c>
      <c r="AL105" s="109">
        <v>0.5</v>
      </c>
      <c r="AM105" s="147">
        <f t="shared" si="19"/>
        <v>1</v>
      </c>
      <c r="AN105" s="74" t="s">
        <v>407</v>
      </c>
      <c r="AO105" s="74" t="s">
        <v>409</v>
      </c>
      <c r="AP105" s="67" t="s">
        <v>421</v>
      </c>
    </row>
    <row r="106" spans="1:42" s="300" customFormat="1" hidden="1" x14ac:dyDescent="0.3">
      <c r="A106" s="66" t="s">
        <v>30</v>
      </c>
      <c r="B106" s="67" t="s">
        <v>31</v>
      </c>
      <c r="C106" s="68" t="s">
        <v>32</v>
      </c>
      <c r="D106" s="69" t="s">
        <v>33</v>
      </c>
      <c r="E106" s="68" t="s">
        <v>34</v>
      </c>
      <c r="F106" s="69" t="s">
        <v>35</v>
      </c>
      <c r="G106" s="68" t="s">
        <v>400</v>
      </c>
      <c r="H106" s="69" t="s">
        <v>401</v>
      </c>
      <c r="I106" s="69" t="s">
        <v>411</v>
      </c>
      <c r="J106" s="69" t="s">
        <v>412</v>
      </c>
      <c r="K106" s="68" t="s">
        <v>422</v>
      </c>
      <c r="L106" s="69" t="s">
        <v>423</v>
      </c>
      <c r="M106" s="67" t="s">
        <v>424</v>
      </c>
      <c r="N106" s="70">
        <v>0</v>
      </c>
      <c r="O106" s="71">
        <v>3</v>
      </c>
      <c r="P106" s="71">
        <v>3</v>
      </c>
      <c r="Q106" s="71">
        <v>3</v>
      </c>
      <c r="R106" s="126">
        <v>1</v>
      </c>
      <c r="S106" s="126">
        <v>1</v>
      </c>
      <c r="T106" s="67" t="s">
        <v>67</v>
      </c>
      <c r="U106" s="300" t="s">
        <v>68</v>
      </c>
      <c r="V106" s="86" t="s">
        <v>425</v>
      </c>
      <c r="W106" s="298">
        <v>1</v>
      </c>
      <c r="X106" s="298">
        <v>1</v>
      </c>
      <c r="Y106" s="298">
        <v>0</v>
      </c>
      <c r="Z106" s="299">
        <v>1</v>
      </c>
      <c r="AA106" s="299">
        <v>1</v>
      </c>
      <c r="AB106" s="300">
        <v>1</v>
      </c>
      <c r="AC106" s="301">
        <v>0</v>
      </c>
      <c r="AD106" s="301">
        <v>0</v>
      </c>
      <c r="AE106" s="305">
        <f t="shared" si="11"/>
        <v>0.625</v>
      </c>
      <c r="AF106" s="63">
        <v>0</v>
      </c>
      <c r="AG106" s="305"/>
      <c r="AH106" s="73">
        <v>3</v>
      </c>
      <c r="AI106" s="73">
        <v>3</v>
      </c>
      <c r="AJ106" s="73">
        <v>3</v>
      </c>
      <c r="AK106" s="127">
        <v>1.5</v>
      </c>
      <c r="AL106" s="127">
        <v>1.5</v>
      </c>
      <c r="AM106" s="147">
        <f t="shared" si="19"/>
        <v>3</v>
      </c>
      <c r="AN106" s="74" t="s">
        <v>67</v>
      </c>
      <c r="AO106" s="74" t="s">
        <v>68</v>
      </c>
      <c r="AP106" s="67" t="s">
        <v>426</v>
      </c>
    </row>
    <row r="107" spans="1:42" s="300" customFormat="1" x14ac:dyDescent="0.3">
      <c r="A107" s="66" t="s">
        <v>30</v>
      </c>
      <c r="B107" s="67" t="s">
        <v>31</v>
      </c>
      <c r="C107" s="68" t="s">
        <v>32</v>
      </c>
      <c r="D107" s="69" t="s">
        <v>33</v>
      </c>
      <c r="E107" s="68" t="s">
        <v>34</v>
      </c>
      <c r="F107" s="69" t="s">
        <v>35</v>
      </c>
      <c r="G107" s="68" t="s">
        <v>400</v>
      </c>
      <c r="H107" s="69" t="s">
        <v>401</v>
      </c>
      <c r="I107" s="69" t="s">
        <v>427</v>
      </c>
      <c r="J107" s="69" t="s">
        <v>428</v>
      </c>
      <c r="K107" s="68" t="s">
        <v>429</v>
      </c>
      <c r="L107" s="69" t="s">
        <v>430</v>
      </c>
      <c r="M107" s="67" t="s">
        <v>431</v>
      </c>
      <c r="N107" s="70">
        <v>0</v>
      </c>
      <c r="O107" s="71">
        <v>200</v>
      </c>
      <c r="P107" s="71">
        <v>800</v>
      </c>
      <c r="Q107" s="71">
        <v>19000</v>
      </c>
      <c r="R107" s="110">
        <v>20000</v>
      </c>
      <c r="S107" s="126">
        <v>20000</v>
      </c>
      <c r="T107" s="67" t="s">
        <v>92</v>
      </c>
      <c r="U107" s="300" t="s">
        <v>118</v>
      </c>
      <c r="V107" s="67" t="s">
        <v>432</v>
      </c>
      <c r="W107" s="298">
        <v>1</v>
      </c>
      <c r="X107" s="298">
        <v>1</v>
      </c>
      <c r="Y107" s="298">
        <v>1</v>
      </c>
      <c r="Z107" s="299">
        <v>1</v>
      </c>
      <c r="AA107" s="299">
        <v>1</v>
      </c>
      <c r="AB107" s="300">
        <v>1</v>
      </c>
      <c r="AC107" s="301">
        <v>1</v>
      </c>
      <c r="AD107" s="301">
        <v>0</v>
      </c>
      <c r="AE107" s="305">
        <f t="shared" si="11"/>
        <v>0.875</v>
      </c>
      <c r="AF107" s="63">
        <v>0</v>
      </c>
      <c r="AG107" s="305"/>
      <c r="AH107" s="73">
        <v>60.166666666666501</v>
      </c>
      <c r="AI107" s="73">
        <v>50</v>
      </c>
      <c r="AJ107" s="73">
        <v>49.999999999999773</v>
      </c>
      <c r="AK107" s="127">
        <v>80</v>
      </c>
      <c r="AL107" s="127">
        <v>85</v>
      </c>
      <c r="AM107" s="147">
        <f t="shared" si="19"/>
        <v>165</v>
      </c>
      <c r="AN107" s="74" t="s">
        <v>92</v>
      </c>
      <c r="AO107" s="74" t="s">
        <v>118</v>
      </c>
      <c r="AP107" s="67" t="s">
        <v>433</v>
      </c>
    </row>
    <row r="108" spans="1:42" s="300" customFormat="1" x14ac:dyDescent="0.3">
      <c r="A108" s="66" t="s">
        <v>30</v>
      </c>
      <c r="B108" s="67" t="s">
        <v>31</v>
      </c>
      <c r="C108" s="68" t="s">
        <v>32</v>
      </c>
      <c r="D108" s="69" t="s">
        <v>33</v>
      </c>
      <c r="E108" s="68" t="s">
        <v>34</v>
      </c>
      <c r="F108" s="69" t="s">
        <v>35</v>
      </c>
      <c r="G108" s="68" t="s">
        <v>400</v>
      </c>
      <c r="H108" s="69" t="s">
        <v>401</v>
      </c>
      <c r="I108" s="69" t="s">
        <v>427</v>
      </c>
      <c r="J108" s="69" t="s">
        <v>428</v>
      </c>
      <c r="K108" s="68" t="s">
        <v>434</v>
      </c>
      <c r="L108" s="69" t="s">
        <v>435</v>
      </c>
      <c r="M108" s="67" t="s">
        <v>436</v>
      </c>
      <c r="N108" s="70">
        <v>0</v>
      </c>
      <c r="O108" s="75">
        <v>0</v>
      </c>
      <c r="P108" s="71">
        <v>111</v>
      </c>
      <c r="Q108" s="71">
        <v>220</v>
      </c>
      <c r="R108" s="126">
        <v>50</v>
      </c>
      <c r="S108" s="126">
        <v>50</v>
      </c>
      <c r="T108" s="67" t="s">
        <v>92</v>
      </c>
      <c r="U108" s="300" t="s">
        <v>118</v>
      </c>
      <c r="V108" s="67" t="s">
        <v>437</v>
      </c>
      <c r="W108" s="298">
        <v>1</v>
      </c>
      <c r="X108" s="298">
        <v>1</v>
      </c>
      <c r="Y108" s="298">
        <v>1</v>
      </c>
      <c r="Z108" s="299">
        <v>1</v>
      </c>
      <c r="AA108" s="299">
        <v>1</v>
      </c>
      <c r="AB108" s="300">
        <v>1</v>
      </c>
      <c r="AC108" s="301">
        <v>1</v>
      </c>
      <c r="AD108" s="301">
        <v>0</v>
      </c>
      <c r="AE108" s="305">
        <f t="shared" si="11"/>
        <v>0.875</v>
      </c>
      <c r="AF108" s="63">
        <v>0</v>
      </c>
      <c r="AG108" s="305"/>
      <c r="AH108" s="73">
        <v>40</v>
      </c>
      <c r="AI108" s="73">
        <v>40</v>
      </c>
      <c r="AJ108" s="73">
        <v>44.166666666666679</v>
      </c>
      <c r="AK108" s="127">
        <v>20</v>
      </c>
      <c r="AL108" s="127">
        <v>24</v>
      </c>
      <c r="AM108" s="147">
        <f t="shared" si="19"/>
        <v>44</v>
      </c>
      <c r="AN108" s="74" t="s">
        <v>92</v>
      </c>
      <c r="AO108" s="74" t="s">
        <v>118</v>
      </c>
      <c r="AP108" s="67" t="s">
        <v>438</v>
      </c>
    </row>
    <row r="109" spans="1:42" s="300" customFormat="1" x14ac:dyDescent="0.3">
      <c r="A109" s="66" t="s">
        <v>30</v>
      </c>
      <c r="B109" s="67" t="s">
        <v>31</v>
      </c>
      <c r="C109" s="68" t="s">
        <v>32</v>
      </c>
      <c r="D109" s="69" t="s">
        <v>33</v>
      </c>
      <c r="E109" s="68" t="s">
        <v>34</v>
      </c>
      <c r="F109" s="69" t="s">
        <v>35</v>
      </c>
      <c r="G109" s="68" t="s">
        <v>400</v>
      </c>
      <c r="H109" s="69" t="s">
        <v>401</v>
      </c>
      <c r="I109" s="69" t="s">
        <v>427</v>
      </c>
      <c r="J109" s="69" t="s">
        <v>428</v>
      </c>
      <c r="K109" s="68" t="s">
        <v>439</v>
      </c>
      <c r="L109" s="69" t="s">
        <v>440</v>
      </c>
      <c r="M109" s="67" t="s">
        <v>441</v>
      </c>
      <c r="N109" s="70">
        <v>0</v>
      </c>
      <c r="O109" s="71">
        <v>50</v>
      </c>
      <c r="P109" s="75">
        <v>76</v>
      </c>
      <c r="Q109" s="75">
        <v>100</v>
      </c>
      <c r="R109" s="129">
        <v>50</v>
      </c>
      <c r="S109" s="110">
        <v>50</v>
      </c>
      <c r="T109" s="67" t="s">
        <v>407</v>
      </c>
      <c r="U109" s="300" t="s">
        <v>409</v>
      </c>
      <c r="V109" s="67" t="s">
        <v>442</v>
      </c>
      <c r="W109" s="298">
        <v>1</v>
      </c>
      <c r="X109" s="298">
        <v>1</v>
      </c>
      <c r="Y109" s="298">
        <v>1</v>
      </c>
      <c r="Z109" s="299">
        <v>1</v>
      </c>
      <c r="AA109" s="299">
        <v>1</v>
      </c>
      <c r="AB109" s="300">
        <v>1</v>
      </c>
      <c r="AC109" s="301">
        <v>1</v>
      </c>
      <c r="AD109" s="301">
        <v>0</v>
      </c>
      <c r="AE109" s="305">
        <f t="shared" si="11"/>
        <v>0.875</v>
      </c>
      <c r="AF109" s="63">
        <v>0</v>
      </c>
      <c r="AG109" s="305"/>
      <c r="AH109" s="73">
        <v>42.5</v>
      </c>
      <c r="AI109" s="73">
        <v>42.5</v>
      </c>
      <c r="AJ109" s="73">
        <v>42.5</v>
      </c>
      <c r="AK109" s="127">
        <v>30</v>
      </c>
      <c r="AL109" s="127">
        <v>32</v>
      </c>
      <c r="AM109" s="147">
        <f t="shared" si="19"/>
        <v>62</v>
      </c>
      <c r="AN109" s="74" t="s">
        <v>407</v>
      </c>
      <c r="AO109" s="74" t="s">
        <v>409</v>
      </c>
      <c r="AP109" s="67" t="s">
        <v>443</v>
      </c>
    </row>
    <row r="110" spans="1:42" s="300" customFormat="1" x14ac:dyDescent="0.3">
      <c r="A110" s="66" t="s">
        <v>30</v>
      </c>
      <c r="B110" s="67" t="s">
        <v>31</v>
      </c>
      <c r="C110" s="68" t="s">
        <v>32</v>
      </c>
      <c r="D110" s="69" t="s">
        <v>33</v>
      </c>
      <c r="E110" s="68" t="s">
        <v>34</v>
      </c>
      <c r="F110" s="69" t="s">
        <v>35</v>
      </c>
      <c r="G110" s="68" t="s">
        <v>400</v>
      </c>
      <c r="H110" s="69" t="s">
        <v>401</v>
      </c>
      <c r="I110" s="69" t="s">
        <v>444</v>
      </c>
      <c r="J110" s="69" t="s">
        <v>445</v>
      </c>
      <c r="K110" s="68" t="s">
        <v>446</v>
      </c>
      <c r="L110" s="69" t="s">
        <v>447</v>
      </c>
      <c r="M110" s="67" t="s">
        <v>448</v>
      </c>
      <c r="N110" s="70">
        <v>0</v>
      </c>
      <c r="O110" s="75">
        <v>14</v>
      </c>
      <c r="P110" s="75"/>
      <c r="Q110" s="75"/>
      <c r="R110" s="115"/>
      <c r="S110" s="115"/>
      <c r="T110" s="67" t="s">
        <v>407</v>
      </c>
      <c r="U110" s="300" t="s">
        <v>409</v>
      </c>
      <c r="V110" s="67" t="s">
        <v>449</v>
      </c>
      <c r="W110" s="298">
        <v>1</v>
      </c>
      <c r="X110" s="298">
        <v>1</v>
      </c>
      <c r="Y110" s="298">
        <v>1</v>
      </c>
      <c r="Z110" s="299">
        <v>1</v>
      </c>
      <c r="AA110" s="299">
        <v>1</v>
      </c>
      <c r="AB110" s="300">
        <v>1</v>
      </c>
      <c r="AC110" s="301">
        <v>1</v>
      </c>
      <c r="AD110" s="301">
        <v>0</v>
      </c>
      <c r="AE110" s="305">
        <f t="shared" si="11"/>
        <v>0.875</v>
      </c>
      <c r="AF110" s="63">
        <v>0</v>
      </c>
      <c r="AG110" s="305"/>
      <c r="AH110" s="73">
        <v>38.5</v>
      </c>
      <c r="AI110" s="73">
        <v>35</v>
      </c>
      <c r="AJ110" s="73">
        <v>35.000000000000227</v>
      </c>
      <c r="AK110" s="127"/>
      <c r="AL110" s="127"/>
      <c r="AM110" s="147">
        <f t="shared" si="19"/>
        <v>0</v>
      </c>
      <c r="AN110" s="74" t="s">
        <v>407</v>
      </c>
      <c r="AO110" s="74" t="s">
        <v>409</v>
      </c>
      <c r="AP110" s="67" t="s">
        <v>410</v>
      </c>
    </row>
    <row r="111" spans="1:42" s="300" customFormat="1" x14ac:dyDescent="0.3">
      <c r="A111" s="66" t="s">
        <v>30</v>
      </c>
      <c r="B111" s="67" t="s">
        <v>31</v>
      </c>
      <c r="C111" s="68" t="s">
        <v>32</v>
      </c>
      <c r="D111" s="69" t="s">
        <v>33</v>
      </c>
      <c r="E111" s="68" t="s">
        <v>34</v>
      </c>
      <c r="F111" s="69" t="s">
        <v>35</v>
      </c>
      <c r="G111" s="68" t="s">
        <v>400</v>
      </c>
      <c r="H111" s="69" t="s">
        <v>401</v>
      </c>
      <c r="I111" s="69" t="s">
        <v>444</v>
      </c>
      <c r="J111" s="69" t="s">
        <v>445</v>
      </c>
      <c r="K111" s="68" t="s">
        <v>446</v>
      </c>
      <c r="L111" s="69" t="s">
        <v>447</v>
      </c>
      <c r="M111" s="67" t="s">
        <v>450</v>
      </c>
      <c r="N111" s="70">
        <v>0</v>
      </c>
      <c r="O111" s="75">
        <v>4</v>
      </c>
      <c r="P111" s="75">
        <v>17</v>
      </c>
      <c r="Q111" s="75"/>
      <c r="R111" s="115"/>
      <c r="S111" s="115"/>
      <c r="T111" s="67" t="s">
        <v>407</v>
      </c>
      <c r="U111" s="300" t="s">
        <v>409</v>
      </c>
      <c r="V111" s="67" t="s">
        <v>449</v>
      </c>
      <c r="W111" s="298">
        <v>1</v>
      </c>
      <c r="X111" s="298">
        <v>1</v>
      </c>
      <c r="Y111" s="298">
        <v>1</v>
      </c>
      <c r="Z111" s="299">
        <v>1</v>
      </c>
      <c r="AA111" s="299">
        <v>1</v>
      </c>
      <c r="AB111" s="300">
        <v>1</v>
      </c>
      <c r="AC111" s="301">
        <v>1</v>
      </c>
      <c r="AD111" s="301">
        <v>0</v>
      </c>
      <c r="AE111" s="305">
        <f t="shared" si="11"/>
        <v>0.875</v>
      </c>
      <c r="AF111" s="63">
        <v>0</v>
      </c>
      <c r="AG111" s="305"/>
      <c r="AH111" s="73"/>
      <c r="AI111" s="73"/>
      <c r="AJ111" s="73"/>
      <c r="AK111" s="109"/>
      <c r="AL111" s="109"/>
      <c r="AM111" s="147">
        <f t="shared" si="19"/>
        <v>0</v>
      </c>
      <c r="AN111" s="74" t="s">
        <v>407</v>
      </c>
      <c r="AO111" s="74" t="s">
        <v>409</v>
      </c>
      <c r="AP111" s="67" t="s">
        <v>410</v>
      </c>
    </row>
    <row r="112" spans="1:42" s="300" customFormat="1" x14ac:dyDescent="0.3">
      <c r="A112" s="66" t="s">
        <v>30</v>
      </c>
      <c r="B112" s="67" t="s">
        <v>31</v>
      </c>
      <c r="C112" s="68" t="s">
        <v>32</v>
      </c>
      <c r="D112" s="69" t="s">
        <v>33</v>
      </c>
      <c r="E112" s="68" t="s">
        <v>34</v>
      </c>
      <c r="F112" s="69" t="s">
        <v>35</v>
      </c>
      <c r="G112" s="68" t="s">
        <v>400</v>
      </c>
      <c r="H112" s="69" t="s">
        <v>401</v>
      </c>
      <c r="I112" s="69" t="s">
        <v>444</v>
      </c>
      <c r="J112" s="69" t="s">
        <v>445</v>
      </c>
      <c r="K112" s="68" t="s">
        <v>446</v>
      </c>
      <c r="L112" s="69" t="s">
        <v>447</v>
      </c>
      <c r="M112" s="67" t="s">
        <v>451</v>
      </c>
      <c r="N112" s="70">
        <v>0</v>
      </c>
      <c r="O112" s="75">
        <v>2</v>
      </c>
      <c r="P112" s="75">
        <v>2</v>
      </c>
      <c r="Q112" s="75">
        <v>1</v>
      </c>
      <c r="R112" s="115">
        <v>1</v>
      </c>
      <c r="S112" s="115">
        <v>1</v>
      </c>
      <c r="T112" s="67" t="s">
        <v>407</v>
      </c>
      <c r="U112" s="300" t="s">
        <v>409</v>
      </c>
      <c r="V112" s="67" t="s">
        <v>449</v>
      </c>
      <c r="W112" s="298">
        <v>1</v>
      </c>
      <c r="X112" s="298">
        <v>1</v>
      </c>
      <c r="Y112" s="298">
        <v>1</v>
      </c>
      <c r="Z112" s="299">
        <v>1</v>
      </c>
      <c r="AA112" s="299">
        <v>1</v>
      </c>
      <c r="AB112" s="300">
        <v>1</v>
      </c>
      <c r="AC112" s="301">
        <v>1</v>
      </c>
      <c r="AD112" s="301">
        <v>0</v>
      </c>
      <c r="AE112" s="305">
        <f t="shared" si="11"/>
        <v>0.875</v>
      </c>
      <c r="AF112" s="63">
        <v>0</v>
      </c>
      <c r="AG112" s="305"/>
      <c r="AH112" s="73"/>
      <c r="AI112" s="73"/>
      <c r="AJ112" s="73"/>
      <c r="AK112" s="127">
        <v>5</v>
      </c>
      <c r="AL112" s="127">
        <v>3</v>
      </c>
      <c r="AM112" s="147">
        <f t="shared" si="19"/>
        <v>8</v>
      </c>
      <c r="AN112" s="74" t="s">
        <v>407</v>
      </c>
      <c r="AO112" s="74" t="s">
        <v>409</v>
      </c>
      <c r="AP112" s="67" t="s">
        <v>410</v>
      </c>
    </row>
    <row r="113" spans="1:42" s="300" customFormat="1" x14ac:dyDescent="0.3">
      <c r="A113" s="66" t="s">
        <v>30</v>
      </c>
      <c r="B113" s="67" t="s">
        <v>31</v>
      </c>
      <c r="C113" s="68" t="s">
        <v>32</v>
      </c>
      <c r="D113" s="69" t="s">
        <v>33</v>
      </c>
      <c r="E113" s="68" t="s">
        <v>34</v>
      </c>
      <c r="F113" s="69" t="s">
        <v>35</v>
      </c>
      <c r="G113" s="68" t="s">
        <v>400</v>
      </c>
      <c r="H113" s="69" t="s">
        <v>401</v>
      </c>
      <c r="I113" s="69" t="s">
        <v>444</v>
      </c>
      <c r="J113" s="69" t="s">
        <v>445</v>
      </c>
      <c r="K113" s="68" t="s">
        <v>446</v>
      </c>
      <c r="L113" s="69" t="s">
        <v>447</v>
      </c>
      <c r="M113" s="67" t="s">
        <v>452</v>
      </c>
      <c r="N113" s="70">
        <v>20</v>
      </c>
      <c r="O113" s="71">
        <v>100</v>
      </c>
      <c r="P113" s="75">
        <v>108</v>
      </c>
      <c r="Q113" s="75">
        <v>116</v>
      </c>
      <c r="R113" s="115">
        <v>50</v>
      </c>
      <c r="S113" s="115">
        <v>40</v>
      </c>
      <c r="T113" s="67" t="s">
        <v>407</v>
      </c>
      <c r="U113" s="300" t="s">
        <v>409</v>
      </c>
      <c r="V113" s="67" t="s">
        <v>449</v>
      </c>
      <c r="W113" s="298">
        <v>1</v>
      </c>
      <c r="X113" s="298">
        <v>1</v>
      </c>
      <c r="Y113" s="298">
        <v>1</v>
      </c>
      <c r="Z113" s="299">
        <v>1</v>
      </c>
      <c r="AA113" s="299">
        <v>1</v>
      </c>
      <c r="AB113" s="300">
        <v>1</v>
      </c>
      <c r="AC113" s="301">
        <v>1</v>
      </c>
      <c r="AD113" s="301">
        <v>0</v>
      </c>
      <c r="AE113" s="305">
        <f t="shared" si="11"/>
        <v>0.875</v>
      </c>
      <c r="AF113" s="63">
        <v>0</v>
      </c>
      <c r="AG113" s="305"/>
      <c r="AH113" s="73"/>
      <c r="AI113" s="73"/>
      <c r="AJ113" s="73"/>
      <c r="AK113" s="127">
        <v>6</v>
      </c>
      <c r="AL113" s="127">
        <v>5</v>
      </c>
      <c r="AM113" s="147">
        <f t="shared" si="19"/>
        <v>11</v>
      </c>
      <c r="AN113" s="74" t="s">
        <v>407</v>
      </c>
      <c r="AO113" s="74" t="s">
        <v>409</v>
      </c>
      <c r="AP113" s="67" t="s">
        <v>410</v>
      </c>
    </row>
    <row r="114" spans="1:42" s="300" customFormat="1" x14ac:dyDescent="0.3">
      <c r="A114" s="66" t="s">
        <v>30</v>
      </c>
      <c r="B114" s="67" t="s">
        <v>31</v>
      </c>
      <c r="C114" s="68" t="s">
        <v>32</v>
      </c>
      <c r="D114" s="69" t="s">
        <v>33</v>
      </c>
      <c r="E114" s="68" t="s">
        <v>34</v>
      </c>
      <c r="F114" s="69" t="s">
        <v>35</v>
      </c>
      <c r="G114" s="68" t="s">
        <v>400</v>
      </c>
      <c r="H114" s="69" t="s">
        <v>401</v>
      </c>
      <c r="I114" s="69" t="s">
        <v>444</v>
      </c>
      <c r="J114" s="69" t="s">
        <v>445</v>
      </c>
      <c r="K114" s="68" t="s">
        <v>446</v>
      </c>
      <c r="L114" s="69" t="s">
        <v>447</v>
      </c>
      <c r="M114" s="67" t="s">
        <v>453</v>
      </c>
      <c r="N114" s="70">
        <v>0</v>
      </c>
      <c r="O114" s="75">
        <v>2</v>
      </c>
      <c r="P114" s="75">
        <v>2</v>
      </c>
      <c r="Q114" s="75">
        <v>2</v>
      </c>
      <c r="R114" s="115">
        <v>2</v>
      </c>
      <c r="S114" s="115">
        <v>2</v>
      </c>
      <c r="T114" s="67" t="s">
        <v>407</v>
      </c>
      <c r="U114" s="300" t="s">
        <v>409</v>
      </c>
      <c r="V114" s="67" t="s">
        <v>449</v>
      </c>
      <c r="W114" s="298">
        <v>1</v>
      </c>
      <c r="X114" s="298">
        <v>1</v>
      </c>
      <c r="Y114" s="298">
        <v>1</v>
      </c>
      <c r="Z114" s="299">
        <v>1</v>
      </c>
      <c r="AA114" s="299">
        <v>1</v>
      </c>
      <c r="AB114" s="300">
        <v>1</v>
      </c>
      <c r="AC114" s="301">
        <v>1</v>
      </c>
      <c r="AD114" s="301">
        <v>0</v>
      </c>
      <c r="AE114" s="305">
        <f t="shared" si="11"/>
        <v>0.875</v>
      </c>
      <c r="AF114" s="63">
        <v>0</v>
      </c>
      <c r="AG114" s="305"/>
      <c r="AH114" s="73"/>
      <c r="AI114" s="73"/>
      <c r="AJ114" s="73"/>
      <c r="AK114" s="127">
        <v>1.5</v>
      </c>
      <c r="AL114" s="127">
        <v>1.5</v>
      </c>
      <c r="AM114" s="147">
        <f t="shared" si="19"/>
        <v>3</v>
      </c>
      <c r="AN114" s="74" t="s">
        <v>407</v>
      </c>
      <c r="AO114" s="74" t="s">
        <v>409</v>
      </c>
      <c r="AP114" s="67" t="s">
        <v>410</v>
      </c>
    </row>
    <row r="115" spans="1:42" s="300" customFormat="1" x14ac:dyDescent="0.3">
      <c r="A115" s="66" t="s">
        <v>30</v>
      </c>
      <c r="B115" s="67" t="s">
        <v>31</v>
      </c>
      <c r="C115" s="68" t="s">
        <v>32</v>
      </c>
      <c r="D115" s="69" t="s">
        <v>33</v>
      </c>
      <c r="E115" s="68" t="s">
        <v>34</v>
      </c>
      <c r="F115" s="69" t="s">
        <v>35</v>
      </c>
      <c r="G115" s="68" t="s">
        <v>400</v>
      </c>
      <c r="H115" s="69" t="s">
        <v>401</v>
      </c>
      <c r="I115" s="69" t="s">
        <v>444</v>
      </c>
      <c r="J115" s="69" t="s">
        <v>445</v>
      </c>
      <c r="K115" s="68" t="s">
        <v>446</v>
      </c>
      <c r="L115" s="69" t="s">
        <v>447</v>
      </c>
      <c r="M115" s="67" t="s">
        <v>454</v>
      </c>
      <c r="N115" s="70">
        <v>0</v>
      </c>
      <c r="O115" s="73">
        <v>0</v>
      </c>
      <c r="P115" s="75">
        <v>100</v>
      </c>
      <c r="Q115" s="75">
        <v>100</v>
      </c>
      <c r="R115" s="115">
        <v>20</v>
      </c>
      <c r="S115" s="115">
        <v>20</v>
      </c>
      <c r="T115" s="67" t="s">
        <v>407</v>
      </c>
      <c r="U115" s="300" t="s">
        <v>409</v>
      </c>
      <c r="V115" s="67" t="s">
        <v>449</v>
      </c>
      <c r="W115" s="298">
        <v>1</v>
      </c>
      <c r="X115" s="298">
        <v>1</v>
      </c>
      <c r="Y115" s="298">
        <v>1</v>
      </c>
      <c r="Z115" s="299">
        <v>1</v>
      </c>
      <c r="AA115" s="299">
        <v>1</v>
      </c>
      <c r="AB115" s="300">
        <v>1</v>
      </c>
      <c r="AC115" s="301">
        <v>1</v>
      </c>
      <c r="AD115" s="301">
        <v>0</v>
      </c>
      <c r="AE115" s="305">
        <f t="shared" si="11"/>
        <v>0.875</v>
      </c>
      <c r="AF115" s="63">
        <v>0</v>
      </c>
      <c r="AG115" s="305"/>
      <c r="AH115" s="73"/>
      <c r="AI115" s="73"/>
      <c r="AJ115" s="73"/>
      <c r="AK115" s="127">
        <v>0.3</v>
      </c>
      <c r="AL115" s="127">
        <v>0.3</v>
      </c>
      <c r="AM115" s="147">
        <f t="shared" si="19"/>
        <v>0.6</v>
      </c>
      <c r="AN115" s="74" t="s">
        <v>407</v>
      </c>
      <c r="AO115" s="74" t="s">
        <v>409</v>
      </c>
      <c r="AP115" s="67" t="s">
        <v>410</v>
      </c>
    </row>
    <row r="116" spans="1:42" s="300" customFormat="1" x14ac:dyDescent="0.3">
      <c r="A116" s="66" t="s">
        <v>30</v>
      </c>
      <c r="B116" s="67" t="s">
        <v>31</v>
      </c>
      <c r="C116" s="68" t="s">
        <v>32</v>
      </c>
      <c r="D116" s="69" t="s">
        <v>33</v>
      </c>
      <c r="E116" s="68" t="s">
        <v>34</v>
      </c>
      <c r="F116" s="69" t="s">
        <v>35</v>
      </c>
      <c r="G116" s="68" t="s">
        <v>400</v>
      </c>
      <c r="H116" s="69" t="s">
        <v>401</v>
      </c>
      <c r="I116" s="69" t="s">
        <v>444</v>
      </c>
      <c r="J116" s="69" t="s">
        <v>445</v>
      </c>
      <c r="K116" s="68" t="s">
        <v>446</v>
      </c>
      <c r="L116" s="69" t="s">
        <v>447</v>
      </c>
      <c r="M116" s="67" t="s">
        <v>455</v>
      </c>
      <c r="N116" s="70">
        <v>1351</v>
      </c>
      <c r="O116" s="71">
        <v>200</v>
      </c>
      <c r="P116" s="71">
        <v>200</v>
      </c>
      <c r="Q116" s="71">
        <v>200</v>
      </c>
      <c r="R116" s="129">
        <v>100</v>
      </c>
      <c r="S116" s="126">
        <v>80</v>
      </c>
      <c r="T116" s="67" t="s">
        <v>407</v>
      </c>
      <c r="U116" s="300" t="s">
        <v>409</v>
      </c>
      <c r="V116" s="67" t="s">
        <v>449</v>
      </c>
      <c r="W116" s="298">
        <v>1</v>
      </c>
      <c r="X116" s="298">
        <v>1</v>
      </c>
      <c r="Y116" s="298">
        <v>1</v>
      </c>
      <c r="Z116" s="299">
        <v>1</v>
      </c>
      <c r="AA116" s="299">
        <v>1</v>
      </c>
      <c r="AB116" s="300">
        <v>1</v>
      </c>
      <c r="AC116" s="301">
        <v>1</v>
      </c>
      <c r="AD116" s="301">
        <v>0</v>
      </c>
      <c r="AE116" s="305">
        <f t="shared" si="11"/>
        <v>0.875</v>
      </c>
      <c r="AF116" s="63">
        <v>0</v>
      </c>
      <c r="AG116" s="305"/>
      <c r="AH116" s="73"/>
      <c r="AI116" s="73"/>
      <c r="AJ116" s="73"/>
      <c r="AK116" s="127">
        <v>2</v>
      </c>
      <c r="AL116" s="127">
        <v>1.6</v>
      </c>
      <c r="AM116" s="147">
        <f t="shared" si="19"/>
        <v>3.6</v>
      </c>
      <c r="AN116" s="74" t="s">
        <v>407</v>
      </c>
      <c r="AO116" s="74" t="s">
        <v>409</v>
      </c>
      <c r="AP116" s="67" t="s">
        <v>410</v>
      </c>
    </row>
    <row r="117" spans="1:42" s="300" customFormat="1" x14ac:dyDescent="0.3">
      <c r="A117" s="66" t="s">
        <v>30</v>
      </c>
      <c r="B117" s="67" t="s">
        <v>31</v>
      </c>
      <c r="C117" s="68" t="s">
        <v>32</v>
      </c>
      <c r="D117" s="69" t="s">
        <v>33</v>
      </c>
      <c r="E117" s="68" t="s">
        <v>34</v>
      </c>
      <c r="F117" s="69" t="s">
        <v>35</v>
      </c>
      <c r="G117" s="68" t="s">
        <v>400</v>
      </c>
      <c r="H117" s="69" t="s">
        <v>401</v>
      </c>
      <c r="I117" s="69" t="s">
        <v>444</v>
      </c>
      <c r="J117" s="69" t="s">
        <v>445</v>
      </c>
      <c r="K117" s="69" t="s">
        <v>446</v>
      </c>
      <c r="L117" s="69" t="s">
        <v>447</v>
      </c>
      <c r="M117" s="67" t="s">
        <v>456</v>
      </c>
      <c r="N117" s="70">
        <v>20</v>
      </c>
      <c r="O117" s="71">
        <v>100</v>
      </c>
      <c r="P117" s="71">
        <v>108</v>
      </c>
      <c r="Q117" s="71">
        <v>116</v>
      </c>
      <c r="R117" s="129">
        <v>60</v>
      </c>
      <c r="S117" s="126">
        <v>60</v>
      </c>
      <c r="T117" s="69" t="s">
        <v>407</v>
      </c>
      <c r="U117" s="300" t="s">
        <v>409</v>
      </c>
      <c r="V117" s="67" t="s">
        <v>449</v>
      </c>
      <c r="W117" s="298">
        <v>1</v>
      </c>
      <c r="X117" s="298">
        <v>1</v>
      </c>
      <c r="Y117" s="298">
        <v>1</v>
      </c>
      <c r="Z117" s="299">
        <v>1</v>
      </c>
      <c r="AA117" s="299">
        <v>1</v>
      </c>
      <c r="AB117" s="300">
        <v>1</v>
      </c>
      <c r="AC117" s="301">
        <v>1</v>
      </c>
      <c r="AD117" s="301">
        <v>0</v>
      </c>
      <c r="AE117" s="305">
        <f t="shared" si="11"/>
        <v>0.875</v>
      </c>
      <c r="AF117" s="63">
        <v>0</v>
      </c>
      <c r="AG117" s="305"/>
      <c r="AH117" s="73"/>
      <c r="AI117" s="73"/>
      <c r="AJ117" s="73"/>
      <c r="AK117" s="127">
        <v>3</v>
      </c>
      <c r="AL117" s="127">
        <v>3</v>
      </c>
      <c r="AM117" s="147">
        <f t="shared" si="19"/>
        <v>6</v>
      </c>
      <c r="AN117" s="74" t="s">
        <v>407</v>
      </c>
      <c r="AO117" s="74" t="s">
        <v>409</v>
      </c>
      <c r="AP117" s="67" t="s">
        <v>410</v>
      </c>
    </row>
    <row r="118" spans="1:42" s="300" customFormat="1" x14ac:dyDescent="0.3">
      <c r="A118" s="66" t="s">
        <v>30</v>
      </c>
      <c r="B118" s="67" t="s">
        <v>31</v>
      </c>
      <c r="C118" s="68" t="s">
        <v>32</v>
      </c>
      <c r="D118" s="69" t="s">
        <v>33</v>
      </c>
      <c r="E118" s="68" t="s">
        <v>34</v>
      </c>
      <c r="F118" s="69" t="s">
        <v>35</v>
      </c>
      <c r="G118" s="68" t="s">
        <v>400</v>
      </c>
      <c r="H118" s="69" t="s">
        <v>401</v>
      </c>
      <c r="I118" s="69" t="s">
        <v>444</v>
      </c>
      <c r="J118" s="69" t="s">
        <v>445</v>
      </c>
      <c r="K118" s="68" t="s">
        <v>446</v>
      </c>
      <c r="L118" s="69" t="s">
        <v>447</v>
      </c>
      <c r="M118" s="67" t="s">
        <v>457</v>
      </c>
      <c r="N118" s="70">
        <v>0</v>
      </c>
      <c r="O118" s="75">
        <v>2</v>
      </c>
      <c r="P118" s="75">
        <v>3</v>
      </c>
      <c r="Q118" s="75">
        <v>3</v>
      </c>
      <c r="R118" s="115">
        <v>2</v>
      </c>
      <c r="S118" s="115">
        <v>2</v>
      </c>
      <c r="T118" s="67" t="s">
        <v>407</v>
      </c>
      <c r="U118" s="300" t="s">
        <v>409</v>
      </c>
      <c r="V118" s="67" t="s">
        <v>449</v>
      </c>
      <c r="W118" s="298">
        <v>1</v>
      </c>
      <c r="X118" s="298">
        <v>1</v>
      </c>
      <c r="Y118" s="298">
        <v>1</v>
      </c>
      <c r="Z118" s="299">
        <v>1</v>
      </c>
      <c r="AA118" s="299">
        <v>1</v>
      </c>
      <c r="AB118" s="300">
        <v>1</v>
      </c>
      <c r="AC118" s="301">
        <v>1</v>
      </c>
      <c r="AD118" s="301">
        <v>0</v>
      </c>
      <c r="AE118" s="305">
        <f t="shared" si="11"/>
        <v>0.875</v>
      </c>
      <c r="AF118" s="63">
        <v>0</v>
      </c>
      <c r="AG118" s="305"/>
      <c r="AH118" s="73"/>
      <c r="AI118" s="73"/>
      <c r="AJ118" s="73"/>
      <c r="AK118" s="127">
        <v>3.5</v>
      </c>
      <c r="AL118" s="127">
        <v>3.5</v>
      </c>
      <c r="AM118" s="147">
        <f t="shared" si="19"/>
        <v>7</v>
      </c>
      <c r="AN118" s="74" t="s">
        <v>407</v>
      </c>
      <c r="AO118" s="74" t="s">
        <v>409</v>
      </c>
      <c r="AP118" s="67" t="s">
        <v>410</v>
      </c>
    </row>
    <row r="119" spans="1:42" s="300" customFormat="1" x14ac:dyDescent="0.3">
      <c r="A119" s="66" t="s">
        <v>30</v>
      </c>
      <c r="B119" s="67" t="s">
        <v>31</v>
      </c>
      <c r="C119" s="68" t="s">
        <v>32</v>
      </c>
      <c r="D119" s="69" t="s">
        <v>33</v>
      </c>
      <c r="E119" s="68" t="s">
        <v>34</v>
      </c>
      <c r="F119" s="69" t="s">
        <v>35</v>
      </c>
      <c r="G119" s="68" t="s">
        <v>400</v>
      </c>
      <c r="H119" s="69" t="s">
        <v>401</v>
      </c>
      <c r="I119" s="69" t="s">
        <v>444</v>
      </c>
      <c r="J119" s="69" t="s">
        <v>445</v>
      </c>
      <c r="K119" s="68" t="s">
        <v>446</v>
      </c>
      <c r="L119" s="69" t="s">
        <v>447</v>
      </c>
      <c r="M119" s="67" t="s">
        <v>458</v>
      </c>
      <c r="N119" s="70">
        <v>0</v>
      </c>
      <c r="O119" s="75">
        <v>5</v>
      </c>
      <c r="P119" s="75">
        <v>5</v>
      </c>
      <c r="Q119" s="75">
        <v>5</v>
      </c>
      <c r="R119" s="129">
        <v>8</v>
      </c>
      <c r="S119" s="115">
        <v>0</v>
      </c>
      <c r="T119" s="67" t="s">
        <v>407</v>
      </c>
      <c r="U119" s="300" t="s">
        <v>409</v>
      </c>
      <c r="V119" s="67" t="s">
        <v>449</v>
      </c>
      <c r="W119" s="298">
        <v>1</v>
      </c>
      <c r="X119" s="298">
        <v>1</v>
      </c>
      <c r="Y119" s="298">
        <v>1</v>
      </c>
      <c r="Z119" s="299">
        <v>1</v>
      </c>
      <c r="AA119" s="299">
        <v>1</v>
      </c>
      <c r="AB119" s="300">
        <v>1</v>
      </c>
      <c r="AC119" s="301">
        <v>1</v>
      </c>
      <c r="AD119" s="301">
        <v>0</v>
      </c>
      <c r="AE119" s="305">
        <f t="shared" si="11"/>
        <v>0.875</v>
      </c>
      <c r="AF119" s="63">
        <v>0</v>
      </c>
      <c r="AG119" s="305"/>
      <c r="AH119" s="73"/>
      <c r="AI119" s="73"/>
      <c r="AJ119" s="73"/>
      <c r="AK119" s="127">
        <v>3</v>
      </c>
      <c r="AL119" s="109"/>
      <c r="AM119" s="147">
        <f t="shared" si="19"/>
        <v>3</v>
      </c>
      <c r="AN119" s="74" t="s">
        <v>407</v>
      </c>
      <c r="AO119" s="74" t="s">
        <v>409</v>
      </c>
      <c r="AP119" s="67" t="s">
        <v>410</v>
      </c>
    </row>
    <row r="120" spans="1:42" s="300" customFormat="1" x14ac:dyDescent="0.3">
      <c r="A120" s="66" t="s">
        <v>30</v>
      </c>
      <c r="B120" s="67" t="s">
        <v>31</v>
      </c>
      <c r="C120" s="68" t="s">
        <v>32</v>
      </c>
      <c r="D120" s="69" t="s">
        <v>33</v>
      </c>
      <c r="E120" s="68" t="s">
        <v>34</v>
      </c>
      <c r="F120" s="69" t="s">
        <v>35</v>
      </c>
      <c r="G120" s="68" t="s">
        <v>400</v>
      </c>
      <c r="H120" s="69" t="s">
        <v>401</v>
      </c>
      <c r="I120" s="69" t="s">
        <v>444</v>
      </c>
      <c r="J120" s="69" t="s">
        <v>445</v>
      </c>
      <c r="K120" s="68" t="s">
        <v>446</v>
      </c>
      <c r="L120" s="69" t="s">
        <v>447</v>
      </c>
      <c r="M120" s="67" t="s">
        <v>459</v>
      </c>
      <c r="N120" s="70">
        <v>0</v>
      </c>
      <c r="O120" s="75">
        <v>10</v>
      </c>
      <c r="P120" s="75">
        <v>20</v>
      </c>
      <c r="Q120" s="75">
        <v>30</v>
      </c>
      <c r="R120" s="115">
        <v>20</v>
      </c>
      <c r="S120" s="115">
        <v>15</v>
      </c>
      <c r="T120" s="67" t="s">
        <v>156</v>
      </c>
      <c r="U120" s="300" t="s">
        <v>158</v>
      </c>
      <c r="V120" s="67" t="s">
        <v>460</v>
      </c>
      <c r="W120" s="298">
        <v>1</v>
      </c>
      <c r="X120" s="298">
        <v>1</v>
      </c>
      <c r="Y120" s="298">
        <v>1</v>
      </c>
      <c r="Z120" s="299">
        <v>1</v>
      </c>
      <c r="AA120" s="299">
        <v>1</v>
      </c>
      <c r="AB120" s="300">
        <v>1</v>
      </c>
      <c r="AC120" s="301">
        <v>1</v>
      </c>
      <c r="AD120" s="301">
        <v>0</v>
      </c>
      <c r="AE120" s="305">
        <f t="shared" si="11"/>
        <v>0.875</v>
      </c>
      <c r="AF120" s="63">
        <v>0</v>
      </c>
      <c r="AG120" s="305"/>
      <c r="AH120" s="73">
        <v>10.5</v>
      </c>
      <c r="AI120" s="73">
        <v>10.5</v>
      </c>
      <c r="AJ120" s="73">
        <v>10.5</v>
      </c>
      <c r="AK120" s="127">
        <v>12</v>
      </c>
      <c r="AL120" s="127">
        <v>11</v>
      </c>
      <c r="AM120" s="147">
        <f t="shared" si="19"/>
        <v>23</v>
      </c>
      <c r="AN120" s="74" t="s">
        <v>156</v>
      </c>
      <c r="AO120" s="74" t="s">
        <v>158</v>
      </c>
      <c r="AP120" s="67" t="s">
        <v>461</v>
      </c>
    </row>
    <row r="121" spans="1:42" s="300" customFormat="1" x14ac:dyDescent="0.3">
      <c r="A121" s="66" t="s">
        <v>30</v>
      </c>
      <c r="B121" s="67" t="s">
        <v>31</v>
      </c>
      <c r="C121" s="68" t="s">
        <v>32</v>
      </c>
      <c r="D121" s="69" t="s">
        <v>33</v>
      </c>
      <c r="E121" s="68" t="s">
        <v>34</v>
      </c>
      <c r="F121" s="69" t="s">
        <v>35</v>
      </c>
      <c r="G121" s="68" t="s">
        <v>400</v>
      </c>
      <c r="H121" s="69" t="s">
        <v>401</v>
      </c>
      <c r="I121" s="69" t="s">
        <v>444</v>
      </c>
      <c r="J121" s="69" t="s">
        <v>445</v>
      </c>
      <c r="K121" s="68" t="s">
        <v>462</v>
      </c>
      <c r="L121" s="69" t="s">
        <v>463</v>
      </c>
      <c r="M121" s="67" t="s">
        <v>464</v>
      </c>
      <c r="N121" s="70">
        <v>0</v>
      </c>
      <c r="O121" s="71">
        <v>2</v>
      </c>
      <c r="P121" s="71">
        <v>3</v>
      </c>
      <c r="Q121" s="71">
        <v>7</v>
      </c>
      <c r="R121" s="110">
        <v>8</v>
      </c>
      <c r="S121" s="110">
        <v>5</v>
      </c>
      <c r="T121" s="67" t="s">
        <v>407</v>
      </c>
      <c r="U121" s="300" t="s">
        <v>409</v>
      </c>
      <c r="V121" s="67" t="s">
        <v>465</v>
      </c>
      <c r="W121" s="298">
        <v>1</v>
      </c>
      <c r="X121" s="298">
        <v>1</v>
      </c>
      <c r="Y121" s="298">
        <v>1</v>
      </c>
      <c r="Z121" s="299">
        <v>1</v>
      </c>
      <c r="AA121" s="299">
        <v>1</v>
      </c>
      <c r="AB121" s="300">
        <v>1</v>
      </c>
      <c r="AC121" s="301">
        <v>1</v>
      </c>
      <c r="AD121" s="301">
        <v>0</v>
      </c>
      <c r="AE121" s="305">
        <f t="shared" si="11"/>
        <v>0.875</v>
      </c>
      <c r="AF121" s="63">
        <v>0</v>
      </c>
      <c r="AG121" s="305"/>
      <c r="AH121" s="73">
        <v>0.5</v>
      </c>
      <c r="AI121" s="73">
        <v>0.5</v>
      </c>
      <c r="AJ121" s="73">
        <v>0.5</v>
      </c>
      <c r="AK121" s="109">
        <v>0.5</v>
      </c>
      <c r="AL121" s="109">
        <v>0.5</v>
      </c>
      <c r="AM121" s="147">
        <f t="shared" si="19"/>
        <v>1</v>
      </c>
      <c r="AN121" s="74" t="s">
        <v>407</v>
      </c>
      <c r="AO121" s="74" t="s">
        <v>409</v>
      </c>
      <c r="AP121" s="67" t="s">
        <v>410</v>
      </c>
    </row>
    <row r="122" spans="1:42" s="300" customFormat="1" x14ac:dyDescent="0.3">
      <c r="A122" s="66" t="s">
        <v>30</v>
      </c>
      <c r="B122" s="67" t="s">
        <v>31</v>
      </c>
      <c r="C122" s="68" t="s">
        <v>32</v>
      </c>
      <c r="D122" s="69" t="s">
        <v>33</v>
      </c>
      <c r="E122" s="68" t="s">
        <v>34</v>
      </c>
      <c r="F122" s="69" t="s">
        <v>35</v>
      </c>
      <c r="G122" s="68" t="s">
        <v>400</v>
      </c>
      <c r="H122" s="69" t="s">
        <v>401</v>
      </c>
      <c r="I122" s="69" t="s">
        <v>444</v>
      </c>
      <c r="J122" s="69" t="s">
        <v>445</v>
      </c>
      <c r="K122" s="69" t="s">
        <v>466</v>
      </c>
      <c r="L122" s="69" t="s">
        <v>463</v>
      </c>
      <c r="M122" s="67" t="s">
        <v>467</v>
      </c>
      <c r="N122" s="70">
        <v>45</v>
      </c>
      <c r="O122" s="71">
        <v>100</v>
      </c>
      <c r="P122" s="71">
        <v>200</v>
      </c>
      <c r="Q122" s="71">
        <v>300</v>
      </c>
      <c r="R122" s="110">
        <v>400</v>
      </c>
      <c r="S122" s="110">
        <v>500</v>
      </c>
      <c r="T122" s="67" t="s">
        <v>407</v>
      </c>
      <c r="U122" s="300" t="s">
        <v>409</v>
      </c>
      <c r="V122" s="67" t="s">
        <v>465</v>
      </c>
      <c r="W122" s="298">
        <v>1</v>
      </c>
      <c r="X122" s="298">
        <v>1</v>
      </c>
      <c r="Y122" s="298">
        <v>1</v>
      </c>
      <c r="Z122" s="299">
        <v>1</v>
      </c>
      <c r="AA122" s="299">
        <v>1</v>
      </c>
      <c r="AB122" s="300">
        <v>1</v>
      </c>
      <c r="AC122" s="301">
        <v>1</v>
      </c>
      <c r="AD122" s="301">
        <v>0</v>
      </c>
      <c r="AE122" s="305">
        <f t="shared" si="11"/>
        <v>0.875</v>
      </c>
      <c r="AF122" s="63">
        <v>0</v>
      </c>
      <c r="AG122" s="305"/>
      <c r="AH122" s="73"/>
      <c r="AI122" s="73"/>
      <c r="AJ122" s="73"/>
      <c r="AK122" s="127">
        <v>0.5</v>
      </c>
      <c r="AL122" s="127">
        <v>0.5</v>
      </c>
      <c r="AM122" s="147">
        <f t="shared" si="19"/>
        <v>1</v>
      </c>
      <c r="AN122" s="74" t="s">
        <v>407</v>
      </c>
      <c r="AO122" s="74" t="s">
        <v>409</v>
      </c>
      <c r="AP122" s="67" t="s">
        <v>468</v>
      </c>
    </row>
    <row r="123" spans="1:42" s="300" customFormat="1" x14ac:dyDescent="0.3">
      <c r="A123" s="66" t="s">
        <v>30</v>
      </c>
      <c r="B123" s="67" t="s">
        <v>31</v>
      </c>
      <c r="C123" s="68" t="s">
        <v>32</v>
      </c>
      <c r="D123" s="69" t="s">
        <v>33</v>
      </c>
      <c r="E123" s="68" t="s">
        <v>34</v>
      </c>
      <c r="F123" s="69" t="s">
        <v>35</v>
      </c>
      <c r="G123" s="68" t="s">
        <v>400</v>
      </c>
      <c r="H123" s="69" t="s">
        <v>401</v>
      </c>
      <c r="I123" s="69" t="s">
        <v>444</v>
      </c>
      <c r="J123" s="69" t="s">
        <v>445</v>
      </c>
      <c r="K123" s="68" t="s">
        <v>469</v>
      </c>
      <c r="L123" s="69" t="s">
        <v>470</v>
      </c>
      <c r="M123" s="67" t="s">
        <v>471</v>
      </c>
      <c r="N123" s="70">
        <v>0</v>
      </c>
      <c r="O123" s="71">
        <v>1</v>
      </c>
      <c r="P123" s="71"/>
      <c r="Q123" s="71"/>
      <c r="R123" s="110"/>
      <c r="S123" s="110"/>
      <c r="T123" s="67" t="s">
        <v>407</v>
      </c>
      <c r="U123" s="300" t="s">
        <v>409</v>
      </c>
      <c r="V123" s="67" t="s">
        <v>472</v>
      </c>
      <c r="W123" s="298">
        <v>1</v>
      </c>
      <c r="X123" s="298">
        <v>1</v>
      </c>
      <c r="Y123" s="298">
        <v>1</v>
      </c>
      <c r="Z123" s="299">
        <v>1</v>
      </c>
      <c r="AA123" s="299">
        <v>1</v>
      </c>
      <c r="AB123" s="300">
        <v>1</v>
      </c>
      <c r="AC123" s="301">
        <v>1</v>
      </c>
      <c r="AD123" s="301">
        <v>0</v>
      </c>
      <c r="AE123" s="305">
        <f t="shared" si="11"/>
        <v>0.875</v>
      </c>
      <c r="AF123" s="63">
        <v>0</v>
      </c>
      <c r="AG123" s="305"/>
      <c r="AH123" s="73">
        <v>1</v>
      </c>
      <c r="AI123" s="73">
        <v>0.2</v>
      </c>
      <c r="AJ123" s="73"/>
      <c r="AK123" s="109"/>
      <c r="AL123" s="109"/>
      <c r="AM123" s="147">
        <f t="shared" si="19"/>
        <v>0</v>
      </c>
      <c r="AN123" s="74" t="s">
        <v>407</v>
      </c>
      <c r="AO123" s="74" t="s">
        <v>409</v>
      </c>
      <c r="AP123" s="67" t="s">
        <v>473</v>
      </c>
    </row>
    <row r="124" spans="1:42" x14ac:dyDescent="0.3">
      <c r="A124" s="9" t="s">
        <v>30</v>
      </c>
      <c r="B124" s="10" t="s">
        <v>31</v>
      </c>
      <c r="C124" s="11" t="s">
        <v>32</v>
      </c>
      <c r="D124" s="12" t="s">
        <v>33</v>
      </c>
      <c r="E124" s="11" t="s">
        <v>34</v>
      </c>
      <c r="F124" s="12" t="s">
        <v>35</v>
      </c>
      <c r="G124" s="11" t="s">
        <v>400</v>
      </c>
      <c r="H124" s="12" t="s">
        <v>401</v>
      </c>
      <c r="I124" s="12" t="s">
        <v>444</v>
      </c>
      <c r="J124" s="12" t="s">
        <v>445</v>
      </c>
      <c r="K124" s="11" t="s">
        <v>474</v>
      </c>
      <c r="L124" s="12" t="s">
        <v>475</v>
      </c>
      <c r="M124" s="10" t="s">
        <v>476</v>
      </c>
      <c r="N124" s="15">
        <v>0</v>
      </c>
      <c r="O124" s="21">
        <v>5000</v>
      </c>
      <c r="P124" s="16">
        <v>8250</v>
      </c>
      <c r="Q124" s="16">
        <v>9222</v>
      </c>
      <c r="R124" s="110">
        <v>1000</v>
      </c>
      <c r="S124" s="110">
        <v>1000</v>
      </c>
      <c r="T124" s="10" t="s">
        <v>92</v>
      </c>
      <c r="U124" s="283" t="s">
        <v>118</v>
      </c>
      <c r="V124" s="10" t="s">
        <v>477</v>
      </c>
      <c r="W124" s="298">
        <v>1</v>
      </c>
      <c r="X124" s="298">
        <v>1</v>
      </c>
      <c r="Y124" s="298">
        <v>1</v>
      </c>
      <c r="Z124" s="299">
        <v>1</v>
      </c>
      <c r="AA124" s="299">
        <v>1</v>
      </c>
      <c r="AB124" s="300">
        <v>1</v>
      </c>
      <c r="AC124" s="301">
        <v>1</v>
      </c>
      <c r="AD124" s="301">
        <v>0</v>
      </c>
      <c r="AE124" s="302">
        <f t="shared" si="11"/>
        <v>0.875</v>
      </c>
      <c r="AF124" s="63">
        <v>0</v>
      </c>
      <c r="AG124" s="17">
        <v>0</v>
      </c>
      <c r="AH124" s="17">
        <v>0</v>
      </c>
      <c r="AI124" s="32">
        <v>7.5</v>
      </c>
      <c r="AJ124" s="32">
        <v>7.5</v>
      </c>
      <c r="AK124" s="132">
        <v>5</v>
      </c>
      <c r="AL124" s="132">
        <v>5</v>
      </c>
      <c r="AM124" s="147">
        <f t="shared" si="19"/>
        <v>10</v>
      </c>
      <c r="AN124" s="18" t="s">
        <v>336</v>
      </c>
      <c r="AO124" s="18" t="s">
        <v>118</v>
      </c>
      <c r="AP124" s="10" t="s">
        <v>154</v>
      </c>
    </row>
    <row r="125" spans="1:42" hidden="1" x14ac:dyDescent="0.3">
      <c r="A125" s="9" t="s">
        <v>30</v>
      </c>
      <c r="B125" s="10" t="s">
        <v>31</v>
      </c>
      <c r="C125" s="11" t="s">
        <v>32</v>
      </c>
      <c r="D125" s="12" t="s">
        <v>33</v>
      </c>
      <c r="E125" s="11" t="s">
        <v>34</v>
      </c>
      <c r="F125" s="12" t="s">
        <v>35</v>
      </c>
      <c r="G125" s="11" t="s">
        <v>400</v>
      </c>
      <c r="H125" s="12" t="s">
        <v>401</v>
      </c>
      <c r="I125" s="12" t="s">
        <v>478</v>
      </c>
      <c r="J125" s="12" t="s">
        <v>479</v>
      </c>
      <c r="K125" s="33" t="s">
        <v>480</v>
      </c>
      <c r="L125" s="12" t="s">
        <v>481</v>
      </c>
      <c r="M125" s="10" t="s">
        <v>482</v>
      </c>
      <c r="N125" s="15"/>
      <c r="O125" s="21">
        <v>100</v>
      </c>
      <c r="P125" s="16">
        <v>200</v>
      </c>
      <c r="Q125" s="16">
        <v>300</v>
      </c>
      <c r="R125" s="110">
        <v>400</v>
      </c>
      <c r="S125" s="110">
        <v>500</v>
      </c>
      <c r="T125" s="10" t="s">
        <v>407</v>
      </c>
      <c r="U125" s="283" t="s">
        <v>409</v>
      </c>
      <c r="V125" s="10"/>
      <c r="W125" s="298">
        <v>0</v>
      </c>
      <c r="X125" s="298">
        <v>0</v>
      </c>
      <c r="Y125" s="298">
        <v>0</v>
      </c>
      <c r="Z125" s="299">
        <v>0</v>
      </c>
      <c r="AA125" s="299">
        <v>0</v>
      </c>
      <c r="AB125" s="300">
        <v>0</v>
      </c>
      <c r="AC125" s="301">
        <v>0</v>
      </c>
      <c r="AD125" s="301">
        <v>0</v>
      </c>
      <c r="AE125" s="302">
        <f t="shared" si="11"/>
        <v>0</v>
      </c>
      <c r="AF125" s="63">
        <v>0</v>
      </c>
      <c r="AG125" s="17">
        <v>0</v>
      </c>
      <c r="AH125" s="17"/>
      <c r="AI125" s="17"/>
      <c r="AJ125" s="17"/>
      <c r="AK125" s="109"/>
      <c r="AL125" s="109"/>
      <c r="AM125" s="17" t="e">
        <f>SUM(#REF!)</f>
        <v>#REF!</v>
      </c>
      <c r="AN125" s="18" t="s">
        <v>407</v>
      </c>
      <c r="AO125" s="18" t="s">
        <v>409</v>
      </c>
      <c r="AP125" s="10"/>
    </row>
    <row r="126" spans="1:42" hidden="1" x14ac:dyDescent="0.3">
      <c r="A126" s="9" t="s">
        <v>30</v>
      </c>
      <c r="B126" s="10" t="s">
        <v>31</v>
      </c>
      <c r="C126" s="11" t="s">
        <v>32</v>
      </c>
      <c r="D126" s="12" t="s">
        <v>33</v>
      </c>
      <c r="E126" s="11" t="s">
        <v>34</v>
      </c>
      <c r="F126" s="12" t="s">
        <v>35</v>
      </c>
      <c r="G126" s="11" t="s">
        <v>400</v>
      </c>
      <c r="H126" s="12" t="s">
        <v>401</v>
      </c>
      <c r="I126" s="12" t="s">
        <v>478</v>
      </c>
      <c r="J126" s="12" t="s">
        <v>479</v>
      </c>
      <c r="K126" s="33" t="s">
        <v>480</v>
      </c>
      <c r="L126" s="12" t="s">
        <v>481</v>
      </c>
      <c r="M126" s="10" t="s">
        <v>483</v>
      </c>
      <c r="N126" s="15"/>
      <c r="O126" s="21">
        <v>100</v>
      </c>
      <c r="P126" s="16">
        <v>200</v>
      </c>
      <c r="Q126" s="16">
        <v>300</v>
      </c>
      <c r="R126" s="110">
        <v>400</v>
      </c>
      <c r="S126" s="110">
        <v>500</v>
      </c>
      <c r="T126" s="10" t="s">
        <v>407</v>
      </c>
      <c r="U126" s="283" t="s">
        <v>409</v>
      </c>
      <c r="V126" s="10"/>
      <c r="W126" s="298">
        <v>0</v>
      </c>
      <c r="X126" s="298">
        <v>0</v>
      </c>
      <c r="Y126" s="298">
        <v>0</v>
      </c>
      <c r="Z126" s="299">
        <v>0</v>
      </c>
      <c r="AA126" s="299">
        <v>0</v>
      </c>
      <c r="AB126" s="300">
        <v>0</v>
      </c>
      <c r="AC126" s="301">
        <v>0</v>
      </c>
      <c r="AD126" s="301">
        <v>0</v>
      </c>
      <c r="AE126" s="302">
        <f t="shared" si="11"/>
        <v>0</v>
      </c>
      <c r="AF126" s="63">
        <v>0</v>
      </c>
      <c r="AG126" s="17">
        <v>0</v>
      </c>
      <c r="AH126" s="17"/>
      <c r="AI126" s="17"/>
      <c r="AJ126" s="17"/>
      <c r="AK126" s="109"/>
      <c r="AL126" s="109"/>
      <c r="AM126" s="17" t="e">
        <f>SUM(#REF!)</f>
        <v>#REF!</v>
      </c>
      <c r="AN126" s="18" t="s">
        <v>407</v>
      </c>
      <c r="AO126" s="18" t="s">
        <v>409</v>
      </c>
      <c r="AP126" s="10"/>
    </row>
    <row r="127" spans="1:42" s="300" customFormat="1" x14ac:dyDescent="0.3">
      <c r="A127" s="66" t="s">
        <v>30</v>
      </c>
      <c r="B127" s="67" t="s">
        <v>31</v>
      </c>
      <c r="C127" s="68" t="s">
        <v>32</v>
      </c>
      <c r="D127" s="69" t="s">
        <v>33</v>
      </c>
      <c r="E127" s="68" t="s">
        <v>34</v>
      </c>
      <c r="F127" s="69" t="s">
        <v>35</v>
      </c>
      <c r="G127" s="68" t="s">
        <v>484</v>
      </c>
      <c r="H127" s="69" t="s">
        <v>485</v>
      </c>
      <c r="I127" s="68" t="s">
        <v>486</v>
      </c>
      <c r="J127" s="69" t="s">
        <v>487</v>
      </c>
      <c r="K127" s="68" t="s">
        <v>488</v>
      </c>
      <c r="L127" s="69" t="s">
        <v>331</v>
      </c>
      <c r="M127" s="67" t="s">
        <v>489</v>
      </c>
      <c r="N127" s="70">
        <v>0</v>
      </c>
      <c r="O127" s="75">
        <v>0</v>
      </c>
      <c r="P127" s="71"/>
      <c r="Q127" s="71"/>
      <c r="R127" s="110">
        <v>1</v>
      </c>
      <c r="S127" s="110">
        <v>1</v>
      </c>
      <c r="T127" s="67" t="s">
        <v>336</v>
      </c>
      <c r="U127" s="300" t="s">
        <v>118</v>
      </c>
      <c r="V127" s="67" t="s">
        <v>490</v>
      </c>
      <c r="W127" s="298">
        <v>1</v>
      </c>
      <c r="X127" s="298">
        <v>1</v>
      </c>
      <c r="Y127" s="298">
        <v>1</v>
      </c>
      <c r="Z127" s="299">
        <v>1</v>
      </c>
      <c r="AA127" s="299">
        <v>1</v>
      </c>
      <c r="AB127" s="300">
        <v>1</v>
      </c>
      <c r="AC127" s="301">
        <v>1</v>
      </c>
      <c r="AD127" s="301">
        <v>0</v>
      </c>
      <c r="AE127" s="305">
        <f t="shared" si="11"/>
        <v>0.875</v>
      </c>
      <c r="AF127" s="63">
        <v>0</v>
      </c>
      <c r="AG127" s="73">
        <v>0</v>
      </c>
      <c r="AH127" s="73">
        <v>9.5</v>
      </c>
      <c r="AI127" s="73">
        <v>3</v>
      </c>
      <c r="AJ127" s="73">
        <v>3</v>
      </c>
      <c r="AK127" s="127">
        <v>10</v>
      </c>
      <c r="AL127" s="127">
        <v>10</v>
      </c>
      <c r="AM127" s="147">
        <f t="shared" ref="AM127:AM133" si="20">SUM(AK127:AL127)</f>
        <v>20</v>
      </c>
      <c r="AN127" s="74" t="s">
        <v>92</v>
      </c>
      <c r="AO127" s="74" t="s">
        <v>118</v>
      </c>
      <c r="AP127" s="67" t="s">
        <v>491</v>
      </c>
    </row>
    <row r="128" spans="1:42" s="300" customFormat="1" x14ac:dyDescent="0.3">
      <c r="A128" s="66" t="s">
        <v>30</v>
      </c>
      <c r="B128" s="67" t="s">
        <v>31</v>
      </c>
      <c r="C128" s="68" t="s">
        <v>32</v>
      </c>
      <c r="D128" s="69" t="s">
        <v>33</v>
      </c>
      <c r="E128" s="68" t="s">
        <v>34</v>
      </c>
      <c r="F128" s="69" t="s">
        <v>35</v>
      </c>
      <c r="G128" s="68" t="s">
        <v>484</v>
      </c>
      <c r="H128" s="69" t="s">
        <v>485</v>
      </c>
      <c r="I128" s="68" t="s">
        <v>486</v>
      </c>
      <c r="J128" s="69" t="s">
        <v>487</v>
      </c>
      <c r="K128" s="68" t="s">
        <v>488</v>
      </c>
      <c r="L128" s="67" t="s">
        <v>331</v>
      </c>
      <c r="M128" s="67" t="s">
        <v>492</v>
      </c>
      <c r="N128" s="70">
        <v>0</v>
      </c>
      <c r="O128" s="75">
        <v>0</v>
      </c>
      <c r="P128" s="71">
        <v>0</v>
      </c>
      <c r="Q128" s="71">
        <v>20</v>
      </c>
      <c r="R128" s="110">
        <v>20</v>
      </c>
      <c r="S128" s="110">
        <v>20</v>
      </c>
      <c r="T128" s="67" t="s">
        <v>336</v>
      </c>
      <c r="U128" s="300" t="s">
        <v>118</v>
      </c>
      <c r="V128" s="67" t="s">
        <v>493</v>
      </c>
      <c r="W128" s="298">
        <v>1</v>
      </c>
      <c r="X128" s="298">
        <v>1</v>
      </c>
      <c r="Y128" s="298">
        <v>1</v>
      </c>
      <c r="Z128" s="299">
        <v>1</v>
      </c>
      <c r="AA128" s="299">
        <v>1</v>
      </c>
      <c r="AB128" s="300">
        <v>1</v>
      </c>
      <c r="AC128" s="301">
        <v>1</v>
      </c>
      <c r="AD128" s="301">
        <v>0</v>
      </c>
      <c r="AE128" s="305">
        <f t="shared" si="11"/>
        <v>0.875</v>
      </c>
      <c r="AF128" s="63">
        <v>0</v>
      </c>
      <c r="AG128" s="73">
        <v>0</v>
      </c>
      <c r="AH128" s="73">
        <v>30</v>
      </c>
      <c r="AI128" s="73">
        <v>22</v>
      </c>
      <c r="AJ128" s="73">
        <v>22</v>
      </c>
      <c r="AK128" s="127">
        <v>5</v>
      </c>
      <c r="AL128" s="132">
        <v>5</v>
      </c>
      <c r="AM128" s="147">
        <f t="shared" si="20"/>
        <v>10</v>
      </c>
      <c r="AN128" s="74" t="s">
        <v>336</v>
      </c>
      <c r="AO128" s="74" t="s">
        <v>118</v>
      </c>
      <c r="AP128" s="67" t="s">
        <v>494</v>
      </c>
    </row>
    <row r="129" spans="1:42" s="300" customFormat="1" x14ac:dyDescent="0.3">
      <c r="A129" s="66" t="s">
        <v>30</v>
      </c>
      <c r="B129" s="67" t="s">
        <v>31</v>
      </c>
      <c r="C129" s="68" t="s">
        <v>32</v>
      </c>
      <c r="D129" s="69" t="s">
        <v>33</v>
      </c>
      <c r="E129" s="68" t="s">
        <v>34</v>
      </c>
      <c r="F129" s="69" t="s">
        <v>35</v>
      </c>
      <c r="G129" s="68" t="s">
        <v>484</v>
      </c>
      <c r="H129" s="69" t="s">
        <v>485</v>
      </c>
      <c r="I129" s="68" t="s">
        <v>486</v>
      </c>
      <c r="J129" s="69" t="s">
        <v>487</v>
      </c>
      <c r="K129" s="68" t="s">
        <v>488</v>
      </c>
      <c r="L129" s="67" t="s">
        <v>331</v>
      </c>
      <c r="M129" s="67" t="s">
        <v>495</v>
      </c>
      <c r="N129" s="70">
        <v>0</v>
      </c>
      <c r="O129" s="75">
        <v>0</v>
      </c>
      <c r="P129" s="71">
        <v>2</v>
      </c>
      <c r="Q129" s="71">
        <v>2</v>
      </c>
      <c r="R129" s="110">
        <v>2</v>
      </c>
      <c r="S129" s="110">
        <v>2</v>
      </c>
      <c r="T129" s="67" t="s">
        <v>336</v>
      </c>
      <c r="U129" s="300" t="s">
        <v>118</v>
      </c>
      <c r="V129" s="67" t="s">
        <v>493</v>
      </c>
      <c r="W129" s="298">
        <v>1</v>
      </c>
      <c r="X129" s="298">
        <v>1</v>
      </c>
      <c r="Y129" s="298">
        <v>1</v>
      </c>
      <c r="Z129" s="299">
        <v>1</v>
      </c>
      <c r="AA129" s="299">
        <v>1</v>
      </c>
      <c r="AB129" s="300">
        <v>1</v>
      </c>
      <c r="AC129" s="301">
        <v>1</v>
      </c>
      <c r="AD129" s="301">
        <v>0</v>
      </c>
      <c r="AE129" s="305">
        <f t="shared" si="11"/>
        <v>0.875</v>
      </c>
      <c r="AF129" s="63">
        <v>0</v>
      </c>
      <c r="AG129" s="73">
        <v>0</v>
      </c>
      <c r="AH129" s="73"/>
      <c r="AI129" s="73"/>
      <c r="AJ129" s="73"/>
      <c r="AK129" s="127">
        <v>4.8</v>
      </c>
      <c r="AL129" s="127">
        <v>4.8</v>
      </c>
      <c r="AM129" s="147">
        <f t="shared" si="20"/>
        <v>9.6</v>
      </c>
      <c r="AN129" s="74" t="s">
        <v>336</v>
      </c>
      <c r="AO129" s="74" t="s">
        <v>118</v>
      </c>
      <c r="AP129" s="67" t="s">
        <v>494</v>
      </c>
    </row>
    <row r="130" spans="1:42" s="300" customFormat="1" x14ac:dyDescent="0.3">
      <c r="A130" s="66" t="s">
        <v>30</v>
      </c>
      <c r="B130" s="67" t="s">
        <v>31</v>
      </c>
      <c r="C130" s="68" t="s">
        <v>32</v>
      </c>
      <c r="D130" s="69" t="s">
        <v>33</v>
      </c>
      <c r="E130" s="68" t="s">
        <v>34</v>
      </c>
      <c r="F130" s="69" t="s">
        <v>35</v>
      </c>
      <c r="G130" s="68" t="s">
        <v>484</v>
      </c>
      <c r="H130" s="69" t="s">
        <v>485</v>
      </c>
      <c r="I130" s="69" t="s">
        <v>486</v>
      </c>
      <c r="J130" s="69" t="s">
        <v>487</v>
      </c>
      <c r="K130" s="69" t="s">
        <v>488</v>
      </c>
      <c r="L130" s="67" t="s">
        <v>331</v>
      </c>
      <c r="M130" s="67" t="s">
        <v>496</v>
      </c>
      <c r="N130" s="70">
        <v>16</v>
      </c>
      <c r="O130" s="71">
        <v>20</v>
      </c>
      <c r="P130" s="71">
        <v>20</v>
      </c>
      <c r="Q130" s="71">
        <v>20</v>
      </c>
      <c r="R130" s="110">
        <v>20</v>
      </c>
      <c r="S130" s="110">
        <v>20</v>
      </c>
      <c r="T130" s="67" t="s">
        <v>336</v>
      </c>
      <c r="U130" s="300" t="s">
        <v>118</v>
      </c>
      <c r="V130" s="67" t="s">
        <v>493</v>
      </c>
      <c r="W130" s="298">
        <v>1</v>
      </c>
      <c r="X130" s="298">
        <v>1</v>
      </c>
      <c r="Y130" s="298">
        <v>1</v>
      </c>
      <c r="Z130" s="299">
        <v>1</v>
      </c>
      <c r="AA130" s="299">
        <v>1</v>
      </c>
      <c r="AB130" s="300">
        <v>1</v>
      </c>
      <c r="AC130" s="301">
        <v>1</v>
      </c>
      <c r="AD130" s="301">
        <v>0</v>
      </c>
      <c r="AE130" s="305">
        <f t="shared" si="11"/>
        <v>0.875</v>
      </c>
      <c r="AF130" s="63">
        <v>0</v>
      </c>
      <c r="AG130" s="73">
        <v>0</v>
      </c>
      <c r="AH130" s="73"/>
      <c r="AI130" s="73"/>
      <c r="AJ130" s="73"/>
      <c r="AK130" s="109"/>
      <c r="AL130" s="109"/>
      <c r="AM130" s="147">
        <f t="shared" si="20"/>
        <v>0</v>
      </c>
      <c r="AN130" s="74" t="s">
        <v>336</v>
      </c>
      <c r="AO130" s="74" t="s">
        <v>118</v>
      </c>
      <c r="AP130" s="67" t="s">
        <v>494</v>
      </c>
    </row>
    <row r="131" spans="1:42" s="300" customFormat="1" x14ac:dyDescent="0.3">
      <c r="A131" s="66" t="s">
        <v>30</v>
      </c>
      <c r="B131" s="67" t="s">
        <v>31</v>
      </c>
      <c r="C131" s="68" t="s">
        <v>32</v>
      </c>
      <c r="D131" s="69" t="s">
        <v>33</v>
      </c>
      <c r="E131" s="68" t="s">
        <v>34</v>
      </c>
      <c r="F131" s="69" t="s">
        <v>35</v>
      </c>
      <c r="G131" s="68" t="s">
        <v>484</v>
      </c>
      <c r="H131" s="69" t="s">
        <v>485</v>
      </c>
      <c r="I131" s="68" t="s">
        <v>486</v>
      </c>
      <c r="J131" s="69" t="s">
        <v>487</v>
      </c>
      <c r="K131" s="68" t="s">
        <v>488</v>
      </c>
      <c r="L131" s="67" t="s">
        <v>331</v>
      </c>
      <c r="M131" s="67" t="s">
        <v>497</v>
      </c>
      <c r="N131" s="70">
        <v>302</v>
      </c>
      <c r="O131" s="71">
        <v>160</v>
      </c>
      <c r="P131" s="71">
        <v>180</v>
      </c>
      <c r="Q131" s="71">
        <v>180</v>
      </c>
      <c r="R131" s="110">
        <v>20</v>
      </c>
      <c r="S131" s="110">
        <v>20</v>
      </c>
      <c r="T131" s="67" t="s">
        <v>336</v>
      </c>
      <c r="U131" s="300" t="s">
        <v>118</v>
      </c>
      <c r="V131" s="67" t="s">
        <v>493</v>
      </c>
      <c r="W131" s="298">
        <v>1</v>
      </c>
      <c r="X131" s="298">
        <v>1</v>
      </c>
      <c r="Y131" s="298">
        <v>1</v>
      </c>
      <c r="Z131" s="299">
        <v>1</v>
      </c>
      <c r="AA131" s="299">
        <v>1</v>
      </c>
      <c r="AB131" s="300">
        <v>1</v>
      </c>
      <c r="AC131" s="301">
        <v>1</v>
      </c>
      <c r="AD131" s="301">
        <v>0</v>
      </c>
      <c r="AE131" s="305">
        <f t="shared" si="11"/>
        <v>0.875</v>
      </c>
      <c r="AF131" s="63">
        <v>0</v>
      </c>
      <c r="AG131" s="73">
        <v>0</v>
      </c>
      <c r="AH131" s="73"/>
      <c r="AI131" s="73"/>
      <c r="AJ131" s="73"/>
      <c r="AK131" s="127">
        <f>R131*1.2</f>
        <v>24</v>
      </c>
      <c r="AL131" s="127">
        <v>24</v>
      </c>
      <c r="AM131" s="147">
        <f t="shared" si="20"/>
        <v>48</v>
      </c>
      <c r="AN131" s="74" t="s">
        <v>336</v>
      </c>
      <c r="AO131" s="74" t="s">
        <v>118</v>
      </c>
      <c r="AP131" s="67" t="s">
        <v>494</v>
      </c>
    </row>
    <row r="132" spans="1:42" s="300" customFormat="1" x14ac:dyDescent="0.3">
      <c r="A132" s="66" t="s">
        <v>30</v>
      </c>
      <c r="B132" s="67" t="s">
        <v>31</v>
      </c>
      <c r="C132" s="68" t="s">
        <v>32</v>
      </c>
      <c r="D132" s="69" t="s">
        <v>33</v>
      </c>
      <c r="E132" s="68" t="s">
        <v>34</v>
      </c>
      <c r="F132" s="69" t="s">
        <v>35</v>
      </c>
      <c r="G132" s="68" t="s">
        <v>484</v>
      </c>
      <c r="H132" s="69" t="s">
        <v>485</v>
      </c>
      <c r="I132" s="69" t="s">
        <v>486</v>
      </c>
      <c r="J132" s="69" t="s">
        <v>487</v>
      </c>
      <c r="K132" s="66" t="s">
        <v>498</v>
      </c>
      <c r="L132" s="67" t="s">
        <v>499</v>
      </c>
      <c r="M132" s="67" t="s">
        <v>500</v>
      </c>
      <c r="N132" s="70">
        <v>600</v>
      </c>
      <c r="O132" s="75">
        <v>0</v>
      </c>
      <c r="P132" s="71">
        <v>400</v>
      </c>
      <c r="Q132" s="71">
        <v>700</v>
      </c>
      <c r="R132" s="126">
        <v>500</v>
      </c>
      <c r="S132" s="126">
        <v>500</v>
      </c>
      <c r="T132" s="67" t="s">
        <v>336</v>
      </c>
      <c r="U132" s="300" t="s">
        <v>118</v>
      </c>
      <c r="V132" s="67" t="s">
        <v>493</v>
      </c>
      <c r="W132" s="298">
        <v>1</v>
      </c>
      <c r="X132" s="298">
        <v>1</v>
      </c>
      <c r="Y132" s="298">
        <v>1</v>
      </c>
      <c r="Z132" s="299">
        <v>1</v>
      </c>
      <c r="AA132" s="299">
        <v>1</v>
      </c>
      <c r="AB132" s="300">
        <v>1</v>
      </c>
      <c r="AC132" s="301">
        <v>1</v>
      </c>
      <c r="AD132" s="301">
        <v>0</v>
      </c>
      <c r="AE132" s="305">
        <f t="shared" si="11"/>
        <v>0.875</v>
      </c>
      <c r="AF132" s="63">
        <v>0</v>
      </c>
      <c r="AG132" s="73">
        <v>0</v>
      </c>
      <c r="AH132" s="73"/>
      <c r="AI132" s="73"/>
      <c r="AJ132" s="73"/>
      <c r="AK132" s="127">
        <v>0.4</v>
      </c>
      <c r="AL132" s="132">
        <v>0.4</v>
      </c>
      <c r="AM132" s="147">
        <f t="shared" si="20"/>
        <v>0.8</v>
      </c>
      <c r="AN132" s="74" t="s">
        <v>92</v>
      </c>
      <c r="AO132" s="74" t="s">
        <v>118</v>
      </c>
      <c r="AP132" s="67"/>
    </row>
    <row r="133" spans="1:42" s="300" customFormat="1" x14ac:dyDescent="0.3">
      <c r="A133" s="66" t="s">
        <v>30</v>
      </c>
      <c r="B133" s="67" t="s">
        <v>31</v>
      </c>
      <c r="C133" s="68" t="s">
        <v>32</v>
      </c>
      <c r="D133" s="69" t="s">
        <v>33</v>
      </c>
      <c r="E133" s="68" t="s">
        <v>34</v>
      </c>
      <c r="F133" s="69" t="s">
        <v>35</v>
      </c>
      <c r="G133" s="68" t="s">
        <v>484</v>
      </c>
      <c r="H133" s="69" t="s">
        <v>485</v>
      </c>
      <c r="I133" s="69" t="s">
        <v>486</v>
      </c>
      <c r="J133" s="69" t="s">
        <v>487</v>
      </c>
      <c r="K133" s="66" t="s">
        <v>501</v>
      </c>
      <c r="L133" s="67" t="s">
        <v>502</v>
      </c>
      <c r="M133" s="67" t="s">
        <v>503</v>
      </c>
      <c r="N133" s="70">
        <v>220</v>
      </c>
      <c r="O133" s="71">
        <v>300</v>
      </c>
      <c r="P133" s="71">
        <v>300</v>
      </c>
      <c r="Q133" s="71">
        <v>300</v>
      </c>
      <c r="R133" s="110">
        <v>300</v>
      </c>
      <c r="S133" s="110">
        <v>300</v>
      </c>
      <c r="T133" s="67" t="s">
        <v>336</v>
      </c>
      <c r="U133" s="300" t="s">
        <v>118</v>
      </c>
      <c r="V133" s="67" t="s">
        <v>493</v>
      </c>
      <c r="W133" s="298">
        <v>1</v>
      </c>
      <c r="X133" s="298">
        <v>1</v>
      </c>
      <c r="Y133" s="298">
        <v>1</v>
      </c>
      <c r="Z133" s="299">
        <v>1</v>
      </c>
      <c r="AA133" s="299">
        <v>1</v>
      </c>
      <c r="AB133" s="300">
        <v>1</v>
      </c>
      <c r="AC133" s="301">
        <v>1</v>
      </c>
      <c r="AD133" s="301">
        <v>0</v>
      </c>
      <c r="AE133" s="305">
        <f t="shared" si="11"/>
        <v>0.875</v>
      </c>
      <c r="AF133" s="63">
        <v>0</v>
      </c>
      <c r="AG133" s="73">
        <v>0</v>
      </c>
      <c r="AH133" s="73"/>
      <c r="AI133" s="73"/>
      <c r="AJ133" s="73"/>
      <c r="AK133" s="109"/>
      <c r="AL133" s="109"/>
      <c r="AM133" s="147">
        <f t="shared" si="20"/>
        <v>0</v>
      </c>
      <c r="AN133" s="74" t="s">
        <v>336</v>
      </c>
      <c r="AO133" s="74" t="s">
        <v>118</v>
      </c>
      <c r="AP133" s="67"/>
    </row>
    <row r="134" spans="1:42" s="300" customFormat="1" hidden="1" x14ac:dyDescent="0.3">
      <c r="A134" s="66" t="s">
        <v>30</v>
      </c>
      <c r="B134" s="67" t="s">
        <v>31</v>
      </c>
      <c r="C134" s="68" t="s">
        <v>32</v>
      </c>
      <c r="D134" s="69" t="s">
        <v>33</v>
      </c>
      <c r="E134" s="68" t="s">
        <v>34</v>
      </c>
      <c r="F134" s="69" t="s">
        <v>35</v>
      </c>
      <c r="G134" s="68" t="s">
        <v>484</v>
      </c>
      <c r="H134" s="69" t="s">
        <v>485</v>
      </c>
      <c r="I134" s="69" t="s">
        <v>504</v>
      </c>
      <c r="J134" s="69" t="s">
        <v>505</v>
      </c>
      <c r="K134" s="66" t="s">
        <v>506</v>
      </c>
      <c r="L134" s="67" t="s">
        <v>507</v>
      </c>
      <c r="M134" s="67" t="s">
        <v>508</v>
      </c>
      <c r="N134" s="70">
        <v>0</v>
      </c>
      <c r="O134" s="71">
        <v>0</v>
      </c>
      <c r="P134" s="71">
        <v>1</v>
      </c>
      <c r="Q134" s="71">
        <v>1</v>
      </c>
      <c r="R134" s="110">
        <v>1</v>
      </c>
      <c r="S134" s="110">
        <v>1</v>
      </c>
      <c r="T134" s="67" t="s">
        <v>509</v>
      </c>
      <c r="U134" s="300" t="s">
        <v>880</v>
      </c>
      <c r="V134" s="67" t="s">
        <v>510</v>
      </c>
      <c r="W134" s="298">
        <v>0</v>
      </c>
      <c r="X134" s="298">
        <v>0</v>
      </c>
      <c r="Y134" s="298">
        <v>0</v>
      </c>
      <c r="Z134" s="299">
        <v>0</v>
      </c>
      <c r="AA134" s="299">
        <v>0</v>
      </c>
      <c r="AB134" s="300">
        <v>0</v>
      </c>
      <c r="AC134" s="301">
        <v>0</v>
      </c>
      <c r="AD134" s="301">
        <v>0</v>
      </c>
      <c r="AE134" s="305">
        <f t="shared" si="11"/>
        <v>0</v>
      </c>
      <c r="AF134" s="63">
        <v>0</v>
      </c>
      <c r="AG134" s="73">
        <v>0</v>
      </c>
      <c r="AH134" s="73"/>
      <c r="AI134" s="73"/>
      <c r="AJ134" s="73"/>
      <c r="AK134" s="109"/>
      <c r="AL134" s="109"/>
      <c r="AM134" s="73" t="e">
        <f>SUM(#REF!)</f>
        <v>#REF!</v>
      </c>
      <c r="AN134" s="10" t="s">
        <v>1392</v>
      </c>
      <c r="AO134" s="74" t="s">
        <v>350</v>
      </c>
      <c r="AP134" s="67" t="s">
        <v>511</v>
      </c>
    </row>
    <row r="135" spans="1:42" x14ac:dyDescent="0.3">
      <c r="A135" s="9" t="s">
        <v>30</v>
      </c>
      <c r="B135" s="10" t="s">
        <v>31</v>
      </c>
      <c r="C135" s="11" t="s">
        <v>32</v>
      </c>
      <c r="D135" s="12" t="s">
        <v>33</v>
      </c>
      <c r="E135" s="11" t="s">
        <v>34</v>
      </c>
      <c r="F135" s="12" t="s">
        <v>35</v>
      </c>
      <c r="G135" s="11" t="s">
        <v>484</v>
      </c>
      <c r="H135" s="12" t="s">
        <v>485</v>
      </c>
      <c r="I135" s="12" t="s">
        <v>512</v>
      </c>
      <c r="J135" s="12" t="s">
        <v>513</v>
      </c>
      <c r="K135" s="9" t="s">
        <v>514</v>
      </c>
      <c r="L135" s="10" t="s">
        <v>515</v>
      </c>
      <c r="M135" s="10" t="s">
        <v>516</v>
      </c>
      <c r="N135" s="15">
        <v>0</v>
      </c>
      <c r="O135" s="16">
        <v>10</v>
      </c>
      <c r="P135" s="16">
        <v>10</v>
      </c>
      <c r="Q135" s="16">
        <v>10</v>
      </c>
      <c r="R135" s="110">
        <v>10</v>
      </c>
      <c r="S135" s="110">
        <v>10</v>
      </c>
      <c r="T135" s="10" t="s">
        <v>92</v>
      </c>
      <c r="U135" s="283" t="s">
        <v>118</v>
      </c>
      <c r="V135" s="86" t="s">
        <v>517</v>
      </c>
      <c r="W135" s="298">
        <v>1</v>
      </c>
      <c r="X135" s="298">
        <v>1</v>
      </c>
      <c r="Y135" s="298">
        <v>1</v>
      </c>
      <c r="Z135" s="299">
        <v>1</v>
      </c>
      <c r="AA135" s="299">
        <v>0</v>
      </c>
      <c r="AB135" s="300">
        <v>1</v>
      </c>
      <c r="AC135" s="301">
        <v>1</v>
      </c>
      <c r="AD135" s="301">
        <v>0</v>
      </c>
      <c r="AE135" s="302">
        <f t="shared" ref="AE135:AE198" si="21">SUM(W135:AD135)/8</f>
        <v>0.75</v>
      </c>
      <c r="AF135" s="63">
        <v>0</v>
      </c>
      <c r="AG135" s="17">
        <v>0</v>
      </c>
      <c r="AH135" s="17"/>
      <c r="AI135" s="17"/>
      <c r="AJ135" s="17"/>
      <c r="AK135" s="109"/>
      <c r="AL135" s="109"/>
      <c r="AM135" s="147">
        <f t="shared" ref="AM135:AM140" si="22">SUM(AK135:AL135)</f>
        <v>0</v>
      </c>
      <c r="AN135" s="18" t="s">
        <v>92</v>
      </c>
      <c r="AO135" s="18" t="s">
        <v>118</v>
      </c>
      <c r="AP135" s="10" t="s">
        <v>518</v>
      </c>
    </row>
    <row r="136" spans="1:42" x14ac:dyDescent="0.3">
      <c r="A136" s="9" t="s">
        <v>30</v>
      </c>
      <c r="B136" s="10" t="s">
        <v>31</v>
      </c>
      <c r="C136" s="11" t="s">
        <v>32</v>
      </c>
      <c r="D136" s="12" t="s">
        <v>33</v>
      </c>
      <c r="E136" s="11" t="s">
        <v>34</v>
      </c>
      <c r="F136" s="12" t="s">
        <v>35</v>
      </c>
      <c r="G136" s="11" t="s">
        <v>519</v>
      </c>
      <c r="H136" s="12" t="s">
        <v>520</v>
      </c>
      <c r="I136" s="12" t="s">
        <v>521</v>
      </c>
      <c r="J136" s="12" t="s">
        <v>522</v>
      </c>
      <c r="K136" s="11" t="s">
        <v>523</v>
      </c>
      <c r="L136" s="12" t="s">
        <v>524</v>
      </c>
      <c r="M136" s="10" t="s">
        <v>525</v>
      </c>
      <c r="N136" s="15"/>
      <c r="O136" s="21">
        <v>0</v>
      </c>
      <c r="P136" s="16"/>
      <c r="Q136" s="16">
        <v>1000000</v>
      </c>
      <c r="R136" s="126">
        <v>1000000</v>
      </c>
      <c r="S136" s="126">
        <v>2000000</v>
      </c>
      <c r="T136" s="10" t="s">
        <v>92</v>
      </c>
      <c r="U136" s="283" t="s">
        <v>118</v>
      </c>
      <c r="V136" s="10" t="s">
        <v>526</v>
      </c>
      <c r="W136" s="298">
        <v>1</v>
      </c>
      <c r="X136" s="298">
        <v>1</v>
      </c>
      <c r="Y136" s="298">
        <v>1</v>
      </c>
      <c r="Z136" s="299">
        <v>0</v>
      </c>
      <c r="AA136" s="299">
        <v>1</v>
      </c>
      <c r="AB136" s="300">
        <v>1</v>
      </c>
      <c r="AC136" s="301">
        <v>1</v>
      </c>
      <c r="AD136" s="301">
        <v>0</v>
      </c>
      <c r="AE136" s="302">
        <f t="shared" si="21"/>
        <v>0.75</v>
      </c>
      <c r="AF136" s="63">
        <v>0</v>
      </c>
      <c r="AG136" s="17">
        <v>0</v>
      </c>
      <c r="AH136" s="17">
        <v>5</v>
      </c>
      <c r="AI136" s="17">
        <v>8</v>
      </c>
      <c r="AJ136" s="17">
        <v>5</v>
      </c>
      <c r="AK136" s="127">
        <v>0.2</v>
      </c>
      <c r="AL136" s="127">
        <v>0.2</v>
      </c>
      <c r="AM136" s="147">
        <f t="shared" si="22"/>
        <v>0.4</v>
      </c>
      <c r="AN136" s="18" t="s">
        <v>92</v>
      </c>
      <c r="AO136" s="18" t="s">
        <v>118</v>
      </c>
      <c r="AP136" s="10" t="s">
        <v>527</v>
      </c>
    </row>
    <row r="137" spans="1:42" x14ac:dyDescent="0.3">
      <c r="A137" s="9" t="s">
        <v>30</v>
      </c>
      <c r="B137" s="10" t="s">
        <v>31</v>
      </c>
      <c r="C137" s="11" t="s">
        <v>32</v>
      </c>
      <c r="D137" s="12" t="s">
        <v>33</v>
      </c>
      <c r="E137" s="11" t="s">
        <v>34</v>
      </c>
      <c r="F137" s="12" t="s">
        <v>35</v>
      </c>
      <c r="G137" s="11" t="s">
        <v>519</v>
      </c>
      <c r="H137" s="12" t="s">
        <v>520</v>
      </c>
      <c r="I137" s="12" t="s">
        <v>521</v>
      </c>
      <c r="J137" s="12" t="s">
        <v>522</v>
      </c>
      <c r="K137" s="11" t="s">
        <v>523</v>
      </c>
      <c r="L137" s="12" t="s">
        <v>524</v>
      </c>
      <c r="M137" s="10" t="s">
        <v>528</v>
      </c>
      <c r="N137" s="15"/>
      <c r="O137" s="21">
        <v>0</v>
      </c>
      <c r="P137" s="16">
        <v>1</v>
      </c>
      <c r="Q137" s="16">
        <v>1</v>
      </c>
      <c r="R137" s="110">
        <v>1</v>
      </c>
      <c r="S137" s="110">
        <v>1</v>
      </c>
      <c r="T137" s="10" t="s">
        <v>92</v>
      </c>
      <c r="U137" s="283" t="s">
        <v>118</v>
      </c>
      <c r="V137" s="10" t="s">
        <v>526</v>
      </c>
      <c r="W137" s="298">
        <v>1</v>
      </c>
      <c r="X137" s="298">
        <v>1</v>
      </c>
      <c r="Y137" s="298">
        <v>1</v>
      </c>
      <c r="Z137" s="299">
        <v>1</v>
      </c>
      <c r="AA137" s="299">
        <v>1</v>
      </c>
      <c r="AB137" s="300">
        <v>1</v>
      </c>
      <c r="AC137" s="301">
        <v>1</v>
      </c>
      <c r="AD137" s="301">
        <v>0</v>
      </c>
      <c r="AE137" s="302">
        <f t="shared" si="21"/>
        <v>0.875</v>
      </c>
      <c r="AF137" s="63">
        <v>0</v>
      </c>
      <c r="AG137" s="17">
        <v>0</v>
      </c>
      <c r="AH137" s="17"/>
      <c r="AI137" s="17"/>
      <c r="AJ137" s="17"/>
      <c r="AK137" s="127">
        <v>1</v>
      </c>
      <c r="AL137" s="127">
        <v>1</v>
      </c>
      <c r="AM137" s="147">
        <f t="shared" si="22"/>
        <v>2</v>
      </c>
      <c r="AN137" s="18" t="s">
        <v>92</v>
      </c>
      <c r="AO137" s="18" t="s">
        <v>118</v>
      </c>
      <c r="AP137" s="10" t="s">
        <v>527</v>
      </c>
    </row>
    <row r="138" spans="1:42" x14ac:dyDescent="0.3">
      <c r="A138" s="9" t="s">
        <v>30</v>
      </c>
      <c r="B138" s="10" t="s">
        <v>31</v>
      </c>
      <c r="C138" s="11" t="s">
        <v>32</v>
      </c>
      <c r="D138" s="12" t="s">
        <v>33</v>
      </c>
      <c r="E138" s="11" t="s">
        <v>34</v>
      </c>
      <c r="F138" s="12" t="s">
        <v>35</v>
      </c>
      <c r="G138" s="11" t="s">
        <v>519</v>
      </c>
      <c r="H138" s="12" t="s">
        <v>520</v>
      </c>
      <c r="I138" s="12" t="s">
        <v>521</v>
      </c>
      <c r="J138" s="12" t="s">
        <v>522</v>
      </c>
      <c r="K138" s="11" t="s">
        <v>529</v>
      </c>
      <c r="L138" s="12" t="s">
        <v>530</v>
      </c>
      <c r="M138" s="10" t="s">
        <v>531</v>
      </c>
      <c r="N138" s="15">
        <v>0</v>
      </c>
      <c r="O138" s="21"/>
      <c r="P138" s="16">
        <v>40</v>
      </c>
      <c r="Q138" s="16">
        <v>45</v>
      </c>
      <c r="R138" s="110">
        <v>50</v>
      </c>
      <c r="S138" s="110">
        <v>70</v>
      </c>
      <c r="T138" s="10" t="s">
        <v>92</v>
      </c>
      <c r="U138" s="283" t="s">
        <v>118</v>
      </c>
      <c r="V138" s="10" t="s">
        <v>532</v>
      </c>
      <c r="W138" s="298">
        <v>1</v>
      </c>
      <c r="X138" s="298">
        <v>1</v>
      </c>
      <c r="Y138" s="298">
        <v>1</v>
      </c>
      <c r="Z138" s="299">
        <v>1</v>
      </c>
      <c r="AA138" s="299">
        <v>1</v>
      </c>
      <c r="AB138" s="300">
        <v>1</v>
      </c>
      <c r="AC138" s="301">
        <v>1</v>
      </c>
      <c r="AD138" s="301">
        <v>0</v>
      </c>
      <c r="AE138" s="302">
        <f t="shared" si="21"/>
        <v>0.875</v>
      </c>
      <c r="AF138" s="63">
        <v>0</v>
      </c>
      <c r="AG138" s="17">
        <v>0</v>
      </c>
      <c r="AH138" s="17"/>
      <c r="AI138" s="17"/>
      <c r="AJ138" s="17"/>
      <c r="AK138" s="109"/>
      <c r="AL138" s="109"/>
      <c r="AM138" s="147">
        <f t="shared" si="22"/>
        <v>0</v>
      </c>
      <c r="AN138" s="18" t="s">
        <v>92</v>
      </c>
      <c r="AO138" s="18" t="s">
        <v>118</v>
      </c>
      <c r="AP138" s="10" t="s">
        <v>239</v>
      </c>
    </row>
    <row r="139" spans="1:42" x14ac:dyDescent="0.3">
      <c r="A139" s="9" t="s">
        <v>30</v>
      </c>
      <c r="B139" s="10" t="s">
        <v>31</v>
      </c>
      <c r="C139" s="11" t="s">
        <v>32</v>
      </c>
      <c r="D139" s="12" t="s">
        <v>33</v>
      </c>
      <c r="E139" s="11" t="s">
        <v>34</v>
      </c>
      <c r="F139" s="12" t="s">
        <v>35</v>
      </c>
      <c r="G139" s="11" t="s">
        <v>519</v>
      </c>
      <c r="H139" s="12" t="s">
        <v>520</v>
      </c>
      <c r="I139" s="12" t="s">
        <v>533</v>
      </c>
      <c r="J139" s="12" t="s">
        <v>534</v>
      </c>
      <c r="K139" s="11" t="s">
        <v>535</v>
      </c>
      <c r="L139" s="12" t="s">
        <v>536</v>
      </c>
      <c r="M139" s="10" t="s">
        <v>537</v>
      </c>
      <c r="N139" s="15">
        <v>0</v>
      </c>
      <c r="O139" s="21"/>
      <c r="P139" s="16"/>
      <c r="Q139" s="16">
        <v>2</v>
      </c>
      <c r="R139" s="110">
        <v>2</v>
      </c>
      <c r="S139" s="110">
        <v>1</v>
      </c>
      <c r="T139" s="10" t="s">
        <v>92</v>
      </c>
      <c r="U139" s="283" t="s">
        <v>118</v>
      </c>
      <c r="V139" s="10" t="s">
        <v>538</v>
      </c>
      <c r="W139" s="298">
        <v>1</v>
      </c>
      <c r="X139" s="298">
        <v>1</v>
      </c>
      <c r="Y139" s="298">
        <v>1</v>
      </c>
      <c r="Z139" s="299">
        <v>1</v>
      </c>
      <c r="AA139" s="299">
        <v>1</v>
      </c>
      <c r="AB139" s="300">
        <v>1</v>
      </c>
      <c r="AC139" s="301">
        <v>1</v>
      </c>
      <c r="AD139" s="301">
        <v>0</v>
      </c>
      <c r="AE139" s="302">
        <f t="shared" si="21"/>
        <v>0.875</v>
      </c>
      <c r="AF139" s="63">
        <v>0</v>
      </c>
      <c r="AG139" s="17">
        <v>0</v>
      </c>
      <c r="AH139" s="17"/>
      <c r="AI139" s="17"/>
      <c r="AJ139" s="17"/>
      <c r="AK139" s="109"/>
      <c r="AL139" s="109"/>
      <c r="AM139" s="147">
        <f t="shared" si="22"/>
        <v>0</v>
      </c>
      <c r="AN139" s="18" t="s">
        <v>92</v>
      </c>
      <c r="AO139" s="18" t="s">
        <v>118</v>
      </c>
      <c r="AP139" s="10"/>
    </row>
    <row r="140" spans="1:42" x14ac:dyDescent="0.3">
      <c r="A140" s="9" t="s">
        <v>30</v>
      </c>
      <c r="B140" s="10" t="s">
        <v>31</v>
      </c>
      <c r="C140" s="11" t="s">
        <v>32</v>
      </c>
      <c r="D140" s="12" t="s">
        <v>33</v>
      </c>
      <c r="E140" s="11" t="s">
        <v>34</v>
      </c>
      <c r="F140" s="12" t="s">
        <v>35</v>
      </c>
      <c r="G140" s="11" t="s">
        <v>519</v>
      </c>
      <c r="H140" s="12" t="s">
        <v>520</v>
      </c>
      <c r="I140" s="12" t="s">
        <v>533</v>
      </c>
      <c r="J140" s="12" t="s">
        <v>534</v>
      </c>
      <c r="K140" s="11" t="s">
        <v>535</v>
      </c>
      <c r="L140" s="12" t="s">
        <v>536</v>
      </c>
      <c r="M140" s="10" t="s">
        <v>244</v>
      </c>
      <c r="N140" s="15">
        <v>0</v>
      </c>
      <c r="O140" s="21">
        <v>0</v>
      </c>
      <c r="P140" s="16">
        <v>1</v>
      </c>
      <c r="Q140" s="16">
        <v>1</v>
      </c>
      <c r="R140" s="110">
        <v>2</v>
      </c>
      <c r="S140" s="110">
        <v>3</v>
      </c>
      <c r="T140" s="10" t="s">
        <v>92</v>
      </c>
      <c r="U140" s="283" t="s">
        <v>118</v>
      </c>
      <c r="V140" s="10" t="s">
        <v>539</v>
      </c>
      <c r="W140" s="298">
        <v>1</v>
      </c>
      <c r="X140" s="298">
        <v>1</v>
      </c>
      <c r="Y140" s="298">
        <v>1</v>
      </c>
      <c r="Z140" s="299">
        <v>0</v>
      </c>
      <c r="AA140" s="299">
        <v>1</v>
      </c>
      <c r="AB140" s="300">
        <v>1</v>
      </c>
      <c r="AC140" s="301">
        <v>1</v>
      </c>
      <c r="AD140" s="301">
        <v>0</v>
      </c>
      <c r="AE140" s="302">
        <f t="shared" si="21"/>
        <v>0.75</v>
      </c>
      <c r="AF140" s="63">
        <v>0</v>
      </c>
      <c r="AG140" s="17">
        <v>0</v>
      </c>
      <c r="AH140" s="17"/>
      <c r="AI140" s="17"/>
      <c r="AJ140" s="17"/>
      <c r="AK140" s="109"/>
      <c r="AL140" s="109"/>
      <c r="AM140" s="147">
        <f t="shared" si="22"/>
        <v>0</v>
      </c>
      <c r="AN140" s="18" t="s">
        <v>92</v>
      </c>
      <c r="AO140" s="18" t="s">
        <v>118</v>
      </c>
      <c r="AP140" s="10"/>
    </row>
    <row r="141" spans="1:42" hidden="1" x14ac:dyDescent="0.3">
      <c r="A141" s="9" t="s">
        <v>30</v>
      </c>
      <c r="B141" s="10" t="s">
        <v>31</v>
      </c>
      <c r="C141" s="11" t="s">
        <v>32</v>
      </c>
      <c r="D141" s="12" t="s">
        <v>33</v>
      </c>
      <c r="E141" s="11" t="s">
        <v>34</v>
      </c>
      <c r="F141" s="12" t="s">
        <v>35</v>
      </c>
      <c r="G141" s="11" t="s">
        <v>519</v>
      </c>
      <c r="H141" s="12" t="s">
        <v>520</v>
      </c>
      <c r="I141" s="12" t="s">
        <v>533</v>
      </c>
      <c r="J141" s="12" t="s">
        <v>534</v>
      </c>
      <c r="K141" s="11" t="s">
        <v>535</v>
      </c>
      <c r="L141" s="12" t="s">
        <v>536</v>
      </c>
      <c r="M141" s="10" t="s">
        <v>540</v>
      </c>
      <c r="N141" s="15">
        <v>0</v>
      </c>
      <c r="O141" s="21">
        <v>45</v>
      </c>
      <c r="P141" s="16">
        <v>45</v>
      </c>
      <c r="Q141" s="16">
        <v>45</v>
      </c>
      <c r="R141" s="110">
        <v>45</v>
      </c>
      <c r="S141" s="110">
        <v>45</v>
      </c>
      <c r="T141" s="10" t="s">
        <v>92</v>
      </c>
      <c r="U141" s="283" t="s">
        <v>118</v>
      </c>
      <c r="V141" s="86" t="s">
        <v>541</v>
      </c>
      <c r="W141" s="298">
        <v>0</v>
      </c>
      <c r="X141" s="298">
        <v>0</v>
      </c>
      <c r="Y141" s="298">
        <v>0</v>
      </c>
      <c r="Z141" s="298">
        <v>0</v>
      </c>
      <c r="AA141" s="298">
        <v>0</v>
      </c>
      <c r="AB141" s="298">
        <v>0</v>
      </c>
      <c r="AC141" s="301">
        <v>0</v>
      </c>
      <c r="AD141" s="301">
        <v>0</v>
      </c>
      <c r="AE141" s="302">
        <f t="shared" si="21"/>
        <v>0</v>
      </c>
      <c r="AF141" s="63">
        <v>0</v>
      </c>
      <c r="AG141" s="17">
        <v>0</v>
      </c>
      <c r="AH141" s="17"/>
      <c r="AI141" s="17"/>
      <c r="AJ141" s="17"/>
      <c r="AK141" s="109"/>
      <c r="AL141" s="109"/>
      <c r="AM141" s="17" t="e">
        <f>SUM(#REF!)</f>
        <v>#REF!</v>
      </c>
      <c r="AN141" s="18" t="s">
        <v>92</v>
      </c>
      <c r="AO141" s="18" t="s">
        <v>118</v>
      </c>
      <c r="AP141" s="10"/>
    </row>
    <row r="142" spans="1:42" s="300" customFormat="1" x14ac:dyDescent="0.3">
      <c r="A142" s="66" t="s">
        <v>30</v>
      </c>
      <c r="B142" s="67" t="s">
        <v>31</v>
      </c>
      <c r="C142" s="68" t="s">
        <v>32</v>
      </c>
      <c r="D142" s="69" t="s">
        <v>33</v>
      </c>
      <c r="E142" s="68" t="s">
        <v>34</v>
      </c>
      <c r="F142" s="69" t="s">
        <v>35</v>
      </c>
      <c r="G142" s="68" t="s">
        <v>519</v>
      </c>
      <c r="H142" s="69" t="s">
        <v>520</v>
      </c>
      <c r="I142" s="69" t="s">
        <v>533</v>
      </c>
      <c r="J142" s="69" t="s">
        <v>534</v>
      </c>
      <c r="K142" s="68" t="s">
        <v>535</v>
      </c>
      <c r="L142" s="69" t="s">
        <v>536</v>
      </c>
      <c r="M142" s="67" t="s">
        <v>542</v>
      </c>
      <c r="N142" s="15">
        <v>0</v>
      </c>
      <c r="O142" s="21"/>
      <c r="P142" s="16">
        <v>1</v>
      </c>
      <c r="Q142" s="16">
        <v>1</v>
      </c>
      <c r="R142" s="110">
        <v>1</v>
      </c>
      <c r="S142" s="110">
        <v>1</v>
      </c>
      <c r="T142" s="10" t="s">
        <v>92</v>
      </c>
      <c r="U142" s="283" t="s">
        <v>118</v>
      </c>
      <c r="V142" s="67" t="s">
        <v>543</v>
      </c>
      <c r="W142" s="298">
        <v>1</v>
      </c>
      <c r="X142" s="298">
        <v>1</v>
      </c>
      <c r="Y142" s="298">
        <v>1</v>
      </c>
      <c r="Z142" s="299">
        <v>1</v>
      </c>
      <c r="AA142" s="299">
        <v>1</v>
      </c>
      <c r="AB142" s="300">
        <v>1</v>
      </c>
      <c r="AC142" s="301">
        <v>1</v>
      </c>
      <c r="AD142" s="301">
        <v>0</v>
      </c>
      <c r="AE142" s="305">
        <f t="shared" si="21"/>
        <v>0.875</v>
      </c>
      <c r="AF142" s="63">
        <v>0</v>
      </c>
      <c r="AG142" s="73">
        <v>0</v>
      </c>
      <c r="AH142" s="73"/>
      <c r="AI142" s="73"/>
      <c r="AJ142" s="73"/>
      <c r="AK142" s="109"/>
      <c r="AL142" s="109"/>
      <c r="AM142" s="147">
        <f t="shared" ref="AM142:AM150" si="23">SUM(AK142:AL142)</f>
        <v>0</v>
      </c>
      <c r="AN142" s="74" t="s">
        <v>92</v>
      </c>
      <c r="AO142" s="74" t="s">
        <v>118</v>
      </c>
      <c r="AP142" s="67" t="s">
        <v>239</v>
      </c>
    </row>
    <row r="143" spans="1:42" s="300" customFormat="1" x14ac:dyDescent="0.3">
      <c r="A143" s="66" t="s">
        <v>30</v>
      </c>
      <c r="B143" s="67" t="s">
        <v>31</v>
      </c>
      <c r="C143" s="68" t="s">
        <v>32</v>
      </c>
      <c r="D143" s="69" t="s">
        <v>33</v>
      </c>
      <c r="E143" s="68" t="s">
        <v>34</v>
      </c>
      <c r="F143" s="69" t="s">
        <v>35</v>
      </c>
      <c r="G143" s="68" t="s">
        <v>519</v>
      </c>
      <c r="H143" s="69" t="s">
        <v>520</v>
      </c>
      <c r="I143" s="69" t="s">
        <v>533</v>
      </c>
      <c r="J143" s="69" t="s">
        <v>534</v>
      </c>
      <c r="K143" s="68" t="s">
        <v>535</v>
      </c>
      <c r="L143" s="69" t="s">
        <v>536</v>
      </c>
      <c r="M143" s="67" t="s">
        <v>544</v>
      </c>
      <c r="N143" s="15">
        <v>0</v>
      </c>
      <c r="O143" s="21"/>
      <c r="P143" s="16">
        <v>1</v>
      </c>
      <c r="Q143" s="16">
        <v>1</v>
      </c>
      <c r="R143" s="110">
        <v>1</v>
      </c>
      <c r="S143" s="110">
        <v>1</v>
      </c>
      <c r="T143" s="10" t="s">
        <v>92</v>
      </c>
      <c r="U143" s="283" t="s">
        <v>118</v>
      </c>
      <c r="V143" s="67" t="s">
        <v>545</v>
      </c>
      <c r="W143" s="298">
        <v>1</v>
      </c>
      <c r="X143" s="298">
        <v>1</v>
      </c>
      <c r="Y143" s="298">
        <v>1</v>
      </c>
      <c r="Z143" s="299">
        <v>1</v>
      </c>
      <c r="AA143" s="299">
        <v>1</v>
      </c>
      <c r="AB143" s="300">
        <v>1</v>
      </c>
      <c r="AC143" s="301">
        <v>1</v>
      </c>
      <c r="AD143" s="301">
        <v>0</v>
      </c>
      <c r="AE143" s="305">
        <f t="shared" si="21"/>
        <v>0.875</v>
      </c>
      <c r="AF143" s="63">
        <v>0</v>
      </c>
      <c r="AG143" s="73">
        <v>0</v>
      </c>
      <c r="AH143" s="73"/>
      <c r="AI143" s="73"/>
      <c r="AJ143" s="73"/>
      <c r="AK143" s="109"/>
      <c r="AL143" s="109"/>
      <c r="AM143" s="147">
        <f t="shared" si="23"/>
        <v>0</v>
      </c>
      <c r="AN143" s="74" t="s">
        <v>92</v>
      </c>
      <c r="AO143" s="74" t="s">
        <v>118</v>
      </c>
      <c r="AP143" s="67" t="s">
        <v>546</v>
      </c>
    </row>
    <row r="144" spans="1:42" x14ac:dyDescent="0.3">
      <c r="A144" s="9" t="s">
        <v>30</v>
      </c>
      <c r="B144" s="10" t="s">
        <v>31</v>
      </c>
      <c r="C144" s="11" t="s">
        <v>32</v>
      </c>
      <c r="D144" s="12" t="s">
        <v>33</v>
      </c>
      <c r="E144" s="11" t="s">
        <v>34</v>
      </c>
      <c r="F144" s="12" t="s">
        <v>35</v>
      </c>
      <c r="G144" s="11" t="s">
        <v>519</v>
      </c>
      <c r="H144" s="12" t="s">
        <v>520</v>
      </c>
      <c r="I144" s="12" t="s">
        <v>533</v>
      </c>
      <c r="J144" s="12" t="s">
        <v>534</v>
      </c>
      <c r="K144" s="11" t="s">
        <v>535</v>
      </c>
      <c r="L144" s="12" t="s">
        <v>536</v>
      </c>
      <c r="M144" s="10" t="s">
        <v>547</v>
      </c>
      <c r="N144" s="15">
        <v>0</v>
      </c>
      <c r="O144" s="21"/>
      <c r="P144" s="16">
        <v>10</v>
      </c>
      <c r="Q144" s="16">
        <v>15</v>
      </c>
      <c r="R144" s="110">
        <v>15</v>
      </c>
      <c r="S144" s="110">
        <v>10</v>
      </c>
      <c r="T144" s="10" t="s">
        <v>92</v>
      </c>
      <c r="U144" s="283" t="s">
        <v>118</v>
      </c>
      <c r="V144" s="10" t="s">
        <v>548</v>
      </c>
      <c r="W144" s="298">
        <v>1</v>
      </c>
      <c r="X144" s="298">
        <v>1</v>
      </c>
      <c r="Y144" s="298">
        <v>1</v>
      </c>
      <c r="Z144" s="299">
        <v>1</v>
      </c>
      <c r="AA144" s="299">
        <v>1</v>
      </c>
      <c r="AB144" s="300">
        <v>1</v>
      </c>
      <c r="AC144" s="301">
        <v>1</v>
      </c>
      <c r="AD144" s="301">
        <v>0</v>
      </c>
      <c r="AE144" s="302">
        <f t="shared" si="21"/>
        <v>0.875</v>
      </c>
      <c r="AF144" s="63">
        <v>0</v>
      </c>
      <c r="AG144" s="17">
        <v>0</v>
      </c>
      <c r="AH144" s="17"/>
      <c r="AI144" s="17"/>
      <c r="AJ144" s="17"/>
      <c r="AK144" s="109"/>
      <c r="AL144" s="109"/>
      <c r="AM144" s="147">
        <f t="shared" si="23"/>
        <v>0</v>
      </c>
      <c r="AN144" s="18" t="s">
        <v>92</v>
      </c>
      <c r="AO144" s="18" t="s">
        <v>118</v>
      </c>
      <c r="AP144" s="10"/>
    </row>
    <row r="145" spans="1:42" x14ac:dyDescent="0.3">
      <c r="A145" s="9" t="s">
        <v>30</v>
      </c>
      <c r="B145" s="10" t="s">
        <v>31</v>
      </c>
      <c r="C145" s="11" t="s">
        <v>32</v>
      </c>
      <c r="D145" s="12" t="s">
        <v>33</v>
      </c>
      <c r="E145" s="11" t="s">
        <v>34</v>
      </c>
      <c r="F145" s="12" t="s">
        <v>35</v>
      </c>
      <c r="G145" s="11" t="s">
        <v>549</v>
      </c>
      <c r="H145" s="12" t="s">
        <v>550</v>
      </c>
      <c r="I145" s="12" t="s">
        <v>551</v>
      </c>
      <c r="J145" s="12" t="s">
        <v>552</v>
      </c>
      <c r="K145" s="11" t="s">
        <v>553</v>
      </c>
      <c r="L145" s="12" t="s">
        <v>554</v>
      </c>
      <c r="M145" s="10" t="s">
        <v>555</v>
      </c>
      <c r="N145" s="15"/>
      <c r="O145" s="21">
        <v>0</v>
      </c>
      <c r="P145" s="16">
        <v>3</v>
      </c>
      <c r="Q145" s="16">
        <v>3</v>
      </c>
      <c r="R145" s="110">
        <v>1</v>
      </c>
      <c r="S145" s="110">
        <v>1</v>
      </c>
      <c r="T145" s="10" t="s">
        <v>336</v>
      </c>
      <c r="U145" s="283" t="s">
        <v>118</v>
      </c>
      <c r="V145" s="10" t="s">
        <v>556</v>
      </c>
      <c r="W145" s="298">
        <v>1</v>
      </c>
      <c r="X145" s="298">
        <v>1</v>
      </c>
      <c r="Y145" s="298">
        <v>1</v>
      </c>
      <c r="Z145" s="299">
        <v>1</v>
      </c>
      <c r="AA145" s="299">
        <v>1</v>
      </c>
      <c r="AB145" s="300">
        <v>1</v>
      </c>
      <c r="AC145" s="301">
        <v>1</v>
      </c>
      <c r="AD145" s="301">
        <v>0</v>
      </c>
      <c r="AE145" s="302">
        <f t="shared" si="21"/>
        <v>0.875</v>
      </c>
      <c r="AF145" s="63">
        <v>0</v>
      </c>
      <c r="AG145" s="17">
        <v>0</v>
      </c>
      <c r="AH145" s="17">
        <v>0</v>
      </c>
      <c r="AI145" s="32">
        <v>5</v>
      </c>
      <c r="AJ145" s="32">
        <v>5</v>
      </c>
      <c r="AK145" s="134">
        <v>1.54</v>
      </c>
      <c r="AL145" s="134">
        <v>1.54</v>
      </c>
      <c r="AM145" s="147">
        <f t="shared" si="23"/>
        <v>3.08</v>
      </c>
      <c r="AN145" s="18" t="s">
        <v>336</v>
      </c>
      <c r="AO145" s="18" t="s">
        <v>118</v>
      </c>
      <c r="AP145" s="10" t="s">
        <v>557</v>
      </c>
    </row>
    <row r="146" spans="1:42" x14ac:dyDescent="0.3">
      <c r="A146" s="9" t="s">
        <v>30</v>
      </c>
      <c r="B146" s="10" t="s">
        <v>31</v>
      </c>
      <c r="C146" s="11" t="s">
        <v>32</v>
      </c>
      <c r="D146" s="12" t="s">
        <v>33</v>
      </c>
      <c r="E146" s="11" t="s">
        <v>34</v>
      </c>
      <c r="F146" s="12" t="s">
        <v>35</v>
      </c>
      <c r="G146" s="11" t="s">
        <v>549</v>
      </c>
      <c r="H146" s="12" t="s">
        <v>550</v>
      </c>
      <c r="I146" s="12" t="s">
        <v>558</v>
      </c>
      <c r="J146" s="12" t="s">
        <v>559</v>
      </c>
      <c r="K146" s="11" t="s">
        <v>560</v>
      </c>
      <c r="L146" s="12" t="s">
        <v>561</v>
      </c>
      <c r="M146" s="10" t="s">
        <v>562</v>
      </c>
      <c r="N146" s="15"/>
      <c r="O146" s="21">
        <v>0</v>
      </c>
      <c r="P146" s="16">
        <v>20000</v>
      </c>
      <c r="Q146" s="16">
        <v>20000</v>
      </c>
      <c r="R146" s="110">
        <v>100</v>
      </c>
      <c r="S146" s="110">
        <v>100</v>
      </c>
      <c r="T146" s="10" t="s">
        <v>336</v>
      </c>
      <c r="U146" s="283" t="s">
        <v>118</v>
      </c>
      <c r="V146" s="10" t="s">
        <v>563</v>
      </c>
      <c r="W146" s="298">
        <v>1</v>
      </c>
      <c r="X146" s="298">
        <v>1</v>
      </c>
      <c r="Y146" s="298">
        <v>1</v>
      </c>
      <c r="Z146" s="299">
        <v>1</v>
      </c>
      <c r="AA146" s="299">
        <v>1</v>
      </c>
      <c r="AB146" s="300">
        <v>1</v>
      </c>
      <c r="AC146" s="301">
        <v>1</v>
      </c>
      <c r="AD146" s="301">
        <v>0</v>
      </c>
      <c r="AE146" s="302">
        <f t="shared" si="21"/>
        <v>0.875</v>
      </c>
      <c r="AF146" s="63">
        <v>0</v>
      </c>
      <c r="AG146" s="17">
        <v>0</v>
      </c>
      <c r="AH146" s="17">
        <v>0</v>
      </c>
      <c r="AI146" s="32">
        <v>3</v>
      </c>
      <c r="AJ146" s="32">
        <v>3</v>
      </c>
      <c r="AK146" s="134">
        <v>0.6</v>
      </c>
      <c r="AL146" s="134">
        <v>0.6</v>
      </c>
      <c r="AM146" s="147">
        <f t="shared" si="23"/>
        <v>1.2</v>
      </c>
      <c r="AN146" s="18" t="s">
        <v>336</v>
      </c>
      <c r="AO146" s="18" t="s">
        <v>118</v>
      </c>
      <c r="AP146" s="10" t="s">
        <v>564</v>
      </c>
    </row>
    <row r="147" spans="1:42" x14ac:dyDescent="0.3">
      <c r="A147" s="9" t="s">
        <v>30</v>
      </c>
      <c r="B147" s="10" t="s">
        <v>31</v>
      </c>
      <c r="C147" s="11" t="s">
        <v>32</v>
      </c>
      <c r="D147" s="12" t="s">
        <v>33</v>
      </c>
      <c r="E147" s="11" t="s">
        <v>34</v>
      </c>
      <c r="F147" s="12" t="s">
        <v>35</v>
      </c>
      <c r="G147" s="11" t="s">
        <v>549</v>
      </c>
      <c r="H147" s="12" t="s">
        <v>550</v>
      </c>
      <c r="I147" s="12" t="s">
        <v>565</v>
      </c>
      <c r="J147" s="12" t="s">
        <v>566</v>
      </c>
      <c r="K147" s="9" t="s">
        <v>567</v>
      </c>
      <c r="L147" s="10" t="s">
        <v>568</v>
      </c>
      <c r="M147" s="10" t="s">
        <v>569</v>
      </c>
      <c r="N147" s="15"/>
      <c r="O147" s="21">
        <v>0</v>
      </c>
      <c r="P147" s="16"/>
      <c r="Q147" s="16"/>
      <c r="R147" s="110"/>
      <c r="S147" s="110"/>
      <c r="T147" s="10" t="s">
        <v>570</v>
      </c>
      <c r="U147" s="283" t="s">
        <v>2875</v>
      </c>
      <c r="V147" s="10" t="s">
        <v>571</v>
      </c>
      <c r="W147" s="298">
        <v>1</v>
      </c>
      <c r="X147" s="298">
        <v>1</v>
      </c>
      <c r="Y147" s="298">
        <v>1</v>
      </c>
      <c r="Z147" s="299">
        <v>1</v>
      </c>
      <c r="AA147" s="299">
        <v>1</v>
      </c>
      <c r="AB147" s="300">
        <v>1</v>
      </c>
      <c r="AC147" s="301">
        <v>1</v>
      </c>
      <c r="AD147" s="301">
        <v>0</v>
      </c>
      <c r="AE147" s="302">
        <f t="shared" si="21"/>
        <v>0.875</v>
      </c>
      <c r="AF147" s="63">
        <v>0</v>
      </c>
      <c r="AG147" s="17">
        <v>0</v>
      </c>
      <c r="AH147" s="17">
        <v>0</v>
      </c>
      <c r="AI147" s="32"/>
      <c r="AJ147" s="32"/>
      <c r="AK147" s="134">
        <v>0.4</v>
      </c>
      <c r="AL147" s="134">
        <v>0.4</v>
      </c>
      <c r="AM147" s="147">
        <f t="shared" si="23"/>
        <v>0.8</v>
      </c>
      <c r="AN147" s="18" t="s">
        <v>572</v>
      </c>
      <c r="AO147" s="18" t="s">
        <v>118</v>
      </c>
      <c r="AP147" s="10" t="s">
        <v>43</v>
      </c>
    </row>
    <row r="148" spans="1:42" x14ac:dyDescent="0.3">
      <c r="A148" s="9" t="s">
        <v>30</v>
      </c>
      <c r="B148" s="10" t="s">
        <v>31</v>
      </c>
      <c r="C148" s="11" t="s">
        <v>32</v>
      </c>
      <c r="D148" s="12" t="s">
        <v>33</v>
      </c>
      <c r="E148" s="11" t="s">
        <v>34</v>
      </c>
      <c r="F148" s="12" t="s">
        <v>35</v>
      </c>
      <c r="G148" s="11" t="s">
        <v>573</v>
      </c>
      <c r="H148" s="12" t="s">
        <v>574</v>
      </c>
      <c r="I148" s="12" t="s">
        <v>575</v>
      </c>
      <c r="J148" s="12" t="s">
        <v>576</v>
      </c>
      <c r="K148" s="34" t="s">
        <v>577</v>
      </c>
      <c r="L148" s="18" t="s">
        <v>578</v>
      </c>
      <c r="M148" s="10" t="s">
        <v>579</v>
      </c>
      <c r="N148" s="15"/>
      <c r="O148" s="17">
        <v>0</v>
      </c>
      <c r="P148" s="16">
        <v>50</v>
      </c>
      <c r="Q148" s="16">
        <v>50</v>
      </c>
      <c r="R148" s="110">
        <v>50</v>
      </c>
      <c r="S148" s="110">
        <v>50</v>
      </c>
      <c r="T148" s="10" t="s">
        <v>265</v>
      </c>
      <c r="U148" s="283" t="s">
        <v>350</v>
      </c>
      <c r="V148" s="10" t="s">
        <v>580</v>
      </c>
      <c r="W148" s="298">
        <v>1</v>
      </c>
      <c r="X148" s="298">
        <v>1</v>
      </c>
      <c r="Y148" s="298">
        <v>1</v>
      </c>
      <c r="Z148" s="299">
        <v>1</v>
      </c>
      <c r="AA148" s="299">
        <v>1</v>
      </c>
      <c r="AB148" s="300">
        <v>1</v>
      </c>
      <c r="AC148" s="301">
        <v>1</v>
      </c>
      <c r="AD148" s="301">
        <v>0</v>
      </c>
      <c r="AE148" s="302">
        <f t="shared" si="21"/>
        <v>0.875</v>
      </c>
      <c r="AF148" s="63">
        <v>0</v>
      </c>
      <c r="AG148" s="17">
        <v>0</v>
      </c>
      <c r="AH148" s="17">
        <v>0</v>
      </c>
      <c r="AI148" s="17"/>
      <c r="AJ148" s="17"/>
      <c r="AK148" s="135">
        <v>0.2</v>
      </c>
      <c r="AL148" s="135">
        <v>0.15</v>
      </c>
      <c r="AM148" s="147">
        <f t="shared" si="23"/>
        <v>0.35</v>
      </c>
      <c r="AN148" s="283" t="s">
        <v>265</v>
      </c>
      <c r="AO148" s="18" t="s">
        <v>350</v>
      </c>
      <c r="AP148" s="10" t="s">
        <v>92</v>
      </c>
    </row>
    <row r="149" spans="1:42" x14ac:dyDescent="0.3">
      <c r="A149" s="9" t="s">
        <v>30</v>
      </c>
      <c r="B149" s="10" t="s">
        <v>31</v>
      </c>
      <c r="C149" s="11" t="s">
        <v>32</v>
      </c>
      <c r="D149" s="12" t="s">
        <v>33</v>
      </c>
      <c r="E149" s="11" t="s">
        <v>34</v>
      </c>
      <c r="F149" s="12" t="s">
        <v>35</v>
      </c>
      <c r="G149" s="11" t="s">
        <v>573</v>
      </c>
      <c r="H149" s="12" t="s">
        <v>574</v>
      </c>
      <c r="I149" s="12" t="s">
        <v>575</v>
      </c>
      <c r="J149" s="12" t="s">
        <v>576</v>
      </c>
      <c r="K149" s="34" t="s">
        <v>581</v>
      </c>
      <c r="L149" s="18" t="s">
        <v>582</v>
      </c>
      <c r="M149" s="10" t="s">
        <v>583</v>
      </c>
      <c r="N149" s="15">
        <v>15000</v>
      </c>
      <c r="O149" s="15">
        <v>20000</v>
      </c>
      <c r="P149" s="20">
        <v>20300</v>
      </c>
      <c r="Q149" s="20">
        <v>20700</v>
      </c>
      <c r="R149" s="114">
        <v>20700</v>
      </c>
      <c r="S149" s="114">
        <v>20700</v>
      </c>
      <c r="T149" s="10" t="s">
        <v>265</v>
      </c>
      <c r="U149" s="283" t="s">
        <v>350</v>
      </c>
      <c r="V149" s="10" t="s">
        <v>584</v>
      </c>
      <c r="W149" s="298">
        <v>1</v>
      </c>
      <c r="X149" s="298">
        <v>1</v>
      </c>
      <c r="Y149" s="298">
        <v>1</v>
      </c>
      <c r="Z149" s="299">
        <v>1</v>
      </c>
      <c r="AA149" s="299">
        <v>1</v>
      </c>
      <c r="AB149" s="300">
        <v>1</v>
      </c>
      <c r="AC149" s="301">
        <v>1</v>
      </c>
      <c r="AD149" s="301">
        <v>0</v>
      </c>
      <c r="AE149" s="302">
        <f t="shared" si="21"/>
        <v>0.875</v>
      </c>
      <c r="AF149" s="63">
        <v>0</v>
      </c>
      <c r="AG149" s="17">
        <v>0</v>
      </c>
      <c r="AH149" s="17">
        <v>0</v>
      </c>
      <c r="AI149" s="17"/>
      <c r="AJ149" s="17"/>
      <c r="AK149" s="135">
        <v>0.1</v>
      </c>
      <c r="AL149" s="135">
        <v>0.1</v>
      </c>
      <c r="AM149" s="147">
        <f t="shared" si="23"/>
        <v>0.2</v>
      </c>
      <c r="AN149" s="283" t="s">
        <v>265</v>
      </c>
      <c r="AO149" s="18" t="s">
        <v>350</v>
      </c>
      <c r="AP149" s="10" t="s">
        <v>92</v>
      </c>
    </row>
    <row r="150" spans="1:42" x14ac:dyDescent="0.3">
      <c r="A150" s="9" t="s">
        <v>30</v>
      </c>
      <c r="B150" s="10" t="s">
        <v>31</v>
      </c>
      <c r="C150" s="11" t="s">
        <v>32</v>
      </c>
      <c r="D150" s="12" t="s">
        <v>33</v>
      </c>
      <c r="E150" s="11" t="s">
        <v>34</v>
      </c>
      <c r="F150" s="12" t="s">
        <v>35</v>
      </c>
      <c r="G150" s="11" t="s">
        <v>573</v>
      </c>
      <c r="H150" s="12" t="s">
        <v>574</v>
      </c>
      <c r="I150" s="12" t="s">
        <v>575</v>
      </c>
      <c r="J150" s="12" t="s">
        <v>576</v>
      </c>
      <c r="K150" s="34" t="s">
        <v>581</v>
      </c>
      <c r="L150" s="18" t="s">
        <v>582</v>
      </c>
      <c r="M150" s="10" t="s">
        <v>585</v>
      </c>
      <c r="N150" s="15">
        <v>0</v>
      </c>
      <c r="O150" s="15">
        <v>2</v>
      </c>
      <c r="P150" s="20">
        <v>3</v>
      </c>
      <c r="Q150" s="20">
        <v>2</v>
      </c>
      <c r="R150" s="114">
        <v>3</v>
      </c>
      <c r="S150" s="114">
        <v>2</v>
      </c>
      <c r="T150" s="35" t="s">
        <v>43</v>
      </c>
      <c r="U150" s="283" t="s">
        <v>45</v>
      </c>
      <c r="V150" s="10" t="s">
        <v>586</v>
      </c>
      <c r="W150" s="298">
        <v>1</v>
      </c>
      <c r="X150" s="298">
        <v>1</v>
      </c>
      <c r="Y150" s="298">
        <v>1</v>
      </c>
      <c r="Z150" s="299">
        <v>1</v>
      </c>
      <c r="AA150" s="299">
        <v>1</v>
      </c>
      <c r="AB150" s="300">
        <v>1</v>
      </c>
      <c r="AC150" s="301">
        <v>1</v>
      </c>
      <c r="AD150" s="301">
        <v>0</v>
      </c>
      <c r="AE150" s="302">
        <f t="shared" si="21"/>
        <v>0.875</v>
      </c>
      <c r="AF150" s="63">
        <v>0</v>
      </c>
      <c r="AG150" s="17">
        <v>0</v>
      </c>
      <c r="AH150" s="17"/>
      <c r="AI150" s="17"/>
      <c r="AJ150" s="17"/>
      <c r="AK150" s="135">
        <v>0.03</v>
      </c>
      <c r="AL150" s="135">
        <v>0.03</v>
      </c>
      <c r="AM150" s="147">
        <f t="shared" si="23"/>
        <v>0.06</v>
      </c>
      <c r="AN150" s="283" t="s">
        <v>43</v>
      </c>
      <c r="AO150" s="18" t="s">
        <v>45</v>
      </c>
      <c r="AP150" s="10" t="s">
        <v>92</v>
      </c>
    </row>
    <row r="151" spans="1:42" hidden="1" x14ac:dyDescent="0.3">
      <c r="A151" s="9" t="s">
        <v>30</v>
      </c>
      <c r="B151" s="10" t="s">
        <v>31</v>
      </c>
      <c r="C151" s="11" t="s">
        <v>32</v>
      </c>
      <c r="D151" s="12" t="s">
        <v>33</v>
      </c>
      <c r="E151" s="11" t="s">
        <v>34</v>
      </c>
      <c r="F151" s="12" t="s">
        <v>35</v>
      </c>
      <c r="G151" s="11" t="s">
        <v>573</v>
      </c>
      <c r="H151" s="12" t="s">
        <v>574</v>
      </c>
      <c r="I151" s="12" t="s">
        <v>587</v>
      </c>
      <c r="J151" s="12" t="s">
        <v>588</v>
      </c>
      <c r="K151" s="11" t="s">
        <v>589</v>
      </c>
      <c r="L151" s="12" t="s">
        <v>590</v>
      </c>
      <c r="M151" s="10" t="s">
        <v>591</v>
      </c>
      <c r="N151" s="15">
        <v>15000</v>
      </c>
      <c r="O151" s="16">
        <v>20000</v>
      </c>
      <c r="P151" s="16">
        <v>20000</v>
      </c>
      <c r="Q151" s="16">
        <v>20000</v>
      </c>
      <c r="R151" s="110">
        <v>20000</v>
      </c>
      <c r="S151" s="110">
        <v>20000</v>
      </c>
      <c r="T151" s="10" t="s">
        <v>265</v>
      </c>
      <c r="U151" s="283" t="s">
        <v>350</v>
      </c>
      <c r="V151" s="10" t="s">
        <v>592</v>
      </c>
      <c r="W151" s="298">
        <v>1</v>
      </c>
      <c r="X151" s="298">
        <v>0</v>
      </c>
      <c r="Y151" s="298">
        <v>0</v>
      </c>
      <c r="Z151" s="299">
        <v>1</v>
      </c>
      <c r="AA151" s="299">
        <v>1</v>
      </c>
      <c r="AB151" s="300">
        <v>0</v>
      </c>
      <c r="AC151" s="301">
        <v>1</v>
      </c>
      <c r="AD151" s="301">
        <v>0</v>
      </c>
      <c r="AE151" s="302">
        <f t="shared" si="21"/>
        <v>0.5</v>
      </c>
      <c r="AF151" s="63">
        <v>0</v>
      </c>
      <c r="AG151" s="17">
        <v>0</v>
      </c>
      <c r="AH151" s="17">
        <v>0</v>
      </c>
      <c r="AI151" s="17">
        <v>1</v>
      </c>
      <c r="AJ151" s="17">
        <v>1</v>
      </c>
      <c r="AK151" s="109"/>
      <c r="AL151" s="109"/>
      <c r="AM151" s="17" t="e">
        <f>SUM(#REF!)</f>
        <v>#REF!</v>
      </c>
      <c r="AN151" s="283" t="s">
        <v>265</v>
      </c>
      <c r="AO151" s="18" t="s">
        <v>350</v>
      </c>
      <c r="AP151" s="10" t="s">
        <v>593</v>
      </c>
    </row>
    <row r="152" spans="1:42" s="309" customFormat="1" x14ac:dyDescent="0.3">
      <c r="A152" s="85" t="s">
        <v>30</v>
      </c>
      <c r="B152" s="86" t="s">
        <v>31</v>
      </c>
      <c r="C152" s="87" t="s">
        <v>32</v>
      </c>
      <c r="D152" s="88" t="s">
        <v>33</v>
      </c>
      <c r="E152" s="87" t="s">
        <v>34</v>
      </c>
      <c r="F152" s="88" t="s">
        <v>35</v>
      </c>
      <c r="G152" s="87" t="s">
        <v>594</v>
      </c>
      <c r="H152" s="88" t="s">
        <v>595</v>
      </c>
      <c r="I152" s="88" t="s">
        <v>596</v>
      </c>
      <c r="J152" s="88" t="s">
        <v>597</v>
      </c>
      <c r="K152" s="87" t="s">
        <v>598</v>
      </c>
      <c r="L152" s="88" t="s">
        <v>599</v>
      </c>
      <c r="M152" s="86" t="s">
        <v>600</v>
      </c>
      <c r="N152" s="15">
        <v>45</v>
      </c>
      <c r="O152" s="16">
        <v>47</v>
      </c>
      <c r="P152" s="16">
        <v>47</v>
      </c>
      <c r="Q152" s="16">
        <v>47</v>
      </c>
      <c r="R152" s="136">
        <v>20</v>
      </c>
      <c r="S152" s="136">
        <v>20</v>
      </c>
      <c r="T152" s="10" t="s">
        <v>92</v>
      </c>
      <c r="U152" s="283" t="s">
        <v>118</v>
      </c>
      <c r="V152" s="67" t="s">
        <v>601</v>
      </c>
      <c r="W152" s="298">
        <v>1</v>
      </c>
      <c r="X152" s="298">
        <v>1</v>
      </c>
      <c r="Y152" s="298">
        <v>1</v>
      </c>
      <c r="Z152" s="299">
        <v>1</v>
      </c>
      <c r="AA152" s="299">
        <v>1</v>
      </c>
      <c r="AB152" s="300">
        <v>1</v>
      </c>
      <c r="AC152" s="301">
        <v>1</v>
      </c>
      <c r="AD152" s="301">
        <v>0</v>
      </c>
      <c r="AE152" s="308">
        <f t="shared" si="21"/>
        <v>0.875</v>
      </c>
      <c r="AF152" s="63">
        <v>0</v>
      </c>
      <c r="AG152" s="89">
        <v>0</v>
      </c>
      <c r="AH152" s="89">
        <v>0.43</v>
      </c>
      <c r="AI152" s="89">
        <v>0.43</v>
      </c>
      <c r="AJ152" s="89">
        <v>0.43</v>
      </c>
      <c r="AK152" s="135">
        <v>0.2</v>
      </c>
      <c r="AL152" s="135">
        <v>0.2</v>
      </c>
      <c r="AM152" s="147">
        <f t="shared" ref="AM152:AM161" si="24">SUM(AK152:AL152)</f>
        <v>0.4</v>
      </c>
      <c r="AN152" s="86" t="s">
        <v>92</v>
      </c>
      <c r="AO152" s="90" t="s">
        <v>118</v>
      </c>
      <c r="AP152" s="86" t="s">
        <v>602</v>
      </c>
    </row>
    <row r="153" spans="1:42" x14ac:dyDescent="0.3">
      <c r="A153" s="9" t="s">
        <v>30</v>
      </c>
      <c r="B153" s="10" t="s">
        <v>31</v>
      </c>
      <c r="C153" s="11" t="s">
        <v>32</v>
      </c>
      <c r="D153" s="12" t="s">
        <v>33</v>
      </c>
      <c r="E153" s="11" t="s">
        <v>34</v>
      </c>
      <c r="F153" s="12" t="s">
        <v>35</v>
      </c>
      <c r="G153" s="11" t="s">
        <v>594</v>
      </c>
      <c r="H153" s="12" t="s">
        <v>595</v>
      </c>
      <c r="I153" s="12" t="s">
        <v>596</v>
      </c>
      <c r="J153" s="12" t="s">
        <v>597</v>
      </c>
      <c r="K153" s="11" t="s">
        <v>598</v>
      </c>
      <c r="L153" s="12" t="s">
        <v>599</v>
      </c>
      <c r="M153" s="10" t="s">
        <v>603</v>
      </c>
      <c r="N153" s="15">
        <v>150</v>
      </c>
      <c r="O153" s="21">
        <v>0</v>
      </c>
      <c r="P153" s="16">
        <v>45</v>
      </c>
      <c r="Q153" s="16">
        <v>45</v>
      </c>
      <c r="R153" s="136">
        <v>15</v>
      </c>
      <c r="S153" s="136">
        <v>15</v>
      </c>
      <c r="T153" s="10" t="s">
        <v>92</v>
      </c>
      <c r="U153" s="283" t="s">
        <v>118</v>
      </c>
      <c r="V153" s="10" t="s">
        <v>604</v>
      </c>
      <c r="W153" s="298">
        <v>1</v>
      </c>
      <c r="X153" s="298">
        <v>1</v>
      </c>
      <c r="Y153" s="298">
        <v>1</v>
      </c>
      <c r="Z153" s="299">
        <v>1</v>
      </c>
      <c r="AA153" s="299">
        <v>1</v>
      </c>
      <c r="AB153" s="300">
        <v>1</v>
      </c>
      <c r="AC153" s="301">
        <v>0</v>
      </c>
      <c r="AD153" s="301">
        <v>0</v>
      </c>
      <c r="AE153" s="302">
        <f t="shared" si="21"/>
        <v>0.75</v>
      </c>
      <c r="AF153" s="63">
        <v>0</v>
      </c>
      <c r="AG153" s="17">
        <v>0</v>
      </c>
      <c r="AH153" s="17">
        <v>1.2</v>
      </c>
      <c r="AI153" s="17">
        <v>1.5</v>
      </c>
      <c r="AJ153" s="17">
        <v>6.6</v>
      </c>
      <c r="AK153" s="109">
        <v>0.6</v>
      </c>
      <c r="AL153" s="109">
        <v>0.6</v>
      </c>
      <c r="AM153" s="147">
        <f t="shared" si="24"/>
        <v>1.2</v>
      </c>
      <c r="AN153" s="10" t="s">
        <v>92</v>
      </c>
      <c r="AO153" s="18" t="s">
        <v>118</v>
      </c>
      <c r="AP153" s="10" t="s">
        <v>605</v>
      </c>
    </row>
    <row r="154" spans="1:42" x14ac:dyDescent="0.3">
      <c r="A154" s="9" t="s">
        <v>30</v>
      </c>
      <c r="B154" s="10" t="s">
        <v>31</v>
      </c>
      <c r="C154" s="11" t="s">
        <v>32</v>
      </c>
      <c r="D154" s="12" t="s">
        <v>33</v>
      </c>
      <c r="E154" s="11" t="s">
        <v>34</v>
      </c>
      <c r="F154" s="12" t="s">
        <v>35</v>
      </c>
      <c r="G154" s="11" t="s">
        <v>594</v>
      </c>
      <c r="H154" s="12" t="s">
        <v>595</v>
      </c>
      <c r="I154" s="12" t="s">
        <v>596</v>
      </c>
      <c r="J154" s="12" t="s">
        <v>597</v>
      </c>
      <c r="K154" s="11" t="s">
        <v>598</v>
      </c>
      <c r="L154" s="12" t="s">
        <v>599</v>
      </c>
      <c r="M154" s="10" t="s">
        <v>606</v>
      </c>
      <c r="N154" s="15">
        <v>35</v>
      </c>
      <c r="O154" s="16">
        <v>120</v>
      </c>
      <c r="P154" s="16">
        <v>120</v>
      </c>
      <c r="Q154" s="16">
        <v>120</v>
      </c>
      <c r="R154" s="136">
        <v>50</v>
      </c>
      <c r="S154" s="136">
        <v>50</v>
      </c>
      <c r="T154" s="10" t="s">
        <v>92</v>
      </c>
      <c r="U154" s="283" t="s">
        <v>118</v>
      </c>
      <c r="V154" s="10" t="s">
        <v>607</v>
      </c>
      <c r="W154" s="298">
        <v>1</v>
      </c>
      <c r="X154" s="298">
        <v>1</v>
      </c>
      <c r="Y154" s="298">
        <v>1</v>
      </c>
      <c r="Z154" s="299">
        <v>1</v>
      </c>
      <c r="AA154" s="299">
        <v>1</v>
      </c>
      <c r="AB154" s="300">
        <v>1</v>
      </c>
      <c r="AC154" s="301">
        <v>1</v>
      </c>
      <c r="AD154" s="301">
        <v>0</v>
      </c>
      <c r="AE154" s="302">
        <f t="shared" si="21"/>
        <v>0.875</v>
      </c>
      <c r="AF154" s="63">
        <v>0</v>
      </c>
      <c r="AG154" s="17">
        <v>0</v>
      </c>
      <c r="AH154" s="17">
        <v>6.8</v>
      </c>
      <c r="AI154" s="17">
        <v>6.8</v>
      </c>
      <c r="AJ154" s="17">
        <v>6.8</v>
      </c>
      <c r="AK154" s="135">
        <v>2.833333333333333</v>
      </c>
      <c r="AL154" s="135">
        <v>2.833333333333333</v>
      </c>
      <c r="AM154" s="147">
        <f t="shared" si="24"/>
        <v>5.6666666666666661</v>
      </c>
      <c r="AN154" s="10" t="s">
        <v>92</v>
      </c>
      <c r="AO154" s="18" t="s">
        <v>118</v>
      </c>
      <c r="AP154" s="10" t="s">
        <v>608</v>
      </c>
    </row>
    <row r="155" spans="1:42" x14ac:dyDescent="0.3">
      <c r="A155" s="9" t="s">
        <v>30</v>
      </c>
      <c r="B155" s="10" t="s">
        <v>31</v>
      </c>
      <c r="C155" s="11" t="s">
        <v>32</v>
      </c>
      <c r="D155" s="12" t="s">
        <v>33</v>
      </c>
      <c r="E155" s="11" t="s">
        <v>34</v>
      </c>
      <c r="F155" s="12" t="s">
        <v>35</v>
      </c>
      <c r="G155" s="11" t="s">
        <v>594</v>
      </c>
      <c r="H155" s="12" t="s">
        <v>595</v>
      </c>
      <c r="I155" s="12" t="s">
        <v>596</v>
      </c>
      <c r="J155" s="12" t="s">
        <v>597</v>
      </c>
      <c r="K155" s="11" t="s">
        <v>598</v>
      </c>
      <c r="L155" s="12" t="s">
        <v>599</v>
      </c>
      <c r="M155" s="10" t="s">
        <v>609</v>
      </c>
      <c r="N155" s="15">
        <v>40000</v>
      </c>
      <c r="O155" s="16">
        <v>41000</v>
      </c>
      <c r="P155" s="16">
        <v>42000</v>
      </c>
      <c r="Q155" s="16">
        <v>43000</v>
      </c>
      <c r="R155" s="110">
        <v>43500</v>
      </c>
      <c r="S155" s="110">
        <v>44000</v>
      </c>
      <c r="T155" s="10" t="s">
        <v>92</v>
      </c>
      <c r="U155" s="283" t="s">
        <v>118</v>
      </c>
      <c r="V155" s="10" t="s">
        <v>610</v>
      </c>
      <c r="W155" s="298">
        <v>1</v>
      </c>
      <c r="X155" s="298">
        <v>1</v>
      </c>
      <c r="Y155" s="298">
        <v>1</v>
      </c>
      <c r="Z155" s="299">
        <v>1</v>
      </c>
      <c r="AA155" s="299">
        <v>1</v>
      </c>
      <c r="AB155" s="300">
        <v>1</v>
      </c>
      <c r="AC155" s="301">
        <v>1</v>
      </c>
      <c r="AD155" s="301">
        <v>1</v>
      </c>
      <c r="AE155" s="302">
        <f t="shared" si="21"/>
        <v>1</v>
      </c>
      <c r="AF155" s="63">
        <v>0</v>
      </c>
      <c r="AG155" s="17">
        <v>0</v>
      </c>
      <c r="AH155" s="17">
        <v>1.5</v>
      </c>
      <c r="AI155" s="17">
        <v>2</v>
      </c>
      <c r="AJ155" s="17">
        <v>2</v>
      </c>
      <c r="AK155" s="135">
        <v>1.2</v>
      </c>
      <c r="AL155" s="135">
        <v>1.2</v>
      </c>
      <c r="AM155" s="147">
        <f t="shared" si="24"/>
        <v>2.4</v>
      </c>
      <c r="AN155" s="10" t="s">
        <v>92</v>
      </c>
      <c r="AO155" s="18" t="s">
        <v>118</v>
      </c>
      <c r="AP155" s="10" t="s">
        <v>255</v>
      </c>
    </row>
    <row r="156" spans="1:42" x14ac:dyDescent="0.3">
      <c r="A156" s="9" t="s">
        <v>30</v>
      </c>
      <c r="B156" s="10" t="s">
        <v>31</v>
      </c>
      <c r="C156" s="11" t="s">
        <v>32</v>
      </c>
      <c r="D156" s="12" t="s">
        <v>33</v>
      </c>
      <c r="E156" s="11" t="s">
        <v>34</v>
      </c>
      <c r="F156" s="12" t="s">
        <v>35</v>
      </c>
      <c r="G156" s="11" t="s">
        <v>594</v>
      </c>
      <c r="H156" s="12" t="s">
        <v>595</v>
      </c>
      <c r="I156" s="12" t="s">
        <v>596</v>
      </c>
      <c r="J156" s="12" t="s">
        <v>597</v>
      </c>
      <c r="K156" s="11" t="s">
        <v>598</v>
      </c>
      <c r="L156" s="12" t="s">
        <v>599</v>
      </c>
      <c r="M156" s="10" t="s">
        <v>611</v>
      </c>
      <c r="N156" s="15">
        <v>0</v>
      </c>
      <c r="O156" s="16">
        <v>10</v>
      </c>
      <c r="P156" s="16">
        <v>20</v>
      </c>
      <c r="Q156" s="16">
        <v>30</v>
      </c>
      <c r="R156" s="110">
        <v>30</v>
      </c>
      <c r="S156" s="110">
        <v>30</v>
      </c>
      <c r="T156" s="10" t="s">
        <v>92</v>
      </c>
      <c r="U156" s="283" t="s">
        <v>118</v>
      </c>
      <c r="V156" s="10" t="s">
        <v>610</v>
      </c>
      <c r="W156" s="298">
        <v>1</v>
      </c>
      <c r="X156" s="298">
        <v>1</v>
      </c>
      <c r="Y156" s="298">
        <v>1</v>
      </c>
      <c r="Z156" s="299">
        <v>1</v>
      </c>
      <c r="AA156" s="299">
        <v>1</v>
      </c>
      <c r="AB156" s="300">
        <v>1</v>
      </c>
      <c r="AC156" s="301">
        <v>1</v>
      </c>
      <c r="AD156" s="301">
        <v>1</v>
      </c>
      <c r="AE156" s="302">
        <f t="shared" si="21"/>
        <v>1</v>
      </c>
      <c r="AF156" s="63">
        <v>0</v>
      </c>
      <c r="AG156" s="17">
        <v>0</v>
      </c>
      <c r="AH156" s="17"/>
      <c r="AI156" s="17"/>
      <c r="AJ156" s="17"/>
      <c r="AK156" s="109"/>
      <c r="AL156" s="109"/>
      <c r="AM156" s="147">
        <f t="shared" si="24"/>
        <v>0</v>
      </c>
      <c r="AN156" s="10" t="s">
        <v>92</v>
      </c>
      <c r="AO156" s="18" t="s">
        <v>118</v>
      </c>
      <c r="AP156" s="10" t="s">
        <v>255</v>
      </c>
    </row>
    <row r="157" spans="1:42" s="309" customFormat="1" x14ac:dyDescent="0.3">
      <c r="A157" s="85" t="s">
        <v>30</v>
      </c>
      <c r="B157" s="86" t="s">
        <v>31</v>
      </c>
      <c r="C157" s="87" t="s">
        <v>32</v>
      </c>
      <c r="D157" s="88" t="s">
        <v>33</v>
      </c>
      <c r="E157" s="87" t="s">
        <v>34</v>
      </c>
      <c r="F157" s="88" t="s">
        <v>35</v>
      </c>
      <c r="G157" s="87" t="s">
        <v>594</v>
      </c>
      <c r="H157" s="88" t="s">
        <v>595</v>
      </c>
      <c r="I157" s="88" t="s">
        <v>612</v>
      </c>
      <c r="J157" s="88" t="s">
        <v>613</v>
      </c>
      <c r="K157" s="87" t="s">
        <v>614</v>
      </c>
      <c r="L157" s="88" t="s">
        <v>599</v>
      </c>
      <c r="M157" s="86" t="s">
        <v>615</v>
      </c>
      <c r="N157" s="15">
        <v>1000</v>
      </c>
      <c r="O157" s="16">
        <v>1000</v>
      </c>
      <c r="P157" s="16">
        <v>1000</v>
      </c>
      <c r="Q157" s="16">
        <v>1000</v>
      </c>
      <c r="R157" s="110">
        <v>300</v>
      </c>
      <c r="S157" s="110">
        <v>300</v>
      </c>
      <c r="T157" s="10" t="s">
        <v>92</v>
      </c>
      <c r="U157" s="283" t="s">
        <v>118</v>
      </c>
      <c r="V157" s="86" t="s">
        <v>616</v>
      </c>
      <c r="W157" s="298">
        <v>1</v>
      </c>
      <c r="X157" s="298">
        <v>1</v>
      </c>
      <c r="Y157" s="298">
        <v>1</v>
      </c>
      <c r="Z157" s="299">
        <v>1</v>
      </c>
      <c r="AA157" s="299">
        <v>1</v>
      </c>
      <c r="AB157" s="300">
        <v>1</v>
      </c>
      <c r="AC157" s="301">
        <v>1</v>
      </c>
      <c r="AD157" s="301">
        <v>0</v>
      </c>
      <c r="AE157" s="308">
        <f t="shared" si="21"/>
        <v>0.875</v>
      </c>
      <c r="AF157" s="63">
        <v>0</v>
      </c>
      <c r="AG157" s="89">
        <v>0</v>
      </c>
      <c r="AH157" s="89">
        <v>0.5</v>
      </c>
      <c r="AI157" s="89">
        <v>1</v>
      </c>
      <c r="AJ157" s="89">
        <v>1</v>
      </c>
      <c r="AK157" s="135">
        <v>0.27</v>
      </c>
      <c r="AL157" s="135">
        <v>0.27</v>
      </c>
      <c r="AM157" s="147">
        <f t="shared" si="24"/>
        <v>0.54</v>
      </c>
      <c r="AN157" s="86" t="s">
        <v>92</v>
      </c>
      <c r="AO157" s="90" t="s">
        <v>118</v>
      </c>
      <c r="AP157" s="86" t="s">
        <v>617</v>
      </c>
    </row>
    <row r="158" spans="1:42" x14ac:dyDescent="0.3">
      <c r="A158" s="9" t="s">
        <v>30</v>
      </c>
      <c r="B158" s="10" t="s">
        <v>31</v>
      </c>
      <c r="C158" s="11" t="s">
        <v>32</v>
      </c>
      <c r="D158" s="12" t="s">
        <v>33</v>
      </c>
      <c r="E158" s="11" t="s">
        <v>34</v>
      </c>
      <c r="F158" s="12" t="s">
        <v>35</v>
      </c>
      <c r="G158" s="11" t="s">
        <v>594</v>
      </c>
      <c r="H158" s="12" t="s">
        <v>595</v>
      </c>
      <c r="I158" s="12" t="s">
        <v>612</v>
      </c>
      <c r="J158" s="12" t="s">
        <v>613</v>
      </c>
      <c r="K158" s="11" t="s">
        <v>614</v>
      </c>
      <c r="L158" s="12" t="s">
        <v>599</v>
      </c>
      <c r="M158" s="10" t="s">
        <v>618</v>
      </c>
      <c r="N158" s="15">
        <v>0</v>
      </c>
      <c r="O158" s="17">
        <v>0</v>
      </c>
      <c r="P158" s="16">
        <v>1</v>
      </c>
      <c r="Q158" s="16">
        <v>1</v>
      </c>
      <c r="R158" s="110">
        <v>1</v>
      </c>
      <c r="S158" s="110"/>
      <c r="T158" s="10" t="s">
        <v>619</v>
      </c>
      <c r="U158" s="283" t="e">
        <v>#N/A</v>
      </c>
      <c r="V158" s="10" t="s">
        <v>620</v>
      </c>
      <c r="W158" s="298">
        <v>1</v>
      </c>
      <c r="X158" s="298">
        <v>1</v>
      </c>
      <c r="Y158" s="298">
        <v>1</v>
      </c>
      <c r="Z158" s="299">
        <v>1</v>
      </c>
      <c r="AA158" s="299">
        <v>1</v>
      </c>
      <c r="AB158" s="300">
        <v>1</v>
      </c>
      <c r="AC158" s="301">
        <v>1</v>
      </c>
      <c r="AD158" s="301">
        <v>0</v>
      </c>
      <c r="AE158" s="302">
        <f t="shared" si="21"/>
        <v>0.875</v>
      </c>
      <c r="AF158" s="63">
        <v>0</v>
      </c>
      <c r="AG158" s="17">
        <v>0</v>
      </c>
      <c r="AH158" s="17">
        <v>0</v>
      </c>
      <c r="AI158" s="17">
        <v>2</v>
      </c>
      <c r="AJ158" s="17">
        <v>2</v>
      </c>
      <c r="AK158" s="109"/>
      <c r="AL158" s="109"/>
      <c r="AM158" s="147">
        <f t="shared" si="24"/>
        <v>0</v>
      </c>
      <c r="AN158" s="10" t="s">
        <v>619</v>
      </c>
      <c r="AO158" s="18" t="s">
        <v>350</v>
      </c>
      <c r="AP158" s="10" t="s">
        <v>621</v>
      </c>
    </row>
    <row r="159" spans="1:42" s="309" customFormat="1" x14ac:dyDescent="0.3">
      <c r="A159" s="85" t="s">
        <v>30</v>
      </c>
      <c r="B159" s="86" t="s">
        <v>31</v>
      </c>
      <c r="C159" s="87" t="s">
        <v>32</v>
      </c>
      <c r="D159" s="88" t="s">
        <v>33</v>
      </c>
      <c r="E159" s="87" t="s">
        <v>34</v>
      </c>
      <c r="F159" s="88" t="s">
        <v>35</v>
      </c>
      <c r="G159" s="87" t="s">
        <v>594</v>
      </c>
      <c r="H159" s="88" t="s">
        <v>595</v>
      </c>
      <c r="I159" s="88" t="s">
        <v>612</v>
      </c>
      <c r="J159" s="88" t="s">
        <v>613</v>
      </c>
      <c r="K159" s="87" t="s">
        <v>614</v>
      </c>
      <c r="L159" s="88" t="s">
        <v>599</v>
      </c>
      <c r="M159" s="86" t="s">
        <v>622</v>
      </c>
      <c r="N159" s="15">
        <v>0</v>
      </c>
      <c r="O159" s="15">
        <v>0</v>
      </c>
      <c r="P159" s="16">
        <v>2</v>
      </c>
      <c r="Q159" s="16">
        <v>1</v>
      </c>
      <c r="R159" s="110">
        <v>1</v>
      </c>
      <c r="S159" s="136">
        <v>1</v>
      </c>
      <c r="T159" s="10" t="s">
        <v>92</v>
      </c>
      <c r="U159" s="283" t="s">
        <v>118</v>
      </c>
      <c r="V159" s="86" t="s">
        <v>623</v>
      </c>
      <c r="W159" s="298">
        <v>1</v>
      </c>
      <c r="X159" s="298">
        <v>1</v>
      </c>
      <c r="Y159" s="298">
        <v>0</v>
      </c>
      <c r="Z159" s="299">
        <v>1</v>
      </c>
      <c r="AA159" s="299">
        <v>1</v>
      </c>
      <c r="AB159" s="300">
        <v>1</v>
      </c>
      <c r="AC159" s="301">
        <v>1</v>
      </c>
      <c r="AD159" s="301">
        <v>0</v>
      </c>
      <c r="AE159" s="308">
        <f t="shared" si="21"/>
        <v>0.75</v>
      </c>
      <c r="AF159" s="63">
        <v>0</v>
      </c>
      <c r="AG159" s="89"/>
      <c r="AH159" s="89"/>
      <c r="AI159" s="89"/>
      <c r="AJ159" s="89"/>
      <c r="AK159" s="109">
        <v>0.2</v>
      </c>
      <c r="AL159" s="109">
        <v>0.2</v>
      </c>
      <c r="AM159" s="147">
        <f t="shared" si="24"/>
        <v>0.4</v>
      </c>
      <c r="AN159" s="86" t="s">
        <v>92</v>
      </c>
      <c r="AO159" s="90" t="s">
        <v>350</v>
      </c>
      <c r="AP159" s="86" t="s">
        <v>280</v>
      </c>
    </row>
    <row r="160" spans="1:42" s="309" customFormat="1" x14ac:dyDescent="0.3">
      <c r="A160" s="85" t="s">
        <v>30</v>
      </c>
      <c r="B160" s="86" t="s">
        <v>31</v>
      </c>
      <c r="C160" s="87" t="s">
        <v>32</v>
      </c>
      <c r="D160" s="88" t="s">
        <v>33</v>
      </c>
      <c r="E160" s="87" t="s">
        <v>34</v>
      </c>
      <c r="F160" s="88" t="s">
        <v>35</v>
      </c>
      <c r="G160" s="87" t="s">
        <v>594</v>
      </c>
      <c r="H160" s="88" t="s">
        <v>595</v>
      </c>
      <c r="I160" s="88" t="s">
        <v>612</v>
      </c>
      <c r="J160" s="88" t="s">
        <v>613</v>
      </c>
      <c r="K160" s="87" t="s">
        <v>614</v>
      </c>
      <c r="L160" s="88" t="s">
        <v>599</v>
      </c>
      <c r="M160" s="86" t="s">
        <v>624</v>
      </c>
      <c r="N160" s="15">
        <v>2</v>
      </c>
      <c r="O160" s="15">
        <v>4</v>
      </c>
      <c r="P160" s="16">
        <v>6</v>
      </c>
      <c r="Q160" s="16">
        <v>5</v>
      </c>
      <c r="R160" s="110">
        <v>10</v>
      </c>
      <c r="S160" s="110">
        <v>10</v>
      </c>
      <c r="T160" s="10" t="s">
        <v>92</v>
      </c>
      <c r="U160" s="283" t="s">
        <v>118</v>
      </c>
      <c r="V160" s="86" t="s">
        <v>625</v>
      </c>
      <c r="W160" s="298">
        <v>1</v>
      </c>
      <c r="X160" s="298">
        <v>1</v>
      </c>
      <c r="Y160" s="298">
        <v>0</v>
      </c>
      <c r="Z160" s="299">
        <v>1</v>
      </c>
      <c r="AA160" s="299">
        <v>1</v>
      </c>
      <c r="AB160" s="300">
        <v>1</v>
      </c>
      <c r="AC160" s="301">
        <v>1</v>
      </c>
      <c r="AD160" s="301">
        <v>0</v>
      </c>
      <c r="AE160" s="308">
        <f t="shared" si="21"/>
        <v>0.75</v>
      </c>
      <c r="AF160" s="63">
        <v>0</v>
      </c>
      <c r="AG160" s="89">
        <v>0</v>
      </c>
      <c r="AH160" s="89"/>
      <c r="AI160" s="89"/>
      <c r="AJ160" s="89"/>
      <c r="AK160" s="135">
        <v>0.3</v>
      </c>
      <c r="AL160" s="135">
        <v>0.3</v>
      </c>
      <c r="AM160" s="147">
        <f t="shared" si="24"/>
        <v>0.6</v>
      </c>
      <c r="AN160" s="86" t="s">
        <v>92</v>
      </c>
      <c r="AO160" s="90" t="s">
        <v>350</v>
      </c>
      <c r="AP160" s="86" t="s">
        <v>280</v>
      </c>
    </row>
    <row r="161" spans="1:42" s="309" customFormat="1" x14ac:dyDescent="0.3">
      <c r="A161" s="85" t="s">
        <v>30</v>
      </c>
      <c r="B161" s="86" t="s">
        <v>31</v>
      </c>
      <c r="C161" s="87" t="s">
        <v>32</v>
      </c>
      <c r="D161" s="88" t="s">
        <v>33</v>
      </c>
      <c r="E161" s="87" t="s">
        <v>34</v>
      </c>
      <c r="F161" s="88" t="s">
        <v>35</v>
      </c>
      <c r="G161" s="87" t="s">
        <v>594</v>
      </c>
      <c r="H161" s="88" t="s">
        <v>595</v>
      </c>
      <c r="I161" s="88" t="s">
        <v>612</v>
      </c>
      <c r="J161" s="88" t="s">
        <v>613</v>
      </c>
      <c r="K161" s="87" t="s">
        <v>614</v>
      </c>
      <c r="L161" s="88" t="s">
        <v>599</v>
      </c>
      <c r="M161" s="86" t="s">
        <v>626</v>
      </c>
      <c r="N161" s="15">
        <v>5</v>
      </c>
      <c r="O161" s="15">
        <v>15</v>
      </c>
      <c r="P161" s="16">
        <v>15</v>
      </c>
      <c r="Q161" s="16">
        <v>15</v>
      </c>
      <c r="R161" s="110">
        <v>15</v>
      </c>
      <c r="S161" s="110">
        <v>15</v>
      </c>
      <c r="T161" s="10" t="s">
        <v>92</v>
      </c>
      <c r="U161" s="283" t="s">
        <v>118</v>
      </c>
      <c r="V161" s="67" t="s">
        <v>627</v>
      </c>
      <c r="W161" s="298">
        <v>1</v>
      </c>
      <c r="X161" s="298">
        <v>1</v>
      </c>
      <c r="Y161" s="298">
        <v>0</v>
      </c>
      <c r="Z161" s="299">
        <v>1</v>
      </c>
      <c r="AA161" s="299">
        <v>1</v>
      </c>
      <c r="AB161" s="300">
        <v>1</v>
      </c>
      <c r="AC161" s="301">
        <v>1</v>
      </c>
      <c r="AD161" s="301">
        <v>0</v>
      </c>
      <c r="AE161" s="308">
        <f t="shared" si="21"/>
        <v>0.75</v>
      </c>
      <c r="AF161" s="63">
        <v>0</v>
      </c>
      <c r="AG161" s="89">
        <v>0</v>
      </c>
      <c r="AH161" s="89"/>
      <c r="AI161" s="89"/>
      <c r="AJ161" s="89"/>
      <c r="AK161" s="135">
        <v>0.2</v>
      </c>
      <c r="AL161" s="135">
        <v>0.2</v>
      </c>
      <c r="AM161" s="147">
        <f t="shared" si="24"/>
        <v>0.4</v>
      </c>
      <c r="AN161" s="86" t="s">
        <v>92</v>
      </c>
      <c r="AO161" s="90" t="s">
        <v>350</v>
      </c>
      <c r="AP161" s="86" t="s">
        <v>280</v>
      </c>
    </row>
    <row r="162" spans="1:42" s="309" customFormat="1" hidden="1" x14ac:dyDescent="0.3">
      <c r="A162" s="85" t="s">
        <v>30</v>
      </c>
      <c r="B162" s="86" t="s">
        <v>31</v>
      </c>
      <c r="C162" s="87" t="s">
        <v>32</v>
      </c>
      <c r="D162" s="88" t="s">
        <v>33</v>
      </c>
      <c r="E162" s="87" t="s">
        <v>34</v>
      </c>
      <c r="F162" s="88" t="s">
        <v>35</v>
      </c>
      <c r="G162" s="87" t="s">
        <v>594</v>
      </c>
      <c r="H162" s="88" t="s">
        <v>595</v>
      </c>
      <c r="I162" s="88" t="s">
        <v>612</v>
      </c>
      <c r="J162" s="88" t="s">
        <v>613</v>
      </c>
      <c r="K162" s="87" t="s">
        <v>614</v>
      </c>
      <c r="L162" s="88" t="s">
        <v>599</v>
      </c>
      <c r="M162" s="86" t="s">
        <v>628</v>
      </c>
      <c r="N162" s="15">
        <v>0</v>
      </c>
      <c r="O162" s="15">
        <v>1</v>
      </c>
      <c r="P162" s="16">
        <v>2</v>
      </c>
      <c r="Q162" s="16">
        <v>2</v>
      </c>
      <c r="R162" s="110">
        <v>2</v>
      </c>
      <c r="S162" s="110">
        <v>1</v>
      </c>
      <c r="T162" s="10" t="s">
        <v>92</v>
      </c>
      <c r="U162" s="283" t="s">
        <v>118</v>
      </c>
      <c r="V162" s="67" t="s">
        <v>629</v>
      </c>
      <c r="W162" s="298">
        <v>0</v>
      </c>
      <c r="X162" s="298">
        <v>0</v>
      </c>
      <c r="Y162" s="298">
        <v>0</v>
      </c>
      <c r="Z162" s="299">
        <v>0</v>
      </c>
      <c r="AA162" s="299">
        <v>0</v>
      </c>
      <c r="AB162" s="300">
        <v>0</v>
      </c>
      <c r="AC162" s="301">
        <v>0</v>
      </c>
      <c r="AD162" s="301">
        <v>0</v>
      </c>
      <c r="AE162" s="308">
        <f t="shared" si="21"/>
        <v>0</v>
      </c>
      <c r="AF162" s="63">
        <v>1</v>
      </c>
      <c r="AG162" s="89">
        <v>0</v>
      </c>
      <c r="AH162" s="89"/>
      <c r="AI162" s="89"/>
      <c r="AJ162" s="89"/>
      <c r="AK162" s="109"/>
      <c r="AL162" s="109"/>
      <c r="AM162" s="89" t="e">
        <f>SUM(#REF!)</f>
        <v>#REF!</v>
      </c>
      <c r="AN162" s="86" t="s">
        <v>92</v>
      </c>
      <c r="AO162" s="90" t="s">
        <v>350</v>
      </c>
      <c r="AP162" s="86" t="s">
        <v>280</v>
      </c>
    </row>
    <row r="163" spans="1:42" x14ac:dyDescent="0.3">
      <c r="A163" s="9" t="s">
        <v>30</v>
      </c>
      <c r="B163" s="10" t="s">
        <v>31</v>
      </c>
      <c r="C163" s="11" t="s">
        <v>32</v>
      </c>
      <c r="D163" s="12" t="s">
        <v>33</v>
      </c>
      <c r="E163" s="11" t="s">
        <v>34</v>
      </c>
      <c r="F163" s="12" t="s">
        <v>35</v>
      </c>
      <c r="G163" s="11" t="s">
        <v>594</v>
      </c>
      <c r="H163" s="12" t="s">
        <v>595</v>
      </c>
      <c r="I163" s="12" t="s">
        <v>630</v>
      </c>
      <c r="J163" s="12" t="s">
        <v>631</v>
      </c>
      <c r="K163" s="11" t="s">
        <v>632</v>
      </c>
      <c r="L163" s="12" t="s">
        <v>633</v>
      </c>
      <c r="M163" s="10" t="s">
        <v>634</v>
      </c>
      <c r="N163" s="19">
        <v>2000000</v>
      </c>
      <c r="O163" s="26">
        <v>8000000</v>
      </c>
      <c r="P163" s="26">
        <v>8000000</v>
      </c>
      <c r="Q163" s="26">
        <v>8000000</v>
      </c>
      <c r="R163" s="137">
        <v>4000000</v>
      </c>
      <c r="S163" s="137">
        <v>4000000</v>
      </c>
      <c r="T163" s="30" t="s">
        <v>92</v>
      </c>
      <c r="U163" s="283" t="s">
        <v>118</v>
      </c>
      <c r="V163" s="10" t="s">
        <v>635</v>
      </c>
      <c r="W163" s="298">
        <v>1</v>
      </c>
      <c r="X163" s="298">
        <v>1</v>
      </c>
      <c r="Y163" s="298">
        <v>1</v>
      </c>
      <c r="Z163" s="299">
        <v>1</v>
      </c>
      <c r="AA163" s="299">
        <v>1</v>
      </c>
      <c r="AB163" s="300">
        <v>1</v>
      </c>
      <c r="AC163" s="301">
        <v>1</v>
      </c>
      <c r="AD163" s="301">
        <v>0</v>
      </c>
      <c r="AE163" s="302">
        <f t="shared" si="21"/>
        <v>0.875</v>
      </c>
      <c r="AF163" s="63">
        <v>0</v>
      </c>
      <c r="AG163" s="17">
        <v>0</v>
      </c>
      <c r="AH163" s="17">
        <v>46</v>
      </c>
      <c r="AI163" s="17">
        <v>17.5</v>
      </c>
      <c r="AJ163" s="17">
        <v>18</v>
      </c>
      <c r="AK163" s="109">
        <v>15</v>
      </c>
      <c r="AL163" s="127">
        <v>20</v>
      </c>
      <c r="AM163" s="147">
        <f t="shared" ref="AM163:AM178" si="25">SUM(AK163:AL163)</f>
        <v>35</v>
      </c>
      <c r="AN163" s="18" t="s">
        <v>92</v>
      </c>
      <c r="AO163" s="18" t="s">
        <v>350</v>
      </c>
      <c r="AP163" s="10" t="s">
        <v>255</v>
      </c>
    </row>
    <row r="164" spans="1:42" x14ac:dyDescent="0.3">
      <c r="A164" s="9" t="s">
        <v>30</v>
      </c>
      <c r="B164" s="10" t="s">
        <v>31</v>
      </c>
      <c r="C164" s="11" t="s">
        <v>32</v>
      </c>
      <c r="D164" s="12" t="s">
        <v>33</v>
      </c>
      <c r="E164" s="11" t="s">
        <v>34</v>
      </c>
      <c r="F164" s="12" t="s">
        <v>35</v>
      </c>
      <c r="G164" s="11" t="s">
        <v>594</v>
      </c>
      <c r="H164" s="12" t="s">
        <v>595</v>
      </c>
      <c r="I164" s="12" t="s">
        <v>630</v>
      </c>
      <c r="J164" s="12" t="s">
        <v>631</v>
      </c>
      <c r="K164" s="11" t="s">
        <v>636</v>
      </c>
      <c r="L164" s="12" t="s">
        <v>637</v>
      </c>
      <c r="M164" s="10" t="s">
        <v>638</v>
      </c>
      <c r="N164" s="15">
        <v>0</v>
      </c>
      <c r="O164" s="26"/>
      <c r="P164" s="26"/>
      <c r="Q164" s="26">
        <v>5</v>
      </c>
      <c r="R164" s="137">
        <v>2</v>
      </c>
      <c r="S164" s="137">
        <v>0</v>
      </c>
      <c r="T164" s="30" t="s">
        <v>92</v>
      </c>
      <c r="U164" s="283" t="s">
        <v>118</v>
      </c>
      <c r="V164" s="10" t="s">
        <v>639</v>
      </c>
      <c r="W164" s="298">
        <v>1</v>
      </c>
      <c r="X164" s="298">
        <v>1</v>
      </c>
      <c r="Y164" s="298">
        <v>1</v>
      </c>
      <c r="Z164" s="299">
        <v>1</v>
      </c>
      <c r="AA164" s="299">
        <v>1</v>
      </c>
      <c r="AB164" s="300">
        <v>1</v>
      </c>
      <c r="AC164" s="301">
        <v>1</v>
      </c>
      <c r="AD164" s="301">
        <v>0</v>
      </c>
      <c r="AE164" s="302">
        <f t="shared" si="21"/>
        <v>0.875</v>
      </c>
      <c r="AF164" s="63">
        <v>0</v>
      </c>
      <c r="AG164" s="17">
        <v>0</v>
      </c>
      <c r="AH164" s="17"/>
      <c r="AI164" s="17"/>
      <c r="AJ164" s="17"/>
      <c r="AK164" s="135">
        <v>0.5</v>
      </c>
      <c r="AL164" s="109"/>
      <c r="AM164" s="147">
        <f t="shared" si="25"/>
        <v>0.5</v>
      </c>
      <c r="AN164" s="18" t="s">
        <v>92</v>
      </c>
      <c r="AO164" s="18" t="s">
        <v>350</v>
      </c>
      <c r="AP164" s="10" t="s">
        <v>640</v>
      </c>
    </row>
    <row r="165" spans="1:42" x14ac:dyDescent="0.3">
      <c r="A165" s="9" t="s">
        <v>30</v>
      </c>
      <c r="B165" s="10" t="s">
        <v>31</v>
      </c>
      <c r="C165" s="11" t="s">
        <v>32</v>
      </c>
      <c r="D165" s="12" t="s">
        <v>33</v>
      </c>
      <c r="E165" s="11" t="s">
        <v>34</v>
      </c>
      <c r="F165" s="12" t="s">
        <v>35</v>
      </c>
      <c r="G165" s="11" t="s">
        <v>594</v>
      </c>
      <c r="H165" s="12" t="s">
        <v>595</v>
      </c>
      <c r="I165" s="12" t="s">
        <v>630</v>
      </c>
      <c r="J165" s="12" t="s">
        <v>631</v>
      </c>
      <c r="K165" s="11" t="s">
        <v>636</v>
      </c>
      <c r="L165" s="12" t="s">
        <v>637</v>
      </c>
      <c r="M165" s="10" t="s">
        <v>641</v>
      </c>
      <c r="N165" s="19">
        <v>150</v>
      </c>
      <c r="O165" s="26"/>
      <c r="P165" s="26"/>
      <c r="Q165" s="26"/>
      <c r="R165" s="118">
        <v>1000</v>
      </c>
      <c r="S165" s="118"/>
      <c r="T165" s="30" t="s">
        <v>92</v>
      </c>
      <c r="U165" s="283" t="s">
        <v>118</v>
      </c>
      <c r="V165" s="10" t="s">
        <v>639</v>
      </c>
      <c r="W165" s="298">
        <v>1</v>
      </c>
      <c r="X165" s="298">
        <v>1</v>
      </c>
      <c r="Y165" s="298">
        <v>1</v>
      </c>
      <c r="Z165" s="299">
        <v>1</v>
      </c>
      <c r="AA165" s="299">
        <v>1</v>
      </c>
      <c r="AB165" s="300">
        <v>1</v>
      </c>
      <c r="AC165" s="301">
        <v>1</v>
      </c>
      <c r="AD165" s="301">
        <v>0</v>
      </c>
      <c r="AE165" s="302">
        <f t="shared" si="21"/>
        <v>0.875</v>
      </c>
      <c r="AF165" s="63">
        <v>0</v>
      </c>
      <c r="AG165" s="17">
        <v>0</v>
      </c>
      <c r="AH165" s="17"/>
      <c r="AI165" s="17"/>
      <c r="AJ165" s="17"/>
      <c r="AK165" s="135">
        <v>0.3</v>
      </c>
      <c r="AL165" s="135">
        <v>0.3</v>
      </c>
      <c r="AM165" s="147">
        <f t="shared" si="25"/>
        <v>0.6</v>
      </c>
      <c r="AN165" s="18" t="s">
        <v>92</v>
      </c>
      <c r="AO165" s="18" t="s">
        <v>350</v>
      </c>
      <c r="AP165" s="10" t="s">
        <v>640</v>
      </c>
    </row>
    <row r="166" spans="1:42" x14ac:dyDescent="0.3">
      <c r="A166" s="9" t="s">
        <v>30</v>
      </c>
      <c r="B166" s="10" t="s">
        <v>31</v>
      </c>
      <c r="C166" s="11" t="s">
        <v>32</v>
      </c>
      <c r="D166" s="12" t="s">
        <v>33</v>
      </c>
      <c r="E166" s="11" t="s">
        <v>34</v>
      </c>
      <c r="F166" s="12" t="s">
        <v>35</v>
      </c>
      <c r="G166" s="11" t="s">
        <v>594</v>
      </c>
      <c r="H166" s="12" t="s">
        <v>595</v>
      </c>
      <c r="I166" s="12" t="s">
        <v>630</v>
      </c>
      <c r="J166" s="12" t="s">
        <v>631</v>
      </c>
      <c r="K166" s="11" t="s">
        <v>642</v>
      </c>
      <c r="L166" s="12" t="s">
        <v>643</v>
      </c>
      <c r="M166" s="10" t="s">
        <v>644</v>
      </c>
      <c r="N166" s="19">
        <v>20</v>
      </c>
      <c r="O166" s="26">
        <v>100</v>
      </c>
      <c r="P166" s="26">
        <v>106</v>
      </c>
      <c r="Q166" s="26">
        <v>106</v>
      </c>
      <c r="R166" s="118">
        <v>106</v>
      </c>
      <c r="S166" s="118">
        <v>106</v>
      </c>
      <c r="T166" s="30" t="s">
        <v>92</v>
      </c>
      <c r="U166" s="283" t="s">
        <v>118</v>
      </c>
      <c r="V166" s="10" t="s">
        <v>645</v>
      </c>
      <c r="W166" s="298">
        <v>1</v>
      </c>
      <c r="X166" s="298">
        <v>1</v>
      </c>
      <c r="Y166" s="298">
        <v>1</v>
      </c>
      <c r="Z166" s="299">
        <v>1</v>
      </c>
      <c r="AA166" s="299">
        <v>1</v>
      </c>
      <c r="AB166" s="300">
        <v>1</v>
      </c>
      <c r="AC166" s="301">
        <v>1</v>
      </c>
      <c r="AD166" s="301">
        <v>0</v>
      </c>
      <c r="AE166" s="302">
        <f t="shared" si="21"/>
        <v>0.875</v>
      </c>
      <c r="AF166" s="63">
        <v>0</v>
      </c>
      <c r="AG166" s="17">
        <v>0</v>
      </c>
      <c r="AH166" s="17"/>
      <c r="AI166" s="17"/>
      <c r="AJ166" s="17"/>
      <c r="AK166" s="109"/>
      <c r="AL166" s="109"/>
      <c r="AM166" s="147">
        <f t="shared" si="25"/>
        <v>0</v>
      </c>
      <c r="AN166" s="18" t="s">
        <v>92</v>
      </c>
      <c r="AO166" s="18" t="s">
        <v>350</v>
      </c>
      <c r="AP166" s="10" t="s">
        <v>43</v>
      </c>
    </row>
    <row r="167" spans="1:42" x14ac:dyDescent="0.3">
      <c r="A167" s="9" t="s">
        <v>30</v>
      </c>
      <c r="B167" s="10" t="s">
        <v>31</v>
      </c>
      <c r="C167" s="11" t="s">
        <v>32</v>
      </c>
      <c r="D167" s="12" t="s">
        <v>33</v>
      </c>
      <c r="E167" s="11" t="s">
        <v>34</v>
      </c>
      <c r="F167" s="12" t="s">
        <v>35</v>
      </c>
      <c r="G167" s="11" t="s">
        <v>646</v>
      </c>
      <c r="H167" s="12" t="s">
        <v>647</v>
      </c>
      <c r="I167" s="12" t="s">
        <v>648</v>
      </c>
      <c r="J167" s="12" t="s">
        <v>649</v>
      </c>
      <c r="K167" s="11" t="s">
        <v>650</v>
      </c>
      <c r="L167" s="12" t="s">
        <v>651</v>
      </c>
      <c r="M167" s="10" t="s">
        <v>652</v>
      </c>
      <c r="N167" s="15">
        <v>10</v>
      </c>
      <c r="O167" s="16">
        <v>29</v>
      </c>
      <c r="P167" s="16">
        <v>29</v>
      </c>
      <c r="Q167" s="16">
        <v>29</v>
      </c>
      <c r="R167" s="136">
        <v>15</v>
      </c>
      <c r="S167" s="136">
        <v>15</v>
      </c>
      <c r="T167" s="10" t="s">
        <v>92</v>
      </c>
      <c r="U167" s="283" t="s">
        <v>118</v>
      </c>
      <c r="V167" s="10" t="s">
        <v>653</v>
      </c>
      <c r="W167" s="298">
        <v>1</v>
      </c>
      <c r="X167" s="298">
        <v>1</v>
      </c>
      <c r="Y167" s="298">
        <v>1</v>
      </c>
      <c r="Z167" s="299">
        <v>1</v>
      </c>
      <c r="AA167" s="299">
        <v>1</v>
      </c>
      <c r="AB167" s="300">
        <v>1</v>
      </c>
      <c r="AC167" s="301">
        <v>1</v>
      </c>
      <c r="AD167" s="301">
        <v>0</v>
      </c>
      <c r="AE167" s="302">
        <f t="shared" si="21"/>
        <v>0.875</v>
      </c>
      <c r="AF167" s="63">
        <v>0</v>
      </c>
      <c r="AG167" s="17">
        <v>0</v>
      </c>
      <c r="AH167" s="17">
        <v>2.5</v>
      </c>
      <c r="AI167" s="17">
        <v>2.5</v>
      </c>
      <c r="AJ167" s="17">
        <v>2</v>
      </c>
      <c r="AK167" s="135">
        <v>0.35</v>
      </c>
      <c r="AL167" s="135">
        <v>0.3</v>
      </c>
      <c r="AM167" s="147">
        <f t="shared" si="25"/>
        <v>0.64999999999999991</v>
      </c>
      <c r="AN167" s="18" t="s">
        <v>92</v>
      </c>
      <c r="AO167" s="18" t="s">
        <v>350</v>
      </c>
      <c r="AP167" s="10" t="s">
        <v>654</v>
      </c>
    </row>
    <row r="168" spans="1:42" x14ac:dyDescent="0.3">
      <c r="A168" s="9" t="s">
        <v>30</v>
      </c>
      <c r="B168" s="10" t="s">
        <v>31</v>
      </c>
      <c r="C168" s="11" t="s">
        <v>32</v>
      </c>
      <c r="D168" s="12" t="s">
        <v>33</v>
      </c>
      <c r="E168" s="11" t="s">
        <v>34</v>
      </c>
      <c r="F168" s="12" t="s">
        <v>35</v>
      </c>
      <c r="G168" s="11" t="s">
        <v>646</v>
      </c>
      <c r="H168" s="12" t="s">
        <v>647</v>
      </c>
      <c r="I168" s="12" t="s">
        <v>648</v>
      </c>
      <c r="J168" s="12" t="s">
        <v>649</v>
      </c>
      <c r="K168" s="11" t="s">
        <v>650</v>
      </c>
      <c r="L168" s="12" t="s">
        <v>651</v>
      </c>
      <c r="M168" s="10" t="s">
        <v>655</v>
      </c>
      <c r="N168" s="15">
        <v>0</v>
      </c>
      <c r="O168" s="16">
        <v>1</v>
      </c>
      <c r="P168" s="16">
        <v>1</v>
      </c>
      <c r="Q168" s="16">
        <v>1</v>
      </c>
      <c r="R168" s="110">
        <v>1</v>
      </c>
      <c r="S168" s="110">
        <v>1</v>
      </c>
      <c r="T168" s="10" t="s">
        <v>92</v>
      </c>
      <c r="U168" s="283" t="s">
        <v>118</v>
      </c>
      <c r="V168" s="10" t="s">
        <v>653</v>
      </c>
      <c r="W168" s="298">
        <v>1</v>
      </c>
      <c r="X168" s="298">
        <v>1</v>
      </c>
      <c r="Y168" s="298">
        <v>1</v>
      </c>
      <c r="Z168" s="299">
        <v>1</v>
      </c>
      <c r="AA168" s="299">
        <v>1</v>
      </c>
      <c r="AB168" s="300">
        <v>1</v>
      </c>
      <c r="AC168" s="301">
        <v>1</v>
      </c>
      <c r="AD168" s="301">
        <v>0</v>
      </c>
      <c r="AE168" s="302">
        <f t="shared" si="21"/>
        <v>0.875</v>
      </c>
      <c r="AF168" s="63">
        <v>0</v>
      </c>
      <c r="AG168" s="17">
        <v>0</v>
      </c>
      <c r="AH168" s="17"/>
      <c r="AI168" s="17"/>
      <c r="AJ168" s="17"/>
      <c r="AK168" s="109"/>
      <c r="AL168" s="127">
        <v>0.8</v>
      </c>
      <c r="AM168" s="147">
        <f t="shared" si="25"/>
        <v>0.8</v>
      </c>
      <c r="AN168" s="18" t="s">
        <v>92</v>
      </c>
      <c r="AO168" s="18" t="s">
        <v>350</v>
      </c>
      <c r="AP168" s="10" t="s">
        <v>654</v>
      </c>
    </row>
    <row r="169" spans="1:42" x14ac:dyDescent="0.3">
      <c r="A169" s="9" t="s">
        <v>30</v>
      </c>
      <c r="B169" s="10" t="s">
        <v>31</v>
      </c>
      <c r="C169" s="11" t="s">
        <v>32</v>
      </c>
      <c r="D169" s="12" t="s">
        <v>33</v>
      </c>
      <c r="E169" s="11" t="s">
        <v>34</v>
      </c>
      <c r="F169" s="12" t="s">
        <v>35</v>
      </c>
      <c r="G169" s="11" t="s">
        <v>646</v>
      </c>
      <c r="H169" s="12" t="s">
        <v>647</v>
      </c>
      <c r="I169" s="12" t="s">
        <v>648</v>
      </c>
      <c r="J169" s="12" t="s">
        <v>649</v>
      </c>
      <c r="K169" s="11" t="s">
        <v>650</v>
      </c>
      <c r="L169" s="12" t="s">
        <v>651</v>
      </c>
      <c r="M169" s="10" t="s">
        <v>656</v>
      </c>
      <c r="N169" s="15">
        <v>0</v>
      </c>
      <c r="O169" s="16">
        <v>14600</v>
      </c>
      <c r="P169" s="16">
        <v>14600</v>
      </c>
      <c r="Q169" s="16">
        <v>14600</v>
      </c>
      <c r="R169" s="110">
        <v>14600</v>
      </c>
      <c r="S169" s="110">
        <v>14600</v>
      </c>
      <c r="T169" s="10" t="s">
        <v>92</v>
      </c>
      <c r="U169" s="283" t="s">
        <v>118</v>
      </c>
      <c r="V169" s="10" t="s">
        <v>653</v>
      </c>
      <c r="W169" s="298">
        <v>1</v>
      </c>
      <c r="X169" s="298">
        <v>1</v>
      </c>
      <c r="Y169" s="298">
        <v>1</v>
      </c>
      <c r="Z169" s="299">
        <v>1</v>
      </c>
      <c r="AA169" s="299">
        <v>1</v>
      </c>
      <c r="AB169" s="300">
        <v>1</v>
      </c>
      <c r="AC169" s="301">
        <v>1</v>
      </c>
      <c r="AD169" s="301">
        <v>0</v>
      </c>
      <c r="AE169" s="302">
        <f t="shared" si="21"/>
        <v>0.875</v>
      </c>
      <c r="AF169" s="63">
        <v>0</v>
      </c>
      <c r="AG169" s="17">
        <v>0</v>
      </c>
      <c r="AH169" s="17"/>
      <c r="AI169" s="17"/>
      <c r="AJ169" s="17"/>
      <c r="AK169" s="109"/>
      <c r="AL169" s="109"/>
      <c r="AM169" s="147">
        <f t="shared" si="25"/>
        <v>0</v>
      </c>
      <c r="AN169" s="18" t="s">
        <v>92</v>
      </c>
      <c r="AO169" s="18" t="s">
        <v>350</v>
      </c>
      <c r="AP169" s="10" t="s">
        <v>280</v>
      </c>
    </row>
    <row r="170" spans="1:42" hidden="1" x14ac:dyDescent="0.3">
      <c r="A170" s="9" t="s">
        <v>30</v>
      </c>
      <c r="B170" s="10" t="s">
        <v>31</v>
      </c>
      <c r="C170" s="11" t="s">
        <v>32</v>
      </c>
      <c r="D170" s="12" t="s">
        <v>33</v>
      </c>
      <c r="E170" s="11" t="s">
        <v>34</v>
      </c>
      <c r="F170" s="12" t="s">
        <v>35</v>
      </c>
      <c r="G170" s="11" t="s">
        <v>646</v>
      </c>
      <c r="H170" s="12" t="s">
        <v>647</v>
      </c>
      <c r="I170" s="12" t="s">
        <v>648</v>
      </c>
      <c r="J170" s="12" t="s">
        <v>649</v>
      </c>
      <c r="K170" s="11" t="s">
        <v>650</v>
      </c>
      <c r="L170" s="12" t="s">
        <v>651</v>
      </c>
      <c r="M170" s="10" t="s">
        <v>657</v>
      </c>
      <c r="N170" s="15">
        <v>0</v>
      </c>
      <c r="O170" s="16">
        <v>2</v>
      </c>
      <c r="P170" s="16">
        <v>2</v>
      </c>
      <c r="Q170" s="16">
        <v>2</v>
      </c>
      <c r="R170" s="110">
        <v>2</v>
      </c>
      <c r="S170" s="110">
        <v>2</v>
      </c>
      <c r="T170" s="10" t="s">
        <v>92</v>
      </c>
      <c r="U170" s="283" t="s">
        <v>118</v>
      </c>
      <c r="V170" s="10" t="s">
        <v>658</v>
      </c>
      <c r="W170" s="298">
        <v>1</v>
      </c>
      <c r="X170" s="298">
        <v>0</v>
      </c>
      <c r="Y170" s="298">
        <v>0</v>
      </c>
      <c r="Z170" s="299">
        <v>1</v>
      </c>
      <c r="AA170" s="299">
        <v>1</v>
      </c>
      <c r="AB170" s="300">
        <v>1</v>
      </c>
      <c r="AC170" s="301">
        <v>1</v>
      </c>
      <c r="AD170" s="301">
        <v>0</v>
      </c>
      <c r="AE170" s="302">
        <f t="shared" si="21"/>
        <v>0.625</v>
      </c>
      <c r="AF170" s="63">
        <v>0</v>
      </c>
      <c r="AG170" s="17">
        <v>0</v>
      </c>
      <c r="AH170" s="17"/>
      <c r="AI170" s="17"/>
      <c r="AJ170" s="17"/>
      <c r="AK170" s="109"/>
      <c r="AL170" s="109"/>
      <c r="AM170" s="147">
        <f t="shared" si="25"/>
        <v>0</v>
      </c>
      <c r="AN170" s="18" t="s">
        <v>92</v>
      </c>
      <c r="AO170" s="18" t="s">
        <v>350</v>
      </c>
      <c r="AP170" s="10" t="s">
        <v>659</v>
      </c>
    </row>
    <row r="171" spans="1:42" hidden="1" x14ac:dyDescent="0.3">
      <c r="A171" s="9" t="s">
        <v>30</v>
      </c>
      <c r="B171" s="10" t="s">
        <v>31</v>
      </c>
      <c r="C171" s="11" t="s">
        <v>32</v>
      </c>
      <c r="D171" s="12" t="s">
        <v>33</v>
      </c>
      <c r="E171" s="11" t="s">
        <v>34</v>
      </c>
      <c r="F171" s="12" t="s">
        <v>35</v>
      </c>
      <c r="G171" s="11" t="s">
        <v>646</v>
      </c>
      <c r="H171" s="12" t="s">
        <v>647</v>
      </c>
      <c r="I171" s="12" t="s">
        <v>648</v>
      </c>
      <c r="J171" s="12" t="s">
        <v>649</v>
      </c>
      <c r="K171" s="11" t="s">
        <v>650</v>
      </c>
      <c r="L171" s="12" t="s">
        <v>651</v>
      </c>
      <c r="M171" s="10" t="s">
        <v>660</v>
      </c>
      <c r="N171" s="15">
        <v>20</v>
      </c>
      <c r="O171" s="16">
        <v>200</v>
      </c>
      <c r="P171" s="16">
        <v>200</v>
      </c>
      <c r="Q171" s="16">
        <v>200</v>
      </c>
      <c r="R171" s="110">
        <v>200</v>
      </c>
      <c r="S171" s="110">
        <v>200</v>
      </c>
      <c r="T171" s="10" t="s">
        <v>92</v>
      </c>
      <c r="U171" s="283" t="s">
        <v>118</v>
      </c>
      <c r="V171" s="10" t="s">
        <v>661</v>
      </c>
      <c r="W171" s="298">
        <v>1</v>
      </c>
      <c r="X171" s="298">
        <v>0</v>
      </c>
      <c r="Y171" s="298">
        <v>0</v>
      </c>
      <c r="Z171" s="299">
        <v>1</v>
      </c>
      <c r="AA171" s="299">
        <v>1</v>
      </c>
      <c r="AB171" s="300">
        <v>1</v>
      </c>
      <c r="AC171" s="301">
        <v>1</v>
      </c>
      <c r="AD171" s="301">
        <v>0</v>
      </c>
      <c r="AE171" s="302">
        <f t="shared" si="21"/>
        <v>0.625</v>
      </c>
      <c r="AF171" s="63">
        <v>0</v>
      </c>
      <c r="AG171" s="17">
        <v>0</v>
      </c>
      <c r="AH171" s="17"/>
      <c r="AI171" s="17"/>
      <c r="AJ171" s="17"/>
      <c r="AK171" s="109"/>
      <c r="AL171" s="109"/>
      <c r="AM171" s="147">
        <f t="shared" si="25"/>
        <v>0</v>
      </c>
      <c r="AN171" s="18" t="s">
        <v>92</v>
      </c>
      <c r="AO171" s="18" t="s">
        <v>350</v>
      </c>
      <c r="AP171" s="10" t="s">
        <v>280</v>
      </c>
    </row>
    <row r="172" spans="1:42" x14ac:dyDescent="0.3">
      <c r="A172" s="9" t="s">
        <v>30</v>
      </c>
      <c r="B172" s="10" t="s">
        <v>31</v>
      </c>
      <c r="C172" s="11" t="s">
        <v>32</v>
      </c>
      <c r="D172" s="12" t="s">
        <v>33</v>
      </c>
      <c r="E172" s="11" t="s">
        <v>34</v>
      </c>
      <c r="F172" s="12" t="s">
        <v>35</v>
      </c>
      <c r="G172" s="11" t="s">
        <v>646</v>
      </c>
      <c r="H172" s="12" t="s">
        <v>647</v>
      </c>
      <c r="I172" s="12" t="s">
        <v>648</v>
      </c>
      <c r="J172" s="12" t="s">
        <v>649</v>
      </c>
      <c r="K172" s="11" t="s">
        <v>662</v>
      </c>
      <c r="L172" s="12" t="s">
        <v>663</v>
      </c>
      <c r="M172" s="10" t="s">
        <v>664</v>
      </c>
      <c r="N172" s="15">
        <v>0</v>
      </c>
      <c r="O172" s="21">
        <v>0</v>
      </c>
      <c r="P172" s="16">
        <v>1</v>
      </c>
      <c r="Q172" s="16"/>
      <c r="R172" s="110">
        <v>1</v>
      </c>
      <c r="S172" s="110"/>
      <c r="T172" s="10" t="s">
        <v>92</v>
      </c>
      <c r="U172" s="283" t="s">
        <v>118</v>
      </c>
      <c r="V172" s="10" t="s">
        <v>665</v>
      </c>
      <c r="W172" s="298">
        <v>1</v>
      </c>
      <c r="X172" s="298">
        <v>1</v>
      </c>
      <c r="Y172" s="298">
        <v>1</v>
      </c>
      <c r="Z172" s="299">
        <v>1</v>
      </c>
      <c r="AA172" s="299">
        <v>1</v>
      </c>
      <c r="AB172" s="300">
        <v>1</v>
      </c>
      <c r="AC172" s="301">
        <v>1</v>
      </c>
      <c r="AD172" s="301">
        <v>0</v>
      </c>
      <c r="AE172" s="302">
        <f t="shared" si="21"/>
        <v>0.875</v>
      </c>
      <c r="AF172" s="63">
        <v>0</v>
      </c>
      <c r="AG172" s="17">
        <v>0</v>
      </c>
      <c r="AH172" s="17">
        <v>1.2</v>
      </c>
      <c r="AI172" s="17"/>
      <c r="AJ172" s="17"/>
      <c r="AK172" s="135">
        <v>0.2</v>
      </c>
      <c r="AL172" s="135">
        <v>0.2</v>
      </c>
      <c r="AM172" s="147">
        <f t="shared" si="25"/>
        <v>0.4</v>
      </c>
      <c r="AN172" s="10" t="s">
        <v>92</v>
      </c>
      <c r="AO172" s="18" t="s">
        <v>350</v>
      </c>
      <c r="AP172" s="10" t="s">
        <v>255</v>
      </c>
    </row>
    <row r="173" spans="1:42" x14ac:dyDescent="0.3">
      <c r="A173" s="9" t="s">
        <v>30</v>
      </c>
      <c r="B173" s="10" t="s">
        <v>31</v>
      </c>
      <c r="C173" s="11" t="s">
        <v>32</v>
      </c>
      <c r="D173" s="12" t="s">
        <v>33</v>
      </c>
      <c r="E173" s="11" t="s">
        <v>34</v>
      </c>
      <c r="F173" s="12" t="s">
        <v>35</v>
      </c>
      <c r="G173" s="11" t="s">
        <v>646</v>
      </c>
      <c r="H173" s="12" t="s">
        <v>647</v>
      </c>
      <c r="I173" s="12" t="s">
        <v>648</v>
      </c>
      <c r="J173" s="12" t="s">
        <v>649</v>
      </c>
      <c r="K173" s="11" t="s">
        <v>662</v>
      </c>
      <c r="L173" s="12" t="s">
        <v>663</v>
      </c>
      <c r="M173" s="10" t="s">
        <v>666</v>
      </c>
      <c r="N173" s="15">
        <v>0</v>
      </c>
      <c r="O173" s="21">
        <v>0</v>
      </c>
      <c r="P173" s="16">
        <v>1</v>
      </c>
      <c r="Q173" s="16"/>
      <c r="R173" s="110">
        <v>1</v>
      </c>
      <c r="S173" s="110"/>
      <c r="T173" s="10" t="s">
        <v>92</v>
      </c>
      <c r="U173" s="283" t="s">
        <v>118</v>
      </c>
      <c r="V173" s="10" t="s">
        <v>667</v>
      </c>
      <c r="W173" s="298">
        <v>1</v>
      </c>
      <c r="X173" s="298">
        <v>1</v>
      </c>
      <c r="Y173" s="298">
        <v>1</v>
      </c>
      <c r="Z173" s="299">
        <v>1</v>
      </c>
      <c r="AA173" s="299">
        <v>1</v>
      </c>
      <c r="AB173" s="300">
        <v>1</v>
      </c>
      <c r="AC173" s="301">
        <v>1</v>
      </c>
      <c r="AD173" s="301">
        <v>0</v>
      </c>
      <c r="AE173" s="302">
        <f t="shared" si="21"/>
        <v>0.875</v>
      </c>
      <c r="AF173" s="63">
        <v>0</v>
      </c>
      <c r="AG173" s="17">
        <v>0</v>
      </c>
      <c r="AH173" s="17">
        <v>1.3</v>
      </c>
      <c r="AI173" s="17">
        <v>1</v>
      </c>
      <c r="AJ173" s="17">
        <v>2.5</v>
      </c>
      <c r="AK173" s="135">
        <v>0.2</v>
      </c>
      <c r="AL173" s="135">
        <v>0.2</v>
      </c>
      <c r="AM173" s="147">
        <f t="shared" si="25"/>
        <v>0.4</v>
      </c>
      <c r="AN173" s="10" t="s">
        <v>92</v>
      </c>
      <c r="AO173" s="18" t="s">
        <v>350</v>
      </c>
      <c r="AP173" s="10" t="s">
        <v>668</v>
      </c>
    </row>
    <row r="174" spans="1:42" x14ac:dyDescent="0.3">
      <c r="A174" s="9" t="s">
        <v>30</v>
      </c>
      <c r="B174" s="10" t="s">
        <v>31</v>
      </c>
      <c r="C174" s="11" t="s">
        <v>32</v>
      </c>
      <c r="D174" s="12" t="s">
        <v>33</v>
      </c>
      <c r="E174" s="11" t="s">
        <v>34</v>
      </c>
      <c r="F174" s="12" t="s">
        <v>35</v>
      </c>
      <c r="G174" s="11" t="s">
        <v>646</v>
      </c>
      <c r="H174" s="12" t="s">
        <v>647</v>
      </c>
      <c r="I174" s="12" t="s">
        <v>648</v>
      </c>
      <c r="J174" s="12" t="s">
        <v>649</v>
      </c>
      <c r="K174" s="11" t="s">
        <v>662</v>
      </c>
      <c r="L174" s="12" t="s">
        <v>663</v>
      </c>
      <c r="M174" s="10" t="s">
        <v>669</v>
      </c>
      <c r="N174" s="15">
        <v>8</v>
      </c>
      <c r="O174" s="16">
        <v>20</v>
      </c>
      <c r="P174" s="16">
        <v>30</v>
      </c>
      <c r="Q174" s="16">
        <v>50</v>
      </c>
      <c r="R174" s="136">
        <v>25</v>
      </c>
      <c r="S174" s="136">
        <v>25</v>
      </c>
      <c r="T174" s="10" t="s">
        <v>92</v>
      </c>
      <c r="U174" s="283" t="s">
        <v>118</v>
      </c>
      <c r="V174" s="10" t="s">
        <v>670</v>
      </c>
      <c r="W174" s="298">
        <v>1</v>
      </c>
      <c r="X174" s="298">
        <v>1</v>
      </c>
      <c r="Y174" s="298">
        <v>1</v>
      </c>
      <c r="Z174" s="299">
        <v>1</v>
      </c>
      <c r="AA174" s="299">
        <v>1</v>
      </c>
      <c r="AB174" s="300">
        <v>1</v>
      </c>
      <c r="AC174" s="301">
        <v>1</v>
      </c>
      <c r="AD174" s="301">
        <v>0</v>
      </c>
      <c r="AE174" s="302">
        <f t="shared" si="21"/>
        <v>0.875</v>
      </c>
      <c r="AF174" s="63">
        <v>0</v>
      </c>
      <c r="AG174" s="17">
        <v>0</v>
      </c>
      <c r="AH174" s="17">
        <v>0.5</v>
      </c>
      <c r="AI174" s="17">
        <v>0.6</v>
      </c>
      <c r="AJ174" s="17">
        <v>1</v>
      </c>
      <c r="AK174" s="135">
        <v>0.2</v>
      </c>
      <c r="AL174" s="135">
        <v>0.2</v>
      </c>
      <c r="AM174" s="147">
        <f t="shared" si="25"/>
        <v>0.4</v>
      </c>
      <c r="AN174" s="10" t="s">
        <v>92</v>
      </c>
      <c r="AO174" s="18" t="s">
        <v>350</v>
      </c>
      <c r="AP174" s="10" t="s">
        <v>193</v>
      </c>
    </row>
    <row r="175" spans="1:42" x14ac:dyDescent="0.3">
      <c r="A175" s="9" t="s">
        <v>30</v>
      </c>
      <c r="B175" s="10" t="s">
        <v>31</v>
      </c>
      <c r="C175" s="11" t="s">
        <v>32</v>
      </c>
      <c r="D175" s="12" t="s">
        <v>33</v>
      </c>
      <c r="E175" s="11" t="s">
        <v>34</v>
      </c>
      <c r="F175" s="12" t="s">
        <v>35</v>
      </c>
      <c r="G175" s="11" t="s">
        <v>646</v>
      </c>
      <c r="H175" s="12" t="s">
        <v>647</v>
      </c>
      <c r="I175" s="12" t="s">
        <v>648</v>
      </c>
      <c r="J175" s="12" t="s">
        <v>649</v>
      </c>
      <c r="K175" s="11" t="s">
        <v>662</v>
      </c>
      <c r="L175" s="12" t="s">
        <v>663</v>
      </c>
      <c r="M175" s="10" t="s">
        <v>671</v>
      </c>
      <c r="N175" s="15">
        <v>0</v>
      </c>
      <c r="O175" s="16">
        <v>2</v>
      </c>
      <c r="P175" s="16">
        <v>4</v>
      </c>
      <c r="Q175" s="16">
        <v>8</v>
      </c>
      <c r="R175" s="136">
        <v>4</v>
      </c>
      <c r="S175" s="136">
        <v>4</v>
      </c>
      <c r="T175" s="10" t="s">
        <v>92</v>
      </c>
      <c r="U175" s="283" t="s">
        <v>118</v>
      </c>
      <c r="V175" s="10" t="s">
        <v>672</v>
      </c>
      <c r="W175" s="298">
        <v>1</v>
      </c>
      <c r="X175" s="298">
        <v>1</v>
      </c>
      <c r="Y175" s="298">
        <v>1</v>
      </c>
      <c r="Z175" s="299">
        <v>1</v>
      </c>
      <c r="AA175" s="299">
        <v>1</v>
      </c>
      <c r="AB175" s="300">
        <v>1</v>
      </c>
      <c r="AC175" s="301">
        <v>1</v>
      </c>
      <c r="AD175" s="301">
        <v>0</v>
      </c>
      <c r="AE175" s="302">
        <f t="shared" si="21"/>
        <v>0.875</v>
      </c>
      <c r="AF175" s="63">
        <v>0</v>
      </c>
      <c r="AG175" s="17">
        <v>0</v>
      </c>
      <c r="AH175" s="17">
        <v>1.2</v>
      </c>
      <c r="AI175" s="17">
        <v>2</v>
      </c>
      <c r="AJ175" s="17">
        <v>2</v>
      </c>
      <c r="AK175" s="135">
        <v>0.6</v>
      </c>
      <c r="AL175" s="135">
        <v>0.6</v>
      </c>
      <c r="AM175" s="147">
        <f t="shared" si="25"/>
        <v>1.2</v>
      </c>
      <c r="AN175" s="10" t="s">
        <v>92</v>
      </c>
      <c r="AO175" s="18" t="s">
        <v>350</v>
      </c>
      <c r="AP175" s="10" t="s">
        <v>673</v>
      </c>
    </row>
    <row r="176" spans="1:42" x14ac:dyDescent="0.3">
      <c r="A176" s="9" t="s">
        <v>30</v>
      </c>
      <c r="B176" s="10" t="s">
        <v>31</v>
      </c>
      <c r="C176" s="11" t="s">
        <v>32</v>
      </c>
      <c r="D176" s="12" t="s">
        <v>33</v>
      </c>
      <c r="E176" s="11" t="s">
        <v>34</v>
      </c>
      <c r="F176" s="12" t="s">
        <v>35</v>
      </c>
      <c r="G176" s="11" t="s">
        <v>646</v>
      </c>
      <c r="H176" s="12" t="s">
        <v>647</v>
      </c>
      <c r="I176" s="12" t="s">
        <v>648</v>
      </c>
      <c r="J176" s="12" t="s">
        <v>649</v>
      </c>
      <c r="K176" s="11" t="s">
        <v>662</v>
      </c>
      <c r="L176" s="12" t="s">
        <v>663</v>
      </c>
      <c r="M176" s="10" t="s">
        <v>674</v>
      </c>
      <c r="N176" s="15">
        <v>30000</v>
      </c>
      <c r="O176" s="26">
        <v>45000</v>
      </c>
      <c r="P176" s="26">
        <v>45000</v>
      </c>
      <c r="Q176" s="26">
        <v>45000</v>
      </c>
      <c r="R176" s="137">
        <v>20000</v>
      </c>
      <c r="S176" s="137">
        <v>20000</v>
      </c>
      <c r="T176" s="10" t="s">
        <v>92</v>
      </c>
      <c r="U176" s="283" t="s">
        <v>118</v>
      </c>
      <c r="V176" s="10" t="s">
        <v>675</v>
      </c>
      <c r="W176" s="298">
        <v>1</v>
      </c>
      <c r="X176" s="298">
        <v>1</v>
      </c>
      <c r="Y176" s="298">
        <v>1</v>
      </c>
      <c r="Z176" s="299">
        <v>1</v>
      </c>
      <c r="AA176" s="299">
        <v>1</v>
      </c>
      <c r="AB176" s="300">
        <v>1</v>
      </c>
      <c r="AC176" s="301">
        <v>1</v>
      </c>
      <c r="AD176" s="301">
        <v>1</v>
      </c>
      <c r="AE176" s="302">
        <f t="shared" si="21"/>
        <v>1</v>
      </c>
      <c r="AF176" s="63">
        <v>0</v>
      </c>
      <c r="AG176" s="17">
        <v>0</v>
      </c>
      <c r="AH176" s="17">
        <v>3.5</v>
      </c>
      <c r="AI176" s="17">
        <v>6</v>
      </c>
      <c r="AJ176" s="17">
        <v>6</v>
      </c>
      <c r="AK176" s="135">
        <v>2</v>
      </c>
      <c r="AL176" s="135">
        <v>2</v>
      </c>
      <c r="AM176" s="147">
        <f t="shared" si="25"/>
        <v>4</v>
      </c>
      <c r="AN176" s="10" t="s">
        <v>92</v>
      </c>
      <c r="AO176" s="18" t="s">
        <v>350</v>
      </c>
      <c r="AP176" s="10" t="s">
        <v>676</v>
      </c>
    </row>
    <row r="177" spans="1:42" x14ac:dyDescent="0.3">
      <c r="A177" s="9" t="s">
        <v>30</v>
      </c>
      <c r="B177" s="10" t="s">
        <v>31</v>
      </c>
      <c r="C177" s="11" t="s">
        <v>32</v>
      </c>
      <c r="D177" s="12" t="s">
        <v>33</v>
      </c>
      <c r="E177" s="11" t="s">
        <v>34</v>
      </c>
      <c r="F177" s="12" t="s">
        <v>35</v>
      </c>
      <c r="G177" s="11" t="s">
        <v>646</v>
      </c>
      <c r="H177" s="12" t="s">
        <v>647</v>
      </c>
      <c r="I177" s="12" t="s">
        <v>648</v>
      </c>
      <c r="J177" s="12" t="s">
        <v>649</v>
      </c>
      <c r="K177" s="11" t="s">
        <v>662</v>
      </c>
      <c r="L177" s="12" t="s">
        <v>663</v>
      </c>
      <c r="M177" s="10" t="s">
        <v>677</v>
      </c>
      <c r="N177" s="15">
        <v>0</v>
      </c>
      <c r="O177" s="26">
        <v>200</v>
      </c>
      <c r="P177" s="26">
        <v>200</v>
      </c>
      <c r="Q177" s="26">
        <v>200</v>
      </c>
      <c r="R177" s="118">
        <v>200</v>
      </c>
      <c r="S177" s="118">
        <v>200</v>
      </c>
      <c r="T177" s="30" t="s">
        <v>92</v>
      </c>
      <c r="U177" s="283" t="s">
        <v>118</v>
      </c>
      <c r="V177" s="10" t="s">
        <v>678</v>
      </c>
      <c r="W177" s="298">
        <v>1</v>
      </c>
      <c r="X177" s="298">
        <v>1</v>
      </c>
      <c r="Y177" s="298">
        <v>1</v>
      </c>
      <c r="Z177" s="299">
        <v>1</v>
      </c>
      <c r="AA177" s="299">
        <v>1</v>
      </c>
      <c r="AB177" s="300">
        <v>1</v>
      </c>
      <c r="AC177" s="301">
        <v>1</v>
      </c>
      <c r="AD177" s="301">
        <v>0</v>
      </c>
      <c r="AE177" s="302">
        <f t="shared" si="21"/>
        <v>0.875</v>
      </c>
      <c r="AF177" s="63">
        <v>0</v>
      </c>
      <c r="AG177" s="17">
        <v>0</v>
      </c>
      <c r="AH177" s="17"/>
      <c r="AI177" s="17"/>
      <c r="AJ177" s="17"/>
      <c r="AK177" s="109"/>
      <c r="AL177" s="109"/>
      <c r="AM177" s="147">
        <f t="shared" si="25"/>
        <v>0</v>
      </c>
      <c r="AN177" s="10" t="s">
        <v>92</v>
      </c>
      <c r="AO177" s="18" t="s">
        <v>350</v>
      </c>
      <c r="AP177" s="10" t="s">
        <v>280</v>
      </c>
    </row>
    <row r="178" spans="1:42" x14ac:dyDescent="0.3">
      <c r="A178" s="9" t="s">
        <v>30</v>
      </c>
      <c r="B178" s="10" t="s">
        <v>31</v>
      </c>
      <c r="C178" s="11" t="s">
        <v>32</v>
      </c>
      <c r="D178" s="12" t="s">
        <v>33</v>
      </c>
      <c r="E178" s="11" t="s">
        <v>34</v>
      </c>
      <c r="F178" s="12" t="s">
        <v>35</v>
      </c>
      <c r="G178" s="11" t="s">
        <v>646</v>
      </c>
      <c r="H178" s="12" t="s">
        <v>647</v>
      </c>
      <c r="I178" s="12" t="s">
        <v>648</v>
      </c>
      <c r="J178" s="12" t="s">
        <v>649</v>
      </c>
      <c r="K178" s="11" t="s">
        <v>662</v>
      </c>
      <c r="L178" s="12" t="s">
        <v>663</v>
      </c>
      <c r="M178" s="10" t="s">
        <v>679</v>
      </c>
      <c r="N178" s="15">
        <v>0</v>
      </c>
      <c r="O178" s="26">
        <v>100</v>
      </c>
      <c r="P178" s="26">
        <v>100</v>
      </c>
      <c r="Q178" s="26">
        <v>100</v>
      </c>
      <c r="R178" s="118">
        <v>100</v>
      </c>
      <c r="S178" s="118">
        <v>100</v>
      </c>
      <c r="T178" s="30" t="s">
        <v>92</v>
      </c>
      <c r="U178" s="283" t="s">
        <v>118</v>
      </c>
      <c r="V178" s="10" t="s">
        <v>680</v>
      </c>
      <c r="W178" s="298">
        <v>1</v>
      </c>
      <c r="X178" s="298">
        <v>1</v>
      </c>
      <c r="Y178" s="298">
        <v>1</v>
      </c>
      <c r="Z178" s="299">
        <v>1</v>
      </c>
      <c r="AA178" s="299">
        <v>1</v>
      </c>
      <c r="AB178" s="300">
        <v>1</v>
      </c>
      <c r="AC178" s="301">
        <v>1</v>
      </c>
      <c r="AD178" s="301">
        <v>0</v>
      </c>
      <c r="AE178" s="302">
        <f t="shared" si="21"/>
        <v>0.875</v>
      </c>
      <c r="AF178" s="63">
        <v>0</v>
      </c>
      <c r="AG178" s="17">
        <v>0</v>
      </c>
      <c r="AH178" s="17"/>
      <c r="AI178" s="17"/>
      <c r="AJ178" s="17"/>
      <c r="AK178" s="109"/>
      <c r="AL178" s="109"/>
      <c r="AM178" s="147">
        <f t="shared" si="25"/>
        <v>0</v>
      </c>
      <c r="AN178" s="10" t="s">
        <v>92</v>
      </c>
      <c r="AO178" s="18" t="s">
        <v>350</v>
      </c>
      <c r="AP178" s="10" t="s">
        <v>681</v>
      </c>
    </row>
    <row r="179" spans="1:42" hidden="1" x14ac:dyDescent="0.3">
      <c r="A179" s="9" t="s">
        <v>30</v>
      </c>
      <c r="B179" s="10" t="s">
        <v>31</v>
      </c>
      <c r="C179" s="11" t="s">
        <v>32</v>
      </c>
      <c r="D179" s="12" t="s">
        <v>33</v>
      </c>
      <c r="E179" s="11" t="s">
        <v>34</v>
      </c>
      <c r="F179" s="12" t="s">
        <v>35</v>
      </c>
      <c r="G179" s="11" t="s">
        <v>646</v>
      </c>
      <c r="H179" s="12" t="s">
        <v>647</v>
      </c>
      <c r="I179" s="12" t="s">
        <v>682</v>
      </c>
      <c r="J179" s="12" t="s">
        <v>683</v>
      </c>
      <c r="K179" s="11" t="s">
        <v>684</v>
      </c>
      <c r="L179" s="12" t="s">
        <v>685</v>
      </c>
      <c r="M179" s="10" t="s">
        <v>686</v>
      </c>
      <c r="N179" s="15">
        <v>0</v>
      </c>
      <c r="O179" s="21">
        <v>500000</v>
      </c>
      <c r="P179" s="16">
        <v>2000000</v>
      </c>
      <c r="Q179" s="16">
        <v>2000000</v>
      </c>
      <c r="R179" s="110">
        <v>2000000</v>
      </c>
      <c r="S179" s="110">
        <v>1500000</v>
      </c>
      <c r="T179" s="10" t="s">
        <v>92</v>
      </c>
      <c r="U179" s="283" t="s">
        <v>118</v>
      </c>
      <c r="V179" s="10" t="s">
        <v>687</v>
      </c>
      <c r="W179" s="298">
        <v>0</v>
      </c>
      <c r="X179" s="298">
        <v>0</v>
      </c>
      <c r="Y179" s="298">
        <v>0</v>
      </c>
      <c r="Z179" s="299">
        <v>0</v>
      </c>
      <c r="AA179" s="299">
        <v>0</v>
      </c>
      <c r="AB179" s="300">
        <v>0</v>
      </c>
      <c r="AC179" s="301">
        <v>0</v>
      </c>
      <c r="AD179" s="301">
        <v>0</v>
      </c>
      <c r="AE179" s="302">
        <f t="shared" si="21"/>
        <v>0</v>
      </c>
      <c r="AF179" s="63">
        <v>1</v>
      </c>
      <c r="AG179" s="17">
        <v>0</v>
      </c>
      <c r="AH179" s="17"/>
      <c r="AI179" s="17"/>
      <c r="AJ179" s="17"/>
      <c r="AK179" s="109"/>
      <c r="AL179" s="109"/>
      <c r="AM179" s="17" t="e">
        <f>SUM(#REF!)</f>
        <v>#REF!</v>
      </c>
      <c r="AN179" s="10" t="s">
        <v>92</v>
      </c>
      <c r="AO179" s="18" t="s">
        <v>350</v>
      </c>
      <c r="AP179" s="10" t="s">
        <v>688</v>
      </c>
    </row>
    <row r="180" spans="1:42" hidden="1" x14ac:dyDescent="0.3">
      <c r="A180" s="9" t="s">
        <v>30</v>
      </c>
      <c r="B180" s="10" t="s">
        <v>31</v>
      </c>
      <c r="C180" s="11" t="s">
        <v>32</v>
      </c>
      <c r="D180" s="12" t="s">
        <v>33</v>
      </c>
      <c r="E180" s="11" t="s">
        <v>34</v>
      </c>
      <c r="F180" s="12" t="s">
        <v>35</v>
      </c>
      <c r="G180" s="11" t="s">
        <v>646</v>
      </c>
      <c r="H180" s="12" t="s">
        <v>647</v>
      </c>
      <c r="I180" s="12" t="s">
        <v>689</v>
      </c>
      <c r="J180" s="12" t="s">
        <v>690</v>
      </c>
      <c r="K180" s="11" t="s">
        <v>691</v>
      </c>
      <c r="L180" s="12" t="s">
        <v>692</v>
      </c>
      <c r="M180" s="10" t="s">
        <v>693</v>
      </c>
      <c r="N180" s="15">
        <v>0</v>
      </c>
      <c r="O180" s="21">
        <v>0</v>
      </c>
      <c r="P180" s="16">
        <v>0</v>
      </c>
      <c r="Q180" s="16">
        <v>1000</v>
      </c>
      <c r="R180" s="110">
        <v>1000</v>
      </c>
      <c r="S180" s="110">
        <v>1000</v>
      </c>
      <c r="T180" s="10" t="s">
        <v>92</v>
      </c>
      <c r="U180" s="283" t="s">
        <v>118</v>
      </c>
      <c r="V180" s="10" t="s">
        <v>694</v>
      </c>
      <c r="W180" s="298">
        <v>1</v>
      </c>
      <c r="X180" s="298">
        <v>0</v>
      </c>
      <c r="Y180" s="298">
        <v>0</v>
      </c>
      <c r="Z180" s="299">
        <v>1</v>
      </c>
      <c r="AA180" s="299">
        <v>1</v>
      </c>
      <c r="AB180" s="300">
        <v>1</v>
      </c>
      <c r="AC180" s="301">
        <v>0</v>
      </c>
      <c r="AD180" s="301">
        <v>0</v>
      </c>
      <c r="AE180" s="302">
        <f t="shared" si="21"/>
        <v>0.5</v>
      </c>
      <c r="AF180" s="63">
        <v>0</v>
      </c>
      <c r="AG180" s="17">
        <v>0</v>
      </c>
      <c r="AH180" s="17"/>
      <c r="AI180" s="17"/>
      <c r="AJ180" s="17"/>
      <c r="AK180" s="109"/>
      <c r="AL180" s="109"/>
      <c r="AM180" s="17" t="e">
        <f>SUM(#REF!)</f>
        <v>#REF!</v>
      </c>
      <c r="AN180" s="10" t="s">
        <v>92</v>
      </c>
      <c r="AO180" s="18" t="s">
        <v>350</v>
      </c>
      <c r="AP180" s="10" t="s">
        <v>407</v>
      </c>
    </row>
    <row r="181" spans="1:42" hidden="1" x14ac:dyDescent="0.3">
      <c r="A181" s="9" t="s">
        <v>30</v>
      </c>
      <c r="B181" s="10" t="s">
        <v>31</v>
      </c>
      <c r="C181" s="11" t="s">
        <v>32</v>
      </c>
      <c r="D181" s="12" t="s">
        <v>33</v>
      </c>
      <c r="E181" s="11" t="s">
        <v>34</v>
      </c>
      <c r="F181" s="12" t="s">
        <v>35</v>
      </c>
      <c r="G181" s="11" t="s">
        <v>646</v>
      </c>
      <c r="H181" s="12" t="s">
        <v>647</v>
      </c>
      <c r="I181" s="12" t="s">
        <v>695</v>
      </c>
      <c r="J181" s="12" t="s">
        <v>696</v>
      </c>
      <c r="K181" s="11" t="s">
        <v>697</v>
      </c>
      <c r="L181" s="12" t="s">
        <v>698</v>
      </c>
      <c r="M181" s="10" t="s">
        <v>699</v>
      </c>
      <c r="N181" s="15">
        <v>0</v>
      </c>
      <c r="O181" s="15">
        <v>0</v>
      </c>
      <c r="P181" s="16"/>
      <c r="Q181" s="16">
        <v>1</v>
      </c>
      <c r="R181" s="110">
        <v>1</v>
      </c>
      <c r="S181" s="110">
        <v>1</v>
      </c>
      <c r="T181" s="10" t="s">
        <v>67</v>
      </c>
      <c r="U181" s="283" t="s">
        <v>68</v>
      </c>
      <c r="V181" s="10" t="s">
        <v>700</v>
      </c>
      <c r="W181" s="298">
        <v>1</v>
      </c>
      <c r="X181" s="298">
        <v>0</v>
      </c>
      <c r="Y181" s="298">
        <v>0</v>
      </c>
      <c r="Z181" s="299">
        <v>1</v>
      </c>
      <c r="AA181" s="299">
        <v>1</v>
      </c>
      <c r="AB181" s="300">
        <v>1</v>
      </c>
      <c r="AC181" s="301">
        <v>1</v>
      </c>
      <c r="AD181" s="301">
        <v>0</v>
      </c>
      <c r="AE181" s="302">
        <f t="shared" si="21"/>
        <v>0.625</v>
      </c>
      <c r="AF181" s="63">
        <v>0</v>
      </c>
      <c r="AG181" s="17">
        <v>0</v>
      </c>
      <c r="AH181" s="17">
        <v>1.5</v>
      </c>
      <c r="AI181" s="17">
        <v>2.4</v>
      </c>
      <c r="AJ181" s="17">
        <v>4</v>
      </c>
      <c r="AK181" s="135">
        <v>1.2</v>
      </c>
      <c r="AL181" s="135">
        <v>1.2</v>
      </c>
      <c r="AM181" s="147">
        <f t="shared" ref="AM181:AM183" si="26">SUM(AK181:AL181)</f>
        <v>2.4</v>
      </c>
      <c r="AN181" s="18" t="s">
        <v>67</v>
      </c>
      <c r="AO181" s="18" t="s">
        <v>68</v>
      </c>
      <c r="AP181" s="10" t="s">
        <v>701</v>
      </c>
    </row>
    <row r="182" spans="1:42" hidden="1" x14ac:dyDescent="0.3">
      <c r="A182" s="9" t="s">
        <v>30</v>
      </c>
      <c r="B182" s="10" t="s">
        <v>31</v>
      </c>
      <c r="C182" s="11" t="s">
        <v>32</v>
      </c>
      <c r="D182" s="12" t="s">
        <v>33</v>
      </c>
      <c r="E182" s="11" t="s">
        <v>34</v>
      </c>
      <c r="F182" s="12" t="s">
        <v>35</v>
      </c>
      <c r="G182" s="11" t="s">
        <v>646</v>
      </c>
      <c r="H182" s="12" t="s">
        <v>647</v>
      </c>
      <c r="I182" s="12" t="s">
        <v>695</v>
      </c>
      <c r="J182" s="12" t="s">
        <v>696</v>
      </c>
      <c r="K182" s="11" t="s">
        <v>702</v>
      </c>
      <c r="L182" s="12" t="s">
        <v>703</v>
      </c>
      <c r="M182" s="10" t="s">
        <v>704</v>
      </c>
      <c r="N182" s="15">
        <v>0</v>
      </c>
      <c r="O182" s="21">
        <v>0</v>
      </c>
      <c r="P182" s="16">
        <v>1</v>
      </c>
      <c r="Q182" s="16">
        <v>1</v>
      </c>
      <c r="R182" s="136">
        <v>1</v>
      </c>
      <c r="S182" s="136"/>
      <c r="T182" s="10" t="s">
        <v>92</v>
      </c>
      <c r="U182" s="283" t="s">
        <v>118</v>
      </c>
      <c r="V182" s="10" t="s">
        <v>705</v>
      </c>
      <c r="W182" s="298">
        <v>1</v>
      </c>
      <c r="X182" s="298">
        <v>0</v>
      </c>
      <c r="Y182" s="298">
        <v>0</v>
      </c>
      <c r="Z182" s="299">
        <v>1</v>
      </c>
      <c r="AA182" s="299">
        <v>1</v>
      </c>
      <c r="AB182" s="300">
        <v>1</v>
      </c>
      <c r="AC182" s="301">
        <v>1</v>
      </c>
      <c r="AD182" s="301">
        <v>0</v>
      </c>
      <c r="AE182" s="302">
        <f t="shared" si="21"/>
        <v>0.625</v>
      </c>
      <c r="AF182" s="63">
        <v>0</v>
      </c>
      <c r="AG182" s="17">
        <v>0</v>
      </c>
      <c r="AH182" s="17">
        <v>0.5</v>
      </c>
      <c r="AI182" s="17">
        <v>1</v>
      </c>
      <c r="AJ182" s="17">
        <v>1</v>
      </c>
      <c r="AK182" s="135">
        <v>1</v>
      </c>
      <c r="AL182" s="109"/>
      <c r="AM182" s="147">
        <f t="shared" si="26"/>
        <v>1</v>
      </c>
      <c r="AN182" s="10" t="s">
        <v>92</v>
      </c>
      <c r="AO182" s="18" t="s">
        <v>118</v>
      </c>
      <c r="AP182" s="10" t="s">
        <v>706</v>
      </c>
    </row>
    <row r="183" spans="1:42" hidden="1" x14ac:dyDescent="0.3">
      <c r="A183" s="9" t="s">
        <v>30</v>
      </c>
      <c r="B183" s="10" t="s">
        <v>31</v>
      </c>
      <c r="C183" s="11" t="s">
        <v>32</v>
      </c>
      <c r="D183" s="12" t="s">
        <v>33</v>
      </c>
      <c r="E183" s="11" t="s">
        <v>34</v>
      </c>
      <c r="F183" s="12" t="s">
        <v>35</v>
      </c>
      <c r="G183" s="11" t="s">
        <v>646</v>
      </c>
      <c r="H183" s="12" t="s">
        <v>647</v>
      </c>
      <c r="I183" s="12" t="s">
        <v>695</v>
      </c>
      <c r="J183" s="12" t="s">
        <v>696</v>
      </c>
      <c r="K183" s="11" t="s">
        <v>707</v>
      </c>
      <c r="L183" s="12" t="s">
        <v>708</v>
      </c>
      <c r="M183" s="10" t="s">
        <v>531</v>
      </c>
      <c r="N183" s="15">
        <v>0</v>
      </c>
      <c r="O183" s="21">
        <v>0</v>
      </c>
      <c r="P183" s="16">
        <v>0</v>
      </c>
      <c r="Q183" s="16">
        <v>10</v>
      </c>
      <c r="R183" s="110">
        <v>10</v>
      </c>
      <c r="S183" s="110">
        <v>10</v>
      </c>
      <c r="T183" s="10" t="s">
        <v>92</v>
      </c>
      <c r="U183" s="283" t="s">
        <v>118</v>
      </c>
      <c r="V183" s="10" t="s">
        <v>709</v>
      </c>
      <c r="W183" s="298">
        <v>1</v>
      </c>
      <c r="X183" s="298">
        <v>0</v>
      </c>
      <c r="Y183" s="298">
        <v>0</v>
      </c>
      <c r="Z183" s="299">
        <v>1</v>
      </c>
      <c r="AA183" s="299">
        <v>1</v>
      </c>
      <c r="AB183" s="300">
        <v>1</v>
      </c>
      <c r="AC183" s="301">
        <v>1</v>
      </c>
      <c r="AD183" s="301">
        <v>0</v>
      </c>
      <c r="AE183" s="302">
        <f t="shared" si="21"/>
        <v>0.625</v>
      </c>
      <c r="AF183" s="63">
        <v>0</v>
      </c>
      <c r="AG183" s="17">
        <v>0</v>
      </c>
      <c r="AH183" s="17"/>
      <c r="AI183" s="17"/>
      <c r="AJ183" s="17"/>
      <c r="AK183" s="109"/>
      <c r="AL183" s="109"/>
      <c r="AM183" s="147">
        <f t="shared" si="26"/>
        <v>0</v>
      </c>
      <c r="AN183" s="10" t="s">
        <v>92</v>
      </c>
      <c r="AO183" s="18" t="s">
        <v>350</v>
      </c>
      <c r="AP183" s="10" t="s">
        <v>407</v>
      </c>
    </row>
    <row r="184" spans="1:42" hidden="1" x14ac:dyDescent="0.3">
      <c r="A184" s="9" t="s">
        <v>30</v>
      </c>
      <c r="B184" s="10" t="s">
        <v>31</v>
      </c>
      <c r="C184" s="11" t="s">
        <v>32</v>
      </c>
      <c r="D184" s="12" t="s">
        <v>33</v>
      </c>
      <c r="E184" s="11" t="s">
        <v>34</v>
      </c>
      <c r="F184" s="12" t="s">
        <v>35</v>
      </c>
      <c r="G184" s="11" t="s">
        <v>646</v>
      </c>
      <c r="H184" s="12" t="s">
        <v>647</v>
      </c>
      <c r="I184" s="12" t="s">
        <v>710</v>
      </c>
      <c r="J184" s="12" t="s">
        <v>711</v>
      </c>
      <c r="K184" s="11" t="s">
        <v>712</v>
      </c>
      <c r="L184" s="12" t="s">
        <v>713</v>
      </c>
      <c r="M184" s="10" t="s">
        <v>714</v>
      </c>
      <c r="N184" s="15">
        <v>0</v>
      </c>
      <c r="O184" s="21">
        <v>0</v>
      </c>
      <c r="P184" s="16">
        <v>0</v>
      </c>
      <c r="Q184" s="16">
        <v>1000</v>
      </c>
      <c r="R184" s="110">
        <v>1000</v>
      </c>
      <c r="S184" s="110">
        <v>1000</v>
      </c>
      <c r="T184" s="10" t="s">
        <v>92</v>
      </c>
      <c r="U184" s="283" t="s">
        <v>118</v>
      </c>
      <c r="V184" s="10" t="s">
        <v>715</v>
      </c>
      <c r="W184" s="298">
        <v>1</v>
      </c>
      <c r="X184" s="298">
        <v>0</v>
      </c>
      <c r="Y184" s="298">
        <v>0</v>
      </c>
      <c r="Z184" s="299">
        <v>1</v>
      </c>
      <c r="AA184" s="299">
        <v>1</v>
      </c>
      <c r="AB184" s="300">
        <v>0</v>
      </c>
      <c r="AC184" s="301">
        <v>1</v>
      </c>
      <c r="AD184" s="301">
        <v>0</v>
      </c>
      <c r="AE184" s="302">
        <f t="shared" si="21"/>
        <v>0.5</v>
      </c>
      <c r="AF184" s="63">
        <v>0</v>
      </c>
      <c r="AG184" s="17">
        <v>0</v>
      </c>
      <c r="AH184" s="17"/>
      <c r="AI184" s="17"/>
      <c r="AJ184" s="17"/>
      <c r="AK184" s="109"/>
      <c r="AL184" s="109"/>
      <c r="AM184" s="17" t="e">
        <f>SUM(#REF!)</f>
        <v>#REF!</v>
      </c>
      <c r="AN184" s="10" t="s">
        <v>92</v>
      </c>
      <c r="AO184" s="18" t="s">
        <v>350</v>
      </c>
      <c r="AP184" s="10" t="s">
        <v>407</v>
      </c>
    </row>
    <row r="185" spans="1:42" hidden="1" x14ac:dyDescent="0.3">
      <c r="A185" s="9" t="s">
        <v>30</v>
      </c>
      <c r="B185" s="10" t="s">
        <v>31</v>
      </c>
      <c r="C185" s="11" t="s">
        <v>32</v>
      </c>
      <c r="D185" s="12" t="s">
        <v>33</v>
      </c>
      <c r="E185" s="11" t="s">
        <v>34</v>
      </c>
      <c r="F185" s="12" t="s">
        <v>35</v>
      </c>
      <c r="G185" s="11" t="s">
        <v>716</v>
      </c>
      <c r="H185" s="12" t="s">
        <v>717</v>
      </c>
      <c r="I185" s="12" t="s">
        <v>718</v>
      </c>
      <c r="J185" s="12" t="s">
        <v>719</v>
      </c>
      <c r="K185" s="11" t="s">
        <v>720</v>
      </c>
      <c r="L185" s="12" t="s">
        <v>721</v>
      </c>
      <c r="M185" s="10" t="s">
        <v>722</v>
      </c>
      <c r="N185" s="15">
        <v>0</v>
      </c>
      <c r="O185" s="15">
        <v>0</v>
      </c>
      <c r="P185" s="20">
        <v>0</v>
      </c>
      <c r="Q185" s="20">
        <v>1</v>
      </c>
      <c r="R185" s="114">
        <v>2</v>
      </c>
      <c r="S185" s="114">
        <v>0</v>
      </c>
      <c r="T185" s="35" t="s">
        <v>723</v>
      </c>
      <c r="U185" s="283" t="s">
        <v>729</v>
      </c>
      <c r="V185" s="18" t="s">
        <v>724</v>
      </c>
      <c r="W185" s="298">
        <v>1</v>
      </c>
      <c r="X185" s="298">
        <v>0</v>
      </c>
      <c r="Y185" s="298">
        <v>0</v>
      </c>
      <c r="Z185" s="299">
        <v>1</v>
      </c>
      <c r="AA185" s="299">
        <v>1</v>
      </c>
      <c r="AB185" s="300">
        <v>1</v>
      </c>
      <c r="AC185" s="301">
        <v>0</v>
      </c>
      <c r="AD185" s="301">
        <v>0</v>
      </c>
      <c r="AE185" s="302">
        <f t="shared" si="21"/>
        <v>0.5</v>
      </c>
      <c r="AF185" s="63">
        <v>0</v>
      </c>
      <c r="AG185" s="17">
        <v>0</v>
      </c>
      <c r="AH185" s="36"/>
      <c r="AI185" s="36"/>
      <c r="AJ185" s="36"/>
      <c r="AK185" s="124"/>
      <c r="AL185" s="124"/>
      <c r="AM185" s="17" t="e">
        <f>SUM(#REF!)</f>
        <v>#REF!</v>
      </c>
      <c r="AN185" s="18" t="s">
        <v>92</v>
      </c>
      <c r="AO185" s="18" t="s">
        <v>350</v>
      </c>
      <c r="AP185" s="16" t="s">
        <v>723</v>
      </c>
    </row>
    <row r="186" spans="1:42" hidden="1" x14ac:dyDescent="0.3">
      <c r="A186" s="9" t="s">
        <v>30</v>
      </c>
      <c r="B186" s="10" t="s">
        <v>31</v>
      </c>
      <c r="C186" s="11" t="s">
        <v>32</v>
      </c>
      <c r="D186" s="12" t="s">
        <v>33</v>
      </c>
      <c r="E186" s="11" t="s">
        <v>34</v>
      </c>
      <c r="F186" s="12" t="s">
        <v>35</v>
      </c>
      <c r="G186" s="11" t="s">
        <v>716</v>
      </c>
      <c r="H186" s="12" t="s">
        <v>717</v>
      </c>
      <c r="I186" s="12" t="s">
        <v>718</v>
      </c>
      <c r="J186" s="12" t="s">
        <v>719</v>
      </c>
      <c r="K186" s="11" t="s">
        <v>720</v>
      </c>
      <c r="L186" s="12" t="s">
        <v>721</v>
      </c>
      <c r="M186" s="10" t="s">
        <v>725</v>
      </c>
      <c r="N186" s="15">
        <v>0</v>
      </c>
      <c r="O186" s="15">
        <v>0</v>
      </c>
      <c r="P186" s="20">
        <v>0</v>
      </c>
      <c r="Q186" s="20">
        <v>1</v>
      </c>
      <c r="R186" s="114">
        <v>2</v>
      </c>
      <c r="S186" s="114">
        <v>0</v>
      </c>
      <c r="T186" s="35" t="s">
        <v>723</v>
      </c>
      <c r="U186" s="283" t="s">
        <v>729</v>
      </c>
      <c r="V186" s="18" t="s">
        <v>726</v>
      </c>
      <c r="W186" s="298">
        <v>1</v>
      </c>
      <c r="X186" s="298">
        <v>0</v>
      </c>
      <c r="Y186" s="298">
        <v>0</v>
      </c>
      <c r="Z186" s="299">
        <v>1</v>
      </c>
      <c r="AA186" s="299">
        <v>0</v>
      </c>
      <c r="AB186" s="300">
        <v>1</v>
      </c>
      <c r="AC186" s="301">
        <v>0</v>
      </c>
      <c r="AD186" s="301">
        <v>0</v>
      </c>
      <c r="AE186" s="302">
        <f t="shared" si="21"/>
        <v>0.375</v>
      </c>
      <c r="AF186" s="63">
        <v>0</v>
      </c>
      <c r="AG186" s="17">
        <v>0</v>
      </c>
      <c r="AH186" s="36"/>
      <c r="AI186" s="36"/>
      <c r="AJ186" s="36"/>
      <c r="AK186" s="124"/>
      <c r="AL186" s="124"/>
      <c r="AM186" s="17" t="e">
        <f>SUM(#REF!)</f>
        <v>#REF!</v>
      </c>
      <c r="AN186" s="18" t="s">
        <v>92</v>
      </c>
      <c r="AO186" s="18" t="s">
        <v>350</v>
      </c>
      <c r="AP186" s="16" t="s">
        <v>723</v>
      </c>
    </row>
    <row r="187" spans="1:42" hidden="1" x14ac:dyDescent="0.3">
      <c r="A187" s="9" t="s">
        <v>30</v>
      </c>
      <c r="B187" s="10" t="s">
        <v>31</v>
      </c>
      <c r="C187" s="11" t="s">
        <v>32</v>
      </c>
      <c r="D187" s="12" t="s">
        <v>33</v>
      </c>
      <c r="E187" s="11" t="s">
        <v>34</v>
      </c>
      <c r="F187" s="12" t="s">
        <v>35</v>
      </c>
      <c r="G187" s="11" t="s">
        <v>716</v>
      </c>
      <c r="H187" s="12" t="s">
        <v>717</v>
      </c>
      <c r="I187" s="12" t="s">
        <v>718</v>
      </c>
      <c r="J187" s="12" t="s">
        <v>719</v>
      </c>
      <c r="K187" s="11" t="s">
        <v>720</v>
      </c>
      <c r="L187" s="12" t="s">
        <v>721</v>
      </c>
      <c r="M187" s="10" t="s">
        <v>727</v>
      </c>
      <c r="N187" s="15">
        <v>0</v>
      </c>
      <c r="O187" s="15"/>
      <c r="P187" s="20"/>
      <c r="Q187" s="20"/>
      <c r="R187" s="114"/>
      <c r="S187" s="114"/>
      <c r="T187" s="35" t="s">
        <v>723</v>
      </c>
      <c r="U187" s="283" t="s">
        <v>729</v>
      </c>
      <c r="V187" s="18" t="s">
        <v>728</v>
      </c>
      <c r="W187" s="298">
        <v>1</v>
      </c>
      <c r="X187" s="298">
        <v>0</v>
      </c>
      <c r="Y187" s="298">
        <v>0</v>
      </c>
      <c r="Z187" s="299">
        <v>1</v>
      </c>
      <c r="AA187" s="299">
        <v>1</v>
      </c>
      <c r="AB187" s="300">
        <v>1</v>
      </c>
      <c r="AC187" s="301">
        <v>1</v>
      </c>
      <c r="AD187" s="301">
        <v>0</v>
      </c>
      <c r="AE187" s="302">
        <f t="shared" si="21"/>
        <v>0.625</v>
      </c>
      <c r="AF187" s="63">
        <v>0</v>
      </c>
      <c r="AG187" s="17">
        <v>0</v>
      </c>
      <c r="AH187" s="36"/>
      <c r="AI187" s="36"/>
      <c r="AJ187" s="36"/>
      <c r="AK187" s="124"/>
      <c r="AL187" s="138">
        <v>0.15</v>
      </c>
      <c r="AM187" s="147">
        <f t="shared" ref="AM187" si="27">SUM(AK187:AL187)</f>
        <v>0.15</v>
      </c>
      <c r="AN187" s="18" t="s">
        <v>723</v>
      </c>
      <c r="AO187" s="18" t="s">
        <v>729</v>
      </c>
      <c r="AP187" s="16" t="s">
        <v>92</v>
      </c>
    </row>
    <row r="188" spans="1:42" hidden="1" x14ac:dyDescent="0.3">
      <c r="A188" s="9" t="s">
        <v>30</v>
      </c>
      <c r="B188" s="10" t="s">
        <v>31</v>
      </c>
      <c r="C188" s="11" t="s">
        <v>32</v>
      </c>
      <c r="D188" s="12" t="s">
        <v>33</v>
      </c>
      <c r="E188" s="11" t="s">
        <v>34</v>
      </c>
      <c r="F188" s="12" t="s">
        <v>35</v>
      </c>
      <c r="G188" s="11" t="s">
        <v>716</v>
      </c>
      <c r="H188" s="12" t="s">
        <v>717</v>
      </c>
      <c r="I188" s="12" t="s">
        <v>730</v>
      </c>
      <c r="J188" s="12" t="s">
        <v>726</v>
      </c>
      <c r="K188" s="11" t="s">
        <v>731</v>
      </c>
      <c r="L188" s="12" t="s">
        <v>732</v>
      </c>
      <c r="M188" s="10" t="s">
        <v>733</v>
      </c>
      <c r="N188" s="15"/>
      <c r="O188" s="15"/>
      <c r="P188" s="20"/>
      <c r="Q188" s="20"/>
      <c r="R188" s="114"/>
      <c r="S188" s="114"/>
      <c r="T188" s="35" t="s">
        <v>723</v>
      </c>
      <c r="U188" s="283" t="s">
        <v>729</v>
      </c>
      <c r="V188" s="18" t="s">
        <v>732</v>
      </c>
      <c r="W188" s="298">
        <v>1</v>
      </c>
      <c r="X188" s="298">
        <v>0</v>
      </c>
      <c r="Y188" s="298">
        <v>0</v>
      </c>
      <c r="Z188" s="299">
        <v>1</v>
      </c>
      <c r="AA188" s="299">
        <v>1</v>
      </c>
      <c r="AB188" s="300">
        <v>0</v>
      </c>
      <c r="AC188" s="301">
        <v>1</v>
      </c>
      <c r="AD188" s="301">
        <v>0</v>
      </c>
      <c r="AE188" s="302">
        <f t="shared" si="21"/>
        <v>0.5</v>
      </c>
      <c r="AF188" s="63">
        <v>0</v>
      </c>
      <c r="AG188" s="17">
        <v>0</v>
      </c>
      <c r="AH188" s="17"/>
      <c r="AI188" s="17"/>
      <c r="AJ188" s="17"/>
      <c r="AK188" s="109"/>
      <c r="AL188" s="109"/>
      <c r="AM188" s="17" t="e">
        <f>SUM(#REF!)</f>
        <v>#REF!</v>
      </c>
      <c r="AN188" s="18" t="s">
        <v>723</v>
      </c>
      <c r="AO188" s="18" t="s">
        <v>734</v>
      </c>
      <c r="AP188" s="16" t="s">
        <v>92</v>
      </c>
    </row>
    <row r="189" spans="1:42" hidden="1" x14ac:dyDescent="0.3">
      <c r="A189" s="9" t="s">
        <v>30</v>
      </c>
      <c r="B189" s="10" t="s">
        <v>31</v>
      </c>
      <c r="C189" s="11" t="s">
        <v>32</v>
      </c>
      <c r="D189" s="12" t="s">
        <v>33</v>
      </c>
      <c r="E189" s="11" t="s">
        <v>34</v>
      </c>
      <c r="F189" s="12" t="s">
        <v>35</v>
      </c>
      <c r="G189" s="11" t="s">
        <v>716</v>
      </c>
      <c r="H189" s="12" t="s">
        <v>717</v>
      </c>
      <c r="I189" s="12" t="s">
        <v>735</v>
      </c>
      <c r="J189" s="12" t="s">
        <v>736</v>
      </c>
      <c r="K189" s="11" t="s">
        <v>737</v>
      </c>
      <c r="L189" s="12" t="s">
        <v>738</v>
      </c>
      <c r="M189" s="12" t="s">
        <v>738</v>
      </c>
      <c r="N189" s="12" t="s">
        <v>738</v>
      </c>
      <c r="O189" s="12" t="s">
        <v>738</v>
      </c>
      <c r="P189" s="12" t="s">
        <v>738</v>
      </c>
      <c r="Q189" s="12" t="s">
        <v>738</v>
      </c>
      <c r="R189" s="119" t="s">
        <v>738</v>
      </c>
      <c r="S189" s="119" t="s">
        <v>738</v>
      </c>
      <c r="T189" s="12" t="s">
        <v>738</v>
      </c>
      <c r="U189" s="12" t="s">
        <v>738</v>
      </c>
      <c r="V189" s="12" t="s">
        <v>739</v>
      </c>
      <c r="W189" s="298">
        <v>1</v>
      </c>
      <c r="X189" s="298">
        <v>0</v>
      </c>
      <c r="Y189" s="298">
        <v>0</v>
      </c>
      <c r="Z189" s="299">
        <v>1</v>
      </c>
      <c r="AA189" s="299">
        <v>1</v>
      </c>
      <c r="AB189" s="300">
        <v>1</v>
      </c>
      <c r="AC189" s="301">
        <v>1</v>
      </c>
      <c r="AD189" s="301">
        <v>0</v>
      </c>
      <c r="AE189" s="302">
        <f t="shared" si="21"/>
        <v>0.625</v>
      </c>
      <c r="AF189" s="63">
        <v>0</v>
      </c>
      <c r="AG189" s="17">
        <v>0</v>
      </c>
      <c r="AH189" s="17"/>
      <c r="AI189" s="17"/>
      <c r="AJ189" s="17"/>
      <c r="AK189" s="109"/>
      <c r="AL189" s="109"/>
      <c r="AM189" s="147">
        <f t="shared" ref="AM189:AM190" si="28">SUM(AK189:AL189)</f>
        <v>0</v>
      </c>
      <c r="AN189" s="18" t="s">
        <v>723</v>
      </c>
      <c r="AO189" s="18" t="s">
        <v>740</v>
      </c>
      <c r="AP189" s="16" t="s">
        <v>92</v>
      </c>
    </row>
    <row r="190" spans="1:42" hidden="1" x14ac:dyDescent="0.3">
      <c r="A190" s="9" t="s">
        <v>30</v>
      </c>
      <c r="B190" s="10" t="s">
        <v>31</v>
      </c>
      <c r="C190" s="11" t="s">
        <v>32</v>
      </c>
      <c r="D190" s="12" t="s">
        <v>33</v>
      </c>
      <c r="E190" s="11" t="s">
        <v>34</v>
      </c>
      <c r="F190" s="12" t="s">
        <v>35</v>
      </c>
      <c r="G190" s="11" t="s">
        <v>716</v>
      </c>
      <c r="H190" s="12" t="s">
        <v>717</v>
      </c>
      <c r="I190" s="12" t="s">
        <v>741</v>
      </c>
      <c r="J190" s="12" t="s">
        <v>742</v>
      </c>
      <c r="K190" s="11" t="s">
        <v>743</v>
      </c>
      <c r="L190" s="12" t="s">
        <v>744</v>
      </c>
      <c r="M190" s="10" t="s">
        <v>745</v>
      </c>
      <c r="N190" s="15">
        <v>0</v>
      </c>
      <c r="O190" s="15"/>
      <c r="P190" s="20"/>
      <c r="Q190" s="20"/>
      <c r="R190" s="114"/>
      <c r="S190" s="114"/>
      <c r="T190" s="35" t="s">
        <v>723</v>
      </c>
      <c r="U190" s="283" t="s">
        <v>729</v>
      </c>
      <c r="V190" s="18" t="s">
        <v>746</v>
      </c>
      <c r="W190" s="298">
        <v>1</v>
      </c>
      <c r="X190" s="298">
        <v>0</v>
      </c>
      <c r="Y190" s="298">
        <v>0</v>
      </c>
      <c r="Z190" s="299">
        <v>1</v>
      </c>
      <c r="AA190" s="299">
        <v>1</v>
      </c>
      <c r="AB190" s="300">
        <v>1</v>
      </c>
      <c r="AC190" s="301">
        <v>1</v>
      </c>
      <c r="AD190" s="301">
        <v>0</v>
      </c>
      <c r="AE190" s="302">
        <f t="shared" si="21"/>
        <v>0.625</v>
      </c>
      <c r="AF190" s="63">
        <v>0</v>
      </c>
      <c r="AG190" s="17">
        <v>0</v>
      </c>
      <c r="AH190" s="36"/>
      <c r="AI190" s="36"/>
      <c r="AJ190" s="36"/>
      <c r="AK190" s="124"/>
      <c r="AL190" s="124"/>
      <c r="AM190" s="147">
        <f t="shared" si="28"/>
        <v>0</v>
      </c>
      <c r="AN190" s="18" t="s">
        <v>723</v>
      </c>
      <c r="AO190" s="18" t="s">
        <v>729</v>
      </c>
      <c r="AP190" s="16" t="s">
        <v>92</v>
      </c>
    </row>
    <row r="191" spans="1:42" hidden="1" x14ac:dyDescent="0.3">
      <c r="A191" s="9" t="s">
        <v>30</v>
      </c>
      <c r="B191" s="10" t="s">
        <v>31</v>
      </c>
      <c r="C191" s="11" t="s">
        <v>32</v>
      </c>
      <c r="D191" s="12" t="s">
        <v>33</v>
      </c>
      <c r="E191" s="11" t="s">
        <v>34</v>
      </c>
      <c r="F191" s="12" t="s">
        <v>35</v>
      </c>
      <c r="G191" s="11" t="s">
        <v>716</v>
      </c>
      <c r="H191" s="12" t="s">
        <v>717</v>
      </c>
      <c r="I191" s="12" t="s">
        <v>747</v>
      </c>
      <c r="J191" s="12" t="s">
        <v>748</v>
      </c>
      <c r="K191" s="11" t="s">
        <v>749</v>
      </c>
      <c r="L191" s="12" t="s">
        <v>750</v>
      </c>
      <c r="M191" s="10" t="s">
        <v>751</v>
      </c>
      <c r="N191" s="15">
        <v>0</v>
      </c>
      <c r="O191" s="15"/>
      <c r="P191" s="20"/>
      <c r="Q191" s="20"/>
      <c r="R191" s="114"/>
      <c r="S191" s="114"/>
      <c r="T191" s="35" t="s">
        <v>723</v>
      </c>
      <c r="U191" s="283" t="s">
        <v>729</v>
      </c>
      <c r="V191" s="18" t="s">
        <v>752</v>
      </c>
      <c r="W191" s="298">
        <v>1</v>
      </c>
      <c r="X191" s="298">
        <v>0</v>
      </c>
      <c r="Y191" s="298">
        <v>0</v>
      </c>
      <c r="Z191" s="299">
        <v>1</v>
      </c>
      <c r="AA191" s="299">
        <v>1</v>
      </c>
      <c r="AB191" s="300">
        <v>0</v>
      </c>
      <c r="AC191" s="301">
        <v>1</v>
      </c>
      <c r="AD191" s="301">
        <v>0</v>
      </c>
      <c r="AE191" s="302">
        <f t="shared" si="21"/>
        <v>0.5</v>
      </c>
      <c r="AF191" s="63">
        <v>0</v>
      </c>
      <c r="AG191" s="17">
        <v>0</v>
      </c>
      <c r="AH191" s="36"/>
      <c r="AI191" s="36"/>
      <c r="AJ191" s="36"/>
      <c r="AK191" s="124"/>
      <c r="AL191" s="124"/>
      <c r="AM191" s="17" t="e">
        <f>SUM(#REF!)</f>
        <v>#REF!</v>
      </c>
      <c r="AN191" s="18" t="s">
        <v>723</v>
      </c>
      <c r="AO191" s="18" t="s">
        <v>729</v>
      </c>
      <c r="AP191" s="16" t="s">
        <v>92</v>
      </c>
    </row>
    <row r="192" spans="1:42" x14ac:dyDescent="0.3">
      <c r="A192" s="9" t="s">
        <v>30</v>
      </c>
      <c r="B192" s="10" t="s">
        <v>31</v>
      </c>
      <c r="C192" s="11" t="s">
        <v>32</v>
      </c>
      <c r="D192" s="12" t="s">
        <v>33</v>
      </c>
      <c r="E192" s="11" t="s">
        <v>34</v>
      </c>
      <c r="F192" s="12" t="s">
        <v>35</v>
      </c>
      <c r="G192" s="11" t="s">
        <v>753</v>
      </c>
      <c r="H192" s="12" t="s">
        <v>754</v>
      </c>
      <c r="I192" s="12"/>
      <c r="J192" s="12"/>
      <c r="K192" s="11" t="s">
        <v>755</v>
      </c>
      <c r="L192" s="12" t="s">
        <v>756</v>
      </c>
      <c r="M192" s="10" t="s">
        <v>757</v>
      </c>
      <c r="N192" s="15"/>
      <c r="O192" s="17">
        <v>0</v>
      </c>
      <c r="P192" s="16">
        <v>1</v>
      </c>
      <c r="Q192" s="16">
        <v>1</v>
      </c>
      <c r="R192" s="110">
        <v>1</v>
      </c>
      <c r="S192" s="110">
        <v>1</v>
      </c>
      <c r="T192" s="10" t="s">
        <v>758</v>
      </c>
      <c r="U192" s="283" t="s">
        <v>760</v>
      </c>
      <c r="V192" s="18" t="s">
        <v>759</v>
      </c>
      <c r="W192" s="298">
        <v>1</v>
      </c>
      <c r="X192" s="298">
        <v>1</v>
      </c>
      <c r="Y192" s="298">
        <v>1</v>
      </c>
      <c r="Z192" s="299">
        <v>1</v>
      </c>
      <c r="AA192" s="299">
        <v>1</v>
      </c>
      <c r="AB192" s="300">
        <v>1</v>
      </c>
      <c r="AC192" s="301">
        <v>1</v>
      </c>
      <c r="AD192" s="301">
        <v>0</v>
      </c>
      <c r="AE192" s="302">
        <f t="shared" si="21"/>
        <v>0.875</v>
      </c>
      <c r="AF192" s="63">
        <v>0</v>
      </c>
      <c r="AG192" s="17">
        <v>0</v>
      </c>
      <c r="AH192" s="17">
        <v>0</v>
      </c>
      <c r="AI192" s="36">
        <v>5</v>
      </c>
      <c r="AJ192" s="36">
        <v>3</v>
      </c>
      <c r="AK192" s="138">
        <v>1.5</v>
      </c>
      <c r="AL192" s="138">
        <v>1.5</v>
      </c>
      <c r="AM192" s="147">
        <f t="shared" ref="AM192:AM193" si="29">SUM(AK192:AL192)</f>
        <v>3</v>
      </c>
      <c r="AN192" s="18" t="s">
        <v>758</v>
      </c>
      <c r="AO192" s="18" t="s">
        <v>760</v>
      </c>
      <c r="AP192" s="16" t="s">
        <v>761</v>
      </c>
    </row>
    <row r="193" spans="1:42" x14ac:dyDescent="0.3">
      <c r="A193" s="9" t="s">
        <v>30</v>
      </c>
      <c r="B193" s="10" t="s">
        <v>31</v>
      </c>
      <c r="C193" s="11" t="s">
        <v>32</v>
      </c>
      <c r="D193" s="12" t="s">
        <v>33</v>
      </c>
      <c r="E193" s="11" t="s">
        <v>34</v>
      </c>
      <c r="F193" s="12" t="s">
        <v>35</v>
      </c>
      <c r="G193" s="11" t="s">
        <v>753</v>
      </c>
      <c r="H193" s="12" t="s">
        <v>754</v>
      </c>
      <c r="I193" s="12"/>
      <c r="J193" s="12"/>
      <c r="K193" s="11" t="s">
        <v>762</v>
      </c>
      <c r="L193" s="12" t="s">
        <v>763</v>
      </c>
      <c r="M193" s="10" t="s">
        <v>764</v>
      </c>
      <c r="N193" s="15">
        <v>0</v>
      </c>
      <c r="O193" s="16">
        <v>5</v>
      </c>
      <c r="P193" s="16">
        <v>15</v>
      </c>
      <c r="Q193" s="16">
        <v>27</v>
      </c>
      <c r="R193" s="110"/>
      <c r="S193" s="110"/>
      <c r="T193" s="10" t="s">
        <v>758</v>
      </c>
      <c r="U193" s="283" t="s">
        <v>760</v>
      </c>
      <c r="V193" s="10" t="s">
        <v>765</v>
      </c>
      <c r="W193" s="298">
        <v>1</v>
      </c>
      <c r="X193" s="298">
        <v>1</v>
      </c>
      <c r="Y193" s="298">
        <v>1</v>
      </c>
      <c r="Z193" s="299">
        <v>1</v>
      </c>
      <c r="AA193" s="299">
        <v>1</v>
      </c>
      <c r="AB193" s="300">
        <v>1</v>
      </c>
      <c r="AC193" s="301">
        <v>1</v>
      </c>
      <c r="AD193" s="301">
        <v>0</v>
      </c>
      <c r="AE193" s="302">
        <f t="shared" si="21"/>
        <v>0.875</v>
      </c>
      <c r="AF193" s="63">
        <v>0</v>
      </c>
      <c r="AG193" s="17">
        <v>0</v>
      </c>
      <c r="AH193" s="17">
        <v>1.6</v>
      </c>
      <c r="AI193" s="17">
        <v>1.6</v>
      </c>
      <c r="AJ193" s="17">
        <v>3.4</v>
      </c>
      <c r="AK193" s="109"/>
      <c r="AL193" s="109"/>
      <c r="AM193" s="147">
        <f t="shared" si="29"/>
        <v>0</v>
      </c>
      <c r="AN193" s="18" t="s">
        <v>758</v>
      </c>
      <c r="AO193" s="18" t="s">
        <v>760</v>
      </c>
      <c r="AP193" s="10" t="s">
        <v>139</v>
      </c>
    </row>
    <row r="194" spans="1:42" hidden="1" x14ac:dyDescent="0.3">
      <c r="A194" s="9" t="s">
        <v>30</v>
      </c>
      <c r="B194" s="10" t="s">
        <v>31</v>
      </c>
      <c r="C194" s="11" t="s">
        <v>32</v>
      </c>
      <c r="D194" s="12" t="s">
        <v>33</v>
      </c>
      <c r="E194" s="11" t="s">
        <v>34</v>
      </c>
      <c r="F194" s="12" t="s">
        <v>35</v>
      </c>
      <c r="G194" s="11" t="s">
        <v>766</v>
      </c>
      <c r="H194" s="12" t="s">
        <v>767</v>
      </c>
      <c r="I194" s="12"/>
      <c r="J194" s="12"/>
      <c r="K194" s="11" t="s">
        <v>768</v>
      </c>
      <c r="L194" s="12" t="s">
        <v>769</v>
      </c>
      <c r="M194" s="10" t="s">
        <v>770</v>
      </c>
      <c r="N194" s="15"/>
      <c r="O194" s="37">
        <v>0.1</v>
      </c>
      <c r="P194" s="38">
        <v>0.2</v>
      </c>
      <c r="Q194" s="38">
        <v>0.3</v>
      </c>
      <c r="R194" s="120">
        <v>0.4</v>
      </c>
      <c r="S194" s="120">
        <v>0.5</v>
      </c>
      <c r="T194" s="39" t="s">
        <v>771</v>
      </c>
      <c r="U194" s="283" t="s">
        <v>773</v>
      </c>
      <c r="V194" s="18" t="s">
        <v>772</v>
      </c>
      <c r="W194" s="298">
        <v>0</v>
      </c>
      <c r="X194" s="298">
        <v>0</v>
      </c>
      <c r="Y194" s="298">
        <v>0</v>
      </c>
      <c r="Z194" s="299">
        <v>1</v>
      </c>
      <c r="AA194" s="299">
        <v>1</v>
      </c>
      <c r="AB194" s="300">
        <v>0</v>
      </c>
      <c r="AC194" s="301">
        <v>0</v>
      </c>
      <c r="AD194" s="301">
        <v>0</v>
      </c>
      <c r="AE194" s="302">
        <f t="shared" si="21"/>
        <v>0.25</v>
      </c>
      <c r="AF194" s="63">
        <v>0</v>
      </c>
      <c r="AG194" s="17">
        <v>0</v>
      </c>
      <c r="AH194" s="36">
        <v>0.5</v>
      </c>
      <c r="AI194" s="36">
        <v>0.5</v>
      </c>
      <c r="AJ194" s="36">
        <v>0.5</v>
      </c>
      <c r="AK194" s="124"/>
      <c r="AL194" s="124"/>
      <c r="AM194" s="17" t="e">
        <f>SUM(#REF!)</f>
        <v>#REF!</v>
      </c>
      <c r="AN194" s="18" t="s">
        <v>771</v>
      </c>
      <c r="AO194" s="18" t="s">
        <v>773</v>
      </c>
      <c r="AP194" s="16" t="s">
        <v>92</v>
      </c>
    </row>
    <row r="195" spans="1:42" x14ac:dyDescent="0.3">
      <c r="A195" s="9" t="s">
        <v>30</v>
      </c>
      <c r="B195" s="10" t="s">
        <v>31</v>
      </c>
      <c r="C195" s="11" t="s">
        <v>774</v>
      </c>
      <c r="D195" s="12" t="s">
        <v>775</v>
      </c>
      <c r="E195" s="9" t="s">
        <v>776</v>
      </c>
      <c r="F195" s="12" t="s">
        <v>777</v>
      </c>
      <c r="G195" s="11" t="s">
        <v>778</v>
      </c>
      <c r="H195" s="12" t="s">
        <v>779</v>
      </c>
      <c r="I195" s="12"/>
      <c r="J195" s="12"/>
      <c r="K195" s="11" t="s">
        <v>780</v>
      </c>
      <c r="L195" s="12" t="s">
        <v>781</v>
      </c>
      <c r="M195" s="10" t="s">
        <v>782</v>
      </c>
      <c r="N195" s="15">
        <v>0</v>
      </c>
      <c r="O195" s="21">
        <v>20</v>
      </c>
      <c r="P195" s="21">
        <v>50</v>
      </c>
      <c r="Q195" s="21">
        <v>50</v>
      </c>
      <c r="R195" s="129">
        <v>10</v>
      </c>
      <c r="S195" s="129">
        <v>10</v>
      </c>
      <c r="T195" s="12" t="s">
        <v>92</v>
      </c>
      <c r="U195" s="283" t="s">
        <v>118</v>
      </c>
      <c r="V195" s="10" t="s">
        <v>783</v>
      </c>
      <c r="W195" s="298">
        <v>1</v>
      </c>
      <c r="X195" s="298">
        <v>1</v>
      </c>
      <c r="Y195" s="298">
        <v>1</v>
      </c>
      <c r="Z195" s="299">
        <v>1</v>
      </c>
      <c r="AA195" s="299">
        <v>1</v>
      </c>
      <c r="AB195" s="300">
        <v>1</v>
      </c>
      <c r="AC195" s="301">
        <v>1</v>
      </c>
      <c r="AD195" s="301">
        <v>0</v>
      </c>
      <c r="AE195" s="302">
        <f t="shared" si="21"/>
        <v>0.875</v>
      </c>
      <c r="AF195" s="63">
        <v>0</v>
      </c>
      <c r="AG195" s="17">
        <v>0</v>
      </c>
      <c r="AH195" s="17">
        <v>15.5</v>
      </c>
      <c r="AI195" s="17">
        <v>20</v>
      </c>
      <c r="AJ195" s="17">
        <v>25</v>
      </c>
      <c r="AK195" s="127">
        <v>5</v>
      </c>
      <c r="AL195" s="127">
        <v>5</v>
      </c>
      <c r="AM195" s="147">
        <f t="shared" ref="AM195:AM200" si="30">SUM(AK195:AL195)</f>
        <v>10</v>
      </c>
      <c r="AN195" s="18" t="s">
        <v>784</v>
      </c>
      <c r="AO195" s="18" t="s">
        <v>350</v>
      </c>
      <c r="AP195" s="10" t="s">
        <v>785</v>
      </c>
    </row>
    <row r="196" spans="1:42" x14ac:dyDescent="0.3">
      <c r="A196" s="9" t="s">
        <v>30</v>
      </c>
      <c r="B196" s="10" t="s">
        <v>31</v>
      </c>
      <c r="C196" s="11" t="s">
        <v>774</v>
      </c>
      <c r="D196" s="12" t="s">
        <v>775</v>
      </c>
      <c r="E196" s="9" t="s">
        <v>776</v>
      </c>
      <c r="F196" s="12" t="s">
        <v>777</v>
      </c>
      <c r="G196" s="11" t="s">
        <v>778</v>
      </c>
      <c r="H196" s="12" t="s">
        <v>779</v>
      </c>
      <c r="I196" s="12"/>
      <c r="J196" s="12"/>
      <c r="K196" s="11" t="s">
        <v>786</v>
      </c>
      <c r="L196" s="12" t="s">
        <v>787</v>
      </c>
      <c r="M196" s="10" t="s">
        <v>788</v>
      </c>
      <c r="N196" s="15">
        <v>0</v>
      </c>
      <c r="O196" s="21">
        <v>7739</v>
      </c>
      <c r="P196" s="21">
        <v>7739</v>
      </c>
      <c r="Q196" s="21">
        <v>7739</v>
      </c>
      <c r="R196" s="129">
        <v>4000</v>
      </c>
      <c r="S196" s="129">
        <v>4000</v>
      </c>
      <c r="T196" s="12" t="s">
        <v>92</v>
      </c>
      <c r="U196" s="283" t="s">
        <v>118</v>
      </c>
      <c r="V196" s="10" t="s">
        <v>789</v>
      </c>
      <c r="W196" s="298">
        <v>1</v>
      </c>
      <c r="X196" s="298">
        <v>1</v>
      </c>
      <c r="Y196" s="298">
        <v>1</v>
      </c>
      <c r="Z196" s="299">
        <v>1</v>
      </c>
      <c r="AA196" s="299">
        <v>1</v>
      </c>
      <c r="AB196" s="300">
        <v>1</v>
      </c>
      <c r="AC196" s="301">
        <v>1</v>
      </c>
      <c r="AD196" s="301">
        <v>0</v>
      </c>
      <c r="AE196" s="302">
        <f t="shared" si="21"/>
        <v>0.875</v>
      </c>
      <c r="AF196" s="63">
        <v>0</v>
      </c>
      <c r="AG196" s="17">
        <v>0</v>
      </c>
      <c r="AH196" s="17">
        <v>5</v>
      </c>
      <c r="AI196" s="17">
        <v>5</v>
      </c>
      <c r="AJ196" s="17">
        <v>5</v>
      </c>
      <c r="AK196" s="127">
        <v>1</v>
      </c>
      <c r="AL196" s="127">
        <v>1</v>
      </c>
      <c r="AM196" s="147">
        <f t="shared" si="30"/>
        <v>2</v>
      </c>
      <c r="AN196" s="10" t="s">
        <v>265</v>
      </c>
      <c r="AO196" s="18" t="s">
        <v>350</v>
      </c>
      <c r="AP196" s="10" t="s">
        <v>790</v>
      </c>
    </row>
    <row r="197" spans="1:42" x14ac:dyDescent="0.3">
      <c r="A197" s="9" t="s">
        <v>30</v>
      </c>
      <c r="B197" s="10" t="s">
        <v>31</v>
      </c>
      <c r="C197" s="11" t="s">
        <v>774</v>
      </c>
      <c r="D197" s="12" t="s">
        <v>775</v>
      </c>
      <c r="E197" s="9" t="s">
        <v>776</v>
      </c>
      <c r="F197" s="12" t="s">
        <v>777</v>
      </c>
      <c r="G197" s="11" t="s">
        <v>778</v>
      </c>
      <c r="H197" s="12" t="s">
        <v>779</v>
      </c>
      <c r="I197" s="12"/>
      <c r="J197" s="12"/>
      <c r="K197" s="11" t="s">
        <v>786</v>
      </c>
      <c r="L197" s="12" t="s">
        <v>787</v>
      </c>
      <c r="M197" s="10" t="s">
        <v>791</v>
      </c>
      <c r="N197" s="15">
        <v>0</v>
      </c>
      <c r="O197" s="21"/>
      <c r="P197" s="21">
        <v>276</v>
      </c>
      <c r="Q197" s="21">
        <v>276</v>
      </c>
      <c r="R197" s="115">
        <v>276</v>
      </c>
      <c r="S197" s="115"/>
      <c r="T197" s="12" t="s">
        <v>92</v>
      </c>
      <c r="U197" s="283" t="s">
        <v>118</v>
      </c>
      <c r="V197" s="10" t="s">
        <v>792</v>
      </c>
      <c r="W197" s="298">
        <v>1</v>
      </c>
      <c r="X197" s="298">
        <v>1</v>
      </c>
      <c r="Y197" s="298">
        <v>1</v>
      </c>
      <c r="Z197" s="299">
        <v>1</v>
      </c>
      <c r="AA197" s="299">
        <v>1</v>
      </c>
      <c r="AB197" s="300">
        <v>1</v>
      </c>
      <c r="AC197" s="301">
        <v>1</v>
      </c>
      <c r="AD197" s="301">
        <v>0</v>
      </c>
      <c r="AE197" s="302">
        <f t="shared" si="21"/>
        <v>0.875</v>
      </c>
      <c r="AF197" s="63">
        <v>0</v>
      </c>
      <c r="AG197" s="17">
        <v>0</v>
      </c>
      <c r="AH197" s="17"/>
      <c r="AI197" s="17"/>
      <c r="AJ197" s="17"/>
      <c r="AK197" s="109"/>
      <c r="AL197" s="109"/>
      <c r="AM197" s="147">
        <f t="shared" si="30"/>
        <v>0</v>
      </c>
      <c r="AN197" s="10" t="s">
        <v>265</v>
      </c>
      <c r="AO197" s="18" t="s">
        <v>350</v>
      </c>
      <c r="AP197" s="10" t="s">
        <v>790</v>
      </c>
    </row>
    <row r="198" spans="1:42" x14ac:dyDescent="0.3">
      <c r="A198" s="9" t="s">
        <v>30</v>
      </c>
      <c r="B198" s="10" t="s">
        <v>31</v>
      </c>
      <c r="C198" s="11" t="s">
        <v>774</v>
      </c>
      <c r="D198" s="12" t="s">
        <v>775</v>
      </c>
      <c r="E198" s="9" t="s">
        <v>776</v>
      </c>
      <c r="F198" s="12" t="s">
        <v>777</v>
      </c>
      <c r="G198" s="11" t="s">
        <v>778</v>
      </c>
      <c r="H198" s="12" t="s">
        <v>779</v>
      </c>
      <c r="I198" s="12"/>
      <c r="J198" s="12"/>
      <c r="K198" s="11" t="s">
        <v>786</v>
      </c>
      <c r="L198" s="12" t="s">
        <v>787</v>
      </c>
      <c r="M198" s="10" t="s">
        <v>788</v>
      </c>
      <c r="N198" s="15">
        <v>0</v>
      </c>
      <c r="O198" s="21">
        <v>1000</v>
      </c>
      <c r="P198" s="21">
        <v>1000</v>
      </c>
      <c r="Q198" s="21">
        <v>1000</v>
      </c>
      <c r="R198" s="129">
        <v>300</v>
      </c>
      <c r="S198" s="129">
        <v>300</v>
      </c>
      <c r="T198" s="12" t="s">
        <v>156</v>
      </c>
      <c r="U198" s="283" t="s">
        <v>158</v>
      </c>
      <c r="V198" s="10" t="s">
        <v>793</v>
      </c>
      <c r="W198" s="298">
        <v>1</v>
      </c>
      <c r="X198" s="298">
        <v>1</v>
      </c>
      <c r="Y198" s="298">
        <v>1</v>
      </c>
      <c r="Z198" s="299">
        <v>1</v>
      </c>
      <c r="AA198" s="299">
        <v>1</v>
      </c>
      <c r="AB198" s="300">
        <v>1</v>
      </c>
      <c r="AC198" s="301">
        <v>1</v>
      </c>
      <c r="AD198" s="301">
        <v>0</v>
      </c>
      <c r="AE198" s="302">
        <f t="shared" si="21"/>
        <v>0.875</v>
      </c>
      <c r="AF198" s="63">
        <v>0</v>
      </c>
      <c r="AG198" s="17">
        <v>0</v>
      </c>
      <c r="AH198" s="17">
        <v>5</v>
      </c>
      <c r="AI198" s="17">
        <v>5</v>
      </c>
      <c r="AJ198" s="17">
        <v>5</v>
      </c>
      <c r="AK198" s="127">
        <v>3.5</v>
      </c>
      <c r="AL198" s="127">
        <v>3.5</v>
      </c>
      <c r="AM198" s="147">
        <f t="shared" si="30"/>
        <v>7</v>
      </c>
      <c r="AN198" s="283" t="s">
        <v>156</v>
      </c>
      <c r="AO198" s="18" t="s">
        <v>158</v>
      </c>
      <c r="AP198" s="10" t="s">
        <v>794</v>
      </c>
    </row>
    <row r="199" spans="1:42" x14ac:dyDescent="0.3">
      <c r="A199" s="9" t="s">
        <v>30</v>
      </c>
      <c r="B199" s="10" t="s">
        <v>31</v>
      </c>
      <c r="C199" s="11" t="s">
        <v>774</v>
      </c>
      <c r="D199" s="12" t="s">
        <v>775</v>
      </c>
      <c r="E199" s="9" t="s">
        <v>776</v>
      </c>
      <c r="F199" s="12" t="s">
        <v>777</v>
      </c>
      <c r="G199" s="11" t="s">
        <v>778</v>
      </c>
      <c r="H199" s="12" t="s">
        <v>779</v>
      </c>
      <c r="I199" s="12"/>
      <c r="J199" s="12"/>
      <c r="K199" s="11" t="s">
        <v>795</v>
      </c>
      <c r="L199" s="12" t="s">
        <v>796</v>
      </c>
      <c r="M199" s="10" t="s">
        <v>797</v>
      </c>
      <c r="N199" s="15">
        <v>0</v>
      </c>
      <c r="O199" s="21"/>
      <c r="P199" s="21"/>
      <c r="Q199" s="21"/>
      <c r="R199" s="115">
        <v>2</v>
      </c>
      <c r="S199" s="115">
        <v>2</v>
      </c>
      <c r="T199" s="12" t="s">
        <v>798</v>
      </c>
      <c r="U199" s="283" t="s">
        <v>350</v>
      </c>
      <c r="V199" s="10" t="s">
        <v>799</v>
      </c>
      <c r="W199" s="298">
        <v>1</v>
      </c>
      <c r="X199" s="298">
        <v>1</v>
      </c>
      <c r="Y199" s="298">
        <v>1</v>
      </c>
      <c r="Z199" s="299">
        <v>1</v>
      </c>
      <c r="AA199" s="299">
        <v>1</v>
      </c>
      <c r="AB199" s="300">
        <v>1</v>
      </c>
      <c r="AC199" s="301">
        <v>1</v>
      </c>
      <c r="AD199" s="301">
        <v>1</v>
      </c>
      <c r="AE199" s="302">
        <f t="shared" ref="AE199:AE262" si="31">SUM(W199:AD199)/8</f>
        <v>1</v>
      </c>
      <c r="AF199" s="63">
        <v>0</v>
      </c>
      <c r="AG199" s="17">
        <v>0</v>
      </c>
      <c r="AH199" s="17"/>
      <c r="AI199" s="17"/>
      <c r="AJ199" s="17"/>
      <c r="AK199" s="109">
        <v>3.5</v>
      </c>
      <c r="AL199" s="109">
        <v>2</v>
      </c>
      <c r="AM199" s="147">
        <f t="shared" si="30"/>
        <v>5.5</v>
      </c>
      <c r="AN199" s="10" t="s">
        <v>619</v>
      </c>
      <c r="AO199" s="18" t="s">
        <v>350</v>
      </c>
      <c r="AP199" s="10" t="s">
        <v>800</v>
      </c>
    </row>
    <row r="200" spans="1:42" x14ac:dyDescent="0.3">
      <c r="A200" s="9" t="s">
        <v>30</v>
      </c>
      <c r="B200" s="10" t="s">
        <v>31</v>
      </c>
      <c r="C200" s="11" t="s">
        <v>774</v>
      </c>
      <c r="D200" s="12" t="s">
        <v>775</v>
      </c>
      <c r="E200" s="9" t="s">
        <v>776</v>
      </c>
      <c r="F200" s="12" t="s">
        <v>777</v>
      </c>
      <c r="G200" s="11" t="s">
        <v>778</v>
      </c>
      <c r="H200" s="12" t="s">
        <v>779</v>
      </c>
      <c r="I200" s="12"/>
      <c r="J200" s="12"/>
      <c r="K200" s="11" t="s">
        <v>801</v>
      </c>
      <c r="L200" s="12" t="s">
        <v>802</v>
      </c>
      <c r="M200" s="10" t="s">
        <v>803</v>
      </c>
      <c r="N200" s="15">
        <v>0</v>
      </c>
      <c r="O200" s="21">
        <v>1</v>
      </c>
      <c r="P200" s="21">
        <v>1</v>
      </c>
      <c r="Q200" s="21">
        <v>1</v>
      </c>
      <c r="R200" s="129">
        <v>1</v>
      </c>
      <c r="S200" s="129">
        <v>1</v>
      </c>
      <c r="T200" s="12" t="s">
        <v>180</v>
      </c>
      <c r="U200" s="283" t="s">
        <v>182</v>
      </c>
      <c r="V200" s="10" t="s">
        <v>804</v>
      </c>
      <c r="W200" s="298">
        <v>1</v>
      </c>
      <c r="X200" s="298">
        <v>1</v>
      </c>
      <c r="Y200" s="298">
        <v>1</v>
      </c>
      <c r="Z200" s="299">
        <v>1</v>
      </c>
      <c r="AA200" s="299">
        <v>1</v>
      </c>
      <c r="AB200" s="300">
        <v>1</v>
      </c>
      <c r="AC200" s="301">
        <v>1</v>
      </c>
      <c r="AD200" s="301">
        <v>1</v>
      </c>
      <c r="AE200" s="302">
        <f t="shared" si="31"/>
        <v>1</v>
      </c>
      <c r="AF200" s="63">
        <v>0</v>
      </c>
      <c r="AG200" s="17">
        <v>0</v>
      </c>
      <c r="AH200" s="17"/>
      <c r="AI200" s="17"/>
      <c r="AJ200" s="17"/>
      <c r="AK200" s="127">
        <v>0.5</v>
      </c>
      <c r="AL200" s="127">
        <v>0.5</v>
      </c>
      <c r="AM200" s="147">
        <f t="shared" si="30"/>
        <v>1</v>
      </c>
      <c r="AN200" s="10" t="s">
        <v>180</v>
      </c>
      <c r="AO200" s="18" t="s">
        <v>182</v>
      </c>
      <c r="AP200" s="10" t="s">
        <v>265</v>
      </c>
    </row>
    <row r="201" spans="1:42" hidden="1" x14ac:dyDescent="0.3">
      <c r="A201" s="9" t="s">
        <v>30</v>
      </c>
      <c r="B201" s="10" t="s">
        <v>31</v>
      </c>
      <c r="C201" s="11" t="s">
        <v>774</v>
      </c>
      <c r="D201" s="12" t="s">
        <v>775</v>
      </c>
      <c r="E201" s="9" t="s">
        <v>776</v>
      </c>
      <c r="F201" s="12" t="s">
        <v>777</v>
      </c>
      <c r="G201" s="11" t="s">
        <v>778</v>
      </c>
      <c r="H201" s="12" t="s">
        <v>779</v>
      </c>
      <c r="I201" s="12"/>
      <c r="J201" s="12"/>
      <c r="K201" s="11" t="s">
        <v>805</v>
      </c>
      <c r="L201" s="12" t="s">
        <v>806</v>
      </c>
      <c r="M201" s="10" t="s">
        <v>807</v>
      </c>
      <c r="N201" s="15">
        <v>0</v>
      </c>
      <c r="O201" s="21">
        <v>3</v>
      </c>
      <c r="P201" s="21">
        <v>2</v>
      </c>
      <c r="Q201" s="21">
        <v>3</v>
      </c>
      <c r="R201" s="115">
        <v>6</v>
      </c>
      <c r="S201" s="115">
        <v>6</v>
      </c>
      <c r="T201" s="12" t="s">
        <v>265</v>
      </c>
      <c r="U201" s="283" t="s">
        <v>350</v>
      </c>
      <c r="V201" s="10" t="s">
        <v>808</v>
      </c>
      <c r="W201" s="298">
        <v>1</v>
      </c>
      <c r="X201" s="298">
        <v>0</v>
      </c>
      <c r="Y201" s="298">
        <v>0</v>
      </c>
      <c r="Z201" s="299">
        <v>1</v>
      </c>
      <c r="AA201" s="299">
        <v>1</v>
      </c>
      <c r="AB201" s="300">
        <v>0</v>
      </c>
      <c r="AC201" s="301">
        <v>1</v>
      </c>
      <c r="AD201" s="301">
        <v>0</v>
      </c>
      <c r="AE201" s="302">
        <f t="shared" si="31"/>
        <v>0.5</v>
      </c>
      <c r="AF201" s="63">
        <v>0</v>
      </c>
      <c r="AG201" s="17">
        <v>0</v>
      </c>
      <c r="AH201" s="17"/>
      <c r="AI201" s="17"/>
      <c r="AJ201" s="17"/>
      <c r="AK201" s="109"/>
      <c r="AL201" s="109"/>
      <c r="AM201" s="17" t="e">
        <f>SUM(#REF!)</f>
        <v>#REF!</v>
      </c>
      <c r="AN201" s="10" t="s">
        <v>92</v>
      </c>
      <c r="AO201" s="18" t="s">
        <v>118</v>
      </c>
      <c r="AP201" s="10" t="s">
        <v>265</v>
      </c>
    </row>
    <row r="202" spans="1:42" x14ac:dyDescent="0.3">
      <c r="A202" s="9" t="s">
        <v>30</v>
      </c>
      <c r="B202" s="10" t="s">
        <v>31</v>
      </c>
      <c r="C202" s="11" t="s">
        <v>774</v>
      </c>
      <c r="D202" s="12" t="s">
        <v>775</v>
      </c>
      <c r="E202" s="9" t="s">
        <v>776</v>
      </c>
      <c r="F202" s="12" t="s">
        <v>777</v>
      </c>
      <c r="G202" s="11" t="s">
        <v>778</v>
      </c>
      <c r="H202" s="12" t="s">
        <v>779</v>
      </c>
      <c r="I202" s="12"/>
      <c r="J202" s="12"/>
      <c r="K202" s="11" t="s">
        <v>809</v>
      </c>
      <c r="L202" s="12" t="s">
        <v>810</v>
      </c>
      <c r="M202" s="10" t="s">
        <v>811</v>
      </c>
      <c r="N202" s="15">
        <v>0</v>
      </c>
      <c r="O202" s="21">
        <v>2</v>
      </c>
      <c r="P202" s="21">
        <v>2</v>
      </c>
      <c r="Q202" s="21">
        <v>2</v>
      </c>
      <c r="R202" s="115">
        <v>2</v>
      </c>
      <c r="S202" s="115">
        <v>2</v>
      </c>
      <c r="T202" s="12" t="s">
        <v>92</v>
      </c>
      <c r="U202" s="283" t="s">
        <v>118</v>
      </c>
      <c r="V202" s="10" t="s">
        <v>812</v>
      </c>
      <c r="W202" s="298">
        <v>1</v>
      </c>
      <c r="X202" s="298">
        <v>1</v>
      </c>
      <c r="Y202" s="298">
        <v>1</v>
      </c>
      <c r="Z202" s="299">
        <v>1</v>
      </c>
      <c r="AA202" s="299">
        <v>1</v>
      </c>
      <c r="AB202" s="300">
        <v>1</v>
      </c>
      <c r="AC202" s="301">
        <v>1</v>
      </c>
      <c r="AD202" s="301">
        <v>1</v>
      </c>
      <c r="AE202" s="302">
        <f t="shared" si="31"/>
        <v>1</v>
      </c>
      <c r="AF202" s="63">
        <v>0</v>
      </c>
      <c r="AG202" s="17">
        <v>0</v>
      </c>
      <c r="AH202" s="17">
        <v>2</v>
      </c>
      <c r="AI202" s="17">
        <v>2</v>
      </c>
      <c r="AJ202" s="17">
        <v>0.5</v>
      </c>
      <c r="AK202" s="109">
        <v>0.5</v>
      </c>
      <c r="AL202" s="109">
        <v>0.5</v>
      </c>
      <c r="AM202" s="147">
        <f t="shared" ref="AM202:AM212" si="32">SUM(AK202:AL202)</f>
        <v>1</v>
      </c>
      <c r="AN202" s="283" t="s">
        <v>265</v>
      </c>
      <c r="AO202" s="18" t="s">
        <v>350</v>
      </c>
      <c r="AP202" s="10" t="s">
        <v>813</v>
      </c>
    </row>
    <row r="203" spans="1:42" x14ac:dyDescent="0.3">
      <c r="A203" s="9" t="s">
        <v>30</v>
      </c>
      <c r="B203" s="10" t="s">
        <v>31</v>
      </c>
      <c r="C203" s="11" t="s">
        <v>774</v>
      </c>
      <c r="D203" s="12" t="s">
        <v>775</v>
      </c>
      <c r="E203" s="9" t="s">
        <v>776</v>
      </c>
      <c r="F203" s="12" t="s">
        <v>777</v>
      </c>
      <c r="G203" s="11" t="s">
        <v>778</v>
      </c>
      <c r="H203" s="12" t="s">
        <v>779</v>
      </c>
      <c r="I203" s="12"/>
      <c r="J203" s="12"/>
      <c r="K203" s="11" t="s">
        <v>814</v>
      </c>
      <c r="L203" s="12" t="s">
        <v>815</v>
      </c>
      <c r="M203" s="161" t="s">
        <v>816</v>
      </c>
      <c r="N203" s="15">
        <v>0</v>
      </c>
      <c r="O203" s="21">
        <v>4</v>
      </c>
      <c r="P203" s="21">
        <v>6</v>
      </c>
      <c r="Q203" s="21">
        <v>10</v>
      </c>
      <c r="R203" s="140">
        <v>2</v>
      </c>
      <c r="S203" s="140">
        <v>5</v>
      </c>
      <c r="T203" s="12" t="s">
        <v>92</v>
      </c>
      <c r="U203" s="283" t="s">
        <v>118</v>
      </c>
      <c r="V203" s="10" t="s">
        <v>817</v>
      </c>
      <c r="W203" s="298">
        <v>1</v>
      </c>
      <c r="X203" s="298">
        <v>1</v>
      </c>
      <c r="Y203" s="298">
        <v>1</v>
      </c>
      <c r="Z203" s="299">
        <v>1</v>
      </c>
      <c r="AA203" s="299">
        <v>1</v>
      </c>
      <c r="AB203" s="300">
        <v>1</v>
      </c>
      <c r="AC203" s="301">
        <v>1</v>
      </c>
      <c r="AD203" s="301">
        <v>1</v>
      </c>
      <c r="AE203" s="302">
        <f t="shared" si="31"/>
        <v>1</v>
      </c>
      <c r="AF203" s="63">
        <v>0</v>
      </c>
      <c r="AG203" s="17">
        <v>0</v>
      </c>
      <c r="AH203" s="17">
        <v>2</v>
      </c>
      <c r="AI203" s="17">
        <v>2.5</v>
      </c>
      <c r="AJ203" s="17">
        <v>3</v>
      </c>
      <c r="AK203" s="139">
        <v>0.2</v>
      </c>
      <c r="AL203" s="139">
        <v>0.5</v>
      </c>
      <c r="AM203" s="147">
        <f t="shared" si="32"/>
        <v>0.7</v>
      </c>
      <c r="AN203" s="10" t="s">
        <v>265</v>
      </c>
      <c r="AO203" s="18" t="s">
        <v>350</v>
      </c>
      <c r="AP203" s="10" t="s">
        <v>139</v>
      </c>
    </row>
    <row r="204" spans="1:42" x14ac:dyDescent="0.3">
      <c r="A204" s="9" t="s">
        <v>30</v>
      </c>
      <c r="B204" s="10" t="s">
        <v>31</v>
      </c>
      <c r="C204" s="11" t="s">
        <v>774</v>
      </c>
      <c r="D204" s="12" t="s">
        <v>775</v>
      </c>
      <c r="E204" s="9" t="s">
        <v>776</v>
      </c>
      <c r="F204" s="12" t="s">
        <v>777</v>
      </c>
      <c r="G204" s="11" t="s">
        <v>778</v>
      </c>
      <c r="H204" s="12" t="s">
        <v>779</v>
      </c>
      <c r="I204" s="12"/>
      <c r="J204" s="12"/>
      <c r="K204" s="11" t="s">
        <v>814</v>
      </c>
      <c r="L204" s="12" t="s">
        <v>815</v>
      </c>
      <c r="M204" s="10" t="s">
        <v>818</v>
      </c>
      <c r="N204" s="15">
        <v>0</v>
      </c>
      <c r="O204" s="17">
        <v>0</v>
      </c>
      <c r="P204" s="21">
        <v>125</v>
      </c>
      <c r="Q204" s="21">
        <v>125</v>
      </c>
      <c r="R204" s="140">
        <v>30</v>
      </c>
      <c r="S204" s="140">
        <v>30</v>
      </c>
      <c r="T204" s="12" t="s">
        <v>156</v>
      </c>
      <c r="U204" s="283" t="s">
        <v>158</v>
      </c>
      <c r="V204" s="10" t="s">
        <v>819</v>
      </c>
      <c r="W204" s="298">
        <v>1</v>
      </c>
      <c r="X204" s="298">
        <v>1</v>
      </c>
      <c r="Y204" s="298">
        <v>1</v>
      </c>
      <c r="Z204" s="299">
        <v>1</v>
      </c>
      <c r="AA204" s="299">
        <v>1</v>
      </c>
      <c r="AB204" s="300">
        <v>0</v>
      </c>
      <c r="AC204" s="301">
        <v>1</v>
      </c>
      <c r="AD204" s="301">
        <v>0</v>
      </c>
      <c r="AE204" s="302">
        <f t="shared" si="31"/>
        <v>0.75</v>
      </c>
      <c r="AF204" s="63">
        <v>0</v>
      </c>
      <c r="AG204" s="17">
        <v>0</v>
      </c>
      <c r="AH204" s="17">
        <v>0</v>
      </c>
      <c r="AI204" s="17">
        <v>10.5</v>
      </c>
      <c r="AJ204" s="17">
        <v>10.5</v>
      </c>
      <c r="AK204" s="139">
        <v>7.5</v>
      </c>
      <c r="AL204" s="139">
        <v>6</v>
      </c>
      <c r="AM204" s="147">
        <f t="shared" si="32"/>
        <v>13.5</v>
      </c>
      <c r="AN204" s="18" t="s">
        <v>156</v>
      </c>
      <c r="AO204" s="18" t="s">
        <v>158</v>
      </c>
      <c r="AP204" s="10" t="s">
        <v>820</v>
      </c>
    </row>
    <row r="205" spans="1:42" x14ac:dyDescent="0.3">
      <c r="A205" s="9" t="s">
        <v>30</v>
      </c>
      <c r="B205" s="10" t="s">
        <v>31</v>
      </c>
      <c r="C205" s="11" t="s">
        <v>774</v>
      </c>
      <c r="D205" s="12" t="s">
        <v>775</v>
      </c>
      <c r="E205" s="9" t="s">
        <v>776</v>
      </c>
      <c r="F205" s="12" t="s">
        <v>777</v>
      </c>
      <c r="G205" s="11" t="s">
        <v>778</v>
      </c>
      <c r="H205" s="12" t="s">
        <v>779</v>
      </c>
      <c r="I205" s="12"/>
      <c r="J205" s="12"/>
      <c r="K205" s="11" t="s">
        <v>814</v>
      </c>
      <c r="L205" s="12" t="s">
        <v>815</v>
      </c>
      <c r="M205" s="10" t="s">
        <v>821</v>
      </c>
      <c r="N205" s="15">
        <v>0</v>
      </c>
      <c r="O205" s="21">
        <v>3</v>
      </c>
      <c r="P205" s="21">
        <v>10</v>
      </c>
      <c r="Q205" s="21">
        <v>10</v>
      </c>
      <c r="R205" s="140">
        <v>5</v>
      </c>
      <c r="S205" s="140">
        <v>5</v>
      </c>
      <c r="T205" s="12" t="s">
        <v>326</v>
      </c>
      <c r="U205" s="283" t="s">
        <v>328</v>
      </c>
      <c r="V205" s="10" t="s">
        <v>822</v>
      </c>
      <c r="W205" s="298">
        <v>1</v>
      </c>
      <c r="X205" s="298">
        <v>1</v>
      </c>
      <c r="Y205" s="298">
        <v>1</v>
      </c>
      <c r="Z205" s="299">
        <v>1</v>
      </c>
      <c r="AA205" s="299">
        <v>1</v>
      </c>
      <c r="AB205" s="300">
        <v>1</v>
      </c>
      <c r="AC205" s="301">
        <v>1</v>
      </c>
      <c r="AD205" s="301">
        <v>0</v>
      </c>
      <c r="AE205" s="302">
        <f t="shared" si="31"/>
        <v>0.875</v>
      </c>
      <c r="AF205" s="63">
        <v>0</v>
      </c>
      <c r="AG205" s="17">
        <v>0</v>
      </c>
      <c r="AH205" s="17">
        <v>7.5</v>
      </c>
      <c r="AI205" s="17">
        <v>8.5</v>
      </c>
      <c r="AJ205" s="17">
        <v>9.5</v>
      </c>
      <c r="AK205" s="139">
        <v>10</v>
      </c>
      <c r="AL205" s="139">
        <v>8</v>
      </c>
      <c r="AM205" s="147">
        <f t="shared" si="32"/>
        <v>18</v>
      </c>
      <c r="AN205" s="18" t="s">
        <v>326</v>
      </c>
      <c r="AO205" s="18" t="s">
        <v>328</v>
      </c>
      <c r="AP205" s="10" t="s">
        <v>823</v>
      </c>
    </row>
    <row r="206" spans="1:42" x14ac:dyDescent="0.3">
      <c r="A206" s="9" t="s">
        <v>30</v>
      </c>
      <c r="B206" s="10" t="s">
        <v>31</v>
      </c>
      <c r="C206" s="11" t="s">
        <v>774</v>
      </c>
      <c r="D206" s="12" t="s">
        <v>775</v>
      </c>
      <c r="E206" s="9" t="s">
        <v>776</v>
      </c>
      <c r="F206" s="12" t="s">
        <v>777</v>
      </c>
      <c r="G206" s="11" t="s">
        <v>778</v>
      </c>
      <c r="H206" s="12" t="s">
        <v>779</v>
      </c>
      <c r="I206" s="12"/>
      <c r="J206" s="12"/>
      <c r="K206" s="11" t="s">
        <v>814</v>
      </c>
      <c r="L206" s="12" t="s">
        <v>815</v>
      </c>
      <c r="M206" s="10" t="s">
        <v>824</v>
      </c>
      <c r="N206" s="15">
        <v>0</v>
      </c>
      <c r="O206" s="21">
        <v>50</v>
      </c>
      <c r="P206" s="21">
        <v>50</v>
      </c>
      <c r="Q206" s="21">
        <v>50</v>
      </c>
      <c r="R206" s="115">
        <v>50</v>
      </c>
      <c r="S206" s="115">
        <v>50</v>
      </c>
      <c r="T206" s="12" t="s">
        <v>326</v>
      </c>
      <c r="U206" s="283" t="s">
        <v>328</v>
      </c>
      <c r="V206" s="10" t="s">
        <v>822</v>
      </c>
      <c r="W206" s="298">
        <v>1</v>
      </c>
      <c r="X206" s="298">
        <v>1</v>
      </c>
      <c r="Y206" s="298">
        <v>1</v>
      </c>
      <c r="Z206" s="299">
        <v>1</v>
      </c>
      <c r="AA206" s="299">
        <v>1</v>
      </c>
      <c r="AB206" s="300">
        <v>1</v>
      </c>
      <c r="AC206" s="301">
        <v>1</v>
      </c>
      <c r="AD206" s="301">
        <v>0</v>
      </c>
      <c r="AE206" s="302">
        <f t="shared" si="31"/>
        <v>0.875</v>
      </c>
      <c r="AF206" s="63">
        <v>0</v>
      </c>
      <c r="AG206" s="17">
        <v>0</v>
      </c>
      <c r="AH206" s="17"/>
      <c r="AI206" s="17"/>
      <c r="AJ206" s="17"/>
      <c r="AK206" s="109"/>
      <c r="AL206" s="109"/>
      <c r="AM206" s="147">
        <f t="shared" si="32"/>
        <v>0</v>
      </c>
      <c r="AN206" s="18" t="s">
        <v>326</v>
      </c>
      <c r="AO206" s="18" t="s">
        <v>328</v>
      </c>
      <c r="AP206" s="10" t="s">
        <v>823</v>
      </c>
    </row>
    <row r="207" spans="1:42" x14ac:dyDescent="0.3">
      <c r="A207" s="9" t="s">
        <v>30</v>
      </c>
      <c r="B207" s="10" t="s">
        <v>31</v>
      </c>
      <c r="C207" s="11" t="s">
        <v>774</v>
      </c>
      <c r="D207" s="12" t="s">
        <v>775</v>
      </c>
      <c r="E207" s="9" t="s">
        <v>776</v>
      </c>
      <c r="F207" s="12" t="s">
        <v>777</v>
      </c>
      <c r="G207" s="11" t="s">
        <v>778</v>
      </c>
      <c r="H207" s="12" t="s">
        <v>779</v>
      </c>
      <c r="I207" s="12"/>
      <c r="J207" s="12"/>
      <c r="K207" s="11" t="s">
        <v>814</v>
      </c>
      <c r="L207" s="12" t="s">
        <v>815</v>
      </c>
      <c r="M207" s="10" t="s">
        <v>825</v>
      </c>
      <c r="N207" s="15">
        <v>0</v>
      </c>
      <c r="O207" s="21">
        <v>150</v>
      </c>
      <c r="P207" s="21">
        <v>150</v>
      </c>
      <c r="Q207" s="21">
        <v>150</v>
      </c>
      <c r="R207" s="140">
        <v>25</v>
      </c>
      <c r="S207" s="140">
        <v>25</v>
      </c>
      <c r="T207" s="12" t="s">
        <v>326</v>
      </c>
      <c r="U207" s="283" t="s">
        <v>328</v>
      </c>
      <c r="V207" s="10" t="s">
        <v>822</v>
      </c>
      <c r="W207" s="298">
        <v>1</v>
      </c>
      <c r="X207" s="298">
        <v>1</v>
      </c>
      <c r="Y207" s="298">
        <v>1</v>
      </c>
      <c r="Z207" s="299">
        <v>1</v>
      </c>
      <c r="AA207" s="299">
        <v>1</v>
      </c>
      <c r="AB207" s="300">
        <v>1</v>
      </c>
      <c r="AC207" s="301">
        <v>1</v>
      </c>
      <c r="AD207" s="301">
        <v>0</v>
      </c>
      <c r="AE207" s="302">
        <f t="shared" si="31"/>
        <v>0.875</v>
      </c>
      <c r="AF207" s="63">
        <v>0</v>
      </c>
      <c r="AG207" s="17">
        <v>0</v>
      </c>
      <c r="AH207" s="17"/>
      <c r="AI207" s="17"/>
      <c r="AJ207" s="17"/>
      <c r="AK207" s="139">
        <v>0.4</v>
      </c>
      <c r="AL207" s="139">
        <v>0.4</v>
      </c>
      <c r="AM207" s="147">
        <f t="shared" si="32"/>
        <v>0.8</v>
      </c>
      <c r="AN207" s="18" t="s">
        <v>326</v>
      </c>
      <c r="AO207" s="18" t="s">
        <v>328</v>
      </c>
      <c r="AP207" s="10" t="s">
        <v>823</v>
      </c>
    </row>
    <row r="208" spans="1:42" x14ac:dyDescent="0.3">
      <c r="A208" s="9" t="s">
        <v>30</v>
      </c>
      <c r="B208" s="10" t="s">
        <v>31</v>
      </c>
      <c r="C208" s="11" t="s">
        <v>774</v>
      </c>
      <c r="D208" s="12" t="s">
        <v>775</v>
      </c>
      <c r="E208" s="9" t="s">
        <v>776</v>
      </c>
      <c r="F208" s="12" t="s">
        <v>777</v>
      </c>
      <c r="G208" s="11" t="s">
        <v>778</v>
      </c>
      <c r="H208" s="12" t="s">
        <v>779</v>
      </c>
      <c r="I208" s="12"/>
      <c r="J208" s="12"/>
      <c r="K208" s="11" t="s">
        <v>814</v>
      </c>
      <c r="L208" s="12" t="s">
        <v>815</v>
      </c>
      <c r="M208" s="10" t="s">
        <v>826</v>
      </c>
      <c r="N208" s="15">
        <v>0</v>
      </c>
      <c r="O208" s="17">
        <v>0</v>
      </c>
      <c r="P208" s="21">
        <v>2</v>
      </c>
      <c r="Q208" s="21">
        <v>2</v>
      </c>
      <c r="R208" s="115">
        <v>2</v>
      </c>
      <c r="S208" s="115">
        <v>1</v>
      </c>
      <c r="T208" s="12" t="s">
        <v>92</v>
      </c>
      <c r="U208" s="283" t="s">
        <v>118</v>
      </c>
      <c r="V208" s="10" t="s">
        <v>827</v>
      </c>
      <c r="W208" s="298">
        <v>1</v>
      </c>
      <c r="X208" s="298">
        <v>1</v>
      </c>
      <c r="Y208" s="298">
        <v>1</v>
      </c>
      <c r="Z208" s="299">
        <v>1</v>
      </c>
      <c r="AA208" s="299">
        <v>1</v>
      </c>
      <c r="AB208" s="300">
        <v>1</v>
      </c>
      <c r="AC208" s="301">
        <v>1</v>
      </c>
      <c r="AD208" s="301">
        <v>1</v>
      </c>
      <c r="AE208" s="302">
        <f t="shared" si="31"/>
        <v>1</v>
      </c>
      <c r="AF208" s="63">
        <v>0</v>
      </c>
      <c r="AG208" s="17">
        <v>0</v>
      </c>
      <c r="AH208" s="17">
        <v>7</v>
      </c>
      <c r="AI208" s="17">
        <v>14</v>
      </c>
      <c r="AJ208" s="17">
        <v>14</v>
      </c>
      <c r="AK208" s="139">
        <v>12</v>
      </c>
      <c r="AL208" s="139">
        <v>1.5</v>
      </c>
      <c r="AM208" s="147">
        <f t="shared" si="32"/>
        <v>13.5</v>
      </c>
      <c r="AN208" s="18" t="s">
        <v>43</v>
      </c>
      <c r="AO208" s="18" t="s">
        <v>45</v>
      </c>
      <c r="AP208" s="10" t="s">
        <v>139</v>
      </c>
    </row>
    <row r="209" spans="1:42" hidden="1" x14ac:dyDescent="0.3">
      <c r="A209" s="9" t="s">
        <v>30</v>
      </c>
      <c r="B209" s="10" t="s">
        <v>31</v>
      </c>
      <c r="C209" s="11" t="s">
        <v>774</v>
      </c>
      <c r="D209" s="12" t="s">
        <v>775</v>
      </c>
      <c r="E209" s="9" t="s">
        <v>776</v>
      </c>
      <c r="F209" s="12" t="s">
        <v>777</v>
      </c>
      <c r="G209" s="11" t="s">
        <v>778</v>
      </c>
      <c r="H209" s="12" t="s">
        <v>779</v>
      </c>
      <c r="I209" s="12"/>
      <c r="J209" s="12"/>
      <c r="K209" s="11" t="s">
        <v>828</v>
      </c>
      <c r="L209" s="12" t="s">
        <v>829</v>
      </c>
      <c r="M209" s="10" t="s">
        <v>830</v>
      </c>
      <c r="N209" s="15">
        <v>0</v>
      </c>
      <c r="O209" s="17">
        <v>0</v>
      </c>
      <c r="P209" s="16">
        <v>25</v>
      </c>
      <c r="Q209" s="16">
        <v>35</v>
      </c>
      <c r="R209" s="142">
        <v>10</v>
      </c>
      <c r="S209" s="142">
        <v>10</v>
      </c>
      <c r="T209" s="10" t="s">
        <v>831</v>
      </c>
      <c r="U209" s="283" t="s">
        <v>834</v>
      </c>
      <c r="V209" s="10" t="s">
        <v>832</v>
      </c>
      <c r="W209" s="298">
        <v>1</v>
      </c>
      <c r="X209" s="298">
        <v>0</v>
      </c>
      <c r="Y209" s="298">
        <v>0</v>
      </c>
      <c r="Z209" s="299">
        <v>1</v>
      </c>
      <c r="AA209" s="299">
        <v>1</v>
      </c>
      <c r="AB209" s="300">
        <v>1</v>
      </c>
      <c r="AC209" s="301">
        <v>1</v>
      </c>
      <c r="AD209" s="301">
        <v>0</v>
      </c>
      <c r="AE209" s="302">
        <f t="shared" si="31"/>
        <v>0.625</v>
      </c>
      <c r="AF209" s="63">
        <v>0</v>
      </c>
      <c r="AG209" s="17">
        <v>0</v>
      </c>
      <c r="AH209" s="17">
        <v>0</v>
      </c>
      <c r="AI209" s="32">
        <v>10</v>
      </c>
      <c r="AJ209" s="32">
        <v>15</v>
      </c>
      <c r="AK209" s="141">
        <v>1</v>
      </c>
      <c r="AL209" s="141">
        <v>1</v>
      </c>
      <c r="AM209" s="147">
        <f t="shared" si="32"/>
        <v>2</v>
      </c>
      <c r="AN209" s="18" t="s">
        <v>833</v>
      </c>
      <c r="AO209" s="18" t="s">
        <v>834</v>
      </c>
      <c r="AP209" s="10" t="s">
        <v>835</v>
      </c>
    </row>
    <row r="210" spans="1:42" x14ac:dyDescent="0.3">
      <c r="A210" s="9" t="s">
        <v>30</v>
      </c>
      <c r="B210" s="10" t="s">
        <v>31</v>
      </c>
      <c r="C210" s="11" t="s">
        <v>774</v>
      </c>
      <c r="D210" s="12" t="s">
        <v>775</v>
      </c>
      <c r="E210" s="9" t="s">
        <v>776</v>
      </c>
      <c r="F210" s="12" t="s">
        <v>777</v>
      </c>
      <c r="G210" s="11" t="s">
        <v>778</v>
      </c>
      <c r="H210" s="12" t="s">
        <v>779</v>
      </c>
      <c r="I210" s="12"/>
      <c r="J210" s="12"/>
      <c r="K210" s="11" t="s">
        <v>836</v>
      </c>
      <c r="L210" s="12" t="s">
        <v>837</v>
      </c>
      <c r="M210" s="10" t="s">
        <v>838</v>
      </c>
      <c r="N210" s="15">
        <v>2</v>
      </c>
      <c r="O210" s="16">
        <v>20</v>
      </c>
      <c r="P210" s="16">
        <v>80</v>
      </c>
      <c r="Q210" s="16">
        <v>100</v>
      </c>
      <c r="R210" s="110">
        <v>70</v>
      </c>
      <c r="S210" s="110">
        <v>70</v>
      </c>
      <c r="T210" s="10" t="s">
        <v>92</v>
      </c>
      <c r="U210" s="283" t="s">
        <v>118</v>
      </c>
      <c r="V210" s="10" t="s">
        <v>839</v>
      </c>
      <c r="W210" s="298">
        <v>1</v>
      </c>
      <c r="X210" s="298">
        <v>1</v>
      </c>
      <c r="Y210" s="298">
        <v>1</v>
      </c>
      <c r="Z210" s="299">
        <v>1</v>
      </c>
      <c r="AA210" s="299">
        <v>1</v>
      </c>
      <c r="AB210" s="300">
        <v>1</v>
      </c>
      <c r="AC210" s="301">
        <v>1</v>
      </c>
      <c r="AD210" s="301">
        <v>0</v>
      </c>
      <c r="AE210" s="302">
        <f t="shared" si="31"/>
        <v>0.875</v>
      </c>
      <c r="AF210" s="63">
        <v>0</v>
      </c>
      <c r="AG210" s="17">
        <v>0</v>
      </c>
      <c r="AH210" s="17">
        <v>0</v>
      </c>
      <c r="AI210" s="32">
        <v>2</v>
      </c>
      <c r="AJ210" s="32">
        <v>2</v>
      </c>
      <c r="AK210" s="141">
        <v>1.24</v>
      </c>
      <c r="AL210" s="141">
        <v>1.24</v>
      </c>
      <c r="AM210" s="147">
        <f t="shared" si="32"/>
        <v>2.48</v>
      </c>
      <c r="AN210" s="18" t="s">
        <v>336</v>
      </c>
      <c r="AO210" s="18" t="s">
        <v>118</v>
      </c>
      <c r="AP210" s="10" t="s">
        <v>840</v>
      </c>
    </row>
    <row r="211" spans="1:42" hidden="1" x14ac:dyDescent="0.3">
      <c r="A211" s="9" t="s">
        <v>30</v>
      </c>
      <c r="B211" s="10" t="s">
        <v>31</v>
      </c>
      <c r="C211" s="11" t="s">
        <v>774</v>
      </c>
      <c r="D211" s="12" t="s">
        <v>775</v>
      </c>
      <c r="E211" s="9" t="s">
        <v>776</v>
      </c>
      <c r="F211" s="12" t="s">
        <v>777</v>
      </c>
      <c r="G211" s="11" t="s">
        <v>778</v>
      </c>
      <c r="H211" s="12" t="s">
        <v>779</v>
      </c>
      <c r="I211" s="12"/>
      <c r="J211" s="12"/>
      <c r="K211" s="11" t="s">
        <v>841</v>
      </c>
      <c r="L211" s="12" t="s">
        <v>842</v>
      </c>
      <c r="M211" s="12" t="s">
        <v>843</v>
      </c>
      <c r="N211" s="22"/>
      <c r="O211" s="21">
        <v>5</v>
      </c>
      <c r="P211" s="21">
        <v>25</v>
      </c>
      <c r="Q211" s="21">
        <v>35</v>
      </c>
      <c r="R211" s="115">
        <v>45</v>
      </c>
      <c r="S211" s="115">
        <v>10</v>
      </c>
      <c r="T211" s="10" t="s">
        <v>265</v>
      </c>
      <c r="U211" s="283" t="s">
        <v>350</v>
      </c>
      <c r="V211" s="10" t="s">
        <v>844</v>
      </c>
      <c r="W211" s="298">
        <v>1</v>
      </c>
      <c r="X211" s="298">
        <v>0</v>
      </c>
      <c r="Y211" s="298">
        <v>0</v>
      </c>
      <c r="Z211" s="299">
        <v>1</v>
      </c>
      <c r="AA211" s="299">
        <v>1</v>
      </c>
      <c r="AB211" s="300">
        <v>1</v>
      </c>
      <c r="AC211" s="301">
        <v>1</v>
      </c>
      <c r="AD211" s="301">
        <v>0</v>
      </c>
      <c r="AE211" s="302">
        <f t="shared" si="31"/>
        <v>0.625</v>
      </c>
      <c r="AF211" s="63">
        <v>0</v>
      </c>
      <c r="AG211" s="17">
        <v>0</v>
      </c>
      <c r="AH211" s="17"/>
      <c r="AI211" s="17"/>
      <c r="AJ211" s="17"/>
      <c r="AK211" s="109"/>
      <c r="AL211" s="109"/>
      <c r="AM211" s="147">
        <f t="shared" si="32"/>
        <v>0</v>
      </c>
      <c r="AN211" s="10" t="s">
        <v>265</v>
      </c>
      <c r="AO211" s="18" t="s">
        <v>350</v>
      </c>
      <c r="AP211" s="10" t="s">
        <v>845</v>
      </c>
    </row>
    <row r="212" spans="1:42" hidden="1" x14ac:dyDescent="0.3">
      <c r="A212" s="9" t="s">
        <v>30</v>
      </c>
      <c r="B212" s="10" t="s">
        <v>31</v>
      </c>
      <c r="C212" s="11" t="s">
        <v>774</v>
      </c>
      <c r="D212" s="12" t="s">
        <v>775</v>
      </c>
      <c r="E212" s="9" t="s">
        <v>776</v>
      </c>
      <c r="F212" s="12" t="s">
        <v>777</v>
      </c>
      <c r="G212" s="11" t="s">
        <v>778</v>
      </c>
      <c r="H212" s="12" t="s">
        <v>779</v>
      </c>
      <c r="I212" s="12"/>
      <c r="J212" s="12"/>
      <c r="K212" s="11" t="s">
        <v>841</v>
      </c>
      <c r="L212" s="12" t="s">
        <v>842</v>
      </c>
      <c r="M212" s="12" t="s">
        <v>846</v>
      </c>
      <c r="N212" s="22">
        <v>0</v>
      </c>
      <c r="O212" s="17">
        <v>0</v>
      </c>
      <c r="P212" s="21">
        <v>7</v>
      </c>
      <c r="Q212" s="21">
        <v>7</v>
      </c>
      <c r="R212" s="115">
        <v>8</v>
      </c>
      <c r="S212" s="115">
        <v>6</v>
      </c>
      <c r="T212" s="10" t="s">
        <v>265</v>
      </c>
      <c r="U212" s="283" t="s">
        <v>350</v>
      </c>
      <c r="V212" s="10" t="s">
        <v>844</v>
      </c>
      <c r="W212" s="298">
        <v>1</v>
      </c>
      <c r="X212" s="298">
        <v>0</v>
      </c>
      <c r="Y212" s="298">
        <v>0</v>
      </c>
      <c r="Z212" s="299">
        <v>1</v>
      </c>
      <c r="AA212" s="299">
        <v>1</v>
      </c>
      <c r="AB212" s="300">
        <v>1</v>
      </c>
      <c r="AC212" s="301">
        <v>1</v>
      </c>
      <c r="AD212" s="301">
        <v>0</v>
      </c>
      <c r="AE212" s="302">
        <f t="shared" si="31"/>
        <v>0.625</v>
      </c>
      <c r="AF212" s="63">
        <v>0</v>
      </c>
      <c r="AG212" s="17">
        <v>0</v>
      </c>
      <c r="AH212" s="17">
        <v>9.5</v>
      </c>
      <c r="AI212" s="17">
        <v>9.5</v>
      </c>
      <c r="AJ212" s="17">
        <v>9.5</v>
      </c>
      <c r="AK212" s="109">
        <v>0.2</v>
      </c>
      <c r="AL212" s="109"/>
      <c r="AM212" s="147">
        <f t="shared" si="32"/>
        <v>0.2</v>
      </c>
      <c r="AN212" s="283" t="s">
        <v>265</v>
      </c>
      <c r="AO212" s="18" t="s">
        <v>350</v>
      </c>
      <c r="AP212" s="10" t="s">
        <v>845</v>
      </c>
    </row>
    <row r="213" spans="1:42" hidden="1" x14ac:dyDescent="0.3">
      <c r="A213" s="9" t="s">
        <v>30</v>
      </c>
      <c r="B213" s="10" t="s">
        <v>31</v>
      </c>
      <c r="C213" s="11" t="s">
        <v>774</v>
      </c>
      <c r="D213" s="12" t="s">
        <v>775</v>
      </c>
      <c r="E213" s="9" t="s">
        <v>776</v>
      </c>
      <c r="F213" s="12" t="s">
        <v>777</v>
      </c>
      <c r="G213" s="11" t="s">
        <v>778</v>
      </c>
      <c r="H213" s="12" t="s">
        <v>779</v>
      </c>
      <c r="I213" s="12"/>
      <c r="J213" s="12"/>
      <c r="K213" s="11" t="s">
        <v>847</v>
      </c>
      <c r="L213" s="12" t="s">
        <v>848</v>
      </c>
      <c r="M213" s="10" t="s">
        <v>849</v>
      </c>
      <c r="N213" s="15">
        <v>0</v>
      </c>
      <c r="O213" s="17">
        <v>0</v>
      </c>
      <c r="P213" s="16">
        <v>1</v>
      </c>
      <c r="Q213" s="16">
        <v>1</v>
      </c>
      <c r="R213" s="110">
        <v>1</v>
      </c>
      <c r="S213" s="110">
        <v>1</v>
      </c>
      <c r="T213" s="10" t="s">
        <v>265</v>
      </c>
      <c r="U213" s="283" t="s">
        <v>350</v>
      </c>
      <c r="V213" s="108" t="s">
        <v>850</v>
      </c>
      <c r="W213" s="298">
        <v>0</v>
      </c>
      <c r="X213" s="298">
        <v>0</v>
      </c>
      <c r="Y213" s="298">
        <v>0</v>
      </c>
      <c r="Z213" s="299">
        <v>1</v>
      </c>
      <c r="AA213" s="299">
        <v>1</v>
      </c>
      <c r="AB213" s="300">
        <v>0</v>
      </c>
      <c r="AC213" s="301">
        <v>1</v>
      </c>
      <c r="AD213" s="301">
        <v>0</v>
      </c>
      <c r="AE213" s="302">
        <f t="shared" si="31"/>
        <v>0.375</v>
      </c>
      <c r="AF213" s="63">
        <v>0</v>
      </c>
      <c r="AG213" s="17">
        <v>0</v>
      </c>
      <c r="AH213" s="17">
        <v>0</v>
      </c>
      <c r="AI213" s="32">
        <v>1</v>
      </c>
      <c r="AJ213" s="32">
        <v>1</v>
      </c>
      <c r="AK213" s="123"/>
      <c r="AL213" s="123"/>
      <c r="AM213" s="17" t="e">
        <f>SUM(#REF!)</f>
        <v>#REF!</v>
      </c>
      <c r="AN213" s="10" t="s">
        <v>265</v>
      </c>
      <c r="AO213" s="18" t="s">
        <v>350</v>
      </c>
      <c r="AP213" s="10" t="s">
        <v>851</v>
      </c>
    </row>
    <row r="214" spans="1:42" x14ac:dyDescent="0.3">
      <c r="A214" s="9" t="s">
        <v>30</v>
      </c>
      <c r="B214" s="10" t="s">
        <v>31</v>
      </c>
      <c r="C214" s="11" t="s">
        <v>774</v>
      </c>
      <c r="D214" s="12" t="s">
        <v>775</v>
      </c>
      <c r="E214" s="9" t="s">
        <v>776</v>
      </c>
      <c r="F214" s="12" t="s">
        <v>777</v>
      </c>
      <c r="G214" s="11" t="s">
        <v>852</v>
      </c>
      <c r="H214" s="12" t="s">
        <v>853</v>
      </c>
      <c r="I214" s="12"/>
      <c r="J214" s="12"/>
      <c r="K214" s="11" t="s">
        <v>854</v>
      </c>
      <c r="L214" s="12" t="s">
        <v>855</v>
      </c>
      <c r="M214" s="10" t="s">
        <v>856</v>
      </c>
      <c r="N214" s="15"/>
      <c r="O214" s="21"/>
      <c r="P214" s="21"/>
      <c r="Q214" s="21"/>
      <c r="R214" s="115">
        <v>3</v>
      </c>
      <c r="S214" s="115">
        <v>4</v>
      </c>
      <c r="T214" s="10" t="s">
        <v>265</v>
      </c>
      <c r="U214" s="283" t="s">
        <v>350</v>
      </c>
      <c r="V214" s="10"/>
      <c r="W214" s="298">
        <v>1</v>
      </c>
      <c r="X214" s="298">
        <v>1</v>
      </c>
      <c r="Y214" s="298">
        <v>1</v>
      </c>
      <c r="Z214" s="298">
        <v>1</v>
      </c>
      <c r="AA214" s="298">
        <v>1</v>
      </c>
      <c r="AB214" s="298">
        <v>1</v>
      </c>
      <c r="AC214" s="298">
        <v>1</v>
      </c>
      <c r="AD214" s="301">
        <v>0</v>
      </c>
      <c r="AE214" s="302">
        <f t="shared" si="31"/>
        <v>0.875</v>
      </c>
      <c r="AF214" s="63">
        <v>0</v>
      </c>
      <c r="AG214" s="17">
        <v>0</v>
      </c>
      <c r="AH214" s="17"/>
      <c r="AI214" s="17"/>
      <c r="AJ214" s="17"/>
      <c r="AK214" s="139">
        <v>6</v>
      </c>
      <c r="AL214" s="139">
        <v>8</v>
      </c>
      <c r="AM214" s="147">
        <f t="shared" ref="AM214" si="33">SUM(AK214:AL214)</f>
        <v>14</v>
      </c>
      <c r="AN214" s="10" t="s">
        <v>265</v>
      </c>
      <c r="AO214" s="18" t="s">
        <v>350</v>
      </c>
      <c r="AP214" s="10" t="s">
        <v>92</v>
      </c>
    </row>
    <row r="215" spans="1:42" hidden="1" x14ac:dyDescent="0.3">
      <c r="A215" s="9" t="s">
        <v>30</v>
      </c>
      <c r="B215" s="10" t="s">
        <v>31</v>
      </c>
      <c r="C215" s="11" t="s">
        <v>774</v>
      </c>
      <c r="D215" s="12" t="s">
        <v>775</v>
      </c>
      <c r="E215" s="9" t="s">
        <v>776</v>
      </c>
      <c r="F215" s="12" t="s">
        <v>777</v>
      </c>
      <c r="G215" s="11" t="s">
        <v>857</v>
      </c>
      <c r="H215" s="12" t="s">
        <v>858</v>
      </c>
      <c r="I215" s="12"/>
      <c r="J215" s="12"/>
      <c r="K215" s="11" t="s">
        <v>859</v>
      </c>
      <c r="L215" s="12" t="s">
        <v>860</v>
      </c>
      <c r="M215" s="10" t="s">
        <v>861</v>
      </c>
      <c r="N215" s="15"/>
      <c r="O215" s="21"/>
      <c r="P215" s="21"/>
      <c r="Q215" s="21"/>
      <c r="R215" s="115"/>
      <c r="S215" s="115"/>
      <c r="T215" s="10" t="s">
        <v>92</v>
      </c>
      <c r="U215" s="283" t="s">
        <v>118</v>
      </c>
      <c r="V215" s="10"/>
      <c r="W215" s="298">
        <v>0</v>
      </c>
      <c r="X215" s="298">
        <v>0</v>
      </c>
      <c r="Y215" s="298">
        <v>0</v>
      </c>
      <c r="Z215" s="299">
        <v>0</v>
      </c>
      <c r="AA215" s="299">
        <v>0</v>
      </c>
      <c r="AB215" s="300">
        <v>0</v>
      </c>
      <c r="AC215" s="301">
        <v>0</v>
      </c>
      <c r="AD215" s="301">
        <v>0</v>
      </c>
      <c r="AE215" s="302">
        <f t="shared" si="31"/>
        <v>0</v>
      </c>
      <c r="AF215" s="63">
        <v>0</v>
      </c>
      <c r="AG215" s="17">
        <v>0</v>
      </c>
      <c r="AH215" s="17"/>
      <c r="AI215" s="17"/>
      <c r="AJ215" s="17"/>
      <c r="AK215" s="109"/>
      <c r="AL215" s="109"/>
      <c r="AM215" s="17" t="e">
        <f>SUM(#REF!)</f>
        <v>#REF!</v>
      </c>
      <c r="AN215" s="10" t="s">
        <v>92</v>
      </c>
      <c r="AO215" s="18" t="s">
        <v>118</v>
      </c>
      <c r="AP215" s="10" t="s">
        <v>265</v>
      </c>
    </row>
    <row r="216" spans="1:42" x14ac:dyDescent="0.3">
      <c r="A216" s="9" t="s">
        <v>30</v>
      </c>
      <c r="B216" s="10" t="s">
        <v>31</v>
      </c>
      <c r="C216" s="11" t="s">
        <v>774</v>
      </c>
      <c r="D216" s="12" t="s">
        <v>775</v>
      </c>
      <c r="E216" s="13" t="s">
        <v>862</v>
      </c>
      <c r="F216" s="12" t="s">
        <v>863</v>
      </c>
      <c r="G216" s="13" t="s">
        <v>864</v>
      </c>
      <c r="H216" s="14" t="s">
        <v>865</v>
      </c>
      <c r="I216" s="14"/>
      <c r="J216" s="14"/>
      <c r="K216" s="13" t="s">
        <v>866</v>
      </c>
      <c r="L216" s="14" t="s">
        <v>867</v>
      </c>
      <c r="M216" s="10" t="s">
        <v>868</v>
      </c>
      <c r="N216" s="15">
        <v>0</v>
      </c>
      <c r="O216" s="17">
        <v>0</v>
      </c>
      <c r="P216" s="21">
        <v>1</v>
      </c>
      <c r="Q216" s="21"/>
      <c r="R216" s="115"/>
      <c r="S216" s="115"/>
      <c r="T216" s="12" t="s">
        <v>869</v>
      </c>
      <c r="U216" s="283" t="s">
        <v>871</v>
      </c>
      <c r="V216" s="86" t="s">
        <v>870</v>
      </c>
      <c r="W216" s="298">
        <v>1</v>
      </c>
      <c r="X216" s="298">
        <v>1</v>
      </c>
      <c r="Y216" s="298">
        <v>1</v>
      </c>
      <c r="Z216" s="299">
        <v>1</v>
      </c>
      <c r="AA216" s="299">
        <v>1</v>
      </c>
      <c r="AB216" s="300">
        <v>1</v>
      </c>
      <c r="AC216" s="301">
        <v>0</v>
      </c>
      <c r="AD216" s="301">
        <v>0</v>
      </c>
      <c r="AE216" s="302">
        <f t="shared" si="31"/>
        <v>0.75</v>
      </c>
      <c r="AF216" s="63">
        <v>0</v>
      </c>
      <c r="AG216" s="17">
        <v>0</v>
      </c>
      <c r="AH216" s="17">
        <v>25</v>
      </c>
      <c r="AI216" s="17">
        <v>1.5</v>
      </c>
      <c r="AJ216" s="17">
        <v>0</v>
      </c>
      <c r="AK216" s="109">
        <v>0</v>
      </c>
      <c r="AL216" s="109">
        <v>0</v>
      </c>
      <c r="AM216" s="147">
        <f t="shared" ref="AM216:AM222" si="34">SUM(AK216:AL216)</f>
        <v>0</v>
      </c>
      <c r="AN216" s="18" t="s">
        <v>869</v>
      </c>
      <c r="AO216" s="18" t="s">
        <v>871</v>
      </c>
      <c r="AP216" s="10" t="s">
        <v>872</v>
      </c>
    </row>
    <row r="217" spans="1:42" x14ac:dyDescent="0.3">
      <c r="A217" s="9" t="s">
        <v>30</v>
      </c>
      <c r="B217" s="10" t="s">
        <v>31</v>
      </c>
      <c r="C217" s="11" t="s">
        <v>774</v>
      </c>
      <c r="D217" s="12" t="s">
        <v>775</v>
      </c>
      <c r="E217" s="13" t="s">
        <v>862</v>
      </c>
      <c r="F217" s="12" t="s">
        <v>863</v>
      </c>
      <c r="G217" s="13" t="s">
        <v>864</v>
      </c>
      <c r="H217" s="14" t="s">
        <v>865</v>
      </c>
      <c r="I217" s="14"/>
      <c r="J217" s="14"/>
      <c r="K217" s="13" t="s">
        <v>866</v>
      </c>
      <c r="L217" s="14" t="s">
        <v>867</v>
      </c>
      <c r="M217" s="10" t="s">
        <v>873</v>
      </c>
      <c r="N217" s="15">
        <v>0</v>
      </c>
      <c r="O217" s="17">
        <v>0</v>
      </c>
      <c r="P217" s="21">
        <v>2</v>
      </c>
      <c r="Q217" s="21">
        <v>2</v>
      </c>
      <c r="R217" s="115">
        <v>1</v>
      </c>
      <c r="S217" s="115">
        <v>1</v>
      </c>
      <c r="T217" s="12" t="s">
        <v>869</v>
      </c>
      <c r="U217" s="283" t="s">
        <v>871</v>
      </c>
      <c r="V217" s="10" t="s">
        <v>870</v>
      </c>
      <c r="W217" s="298">
        <v>1</v>
      </c>
      <c r="X217" s="298">
        <v>1</v>
      </c>
      <c r="Y217" s="298">
        <v>1</v>
      </c>
      <c r="Z217" s="299">
        <v>1</v>
      </c>
      <c r="AA217" s="299">
        <v>1</v>
      </c>
      <c r="AB217" s="300">
        <v>1</v>
      </c>
      <c r="AC217" s="301">
        <v>1</v>
      </c>
      <c r="AD217" s="301">
        <v>1</v>
      </c>
      <c r="AE217" s="302">
        <f t="shared" si="31"/>
        <v>1</v>
      </c>
      <c r="AF217" s="63">
        <v>0</v>
      </c>
      <c r="AG217" s="17">
        <v>0</v>
      </c>
      <c r="AH217" s="17"/>
      <c r="AI217" s="17"/>
      <c r="AJ217" s="17"/>
      <c r="AK217" s="139">
        <v>7</v>
      </c>
      <c r="AL217" s="139">
        <v>7</v>
      </c>
      <c r="AM217" s="147">
        <f t="shared" si="34"/>
        <v>14</v>
      </c>
      <c r="AN217" s="18" t="s">
        <v>869</v>
      </c>
      <c r="AO217" s="18" t="s">
        <v>871</v>
      </c>
      <c r="AP217" s="10" t="s">
        <v>872</v>
      </c>
    </row>
    <row r="218" spans="1:42" x14ac:dyDescent="0.3">
      <c r="A218" s="9" t="s">
        <v>30</v>
      </c>
      <c r="B218" s="10" t="s">
        <v>31</v>
      </c>
      <c r="C218" s="11" t="s">
        <v>774</v>
      </c>
      <c r="D218" s="12" t="s">
        <v>775</v>
      </c>
      <c r="E218" s="13" t="s">
        <v>862</v>
      </c>
      <c r="F218" s="12" t="s">
        <v>863</v>
      </c>
      <c r="G218" s="11" t="s">
        <v>864</v>
      </c>
      <c r="H218" s="12" t="s">
        <v>865</v>
      </c>
      <c r="I218" s="14"/>
      <c r="J218" s="14"/>
      <c r="K218" s="13" t="s">
        <v>874</v>
      </c>
      <c r="L218" s="14" t="s">
        <v>875</v>
      </c>
      <c r="M218" s="10" t="s">
        <v>876</v>
      </c>
      <c r="N218" s="15">
        <v>0</v>
      </c>
      <c r="O218" s="17">
        <v>0</v>
      </c>
      <c r="P218" s="21"/>
      <c r="Q218" s="21"/>
      <c r="R218" s="115"/>
      <c r="S218" s="115"/>
      <c r="T218" s="12" t="s">
        <v>877</v>
      </c>
      <c r="U218" s="283" t="s">
        <v>880</v>
      </c>
      <c r="V218" s="10" t="s">
        <v>878</v>
      </c>
      <c r="W218" s="298">
        <v>1</v>
      </c>
      <c r="X218" s="298">
        <v>1</v>
      </c>
      <c r="Y218" s="298">
        <v>1</v>
      </c>
      <c r="Z218" s="299">
        <v>1</v>
      </c>
      <c r="AA218" s="299">
        <v>1</v>
      </c>
      <c r="AB218" s="300">
        <v>1</v>
      </c>
      <c r="AC218" s="301">
        <v>1</v>
      </c>
      <c r="AD218" s="301">
        <v>1</v>
      </c>
      <c r="AE218" s="302">
        <f t="shared" si="31"/>
        <v>1</v>
      </c>
      <c r="AF218" s="63">
        <v>0</v>
      </c>
      <c r="AG218" s="17">
        <v>0</v>
      </c>
      <c r="AH218" s="17">
        <v>2.5</v>
      </c>
      <c r="AI218" s="17">
        <v>1.35</v>
      </c>
      <c r="AJ218" s="17">
        <v>2.4500000000000002</v>
      </c>
      <c r="AK218" s="139"/>
      <c r="AL218" s="139">
        <v>1.67</v>
      </c>
      <c r="AM218" s="147">
        <f t="shared" si="34"/>
        <v>1.67</v>
      </c>
      <c r="AN218" s="18" t="s">
        <v>879</v>
      </c>
      <c r="AO218" s="18" t="s">
        <v>880</v>
      </c>
      <c r="AP218" s="10" t="s">
        <v>881</v>
      </c>
    </row>
    <row r="219" spans="1:42" x14ac:dyDescent="0.3">
      <c r="A219" s="9" t="s">
        <v>30</v>
      </c>
      <c r="B219" s="10" t="s">
        <v>31</v>
      </c>
      <c r="C219" s="11" t="s">
        <v>774</v>
      </c>
      <c r="D219" s="12" t="s">
        <v>775</v>
      </c>
      <c r="E219" s="13" t="s">
        <v>862</v>
      </c>
      <c r="F219" s="12" t="s">
        <v>863</v>
      </c>
      <c r="G219" s="11" t="s">
        <v>864</v>
      </c>
      <c r="H219" s="12" t="s">
        <v>865</v>
      </c>
      <c r="I219" s="14"/>
      <c r="J219" s="14"/>
      <c r="K219" s="13" t="s">
        <v>882</v>
      </c>
      <c r="L219" s="14" t="s">
        <v>883</v>
      </c>
      <c r="M219" s="10" t="s">
        <v>884</v>
      </c>
      <c r="N219" s="15">
        <v>0</v>
      </c>
      <c r="O219" s="17">
        <v>0</v>
      </c>
      <c r="P219" s="16">
        <v>2</v>
      </c>
      <c r="Q219" s="16">
        <v>2</v>
      </c>
      <c r="R219" s="110">
        <v>1</v>
      </c>
      <c r="S219" s="110">
        <v>1</v>
      </c>
      <c r="T219" s="10" t="s">
        <v>359</v>
      </c>
      <c r="U219" s="283" t="s">
        <v>361</v>
      </c>
      <c r="V219" s="10" t="s">
        <v>885</v>
      </c>
      <c r="W219" s="298">
        <v>1</v>
      </c>
      <c r="X219" s="298">
        <v>1</v>
      </c>
      <c r="Y219" s="298">
        <v>1</v>
      </c>
      <c r="Z219" s="299">
        <v>1</v>
      </c>
      <c r="AA219" s="299">
        <v>1</v>
      </c>
      <c r="AB219" s="300">
        <v>1</v>
      </c>
      <c r="AC219" s="301">
        <v>1</v>
      </c>
      <c r="AD219" s="301">
        <v>0</v>
      </c>
      <c r="AE219" s="302">
        <f t="shared" si="31"/>
        <v>0.875</v>
      </c>
      <c r="AF219" s="63">
        <v>0</v>
      </c>
      <c r="AG219" s="17">
        <v>0</v>
      </c>
      <c r="AH219" s="17">
        <v>0</v>
      </c>
      <c r="AI219" s="32">
        <v>32.5</v>
      </c>
      <c r="AJ219" s="32">
        <v>32.5</v>
      </c>
      <c r="AK219" s="141">
        <v>15</v>
      </c>
      <c r="AL219" s="141">
        <v>15</v>
      </c>
      <c r="AM219" s="147">
        <f t="shared" si="34"/>
        <v>30</v>
      </c>
      <c r="AN219" s="18" t="s">
        <v>359</v>
      </c>
      <c r="AO219" s="18" t="s">
        <v>361</v>
      </c>
      <c r="AP219" s="10" t="s">
        <v>886</v>
      </c>
    </row>
    <row r="220" spans="1:42" hidden="1" x14ac:dyDescent="0.3">
      <c r="A220" s="9" t="s">
        <v>30</v>
      </c>
      <c r="B220" s="10" t="s">
        <v>31</v>
      </c>
      <c r="C220" s="11" t="s">
        <v>774</v>
      </c>
      <c r="D220" s="12" t="s">
        <v>775</v>
      </c>
      <c r="E220" s="13" t="s">
        <v>862</v>
      </c>
      <c r="F220" s="12" t="s">
        <v>863</v>
      </c>
      <c r="G220" s="11" t="s">
        <v>864</v>
      </c>
      <c r="H220" s="12" t="s">
        <v>865</v>
      </c>
      <c r="I220" s="14"/>
      <c r="J220" s="14"/>
      <c r="K220" s="9" t="s">
        <v>887</v>
      </c>
      <c r="L220" s="10" t="s">
        <v>888</v>
      </c>
      <c r="M220" s="10" t="s">
        <v>889</v>
      </c>
      <c r="N220" s="15">
        <v>0</v>
      </c>
      <c r="O220" s="21"/>
      <c r="P220" s="21">
        <v>500</v>
      </c>
      <c r="Q220" s="21">
        <v>500</v>
      </c>
      <c r="R220" s="115"/>
      <c r="S220" s="115"/>
      <c r="T220" s="12" t="s">
        <v>877</v>
      </c>
      <c r="U220" s="283" t="s">
        <v>880</v>
      </c>
      <c r="V220" s="10" t="s">
        <v>890</v>
      </c>
      <c r="W220" s="298">
        <v>1</v>
      </c>
      <c r="X220" s="298">
        <v>0</v>
      </c>
      <c r="Y220" s="298">
        <v>0</v>
      </c>
      <c r="Z220" s="299">
        <v>1</v>
      </c>
      <c r="AA220" s="299">
        <v>1</v>
      </c>
      <c r="AB220" s="300">
        <v>1</v>
      </c>
      <c r="AC220" s="301">
        <v>1</v>
      </c>
      <c r="AD220" s="301">
        <v>0</v>
      </c>
      <c r="AE220" s="302">
        <f t="shared" si="31"/>
        <v>0.625</v>
      </c>
      <c r="AF220" s="63">
        <v>1</v>
      </c>
      <c r="AG220" s="17">
        <v>0</v>
      </c>
      <c r="AH220" s="17">
        <v>5</v>
      </c>
      <c r="AI220" s="17">
        <v>5</v>
      </c>
      <c r="AJ220" s="17">
        <v>0</v>
      </c>
      <c r="AK220" s="139">
        <v>0.1</v>
      </c>
      <c r="AL220" s="109"/>
      <c r="AM220" s="147">
        <f t="shared" si="34"/>
        <v>0.1</v>
      </c>
      <c r="AN220" s="18" t="s">
        <v>879</v>
      </c>
      <c r="AO220" s="18" t="s">
        <v>880</v>
      </c>
      <c r="AP220" s="10" t="s">
        <v>891</v>
      </c>
    </row>
    <row r="221" spans="1:42" hidden="1" x14ac:dyDescent="0.3">
      <c r="A221" s="9" t="s">
        <v>30</v>
      </c>
      <c r="B221" s="10" t="s">
        <v>31</v>
      </c>
      <c r="C221" s="11" t="s">
        <v>774</v>
      </c>
      <c r="D221" s="12" t="s">
        <v>775</v>
      </c>
      <c r="E221" s="13" t="s">
        <v>862</v>
      </c>
      <c r="F221" s="12" t="s">
        <v>863</v>
      </c>
      <c r="G221" s="11" t="s">
        <v>864</v>
      </c>
      <c r="H221" s="12" t="s">
        <v>865</v>
      </c>
      <c r="I221" s="14"/>
      <c r="J221" s="14"/>
      <c r="K221" s="9" t="s">
        <v>892</v>
      </c>
      <c r="L221" s="10" t="s">
        <v>893</v>
      </c>
      <c r="M221" s="10" t="s">
        <v>894</v>
      </c>
      <c r="N221" s="15">
        <v>0</v>
      </c>
      <c r="O221" s="17">
        <v>0</v>
      </c>
      <c r="P221" s="21">
        <v>1</v>
      </c>
      <c r="Q221" s="21">
        <v>1</v>
      </c>
      <c r="R221" s="115"/>
      <c r="S221" s="140">
        <v>1</v>
      </c>
      <c r="T221" s="12" t="s">
        <v>877</v>
      </c>
      <c r="U221" s="283" t="s">
        <v>880</v>
      </c>
      <c r="V221" s="18" t="s">
        <v>895</v>
      </c>
      <c r="W221" s="298">
        <v>1</v>
      </c>
      <c r="X221" s="298">
        <v>0</v>
      </c>
      <c r="Y221" s="298">
        <v>0</v>
      </c>
      <c r="Z221" s="299">
        <v>1</v>
      </c>
      <c r="AA221" s="299">
        <v>1</v>
      </c>
      <c r="AB221" s="300">
        <v>1</v>
      </c>
      <c r="AC221" s="301">
        <v>1</v>
      </c>
      <c r="AD221" s="301">
        <v>0</v>
      </c>
      <c r="AE221" s="302">
        <f t="shared" si="31"/>
        <v>0.625</v>
      </c>
      <c r="AF221" s="63">
        <v>0</v>
      </c>
      <c r="AG221" s="17">
        <v>0</v>
      </c>
      <c r="AH221" s="17">
        <v>0</v>
      </c>
      <c r="AI221" s="17">
        <v>5</v>
      </c>
      <c r="AJ221" s="17">
        <v>5</v>
      </c>
      <c r="AK221" s="139"/>
      <c r="AL221" s="139">
        <v>8</v>
      </c>
      <c r="AM221" s="147">
        <f t="shared" si="34"/>
        <v>8</v>
      </c>
      <c r="AN221" s="18" t="s">
        <v>879</v>
      </c>
      <c r="AO221" s="18" t="s">
        <v>880</v>
      </c>
      <c r="AP221" s="10" t="s">
        <v>896</v>
      </c>
    </row>
    <row r="222" spans="1:42" hidden="1" x14ac:dyDescent="0.3">
      <c r="A222" s="9" t="s">
        <v>30</v>
      </c>
      <c r="B222" s="10" t="s">
        <v>31</v>
      </c>
      <c r="C222" s="11" t="s">
        <v>774</v>
      </c>
      <c r="D222" s="12" t="s">
        <v>775</v>
      </c>
      <c r="E222" s="13" t="s">
        <v>862</v>
      </c>
      <c r="F222" s="12" t="s">
        <v>863</v>
      </c>
      <c r="G222" s="11" t="s">
        <v>897</v>
      </c>
      <c r="H222" s="12" t="s">
        <v>898</v>
      </c>
      <c r="I222" s="12" t="s">
        <v>899</v>
      </c>
      <c r="J222" s="12" t="s">
        <v>900</v>
      </c>
      <c r="K222" s="11" t="s">
        <v>901</v>
      </c>
      <c r="L222" s="12" t="s">
        <v>902</v>
      </c>
      <c r="M222" s="10" t="s">
        <v>903</v>
      </c>
      <c r="N222" s="15">
        <v>0</v>
      </c>
      <c r="O222" s="17">
        <v>0</v>
      </c>
      <c r="P222" s="16">
        <v>3</v>
      </c>
      <c r="Q222" s="16">
        <v>3</v>
      </c>
      <c r="R222" s="110">
        <v>1</v>
      </c>
      <c r="S222" s="110">
        <v>1</v>
      </c>
      <c r="T222" s="10" t="s">
        <v>869</v>
      </c>
      <c r="U222" s="283" t="s">
        <v>871</v>
      </c>
      <c r="V222" s="10" t="s">
        <v>904</v>
      </c>
      <c r="W222" s="298">
        <v>1</v>
      </c>
      <c r="X222" s="298">
        <v>0</v>
      </c>
      <c r="Y222" s="298">
        <v>0</v>
      </c>
      <c r="Z222" s="299">
        <v>1</v>
      </c>
      <c r="AA222" s="299">
        <v>1</v>
      </c>
      <c r="AB222" s="300">
        <v>1</v>
      </c>
      <c r="AC222" s="301">
        <v>1</v>
      </c>
      <c r="AD222" s="301">
        <v>0</v>
      </c>
      <c r="AE222" s="302">
        <f t="shared" si="31"/>
        <v>0.625</v>
      </c>
      <c r="AF222" s="63">
        <v>0</v>
      </c>
      <c r="AG222" s="17">
        <v>0</v>
      </c>
      <c r="AH222" s="17">
        <v>0</v>
      </c>
      <c r="AI222" s="32">
        <v>0.2</v>
      </c>
      <c r="AJ222" s="32">
        <v>0.5</v>
      </c>
      <c r="AK222" s="141">
        <v>0.3</v>
      </c>
      <c r="AL222" s="141">
        <v>0.3</v>
      </c>
      <c r="AM222" s="147">
        <f t="shared" si="34"/>
        <v>0.6</v>
      </c>
      <c r="AN222" s="18" t="s">
        <v>869</v>
      </c>
      <c r="AO222" s="18" t="s">
        <v>871</v>
      </c>
      <c r="AP222" s="10" t="s">
        <v>905</v>
      </c>
    </row>
    <row r="223" spans="1:42" hidden="1" x14ac:dyDescent="0.3">
      <c r="A223" s="9" t="s">
        <v>30</v>
      </c>
      <c r="B223" s="10" t="s">
        <v>31</v>
      </c>
      <c r="C223" s="11" t="s">
        <v>774</v>
      </c>
      <c r="D223" s="12" t="s">
        <v>775</v>
      </c>
      <c r="E223" s="13" t="s">
        <v>862</v>
      </c>
      <c r="F223" s="12" t="s">
        <v>863</v>
      </c>
      <c r="G223" s="11" t="s">
        <v>897</v>
      </c>
      <c r="H223" s="12" t="s">
        <v>898</v>
      </c>
      <c r="I223" s="12" t="s">
        <v>899</v>
      </c>
      <c r="J223" s="12" t="s">
        <v>900</v>
      </c>
      <c r="K223" s="11" t="s">
        <v>906</v>
      </c>
      <c r="L223" s="12" t="s">
        <v>907</v>
      </c>
      <c r="M223" s="10" t="s">
        <v>908</v>
      </c>
      <c r="N223" s="15">
        <v>0</v>
      </c>
      <c r="O223" s="17">
        <v>0</v>
      </c>
      <c r="P223" s="16">
        <v>300</v>
      </c>
      <c r="Q223" s="16">
        <v>300</v>
      </c>
      <c r="R223" s="110">
        <v>300</v>
      </c>
      <c r="S223" s="110">
        <v>300</v>
      </c>
      <c r="T223" s="10" t="s">
        <v>265</v>
      </c>
      <c r="U223" s="283" t="s">
        <v>350</v>
      </c>
      <c r="V223" s="10" t="s">
        <v>909</v>
      </c>
      <c r="W223" s="298">
        <v>1</v>
      </c>
      <c r="X223" s="298">
        <v>0</v>
      </c>
      <c r="Y223" s="298">
        <v>0</v>
      </c>
      <c r="Z223" s="299">
        <v>1</v>
      </c>
      <c r="AA223" s="299">
        <v>1</v>
      </c>
      <c r="AB223" s="300">
        <v>0</v>
      </c>
      <c r="AC223" s="301">
        <v>0</v>
      </c>
      <c r="AD223" s="301">
        <v>0</v>
      </c>
      <c r="AE223" s="302">
        <f t="shared" si="31"/>
        <v>0.375</v>
      </c>
      <c r="AF223" s="63">
        <v>0</v>
      </c>
      <c r="AG223" s="17">
        <v>0</v>
      </c>
      <c r="AH223" s="17">
        <v>0</v>
      </c>
      <c r="AI223" s="32">
        <v>1</v>
      </c>
      <c r="AJ223" s="32">
        <v>1</v>
      </c>
      <c r="AK223" s="123"/>
      <c r="AL223" s="123"/>
      <c r="AM223" s="17" t="e">
        <f>SUM(#REF!)</f>
        <v>#REF!</v>
      </c>
      <c r="AN223" s="283" t="s">
        <v>265</v>
      </c>
      <c r="AO223" s="18" t="s">
        <v>350</v>
      </c>
      <c r="AP223" s="10" t="s">
        <v>910</v>
      </c>
    </row>
    <row r="224" spans="1:42" hidden="1" x14ac:dyDescent="0.3">
      <c r="A224" s="9" t="s">
        <v>30</v>
      </c>
      <c r="B224" s="10" t="s">
        <v>31</v>
      </c>
      <c r="C224" s="11" t="s">
        <v>774</v>
      </c>
      <c r="D224" s="12" t="s">
        <v>775</v>
      </c>
      <c r="E224" s="13" t="s">
        <v>862</v>
      </c>
      <c r="F224" s="12" t="s">
        <v>863</v>
      </c>
      <c r="G224" s="11" t="s">
        <v>897</v>
      </c>
      <c r="H224" s="12" t="s">
        <v>898</v>
      </c>
      <c r="I224" s="12" t="s">
        <v>911</v>
      </c>
      <c r="J224" s="12" t="s">
        <v>912</v>
      </c>
      <c r="K224" s="11" t="s">
        <v>913</v>
      </c>
      <c r="L224" s="12" t="s">
        <v>914</v>
      </c>
      <c r="M224" s="12" t="s">
        <v>915</v>
      </c>
      <c r="N224" s="15"/>
      <c r="O224" s="17"/>
      <c r="P224" s="16"/>
      <c r="Q224" s="16"/>
      <c r="R224" s="110"/>
      <c r="S224" s="110"/>
      <c r="T224" s="10" t="s">
        <v>723</v>
      </c>
      <c r="U224" s="283" t="s">
        <v>729</v>
      </c>
      <c r="V224" s="10"/>
      <c r="W224" s="298">
        <v>1</v>
      </c>
      <c r="X224" s="298">
        <v>0</v>
      </c>
      <c r="Y224" s="298">
        <v>0</v>
      </c>
      <c r="Z224" s="299">
        <v>1</v>
      </c>
      <c r="AA224" s="299">
        <v>1</v>
      </c>
      <c r="AB224" s="300">
        <v>0</v>
      </c>
      <c r="AC224" s="301">
        <v>0</v>
      </c>
      <c r="AD224" s="301">
        <v>0</v>
      </c>
      <c r="AE224" s="302">
        <f t="shared" si="31"/>
        <v>0.375</v>
      </c>
      <c r="AF224" s="63">
        <v>0</v>
      </c>
      <c r="AG224" s="17">
        <v>0</v>
      </c>
      <c r="AH224" s="17"/>
      <c r="AI224" s="17"/>
      <c r="AJ224" s="17"/>
      <c r="AK224" s="109"/>
      <c r="AL224" s="109"/>
      <c r="AM224" s="17" t="e">
        <f>SUM(#REF!)</f>
        <v>#REF!</v>
      </c>
      <c r="AN224" s="18" t="s">
        <v>723</v>
      </c>
      <c r="AO224" s="18" t="s">
        <v>729</v>
      </c>
      <c r="AP224" s="10"/>
    </row>
    <row r="225" spans="1:42" hidden="1" x14ac:dyDescent="0.3">
      <c r="A225" s="9" t="s">
        <v>30</v>
      </c>
      <c r="B225" s="10" t="s">
        <v>31</v>
      </c>
      <c r="C225" s="11" t="s">
        <v>774</v>
      </c>
      <c r="D225" s="12" t="s">
        <v>775</v>
      </c>
      <c r="E225" s="13" t="s">
        <v>862</v>
      </c>
      <c r="F225" s="12" t="s">
        <v>863</v>
      </c>
      <c r="G225" s="11" t="s">
        <v>897</v>
      </c>
      <c r="H225" s="12" t="s">
        <v>898</v>
      </c>
      <c r="I225" s="12" t="s">
        <v>916</v>
      </c>
      <c r="J225" s="12" t="s">
        <v>917</v>
      </c>
      <c r="K225" s="12" t="s">
        <v>918</v>
      </c>
      <c r="L225" s="12" t="s">
        <v>919</v>
      </c>
      <c r="M225" s="10" t="s">
        <v>920</v>
      </c>
      <c r="N225" s="15"/>
      <c r="O225" s="17"/>
      <c r="P225" s="16"/>
      <c r="Q225" s="16"/>
      <c r="R225" s="110"/>
      <c r="S225" s="110"/>
      <c r="T225" s="10" t="s">
        <v>921</v>
      </c>
      <c r="U225" s="283" t="s">
        <v>880</v>
      </c>
      <c r="V225" s="10"/>
      <c r="W225" s="298">
        <v>1</v>
      </c>
      <c r="X225" s="298">
        <v>0</v>
      </c>
      <c r="Y225" s="298">
        <v>0</v>
      </c>
      <c r="Z225" s="299">
        <v>1</v>
      </c>
      <c r="AA225" s="299">
        <v>1</v>
      </c>
      <c r="AB225" s="300">
        <v>0</v>
      </c>
      <c r="AC225" s="301">
        <v>0</v>
      </c>
      <c r="AD225" s="301">
        <v>0</v>
      </c>
      <c r="AE225" s="302">
        <f t="shared" si="31"/>
        <v>0.375</v>
      </c>
      <c r="AF225" s="63">
        <v>0</v>
      </c>
      <c r="AG225" s="17">
        <v>0</v>
      </c>
      <c r="AH225" s="17"/>
      <c r="AI225" s="17"/>
      <c r="AJ225" s="17"/>
      <c r="AK225" s="109"/>
      <c r="AL225" s="109"/>
      <c r="AM225" s="17" t="e">
        <f>SUM(#REF!)</f>
        <v>#REF!</v>
      </c>
      <c r="AN225" s="283" t="s">
        <v>921</v>
      </c>
      <c r="AO225" s="18" t="s">
        <v>880</v>
      </c>
      <c r="AP225" s="10"/>
    </row>
    <row r="226" spans="1:42" s="300" customFormat="1" x14ac:dyDescent="0.3">
      <c r="A226" s="66" t="s">
        <v>30</v>
      </c>
      <c r="B226" s="67" t="s">
        <v>31</v>
      </c>
      <c r="C226" s="68" t="s">
        <v>774</v>
      </c>
      <c r="D226" s="69" t="s">
        <v>775</v>
      </c>
      <c r="E226" s="76" t="s">
        <v>862</v>
      </c>
      <c r="F226" s="69" t="s">
        <v>863</v>
      </c>
      <c r="G226" s="68" t="s">
        <v>922</v>
      </c>
      <c r="H226" s="69" t="s">
        <v>923</v>
      </c>
      <c r="I226" s="69" t="s">
        <v>924</v>
      </c>
      <c r="J226" s="69" t="s">
        <v>925</v>
      </c>
      <c r="K226" s="77" t="s">
        <v>926</v>
      </c>
      <c r="L226" s="74" t="s">
        <v>927</v>
      </c>
      <c r="M226" s="67" t="s">
        <v>928</v>
      </c>
      <c r="N226" s="70">
        <v>0</v>
      </c>
      <c r="O226" s="75">
        <v>1</v>
      </c>
      <c r="P226" s="75">
        <v>1</v>
      </c>
      <c r="Q226" s="75">
        <v>2</v>
      </c>
      <c r="R226" s="140">
        <v>1</v>
      </c>
      <c r="S226" s="140"/>
      <c r="T226" s="69" t="s">
        <v>619</v>
      </c>
      <c r="U226" s="300" t="e">
        <v>#N/A</v>
      </c>
      <c r="V226" s="74" t="s">
        <v>929</v>
      </c>
      <c r="W226" s="298">
        <v>1</v>
      </c>
      <c r="X226" s="298">
        <v>1</v>
      </c>
      <c r="Y226" s="298">
        <v>1</v>
      </c>
      <c r="Z226" s="299">
        <v>1</v>
      </c>
      <c r="AA226" s="299">
        <v>1</v>
      </c>
      <c r="AB226" s="300">
        <v>1</v>
      </c>
      <c r="AC226" s="301">
        <v>1</v>
      </c>
      <c r="AD226" s="301">
        <v>0</v>
      </c>
      <c r="AE226" s="305">
        <f t="shared" si="31"/>
        <v>0.875</v>
      </c>
      <c r="AF226" s="63">
        <v>0</v>
      </c>
      <c r="AG226" s="73">
        <v>0</v>
      </c>
      <c r="AH226" s="73">
        <v>14.5</v>
      </c>
      <c r="AI226" s="73">
        <v>14.5</v>
      </c>
      <c r="AJ226" s="73">
        <v>15</v>
      </c>
      <c r="AK226" s="139">
        <v>10</v>
      </c>
      <c r="AL226" s="139">
        <v>10</v>
      </c>
      <c r="AM226" s="147">
        <f t="shared" ref="AM226:AM235" si="35">SUM(AK226:AL226)</f>
        <v>20</v>
      </c>
      <c r="AN226" s="10" t="s">
        <v>619</v>
      </c>
      <c r="AO226" s="74" t="s">
        <v>350</v>
      </c>
      <c r="AP226" s="67" t="s">
        <v>930</v>
      </c>
    </row>
    <row r="227" spans="1:42" s="300" customFormat="1" x14ac:dyDescent="0.3">
      <c r="A227" s="66" t="s">
        <v>30</v>
      </c>
      <c r="B227" s="67" t="s">
        <v>31</v>
      </c>
      <c r="C227" s="68" t="s">
        <v>774</v>
      </c>
      <c r="D227" s="69" t="s">
        <v>775</v>
      </c>
      <c r="E227" s="76" t="s">
        <v>862</v>
      </c>
      <c r="F227" s="69" t="s">
        <v>863</v>
      </c>
      <c r="G227" s="68" t="s">
        <v>922</v>
      </c>
      <c r="H227" s="69" t="s">
        <v>923</v>
      </c>
      <c r="I227" s="69" t="s">
        <v>931</v>
      </c>
      <c r="J227" s="69" t="s">
        <v>932</v>
      </c>
      <c r="K227" s="66" t="s">
        <v>933</v>
      </c>
      <c r="L227" s="67" t="s">
        <v>934</v>
      </c>
      <c r="M227" s="67" t="s">
        <v>935</v>
      </c>
      <c r="N227" s="70">
        <v>0.3</v>
      </c>
      <c r="O227" s="78">
        <v>0.5</v>
      </c>
      <c r="P227" s="78">
        <v>0.75</v>
      </c>
      <c r="Q227" s="78">
        <v>1</v>
      </c>
      <c r="R227" s="115"/>
      <c r="S227" s="115"/>
      <c r="T227" s="69" t="s">
        <v>798</v>
      </c>
      <c r="U227" s="300" t="s">
        <v>350</v>
      </c>
      <c r="V227" s="67" t="s">
        <v>936</v>
      </c>
      <c r="W227" s="298">
        <v>1</v>
      </c>
      <c r="X227" s="298">
        <v>1</v>
      </c>
      <c r="Y227" s="298">
        <v>1</v>
      </c>
      <c r="Z227" s="299">
        <v>1</v>
      </c>
      <c r="AA227" s="299">
        <v>1</v>
      </c>
      <c r="AB227" s="300">
        <v>1</v>
      </c>
      <c r="AC227" s="301">
        <v>1</v>
      </c>
      <c r="AD227" s="301">
        <v>0</v>
      </c>
      <c r="AE227" s="305">
        <f t="shared" si="31"/>
        <v>0.875</v>
      </c>
      <c r="AF227" s="63">
        <v>0</v>
      </c>
      <c r="AG227" s="73">
        <v>0</v>
      </c>
      <c r="AH227" s="73">
        <v>7.5</v>
      </c>
      <c r="AI227" s="73">
        <v>2</v>
      </c>
      <c r="AJ227" s="73">
        <v>2</v>
      </c>
      <c r="AK227" s="139">
        <v>2</v>
      </c>
      <c r="AL227" s="139">
        <v>0</v>
      </c>
      <c r="AM227" s="147">
        <f t="shared" si="35"/>
        <v>2</v>
      </c>
      <c r="AN227" s="10" t="s">
        <v>619</v>
      </c>
      <c r="AO227" s="74" t="s">
        <v>350</v>
      </c>
      <c r="AP227" s="67" t="s">
        <v>937</v>
      </c>
    </row>
    <row r="228" spans="1:42" s="300" customFormat="1" x14ac:dyDescent="0.3">
      <c r="A228" s="66" t="s">
        <v>30</v>
      </c>
      <c r="B228" s="67" t="s">
        <v>31</v>
      </c>
      <c r="C228" s="68" t="s">
        <v>774</v>
      </c>
      <c r="D228" s="69" t="s">
        <v>775</v>
      </c>
      <c r="E228" s="76" t="s">
        <v>862</v>
      </c>
      <c r="F228" s="69" t="s">
        <v>863</v>
      </c>
      <c r="G228" s="68" t="s">
        <v>922</v>
      </c>
      <c r="H228" s="69" t="s">
        <v>923</v>
      </c>
      <c r="I228" s="69" t="s">
        <v>931</v>
      </c>
      <c r="J228" s="69" t="s">
        <v>932</v>
      </c>
      <c r="K228" s="66" t="s">
        <v>933</v>
      </c>
      <c r="L228" s="67" t="s">
        <v>934</v>
      </c>
      <c r="M228" s="67" t="s">
        <v>938</v>
      </c>
      <c r="N228" s="70">
        <v>0</v>
      </c>
      <c r="O228" s="73">
        <v>0</v>
      </c>
      <c r="P228" s="75">
        <v>2</v>
      </c>
      <c r="Q228" s="75"/>
      <c r="R228" s="115"/>
      <c r="S228" s="115"/>
      <c r="T228" s="69" t="s">
        <v>798</v>
      </c>
      <c r="U228" s="300" t="s">
        <v>350</v>
      </c>
      <c r="V228" s="67" t="s">
        <v>936</v>
      </c>
      <c r="W228" s="298">
        <v>1</v>
      </c>
      <c r="X228" s="298">
        <v>1</v>
      </c>
      <c r="Y228" s="298">
        <v>1</v>
      </c>
      <c r="Z228" s="299">
        <v>1</v>
      </c>
      <c r="AA228" s="299">
        <v>1</v>
      </c>
      <c r="AB228" s="300">
        <v>1</v>
      </c>
      <c r="AC228" s="301">
        <v>1</v>
      </c>
      <c r="AD228" s="301">
        <v>0</v>
      </c>
      <c r="AE228" s="305">
        <f t="shared" si="31"/>
        <v>0.875</v>
      </c>
      <c r="AF228" s="63">
        <v>0</v>
      </c>
      <c r="AG228" s="73">
        <v>0</v>
      </c>
      <c r="AH228" s="73"/>
      <c r="AI228" s="73"/>
      <c r="AJ228" s="73"/>
      <c r="AK228" s="109"/>
      <c r="AL228" s="109"/>
      <c r="AM228" s="147">
        <f t="shared" si="35"/>
        <v>0</v>
      </c>
      <c r="AN228" s="10" t="s">
        <v>619</v>
      </c>
      <c r="AO228" s="74" t="s">
        <v>350</v>
      </c>
      <c r="AP228" s="67" t="s">
        <v>937</v>
      </c>
    </row>
    <row r="229" spans="1:42" s="300" customFormat="1" x14ac:dyDescent="0.3">
      <c r="A229" s="66" t="s">
        <v>30</v>
      </c>
      <c r="B229" s="67" t="s">
        <v>31</v>
      </c>
      <c r="C229" s="68" t="s">
        <v>774</v>
      </c>
      <c r="D229" s="69" t="s">
        <v>775</v>
      </c>
      <c r="E229" s="76" t="s">
        <v>862</v>
      </c>
      <c r="F229" s="69" t="s">
        <v>863</v>
      </c>
      <c r="G229" s="68" t="s">
        <v>922</v>
      </c>
      <c r="H229" s="69" t="s">
        <v>923</v>
      </c>
      <c r="I229" s="69" t="s">
        <v>931</v>
      </c>
      <c r="J229" s="69" t="s">
        <v>932</v>
      </c>
      <c r="K229" s="66" t="s">
        <v>933</v>
      </c>
      <c r="L229" s="67" t="s">
        <v>934</v>
      </c>
      <c r="M229" s="67" t="s">
        <v>939</v>
      </c>
      <c r="N229" s="70"/>
      <c r="O229" s="73">
        <v>0</v>
      </c>
      <c r="P229" s="75"/>
      <c r="Q229" s="75">
        <v>1</v>
      </c>
      <c r="R229" s="115">
        <v>1</v>
      </c>
      <c r="S229" s="115"/>
      <c r="T229" s="69" t="s">
        <v>798</v>
      </c>
      <c r="U229" s="300" t="s">
        <v>350</v>
      </c>
      <c r="V229" s="67" t="s">
        <v>936</v>
      </c>
      <c r="W229" s="298">
        <v>1</v>
      </c>
      <c r="X229" s="298">
        <v>1</v>
      </c>
      <c r="Y229" s="298">
        <v>1</v>
      </c>
      <c r="Z229" s="299">
        <v>1</v>
      </c>
      <c r="AA229" s="299">
        <v>1</v>
      </c>
      <c r="AB229" s="300">
        <v>1</v>
      </c>
      <c r="AC229" s="301">
        <v>1</v>
      </c>
      <c r="AD229" s="301">
        <v>0</v>
      </c>
      <c r="AE229" s="305">
        <f t="shared" si="31"/>
        <v>0.875</v>
      </c>
      <c r="AF229" s="63">
        <v>0</v>
      </c>
      <c r="AG229" s="73">
        <v>0</v>
      </c>
      <c r="AH229" s="73"/>
      <c r="AI229" s="73"/>
      <c r="AJ229" s="73"/>
      <c r="AK229" s="109"/>
      <c r="AL229" s="109"/>
      <c r="AM229" s="147">
        <f t="shared" si="35"/>
        <v>0</v>
      </c>
      <c r="AN229" s="10" t="s">
        <v>619</v>
      </c>
      <c r="AO229" s="74" t="s">
        <v>350</v>
      </c>
      <c r="AP229" s="67" t="s">
        <v>937</v>
      </c>
    </row>
    <row r="230" spans="1:42" s="300" customFormat="1" x14ac:dyDescent="0.3">
      <c r="A230" s="66" t="s">
        <v>30</v>
      </c>
      <c r="B230" s="67" t="s">
        <v>31</v>
      </c>
      <c r="C230" s="68" t="s">
        <v>774</v>
      </c>
      <c r="D230" s="69" t="s">
        <v>775</v>
      </c>
      <c r="E230" s="76" t="s">
        <v>862</v>
      </c>
      <c r="F230" s="69" t="s">
        <v>863</v>
      </c>
      <c r="G230" s="68" t="s">
        <v>922</v>
      </c>
      <c r="H230" s="69" t="s">
        <v>923</v>
      </c>
      <c r="I230" s="69" t="s">
        <v>931</v>
      </c>
      <c r="J230" s="69" t="s">
        <v>932</v>
      </c>
      <c r="K230" s="66" t="s">
        <v>933</v>
      </c>
      <c r="L230" s="67" t="s">
        <v>934</v>
      </c>
      <c r="M230" s="67" t="s">
        <v>940</v>
      </c>
      <c r="N230" s="79">
        <v>0.3</v>
      </c>
      <c r="O230" s="78">
        <v>0.6</v>
      </c>
      <c r="P230" s="78">
        <v>0.8</v>
      </c>
      <c r="Q230" s="78">
        <v>1</v>
      </c>
      <c r="R230" s="121">
        <v>1</v>
      </c>
      <c r="S230" s="121">
        <v>1</v>
      </c>
      <c r="T230" s="69" t="s">
        <v>798</v>
      </c>
      <c r="U230" s="300" t="s">
        <v>350</v>
      </c>
      <c r="V230" s="67" t="s">
        <v>936</v>
      </c>
      <c r="W230" s="298">
        <v>1</v>
      </c>
      <c r="X230" s="298">
        <v>1</v>
      </c>
      <c r="Y230" s="298">
        <v>1</v>
      </c>
      <c r="Z230" s="299">
        <v>1</v>
      </c>
      <c r="AA230" s="299">
        <v>1</v>
      </c>
      <c r="AB230" s="300">
        <v>1</v>
      </c>
      <c r="AC230" s="301">
        <v>1</v>
      </c>
      <c r="AD230" s="301">
        <v>0</v>
      </c>
      <c r="AE230" s="305">
        <f t="shared" si="31"/>
        <v>0.875</v>
      </c>
      <c r="AF230" s="63">
        <v>0</v>
      </c>
      <c r="AG230" s="73">
        <v>0</v>
      </c>
      <c r="AH230" s="73"/>
      <c r="AI230" s="73"/>
      <c r="AJ230" s="73"/>
      <c r="AK230" s="109"/>
      <c r="AL230" s="109"/>
      <c r="AM230" s="147">
        <f t="shared" si="35"/>
        <v>0</v>
      </c>
      <c r="AN230" s="10" t="s">
        <v>619</v>
      </c>
      <c r="AO230" s="74" t="s">
        <v>350</v>
      </c>
      <c r="AP230" s="67" t="s">
        <v>937</v>
      </c>
    </row>
    <row r="231" spans="1:42" s="300" customFormat="1" x14ac:dyDescent="0.3">
      <c r="A231" s="66" t="s">
        <v>30</v>
      </c>
      <c r="B231" s="67" t="s">
        <v>31</v>
      </c>
      <c r="C231" s="68" t="s">
        <v>774</v>
      </c>
      <c r="D231" s="69" t="s">
        <v>775</v>
      </c>
      <c r="E231" s="76" t="s">
        <v>862</v>
      </c>
      <c r="F231" s="69" t="s">
        <v>863</v>
      </c>
      <c r="G231" s="68" t="s">
        <v>922</v>
      </c>
      <c r="H231" s="69" t="s">
        <v>923</v>
      </c>
      <c r="I231" s="69" t="s">
        <v>941</v>
      </c>
      <c r="J231" s="69" t="s">
        <v>942</v>
      </c>
      <c r="K231" s="66" t="s">
        <v>943</v>
      </c>
      <c r="L231" s="67" t="s">
        <v>944</v>
      </c>
      <c r="M231" s="67" t="s">
        <v>945</v>
      </c>
      <c r="N231" s="70"/>
      <c r="O231" s="73">
        <v>0</v>
      </c>
      <c r="P231" s="75">
        <v>1</v>
      </c>
      <c r="Q231" s="75">
        <v>1</v>
      </c>
      <c r="R231" s="115">
        <v>1</v>
      </c>
      <c r="S231" s="115"/>
      <c r="T231" s="69" t="s">
        <v>798</v>
      </c>
      <c r="U231" s="300" t="s">
        <v>350</v>
      </c>
      <c r="V231" s="67" t="s">
        <v>946</v>
      </c>
      <c r="W231" s="298">
        <v>1</v>
      </c>
      <c r="X231" s="298">
        <v>1</v>
      </c>
      <c r="Y231" s="298">
        <v>1</v>
      </c>
      <c r="Z231" s="299">
        <v>1</v>
      </c>
      <c r="AA231" s="299">
        <v>1</v>
      </c>
      <c r="AB231" s="300">
        <v>1</v>
      </c>
      <c r="AC231" s="301">
        <v>1</v>
      </c>
      <c r="AD231" s="301">
        <v>0</v>
      </c>
      <c r="AE231" s="305">
        <f t="shared" si="31"/>
        <v>0.875</v>
      </c>
      <c r="AF231" s="63">
        <v>0</v>
      </c>
      <c r="AG231" s="73">
        <v>0</v>
      </c>
      <c r="AH231" s="73">
        <v>12.5</v>
      </c>
      <c r="AI231" s="73">
        <v>12.5</v>
      </c>
      <c r="AJ231" s="73">
        <v>10.5</v>
      </c>
      <c r="AK231" s="127">
        <v>1.5</v>
      </c>
      <c r="AL231" s="127">
        <v>8</v>
      </c>
      <c r="AM231" s="147">
        <f t="shared" si="35"/>
        <v>9.5</v>
      </c>
      <c r="AN231" s="10" t="s">
        <v>619</v>
      </c>
      <c r="AO231" s="74" t="s">
        <v>350</v>
      </c>
      <c r="AP231" s="67" t="s">
        <v>840</v>
      </c>
    </row>
    <row r="232" spans="1:42" s="300" customFormat="1" x14ac:dyDescent="0.3">
      <c r="A232" s="66" t="s">
        <v>30</v>
      </c>
      <c r="B232" s="67" t="s">
        <v>31</v>
      </c>
      <c r="C232" s="68" t="s">
        <v>774</v>
      </c>
      <c r="D232" s="69" t="s">
        <v>775</v>
      </c>
      <c r="E232" s="76" t="s">
        <v>862</v>
      </c>
      <c r="F232" s="69" t="s">
        <v>863</v>
      </c>
      <c r="G232" s="68" t="s">
        <v>922</v>
      </c>
      <c r="H232" s="69" t="s">
        <v>923</v>
      </c>
      <c r="I232" s="69" t="s">
        <v>947</v>
      </c>
      <c r="J232" s="69" t="s">
        <v>948</v>
      </c>
      <c r="K232" s="77" t="s">
        <v>949</v>
      </c>
      <c r="L232" s="74" t="s">
        <v>950</v>
      </c>
      <c r="M232" s="67" t="s">
        <v>951</v>
      </c>
      <c r="N232" s="70"/>
      <c r="O232" s="75">
        <v>2</v>
      </c>
      <c r="P232" s="75">
        <v>5</v>
      </c>
      <c r="Q232" s="75">
        <v>5</v>
      </c>
      <c r="R232" s="129">
        <v>1</v>
      </c>
      <c r="S232" s="129">
        <v>1</v>
      </c>
      <c r="T232" s="69" t="s">
        <v>798</v>
      </c>
      <c r="U232" s="300" t="s">
        <v>350</v>
      </c>
      <c r="V232" s="74" t="s">
        <v>952</v>
      </c>
      <c r="W232" s="298">
        <v>1</v>
      </c>
      <c r="X232" s="298">
        <v>1</v>
      </c>
      <c r="Y232" s="298">
        <v>1</v>
      </c>
      <c r="Z232" s="299">
        <v>1</v>
      </c>
      <c r="AA232" s="299">
        <v>1</v>
      </c>
      <c r="AB232" s="300">
        <v>1</v>
      </c>
      <c r="AC232" s="301">
        <v>1</v>
      </c>
      <c r="AD232" s="301">
        <v>0</v>
      </c>
      <c r="AE232" s="305">
        <f t="shared" si="31"/>
        <v>0.875</v>
      </c>
      <c r="AF232" s="63">
        <v>0</v>
      </c>
      <c r="AG232" s="73">
        <v>0</v>
      </c>
      <c r="AH232" s="73">
        <v>5</v>
      </c>
      <c r="AI232" s="73">
        <v>5</v>
      </c>
      <c r="AJ232" s="73">
        <v>5</v>
      </c>
      <c r="AK232" s="127">
        <v>7</v>
      </c>
      <c r="AL232" s="127">
        <v>8</v>
      </c>
      <c r="AM232" s="147">
        <f t="shared" si="35"/>
        <v>15</v>
      </c>
      <c r="AN232" s="10" t="s">
        <v>619</v>
      </c>
      <c r="AO232" s="74" t="s">
        <v>350</v>
      </c>
      <c r="AP232" s="67" t="s">
        <v>953</v>
      </c>
    </row>
    <row r="233" spans="1:42" s="300" customFormat="1" x14ac:dyDescent="0.3">
      <c r="A233" s="66" t="s">
        <v>30</v>
      </c>
      <c r="B233" s="67" t="s">
        <v>31</v>
      </c>
      <c r="C233" s="68" t="s">
        <v>774</v>
      </c>
      <c r="D233" s="69" t="s">
        <v>775</v>
      </c>
      <c r="E233" s="76" t="s">
        <v>862</v>
      </c>
      <c r="F233" s="69" t="s">
        <v>863</v>
      </c>
      <c r="G233" s="68" t="s">
        <v>922</v>
      </c>
      <c r="H233" s="69" t="s">
        <v>923</v>
      </c>
      <c r="I233" s="68" t="s">
        <v>954</v>
      </c>
      <c r="J233" s="69" t="s">
        <v>955</v>
      </c>
      <c r="K233" s="77" t="s">
        <v>956</v>
      </c>
      <c r="L233" s="74" t="s">
        <v>957</v>
      </c>
      <c r="M233" s="67" t="s">
        <v>958</v>
      </c>
      <c r="N233" s="70">
        <v>0</v>
      </c>
      <c r="O233" s="75">
        <v>1</v>
      </c>
      <c r="P233" s="75">
        <v>2</v>
      </c>
      <c r="Q233" s="75">
        <v>2</v>
      </c>
      <c r="R233" s="115">
        <v>1</v>
      </c>
      <c r="S233" s="115">
        <v>1</v>
      </c>
      <c r="T233" s="69" t="s">
        <v>151</v>
      </c>
      <c r="U233" s="300" t="s">
        <v>153</v>
      </c>
      <c r="V233" s="74" t="s">
        <v>959</v>
      </c>
      <c r="W233" s="298">
        <v>1</v>
      </c>
      <c r="X233" s="298">
        <v>1</v>
      </c>
      <c r="Y233" s="298">
        <v>1</v>
      </c>
      <c r="Z233" s="299">
        <v>0</v>
      </c>
      <c r="AA233" s="299">
        <v>1</v>
      </c>
      <c r="AB233" s="300">
        <v>1</v>
      </c>
      <c r="AC233" s="301">
        <v>1</v>
      </c>
      <c r="AD233" s="301">
        <v>0</v>
      </c>
      <c r="AE233" s="305">
        <f t="shared" si="31"/>
        <v>0.75</v>
      </c>
      <c r="AF233" s="63">
        <v>0</v>
      </c>
      <c r="AG233" s="73">
        <v>0</v>
      </c>
      <c r="AH233" s="73">
        <v>12</v>
      </c>
      <c r="AI233" s="73">
        <v>12</v>
      </c>
      <c r="AJ233" s="73">
        <v>12</v>
      </c>
      <c r="AK233" s="127">
        <v>7.5</v>
      </c>
      <c r="AL233" s="127">
        <v>7.2</v>
      </c>
      <c r="AM233" s="147">
        <f t="shared" si="35"/>
        <v>14.7</v>
      </c>
      <c r="AN233" s="74" t="s">
        <v>151</v>
      </c>
      <c r="AO233" s="74" t="s">
        <v>153</v>
      </c>
      <c r="AP233" s="67" t="s">
        <v>960</v>
      </c>
    </row>
    <row r="234" spans="1:42" s="300" customFormat="1" x14ac:dyDescent="0.3">
      <c r="A234" s="66" t="s">
        <v>30</v>
      </c>
      <c r="B234" s="67" t="s">
        <v>31</v>
      </c>
      <c r="C234" s="68" t="s">
        <v>774</v>
      </c>
      <c r="D234" s="69" t="s">
        <v>775</v>
      </c>
      <c r="E234" s="76" t="s">
        <v>862</v>
      </c>
      <c r="F234" s="69" t="s">
        <v>863</v>
      </c>
      <c r="G234" s="68" t="s">
        <v>922</v>
      </c>
      <c r="H234" s="69" t="s">
        <v>923</v>
      </c>
      <c r="I234" s="69" t="s">
        <v>961</v>
      </c>
      <c r="J234" s="69" t="s">
        <v>962</v>
      </c>
      <c r="K234" s="68" t="s">
        <v>963</v>
      </c>
      <c r="L234" s="69" t="s">
        <v>964</v>
      </c>
      <c r="M234" s="67" t="s">
        <v>965</v>
      </c>
      <c r="N234" s="79"/>
      <c r="O234" s="79"/>
      <c r="P234" s="78"/>
      <c r="Q234" s="78"/>
      <c r="R234" s="121"/>
      <c r="S234" s="121"/>
      <c r="T234" s="80" t="s">
        <v>798</v>
      </c>
      <c r="U234" s="300" t="s">
        <v>350</v>
      </c>
      <c r="V234" s="74"/>
      <c r="W234" s="298">
        <v>1</v>
      </c>
      <c r="X234" s="298">
        <v>1</v>
      </c>
      <c r="Y234" s="298">
        <v>1</v>
      </c>
      <c r="Z234" s="299">
        <v>0</v>
      </c>
      <c r="AA234" s="299">
        <v>1</v>
      </c>
      <c r="AB234" s="300">
        <v>1</v>
      </c>
      <c r="AC234" s="301">
        <v>1</v>
      </c>
      <c r="AD234" s="301">
        <v>0</v>
      </c>
      <c r="AE234" s="305">
        <f t="shared" si="31"/>
        <v>0.75</v>
      </c>
      <c r="AF234" s="63">
        <v>0</v>
      </c>
      <c r="AG234" s="73">
        <v>0</v>
      </c>
      <c r="AH234" s="73"/>
      <c r="AI234" s="73"/>
      <c r="AJ234" s="73"/>
      <c r="AK234" s="109"/>
      <c r="AL234" s="109"/>
      <c r="AM234" s="147">
        <f t="shared" si="35"/>
        <v>0</v>
      </c>
      <c r="AN234" s="10" t="s">
        <v>619</v>
      </c>
      <c r="AO234" s="74" t="s">
        <v>350</v>
      </c>
      <c r="AP234" s="67"/>
    </row>
    <row r="235" spans="1:42" s="300" customFormat="1" x14ac:dyDescent="0.3">
      <c r="A235" s="66" t="s">
        <v>30</v>
      </c>
      <c r="B235" s="67" t="s">
        <v>31</v>
      </c>
      <c r="C235" s="68" t="s">
        <v>774</v>
      </c>
      <c r="D235" s="69" t="s">
        <v>775</v>
      </c>
      <c r="E235" s="76" t="s">
        <v>862</v>
      </c>
      <c r="F235" s="69" t="s">
        <v>863</v>
      </c>
      <c r="G235" s="68" t="s">
        <v>922</v>
      </c>
      <c r="H235" s="69" t="s">
        <v>923</v>
      </c>
      <c r="I235" s="69" t="s">
        <v>961</v>
      </c>
      <c r="J235" s="69" t="s">
        <v>962</v>
      </c>
      <c r="K235" s="66" t="s">
        <v>966</v>
      </c>
      <c r="L235" s="67" t="s">
        <v>967</v>
      </c>
      <c r="M235" s="67" t="s">
        <v>968</v>
      </c>
      <c r="N235" s="70">
        <v>0</v>
      </c>
      <c r="O235" s="75">
        <v>1</v>
      </c>
      <c r="P235" s="75"/>
      <c r="Q235" s="75">
        <v>2</v>
      </c>
      <c r="R235" s="129">
        <v>1</v>
      </c>
      <c r="S235" s="115"/>
      <c r="T235" s="69" t="s">
        <v>326</v>
      </c>
      <c r="U235" s="300" t="s">
        <v>328</v>
      </c>
      <c r="V235" s="67" t="s">
        <v>969</v>
      </c>
      <c r="W235" s="298">
        <v>1</v>
      </c>
      <c r="X235" s="298">
        <v>1</v>
      </c>
      <c r="Y235" s="298">
        <v>1</v>
      </c>
      <c r="Z235" s="299">
        <v>0</v>
      </c>
      <c r="AA235" s="299">
        <v>1</v>
      </c>
      <c r="AB235" s="300">
        <v>1</v>
      </c>
      <c r="AC235" s="301">
        <v>1</v>
      </c>
      <c r="AD235" s="301">
        <v>0</v>
      </c>
      <c r="AE235" s="305">
        <f t="shared" si="31"/>
        <v>0.75</v>
      </c>
      <c r="AF235" s="63">
        <v>0</v>
      </c>
      <c r="AG235" s="73">
        <v>0</v>
      </c>
      <c r="AH235" s="73">
        <v>2.5</v>
      </c>
      <c r="AI235" s="73">
        <v>3.52</v>
      </c>
      <c r="AJ235" s="73">
        <v>3.2</v>
      </c>
      <c r="AK235" s="127">
        <v>1.4</v>
      </c>
      <c r="AL235" s="127">
        <v>1.4</v>
      </c>
      <c r="AM235" s="147">
        <f t="shared" si="35"/>
        <v>2.8</v>
      </c>
      <c r="AN235" s="74" t="s">
        <v>326</v>
      </c>
      <c r="AO235" s="74" t="s">
        <v>328</v>
      </c>
      <c r="AP235" s="67" t="s">
        <v>970</v>
      </c>
    </row>
    <row r="236" spans="1:42" s="300" customFormat="1" hidden="1" x14ac:dyDescent="0.3">
      <c r="A236" s="66" t="s">
        <v>30</v>
      </c>
      <c r="B236" s="67" t="s">
        <v>31</v>
      </c>
      <c r="C236" s="68" t="s">
        <v>774</v>
      </c>
      <c r="D236" s="69" t="s">
        <v>775</v>
      </c>
      <c r="E236" s="76" t="s">
        <v>862</v>
      </c>
      <c r="F236" s="69" t="s">
        <v>863</v>
      </c>
      <c r="G236" s="68" t="s">
        <v>922</v>
      </c>
      <c r="H236" s="69" t="s">
        <v>923</v>
      </c>
      <c r="I236" s="69" t="s">
        <v>961</v>
      </c>
      <c r="J236" s="69" t="s">
        <v>962</v>
      </c>
      <c r="K236" s="66" t="s">
        <v>966</v>
      </c>
      <c r="L236" s="67" t="s">
        <v>967</v>
      </c>
      <c r="M236" s="67" t="s">
        <v>971</v>
      </c>
      <c r="N236" s="70">
        <v>0</v>
      </c>
      <c r="O236" s="73">
        <v>0</v>
      </c>
      <c r="P236" s="75">
        <v>1</v>
      </c>
      <c r="Q236" s="75"/>
      <c r="R236" s="115"/>
      <c r="S236" s="115"/>
      <c r="T236" s="69" t="s">
        <v>326</v>
      </c>
      <c r="U236" s="300" t="s">
        <v>328</v>
      </c>
      <c r="V236" s="67" t="s">
        <v>969</v>
      </c>
      <c r="W236" s="298">
        <v>1</v>
      </c>
      <c r="X236" s="298">
        <v>0</v>
      </c>
      <c r="Y236" s="298">
        <v>0</v>
      </c>
      <c r="Z236" s="299">
        <v>0</v>
      </c>
      <c r="AA236" s="299">
        <v>1</v>
      </c>
      <c r="AB236" s="300">
        <v>1</v>
      </c>
      <c r="AC236" s="301">
        <v>1</v>
      </c>
      <c r="AD236" s="301">
        <v>0</v>
      </c>
      <c r="AE236" s="305">
        <f t="shared" si="31"/>
        <v>0.5</v>
      </c>
      <c r="AF236" s="63">
        <v>0</v>
      </c>
      <c r="AG236" s="73">
        <v>0</v>
      </c>
      <c r="AH236" s="73"/>
      <c r="AI236" s="73"/>
      <c r="AJ236" s="73"/>
      <c r="AK236" s="109"/>
      <c r="AL236" s="109"/>
      <c r="AM236" s="73" t="e">
        <f>SUM(#REF!)</f>
        <v>#REF!</v>
      </c>
      <c r="AN236" s="74" t="s">
        <v>326</v>
      </c>
      <c r="AO236" s="74" t="s">
        <v>328</v>
      </c>
      <c r="AP236" s="67" t="s">
        <v>970</v>
      </c>
    </row>
    <row r="237" spans="1:42" s="300" customFormat="1" hidden="1" x14ac:dyDescent="0.3">
      <c r="A237" s="66" t="s">
        <v>30</v>
      </c>
      <c r="B237" s="67" t="s">
        <v>31</v>
      </c>
      <c r="C237" s="68" t="s">
        <v>774</v>
      </c>
      <c r="D237" s="69" t="s">
        <v>775</v>
      </c>
      <c r="E237" s="76" t="s">
        <v>862</v>
      </c>
      <c r="F237" s="69" t="s">
        <v>863</v>
      </c>
      <c r="G237" s="68" t="s">
        <v>922</v>
      </c>
      <c r="H237" s="69" t="s">
        <v>923</v>
      </c>
      <c r="I237" s="69" t="s">
        <v>961</v>
      </c>
      <c r="J237" s="69" t="s">
        <v>962</v>
      </c>
      <c r="K237" s="66" t="s">
        <v>966</v>
      </c>
      <c r="L237" s="67" t="s">
        <v>967</v>
      </c>
      <c r="M237" s="67" t="s">
        <v>972</v>
      </c>
      <c r="N237" s="70"/>
      <c r="O237" s="73">
        <v>0</v>
      </c>
      <c r="P237" s="75">
        <v>15</v>
      </c>
      <c r="Q237" s="75">
        <v>9</v>
      </c>
      <c r="R237" s="115"/>
      <c r="S237" s="115"/>
      <c r="T237" s="69" t="s">
        <v>326</v>
      </c>
      <c r="U237" s="300" t="s">
        <v>328</v>
      </c>
      <c r="V237" s="67" t="s">
        <v>969</v>
      </c>
      <c r="W237" s="298">
        <v>1</v>
      </c>
      <c r="X237" s="298">
        <v>0</v>
      </c>
      <c r="Y237" s="298">
        <v>0</v>
      </c>
      <c r="Z237" s="299">
        <v>1</v>
      </c>
      <c r="AA237" s="299">
        <v>1</v>
      </c>
      <c r="AB237" s="300">
        <v>0</v>
      </c>
      <c r="AC237" s="301">
        <v>1</v>
      </c>
      <c r="AD237" s="301">
        <v>0</v>
      </c>
      <c r="AE237" s="305">
        <f t="shared" si="31"/>
        <v>0.5</v>
      </c>
      <c r="AF237" s="63">
        <v>0</v>
      </c>
      <c r="AG237" s="73">
        <v>0</v>
      </c>
      <c r="AH237" s="73"/>
      <c r="AI237" s="73"/>
      <c r="AJ237" s="73"/>
      <c r="AK237" s="109"/>
      <c r="AL237" s="109"/>
      <c r="AM237" s="73" t="e">
        <f>SUM(#REF!)</f>
        <v>#REF!</v>
      </c>
      <c r="AN237" s="74" t="s">
        <v>326</v>
      </c>
      <c r="AO237" s="74" t="s">
        <v>328</v>
      </c>
      <c r="AP237" s="67" t="s">
        <v>970</v>
      </c>
    </row>
    <row r="238" spans="1:42" s="300" customFormat="1" x14ac:dyDescent="0.3">
      <c r="A238" s="66" t="s">
        <v>30</v>
      </c>
      <c r="B238" s="67" t="s">
        <v>31</v>
      </c>
      <c r="C238" s="68" t="s">
        <v>774</v>
      </c>
      <c r="D238" s="69" t="s">
        <v>775</v>
      </c>
      <c r="E238" s="76" t="s">
        <v>862</v>
      </c>
      <c r="F238" s="69" t="s">
        <v>863</v>
      </c>
      <c r="G238" s="68" t="s">
        <v>922</v>
      </c>
      <c r="H238" s="69" t="s">
        <v>923</v>
      </c>
      <c r="I238" s="69" t="s">
        <v>961</v>
      </c>
      <c r="J238" s="69" t="s">
        <v>962</v>
      </c>
      <c r="K238" s="66" t="s">
        <v>973</v>
      </c>
      <c r="L238" s="67" t="s">
        <v>974</v>
      </c>
      <c r="M238" s="69" t="s">
        <v>975</v>
      </c>
      <c r="N238" s="70"/>
      <c r="O238" s="75">
        <v>2</v>
      </c>
      <c r="P238" s="75">
        <v>2</v>
      </c>
      <c r="Q238" s="75">
        <v>2</v>
      </c>
      <c r="R238" s="129">
        <v>1</v>
      </c>
      <c r="S238" s="129">
        <v>1</v>
      </c>
      <c r="T238" s="69" t="s">
        <v>784</v>
      </c>
      <c r="U238" s="300" t="s">
        <v>350</v>
      </c>
      <c r="V238" s="67" t="s">
        <v>976</v>
      </c>
      <c r="W238" s="298">
        <v>1</v>
      </c>
      <c r="X238" s="298">
        <v>1</v>
      </c>
      <c r="Y238" s="298">
        <v>1</v>
      </c>
      <c r="Z238" s="299">
        <v>1</v>
      </c>
      <c r="AA238" s="299">
        <v>1</v>
      </c>
      <c r="AB238" s="300">
        <v>1</v>
      </c>
      <c r="AC238" s="301">
        <v>1</v>
      </c>
      <c r="AD238" s="301">
        <v>0</v>
      </c>
      <c r="AE238" s="305">
        <f t="shared" si="31"/>
        <v>0.875</v>
      </c>
      <c r="AF238" s="63">
        <v>0</v>
      </c>
      <c r="AG238" s="73">
        <v>0</v>
      </c>
      <c r="AH238" s="73">
        <v>53.5</v>
      </c>
      <c r="AI238" s="73">
        <v>61</v>
      </c>
      <c r="AJ238" s="73">
        <v>61.000000000000227</v>
      </c>
      <c r="AK238" s="127">
        <v>26.88</v>
      </c>
      <c r="AL238" s="127">
        <v>35</v>
      </c>
      <c r="AM238" s="147">
        <f t="shared" ref="AM238" si="36">SUM(AK238:AL238)</f>
        <v>61.879999999999995</v>
      </c>
      <c r="AN238" s="74" t="s">
        <v>784</v>
      </c>
      <c r="AO238" s="74" t="s">
        <v>350</v>
      </c>
      <c r="AP238" s="67" t="s">
        <v>977</v>
      </c>
    </row>
    <row r="239" spans="1:42" hidden="1" x14ac:dyDescent="0.3">
      <c r="A239" s="9" t="s">
        <v>30</v>
      </c>
      <c r="B239" s="10" t="s">
        <v>31</v>
      </c>
      <c r="C239" s="11" t="s">
        <v>774</v>
      </c>
      <c r="D239" s="12" t="s">
        <v>775</v>
      </c>
      <c r="E239" s="13" t="s">
        <v>862</v>
      </c>
      <c r="F239" s="12" t="s">
        <v>863</v>
      </c>
      <c r="G239" s="11" t="s">
        <v>922</v>
      </c>
      <c r="H239" s="12" t="s">
        <v>923</v>
      </c>
      <c r="I239" s="12" t="s">
        <v>961</v>
      </c>
      <c r="J239" s="12" t="s">
        <v>962</v>
      </c>
      <c r="K239" s="9" t="s">
        <v>978</v>
      </c>
      <c r="L239" s="10" t="s">
        <v>979</v>
      </c>
      <c r="M239" s="10" t="s">
        <v>980</v>
      </c>
      <c r="N239" s="15"/>
      <c r="O239" s="16">
        <v>800</v>
      </c>
      <c r="P239" s="16">
        <v>800</v>
      </c>
      <c r="Q239" s="16">
        <v>800</v>
      </c>
      <c r="R239" s="110">
        <v>800</v>
      </c>
      <c r="S239" s="110">
        <v>800</v>
      </c>
      <c r="T239" s="10" t="s">
        <v>265</v>
      </c>
      <c r="U239" s="283" t="s">
        <v>350</v>
      </c>
      <c r="V239" s="10" t="s">
        <v>981</v>
      </c>
      <c r="W239" s="298">
        <v>1</v>
      </c>
      <c r="X239" s="298">
        <v>0</v>
      </c>
      <c r="Y239" s="298">
        <v>0</v>
      </c>
      <c r="Z239" s="299">
        <v>1</v>
      </c>
      <c r="AA239" s="299">
        <v>0</v>
      </c>
      <c r="AB239" s="300">
        <v>0</v>
      </c>
      <c r="AC239" s="301">
        <v>0</v>
      </c>
      <c r="AD239" s="301">
        <v>0</v>
      </c>
      <c r="AE239" s="302">
        <f t="shared" si="31"/>
        <v>0.25</v>
      </c>
      <c r="AF239" s="63">
        <v>0</v>
      </c>
      <c r="AG239" s="17">
        <v>0</v>
      </c>
      <c r="AH239" s="17">
        <v>0</v>
      </c>
      <c r="AI239" s="32">
        <v>2</v>
      </c>
      <c r="AJ239" s="32">
        <v>2.5</v>
      </c>
      <c r="AK239" s="123"/>
      <c r="AL239" s="123"/>
      <c r="AM239" s="17" t="e">
        <f>SUM(#REF!)</f>
        <v>#REF!</v>
      </c>
      <c r="AN239" s="283" t="s">
        <v>265</v>
      </c>
      <c r="AO239" s="18" t="s">
        <v>350</v>
      </c>
      <c r="AP239" s="10" t="s">
        <v>982</v>
      </c>
    </row>
    <row r="240" spans="1:42" x14ac:dyDescent="0.3">
      <c r="A240" s="9" t="s">
        <v>30</v>
      </c>
      <c r="B240" s="10" t="s">
        <v>31</v>
      </c>
      <c r="C240" s="11" t="s">
        <v>774</v>
      </c>
      <c r="D240" s="12" t="s">
        <v>775</v>
      </c>
      <c r="E240" s="13" t="s">
        <v>862</v>
      </c>
      <c r="F240" s="12" t="s">
        <v>863</v>
      </c>
      <c r="G240" s="11" t="s">
        <v>922</v>
      </c>
      <c r="H240" s="12" t="s">
        <v>923</v>
      </c>
      <c r="I240" s="12" t="s">
        <v>961</v>
      </c>
      <c r="J240" s="12" t="s">
        <v>962</v>
      </c>
      <c r="K240" s="9" t="s">
        <v>983</v>
      </c>
      <c r="L240" s="10" t="s">
        <v>984</v>
      </c>
      <c r="M240" s="10" t="s">
        <v>985</v>
      </c>
      <c r="N240" s="15"/>
      <c r="O240" s="17">
        <v>0</v>
      </c>
      <c r="P240" s="21">
        <v>200</v>
      </c>
      <c r="Q240" s="21">
        <v>500</v>
      </c>
      <c r="R240" s="129">
        <v>800</v>
      </c>
      <c r="S240" s="129">
        <v>800</v>
      </c>
      <c r="T240" s="12" t="s">
        <v>784</v>
      </c>
      <c r="U240" s="283" t="s">
        <v>350</v>
      </c>
      <c r="V240" s="10" t="s">
        <v>986</v>
      </c>
      <c r="W240" s="298">
        <v>1</v>
      </c>
      <c r="X240" s="298">
        <v>1</v>
      </c>
      <c r="Y240" s="298">
        <v>1</v>
      </c>
      <c r="Z240" s="299">
        <v>1</v>
      </c>
      <c r="AA240" s="299">
        <v>1</v>
      </c>
      <c r="AB240" s="300">
        <v>1</v>
      </c>
      <c r="AC240" s="301">
        <v>1</v>
      </c>
      <c r="AD240" s="301">
        <v>0</v>
      </c>
      <c r="AE240" s="302">
        <f t="shared" si="31"/>
        <v>0.875</v>
      </c>
      <c r="AF240" s="63">
        <v>0</v>
      </c>
      <c r="AG240" s="17">
        <v>0</v>
      </c>
      <c r="AH240" s="17">
        <v>0</v>
      </c>
      <c r="AI240" s="32">
        <v>5</v>
      </c>
      <c r="AJ240" s="32">
        <v>10</v>
      </c>
      <c r="AK240" s="123">
        <v>12</v>
      </c>
      <c r="AL240" s="123">
        <v>13</v>
      </c>
      <c r="AM240" s="147">
        <f t="shared" ref="AM240" si="37">SUM(AK240:AL240)</f>
        <v>25</v>
      </c>
      <c r="AN240" s="18" t="s">
        <v>784</v>
      </c>
      <c r="AO240" s="18" t="s">
        <v>350</v>
      </c>
      <c r="AP240" s="10" t="s">
        <v>820</v>
      </c>
    </row>
    <row r="241" spans="1:42" hidden="1" x14ac:dyDescent="0.3">
      <c r="A241" s="9" t="s">
        <v>30</v>
      </c>
      <c r="B241" s="10" t="s">
        <v>31</v>
      </c>
      <c r="C241" s="11" t="s">
        <v>774</v>
      </c>
      <c r="D241" s="12" t="s">
        <v>775</v>
      </c>
      <c r="E241" s="13" t="s">
        <v>862</v>
      </c>
      <c r="F241" s="12" t="s">
        <v>863</v>
      </c>
      <c r="G241" s="11" t="s">
        <v>922</v>
      </c>
      <c r="H241" s="12" t="s">
        <v>923</v>
      </c>
      <c r="I241" s="12" t="s">
        <v>987</v>
      </c>
      <c r="J241" s="12" t="s">
        <v>988</v>
      </c>
      <c r="K241" s="11" t="s">
        <v>989</v>
      </c>
      <c r="L241" s="12" t="s">
        <v>990</v>
      </c>
      <c r="M241" s="10" t="s">
        <v>991</v>
      </c>
      <c r="N241" s="37">
        <v>0</v>
      </c>
      <c r="O241" s="37">
        <v>0</v>
      </c>
      <c r="P241" s="40">
        <v>0.1</v>
      </c>
      <c r="Q241" s="40">
        <v>0.25</v>
      </c>
      <c r="R241" s="121">
        <v>0.5</v>
      </c>
      <c r="S241" s="121">
        <v>0.75</v>
      </c>
      <c r="T241" s="41" t="s">
        <v>265</v>
      </c>
      <c r="U241" s="283" t="s">
        <v>350</v>
      </c>
      <c r="V241" s="18" t="s">
        <v>992</v>
      </c>
      <c r="W241" s="298">
        <v>0</v>
      </c>
      <c r="X241" s="298">
        <v>0</v>
      </c>
      <c r="Y241" s="298">
        <v>0</v>
      </c>
      <c r="Z241" s="299">
        <v>0</v>
      </c>
      <c r="AA241" s="299">
        <v>0</v>
      </c>
      <c r="AB241" s="300">
        <v>0</v>
      </c>
      <c r="AC241" s="301">
        <v>0</v>
      </c>
      <c r="AD241" s="301">
        <v>0</v>
      </c>
      <c r="AE241" s="302">
        <f t="shared" si="31"/>
        <v>0</v>
      </c>
      <c r="AF241" s="63">
        <v>0</v>
      </c>
      <c r="AG241" s="17">
        <v>0</v>
      </c>
      <c r="AH241" s="17">
        <v>0</v>
      </c>
      <c r="AI241" s="17">
        <v>0</v>
      </c>
      <c r="AJ241" s="17">
        <v>0</v>
      </c>
      <c r="AK241" s="109"/>
      <c r="AL241" s="109"/>
      <c r="AM241" s="17" t="e">
        <f>SUM(#REF!)</f>
        <v>#REF!</v>
      </c>
      <c r="AN241" s="283" t="s">
        <v>265</v>
      </c>
      <c r="AO241" s="18" t="s">
        <v>350</v>
      </c>
      <c r="AP241" s="10" t="s">
        <v>993</v>
      </c>
    </row>
    <row r="242" spans="1:42" x14ac:dyDescent="0.3">
      <c r="A242" s="9" t="s">
        <v>30</v>
      </c>
      <c r="B242" s="10" t="s">
        <v>31</v>
      </c>
      <c r="C242" s="11" t="s">
        <v>774</v>
      </c>
      <c r="D242" s="12" t="s">
        <v>775</v>
      </c>
      <c r="E242" s="13" t="s">
        <v>862</v>
      </c>
      <c r="F242" s="12" t="s">
        <v>863</v>
      </c>
      <c r="G242" s="11" t="s">
        <v>922</v>
      </c>
      <c r="H242" s="12" t="s">
        <v>923</v>
      </c>
      <c r="I242" s="12" t="s">
        <v>994</v>
      </c>
      <c r="J242" s="12" t="s">
        <v>995</v>
      </c>
      <c r="K242" s="11" t="s">
        <v>996</v>
      </c>
      <c r="L242" s="12" t="s">
        <v>997</v>
      </c>
      <c r="M242" s="10" t="s">
        <v>998</v>
      </c>
      <c r="N242" s="15">
        <v>0</v>
      </c>
      <c r="O242" s="21">
        <v>1</v>
      </c>
      <c r="P242" s="21">
        <v>2</v>
      </c>
      <c r="Q242" s="21">
        <v>3</v>
      </c>
      <c r="R242" s="115">
        <v>1</v>
      </c>
      <c r="S242" s="115">
        <v>2</v>
      </c>
      <c r="T242" s="12" t="s">
        <v>784</v>
      </c>
      <c r="U242" s="283" t="s">
        <v>350</v>
      </c>
      <c r="V242" s="18" t="s">
        <v>999</v>
      </c>
      <c r="W242" s="298">
        <v>1</v>
      </c>
      <c r="X242" s="298">
        <v>1</v>
      </c>
      <c r="Y242" s="298">
        <v>1</v>
      </c>
      <c r="Z242" s="299">
        <v>1</v>
      </c>
      <c r="AA242" s="299">
        <v>1</v>
      </c>
      <c r="AB242" s="300">
        <v>1</v>
      </c>
      <c r="AC242" s="301">
        <v>1</v>
      </c>
      <c r="AD242" s="301">
        <v>0</v>
      </c>
      <c r="AE242" s="302">
        <f t="shared" si="31"/>
        <v>0.875</v>
      </c>
      <c r="AF242" s="63">
        <v>0</v>
      </c>
      <c r="AG242" s="17">
        <v>0</v>
      </c>
      <c r="AH242" s="17">
        <v>20</v>
      </c>
      <c r="AI242" s="17">
        <v>20</v>
      </c>
      <c r="AJ242" s="17">
        <v>20</v>
      </c>
      <c r="AK242" s="127">
        <v>14</v>
      </c>
      <c r="AL242" s="127">
        <v>26.56</v>
      </c>
      <c r="AM242" s="147">
        <f t="shared" ref="AM242:AM244" si="38">SUM(AK242:AL242)</f>
        <v>40.56</v>
      </c>
      <c r="AN242" s="18" t="s">
        <v>784</v>
      </c>
      <c r="AO242" s="18" t="s">
        <v>350</v>
      </c>
      <c r="AP242" s="10" t="s">
        <v>1000</v>
      </c>
    </row>
    <row r="243" spans="1:42" x14ac:dyDescent="0.3">
      <c r="A243" s="9" t="s">
        <v>30</v>
      </c>
      <c r="B243" s="10" t="s">
        <v>31</v>
      </c>
      <c r="C243" s="11" t="s">
        <v>774</v>
      </c>
      <c r="D243" s="12" t="s">
        <v>775</v>
      </c>
      <c r="E243" s="13" t="s">
        <v>862</v>
      </c>
      <c r="F243" s="12" t="s">
        <v>863</v>
      </c>
      <c r="G243" s="11" t="s">
        <v>922</v>
      </c>
      <c r="H243" s="12" t="s">
        <v>923</v>
      </c>
      <c r="I243" s="12" t="s">
        <v>1001</v>
      </c>
      <c r="J243" s="12" t="s">
        <v>1002</v>
      </c>
      <c r="K243" s="34" t="s">
        <v>1003</v>
      </c>
      <c r="L243" s="18" t="s">
        <v>1004</v>
      </c>
      <c r="M243" s="10" t="s">
        <v>1005</v>
      </c>
      <c r="N243" s="15"/>
      <c r="O243" s="17">
        <v>0</v>
      </c>
      <c r="P243" s="21">
        <v>1</v>
      </c>
      <c r="Q243" s="21">
        <v>1</v>
      </c>
      <c r="R243" s="115">
        <v>1</v>
      </c>
      <c r="S243" s="115">
        <v>1</v>
      </c>
      <c r="T243" s="12" t="s">
        <v>798</v>
      </c>
      <c r="U243" s="283" t="s">
        <v>350</v>
      </c>
      <c r="V243" s="18" t="s">
        <v>1006</v>
      </c>
      <c r="W243" s="298">
        <v>0</v>
      </c>
      <c r="X243" s="298">
        <v>1</v>
      </c>
      <c r="Y243" s="298">
        <v>1</v>
      </c>
      <c r="Z243" s="299">
        <v>1</v>
      </c>
      <c r="AA243" s="299">
        <v>1</v>
      </c>
      <c r="AB243" s="300">
        <v>1</v>
      </c>
      <c r="AC243" s="301">
        <v>1</v>
      </c>
      <c r="AD243" s="301">
        <v>0</v>
      </c>
      <c r="AE243" s="302">
        <f t="shared" si="31"/>
        <v>0.75</v>
      </c>
      <c r="AF243" s="63">
        <v>0</v>
      </c>
      <c r="AG243" s="17">
        <v>0</v>
      </c>
      <c r="AH243" s="17">
        <v>10</v>
      </c>
      <c r="AI243" s="17">
        <v>10</v>
      </c>
      <c r="AJ243" s="17">
        <v>10</v>
      </c>
      <c r="AK243" s="127">
        <v>20</v>
      </c>
      <c r="AL243" s="109">
        <v>42.5</v>
      </c>
      <c r="AM243" s="147">
        <f t="shared" si="38"/>
        <v>62.5</v>
      </c>
      <c r="AN243" s="10" t="s">
        <v>619</v>
      </c>
      <c r="AO243" s="18" t="s">
        <v>350</v>
      </c>
      <c r="AP243" s="10" t="s">
        <v>1007</v>
      </c>
    </row>
    <row r="244" spans="1:42" x14ac:dyDescent="0.3">
      <c r="A244" s="9" t="s">
        <v>30</v>
      </c>
      <c r="B244" s="10" t="s">
        <v>31</v>
      </c>
      <c r="C244" s="11" t="s">
        <v>774</v>
      </c>
      <c r="D244" s="12" t="s">
        <v>775</v>
      </c>
      <c r="E244" s="13" t="s">
        <v>862</v>
      </c>
      <c r="F244" s="12" t="s">
        <v>863</v>
      </c>
      <c r="G244" s="11" t="s">
        <v>922</v>
      </c>
      <c r="H244" s="12" t="s">
        <v>923</v>
      </c>
      <c r="I244" s="11" t="s">
        <v>1008</v>
      </c>
      <c r="J244" s="12" t="s">
        <v>1009</v>
      </c>
      <c r="K244" s="34" t="s">
        <v>1010</v>
      </c>
      <c r="L244" s="18" t="s">
        <v>1011</v>
      </c>
      <c r="M244" s="10" t="s">
        <v>1012</v>
      </c>
      <c r="N244" s="15"/>
      <c r="O244" s="17">
        <v>0</v>
      </c>
      <c r="P244" s="21">
        <v>1</v>
      </c>
      <c r="Q244" s="21">
        <v>1</v>
      </c>
      <c r="R244" s="115">
        <v>1</v>
      </c>
      <c r="S244" s="115">
        <v>1</v>
      </c>
      <c r="T244" s="12" t="s">
        <v>798</v>
      </c>
      <c r="U244" s="283" t="s">
        <v>350</v>
      </c>
      <c r="V244" s="18" t="s">
        <v>1013</v>
      </c>
      <c r="W244" s="298">
        <v>1</v>
      </c>
      <c r="X244" s="298">
        <v>1</v>
      </c>
      <c r="Y244" s="298">
        <v>1</v>
      </c>
      <c r="Z244" s="299">
        <v>1</v>
      </c>
      <c r="AA244" s="299">
        <v>1</v>
      </c>
      <c r="AB244" s="300">
        <v>1</v>
      </c>
      <c r="AC244" s="301">
        <v>1</v>
      </c>
      <c r="AD244" s="301">
        <v>0</v>
      </c>
      <c r="AE244" s="302">
        <f t="shared" si="31"/>
        <v>0.875</v>
      </c>
      <c r="AF244" s="63">
        <v>0</v>
      </c>
      <c r="AG244" s="17"/>
      <c r="AH244" s="17">
        <v>35</v>
      </c>
      <c r="AI244" s="17">
        <v>35.5</v>
      </c>
      <c r="AJ244" s="17">
        <v>28</v>
      </c>
      <c r="AK244" s="127">
        <v>5</v>
      </c>
      <c r="AL244" s="127">
        <v>5</v>
      </c>
      <c r="AM244" s="147">
        <f t="shared" si="38"/>
        <v>10</v>
      </c>
      <c r="AN244" s="10" t="s">
        <v>619</v>
      </c>
      <c r="AO244" s="18" t="s">
        <v>350</v>
      </c>
      <c r="AP244" s="10" t="s">
        <v>359</v>
      </c>
    </row>
    <row r="245" spans="1:42" hidden="1" x14ac:dyDescent="0.3">
      <c r="A245" s="9" t="s">
        <v>30</v>
      </c>
      <c r="B245" s="10" t="s">
        <v>31</v>
      </c>
      <c r="C245" s="11" t="s">
        <v>774</v>
      </c>
      <c r="D245" s="12" t="s">
        <v>775</v>
      </c>
      <c r="E245" s="13" t="s">
        <v>862</v>
      </c>
      <c r="F245" s="12" t="s">
        <v>863</v>
      </c>
      <c r="G245" s="11" t="s">
        <v>922</v>
      </c>
      <c r="H245" s="12" t="s">
        <v>923</v>
      </c>
      <c r="I245" s="11" t="s">
        <v>1014</v>
      </c>
      <c r="J245" s="12" t="s">
        <v>1015</v>
      </c>
      <c r="K245" s="34" t="s">
        <v>1016</v>
      </c>
      <c r="L245" s="12" t="s">
        <v>1017</v>
      </c>
      <c r="M245" s="18" t="s">
        <v>1018</v>
      </c>
      <c r="N245" s="15">
        <v>0</v>
      </c>
      <c r="O245" s="17"/>
      <c r="P245" s="21"/>
      <c r="Q245" s="21">
        <v>1</v>
      </c>
      <c r="R245" s="115"/>
      <c r="S245" s="115"/>
      <c r="T245" s="12" t="s">
        <v>92</v>
      </c>
      <c r="U245" s="283" t="s">
        <v>118</v>
      </c>
      <c r="V245" s="18"/>
      <c r="W245" s="298">
        <v>0</v>
      </c>
      <c r="X245" s="298">
        <v>0</v>
      </c>
      <c r="Y245" s="298">
        <v>0</v>
      </c>
      <c r="Z245" s="299">
        <v>0</v>
      </c>
      <c r="AA245" s="299">
        <v>0</v>
      </c>
      <c r="AB245" s="300">
        <v>0</v>
      </c>
      <c r="AC245" s="301">
        <v>0</v>
      </c>
      <c r="AD245" s="301">
        <v>0</v>
      </c>
      <c r="AE245" s="302">
        <f t="shared" si="31"/>
        <v>0</v>
      </c>
      <c r="AF245" s="63">
        <v>0</v>
      </c>
      <c r="AG245" s="17">
        <v>0</v>
      </c>
      <c r="AH245" s="17"/>
      <c r="AI245" s="17"/>
      <c r="AJ245" s="17"/>
      <c r="AK245" s="109"/>
      <c r="AL245" s="109"/>
      <c r="AM245" s="17" t="e">
        <f>SUM(#REF!)</f>
        <v>#REF!</v>
      </c>
      <c r="AN245" s="10" t="s">
        <v>619</v>
      </c>
      <c r="AO245" s="18" t="s">
        <v>118</v>
      </c>
      <c r="AP245" s="10"/>
    </row>
    <row r="246" spans="1:42" x14ac:dyDescent="0.3">
      <c r="A246" s="9" t="s">
        <v>30</v>
      </c>
      <c r="B246" s="12" t="s">
        <v>31</v>
      </c>
      <c r="C246" s="11" t="s">
        <v>774</v>
      </c>
      <c r="D246" s="12" t="s">
        <v>775</v>
      </c>
      <c r="E246" s="13" t="s">
        <v>862</v>
      </c>
      <c r="F246" s="12" t="s">
        <v>863</v>
      </c>
      <c r="G246" s="11" t="s">
        <v>922</v>
      </c>
      <c r="H246" s="12" t="s">
        <v>923</v>
      </c>
      <c r="I246" s="12" t="s">
        <v>1019</v>
      </c>
      <c r="J246" s="12" t="s">
        <v>1020</v>
      </c>
      <c r="K246" s="11" t="s">
        <v>1021</v>
      </c>
      <c r="L246" s="12" t="s">
        <v>1022</v>
      </c>
      <c r="M246" s="12" t="s">
        <v>1023</v>
      </c>
      <c r="N246" s="22">
        <v>0</v>
      </c>
      <c r="O246" s="40">
        <v>0.1</v>
      </c>
      <c r="P246" s="40">
        <v>0.3</v>
      </c>
      <c r="Q246" s="40">
        <v>0.6</v>
      </c>
      <c r="R246" s="121">
        <v>0.9</v>
      </c>
      <c r="S246" s="121">
        <v>1</v>
      </c>
      <c r="T246" s="41" t="s">
        <v>798</v>
      </c>
      <c r="U246" s="283" t="s">
        <v>350</v>
      </c>
      <c r="V246" s="12" t="s">
        <v>1024</v>
      </c>
      <c r="W246" s="298">
        <v>1</v>
      </c>
      <c r="X246" s="298">
        <v>1</v>
      </c>
      <c r="Y246" s="298">
        <v>1</v>
      </c>
      <c r="Z246" s="299">
        <v>0</v>
      </c>
      <c r="AA246" s="299">
        <v>1</v>
      </c>
      <c r="AB246" s="300">
        <v>1</v>
      </c>
      <c r="AC246" s="301">
        <v>1</v>
      </c>
      <c r="AD246" s="301">
        <v>0</v>
      </c>
      <c r="AE246" s="302">
        <f t="shared" si="31"/>
        <v>0.75</v>
      </c>
      <c r="AF246" s="63">
        <v>0</v>
      </c>
      <c r="AG246" s="17">
        <v>0</v>
      </c>
      <c r="AH246" s="23">
        <v>10</v>
      </c>
      <c r="AI246" s="23">
        <v>10</v>
      </c>
      <c r="AJ246" s="23">
        <v>18.5</v>
      </c>
      <c r="AK246" s="143">
        <v>9</v>
      </c>
      <c r="AL246" s="143">
        <v>3</v>
      </c>
      <c r="AM246" s="147">
        <f t="shared" ref="AM246" si="39">SUM(AK246:AL246)</f>
        <v>12</v>
      </c>
      <c r="AN246" s="10" t="s">
        <v>619</v>
      </c>
      <c r="AO246" s="14" t="s">
        <v>350</v>
      </c>
      <c r="AP246" s="12" t="s">
        <v>1025</v>
      </c>
    </row>
    <row r="247" spans="1:42" hidden="1" x14ac:dyDescent="0.3">
      <c r="A247" s="9" t="s">
        <v>30</v>
      </c>
      <c r="B247" s="10" t="s">
        <v>31</v>
      </c>
      <c r="C247" s="11" t="s">
        <v>774</v>
      </c>
      <c r="D247" s="12" t="s">
        <v>775</v>
      </c>
      <c r="E247" s="13" t="s">
        <v>862</v>
      </c>
      <c r="F247" s="12" t="s">
        <v>863</v>
      </c>
      <c r="G247" s="11" t="s">
        <v>922</v>
      </c>
      <c r="H247" s="12" t="s">
        <v>923</v>
      </c>
      <c r="I247" s="12" t="s">
        <v>1026</v>
      </c>
      <c r="J247" s="12" t="s">
        <v>1027</v>
      </c>
      <c r="K247" s="9" t="s">
        <v>1028</v>
      </c>
      <c r="L247" s="10" t="s">
        <v>1029</v>
      </c>
      <c r="M247" s="10"/>
      <c r="N247" s="15">
        <v>0</v>
      </c>
      <c r="O247" s="24">
        <v>0</v>
      </c>
      <c r="P247" s="24">
        <v>4</v>
      </c>
      <c r="Q247" s="24">
        <v>2</v>
      </c>
      <c r="R247" s="116">
        <v>1</v>
      </c>
      <c r="S247" s="116">
        <v>1</v>
      </c>
      <c r="T247" s="41" t="s">
        <v>92</v>
      </c>
      <c r="U247" s="283" t="s">
        <v>118</v>
      </c>
      <c r="V247" s="10"/>
      <c r="W247" s="298">
        <v>0</v>
      </c>
      <c r="X247" s="298">
        <v>0</v>
      </c>
      <c r="Y247" s="298">
        <v>0</v>
      </c>
      <c r="Z247" s="299">
        <v>0</v>
      </c>
      <c r="AA247" s="299">
        <v>0</v>
      </c>
      <c r="AB247" s="300">
        <v>0</v>
      </c>
      <c r="AC247" s="301">
        <v>0</v>
      </c>
      <c r="AD247" s="301">
        <v>0</v>
      </c>
      <c r="AE247" s="302">
        <f t="shared" si="31"/>
        <v>0</v>
      </c>
      <c r="AF247" s="63">
        <v>0</v>
      </c>
      <c r="AG247" s="17">
        <v>0</v>
      </c>
      <c r="AH247" s="17"/>
      <c r="AI247" s="17"/>
      <c r="AJ247" s="17"/>
      <c r="AK247" s="109"/>
      <c r="AL247" s="109"/>
      <c r="AM247" s="17" t="e">
        <f>SUM(#REF!)</f>
        <v>#REF!</v>
      </c>
      <c r="AN247" s="10" t="s">
        <v>619</v>
      </c>
      <c r="AO247" s="18" t="s">
        <v>350</v>
      </c>
      <c r="AP247" s="10"/>
    </row>
    <row r="248" spans="1:42" x14ac:dyDescent="0.3">
      <c r="A248" s="9" t="s">
        <v>30</v>
      </c>
      <c r="B248" s="10" t="s">
        <v>31</v>
      </c>
      <c r="C248" s="11" t="s">
        <v>774</v>
      </c>
      <c r="D248" s="12" t="s">
        <v>775</v>
      </c>
      <c r="E248" s="13" t="s">
        <v>862</v>
      </c>
      <c r="F248" s="12" t="s">
        <v>863</v>
      </c>
      <c r="G248" s="11" t="s">
        <v>1030</v>
      </c>
      <c r="H248" s="12" t="s">
        <v>1031</v>
      </c>
      <c r="I248" s="12"/>
      <c r="J248" s="12"/>
      <c r="K248" s="11" t="s">
        <v>1032</v>
      </c>
      <c r="L248" s="12" t="s">
        <v>1033</v>
      </c>
      <c r="M248" s="10" t="s">
        <v>1034</v>
      </c>
      <c r="N248" s="15"/>
      <c r="O248" s="17">
        <v>0</v>
      </c>
      <c r="P248" s="21">
        <v>1</v>
      </c>
      <c r="Q248" s="21">
        <v>2</v>
      </c>
      <c r="R248" s="115">
        <v>2</v>
      </c>
      <c r="S248" s="115">
        <v>2</v>
      </c>
      <c r="T248" s="12" t="s">
        <v>1035</v>
      </c>
      <c r="U248" s="283" t="s">
        <v>1037</v>
      </c>
      <c r="V248" s="18" t="s">
        <v>1036</v>
      </c>
      <c r="W248" s="298">
        <v>1</v>
      </c>
      <c r="X248" s="298">
        <v>1</v>
      </c>
      <c r="Y248" s="298">
        <v>0</v>
      </c>
      <c r="Z248" s="299">
        <v>1</v>
      </c>
      <c r="AA248" s="299">
        <v>1</v>
      </c>
      <c r="AB248" s="300">
        <v>1</v>
      </c>
      <c r="AC248" s="301">
        <v>1</v>
      </c>
      <c r="AD248" s="301">
        <v>1</v>
      </c>
      <c r="AE248" s="302">
        <f t="shared" si="31"/>
        <v>0.875</v>
      </c>
      <c r="AF248" s="63">
        <v>0</v>
      </c>
      <c r="AG248" s="17">
        <v>0</v>
      </c>
      <c r="AH248" s="17">
        <v>0</v>
      </c>
      <c r="AI248" s="17">
        <v>0</v>
      </c>
      <c r="AJ248" s="17">
        <v>0</v>
      </c>
      <c r="AK248" s="109">
        <v>0</v>
      </c>
      <c r="AL248" s="109">
        <v>0</v>
      </c>
      <c r="AM248" s="147">
        <f t="shared" ref="AM248:AM249" si="40">SUM(AK248:AL248)</f>
        <v>0</v>
      </c>
      <c r="AN248" s="18" t="s">
        <v>1035</v>
      </c>
      <c r="AO248" s="18" t="s">
        <v>1037</v>
      </c>
      <c r="AP248" s="10" t="s">
        <v>1038</v>
      </c>
    </row>
    <row r="249" spans="1:42" x14ac:dyDescent="0.3">
      <c r="A249" s="9" t="s">
        <v>30</v>
      </c>
      <c r="B249" s="10" t="s">
        <v>31</v>
      </c>
      <c r="C249" s="11" t="s">
        <v>774</v>
      </c>
      <c r="D249" s="12" t="s">
        <v>775</v>
      </c>
      <c r="E249" s="13" t="s">
        <v>862</v>
      </c>
      <c r="F249" s="12" t="s">
        <v>863</v>
      </c>
      <c r="G249" s="11" t="s">
        <v>1039</v>
      </c>
      <c r="H249" s="12" t="s">
        <v>1040</v>
      </c>
      <c r="I249" s="12"/>
      <c r="J249" s="12"/>
      <c r="K249" s="11" t="s">
        <v>1041</v>
      </c>
      <c r="L249" s="12" t="s">
        <v>1042</v>
      </c>
      <c r="M249" s="10" t="s">
        <v>1043</v>
      </c>
      <c r="N249" s="15"/>
      <c r="O249" s="17"/>
      <c r="P249" s="21"/>
      <c r="Q249" s="21"/>
      <c r="R249" s="115"/>
      <c r="S249" s="115"/>
      <c r="T249" s="12" t="s">
        <v>255</v>
      </c>
      <c r="U249" s="283" t="s">
        <v>1045</v>
      </c>
      <c r="V249" s="10" t="s">
        <v>1044</v>
      </c>
      <c r="W249" s="298">
        <v>1</v>
      </c>
      <c r="X249" s="298">
        <v>1</v>
      </c>
      <c r="Y249" s="298">
        <v>1</v>
      </c>
      <c r="Z249" s="299">
        <v>1</v>
      </c>
      <c r="AA249" s="299">
        <v>1</v>
      </c>
      <c r="AB249" s="300">
        <v>1</v>
      </c>
      <c r="AC249" s="301">
        <v>1</v>
      </c>
      <c r="AD249" s="301">
        <v>0</v>
      </c>
      <c r="AE249" s="302">
        <f t="shared" si="31"/>
        <v>0.875</v>
      </c>
      <c r="AF249" s="63">
        <v>0</v>
      </c>
      <c r="AG249" s="17">
        <v>0</v>
      </c>
      <c r="AH249" s="17">
        <v>28</v>
      </c>
      <c r="AI249" s="17">
        <v>24</v>
      </c>
      <c r="AJ249" s="17">
        <v>24</v>
      </c>
      <c r="AK249" s="109">
        <v>25</v>
      </c>
      <c r="AL249" s="127">
        <v>31</v>
      </c>
      <c r="AM249" s="147">
        <f t="shared" si="40"/>
        <v>56</v>
      </c>
      <c r="AN249" s="18" t="s">
        <v>255</v>
      </c>
      <c r="AO249" s="18" t="s">
        <v>1045</v>
      </c>
      <c r="AP249" s="10" t="s">
        <v>58</v>
      </c>
    </row>
    <row r="250" spans="1:42" hidden="1" x14ac:dyDescent="0.3">
      <c r="A250" s="9" t="s">
        <v>30</v>
      </c>
      <c r="B250" s="10" t="s">
        <v>31</v>
      </c>
      <c r="C250" s="11" t="s">
        <v>774</v>
      </c>
      <c r="D250" s="12" t="s">
        <v>775</v>
      </c>
      <c r="E250" s="13" t="s">
        <v>862</v>
      </c>
      <c r="F250" s="12" t="s">
        <v>863</v>
      </c>
      <c r="G250" s="11" t="s">
        <v>1046</v>
      </c>
      <c r="H250" s="12" t="s">
        <v>1047</v>
      </c>
      <c r="I250" s="12"/>
      <c r="J250" s="12"/>
      <c r="K250" s="11" t="s">
        <v>1048</v>
      </c>
      <c r="L250" s="12" t="s">
        <v>1049</v>
      </c>
      <c r="M250" s="10" t="s">
        <v>1050</v>
      </c>
      <c r="N250" s="15"/>
      <c r="O250" s="17"/>
      <c r="P250" s="21"/>
      <c r="Q250" s="21"/>
      <c r="R250" s="115"/>
      <c r="S250" s="115"/>
      <c r="T250" s="12" t="s">
        <v>92</v>
      </c>
      <c r="U250" s="283" t="s">
        <v>118</v>
      </c>
      <c r="V250" s="10"/>
      <c r="W250" s="298">
        <v>0</v>
      </c>
      <c r="X250" s="298">
        <v>0</v>
      </c>
      <c r="Y250" s="298">
        <v>0</v>
      </c>
      <c r="Z250" s="299">
        <v>0</v>
      </c>
      <c r="AA250" s="299">
        <v>0</v>
      </c>
      <c r="AB250" s="300">
        <v>0</v>
      </c>
      <c r="AC250" s="301">
        <v>0</v>
      </c>
      <c r="AD250" s="301">
        <v>0</v>
      </c>
      <c r="AE250" s="302">
        <f t="shared" si="31"/>
        <v>0</v>
      </c>
      <c r="AF250" s="63">
        <v>0</v>
      </c>
      <c r="AG250" s="17">
        <v>0</v>
      </c>
      <c r="AH250" s="17"/>
      <c r="AI250" s="17"/>
      <c r="AJ250" s="17"/>
      <c r="AK250" s="109"/>
      <c r="AL250" s="109"/>
      <c r="AM250" s="17" t="e">
        <f>SUM(#REF!)</f>
        <v>#REF!</v>
      </c>
      <c r="AN250" s="18" t="s">
        <v>92</v>
      </c>
      <c r="AO250" s="18" t="s">
        <v>118</v>
      </c>
      <c r="AP250" s="10" t="s">
        <v>723</v>
      </c>
    </row>
    <row r="251" spans="1:42" hidden="1" x14ac:dyDescent="0.3">
      <c r="A251" s="9" t="s">
        <v>30</v>
      </c>
      <c r="B251" s="10" t="s">
        <v>31</v>
      </c>
      <c r="C251" s="9" t="s">
        <v>1051</v>
      </c>
      <c r="D251" s="10" t="s">
        <v>1052</v>
      </c>
      <c r="E251" s="11" t="s">
        <v>1053</v>
      </c>
      <c r="F251" s="12" t="s">
        <v>1054</v>
      </c>
      <c r="G251" s="11" t="s">
        <v>1055</v>
      </c>
      <c r="H251" s="12" t="s">
        <v>1056</v>
      </c>
      <c r="I251" s="12" t="s">
        <v>1057</v>
      </c>
      <c r="J251" s="12" t="s">
        <v>1058</v>
      </c>
      <c r="K251" s="9" t="s">
        <v>1059</v>
      </c>
      <c r="L251" s="10" t="s">
        <v>1060</v>
      </c>
      <c r="M251" s="10" t="s">
        <v>1061</v>
      </c>
      <c r="N251" s="15">
        <v>0</v>
      </c>
      <c r="O251" s="21">
        <v>0</v>
      </c>
      <c r="P251" s="21">
        <v>1</v>
      </c>
      <c r="Q251" s="21"/>
      <c r="R251" s="115"/>
      <c r="S251" s="115"/>
      <c r="T251" s="12" t="s">
        <v>92</v>
      </c>
      <c r="U251" s="283" t="s">
        <v>118</v>
      </c>
      <c r="V251" s="10" t="s">
        <v>1062</v>
      </c>
      <c r="W251" s="298">
        <v>1</v>
      </c>
      <c r="X251" s="298">
        <v>0</v>
      </c>
      <c r="Y251" s="298">
        <v>0</v>
      </c>
      <c r="Z251" s="299">
        <v>1</v>
      </c>
      <c r="AA251" s="299">
        <v>1</v>
      </c>
      <c r="AB251" s="300">
        <v>0</v>
      </c>
      <c r="AC251" s="301">
        <v>1</v>
      </c>
      <c r="AD251" s="301">
        <v>0</v>
      </c>
      <c r="AE251" s="302">
        <f t="shared" si="31"/>
        <v>0.5</v>
      </c>
      <c r="AF251" s="63">
        <v>0</v>
      </c>
      <c r="AG251" s="17">
        <v>0</v>
      </c>
      <c r="AH251" s="17">
        <v>6.5</v>
      </c>
      <c r="AI251" s="17">
        <v>0.5</v>
      </c>
      <c r="AJ251" s="17">
        <v>0.5</v>
      </c>
      <c r="AK251" s="109"/>
      <c r="AL251" s="109"/>
      <c r="AM251" s="17" t="e">
        <f>SUM(#REF!)</f>
        <v>#REF!</v>
      </c>
      <c r="AN251" s="18" t="s">
        <v>92</v>
      </c>
      <c r="AO251" s="18" t="s">
        <v>118</v>
      </c>
      <c r="AP251" s="10" t="s">
        <v>1063</v>
      </c>
    </row>
    <row r="252" spans="1:42" x14ac:dyDescent="0.3">
      <c r="A252" s="9" t="s">
        <v>30</v>
      </c>
      <c r="B252" s="10" t="s">
        <v>31</v>
      </c>
      <c r="C252" s="9" t="s">
        <v>1051</v>
      </c>
      <c r="D252" s="10" t="s">
        <v>1052</v>
      </c>
      <c r="E252" s="11" t="s">
        <v>1053</v>
      </c>
      <c r="F252" s="12" t="s">
        <v>1054</v>
      </c>
      <c r="G252" s="11" t="s">
        <v>1055</v>
      </c>
      <c r="H252" s="12" t="s">
        <v>1056</v>
      </c>
      <c r="I252" s="12" t="s">
        <v>1057</v>
      </c>
      <c r="J252" s="12" t="s">
        <v>1058</v>
      </c>
      <c r="K252" s="9" t="s">
        <v>1059</v>
      </c>
      <c r="L252" s="10" t="s">
        <v>1060</v>
      </c>
      <c r="M252" s="10" t="s">
        <v>1064</v>
      </c>
      <c r="N252" s="15">
        <v>0</v>
      </c>
      <c r="O252" s="21">
        <v>1</v>
      </c>
      <c r="P252" s="21"/>
      <c r="Q252" s="21"/>
      <c r="R252" s="115"/>
      <c r="S252" s="115"/>
      <c r="T252" s="12" t="s">
        <v>321</v>
      </c>
      <c r="U252" s="283" t="s">
        <v>1066</v>
      </c>
      <c r="V252" s="10" t="s">
        <v>1065</v>
      </c>
      <c r="W252" s="298">
        <v>1</v>
      </c>
      <c r="X252" s="298">
        <v>1</v>
      </c>
      <c r="Y252" s="298">
        <v>1</v>
      </c>
      <c r="Z252" s="299">
        <v>1</v>
      </c>
      <c r="AA252" s="299">
        <v>1</v>
      </c>
      <c r="AB252" s="300">
        <v>1</v>
      </c>
      <c r="AC252" s="301">
        <v>1</v>
      </c>
      <c r="AD252" s="301">
        <v>0</v>
      </c>
      <c r="AE252" s="302">
        <f t="shared" si="31"/>
        <v>0.875</v>
      </c>
      <c r="AF252" s="63">
        <v>0</v>
      </c>
      <c r="AG252" s="17">
        <v>0</v>
      </c>
      <c r="AH252" s="17">
        <v>2.5</v>
      </c>
      <c r="AI252" s="17">
        <v>0.5</v>
      </c>
      <c r="AJ252" s="17">
        <v>0.3</v>
      </c>
      <c r="AK252" s="109">
        <v>0.1</v>
      </c>
      <c r="AL252" s="109">
        <v>0.1</v>
      </c>
      <c r="AM252" s="147">
        <f t="shared" ref="AM252:AM266" si="41">SUM(AK252:AL252)</f>
        <v>0.2</v>
      </c>
      <c r="AN252" s="18" t="s">
        <v>321</v>
      </c>
      <c r="AO252" s="18" t="s">
        <v>1066</v>
      </c>
      <c r="AP252" s="10" t="s">
        <v>1067</v>
      </c>
    </row>
    <row r="253" spans="1:42" x14ac:dyDescent="0.3">
      <c r="A253" s="9" t="s">
        <v>30</v>
      </c>
      <c r="B253" s="10" t="s">
        <v>31</v>
      </c>
      <c r="C253" s="9" t="s">
        <v>1051</v>
      </c>
      <c r="D253" s="10" t="s">
        <v>1052</v>
      </c>
      <c r="E253" s="11" t="s">
        <v>1053</v>
      </c>
      <c r="F253" s="12" t="s">
        <v>1054</v>
      </c>
      <c r="G253" s="11" t="s">
        <v>1055</v>
      </c>
      <c r="H253" s="12" t="s">
        <v>1056</v>
      </c>
      <c r="I253" s="12" t="s">
        <v>1057</v>
      </c>
      <c r="J253" s="12" t="s">
        <v>1058</v>
      </c>
      <c r="K253" s="9" t="s">
        <v>1068</v>
      </c>
      <c r="L253" s="10" t="s">
        <v>1069</v>
      </c>
      <c r="M253" s="10" t="s">
        <v>1070</v>
      </c>
      <c r="N253" s="15"/>
      <c r="O253" s="27">
        <v>50000</v>
      </c>
      <c r="P253" s="27">
        <v>50000</v>
      </c>
      <c r="Q253" s="27">
        <v>50000</v>
      </c>
      <c r="R253" s="144">
        <v>25000</v>
      </c>
      <c r="S253" s="144">
        <v>25000</v>
      </c>
      <c r="T253" s="12" t="s">
        <v>321</v>
      </c>
      <c r="U253" s="283" t="s">
        <v>1066</v>
      </c>
      <c r="V253" s="10" t="s">
        <v>1071</v>
      </c>
      <c r="W253" s="298">
        <v>1</v>
      </c>
      <c r="X253" s="298">
        <v>1</v>
      </c>
      <c r="Y253" s="298">
        <v>1</v>
      </c>
      <c r="Z253" s="299">
        <v>1</v>
      </c>
      <c r="AA253" s="299">
        <v>1</v>
      </c>
      <c r="AB253" s="300">
        <v>1</v>
      </c>
      <c r="AC253" s="301">
        <v>1</v>
      </c>
      <c r="AD253" s="301">
        <v>0</v>
      </c>
      <c r="AE253" s="302">
        <f t="shared" si="31"/>
        <v>0.875</v>
      </c>
      <c r="AF253" s="63">
        <v>0</v>
      </c>
      <c r="AG253" s="17">
        <v>0</v>
      </c>
      <c r="AH253" s="17">
        <v>3.65</v>
      </c>
      <c r="AI253" s="17">
        <v>2.5</v>
      </c>
      <c r="AJ253" s="17">
        <v>2.5</v>
      </c>
      <c r="AK253" s="127">
        <v>1</v>
      </c>
      <c r="AL253" s="127">
        <v>1</v>
      </c>
      <c r="AM253" s="147">
        <f t="shared" si="41"/>
        <v>2</v>
      </c>
      <c r="AN253" s="18" t="s">
        <v>321</v>
      </c>
      <c r="AO253" s="18" t="s">
        <v>1066</v>
      </c>
      <c r="AP253" s="10" t="s">
        <v>1072</v>
      </c>
    </row>
    <row r="254" spans="1:42" x14ac:dyDescent="0.3">
      <c r="A254" s="9" t="s">
        <v>30</v>
      </c>
      <c r="B254" s="10" t="s">
        <v>31</v>
      </c>
      <c r="C254" s="9" t="s">
        <v>1051</v>
      </c>
      <c r="D254" s="10" t="s">
        <v>1052</v>
      </c>
      <c r="E254" s="11" t="s">
        <v>1053</v>
      </c>
      <c r="F254" s="12" t="s">
        <v>1054</v>
      </c>
      <c r="G254" s="11" t="s">
        <v>1055</v>
      </c>
      <c r="H254" s="12" t="s">
        <v>1056</v>
      </c>
      <c r="I254" s="12" t="s">
        <v>1057</v>
      </c>
      <c r="J254" s="12" t="s">
        <v>1058</v>
      </c>
      <c r="K254" s="9" t="s">
        <v>1068</v>
      </c>
      <c r="L254" s="10" t="s">
        <v>1069</v>
      </c>
      <c r="M254" s="10" t="s">
        <v>1073</v>
      </c>
      <c r="N254" s="15">
        <v>35</v>
      </c>
      <c r="O254" s="21">
        <v>50</v>
      </c>
      <c r="P254" s="21">
        <v>80</v>
      </c>
      <c r="Q254" s="21">
        <v>100</v>
      </c>
      <c r="R254" s="129">
        <v>80</v>
      </c>
      <c r="S254" s="129">
        <v>80</v>
      </c>
      <c r="T254" s="12" t="s">
        <v>321</v>
      </c>
      <c r="U254" s="283" t="s">
        <v>1066</v>
      </c>
      <c r="V254" s="10" t="s">
        <v>1071</v>
      </c>
      <c r="W254" s="298">
        <v>1</v>
      </c>
      <c r="X254" s="298">
        <v>1</v>
      </c>
      <c r="Y254" s="298">
        <v>1</v>
      </c>
      <c r="Z254" s="299">
        <v>1</v>
      </c>
      <c r="AA254" s="299">
        <v>1</v>
      </c>
      <c r="AB254" s="300">
        <v>1</v>
      </c>
      <c r="AC254" s="301">
        <v>1</v>
      </c>
      <c r="AD254" s="301">
        <v>1</v>
      </c>
      <c r="AE254" s="302">
        <f t="shared" si="31"/>
        <v>1</v>
      </c>
      <c r="AF254" s="63">
        <v>0</v>
      </c>
      <c r="AG254" s="17">
        <v>0</v>
      </c>
      <c r="AH254" s="17"/>
      <c r="AI254" s="17"/>
      <c r="AJ254" s="17"/>
      <c r="AK254" s="127">
        <v>0.2</v>
      </c>
      <c r="AL254" s="127">
        <v>0.25</v>
      </c>
      <c r="AM254" s="147">
        <f t="shared" si="41"/>
        <v>0.45</v>
      </c>
      <c r="AN254" s="18" t="s">
        <v>321</v>
      </c>
      <c r="AO254" s="18" t="s">
        <v>1066</v>
      </c>
      <c r="AP254" s="10" t="s">
        <v>1072</v>
      </c>
    </row>
    <row r="255" spans="1:42" x14ac:dyDescent="0.3">
      <c r="A255" s="9" t="s">
        <v>30</v>
      </c>
      <c r="B255" s="10" t="s">
        <v>31</v>
      </c>
      <c r="C255" s="9" t="s">
        <v>1051</v>
      </c>
      <c r="D255" s="10" t="s">
        <v>1052</v>
      </c>
      <c r="E255" s="11" t="s">
        <v>1053</v>
      </c>
      <c r="F255" s="12" t="s">
        <v>1054</v>
      </c>
      <c r="G255" s="11" t="s">
        <v>1055</v>
      </c>
      <c r="H255" s="12" t="s">
        <v>1056</v>
      </c>
      <c r="I255" s="12" t="s">
        <v>1057</v>
      </c>
      <c r="J255" s="12" t="s">
        <v>1058</v>
      </c>
      <c r="K255" s="9" t="s">
        <v>1074</v>
      </c>
      <c r="L255" s="12" t="s">
        <v>1075</v>
      </c>
      <c r="M255" s="10" t="s">
        <v>1076</v>
      </c>
      <c r="N255" s="15">
        <v>0</v>
      </c>
      <c r="O255" s="17">
        <v>0</v>
      </c>
      <c r="P255" s="21"/>
      <c r="Q255" s="21"/>
      <c r="R255" s="129">
        <v>200</v>
      </c>
      <c r="S255" s="129">
        <v>300</v>
      </c>
      <c r="T255" s="12" t="s">
        <v>156</v>
      </c>
      <c r="U255" s="283" t="s">
        <v>158</v>
      </c>
      <c r="V255" s="10" t="s">
        <v>1077</v>
      </c>
      <c r="W255" s="298">
        <v>1</v>
      </c>
      <c r="X255" s="298">
        <v>1</v>
      </c>
      <c r="Y255" s="298">
        <v>1</v>
      </c>
      <c r="Z255" s="299">
        <v>1</v>
      </c>
      <c r="AA255" s="299">
        <v>1</v>
      </c>
      <c r="AB255" s="300">
        <v>1</v>
      </c>
      <c r="AC255" s="301">
        <v>1</v>
      </c>
      <c r="AD255" s="301">
        <v>1</v>
      </c>
      <c r="AE255" s="302">
        <f t="shared" si="31"/>
        <v>1</v>
      </c>
      <c r="AF255" s="63">
        <v>0</v>
      </c>
      <c r="AG255" s="17">
        <v>0</v>
      </c>
      <c r="AH255" s="17">
        <v>0</v>
      </c>
      <c r="AI255" s="17">
        <v>2.1</v>
      </c>
      <c r="AJ255" s="17">
        <v>2.2000000000000002</v>
      </c>
      <c r="AK255" s="127">
        <v>1.5</v>
      </c>
      <c r="AL255" s="127">
        <v>1.5</v>
      </c>
      <c r="AM255" s="147">
        <f t="shared" si="41"/>
        <v>3</v>
      </c>
      <c r="AN255" s="18" t="s">
        <v>156</v>
      </c>
      <c r="AO255" s="18" t="s">
        <v>158</v>
      </c>
      <c r="AP255" s="10" t="s">
        <v>1078</v>
      </c>
    </row>
    <row r="256" spans="1:42" x14ac:dyDescent="0.3">
      <c r="A256" s="9" t="s">
        <v>30</v>
      </c>
      <c r="B256" s="10" t="s">
        <v>31</v>
      </c>
      <c r="C256" s="9" t="s">
        <v>1051</v>
      </c>
      <c r="D256" s="10" t="s">
        <v>1052</v>
      </c>
      <c r="E256" s="11" t="s">
        <v>1053</v>
      </c>
      <c r="F256" s="12" t="s">
        <v>1054</v>
      </c>
      <c r="G256" s="11" t="s">
        <v>1055</v>
      </c>
      <c r="H256" s="12" t="s">
        <v>1056</v>
      </c>
      <c r="I256" s="12" t="s">
        <v>1057</v>
      </c>
      <c r="J256" s="12" t="s">
        <v>1058</v>
      </c>
      <c r="K256" s="9" t="s">
        <v>1079</v>
      </c>
      <c r="L256" s="10" t="s">
        <v>1080</v>
      </c>
      <c r="M256" s="10" t="s">
        <v>1081</v>
      </c>
      <c r="N256" s="15"/>
      <c r="O256" s="21">
        <v>1</v>
      </c>
      <c r="P256" s="21">
        <v>2</v>
      </c>
      <c r="Q256" s="21">
        <v>4</v>
      </c>
      <c r="R256" s="115">
        <v>6</v>
      </c>
      <c r="S256" s="115">
        <v>8</v>
      </c>
      <c r="T256" s="12" t="s">
        <v>92</v>
      </c>
      <c r="U256" s="283" t="s">
        <v>118</v>
      </c>
      <c r="V256" s="10" t="s">
        <v>1082</v>
      </c>
      <c r="W256" s="298">
        <v>1</v>
      </c>
      <c r="X256" s="298">
        <v>1</v>
      </c>
      <c r="Y256" s="298">
        <v>1</v>
      </c>
      <c r="Z256" s="299">
        <v>1</v>
      </c>
      <c r="AA256" s="299">
        <v>1</v>
      </c>
      <c r="AB256" s="300">
        <v>1</v>
      </c>
      <c r="AC256" s="301">
        <v>1</v>
      </c>
      <c r="AD256" s="301">
        <v>0</v>
      </c>
      <c r="AE256" s="302">
        <f t="shared" si="31"/>
        <v>0.875</v>
      </c>
      <c r="AF256" s="63">
        <v>0</v>
      </c>
      <c r="AG256" s="17">
        <v>0</v>
      </c>
      <c r="AH256" s="17">
        <v>1</v>
      </c>
      <c r="AI256" s="17">
        <v>0.5</v>
      </c>
      <c r="AJ256" s="17">
        <v>0.5</v>
      </c>
      <c r="AK256" s="127">
        <v>0.5</v>
      </c>
      <c r="AL256" s="127">
        <v>0.9</v>
      </c>
      <c r="AM256" s="147">
        <f t="shared" si="41"/>
        <v>1.4</v>
      </c>
      <c r="AN256" s="18" t="s">
        <v>92</v>
      </c>
      <c r="AO256" s="18" t="s">
        <v>118</v>
      </c>
      <c r="AP256" s="10" t="s">
        <v>1083</v>
      </c>
    </row>
    <row r="257" spans="1:42" x14ac:dyDescent="0.3">
      <c r="A257" s="9" t="s">
        <v>30</v>
      </c>
      <c r="B257" s="10" t="s">
        <v>31</v>
      </c>
      <c r="C257" s="9" t="s">
        <v>1051</v>
      </c>
      <c r="D257" s="10" t="s">
        <v>1052</v>
      </c>
      <c r="E257" s="11" t="s">
        <v>1053</v>
      </c>
      <c r="F257" s="12" t="s">
        <v>1054</v>
      </c>
      <c r="G257" s="11" t="s">
        <v>1055</v>
      </c>
      <c r="H257" s="12" t="s">
        <v>1056</v>
      </c>
      <c r="I257" s="12" t="s">
        <v>1084</v>
      </c>
      <c r="J257" s="12" t="s">
        <v>1085</v>
      </c>
      <c r="K257" s="9" t="s">
        <v>1086</v>
      </c>
      <c r="L257" s="10" t="s">
        <v>1087</v>
      </c>
      <c r="M257" s="10" t="s">
        <v>1088</v>
      </c>
      <c r="N257" s="15"/>
      <c r="O257" s="17">
        <v>0</v>
      </c>
      <c r="P257" s="21"/>
      <c r="Q257" s="21"/>
      <c r="R257" s="115"/>
      <c r="S257" s="115"/>
      <c r="T257" s="12" t="s">
        <v>265</v>
      </c>
      <c r="U257" s="283" t="s">
        <v>350</v>
      </c>
      <c r="V257" s="10" t="s">
        <v>1089</v>
      </c>
      <c r="W257" s="298">
        <v>1</v>
      </c>
      <c r="X257" s="298">
        <v>0</v>
      </c>
      <c r="Y257" s="298">
        <v>1</v>
      </c>
      <c r="Z257" s="299">
        <v>1</v>
      </c>
      <c r="AA257" s="299">
        <v>1</v>
      </c>
      <c r="AB257" s="300">
        <v>1</v>
      </c>
      <c r="AC257" s="301">
        <v>1</v>
      </c>
      <c r="AD257" s="301">
        <v>0</v>
      </c>
      <c r="AE257" s="302">
        <f t="shared" si="31"/>
        <v>0.75</v>
      </c>
      <c r="AF257" s="63">
        <v>0</v>
      </c>
      <c r="AG257" s="17">
        <v>0</v>
      </c>
      <c r="AH257" s="17">
        <v>1.25</v>
      </c>
      <c r="AI257" s="17">
        <v>1.45</v>
      </c>
      <c r="AJ257" s="17">
        <v>2</v>
      </c>
      <c r="AK257" s="127">
        <v>1</v>
      </c>
      <c r="AL257" s="109">
        <v>2</v>
      </c>
      <c r="AM257" s="147">
        <f t="shared" si="41"/>
        <v>3</v>
      </c>
      <c r="AN257" s="283" t="s">
        <v>265</v>
      </c>
      <c r="AO257" s="18" t="s">
        <v>350</v>
      </c>
      <c r="AP257" s="10" t="s">
        <v>1090</v>
      </c>
    </row>
    <row r="258" spans="1:42" x14ac:dyDescent="0.3">
      <c r="A258" s="9" t="s">
        <v>30</v>
      </c>
      <c r="B258" s="10" t="s">
        <v>31</v>
      </c>
      <c r="C258" s="9" t="s">
        <v>1051</v>
      </c>
      <c r="D258" s="10" t="s">
        <v>1052</v>
      </c>
      <c r="E258" s="11" t="s">
        <v>1053</v>
      </c>
      <c r="F258" s="12" t="s">
        <v>1054</v>
      </c>
      <c r="G258" s="11" t="s">
        <v>1055</v>
      </c>
      <c r="H258" s="12" t="s">
        <v>1056</v>
      </c>
      <c r="I258" s="12" t="s">
        <v>1084</v>
      </c>
      <c r="J258" s="12" t="s">
        <v>1085</v>
      </c>
      <c r="K258" s="9" t="s">
        <v>1091</v>
      </c>
      <c r="L258" s="10" t="s">
        <v>1092</v>
      </c>
      <c r="M258" s="10" t="s">
        <v>1093</v>
      </c>
      <c r="N258" s="15"/>
      <c r="O258" s="16">
        <v>500</v>
      </c>
      <c r="P258" s="16">
        <v>1500</v>
      </c>
      <c r="Q258" s="16">
        <v>3000</v>
      </c>
      <c r="R258" s="126">
        <v>2000</v>
      </c>
      <c r="S258" s="126">
        <v>4000</v>
      </c>
      <c r="T258" s="10" t="s">
        <v>321</v>
      </c>
      <c r="U258" s="283" t="s">
        <v>1066</v>
      </c>
      <c r="V258" s="10" t="s">
        <v>1094</v>
      </c>
      <c r="W258" s="298">
        <v>1</v>
      </c>
      <c r="X258" s="298">
        <v>0</v>
      </c>
      <c r="Y258" s="298">
        <v>1</v>
      </c>
      <c r="Z258" s="299">
        <v>1</v>
      </c>
      <c r="AA258" s="299">
        <v>1</v>
      </c>
      <c r="AB258" s="300">
        <v>1</v>
      </c>
      <c r="AC258" s="301">
        <v>1</v>
      </c>
      <c r="AD258" s="301">
        <v>0</v>
      </c>
      <c r="AE258" s="302">
        <f t="shared" si="31"/>
        <v>0.75</v>
      </c>
      <c r="AF258" s="63">
        <v>0</v>
      </c>
      <c r="AG258" s="17">
        <v>0</v>
      </c>
      <c r="AH258" s="17">
        <v>0</v>
      </c>
      <c r="AI258" s="32">
        <v>0.2</v>
      </c>
      <c r="AJ258" s="32">
        <v>1</v>
      </c>
      <c r="AK258" s="132">
        <v>0.8</v>
      </c>
      <c r="AL258" s="132">
        <v>1.6</v>
      </c>
      <c r="AM258" s="147">
        <f t="shared" si="41"/>
        <v>2.4000000000000004</v>
      </c>
      <c r="AN258" s="18" t="s">
        <v>321</v>
      </c>
      <c r="AO258" s="18" t="s">
        <v>1066</v>
      </c>
      <c r="AP258" s="10" t="s">
        <v>1095</v>
      </c>
    </row>
    <row r="259" spans="1:42" hidden="1" x14ac:dyDescent="0.3">
      <c r="A259" s="9" t="s">
        <v>30</v>
      </c>
      <c r="B259" s="10" t="s">
        <v>31</v>
      </c>
      <c r="C259" s="9" t="s">
        <v>1051</v>
      </c>
      <c r="D259" s="10" t="s">
        <v>1052</v>
      </c>
      <c r="E259" s="11" t="s">
        <v>1053</v>
      </c>
      <c r="F259" s="12" t="s">
        <v>1054</v>
      </c>
      <c r="G259" s="11" t="s">
        <v>1055</v>
      </c>
      <c r="H259" s="12" t="s">
        <v>1056</v>
      </c>
      <c r="I259" s="12" t="s">
        <v>1084</v>
      </c>
      <c r="J259" s="12" t="s">
        <v>1085</v>
      </c>
      <c r="K259" s="9" t="s">
        <v>1096</v>
      </c>
      <c r="L259" s="10" t="s">
        <v>1097</v>
      </c>
      <c r="M259" s="10" t="s">
        <v>1098</v>
      </c>
      <c r="N259" s="15">
        <v>0</v>
      </c>
      <c r="O259" s="16">
        <v>1000</v>
      </c>
      <c r="P259" s="16">
        <v>5000</v>
      </c>
      <c r="Q259" s="16">
        <v>10000</v>
      </c>
      <c r="R259" s="110">
        <v>20000</v>
      </c>
      <c r="S259" s="110">
        <v>30000</v>
      </c>
      <c r="T259" s="10" t="s">
        <v>321</v>
      </c>
      <c r="U259" s="283" t="s">
        <v>1066</v>
      </c>
      <c r="V259" s="10" t="s">
        <v>1099</v>
      </c>
      <c r="W259" s="298">
        <v>1</v>
      </c>
      <c r="X259" s="298">
        <v>0</v>
      </c>
      <c r="Y259" s="298">
        <v>0</v>
      </c>
      <c r="Z259" s="299">
        <v>1</v>
      </c>
      <c r="AA259" s="299">
        <v>1</v>
      </c>
      <c r="AB259" s="300">
        <v>1</v>
      </c>
      <c r="AC259" s="301">
        <v>1</v>
      </c>
      <c r="AD259" s="301">
        <v>0</v>
      </c>
      <c r="AE259" s="302">
        <f t="shared" si="31"/>
        <v>0.625</v>
      </c>
      <c r="AF259" s="63">
        <v>0</v>
      </c>
      <c r="AG259" s="17">
        <v>0</v>
      </c>
      <c r="AH259" s="17">
        <v>0</v>
      </c>
      <c r="AI259" s="32">
        <v>0.2</v>
      </c>
      <c r="AJ259" s="32">
        <v>1</v>
      </c>
      <c r="AK259" s="123">
        <v>1</v>
      </c>
      <c r="AL259" s="132">
        <v>1.5</v>
      </c>
      <c r="AM259" s="147">
        <f t="shared" si="41"/>
        <v>2.5</v>
      </c>
      <c r="AN259" s="18" t="s">
        <v>321</v>
      </c>
      <c r="AO259" s="18" t="s">
        <v>1066</v>
      </c>
      <c r="AP259" s="10" t="s">
        <v>1100</v>
      </c>
    </row>
    <row r="260" spans="1:42" x14ac:dyDescent="0.3">
      <c r="A260" s="9" t="s">
        <v>30</v>
      </c>
      <c r="B260" s="10" t="s">
        <v>31</v>
      </c>
      <c r="C260" s="9" t="s">
        <v>1051</v>
      </c>
      <c r="D260" s="10" t="s">
        <v>1052</v>
      </c>
      <c r="E260" s="11" t="s">
        <v>1053</v>
      </c>
      <c r="F260" s="12" t="s">
        <v>1054</v>
      </c>
      <c r="G260" s="11" t="s">
        <v>1055</v>
      </c>
      <c r="H260" s="12" t="s">
        <v>1056</v>
      </c>
      <c r="I260" s="12" t="s">
        <v>1084</v>
      </c>
      <c r="J260" s="12" t="s">
        <v>1085</v>
      </c>
      <c r="K260" s="9" t="s">
        <v>1101</v>
      </c>
      <c r="L260" s="10" t="s">
        <v>1102</v>
      </c>
      <c r="M260" s="10" t="s">
        <v>1103</v>
      </c>
      <c r="N260" s="15"/>
      <c r="O260" s="21">
        <v>50</v>
      </c>
      <c r="P260" s="21">
        <v>100</v>
      </c>
      <c r="Q260" s="21">
        <v>200</v>
      </c>
      <c r="R260" s="115">
        <v>70</v>
      </c>
      <c r="S260" s="115">
        <v>80</v>
      </c>
      <c r="T260" s="12" t="s">
        <v>92</v>
      </c>
      <c r="U260" s="283" t="s">
        <v>118</v>
      </c>
      <c r="V260" s="10" t="s">
        <v>1104</v>
      </c>
      <c r="W260" s="298">
        <v>1</v>
      </c>
      <c r="X260" s="298">
        <v>0</v>
      </c>
      <c r="Y260" s="298">
        <v>1</v>
      </c>
      <c r="Z260" s="299">
        <v>1</v>
      </c>
      <c r="AA260" s="299">
        <v>1</v>
      </c>
      <c r="AB260" s="300">
        <v>1</v>
      </c>
      <c r="AC260" s="301">
        <v>1</v>
      </c>
      <c r="AD260" s="301">
        <v>0</v>
      </c>
      <c r="AE260" s="302">
        <f t="shared" si="31"/>
        <v>0.75</v>
      </c>
      <c r="AF260" s="63">
        <v>0</v>
      </c>
      <c r="AG260" s="17">
        <v>0</v>
      </c>
      <c r="AH260" s="17">
        <v>3.8</v>
      </c>
      <c r="AI260" s="17">
        <v>1</v>
      </c>
      <c r="AJ260" s="17">
        <v>1</v>
      </c>
      <c r="AK260" s="127">
        <v>0.43679999999999997</v>
      </c>
      <c r="AL260" s="127">
        <v>0.49919999999999998</v>
      </c>
      <c r="AM260" s="147">
        <f t="shared" si="41"/>
        <v>0.93599999999999994</v>
      </c>
      <c r="AN260" s="18" t="s">
        <v>92</v>
      </c>
      <c r="AO260" s="18" t="s">
        <v>118</v>
      </c>
      <c r="AP260" s="10" t="s">
        <v>1105</v>
      </c>
    </row>
    <row r="261" spans="1:42" x14ac:dyDescent="0.3">
      <c r="A261" s="9" t="s">
        <v>30</v>
      </c>
      <c r="B261" s="10" t="s">
        <v>31</v>
      </c>
      <c r="C261" s="9" t="s">
        <v>1051</v>
      </c>
      <c r="D261" s="10" t="s">
        <v>1052</v>
      </c>
      <c r="E261" s="11" t="s">
        <v>1053</v>
      </c>
      <c r="F261" s="12" t="s">
        <v>1054</v>
      </c>
      <c r="G261" s="11" t="s">
        <v>1055</v>
      </c>
      <c r="H261" s="12" t="s">
        <v>1056</v>
      </c>
      <c r="I261" s="12" t="s">
        <v>1084</v>
      </c>
      <c r="J261" s="12" t="s">
        <v>1085</v>
      </c>
      <c r="K261" s="9" t="s">
        <v>1101</v>
      </c>
      <c r="L261" s="10" t="s">
        <v>1102</v>
      </c>
      <c r="M261" s="10" t="s">
        <v>1106</v>
      </c>
      <c r="N261" s="15">
        <v>0</v>
      </c>
      <c r="O261" s="21">
        <v>1000</v>
      </c>
      <c r="P261" s="21">
        <v>1000</v>
      </c>
      <c r="Q261" s="21">
        <v>1500</v>
      </c>
      <c r="R261" s="129">
        <v>600</v>
      </c>
      <c r="S261" s="129">
        <v>800</v>
      </c>
      <c r="T261" s="12" t="s">
        <v>92</v>
      </c>
      <c r="U261" s="283" t="s">
        <v>118</v>
      </c>
      <c r="V261" s="10" t="s">
        <v>1104</v>
      </c>
      <c r="W261" s="298">
        <v>1</v>
      </c>
      <c r="X261" s="298">
        <v>0</v>
      </c>
      <c r="Y261" s="298">
        <v>1</v>
      </c>
      <c r="Z261" s="299">
        <v>1</v>
      </c>
      <c r="AA261" s="299">
        <v>1</v>
      </c>
      <c r="AB261" s="300">
        <v>1</v>
      </c>
      <c r="AC261" s="301">
        <v>1</v>
      </c>
      <c r="AD261" s="301">
        <v>0</v>
      </c>
      <c r="AE261" s="302">
        <f t="shared" si="31"/>
        <v>0.75</v>
      </c>
      <c r="AF261" s="63">
        <v>0</v>
      </c>
      <c r="AG261" s="17">
        <v>0</v>
      </c>
      <c r="AH261" s="17"/>
      <c r="AI261" s="17"/>
      <c r="AJ261" s="17"/>
      <c r="AK261" s="127">
        <v>0.6</v>
      </c>
      <c r="AL261" s="127">
        <v>0.8</v>
      </c>
      <c r="AM261" s="147">
        <f t="shared" si="41"/>
        <v>1.4</v>
      </c>
      <c r="AN261" s="18" t="s">
        <v>92</v>
      </c>
      <c r="AO261" s="18" t="s">
        <v>118</v>
      </c>
      <c r="AP261" s="10" t="s">
        <v>1105</v>
      </c>
    </row>
    <row r="262" spans="1:42" x14ac:dyDescent="0.3">
      <c r="A262" s="9" t="s">
        <v>30</v>
      </c>
      <c r="B262" s="10" t="s">
        <v>31</v>
      </c>
      <c r="C262" s="9" t="s">
        <v>1051</v>
      </c>
      <c r="D262" s="10" t="s">
        <v>1052</v>
      </c>
      <c r="E262" s="11" t="s">
        <v>1053</v>
      </c>
      <c r="F262" s="12" t="s">
        <v>1054</v>
      </c>
      <c r="G262" s="11" t="s">
        <v>1055</v>
      </c>
      <c r="H262" s="12" t="s">
        <v>1056</v>
      </c>
      <c r="I262" s="12" t="s">
        <v>1084</v>
      </c>
      <c r="J262" s="12" t="s">
        <v>1085</v>
      </c>
      <c r="K262" s="9" t="s">
        <v>1107</v>
      </c>
      <c r="L262" s="10" t="s">
        <v>1108</v>
      </c>
      <c r="M262" s="10" t="s">
        <v>1109</v>
      </c>
      <c r="N262" s="15"/>
      <c r="O262" s="17">
        <v>0</v>
      </c>
      <c r="P262" s="21">
        <v>100</v>
      </c>
      <c r="Q262" s="21">
        <v>100</v>
      </c>
      <c r="R262" s="115">
        <v>150</v>
      </c>
      <c r="S262" s="115">
        <v>150</v>
      </c>
      <c r="T262" s="12" t="s">
        <v>156</v>
      </c>
      <c r="U262" s="283" t="s">
        <v>158</v>
      </c>
      <c r="V262" s="10" t="s">
        <v>1110</v>
      </c>
      <c r="W262" s="298">
        <v>1</v>
      </c>
      <c r="X262" s="298">
        <v>0</v>
      </c>
      <c r="Y262" s="298">
        <v>1</v>
      </c>
      <c r="Z262" s="299">
        <v>1</v>
      </c>
      <c r="AA262" s="299">
        <v>1</v>
      </c>
      <c r="AB262" s="300">
        <v>1</v>
      </c>
      <c r="AC262" s="301">
        <v>1</v>
      </c>
      <c r="AD262" s="301">
        <v>0</v>
      </c>
      <c r="AE262" s="302">
        <f t="shared" si="31"/>
        <v>0.75</v>
      </c>
      <c r="AF262" s="63">
        <v>0</v>
      </c>
      <c r="AG262" s="17">
        <v>0</v>
      </c>
      <c r="AH262" s="17">
        <v>0</v>
      </c>
      <c r="AI262" s="32">
        <v>2.1</v>
      </c>
      <c r="AJ262" s="32">
        <v>2.5</v>
      </c>
      <c r="AK262" s="132">
        <v>0.5</v>
      </c>
      <c r="AL262" s="132">
        <v>0.15</v>
      </c>
      <c r="AM262" s="147">
        <f t="shared" si="41"/>
        <v>0.65</v>
      </c>
      <c r="AN262" s="10" t="s">
        <v>156</v>
      </c>
      <c r="AO262" s="18" t="s">
        <v>158</v>
      </c>
      <c r="AP262" s="10" t="s">
        <v>265</v>
      </c>
    </row>
    <row r="263" spans="1:42" x14ac:dyDescent="0.3">
      <c r="A263" s="9" t="s">
        <v>30</v>
      </c>
      <c r="B263" s="10" t="s">
        <v>31</v>
      </c>
      <c r="C263" s="9" t="s">
        <v>1051</v>
      </c>
      <c r="D263" s="10" t="s">
        <v>1052</v>
      </c>
      <c r="E263" s="11" t="s">
        <v>1053</v>
      </c>
      <c r="F263" s="12" t="s">
        <v>1054</v>
      </c>
      <c r="G263" s="11" t="s">
        <v>1055</v>
      </c>
      <c r="H263" s="12" t="s">
        <v>1056</v>
      </c>
      <c r="I263" s="12" t="s">
        <v>1111</v>
      </c>
      <c r="J263" s="12" t="s">
        <v>1112</v>
      </c>
      <c r="K263" s="9" t="s">
        <v>1113</v>
      </c>
      <c r="L263" s="10" t="s">
        <v>1114</v>
      </c>
      <c r="M263" s="10" t="s">
        <v>1115</v>
      </c>
      <c r="N263" s="15"/>
      <c r="O263" s="21">
        <v>3</v>
      </c>
      <c r="P263" s="21">
        <v>3</v>
      </c>
      <c r="Q263" s="21">
        <v>3</v>
      </c>
      <c r="R263" s="115">
        <v>3</v>
      </c>
      <c r="S263" s="115">
        <v>3</v>
      </c>
      <c r="T263" s="12" t="s">
        <v>321</v>
      </c>
      <c r="U263" s="283" t="s">
        <v>1066</v>
      </c>
      <c r="V263" s="10" t="s">
        <v>1498</v>
      </c>
      <c r="W263" s="298">
        <v>1</v>
      </c>
      <c r="X263" s="298">
        <v>1</v>
      </c>
      <c r="Y263" s="298">
        <v>1</v>
      </c>
      <c r="Z263" s="299">
        <v>1</v>
      </c>
      <c r="AA263" s="299">
        <v>1</v>
      </c>
      <c r="AB263" s="300">
        <v>1</v>
      </c>
      <c r="AC263" s="301">
        <v>1</v>
      </c>
      <c r="AD263" s="301">
        <v>1</v>
      </c>
      <c r="AE263" s="302">
        <f t="shared" ref="AE263:AE325" si="42">SUM(W263:AD263)/8</f>
        <v>1</v>
      </c>
      <c r="AF263" s="63">
        <v>0</v>
      </c>
      <c r="AG263" s="17">
        <v>0</v>
      </c>
      <c r="AH263" s="32">
        <v>5</v>
      </c>
      <c r="AI263" s="32">
        <v>5</v>
      </c>
      <c r="AJ263" s="32">
        <v>5</v>
      </c>
      <c r="AK263" s="132">
        <v>17</v>
      </c>
      <c r="AL263" s="123">
        <v>24</v>
      </c>
      <c r="AM263" s="147">
        <f t="shared" si="41"/>
        <v>41</v>
      </c>
      <c r="AN263" s="10" t="s">
        <v>321</v>
      </c>
      <c r="AO263" s="18" t="s">
        <v>1066</v>
      </c>
      <c r="AP263" s="10" t="s">
        <v>92</v>
      </c>
    </row>
    <row r="264" spans="1:42" x14ac:dyDescent="0.3">
      <c r="A264" s="9" t="s">
        <v>30</v>
      </c>
      <c r="B264" s="10" t="s">
        <v>31</v>
      </c>
      <c r="C264" s="9" t="s">
        <v>1051</v>
      </c>
      <c r="D264" s="10" t="s">
        <v>1052</v>
      </c>
      <c r="E264" s="11" t="s">
        <v>1053</v>
      </c>
      <c r="F264" s="12" t="s">
        <v>1054</v>
      </c>
      <c r="G264" s="11" t="s">
        <v>1055</v>
      </c>
      <c r="H264" s="12" t="s">
        <v>1056</v>
      </c>
      <c r="I264" s="12" t="s">
        <v>1111</v>
      </c>
      <c r="J264" s="12" t="s">
        <v>1112</v>
      </c>
      <c r="K264" s="9" t="s">
        <v>1116</v>
      </c>
      <c r="L264" s="10" t="s">
        <v>1117</v>
      </c>
      <c r="M264" s="10" t="s">
        <v>1118</v>
      </c>
      <c r="N264" s="15"/>
      <c r="O264" s="21">
        <v>2</v>
      </c>
      <c r="P264" s="21">
        <v>2</v>
      </c>
      <c r="Q264" s="21">
        <v>3</v>
      </c>
      <c r="R264" s="115">
        <v>0</v>
      </c>
      <c r="S264" s="115">
        <v>4</v>
      </c>
      <c r="T264" s="12" t="s">
        <v>326</v>
      </c>
      <c r="U264" s="283" t="s">
        <v>328</v>
      </c>
      <c r="V264" s="10" t="s">
        <v>1119</v>
      </c>
      <c r="W264" s="298">
        <v>1</v>
      </c>
      <c r="X264" s="298">
        <v>1</v>
      </c>
      <c r="Y264" s="298">
        <v>1</v>
      </c>
      <c r="Z264" s="299">
        <v>1</v>
      </c>
      <c r="AA264" s="299">
        <v>0</v>
      </c>
      <c r="AB264" s="300">
        <v>1</v>
      </c>
      <c r="AC264" s="301">
        <v>1</v>
      </c>
      <c r="AD264" s="301">
        <v>1</v>
      </c>
      <c r="AE264" s="302">
        <f t="shared" si="42"/>
        <v>0.875</v>
      </c>
      <c r="AF264" s="63">
        <v>0</v>
      </c>
      <c r="AG264" s="17">
        <v>0</v>
      </c>
      <c r="AH264" s="17">
        <v>4.8499999999999996</v>
      </c>
      <c r="AI264" s="17">
        <v>4.8499999999999996</v>
      </c>
      <c r="AJ264" s="17">
        <v>4.8499999999999996</v>
      </c>
      <c r="AK264" s="127">
        <v>3.5</v>
      </c>
      <c r="AL264" s="127">
        <v>3.6</v>
      </c>
      <c r="AM264" s="147">
        <f t="shared" si="41"/>
        <v>7.1</v>
      </c>
      <c r="AN264" s="18" t="s">
        <v>326</v>
      </c>
      <c r="AO264" s="18" t="s">
        <v>328</v>
      </c>
      <c r="AP264" s="10" t="s">
        <v>92</v>
      </c>
    </row>
    <row r="265" spans="1:42" x14ac:dyDescent="0.3">
      <c r="A265" s="9" t="s">
        <v>30</v>
      </c>
      <c r="B265" s="10" t="s">
        <v>31</v>
      </c>
      <c r="C265" s="9" t="s">
        <v>1051</v>
      </c>
      <c r="D265" s="10" t="s">
        <v>1052</v>
      </c>
      <c r="E265" s="11" t="s">
        <v>1053</v>
      </c>
      <c r="F265" s="12" t="s">
        <v>1054</v>
      </c>
      <c r="G265" s="11" t="s">
        <v>1055</v>
      </c>
      <c r="H265" s="12" t="s">
        <v>1056</v>
      </c>
      <c r="I265" s="12" t="s">
        <v>1111</v>
      </c>
      <c r="J265" s="12" t="s">
        <v>1112</v>
      </c>
      <c r="K265" s="9" t="s">
        <v>1116</v>
      </c>
      <c r="L265" s="10" t="s">
        <v>1117</v>
      </c>
      <c r="M265" s="10" t="s">
        <v>1120</v>
      </c>
      <c r="N265" s="15"/>
      <c r="O265" s="17">
        <v>0</v>
      </c>
      <c r="P265" s="21">
        <v>2</v>
      </c>
      <c r="Q265" s="21">
        <v>3</v>
      </c>
      <c r="R265" s="129">
        <v>2</v>
      </c>
      <c r="S265" s="115">
        <v>3</v>
      </c>
      <c r="T265" s="12" t="s">
        <v>326</v>
      </c>
      <c r="U265" s="283" t="s">
        <v>328</v>
      </c>
      <c r="V265" s="10" t="s">
        <v>1119</v>
      </c>
      <c r="W265" s="298">
        <v>1</v>
      </c>
      <c r="X265" s="298">
        <v>1</v>
      </c>
      <c r="Y265" s="298">
        <v>1</v>
      </c>
      <c r="Z265" s="299">
        <v>1</v>
      </c>
      <c r="AA265" s="299">
        <v>0</v>
      </c>
      <c r="AB265" s="300">
        <v>1</v>
      </c>
      <c r="AC265" s="301">
        <v>1</v>
      </c>
      <c r="AD265" s="301">
        <v>1</v>
      </c>
      <c r="AE265" s="302">
        <f t="shared" si="42"/>
        <v>0.875</v>
      </c>
      <c r="AF265" s="63">
        <v>0</v>
      </c>
      <c r="AG265" s="17">
        <v>0</v>
      </c>
      <c r="AH265" s="17">
        <v>4.8499999999999996</v>
      </c>
      <c r="AI265" s="17">
        <v>4.8499999999999996</v>
      </c>
      <c r="AJ265" s="17">
        <v>4.8499999999999996</v>
      </c>
      <c r="AK265" s="127">
        <v>4.5999999999999996</v>
      </c>
      <c r="AL265" s="127">
        <v>6.9</v>
      </c>
      <c r="AM265" s="147">
        <f t="shared" si="41"/>
        <v>11.5</v>
      </c>
      <c r="AN265" s="18" t="s">
        <v>326</v>
      </c>
      <c r="AO265" s="18" t="s">
        <v>328</v>
      </c>
      <c r="AP265" s="10" t="s">
        <v>1121</v>
      </c>
    </row>
    <row r="266" spans="1:42" x14ac:dyDescent="0.3">
      <c r="A266" s="9" t="s">
        <v>30</v>
      </c>
      <c r="B266" s="10" t="s">
        <v>31</v>
      </c>
      <c r="C266" s="9" t="s">
        <v>1051</v>
      </c>
      <c r="D266" s="10" t="s">
        <v>1052</v>
      </c>
      <c r="E266" s="11" t="s">
        <v>1053</v>
      </c>
      <c r="F266" s="12" t="s">
        <v>1054</v>
      </c>
      <c r="G266" s="11" t="s">
        <v>1055</v>
      </c>
      <c r="H266" s="12" t="s">
        <v>1056</v>
      </c>
      <c r="I266" s="12" t="s">
        <v>1111</v>
      </c>
      <c r="J266" s="12" t="s">
        <v>1112</v>
      </c>
      <c r="K266" s="9" t="s">
        <v>1122</v>
      </c>
      <c r="L266" s="10" t="s">
        <v>1123</v>
      </c>
      <c r="M266" s="10" t="s">
        <v>1124</v>
      </c>
      <c r="N266" s="15"/>
      <c r="O266" s="17">
        <v>0</v>
      </c>
      <c r="P266" s="21">
        <v>2</v>
      </c>
      <c r="Q266" s="21">
        <v>2</v>
      </c>
      <c r="R266" s="115">
        <v>1</v>
      </c>
      <c r="S266" s="115">
        <v>1</v>
      </c>
      <c r="T266" s="12" t="s">
        <v>156</v>
      </c>
      <c r="U266" s="283" t="s">
        <v>158</v>
      </c>
      <c r="V266" s="10" t="s">
        <v>1125</v>
      </c>
      <c r="W266" s="298">
        <v>1</v>
      </c>
      <c r="X266" s="298">
        <v>1</v>
      </c>
      <c r="Y266" s="298">
        <v>1</v>
      </c>
      <c r="Z266" s="299">
        <v>1</v>
      </c>
      <c r="AA266" s="299">
        <v>1</v>
      </c>
      <c r="AB266" s="300">
        <v>1</v>
      </c>
      <c r="AC266" s="301">
        <v>1</v>
      </c>
      <c r="AD266" s="301">
        <v>1</v>
      </c>
      <c r="AE266" s="302">
        <f t="shared" si="42"/>
        <v>1</v>
      </c>
      <c r="AF266" s="63">
        <v>0</v>
      </c>
      <c r="AG266" s="17">
        <v>0</v>
      </c>
      <c r="AH266" s="32">
        <v>4.5</v>
      </c>
      <c r="AI266" s="32">
        <v>6.5</v>
      </c>
      <c r="AJ266" s="32">
        <v>16.5</v>
      </c>
      <c r="AK266" s="132">
        <v>7</v>
      </c>
      <c r="AL266" s="132">
        <v>6</v>
      </c>
      <c r="AM266" s="147">
        <f t="shared" si="41"/>
        <v>13</v>
      </c>
      <c r="AN266" s="10" t="s">
        <v>156</v>
      </c>
      <c r="AO266" s="18" t="s">
        <v>158</v>
      </c>
      <c r="AP266" s="10" t="s">
        <v>1126</v>
      </c>
    </row>
    <row r="267" spans="1:42" hidden="1" x14ac:dyDescent="0.3">
      <c r="A267" s="9" t="s">
        <v>30</v>
      </c>
      <c r="B267" s="10" t="s">
        <v>31</v>
      </c>
      <c r="C267" s="9" t="s">
        <v>1051</v>
      </c>
      <c r="D267" s="10" t="s">
        <v>1052</v>
      </c>
      <c r="E267" s="11" t="s">
        <v>1053</v>
      </c>
      <c r="F267" s="12" t="s">
        <v>1054</v>
      </c>
      <c r="G267" s="11" t="s">
        <v>1055</v>
      </c>
      <c r="H267" s="12" t="s">
        <v>1056</v>
      </c>
      <c r="I267" s="12" t="s">
        <v>1127</v>
      </c>
      <c r="J267" s="12" t="s">
        <v>1128</v>
      </c>
      <c r="K267" s="9" t="s">
        <v>1129</v>
      </c>
      <c r="L267" s="10" t="s">
        <v>1130</v>
      </c>
      <c r="M267" s="10" t="s">
        <v>1131</v>
      </c>
      <c r="N267" s="15"/>
      <c r="O267" s="17">
        <v>13</v>
      </c>
      <c r="P267" s="21">
        <v>13</v>
      </c>
      <c r="Q267" s="21">
        <v>13</v>
      </c>
      <c r="R267" s="115">
        <v>13</v>
      </c>
      <c r="S267" s="115">
        <v>13</v>
      </c>
      <c r="T267" s="12" t="s">
        <v>1132</v>
      </c>
      <c r="U267" s="283" t="s">
        <v>3739</v>
      </c>
      <c r="V267" s="10" t="s">
        <v>1133</v>
      </c>
      <c r="W267" s="298">
        <v>1</v>
      </c>
      <c r="X267" s="298">
        <v>0</v>
      </c>
      <c r="Y267" s="298">
        <v>0</v>
      </c>
      <c r="Z267" s="299">
        <v>1</v>
      </c>
      <c r="AA267" s="299">
        <v>1</v>
      </c>
      <c r="AB267" s="300">
        <v>0</v>
      </c>
      <c r="AC267" s="301">
        <v>0</v>
      </c>
      <c r="AD267" s="301">
        <v>0</v>
      </c>
      <c r="AE267" s="302">
        <f t="shared" si="42"/>
        <v>0.375</v>
      </c>
      <c r="AF267" s="63">
        <v>0</v>
      </c>
      <c r="AG267" s="17">
        <v>0</v>
      </c>
      <c r="AH267" s="32">
        <v>2</v>
      </c>
      <c r="AI267" s="32">
        <v>2</v>
      </c>
      <c r="AJ267" s="32">
        <v>2</v>
      </c>
      <c r="AK267" s="123"/>
      <c r="AL267" s="123"/>
      <c r="AM267" s="17" t="e">
        <f>SUM(#REF!)</f>
        <v>#REF!</v>
      </c>
      <c r="AN267" s="10" t="s">
        <v>1132</v>
      </c>
      <c r="AO267" s="18" t="s">
        <v>1134</v>
      </c>
      <c r="AP267" s="10" t="s">
        <v>92</v>
      </c>
    </row>
    <row r="268" spans="1:42" hidden="1" x14ac:dyDescent="0.3">
      <c r="A268" s="9" t="s">
        <v>30</v>
      </c>
      <c r="B268" s="10" t="s">
        <v>31</v>
      </c>
      <c r="C268" s="9" t="s">
        <v>1051</v>
      </c>
      <c r="D268" s="10" t="s">
        <v>1052</v>
      </c>
      <c r="E268" s="11" t="s">
        <v>1053</v>
      </c>
      <c r="F268" s="12" t="s">
        <v>1054</v>
      </c>
      <c r="G268" s="11" t="s">
        <v>1135</v>
      </c>
      <c r="H268" s="12" t="s">
        <v>1136</v>
      </c>
      <c r="I268" s="12" t="s">
        <v>1137</v>
      </c>
      <c r="J268" s="12" t="s">
        <v>1138</v>
      </c>
      <c r="K268" s="11" t="s">
        <v>1139</v>
      </c>
      <c r="L268" s="12" t="s">
        <v>1140</v>
      </c>
      <c r="M268" s="10" t="s">
        <v>1141</v>
      </c>
      <c r="N268" s="15"/>
      <c r="O268" s="17">
        <v>0</v>
      </c>
      <c r="P268" s="21">
        <v>1</v>
      </c>
      <c r="Q268" s="21">
        <v>1</v>
      </c>
      <c r="R268" s="115">
        <v>1</v>
      </c>
      <c r="S268" s="115">
        <v>1</v>
      </c>
      <c r="T268" s="12" t="s">
        <v>265</v>
      </c>
      <c r="U268" s="283" t="s">
        <v>350</v>
      </c>
      <c r="V268" s="10" t="s">
        <v>1142</v>
      </c>
      <c r="W268" s="298">
        <v>1</v>
      </c>
      <c r="X268" s="298">
        <v>0</v>
      </c>
      <c r="Y268" s="298">
        <v>0</v>
      </c>
      <c r="Z268" s="299">
        <v>1</v>
      </c>
      <c r="AA268" s="299">
        <v>1</v>
      </c>
      <c r="AB268" s="300">
        <v>0</v>
      </c>
      <c r="AC268" s="301">
        <v>1</v>
      </c>
      <c r="AD268" s="301">
        <v>0</v>
      </c>
      <c r="AE268" s="302">
        <f t="shared" si="42"/>
        <v>0.5</v>
      </c>
      <c r="AF268" s="63">
        <v>0</v>
      </c>
      <c r="AG268" s="17">
        <v>0</v>
      </c>
      <c r="AH268" s="17">
        <v>13.5</v>
      </c>
      <c r="AI268" s="17">
        <v>14.5</v>
      </c>
      <c r="AJ268" s="17">
        <v>12.5</v>
      </c>
      <c r="AK268" s="109"/>
      <c r="AL268" s="109"/>
      <c r="AM268" s="17" t="e">
        <f>SUM(#REF!)</f>
        <v>#REF!</v>
      </c>
      <c r="AN268" s="283" t="s">
        <v>265</v>
      </c>
      <c r="AO268" s="18" t="s">
        <v>350</v>
      </c>
      <c r="AP268" s="10" t="s">
        <v>1143</v>
      </c>
    </row>
    <row r="269" spans="1:42" hidden="1" x14ac:dyDescent="0.3">
      <c r="A269" s="9" t="s">
        <v>30</v>
      </c>
      <c r="B269" s="10" t="s">
        <v>31</v>
      </c>
      <c r="C269" s="9" t="s">
        <v>1051</v>
      </c>
      <c r="D269" s="10" t="s">
        <v>1052</v>
      </c>
      <c r="E269" s="11" t="s">
        <v>1053</v>
      </c>
      <c r="F269" s="12" t="s">
        <v>1054</v>
      </c>
      <c r="G269" s="11" t="s">
        <v>1144</v>
      </c>
      <c r="H269" s="12" t="s">
        <v>1145</v>
      </c>
      <c r="I269" s="12" t="s">
        <v>1146</v>
      </c>
      <c r="J269" s="12" t="s">
        <v>1147</v>
      </c>
      <c r="K269" s="11" t="s">
        <v>1148</v>
      </c>
      <c r="L269" s="12" t="s">
        <v>1149</v>
      </c>
      <c r="M269" s="10" t="s">
        <v>1150</v>
      </c>
      <c r="N269" s="15">
        <v>0</v>
      </c>
      <c r="O269" s="21">
        <v>10</v>
      </c>
      <c r="P269" s="21">
        <v>10</v>
      </c>
      <c r="Q269" s="21">
        <v>10</v>
      </c>
      <c r="R269" s="115">
        <v>10</v>
      </c>
      <c r="S269" s="115">
        <v>11</v>
      </c>
      <c r="T269" s="12" t="s">
        <v>280</v>
      </c>
      <c r="U269" s="283" t="s">
        <v>1151</v>
      </c>
      <c r="V269" s="10"/>
      <c r="W269" s="298">
        <v>0</v>
      </c>
      <c r="X269" s="298">
        <v>0</v>
      </c>
      <c r="Y269" s="298">
        <v>0</v>
      </c>
      <c r="Z269" s="299">
        <v>0</v>
      </c>
      <c r="AA269" s="299">
        <v>0</v>
      </c>
      <c r="AB269" s="300">
        <v>0</v>
      </c>
      <c r="AC269" s="301">
        <v>0</v>
      </c>
      <c r="AD269" s="301">
        <v>0</v>
      </c>
      <c r="AE269" s="302">
        <f t="shared" si="42"/>
        <v>0</v>
      </c>
      <c r="AF269" s="63">
        <v>0</v>
      </c>
      <c r="AG269" s="17">
        <v>1</v>
      </c>
      <c r="AH269" s="17">
        <v>10</v>
      </c>
      <c r="AI269" s="17">
        <v>10</v>
      </c>
      <c r="AJ269" s="17">
        <v>20</v>
      </c>
      <c r="AK269" s="109"/>
      <c r="AL269" s="109"/>
      <c r="AM269" s="17" t="e">
        <f>SUM(#REF!)</f>
        <v>#REF!</v>
      </c>
      <c r="AN269" s="283" t="s">
        <v>280</v>
      </c>
      <c r="AO269" s="18" t="s">
        <v>1151</v>
      </c>
      <c r="AP269" s="10" t="s">
        <v>1152</v>
      </c>
    </row>
    <row r="270" spans="1:42" hidden="1" x14ac:dyDescent="0.3">
      <c r="A270" s="9" t="s">
        <v>30</v>
      </c>
      <c r="B270" s="10" t="s">
        <v>31</v>
      </c>
      <c r="C270" s="9" t="s">
        <v>1051</v>
      </c>
      <c r="D270" s="10" t="s">
        <v>1052</v>
      </c>
      <c r="E270" s="11" t="s">
        <v>1053</v>
      </c>
      <c r="F270" s="12" t="s">
        <v>1054</v>
      </c>
      <c r="G270" s="11" t="s">
        <v>1135</v>
      </c>
      <c r="H270" s="12" t="s">
        <v>1136</v>
      </c>
      <c r="I270" s="12" t="s">
        <v>1137</v>
      </c>
      <c r="J270" s="12" t="s">
        <v>1138</v>
      </c>
      <c r="K270" s="11" t="s">
        <v>1153</v>
      </c>
      <c r="L270" s="12" t="s">
        <v>1154</v>
      </c>
      <c r="M270" s="10" t="s">
        <v>1155</v>
      </c>
      <c r="N270" s="15"/>
      <c r="O270" s="17">
        <v>0</v>
      </c>
      <c r="P270" s="16">
        <v>1</v>
      </c>
      <c r="Q270" s="16">
        <v>1</v>
      </c>
      <c r="R270" s="110">
        <v>1</v>
      </c>
      <c r="S270" s="110">
        <v>1</v>
      </c>
      <c r="T270" s="12" t="s">
        <v>265</v>
      </c>
      <c r="U270" s="283" t="s">
        <v>350</v>
      </c>
      <c r="V270" s="10" t="s">
        <v>1156</v>
      </c>
      <c r="W270" s="298">
        <v>1</v>
      </c>
      <c r="X270" s="298">
        <v>0</v>
      </c>
      <c r="Y270" s="298">
        <v>0</v>
      </c>
      <c r="Z270" s="299">
        <v>1</v>
      </c>
      <c r="AA270" s="299">
        <v>1</v>
      </c>
      <c r="AB270" s="300">
        <v>0</v>
      </c>
      <c r="AC270" s="301">
        <v>1</v>
      </c>
      <c r="AD270" s="301">
        <v>0</v>
      </c>
      <c r="AE270" s="302">
        <f t="shared" si="42"/>
        <v>0.5</v>
      </c>
      <c r="AF270" s="63">
        <v>0</v>
      </c>
      <c r="AG270" s="17">
        <v>0</v>
      </c>
      <c r="AH270" s="17">
        <v>0</v>
      </c>
      <c r="AI270" s="32">
        <v>1</v>
      </c>
      <c r="AJ270" s="32">
        <v>1</v>
      </c>
      <c r="AK270" s="123"/>
      <c r="AL270" s="123"/>
      <c r="AM270" s="17" t="e">
        <f>SUM(#REF!)</f>
        <v>#REF!</v>
      </c>
      <c r="AN270" s="10" t="s">
        <v>265</v>
      </c>
      <c r="AO270" s="18" t="s">
        <v>350</v>
      </c>
      <c r="AP270" s="10" t="s">
        <v>1157</v>
      </c>
    </row>
    <row r="271" spans="1:42" hidden="1" x14ac:dyDescent="0.3">
      <c r="A271" s="9" t="s">
        <v>30</v>
      </c>
      <c r="B271" s="10" t="s">
        <v>31</v>
      </c>
      <c r="C271" s="9" t="s">
        <v>1051</v>
      </c>
      <c r="D271" s="10" t="s">
        <v>1052</v>
      </c>
      <c r="E271" s="11" t="s">
        <v>1053</v>
      </c>
      <c r="F271" s="12" t="s">
        <v>1054</v>
      </c>
      <c r="G271" s="11" t="s">
        <v>1135</v>
      </c>
      <c r="H271" s="12" t="s">
        <v>1136</v>
      </c>
      <c r="I271" s="12" t="s">
        <v>1137</v>
      </c>
      <c r="J271" s="12" t="s">
        <v>1138</v>
      </c>
      <c r="K271" s="11" t="s">
        <v>1158</v>
      </c>
      <c r="L271" s="12" t="s">
        <v>1159</v>
      </c>
      <c r="M271" s="10" t="s">
        <v>1160</v>
      </c>
      <c r="N271" s="15"/>
      <c r="O271" s="16">
        <v>1</v>
      </c>
      <c r="P271" s="16">
        <v>1</v>
      </c>
      <c r="Q271" s="16">
        <v>1</v>
      </c>
      <c r="R271" s="110">
        <v>1</v>
      </c>
      <c r="S271" s="110">
        <v>1</v>
      </c>
      <c r="T271" s="12" t="s">
        <v>265</v>
      </c>
      <c r="U271" s="283" t="s">
        <v>350</v>
      </c>
      <c r="V271" s="10" t="s">
        <v>1161</v>
      </c>
      <c r="W271" s="298">
        <v>1</v>
      </c>
      <c r="X271" s="298">
        <v>0</v>
      </c>
      <c r="Y271" s="298">
        <v>0</v>
      </c>
      <c r="Z271" s="299">
        <v>1</v>
      </c>
      <c r="AA271" s="299">
        <v>1</v>
      </c>
      <c r="AB271" s="300">
        <v>0</v>
      </c>
      <c r="AC271" s="301">
        <v>1</v>
      </c>
      <c r="AD271" s="301">
        <v>0</v>
      </c>
      <c r="AE271" s="302">
        <f t="shared" si="42"/>
        <v>0.5</v>
      </c>
      <c r="AF271" s="63">
        <v>0</v>
      </c>
      <c r="AG271" s="17">
        <v>0</v>
      </c>
      <c r="AH271" s="17">
        <v>0</v>
      </c>
      <c r="AI271" s="32">
        <v>1</v>
      </c>
      <c r="AJ271" s="32">
        <v>1</v>
      </c>
      <c r="AK271" s="123"/>
      <c r="AL271" s="123"/>
      <c r="AM271" s="17" t="e">
        <f>SUM(#REF!)</f>
        <v>#REF!</v>
      </c>
      <c r="AN271" s="10" t="s">
        <v>265</v>
      </c>
      <c r="AO271" s="18" t="s">
        <v>350</v>
      </c>
      <c r="AP271" s="10" t="s">
        <v>92</v>
      </c>
    </row>
    <row r="272" spans="1:42" x14ac:dyDescent="0.3">
      <c r="A272" s="9" t="s">
        <v>30</v>
      </c>
      <c r="B272" s="10" t="s">
        <v>31</v>
      </c>
      <c r="C272" s="9" t="s">
        <v>1051</v>
      </c>
      <c r="D272" s="10" t="s">
        <v>1052</v>
      </c>
      <c r="E272" s="11" t="s">
        <v>1053</v>
      </c>
      <c r="F272" s="12" t="s">
        <v>1054</v>
      </c>
      <c r="G272" s="11" t="s">
        <v>1144</v>
      </c>
      <c r="H272" s="12" t="s">
        <v>1145</v>
      </c>
      <c r="I272" s="12" t="s">
        <v>1162</v>
      </c>
      <c r="J272" s="12" t="s">
        <v>1163</v>
      </c>
      <c r="K272" s="11" t="s">
        <v>1164</v>
      </c>
      <c r="L272" s="12" t="s">
        <v>1165</v>
      </c>
      <c r="M272" s="10" t="s">
        <v>1166</v>
      </c>
      <c r="N272" s="15">
        <v>0</v>
      </c>
      <c r="O272" s="21">
        <v>2</v>
      </c>
      <c r="P272" s="21">
        <v>2</v>
      </c>
      <c r="Q272" s="21">
        <v>2</v>
      </c>
      <c r="R272" s="129">
        <v>1</v>
      </c>
      <c r="S272" s="129">
        <v>1</v>
      </c>
      <c r="T272" s="12" t="s">
        <v>1167</v>
      </c>
      <c r="U272" s="283" t="s">
        <v>1170</v>
      </c>
      <c r="V272" s="86" t="s">
        <v>1168</v>
      </c>
      <c r="W272" s="298">
        <v>1</v>
      </c>
      <c r="X272" s="298">
        <v>1</v>
      </c>
      <c r="Y272" s="298">
        <v>1</v>
      </c>
      <c r="Z272" s="299">
        <v>1</v>
      </c>
      <c r="AA272" s="299">
        <v>1</v>
      </c>
      <c r="AB272" s="300">
        <v>0</v>
      </c>
      <c r="AC272" s="301">
        <v>1</v>
      </c>
      <c r="AD272" s="301">
        <v>0</v>
      </c>
      <c r="AE272" s="302">
        <f t="shared" si="42"/>
        <v>0.75</v>
      </c>
      <c r="AF272" s="63">
        <v>0</v>
      </c>
      <c r="AG272" s="17">
        <v>0</v>
      </c>
      <c r="AH272" s="17">
        <v>14</v>
      </c>
      <c r="AI272" s="17">
        <v>19</v>
      </c>
      <c r="AJ272" s="17">
        <v>19</v>
      </c>
      <c r="AK272" s="127">
        <v>12</v>
      </c>
      <c r="AL272" s="127">
        <v>12</v>
      </c>
      <c r="AM272" s="147">
        <f t="shared" ref="AM272:AM276" si="43">SUM(AK272:AL272)</f>
        <v>24</v>
      </c>
      <c r="AN272" s="18" t="s">
        <v>1169</v>
      </c>
      <c r="AO272" s="18" t="s">
        <v>1170</v>
      </c>
      <c r="AP272" s="10" t="s">
        <v>1171</v>
      </c>
    </row>
    <row r="273" spans="1:42" x14ac:dyDescent="0.3">
      <c r="A273" s="9" t="s">
        <v>30</v>
      </c>
      <c r="B273" s="10" t="s">
        <v>31</v>
      </c>
      <c r="C273" s="9" t="s">
        <v>1051</v>
      </c>
      <c r="D273" s="10" t="s">
        <v>1052</v>
      </c>
      <c r="E273" s="11" t="s">
        <v>1053</v>
      </c>
      <c r="F273" s="12" t="s">
        <v>1054</v>
      </c>
      <c r="G273" s="11" t="s">
        <v>1144</v>
      </c>
      <c r="H273" s="12" t="s">
        <v>1145</v>
      </c>
      <c r="I273" s="12" t="s">
        <v>1162</v>
      </c>
      <c r="J273" s="12" t="s">
        <v>1163</v>
      </c>
      <c r="K273" s="11" t="s">
        <v>1172</v>
      </c>
      <c r="L273" s="12" t="s">
        <v>1173</v>
      </c>
      <c r="M273" s="10" t="s">
        <v>1174</v>
      </c>
      <c r="N273" s="15"/>
      <c r="O273" s="17">
        <v>0</v>
      </c>
      <c r="P273" s="21">
        <v>100</v>
      </c>
      <c r="Q273" s="21">
        <v>100</v>
      </c>
      <c r="R273" s="115">
        <v>100</v>
      </c>
      <c r="S273" s="115">
        <v>100</v>
      </c>
      <c r="T273" s="12" t="s">
        <v>1175</v>
      </c>
      <c r="U273" s="283" t="s">
        <v>118</v>
      </c>
      <c r="V273" s="10" t="s">
        <v>1176</v>
      </c>
      <c r="W273" s="298">
        <v>1</v>
      </c>
      <c r="X273" s="298">
        <v>1</v>
      </c>
      <c r="Y273" s="298">
        <v>1</v>
      </c>
      <c r="Z273" s="299">
        <v>1</v>
      </c>
      <c r="AA273" s="299">
        <v>1</v>
      </c>
      <c r="AB273" s="300">
        <v>1</v>
      </c>
      <c r="AC273" s="301">
        <v>1</v>
      </c>
      <c r="AD273" s="301">
        <v>1</v>
      </c>
      <c r="AE273" s="302">
        <f t="shared" si="42"/>
        <v>1</v>
      </c>
      <c r="AF273" s="63">
        <v>0</v>
      </c>
      <c r="AG273" s="17">
        <v>0</v>
      </c>
      <c r="AH273" s="17">
        <v>3.5</v>
      </c>
      <c r="AI273" s="17">
        <v>0.5</v>
      </c>
      <c r="AJ273" s="17">
        <v>0.5</v>
      </c>
      <c r="AK273" s="109">
        <v>0.5</v>
      </c>
      <c r="AL273" s="127">
        <v>1.5</v>
      </c>
      <c r="AM273" s="147">
        <f t="shared" si="43"/>
        <v>2</v>
      </c>
      <c r="AN273" s="18" t="s">
        <v>1177</v>
      </c>
      <c r="AO273" s="18" t="s">
        <v>350</v>
      </c>
      <c r="AP273" s="10" t="s">
        <v>1083</v>
      </c>
    </row>
    <row r="274" spans="1:42" x14ac:dyDescent="0.3">
      <c r="A274" s="9" t="s">
        <v>30</v>
      </c>
      <c r="B274" s="10" t="s">
        <v>31</v>
      </c>
      <c r="C274" s="9" t="s">
        <v>1051</v>
      </c>
      <c r="D274" s="10" t="s">
        <v>1052</v>
      </c>
      <c r="E274" s="11" t="s">
        <v>1053</v>
      </c>
      <c r="F274" s="12" t="s">
        <v>1054</v>
      </c>
      <c r="G274" s="11" t="s">
        <v>1144</v>
      </c>
      <c r="H274" s="12" t="s">
        <v>1145</v>
      </c>
      <c r="I274" s="12" t="s">
        <v>1162</v>
      </c>
      <c r="J274" s="12" t="s">
        <v>1163</v>
      </c>
      <c r="K274" s="11" t="s">
        <v>1172</v>
      </c>
      <c r="L274" s="12" t="s">
        <v>1178</v>
      </c>
      <c r="M274" s="10" t="s">
        <v>1179</v>
      </c>
      <c r="N274" s="15"/>
      <c r="O274" s="17">
        <v>0</v>
      </c>
      <c r="P274" s="21">
        <v>5</v>
      </c>
      <c r="Q274" s="21">
        <v>10</v>
      </c>
      <c r="R274" s="115">
        <v>15</v>
      </c>
      <c r="S274" s="115">
        <v>20</v>
      </c>
      <c r="T274" s="12" t="s">
        <v>1175</v>
      </c>
      <c r="U274" s="283" t="s">
        <v>118</v>
      </c>
      <c r="V274" s="10" t="s">
        <v>1180</v>
      </c>
      <c r="W274" s="298">
        <v>1</v>
      </c>
      <c r="X274" s="298">
        <v>1</v>
      </c>
      <c r="Y274" s="298">
        <v>1</v>
      </c>
      <c r="Z274" s="299">
        <v>1</v>
      </c>
      <c r="AA274" s="299">
        <v>1</v>
      </c>
      <c r="AB274" s="300">
        <v>1</v>
      </c>
      <c r="AC274" s="301">
        <v>1</v>
      </c>
      <c r="AD274" s="301">
        <v>1</v>
      </c>
      <c r="AE274" s="302">
        <f t="shared" si="42"/>
        <v>1</v>
      </c>
      <c r="AF274" s="63">
        <v>0</v>
      </c>
      <c r="AG274" s="17">
        <v>0</v>
      </c>
      <c r="AH274" s="17">
        <v>0.5</v>
      </c>
      <c r="AI274" s="17">
        <v>0.5</v>
      </c>
      <c r="AJ274" s="17">
        <v>0.5</v>
      </c>
      <c r="AK274" s="109">
        <v>0.5</v>
      </c>
      <c r="AL274" s="127">
        <v>1.5</v>
      </c>
      <c r="AM274" s="147">
        <f t="shared" si="43"/>
        <v>2</v>
      </c>
      <c r="AN274" s="18" t="s">
        <v>1177</v>
      </c>
      <c r="AO274" s="18" t="s">
        <v>350</v>
      </c>
      <c r="AP274" s="10" t="s">
        <v>1181</v>
      </c>
    </row>
    <row r="275" spans="1:42" x14ac:dyDescent="0.3">
      <c r="A275" s="9" t="s">
        <v>30</v>
      </c>
      <c r="B275" s="10" t="s">
        <v>31</v>
      </c>
      <c r="C275" s="9" t="s">
        <v>1051</v>
      </c>
      <c r="D275" s="10" t="s">
        <v>1052</v>
      </c>
      <c r="E275" s="11" t="s">
        <v>1053</v>
      </c>
      <c r="F275" s="12" t="s">
        <v>1054</v>
      </c>
      <c r="G275" s="11" t="s">
        <v>1144</v>
      </c>
      <c r="H275" s="12" t="s">
        <v>1145</v>
      </c>
      <c r="I275" s="12" t="s">
        <v>1162</v>
      </c>
      <c r="J275" s="12" t="s">
        <v>1163</v>
      </c>
      <c r="K275" s="11" t="s">
        <v>1172</v>
      </c>
      <c r="L275" s="12" t="s">
        <v>1178</v>
      </c>
      <c r="M275" s="10" t="s">
        <v>1182</v>
      </c>
      <c r="N275" s="15"/>
      <c r="O275" s="17">
        <v>0</v>
      </c>
      <c r="P275" s="21">
        <v>5</v>
      </c>
      <c r="Q275" s="21">
        <v>10</v>
      </c>
      <c r="R275" s="115">
        <v>20</v>
      </c>
      <c r="S275" s="115">
        <v>50</v>
      </c>
      <c r="T275" s="12" t="s">
        <v>1175</v>
      </c>
      <c r="U275" s="283" t="s">
        <v>118</v>
      </c>
      <c r="V275" s="10" t="s">
        <v>1180</v>
      </c>
      <c r="W275" s="298">
        <v>1</v>
      </c>
      <c r="X275" s="298">
        <v>1</v>
      </c>
      <c r="Y275" s="298">
        <v>1</v>
      </c>
      <c r="Z275" s="299">
        <v>1</v>
      </c>
      <c r="AA275" s="299">
        <v>1</v>
      </c>
      <c r="AB275" s="300">
        <v>1</v>
      </c>
      <c r="AC275" s="301">
        <v>1</v>
      </c>
      <c r="AD275" s="301">
        <v>1</v>
      </c>
      <c r="AE275" s="302">
        <f t="shared" si="42"/>
        <v>1</v>
      </c>
      <c r="AF275" s="63">
        <v>0</v>
      </c>
      <c r="AG275" s="17">
        <v>0</v>
      </c>
      <c r="AH275" s="17"/>
      <c r="AI275" s="17"/>
      <c r="AJ275" s="17"/>
      <c r="AK275" s="109"/>
      <c r="AL275" s="127">
        <v>0.8</v>
      </c>
      <c r="AM275" s="147">
        <f t="shared" si="43"/>
        <v>0.8</v>
      </c>
      <c r="AN275" s="18" t="s">
        <v>1177</v>
      </c>
      <c r="AO275" s="18" t="s">
        <v>350</v>
      </c>
      <c r="AP275" s="10" t="s">
        <v>1181</v>
      </c>
    </row>
    <row r="276" spans="1:42" hidden="1" x14ac:dyDescent="0.3">
      <c r="A276" s="9" t="s">
        <v>30</v>
      </c>
      <c r="B276" s="10" t="s">
        <v>31</v>
      </c>
      <c r="C276" s="9" t="s">
        <v>1051</v>
      </c>
      <c r="D276" s="10" t="s">
        <v>1052</v>
      </c>
      <c r="E276" s="11" t="s">
        <v>1053</v>
      </c>
      <c r="F276" s="12" t="s">
        <v>1054</v>
      </c>
      <c r="G276" s="11" t="s">
        <v>1183</v>
      </c>
      <c r="H276" s="12" t="s">
        <v>1184</v>
      </c>
      <c r="I276" s="12" t="s">
        <v>1185</v>
      </c>
      <c r="J276" s="12" t="s">
        <v>1186</v>
      </c>
      <c r="K276" s="11" t="s">
        <v>1187</v>
      </c>
      <c r="L276" s="12" t="s">
        <v>1188</v>
      </c>
      <c r="M276" s="10" t="s">
        <v>1189</v>
      </c>
      <c r="N276" s="15"/>
      <c r="O276" s="17">
        <v>0</v>
      </c>
      <c r="P276" s="21">
        <v>10</v>
      </c>
      <c r="Q276" s="21">
        <v>10</v>
      </c>
      <c r="R276" s="115">
        <v>10</v>
      </c>
      <c r="S276" s="115">
        <v>11</v>
      </c>
      <c r="T276" s="12" t="s">
        <v>265</v>
      </c>
      <c r="U276" s="283" t="s">
        <v>350</v>
      </c>
      <c r="V276" s="10" t="s">
        <v>1190</v>
      </c>
      <c r="W276" s="298">
        <v>1</v>
      </c>
      <c r="X276" s="298">
        <v>1</v>
      </c>
      <c r="Y276" s="298">
        <v>0</v>
      </c>
      <c r="Z276" s="299">
        <v>1</v>
      </c>
      <c r="AA276" s="299">
        <v>1</v>
      </c>
      <c r="AB276" s="300">
        <v>0</v>
      </c>
      <c r="AC276" s="301">
        <v>1</v>
      </c>
      <c r="AD276" s="301">
        <v>0</v>
      </c>
      <c r="AE276" s="302">
        <f t="shared" si="42"/>
        <v>0.625</v>
      </c>
      <c r="AF276" s="63">
        <v>0</v>
      </c>
      <c r="AG276" s="17">
        <v>0</v>
      </c>
      <c r="AH276" s="17">
        <v>0.15</v>
      </c>
      <c r="AI276" s="17">
        <v>0.3</v>
      </c>
      <c r="AJ276" s="17">
        <v>0.4</v>
      </c>
      <c r="AK276" s="109">
        <v>0.4</v>
      </c>
      <c r="AL276" s="109">
        <v>0.2</v>
      </c>
      <c r="AM276" s="147">
        <f t="shared" si="43"/>
        <v>0.60000000000000009</v>
      </c>
      <c r="AN276" s="283" t="s">
        <v>265</v>
      </c>
      <c r="AO276" s="18" t="s">
        <v>350</v>
      </c>
      <c r="AP276" s="92" t="s">
        <v>1191</v>
      </c>
    </row>
    <row r="277" spans="1:42" hidden="1" x14ac:dyDescent="0.3">
      <c r="A277" s="9" t="s">
        <v>30</v>
      </c>
      <c r="B277" s="10" t="s">
        <v>31</v>
      </c>
      <c r="C277" s="9" t="s">
        <v>1051</v>
      </c>
      <c r="D277" s="10" t="s">
        <v>1052</v>
      </c>
      <c r="E277" s="11" t="s">
        <v>1053</v>
      </c>
      <c r="F277" s="12" t="s">
        <v>1054</v>
      </c>
      <c r="G277" s="11" t="s">
        <v>1183</v>
      </c>
      <c r="H277" s="12" t="s">
        <v>1184</v>
      </c>
      <c r="I277" s="12" t="s">
        <v>1192</v>
      </c>
      <c r="J277" s="12" t="s">
        <v>1193</v>
      </c>
      <c r="K277" s="11" t="s">
        <v>1194</v>
      </c>
      <c r="L277" s="12" t="s">
        <v>1195</v>
      </c>
      <c r="M277" s="10" t="s">
        <v>1196</v>
      </c>
      <c r="N277" s="15"/>
      <c r="O277" s="17">
        <v>0</v>
      </c>
      <c r="P277" s="16"/>
      <c r="Q277" s="16"/>
      <c r="R277" s="110">
        <v>1</v>
      </c>
      <c r="S277" s="110"/>
      <c r="T277" s="12" t="s">
        <v>265</v>
      </c>
      <c r="U277" s="283" t="s">
        <v>350</v>
      </c>
      <c r="V277" s="10" t="s">
        <v>1197</v>
      </c>
      <c r="W277" s="298">
        <v>0</v>
      </c>
      <c r="X277" s="298">
        <v>0</v>
      </c>
      <c r="Y277" s="298">
        <v>0</v>
      </c>
      <c r="Z277" s="299">
        <v>0</v>
      </c>
      <c r="AA277" s="299">
        <v>0</v>
      </c>
      <c r="AB277" s="300">
        <v>0</v>
      </c>
      <c r="AC277" s="301">
        <v>0</v>
      </c>
      <c r="AD277" s="301">
        <v>0</v>
      </c>
      <c r="AE277" s="302">
        <f t="shared" si="42"/>
        <v>0</v>
      </c>
      <c r="AF277" s="63">
        <v>0</v>
      </c>
      <c r="AG277" s="17">
        <v>0</v>
      </c>
      <c r="AH277" s="17">
        <v>0</v>
      </c>
      <c r="AI277" s="17">
        <v>1</v>
      </c>
      <c r="AJ277" s="17">
        <v>1</v>
      </c>
      <c r="AK277" s="109"/>
      <c r="AL277" s="109"/>
      <c r="AM277" s="17" t="e">
        <f>SUM(#REF!)</f>
        <v>#REF!</v>
      </c>
      <c r="AN277" s="283" t="s">
        <v>265</v>
      </c>
      <c r="AO277" s="18" t="s">
        <v>350</v>
      </c>
      <c r="AP277" s="10" t="s">
        <v>982</v>
      </c>
    </row>
    <row r="278" spans="1:42" x14ac:dyDescent="0.3">
      <c r="A278" s="9" t="s">
        <v>30</v>
      </c>
      <c r="B278" s="10" t="s">
        <v>31</v>
      </c>
      <c r="C278" s="9" t="s">
        <v>1051</v>
      </c>
      <c r="D278" s="10" t="s">
        <v>1052</v>
      </c>
      <c r="E278" s="11" t="s">
        <v>1053</v>
      </c>
      <c r="F278" s="12" t="s">
        <v>1054</v>
      </c>
      <c r="G278" s="11" t="s">
        <v>1198</v>
      </c>
      <c r="H278" s="12" t="s">
        <v>1199</v>
      </c>
      <c r="I278" s="12" t="s">
        <v>1200</v>
      </c>
      <c r="J278" s="12" t="s">
        <v>1201</v>
      </c>
      <c r="K278" s="9" t="s">
        <v>1202</v>
      </c>
      <c r="L278" s="10" t="s">
        <v>1203</v>
      </c>
      <c r="M278" s="10" t="s">
        <v>1204</v>
      </c>
      <c r="N278" s="15"/>
      <c r="O278" s="21">
        <v>2</v>
      </c>
      <c r="P278" s="21">
        <v>5</v>
      </c>
      <c r="Q278" s="21">
        <v>10</v>
      </c>
      <c r="R278" s="115">
        <v>5</v>
      </c>
      <c r="S278" s="115">
        <v>5</v>
      </c>
      <c r="T278" s="12" t="s">
        <v>156</v>
      </c>
      <c r="U278" s="283" t="s">
        <v>158</v>
      </c>
      <c r="V278" s="10" t="s">
        <v>1205</v>
      </c>
      <c r="W278" s="298">
        <v>1</v>
      </c>
      <c r="X278" s="298">
        <v>1</v>
      </c>
      <c r="Y278" s="298">
        <v>1</v>
      </c>
      <c r="Z278" s="299">
        <v>1</v>
      </c>
      <c r="AA278" s="299">
        <v>1</v>
      </c>
      <c r="AB278" s="300">
        <v>1</v>
      </c>
      <c r="AC278" s="301">
        <v>1</v>
      </c>
      <c r="AD278" s="301">
        <v>1</v>
      </c>
      <c r="AE278" s="302">
        <f t="shared" si="42"/>
        <v>1</v>
      </c>
      <c r="AF278" s="63">
        <v>0</v>
      </c>
      <c r="AG278" s="17">
        <v>0</v>
      </c>
      <c r="AH278" s="17">
        <v>3.5</v>
      </c>
      <c r="AI278" s="17">
        <v>4.5</v>
      </c>
      <c r="AJ278" s="17">
        <v>4</v>
      </c>
      <c r="AK278" s="127">
        <v>0.5</v>
      </c>
      <c r="AL278" s="127">
        <v>0.5</v>
      </c>
      <c r="AM278" s="147">
        <f t="shared" ref="AM278:AM283" si="44">SUM(AK278:AL278)</f>
        <v>1</v>
      </c>
      <c r="AN278" s="10" t="s">
        <v>156</v>
      </c>
      <c r="AO278" s="18" t="s">
        <v>158</v>
      </c>
      <c r="AP278" s="10" t="s">
        <v>1206</v>
      </c>
    </row>
    <row r="279" spans="1:42" x14ac:dyDescent="0.3">
      <c r="A279" s="9" t="s">
        <v>30</v>
      </c>
      <c r="B279" s="10" t="s">
        <v>31</v>
      </c>
      <c r="C279" s="9" t="s">
        <v>1051</v>
      </c>
      <c r="D279" s="10" t="s">
        <v>1052</v>
      </c>
      <c r="E279" s="11" t="s">
        <v>1053</v>
      </c>
      <c r="F279" s="12" t="s">
        <v>1054</v>
      </c>
      <c r="G279" s="11" t="s">
        <v>1198</v>
      </c>
      <c r="H279" s="12" t="s">
        <v>1199</v>
      </c>
      <c r="I279" s="12" t="s">
        <v>1200</v>
      </c>
      <c r="J279" s="12" t="s">
        <v>1201</v>
      </c>
      <c r="K279" s="9" t="s">
        <v>1202</v>
      </c>
      <c r="L279" s="10" t="s">
        <v>1203</v>
      </c>
      <c r="M279" s="10" t="s">
        <v>1204</v>
      </c>
      <c r="N279" s="15"/>
      <c r="O279" s="17">
        <v>0</v>
      </c>
      <c r="P279" s="21">
        <v>25</v>
      </c>
      <c r="Q279" s="21">
        <v>50</v>
      </c>
      <c r="R279" s="115">
        <v>50</v>
      </c>
      <c r="S279" s="115">
        <v>50</v>
      </c>
      <c r="T279" s="12" t="s">
        <v>265</v>
      </c>
      <c r="U279" s="283" t="s">
        <v>350</v>
      </c>
      <c r="V279" s="10" t="s">
        <v>1205</v>
      </c>
      <c r="W279" s="298">
        <v>1</v>
      </c>
      <c r="X279" s="298">
        <v>1</v>
      </c>
      <c r="Y279" s="298">
        <v>1</v>
      </c>
      <c r="Z279" s="299">
        <v>1</v>
      </c>
      <c r="AA279" s="299">
        <v>1</v>
      </c>
      <c r="AB279" s="300">
        <v>1</v>
      </c>
      <c r="AC279" s="301">
        <v>1</v>
      </c>
      <c r="AD279" s="301">
        <v>1</v>
      </c>
      <c r="AE279" s="302">
        <f t="shared" si="42"/>
        <v>1</v>
      </c>
      <c r="AF279" s="63">
        <v>0</v>
      </c>
      <c r="AG279" s="17">
        <v>0</v>
      </c>
      <c r="AH279" s="17">
        <v>4.5</v>
      </c>
      <c r="AI279" s="17">
        <v>4.8</v>
      </c>
      <c r="AJ279" s="17">
        <v>4.3</v>
      </c>
      <c r="AK279" s="127">
        <v>1.5</v>
      </c>
      <c r="AL279" s="127">
        <v>3</v>
      </c>
      <c r="AM279" s="147">
        <f t="shared" si="44"/>
        <v>4.5</v>
      </c>
      <c r="AN279" s="283" t="s">
        <v>265</v>
      </c>
      <c r="AO279" s="18" t="s">
        <v>350</v>
      </c>
      <c r="AP279" s="10" t="s">
        <v>1207</v>
      </c>
    </row>
    <row r="280" spans="1:42" x14ac:dyDescent="0.3">
      <c r="A280" s="9" t="s">
        <v>30</v>
      </c>
      <c r="B280" s="10" t="s">
        <v>31</v>
      </c>
      <c r="C280" s="9" t="s">
        <v>1051</v>
      </c>
      <c r="D280" s="10" t="s">
        <v>1052</v>
      </c>
      <c r="E280" s="11" t="s">
        <v>1053</v>
      </c>
      <c r="F280" s="12" t="s">
        <v>1054</v>
      </c>
      <c r="G280" s="11" t="s">
        <v>1198</v>
      </c>
      <c r="H280" s="12" t="s">
        <v>1199</v>
      </c>
      <c r="I280" s="12" t="s">
        <v>1200</v>
      </c>
      <c r="J280" s="12" t="s">
        <v>1201</v>
      </c>
      <c r="K280" s="9" t="s">
        <v>1202</v>
      </c>
      <c r="L280" s="10" t="s">
        <v>1203</v>
      </c>
      <c r="M280" s="10" t="s">
        <v>1208</v>
      </c>
      <c r="N280" s="15"/>
      <c r="O280" s="17">
        <v>0</v>
      </c>
      <c r="P280" s="21">
        <v>25</v>
      </c>
      <c r="Q280" s="21">
        <v>50</v>
      </c>
      <c r="R280" s="115">
        <v>100</v>
      </c>
      <c r="S280" s="115">
        <v>200</v>
      </c>
      <c r="T280" s="12" t="s">
        <v>265</v>
      </c>
      <c r="U280" s="283" t="s">
        <v>350</v>
      </c>
      <c r="V280" s="10" t="s">
        <v>1205</v>
      </c>
      <c r="W280" s="298">
        <v>1</v>
      </c>
      <c r="X280" s="298">
        <v>1</v>
      </c>
      <c r="Y280" s="298">
        <v>1</v>
      </c>
      <c r="Z280" s="299">
        <v>1</v>
      </c>
      <c r="AA280" s="299">
        <v>1</v>
      </c>
      <c r="AB280" s="300">
        <v>1</v>
      </c>
      <c r="AC280" s="301">
        <v>1</v>
      </c>
      <c r="AD280" s="301">
        <v>1</v>
      </c>
      <c r="AE280" s="302">
        <f t="shared" si="42"/>
        <v>1</v>
      </c>
      <c r="AF280" s="63">
        <v>0</v>
      </c>
      <c r="AG280" s="17">
        <v>0</v>
      </c>
      <c r="AH280" s="17"/>
      <c r="AI280" s="17"/>
      <c r="AJ280" s="17"/>
      <c r="AK280" s="109"/>
      <c r="AL280" s="127">
        <v>1.5</v>
      </c>
      <c r="AM280" s="147">
        <f t="shared" si="44"/>
        <v>1.5</v>
      </c>
      <c r="AN280" s="283" t="s">
        <v>265</v>
      </c>
      <c r="AO280" s="18" t="s">
        <v>350</v>
      </c>
      <c r="AP280" s="10" t="s">
        <v>1207</v>
      </c>
    </row>
    <row r="281" spans="1:42" x14ac:dyDescent="0.3">
      <c r="A281" s="9" t="s">
        <v>30</v>
      </c>
      <c r="B281" s="10" t="s">
        <v>31</v>
      </c>
      <c r="C281" s="9" t="s">
        <v>1051</v>
      </c>
      <c r="D281" s="10" t="s">
        <v>1052</v>
      </c>
      <c r="E281" s="11" t="s">
        <v>1053</v>
      </c>
      <c r="F281" s="12" t="s">
        <v>1054</v>
      </c>
      <c r="G281" s="11" t="s">
        <v>1198</v>
      </c>
      <c r="H281" s="12" t="s">
        <v>1199</v>
      </c>
      <c r="I281" s="12" t="s">
        <v>1200</v>
      </c>
      <c r="J281" s="12" t="s">
        <v>1201</v>
      </c>
      <c r="K281" s="9" t="s">
        <v>1209</v>
      </c>
      <c r="L281" s="18" t="s">
        <v>1210</v>
      </c>
      <c r="M281" s="10" t="s">
        <v>1211</v>
      </c>
      <c r="N281" s="15"/>
      <c r="O281" s="21">
        <v>50</v>
      </c>
      <c r="P281" s="21">
        <v>50</v>
      </c>
      <c r="Q281" s="21">
        <v>50</v>
      </c>
      <c r="R281" s="115">
        <v>20</v>
      </c>
      <c r="S281" s="115">
        <v>50</v>
      </c>
      <c r="T281" s="12" t="s">
        <v>156</v>
      </c>
      <c r="U281" s="283" t="s">
        <v>158</v>
      </c>
      <c r="V281" s="10" t="s">
        <v>1212</v>
      </c>
      <c r="W281" s="298">
        <v>1</v>
      </c>
      <c r="X281" s="298">
        <v>1</v>
      </c>
      <c r="Y281" s="298">
        <v>1</v>
      </c>
      <c r="Z281" s="299">
        <v>1</v>
      </c>
      <c r="AA281" s="299">
        <v>1</v>
      </c>
      <c r="AB281" s="300">
        <v>1</v>
      </c>
      <c r="AC281" s="301">
        <v>1</v>
      </c>
      <c r="AD281" s="301">
        <v>1</v>
      </c>
      <c r="AE281" s="302">
        <f t="shared" si="42"/>
        <v>1</v>
      </c>
      <c r="AF281" s="63">
        <v>0</v>
      </c>
      <c r="AG281" s="17">
        <v>0</v>
      </c>
      <c r="AH281" s="17">
        <v>1.5</v>
      </c>
      <c r="AI281" s="17">
        <v>6.5</v>
      </c>
      <c r="AJ281" s="17">
        <v>6.5</v>
      </c>
      <c r="AK281" s="127">
        <v>2.1</v>
      </c>
      <c r="AL281" s="127">
        <v>4</v>
      </c>
      <c r="AM281" s="147">
        <f t="shared" si="44"/>
        <v>6.1</v>
      </c>
      <c r="AN281" s="18" t="s">
        <v>156</v>
      </c>
      <c r="AO281" s="18" t="s">
        <v>158</v>
      </c>
      <c r="AP281" s="10" t="s">
        <v>1206</v>
      </c>
    </row>
    <row r="282" spans="1:42" x14ac:dyDescent="0.3">
      <c r="A282" s="9" t="s">
        <v>30</v>
      </c>
      <c r="B282" s="10" t="s">
        <v>31</v>
      </c>
      <c r="C282" s="9" t="s">
        <v>1051</v>
      </c>
      <c r="D282" s="10" t="s">
        <v>1052</v>
      </c>
      <c r="E282" s="11" t="s">
        <v>1053</v>
      </c>
      <c r="F282" s="12" t="s">
        <v>1054</v>
      </c>
      <c r="G282" s="11" t="s">
        <v>1198</v>
      </c>
      <c r="H282" s="12" t="s">
        <v>1199</v>
      </c>
      <c r="I282" s="12" t="s">
        <v>1200</v>
      </c>
      <c r="J282" s="12" t="s">
        <v>1201</v>
      </c>
      <c r="K282" s="9" t="s">
        <v>1213</v>
      </c>
      <c r="L282" s="10" t="s">
        <v>1214</v>
      </c>
      <c r="M282" s="10" t="s">
        <v>1215</v>
      </c>
      <c r="N282" s="15"/>
      <c r="O282" s="17">
        <v>0</v>
      </c>
      <c r="P282" s="16">
        <v>1</v>
      </c>
      <c r="Q282" s="16">
        <v>1</v>
      </c>
      <c r="R282" s="110">
        <v>1</v>
      </c>
      <c r="S282" s="110">
        <v>1</v>
      </c>
      <c r="T282" s="10" t="s">
        <v>1216</v>
      </c>
      <c r="U282" s="283" t="s">
        <v>1218</v>
      </c>
      <c r="V282" s="10" t="s">
        <v>1217</v>
      </c>
      <c r="W282" s="298">
        <v>1</v>
      </c>
      <c r="X282" s="298">
        <v>1</v>
      </c>
      <c r="Y282" s="298">
        <v>1</v>
      </c>
      <c r="Z282" s="299">
        <v>1</v>
      </c>
      <c r="AA282" s="299">
        <v>1</v>
      </c>
      <c r="AB282" s="300">
        <v>1</v>
      </c>
      <c r="AC282" s="301">
        <v>1</v>
      </c>
      <c r="AD282" s="301">
        <v>0</v>
      </c>
      <c r="AE282" s="302">
        <f t="shared" si="42"/>
        <v>0.875</v>
      </c>
      <c r="AF282" s="63">
        <v>0</v>
      </c>
      <c r="AG282" s="17">
        <v>0</v>
      </c>
      <c r="AH282" s="17">
        <v>0</v>
      </c>
      <c r="AI282" s="32">
        <v>0.3</v>
      </c>
      <c r="AJ282" s="32">
        <v>1</v>
      </c>
      <c r="AK282" s="132">
        <v>0.8</v>
      </c>
      <c r="AL282" s="132">
        <v>1.4</v>
      </c>
      <c r="AM282" s="147">
        <f t="shared" si="44"/>
        <v>2.2000000000000002</v>
      </c>
      <c r="AN282" s="18" t="s">
        <v>1216</v>
      </c>
      <c r="AO282" s="18" t="s">
        <v>1218</v>
      </c>
      <c r="AP282" s="10" t="s">
        <v>1219</v>
      </c>
    </row>
    <row r="283" spans="1:42" x14ac:dyDescent="0.3">
      <c r="A283" s="9" t="s">
        <v>30</v>
      </c>
      <c r="B283" s="10" t="s">
        <v>31</v>
      </c>
      <c r="C283" s="9" t="s">
        <v>1051</v>
      </c>
      <c r="D283" s="10" t="s">
        <v>1052</v>
      </c>
      <c r="E283" s="11" t="s">
        <v>1053</v>
      </c>
      <c r="F283" s="12" t="s">
        <v>1054</v>
      </c>
      <c r="G283" s="11" t="s">
        <v>1198</v>
      </c>
      <c r="H283" s="12" t="s">
        <v>1199</v>
      </c>
      <c r="I283" s="12" t="s">
        <v>1200</v>
      </c>
      <c r="J283" s="12" t="s">
        <v>1201</v>
      </c>
      <c r="K283" s="9" t="s">
        <v>1220</v>
      </c>
      <c r="L283" s="10" t="s">
        <v>1221</v>
      </c>
      <c r="M283" s="10" t="s">
        <v>1222</v>
      </c>
      <c r="N283" s="15"/>
      <c r="O283" s="17">
        <v>0</v>
      </c>
      <c r="P283" s="16">
        <v>1</v>
      </c>
      <c r="Q283" s="16">
        <v>3</v>
      </c>
      <c r="R283" s="110">
        <v>6</v>
      </c>
      <c r="S283" s="110">
        <v>10</v>
      </c>
      <c r="T283" s="10" t="s">
        <v>265</v>
      </c>
      <c r="U283" s="283" t="s">
        <v>350</v>
      </c>
      <c r="V283" s="10" t="s">
        <v>1223</v>
      </c>
      <c r="W283" s="298">
        <v>1</v>
      </c>
      <c r="X283" s="298">
        <v>1</v>
      </c>
      <c r="Y283" s="298">
        <v>1</v>
      </c>
      <c r="Z283" s="299">
        <v>1</v>
      </c>
      <c r="AA283" s="299">
        <v>1</v>
      </c>
      <c r="AB283" s="300">
        <v>1</v>
      </c>
      <c r="AC283" s="301">
        <v>1</v>
      </c>
      <c r="AD283" s="301">
        <v>0</v>
      </c>
      <c r="AE283" s="302">
        <f t="shared" si="42"/>
        <v>0.875</v>
      </c>
      <c r="AF283" s="63">
        <v>0</v>
      </c>
      <c r="AG283" s="17">
        <v>0</v>
      </c>
      <c r="AH283" s="17">
        <v>0</v>
      </c>
      <c r="AI283" s="17">
        <v>1</v>
      </c>
      <c r="AJ283" s="17">
        <v>1</v>
      </c>
      <c r="AK283" s="109">
        <v>1</v>
      </c>
      <c r="AL283" s="127">
        <v>1.8</v>
      </c>
      <c r="AM283" s="147">
        <f t="shared" si="44"/>
        <v>2.8</v>
      </c>
      <c r="AN283" s="283" t="s">
        <v>265</v>
      </c>
      <c r="AO283" s="18" t="s">
        <v>350</v>
      </c>
      <c r="AP283" s="10" t="s">
        <v>1224</v>
      </c>
    </row>
    <row r="284" spans="1:42" hidden="1" x14ac:dyDescent="0.3">
      <c r="A284" s="9" t="s">
        <v>30</v>
      </c>
      <c r="B284" s="10" t="s">
        <v>31</v>
      </c>
      <c r="C284" s="9" t="s">
        <v>1051</v>
      </c>
      <c r="D284" s="10" t="s">
        <v>1052</v>
      </c>
      <c r="E284" s="11" t="s">
        <v>1053</v>
      </c>
      <c r="F284" s="12" t="s">
        <v>1054</v>
      </c>
      <c r="G284" s="11" t="s">
        <v>1198</v>
      </c>
      <c r="H284" s="12" t="s">
        <v>1199</v>
      </c>
      <c r="I284" s="12" t="s">
        <v>1200</v>
      </c>
      <c r="J284" s="12" t="s">
        <v>1201</v>
      </c>
      <c r="K284" s="9" t="s">
        <v>1225</v>
      </c>
      <c r="L284" s="12" t="s">
        <v>1226</v>
      </c>
      <c r="M284" s="10" t="s">
        <v>1227</v>
      </c>
      <c r="N284" s="15"/>
      <c r="O284" s="17">
        <v>0</v>
      </c>
      <c r="P284" s="16"/>
      <c r="Q284" s="16">
        <v>1</v>
      </c>
      <c r="R284" s="110">
        <v>1</v>
      </c>
      <c r="S284" s="110">
        <v>1</v>
      </c>
      <c r="T284" s="10" t="s">
        <v>265</v>
      </c>
      <c r="U284" s="283" t="s">
        <v>350</v>
      </c>
      <c r="V284" s="10" t="s">
        <v>1228</v>
      </c>
      <c r="W284" s="298">
        <v>0</v>
      </c>
      <c r="X284" s="298">
        <v>0</v>
      </c>
      <c r="Y284" s="298">
        <v>0</v>
      </c>
      <c r="Z284" s="299">
        <v>0</v>
      </c>
      <c r="AA284" s="299">
        <v>0</v>
      </c>
      <c r="AB284" s="300">
        <v>0</v>
      </c>
      <c r="AC284" s="301">
        <v>0</v>
      </c>
      <c r="AD284" s="301">
        <v>0</v>
      </c>
      <c r="AE284" s="302">
        <f t="shared" si="42"/>
        <v>0</v>
      </c>
      <c r="AF284" s="63">
        <v>0</v>
      </c>
      <c r="AG284" s="17">
        <v>0</v>
      </c>
      <c r="AH284" s="17">
        <v>0</v>
      </c>
      <c r="AI284" s="17">
        <v>1</v>
      </c>
      <c r="AJ284" s="17">
        <v>1</v>
      </c>
      <c r="AK284" s="109"/>
      <c r="AL284" s="109"/>
      <c r="AM284" s="17" t="e">
        <f>SUM(#REF!)</f>
        <v>#REF!</v>
      </c>
      <c r="AN284" s="283" t="s">
        <v>265</v>
      </c>
      <c r="AO284" s="18" t="s">
        <v>350</v>
      </c>
      <c r="AP284" s="10" t="s">
        <v>982</v>
      </c>
    </row>
    <row r="285" spans="1:42" x14ac:dyDescent="0.3">
      <c r="A285" s="9" t="s">
        <v>30</v>
      </c>
      <c r="B285" s="10" t="s">
        <v>31</v>
      </c>
      <c r="C285" s="9" t="s">
        <v>1051</v>
      </c>
      <c r="D285" s="10" t="s">
        <v>1052</v>
      </c>
      <c r="E285" s="11" t="s">
        <v>1053</v>
      </c>
      <c r="F285" s="12" t="s">
        <v>1054</v>
      </c>
      <c r="G285" s="11" t="s">
        <v>1198</v>
      </c>
      <c r="H285" s="12" t="s">
        <v>1199</v>
      </c>
      <c r="I285" s="12" t="s">
        <v>1200</v>
      </c>
      <c r="J285" s="12" t="s">
        <v>1201</v>
      </c>
      <c r="K285" s="9" t="s">
        <v>1229</v>
      </c>
      <c r="L285" s="10" t="s">
        <v>1230</v>
      </c>
      <c r="M285" s="10" t="s">
        <v>1231</v>
      </c>
      <c r="N285" s="15"/>
      <c r="O285" s="17">
        <v>0</v>
      </c>
      <c r="P285" s="16">
        <v>2</v>
      </c>
      <c r="Q285" s="16">
        <v>4</v>
      </c>
      <c r="R285" s="110">
        <v>6</v>
      </c>
      <c r="S285" s="110">
        <v>10</v>
      </c>
      <c r="T285" s="10" t="s">
        <v>265</v>
      </c>
      <c r="U285" s="283" t="s">
        <v>350</v>
      </c>
      <c r="V285" s="10" t="s">
        <v>1232</v>
      </c>
      <c r="W285" s="298">
        <v>1</v>
      </c>
      <c r="X285" s="298">
        <v>1</v>
      </c>
      <c r="Y285" s="298">
        <v>1</v>
      </c>
      <c r="Z285" s="299">
        <v>1</v>
      </c>
      <c r="AA285" s="299">
        <v>1</v>
      </c>
      <c r="AB285" s="300">
        <v>1</v>
      </c>
      <c r="AC285" s="301">
        <v>1</v>
      </c>
      <c r="AD285" s="301">
        <v>0</v>
      </c>
      <c r="AE285" s="302">
        <f t="shared" si="42"/>
        <v>0.875</v>
      </c>
      <c r="AF285" s="63">
        <v>0</v>
      </c>
      <c r="AG285" s="17">
        <v>0</v>
      </c>
      <c r="AH285" s="17">
        <v>0</v>
      </c>
      <c r="AI285" s="32">
        <v>1</v>
      </c>
      <c r="AJ285" s="32">
        <v>1</v>
      </c>
      <c r="AK285" s="132">
        <v>0.2</v>
      </c>
      <c r="AL285" s="123">
        <v>1</v>
      </c>
      <c r="AM285" s="147">
        <f t="shared" ref="AM285:AM286" si="45">SUM(AK285:AL285)</f>
        <v>1.2</v>
      </c>
      <c r="AN285" s="283" t="s">
        <v>265</v>
      </c>
      <c r="AO285" s="18" t="s">
        <v>350</v>
      </c>
      <c r="AP285" s="10" t="s">
        <v>1233</v>
      </c>
    </row>
    <row r="286" spans="1:42" x14ac:dyDescent="0.3">
      <c r="A286" s="9" t="s">
        <v>30</v>
      </c>
      <c r="B286" s="10" t="s">
        <v>31</v>
      </c>
      <c r="C286" s="9" t="s">
        <v>1051</v>
      </c>
      <c r="D286" s="10" t="s">
        <v>1052</v>
      </c>
      <c r="E286" s="11" t="s">
        <v>1053</v>
      </c>
      <c r="F286" s="12" t="s">
        <v>1054</v>
      </c>
      <c r="G286" s="11" t="s">
        <v>1198</v>
      </c>
      <c r="H286" s="12" t="s">
        <v>1199</v>
      </c>
      <c r="I286" s="12" t="s">
        <v>1200</v>
      </c>
      <c r="J286" s="12" t="s">
        <v>1201</v>
      </c>
      <c r="K286" s="9" t="s">
        <v>1234</v>
      </c>
      <c r="L286" s="10" t="s">
        <v>1235</v>
      </c>
      <c r="M286" s="10" t="s">
        <v>1236</v>
      </c>
      <c r="N286" s="15"/>
      <c r="O286" s="17">
        <v>0</v>
      </c>
      <c r="P286" s="16">
        <v>1</v>
      </c>
      <c r="Q286" s="16">
        <v>1</v>
      </c>
      <c r="R286" s="110">
        <v>1</v>
      </c>
      <c r="S286" s="110">
        <v>1</v>
      </c>
      <c r="T286" s="10" t="s">
        <v>265</v>
      </c>
      <c r="U286" s="283" t="s">
        <v>350</v>
      </c>
      <c r="V286" s="10" t="s">
        <v>1237</v>
      </c>
      <c r="W286" s="298">
        <v>1</v>
      </c>
      <c r="X286" s="298">
        <v>1</v>
      </c>
      <c r="Y286" s="298">
        <v>1</v>
      </c>
      <c r="Z286" s="299">
        <v>1</v>
      </c>
      <c r="AA286" s="299">
        <v>1</v>
      </c>
      <c r="AB286" s="300">
        <v>1</v>
      </c>
      <c r="AC286" s="301">
        <v>1</v>
      </c>
      <c r="AD286" s="301">
        <v>1</v>
      </c>
      <c r="AE286" s="302">
        <f t="shared" si="42"/>
        <v>1</v>
      </c>
      <c r="AF286" s="63">
        <v>0</v>
      </c>
      <c r="AG286" s="17">
        <v>0</v>
      </c>
      <c r="AH286" s="17">
        <v>0</v>
      </c>
      <c r="AI286" s="32">
        <v>1</v>
      </c>
      <c r="AJ286" s="32">
        <v>3</v>
      </c>
      <c r="AK286" s="132">
        <v>1</v>
      </c>
      <c r="AL286" s="123">
        <v>1</v>
      </c>
      <c r="AM286" s="147">
        <f t="shared" si="45"/>
        <v>2</v>
      </c>
      <c r="AN286" s="283" t="s">
        <v>265</v>
      </c>
      <c r="AO286" s="18" t="s">
        <v>350</v>
      </c>
      <c r="AP286" s="10" t="s">
        <v>321</v>
      </c>
    </row>
    <row r="287" spans="1:42" hidden="1" x14ac:dyDescent="0.3">
      <c r="A287" s="9" t="s">
        <v>30</v>
      </c>
      <c r="B287" s="10" t="s">
        <v>31</v>
      </c>
      <c r="C287" s="9" t="s">
        <v>1051</v>
      </c>
      <c r="D287" s="10" t="s">
        <v>1052</v>
      </c>
      <c r="E287" s="11" t="s">
        <v>1053</v>
      </c>
      <c r="F287" s="12" t="s">
        <v>1054</v>
      </c>
      <c r="G287" s="11" t="s">
        <v>1198</v>
      </c>
      <c r="H287" s="12" t="s">
        <v>1199</v>
      </c>
      <c r="I287" s="12" t="s">
        <v>1200</v>
      </c>
      <c r="J287" s="12" t="s">
        <v>1201</v>
      </c>
      <c r="K287" s="9" t="s">
        <v>1238</v>
      </c>
      <c r="L287" s="10" t="s">
        <v>1239</v>
      </c>
      <c r="M287" s="10" t="s">
        <v>1240</v>
      </c>
      <c r="N287" s="15"/>
      <c r="O287" s="17">
        <v>0</v>
      </c>
      <c r="P287" s="21">
        <v>15</v>
      </c>
      <c r="Q287" s="21">
        <v>20</v>
      </c>
      <c r="R287" s="115">
        <v>25</v>
      </c>
      <c r="S287" s="115">
        <v>30</v>
      </c>
      <c r="T287" s="12" t="s">
        <v>1216</v>
      </c>
      <c r="U287" s="283" t="s">
        <v>1218</v>
      </c>
      <c r="V287" s="108" t="s">
        <v>1241</v>
      </c>
      <c r="W287" s="298">
        <v>1</v>
      </c>
      <c r="X287" s="298">
        <v>0</v>
      </c>
      <c r="Y287" s="298">
        <v>0</v>
      </c>
      <c r="Z287" s="299">
        <v>1</v>
      </c>
      <c r="AA287" s="299">
        <v>1</v>
      </c>
      <c r="AB287" s="300">
        <v>0</v>
      </c>
      <c r="AC287" s="301">
        <v>0</v>
      </c>
      <c r="AD287" s="301">
        <v>0</v>
      </c>
      <c r="AE287" s="302">
        <f t="shared" si="42"/>
        <v>0.375</v>
      </c>
      <c r="AF287" s="63">
        <v>0</v>
      </c>
      <c r="AG287" s="17">
        <v>0</v>
      </c>
      <c r="AH287" s="17">
        <v>6.5</v>
      </c>
      <c r="AI287" s="17">
        <v>4.5</v>
      </c>
      <c r="AJ287" s="17">
        <v>4.7</v>
      </c>
      <c r="AK287" s="109"/>
      <c r="AL287" s="109"/>
      <c r="AM287" s="17" t="e">
        <f>SUM(#REF!)</f>
        <v>#REF!</v>
      </c>
      <c r="AN287" s="18" t="s">
        <v>1216</v>
      </c>
      <c r="AO287" s="18" t="s">
        <v>1218</v>
      </c>
      <c r="AP287" s="10" t="s">
        <v>1242</v>
      </c>
    </row>
    <row r="288" spans="1:42" hidden="1" x14ac:dyDescent="0.3">
      <c r="A288" s="9" t="s">
        <v>30</v>
      </c>
      <c r="B288" s="10" t="s">
        <v>31</v>
      </c>
      <c r="C288" s="9" t="s">
        <v>1051</v>
      </c>
      <c r="D288" s="10" t="s">
        <v>1052</v>
      </c>
      <c r="E288" s="11" t="s">
        <v>1053</v>
      </c>
      <c r="F288" s="12" t="s">
        <v>1054</v>
      </c>
      <c r="G288" s="11" t="s">
        <v>1198</v>
      </c>
      <c r="H288" s="12" t="s">
        <v>1199</v>
      </c>
      <c r="I288" s="12" t="s">
        <v>1200</v>
      </c>
      <c r="J288" s="12" t="s">
        <v>1201</v>
      </c>
      <c r="K288" s="9" t="s">
        <v>1238</v>
      </c>
      <c r="L288" s="10" t="s">
        <v>1239</v>
      </c>
      <c r="M288" s="10" t="s">
        <v>1243</v>
      </c>
      <c r="N288" s="15"/>
      <c r="O288" s="17">
        <v>0</v>
      </c>
      <c r="P288" s="21">
        <v>25</v>
      </c>
      <c r="Q288" s="21">
        <v>50</v>
      </c>
      <c r="R288" s="115">
        <v>100</v>
      </c>
      <c r="S288" s="115">
        <v>200</v>
      </c>
      <c r="T288" s="12" t="s">
        <v>1216</v>
      </c>
      <c r="U288" s="283" t="s">
        <v>1218</v>
      </c>
      <c r="V288" s="10" t="s">
        <v>1241</v>
      </c>
      <c r="W288" s="298">
        <v>1</v>
      </c>
      <c r="X288" s="298">
        <v>0</v>
      </c>
      <c r="Y288" s="298">
        <v>0</v>
      </c>
      <c r="Z288" s="299">
        <v>1</v>
      </c>
      <c r="AA288" s="299">
        <v>1</v>
      </c>
      <c r="AB288" s="300">
        <v>0</v>
      </c>
      <c r="AC288" s="301">
        <v>0</v>
      </c>
      <c r="AD288" s="301">
        <v>0</v>
      </c>
      <c r="AE288" s="302">
        <f t="shared" si="42"/>
        <v>0.375</v>
      </c>
      <c r="AF288" s="63">
        <v>0</v>
      </c>
      <c r="AG288" s="17">
        <v>0</v>
      </c>
      <c r="AH288" s="17"/>
      <c r="AI288" s="17"/>
      <c r="AJ288" s="17"/>
      <c r="AK288" s="109"/>
      <c r="AL288" s="109"/>
      <c r="AM288" s="17" t="e">
        <f>SUM(#REF!)</f>
        <v>#REF!</v>
      </c>
      <c r="AN288" s="18" t="s">
        <v>1216</v>
      </c>
      <c r="AO288" s="18" t="s">
        <v>1218</v>
      </c>
      <c r="AP288" s="10" t="s">
        <v>1242</v>
      </c>
    </row>
    <row r="289" spans="1:42" hidden="1" x14ac:dyDescent="0.3">
      <c r="A289" s="9" t="s">
        <v>30</v>
      </c>
      <c r="B289" s="10" t="s">
        <v>31</v>
      </c>
      <c r="C289" s="9" t="s">
        <v>1051</v>
      </c>
      <c r="D289" s="10" t="s">
        <v>1052</v>
      </c>
      <c r="E289" s="11" t="s">
        <v>1053</v>
      </c>
      <c r="F289" s="12" t="s">
        <v>1054</v>
      </c>
      <c r="G289" s="11" t="s">
        <v>1198</v>
      </c>
      <c r="H289" s="12" t="s">
        <v>1199</v>
      </c>
      <c r="I289" s="12" t="s">
        <v>1200</v>
      </c>
      <c r="J289" s="12" t="s">
        <v>1201</v>
      </c>
      <c r="K289" s="9" t="s">
        <v>1238</v>
      </c>
      <c r="L289" s="10" t="s">
        <v>1239</v>
      </c>
      <c r="M289" s="10" t="s">
        <v>1244</v>
      </c>
      <c r="N289" s="15"/>
      <c r="O289" s="17">
        <v>0</v>
      </c>
      <c r="P289" s="21">
        <v>10</v>
      </c>
      <c r="Q289" s="21">
        <v>20</v>
      </c>
      <c r="R289" s="115">
        <v>25</v>
      </c>
      <c r="S289" s="115">
        <v>30</v>
      </c>
      <c r="T289" s="12" t="s">
        <v>1216</v>
      </c>
      <c r="U289" s="283" t="s">
        <v>1218</v>
      </c>
      <c r="V289" s="10" t="s">
        <v>1241</v>
      </c>
      <c r="W289" s="298">
        <v>1</v>
      </c>
      <c r="X289" s="298">
        <v>0</v>
      </c>
      <c r="Y289" s="298">
        <v>0</v>
      </c>
      <c r="Z289" s="299">
        <v>1</v>
      </c>
      <c r="AA289" s="299">
        <v>1</v>
      </c>
      <c r="AB289" s="300">
        <v>0</v>
      </c>
      <c r="AC289" s="301">
        <v>0</v>
      </c>
      <c r="AD289" s="301">
        <v>0</v>
      </c>
      <c r="AE289" s="302">
        <f t="shared" si="42"/>
        <v>0.375</v>
      </c>
      <c r="AF289" s="63">
        <v>0</v>
      </c>
      <c r="AG289" s="17">
        <v>0</v>
      </c>
      <c r="AH289" s="17"/>
      <c r="AI289" s="17"/>
      <c r="AJ289" s="17"/>
      <c r="AK289" s="109"/>
      <c r="AL289" s="109"/>
      <c r="AM289" s="17" t="e">
        <f>SUM(#REF!)</f>
        <v>#REF!</v>
      </c>
      <c r="AN289" s="18" t="s">
        <v>1216</v>
      </c>
      <c r="AO289" s="18" t="s">
        <v>1218</v>
      </c>
      <c r="AP289" s="10" t="s">
        <v>1242</v>
      </c>
    </row>
    <row r="290" spans="1:42" hidden="1" x14ac:dyDescent="0.3">
      <c r="A290" s="9" t="s">
        <v>30</v>
      </c>
      <c r="B290" s="10" t="s">
        <v>31</v>
      </c>
      <c r="C290" s="9" t="s">
        <v>1051</v>
      </c>
      <c r="D290" s="10" t="s">
        <v>1052</v>
      </c>
      <c r="E290" s="11" t="s">
        <v>1053</v>
      </c>
      <c r="F290" s="12" t="s">
        <v>1054</v>
      </c>
      <c r="G290" s="11" t="s">
        <v>1198</v>
      </c>
      <c r="H290" s="12" t="s">
        <v>1199</v>
      </c>
      <c r="I290" s="12" t="s">
        <v>1200</v>
      </c>
      <c r="J290" s="12" t="s">
        <v>1201</v>
      </c>
      <c r="K290" s="9" t="s">
        <v>1238</v>
      </c>
      <c r="L290" s="10" t="s">
        <v>1239</v>
      </c>
      <c r="M290" s="10" t="s">
        <v>1245</v>
      </c>
      <c r="N290" s="15"/>
      <c r="O290" s="17">
        <v>0</v>
      </c>
      <c r="P290" s="21">
        <v>5</v>
      </c>
      <c r="Q290" s="21">
        <v>10</v>
      </c>
      <c r="R290" s="115">
        <v>20</v>
      </c>
      <c r="S290" s="115">
        <v>25</v>
      </c>
      <c r="T290" s="12" t="s">
        <v>1216</v>
      </c>
      <c r="U290" s="283" t="s">
        <v>1218</v>
      </c>
      <c r="V290" s="10" t="s">
        <v>1241</v>
      </c>
      <c r="W290" s="298">
        <v>1</v>
      </c>
      <c r="X290" s="298">
        <v>0</v>
      </c>
      <c r="Y290" s="298">
        <v>0</v>
      </c>
      <c r="Z290" s="299">
        <v>1</v>
      </c>
      <c r="AA290" s="299">
        <v>1</v>
      </c>
      <c r="AB290" s="300">
        <v>0</v>
      </c>
      <c r="AC290" s="301">
        <v>0</v>
      </c>
      <c r="AD290" s="301">
        <v>0</v>
      </c>
      <c r="AE290" s="302">
        <f t="shared" si="42"/>
        <v>0.375</v>
      </c>
      <c r="AF290" s="63">
        <v>0</v>
      </c>
      <c r="AG290" s="17">
        <v>0</v>
      </c>
      <c r="AH290" s="17"/>
      <c r="AI290" s="17"/>
      <c r="AJ290" s="17"/>
      <c r="AK290" s="109"/>
      <c r="AL290" s="109"/>
      <c r="AM290" s="17" t="e">
        <f>SUM(#REF!)</f>
        <v>#REF!</v>
      </c>
      <c r="AN290" s="18" t="s">
        <v>1216</v>
      </c>
      <c r="AO290" s="18" t="s">
        <v>1218</v>
      </c>
      <c r="AP290" s="10" t="s">
        <v>1242</v>
      </c>
    </row>
    <row r="291" spans="1:42" hidden="1" x14ac:dyDescent="0.3">
      <c r="A291" s="9" t="s">
        <v>30</v>
      </c>
      <c r="B291" s="10" t="s">
        <v>31</v>
      </c>
      <c r="C291" s="9" t="s">
        <v>1051</v>
      </c>
      <c r="D291" s="10" t="s">
        <v>1052</v>
      </c>
      <c r="E291" s="11" t="s">
        <v>1053</v>
      </c>
      <c r="F291" s="12" t="s">
        <v>1054</v>
      </c>
      <c r="G291" s="11" t="s">
        <v>1198</v>
      </c>
      <c r="H291" s="12" t="s">
        <v>1199</v>
      </c>
      <c r="I291" s="12" t="s">
        <v>1200</v>
      </c>
      <c r="J291" s="12" t="s">
        <v>1201</v>
      </c>
      <c r="K291" s="9" t="s">
        <v>1238</v>
      </c>
      <c r="L291" s="10" t="s">
        <v>1239</v>
      </c>
      <c r="M291" s="10" t="s">
        <v>1246</v>
      </c>
      <c r="N291" s="15"/>
      <c r="O291" s="17">
        <v>0</v>
      </c>
      <c r="P291" s="21">
        <v>3</v>
      </c>
      <c r="Q291" s="21">
        <v>3</v>
      </c>
      <c r="R291" s="115">
        <v>3</v>
      </c>
      <c r="S291" s="115">
        <v>4</v>
      </c>
      <c r="T291" s="12" t="s">
        <v>1216</v>
      </c>
      <c r="U291" s="283" t="s">
        <v>1218</v>
      </c>
      <c r="V291" s="10" t="s">
        <v>1241</v>
      </c>
      <c r="W291" s="298">
        <v>1</v>
      </c>
      <c r="X291" s="298">
        <v>0</v>
      </c>
      <c r="Y291" s="298">
        <v>0</v>
      </c>
      <c r="Z291" s="299">
        <v>1</v>
      </c>
      <c r="AA291" s="299">
        <v>1</v>
      </c>
      <c r="AB291" s="300">
        <v>0</v>
      </c>
      <c r="AC291" s="301">
        <v>0</v>
      </c>
      <c r="AD291" s="301">
        <v>0</v>
      </c>
      <c r="AE291" s="302">
        <f t="shared" si="42"/>
        <v>0.375</v>
      </c>
      <c r="AF291" s="63">
        <v>0</v>
      </c>
      <c r="AG291" s="17">
        <v>0</v>
      </c>
      <c r="AH291" s="17"/>
      <c r="AI291" s="17"/>
      <c r="AJ291" s="17"/>
      <c r="AK291" s="109"/>
      <c r="AL291" s="109"/>
      <c r="AM291" s="17" t="e">
        <f>SUM(#REF!)</f>
        <v>#REF!</v>
      </c>
      <c r="AN291" s="18" t="s">
        <v>1216</v>
      </c>
      <c r="AO291" s="18" t="s">
        <v>1218</v>
      </c>
      <c r="AP291" s="10" t="s">
        <v>1242</v>
      </c>
    </row>
    <row r="292" spans="1:42" hidden="1" x14ac:dyDescent="0.3">
      <c r="A292" s="9" t="s">
        <v>30</v>
      </c>
      <c r="B292" s="10" t="s">
        <v>31</v>
      </c>
      <c r="C292" s="9" t="s">
        <v>1051</v>
      </c>
      <c r="D292" s="10" t="s">
        <v>1052</v>
      </c>
      <c r="E292" s="11" t="s">
        <v>1053</v>
      </c>
      <c r="F292" s="12" t="s">
        <v>1054</v>
      </c>
      <c r="G292" s="11" t="s">
        <v>1198</v>
      </c>
      <c r="H292" s="12" t="s">
        <v>1199</v>
      </c>
      <c r="I292" s="12" t="s">
        <v>1200</v>
      </c>
      <c r="J292" s="12" t="s">
        <v>1247</v>
      </c>
      <c r="K292" s="9" t="s">
        <v>1248</v>
      </c>
      <c r="L292" s="10" t="s">
        <v>1249</v>
      </c>
      <c r="M292" s="10" t="s">
        <v>1250</v>
      </c>
      <c r="N292" s="15"/>
      <c r="O292" s="17">
        <v>4</v>
      </c>
      <c r="P292" s="21">
        <v>4</v>
      </c>
      <c r="Q292" s="21">
        <v>4</v>
      </c>
      <c r="R292" s="115">
        <v>4</v>
      </c>
      <c r="S292" s="115">
        <v>10</v>
      </c>
      <c r="T292" s="12" t="s">
        <v>1132</v>
      </c>
      <c r="U292" s="283" t="s">
        <v>3739</v>
      </c>
      <c r="V292" s="10" t="s">
        <v>1201</v>
      </c>
      <c r="W292" s="298">
        <v>1</v>
      </c>
      <c r="X292" s="298">
        <v>1</v>
      </c>
      <c r="Y292" s="298">
        <v>0</v>
      </c>
      <c r="Z292" s="299">
        <v>1</v>
      </c>
      <c r="AA292" s="299">
        <v>1</v>
      </c>
      <c r="AB292" s="300">
        <v>1</v>
      </c>
      <c r="AC292" s="301">
        <v>0</v>
      </c>
      <c r="AD292" s="301">
        <v>0</v>
      </c>
      <c r="AE292" s="302">
        <f t="shared" si="42"/>
        <v>0.625</v>
      </c>
      <c r="AF292" s="63">
        <v>0</v>
      </c>
      <c r="AG292" s="17">
        <v>0</v>
      </c>
      <c r="AH292" s="17">
        <v>1</v>
      </c>
      <c r="AI292" s="17">
        <v>1</v>
      </c>
      <c r="AJ292" s="17">
        <v>1</v>
      </c>
      <c r="AK292" s="127">
        <v>0.4</v>
      </c>
      <c r="AL292" s="109">
        <v>1</v>
      </c>
      <c r="AM292" s="147">
        <f t="shared" ref="AM292" si="46">SUM(AK292:AL292)</f>
        <v>1.4</v>
      </c>
      <c r="AN292" s="18" t="s">
        <v>1132</v>
      </c>
      <c r="AO292" s="18" t="s">
        <v>1134</v>
      </c>
      <c r="AP292" s="10"/>
    </row>
    <row r="293" spans="1:42" s="300" customFormat="1" hidden="1" x14ac:dyDescent="0.3">
      <c r="A293" s="66" t="s">
        <v>30</v>
      </c>
      <c r="B293" s="67" t="s">
        <v>31</v>
      </c>
      <c r="C293" s="68" t="s">
        <v>1251</v>
      </c>
      <c r="D293" s="69" t="s">
        <v>1252</v>
      </c>
      <c r="E293" s="68" t="s">
        <v>1253</v>
      </c>
      <c r="F293" s="69" t="s">
        <v>1254</v>
      </c>
      <c r="G293" s="68" t="s">
        <v>1255</v>
      </c>
      <c r="H293" s="69" t="s">
        <v>1256</v>
      </c>
      <c r="I293" s="69" t="s">
        <v>1257</v>
      </c>
      <c r="J293" s="69" t="s">
        <v>1258</v>
      </c>
      <c r="K293" s="66" t="s">
        <v>1259</v>
      </c>
      <c r="L293" s="67" t="s">
        <v>1260</v>
      </c>
      <c r="M293" s="67" t="s">
        <v>1261</v>
      </c>
      <c r="N293" s="70"/>
      <c r="O293" s="73">
        <v>0</v>
      </c>
      <c r="P293" s="71">
        <v>1</v>
      </c>
      <c r="Q293" s="71"/>
      <c r="R293" s="110"/>
      <c r="S293" s="110"/>
      <c r="T293" s="67" t="s">
        <v>921</v>
      </c>
      <c r="U293" s="300" t="s">
        <v>880</v>
      </c>
      <c r="V293" s="108" t="s">
        <v>1262</v>
      </c>
      <c r="W293" s="298">
        <v>0</v>
      </c>
      <c r="X293" s="298">
        <v>0</v>
      </c>
      <c r="Y293" s="298">
        <v>0</v>
      </c>
      <c r="Z293" s="299">
        <v>0</v>
      </c>
      <c r="AA293" s="299">
        <v>0</v>
      </c>
      <c r="AB293" s="300">
        <v>0</v>
      </c>
      <c r="AC293" s="301">
        <v>0</v>
      </c>
      <c r="AD293" s="301">
        <v>0</v>
      </c>
      <c r="AE293" s="305">
        <f t="shared" si="42"/>
        <v>0</v>
      </c>
      <c r="AF293" s="63">
        <v>0</v>
      </c>
      <c r="AG293" s="73">
        <v>0</v>
      </c>
      <c r="AH293" s="73">
        <v>0.25</v>
      </c>
      <c r="AI293" s="73">
        <v>0.2</v>
      </c>
      <c r="AJ293" s="73"/>
      <c r="AK293" s="109"/>
      <c r="AL293" s="109"/>
      <c r="AM293" s="73" t="e">
        <f>SUM(#REF!)</f>
        <v>#REF!</v>
      </c>
      <c r="AN293" s="81" t="s">
        <v>921</v>
      </c>
      <c r="AO293" s="74" t="s">
        <v>880</v>
      </c>
      <c r="AP293" s="67" t="s">
        <v>840</v>
      </c>
    </row>
    <row r="294" spans="1:42" s="300" customFormat="1" hidden="1" x14ac:dyDescent="0.3">
      <c r="A294" s="66" t="s">
        <v>30</v>
      </c>
      <c r="B294" s="67" t="s">
        <v>31</v>
      </c>
      <c r="C294" s="68" t="s">
        <v>1251</v>
      </c>
      <c r="D294" s="69" t="s">
        <v>1252</v>
      </c>
      <c r="E294" s="68" t="s">
        <v>1253</v>
      </c>
      <c r="F294" s="69" t="s">
        <v>1254</v>
      </c>
      <c r="G294" s="68" t="s">
        <v>1255</v>
      </c>
      <c r="H294" s="69" t="s">
        <v>1256</v>
      </c>
      <c r="I294" s="69" t="s">
        <v>1257</v>
      </c>
      <c r="J294" s="69" t="s">
        <v>1258</v>
      </c>
      <c r="K294" s="66" t="s">
        <v>1263</v>
      </c>
      <c r="L294" s="67" t="s">
        <v>1264</v>
      </c>
      <c r="M294" s="67" t="s">
        <v>1265</v>
      </c>
      <c r="N294" s="70"/>
      <c r="O294" s="73">
        <v>0</v>
      </c>
      <c r="P294" s="71">
        <v>1</v>
      </c>
      <c r="Q294" s="71">
        <v>1</v>
      </c>
      <c r="R294" s="110">
        <v>1</v>
      </c>
      <c r="S294" s="110">
        <v>1</v>
      </c>
      <c r="T294" s="67" t="s">
        <v>921</v>
      </c>
      <c r="U294" s="300" t="s">
        <v>880</v>
      </c>
      <c r="V294" s="74" t="s">
        <v>1266</v>
      </c>
      <c r="W294" s="298">
        <v>1</v>
      </c>
      <c r="X294" s="298">
        <v>0</v>
      </c>
      <c r="Y294" s="298">
        <v>0</v>
      </c>
      <c r="Z294" s="299">
        <v>1</v>
      </c>
      <c r="AA294" s="299">
        <v>1</v>
      </c>
      <c r="AB294" s="300">
        <v>0</v>
      </c>
      <c r="AC294" s="301">
        <v>1</v>
      </c>
      <c r="AD294" s="301">
        <v>0</v>
      </c>
      <c r="AE294" s="305">
        <f t="shared" si="42"/>
        <v>0.5</v>
      </c>
      <c r="AF294" s="63">
        <v>0</v>
      </c>
      <c r="AG294" s="73">
        <v>0</v>
      </c>
      <c r="AH294" s="73">
        <v>0</v>
      </c>
      <c r="AI294" s="82">
        <v>1</v>
      </c>
      <c r="AJ294" s="82">
        <v>1</v>
      </c>
      <c r="AK294" s="124"/>
      <c r="AL294" s="124"/>
      <c r="AM294" s="73" t="e">
        <f>SUM(#REF!)</f>
        <v>#REF!</v>
      </c>
      <c r="AN294" s="81" t="s">
        <v>921</v>
      </c>
      <c r="AO294" s="74" t="s">
        <v>880</v>
      </c>
      <c r="AP294" s="67" t="s">
        <v>92</v>
      </c>
    </row>
    <row r="295" spans="1:42" s="300" customFormat="1" hidden="1" x14ac:dyDescent="0.3">
      <c r="A295" s="66" t="s">
        <v>30</v>
      </c>
      <c r="B295" s="67" t="s">
        <v>31</v>
      </c>
      <c r="C295" s="68" t="s">
        <v>1251</v>
      </c>
      <c r="D295" s="69" t="s">
        <v>1252</v>
      </c>
      <c r="E295" s="68" t="s">
        <v>1253</v>
      </c>
      <c r="F295" s="69" t="s">
        <v>1254</v>
      </c>
      <c r="G295" s="68" t="s">
        <v>1255</v>
      </c>
      <c r="H295" s="69" t="s">
        <v>1256</v>
      </c>
      <c r="I295" s="69" t="s">
        <v>1257</v>
      </c>
      <c r="J295" s="69" t="s">
        <v>1258</v>
      </c>
      <c r="K295" s="66" t="s">
        <v>1267</v>
      </c>
      <c r="L295" s="67" t="s">
        <v>1268</v>
      </c>
      <c r="M295" s="67" t="s">
        <v>1269</v>
      </c>
      <c r="N295" s="70">
        <v>0</v>
      </c>
      <c r="O295" s="73">
        <v>0</v>
      </c>
      <c r="P295" s="71">
        <v>2</v>
      </c>
      <c r="Q295" s="71">
        <v>2</v>
      </c>
      <c r="R295" s="110">
        <v>2</v>
      </c>
      <c r="S295" s="110">
        <v>2</v>
      </c>
      <c r="T295" s="67" t="s">
        <v>921</v>
      </c>
      <c r="U295" s="300" t="s">
        <v>880</v>
      </c>
      <c r="V295" s="74" t="s">
        <v>1270</v>
      </c>
      <c r="W295" s="298">
        <v>1</v>
      </c>
      <c r="X295" s="298">
        <v>0</v>
      </c>
      <c r="Y295" s="298">
        <v>0</v>
      </c>
      <c r="Z295" s="299">
        <v>1</v>
      </c>
      <c r="AA295" s="299">
        <v>1</v>
      </c>
      <c r="AB295" s="300">
        <v>0</v>
      </c>
      <c r="AC295" s="301">
        <v>1</v>
      </c>
      <c r="AD295" s="301">
        <v>0</v>
      </c>
      <c r="AE295" s="305">
        <f t="shared" si="42"/>
        <v>0.5</v>
      </c>
      <c r="AF295" s="63">
        <v>0</v>
      </c>
      <c r="AG295" s="73">
        <v>0</v>
      </c>
      <c r="AH295" s="73">
        <v>0</v>
      </c>
      <c r="AI295" s="82">
        <v>0.5</v>
      </c>
      <c r="AJ295" s="82">
        <v>0.5</v>
      </c>
      <c r="AK295" s="124"/>
      <c r="AL295" s="124"/>
      <c r="AM295" s="73" t="e">
        <f>SUM(#REF!)</f>
        <v>#REF!</v>
      </c>
      <c r="AN295" s="81" t="s">
        <v>921</v>
      </c>
      <c r="AO295" s="74" t="s">
        <v>880</v>
      </c>
      <c r="AP295" s="67" t="s">
        <v>1271</v>
      </c>
    </row>
    <row r="296" spans="1:42" s="300" customFormat="1" hidden="1" x14ac:dyDescent="0.3">
      <c r="A296" s="66" t="s">
        <v>30</v>
      </c>
      <c r="B296" s="67" t="s">
        <v>31</v>
      </c>
      <c r="C296" s="68" t="s">
        <v>1251</v>
      </c>
      <c r="D296" s="69" t="s">
        <v>1252</v>
      </c>
      <c r="E296" s="68" t="s">
        <v>1253</v>
      </c>
      <c r="F296" s="69" t="s">
        <v>1254</v>
      </c>
      <c r="G296" s="68" t="s">
        <v>1255</v>
      </c>
      <c r="H296" s="69" t="s">
        <v>1256</v>
      </c>
      <c r="I296" s="69" t="s">
        <v>1257</v>
      </c>
      <c r="J296" s="69" t="s">
        <v>1258</v>
      </c>
      <c r="K296" s="66" t="s">
        <v>1272</v>
      </c>
      <c r="L296" s="67" t="s">
        <v>1273</v>
      </c>
      <c r="M296" s="67" t="s">
        <v>1274</v>
      </c>
      <c r="N296" s="70"/>
      <c r="O296" s="73">
        <v>0</v>
      </c>
      <c r="P296" s="71"/>
      <c r="Q296" s="71">
        <v>1</v>
      </c>
      <c r="R296" s="110">
        <v>2</v>
      </c>
      <c r="S296" s="110">
        <v>2</v>
      </c>
      <c r="T296" s="67" t="s">
        <v>921</v>
      </c>
      <c r="U296" s="300" t="s">
        <v>880</v>
      </c>
      <c r="V296" s="74" t="s">
        <v>1275</v>
      </c>
      <c r="W296" s="298">
        <v>1</v>
      </c>
      <c r="X296" s="298">
        <v>0</v>
      </c>
      <c r="Y296" s="298">
        <v>1</v>
      </c>
      <c r="Z296" s="299">
        <v>1</v>
      </c>
      <c r="AA296" s="299">
        <v>1</v>
      </c>
      <c r="AB296" s="300">
        <v>0</v>
      </c>
      <c r="AC296" s="301">
        <v>1</v>
      </c>
      <c r="AD296" s="301">
        <v>0</v>
      </c>
      <c r="AE296" s="305">
        <f t="shared" si="42"/>
        <v>0.625</v>
      </c>
      <c r="AF296" s="63">
        <v>0</v>
      </c>
      <c r="AG296" s="73">
        <v>0</v>
      </c>
      <c r="AH296" s="73">
        <v>0</v>
      </c>
      <c r="AI296" s="82"/>
      <c r="AJ296" s="82"/>
      <c r="AK296" s="124"/>
      <c r="AL296" s="124"/>
      <c r="AM296" s="147">
        <f t="shared" ref="AM296:AM297" si="47">SUM(AK296:AL296)</f>
        <v>0</v>
      </c>
      <c r="AN296" s="81" t="s">
        <v>921</v>
      </c>
      <c r="AO296" s="74" t="s">
        <v>880</v>
      </c>
      <c r="AP296" s="67" t="s">
        <v>1276</v>
      </c>
    </row>
    <row r="297" spans="1:42" s="300" customFormat="1" hidden="1" x14ac:dyDescent="0.3">
      <c r="A297" s="66" t="s">
        <v>30</v>
      </c>
      <c r="B297" s="67" t="s">
        <v>31</v>
      </c>
      <c r="C297" s="68" t="s">
        <v>1251</v>
      </c>
      <c r="D297" s="69" t="s">
        <v>1252</v>
      </c>
      <c r="E297" s="68" t="s">
        <v>1253</v>
      </c>
      <c r="F297" s="69" t="s">
        <v>1254</v>
      </c>
      <c r="G297" s="68" t="s">
        <v>1255</v>
      </c>
      <c r="H297" s="69" t="s">
        <v>1256</v>
      </c>
      <c r="I297" s="69" t="s">
        <v>1257</v>
      </c>
      <c r="J297" s="69" t="s">
        <v>1258</v>
      </c>
      <c r="K297" s="68" t="s">
        <v>1277</v>
      </c>
      <c r="L297" s="69" t="s">
        <v>1278</v>
      </c>
      <c r="M297" s="67" t="s">
        <v>247</v>
      </c>
      <c r="N297" s="70"/>
      <c r="O297" s="71">
        <v>100</v>
      </c>
      <c r="P297" s="71">
        <v>100</v>
      </c>
      <c r="Q297" s="71">
        <v>100</v>
      </c>
      <c r="R297" s="110">
        <v>100</v>
      </c>
      <c r="S297" s="110">
        <v>100</v>
      </c>
      <c r="T297" s="67" t="s">
        <v>265</v>
      </c>
      <c r="U297" s="300" t="s">
        <v>350</v>
      </c>
      <c r="V297" s="67" t="s">
        <v>1279</v>
      </c>
      <c r="W297" s="298">
        <v>1</v>
      </c>
      <c r="X297" s="298">
        <v>0</v>
      </c>
      <c r="Y297" s="298">
        <v>0</v>
      </c>
      <c r="Z297" s="299">
        <v>1</v>
      </c>
      <c r="AA297" s="299">
        <v>1</v>
      </c>
      <c r="AB297" s="300">
        <v>0</v>
      </c>
      <c r="AC297" s="301">
        <v>1</v>
      </c>
      <c r="AD297" s="301">
        <v>1</v>
      </c>
      <c r="AE297" s="305">
        <f t="shared" si="42"/>
        <v>0.625</v>
      </c>
      <c r="AF297" s="63">
        <v>0</v>
      </c>
      <c r="AG297" s="73">
        <v>0</v>
      </c>
      <c r="AH297" s="73">
        <v>2</v>
      </c>
      <c r="AI297" s="73">
        <v>4</v>
      </c>
      <c r="AJ297" s="73">
        <v>4</v>
      </c>
      <c r="AK297" s="127">
        <v>0.8</v>
      </c>
      <c r="AL297" s="127">
        <v>1.2</v>
      </c>
      <c r="AM297" s="147">
        <f t="shared" si="47"/>
        <v>2</v>
      </c>
      <c r="AN297" s="300" t="s">
        <v>265</v>
      </c>
      <c r="AO297" s="74" t="s">
        <v>350</v>
      </c>
      <c r="AP297" s="67" t="s">
        <v>982</v>
      </c>
    </row>
    <row r="298" spans="1:42" s="300" customFormat="1" hidden="1" x14ac:dyDescent="0.3">
      <c r="A298" s="66" t="s">
        <v>30</v>
      </c>
      <c r="B298" s="67" t="s">
        <v>31</v>
      </c>
      <c r="C298" s="68" t="s">
        <v>1251</v>
      </c>
      <c r="D298" s="69" t="s">
        <v>1252</v>
      </c>
      <c r="E298" s="68" t="s">
        <v>1253</v>
      </c>
      <c r="F298" s="69" t="s">
        <v>1254</v>
      </c>
      <c r="G298" s="68" t="s">
        <v>1255</v>
      </c>
      <c r="H298" s="69" t="s">
        <v>1256</v>
      </c>
      <c r="I298" s="69" t="s">
        <v>1257</v>
      </c>
      <c r="J298" s="69" t="s">
        <v>1258</v>
      </c>
      <c r="K298" s="66" t="s">
        <v>1280</v>
      </c>
      <c r="L298" s="67" t="s">
        <v>1281</v>
      </c>
      <c r="M298" s="67" t="s">
        <v>1282</v>
      </c>
      <c r="N298" s="70"/>
      <c r="O298" s="73">
        <v>0</v>
      </c>
      <c r="P298" s="71"/>
      <c r="Q298" s="71">
        <v>1</v>
      </c>
      <c r="R298" s="110">
        <v>1</v>
      </c>
      <c r="S298" s="110"/>
      <c r="T298" s="67" t="s">
        <v>1283</v>
      </c>
      <c r="U298" s="300" t="s">
        <v>880</v>
      </c>
      <c r="V298" s="74" t="s">
        <v>1284</v>
      </c>
      <c r="W298" s="298">
        <v>1</v>
      </c>
      <c r="X298" s="298">
        <v>0</v>
      </c>
      <c r="Y298" s="298">
        <v>0</v>
      </c>
      <c r="Z298" s="299">
        <v>1</v>
      </c>
      <c r="AA298" s="299">
        <v>1</v>
      </c>
      <c r="AB298" s="300">
        <v>0</v>
      </c>
      <c r="AC298" s="301">
        <v>1</v>
      </c>
      <c r="AD298" s="301">
        <v>0</v>
      </c>
      <c r="AE298" s="305">
        <f t="shared" si="42"/>
        <v>0.5</v>
      </c>
      <c r="AF298" s="63">
        <v>0</v>
      </c>
      <c r="AG298" s="73">
        <v>0</v>
      </c>
      <c r="AH298" s="73">
        <v>0</v>
      </c>
      <c r="AI298" s="82"/>
      <c r="AJ298" s="82"/>
      <c r="AK298" s="124"/>
      <c r="AL298" s="124"/>
      <c r="AM298" s="73" t="e">
        <f>SUM(#REF!)</f>
        <v>#REF!</v>
      </c>
      <c r="AN298" s="74" t="s">
        <v>1285</v>
      </c>
      <c r="AO298" s="74" t="s">
        <v>880</v>
      </c>
      <c r="AP298" s="74" t="s">
        <v>1191</v>
      </c>
    </row>
    <row r="299" spans="1:42" s="300" customFormat="1" hidden="1" x14ac:dyDescent="0.3">
      <c r="A299" s="66" t="s">
        <v>30</v>
      </c>
      <c r="B299" s="67" t="s">
        <v>31</v>
      </c>
      <c r="C299" s="68" t="s">
        <v>1251</v>
      </c>
      <c r="D299" s="69" t="s">
        <v>1252</v>
      </c>
      <c r="E299" s="68" t="s">
        <v>1253</v>
      </c>
      <c r="F299" s="69" t="s">
        <v>1254</v>
      </c>
      <c r="G299" s="68" t="s">
        <v>1255</v>
      </c>
      <c r="H299" s="69" t="s">
        <v>1256</v>
      </c>
      <c r="I299" s="69" t="s">
        <v>1257</v>
      </c>
      <c r="J299" s="69" t="s">
        <v>1258</v>
      </c>
      <c r="K299" s="66" t="s">
        <v>1286</v>
      </c>
      <c r="L299" s="67" t="s">
        <v>1287</v>
      </c>
      <c r="M299" s="67" t="s">
        <v>1288</v>
      </c>
      <c r="N299" s="70"/>
      <c r="O299" s="73">
        <v>0</v>
      </c>
      <c r="P299" s="71">
        <v>500</v>
      </c>
      <c r="Q299" s="71">
        <v>500</v>
      </c>
      <c r="R299" s="110">
        <v>500</v>
      </c>
      <c r="S299" s="110">
        <v>500</v>
      </c>
      <c r="T299" s="67" t="s">
        <v>921</v>
      </c>
      <c r="U299" s="300" t="s">
        <v>880</v>
      </c>
      <c r="V299" s="74" t="s">
        <v>1289</v>
      </c>
      <c r="W299" s="298">
        <v>1</v>
      </c>
      <c r="X299" s="298">
        <v>0</v>
      </c>
      <c r="Y299" s="298">
        <v>0</v>
      </c>
      <c r="Z299" s="299">
        <v>1</v>
      </c>
      <c r="AA299" s="299">
        <v>1</v>
      </c>
      <c r="AB299" s="300">
        <v>0</v>
      </c>
      <c r="AC299" s="301">
        <v>1</v>
      </c>
      <c r="AD299" s="301">
        <v>0</v>
      </c>
      <c r="AE299" s="305">
        <f t="shared" si="42"/>
        <v>0.5</v>
      </c>
      <c r="AF299" s="63">
        <v>0</v>
      </c>
      <c r="AG299" s="73">
        <v>0</v>
      </c>
      <c r="AH299" s="73">
        <v>0</v>
      </c>
      <c r="AI299" s="82">
        <v>1</v>
      </c>
      <c r="AJ299" s="82">
        <v>1</v>
      </c>
      <c r="AK299" s="124"/>
      <c r="AL299" s="124"/>
      <c r="AM299" s="73" t="e">
        <f>SUM(#REF!)</f>
        <v>#REF!</v>
      </c>
      <c r="AN299" s="74" t="s">
        <v>921</v>
      </c>
      <c r="AO299" s="74" t="s">
        <v>880</v>
      </c>
      <c r="AP299" s="67" t="s">
        <v>1290</v>
      </c>
    </row>
    <row r="300" spans="1:42" s="300" customFormat="1" hidden="1" x14ac:dyDescent="0.3">
      <c r="A300" s="66" t="s">
        <v>30</v>
      </c>
      <c r="B300" s="67" t="s">
        <v>31</v>
      </c>
      <c r="C300" s="68" t="s">
        <v>1251</v>
      </c>
      <c r="D300" s="69" t="s">
        <v>1252</v>
      </c>
      <c r="E300" s="68" t="s">
        <v>1253</v>
      </c>
      <c r="F300" s="69" t="s">
        <v>1254</v>
      </c>
      <c r="G300" s="68" t="s">
        <v>1255</v>
      </c>
      <c r="H300" s="69" t="s">
        <v>1256</v>
      </c>
      <c r="I300" s="69" t="s">
        <v>1257</v>
      </c>
      <c r="J300" s="69" t="s">
        <v>1258</v>
      </c>
      <c r="K300" s="66" t="s">
        <v>1291</v>
      </c>
      <c r="L300" s="67" t="s">
        <v>1292</v>
      </c>
      <c r="M300" s="67" t="s">
        <v>1293</v>
      </c>
      <c r="N300" s="70"/>
      <c r="O300" s="73">
        <v>0</v>
      </c>
      <c r="P300" s="83">
        <v>10000</v>
      </c>
      <c r="Q300" s="83">
        <v>40000</v>
      </c>
      <c r="R300" s="118">
        <v>8000</v>
      </c>
      <c r="S300" s="118">
        <v>10000</v>
      </c>
      <c r="T300" s="84" t="s">
        <v>921</v>
      </c>
      <c r="U300" s="300" t="s">
        <v>880</v>
      </c>
      <c r="V300" s="74" t="s">
        <v>1294</v>
      </c>
      <c r="W300" s="298">
        <v>1</v>
      </c>
      <c r="X300" s="298">
        <v>1</v>
      </c>
      <c r="Y300" s="298">
        <v>0</v>
      </c>
      <c r="Z300" s="299">
        <v>0</v>
      </c>
      <c r="AA300" s="299">
        <v>1</v>
      </c>
      <c r="AB300" s="300">
        <v>1</v>
      </c>
      <c r="AC300" s="301">
        <v>1</v>
      </c>
      <c r="AD300" s="301">
        <v>0</v>
      </c>
      <c r="AE300" s="305">
        <f t="shared" si="42"/>
        <v>0.625</v>
      </c>
      <c r="AF300" s="63">
        <v>0</v>
      </c>
      <c r="AG300" s="73">
        <v>0</v>
      </c>
      <c r="AH300" s="73">
        <v>0</v>
      </c>
      <c r="AI300" s="82">
        <v>1</v>
      </c>
      <c r="AJ300" s="82">
        <v>1</v>
      </c>
      <c r="AK300" s="138">
        <v>0.8</v>
      </c>
      <c r="AL300" s="124">
        <v>1</v>
      </c>
      <c r="AM300" s="147">
        <f t="shared" ref="AM300:AM301" si="48">SUM(AK300:AL300)</f>
        <v>1.8</v>
      </c>
      <c r="AN300" s="74" t="s">
        <v>921</v>
      </c>
      <c r="AO300" s="74" t="s">
        <v>880</v>
      </c>
      <c r="AP300" s="67" t="s">
        <v>1276</v>
      </c>
    </row>
    <row r="301" spans="1:42" hidden="1" x14ac:dyDescent="0.3">
      <c r="A301" s="9" t="s">
        <v>30</v>
      </c>
      <c r="B301" s="10" t="s">
        <v>31</v>
      </c>
      <c r="C301" s="11" t="s">
        <v>1251</v>
      </c>
      <c r="D301" s="12" t="s">
        <v>1252</v>
      </c>
      <c r="E301" s="11" t="s">
        <v>1253</v>
      </c>
      <c r="F301" s="12" t="s">
        <v>1254</v>
      </c>
      <c r="G301" s="11" t="s">
        <v>1255</v>
      </c>
      <c r="H301" s="12" t="s">
        <v>1256</v>
      </c>
      <c r="I301" s="12" t="s">
        <v>1257</v>
      </c>
      <c r="J301" s="12" t="s">
        <v>1258</v>
      </c>
      <c r="K301" s="9" t="s">
        <v>1295</v>
      </c>
      <c r="L301" s="10" t="s">
        <v>1296</v>
      </c>
      <c r="M301" s="10" t="s">
        <v>1297</v>
      </c>
      <c r="N301" s="15"/>
      <c r="O301" s="17">
        <v>0</v>
      </c>
      <c r="P301" s="16">
        <v>1</v>
      </c>
      <c r="Q301" s="16">
        <v>1</v>
      </c>
      <c r="R301" s="110">
        <v>1</v>
      </c>
      <c r="S301" s="110">
        <v>1</v>
      </c>
      <c r="T301" s="10" t="s">
        <v>921</v>
      </c>
      <c r="U301" s="283" t="s">
        <v>880</v>
      </c>
      <c r="V301" s="18" t="s">
        <v>1298</v>
      </c>
      <c r="W301" s="298">
        <v>1</v>
      </c>
      <c r="X301" s="298">
        <v>1</v>
      </c>
      <c r="Y301" s="298">
        <v>0</v>
      </c>
      <c r="Z301" s="299">
        <v>0</v>
      </c>
      <c r="AA301" s="299">
        <v>1</v>
      </c>
      <c r="AB301" s="300">
        <v>1</v>
      </c>
      <c r="AC301" s="301">
        <v>1</v>
      </c>
      <c r="AD301" s="301">
        <v>0</v>
      </c>
      <c r="AE301" s="302">
        <f t="shared" si="42"/>
        <v>0.625</v>
      </c>
      <c r="AF301" s="63">
        <v>0</v>
      </c>
      <c r="AG301" s="17">
        <v>0</v>
      </c>
      <c r="AH301" s="17">
        <v>0</v>
      </c>
      <c r="AI301" s="36"/>
      <c r="AJ301" s="36"/>
      <c r="AK301" s="124"/>
      <c r="AL301" s="138">
        <v>0.95</v>
      </c>
      <c r="AM301" s="147">
        <f t="shared" si="48"/>
        <v>0.95</v>
      </c>
      <c r="AN301" s="18" t="s">
        <v>921</v>
      </c>
      <c r="AO301" s="18" t="s">
        <v>880</v>
      </c>
      <c r="AP301" s="10" t="s">
        <v>1290</v>
      </c>
    </row>
    <row r="302" spans="1:42" hidden="1" x14ac:dyDescent="0.3">
      <c r="A302" s="9" t="s">
        <v>30</v>
      </c>
      <c r="B302" s="10" t="s">
        <v>31</v>
      </c>
      <c r="C302" s="11" t="s">
        <v>1251</v>
      </c>
      <c r="D302" s="12" t="s">
        <v>1252</v>
      </c>
      <c r="E302" s="11" t="s">
        <v>1253</v>
      </c>
      <c r="F302" s="12" t="s">
        <v>1254</v>
      </c>
      <c r="G302" s="11" t="s">
        <v>1255</v>
      </c>
      <c r="H302" s="12" t="s">
        <v>1256</v>
      </c>
      <c r="I302" s="12" t="s">
        <v>1257</v>
      </c>
      <c r="J302" s="12" t="s">
        <v>1258</v>
      </c>
      <c r="K302" s="9" t="s">
        <v>1299</v>
      </c>
      <c r="L302" s="10" t="s">
        <v>1300</v>
      </c>
      <c r="M302" s="10" t="s">
        <v>1301</v>
      </c>
      <c r="N302" s="15"/>
      <c r="O302" s="17">
        <v>0</v>
      </c>
      <c r="P302" s="16"/>
      <c r="Q302" s="16">
        <v>1</v>
      </c>
      <c r="R302" s="110"/>
      <c r="S302" s="110"/>
      <c r="T302" s="10" t="s">
        <v>1302</v>
      </c>
      <c r="U302" s="283" t="s">
        <v>880</v>
      </c>
      <c r="V302" s="18" t="s">
        <v>1303</v>
      </c>
      <c r="W302" s="298">
        <v>0</v>
      </c>
      <c r="X302" s="298">
        <v>0</v>
      </c>
      <c r="Y302" s="298">
        <v>0</v>
      </c>
      <c r="Z302" s="299">
        <v>0</v>
      </c>
      <c r="AA302" s="299">
        <v>0</v>
      </c>
      <c r="AB302" s="300">
        <v>0</v>
      </c>
      <c r="AC302" s="301">
        <v>0</v>
      </c>
      <c r="AD302" s="301">
        <v>0</v>
      </c>
      <c r="AE302" s="302">
        <f t="shared" si="42"/>
        <v>0</v>
      </c>
      <c r="AF302" s="63">
        <v>0</v>
      </c>
      <c r="AG302" s="17">
        <v>0</v>
      </c>
      <c r="AH302" s="17">
        <v>0</v>
      </c>
      <c r="AI302" s="36">
        <v>1</v>
      </c>
      <c r="AJ302" s="36">
        <v>0.5</v>
      </c>
      <c r="AK302" s="124"/>
      <c r="AL302" s="124"/>
      <c r="AM302" s="17" t="e">
        <f>SUM(#REF!)</f>
        <v>#REF!</v>
      </c>
      <c r="AN302" s="18" t="s">
        <v>1302</v>
      </c>
      <c r="AO302" s="18" t="s">
        <v>880</v>
      </c>
      <c r="AP302" s="10" t="s">
        <v>1304</v>
      </c>
    </row>
    <row r="303" spans="1:42" x14ac:dyDescent="0.3">
      <c r="A303" s="9" t="s">
        <v>30</v>
      </c>
      <c r="B303" s="10" t="s">
        <v>31</v>
      </c>
      <c r="C303" s="11" t="s">
        <v>1251</v>
      </c>
      <c r="D303" s="12" t="s">
        <v>1252</v>
      </c>
      <c r="E303" s="11" t="s">
        <v>1253</v>
      </c>
      <c r="F303" s="12" t="s">
        <v>1254</v>
      </c>
      <c r="G303" s="11" t="s">
        <v>1255</v>
      </c>
      <c r="H303" s="12" t="s">
        <v>1256</v>
      </c>
      <c r="I303" s="12" t="s">
        <v>1257</v>
      </c>
      <c r="J303" s="12" t="s">
        <v>1258</v>
      </c>
      <c r="K303" s="9" t="s">
        <v>1305</v>
      </c>
      <c r="L303" s="10" t="s">
        <v>1306</v>
      </c>
      <c r="M303" s="10" t="s">
        <v>1307</v>
      </c>
      <c r="N303" s="15"/>
      <c r="O303" s="42">
        <v>31.45</v>
      </c>
      <c r="P303" s="42">
        <v>41.898092701011819</v>
      </c>
      <c r="Q303" s="42">
        <v>40</v>
      </c>
      <c r="R303" s="145">
        <v>25</v>
      </c>
      <c r="S303" s="122">
        <v>50</v>
      </c>
      <c r="T303" s="43" t="s">
        <v>921</v>
      </c>
      <c r="U303" s="283" t="s">
        <v>880</v>
      </c>
      <c r="V303" s="18" t="s">
        <v>1308</v>
      </c>
      <c r="W303" s="298">
        <v>1</v>
      </c>
      <c r="X303" s="298">
        <v>1</v>
      </c>
      <c r="Y303" s="298">
        <v>1</v>
      </c>
      <c r="Z303" s="299">
        <v>1</v>
      </c>
      <c r="AA303" s="299">
        <v>1</v>
      </c>
      <c r="AB303" s="300">
        <v>1</v>
      </c>
      <c r="AC303" s="301">
        <v>1</v>
      </c>
      <c r="AD303" s="301">
        <v>0</v>
      </c>
      <c r="AE303" s="302">
        <f t="shared" si="42"/>
        <v>0.875</v>
      </c>
      <c r="AF303" s="63">
        <v>0</v>
      </c>
      <c r="AG303" s="17">
        <v>0</v>
      </c>
      <c r="AH303" s="36">
        <v>31.452232854253225</v>
      </c>
      <c r="AI303" s="36">
        <v>41.898092701011819</v>
      </c>
      <c r="AJ303" s="36">
        <v>40</v>
      </c>
      <c r="AK303" s="138">
        <v>25</v>
      </c>
      <c r="AL303" s="124">
        <v>50</v>
      </c>
      <c r="AM303" s="147">
        <f t="shared" ref="AM303:AM306" si="49">SUM(AK303:AL303)</f>
        <v>75</v>
      </c>
      <c r="AN303" s="18" t="s">
        <v>921</v>
      </c>
      <c r="AO303" s="18" t="s">
        <v>880</v>
      </c>
      <c r="AP303" s="10" t="s">
        <v>1309</v>
      </c>
    </row>
    <row r="304" spans="1:42" x14ac:dyDescent="0.3">
      <c r="A304" s="9" t="s">
        <v>30</v>
      </c>
      <c r="B304" s="10" t="s">
        <v>31</v>
      </c>
      <c r="C304" s="11" t="s">
        <v>1251</v>
      </c>
      <c r="D304" s="12" t="s">
        <v>1252</v>
      </c>
      <c r="E304" s="11" t="s">
        <v>1253</v>
      </c>
      <c r="F304" s="12" t="s">
        <v>1254</v>
      </c>
      <c r="G304" s="11" t="s">
        <v>1255</v>
      </c>
      <c r="H304" s="12" t="s">
        <v>1256</v>
      </c>
      <c r="I304" s="12" t="s">
        <v>1257</v>
      </c>
      <c r="J304" s="12" t="s">
        <v>1258</v>
      </c>
      <c r="K304" s="9" t="s">
        <v>1310</v>
      </c>
      <c r="L304" s="10" t="s">
        <v>1311</v>
      </c>
      <c r="M304" s="10" t="s">
        <v>1312</v>
      </c>
      <c r="N304" s="15"/>
      <c r="O304" s="21">
        <v>0</v>
      </c>
      <c r="P304" s="16">
        <v>5</v>
      </c>
      <c r="Q304" s="16">
        <v>14</v>
      </c>
      <c r="R304" s="126">
        <v>8</v>
      </c>
      <c r="S304" s="126">
        <v>12</v>
      </c>
      <c r="T304" s="10" t="s">
        <v>336</v>
      </c>
      <c r="U304" s="283" t="s">
        <v>118</v>
      </c>
      <c r="V304" s="18" t="s">
        <v>1313</v>
      </c>
      <c r="W304" s="298">
        <v>1</v>
      </c>
      <c r="X304" s="298">
        <v>1</v>
      </c>
      <c r="Y304" s="298">
        <v>1</v>
      </c>
      <c r="Z304" s="299">
        <v>1</v>
      </c>
      <c r="AA304" s="299">
        <v>1</v>
      </c>
      <c r="AB304" s="300">
        <v>1</v>
      </c>
      <c r="AC304" s="301">
        <v>1</v>
      </c>
      <c r="AD304" s="301">
        <v>0</v>
      </c>
      <c r="AE304" s="302">
        <f t="shared" si="42"/>
        <v>0.875</v>
      </c>
      <c r="AF304" s="63">
        <v>0</v>
      </c>
      <c r="AG304" s="17">
        <v>0</v>
      </c>
      <c r="AH304" s="17">
        <v>0</v>
      </c>
      <c r="AI304" s="36">
        <v>2</v>
      </c>
      <c r="AJ304" s="36">
        <v>5</v>
      </c>
      <c r="AK304" s="138">
        <v>2</v>
      </c>
      <c r="AL304" s="138">
        <v>4.3404255319148941</v>
      </c>
      <c r="AM304" s="147">
        <f t="shared" si="49"/>
        <v>6.3404255319148941</v>
      </c>
      <c r="AN304" s="18" t="s">
        <v>336</v>
      </c>
      <c r="AO304" s="18" t="s">
        <v>118</v>
      </c>
      <c r="AP304" s="10" t="s">
        <v>1314</v>
      </c>
    </row>
    <row r="305" spans="1:42" x14ac:dyDescent="0.3">
      <c r="A305" s="9" t="s">
        <v>30</v>
      </c>
      <c r="B305" s="10" t="s">
        <v>31</v>
      </c>
      <c r="C305" s="11" t="s">
        <v>1251</v>
      </c>
      <c r="D305" s="12" t="s">
        <v>1252</v>
      </c>
      <c r="E305" s="11" t="s">
        <v>1253</v>
      </c>
      <c r="F305" s="12" t="s">
        <v>1254</v>
      </c>
      <c r="G305" s="11" t="s">
        <v>1255</v>
      </c>
      <c r="H305" s="12" t="s">
        <v>1256</v>
      </c>
      <c r="I305" s="12" t="s">
        <v>1315</v>
      </c>
      <c r="J305" s="12" t="s">
        <v>1316</v>
      </c>
      <c r="K305" s="9" t="s">
        <v>1317</v>
      </c>
      <c r="L305" s="10" t="s">
        <v>1318</v>
      </c>
      <c r="M305" s="10" t="s">
        <v>1319</v>
      </c>
      <c r="N305" s="15"/>
      <c r="O305" s="17">
        <v>0</v>
      </c>
      <c r="P305" s="16">
        <v>1</v>
      </c>
      <c r="Q305" s="16">
        <v>3</v>
      </c>
      <c r="R305" s="110">
        <v>5</v>
      </c>
      <c r="S305" s="110">
        <v>10</v>
      </c>
      <c r="T305" s="10" t="s">
        <v>869</v>
      </c>
      <c r="U305" s="283" t="s">
        <v>871</v>
      </c>
      <c r="V305" s="18" t="s">
        <v>1320</v>
      </c>
      <c r="W305" s="298">
        <v>1</v>
      </c>
      <c r="X305" s="298">
        <v>1</v>
      </c>
      <c r="Y305" s="298">
        <v>1</v>
      </c>
      <c r="Z305" s="299">
        <v>1</v>
      </c>
      <c r="AA305" s="299">
        <v>1</v>
      </c>
      <c r="AB305" s="300">
        <v>1</v>
      </c>
      <c r="AC305" s="301">
        <v>1</v>
      </c>
      <c r="AD305" s="301">
        <v>0</v>
      </c>
      <c r="AE305" s="302">
        <f t="shared" si="42"/>
        <v>0.875</v>
      </c>
      <c r="AF305" s="63">
        <v>0</v>
      </c>
      <c r="AG305" s="17">
        <v>0</v>
      </c>
      <c r="AH305" s="17">
        <v>0</v>
      </c>
      <c r="AI305" s="36">
        <v>1</v>
      </c>
      <c r="AJ305" s="36">
        <v>2</v>
      </c>
      <c r="AK305" s="138">
        <v>1.45</v>
      </c>
      <c r="AL305" s="138">
        <v>1.5</v>
      </c>
      <c r="AM305" s="147">
        <f t="shared" si="49"/>
        <v>2.95</v>
      </c>
      <c r="AN305" s="18" t="s">
        <v>869</v>
      </c>
      <c r="AO305" s="18" t="s">
        <v>871</v>
      </c>
      <c r="AP305" s="10" t="s">
        <v>1321</v>
      </c>
    </row>
    <row r="306" spans="1:42" x14ac:dyDescent="0.3">
      <c r="A306" s="9" t="s">
        <v>30</v>
      </c>
      <c r="B306" s="10" t="s">
        <v>31</v>
      </c>
      <c r="C306" s="11" t="s">
        <v>1251</v>
      </c>
      <c r="D306" s="12" t="s">
        <v>1252</v>
      </c>
      <c r="E306" s="11" t="s">
        <v>1253</v>
      </c>
      <c r="F306" s="12" t="s">
        <v>1254</v>
      </c>
      <c r="G306" s="11" t="s">
        <v>1255</v>
      </c>
      <c r="H306" s="12" t="s">
        <v>1256</v>
      </c>
      <c r="I306" s="12" t="s">
        <v>1315</v>
      </c>
      <c r="J306" s="12" t="s">
        <v>1316</v>
      </c>
      <c r="K306" s="9" t="s">
        <v>1322</v>
      </c>
      <c r="L306" s="10" t="s">
        <v>1323</v>
      </c>
      <c r="M306" s="10" t="s">
        <v>1324</v>
      </c>
      <c r="N306" s="15"/>
      <c r="O306" s="17">
        <v>0</v>
      </c>
      <c r="P306" s="16"/>
      <c r="Q306" s="16">
        <v>1</v>
      </c>
      <c r="R306" s="110"/>
      <c r="S306" s="110"/>
      <c r="T306" s="10" t="s">
        <v>1302</v>
      </c>
      <c r="U306" s="283" t="s">
        <v>880</v>
      </c>
      <c r="V306" s="18" t="s">
        <v>1325</v>
      </c>
      <c r="W306" s="298">
        <v>1</v>
      </c>
      <c r="X306" s="298">
        <v>0</v>
      </c>
      <c r="Y306" s="298">
        <v>1</v>
      </c>
      <c r="Z306" s="299">
        <v>1</v>
      </c>
      <c r="AA306" s="299">
        <v>1</v>
      </c>
      <c r="AB306" s="300">
        <v>1</v>
      </c>
      <c r="AC306" s="301">
        <v>1</v>
      </c>
      <c r="AD306" s="301">
        <v>0</v>
      </c>
      <c r="AE306" s="302">
        <f t="shared" si="42"/>
        <v>0.75</v>
      </c>
      <c r="AF306" s="63">
        <v>0</v>
      </c>
      <c r="AG306" s="17">
        <v>0</v>
      </c>
      <c r="AH306" s="17">
        <v>0</v>
      </c>
      <c r="AI306" s="36"/>
      <c r="AJ306" s="36">
        <v>1</v>
      </c>
      <c r="AK306" s="124"/>
      <c r="AL306" s="124"/>
      <c r="AM306" s="147">
        <f t="shared" si="49"/>
        <v>0</v>
      </c>
      <c r="AN306" s="18" t="s">
        <v>1302</v>
      </c>
      <c r="AO306" s="18" t="s">
        <v>880</v>
      </c>
      <c r="AP306" s="10" t="s">
        <v>1326</v>
      </c>
    </row>
    <row r="307" spans="1:42" hidden="1" x14ac:dyDescent="0.3">
      <c r="A307" s="9" t="s">
        <v>30</v>
      </c>
      <c r="B307" s="10" t="s">
        <v>31</v>
      </c>
      <c r="C307" s="11" t="s">
        <v>1251</v>
      </c>
      <c r="D307" s="12" t="s">
        <v>1252</v>
      </c>
      <c r="E307" s="11" t="s">
        <v>1253</v>
      </c>
      <c r="F307" s="12" t="s">
        <v>1254</v>
      </c>
      <c r="G307" s="11" t="s">
        <v>1255</v>
      </c>
      <c r="H307" s="12" t="s">
        <v>1256</v>
      </c>
      <c r="I307" s="12" t="s">
        <v>1327</v>
      </c>
      <c r="J307" s="12" t="s">
        <v>1328</v>
      </c>
      <c r="K307" s="9" t="s">
        <v>1329</v>
      </c>
      <c r="L307" s="10" t="s">
        <v>1330</v>
      </c>
      <c r="M307" s="10" t="s">
        <v>1331</v>
      </c>
      <c r="N307" s="15"/>
      <c r="O307" s="17">
        <v>0</v>
      </c>
      <c r="P307" s="16">
        <v>5</v>
      </c>
      <c r="Q307" s="16">
        <v>10</v>
      </c>
      <c r="R307" s="110">
        <v>10</v>
      </c>
      <c r="S307" s="110">
        <v>20</v>
      </c>
      <c r="T307" s="10" t="s">
        <v>1332</v>
      </c>
      <c r="U307" s="283" t="s">
        <v>1334</v>
      </c>
      <c r="V307" s="18" t="s">
        <v>1333</v>
      </c>
      <c r="W307" s="298">
        <v>0</v>
      </c>
      <c r="X307" s="298">
        <v>0</v>
      </c>
      <c r="Y307" s="298">
        <v>0</v>
      </c>
      <c r="Z307" s="299">
        <v>0</v>
      </c>
      <c r="AA307" s="299">
        <v>0</v>
      </c>
      <c r="AB307" s="300">
        <v>0</v>
      </c>
      <c r="AC307" s="301">
        <v>0</v>
      </c>
      <c r="AD307" s="301">
        <v>0</v>
      </c>
      <c r="AE307" s="302">
        <f t="shared" si="42"/>
        <v>0</v>
      </c>
      <c r="AF307" s="63">
        <v>0</v>
      </c>
      <c r="AG307" s="17">
        <v>0</v>
      </c>
      <c r="AH307" s="17">
        <v>0</v>
      </c>
      <c r="AI307" s="36">
        <v>0.5</v>
      </c>
      <c r="AJ307" s="36">
        <v>0.5</v>
      </c>
      <c r="AK307" s="124"/>
      <c r="AL307" s="124"/>
      <c r="AM307" s="17" t="e">
        <f>SUM(#REF!)</f>
        <v>#REF!</v>
      </c>
      <c r="AN307" s="18" t="s">
        <v>1332</v>
      </c>
      <c r="AO307" s="18" t="s">
        <v>1334</v>
      </c>
      <c r="AP307" s="10" t="s">
        <v>761</v>
      </c>
    </row>
    <row r="308" spans="1:42" hidden="1" x14ac:dyDescent="0.3">
      <c r="A308" s="9" t="s">
        <v>30</v>
      </c>
      <c r="B308" s="10" t="s">
        <v>31</v>
      </c>
      <c r="C308" s="11" t="s">
        <v>1251</v>
      </c>
      <c r="D308" s="12" t="s">
        <v>1252</v>
      </c>
      <c r="E308" s="11" t="s">
        <v>1253</v>
      </c>
      <c r="F308" s="12" t="s">
        <v>1254</v>
      </c>
      <c r="G308" s="11" t="s">
        <v>1255</v>
      </c>
      <c r="H308" s="12" t="s">
        <v>1256</v>
      </c>
      <c r="I308" s="12" t="s">
        <v>1327</v>
      </c>
      <c r="J308" s="12" t="s">
        <v>1328</v>
      </c>
      <c r="K308" s="9" t="s">
        <v>1335</v>
      </c>
      <c r="L308" s="10" t="s">
        <v>1336</v>
      </c>
      <c r="M308" s="10" t="s">
        <v>1337</v>
      </c>
      <c r="N308" s="15"/>
      <c r="O308" s="17">
        <v>0</v>
      </c>
      <c r="P308" s="16">
        <v>20</v>
      </c>
      <c r="Q308" s="16">
        <v>35</v>
      </c>
      <c r="R308" s="110">
        <v>50</v>
      </c>
      <c r="S308" s="110">
        <v>50</v>
      </c>
      <c r="T308" s="10" t="s">
        <v>798</v>
      </c>
      <c r="U308" s="283" t="s">
        <v>350</v>
      </c>
      <c r="V308" s="18" t="s">
        <v>1338</v>
      </c>
      <c r="W308" s="298">
        <v>1</v>
      </c>
      <c r="X308" s="298">
        <v>0</v>
      </c>
      <c r="Y308" s="298">
        <v>0</v>
      </c>
      <c r="Z308" s="299">
        <v>1</v>
      </c>
      <c r="AA308" s="299">
        <v>0</v>
      </c>
      <c r="AB308" s="300">
        <v>1</v>
      </c>
      <c r="AC308" s="301">
        <v>0</v>
      </c>
      <c r="AD308" s="301">
        <v>0</v>
      </c>
      <c r="AE308" s="302">
        <f t="shared" si="42"/>
        <v>0.375</v>
      </c>
      <c r="AF308" s="63">
        <v>0</v>
      </c>
      <c r="AG308" s="17">
        <v>0</v>
      </c>
      <c r="AH308" s="17">
        <v>0</v>
      </c>
      <c r="AI308" s="36">
        <v>3</v>
      </c>
      <c r="AJ308" s="36">
        <v>4</v>
      </c>
      <c r="AK308" s="124"/>
      <c r="AL308" s="124"/>
      <c r="AM308" s="17" t="e">
        <f>SUM(#REF!)</f>
        <v>#REF!</v>
      </c>
      <c r="AN308" s="10" t="s">
        <v>619</v>
      </c>
      <c r="AO308" s="18" t="s">
        <v>350</v>
      </c>
      <c r="AP308" s="10" t="s">
        <v>1339</v>
      </c>
    </row>
    <row r="309" spans="1:42" hidden="1" x14ac:dyDescent="0.3">
      <c r="A309" s="9" t="s">
        <v>30</v>
      </c>
      <c r="B309" s="10" t="s">
        <v>31</v>
      </c>
      <c r="C309" s="11" t="s">
        <v>1251</v>
      </c>
      <c r="D309" s="12" t="s">
        <v>1252</v>
      </c>
      <c r="E309" s="11" t="s">
        <v>1253</v>
      </c>
      <c r="F309" s="12" t="s">
        <v>1254</v>
      </c>
      <c r="G309" s="11" t="s">
        <v>1255</v>
      </c>
      <c r="H309" s="12" t="s">
        <v>1256</v>
      </c>
      <c r="I309" s="12" t="s">
        <v>1340</v>
      </c>
      <c r="J309" s="12" t="s">
        <v>1341</v>
      </c>
      <c r="K309" s="9" t="s">
        <v>1342</v>
      </c>
      <c r="L309" s="10" t="s">
        <v>1343</v>
      </c>
      <c r="M309" s="10" t="s">
        <v>1344</v>
      </c>
      <c r="N309" s="15"/>
      <c r="O309" s="17">
        <v>0</v>
      </c>
      <c r="P309" s="16">
        <v>2</v>
      </c>
      <c r="Q309" s="16">
        <v>2</v>
      </c>
      <c r="R309" s="110">
        <v>2</v>
      </c>
      <c r="S309" s="110">
        <v>2</v>
      </c>
      <c r="T309" s="10" t="s">
        <v>1345</v>
      </c>
      <c r="U309" s="283" t="s">
        <v>1334</v>
      </c>
      <c r="V309" s="18" t="s">
        <v>1346</v>
      </c>
      <c r="W309" s="298">
        <v>1</v>
      </c>
      <c r="X309" s="298">
        <v>0</v>
      </c>
      <c r="Y309" s="298">
        <v>0</v>
      </c>
      <c r="Z309" s="299">
        <v>0</v>
      </c>
      <c r="AA309" s="299">
        <v>0</v>
      </c>
      <c r="AB309" s="300">
        <v>0</v>
      </c>
      <c r="AC309" s="301">
        <v>0</v>
      </c>
      <c r="AD309" s="301">
        <v>0</v>
      </c>
      <c r="AE309" s="302">
        <f t="shared" si="42"/>
        <v>0.125</v>
      </c>
      <c r="AF309" s="63">
        <v>0</v>
      </c>
      <c r="AG309" s="17">
        <v>0</v>
      </c>
      <c r="AH309" s="17">
        <v>0</v>
      </c>
      <c r="AI309" s="36"/>
      <c r="AJ309" s="36">
        <v>2</v>
      </c>
      <c r="AK309" s="124"/>
      <c r="AL309" s="124"/>
      <c r="AM309" s="17" t="e">
        <f>SUM(#REF!)</f>
        <v>#REF!</v>
      </c>
      <c r="AN309" s="10" t="s">
        <v>1345</v>
      </c>
      <c r="AO309" s="18" t="s">
        <v>1334</v>
      </c>
      <c r="AP309" s="10" t="s">
        <v>1347</v>
      </c>
    </row>
    <row r="310" spans="1:42" hidden="1" x14ac:dyDescent="0.3">
      <c r="A310" s="9" t="s">
        <v>30</v>
      </c>
      <c r="B310" s="10" t="s">
        <v>31</v>
      </c>
      <c r="C310" s="11" t="s">
        <v>1251</v>
      </c>
      <c r="D310" s="12" t="s">
        <v>1252</v>
      </c>
      <c r="E310" s="11" t="s">
        <v>1253</v>
      </c>
      <c r="F310" s="12" t="s">
        <v>1254</v>
      </c>
      <c r="G310" s="11" t="s">
        <v>1255</v>
      </c>
      <c r="H310" s="12" t="s">
        <v>1256</v>
      </c>
      <c r="I310" s="12" t="s">
        <v>1340</v>
      </c>
      <c r="J310" s="12" t="s">
        <v>1341</v>
      </c>
      <c r="K310" s="9" t="s">
        <v>1348</v>
      </c>
      <c r="L310" s="10" t="s">
        <v>1349</v>
      </c>
      <c r="M310" s="10" t="s">
        <v>1350</v>
      </c>
      <c r="N310" s="15"/>
      <c r="O310" s="17">
        <v>0</v>
      </c>
      <c r="P310" s="16">
        <v>1</v>
      </c>
      <c r="Q310" s="16">
        <v>3</v>
      </c>
      <c r="R310" s="110">
        <v>7</v>
      </c>
      <c r="S310" s="110">
        <v>7</v>
      </c>
      <c r="T310" s="10" t="s">
        <v>921</v>
      </c>
      <c r="U310" s="283" t="s">
        <v>880</v>
      </c>
      <c r="V310" s="18" t="s">
        <v>1351</v>
      </c>
      <c r="W310" s="298">
        <v>0</v>
      </c>
      <c r="X310" s="298">
        <v>0</v>
      </c>
      <c r="Y310" s="298">
        <v>0</v>
      </c>
      <c r="Z310" s="299">
        <v>0</v>
      </c>
      <c r="AA310" s="299">
        <v>0</v>
      </c>
      <c r="AB310" s="300">
        <v>0</v>
      </c>
      <c r="AC310" s="301">
        <v>0</v>
      </c>
      <c r="AD310" s="301">
        <v>0</v>
      </c>
      <c r="AE310" s="302">
        <f t="shared" si="42"/>
        <v>0</v>
      </c>
      <c r="AF310" s="63">
        <v>0</v>
      </c>
      <c r="AG310" s="17">
        <v>0</v>
      </c>
      <c r="AH310" s="17">
        <v>0</v>
      </c>
      <c r="AI310" s="36">
        <v>1</v>
      </c>
      <c r="AJ310" s="36">
        <v>1</v>
      </c>
      <c r="AK310" s="124"/>
      <c r="AL310" s="124"/>
      <c r="AM310" s="17" t="e">
        <f>SUM(#REF!)</f>
        <v>#REF!</v>
      </c>
      <c r="AN310" s="1" t="s">
        <v>921</v>
      </c>
      <c r="AO310" s="18" t="s">
        <v>880</v>
      </c>
      <c r="AP310" s="10" t="s">
        <v>1352</v>
      </c>
    </row>
    <row r="311" spans="1:42" x14ac:dyDescent="0.3">
      <c r="A311" s="9" t="s">
        <v>30</v>
      </c>
      <c r="B311" s="10" t="s">
        <v>31</v>
      </c>
      <c r="C311" s="11" t="s">
        <v>1251</v>
      </c>
      <c r="D311" s="12" t="s">
        <v>1252</v>
      </c>
      <c r="E311" s="11" t="s">
        <v>1253</v>
      </c>
      <c r="F311" s="12" t="s">
        <v>1254</v>
      </c>
      <c r="G311" s="11" t="s">
        <v>1353</v>
      </c>
      <c r="H311" s="12" t="s">
        <v>1354</v>
      </c>
      <c r="I311" s="12"/>
      <c r="J311" s="12"/>
      <c r="K311" s="11" t="s">
        <v>1355</v>
      </c>
      <c r="L311" s="12" t="s">
        <v>1356</v>
      </c>
      <c r="M311" s="10" t="s">
        <v>1357</v>
      </c>
      <c r="N311" s="15"/>
      <c r="O311" s="17">
        <v>0</v>
      </c>
      <c r="P311" s="16"/>
      <c r="Q311" s="16">
        <v>1</v>
      </c>
      <c r="R311" s="110">
        <v>1</v>
      </c>
      <c r="S311" s="110"/>
      <c r="T311" s="10" t="s">
        <v>921</v>
      </c>
      <c r="U311" s="283" t="s">
        <v>880</v>
      </c>
      <c r="V311" s="18" t="s">
        <v>1358</v>
      </c>
      <c r="W311" s="298">
        <v>1</v>
      </c>
      <c r="X311" s="298">
        <v>1</v>
      </c>
      <c r="Y311" s="298">
        <v>1</v>
      </c>
      <c r="Z311" s="299">
        <v>1</v>
      </c>
      <c r="AA311" s="299">
        <v>1</v>
      </c>
      <c r="AB311" s="300">
        <v>1</v>
      </c>
      <c r="AC311" s="301">
        <v>1</v>
      </c>
      <c r="AD311" s="301">
        <v>0</v>
      </c>
      <c r="AE311" s="302">
        <f t="shared" si="42"/>
        <v>0.875</v>
      </c>
      <c r="AF311" s="63">
        <v>0</v>
      </c>
      <c r="AG311" s="17">
        <v>0</v>
      </c>
      <c r="AH311" s="17">
        <v>0</v>
      </c>
      <c r="AI311" s="36">
        <v>0</v>
      </c>
      <c r="AJ311" s="36">
        <v>0</v>
      </c>
      <c r="AK311" s="124">
        <v>0</v>
      </c>
      <c r="AL311" s="138">
        <v>0.8</v>
      </c>
      <c r="AM311" s="147">
        <f t="shared" ref="AM311:AM312" si="50">SUM(AK311:AL311)</f>
        <v>0.8</v>
      </c>
      <c r="AN311" s="18" t="s">
        <v>921</v>
      </c>
      <c r="AO311" s="18" t="s">
        <v>880</v>
      </c>
      <c r="AP311" s="10" t="s">
        <v>1359</v>
      </c>
    </row>
    <row r="312" spans="1:42" x14ac:dyDescent="0.3">
      <c r="A312" s="9" t="s">
        <v>30</v>
      </c>
      <c r="B312" s="10" t="s">
        <v>31</v>
      </c>
      <c r="C312" s="11" t="s">
        <v>1251</v>
      </c>
      <c r="D312" s="12" t="s">
        <v>1252</v>
      </c>
      <c r="E312" s="11" t="s">
        <v>1253</v>
      </c>
      <c r="F312" s="12" t="s">
        <v>1254</v>
      </c>
      <c r="G312" s="11" t="s">
        <v>1360</v>
      </c>
      <c r="H312" s="12" t="s">
        <v>1361</v>
      </c>
      <c r="I312" s="12" t="s">
        <v>1362</v>
      </c>
      <c r="J312" s="12" t="s">
        <v>1363</v>
      </c>
      <c r="K312" s="11" t="s">
        <v>1364</v>
      </c>
      <c r="L312" s="12" t="s">
        <v>1365</v>
      </c>
      <c r="M312" s="10" t="s">
        <v>1366</v>
      </c>
      <c r="N312" s="15"/>
      <c r="O312" s="21">
        <v>0</v>
      </c>
      <c r="P312" s="26">
        <v>500000</v>
      </c>
      <c r="Q312" s="26">
        <v>1000000</v>
      </c>
      <c r="R312" s="133">
        <v>500000</v>
      </c>
      <c r="S312" s="133">
        <v>500000</v>
      </c>
      <c r="T312" s="30" t="s">
        <v>336</v>
      </c>
      <c r="U312" s="283" t="s">
        <v>118</v>
      </c>
      <c r="V312" s="18" t="s">
        <v>1367</v>
      </c>
      <c r="W312" s="298">
        <v>1</v>
      </c>
      <c r="X312" s="298">
        <v>1</v>
      </c>
      <c r="Y312" s="298">
        <v>1</v>
      </c>
      <c r="Z312" s="299">
        <v>1</v>
      </c>
      <c r="AA312" s="299">
        <v>1</v>
      </c>
      <c r="AB312" s="300">
        <v>1</v>
      </c>
      <c r="AC312" s="301">
        <v>1</v>
      </c>
      <c r="AD312" s="301">
        <v>0</v>
      </c>
      <c r="AE312" s="302">
        <f t="shared" si="42"/>
        <v>0.875</v>
      </c>
      <c r="AF312" s="63">
        <v>0</v>
      </c>
      <c r="AG312" s="17">
        <v>0</v>
      </c>
      <c r="AH312" s="17">
        <v>0</v>
      </c>
      <c r="AI312" s="36">
        <v>20</v>
      </c>
      <c r="AJ312" s="36">
        <v>20</v>
      </c>
      <c r="AK312" s="138">
        <v>0.85</v>
      </c>
      <c r="AL312" s="138">
        <v>0.85</v>
      </c>
      <c r="AM312" s="147">
        <f t="shared" si="50"/>
        <v>1.7</v>
      </c>
      <c r="AN312" s="18" t="s">
        <v>336</v>
      </c>
      <c r="AO312" s="18" t="s">
        <v>118</v>
      </c>
      <c r="AP312" s="10" t="s">
        <v>1368</v>
      </c>
    </row>
    <row r="313" spans="1:42" hidden="1" x14ac:dyDescent="0.3">
      <c r="A313" s="9" t="s">
        <v>30</v>
      </c>
      <c r="B313" s="10" t="s">
        <v>31</v>
      </c>
      <c r="C313" s="11" t="s">
        <v>1251</v>
      </c>
      <c r="D313" s="12" t="s">
        <v>1252</v>
      </c>
      <c r="E313" s="11" t="s">
        <v>1253</v>
      </c>
      <c r="F313" s="12" t="s">
        <v>1254</v>
      </c>
      <c r="G313" s="11" t="s">
        <v>1369</v>
      </c>
      <c r="H313" s="12" t="s">
        <v>1370</v>
      </c>
      <c r="I313" s="12" t="s">
        <v>1371</v>
      </c>
      <c r="J313" s="12" t="s">
        <v>1372</v>
      </c>
      <c r="K313" s="11" t="s">
        <v>1373</v>
      </c>
      <c r="L313" s="12" t="s">
        <v>1374</v>
      </c>
      <c r="M313" s="10" t="s">
        <v>1375</v>
      </c>
      <c r="N313" s="15"/>
      <c r="O313" s="21"/>
      <c r="P313" s="26"/>
      <c r="Q313" s="26"/>
      <c r="R313" s="118"/>
      <c r="S313" s="118"/>
      <c r="T313" s="30" t="s">
        <v>265</v>
      </c>
      <c r="U313" s="283" t="s">
        <v>350</v>
      </c>
      <c r="V313" s="18"/>
      <c r="W313" s="298">
        <v>0</v>
      </c>
      <c r="X313" s="298">
        <v>0</v>
      </c>
      <c r="Y313" s="298">
        <v>0</v>
      </c>
      <c r="Z313" s="299">
        <v>0</v>
      </c>
      <c r="AA313" s="299">
        <v>0</v>
      </c>
      <c r="AB313" s="300">
        <v>0</v>
      </c>
      <c r="AC313" s="301">
        <v>0</v>
      </c>
      <c r="AD313" s="301">
        <v>0</v>
      </c>
      <c r="AE313" s="302">
        <f t="shared" si="42"/>
        <v>0</v>
      </c>
      <c r="AF313" s="63">
        <v>0</v>
      </c>
      <c r="AG313" s="17">
        <v>0</v>
      </c>
      <c r="AH313" s="17"/>
      <c r="AI313" s="17"/>
      <c r="AJ313" s="17"/>
      <c r="AK313" s="109"/>
      <c r="AL313" s="109"/>
      <c r="AM313" s="17" t="e">
        <f>SUM(#REF!)</f>
        <v>#REF!</v>
      </c>
      <c r="AN313" s="18" t="s">
        <v>265</v>
      </c>
      <c r="AO313" s="18" t="s">
        <v>350</v>
      </c>
      <c r="AP313" s="10"/>
    </row>
    <row r="314" spans="1:42" hidden="1" x14ac:dyDescent="0.3">
      <c r="A314" s="9" t="s">
        <v>30</v>
      </c>
      <c r="B314" s="10" t="s">
        <v>31</v>
      </c>
      <c r="C314" s="11" t="s">
        <v>1251</v>
      </c>
      <c r="D314" s="12" t="s">
        <v>1252</v>
      </c>
      <c r="E314" s="11" t="s">
        <v>1253</v>
      </c>
      <c r="F314" s="12" t="s">
        <v>1254</v>
      </c>
      <c r="G314" s="11" t="s">
        <v>1369</v>
      </c>
      <c r="H314" s="12" t="s">
        <v>1370</v>
      </c>
      <c r="I314" s="12" t="s">
        <v>1376</v>
      </c>
      <c r="J314" s="12" t="s">
        <v>1377</v>
      </c>
      <c r="K314" s="11" t="s">
        <v>1378</v>
      </c>
      <c r="L314" s="12" t="s">
        <v>1379</v>
      </c>
      <c r="M314" s="10" t="s">
        <v>1380</v>
      </c>
      <c r="N314" s="15"/>
      <c r="O314" s="21"/>
      <c r="P314" s="26"/>
      <c r="Q314" s="26"/>
      <c r="R314" s="118"/>
      <c r="S314" s="118"/>
      <c r="T314" s="30" t="s">
        <v>265</v>
      </c>
      <c r="U314" s="283" t="s">
        <v>350</v>
      </c>
      <c r="V314" s="18"/>
      <c r="W314" s="298">
        <v>0</v>
      </c>
      <c r="X314" s="298">
        <v>0</v>
      </c>
      <c r="Y314" s="298">
        <v>0</v>
      </c>
      <c r="Z314" s="299">
        <v>0</v>
      </c>
      <c r="AA314" s="299">
        <v>0</v>
      </c>
      <c r="AB314" s="300">
        <v>0</v>
      </c>
      <c r="AC314" s="301">
        <v>0</v>
      </c>
      <c r="AD314" s="301">
        <v>0</v>
      </c>
      <c r="AE314" s="302">
        <f t="shared" si="42"/>
        <v>0</v>
      </c>
      <c r="AF314" s="63">
        <v>0</v>
      </c>
      <c r="AG314" s="17">
        <v>0</v>
      </c>
      <c r="AH314" s="17"/>
      <c r="AI314" s="17"/>
      <c r="AJ314" s="17"/>
      <c r="AK314" s="109"/>
      <c r="AL314" s="109"/>
      <c r="AM314" s="17" t="e">
        <f>SUM(#REF!)</f>
        <v>#REF!</v>
      </c>
      <c r="AN314" s="18" t="s">
        <v>265</v>
      </c>
      <c r="AO314" s="18" t="s">
        <v>350</v>
      </c>
      <c r="AP314" s="10"/>
    </row>
    <row r="315" spans="1:42" x14ac:dyDescent="0.3">
      <c r="A315" s="9" t="s">
        <v>30</v>
      </c>
      <c r="B315" s="10" t="s">
        <v>31</v>
      </c>
      <c r="C315" s="11" t="s">
        <v>1251</v>
      </c>
      <c r="D315" s="12" t="s">
        <v>1252</v>
      </c>
      <c r="E315" s="11" t="s">
        <v>1253</v>
      </c>
      <c r="F315" s="12" t="s">
        <v>1254</v>
      </c>
      <c r="G315" s="11" t="s">
        <v>1381</v>
      </c>
      <c r="H315" s="12" t="s">
        <v>1382</v>
      </c>
      <c r="I315" s="12"/>
      <c r="J315" s="12"/>
      <c r="K315" s="11" t="s">
        <v>1383</v>
      </c>
      <c r="L315" s="12" t="s">
        <v>1384</v>
      </c>
      <c r="M315" s="10" t="s">
        <v>1385</v>
      </c>
      <c r="N315" s="15"/>
      <c r="O315" s="17">
        <v>114.36058711236251</v>
      </c>
      <c r="P315" s="17">
        <v>47.5</v>
      </c>
      <c r="Q315" s="17">
        <v>63.139412887637498</v>
      </c>
      <c r="R315" s="113"/>
      <c r="S315" s="146">
        <v>58</v>
      </c>
      <c r="T315" s="10" t="s">
        <v>921</v>
      </c>
      <c r="U315" s="283" t="s">
        <v>880</v>
      </c>
      <c r="V315" s="18" t="s">
        <v>1386</v>
      </c>
      <c r="W315" s="298">
        <v>1</v>
      </c>
      <c r="X315" s="298">
        <v>1</v>
      </c>
      <c r="Y315" s="298">
        <v>1</v>
      </c>
      <c r="Z315" s="299">
        <v>1</v>
      </c>
      <c r="AA315" s="299">
        <v>1</v>
      </c>
      <c r="AB315" s="300">
        <v>1</v>
      </c>
      <c r="AC315" s="301">
        <v>1</v>
      </c>
      <c r="AD315" s="301">
        <v>0</v>
      </c>
      <c r="AE315" s="302">
        <f t="shared" si="42"/>
        <v>0.875</v>
      </c>
      <c r="AF315" s="63">
        <v>0</v>
      </c>
      <c r="AG315" s="17">
        <v>0</v>
      </c>
      <c r="AH315" s="36">
        <v>112.16058711236251</v>
      </c>
      <c r="AI315" s="36">
        <v>45.3</v>
      </c>
      <c r="AJ315" s="36">
        <v>60.939412887637488</v>
      </c>
      <c r="AK315" s="124" t="s">
        <v>271</v>
      </c>
      <c r="AL315" s="138">
        <v>58</v>
      </c>
      <c r="AM315" s="147">
        <f t="shared" ref="AM315" si="51">SUM(AK315:AL315)</f>
        <v>58</v>
      </c>
      <c r="AN315" s="18" t="s">
        <v>921</v>
      </c>
      <c r="AO315" s="18" t="s">
        <v>880</v>
      </c>
      <c r="AP315" s="10" t="s">
        <v>1387</v>
      </c>
    </row>
    <row r="316" spans="1:42" hidden="1" x14ac:dyDescent="0.3">
      <c r="A316" s="9" t="s">
        <v>30</v>
      </c>
      <c r="B316" s="10" t="s">
        <v>31</v>
      </c>
      <c r="C316" s="11" t="s">
        <v>1251</v>
      </c>
      <c r="D316" s="12" t="s">
        <v>1252</v>
      </c>
      <c r="E316" s="11" t="s">
        <v>1253</v>
      </c>
      <c r="F316" s="12" t="s">
        <v>1254</v>
      </c>
      <c r="G316" s="11" t="s">
        <v>1381</v>
      </c>
      <c r="H316" s="12" t="s">
        <v>1382</v>
      </c>
      <c r="I316" s="12"/>
      <c r="J316" s="12"/>
      <c r="K316" s="11" t="s">
        <v>1388</v>
      </c>
      <c r="L316" s="12" t="s">
        <v>1389</v>
      </c>
      <c r="M316" s="10" t="s">
        <v>1390</v>
      </c>
      <c r="N316" s="15"/>
      <c r="O316" s="17">
        <v>0</v>
      </c>
      <c r="P316" s="16">
        <v>20</v>
      </c>
      <c r="Q316" s="16">
        <v>45</v>
      </c>
      <c r="R316" s="110">
        <v>75</v>
      </c>
      <c r="S316" s="110">
        <v>100</v>
      </c>
      <c r="T316" s="10" t="s">
        <v>921</v>
      </c>
      <c r="U316" s="283" t="s">
        <v>880</v>
      </c>
      <c r="V316" s="18" t="s">
        <v>1391</v>
      </c>
      <c r="W316" s="298">
        <v>0</v>
      </c>
      <c r="X316" s="298">
        <v>0</v>
      </c>
      <c r="Y316" s="298">
        <v>0</v>
      </c>
      <c r="Z316" s="299">
        <v>0</v>
      </c>
      <c r="AA316" s="299">
        <v>0</v>
      </c>
      <c r="AB316" s="300">
        <v>0</v>
      </c>
      <c r="AC316" s="301">
        <v>0</v>
      </c>
      <c r="AD316" s="301">
        <v>0</v>
      </c>
      <c r="AE316" s="302">
        <f t="shared" si="42"/>
        <v>0</v>
      </c>
      <c r="AF316" s="63">
        <v>0</v>
      </c>
      <c r="AG316" s="17">
        <v>0</v>
      </c>
      <c r="AH316" s="36">
        <v>50</v>
      </c>
      <c r="AI316" s="36">
        <v>25</v>
      </c>
      <c r="AJ316" s="36"/>
      <c r="AK316" s="124"/>
      <c r="AL316" s="124"/>
      <c r="AM316" s="17" t="e">
        <f>SUM(#REF!)</f>
        <v>#REF!</v>
      </c>
      <c r="AN316" s="10" t="s">
        <v>1392</v>
      </c>
      <c r="AO316" s="18" t="s">
        <v>880</v>
      </c>
      <c r="AP316" s="10" t="s">
        <v>1393</v>
      </c>
    </row>
    <row r="317" spans="1:42" x14ac:dyDescent="0.3">
      <c r="A317" s="9" t="s">
        <v>30</v>
      </c>
      <c r="B317" s="10" t="s">
        <v>31</v>
      </c>
      <c r="C317" s="11" t="s">
        <v>1251</v>
      </c>
      <c r="D317" s="12" t="s">
        <v>1252</v>
      </c>
      <c r="E317" s="11" t="s">
        <v>1253</v>
      </c>
      <c r="F317" s="12" t="s">
        <v>1254</v>
      </c>
      <c r="G317" s="11" t="s">
        <v>1394</v>
      </c>
      <c r="H317" s="12" t="s">
        <v>1395</v>
      </c>
      <c r="I317" s="12"/>
      <c r="J317" s="12"/>
      <c r="K317" s="9" t="s">
        <v>1396</v>
      </c>
      <c r="L317" s="10" t="s">
        <v>1397</v>
      </c>
      <c r="M317" s="10" t="s">
        <v>1398</v>
      </c>
      <c r="N317" s="15"/>
      <c r="O317" s="17">
        <v>0</v>
      </c>
      <c r="P317" s="16">
        <v>30</v>
      </c>
      <c r="Q317" s="16">
        <v>70</v>
      </c>
      <c r="R317" s="126">
        <v>50</v>
      </c>
      <c r="S317" s="126">
        <v>110</v>
      </c>
      <c r="T317" s="10" t="s">
        <v>265</v>
      </c>
      <c r="U317" s="283" t="s">
        <v>350</v>
      </c>
      <c r="V317" s="18" t="s">
        <v>1399</v>
      </c>
      <c r="W317" s="298">
        <v>1</v>
      </c>
      <c r="X317" s="298">
        <v>1</v>
      </c>
      <c r="Y317" s="298">
        <v>1</v>
      </c>
      <c r="Z317" s="299">
        <v>0</v>
      </c>
      <c r="AA317" s="299">
        <v>1</v>
      </c>
      <c r="AB317" s="300">
        <v>1</v>
      </c>
      <c r="AC317" s="301">
        <v>1</v>
      </c>
      <c r="AD317" s="301">
        <v>0</v>
      </c>
      <c r="AE317" s="302">
        <f t="shared" si="42"/>
        <v>0.75</v>
      </c>
      <c r="AF317" s="63">
        <v>0</v>
      </c>
      <c r="AG317" s="17">
        <v>0</v>
      </c>
      <c r="AH317" s="17">
        <v>0</v>
      </c>
      <c r="AI317" s="36">
        <v>7</v>
      </c>
      <c r="AJ317" s="36">
        <v>10</v>
      </c>
      <c r="AK317" s="138">
        <v>3</v>
      </c>
      <c r="AL317" s="138">
        <v>7.1</v>
      </c>
      <c r="AM317" s="147">
        <f t="shared" ref="AM317" si="52">SUM(AK317:AL317)</f>
        <v>10.1</v>
      </c>
      <c r="AN317" s="283" t="s">
        <v>265</v>
      </c>
      <c r="AO317" s="18" t="s">
        <v>350</v>
      </c>
      <c r="AP317" s="10" t="s">
        <v>1400</v>
      </c>
    </row>
    <row r="318" spans="1:42" hidden="1" x14ac:dyDescent="0.3">
      <c r="A318" s="9" t="s">
        <v>30</v>
      </c>
      <c r="B318" s="10" t="s">
        <v>31</v>
      </c>
      <c r="C318" s="11" t="s">
        <v>1251</v>
      </c>
      <c r="D318" s="12" t="s">
        <v>1252</v>
      </c>
      <c r="E318" s="11" t="s">
        <v>1253</v>
      </c>
      <c r="F318" s="12" t="s">
        <v>1254</v>
      </c>
      <c r="G318" s="11" t="s">
        <v>1394</v>
      </c>
      <c r="H318" s="12" t="s">
        <v>1395</v>
      </c>
      <c r="I318" s="12"/>
      <c r="J318" s="12"/>
      <c r="K318" s="11" t="s">
        <v>1401</v>
      </c>
      <c r="L318" s="12" t="s">
        <v>1402</v>
      </c>
      <c r="M318" s="10" t="s">
        <v>1403</v>
      </c>
      <c r="N318" s="15"/>
      <c r="O318" s="17">
        <v>0</v>
      </c>
      <c r="P318" s="16">
        <v>2</v>
      </c>
      <c r="Q318" s="16">
        <v>2</v>
      </c>
      <c r="R318" s="110">
        <v>2</v>
      </c>
      <c r="S318" s="110">
        <v>2</v>
      </c>
      <c r="T318" s="10" t="s">
        <v>921</v>
      </c>
      <c r="U318" s="283" t="s">
        <v>880</v>
      </c>
      <c r="V318" s="18" t="s">
        <v>1404</v>
      </c>
      <c r="W318" s="298">
        <v>0</v>
      </c>
      <c r="X318" s="298">
        <v>0</v>
      </c>
      <c r="Y318" s="298">
        <v>0</v>
      </c>
      <c r="Z318" s="299">
        <v>0</v>
      </c>
      <c r="AA318" s="299">
        <v>0</v>
      </c>
      <c r="AB318" s="300">
        <v>0</v>
      </c>
      <c r="AC318" s="301">
        <v>0</v>
      </c>
      <c r="AD318" s="301">
        <v>0</v>
      </c>
      <c r="AE318" s="302">
        <f t="shared" si="42"/>
        <v>0</v>
      </c>
      <c r="AF318" s="63">
        <v>0</v>
      </c>
      <c r="AG318" s="17">
        <v>0</v>
      </c>
      <c r="AH318" s="17">
        <v>0</v>
      </c>
      <c r="AI318" s="36">
        <v>1</v>
      </c>
      <c r="AJ318" s="36">
        <v>1</v>
      </c>
      <c r="AK318" s="124"/>
      <c r="AL318" s="124"/>
      <c r="AM318" s="17" t="e">
        <f>SUM(#REF!)</f>
        <v>#REF!</v>
      </c>
      <c r="AN318" s="18" t="s">
        <v>921</v>
      </c>
      <c r="AO318" s="18" t="s">
        <v>880</v>
      </c>
      <c r="AP318" s="10" t="s">
        <v>1405</v>
      </c>
    </row>
    <row r="319" spans="1:42" hidden="1" x14ac:dyDescent="0.3">
      <c r="A319" s="9" t="s">
        <v>30</v>
      </c>
      <c r="B319" s="10" t="s">
        <v>31</v>
      </c>
      <c r="C319" s="11" t="s">
        <v>1251</v>
      </c>
      <c r="D319" s="12" t="s">
        <v>1252</v>
      </c>
      <c r="E319" s="11" t="s">
        <v>1253</v>
      </c>
      <c r="F319" s="12" t="s">
        <v>1254</v>
      </c>
      <c r="G319" s="11" t="s">
        <v>1394</v>
      </c>
      <c r="H319" s="12" t="s">
        <v>1395</v>
      </c>
      <c r="I319" s="12"/>
      <c r="J319" s="12"/>
      <c r="K319" s="9" t="s">
        <v>1406</v>
      </c>
      <c r="L319" s="10" t="s">
        <v>1407</v>
      </c>
      <c r="M319" s="10" t="s">
        <v>1408</v>
      </c>
      <c r="N319" s="15"/>
      <c r="O319" s="17">
        <v>0</v>
      </c>
      <c r="P319" s="16">
        <v>1</v>
      </c>
      <c r="Q319" s="16">
        <v>2</v>
      </c>
      <c r="R319" s="110">
        <v>2</v>
      </c>
      <c r="S319" s="110">
        <v>2</v>
      </c>
      <c r="T319" s="10" t="s">
        <v>921</v>
      </c>
      <c r="U319" s="283" t="s">
        <v>880</v>
      </c>
      <c r="V319" s="18" t="s">
        <v>1409</v>
      </c>
      <c r="W319" s="298">
        <v>0</v>
      </c>
      <c r="X319" s="298">
        <v>0</v>
      </c>
      <c r="Y319" s="298">
        <v>0</v>
      </c>
      <c r="Z319" s="299">
        <v>0</v>
      </c>
      <c r="AA319" s="299">
        <v>0</v>
      </c>
      <c r="AB319" s="300">
        <v>0</v>
      </c>
      <c r="AC319" s="301">
        <v>0</v>
      </c>
      <c r="AD319" s="301">
        <v>0</v>
      </c>
      <c r="AE319" s="302">
        <f t="shared" si="42"/>
        <v>0</v>
      </c>
      <c r="AF319" s="63">
        <v>0</v>
      </c>
      <c r="AG319" s="17">
        <v>0</v>
      </c>
      <c r="AH319" s="17">
        <v>0</v>
      </c>
      <c r="AI319" s="36">
        <v>2</v>
      </c>
      <c r="AJ319" s="36">
        <v>4</v>
      </c>
      <c r="AK319" s="124"/>
      <c r="AL319" s="124"/>
      <c r="AM319" s="17" t="e">
        <f>SUM(#REF!)</f>
        <v>#REF!</v>
      </c>
      <c r="AN319" s="18" t="s">
        <v>921</v>
      </c>
      <c r="AO319" s="18" t="s">
        <v>880</v>
      </c>
      <c r="AP319" s="10" t="s">
        <v>1410</v>
      </c>
    </row>
    <row r="320" spans="1:42" hidden="1" x14ac:dyDescent="0.3">
      <c r="A320" s="9" t="s">
        <v>30</v>
      </c>
      <c r="B320" s="10" t="s">
        <v>31</v>
      </c>
      <c r="C320" s="11" t="s">
        <v>1251</v>
      </c>
      <c r="D320" s="12" t="s">
        <v>1252</v>
      </c>
      <c r="E320" s="11" t="s">
        <v>1253</v>
      </c>
      <c r="F320" s="12" t="s">
        <v>1254</v>
      </c>
      <c r="G320" s="11" t="s">
        <v>1394</v>
      </c>
      <c r="H320" s="12" t="s">
        <v>1395</v>
      </c>
      <c r="I320" s="12"/>
      <c r="J320" s="12" t="s">
        <v>1411</v>
      </c>
      <c r="K320" s="9" t="s">
        <v>1412</v>
      </c>
      <c r="L320" s="10" t="s">
        <v>1413</v>
      </c>
      <c r="M320" s="10" t="s">
        <v>1414</v>
      </c>
      <c r="N320" s="15"/>
      <c r="O320" s="17">
        <v>6</v>
      </c>
      <c r="P320" s="16">
        <v>6</v>
      </c>
      <c r="Q320" s="16">
        <v>6</v>
      </c>
      <c r="R320" s="110">
        <v>6</v>
      </c>
      <c r="S320" s="110">
        <v>10</v>
      </c>
      <c r="T320" s="10" t="s">
        <v>1132</v>
      </c>
      <c r="U320" s="283" t="s">
        <v>3739</v>
      </c>
      <c r="V320" s="18" t="s">
        <v>1415</v>
      </c>
      <c r="W320" s="298">
        <v>1</v>
      </c>
      <c r="X320" s="298">
        <v>0</v>
      </c>
      <c r="Y320" s="298">
        <v>1</v>
      </c>
      <c r="Z320" s="299">
        <v>1</v>
      </c>
      <c r="AA320" s="299">
        <v>1</v>
      </c>
      <c r="AB320" s="300">
        <v>0</v>
      </c>
      <c r="AC320" s="301">
        <v>1</v>
      </c>
      <c r="AD320" s="301">
        <v>0</v>
      </c>
      <c r="AE320" s="302">
        <f t="shared" si="42"/>
        <v>0.625</v>
      </c>
      <c r="AF320" s="63">
        <v>0</v>
      </c>
      <c r="AG320" s="17">
        <v>0</v>
      </c>
      <c r="AH320" s="17">
        <v>2.2000000000000002</v>
      </c>
      <c r="AI320" s="17">
        <v>2.2000000000000002</v>
      </c>
      <c r="AJ320" s="17">
        <v>2.2000000000000002</v>
      </c>
      <c r="AK320" s="127">
        <v>0.6</v>
      </c>
      <c r="AL320" s="127">
        <v>1</v>
      </c>
      <c r="AM320" s="147">
        <f t="shared" ref="AM320" si="53">SUM(AK320:AL320)</f>
        <v>1.6</v>
      </c>
      <c r="AN320" s="18" t="s">
        <v>1132</v>
      </c>
      <c r="AO320" s="18" t="s">
        <v>1134</v>
      </c>
      <c r="AP320" s="10"/>
    </row>
    <row r="321" spans="1:42" hidden="1" x14ac:dyDescent="0.3">
      <c r="A321" s="9" t="s">
        <v>30</v>
      </c>
      <c r="B321" s="10" t="s">
        <v>31</v>
      </c>
      <c r="C321" s="11" t="s">
        <v>1416</v>
      </c>
      <c r="D321" s="12" t="s">
        <v>1417</v>
      </c>
      <c r="E321" s="11" t="s">
        <v>1418</v>
      </c>
      <c r="F321" s="12" t="s">
        <v>1419</v>
      </c>
      <c r="G321" s="11" t="s">
        <v>1420</v>
      </c>
      <c r="H321" s="12" t="s">
        <v>1421</v>
      </c>
      <c r="I321" s="12" t="s">
        <v>1422</v>
      </c>
      <c r="J321" s="12" t="s">
        <v>1423</v>
      </c>
      <c r="K321" s="11" t="s">
        <v>1424</v>
      </c>
      <c r="L321" s="12" t="s">
        <v>1425</v>
      </c>
      <c r="M321" s="10" t="s">
        <v>1426</v>
      </c>
      <c r="N321" s="22"/>
      <c r="O321" s="21">
        <v>0</v>
      </c>
      <c r="P321" s="21">
        <v>5</v>
      </c>
      <c r="Q321" s="21">
        <v>5</v>
      </c>
      <c r="R321" s="115">
        <v>5</v>
      </c>
      <c r="S321" s="115">
        <v>5</v>
      </c>
      <c r="T321" s="12" t="s">
        <v>92</v>
      </c>
      <c r="U321" s="283" t="s">
        <v>118</v>
      </c>
      <c r="V321" s="18" t="s">
        <v>1427</v>
      </c>
      <c r="W321" s="298">
        <v>1</v>
      </c>
      <c r="X321" s="298">
        <v>0</v>
      </c>
      <c r="Y321" s="298">
        <v>1</v>
      </c>
      <c r="Z321" s="299">
        <v>1</v>
      </c>
      <c r="AA321" s="299">
        <v>1</v>
      </c>
      <c r="AB321" s="300">
        <v>0</v>
      </c>
      <c r="AC321" s="301">
        <v>0</v>
      </c>
      <c r="AD321" s="301">
        <v>0</v>
      </c>
      <c r="AE321" s="302">
        <f t="shared" si="42"/>
        <v>0.5</v>
      </c>
      <c r="AF321" s="63">
        <v>0</v>
      </c>
      <c r="AG321" s="17">
        <v>0</v>
      </c>
      <c r="AH321" s="17">
        <v>0</v>
      </c>
      <c r="AI321" s="36">
        <v>5</v>
      </c>
      <c r="AJ321" s="36">
        <v>5</v>
      </c>
      <c r="AK321" s="124"/>
      <c r="AL321" s="124"/>
      <c r="AM321" s="17" t="e">
        <f>SUM(#REF!)</f>
        <v>#REF!</v>
      </c>
      <c r="AN321" s="10" t="s">
        <v>92</v>
      </c>
      <c r="AO321" s="18" t="s">
        <v>118</v>
      </c>
      <c r="AP321" s="10" t="s">
        <v>1428</v>
      </c>
    </row>
    <row r="322" spans="1:42" x14ac:dyDescent="0.3">
      <c r="A322" s="9" t="s">
        <v>30</v>
      </c>
      <c r="B322" s="10" t="s">
        <v>31</v>
      </c>
      <c r="C322" s="11" t="s">
        <v>1416</v>
      </c>
      <c r="D322" s="12" t="s">
        <v>1417</v>
      </c>
      <c r="E322" s="11" t="s">
        <v>1418</v>
      </c>
      <c r="F322" s="12" t="s">
        <v>1419</v>
      </c>
      <c r="G322" s="11" t="s">
        <v>1429</v>
      </c>
      <c r="H322" s="12" t="s">
        <v>1430</v>
      </c>
      <c r="I322" s="12"/>
      <c r="J322" s="12"/>
      <c r="K322" s="11" t="s">
        <v>1431</v>
      </c>
      <c r="L322" s="12" t="s">
        <v>1432</v>
      </c>
      <c r="M322" s="10" t="s">
        <v>1433</v>
      </c>
      <c r="N322" s="15"/>
      <c r="O322" s="17">
        <v>0</v>
      </c>
      <c r="P322" s="16">
        <v>1</v>
      </c>
      <c r="Q322" s="16">
        <v>1</v>
      </c>
      <c r="R322" s="110">
        <v>1</v>
      </c>
      <c r="S322" s="110">
        <v>1</v>
      </c>
      <c r="T322" s="10" t="s">
        <v>1434</v>
      </c>
      <c r="U322" s="283" t="s">
        <v>241</v>
      </c>
      <c r="V322" s="107" t="s">
        <v>1435</v>
      </c>
      <c r="W322" s="298">
        <v>1</v>
      </c>
      <c r="X322" s="298">
        <v>1</v>
      </c>
      <c r="Y322" s="298">
        <v>1</v>
      </c>
      <c r="Z322" s="299">
        <v>1</v>
      </c>
      <c r="AA322" s="299">
        <v>1</v>
      </c>
      <c r="AB322" s="300">
        <v>1</v>
      </c>
      <c r="AC322" s="301">
        <v>1</v>
      </c>
      <c r="AD322" s="301">
        <v>0</v>
      </c>
      <c r="AE322" s="302">
        <f t="shared" si="42"/>
        <v>0.875</v>
      </c>
      <c r="AF322" s="63">
        <v>0</v>
      </c>
      <c r="AG322" s="17">
        <v>0</v>
      </c>
      <c r="AH322" s="17">
        <v>0</v>
      </c>
      <c r="AI322" s="36">
        <v>7</v>
      </c>
      <c r="AJ322" s="36">
        <v>5</v>
      </c>
      <c r="AK322" s="128">
        <v>2</v>
      </c>
      <c r="AL322" s="128">
        <v>3</v>
      </c>
      <c r="AM322" s="147">
        <f t="shared" ref="AM322:AM325" si="54">SUM(AK322:AL322)</f>
        <v>5</v>
      </c>
      <c r="AN322" s="18" t="s">
        <v>1434</v>
      </c>
      <c r="AO322" s="18" t="s">
        <v>241</v>
      </c>
      <c r="AP322" s="10" t="s">
        <v>1436</v>
      </c>
    </row>
    <row r="323" spans="1:42" x14ac:dyDescent="0.3">
      <c r="A323" s="9" t="s">
        <v>30</v>
      </c>
      <c r="B323" s="10" t="s">
        <v>31</v>
      </c>
      <c r="C323" s="11" t="s">
        <v>1416</v>
      </c>
      <c r="D323" s="12" t="s">
        <v>1417</v>
      </c>
      <c r="E323" s="11" t="s">
        <v>1418</v>
      </c>
      <c r="F323" s="12" t="s">
        <v>1419</v>
      </c>
      <c r="G323" s="11" t="s">
        <v>1429</v>
      </c>
      <c r="H323" s="12" t="s">
        <v>1430</v>
      </c>
      <c r="I323" s="12"/>
      <c r="J323" s="12"/>
      <c r="K323" s="11" t="s">
        <v>1437</v>
      </c>
      <c r="L323" s="12" t="s">
        <v>1438</v>
      </c>
      <c r="M323" s="10" t="s">
        <v>1439</v>
      </c>
      <c r="N323" s="15"/>
      <c r="O323" s="21">
        <v>0</v>
      </c>
      <c r="P323" s="16">
        <v>1</v>
      </c>
      <c r="Q323" s="16">
        <v>1</v>
      </c>
      <c r="R323" s="110">
        <v>1</v>
      </c>
      <c r="S323" s="110">
        <v>1</v>
      </c>
      <c r="T323" s="10" t="s">
        <v>336</v>
      </c>
      <c r="U323" s="283" t="s">
        <v>118</v>
      </c>
      <c r="V323" s="107" t="s">
        <v>1440</v>
      </c>
      <c r="W323" s="298">
        <v>1</v>
      </c>
      <c r="X323" s="298">
        <v>1</v>
      </c>
      <c r="Y323" s="298">
        <v>1</v>
      </c>
      <c r="Z323" s="299">
        <v>1</v>
      </c>
      <c r="AA323" s="299">
        <v>1</v>
      </c>
      <c r="AB323" s="300">
        <v>0</v>
      </c>
      <c r="AC323" s="301">
        <v>1</v>
      </c>
      <c r="AD323" s="301">
        <v>0</v>
      </c>
      <c r="AE323" s="302">
        <f t="shared" si="42"/>
        <v>0.75</v>
      </c>
      <c r="AF323" s="63">
        <v>0</v>
      </c>
      <c r="AG323" s="17">
        <v>0</v>
      </c>
      <c r="AH323" s="17">
        <v>0</v>
      </c>
      <c r="AI323" s="36">
        <v>15</v>
      </c>
      <c r="AJ323" s="36">
        <v>10</v>
      </c>
      <c r="AK323" s="128">
        <v>5</v>
      </c>
      <c r="AL323" s="138">
        <v>15</v>
      </c>
      <c r="AM323" s="147">
        <f t="shared" si="54"/>
        <v>20</v>
      </c>
      <c r="AN323" s="18" t="s">
        <v>336</v>
      </c>
      <c r="AO323" s="18" t="s">
        <v>118</v>
      </c>
      <c r="AP323" s="10" t="s">
        <v>1441</v>
      </c>
    </row>
    <row r="324" spans="1:42" x14ac:dyDescent="0.3">
      <c r="A324" s="9" t="s">
        <v>30</v>
      </c>
      <c r="B324" s="10" t="s">
        <v>31</v>
      </c>
      <c r="C324" s="11" t="s">
        <v>1416</v>
      </c>
      <c r="D324" s="12" t="s">
        <v>1417</v>
      </c>
      <c r="E324" s="11" t="s">
        <v>1418</v>
      </c>
      <c r="F324" s="12" t="s">
        <v>1419</v>
      </c>
      <c r="G324" s="11" t="s">
        <v>1429</v>
      </c>
      <c r="H324" s="12" t="s">
        <v>1430</v>
      </c>
      <c r="I324" s="12"/>
      <c r="J324" s="12"/>
      <c r="K324" s="11" t="s">
        <v>1437</v>
      </c>
      <c r="L324" s="12" t="s">
        <v>1438</v>
      </c>
      <c r="M324" s="10" t="s">
        <v>1442</v>
      </c>
      <c r="O324" s="21">
        <v>0</v>
      </c>
      <c r="P324" s="16">
        <v>1</v>
      </c>
      <c r="Q324" s="16">
        <v>1</v>
      </c>
      <c r="R324" s="110">
        <v>1</v>
      </c>
      <c r="S324" s="110">
        <v>1</v>
      </c>
      <c r="T324" s="10" t="s">
        <v>336</v>
      </c>
      <c r="U324" s="283" t="s">
        <v>118</v>
      </c>
      <c r="V324" s="18" t="s">
        <v>1440</v>
      </c>
      <c r="W324" s="298">
        <v>1</v>
      </c>
      <c r="X324" s="298">
        <v>1</v>
      </c>
      <c r="Y324" s="298">
        <v>1</v>
      </c>
      <c r="Z324" s="299">
        <v>1</v>
      </c>
      <c r="AA324" s="299">
        <v>1</v>
      </c>
      <c r="AB324" s="300">
        <v>0</v>
      </c>
      <c r="AC324" s="301">
        <v>1</v>
      </c>
      <c r="AD324" s="301">
        <v>0</v>
      </c>
      <c r="AE324" s="302">
        <f t="shared" si="42"/>
        <v>0.75</v>
      </c>
      <c r="AF324" s="63">
        <v>0</v>
      </c>
      <c r="AG324" s="17">
        <v>0</v>
      </c>
      <c r="AH324" s="310"/>
      <c r="AI324" s="310"/>
      <c r="AJ324" s="310"/>
      <c r="AK324" s="311"/>
      <c r="AL324" s="312">
        <v>9</v>
      </c>
      <c r="AM324" s="147">
        <f t="shared" si="54"/>
        <v>9</v>
      </c>
      <c r="AN324" s="18" t="s">
        <v>336</v>
      </c>
      <c r="AO324" s="18" t="s">
        <v>118</v>
      </c>
      <c r="AP324" s="10" t="s">
        <v>1441</v>
      </c>
    </row>
    <row r="325" spans="1:42" x14ac:dyDescent="0.3">
      <c r="A325" s="9" t="s">
        <v>30</v>
      </c>
      <c r="B325" s="10" t="s">
        <v>31</v>
      </c>
      <c r="C325" s="11" t="s">
        <v>1416</v>
      </c>
      <c r="D325" s="12" t="s">
        <v>1417</v>
      </c>
      <c r="E325" s="11" t="s">
        <v>1418</v>
      </c>
      <c r="F325" s="12" t="s">
        <v>1419</v>
      </c>
      <c r="G325" s="11" t="s">
        <v>1429</v>
      </c>
      <c r="H325" s="12" t="s">
        <v>1430</v>
      </c>
      <c r="I325" s="12"/>
      <c r="J325" s="12"/>
      <c r="K325" s="11" t="s">
        <v>1437</v>
      </c>
      <c r="L325" s="12" t="s">
        <v>1438</v>
      </c>
      <c r="M325" s="313" t="s">
        <v>1443</v>
      </c>
      <c r="O325" s="21">
        <v>0</v>
      </c>
      <c r="P325" s="3">
        <v>30</v>
      </c>
      <c r="Q325" s="3">
        <v>30</v>
      </c>
      <c r="R325" s="112">
        <v>30</v>
      </c>
      <c r="S325" s="112"/>
      <c r="T325" s="283" t="s">
        <v>336</v>
      </c>
      <c r="U325" s="283" t="s">
        <v>118</v>
      </c>
      <c r="V325" s="18" t="s">
        <v>1440</v>
      </c>
      <c r="W325" s="298">
        <v>1</v>
      </c>
      <c r="X325" s="298">
        <v>1</v>
      </c>
      <c r="Y325" s="298">
        <v>1</v>
      </c>
      <c r="Z325" s="299">
        <v>1</v>
      </c>
      <c r="AA325" s="299">
        <v>1</v>
      </c>
      <c r="AB325" s="300">
        <v>0</v>
      </c>
      <c r="AC325" s="301">
        <v>1</v>
      </c>
      <c r="AD325" s="301">
        <v>0</v>
      </c>
      <c r="AE325" s="302">
        <f t="shared" si="42"/>
        <v>0.75</v>
      </c>
      <c r="AF325" s="63">
        <v>0</v>
      </c>
      <c r="AG325" s="17">
        <v>0</v>
      </c>
      <c r="AH325" s="310"/>
      <c r="AI325" s="310"/>
      <c r="AJ325" s="310"/>
      <c r="AK325" s="311"/>
      <c r="AL325" s="311"/>
      <c r="AM325" s="147">
        <f t="shared" si="54"/>
        <v>0</v>
      </c>
      <c r="AN325" s="18" t="s">
        <v>336</v>
      </c>
      <c r="AO325" s="18" t="s">
        <v>118</v>
      </c>
      <c r="AP325" s="10" t="s">
        <v>1441</v>
      </c>
    </row>
    <row r="326" spans="1:42" s="293" customFormat="1" hidden="1" x14ac:dyDescent="0.3">
      <c r="A326" s="50" t="s">
        <v>1470</v>
      </c>
      <c r="B326" s="51" t="s">
        <v>1502</v>
      </c>
      <c r="C326" s="50" t="s">
        <v>1503</v>
      </c>
      <c r="D326" s="51" t="s">
        <v>1491</v>
      </c>
      <c r="E326" s="50" t="s">
        <v>1503</v>
      </c>
      <c r="F326" s="51" t="s">
        <v>1493</v>
      </c>
      <c r="G326" s="50" t="s">
        <v>1503</v>
      </c>
      <c r="H326" s="51" t="s">
        <v>1491</v>
      </c>
      <c r="I326" s="51"/>
      <c r="J326" s="51"/>
      <c r="K326" s="50" t="s">
        <v>1503</v>
      </c>
      <c r="L326" s="51" t="s">
        <v>1491</v>
      </c>
      <c r="M326" s="60" t="s">
        <v>271</v>
      </c>
      <c r="N326" s="60" t="s">
        <v>271</v>
      </c>
      <c r="O326" s="60" t="s">
        <v>271</v>
      </c>
      <c r="P326" s="60" t="s">
        <v>271</v>
      </c>
      <c r="Q326" s="60" t="s">
        <v>271</v>
      </c>
      <c r="R326" s="60" t="s">
        <v>271</v>
      </c>
      <c r="S326" s="60" t="s">
        <v>271</v>
      </c>
      <c r="T326" s="60" t="s">
        <v>271</v>
      </c>
      <c r="U326" s="60" t="s">
        <v>271</v>
      </c>
      <c r="V326" s="51" t="s">
        <v>1489</v>
      </c>
      <c r="W326" s="291"/>
      <c r="X326" s="291"/>
      <c r="Y326" s="291"/>
      <c r="Z326" s="291"/>
      <c r="AA326" s="291"/>
      <c r="AB326" s="291"/>
      <c r="AC326" s="291"/>
      <c r="AD326" s="291"/>
      <c r="AE326" s="292"/>
      <c r="AF326" s="56"/>
      <c r="AG326" s="292"/>
      <c r="AH326" s="56"/>
      <c r="AI326" s="56"/>
      <c r="AJ326" s="56"/>
      <c r="AK326" s="57">
        <v>4.0999999999999996</v>
      </c>
      <c r="AL326" s="57">
        <v>4.0999999999999996</v>
      </c>
      <c r="AM326" s="56">
        <f>SUM(AK326:AL326)</f>
        <v>8.1999999999999993</v>
      </c>
      <c r="AN326" s="52"/>
      <c r="AO326" s="52"/>
      <c r="AP326" s="51"/>
    </row>
    <row r="327" spans="1:42" s="293" customFormat="1" hidden="1" x14ac:dyDescent="0.3">
      <c r="A327" s="50" t="s">
        <v>1470</v>
      </c>
      <c r="B327" s="51" t="s">
        <v>1502</v>
      </c>
      <c r="C327" s="50" t="s">
        <v>1503</v>
      </c>
      <c r="D327" s="51" t="s">
        <v>1491</v>
      </c>
      <c r="E327" s="50" t="s">
        <v>1503</v>
      </c>
      <c r="F327" s="51" t="s">
        <v>1493</v>
      </c>
      <c r="G327" s="50" t="s">
        <v>1503</v>
      </c>
      <c r="H327" s="51" t="s">
        <v>1491</v>
      </c>
      <c r="I327" s="51"/>
      <c r="J327" s="51"/>
      <c r="K327" s="50" t="s">
        <v>1503</v>
      </c>
      <c r="L327" s="51" t="s">
        <v>1491</v>
      </c>
      <c r="M327" s="60" t="s">
        <v>271</v>
      </c>
      <c r="N327" s="60" t="s">
        <v>271</v>
      </c>
      <c r="O327" s="60" t="s">
        <v>271</v>
      </c>
      <c r="P327" s="60" t="s">
        <v>271</v>
      </c>
      <c r="Q327" s="60" t="s">
        <v>271</v>
      </c>
      <c r="R327" s="60" t="s">
        <v>271</v>
      </c>
      <c r="S327" s="60" t="s">
        <v>271</v>
      </c>
      <c r="T327" s="60" t="s">
        <v>271</v>
      </c>
      <c r="U327" s="60" t="s">
        <v>271</v>
      </c>
      <c r="V327" s="51" t="s">
        <v>1490</v>
      </c>
      <c r="W327" s="291"/>
      <c r="X327" s="291"/>
      <c r="Y327" s="291"/>
      <c r="Z327" s="291"/>
      <c r="AA327" s="291"/>
      <c r="AB327" s="291"/>
      <c r="AC327" s="291"/>
      <c r="AD327" s="291"/>
      <c r="AE327" s="292"/>
      <c r="AF327" s="56"/>
      <c r="AG327" s="292"/>
      <c r="AH327" s="56"/>
      <c r="AI327" s="56"/>
      <c r="AJ327" s="56"/>
      <c r="AK327" s="57">
        <v>1.64</v>
      </c>
      <c r="AL327" s="57">
        <v>1.64</v>
      </c>
      <c r="AM327" s="56">
        <f>SUM(AK327:AL327)</f>
        <v>3.28</v>
      </c>
      <c r="AN327" s="52"/>
      <c r="AO327" s="52"/>
      <c r="AP327" s="51"/>
    </row>
    <row r="328" spans="1:42" s="293" customFormat="1" hidden="1" x14ac:dyDescent="0.3">
      <c r="A328" s="50" t="s">
        <v>1470</v>
      </c>
      <c r="B328" s="51" t="s">
        <v>1502</v>
      </c>
      <c r="C328" s="50" t="s">
        <v>1503</v>
      </c>
      <c r="D328" s="51" t="s">
        <v>1491</v>
      </c>
      <c r="E328" s="50" t="s">
        <v>1503</v>
      </c>
      <c r="F328" s="51" t="s">
        <v>1493</v>
      </c>
      <c r="G328" s="50" t="s">
        <v>1503</v>
      </c>
      <c r="H328" s="51" t="s">
        <v>1491</v>
      </c>
      <c r="I328" s="51"/>
      <c r="J328" s="51"/>
      <c r="K328" s="50" t="s">
        <v>1503</v>
      </c>
      <c r="L328" s="51" t="s">
        <v>1491</v>
      </c>
      <c r="M328" s="60" t="s">
        <v>271</v>
      </c>
      <c r="N328" s="60" t="s">
        <v>271</v>
      </c>
      <c r="O328" s="60" t="s">
        <v>271</v>
      </c>
      <c r="P328" s="60" t="s">
        <v>271</v>
      </c>
      <c r="Q328" s="60" t="s">
        <v>271</v>
      </c>
      <c r="R328" s="60" t="s">
        <v>271</v>
      </c>
      <c r="S328" s="60" t="s">
        <v>271</v>
      </c>
      <c r="T328" s="60" t="s">
        <v>271</v>
      </c>
      <c r="U328" s="60" t="s">
        <v>271</v>
      </c>
      <c r="V328" s="51" t="s">
        <v>1495</v>
      </c>
      <c r="W328" s="291"/>
      <c r="X328" s="291"/>
      <c r="Y328" s="291"/>
      <c r="Z328" s="291"/>
      <c r="AA328" s="291"/>
      <c r="AB328" s="291"/>
      <c r="AC328" s="291"/>
      <c r="AD328" s="291"/>
      <c r="AE328" s="292"/>
      <c r="AF328" s="56"/>
      <c r="AG328" s="292"/>
      <c r="AH328" s="56"/>
      <c r="AI328" s="56"/>
      <c r="AJ328" s="56"/>
      <c r="AK328" s="57">
        <v>8.7322601160000008</v>
      </c>
      <c r="AL328" s="57">
        <v>10.678712139</v>
      </c>
      <c r="AM328" s="56">
        <f>SUM(AK328:AL328)</f>
        <v>19.410972255000001</v>
      </c>
      <c r="AN328" s="52"/>
      <c r="AO328" s="52"/>
      <c r="AP328" s="51"/>
    </row>
    <row r="329" spans="1:42" hidden="1" x14ac:dyDescent="0.3">
      <c r="A329" s="314" t="s">
        <v>1470</v>
      </c>
      <c r="B329" s="283" t="s">
        <v>1502</v>
      </c>
      <c r="C329" s="314" t="s">
        <v>1471</v>
      </c>
      <c r="D329" s="283" t="s">
        <v>1504</v>
      </c>
      <c r="E329" s="314" t="s">
        <v>1505</v>
      </c>
      <c r="F329" s="283" t="s">
        <v>1506</v>
      </c>
      <c r="G329" s="314" t="s">
        <v>1507</v>
      </c>
      <c r="H329" s="283" t="s">
        <v>1508</v>
      </c>
      <c r="I329" s="315" t="s">
        <v>1509</v>
      </c>
      <c r="J329" s="315" t="s">
        <v>1510</v>
      </c>
      <c r="K329" s="314" t="s">
        <v>1511</v>
      </c>
      <c r="L329" s="283" t="s">
        <v>1512</v>
      </c>
      <c r="M329" s="283" t="s">
        <v>1513</v>
      </c>
      <c r="N329" s="149">
        <v>0</v>
      </c>
      <c r="O329" s="149">
        <v>1</v>
      </c>
      <c r="P329" s="149" t="s">
        <v>271</v>
      </c>
      <c r="Q329" s="149" t="s">
        <v>271</v>
      </c>
      <c r="R329" s="149" t="s">
        <v>271</v>
      </c>
      <c r="S329" s="19" t="s">
        <v>271</v>
      </c>
      <c r="T329" s="18" t="s">
        <v>1514</v>
      </c>
      <c r="U329" s="283" t="e">
        <v>#N/A</v>
      </c>
      <c r="V329" s="283" t="s">
        <v>1515</v>
      </c>
      <c r="W329" s="283">
        <v>1</v>
      </c>
      <c r="X329" s="283">
        <v>0</v>
      </c>
      <c r="Y329" s="283">
        <v>0</v>
      </c>
      <c r="Z329" s="283">
        <v>1</v>
      </c>
      <c r="AA329" s="283">
        <v>1</v>
      </c>
      <c r="AB329" s="283">
        <v>1</v>
      </c>
      <c r="AC329" s="316">
        <v>1</v>
      </c>
      <c r="AD329" s="316">
        <v>0</v>
      </c>
      <c r="AE329" s="302">
        <f t="shared" ref="AE329:AE392" si="55">SUM(W329:AD329)/8</f>
        <v>0.625</v>
      </c>
      <c r="AF329" s="310">
        <v>0</v>
      </c>
      <c r="AG329" s="17">
        <v>0</v>
      </c>
      <c r="AH329" s="310">
        <v>0.1</v>
      </c>
      <c r="AI329" s="310">
        <v>0.1</v>
      </c>
      <c r="AJ329" s="310">
        <v>0.03</v>
      </c>
      <c r="AK329" s="317">
        <v>0</v>
      </c>
      <c r="AL329" s="317"/>
      <c r="AM329" s="17">
        <f t="shared" ref="AM329:AM392" si="56">SUM(AK329:AL329)</f>
        <v>0</v>
      </c>
      <c r="AN329" s="18" t="s">
        <v>771</v>
      </c>
      <c r="AO329" s="18" t="s">
        <v>773</v>
      </c>
      <c r="AP329" s="283" t="s">
        <v>1516</v>
      </c>
    </row>
    <row r="330" spans="1:42" x14ac:dyDescent="0.3">
      <c r="A330" s="314" t="s">
        <v>1470</v>
      </c>
      <c r="B330" s="283" t="s">
        <v>1502</v>
      </c>
      <c r="C330" s="314" t="s">
        <v>1471</v>
      </c>
      <c r="D330" s="283" t="s">
        <v>1504</v>
      </c>
      <c r="E330" s="314" t="s">
        <v>1505</v>
      </c>
      <c r="F330" s="283" t="s">
        <v>1506</v>
      </c>
      <c r="G330" s="314" t="s">
        <v>1507</v>
      </c>
      <c r="H330" s="283" t="s">
        <v>1508</v>
      </c>
      <c r="I330" s="315" t="s">
        <v>1509</v>
      </c>
      <c r="J330" s="315" t="s">
        <v>1510</v>
      </c>
      <c r="K330" s="314" t="s">
        <v>1517</v>
      </c>
      <c r="L330" s="283" t="s">
        <v>1518</v>
      </c>
      <c r="M330" s="283" t="s">
        <v>1519</v>
      </c>
      <c r="N330" s="149">
        <v>0</v>
      </c>
      <c r="O330" s="149">
        <v>0</v>
      </c>
      <c r="P330" s="149">
        <v>1</v>
      </c>
      <c r="Q330" s="149" t="s">
        <v>271</v>
      </c>
      <c r="R330" s="149">
        <v>1</v>
      </c>
      <c r="S330" s="19">
        <v>1</v>
      </c>
      <c r="T330" s="18" t="s">
        <v>1514</v>
      </c>
      <c r="U330" s="283" t="e">
        <v>#N/A</v>
      </c>
      <c r="V330" s="283" t="s">
        <v>1520</v>
      </c>
      <c r="W330" s="283">
        <v>1</v>
      </c>
      <c r="X330" s="283">
        <v>0</v>
      </c>
      <c r="Y330" s="283">
        <v>0</v>
      </c>
      <c r="Z330" s="283">
        <v>1</v>
      </c>
      <c r="AA330" s="283">
        <v>1</v>
      </c>
      <c r="AB330" s="283">
        <v>1</v>
      </c>
      <c r="AC330" s="316">
        <v>1</v>
      </c>
      <c r="AD330" s="316">
        <v>1</v>
      </c>
      <c r="AE330" s="302">
        <f t="shared" si="55"/>
        <v>0.75</v>
      </c>
      <c r="AF330" s="310">
        <v>0</v>
      </c>
      <c r="AG330" s="17">
        <v>0</v>
      </c>
      <c r="AH330" s="310">
        <v>0.91</v>
      </c>
      <c r="AI330" s="310">
        <v>0.91</v>
      </c>
      <c r="AJ330" s="310">
        <v>0.91</v>
      </c>
      <c r="AK330" s="317">
        <v>0.51</v>
      </c>
      <c r="AL330" s="317">
        <v>0.51</v>
      </c>
      <c r="AM330" s="17">
        <f t="shared" si="56"/>
        <v>1.02</v>
      </c>
      <c r="AN330" s="18" t="s">
        <v>771</v>
      </c>
      <c r="AO330" s="18" t="s">
        <v>773</v>
      </c>
      <c r="AP330" s="283" t="s">
        <v>1521</v>
      </c>
    </row>
    <row r="331" spans="1:42" hidden="1" x14ac:dyDescent="0.3">
      <c r="A331" s="314" t="s">
        <v>1470</v>
      </c>
      <c r="B331" s="283" t="s">
        <v>1502</v>
      </c>
      <c r="C331" s="314" t="s">
        <v>1471</v>
      </c>
      <c r="D331" s="283" t="s">
        <v>1504</v>
      </c>
      <c r="E331" s="314" t="s">
        <v>1505</v>
      </c>
      <c r="F331" s="283" t="s">
        <v>1506</v>
      </c>
      <c r="G331" s="314" t="s">
        <v>1507</v>
      </c>
      <c r="H331" s="283" t="s">
        <v>1508</v>
      </c>
      <c r="I331" s="315" t="s">
        <v>1509</v>
      </c>
      <c r="J331" s="315" t="s">
        <v>1510</v>
      </c>
      <c r="K331" s="314" t="s">
        <v>1522</v>
      </c>
      <c r="L331" s="283" t="s">
        <v>1523</v>
      </c>
      <c r="M331" s="283" t="s">
        <v>1524</v>
      </c>
      <c r="N331" s="149">
        <v>0</v>
      </c>
      <c r="O331" s="149">
        <v>4</v>
      </c>
      <c r="P331" s="149">
        <v>4</v>
      </c>
      <c r="Q331" s="149">
        <v>4</v>
      </c>
      <c r="R331" s="149">
        <v>4</v>
      </c>
      <c r="S331" s="19">
        <v>4</v>
      </c>
      <c r="T331" s="18" t="s">
        <v>1525</v>
      </c>
      <c r="U331" s="283" t="e">
        <v>#N/A</v>
      </c>
      <c r="V331" s="283" t="s">
        <v>1526</v>
      </c>
      <c r="W331" s="283">
        <v>0</v>
      </c>
      <c r="X331" s="283">
        <v>0</v>
      </c>
      <c r="Y331" s="283">
        <v>0</v>
      </c>
      <c r="Z331" s="283">
        <v>0</v>
      </c>
      <c r="AA331" s="283">
        <v>0</v>
      </c>
      <c r="AB331" s="283">
        <v>0</v>
      </c>
      <c r="AC331" s="316">
        <v>0</v>
      </c>
      <c r="AD331" s="316">
        <v>0</v>
      </c>
      <c r="AE331" s="302">
        <f t="shared" si="55"/>
        <v>0</v>
      </c>
      <c r="AF331" s="310">
        <v>0</v>
      </c>
      <c r="AG331" s="17">
        <v>0</v>
      </c>
      <c r="AH331" s="310">
        <v>0</v>
      </c>
      <c r="AI331" s="310">
        <v>0</v>
      </c>
      <c r="AJ331" s="310">
        <v>0</v>
      </c>
      <c r="AK331" s="317">
        <v>0</v>
      </c>
      <c r="AL331" s="317">
        <v>0</v>
      </c>
      <c r="AM331" s="17">
        <f t="shared" si="56"/>
        <v>0</v>
      </c>
      <c r="AN331" s="18" t="s">
        <v>771</v>
      </c>
      <c r="AO331" s="18" t="s">
        <v>773</v>
      </c>
      <c r="AP331" s="283" t="s">
        <v>1516</v>
      </c>
    </row>
    <row r="332" spans="1:42" x14ac:dyDescent="0.3">
      <c r="A332" s="314" t="s">
        <v>1470</v>
      </c>
      <c r="B332" s="283" t="s">
        <v>1502</v>
      </c>
      <c r="C332" s="314" t="s">
        <v>1471</v>
      </c>
      <c r="D332" s="283" t="s">
        <v>1504</v>
      </c>
      <c r="E332" s="314" t="s">
        <v>1505</v>
      </c>
      <c r="F332" s="283" t="s">
        <v>1506</v>
      </c>
      <c r="G332" s="314" t="s">
        <v>1507</v>
      </c>
      <c r="H332" s="283" t="s">
        <v>1508</v>
      </c>
      <c r="I332" s="315" t="s">
        <v>1527</v>
      </c>
      <c r="J332" s="315" t="s">
        <v>1528</v>
      </c>
      <c r="K332" s="314" t="s">
        <v>1529</v>
      </c>
      <c r="L332" s="283" t="s">
        <v>1530</v>
      </c>
      <c r="M332" s="283" t="s">
        <v>1531</v>
      </c>
      <c r="N332" s="149">
        <v>2</v>
      </c>
      <c r="O332" s="149">
        <v>2</v>
      </c>
      <c r="P332" s="149">
        <v>2</v>
      </c>
      <c r="Q332" s="149">
        <v>2</v>
      </c>
      <c r="R332" s="149">
        <v>2</v>
      </c>
      <c r="S332" s="19">
        <v>2</v>
      </c>
      <c r="T332" s="18" t="s">
        <v>1532</v>
      </c>
      <c r="U332" s="283" t="e">
        <v>#N/A</v>
      </c>
      <c r="V332" s="283" t="s">
        <v>1533</v>
      </c>
      <c r="W332" s="283">
        <v>1</v>
      </c>
      <c r="X332" s="283">
        <v>0</v>
      </c>
      <c r="Y332" s="283">
        <v>0</v>
      </c>
      <c r="Z332" s="283">
        <v>1</v>
      </c>
      <c r="AA332" s="283">
        <v>1</v>
      </c>
      <c r="AB332" s="283">
        <v>1</v>
      </c>
      <c r="AC332" s="316">
        <v>1</v>
      </c>
      <c r="AD332" s="316">
        <v>1</v>
      </c>
      <c r="AE332" s="302">
        <f t="shared" si="55"/>
        <v>0.75</v>
      </c>
      <c r="AF332" s="310">
        <v>1</v>
      </c>
      <c r="AG332" s="17">
        <v>0</v>
      </c>
      <c r="AH332" s="310">
        <v>32.39</v>
      </c>
      <c r="AI332" s="310">
        <v>32.39</v>
      </c>
      <c r="AJ332" s="310">
        <v>32.39</v>
      </c>
      <c r="AK332" s="317">
        <v>13</v>
      </c>
      <c r="AL332" s="317">
        <v>13</v>
      </c>
      <c r="AM332" s="17">
        <f t="shared" si="56"/>
        <v>26</v>
      </c>
      <c r="AN332" s="18" t="s">
        <v>255</v>
      </c>
      <c r="AO332" s="18" t="s">
        <v>1045</v>
      </c>
      <c r="AP332" s="283" t="s">
        <v>1534</v>
      </c>
    </row>
    <row r="333" spans="1:42" x14ac:dyDescent="0.3">
      <c r="A333" s="314" t="s">
        <v>1470</v>
      </c>
      <c r="B333" s="283" t="s">
        <v>1502</v>
      </c>
      <c r="C333" s="314" t="s">
        <v>1471</v>
      </c>
      <c r="D333" s="283" t="s">
        <v>1504</v>
      </c>
      <c r="E333" s="314" t="s">
        <v>1505</v>
      </c>
      <c r="F333" s="283" t="s">
        <v>1506</v>
      </c>
      <c r="G333" s="314" t="s">
        <v>1507</v>
      </c>
      <c r="H333" s="283" t="s">
        <v>1508</v>
      </c>
      <c r="I333" s="315" t="s">
        <v>1527</v>
      </c>
      <c r="J333" s="315" t="s">
        <v>1528</v>
      </c>
      <c r="K333" s="314" t="s">
        <v>1529</v>
      </c>
      <c r="L333" s="283" t="s">
        <v>1530</v>
      </c>
      <c r="M333" s="283" t="s">
        <v>1535</v>
      </c>
      <c r="N333" s="149">
        <v>0</v>
      </c>
      <c r="O333" s="149">
        <v>50</v>
      </c>
      <c r="P333" s="149">
        <v>60</v>
      </c>
      <c r="Q333" s="149">
        <v>70</v>
      </c>
      <c r="R333" s="149">
        <v>80</v>
      </c>
      <c r="S333" s="19">
        <v>90</v>
      </c>
      <c r="T333" s="10" t="s">
        <v>1536</v>
      </c>
      <c r="U333" s="283" t="e">
        <v>#N/A</v>
      </c>
      <c r="V333" s="283" t="s">
        <v>1537</v>
      </c>
      <c r="W333" s="283">
        <v>1</v>
      </c>
      <c r="X333" s="283">
        <v>0</v>
      </c>
      <c r="Y333" s="283">
        <v>0</v>
      </c>
      <c r="Z333" s="283">
        <v>1</v>
      </c>
      <c r="AA333" s="283">
        <v>1</v>
      </c>
      <c r="AB333" s="283">
        <v>1</v>
      </c>
      <c r="AC333" s="316">
        <v>1</v>
      </c>
      <c r="AD333" s="316">
        <v>1</v>
      </c>
      <c r="AE333" s="302">
        <f t="shared" si="55"/>
        <v>0.75</v>
      </c>
      <c r="AF333" s="310">
        <v>0</v>
      </c>
      <c r="AG333" s="17">
        <v>0</v>
      </c>
      <c r="AH333" s="310">
        <v>10</v>
      </c>
      <c r="AI333" s="310">
        <v>10</v>
      </c>
      <c r="AJ333" s="310">
        <v>15</v>
      </c>
      <c r="AK333" s="317">
        <v>0.5</v>
      </c>
      <c r="AL333" s="317">
        <v>0.5</v>
      </c>
      <c r="AM333" s="17">
        <f t="shared" si="56"/>
        <v>1</v>
      </c>
      <c r="AN333" s="10" t="s">
        <v>239</v>
      </c>
      <c r="AO333" s="18" t="s">
        <v>241</v>
      </c>
      <c r="AP333" s="283" t="s">
        <v>1538</v>
      </c>
    </row>
    <row r="334" spans="1:42" hidden="1" x14ac:dyDescent="0.3">
      <c r="A334" s="314" t="s">
        <v>1470</v>
      </c>
      <c r="B334" s="283" t="s">
        <v>1502</v>
      </c>
      <c r="C334" s="314" t="s">
        <v>1471</v>
      </c>
      <c r="D334" s="283" t="s">
        <v>1504</v>
      </c>
      <c r="E334" s="314" t="s">
        <v>1505</v>
      </c>
      <c r="F334" s="283" t="s">
        <v>1506</v>
      </c>
      <c r="G334" s="314" t="s">
        <v>1507</v>
      </c>
      <c r="H334" s="283" t="s">
        <v>1508</v>
      </c>
      <c r="I334" s="315" t="s">
        <v>1527</v>
      </c>
      <c r="J334" s="315" t="s">
        <v>1528</v>
      </c>
      <c r="K334" s="314" t="s">
        <v>1529</v>
      </c>
      <c r="L334" s="283" t="s">
        <v>1530</v>
      </c>
      <c r="M334" s="283" t="s">
        <v>1539</v>
      </c>
      <c r="N334" s="149">
        <v>0</v>
      </c>
      <c r="O334" s="149">
        <v>4</v>
      </c>
      <c r="P334" s="149">
        <v>4</v>
      </c>
      <c r="Q334" s="149">
        <v>4</v>
      </c>
      <c r="R334" s="149">
        <v>4</v>
      </c>
      <c r="S334" s="19">
        <v>4</v>
      </c>
      <c r="T334" s="10" t="s">
        <v>1540</v>
      </c>
      <c r="U334" s="283" t="e">
        <v>#N/A</v>
      </c>
      <c r="AC334" s="316">
        <v>0</v>
      </c>
      <c r="AD334" s="316">
        <v>0</v>
      </c>
      <c r="AE334" s="302">
        <f t="shared" si="55"/>
        <v>0</v>
      </c>
      <c r="AF334" s="4"/>
      <c r="AG334" s="17">
        <v>0</v>
      </c>
      <c r="AM334" s="17">
        <f t="shared" si="56"/>
        <v>0</v>
      </c>
      <c r="AN334" s="10"/>
      <c r="AO334" s="18"/>
    </row>
    <row r="335" spans="1:42" x14ac:dyDescent="0.3">
      <c r="A335" s="314" t="s">
        <v>1470</v>
      </c>
      <c r="B335" s="283" t="s">
        <v>1502</v>
      </c>
      <c r="C335" s="314" t="s">
        <v>1471</v>
      </c>
      <c r="D335" s="283" t="s">
        <v>1504</v>
      </c>
      <c r="E335" s="314" t="s">
        <v>1505</v>
      </c>
      <c r="F335" s="283" t="s">
        <v>1506</v>
      </c>
      <c r="G335" s="314" t="s">
        <v>1507</v>
      </c>
      <c r="H335" s="283" t="s">
        <v>1508</v>
      </c>
      <c r="I335" s="315" t="s">
        <v>1541</v>
      </c>
      <c r="J335" s="315" t="s">
        <v>1542</v>
      </c>
      <c r="K335" s="314" t="s">
        <v>1543</v>
      </c>
      <c r="L335" s="283" t="s">
        <v>1544</v>
      </c>
      <c r="M335" s="283" t="s">
        <v>1545</v>
      </c>
      <c r="N335" s="149">
        <v>30</v>
      </c>
      <c r="O335" s="149">
        <v>35</v>
      </c>
      <c r="P335" s="149">
        <v>40</v>
      </c>
      <c r="Q335" s="149">
        <v>45</v>
      </c>
      <c r="R335" s="149">
        <v>30</v>
      </c>
      <c r="S335" s="19">
        <v>30</v>
      </c>
      <c r="T335" s="10" t="s">
        <v>1167</v>
      </c>
      <c r="U335" s="283" t="s">
        <v>1170</v>
      </c>
      <c r="V335" s="283" t="s">
        <v>1542</v>
      </c>
      <c r="W335" s="283">
        <v>1</v>
      </c>
      <c r="X335" s="283">
        <v>0</v>
      </c>
      <c r="Y335" s="283">
        <v>0</v>
      </c>
      <c r="Z335" s="283">
        <v>1</v>
      </c>
      <c r="AA335" s="283">
        <v>1</v>
      </c>
      <c r="AB335" s="283">
        <v>1</v>
      </c>
      <c r="AC335" s="316">
        <v>1</v>
      </c>
      <c r="AD335" s="316">
        <v>1</v>
      </c>
      <c r="AE335" s="302">
        <f t="shared" si="55"/>
        <v>0.75</v>
      </c>
      <c r="AF335" s="310">
        <v>0</v>
      </c>
      <c r="AG335" s="17">
        <v>0</v>
      </c>
      <c r="AH335" s="310">
        <v>0.13</v>
      </c>
      <c r="AI335" s="310">
        <v>0.13</v>
      </c>
      <c r="AJ335" s="310">
        <v>0.13</v>
      </c>
      <c r="AK335" s="317">
        <v>0.1</v>
      </c>
      <c r="AL335" s="317">
        <v>0.1</v>
      </c>
      <c r="AM335" s="17">
        <f t="shared" si="56"/>
        <v>0.2</v>
      </c>
      <c r="AN335" s="10" t="s">
        <v>239</v>
      </c>
      <c r="AO335" s="18" t="s">
        <v>241</v>
      </c>
      <c r="AP335" s="283" t="s">
        <v>1538</v>
      </c>
    </row>
    <row r="336" spans="1:42" hidden="1" x14ac:dyDescent="0.3">
      <c r="A336" s="314" t="s">
        <v>1470</v>
      </c>
      <c r="B336" s="283" t="s">
        <v>1502</v>
      </c>
      <c r="C336" s="314" t="s">
        <v>1471</v>
      </c>
      <c r="D336" s="283" t="s">
        <v>1504</v>
      </c>
      <c r="E336" s="314" t="s">
        <v>1505</v>
      </c>
      <c r="F336" s="283" t="s">
        <v>1506</v>
      </c>
      <c r="G336" s="314" t="s">
        <v>1507</v>
      </c>
      <c r="H336" s="283" t="s">
        <v>1508</v>
      </c>
      <c r="I336" s="315" t="s">
        <v>1546</v>
      </c>
      <c r="J336" s="315" t="s">
        <v>1547</v>
      </c>
      <c r="K336" s="314" t="s">
        <v>1548</v>
      </c>
      <c r="L336" s="283" t="s">
        <v>1549</v>
      </c>
      <c r="M336" s="10" t="s">
        <v>1550</v>
      </c>
      <c r="N336" s="149">
        <v>0</v>
      </c>
      <c r="O336" s="19">
        <v>1370</v>
      </c>
      <c r="P336" s="19">
        <v>1370</v>
      </c>
      <c r="Q336" s="19">
        <v>1370</v>
      </c>
      <c r="R336" s="19">
        <v>1370</v>
      </c>
      <c r="S336" s="19">
        <v>1370</v>
      </c>
      <c r="T336" s="18" t="s">
        <v>771</v>
      </c>
      <c r="U336" s="283" t="s">
        <v>773</v>
      </c>
      <c r="V336" s="283" t="s">
        <v>1551</v>
      </c>
      <c r="AC336" s="316">
        <v>0</v>
      </c>
      <c r="AD336" s="316">
        <v>0</v>
      </c>
      <c r="AE336" s="302">
        <f t="shared" si="55"/>
        <v>0</v>
      </c>
      <c r="AF336" s="310"/>
      <c r="AG336" s="17">
        <v>0</v>
      </c>
      <c r="AH336" s="310">
        <v>4.66</v>
      </c>
      <c r="AI336" s="310">
        <v>4.58</v>
      </c>
      <c r="AJ336" s="310">
        <v>4.41</v>
      </c>
      <c r="AK336" s="317">
        <v>0</v>
      </c>
      <c r="AL336" s="317">
        <v>0</v>
      </c>
      <c r="AM336" s="17">
        <f t="shared" si="56"/>
        <v>0</v>
      </c>
      <c r="AN336" s="18" t="s">
        <v>771</v>
      </c>
      <c r="AO336" s="18" t="s">
        <v>773</v>
      </c>
      <c r="AP336" s="283" t="s">
        <v>1552</v>
      </c>
    </row>
    <row r="337" spans="1:42" hidden="1" x14ac:dyDescent="0.3">
      <c r="A337" s="314" t="s">
        <v>1470</v>
      </c>
      <c r="B337" s="283" t="s">
        <v>1502</v>
      </c>
      <c r="C337" s="314" t="s">
        <v>1471</v>
      </c>
      <c r="D337" s="283" t="s">
        <v>1504</v>
      </c>
      <c r="E337" s="314" t="s">
        <v>1505</v>
      </c>
      <c r="F337" s="283" t="s">
        <v>1506</v>
      </c>
      <c r="G337" s="314" t="s">
        <v>1553</v>
      </c>
      <c r="H337" s="283" t="s">
        <v>1554</v>
      </c>
      <c r="I337" s="315">
        <v>0</v>
      </c>
      <c r="J337" s="315">
        <v>0</v>
      </c>
      <c r="K337" s="314" t="s">
        <v>1555</v>
      </c>
      <c r="L337" s="283" t="s">
        <v>1556</v>
      </c>
      <c r="M337" s="10" t="s">
        <v>1557</v>
      </c>
      <c r="N337" s="149">
        <v>0</v>
      </c>
      <c r="O337" s="19">
        <v>3</v>
      </c>
      <c r="P337" s="19">
        <v>8</v>
      </c>
      <c r="Q337" s="19">
        <v>15</v>
      </c>
      <c r="R337" s="19">
        <v>20</v>
      </c>
      <c r="S337" s="19">
        <v>25</v>
      </c>
      <c r="T337" s="10" t="s">
        <v>239</v>
      </c>
      <c r="U337" s="283" t="s">
        <v>241</v>
      </c>
      <c r="V337" s="283" t="s">
        <v>1558</v>
      </c>
      <c r="AC337" s="316">
        <v>0</v>
      </c>
      <c r="AD337" s="316">
        <v>0</v>
      </c>
      <c r="AE337" s="302">
        <f t="shared" si="55"/>
        <v>0</v>
      </c>
      <c r="AF337" s="310"/>
      <c r="AG337" s="17">
        <v>0</v>
      </c>
      <c r="AH337" s="310">
        <v>0.2</v>
      </c>
      <c r="AI337" s="310">
        <v>0.2</v>
      </c>
      <c r="AJ337" s="310">
        <v>0.2</v>
      </c>
      <c r="AK337" s="317">
        <v>0</v>
      </c>
      <c r="AL337" s="317">
        <v>0</v>
      </c>
      <c r="AM337" s="17">
        <f t="shared" si="56"/>
        <v>0</v>
      </c>
      <c r="AN337" s="10" t="s">
        <v>239</v>
      </c>
      <c r="AO337" s="18" t="s">
        <v>241</v>
      </c>
      <c r="AP337" s="283" t="s">
        <v>1559</v>
      </c>
    </row>
    <row r="338" spans="1:42" x14ac:dyDescent="0.3">
      <c r="A338" s="314" t="s">
        <v>1470</v>
      </c>
      <c r="B338" s="283" t="s">
        <v>1502</v>
      </c>
      <c r="C338" s="314" t="s">
        <v>1471</v>
      </c>
      <c r="D338" s="283" t="s">
        <v>1504</v>
      </c>
      <c r="E338" s="314" t="s">
        <v>1505</v>
      </c>
      <c r="F338" s="283" t="s">
        <v>1506</v>
      </c>
      <c r="G338" s="314" t="s">
        <v>1553</v>
      </c>
      <c r="H338" s="283" t="s">
        <v>1554</v>
      </c>
      <c r="I338" s="315">
        <v>0</v>
      </c>
      <c r="J338" s="315">
        <v>0</v>
      </c>
      <c r="K338" s="314" t="s">
        <v>1560</v>
      </c>
      <c r="L338" s="283" t="s">
        <v>1561</v>
      </c>
      <c r="M338" s="283" t="s">
        <v>1562</v>
      </c>
      <c r="N338" s="149">
        <v>0</v>
      </c>
      <c r="O338" s="149"/>
      <c r="P338" s="149"/>
      <c r="Q338" s="149"/>
      <c r="R338" s="149">
        <v>20</v>
      </c>
      <c r="S338" s="19">
        <v>20</v>
      </c>
      <c r="T338" s="10" t="s">
        <v>1563</v>
      </c>
      <c r="U338" s="283" t="s">
        <v>1565</v>
      </c>
      <c r="V338" s="283" t="s">
        <v>1564</v>
      </c>
      <c r="W338" s="283">
        <v>1</v>
      </c>
      <c r="X338" s="283">
        <v>0</v>
      </c>
      <c r="Y338" s="283">
        <v>0</v>
      </c>
      <c r="Z338" s="283">
        <v>1</v>
      </c>
      <c r="AA338" s="283">
        <v>1</v>
      </c>
      <c r="AB338" s="283">
        <v>1</v>
      </c>
      <c r="AC338" s="316">
        <v>1</v>
      </c>
      <c r="AD338" s="316">
        <v>1</v>
      </c>
      <c r="AE338" s="302">
        <f t="shared" si="55"/>
        <v>0.75</v>
      </c>
      <c r="AF338" s="310">
        <v>0</v>
      </c>
      <c r="AG338" s="17">
        <v>0</v>
      </c>
      <c r="AH338" s="310">
        <v>1.27</v>
      </c>
      <c r="AI338" s="310">
        <v>1.27</v>
      </c>
      <c r="AJ338" s="310">
        <v>1.27</v>
      </c>
      <c r="AK338" s="317">
        <v>1.27</v>
      </c>
      <c r="AL338" s="317">
        <v>1.27</v>
      </c>
      <c r="AM338" s="17">
        <f t="shared" si="56"/>
        <v>2.54</v>
      </c>
      <c r="AN338" s="283" t="s">
        <v>1563</v>
      </c>
      <c r="AO338" s="18" t="s">
        <v>1565</v>
      </c>
      <c r="AP338" s="283" t="s">
        <v>1566</v>
      </c>
    </row>
    <row r="339" spans="1:42" hidden="1" x14ac:dyDescent="0.3">
      <c r="A339" s="314" t="s">
        <v>1470</v>
      </c>
      <c r="B339" s="283" t="s">
        <v>1502</v>
      </c>
      <c r="C339" s="314" t="s">
        <v>1471</v>
      </c>
      <c r="D339" s="283" t="s">
        <v>1504</v>
      </c>
      <c r="E339" s="314" t="s">
        <v>1505</v>
      </c>
      <c r="F339" s="283" t="s">
        <v>1506</v>
      </c>
      <c r="G339" s="314" t="s">
        <v>1553</v>
      </c>
      <c r="H339" s="283" t="s">
        <v>1554</v>
      </c>
      <c r="I339" s="315">
        <v>0</v>
      </c>
      <c r="J339" s="315">
        <v>0</v>
      </c>
      <c r="K339" s="314" t="s">
        <v>1567</v>
      </c>
      <c r="L339" s="283" t="s">
        <v>1568</v>
      </c>
      <c r="N339" s="149">
        <v>0</v>
      </c>
      <c r="O339" s="149">
        <v>17</v>
      </c>
      <c r="P339" s="149">
        <v>17</v>
      </c>
      <c r="Q339" s="149">
        <v>17</v>
      </c>
      <c r="R339" s="149">
        <v>17</v>
      </c>
      <c r="S339" s="19">
        <v>17</v>
      </c>
      <c r="T339" s="283" t="s">
        <v>1563</v>
      </c>
      <c r="U339" s="283" t="s">
        <v>1565</v>
      </c>
      <c r="V339" s="283" t="s">
        <v>1569</v>
      </c>
      <c r="W339" s="283">
        <v>0</v>
      </c>
      <c r="X339" s="283">
        <v>0</v>
      </c>
      <c r="Y339" s="283">
        <v>0</v>
      </c>
      <c r="Z339" s="283">
        <v>0</v>
      </c>
      <c r="AA339" s="283">
        <v>0</v>
      </c>
      <c r="AB339" s="283">
        <v>0</v>
      </c>
      <c r="AC339" s="316">
        <v>0</v>
      </c>
      <c r="AD339" s="316">
        <v>0</v>
      </c>
      <c r="AE339" s="302">
        <f t="shared" si="55"/>
        <v>0</v>
      </c>
      <c r="AF339" s="310">
        <v>0</v>
      </c>
      <c r="AG339" s="17">
        <v>0</v>
      </c>
      <c r="AH339" s="310">
        <v>0</v>
      </c>
      <c r="AI339" s="310">
        <v>0</v>
      </c>
      <c r="AJ339" s="310">
        <v>0</v>
      </c>
      <c r="AK339" s="317">
        <v>0</v>
      </c>
      <c r="AL339" s="317">
        <v>0</v>
      </c>
      <c r="AM339" s="17">
        <f t="shared" si="56"/>
        <v>0</v>
      </c>
      <c r="AN339" s="283" t="s">
        <v>1563</v>
      </c>
      <c r="AO339" s="18" t="s">
        <v>1565</v>
      </c>
      <c r="AP339" s="283" t="s">
        <v>1570</v>
      </c>
    </row>
    <row r="340" spans="1:42" x14ac:dyDescent="0.3">
      <c r="A340" s="314" t="s">
        <v>1470</v>
      </c>
      <c r="B340" s="283" t="s">
        <v>1502</v>
      </c>
      <c r="C340" s="314" t="s">
        <v>1471</v>
      </c>
      <c r="D340" s="283" t="s">
        <v>1504</v>
      </c>
      <c r="E340" s="314" t="s">
        <v>1505</v>
      </c>
      <c r="F340" s="283" t="s">
        <v>1506</v>
      </c>
      <c r="G340" s="314" t="s">
        <v>1553</v>
      </c>
      <c r="H340" s="283" t="s">
        <v>1554</v>
      </c>
      <c r="I340" s="315">
        <v>0</v>
      </c>
      <c r="J340" s="315">
        <v>0</v>
      </c>
      <c r="K340" s="314" t="s">
        <v>1571</v>
      </c>
      <c r="L340" s="283" t="s">
        <v>1572</v>
      </c>
      <c r="M340" s="283" t="s">
        <v>1573</v>
      </c>
      <c r="N340" s="149">
        <v>0</v>
      </c>
      <c r="O340" s="149">
        <v>13</v>
      </c>
      <c r="P340" s="149">
        <v>13</v>
      </c>
      <c r="Q340" s="149">
        <v>13</v>
      </c>
      <c r="R340" s="149">
        <v>13</v>
      </c>
      <c r="S340" s="19">
        <v>13</v>
      </c>
      <c r="T340" s="283" t="s">
        <v>1574</v>
      </c>
      <c r="U340" s="283" t="e">
        <v>#N/A</v>
      </c>
      <c r="V340" s="283" t="s">
        <v>1575</v>
      </c>
      <c r="W340" s="283">
        <v>1</v>
      </c>
      <c r="X340" s="283">
        <v>0</v>
      </c>
      <c r="Y340" s="283">
        <v>0</v>
      </c>
      <c r="Z340" s="283">
        <v>1</v>
      </c>
      <c r="AA340" s="283">
        <v>1</v>
      </c>
      <c r="AB340" s="283">
        <v>1</v>
      </c>
      <c r="AC340" s="316">
        <v>1</v>
      </c>
      <c r="AD340" s="316">
        <v>1</v>
      </c>
      <c r="AE340" s="302">
        <f t="shared" si="55"/>
        <v>0.75</v>
      </c>
      <c r="AF340" s="310">
        <v>0</v>
      </c>
      <c r="AG340" s="17">
        <v>0</v>
      </c>
      <c r="AH340" s="310">
        <v>4</v>
      </c>
      <c r="AI340" s="310">
        <v>20</v>
      </c>
      <c r="AJ340" s="310">
        <v>20</v>
      </c>
      <c r="AK340" s="317">
        <v>10</v>
      </c>
      <c r="AL340" s="317">
        <v>10</v>
      </c>
      <c r="AM340" s="17">
        <f t="shared" si="56"/>
        <v>20</v>
      </c>
      <c r="AN340" s="283" t="s">
        <v>1576</v>
      </c>
      <c r="AO340" s="18" t="s">
        <v>241</v>
      </c>
      <c r="AP340" s="283" t="s">
        <v>1577</v>
      </c>
    </row>
    <row r="341" spans="1:42" hidden="1" x14ac:dyDescent="0.3">
      <c r="A341" s="314" t="s">
        <v>1470</v>
      </c>
      <c r="B341" s="283" t="s">
        <v>1502</v>
      </c>
      <c r="C341" s="314" t="s">
        <v>1471</v>
      </c>
      <c r="D341" s="283" t="s">
        <v>1504</v>
      </c>
      <c r="E341" s="314" t="s">
        <v>1505</v>
      </c>
      <c r="F341" s="283" t="s">
        <v>1506</v>
      </c>
      <c r="G341" s="314" t="s">
        <v>1553</v>
      </c>
      <c r="H341" s="283" t="s">
        <v>1554</v>
      </c>
      <c r="I341" s="315">
        <v>0</v>
      </c>
      <c r="J341" s="315">
        <v>0</v>
      </c>
      <c r="K341" s="314" t="s">
        <v>1578</v>
      </c>
      <c r="L341" s="283" t="s">
        <v>1579</v>
      </c>
      <c r="M341" s="10" t="s">
        <v>1580</v>
      </c>
      <c r="N341" s="149">
        <v>0</v>
      </c>
      <c r="O341" s="19">
        <v>1</v>
      </c>
      <c r="P341" s="19">
        <v>1</v>
      </c>
      <c r="Q341" s="19">
        <v>1</v>
      </c>
      <c r="R341" s="19">
        <v>1</v>
      </c>
      <c r="S341" s="19">
        <v>1</v>
      </c>
      <c r="T341" s="10" t="s">
        <v>1581</v>
      </c>
      <c r="U341" s="283" t="s">
        <v>1583</v>
      </c>
      <c r="V341" s="283" t="s">
        <v>1582</v>
      </c>
      <c r="W341" s="283">
        <v>0</v>
      </c>
      <c r="X341" s="283">
        <v>0</v>
      </c>
      <c r="Y341" s="283">
        <v>0</v>
      </c>
      <c r="Z341" s="283">
        <v>0</v>
      </c>
      <c r="AA341" s="283">
        <v>0</v>
      </c>
      <c r="AB341" s="283">
        <v>0</v>
      </c>
      <c r="AC341" s="316">
        <v>0</v>
      </c>
      <c r="AD341" s="316">
        <v>0</v>
      </c>
      <c r="AE341" s="302">
        <f t="shared" si="55"/>
        <v>0</v>
      </c>
      <c r="AF341" s="310"/>
      <c r="AG341" s="17">
        <v>0</v>
      </c>
      <c r="AH341" s="310">
        <v>0.1</v>
      </c>
      <c r="AI341" s="310">
        <v>0.1</v>
      </c>
      <c r="AJ341" s="310">
        <v>0.1</v>
      </c>
      <c r="AK341" s="317">
        <v>0</v>
      </c>
      <c r="AL341" s="317">
        <v>0</v>
      </c>
      <c r="AM341" s="17">
        <f t="shared" si="56"/>
        <v>0</v>
      </c>
      <c r="AN341" s="283" t="s">
        <v>1581</v>
      </c>
      <c r="AO341" s="18" t="s">
        <v>1583</v>
      </c>
      <c r="AP341" s="283" t="s">
        <v>1584</v>
      </c>
    </row>
    <row r="342" spans="1:42" hidden="1" x14ac:dyDescent="0.3">
      <c r="A342" s="314" t="s">
        <v>1470</v>
      </c>
      <c r="B342" s="283" t="s">
        <v>1502</v>
      </c>
      <c r="C342" s="314" t="s">
        <v>1471</v>
      </c>
      <c r="D342" s="283" t="s">
        <v>1504</v>
      </c>
      <c r="E342" s="314" t="s">
        <v>1505</v>
      </c>
      <c r="F342" s="283" t="s">
        <v>1506</v>
      </c>
      <c r="G342" s="314" t="s">
        <v>1553</v>
      </c>
      <c r="H342" s="283" t="s">
        <v>1554</v>
      </c>
      <c r="I342" s="315">
        <v>0</v>
      </c>
      <c r="J342" s="315">
        <v>0</v>
      </c>
      <c r="K342" s="314" t="s">
        <v>1585</v>
      </c>
      <c r="L342" s="283" t="s">
        <v>1586</v>
      </c>
      <c r="M342" s="10" t="s">
        <v>1587</v>
      </c>
      <c r="N342" s="149">
        <v>0</v>
      </c>
      <c r="O342" s="19">
        <v>192</v>
      </c>
      <c r="P342" s="19">
        <v>230</v>
      </c>
      <c r="Q342" s="19">
        <v>240</v>
      </c>
      <c r="R342" s="19">
        <v>250</v>
      </c>
      <c r="S342" s="19">
        <v>250</v>
      </c>
      <c r="T342" s="10" t="s">
        <v>1588</v>
      </c>
      <c r="U342" s="283" t="s">
        <v>1590</v>
      </c>
      <c r="V342" s="283" t="s">
        <v>1589</v>
      </c>
      <c r="W342" s="283">
        <v>0</v>
      </c>
      <c r="X342" s="283">
        <v>0</v>
      </c>
      <c r="Y342" s="283">
        <v>0</v>
      </c>
      <c r="Z342" s="283">
        <v>0</v>
      </c>
      <c r="AA342" s="283">
        <v>0</v>
      </c>
      <c r="AB342" s="283">
        <v>0</v>
      </c>
      <c r="AC342" s="316">
        <v>0</v>
      </c>
      <c r="AD342" s="316">
        <v>0</v>
      </c>
      <c r="AE342" s="302">
        <f t="shared" si="55"/>
        <v>0</v>
      </c>
      <c r="AF342" s="310">
        <v>0</v>
      </c>
      <c r="AG342" s="17">
        <v>0</v>
      </c>
      <c r="AH342" s="310">
        <v>0.72</v>
      </c>
      <c r="AI342" s="310">
        <v>1.86</v>
      </c>
      <c r="AJ342" s="310">
        <v>2.5</v>
      </c>
      <c r="AK342" s="317">
        <v>0</v>
      </c>
      <c r="AL342" s="317">
        <v>0</v>
      </c>
      <c r="AM342" s="17">
        <f t="shared" si="56"/>
        <v>0</v>
      </c>
      <c r="AN342" s="283" t="s">
        <v>1588</v>
      </c>
      <c r="AO342" s="18" t="s">
        <v>1590</v>
      </c>
      <c r="AP342" s="283" t="s">
        <v>119</v>
      </c>
    </row>
    <row r="343" spans="1:42" x14ac:dyDescent="0.3">
      <c r="A343" s="314" t="s">
        <v>1470</v>
      </c>
      <c r="B343" s="283" t="s">
        <v>1502</v>
      </c>
      <c r="C343" s="314" t="s">
        <v>1471</v>
      </c>
      <c r="D343" s="283" t="s">
        <v>1504</v>
      </c>
      <c r="E343" s="314" t="s">
        <v>1505</v>
      </c>
      <c r="F343" s="283" t="s">
        <v>1506</v>
      </c>
      <c r="G343" s="314" t="s">
        <v>1553</v>
      </c>
      <c r="H343" s="283" t="s">
        <v>1554</v>
      </c>
      <c r="I343" s="315">
        <v>0</v>
      </c>
      <c r="J343" s="315">
        <v>0</v>
      </c>
      <c r="K343" s="314" t="s">
        <v>1591</v>
      </c>
      <c r="L343" s="283" t="s">
        <v>1592</v>
      </c>
      <c r="M343" s="10" t="s">
        <v>1593</v>
      </c>
      <c r="N343" s="149">
        <v>0</v>
      </c>
      <c r="O343" s="19">
        <v>22</v>
      </c>
      <c r="P343" s="19">
        <v>28</v>
      </c>
      <c r="Q343" s="19">
        <v>28</v>
      </c>
      <c r="R343" s="19">
        <v>28</v>
      </c>
      <c r="S343" s="19">
        <v>28</v>
      </c>
      <c r="T343" s="10" t="s">
        <v>771</v>
      </c>
      <c r="U343" s="283" t="s">
        <v>773</v>
      </c>
      <c r="V343" s="283" t="s">
        <v>1594</v>
      </c>
      <c r="W343" s="283">
        <v>1</v>
      </c>
      <c r="X343" s="283">
        <v>0</v>
      </c>
      <c r="Y343" s="283">
        <v>0</v>
      </c>
      <c r="Z343" s="283">
        <v>1</v>
      </c>
      <c r="AA343" s="283">
        <v>1</v>
      </c>
      <c r="AB343" s="283">
        <v>1</v>
      </c>
      <c r="AC343" s="316">
        <v>1</v>
      </c>
      <c r="AD343" s="316">
        <v>1</v>
      </c>
      <c r="AE343" s="302">
        <f t="shared" si="55"/>
        <v>0.75</v>
      </c>
      <c r="AF343" s="310">
        <v>0</v>
      </c>
      <c r="AG343" s="17">
        <v>0</v>
      </c>
      <c r="AH343" s="310">
        <v>0.1</v>
      </c>
      <c r="AI343" s="310">
        <v>0.2</v>
      </c>
      <c r="AJ343" s="310">
        <v>0.2</v>
      </c>
      <c r="AK343" s="317">
        <v>3</v>
      </c>
      <c r="AL343" s="317">
        <v>3</v>
      </c>
      <c r="AM343" s="17">
        <f t="shared" si="56"/>
        <v>6</v>
      </c>
      <c r="AN343" s="283" t="s">
        <v>1588</v>
      </c>
      <c r="AO343" s="18" t="s">
        <v>1590</v>
      </c>
      <c r="AP343" s="283" t="s">
        <v>119</v>
      </c>
    </row>
    <row r="344" spans="1:42" hidden="1" x14ac:dyDescent="0.3">
      <c r="A344" s="314" t="s">
        <v>1470</v>
      </c>
      <c r="B344" s="283" t="s">
        <v>1502</v>
      </c>
      <c r="C344" s="314" t="s">
        <v>1471</v>
      </c>
      <c r="D344" s="283" t="s">
        <v>1504</v>
      </c>
      <c r="E344" s="314" t="s">
        <v>1505</v>
      </c>
      <c r="F344" s="283" t="s">
        <v>1506</v>
      </c>
      <c r="G344" s="314" t="s">
        <v>1553</v>
      </c>
      <c r="H344" s="283" t="s">
        <v>1554</v>
      </c>
      <c r="I344" s="315">
        <v>0</v>
      </c>
      <c r="J344" s="315">
        <v>0</v>
      </c>
      <c r="K344" s="314" t="s">
        <v>1595</v>
      </c>
      <c r="L344" s="283" t="s">
        <v>1596</v>
      </c>
      <c r="M344" s="10" t="s">
        <v>1597</v>
      </c>
      <c r="N344" s="149">
        <v>0</v>
      </c>
      <c r="O344" s="19"/>
      <c r="P344" s="19">
        <v>2</v>
      </c>
      <c r="Q344" s="19">
        <v>2</v>
      </c>
      <c r="R344" s="19">
        <v>2</v>
      </c>
      <c r="S344" s="19">
        <v>2</v>
      </c>
      <c r="T344" s="10" t="s">
        <v>1588</v>
      </c>
      <c r="U344" s="283" t="s">
        <v>1590</v>
      </c>
      <c r="V344" s="283" t="s">
        <v>1598</v>
      </c>
      <c r="W344" s="283">
        <v>0</v>
      </c>
      <c r="X344" s="283">
        <v>0</v>
      </c>
      <c r="Y344" s="283">
        <v>0</v>
      </c>
      <c r="Z344" s="283">
        <v>0</v>
      </c>
      <c r="AA344" s="283">
        <v>0</v>
      </c>
      <c r="AB344" s="283">
        <v>0</v>
      </c>
      <c r="AC344" s="316">
        <v>0</v>
      </c>
      <c r="AD344" s="316">
        <v>0</v>
      </c>
      <c r="AE344" s="302">
        <f t="shared" si="55"/>
        <v>0</v>
      </c>
      <c r="AF344" s="17"/>
      <c r="AG344" s="17">
        <v>0</v>
      </c>
      <c r="AH344" s="17">
        <v>0</v>
      </c>
      <c r="AI344" s="310">
        <v>0.5</v>
      </c>
      <c r="AJ344" s="310">
        <v>0.5</v>
      </c>
      <c r="AK344" s="317">
        <v>0</v>
      </c>
      <c r="AL344" s="317">
        <v>0</v>
      </c>
      <c r="AM344" s="17">
        <f t="shared" si="56"/>
        <v>0</v>
      </c>
      <c r="AN344" s="283" t="s">
        <v>1588</v>
      </c>
      <c r="AO344" s="18" t="s">
        <v>1590</v>
      </c>
      <c r="AP344" s="283" t="s">
        <v>119</v>
      </c>
    </row>
    <row r="345" spans="1:42" hidden="1" x14ac:dyDescent="0.3">
      <c r="A345" s="314" t="s">
        <v>1470</v>
      </c>
      <c r="B345" s="283" t="s">
        <v>1502</v>
      </c>
      <c r="C345" s="314" t="s">
        <v>1471</v>
      </c>
      <c r="D345" s="283" t="s">
        <v>1504</v>
      </c>
      <c r="E345" s="314" t="s">
        <v>1505</v>
      </c>
      <c r="F345" s="283" t="s">
        <v>1506</v>
      </c>
      <c r="G345" s="314" t="s">
        <v>1553</v>
      </c>
      <c r="H345" s="283" t="s">
        <v>1554</v>
      </c>
      <c r="I345" s="315">
        <v>0</v>
      </c>
      <c r="J345" s="315">
        <v>0</v>
      </c>
      <c r="K345" s="314" t="s">
        <v>1599</v>
      </c>
      <c r="L345" s="283" t="s">
        <v>1600</v>
      </c>
      <c r="M345" s="10" t="s">
        <v>1601</v>
      </c>
      <c r="N345" s="149">
        <v>0</v>
      </c>
      <c r="O345" s="19">
        <v>53</v>
      </c>
      <c r="P345" s="19">
        <v>65</v>
      </c>
      <c r="Q345" s="19">
        <v>70</v>
      </c>
      <c r="R345" s="19">
        <v>75</v>
      </c>
      <c r="S345" s="19">
        <v>80</v>
      </c>
      <c r="T345" s="10" t="s">
        <v>1588</v>
      </c>
      <c r="U345" s="283" t="s">
        <v>1590</v>
      </c>
      <c r="V345" s="283" t="s">
        <v>1602</v>
      </c>
      <c r="W345" s="283">
        <v>0</v>
      </c>
      <c r="X345" s="283">
        <v>0</v>
      </c>
      <c r="Y345" s="283">
        <v>0</v>
      </c>
      <c r="Z345" s="283">
        <v>0</v>
      </c>
      <c r="AA345" s="283">
        <v>0</v>
      </c>
      <c r="AB345" s="283">
        <v>0</v>
      </c>
      <c r="AC345" s="316">
        <v>0</v>
      </c>
      <c r="AD345" s="316">
        <v>0</v>
      </c>
      <c r="AE345" s="302">
        <f t="shared" si="55"/>
        <v>0</v>
      </c>
      <c r="AF345" s="310"/>
      <c r="AG345" s="17">
        <v>0</v>
      </c>
      <c r="AH345" s="310">
        <v>0.63</v>
      </c>
      <c r="AI345" s="310">
        <v>1.1000000000000001</v>
      </c>
      <c r="AJ345" s="310">
        <v>1.5</v>
      </c>
      <c r="AK345" s="317">
        <v>0</v>
      </c>
      <c r="AL345" s="317">
        <v>0</v>
      </c>
      <c r="AM345" s="17">
        <f t="shared" si="56"/>
        <v>0</v>
      </c>
      <c r="AN345" s="283" t="s">
        <v>1588</v>
      </c>
      <c r="AO345" s="18" t="s">
        <v>1590</v>
      </c>
      <c r="AP345" s="283" t="s">
        <v>119</v>
      </c>
    </row>
    <row r="346" spans="1:42" x14ac:dyDescent="0.3">
      <c r="A346" s="314" t="s">
        <v>1470</v>
      </c>
      <c r="B346" s="283" t="s">
        <v>1502</v>
      </c>
      <c r="C346" s="314" t="s">
        <v>1471</v>
      </c>
      <c r="D346" s="283" t="s">
        <v>1504</v>
      </c>
      <c r="E346" s="314" t="s">
        <v>1505</v>
      </c>
      <c r="F346" s="283" t="s">
        <v>1506</v>
      </c>
      <c r="G346" s="314" t="s">
        <v>1603</v>
      </c>
      <c r="H346" s="283" t="s">
        <v>1604</v>
      </c>
      <c r="I346" s="315">
        <v>0</v>
      </c>
      <c r="J346" s="315">
        <v>0</v>
      </c>
      <c r="K346" s="314" t="s">
        <v>1605</v>
      </c>
      <c r="L346" s="283" t="s">
        <v>1606</v>
      </c>
      <c r="M346" s="10" t="s">
        <v>1607</v>
      </c>
      <c r="N346" s="149">
        <v>0</v>
      </c>
      <c r="O346" s="19">
        <v>15</v>
      </c>
      <c r="P346" s="19">
        <v>15</v>
      </c>
      <c r="Q346" s="19">
        <v>15</v>
      </c>
      <c r="R346" s="19">
        <v>10</v>
      </c>
      <c r="S346" s="19">
        <v>12</v>
      </c>
      <c r="T346" s="10" t="s">
        <v>1608</v>
      </c>
      <c r="U346" s="283" t="e">
        <v>#N/A</v>
      </c>
      <c r="V346" s="283" t="s">
        <v>1609</v>
      </c>
      <c r="W346" s="283">
        <v>1</v>
      </c>
      <c r="X346" s="283">
        <v>0</v>
      </c>
      <c r="Y346" s="283">
        <v>0</v>
      </c>
      <c r="Z346" s="283">
        <v>1</v>
      </c>
      <c r="AA346" s="283">
        <v>1</v>
      </c>
      <c r="AB346" s="283">
        <v>1</v>
      </c>
      <c r="AC346" s="316">
        <v>1</v>
      </c>
      <c r="AD346" s="316">
        <v>1</v>
      </c>
      <c r="AE346" s="302">
        <f t="shared" si="55"/>
        <v>0.75</v>
      </c>
      <c r="AF346" s="310"/>
      <c r="AG346" s="17">
        <v>0</v>
      </c>
      <c r="AH346" s="310">
        <v>0.5</v>
      </c>
      <c r="AI346" s="310">
        <v>0.6</v>
      </c>
      <c r="AJ346" s="310">
        <v>0.7</v>
      </c>
      <c r="AK346" s="317">
        <v>0.4</v>
      </c>
      <c r="AL346" s="317">
        <v>1</v>
      </c>
      <c r="AM346" s="17">
        <f t="shared" si="56"/>
        <v>1.4</v>
      </c>
      <c r="AN346" s="283" t="s">
        <v>1610</v>
      </c>
      <c r="AO346" s="18" t="s">
        <v>773</v>
      </c>
      <c r="AP346" s="283" t="s">
        <v>1611</v>
      </c>
    </row>
    <row r="347" spans="1:42" x14ac:dyDescent="0.3">
      <c r="A347" s="314" t="s">
        <v>1470</v>
      </c>
      <c r="B347" s="283" t="s">
        <v>1502</v>
      </c>
      <c r="C347" s="314" t="s">
        <v>1471</v>
      </c>
      <c r="D347" s="283" t="s">
        <v>1504</v>
      </c>
      <c r="E347" s="314" t="s">
        <v>1505</v>
      </c>
      <c r="F347" s="283" t="s">
        <v>1506</v>
      </c>
      <c r="G347" s="314" t="s">
        <v>1603</v>
      </c>
      <c r="H347" s="283" t="s">
        <v>1604</v>
      </c>
      <c r="I347" s="315">
        <v>0</v>
      </c>
      <c r="J347" s="315">
        <v>0</v>
      </c>
      <c r="K347" s="314" t="s">
        <v>1605</v>
      </c>
      <c r="L347" s="283" t="s">
        <v>1606</v>
      </c>
      <c r="M347" s="10" t="s">
        <v>1612</v>
      </c>
      <c r="N347" s="149">
        <v>0</v>
      </c>
      <c r="O347" s="19">
        <v>1</v>
      </c>
      <c r="P347" s="19">
        <v>1</v>
      </c>
      <c r="Q347" s="19">
        <v>1</v>
      </c>
      <c r="R347" s="19">
        <v>1</v>
      </c>
      <c r="S347" s="19">
        <v>1</v>
      </c>
      <c r="T347" s="10" t="s">
        <v>1608</v>
      </c>
      <c r="U347" s="283" t="e">
        <v>#N/A</v>
      </c>
      <c r="V347" s="283" t="s">
        <v>1613</v>
      </c>
      <c r="W347" s="283">
        <v>1</v>
      </c>
      <c r="X347" s="283">
        <v>0</v>
      </c>
      <c r="Y347" s="283">
        <v>1</v>
      </c>
      <c r="Z347" s="283">
        <v>1</v>
      </c>
      <c r="AA347" s="283">
        <v>1</v>
      </c>
      <c r="AB347" s="283">
        <v>1</v>
      </c>
      <c r="AC347" s="316">
        <v>1</v>
      </c>
      <c r="AD347" s="316">
        <v>1</v>
      </c>
      <c r="AE347" s="302">
        <f t="shared" si="55"/>
        <v>0.875</v>
      </c>
      <c r="AF347" s="310">
        <v>1</v>
      </c>
      <c r="AG347" s="17">
        <v>0</v>
      </c>
      <c r="AH347" s="310">
        <v>0.7</v>
      </c>
      <c r="AI347" s="310">
        <v>0.7</v>
      </c>
      <c r="AJ347" s="310">
        <v>0.7</v>
      </c>
      <c r="AK347" s="317">
        <v>0.3</v>
      </c>
      <c r="AL347" s="317">
        <v>0.3</v>
      </c>
      <c r="AM347" s="17">
        <f t="shared" si="56"/>
        <v>0.6</v>
      </c>
      <c r="AN347" s="283" t="s">
        <v>1610</v>
      </c>
      <c r="AO347" s="18" t="s">
        <v>773</v>
      </c>
      <c r="AP347" s="283" t="s">
        <v>1614</v>
      </c>
    </row>
    <row r="348" spans="1:42" hidden="1" x14ac:dyDescent="0.3">
      <c r="A348" s="314" t="s">
        <v>1470</v>
      </c>
      <c r="B348" s="283" t="s">
        <v>1502</v>
      </c>
      <c r="C348" s="314" t="s">
        <v>1471</v>
      </c>
      <c r="D348" s="283" t="s">
        <v>1504</v>
      </c>
      <c r="E348" s="314" t="s">
        <v>1505</v>
      </c>
      <c r="F348" s="283" t="s">
        <v>1506</v>
      </c>
      <c r="G348" s="314" t="s">
        <v>1603</v>
      </c>
      <c r="H348" s="283" t="s">
        <v>1604</v>
      </c>
      <c r="I348" s="315">
        <v>0</v>
      </c>
      <c r="J348" s="315">
        <v>0</v>
      </c>
      <c r="K348" s="314" t="s">
        <v>1615</v>
      </c>
      <c r="L348" s="283" t="s">
        <v>1616</v>
      </c>
      <c r="M348" s="10" t="s">
        <v>1617</v>
      </c>
      <c r="N348" s="149">
        <v>0</v>
      </c>
      <c r="O348" s="19">
        <v>15</v>
      </c>
      <c r="P348" s="19">
        <v>15</v>
      </c>
      <c r="Q348" s="19">
        <v>15</v>
      </c>
      <c r="R348" s="19">
        <v>15</v>
      </c>
      <c r="S348" s="19">
        <v>15</v>
      </c>
      <c r="T348" s="10" t="s">
        <v>1608</v>
      </c>
      <c r="U348" s="283" t="e">
        <v>#N/A</v>
      </c>
      <c r="V348" s="283" t="s">
        <v>1618</v>
      </c>
      <c r="W348" s="283">
        <v>0</v>
      </c>
      <c r="X348" s="283">
        <v>0</v>
      </c>
      <c r="Y348" s="283">
        <v>0</v>
      </c>
      <c r="Z348" s="283">
        <v>0</v>
      </c>
      <c r="AA348" s="283">
        <v>0</v>
      </c>
      <c r="AB348" s="283">
        <v>0</v>
      </c>
      <c r="AC348" s="316">
        <v>0</v>
      </c>
      <c r="AD348" s="316">
        <v>0</v>
      </c>
      <c r="AE348" s="302">
        <f t="shared" si="55"/>
        <v>0</v>
      </c>
      <c r="AF348" s="310">
        <v>0</v>
      </c>
      <c r="AG348" s="17">
        <v>0</v>
      </c>
      <c r="AH348" s="310">
        <v>0.78</v>
      </c>
      <c r="AI348" s="310">
        <v>0.78</v>
      </c>
      <c r="AJ348" s="310">
        <v>0.78</v>
      </c>
      <c r="AK348" s="317">
        <v>0</v>
      </c>
      <c r="AL348" s="317">
        <v>0</v>
      </c>
      <c r="AM348" s="17">
        <f t="shared" si="56"/>
        <v>0</v>
      </c>
      <c r="AN348" s="283" t="s">
        <v>1610</v>
      </c>
      <c r="AO348" s="18" t="s">
        <v>773</v>
      </c>
      <c r="AP348" s="283" t="s">
        <v>1619</v>
      </c>
    </row>
    <row r="349" spans="1:42" x14ac:dyDescent="0.3">
      <c r="A349" s="314" t="s">
        <v>1470</v>
      </c>
      <c r="B349" s="283" t="s">
        <v>1502</v>
      </c>
      <c r="C349" s="314" t="s">
        <v>1471</v>
      </c>
      <c r="D349" s="283" t="s">
        <v>1504</v>
      </c>
      <c r="E349" s="314" t="s">
        <v>1505</v>
      </c>
      <c r="F349" s="283" t="s">
        <v>1506</v>
      </c>
      <c r="G349" s="314" t="s">
        <v>1603</v>
      </c>
      <c r="H349" s="283" t="s">
        <v>1604</v>
      </c>
      <c r="I349" s="315">
        <v>0</v>
      </c>
      <c r="J349" s="315">
        <v>0</v>
      </c>
      <c r="K349" s="314" t="s">
        <v>1620</v>
      </c>
      <c r="L349" s="283" t="s">
        <v>1621</v>
      </c>
      <c r="M349" s="10" t="s">
        <v>1622</v>
      </c>
      <c r="N349" s="149">
        <v>0</v>
      </c>
      <c r="O349" s="19"/>
      <c r="P349" s="19">
        <v>20</v>
      </c>
      <c r="Q349" s="19">
        <v>20</v>
      </c>
      <c r="R349" s="19">
        <v>13</v>
      </c>
      <c r="S349" s="19">
        <v>13</v>
      </c>
      <c r="T349" s="10" t="s">
        <v>1608</v>
      </c>
      <c r="U349" s="283" t="e">
        <v>#N/A</v>
      </c>
      <c r="V349" s="283" t="s">
        <v>1623</v>
      </c>
      <c r="W349" s="283">
        <v>1</v>
      </c>
      <c r="X349" s="283">
        <v>0</v>
      </c>
      <c r="Y349" s="283">
        <v>0</v>
      </c>
      <c r="Z349" s="283">
        <v>1</v>
      </c>
      <c r="AA349" s="283">
        <v>1</v>
      </c>
      <c r="AB349" s="283">
        <v>1</v>
      </c>
      <c r="AC349" s="316">
        <v>1</v>
      </c>
      <c r="AD349" s="316">
        <v>1</v>
      </c>
      <c r="AE349" s="302">
        <f t="shared" si="55"/>
        <v>0.75</v>
      </c>
      <c r="AF349" s="17"/>
      <c r="AG349" s="17">
        <v>0</v>
      </c>
      <c r="AH349" s="17">
        <v>0</v>
      </c>
      <c r="AI349" s="310">
        <v>6.83</v>
      </c>
      <c r="AJ349" s="310">
        <v>6.83</v>
      </c>
      <c r="AK349" s="317">
        <v>2</v>
      </c>
      <c r="AL349" s="317">
        <v>2</v>
      </c>
      <c r="AM349" s="17">
        <f t="shared" si="56"/>
        <v>4</v>
      </c>
      <c r="AN349" s="283" t="s">
        <v>1610</v>
      </c>
      <c r="AO349" s="18" t="s">
        <v>773</v>
      </c>
      <c r="AP349" s="283" t="s">
        <v>1624</v>
      </c>
    </row>
    <row r="350" spans="1:42" x14ac:dyDescent="0.3">
      <c r="A350" s="314" t="s">
        <v>1470</v>
      </c>
      <c r="B350" s="283" t="s">
        <v>1502</v>
      </c>
      <c r="C350" s="314" t="s">
        <v>1471</v>
      </c>
      <c r="D350" s="283" t="s">
        <v>1504</v>
      </c>
      <c r="E350" s="314" t="s">
        <v>1505</v>
      </c>
      <c r="F350" s="283" t="s">
        <v>1506</v>
      </c>
      <c r="G350" s="314" t="s">
        <v>1603</v>
      </c>
      <c r="H350" s="283" t="s">
        <v>1604</v>
      </c>
      <c r="I350" s="315">
        <v>0</v>
      </c>
      <c r="J350" s="315">
        <v>0</v>
      </c>
      <c r="K350" s="314" t="s">
        <v>1625</v>
      </c>
      <c r="L350" s="283" t="s">
        <v>1626</v>
      </c>
      <c r="M350" s="10" t="s">
        <v>1627</v>
      </c>
      <c r="N350" s="149">
        <v>0</v>
      </c>
      <c r="O350" s="19">
        <v>256</v>
      </c>
      <c r="P350" s="19">
        <v>256</v>
      </c>
      <c r="Q350" s="19">
        <v>256</v>
      </c>
      <c r="R350" s="19">
        <v>256</v>
      </c>
      <c r="S350" s="19">
        <v>256</v>
      </c>
      <c r="T350" s="10" t="s">
        <v>1608</v>
      </c>
      <c r="U350" s="283" t="e">
        <v>#N/A</v>
      </c>
      <c r="V350" s="283" t="s">
        <v>1628</v>
      </c>
      <c r="W350" s="283">
        <v>1</v>
      </c>
      <c r="X350" s="283">
        <v>1</v>
      </c>
      <c r="Y350" s="283">
        <v>1</v>
      </c>
      <c r="Z350" s="283">
        <v>1</v>
      </c>
      <c r="AA350" s="283">
        <v>1</v>
      </c>
      <c r="AB350" s="283">
        <v>1</v>
      </c>
      <c r="AC350" s="316">
        <v>1</v>
      </c>
      <c r="AD350" s="316">
        <v>1</v>
      </c>
      <c r="AE350" s="302">
        <f t="shared" si="55"/>
        <v>1</v>
      </c>
      <c r="AF350" s="310"/>
      <c r="AG350" s="17">
        <v>0</v>
      </c>
      <c r="AH350" s="310">
        <v>2.46</v>
      </c>
      <c r="AI350" s="310">
        <v>2.46</v>
      </c>
      <c r="AJ350" s="310">
        <v>2.46</v>
      </c>
      <c r="AK350" s="317">
        <v>1.8</v>
      </c>
      <c r="AL350" s="317">
        <v>1.8</v>
      </c>
      <c r="AM350" s="17">
        <f t="shared" si="56"/>
        <v>3.6</v>
      </c>
      <c r="AN350" s="283" t="s">
        <v>1610</v>
      </c>
      <c r="AO350" s="18" t="s">
        <v>773</v>
      </c>
      <c r="AP350" s="283" t="s">
        <v>1629</v>
      </c>
    </row>
    <row r="351" spans="1:42" hidden="1" x14ac:dyDescent="0.3">
      <c r="A351" s="314" t="s">
        <v>1470</v>
      </c>
      <c r="B351" s="283" t="s">
        <v>1502</v>
      </c>
      <c r="C351" s="314" t="s">
        <v>1471</v>
      </c>
      <c r="D351" s="283" t="s">
        <v>1504</v>
      </c>
      <c r="E351" s="314" t="s">
        <v>1505</v>
      </c>
      <c r="F351" s="283" t="s">
        <v>1506</v>
      </c>
      <c r="G351" s="314" t="s">
        <v>1603</v>
      </c>
      <c r="H351" s="283" t="s">
        <v>1604</v>
      </c>
      <c r="I351" s="315">
        <v>0</v>
      </c>
      <c r="J351" s="315">
        <v>0</v>
      </c>
      <c r="K351" s="314" t="s">
        <v>1630</v>
      </c>
      <c r="L351" s="283" t="s">
        <v>1631</v>
      </c>
      <c r="M351" s="10" t="s">
        <v>1632</v>
      </c>
      <c r="N351" s="149">
        <v>0</v>
      </c>
      <c r="O351" s="19">
        <v>2058</v>
      </c>
      <c r="P351" s="19">
        <v>2058</v>
      </c>
      <c r="Q351" s="19">
        <v>2058</v>
      </c>
      <c r="R351" s="19">
        <v>2058</v>
      </c>
      <c r="S351" s="19">
        <v>2058</v>
      </c>
      <c r="T351" s="10" t="s">
        <v>1608</v>
      </c>
      <c r="U351" s="283" t="e">
        <v>#N/A</v>
      </c>
      <c r="V351" s="283" t="s">
        <v>1633</v>
      </c>
      <c r="W351" s="283">
        <v>1</v>
      </c>
      <c r="X351" s="283">
        <v>0</v>
      </c>
      <c r="Y351" s="283">
        <v>0</v>
      </c>
      <c r="Z351" s="283">
        <v>1</v>
      </c>
      <c r="AA351" s="283">
        <v>1</v>
      </c>
      <c r="AB351" s="283">
        <v>0</v>
      </c>
      <c r="AC351" s="316">
        <v>1</v>
      </c>
      <c r="AD351" s="316">
        <v>0</v>
      </c>
      <c r="AE351" s="302">
        <f t="shared" si="55"/>
        <v>0.5</v>
      </c>
      <c r="AF351" s="310"/>
      <c r="AG351" s="17">
        <v>0</v>
      </c>
      <c r="AH351" s="310">
        <v>3.12</v>
      </c>
      <c r="AI351" s="310">
        <v>3.12</v>
      </c>
      <c r="AJ351" s="310">
        <v>3.12</v>
      </c>
      <c r="AK351" s="317"/>
      <c r="AL351" s="317"/>
      <c r="AM351" s="17">
        <f t="shared" si="56"/>
        <v>0</v>
      </c>
      <c r="AN351" s="283" t="s">
        <v>1610</v>
      </c>
      <c r="AO351" s="18" t="s">
        <v>773</v>
      </c>
      <c r="AP351" s="283" t="s">
        <v>1634</v>
      </c>
    </row>
    <row r="352" spans="1:42" hidden="1" x14ac:dyDescent="0.3">
      <c r="A352" s="314" t="s">
        <v>1470</v>
      </c>
      <c r="B352" s="283" t="s">
        <v>1502</v>
      </c>
      <c r="C352" s="314" t="s">
        <v>1471</v>
      </c>
      <c r="D352" s="283" t="s">
        <v>1504</v>
      </c>
      <c r="E352" s="314" t="s">
        <v>1505</v>
      </c>
      <c r="F352" s="283" t="s">
        <v>1506</v>
      </c>
      <c r="G352" s="314" t="s">
        <v>1603</v>
      </c>
      <c r="H352" s="283" t="s">
        <v>1604</v>
      </c>
      <c r="I352" s="315">
        <v>0</v>
      </c>
      <c r="J352" s="315">
        <v>0</v>
      </c>
      <c r="K352" s="314" t="s">
        <v>1635</v>
      </c>
      <c r="L352" s="283" t="s">
        <v>1636</v>
      </c>
      <c r="M352" s="10" t="s">
        <v>1637</v>
      </c>
      <c r="N352" s="149">
        <v>0</v>
      </c>
      <c r="O352" s="19">
        <v>1</v>
      </c>
      <c r="P352" s="19"/>
      <c r="Q352" s="152">
        <v>1</v>
      </c>
      <c r="R352" s="19"/>
      <c r="S352" s="19"/>
      <c r="T352" s="10" t="s">
        <v>1608</v>
      </c>
      <c r="U352" s="283" t="e">
        <v>#N/A</v>
      </c>
      <c r="V352" s="283" t="s">
        <v>1638</v>
      </c>
      <c r="W352" s="283">
        <v>0</v>
      </c>
      <c r="X352" s="283">
        <v>0</v>
      </c>
      <c r="Y352" s="283">
        <v>0</v>
      </c>
      <c r="Z352" s="283">
        <v>0</v>
      </c>
      <c r="AA352" s="283">
        <v>0</v>
      </c>
      <c r="AB352" s="283">
        <v>0</v>
      </c>
      <c r="AC352" s="316">
        <v>0</v>
      </c>
      <c r="AD352" s="316">
        <v>0</v>
      </c>
      <c r="AE352" s="302">
        <f t="shared" si="55"/>
        <v>0</v>
      </c>
      <c r="AF352" s="310"/>
      <c r="AG352" s="17">
        <v>0</v>
      </c>
      <c r="AH352" s="310">
        <v>12.7</v>
      </c>
      <c r="AI352" s="17">
        <v>0</v>
      </c>
      <c r="AJ352" s="310">
        <v>12.7</v>
      </c>
      <c r="AK352" s="153">
        <v>0</v>
      </c>
      <c r="AL352" s="154">
        <v>0</v>
      </c>
      <c r="AM352" s="17">
        <f t="shared" si="56"/>
        <v>0</v>
      </c>
      <c r="AN352" s="283" t="s">
        <v>1610</v>
      </c>
      <c r="AO352" s="18" t="s">
        <v>773</v>
      </c>
      <c r="AP352" s="283" t="s">
        <v>1634</v>
      </c>
    </row>
    <row r="353" spans="1:42" hidden="1" x14ac:dyDescent="0.3">
      <c r="A353" s="314" t="s">
        <v>1470</v>
      </c>
      <c r="B353" s="283" t="s">
        <v>1502</v>
      </c>
      <c r="C353" s="314" t="s">
        <v>1471</v>
      </c>
      <c r="D353" s="283" t="s">
        <v>1504</v>
      </c>
      <c r="E353" s="314" t="s">
        <v>1505</v>
      </c>
      <c r="F353" s="283" t="s">
        <v>1506</v>
      </c>
      <c r="G353" s="314" t="s">
        <v>1603</v>
      </c>
      <c r="H353" s="283" t="s">
        <v>1604</v>
      </c>
      <c r="I353" s="315">
        <v>0</v>
      </c>
      <c r="J353" s="315">
        <v>0</v>
      </c>
      <c r="K353" s="314" t="s">
        <v>1639</v>
      </c>
      <c r="L353" s="283" t="s">
        <v>1640</v>
      </c>
      <c r="M353" s="10" t="s">
        <v>1641</v>
      </c>
      <c r="N353" s="149">
        <v>0</v>
      </c>
      <c r="O353" s="19">
        <v>5</v>
      </c>
      <c r="P353" s="19">
        <v>8</v>
      </c>
      <c r="Q353" s="19">
        <v>8</v>
      </c>
      <c r="R353" s="19">
        <v>8</v>
      </c>
      <c r="S353" s="19">
        <v>8</v>
      </c>
      <c r="T353" s="10" t="s">
        <v>1581</v>
      </c>
      <c r="U353" s="283" t="s">
        <v>1583</v>
      </c>
      <c r="V353" s="283" t="s">
        <v>1642</v>
      </c>
      <c r="W353" s="283">
        <v>0</v>
      </c>
      <c r="X353" s="283">
        <v>0</v>
      </c>
      <c r="Y353" s="283">
        <v>0</v>
      </c>
      <c r="Z353" s="283">
        <v>0</v>
      </c>
      <c r="AA353" s="283">
        <v>0</v>
      </c>
      <c r="AB353" s="283">
        <v>0</v>
      </c>
      <c r="AC353" s="316">
        <v>0</v>
      </c>
      <c r="AD353" s="316">
        <v>0</v>
      </c>
      <c r="AE353" s="302">
        <f t="shared" si="55"/>
        <v>0</v>
      </c>
      <c r="AF353" s="310"/>
      <c r="AG353" s="17">
        <v>0</v>
      </c>
      <c r="AH353" s="310">
        <v>0.06</v>
      </c>
      <c r="AI353" s="310">
        <v>0.06</v>
      </c>
      <c r="AJ353" s="310">
        <v>0.06</v>
      </c>
      <c r="AK353" s="317"/>
      <c r="AL353" s="317"/>
      <c r="AM353" s="17">
        <f t="shared" si="56"/>
        <v>0</v>
      </c>
      <c r="AN353" s="283" t="s">
        <v>1581</v>
      </c>
      <c r="AO353" s="18" t="s">
        <v>1583</v>
      </c>
      <c r="AP353" s="283" t="s">
        <v>1643</v>
      </c>
    </row>
    <row r="354" spans="1:42" hidden="1" x14ac:dyDescent="0.3">
      <c r="A354" s="314" t="s">
        <v>1470</v>
      </c>
      <c r="B354" s="283" t="s">
        <v>1502</v>
      </c>
      <c r="C354" s="314" t="s">
        <v>1471</v>
      </c>
      <c r="D354" s="283" t="s">
        <v>1504</v>
      </c>
      <c r="E354" s="314" t="s">
        <v>1505</v>
      </c>
      <c r="F354" s="283" t="s">
        <v>1506</v>
      </c>
      <c r="G354" s="314" t="s">
        <v>1644</v>
      </c>
      <c r="H354" s="283" t="s">
        <v>1645</v>
      </c>
      <c r="I354" s="315">
        <v>0</v>
      </c>
      <c r="J354" s="315">
        <v>0</v>
      </c>
      <c r="K354" s="314" t="s">
        <v>1646</v>
      </c>
      <c r="L354" s="283" t="s">
        <v>1647</v>
      </c>
      <c r="M354" s="10" t="s">
        <v>1648</v>
      </c>
      <c r="N354" s="149">
        <v>0</v>
      </c>
      <c r="O354" s="19">
        <v>0</v>
      </c>
      <c r="P354" s="19">
        <v>0</v>
      </c>
      <c r="Q354" s="19">
        <v>1</v>
      </c>
      <c r="R354" s="19">
        <v>0</v>
      </c>
      <c r="S354" s="19">
        <v>0</v>
      </c>
      <c r="T354" s="10" t="s">
        <v>1233</v>
      </c>
      <c r="U354" s="283" t="s">
        <v>1650</v>
      </c>
      <c r="V354" s="283" t="s">
        <v>1649</v>
      </c>
      <c r="AC354" s="316">
        <v>0</v>
      </c>
      <c r="AD354" s="316">
        <v>0</v>
      </c>
      <c r="AE354" s="302">
        <f t="shared" si="55"/>
        <v>0</v>
      </c>
      <c r="AF354" s="310"/>
      <c r="AG354" s="17">
        <v>0</v>
      </c>
      <c r="AH354" s="310">
        <v>0.1</v>
      </c>
      <c r="AI354" s="310">
        <v>0.1</v>
      </c>
      <c r="AJ354" s="310">
        <v>0.1</v>
      </c>
      <c r="AK354" s="317"/>
      <c r="AL354" s="317"/>
      <c r="AM354" s="17">
        <f t="shared" si="56"/>
        <v>0</v>
      </c>
      <c r="AN354" s="283" t="s">
        <v>1233</v>
      </c>
      <c r="AO354" s="18" t="s">
        <v>1650</v>
      </c>
      <c r="AP354" s="283" t="s">
        <v>1651</v>
      </c>
    </row>
    <row r="355" spans="1:42" hidden="1" x14ac:dyDescent="0.3">
      <c r="A355" s="314" t="s">
        <v>1470</v>
      </c>
      <c r="B355" s="283" t="s">
        <v>1502</v>
      </c>
      <c r="C355" s="314" t="s">
        <v>1471</v>
      </c>
      <c r="D355" s="283" t="s">
        <v>1504</v>
      </c>
      <c r="E355" s="314" t="s">
        <v>1505</v>
      </c>
      <c r="F355" s="283" t="s">
        <v>1506</v>
      </c>
      <c r="G355" s="314" t="s">
        <v>1644</v>
      </c>
      <c r="H355" s="283" t="s">
        <v>1645</v>
      </c>
      <c r="I355" s="315"/>
      <c r="J355" s="315"/>
      <c r="K355" s="314" t="s">
        <v>1646</v>
      </c>
      <c r="L355" s="283" t="s">
        <v>1647</v>
      </c>
      <c r="M355" s="10" t="s">
        <v>1652</v>
      </c>
      <c r="N355" s="149">
        <v>0</v>
      </c>
      <c r="O355" s="19"/>
      <c r="P355" s="19"/>
      <c r="Q355" s="19"/>
      <c r="R355" s="19"/>
      <c r="S355" s="19"/>
      <c r="T355" s="10"/>
      <c r="U355" s="283" t="e">
        <v>#N/A</v>
      </c>
      <c r="AC355" s="316">
        <v>0</v>
      </c>
      <c r="AD355" s="316">
        <v>0</v>
      </c>
      <c r="AE355" s="302">
        <f t="shared" si="55"/>
        <v>0</v>
      </c>
      <c r="AF355" s="4"/>
      <c r="AG355" s="17">
        <v>0</v>
      </c>
      <c r="AM355" s="17">
        <f t="shared" si="56"/>
        <v>0</v>
      </c>
      <c r="AO355" s="18"/>
    </row>
    <row r="356" spans="1:42" hidden="1" x14ac:dyDescent="0.3">
      <c r="A356" s="314" t="s">
        <v>1470</v>
      </c>
      <c r="B356" s="283" t="s">
        <v>1502</v>
      </c>
      <c r="C356" s="314" t="s">
        <v>1471</v>
      </c>
      <c r="D356" s="283" t="s">
        <v>1504</v>
      </c>
      <c r="E356" s="314" t="s">
        <v>1505</v>
      </c>
      <c r="F356" s="283" t="s">
        <v>1506</v>
      </c>
      <c r="G356" s="314" t="s">
        <v>1653</v>
      </c>
      <c r="H356" s="283" t="s">
        <v>1654</v>
      </c>
      <c r="I356" s="315">
        <v>0</v>
      </c>
      <c r="J356" s="315">
        <v>0</v>
      </c>
      <c r="K356" s="314" t="s">
        <v>1655</v>
      </c>
      <c r="L356" s="283" t="s">
        <v>1656</v>
      </c>
      <c r="M356" s="283" t="s">
        <v>1657</v>
      </c>
      <c r="N356" s="149">
        <v>0</v>
      </c>
      <c r="O356" s="149">
        <v>1370</v>
      </c>
      <c r="P356" s="149">
        <v>1370</v>
      </c>
      <c r="Q356" s="149">
        <v>1370</v>
      </c>
      <c r="R356" s="149">
        <v>1370</v>
      </c>
      <c r="S356" s="19">
        <v>1370</v>
      </c>
      <c r="T356" s="18" t="s">
        <v>1658</v>
      </c>
      <c r="U356" s="283" t="e">
        <v>#N/A</v>
      </c>
      <c r="V356" s="283" t="s">
        <v>1659</v>
      </c>
      <c r="W356" s="283">
        <v>0</v>
      </c>
      <c r="X356" s="283">
        <v>0</v>
      </c>
      <c r="Y356" s="283">
        <v>0</v>
      </c>
      <c r="Z356" s="283">
        <v>0</v>
      </c>
      <c r="AA356" s="283">
        <v>0</v>
      </c>
      <c r="AB356" s="283">
        <v>0</v>
      </c>
      <c r="AC356" s="316">
        <v>0</v>
      </c>
      <c r="AD356" s="316">
        <v>0</v>
      </c>
      <c r="AE356" s="302">
        <f t="shared" si="55"/>
        <v>0</v>
      </c>
      <c r="AF356" s="310"/>
      <c r="AG356" s="17">
        <v>0</v>
      </c>
      <c r="AH356" s="310">
        <v>0</v>
      </c>
      <c r="AI356" s="310">
        <v>0</v>
      </c>
      <c r="AJ356" s="310">
        <v>0</v>
      </c>
      <c r="AK356" s="317">
        <v>0</v>
      </c>
      <c r="AL356" s="317">
        <v>0</v>
      </c>
      <c r="AM356" s="17">
        <f t="shared" si="56"/>
        <v>0</v>
      </c>
      <c r="AN356" s="18" t="s">
        <v>255</v>
      </c>
      <c r="AO356" s="18" t="s">
        <v>1045</v>
      </c>
      <c r="AP356" s="283" t="s">
        <v>1660</v>
      </c>
    </row>
    <row r="357" spans="1:42" hidden="1" x14ac:dyDescent="0.3">
      <c r="A357" s="314" t="s">
        <v>1470</v>
      </c>
      <c r="B357" s="283" t="s">
        <v>1502</v>
      </c>
      <c r="C357" s="314" t="s">
        <v>1471</v>
      </c>
      <c r="D357" s="283" t="s">
        <v>1504</v>
      </c>
      <c r="E357" s="314" t="s">
        <v>1505</v>
      </c>
      <c r="F357" s="283" t="s">
        <v>1506</v>
      </c>
      <c r="G357" s="314" t="s">
        <v>1653</v>
      </c>
      <c r="H357" s="283" t="s">
        <v>1654</v>
      </c>
      <c r="I357" s="315">
        <v>0</v>
      </c>
      <c r="J357" s="315">
        <v>0</v>
      </c>
      <c r="K357" s="314" t="s">
        <v>1661</v>
      </c>
      <c r="L357" s="283" t="s">
        <v>1662</v>
      </c>
      <c r="M357" s="283" t="s">
        <v>1663</v>
      </c>
      <c r="N357" s="149">
        <v>0</v>
      </c>
      <c r="O357" s="149">
        <v>13700</v>
      </c>
      <c r="P357" s="149">
        <v>13700</v>
      </c>
      <c r="Q357" s="149">
        <v>13700</v>
      </c>
      <c r="R357" s="149">
        <v>13700</v>
      </c>
      <c r="S357" s="19">
        <v>13700</v>
      </c>
      <c r="T357" s="18" t="s">
        <v>771</v>
      </c>
      <c r="U357" s="283" t="s">
        <v>773</v>
      </c>
      <c r="V357" s="283" t="s">
        <v>1664</v>
      </c>
      <c r="W357" s="283">
        <v>0</v>
      </c>
      <c r="X357" s="283">
        <v>0</v>
      </c>
      <c r="Y357" s="283">
        <v>0</v>
      </c>
      <c r="Z357" s="283">
        <v>0</v>
      </c>
      <c r="AA357" s="283">
        <v>0</v>
      </c>
      <c r="AB357" s="283">
        <v>0</v>
      </c>
      <c r="AC357" s="316">
        <v>0</v>
      </c>
      <c r="AD357" s="316">
        <v>0</v>
      </c>
      <c r="AE357" s="302">
        <f t="shared" si="55"/>
        <v>0</v>
      </c>
      <c r="AF357" s="310"/>
      <c r="AG357" s="17">
        <v>0</v>
      </c>
      <c r="AH357" s="310">
        <v>106.20144290583059</v>
      </c>
      <c r="AI357" s="310">
        <v>17.692715479265161</v>
      </c>
      <c r="AJ357" s="310">
        <v>45.71307921218159</v>
      </c>
      <c r="AK357" s="317"/>
      <c r="AL357" s="317"/>
      <c r="AM357" s="17">
        <f t="shared" si="56"/>
        <v>0</v>
      </c>
      <c r="AN357" s="18" t="s">
        <v>771</v>
      </c>
      <c r="AO357" s="18" t="s">
        <v>773</v>
      </c>
      <c r="AP357" s="283" t="s">
        <v>1665</v>
      </c>
    </row>
    <row r="358" spans="1:42" x14ac:dyDescent="0.3">
      <c r="A358" s="314" t="s">
        <v>1470</v>
      </c>
      <c r="B358" s="283" t="s">
        <v>1502</v>
      </c>
      <c r="C358" s="314" t="s">
        <v>1471</v>
      </c>
      <c r="D358" s="283" t="s">
        <v>1504</v>
      </c>
      <c r="E358" s="314" t="s">
        <v>1505</v>
      </c>
      <c r="F358" s="283" t="s">
        <v>1506</v>
      </c>
      <c r="G358" s="314" t="s">
        <v>1653</v>
      </c>
      <c r="H358" s="283" t="s">
        <v>1654</v>
      </c>
      <c r="I358" s="315">
        <v>0</v>
      </c>
      <c r="J358" s="315">
        <v>0</v>
      </c>
      <c r="K358" s="314" t="s">
        <v>1666</v>
      </c>
      <c r="L358" s="283" t="s">
        <v>1667</v>
      </c>
      <c r="M358" s="283" t="s">
        <v>1668</v>
      </c>
      <c r="N358" s="149">
        <v>0</v>
      </c>
      <c r="O358" s="149">
        <v>13</v>
      </c>
      <c r="P358" s="149">
        <v>13</v>
      </c>
      <c r="Q358" s="149">
        <v>13</v>
      </c>
      <c r="R358" s="149">
        <v>13</v>
      </c>
      <c r="S358" s="19">
        <v>13</v>
      </c>
      <c r="T358" s="18" t="s">
        <v>771</v>
      </c>
      <c r="U358" s="283" t="s">
        <v>773</v>
      </c>
      <c r="V358" s="283" t="s">
        <v>1669</v>
      </c>
      <c r="W358" s="283">
        <v>1</v>
      </c>
      <c r="X358" s="283">
        <v>0</v>
      </c>
      <c r="Y358" s="283">
        <v>0</v>
      </c>
      <c r="Z358" s="283">
        <v>1</v>
      </c>
      <c r="AA358" s="283">
        <v>1</v>
      </c>
      <c r="AB358" s="283">
        <v>1</v>
      </c>
      <c r="AC358" s="316">
        <v>1</v>
      </c>
      <c r="AD358" s="316">
        <v>1</v>
      </c>
      <c r="AE358" s="302">
        <f t="shared" si="55"/>
        <v>0.75</v>
      </c>
      <c r="AF358" s="310">
        <v>0</v>
      </c>
      <c r="AG358" s="17">
        <v>0</v>
      </c>
      <c r="AH358" s="310">
        <v>0.37</v>
      </c>
      <c r="AI358" s="310">
        <v>0.37</v>
      </c>
      <c r="AJ358" s="310">
        <v>0.37</v>
      </c>
      <c r="AK358" s="317">
        <v>0.37</v>
      </c>
      <c r="AL358" s="317">
        <v>0.37</v>
      </c>
      <c r="AM358" s="17">
        <f t="shared" si="56"/>
        <v>0.74</v>
      </c>
      <c r="AN358" s="18" t="s">
        <v>771</v>
      </c>
      <c r="AO358" s="18" t="s">
        <v>773</v>
      </c>
      <c r="AP358" s="283" t="s">
        <v>1670</v>
      </c>
    </row>
    <row r="359" spans="1:42" x14ac:dyDescent="0.3">
      <c r="A359" s="314" t="s">
        <v>1470</v>
      </c>
      <c r="B359" s="283" t="s">
        <v>1502</v>
      </c>
      <c r="C359" s="314" t="s">
        <v>1471</v>
      </c>
      <c r="D359" s="283" t="s">
        <v>1504</v>
      </c>
      <c r="E359" s="314" t="s">
        <v>1505</v>
      </c>
      <c r="F359" s="283" t="s">
        <v>1506</v>
      </c>
      <c r="G359" s="314" t="s">
        <v>1653</v>
      </c>
      <c r="H359" s="283" t="s">
        <v>1654</v>
      </c>
      <c r="I359" s="315">
        <v>0</v>
      </c>
      <c r="J359" s="315">
        <v>0</v>
      </c>
      <c r="K359" s="314" t="s">
        <v>1666</v>
      </c>
      <c r="L359" s="283" t="s">
        <v>1667</v>
      </c>
      <c r="M359" s="283" t="s">
        <v>1671</v>
      </c>
      <c r="N359" s="149">
        <v>0</v>
      </c>
      <c r="O359" s="149">
        <v>1200</v>
      </c>
      <c r="P359" s="149">
        <v>1200</v>
      </c>
      <c r="Q359" s="149">
        <v>1200</v>
      </c>
      <c r="R359" s="149">
        <v>800</v>
      </c>
      <c r="S359" s="19">
        <v>800</v>
      </c>
      <c r="T359" s="283" t="s">
        <v>1167</v>
      </c>
      <c r="U359" s="283" t="s">
        <v>1170</v>
      </c>
      <c r="V359" s="283" t="s">
        <v>1672</v>
      </c>
      <c r="W359" s="283">
        <v>1</v>
      </c>
      <c r="X359" s="283">
        <v>0</v>
      </c>
      <c r="Y359" s="283">
        <v>0</v>
      </c>
      <c r="Z359" s="283">
        <v>1</v>
      </c>
      <c r="AA359" s="283">
        <v>1</v>
      </c>
      <c r="AB359" s="283">
        <v>1</v>
      </c>
      <c r="AC359" s="316">
        <v>1</v>
      </c>
      <c r="AD359" s="316">
        <v>1</v>
      </c>
      <c r="AE359" s="302">
        <f t="shared" si="55"/>
        <v>0.75</v>
      </c>
      <c r="AF359" s="310">
        <v>0</v>
      </c>
      <c r="AG359" s="17">
        <v>0</v>
      </c>
      <c r="AH359" s="310">
        <v>2</v>
      </c>
      <c r="AI359" s="310">
        <v>1</v>
      </c>
      <c r="AJ359" s="310">
        <v>1</v>
      </c>
      <c r="AK359" s="317">
        <v>1</v>
      </c>
      <c r="AL359" s="317">
        <v>1</v>
      </c>
      <c r="AM359" s="17">
        <f t="shared" si="56"/>
        <v>2</v>
      </c>
      <c r="AN359" s="283" t="s">
        <v>1167</v>
      </c>
      <c r="AO359" s="18" t="s">
        <v>1170</v>
      </c>
      <c r="AP359" s="283" t="s">
        <v>1673</v>
      </c>
    </row>
    <row r="360" spans="1:42" x14ac:dyDescent="0.3">
      <c r="A360" s="314" t="s">
        <v>1470</v>
      </c>
      <c r="B360" s="283" t="s">
        <v>1502</v>
      </c>
      <c r="C360" s="314" t="s">
        <v>1472</v>
      </c>
      <c r="D360" s="283" t="s">
        <v>1674</v>
      </c>
      <c r="E360" s="314" t="s">
        <v>1473</v>
      </c>
      <c r="F360" s="283" t="s">
        <v>1675</v>
      </c>
      <c r="G360" s="314" t="s">
        <v>1676</v>
      </c>
      <c r="H360" s="283" t="s">
        <v>1677</v>
      </c>
      <c r="I360" s="315">
        <v>0</v>
      </c>
      <c r="J360" s="315">
        <v>0</v>
      </c>
      <c r="K360" s="314" t="s">
        <v>1678</v>
      </c>
      <c r="L360" s="283" t="s">
        <v>1679</v>
      </c>
      <c r="M360" s="283" t="s">
        <v>1680</v>
      </c>
      <c r="N360" s="149">
        <v>0</v>
      </c>
      <c r="O360" s="149" t="s">
        <v>271</v>
      </c>
      <c r="P360" s="19">
        <v>1017</v>
      </c>
      <c r="Q360" s="152">
        <v>1017</v>
      </c>
      <c r="R360" s="19">
        <v>500</v>
      </c>
      <c r="S360" s="19">
        <v>500</v>
      </c>
      <c r="T360" s="18" t="s">
        <v>771</v>
      </c>
      <c r="U360" s="283" t="s">
        <v>773</v>
      </c>
      <c r="V360" s="283" t="s">
        <v>1681</v>
      </c>
      <c r="W360" s="283">
        <v>1</v>
      </c>
      <c r="X360" s="283">
        <v>0</v>
      </c>
      <c r="Y360" s="283">
        <v>0</v>
      </c>
      <c r="Z360" s="283">
        <v>1</v>
      </c>
      <c r="AA360" s="283">
        <v>1</v>
      </c>
      <c r="AB360" s="283">
        <v>1</v>
      </c>
      <c r="AC360" s="316">
        <v>1</v>
      </c>
      <c r="AD360" s="316">
        <v>1</v>
      </c>
      <c r="AE360" s="302">
        <f t="shared" si="55"/>
        <v>0.75</v>
      </c>
      <c r="AF360" s="310">
        <v>0</v>
      </c>
      <c r="AG360" s="17">
        <v>0</v>
      </c>
      <c r="AH360" s="310">
        <v>27.32</v>
      </c>
      <c r="AI360" s="310">
        <v>27.32</v>
      </c>
      <c r="AJ360" s="17">
        <v>0</v>
      </c>
      <c r="AK360" s="153">
        <v>2</v>
      </c>
      <c r="AL360" s="154">
        <v>2</v>
      </c>
      <c r="AM360" s="17">
        <f t="shared" si="56"/>
        <v>4</v>
      </c>
      <c r="AN360" s="18" t="s">
        <v>771</v>
      </c>
      <c r="AO360" s="18" t="s">
        <v>773</v>
      </c>
      <c r="AP360" s="283" t="s">
        <v>280</v>
      </c>
    </row>
    <row r="361" spans="1:42" hidden="1" x14ac:dyDescent="0.3">
      <c r="A361" s="314" t="s">
        <v>1470</v>
      </c>
      <c r="B361" s="283" t="s">
        <v>1502</v>
      </c>
      <c r="C361" s="314" t="s">
        <v>1472</v>
      </c>
      <c r="D361" s="283" t="s">
        <v>1674</v>
      </c>
      <c r="E361" s="314" t="s">
        <v>1473</v>
      </c>
      <c r="F361" s="283" t="s">
        <v>1675</v>
      </c>
      <c r="G361" s="314" t="s">
        <v>1676</v>
      </c>
      <c r="H361" s="283" t="s">
        <v>1677</v>
      </c>
      <c r="I361" s="315">
        <v>0</v>
      </c>
      <c r="J361" s="315">
        <v>0</v>
      </c>
      <c r="K361" s="314" t="s">
        <v>1682</v>
      </c>
      <c r="L361" s="283" t="s">
        <v>1683</v>
      </c>
      <c r="M361" s="283" t="s">
        <v>1684</v>
      </c>
      <c r="N361" s="149">
        <v>0</v>
      </c>
      <c r="O361" s="149">
        <v>3</v>
      </c>
      <c r="P361" s="149">
        <v>3</v>
      </c>
      <c r="Q361" s="149">
        <v>3</v>
      </c>
      <c r="R361" s="149">
        <v>2</v>
      </c>
      <c r="S361" s="19">
        <v>1</v>
      </c>
      <c r="T361" s="18" t="s">
        <v>1685</v>
      </c>
      <c r="U361" s="283" t="e">
        <v>#N/A</v>
      </c>
      <c r="V361" s="283" t="s">
        <v>1686</v>
      </c>
      <c r="W361" s="283">
        <v>1</v>
      </c>
      <c r="X361" s="283">
        <v>0</v>
      </c>
      <c r="Y361" s="283">
        <v>0</v>
      </c>
      <c r="Z361" s="283">
        <v>1</v>
      </c>
      <c r="AA361" s="283">
        <v>1</v>
      </c>
      <c r="AB361" s="283">
        <v>1</v>
      </c>
      <c r="AC361" s="316">
        <v>1</v>
      </c>
      <c r="AD361" s="316">
        <v>0</v>
      </c>
      <c r="AE361" s="302">
        <f t="shared" si="55"/>
        <v>0.625</v>
      </c>
      <c r="AF361" s="310"/>
      <c r="AG361" s="17">
        <v>0</v>
      </c>
      <c r="AH361" s="310">
        <v>4.96</v>
      </c>
      <c r="AI361" s="310">
        <v>4.96</v>
      </c>
      <c r="AJ361" s="310">
        <v>4.96</v>
      </c>
      <c r="AK361" s="317">
        <v>1</v>
      </c>
      <c r="AL361" s="317">
        <v>1</v>
      </c>
      <c r="AM361" s="17">
        <f t="shared" si="56"/>
        <v>2</v>
      </c>
      <c r="AN361" s="18" t="s">
        <v>771</v>
      </c>
      <c r="AO361" s="18" t="s">
        <v>773</v>
      </c>
      <c r="AP361" s="283" t="s">
        <v>1687</v>
      </c>
    </row>
    <row r="362" spans="1:42" hidden="1" x14ac:dyDescent="0.3">
      <c r="A362" s="314" t="s">
        <v>1470</v>
      </c>
      <c r="B362" s="283" t="s">
        <v>1502</v>
      </c>
      <c r="C362" s="314" t="s">
        <v>1472</v>
      </c>
      <c r="D362" s="283" t="s">
        <v>1674</v>
      </c>
      <c r="E362" s="314" t="s">
        <v>1473</v>
      </c>
      <c r="F362" s="283" t="s">
        <v>1675</v>
      </c>
      <c r="G362" s="314" t="s">
        <v>1676</v>
      </c>
      <c r="H362" s="283" t="s">
        <v>1677</v>
      </c>
      <c r="I362" s="315">
        <v>0</v>
      </c>
      <c r="J362" s="315">
        <v>0</v>
      </c>
      <c r="K362" s="314" t="s">
        <v>1688</v>
      </c>
      <c r="L362" s="283" t="s">
        <v>1689</v>
      </c>
      <c r="M362" s="283" t="s">
        <v>1690</v>
      </c>
      <c r="N362" s="149">
        <v>0</v>
      </c>
      <c r="O362" s="149">
        <v>5</v>
      </c>
      <c r="P362" s="149">
        <v>5</v>
      </c>
      <c r="Q362" s="149">
        <v>5</v>
      </c>
      <c r="R362" s="149">
        <v>5</v>
      </c>
      <c r="S362" s="19">
        <v>5</v>
      </c>
      <c r="T362" s="18" t="s">
        <v>771</v>
      </c>
      <c r="U362" s="283" t="s">
        <v>773</v>
      </c>
      <c r="V362" s="283" t="s">
        <v>1691</v>
      </c>
      <c r="W362" s="283">
        <v>1</v>
      </c>
      <c r="X362" s="283">
        <v>0</v>
      </c>
      <c r="Y362" s="283">
        <v>0</v>
      </c>
      <c r="Z362" s="283">
        <v>1</v>
      </c>
      <c r="AA362" s="283">
        <v>1</v>
      </c>
      <c r="AB362" s="283">
        <v>1</v>
      </c>
      <c r="AC362" s="316">
        <v>1</v>
      </c>
      <c r="AD362" s="316">
        <v>0</v>
      </c>
      <c r="AE362" s="302">
        <f t="shared" si="55"/>
        <v>0.625</v>
      </c>
      <c r="AF362" s="310"/>
      <c r="AG362" s="17">
        <v>0</v>
      </c>
      <c r="AH362" s="310">
        <v>0</v>
      </c>
      <c r="AI362" s="310">
        <v>0</v>
      </c>
      <c r="AJ362" s="310">
        <v>5</v>
      </c>
      <c r="AK362" s="317">
        <v>3</v>
      </c>
      <c r="AL362" s="317">
        <v>3</v>
      </c>
      <c r="AM362" s="17">
        <f t="shared" si="56"/>
        <v>6</v>
      </c>
      <c r="AN362" s="18" t="s">
        <v>771</v>
      </c>
      <c r="AO362" s="18" t="s">
        <v>773</v>
      </c>
      <c r="AP362" s="283" t="s">
        <v>1687</v>
      </c>
    </row>
    <row r="363" spans="1:42" x14ac:dyDescent="0.3">
      <c r="A363" s="314" t="s">
        <v>1470</v>
      </c>
      <c r="B363" s="283" t="s">
        <v>1502</v>
      </c>
      <c r="C363" s="314" t="s">
        <v>1472</v>
      </c>
      <c r="D363" s="283" t="s">
        <v>1674</v>
      </c>
      <c r="E363" s="314" t="s">
        <v>1473</v>
      </c>
      <c r="F363" s="283" t="s">
        <v>1675</v>
      </c>
      <c r="G363" s="314" t="s">
        <v>1676</v>
      </c>
      <c r="H363" s="283" t="s">
        <v>1677</v>
      </c>
      <c r="I363" s="315">
        <v>0</v>
      </c>
      <c r="J363" s="315">
        <v>0</v>
      </c>
      <c r="K363" s="314" t="s">
        <v>1692</v>
      </c>
      <c r="L363" s="283" t="s">
        <v>1693</v>
      </c>
      <c r="M363" s="283" t="s">
        <v>1694</v>
      </c>
      <c r="N363" s="149">
        <v>0</v>
      </c>
      <c r="O363" s="149">
        <v>70</v>
      </c>
      <c r="P363" s="149">
        <v>81</v>
      </c>
      <c r="Q363" s="149">
        <v>63</v>
      </c>
      <c r="R363" s="149">
        <v>10</v>
      </c>
      <c r="S363" s="19">
        <v>10</v>
      </c>
      <c r="T363" s="10" t="s">
        <v>1345</v>
      </c>
      <c r="U363" s="283" t="s">
        <v>1334</v>
      </c>
      <c r="V363" s="283" t="s">
        <v>1695</v>
      </c>
      <c r="W363" s="283">
        <v>1</v>
      </c>
      <c r="X363" s="283">
        <v>0</v>
      </c>
      <c r="Y363" s="283">
        <v>0</v>
      </c>
      <c r="Z363" s="283">
        <v>1</v>
      </c>
      <c r="AA363" s="283">
        <v>1</v>
      </c>
      <c r="AB363" s="283">
        <v>1</v>
      </c>
      <c r="AC363" s="316">
        <v>1</v>
      </c>
      <c r="AD363" s="316">
        <v>1</v>
      </c>
      <c r="AE363" s="302">
        <f t="shared" si="55"/>
        <v>0.75</v>
      </c>
      <c r="AF363" s="310">
        <v>0</v>
      </c>
      <c r="AG363" s="17">
        <v>0</v>
      </c>
      <c r="AH363" s="310">
        <v>11</v>
      </c>
      <c r="AI363" s="310">
        <v>13</v>
      </c>
      <c r="AJ363" s="310">
        <v>9</v>
      </c>
      <c r="AK363" s="317">
        <v>5</v>
      </c>
      <c r="AL363" s="317">
        <v>5</v>
      </c>
      <c r="AM363" s="17">
        <f t="shared" si="56"/>
        <v>10</v>
      </c>
      <c r="AN363" s="10" t="s">
        <v>1345</v>
      </c>
      <c r="AO363" s="18" t="s">
        <v>1334</v>
      </c>
      <c r="AP363" s="283" t="s">
        <v>255</v>
      </c>
    </row>
    <row r="364" spans="1:42" x14ac:dyDescent="0.3">
      <c r="A364" s="314" t="s">
        <v>1470</v>
      </c>
      <c r="B364" s="283" t="s">
        <v>1502</v>
      </c>
      <c r="C364" s="314" t="s">
        <v>1472</v>
      </c>
      <c r="D364" s="283" t="s">
        <v>1674</v>
      </c>
      <c r="E364" s="314" t="s">
        <v>1473</v>
      </c>
      <c r="F364" s="283" t="s">
        <v>1675</v>
      </c>
      <c r="G364" s="314" t="s">
        <v>1676</v>
      </c>
      <c r="H364" s="283" t="s">
        <v>1677</v>
      </c>
      <c r="I364" s="315">
        <v>0</v>
      </c>
      <c r="J364" s="315">
        <v>0</v>
      </c>
      <c r="K364" s="314" t="s">
        <v>1696</v>
      </c>
      <c r="L364" s="283" t="s">
        <v>1697</v>
      </c>
      <c r="M364" s="283" t="s">
        <v>1698</v>
      </c>
      <c r="N364" s="149">
        <v>0</v>
      </c>
      <c r="O364" s="149">
        <v>1</v>
      </c>
      <c r="P364" s="149">
        <v>1</v>
      </c>
      <c r="Q364" s="149">
        <v>1</v>
      </c>
      <c r="R364" s="149">
        <v>1</v>
      </c>
      <c r="S364" s="19">
        <v>1</v>
      </c>
      <c r="T364" s="10" t="s">
        <v>1699</v>
      </c>
      <c r="U364" s="283" t="e">
        <v>#N/A</v>
      </c>
      <c r="V364" s="283" t="s">
        <v>1700</v>
      </c>
      <c r="W364" s="283">
        <v>1</v>
      </c>
      <c r="X364" s="283">
        <v>0</v>
      </c>
      <c r="Y364" s="283">
        <v>0</v>
      </c>
      <c r="Z364" s="283">
        <v>1</v>
      </c>
      <c r="AA364" s="283">
        <v>1</v>
      </c>
      <c r="AB364" s="283">
        <v>1</v>
      </c>
      <c r="AC364" s="316">
        <v>1</v>
      </c>
      <c r="AD364" s="316">
        <v>1</v>
      </c>
      <c r="AE364" s="302">
        <f t="shared" si="55"/>
        <v>0.75</v>
      </c>
      <c r="AF364" s="310"/>
      <c r="AG364" s="17">
        <v>0</v>
      </c>
      <c r="AH364" s="310">
        <v>0.2</v>
      </c>
      <c r="AI364" s="310">
        <v>0.2</v>
      </c>
      <c r="AJ364" s="310">
        <v>0.2</v>
      </c>
      <c r="AK364" s="317">
        <v>0.2</v>
      </c>
      <c r="AL364" s="317">
        <v>0.2</v>
      </c>
      <c r="AM364" s="17">
        <f t="shared" si="56"/>
        <v>0.4</v>
      </c>
      <c r="AN364" s="10" t="s">
        <v>239</v>
      </c>
      <c r="AO364" s="18" t="s">
        <v>241</v>
      </c>
      <c r="AP364" s="283" t="s">
        <v>1687</v>
      </c>
    </row>
    <row r="365" spans="1:42" x14ac:dyDescent="0.3">
      <c r="A365" s="314" t="s">
        <v>1470</v>
      </c>
      <c r="B365" s="283" t="s">
        <v>1502</v>
      </c>
      <c r="C365" s="314" t="s">
        <v>1472</v>
      </c>
      <c r="D365" s="283" t="s">
        <v>1674</v>
      </c>
      <c r="E365" s="314" t="s">
        <v>1473</v>
      </c>
      <c r="F365" s="283" t="s">
        <v>1675</v>
      </c>
      <c r="G365" s="314" t="s">
        <v>1676</v>
      </c>
      <c r="H365" s="283" t="s">
        <v>1677</v>
      </c>
      <c r="I365" s="315">
        <v>0</v>
      </c>
      <c r="J365" s="315">
        <v>0</v>
      </c>
      <c r="K365" s="314" t="s">
        <v>1701</v>
      </c>
      <c r="L365" s="283" t="s">
        <v>1702</v>
      </c>
      <c r="M365" s="283" t="s">
        <v>1703</v>
      </c>
      <c r="N365" s="149">
        <v>0</v>
      </c>
      <c r="O365" s="149">
        <v>4110</v>
      </c>
      <c r="P365" s="149">
        <v>4110</v>
      </c>
      <c r="Q365" s="149">
        <v>4110</v>
      </c>
      <c r="R365" s="149">
        <v>4110</v>
      </c>
      <c r="S365" s="19">
        <v>4110</v>
      </c>
      <c r="T365" s="18" t="s">
        <v>1704</v>
      </c>
      <c r="U365" s="283" t="e">
        <v>#N/A</v>
      </c>
      <c r="V365" s="283" t="s">
        <v>1705</v>
      </c>
      <c r="W365" s="283">
        <v>1</v>
      </c>
      <c r="X365" s="283">
        <v>1</v>
      </c>
      <c r="Y365" s="283">
        <v>1</v>
      </c>
      <c r="Z365" s="283">
        <v>1</v>
      </c>
      <c r="AA365" s="283">
        <v>1</v>
      </c>
      <c r="AB365" s="283">
        <v>1</v>
      </c>
      <c r="AC365" s="316">
        <v>1</v>
      </c>
      <c r="AD365" s="316">
        <v>0</v>
      </c>
      <c r="AE365" s="302">
        <f t="shared" si="55"/>
        <v>0.875</v>
      </c>
      <c r="AF365" s="310"/>
      <c r="AG365" s="17">
        <v>0</v>
      </c>
      <c r="AH365" s="310">
        <v>52.1</v>
      </c>
      <c r="AI365" s="310">
        <v>52.1</v>
      </c>
      <c r="AJ365" s="310">
        <v>51.55</v>
      </c>
      <c r="AK365" s="317">
        <f>20-0.95</f>
        <v>19.05</v>
      </c>
      <c r="AL365" s="317">
        <f>12.86+0.18</f>
        <v>13.04</v>
      </c>
      <c r="AM365" s="17">
        <f t="shared" si="56"/>
        <v>32.090000000000003</v>
      </c>
      <c r="AN365" s="18" t="s">
        <v>771</v>
      </c>
      <c r="AO365" s="18" t="s">
        <v>773</v>
      </c>
      <c r="AP365" s="283" t="s">
        <v>1706</v>
      </c>
    </row>
    <row r="366" spans="1:42" x14ac:dyDescent="0.3">
      <c r="A366" s="314" t="s">
        <v>1470</v>
      </c>
      <c r="B366" s="283" t="s">
        <v>1502</v>
      </c>
      <c r="C366" s="314" t="s">
        <v>1472</v>
      </c>
      <c r="D366" s="283" t="s">
        <v>1674</v>
      </c>
      <c r="E366" s="314" t="s">
        <v>1473</v>
      </c>
      <c r="F366" s="283" t="s">
        <v>1675</v>
      </c>
      <c r="G366" s="314" t="s">
        <v>1676</v>
      </c>
      <c r="H366" s="283" t="s">
        <v>1677</v>
      </c>
      <c r="I366" s="315">
        <v>0</v>
      </c>
      <c r="J366" s="315">
        <v>0</v>
      </c>
      <c r="K366" s="314" t="s">
        <v>1707</v>
      </c>
      <c r="L366" s="283" t="s">
        <v>1708</v>
      </c>
      <c r="M366" s="283" t="s">
        <v>271</v>
      </c>
      <c r="N366" s="149">
        <v>0</v>
      </c>
      <c r="O366" s="149"/>
      <c r="P366" s="149"/>
      <c r="Q366" s="149"/>
      <c r="R366" s="149"/>
      <c r="S366" s="19"/>
      <c r="T366" s="18"/>
      <c r="U366" s="283" t="e">
        <v>#N/A</v>
      </c>
      <c r="V366" s="283" t="s">
        <v>1709</v>
      </c>
      <c r="W366" s="283">
        <v>1</v>
      </c>
      <c r="X366" s="283">
        <v>1</v>
      </c>
      <c r="Y366" s="283">
        <v>1</v>
      </c>
      <c r="Z366" s="283">
        <v>1</v>
      </c>
      <c r="AA366" s="283">
        <v>1</v>
      </c>
      <c r="AB366" s="283">
        <v>1</v>
      </c>
      <c r="AC366" s="316">
        <v>1</v>
      </c>
      <c r="AD366" s="316">
        <v>0</v>
      </c>
      <c r="AE366" s="302">
        <f t="shared" si="55"/>
        <v>0.875</v>
      </c>
      <c r="AF366" s="17"/>
      <c r="AG366" s="17">
        <v>0</v>
      </c>
      <c r="AH366" s="17">
        <v>0</v>
      </c>
      <c r="AI366" s="310">
        <v>15</v>
      </c>
      <c r="AJ366" s="310">
        <v>15</v>
      </c>
      <c r="AK366" s="317">
        <v>3</v>
      </c>
      <c r="AL366" s="317">
        <v>3</v>
      </c>
      <c r="AM366" s="17">
        <f t="shared" si="56"/>
        <v>6</v>
      </c>
      <c r="AN366" s="18" t="s">
        <v>771</v>
      </c>
      <c r="AO366" s="18" t="s">
        <v>773</v>
      </c>
      <c r="AP366" s="283" t="s">
        <v>982</v>
      </c>
    </row>
    <row r="367" spans="1:42" hidden="1" x14ac:dyDescent="0.3">
      <c r="A367" s="314" t="s">
        <v>1470</v>
      </c>
      <c r="B367" s="283" t="s">
        <v>1502</v>
      </c>
      <c r="C367" s="314" t="s">
        <v>1472</v>
      </c>
      <c r="D367" s="283" t="s">
        <v>1674</v>
      </c>
      <c r="E367" s="314" t="s">
        <v>1473</v>
      </c>
      <c r="F367" s="283" t="s">
        <v>1675</v>
      </c>
      <c r="G367" s="314" t="s">
        <v>1676</v>
      </c>
      <c r="H367" s="283" t="s">
        <v>1677</v>
      </c>
      <c r="I367" s="315">
        <v>0</v>
      </c>
      <c r="J367" s="315">
        <v>0</v>
      </c>
      <c r="K367" s="314" t="s">
        <v>1710</v>
      </c>
      <c r="L367" s="283" t="s">
        <v>1711</v>
      </c>
      <c r="M367" s="283" t="s">
        <v>1712</v>
      </c>
      <c r="N367" s="149">
        <v>0</v>
      </c>
      <c r="O367" s="149">
        <v>137</v>
      </c>
      <c r="P367" s="149">
        <v>137</v>
      </c>
      <c r="Q367" s="149">
        <v>137</v>
      </c>
      <c r="R367" s="149">
        <v>20</v>
      </c>
      <c r="S367" s="19">
        <v>20</v>
      </c>
      <c r="T367" s="283" t="s">
        <v>1704</v>
      </c>
      <c r="U367" s="283" t="e">
        <v>#N/A</v>
      </c>
      <c r="V367" s="283" t="s">
        <v>1713</v>
      </c>
      <c r="W367" s="283">
        <v>1</v>
      </c>
      <c r="X367" s="283">
        <v>0</v>
      </c>
      <c r="Y367" s="283">
        <v>0</v>
      </c>
      <c r="Z367" s="283">
        <v>1</v>
      </c>
      <c r="AA367" s="283">
        <v>1</v>
      </c>
      <c r="AB367" s="283">
        <v>1</v>
      </c>
      <c r="AC367" s="316">
        <v>1</v>
      </c>
      <c r="AD367" s="316">
        <v>0</v>
      </c>
      <c r="AE367" s="302">
        <f t="shared" si="55"/>
        <v>0.625</v>
      </c>
      <c r="AF367" s="310"/>
      <c r="AG367" s="17">
        <v>0</v>
      </c>
      <c r="AH367" s="310">
        <v>1.51</v>
      </c>
      <c r="AI367" s="310">
        <v>1.51</v>
      </c>
      <c r="AJ367" s="310">
        <v>1</v>
      </c>
      <c r="AK367" s="317">
        <v>1</v>
      </c>
      <c r="AL367" s="317">
        <v>1</v>
      </c>
      <c r="AM367" s="17">
        <f t="shared" si="56"/>
        <v>2</v>
      </c>
      <c r="AN367" s="283" t="s">
        <v>1714</v>
      </c>
      <c r="AO367" s="18" t="s">
        <v>773</v>
      </c>
      <c r="AP367" s="283" t="s">
        <v>1715</v>
      </c>
    </row>
    <row r="368" spans="1:42" hidden="1" x14ac:dyDescent="0.3">
      <c r="A368" s="314" t="s">
        <v>1470</v>
      </c>
      <c r="B368" s="283" t="s">
        <v>1502</v>
      </c>
      <c r="C368" s="314" t="s">
        <v>1472</v>
      </c>
      <c r="D368" s="283" t="s">
        <v>1674</v>
      </c>
      <c r="E368" s="314" t="s">
        <v>1473</v>
      </c>
      <c r="F368" s="283" t="s">
        <v>1675</v>
      </c>
      <c r="G368" s="314" t="s">
        <v>1676</v>
      </c>
      <c r="H368" s="283" t="s">
        <v>1677</v>
      </c>
      <c r="I368" s="315">
        <v>0</v>
      </c>
      <c r="J368" s="315">
        <v>0</v>
      </c>
      <c r="K368" s="314" t="s">
        <v>1716</v>
      </c>
      <c r="L368" s="283" t="s">
        <v>1717</v>
      </c>
      <c r="M368" s="283" t="s">
        <v>1718</v>
      </c>
      <c r="N368" s="149">
        <v>0</v>
      </c>
      <c r="O368" s="149">
        <v>1</v>
      </c>
      <c r="P368" s="19">
        <v>1</v>
      </c>
      <c r="Q368" s="152">
        <v>1</v>
      </c>
      <c r="R368" s="19"/>
      <c r="S368" s="19"/>
      <c r="T368" s="283" t="s">
        <v>1704</v>
      </c>
      <c r="U368" s="283" t="e">
        <v>#N/A</v>
      </c>
      <c r="V368" s="283" t="s">
        <v>1719</v>
      </c>
      <c r="W368" s="283">
        <v>0</v>
      </c>
      <c r="X368" s="283">
        <v>0</v>
      </c>
      <c r="Y368" s="283">
        <v>0</v>
      </c>
      <c r="Z368" s="283">
        <v>0</v>
      </c>
      <c r="AA368" s="283">
        <v>0</v>
      </c>
      <c r="AB368" s="283">
        <v>0</v>
      </c>
      <c r="AC368" s="316">
        <v>1</v>
      </c>
      <c r="AD368" s="316">
        <v>0</v>
      </c>
      <c r="AE368" s="302">
        <f t="shared" si="55"/>
        <v>0.125</v>
      </c>
      <c r="AF368" s="310"/>
      <c r="AG368" s="17">
        <v>0</v>
      </c>
      <c r="AH368" s="310">
        <v>0.6</v>
      </c>
      <c r="AI368" s="310">
        <v>0.4</v>
      </c>
      <c r="AJ368" s="17">
        <v>0</v>
      </c>
      <c r="AK368" s="153">
        <v>0</v>
      </c>
      <c r="AL368" s="154">
        <v>0</v>
      </c>
      <c r="AM368" s="17">
        <f t="shared" si="56"/>
        <v>0</v>
      </c>
      <c r="AN368" s="283" t="s">
        <v>1714</v>
      </c>
      <c r="AO368" s="18" t="s">
        <v>773</v>
      </c>
      <c r="AP368" s="283" t="s">
        <v>1715</v>
      </c>
    </row>
    <row r="369" spans="1:42" hidden="1" x14ac:dyDescent="0.3">
      <c r="A369" s="314" t="s">
        <v>1470</v>
      </c>
      <c r="B369" s="283" t="s">
        <v>1502</v>
      </c>
      <c r="C369" s="314" t="s">
        <v>1472</v>
      </c>
      <c r="D369" s="283" t="s">
        <v>1674</v>
      </c>
      <c r="E369" s="314" t="s">
        <v>1473</v>
      </c>
      <c r="F369" s="283" t="s">
        <v>1675</v>
      </c>
      <c r="G369" s="314" t="s">
        <v>1676</v>
      </c>
      <c r="H369" s="283" t="s">
        <v>1677</v>
      </c>
      <c r="I369" s="315">
        <v>0</v>
      </c>
      <c r="J369" s="315">
        <v>0</v>
      </c>
      <c r="K369" s="314" t="s">
        <v>1720</v>
      </c>
      <c r="L369" s="283" t="s">
        <v>1721</v>
      </c>
      <c r="M369" s="283" t="s">
        <v>1722</v>
      </c>
      <c r="N369" s="149">
        <v>0</v>
      </c>
      <c r="O369" s="19">
        <v>1</v>
      </c>
      <c r="P369" s="19">
        <v>1</v>
      </c>
      <c r="Q369" s="152"/>
      <c r="R369" s="19">
        <v>1</v>
      </c>
      <c r="S369" s="19">
        <v>1</v>
      </c>
      <c r="T369" s="283" t="s">
        <v>1704</v>
      </c>
      <c r="U369" s="283" t="e">
        <v>#N/A</v>
      </c>
      <c r="V369" s="283" t="s">
        <v>1723</v>
      </c>
      <c r="W369" s="283">
        <v>1</v>
      </c>
      <c r="X369" s="283">
        <v>0</v>
      </c>
      <c r="Y369" s="283">
        <v>0</v>
      </c>
      <c r="Z369" s="283">
        <v>1</v>
      </c>
      <c r="AA369" s="283">
        <v>1</v>
      </c>
      <c r="AB369" s="283">
        <v>0</v>
      </c>
      <c r="AC369" s="316">
        <v>1</v>
      </c>
      <c r="AD369" s="316">
        <v>0</v>
      </c>
      <c r="AE369" s="302">
        <f t="shared" si="55"/>
        <v>0.5</v>
      </c>
      <c r="AF369" s="310"/>
      <c r="AG369" s="17">
        <v>0</v>
      </c>
      <c r="AH369" s="310">
        <v>0.1</v>
      </c>
      <c r="AI369" s="17">
        <v>0</v>
      </c>
      <c r="AJ369" s="17">
        <v>0</v>
      </c>
      <c r="AK369" s="153">
        <v>0</v>
      </c>
      <c r="AL369" s="154">
        <v>0</v>
      </c>
      <c r="AM369" s="17">
        <f t="shared" si="56"/>
        <v>0</v>
      </c>
      <c r="AN369" s="283" t="s">
        <v>1714</v>
      </c>
      <c r="AO369" s="18" t="s">
        <v>773</v>
      </c>
      <c r="AP369" s="283" t="s">
        <v>1715</v>
      </c>
    </row>
    <row r="370" spans="1:42" hidden="1" x14ac:dyDescent="0.3">
      <c r="A370" s="314" t="s">
        <v>1470</v>
      </c>
      <c r="B370" s="283" t="s">
        <v>1502</v>
      </c>
      <c r="C370" s="314" t="s">
        <v>1472</v>
      </c>
      <c r="D370" s="283" t="s">
        <v>1674</v>
      </c>
      <c r="E370" s="314" t="s">
        <v>1473</v>
      </c>
      <c r="F370" s="283" t="s">
        <v>1675</v>
      </c>
      <c r="G370" s="314" t="s">
        <v>1676</v>
      </c>
      <c r="H370" s="283" t="s">
        <v>1677</v>
      </c>
      <c r="I370" s="315">
        <v>0</v>
      </c>
      <c r="J370" s="315">
        <v>0</v>
      </c>
      <c r="K370" s="314" t="s">
        <v>1724</v>
      </c>
      <c r="L370" s="283" t="s">
        <v>1725</v>
      </c>
      <c r="M370" s="283" t="s">
        <v>1726</v>
      </c>
      <c r="N370" s="149">
        <v>0</v>
      </c>
      <c r="O370" s="149">
        <v>60</v>
      </c>
      <c r="P370" s="149">
        <v>60</v>
      </c>
      <c r="Q370" s="149">
        <v>60</v>
      </c>
      <c r="R370" s="149">
        <v>3</v>
      </c>
      <c r="S370" s="19">
        <v>3</v>
      </c>
      <c r="T370" s="283" t="s">
        <v>1727</v>
      </c>
      <c r="U370" s="283" t="e">
        <v>#N/A</v>
      </c>
      <c r="V370" s="283" t="s">
        <v>1728</v>
      </c>
      <c r="W370" s="283">
        <v>0</v>
      </c>
      <c r="X370" s="283">
        <v>0</v>
      </c>
      <c r="Y370" s="283">
        <v>0</v>
      </c>
      <c r="Z370" s="283">
        <v>0</v>
      </c>
      <c r="AA370" s="283">
        <v>0</v>
      </c>
      <c r="AB370" s="283">
        <v>0</v>
      </c>
      <c r="AC370" s="316">
        <v>1</v>
      </c>
      <c r="AD370" s="316">
        <v>0</v>
      </c>
      <c r="AE370" s="302">
        <f t="shared" si="55"/>
        <v>0.125</v>
      </c>
      <c r="AF370" s="310"/>
      <c r="AG370" s="17">
        <v>0</v>
      </c>
      <c r="AH370" s="310">
        <v>1</v>
      </c>
      <c r="AI370" s="310">
        <v>1</v>
      </c>
      <c r="AJ370" s="310">
        <v>1</v>
      </c>
      <c r="AK370" s="317"/>
      <c r="AL370" s="317"/>
      <c r="AM370" s="17">
        <f t="shared" si="56"/>
        <v>0</v>
      </c>
      <c r="AN370" s="283" t="s">
        <v>1714</v>
      </c>
      <c r="AO370" s="18" t="s">
        <v>773</v>
      </c>
      <c r="AP370" s="283" t="s">
        <v>1715</v>
      </c>
    </row>
    <row r="371" spans="1:42" hidden="1" x14ac:dyDescent="0.3">
      <c r="A371" s="314" t="s">
        <v>1470</v>
      </c>
      <c r="B371" s="283" t="s">
        <v>1502</v>
      </c>
      <c r="C371" s="314" t="s">
        <v>1472</v>
      </c>
      <c r="D371" s="283" t="s">
        <v>1674</v>
      </c>
      <c r="E371" s="314" t="s">
        <v>1473</v>
      </c>
      <c r="F371" s="283" t="s">
        <v>1675</v>
      </c>
      <c r="G371" s="314" t="s">
        <v>1676</v>
      </c>
      <c r="H371" s="283" t="s">
        <v>1677</v>
      </c>
      <c r="I371" s="315">
        <v>0</v>
      </c>
      <c r="J371" s="315">
        <v>0</v>
      </c>
      <c r="K371" s="314" t="s">
        <v>1729</v>
      </c>
      <c r="L371" s="283" t="s">
        <v>1730</v>
      </c>
      <c r="M371" s="283" t="s">
        <v>1731</v>
      </c>
      <c r="N371" s="149">
        <v>0</v>
      </c>
      <c r="O371" s="149">
        <v>147</v>
      </c>
      <c r="P371" s="149">
        <v>147</v>
      </c>
      <c r="Q371" s="149">
        <v>147</v>
      </c>
      <c r="R371" s="149">
        <v>147</v>
      </c>
      <c r="S371" s="19">
        <v>147</v>
      </c>
      <c r="T371" s="283" t="s">
        <v>1727</v>
      </c>
      <c r="U371" s="283" t="e">
        <v>#N/A</v>
      </c>
      <c r="V371" s="283" t="s">
        <v>1732</v>
      </c>
      <c r="W371" s="283">
        <v>0</v>
      </c>
      <c r="X371" s="283">
        <v>0</v>
      </c>
      <c r="Y371" s="283">
        <v>0</v>
      </c>
      <c r="Z371" s="283">
        <v>0</v>
      </c>
      <c r="AA371" s="283">
        <v>0</v>
      </c>
      <c r="AB371" s="283">
        <v>0</v>
      </c>
      <c r="AC371" s="316">
        <v>0</v>
      </c>
      <c r="AD371" s="316">
        <v>0</v>
      </c>
      <c r="AE371" s="302">
        <f t="shared" si="55"/>
        <v>0</v>
      </c>
      <c r="AF371" s="310"/>
      <c r="AG371" s="17">
        <v>0</v>
      </c>
      <c r="AH371" s="310">
        <v>73.5</v>
      </c>
      <c r="AI371" s="310">
        <v>36.75</v>
      </c>
      <c r="AJ371" s="310">
        <v>73.5</v>
      </c>
      <c r="AK371" s="317"/>
      <c r="AL371" s="317"/>
      <c r="AM371" s="17">
        <f t="shared" si="56"/>
        <v>0</v>
      </c>
      <c r="AN371" s="283" t="s">
        <v>1610</v>
      </c>
      <c r="AO371" s="18" t="s">
        <v>773</v>
      </c>
      <c r="AP371" s="283" t="s">
        <v>1733</v>
      </c>
    </row>
    <row r="372" spans="1:42" hidden="1" x14ac:dyDescent="0.3">
      <c r="A372" s="314" t="s">
        <v>1470</v>
      </c>
      <c r="B372" s="283" t="s">
        <v>1502</v>
      </c>
      <c r="C372" s="314" t="s">
        <v>1472</v>
      </c>
      <c r="D372" s="283" t="s">
        <v>1674</v>
      </c>
      <c r="E372" s="314" t="s">
        <v>1473</v>
      </c>
      <c r="F372" s="283" t="s">
        <v>1675</v>
      </c>
      <c r="G372" s="314" t="s">
        <v>1676</v>
      </c>
      <c r="H372" s="283" t="s">
        <v>1677</v>
      </c>
      <c r="I372" s="315">
        <v>0</v>
      </c>
      <c r="J372" s="315">
        <v>0</v>
      </c>
      <c r="K372" s="314" t="s">
        <v>1734</v>
      </c>
      <c r="L372" s="283" t="s">
        <v>1735</v>
      </c>
      <c r="M372" s="283" t="s">
        <v>1736</v>
      </c>
      <c r="N372" s="149">
        <v>0</v>
      </c>
      <c r="O372" s="149">
        <v>3</v>
      </c>
      <c r="P372" s="149">
        <v>3</v>
      </c>
      <c r="Q372" s="149">
        <v>3</v>
      </c>
      <c r="R372" s="149">
        <v>3</v>
      </c>
      <c r="S372" s="19">
        <v>3</v>
      </c>
      <c r="T372" s="283" t="s">
        <v>1727</v>
      </c>
      <c r="U372" s="283" t="e">
        <v>#N/A</v>
      </c>
      <c r="V372" s="283" t="s">
        <v>1737</v>
      </c>
      <c r="W372" s="283">
        <v>0</v>
      </c>
      <c r="X372" s="283">
        <v>0</v>
      </c>
      <c r="Y372" s="283">
        <v>0</v>
      </c>
      <c r="Z372" s="283">
        <v>0</v>
      </c>
      <c r="AA372" s="283">
        <v>0</v>
      </c>
      <c r="AB372" s="283">
        <v>0</v>
      </c>
      <c r="AC372" s="316">
        <v>0</v>
      </c>
      <c r="AD372" s="316">
        <v>0</v>
      </c>
      <c r="AE372" s="302">
        <f t="shared" si="55"/>
        <v>0</v>
      </c>
      <c r="AF372" s="310"/>
      <c r="AG372" s="17">
        <v>0</v>
      </c>
      <c r="AH372" s="310">
        <v>0</v>
      </c>
      <c r="AI372" s="310">
        <v>0</v>
      </c>
      <c r="AJ372" s="310">
        <v>0</v>
      </c>
      <c r="AK372" s="317">
        <v>0</v>
      </c>
      <c r="AL372" s="317">
        <v>0</v>
      </c>
      <c r="AM372" s="17">
        <f t="shared" si="56"/>
        <v>0</v>
      </c>
      <c r="AN372" s="283" t="s">
        <v>1610</v>
      </c>
      <c r="AO372" s="18" t="s">
        <v>773</v>
      </c>
      <c r="AP372" s="283" t="s">
        <v>1738</v>
      </c>
    </row>
    <row r="373" spans="1:42" hidden="1" x14ac:dyDescent="0.3">
      <c r="A373" s="314" t="s">
        <v>1470</v>
      </c>
      <c r="B373" s="283" t="s">
        <v>1502</v>
      </c>
      <c r="C373" s="314" t="s">
        <v>1472</v>
      </c>
      <c r="D373" s="283" t="s">
        <v>1674</v>
      </c>
      <c r="E373" s="314" t="s">
        <v>1473</v>
      </c>
      <c r="F373" s="283" t="s">
        <v>1675</v>
      </c>
      <c r="G373" s="314" t="s">
        <v>1676</v>
      </c>
      <c r="H373" s="283" t="s">
        <v>1677</v>
      </c>
      <c r="I373" s="315">
        <v>0</v>
      </c>
      <c r="J373" s="315">
        <v>0</v>
      </c>
      <c r="K373" s="314" t="s">
        <v>1734</v>
      </c>
      <c r="L373" s="283" t="s">
        <v>1735</v>
      </c>
      <c r="M373" s="283" t="s">
        <v>1739</v>
      </c>
      <c r="N373" s="149">
        <v>0</v>
      </c>
      <c r="O373" s="149">
        <v>294</v>
      </c>
      <c r="P373" s="149">
        <v>294</v>
      </c>
      <c r="Q373" s="149">
        <v>294</v>
      </c>
      <c r="R373" s="149">
        <v>294</v>
      </c>
      <c r="S373" s="19">
        <v>294</v>
      </c>
      <c r="T373" s="283" t="s">
        <v>1727</v>
      </c>
      <c r="U373" s="283" t="e">
        <v>#N/A</v>
      </c>
      <c r="AC373" s="316">
        <v>0</v>
      </c>
      <c r="AD373" s="316">
        <v>0</v>
      </c>
      <c r="AE373" s="302">
        <f t="shared" si="55"/>
        <v>0</v>
      </c>
      <c r="AF373" s="4"/>
      <c r="AG373" s="17">
        <v>0</v>
      </c>
      <c r="AM373" s="17">
        <f t="shared" si="56"/>
        <v>0</v>
      </c>
      <c r="AO373" s="18"/>
    </row>
    <row r="374" spans="1:42" hidden="1" x14ac:dyDescent="0.3">
      <c r="A374" s="314" t="s">
        <v>1470</v>
      </c>
      <c r="B374" s="283" t="s">
        <v>1502</v>
      </c>
      <c r="C374" s="314" t="s">
        <v>1472</v>
      </c>
      <c r="D374" s="283" t="s">
        <v>1674</v>
      </c>
      <c r="E374" s="314" t="s">
        <v>1473</v>
      </c>
      <c r="F374" s="283" t="s">
        <v>1675</v>
      </c>
      <c r="G374" s="314" t="s">
        <v>1676</v>
      </c>
      <c r="H374" s="283" t="s">
        <v>1677</v>
      </c>
      <c r="I374" s="315">
        <v>0</v>
      </c>
      <c r="J374" s="315">
        <v>0</v>
      </c>
      <c r="K374" s="314" t="s">
        <v>1740</v>
      </c>
      <c r="L374" s="283" t="s">
        <v>1741</v>
      </c>
      <c r="M374" s="283" t="s">
        <v>1742</v>
      </c>
      <c r="N374" s="149">
        <v>0</v>
      </c>
      <c r="O374" s="149">
        <v>1</v>
      </c>
      <c r="P374" s="149">
        <v>1</v>
      </c>
      <c r="Q374" s="149">
        <v>1</v>
      </c>
      <c r="R374" s="149">
        <v>1</v>
      </c>
      <c r="S374" s="149">
        <v>1</v>
      </c>
      <c r="T374" s="283" t="s">
        <v>1727</v>
      </c>
      <c r="U374" s="283" t="e">
        <v>#N/A</v>
      </c>
      <c r="V374" s="283" t="s">
        <v>1743</v>
      </c>
      <c r="W374" s="283">
        <v>1</v>
      </c>
      <c r="X374" s="283">
        <v>0</v>
      </c>
      <c r="Y374" s="283">
        <v>0</v>
      </c>
      <c r="Z374" s="283">
        <v>1</v>
      </c>
      <c r="AA374" s="283">
        <v>1</v>
      </c>
      <c r="AB374" s="283">
        <v>0</v>
      </c>
      <c r="AC374" s="316">
        <v>1</v>
      </c>
      <c r="AD374" s="316">
        <v>1</v>
      </c>
      <c r="AE374" s="302">
        <f t="shared" si="55"/>
        <v>0.625</v>
      </c>
      <c r="AF374" s="310"/>
      <c r="AG374" s="17">
        <v>0</v>
      </c>
      <c r="AH374" s="310">
        <v>1</v>
      </c>
      <c r="AI374" s="310">
        <v>1</v>
      </c>
      <c r="AJ374" s="310">
        <v>1</v>
      </c>
      <c r="AK374" s="317">
        <v>1</v>
      </c>
      <c r="AL374" s="317">
        <v>1</v>
      </c>
      <c r="AM374" s="17">
        <f t="shared" si="56"/>
        <v>2</v>
      </c>
      <c r="AN374" s="283" t="s">
        <v>1610</v>
      </c>
      <c r="AO374" s="18" t="s">
        <v>773</v>
      </c>
      <c r="AP374" s="283" t="s">
        <v>1744</v>
      </c>
    </row>
    <row r="375" spans="1:42" hidden="1" x14ac:dyDescent="0.3">
      <c r="A375" s="314" t="s">
        <v>1470</v>
      </c>
      <c r="B375" s="283" t="s">
        <v>1502</v>
      </c>
      <c r="C375" s="314" t="s">
        <v>1472</v>
      </c>
      <c r="D375" s="283" t="s">
        <v>1674</v>
      </c>
      <c r="E375" s="314" t="s">
        <v>1473</v>
      </c>
      <c r="F375" s="283" t="s">
        <v>1675</v>
      </c>
      <c r="G375" s="314" t="s">
        <v>1676</v>
      </c>
      <c r="H375" s="283" t="s">
        <v>1677</v>
      </c>
      <c r="I375" s="315">
        <v>0</v>
      </c>
      <c r="J375" s="315">
        <v>0</v>
      </c>
      <c r="K375" s="314" t="s">
        <v>1745</v>
      </c>
      <c r="L375" s="283" t="s">
        <v>1746</v>
      </c>
      <c r="M375" s="283" t="s">
        <v>1747</v>
      </c>
      <c r="N375" s="149">
        <v>0</v>
      </c>
      <c r="O375" s="149">
        <v>0</v>
      </c>
      <c r="P375" s="149">
        <v>0</v>
      </c>
      <c r="Q375" s="149">
        <v>0</v>
      </c>
      <c r="R375" s="149">
        <v>1</v>
      </c>
      <c r="S375" s="19">
        <v>1</v>
      </c>
      <c r="T375" s="283" t="s">
        <v>1608</v>
      </c>
      <c r="U375" s="283" t="e">
        <v>#N/A</v>
      </c>
      <c r="V375" s="283" t="s">
        <v>1748</v>
      </c>
      <c r="W375" s="283">
        <v>0</v>
      </c>
      <c r="X375" s="283">
        <v>0</v>
      </c>
      <c r="Y375" s="283">
        <v>0</v>
      </c>
      <c r="Z375" s="283">
        <v>0</v>
      </c>
      <c r="AA375" s="283">
        <v>0</v>
      </c>
      <c r="AB375" s="283">
        <v>0</v>
      </c>
      <c r="AC375" s="316">
        <v>0</v>
      </c>
      <c r="AD375" s="316">
        <v>0</v>
      </c>
      <c r="AE375" s="302">
        <f t="shared" si="55"/>
        <v>0</v>
      </c>
      <c r="AF375" s="17"/>
      <c r="AG375" s="17">
        <v>0</v>
      </c>
      <c r="AH375" s="17">
        <v>0</v>
      </c>
      <c r="AI375" s="310">
        <v>0</v>
      </c>
      <c r="AJ375" s="310">
        <v>0</v>
      </c>
      <c r="AK375" s="317"/>
      <c r="AL375" s="317"/>
      <c r="AM375" s="17">
        <f t="shared" si="56"/>
        <v>0</v>
      </c>
      <c r="AN375" s="283" t="s">
        <v>1610</v>
      </c>
      <c r="AO375" s="18" t="s">
        <v>773</v>
      </c>
      <c r="AP375" s="283" t="s">
        <v>1749</v>
      </c>
    </row>
    <row r="376" spans="1:42" hidden="1" x14ac:dyDescent="0.3">
      <c r="A376" s="314" t="s">
        <v>1470</v>
      </c>
      <c r="B376" s="283" t="s">
        <v>1502</v>
      </c>
      <c r="C376" s="314" t="s">
        <v>1472</v>
      </c>
      <c r="D376" s="283" t="s">
        <v>1674</v>
      </c>
      <c r="E376" s="314" t="s">
        <v>1473</v>
      </c>
      <c r="F376" s="283" t="s">
        <v>1675</v>
      </c>
      <c r="G376" s="314" t="s">
        <v>1750</v>
      </c>
      <c r="H376" s="283" t="s">
        <v>1751</v>
      </c>
      <c r="I376" s="315">
        <v>0</v>
      </c>
      <c r="J376" s="315">
        <v>0</v>
      </c>
      <c r="K376" s="314" t="s">
        <v>1752</v>
      </c>
      <c r="L376" s="283" t="s">
        <v>1753</v>
      </c>
      <c r="M376" s="283" t="s">
        <v>1754</v>
      </c>
      <c r="N376" s="149">
        <v>0</v>
      </c>
      <c r="O376" s="149"/>
      <c r="P376" s="149">
        <v>1</v>
      </c>
      <c r="Q376" s="149">
        <v>1</v>
      </c>
      <c r="R376" s="149"/>
      <c r="S376" s="149"/>
      <c r="T376" s="283" t="s">
        <v>1608</v>
      </c>
      <c r="U376" s="283" t="e">
        <v>#N/A</v>
      </c>
      <c r="V376" s="283" t="s">
        <v>1755</v>
      </c>
      <c r="W376" s="283">
        <v>0</v>
      </c>
      <c r="X376" s="283">
        <v>0</v>
      </c>
      <c r="Y376" s="283">
        <v>0</v>
      </c>
      <c r="Z376" s="283">
        <v>0</v>
      </c>
      <c r="AA376" s="283">
        <v>0</v>
      </c>
      <c r="AB376" s="283">
        <v>0</v>
      </c>
      <c r="AC376" s="316">
        <v>1</v>
      </c>
      <c r="AD376" s="316">
        <v>0</v>
      </c>
      <c r="AE376" s="302">
        <f t="shared" si="55"/>
        <v>0.125</v>
      </c>
      <c r="AF376" s="310"/>
      <c r="AG376" s="17">
        <v>0</v>
      </c>
      <c r="AH376" s="310">
        <v>0</v>
      </c>
      <c r="AI376" s="310">
        <v>0.13</v>
      </c>
      <c r="AJ376" s="310">
        <v>0</v>
      </c>
      <c r="AK376" s="317">
        <v>0</v>
      </c>
      <c r="AL376" s="317">
        <v>0</v>
      </c>
      <c r="AM376" s="17">
        <f t="shared" si="56"/>
        <v>0</v>
      </c>
      <c r="AN376" s="283" t="s">
        <v>771</v>
      </c>
      <c r="AO376" s="18" t="s">
        <v>773</v>
      </c>
      <c r="AP376" s="283" t="s">
        <v>1756</v>
      </c>
    </row>
    <row r="377" spans="1:42" x14ac:dyDescent="0.3">
      <c r="A377" s="314" t="s">
        <v>1470</v>
      </c>
      <c r="B377" s="283" t="s">
        <v>1502</v>
      </c>
      <c r="C377" s="314" t="s">
        <v>1472</v>
      </c>
      <c r="D377" s="283" t="s">
        <v>1674</v>
      </c>
      <c r="E377" s="314" t="s">
        <v>1473</v>
      </c>
      <c r="F377" s="283" t="s">
        <v>1675</v>
      </c>
      <c r="G377" s="314" t="s">
        <v>1757</v>
      </c>
      <c r="H377" s="283" t="s">
        <v>1758</v>
      </c>
      <c r="I377" s="315">
        <v>0</v>
      </c>
      <c r="J377" s="315">
        <v>0</v>
      </c>
      <c r="K377" s="314" t="s">
        <v>1759</v>
      </c>
      <c r="L377" s="283" t="s">
        <v>1760</v>
      </c>
      <c r="M377" s="283" t="s">
        <v>1761</v>
      </c>
      <c r="N377" s="149">
        <v>0</v>
      </c>
      <c r="O377" s="149">
        <v>200</v>
      </c>
      <c r="P377" s="149">
        <v>200</v>
      </c>
      <c r="Q377" s="149">
        <v>200</v>
      </c>
      <c r="R377" s="149">
        <v>200</v>
      </c>
      <c r="S377" s="19">
        <v>200</v>
      </c>
      <c r="T377" s="18" t="s">
        <v>1762</v>
      </c>
      <c r="U377" s="283" t="e">
        <v>#N/A</v>
      </c>
      <c r="V377" s="283" t="s">
        <v>1763</v>
      </c>
      <c r="W377" s="283">
        <v>1</v>
      </c>
      <c r="X377" s="283">
        <v>0</v>
      </c>
      <c r="Y377" s="283">
        <v>0</v>
      </c>
      <c r="Z377" s="283">
        <v>1</v>
      </c>
      <c r="AA377" s="283">
        <v>1</v>
      </c>
      <c r="AB377" s="283">
        <v>1</v>
      </c>
      <c r="AC377" s="316">
        <v>1</v>
      </c>
      <c r="AD377" s="316">
        <v>1</v>
      </c>
      <c r="AE377" s="302">
        <f t="shared" si="55"/>
        <v>0.75</v>
      </c>
      <c r="AF377" s="310"/>
      <c r="AG377" s="17">
        <v>0</v>
      </c>
      <c r="AH377" s="310">
        <v>60</v>
      </c>
      <c r="AI377" s="310">
        <v>50</v>
      </c>
      <c r="AJ377" s="310">
        <v>50</v>
      </c>
      <c r="AK377" s="317">
        <f>10-0.5</f>
        <v>9.5</v>
      </c>
      <c r="AL377" s="317">
        <v>0.5</v>
      </c>
      <c r="AM377" s="17">
        <f t="shared" si="56"/>
        <v>10</v>
      </c>
      <c r="AN377" s="18" t="s">
        <v>771</v>
      </c>
      <c r="AO377" s="18" t="s">
        <v>773</v>
      </c>
      <c r="AP377" s="283" t="s">
        <v>1764</v>
      </c>
    </row>
    <row r="378" spans="1:42" hidden="1" x14ac:dyDescent="0.3">
      <c r="A378" s="314" t="s">
        <v>1470</v>
      </c>
      <c r="B378" s="283" t="s">
        <v>1502</v>
      </c>
      <c r="C378" s="314" t="s">
        <v>1472</v>
      </c>
      <c r="D378" s="283" t="s">
        <v>1674</v>
      </c>
      <c r="E378" s="314" t="s">
        <v>1473</v>
      </c>
      <c r="F378" s="283" t="s">
        <v>1675</v>
      </c>
      <c r="G378" s="314" t="s">
        <v>1757</v>
      </c>
      <c r="H378" s="283" t="s">
        <v>1758</v>
      </c>
      <c r="I378" s="315">
        <v>0</v>
      </c>
      <c r="J378" s="315">
        <v>0</v>
      </c>
      <c r="K378" s="314" t="s">
        <v>1765</v>
      </c>
      <c r="L378" s="283" t="s">
        <v>1766</v>
      </c>
      <c r="M378" s="283" t="s">
        <v>1767</v>
      </c>
      <c r="N378" s="149">
        <v>0</v>
      </c>
      <c r="O378" s="149">
        <v>1</v>
      </c>
      <c r="P378" s="149">
        <v>1</v>
      </c>
      <c r="Q378" s="149">
        <v>1</v>
      </c>
      <c r="R378" s="149">
        <v>1</v>
      </c>
      <c r="S378" s="19">
        <v>1</v>
      </c>
      <c r="T378" s="18" t="s">
        <v>1768</v>
      </c>
      <c r="U378" s="283" t="e">
        <v>#N/A</v>
      </c>
      <c r="V378" s="283" t="s">
        <v>1769</v>
      </c>
      <c r="W378" s="283">
        <v>1</v>
      </c>
      <c r="X378" s="283">
        <v>0</v>
      </c>
      <c r="Y378" s="283">
        <v>0</v>
      </c>
      <c r="Z378" s="283">
        <v>1</v>
      </c>
      <c r="AA378" s="283">
        <v>1</v>
      </c>
      <c r="AB378" s="283">
        <v>1</v>
      </c>
      <c r="AC378" s="316">
        <v>1</v>
      </c>
      <c r="AD378" s="316">
        <v>0</v>
      </c>
      <c r="AE378" s="302">
        <f t="shared" si="55"/>
        <v>0.625</v>
      </c>
      <c r="AF378" s="310"/>
      <c r="AG378" s="17">
        <v>0</v>
      </c>
      <c r="AH378" s="310">
        <v>3</v>
      </c>
      <c r="AI378" s="310">
        <v>3</v>
      </c>
      <c r="AJ378" s="310">
        <v>1.49</v>
      </c>
      <c r="AK378" s="317">
        <v>1.49</v>
      </c>
      <c r="AL378" s="317">
        <v>1.49</v>
      </c>
      <c r="AM378" s="17">
        <f t="shared" si="56"/>
        <v>2.98</v>
      </c>
      <c r="AN378" s="18" t="s">
        <v>771</v>
      </c>
      <c r="AO378" s="18" t="s">
        <v>773</v>
      </c>
      <c r="AP378" s="283" t="s">
        <v>1770</v>
      </c>
    </row>
    <row r="379" spans="1:42" x14ac:dyDescent="0.3">
      <c r="A379" s="314" t="s">
        <v>1470</v>
      </c>
      <c r="B379" s="283" t="s">
        <v>1502</v>
      </c>
      <c r="C379" s="314" t="s">
        <v>1472</v>
      </c>
      <c r="D379" s="283" t="s">
        <v>1674</v>
      </c>
      <c r="E379" s="314" t="s">
        <v>1473</v>
      </c>
      <c r="F379" s="283" t="s">
        <v>1675</v>
      </c>
      <c r="G379" s="314" t="s">
        <v>1757</v>
      </c>
      <c r="H379" s="283" t="s">
        <v>1758</v>
      </c>
      <c r="I379" s="315">
        <v>0</v>
      </c>
      <c r="J379" s="315">
        <v>0</v>
      </c>
      <c r="K379" s="314" t="s">
        <v>1771</v>
      </c>
      <c r="L379" s="283" t="s">
        <v>1772</v>
      </c>
      <c r="M379" s="283" t="s">
        <v>1773</v>
      </c>
      <c r="N379" s="149">
        <v>0</v>
      </c>
      <c r="O379" s="149">
        <v>1</v>
      </c>
      <c r="P379" s="149">
        <v>1</v>
      </c>
      <c r="Q379" s="149"/>
      <c r="R379" s="149"/>
      <c r="S379" s="19"/>
      <c r="T379" s="283" t="s">
        <v>1762</v>
      </c>
      <c r="U379" s="283" t="e">
        <v>#N/A</v>
      </c>
      <c r="V379" s="283" t="s">
        <v>1774</v>
      </c>
      <c r="W379" s="283">
        <v>1</v>
      </c>
      <c r="X379" s="283">
        <v>0</v>
      </c>
      <c r="Y379" s="283">
        <v>0</v>
      </c>
      <c r="Z379" s="283">
        <v>1</v>
      </c>
      <c r="AA379" s="283">
        <v>1</v>
      </c>
      <c r="AB379" s="283">
        <v>1</v>
      </c>
      <c r="AC379" s="316">
        <v>1</v>
      </c>
      <c r="AD379" s="316">
        <v>1</v>
      </c>
      <c r="AE379" s="302">
        <f t="shared" si="55"/>
        <v>0.75</v>
      </c>
      <c r="AF379" s="310">
        <v>0</v>
      </c>
      <c r="AG379" s="17">
        <v>0</v>
      </c>
      <c r="AH379" s="310">
        <v>0.9</v>
      </c>
      <c r="AI379" s="310">
        <v>0.5</v>
      </c>
      <c r="AJ379" s="310">
        <v>0.5</v>
      </c>
      <c r="AK379" s="317">
        <v>0.5</v>
      </c>
      <c r="AL379" s="317">
        <v>0.5</v>
      </c>
      <c r="AM379" s="17">
        <f t="shared" si="56"/>
        <v>1</v>
      </c>
      <c r="AN379" s="283" t="s">
        <v>1775</v>
      </c>
      <c r="AO379" s="18" t="s">
        <v>1776</v>
      </c>
      <c r="AP379" s="283" t="s">
        <v>1777</v>
      </c>
    </row>
    <row r="380" spans="1:42" hidden="1" x14ac:dyDescent="0.3">
      <c r="A380" s="314" t="s">
        <v>1470</v>
      </c>
      <c r="B380" s="283" t="s">
        <v>1502</v>
      </c>
      <c r="C380" s="314" t="s">
        <v>1472</v>
      </c>
      <c r="D380" s="283" t="s">
        <v>1674</v>
      </c>
      <c r="E380" s="314" t="s">
        <v>1473</v>
      </c>
      <c r="F380" s="283" t="s">
        <v>1675</v>
      </c>
      <c r="G380" s="314" t="s">
        <v>1757</v>
      </c>
      <c r="H380" s="283" t="s">
        <v>1758</v>
      </c>
      <c r="I380" s="315"/>
      <c r="J380" s="315"/>
      <c r="K380" s="314" t="s">
        <v>1771</v>
      </c>
      <c r="L380" s="283" t="s">
        <v>1772</v>
      </c>
      <c r="M380" s="283" t="s">
        <v>1778</v>
      </c>
      <c r="N380" s="149">
        <v>0</v>
      </c>
      <c r="O380" s="149">
        <v>0</v>
      </c>
      <c r="P380" s="149">
        <v>1</v>
      </c>
      <c r="Q380" s="149">
        <v>1</v>
      </c>
      <c r="R380" s="149">
        <v>1</v>
      </c>
      <c r="S380" s="19">
        <v>1</v>
      </c>
      <c r="T380" s="283" t="s">
        <v>1762</v>
      </c>
      <c r="U380" s="283" t="e">
        <v>#N/A</v>
      </c>
      <c r="AC380" s="316">
        <v>0</v>
      </c>
      <c r="AD380" s="316">
        <v>0</v>
      </c>
      <c r="AE380" s="302">
        <f t="shared" si="55"/>
        <v>0</v>
      </c>
      <c r="AF380" s="4"/>
      <c r="AG380" s="17">
        <v>0</v>
      </c>
      <c r="AM380" s="17">
        <f t="shared" si="56"/>
        <v>0</v>
      </c>
      <c r="AO380" s="18"/>
    </row>
    <row r="381" spans="1:42" hidden="1" x14ac:dyDescent="0.3">
      <c r="A381" s="314" t="s">
        <v>1470</v>
      </c>
      <c r="B381" s="283" t="s">
        <v>1502</v>
      </c>
      <c r="C381" s="314" t="s">
        <v>1472</v>
      </c>
      <c r="D381" s="283" t="s">
        <v>1674</v>
      </c>
      <c r="E381" s="314" t="s">
        <v>1473</v>
      </c>
      <c r="F381" s="283" t="s">
        <v>1675</v>
      </c>
      <c r="G381" s="314" t="s">
        <v>1757</v>
      </c>
      <c r="H381" s="283" t="s">
        <v>1758</v>
      </c>
      <c r="I381" s="315">
        <v>0</v>
      </c>
      <c r="J381" s="315">
        <v>0</v>
      </c>
      <c r="K381" s="314" t="s">
        <v>1779</v>
      </c>
      <c r="L381" s="283" t="s">
        <v>1780</v>
      </c>
      <c r="M381" s="10" t="s">
        <v>1781</v>
      </c>
      <c r="N381" s="149">
        <v>0</v>
      </c>
      <c r="O381" s="19"/>
      <c r="P381" s="19">
        <v>3</v>
      </c>
      <c r="Q381" s="19">
        <v>3</v>
      </c>
      <c r="R381" s="19">
        <v>3</v>
      </c>
      <c r="S381" s="19">
        <v>3</v>
      </c>
      <c r="T381" s="10" t="s">
        <v>1727</v>
      </c>
      <c r="U381" s="283" t="e">
        <v>#N/A</v>
      </c>
      <c r="V381" s="283" t="s">
        <v>1782</v>
      </c>
      <c r="W381" s="283">
        <v>0</v>
      </c>
      <c r="X381" s="283">
        <v>0</v>
      </c>
      <c r="Y381" s="283">
        <v>0</v>
      </c>
      <c r="Z381" s="283">
        <v>0</v>
      </c>
      <c r="AA381" s="283">
        <v>0</v>
      </c>
      <c r="AB381" s="283">
        <v>0</v>
      </c>
      <c r="AC381" s="316">
        <v>0</v>
      </c>
      <c r="AD381" s="316">
        <v>0</v>
      </c>
      <c r="AE381" s="302">
        <f t="shared" si="55"/>
        <v>0</v>
      </c>
      <c r="AF381" s="310">
        <v>0</v>
      </c>
      <c r="AG381" s="17">
        <v>0</v>
      </c>
      <c r="AH381" s="310">
        <v>1.2</v>
      </c>
      <c r="AI381" s="310">
        <v>3</v>
      </c>
      <c r="AJ381" s="310">
        <v>3</v>
      </c>
      <c r="AK381" s="317"/>
      <c r="AL381" s="317"/>
      <c r="AM381" s="17">
        <f t="shared" si="56"/>
        <v>0</v>
      </c>
      <c r="AN381" s="283" t="s">
        <v>1610</v>
      </c>
      <c r="AO381" s="18" t="s">
        <v>773</v>
      </c>
      <c r="AP381" s="283" t="s">
        <v>1783</v>
      </c>
    </row>
    <row r="382" spans="1:42" hidden="1" x14ac:dyDescent="0.3">
      <c r="A382" s="314" t="s">
        <v>1470</v>
      </c>
      <c r="B382" s="283" t="s">
        <v>1502</v>
      </c>
      <c r="C382" s="314" t="s">
        <v>1472</v>
      </c>
      <c r="D382" s="283" t="s">
        <v>1674</v>
      </c>
      <c r="E382" s="314" t="s">
        <v>1473</v>
      </c>
      <c r="F382" s="283" t="s">
        <v>1675</v>
      </c>
      <c r="G382" s="314" t="s">
        <v>1757</v>
      </c>
      <c r="H382" s="283" t="s">
        <v>1758</v>
      </c>
      <c r="I382" s="315">
        <v>0</v>
      </c>
      <c r="J382" s="315">
        <v>0</v>
      </c>
      <c r="K382" s="314" t="s">
        <v>1784</v>
      </c>
      <c r="L382" s="283" t="s">
        <v>1785</v>
      </c>
      <c r="M382" s="10" t="s">
        <v>1786</v>
      </c>
      <c r="N382" s="149">
        <v>0</v>
      </c>
      <c r="O382" s="19">
        <v>3</v>
      </c>
      <c r="P382" s="19">
        <v>3</v>
      </c>
      <c r="Q382" s="19">
        <v>3</v>
      </c>
      <c r="R382" s="19">
        <v>3</v>
      </c>
      <c r="S382" s="19">
        <v>3</v>
      </c>
      <c r="T382" s="10" t="s">
        <v>1727</v>
      </c>
      <c r="U382" s="283" t="e">
        <v>#N/A</v>
      </c>
      <c r="V382" s="283" t="s">
        <v>1787</v>
      </c>
      <c r="W382" s="283">
        <v>0</v>
      </c>
      <c r="X382" s="283">
        <v>0</v>
      </c>
      <c r="Y382" s="283">
        <v>0</v>
      </c>
      <c r="Z382" s="283">
        <v>0</v>
      </c>
      <c r="AA382" s="283">
        <v>0</v>
      </c>
      <c r="AB382" s="283">
        <v>0</v>
      </c>
      <c r="AC382" s="316">
        <v>0</v>
      </c>
      <c r="AD382" s="316">
        <v>0</v>
      </c>
      <c r="AE382" s="302">
        <f t="shared" si="55"/>
        <v>0</v>
      </c>
      <c r="AF382" s="310">
        <v>0</v>
      </c>
      <c r="AG382" s="17">
        <v>0</v>
      </c>
      <c r="AH382" s="310">
        <v>0</v>
      </c>
      <c r="AI382" s="310">
        <v>0.1</v>
      </c>
      <c r="AJ382" s="310">
        <v>0.3</v>
      </c>
      <c r="AK382" s="317">
        <v>0</v>
      </c>
      <c r="AL382" s="317">
        <v>0</v>
      </c>
      <c r="AM382" s="17">
        <f t="shared" si="56"/>
        <v>0</v>
      </c>
      <c r="AN382" s="283" t="s">
        <v>1610</v>
      </c>
      <c r="AO382" s="18" t="s">
        <v>773</v>
      </c>
      <c r="AP382" s="283" t="s">
        <v>1788</v>
      </c>
    </row>
    <row r="383" spans="1:42" x14ac:dyDescent="0.3">
      <c r="A383" s="314" t="s">
        <v>1470</v>
      </c>
      <c r="B383" s="283" t="s">
        <v>1502</v>
      </c>
      <c r="C383" s="314" t="s">
        <v>1472</v>
      </c>
      <c r="D383" s="283" t="s">
        <v>1674</v>
      </c>
      <c r="E383" s="314" t="s">
        <v>1473</v>
      </c>
      <c r="F383" s="283" t="s">
        <v>1675</v>
      </c>
      <c r="G383" s="314" t="s">
        <v>1757</v>
      </c>
      <c r="H383" s="283" t="s">
        <v>1758</v>
      </c>
      <c r="I383" s="315">
        <v>0</v>
      </c>
      <c r="J383" s="315">
        <v>0</v>
      </c>
      <c r="K383" s="314" t="s">
        <v>1789</v>
      </c>
      <c r="L383" s="283" t="s">
        <v>1790</v>
      </c>
      <c r="M383" s="10" t="s">
        <v>1791</v>
      </c>
      <c r="N383" s="149">
        <v>0</v>
      </c>
      <c r="O383" s="19">
        <v>3</v>
      </c>
      <c r="P383" s="19">
        <v>3</v>
      </c>
      <c r="Q383" s="19">
        <v>3</v>
      </c>
      <c r="R383" s="19">
        <v>3</v>
      </c>
      <c r="S383" s="19">
        <v>3</v>
      </c>
      <c r="T383" s="10" t="s">
        <v>1727</v>
      </c>
      <c r="U383" s="283" t="e">
        <v>#N/A</v>
      </c>
      <c r="V383" s="283" t="s">
        <v>1792</v>
      </c>
      <c r="W383" s="283">
        <v>1</v>
      </c>
      <c r="X383" s="283">
        <v>0</v>
      </c>
      <c r="Y383" s="283">
        <v>0</v>
      </c>
      <c r="Z383" s="283">
        <v>1</v>
      </c>
      <c r="AA383" s="283">
        <v>1</v>
      </c>
      <c r="AB383" s="283">
        <v>1</v>
      </c>
      <c r="AC383" s="316">
        <v>1</v>
      </c>
      <c r="AD383" s="316">
        <v>1</v>
      </c>
      <c r="AE383" s="302">
        <f t="shared" si="55"/>
        <v>0.75</v>
      </c>
      <c r="AF383" s="310">
        <v>0</v>
      </c>
      <c r="AG383" s="17">
        <v>0</v>
      </c>
      <c r="AH383" s="310">
        <v>0.5</v>
      </c>
      <c r="AI383" s="310">
        <v>0.5</v>
      </c>
      <c r="AJ383" s="310">
        <v>0.6</v>
      </c>
      <c r="AK383" s="317">
        <v>0.2</v>
      </c>
      <c r="AL383" s="317">
        <v>0.2</v>
      </c>
      <c r="AM383" s="17">
        <f t="shared" si="56"/>
        <v>0.4</v>
      </c>
      <c r="AN383" s="283" t="s">
        <v>1610</v>
      </c>
      <c r="AO383" s="18" t="s">
        <v>773</v>
      </c>
      <c r="AP383" s="283" t="s">
        <v>1793</v>
      </c>
    </row>
    <row r="384" spans="1:42" hidden="1" x14ac:dyDescent="0.3">
      <c r="A384" s="314" t="s">
        <v>1470</v>
      </c>
      <c r="B384" s="283" t="s">
        <v>1502</v>
      </c>
      <c r="C384" s="314" t="s">
        <v>1472</v>
      </c>
      <c r="D384" s="283" t="s">
        <v>1674</v>
      </c>
      <c r="E384" s="314" t="s">
        <v>1473</v>
      </c>
      <c r="F384" s="283" t="s">
        <v>1675</v>
      </c>
      <c r="G384" s="314" t="s">
        <v>1757</v>
      </c>
      <c r="H384" s="283" t="s">
        <v>1758</v>
      </c>
      <c r="I384" s="315">
        <v>0</v>
      </c>
      <c r="J384" s="315">
        <v>0</v>
      </c>
      <c r="K384" s="314" t="s">
        <v>1794</v>
      </c>
      <c r="L384" s="283" t="s">
        <v>1795</v>
      </c>
      <c r="M384" s="283" t="s">
        <v>1796</v>
      </c>
      <c r="N384" s="149">
        <v>0</v>
      </c>
      <c r="O384" s="149">
        <v>1</v>
      </c>
      <c r="P384" s="149">
        <v>1</v>
      </c>
      <c r="Q384" s="149">
        <v>1</v>
      </c>
      <c r="R384" s="149">
        <v>1</v>
      </c>
      <c r="S384" s="19">
        <v>1</v>
      </c>
      <c r="T384" s="283" t="s">
        <v>1727</v>
      </c>
      <c r="U384" s="283" t="e">
        <v>#N/A</v>
      </c>
      <c r="V384" s="283" t="s">
        <v>1797</v>
      </c>
      <c r="W384" s="283">
        <v>0</v>
      </c>
      <c r="X384" s="283">
        <v>0</v>
      </c>
      <c r="Y384" s="283">
        <v>0</v>
      </c>
      <c r="Z384" s="283">
        <v>0</v>
      </c>
      <c r="AA384" s="283">
        <v>0</v>
      </c>
      <c r="AB384" s="283">
        <v>0</v>
      </c>
      <c r="AC384" s="316">
        <v>0</v>
      </c>
      <c r="AD384" s="316">
        <v>0</v>
      </c>
      <c r="AE384" s="302">
        <f t="shared" si="55"/>
        <v>0</v>
      </c>
      <c r="AF384" s="17">
        <v>0</v>
      </c>
      <c r="AG384" s="17">
        <v>0</v>
      </c>
      <c r="AH384" s="17">
        <v>0</v>
      </c>
      <c r="AI384" s="310">
        <v>0</v>
      </c>
      <c r="AJ384" s="310">
        <v>0</v>
      </c>
      <c r="AK384" s="317"/>
      <c r="AL384" s="317"/>
      <c r="AM384" s="17">
        <f t="shared" si="56"/>
        <v>0</v>
      </c>
      <c r="AN384" s="283" t="s">
        <v>1610</v>
      </c>
      <c r="AO384" s="18" t="s">
        <v>773</v>
      </c>
      <c r="AP384" s="283" t="s">
        <v>1798</v>
      </c>
    </row>
    <row r="385" spans="1:42" hidden="1" x14ac:dyDescent="0.3">
      <c r="A385" s="314" t="s">
        <v>1470</v>
      </c>
      <c r="B385" s="283" t="s">
        <v>1502</v>
      </c>
      <c r="C385" s="314" t="s">
        <v>1472</v>
      </c>
      <c r="D385" s="283" t="s">
        <v>1674</v>
      </c>
      <c r="E385" s="314" t="s">
        <v>1473</v>
      </c>
      <c r="F385" s="283" t="s">
        <v>1675</v>
      </c>
      <c r="G385" s="314" t="s">
        <v>1757</v>
      </c>
      <c r="H385" s="283" t="s">
        <v>1758</v>
      </c>
      <c r="I385" s="315">
        <v>0</v>
      </c>
      <c r="J385" s="315">
        <v>0</v>
      </c>
      <c r="K385" s="314" t="s">
        <v>1799</v>
      </c>
      <c r="L385" s="283" t="s">
        <v>1800</v>
      </c>
      <c r="M385" s="283" t="s">
        <v>1801</v>
      </c>
      <c r="N385" s="149">
        <v>0</v>
      </c>
      <c r="O385" s="149"/>
      <c r="P385" s="149">
        <v>1</v>
      </c>
      <c r="Q385" s="149">
        <v>1</v>
      </c>
      <c r="R385" s="149">
        <v>1</v>
      </c>
      <c r="S385" s="19">
        <v>1</v>
      </c>
      <c r="T385" s="283" t="s">
        <v>1727</v>
      </c>
      <c r="U385" s="283" t="e">
        <v>#N/A</v>
      </c>
      <c r="V385" s="283" t="s">
        <v>1802</v>
      </c>
      <c r="W385" s="283">
        <v>0</v>
      </c>
      <c r="X385" s="283">
        <v>0</v>
      </c>
      <c r="Y385" s="283">
        <v>0</v>
      </c>
      <c r="Z385" s="283">
        <v>0</v>
      </c>
      <c r="AA385" s="283">
        <v>0</v>
      </c>
      <c r="AB385" s="283">
        <v>0</v>
      </c>
      <c r="AC385" s="316">
        <v>0</v>
      </c>
      <c r="AD385" s="316">
        <v>0</v>
      </c>
      <c r="AE385" s="302">
        <f t="shared" si="55"/>
        <v>0</v>
      </c>
      <c r="AF385" s="17">
        <v>0</v>
      </c>
      <c r="AG385" s="17">
        <v>0</v>
      </c>
      <c r="AH385" s="17">
        <v>0</v>
      </c>
      <c r="AI385" s="310">
        <v>0</v>
      </c>
      <c r="AJ385" s="310">
        <v>0</v>
      </c>
      <c r="AK385" s="317"/>
      <c r="AL385" s="317"/>
      <c r="AM385" s="17">
        <f t="shared" si="56"/>
        <v>0</v>
      </c>
      <c r="AN385" s="283" t="s">
        <v>1610</v>
      </c>
      <c r="AO385" s="18" t="s">
        <v>773</v>
      </c>
      <c r="AP385" s="283" t="s">
        <v>1803</v>
      </c>
    </row>
    <row r="386" spans="1:42" x14ac:dyDescent="0.3">
      <c r="A386" s="314" t="s">
        <v>1470</v>
      </c>
      <c r="B386" s="283" t="s">
        <v>1502</v>
      </c>
      <c r="C386" s="314" t="s">
        <v>1472</v>
      </c>
      <c r="D386" s="283" t="s">
        <v>1674</v>
      </c>
      <c r="E386" s="314" t="s">
        <v>1473</v>
      </c>
      <c r="F386" s="283" t="s">
        <v>1675</v>
      </c>
      <c r="G386" s="314" t="s">
        <v>1757</v>
      </c>
      <c r="H386" s="283" t="s">
        <v>1758</v>
      </c>
      <c r="I386" s="315">
        <v>0</v>
      </c>
      <c r="J386" s="315">
        <v>0</v>
      </c>
      <c r="K386" s="314" t="s">
        <v>1804</v>
      </c>
      <c r="L386" s="283" t="s">
        <v>1805</v>
      </c>
      <c r="M386" s="283" t="s">
        <v>1806</v>
      </c>
      <c r="N386" s="149">
        <v>0</v>
      </c>
      <c r="O386" s="149">
        <v>5</v>
      </c>
      <c r="P386" s="149">
        <v>5</v>
      </c>
      <c r="Q386" s="149">
        <v>5</v>
      </c>
      <c r="R386" s="149">
        <v>5</v>
      </c>
      <c r="S386" s="19">
        <v>5</v>
      </c>
      <c r="T386" s="283" t="s">
        <v>1727</v>
      </c>
      <c r="U386" s="283" t="e">
        <v>#N/A</v>
      </c>
      <c r="V386" s="283" t="s">
        <v>1807</v>
      </c>
      <c r="W386" s="283">
        <v>1</v>
      </c>
      <c r="X386" s="283">
        <v>0</v>
      </c>
      <c r="Y386" s="283">
        <v>0</v>
      </c>
      <c r="Z386" s="283">
        <v>1</v>
      </c>
      <c r="AA386" s="283">
        <v>1</v>
      </c>
      <c r="AB386" s="283">
        <v>1</v>
      </c>
      <c r="AC386" s="316">
        <v>1</v>
      </c>
      <c r="AD386" s="316">
        <v>1</v>
      </c>
      <c r="AE386" s="302">
        <f t="shared" si="55"/>
        <v>0.75</v>
      </c>
      <c r="AF386" s="310">
        <v>0</v>
      </c>
      <c r="AG386" s="17">
        <v>0</v>
      </c>
      <c r="AH386" s="310">
        <v>0.3</v>
      </c>
      <c r="AI386" s="310">
        <v>0.3</v>
      </c>
      <c r="AJ386" s="310">
        <v>0.3</v>
      </c>
      <c r="AK386" s="317">
        <v>0.1</v>
      </c>
      <c r="AL386" s="317">
        <v>0.1</v>
      </c>
      <c r="AM386" s="17">
        <f t="shared" si="56"/>
        <v>0.2</v>
      </c>
      <c r="AN386" s="283" t="s">
        <v>1610</v>
      </c>
      <c r="AO386" s="18" t="s">
        <v>773</v>
      </c>
      <c r="AP386" s="283" t="s">
        <v>1803</v>
      </c>
    </row>
    <row r="387" spans="1:42" x14ac:dyDescent="0.3">
      <c r="A387" s="314" t="s">
        <v>1470</v>
      </c>
      <c r="B387" s="283" t="s">
        <v>1502</v>
      </c>
      <c r="C387" s="314" t="s">
        <v>1472</v>
      </c>
      <c r="D387" s="283" t="s">
        <v>1674</v>
      </c>
      <c r="E387" s="314" t="s">
        <v>1473</v>
      </c>
      <c r="F387" s="283" t="s">
        <v>1675</v>
      </c>
      <c r="G387" s="314" t="s">
        <v>1757</v>
      </c>
      <c r="H387" s="283" t="s">
        <v>1758</v>
      </c>
      <c r="I387" s="315">
        <v>0</v>
      </c>
      <c r="J387" s="315">
        <v>0</v>
      </c>
      <c r="K387" s="314" t="s">
        <v>1808</v>
      </c>
      <c r="L387" s="283" t="s">
        <v>1809</v>
      </c>
      <c r="M387" s="10" t="s">
        <v>1810</v>
      </c>
      <c r="N387" s="149">
        <v>0</v>
      </c>
      <c r="O387" s="19">
        <v>15</v>
      </c>
      <c r="P387" s="19">
        <v>15</v>
      </c>
      <c r="Q387" s="19">
        <v>15</v>
      </c>
      <c r="R387" s="19">
        <v>15</v>
      </c>
      <c r="S387" s="19">
        <v>15</v>
      </c>
      <c r="T387" s="10" t="s">
        <v>1727</v>
      </c>
      <c r="U387" s="283" t="e">
        <v>#N/A</v>
      </c>
      <c r="V387" s="283" t="s">
        <v>1811</v>
      </c>
      <c r="W387" s="283">
        <v>1</v>
      </c>
      <c r="X387" s="283">
        <v>0</v>
      </c>
      <c r="Y387" s="283">
        <v>0</v>
      </c>
      <c r="Z387" s="283">
        <v>1</v>
      </c>
      <c r="AA387" s="283">
        <v>1</v>
      </c>
      <c r="AB387" s="283">
        <v>1</v>
      </c>
      <c r="AC387" s="316">
        <v>1</v>
      </c>
      <c r="AD387" s="316">
        <v>1</v>
      </c>
      <c r="AE387" s="302">
        <f t="shared" si="55"/>
        <v>0.75</v>
      </c>
      <c r="AF387" s="310">
        <v>0</v>
      </c>
      <c r="AG387" s="17">
        <v>0</v>
      </c>
      <c r="AH387" s="310">
        <v>1.1000000000000001</v>
      </c>
      <c r="AI387" s="310">
        <v>1.1000000000000001</v>
      </c>
      <c r="AJ387" s="310">
        <v>1.1000000000000001</v>
      </c>
      <c r="AK387" s="317">
        <v>0.05</v>
      </c>
      <c r="AL387" s="317">
        <v>0.05</v>
      </c>
      <c r="AM387" s="17">
        <f t="shared" si="56"/>
        <v>0.1</v>
      </c>
      <c r="AN387" s="283" t="s">
        <v>1610</v>
      </c>
      <c r="AO387" s="18" t="s">
        <v>773</v>
      </c>
      <c r="AP387" s="283" t="s">
        <v>1812</v>
      </c>
    </row>
    <row r="388" spans="1:42" hidden="1" x14ac:dyDescent="0.3">
      <c r="A388" s="314" t="s">
        <v>1470</v>
      </c>
      <c r="B388" s="283" t="s">
        <v>1502</v>
      </c>
      <c r="C388" s="314" t="s">
        <v>1472</v>
      </c>
      <c r="D388" s="283" t="s">
        <v>1674</v>
      </c>
      <c r="E388" s="314" t="s">
        <v>1473</v>
      </c>
      <c r="F388" s="283" t="s">
        <v>1675</v>
      </c>
      <c r="G388" s="314" t="s">
        <v>1757</v>
      </c>
      <c r="H388" s="283" t="s">
        <v>1758</v>
      </c>
      <c r="I388" s="315">
        <v>0</v>
      </c>
      <c r="J388" s="315">
        <v>0</v>
      </c>
      <c r="K388" s="314" t="s">
        <v>1813</v>
      </c>
      <c r="L388" s="283" t="s">
        <v>1814</v>
      </c>
      <c r="M388" s="283" t="s">
        <v>1815</v>
      </c>
      <c r="N388" s="149">
        <v>0</v>
      </c>
      <c r="O388" s="149"/>
      <c r="P388" s="149">
        <v>56</v>
      </c>
      <c r="Q388" s="149">
        <v>56</v>
      </c>
      <c r="R388" s="149">
        <v>56</v>
      </c>
      <c r="S388" s="19">
        <v>56</v>
      </c>
      <c r="T388" s="283" t="s">
        <v>1727</v>
      </c>
      <c r="U388" s="283" t="e">
        <v>#N/A</v>
      </c>
      <c r="V388" s="283" t="s">
        <v>1816</v>
      </c>
      <c r="W388" s="283">
        <v>0</v>
      </c>
      <c r="X388" s="283">
        <v>0</v>
      </c>
      <c r="Y388" s="283">
        <v>0</v>
      </c>
      <c r="Z388" s="283">
        <v>0</v>
      </c>
      <c r="AA388" s="283">
        <v>0</v>
      </c>
      <c r="AB388" s="283">
        <v>0</v>
      </c>
      <c r="AC388" s="316">
        <v>0</v>
      </c>
      <c r="AD388" s="316">
        <v>0</v>
      </c>
      <c r="AE388" s="302">
        <f t="shared" si="55"/>
        <v>0</v>
      </c>
      <c r="AF388" s="17">
        <v>0</v>
      </c>
      <c r="AG388" s="17">
        <v>0</v>
      </c>
      <c r="AH388" s="17">
        <v>0</v>
      </c>
      <c r="AI388" s="310">
        <v>0</v>
      </c>
      <c r="AJ388" s="310">
        <v>0.3</v>
      </c>
      <c r="AK388" s="317"/>
      <c r="AL388" s="317"/>
      <c r="AM388" s="17">
        <f t="shared" si="56"/>
        <v>0</v>
      </c>
      <c r="AN388" s="283" t="s">
        <v>1610</v>
      </c>
      <c r="AO388" s="18" t="s">
        <v>773</v>
      </c>
      <c r="AP388" s="283" t="s">
        <v>1812</v>
      </c>
    </row>
    <row r="389" spans="1:42" hidden="1" x14ac:dyDescent="0.3">
      <c r="A389" s="314" t="s">
        <v>1470</v>
      </c>
      <c r="B389" s="283" t="s">
        <v>1502</v>
      </c>
      <c r="C389" s="314" t="s">
        <v>1472</v>
      </c>
      <c r="D389" s="283" t="s">
        <v>1674</v>
      </c>
      <c r="E389" s="314" t="s">
        <v>1473</v>
      </c>
      <c r="F389" s="283" t="s">
        <v>1675</v>
      </c>
      <c r="G389" s="314" t="s">
        <v>1757</v>
      </c>
      <c r="H389" s="283" t="s">
        <v>1758</v>
      </c>
      <c r="I389" s="315">
        <v>0</v>
      </c>
      <c r="J389" s="315">
        <v>0</v>
      </c>
      <c r="K389" s="314" t="s">
        <v>1817</v>
      </c>
      <c r="L389" s="283" t="s">
        <v>1818</v>
      </c>
      <c r="M389" s="10" t="s">
        <v>1819</v>
      </c>
      <c r="N389" s="149">
        <v>0</v>
      </c>
      <c r="O389" s="19">
        <v>200</v>
      </c>
      <c r="P389" s="19">
        <v>500</v>
      </c>
      <c r="Q389" s="19">
        <v>500</v>
      </c>
      <c r="R389" s="19">
        <v>500</v>
      </c>
      <c r="S389" s="19">
        <v>500</v>
      </c>
      <c r="T389" s="10" t="s">
        <v>1727</v>
      </c>
      <c r="U389" s="283" t="e">
        <v>#N/A</v>
      </c>
      <c r="V389" s="283" t="s">
        <v>1820</v>
      </c>
      <c r="W389" s="283">
        <v>0</v>
      </c>
      <c r="X389" s="283">
        <v>0</v>
      </c>
      <c r="Y389" s="283">
        <v>0</v>
      </c>
      <c r="Z389" s="283">
        <v>0</v>
      </c>
      <c r="AA389" s="283">
        <v>0</v>
      </c>
      <c r="AB389" s="283">
        <v>0</v>
      </c>
      <c r="AC389" s="316">
        <v>0</v>
      </c>
      <c r="AD389" s="316">
        <v>0</v>
      </c>
      <c r="AE389" s="302">
        <f t="shared" si="55"/>
        <v>0</v>
      </c>
      <c r="AF389" s="310">
        <v>0</v>
      </c>
      <c r="AG389" s="17">
        <v>0</v>
      </c>
      <c r="AH389" s="310">
        <v>1</v>
      </c>
      <c r="AI389" s="310">
        <v>1</v>
      </c>
      <c r="AJ389" s="310">
        <v>1</v>
      </c>
      <c r="AK389" s="317"/>
      <c r="AL389" s="317"/>
      <c r="AM389" s="17">
        <f t="shared" si="56"/>
        <v>0</v>
      </c>
      <c r="AN389" s="283" t="s">
        <v>1610</v>
      </c>
      <c r="AO389" s="18" t="s">
        <v>773</v>
      </c>
      <c r="AP389" s="283" t="s">
        <v>1812</v>
      </c>
    </row>
    <row r="390" spans="1:42" x14ac:dyDescent="0.3">
      <c r="A390" s="314" t="s">
        <v>1470</v>
      </c>
      <c r="B390" s="283" t="s">
        <v>1502</v>
      </c>
      <c r="C390" s="314" t="s">
        <v>1474</v>
      </c>
      <c r="D390" s="283" t="s">
        <v>1821</v>
      </c>
      <c r="E390" s="314" t="s">
        <v>1475</v>
      </c>
      <c r="F390" s="283" t="s">
        <v>1822</v>
      </c>
      <c r="G390" s="314" t="s">
        <v>1823</v>
      </c>
      <c r="H390" s="283" t="s">
        <v>1824</v>
      </c>
      <c r="I390" s="315">
        <v>0</v>
      </c>
      <c r="J390" s="315">
        <v>0</v>
      </c>
      <c r="K390" s="314" t="s">
        <v>1825</v>
      </c>
      <c r="L390" s="283" t="s">
        <v>1826</v>
      </c>
      <c r="M390" s="283" t="s">
        <v>1827</v>
      </c>
      <c r="N390" s="149">
        <v>0</v>
      </c>
      <c r="O390" s="149">
        <v>1</v>
      </c>
      <c r="P390" s="149">
        <v>1</v>
      </c>
      <c r="Q390" s="149">
        <v>1</v>
      </c>
      <c r="R390" s="149">
        <v>1</v>
      </c>
      <c r="S390" s="19">
        <v>1</v>
      </c>
      <c r="T390" s="10" t="s">
        <v>1727</v>
      </c>
      <c r="U390" s="283" t="e">
        <v>#N/A</v>
      </c>
      <c r="V390" s="283" t="s">
        <v>1828</v>
      </c>
      <c r="W390" s="283">
        <v>1</v>
      </c>
      <c r="X390" s="283">
        <v>0</v>
      </c>
      <c r="Y390" s="283">
        <v>0</v>
      </c>
      <c r="Z390" s="283">
        <v>1</v>
      </c>
      <c r="AA390" s="283">
        <v>1</v>
      </c>
      <c r="AB390" s="283">
        <v>1</v>
      </c>
      <c r="AC390" s="316">
        <v>1</v>
      </c>
      <c r="AD390" s="316">
        <v>1</v>
      </c>
      <c r="AE390" s="302">
        <f t="shared" si="55"/>
        <v>0.75</v>
      </c>
      <c r="AF390" s="310">
        <v>0</v>
      </c>
      <c r="AG390" s="17">
        <v>0</v>
      </c>
      <c r="AH390" s="310">
        <v>8.5</v>
      </c>
      <c r="AI390" s="310">
        <v>8.5</v>
      </c>
      <c r="AJ390" s="310">
        <v>9</v>
      </c>
      <c r="AK390" s="317">
        <v>0.5</v>
      </c>
      <c r="AL390" s="317">
        <v>0.5</v>
      </c>
      <c r="AM390" s="17">
        <f t="shared" si="56"/>
        <v>1</v>
      </c>
      <c r="AN390" s="283" t="s">
        <v>723</v>
      </c>
      <c r="AO390" s="18" t="s">
        <v>729</v>
      </c>
      <c r="AP390" s="283" t="s">
        <v>1829</v>
      </c>
    </row>
    <row r="391" spans="1:42" x14ac:dyDescent="0.3">
      <c r="A391" s="314" t="s">
        <v>1470</v>
      </c>
      <c r="B391" s="283" t="s">
        <v>1502</v>
      </c>
      <c r="C391" s="314" t="s">
        <v>1474</v>
      </c>
      <c r="D391" s="283" t="s">
        <v>1821</v>
      </c>
      <c r="E391" s="314" t="s">
        <v>1475</v>
      </c>
      <c r="F391" s="283" t="s">
        <v>1822</v>
      </c>
      <c r="G391" s="314" t="s">
        <v>1823</v>
      </c>
      <c r="H391" s="283" t="s">
        <v>1824</v>
      </c>
      <c r="I391" s="315">
        <v>0</v>
      </c>
      <c r="J391" s="315">
        <v>0</v>
      </c>
      <c r="K391" s="314" t="s">
        <v>1830</v>
      </c>
      <c r="L391" s="283" t="s">
        <v>1831</v>
      </c>
      <c r="M391" s="283" t="s">
        <v>1832</v>
      </c>
      <c r="N391" s="149">
        <v>0</v>
      </c>
      <c r="O391" s="149">
        <v>1</v>
      </c>
      <c r="P391" s="149" t="s">
        <v>271</v>
      </c>
      <c r="Q391" s="149" t="s">
        <v>271</v>
      </c>
      <c r="R391" s="149">
        <v>1</v>
      </c>
      <c r="S391" s="19">
        <v>1</v>
      </c>
      <c r="T391" s="283" t="s">
        <v>1345</v>
      </c>
      <c r="U391" s="283" t="s">
        <v>1334</v>
      </c>
      <c r="V391" s="283" t="s">
        <v>1833</v>
      </c>
      <c r="W391" s="283">
        <v>1</v>
      </c>
      <c r="X391" s="283">
        <v>0</v>
      </c>
      <c r="Y391" s="283">
        <v>0</v>
      </c>
      <c r="Z391" s="283">
        <v>1</v>
      </c>
      <c r="AA391" s="283">
        <v>1</v>
      </c>
      <c r="AB391" s="283">
        <v>1</v>
      </c>
      <c r="AC391" s="316">
        <v>1</v>
      </c>
      <c r="AD391" s="316">
        <v>1</v>
      </c>
      <c r="AE391" s="302">
        <f t="shared" si="55"/>
        <v>0.75</v>
      </c>
      <c r="AF391" s="310">
        <v>1</v>
      </c>
      <c r="AG391" s="17">
        <v>0</v>
      </c>
      <c r="AH391" s="310">
        <v>5</v>
      </c>
      <c r="AI391" s="310">
        <v>0</v>
      </c>
      <c r="AJ391" s="310">
        <v>0</v>
      </c>
      <c r="AK391" s="317">
        <v>3</v>
      </c>
      <c r="AL391" s="317">
        <v>3</v>
      </c>
      <c r="AM391" s="17">
        <f t="shared" si="56"/>
        <v>6</v>
      </c>
      <c r="AN391" s="10" t="s">
        <v>1345</v>
      </c>
      <c r="AO391" s="18" t="s">
        <v>1334</v>
      </c>
      <c r="AP391" s="283" t="s">
        <v>1834</v>
      </c>
    </row>
    <row r="392" spans="1:42" x14ac:dyDescent="0.3">
      <c r="A392" s="314" t="s">
        <v>1470</v>
      </c>
      <c r="B392" s="283" t="s">
        <v>1502</v>
      </c>
      <c r="C392" s="314" t="s">
        <v>1474</v>
      </c>
      <c r="D392" s="283" t="s">
        <v>1821</v>
      </c>
      <c r="E392" s="314" t="s">
        <v>1475</v>
      </c>
      <c r="F392" s="283" t="s">
        <v>1822</v>
      </c>
      <c r="G392" s="314" t="s">
        <v>1823</v>
      </c>
      <c r="H392" s="283" t="s">
        <v>1824</v>
      </c>
      <c r="I392" s="315">
        <v>0</v>
      </c>
      <c r="J392" s="315">
        <v>0</v>
      </c>
      <c r="K392" s="314" t="s">
        <v>1835</v>
      </c>
      <c r="L392" s="283" t="s">
        <v>1836</v>
      </c>
      <c r="M392" s="283" t="s">
        <v>1837</v>
      </c>
      <c r="N392" s="149">
        <v>0</v>
      </c>
      <c r="O392" s="149"/>
      <c r="P392" s="149"/>
      <c r="Q392" s="149"/>
      <c r="R392" s="149">
        <v>50000</v>
      </c>
      <c r="S392" s="19">
        <v>50000</v>
      </c>
      <c r="T392" s="10" t="s">
        <v>1345</v>
      </c>
      <c r="U392" s="283" t="s">
        <v>1334</v>
      </c>
      <c r="V392" s="283" t="s">
        <v>1838</v>
      </c>
      <c r="W392" s="283">
        <v>1</v>
      </c>
      <c r="X392" s="283">
        <v>0</v>
      </c>
      <c r="Y392" s="283">
        <v>0</v>
      </c>
      <c r="Z392" s="283">
        <v>1</v>
      </c>
      <c r="AA392" s="283">
        <v>1</v>
      </c>
      <c r="AB392" s="283">
        <v>1</v>
      </c>
      <c r="AC392" s="316">
        <v>1</v>
      </c>
      <c r="AD392" s="316">
        <v>1</v>
      </c>
      <c r="AE392" s="302">
        <f t="shared" si="55"/>
        <v>0.75</v>
      </c>
      <c r="AF392" s="310">
        <v>1</v>
      </c>
      <c r="AG392" s="17">
        <v>0</v>
      </c>
      <c r="AH392" s="310">
        <v>69.603750000000005</v>
      </c>
      <c r="AI392" s="310">
        <v>73.083937500000005</v>
      </c>
      <c r="AJ392" s="310">
        <v>76.738134375000001</v>
      </c>
      <c r="AK392" s="317">
        <f>26.38-1.85</f>
        <v>24.529999999999998</v>
      </c>
      <c r="AL392" s="317">
        <f>11.5-1.85</f>
        <v>9.65</v>
      </c>
      <c r="AM392" s="17">
        <f t="shared" si="56"/>
        <v>34.18</v>
      </c>
      <c r="AN392" s="10" t="s">
        <v>1345</v>
      </c>
      <c r="AO392" s="18" t="s">
        <v>1334</v>
      </c>
      <c r="AP392" s="283" t="s">
        <v>1839</v>
      </c>
    </row>
    <row r="393" spans="1:42" x14ac:dyDescent="0.3">
      <c r="A393" s="314" t="s">
        <v>1470</v>
      </c>
      <c r="B393" s="283" t="s">
        <v>1502</v>
      </c>
      <c r="C393" s="314" t="s">
        <v>1474</v>
      </c>
      <c r="D393" s="283" t="s">
        <v>1821</v>
      </c>
      <c r="E393" s="314" t="s">
        <v>1475</v>
      </c>
      <c r="F393" s="283" t="s">
        <v>1822</v>
      </c>
      <c r="G393" s="314" t="s">
        <v>1823</v>
      </c>
      <c r="H393" s="283" t="s">
        <v>1824</v>
      </c>
      <c r="I393" s="315">
        <v>0</v>
      </c>
      <c r="J393" s="315">
        <v>0</v>
      </c>
      <c r="K393" s="314" t="s">
        <v>1840</v>
      </c>
      <c r="L393" s="283" t="s">
        <v>1841</v>
      </c>
      <c r="M393" s="283" t="s">
        <v>1842</v>
      </c>
      <c r="N393" s="149">
        <v>0</v>
      </c>
      <c r="O393" s="149"/>
      <c r="P393" s="149"/>
      <c r="Q393" s="149"/>
      <c r="R393" s="149">
        <v>500</v>
      </c>
      <c r="S393" s="19">
        <v>500</v>
      </c>
      <c r="T393" s="10" t="s">
        <v>1345</v>
      </c>
      <c r="U393" s="283" t="s">
        <v>1334</v>
      </c>
      <c r="V393" s="283" t="s">
        <v>1843</v>
      </c>
      <c r="W393" s="283">
        <v>1</v>
      </c>
      <c r="X393" s="283">
        <v>0</v>
      </c>
      <c r="Y393" s="283">
        <v>0</v>
      </c>
      <c r="Z393" s="283">
        <v>1</v>
      </c>
      <c r="AA393" s="283">
        <v>1</v>
      </c>
      <c r="AB393" s="283">
        <v>1</v>
      </c>
      <c r="AC393" s="316">
        <v>1</v>
      </c>
      <c r="AD393" s="316">
        <v>1</v>
      </c>
      <c r="AE393" s="302">
        <f t="shared" ref="AE393:AE448" si="57">SUM(W393:AD393)/8</f>
        <v>0.75</v>
      </c>
      <c r="AF393" s="17">
        <v>1</v>
      </c>
      <c r="AG393" s="17">
        <v>0</v>
      </c>
      <c r="AH393" s="17">
        <v>0</v>
      </c>
      <c r="AI393" s="310">
        <v>1</v>
      </c>
      <c r="AJ393" s="310">
        <v>1</v>
      </c>
      <c r="AK393" s="317">
        <v>1</v>
      </c>
      <c r="AL393" s="317">
        <v>1</v>
      </c>
      <c r="AM393" s="17">
        <f t="shared" ref="AM393:AM448" si="58">SUM(AK393:AL393)</f>
        <v>2</v>
      </c>
      <c r="AN393" s="10" t="s">
        <v>1345</v>
      </c>
      <c r="AO393" s="18" t="s">
        <v>1334</v>
      </c>
      <c r="AP393" s="283" t="s">
        <v>1839</v>
      </c>
    </row>
    <row r="394" spans="1:42" hidden="1" x14ac:dyDescent="0.3">
      <c r="A394" s="314" t="s">
        <v>1470</v>
      </c>
      <c r="B394" s="283" t="s">
        <v>1502</v>
      </c>
      <c r="C394" s="314" t="s">
        <v>1474</v>
      </c>
      <c r="D394" s="283" t="s">
        <v>1821</v>
      </c>
      <c r="E394" s="314" t="s">
        <v>1475</v>
      </c>
      <c r="F394" s="283" t="s">
        <v>1822</v>
      </c>
      <c r="G394" s="314" t="s">
        <v>1823</v>
      </c>
      <c r="H394" s="283" t="s">
        <v>1824</v>
      </c>
      <c r="I394" s="315">
        <v>0</v>
      </c>
      <c r="J394" s="315">
        <v>0</v>
      </c>
      <c r="K394" s="314" t="s">
        <v>1844</v>
      </c>
      <c r="L394" s="283" t="s">
        <v>1845</v>
      </c>
      <c r="M394" s="283" t="s">
        <v>1846</v>
      </c>
      <c r="N394" s="149">
        <v>0</v>
      </c>
      <c r="O394" s="149">
        <v>50000</v>
      </c>
      <c r="P394" s="149">
        <v>50000</v>
      </c>
      <c r="Q394" s="149">
        <v>50000</v>
      </c>
      <c r="R394" s="149">
        <v>50000</v>
      </c>
      <c r="S394" s="19">
        <v>50000</v>
      </c>
      <c r="T394" s="283" t="s">
        <v>1847</v>
      </c>
      <c r="U394" s="283" t="e">
        <v>#N/A</v>
      </c>
      <c r="AC394" s="316">
        <v>0</v>
      </c>
      <c r="AD394" s="316">
        <v>0</v>
      </c>
      <c r="AE394" s="302">
        <f t="shared" si="57"/>
        <v>0</v>
      </c>
      <c r="AF394" s="17"/>
      <c r="AG394" s="17">
        <v>0</v>
      </c>
      <c r="AH394" s="17"/>
      <c r="AM394" s="17">
        <f t="shared" si="58"/>
        <v>0</v>
      </c>
      <c r="AN394" s="10"/>
      <c r="AO394" s="18"/>
    </row>
    <row r="395" spans="1:42" hidden="1" x14ac:dyDescent="0.3">
      <c r="A395" s="314" t="s">
        <v>1470</v>
      </c>
      <c r="B395" s="283" t="s">
        <v>1502</v>
      </c>
      <c r="C395" s="314" t="s">
        <v>1474</v>
      </c>
      <c r="D395" s="283" t="s">
        <v>1821</v>
      </c>
      <c r="E395" s="314" t="s">
        <v>1475</v>
      </c>
      <c r="F395" s="283" t="s">
        <v>1822</v>
      </c>
      <c r="G395" s="314" t="s">
        <v>1823</v>
      </c>
      <c r="H395" s="283" t="s">
        <v>1824</v>
      </c>
      <c r="I395" s="315">
        <v>0</v>
      </c>
      <c r="J395" s="315">
        <v>0</v>
      </c>
      <c r="K395" s="314" t="s">
        <v>1848</v>
      </c>
      <c r="L395" s="283" t="s">
        <v>1849</v>
      </c>
      <c r="M395" s="283" t="s">
        <v>271</v>
      </c>
      <c r="N395" s="149">
        <v>0</v>
      </c>
      <c r="O395" s="149"/>
      <c r="P395" s="149"/>
      <c r="Q395" s="149"/>
      <c r="R395" s="149"/>
      <c r="S395" s="19"/>
      <c r="T395" s="10"/>
      <c r="U395" s="283" t="e">
        <v>#N/A</v>
      </c>
      <c r="V395" s="283" t="s">
        <v>1850</v>
      </c>
      <c r="W395" s="283">
        <v>0</v>
      </c>
      <c r="X395" s="283">
        <v>0</v>
      </c>
      <c r="Y395" s="283">
        <v>0</v>
      </c>
      <c r="Z395" s="283">
        <v>1</v>
      </c>
      <c r="AA395" s="283">
        <v>1</v>
      </c>
      <c r="AB395" s="283">
        <v>1</v>
      </c>
      <c r="AC395" s="316">
        <v>0</v>
      </c>
      <c r="AD395" s="316">
        <v>0</v>
      </c>
      <c r="AE395" s="302">
        <f t="shared" si="57"/>
        <v>0.375</v>
      </c>
      <c r="AF395" s="310">
        <v>0</v>
      </c>
      <c r="AG395" s="17">
        <v>0</v>
      </c>
      <c r="AH395" s="310">
        <v>0.2</v>
      </c>
      <c r="AI395" s="310">
        <v>0.2</v>
      </c>
      <c r="AJ395" s="310">
        <v>0.2</v>
      </c>
      <c r="AK395" s="317"/>
      <c r="AL395" s="317"/>
      <c r="AM395" s="17">
        <f t="shared" si="58"/>
        <v>0</v>
      </c>
      <c r="AN395" s="10" t="s">
        <v>1345</v>
      </c>
      <c r="AO395" s="18" t="s">
        <v>1334</v>
      </c>
      <c r="AP395" s="283" t="s">
        <v>1851</v>
      </c>
    </row>
    <row r="396" spans="1:42" hidden="1" x14ac:dyDescent="0.3">
      <c r="A396" s="314" t="s">
        <v>1470</v>
      </c>
      <c r="B396" s="283" t="s">
        <v>1502</v>
      </c>
      <c r="C396" s="314" t="s">
        <v>1474</v>
      </c>
      <c r="D396" s="283" t="s">
        <v>1821</v>
      </c>
      <c r="E396" s="314" t="s">
        <v>1475</v>
      </c>
      <c r="F396" s="283" t="s">
        <v>1822</v>
      </c>
      <c r="G396" s="314" t="s">
        <v>1823</v>
      </c>
      <c r="H396" s="283" t="s">
        <v>1824</v>
      </c>
      <c r="I396" s="315">
        <v>0</v>
      </c>
      <c r="J396" s="315">
        <v>0</v>
      </c>
      <c r="K396" s="314" t="s">
        <v>1852</v>
      </c>
      <c r="L396" s="283" t="s">
        <v>1853</v>
      </c>
      <c r="M396" s="283" t="s">
        <v>271</v>
      </c>
      <c r="N396" s="149">
        <v>0</v>
      </c>
      <c r="O396" s="149"/>
      <c r="P396" s="149"/>
      <c r="Q396" s="149"/>
      <c r="R396" s="149"/>
      <c r="S396" s="19"/>
      <c r="T396" s="10"/>
      <c r="U396" s="283" t="e">
        <v>#N/A</v>
      </c>
      <c r="V396" s="283" t="s">
        <v>1854</v>
      </c>
      <c r="W396" s="283">
        <v>0</v>
      </c>
      <c r="X396" s="283">
        <v>0</v>
      </c>
      <c r="Y396" s="283">
        <v>0</v>
      </c>
      <c r="Z396" s="283">
        <v>0</v>
      </c>
      <c r="AA396" s="283">
        <v>0</v>
      </c>
      <c r="AB396" s="283">
        <v>0</v>
      </c>
      <c r="AC396" s="316">
        <v>0</v>
      </c>
      <c r="AD396" s="316">
        <v>0</v>
      </c>
      <c r="AE396" s="302">
        <f t="shared" si="57"/>
        <v>0</v>
      </c>
      <c r="AF396" s="310">
        <v>0</v>
      </c>
      <c r="AG396" s="17">
        <v>0</v>
      </c>
      <c r="AH396" s="310">
        <v>0</v>
      </c>
      <c r="AI396" s="310">
        <v>0</v>
      </c>
      <c r="AJ396" s="310">
        <v>0</v>
      </c>
      <c r="AK396" s="317">
        <v>0</v>
      </c>
      <c r="AL396" s="317">
        <v>0</v>
      </c>
      <c r="AM396" s="17">
        <f t="shared" si="58"/>
        <v>0</v>
      </c>
      <c r="AN396" s="10" t="s">
        <v>239</v>
      </c>
      <c r="AO396" s="18" t="s">
        <v>241</v>
      </c>
      <c r="AP396" s="283" t="s">
        <v>1855</v>
      </c>
    </row>
    <row r="397" spans="1:42" hidden="1" x14ac:dyDescent="0.3">
      <c r="A397" s="314" t="s">
        <v>1470</v>
      </c>
      <c r="B397" s="283" t="s">
        <v>1502</v>
      </c>
      <c r="C397" s="314" t="s">
        <v>1474</v>
      </c>
      <c r="D397" s="283" t="s">
        <v>1821</v>
      </c>
      <c r="E397" s="314" t="s">
        <v>1475</v>
      </c>
      <c r="F397" s="283" t="s">
        <v>1822</v>
      </c>
      <c r="G397" s="314" t="s">
        <v>1823</v>
      </c>
      <c r="H397" s="283" t="s">
        <v>1824</v>
      </c>
      <c r="I397" s="315">
        <v>0</v>
      </c>
      <c r="J397" s="315">
        <v>0</v>
      </c>
      <c r="K397" s="314" t="s">
        <v>1856</v>
      </c>
      <c r="L397" s="283" t="s">
        <v>1857</v>
      </c>
      <c r="M397" s="283" t="s">
        <v>271</v>
      </c>
      <c r="N397" s="149">
        <v>0</v>
      </c>
      <c r="O397" s="149"/>
      <c r="P397" s="149"/>
      <c r="Q397" s="149"/>
      <c r="R397" s="149"/>
      <c r="S397" s="19"/>
      <c r="U397" s="283" t="e">
        <v>#N/A</v>
      </c>
      <c r="V397" s="283" t="s">
        <v>1858</v>
      </c>
      <c r="W397" s="283">
        <v>0</v>
      </c>
      <c r="X397" s="283">
        <v>0</v>
      </c>
      <c r="Y397" s="283">
        <v>0</v>
      </c>
      <c r="Z397" s="283">
        <v>1</v>
      </c>
      <c r="AA397" s="283">
        <v>0</v>
      </c>
      <c r="AB397" s="283">
        <v>1</v>
      </c>
      <c r="AC397" s="316">
        <v>1</v>
      </c>
      <c r="AD397" s="316">
        <v>1</v>
      </c>
      <c r="AE397" s="302">
        <f t="shared" si="57"/>
        <v>0.5</v>
      </c>
      <c r="AF397" s="310">
        <v>0</v>
      </c>
      <c r="AG397" s="17">
        <v>0</v>
      </c>
      <c r="AH397" s="310">
        <v>5</v>
      </c>
      <c r="AI397" s="310">
        <v>5</v>
      </c>
      <c r="AJ397" s="310">
        <v>8</v>
      </c>
      <c r="AK397" s="317"/>
      <c r="AL397" s="317"/>
      <c r="AM397" s="17">
        <f t="shared" si="58"/>
        <v>0</v>
      </c>
      <c r="AN397" s="283" t="s">
        <v>1610</v>
      </c>
      <c r="AO397" s="18" t="s">
        <v>773</v>
      </c>
      <c r="AP397" s="283" t="s">
        <v>119</v>
      </c>
    </row>
    <row r="398" spans="1:42" hidden="1" x14ac:dyDescent="0.3">
      <c r="A398" s="314" t="s">
        <v>1470</v>
      </c>
      <c r="B398" s="283" t="s">
        <v>1502</v>
      </c>
      <c r="C398" s="314" t="s">
        <v>1474</v>
      </c>
      <c r="D398" s="283" t="s">
        <v>1821</v>
      </c>
      <c r="E398" s="314" t="s">
        <v>1475</v>
      </c>
      <c r="F398" s="283" t="s">
        <v>1822</v>
      </c>
      <c r="G398" s="314" t="s">
        <v>1823</v>
      </c>
      <c r="H398" s="283" t="s">
        <v>1824</v>
      </c>
      <c r="I398" s="315">
        <v>0</v>
      </c>
      <c r="J398" s="315">
        <v>0</v>
      </c>
      <c r="K398" s="314" t="s">
        <v>1859</v>
      </c>
      <c r="L398" s="283" t="s">
        <v>1860</v>
      </c>
      <c r="M398" s="283" t="s">
        <v>271</v>
      </c>
      <c r="N398" s="149">
        <v>0</v>
      </c>
      <c r="O398" s="149"/>
      <c r="P398" s="149"/>
      <c r="Q398" s="149"/>
      <c r="R398" s="149"/>
      <c r="S398" s="19"/>
      <c r="U398" s="283" t="e">
        <v>#N/A</v>
      </c>
      <c r="V398" s="283" t="s">
        <v>1861</v>
      </c>
      <c r="W398" s="283">
        <v>0</v>
      </c>
      <c r="X398" s="283">
        <v>0</v>
      </c>
      <c r="Y398" s="283">
        <v>0</v>
      </c>
      <c r="Z398" s="283">
        <v>0</v>
      </c>
      <c r="AA398" s="283">
        <v>0</v>
      </c>
      <c r="AB398" s="283">
        <v>0</v>
      </c>
      <c r="AC398" s="316">
        <v>0</v>
      </c>
      <c r="AD398" s="316">
        <v>0</v>
      </c>
      <c r="AE398" s="302">
        <f t="shared" si="57"/>
        <v>0</v>
      </c>
      <c r="AF398" s="310">
        <v>0</v>
      </c>
      <c r="AG398" s="17">
        <v>0</v>
      </c>
      <c r="AH398" s="310">
        <v>15.74</v>
      </c>
      <c r="AI398" s="310">
        <v>15.74</v>
      </c>
      <c r="AJ398" s="310">
        <v>15.74</v>
      </c>
      <c r="AK398" s="317"/>
      <c r="AL398" s="317"/>
      <c r="AM398" s="17">
        <f t="shared" si="58"/>
        <v>0</v>
      </c>
      <c r="AN398" s="283" t="s">
        <v>1610</v>
      </c>
      <c r="AO398" s="18" t="s">
        <v>773</v>
      </c>
      <c r="AP398" s="283" t="s">
        <v>119</v>
      </c>
    </row>
    <row r="399" spans="1:42" hidden="1" x14ac:dyDescent="0.3">
      <c r="A399" s="314" t="s">
        <v>1470</v>
      </c>
      <c r="B399" s="283" t="s">
        <v>1502</v>
      </c>
      <c r="C399" s="314" t="s">
        <v>1474</v>
      </c>
      <c r="D399" s="283" t="s">
        <v>1821</v>
      </c>
      <c r="E399" s="314" t="s">
        <v>1475</v>
      </c>
      <c r="F399" s="283" t="s">
        <v>1822</v>
      </c>
      <c r="G399" s="314" t="s">
        <v>1823</v>
      </c>
      <c r="H399" s="283" t="s">
        <v>1824</v>
      </c>
      <c r="I399" s="315">
        <v>0</v>
      </c>
      <c r="J399" s="315">
        <v>0</v>
      </c>
      <c r="K399" s="314" t="s">
        <v>1862</v>
      </c>
      <c r="L399" s="283" t="s">
        <v>1863</v>
      </c>
      <c r="M399" s="283" t="s">
        <v>1864</v>
      </c>
      <c r="N399" s="149">
        <v>0</v>
      </c>
      <c r="O399" s="149">
        <v>1</v>
      </c>
      <c r="P399" s="149" t="s">
        <v>271</v>
      </c>
      <c r="Q399" s="149" t="s">
        <v>271</v>
      </c>
      <c r="R399" s="149" t="s">
        <v>271</v>
      </c>
      <c r="S399" s="19" t="s">
        <v>271</v>
      </c>
      <c r="U399" s="283" t="e">
        <v>#N/A</v>
      </c>
      <c r="AC399" s="316">
        <v>0</v>
      </c>
      <c r="AD399" s="316">
        <v>0</v>
      </c>
      <c r="AE399" s="302">
        <f t="shared" si="57"/>
        <v>0</v>
      </c>
      <c r="AF399" s="4"/>
      <c r="AG399" s="17">
        <v>0</v>
      </c>
      <c r="AM399" s="17">
        <f t="shared" si="58"/>
        <v>0</v>
      </c>
      <c r="AO399" s="18"/>
    </row>
    <row r="400" spans="1:42" hidden="1" x14ac:dyDescent="0.3">
      <c r="A400" s="314" t="s">
        <v>1470</v>
      </c>
      <c r="B400" s="283" t="s">
        <v>1502</v>
      </c>
      <c r="C400" s="314" t="s">
        <v>1474</v>
      </c>
      <c r="D400" s="283" t="s">
        <v>1821</v>
      </c>
      <c r="E400" s="314" t="s">
        <v>1475</v>
      </c>
      <c r="F400" s="283" t="s">
        <v>1822</v>
      </c>
      <c r="G400" s="314" t="s">
        <v>1823</v>
      </c>
      <c r="H400" s="283" t="s">
        <v>1824</v>
      </c>
      <c r="I400" s="315">
        <v>0</v>
      </c>
      <c r="J400" s="315">
        <v>0</v>
      </c>
      <c r="K400" s="314" t="s">
        <v>1862</v>
      </c>
      <c r="L400" s="283" t="s">
        <v>1863</v>
      </c>
      <c r="M400" s="283" t="s">
        <v>1865</v>
      </c>
      <c r="N400" s="149">
        <v>0</v>
      </c>
      <c r="O400" s="149">
        <v>1</v>
      </c>
      <c r="P400" s="149" t="s">
        <v>271</v>
      </c>
      <c r="Q400" s="149" t="s">
        <v>271</v>
      </c>
      <c r="R400" s="149" t="s">
        <v>271</v>
      </c>
      <c r="S400" s="19" t="s">
        <v>271</v>
      </c>
      <c r="U400" s="283" t="e">
        <v>#N/A</v>
      </c>
      <c r="AC400" s="316">
        <v>0</v>
      </c>
      <c r="AD400" s="316">
        <v>0</v>
      </c>
      <c r="AE400" s="302">
        <f t="shared" si="57"/>
        <v>0</v>
      </c>
      <c r="AF400" s="4"/>
      <c r="AG400" s="17">
        <v>0</v>
      </c>
      <c r="AM400" s="17">
        <f t="shared" si="58"/>
        <v>0</v>
      </c>
      <c r="AO400" s="18"/>
    </row>
    <row r="401" spans="1:42" hidden="1" x14ac:dyDescent="0.3">
      <c r="A401" s="314" t="s">
        <v>1470</v>
      </c>
      <c r="B401" s="283" t="s">
        <v>1502</v>
      </c>
      <c r="C401" s="314" t="s">
        <v>1474</v>
      </c>
      <c r="D401" s="283" t="s">
        <v>1821</v>
      </c>
      <c r="E401" s="314" t="s">
        <v>1475</v>
      </c>
      <c r="F401" s="283" t="s">
        <v>1822</v>
      </c>
      <c r="G401" s="314" t="s">
        <v>1823</v>
      </c>
      <c r="H401" s="283" t="s">
        <v>1824</v>
      </c>
      <c r="I401" s="315">
        <v>0</v>
      </c>
      <c r="J401" s="315">
        <v>0</v>
      </c>
      <c r="K401" s="314" t="s">
        <v>1862</v>
      </c>
      <c r="L401" s="283" t="s">
        <v>1863</v>
      </c>
      <c r="M401" s="283" t="s">
        <v>1866</v>
      </c>
      <c r="N401" s="149">
        <v>186</v>
      </c>
      <c r="O401" s="149" t="s">
        <v>271</v>
      </c>
      <c r="P401" s="149">
        <v>200</v>
      </c>
      <c r="Q401" s="149">
        <v>250</v>
      </c>
      <c r="R401" s="149">
        <v>300</v>
      </c>
      <c r="S401" s="19">
        <v>350</v>
      </c>
      <c r="U401" s="283" t="e">
        <v>#N/A</v>
      </c>
      <c r="AC401" s="316">
        <v>0</v>
      </c>
      <c r="AD401" s="316">
        <v>0</v>
      </c>
      <c r="AE401" s="302">
        <f t="shared" si="57"/>
        <v>0</v>
      </c>
      <c r="AF401" s="4"/>
      <c r="AG401" s="17">
        <v>0</v>
      </c>
      <c r="AM401" s="17">
        <f t="shared" si="58"/>
        <v>0</v>
      </c>
      <c r="AO401" s="18"/>
    </row>
    <row r="402" spans="1:42" hidden="1" x14ac:dyDescent="0.3">
      <c r="A402" s="314" t="s">
        <v>1470</v>
      </c>
      <c r="B402" s="283" t="s">
        <v>1502</v>
      </c>
      <c r="C402" s="314" t="s">
        <v>1474</v>
      </c>
      <c r="D402" s="283" t="s">
        <v>1821</v>
      </c>
      <c r="E402" s="314" t="s">
        <v>1475</v>
      </c>
      <c r="F402" s="283" t="s">
        <v>1822</v>
      </c>
      <c r="G402" s="314" t="s">
        <v>1867</v>
      </c>
      <c r="H402" s="283" t="s">
        <v>1868</v>
      </c>
      <c r="I402" s="315">
        <v>0</v>
      </c>
      <c r="J402" s="315">
        <v>0</v>
      </c>
      <c r="K402" s="318" t="s">
        <v>1869</v>
      </c>
      <c r="L402" s="283" t="s">
        <v>1870</v>
      </c>
      <c r="M402" s="283" t="s">
        <v>1871</v>
      </c>
      <c r="N402" s="149"/>
      <c r="O402" s="149"/>
      <c r="P402" s="149"/>
      <c r="Q402" s="149"/>
      <c r="R402" s="149"/>
      <c r="S402" s="19"/>
      <c r="U402" s="283" t="e">
        <v>#N/A</v>
      </c>
      <c r="AC402" s="316">
        <v>0</v>
      </c>
      <c r="AD402" s="316">
        <v>0</v>
      </c>
      <c r="AE402" s="302">
        <f t="shared" si="57"/>
        <v>0</v>
      </c>
      <c r="AF402" s="4"/>
      <c r="AG402" s="17">
        <v>0</v>
      </c>
      <c r="AM402" s="17">
        <f t="shared" si="58"/>
        <v>0</v>
      </c>
      <c r="AO402" s="18"/>
    </row>
    <row r="403" spans="1:42" hidden="1" x14ac:dyDescent="0.3">
      <c r="A403" s="314" t="s">
        <v>1470</v>
      </c>
      <c r="B403" s="283" t="s">
        <v>1502</v>
      </c>
      <c r="C403" s="314" t="s">
        <v>1474</v>
      </c>
      <c r="D403" s="283" t="s">
        <v>1821</v>
      </c>
      <c r="E403" s="314" t="s">
        <v>1475</v>
      </c>
      <c r="F403" s="283" t="s">
        <v>1822</v>
      </c>
      <c r="G403" s="314" t="s">
        <v>1867</v>
      </c>
      <c r="H403" s="283" t="s">
        <v>1868</v>
      </c>
      <c r="I403" s="315">
        <v>0</v>
      </c>
      <c r="J403" s="315">
        <v>0</v>
      </c>
      <c r="K403" s="318" t="s">
        <v>1869</v>
      </c>
      <c r="L403" s="283" t="s">
        <v>1870</v>
      </c>
      <c r="M403" s="283" t="s">
        <v>1872</v>
      </c>
      <c r="N403" s="149">
        <v>0</v>
      </c>
      <c r="O403" s="149"/>
      <c r="P403" s="149"/>
      <c r="Q403" s="149"/>
      <c r="R403" s="149"/>
      <c r="S403" s="19"/>
      <c r="U403" s="283" t="e">
        <v>#N/A</v>
      </c>
      <c r="AC403" s="316">
        <v>0</v>
      </c>
      <c r="AD403" s="316">
        <v>0</v>
      </c>
      <c r="AE403" s="302">
        <f t="shared" si="57"/>
        <v>0</v>
      </c>
      <c r="AF403" s="4"/>
      <c r="AG403" s="17">
        <v>0</v>
      </c>
      <c r="AM403" s="17">
        <f t="shared" si="58"/>
        <v>0</v>
      </c>
      <c r="AO403" s="18"/>
    </row>
    <row r="404" spans="1:42" hidden="1" x14ac:dyDescent="0.3">
      <c r="A404" s="314" t="s">
        <v>1470</v>
      </c>
      <c r="B404" s="283" t="s">
        <v>1502</v>
      </c>
      <c r="C404" s="314" t="s">
        <v>1474</v>
      </c>
      <c r="D404" s="283" t="s">
        <v>1821</v>
      </c>
      <c r="E404" s="314" t="s">
        <v>1475</v>
      </c>
      <c r="F404" s="283" t="s">
        <v>1822</v>
      </c>
      <c r="G404" s="314" t="s">
        <v>1867</v>
      </c>
      <c r="H404" s="283" t="s">
        <v>1868</v>
      </c>
      <c r="I404" s="315">
        <v>0</v>
      </c>
      <c r="J404" s="315">
        <v>0</v>
      </c>
      <c r="K404" s="318" t="s">
        <v>1869</v>
      </c>
      <c r="L404" s="283" t="s">
        <v>1870</v>
      </c>
      <c r="M404" s="283" t="s">
        <v>1873</v>
      </c>
      <c r="N404" s="149">
        <v>0</v>
      </c>
      <c r="O404" s="149"/>
      <c r="P404" s="149"/>
      <c r="Q404" s="149"/>
      <c r="R404" s="149"/>
      <c r="S404" s="19"/>
      <c r="U404" s="283" t="e">
        <v>#N/A</v>
      </c>
      <c r="AC404" s="316">
        <v>0</v>
      </c>
      <c r="AD404" s="316">
        <v>0</v>
      </c>
      <c r="AE404" s="302">
        <f t="shared" si="57"/>
        <v>0</v>
      </c>
      <c r="AF404" s="4"/>
      <c r="AG404" s="17">
        <v>0</v>
      </c>
      <c r="AM404" s="17">
        <f t="shared" si="58"/>
        <v>0</v>
      </c>
      <c r="AO404" s="18"/>
    </row>
    <row r="405" spans="1:42" hidden="1" x14ac:dyDescent="0.3">
      <c r="A405" s="314" t="s">
        <v>1470</v>
      </c>
      <c r="B405" s="283" t="s">
        <v>1502</v>
      </c>
      <c r="C405" s="314" t="s">
        <v>1474</v>
      </c>
      <c r="D405" s="283" t="s">
        <v>1821</v>
      </c>
      <c r="E405" s="314" t="s">
        <v>1475</v>
      </c>
      <c r="F405" s="283" t="s">
        <v>1822</v>
      </c>
      <c r="G405" s="314" t="s">
        <v>1867</v>
      </c>
      <c r="H405" s="283" t="s">
        <v>1868</v>
      </c>
      <c r="I405" s="315">
        <v>0</v>
      </c>
      <c r="J405" s="315">
        <v>0</v>
      </c>
      <c r="K405" s="318" t="s">
        <v>1874</v>
      </c>
      <c r="L405" s="283" t="s">
        <v>1875</v>
      </c>
      <c r="M405" s="283" t="s">
        <v>271</v>
      </c>
      <c r="N405" s="149">
        <v>0</v>
      </c>
      <c r="O405" s="19"/>
      <c r="P405" s="19"/>
      <c r="Q405" s="152"/>
      <c r="R405" s="19"/>
      <c r="S405" s="19"/>
      <c r="T405" s="10"/>
      <c r="U405" s="283" t="e">
        <v>#N/A</v>
      </c>
      <c r="V405" s="283" t="s">
        <v>1876</v>
      </c>
      <c r="AC405" s="316">
        <v>0</v>
      </c>
      <c r="AD405" s="316">
        <v>0</v>
      </c>
      <c r="AE405" s="302">
        <f t="shared" si="57"/>
        <v>0</v>
      </c>
      <c r="AF405" s="17"/>
      <c r="AG405" s="17">
        <v>0</v>
      </c>
      <c r="AH405" s="17">
        <v>0</v>
      </c>
      <c r="AI405" s="17">
        <v>0</v>
      </c>
      <c r="AJ405" s="17">
        <v>0</v>
      </c>
      <c r="AK405" s="153">
        <v>0</v>
      </c>
      <c r="AL405" s="154">
        <v>0</v>
      </c>
      <c r="AM405" s="17">
        <f t="shared" si="58"/>
        <v>0</v>
      </c>
      <c r="AN405" s="10" t="s">
        <v>239</v>
      </c>
      <c r="AO405" s="18" t="s">
        <v>241</v>
      </c>
      <c r="AP405" s="283" t="s">
        <v>1855</v>
      </c>
    </row>
    <row r="406" spans="1:42" hidden="1" x14ac:dyDescent="0.3">
      <c r="A406" s="314" t="s">
        <v>1470</v>
      </c>
      <c r="B406" s="283" t="s">
        <v>1502</v>
      </c>
      <c r="C406" s="314" t="s">
        <v>1474</v>
      </c>
      <c r="D406" s="283" t="s">
        <v>1821</v>
      </c>
      <c r="E406" s="314" t="s">
        <v>1475</v>
      </c>
      <c r="F406" s="283" t="s">
        <v>1822</v>
      </c>
      <c r="G406" s="314" t="s">
        <v>1867</v>
      </c>
      <c r="H406" s="283" t="s">
        <v>1868</v>
      </c>
      <c r="I406" s="315">
        <v>0</v>
      </c>
      <c r="J406" s="315">
        <v>0</v>
      </c>
      <c r="K406" s="318" t="s">
        <v>1877</v>
      </c>
      <c r="L406" s="283" t="s">
        <v>1878</v>
      </c>
      <c r="M406" s="283" t="s">
        <v>271</v>
      </c>
      <c r="N406" s="149">
        <v>0</v>
      </c>
      <c r="O406" s="19"/>
      <c r="P406" s="19"/>
      <c r="Q406" s="152"/>
      <c r="R406" s="19"/>
      <c r="S406" s="19"/>
      <c r="T406" s="10"/>
      <c r="U406" s="283" t="e">
        <v>#N/A</v>
      </c>
      <c r="V406" s="283" t="s">
        <v>1879</v>
      </c>
      <c r="AC406" s="316">
        <v>0</v>
      </c>
      <c r="AD406" s="316">
        <v>0</v>
      </c>
      <c r="AE406" s="302">
        <f t="shared" si="57"/>
        <v>0</v>
      </c>
      <c r="AF406" s="17"/>
      <c r="AG406" s="17">
        <v>0</v>
      </c>
      <c r="AH406" s="17">
        <v>0</v>
      </c>
      <c r="AI406" s="17">
        <v>0</v>
      </c>
      <c r="AJ406" s="17">
        <v>0</v>
      </c>
      <c r="AK406" s="153">
        <v>0</v>
      </c>
      <c r="AL406" s="154">
        <v>0</v>
      </c>
      <c r="AM406" s="17">
        <f t="shared" si="58"/>
        <v>0</v>
      </c>
      <c r="AN406" s="10" t="s">
        <v>239</v>
      </c>
      <c r="AO406" s="18" t="s">
        <v>241</v>
      </c>
      <c r="AP406" s="283" t="s">
        <v>1880</v>
      </c>
    </row>
    <row r="407" spans="1:42" x14ac:dyDescent="0.3">
      <c r="A407" s="314" t="s">
        <v>1470</v>
      </c>
      <c r="B407" s="283" t="s">
        <v>1502</v>
      </c>
      <c r="C407" s="314" t="s">
        <v>1474</v>
      </c>
      <c r="D407" s="283" t="s">
        <v>1821</v>
      </c>
      <c r="E407" s="314" t="s">
        <v>1475</v>
      </c>
      <c r="F407" s="283" t="s">
        <v>1822</v>
      </c>
      <c r="G407" s="314" t="s">
        <v>1881</v>
      </c>
      <c r="H407" s="283" t="s">
        <v>1882</v>
      </c>
      <c r="I407" s="315">
        <v>0</v>
      </c>
      <c r="J407" s="315">
        <v>0</v>
      </c>
      <c r="K407" s="314" t="s">
        <v>1883</v>
      </c>
      <c r="L407" s="283" t="s">
        <v>1884</v>
      </c>
      <c r="M407" s="10" t="s">
        <v>1885</v>
      </c>
      <c r="N407" s="149">
        <v>0</v>
      </c>
      <c r="O407" s="19">
        <v>6</v>
      </c>
      <c r="P407" s="19">
        <v>6</v>
      </c>
      <c r="Q407" s="19">
        <v>6</v>
      </c>
      <c r="R407" s="19">
        <v>6</v>
      </c>
      <c r="S407" s="19">
        <v>6</v>
      </c>
      <c r="T407" s="10" t="s">
        <v>1886</v>
      </c>
      <c r="U407" s="283" t="e">
        <v>#N/A</v>
      </c>
      <c r="V407" s="283" t="s">
        <v>1887</v>
      </c>
      <c r="W407" s="283">
        <v>1</v>
      </c>
      <c r="X407" s="283">
        <v>0</v>
      </c>
      <c r="Y407" s="283">
        <v>1</v>
      </c>
      <c r="Z407" s="283">
        <v>1</v>
      </c>
      <c r="AA407" s="283">
        <v>1</v>
      </c>
      <c r="AB407" s="283">
        <v>1</v>
      </c>
      <c r="AC407" s="316">
        <v>0</v>
      </c>
      <c r="AD407" s="316">
        <v>1</v>
      </c>
      <c r="AE407" s="302">
        <f t="shared" si="57"/>
        <v>0.75</v>
      </c>
      <c r="AF407" s="310">
        <v>0</v>
      </c>
      <c r="AG407" s="17">
        <v>0</v>
      </c>
      <c r="AH407" s="310" t="s">
        <v>1888</v>
      </c>
      <c r="AI407" s="310">
        <v>0.15</v>
      </c>
      <c r="AJ407" s="310">
        <v>0.15</v>
      </c>
      <c r="AK407" s="317">
        <v>2</v>
      </c>
      <c r="AL407" s="317">
        <v>2</v>
      </c>
      <c r="AM407" s="17">
        <f t="shared" si="58"/>
        <v>4</v>
      </c>
      <c r="AN407" s="10" t="s">
        <v>1345</v>
      </c>
      <c r="AO407" s="18" t="s">
        <v>1334</v>
      </c>
      <c r="AP407" s="283" t="s">
        <v>255</v>
      </c>
    </row>
    <row r="408" spans="1:42" hidden="1" x14ac:dyDescent="0.3">
      <c r="A408" s="314" t="s">
        <v>1470</v>
      </c>
      <c r="B408" s="283" t="s">
        <v>1502</v>
      </c>
      <c r="C408" s="314" t="s">
        <v>1474</v>
      </c>
      <c r="D408" s="283" t="s">
        <v>1821</v>
      </c>
      <c r="E408" s="314" t="s">
        <v>1475</v>
      </c>
      <c r="F408" s="283" t="s">
        <v>1822</v>
      </c>
      <c r="G408" s="314" t="s">
        <v>1881</v>
      </c>
      <c r="H408" s="283" t="s">
        <v>1882</v>
      </c>
      <c r="I408" s="315">
        <v>0</v>
      </c>
      <c r="J408" s="315">
        <v>0</v>
      </c>
      <c r="K408" s="314" t="s">
        <v>1889</v>
      </c>
      <c r="L408" s="283" t="s">
        <v>1890</v>
      </c>
      <c r="M408" s="10" t="s">
        <v>1891</v>
      </c>
      <c r="N408" s="149">
        <v>0</v>
      </c>
      <c r="O408" s="19">
        <v>139</v>
      </c>
      <c r="P408" s="19">
        <v>139</v>
      </c>
      <c r="Q408" s="19">
        <v>139</v>
      </c>
      <c r="R408" s="19">
        <v>139</v>
      </c>
      <c r="S408" s="19">
        <v>139</v>
      </c>
      <c r="T408" s="10" t="s">
        <v>1886</v>
      </c>
      <c r="U408" s="283" t="e">
        <v>#N/A</v>
      </c>
      <c r="V408" s="283" t="s">
        <v>1892</v>
      </c>
      <c r="W408" s="283">
        <v>0</v>
      </c>
      <c r="X408" s="283">
        <v>0</v>
      </c>
      <c r="Y408" s="283">
        <v>0</v>
      </c>
      <c r="Z408" s="283">
        <v>1</v>
      </c>
      <c r="AA408" s="283">
        <v>1</v>
      </c>
      <c r="AB408" s="283">
        <v>1</v>
      </c>
      <c r="AC408" s="316">
        <v>0</v>
      </c>
      <c r="AD408" s="316">
        <v>1</v>
      </c>
      <c r="AE408" s="302">
        <f t="shared" si="57"/>
        <v>0.5</v>
      </c>
      <c r="AF408" s="310">
        <v>0</v>
      </c>
      <c r="AG408" s="17">
        <v>0</v>
      </c>
      <c r="AH408" s="310" t="s">
        <v>1888</v>
      </c>
      <c r="AI408" s="310">
        <v>0.2</v>
      </c>
      <c r="AJ408" s="310">
        <v>0.2</v>
      </c>
      <c r="AK408" s="317"/>
      <c r="AL408" s="317"/>
      <c r="AM408" s="17">
        <f t="shared" si="58"/>
        <v>0</v>
      </c>
      <c r="AN408" s="10" t="s">
        <v>1345</v>
      </c>
      <c r="AO408" s="18" t="s">
        <v>1334</v>
      </c>
      <c r="AP408" s="283" t="s">
        <v>1893</v>
      </c>
    </row>
    <row r="409" spans="1:42" hidden="1" x14ac:dyDescent="0.3">
      <c r="A409" s="314" t="s">
        <v>1470</v>
      </c>
      <c r="B409" s="283" t="s">
        <v>1502</v>
      </c>
      <c r="C409" s="314" t="s">
        <v>1474</v>
      </c>
      <c r="D409" s="283" t="s">
        <v>1821</v>
      </c>
      <c r="E409" s="314" t="s">
        <v>1475</v>
      </c>
      <c r="F409" s="283" t="s">
        <v>1822</v>
      </c>
      <c r="G409" s="314" t="s">
        <v>1881</v>
      </c>
      <c r="H409" s="283" t="s">
        <v>1882</v>
      </c>
      <c r="I409" s="315">
        <v>0</v>
      </c>
      <c r="J409" s="315">
        <v>0</v>
      </c>
      <c r="K409" s="314" t="s">
        <v>1894</v>
      </c>
      <c r="L409" s="283" t="s">
        <v>1895</v>
      </c>
      <c r="M409" s="10" t="s">
        <v>1896</v>
      </c>
      <c r="N409" s="149">
        <v>0</v>
      </c>
      <c r="O409" s="19">
        <v>6</v>
      </c>
      <c r="P409" s="19">
        <v>6</v>
      </c>
      <c r="Q409" s="19">
        <v>6</v>
      </c>
      <c r="R409" s="19">
        <v>6</v>
      </c>
      <c r="S409" s="19">
        <v>6</v>
      </c>
      <c r="T409" s="10" t="s">
        <v>1886</v>
      </c>
      <c r="U409" s="283" t="e">
        <v>#N/A</v>
      </c>
      <c r="V409" s="283" t="s">
        <v>1897</v>
      </c>
      <c r="W409" s="283">
        <v>0</v>
      </c>
      <c r="X409" s="283">
        <v>0</v>
      </c>
      <c r="Y409" s="283">
        <v>0</v>
      </c>
      <c r="Z409" s="283">
        <v>0</v>
      </c>
      <c r="AA409" s="283">
        <v>0</v>
      </c>
      <c r="AB409" s="283">
        <v>0</v>
      </c>
      <c r="AC409" s="316">
        <v>0</v>
      </c>
      <c r="AD409" s="316">
        <v>0</v>
      </c>
      <c r="AE409" s="302">
        <f t="shared" si="57"/>
        <v>0</v>
      </c>
      <c r="AF409" s="310">
        <v>0</v>
      </c>
      <c r="AG409" s="17">
        <v>0</v>
      </c>
      <c r="AH409" s="310" t="s">
        <v>1888</v>
      </c>
      <c r="AI409" s="310">
        <v>0.16</v>
      </c>
      <c r="AJ409" s="310">
        <v>0.16</v>
      </c>
      <c r="AK409" s="317"/>
      <c r="AL409" s="317"/>
      <c r="AM409" s="17">
        <f t="shared" si="58"/>
        <v>0</v>
      </c>
      <c r="AN409" s="10" t="s">
        <v>1345</v>
      </c>
      <c r="AO409" s="18" t="s">
        <v>1334</v>
      </c>
      <c r="AP409" s="283" t="s">
        <v>1898</v>
      </c>
    </row>
    <row r="410" spans="1:42" hidden="1" x14ac:dyDescent="0.3">
      <c r="A410" s="314" t="s">
        <v>1470</v>
      </c>
      <c r="B410" s="283" t="s">
        <v>1502</v>
      </c>
      <c r="C410" s="314" t="s">
        <v>1474</v>
      </c>
      <c r="D410" s="283" t="s">
        <v>1821</v>
      </c>
      <c r="E410" s="314" t="s">
        <v>1475</v>
      </c>
      <c r="F410" s="283" t="s">
        <v>1822</v>
      </c>
      <c r="G410" s="314" t="s">
        <v>1881</v>
      </c>
      <c r="H410" s="283" t="s">
        <v>1882</v>
      </c>
      <c r="I410" s="315">
        <v>0</v>
      </c>
      <c r="J410" s="315">
        <v>0</v>
      </c>
      <c r="K410" s="314" t="s">
        <v>1899</v>
      </c>
      <c r="L410" s="283" t="s">
        <v>1900</v>
      </c>
      <c r="M410" s="10" t="s">
        <v>1901</v>
      </c>
      <c r="N410" s="149">
        <v>0</v>
      </c>
      <c r="O410" s="19" t="s">
        <v>271</v>
      </c>
      <c r="P410" s="19" t="s">
        <v>271</v>
      </c>
      <c r="Q410" s="19"/>
      <c r="R410" s="19"/>
      <c r="S410" s="19">
        <v>1</v>
      </c>
      <c r="T410" s="10" t="s">
        <v>1886</v>
      </c>
      <c r="U410" s="283" t="e">
        <v>#N/A</v>
      </c>
      <c r="V410" s="283" t="s">
        <v>1902</v>
      </c>
      <c r="W410" s="283">
        <v>1</v>
      </c>
      <c r="X410" s="283">
        <v>0</v>
      </c>
      <c r="Y410" s="283">
        <v>0</v>
      </c>
      <c r="Z410" s="283">
        <v>1</v>
      </c>
      <c r="AA410" s="283">
        <v>1</v>
      </c>
      <c r="AB410" s="283">
        <v>1</v>
      </c>
      <c r="AC410" s="316">
        <v>0</v>
      </c>
      <c r="AD410" s="316">
        <v>1</v>
      </c>
      <c r="AE410" s="302">
        <f t="shared" si="57"/>
        <v>0.625</v>
      </c>
      <c r="AF410" s="310">
        <v>0</v>
      </c>
      <c r="AG410" s="17">
        <v>0</v>
      </c>
      <c r="AH410" s="310" t="s">
        <v>1888</v>
      </c>
      <c r="AI410" s="310" t="s">
        <v>1903</v>
      </c>
      <c r="AJ410" s="310">
        <v>1</v>
      </c>
      <c r="AK410" s="317">
        <v>1</v>
      </c>
      <c r="AL410" s="317">
        <v>1</v>
      </c>
      <c r="AM410" s="17">
        <f t="shared" si="58"/>
        <v>2</v>
      </c>
      <c r="AN410" s="10" t="s">
        <v>1345</v>
      </c>
      <c r="AO410" s="18" t="s">
        <v>1334</v>
      </c>
      <c r="AP410" s="283" t="s">
        <v>1898</v>
      </c>
    </row>
    <row r="411" spans="1:42" hidden="1" x14ac:dyDescent="0.3">
      <c r="A411" s="314" t="s">
        <v>1470</v>
      </c>
      <c r="B411" s="283" t="s">
        <v>1502</v>
      </c>
      <c r="C411" s="314" t="s">
        <v>1474</v>
      </c>
      <c r="D411" s="283" t="s">
        <v>1821</v>
      </c>
      <c r="E411" s="314" t="s">
        <v>1475</v>
      </c>
      <c r="F411" s="283" t="s">
        <v>1822</v>
      </c>
      <c r="G411" s="314" t="s">
        <v>1881</v>
      </c>
      <c r="H411" s="283" t="s">
        <v>1882</v>
      </c>
      <c r="I411" s="315">
        <v>0</v>
      </c>
      <c r="J411" s="315">
        <v>0</v>
      </c>
      <c r="K411" s="314" t="s">
        <v>1904</v>
      </c>
      <c r="L411" s="283" t="s">
        <v>1905</v>
      </c>
      <c r="M411" s="10" t="s">
        <v>1906</v>
      </c>
      <c r="N411" s="149">
        <v>0</v>
      </c>
      <c r="O411" s="19" t="s">
        <v>271</v>
      </c>
      <c r="P411" s="19">
        <v>8</v>
      </c>
      <c r="Q411" s="19">
        <v>8</v>
      </c>
      <c r="R411" s="19">
        <v>8</v>
      </c>
      <c r="S411" s="19">
        <v>10</v>
      </c>
      <c r="T411" s="10" t="s">
        <v>1886</v>
      </c>
      <c r="U411" s="283" t="e">
        <v>#N/A</v>
      </c>
      <c r="V411" s="283" t="s">
        <v>1907</v>
      </c>
      <c r="W411" s="283">
        <v>0</v>
      </c>
      <c r="X411" s="283">
        <v>0</v>
      </c>
      <c r="Y411" s="283">
        <v>0</v>
      </c>
      <c r="Z411" s="283">
        <v>0</v>
      </c>
      <c r="AA411" s="283">
        <v>0</v>
      </c>
      <c r="AB411" s="283">
        <v>0</v>
      </c>
      <c r="AC411" s="316">
        <v>0</v>
      </c>
      <c r="AD411" s="316">
        <v>0</v>
      </c>
      <c r="AE411" s="302">
        <f t="shared" si="57"/>
        <v>0</v>
      </c>
      <c r="AF411" s="310">
        <v>0</v>
      </c>
      <c r="AG411" s="17">
        <v>0</v>
      </c>
      <c r="AH411" s="310" t="s">
        <v>1888</v>
      </c>
      <c r="AI411" s="310">
        <v>0.08</v>
      </c>
      <c r="AJ411" s="310">
        <v>0.08</v>
      </c>
      <c r="AK411" s="317"/>
      <c r="AL411" s="317"/>
      <c r="AM411" s="17">
        <f t="shared" si="58"/>
        <v>0</v>
      </c>
      <c r="AN411" s="10" t="s">
        <v>1345</v>
      </c>
      <c r="AO411" s="18" t="s">
        <v>1334</v>
      </c>
      <c r="AP411" s="283" t="s">
        <v>1898</v>
      </c>
    </row>
    <row r="412" spans="1:42" hidden="1" x14ac:dyDescent="0.3">
      <c r="A412" s="314" t="s">
        <v>1470</v>
      </c>
      <c r="B412" s="283" t="s">
        <v>1502</v>
      </c>
      <c r="C412" s="314" t="s">
        <v>1474</v>
      </c>
      <c r="D412" s="283" t="s">
        <v>1821</v>
      </c>
      <c r="E412" s="314" t="s">
        <v>1475</v>
      </c>
      <c r="F412" s="283" t="s">
        <v>1822</v>
      </c>
      <c r="G412" s="314" t="s">
        <v>1881</v>
      </c>
      <c r="H412" s="283" t="s">
        <v>1882</v>
      </c>
      <c r="I412" s="315">
        <v>0</v>
      </c>
      <c r="J412" s="315">
        <v>0</v>
      </c>
      <c r="K412" s="314" t="s">
        <v>1908</v>
      </c>
      <c r="L412" s="283" t="s">
        <v>1909</v>
      </c>
      <c r="M412" s="10" t="s">
        <v>1910</v>
      </c>
      <c r="N412" s="149">
        <v>0</v>
      </c>
      <c r="O412" s="19"/>
      <c r="P412" s="19">
        <v>1</v>
      </c>
      <c r="Q412" s="19" t="s">
        <v>271</v>
      </c>
      <c r="R412" s="19" t="s">
        <v>271</v>
      </c>
      <c r="S412" s="19" t="s">
        <v>271</v>
      </c>
      <c r="T412" s="10" t="s">
        <v>1762</v>
      </c>
      <c r="U412" s="283" t="e">
        <v>#N/A</v>
      </c>
      <c r="V412" s="283" t="s">
        <v>1911</v>
      </c>
      <c r="W412" s="283">
        <v>0</v>
      </c>
      <c r="X412" s="283">
        <v>0</v>
      </c>
      <c r="Y412" s="283">
        <v>0</v>
      </c>
      <c r="Z412" s="283">
        <v>0</v>
      </c>
      <c r="AA412" s="283">
        <v>0</v>
      </c>
      <c r="AB412" s="283">
        <v>0</v>
      </c>
      <c r="AC412" s="316">
        <v>0</v>
      </c>
      <c r="AD412" s="316">
        <v>0</v>
      </c>
      <c r="AE412" s="302">
        <f t="shared" si="57"/>
        <v>0</v>
      </c>
      <c r="AF412" s="17">
        <v>0</v>
      </c>
      <c r="AG412" s="17">
        <v>0</v>
      </c>
      <c r="AH412" s="17">
        <v>0</v>
      </c>
      <c r="AI412" s="310">
        <v>0.1</v>
      </c>
      <c r="AJ412" s="310" t="s">
        <v>1903</v>
      </c>
      <c r="AK412" s="317" t="s">
        <v>1903</v>
      </c>
      <c r="AL412" s="317" t="s">
        <v>1903</v>
      </c>
      <c r="AM412" s="17">
        <f t="shared" si="58"/>
        <v>0</v>
      </c>
      <c r="AN412" s="283" t="s">
        <v>1775</v>
      </c>
      <c r="AO412" s="18" t="s">
        <v>1776</v>
      </c>
      <c r="AP412" s="283" t="s">
        <v>1912</v>
      </c>
    </row>
    <row r="413" spans="1:42" hidden="1" x14ac:dyDescent="0.3">
      <c r="A413" s="314" t="s">
        <v>1470</v>
      </c>
      <c r="B413" s="283" t="s">
        <v>1502</v>
      </c>
      <c r="C413" s="314" t="s">
        <v>1474</v>
      </c>
      <c r="D413" s="283" t="s">
        <v>1821</v>
      </c>
      <c r="E413" s="314" t="s">
        <v>1475</v>
      </c>
      <c r="F413" s="283" t="s">
        <v>1822</v>
      </c>
      <c r="G413" s="314" t="s">
        <v>1881</v>
      </c>
      <c r="H413" s="283" t="s">
        <v>1882</v>
      </c>
      <c r="I413" s="315">
        <v>0</v>
      </c>
      <c r="J413" s="315">
        <v>0</v>
      </c>
      <c r="K413" s="314" t="s">
        <v>1908</v>
      </c>
      <c r="L413" s="283" t="s">
        <v>1909</v>
      </c>
      <c r="M413" s="10" t="s">
        <v>1913</v>
      </c>
      <c r="N413" s="149">
        <v>0</v>
      </c>
      <c r="O413" s="19" t="s">
        <v>271</v>
      </c>
      <c r="P413" s="19">
        <v>100</v>
      </c>
      <c r="Q413" s="19">
        <v>100</v>
      </c>
      <c r="R413" s="19">
        <v>100</v>
      </c>
      <c r="S413" s="19">
        <v>100</v>
      </c>
      <c r="T413" s="10" t="s">
        <v>1762</v>
      </c>
      <c r="U413" s="283" t="e">
        <v>#N/A</v>
      </c>
      <c r="V413" s="283" t="s">
        <v>1914</v>
      </c>
      <c r="W413" s="283">
        <v>0</v>
      </c>
      <c r="X413" s="283">
        <v>0</v>
      </c>
      <c r="Y413" s="283">
        <v>0</v>
      </c>
      <c r="Z413" s="283">
        <v>0</v>
      </c>
      <c r="AA413" s="283">
        <v>0</v>
      </c>
      <c r="AB413" s="283">
        <v>0</v>
      </c>
      <c r="AC413" s="316">
        <v>0</v>
      </c>
      <c r="AD413" s="316">
        <v>0</v>
      </c>
      <c r="AE413" s="302">
        <f t="shared" si="57"/>
        <v>0</v>
      </c>
      <c r="AF413" s="310">
        <v>0</v>
      </c>
      <c r="AG413" s="17">
        <v>0</v>
      </c>
      <c r="AH413" s="310" t="s">
        <v>1888</v>
      </c>
      <c r="AI413" s="310">
        <v>0.2</v>
      </c>
      <c r="AJ413" s="310">
        <v>0.2</v>
      </c>
      <c r="AK413" s="317"/>
      <c r="AL413" s="317"/>
      <c r="AM413" s="17">
        <f t="shared" si="58"/>
        <v>0</v>
      </c>
      <c r="AN413" s="283" t="s">
        <v>1775</v>
      </c>
      <c r="AO413" s="18" t="s">
        <v>1776</v>
      </c>
      <c r="AP413" s="283" t="s">
        <v>1915</v>
      </c>
    </row>
    <row r="414" spans="1:42" x14ac:dyDescent="0.3">
      <c r="A414" s="314" t="s">
        <v>1470</v>
      </c>
      <c r="B414" s="283" t="s">
        <v>1502</v>
      </c>
      <c r="C414" s="314" t="s">
        <v>1474</v>
      </c>
      <c r="D414" s="283" t="s">
        <v>1821</v>
      </c>
      <c r="E414" s="314" t="s">
        <v>1475</v>
      </c>
      <c r="F414" s="283" t="s">
        <v>1822</v>
      </c>
      <c r="G414" s="314" t="s">
        <v>1916</v>
      </c>
      <c r="H414" s="283" t="s">
        <v>1917</v>
      </c>
      <c r="I414" s="315">
        <v>0</v>
      </c>
      <c r="J414" s="315">
        <v>0</v>
      </c>
      <c r="K414" s="314" t="s">
        <v>1918</v>
      </c>
      <c r="L414" s="283" t="s">
        <v>1919</v>
      </c>
      <c r="M414" s="10" t="s">
        <v>1920</v>
      </c>
      <c r="N414" s="149">
        <v>0</v>
      </c>
      <c r="O414" s="19">
        <v>6</v>
      </c>
      <c r="P414" s="19">
        <v>6</v>
      </c>
      <c r="Q414" s="19">
        <v>6</v>
      </c>
      <c r="R414" s="19">
        <v>6</v>
      </c>
      <c r="S414" s="19">
        <v>6</v>
      </c>
      <c r="T414" s="10" t="s">
        <v>1762</v>
      </c>
      <c r="U414" s="283" t="e">
        <v>#N/A</v>
      </c>
      <c r="V414" s="283" t="s">
        <v>1921</v>
      </c>
      <c r="W414" s="283">
        <v>1</v>
      </c>
      <c r="X414" s="283">
        <v>0</v>
      </c>
      <c r="Y414" s="283">
        <v>0</v>
      </c>
      <c r="Z414" s="283">
        <v>1</v>
      </c>
      <c r="AA414" s="283">
        <v>1</v>
      </c>
      <c r="AB414" s="283">
        <v>1</v>
      </c>
      <c r="AC414" s="316">
        <v>1</v>
      </c>
      <c r="AD414" s="316">
        <v>1</v>
      </c>
      <c r="AE414" s="302">
        <f t="shared" si="57"/>
        <v>0.75</v>
      </c>
      <c r="AF414" s="310">
        <v>0</v>
      </c>
      <c r="AG414" s="17">
        <v>0</v>
      </c>
      <c r="AH414" s="310">
        <v>0.1</v>
      </c>
      <c r="AI414" s="310">
        <v>0.05</v>
      </c>
      <c r="AJ414" s="310">
        <v>0.05</v>
      </c>
      <c r="AK414" s="317">
        <v>0.05</v>
      </c>
      <c r="AL414" s="317">
        <v>0.05</v>
      </c>
      <c r="AM414" s="17">
        <f t="shared" si="58"/>
        <v>0.1</v>
      </c>
      <c r="AN414" s="283" t="s">
        <v>1775</v>
      </c>
      <c r="AO414" s="18" t="s">
        <v>1776</v>
      </c>
      <c r="AP414" s="283" t="s">
        <v>1829</v>
      </c>
    </row>
    <row r="415" spans="1:42" x14ac:dyDescent="0.3">
      <c r="A415" s="314" t="s">
        <v>1470</v>
      </c>
      <c r="B415" s="283" t="s">
        <v>1502</v>
      </c>
      <c r="C415" s="314" t="s">
        <v>1474</v>
      </c>
      <c r="D415" s="283" t="s">
        <v>1821</v>
      </c>
      <c r="E415" s="314" t="s">
        <v>1475</v>
      </c>
      <c r="F415" s="283" t="s">
        <v>1822</v>
      </c>
      <c r="G415" s="314" t="s">
        <v>1916</v>
      </c>
      <c r="H415" s="283" t="s">
        <v>1917</v>
      </c>
      <c r="I415" s="315">
        <v>0</v>
      </c>
      <c r="J415" s="315">
        <v>0</v>
      </c>
      <c r="K415" s="314" t="s">
        <v>1922</v>
      </c>
      <c r="L415" s="283" t="s">
        <v>1923</v>
      </c>
      <c r="M415" s="10" t="s">
        <v>1924</v>
      </c>
      <c r="N415" s="149">
        <v>0</v>
      </c>
      <c r="O415" s="19">
        <v>20</v>
      </c>
      <c r="P415" s="19">
        <v>20</v>
      </c>
      <c r="Q415" s="19">
        <v>20</v>
      </c>
      <c r="R415" s="19">
        <v>20</v>
      </c>
      <c r="S415" s="19">
        <v>20</v>
      </c>
      <c r="T415" s="10" t="s">
        <v>1762</v>
      </c>
      <c r="U415" s="283" t="e">
        <v>#N/A</v>
      </c>
      <c r="V415" s="283" t="s">
        <v>1925</v>
      </c>
      <c r="W415" s="283">
        <v>1</v>
      </c>
      <c r="X415" s="283">
        <v>0</v>
      </c>
      <c r="Y415" s="283">
        <v>0</v>
      </c>
      <c r="Z415" s="283">
        <v>1</v>
      </c>
      <c r="AA415" s="283">
        <v>1</v>
      </c>
      <c r="AB415" s="283">
        <v>1</v>
      </c>
      <c r="AC415" s="316">
        <v>1</v>
      </c>
      <c r="AD415" s="316">
        <v>1</v>
      </c>
      <c r="AE415" s="302">
        <f t="shared" si="57"/>
        <v>0.75</v>
      </c>
      <c r="AF415" s="310">
        <v>0</v>
      </c>
      <c r="AG415" s="17">
        <v>0</v>
      </c>
      <c r="AH415" s="310">
        <v>0</v>
      </c>
      <c r="AI415" s="310">
        <v>0</v>
      </c>
      <c r="AJ415" s="310">
        <v>0</v>
      </c>
      <c r="AK415" s="317">
        <v>0</v>
      </c>
      <c r="AL415" s="317">
        <v>0</v>
      </c>
      <c r="AM415" s="17">
        <f t="shared" si="58"/>
        <v>0</v>
      </c>
      <c r="AN415" s="283" t="s">
        <v>1775</v>
      </c>
      <c r="AO415" s="18" t="s">
        <v>1776</v>
      </c>
      <c r="AP415" s="283" t="s">
        <v>1926</v>
      </c>
    </row>
    <row r="416" spans="1:42" x14ac:dyDescent="0.3">
      <c r="A416" s="314" t="s">
        <v>1470</v>
      </c>
      <c r="B416" s="283" t="s">
        <v>1502</v>
      </c>
      <c r="C416" s="314" t="s">
        <v>1474</v>
      </c>
      <c r="D416" s="283" t="s">
        <v>1821</v>
      </c>
      <c r="E416" s="314" t="s">
        <v>1475</v>
      </c>
      <c r="F416" s="283" t="s">
        <v>1822</v>
      </c>
      <c r="G416" s="314" t="s">
        <v>1916</v>
      </c>
      <c r="H416" s="283" t="s">
        <v>1917</v>
      </c>
      <c r="I416" s="315">
        <v>0</v>
      </c>
      <c r="J416" s="315">
        <v>0</v>
      </c>
      <c r="K416" s="314" t="s">
        <v>1927</v>
      </c>
      <c r="L416" s="283" t="s">
        <v>1928</v>
      </c>
      <c r="M416" s="10" t="s">
        <v>1929</v>
      </c>
      <c r="N416" s="149">
        <v>0</v>
      </c>
      <c r="O416" s="19">
        <v>4</v>
      </c>
      <c r="P416" s="19">
        <v>4</v>
      </c>
      <c r="Q416" s="19">
        <v>4</v>
      </c>
      <c r="R416" s="19">
        <v>4</v>
      </c>
      <c r="S416" s="19">
        <v>4</v>
      </c>
      <c r="T416" s="10" t="s">
        <v>1930</v>
      </c>
      <c r="U416" s="283" t="e">
        <v>#N/A</v>
      </c>
      <c r="V416" s="283" t="s">
        <v>1931</v>
      </c>
      <c r="W416" s="283">
        <v>1</v>
      </c>
      <c r="X416" s="283">
        <v>0</v>
      </c>
      <c r="Y416" s="283">
        <v>0</v>
      </c>
      <c r="Z416" s="283">
        <v>1</v>
      </c>
      <c r="AA416" s="283">
        <v>1</v>
      </c>
      <c r="AB416" s="283">
        <v>1</v>
      </c>
      <c r="AC416" s="316">
        <v>1</v>
      </c>
      <c r="AD416" s="316">
        <v>1</v>
      </c>
      <c r="AE416" s="302">
        <f t="shared" si="57"/>
        <v>0.75</v>
      </c>
      <c r="AF416" s="310">
        <v>0</v>
      </c>
      <c r="AG416" s="17">
        <v>0</v>
      </c>
      <c r="AH416" s="310">
        <v>0.2</v>
      </c>
      <c r="AI416" s="310">
        <v>0.2</v>
      </c>
      <c r="AJ416" s="310">
        <v>0.2</v>
      </c>
      <c r="AK416" s="317">
        <v>0.2</v>
      </c>
      <c r="AL416" s="317">
        <v>0.2</v>
      </c>
      <c r="AM416" s="17">
        <f t="shared" si="58"/>
        <v>0.4</v>
      </c>
      <c r="AN416" s="283" t="s">
        <v>723</v>
      </c>
      <c r="AO416" s="18" t="s">
        <v>729</v>
      </c>
      <c r="AP416" s="283" t="s">
        <v>1775</v>
      </c>
    </row>
    <row r="417" spans="1:42" x14ac:dyDescent="0.3">
      <c r="A417" s="314" t="s">
        <v>1470</v>
      </c>
      <c r="B417" s="283" t="s">
        <v>1502</v>
      </c>
      <c r="C417" s="314" t="s">
        <v>1474</v>
      </c>
      <c r="D417" s="283" t="s">
        <v>1821</v>
      </c>
      <c r="E417" s="314" t="s">
        <v>1475</v>
      </c>
      <c r="F417" s="283" t="s">
        <v>1822</v>
      </c>
      <c r="G417" s="314" t="s">
        <v>1916</v>
      </c>
      <c r="H417" s="283" t="s">
        <v>1917</v>
      </c>
      <c r="I417" s="315">
        <v>0</v>
      </c>
      <c r="J417" s="315">
        <v>0</v>
      </c>
      <c r="K417" s="314" t="s">
        <v>1932</v>
      </c>
      <c r="L417" s="283" t="s">
        <v>1933</v>
      </c>
      <c r="M417" s="10" t="s">
        <v>1934</v>
      </c>
      <c r="N417" s="149">
        <v>0</v>
      </c>
      <c r="O417" s="19">
        <v>114</v>
      </c>
      <c r="P417" s="19">
        <v>114</v>
      </c>
      <c r="Q417" s="19">
        <v>114</v>
      </c>
      <c r="R417" s="19">
        <v>114</v>
      </c>
      <c r="S417" s="19">
        <v>114</v>
      </c>
      <c r="T417" s="10" t="s">
        <v>1727</v>
      </c>
      <c r="U417" s="283" t="e">
        <v>#N/A</v>
      </c>
      <c r="V417" s="283" t="s">
        <v>1935</v>
      </c>
      <c r="W417" s="283">
        <v>1</v>
      </c>
      <c r="X417" s="283">
        <v>0</v>
      </c>
      <c r="Y417" s="283">
        <v>0</v>
      </c>
      <c r="Z417" s="283">
        <v>1</v>
      </c>
      <c r="AA417" s="283">
        <v>1</v>
      </c>
      <c r="AB417" s="283">
        <v>1</v>
      </c>
      <c r="AC417" s="316">
        <v>1</v>
      </c>
      <c r="AD417" s="316">
        <v>1</v>
      </c>
      <c r="AE417" s="302">
        <f t="shared" si="57"/>
        <v>0.75</v>
      </c>
      <c r="AF417" s="310">
        <v>0</v>
      </c>
      <c r="AG417" s="17">
        <v>0</v>
      </c>
      <c r="AH417" s="310">
        <v>0</v>
      </c>
      <c r="AI417" s="310">
        <v>0</v>
      </c>
      <c r="AJ417" s="310">
        <v>3</v>
      </c>
      <c r="AK417" s="317">
        <v>5</v>
      </c>
      <c r="AL417" s="317">
        <v>5</v>
      </c>
      <c r="AM417" s="17">
        <f t="shared" si="58"/>
        <v>10</v>
      </c>
      <c r="AN417" s="283" t="s">
        <v>1610</v>
      </c>
      <c r="AO417" s="18" t="s">
        <v>773</v>
      </c>
      <c r="AP417" s="283" t="s">
        <v>119</v>
      </c>
    </row>
    <row r="418" spans="1:42" hidden="1" x14ac:dyDescent="0.3">
      <c r="A418" s="314" t="s">
        <v>1470</v>
      </c>
      <c r="B418" s="283" t="s">
        <v>1502</v>
      </c>
      <c r="C418" s="314" t="s">
        <v>1474</v>
      </c>
      <c r="D418" s="283" t="s">
        <v>1821</v>
      </c>
      <c r="E418" s="314" t="s">
        <v>1475</v>
      </c>
      <c r="F418" s="283" t="s">
        <v>1822</v>
      </c>
      <c r="G418" s="314" t="s">
        <v>1936</v>
      </c>
      <c r="H418" s="283" t="s">
        <v>1937</v>
      </c>
      <c r="I418" s="315">
        <v>0</v>
      </c>
      <c r="J418" s="315">
        <v>0</v>
      </c>
      <c r="K418" s="314" t="s">
        <v>1938</v>
      </c>
      <c r="L418" s="283" t="s">
        <v>1939</v>
      </c>
      <c r="M418" s="10" t="s">
        <v>1940</v>
      </c>
      <c r="N418" s="149">
        <v>0</v>
      </c>
      <c r="O418" s="19">
        <v>10</v>
      </c>
      <c r="P418" s="19">
        <v>10</v>
      </c>
      <c r="Q418" s="19">
        <v>10</v>
      </c>
      <c r="R418" s="19">
        <v>10</v>
      </c>
      <c r="S418" s="19">
        <v>10</v>
      </c>
      <c r="T418" s="10" t="s">
        <v>1941</v>
      </c>
      <c r="U418" s="283" t="e">
        <v>#N/A</v>
      </c>
      <c r="V418" s="283" t="s">
        <v>1942</v>
      </c>
      <c r="AC418" s="316">
        <v>0</v>
      </c>
      <c r="AD418" s="316">
        <v>0</v>
      </c>
      <c r="AE418" s="302">
        <f t="shared" si="57"/>
        <v>0</v>
      </c>
      <c r="AF418" s="310"/>
      <c r="AG418" s="17">
        <v>0</v>
      </c>
      <c r="AH418" s="310">
        <v>0.2</v>
      </c>
      <c r="AI418" s="310">
        <v>0.2</v>
      </c>
      <c r="AJ418" s="310">
        <v>0.2</v>
      </c>
      <c r="AK418" s="317"/>
      <c r="AL418" s="317"/>
      <c r="AM418" s="17">
        <f t="shared" si="58"/>
        <v>0</v>
      </c>
      <c r="AN418" s="283" t="s">
        <v>280</v>
      </c>
      <c r="AO418" s="18" t="s">
        <v>1151</v>
      </c>
      <c r="AP418" s="283" t="s">
        <v>1943</v>
      </c>
    </row>
    <row r="419" spans="1:42" hidden="1" x14ac:dyDescent="0.3">
      <c r="A419" s="314" t="s">
        <v>1470</v>
      </c>
      <c r="B419" s="283" t="s">
        <v>1502</v>
      </c>
      <c r="C419" s="314" t="s">
        <v>1474</v>
      </c>
      <c r="D419" s="283" t="s">
        <v>1821</v>
      </c>
      <c r="E419" s="314" t="s">
        <v>1475</v>
      </c>
      <c r="F419" s="283" t="s">
        <v>1822</v>
      </c>
      <c r="G419" s="314" t="s">
        <v>1936</v>
      </c>
      <c r="H419" s="283" t="s">
        <v>1937</v>
      </c>
      <c r="I419" s="315">
        <v>0</v>
      </c>
      <c r="J419" s="315">
        <v>0</v>
      </c>
      <c r="K419" s="314" t="s">
        <v>1944</v>
      </c>
      <c r="L419" s="283" t="s">
        <v>1945</v>
      </c>
      <c r="M419" s="10" t="s">
        <v>1946</v>
      </c>
      <c r="N419" s="149">
        <v>0</v>
      </c>
      <c r="O419" s="19">
        <v>10</v>
      </c>
      <c r="P419" s="19">
        <v>10</v>
      </c>
      <c r="Q419" s="19">
        <v>10</v>
      </c>
      <c r="R419" s="19">
        <v>10</v>
      </c>
      <c r="S419" s="19">
        <v>10</v>
      </c>
      <c r="T419" s="10" t="s">
        <v>1941</v>
      </c>
      <c r="U419" s="283" t="e">
        <v>#N/A</v>
      </c>
      <c r="V419" s="283" t="s">
        <v>1947</v>
      </c>
      <c r="AC419" s="316">
        <v>0</v>
      </c>
      <c r="AD419" s="316">
        <v>0</v>
      </c>
      <c r="AE419" s="302">
        <f t="shared" si="57"/>
        <v>0</v>
      </c>
      <c r="AF419" s="310"/>
      <c r="AG419" s="17">
        <v>0</v>
      </c>
      <c r="AH419" s="310">
        <v>0.4</v>
      </c>
      <c r="AI419" s="310">
        <v>0.4</v>
      </c>
      <c r="AJ419" s="310">
        <v>0.4</v>
      </c>
      <c r="AK419" s="317"/>
      <c r="AL419" s="317"/>
      <c r="AM419" s="17">
        <f t="shared" si="58"/>
        <v>0</v>
      </c>
      <c r="AN419" s="283" t="s">
        <v>280</v>
      </c>
      <c r="AO419" s="18" t="s">
        <v>1151</v>
      </c>
      <c r="AP419" s="283" t="s">
        <v>1943</v>
      </c>
    </row>
    <row r="420" spans="1:42" hidden="1" x14ac:dyDescent="0.3">
      <c r="A420" s="314" t="s">
        <v>1470</v>
      </c>
      <c r="B420" s="283" t="s">
        <v>1502</v>
      </c>
      <c r="C420" s="314" t="s">
        <v>1474</v>
      </c>
      <c r="D420" s="283" t="s">
        <v>1821</v>
      </c>
      <c r="E420" s="314" t="s">
        <v>1475</v>
      </c>
      <c r="F420" s="283" t="s">
        <v>1822</v>
      </c>
      <c r="G420" s="314" t="s">
        <v>1936</v>
      </c>
      <c r="H420" s="283" t="s">
        <v>1937</v>
      </c>
      <c r="I420" s="315">
        <v>0</v>
      </c>
      <c r="J420" s="315">
        <v>0</v>
      </c>
      <c r="K420" s="314" t="s">
        <v>1948</v>
      </c>
      <c r="L420" s="283" t="s">
        <v>1949</v>
      </c>
      <c r="M420" s="10" t="s">
        <v>1950</v>
      </c>
      <c r="N420" s="149">
        <v>0</v>
      </c>
      <c r="O420" s="19">
        <v>441</v>
      </c>
      <c r="P420" s="19">
        <v>441</v>
      </c>
      <c r="Q420" s="19">
        <v>441</v>
      </c>
      <c r="R420" s="19">
        <v>441</v>
      </c>
      <c r="S420" s="19">
        <v>441</v>
      </c>
      <c r="T420" s="10" t="s">
        <v>1727</v>
      </c>
      <c r="U420" s="283" t="e">
        <v>#N/A</v>
      </c>
      <c r="V420" s="283" t="s">
        <v>1951</v>
      </c>
      <c r="W420" s="283">
        <v>0</v>
      </c>
      <c r="X420" s="283">
        <v>0</v>
      </c>
      <c r="Y420" s="283">
        <v>0</v>
      </c>
      <c r="Z420" s="283">
        <v>0</v>
      </c>
      <c r="AA420" s="283">
        <v>0</v>
      </c>
      <c r="AB420" s="283">
        <v>0</v>
      </c>
      <c r="AC420" s="316">
        <v>0</v>
      </c>
      <c r="AD420" s="316">
        <v>0</v>
      </c>
      <c r="AE420" s="302">
        <f t="shared" si="57"/>
        <v>0</v>
      </c>
      <c r="AF420" s="310">
        <v>0</v>
      </c>
      <c r="AG420" s="17">
        <v>0</v>
      </c>
      <c r="AH420" s="310">
        <v>0</v>
      </c>
      <c r="AI420" s="310">
        <v>0</v>
      </c>
      <c r="AJ420" s="310">
        <v>1</v>
      </c>
      <c r="AK420" s="317"/>
      <c r="AL420" s="317"/>
      <c r="AM420" s="17">
        <f t="shared" si="58"/>
        <v>0</v>
      </c>
      <c r="AN420" s="283" t="s">
        <v>1610</v>
      </c>
      <c r="AO420" s="18" t="s">
        <v>773</v>
      </c>
      <c r="AP420" s="283" t="s">
        <v>119</v>
      </c>
    </row>
    <row r="421" spans="1:42" x14ac:dyDescent="0.3">
      <c r="A421" s="314" t="s">
        <v>1470</v>
      </c>
      <c r="B421" s="283" t="s">
        <v>1502</v>
      </c>
      <c r="C421" s="314" t="s">
        <v>1474</v>
      </c>
      <c r="D421" s="283" t="s">
        <v>1821</v>
      </c>
      <c r="E421" s="314" t="s">
        <v>1476</v>
      </c>
      <c r="F421" s="283" t="s">
        <v>1952</v>
      </c>
      <c r="G421" s="314" t="s">
        <v>1953</v>
      </c>
      <c r="H421" s="283" t="s">
        <v>1954</v>
      </c>
      <c r="I421" s="315">
        <v>0</v>
      </c>
      <c r="J421" s="315">
        <v>0</v>
      </c>
      <c r="K421" s="314" t="s">
        <v>1955</v>
      </c>
      <c r="L421" s="283" t="s">
        <v>1956</v>
      </c>
      <c r="M421" s="283" t="s">
        <v>1957</v>
      </c>
      <c r="N421" s="149">
        <v>0</v>
      </c>
      <c r="O421" s="149"/>
      <c r="P421" s="149"/>
      <c r="Q421" s="149"/>
      <c r="R421" s="149">
        <v>200</v>
      </c>
      <c r="S421" s="19">
        <v>200</v>
      </c>
      <c r="T421" s="18" t="s">
        <v>771</v>
      </c>
      <c r="U421" s="283" t="s">
        <v>773</v>
      </c>
      <c r="V421" s="283" t="s">
        <v>1958</v>
      </c>
      <c r="W421" s="283">
        <v>1</v>
      </c>
      <c r="X421" s="283">
        <v>0</v>
      </c>
      <c r="Y421" s="283">
        <v>0</v>
      </c>
      <c r="Z421" s="283">
        <v>1</v>
      </c>
      <c r="AA421" s="283">
        <v>1</v>
      </c>
      <c r="AB421" s="283">
        <v>1</v>
      </c>
      <c r="AC421" s="316">
        <v>1</v>
      </c>
      <c r="AD421" s="316">
        <v>1</v>
      </c>
      <c r="AE421" s="302">
        <f t="shared" si="57"/>
        <v>0.75</v>
      </c>
      <c r="AF421" s="310">
        <v>0</v>
      </c>
      <c r="AG421" s="17">
        <v>0</v>
      </c>
      <c r="AH421" s="310">
        <v>0.3</v>
      </c>
      <c r="AI421" s="310">
        <v>0.3</v>
      </c>
      <c r="AJ421" s="310">
        <v>0.3</v>
      </c>
      <c r="AK421" s="317">
        <v>0.3</v>
      </c>
      <c r="AL421" s="317">
        <v>0.3</v>
      </c>
      <c r="AM421" s="17">
        <f t="shared" si="58"/>
        <v>0.6</v>
      </c>
      <c r="AN421" s="18" t="s">
        <v>771</v>
      </c>
      <c r="AO421" s="18" t="s">
        <v>773</v>
      </c>
      <c r="AP421" s="283" t="s">
        <v>1959</v>
      </c>
    </row>
    <row r="422" spans="1:42" x14ac:dyDescent="0.3">
      <c r="A422" s="314" t="s">
        <v>1470</v>
      </c>
      <c r="B422" s="283" t="s">
        <v>1502</v>
      </c>
      <c r="C422" s="314" t="s">
        <v>1474</v>
      </c>
      <c r="D422" s="283" t="s">
        <v>1821</v>
      </c>
      <c r="E422" s="314" t="s">
        <v>1476</v>
      </c>
      <c r="F422" s="283" t="s">
        <v>1952</v>
      </c>
      <c r="G422" s="314" t="s">
        <v>1953</v>
      </c>
      <c r="H422" s="283" t="s">
        <v>1954</v>
      </c>
      <c r="I422" s="315">
        <v>0</v>
      </c>
      <c r="J422" s="315">
        <v>0</v>
      </c>
      <c r="K422" s="314" t="s">
        <v>1960</v>
      </c>
      <c r="L422" s="283" t="s">
        <v>1961</v>
      </c>
      <c r="M422" s="283" t="s">
        <v>1962</v>
      </c>
      <c r="N422" s="149">
        <v>0</v>
      </c>
      <c r="O422" s="149"/>
      <c r="P422" s="149"/>
      <c r="Q422" s="149"/>
      <c r="R422" s="149">
        <v>16</v>
      </c>
      <c r="S422" s="19">
        <v>16</v>
      </c>
      <c r="T422" s="18" t="s">
        <v>1536</v>
      </c>
      <c r="U422" s="283" t="e">
        <v>#N/A</v>
      </c>
      <c r="V422" s="283" t="s">
        <v>1963</v>
      </c>
      <c r="W422" s="283">
        <v>1</v>
      </c>
      <c r="X422" s="283">
        <v>0</v>
      </c>
      <c r="Y422" s="283">
        <v>0</v>
      </c>
      <c r="Z422" s="283">
        <v>1</v>
      </c>
      <c r="AA422" s="283">
        <v>1</v>
      </c>
      <c r="AB422" s="283">
        <v>1</v>
      </c>
      <c r="AC422" s="316">
        <v>1</v>
      </c>
      <c r="AD422" s="316">
        <v>1</v>
      </c>
      <c r="AE422" s="302">
        <f t="shared" si="57"/>
        <v>0.75</v>
      </c>
      <c r="AF422" s="310">
        <v>0</v>
      </c>
      <c r="AG422" s="17">
        <v>0</v>
      </c>
      <c r="AH422" s="310">
        <v>0.84</v>
      </c>
      <c r="AI422" s="310">
        <v>14.23</v>
      </c>
      <c r="AJ422" s="310">
        <v>20</v>
      </c>
      <c r="AK422" s="317">
        <v>0.5</v>
      </c>
      <c r="AL422" s="317">
        <v>0.5</v>
      </c>
      <c r="AM422" s="17">
        <f t="shared" si="58"/>
        <v>1</v>
      </c>
      <c r="AN422" s="18" t="s">
        <v>771</v>
      </c>
      <c r="AO422" s="18" t="s">
        <v>773</v>
      </c>
      <c r="AP422" s="283" t="s">
        <v>1964</v>
      </c>
    </row>
    <row r="423" spans="1:42" x14ac:dyDescent="0.3">
      <c r="A423" s="314" t="s">
        <v>1470</v>
      </c>
      <c r="B423" s="283" t="s">
        <v>1502</v>
      </c>
      <c r="C423" s="314" t="s">
        <v>1474</v>
      </c>
      <c r="D423" s="283" t="s">
        <v>1821</v>
      </c>
      <c r="E423" s="314" t="s">
        <v>1476</v>
      </c>
      <c r="F423" s="283" t="s">
        <v>1952</v>
      </c>
      <c r="G423" s="314" t="s">
        <v>1953</v>
      </c>
      <c r="H423" s="283" t="s">
        <v>1954</v>
      </c>
      <c r="I423" s="315">
        <v>0</v>
      </c>
      <c r="J423" s="315">
        <v>0</v>
      </c>
      <c r="K423" s="314" t="s">
        <v>1965</v>
      </c>
      <c r="L423" s="283" t="s">
        <v>1966</v>
      </c>
      <c r="M423" s="283" t="s">
        <v>1967</v>
      </c>
      <c r="N423" s="149">
        <v>0</v>
      </c>
      <c r="O423" s="149"/>
      <c r="P423" s="149"/>
      <c r="Q423" s="149"/>
      <c r="R423" s="149">
        <v>10</v>
      </c>
      <c r="S423" s="19">
        <v>10</v>
      </c>
      <c r="U423" s="283" t="e">
        <v>#N/A</v>
      </c>
      <c r="V423" s="283" t="s">
        <v>1968</v>
      </c>
      <c r="W423" s="283">
        <v>1</v>
      </c>
      <c r="X423" s="283">
        <v>0</v>
      </c>
      <c r="Y423" s="283">
        <v>0</v>
      </c>
      <c r="Z423" s="283">
        <v>1</v>
      </c>
      <c r="AA423" s="283">
        <v>1</v>
      </c>
      <c r="AB423" s="283">
        <v>1</v>
      </c>
      <c r="AC423" s="316">
        <v>1</v>
      </c>
      <c r="AD423" s="316">
        <v>1</v>
      </c>
      <c r="AE423" s="302">
        <f t="shared" si="57"/>
        <v>0.75</v>
      </c>
      <c r="AF423" s="310">
        <v>0</v>
      </c>
      <c r="AG423" s="17">
        <v>0</v>
      </c>
      <c r="AH423" s="310">
        <v>0</v>
      </c>
      <c r="AI423" s="310">
        <v>2</v>
      </c>
      <c r="AJ423" s="310">
        <v>2</v>
      </c>
      <c r="AK423" s="317">
        <v>2</v>
      </c>
      <c r="AL423" s="317">
        <v>2</v>
      </c>
      <c r="AM423" s="17">
        <f t="shared" si="58"/>
        <v>4</v>
      </c>
      <c r="AN423" s="283" t="s">
        <v>1610</v>
      </c>
      <c r="AO423" s="18" t="s">
        <v>773</v>
      </c>
      <c r="AP423" s="283" t="s">
        <v>119</v>
      </c>
    </row>
    <row r="424" spans="1:42" x14ac:dyDescent="0.3">
      <c r="A424" s="314" t="s">
        <v>1470</v>
      </c>
      <c r="B424" s="283" t="s">
        <v>1502</v>
      </c>
      <c r="C424" s="314" t="s">
        <v>1474</v>
      </c>
      <c r="D424" s="283" t="s">
        <v>1821</v>
      </c>
      <c r="E424" s="314" t="s">
        <v>1476</v>
      </c>
      <c r="F424" s="283" t="s">
        <v>1952</v>
      </c>
      <c r="G424" s="314" t="s">
        <v>1953</v>
      </c>
      <c r="H424" s="283" t="s">
        <v>1954</v>
      </c>
      <c r="I424" s="315">
        <v>0</v>
      </c>
      <c r="J424" s="315">
        <v>0</v>
      </c>
      <c r="K424" s="314" t="s">
        <v>1969</v>
      </c>
      <c r="L424" s="283" t="s">
        <v>1970</v>
      </c>
      <c r="M424" s="283" t="s">
        <v>1971</v>
      </c>
      <c r="N424" s="149">
        <v>0</v>
      </c>
      <c r="O424" s="149"/>
      <c r="P424" s="149"/>
      <c r="Q424" s="149"/>
      <c r="R424" s="149">
        <v>4</v>
      </c>
      <c r="S424" s="19">
        <v>5</v>
      </c>
      <c r="U424" s="283" t="e">
        <v>#N/A</v>
      </c>
      <c r="V424" s="283" t="s">
        <v>1972</v>
      </c>
      <c r="W424" s="283">
        <v>1</v>
      </c>
      <c r="X424" s="283">
        <v>0</v>
      </c>
      <c r="Y424" s="283">
        <v>0</v>
      </c>
      <c r="Z424" s="283">
        <v>1</v>
      </c>
      <c r="AA424" s="283">
        <v>1</v>
      </c>
      <c r="AB424" s="283">
        <v>1</v>
      </c>
      <c r="AC424" s="316">
        <v>1</v>
      </c>
      <c r="AD424" s="316">
        <v>1</v>
      </c>
      <c r="AE424" s="302">
        <f t="shared" si="57"/>
        <v>0.75</v>
      </c>
      <c r="AF424" s="310">
        <v>0</v>
      </c>
      <c r="AG424" s="17">
        <v>0</v>
      </c>
      <c r="AH424" s="310">
        <v>4</v>
      </c>
      <c r="AI424" s="310">
        <v>4</v>
      </c>
      <c r="AJ424" s="310">
        <v>4</v>
      </c>
      <c r="AK424" s="317">
        <v>4</v>
      </c>
      <c r="AL424" s="317">
        <v>4</v>
      </c>
      <c r="AM424" s="17">
        <f t="shared" si="58"/>
        <v>8</v>
      </c>
      <c r="AN424" s="283" t="s">
        <v>1610</v>
      </c>
      <c r="AO424" s="18" t="s">
        <v>773</v>
      </c>
      <c r="AP424" s="283" t="s">
        <v>119</v>
      </c>
    </row>
    <row r="425" spans="1:42" x14ac:dyDescent="0.3">
      <c r="A425" s="314" t="s">
        <v>1470</v>
      </c>
      <c r="B425" s="283" t="s">
        <v>1502</v>
      </c>
      <c r="C425" s="314" t="s">
        <v>1474</v>
      </c>
      <c r="D425" s="283" t="s">
        <v>1821</v>
      </c>
      <c r="E425" s="314" t="s">
        <v>1476</v>
      </c>
      <c r="F425" s="283" t="s">
        <v>1952</v>
      </c>
      <c r="G425" s="314" t="s">
        <v>1953</v>
      </c>
      <c r="H425" s="283" t="s">
        <v>1954</v>
      </c>
      <c r="I425" s="315">
        <v>0</v>
      </c>
      <c r="J425" s="315">
        <v>0</v>
      </c>
      <c r="K425" s="314" t="s">
        <v>1973</v>
      </c>
      <c r="L425" s="283" t="s">
        <v>1974</v>
      </c>
      <c r="M425" s="283" t="s">
        <v>1975</v>
      </c>
      <c r="N425" s="149">
        <v>0</v>
      </c>
      <c r="O425" s="149"/>
      <c r="P425" s="149"/>
      <c r="Q425" s="149"/>
      <c r="R425" s="149">
        <v>1</v>
      </c>
      <c r="S425" s="19">
        <v>1</v>
      </c>
      <c r="U425" s="283" t="e">
        <v>#N/A</v>
      </c>
      <c r="V425" s="283" t="s">
        <v>1976</v>
      </c>
      <c r="W425" s="283">
        <v>1</v>
      </c>
      <c r="X425" s="283">
        <v>0</v>
      </c>
      <c r="Y425" s="283">
        <v>0</v>
      </c>
      <c r="Z425" s="283">
        <v>1</v>
      </c>
      <c r="AA425" s="283">
        <v>1</v>
      </c>
      <c r="AB425" s="283">
        <v>1</v>
      </c>
      <c r="AC425" s="316">
        <v>1</v>
      </c>
      <c r="AD425" s="316">
        <v>1</v>
      </c>
      <c r="AE425" s="302">
        <f t="shared" si="57"/>
        <v>0.75</v>
      </c>
      <c r="AF425" s="310">
        <v>0</v>
      </c>
      <c r="AG425" s="17">
        <v>0</v>
      </c>
      <c r="AH425" s="310">
        <v>0.2</v>
      </c>
      <c r="AI425" s="310">
        <v>0.2</v>
      </c>
      <c r="AJ425" s="310">
        <v>0.2</v>
      </c>
      <c r="AK425" s="317">
        <v>0.2</v>
      </c>
      <c r="AL425" s="317">
        <v>0.2</v>
      </c>
      <c r="AM425" s="17">
        <f t="shared" si="58"/>
        <v>0.4</v>
      </c>
      <c r="AN425" s="283" t="s">
        <v>1610</v>
      </c>
      <c r="AO425" s="18" t="s">
        <v>773</v>
      </c>
      <c r="AP425" s="283" t="s">
        <v>1977</v>
      </c>
    </row>
    <row r="426" spans="1:42" x14ac:dyDescent="0.3">
      <c r="A426" s="314" t="s">
        <v>1470</v>
      </c>
      <c r="B426" s="283" t="s">
        <v>1502</v>
      </c>
      <c r="C426" s="314" t="s">
        <v>1474</v>
      </c>
      <c r="D426" s="283" t="s">
        <v>1821</v>
      </c>
      <c r="E426" s="314" t="s">
        <v>1476</v>
      </c>
      <c r="F426" s="283" t="s">
        <v>1952</v>
      </c>
      <c r="G426" s="314" t="s">
        <v>1953</v>
      </c>
      <c r="H426" s="283" t="s">
        <v>1954</v>
      </c>
      <c r="I426" s="315">
        <v>0</v>
      </c>
      <c r="J426" s="315">
        <v>0</v>
      </c>
      <c r="K426" s="314" t="s">
        <v>1978</v>
      </c>
      <c r="L426" s="283" t="s">
        <v>1979</v>
      </c>
      <c r="M426" s="283" t="s">
        <v>271</v>
      </c>
      <c r="N426" s="149">
        <v>0</v>
      </c>
      <c r="O426" s="149"/>
      <c r="P426" s="149"/>
      <c r="Q426" s="149"/>
      <c r="R426" s="149"/>
      <c r="S426" s="19"/>
      <c r="U426" s="283" t="e">
        <v>#N/A</v>
      </c>
      <c r="V426" s="283" t="s">
        <v>1980</v>
      </c>
      <c r="W426" s="283">
        <v>1</v>
      </c>
      <c r="X426" s="283">
        <v>0</v>
      </c>
      <c r="Y426" s="283">
        <v>0</v>
      </c>
      <c r="Z426" s="283">
        <v>1</v>
      </c>
      <c r="AA426" s="283">
        <v>1</v>
      </c>
      <c r="AB426" s="283">
        <v>1</v>
      </c>
      <c r="AC426" s="316">
        <v>1</v>
      </c>
      <c r="AD426" s="316">
        <v>1</v>
      </c>
      <c r="AE426" s="302">
        <f t="shared" si="57"/>
        <v>0.75</v>
      </c>
      <c r="AF426" s="310">
        <v>0</v>
      </c>
      <c r="AG426" s="17">
        <v>0</v>
      </c>
      <c r="AH426" s="310">
        <v>1</v>
      </c>
      <c r="AI426" s="310">
        <v>0.2</v>
      </c>
      <c r="AJ426" s="310">
        <v>0.2</v>
      </c>
      <c r="AK426" s="317">
        <v>0</v>
      </c>
      <c r="AL426" s="317">
        <v>0</v>
      </c>
      <c r="AM426" s="17">
        <f t="shared" si="58"/>
        <v>0</v>
      </c>
      <c r="AN426" s="283" t="s">
        <v>1610</v>
      </c>
      <c r="AO426" s="18" t="s">
        <v>773</v>
      </c>
      <c r="AP426" s="283" t="s">
        <v>119</v>
      </c>
    </row>
    <row r="427" spans="1:42" x14ac:dyDescent="0.3">
      <c r="A427" s="314" t="s">
        <v>1470</v>
      </c>
      <c r="B427" s="283" t="s">
        <v>1502</v>
      </c>
      <c r="C427" s="314" t="s">
        <v>1474</v>
      </c>
      <c r="D427" s="283" t="s">
        <v>1821</v>
      </c>
      <c r="E427" s="314" t="s">
        <v>1476</v>
      </c>
      <c r="F427" s="283" t="s">
        <v>1952</v>
      </c>
      <c r="G427" s="314" t="s">
        <v>1953</v>
      </c>
      <c r="H427" s="283" t="s">
        <v>1954</v>
      </c>
      <c r="I427" s="315">
        <v>0</v>
      </c>
      <c r="J427" s="315">
        <v>0</v>
      </c>
      <c r="K427" s="314" t="s">
        <v>1981</v>
      </c>
      <c r="L427" s="283" t="s">
        <v>1982</v>
      </c>
      <c r="M427" s="283" t="s">
        <v>1983</v>
      </c>
      <c r="N427" s="149">
        <v>0</v>
      </c>
      <c r="O427" s="149"/>
      <c r="P427" s="149"/>
      <c r="Q427" s="149"/>
      <c r="R427" s="149">
        <v>5</v>
      </c>
      <c r="S427" s="19">
        <v>5</v>
      </c>
      <c r="U427" s="283" t="e">
        <v>#N/A</v>
      </c>
      <c r="V427" s="283" t="s">
        <v>1984</v>
      </c>
      <c r="W427" s="283">
        <v>1</v>
      </c>
      <c r="X427" s="283">
        <v>0</v>
      </c>
      <c r="Y427" s="283">
        <v>0</v>
      </c>
      <c r="Z427" s="283">
        <v>1</v>
      </c>
      <c r="AA427" s="283">
        <v>1</v>
      </c>
      <c r="AB427" s="283">
        <v>1</v>
      </c>
      <c r="AC427" s="316">
        <v>1</v>
      </c>
      <c r="AD427" s="316">
        <v>1</v>
      </c>
      <c r="AE427" s="302">
        <f t="shared" si="57"/>
        <v>0.75</v>
      </c>
      <c r="AF427" s="310">
        <v>0</v>
      </c>
      <c r="AG427" s="17">
        <v>0</v>
      </c>
      <c r="AH427" s="310">
        <v>0.3</v>
      </c>
      <c r="AI427" s="310">
        <v>0.3</v>
      </c>
      <c r="AJ427" s="310">
        <v>0.3</v>
      </c>
      <c r="AK427" s="317">
        <v>0.3</v>
      </c>
      <c r="AL427" s="317">
        <v>0.3</v>
      </c>
      <c r="AM427" s="17">
        <f t="shared" si="58"/>
        <v>0.6</v>
      </c>
      <c r="AN427" s="283" t="s">
        <v>1610</v>
      </c>
      <c r="AO427" s="18" t="s">
        <v>773</v>
      </c>
      <c r="AP427" s="283" t="s">
        <v>119</v>
      </c>
    </row>
    <row r="428" spans="1:42" hidden="1" x14ac:dyDescent="0.3">
      <c r="A428" s="314" t="s">
        <v>1470</v>
      </c>
      <c r="B428" s="283" t="s">
        <v>1502</v>
      </c>
      <c r="C428" s="314" t="s">
        <v>1474</v>
      </c>
      <c r="D428" s="283" t="s">
        <v>1821</v>
      </c>
      <c r="E428" s="314" t="s">
        <v>1476</v>
      </c>
      <c r="F428" s="283" t="s">
        <v>1952</v>
      </c>
      <c r="G428" s="314" t="s">
        <v>1953</v>
      </c>
      <c r="H428" s="283" t="s">
        <v>1954</v>
      </c>
      <c r="I428" s="315">
        <v>0</v>
      </c>
      <c r="J428" s="315">
        <v>0</v>
      </c>
      <c r="K428" s="314" t="s">
        <v>1985</v>
      </c>
      <c r="L428" s="283" t="s">
        <v>1986</v>
      </c>
      <c r="M428" s="283" t="s">
        <v>271</v>
      </c>
      <c r="N428" s="149">
        <v>0</v>
      </c>
      <c r="O428" s="149"/>
      <c r="P428" s="149"/>
      <c r="Q428" s="149"/>
      <c r="R428" s="149"/>
      <c r="S428" s="19"/>
      <c r="U428" s="283" t="e">
        <v>#N/A</v>
      </c>
      <c r="V428" s="283" t="s">
        <v>1987</v>
      </c>
      <c r="W428" s="283">
        <v>1</v>
      </c>
      <c r="X428" s="283">
        <v>0</v>
      </c>
      <c r="Y428" s="283">
        <v>0</v>
      </c>
      <c r="Z428" s="283">
        <v>0</v>
      </c>
      <c r="AA428" s="283">
        <v>0</v>
      </c>
      <c r="AB428" s="283">
        <v>1</v>
      </c>
      <c r="AC428" s="316">
        <v>1</v>
      </c>
      <c r="AD428" s="316">
        <v>0</v>
      </c>
      <c r="AE428" s="302">
        <f t="shared" si="57"/>
        <v>0.375</v>
      </c>
      <c r="AF428" s="310">
        <v>0</v>
      </c>
      <c r="AG428" s="17">
        <v>0</v>
      </c>
      <c r="AH428" s="310">
        <v>5</v>
      </c>
      <c r="AI428" s="310">
        <v>5</v>
      </c>
      <c r="AJ428" s="310">
        <v>5</v>
      </c>
      <c r="AK428" s="317"/>
      <c r="AL428" s="317"/>
      <c r="AM428" s="17">
        <f t="shared" si="58"/>
        <v>0</v>
      </c>
      <c r="AN428" s="283" t="s">
        <v>1610</v>
      </c>
      <c r="AO428" s="18" t="s">
        <v>773</v>
      </c>
      <c r="AP428" s="283" t="s">
        <v>119</v>
      </c>
    </row>
    <row r="429" spans="1:42" hidden="1" x14ac:dyDescent="0.3">
      <c r="A429" s="314" t="s">
        <v>1470</v>
      </c>
      <c r="B429" s="283" t="s">
        <v>1502</v>
      </c>
      <c r="C429" s="314" t="s">
        <v>1474</v>
      </c>
      <c r="D429" s="283" t="s">
        <v>1821</v>
      </c>
      <c r="E429" s="314" t="s">
        <v>1476</v>
      </c>
      <c r="F429" s="283" t="s">
        <v>1952</v>
      </c>
      <c r="G429" s="314" t="s">
        <v>1953</v>
      </c>
      <c r="H429" s="283" t="s">
        <v>1954</v>
      </c>
      <c r="I429" s="315">
        <v>0</v>
      </c>
      <c r="J429" s="315">
        <v>0</v>
      </c>
      <c r="K429" s="314" t="s">
        <v>1988</v>
      </c>
      <c r="L429" s="283" t="s">
        <v>1989</v>
      </c>
      <c r="M429" s="283" t="s">
        <v>271</v>
      </c>
      <c r="N429" s="149">
        <v>0</v>
      </c>
      <c r="O429" s="149"/>
      <c r="P429" s="149"/>
      <c r="Q429" s="149"/>
      <c r="R429" s="149"/>
      <c r="S429" s="19"/>
      <c r="U429" s="283" t="e">
        <v>#N/A</v>
      </c>
      <c r="V429" s="283" t="s">
        <v>1990</v>
      </c>
      <c r="W429" s="283">
        <v>1</v>
      </c>
      <c r="X429" s="283">
        <v>0</v>
      </c>
      <c r="Y429" s="283">
        <v>0</v>
      </c>
      <c r="Z429" s="283">
        <v>0</v>
      </c>
      <c r="AA429" s="283">
        <v>0</v>
      </c>
      <c r="AB429" s="283">
        <v>1</v>
      </c>
      <c r="AC429" s="316">
        <v>0</v>
      </c>
      <c r="AD429" s="316">
        <v>1</v>
      </c>
      <c r="AE429" s="302">
        <f t="shared" si="57"/>
        <v>0.375</v>
      </c>
      <c r="AF429" s="310">
        <v>0</v>
      </c>
      <c r="AG429" s="17">
        <v>0</v>
      </c>
      <c r="AH429" s="310">
        <v>2</v>
      </c>
      <c r="AI429" s="310">
        <v>2</v>
      </c>
      <c r="AJ429" s="310">
        <v>2</v>
      </c>
      <c r="AK429" s="317"/>
      <c r="AL429" s="317"/>
      <c r="AM429" s="17">
        <f t="shared" si="58"/>
        <v>0</v>
      </c>
      <c r="AN429" s="283" t="s">
        <v>1610</v>
      </c>
      <c r="AO429" s="18" t="s">
        <v>773</v>
      </c>
      <c r="AP429" s="283" t="s">
        <v>119</v>
      </c>
    </row>
    <row r="430" spans="1:42" x14ac:dyDescent="0.3">
      <c r="A430" s="314" t="s">
        <v>1470</v>
      </c>
      <c r="B430" s="283" t="s">
        <v>1502</v>
      </c>
      <c r="C430" s="314" t="s">
        <v>1474</v>
      </c>
      <c r="D430" s="283" t="s">
        <v>1821</v>
      </c>
      <c r="E430" s="314" t="s">
        <v>1476</v>
      </c>
      <c r="F430" s="283" t="s">
        <v>1952</v>
      </c>
      <c r="G430" s="314" t="s">
        <v>1953</v>
      </c>
      <c r="H430" s="283" t="s">
        <v>1954</v>
      </c>
      <c r="I430" s="315">
        <v>0</v>
      </c>
      <c r="J430" s="315">
        <v>0</v>
      </c>
      <c r="K430" s="314" t="s">
        <v>1991</v>
      </c>
      <c r="L430" s="283" t="s">
        <v>1992</v>
      </c>
      <c r="M430" s="283" t="s">
        <v>271</v>
      </c>
      <c r="N430" s="149">
        <v>0</v>
      </c>
      <c r="O430" s="149"/>
      <c r="P430" s="149"/>
      <c r="Q430" s="149"/>
      <c r="R430" s="149"/>
      <c r="S430" s="19"/>
      <c r="U430" s="283" t="e">
        <v>#N/A</v>
      </c>
      <c r="V430" s="283" t="s">
        <v>1993</v>
      </c>
      <c r="W430" s="283">
        <v>1</v>
      </c>
      <c r="X430" s="283">
        <v>0</v>
      </c>
      <c r="Y430" s="283">
        <v>0</v>
      </c>
      <c r="Z430" s="283">
        <v>1</v>
      </c>
      <c r="AA430" s="283">
        <v>1</v>
      </c>
      <c r="AB430" s="283">
        <v>1</v>
      </c>
      <c r="AC430" s="316">
        <v>1</v>
      </c>
      <c r="AD430" s="316">
        <v>1</v>
      </c>
      <c r="AE430" s="302">
        <f t="shared" si="57"/>
        <v>0.75</v>
      </c>
      <c r="AF430" s="310">
        <v>0</v>
      </c>
      <c r="AG430" s="17">
        <v>0</v>
      </c>
      <c r="AH430" s="310">
        <v>0.24</v>
      </c>
      <c r="AI430" s="310">
        <v>0.3</v>
      </c>
      <c r="AJ430" s="310">
        <v>0.3</v>
      </c>
      <c r="AK430" s="317"/>
      <c r="AL430" s="317"/>
      <c r="AM430" s="17">
        <f t="shared" si="58"/>
        <v>0</v>
      </c>
      <c r="AN430" s="283" t="s">
        <v>1588</v>
      </c>
      <c r="AO430" s="18" t="s">
        <v>1590</v>
      </c>
      <c r="AP430" s="283" t="s">
        <v>119</v>
      </c>
    </row>
    <row r="431" spans="1:42" hidden="1" x14ac:dyDescent="0.3">
      <c r="A431" s="314" t="s">
        <v>1470</v>
      </c>
      <c r="B431" s="283" t="s">
        <v>1502</v>
      </c>
      <c r="C431" s="314" t="s">
        <v>1474</v>
      </c>
      <c r="D431" s="283" t="s">
        <v>1821</v>
      </c>
      <c r="E431" s="314" t="s">
        <v>1476</v>
      </c>
      <c r="F431" s="283" t="s">
        <v>1952</v>
      </c>
      <c r="G431" s="314" t="s">
        <v>1953</v>
      </c>
      <c r="H431" s="283" t="s">
        <v>1954</v>
      </c>
      <c r="I431" s="315">
        <v>0</v>
      </c>
      <c r="J431" s="315">
        <v>0</v>
      </c>
      <c r="K431" s="314" t="s">
        <v>1994</v>
      </c>
      <c r="L431" s="283" t="s">
        <v>1995</v>
      </c>
      <c r="M431" s="283" t="s">
        <v>1996</v>
      </c>
      <c r="N431" s="149">
        <v>2</v>
      </c>
      <c r="O431" s="149">
        <v>5</v>
      </c>
      <c r="P431" s="149">
        <v>10</v>
      </c>
      <c r="Q431" s="149">
        <v>15</v>
      </c>
      <c r="R431" s="149">
        <v>20</v>
      </c>
      <c r="S431" s="19">
        <v>30</v>
      </c>
      <c r="T431" s="283" t="s">
        <v>1997</v>
      </c>
      <c r="U431" s="283" t="e">
        <v>#N/A</v>
      </c>
      <c r="AC431" s="316">
        <v>0</v>
      </c>
      <c r="AD431" s="316">
        <v>0</v>
      </c>
      <c r="AE431" s="302">
        <f t="shared" si="57"/>
        <v>0</v>
      </c>
      <c r="AF431" s="4"/>
      <c r="AG431" s="17">
        <v>0</v>
      </c>
      <c r="AM431" s="17">
        <f t="shared" si="58"/>
        <v>0</v>
      </c>
      <c r="AO431" s="18"/>
    </row>
    <row r="432" spans="1:42" hidden="1" x14ac:dyDescent="0.3">
      <c r="A432" s="314" t="s">
        <v>1470</v>
      </c>
      <c r="B432" s="283" t="s">
        <v>1502</v>
      </c>
      <c r="C432" s="314" t="s">
        <v>1474</v>
      </c>
      <c r="D432" s="283" t="s">
        <v>1821</v>
      </c>
      <c r="E432" s="314" t="s">
        <v>1476</v>
      </c>
      <c r="F432" s="283" t="s">
        <v>1952</v>
      </c>
      <c r="G432" s="314" t="s">
        <v>1953</v>
      </c>
      <c r="H432" s="283" t="s">
        <v>1954</v>
      </c>
      <c r="I432" s="315">
        <v>0</v>
      </c>
      <c r="J432" s="315">
        <v>0</v>
      </c>
      <c r="K432" s="314" t="s">
        <v>1994</v>
      </c>
      <c r="L432" s="283" t="s">
        <v>1995</v>
      </c>
      <c r="M432" s="283" t="s">
        <v>1998</v>
      </c>
      <c r="N432" s="149"/>
      <c r="O432" s="149"/>
      <c r="P432" s="149"/>
      <c r="Q432" s="149"/>
      <c r="R432" s="149"/>
      <c r="S432" s="19"/>
      <c r="T432" s="283" t="s">
        <v>1997</v>
      </c>
      <c r="U432" s="283" t="e">
        <v>#N/A</v>
      </c>
      <c r="AC432" s="316">
        <v>0</v>
      </c>
      <c r="AD432" s="316">
        <v>0</v>
      </c>
      <c r="AE432" s="302">
        <f t="shared" si="57"/>
        <v>0</v>
      </c>
      <c r="AF432" s="4"/>
      <c r="AG432" s="17">
        <v>0</v>
      </c>
      <c r="AM432" s="17">
        <f t="shared" si="58"/>
        <v>0</v>
      </c>
      <c r="AO432" s="18"/>
    </row>
    <row r="433" spans="1:42" hidden="1" x14ac:dyDescent="0.3">
      <c r="A433" s="314" t="s">
        <v>1470</v>
      </c>
      <c r="B433" s="283" t="s">
        <v>1502</v>
      </c>
      <c r="C433" s="314" t="s">
        <v>1474</v>
      </c>
      <c r="D433" s="283" t="s">
        <v>1821</v>
      </c>
      <c r="E433" s="314" t="s">
        <v>1476</v>
      </c>
      <c r="F433" s="283" t="s">
        <v>1952</v>
      </c>
      <c r="G433" s="314" t="s">
        <v>1953</v>
      </c>
      <c r="H433" s="283" t="s">
        <v>1954</v>
      </c>
      <c r="I433" s="315">
        <v>0</v>
      </c>
      <c r="J433" s="315">
        <v>0</v>
      </c>
      <c r="K433" s="314" t="s">
        <v>1994</v>
      </c>
      <c r="L433" s="283" t="s">
        <v>1995</v>
      </c>
      <c r="M433" s="283" t="s">
        <v>1999</v>
      </c>
      <c r="N433" s="149"/>
      <c r="O433" s="149"/>
      <c r="P433" s="149"/>
      <c r="Q433" s="149"/>
      <c r="R433" s="149"/>
      <c r="S433" s="19"/>
      <c r="T433" s="283" t="s">
        <v>1997</v>
      </c>
      <c r="U433" s="283" t="e">
        <v>#N/A</v>
      </c>
      <c r="AC433" s="316">
        <v>0</v>
      </c>
      <c r="AD433" s="316">
        <v>0</v>
      </c>
      <c r="AE433" s="302">
        <f t="shared" si="57"/>
        <v>0</v>
      </c>
      <c r="AF433" s="4"/>
      <c r="AG433" s="17">
        <v>0</v>
      </c>
      <c r="AM433" s="17">
        <f t="shared" si="58"/>
        <v>0</v>
      </c>
      <c r="AO433" s="18"/>
    </row>
    <row r="434" spans="1:42" hidden="1" x14ac:dyDescent="0.3">
      <c r="A434" s="314" t="s">
        <v>1470</v>
      </c>
      <c r="B434" s="283" t="s">
        <v>1502</v>
      </c>
      <c r="C434" s="314" t="s">
        <v>1474</v>
      </c>
      <c r="D434" s="283" t="s">
        <v>1821</v>
      </c>
      <c r="E434" s="314" t="s">
        <v>1476</v>
      </c>
      <c r="F434" s="283" t="s">
        <v>1952</v>
      </c>
      <c r="G434" s="314" t="s">
        <v>1953</v>
      </c>
      <c r="H434" s="283" t="s">
        <v>1954</v>
      </c>
      <c r="I434" s="315">
        <v>0</v>
      </c>
      <c r="J434" s="315">
        <v>0</v>
      </c>
      <c r="K434" s="314" t="s">
        <v>2000</v>
      </c>
      <c r="L434" s="283" t="s">
        <v>2001</v>
      </c>
      <c r="M434" s="283" t="s">
        <v>2002</v>
      </c>
      <c r="N434" s="149">
        <v>2</v>
      </c>
      <c r="O434" s="149">
        <v>2</v>
      </c>
      <c r="P434" s="149">
        <v>3</v>
      </c>
      <c r="Q434" s="149" t="s">
        <v>271</v>
      </c>
      <c r="R434" s="149" t="s">
        <v>271</v>
      </c>
      <c r="S434" s="19" t="s">
        <v>271</v>
      </c>
      <c r="T434" s="283" t="s">
        <v>2003</v>
      </c>
      <c r="U434" s="283" t="e">
        <v>#N/A</v>
      </c>
      <c r="AC434" s="316">
        <v>0</v>
      </c>
      <c r="AD434" s="316">
        <v>0</v>
      </c>
      <c r="AE434" s="302">
        <f t="shared" si="57"/>
        <v>0</v>
      </c>
      <c r="AF434" s="4"/>
      <c r="AG434" s="17">
        <v>0</v>
      </c>
      <c r="AM434" s="17">
        <f t="shared" si="58"/>
        <v>0</v>
      </c>
      <c r="AO434" s="18"/>
    </row>
    <row r="435" spans="1:42" hidden="1" x14ac:dyDescent="0.3">
      <c r="A435" s="314" t="s">
        <v>1470</v>
      </c>
      <c r="B435" s="283" t="s">
        <v>1502</v>
      </c>
      <c r="C435" s="314" t="s">
        <v>1474</v>
      </c>
      <c r="D435" s="283" t="s">
        <v>1821</v>
      </c>
      <c r="E435" s="314" t="s">
        <v>1476</v>
      </c>
      <c r="F435" s="283" t="s">
        <v>1952</v>
      </c>
      <c r="G435" s="314" t="s">
        <v>1953</v>
      </c>
      <c r="H435" s="283" t="s">
        <v>1954</v>
      </c>
      <c r="I435" s="315">
        <v>0</v>
      </c>
      <c r="J435" s="315">
        <v>0</v>
      </c>
      <c r="K435" s="314" t="s">
        <v>2004</v>
      </c>
      <c r="L435" s="283" t="s">
        <v>2005</v>
      </c>
      <c r="M435" s="283" t="s">
        <v>2006</v>
      </c>
      <c r="N435" s="149">
        <v>0</v>
      </c>
      <c r="O435" s="149">
        <v>0</v>
      </c>
      <c r="P435" s="149">
        <v>0</v>
      </c>
      <c r="Q435" s="149">
        <v>10</v>
      </c>
      <c r="R435" s="149">
        <v>0</v>
      </c>
      <c r="S435" s="19">
        <v>0</v>
      </c>
      <c r="T435" s="283" t="s">
        <v>2003</v>
      </c>
      <c r="U435" s="283" t="e">
        <v>#N/A</v>
      </c>
      <c r="AC435" s="316">
        <v>0</v>
      </c>
      <c r="AD435" s="316">
        <v>0</v>
      </c>
      <c r="AE435" s="302">
        <f t="shared" si="57"/>
        <v>0</v>
      </c>
      <c r="AF435" s="4"/>
      <c r="AG435" s="17">
        <v>0</v>
      </c>
      <c r="AM435" s="17">
        <f t="shared" si="58"/>
        <v>0</v>
      </c>
      <c r="AO435" s="18"/>
    </row>
    <row r="436" spans="1:42" hidden="1" x14ac:dyDescent="0.3">
      <c r="A436" s="314" t="s">
        <v>1470</v>
      </c>
      <c r="B436" s="283" t="s">
        <v>1502</v>
      </c>
      <c r="C436" s="314" t="s">
        <v>1474</v>
      </c>
      <c r="D436" s="283" t="s">
        <v>1821</v>
      </c>
      <c r="E436" s="314" t="s">
        <v>1476</v>
      </c>
      <c r="F436" s="283" t="s">
        <v>1952</v>
      </c>
      <c r="G436" s="314" t="s">
        <v>1953</v>
      </c>
      <c r="H436" s="283" t="s">
        <v>1954</v>
      </c>
      <c r="I436" s="315">
        <v>0</v>
      </c>
      <c r="J436" s="315">
        <v>0</v>
      </c>
      <c r="K436" s="314" t="s">
        <v>2007</v>
      </c>
      <c r="L436" s="283" t="s">
        <v>2008</v>
      </c>
      <c r="M436" s="283" t="s">
        <v>2009</v>
      </c>
      <c r="N436" s="149">
        <v>0</v>
      </c>
      <c r="O436" s="149">
        <v>2</v>
      </c>
      <c r="P436" s="149">
        <v>5</v>
      </c>
      <c r="Q436" s="149">
        <v>7</v>
      </c>
      <c r="R436" s="149">
        <v>10</v>
      </c>
      <c r="S436" s="19">
        <v>15</v>
      </c>
      <c r="T436" s="283" t="s">
        <v>2010</v>
      </c>
      <c r="U436" s="283" t="e">
        <v>#N/A</v>
      </c>
      <c r="AC436" s="316">
        <v>0</v>
      </c>
      <c r="AD436" s="316">
        <v>0</v>
      </c>
      <c r="AE436" s="302">
        <f t="shared" si="57"/>
        <v>0</v>
      </c>
      <c r="AF436" s="4"/>
      <c r="AG436" s="17">
        <v>0</v>
      </c>
      <c r="AM436" s="17">
        <f t="shared" si="58"/>
        <v>0</v>
      </c>
      <c r="AO436" s="18"/>
    </row>
    <row r="437" spans="1:42" x14ac:dyDescent="0.3">
      <c r="A437" s="314" t="s">
        <v>1470</v>
      </c>
      <c r="B437" s="283" t="s">
        <v>1502</v>
      </c>
      <c r="C437" s="314" t="s">
        <v>1474</v>
      </c>
      <c r="D437" s="283" t="s">
        <v>1821</v>
      </c>
      <c r="E437" s="314" t="s">
        <v>1476</v>
      </c>
      <c r="F437" s="283" t="s">
        <v>1952</v>
      </c>
      <c r="G437" s="314" t="s">
        <v>2011</v>
      </c>
      <c r="H437" s="283" t="s">
        <v>2012</v>
      </c>
      <c r="I437" s="315">
        <v>0</v>
      </c>
      <c r="J437" s="315">
        <v>0</v>
      </c>
      <c r="K437" s="314" t="s">
        <v>2013</v>
      </c>
      <c r="L437" s="283" t="s">
        <v>2014</v>
      </c>
      <c r="M437" s="283" t="s">
        <v>2015</v>
      </c>
      <c r="N437" s="149">
        <v>0</v>
      </c>
      <c r="O437" s="19">
        <v>1</v>
      </c>
      <c r="P437" s="19">
        <v>0</v>
      </c>
      <c r="Q437" s="152">
        <v>0</v>
      </c>
      <c r="R437" s="19">
        <v>3</v>
      </c>
      <c r="S437" s="19">
        <v>3</v>
      </c>
      <c r="T437" s="283" t="s">
        <v>2016</v>
      </c>
      <c r="U437" s="283" t="e">
        <v>#N/A</v>
      </c>
      <c r="V437" s="283" t="s">
        <v>2017</v>
      </c>
      <c r="W437" s="283">
        <v>1</v>
      </c>
      <c r="X437" s="283">
        <v>0</v>
      </c>
      <c r="Y437" s="283">
        <v>0</v>
      </c>
      <c r="Z437" s="283">
        <v>1</v>
      </c>
      <c r="AA437" s="283">
        <v>1</v>
      </c>
      <c r="AB437" s="283">
        <v>1</v>
      </c>
      <c r="AC437" s="316">
        <v>1</v>
      </c>
      <c r="AD437" s="316">
        <v>1</v>
      </c>
      <c r="AE437" s="302">
        <f t="shared" si="57"/>
        <v>0.75</v>
      </c>
      <c r="AF437" s="17">
        <v>0</v>
      </c>
      <c r="AG437" s="17">
        <v>0</v>
      </c>
      <c r="AH437" s="17">
        <v>0</v>
      </c>
      <c r="AI437" s="17">
        <v>0</v>
      </c>
      <c r="AJ437" s="17">
        <v>0</v>
      </c>
      <c r="AK437" s="153">
        <v>0.3</v>
      </c>
      <c r="AL437" s="154">
        <v>0.3</v>
      </c>
      <c r="AM437" s="17">
        <f t="shared" si="58"/>
        <v>0.6</v>
      </c>
      <c r="AN437" s="283" t="s">
        <v>2018</v>
      </c>
      <c r="AO437" s="18" t="s">
        <v>2019</v>
      </c>
      <c r="AP437" s="283" t="s">
        <v>1898</v>
      </c>
    </row>
    <row r="438" spans="1:42" x14ac:dyDescent="0.3">
      <c r="A438" s="314" t="s">
        <v>1470</v>
      </c>
      <c r="B438" s="283" t="s">
        <v>1502</v>
      </c>
      <c r="C438" s="314" t="s">
        <v>1474</v>
      </c>
      <c r="D438" s="283" t="s">
        <v>1821</v>
      </c>
      <c r="E438" s="314" t="s">
        <v>1476</v>
      </c>
      <c r="F438" s="283" t="s">
        <v>1952</v>
      </c>
      <c r="G438" s="314" t="s">
        <v>2011</v>
      </c>
      <c r="H438" s="283" t="s">
        <v>2012</v>
      </c>
      <c r="I438" s="315">
        <v>0</v>
      </c>
      <c r="J438" s="315">
        <v>0</v>
      </c>
      <c r="K438" s="314" t="s">
        <v>2020</v>
      </c>
      <c r="L438" s="283" t="s">
        <v>2021</v>
      </c>
      <c r="M438" s="283" t="s">
        <v>2022</v>
      </c>
      <c r="N438" s="149">
        <v>0</v>
      </c>
      <c r="O438" s="149"/>
      <c r="P438" s="149"/>
      <c r="Q438" s="149"/>
      <c r="R438" s="149">
        <v>8</v>
      </c>
      <c r="S438" s="19">
        <v>8</v>
      </c>
      <c r="T438" s="283" t="s">
        <v>2016</v>
      </c>
      <c r="U438" s="283" t="e">
        <v>#N/A</v>
      </c>
      <c r="V438" s="283" t="s">
        <v>2023</v>
      </c>
      <c r="W438" s="283">
        <v>1</v>
      </c>
      <c r="X438" s="283">
        <v>1</v>
      </c>
      <c r="Y438" s="283">
        <v>1</v>
      </c>
      <c r="Z438" s="283">
        <v>1</v>
      </c>
      <c r="AA438" s="283">
        <v>1</v>
      </c>
      <c r="AB438" s="283">
        <v>1</v>
      </c>
      <c r="AC438" s="316">
        <v>1</v>
      </c>
      <c r="AD438" s="316">
        <v>1</v>
      </c>
      <c r="AE438" s="302">
        <f t="shared" si="57"/>
        <v>1</v>
      </c>
      <c r="AF438" s="310">
        <v>0</v>
      </c>
      <c r="AG438" s="17">
        <v>0</v>
      </c>
      <c r="AH438" s="310">
        <v>2.33</v>
      </c>
      <c r="AI438" s="310">
        <v>2.44</v>
      </c>
      <c r="AJ438" s="310">
        <v>2.81</v>
      </c>
      <c r="AK438" s="317">
        <v>2.95</v>
      </c>
      <c r="AL438" s="317">
        <v>2.39</v>
      </c>
      <c r="AM438" s="17">
        <f t="shared" si="58"/>
        <v>5.34</v>
      </c>
      <c r="AN438" s="283" t="s">
        <v>2018</v>
      </c>
      <c r="AO438" s="18" t="s">
        <v>2019</v>
      </c>
      <c r="AP438" s="283" t="s">
        <v>2024</v>
      </c>
    </row>
    <row r="439" spans="1:42" x14ac:dyDescent="0.3">
      <c r="A439" s="314" t="s">
        <v>1470</v>
      </c>
      <c r="B439" s="283" t="s">
        <v>1502</v>
      </c>
      <c r="C439" s="314" t="s">
        <v>1474</v>
      </c>
      <c r="D439" s="283" t="s">
        <v>1821</v>
      </c>
      <c r="E439" s="314" t="s">
        <v>1476</v>
      </c>
      <c r="F439" s="283" t="s">
        <v>1952</v>
      </c>
      <c r="G439" s="314" t="s">
        <v>2011</v>
      </c>
      <c r="H439" s="283" t="s">
        <v>2012</v>
      </c>
      <c r="I439" s="315">
        <v>0</v>
      </c>
      <c r="J439" s="315">
        <v>0</v>
      </c>
      <c r="K439" s="314" t="s">
        <v>2025</v>
      </c>
      <c r="L439" s="283" t="s">
        <v>2026</v>
      </c>
      <c r="M439" s="283" t="s">
        <v>2027</v>
      </c>
      <c r="N439" s="149">
        <v>0</v>
      </c>
      <c r="O439" s="149"/>
      <c r="P439" s="149"/>
      <c r="Q439" s="149"/>
      <c r="R439" s="149">
        <v>4</v>
      </c>
      <c r="S439" s="19">
        <v>4</v>
      </c>
      <c r="T439" s="18" t="s">
        <v>1536</v>
      </c>
      <c r="U439" s="283" t="e">
        <v>#N/A</v>
      </c>
      <c r="V439" s="283" t="s">
        <v>2028</v>
      </c>
      <c r="W439" s="283">
        <v>1</v>
      </c>
      <c r="X439" s="283">
        <v>0</v>
      </c>
      <c r="Y439" s="283">
        <v>0</v>
      </c>
      <c r="Z439" s="283">
        <v>1</v>
      </c>
      <c r="AA439" s="283">
        <v>1</v>
      </c>
      <c r="AB439" s="283">
        <v>1</v>
      </c>
      <c r="AC439" s="316">
        <v>1</v>
      </c>
      <c r="AD439" s="316">
        <v>1</v>
      </c>
      <c r="AE439" s="302">
        <f t="shared" si="57"/>
        <v>0.75</v>
      </c>
      <c r="AF439" s="310">
        <v>0</v>
      </c>
      <c r="AG439" s="17">
        <v>0</v>
      </c>
      <c r="AH439" s="310">
        <v>0.2</v>
      </c>
      <c r="AI439" s="310">
        <v>0.2</v>
      </c>
      <c r="AJ439" s="310">
        <v>0.2</v>
      </c>
      <c r="AK439" s="317">
        <v>0.2</v>
      </c>
      <c r="AL439" s="317">
        <v>0.2</v>
      </c>
      <c r="AM439" s="17">
        <f t="shared" si="58"/>
        <v>0.4</v>
      </c>
      <c r="AN439" s="18" t="s">
        <v>771</v>
      </c>
      <c r="AO439" s="18" t="s">
        <v>773</v>
      </c>
      <c r="AP439" s="283" t="s">
        <v>2029</v>
      </c>
    </row>
    <row r="440" spans="1:42" hidden="1" x14ac:dyDescent="0.3">
      <c r="A440" s="314" t="s">
        <v>1470</v>
      </c>
      <c r="B440" s="283" t="s">
        <v>1502</v>
      </c>
      <c r="C440" s="314" t="s">
        <v>1474</v>
      </c>
      <c r="D440" s="283" t="s">
        <v>1821</v>
      </c>
      <c r="E440" s="314" t="s">
        <v>1476</v>
      </c>
      <c r="F440" s="283" t="s">
        <v>1952</v>
      </c>
      <c r="G440" s="314" t="s">
        <v>2011</v>
      </c>
      <c r="H440" s="283" t="s">
        <v>2012</v>
      </c>
      <c r="I440" s="315">
        <v>0</v>
      </c>
      <c r="J440" s="315">
        <v>0</v>
      </c>
      <c r="K440" s="314" t="s">
        <v>2030</v>
      </c>
      <c r="L440" s="283" t="s">
        <v>2031</v>
      </c>
      <c r="M440" s="283" t="s">
        <v>271</v>
      </c>
      <c r="N440" s="149">
        <v>0</v>
      </c>
      <c r="O440" s="149"/>
      <c r="P440" s="149"/>
      <c r="Q440" s="149"/>
      <c r="R440" s="149"/>
      <c r="S440" s="19"/>
      <c r="U440" s="283" t="e">
        <v>#N/A</v>
      </c>
      <c r="V440" s="283" t="s">
        <v>2032</v>
      </c>
      <c r="W440" s="283">
        <v>0</v>
      </c>
      <c r="X440" s="283">
        <v>0</v>
      </c>
      <c r="Y440" s="283">
        <v>0</v>
      </c>
      <c r="Z440" s="283">
        <v>0</v>
      </c>
      <c r="AA440" s="283">
        <v>0</v>
      </c>
      <c r="AB440" s="283">
        <v>0</v>
      </c>
      <c r="AC440" s="316">
        <v>0</v>
      </c>
      <c r="AD440" s="316">
        <v>0</v>
      </c>
      <c r="AE440" s="302">
        <f t="shared" si="57"/>
        <v>0</v>
      </c>
      <c r="AF440" s="310">
        <v>0</v>
      </c>
      <c r="AG440" s="17">
        <v>0</v>
      </c>
      <c r="AH440" s="310">
        <v>0.16</v>
      </c>
      <c r="AI440" s="310">
        <v>0.16</v>
      </c>
      <c r="AJ440" s="310">
        <v>0.16</v>
      </c>
      <c r="AK440" s="317"/>
      <c r="AL440" s="317"/>
      <c r="AM440" s="17">
        <f t="shared" si="58"/>
        <v>0</v>
      </c>
      <c r="AN440" s="283" t="s">
        <v>1581</v>
      </c>
      <c r="AO440" s="18" t="s">
        <v>1583</v>
      </c>
      <c r="AP440" s="283" t="s">
        <v>2033</v>
      </c>
    </row>
    <row r="441" spans="1:42" hidden="1" x14ac:dyDescent="0.3">
      <c r="A441" s="314" t="s">
        <v>1470</v>
      </c>
      <c r="B441" s="283" t="s">
        <v>1502</v>
      </c>
      <c r="C441" s="314" t="s">
        <v>1474</v>
      </c>
      <c r="D441" s="283" t="s">
        <v>1821</v>
      </c>
      <c r="E441" s="314" t="s">
        <v>1476</v>
      </c>
      <c r="F441" s="283" t="s">
        <v>1952</v>
      </c>
      <c r="G441" s="314" t="s">
        <v>2011</v>
      </c>
      <c r="H441" s="283" t="s">
        <v>2012</v>
      </c>
      <c r="I441" s="315">
        <v>0</v>
      </c>
      <c r="J441" s="315">
        <v>0</v>
      </c>
      <c r="K441" s="314" t="s">
        <v>2034</v>
      </c>
      <c r="L441" s="283" t="s">
        <v>2035</v>
      </c>
      <c r="M441" s="283" t="s">
        <v>271</v>
      </c>
      <c r="N441" s="149">
        <v>0</v>
      </c>
      <c r="O441" s="149"/>
      <c r="P441" s="149"/>
      <c r="Q441" s="149"/>
      <c r="R441" s="149"/>
      <c r="S441" s="19"/>
      <c r="U441" s="283" t="e">
        <v>#N/A</v>
      </c>
      <c r="V441" s="283" t="s">
        <v>2036</v>
      </c>
      <c r="W441" s="283">
        <v>0</v>
      </c>
      <c r="X441" s="283">
        <v>0</v>
      </c>
      <c r="Y441" s="283">
        <v>0</v>
      </c>
      <c r="Z441" s="283">
        <v>0</v>
      </c>
      <c r="AA441" s="283">
        <v>0</v>
      </c>
      <c r="AB441" s="283">
        <v>0</v>
      </c>
      <c r="AC441" s="316">
        <v>0</v>
      </c>
      <c r="AD441" s="316">
        <v>0</v>
      </c>
      <c r="AE441" s="302">
        <f t="shared" si="57"/>
        <v>0</v>
      </c>
      <c r="AF441" s="310"/>
      <c r="AG441" s="17">
        <v>0</v>
      </c>
      <c r="AH441" s="310">
        <v>0.02</v>
      </c>
      <c r="AI441" s="310">
        <v>0.02</v>
      </c>
      <c r="AJ441" s="310">
        <v>0.02</v>
      </c>
      <c r="AK441" s="317"/>
      <c r="AL441" s="317"/>
      <c r="AM441" s="17">
        <f t="shared" si="58"/>
        <v>0</v>
      </c>
      <c r="AN441" s="283" t="s">
        <v>1581</v>
      </c>
      <c r="AO441" s="18" t="s">
        <v>1583</v>
      </c>
      <c r="AP441" s="283" t="s">
        <v>1584</v>
      </c>
    </row>
    <row r="442" spans="1:42" hidden="1" x14ac:dyDescent="0.3">
      <c r="A442" s="314" t="s">
        <v>1470</v>
      </c>
      <c r="B442" s="283" t="s">
        <v>1502</v>
      </c>
      <c r="C442" s="314" t="s">
        <v>1474</v>
      </c>
      <c r="D442" s="283" t="s">
        <v>1821</v>
      </c>
      <c r="E442" s="314" t="s">
        <v>1476</v>
      </c>
      <c r="F442" s="283" t="s">
        <v>1952</v>
      </c>
      <c r="G442" s="314" t="s">
        <v>2011</v>
      </c>
      <c r="H442" s="283" t="s">
        <v>2012</v>
      </c>
      <c r="I442" s="315">
        <v>0</v>
      </c>
      <c r="J442" s="315">
        <v>0</v>
      </c>
      <c r="K442" s="314" t="s">
        <v>2037</v>
      </c>
      <c r="L442" s="283" t="s">
        <v>2038</v>
      </c>
      <c r="M442" s="283" t="s">
        <v>271</v>
      </c>
      <c r="N442" s="149">
        <v>0</v>
      </c>
      <c r="O442" s="149"/>
      <c r="P442" s="149"/>
      <c r="Q442" s="149"/>
      <c r="R442" s="149"/>
      <c r="S442" s="19"/>
      <c r="U442" s="283" t="e">
        <v>#N/A</v>
      </c>
      <c r="V442" s="283" t="s">
        <v>2039</v>
      </c>
      <c r="W442" s="283">
        <v>0</v>
      </c>
      <c r="X442" s="283">
        <v>0</v>
      </c>
      <c r="Y442" s="283">
        <v>0</v>
      </c>
      <c r="Z442" s="283">
        <v>0</v>
      </c>
      <c r="AA442" s="283">
        <v>0</v>
      </c>
      <c r="AB442" s="283">
        <v>0</v>
      </c>
      <c r="AC442" s="316">
        <v>0</v>
      </c>
      <c r="AD442" s="316">
        <v>0</v>
      </c>
      <c r="AE442" s="302">
        <f t="shared" si="57"/>
        <v>0</v>
      </c>
      <c r="AF442" s="310">
        <v>0</v>
      </c>
      <c r="AG442" s="17">
        <v>0</v>
      </c>
      <c r="AH442" s="310">
        <v>0.02</v>
      </c>
      <c r="AI442" s="310">
        <v>0.02</v>
      </c>
      <c r="AJ442" s="310">
        <v>0.02</v>
      </c>
      <c r="AK442" s="317"/>
      <c r="AL442" s="317"/>
      <c r="AM442" s="17">
        <f t="shared" si="58"/>
        <v>0</v>
      </c>
      <c r="AN442" s="283" t="s">
        <v>1581</v>
      </c>
      <c r="AO442" s="18" t="s">
        <v>1583</v>
      </c>
      <c r="AP442" s="283" t="s">
        <v>1584</v>
      </c>
    </row>
    <row r="443" spans="1:42" hidden="1" x14ac:dyDescent="0.3">
      <c r="A443" s="314" t="s">
        <v>1470</v>
      </c>
      <c r="B443" s="283" t="s">
        <v>1502</v>
      </c>
      <c r="C443" s="314" t="s">
        <v>1474</v>
      </c>
      <c r="D443" s="283" t="s">
        <v>1821</v>
      </c>
      <c r="E443" s="314" t="s">
        <v>1476</v>
      </c>
      <c r="F443" s="283" t="s">
        <v>1952</v>
      </c>
      <c r="G443" s="314" t="s">
        <v>2011</v>
      </c>
      <c r="H443" s="283" t="s">
        <v>2012</v>
      </c>
      <c r="I443" s="315">
        <v>0</v>
      </c>
      <c r="J443" s="315">
        <v>0</v>
      </c>
      <c r="K443" s="314" t="s">
        <v>2040</v>
      </c>
      <c r="L443" s="283" t="s">
        <v>2041</v>
      </c>
      <c r="M443" s="283" t="s">
        <v>271</v>
      </c>
      <c r="N443" s="149">
        <v>0</v>
      </c>
      <c r="O443" s="149"/>
      <c r="P443" s="149"/>
      <c r="Q443" s="149"/>
      <c r="R443" s="149"/>
      <c r="S443" s="19"/>
      <c r="U443" s="283" t="e">
        <v>#N/A</v>
      </c>
      <c r="V443" s="283" t="s">
        <v>2042</v>
      </c>
      <c r="W443" s="283">
        <v>0</v>
      </c>
      <c r="X443" s="283">
        <v>0</v>
      </c>
      <c r="Y443" s="283">
        <v>0</v>
      </c>
      <c r="Z443" s="283">
        <v>0</v>
      </c>
      <c r="AA443" s="283">
        <v>0</v>
      </c>
      <c r="AB443" s="283">
        <v>0</v>
      </c>
      <c r="AC443" s="316">
        <v>0</v>
      </c>
      <c r="AD443" s="316">
        <v>0</v>
      </c>
      <c r="AE443" s="302">
        <f t="shared" si="57"/>
        <v>0</v>
      </c>
      <c r="AF443" s="17">
        <v>0</v>
      </c>
      <c r="AG443" s="17">
        <v>0</v>
      </c>
      <c r="AH443" s="17">
        <v>0</v>
      </c>
      <c r="AI443" s="310">
        <v>0.5</v>
      </c>
      <c r="AJ443" s="310">
        <v>0.5</v>
      </c>
      <c r="AK443" s="317"/>
      <c r="AL443" s="317"/>
      <c r="AM443" s="17">
        <f t="shared" si="58"/>
        <v>0</v>
      </c>
      <c r="AN443" s="283" t="s">
        <v>723</v>
      </c>
      <c r="AO443" s="18" t="s">
        <v>729</v>
      </c>
      <c r="AP443" s="283" t="s">
        <v>2043</v>
      </c>
    </row>
    <row r="444" spans="1:42" x14ac:dyDescent="0.3">
      <c r="A444" s="314" t="s">
        <v>1470</v>
      </c>
      <c r="B444" s="283" t="s">
        <v>1502</v>
      </c>
      <c r="C444" s="314" t="s">
        <v>1474</v>
      </c>
      <c r="D444" s="283" t="s">
        <v>1821</v>
      </c>
      <c r="E444" s="314" t="s">
        <v>1476</v>
      </c>
      <c r="F444" s="283" t="s">
        <v>1952</v>
      </c>
      <c r="G444" s="314" t="s">
        <v>2011</v>
      </c>
      <c r="H444" s="283" t="s">
        <v>2012</v>
      </c>
      <c r="I444" s="315">
        <v>0</v>
      </c>
      <c r="J444" s="315">
        <v>0</v>
      </c>
      <c r="K444" s="314" t="s">
        <v>2044</v>
      </c>
      <c r="L444" s="283" t="s">
        <v>2045</v>
      </c>
      <c r="M444" s="283" t="s">
        <v>271</v>
      </c>
      <c r="N444" s="149">
        <v>0</v>
      </c>
      <c r="O444" s="19"/>
      <c r="P444" s="19"/>
      <c r="Q444" s="152"/>
      <c r="R444" s="19"/>
      <c r="S444" s="19"/>
      <c r="T444" s="18"/>
      <c r="U444" s="283" t="e">
        <v>#N/A</v>
      </c>
      <c r="V444" s="283" t="s">
        <v>2046</v>
      </c>
      <c r="W444" s="283">
        <v>1</v>
      </c>
      <c r="X444" s="283">
        <v>0</v>
      </c>
      <c r="Y444" s="283">
        <v>0</v>
      </c>
      <c r="Z444" s="283">
        <v>1</v>
      </c>
      <c r="AA444" s="283">
        <v>1</v>
      </c>
      <c r="AB444" s="283">
        <v>1</v>
      </c>
      <c r="AC444" s="316">
        <v>1</v>
      </c>
      <c r="AD444" s="316">
        <v>1</v>
      </c>
      <c r="AE444" s="302">
        <f t="shared" si="57"/>
        <v>0.75</v>
      </c>
      <c r="AF444" s="17">
        <v>0</v>
      </c>
      <c r="AG444" s="17">
        <v>0</v>
      </c>
      <c r="AH444" s="17">
        <v>0</v>
      </c>
      <c r="AI444" s="17">
        <v>0</v>
      </c>
      <c r="AJ444" s="17">
        <v>0</v>
      </c>
      <c r="AK444" s="153">
        <v>0</v>
      </c>
      <c r="AL444" s="154">
        <v>0</v>
      </c>
      <c r="AM444" s="17">
        <f t="shared" si="58"/>
        <v>0</v>
      </c>
      <c r="AN444" s="18" t="s">
        <v>771</v>
      </c>
      <c r="AO444" s="18" t="s">
        <v>773</v>
      </c>
      <c r="AP444" s="283" t="s">
        <v>2047</v>
      </c>
    </row>
    <row r="445" spans="1:42" x14ac:dyDescent="0.3">
      <c r="A445" s="314" t="s">
        <v>1470</v>
      </c>
      <c r="B445" s="283" t="s">
        <v>1502</v>
      </c>
      <c r="C445" s="314" t="s">
        <v>1474</v>
      </c>
      <c r="D445" s="283" t="s">
        <v>1821</v>
      </c>
      <c r="E445" s="314" t="s">
        <v>1476</v>
      </c>
      <c r="F445" s="283" t="s">
        <v>1952</v>
      </c>
      <c r="G445" s="314" t="s">
        <v>2011</v>
      </c>
      <c r="H445" s="283" t="s">
        <v>2012</v>
      </c>
      <c r="I445" s="315">
        <v>0</v>
      </c>
      <c r="J445" s="315">
        <v>0</v>
      </c>
      <c r="K445" s="314" t="s">
        <v>2048</v>
      </c>
      <c r="L445" s="283" t="s">
        <v>2049</v>
      </c>
      <c r="M445" s="283" t="s">
        <v>2050</v>
      </c>
      <c r="N445" s="149">
        <v>0</v>
      </c>
      <c r="O445" s="149"/>
      <c r="P445" s="149"/>
      <c r="Q445" s="149"/>
      <c r="R445" s="149"/>
      <c r="S445" s="19"/>
      <c r="U445" s="283" t="e">
        <v>#N/A</v>
      </c>
      <c r="V445" s="283" t="s">
        <v>2051</v>
      </c>
      <c r="W445" s="283">
        <v>1</v>
      </c>
      <c r="X445" s="283">
        <v>0</v>
      </c>
      <c r="Y445" s="283">
        <v>0</v>
      </c>
      <c r="Z445" s="283">
        <v>1</v>
      </c>
      <c r="AA445" s="283">
        <v>1</v>
      </c>
      <c r="AB445" s="283">
        <v>1</v>
      </c>
      <c r="AC445" s="316">
        <v>1</v>
      </c>
      <c r="AD445" s="316">
        <v>1</v>
      </c>
      <c r="AE445" s="302">
        <f t="shared" si="57"/>
        <v>0.75</v>
      </c>
      <c r="AF445" s="310">
        <v>0</v>
      </c>
      <c r="AG445" s="17">
        <v>0</v>
      </c>
      <c r="AH445" s="310">
        <v>34.840000000000003</v>
      </c>
      <c r="AI445" s="310">
        <v>36.1</v>
      </c>
      <c r="AJ445" s="310">
        <v>34.840000000000003</v>
      </c>
      <c r="AK445" s="317">
        <v>0.06</v>
      </c>
      <c r="AL445" s="317">
        <v>0.6</v>
      </c>
      <c r="AM445" s="17">
        <f t="shared" si="58"/>
        <v>0.65999999999999992</v>
      </c>
      <c r="AN445" s="283" t="s">
        <v>255</v>
      </c>
      <c r="AO445" s="18" t="s">
        <v>1045</v>
      </c>
      <c r="AP445" s="283" t="s">
        <v>280</v>
      </c>
    </row>
    <row r="446" spans="1:42" hidden="1" x14ac:dyDescent="0.3">
      <c r="A446" s="314" t="s">
        <v>1470</v>
      </c>
      <c r="B446" s="283" t="s">
        <v>1502</v>
      </c>
      <c r="C446" s="314" t="s">
        <v>1474</v>
      </c>
      <c r="D446" s="283" t="s">
        <v>1821</v>
      </c>
      <c r="E446" s="314" t="s">
        <v>1476</v>
      </c>
      <c r="F446" s="283" t="s">
        <v>1952</v>
      </c>
      <c r="G446" s="314" t="s">
        <v>2011</v>
      </c>
      <c r="H446" s="283" t="s">
        <v>2012</v>
      </c>
      <c r="I446" s="315">
        <v>0</v>
      </c>
      <c r="J446" s="315">
        <v>0</v>
      </c>
      <c r="K446" s="314" t="s">
        <v>2052</v>
      </c>
      <c r="L446" s="283" t="s">
        <v>2053</v>
      </c>
      <c r="M446" s="283" t="s">
        <v>271</v>
      </c>
      <c r="N446" s="149">
        <v>0</v>
      </c>
      <c r="O446" s="149"/>
      <c r="P446" s="149"/>
      <c r="Q446" s="149"/>
      <c r="R446" s="149"/>
      <c r="S446" s="19"/>
      <c r="U446" s="283" t="e">
        <v>#N/A</v>
      </c>
      <c r="V446" s="283" t="s">
        <v>2054</v>
      </c>
      <c r="W446" s="283">
        <v>0</v>
      </c>
      <c r="X446" s="283">
        <v>0</v>
      </c>
      <c r="Y446" s="283">
        <v>0</v>
      </c>
      <c r="Z446" s="283">
        <v>0</v>
      </c>
      <c r="AA446" s="283">
        <v>0</v>
      </c>
      <c r="AB446" s="283">
        <v>0</v>
      </c>
      <c r="AC446" s="316">
        <v>0</v>
      </c>
      <c r="AD446" s="316">
        <v>0</v>
      </c>
      <c r="AE446" s="302">
        <f t="shared" si="57"/>
        <v>0</v>
      </c>
      <c r="AF446" s="310">
        <v>0</v>
      </c>
      <c r="AG446" s="17">
        <v>0</v>
      </c>
      <c r="AH446" s="310">
        <v>0</v>
      </c>
      <c r="AI446" s="310">
        <v>0.2</v>
      </c>
      <c r="AJ446" s="310">
        <v>0.2</v>
      </c>
      <c r="AK446" s="317">
        <v>0</v>
      </c>
      <c r="AL446" s="317">
        <v>0</v>
      </c>
      <c r="AM446" s="17">
        <f t="shared" si="58"/>
        <v>0</v>
      </c>
      <c r="AN446" s="283" t="s">
        <v>1610</v>
      </c>
      <c r="AO446" s="18" t="s">
        <v>773</v>
      </c>
      <c r="AP446" s="283" t="s">
        <v>119</v>
      </c>
    </row>
    <row r="447" spans="1:42" hidden="1" x14ac:dyDescent="0.3">
      <c r="A447" s="314" t="s">
        <v>1470</v>
      </c>
      <c r="B447" s="283" t="s">
        <v>1502</v>
      </c>
      <c r="C447" s="314" t="s">
        <v>1474</v>
      </c>
      <c r="D447" s="283" t="s">
        <v>1821</v>
      </c>
      <c r="E447" s="314" t="s">
        <v>1476</v>
      </c>
      <c r="F447" s="283" t="s">
        <v>1952</v>
      </c>
      <c r="G447" s="314" t="s">
        <v>2011</v>
      </c>
      <c r="H447" s="283" t="s">
        <v>2012</v>
      </c>
      <c r="I447" s="315">
        <v>0</v>
      </c>
      <c r="J447" s="315">
        <v>0</v>
      </c>
      <c r="K447" s="314" t="s">
        <v>2055</v>
      </c>
      <c r="L447" s="283" t="s">
        <v>2056</v>
      </c>
      <c r="M447" s="283" t="s">
        <v>2057</v>
      </c>
      <c r="N447" s="149"/>
      <c r="O447" s="149">
        <v>1</v>
      </c>
      <c r="P447" s="149">
        <v>1</v>
      </c>
      <c r="Q447" s="149">
        <v>1</v>
      </c>
      <c r="R447" s="149">
        <v>1</v>
      </c>
      <c r="S447" s="19">
        <v>1</v>
      </c>
      <c r="U447" s="283" t="e">
        <v>#N/A</v>
      </c>
      <c r="AC447" s="316">
        <v>0</v>
      </c>
      <c r="AD447" s="316">
        <v>0</v>
      </c>
      <c r="AE447" s="302">
        <f t="shared" si="57"/>
        <v>0</v>
      </c>
      <c r="AF447" s="4"/>
      <c r="AG447" s="17">
        <v>0</v>
      </c>
      <c r="AM447" s="17">
        <f t="shared" si="58"/>
        <v>0</v>
      </c>
      <c r="AO447" s="18"/>
    </row>
    <row r="448" spans="1:42" x14ac:dyDescent="0.3">
      <c r="A448" s="314" t="s">
        <v>1470</v>
      </c>
      <c r="B448" s="283" t="s">
        <v>1502</v>
      </c>
      <c r="C448" s="314" t="s">
        <v>1474</v>
      </c>
      <c r="D448" s="283" t="s">
        <v>1821</v>
      </c>
      <c r="E448" s="314" t="s">
        <v>1476</v>
      </c>
      <c r="F448" s="283" t="s">
        <v>1952</v>
      </c>
      <c r="G448" s="314" t="s">
        <v>2011</v>
      </c>
      <c r="H448" s="283" t="s">
        <v>2012</v>
      </c>
      <c r="I448" s="315">
        <v>0</v>
      </c>
      <c r="J448" s="315">
        <v>0</v>
      </c>
      <c r="K448" s="314" t="s">
        <v>2058</v>
      </c>
      <c r="L448" s="283" t="s">
        <v>2059</v>
      </c>
      <c r="M448" s="283" t="s">
        <v>271</v>
      </c>
      <c r="N448" s="149">
        <v>0</v>
      </c>
      <c r="O448" s="149"/>
      <c r="P448" s="149"/>
      <c r="Q448" s="149"/>
      <c r="R448" s="149"/>
      <c r="S448" s="19"/>
      <c r="U448" s="283" t="e">
        <v>#N/A</v>
      </c>
      <c r="V448" s="283" t="s">
        <v>2060</v>
      </c>
      <c r="W448" s="283">
        <v>1</v>
      </c>
      <c r="X448" s="283">
        <v>0</v>
      </c>
      <c r="Y448" s="283">
        <v>0</v>
      </c>
      <c r="Z448" s="283">
        <v>1</v>
      </c>
      <c r="AA448" s="283">
        <v>1</v>
      </c>
      <c r="AB448" s="283">
        <v>1</v>
      </c>
      <c r="AC448" s="316">
        <v>1</v>
      </c>
      <c r="AD448" s="316">
        <v>1</v>
      </c>
      <c r="AE448" s="302">
        <f t="shared" si="57"/>
        <v>0.75</v>
      </c>
      <c r="AF448" s="310">
        <v>0</v>
      </c>
      <c r="AG448" s="17">
        <v>0</v>
      </c>
      <c r="AH448" s="310">
        <v>6.58</v>
      </c>
      <c r="AI448" s="310">
        <v>6.58</v>
      </c>
      <c r="AJ448" s="310">
        <v>6.58</v>
      </c>
      <c r="AK448" s="317">
        <v>0.2</v>
      </c>
      <c r="AL448" s="317">
        <v>0.4</v>
      </c>
      <c r="AM448" s="17">
        <f t="shared" si="58"/>
        <v>0.60000000000000009</v>
      </c>
      <c r="AN448" s="283" t="s">
        <v>1610</v>
      </c>
      <c r="AO448" s="18" t="s">
        <v>773</v>
      </c>
      <c r="AP448" s="283" t="s">
        <v>119</v>
      </c>
    </row>
    <row r="449" spans="1:42" s="293" customFormat="1" hidden="1" x14ac:dyDescent="0.3">
      <c r="A449" s="50" t="s">
        <v>1455</v>
      </c>
      <c r="B449" s="51" t="s">
        <v>2061</v>
      </c>
      <c r="C449" s="50" t="s">
        <v>2062</v>
      </c>
      <c r="D449" s="51" t="s">
        <v>1491</v>
      </c>
      <c r="E449" s="50" t="s">
        <v>2062</v>
      </c>
      <c r="F449" s="51" t="s">
        <v>1493</v>
      </c>
      <c r="G449" s="50" t="s">
        <v>2062</v>
      </c>
      <c r="H449" s="51" t="s">
        <v>1491</v>
      </c>
      <c r="I449" s="51"/>
      <c r="J449" s="51"/>
      <c r="K449" s="50" t="s">
        <v>2062</v>
      </c>
      <c r="L449" s="51" t="s">
        <v>1491</v>
      </c>
      <c r="M449" s="60" t="s">
        <v>271</v>
      </c>
      <c r="N449" s="60" t="s">
        <v>271</v>
      </c>
      <c r="O449" s="60" t="s">
        <v>271</v>
      </c>
      <c r="P449" s="60" t="s">
        <v>271</v>
      </c>
      <c r="Q449" s="60" t="s">
        <v>271</v>
      </c>
      <c r="R449" s="60" t="s">
        <v>271</v>
      </c>
      <c r="S449" s="60" t="s">
        <v>271</v>
      </c>
      <c r="T449" s="60" t="s">
        <v>271</v>
      </c>
      <c r="U449" s="60" t="s">
        <v>271</v>
      </c>
      <c r="V449" s="51" t="s">
        <v>1489</v>
      </c>
      <c r="W449" s="291"/>
      <c r="X449" s="291"/>
      <c r="Y449" s="291"/>
      <c r="Z449" s="291"/>
      <c r="AA449" s="291"/>
      <c r="AB449" s="291"/>
      <c r="AC449" s="291"/>
      <c r="AD449" s="291"/>
      <c r="AE449" s="292"/>
      <c r="AF449" s="56"/>
      <c r="AG449" s="292"/>
      <c r="AH449" s="56"/>
      <c r="AI449" s="56"/>
      <c r="AJ449" s="56"/>
      <c r="AK449" s="57">
        <v>13.1</v>
      </c>
      <c r="AL449" s="57">
        <v>13.1</v>
      </c>
      <c r="AM449" s="56">
        <f>SUM(AK449:AL449)</f>
        <v>26.2</v>
      </c>
      <c r="AN449" s="52"/>
      <c r="AO449" s="52"/>
      <c r="AP449" s="51"/>
    </row>
    <row r="450" spans="1:42" s="293" customFormat="1" hidden="1" x14ac:dyDescent="0.3">
      <c r="A450" s="50" t="s">
        <v>1455</v>
      </c>
      <c r="B450" s="51" t="s">
        <v>2061</v>
      </c>
      <c r="C450" s="50" t="s">
        <v>2062</v>
      </c>
      <c r="D450" s="51" t="s">
        <v>1491</v>
      </c>
      <c r="E450" s="50" t="s">
        <v>2062</v>
      </c>
      <c r="F450" s="51" t="s">
        <v>1493</v>
      </c>
      <c r="G450" s="50" t="s">
        <v>2062</v>
      </c>
      <c r="H450" s="51" t="s">
        <v>1491</v>
      </c>
      <c r="I450" s="51"/>
      <c r="J450" s="51"/>
      <c r="K450" s="50" t="s">
        <v>2062</v>
      </c>
      <c r="L450" s="51" t="s">
        <v>1491</v>
      </c>
      <c r="M450" s="60" t="s">
        <v>271</v>
      </c>
      <c r="N450" s="60" t="s">
        <v>271</v>
      </c>
      <c r="O450" s="60" t="s">
        <v>271</v>
      </c>
      <c r="P450" s="60" t="s">
        <v>271</v>
      </c>
      <c r="Q450" s="60" t="s">
        <v>271</v>
      </c>
      <c r="R450" s="60" t="s">
        <v>271</v>
      </c>
      <c r="S450" s="60" t="s">
        <v>271</v>
      </c>
      <c r="T450" s="60" t="s">
        <v>271</v>
      </c>
      <c r="U450" s="60" t="s">
        <v>271</v>
      </c>
      <c r="V450" s="51" t="s">
        <v>1490</v>
      </c>
      <c r="W450" s="291"/>
      <c r="X450" s="291"/>
      <c r="Y450" s="291"/>
      <c r="Z450" s="291"/>
      <c r="AA450" s="291"/>
      <c r="AB450" s="291"/>
      <c r="AC450" s="291"/>
      <c r="AD450" s="291"/>
      <c r="AE450" s="292"/>
      <c r="AF450" s="56"/>
      <c r="AG450" s="292"/>
      <c r="AH450" s="56"/>
      <c r="AI450" s="56"/>
      <c r="AJ450" s="56"/>
      <c r="AK450" s="57">
        <v>5.24</v>
      </c>
      <c r="AL450" s="57">
        <v>5.24</v>
      </c>
      <c r="AM450" s="56">
        <f>SUM(AK450:AL450)</f>
        <v>10.48</v>
      </c>
      <c r="AN450" s="52"/>
      <c r="AO450" s="52"/>
      <c r="AP450" s="51"/>
    </row>
    <row r="451" spans="1:42" s="293" customFormat="1" hidden="1" x14ac:dyDescent="0.3">
      <c r="A451" s="50" t="s">
        <v>1455</v>
      </c>
      <c r="B451" s="51" t="s">
        <v>2061</v>
      </c>
      <c r="C451" s="50" t="s">
        <v>2062</v>
      </c>
      <c r="D451" s="51" t="s">
        <v>1491</v>
      </c>
      <c r="E451" s="50" t="s">
        <v>2062</v>
      </c>
      <c r="F451" s="51" t="s">
        <v>1493</v>
      </c>
      <c r="G451" s="50" t="s">
        <v>2062</v>
      </c>
      <c r="H451" s="51" t="s">
        <v>1491</v>
      </c>
      <c r="I451" s="51"/>
      <c r="J451" s="51"/>
      <c r="K451" s="50" t="s">
        <v>2062</v>
      </c>
      <c r="L451" s="51" t="s">
        <v>1491</v>
      </c>
      <c r="M451" s="60" t="s">
        <v>271</v>
      </c>
      <c r="N451" s="60" t="s">
        <v>271</v>
      </c>
      <c r="O451" s="60" t="s">
        <v>271</v>
      </c>
      <c r="P451" s="60" t="s">
        <v>271</v>
      </c>
      <c r="Q451" s="60" t="s">
        <v>271</v>
      </c>
      <c r="R451" s="60" t="s">
        <v>271</v>
      </c>
      <c r="S451" s="60" t="s">
        <v>271</v>
      </c>
      <c r="T451" s="60" t="s">
        <v>271</v>
      </c>
      <c r="U451" s="60" t="s">
        <v>271</v>
      </c>
      <c r="V451" s="51" t="s">
        <v>1495</v>
      </c>
      <c r="W451" s="291"/>
      <c r="X451" s="291"/>
      <c r="Y451" s="291"/>
      <c r="Z451" s="291"/>
      <c r="AA451" s="291"/>
      <c r="AB451" s="291"/>
      <c r="AC451" s="291"/>
      <c r="AD451" s="291"/>
      <c r="AE451" s="292"/>
      <c r="AF451" s="56"/>
      <c r="AG451" s="292"/>
      <c r="AH451" s="56"/>
      <c r="AI451" s="56"/>
      <c r="AJ451" s="56"/>
      <c r="AK451" s="57">
        <v>37.584167590999996</v>
      </c>
      <c r="AL451" s="57">
        <v>43.969192320999994</v>
      </c>
      <c r="AM451" s="56">
        <f>SUM(AK451:AL451)</f>
        <v>81.553359911999991</v>
      </c>
      <c r="AN451" s="52"/>
      <c r="AO451" s="52"/>
      <c r="AP451" s="51"/>
    </row>
    <row r="452" spans="1:42" s="18" customFormat="1" x14ac:dyDescent="0.3">
      <c r="A452" s="156" t="s">
        <v>1455</v>
      </c>
      <c r="B452" s="18" t="s">
        <v>2061</v>
      </c>
      <c r="C452" s="18">
        <v>111</v>
      </c>
      <c r="D452" s="18" t="s">
        <v>2063</v>
      </c>
      <c r="E452" s="18">
        <v>1111</v>
      </c>
      <c r="F452" s="157" t="s">
        <v>2064</v>
      </c>
      <c r="G452" s="157">
        <v>111101</v>
      </c>
      <c r="H452" s="157" t="s">
        <v>2065</v>
      </c>
      <c r="I452" s="157"/>
      <c r="J452" s="157"/>
      <c r="K452" s="157">
        <v>11110101</v>
      </c>
      <c r="L452" s="18" t="s">
        <v>2066</v>
      </c>
      <c r="M452" s="18" t="s">
        <v>2067</v>
      </c>
      <c r="N452" s="19">
        <v>65</v>
      </c>
      <c r="O452" s="19">
        <v>70</v>
      </c>
      <c r="P452" s="19">
        <v>75</v>
      </c>
      <c r="Q452" s="19">
        <v>80</v>
      </c>
      <c r="R452" s="19">
        <v>85</v>
      </c>
      <c r="S452" s="19">
        <v>90</v>
      </c>
      <c r="T452" s="18" t="s">
        <v>2068</v>
      </c>
      <c r="U452" s="283" t="e">
        <v>#N/A</v>
      </c>
      <c r="V452" s="283" t="s">
        <v>2069</v>
      </c>
      <c r="W452" s="283">
        <v>1</v>
      </c>
      <c r="X452" s="283">
        <v>1</v>
      </c>
      <c r="Y452" s="283">
        <v>1</v>
      </c>
      <c r="Z452" s="283">
        <v>1</v>
      </c>
      <c r="AA452" s="283">
        <v>0</v>
      </c>
      <c r="AB452" s="283">
        <v>1</v>
      </c>
      <c r="AC452" s="316">
        <v>1</v>
      </c>
      <c r="AD452" s="316">
        <v>1</v>
      </c>
      <c r="AE452" s="302">
        <f t="shared" ref="AE452:AE515" si="59">SUM(W452:AD452)/8</f>
        <v>0.875</v>
      </c>
      <c r="AF452" s="310"/>
      <c r="AG452" s="17">
        <v>0</v>
      </c>
      <c r="AH452" s="310">
        <v>22.2</v>
      </c>
      <c r="AI452" s="310">
        <v>24.64</v>
      </c>
      <c r="AJ452" s="310">
        <v>27.57</v>
      </c>
      <c r="AK452" s="319">
        <v>25.11</v>
      </c>
      <c r="AL452" s="319">
        <v>27.62</v>
      </c>
      <c r="AM452" s="17">
        <f t="shared" ref="AM452:AM515" si="60">SUM(AK452:AL452)</f>
        <v>52.730000000000004</v>
      </c>
      <c r="AN452" s="283" t="s">
        <v>2068</v>
      </c>
      <c r="AO452" s="18" t="s">
        <v>241</v>
      </c>
      <c r="AP452" s="283" t="s">
        <v>2070</v>
      </c>
    </row>
    <row r="453" spans="1:42" s="18" customFormat="1" x14ac:dyDescent="0.3">
      <c r="A453" s="156" t="s">
        <v>1455</v>
      </c>
      <c r="B453" s="18" t="s">
        <v>2061</v>
      </c>
      <c r="C453" s="18">
        <v>111</v>
      </c>
      <c r="D453" s="18" t="s">
        <v>2063</v>
      </c>
      <c r="E453" s="18">
        <v>1111</v>
      </c>
      <c r="F453" s="157" t="s">
        <v>2064</v>
      </c>
      <c r="G453" s="157">
        <v>111101</v>
      </c>
      <c r="H453" s="157" t="s">
        <v>2065</v>
      </c>
      <c r="I453" s="157"/>
      <c r="J453" s="157"/>
      <c r="K453" s="157">
        <v>11110101</v>
      </c>
      <c r="L453" s="18" t="s">
        <v>2066</v>
      </c>
      <c r="M453" s="18" t="s">
        <v>2071</v>
      </c>
      <c r="N453" s="19">
        <v>2424</v>
      </c>
      <c r="O453" s="19">
        <v>3092</v>
      </c>
      <c r="P453" s="19">
        <v>3592</v>
      </c>
      <c r="Q453" s="19">
        <v>4092</v>
      </c>
      <c r="R453" s="19">
        <v>4592</v>
      </c>
      <c r="S453" s="19">
        <v>5092</v>
      </c>
      <c r="T453" s="18" t="s">
        <v>2072</v>
      </c>
      <c r="U453" s="283" t="e">
        <v>#N/A</v>
      </c>
      <c r="V453" s="320" t="s">
        <v>2073</v>
      </c>
      <c r="W453" s="283">
        <v>1</v>
      </c>
      <c r="X453" s="283">
        <v>1</v>
      </c>
      <c r="Y453" s="283">
        <v>0</v>
      </c>
      <c r="Z453" s="283">
        <v>1</v>
      </c>
      <c r="AA453" s="283">
        <v>1</v>
      </c>
      <c r="AB453" s="283">
        <v>1</v>
      </c>
      <c r="AC453" s="316">
        <v>1</v>
      </c>
      <c r="AD453" s="316">
        <v>1</v>
      </c>
      <c r="AE453" s="302">
        <f t="shared" si="59"/>
        <v>0.875</v>
      </c>
      <c r="AF453" s="310"/>
      <c r="AG453" s="17">
        <v>1</v>
      </c>
      <c r="AH453" s="310">
        <v>133.24182053261393</v>
      </c>
      <c r="AI453" s="310">
        <v>103.85238592514543</v>
      </c>
      <c r="AJ453" s="310">
        <v>167.94014990925245</v>
      </c>
      <c r="AK453" s="319">
        <v>25.353000000000002</v>
      </c>
      <c r="AL453" s="319">
        <v>45.892000000000003</v>
      </c>
      <c r="AM453" s="17">
        <f t="shared" si="60"/>
        <v>71.245000000000005</v>
      </c>
      <c r="AN453" s="283" t="s">
        <v>2074</v>
      </c>
      <c r="AO453" s="18" t="s">
        <v>2075</v>
      </c>
      <c r="AP453" s="283" t="s">
        <v>2076</v>
      </c>
    </row>
    <row r="454" spans="1:42" s="18" customFormat="1" x14ac:dyDescent="0.3">
      <c r="A454" s="156" t="s">
        <v>1455</v>
      </c>
      <c r="B454" s="18" t="s">
        <v>2061</v>
      </c>
      <c r="C454" s="18">
        <v>111</v>
      </c>
      <c r="D454" s="18" t="s">
        <v>2063</v>
      </c>
      <c r="E454" s="18">
        <v>1111</v>
      </c>
      <c r="F454" s="157" t="s">
        <v>2064</v>
      </c>
      <c r="G454" s="157">
        <v>111101</v>
      </c>
      <c r="H454" s="157" t="s">
        <v>2065</v>
      </c>
      <c r="I454" s="157"/>
      <c r="J454" s="157"/>
      <c r="K454" s="157">
        <v>11110102</v>
      </c>
      <c r="L454" s="18" t="s">
        <v>2077</v>
      </c>
      <c r="M454" s="18" t="s">
        <v>2078</v>
      </c>
      <c r="N454" s="19">
        <v>119</v>
      </c>
      <c r="O454" s="19">
        <v>130</v>
      </c>
      <c r="P454" s="19">
        <v>140</v>
      </c>
      <c r="Q454" s="19">
        <v>154</v>
      </c>
      <c r="R454" s="19">
        <v>170</v>
      </c>
      <c r="S454" s="19">
        <v>174</v>
      </c>
      <c r="T454" s="18" t="s">
        <v>2072</v>
      </c>
      <c r="U454" s="283" t="e">
        <v>#N/A</v>
      </c>
      <c r="V454" s="14" t="s">
        <v>2073</v>
      </c>
      <c r="W454" s="16">
        <v>1</v>
      </c>
      <c r="X454" s="16">
        <v>1</v>
      </c>
      <c r="Y454" s="16">
        <v>0</v>
      </c>
      <c r="Z454" s="16">
        <v>1</v>
      </c>
      <c r="AA454" s="16">
        <v>1</v>
      </c>
      <c r="AB454" s="16">
        <v>1</v>
      </c>
      <c r="AC454" s="316">
        <v>1</v>
      </c>
      <c r="AD454" s="316">
        <v>1</v>
      </c>
      <c r="AE454" s="302">
        <f t="shared" si="59"/>
        <v>0.875</v>
      </c>
      <c r="AF454" s="17"/>
      <c r="AG454" s="17">
        <v>1</v>
      </c>
      <c r="AH454" s="17">
        <v>0</v>
      </c>
      <c r="AI454" s="17">
        <v>0</v>
      </c>
      <c r="AJ454" s="17">
        <v>0</v>
      </c>
      <c r="AK454" s="319">
        <v>20.309999999999999</v>
      </c>
      <c r="AL454" s="319">
        <v>20.731000000000002</v>
      </c>
      <c r="AM454" s="17">
        <f t="shared" si="60"/>
        <v>41.040999999999997</v>
      </c>
      <c r="AN454" s="283" t="s">
        <v>2074</v>
      </c>
      <c r="AO454" s="18" t="s">
        <v>2075</v>
      </c>
      <c r="AP454" s="283" t="s">
        <v>2076</v>
      </c>
    </row>
    <row r="455" spans="1:42" s="18" customFormat="1" x14ac:dyDescent="0.3">
      <c r="A455" s="156" t="s">
        <v>1455</v>
      </c>
      <c r="B455" s="18" t="s">
        <v>2061</v>
      </c>
      <c r="C455" s="18">
        <v>111</v>
      </c>
      <c r="D455" s="18" t="s">
        <v>2063</v>
      </c>
      <c r="E455" s="18">
        <v>1111</v>
      </c>
      <c r="F455" s="157" t="s">
        <v>2064</v>
      </c>
      <c r="G455" s="157">
        <v>111101</v>
      </c>
      <c r="H455" s="157" t="s">
        <v>2065</v>
      </c>
      <c r="I455" s="157"/>
      <c r="J455" s="157"/>
      <c r="K455" s="157">
        <v>11110102</v>
      </c>
      <c r="L455" s="18" t="s">
        <v>2077</v>
      </c>
      <c r="M455" s="18" t="s">
        <v>2079</v>
      </c>
      <c r="N455" s="19">
        <v>40</v>
      </c>
      <c r="O455" s="19">
        <v>40</v>
      </c>
      <c r="P455" s="19">
        <v>55</v>
      </c>
      <c r="Q455" s="19">
        <v>60</v>
      </c>
      <c r="R455" s="19">
        <v>65</v>
      </c>
      <c r="S455" s="19">
        <v>70</v>
      </c>
      <c r="T455" s="18" t="s">
        <v>2072</v>
      </c>
      <c r="U455" s="283" t="e">
        <v>#N/A</v>
      </c>
      <c r="V455" s="320" t="s">
        <v>2080</v>
      </c>
      <c r="W455" s="283">
        <v>1</v>
      </c>
      <c r="X455" s="283">
        <v>1</v>
      </c>
      <c r="Y455" s="283">
        <v>0</v>
      </c>
      <c r="Z455" s="283">
        <v>1</v>
      </c>
      <c r="AA455" s="283">
        <v>1</v>
      </c>
      <c r="AB455" s="283">
        <v>1</v>
      </c>
      <c r="AC455" s="316">
        <v>1</v>
      </c>
      <c r="AD455" s="316">
        <v>1</v>
      </c>
      <c r="AE455" s="302">
        <f t="shared" si="59"/>
        <v>0.875</v>
      </c>
      <c r="AF455" s="17"/>
      <c r="AG455" s="17">
        <v>1</v>
      </c>
      <c r="AH455" s="17">
        <v>0</v>
      </c>
      <c r="AI455" s="17">
        <v>0</v>
      </c>
      <c r="AJ455" s="17">
        <v>0</v>
      </c>
      <c r="AK455" s="153">
        <v>0</v>
      </c>
      <c r="AL455" s="154">
        <v>0</v>
      </c>
      <c r="AM455" s="17">
        <f t="shared" si="60"/>
        <v>0</v>
      </c>
      <c r="AN455" s="283" t="s">
        <v>2074</v>
      </c>
      <c r="AO455" s="18" t="s">
        <v>2075</v>
      </c>
      <c r="AP455" s="283" t="s">
        <v>2076</v>
      </c>
    </row>
    <row r="456" spans="1:42" s="18" customFormat="1" hidden="1" x14ac:dyDescent="0.3">
      <c r="A456" s="156" t="s">
        <v>1455</v>
      </c>
      <c r="B456" s="18" t="s">
        <v>2061</v>
      </c>
      <c r="C456" s="18">
        <v>111</v>
      </c>
      <c r="D456" s="18" t="s">
        <v>2063</v>
      </c>
      <c r="E456" s="18">
        <v>1111</v>
      </c>
      <c r="F456" s="157" t="s">
        <v>2064</v>
      </c>
      <c r="G456" s="157">
        <v>111101</v>
      </c>
      <c r="H456" s="157" t="s">
        <v>2065</v>
      </c>
      <c r="I456" s="157"/>
      <c r="J456" s="157"/>
      <c r="K456" s="157">
        <v>11110102</v>
      </c>
      <c r="L456" s="18" t="s">
        <v>2077</v>
      </c>
      <c r="M456" s="18" t="s">
        <v>2081</v>
      </c>
      <c r="N456" s="19">
        <v>428</v>
      </c>
      <c r="O456" s="19">
        <v>562</v>
      </c>
      <c r="P456" s="19">
        <v>696</v>
      </c>
      <c r="Q456" s="19">
        <v>830</v>
      </c>
      <c r="R456" s="19">
        <v>964</v>
      </c>
      <c r="S456" s="19">
        <v>1100</v>
      </c>
      <c r="T456" s="18" t="s">
        <v>2072</v>
      </c>
      <c r="U456" s="283" t="e">
        <v>#N/A</v>
      </c>
      <c r="AC456" s="316">
        <v>0</v>
      </c>
      <c r="AD456" s="316">
        <v>0</v>
      </c>
      <c r="AE456" s="302">
        <f t="shared" si="59"/>
        <v>0</v>
      </c>
      <c r="AF456" s="17"/>
      <c r="AG456" s="17">
        <v>0</v>
      </c>
      <c r="AH456" s="17"/>
      <c r="AI456" s="17"/>
      <c r="AJ456" s="17"/>
      <c r="AK456" s="154"/>
      <c r="AL456" s="154"/>
      <c r="AM456" s="17">
        <f t="shared" si="60"/>
        <v>0</v>
      </c>
    </row>
    <row r="457" spans="1:42" s="18" customFormat="1" hidden="1" x14ac:dyDescent="0.3">
      <c r="A457" s="156" t="s">
        <v>1455</v>
      </c>
      <c r="B457" s="18" t="s">
        <v>2061</v>
      </c>
      <c r="C457" s="18">
        <v>111</v>
      </c>
      <c r="D457" s="18" t="s">
        <v>2063</v>
      </c>
      <c r="E457" s="18">
        <v>1111</v>
      </c>
      <c r="F457" s="157" t="s">
        <v>2064</v>
      </c>
      <c r="G457" s="157">
        <v>111101</v>
      </c>
      <c r="H457" s="157" t="s">
        <v>2065</v>
      </c>
      <c r="I457" s="157"/>
      <c r="J457" s="157"/>
      <c r="K457" s="157">
        <v>11110102</v>
      </c>
      <c r="L457" s="18" t="s">
        <v>2077</v>
      </c>
      <c r="M457" s="18" t="s">
        <v>2082</v>
      </c>
      <c r="N457" s="19">
        <v>84</v>
      </c>
      <c r="O457" s="19">
        <v>100</v>
      </c>
      <c r="P457" s="19">
        <v>100</v>
      </c>
      <c r="Q457" s="19">
        <v>100</v>
      </c>
      <c r="R457" s="19">
        <v>100</v>
      </c>
      <c r="S457" s="19">
        <v>100</v>
      </c>
      <c r="T457" s="18" t="s">
        <v>2068</v>
      </c>
      <c r="U457" s="283" t="e">
        <v>#N/A</v>
      </c>
      <c r="V457" s="283" t="s">
        <v>2083</v>
      </c>
      <c r="W457" s="283"/>
      <c r="X457" s="283"/>
      <c r="Y457" s="283"/>
      <c r="Z457" s="283"/>
      <c r="AA457" s="283"/>
      <c r="AB457" s="283"/>
      <c r="AC457" s="316">
        <v>0</v>
      </c>
      <c r="AD457" s="316">
        <v>0</v>
      </c>
      <c r="AE457" s="302">
        <f t="shared" si="59"/>
        <v>0</v>
      </c>
      <c r="AF457" s="310"/>
      <c r="AG457" s="17">
        <v>0</v>
      </c>
      <c r="AH457" s="310">
        <v>0</v>
      </c>
      <c r="AI457" s="310">
        <v>5</v>
      </c>
      <c r="AJ457" s="310">
        <v>5</v>
      </c>
      <c r="AK457" s="317">
        <v>8</v>
      </c>
      <c r="AL457" s="317">
        <v>8</v>
      </c>
      <c r="AM457" s="17">
        <f t="shared" si="60"/>
        <v>16</v>
      </c>
      <c r="AN457" s="283" t="s">
        <v>2084</v>
      </c>
      <c r="AO457" s="18" t="s">
        <v>241</v>
      </c>
      <c r="AP457" s="283" t="s">
        <v>2085</v>
      </c>
    </row>
    <row r="458" spans="1:42" s="18" customFormat="1" hidden="1" x14ac:dyDescent="0.3">
      <c r="A458" s="156" t="s">
        <v>1455</v>
      </c>
      <c r="B458" s="18" t="s">
        <v>2061</v>
      </c>
      <c r="C458" s="18">
        <v>111</v>
      </c>
      <c r="D458" s="18" t="s">
        <v>2063</v>
      </c>
      <c r="E458" s="18">
        <v>1111</v>
      </c>
      <c r="F458" s="157" t="s">
        <v>2064</v>
      </c>
      <c r="G458" s="157">
        <v>111101</v>
      </c>
      <c r="H458" s="157" t="s">
        <v>2065</v>
      </c>
      <c r="I458" s="157"/>
      <c r="J458" s="157"/>
      <c r="K458" s="157">
        <v>11110102</v>
      </c>
      <c r="L458" s="18" t="s">
        <v>2077</v>
      </c>
      <c r="M458" s="18" t="s">
        <v>2086</v>
      </c>
      <c r="N458" s="178"/>
      <c r="O458" s="178">
        <v>1</v>
      </c>
      <c r="P458" s="178">
        <v>1</v>
      </c>
      <c r="Q458" s="169"/>
      <c r="R458" s="169"/>
      <c r="S458" s="169"/>
      <c r="T458" s="18" t="s">
        <v>2087</v>
      </c>
      <c r="U458" s="283" t="e">
        <v>#N/A</v>
      </c>
      <c r="V458" s="283" t="s">
        <v>2088</v>
      </c>
      <c r="W458" s="283">
        <v>1</v>
      </c>
      <c r="X458" s="283">
        <v>0</v>
      </c>
      <c r="Y458" s="283">
        <v>0</v>
      </c>
      <c r="Z458" s="283">
        <v>1</v>
      </c>
      <c r="AA458" s="283">
        <v>0</v>
      </c>
      <c r="AB458" s="283">
        <v>0</v>
      </c>
      <c r="AC458" s="316">
        <v>1</v>
      </c>
      <c r="AD458" s="316">
        <v>1</v>
      </c>
      <c r="AE458" s="302">
        <f t="shared" si="59"/>
        <v>0.5</v>
      </c>
      <c r="AF458" s="310"/>
      <c r="AG458" s="17">
        <v>0</v>
      </c>
      <c r="AH458" s="310">
        <v>0</v>
      </c>
      <c r="AI458" s="310">
        <v>2.5</v>
      </c>
      <c r="AJ458" s="310">
        <v>2.5</v>
      </c>
      <c r="AK458" s="317">
        <v>0</v>
      </c>
      <c r="AL458" s="317" t="s">
        <v>2089</v>
      </c>
      <c r="AM458" s="17">
        <f t="shared" si="60"/>
        <v>0</v>
      </c>
      <c r="AN458" s="10" t="s">
        <v>239</v>
      </c>
      <c r="AO458" s="18" t="s">
        <v>241</v>
      </c>
      <c r="AP458" s="283" t="s">
        <v>2090</v>
      </c>
    </row>
    <row r="459" spans="1:42" s="18" customFormat="1" x14ac:dyDescent="0.3">
      <c r="A459" s="156" t="s">
        <v>1455</v>
      </c>
      <c r="B459" s="18" t="s">
        <v>2061</v>
      </c>
      <c r="C459" s="18">
        <v>111</v>
      </c>
      <c r="D459" s="18" t="s">
        <v>2063</v>
      </c>
      <c r="E459" s="18">
        <v>1111</v>
      </c>
      <c r="F459" s="157" t="s">
        <v>2064</v>
      </c>
      <c r="G459" s="157">
        <v>111101</v>
      </c>
      <c r="H459" s="157" t="s">
        <v>2065</v>
      </c>
      <c r="I459" s="157"/>
      <c r="J459" s="157"/>
      <c r="K459" s="157">
        <v>11110103</v>
      </c>
      <c r="L459" s="18" t="s">
        <v>2091</v>
      </c>
      <c r="M459" s="18" t="s">
        <v>2092</v>
      </c>
      <c r="N459" s="19">
        <v>284</v>
      </c>
      <c r="O459" s="19">
        <v>320</v>
      </c>
      <c r="P459" s="19">
        <v>370</v>
      </c>
      <c r="Q459" s="19">
        <v>420</v>
      </c>
      <c r="R459" s="19">
        <v>480</v>
      </c>
      <c r="S459" s="19">
        <v>531</v>
      </c>
      <c r="T459" s="18" t="s">
        <v>2072</v>
      </c>
      <c r="U459" s="283" t="e">
        <v>#N/A</v>
      </c>
      <c r="V459" s="320" t="s">
        <v>2093</v>
      </c>
      <c r="W459" s="283">
        <v>1</v>
      </c>
      <c r="X459" s="283">
        <v>1</v>
      </c>
      <c r="Y459" s="283">
        <v>0</v>
      </c>
      <c r="Z459" s="283">
        <v>1</v>
      </c>
      <c r="AA459" s="283">
        <v>1</v>
      </c>
      <c r="AB459" s="283">
        <v>1</v>
      </c>
      <c r="AC459" s="316">
        <v>1</v>
      </c>
      <c r="AD459" s="316">
        <v>1</v>
      </c>
      <c r="AE459" s="302">
        <f t="shared" si="59"/>
        <v>0.875</v>
      </c>
      <c r="AF459" s="17"/>
      <c r="AG459" s="17">
        <v>1</v>
      </c>
      <c r="AH459" s="17">
        <v>0</v>
      </c>
      <c r="AI459" s="17">
        <v>0</v>
      </c>
      <c r="AJ459" s="17">
        <v>0</v>
      </c>
      <c r="AK459" s="153">
        <v>1.53</v>
      </c>
      <c r="AL459" s="154">
        <v>10.321</v>
      </c>
      <c r="AM459" s="17">
        <f t="shared" si="60"/>
        <v>11.850999999999999</v>
      </c>
      <c r="AN459" s="283" t="s">
        <v>2074</v>
      </c>
      <c r="AO459" s="18" t="s">
        <v>2075</v>
      </c>
      <c r="AP459" s="283" t="s">
        <v>2076</v>
      </c>
    </row>
    <row r="460" spans="1:42" s="18" customFormat="1" hidden="1" x14ac:dyDescent="0.3">
      <c r="A460" s="156" t="s">
        <v>1455</v>
      </c>
      <c r="B460" s="18" t="s">
        <v>2061</v>
      </c>
      <c r="C460" s="18">
        <v>111</v>
      </c>
      <c r="D460" s="18" t="s">
        <v>2063</v>
      </c>
      <c r="E460" s="18">
        <v>1111</v>
      </c>
      <c r="F460" s="157" t="s">
        <v>2064</v>
      </c>
      <c r="G460" s="157">
        <v>111101</v>
      </c>
      <c r="H460" s="157" t="s">
        <v>2065</v>
      </c>
      <c r="I460" s="157"/>
      <c r="J460" s="157"/>
      <c r="K460" s="157">
        <v>11110104</v>
      </c>
      <c r="L460" s="18" t="s">
        <v>2094</v>
      </c>
      <c r="M460" s="18" t="s">
        <v>2095</v>
      </c>
      <c r="N460" s="19">
        <v>0</v>
      </c>
      <c r="O460" s="19">
        <v>18</v>
      </c>
      <c r="P460" s="19">
        <v>23</v>
      </c>
      <c r="Q460" s="19">
        <v>30</v>
      </c>
      <c r="R460" s="19">
        <v>35</v>
      </c>
      <c r="S460" s="19">
        <v>37</v>
      </c>
      <c r="T460" s="18" t="s">
        <v>2072</v>
      </c>
      <c r="U460" s="283" t="e">
        <v>#N/A</v>
      </c>
      <c r="V460" s="283" t="s">
        <v>2096</v>
      </c>
      <c r="W460" s="283"/>
      <c r="X460" s="283"/>
      <c r="Y460" s="283"/>
      <c r="Z460" s="283"/>
      <c r="AA460" s="283"/>
      <c r="AB460" s="283"/>
      <c r="AC460" s="316">
        <v>0</v>
      </c>
      <c r="AD460" s="316">
        <v>0</v>
      </c>
      <c r="AE460" s="302">
        <f t="shared" si="59"/>
        <v>0</v>
      </c>
      <c r="AF460" s="17"/>
      <c r="AG460" s="17">
        <v>0</v>
      </c>
      <c r="AH460" s="17">
        <v>0</v>
      </c>
      <c r="AI460" s="17">
        <v>0</v>
      </c>
      <c r="AJ460" s="17">
        <v>0</v>
      </c>
      <c r="AK460" s="153">
        <v>0</v>
      </c>
      <c r="AL460" s="154">
        <v>0</v>
      </c>
      <c r="AM460" s="17">
        <f t="shared" si="60"/>
        <v>0</v>
      </c>
      <c r="AN460" s="283" t="s">
        <v>2074</v>
      </c>
      <c r="AO460" s="18" t="s">
        <v>2075</v>
      </c>
      <c r="AP460" s="283" t="s">
        <v>2076</v>
      </c>
    </row>
    <row r="461" spans="1:42" s="18" customFormat="1" hidden="1" x14ac:dyDescent="0.3">
      <c r="A461" s="156" t="s">
        <v>1455</v>
      </c>
      <c r="B461" s="18" t="s">
        <v>2061</v>
      </c>
      <c r="C461" s="18">
        <v>111</v>
      </c>
      <c r="D461" s="18" t="s">
        <v>2063</v>
      </c>
      <c r="E461" s="18">
        <v>1111</v>
      </c>
      <c r="F461" s="157" t="s">
        <v>2064</v>
      </c>
      <c r="G461" s="157">
        <v>111102</v>
      </c>
      <c r="H461" s="18" t="s">
        <v>2097</v>
      </c>
      <c r="K461" s="157">
        <v>11110201</v>
      </c>
      <c r="L461" s="18" t="s">
        <v>2098</v>
      </c>
      <c r="M461" s="14" t="s">
        <v>2099</v>
      </c>
      <c r="N461" s="19">
        <v>4</v>
      </c>
      <c r="O461" s="19">
        <v>4</v>
      </c>
      <c r="P461" s="19">
        <v>4</v>
      </c>
      <c r="Q461" s="19">
        <v>1</v>
      </c>
      <c r="R461" s="19">
        <v>1</v>
      </c>
      <c r="S461" s="19">
        <v>1</v>
      </c>
      <c r="T461" s="18" t="s">
        <v>2100</v>
      </c>
      <c r="U461" s="283" t="e">
        <v>#N/A</v>
      </c>
      <c r="V461" s="283" t="s">
        <v>2101</v>
      </c>
      <c r="W461" s="283">
        <v>1</v>
      </c>
      <c r="X461" s="283">
        <v>0</v>
      </c>
      <c r="Y461" s="283">
        <v>0</v>
      </c>
      <c r="Z461" s="283">
        <v>0</v>
      </c>
      <c r="AA461" s="283">
        <v>0</v>
      </c>
      <c r="AB461" s="283">
        <v>1</v>
      </c>
      <c r="AC461" s="316">
        <v>1</v>
      </c>
      <c r="AD461" s="316">
        <v>1</v>
      </c>
      <c r="AE461" s="302">
        <f t="shared" si="59"/>
        <v>0.5</v>
      </c>
      <c r="AF461" s="310"/>
      <c r="AG461" s="17">
        <v>0</v>
      </c>
      <c r="AH461" s="310">
        <v>32</v>
      </c>
      <c r="AI461" s="310">
        <v>39.999999999999545</v>
      </c>
      <c r="AJ461" s="310">
        <v>40</v>
      </c>
      <c r="AK461" s="317">
        <v>20</v>
      </c>
      <c r="AL461" s="317">
        <v>20</v>
      </c>
      <c r="AM461" s="17">
        <f t="shared" si="60"/>
        <v>40</v>
      </c>
      <c r="AN461" s="283" t="s">
        <v>2102</v>
      </c>
      <c r="AO461" s="18" t="s">
        <v>241</v>
      </c>
      <c r="AP461" s="283" t="s">
        <v>2103</v>
      </c>
    </row>
    <row r="462" spans="1:42" s="18" customFormat="1" hidden="1" x14ac:dyDescent="0.3">
      <c r="A462" s="156" t="s">
        <v>1455</v>
      </c>
      <c r="B462" s="18" t="s">
        <v>2061</v>
      </c>
      <c r="C462" s="18">
        <v>111</v>
      </c>
      <c r="D462" s="18" t="s">
        <v>2063</v>
      </c>
      <c r="E462" s="18">
        <v>1111</v>
      </c>
      <c r="F462" s="157" t="s">
        <v>2064</v>
      </c>
      <c r="G462" s="157">
        <v>111102</v>
      </c>
      <c r="H462" s="18" t="s">
        <v>2097</v>
      </c>
      <c r="K462" s="157">
        <v>11110201</v>
      </c>
      <c r="L462" s="18" t="s">
        <v>2098</v>
      </c>
      <c r="M462" s="14" t="s">
        <v>2104</v>
      </c>
      <c r="N462" s="19">
        <v>0</v>
      </c>
      <c r="O462" s="19">
        <v>10</v>
      </c>
      <c r="P462" s="19">
        <v>10</v>
      </c>
      <c r="Q462" s="19">
        <v>10</v>
      </c>
      <c r="R462" s="19">
        <v>5</v>
      </c>
      <c r="S462" s="19">
        <v>5</v>
      </c>
      <c r="T462" s="18" t="s">
        <v>2100</v>
      </c>
      <c r="U462" s="283" t="e">
        <v>#N/A</v>
      </c>
      <c r="V462" s="283" t="s">
        <v>2105</v>
      </c>
      <c r="W462" s="283">
        <v>1</v>
      </c>
      <c r="X462" s="283">
        <v>0</v>
      </c>
      <c r="Y462" s="283">
        <v>0</v>
      </c>
      <c r="Z462" s="283">
        <v>0</v>
      </c>
      <c r="AA462" s="283">
        <v>0</v>
      </c>
      <c r="AB462" s="283">
        <v>1</v>
      </c>
      <c r="AC462" s="316">
        <v>1</v>
      </c>
      <c r="AD462" s="316">
        <v>0</v>
      </c>
      <c r="AE462" s="302">
        <f t="shared" si="59"/>
        <v>0.375</v>
      </c>
      <c r="AF462" s="310"/>
      <c r="AG462" s="17">
        <v>0</v>
      </c>
      <c r="AH462" s="310">
        <v>4</v>
      </c>
      <c r="AI462" s="310">
        <v>4</v>
      </c>
      <c r="AJ462" s="310">
        <v>8</v>
      </c>
      <c r="AK462" s="317">
        <v>0</v>
      </c>
      <c r="AL462" s="317">
        <v>0</v>
      </c>
      <c r="AM462" s="17">
        <f t="shared" si="60"/>
        <v>0</v>
      </c>
      <c r="AN462" s="283" t="s">
        <v>2102</v>
      </c>
      <c r="AO462" s="18" t="s">
        <v>241</v>
      </c>
      <c r="AP462" s="283" t="s">
        <v>2103</v>
      </c>
    </row>
    <row r="463" spans="1:42" s="18" customFormat="1" hidden="1" x14ac:dyDescent="0.3">
      <c r="A463" s="156" t="s">
        <v>1455</v>
      </c>
      <c r="B463" s="18" t="s">
        <v>2061</v>
      </c>
      <c r="C463" s="18">
        <v>111</v>
      </c>
      <c r="D463" s="18" t="s">
        <v>2063</v>
      </c>
      <c r="E463" s="18">
        <v>1111</v>
      </c>
      <c r="F463" s="157" t="s">
        <v>2064</v>
      </c>
      <c r="G463" s="157">
        <v>111102</v>
      </c>
      <c r="H463" s="18" t="s">
        <v>2097</v>
      </c>
      <c r="K463" s="157">
        <v>11110201</v>
      </c>
      <c r="L463" s="18" t="s">
        <v>2098</v>
      </c>
      <c r="M463" s="14" t="s">
        <v>2106</v>
      </c>
      <c r="N463" s="19">
        <v>0</v>
      </c>
      <c r="O463" s="19">
        <v>9</v>
      </c>
      <c r="P463" s="19">
        <v>9</v>
      </c>
      <c r="Q463" s="19">
        <v>9</v>
      </c>
      <c r="R463" s="19">
        <v>9</v>
      </c>
      <c r="S463" s="19">
        <v>9</v>
      </c>
      <c r="T463" s="18" t="s">
        <v>2100</v>
      </c>
      <c r="U463" s="283" t="e">
        <v>#N/A</v>
      </c>
      <c r="V463" s="283" t="s">
        <v>2107</v>
      </c>
      <c r="W463" s="283">
        <v>1</v>
      </c>
      <c r="X463" s="283">
        <v>0</v>
      </c>
      <c r="Y463" s="283">
        <v>0</v>
      </c>
      <c r="Z463" s="283">
        <v>1</v>
      </c>
      <c r="AA463" s="283">
        <v>1</v>
      </c>
      <c r="AB463" s="283">
        <v>1</v>
      </c>
      <c r="AC463" s="316">
        <v>1</v>
      </c>
      <c r="AD463" s="316">
        <v>0</v>
      </c>
      <c r="AE463" s="302">
        <f t="shared" si="59"/>
        <v>0.625</v>
      </c>
      <c r="AF463" s="310"/>
      <c r="AG463" s="17">
        <v>0</v>
      </c>
      <c r="AH463" s="310">
        <v>10.8</v>
      </c>
      <c r="AI463" s="310">
        <v>10.8</v>
      </c>
      <c r="AJ463" s="310">
        <v>10.8</v>
      </c>
      <c r="AK463" s="317">
        <v>10.8</v>
      </c>
      <c r="AL463" s="317">
        <v>10.8</v>
      </c>
      <c r="AM463" s="17">
        <f t="shared" si="60"/>
        <v>21.6</v>
      </c>
      <c r="AN463" s="283" t="s">
        <v>2102</v>
      </c>
      <c r="AO463" s="18" t="s">
        <v>241</v>
      </c>
      <c r="AP463" s="283" t="s">
        <v>2103</v>
      </c>
    </row>
    <row r="464" spans="1:42" s="18" customFormat="1" hidden="1" x14ac:dyDescent="0.3">
      <c r="A464" s="156" t="s">
        <v>1455</v>
      </c>
      <c r="B464" s="18" t="s">
        <v>2061</v>
      </c>
      <c r="C464" s="18">
        <v>111</v>
      </c>
      <c r="D464" s="18" t="s">
        <v>2063</v>
      </c>
      <c r="E464" s="18">
        <v>1111</v>
      </c>
      <c r="F464" s="157" t="s">
        <v>2064</v>
      </c>
      <c r="G464" s="157">
        <v>111102</v>
      </c>
      <c r="H464" s="18" t="s">
        <v>2097</v>
      </c>
      <c r="K464" s="157">
        <v>11110201</v>
      </c>
      <c r="L464" s="18" t="s">
        <v>2098</v>
      </c>
      <c r="M464" s="14" t="s">
        <v>2108</v>
      </c>
      <c r="N464" s="19">
        <v>0</v>
      </c>
      <c r="O464" s="19">
        <v>4</v>
      </c>
      <c r="P464" s="19">
        <v>8</v>
      </c>
      <c r="Q464" s="19">
        <v>12</v>
      </c>
      <c r="R464" s="19">
        <v>14</v>
      </c>
      <c r="S464" s="19">
        <v>16</v>
      </c>
      <c r="T464" s="18" t="s">
        <v>2100</v>
      </c>
      <c r="U464" s="283" t="e">
        <v>#N/A</v>
      </c>
      <c r="V464" s="283" t="s">
        <v>2109</v>
      </c>
      <c r="W464" s="283">
        <v>1</v>
      </c>
      <c r="X464" s="283">
        <v>0</v>
      </c>
      <c r="Y464" s="283">
        <v>1</v>
      </c>
      <c r="Z464" s="283">
        <v>0</v>
      </c>
      <c r="AA464" s="283">
        <v>0</v>
      </c>
      <c r="AB464" s="283">
        <v>0</v>
      </c>
      <c r="AC464" s="316">
        <v>1</v>
      </c>
      <c r="AD464" s="316">
        <v>1</v>
      </c>
      <c r="AE464" s="302">
        <f t="shared" si="59"/>
        <v>0.5</v>
      </c>
      <c r="AF464" s="310"/>
      <c r="AG464" s="17">
        <v>0</v>
      </c>
      <c r="AH464" s="310">
        <v>4</v>
      </c>
      <c r="AI464" s="310">
        <v>4</v>
      </c>
      <c r="AJ464" s="310">
        <v>4</v>
      </c>
      <c r="AK464" s="317">
        <v>2</v>
      </c>
      <c r="AL464" s="317">
        <v>2</v>
      </c>
      <c r="AM464" s="17">
        <f t="shared" si="60"/>
        <v>4</v>
      </c>
      <c r="AN464" s="283" t="s">
        <v>2102</v>
      </c>
      <c r="AO464" s="18" t="s">
        <v>241</v>
      </c>
      <c r="AP464" s="283" t="s">
        <v>2103</v>
      </c>
    </row>
    <row r="465" spans="1:42" s="18" customFormat="1" hidden="1" x14ac:dyDescent="0.3">
      <c r="A465" s="156" t="s">
        <v>1455</v>
      </c>
      <c r="B465" s="18" t="s">
        <v>2061</v>
      </c>
      <c r="C465" s="18">
        <v>111</v>
      </c>
      <c r="D465" s="18" t="s">
        <v>2063</v>
      </c>
      <c r="E465" s="18">
        <v>1111</v>
      </c>
      <c r="F465" s="157" t="s">
        <v>2064</v>
      </c>
      <c r="G465" s="157">
        <v>111102</v>
      </c>
      <c r="H465" s="18" t="s">
        <v>2097</v>
      </c>
      <c r="K465" s="157">
        <v>11110202</v>
      </c>
      <c r="L465" s="18" t="s">
        <v>2110</v>
      </c>
      <c r="M465" s="14" t="s">
        <v>2111</v>
      </c>
      <c r="N465" s="19" t="s">
        <v>2112</v>
      </c>
      <c r="O465" s="19">
        <v>5</v>
      </c>
      <c r="P465" s="19">
        <v>5</v>
      </c>
      <c r="Q465" s="19">
        <v>2</v>
      </c>
      <c r="R465" s="19">
        <v>1</v>
      </c>
      <c r="S465" s="19">
        <v>1</v>
      </c>
      <c r="T465" s="18" t="s">
        <v>2100</v>
      </c>
      <c r="U465" s="283" t="e">
        <v>#N/A</v>
      </c>
      <c r="V465" s="283" t="s">
        <v>2113</v>
      </c>
      <c r="W465" s="283">
        <v>1</v>
      </c>
      <c r="X465" s="283">
        <v>0</v>
      </c>
      <c r="Y465" s="283">
        <v>0</v>
      </c>
      <c r="Z465" s="283">
        <v>1</v>
      </c>
      <c r="AA465" s="283">
        <v>0</v>
      </c>
      <c r="AB465" s="283">
        <v>1</v>
      </c>
      <c r="AC465" s="316">
        <v>1</v>
      </c>
      <c r="AD465" s="316">
        <v>1</v>
      </c>
      <c r="AE465" s="302">
        <f t="shared" si="59"/>
        <v>0.625</v>
      </c>
      <c r="AF465" s="310"/>
      <c r="AG465" s="17">
        <v>0</v>
      </c>
      <c r="AH465" s="310">
        <v>6</v>
      </c>
      <c r="AI465" s="310">
        <v>6</v>
      </c>
      <c r="AJ465" s="310">
        <v>4</v>
      </c>
      <c r="AK465" s="317">
        <v>2</v>
      </c>
      <c r="AL465" s="317">
        <v>2</v>
      </c>
      <c r="AM465" s="17">
        <f t="shared" si="60"/>
        <v>4</v>
      </c>
      <c r="AN465" s="283" t="s">
        <v>2102</v>
      </c>
      <c r="AO465" s="18" t="s">
        <v>241</v>
      </c>
      <c r="AP465" s="283" t="s">
        <v>2103</v>
      </c>
    </row>
    <row r="466" spans="1:42" s="18" customFormat="1" hidden="1" x14ac:dyDescent="0.3">
      <c r="A466" s="156" t="s">
        <v>1455</v>
      </c>
      <c r="B466" s="18" t="s">
        <v>2061</v>
      </c>
      <c r="C466" s="18">
        <v>111</v>
      </c>
      <c r="D466" s="18" t="s">
        <v>2063</v>
      </c>
      <c r="E466" s="18">
        <v>1111</v>
      </c>
      <c r="F466" s="157" t="s">
        <v>2064</v>
      </c>
      <c r="G466" s="157">
        <v>111102</v>
      </c>
      <c r="H466" s="18" t="s">
        <v>2097</v>
      </c>
      <c r="K466" s="157">
        <v>11110202</v>
      </c>
      <c r="L466" s="18" t="s">
        <v>2110</v>
      </c>
      <c r="M466" s="18" t="s">
        <v>2114</v>
      </c>
      <c r="N466" s="19">
        <v>0</v>
      </c>
      <c r="O466" s="19">
        <v>10</v>
      </c>
      <c r="P466" s="19">
        <v>8</v>
      </c>
      <c r="Q466" s="19">
        <v>2</v>
      </c>
      <c r="R466" s="19">
        <v>2</v>
      </c>
      <c r="S466" s="19">
        <v>2</v>
      </c>
      <c r="T466" s="18" t="s">
        <v>2100</v>
      </c>
      <c r="U466" s="283" t="e">
        <v>#N/A</v>
      </c>
      <c r="V466" s="283" t="s">
        <v>2115</v>
      </c>
      <c r="W466" s="283">
        <v>1</v>
      </c>
      <c r="X466" s="283">
        <v>0</v>
      </c>
      <c r="Y466" s="283">
        <v>0</v>
      </c>
      <c r="Z466" s="283">
        <v>1</v>
      </c>
      <c r="AA466" s="283">
        <v>0</v>
      </c>
      <c r="AB466" s="283">
        <v>1</v>
      </c>
      <c r="AC466" s="316">
        <v>1</v>
      </c>
      <c r="AD466" s="316">
        <v>1</v>
      </c>
      <c r="AE466" s="302">
        <f t="shared" si="59"/>
        <v>0.625</v>
      </c>
      <c r="AF466" s="310"/>
      <c r="AG466" s="17">
        <v>0</v>
      </c>
      <c r="AH466" s="310">
        <v>8</v>
      </c>
      <c r="AI466" s="310">
        <v>6</v>
      </c>
      <c r="AJ466" s="310">
        <v>3</v>
      </c>
      <c r="AK466" s="317">
        <v>3</v>
      </c>
      <c r="AL466" s="317" t="s">
        <v>2089</v>
      </c>
      <c r="AM466" s="17">
        <f t="shared" si="60"/>
        <v>3</v>
      </c>
      <c r="AN466" s="283" t="s">
        <v>2102</v>
      </c>
      <c r="AO466" s="18" t="s">
        <v>241</v>
      </c>
      <c r="AP466" s="283" t="s">
        <v>2103</v>
      </c>
    </row>
    <row r="467" spans="1:42" s="18" customFormat="1" hidden="1" x14ac:dyDescent="0.3">
      <c r="A467" s="156" t="s">
        <v>1455</v>
      </c>
      <c r="B467" s="18" t="s">
        <v>2061</v>
      </c>
      <c r="C467" s="18">
        <v>111</v>
      </c>
      <c r="D467" s="18" t="s">
        <v>2063</v>
      </c>
      <c r="E467" s="18">
        <v>1111</v>
      </c>
      <c r="F467" s="157" t="s">
        <v>2064</v>
      </c>
      <c r="G467" s="157">
        <v>111102</v>
      </c>
      <c r="H467" s="18" t="s">
        <v>2097</v>
      </c>
      <c r="K467" s="157">
        <v>11110203</v>
      </c>
      <c r="L467" s="18" t="s">
        <v>2116</v>
      </c>
      <c r="M467" s="18" t="s">
        <v>2117</v>
      </c>
      <c r="N467" s="19">
        <v>0</v>
      </c>
      <c r="O467" s="19">
        <v>17</v>
      </c>
      <c r="P467" s="19">
        <v>20</v>
      </c>
      <c r="Q467" s="19">
        <v>3</v>
      </c>
      <c r="R467" s="19">
        <v>3</v>
      </c>
      <c r="S467" s="19">
        <v>5</v>
      </c>
      <c r="T467" s="18" t="s">
        <v>2100</v>
      </c>
      <c r="U467" s="283" t="e">
        <v>#N/A</v>
      </c>
      <c r="V467" s="283" t="s">
        <v>2118</v>
      </c>
      <c r="W467" s="283">
        <v>1</v>
      </c>
      <c r="X467" s="283">
        <v>0</v>
      </c>
      <c r="Y467" s="283">
        <v>0</v>
      </c>
      <c r="Z467" s="283">
        <v>1</v>
      </c>
      <c r="AA467" s="283">
        <v>0</v>
      </c>
      <c r="AB467" s="283">
        <v>1</v>
      </c>
      <c r="AC467" s="316">
        <v>1</v>
      </c>
      <c r="AD467" s="316">
        <v>1</v>
      </c>
      <c r="AE467" s="302">
        <f t="shared" si="59"/>
        <v>0.625</v>
      </c>
      <c r="AF467" s="310"/>
      <c r="AG467" s="17">
        <v>0</v>
      </c>
      <c r="AH467" s="310">
        <v>6</v>
      </c>
      <c r="AI467" s="310">
        <v>4</v>
      </c>
      <c r="AJ467" s="310">
        <v>2</v>
      </c>
      <c r="AK467" s="317">
        <v>2</v>
      </c>
      <c r="AL467" s="317">
        <v>3</v>
      </c>
      <c r="AM467" s="17">
        <f t="shared" si="60"/>
        <v>5</v>
      </c>
      <c r="AN467" s="283" t="s">
        <v>2102</v>
      </c>
      <c r="AO467" s="18" t="s">
        <v>241</v>
      </c>
      <c r="AP467" s="283" t="s">
        <v>2103</v>
      </c>
    </row>
    <row r="468" spans="1:42" s="18" customFormat="1" x14ac:dyDescent="0.3">
      <c r="A468" s="156" t="s">
        <v>1455</v>
      </c>
      <c r="B468" s="18" t="s">
        <v>2061</v>
      </c>
      <c r="C468" s="18">
        <v>111</v>
      </c>
      <c r="D468" s="18" t="s">
        <v>2063</v>
      </c>
      <c r="E468" s="18">
        <v>1111</v>
      </c>
      <c r="F468" s="157" t="s">
        <v>2064</v>
      </c>
      <c r="G468" s="157">
        <v>111102</v>
      </c>
      <c r="H468" s="18" t="s">
        <v>2097</v>
      </c>
      <c r="K468" s="157">
        <v>11110204</v>
      </c>
      <c r="L468" s="18" t="s">
        <v>2119</v>
      </c>
      <c r="M468" s="18" t="s">
        <v>2120</v>
      </c>
      <c r="N468" s="19" t="s">
        <v>271</v>
      </c>
      <c r="O468" s="19">
        <v>15</v>
      </c>
      <c r="P468" s="19">
        <v>7</v>
      </c>
      <c r="Q468" s="19">
        <v>5</v>
      </c>
      <c r="R468" s="19">
        <v>5</v>
      </c>
      <c r="S468" s="19">
        <v>5</v>
      </c>
      <c r="T468" s="18" t="s">
        <v>2100</v>
      </c>
      <c r="U468" s="283" t="e">
        <v>#N/A</v>
      </c>
      <c r="V468" s="283" t="s">
        <v>2121</v>
      </c>
      <c r="W468" s="283">
        <v>1</v>
      </c>
      <c r="X468" s="283">
        <v>0</v>
      </c>
      <c r="Y468" s="283">
        <v>0</v>
      </c>
      <c r="Z468" s="283">
        <v>1</v>
      </c>
      <c r="AA468" s="283">
        <v>1</v>
      </c>
      <c r="AB468" s="283">
        <v>1</v>
      </c>
      <c r="AC468" s="316">
        <v>1</v>
      </c>
      <c r="AD468" s="316">
        <v>1</v>
      </c>
      <c r="AE468" s="302">
        <f t="shared" si="59"/>
        <v>0.75</v>
      </c>
      <c r="AF468" s="310"/>
      <c r="AG468" s="17">
        <v>0</v>
      </c>
      <c r="AH468" s="310">
        <v>6</v>
      </c>
      <c r="AI468" s="310">
        <v>4</v>
      </c>
      <c r="AJ468" s="310">
        <v>3</v>
      </c>
      <c r="AK468" s="317">
        <v>3</v>
      </c>
      <c r="AL468" s="317">
        <v>3</v>
      </c>
      <c r="AM468" s="17">
        <f t="shared" si="60"/>
        <v>6</v>
      </c>
      <c r="AN468" s="283" t="s">
        <v>2102</v>
      </c>
      <c r="AO468" s="18" t="s">
        <v>241</v>
      </c>
      <c r="AP468" s="283" t="s">
        <v>2103</v>
      </c>
    </row>
    <row r="469" spans="1:42" s="18" customFormat="1" hidden="1" x14ac:dyDescent="0.3">
      <c r="A469" s="156" t="s">
        <v>1455</v>
      </c>
      <c r="B469" s="18" t="s">
        <v>2061</v>
      </c>
      <c r="C469" s="18">
        <v>111</v>
      </c>
      <c r="D469" s="18" t="s">
        <v>2063</v>
      </c>
      <c r="E469" s="18">
        <v>1111</v>
      </c>
      <c r="F469" s="157" t="s">
        <v>2064</v>
      </c>
      <c r="G469" s="157">
        <v>111102</v>
      </c>
      <c r="H469" s="18" t="s">
        <v>2097</v>
      </c>
      <c r="K469" s="157">
        <v>11110205</v>
      </c>
      <c r="L469" s="18" t="s">
        <v>2122</v>
      </c>
      <c r="M469" s="18" t="s">
        <v>2123</v>
      </c>
      <c r="N469" s="19">
        <v>1</v>
      </c>
      <c r="O469" s="19">
        <v>4</v>
      </c>
      <c r="P469" s="19">
        <v>4</v>
      </c>
      <c r="Q469" s="19">
        <v>3</v>
      </c>
      <c r="R469" s="19">
        <v>2</v>
      </c>
      <c r="S469" s="19">
        <v>2</v>
      </c>
      <c r="T469" s="18" t="s">
        <v>2100</v>
      </c>
      <c r="U469" s="283" t="e">
        <v>#N/A</v>
      </c>
      <c r="V469" s="283" t="s">
        <v>2124</v>
      </c>
      <c r="W469" s="283">
        <v>1</v>
      </c>
      <c r="X469" s="283">
        <v>0</v>
      </c>
      <c r="Y469" s="283">
        <v>0</v>
      </c>
      <c r="Z469" s="283">
        <v>1</v>
      </c>
      <c r="AA469" s="283">
        <v>0</v>
      </c>
      <c r="AB469" s="283">
        <v>1</v>
      </c>
      <c r="AC469" s="316">
        <v>1</v>
      </c>
      <c r="AD469" s="316">
        <v>1</v>
      </c>
      <c r="AE469" s="302">
        <f t="shared" si="59"/>
        <v>0.625</v>
      </c>
      <c r="AF469" s="310"/>
      <c r="AG469" s="17">
        <v>0</v>
      </c>
      <c r="AH469" s="310">
        <v>6.71</v>
      </c>
      <c r="AI469" s="310">
        <v>10</v>
      </c>
      <c r="AJ469" s="310">
        <v>10</v>
      </c>
      <c r="AK469" s="317">
        <v>20</v>
      </c>
      <c r="AL469" s="317">
        <v>20</v>
      </c>
      <c r="AM469" s="17">
        <f t="shared" si="60"/>
        <v>40</v>
      </c>
      <c r="AN469" s="283" t="s">
        <v>2102</v>
      </c>
      <c r="AO469" s="18" t="s">
        <v>241</v>
      </c>
      <c r="AP469" s="283" t="s">
        <v>2103</v>
      </c>
    </row>
    <row r="470" spans="1:42" s="18" customFormat="1" hidden="1" x14ac:dyDescent="0.3">
      <c r="A470" s="156" t="s">
        <v>1455</v>
      </c>
      <c r="B470" s="18" t="s">
        <v>2061</v>
      </c>
      <c r="C470" s="18">
        <v>111</v>
      </c>
      <c r="D470" s="18" t="s">
        <v>2063</v>
      </c>
      <c r="E470" s="18">
        <v>1111</v>
      </c>
      <c r="F470" s="157" t="s">
        <v>2064</v>
      </c>
      <c r="G470" s="157">
        <v>111102</v>
      </c>
      <c r="H470" s="18" t="s">
        <v>2097</v>
      </c>
      <c r="K470" s="157">
        <v>11110205</v>
      </c>
      <c r="L470" s="18" t="s">
        <v>2122</v>
      </c>
      <c r="M470" s="18" t="s">
        <v>2125</v>
      </c>
      <c r="N470" s="19">
        <v>0</v>
      </c>
      <c r="O470" s="19">
        <v>4</v>
      </c>
      <c r="P470" s="19">
        <v>4</v>
      </c>
      <c r="Q470" s="19">
        <v>3</v>
      </c>
      <c r="R470" s="19">
        <v>2</v>
      </c>
      <c r="S470" s="19">
        <v>2</v>
      </c>
      <c r="T470" s="18" t="s">
        <v>2100</v>
      </c>
      <c r="U470" s="283" t="e">
        <v>#N/A</v>
      </c>
      <c r="V470" s="283" t="s">
        <v>2126</v>
      </c>
      <c r="W470" s="283">
        <v>1</v>
      </c>
      <c r="X470" s="283">
        <v>0</v>
      </c>
      <c r="Y470" s="283">
        <v>0</v>
      </c>
      <c r="Z470" s="283">
        <v>1</v>
      </c>
      <c r="AA470" s="283">
        <v>0</v>
      </c>
      <c r="AB470" s="283">
        <v>1</v>
      </c>
      <c r="AC470" s="316">
        <v>1</v>
      </c>
      <c r="AD470" s="316">
        <v>1</v>
      </c>
      <c r="AE470" s="302">
        <f t="shared" si="59"/>
        <v>0.625</v>
      </c>
      <c r="AF470" s="17"/>
      <c r="AG470" s="17">
        <v>0</v>
      </c>
      <c r="AH470" s="17">
        <v>0</v>
      </c>
      <c r="AI470" s="17">
        <v>0</v>
      </c>
      <c r="AJ470" s="17">
        <v>0</v>
      </c>
      <c r="AK470" s="153">
        <v>0</v>
      </c>
      <c r="AL470" s="154">
        <v>0</v>
      </c>
      <c r="AM470" s="17">
        <f t="shared" si="60"/>
        <v>0</v>
      </c>
      <c r="AN470" s="283" t="s">
        <v>2102</v>
      </c>
      <c r="AO470" s="18" t="s">
        <v>241</v>
      </c>
      <c r="AP470" s="283" t="s">
        <v>2103</v>
      </c>
    </row>
    <row r="471" spans="1:42" s="18" customFormat="1" hidden="1" x14ac:dyDescent="0.3">
      <c r="A471" s="156" t="s">
        <v>1455</v>
      </c>
      <c r="B471" s="18" t="s">
        <v>2061</v>
      </c>
      <c r="C471" s="18">
        <v>111</v>
      </c>
      <c r="D471" s="18" t="s">
        <v>2063</v>
      </c>
      <c r="E471" s="18">
        <v>1111</v>
      </c>
      <c r="F471" s="157" t="s">
        <v>2064</v>
      </c>
      <c r="G471" s="157">
        <v>111103</v>
      </c>
      <c r="H471" s="157" t="s">
        <v>2127</v>
      </c>
      <c r="I471" s="157"/>
      <c r="J471" s="157"/>
      <c r="K471" s="157">
        <v>11110301</v>
      </c>
      <c r="L471" s="157" t="s">
        <v>2128</v>
      </c>
      <c r="M471" s="157" t="s">
        <v>2129</v>
      </c>
      <c r="N471" s="19">
        <v>0</v>
      </c>
      <c r="O471" s="19" t="s">
        <v>271</v>
      </c>
      <c r="P471" s="19" t="s">
        <v>271</v>
      </c>
      <c r="Q471" s="19" t="s">
        <v>271</v>
      </c>
      <c r="R471" s="19">
        <v>1</v>
      </c>
      <c r="S471" s="19" t="s">
        <v>271</v>
      </c>
      <c r="T471" s="18" t="s">
        <v>2072</v>
      </c>
      <c r="U471" s="283" t="e">
        <v>#N/A</v>
      </c>
      <c r="V471" s="283" t="s">
        <v>2130</v>
      </c>
      <c r="W471" s="283">
        <v>1</v>
      </c>
      <c r="X471" s="283">
        <v>0</v>
      </c>
      <c r="Y471" s="283">
        <v>0</v>
      </c>
      <c r="Z471" s="283">
        <v>1</v>
      </c>
      <c r="AA471" s="283">
        <v>0</v>
      </c>
      <c r="AB471" s="283">
        <v>1</v>
      </c>
      <c r="AC471" s="316">
        <v>0</v>
      </c>
      <c r="AD471" s="316">
        <v>1</v>
      </c>
      <c r="AE471" s="302">
        <f t="shared" si="59"/>
        <v>0.5</v>
      </c>
      <c r="AF471" s="17"/>
      <c r="AG471" s="17">
        <v>0</v>
      </c>
      <c r="AH471" s="17">
        <v>0</v>
      </c>
      <c r="AI471" s="310">
        <v>22.67</v>
      </c>
      <c r="AJ471" s="310">
        <v>22.67</v>
      </c>
      <c r="AK471" s="317">
        <v>24.637</v>
      </c>
      <c r="AL471" s="317">
        <v>3.52</v>
      </c>
      <c r="AM471" s="17">
        <f t="shared" si="60"/>
        <v>28.157</v>
      </c>
      <c r="AN471" s="283" t="s">
        <v>2074</v>
      </c>
      <c r="AO471" s="18" t="s">
        <v>2075</v>
      </c>
      <c r="AP471" s="283" t="s">
        <v>2131</v>
      </c>
    </row>
    <row r="472" spans="1:42" s="18" customFormat="1" hidden="1" x14ac:dyDescent="0.3">
      <c r="A472" s="156" t="s">
        <v>1455</v>
      </c>
      <c r="B472" s="18" t="s">
        <v>2061</v>
      </c>
      <c r="C472" s="18">
        <v>111</v>
      </c>
      <c r="D472" s="18" t="s">
        <v>2063</v>
      </c>
      <c r="E472" s="18">
        <v>1111</v>
      </c>
      <c r="F472" s="157" t="s">
        <v>2064</v>
      </c>
      <c r="G472" s="157">
        <v>111103</v>
      </c>
      <c r="H472" s="157" t="s">
        <v>2127</v>
      </c>
      <c r="I472" s="157"/>
      <c r="J472" s="157"/>
      <c r="K472" s="157">
        <v>11110301</v>
      </c>
      <c r="L472" s="157" t="s">
        <v>2128</v>
      </c>
      <c r="M472" s="157"/>
      <c r="N472" s="19"/>
      <c r="O472" s="19"/>
      <c r="P472" s="19"/>
      <c r="Q472" s="19"/>
      <c r="R472" s="19"/>
      <c r="S472" s="19"/>
      <c r="U472" s="283" t="e">
        <v>#N/A</v>
      </c>
      <c r="V472" s="283" t="s">
        <v>2132</v>
      </c>
      <c r="W472" s="283">
        <v>1</v>
      </c>
      <c r="X472" s="283">
        <v>0</v>
      </c>
      <c r="Y472" s="283">
        <v>0</v>
      </c>
      <c r="Z472" s="283">
        <v>1</v>
      </c>
      <c r="AA472" s="283">
        <v>0</v>
      </c>
      <c r="AB472" s="283">
        <v>1</v>
      </c>
      <c r="AC472" s="316">
        <v>0</v>
      </c>
      <c r="AD472" s="316">
        <v>1</v>
      </c>
      <c r="AE472" s="302">
        <f t="shared" si="59"/>
        <v>0.5</v>
      </c>
      <c r="AF472" s="17"/>
      <c r="AG472" s="17">
        <v>0</v>
      </c>
      <c r="AH472" s="17">
        <v>0</v>
      </c>
      <c r="AI472" s="17">
        <v>0</v>
      </c>
      <c r="AJ472" s="17">
        <v>0</v>
      </c>
      <c r="AK472" s="153">
        <v>0</v>
      </c>
      <c r="AL472" s="154">
        <v>0</v>
      </c>
      <c r="AM472" s="17">
        <f t="shared" si="60"/>
        <v>0</v>
      </c>
      <c r="AN472" s="283" t="s">
        <v>2074</v>
      </c>
      <c r="AO472" s="18" t="s">
        <v>2075</v>
      </c>
      <c r="AP472" s="283" t="s">
        <v>2131</v>
      </c>
    </row>
    <row r="473" spans="1:42" s="18" customFormat="1" hidden="1" x14ac:dyDescent="0.3">
      <c r="A473" s="156" t="s">
        <v>1455</v>
      </c>
      <c r="B473" s="18" t="s">
        <v>2061</v>
      </c>
      <c r="C473" s="18">
        <v>111</v>
      </c>
      <c r="D473" s="18" t="s">
        <v>2063</v>
      </c>
      <c r="E473" s="18">
        <v>1111</v>
      </c>
      <c r="F473" s="157" t="s">
        <v>2064</v>
      </c>
      <c r="G473" s="157">
        <v>111103</v>
      </c>
      <c r="H473" s="157" t="s">
        <v>2127</v>
      </c>
      <c r="I473" s="157"/>
      <c r="J473" s="157"/>
      <c r="K473" s="157">
        <v>11110301</v>
      </c>
      <c r="L473" s="157" t="s">
        <v>2128</v>
      </c>
      <c r="M473" s="157"/>
      <c r="N473" s="19"/>
      <c r="O473" s="19"/>
      <c r="P473" s="19"/>
      <c r="Q473" s="19"/>
      <c r="R473" s="19"/>
      <c r="S473" s="19"/>
      <c r="U473" s="283" t="e">
        <v>#N/A</v>
      </c>
      <c r="V473" s="283" t="s">
        <v>2133</v>
      </c>
      <c r="W473" s="283">
        <v>1</v>
      </c>
      <c r="X473" s="283">
        <v>0</v>
      </c>
      <c r="Y473" s="283">
        <v>0</v>
      </c>
      <c r="Z473" s="283">
        <v>1</v>
      </c>
      <c r="AA473" s="283">
        <v>0</v>
      </c>
      <c r="AB473" s="283">
        <v>1</v>
      </c>
      <c r="AC473" s="316">
        <v>0</v>
      </c>
      <c r="AD473" s="316">
        <v>1</v>
      </c>
      <c r="AE473" s="302">
        <f t="shared" si="59"/>
        <v>0.5</v>
      </c>
      <c r="AF473" s="17"/>
      <c r="AG473" s="17">
        <v>0</v>
      </c>
      <c r="AH473" s="17">
        <v>0</v>
      </c>
      <c r="AI473" s="17">
        <v>0</v>
      </c>
      <c r="AJ473" s="17">
        <v>0</v>
      </c>
      <c r="AK473" s="153">
        <v>5.6710000000000003</v>
      </c>
      <c r="AL473" s="154">
        <v>3.2349999999999999</v>
      </c>
      <c r="AM473" s="17">
        <f t="shared" si="60"/>
        <v>8.9060000000000006</v>
      </c>
      <c r="AN473" s="283" t="s">
        <v>2074</v>
      </c>
      <c r="AO473" s="18" t="s">
        <v>2075</v>
      </c>
      <c r="AP473" s="283" t="s">
        <v>2131</v>
      </c>
    </row>
    <row r="474" spans="1:42" s="18" customFormat="1" hidden="1" x14ac:dyDescent="0.3">
      <c r="A474" s="156" t="s">
        <v>1455</v>
      </c>
      <c r="B474" s="18" t="s">
        <v>2061</v>
      </c>
      <c r="C474" s="18">
        <v>111</v>
      </c>
      <c r="D474" s="18" t="s">
        <v>2063</v>
      </c>
      <c r="E474" s="18">
        <v>1111</v>
      </c>
      <c r="F474" s="157" t="s">
        <v>2064</v>
      </c>
      <c r="G474" s="157">
        <v>111103</v>
      </c>
      <c r="H474" s="157" t="s">
        <v>2127</v>
      </c>
      <c r="I474" s="157"/>
      <c r="J474" s="157"/>
      <c r="K474" s="157">
        <v>11110302</v>
      </c>
      <c r="L474" s="157" t="s">
        <v>2134</v>
      </c>
      <c r="M474" s="157" t="s">
        <v>2135</v>
      </c>
      <c r="N474" s="19">
        <v>58</v>
      </c>
      <c r="O474" s="19">
        <v>100</v>
      </c>
      <c r="P474" s="19">
        <v>150</v>
      </c>
      <c r="Q474" s="19">
        <v>200</v>
      </c>
      <c r="R474" s="19">
        <v>250</v>
      </c>
      <c r="S474" s="19">
        <v>300</v>
      </c>
      <c r="T474" s="18" t="s">
        <v>2072</v>
      </c>
      <c r="U474" s="283" t="e">
        <v>#N/A</v>
      </c>
      <c r="V474" s="320" t="s">
        <v>2136</v>
      </c>
      <c r="W474" s="283">
        <v>1</v>
      </c>
      <c r="X474" s="283">
        <v>0</v>
      </c>
      <c r="Y474" s="283">
        <v>0</v>
      </c>
      <c r="Z474" s="283">
        <v>1</v>
      </c>
      <c r="AA474" s="283">
        <v>1</v>
      </c>
      <c r="AB474" s="283">
        <v>1</v>
      </c>
      <c r="AC474" s="316">
        <v>0</v>
      </c>
      <c r="AD474" s="316">
        <v>1</v>
      </c>
      <c r="AE474" s="302">
        <f>SUM(W474:AD474)/8</f>
        <v>0.625</v>
      </c>
      <c r="AF474" s="310"/>
      <c r="AG474" s="17">
        <v>0</v>
      </c>
      <c r="AH474" s="310">
        <v>5.0599999999999996</v>
      </c>
      <c r="AI474" s="310">
        <v>5.0599999999999996</v>
      </c>
      <c r="AJ474" s="310">
        <v>3.06</v>
      </c>
      <c r="AK474" s="317">
        <v>20</v>
      </c>
      <c r="AL474" s="317">
        <v>45.521000000000001</v>
      </c>
      <c r="AM474" s="17">
        <f t="shared" si="60"/>
        <v>65.521000000000001</v>
      </c>
      <c r="AN474" s="283" t="s">
        <v>2074</v>
      </c>
      <c r="AO474" s="18" t="s">
        <v>2075</v>
      </c>
      <c r="AP474" s="283" t="s">
        <v>2131</v>
      </c>
    </row>
    <row r="475" spans="1:42" s="18" customFormat="1" hidden="1" x14ac:dyDescent="0.3">
      <c r="A475" s="156" t="s">
        <v>1455</v>
      </c>
      <c r="B475" s="18" t="s">
        <v>2061</v>
      </c>
      <c r="C475" s="18">
        <v>111</v>
      </c>
      <c r="D475" s="18" t="s">
        <v>2063</v>
      </c>
      <c r="E475" s="18">
        <v>1111</v>
      </c>
      <c r="F475" s="157" t="s">
        <v>2064</v>
      </c>
      <c r="G475" s="157">
        <v>111103</v>
      </c>
      <c r="H475" s="157" t="s">
        <v>2127</v>
      </c>
      <c r="I475" s="157"/>
      <c r="J475" s="157"/>
      <c r="K475" s="157">
        <v>11110302</v>
      </c>
      <c r="L475" s="157" t="s">
        <v>2134</v>
      </c>
      <c r="M475" s="18" t="s">
        <v>2137</v>
      </c>
      <c r="N475" s="19">
        <v>40</v>
      </c>
      <c r="O475" s="19">
        <v>90</v>
      </c>
      <c r="P475" s="19">
        <v>100</v>
      </c>
      <c r="Q475" s="19">
        <v>200</v>
      </c>
      <c r="R475" s="19">
        <v>200</v>
      </c>
      <c r="S475" s="19">
        <v>250</v>
      </c>
      <c r="T475" s="18" t="s">
        <v>2072</v>
      </c>
      <c r="U475" s="283" t="e">
        <v>#N/A</v>
      </c>
      <c r="V475" s="283" t="s">
        <v>2138</v>
      </c>
      <c r="W475" s="283">
        <v>1</v>
      </c>
      <c r="X475" s="283">
        <v>0</v>
      </c>
      <c r="Y475" s="283">
        <v>0</v>
      </c>
      <c r="Z475" s="283">
        <v>1</v>
      </c>
      <c r="AA475" s="283">
        <v>1</v>
      </c>
      <c r="AB475" s="283">
        <v>1</v>
      </c>
      <c r="AC475" s="316">
        <v>0</v>
      </c>
      <c r="AD475" s="316">
        <v>1</v>
      </c>
      <c r="AE475" s="302">
        <f t="shared" si="59"/>
        <v>0.625</v>
      </c>
      <c r="AF475" s="17">
        <v>0</v>
      </c>
      <c r="AG475" s="17">
        <v>1</v>
      </c>
      <c r="AH475" s="17">
        <v>0</v>
      </c>
      <c r="AI475" s="17">
        <v>0</v>
      </c>
      <c r="AJ475" s="17">
        <v>0</v>
      </c>
      <c r="AK475" s="153">
        <v>0</v>
      </c>
      <c r="AL475" s="154">
        <v>0</v>
      </c>
      <c r="AM475" s="17">
        <f t="shared" si="60"/>
        <v>0</v>
      </c>
      <c r="AN475" s="283" t="s">
        <v>2074</v>
      </c>
      <c r="AO475" s="18" t="s">
        <v>2075</v>
      </c>
      <c r="AP475" s="283" t="s">
        <v>2131</v>
      </c>
    </row>
    <row r="476" spans="1:42" s="18" customFormat="1" hidden="1" x14ac:dyDescent="0.3">
      <c r="A476" s="156" t="s">
        <v>1455</v>
      </c>
      <c r="B476" s="18" t="s">
        <v>2061</v>
      </c>
      <c r="C476" s="18">
        <v>111</v>
      </c>
      <c r="D476" s="18" t="s">
        <v>2063</v>
      </c>
      <c r="E476" s="18">
        <v>1111</v>
      </c>
      <c r="F476" s="157" t="s">
        <v>2064</v>
      </c>
      <c r="G476" s="157">
        <v>111103</v>
      </c>
      <c r="H476" s="157" t="s">
        <v>2127</v>
      </c>
      <c r="I476" s="157"/>
      <c r="J476" s="157"/>
      <c r="K476" s="157">
        <v>11110302</v>
      </c>
      <c r="L476" s="157" t="s">
        <v>2134</v>
      </c>
      <c r="N476" s="19"/>
      <c r="O476" s="19"/>
      <c r="P476" s="19"/>
      <c r="Q476" s="19"/>
      <c r="R476" s="19"/>
      <c r="S476" s="19"/>
      <c r="U476" s="283" t="e">
        <v>#N/A</v>
      </c>
      <c r="V476" s="283" t="s">
        <v>2139</v>
      </c>
      <c r="W476" s="283"/>
      <c r="X476" s="283"/>
      <c r="Y476" s="283"/>
      <c r="Z476" s="283"/>
      <c r="AA476" s="283"/>
      <c r="AB476" s="283"/>
      <c r="AC476" s="316">
        <v>0</v>
      </c>
      <c r="AD476" s="316">
        <v>0</v>
      </c>
      <c r="AE476" s="302">
        <f t="shared" si="59"/>
        <v>0</v>
      </c>
      <c r="AF476" s="17"/>
      <c r="AG476" s="17">
        <v>0</v>
      </c>
      <c r="AH476" s="17">
        <v>0</v>
      </c>
      <c r="AI476" s="17">
        <v>0</v>
      </c>
      <c r="AJ476" s="17">
        <v>0</v>
      </c>
      <c r="AK476" s="153">
        <v>0</v>
      </c>
      <c r="AL476" s="154">
        <v>0</v>
      </c>
      <c r="AM476" s="17">
        <f t="shared" si="60"/>
        <v>0</v>
      </c>
      <c r="AN476" s="283" t="s">
        <v>2074</v>
      </c>
      <c r="AO476" s="18" t="s">
        <v>2075</v>
      </c>
      <c r="AP476" s="283" t="s">
        <v>2131</v>
      </c>
    </row>
    <row r="477" spans="1:42" s="18" customFormat="1" hidden="1" x14ac:dyDescent="0.3">
      <c r="A477" s="156" t="s">
        <v>1455</v>
      </c>
      <c r="B477" s="18" t="s">
        <v>2061</v>
      </c>
      <c r="C477" s="18">
        <v>111</v>
      </c>
      <c r="D477" s="18" t="s">
        <v>2063</v>
      </c>
      <c r="E477" s="18">
        <v>1111</v>
      </c>
      <c r="F477" s="157" t="s">
        <v>2064</v>
      </c>
      <c r="G477" s="157">
        <v>111103</v>
      </c>
      <c r="H477" s="157" t="s">
        <v>2127</v>
      </c>
      <c r="I477" s="157"/>
      <c r="J477" s="157"/>
      <c r="K477" s="157">
        <v>11110302</v>
      </c>
      <c r="L477" s="157" t="s">
        <v>2134</v>
      </c>
      <c r="N477" s="19"/>
      <c r="O477" s="19"/>
      <c r="P477" s="19"/>
      <c r="Q477" s="19"/>
      <c r="R477" s="19"/>
      <c r="S477" s="19"/>
      <c r="U477" s="283" t="e">
        <v>#N/A</v>
      </c>
      <c r="V477" s="283" t="s">
        <v>2140</v>
      </c>
      <c r="W477" s="283"/>
      <c r="X477" s="283"/>
      <c r="Y477" s="283"/>
      <c r="Z477" s="283"/>
      <c r="AA477" s="283"/>
      <c r="AB477" s="283"/>
      <c r="AC477" s="316">
        <v>0</v>
      </c>
      <c r="AD477" s="316">
        <v>0</v>
      </c>
      <c r="AE477" s="302">
        <f t="shared" si="59"/>
        <v>0</v>
      </c>
      <c r="AF477" s="17"/>
      <c r="AG477" s="17">
        <v>0</v>
      </c>
      <c r="AH477" s="17">
        <v>0</v>
      </c>
      <c r="AI477" s="17">
        <v>0</v>
      </c>
      <c r="AJ477" s="17">
        <v>0</v>
      </c>
      <c r="AK477" s="153">
        <v>0</v>
      </c>
      <c r="AL477" s="154">
        <v>0</v>
      </c>
      <c r="AM477" s="17">
        <f t="shared" si="60"/>
        <v>0</v>
      </c>
      <c r="AN477" s="283" t="s">
        <v>2074</v>
      </c>
      <c r="AO477" s="18" t="s">
        <v>2075</v>
      </c>
      <c r="AP477" s="283" t="s">
        <v>2131</v>
      </c>
    </row>
    <row r="478" spans="1:42" s="18" customFormat="1" hidden="1" x14ac:dyDescent="0.3">
      <c r="A478" s="156" t="s">
        <v>1455</v>
      </c>
      <c r="B478" s="18" t="s">
        <v>2061</v>
      </c>
      <c r="C478" s="18">
        <v>112</v>
      </c>
      <c r="D478" s="18" t="s">
        <v>2141</v>
      </c>
      <c r="E478" s="18">
        <v>1122</v>
      </c>
      <c r="F478" s="157" t="s">
        <v>2142</v>
      </c>
      <c r="G478" s="18">
        <v>112201</v>
      </c>
      <c r="H478" s="18" t="s">
        <v>2143</v>
      </c>
      <c r="K478" s="18">
        <v>11220101</v>
      </c>
      <c r="L478" s="157" t="s">
        <v>2144</v>
      </c>
      <c r="M478" s="157" t="s">
        <v>2145</v>
      </c>
      <c r="N478" s="160">
        <v>0</v>
      </c>
      <c r="O478" s="19">
        <v>1</v>
      </c>
      <c r="P478" s="19" t="s">
        <v>271</v>
      </c>
      <c r="Q478" s="19" t="s">
        <v>271</v>
      </c>
      <c r="R478" s="19" t="s">
        <v>271</v>
      </c>
      <c r="S478" s="19" t="s">
        <v>271</v>
      </c>
      <c r="T478" s="18" t="s">
        <v>2072</v>
      </c>
      <c r="U478" s="283" t="e">
        <v>#N/A</v>
      </c>
      <c r="V478" s="309" t="s">
        <v>2146</v>
      </c>
      <c r="W478" s="283"/>
      <c r="X478" s="283"/>
      <c r="Y478" s="283"/>
      <c r="Z478" s="283"/>
      <c r="AA478" s="283"/>
      <c r="AB478" s="283"/>
      <c r="AC478" s="316">
        <v>0</v>
      </c>
      <c r="AD478" s="316">
        <v>0</v>
      </c>
      <c r="AE478" s="302">
        <f t="shared" si="59"/>
        <v>0</v>
      </c>
      <c r="AF478" s="310"/>
      <c r="AG478" s="17">
        <v>0</v>
      </c>
      <c r="AH478" s="310">
        <v>0.99399999999999999</v>
      </c>
      <c r="AI478" s="310">
        <v>0.71</v>
      </c>
      <c r="AJ478" s="310">
        <v>0</v>
      </c>
      <c r="AK478" s="317">
        <v>0</v>
      </c>
      <c r="AL478" s="317">
        <v>0</v>
      </c>
      <c r="AM478" s="17">
        <f t="shared" si="60"/>
        <v>0</v>
      </c>
      <c r="AN478" s="283" t="s">
        <v>2074</v>
      </c>
      <c r="AO478" s="18" t="s">
        <v>2075</v>
      </c>
      <c r="AP478" s="283" t="s">
        <v>2147</v>
      </c>
    </row>
    <row r="479" spans="1:42" s="18" customFormat="1" hidden="1" x14ac:dyDescent="0.3">
      <c r="A479" s="156" t="s">
        <v>1455</v>
      </c>
      <c r="B479" s="18" t="s">
        <v>2061</v>
      </c>
      <c r="C479" s="18">
        <v>112</v>
      </c>
      <c r="D479" s="18" t="s">
        <v>2141</v>
      </c>
      <c r="E479" s="18">
        <v>1122</v>
      </c>
      <c r="F479" s="157" t="s">
        <v>2142</v>
      </c>
      <c r="G479" s="18">
        <v>112201</v>
      </c>
      <c r="H479" s="18" t="s">
        <v>2143</v>
      </c>
      <c r="K479" s="18">
        <v>11220101</v>
      </c>
      <c r="L479" s="157" t="s">
        <v>2144</v>
      </c>
      <c r="M479" s="157"/>
      <c r="N479" s="160"/>
      <c r="O479" s="19"/>
      <c r="P479" s="19"/>
      <c r="Q479" s="19"/>
      <c r="R479" s="19"/>
      <c r="S479" s="19"/>
      <c r="U479" s="283" t="e">
        <v>#N/A</v>
      </c>
      <c r="V479" s="283" t="s">
        <v>2148</v>
      </c>
      <c r="W479" s="283">
        <v>1</v>
      </c>
      <c r="X479" s="283">
        <v>0</v>
      </c>
      <c r="Y479" s="283">
        <v>0</v>
      </c>
      <c r="Z479" s="283">
        <v>1</v>
      </c>
      <c r="AA479" s="283">
        <v>1</v>
      </c>
      <c r="AB479" s="283">
        <v>0</v>
      </c>
      <c r="AC479" s="316">
        <v>1</v>
      </c>
      <c r="AD479" s="316">
        <v>1</v>
      </c>
      <c r="AE479" s="302">
        <f t="shared" si="59"/>
        <v>0.625</v>
      </c>
      <c r="AF479" s="310"/>
      <c r="AG479" s="17">
        <v>0</v>
      </c>
      <c r="AH479" s="310">
        <v>0.9</v>
      </c>
      <c r="AI479" s="310">
        <v>0.9</v>
      </c>
      <c r="AJ479" s="310">
        <v>0.7</v>
      </c>
      <c r="AK479" s="317">
        <v>0.7</v>
      </c>
      <c r="AL479" s="317">
        <v>0.3</v>
      </c>
      <c r="AM479" s="17">
        <f t="shared" si="60"/>
        <v>1</v>
      </c>
      <c r="AN479" s="283" t="s">
        <v>2074</v>
      </c>
      <c r="AO479" s="18" t="s">
        <v>2075</v>
      </c>
      <c r="AP479" s="283" t="s">
        <v>2147</v>
      </c>
    </row>
    <row r="480" spans="1:42" s="18" customFormat="1" hidden="1" x14ac:dyDescent="0.3">
      <c r="A480" s="156" t="s">
        <v>1455</v>
      </c>
      <c r="B480" s="18" t="s">
        <v>2061</v>
      </c>
      <c r="C480" s="18">
        <v>112</v>
      </c>
      <c r="D480" s="18" t="s">
        <v>2141</v>
      </c>
      <c r="E480" s="18">
        <v>1122</v>
      </c>
      <c r="F480" s="157" t="s">
        <v>2142</v>
      </c>
      <c r="G480" s="18">
        <v>112201</v>
      </c>
      <c r="H480" s="18" t="s">
        <v>2143</v>
      </c>
      <c r="K480" s="18">
        <v>11220101</v>
      </c>
      <c r="L480" s="157" t="s">
        <v>2144</v>
      </c>
      <c r="M480" s="157"/>
      <c r="N480" s="160"/>
      <c r="O480" s="19"/>
      <c r="P480" s="19"/>
      <c r="Q480" s="19"/>
      <c r="R480" s="19"/>
      <c r="S480" s="19"/>
      <c r="U480" s="283" t="e">
        <v>#N/A</v>
      </c>
      <c r="V480" s="283" t="s">
        <v>2149</v>
      </c>
      <c r="W480" s="283"/>
      <c r="X480" s="283"/>
      <c r="Y480" s="283"/>
      <c r="Z480" s="283"/>
      <c r="AA480" s="283"/>
      <c r="AB480" s="283"/>
      <c r="AC480" s="316">
        <v>0</v>
      </c>
      <c r="AD480" s="316">
        <v>0</v>
      </c>
      <c r="AE480" s="302">
        <f t="shared" si="59"/>
        <v>0</v>
      </c>
      <c r="AF480" s="310"/>
      <c r="AG480" s="17">
        <v>0</v>
      </c>
      <c r="AH480" s="310">
        <v>0.1</v>
      </c>
      <c r="AI480" s="310">
        <v>0.1</v>
      </c>
      <c r="AJ480" s="310">
        <v>0.1</v>
      </c>
      <c r="AK480" s="317">
        <v>0.1</v>
      </c>
      <c r="AL480" s="317">
        <v>0.1</v>
      </c>
      <c r="AM480" s="17">
        <f t="shared" si="60"/>
        <v>0.2</v>
      </c>
      <c r="AN480" s="283" t="s">
        <v>2074</v>
      </c>
      <c r="AO480" s="18" t="s">
        <v>2075</v>
      </c>
      <c r="AP480" s="283" t="s">
        <v>2147</v>
      </c>
    </row>
    <row r="481" spans="1:42" s="18" customFormat="1" hidden="1" x14ac:dyDescent="0.3">
      <c r="A481" s="156" t="s">
        <v>1455</v>
      </c>
      <c r="B481" s="18" t="s">
        <v>2061</v>
      </c>
      <c r="C481" s="18">
        <v>112</v>
      </c>
      <c r="D481" s="18" t="s">
        <v>2141</v>
      </c>
      <c r="E481" s="18">
        <v>1122</v>
      </c>
      <c r="F481" s="157" t="s">
        <v>2142</v>
      </c>
      <c r="G481" s="18">
        <v>112201</v>
      </c>
      <c r="H481" s="18" t="s">
        <v>2143</v>
      </c>
      <c r="K481" s="18">
        <v>11220101</v>
      </c>
      <c r="L481" s="157" t="s">
        <v>2144</v>
      </c>
      <c r="M481" s="157"/>
      <c r="N481" s="160"/>
      <c r="O481" s="19"/>
      <c r="P481" s="19"/>
      <c r="Q481" s="19"/>
      <c r="R481" s="19"/>
      <c r="S481" s="19"/>
      <c r="U481" s="283" t="e">
        <v>#N/A</v>
      </c>
      <c r="V481" s="283" t="s">
        <v>2150</v>
      </c>
      <c r="W481" s="283"/>
      <c r="X481" s="283"/>
      <c r="Y481" s="283"/>
      <c r="Z481" s="283"/>
      <c r="AA481" s="283"/>
      <c r="AB481" s="283"/>
      <c r="AC481" s="316">
        <v>0</v>
      </c>
      <c r="AD481" s="316">
        <v>0</v>
      </c>
      <c r="AE481" s="302">
        <f t="shared" si="59"/>
        <v>0</v>
      </c>
      <c r="AF481" s="17"/>
      <c r="AG481" s="17">
        <v>0</v>
      </c>
      <c r="AH481" s="17">
        <v>0</v>
      </c>
      <c r="AI481" s="17">
        <v>0</v>
      </c>
      <c r="AJ481" s="17">
        <v>0</v>
      </c>
      <c r="AK481" s="153">
        <v>0</v>
      </c>
      <c r="AL481" s="154">
        <v>0</v>
      </c>
      <c r="AM481" s="17">
        <f t="shared" si="60"/>
        <v>0</v>
      </c>
      <c r="AN481" s="283" t="s">
        <v>723</v>
      </c>
      <c r="AO481" s="18" t="s">
        <v>729</v>
      </c>
      <c r="AP481" s="283" t="s">
        <v>2147</v>
      </c>
    </row>
    <row r="482" spans="1:42" s="18" customFormat="1" hidden="1" x14ac:dyDescent="0.3">
      <c r="A482" s="156" t="s">
        <v>1455</v>
      </c>
      <c r="B482" s="18" t="s">
        <v>2061</v>
      </c>
      <c r="C482" s="18">
        <v>112</v>
      </c>
      <c r="D482" s="18" t="s">
        <v>2141</v>
      </c>
      <c r="E482" s="18">
        <v>1122</v>
      </c>
      <c r="F482" s="157" t="s">
        <v>2142</v>
      </c>
      <c r="G482" s="18">
        <v>112201</v>
      </c>
      <c r="H482" s="18" t="s">
        <v>2143</v>
      </c>
      <c r="K482" s="18">
        <v>11220102</v>
      </c>
      <c r="L482" s="161" t="s">
        <v>2151</v>
      </c>
      <c r="M482" s="157" t="s">
        <v>2152</v>
      </c>
      <c r="N482" s="160">
        <v>0</v>
      </c>
      <c r="O482" s="19">
        <v>1</v>
      </c>
      <c r="P482" s="19" t="s">
        <v>271</v>
      </c>
      <c r="Q482" s="19" t="s">
        <v>271</v>
      </c>
      <c r="R482" s="19" t="s">
        <v>271</v>
      </c>
      <c r="S482" s="19" t="s">
        <v>271</v>
      </c>
      <c r="T482" s="18" t="s">
        <v>2072</v>
      </c>
      <c r="U482" s="283" t="e">
        <v>#N/A</v>
      </c>
      <c r="V482" s="309" t="s">
        <v>2153</v>
      </c>
      <c r="W482" s="283"/>
      <c r="X482" s="283"/>
      <c r="Y482" s="283"/>
      <c r="Z482" s="283"/>
      <c r="AA482" s="283"/>
      <c r="AB482" s="283"/>
      <c r="AC482" s="316">
        <v>0</v>
      </c>
      <c r="AD482" s="316">
        <v>0</v>
      </c>
      <c r="AE482" s="302">
        <f t="shared" si="59"/>
        <v>0</v>
      </c>
      <c r="AF482" s="310"/>
      <c r="AG482" s="17">
        <v>0</v>
      </c>
      <c r="AH482" s="310">
        <v>3.9790000000000001</v>
      </c>
      <c r="AI482" s="310">
        <v>4.9000000000000004</v>
      </c>
      <c r="AJ482" s="310">
        <v>3.9790000000000001</v>
      </c>
      <c r="AK482" s="317">
        <v>0</v>
      </c>
      <c r="AL482" s="317">
        <v>0</v>
      </c>
      <c r="AM482" s="17">
        <f t="shared" si="60"/>
        <v>0</v>
      </c>
      <c r="AN482" s="283" t="s">
        <v>2074</v>
      </c>
      <c r="AO482" s="18" t="s">
        <v>2075</v>
      </c>
      <c r="AP482" s="283" t="s">
        <v>2154</v>
      </c>
    </row>
    <row r="483" spans="1:42" s="18" customFormat="1" hidden="1" x14ac:dyDescent="0.3">
      <c r="A483" s="156" t="s">
        <v>1455</v>
      </c>
      <c r="B483" s="18" t="s">
        <v>2061</v>
      </c>
      <c r="C483" s="18">
        <v>112</v>
      </c>
      <c r="D483" s="18" t="s">
        <v>2141</v>
      </c>
      <c r="E483" s="18">
        <v>1122</v>
      </c>
      <c r="F483" s="157" t="s">
        <v>2142</v>
      </c>
      <c r="G483" s="18">
        <v>112201</v>
      </c>
      <c r="H483" s="18" t="s">
        <v>2143</v>
      </c>
      <c r="K483" s="18">
        <v>11220102</v>
      </c>
      <c r="L483" s="161" t="s">
        <v>2151</v>
      </c>
      <c r="M483" s="157" t="s">
        <v>2155</v>
      </c>
      <c r="N483" s="160">
        <v>0</v>
      </c>
      <c r="O483" s="160">
        <v>2</v>
      </c>
      <c r="P483" s="19">
        <v>10</v>
      </c>
      <c r="Q483" s="19">
        <v>30</v>
      </c>
      <c r="R483" s="19">
        <v>40</v>
      </c>
      <c r="S483" s="19">
        <v>50</v>
      </c>
      <c r="T483" s="18" t="s">
        <v>2072</v>
      </c>
      <c r="U483" s="283" t="e">
        <v>#N/A</v>
      </c>
      <c r="V483" s="320" t="s">
        <v>2156</v>
      </c>
      <c r="W483" s="283">
        <v>1</v>
      </c>
      <c r="X483" s="283">
        <v>0</v>
      </c>
      <c r="Y483" s="283">
        <v>0</v>
      </c>
      <c r="Z483" s="283">
        <v>1</v>
      </c>
      <c r="AA483" s="283">
        <v>1</v>
      </c>
      <c r="AB483" s="283">
        <v>0</v>
      </c>
      <c r="AC483" s="316">
        <v>0</v>
      </c>
      <c r="AD483" s="316">
        <v>0</v>
      </c>
      <c r="AE483" s="302">
        <f t="shared" si="59"/>
        <v>0.375</v>
      </c>
      <c r="AF483" s="310"/>
      <c r="AG483" s="17">
        <v>1</v>
      </c>
      <c r="AH483" s="310">
        <v>0.26600000000000001</v>
      </c>
      <c r="AI483" s="310">
        <v>0.26600000000000001</v>
      </c>
      <c r="AJ483" s="310">
        <v>0.26600000000000001</v>
      </c>
      <c r="AK483" s="317">
        <v>0.90100000000000002</v>
      </c>
      <c r="AL483" s="317">
        <v>0.27</v>
      </c>
      <c r="AM483" s="17">
        <f t="shared" si="60"/>
        <v>1.171</v>
      </c>
      <c r="AN483" s="283" t="s">
        <v>2074</v>
      </c>
      <c r="AO483" s="18" t="s">
        <v>2075</v>
      </c>
      <c r="AP483" s="283" t="s">
        <v>2154</v>
      </c>
    </row>
    <row r="484" spans="1:42" s="18" customFormat="1" hidden="1" x14ac:dyDescent="0.3">
      <c r="A484" s="156" t="s">
        <v>1455</v>
      </c>
      <c r="B484" s="18" t="s">
        <v>2061</v>
      </c>
      <c r="C484" s="18">
        <v>112</v>
      </c>
      <c r="D484" s="18" t="s">
        <v>2141</v>
      </c>
      <c r="E484" s="18">
        <v>1122</v>
      </c>
      <c r="F484" s="157" t="s">
        <v>2142</v>
      </c>
      <c r="G484" s="18">
        <v>112201</v>
      </c>
      <c r="H484" s="18" t="s">
        <v>2143</v>
      </c>
      <c r="K484" s="18">
        <v>11220103</v>
      </c>
      <c r="L484" s="157" t="s">
        <v>2157</v>
      </c>
      <c r="M484" s="157" t="s">
        <v>2158</v>
      </c>
      <c r="N484" s="160">
        <v>0</v>
      </c>
      <c r="O484" s="19">
        <v>0</v>
      </c>
      <c r="P484" s="19">
        <v>4</v>
      </c>
      <c r="Q484" s="19">
        <v>8</v>
      </c>
      <c r="R484" s="19">
        <v>8</v>
      </c>
      <c r="S484" s="19">
        <v>8</v>
      </c>
      <c r="T484" s="18" t="s">
        <v>2072</v>
      </c>
      <c r="U484" s="283" t="e">
        <v>#N/A</v>
      </c>
      <c r="V484" s="320" t="s">
        <v>2159</v>
      </c>
      <c r="W484" s="283">
        <v>1</v>
      </c>
      <c r="X484" s="283">
        <v>0</v>
      </c>
      <c r="Y484" s="283">
        <v>0</v>
      </c>
      <c r="Z484" s="283">
        <v>1</v>
      </c>
      <c r="AA484" s="283">
        <v>1</v>
      </c>
      <c r="AB484" s="283">
        <v>1</v>
      </c>
      <c r="AC484" s="316">
        <v>0</v>
      </c>
      <c r="AD484" s="316">
        <v>1</v>
      </c>
      <c r="AE484" s="302">
        <f t="shared" si="59"/>
        <v>0.625</v>
      </c>
      <c r="AF484" s="310">
        <v>0</v>
      </c>
      <c r="AG484" s="17">
        <v>0</v>
      </c>
      <c r="AH484" s="310">
        <v>4.17</v>
      </c>
      <c r="AI484" s="310">
        <v>4.3499999999999996</v>
      </c>
      <c r="AJ484" s="310">
        <v>5.1760000000000002</v>
      </c>
      <c r="AK484" s="317">
        <v>0.30599999999999999</v>
      </c>
      <c r="AL484" s="154">
        <v>0</v>
      </c>
      <c r="AM484" s="17">
        <f t="shared" si="60"/>
        <v>0.30599999999999999</v>
      </c>
      <c r="AN484" s="283" t="s">
        <v>2074</v>
      </c>
      <c r="AO484" s="18" t="s">
        <v>2075</v>
      </c>
      <c r="AP484" s="283" t="s">
        <v>2154</v>
      </c>
    </row>
    <row r="485" spans="1:42" s="18" customFormat="1" hidden="1" x14ac:dyDescent="0.3">
      <c r="A485" s="156" t="s">
        <v>1455</v>
      </c>
      <c r="B485" s="18" t="s">
        <v>2061</v>
      </c>
      <c r="C485" s="18">
        <v>112</v>
      </c>
      <c r="D485" s="18" t="s">
        <v>2141</v>
      </c>
      <c r="E485" s="18">
        <v>1122</v>
      </c>
      <c r="F485" s="157" t="s">
        <v>2142</v>
      </c>
      <c r="G485" s="18">
        <v>112201</v>
      </c>
      <c r="H485" s="18" t="s">
        <v>2143</v>
      </c>
      <c r="K485" s="18">
        <v>11220103</v>
      </c>
      <c r="L485" s="157" t="s">
        <v>2157</v>
      </c>
      <c r="M485" s="157"/>
      <c r="N485" s="160"/>
      <c r="O485" s="19"/>
      <c r="P485" s="19"/>
      <c r="Q485" s="19"/>
      <c r="R485" s="19"/>
      <c r="S485" s="19"/>
      <c r="U485" s="283" t="e">
        <v>#N/A</v>
      </c>
      <c r="V485" s="283" t="s">
        <v>2160</v>
      </c>
      <c r="W485" s="283"/>
      <c r="X485" s="283"/>
      <c r="Y485" s="283"/>
      <c r="Z485" s="283"/>
      <c r="AA485" s="283"/>
      <c r="AB485" s="283"/>
      <c r="AC485" s="316">
        <v>0</v>
      </c>
      <c r="AD485" s="316">
        <v>0</v>
      </c>
      <c r="AE485" s="302">
        <f t="shared" si="59"/>
        <v>0</v>
      </c>
      <c r="AF485" s="17"/>
      <c r="AG485" s="17">
        <v>0</v>
      </c>
      <c r="AH485" s="17">
        <v>0</v>
      </c>
      <c r="AI485" s="17">
        <v>0</v>
      </c>
      <c r="AJ485" s="17">
        <v>0</v>
      </c>
      <c r="AK485" s="153">
        <v>0</v>
      </c>
      <c r="AL485" s="154">
        <v>0</v>
      </c>
      <c r="AM485" s="17">
        <f t="shared" si="60"/>
        <v>0</v>
      </c>
      <c r="AN485" s="283" t="s">
        <v>2074</v>
      </c>
      <c r="AO485" s="18" t="s">
        <v>2075</v>
      </c>
      <c r="AP485" s="283" t="s">
        <v>2154</v>
      </c>
    </row>
    <row r="486" spans="1:42" s="18" customFormat="1" hidden="1" x14ac:dyDescent="0.3">
      <c r="A486" s="156" t="s">
        <v>1455</v>
      </c>
      <c r="B486" s="18" t="s">
        <v>2061</v>
      </c>
      <c r="C486" s="18">
        <v>112</v>
      </c>
      <c r="D486" s="18" t="s">
        <v>2141</v>
      </c>
      <c r="E486" s="18">
        <v>1122</v>
      </c>
      <c r="F486" s="157" t="s">
        <v>2142</v>
      </c>
      <c r="G486" s="18">
        <v>112201</v>
      </c>
      <c r="H486" s="18" t="s">
        <v>2143</v>
      </c>
      <c r="K486" s="18">
        <v>11220103</v>
      </c>
      <c r="L486" s="157" t="s">
        <v>2157</v>
      </c>
      <c r="M486" s="157"/>
      <c r="N486" s="160"/>
      <c r="O486" s="19"/>
      <c r="P486" s="19"/>
      <c r="Q486" s="19"/>
      <c r="R486" s="19"/>
      <c r="S486" s="19"/>
      <c r="U486" s="283" t="e">
        <v>#N/A</v>
      </c>
      <c r="V486" s="283" t="s">
        <v>2161</v>
      </c>
      <c r="W486" s="283"/>
      <c r="X486" s="283"/>
      <c r="Y486" s="283"/>
      <c r="Z486" s="283"/>
      <c r="AA486" s="283"/>
      <c r="AB486" s="283"/>
      <c r="AC486" s="316">
        <v>0</v>
      </c>
      <c r="AD486" s="316">
        <v>0</v>
      </c>
      <c r="AE486" s="302">
        <f t="shared" si="59"/>
        <v>0</v>
      </c>
      <c r="AF486" s="17"/>
      <c r="AG486" s="17">
        <v>0</v>
      </c>
      <c r="AH486" s="17">
        <v>0</v>
      </c>
      <c r="AI486" s="17">
        <v>0</v>
      </c>
      <c r="AJ486" s="17">
        <v>0</v>
      </c>
      <c r="AK486" s="153">
        <v>0</v>
      </c>
      <c r="AL486" s="154">
        <v>0</v>
      </c>
      <c r="AM486" s="17">
        <f t="shared" si="60"/>
        <v>0</v>
      </c>
      <c r="AN486" s="283" t="s">
        <v>2074</v>
      </c>
      <c r="AO486" s="18" t="s">
        <v>2075</v>
      </c>
      <c r="AP486" s="283" t="s">
        <v>2154</v>
      </c>
    </row>
    <row r="487" spans="1:42" s="18" customFormat="1" x14ac:dyDescent="0.3">
      <c r="A487" s="156" t="s">
        <v>1455</v>
      </c>
      <c r="B487" s="18" t="s">
        <v>2061</v>
      </c>
      <c r="C487" s="18">
        <v>112</v>
      </c>
      <c r="D487" s="18" t="s">
        <v>2141</v>
      </c>
      <c r="E487" s="18">
        <v>1122</v>
      </c>
      <c r="F487" s="157" t="s">
        <v>2142</v>
      </c>
      <c r="G487" s="18">
        <v>112201</v>
      </c>
      <c r="H487" s="18" t="s">
        <v>2143</v>
      </c>
      <c r="K487" s="18">
        <v>11220104</v>
      </c>
      <c r="L487" s="157" t="s">
        <v>2162</v>
      </c>
      <c r="M487" s="157" t="s">
        <v>2163</v>
      </c>
      <c r="N487" s="160">
        <v>97</v>
      </c>
      <c r="O487" s="19">
        <v>100</v>
      </c>
      <c r="P487" s="19">
        <v>105</v>
      </c>
      <c r="Q487" s="19">
        <v>115</v>
      </c>
      <c r="R487" s="19">
        <v>120</v>
      </c>
      <c r="S487" s="19">
        <v>122</v>
      </c>
      <c r="T487" s="18" t="s">
        <v>2072</v>
      </c>
      <c r="U487" s="283" t="e">
        <v>#N/A</v>
      </c>
      <c r="V487" s="320" t="s">
        <v>2164</v>
      </c>
      <c r="W487" s="283">
        <v>1</v>
      </c>
      <c r="X487" s="283">
        <v>0</v>
      </c>
      <c r="Y487" s="283">
        <v>0</v>
      </c>
      <c r="Z487" s="283">
        <v>1</v>
      </c>
      <c r="AA487" s="283">
        <v>1</v>
      </c>
      <c r="AB487" s="283">
        <v>1</v>
      </c>
      <c r="AC487" s="316">
        <v>1</v>
      </c>
      <c r="AD487" s="316">
        <v>1</v>
      </c>
      <c r="AE487" s="302">
        <f t="shared" si="59"/>
        <v>0.75</v>
      </c>
      <c r="AF487" s="310"/>
      <c r="AG487" s="17">
        <v>1</v>
      </c>
      <c r="AH487" s="310">
        <v>0.11</v>
      </c>
      <c r="AI487" s="310">
        <v>0.06</v>
      </c>
      <c r="AJ487" s="310">
        <v>0.06</v>
      </c>
      <c r="AK487" s="317">
        <v>0.06</v>
      </c>
      <c r="AL487" s="317">
        <v>0.01</v>
      </c>
      <c r="AM487" s="17">
        <f t="shared" si="60"/>
        <v>6.9999999999999993E-2</v>
      </c>
      <c r="AN487" s="283" t="s">
        <v>2074</v>
      </c>
      <c r="AO487" s="18" t="s">
        <v>2075</v>
      </c>
      <c r="AP487" s="283" t="s">
        <v>2154</v>
      </c>
    </row>
    <row r="488" spans="1:42" s="18" customFormat="1" x14ac:dyDescent="0.3">
      <c r="A488" s="156" t="s">
        <v>1455</v>
      </c>
      <c r="B488" s="18" t="s">
        <v>2061</v>
      </c>
      <c r="C488" s="18">
        <v>112</v>
      </c>
      <c r="D488" s="18" t="s">
        <v>2141</v>
      </c>
      <c r="E488" s="18">
        <v>1122</v>
      </c>
      <c r="F488" s="157" t="s">
        <v>2142</v>
      </c>
      <c r="G488" s="18">
        <v>112201</v>
      </c>
      <c r="H488" s="18" t="s">
        <v>2143</v>
      </c>
      <c r="K488" s="18">
        <v>11220105</v>
      </c>
      <c r="L488" s="157" t="s">
        <v>2165</v>
      </c>
      <c r="M488" s="157" t="s">
        <v>2166</v>
      </c>
      <c r="N488" s="19">
        <v>0</v>
      </c>
      <c r="O488" s="19">
        <v>10</v>
      </c>
      <c r="P488" s="19">
        <v>30</v>
      </c>
      <c r="Q488" s="19">
        <v>50</v>
      </c>
      <c r="R488" s="19">
        <v>59</v>
      </c>
      <c r="S488" s="19">
        <v>69</v>
      </c>
      <c r="T488" s="18" t="s">
        <v>2072</v>
      </c>
      <c r="U488" s="283" t="e">
        <v>#N/A</v>
      </c>
      <c r="V488" s="283" t="s">
        <v>2167</v>
      </c>
      <c r="W488" s="283">
        <v>1</v>
      </c>
      <c r="X488" s="283">
        <v>1</v>
      </c>
      <c r="Y488" s="283">
        <v>0</v>
      </c>
      <c r="Z488" s="283">
        <v>1</v>
      </c>
      <c r="AA488" s="283">
        <v>1</v>
      </c>
      <c r="AB488" s="283">
        <v>0</v>
      </c>
      <c r="AC488" s="316">
        <v>1</v>
      </c>
      <c r="AD488" s="316">
        <v>1</v>
      </c>
      <c r="AE488" s="302">
        <f t="shared" si="59"/>
        <v>0.75</v>
      </c>
      <c r="AF488" s="310"/>
      <c r="AG488" s="17">
        <v>1</v>
      </c>
      <c r="AH488" s="310">
        <v>7.19</v>
      </c>
      <c r="AI488" s="310">
        <v>8.593</v>
      </c>
      <c r="AJ488" s="310">
        <v>9.593</v>
      </c>
      <c r="AK488" s="317">
        <v>10.71</v>
      </c>
      <c r="AL488" s="317">
        <v>12.593</v>
      </c>
      <c r="AM488" s="17">
        <f t="shared" si="60"/>
        <v>23.303000000000001</v>
      </c>
      <c r="AN488" s="283" t="s">
        <v>2074</v>
      </c>
      <c r="AO488" s="18" t="s">
        <v>2075</v>
      </c>
      <c r="AP488" s="283" t="s">
        <v>2168</v>
      </c>
    </row>
    <row r="489" spans="1:42" s="18" customFormat="1" hidden="1" x14ac:dyDescent="0.3">
      <c r="A489" s="156" t="s">
        <v>1455</v>
      </c>
      <c r="B489" s="18" t="s">
        <v>2061</v>
      </c>
      <c r="C489" s="18">
        <v>112</v>
      </c>
      <c r="D489" s="18" t="s">
        <v>2141</v>
      </c>
      <c r="E489" s="18">
        <v>1122</v>
      </c>
      <c r="F489" s="157" t="s">
        <v>2142</v>
      </c>
      <c r="G489" s="18">
        <v>112201</v>
      </c>
      <c r="H489" s="18" t="s">
        <v>2143</v>
      </c>
      <c r="K489" s="18">
        <v>11220105</v>
      </c>
      <c r="L489" s="157" t="s">
        <v>2165</v>
      </c>
      <c r="M489" s="157"/>
      <c r="N489" s="19"/>
      <c r="O489" s="19"/>
      <c r="P489" s="19"/>
      <c r="Q489" s="19"/>
      <c r="R489" s="19"/>
      <c r="S489" s="19"/>
      <c r="U489" s="283" t="e">
        <v>#N/A</v>
      </c>
      <c r="V489" s="283" t="s">
        <v>2169</v>
      </c>
      <c r="W489" s="283"/>
      <c r="X489" s="283"/>
      <c r="Y489" s="283"/>
      <c r="Z489" s="283"/>
      <c r="AA489" s="283"/>
      <c r="AB489" s="283"/>
      <c r="AC489" s="316">
        <v>0</v>
      </c>
      <c r="AD489" s="316">
        <v>0</v>
      </c>
      <c r="AE489" s="302">
        <f t="shared" si="59"/>
        <v>0</v>
      </c>
      <c r="AF489" s="17"/>
      <c r="AG489" s="17">
        <v>0</v>
      </c>
      <c r="AH489" s="17">
        <v>0</v>
      </c>
      <c r="AI489" s="17">
        <v>0</v>
      </c>
      <c r="AJ489" s="17">
        <v>0</v>
      </c>
      <c r="AK489" s="153">
        <v>0</v>
      </c>
      <c r="AL489" s="154">
        <v>0</v>
      </c>
      <c r="AM489" s="17">
        <f t="shared" si="60"/>
        <v>0</v>
      </c>
      <c r="AN489" s="283" t="s">
        <v>2074</v>
      </c>
      <c r="AO489" s="18" t="s">
        <v>2075</v>
      </c>
      <c r="AP489" s="283" t="s">
        <v>2168</v>
      </c>
    </row>
    <row r="490" spans="1:42" s="18" customFormat="1" hidden="1" x14ac:dyDescent="0.3">
      <c r="A490" s="156" t="s">
        <v>1455</v>
      </c>
      <c r="B490" s="18" t="s">
        <v>2061</v>
      </c>
      <c r="C490" s="18">
        <v>112</v>
      </c>
      <c r="D490" s="18" t="s">
        <v>2141</v>
      </c>
      <c r="E490" s="18">
        <v>1122</v>
      </c>
      <c r="F490" s="157" t="s">
        <v>2142</v>
      </c>
      <c r="G490" s="18">
        <v>112201</v>
      </c>
      <c r="H490" s="18" t="s">
        <v>2143</v>
      </c>
      <c r="K490" s="18">
        <v>11220105</v>
      </c>
      <c r="L490" s="157" t="s">
        <v>2165</v>
      </c>
      <c r="M490" s="157"/>
      <c r="N490" s="19"/>
      <c r="O490" s="19"/>
      <c r="P490" s="19"/>
      <c r="Q490" s="19"/>
      <c r="R490" s="19"/>
      <c r="S490" s="19"/>
      <c r="U490" s="283" t="e">
        <v>#N/A</v>
      </c>
      <c r="V490" s="283" t="s">
        <v>2170</v>
      </c>
      <c r="W490" s="283"/>
      <c r="X490" s="283"/>
      <c r="Y490" s="283"/>
      <c r="Z490" s="283"/>
      <c r="AA490" s="283"/>
      <c r="AB490" s="283"/>
      <c r="AC490" s="316">
        <v>0</v>
      </c>
      <c r="AD490" s="316">
        <v>0</v>
      </c>
      <c r="AE490" s="302">
        <f t="shared" si="59"/>
        <v>0</v>
      </c>
      <c r="AF490" s="310"/>
      <c r="AG490" s="17">
        <v>0</v>
      </c>
      <c r="AH490" s="310">
        <v>1.8979999999999999</v>
      </c>
      <c r="AI490" s="310">
        <v>1.8979999999999999</v>
      </c>
      <c r="AJ490" s="310">
        <v>1.8979999999999999</v>
      </c>
      <c r="AK490" s="317">
        <v>1.8979999999999999</v>
      </c>
      <c r="AL490" s="317">
        <v>1.9</v>
      </c>
      <c r="AM490" s="17">
        <f t="shared" si="60"/>
        <v>3.798</v>
      </c>
      <c r="AN490" s="283" t="s">
        <v>2074</v>
      </c>
      <c r="AO490" s="18" t="s">
        <v>2075</v>
      </c>
      <c r="AP490" s="283" t="s">
        <v>2168</v>
      </c>
    </row>
    <row r="491" spans="1:42" s="18" customFormat="1" hidden="1" x14ac:dyDescent="0.3">
      <c r="A491" s="156" t="s">
        <v>1455</v>
      </c>
      <c r="B491" s="18" t="s">
        <v>2061</v>
      </c>
      <c r="C491" s="18">
        <v>112</v>
      </c>
      <c r="D491" s="18" t="s">
        <v>2141</v>
      </c>
      <c r="E491" s="18">
        <v>1122</v>
      </c>
      <c r="F491" s="157" t="s">
        <v>2142</v>
      </c>
      <c r="G491" s="18">
        <v>112201</v>
      </c>
      <c r="H491" s="18" t="s">
        <v>2143</v>
      </c>
      <c r="K491" s="18">
        <v>11220105</v>
      </c>
      <c r="L491" s="157" t="s">
        <v>2165</v>
      </c>
      <c r="M491" s="157"/>
      <c r="N491" s="19"/>
      <c r="O491" s="19"/>
      <c r="P491" s="19"/>
      <c r="Q491" s="19"/>
      <c r="R491" s="19"/>
      <c r="S491" s="19"/>
      <c r="U491" s="283" t="e">
        <v>#N/A</v>
      </c>
      <c r="V491" s="283" t="s">
        <v>2171</v>
      </c>
      <c r="W491" s="283"/>
      <c r="X491" s="283"/>
      <c r="Y491" s="283"/>
      <c r="Z491" s="283"/>
      <c r="AA491" s="283"/>
      <c r="AB491" s="283"/>
      <c r="AC491" s="316">
        <v>0</v>
      </c>
      <c r="AD491" s="316">
        <v>0</v>
      </c>
      <c r="AE491" s="302">
        <f t="shared" si="59"/>
        <v>0</v>
      </c>
      <c r="AF491" s="17"/>
      <c r="AG491" s="17">
        <v>0</v>
      </c>
      <c r="AH491" s="17">
        <v>0</v>
      </c>
      <c r="AI491" s="17">
        <v>0</v>
      </c>
      <c r="AJ491" s="17">
        <v>0</v>
      </c>
      <c r="AK491" s="153">
        <v>0</v>
      </c>
      <c r="AL491" s="154">
        <v>0</v>
      </c>
      <c r="AM491" s="17">
        <f t="shared" si="60"/>
        <v>0</v>
      </c>
      <c r="AN491" s="283" t="s">
        <v>2074</v>
      </c>
      <c r="AO491" s="18" t="s">
        <v>2075</v>
      </c>
      <c r="AP491" s="283" t="s">
        <v>2172</v>
      </c>
    </row>
    <row r="492" spans="1:42" s="18" customFormat="1" hidden="1" x14ac:dyDescent="0.3">
      <c r="A492" s="156" t="s">
        <v>1455</v>
      </c>
      <c r="B492" s="18" t="s">
        <v>2061</v>
      </c>
      <c r="C492" s="18">
        <v>112</v>
      </c>
      <c r="D492" s="18" t="s">
        <v>2141</v>
      </c>
      <c r="E492" s="18">
        <v>1122</v>
      </c>
      <c r="F492" s="157" t="s">
        <v>2142</v>
      </c>
      <c r="G492" s="18">
        <v>112201</v>
      </c>
      <c r="H492" s="18" t="s">
        <v>2143</v>
      </c>
      <c r="K492" s="18">
        <v>11220105</v>
      </c>
      <c r="L492" s="157" t="s">
        <v>2165</v>
      </c>
      <c r="M492" s="157"/>
      <c r="N492" s="19"/>
      <c r="O492" s="19"/>
      <c r="P492" s="19"/>
      <c r="Q492" s="19"/>
      <c r="R492" s="19"/>
      <c r="S492" s="19"/>
      <c r="U492" s="283" t="e">
        <v>#N/A</v>
      </c>
      <c r="V492" s="321" t="s">
        <v>2173</v>
      </c>
      <c r="W492" s="283"/>
      <c r="X492" s="283"/>
      <c r="Y492" s="283"/>
      <c r="Z492" s="283"/>
      <c r="AA492" s="283"/>
      <c r="AB492" s="283"/>
      <c r="AC492" s="316">
        <v>0</v>
      </c>
      <c r="AD492" s="316">
        <v>0</v>
      </c>
      <c r="AE492" s="302">
        <f t="shared" si="59"/>
        <v>0</v>
      </c>
      <c r="AF492" s="310"/>
      <c r="AG492" s="17">
        <v>0</v>
      </c>
      <c r="AH492" s="310">
        <v>4.4000000000000004</v>
      </c>
      <c r="AI492" s="310">
        <v>4.5999999999999996</v>
      </c>
      <c r="AJ492" s="310">
        <v>4.5999999999999996</v>
      </c>
      <c r="AK492" s="317">
        <v>4.5999999999999996</v>
      </c>
      <c r="AL492" s="317">
        <v>4.5999999999999996</v>
      </c>
      <c r="AM492" s="17">
        <f t="shared" si="60"/>
        <v>9.1999999999999993</v>
      </c>
      <c r="AN492" s="283" t="s">
        <v>2074</v>
      </c>
      <c r="AO492" s="18" t="s">
        <v>2075</v>
      </c>
      <c r="AP492" s="283" t="s">
        <v>119</v>
      </c>
    </row>
    <row r="493" spans="1:42" s="18" customFormat="1" hidden="1" x14ac:dyDescent="0.3">
      <c r="A493" s="156" t="s">
        <v>1455</v>
      </c>
      <c r="B493" s="18" t="s">
        <v>2061</v>
      </c>
      <c r="C493" s="18">
        <v>112</v>
      </c>
      <c r="D493" s="18" t="s">
        <v>2141</v>
      </c>
      <c r="E493" s="18">
        <v>1122</v>
      </c>
      <c r="F493" s="157" t="s">
        <v>2142</v>
      </c>
      <c r="G493" s="18">
        <v>112201</v>
      </c>
      <c r="H493" s="18" t="s">
        <v>2143</v>
      </c>
      <c r="K493" s="18">
        <v>11220106</v>
      </c>
      <c r="L493" s="157" t="s">
        <v>2174</v>
      </c>
      <c r="M493" s="157" t="s">
        <v>2175</v>
      </c>
      <c r="N493" s="19">
        <v>0</v>
      </c>
      <c r="O493" s="19">
        <v>0</v>
      </c>
      <c r="P493" s="19">
        <v>1</v>
      </c>
      <c r="Q493" s="19">
        <v>1</v>
      </c>
      <c r="R493" s="19">
        <v>1</v>
      </c>
      <c r="S493" s="19">
        <v>1</v>
      </c>
      <c r="T493" s="18" t="s">
        <v>2087</v>
      </c>
      <c r="U493" s="283" t="e">
        <v>#N/A</v>
      </c>
      <c r="V493" s="283" t="s">
        <v>2176</v>
      </c>
      <c r="W493" s="283">
        <v>1</v>
      </c>
      <c r="X493" s="283">
        <v>0</v>
      </c>
      <c r="Y493" s="283">
        <v>0</v>
      </c>
      <c r="Z493" s="283">
        <v>1</v>
      </c>
      <c r="AA493" s="283">
        <v>1</v>
      </c>
      <c r="AB493" s="283">
        <v>0</v>
      </c>
      <c r="AC493" s="316">
        <v>1</v>
      </c>
      <c r="AD493" s="316">
        <v>1</v>
      </c>
      <c r="AE493" s="302">
        <f t="shared" si="59"/>
        <v>0.625</v>
      </c>
      <c r="AF493" s="310"/>
      <c r="AG493" s="17">
        <v>0</v>
      </c>
      <c r="AH493" s="310">
        <v>0</v>
      </c>
      <c r="AI493" s="310">
        <v>0.6</v>
      </c>
      <c r="AJ493" s="310">
        <v>0.6</v>
      </c>
      <c r="AK493" s="317">
        <v>0</v>
      </c>
      <c r="AL493" s="317" t="s">
        <v>2089</v>
      </c>
      <c r="AM493" s="17">
        <f t="shared" si="60"/>
        <v>0</v>
      </c>
      <c r="AN493" s="283" t="s">
        <v>239</v>
      </c>
      <c r="AO493" s="18" t="s">
        <v>241</v>
      </c>
      <c r="AP493" s="283" t="s">
        <v>101</v>
      </c>
    </row>
    <row r="494" spans="1:42" s="18" customFormat="1" hidden="1" x14ac:dyDescent="0.3">
      <c r="A494" s="156" t="s">
        <v>1455</v>
      </c>
      <c r="B494" s="18" t="s">
        <v>2061</v>
      </c>
      <c r="C494" s="18">
        <v>112</v>
      </c>
      <c r="D494" s="18" t="s">
        <v>2141</v>
      </c>
      <c r="E494" s="18">
        <v>1122</v>
      </c>
      <c r="F494" s="157" t="s">
        <v>2142</v>
      </c>
      <c r="G494" s="18">
        <v>112201</v>
      </c>
      <c r="H494" s="18" t="s">
        <v>2143</v>
      </c>
      <c r="K494" s="18">
        <v>11220107</v>
      </c>
      <c r="L494" s="157" t="s">
        <v>2177</v>
      </c>
      <c r="M494" s="157" t="s">
        <v>2178</v>
      </c>
      <c r="N494" s="19">
        <v>15</v>
      </c>
      <c r="O494" s="19">
        <v>60</v>
      </c>
      <c r="P494" s="19">
        <v>70</v>
      </c>
      <c r="Q494" s="19">
        <v>80</v>
      </c>
      <c r="R494" s="19">
        <v>90</v>
      </c>
      <c r="S494" s="19">
        <v>100</v>
      </c>
      <c r="T494" s="18" t="s">
        <v>2072</v>
      </c>
      <c r="U494" s="283" t="e">
        <v>#N/A</v>
      </c>
      <c r="V494" s="283" t="s">
        <v>2179</v>
      </c>
      <c r="W494" s="283">
        <v>1</v>
      </c>
      <c r="X494" s="283">
        <v>0</v>
      </c>
      <c r="Y494" s="283">
        <v>0</v>
      </c>
      <c r="Z494" s="283">
        <v>1</v>
      </c>
      <c r="AA494" s="283">
        <v>1</v>
      </c>
      <c r="AB494" s="283">
        <v>1</v>
      </c>
      <c r="AC494" s="316">
        <v>0</v>
      </c>
      <c r="AD494" s="316">
        <v>1</v>
      </c>
      <c r="AE494" s="302">
        <f t="shared" si="59"/>
        <v>0.625</v>
      </c>
      <c r="AF494" s="310"/>
      <c r="AG494" s="17">
        <v>1</v>
      </c>
      <c r="AH494" s="310">
        <v>4.7839999999999998</v>
      </c>
      <c r="AI494" s="310">
        <v>4.7839999999999998</v>
      </c>
      <c r="AJ494" s="310">
        <v>4.7839999999999998</v>
      </c>
      <c r="AK494" s="317">
        <v>1.2729999999999999</v>
      </c>
      <c r="AL494" s="317">
        <v>4.78</v>
      </c>
      <c r="AM494" s="17">
        <f t="shared" si="60"/>
        <v>6.0529999999999999</v>
      </c>
      <c r="AN494" s="283" t="s">
        <v>2074</v>
      </c>
      <c r="AO494" s="18" t="s">
        <v>2075</v>
      </c>
      <c r="AP494" s="283" t="s">
        <v>119</v>
      </c>
    </row>
    <row r="495" spans="1:42" s="18" customFormat="1" hidden="1" x14ac:dyDescent="0.3">
      <c r="A495" s="156" t="s">
        <v>1455</v>
      </c>
      <c r="B495" s="18" t="s">
        <v>2061</v>
      </c>
      <c r="C495" s="18">
        <v>112</v>
      </c>
      <c r="D495" s="18" t="s">
        <v>2141</v>
      </c>
      <c r="E495" s="18">
        <v>1122</v>
      </c>
      <c r="F495" s="157" t="s">
        <v>2142</v>
      </c>
      <c r="G495" s="18">
        <v>112201</v>
      </c>
      <c r="H495" s="18" t="s">
        <v>2143</v>
      </c>
      <c r="K495" s="18">
        <v>11220108</v>
      </c>
      <c r="L495" s="161" t="s">
        <v>2180</v>
      </c>
      <c r="M495" s="157" t="s">
        <v>2181</v>
      </c>
      <c r="N495" s="19">
        <v>6</v>
      </c>
      <c r="O495" s="19">
        <v>8</v>
      </c>
      <c r="P495" s="19">
        <v>15</v>
      </c>
      <c r="Q495" s="19">
        <v>18</v>
      </c>
      <c r="R495" s="19">
        <v>20</v>
      </c>
      <c r="S495" s="19">
        <v>24</v>
      </c>
      <c r="T495" s="18" t="s">
        <v>2072</v>
      </c>
      <c r="U495" s="283" t="e">
        <v>#N/A</v>
      </c>
      <c r="V495" s="322" t="s">
        <v>2182</v>
      </c>
      <c r="W495" s="283">
        <v>1</v>
      </c>
      <c r="X495" s="283">
        <v>0</v>
      </c>
      <c r="Y495" s="283">
        <v>0</v>
      </c>
      <c r="Z495" s="283">
        <v>1</v>
      </c>
      <c r="AA495" s="283">
        <v>0</v>
      </c>
      <c r="AB495" s="283">
        <v>0</v>
      </c>
      <c r="AC495" s="316">
        <v>0</v>
      </c>
      <c r="AD495" s="316">
        <v>1</v>
      </c>
      <c r="AE495" s="302">
        <f t="shared" si="59"/>
        <v>0.375</v>
      </c>
      <c r="AF495" s="310"/>
      <c r="AG495" s="17">
        <v>0</v>
      </c>
      <c r="AH495" s="310">
        <v>2.9990000000000001</v>
      </c>
      <c r="AI495" s="310">
        <v>2.9990000000000001</v>
      </c>
      <c r="AJ495" s="310">
        <v>2.9990000000000001</v>
      </c>
      <c r="AK495" s="317">
        <v>0.02</v>
      </c>
      <c r="AL495" s="317">
        <v>0.01</v>
      </c>
      <c r="AM495" s="17">
        <f t="shared" si="60"/>
        <v>0.03</v>
      </c>
      <c r="AN495" s="283" t="s">
        <v>2074</v>
      </c>
      <c r="AO495" s="18" t="s">
        <v>2075</v>
      </c>
      <c r="AP495" s="283" t="s">
        <v>119</v>
      </c>
    </row>
    <row r="496" spans="1:42" s="18" customFormat="1" hidden="1" x14ac:dyDescent="0.3">
      <c r="A496" s="156" t="s">
        <v>1455</v>
      </c>
      <c r="B496" s="18" t="s">
        <v>2061</v>
      </c>
      <c r="C496" s="18">
        <v>112</v>
      </c>
      <c r="D496" s="18" t="s">
        <v>2141</v>
      </c>
      <c r="E496" s="18">
        <v>1122</v>
      </c>
      <c r="F496" s="157" t="s">
        <v>2142</v>
      </c>
      <c r="G496" s="18">
        <v>112201</v>
      </c>
      <c r="H496" s="18" t="s">
        <v>2143</v>
      </c>
      <c r="K496" s="18">
        <v>11220109</v>
      </c>
      <c r="L496" s="161" t="s">
        <v>2183</v>
      </c>
      <c r="M496" s="157" t="s">
        <v>2184</v>
      </c>
      <c r="N496" s="19">
        <v>1</v>
      </c>
      <c r="O496" s="19">
        <v>14</v>
      </c>
      <c r="P496" s="19">
        <v>19</v>
      </c>
      <c r="Q496" s="19">
        <v>24</v>
      </c>
      <c r="R496" s="19">
        <v>30</v>
      </c>
      <c r="S496" s="19">
        <v>34</v>
      </c>
      <c r="T496" s="18" t="s">
        <v>2072</v>
      </c>
      <c r="U496" s="283" t="e">
        <v>#N/A</v>
      </c>
      <c r="V496" s="322" t="s">
        <v>2185</v>
      </c>
      <c r="W496" s="283">
        <v>1</v>
      </c>
      <c r="X496" s="283">
        <v>0</v>
      </c>
      <c r="Y496" s="283">
        <v>0</v>
      </c>
      <c r="Z496" s="283">
        <v>1</v>
      </c>
      <c r="AA496" s="283">
        <v>0</v>
      </c>
      <c r="AB496" s="283">
        <v>0</v>
      </c>
      <c r="AC496" s="316">
        <v>0</v>
      </c>
      <c r="AD496" s="316">
        <v>1</v>
      </c>
      <c r="AE496" s="302">
        <f t="shared" si="59"/>
        <v>0.375</v>
      </c>
      <c r="AF496" s="310"/>
      <c r="AG496" s="17">
        <v>1</v>
      </c>
      <c r="AH496" s="310">
        <v>9.8800000000000008</v>
      </c>
      <c r="AI496" s="310">
        <v>9.8800000000000008</v>
      </c>
      <c r="AJ496" s="310">
        <v>9.8800000000000008</v>
      </c>
      <c r="AK496" s="317">
        <v>0.501</v>
      </c>
      <c r="AL496" s="317">
        <v>2.1999999999999999E-2</v>
      </c>
      <c r="AM496" s="17">
        <f t="shared" si="60"/>
        <v>0.52300000000000002</v>
      </c>
      <c r="AN496" s="283" t="s">
        <v>2074</v>
      </c>
      <c r="AO496" s="18" t="s">
        <v>2075</v>
      </c>
      <c r="AP496" s="283" t="s">
        <v>119</v>
      </c>
    </row>
    <row r="497" spans="1:42" s="18" customFormat="1" hidden="1" x14ac:dyDescent="0.3">
      <c r="A497" s="156" t="s">
        <v>1455</v>
      </c>
      <c r="B497" s="18" t="s">
        <v>2061</v>
      </c>
      <c r="C497" s="18">
        <v>112</v>
      </c>
      <c r="D497" s="18" t="s">
        <v>2141</v>
      </c>
      <c r="E497" s="18">
        <v>1122</v>
      </c>
      <c r="F497" s="157" t="s">
        <v>2142</v>
      </c>
      <c r="G497" s="18">
        <v>112201</v>
      </c>
      <c r="H497" s="18" t="s">
        <v>2143</v>
      </c>
      <c r="K497" s="18">
        <v>11220110</v>
      </c>
      <c r="L497" s="161" t="s">
        <v>2186</v>
      </c>
      <c r="M497" s="157" t="s">
        <v>2187</v>
      </c>
      <c r="N497" s="19">
        <v>0</v>
      </c>
      <c r="O497" s="19"/>
      <c r="P497" s="19">
        <v>1</v>
      </c>
      <c r="Q497" s="19"/>
      <c r="R497" s="19"/>
      <c r="S497" s="19"/>
      <c r="T497" s="18" t="s">
        <v>2087</v>
      </c>
      <c r="U497" s="283" t="e">
        <v>#N/A</v>
      </c>
      <c r="V497" s="283" t="s">
        <v>2188</v>
      </c>
      <c r="W497" s="283">
        <v>1</v>
      </c>
      <c r="X497" s="283">
        <v>0</v>
      </c>
      <c r="Y497" s="283">
        <v>0</v>
      </c>
      <c r="Z497" s="283">
        <v>1</v>
      </c>
      <c r="AA497" s="283">
        <v>1</v>
      </c>
      <c r="AB497" s="283">
        <v>0</v>
      </c>
      <c r="AC497" s="316">
        <v>1</v>
      </c>
      <c r="AD497" s="316">
        <v>1</v>
      </c>
      <c r="AE497" s="302">
        <f t="shared" si="59"/>
        <v>0.625</v>
      </c>
      <c r="AF497" s="310"/>
      <c r="AG497" s="17">
        <v>0</v>
      </c>
      <c r="AH497" s="310">
        <v>0.5</v>
      </c>
      <c r="AI497" s="310">
        <v>0.75</v>
      </c>
      <c r="AJ497" s="310">
        <v>0.2</v>
      </c>
      <c r="AK497" s="317">
        <v>0.75</v>
      </c>
      <c r="AL497" s="317">
        <v>0.3</v>
      </c>
      <c r="AM497" s="17">
        <f t="shared" si="60"/>
        <v>1.05</v>
      </c>
      <c r="AN497" s="283" t="s">
        <v>239</v>
      </c>
      <c r="AO497" s="18" t="s">
        <v>241</v>
      </c>
      <c r="AP497" s="283" t="s">
        <v>119</v>
      </c>
    </row>
    <row r="498" spans="1:42" s="18" customFormat="1" hidden="1" x14ac:dyDescent="0.3">
      <c r="A498" s="156" t="s">
        <v>1455</v>
      </c>
      <c r="B498" s="18" t="s">
        <v>2061</v>
      </c>
      <c r="C498" s="18">
        <v>112</v>
      </c>
      <c r="D498" s="18" t="s">
        <v>2141</v>
      </c>
      <c r="E498" s="18">
        <v>1122</v>
      </c>
      <c r="F498" s="157" t="s">
        <v>2142</v>
      </c>
      <c r="G498" s="18">
        <v>112202</v>
      </c>
      <c r="H498" s="157" t="s">
        <v>2189</v>
      </c>
      <c r="I498" s="157"/>
      <c r="J498" s="157"/>
      <c r="K498" s="18">
        <v>11220201</v>
      </c>
      <c r="L498" s="157" t="s">
        <v>2190</v>
      </c>
      <c r="M498" s="157" t="s">
        <v>2191</v>
      </c>
      <c r="N498" s="19">
        <v>31</v>
      </c>
      <c r="O498" s="19">
        <v>46</v>
      </c>
      <c r="P498" s="19">
        <v>61</v>
      </c>
      <c r="Q498" s="19">
        <v>76</v>
      </c>
      <c r="R498" s="19">
        <v>91</v>
      </c>
      <c r="S498" s="19">
        <v>106</v>
      </c>
      <c r="T498" s="18" t="s">
        <v>2072</v>
      </c>
      <c r="U498" s="283" t="e">
        <v>#N/A</v>
      </c>
      <c r="V498" s="283" t="s">
        <v>2192</v>
      </c>
      <c r="W498" s="283">
        <v>1</v>
      </c>
      <c r="X498" s="283">
        <v>0</v>
      </c>
      <c r="Y498" s="283">
        <v>0</v>
      </c>
      <c r="Z498" s="283">
        <v>1</v>
      </c>
      <c r="AA498" s="283">
        <v>1</v>
      </c>
      <c r="AB498" s="283">
        <v>0</v>
      </c>
      <c r="AC498" s="316">
        <v>1</v>
      </c>
      <c r="AD498" s="316">
        <v>1</v>
      </c>
      <c r="AE498" s="302">
        <f t="shared" si="59"/>
        <v>0.625</v>
      </c>
      <c r="AF498" s="310"/>
      <c r="AG498" s="17">
        <v>1</v>
      </c>
      <c r="AH498" s="310">
        <v>0.5</v>
      </c>
      <c r="AI498" s="310">
        <v>0.5</v>
      </c>
      <c r="AJ498" s="310">
        <v>0.5</v>
      </c>
      <c r="AK498" s="317">
        <v>0.1</v>
      </c>
      <c r="AL498" s="317">
        <v>1.05</v>
      </c>
      <c r="AM498" s="17">
        <f t="shared" si="60"/>
        <v>1.1500000000000001</v>
      </c>
      <c r="AN498" s="283" t="s">
        <v>2074</v>
      </c>
      <c r="AO498" s="18" t="s">
        <v>2075</v>
      </c>
      <c r="AP498" s="283" t="s">
        <v>2193</v>
      </c>
    </row>
    <row r="499" spans="1:42" s="18" customFormat="1" hidden="1" x14ac:dyDescent="0.3">
      <c r="A499" s="156" t="s">
        <v>1455</v>
      </c>
      <c r="B499" s="18" t="s">
        <v>2061</v>
      </c>
      <c r="C499" s="18">
        <v>112</v>
      </c>
      <c r="D499" s="18" t="s">
        <v>2141</v>
      </c>
      <c r="E499" s="18">
        <v>1122</v>
      </c>
      <c r="F499" s="157" t="s">
        <v>2142</v>
      </c>
      <c r="G499" s="18">
        <v>112202</v>
      </c>
      <c r="H499" s="157" t="s">
        <v>2189</v>
      </c>
      <c r="I499" s="157"/>
      <c r="J499" s="157"/>
      <c r="K499" s="18">
        <v>11220202</v>
      </c>
      <c r="L499" s="157" t="s">
        <v>2194</v>
      </c>
      <c r="M499" s="157" t="s">
        <v>2195</v>
      </c>
      <c r="N499" s="19">
        <v>0</v>
      </c>
      <c r="O499" s="19">
        <v>1</v>
      </c>
      <c r="P499" s="19" t="s">
        <v>271</v>
      </c>
      <c r="Q499" s="19" t="s">
        <v>271</v>
      </c>
      <c r="R499" s="19" t="s">
        <v>271</v>
      </c>
      <c r="S499" s="19" t="s">
        <v>271</v>
      </c>
      <c r="T499" s="18" t="s">
        <v>2196</v>
      </c>
      <c r="U499" s="283" t="e">
        <v>#N/A</v>
      </c>
      <c r="V499" s="309" t="s">
        <v>2197</v>
      </c>
      <c r="W499" s="283">
        <v>1</v>
      </c>
      <c r="X499" s="283">
        <v>0</v>
      </c>
      <c r="Y499" s="283">
        <v>0</v>
      </c>
      <c r="Z499" s="283">
        <v>1</v>
      </c>
      <c r="AA499" s="283">
        <v>1</v>
      </c>
      <c r="AB499" s="283">
        <v>0</v>
      </c>
      <c r="AC499" s="316">
        <v>0</v>
      </c>
      <c r="AD499" s="316">
        <v>1</v>
      </c>
      <c r="AE499" s="302">
        <f t="shared" si="59"/>
        <v>0.5</v>
      </c>
      <c r="AF499" s="310"/>
      <c r="AG499" s="17">
        <v>0</v>
      </c>
      <c r="AH499" s="310">
        <v>0.152</v>
      </c>
      <c r="AI499" s="310">
        <v>0.152</v>
      </c>
      <c r="AJ499" s="310">
        <v>0.152</v>
      </c>
      <c r="AK499" s="317"/>
      <c r="AL499" s="317"/>
      <c r="AM499" s="17">
        <f t="shared" si="60"/>
        <v>0</v>
      </c>
      <c r="AN499" s="10" t="s">
        <v>239</v>
      </c>
      <c r="AO499" s="18" t="s">
        <v>241</v>
      </c>
      <c r="AP499" s="283" t="s">
        <v>2193</v>
      </c>
    </row>
    <row r="500" spans="1:42" s="18" customFormat="1" hidden="1" x14ac:dyDescent="0.3">
      <c r="A500" s="156" t="s">
        <v>1455</v>
      </c>
      <c r="B500" s="18" t="s">
        <v>2061</v>
      </c>
      <c r="C500" s="18">
        <v>112</v>
      </c>
      <c r="D500" s="18" t="s">
        <v>2141</v>
      </c>
      <c r="E500" s="18">
        <v>1122</v>
      </c>
      <c r="F500" s="157" t="s">
        <v>2142</v>
      </c>
      <c r="G500" s="18">
        <v>112202</v>
      </c>
      <c r="H500" s="157" t="s">
        <v>2189</v>
      </c>
      <c r="I500" s="157"/>
      <c r="J500" s="157"/>
      <c r="K500" s="18">
        <v>11220202</v>
      </c>
      <c r="L500" s="157" t="s">
        <v>2194</v>
      </c>
      <c r="M500" s="157"/>
      <c r="N500" s="19"/>
      <c r="O500" s="19"/>
      <c r="P500" s="19"/>
      <c r="Q500" s="19"/>
      <c r="R500" s="19"/>
      <c r="S500" s="19"/>
      <c r="T500" s="18" t="s">
        <v>2196</v>
      </c>
      <c r="U500" s="283" t="e">
        <v>#N/A</v>
      </c>
      <c r="V500" s="283" t="s">
        <v>2198</v>
      </c>
      <c r="W500" s="283">
        <v>1</v>
      </c>
      <c r="X500" s="283">
        <v>0</v>
      </c>
      <c r="Y500" s="283">
        <v>0</v>
      </c>
      <c r="Z500" s="283">
        <v>1</v>
      </c>
      <c r="AA500" s="283">
        <v>1</v>
      </c>
      <c r="AB500" s="283">
        <v>0</v>
      </c>
      <c r="AC500" s="316">
        <v>0</v>
      </c>
      <c r="AD500" s="316">
        <v>1</v>
      </c>
      <c r="AE500" s="302">
        <f t="shared" si="59"/>
        <v>0.5</v>
      </c>
      <c r="AF500" s="17"/>
      <c r="AG500" s="17">
        <v>0</v>
      </c>
      <c r="AH500" s="17">
        <v>0</v>
      </c>
      <c r="AI500" s="17">
        <v>0</v>
      </c>
      <c r="AJ500" s="17">
        <v>0</v>
      </c>
      <c r="AK500" s="153">
        <v>0</v>
      </c>
      <c r="AL500" s="154">
        <v>0</v>
      </c>
      <c r="AM500" s="17">
        <f t="shared" si="60"/>
        <v>0</v>
      </c>
      <c r="AN500" s="283" t="s">
        <v>239</v>
      </c>
      <c r="AO500" s="18" t="s">
        <v>241</v>
      </c>
      <c r="AP500" s="283" t="s">
        <v>2193</v>
      </c>
    </row>
    <row r="501" spans="1:42" s="18" customFormat="1" hidden="1" x14ac:dyDescent="0.3">
      <c r="A501" s="156" t="s">
        <v>1455</v>
      </c>
      <c r="B501" s="18" t="s">
        <v>2061</v>
      </c>
      <c r="C501" s="18">
        <v>112</v>
      </c>
      <c r="D501" s="18" t="s">
        <v>2141</v>
      </c>
      <c r="E501" s="18">
        <v>1122</v>
      </c>
      <c r="F501" s="157" t="s">
        <v>2142</v>
      </c>
      <c r="G501" s="18">
        <v>112202</v>
      </c>
      <c r="H501" s="157" t="s">
        <v>2189</v>
      </c>
      <c r="I501" s="157"/>
      <c r="J501" s="157"/>
      <c r="K501" s="18">
        <v>11220203</v>
      </c>
      <c r="L501" s="157" t="s">
        <v>2199</v>
      </c>
      <c r="M501" s="157" t="s">
        <v>2200</v>
      </c>
      <c r="N501" s="160">
        <v>4</v>
      </c>
      <c r="O501" s="160" t="s">
        <v>271</v>
      </c>
      <c r="P501" s="160">
        <v>6</v>
      </c>
      <c r="Q501" s="160">
        <v>10</v>
      </c>
      <c r="R501" s="160" t="s">
        <v>271</v>
      </c>
      <c r="S501" s="160" t="s">
        <v>271</v>
      </c>
      <c r="T501" s="18" t="s">
        <v>2072</v>
      </c>
      <c r="U501" s="283" t="e">
        <v>#N/A</v>
      </c>
      <c r="V501" s="283" t="s">
        <v>2201</v>
      </c>
      <c r="W501" s="283">
        <v>1</v>
      </c>
      <c r="X501" s="283">
        <v>0</v>
      </c>
      <c r="Y501" s="283">
        <v>0</v>
      </c>
      <c r="Z501" s="283">
        <v>1</v>
      </c>
      <c r="AA501" s="283">
        <v>1</v>
      </c>
      <c r="AB501" s="283">
        <v>1</v>
      </c>
      <c r="AC501" s="316">
        <v>0</v>
      </c>
      <c r="AD501" s="316">
        <v>1</v>
      </c>
      <c r="AE501" s="302">
        <f t="shared" si="59"/>
        <v>0.625</v>
      </c>
      <c r="AF501" s="310"/>
      <c r="AG501" s="17">
        <v>1</v>
      </c>
      <c r="AH501" s="310">
        <v>0.98699999999999999</v>
      </c>
      <c r="AI501" s="310">
        <v>0.98699999999999999</v>
      </c>
      <c r="AJ501" s="310">
        <v>0.98699999999999999</v>
      </c>
      <c r="AK501" s="317">
        <v>1.73</v>
      </c>
      <c r="AL501" s="317">
        <v>1.99</v>
      </c>
      <c r="AM501" s="17">
        <f t="shared" si="60"/>
        <v>3.7199999999999998</v>
      </c>
      <c r="AN501" s="283" t="s">
        <v>2074</v>
      </c>
      <c r="AO501" s="18" t="s">
        <v>2075</v>
      </c>
      <c r="AP501" s="283" t="s">
        <v>2193</v>
      </c>
    </row>
    <row r="502" spans="1:42" s="18" customFormat="1" hidden="1" x14ac:dyDescent="0.3">
      <c r="A502" s="156" t="s">
        <v>1455</v>
      </c>
      <c r="B502" s="18" t="s">
        <v>2061</v>
      </c>
      <c r="C502" s="18">
        <v>112</v>
      </c>
      <c r="D502" s="18" t="s">
        <v>2141</v>
      </c>
      <c r="E502" s="18">
        <v>1122</v>
      </c>
      <c r="F502" s="157" t="s">
        <v>2142</v>
      </c>
      <c r="G502" s="18">
        <v>112202</v>
      </c>
      <c r="H502" s="157" t="s">
        <v>2189</v>
      </c>
      <c r="I502" s="157"/>
      <c r="J502" s="157"/>
      <c r="K502" s="18">
        <v>11220203</v>
      </c>
      <c r="L502" s="157" t="s">
        <v>2199</v>
      </c>
      <c r="M502" s="157" t="s">
        <v>2202</v>
      </c>
      <c r="N502" s="160"/>
      <c r="O502" s="160">
        <v>50</v>
      </c>
      <c r="P502" s="160">
        <v>70</v>
      </c>
      <c r="Q502" s="160">
        <v>75</v>
      </c>
      <c r="R502" s="160">
        <v>80</v>
      </c>
      <c r="S502" s="160">
        <v>90</v>
      </c>
      <c r="T502" s="18" t="s">
        <v>2068</v>
      </c>
      <c r="U502" s="283" t="e">
        <v>#N/A</v>
      </c>
      <c r="V502" s="283" t="s">
        <v>2203</v>
      </c>
      <c r="W502" s="283">
        <v>1</v>
      </c>
      <c r="X502" s="283">
        <v>0</v>
      </c>
      <c r="Y502" s="283">
        <v>0</v>
      </c>
      <c r="Z502" s="283">
        <v>1</v>
      </c>
      <c r="AA502" s="283">
        <v>1</v>
      </c>
      <c r="AB502" s="283">
        <v>1</v>
      </c>
      <c r="AC502" s="316">
        <v>0</v>
      </c>
      <c r="AD502" s="316">
        <v>1</v>
      </c>
      <c r="AE502" s="302">
        <f t="shared" si="59"/>
        <v>0.625</v>
      </c>
      <c r="AF502" s="310"/>
      <c r="AG502" s="17">
        <v>0</v>
      </c>
      <c r="AH502" s="310">
        <v>2.5</v>
      </c>
      <c r="AI502" s="310">
        <v>3.5</v>
      </c>
      <c r="AJ502" s="310">
        <v>4.5</v>
      </c>
      <c r="AK502" s="317">
        <v>3.5</v>
      </c>
      <c r="AL502" s="317">
        <v>3</v>
      </c>
      <c r="AM502" s="17">
        <f t="shared" si="60"/>
        <v>6.5</v>
      </c>
      <c r="AN502" s="283" t="s">
        <v>2084</v>
      </c>
      <c r="AO502" s="18" t="s">
        <v>241</v>
      </c>
      <c r="AP502" s="283" t="s">
        <v>2193</v>
      </c>
    </row>
    <row r="503" spans="1:42" s="10" customFormat="1" hidden="1" x14ac:dyDescent="0.3">
      <c r="A503" s="156" t="s">
        <v>1455</v>
      </c>
      <c r="B503" s="18" t="s">
        <v>2061</v>
      </c>
      <c r="C503" s="18">
        <v>112</v>
      </c>
      <c r="D503" s="18" t="s">
        <v>2141</v>
      </c>
      <c r="E503" s="18">
        <v>1122</v>
      </c>
      <c r="F503" s="157" t="s">
        <v>2142</v>
      </c>
      <c r="G503" s="18">
        <v>112202</v>
      </c>
      <c r="H503" s="157" t="s">
        <v>2189</v>
      </c>
      <c r="I503" s="157"/>
      <c r="J503" s="157"/>
      <c r="K503" s="18">
        <v>11220203</v>
      </c>
      <c r="L503" s="157" t="s">
        <v>2199</v>
      </c>
      <c r="M503" s="10" t="s">
        <v>2204</v>
      </c>
      <c r="N503" s="160"/>
      <c r="O503" s="19">
        <v>15</v>
      </c>
      <c r="P503" s="19">
        <v>20</v>
      </c>
      <c r="Q503" s="19">
        <v>25</v>
      </c>
      <c r="R503" s="19">
        <v>30</v>
      </c>
      <c r="S503" s="19">
        <v>35</v>
      </c>
      <c r="T503" s="10" t="s">
        <v>2072</v>
      </c>
      <c r="U503" s="283" t="e">
        <v>#N/A</v>
      </c>
      <c r="V503" s="322" t="s">
        <v>2205</v>
      </c>
      <c r="W503" s="283">
        <v>1</v>
      </c>
      <c r="X503" s="283">
        <v>0</v>
      </c>
      <c r="Y503" s="283">
        <v>0</v>
      </c>
      <c r="Z503" s="283">
        <v>1</v>
      </c>
      <c r="AA503" s="283">
        <v>0</v>
      </c>
      <c r="AB503" s="283">
        <v>0</v>
      </c>
      <c r="AC503" s="316">
        <v>0</v>
      </c>
      <c r="AD503" s="316">
        <v>1</v>
      </c>
      <c r="AE503" s="302">
        <f t="shared" si="59"/>
        <v>0.375</v>
      </c>
      <c r="AF503" s="310"/>
      <c r="AG503" s="17">
        <v>1</v>
      </c>
      <c r="AH503" s="310">
        <v>0.06</v>
      </c>
      <c r="AI503" s="310">
        <v>0.06</v>
      </c>
      <c r="AJ503" s="310">
        <v>0.06</v>
      </c>
      <c r="AK503" s="317">
        <v>0.06</v>
      </c>
      <c r="AL503" s="317">
        <v>0.06</v>
      </c>
      <c r="AM503" s="17">
        <f t="shared" si="60"/>
        <v>0.12</v>
      </c>
      <c r="AN503" s="283" t="s">
        <v>2074</v>
      </c>
      <c r="AO503" s="18" t="s">
        <v>2075</v>
      </c>
      <c r="AP503" s="283" t="s">
        <v>119</v>
      </c>
    </row>
    <row r="504" spans="1:42" s="18" customFormat="1" hidden="1" x14ac:dyDescent="0.3">
      <c r="A504" s="156" t="s">
        <v>1455</v>
      </c>
      <c r="B504" s="18" t="s">
        <v>2061</v>
      </c>
      <c r="C504" s="18">
        <v>112</v>
      </c>
      <c r="D504" s="18" t="s">
        <v>2141</v>
      </c>
      <c r="E504" s="18">
        <v>1122</v>
      </c>
      <c r="F504" s="157" t="s">
        <v>2142</v>
      </c>
      <c r="G504" s="18">
        <v>112202</v>
      </c>
      <c r="H504" s="157" t="s">
        <v>2189</v>
      </c>
      <c r="I504" s="157"/>
      <c r="J504" s="157"/>
      <c r="K504" s="18">
        <v>11220203</v>
      </c>
      <c r="L504" s="157" t="s">
        <v>2199</v>
      </c>
      <c r="M504" s="162" t="s">
        <v>2206</v>
      </c>
      <c r="N504" s="160"/>
      <c r="O504" s="169">
        <v>20</v>
      </c>
      <c r="P504" s="169">
        <v>40</v>
      </c>
      <c r="Q504" s="169">
        <v>50</v>
      </c>
      <c r="R504" s="169">
        <v>60</v>
      </c>
      <c r="S504" s="169">
        <v>70</v>
      </c>
      <c r="T504" s="10" t="s">
        <v>2072</v>
      </c>
      <c r="U504" s="283" t="e">
        <v>#N/A</v>
      </c>
      <c r="V504" s="283" t="s">
        <v>2207</v>
      </c>
      <c r="W504" s="283">
        <v>1</v>
      </c>
      <c r="X504" s="283">
        <v>0</v>
      </c>
      <c r="Y504" s="283">
        <v>0</v>
      </c>
      <c r="Z504" s="283">
        <v>1</v>
      </c>
      <c r="AA504" s="283">
        <v>1</v>
      </c>
      <c r="AB504" s="283">
        <v>0</v>
      </c>
      <c r="AC504" s="316">
        <v>0</v>
      </c>
      <c r="AD504" s="316">
        <v>1</v>
      </c>
      <c r="AE504" s="302">
        <f t="shared" si="59"/>
        <v>0.5</v>
      </c>
      <c r="AF504" s="310"/>
      <c r="AG504" s="17">
        <v>1</v>
      </c>
      <c r="AH504" s="310">
        <v>0.06</v>
      </c>
      <c r="AI504" s="310">
        <v>0.06</v>
      </c>
      <c r="AJ504" s="310">
        <v>0.06</v>
      </c>
      <c r="AK504" s="317">
        <v>0.06</v>
      </c>
      <c r="AL504" s="317">
        <v>0.06</v>
      </c>
      <c r="AM504" s="17">
        <f t="shared" si="60"/>
        <v>0.12</v>
      </c>
      <c r="AN504" s="283" t="s">
        <v>2074</v>
      </c>
      <c r="AO504" s="18" t="s">
        <v>2075</v>
      </c>
      <c r="AP504" s="283" t="s">
        <v>119</v>
      </c>
    </row>
    <row r="505" spans="1:42" s="18" customFormat="1" hidden="1" x14ac:dyDescent="0.3">
      <c r="A505" s="156" t="s">
        <v>1455</v>
      </c>
      <c r="B505" s="18" t="s">
        <v>2061</v>
      </c>
      <c r="C505" s="18">
        <v>112</v>
      </c>
      <c r="D505" s="18" t="s">
        <v>2141</v>
      </c>
      <c r="E505" s="18">
        <v>1122</v>
      </c>
      <c r="F505" s="157" t="s">
        <v>2142</v>
      </c>
      <c r="G505" s="18">
        <v>112202</v>
      </c>
      <c r="H505" s="157" t="s">
        <v>2189</v>
      </c>
      <c r="I505" s="157"/>
      <c r="J505" s="157"/>
      <c r="K505" s="18">
        <v>11220203</v>
      </c>
      <c r="L505" s="157" t="s">
        <v>2199</v>
      </c>
      <c r="M505" s="162" t="s">
        <v>2208</v>
      </c>
      <c r="N505" s="160"/>
      <c r="O505" s="169" t="s">
        <v>271</v>
      </c>
      <c r="P505" s="169">
        <v>10</v>
      </c>
      <c r="Q505" s="169">
        <v>15</v>
      </c>
      <c r="R505" s="169">
        <v>20</v>
      </c>
      <c r="S505" s="169">
        <v>25</v>
      </c>
      <c r="T505" s="10" t="s">
        <v>2072</v>
      </c>
      <c r="U505" s="283" t="e">
        <v>#N/A</v>
      </c>
      <c r="V505" s="283" t="s">
        <v>2209</v>
      </c>
      <c r="W505" s="283">
        <v>1</v>
      </c>
      <c r="X505" s="283">
        <v>0</v>
      </c>
      <c r="Y505" s="283">
        <v>0</v>
      </c>
      <c r="Z505" s="283">
        <v>1</v>
      </c>
      <c r="AA505" s="283">
        <v>1</v>
      </c>
      <c r="AB505" s="283">
        <v>0</v>
      </c>
      <c r="AC505" s="316">
        <v>0</v>
      </c>
      <c r="AD505" s="316">
        <v>1</v>
      </c>
      <c r="AE505" s="302">
        <f t="shared" si="59"/>
        <v>0.5</v>
      </c>
      <c r="AF505" s="310"/>
      <c r="AG505" s="17">
        <v>1</v>
      </c>
      <c r="AH505" s="310">
        <v>0.06</v>
      </c>
      <c r="AI505" s="310">
        <v>0.06</v>
      </c>
      <c r="AJ505" s="310">
        <v>0.06</v>
      </c>
      <c r="AK505" s="317">
        <v>0.06</v>
      </c>
      <c r="AL505" s="317">
        <v>0.06</v>
      </c>
      <c r="AM505" s="17">
        <f t="shared" si="60"/>
        <v>0.12</v>
      </c>
      <c r="AN505" s="283" t="s">
        <v>2074</v>
      </c>
      <c r="AO505" s="18" t="s">
        <v>2075</v>
      </c>
      <c r="AP505" s="283" t="s">
        <v>119</v>
      </c>
    </row>
    <row r="506" spans="1:42" s="18" customFormat="1" hidden="1" x14ac:dyDescent="0.3">
      <c r="A506" s="156" t="s">
        <v>1455</v>
      </c>
      <c r="B506" s="18" t="s">
        <v>2061</v>
      </c>
      <c r="C506" s="18">
        <v>112</v>
      </c>
      <c r="D506" s="18" t="s">
        <v>2141</v>
      </c>
      <c r="E506" s="18">
        <v>1122</v>
      </c>
      <c r="F506" s="157" t="s">
        <v>2142</v>
      </c>
      <c r="G506" s="18">
        <v>112202</v>
      </c>
      <c r="H506" s="157" t="s">
        <v>2189</v>
      </c>
      <c r="I506" s="157"/>
      <c r="J506" s="157"/>
      <c r="K506" s="18">
        <v>11220203</v>
      </c>
      <c r="L506" s="157" t="s">
        <v>2199</v>
      </c>
      <c r="M506" s="162" t="s">
        <v>2210</v>
      </c>
      <c r="N506" s="160"/>
      <c r="O506" s="178"/>
      <c r="P506" s="169">
        <v>30</v>
      </c>
      <c r="Q506" s="169">
        <v>80</v>
      </c>
      <c r="R506" s="169">
        <v>100</v>
      </c>
      <c r="S506" s="169">
        <v>110</v>
      </c>
      <c r="T506" s="10" t="s">
        <v>2072</v>
      </c>
      <c r="U506" s="283" t="e">
        <v>#N/A</v>
      </c>
      <c r="V506" s="321" t="s">
        <v>2211</v>
      </c>
      <c r="W506" s="283">
        <v>1</v>
      </c>
      <c r="X506" s="283">
        <v>0</v>
      </c>
      <c r="Y506" s="283">
        <v>0</v>
      </c>
      <c r="Z506" s="283">
        <v>1</v>
      </c>
      <c r="AA506" s="283">
        <v>0</v>
      </c>
      <c r="AB506" s="283">
        <v>0</v>
      </c>
      <c r="AC506" s="316">
        <v>0</v>
      </c>
      <c r="AD506" s="316">
        <v>0</v>
      </c>
      <c r="AE506" s="302">
        <f t="shared" si="59"/>
        <v>0.25</v>
      </c>
      <c r="AF506" s="310"/>
      <c r="AG506" s="17">
        <v>0</v>
      </c>
      <c r="AH506" s="310">
        <v>0.14000000000000001</v>
      </c>
      <c r="AI506" s="310">
        <v>0.14000000000000001</v>
      </c>
      <c r="AJ506" s="310">
        <v>0.14000000000000001</v>
      </c>
      <c r="AK506" s="317">
        <v>0</v>
      </c>
      <c r="AL506" s="317">
        <v>0</v>
      </c>
      <c r="AM506" s="17">
        <f t="shared" si="60"/>
        <v>0</v>
      </c>
      <c r="AN506" s="283" t="s">
        <v>2074</v>
      </c>
      <c r="AO506" s="18" t="s">
        <v>2075</v>
      </c>
      <c r="AP506" s="283" t="s">
        <v>119</v>
      </c>
    </row>
    <row r="507" spans="1:42" s="18" customFormat="1" hidden="1" x14ac:dyDescent="0.3">
      <c r="A507" s="156" t="s">
        <v>1455</v>
      </c>
      <c r="B507" s="18" t="s">
        <v>2061</v>
      </c>
      <c r="C507" s="18">
        <v>112</v>
      </c>
      <c r="D507" s="18" t="s">
        <v>2141</v>
      </c>
      <c r="E507" s="18">
        <v>1122</v>
      </c>
      <c r="F507" s="157" t="s">
        <v>2142</v>
      </c>
      <c r="G507" s="18">
        <v>112202</v>
      </c>
      <c r="H507" s="157" t="s">
        <v>2189</v>
      </c>
      <c r="I507" s="157"/>
      <c r="J507" s="157"/>
      <c r="K507" s="18">
        <v>11220203</v>
      </c>
      <c r="L507" s="157" t="s">
        <v>2199</v>
      </c>
      <c r="M507" s="162"/>
      <c r="N507" s="160"/>
      <c r="O507" s="178"/>
      <c r="P507" s="169"/>
      <c r="Q507" s="169"/>
      <c r="R507" s="169"/>
      <c r="S507" s="169"/>
      <c r="T507" s="10" t="s">
        <v>2072</v>
      </c>
      <c r="U507" s="283" t="e">
        <v>#N/A</v>
      </c>
      <c r="V507" s="283" t="s">
        <v>2212</v>
      </c>
      <c r="W507" s="283">
        <v>1</v>
      </c>
      <c r="X507" s="283">
        <v>0</v>
      </c>
      <c r="Y507" s="283">
        <v>0</v>
      </c>
      <c r="Z507" s="283">
        <v>1</v>
      </c>
      <c r="AA507" s="283">
        <v>1</v>
      </c>
      <c r="AB507" s="283">
        <v>0</v>
      </c>
      <c r="AC507" s="316">
        <v>0</v>
      </c>
      <c r="AD507" s="316">
        <v>1</v>
      </c>
      <c r="AE507" s="302">
        <f t="shared" si="59"/>
        <v>0.5</v>
      </c>
      <c r="AF507" s="310"/>
      <c r="AG507" s="17">
        <v>1</v>
      </c>
      <c r="AH507" s="310">
        <v>1.518</v>
      </c>
      <c r="AI507" s="310">
        <v>1.518</v>
      </c>
      <c r="AJ507" s="310">
        <v>1.518</v>
      </c>
      <c r="AK507" s="317">
        <v>5.1999999999999998E-2</v>
      </c>
      <c r="AL507" s="317">
        <v>0.06</v>
      </c>
      <c r="AM507" s="17">
        <f t="shared" si="60"/>
        <v>0.11199999999999999</v>
      </c>
      <c r="AN507" s="283" t="s">
        <v>2074</v>
      </c>
      <c r="AO507" s="18" t="s">
        <v>2075</v>
      </c>
      <c r="AP507" s="283" t="s">
        <v>2193</v>
      </c>
    </row>
    <row r="508" spans="1:42" s="18" customFormat="1" hidden="1" x14ac:dyDescent="0.3">
      <c r="A508" s="156" t="s">
        <v>1455</v>
      </c>
      <c r="B508" s="18" t="s">
        <v>2061</v>
      </c>
      <c r="C508" s="18">
        <v>112</v>
      </c>
      <c r="D508" s="18" t="s">
        <v>2141</v>
      </c>
      <c r="E508" s="18">
        <v>1122</v>
      </c>
      <c r="F508" s="157" t="s">
        <v>2142</v>
      </c>
      <c r="G508" s="18">
        <v>112202</v>
      </c>
      <c r="H508" s="157" t="s">
        <v>2189</v>
      </c>
      <c r="I508" s="157"/>
      <c r="J508" s="157"/>
      <c r="K508" s="18">
        <v>11220204</v>
      </c>
      <c r="L508" s="157" t="s">
        <v>2213</v>
      </c>
      <c r="M508" s="162" t="s">
        <v>2214</v>
      </c>
      <c r="N508" s="178">
        <v>0</v>
      </c>
      <c r="O508" s="169">
        <v>10</v>
      </c>
      <c r="P508" s="169">
        <v>20</v>
      </c>
      <c r="Q508" s="169">
        <v>30</v>
      </c>
      <c r="R508" s="169">
        <v>35</v>
      </c>
      <c r="S508" s="169">
        <v>40</v>
      </c>
      <c r="T508" s="10" t="s">
        <v>2072</v>
      </c>
      <c r="U508" s="283" t="e">
        <v>#N/A</v>
      </c>
      <c r="V508" s="283" t="s">
        <v>2215</v>
      </c>
      <c r="W508" s="283"/>
      <c r="X508" s="283"/>
      <c r="Y508" s="283"/>
      <c r="Z508" s="283"/>
      <c r="AA508" s="283"/>
      <c r="AB508" s="283"/>
      <c r="AC508" s="316"/>
      <c r="AD508" s="316"/>
      <c r="AE508" s="302">
        <f t="shared" si="59"/>
        <v>0</v>
      </c>
      <c r="AF508" s="310"/>
      <c r="AG508" s="17">
        <v>0</v>
      </c>
      <c r="AH508" s="310">
        <v>3.9</v>
      </c>
      <c r="AI508" s="310">
        <v>3.9</v>
      </c>
      <c r="AJ508" s="310">
        <v>1.7290000000000001</v>
      </c>
      <c r="AK508" s="317">
        <v>0.01</v>
      </c>
      <c r="AL508" s="317">
        <v>0.02</v>
      </c>
      <c r="AM508" s="17">
        <f t="shared" si="60"/>
        <v>0.03</v>
      </c>
      <c r="AN508" s="283" t="s">
        <v>2074</v>
      </c>
      <c r="AO508" s="18" t="s">
        <v>2075</v>
      </c>
      <c r="AP508" s="283" t="s">
        <v>119</v>
      </c>
    </row>
    <row r="509" spans="1:42" s="18" customFormat="1" hidden="1" x14ac:dyDescent="0.3">
      <c r="A509" s="156" t="s">
        <v>1455</v>
      </c>
      <c r="B509" s="18" t="s">
        <v>2061</v>
      </c>
      <c r="C509" s="18">
        <v>112</v>
      </c>
      <c r="D509" s="18" t="s">
        <v>2141</v>
      </c>
      <c r="E509" s="18">
        <v>1122</v>
      </c>
      <c r="F509" s="157" t="s">
        <v>2142</v>
      </c>
      <c r="G509" s="18">
        <v>112202</v>
      </c>
      <c r="H509" s="157" t="s">
        <v>2189</v>
      </c>
      <c r="I509" s="157"/>
      <c r="J509" s="157"/>
      <c r="K509" s="18">
        <v>11220204</v>
      </c>
      <c r="L509" s="157" t="s">
        <v>2213</v>
      </c>
      <c r="M509" s="162"/>
      <c r="N509" s="160"/>
      <c r="O509" s="178"/>
      <c r="P509" s="169"/>
      <c r="Q509" s="169"/>
      <c r="R509" s="169"/>
      <c r="S509" s="169"/>
      <c r="T509" s="10"/>
      <c r="U509" s="283" t="e">
        <v>#N/A</v>
      </c>
      <c r="V509" s="283" t="s">
        <v>2216</v>
      </c>
      <c r="W509" s="283"/>
      <c r="X509" s="283"/>
      <c r="Y509" s="283"/>
      <c r="Z509" s="283"/>
      <c r="AA509" s="283"/>
      <c r="AB509" s="283"/>
      <c r="AC509" s="316"/>
      <c r="AD509" s="316"/>
      <c r="AE509" s="302">
        <f t="shared" si="59"/>
        <v>0</v>
      </c>
      <c r="AF509" s="17"/>
      <c r="AG509" s="17">
        <v>0</v>
      </c>
      <c r="AH509" s="17">
        <v>0</v>
      </c>
      <c r="AI509" s="17">
        <v>0</v>
      </c>
      <c r="AJ509" s="17">
        <v>0</v>
      </c>
      <c r="AK509" s="153">
        <v>0</v>
      </c>
      <c r="AL509" s="154">
        <v>0</v>
      </c>
      <c r="AM509" s="17">
        <f t="shared" si="60"/>
        <v>0</v>
      </c>
      <c r="AN509" s="283" t="s">
        <v>2074</v>
      </c>
      <c r="AO509" s="18" t="s">
        <v>2075</v>
      </c>
      <c r="AP509" s="283" t="s">
        <v>119</v>
      </c>
    </row>
    <row r="510" spans="1:42" s="18" customFormat="1" hidden="1" x14ac:dyDescent="0.3">
      <c r="A510" s="156" t="s">
        <v>1455</v>
      </c>
      <c r="B510" s="18" t="s">
        <v>2061</v>
      </c>
      <c r="C510" s="18">
        <v>112</v>
      </c>
      <c r="D510" s="18" t="s">
        <v>2141</v>
      </c>
      <c r="E510" s="18">
        <v>1122</v>
      </c>
      <c r="F510" s="157" t="s">
        <v>2142</v>
      </c>
      <c r="G510" s="18">
        <v>112203</v>
      </c>
      <c r="H510" s="157" t="s">
        <v>2217</v>
      </c>
      <c r="I510" s="157"/>
      <c r="J510" s="157"/>
      <c r="K510" s="18">
        <v>11220301</v>
      </c>
      <c r="L510" s="157" t="s">
        <v>2218</v>
      </c>
      <c r="M510" s="157" t="s">
        <v>2219</v>
      </c>
      <c r="N510" s="160">
        <v>0</v>
      </c>
      <c r="O510" s="19" t="s">
        <v>271</v>
      </c>
      <c r="P510" s="19">
        <v>1</v>
      </c>
      <c r="Q510" s="19" t="s">
        <v>271</v>
      </c>
      <c r="R510" s="19" t="s">
        <v>271</v>
      </c>
      <c r="S510" s="19" t="s">
        <v>271</v>
      </c>
      <c r="T510" s="18" t="s">
        <v>2196</v>
      </c>
      <c r="U510" s="283" t="e">
        <v>#N/A</v>
      </c>
      <c r="V510" s="309" t="s">
        <v>2220</v>
      </c>
      <c r="W510" s="283"/>
      <c r="X510" s="283"/>
      <c r="Y510" s="283"/>
      <c r="Z510" s="283"/>
      <c r="AA510" s="283"/>
      <c r="AB510" s="283"/>
      <c r="AC510" s="316"/>
      <c r="AD510" s="316"/>
      <c r="AE510" s="302">
        <f t="shared" si="59"/>
        <v>0</v>
      </c>
      <c r="AF510" s="310"/>
      <c r="AG510" s="17">
        <v>0</v>
      </c>
      <c r="AH510" s="310">
        <v>0.05</v>
      </c>
      <c r="AI510" s="310">
        <v>0</v>
      </c>
      <c r="AJ510" s="310">
        <v>0</v>
      </c>
      <c r="AK510" s="317">
        <v>0</v>
      </c>
      <c r="AL510" s="317" t="s">
        <v>2089</v>
      </c>
      <c r="AM510" s="17">
        <f t="shared" si="60"/>
        <v>0</v>
      </c>
      <c r="AN510" s="283" t="s">
        <v>239</v>
      </c>
      <c r="AO510" s="18" t="s">
        <v>241</v>
      </c>
      <c r="AP510" s="283" t="s">
        <v>2221</v>
      </c>
    </row>
    <row r="511" spans="1:42" s="18" customFormat="1" hidden="1" x14ac:dyDescent="0.3">
      <c r="A511" s="156" t="s">
        <v>1455</v>
      </c>
      <c r="B511" s="18" t="s">
        <v>2061</v>
      </c>
      <c r="C511" s="18">
        <v>112</v>
      </c>
      <c r="D511" s="18" t="s">
        <v>2141</v>
      </c>
      <c r="E511" s="18">
        <v>1122</v>
      </c>
      <c r="F511" s="157" t="s">
        <v>2142</v>
      </c>
      <c r="G511" s="18">
        <v>112203</v>
      </c>
      <c r="H511" s="157" t="s">
        <v>2217</v>
      </c>
      <c r="I511" s="157"/>
      <c r="J511" s="157"/>
      <c r="K511" s="18">
        <v>11220301</v>
      </c>
      <c r="L511" s="157" t="s">
        <v>2218</v>
      </c>
      <c r="M511" s="157"/>
      <c r="N511" s="160"/>
      <c r="O511" s="19"/>
      <c r="P511" s="19"/>
      <c r="Q511" s="19"/>
      <c r="R511" s="19"/>
      <c r="S511" s="19"/>
      <c r="U511" s="283" t="e">
        <v>#N/A</v>
      </c>
      <c r="V511" s="283" t="s">
        <v>2222</v>
      </c>
      <c r="W511" s="283">
        <v>1</v>
      </c>
      <c r="X511" s="283">
        <v>0</v>
      </c>
      <c r="Y511" s="283">
        <v>0</v>
      </c>
      <c r="Z511" s="283">
        <v>1</v>
      </c>
      <c r="AA511" s="283">
        <v>1</v>
      </c>
      <c r="AB511" s="283">
        <v>0</v>
      </c>
      <c r="AC511" s="316">
        <v>0</v>
      </c>
      <c r="AD511" s="316">
        <v>0</v>
      </c>
      <c r="AE511" s="302">
        <f t="shared" si="59"/>
        <v>0.375</v>
      </c>
      <c r="AF511" s="310"/>
      <c r="AG511" s="17">
        <v>0</v>
      </c>
      <c r="AH511" s="310">
        <v>0.03</v>
      </c>
      <c r="AI511" s="310">
        <v>0.03</v>
      </c>
      <c r="AJ511" s="310">
        <v>0.03</v>
      </c>
      <c r="AK511" s="317">
        <v>0.03</v>
      </c>
      <c r="AL511" s="317">
        <v>0.03</v>
      </c>
      <c r="AM511" s="17">
        <f t="shared" si="60"/>
        <v>0.06</v>
      </c>
      <c r="AN511" s="283" t="s">
        <v>239</v>
      </c>
      <c r="AO511" s="18" t="s">
        <v>241</v>
      </c>
      <c r="AP511" s="283" t="s">
        <v>2221</v>
      </c>
    </row>
    <row r="512" spans="1:42" s="18" customFormat="1" hidden="1" x14ac:dyDescent="0.3">
      <c r="A512" s="156" t="s">
        <v>1455</v>
      </c>
      <c r="B512" s="18" t="s">
        <v>2061</v>
      </c>
      <c r="C512" s="18">
        <v>112</v>
      </c>
      <c r="D512" s="18" t="s">
        <v>2141</v>
      </c>
      <c r="E512" s="18">
        <v>1122</v>
      </c>
      <c r="F512" s="157" t="s">
        <v>2142</v>
      </c>
      <c r="G512" s="18">
        <v>112204</v>
      </c>
      <c r="H512" s="157" t="s">
        <v>2223</v>
      </c>
      <c r="I512" s="157"/>
      <c r="J512" s="157"/>
      <c r="K512" s="18">
        <v>11220401</v>
      </c>
      <c r="L512" s="161" t="s">
        <v>2224</v>
      </c>
      <c r="M512" s="161" t="s">
        <v>2225</v>
      </c>
      <c r="N512" s="19">
        <v>2</v>
      </c>
      <c r="O512" s="19">
        <v>6</v>
      </c>
      <c r="P512" s="19">
        <v>10</v>
      </c>
      <c r="Q512" s="19">
        <v>14</v>
      </c>
      <c r="R512" s="19">
        <v>18</v>
      </c>
      <c r="S512" s="19">
        <v>22</v>
      </c>
      <c r="T512" s="10" t="s">
        <v>2226</v>
      </c>
      <c r="U512" s="283" t="e">
        <v>#N/A</v>
      </c>
      <c r="V512" s="283" t="s">
        <v>2227</v>
      </c>
      <c r="W512" s="283">
        <v>1</v>
      </c>
      <c r="X512" s="283">
        <v>0</v>
      </c>
      <c r="Y512" s="283">
        <v>0</v>
      </c>
      <c r="Z512" s="283">
        <v>1</v>
      </c>
      <c r="AA512" s="283">
        <v>1</v>
      </c>
      <c r="AB512" s="283">
        <v>0</v>
      </c>
      <c r="AC512" s="316">
        <v>1</v>
      </c>
      <c r="AD512" s="316">
        <v>1</v>
      </c>
      <c r="AE512" s="302">
        <f t="shared" si="59"/>
        <v>0.625</v>
      </c>
      <c r="AF512" s="310"/>
      <c r="AG512" s="17">
        <v>0</v>
      </c>
      <c r="AH512" s="310">
        <v>0</v>
      </c>
      <c r="AI512" s="310">
        <v>0.1</v>
      </c>
      <c r="AJ512" s="310">
        <v>0.1</v>
      </c>
      <c r="AK512" s="317">
        <v>0.1</v>
      </c>
      <c r="AL512" s="317">
        <v>0.1</v>
      </c>
      <c r="AM512" s="17">
        <f t="shared" si="60"/>
        <v>0.2</v>
      </c>
      <c r="AN512" s="283" t="s">
        <v>2228</v>
      </c>
      <c r="AO512" s="18" t="s">
        <v>241</v>
      </c>
      <c r="AP512" s="283" t="s">
        <v>119</v>
      </c>
    </row>
    <row r="513" spans="1:42" s="18" customFormat="1" hidden="1" x14ac:dyDescent="0.3">
      <c r="A513" s="156" t="s">
        <v>1455</v>
      </c>
      <c r="B513" s="18" t="s">
        <v>2061</v>
      </c>
      <c r="C513" s="18">
        <v>112</v>
      </c>
      <c r="D513" s="18" t="s">
        <v>2141</v>
      </c>
      <c r="E513" s="18">
        <v>1122</v>
      </c>
      <c r="F513" s="157" t="s">
        <v>2142</v>
      </c>
      <c r="G513" s="18">
        <v>112204</v>
      </c>
      <c r="H513" s="157" t="s">
        <v>2223</v>
      </c>
      <c r="I513" s="157"/>
      <c r="J513" s="157"/>
      <c r="K513" s="18">
        <v>11220401</v>
      </c>
      <c r="L513" s="161" t="s">
        <v>2224</v>
      </c>
      <c r="M513" s="157" t="s">
        <v>2229</v>
      </c>
      <c r="N513" s="19">
        <v>2</v>
      </c>
      <c r="O513" s="19">
        <v>4</v>
      </c>
      <c r="P513" s="19">
        <v>6</v>
      </c>
      <c r="Q513" s="19">
        <v>8</v>
      </c>
      <c r="R513" s="19">
        <v>10</v>
      </c>
      <c r="S513" s="19">
        <v>12</v>
      </c>
      <c r="T513" s="18" t="s">
        <v>2226</v>
      </c>
      <c r="U513" s="283" t="e">
        <v>#N/A</v>
      </c>
      <c r="V513" s="283" t="s">
        <v>2230</v>
      </c>
      <c r="W513" s="283">
        <v>1</v>
      </c>
      <c r="X513" s="283">
        <v>0</v>
      </c>
      <c r="Y513" s="283">
        <v>0</v>
      </c>
      <c r="Z513" s="283">
        <v>1</v>
      </c>
      <c r="AA513" s="283">
        <v>0</v>
      </c>
      <c r="AB513" s="283">
        <v>1</v>
      </c>
      <c r="AC513" s="316">
        <v>1</v>
      </c>
      <c r="AD513" s="316">
        <v>1</v>
      </c>
      <c r="AE513" s="302">
        <f t="shared" si="59"/>
        <v>0.625</v>
      </c>
      <c r="AF513" s="310"/>
      <c r="AG513" s="17">
        <v>0</v>
      </c>
      <c r="AH513" s="310">
        <v>0</v>
      </c>
      <c r="AI513" s="310">
        <v>11.2</v>
      </c>
      <c r="AJ513" s="310">
        <v>2.8</v>
      </c>
      <c r="AK513" s="317"/>
      <c r="AL513" s="317"/>
      <c r="AM513" s="17">
        <f t="shared" si="60"/>
        <v>0</v>
      </c>
      <c r="AN513" s="283" t="s">
        <v>2228</v>
      </c>
      <c r="AO513" s="18" t="s">
        <v>241</v>
      </c>
      <c r="AP513" s="283" t="s">
        <v>2172</v>
      </c>
    </row>
    <row r="514" spans="1:42" s="18" customFormat="1" hidden="1" x14ac:dyDescent="0.3">
      <c r="A514" s="156" t="s">
        <v>1455</v>
      </c>
      <c r="B514" s="18" t="s">
        <v>2061</v>
      </c>
      <c r="C514" s="18">
        <v>112</v>
      </c>
      <c r="D514" s="18" t="s">
        <v>2141</v>
      </c>
      <c r="E514" s="18">
        <v>1122</v>
      </c>
      <c r="F514" s="157" t="s">
        <v>2142</v>
      </c>
      <c r="G514" s="18">
        <v>112204</v>
      </c>
      <c r="H514" s="157" t="s">
        <v>2223</v>
      </c>
      <c r="I514" s="157"/>
      <c r="J514" s="157"/>
      <c r="K514" s="18">
        <v>11220401</v>
      </c>
      <c r="L514" s="161" t="s">
        <v>2224</v>
      </c>
      <c r="M514" s="157" t="s">
        <v>2231</v>
      </c>
      <c r="N514" s="19">
        <v>0</v>
      </c>
      <c r="O514" s="19">
        <v>12</v>
      </c>
      <c r="P514" s="19">
        <v>16</v>
      </c>
      <c r="Q514" s="19">
        <v>20</v>
      </c>
      <c r="R514" s="19">
        <v>24</v>
      </c>
      <c r="S514" s="19">
        <v>28</v>
      </c>
      <c r="T514" s="18" t="s">
        <v>2226</v>
      </c>
      <c r="U514" s="283" t="e">
        <v>#N/A</v>
      </c>
      <c r="AC514" s="316">
        <v>0</v>
      </c>
      <c r="AD514" s="316">
        <v>0</v>
      </c>
      <c r="AE514" s="302">
        <f t="shared" si="59"/>
        <v>0</v>
      </c>
      <c r="AF514" s="17"/>
      <c r="AG514" s="17">
        <v>0</v>
      </c>
      <c r="AH514" s="17"/>
      <c r="AI514" s="17"/>
      <c r="AJ514" s="17"/>
      <c r="AK514" s="154"/>
      <c r="AL514" s="154"/>
      <c r="AM514" s="17">
        <f t="shared" si="60"/>
        <v>0</v>
      </c>
    </row>
    <row r="515" spans="1:42" s="18" customFormat="1" hidden="1" x14ac:dyDescent="0.3">
      <c r="A515" s="156" t="s">
        <v>1455</v>
      </c>
      <c r="B515" s="18" t="s">
        <v>2061</v>
      </c>
      <c r="C515" s="18">
        <v>112</v>
      </c>
      <c r="D515" s="18" t="s">
        <v>2141</v>
      </c>
      <c r="E515" s="18">
        <v>1122</v>
      </c>
      <c r="F515" s="157" t="s">
        <v>2142</v>
      </c>
      <c r="G515" s="18">
        <v>112204</v>
      </c>
      <c r="H515" s="157" t="s">
        <v>2223</v>
      </c>
      <c r="I515" s="157"/>
      <c r="J515" s="157"/>
      <c r="K515" s="18">
        <v>11220402</v>
      </c>
      <c r="L515" s="161" t="s">
        <v>2232</v>
      </c>
      <c r="M515" s="157" t="s">
        <v>2233</v>
      </c>
      <c r="N515" s="19">
        <v>5</v>
      </c>
      <c r="O515" s="19">
        <v>30</v>
      </c>
      <c r="P515" s="19">
        <v>60</v>
      </c>
      <c r="Q515" s="19">
        <v>100</v>
      </c>
      <c r="R515" s="19">
        <v>140</v>
      </c>
      <c r="S515" s="19">
        <v>146</v>
      </c>
      <c r="T515" s="18" t="s">
        <v>2234</v>
      </c>
      <c r="U515" s="283" t="s">
        <v>2236</v>
      </c>
      <c r="V515" s="283" t="s">
        <v>2235</v>
      </c>
      <c r="W515" s="283">
        <v>1</v>
      </c>
      <c r="X515" s="283">
        <v>0</v>
      </c>
      <c r="Y515" s="283">
        <v>0</v>
      </c>
      <c r="Z515" s="283">
        <v>1</v>
      </c>
      <c r="AA515" s="283">
        <v>0</v>
      </c>
      <c r="AB515" s="283">
        <v>1</v>
      </c>
      <c r="AC515" s="316">
        <v>1</v>
      </c>
      <c r="AD515" s="316">
        <v>1</v>
      </c>
      <c r="AE515" s="302">
        <f t="shared" si="59"/>
        <v>0.625</v>
      </c>
      <c r="AF515" s="310"/>
      <c r="AG515" s="17">
        <v>0</v>
      </c>
      <c r="AH515" s="310">
        <v>1.8</v>
      </c>
      <c r="AI515" s="310">
        <v>2</v>
      </c>
      <c r="AJ515" s="310">
        <v>2.2000000000000002</v>
      </c>
      <c r="AK515" s="317">
        <v>2.2000000000000002</v>
      </c>
      <c r="AL515" s="317">
        <v>2.2000000000000002</v>
      </c>
      <c r="AM515" s="17">
        <f t="shared" si="60"/>
        <v>4.4000000000000004</v>
      </c>
      <c r="AN515" s="283" t="s">
        <v>2172</v>
      </c>
      <c r="AO515" s="18" t="s">
        <v>2236</v>
      </c>
      <c r="AP515" s="283" t="s">
        <v>2237</v>
      </c>
    </row>
    <row r="516" spans="1:42" s="18" customFormat="1" hidden="1" x14ac:dyDescent="0.3">
      <c r="A516" s="156" t="s">
        <v>1455</v>
      </c>
      <c r="B516" s="18" t="s">
        <v>2061</v>
      </c>
      <c r="C516" s="18">
        <v>112</v>
      </c>
      <c r="D516" s="18" t="s">
        <v>2141</v>
      </c>
      <c r="E516" s="18">
        <v>1122</v>
      </c>
      <c r="F516" s="157" t="s">
        <v>2142</v>
      </c>
      <c r="G516" s="18">
        <v>112204</v>
      </c>
      <c r="H516" s="157" t="s">
        <v>2223</v>
      </c>
      <c r="I516" s="157"/>
      <c r="J516" s="157"/>
      <c r="K516" s="18">
        <v>11220402</v>
      </c>
      <c r="L516" s="161" t="s">
        <v>2232</v>
      </c>
      <c r="M516" s="157" t="s">
        <v>2238</v>
      </c>
      <c r="N516" s="19">
        <v>135</v>
      </c>
      <c r="O516" s="19">
        <v>140</v>
      </c>
      <c r="P516" s="19">
        <v>180</v>
      </c>
      <c r="Q516" s="19">
        <v>220</v>
      </c>
      <c r="R516" s="19">
        <v>250</v>
      </c>
      <c r="S516" s="19">
        <v>300</v>
      </c>
      <c r="T516" s="18" t="s">
        <v>2234</v>
      </c>
      <c r="U516" s="283" t="s">
        <v>2236</v>
      </c>
      <c r="AC516" s="316">
        <v>0</v>
      </c>
      <c r="AD516" s="316">
        <v>0</v>
      </c>
      <c r="AE516" s="302">
        <f t="shared" ref="AE516:AE579" si="61">SUM(W516:AD516)/8</f>
        <v>0</v>
      </c>
      <c r="AF516" s="17"/>
      <c r="AG516" s="17">
        <v>0</v>
      </c>
      <c r="AH516" s="17"/>
      <c r="AI516" s="17"/>
      <c r="AJ516" s="17"/>
      <c r="AK516" s="154"/>
      <c r="AL516" s="154"/>
      <c r="AM516" s="17">
        <f t="shared" ref="AM516:AM579" si="62">SUM(AK516:AL516)</f>
        <v>0</v>
      </c>
    </row>
    <row r="517" spans="1:42" s="18" customFormat="1" hidden="1" x14ac:dyDescent="0.3">
      <c r="A517" s="156" t="s">
        <v>1455</v>
      </c>
      <c r="B517" s="18" t="s">
        <v>2061</v>
      </c>
      <c r="C517" s="18">
        <v>112</v>
      </c>
      <c r="D517" s="18" t="s">
        <v>2141</v>
      </c>
      <c r="E517" s="18">
        <v>1122</v>
      </c>
      <c r="F517" s="157" t="s">
        <v>2142</v>
      </c>
      <c r="G517" s="18">
        <v>112204</v>
      </c>
      <c r="H517" s="157" t="s">
        <v>2223</v>
      </c>
      <c r="I517" s="157"/>
      <c r="J517" s="157"/>
      <c r="K517" s="18">
        <v>11220403</v>
      </c>
      <c r="L517" s="10" t="s">
        <v>2239</v>
      </c>
      <c r="M517" s="10" t="s">
        <v>2240</v>
      </c>
      <c r="N517" s="19">
        <v>0</v>
      </c>
      <c r="O517" s="19">
        <v>0</v>
      </c>
      <c r="P517" s="19">
        <v>0</v>
      </c>
      <c r="Q517" s="19">
        <v>0</v>
      </c>
      <c r="R517" s="19">
        <v>0</v>
      </c>
      <c r="S517" s="19">
        <v>1</v>
      </c>
      <c r="T517" s="10" t="s">
        <v>2087</v>
      </c>
      <c r="U517" s="283" t="e">
        <v>#N/A</v>
      </c>
      <c r="V517" s="323" t="s">
        <v>2241</v>
      </c>
      <c r="W517" s="283">
        <v>1</v>
      </c>
      <c r="X517" s="283">
        <v>0</v>
      </c>
      <c r="Y517" s="283">
        <v>0</v>
      </c>
      <c r="Z517" s="283">
        <v>1</v>
      </c>
      <c r="AA517" s="283">
        <v>1</v>
      </c>
      <c r="AB517" s="283">
        <v>0</v>
      </c>
      <c r="AC517" s="316">
        <v>0</v>
      </c>
      <c r="AD517" s="316">
        <v>1</v>
      </c>
      <c r="AE517" s="302">
        <f t="shared" si="61"/>
        <v>0.5</v>
      </c>
      <c r="AF517" s="17"/>
      <c r="AG517" s="17">
        <v>0</v>
      </c>
      <c r="AH517" s="17">
        <v>0</v>
      </c>
      <c r="AI517" s="310">
        <v>2.5</v>
      </c>
      <c r="AJ517" s="310">
        <v>2.5</v>
      </c>
      <c r="AK517" s="153">
        <v>0.08</v>
      </c>
      <c r="AL517" s="317" t="s">
        <v>2089</v>
      </c>
      <c r="AM517" s="17">
        <f t="shared" si="62"/>
        <v>0.08</v>
      </c>
      <c r="AN517" s="283" t="s">
        <v>239</v>
      </c>
      <c r="AO517" s="18" t="s">
        <v>241</v>
      </c>
      <c r="AP517" s="283" t="s">
        <v>119</v>
      </c>
    </row>
    <row r="518" spans="1:42" s="18" customFormat="1" hidden="1" x14ac:dyDescent="0.3">
      <c r="A518" s="156" t="s">
        <v>1455</v>
      </c>
      <c r="B518" s="18" t="s">
        <v>2061</v>
      </c>
      <c r="C518" s="18">
        <v>112</v>
      </c>
      <c r="D518" s="18" t="s">
        <v>2141</v>
      </c>
      <c r="E518" s="18">
        <v>1122</v>
      </c>
      <c r="F518" s="157" t="s">
        <v>2142</v>
      </c>
      <c r="G518" s="18">
        <v>112204</v>
      </c>
      <c r="H518" s="157" t="s">
        <v>2223</v>
      </c>
      <c r="I518" s="157"/>
      <c r="J518" s="157"/>
      <c r="K518" s="18">
        <v>11220403</v>
      </c>
      <c r="L518" s="10" t="s">
        <v>2239</v>
      </c>
      <c r="M518" s="10"/>
      <c r="N518" s="19"/>
      <c r="O518" s="19"/>
      <c r="P518" s="19"/>
      <c r="Q518" s="19"/>
      <c r="R518" s="19"/>
      <c r="S518" s="19"/>
      <c r="T518" s="10"/>
      <c r="U518" s="283" t="e">
        <v>#N/A</v>
      </c>
      <c r="V518" s="323" t="s">
        <v>2242</v>
      </c>
      <c r="W518" s="283">
        <v>1</v>
      </c>
      <c r="X518" s="283">
        <v>0</v>
      </c>
      <c r="Y518" s="283">
        <v>0</v>
      </c>
      <c r="Z518" s="283">
        <v>1</v>
      </c>
      <c r="AA518" s="283">
        <v>1</v>
      </c>
      <c r="AB518" s="283">
        <v>0</v>
      </c>
      <c r="AC518" s="316">
        <v>0</v>
      </c>
      <c r="AD518" s="316">
        <v>1</v>
      </c>
      <c r="AE518" s="302">
        <f t="shared" si="61"/>
        <v>0.5</v>
      </c>
      <c r="AF518" s="17"/>
      <c r="AG518" s="17">
        <v>0</v>
      </c>
      <c r="AH518" s="17">
        <v>0</v>
      </c>
      <c r="AI518" s="310">
        <v>1.5</v>
      </c>
      <c r="AJ518" s="310">
        <v>1.5</v>
      </c>
      <c r="AK518" s="317">
        <v>2</v>
      </c>
      <c r="AL518" s="317">
        <v>2</v>
      </c>
      <c r="AM518" s="17">
        <f t="shared" si="62"/>
        <v>4</v>
      </c>
      <c r="AN518" s="283" t="s">
        <v>239</v>
      </c>
      <c r="AO518" s="18" t="s">
        <v>241</v>
      </c>
      <c r="AP518" s="283" t="s">
        <v>2243</v>
      </c>
    </row>
    <row r="519" spans="1:42" s="18" customFormat="1" hidden="1" x14ac:dyDescent="0.3">
      <c r="A519" s="156" t="s">
        <v>1455</v>
      </c>
      <c r="B519" s="18" t="s">
        <v>2061</v>
      </c>
      <c r="C519" s="18">
        <v>112</v>
      </c>
      <c r="D519" s="18" t="s">
        <v>2141</v>
      </c>
      <c r="E519" s="18">
        <v>1122</v>
      </c>
      <c r="F519" s="157" t="s">
        <v>2142</v>
      </c>
      <c r="G519" s="18">
        <v>112204</v>
      </c>
      <c r="H519" s="157" t="s">
        <v>2223</v>
      </c>
      <c r="I519" s="157"/>
      <c r="J519" s="157"/>
      <c r="K519" s="18">
        <v>11220404</v>
      </c>
      <c r="L519" s="157" t="s">
        <v>2244</v>
      </c>
      <c r="M519" s="157" t="s">
        <v>2245</v>
      </c>
      <c r="N519" s="19">
        <v>0</v>
      </c>
      <c r="O519" s="19">
        <v>2</v>
      </c>
      <c r="P519" s="19" t="s">
        <v>271</v>
      </c>
      <c r="Q519" s="19">
        <v>4</v>
      </c>
      <c r="R519" s="19" t="s">
        <v>271</v>
      </c>
      <c r="S519" s="19">
        <v>6</v>
      </c>
      <c r="T519" s="18" t="s">
        <v>2226</v>
      </c>
      <c r="U519" s="283" t="e">
        <v>#N/A</v>
      </c>
      <c r="V519" s="283" t="s">
        <v>2246</v>
      </c>
      <c r="W519" s="283">
        <v>1</v>
      </c>
      <c r="X519" s="283">
        <v>0</v>
      </c>
      <c r="Y519" s="283">
        <v>0</v>
      </c>
      <c r="Z519" s="283">
        <v>1</v>
      </c>
      <c r="AA519" s="283">
        <v>0</v>
      </c>
      <c r="AB519" s="283">
        <v>0</v>
      </c>
      <c r="AC519" s="316">
        <v>1</v>
      </c>
      <c r="AD519" s="316">
        <v>1</v>
      </c>
      <c r="AE519" s="302">
        <f t="shared" si="61"/>
        <v>0.5</v>
      </c>
      <c r="AF519" s="310"/>
      <c r="AG519" s="17">
        <v>0</v>
      </c>
      <c r="AH519" s="310">
        <v>0</v>
      </c>
      <c r="AI519" s="310">
        <v>0.6</v>
      </c>
      <c r="AJ519" s="310">
        <v>0</v>
      </c>
      <c r="AK519" s="317">
        <v>0.6</v>
      </c>
      <c r="AL519" s="317">
        <v>0.6</v>
      </c>
      <c r="AM519" s="17">
        <f t="shared" si="62"/>
        <v>1.2</v>
      </c>
      <c r="AN519" s="283" t="s">
        <v>2228</v>
      </c>
      <c r="AO519" s="18" t="s">
        <v>241</v>
      </c>
      <c r="AP519" s="283" t="s">
        <v>119</v>
      </c>
    </row>
    <row r="520" spans="1:42" s="18" customFormat="1" hidden="1" x14ac:dyDescent="0.3">
      <c r="A520" s="156" t="s">
        <v>1455</v>
      </c>
      <c r="B520" s="18" t="s">
        <v>2061</v>
      </c>
      <c r="C520" s="18">
        <v>112</v>
      </c>
      <c r="D520" s="18" t="s">
        <v>2141</v>
      </c>
      <c r="E520" s="18">
        <v>1122</v>
      </c>
      <c r="F520" s="157" t="s">
        <v>2142</v>
      </c>
      <c r="G520" s="18">
        <v>112205</v>
      </c>
      <c r="H520" s="18" t="s">
        <v>2247</v>
      </c>
      <c r="K520" s="18">
        <v>11220501</v>
      </c>
      <c r="L520" s="18" t="s">
        <v>2248</v>
      </c>
      <c r="M520" s="18" t="s">
        <v>2249</v>
      </c>
      <c r="N520" s="19">
        <v>0</v>
      </c>
      <c r="O520" s="19">
        <v>0</v>
      </c>
      <c r="P520" s="19">
        <v>1</v>
      </c>
      <c r="Q520" s="19">
        <v>1</v>
      </c>
      <c r="R520" s="19">
        <v>1</v>
      </c>
      <c r="S520" s="19">
        <v>1</v>
      </c>
      <c r="T520" s="18" t="s">
        <v>2250</v>
      </c>
      <c r="U520" s="283" t="e">
        <v>#N/A</v>
      </c>
      <c r="V520" s="323" t="s">
        <v>2251</v>
      </c>
      <c r="W520" s="283">
        <v>1</v>
      </c>
      <c r="X520" s="283">
        <v>0</v>
      </c>
      <c r="Y520" s="283">
        <v>0</v>
      </c>
      <c r="Z520" s="283">
        <v>1</v>
      </c>
      <c r="AA520" s="283">
        <v>0</v>
      </c>
      <c r="AB520" s="283">
        <v>1</v>
      </c>
      <c r="AC520" s="316">
        <v>1</v>
      </c>
      <c r="AD520" s="316">
        <v>1</v>
      </c>
      <c r="AE520" s="302">
        <f t="shared" si="61"/>
        <v>0.625</v>
      </c>
      <c r="AF520" s="310"/>
      <c r="AG520" s="17">
        <v>0</v>
      </c>
      <c r="AH520" s="310">
        <v>4.8</v>
      </c>
      <c r="AI520" s="310">
        <v>2.2000000000000002</v>
      </c>
      <c r="AJ520" s="310">
        <v>2.2000000000000002</v>
      </c>
      <c r="AK520" s="317">
        <v>2.2000000000000002</v>
      </c>
      <c r="AL520" s="317">
        <v>1.4</v>
      </c>
      <c r="AM520" s="17">
        <f t="shared" si="62"/>
        <v>3.6</v>
      </c>
      <c r="AN520" s="283" t="s">
        <v>1576</v>
      </c>
      <c r="AO520" s="18" t="s">
        <v>241</v>
      </c>
      <c r="AP520" s="283" t="s">
        <v>119</v>
      </c>
    </row>
    <row r="521" spans="1:42" s="18" customFormat="1" hidden="1" x14ac:dyDescent="0.3">
      <c r="A521" s="156" t="s">
        <v>1455</v>
      </c>
      <c r="B521" s="18" t="s">
        <v>2061</v>
      </c>
      <c r="C521" s="18">
        <v>112</v>
      </c>
      <c r="D521" s="18" t="s">
        <v>2141</v>
      </c>
      <c r="E521" s="18">
        <v>1122</v>
      </c>
      <c r="F521" s="157" t="s">
        <v>2142</v>
      </c>
      <c r="G521" s="18">
        <v>112205</v>
      </c>
      <c r="H521" s="18" t="s">
        <v>2247</v>
      </c>
      <c r="K521" s="18">
        <v>11220502</v>
      </c>
      <c r="L521" s="18" t="s">
        <v>2252</v>
      </c>
      <c r="M521" s="18" t="s">
        <v>2253</v>
      </c>
      <c r="N521" s="19">
        <v>0</v>
      </c>
      <c r="O521" s="19"/>
      <c r="P521" s="19"/>
      <c r="Q521" s="19">
        <v>1</v>
      </c>
      <c r="R521" s="19"/>
      <c r="S521" s="19"/>
      <c r="T521" s="18" t="s">
        <v>2250</v>
      </c>
      <c r="U521" s="283" t="e">
        <v>#N/A</v>
      </c>
      <c r="V521" s="283" t="s">
        <v>2254</v>
      </c>
      <c r="W521" s="283">
        <v>1</v>
      </c>
      <c r="X521" s="283">
        <v>0</v>
      </c>
      <c r="Y521" s="283">
        <v>0</v>
      </c>
      <c r="Z521" s="283">
        <v>1</v>
      </c>
      <c r="AA521" s="283">
        <v>0</v>
      </c>
      <c r="AB521" s="283">
        <v>1</v>
      </c>
      <c r="AC521" s="316">
        <v>1</v>
      </c>
      <c r="AD521" s="316">
        <v>1</v>
      </c>
      <c r="AE521" s="302">
        <f t="shared" si="61"/>
        <v>0.625</v>
      </c>
      <c r="AF521" s="310"/>
      <c r="AG521" s="17">
        <v>0</v>
      </c>
      <c r="AH521" s="310">
        <v>4</v>
      </c>
      <c r="AI521" s="310">
        <v>2.2000000000000002</v>
      </c>
      <c r="AJ521" s="310">
        <v>2.2000000000000002</v>
      </c>
      <c r="AK521" s="317">
        <v>1.2</v>
      </c>
      <c r="AL521" s="317">
        <v>1.2</v>
      </c>
      <c r="AM521" s="17">
        <f t="shared" si="62"/>
        <v>2.4</v>
      </c>
      <c r="AN521" s="283" t="s">
        <v>1576</v>
      </c>
      <c r="AO521" s="18" t="s">
        <v>241</v>
      </c>
      <c r="AP521" s="283" t="s">
        <v>2255</v>
      </c>
    </row>
    <row r="522" spans="1:42" s="18" customFormat="1" hidden="1" x14ac:dyDescent="0.3">
      <c r="A522" s="156" t="s">
        <v>1455</v>
      </c>
      <c r="B522" s="18" t="s">
        <v>2061</v>
      </c>
      <c r="C522" s="18">
        <v>112</v>
      </c>
      <c r="D522" s="18" t="s">
        <v>2141</v>
      </c>
      <c r="E522" s="18">
        <v>1122</v>
      </c>
      <c r="F522" s="157" t="s">
        <v>2142</v>
      </c>
      <c r="G522" s="18">
        <v>112205</v>
      </c>
      <c r="H522" s="18" t="s">
        <v>2247</v>
      </c>
      <c r="K522" s="18">
        <v>11220503</v>
      </c>
      <c r="L522" s="10" t="s">
        <v>2256</v>
      </c>
      <c r="M522" s="18" t="s">
        <v>2257</v>
      </c>
      <c r="N522" s="19">
        <v>0</v>
      </c>
      <c r="O522" s="19"/>
      <c r="P522" s="19"/>
      <c r="Q522" s="19"/>
      <c r="R522" s="19">
        <v>1</v>
      </c>
      <c r="S522" s="19"/>
      <c r="T522" s="18" t="s">
        <v>2250</v>
      </c>
      <c r="U522" s="283" t="e">
        <v>#N/A</v>
      </c>
      <c r="V522" s="323" t="s">
        <v>2258</v>
      </c>
      <c r="W522" s="283">
        <v>1</v>
      </c>
      <c r="X522" s="283">
        <v>0</v>
      </c>
      <c r="Y522" s="283">
        <v>0</v>
      </c>
      <c r="Z522" s="283">
        <v>1</v>
      </c>
      <c r="AA522" s="283">
        <v>0</v>
      </c>
      <c r="AB522" s="283">
        <v>0</v>
      </c>
      <c r="AC522" s="316">
        <v>1</v>
      </c>
      <c r="AD522" s="316">
        <v>1</v>
      </c>
      <c r="AE522" s="302">
        <f t="shared" si="61"/>
        <v>0.5</v>
      </c>
      <c r="AF522" s="310"/>
      <c r="AG522" s="17">
        <v>0</v>
      </c>
      <c r="AH522" s="310">
        <v>3</v>
      </c>
      <c r="AI522" s="310">
        <v>3</v>
      </c>
      <c r="AJ522" s="310">
        <v>3</v>
      </c>
      <c r="AK522" s="317">
        <v>3</v>
      </c>
      <c r="AL522" s="317">
        <v>3</v>
      </c>
      <c r="AM522" s="17">
        <f t="shared" si="62"/>
        <v>6</v>
      </c>
      <c r="AN522" s="283" t="s">
        <v>1576</v>
      </c>
      <c r="AO522" s="18" t="s">
        <v>241</v>
      </c>
      <c r="AP522" s="283" t="s">
        <v>119</v>
      </c>
    </row>
    <row r="523" spans="1:42" s="18" customFormat="1" hidden="1" x14ac:dyDescent="0.3">
      <c r="A523" s="156" t="s">
        <v>1455</v>
      </c>
      <c r="B523" s="18" t="s">
        <v>2061</v>
      </c>
      <c r="C523" s="18">
        <v>112</v>
      </c>
      <c r="D523" s="18" t="s">
        <v>2141</v>
      </c>
      <c r="E523" s="18">
        <v>1122</v>
      </c>
      <c r="F523" s="157" t="s">
        <v>2142</v>
      </c>
      <c r="G523" s="18">
        <v>112205</v>
      </c>
      <c r="H523" s="18" t="s">
        <v>2247</v>
      </c>
      <c r="K523" s="18">
        <v>11220503</v>
      </c>
      <c r="L523" s="10" t="s">
        <v>2256</v>
      </c>
      <c r="M523" s="18" t="s">
        <v>2259</v>
      </c>
      <c r="N523" s="19">
        <v>25</v>
      </c>
      <c r="O523" s="19">
        <v>45</v>
      </c>
      <c r="P523" s="19">
        <v>50</v>
      </c>
      <c r="Q523" s="19">
        <v>55</v>
      </c>
      <c r="R523" s="19">
        <v>60</v>
      </c>
      <c r="S523" s="19">
        <v>70</v>
      </c>
      <c r="T523" s="18" t="s">
        <v>2068</v>
      </c>
      <c r="U523" s="283" t="e">
        <v>#N/A</v>
      </c>
      <c r="V523" s="323" t="s">
        <v>2260</v>
      </c>
      <c r="W523" s="283">
        <v>1</v>
      </c>
      <c r="X523" s="283">
        <v>0</v>
      </c>
      <c r="Y523" s="283">
        <v>0</v>
      </c>
      <c r="Z523" s="283">
        <v>1</v>
      </c>
      <c r="AA523" s="283">
        <v>0</v>
      </c>
      <c r="AB523" s="283">
        <v>0</v>
      </c>
      <c r="AC523" s="316">
        <v>1</v>
      </c>
      <c r="AD523" s="316">
        <v>1</v>
      </c>
      <c r="AE523" s="302">
        <f t="shared" si="61"/>
        <v>0.5</v>
      </c>
      <c r="AF523" s="17"/>
      <c r="AG523" s="17">
        <v>0</v>
      </c>
      <c r="AH523" s="17">
        <v>0</v>
      </c>
      <c r="AI523" s="17">
        <v>0</v>
      </c>
      <c r="AJ523" s="17">
        <v>0</v>
      </c>
      <c r="AK523" s="153">
        <v>0</v>
      </c>
      <c r="AL523" s="154">
        <v>0</v>
      </c>
      <c r="AM523" s="17">
        <f t="shared" si="62"/>
        <v>0</v>
      </c>
      <c r="AN523" s="283" t="s">
        <v>1576</v>
      </c>
      <c r="AO523" s="18" t="s">
        <v>241</v>
      </c>
      <c r="AP523" s="283" t="s">
        <v>2261</v>
      </c>
    </row>
    <row r="524" spans="1:42" s="18" customFormat="1" hidden="1" x14ac:dyDescent="0.3">
      <c r="A524" s="156" t="s">
        <v>1455</v>
      </c>
      <c r="B524" s="18" t="s">
        <v>2061</v>
      </c>
      <c r="C524" s="18">
        <v>112</v>
      </c>
      <c r="D524" s="18" t="s">
        <v>2141</v>
      </c>
      <c r="E524" s="18">
        <v>1122</v>
      </c>
      <c r="F524" s="157" t="s">
        <v>2142</v>
      </c>
      <c r="G524" s="18">
        <v>112205</v>
      </c>
      <c r="H524" s="18" t="s">
        <v>2247</v>
      </c>
      <c r="K524" s="18">
        <v>11220503</v>
      </c>
      <c r="L524" s="10" t="s">
        <v>2256</v>
      </c>
      <c r="N524" s="19"/>
      <c r="O524" s="19"/>
      <c r="P524" s="19"/>
      <c r="Q524" s="19"/>
      <c r="R524" s="19"/>
      <c r="S524" s="19"/>
      <c r="U524" s="283" t="e">
        <v>#N/A</v>
      </c>
      <c r="V524" s="323" t="s">
        <v>2262</v>
      </c>
      <c r="W524" s="283">
        <v>1</v>
      </c>
      <c r="X524" s="283">
        <v>0</v>
      </c>
      <c r="Y524" s="283">
        <v>0</v>
      </c>
      <c r="Z524" s="283">
        <v>1</v>
      </c>
      <c r="AA524" s="283">
        <v>0</v>
      </c>
      <c r="AB524" s="283">
        <v>0</v>
      </c>
      <c r="AC524" s="316">
        <v>1</v>
      </c>
      <c r="AD524" s="316">
        <v>1</v>
      </c>
      <c r="AE524" s="302">
        <f t="shared" si="61"/>
        <v>0.5</v>
      </c>
      <c r="AF524" s="310"/>
      <c r="AG524" s="17">
        <v>0</v>
      </c>
      <c r="AH524" s="310">
        <v>2.5</v>
      </c>
      <c r="AI524" s="310">
        <v>1.5</v>
      </c>
      <c r="AJ524" s="310">
        <v>3</v>
      </c>
      <c r="AK524" s="317">
        <v>1.8</v>
      </c>
      <c r="AL524" s="317">
        <v>1.2</v>
      </c>
      <c r="AM524" s="17">
        <f t="shared" si="62"/>
        <v>3</v>
      </c>
      <c r="AN524" s="283" t="s">
        <v>2084</v>
      </c>
      <c r="AO524" s="18" t="s">
        <v>241</v>
      </c>
      <c r="AP524" s="283" t="s">
        <v>119</v>
      </c>
    </row>
    <row r="525" spans="1:42" s="18" customFormat="1" hidden="1" x14ac:dyDescent="0.3">
      <c r="A525" s="156" t="s">
        <v>1455</v>
      </c>
      <c r="B525" s="18" t="s">
        <v>2061</v>
      </c>
      <c r="C525" s="18">
        <v>112</v>
      </c>
      <c r="D525" s="18" t="s">
        <v>2141</v>
      </c>
      <c r="E525" s="18">
        <v>1122</v>
      </c>
      <c r="F525" s="157" t="s">
        <v>2142</v>
      </c>
      <c r="G525" s="18">
        <v>112205</v>
      </c>
      <c r="H525" s="18" t="s">
        <v>2247</v>
      </c>
      <c r="K525" s="18">
        <v>11220503</v>
      </c>
      <c r="L525" s="10" t="s">
        <v>2256</v>
      </c>
      <c r="N525" s="19"/>
      <c r="O525" s="19"/>
      <c r="P525" s="19"/>
      <c r="Q525" s="19"/>
      <c r="R525" s="19"/>
      <c r="S525" s="19"/>
      <c r="U525" s="283" t="e">
        <v>#N/A</v>
      </c>
      <c r="V525" s="323" t="s">
        <v>2263</v>
      </c>
      <c r="W525" s="283">
        <v>1</v>
      </c>
      <c r="X525" s="283">
        <v>0</v>
      </c>
      <c r="Y525" s="283">
        <v>0</v>
      </c>
      <c r="Z525" s="283">
        <v>1</v>
      </c>
      <c r="AA525" s="283">
        <v>0</v>
      </c>
      <c r="AB525" s="283">
        <v>1</v>
      </c>
      <c r="AC525" s="316">
        <v>1</v>
      </c>
      <c r="AD525" s="316">
        <v>0</v>
      </c>
      <c r="AE525" s="302">
        <f t="shared" si="61"/>
        <v>0.5</v>
      </c>
      <c r="AF525" s="17"/>
      <c r="AG525" s="17">
        <v>0</v>
      </c>
      <c r="AH525" s="17">
        <v>0</v>
      </c>
      <c r="AI525" s="17">
        <v>0</v>
      </c>
      <c r="AJ525" s="17">
        <v>0</v>
      </c>
      <c r="AK525" s="153">
        <v>0</v>
      </c>
      <c r="AL525" s="154">
        <v>0</v>
      </c>
      <c r="AM525" s="17">
        <f t="shared" si="62"/>
        <v>0</v>
      </c>
      <c r="AN525" s="283" t="s">
        <v>2084</v>
      </c>
      <c r="AO525" s="18" t="s">
        <v>241</v>
      </c>
      <c r="AP525" s="283" t="s">
        <v>119</v>
      </c>
    </row>
    <row r="526" spans="1:42" s="18" customFormat="1" hidden="1" x14ac:dyDescent="0.3">
      <c r="A526" s="156" t="s">
        <v>1455</v>
      </c>
      <c r="B526" s="18" t="s">
        <v>2061</v>
      </c>
      <c r="C526" s="18">
        <v>112</v>
      </c>
      <c r="D526" s="18" t="s">
        <v>2141</v>
      </c>
      <c r="E526" s="18">
        <v>1122</v>
      </c>
      <c r="F526" s="157" t="s">
        <v>2142</v>
      </c>
      <c r="G526" s="18">
        <v>112205</v>
      </c>
      <c r="H526" s="18" t="s">
        <v>2247</v>
      </c>
      <c r="K526" s="18">
        <v>11220504</v>
      </c>
      <c r="L526" s="10" t="s">
        <v>2264</v>
      </c>
      <c r="M526" s="10" t="s">
        <v>2265</v>
      </c>
      <c r="N526" s="19">
        <v>0</v>
      </c>
      <c r="O526" s="19"/>
      <c r="P526" s="19"/>
      <c r="Q526" s="19"/>
      <c r="R526" s="19">
        <v>1</v>
      </c>
      <c r="S526" s="19"/>
      <c r="T526" s="10" t="s">
        <v>2250</v>
      </c>
      <c r="U526" s="283" t="e">
        <v>#N/A</v>
      </c>
      <c r="V526" s="323" t="s">
        <v>2266</v>
      </c>
      <c r="W526" s="283">
        <v>1</v>
      </c>
      <c r="X526" s="283">
        <v>0</v>
      </c>
      <c r="Y526" s="283">
        <v>0</v>
      </c>
      <c r="Z526" s="283">
        <v>1</v>
      </c>
      <c r="AA526" s="283">
        <v>0</v>
      </c>
      <c r="AB526" s="283">
        <v>1</v>
      </c>
      <c r="AC526" s="316">
        <v>1</v>
      </c>
      <c r="AD526" s="316">
        <v>0</v>
      </c>
      <c r="AE526" s="302">
        <f t="shared" si="61"/>
        <v>0.5</v>
      </c>
      <c r="AF526" s="310"/>
      <c r="AG526" s="17">
        <v>0</v>
      </c>
      <c r="AH526" s="310">
        <v>5</v>
      </c>
      <c r="AI526" s="310">
        <v>4</v>
      </c>
      <c r="AJ526" s="310">
        <v>3</v>
      </c>
      <c r="AK526" s="317">
        <v>0</v>
      </c>
      <c r="AL526" s="317">
        <v>0</v>
      </c>
      <c r="AM526" s="17">
        <f t="shared" si="62"/>
        <v>0</v>
      </c>
      <c r="AN526" s="283" t="s">
        <v>1576</v>
      </c>
      <c r="AO526" s="18" t="s">
        <v>241</v>
      </c>
      <c r="AP526" s="283" t="s">
        <v>119</v>
      </c>
    </row>
    <row r="527" spans="1:42" s="18" customFormat="1" hidden="1" x14ac:dyDescent="0.3">
      <c r="A527" s="156" t="s">
        <v>1455</v>
      </c>
      <c r="B527" s="18" t="s">
        <v>2061</v>
      </c>
      <c r="C527" s="18">
        <v>112</v>
      </c>
      <c r="D527" s="18" t="s">
        <v>2141</v>
      </c>
      <c r="E527" s="18">
        <v>1122</v>
      </c>
      <c r="F527" s="157" t="s">
        <v>2142</v>
      </c>
      <c r="G527" s="18">
        <v>112205</v>
      </c>
      <c r="H527" s="18" t="s">
        <v>2247</v>
      </c>
      <c r="K527" s="18">
        <v>11220504</v>
      </c>
      <c r="L527" s="10" t="s">
        <v>2264</v>
      </c>
      <c r="M527" s="18" t="s">
        <v>2267</v>
      </c>
      <c r="N527" s="19"/>
      <c r="O527" s="19"/>
      <c r="P527" s="19">
        <v>2</v>
      </c>
      <c r="Q527" s="19">
        <v>2</v>
      </c>
      <c r="R527" s="19">
        <v>2</v>
      </c>
      <c r="S527" s="19">
        <v>2</v>
      </c>
      <c r="T527" s="18" t="s">
        <v>2250</v>
      </c>
      <c r="U527" s="283" t="e">
        <v>#N/A</v>
      </c>
      <c r="V527" s="323" t="s">
        <v>2268</v>
      </c>
      <c r="W527" s="283">
        <v>1</v>
      </c>
      <c r="X527" s="283">
        <v>0</v>
      </c>
      <c r="Y527" s="283">
        <v>0</v>
      </c>
      <c r="Z527" s="283">
        <v>1</v>
      </c>
      <c r="AA527" s="283">
        <v>0</v>
      </c>
      <c r="AB527" s="283">
        <v>1</v>
      </c>
      <c r="AC527" s="316">
        <v>1</v>
      </c>
      <c r="AD527" s="316">
        <v>0</v>
      </c>
      <c r="AE527" s="302">
        <f t="shared" si="61"/>
        <v>0.5</v>
      </c>
      <c r="AF527" s="310"/>
      <c r="AG527" s="17">
        <v>0</v>
      </c>
      <c r="AH527" s="310">
        <v>0.75</v>
      </c>
      <c r="AI527" s="310">
        <v>1.2</v>
      </c>
      <c r="AJ527" s="310">
        <v>1.5</v>
      </c>
      <c r="AK527" s="317">
        <v>0</v>
      </c>
      <c r="AL527" s="317">
        <v>0</v>
      </c>
      <c r="AM527" s="17">
        <f t="shared" si="62"/>
        <v>0</v>
      </c>
      <c r="AN527" s="283" t="s">
        <v>2084</v>
      </c>
      <c r="AO527" s="18" t="s">
        <v>241</v>
      </c>
      <c r="AP527" s="283" t="s">
        <v>119</v>
      </c>
    </row>
    <row r="528" spans="1:42" s="18" customFormat="1" hidden="1" x14ac:dyDescent="0.3">
      <c r="A528" s="156" t="s">
        <v>1455</v>
      </c>
      <c r="B528" s="18" t="s">
        <v>2061</v>
      </c>
      <c r="C528" s="18">
        <v>112</v>
      </c>
      <c r="D528" s="18" t="s">
        <v>2141</v>
      </c>
      <c r="E528" s="18">
        <v>1122</v>
      </c>
      <c r="F528" s="157" t="s">
        <v>2142</v>
      </c>
      <c r="G528" s="18">
        <v>112205</v>
      </c>
      <c r="H528" s="18" t="s">
        <v>2247</v>
      </c>
      <c r="K528" s="18">
        <v>11220504</v>
      </c>
      <c r="L528" s="10" t="s">
        <v>2264</v>
      </c>
      <c r="M528" s="18" t="s">
        <v>2269</v>
      </c>
      <c r="N528" s="19">
        <v>0</v>
      </c>
      <c r="O528" s="19" t="s">
        <v>271</v>
      </c>
      <c r="P528" s="19">
        <v>1</v>
      </c>
      <c r="Q528" s="19" t="s">
        <v>271</v>
      </c>
      <c r="R528" s="19" t="s">
        <v>271</v>
      </c>
      <c r="S528" s="19" t="s">
        <v>271</v>
      </c>
      <c r="T528" s="18" t="s">
        <v>2068</v>
      </c>
      <c r="U528" s="283" t="e">
        <v>#N/A</v>
      </c>
      <c r="V528" s="283" t="s">
        <v>2270</v>
      </c>
      <c r="W528" s="283">
        <v>1</v>
      </c>
      <c r="X528" s="283">
        <v>0</v>
      </c>
      <c r="Y528" s="283">
        <v>0</v>
      </c>
      <c r="Z528" s="283">
        <v>1</v>
      </c>
      <c r="AA528" s="283">
        <v>1</v>
      </c>
      <c r="AB528" s="283">
        <v>0</v>
      </c>
      <c r="AC528" s="316">
        <v>0</v>
      </c>
      <c r="AD528" s="316">
        <v>1</v>
      </c>
      <c r="AE528" s="302">
        <f t="shared" si="61"/>
        <v>0.5</v>
      </c>
      <c r="AF528" s="310"/>
      <c r="AG528" s="17">
        <v>0</v>
      </c>
      <c r="AH528" s="310">
        <v>0.75</v>
      </c>
      <c r="AI528" s="310">
        <v>1</v>
      </c>
      <c r="AJ528" s="310">
        <v>1.25</v>
      </c>
      <c r="AK528" s="319">
        <v>1.1000000000000001</v>
      </c>
      <c r="AL528" s="319">
        <v>1.35</v>
      </c>
      <c r="AM528" s="17">
        <f t="shared" si="62"/>
        <v>2.4500000000000002</v>
      </c>
      <c r="AN528" s="283" t="s">
        <v>2084</v>
      </c>
      <c r="AO528" s="18" t="s">
        <v>241</v>
      </c>
      <c r="AP528" s="283" t="s">
        <v>119</v>
      </c>
    </row>
    <row r="529" spans="1:42" s="18" customFormat="1" hidden="1" x14ac:dyDescent="0.3">
      <c r="A529" s="156" t="s">
        <v>1455</v>
      </c>
      <c r="B529" s="18" t="s">
        <v>2061</v>
      </c>
      <c r="C529" s="18">
        <v>112</v>
      </c>
      <c r="D529" s="18" t="s">
        <v>2141</v>
      </c>
      <c r="E529" s="18">
        <v>1122</v>
      </c>
      <c r="F529" s="157" t="s">
        <v>2142</v>
      </c>
      <c r="G529" s="18">
        <v>112205</v>
      </c>
      <c r="H529" s="18" t="s">
        <v>2247</v>
      </c>
      <c r="K529" s="18">
        <v>11220504</v>
      </c>
      <c r="L529" s="10" t="s">
        <v>2264</v>
      </c>
      <c r="M529" s="18" t="s">
        <v>2271</v>
      </c>
      <c r="N529" s="19"/>
      <c r="O529" s="19">
        <v>5</v>
      </c>
      <c r="P529" s="19">
        <v>7</v>
      </c>
      <c r="Q529" s="19">
        <v>10</v>
      </c>
      <c r="R529" s="19">
        <v>15</v>
      </c>
      <c r="S529" s="19">
        <v>20</v>
      </c>
      <c r="T529" s="18" t="s">
        <v>2068</v>
      </c>
      <c r="U529" s="283" t="e">
        <v>#N/A</v>
      </c>
      <c r="V529" s="283" t="s">
        <v>2272</v>
      </c>
      <c r="W529" s="283">
        <v>1</v>
      </c>
      <c r="X529" s="283">
        <v>0</v>
      </c>
      <c r="Y529" s="283">
        <v>1</v>
      </c>
      <c r="Z529" s="283">
        <v>1</v>
      </c>
      <c r="AA529" s="283">
        <v>0</v>
      </c>
      <c r="AB529" s="283">
        <v>0</v>
      </c>
      <c r="AC529" s="316">
        <v>0</v>
      </c>
      <c r="AD529" s="316">
        <v>1</v>
      </c>
      <c r="AE529" s="302">
        <f t="shared" si="61"/>
        <v>0.5</v>
      </c>
      <c r="AF529" s="310"/>
      <c r="AG529" s="17">
        <v>0</v>
      </c>
      <c r="AH529" s="310">
        <v>0.75</v>
      </c>
      <c r="AI529" s="310">
        <v>1</v>
      </c>
      <c r="AJ529" s="310">
        <v>0.75</v>
      </c>
      <c r="AK529" s="319">
        <v>0.65</v>
      </c>
      <c r="AL529" s="319">
        <v>0.7</v>
      </c>
      <c r="AM529" s="17">
        <f t="shared" si="62"/>
        <v>1.35</v>
      </c>
      <c r="AN529" s="283" t="s">
        <v>2084</v>
      </c>
      <c r="AO529" s="18" t="s">
        <v>241</v>
      </c>
      <c r="AP529" s="283" t="s">
        <v>119</v>
      </c>
    </row>
    <row r="530" spans="1:42" s="18" customFormat="1" hidden="1" x14ac:dyDescent="0.3">
      <c r="A530" s="156" t="s">
        <v>1455</v>
      </c>
      <c r="B530" s="18" t="s">
        <v>2061</v>
      </c>
      <c r="C530" s="18">
        <v>112</v>
      </c>
      <c r="D530" s="18" t="s">
        <v>2141</v>
      </c>
      <c r="E530" s="18">
        <v>1122</v>
      </c>
      <c r="F530" s="157" t="s">
        <v>2142</v>
      </c>
      <c r="G530" s="18">
        <v>112205</v>
      </c>
      <c r="H530" s="18" t="s">
        <v>2247</v>
      </c>
      <c r="K530" s="18">
        <v>11220504</v>
      </c>
      <c r="L530" s="10" t="s">
        <v>2264</v>
      </c>
      <c r="M530" s="18" t="s">
        <v>2273</v>
      </c>
      <c r="N530" s="19">
        <v>0</v>
      </c>
      <c r="O530" s="19"/>
      <c r="P530" s="19">
        <v>1</v>
      </c>
      <c r="Q530" s="19">
        <v>2</v>
      </c>
      <c r="R530" s="19">
        <v>2</v>
      </c>
      <c r="S530" s="19">
        <v>2</v>
      </c>
      <c r="T530" s="18" t="s">
        <v>2068</v>
      </c>
      <c r="U530" s="283" t="e">
        <v>#N/A</v>
      </c>
      <c r="V530" s="283" t="s">
        <v>2274</v>
      </c>
      <c r="W530" s="283"/>
      <c r="X530" s="283"/>
      <c r="Y530" s="283"/>
      <c r="Z530" s="283"/>
      <c r="AA530" s="283"/>
      <c r="AB530" s="283"/>
      <c r="AC530" s="316">
        <v>0</v>
      </c>
      <c r="AD530" s="316">
        <v>0</v>
      </c>
      <c r="AE530" s="302">
        <f t="shared" si="61"/>
        <v>0</v>
      </c>
      <c r="AF530" s="17"/>
      <c r="AG530" s="17">
        <v>0</v>
      </c>
      <c r="AH530" s="17">
        <v>0</v>
      </c>
      <c r="AI530" s="17">
        <v>0</v>
      </c>
      <c r="AJ530" s="17">
        <v>0</v>
      </c>
      <c r="AK530" s="153">
        <v>1.2</v>
      </c>
      <c r="AL530" s="154">
        <v>1.4</v>
      </c>
      <c r="AM530" s="17">
        <f t="shared" si="62"/>
        <v>2.5999999999999996</v>
      </c>
      <c r="AN530" s="283" t="s">
        <v>2084</v>
      </c>
      <c r="AO530" s="18" t="s">
        <v>241</v>
      </c>
      <c r="AP530" s="283" t="s">
        <v>119</v>
      </c>
    </row>
    <row r="531" spans="1:42" s="18" customFormat="1" hidden="1" x14ac:dyDescent="0.3">
      <c r="A531" s="156" t="s">
        <v>1455</v>
      </c>
      <c r="B531" s="18" t="s">
        <v>2061</v>
      </c>
      <c r="C531" s="18">
        <v>112</v>
      </c>
      <c r="D531" s="18" t="s">
        <v>2141</v>
      </c>
      <c r="E531" s="18">
        <v>1122</v>
      </c>
      <c r="F531" s="157" t="s">
        <v>2142</v>
      </c>
      <c r="G531" s="18">
        <v>112206</v>
      </c>
      <c r="H531" s="157" t="s">
        <v>2275</v>
      </c>
      <c r="I531" s="157"/>
      <c r="J531" s="157"/>
      <c r="K531" s="18">
        <v>11220601</v>
      </c>
      <c r="L531" s="157" t="s">
        <v>2276</v>
      </c>
      <c r="M531" s="157" t="s">
        <v>2277</v>
      </c>
      <c r="N531" s="19">
        <v>0</v>
      </c>
      <c r="O531" s="19" t="s">
        <v>271</v>
      </c>
      <c r="P531" s="19" t="s">
        <v>271</v>
      </c>
      <c r="Q531" s="19">
        <v>1</v>
      </c>
      <c r="R531" s="19" t="s">
        <v>271</v>
      </c>
      <c r="S531" s="19" t="s">
        <v>271</v>
      </c>
      <c r="T531" s="18" t="s">
        <v>2087</v>
      </c>
      <c r="U531" s="283" t="e">
        <v>#N/A</v>
      </c>
      <c r="V531" s="283" t="s">
        <v>2278</v>
      </c>
      <c r="W531" s="283">
        <v>1</v>
      </c>
      <c r="X531" s="283">
        <v>0</v>
      </c>
      <c r="Y531" s="283">
        <v>0</v>
      </c>
      <c r="Z531" s="283">
        <v>1</v>
      </c>
      <c r="AA531" s="283">
        <v>0</v>
      </c>
      <c r="AB531" s="283">
        <v>1</v>
      </c>
      <c r="AC531" s="316">
        <v>1</v>
      </c>
      <c r="AD531" s="316">
        <v>1</v>
      </c>
      <c r="AE531" s="302">
        <f t="shared" si="61"/>
        <v>0.625</v>
      </c>
      <c r="AF531" s="310"/>
      <c r="AG531" s="17">
        <v>0</v>
      </c>
      <c r="AH531" s="310">
        <v>10</v>
      </c>
      <c r="AI531" s="310">
        <v>13</v>
      </c>
      <c r="AJ531" s="310">
        <v>17</v>
      </c>
      <c r="AK531" s="317"/>
      <c r="AL531" s="317"/>
      <c r="AM531" s="17">
        <f t="shared" si="62"/>
        <v>0</v>
      </c>
      <c r="AN531" s="283" t="s">
        <v>239</v>
      </c>
      <c r="AO531" s="18" t="s">
        <v>241</v>
      </c>
      <c r="AP531" s="283" t="s">
        <v>2279</v>
      </c>
    </row>
    <row r="532" spans="1:42" s="18" customFormat="1" hidden="1" x14ac:dyDescent="0.3">
      <c r="A532" s="156" t="s">
        <v>1455</v>
      </c>
      <c r="B532" s="18" t="s">
        <v>2061</v>
      </c>
      <c r="C532" s="18">
        <v>112</v>
      </c>
      <c r="D532" s="18" t="s">
        <v>2141</v>
      </c>
      <c r="E532" s="18">
        <v>1122</v>
      </c>
      <c r="F532" s="157" t="s">
        <v>2142</v>
      </c>
      <c r="G532" s="18">
        <v>112206</v>
      </c>
      <c r="H532" s="157" t="s">
        <v>2275</v>
      </c>
      <c r="I532" s="157"/>
      <c r="J532" s="157"/>
      <c r="K532" s="18">
        <v>11220601</v>
      </c>
      <c r="L532" s="157" t="s">
        <v>2276</v>
      </c>
      <c r="M532" s="157"/>
      <c r="N532" s="19"/>
      <c r="O532" s="19"/>
      <c r="P532" s="19"/>
      <c r="Q532" s="19"/>
      <c r="R532" s="19"/>
      <c r="S532" s="19"/>
      <c r="U532" s="283" t="e">
        <v>#N/A</v>
      </c>
      <c r="V532" s="283" t="s">
        <v>2280</v>
      </c>
      <c r="W532" s="283"/>
      <c r="X532" s="283"/>
      <c r="Y532" s="283"/>
      <c r="Z532" s="283"/>
      <c r="AA532" s="283"/>
      <c r="AB532" s="283"/>
      <c r="AC532" s="316">
        <v>0</v>
      </c>
      <c r="AD532" s="316">
        <v>0</v>
      </c>
      <c r="AE532" s="302">
        <f t="shared" si="61"/>
        <v>0</v>
      </c>
      <c r="AF532" s="17"/>
      <c r="AG532" s="17">
        <v>0</v>
      </c>
      <c r="AH532" s="17">
        <v>0</v>
      </c>
      <c r="AI532" s="17">
        <v>0</v>
      </c>
      <c r="AJ532" s="17">
        <v>0</v>
      </c>
      <c r="AK532" s="153">
        <v>0.5</v>
      </c>
      <c r="AL532" s="154">
        <v>0.75</v>
      </c>
      <c r="AM532" s="17">
        <f t="shared" si="62"/>
        <v>1.25</v>
      </c>
      <c r="AN532" s="283" t="s">
        <v>239</v>
      </c>
      <c r="AO532" s="18" t="s">
        <v>241</v>
      </c>
      <c r="AP532" s="283" t="s">
        <v>2279</v>
      </c>
    </row>
    <row r="533" spans="1:42" s="18" customFormat="1" hidden="1" x14ac:dyDescent="0.3">
      <c r="A533" s="156" t="s">
        <v>1455</v>
      </c>
      <c r="B533" s="18" t="s">
        <v>2061</v>
      </c>
      <c r="C533" s="18">
        <v>112</v>
      </c>
      <c r="D533" s="18" t="s">
        <v>2141</v>
      </c>
      <c r="E533" s="18">
        <v>1122</v>
      </c>
      <c r="F533" s="157" t="s">
        <v>2142</v>
      </c>
      <c r="G533" s="18">
        <v>112206</v>
      </c>
      <c r="H533" s="157" t="s">
        <v>2275</v>
      </c>
      <c r="I533" s="157"/>
      <c r="J533" s="157"/>
      <c r="K533" s="18">
        <v>11220602</v>
      </c>
      <c r="L533" s="157" t="s">
        <v>2281</v>
      </c>
      <c r="M533" s="157" t="s">
        <v>2282</v>
      </c>
      <c r="N533" s="19">
        <v>0</v>
      </c>
      <c r="O533" s="19">
        <v>1</v>
      </c>
      <c r="P533" s="149">
        <v>27</v>
      </c>
      <c r="Q533" s="149">
        <v>44</v>
      </c>
      <c r="R533" s="149">
        <v>27</v>
      </c>
      <c r="S533" s="149">
        <v>33</v>
      </c>
      <c r="T533" s="18" t="s">
        <v>2087</v>
      </c>
      <c r="U533" s="283" t="e">
        <v>#N/A</v>
      </c>
      <c r="V533" s="283" t="s">
        <v>2283</v>
      </c>
      <c r="W533" s="283">
        <v>1</v>
      </c>
      <c r="X533" s="283">
        <v>0</v>
      </c>
      <c r="Y533" s="283">
        <v>0</v>
      </c>
      <c r="Z533" s="283">
        <v>1</v>
      </c>
      <c r="AA533" s="283">
        <v>0</v>
      </c>
      <c r="AB533" s="283">
        <v>1</v>
      </c>
      <c r="AC533" s="316">
        <v>1</v>
      </c>
      <c r="AD533" s="316">
        <v>1</v>
      </c>
      <c r="AE533" s="302">
        <f t="shared" si="61"/>
        <v>0.625</v>
      </c>
      <c r="AF533" s="17"/>
      <c r="AG533" s="17">
        <v>0</v>
      </c>
      <c r="AH533" s="17">
        <v>0</v>
      </c>
      <c r="AI533" s="17">
        <v>0</v>
      </c>
      <c r="AJ533" s="17">
        <v>0</v>
      </c>
      <c r="AK533" s="317"/>
      <c r="AL533" s="317"/>
      <c r="AM533" s="17">
        <f t="shared" si="62"/>
        <v>0</v>
      </c>
      <c r="AN533" s="283" t="s">
        <v>239</v>
      </c>
      <c r="AO533" s="18" t="s">
        <v>241</v>
      </c>
      <c r="AP533" s="283" t="s">
        <v>2279</v>
      </c>
    </row>
    <row r="534" spans="1:42" s="18" customFormat="1" hidden="1" x14ac:dyDescent="0.3">
      <c r="A534" s="156" t="s">
        <v>1455</v>
      </c>
      <c r="B534" s="18" t="s">
        <v>2061</v>
      </c>
      <c r="C534" s="18">
        <v>113</v>
      </c>
      <c r="D534" s="18" t="s">
        <v>2284</v>
      </c>
      <c r="E534" s="18">
        <v>1133</v>
      </c>
      <c r="F534" s="157" t="s">
        <v>2285</v>
      </c>
      <c r="G534" s="157">
        <v>113301</v>
      </c>
      <c r="H534" s="157" t="s">
        <v>2286</v>
      </c>
      <c r="I534" s="157"/>
      <c r="J534" s="157"/>
      <c r="K534" s="157">
        <v>11330101</v>
      </c>
      <c r="L534" s="157" t="s">
        <v>2287</v>
      </c>
      <c r="M534" s="18" t="s">
        <v>2288</v>
      </c>
      <c r="N534" s="160">
        <v>0</v>
      </c>
      <c r="O534" s="160" t="s">
        <v>271</v>
      </c>
      <c r="P534" s="160">
        <v>1</v>
      </c>
      <c r="Q534" s="160" t="s">
        <v>271</v>
      </c>
      <c r="R534" s="160" t="s">
        <v>271</v>
      </c>
      <c r="S534" s="160" t="s">
        <v>271</v>
      </c>
      <c r="T534" s="18" t="s">
        <v>2087</v>
      </c>
      <c r="U534" s="283" t="e">
        <v>#N/A</v>
      </c>
      <c r="V534" s="324" t="s">
        <v>2289</v>
      </c>
      <c r="W534" s="283">
        <v>1</v>
      </c>
      <c r="X534" s="283">
        <v>0</v>
      </c>
      <c r="Y534" s="283">
        <v>0</v>
      </c>
      <c r="Z534" s="283">
        <v>1</v>
      </c>
      <c r="AA534" s="283">
        <v>0</v>
      </c>
      <c r="AB534" s="283">
        <v>1</v>
      </c>
      <c r="AC534" s="316">
        <v>0</v>
      </c>
      <c r="AD534" s="316">
        <v>1</v>
      </c>
      <c r="AE534" s="302">
        <f t="shared" si="61"/>
        <v>0.5</v>
      </c>
      <c r="AF534" s="310"/>
      <c r="AG534" s="17">
        <v>0</v>
      </c>
      <c r="AH534" s="310">
        <v>0.15</v>
      </c>
      <c r="AI534" s="310">
        <v>0</v>
      </c>
      <c r="AJ534" s="310">
        <v>0</v>
      </c>
      <c r="AK534" s="319">
        <v>1.5</v>
      </c>
      <c r="AL534" s="319">
        <v>1.75</v>
      </c>
      <c r="AM534" s="17">
        <f t="shared" si="62"/>
        <v>3.25</v>
      </c>
      <c r="AN534" s="283" t="s">
        <v>239</v>
      </c>
      <c r="AO534" s="18" t="s">
        <v>241</v>
      </c>
      <c r="AP534" s="283" t="s">
        <v>2290</v>
      </c>
    </row>
    <row r="535" spans="1:42" s="18" customFormat="1" hidden="1" x14ac:dyDescent="0.3">
      <c r="A535" s="156" t="s">
        <v>1455</v>
      </c>
      <c r="B535" s="18" t="s">
        <v>2061</v>
      </c>
      <c r="C535" s="18">
        <v>113</v>
      </c>
      <c r="D535" s="18" t="s">
        <v>2284</v>
      </c>
      <c r="E535" s="18">
        <v>1133</v>
      </c>
      <c r="F535" s="157" t="s">
        <v>2285</v>
      </c>
      <c r="G535" s="157">
        <v>113301</v>
      </c>
      <c r="H535" s="157" t="s">
        <v>2286</v>
      </c>
      <c r="I535" s="157"/>
      <c r="J535" s="157"/>
      <c r="K535" s="157">
        <v>11330102</v>
      </c>
      <c r="L535" s="157" t="s">
        <v>2291</v>
      </c>
      <c r="M535" s="18" t="s">
        <v>2292</v>
      </c>
      <c r="N535" s="160">
        <v>1</v>
      </c>
      <c r="O535" s="160"/>
      <c r="P535" s="160">
        <v>3</v>
      </c>
      <c r="Q535" s="160">
        <v>5</v>
      </c>
      <c r="R535" s="160">
        <v>7</v>
      </c>
      <c r="S535" s="160">
        <v>9</v>
      </c>
      <c r="T535" s="18" t="s">
        <v>2087</v>
      </c>
      <c r="U535" s="283" t="e">
        <v>#N/A</v>
      </c>
      <c r="V535" s="283" t="s">
        <v>2293</v>
      </c>
      <c r="W535" s="283">
        <v>1</v>
      </c>
      <c r="X535" s="283">
        <v>0</v>
      </c>
      <c r="Y535" s="283">
        <v>0</v>
      </c>
      <c r="Z535" s="283">
        <v>1</v>
      </c>
      <c r="AA535" s="283">
        <v>1</v>
      </c>
      <c r="AB535" s="283">
        <v>0</v>
      </c>
      <c r="AC535" s="316">
        <v>0</v>
      </c>
      <c r="AD535" s="316">
        <v>1</v>
      </c>
      <c r="AE535" s="302">
        <f t="shared" si="61"/>
        <v>0.5</v>
      </c>
      <c r="AF535" s="17"/>
      <c r="AG535" s="17">
        <v>0</v>
      </c>
      <c r="AH535" s="17">
        <v>0</v>
      </c>
      <c r="AI535" s="17">
        <v>0</v>
      </c>
      <c r="AJ535" s="17">
        <v>0</v>
      </c>
      <c r="AK535" s="153">
        <v>0</v>
      </c>
      <c r="AL535" s="154">
        <v>0</v>
      </c>
      <c r="AM535" s="17">
        <f t="shared" si="62"/>
        <v>0</v>
      </c>
      <c r="AN535" s="283" t="s">
        <v>239</v>
      </c>
      <c r="AO535" s="18" t="s">
        <v>241</v>
      </c>
      <c r="AP535" s="283" t="s">
        <v>2294</v>
      </c>
    </row>
    <row r="536" spans="1:42" s="18" customFormat="1" hidden="1" x14ac:dyDescent="0.3">
      <c r="A536" s="156" t="s">
        <v>1455</v>
      </c>
      <c r="B536" s="18" t="s">
        <v>2061</v>
      </c>
      <c r="C536" s="18">
        <v>113</v>
      </c>
      <c r="D536" s="18" t="s">
        <v>2284</v>
      </c>
      <c r="E536" s="18">
        <v>1133</v>
      </c>
      <c r="F536" s="157" t="s">
        <v>2285</v>
      </c>
      <c r="G536" s="157">
        <v>113301</v>
      </c>
      <c r="H536" s="157" t="s">
        <v>2286</v>
      </c>
      <c r="I536" s="157"/>
      <c r="J536" s="157"/>
      <c r="K536" s="157">
        <v>11330103</v>
      </c>
      <c r="L536" s="157" t="s">
        <v>2295</v>
      </c>
      <c r="M536" s="157" t="s">
        <v>2296</v>
      </c>
      <c r="N536" s="19">
        <v>0</v>
      </c>
      <c r="O536" s="19" t="s">
        <v>271</v>
      </c>
      <c r="P536" s="19">
        <v>1</v>
      </c>
      <c r="Q536" s="19" t="s">
        <v>271</v>
      </c>
      <c r="R536" s="19" t="s">
        <v>271</v>
      </c>
      <c r="S536" s="19" t="s">
        <v>271</v>
      </c>
      <c r="T536" s="18" t="s">
        <v>2087</v>
      </c>
      <c r="U536" s="283" t="e">
        <v>#N/A</v>
      </c>
      <c r="V536" s="283" t="s">
        <v>2297</v>
      </c>
      <c r="W536" s="283">
        <v>1</v>
      </c>
      <c r="X536" s="283">
        <v>0</v>
      </c>
      <c r="Y536" s="283">
        <v>0</v>
      </c>
      <c r="Z536" s="283">
        <v>1</v>
      </c>
      <c r="AA536" s="283">
        <v>0</v>
      </c>
      <c r="AB536" s="283">
        <v>1</v>
      </c>
      <c r="AC536" s="316">
        <v>1</v>
      </c>
      <c r="AD536" s="316">
        <v>1</v>
      </c>
      <c r="AE536" s="302">
        <f t="shared" si="61"/>
        <v>0.625</v>
      </c>
      <c r="AF536" s="17"/>
      <c r="AG536" s="17">
        <v>0</v>
      </c>
      <c r="AH536" s="17">
        <v>0</v>
      </c>
      <c r="AI536" s="17">
        <v>0</v>
      </c>
      <c r="AJ536" s="17">
        <v>0</v>
      </c>
      <c r="AK536" s="153">
        <v>3.75</v>
      </c>
      <c r="AL536" s="153">
        <v>4.75</v>
      </c>
      <c r="AM536" s="17">
        <f t="shared" si="62"/>
        <v>8.5</v>
      </c>
      <c r="AN536" s="283" t="s">
        <v>239</v>
      </c>
      <c r="AO536" s="18" t="s">
        <v>241</v>
      </c>
      <c r="AP536" s="283" t="s">
        <v>2298</v>
      </c>
    </row>
    <row r="537" spans="1:42" s="18" customFormat="1" x14ac:dyDescent="0.3">
      <c r="A537" s="156" t="s">
        <v>1455</v>
      </c>
      <c r="B537" s="18" t="s">
        <v>2061</v>
      </c>
      <c r="C537" s="18">
        <v>113</v>
      </c>
      <c r="D537" s="18" t="s">
        <v>2284</v>
      </c>
      <c r="E537" s="18">
        <v>1133</v>
      </c>
      <c r="F537" s="157" t="s">
        <v>2285</v>
      </c>
      <c r="G537" s="157">
        <v>113302</v>
      </c>
      <c r="H537" s="157" t="s">
        <v>2299</v>
      </c>
      <c r="I537" s="157"/>
      <c r="J537" s="157"/>
      <c r="K537" s="157">
        <v>11330201</v>
      </c>
      <c r="L537" s="157" t="s">
        <v>2300</v>
      </c>
      <c r="M537" s="157" t="s">
        <v>2301</v>
      </c>
      <c r="N537" s="19">
        <v>0</v>
      </c>
      <c r="O537" s="19" t="s">
        <v>271</v>
      </c>
      <c r="P537" s="19" t="s">
        <v>271</v>
      </c>
      <c r="Q537" s="19">
        <v>5</v>
      </c>
      <c r="R537" s="19">
        <v>10</v>
      </c>
      <c r="S537" s="19">
        <v>20</v>
      </c>
      <c r="T537" s="18" t="s">
        <v>2072</v>
      </c>
      <c r="U537" s="283" t="e">
        <v>#N/A</v>
      </c>
      <c r="V537" s="107" t="s">
        <v>2302</v>
      </c>
      <c r="W537" s="16">
        <v>1</v>
      </c>
      <c r="X537" s="16">
        <v>0</v>
      </c>
      <c r="Y537" s="16">
        <v>0</v>
      </c>
      <c r="Z537" s="16">
        <v>1</v>
      </c>
      <c r="AA537" s="16">
        <v>1</v>
      </c>
      <c r="AB537" s="16">
        <v>1</v>
      </c>
      <c r="AC537" s="316">
        <v>1</v>
      </c>
      <c r="AD537" s="316">
        <v>1</v>
      </c>
      <c r="AE537" s="302">
        <f t="shared" si="61"/>
        <v>0.75</v>
      </c>
      <c r="AF537" s="310">
        <v>1</v>
      </c>
      <c r="AG537" s="17">
        <v>1</v>
      </c>
      <c r="AH537" s="310">
        <v>60.2</v>
      </c>
      <c r="AI537" s="310">
        <v>65.13</v>
      </c>
      <c r="AJ537" s="310">
        <v>65.2</v>
      </c>
      <c r="AK537" s="317">
        <v>1.75</v>
      </c>
      <c r="AL537" s="317">
        <v>2</v>
      </c>
      <c r="AM537" s="17">
        <f t="shared" si="62"/>
        <v>3.75</v>
      </c>
      <c r="AN537" s="283" t="s">
        <v>2074</v>
      </c>
      <c r="AO537" s="18" t="s">
        <v>2075</v>
      </c>
      <c r="AP537" s="283" t="s">
        <v>2303</v>
      </c>
    </row>
    <row r="538" spans="1:42" s="18" customFormat="1" x14ac:dyDescent="0.3">
      <c r="A538" s="156" t="s">
        <v>1455</v>
      </c>
      <c r="B538" s="18" t="s">
        <v>2061</v>
      </c>
      <c r="C538" s="18">
        <v>113</v>
      </c>
      <c r="D538" s="18" t="s">
        <v>2284</v>
      </c>
      <c r="E538" s="18">
        <v>1133</v>
      </c>
      <c r="F538" s="157" t="s">
        <v>2285</v>
      </c>
      <c r="G538" s="157">
        <v>113302</v>
      </c>
      <c r="H538" s="157" t="s">
        <v>2299</v>
      </c>
      <c r="I538" s="157"/>
      <c r="J538" s="157"/>
      <c r="K538" s="157">
        <v>11330202</v>
      </c>
      <c r="L538" s="157" t="s">
        <v>2304</v>
      </c>
      <c r="M538" s="157" t="s">
        <v>2305</v>
      </c>
      <c r="N538" s="19">
        <v>0</v>
      </c>
      <c r="O538" s="19">
        <v>1</v>
      </c>
      <c r="P538" s="19">
        <v>1</v>
      </c>
      <c r="Q538" s="19">
        <v>1</v>
      </c>
      <c r="R538" s="19">
        <v>1</v>
      </c>
      <c r="S538" s="19">
        <v>1</v>
      </c>
      <c r="T538" s="18" t="s">
        <v>2087</v>
      </c>
      <c r="U538" s="283" t="e">
        <v>#N/A</v>
      </c>
      <c r="V538" s="107" t="s">
        <v>2306</v>
      </c>
      <c r="W538" s="18">
        <v>1</v>
      </c>
      <c r="X538" s="18">
        <v>1</v>
      </c>
      <c r="Y538" s="18">
        <v>1</v>
      </c>
      <c r="Z538" s="18">
        <v>1</v>
      </c>
      <c r="AA538" s="18">
        <v>1</v>
      </c>
      <c r="AB538" s="18">
        <v>1</v>
      </c>
      <c r="AC538" s="316">
        <v>0</v>
      </c>
      <c r="AD538" s="316">
        <v>0</v>
      </c>
      <c r="AE538" s="302">
        <f t="shared" si="61"/>
        <v>0.75</v>
      </c>
      <c r="AF538" s="310"/>
      <c r="AG538" s="17">
        <v>0</v>
      </c>
      <c r="AH538" s="310">
        <v>0.2</v>
      </c>
      <c r="AI538" s="310">
        <v>0.2</v>
      </c>
      <c r="AJ538" s="310">
        <v>0.2</v>
      </c>
      <c r="AK538" s="317">
        <v>0.45</v>
      </c>
      <c r="AL538" s="317">
        <v>0.1</v>
      </c>
      <c r="AM538" s="17">
        <f t="shared" si="62"/>
        <v>0.55000000000000004</v>
      </c>
      <c r="AN538" s="283" t="s">
        <v>239</v>
      </c>
      <c r="AO538" s="18" t="s">
        <v>241</v>
      </c>
      <c r="AP538" s="283" t="s">
        <v>2307</v>
      </c>
    </row>
    <row r="539" spans="1:42" s="18" customFormat="1" hidden="1" x14ac:dyDescent="0.3">
      <c r="A539" s="156" t="s">
        <v>1455</v>
      </c>
      <c r="B539" s="18" t="s">
        <v>2061</v>
      </c>
      <c r="C539" s="18">
        <v>113</v>
      </c>
      <c r="D539" s="18" t="s">
        <v>2284</v>
      </c>
      <c r="E539" s="18">
        <v>1133</v>
      </c>
      <c r="F539" s="157" t="s">
        <v>2285</v>
      </c>
      <c r="G539" s="157">
        <v>113302</v>
      </c>
      <c r="H539" s="157" t="s">
        <v>2299</v>
      </c>
      <c r="I539" s="157"/>
      <c r="J539" s="157"/>
      <c r="K539" s="157">
        <v>11330203</v>
      </c>
      <c r="L539" s="157" t="s">
        <v>2308</v>
      </c>
      <c r="M539" s="157" t="s">
        <v>2309</v>
      </c>
      <c r="N539" s="19">
        <v>6</v>
      </c>
      <c r="O539" s="19">
        <v>8</v>
      </c>
      <c r="P539" s="19">
        <v>11</v>
      </c>
      <c r="Q539" s="19">
        <v>14</v>
      </c>
      <c r="R539" s="19">
        <v>17</v>
      </c>
      <c r="S539" s="19">
        <v>20</v>
      </c>
      <c r="T539" s="18" t="s">
        <v>2087</v>
      </c>
      <c r="U539" s="283" t="e">
        <v>#N/A</v>
      </c>
      <c r="V539" s="163" t="s">
        <v>2310</v>
      </c>
      <c r="W539" s="18">
        <v>1</v>
      </c>
      <c r="X539" s="18">
        <v>0</v>
      </c>
      <c r="Y539" s="18">
        <v>0</v>
      </c>
      <c r="Z539" s="18">
        <v>1</v>
      </c>
      <c r="AA539" s="18">
        <v>0</v>
      </c>
      <c r="AB539" s="18">
        <v>0</v>
      </c>
      <c r="AC539" s="316">
        <v>0</v>
      </c>
      <c r="AD539" s="316">
        <v>1</v>
      </c>
      <c r="AE539" s="302">
        <f t="shared" si="61"/>
        <v>0.375</v>
      </c>
      <c r="AF539" s="17"/>
      <c r="AG539" s="17">
        <v>0</v>
      </c>
      <c r="AH539" s="17">
        <v>0</v>
      </c>
      <c r="AI539" s="17">
        <v>0</v>
      </c>
      <c r="AJ539" s="17">
        <v>0</v>
      </c>
      <c r="AK539" s="317"/>
      <c r="AL539" s="317"/>
      <c r="AM539" s="17">
        <f t="shared" si="62"/>
        <v>0</v>
      </c>
      <c r="AN539" s="283" t="s">
        <v>239</v>
      </c>
      <c r="AO539" s="18" t="s">
        <v>241</v>
      </c>
      <c r="AP539" s="283" t="s">
        <v>2311</v>
      </c>
    </row>
    <row r="540" spans="1:42" s="18" customFormat="1" x14ac:dyDescent="0.3">
      <c r="A540" s="156" t="s">
        <v>1455</v>
      </c>
      <c r="B540" s="18" t="s">
        <v>2061</v>
      </c>
      <c r="C540" s="18">
        <v>113</v>
      </c>
      <c r="D540" s="18" t="s">
        <v>2284</v>
      </c>
      <c r="E540" s="18">
        <v>1133</v>
      </c>
      <c r="F540" s="157" t="s">
        <v>2285</v>
      </c>
      <c r="G540" s="157">
        <v>113302</v>
      </c>
      <c r="H540" s="157" t="s">
        <v>2299</v>
      </c>
      <c r="I540" s="157"/>
      <c r="J540" s="157"/>
      <c r="K540" s="157">
        <v>11330204</v>
      </c>
      <c r="L540" s="157" t="s">
        <v>2312</v>
      </c>
      <c r="M540" s="157" t="s">
        <v>2313</v>
      </c>
      <c r="N540" s="19">
        <v>3</v>
      </c>
      <c r="O540" s="19" t="s">
        <v>271</v>
      </c>
      <c r="P540" s="19">
        <v>4</v>
      </c>
      <c r="Q540" s="19">
        <v>5</v>
      </c>
      <c r="R540" s="19">
        <v>6</v>
      </c>
      <c r="S540" s="19" t="s">
        <v>271</v>
      </c>
      <c r="T540" s="18" t="s">
        <v>2072</v>
      </c>
      <c r="U540" s="283" t="e">
        <v>#N/A</v>
      </c>
      <c r="V540" s="325" t="s">
        <v>2314</v>
      </c>
      <c r="W540" s="283">
        <v>1</v>
      </c>
      <c r="X540" s="283">
        <v>0</v>
      </c>
      <c r="Y540" s="283">
        <v>0</v>
      </c>
      <c r="Z540" s="283">
        <v>1</v>
      </c>
      <c r="AA540" s="283">
        <v>1</v>
      </c>
      <c r="AB540" s="283">
        <v>1</v>
      </c>
      <c r="AC540" s="316">
        <v>1</v>
      </c>
      <c r="AD540" s="316">
        <v>1</v>
      </c>
      <c r="AE540" s="302">
        <f t="shared" si="61"/>
        <v>0.75</v>
      </c>
      <c r="AF540" s="310">
        <v>1</v>
      </c>
      <c r="AG540" s="17">
        <v>1</v>
      </c>
      <c r="AH540" s="310">
        <v>0.1</v>
      </c>
      <c r="AI540" s="310">
        <v>0.1</v>
      </c>
      <c r="AJ540" s="310">
        <v>0.1</v>
      </c>
      <c r="AK540" s="164">
        <v>5.81</v>
      </c>
      <c r="AL540" s="165">
        <v>6.39</v>
      </c>
      <c r="AM540" s="17">
        <f t="shared" si="62"/>
        <v>12.2</v>
      </c>
      <c r="AN540" s="283" t="s">
        <v>2074</v>
      </c>
      <c r="AO540" s="18" t="s">
        <v>2075</v>
      </c>
      <c r="AP540" s="283" t="s">
        <v>2315</v>
      </c>
    </row>
    <row r="541" spans="1:42" s="18" customFormat="1" hidden="1" x14ac:dyDescent="0.3">
      <c r="A541" s="156" t="s">
        <v>1455</v>
      </c>
      <c r="B541" s="18" t="s">
        <v>2061</v>
      </c>
      <c r="C541" s="18">
        <v>113</v>
      </c>
      <c r="D541" s="18" t="s">
        <v>2284</v>
      </c>
      <c r="E541" s="18">
        <v>1133</v>
      </c>
      <c r="F541" s="157" t="s">
        <v>2285</v>
      </c>
      <c r="G541" s="157">
        <v>113302</v>
      </c>
      <c r="H541" s="157" t="s">
        <v>2299</v>
      </c>
      <c r="I541" s="157"/>
      <c r="J541" s="157"/>
      <c r="K541" s="157">
        <v>11330205</v>
      </c>
      <c r="L541" s="157" t="s">
        <v>2316</v>
      </c>
      <c r="M541" s="157" t="s">
        <v>2317</v>
      </c>
      <c r="N541" s="19">
        <v>10</v>
      </c>
      <c r="O541" s="19">
        <v>0</v>
      </c>
      <c r="P541" s="19">
        <v>3</v>
      </c>
      <c r="Q541" s="19">
        <v>3</v>
      </c>
      <c r="R541" s="19">
        <v>2</v>
      </c>
      <c r="S541" s="19">
        <v>2</v>
      </c>
      <c r="T541" s="18" t="s">
        <v>2318</v>
      </c>
      <c r="U541" s="283" t="e">
        <v>#N/A</v>
      </c>
      <c r="V541" s="326" t="s">
        <v>2319</v>
      </c>
      <c r="W541" s="283">
        <v>1</v>
      </c>
      <c r="X541" s="283"/>
      <c r="Y541" s="283"/>
      <c r="Z541" s="283">
        <v>1</v>
      </c>
      <c r="AA541" s="283">
        <v>1</v>
      </c>
      <c r="AB541" s="283">
        <v>1</v>
      </c>
      <c r="AC541" s="316">
        <v>1</v>
      </c>
      <c r="AD541" s="316">
        <v>0</v>
      </c>
      <c r="AE541" s="302">
        <f t="shared" si="61"/>
        <v>0.625</v>
      </c>
      <c r="AF541" s="310">
        <v>1</v>
      </c>
      <c r="AG541" s="17">
        <v>0</v>
      </c>
      <c r="AH541" s="310">
        <v>0.3</v>
      </c>
      <c r="AI541" s="310">
        <v>0.3</v>
      </c>
      <c r="AJ541" s="310">
        <v>0.3</v>
      </c>
      <c r="AK541" s="317">
        <v>0.3</v>
      </c>
      <c r="AL541" s="317">
        <v>0.3</v>
      </c>
      <c r="AM541" s="17">
        <f t="shared" si="62"/>
        <v>0.6</v>
      </c>
      <c r="AN541" s="283" t="s">
        <v>2074</v>
      </c>
      <c r="AO541" s="18" t="s">
        <v>2075</v>
      </c>
      <c r="AP541" s="283" t="s">
        <v>2315</v>
      </c>
    </row>
    <row r="542" spans="1:42" s="18" customFormat="1" hidden="1" x14ac:dyDescent="0.3">
      <c r="A542" s="156" t="s">
        <v>1455</v>
      </c>
      <c r="B542" s="18" t="s">
        <v>2061</v>
      </c>
      <c r="C542" s="18">
        <v>113</v>
      </c>
      <c r="D542" s="18" t="s">
        <v>2284</v>
      </c>
      <c r="E542" s="18">
        <v>1133</v>
      </c>
      <c r="F542" s="157" t="s">
        <v>2285</v>
      </c>
      <c r="G542" s="157">
        <v>113302</v>
      </c>
      <c r="H542" s="157" t="s">
        <v>2299</v>
      </c>
      <c r="I542" s="157"/>
      <c r="J542" s="157"/>
      <c r="K542" s="157">
        <v>11330205</v>
      </c>
      <c r="L542" s="157" t="s">
        <v>2316</v>
      </c>
      <c r="M542" s="157"/>
      <c r="N542" s="19"/>
      <c r="O542" s="19"/>
      <c r="P542" s="19"/>
      <c r="Q542" s="19"/>
      <c r="R542" s="19"/>
      <c r="S542" s="19"/>
      <c r="U542" s="283" t="e">
        <v>#N/A</v>
      </c>
      <c r="V542" s="283" t="s">
        <v>2320</v>
      </c>
      <c r="W542" s="283">
        <v>1</v>
      </c>
      <c r="X542" s="283">
        <v>0</v>
      </c>
      <c r="Y542" s="283">
        <v>0</v>
      </c>
      <c r="Z542" s="283">
        <v>1</v>
      </c>
      <c r="AA542" s="283">
        <v>0</v>
      </c>
      <c r="AB542" s="283">
        <v>1</v>
      </c>
      <c r="AC542" s="316">
        <v>1</v>
      </c>
      <c r="AD542" s="316">
        <v>0</v>
      </c>
      <c r="AE542" s="302">
        <f t="shared" si="61"/>
        <v>0.5</v>
      </c>
      <c r="AF542" s="310"/>
      <c r="AG542" s="17">
        <v>0</v>
      </c>
      <c r="AH542" s="310">
        <v>0</v>
      </c>
      <c r="AI542" s="310">
        <v>0</v>
      </c>
      <c r="AJ542" s="310">
        <v>6.4619999999999997</v>
      </c>
      <c r="AK542" s="317">
        <v>5.47</v>
      </c>
      <c r="AL542" s="317">
        <v>5.38</v>
      </c>
      <c r="AM542" s="17">
        <f t="shared" si="62"/>
        <v>10.85</v>
      </c>
      <c r="AN542" s="283" t="s">
        <v>2074</v>
      </c>
      <c r="AO542" s="18" t="s">
        <v>2075</v>
      </c>
      <c r="AP542" s="283" t="s">
        <v>2315</v>
      </c>
    </row>
    <row r="543" spans="1:42" s="18" customFormat="1" hidden="1" x14ac:dyDescent="0.3">
      <c r="A543" s="156" t="s">
        <v>1455</v>
      </c>
      <c r="B543" s="18" t="s">
        <v>2061</v>
      </c>
      <c r="C543" s="18">
        <v>113</v>
      </c>
      <c r="D543" s="18" t="s">
        <v>2284</v>
      </c>
      <c r="E543" s="18">
        <v>1133</v>
      </c>
      <c r="F543" s="157" t="s">
        <v>2285</v>
      </c>
      <c r="G543" s="157">
        <v>113302</v>
      </c>
      <c r="H543" s="157" t="s">
        <v>2299</v>
      </c>
      <c r="I543" s="157"/>
      <c r="J543" s="157"/>
      <c r="K543" s="157">
        <v>11330205</v>
      </c>
      <c r="L543" s="157" t="s">
        <v>2316</v>
      </c>
      <c r="M543" s="157"/>
      <c r="N543" s="19"/>
      <c r="O543" s="19"/>
      <c r="P543" s="19"/>
      <c r="Q543" s="19"/>
      <c r="R543" s="19"/>
      <c r="S543" s="19"/>
      <c r="U543" s="283" t="e">
        <v>#N/A</v>
      </c>
      <c r="V543" s="283" t="s">
        <v>2321</v>
      </c>
      <c r="W543" s="283">
        <v>1</v>
      </c>
      <c r="X543" s="283">
        <v>0</v>
      </c>
      <c r="Y543" s="283">
        <v>0</v>
      </c>
      <c r="Z543" s="283">
        <v>1</v>
      </c>
      <c r="AA543" s="283">
        <v>1</v>
      </c>
      <c r="AB543" s="283">
        <v>1</v>
      </c>
      <c r="AC543" s="316">
        <v>0</v>
      </c>
      <c r="AD543" s="316">
        <v>0</v>
      </c>
      <c r="AE543" s="302">
        <f t="shared" si="61"/>
        <v>0.5</v>
      </c>
      <c r="AF543" s="310"/>
      <c r="AG543" s="17">
        <v>0</v>
      </c>
      <c r="AH543" s="310">
        <v>0.1</v>
      </c>
      <c r="AI543" s="310">
        <v>0.1</v>
      </c>
      <c r="AJ543" s="310">
        <v>0.1</v>
      </c>
      <c r="AK543" s="317">
        <v>0.1</v>
      </c>
      <c r="AL543" s="317">
        <v>0.1</v>
      </c>
      <c r="AM543" s="17">
        <f t="shared" si="62"/>
        <v>0.2</v>
      </c>
      <c r="AN543" s="283" t="s">
        <v>2074</v>
      </c>
      <c r="AO543" s="18" t="s">
        <v>2075</v>
      </c>
      <c r="AP543" s="283" t="s">
        <v>2315</v>
      </c>
    </row>
    <row r="544" spans="1:42" s="18" customFormat="1" hidden="1" x14ac:dyDescent="0.3">
      <c r="A544" s="156" t="s">
        <v>1455</v>
      </c>
      <c r="B544" s="18" t="s">
        <v>2061</v>
      </c>
      <c r="C544" s="18">
        <v>113</v>
      </c>
      <c r="D544" s="18" t="s">
        <v>2284</v>
      </c>
      <c r="E544" s="18">
        <v>1133</v>
      </c>
      <c r="F544" s="157" t="s">
        <v>2285</v>
      </c>
      <c r="G544" s="157">
        <v>113302</v>
      </c>
      <c r="H544" s="157" t="s">
        <v>2299</v>
      </c>
      <c r="I544" s="157"/>
      <c r="J544" s="157"/>
      <c r="K544" s="157">
        <v>11330205</v>
      </c>
      <c r="L544" s="157" t="s">
        <v>2316</v>
      </c>
      <c r="M544" s="157"/>
      <c r="N544" s="19"/>
      <c r="O544" s="19"/>
      <c r="P544" s="19"/>
      <c r="Q544" s="19"/>
      <c r="R544" s="19"/>
      <c r="S544" s="19"/>
      <c r="U544" s="283" t="e">
        <v>#N/A</v>
      </c>
      <c r="V544" s="283" t="s">
        <v>2322</v>
      </c>
      <c r="W544" s="283">
        <v>1</v>
      </c>
      <c r="X544" s="283">
        <v>0</v>
      </c>
      <c r="Y544" s="283">
        <v>0</v>
      </c>
      <c r="Z544" s="283">
        <v>1</v>
      </c>
      <c r="AA544" s="283">
        <v>1</v>
      </c>
      <c r="AB544" s="283">
        <v>1</v>
      </c>
      <c r="AC544" s="316">
        <v>0</v>
      </c>
      <c r="AD544" s="316">
        <v>0</v>
      </c>
      <c r="AE544" s="302">
        <f t="shared" si="61"/>
        <v>0.5</v>
      </c>
      <c r="AF544" s="310"/>
      <c r="AG544" s="17">
        <v>0</v>
      </c>
      <c r="AH544" s="310">
        <v>0</v>
      </c>
      <c r="AI544" s="310">
        <v>0.5</v>
      </c>
      <c r="AJ544" s="310">
        <v>0.5</v>
      </c>
      <c r="AK544" s="317">
        <v>0.5</v>
      </c>
      <c r="AL544" s="317">
        <v>0.5</v>
      </c>
      <c r="AM544" s="17">
        <f t="shared" si="62"/>
        <v>1</v>
      </c>
      <c r="AN544" s="283" t="s">
        <v>2323</v>
      </c>
      <c r="AO544" s="18" t="s">
        <v>241</v>
      </c>
      <c r="AP544" s="283" t="s">
        <v>119</v>
      </c>
    </row>
    <row r="545" spans="1:42" s="18" customFormat="1" hidden="1" x14ac:dyDescent="0.3">
      <c r="A545" s="156" t="s">
        <v>1455</v>
      </c>
      <c r="B545" s="18" t="s">
        <v>2061</v>
      </c>
      <c r="C545" s="18">
        <v>113</v>
      </c>
      <c r="D545" s="18" t="s">
        <v>2284</v>
      </c>
      <c r="E545" s="18">
        <v>1133</v>
      </c>
      <c r="F545" s="157" t="s">
        <v>2285</v>
      </c>
      <c r="G545" s="157">
        <v>113302</v>
      </c>
      <c r="H545" s="157" t="s">
        <v>2299</v>
      </c>
      <c r="I545" s="157"/>
      <c r="J545" s="157"/>
      <c r="K545" s="157">
        <v>11330206</v>
      </c>
      <c r="L545" s="157" t="s">
        <v>2324</v>
      </c>
      <c r="M545" s="157" t="s">
        <v>2325</v>
      </c>
      <c r="N545" s="19">
        <v>0</v>
      </c>
      <c r="O545" s="19">
        <v>0</v>
      </c>
      <c r="P545" s="19">
        <v>2</v>
      </c>
      <c r="Q545" s="19">
        <v>2</v>
      </c>
      <c r="R545" s="19">
        <v>2</v>
      </c>
      <c r="S545" s="19">
        <v>2</v>
      </c>
      <c r="T545" s="18" t="s">
        <v>2318</v>
      </c>
      <c r="U545" s="283" t="e">
        <v>#N/A</v>
      </c>
      <c r="V545" s="18" t="s">
        <v>2326</v>
      </c>
      <c r="AC545" s="316">
        <v>0</v>
      </c>
      <c r="AD545" s="316">
        <v>0</v>
      </c>
      <c r="AE545" s="302">
        <f t="shared" si="61"/>
        <v>0</v>
      </c>
      <c r="AF545" s="17"/>
      <c r="AG545" s="17">
        <v>0</v>
      </c>
      <c r="AH545" s="17">
        <v>0</v>
      </c>
      <c r="AI545" s="17">
        <v>0</v>
      </c>
      <c r="AJ545" s="17">
        <v>0</v>
      </c>
      <c r="AK545" s="153">
        <v>0</v>
      </c>
      <c r="AL545" s="317" t="s">
        <v>2089</v>
      </c>
      <c r="AM545" s="17">
        <f t="shared" si="62"/>
        <v>0</v>
      </c>
      <c r="AN545" s="283" t="s">
        <v>2323</v>
      </c>
      <c r="AO545" s="18" t="s">
        <v>241</v>
      </c>
      <c r="AP545" s="283" t="s">
        <v>119</v>
      </c>
    </row>
    <row r="546" spans="1:42" s="18" customFormat="1" x14ac:dyDescent="0.3">
      <c r="A546" s="156" t="s">
        <v>1455</v>
      </c>
      <c r="B546" s="18" t="s">
        <v>2061</v>
      </c>
      <c r="C546" s="18">
        <v>113</v>
      </c>
      <c r="D546" s="18" t="s">
        <v>2284</v>
      </c>
      <c r="E546" s="18">
        <v>1133</v>
      </c>
      <c r="F546" s="157" t="s">
        <v>2285</v>
      </c>
      <c r="G546" s="157">
        <v>113303</v>
      </c>
      <c r="H546" s="157" t="s">
        <v>2327</v>
      </c>
      <c r="I546" s="157"/>
      <c r="J546" s="157"/>
      <c r="K546" s="157">
        <v>11330301</v>
      </c>
      <c r="L546" s="161" t="s">
        <v>2328</v>
      </c>
      <c r="M546" s="157" t="s">
        <v>2329</v>
      </c>
      <c r="N546" s="19">
        <v>72</v>
      </c>
      <c r="O546" s="19">
        <v>112</v>
      </c>
      <c r="P546" s="19">
        <v>152</v>
      </c>
      <c r="Q546" s="19">
        <v>200</v>
      </c>
      <c r="R546" s="19">
        <v>242</v>
      </c>
      <c r="S546" s="19">
        <v>282</v>
      </c>
      <c r="T546" s="18" t="s">
        <v>2087</v>
      </c>
      <c r="U546" s="283" t="e">
        <v>#N/A</v>
      </c>
      <c r="V546" s="326" t="s">
        <v>2330</v>
      </c>
      <c r="W546" s="283">
        <v>1</v>
      </c>
      <c r="X546" s="283">
        <v>1</v>
      </c>
      <c r="Y546" s="283">
        <v>1</v>
      </c>
      <c r="Z546" s="283">
        <v>1</v>
      </c>
      <c r="AA546" s="283">
        <v>1</v>
      </c>
      <c r="AB546" s="283">
        <v>1</v>
      </c>
      <c r="AC546" s="316">
        <v>0</v>
      </c>
      <c r="AD546" s="316">
        <v>1</v>
      </c>
      <c r="AE546" s="302">
        <f t="shared" si="61"/>
        <v>0.875</v>
      </c>
      <c r="AF546" s="310"/>
      <c r="AG546" s="17">
        <v>0</v>
      </c>
      <c r="AH546" s="310">
        <v>20</v>
      </c>
      <c r="AI546" s="310">
        <v>20</v>
      </c>
      <c r="AJ546" s="310">
        <v>20</v>
      </c>
      <c r="AK546" s="317">
        <v>20</v>
      </c>
      <c r="AL546" s="317">
        <v>20</v>
      </c>
      <c r="AM546" s="17">
        <f t="shared" si="62"/>
        <v>40</v>
      </c>
      <c r="AN546" s="283" t="s">
        <v>239</v>
      </c>
      <c r="AO546" s="18" t="s">
        <v>241</v>
      </c>
      <c r="AP546" s="283" t="s">
        <v>2331</v>
      </c>
    </row>
    <row r="547" spans="1:42" s="18" customFormat="1" x14ac:dyDescent="0.3">
      <c r="A547" s="156" t="s">
        <v>1455</v>
      </c>
      <c r="B547" s="18" t="s">
        <v>2061</v>
      </c>
      <c r="C547" s="18">
        <v>113</v>
      </c>
      <c r="D547" s="18" t="s">
        <v>2284</v>
      </c>
      <c r="E547" s="18">
        <v>1133</v>
      </c>
      <c r="F547" s="157" t="s">
        <v>2285</v>
      </c>
      <c r="G547" s="157">
        <v>113303</v>
      </c>
      <c r="H547" s="157" t="s">
        <v>2327</v>
      </c>
      <c r="I547" s="157"/>
      <c r="J547" s="157"/>
      <c r="K547" s="157">
        <v>11330301</v>
      </c>
      <c r="L547" s="161" t="s">
        <v>2328</v>
      </c>
      <c r="M547" s="157" t="s">
        <v>2332</v>
      </c>
      <c r="N547" s="19">
        <v>200</v>
      </c>
      <c r="O547" s="19">
        <v>250</v>
      </c>
      <c r="P547" s="19">
        <v>300</v>
      </c>
      <c r="Q547" s="19">
        <v>350</v>
      </c>
      <c r="R547" s="19">
        <v>400</v>
      </c>
      <c r="S547" s="19">
        <v>450</v>
      </c>
      <c r="T547" s="18" t="s">
        <v>2087</v>
      </c>
      <c r="U547" s="283" t="e">
        <v>#N/A</v>
      </c>
      <c r="V547" s="166" t="s">
        <v>2333</v>
      </c>
      <c r="W547" s="283">
        <v>1</v>
      </c>
      <c r="X547" s="283">
        <v>1</v>
      </c>
      <c r="Y547" s="283">
        <v>1</v>
      </c>
      <c r="Z547" s="283">
        <v>1</v>
      </c>
      <c r="AA547" s="283">
        <v>0</v>
      </c>
      <c r="AB547" s="283">
        <v>1</v>
      </c>
      <c r="AC547" s="316">
        <v>0</v>
      </c>
      <c r="AD547" s="316">
        <v>1</v>
      </c>
      <c r="AE547" s="302">
        <f t="shared" si="61"/>
        <v>0.75</v>
      </c>
      <c r="AF547" s="17"/>
      <c r="AG547" s="17">
        <v>0</v>
      </c>
      <c r="AH547" s="17">
        <v>0</v>
      </c>
      <c r="AI547" s="17">
        <v>0</v>
      </c>
      <c r="AJ547" s="17">
        <v>0</v>
      </c>
      <c r="AK547" s="153">
        <v>0</v>
      </c>
      <c r="AL547" s="317">
        <v>0</v>
      </c>
      <c r="AM547" s="17">
        <f t="shared" si="62"/>
        <v>0</v>
      </c>
      <c r="AN547" s="283" t="s">
        <v>239</v>
      </c>
      <c r="AO547" s="18" t="s">
        <v>241</v>
      </c>
      <c r="AP547" s="283" t="s">
        <v>2334</v>
      </c>
    </row>
    <row r="548" spans="1:42" s="18" customFormat="1" hidden="1" x14ac:dyDescent="0.3">
      <c r="A548" s="156" t="s">
        <v>1455</v>
      </c>
      <c r="B548" s="18" t="s">
        <v>2061</v>
      </c>
      <c r="C548" s="18">
        <v>113</v>
      </c>
      <c r="D548" s="18" t="s">
        <v>2284</v>
      </c>
      <c r="E548" s="18">
        <v>1133</v>
      </c>
      <c r="F548" s="157" t="s">
        <v>2285</v>
      </c>
      <c r="G548" s="157">
        <v>113303</v>
      </c>
      <c r="H548" s="157" t="s">
        <v>2327</v>
      </c>
      <c r="I548" s="157"/>
      <c r="J548" s="157"/>
      <c r="K548" s="157">
        <v>11330302</v>
      </c>
      <c r="L548" s="157" t="s">
        <v>2335</v>
      </c>
      <c r="M548" s="157" t="s">
        <v>2336</v>
      </c>
      <c r="N548" s="19">
        <v>2</v>
      </c>
      <c r="O548" s="19">
        <v>3</v>
      </c>
      <c r="P548" s="19">
        <v>3</v>
      </c>
      <c r="Q548" s="19">
        <v>3</v>
      </c>
      <c r="R548" s="19">
        <v>3</v>
      </c>
      <c r="S548" s="19">
        <v>3</v>
      </c>
      <c r="T548" s="18" t="s">
        <v>2087</v>
      </c>
      <c r="U548" s="283" t="e">
        <v>#N/A</v>
      </c>
      <c r="V548" s="166" t="s">
        <v>2337</v>
      </c>
      <c r="W548" s="283">
        <v>1</v>
      </c>
      <c r="X548" s="283">
        <v>0</v>
      </c>
      <c r="Y548" s="283">
        <v>1</v>
      </c>
      <c r="Z548" s="283">
        <v>1</v>
      </c>
      <c r="AA548" s="283">
        <v>0</v>
      </c>
      <c r="AB548" s="283">
        <v>1</v>
      </c>
      <c r="AC548" s="316">
        <v>0</v>
      </c>
      <c r="AD548" s="316">
        <v>1</v>
      </c>
      <c r="AE548" s="302">
        <f t="shared" si="61"/>
        <v>0.625</v>
      </c>
      <c r="AF548" s="17"/>
      <c r="AG548" s="17">
        <v>0</v>
      </c>
      <c r="AH548" s="17">
        <v>0</v>
      </c>
      <c r="AI548" s="17">
        <v>0</v>
      </c>
      <c r="AJ548" s="17">
        <v>0</v>
      </c>
      <c r="AK548" s="153">
        <v>0</v>
      </c>
      <c r="AL548" s="317" t="s">
        <v>2089</v>
      </c>
      <c r="AM548" s="17">
        <f t="shared" si="62"/>
        <v>0</v>
      </c>
      <c r="AN548" s="283" t="s">
        <v>239</v>
      </c>
      <c r="AO548" s="18" t="s">
        <v>241</v>
      </c>
      <c r="AP548" s="18" t="s">
        <v>2338</v>
      </c>
    </row>
    <row r="549" spans="1:42" s="18" customFormat="1" hidden="1" x14ac:dyDescent="0.3">
      <c r="A549" s="156" t="s">
        <v>1455</v>
      </c>
      <c r="B549" s="18" t="s">
        <v>2061</v>
      </c>
      <c r="C549" s="18">
        <v>113</v>
      </c>
      <c r="D549" s="18" t="s">
        <v>2284</v>
      </c>
      <c r="E549" s="18">
        <v>1133</v>
      </c>
      <c r="F549" s="157" t="s">
        <v>2285</v>
      </c>
      <c r="G549" s="157">
        <v>113303</v>
      </c>
      <c r="H549" s="157" t="s">
        <v>2327</v>
      </c>
      <c r="I549" s="157"/>
      <c r="J549" s="157"/>
      <c r="K549" s="157">
        <v>11330303</v>
      </c>
      <c r="L549" s="157" t="s">
        <v>2339</v>
      </c>
      <c r="M549" s="157" t="s">
        <v>2259</v>
      </c>
      <c r="N549" s="19">
        <v>25</v>
      </c>
      <c r="O549" s="19">
        <v>45</v>
      </c>
      <c r="P549" s="19">
        <v>50</v>
      </c>
      <c r="Q549" s="19">
        <v>55</v>
      </c>
      <c r="R549" s="19">
        <v>60</v>
      </c>
      <c r="S549" s="19">
        <v>70</v>
      </c>
      <c r="T549" s="18" t="s">
        <v>2068</v>
      </c>
      <c r="U549" s="283" t="e">
        <v>#N/A</v>
      </c>
      <c r="V549" s="283" t="s">
        <v>2262</v>
      </c>
      <c r="W549" s="283">
        <v>1</v>
      </c>
      <c r="X549" s="283">
        <v>0</v>
      </c>
      <c r="Y549" s="283">
        <v>0</v>
      </c>
      <c r="Z549" s="283">
        <v>1</v>
      </c>
      <c r="AA549" s="283">
        <v>0</v>
      </c>
      <c r="AB549" s="283">
        <v>1</v>
      </c>
      <c r="AC549" s="316">
        <v>1</v>
      </c>
      <c r="AD549" s="316">
        <v>0</v>
      </c>
      <c r="AE549" s="302">
        <f t="shared" si="61"/>
        <v>0.5</v>
      </c>
      <c r="AF549" s="310">
        <v>1</v>
      </c>
      <c r="AG549" s="17">
        <v>0</v>
      </c>
      <c r="AH549" s="310">
        <v>2.5</v>
      </c>
      <c r="AI549" s="310">
        <v>1.5</v>
      </c>
      <c r="AJ549" s="310">
        <v>3</v>
      </c>
      <c r="AK549" s="317">
        <v>1.8</v>
      </c>
      <c r="AL549" s="317">
        <v>1.2</v>
      </c>
      <c r="AM549" s="17">
        <f t="shared" si="62"/>
        <v>3</v>
      </c>
      <c r="AN549" s="283" t="s">
        <v>2084</v>
      </c>
      <c r="AO549" s="18" t="s">
        <v>241</v>
      </c>
      <c r="AP549" s="283" t="s">
        <v>119</v>
      </c>
    </row>
    <row r="550" spans="1:42" s="18" customFormat="1" hidden="1" x14ac:dyDescent="0.3">
      <c r="A550" s="156" t="s">
        <v>1455</v>
      </c>
      <c r="B550" s="18" t="s">
        <v>2061</v>
      </c>
      <c r="C550" s="18">
        <v>113</v>
      </c>
      <c r="D550" s="18" t="s">
        <v>2284</v>
      </c>
      <c r="E550" s="18">
        <v>1133</v>
      </c>
      <c r="F550" s="157" t="s">
        <v>2285</v>
      </c>
      <c r="G550" s="157">
        <v>113303</v>
      </c>
      <c r="H550" s="157" t="s">
        <v>2327</v>
      </c>
      <c r="I550" s="157"/>
      <c r="J550" s="157"/>
      <c r="K550" s="157">
        <v>11330303</v>
      </c>
      <c r="L550" s="157" t="s">
        <v>2339</v>
      </c>
      <c r="M550" s="157"/>
      <c r="N550" s="19"/>
      <c r="O550" s="19"/>
      <c r="P550" s="19"/>
      <c r="Q550" s="19"/>
      <c r="R550" s="19"/>
      <c r="S550" s="19"/>
      <c r="T550" s="18" t="s">
        <v>2068</v>
      </c>
      <c r="U550" s="283" t="e">
        <v>#N/A</v>
      </c>
      <c r="V550" s="283" t="s">
        <v>2263</v>
      </c>
      <c r="W550" s="283">
        <v>1</v>
      </c>
      <c r="X550" s="283">
        <v>0</v>
      </c>
      <c r="Y550" s="283">
        <v>0</v>
      </c>
      <c r="Z550" s="283">
        <v>1</v>
      </c>
      <c r="AA550" s="283">
        <v>0</v>
      </c>
      <c r="AB550" s="283">
        <v>0</v>
      </c>
      <c r="AC550" s="316">
        <v>0</v>
      </c>
      <c r="AD550" s="316">
        <v>0</v>
      </c>
      <c r="AE550" s="302">
        <f t="shared" si="61"/>
        <v>0.25</v>
      </c>
      <c r="AF550" s="17"/>
      <c r="AG550" s="17">
        <v>0</v>
      </c>
      <c r="AH550" s="17">
        <v>0</v>
      </c>
      <c r="AI550" s="17">
        <v>0</v>
      </c>
      <c r="AJ550" s="17">
        <v>0</v>
      </c>
      <c r="AK550" s="153">
        <v>0.5</v>
      </c>
      <c r="AL550" s="154">
        <v>0.75</v>
      </c>
      <c r="AM550" s="17">
        <f t="shared" si="62"/>
        <v>1.25</v>
      </c>
      <c r="AN550" s="283" t="s">
        <v>2084</v>
      </c>
      <c r="AO550" s="18" t="s">
        <v>241</v>
      </c>
      <c r="AP550" s="283" t="s">
        <v>119</v>
      </c>
    </row>
    <row r="551" spans="1:42" s="18" customFormat="1" hidden="1" x14ac:dyDescent="0.3">
      <c r="A551" s="156" t="s">
        <v>1455</v>
      </c>
      <c r="B551" s="18" t="s">
        <v>2061</v>
      </c>
      <c r="C551" s="18">
        <v>113</v>
      </c>
      <c r="D551" s="18" t="s">
        <v>2284</v>
      </c>
      <c r="E551" s="18">
        <v>1133</v>
      </c>
      <c r="F551" s="157" t="s">
        <v>2285</v>
      </c>
      <c r="G551" s="157">
        <v>113304</v>
      </c>
      <c r="H551" s="157" t="s">
        <v>2340</v>
      </c>
      <c r="I551" s="157"/>
      <c r="J551" s="157"/>
      <c r="K551" s="157">
        <v>11330401</v>
      </c>
      <c r="L551" s="157" t="s">
        <v>2341</v>
      </c>
      <c r="M551" s="157" t="s">
        <v>2342</v>
      </c>
      <c r="N551" s="19">
        <v>1</v>
      </c>
      <c r="O551" s="19" t="s">
        <v>271</v>
      </c>
      <c r="P551" s="19">
        <v>1</v>
      </c>
      <c r="Q551" s="19">
        <v>1</v>
      </c>
      <c r="R551" s="19" t="s">
        <v>271</v>
      </c>
      <c r="S551" s="19">
        <v>2</v>
      </c>
      <c r="T551" s="18" t="s">
        <v>2087</v>
      </c>
      <c r="U551" s="283" t="e">
        <v>#N/A</v>
      </c>
      <c r="V551" s="283" t="s">
        <v>2343</v>
      </c>
      <c r="W551" s="283">
        <v>1</v>
      </c>
      <c r="X551" s="283">
        <v>0</v>
      </c>
      <c r="Y551" s="283">
        <v>0</v>
      </c>
      <c r="Z551" s="283">
        <v>1</v>
      </c>
      <c r="AA551" s="283">
        <v>0</v>
      </c>
      <c r="AB551" s="283">
        <v>0</v>
      </c>
      <c r="AC551" s="316">
        <v>1</v>
      </c>
      <c r="AD551" s="316">
        <v>0</v>
      </c>
      <c r="AE551" s="302">
        <f t="shared" si="61"/>
        <v>0.375</v>
      </c>
      <c r="AF551" s="310"/>
      <c r="AG551" s="17">
        <v>0</v>
      </c>
      <c r="AH551" s="310">
        <v>100</v>
      </c>
      <c r="AI551" s="310">
        <v>100</v>
      </c>
      <c r="AJ551" s="310">
        <v>114.02</v>
      </c>
      <c r="AK551" s="317"/>
      <c r="AL551" s="317"/>
      <c r="AM551" s="17">
        <f t="shared" si="62"/>
        <v>0</v>
      </c>
      <c r="AN551" s="283" t="s">
        <v>239</v>
      </c>
      <c r="AO551" s="18" t="s">
        <v>241</v>
      </c>
      <c r="AP551" s="283" t="s">
        <v>119</v>
      </c>
    </row>
    <row r="552" spans="1:42" s="18" customFormat="1" hidden="1" x14ac:dyDescent="0.3">
      <c r="A552" s="156" t="s">
        <v>1455</v>
      </c>
      <c r="B552" s="18" t="s">
        <v>2061</v>
      </c>
      <c r="C552" s="18">
        <v>113</v>
      </c>
      <c r="D552" s="18" t="s">
        <v>2284</v>
      </c>
      <c r="E552" s="18">
        <v>1133</v>
      </c>
      <c r="F552" s="157" t="s">
        <v>2285</v>
      </c>
      <c r="G552" s="157">
        <v>113304</v>
      </c>
      <c r="H552" s="157" t="s">
        <v>2340</v>
      </c>
      <c r="I552" s="157"/>
      <c r="J552" s="157"/>
      <c r="K552" s="157">
        <v>11330402</v>
      </c>
      <c r="L552" s="157" t="s">
        <v>2344</v>
      </c>
      <c r="M552" s="157" t="s">
        <v>2345</v>
      </c>
      <c r="N552" s="19">
        <v>1</v>
      </c>
      <c r="O552" s="19" t="s">
        <v>271</v>
      </c>
      <c r="P552" s="19">
        <v>2</v>
      </c>
      <c r="Q552" s="19" t="s">
        <v>271</v>
      </c>
      <c r="R552" s="19" t="s">
        <v>271</v>
      </c>
      <c r="S552" s="19" t="s">
        <v>271</v>
      </c>
      <c r="T552" s="18" t="s">
        <v>2087</v>
      </c>
      <c r="U552" s="283" t="e">
        <v>#N/A</v>
      </c>
      <c r="V552" s="283" t="s">
        <v>2346</v>
      </c>
      <c r="W552" s="283">
        <v>1</v>
      </c>
      <c r="X552" s="283">
        <v>0</v>
      </c>
      <c r="Y552" s="283">
        <v>0</v>
      </c>
      <c r="Z552" s="283">
        <v>1</v>
      </c>
      <c r="AA552" s="283">
        <v>0</v>
      </c>
      <c r="AB552" s="283">
        <v>1</v>
      </c>
      <c r="AC552" s="316">
        <v>1</v>
      </c>
      <c r="AD552" s="316">
        <v>0</v>
      </c>
      <c r="AE552" s="302">
        <f t="shared" si="61"/>
        <v>0.5</v>
      </c>
      <c r="AF552" s="17"/>
      <c r="AG552" s="17">
        <v>0</v>
      </c>
      <c r="AH552" s="17">
        <v>0</v>
      </c>
      <c r="AI552" s="17">
        <v>0</v>
      </c>
      <c r="AJ552" s="17">
        <v>0</v>
      </c>
      <c r="AK552" s="153">
        <v>0</v>
      </c>
      <c r="AL552" s="317" t="s">
        <v>2089</v>
      </c>
      <c r="AM552" s="17">
        <f t="shared" si="62"/>
        <v>0</v>
      </c>
      <c r="AN552" s="283" t="s">
        <v>239</v>
      </c>
      <c r="AO552" s="18" t="s">
        <v>241</v>
      </c>
      <c r="AP552" s="283" t="s">
        <v>2347</v>
      </c>
    </row>
    <row r="553" spans="1:42" s="18" customFormat="1" hidden="1" x14ac:dyDescent="0.3">
      <c r="A553" s="156" t="s">
        <v>1455</v>
      </c>
      <c r="B553" s="18" t="s">
        <v>2061</v>
      </c>
      <c r="C553" s="18">
        <v>113</v>
      </c>
      <c r="D553" s="18" t="s">
        <v>2284</v>
      </c>
      <c r="E553" s="18">
        <v>1133</v>
      </c>
      <c r="F553" s="157" t="s">
        <v>2285</v>
      </c>
      <c r="G553" s="157">
        <v>113305</v>
      </c>
      <c r="H553" s="157" t="s">
        <v>2348</v>
      </c>
      <c r="I553" s="157"/>
      <c r="J553" s="157"/>
      <c r="K553" s="157">
        <v>11330501</v>
      </c>
      <c r="L553" s="10" t="s">
        <v>2349</v>
      </c>
      <c r="M553" s="18" t="s">
        <v>2350</v>
      </c>
      <c r="N553" s="19">
        <v>0</v>
      </c>
      <c r="O553" s="19"/>
      <c r="P553" s="19"/>
      <c r="Q553" s="19"/>
      <c r="R553" s="19">
        <v>1</v>
      </c>
      <c r="S553" s="19"/>
      <c r="T553" s="18" t="s">
        <v>2068</v>
      </c>
      <c r="U553" s="283" t="e">
        <v>#N/A</v>
      </c>
      <c r="V553" s="18" t="s">
        <v>2351</v>
      </c>
      <c r="W553" s="18">
        <v>1</v>
      </c>
      <c r="X553" s="18">
        <v>0</v>
      </c>
      <c r="Y553" s="18">
        <v>0</v>
      </c>
      <c r="Z553" s="18">
        <v>1</v>
      </c>
      <c r="AA553" s="18">
        <v>0</v>
      </c>
      <c r="AB553" s="18">
        <v>0</v>
      </c>
      <c r="AC553" s="316">
        <v>0</v>
      </c>
      <c r="AD553" s="316">
        <v>1</v>
      </c>
      <c r="AE553" s="302">
        <f t="shared" si="61"/>
        <v>0.375</v>
      </c>
      <c r="AF553" s="310"/>
      <c r="AG553" s="17">
        <v>0</v>
      </c>
      <c r="AH553" s="310">
        <v>0</v>
      </c>
      <c r="AI553" s="310">
        <v>0.15</v>
      </c>
      <c r="AJ553" s="310">
        <v>0.25</v>
      </c>
      <c r="AK553" s="317">
        <v>0.1</v>
      </c>
      <c r="AL553" s="317">
        <v>0.2</v>
      </c>
      <c r="AM553" s="17">
        <f t="shared" si="62"/>
        <v>0.30000000000000004</v>
      </c>
      <c r="AN553" s="283" t="s">
        <v>2084</v>
      </c>
      <c r="AO553" s="18" t="s">
        <v>241</v>
      </c>
      <c r="AP553" s="283" t="s">
        <v>2352</v>
      </c>
    </row>
    <row r="554" spans="1:42" s="18" customFormat="1" hidden="1" x14ac:dyDescent="0.3">
      <c r="A554" s="156" t="s">
        <v>1455</v>
      </c>
      <c r="B554" s="18" t="s">
        <v>2061</v>
      </c>
      <c r="C554" s="18">
        <v>113</v>
      </c>
      <c r="D554" s="18" t="s">
        <v>2284</v>
      </c>
      <c r="E554" s="18">
        <v>1133</v>
      </c>
      <c r="F554" s="157" t="s">
        <v>2285</v>
      </c>
      <c r="G554" s="157">
        <v>113305</v>
      </c>
      <c r="H554" s="157" t="s">
        <v>2348</v>
      </c>
      <c r="I554" s="157"/>
      <c r="J554" s="157"/>
      <c r="K554" s="157">
        <v>11330501</v>
      </c>
      <c r="L554" s="10" t="s">
        <v>2349</v>
      </c>
      <c r="M554" s="18" t="s">
        <v>2353</v>
      </c>
      <c r="N554" s="19">
        <v>0</v>
      </c>
      <c r="O554" s="19"/>
      <c r="P554" s="19"/>
      <c r="Q554" s="19"/>
      <c r="R554" s="19">
        <v>1</v>
      </c>
      <c r="S554" s="19"/>
      <c r="T554" s="18" t="s">
        <v>2072</v>
      </c>
      <c r="U554" s="283" t="e">
        <v>#N/A</v>
      </c>
      <c r="V554" s="18" t="s">
        <v>2354</v>
      </c>
      <c r="W554" s="16">
        <v>1</v>
      </c>
      <c r="X554" s="16">
        <v>0</v>
      </c>
      <c r="Y554" s="16">
        <v>0</v>
      </c>
      <c r="Z554" s="16">
        <v>1</v>
      </c>
      <c r="AA554" s="16">
        <v>0</v>
      </c>
      <c r="AB554" s="16">
        <v>0</v>
      </c>
      <c r="AC554" s="316">
        <v>0</v>
      </c>
      <c r="AD554" s="316">
        <v>1</v>
      </c>
      <c r="AE554" s="302">
        <f t="shared" si="61"/>
        <v>0.375</v>
      </c>
      <c r="AF554" s="17">
        <v>0</v>
      </c>
      <c r="AG554" s="17">
        <v>0</v>
      </c>
      <c r="AH554" s="17">
        <v>0</v>
      </c>
      <c r="AI554" s="17">
        <v>0</v>
      </c>
      <c r="AJ554" s="17">
        <v>0</v>
      </c>
      <c r="AK554" s="319">
        <v>1.5</v>
      </c>
      <c r="AL554" s="319">
        <v>1.75</v>
      </c>
      <c r="AM554" s="17">
        <f t="shared" si="62"/>
        <v>3.25</v>
      </c>
      <c r="AN554" s="283" t="s">
        <v>2074</v>
      </c>
      <c r="AO554" s="18" t="s">
        <v>2075</v>
      </c>
      <c r="AP554" s="283" t="s">
        <v>2355</v>
      </c>
    </row>
    <row r="555" spans="1:42" s="18" customFormat="1" hidden="1" x14ac:dyDescent="0.3">
      <c r="A555" s="156" t="s">
        <v>1455</v>
      </c>
      <c r="B555" s="18" t="s">
        <v>2061</v>
      </c>
      <c r="C555" s="18">
        <v>113</v>
      </c>
      <c r="D555" s="18" t="s">
        <v>2284</v>
      </c>
      <c r="E555" s="18">
        <v>1134</v>
      </c>
      <c r="F555" s="157" t="s">
        <v>2356</v>
      </c>
      <c r="G555" s="18">
        <v>113401</v>
      </c>
      <c r="H555" s="157" t="s">
        <v>2357</v>
      </c>
      <c r="I555" s="157"/>
      <c r="J555" s="157"/>
      <c r="K555" s="157">
        <v>11340101</v>
      </c>
      <c r="L555" s="18" t="s">
        <v>2358</v>
      </c>
      <c r="M555" s="18" t="s">
        <v>2359</v>
      </c>
      <c r="N555" s="19">
        <v>0</v>
      </c>
      <c r="O555" s="19">
        <v>1</v>
      </c>
      <c r="P555" s="19"/>
      <c r="Q555" s="19"/>
      <c r="R555" s="19"/>
      <c r="S555" s="19"/>
      <c r="T555" s="18" t="s">
        <v>2087</v>
      </c>
      <c r="U555" s="283" t="e">
        <v>#N/A</v>
      </c>
      <c r="V555" s="283" t="s">
        <v>2360</v>
      </c>
      <c r="W555" s="283">
        <v>1</v>
      </c>
      <c r="X555" s="283">
        <v>0</v>
      </c>
      <c r="Y555" s="283">
        <v>0</v>
      </c>
      <c r="Z555" s="283">
        <v>1</v>
      </c>
      <c r="AA555" s="283">
        <v>1</v>
      </c>
      <c r="AB555" s="283">
        <v>0</v>
      </c>
      <c r="AC555" s="316">
        <v>1</v>
      </c>
      <c r="AD555" s="316">
        <v>0</v>
      </c>
      <c r="AE555" s="302">
        <f t="shared" si="61"/>
        <v>0.5</v>
      </c>
      <c r="AF555" s="310"/>
      <c r="AG555" s="17">
        <v>0</v>
      </c>
      <c r="AH555" s="310">
        <v>0.2</v>
      </c>
      <c r="AI555" s="310">
        <v>0.05</v>
      </c>
      <c r="AJ555" s="310">
        <v>0</v>
      </c>
      <c r="AK555" s="153">
        <v>0</v>
      </c>
      <c r="AL555" s="154">
        <v>0</v>
      </c>
      <c r="AM555" s="17">
        <f t="shared" si="62"/>
        <v>0</v>
      </c>
      <c r="AN555" s="283" t="s">
        <v>239</v>
      </c>
      <c r="AO555" s="18" t="s">
        <v>241</v>
      </c>
      <c r="AP555" s="283" t="s">
        <v>2361</v>
      </c>
    </row>
    <row r="556" spans="1:42" s="18" customFormat="1" hidden="1" x14ac:dyDescent="0.3">
      <c r="A556" s="156" t="s">
        <v>1455</v>
      </c>
      <c r="B556" s="18" t="s">
        <v>2061</v>
      </c>
      <c r="C556" s="18">
        <v>113</v>
      </c>
      <c r="D556" s="18" t="s">
        <v>2284</v>
      </c>
      <c r="E556" s="18">
        <v>1134</v>
      </c>
      <c r="F556" s="157" t="s">
        <v>2356</v>
      </c>
      <c r="G556" s="18">
        <v>113401</v>
      </c>
      <c r="H556" s="157" t="s">
        <v>2357</v>
      </c>
      <c r="I556" s="157"/>
      <c r="J556" s="157"/>
      <c r="K556" s="157">
        <v>11340102</v>
      </c>
      <c r="L556" s="157" t="s">
        <v>2362</v>
      </c>
      <c r="M556" s="157" t="s">
        <v>2363</v>
      </c>
      <c r="N556" s="19">
        <v>0</v>
      </c>
      <c r="O556" s="19">
        <v>25</v>
      </c>
      <c r="P556" s="19">
        <v>30</v>
      </c>
      <c r="Q556" s="19">
        <v>45</v>
      </c>
      <c r="R556" s="19">
        <v>50</v>
      </c>
      <c r="S556" s="19">
        <v>50</v>
      </c>
      <c r="T556" s="18" t="s">
        <v>2364</v>
      </c>
      <c r="U556" s="283" t="e">
        <v>#N/A</v>
      </c>
      <c r="V556" s="326" t="s">
        <v>2365</v>
      </c>
      <c r="W556" s="283">
        <v>1</v>
      </c>
      <c r="X556" s="283">
        <v>0</v>
      </c>
      <c r="Y556" s="283">
        <v>0</v>
      </c>
      <c r="Z556" s="283">
        <v>1</v>
      </c>
      <c r="AA556" s="283">
        <v>1</v>
      </c>
      <c r="AB556" s="283">
        <v>0</v>
      </c>
      <c r="AC556" s="316">
        <v>1</v>
      </c>
      <c r="AD556" s="316">
        <v>1</v>
      </c>
      <c r="AE556" s="302">
        <f t="shared" si="61"/>
        <v>0.625</v>
      </c>
      <c r="AF556" s="310"/>
      <c r="AG556" s="17">
        <v>0</v>
      </c>
      <c r="AH556" s="310">
        <v>0.3</v>
      </c>
      <c r="AI556" s="310">
        <v>0.3</v>
      </c>
      <c r="AJ556" s="310">
        <v>0.3</v>
      </c>
      <c r="AK556" s="153">
        <v>3.75</v>
      </c>
      <c r="AL556" s="153">
        <v>4.75</v>
      </c>
      <c r="AM556" s="17">
        <f t="shared" si="62"/>
        <v>8.5</v>
      </c>
      <c r="AN556" s="283" t="s">
        <v>2323</v>
      </c>
      <c r="AO556" s="18" t="s">
        <v>241</v>
      </c>
      <c r="AP556" s="283" t="s">
        <v>2366</v>
      </c>
    </row>
    <row r="557" spans="1:42" s="18" customFormat="1" hidden="1" x14ac:dyDescent="0.3">
      <c r="A557" s="156" t="s">
        <v>1455</v>
      </c>
      <c r="B557" s="18" t="s">
        <v>2061</v>
      </c>
      <c r="C557" s="18">
        <v>113</v>
      </c>
      <c r="D557" s="18" t="s">
        <v>2284</v>
      </c>
      <c r="E557" s="18">
        <v>1134</v>
      </c>
      <c r="F557" s="157" t="s">
        <v>2356</v>
      </c>
      <c r="G557" s="18">
        <v>113401</v>
      </c>
      <c r="H557" s="157" t="s">
        <v>2357</v>
      </c>
      <c r="I557" s="157"/>
      <c r="J557" s="157"/>
      <c r="K557" s="157">
        <v>11340102</v>
      </c>
      <c r="L557" s="157" t="s">
        <v>2362</v>
      </c>
      <c r="M557" s="157"/>
      <c r="N557" s="19"/>
      <c r="O557" s="19"/>
      <c r="P557" s="19"/>
      <c r="Q557" s="19"/>
      <c r="R557" s="19"/>
      <c r="S557" s="19"/>
      <c r="U557" s="283" t="e">
        <v>#N/A</v>
      </c>
      <c r="V557" s="326" t="s">
        <v>2367</v>
      </c>
      <c r="W557" s="283">
        <v>1</v>
      </c>
      <c r="X557" s="283">
        <v>0</v>
      </c>
      <c r="Y557" s="283">
        <v>0</v>
      </c>
      <c r="Z557" s="283">
        <v>1</v>
      </c>
      <c r="AA557" s="283">
        <v>1</v>
      </c>
      <c r="AB557" s="283">
        <v>0</v>
      </c>
      <c r="AC557" s="316">
        <v>1</v>
      </c>
      <c r="AD557" s="316">
        <v>1</v>
      </c>
      <c r="AE557" s="302">
        <f t="shared" si="61"/>
        <v>0.625</v>
      </c>
      <c r="AF557" s="17"/>
      <c r="AG557" s="17">
        <v>0</v>
      </c>
      <c r="AH557" s="17">
        <v>0</v>
      </c>
      <c r="AI557" s="17">
        <v>0</v>
      </c>
      <c r="AJ557" s="17">
        <v>0</v>
      </c>
      <c r="AK557" s="317">
        <v>1.75</v>
      </c>
      <c r="AL557" s="317">
        <v>2</v>
      </c>
      <c r="AM557" s="17">
        <f t="shared" si="62"/>
        <v>3.75</v>
      </c>
      <c r="AN557" s="283" t="s">
        <v>2323</v>
      </c>
      <c r="AO557" s="18" t="s">
        <v>241</v>
      </c>
      <c r="AP557" s="283" t="s">
        <v>2366</v>
      </c>
    </row>
    <row r="558" spans="1:42" s="18" customFormat="1" hidden="1" x14ac:dyDescent="0.3">
      <c r="A558" s="156" t="s">
        <v>1455</v>
      </c>
      <c r="B558" s="18" t="s">
        <v>2061</v>
      </c>
      <c r="C558" s="18">
        <v>113</v>
      </c>
      <c r="D558" s="18" t="s">
        <v>2284</v>
      </c>
      <c r="E558" s="18">
        <v>1134</v>
      </c>
      <c r="F558" s="157" t="s">
        <v>2356</v>
      </c>
      <c r="G558" s="18">
        <v>113401</v>
      </c>
      <c r="H558" s="157" t="s">
        <v>2357</v>
      </c>
      <c r="I558" s="157"/>
      <c r="J558" s="157"/>
      <c r="K558" s="157">
        <v>11340102</v>
      </c>
      <c r="L558" s="157" t="s">
        <v>2362</v>
      </c>
      <c r="M558" s="157"/>
      <c r="N558" s="19"/>
      <c r="O558" s="19"/>
      <c r="P558" s="19"/>
      <c r="Q558" s="19"/>
      <c r="R558" s="19"/>
      <c r="S558" s="19"/>
      <c r="U558" s="283" t="e">
        <v>#N/A</v>
      </c>
      <c r="V558" s="326" t="s">
        <v>2368</v>
      </c>
      <c r="W558" s="283">
        <v>1</v>
      </c>
      <c r="X558" s="283">
        <v>0</v>
      </c>
      <c r="Y558" s="283">
        <v>0</v>
      </c>
      <c r="Z558" s="283">
        <v>1</v>
      </c>
      <c r="AA558" s="283">
        <v>1</v>
      </c>
      <c r="AB558" s="283">
        <v>0</v>
      </c>
      <c r="AC558" s="316">
        <v>1</v>
      </c>
      <c r="AD558" s="316">
        <v>1</v>
      </c>
      <c r="AE558" s="302">
        <f t="shared" si="61"/>
        <v>0.625</v>
      </c>
      <c r="AF558" s="17"/>
      <c r="AG558" s="17">
        <v>0</v>
      </c>
      <c r="AH558" s="17">
        <v>0</v>
      </c>
      <c r="AI558" s="17">
        <v>0</v>
      </c>
      <c r="AJ558" s="17">
        <v>0</v>
      </c>
      <c r="AK558" s="317">
        <v>0.45</v>
      </c>
      <c r="AL558" s="317">
        <v>0.1</v>
      </c>
      <c r="AM558" s="17">
        <f t="shared" si="62"/>
        <v>0.55000000000000004</v>
      </c>
      <c r="AN558" s="283" t="s">
        <v>2323</v>
      </c>
      <c r="AO558" s="18" t="s">
        <v>241</v>
      </c>
      <c r="AP558" s="283" t="s">
        <v>2366</v>
      </c>
    </row>
    <row r="559" spans="1:42" s="18" customFormat="1" hidden="1" x14ac:dyDescent="0.3">
      <c r="A559" s="156" t="s">
        <v>1455</v>
      </c>
      <c r="B559" s="18" t="s">
        <v>2061</v>
      </c>
      <c r="C559" s="18">
        <v>113</v>
      </c>
      <c r="D559" s="18" t="s">
        <v>2284</v>
      </c>
      <c r="E559" s="18">
        <v>1134</v>
      </c>
      <c r="F559" s="157" t="s">
        <v>2356</v>
      </c>
      <c r="G559" s="18">
        <v>113401</v>
      </c>
      <c r="H559" s="157" t="s">
        <v>2357</v>
      </c>
      <c r="I559" s="157"/>
      <c r="J559" s="157"/>
      <c r="K559" s="157">
        <v>11340103</v>
      </c>
      <c r="L559" s="157" t="s">
        <v>2369</v>
      </c>
      <c r="M559" s="157" t="s">
        <v>2370</v>
      </c>
      <c r="N559" s="19"/>
      <c r="O559" s="19">
        <v>40</v>
      </c>
      <c r="P559" s="19">
        <v>70</v>
      </c>
      <c r="Q559" s="19">
        <v>70</v>
      </c>
      <c r="R559" s="19">
        <v>60</v>
      </c>
      <c r="S559" s="19">
        <v>60</v>
      </c>
      <c r="T559" s="18" t="s">
        <v>2364</v>
      </c>
      <c r="U559" s="283" t="e">
        <v>#N/A</v>
      </c>
      <c r="V559" s="283" t="s">
        <v>2371</v>
      </c>
      <c r="W559" s="283">
        <v>1</v>
      </c>
      <c r="X559" s="283">
        <v>0</v>
      </c>
      <c r="Y559" s="283">
        <v>0</v>
      </c>
      <c r="Z559" s="283">
        <v>1</v>
      </c>
      <c r="AA559" s="283">
        <v>0</v>
      </c>
      <c r="AB559" s="283">
        <v>0</v>
      </c>
      <c r="AC559" s="316">
        <v>1</v>
      </c>
      <c r="AD559" s="316">
        <v>1</v>
      </c>
      <c r="AE559" s="302">
        <f t="shared" si="61"/>
        <v>0.5</v>
      </c>
      <c r="AF559" s="310"/>
      <c r="AG559" s="17">
        <v>0</v>
      </c>
      <c r="AH559" s="310">
        <v>0.7</v>
      </c>
      <c r="AI559" s="310">
        <v>0.8</v>
      </c>
      <c r="AJ559" s="310">
        <v>0.6</v>
      </c>
      <c r="AK559" s="317">
        <v>0.75</v>
      </c>
      <c r="AL559" s="317">
        <v>0.7</v>
      </c>
      <c r="AM559" s="17">
        <f t="shared" si="62"/>
        <v>1.45</v>
      </c>
      <c r="AN559" s="283" t="s">
        <v>2323</v>
      </c>
      <c r="AO559" s="18" t="s">
        <v>241</v>
      </c>
      <c r="AP559" s="283" t="s">
        <v>119</v>
      </c>
    </row>
    <row r="560" spans="1:42" s="18" customFormat="1" hidden="1" x14ac:dyDescent="0.3">
      <c r="A560" s="156" t="s">
        <v>1455</v>
      </c>
      <c r="B560" s="18" t="s">
        <v>2061</v>
      </c>
      <c r="C560" s="18">
        <v>113</v>
      </c>
      <c r="D560" s="18" t="s">
        <v>2284</v>
      </c>
      <c r="E560" s="18">
        <v>1134</v>
      </c>
      <c r="F560" s="157" t="s">
        <v>2356</v>
      </c>
      <c r="G560" s="18">
        <v>113401</v>
      </c>
      <c r="H560" s="157" t="s">
        <v>2357</v>
      </c>
      <c r="I560" s="157"/>
      <c r="J560" s="157"/>
      <c r="K560" s="157">
        <v>11340103</v>
      </c>
      <c r="L560" s="157" t="s">
        <v>2369</v>
      </c>
      <c r="M560" s="157"/>
      <c r="N560" s="19"/>
      <c r="O560" s="19"/>
      <c r="P560" s="19"/>
      <c r="Q560" s="19"/>
      <c r="R560" s="19"/>
      <c r="S560" s="19"/>
      <c r="U560" s="283" t="e">
        <v>#N/A</v>
      </c>
      <c r="V560" s="283" t="s">
        <v>2372</v>
      </c>
      <c r="W560" s="283">
        <v>1</v>
      </c>
      <c r="X560" s="283">
        <v>0</v>
      </c>
      <c r="Y560" s="283">
        <v>0</v>
      </c>
      <c r="Z560" s="283">
        <v>1</v>
      </c>
      <c r="AA560" s="283">
        <v>0</v>
      </c>
      <c r="AB560" s="283">
        <v>0</v>
      </c>
      <c r="AC560" s="316">
        <v>1</v>
      </c>
      <c r="AD560" s="316">
        <v>1</v>
      </c>
      <c r="AE560" s="302">
        <f t="shared" si="61"/>
        <v>0.5</v>
      </c>
      <c r="AF560" s="17"/>
      <c r="AG560" s="17">
        <v>0</v>
      </c>
      <c r="AH560" s="17">
        <v>0</v>
      </c>
      <c r="AI560" s="17">
        <v>0</v>
      </c>
      <c r="AJ560" s="17">
        <v>0</v>
      </c>
      <c r="AK560" s="164">
        <v>5.81</v>
      </c>
      <c r="AL560" s="165">
        <v>6.39</v>
      </c>
      <c r="AM560" s="17">
        <f t="shared" si="62"/>
        <v>12.2</v>
      </c>
      <c r="AN560" s="283" t="s">
        <v>2323</v>
      </c>
      <c r="AO560" s="18" t="s">
        <v>241</v>
      </c>
      <c r="AP560" s="283" t="s">
        <v>119</v>
      </c>
    </row>
    <row r="561" spans="1:42" s="18" customFormat="1" hidden="1" x14ac:dyDescent="0.3">
      <c r="A561" s="156" t="s">
        <v>1455</v>
      </c>
      <c r="B561" s="18" t="s">
        <v>2061</v>
      </c>
      <c r="C561" s="18">
        <v>113</v>
      </c>
      <c r="D561" s="18" t="s">
        <v>2284</v>
      </c>
      <c r="E561" s="18">
        <v>1134</v>
      </c>
      <c r="F561" s="157" t="s">
        <v>2356</v>
      </c>
      <c r="G561" s="18">
        <v>113401</v>
      </c>
      <c r="H561" s="157" t="s">
        <v>2357</v>
      </c>
      <c r="I561" s="157"/>
      <c r="J561" s="157"/>
      <c r="K561" s="157">
        <v>11340104</v>
      </c>
      <c r="L561" s="10" t="s">
        <v>2373</v>
      </c>
      <c r="M561" s="18" t="s">
        <v>2374</v>
      </c>
      <c r="N561" s="19">
        <v>0</v>
      </c>
      <c r="O561" s="19">
        <v>5</v>
      </c>
      <c r="P561" s="19">
        <v>5</v>
      </c>
      <c r="Q561" s="19">
        <v>5</v>
      </c>
      <c r="R561" s="19">
        <v>5</v>
      </c>
      <c r="S561" s="19">
        <v>5</v>
      </c>
      <c r="T561" s="18" t="s">
        <v>2234</v>
      </c>
      <c r="U561" s="283" t="s">
        <v>2236</v>
      </c>
      <c r="V561" s="283" t="s">
        <v>2375</v>
      </c>
      <c r="W561" s="283">
        <v>1</v>
      </c>
      <c r="X561" s="283">
        <v>0</v>
      </c>
      <c r="Y561" s="283">
        <v>0</v>
      </c>
      <c r="Z561" s="283">
        <v>1</v>
      </c>
      <c r="AA561" s="283">
        <v>0</v>
      </c>
      <c r="AB561" s="283">
        <v>0</v>
      </c>
      <c r="AC561" s="316">
        <v>1</v>
      </c>
      <c r="AD561" s="316">
        <v>1</v>
      </c>
      <c r="AE561" s="302">
        <f t="shared" si="61"/>
        <v>0.5</v>
      </c>
      <c r="AF561" s="310"/>
      <c r="AG561" s="17">
        <v>0</v>
      </c>
      <c r="AH561" s="310">
        <v>0.1</v>
      </c>
      <c r="AI561" s="310">
        <v>0.1</v>
      </c>
      <c r="AJ561" s="310">
        <v>0.1</v>
      </c>
      <c r="AK561" s="317">
        <v>0.1</v>
      </c>
      <c r="AL561" s="317">
        <v>0.1</v>
      </c>
      <c r="AM561" s="17">
        <f t="shared" si="62"/>
        <v>0.2</v>
      </c>
      <c r="AN561" s="283" t="s">
        <v>2172</v>
      </c>
      <c r="AO561" s="18" t="s">
        <v>2236</v>
      </c>
      <c r="AP561" s="283" t="s">
        <v>2376</v>
      </c>
    </row>
    <row r="562" spans="1:42" s="18" customFormat="1" hidden="1" x14ac:dyDescent="0.3">
      <c r="A562" s="156" t="s">
        <v>1455</v>
      </c>
      <c r="B562" s="18" t="s">
        <v>2061</v>
      </c>
      <c r="C562" s="18">
        <v>113</v>
      </c>
      <c r="D562" s="18" t="s">
        <v>2284</v>
      </c>
      <c r="E562" s="18">
        <v>1134</v>
      </c>
      <c r="F562" s="157" t="s">
        <v>2356</v>
      </c>
      <c r="G562" s="18">
        <v>113401</v>
      </c>
      <c r="H562" s="157" t="s">
        <v>2357</v>
      </c>
      <c r="I562" s="157"/>
      <c r="J562" s="157"/>
      <c r="K562" s="157">
        <v>11340104</v>
      </c>
      <c r="L562" s="10" t="s">
        <v>2373</v>
      </c>
      <c r="M562" s="18" t="s">
        <v>2377</v>
      </c>
      <c r="N562" s="19">
        <v>0</v>
      </c>
      <c r="O562" s="19"/>
      <c r="P562" s="19">
        <v>1</v>
      </c>
      <c r="Q562" s="19"/>
      <c r="R562" s="19"/>
      <c r="S562" s="19"/>
      <c r="T562" s="18" t="s">
        <v>2234</v>
      </c>
      <c r="U562" s="283" t="s">
        <v>2236</v>
      </c>
      <c r="V562" s="283" t="s">
        <v>2378</v>
      </c>
      <c r="W562" s="283">
        <v>1</v>
      </c>
      <c r="X562" s="283">
        <v>0</v>
      </c>
      <c r="Y562" s="283">
        <v>0</v>
      </c>
      <c r="Z562" s="283">
        <v>1</v>
      </c>
      <c r="AA562" s="283">
        <v>0</v>
      </c>
      <c r="AB562" s="283">
        <v>0</v>
      </c>
      <c r="AC562" s="316">
        <v>1</v>
      </c>
      <c r="AD562" s="316">
        <v>1</v>
      </c>
      <c r="AE562" s="302">
        <f t="shared" si="61"/>
        <v>0.5</v>
      </c>
      <c r="AF562" s="310"/>
      <c r="AG562" s="17">
        <v>0</v>
      </c>
      <c r="AH562" s="310">
        <v>0.3</v>
      </c>
      <c r="AI562" s="310">
        <v>0.3</v>
      </c>
      <c r="AJ562" s="310">
        <v>0.3</v>
      </c>
      <c r="AK562" s="317">
        <v>0.3</v>
      </c>
      <c r="AL562" s="317">
        <v>0.3</v>
      </c>
      <c r="AM562" s="17">
        <f t="shared" si="62"/>
        <v>0.6</v>
      </c>
      <c r="AN562" s="283" t="s">
        <v>2172</v>
      </c>
      <c r="AO562" s="18" t="s">
        <v>2236</v>
      </c>
      <c r="AP562" s="283" t="s">
        <v>2376</v>
      </c>
    </row>
    <row r="563" spans="1:42" s="18" customFormat="1" hidden="1" x14ac:dyDescent="0.3">
      <c r="A563" s="156" t="s">
        <v>1455</v>
      </c>
      <c r="B563" s="18" t="s">
        <v>2061</v>
      </c>
      <c r="C563" s="18">
        <v>113</v>
      </c>
      <c r="D563" s="18" t="s">
        <v>2284</v>
      </c>
      <c r="E563" s="18">
        <v>1134</v>
      </c>
      <c r="F563" s="157" t="s">
        <v>2356</v>
      </c>
      <c r="G563" s="18">
        <v>113401</v>
      </c>
      <c r="H563" s="157" t="s">
        <v>2357</v>
      </c>
      <c r="I563" s="157"/>
      <c r="J563" s="157"/>
      <c r="K563" s="157">
        <v>11340104</v>
      </c>
      <c r="L563" s="10" t="s">
        <v>2373</v>
      </c>
      <c r="M563" s="18" t="s">
        <v>2379</v>
      </c>
      <c r="N563" s="19">
        <v>15</v>
      </c>
      <c r="O563" s="19">
        <v>20</v>
      </c>
      <c r="P563" s="19">
        <v>30</v>
      </c>
      <c r="Q563" s="19">
        <v>40</v>
      </c>
      <c r="R563" s="19">
        <v>50</v>
      </c>
      <c r="S563" s="19">
        <v>60</v>
      </c>
      <c r="T563" s="18" t="s">
        <v>2234</v>
      </c>
      <c r="U563" s="283" t="s">
        <v>2236</v>
      </c>
      <c r="V563" s="283" t="s">
        <v>2380</v>
      </c>
      <c r="W563" s="283">
        <v>1</v>
      </c>
      <c r="X563" s="283">
        <v>0</v>
      </c>
      <c r="Y563" s="283">
        <v>0</v>
      </c>
      <c r="Z563" s="283">
        <v>1</v>
      </c>
      <c r="AA563" s="283">
        <v>0</v>
      </c>
      <c r="AB563" s="283">
        <v>0</v>
      </c>
      <c r="AC563" s="316">
        <v>1</v>
      </c>
      <c r="AD563" s="316">
        <v>1</v>
      </c>
      <c r="AE563" s="302">
        <f t="shared" si="61"/>
        <v>0.5</v>
      </c>
      <c r="AF563" s="310"/>
      <c r="AG563" s="17">
        <v>0</v>
      </c>
      <c r="AH563" s="310">
        <v>1.2</v>
      </c>
      <c r="AI563" s="310">
        <v>1.2</v>
      </c>
      <c r="AJ563" s="310">
        <v>1.2</v>
      </c>
      <c r="AK563" s="317">
        <v>1.2</v>
      </c>
      <c r="AL563" s="317">
        <v>1.2</v>
      </c>
      <c r="AM563" s="17">
        <f t="shared" si="62"/>
        <v>2.4</v>
      </c>
      <c r="AN563" s="283" t="s">
        <v>2172</v>
      </c>
      <c r="AO563" s="18" t="s">
        <v>2236</v>
      </c>
      <c r="AP563" s="283" t="s">
        <v>2376</v>
      </c>
    </row>
    <row r="564" spans="1:42" s="18" customFormat="1" hidden="1" x14ac:dyDescent="0.3">
      <c r="A564" s="156" t="s">
        <v>1455</v>
      </c>
      <c r="B564" s="18" t="s">
        <v>2061</v>
      </c>
      <c r="C564" s="18">
        <v>113</v>
      </c>
      <c r="D564" s="18" t="s">
        <v>2284</v>
      </c>
      <c r="E564" s="18">
        <v>1134</v>
      </c>
      <c r="F564" s="157" t="s">
        <v>2356</v>
      </c>
      <c r="G564" s="18">
        <v>113402</v>
      </c>
      <c r="H564" s="157" t="s">
        <v>2381</v>
      </c>
      <c r="I564" s="157"/>
      <c r="J564" s="157"/>
      <c r="K564" s="18">
        <v>11340201</v>
      </c>
      <c r="L564" s="157" t="s">
        <v>2382</v>
      </c>
      <c r="M564" s="157" t="s">
        <v>2383</v>
      </c>
      <c r="N564" s="19">
        <v>239</v>
      </c>
      <c r="O564" s="19">
        <v>197</v>
      </c>
      <c r="P564" s="19">
        <v>439</v>
      </c>
      <c r="Q564" s="19">
        <v>281</v>
      </c>
      <c r="R564" s="19">
        <v>323</v>
      </c>
      <c r="S564" s="19">
        <v>450</v>
      </c>
      <c r="T564" s="18" t="s">
        <v>2072</v>
      </c>
      <c r="U564" s="283" t="e">
        <v>#N/A</v>
      </c>
      <c r="V564" s="283" t="s">
        <v>2384</v>
      </c>
      <c r="W564" s="283">
        <v>1</v>
      </c>
      <c r="X564" s="283">
        <v>0</v>
      </c>
      <c r="Y564" s="283">
        <v>0</v>
      </c>
      <c r="Z564" s="283">
        <v>1</v>
      </c>
      <c r="AA564" s="283">
        <v>0</v>
      </c>
      <c r="AB564" s="283">
        <v>1</v>
      </c>
      <c r="AC564" s="316">
        <v>0</v>
      </c>
      <c r="AD564" s="316">
        <v>1</v>
      </c>
      <c r="AE564" s="302">
        <f t="shared" si="61"/>
        <v>0.5</v>
      </c>
      <c r="AF564" s="17"/>
      <c r="AG564" s="17">
        <v>1</v>
      </c>
      <c r="AH564" s="17">
        <v>0</v>
      </c>
      <c r="AI564" s="17">
        <v>0</v>
      </c>
      <c r="AJ564" s="17">
        <v>0</v>
      </c>
      <c r="AK564" s="153">
        <v>5.43</v>
      </c>
      <c r="AL564" s="317">
        <v>7.5339999999999998</v>
      </c>
      <c r="AM564" s="17">
        <f t="shared" si="62"/>
        <v>12.963999999999999</v>
      </c>
      <c r="AN564" s="283" t="s">
        <v>2074</v>
      </c>
      <c r="AO564" s="18" t="s">
        <v>2075</v>
      </c>
      <c r="AP564" s="283" t="s">
        <v>119</v>
      </c>
    </row>
    <row r="565" spans="1:42" s="18" customFormat="1" x14ac:dyDescent="0.3">
      <c r="A565" s="156" t="s">
        <v>1455</v>
      </c>
      <c r="B565" s="18" t="s">
        <v>2061</v>
      </c>
      <c r="C565" s="18">
        <v>113</v>
      </c>
      <c r="D565" s="18" t="s">
        <v>2284</v>
      </c>
      <c r="E565" s="18">
        <v>1134</v>
      </c>
      <c r="F565" s="157" t="s">
        <v>2356</v>
      </c>
      <c r="G565" s="18">
        <v>113403</v>
      </c>
      <c r="H565" s="157" t="s">
        <v>2385</v>
      </c>
      <c r="I565" s="157"/>
      <c r="J565" s="157"/>
      <c r="K565" s="18">
        <v>11340301</v>
      </c>
      <c r="L565" s="161" t="s">
        <v>2386</v>
      </c>
      <c r="M565" s="157" t="s">
        <v>2387</v>
      </c>
      <c r="N565" s="19">
        <v>45</v>
      </c>
      <c r="O565" s="19">
        <v>50</v>
      </c>
      <c r="P565" s="19">
        <v>65</v>
      </c>
      <c r="Q565" s="19">
        <v>75</v>
      </c>
      <c r="R565" s="19">
        <v>75</v>
      </c>
      <c r="S565" s="19">
        <v>75</v>
      </c>
      <c r="T565" s="18" t="s">
        <v>2068</v>
      </c>
      <c r="U565" s="283" t="e">
        <v>#N/A</v>
      </c>
      <c r="V565" s="326" t="s">
        <v>2388</v>
      </c>
      <c r="W565" s="283">
        <v>1</v>
      </c>
      <c r="X565" s="283">
        <v>0</v>
      </c>
      <c r="Y565" s="283">
        <v>0</v>
      </c>
      <c r="Z565" s="283">
        <v>1</v>
      </c>
      <c r="AA565" s="283">
        <v>1</v>
      </c>
      <c r="AB565" s="283">
        <v>1</v>
      </c>
      <c r="AC565" s="316">
        <v>1</v>
      </c>
      <c r="AD565" s="316">
        <v>1</v>
      </c>
      <c r="AE565" s="302">
        <f t="shared" si="61"/>
        <v>0.75</v>
      </c>
      <c r="AF565" s="310"/>
      <c r="AG565" s="17">
        <v>0</v>
      </c>
      <c r="AH565" s="310">
        <v>3</v>
      </c>
      <c r="AI565" s="310">
        <v>3.25</v>
      </c>
      <c r="AJ565" s="310">
        <v>5.5</v>
      </c>
      <c r="AK565" s="319">
        <v>1.5</v>
      </c>
      <c r="AL565" s="319">
        <v>1.75</v>
      </c>
      <c r="AM565" s="17">
        <f t="shared" si="62"/>
        <v>3.25</v>
      </c>
      <c r="AN565" s="283" t="s">
        <v>2084</v>
      </c>
      <c r="AO565" s="18" t="s">
        <v>241</v>
      </c>
      <c r="AP565" s="283" t="s">
        <v>2389</v>
      </c>
    </row>
    <row r="566" spans="1:42" s="18" customFormat="1" x14ac:dyDescent="0.3">
      <c r="A566" s="156" t="s">
        <v>1455</v>
      </c>
      <c r="B566" s="18" t="s">
        <v>2061</v>
      </c>
      <c r="C566" s="18">
        <v>113</v>
      </c>
      <c r="D566" s="18" t="s">
        <v>2284</v>
      </c>
      <c r="E566" s="18">
        <v>1134</v>
      </c>
      <c r="F566" s="157" t="s">
        <v>2356</v>
      </c>
      <c r="G566" s="18">
        <v>113403</v>
      </c>
      <c r="H566" s="157" t="s">
        <v>2385</v>
      </c>
      <c r="I566" s="157"/>
      <c r="J566" s="157"/>
      <c r="K566" s="18">
        <v>11340301</v>
      </c>
      <c r="L566" s="161" t="s">
        <v>2386</v>
      </c>
      <c r="M566" s="157" t="s">
        <v>2390</v>
      </c>
      <c r="N566" s="19"/>
      <c r="O566" s="19">
        <v>15000</v>
      </c>
      <c r="P566" s="19">
        <v>20000</v>
      </c>
      <c r="Q566" s="19">
        <v>20000</v>
      </c>
      <c r="R566" s="19">
        <v>20000</v>
      </c>
      <c r="S566" s="19">
        <v>20000</v>
      </c>
      <c r="T566" s="18" t="s">
        <v>2068</v>
      </c>
      <c r="U566" s="283" t="e">
        <v>#N/A</v>
      </c>
      <c r="V566" s="326" t="s">
        <v>2391</v>
      </c>
      <c r="W566" s="283">
        <v>1</v>
      </c>
      <c r="X566" s="283">
        <v>0</v>
      </c>
      <c r="Y566" s="283">
        <v>0</v>
      </c>
      <c r="Z566" s="283">
        <v>1</v>
      </c>
      <c r="AA566" s="283">
        <v>1</v>
      </c>
      <c r="AB566" s="283">
        <v>1</v>
      </c>
      <c r="AC566" s="316">
        <v>1</v>
      </c>
      <c r="AD566" s="316">
        <v>1</v>
      </c>
      <c r="AE566" s="302">
        <f t="shared" si="61"/>
        <v>0.75</v>
      </c>
      <c r="AF566" s="17"/>
      <c r="AG566" s="17">
        <v>0</v>
      </c>
      <c r="AH566" s="17">
        <v>0</v>
      </c>
      <c r="AI566" s="17">
        <v>0</v>
      </c>
      <c r="AJ566" s="17">
        <v>0</v>
      </c>
      <c r="AK566" s="153">
        <v>0</v>
      </c>
      <c r="AL566" s="154">
        <v>0</v>
      </c>
      <c r="AM566" s="17">
        <f t="shared" si="62"/>
        <v>0</v>
      </c>
      <c r="AN566" s="283" t="s">
        <v>2084</v>
      </c>
      <c r="AO566" s="18" t="s">
        <v>241</v>
      </c>
      <c r="AP566" s="283" t="s">
        <v>2389</v>
      </c>
    </row>
    <row r="567" spans="1:42" s="18" customFormat="1" x14ac:dyDescent="0.3">
      <c r="A567" s="156" t="s">
        <v>1455</v>
      </c>
      <c r="B567" s="18" t="s">
        <v>2061</v>
      </c>
      <c r="C567" s="18">
        <v>113</v>
      </c>
      <c r="D567" s="18" t="s">
        <v>2284</v>
      </c>
      <c r="E567" s="18">
        <v>1134</v>
      </c>
      <c r="F567" s="157" t="s">
        <v>2356</v>
      </c>
      <c r="G567" s="18">
        <v>113403</v>
      </c>
      <c r="H567" s="157" t="s">
        <v>2385</v>
      </c>
      <c r="I567" s="157"/>
      <c r="J567" s="157"/>
      <c r="K567" s="18">
        <v>11340301</v>
      </c>
      <c r="L567" s="161" t="s">
        <v>2386</v>
      </c>
      <c r="M567" s="157" t="s">
        <v>2392</v>
      </c>
      <c r="N567" s="19"/>
      <c r="O567" s="19">
        <v>3000</v>
      </c>
      <c r="P567" s="19">
        <v>3000</v>
      </c>
      <c r="Q567" s="19">
        <v>3000</v>
      </c>
      <c r="R567" s="19">
        <v>3000</v>
      </c>
      <c r="S567" s="19">
        <v>3000</v>
      </c>
      <c r="T567" s="18" t="s">
        <v>2068</v>
      </c>
      <c r="U567" s="283" t="e">
        <v>#N/A</v>
      </c>
      <c r="V567" s="326" t="s">
        <v>2393</v>
      </c>
      <c r="W567" s="283">
        <v>1</v>
      </c>
      <c r="X567" s="283">
        <v>0</v>
      </c>
      <c r="Y567" s="283">
        <v>0</v>
      </c>
      <c r="Z567" s="283">
        <v>1</v>
      </c>
      <c r="AA567" s="283">
        <v>1</v>
      </c>
      <c r="AB567" s="283">
        <v>1</v>
      </c>
      <c r="AC567" s="316">
        <v>1</v>
      </c>
      <c r="AD567" s="316">
        <v>1</v>
      </c>
      <c r="AE567" s="302">
        <f t="shared" si="61"/>
        <v>0.75</v>
      </c>
      <c r="AF567" s="17"/>
      <c r="AG567" s="17">
        <v>0</v>
      </c>
      <c r="AH567" s="17">
        <v>0</v>
      </c>
      <c r="AI567" s="17">
        <v>0</v>
      </c>
      <c r="AJ567" s="17">
        <v>0</v>
      </c>
      <c r="AK567" s="153">
        <v>3.75</v>
      </c>
      <c r="AL567" s="153">
        <v>4.75</v>
      </c>
      <c r="AM567" s="17">
        <f t="shared" si="62"/>
        <v>8.5</v>
      </c>
      <c r="AN567" s="283" t="s">
        <v>2084</v>
      </c>
      <c r="AO567" s="18" t="s">
        <v>241</v>
      </c>
      <c r="AP567" s="283" t="s">
        <v>2389</v>
      </c>
    </row>
    <row r="568" spans="1:42" s="18" customFormat="1" hidden="1" x14ac:dyDescent="0.3">
      <c r="A568" s="156" t="s">
        <v>1455</v>
      </c>
      <c r="B568" s="18" t="s">
        <v>2061</v>
      </c>
      <c r="C568" s="18">
        <v>113</v>
      </c>
      <c r="D568" s="18" t="s">
        <v>2284</v>
      </c>
      <c r="E568" s="18">
        <v>1134</v>
      </c>
      <c r="F568" s="157" t="s">
        <v>2356</v>
      </c>
      <c r="G568" s="18">
        <v>113403</v>
      </c>
      <c r="H568" s="157" t="s">
        <v>2385</v>
      </c>
      <c r="I568" s="157"/>
      <c r="J568" s="157"/>
      <c r="K568" s="18">
        <v>11340301</v>
      </c>
      <c r="L568" s="161" t="s">
        <v>2386</v>
      </c>
      <c r="M568" s="157" t="s">
        <v>2394</v>
      </c>
      <c r="N568" s="19"/>
      <c r="O568" s="19">
        <v>30</v>
      </c>
      <c r="P568" s="19">
        <v>40</v>
      </c>
      <c r="Q568" s="19">
        <v>50</v>
      </c>
      <c r="R568" s="19">
        <v>60</v>
      </c>
      <c r="S568" s="19">
        <v>70</v>
      </c>
      <c r="T568" s="18" t="s">
        <v>2068</v>
      </c>
      <c r="U568" s="283" t="e">
        <v>#N/A</v>
      </c>
      <c r="V568" s="326" t="s">
        <v>2395</v>
      </c>
      <c r="W568" s="283">
        <v>1</v>
      </c>
      <c r="X568" s="283">
        <v>0</v>
      </c>
      <c r="Y568" s="283">
        <v>0</v>
      </c>
      <c r="Z568" s="283">
        <v>1</v>
      </c>
      <c r="AA568" s="283">
        <v>0</v>
      </c>
      <c r="AB568" s="283">
        <v>1</v>
      </c>
      <c r="AC568" s="316">
        <v>1</v>
      </c>
      <c r="AD568" s="316">
        <v>1</v>
      </c>
      <c r="AE568" s="302">
        <f t="shared" si="61"/>
        <v>0.625</v>
      </c>
      <c r="AF568" s="310"/>
      <c r="AG568" s="17">
        <v>0</v>
      </c>
      <c r="AH568" s="310">
        <v>1.25</v>
      </c>
      <c r="AI568" s="310">
        <v>1.5</v>
      </c>
      <c r="AJ568" s="310">
        <v>1.75</v>
      </c>
      <c r="AK568" s="317">
        <v>1.75</v>
      </c>
      <c r="AL568" s="317">
        <v>2</v>
      </c>
      <c r="AM568" s="17">
        <f t="shared" si="62"/>
        <v>3.75</v>
      </c>
      <c r="AN568" s="283" t="s">
        <v>2084</v>
      </c>
      <c r="AO568" s="18" t="s">
        <v>241</v>
      </c>
      <c r="AP568" s="283" t="s">
        <v>2389</v>
      </c>
    </row>
    <row r="569" spans="1:42" s="18" customFormat="1" hidden="1" x14ac:dyDescent="0.3">
      <c r="A569" s="156" t="s">
        <v>1455</v>
      </c>
      <c r="B569" s="18" t="s">
        <v>2061</v>
      </c>
      <c r="C569" s="18">
        <v>113</v>
      </c>
      <c r="D569" s="18" t="s">
        <v>2284</v>
      </c>
      <c r="E569" s="18">
        <v>1134</v>
      </c>
      <c r="F569" s="157" t="s">
        <v>2356</v>
      </c>
      <c r="G569" s="18">
        <v>113403</v>
      </c>
      <c r="H569" s="157" t="s">
        <v>2385</v>
      </c>
      <c r="I569" s="157"/>
      <c r="J569" s="157"/>
      <c r="K569" s="18">
        <v>11340302</v>
      </c>
      <c r="L569" s="157" t="s">
        <v>2396</v>
      </c>
      <c r="M569" s="157" t="s">
        <v>2397</v>
      </c>
      <c r="N569" s="19">
        <v>1</v>
      </c>
      <c r="O569" s="19">
        <v>3</v>
      </c>
      <c r="P569" s="19">
        <v>2</v>
      </c>
      <c r="Q569" s="19">
        <v>4</v>
      </c>
      <c r="R569" s="19">
        <v>2</v>
      </c>
      <c r="S569" s="19">
        <v>1</v>
      </c>
      <c r="T569" s="18" t="s">
        <v>2068</v>
      </c>
      <c r="U569" s="283" t="e">
        <v>#N/A</v>
      </c>
      <c r="V569" s="283" t="s">
        <v>2398</v>
      </c>
      <c r="W569" s="283">
        <v>1</v>
      </c>
      <c r="X569" s="283">
        <v>0</v>
      </c>
      <c r="Y569" s="283">
        <v>0</v>
      </c>
      <c r="Z569" s="283">
        <v>1</v>
      </c>
      <c r="AA569" s="283">
        <v>0</v>
      </c>
      <c r="AB569" s="283">
        <v>0</v>
      </c>
      <c r="AC569" s="316">
        <v>1</v>
      </c>
      <c r="AD569" s="316">
        <v>1</v>
      </c>
      <c r="AE569" s="302">
        <f t="shared" si="61"/>
        <v>0.5</v>
      </c>
      <c r="AF569" s="310"/>
      <c r="AG569" s="17">
        <v>0</v>
      </c>
      <c r="AH569" s="310">
        <v>0.75</v>
      </c>
      <c r="AI569" s="310">
        <v>1.1499999999999999</v>
      </c>
      <c r="AJ569" s="310">
        <v>1.5</v>
      </c>
      <c r="AK569" s="317">
        <v>0.45</v>
      </c>
      <c r="AL569" s="317">
        <v>0.1</v>
      </c>
      <c r="AM569" s="17">
        <f t="shared" si="62"/>
        <v>0.55000000000000004</v>
      </c>
      <c r="AN569" s="283" t="s">
        <v>2084</v>
      </c>
      <c r="AO569" s="18" t="s">
        <v>241</v>
      </c>
      <c r="AP569" s="283" t="s">
        <v>2389</v>
      </c>
    </row>
    <row r="570" spans="1:42" s="18" customFormat="1" hidden="1" x14ac:dyDescent="0.3">
      <c r="A570" s="156" t="s">
        <v>1455</v>
      </c>
      <c r="B570" s="18" t="s">
        <v>2061</v>
      </c>
      <c r="C570" s="18">
        <v>113</v>
      </c>
      <c r="D570" s="18" t="s">
        <v>2284</v>
      </c>
      <c r="E570" s="18">
        <v>1134</v>
      </c>
      <c r="F570" s="157" t="s">
        <v>2356</v>
      </c>
      <c r="G570" s="18">
        <v>113403</v>
      </c>
      <c r="H570" s="157" t="s">
        <v>2385</v>
      </c>
      <c r="I570" s="157"/>
      <c r="J570" s="157"/>
      <c r="K570" s="18">
        <v>11340303</v>
      </c>
      <c r="L570" s="18" t="s">
        <v>2399</v>
      </c>
      <c r="M570" s="18" t="s">
        <v>2400</v>
      </c>
      <c r="N570" s="19"/>
      <c r="O570" s="19">
        <v>3</v>
      </c>
      <c r="P570" s="19">
        <v>5</v>
      </c>
      <c r="Q570" s="19">
        <v>5</v>
      </c>
      <c r="R570" s="19">
        <v>7</v>
      </c>
      <c r="S570" s="19">
        <v>7</v>
      </c>
      <c r="T570" s="18" t="s">
        <v>2068</v>
      </c>
      <c r="U570" s="283" t="e">
        <v>#N/A</v>
      </c>
      <c r="V570" s="283" t="s">
        <v>2401</v>
      </c>
      <c r="W570" s="283">
        <v>1</v>
      </c>
      <c r="X570" s="283">
        <v>0</v>
      </c>
      <c r="Y570" s="283">
        <v>0</v>
      </c>
      <c r="Z570" s="283">
        <v>1</v>
      </c>
      <c r="AA570" s="283">
        <v>0</v>
      </c>
      <c r="AB570" s="283">
        <v>0</v>
      </c>
      <c r="AC570" s="316">
        <v>1</v>
      </c>
      <c r="AD570" s="316">
        <v>1</v>
      </c>
      <c r="AE570" s="302">
        <f t="shared" si="61"/>
        <v>0.5</v>
      </c>
      <c r="AF570" s="310"/>
      <c r="AG570" s="17">
        <v>0</v>
      </c>
      <c r="AH570" s="310">
        <v>0.75</v>
      </c>
      <c r="AI570" s="310">
        <v>0.8</v>
      </c>
      <c r="AJ570" s="310">
        <v>0.5</v>
      </c>
      <c r="AK570" s="317">
        <v>0.75</v>
      </c>
      <c r="AL570" s="317">
        <v>0.7</v>
      </c>
      <c r="AM570" s="17">
        <f t="shared" si="62"/>
        <v>1.45</v>
      </c>
      <c r="AN570" s="283" t="s">
        <v>2084</v>
      </c>
      <c r="AO570" s="18" t="s">
        <v>241</v>
      </c>
      <c r="AP570" s="283" t="s">
        <v>2389</v>
      </c>
    </row>
    <row r="571" spans="1:42" s="18" customFormat="1" x14ac:dyDescent="0.3">
      <c r="A571" s="156" t="s">
        <v>1455</v>
      </c>
      <c r="B571" s="18" t="s">
        <v>2061</v>
      </c>
      <c r="C571" s="18">
        <v>113</v>
      </c>
      <c r="D571" s="18" t="s">
        <v>2284</v>
      </c>
      <c r="E571" s="18">
        <v>1134</v>
      </c>
      <c r="F571" s="157" t="s">
        <v>2356</v>
      </c>
      <c r="G571" s="18">
        <v>113404</v>
      </c>
      <c r="H571" s="157" t="s">
        <v>2402</v>
      </c>
      <c r="I571" s="157"/>
      <c r="J571" s="157"/>
      <c r="K571" s="18">
        <v>11340401</v>
      </c>
      <c r="L571" s="10" t="s">
        <v>2403</v>
      </c>
      <c r="M571" s="157" t="s">
        <v>2404</v>
      </c>
      <c r="N571" s="19" t="s">
        <v>271</v>
      </c>
      <c r="O571" s="19">
        <v>2</v>
      </c>
      <c r="P571" s="19">
        <v>3</v>
      </c>
      <c r="Q571" s="19">
        <v>3</v>
      </c>
      <c r="R571" s="19">
        <v>2</v>
      </c>
      <c r="S571" s="19">
        <v>0</v>
      </c>
      <c r="T571" s="18" t="s">
        <v>2364</v>
      </c>
      <c r="U571" s="283" t="e">
        <v>#N/A</v>
      </c>
      <c r="V571" s="283" t="s">
        <v>2405</v>
      </c>
      <c r="W571" s="283">
        <v>1</v>
      </c>
      <c r="X571" s="283">
        <v>0</v>
      </c>
      <c r="Y571" s="283">
        <v>1</v>
      </c>
      <c r="Z571" s="283">
        <v>1</v>
      </c>
      <c r="AA571" s="283">
        <v>1</v>
      </c>
      <c r="AB571" s="283">
        <v>1</v>
      </c>
      <c r="AC571" s="316">
        <v>1</v>
      </c>
      <c r="AD571" s="316">
        <v>1</v>
      </c>
      <c r="AE571" s="302">
        <f t="shared" si="61"/>
        <v>0.875</v>
      </c>
      <c r="AF571" s="310"/>
      <c r="AG571" s="17">
        <v>0</v>
      </c>
      <c r="AH571" s="310">
        <v>0.3</v>
      </c>
      <c r="AI571" s="310">
        <v>0.3</v>
      </c>
      <c r="AJ571" s="310">
        <v>0.3</v>
      </c>
      <c r="AK571" s="317">
        <v>0.3</v>
      </c>
      <c r="AL571" s="317">
        <v>0.3</v>
      </c>
      <c r="AM571" s="17">
        <f t="shared" si="62"/>
        <v>0.6</v>
      </c>
      <c r="AN571" s="283" t="s">
        <v>2323</v>
      </c>
      <c r="AO571" s="18" t="s">
        <v>241</v>
      </c>
      <c r="AP571" s="283" t="s">
        <v>2406</v>
      </c>
    </row>
    <row r="572" spans="1:42" s="18" customFormat="1" hidden="1" x14ac:dyDescent="0.3">
      <c r="A572" s="156" t="s">
        <v>1455</v>
      </c>
      <c r="B572" s="18" t="s">
        <v>2061</v>
      </c>
      <c r="C572" s="18">
        <v>113</v>
      </c>
      <c r="D572" s="18" t="s">
        <v>2284</v>
      </c>
      <c r="E572" s="18">
        <v>1134</v>
      </c>
      <c r="F572" s="157" t="s">
        <v>2356</v>
      </c>
      <c r="G572" s="18">
        <v>113404</v>
      </c>
      <c r="H572" s="157" t="s">
        <v>2402</v>
      </c>
      <c r="I572" s="157"/>
      <c r="J572" s="157"/>
      <c r="K572" s="18">
        <v>11340401</v>
      </c>
      <c r="L572" s="10" t="s">
        <v>2403</v>
      </c>
      <c r="M572" s="18" t="s">
        <v>2407</v>
      </c>
      <c r="N572" s="19"/>
      <c r="O572" s="19"/>
      <c r="P572" s="19">
        <v>1</v>
      </c>
      <c r="Q572" s="19"/>
      <c r="R572" s="19"/>
      <c r="S572" s="19"/>
      <c r="T572" s="18" t="s">
        <v>2364</v>
      </c>
      <c r="U572" s="283" t="e">
        <v>#N/A</v>
      </c>
      <c r="V572" s="283" t="s">
        <v>2408</v>
      </c>
      <c r="W572" s="283"/>
      <c r="X572" s="283"/>
      <c r="Y572" s="283"/>
      <c r="Z572" s="283"/>
      <c r="AA572" s="283"/>
      <c r="AB572" s="283"/>
      <c r="AC572" s="316"/>
      <c r="AD572" s="316"/>
      <c r="AE572" s="302">
        <f t="shared" si="61"/>
        <v>0</v>
      </c>
      <c r="AF572" s="17"/>
      <c r="AG572" s="17">
        <v>0</v>
      </c>
      <c r="AH572" s="17">
        <v>0</v>
      </c>
      <c r="AI572" s="17">
        <v>0</v>
      </c>
      <c r="AJ572" s="17">
        <v>0</v>
      </c>
      <c r="AK572" s="153">
        <v>0</v>
      </c>
      <c r="AL572" s="154">
        <v>0</v>
      </c>
      <c r="AM572" s="17">
        <f t="shared" si="62"/>
        <v>0</v>
      </c>
      <c r="AN572" s="283" t="s">
        <v>2323</v>
      </c>
      <c r="AO572" s="18" t="s">
        <v>241</v>
      </c>
      <c r="AP572" s="283" t="s">
        <v>2406</v>
      </c>
    </row>
    <row r="573" spans="1:42" s="18" customFormat="1" hidden="1" x14ac:dyDescent="0.3">
      <c r="A573" s="156" t="s">
        <v>1455</v>
      </c>
      <c r="B573" s="18" t="s">
        <v>2061</v>
      </c>
      <c r="C573" s="18">
        <v>113</v>
      </c>
      <c r="D573" s="18" t="s">
        <v>2284</v>
      </c>
      <c r="E573" s="18">
        <v>1134</v>
      </c>
      <c r="F573" s="157" t="s">
        <v>2356</v>
      </c>
      <c r="G573" s="18">
        <v>113404</v>
      </c>
      <c r="H573" s="157" t="s">
        <v>2402</v>
      </c>
      <c r="I573" s="157"/>
      <c r="J573" s="157"/>
      <c r="K573" s="18">
        <v>11340402</v>
      </c>
      <c r="L573" s="18" t="s">
        <v>2409</v>
      </c>
      <c r="M573" s="18" t="s">
        <v>2410</v>
      </c>
      <c r="N573" s="19"/>
      <c r="O573" s="19">
        <v>2</v>
      </c>
      <c r="P573" s="19">
        <v>2</v>
      </c>
      <c r="Q573" s="19">
        <v>2</v>
      </c>
      <c r="R573" s="19">
        <v>2</v>
      </c>
      <c r="S573" s="19">
        <v>2</v>
      </c>
      <c r="T573" s="18" t="s">
        <v>2364</v>
      </c>
      <c r="U573" s="283" t="e">
        <v>#N/A</v>
      </c>
      <c r="V573" s="326" t="s">
        <v>2411</v>
      </c>
      <c r="W573" s="283">
        <v>1</v>
      </c>
      <c r="X573" s="283">
        <v>0</v>
      </c>
      <c r="Y573" s="283">
        <v>0</v>
      </c>
      <c r="Z573" s="283">
        <v>1</v>
      </c>
      <c r="AA573" s="283">
        <v>1</v>
      </c>
      <c r="AB573" s="283">
        <v>1</v>
      </c>
      <c r="AC573" s="316">
        <v>0</v>
      </c>
      <c r="AD573" s="316">
        <v>1</v>
      </c>
      <c r="AE573" s="302">
        <f t="shared" si="61"/>
        <v>0.625</v>
      </c>
      <c r="AF573" s="17"/>
      <c r="AG573" s="17">
        <v>0</v>
      </c>
      <c r="AH573" s="17">
        <v>0</v>
      </c>
      <c r="AI573" s="17">
        <v>0</v>
      </c>
      <c r="AJ573" s="17">
        <v>0</v>
      </c>
      <c r="AK573" s="153">
        <v>0</v>
      </c>
      <c r="AL573" s="154">
        <v>0</v>
      </c>
      <c r="AM573" s="17">
        <f t="shared" si="62"/>
        <v>0</v>
      </c>
      <c r="AN573" s="283" t="s">
        <v>2323</v>
      </c>
      <c r="AO573" s="18" t="s">
        <v>241</v>
      </c>
      <c r="AP573" s="283" t="s">
        <v>2406</v>
      </c>
    </row>
    <row r="574" spans="1:42" s="18" customFormat="1" hidden="1" x14ac:dyDescent="0.3">
      <c r="A574" s="156" t="s">
        <v>1455</v>
      </c>
      <c r="B574" s="18" t="s">
        <v>2061</v>
      </c>
      <c r="C574" s="18">
        <v>113</v>
      </c>
      <c r="D574" s="18" t="s">
        <v>2284</v>
      </c>
      <c r="E574" s="18">
        <v>1134</v>
      </c>
      <c r="F574" s="157" t="s">
        <v>2356</v>
      </c>
      <c r="G574" s="18">
        <v>113404</v>
      </c>
      <c r="H574" s="157" t="s">
        <v>2402</v>
      </c>
      <c r="I574" s="157"/>
      <c r="J574" s="157"/>
      <c r="K574" s="18">
        <v>11340403</v>
      </c>
      <c r="L574" s="18" t="s">
        <v>2412</v>
      </c>
      <c r="M574" s="18" t="s">
        <v>2413</v>
      </c>
      <c r="N574" s="19">
        <v>0</v>
      </c>
      <c r="O574" s="19"/>
      <c r="P574" s="19">
        <v>1</v>
      </c>
      <c r="Q574" s="19"/>
      <c r="R574" s="19"/>
      <c r="S574" s="19"/>
      <c r="T574" s="18" t="s">
        <v>2364</v>
      </c>
      <c r="U574" s="283" t="e">
        <v>#N/A</v>
      </c>
      <c r="V574" s="327" t="s">
        <v>2414</v>
      </c>
      <c r="W574" s="283">
        <v>1</v>
      </c>
      <c r="X574" s="283">
        <v>0</v>
      </c>
      <c r="Y574" s="283">
        <v>0</v>
      </c>
      <c r="Z574" s="283">
        <v>1</v>
      </c>
      <c r="AA574" s="283">
        <v>1</v>
      </c>
      <c r="AB574" s="283">
        <v>1</v>
      </c>
      <c r="AC574" s="316">
        <v>0</v>
      </c>
      <c r="AD574" s="316">
        <v>1</v>
      </c>
      <c r="AE574" s="302">
        <f t="shared" si="61"/>
        <v>0.625</v>
      </c>
      <c r="AF574" s="310"/>
      <c r="AG574" s="17">
        <v>0</v>
      </c>
      <c r="AH574" s="310">
        <v>0</v>
      </c>
      <c r="AI574" s="310">
        <v>1.5</v>
      </c>
      <c r="AJ574" s="310">
        <v>2</v>
      </c>
      <c r="AK574" s="317">
        <v>0.5</v>
      </c>
      <c r="AL574" s="317" t="s">
        <v>2089</v>
      </c>
      <c r="AM574" s="17">
        <f t="shared" si="62"/>
        <v>0.5</v>
      </c>
      <c r="AN574" s="283" t="s">
        <v>2323</v>
      </c>
      <c r="AO574" s="18" t="s">
        <v>241</v>
      </c>
      <c r="AP574" s="283" t="s">
        <v>2406</v>
      </c>
    </row>
    <row r="575" spans="1:42" s="18" customFormat="1" hidden="1" x14ac:dyDescent="0.3">
      <c r="A575" s="156" t="s">
        <v>1455</v>
      </c>
      <c r="B575" s="18" t="s">
        <v>2061</v>
      </c>
      <c r="C575" s="18">
        <v>113</v>
      </c>
      <c r="D575" s="18" t="s">
        <v>2284</v>
      </c>
      <c r="E575" s="18">
        <v>1134</v>
      </c>
      <c r="F575" s="157" t="s">
        <v>2356</v>
      </c>
      <c r="G575" s="18">
        <v>113404</v>
      </c>
      <c r="H575" s="157" t="s">
        <v>2402</v>
      </c>
      <c r="I575" s="157"/>
      <c r="J575" s="157"/>
      <c r="K575" s="18">
        <v>11340404</v>
      </c>
      <c r="L575" s="10" t="s">
        <v>2415</v>
      </c>
      <c r="M575" s="18" t="s">
        <v>2416</v>
      </c>
      <c r="N575" s="19">
        <v>5</v>
      </c>
      <c r="O575" s="19">
        <v>0</v>
      </c>
      <c r="P575" s="19">
        <v>2</v>
      </c>
      <c r="Q575" s="19">
        <v>1</v>
      </c>
      <c r="R575" s="19">
        <v>1</v>
      </c>
      <c r="S575" s="19">
        <v>1</v>
      </c>
      <c r="T575" s="18" t="s">
        <v>2364</v>
      </c>
      <c r="U575" s="283" t="e">
        <v>#N/A</v>
      </c>
      <c r="V575" s="322" t="s">
        <v>2417</v>
      </c>
      <c r="W575" s="283">
        <v>1</v>
      </c>
      <c r="X575" s="283">
        <v>0</v>
      </c>
      <c r="Y575" s="283">
        <v>0</v>
      </c>
      <c r="Z575" s="283">
        <v>1</v>
      </c>
      <c r="AA575" s="283">
        <v>0</v>
      </c>
      <c r="AB575" s="283">
        <v>1</v>
      </c>
      <c r="AC575" s="316">
        <v>0</v>
      </c>
      <c r="AD575" s="316">
        <v>1</v>
      </c>
      <c r="AE575" s="302">
        <f t="shared" si="61"/>
        <v>0.5</v>
      </c>
      <c r="AF575" s="310"/>
      <c r="AG575" s="17">
        <v>0</v>
      </c>
      <c r="AH575" s="310">
        <v>0.3</v>
      </c>
      <c r="AI575" s="310">
        <v>0.3</v>
      </c>
      <c r="AJ575" s="310">
        <v>0.3</v>
      </c>
      <c r="AK575" s="317">
        <v>0.3</v>
      </c>
      <c r="AL575" s="317">
        <v>0.3</v>
      </c>
      <c r="AM575" s="17">
        <f t="shared" si="62"/>
        <v>0.6</v>
      </c>
      <c r="AN575" s="283" t="s">
        <v>2323</v>
      </c>
      <c r="AO575" s="18" t="s">
        <v>241</v>
      </c>
      <c r="AP575" s="283" t="s">
        <v>2406</v>
      </c>
    </row>
    <row r="576" spans="1:42" s="18" customFormat="1" hidden="1" x14ac:dyDescent="0.3">
      <c r="A576" s="156" t="s">
        <v>1455</v>
      </c>
      <c r="B576" s="18" t="s">
        <v>2061</v>
      </c>
      <c r="C576" s="18">
        <v>113</v>
      </c>
      <c r="D576" s="18" t="s">
        <v>2284</v>
      </c>
      <c r="E576" s="18">
        <v>1134</v>
      </c>
      <c r="F576" s="157" t="s">
        <v>2356</v>
      </c>
      <c r="G576" s="18">
        <v>113404</v>
      </c>
      <c r="H576" s="157" t="s">
        <v>2402</v>
      </c>
      <c r="I576" s="157"/>
      <c r="J576" s="157"/>
      <c r="K576" s="18">
        <v>11340404</v>
      </c>
      <c r="L576" s="10" t="s">
        <v>2415</v>
      </c>
      <c r="M576" s="18" t="s">
        <v>2418</v>
      </c>
      <c r="N576" s="19">
        <v>0</v>
      </c>
      <c r="O576" s="19">
        <v>0</v>
      </c>
      <c r="P576" s="19">
        <v>2</v>
      </c>
      <c r="Q576" s="19">
        <v>3</v>
      </c>
      <c r="R576" s="19">
        <v>3</v>
      </c>
      <c r="S576" s="19">
        <v>2</v>
      </c>
      <c r="T576" s="18" t="s">
        <v>2364</v>
      </c>
      <c r="U576" s="283" t="e">
        <v>#N/A</v>
      </c>
      <c r="V576" s="326" t="s">
        <v>2419</v>
      </c>
      <c r="W576" s="283">
        <v>1</v>
      </c>
      <c r="X576" s="283">
        <v>0</v>
      </c>
      <c r="Y576" s="283">
        <v>0</v>
      </c>
      <c r="Z576" s="283">
        <v>1</v>
      </c>
      <c r="AA576" s="283">
        <v>1</v>
      </c>
      <c r="AB576" s="283">
        <v>1</v>
      </c>
      <c r="AC576" s="316">
        <v>0</v>
      </c>
      <c r="AD576" s="316">
        <v>1</v>
      </c>
      <c r="AE576" s="302">
        <f t="shared" si="61"/>
        <v>0.625</v>
      </c>
      <c r="AF576" s="310"/>
      <c r="AG576" s="17">
        <v>0</v>
      </c>
      <c r="AH576" s="310">
        <v>0.1</v>
      </c>
      <c r="AI576" s="310">
        <v>0.3</v>
      </c>
      <c r="AJ576" s="310">
        <v>0.3</v>
      </c>
      <c r="AK576" s="317">
        <v>0.3</v>
      </c>
      <c r="AL576" s="317">
        <v>0.5</v>
      </c>
      <c r="AM576" s="17">
        <f t="shared" si="62"/>
        <v>0.8</v>
      </c>
      <c r="AN576" s="283" t="s">
        <v>2323</v>
      </c>
      <c r="AO576" s="18" t="s">
        <v>241</v>
      </c>
      <c r="AP576" s="283" t="s">
        <v>2406</v>
      </c>
    </row>
    <row r="577" spans="1:42" s="18" customFormat="1" hidden="1" x14ac:dyDescent="0.3">
      <c r="A577" s="156" t="s">
        <v>1455</v>
      </c>
      <c r="B577" s="18" t="s">
        <v>2061</v>
      </c>
      <c r="C577" s="18">
        <v>113</v>
      </c>
      <c r="D577" s="18" t="s">
        <v>2284</v>
      </c>
      <c r="E577" s="18">
        <v>1134</v>
      </c>
      <c r="F577" s="157" t="s">
        <v>2356</v>
      </c>
      <c r="G577" s="18">
        <v>113404</v>
      </c>
      <c r="H577" s="157" t="s">
        <v>2402</v>
      </c>
      <c r="I577" s="157"/>
      <c r="J577" s="157"/>
      <c r="K577" s="18">
        <v>11340404</v>
      </c>
      <c r="L577" s="10" t="s">
        <v>2415</v>
      </c>
      <c r="M577" s="18" t="s">
        <v>2420</v>
      </c>
      <c r="N577" s="19">
        <v>0</v>
      </c>
      <c r="O577" s="19">
        <v>0</v>
      </c>
      <c r="P577" s="19">
        <v>2</v>
      </c>
      <c r="Q577" s="19">
        <v>2</v>
      </c>
      <c r="R577" s="19">
        <v>2</v>
      </c>
      <c r="S577" s="19">
        <v>2</v>
      </c>
      <c r="T577" s="18" t="s">
        <v>2364</v>
      </c>
      <c r="U577" s="283" t="e">
        <v>#N/A</v>
      </c>
      <c r="V577" s="326" t="s">
        <v>2421</v>
      </c>
      <c r="W577" s="283">
        <v>1</v>
      </c>
      <c r="X577" s="283">
        <v>0</v>
      </c>
      <c r="Y577" s="283">
        <v>0</v>
      </c>
      <c r="Z577" s="283">
        <v>1</v>
      </c>
      <c r="AA577" s="283">
        <v>1</v>
      </c>
      <c r="AB577" s="283">
        <v>1</v>
      </c>
      <c r="AC577" s="316">
        <v>0</v>
      </c>
      <c r="AD577" s="316">
        <v>1</v>
      </c>
      <c r="AE577" s="302">
        <f t="shared" si="61"/>
        <v>0.625</v>
      </c>
      <c r="AF577" s="310"/>
      <c r="AG577" s="17">
        <v>0</v>
      </c>
      <c r="AH577" s="310">
        <v>0.5</v>
      </c>
      <c r="AI577" s="310">
        <v>0.5</v>
      </c>
      <c r="AJ577" s="310">
        <v>0.5</v>
      </c>
      <c r="AK577" s="317">
        <v>0.5</v>
      </c>
      <c r="AL577" s="317">
        <v>0.5</v>
      </c>
      <c r="AM577" s="17">
        <f t="shared" si="62"/>
        <v>1</v>
      </c>
      <c r="AN577" s="283" t="s">
        <v>2323</v>
      </c>
      <c r="AO577" s="18" t="s">
        <v>241</v>
      </c>
      <c r="AP577" s="283" t="s">
        <v>2406</v>
      </c>
    </row>
    <row r="578" spans="1:42" s="18" customFormat="1" hidden="1" x14ac:dyDescent="0.3">
      <c r="A578" s="156" t="s">
        <v>1455</v>
      </c>
      <c r="B578" s="18" t="s">
        <v>2061</v>
      </c>
      <c r="C578" s="18">
        <v>113</v>
      </c>
      <c r="D578" s="18" t="s">
        <v>2284</v>
      </c>
      <c r="E578" s="18">
        <v>1134</v>
      </c>
      <c r="F578" s="157" t="s">
        <v>2356</v>
      </c>
      <c r="G578" s="18">
        <v>113404</v>
      </c>
      <c r="H578" s="157" t="s">
        <v>2402</v>
      </c>
      <c r="I578" s="157"/>
      <c r="J578" s="157"/>
      <c r="K578" s="18">
        <v>11340405</v>
      </c>
      <c r="L578" s="18" t="s">
        <v>2422</v>
      </c>
      <c r="M578" s="18" t="s">
        <v>2423</v>
      </c>
      <c r="N578" s="19">
        <v>0</v>
      </c>
      <c r="O578" s="19">
        <v>0</v>
      </c>
      <c r="P578" s="19">
        <v>4</v>
      </c>
      <c r="Q578" s="19">
        <v>5</v>
      </c>
      <c r="R578" s="19">
        <v>3</v>
      </c>
      <c r="S578" s="19">
        <v>2</v>
      </c>
      <c r="T578" s="18" t="s">
        <v>2364</v>
      </c>
      <c r="U578" s="283" t="e">
        <v>#N/A</v>
      </c>
      <c r="V578" s="283" t="s">
        <v>2424</v>
      </c>
      <c r="W578" s="283">
        <v>1</v>
      </c>
      <c r="X578" s="283">
        <v>0</v>
      </c>
      <c r="Y578" s="283">
        <v>0</v>
      </c>
      <c r="Z578" s="283">
        <v>1</v>
      </c>
      <c r="AA578" s="283">
        <v>0</v>
      </c>
      <c r="AB578" s="283">
        <v>0</v>
      </c>
      <c r="AC578" s="316">
        <v>0</v>
      </c>
      <c r="AD578" s="316">
        <v>1</v>
      </c>
      <c r="AE578" s="302">
        <f t="shared" si="61"/>
        <v>0.375</v>
      </c>
      <c r="AF578" s="310"/>
      <c r="AG578" s="17">
        <v>0</v>
      </c>
      <c r="AH578" s="310">
        <v>1</v>
      </c>
      <c r="AI578" s="310">
        <v>1</v>
      </c>
      <c r="AJ578" s="310">
        <v>1</v>
      </c>
      <c r="AK578" s="317">
        <v>1</v>
      </c>
      <c r="AL578" s="317">
        <v>1</v>
      </c>
      <c r="AM578" s="17">
        <f t="shared" si="62"/>
        <v>2</v>
      </c>
      <c r="AN578" s="283" t="s">
        <v>2323</v>
      </c>
      <c r="AO578" s="18" t="s">
        <v>241</v>
      </c>
      <c r="AP578" s="283" t="s">
        <v>2425</v>
      </c>
    </row>
    <row r="579" spans="1:42" s="18" customFormat="1" hidden="1" x14ac:dyDescent="0.3">
      <c r="A579" s="156" t="s">
        <v>1455</v>
      </c>
      <c r="B579" s="18" t="s">
        <v>2061</v>
      </c>
      <c r="C579" s="18">
        <v>113</v>
      </c>
      <c r="D579" s="18" t="s">
        <v>2284</v>
      </c>
      <c r="E579" s="18">
        <v>1134</v>
      </c>
      <c r="F579" s="157" t="s">
        <v>2356</v>
      </c>
      <c r="G579" s="18">
        <v>113405</v>
      </c>
      <c r="H579" s="157" t="s">
        <v>2426</v>
      </c>
      <c r="I579" s="157"/>
      <c r="J579" s="157"/>
      <c r="K579" s="18">
        <v>11340501</v>
      </c>
      <c r="L579" s="157" t="s">
        <v>2427</v>
      </c>
      <c r="M579" s="157" t="s">
        <v>2428</v>
      </c>
      <c r="N579" s="19" t="s">
        <v>271</v>
      </c>
      <c r="O579" s="19" t="s">
        <v>271</v>
      </c>
      <c r="P579" s="19" t="s">
        <v>271</v>
      </c>
      <c r="Q579" s="19">
        <v>1</v>
      </c>
      <c r="R579" s="19" t="s">
        <v>271</v>
      </c>
      <c r="S579" s="19" t="s">
        <v>271</v>
      </c>
      <c r="T579" s="18" t="s">
        <v>2429</v>
      </c>
      <c r="U579" s="283" t="e">
        <v>#N/A</v>
      </c>
      <c r="X579" s="283"/>
      <c r="AC579" s="316">
        <v>0</v>
      </c>
      <c r="AD579" s="316">
        <v>0</v>
      </c>
      <c r="AE579" s="302">
        <f t="shared" si="61"/>
        <v>0</v>
      </c>
      <c r="AF579" s="17"/>
      <c r="AG579" s="17">
        <v>0</v>
      </c>
      <c r="AH579" s="17"/>
      <c r="AI579" s="17"/>
      <c r="AJ579" s="17"/>
      <c r="AK579" s="154"/>
      <c r="AL579" s="154"/>
      <c r="AM579" s="17">
        <f t="shared" si="62"/>
        <v>0</v>
      </c>
    </row>
    <row r="580" spans="1:42" s="18" customFormat="1" hidden="1" x14ac:dyDescent="0.3">
      <c r="A580" s="156" t="s">
        <v>1455</v>
      </c>
      <c r="B580" s="18" t="s">
        <v>2061</v>
      </c>
      <c r="C580" s="18">
        <v>113</v>
      </c>
      <c r="D580" s="18" t="s">
        <v>2284</v>
      </c>
      <c r="E580" s="18">
        <v>1134</v>
      </c>
      <c r="F580" s="157" t="s">
        <v>2356</v>
      </c>
      <c r="G580" s="18">
        <v>113405</v>
      </c>
      <c r="H580" s="157" t="s">
        <v>2426</v>
      </c>
      <c r="I580" s="157"/>
      <c r="J580" s="157"/>
      <c r="K580" s="18">
        <v>11340502</v>
      </c>
      <c r="L580" s="10" t="s">
        <v>2430</v>
      </c>
      <c r="M580" s="18" t="s">
        <v>2431</v>
      </c>
      <c r="N580" s="19"/>
      <c r="O580" s="19"/>
      <c r="P580" s="19"/>
      <c r="Q580" s="19">
        <v>50</v>
      </c>
      <c r="R580" s="19"/>
      <c r="S580" s="19"/>
      <c r="T580" s="10" t="s">
        <v>2432</v>
      </c>
      <c r="U580" s="283" t="s">
        <v>729</v>
      </c>
      <c r="V580" s="283" t="s">
        <v>2433</v>
      </c>
      <c r="W580" s="283">
        <v>1</v>
      </c>
      <c r="X580" s="283">
        <v>0</v>
      </c>
      <c r="Y580" s="283">
        <v>0</v>
      </c>
      <c r="Z580" s="283">
        <v>1</v>
      </c>
      <c r="AA580" s="283">
        <v>0</v>
      </c>
      <c r="AB580" s="283">
        <v>0</v>
      </c>
      <c r="AC580" s="316">
        <v>1</v>
      </c>
      <c r="AD580" s="316">
        <v>1</v>
      </c>
      <c r="AE580" s="302">
        <f t="shared" ref="AE580:AE605" si="63">SUM(W580:AD580)/8</f>
        <v>0.5</v>
      </c>
      <c r="AF580" s="310"/>
      <c r="AG580" s="17">
        <v>0</v>
      </c>
      <c r="AH580" s="310">
        <v>0.2</v>
      </c>
      <c r="AI580" s="310">
        <v>0.2</v>
      </c>
      <c r="AJ580" s="310">
        <v>0.1</v>
      </c>
      <c r="AK580" s="317">
        <v>0.1</v>
      </c>
      <c r="AL580" s="317">
        <v>0.9</v>
      </c>
      <c r="AM580" s="17">
        <f t="shared" ref="AM580:AM605" si="64">SUM(AK580:AL580)</f>
        <v>1</v>
      </c>
      <c r="AN580" s="283" t="s">
        <v>723</v>
      </c>
      <c r="AO580" s="18" t="s">
        <v>729</v>
      </c>
      <c r="AP580" s="283" t="s">
        <v>119</v>
      </c>
    </row>
    <row r="581" spans="1:42" s="18" customFormat="1" x14ac:dyDescent="0.3">
      <c r="A581" s="156" t="s">
        <v>1455</v>
      </c>
      <c r="B581" s="18" t="s">
        <v>2061</v>
      </c>
      <c r="C581" s="18">
        <v>113</v>
      </c>
      <c r="D581" s="18" t="s">
        <v>2284</v>
      </c>
      <c r="E581" s="18">
        <v>1134</v>
      </c>
      <c r="F581" s="157" t="s">
        <v>2356</v>
      </c>
      <c r="G581" s="18">
        <v>113405</v>
      </c>
      <c r="H581" s="157" t="s">
        <v>2426</v>
      </c>
      <c r="I581" s="157"/>
      <c r="J581" s="157"/>
      <c r="K581" s="18">
        <v>11340502</v>
      </c>
      <c r="L581" s="10" t="s">
        <v>2430</v>
      </c>
      <c r="N581" s="19"/>
      <c r="O581" s="19"/>
      <c r="P581" s="19"/>
      <c r="Q581" s="19"/>
      <c r="R581" s="19"/>
      <c r="S581" s="19"/>
      <c r="T581" s="10"/>
      <c r="U581" s="283" t="e">
        <v>#N/A</v>
      </c>
      <c r="V581" s="326" t="s">
        <v>2434</v>
      </c>
      <c r="W581" s="283">
        <v>1</v>
      </c>
      <c r="X581" s="283">
        <v>0</v>
      </c>
      <c r="Y581" s="283">
        <v>0</v>
      </c>
      <c r="Z581" s="283">
        <v>1</v>
      </c>
      <c r="AA581" s="283">
        <v>1</v>
      </c>
      <c r="AB581" s="283">
        <v>1</v>
      </c>
      <c r="AC581" s="316">
        <v>1</v>
      </c>
      <c r="AD581" s="316">
        <v>1</v>
      </c>
      <c r="AE581" s="302">
        <f t="shared" si="63"/>
        <v>0.75</v>
      </c>
      <c r="AF581" s="17"/>
      <c r="AG581" s="17">
        <v>0</v>
      </c>
      <c r="AH581" s="17">
        <v>0</v>
      </c>
      <c r="AI581" s="17">
        <v>0</v>
      </c>
      <c r="AJ581" s="17">
        <v>0</v>
      </c>
      <c r="AK581" s="153">
        <v>0</v>
      </c>
      <c r="AL581" s="154">
        <v>0</v>
      </c>
      <c r="AM581" s="17">
        <f t="shared" si="64"/>
        <v>0</v>
      </c>
      <c r="AN581" s="283" t="s">
        <v>723</v>
      </c>
      <c r="AO581" s="18" t="s">
        <v>729</v>
      </c>
      <c r="AP581" s="283" t="s">
        <v>119</v>
      </c>
    </row>
    <row r="582" spans="1:42" s="168" customFormat="1" hidden="1" x14ac:dyDescent="0.3">
      <c r="A582" s="156" t="s">
        <v>1455</v>
      </c>
      <c r="B582" s="162" t="s">
        <v>2061</v>
      </c>
      <c r="C582" s="162">
        <v>113</v>
      </c>
      <c r="D582" s="162" t="s">
        <v>2284</v>
      </c>
      <c r="E582" s="162">
        <v>1134</v>
      </c>
      <c r="F582" s="167" t="s">
        <v>2356</v>
      </c>
      <c r="G582" s="168">
        <v>113406</v>
      </c>
      <c r="H582" s="168" t="s">
        <v>2435</v>
      </c>
      <c r="K582" s="168">
        <v>11340601</v>
      </c>
      <c r="L582" s="168" t="s">
        <v>2436</v>
      </c>
      <c r="M582" s="162" t="s">
        <v>2437</v>
      </c>
      <c r="N582" s="169" t="s">
        <v>271</v>
      </c>
      <c r="O582" s="169" t="s">
        <v>271</v>
      </c>
      <c r="P582" s="169">
        <v>51767</v>
      </c>
      <c r="Q582" s="169">
        <v>62121</v>
      </c>
      <c r="R582" s="169">
        <v>82828</v>
      </c>
      <c r="S582" s="169">
        <v>113888</v>
      </c>
      <c r="T582" s="162" t="s">
        <v>2432</v>
      </c>
      <c r="U582" s="283" t="s">
        <v>729</v>
      </c>
      <c r="V582" s="170" t="s">
        <v>2438</v>
      </c>
      <c r="W582" s="283">
        <v>1</v>
      </c>
      <c r="X582" s="283">
        <v>0</v>
      </c>
      <c r="Y582" s="283">
        <v>0</v>
      </c>
      <c r="Z582" s="283">
        <v>1</v>
      </c>
      <c r="AA582" s="283">
        <v>1</v>
      </c>
      <c r="AB582" s="283">
        <v>0</v>
      </c>
      <c r="AC582" s="316">
        <v>1</v>
      </c>
      <c r="AD582" s="316">
        <v>1</v>
      </c>
      <c r="AE582" s="302">
        <f t="shared" si="63"/>
        <v>0.625</v>
      </c>
      <c r="AF582" s="171"/>
      <c r="AG582" s="17">
        <v>0</v>
      </c>
      <c r="AH582" s="171">
        <v>0</v>
      </c>
      <c r="AI582" s="171">
        <v>0</v>
      </c>
      <c r="AJ582" s="171">
        <v>0</v>
      </c>
      <c r="AK582" s="172">
        <v>0</v>
      </c>
      <c r="AL582" s="173">
        <v>0</v>
      </c>
      <c r="AM582" s="17">
        <f t="shared" si="64"/>
        <v>0</v>
      </c>
      <c r="AN582" s="162" t="s">
        <v>723</v>
      </c>
      <c r="AO582" s="162" t="s">
        <v>729</v>
      </c>
      <c r="AP582" s="162" t="s">
        <v>119</v>
      </c>
    </row>
    <row r="583" spans="1:42" s="18" customFormat="1" hidden="1" x14ac:dyDescent="0.3">
      <c r="A583" s="156" t="s">
        <v>1455</v>
      </c>
      <c r="B583" s="18" t="s">
        <v>2061</v>
      </c>
      <c r="C583" s="18">
        <v>114</v>
      </c>
      <c r="D583" s="18" t="s">
        <v>2439</v>
      </c>
      <c r="E583" s="18">
        <v>1145</v>
      </c>
      <c r="F583" s="18" t="s">
        <v>2440</v>
      </c>
      <c r="G583" s="18">
        <v>114501</v>
      </c>
      <c r="H583" s="18" t="s">
        <v>2441</v>
      </c>
      <c r="K583" s="162">
        <v>11450101</v>
      </c>
      <c r="L583" s="1" t="s">
        <v>2442</v>
      </c>
      <c r="M583" s="18" t="s">
        <v>2443</v>
      </c>
      <c r="N583" s="19"/>
      <c r="O583" s="19">
        <v>1</v>
      </c>
      <c r="P583" s="19"/>
      <c r="Q583" s="19"/>
      <c r="R583" s="19"/>
      <c r="S583" s="19"/>
      <c r="T583" s="168" t="s">
        <v>239</v>
      </c>
      <c r="U583" s="283" t="s">
        <v>241</v>
      </c>
      <c r="V583" s="166" t="s">
        <v>2444</v>
      </c>
      <c r="W583" s="18">
        <v>1</v>
      </c>
      <c r="X583" s="18">
        <v>0</v>
      </c>
      <c r="Y583" s="18">
        <v>0</v>
      </c>
      <c r="Z583" s="18">
        <v>1</v>
      </c>
      <c r="AA583" s="18">
        <v>1</v>
      </c>
      <c r="AB583" s="18">
        <v>0</v>
      </c>
      <c r="AC583" s="316">
        <v>1</v>
      </c>
      <c r="AD583" s="316">
        <v>1</v>
      </c>
      <c r="AE583" s="302">
        <f t="shared" si="63"/>
        <v>0.625</v>
      </c>
      <c r="AF583" s="174"/>
      <c r="AG583" s="17">
        <v>0</v>
      </c>
      <c r="AH583" s="174">
        <v>0</v>
      </c>
      <c r="AI583" s="174">
        <v>0</v>
      </c>
      <c r="AJ583" s="174">
        <v>0.02</v>
      </c>
      <c r="AK583" s="175">
        <v>0.05</v>
      </c>
      <c r="AL583" s="175" t="s">
        <v>2089</v>
      </c>
      <c r="AM583" s="17">
        <f t="shared" si="64"/>
        <v>0.05</v>
      </c>
      <c r="AN583" s="1" t="s">
        <v>239</v>
      </c>
      <c r="AO583" s="18" t="s">
        <v>241</v>
      </c>
      <c r="AP583" s="1" t="s">
        <v>2445</v>
      </c>
    </row>
    <row r="584" spans="1:42" s="18" customFormat="1" hidden="1" x14ac:dyDescent="0.3">
      <c r="A584" s="156" t="s">
        <v>1455</v>
      </c>
      <c r="B584" s="18" t="s">
        <v>2061</v>
      </c>
      <c r="C584" s="18">
        <v>114</v>
      </c>
      <c r="D584" s="18" t="s">
        <v>2439</v>
      </c>
      <c r="E584" s="18">
        <v>1145</v>
      </c>
      <c r="F584" s="18" t="s">
        <v>2440</v>
      </c>
      <c r="G584" s="18">
        <v>114501</v>
      </c>
      <c r="H584" s="18" t="s">
        <v>2441</v>
      </c>
      <c r="K584" s="162">
        <v>11450101</v>
      </c>
      <c r="L584" s="1" t="s">
        <v>2442</v>
      </c>
      <c r="M584" s="18" t="s">
        <v>2446</v>
      </c>
      <c r="N584" s="19">
        <v>0</v>
      </c>
      <c r="O584" s="19"/>
      <c r="P584" s="19"/>
      <c r="Q584" s="19">
        <v>1</v>
      </c>
      <c r="R584" s="19"/>
      <c r="S584" s="19"/>
      <c r="T584" s="168" t="s">
        <v>239</v>
      </c>
      <c r="U584" s="283" t="s">
        <v>241</v>
      </c>
      <c r="V584" s="166" t="s">
        <v>2447</v>
      </c>
      <c r="W584" s="18">
        <v>1</v>
      </c>
      <c r="X584" s="18">
        <v>0</v>
      </c>
      <c r="Y584" s="18">
        <v>0</v>
      </c>
      <c r="Z584" s="18">
        <v>1</v>
      </c>
      <c r="AA584" s="18">
        <v>0</v>
      </c>
      <c r="AB584" s="18">
        <v>1</v>
      </c>
      <c r="AC584" s="316">
        <v>1</v>
      </c>
      <c r="AD584" s="316">
        <v>1</v>
      </c>
      <c r="AE584" s="302">
        <f t="shared" si="63"/>
        <v>0.625</v>
      </c>
      <c r="AF584" s="174"/>
      <c r="AG584" s="17">
        <v>0</v>
      </c>
      <c r="AH584" s="174">
        <v>0.1</v>
      </c>
      <c r="AI584" s="174">
        <v>0.2</v>
      </c>
      <c r="AJ584" s="174">
        <v>0</v>
      </c>
      <c r="AK584" s="175">
        <v>0</v>
      </c>
      <c r="AL584" s="175" t="s">
        <v>2089</v>
      </c>
      <c r="AM584" s="17">
        <f t="shared" si="64"/>
        <v>0</v>
      </c>
      <c r="AN584" s="1" t="s">
        <v>239</v>
      </c>
      <c r="AO584" s="18" t="s">
        <v>241</v>
      </c>
      <c r="AP584" s="1" t="s">
        <v>2445</v>
      </c>
    </row>
    <row r="585" spans="1:42" s="18" customFormat="1" hidden="1" x14ac:dyDescent="0.3">
      <c r="A585" s="156" t="s">
        <v>1455</v>
      </c>
      <c r="B585" s="18" t="s">
        <v>2061</v>
      </c>
      <c r="C585" s="18">
        <v>114</v>
      </c>
      <c r="D585" s="18" t="s">
        <v>2439</v>
      </c>
      <c r="E585" s="18">
        <v>1145</v>
      </c>
      <c r="F585" s="18" t="s">
        <v>2440</v>
      </c>
      <c r="G585" s="18">
        <v>114501</v>
      </c>
      <c r="H585" s="18" t="s">
        <v>2441</v>
      </c>
      <c r="K585" s="162">
        <v>11450101</v>
      </c>
      <c r="L585" s="1" t="s">
        <v>2442</v>
      </c>
      <c r="M585" s="18" t="s">
        <v>2448</v>
      </c>
      <c r="N585" s="19"/>
      <c r="O585" s="19"/>
      <c r="P585" s="19"/>
      <c r="Q585" s="19"/>
      <c r="R585" s="19"/>
      <c r="S585" s="19">
        <v>1</v>
      </c>
      <c r="T585" s="168" t="s">
        <v>239</v>
      </c>
      <c r="U585" s="283" t="s">
        <v>241</v>
      </c>
      <c r="V585" s="166" t="s">
        <v>2449</v>
      </c>
      <c r="W585" s="18">
        <v>1</v>
      </c>
      <c r="X585" s="18">
        <v>0</v>
      </c>
      <c r="Y585" s="18">
        <v>0</v>
      </c>
      <c r="Z585" s="18">
        <v>1</v>
      </c>
      <c r="AA585" s="18">
        <v>1</v>
      </c>
      <c r="AB585" s="18">
        <v>1</v>
      </c>
      <c r="AC585" s="316">
        <v>0</v>
      </c>
      <c r="AD585" s="316">
        <v>1</v>
      </c>
      <c r="AE585" s="302">
        <f t="shared" si="63"/>
        <v>0.625</v>
      </c>
      <c r="AF585" s="176"/>
      <c r="AG585" s="17">
        <v>0</v>
      </c>
      <c r="AH585" s="176">
        <v>0</v>
      </c>
      <c r="AI585" s="174">
        <v>0.15</v>
      </c>
      <c r="AJ585" s="174">
        <v>0.15</v>
      </c>
      <c r="AK585" s="175">
        <v>0.15</v>
      </c>
      <c r="AL585" s="177">
        <v>0</v>
      </c>
      <c r="AM585" s="17">
        <f t="shared" si="64"/>
        <v>0.15</v>
      </c>
      <c r="AN585" s="1" t="s">
        <v>239</v>
      </c>
      <c r="AO585" s="18" t="s">
        <v>241</v>
      </c>
      <c r="AP585" s="1" t="s">
        <v>2445</v>
      </c>
    </row>
    <row r="586" spans="1:42" s="18" customFormat="1" hidden="1" x14ac:dyDescent="0.3">
      <c r="A586" s="156" t="s">
        <v>1455</v>
      </c>
      <c r="B586" s="18" t="s">
        <v>2061</v>
      </c>
      <c r="C586" s="18">
        <v>114</v>
      </c>
      <c r="D586" s="18" t="s">
        <v>2439</v>
      </c>
      <c r="E586" s="18">
        <v>1145</v>
      </c>
      <c r="F586" s="18" t="s">
        <v>2440</v>
      </c>
      <c r="G586" s="18">
        <v>114501</v>
      </c>
      <c r="H586" s="18" t="s">
        <v>2441</v>
      </c>
      <c r="K586" s="162">
        <v>11450102</v>
      </c>
      <c r="L586" s="1" t="s">
        <v>2450</v>
      </c>
      <c r="M586" s="18" t="s">
        <v>2451</v>
      </c>
      <c r="N586" s="19">
        <v>0</v>
      </c>
      <c r="O586" s="19"/>
      <c r="P586" s="19"/>
      <c r="Q586" s="19"/>
      <c r="R586" s="19">
        <v>1</v>
      </c>
      <c r="S586" s="19"/>
      <c r="T586" s="168" t="s">
        <v>239</v>
      </c>
      <c r="U586" s="283" t="s">
        <v>241</v>
      </c>
      <c r="V586" s="18" t="s">
        <v>2452</v>
      </c>
      <c r="W586" s="18">
        <v>1</v>
      </c>
      <c r="X586" s="18">
        <v>0</v>
      </c>
      <c r="Y586" s="18">
        <v>0</v>
      </c>
      <c r="Z586" s="18">
        <v>1</v>
      </c>
      <c r="AA586" s="18">
        <v>0</v>
      </c>
      <c r="AB586" s="18">
        <v>0</v>
      </c>
      <c r="AC586" s="316">
        <v>1</v>
      </c>
      <c r="AD586" s="316">
        <v>1</v>
      </c>
      <c r="AE586" s="302">
        <f t="shared" si="63"/>
        <v>0.5</v>
      </c>
      <c r="AF586" s="174"/>
      <c r="AG586" s="17">
        <v>0</v>
      </c>
      <c r="AH586" s="174">
        <v>0</v>
      </c>
      <c r="AI586" s="174">
        <v>0</v>
      </c>
      <c r="AJ586" s="174">
        <v>0.1</v>
      </c>
      <c r="AK586" s="175">
        <v>0.2</v>
      </c>
      <c r="AL586" s="175" t="s">
        <v>2089</v>
      </c>
      <c r="AM586" s="17">
        <f t="shared" si="64"/>
        <v>0.2</v>
      </c>
      <c r="AN586" s="1" t="s">
        <v>239</v>
      </c>
      <c r="AO586" s="18" t="s">
        <v>241</v>
      </c>
      <c r="AP586" s="1" t="s">
        <v>2445</v>
      </c>
    </row>
    <row r="587" spans="1:42" s="18" customFormat="1" hidden="1" x14ac:dyDescent="0.3">
      <c r="A587" s="156" t="s">
        <v>1455</v>
      </c>
      <c r="B587" s="18" t="s">
        <v>2061</v>
      </c>
      <c r="C587" s="18">
        <v>114</v>
      </c>
      <c r="D587" s="18" t="s">
        <v>2439</v>
      </c>
      <c r="E587" s="18">
        <v>1145</v>
      </c>
      <c r="F587" s="18" t="s">
        <v>2440</v>
      </c>
      <c r="G587" s="18">
        <v>114501</v>
      </c>
      <c r="H587" s="18" t="s">
        <v>2441</v>
      </c>
      <c r="K587" s="162">
        <v>11450102</v>
      </c>
      <c r="L587" s="1" t="s">
        <v>2450</v>
      </c>
      <c r="M587" s="18" t="s">
        <v>2453</v>
      </c>
      <c r="N587" s="19">
        <v>0</v>
      </c>
      <c r="O587" s="19"/>
      <c r="P587" s="19"/>
      <c r="Q587" s="19"/>
      <c r="R587" s="19">
        <v>1</v>
      </c>
      <c r="S587" s="19"/>
      <c r="T587" s="168" t="s">
        <v>239</v>
      </c>
      <c r="U587" s="283" t="s">
        <v>241</v>
      </c>
      <c r="V587" s="18" t="s">
        <v>2454</v>
      </c>
      <c r="W587" s="18">
        <v>1</v>
      </c>
      <c r="X587" s="18">
        <v>0</v>
      </c>
      <c r="Y587" s="18">
        <v>0</v>
      </c>
      <c r="Z587" s="18">
        <v>1</v>
      </c>
      <c r="AA587" s="18">
        <v>0</v>
      </c>
      <c r="AB587" s="18">
        <v>0</v>
      </c>
      <c r="AC587" s="316">
        <v>1</v>
      </c>
      <c r="AD587" s="316">
        <v>1</v>
      </c>
      <c r="AE587" s="302">
        <f t="shared" si="63"/>
        <v>0.5</v>
      </c>
      <c r="AF587" s="174"/>
      <c r="AG587" s="17">
        <v>0</v>
      </c>
      <c r="AH587" s="174">
        <v>0</v>
      </c>
      <c r="AI587" s="174">
        <v>0</v>
      </c>
      <c r="AJ587" s="174">
        <v>0.05</v>
      </c>
      <c r="AK587" s="175">
        <v>0.2</v>
      </c>
      <c r="AL587" s="175" t="s">
        <v>2089</v>
      </c>
      <c r="AM587" s="17">
        <f t="shared" si="64"/>
        <v>0.2</v>
      </c>
      <c r="AN587" s="1" t="s">
        <v>239</v>
      </c>
      <c r="AO587" s="18" t="s">
        <v>241</v>
      </c>
      <c r="AP587" s="1" t="s">
        <v>2445</v>
      </c>
    </row>
    <row r="588" spans="1:42" s="18" customFormat="1" hidden="1" x14ac:dyDescent="0.3">
      <c r="A588" s="156" t="s">
        <v>1455</v>
      </c>
      <c r="B588" s="18" t="s">
        <v>2061</v>
      </c>
      <c r="C588" s="18">
        <v>114</v>
      </c>
      <c r="D588" s="18" t="s">
        <v>2439</v>
      </c>
      <c r="E588" s="18">
        <v>1145</v>
      </c>
      <c r="F588" s="18" t="s">
        <v>2440</v>
      </c>
      <c r="G588" s="18">
        <v>114501</v>
      </c>
      <c r="H588" s="18" t="s">
        <v>2441</v>
      </c>
      <c r="K588" s="162">
        <v>11450103</v>
      </c>
      <c r="L588" s="1" t="s">
        <v>2455</v>
      </c>
      <c r="M588" s="18" t="s">
        <v>2456</v>
      </c>
      <c r="N588" s="19">
        <v>0</v>
      </c>
      <c r="O588" s="19"/>
      <c r="P588" s="19"/>
      <c r="Q588" s="19">
        <v>1</v>
      </c>
      <c r="R588" s="19"/>
      <c r="S588" s="19"/>
      <c r="T588" s="168" t="s">
        <v>239</v>
      </c>
      <c r="U588" s="283" t="s">
        <v>241</v>
      </c>
      <c r="V588" s="90" t="s">
        <v>2457</v>
      </c>
      <c r="AC588" s="316">
        <v>0</v>
      </c>
      <c r="AD588" s="316">
        <v>0</v>
      </c>
      <c r="AE588" s="302">
        <f t="shared" si="63"/>
        <v>0</v>
      </c>
      <c r="AF588" s="174"/>
      <c r="AG588" s="17">
        <v>0</v>
      </c>
      <c r="AH588" s="174">
        <v>0</v>
      </c>
      <c r="AI588" s="174">
        <v>0.2</v>
      </c>
      <c r="AJ588" s="174">
        <v>0.1</v>
      </c>
      <c r="AK588" s="175">
        <v>0</v>
      </c>
      <c r="AL588" s="175" t="s">
        <v>2089</v>
      </c>
      <c r="AM588" s="17">
        <f t="shared" si="64"/>
        <v>0</v>
      </c>
      <c r="AN588" s="18" t="s">
        <v>239</v>
      </c>
      <c r="AO588" s="18" t="s">
        <v>241</v>
      </c>
      <c r="AP588" s="1" t="s">
        <v>2361</v>
      </c>
    </row>
    <row r="589" spans="1:42" s="18" customFormat="1" hidden="1" x14ac:dyDescent="0.3">
      <c r="A589" s="156" t="s">
        <v>1455</v>
      </c>
      <c r="B589" s="18" t="s">
        <v>2061</v>
      </c>
      <c r="C589" s="18">
        <v>114</v>
      </c>
      <c r="D589" s="18" t="s">
        <v>2439</v>
      </c>
      <c r="E589" s="18">
        <v>1145</v>
      </c>
      <c r="F589" s="18" t="s">
        <v>2440</v>
      </c>
      <c r="G589" s="18">
        <v>114502</v>
      </c>
      <c r="H589" s="18" t="s">
        <v>2458</v>
      </c>
      <c r="K589" s="18">
        <v>11450201</v>
      </c>
      <c r="L589" s="18" t="s">
        <v>2459</v>
      </c>
      <c r="M589" s="18" t="s">
        <v>2460</v>
      </c>
      <c r="N589" s="178">
        <v>0</v>
      </c>
      <c r="O589" s="178"/>
      <c r="P589" s="178"/>
      <c r="Q589" s="178">
        <v>1</v>
      </c>
      <c r="R589" s="178"/>
      <c r="S589" s="178"/>
      <c r="T589" s="168" t="s">
        <v>239</v>
      </c>
      <c r="U589" s="283" t="s">
        <v>241</v>
      </c>
      <c r="V589" s="14" t="s">
        <v>2461</v>
      </c>
      <c r="W589" s="14">
        <v>1</v>
      </c>
      <c r="X589" s="14">
        <v>0</v>
      </c>
      <c r="Y589" s="14"/>
      <c r="Z589" s="14">
        <v>1</v>
      </c>
      <c r="AA589" s="14">
        <v>0</v>
      </c>
      <c r="AB589" s="14">
        <v>0</v>
      </c>
      <c r="AC589" s="316">
        <v>1</v>
      </c>
      <c r="AD589" s="316">
        <v>1</v>
      </c>
      <c r="AE589" s="302">
        <f t="shared" si="63"/>
        <v>0.5</v>
      </c>
      <c r="AF589" s="174"/>
      <c r="AG589" s="17">
        <v>0</v>
      </c>
      <c r="AH589" s="174">
        <v>0</v>
      </c>
      <c r="AI589" s="174">
        <v>0.06</v>
      </c>
      <c r="AJ589" s="174">
        <v>0.04</v>
      </c>
      <c r="AK589" s="175">
        <v>0</v>
      </c>
      <c r="AL589" s="175" t="s">
        <v>2089</v>
      </c>
      <c r="AM589" s="17">
        <f t="shared" si="64"/>
        <v>0</v>
      </c>
      <c r="AN589" s="1" t="s">
        <v>239</v>
      </c>
      <c r="AO589" s="18" t="s">
        <v>241</v>
      </c>
      <c r="AP589" s="1" t="s">
        <v>1083</v>
      </c>
    </row>
    <row r="590" spans="1:42" s="18" customFormat="1" hidden="1" x14ac:dyDescent="0.3">
      <c r="A590" s="156" t="s">
        <v>1455</v>
      </c>
      <c r="B590" s="18" t="s">
        <v>2061</v>
      </c>
      <c r="C590" s="18">
        <v>114</v>
      </c>
      <c r="D590" s="18" t="s">
        <v>2439</v>
      </c>
      <c r="E590" s="18">
        <v>1145</v>
      </c>
      <c r="F590" s="18" t="s">
        <v>2440</v>
      </c>
      <c r="G590" s="18">
        <v>114502</v>
      </c>
      <c r="H590" s="18" t="s">
        <v>2458</v>
      </c>
      <c r="K590" s="18">
        <v>11450201</v>
      </c>
      <c r="L590" s="18" t="s">
        <v>2459</v>
      </c>
      <c r="M590" s="18" t="s">
        <v>2462</v>
      </c>
      <c r="N590" s="178">
        <v>0</v>
      </c>
      <c r="O590" s="178"/>
      <c r="P590" s="178"/>
      <c r="Q590" s="178"/>
      <c r="R590" s="178">
        <v>1</v>
      </c>
      <c r="S590" s="178"/>
      <c r="T590" s="168" t="s">
        <v>239</v>
      </c>
      <c r="U590" s="283" t="s">
        <v>241</v>
      </c>
      <c r="V590" s="168" t="s">
        <v>2463</v>
      </c>
      <c r="W590" s="14">
        <v>1</v>
      </c>
      <c r="X590" s="14">
        <v>0</v>
      </c>
      <c r="Y590" s="14">
        <v>0</v>
      </c>
      <c r="Z590" s="14">
        <v>1</v>
      </c>
      <c r="AA590" s="14">
        <v>0</v>
      </c>
      <c r="AB590" s="14">
        <v>0</v>
      </c>
      <c r="AC590" s="316">
        <v>1</v>
      </c>
      <c r="AD590" s="316">
        <v>1</v>
      </c>
      <c r="AE590" s="302">
        <f t="shared" si="63"/>
        <v>0.5</v>
      </c>
      <c r="AF590" s="174"/>
      <c r="AG590" s="17">
        <v>0</v>
      </c>
      <c r="AH590" s="174">
        <v>0.08</v>
      </c>
      <c r="AI590" s="174">
        <v>0</v>
      </c>
      <c r="AJ590" s="174">
        <v>0</v>
      </c>
      <c r="AK590" s="175">
        <v>0</v>
      </c>
      <c r="AL590" s="175" t="s">
        <v>2089</v>
      </c>
      <c r="AM590" s="17">
        <f t="shared" si="64"/>
        <v>0</v>
      </c>
      <c r="AN590" s="1" t="s">
        <v>239</v>
      </c>
      <c r="AO590" s="18" t="s">
        <v>241</v>
      </c>
      <c r="AP590" s="1" t="s">
        <v>119</v>
      </c>
    </row>
    <row r="591" spans="1:42" s="18" customFormat="1" hidden="1" x14ac:dyDescent="0.3">
      <c r="A591" s="156" t="s">
        <v>1455</v>
      </c>
      <c r="B591" s="18" t="s">
        <v>2061</v>
      </c>
      <c r="C591" s="18">
        <v>114</v>
      </c>
      <c r="D591" s="18" t="s">
        <v>2439</v>
      </c>
      <c r="E591" s="18">
        <v>1145</v>
      </c>
      <c r="F591" s="18" t="s">
        <v>2440</v>
      </c>
      <c r="G591" s="18">
        <v>114502</v>
      </c>
      <c r="H591" s="18" t="s">
        <v>2458</v>
      </c>
      <c r="K591" s="18">
        <v>11450201</v>
      </c>
      <c r="L591" s="18" t="s">
        <v>2459</v>
      </c>
      <c r="M591" s="18" t="s">
        <v>2464</v>
      </c>
      <c r="N591" s="178">
        <v>0</v>
      </c>
      <c r="O591" s="178"/>
      <c r="P591" s="178">
        <v>1</v>
      </c>
      <c r="Q591" s="178">
        <v>2</v>
      </c>
      <c r="R591" s="178"/>
      <c r="S591" s="178"/>
      <c r="T591" s="18" t="s">
        <v>239</v>
      </c>
      <c r="U591" s="283" t="s">
        <v>241</v>
      </c>
      <c r="V591" s="179" t="s">
        <v>2465</v>
      </c>
      <c r="W591" s="168"/>
      <c r="X591" s="168"/>
      <c r="Y591" s="168"/>
      <c r="Z591" s="168"/>
      <c r="AA591" s="168"/>
      <c r="AB591" s="168"/>
      <c r="AC591" s="316">
        <v>0</v>
      </c>
      <c r="AD591" s="316">
        <v>0</v>
      </c>
      <c r="AE591" s="302">
        <f t="shared" si="63"/>
        <v>0</v>
      </c>
      <c r="AF591" s="174"/>
      <c r="AG591" s="17">
        <v>0</v>
      </c>
      <c r="AH591" s="174">
        <v>0.4</v>
      </c>
      <c r="AI591" s="174">
        <v>0</v>
      </c>
      <c r="AJ591" s="174">
        <v>0</v>
      </c>
      <c r="AK591" s="175">
        <v>0</v>
      </c>
      <c r="AL591" s="175" t="s">
        <v>2089</v>
      </c>
      <c r="AM591" s="17">
        <f t="shared" si="64"/>
        <v>0</v>
      </c>
      <c r="AN591" s="1" t="s">
        <v>239</v>
      </c>
      <c r="AO591" s="18" t="s">
        <v>241</v>
      </c>
      <c r="AP591" s="1" t="s">
        <v>2361</v>
      </c>
    </row>
    <row r="592" spans="1:42" s="18" customFormat="1" hidden="1" x14ac:dyDescent="0.3">
      <c r="A592" s="156" t="s">
        <v>1455</v>
      </c>
      <c r="B592" s="18" t="s">
        <v>2061</v>
      </c>
      <c r="C592" s="18">
        <v>114</v>
      </c>
      <c r="D592" s="18" t="s">
        <v>2439</v>
      </c>
      <c r="E592" s="18">
        <v>1145</v>
      </c>
      <c r="F592" s="18" t="s">
        <v>2440</v>
      </c>
      <c r="G592" s="18">
        <v>114502</v>
      </c>
      <c r="H592" s="18" t="s">
        <v>2458</v>
      </c>
      <c r="K592" s="18">
        <v>11450201</v>
      </c>
      <c r="L592" s="18" t="s">
        <v>2459</v>
      </c>
      <c r="M592" s="18" t="s">
        <v>2466</v>
      </c>
      <c r="N592" s="178">
        <v>0</v>
      </c>
      <c r="O592" s="178">
        <v>1</v>
      </c>
      <c r="P592" s="178"/>
      <c r="Q592" s="178"/>
      <c r="R592" s="178"/>
      <c r="S592" s="178"/>
      <c r="T592" s="168" t="s">
        <v>239</v>
      </c>
      <c r="U592" s="283" t="s">
        <v>241</v>
      </c>
      <c r="V592" s="168" t="s">
        <v>2467</v>
      </c>
      <c r="W592" s="14">
        <v>1</v>
      </c>
      <c r="X592" s="14">
        <v>0</v>
      </c>
      <c r="Y592" s="14">
        <v>0</v>
      </c>
      <c r="Z592" s="14">
        <v>1</v>
      </c>
      <c r="AA592" s="14">
        <v>0</v>
      </c>
      <c r="AB592" s="14">
        <v>0</v>
      </c>
      <c r="AC592" s="316">
        <v>1</v>
      </c>
      <c r="AD592" s="316">
        <v>1</v>
      </c>
      <c r="AE592" s="302">
        <f t="shared" si="63"/>
        <v>0.5</v>
      </c>
      <c r="AF592" s="174"/>
      <c r="AG592" s="17">
        <v>0</v>
      </c>
      <c r="AH592" s="174">
        <v>0.08</v>
      </c>
      <c r="AI592" s="174">
        <v>7.0000000000000007E-2</v>
      </c>
      <c r="AJ592" s="174">
        <v>0</v>
      </c>
      <c r="AK592" s="175">
        <v>0</v>
      </c>
      <c r="AL592" s="175" t="s">
        <v>2089</v>
      </c>
      <c r="AM592" s="17">
        <f t="shared" si="64"/>
        <v>0</v>
      </c>
      <c r="AN592" s="1" t="s">
        <v>239</v>
      </c>
      <c r="AO592" s="18" t="s">
        <v>241</v>
      </c>
      <c r="AP592" s="1" t="s">
        <v>119</v>
      </c>
    </row>
    <row r="593" spans="1:42" s="18" customFormat="1" hidden="1" x14ac:dyDescent="0.3">
      <c r="A593" s="156" t="s">
        <v>1455</v>
      </c>
      <c r="B593" s="18" t="s">
        <v>2061</v>
      </c>
      <c r="C593" s="18">
        <v>114</v>
      </c>
      <c r="D593" s="18" t="s">
        <v>2439</v>
      </c>
      <c r="E593" s="18">
        <v>1145</v>
      </c>
      <c r="F593" s="18" t="s">
        <v>2440</v>
      </c>
      <c r="G593" s="18">
        <v>114502</v>
      </c>
      <c r="H593" s="18" t="s">
        <v>2458</v>
      </c>
      <c r="K593" s="18">
        <v>11450201</v>
      </c>
      <c r="L593" s="18" t="s">
        <v>2459</v>
      </c>
      <c r="M593" s="18" t="s">
        <v>2468</v>
      </c>
      <c r="N593" s="178">
        <v>0</v>
      </c>
      <c r="O593" s="178"/>
      <c r="P593" s="178"/>
      <c r="Q593" s="178"/>
      <c r="R593" s="178">
        <v>1</v>
      </c>
      <c r="S593" s="178"/>
      <c r="T593" s="168" t="s">
        <v>239</v>
      </c>
      <c r="U593" s="283" t="s">
        <v>241</v>
      </c>
      <c r="V593" s="168" t="s">
        <v>2469</v>
      </c>
      <c r="W593" s="14">
        <v>1</v>
      </c>
      <c r="X593" s="14">
        <v>0</v>
      </c>
      <c r="Y593" s="14">
        <v>0</v>
      </c>
      <c r="Z593" s="14">
        <v>1</v>
      </c>
      <c r="AA593" s="14">
        <v>0</v>
      </c>
      <c r="AB593" s="14">
        <v>0</v>
      </c>
      <c r="AC593" s="316">
        <v>1</v>
      </c>
      <c r="AD593" s="316">
        <v>1</v>
      </c>
      <c r="AE593" s="302">
        <f t="shared" si="63"/>
        <v>0.5</v>
      </c>
      <c r="AF593" s="174"/>
      <c r="AG593" s="17">
        <v>0</v>
      </c>
      <c r="AH593" s="174">
        <v>0</v>
      </c>
      <c r="AI593" s="174">
        <v>0</v>
      </c>
      <c r="AJ593" s="174">
        <v>0</v>
      </c>
      <c r="AK593" s="175">
        <v>0.14000000000000001</v>
      </c>
      <c r="AL593" s="175">
        <v>0.11</v>
      </c>
      <c r="AM593" s="17">
        <f t="shared" si="64"/>
        <v>0.25</v>
      </c>
      <c r="AN593" s="1" t="s">
        <v>239</v>
      </c>
      <c r="AO593" s="18" t="s">
        <v>241</v>
      </c>
      <c r="AP593" s="1" t="s">
        <v>119</v>
      </c>
    </row>
    <row r="594" spans="1:42" s="18" customFormat="1" hidden="1" x14ac:dyDescent="0.3">
      <c r="A594" s="156" t="s">
        <v>1455</v>
      </c>
      <c r="B594" s="18" t="s">
        <v>2061</v>
      </c>
      <c r="C594" s="18">
        <v>114</v>
      </c>
      <c r="D594" s="18" t="s">
        <v>2439</v>
      </c>
      <c r="E594" s="18">
        <v>1145</v>
      </c>
      <c r="F594" s="18" t="s">
        <v>2440</v>
      </c>
      <c r="G594" s="18">
        <v>114502</v>
      </c>
      <c r="H594" s="18" t="s">
        <v>2458</v>
      </c>
      <c r="K594" s="18">
        <v>11450201</v>
      </c>
      <c r="L594" s="18" t="s">
        <v>2459</v>
      </c>
      <c r="M594" s="18" t="s">
        <v>2470</v>
      </c>
      <c r="N594" s="19">
        <v>0</v>
      </c>
      <c r="O594" s="19"/>
      <c r="P594" s="19"/>
      <c r="Q594" s="19"/>
      <c r="R594" s="19">
        <v>1</v>
      </c>
      <c r="S594" s="19"/>
      <c r="T594" s="18" t="s">
        <v>2087</v>
      </c>
      <c r="U594" s="283" t="e">
        <v>#N/A</v>
      </c>
      <c r="V594" s="168" t="s">
        <v>2471</v>
      </c>
      <c r="W594" s="14">
        <v>1</v>
      </c>
      <c r="X594" s="14">
        <v>0</v>
      </c>
      <c r="Y594" s="14">
        <v>0</v>
      </c>
      <c r="Z594" s="14">
        <v>1</v>
      </c>
      <c r="AA594" s="14">
        <v>0</v>
      </c>
      <c r="AB594" s="14">
        <v>0</v>
      </c>
      <c r="AC594" s="316">
        <v>1</v>
      </c>
      <c r="AD594" s="316">
        <v>1</v>
      </c>
      <c r="AE594" s="302">
        <f t="shared" si="63"/>
        <v>0.5</v>
      </c>
      <c r="AF594" s="174"/>
      <c r="AG594" s="17">
        <v>0</v>
      </c>
      <c r="AH594" s="174">
        <v>0</v>
      </c>
      <c r="AI594" s="174">
        <v>0</v>
      </c>
      <c r="AJ594" s="174">
        <v>0.1</v>
      </c>
      <c r="AK594" s="175">
        <v>0.1</v>
      </c>
      <c r="AL594" s="175" t="s">
        <v>2089</v>
      </c>
      <c r="AM594" s="17">
        <f t="shared" si="64"/>
        <v>0.1</v>
      </c>
      <c r="AN594" s="1" t="s">
        <v>239</v>
      </c>
      <c r="AO594" s="18" t="s">
        <v>241</v>
      </c>
      <c r="AP594" s="1" t="s">
        <v>2361</v>
      </c>
    </row>
    <row r="595" spans="1:42" s="18" customFormat="1" hidden="1" x14ac:dyDescent="0.3">
      <c r="A595" s="156" t="s">
        <v>1455</v>
      </c>
      <c r="B595" s="18" t="s">
        <v>2061</v>
      </c>
      <c r="C595" s="18">
        <v>114</v>
      </c>
      <c r="D595" s="18" t="s">
        <v>2439</v>
      </c>
      <c r="E595" s="18">
        <v>1145</v>
      </c>
      <c r="F595" s="18" t="s">
        <v>2440</v>
      </c>
      <c r="G595" s="18">
        <v>114502</v>
      </c>
      <c r="H595" s="18" t="s">
        <v>2458</v>
      </c>
      <c r="K595" s="18">
        <v>11450201</v>
      </c>
      <c r="L595" s="18" t="s">
        <v>2459</v>
      </c>
      <c r="M595" s="18" t="s">
        <v>2472</v>
      </c>
      <c r="N595" s="19">
        <v>0</v>
      </c>
      <c r="O595" s="19"/>
      <c r="P595" s="19">
        <v>1</v>
      </c>
      <c r="Q595" s="19"/>
      <c r="R595" s="19"/>
      <c r="S595" s="19"/>
      <c r="U595" s="283" t="e">
        <v>#N/A</v>
      </c>
      <c r="V595" s="14" t="s">
        <v>2473</v>
      </c>
      <c r="W595" s="14"/>
      <c r="X595" s="14"/>
      <c r="Y595" s="14"/>
      <c r="Z595" s="14"/>
      <c r="AA595" s="14"/>
      <c r="AB595" s="14"/>
      <c r="AC595" s="316">
        <v>0</v>
      </c>
      <c r="AD595" s="316">
        <v>0</v>
      </c>
      <c r="AE595" s="302">
        <f t="shared" si="63"/>
        <v>0</v>
      </c>
      <c r="AF595" s="174"/>
      <c r="AG595" s="17">
        <v>0</v>
      </c>
      <c r="AH595" s="174">
        <v>0</v>
      </c>
      <c r="AI595" s="174">
        <v>0</v>
      </c>
      <c r="AJ595" s="174">
        <v>0.2</v>
      </c>
      <c r="AK595" s="175">
        <v>0.05</v>
      </c>
      <c r="AL595" s="175" t="s">
        <v>2089</v>
      </c>
      <c r="AM595" s="17">
        <f t="shared" si="64"/>
        <v>0.05</v>
      </c>
      <c r="AN595" s="1" t="s">
        <v>239</v>
      </c>
      <c r="AO595" s="18" t="s">
        <v>241</v>
      </c>
      <c r="AP595" s="1" t="s">
        <v>2474</v>
      </c>
    </row>
    <row r="596" spans="1:42" s="18" customFormat="1" hidden="1" x14ac:dyDescent="0.3">
      <c r="A596" s="156" t="s">
        <v>1455</v>
      </c>
      <c r="B596" s="18" t="s">
        <v>2061</v>
      </c>
      <c r="C596" s="18">
        <v>114</v>
      </c>
      <c r="D596" s="18" t="s">
        <v>2439</v>
      </c>
      <c r="E596" s="18">
        <v>1145</v>
      </c>
      <c r="F596" s="18" t="s">
        <v>2440</v>
      </c>
      <c r="G596" s="18">
        <v>114502</v>
      </c>
      <c r="H596" s="18" t="s">
        <v>2458</v>
      </c>
      <c r="K596" s="18">
        <v>11450201</v>
      </c>
      <c r="L596" s="18" t="s">
        <v>2459</v>
      </c>
      <c r="M596" s="18" t="s">
        <v>2475</v>
      </c>
      <c r="N596" s="19">
        <v>0</v>
      </c>
      <c r="O596" s="19"/>
      <c r="P596" s="19">
        <v>1</v>
      </c>
      <c r="Q596" s="19"/>
      <c r="R596" s="19"/>
      <c r="S596" s="19"/>
      <c r="U596" s="283" t="e">
        <v>#N/A</v>
      </c>
      <c r="V596" s="168" t="s">
        <v>2476</v>
      </c>
      <c r="W596" s="14">
        <v>1</v>
      </c>
      <c r="X596" s="14">
        <v>0</v>
      </c>
      <c r="Y596" s="14">
        <v>0</v>
      </c>
      <c r="Z596" s="14">
        <v>1</v>
      </c>
      <c r="AA596" s="14">
        <v>0</v>
      </c>
      <c r="AB596" s="14">
        <v>0</v>
      </c>
      <c r="AC596" s="316">
        <v>1</v>
      </c>
      <c r="AD596" s="316">
        <v>1</v>
      </c>
      <c r="AE596" s="302">
        <f t="shared" si="63"/>
        <v>0.5</v>
      </c>
      <c r="AF596" s="174"/>
      <c r="AG596" s="17">
        <v>0</v>
      </c>
      <c r="AH596" s="174">
        <v>0</v>
      </c>
      <c r="AI596" s="174">
        <v>0</v>
      </c>
      <c r="AJ596" s="174">
        <v>0.1</v>
      </c>
      <c r="AK596" s="175">
        <v>0.1</v>
      </c>
      <c r="AL596" s="175" t="s">
        <v>2089</v>
      </c>
      <c r="AM596" s="17">
        <f t="shared" si="64"/>
        <v>0.1</v>
      </c>
      <c r="AN596" s="1" t="s">
        <v>239</v>
      </c>
      <c r="AO596" s="18" t="s">
        <v>241</v>
      </c>
      <c r="AP596" s="1" t="s">
        <v>119</v>
      </c>
    </row>
    <row r="597" spans="1:42" s="18" customFormat="1" hidden="1" x14ac:dyDescent="0.3">
      <c r="A597" s="156" t="s">
        <v>1455</v>
      </c>
      <c r="B597" s="18" t="s">
        <v>2061</v>
      </c>
      <c r="C597" s="18">
        <v>114</v>
      </c>
      <c r="D597" s="18" t="s">
        <v>2439</v>
      </c>
      <c r="E597" s="18">
        <v>1145</v>
      </c>
      <c r="F597" s="18" t="s">
        <v>2440</v>
      </c>
      <c r="G597" s="18">
        <v>114502</v>
      </c>
      <c r="H597" s="18" t="s">
        <v>2458</v>
      </c>
      <c r="K597" s="18">
        <v>11450201</v>
      </c>
      <c r="L597" s="18" t="s">
        <v>2459</v>
      </c>
      <c r="M597" s="18" t="s">
        <v>2477</v>
      </c>
      <c r="N597" s="178">
        <v>0</v>
      </c>
      <c r="O597" s="178">
        <v>1</v>
      </c>
      <c r="P597" s="178"/>
      <c r="Q597" s="178"/>
      <c r="R597" s="178"/>
      <c r="S597" s="178"/>
      <c r="T597" s="168" t="s">
        <v>239</v>
      </c>
      <c r="U597" s="283" t="s">
        <v>241</v>
      </c>
      <c r="V597" s="179" t="s">
        <v>2478</v>
      </c>
      <c r="W597" s="168"/>
      <c r="X597" s="168"/>
      <c r="Y597" s="168"/>
      <c r="Z597" s="168"/>
      <c r="AA597" s="168"/>
      <c r="AB597" s="168"/>
      <c r="AC597" s="316">
        <v>0</v>
      </c>
      <c r="AD597" s="316">
        <v>0</v>
      </c>
      <c r="AE597" s="302">
        <f t="shared" si="63"/>
        <v>0</v>
      </c>
      <c r="AF597" s="174"/>
      <c r="AG597" s="17">
        <v>0</v>
      </c>
      <c r="AH597" s="174">
        <v>0</v>
      </c>
      <c r="AI597" s="174">
        <v>0.08</v>
      </c>
      <c r="AJ597" s="174">
        <v>0</v>
      </c>
      <c r="AK597" s="175">
        <v>0</v>
      </c>
      <c r="AL597" s="175" t="s">
        <v>2089</v>
      </c>
      <c r="AM597" s="17">
        <f t="shared" si="64"/>
        <v>0</v>
      </c>
      <c r="AN597" s="1" t="s">
        <v>239</v>
      </c>
      <c r="AO597" s="18" t="s">
        <v>241</v>
      </c>
      <c r="AP597" s="1" t="s">
        <v>119</v>
      </c>
    </row>
    <row r="598" spans="1:42" s="18" customFormat="1" hidden="1" x14ac:dyDescent="0.3">
      <c r="A598" s="156" t="s">
        <v>1455</v>
      </c>
      <c r="B598" s="18" t="s">
        <v>2061</v>
      </c>
      <c r="C598" s="18">
        <v>114</v>
      </c>
      <c r="D598" s="18" t="s">
        <v>2439</v>
      </c>
      <c r="E598" s="18">
        <v>1145</v>
      </c>
      <c r="F598" s="18" t="s">
        <v>2440</v>
      </c>
      <c r="G598" s="18">
        <v>114502</v>
      </c>
      <c r="H598" s="18" t="s">
        <v>2458</v>
      </c>
      <c r="K598" s="18">
        <v>11450201</v>
      </c>
      <c r="L598" s="18" t="s">
        <v>2459</v>
      </c>
      <c r="M598" s="18" t="s">
        <v>2479</v>
      </c>
      <c r="N598" s="178">
        <v>0</v>
      </c>
      <c r="O598" s="178"/>
      <c r="P598" s="178"/>
      <c r="Q598" s="178"/>
      <c r="R598" s="178"/>
      <c r="S598" s="178">
        <v>1</v>
      </c>
      <c r="T598" s="168" t="s">
        <v>239</v>
      </c>
      <c r="U598" s="283" t="s">
        <v>241</v>
      </c>
      <c r="V598" s="170" t="s">
        <v>2480</v>
      </c>
      <c r="W598" s="14">
        <v>1</v>
      </c>
      <c r="X598" s="14">
        <v>0</v>
      </c>
      <c r="Y598" s="14">
        <v>0</v>
      </c>
      <c r="Z598" s="14">
        <v>1</v>
      </c>
      <c r="AA598" s="14">
        <v>1</v>
      </c>
      <c r="AB598" s="14">
        <v>0</v>
      </c>
      <c r="AC598" s="316">
        <v>1</v>
      </c>
      <c r="AD598" s="316">
        <v>1</v>
      </c>
      <c r="AE598" s="302">
        <f t="shared" si="63"/>
        <v>0.625</v>
      </c>
      <c r="AF598" s="174"/>
      <c r="AG598" s="17">
        <v>0</v>
      </c>
      <c r="AH598" s="174">
        <v>0.05</v>
      </c>
      <c r="AI598" s="174">
        <v>0.3</v>
      </c>
      <c r="AJ598" s="174">
        <v>0.3</v>
      </c>
      <c r="AK598" s="175">
        <v>0.1</v>
      </c>
      <c r="AL598" s="175" t="s">
        <v>2089</v>
      </c>
      <c r="AM598" s="17">
        <f t="shared" si="64"/>
        <v>0.1</v>
      </c>
      <c r="AN598" s="1" t="s">
        <v>239</v>
      </c>
      <c r="AO598" s="18" t="s">
        <v>241</v>
      </c>
      <c r="AP598" s="1" t="s">
        <v>119</v>
      </c>
    </row>
    <row r="599" spans="1:42" s="18" customFormat="1" hidden="1" x14ac:dyDescent="0.3">
      <c r="A599" s="156" t="s">
        <v>1455</v>
      </c>
      <c r="B599" s="18" t="s">
        <v>2061</v>
      </c>
      <c r="C599" s="18">
        <v>114</v>
      </c>
      <c r="D599" s="18" t="s">
        <v>2439</v>
      </c>
      <c r="E599" s="18">
        <v>1145</v>
      </c>
      <c r="F599" s="18" t="s">
        <v>2440</v>
      </c>
      <c r="G599" s="18">
        <v>114502</v>
      </c>
      <c r="H599" s="18" t="s">
        <v>2458</v>
      </c>
      <c r="K599" s="18">
        <v>11450201</v>
      </c>
      <c r="L599" s="18" t="s">
        <v>2459</v>
      </c>
      <c r="M599" s="18" t="s">
        <v>2481</v>
      </c>
      <c r="N599" s="178"/>
      <c r="O599" s="178"/>
      <c r="P599" s="178"/>
      <c r="Q599" s="178"/>
      <c r="R599" s="178"/>
      <c r="S599" s="178">
        <v>1</v>
      </c>
      <c r="T599" s="168" t="s">
        <v>239</v>
      </c>
      <c r="U599" s="283" t="s">
        <v>241</v>
      </c>
      <c r="V599" s="168" t="s">
        <v>2482</v>
      </c>
      <c r="W599" s="14">
        <v>1</v>
      </c>
      <c r="X599" s="14">
        <v>0</v>
      </c>
      <c r="Y599" s="14">
        <v>0</v>
      </c>
      <c r="Z599" s="14">
        <v>1</v>
      </c>
      <c r="AA599" s="14">
        <v>0</v>
      </c>
      <c r="AB599" s="14">
        <v>0</v>
      </c>
      <c r="AC599" s="316">
        <v>1</v>
      </c>
      <c r="AD599" s="316">
        <v>1</v>
      </c>
      <c r="AE599" s="302">
        <f t="shared" si="63"/>
        <v>0.5</v>
      </c>
      <c r="AF599" s="174"/>
      <c r="AG599" s="17">
        <v>0</v>
      </c>
      <c r="AH599" s="174">
        <v>0</v>
      </c>
      <c r="AI599" s="174">
        <v>0.2</v>
      </c>
      <c r="AJ599" s="174">
        <v>0.1</v>
      </c>
      <c r="AK599" s="175">
        <v>0</v>
      </c>
      <c r="AL599" s="175" t="s">
        <v>2089</v>
      </c>
      <c r="AM599" s="17">
        <f t="shared" si="64"/>
        <v>0</v>
      </c>
      <c r="AN599" s="1" t="s">
        <v>239</v>
      </c>
      <c r="AO599" s="18" t="s">
        <v>241</v>
      </c>
      <c r="AP599" s="1" t="s">
        <v>119</v>
      </c>
    </row>
    <row r="600" spans="1:42" s="18" customFormat="1" hidden="1" x14ac:dyDescent="0.3">
      <c r="A600" s="156" t="s">
        <v>1455</v>
      </c>
      <c r="B600" s="18" t="s">
        <v>2061</v>
      </c>
      <c r="C600" s="18">
        <v>114</v>
      </c>
      <c r="D600" s="18" t="s">
        <v>2439</v>
      </c>
      <c r="E600" s="18">
        <v>1145</v>
      </c>
      <c r="F600" s="18" t="s">
        <v>2440</v>
      </c>
      <c r="G600" s="18">
        <v>114502</v>
      </c>
      <c r="H600" s="18" t="s">
        <v>2458</v>
      </c>
      <c r="K600" s="18">
        <v>11450201</v>
      </c>
      <c r="L600" s="18" t="s">
        <v>2459</v>
      </c>
      <c r="M600" s="18" t="s">
        <v>2483</v>
      </c>
      <c r="N600" s="178"/>
      <c r="O600" s="178"/>
      <c r="P600" s="178"/>
      <c r="Q600" s="178">
        <v>1</v>
      </c>
      <c r="R600" s="178"/>
      <c r="S600" s="178"/>
      <c r="T600" s="168" t="s">
        <v>239</v>
      </c>
      <c r="U600" s="283" t="s">
        <v>241</v>
      </c>
      <c r="V600" s="180" t="s">
        <v>2484</v>
      </c>
      <c r="W600" s="14">
        <v>1</v>
      </c>
      <c r="X600" s="14">
        <v>0</v>
      </c>
      <c r="Y600" s="14">
        <v>0</v>
      </c>
      <c r="Z600" s="14">
        <v>1</v>
      </c>
      <c r="AA600" s="14">
        <v>0</v>
      </c>
      <c r="AB600" s="14">
        <v>0</v>
      </c>
      <c r="AC600" s="316">
        <v>1</v>
      </c>
      <c r="AD600" s="316">
        <v>1</v>
      </c>
      <c r="AE600" s="302">
        <f t="shared" si="63"/>
        <v>0.5</v>
      </c>
      <c r="AF600" s="174"/>
      <c r="AG600" s="17">
        <v>0</v>
      </c>
      <c r="AH600" s="174">
        <v>0.06</v>
      </c>
      <c r="AI600" s="174">
        <v>0.03</v>
      </c>
      <c r="AJ600" s="174">
        <v>0</v>
      </c>
      <c r="AK600" s="175">
        <v>0</v>
      </c>
      <c r="AL600" s="175" t="s">
        <v>2089</v>
      </c>
      <c r="AM600" s="17">
        <f t="shared" si="64"/>
        <v>0</v>
      </c>
      <c r="AN600" s="1" t="s">
        <v>239</v>
      </c>
      <c r="AO600" s="18" t="s">
        <v>241</v>
      </c>
      <c r="AP600" s="1" t="s">
        <v>2361</v>
      </c>
    </row>
    <row r="601" spans="1:42" s="18" customFormat="1" hidden="1" x14ac:dyDescent="0.3">
      <c r="A601" s="156" t="s">
        <v>1455</v>
      </c>
      <c r="B601" s="18" t="s">
        <v>2061</v>
      </c>
      <c r="C601" s="18">
        <v>114</v>
      </c>
      <c r="D601" s="18" t="s">
        <v>2439</v>
      </c>
      <c r="E601" s="18">
        <v>1145</v>
      </c>
      <c r="F601" s="18" t="s">
        <v>2440</v>
      </c>
      <c r="G601" s="18">
        <v>114502</v>
      </c>
      <c r="H601" s="18" t="s">
        <v>2458</v>
      </c>
      <c r="K601" s="18">
        <v>11450201</v>
      </c>
      <c r="L601" s="18" t="s">
        <v>2459</v>
      </c>
      <c r="M601" s="18" t="s">
        <v>2485</v>
      </c>
      <c r="N601" s="178">
        <v>0</v>
      </c>
      <c r="O601" s="178"/>
      <c r="P601" s="178"/>
      <c r="Q601" s="178">
        <v>1</v>
      </c>
      <c r="R601" s="178"/>
      <c r="S601" s="178"/>
      <c r="T601" s="168" t="s">
        <v>239</v>
      </c>
      <c r="U601" s="283" t="s">
        <v>241</v>
      </c>
      <c r="V601" s="168" t="s">
        <v>2486</v>
      </c>
      <c r="W601" s="14">
        <v>1</v>
      </c>
      <c r="X601" s="14">
        <v>0</v>
      </c>
      <c r="Y601" s="14">
        <v>0</v>
      </c>
      <c r="Z601" s="14">
        <v>1</v>
      </c>
      <c r="AA601" s="14">
        <v>0</v>
      </c>
      <c r="AB601" s="14">
        <v>0</v>
      </c>
      <c r="AC601" s="316">
        <v>1</v>
      </c>
      <c r="AD601" s="316">
        <v>1</v>
      </c>
      <c r="AE601" s="302">
        <f t="shared" si="63"/>
        <v>0.5</v>
      </c>
      <c r="AF601" s="174"/>
      <c r="AG601" s="17">
        <v>0</v>
      </c>
      <c r="AH601" s="174">
        <v>0.1</v>
      </c>
      <c r="AI601" s="174">
        <v>0.1</v>
      </c>
      <c r="AJ601" s="174">
        <v>0</v>
      </c>
      <c r="AK601" s="175">
        <v>0</v>
      </c>
      <c r="AL601" s="175" t="s">
        <v>2089</v>
      </c>
      <c r="AM601" s="17">
        <f t="shared" si="64"/>
        <v>0</v>
      </c>
      <c r="AN601" s="1" t="s">
        <v>239</v>
      </c>
      <c r="AO601" s="18" t="s">
        <v>241</v>
      </c>
      <c r="AP601" s="1" t="s">
        <v>119</v>
      </c>
    </row>
    <row r="602" spans="1:42" s="18" customFormat="1" hidden="1" x14ac:dyDescent="0.3">
      <c r="A602" s="156" t="s">
        <v>1455</v>
      </c>
      <c r="B602" s="18" t="s">
        <v>2061</v>
      </c>
      <c r="C602" s="18">
        <v>114</v>
      </c>
      <c r="D602" s="18" t="s">
        <v>2439</v>
      </c>
      <c r="E602" s="18">
        <v>1145</v>
      </c>
      <c r="F602" s="18" t="s">
        <v>2440</v>
      </c>
      <c r="G602" s="18">
        <v>114502</v>
      </c>
      <c r="H602" s="18" t="s">
        <v>2458</v>
      </c>
      <c r="K602" s="18">
        <v>11450201</v>
      </c>
      <c r="L602" s="18" t="s">
        <v>2459</v>
      </c>
      <c r="M602" s="18" t="s">
        <v>2487</v>
      </c>
      <c r="N602" s="178">
        <v>0</v>
      </c>
      <c r="O602" s="178"/>
      <c r="P602" s="178">
        <v>1</v>
      </c>
      <c r="Q602" s="178"/>
      <c r="R602" s="178"/>
      <c r="S602" s="178"/>
      <c r="T602" s="168" t="s">
        <v>239</v>
      </c>
      <c r="U602" s="283" t="s">
        <v>241</v>
      </c>
      <c r="V602" s="168" t="s">
        <v>2488</v>
      </c>
      <c r="W602" s="14">
        <v>1</v>
      </c>
      <c r="X602" s="14">
        <v>0</v>
      </c>
      <c r="Y602" s="14">
        <v>0</v>
      </c>
      <c r="Z602" s="14">
        <v>1</v>
      </c>
      <c r="AA602" s="14">
        <v>0</v>
      </c>
      <c r="AB602" s="14">
        <v>0</v>
      </c>
      <c r="AC602" s="316">
        <v>1</v>
      </c>
      <c r="AD602" s="316">
        <v>1</v>
      </c>
      <c r="AE602" s="302">
        <f t="shared" si="63"/>
        <v>0.5</v>
      </c>
      <c r="AF602" s="174"/>
      <c r="AG602" s="17">
        <v>0</v>
      </c>
      <c r="AH602" s="174">
        <v>0</v>
      </c>
      <c r="AI602" s="174">
        <v>0.15</v>
      </c>
      <c r="AJ602" s="174">
        <v>0.05</v>
      </c>
      <c r="AK602" s="175">
        <v>0</v>
      </c>
      <c r="AL602" s="175" t="s">
        <v>2089</v>
      </c>
      <c r="AM602" s="17">
        <f t="shared" si="64"/>
        <v>0</v>
      </c>
      <c r="AN602" s="1" t="s">
        <v>239</v>
      </c>
      <c r="AO602" s="18" t="s">
        <v>241</v>
      </c>
      <c r="AP602" s="1" t="s">
        <v>2361</v>
      </c>
    </row>
    <row r="603" spans="1:42" s="18" customFormat="1" hidden="1" x14ac:dyDescent="0.3">
      <c r="A603" s="156" t="s">
        <v>1455</v>
      </c>
      <c r="B603" s="18" t="s">
        <v>2061</v>
      </c>
      <c r="C603" s="18">
        <v>114</v>
      </c>
      <c r="D603" s="18" t="s">
        <v>2439</v>
      </c>
      <c r="E603" s="18">
        <v>1145</v>
      </c>
      <c r="F603" s="18" t="s">
        <v>2440</v>
      </c>
      <c r="G603" s="18">
        <v>114502</v>
      </c>
      <c r="H603" s="18" t="s">
        <v>2458</v>
      </c>
      <c r="K603" s="18">
        <v>11450201</v>
      </c>
      <c r="L603" s="18" t="s">
        <v>2459</v>
      </c>
      <c r="M603" s="18" t="s">
        <v>2489</v>
      </c>
      <c r="N603" s="178"/>
      <c r="O603" s="178"/>
      <c r="P603" s="178"/>
      <c r="Q603" s="178"/>
      <c r="R603" s="178">
        <v>1</v>
      </c>
      <c r="S603" s="178"/>
      <c r="T603" s="168" t="s">
        <v>239</v>
      </c>
      <c r="U603" s="283" t="s">
        <v>241</v>
      </c>
      <c r="V603" s="181" t="s">
        <v>2490</v>
      </c>
      <c r="W603" s="14"/>
      <c r="X603" s="14"/>
      <c r="Y603" s="14"/>
      <c r="Z603" s="14"/>
      <c r="AA603" s="14"/>
      <c r="AB603" s="14"/>
      <c r="AC603" s="316">
        <v>0</v>
      </c>
      <c r="AD603" s="316">
        <v>0</v>
      </c>
      <c r="AE603" s="302">
        <f t="shared" si="63"/>
        <v>0</v>
      </c>
      <c r="AF603" s="174"/>
      <c r="AG603" s="17">
        <v>0</v>
      </c>
      <c r="AH603" s="174">
        <v>0.05</v>
      </c>
      <c r="AI603" s="174">
        <v>0.2</v>
      </c>
      <c r="AJ603" s="176">
        <v>0</v>
      </c>
      <c r="AK603" s="165">
        <v>0</v>
      </c>
      <c r="AL603" s="175" t="s">
        <v>2089</v>
      </c>
      <c r="AM603" s="17">
        <f t="shared" si="64"/>
        <v>0</v>
      </c>
      <c r="AN603" s="1" t="s">
        <v>239</v>
      </c>
      <c r="AO603" s="18" t="s">
        <v>241</v>
      </c>
      <c r="AP603" s="1" t="s">
        <v>119</v>
      </c>
    </row>
    <row r="604" spans="1:42" s="18" customFormat="1" hidden="1" x14ac:dyDescent="0.3">
      <c r="A604" s="156" t="s">
        <v>1455</v>
      </c>
      <c r="B604" s="18" t="s">
        <v>2061</v>
      </c>
      <c r="C604" s="18">
        <v>114</v>
      </c>
      <c r="D604" s="18" t="s">
        <v>2439</v>
      </c>
      <c r="E604" s="18">
        <v>1145</v>
      </c>
      <c r="F604" s="18" t="s">
        <v>2440</v>
      </c>
      <c r="G604" s="18">
        <v>114502</v>
      </c>
      <c r="H604" s="18" t="s">
        <v>2458</v>
      </c>
      <c r="K604" s="18">
        <v>11450201</v>
      </c>
      <c r="L604" s="18" t="s">
        <v>2459</v>
      </c>
      <c r="M604" s="18" t="s">
        <v>2491</v>
      </c>
      <c r="N604" s="178"/>
      <c r="O604" s="178"/>
      <c r="P604" s="178"/>
      <c r="Q604" s="178"/>
      <c r="R604" s="178"/>
      <c r="S604" s="178">
        <v>2</v>
      </c>
      <c r="T604" s="168" t="s">
        <v>239</v>
      </c>
      <c r="U604" s="283" t="s">
        <v>241</v>
      </c>
      <c r="V604" s="182" t="s">
        <v>2492</v>
      </c>
      <c r="W604" s="14">
        <v>1</v>
      </c>
      <c r="X604" s="14">
        <v>0</v>
      </c>
      <c r="Y604" s="14">
        <v>0</v>
      </c>
      <c r="Z604" s="14">
        <v>1</v>
      </c>
      <c r="AA604" s="14">
        <v>1</v>
      </c>
      <c r="AB604" s="14">
        <v>0</v>
      </c>
      <c r="AC604" s="316">
        <v>1</v>
      </c>
      <c r="AD604" s="316">
        <v>1</v>
      </c>
      <c r="AE604" s="302">
        <f t="shared" si="63"/>
        <v>0.625</v>
      </c>
      <c r="AF604" s="174"/>
      <c r="AG604" s="17">
        <v>0</v>
      </c>
      <c r="AH604" s="174">
        <v>0.05</v>
      </c>
      <c r="AI604" s="174">
        <v>0.3</v>
      </c>
      <c r="AJ604" s="174">
        <v>0.3</v>
      </c>
      <c r="AK604" s="175">
        <v>0.3</v>
      </c>
      <c r="AL604" s="175" t="s">
        <v>2089</v>
      </c>
      <c r="AM604" s="17">
        <f t="shared" si="64"/>
        <v>0.3</v>
      </c>
      <c r="AN604" s="1" t="s">
        <v>239</v>
      </c>
      <c r="AO604" s="18" t="s">
        <v>241</v>
      </c>
      <c r="AP604" s="1" t="s">
        <v>119</v>
      </c>
    </row>
    <row r="605" spans="1:42" s="18" customFormat="1" hidden="1" x14ac:dyDescent="0.3">
      <c r="A605" s="156" t="s">
        <v>1455</v>
      </c>
      <c r="B605" s="18" t="s">
        <v>2061</v>
      </c>
      <c r="C605" s="18">
        <v>114</v>
      </c>
      <c r="D605" s="18" t="s">
        <v>2439</v>
      </c>
      <c r="E605" s="18">
        <v>1145</v>
      </c>
      <c r="F605" s="18" t="s">
        <v>2440</v>
      </c>
      <c r="G605" s="18">
        <v>114502</v>
      </c>
      <c r="H605" s="18" t="s">
        <v>2458</v>
      </c>
      <c r="K605" s="18">
        <v>11450201</v>
      </c>
      <c r="L605" s="18" t="s">
        <v>2459</v>
      </c>
      <c r="M605" s="18" t="s">
        <v>2493</v>
      </c>
      <c r="N605" s="178"/>
      <c r="O605" s="178"/>
      <c r="P605" s="178">
        <v>4</v>
      </c>
      <c r="Q605" s="178">
        <v>4</v>
      </c>
      <c r="R605" s="178">
        <v>4</v>
      </c>
      <c r="S605" s="178">
        <v>4</v>
      </c>
      <c r="T605" s="168" t="s">
        <v>2068</v>
      </c>
      <c r="U605" s="283" t="e">
        <v>#N/A</v>
      </c>
      <c r="V605" s="14" t="s">
        <v>2494</v>
      </c>
      <c r="W605" s="14">
        <v>1</v>
      </c>
      <c r="X605" s="14">
        <v>0</v>
      </c>
      <c r="Y605" s="14">
        <v>0</v>
      </c>
      <c r="Z605" s="14">
        <v>1</v>
      </c>
      <c r="AA605" s="14">
        <v>0</v>
      </c>
      <c r="AB605" s="14">
        <v>0</v>
      </c>
      <c r="AC605" s="316">
        <v>0</v>
      </c>
      <c r="AD605" s="316">
        <v>1</v>
      </c>
      <c r="AE605" s="302">
        <f t="shared" si="63"/>
        <v>0.375</v>
      </c>
      <c r="AF605" s="174"/>
      <c r="AG605" s="17">
        <v>0</v>
      </c>
      <c r="AH605" s="174">
        <v>2</v>
      </c>
      <c r="AI605" s="174">
        <v>2.1</v>
      </c>
      <c r="AJ605" s="174">
        <v>2.1</v>
      </c>
      <c r="AK605" s="175">
        <v>5.81</v>
      </c>
      <c r="AL605" s="177">
        <v>6.39</v>
      </c>
      <c r="AM605" s="17">
        <f t="shared" si="64"/>
        <v>12.2</v>
      </c>
      <c r="AN605" s="1" t="s">
        <v>2084</v>
      </c>
      <c r="AO605" s="18" t="s">
        <v>241</v>
      </c>
      <c r="AP605" s="1" t="s">
        <v>2495</v>
      </c>
    </row>
    <row r="606" spans="1:42" s="293" customFormat="1" hidden="1" x14ac:dyDescent="0.3">
      <c r="A606" s="50" t="s">
        <v>1453</v>
      </c>
      <c r="B606" s="51" t="s">
        <v>2496</v>
      </c>
      <c r="C606" s="50" t="s">
        <v>2497</v>
      </c>
      <c r="D606" s="51" t="s">
        <v>1491</v>
      </c>
      <c r="E606" s="50" t="s">
        <v>2497</v>
      </c>
      <c r="F606" s="51" t="s">
        <v>1493</v>
      </c>
      <c r="G606" s="50" t="s">
        <v>2497</v>
      </c>
      <c r="H606" s="51" t="s">
        <v>1491</v>
      </c>
      <c r="I606" s="51"/>
      <c r="J606" s="51"/>
      <c r="K606" s="50" t="s">
        <v>2497</v>
      </c>
      <c r="L606" s="51" t="s">
        <v>1491</v>
      </c>
      <c r="M606" s="60" t="s">
        <v>271</v>
      </c>
      <c r="N606" s="60" t="s">
        <v>271</v>
      </c>
      <c r="O606" s="60" t="s">
        <v>271</v>
      </c>
      <c r="P606" s="60" t="s">
        <v>271</v>
      </c>
      <c r="Q606" s="60" t="s">
        <v>271</v>
      </c>
      <c r="R606" s="60" t="s">
        <v>271</v>
      </c>
      <c r="S606" s="60" t="s">
        <v>271</v>
      </c>
      <c r="T606" s="60" t="s">
        <v>271</v>
      </c>
      <c r="U606" s="60" t="s">
        <v>271</v>
      </c>
      <c r="V606" s="51" t="s">
        <v>1489</v>
      </c>
      <c r="W606" s="291"/>
      <c r="X606" s="291"/>
      <c r="Y606" s="291"/>
      <c r="Z606" s="291"/>
      <c r="AA606" s="291"/>
      <c r="AB606" s="291"/>
      <c r="AC606" s="291"/>
      <c r="AD606" s="291"/>
      <c r="AE606" s="292"/>
      <c r="AF606" s="56"/>
      <c r="AG606" s="292"/>
      <c r="AH606" s="56"/>
      <c r="AI606" s="56"/>
      <c r="AJ606" s="56"/>
      <c r="AK606" s="57">
        <v>87.5</v>
      </c>
      <c r="AL606" s="57">
        <v>87.5</v>
      </c>
      <c r="AM606" s="56">
        <f>SUM(AK606:AL606)</f>
        <v>175</v>
      </c>
      <c r="AN606" s="52"/>
      <c r="AO606" s="52"/>
      <c r="AP606" s="51"/>
    </row>
    <row r="607" spans="1:42" s="293" customFormat="1" hidden="1" x14ac:dyDescent="0.3">
      <c r="A607" s="50" t="s">
        <v>1453</v>
      </c>
      <c r="B607" s="51" t="s">
        <v>2496</v>
      </c>
      <c r="C607" s="50" t="s">
        <v>2497</v>
      </c>
      <c r="D607" s="51" t="s">
        <v>1491</v>
      </c>
      <c r="E607" s="50" t="s">
        <v>2497</v>
      </c>
      <c r="F607" s="51" t="s">
        <v>1493</v>
      </c>
      <c r="G607" s="50" t="s">
        <v>2497</v>
      </c>
      <c r="H607" s="51" t="s">
        <v>1491</v>
      </c>
      <c r="I607" s="51"/>
      <c r="J607" s="51"/>
      <c r="K607" s="50" t="s">
        <v>2497</v>
      </c>
      <c r="L607" s="51" t="s">
        <v>1491</v>
      </c>
      <c r="M607" s="60" t="s">
        <v>271</v>
      </c>
      <c r="N607" s="60" t="s">
        <v>271</v>
      </c>
      <c r="O607" s="60" t="s">
        <v>271</v>
      </c>
      <c r="P607" s="60" t="s">
        <v>271</v>
      </c>
      <c r="Q607" s="60" t="s">
        <v>271</v>
      </c>
      <c r="R607" s="60" t="s">
        <v>271</v>
      </c>
      <c r="S607" s="60" t="s">
        <v>271</v>
      </c>
      <c r="T607" s="60" t="s">
        <v>271</v>
      </c>
      <c r="U607" s="60" t="s">
        <v>271</v>
      </c>
      <c r="V607" s="51" t="s">
        <v>1490</v>
      </c>
      <c r="W607" s="291"/>
      <c r="X607" s="291"/>
      <c r="Y607" s="291"/>
      <c r="Z607" s="291"/>
      <c r="AA607" s="291"/>
      <c r="AB607" s="291"/>
      <c r="AC607" s="291"/>
      <c r="AD607" s="291"/>
      <c r="AE607" s="292"/>
      <c r="AF607" s="56"/>
      <c r="AG607" s="292"/>
      <c r="AH607" s="56"/>
      <c r="AI607" s="56"/>
      <c r="AJ607" s="56"/>
      <c r="AK607" s="57">
        <v>35</v>
      </c>
      <c r="AL607" s="57">
        <v>35</v>
      </c>
      <c r="AM607" s="56">
        <f>SUM(AK607:AL607)</f>
        <v>70</v>
      </c>
      <c r="AN607" s="52"/>
      <c r="AO607" s="52"/>
      <c r="AP607" s="51"/>
    </row>
    <row r="608" spans="1:42" s="293" customFormat="1" hidden="1" x14ac:dyDescent="0.3">
      <c r="A608" s="50" t="s">
        <v>1453</v>
      </c>
      <c r="B608" s="51" t="s">
        <v>2496</v>
      </c>
      <c r="C608" s="50" t="s">
        <v>2497</v>
      </c>
      <c r="D608" s="51" t="s">
        <v>1491</v>
      </c>
      <c r="E608" s="50" t="s">
        <v>2497</v>
      </c>
      <c r="F608" s="51" t="s">
        <v>1493</v>
      </c>
      <c r="G608" s="50" t="s">
        <v>2497</v>
      </c>
      <c r="H608" s="51" t="s">
        <v>1491</v>
      </c>
      <c r="I608" s="51"/>
      <c r="J608" s="51"/>
      <c r="K608" s="50" t="s">
        <v>2497</v>
      </c>
      <c r="L608" s="51" t="s">
        <v>1491</v>
      </c>
      <c r="M608" s="60" t="s">
        <v>271</v>
      </c>
      <c r="N608" s="60" t="s">
        <v>271</v>
      </c>
      <c r="O608" s="60" t="s">
        <v>271</v>
      </c>
      <c r="P608" s="60" t="s">
        <v>271</v>
      </c>
      <c r="Q608" s="60" t="s">
        <v>271</v>
      </c>
      <c r="R608" s="60" t="s">
        <v>271</v>
      </c>
      <c r="S608" s="60" t="s">
        <v>271</v>
      </c>
      <c r="T608" s="60" t="s">
        <v>271</v>
      </c>
      <c r="U608" s="60" t="s">
        <v>271</v>
      </c>
      <c r="V608" s="51" t="s">
        <v>1495</v>
      </c>
      <c r="W608" s="291"/>
      <c r="X608" s="291"/>
      <c r="Y608" s="291"/>
      <c r="Z608" s="291"/>
      <c r="AA608" s="291"/>
      <c r="AB608" s="291"/>
      <c r="AC608" s="291"/>
      <c r="AD608" s="291"/>
      <c r="AE608" s="292"/>
      <c r="AF608" s="56"/>
      <c r="AG608" s="292"/>
      <c r="AH608" s="56"/>
      <c r="AI608" s="56"/>
      <c r="AJ608" s="56"/>
      <c r="AK608" s="57">
        <v>1731.4212424660777</v>
      </c>
      <c r="AL608" s="57">
        <v>886.50256768000008</v>
      </c>
      <c r="AM608" s="56">
        <f>SUM(AK608:AL608)</f>
        <v>2617.9238101460778</v>
      </c>
      <c r="AN608" s="52"/>
      <c r="AO608" s="52"/>
      <c r="AP608" s="51"/>
    </row>
    <row r="609" spans="1:42" s="184" customFormat="1" hidden="1" x14ac:dyDescent="0.3">
      <c r="A609" s="183" t="s">
        <v>1453</v>
      </c>
      <c r="B609" s="184" t="s">
        <v>2496</v>
      </c>
      <c r="C609" s="183" t="s">
        <v>2498</v>
      </c>
      <c r="D609" s="184" t="s">
        <v>2499</v>
      </c>
      <c r="E609" s="183" t="s">
        <v>2500</v>
      </c>
      <c r="F609" s="184" t="s">
        <v>2501</v>
      </c>
      <c r="G609" s="183" t="s">
        <v>2502</v>
      </c>
      <c r="H609" s="184" t="s">
        <v>2503</v>
      </c>
      <c r="K609" s="183" t="s">
        <v>2504</v>
      </c>
      <c r="L609" s="184" t="s">
        <v>2505</v>
      </c>
      <c r="M609" s="184" t="s">
        <v>2506</v>
      </c>
      <c r="N609" s="185">
        <v>1</v>
      </c>
      <c r="O609" s="185" t="s">
        <v>271</v>
      </c>
      <c r="P609" s="185" t="s">
        <v>271</v>
      </c>
      <c r="Q609" s="185" t="s">
        <v>271</v>
      </c>
      <c r="R609" s="185">
        <v>1</v>
      </c>
      <c r="S609" s="185">
        <v>1</v>
      </c>
      <c r="T609" s="184" t="s">
        <v>2507</v>
      </c>
      <c r="U609" s="283" t="e">
        <v>#N/A</v>
      </c>
      <c r="V609" s="184" t="s">
        <v>2508</v>
      </c>
      <c r="W609" s="184">
        <v>1</v>
      </c>
      <c r="X609" s="184">
        <v>0</v>
      </c>
      <c r="Y609" s="184">
        <v>1</v>
      </c>
      <c r="Z609" s="184">
        <v>0</v>
      </c>
      <c r="AA609" s="184">
        <v>0</v>
      </c>
      <c r="AB609" s="184">
        <v>1</v>
      </c>
      <c r="AC609" s="316">
        <v>1</v>
      </c>
      <c r="AD609" s="316">
        <v>1</v>
      </c>
      <c r="AE609" s="302">
        <f t="shared" ref="AE609:AE672" si="65">SUM(W609:AD609)/8</f>
        <v>0.625</v>
      </c>
      <c r="AF609" s="186">
        <v>1</v>
      </c>
      <c r="AG609" s="17">
        <v>1</v>
      </c>
      <c r="AH609" s="186" t="s">
        <v>271</v>
      </c>
      <c r="AI609" s="186" t="s">
        <v>271</v>
      </c>
      <c r="AJ609" s="186" t="s">
        <v>271</v>
      </c>
      <c r="AK609" s="187">
        <v>0</v>
      </c>
      <c r="AL609" s="187">
        <v>150</v>
      </c>
      <c r="AM609" s="17">
        <f t="shared" ref="AM609:AM672" si="66">SUM(AK609:AL609)</f>
        <v>150</v>
      </c>
      <c r="AN609" s="184" t="s">
        <v>2509</v>
      </c>
      <c r="AO609" s="168" t="s">
        <v>2510</v>
      </c>
      <c r="AP609" s="184" t="s">
        <v>63</v>
      </c>
    </row>
    <row r="610" spans="1:42" s="184" customFormat="1" x14ac:dyDescent="0.3">
      <c r="A610" s="183" t="s">
        <v>1453</v>
      </c>
      <c r="B610" s="184" t="s">
        <v>2496</v>
      </c>
      <c r="C610" s="183" t="s">
        <v>2498</v>
      </c>
      <c r="D610" s="184" t="s">
        <v>2499</v>
      </c>
      <c r="E610" s="183" t="s">
        <v>2500</v>
      </c>
      <c r="F610" s="184" t="s">
        <v>2501</v>
      </c>
      <c r="G610" s="183" t="s">
        <v>2502</v>
      </c>
      <c r="H610" s="184" t="s">
        <v>2503</v>
      </c>
      <c r="J610" s="188"/>
      <c r="K610" s="183" t="s">
        <v>2504</v>
      </c>
      <c r="L610" s="184" t="s">
        <v>2505</v>
      </c>
      <c r="M610" s="184" t="s">
        <v>2511</v>
      </c>
      <c r="N610" s="189">
        <v>0</v>
      </c>
      <c r="O610" s="189" t="s">
        <v>271</v>
      </c>
      <c r="P610" s="189" t="s">
        <v>271</v>
      </c>
      <c r="Q610" s="189">
        <v>1</v>
      </c>
      <c r="R610" s="189">
        <v>1</v>
      </c>
      <c r="S610" s="189">
        <v>1</v>
      </c>
      <c r="T610" s="184" t="s">
        <v>2512</v>
      </c>
      <c r="U610" s="283" t="e">
        <v>#N/A</v>
      </c>
      <c r="V610" s="184" t="s">
        <v>2513</v>
      </c>
      <c r="W610" s="184">
        <v>1</v>
      </c>
      <c r="X610" s="184">
        <v>1</v>
      </c>
      <c r="Y610" s="184">
        <v>1</v>
      </c>
      <c r="Z610" s="184">
        <v>1</v>
      </c>
      <c r="AA610" s="184">
        <v>1</v>
      </c>
      <c r="AB610" s="184">
        <v>1</v>
      </c>
      <c r="AC610" s="316">
        <v>1</v>
      </c>
      <c r="AD610" s="316">
        <v>1</v>
      </c>
      <c r="AE610" s="302">
        <f t="shared" si="65"/>
        <v>1</v>
      </c>
      <c r="AF610" s="186">
        <v>0</v>
      </c>
      <c r="AG610" s="17">
        <v>0</v>
      </c>
      <c r="AH610" s="186" t="s">
        <v>271</v>
      </c>
      <c r="AI610" s="186" t="s">
        <v>271</v>
      </c>
      <c r="AJ610" s="186">
        <v>0</v>
      </c>
      <c r="AK610" s="187">
        <v>60</v>
      </c>
      <c r="AL610" s="187">
        <v>90</v>
      </c>
      <c r="AM610" s="17">
        <f t="shared" si="66"/>
        <v>150</v>
      </c>
      <c r="AN610" s="184" t="s">
        <v>2514</v>
      </c>
      <c r="AO610" s="168" t="s">
        <v>2515</v>
      </c>
      <c r="AP610" s="184" t="s">
        <v>2516</v>
      </c>
    </row>
    <row r="611" spans="1:42" s="184" customFormat="1" x14ac:dyDescent="0.3">
      <c r="A611" s="183" t="s">
        <v>1453</v>
      </c>
      <c r="B611" s="184" t="s">
        <v>2496</v>
      </c>
      <c r="C611" s="183" t="s">
        <v>2498</v>
      </c>
      <c r="D611" s="184" t="s">
        <v>2499</v>
      </c>
      <c r="E611" s="183" t="s">
        <v>2500</v>
      </c>
      <c r="F611" s="184" t="s">
        <v>2501</v>
      </c>
      <c r="G611" s="183" t="s">
        <v>2502</v>
      </c>
      <c r="H611" s="184" t="s">
        <v>2503</v>
      </c>
      <c r="J611" s="188"/>
      <c r="K611" s="183" t="s">
        <v>2504</v>
      </c>
      <c r="L611" s="184" t="s">
        <v>2505</v>
      </c>
      <c r="M611" s="184" t="s">
        <v>2517</v>
      </c>
      <c r="N611" s="189">
        <v>67.5</v>
      </c>
      <c r="O611" s="189">
        <v>74</v>
      </c>
      <c r="P611" s="189">
        <v>80.5</v>
      </c>
      <c r="Q611" s="189">
        <v>87</v>
      </c>
      <c r="R611" s="189">
        <v>93.5</v>
      </c>
      <c r="S611" s="189">
        <v>100</v>
      </c>
      <c r="T611" s="184" t="s">
        <v>2518</v>
      </c>
      <c r="U611" s="283" t="e">
        <v>#N/A</v>
      </c>
      <c r="V611" s="184" t="s">
        <v>2519</v>
      </c>
      <c r="W611" s="184">
        <v>1</v>
      </c>
      <c r="X611" s="184">
        <v>1</v>
      </c>
      <c r="Y611" s="184">
        <v>1</v>
      </c>
      <c r="Z611" s="184">
        <v>1</v>
      </c>
      <c r="AA611" s="184">
        <v>1</v>
      </c>
      <c r="AB611" s="184">
        <v>0</v>
      </c>
      <c r="AC611" s="316">
        <v>0</v>
      </c>
      <c r="AD611" s="316">
        <v>1</v>
      </c>
      <c r="AE611" s="302">
        <f t="shared" si="65"/>
        <v>0.75</v>
      </c>
      <c r="AF611" s="186">
        <v>0</v>
      </c>
      <c r="AG611" s="17">
        <v>1</v>
      </c>
      <c r="AH611" s="186">
        <v>149.6</v>
      </c>
      <c r="AI611" s="186">
        <v>150</v>
      </c>
      <c r="AJ611" s="186">
        <v>150</v>
      </c>
      <c r="AK611" s="187">
        <v>0</v>
      </c>
      <c r="AL611" s="187">
        <v>0</v>
      </c>
      <c r="AM611" s="17">
        <f t="shared" si="66"/>
        <v>0</v>
      </c>
      <c r="AN611" s="184" t="s">
        <v>2520</v>
      </c>
      <c r="AO611" s="168" t="s">
        <v>2510</v>
      </c>
      <c r="AP611" s="184" t="s">
        <v>63</v>
      </c>
    </row>
    <row r="612" spans="1:42" s="184" customFormat="1" x14ac:dyDescent="0.3">
      <c r="A612" s="183" t="s">
        <v>1453</v>
      </c>
      <c r="B612" s="184" t="s">
        <v>2496</v>
      </c>
      <c r="C612" s="183" t="s">
        <v>2498</v>
      </c>
      <c r="D612" s="184" t="s">
        <v>2499</v>
      </c>
      <c r="E612" s="183" t="s">
        <v>2500</v>
      </c>
      <c r="F612" s="184" t="s">
        <v>2501</v>
      </c>
      <c r="G612" s="183" t="s">
        <v>2502</v>
      </c>
      <c r="H612" s="184" t="s">
        <v>2503</v>
      </c>
      <c r="J612" s="188"/>
      <c r="K612" s="183" t="s">
        <v>2504</v>
      </c>
      <c r="L612" s="184" t="s">
        <v>2505</v>
      </c>
      <c r="M612" s="184" t="s">
        <v>2521</v>
      </c>
      <c r="N612" s="189" t="s">
        <v>271</v>
      </c>
      <c r="O612" s="189" t="s">
        <v>271</v>
      </c>
      <c r="P612" s="189">
        <v>14</v>
      </c>
      <c r="Q612" s="189">
        <v>14</v>
      </c>
      <c r="R612" s="189">
        <v>14</v>
      </c>
      <c r="S612" s="189">
        <v>14</v>
      </c>
      <c r="T612" s="184" t="s">
        <v>1035</v>
      </c>
      <c r="U612" s="283" t="s">
        <v>1037</v>
      </c>
      <c r="V612" s="184" t="s">
        <v>2522</v>
      </c>
      <c r="W612" s="184">
        <v>1</v>
      </c>
      <c r="X612" s="184">
        <v>1</v>
      </c>
      <c r="Y612" s="184">
        <v>1</v>
      </c>
      <c r="Z612" s="184">
        <v>1</v>
      </c>
      <c r="AA612" s="184">
        <v>0</v>
      </c>
      <c r="AB612" s="184">
        <v>1</v>
      </c>
      <c r="AC612" s="316">
        <v>0</v>
      </c>
      <c r="AD612" s="316">
        <v>1</v>
      </c>
      <c r="AE612" s="302">
        <f t="shared" si="65"/>
        <v>0.75</v>
      </c>
      <c r="AF612" s="186">
        <v>0</v>
      </c>
      <c r="AG612" s="17">
        <v>0</v>
      </c>
      <c r="AH612" s="186" t="s">
        <v>271</v>
      </c>
      <c r="AI612" s="186">
        <v>8.26</v>
      </c>
      <c r="AJ612" s="186">
        <v>8.26</v>
      </c>
      <c r="AK612" s="187">
        <v>0</v>
      </c>
      <c r="AL612" s="187">
        <v>8.26</v>
      </c>
      <c r="AM612" s="17">
        <f t="shared" si="66"/>
        <v>8.26</v>
      </c>
      <c r="AN612" s="184" t="s">
        <v>1035</v>
      </c>
      <c r="AO612" s="168" t="s">
        <v>1037</v>
      </c>
      <c r="AP612" s="184" t="s">
        <v>119</v>
      </c>
    </row>
    <row r="613" spans="1:42" s="184" customFormat="1" x14ac:dyDescent="0.3">
      <c r="A613" s="183" t="s">
        <v>1453</v>
      </c>
      <c r="B613" s="184" t="s">
        <v>2496</v>
      </c>
      <c r="C613" s="183" t="s">
        <v>2498</v>
      </c>
      <c r="D613" s="184" t="s">
        <v>2499</v>
      </c>
      <c r="E613" s="183" t="s">
        <v>2500</v>
      </c>
      <c r="F613" s="184" t="s">
        <v>2501</v>
      </c>
      <c r="G613" s="183" t="s">
        <v>2502</v>
      </c>
      <c r="H613" s="184" t="s">
        <v>2503</v>
      </c>
      <c r="J613" s="188"/>
      <c r="K613" s="183" t="s">
        <v>2504</v>
      </c>
      <c r="L613" s="184" t="s">
        <v>2505</v>
      </c>
      <c r="M613" s="184" t="s">
        <v>2523</v>
      </c>
      <c r="N613" s="189" t="s">
        <v>271</v>
      </c>
      <c r="O613" s="189" t="s">
        <v>271</v>
      </c>
      <c r="P613" s="189"/>
      <c r="Q613" s="189">
        <v>1</v>
      </c>
      <c r="R613" s="189">
        <v>2</v>
      </c>
      <c r="S613" s="189">
        <v>2</v>
      </c>
      <c r="T613" s="184" t="s">
        <v>2524</v>
      </c>
      <c r="U613" s="283" t="e">
        <v>#N/A</v>
      </c>
      <c r="V613" s="184" t="s">
        <v>2525</v>
      </c>
      <c r="W613" s="184">
        <v>1</v>
      </c>
      <c r="X613" s="184">
        <v>1</v>
      </c>
      <c r="Y613" s="184">
        <v>1</v>
      </c>
      <c r="Z613" s="184">
        <v>1</v>
      </c>
      <c r="AA613" s="184">
        <v>1</v>
      </c>
      <c r="AB613" s="184">
        <v>1</v>
      </c>
      <c r="AC613" s="316">
        <v>1</v>
      </c>
      <c r="AD613" s="316">
        <v>1</v>
      </c>
      <c r="AE613" s="302">
        <f t="shared" si="65"/>
        <v>1</v>
      </c>
      <c r="AF613" s="186">
        <v>0</v>
      </c>
      <c r="AG613" s="17">
        <v>0</v>
      </c>
      <c r="AH613" s="186" t="s">
        <v>2526</v>
      </c>
      <c r="AI613" s="186" t="s">
        <v>2526</v>
      </c>
      <c r="AJ613" s="186">
        <v>10</v>
      </c>
      <c r="AK613" s="187">
        <v>15</v>
      </c>
      <c r="AL613" s="187">
        <v>40</v>
      </c>
      <c r="AM613" s="17">
        <f t="shared" si="66"/>
        <v>55</v>
      </c>
      <c r="AN613" s="184" t="s">
        <v>63</v>
      </c>
      <c r="AO613" s="168" t="s">
        <v>2510</v>
      </c>
      <c r="AP613" s="184" t="s">
        <v>119</v>
      </c>
    </row>
    <row r="614" spans="1:42" s="184" customFormat="1" x14ac:dyDescent="0.3">
      <c r="A614" s="183" t="s">
        <v>1453</v>
      </c>
      <c r="B614" s="184" t="s">
        <v>2496</v>
      </c>
      <c r="C614" s="183" t="s">
        <v>2498</v>
      </c>
      <c r="D614" s="184" t="s">
        <v>2499</v>
      </c>
      <c r="E614" s="183" t="s">
        <v>2500</v>
      </c>
      <c r="F614" s="184" t="s">
        <v>2501</v>
      </c>
      <c r="G614" s="183" t="s">
        <v>2502</v>
      </c>
      <c r="H614" s="184" t="s">
        <v>2503</v>
      </c>
      <c r="J614" s="188"/>
      <c r="K614" s="183" t="s">
        <v>2504</v>
      </c>
      <c r="L614" s="184" t="s">
        <v>2505</v>
      </c>
      <c r="M614" s="184" t="s">
        <v>2527</v>
      </c>
      <c r="N614" s="189">
        <v>900</v>
      </c>
      <c r="O614" s="189">
        <v>4</v>
      </c>
      <c r="P614" s="189">
        <v>7</v>
      </c>
      <c r="Q614" s="189">
        <v>2</v>
      </c>
      <c r="R614" s="189">
        <v>2</v>
      </c>
      <c r="S614" s="189">
        <v>5</v>
      </c>
      <c r="T614" s="184" t="s">
        <v>2528</v>
      </c>
      <c r="U614" s="283" t="s">
        <v>2530</v>
      </c>
      <c r="V614" s="184" t="s">
        <v>2529</v>
      </c>
      <c r="W614" s="184">
        <v>1</v>
      </c>
      <c r="X614" s="184">
        <v>1</v>
      </c>
      <c r="Y614" s="184">
        <v>1</v>
      </c>
      <c r="Z614" s="184">
        <v>1</v>
      </c>
      <c r="AA614" s="184">
        <v>1</v>
      </c>
      <c r="AB614" s="184">
        <v>1</v>
      </c>
      <c r="AC614" s="316">
        <v>1</v>
      </c>
      <c r="AD614" s="316">
        <v>1</v>
      </c>
      <c r="AE614" s="302">
        <f t="shared" si="65"/>
        <v>1</v>
      </c>
      <c r="AF614" s="186"/>
      <c r="AG614" s="17">
        <v>0</v>
      </c>
      <c r="AH614" s="186">
        <v>6.45</v>
      </c>
      <c r="AI614" s="186">
        <v>20</v>
      </c>
      <c r="AJ614" s="186">
        <v>7</v>
      </c>
      <c r="AK614" s="187">
        <v>25</v>
      </c>
      <c r="AL614" s="187">
        <v>17</v>
      </c>
      <c r="AM614" s="17">
        <f t="shared" si="66"/>
        <v>42</v>
      </c>
      <c r="AN614" s="184" t="s">
        <v>2528</v>
      </c>
      <c r="AO614" s="168" t="s">
        <v>2530</v>
      </c>
      <c r="AP614" s="184" t="s">
        <v>119</v>
      </c>
    </row>
    <row r="615" spans="1:42" s="184" customFormat="1" x14ac:dyDescent="0.3">
      <c r="A615" s="183" t="s">
        <v>1453</v>
      </c>
      <c r="B615" s="184" t="s">
        <v>2496</v>
      </c>
      <c r="C615" s="183" t="s">
        <v>2498</v>
      </c>
      <c r="D615" s="184" t="s">
        <v>2499</v>
      </c>
      <c r="E615" s="183" t="s">
        <v>2500</v>
      </c>
      <c r="F615" s="184" t="s">
        <v>2501</v>
      </c>
      <c r="G615" s="183" t="s">
        <v>2502</v>
      </c>
      <c r="H615" s="184" t="s">
        <v>2503</v>
      </c>
      <c r="J615" s="188"/>
      <c r="K615" s="183" t="s">
        <v>2504</v>
      </c>
      <c r="L615" s="184" t="s">
        <v>2505</v>
      </c>
      <c r="M615" s="184" t="s">
        <v>2531</v>
      </c>
      <c r="N615" s="189"/>
      <c r="O615" s="189" t="s">
        <v>271</v>
      </c>
      <c r="P615" s="189">
        <v>3</v>
      </c>
      <c r="Q615" s="189">
        <v>3</v>
      </c>
      <c r="R615" s="189">
        <v>3</v>
      </c>
      <c r="S615" s="189">
        <v>3</v>
      </c>
      <c r="T615" s="184" t="s">
        <v>2528</v>
      </c>
      <c r="U615" s="283" t="s">
        <v>2530</v>
      </c>
      <c r="V615" s="184" t="s">
        <v>2532</v>
      </c>
      <c r="W615" s="184">
        <v>1</v>
      </c>
      <c r="X615" s="184">
        <v>1</v>
      </c>
      <c r="Y615" s="184">
        <v>1</v>
      </c>
      <c r="Z615" s="184">
        <v>1</v>
      </c>
      <c r="AA615" s="184">
        <v>1</v>
      </c>
      <c r="AB615" s="184">
        <v>1</v>
      </c>
      <c r="AC615" s="316">
        <v>1</v>
      </c>
      <c r="AD615" s="316">
        <v>1</v>
      </c>
      <c r="AE615" s="302">
        <f t="shared" si="65"/>
        <v>1</v>
      </c>
      <c r="AF615" s="186"/>
      <c r="AG615" s="17">
        <v>0</v>
      </c>
      <c r="AH615" s="186" t="s">
        <v>2526</v>
      </c>
      <c r="AI615" s="186">
        <v>5.7</v>
      </c>
      <c r="AJ615" s="186">
        <v>17.399999999999999</v>
      </c>
      <c r="AK615" s="187">
        <v>23.4</v>
      </c>
      <c r="AL615" s="187">
        <v>12</v>
      </c>
      <c r="AM615" s="17">
        <f t="shared" si="66"/>
        <v>35.4</v>
      </c>
      <c r="AN615" s="184" t="s">
        <v>2528</v>
      </c>
      <c r="AO615" s="168" t="s">
        <v>2530</v>
      </c>
      <c r="AP615" s="184" t="s">
        <v>119</v>
      </c>
    </row>
    <row r="616" spans="1:42" s="184" customFormat="1" hidden="1" x14ac:dyDescent="0.3">
      <c r="A616" s="183" t="s">
        <v>1453</v>
      </c>
      <c r="B616" s="184" t="s">
        <v>2496</v>
      </c>
      <c r="C616" s="183" t="s">
        <v>2498</v>
      </c>
      <c r="D616" s="184" t="s">
        <v>2499</v>
      </c>
      <c r="E616" s="183" t="s">
        <v>2500</v>
      </c>
      <c r="F616" s="184" t="s">
        <v>2501</v>
      </c>
      <c r="G616" s="183" t="s">
        <v>2502</v>
      </c>
      <c r="H616" s="184" t="s">
        <v>2503</v>
      </c>
      <c r="J616" s="188"/>
      <c r="K616" s="183" t="s">
        <v>2504</v>
      </c>
      <c r="L616" s="184" t="s">
        <v>2505</v>
      </c>
      <c r="M616" s="184" t="s">
        <v>2533</v>
      </c>
      <c r="N616" s="189"/>
      <c r="O616" s="189"/>
      <c r="P616" s="189">
        <v>1</v>
      </c>
      <c r="Q616" s="189">
        <v>3</v>
      </c>
      <c r="R616" s="189">
        <v>3</v>
      </c>
      <c r="S616" s="189">
        <v>1</v>
      </c>
      <c r="T616" s="184" t="s">
        <v>63</v>
      </c>
      <c r="U616" s="283" t="s">
        <v>2510</v>
      </c>
      <c r="V616" s="184" t="s">
        <v>2534</v>
      </c>
      <c r="W616" s="184">
        <v>1</v>
      </c>
      <c r="X616" s="184">
        <v>0</v>
      </c>
      <c r="Y616" s="184">
        <v>0</v>
      </c>
      <c r="Z616" s="184">
        <v>1</v>
      </c>
      <c r="AA616" s="184">
        <v>1</v>
      </c>
      <c r="AB616" s="184">
        <v>1</v>
      </c>
      <c r="AC616" s="316">
        <v>0</v>
      </c>
      <c r="AD616" s="316">
        <v>0</v>
      </c>
      <c r="AE616" s="302">
        <f t="shared" si="65"/>
        <v>0.5</v>
      </c>
      <c r="AF616" s="186"/>
      <c r="AG616" s="17">
        <v>0</v>
      </c>
      <c r="AH616" s="186" t="s">
        <v>2526</v>
      </c>
      <c r="AI616" s="186">
        <v>0</v>
      </c>
      <c r="AJ616" s="186">
        <v>20</v>
      </c>
      <c r="AK616" s="187">
        <v>0</v>
      </c>
      <c r="AL616" s="187">
        <v>0</v>
      </c>
      <c r="AM616" s="17">
        <f t="shared" si="66"/>
        <v>0</v>
      </c>
      <c r="AN616" s="184" t="s">
        <v>2535</v>
      </c>
      <c r="AO616" s="168" t="s">
        <v>2510</v>
      </c>
      <c r="AP616" s="184" t="s">
        <v>2536</v>
      </c>
    </row>
    <row r="617" spans="1:42" s="184" customFormat="1" x14ac:dyDescent="0.3">
      <c r="A617" s="183" t="s">
        <v>1453</v>
      </c>
      <c r="B617" s="184" t="s">
        <v>2496</v>
      </c>
      <c r="C617" s="183" t="s">
        <v>2498</v>
      </c>
      <c r="D617" s="184" t="s">
        <v>2499</v>
      </c>
      <c r="E617" s="183" t="s">
        <v>2500</v>
      </c>
      <c r="F617" s="184" t="s">
        <v>2501</v>
      </c>
      <c r="G617" s="183" t="s">
        <v>2502</v>
      </c>
      <c r="H617" s="184" t="s">
        <v>2503</v>
      </c>
      <c r="J617" s="188"/>
      <c r="K617" s="183" t="s">
        <v>2504</v>
      </c>
      <c r="L617" s="184" t="s">
        <v>2505</v>
      </c>
      <c r="M617" s="184" t="s">
        <v>2537</v>
      </c>
      <c r="N617" s="189" t="s">
        <v>271</v>
      </c>
      <c r="O617" s="189">
        <v>1</v>
      </c>
      <c r="P617" s="189" t="s">
        <v>271</v>
      </c>
      <c r="Q617" s="189" t="s">
        <v>271</v>
      </c>
      <c r="R617" s="189" t="s">
        <v>271</v>
      </c>
      <c r="S617" s="189">
        <v>1</v>
      </c>
      <c r="T617" s="184" t="s">
        <v>63</v>
      </c>
      <c r="U617" s="283" t="s">
        <v>2510</v>
      </c>
      <c r="V617" s="184" t="s">
        <v>2538</v>
      </c>
      <c r="W617" s="184">
        <v>1</v>
      </c>
      <c r="X617" s="184">
        <v>1</v>
      </c>
      <c r="Y617" s="184">
        <v>1</v>
      </c>
      <c r="Z617" s="184">
        <v>1</v>
      </c>
      <c r="AA617" s="184">
        <v>1</v>
      </c>
      <c r="AB617" s="184">
        <v>1</v>
      </c>
      <c r="AC617" s="316">
        <v>1</v>
      </c>
      <c r="AD617" s="316">
        <v>1</v>
      </c>
      <c r="AE617" s="302">
        <f t="shared" si="65"/>
        <v>1</v>
      </c>
      <c r="AF617" s="186"/>
      <c r="AG617" s="17">
        <v>0</v>
      </c>
      <c r="AH617" s="186">
        <v>44.4</v>
      </c>
      <c r="AI617" s="186">
        <v>0</v>
      </c>
      <c r="AJ617" s="186">
        <v>0</v>
      </c>
      <c r="AK617" s="187">
        <v>0</v>
      </c>
      <c r="AL617" s="187">
        <v>0</v>
      </c>
      <c r="AM617" s="17">
        <f t="shared" si="66"/>
        <v>0</v>
      </c>
      <c r="AN617" s="184" t="s">
        <v>63</v>
      </c>
      <c r="AO617" s="168" t="s">
        <v>2510</v>
      </c>
      <c r="AP617" s="184" t="s">
        <v>2507</v>
      </c>
    </row>
    <row r="618" spans="1:42" s="184" customFormat="1" x14ac:dyDescent="0.3">
      <c r="A618" s="183" t="s">
        <v>1453</v>
      </c>
      <c r="B618" s="184" t="s">
        <v>2496</v>
      </c>
      <c r="C618" s="183" t="s">
        <v>2498</v>
      </c>
      <c r="D618" s="184" t="s">
        <v>2499</v>
      </c>
      <c r="E618" s="183" t="s">
        <v>2500</v>
      </c>
      <c r="F618" s="184" t="s">
        <v>2501</v>
      </c>
      <c r="G618" s="183" t="s">
        <v>2502</v>
      </c>
      <c r="H618" s="184" t="s">
        <v>2503</v>
      </c>
      <c r="J618" s="188"/>
      <c r="K618" s="183" t="s">
        <v>2539</v>
      </c>
      <c r="L618" s="184" t="s">
        <v>2540</v>
      </c>
      <c r="M618" s="184" t="s">
        <v>2541</v>
      </c>
      <c r="N618" s="189" t="s">
        <v>271</v>
      </c>
      <c r="O618" s="189" t="s">
        <v>271</v>
      </c>
      <c r="P618" s="189">
        <v>30</v>
      </c>
      <c r="Q618" s="189">
        <v>30</v>
      </c>
      <c r="R618" s="189" t="s">
        <v>271</v>
      </c>
      <c r="S618" s="189" t="s">
        <v>271</v>
      </c>
      <c r="T618" s="184" t="s">
        <v>63</v>
      </c>
      <c r="U618" s="283" t="s">
        <v>2510</v>
      </c>
      <c r="V618" s="184" t="s">
        <v>2542</v>
      </c>
      <c r="W618" s="184">
        <v>1</v>
      </c>
      <c r="X618" s="184">
        <v>1</v>
      </c>
      <c r="Y618" s="184">
        <v>1</v>
      </c>
      <c r="Z618" s="184">
        <v>1</v>
      </c>
      <c r="AA618" s="184">
        <v>1</v>
      </c>
      <c r="AB618" s="184">
        <v>1</v>
      </c>
      <c r="AC618" s="316">
        <v>1</v>
      </c>
      <c r="AD618" s="316">
        <v>1</v>
      </c>
      <c r="AE618" s="302">
        <f t="shared" si="65"/>
        <v>1</v>
      </c>
      <c r="AF618" s="186"/>
      <c r="AG618" s="17">
        <v>0</v>
      </c>
      <c r="AH618" s="186" t="s">
        <v>271</v>
      </c>
      <c r="AI618" s="186">
        <v>0</v>
      </c>
      <c r="AJ618" s="186">
        <v>3.2</v>
      </c>
      <c r="AK618" s="187">
        <v>14.1</v>
      </c>
      <c r="AL618" s="187" t="s">
        <v>271</v>
      </c>
      <c r="AM618" s="17">
        <f t="shared" si="66"/>
        <v>14.1</v>
      </c>
      <c r="AN618" s="184" t="s">
        <v>63</v>
      </c>
      <c r="AO618" s="168" t="s">
        <v>2530</v>
      </c>
      <c r="AP618" s="184" t="s">
        <v>2514</v>
      </c>
    </row>
    <row r="619" spans="1:42" s="184" customFormat="1" x14ac:dyDescent="0.3">
      <c r="A619" s="183" t="s">
        <v>1453</v>
      </c>
      <c r="B619" s="184" t="s">
        <v>2496</v>
      </c>
      <c r="C619" s="183" t="s">
        <v>2498</v>
      </c>
      <c r="D619" s="184" t="s">
        <v>2499</v>
      </c>
      <c r="E619" s="183" t="s">
        <v>2500</v>
      </c>
      <c r="F619" s="184" t="s">
        <v>2501</v>
      </c>
      <c r="G619" s="183" t="s">
        <v>2502</v>
      </c>
      <c r="H619" s="184" t="s">
        <v>2503</v>
      </c>
      <c r="J619" s="188"/>
      <c r="K619" s="183" t="s">
        <v>2539</v>
      </c>
      <c r="L619" s="184" t="s">
        <v>2540</v>
      </c>
      <c r="M619" s="184" t="s">
        <v>2541</v>
      </c>
      <c r="N619" s="189" t="s">
        <v>271</v>
      </c>
      <c r="O619" s="189" t="s">
        <v>271</v>
      </c>
      <c r="P619" s="189">
        <v>14</v>
      </c>
      <c r="Q619" s="189">
        <v>18</v>
      </c>
      <c r="R619" s="189" t="s">
        <v>271</v>
      </c>
      <c r="S619" s="189" t="s">
        <v>271</v>
      </c>
      <c r="T619" s="184" t="s">
        <v>2528</v>
      </c>
      <c r="U619" s="283" t="s">
        <v>2530</v>
      </c>
      <c r="V619" s="184" t="s">
        <v>2543</v>
      </c>
      <c r="W619" s="184">
        <v>1</v>
      </c>
      <c r="X619" s="184">
        <v>1</v>
      </c>
      <c r="Y619" s="184">
        <v>1</v>
      </c>
      <c r="Z619" s="184">
        <v>1</v>
      </c>
      <c r="AA619" s="184">
        <v>1</v>
      </c>
      <c r="AB619" s="184">
        <v>1</v>
      </c>
      <c r="AC619" s="316">
        <v>1</v>
      </c>
      <c r="AD619" s="316">
        <v>1</v>
      </c>
      <c r="AE619" s="302">
        <f t="shared" si="65"/>
        <v>1</v>
      </c>
      <c r="AF619" s="186"/>
      <c r="AG619" s="17">
        <v>0</v>
      </c>
      <c r="AH619" s="186">
        <v>60</v>
      </c>
      <c r="AI619" s="186">
        <v>60</v>
      </c>
      <c r="AJ619" s="186">
        <v>60</v>
      </c>
      <c r="AK619" s="187">
        <v>60</v>
      </c>
      <c r="AL619" s="187">
        <v>60</v>
      </c>
      <c r="AM619" s="17">
        <f t="shared" si="66"/>
        <v>120</v>
      </c>
      <c r="AN619" s="184" t="s">
        <v>2528</v>
      </c>
      <c r="AO619" s="168" t="s">
        <v>2530</v>
      </c>
      <c r="AP619" s="184" t="s">
        <v>2514</v>
      </c>
    </row>
    <row r="620" spans="1:42" s="184" customFormat="1" x14ac:dyDescent="0.3">
      <c r="A620" s="183" t="s">
        <v>1453</v>
      </c>
      <c r="B620" s="184" t="s">
        <v>2496</v>
      </c>
      <c r="C620" s="183" t="s">
        <v>2498</v>
      </c>
      <c r="D620" s="184" t="s">
        <v>2499</v>
      </c>
      <c r="E620" s="183" t="s">
        <v>2500</v>
      </c>
      <c r="F620" s="184" t="s">
        <v>2501</v>
      </c>
      <c r="G620" s="183" t="s">
        <v>2502</v>
      </c>
      <c r="H620" s="184" t="s">
        <v>2503</v>
      </c>
      <c r="J620" s="188"/>
      <c r="K620" s="183" t="s">
        <v>2544</v>
      </c>
      <c r="L620" s="184" t="s">
        <v>2545</v>
      </c>
      <c r="M620" s="184" t="s">
        <v>2546</v>
      </c>
      <c r="N620" s="189" t="s">
        <v>271</v>
      </c>
      <c r="O620" s="189" t="s">
        <v>271</v>
      </c>
      <c r="P620" s="189">
        <v>10</v>
      </c>
      <c r="Q620" s="189">
        <v>10</v>
      </c>
      <c r="R620" s="189">
        <v>10</v>
      </c>
      <c r="S620" s="189">
        <v>18</v>
      </c>
      <c r="T620" s="184" t="s">
        <v>2547</v>
      </c>
      <c r="U620" s="283" t="e">
        <v>#N/A</v>
      </c>
      <c r="V620" s="184" t="s">
        <v>2548</v>
      </c>
      <c r="W620" s="184">
        <v>1</v>
      </c>
      <c r="X620" s="184">
        <v>1</v>
      </c>
      <c r="Y620" s="184">
        <v>1</v>
      </c>
      <c r="Z620" s="184">
        <v>1</v>
      </c>
      <c r="AA620" s="184">
        <v>1</v>
      </c>
      <c r="AB620" s="184">
        <v>1</v>
      </c>
      <c r="AC620" s="316">
        <v>1</v>
      </c>
      <c r="AD620" s="316">
        <v>1</v>
      </c>
      <c r="AE620" s="302">
        <f t="shared" si="65"/>
        <v>1</v>
      </c>
      <c r="AF620" s="186"/>
      <c r="AG620" s="17">
        <v>0</v>
      </c>
      <c r="AH620" s="186" t="s">
        <v>2526</v>
      </c>
      <c r="AI620" s="186">
        <v>0.5</v>
      </c>
      <c r="AJ620" s="186">
        <v>0.5</v>
      </c>
      <c r="AK620" s="187">
        <v>0.5</v>
      </c>
      <c r="AL620" s="187">
        <v>0.5</v>
      </c>
      <c r="AM620" s="17">
        <f t="shared" si="66"/>
        <v>1</v>
      </c>
      <c r="AN620" s="184" t="s">
        <v>2528</v>
      </c>
      <c r="AO620" s="168" t="s">
        <v>2530</v>
      </c>
      <c r="AP620" s="184" t="s">
        <v>2549</v>
      </c>
    </row>
    <row r="621" spans="1:42" s="184" customFormat="1" x14ac:dyDescent="0.3">
      <c r="A621" s="183" t="s">
        <v>1453</v>
      </c>
      <c r="B621" s="184" t="s">
        <v>2496</v>
      </c>
      <c r="C621" s="183" t="s">
        <v>2498</v>
      </c>
      <c r="D621" s="184" t="s">
        <v>2499</v>
      </c>
      <c r="E621" s="183" t="s">
        <v>2500</v>
      </c>
      <c r="F621" s="184" t="s">
        <v>2501</v>
      </c>
      <c r="G621" s="183" t="s">
        <v>2502</v>
      </c>
      <c r="H621" s="184" t="s">
        <v>2503</v>
      </c>
      <c r="J621" s="188"/>
      <c r="K621" s="183" t="s">
        <v>2544</v>
      </c>
      <c r="L621" s="184" t="s">
        <v>2545</v>
      </c>
      <c r="M621" s="184" t="s">
        <v>2550</v>
      </c>
      <c r="N621" s="189" t="s">
        <v>271</v>
      </c>
      <c r="O621" s="189" t="s">
        <v>271</v>
      </c>
      <c r="P621" s="189"/>
      <c r="Q621" s="189" t="s">
        <v>271</v>
      </c>
      <c r="R621" s="189">
        <v>100</v>
      </c>
      <c r="S621" s="189" t="s">
        <v>271</v>
      </c>
      <c r="T621" s="184" t="s">
        <v>2547</v>
      </c>
      <c r="U621" s="283" t="e">
        <v>#N/A</v>
      </c>
      <c r="V621" s="184" t="s">
        <v>2551</v>
      </c>
      <c r="W621" s="184">
        <v>1</v>
      </c>
      <c r="X621" s="184">
        <v>1</v>
      </c>
      <c r="Y621" s="184">
        <v>1</v>
      </c>
      <c r="Z621" s="184">
        <v>1</v>
      </c>
      <c r="AA621" s="184">
        <v>1</v>
      </c>
      <c r="AB621" s="184">
        <v>1</v>
      </c>
      <c r="AC621" s="316">
        <v>1</v>
      </c>
      <c r="AD621" s="316">
        <v>1</v>
      </c>
      <c r="AE621" s="302">
        <f t="shared" si="65"/>
        <v>1</v>
      </c>
      <c r="AF621" s="186"/>
      <c r="AG621" s="17">
        <v>0</v>
      </c>
      <c r="AH621" s="186" t="s">
        <v>2526</v>
      </c>
      <c r="AI621" s="186">
        <v>5</v>
      </c>
      <c r="AJ621" s="186" t="s">
        <v>2526</v>
      </c>
      <c r="AK621" s="187">
        <v>5</v>
      </c>
      <c r="AL621" s="187" t="s">
        <v>2526</v>
      </c>
      <c r="AM621" s="17">
        <f t="shared" si="66"/>
        <v>5</v>
      </c>
      <c r="AN621" s="184" t="s">
        <v>2528</v>
      </c>
      <c r="AO621" s="168" t="s">
        <v>2530</v>
      </c>
      <c r="AP621" s="184" t="s">
        <v>2549</v>
      </c>
    </row>
    <row r="622" spans="1:42" s="184" customFormat="1" x14ac:dyDescent="0.3">
      <c r="A622" s="183" t="s">
        <v>1453</v>
      </c>
      <c r="B622" s="184" t="s">
        <v>2496</v>
      </c>
      <c r="C622" s="183" t="s">
        <v>2498</v>
      </c>
      <c r="D622" s="184" t="s">
        <v>2499</v>
      </c>
      <c r="E622" s="183" t="s">
        <v>2500</v>
      </c>
      <c r="F622" s="184" t="s">
        <v>2501</v>
      </c>
      <c r="G622" s="183" t="s">
        <v>2502</v>
      </c>
      <c r="H622" s="184" t="s">
        <v>2503</v>
      </c>
      <c r="J622" s="188"/>
      <c r="K622" s="183" t="s">
        <v>2552</v>
      </c>
      <c r="L622" s="184" t="s">
        <v>2553</v>
      </c>
      <c r="M622" s="184" t="s">
        <v>2554</v>
      </c>
      <c r="N622" s="189" t="s">
        <v>271</v>
      </c>
      <c r="O622" s="189">
        <v>0</v>
      </c>
      <c r="P622" s="189">
        <v>50</v>
      </c>
      <c r="Q622" s="189">
        <v>80</v>
      </c>
      <c r="R622" s="189">
        <v>120</v>
      </c>
      <c r="S622" s="189">
        <v>167</v>
      </c>
      <c r="T622" s="184" t="s">
        <v>2547</v>
      </c>
      <c r="U622" s="283" t="e">
        <v>#N/A</v>
      </c>
      <c r="V622" s="184" t="s">
        <v>2555</v>
      </c>
      <c r="W622" s="184">
        <v>1</v>
      </c>
      <c r="X622" s="184">
        <v>1</v>
      </c>
      <c r="Y622" s="184">
        <v>1</v>
      </c>
      <c r="Z622" s="184">
        <v>1</v>
      </c>
      <c r="AA622" s="184">
        <v>1</v>
      </c>
      <c r="AB622" s="184">
        <v>1</v>
      </c>
      <c r="AC622" s="316">
        <v>1</v>
      </c>
      <c r="AD622" s="316">
        <v>1</v>
      </c>
      <c r="AE622" s="302">
        <f t="shared" si="65"/>
        <v>1</v>
      </c>
      <c r="AF622" s="186"/>
      <c r="AG622" s="17">
        <v>0</v>
      </c>
      <c r="AH622" s="186">
        <v>150</v>
      </c>
      <c r="AI622" s="186">
        <v>150.0182944196421</v>
      </c>
      <c r="AJ622" s="186">
        <v>128.8817055803579</v>
      </c>
      <c r="AK622" s="187">
        <v>110</v>
      </c>
      <c r="AL622" s="187">
        <v>133</v>
      </c>
      <c r="AM622" s="17">
        <f t="shared" si="66"/>
        <v>243</v>
      </c>
      <c r="AN622" s="184" t="s">
        <v>2528</v>
      </c>
      <c r="AO622" s="168" t="s">
        <v>2530</v>
      </c>
      <c r="AP622" s="184" t="s">
        <v>2514</v>
      </c>
    </row>
    <row r="623" spans="1:42" s="184" customFormat="1" hidden="1" x14ac:dyDescent="0.3">
      <c r="A623" s="183" t="s">
        <v>1453</v>
      </c>
      <c r="B623" s="184" t="s">
        <v>2496</v>
      </c>
      <c r="C623" s="183" t="s">
        <v>2498</v>
      </c>
      <c r="D623" s="184" t="s">
        <v>2499</v>
      </c>
      <c r="E623" s="183" t="s">
        <v>2500</v>
      </c>
      <c r="F623" s="184" t="s">
        <v>2501</v>
      </c>
      <c r="G623" s="183" t="s">
        <v>2502</v>
      </c>
      <c r="H623" s="184" t="s">
        <v>2503</v>
      </c>
      <c r="J623" s="188"/>
      <c r="K623" s="183" t="s">
        <v>2556</v>
      </c>
      <c r="L623" s="184" t="s">
        <v>2557</v>
      </c>
      <c r="M623" s="184" t="s">
        <v>2558</v>
      </c>
      <c r="N623" s="189"/>
      <c r="O623" s="189"/>
      <c r="P623" s="189">
        <v>15</v>
      </c>
      <c r="Q623" s="189"/>
      <c r="R623" s="189"/>
      <c r="S623" s="189"/>
      <c r="T623" s="184" t="s">
        <v>63</v>
      </c>
      <c r="U623" s="283" t="s">
        <v>2510</v>
      </c>
      <c r="V623" s="184" t="s">
        <v>2559</v>
      </c>
      <c r="AC623" s="316">
        <v>0</v>
      </c>
      <c r="AD623" s="316">
        <v>0</v>
      </c>
      <c r="AE623" s="302">
        <f t="shared" si="65"/>
        <v>0</v>
      </c>
      <c r="AF623" s="186"/>
      <c r="AG623" s="17">
        <v>0</v>
      </c>
      <c r="AH623" s="186" t="s">
        <v>2526</v>
      </c>
      <c r="AI623" s="186">
        <v>54.9</v>
      </c>
      <c r="AJ623" s="186" t="s">
        <v>2526</v>
      </c>
      <c r="AK623" s="187" t="s">
        <v>2526</v>
      </c>
      <c r="AL623" s="187" t="s">
        <v>2526</v>
      </c>
      <c r="AM623" s="17">
        <f t="shared" si="66"/>
        <v>0</v>
      </c>
      <c r="AN623" s="184" t="s">
        <v>2514</v>
      </c>
      <c r="AO623" s="168" t="s">
        <v>2515</v>
      </c>
      <c r="AP623" s="186" t="s">
        <v>119</v>
      </c>
    </row>
    <row r="624" spans="1:42" s="184" customFormat="1" x14ac:dyDescent="0.3">
      <c r="A624" s="183" t="s">
        <v>1453</v>
      </c>
      <c r="B624" s="184" t="s">
        <v>2496</v>
      </c>
      <c r="C624" s="183" t="s">
        <v>2498</v>
      </c>
      <c r="D624" s="184" t="s">
        <v>2499</v>
      </c>
      <c r="E624" s="183" t="s">
        <v>2500</v>
      </c>
      <c r="F624" s="184" t="s">
        <v>2501</v>
      </c>
      <c r="G624" s="183" t="s">
        <v>2502</v>
      </c>
      <c r="H624" s="184" t="s">
        <v>2503</v>
      </c>
      <c r="J624" s="188"/>
      <c r="K624" s="183" t="s">
        <v>2560</v>
      </c>
      <c r="L624" s="184" t="s">
        <v>2561</v>
      </c>
      <c r="M624" s="184" t="s">
        <v>2562</v>
      </c>
      <c r="N624" s="189" t="s">
        <v>271</v>
      </c>
      <c r="O624" s="189" t="s">
        <v>271</v>
      </c>
      <c r="P624" s="189" t="s">
        <v>271</v>
      </c>
      <c r="Q624" s="189" t="s">
        <v>271</v>
      </c>
      <c r="R624" s="189">
        <v>50</v>
      </c>
      <c r="S624" s="189">
        <v>50</v>
      </c>
      <c r="T624" s="184" t="s">
        <v>2528</v>
      </c>
      <c r="U624" s="283" t="s">
        <v>2530</v>
      </c>
      <c r="V624" s="184" t="s">
        <v>2563</v>
      </c>
      <c r="W624" s="184">
        <v>1</v>
      </c>
      <c r="X624" s="184">
        <v>1</v>
      </c>
      <c r="Y624" s="184">
        <v>1</v>
      </c>
      <c r="Z624" s="184">
        <v>0</v>
      </c>
      <c r="AA624" s="184">
        <v>0</v>
      </c>
      <c r="AB624" s="184">
        <v>1</v>
      </c>
      <c r="AC624" s="316">
        <v>1</v>
      </c>
      <c r="AD624" s="316">
        <v>1</v>
      </c>
      <c r="AE624" s="302">
        <f t="shared" si="65"/>
        <v>0.75</v>
      </c>
      <c r="AF624" s="186"/>
      <c r="AG624" s="17">
        <v>0</v>
      </c>
      <c r="AH624" s="186" t="s">
        <v>2526</v>
      </c>
      <c r="AI624" s="186" t="s">
        <v>2526</v>
      </c>
      <c r="AJ624" s="186">
        <v>200</v>
      </c>
      <c r="AK624" s="187">
        <v>150</v>
      </c>
      <c r="AL624" s="187">
        <v>104</v>
      </c>
      <c r="AM624" s="17">
        <f t="shared" si="66"/>
        <v>254</v>
      </c>
      <c r="AN624" s="184" t="s">
        <v>2528</v>
      </c>
      <c r="AO624" s="168" t="s">
        <v>2530</v>
      </c>
      <c r="AP624" s="184" t="s">
        <v>2514</v>
      </c>
    </row>
    <row r="625" spans="1:42" s="184" customFormat="1" hidden="1" x14ac:dyDescent="0.3">
      <c r="A625" s="183" t="s">
        <v>1453</v>
      </c>
      <c r="B625" s="184" t="s">
        <v>2496</v>
      </c>
      <c r="C625" s="183" t="s">
        <v>2498</v>
      </c>
      <c r="D625" s="184" t="s">
        <v>2499</v>
      </c>
      <c r="E625" s="183" t="s">
        <v>2500</v>
      </c>
      <c r="F625" s="184" t="s">
        <v>2501</v>
      </c>
      <c r="G625" s="183" t="s">
        <v>2502</v>
      </c>
      <c r="H625" s="184" t="s">
        <v>2503</v>
      </c>
      <c r="J625" s="188"/>
      <c r="K625" s="183" t="s">
        <v>2564</v>
      </c>
      <c r="L625" s="184" t="s">
        <v>2565</v>
      </c>
      <c r="M625" s="184" t="s">
        <v>2566</v>
      </c>
      <c r="N625" s="189" t="s">
        <v>271</v>
      </c>
      <c r="O625" s="189" t="s">
        <v>271</v>
      </c>
      <c r="P625" s="189">
        <v>20</v>
      </c>
      <c r="Q625" s="189">
        <v>30</v>
      </c>
      <c r="R625" s="189">
        <v>25</v>
      </c>
      <c r="S625" s="189">
        <v>25</v>
      </c>
      <c r="T625" s="184" t="s">
        <v>2512</v>
      </c>
      <c r="U625" s="283" t="e">
        <v>#N/A</v>
      </c>
      <c r="V625" s="184" t="s">
        <v>2567</v>
      </c>
      <c r="W625" s="184">
        <v>0</v>
      </c>
      <c r="X625" s="184">
        <v>1</v>
      </c>
      <c r="Y625" s="184">
        <v>0</v>
      </c>
      <c r="Z625" s="184">
        <v>1</v>
      </c>
      <c r="AA625" s="184">
        <v>1</v>
      </c>
      <c r="AB625" s="184">
        <v>1</v>
      </c>
      <c r="AC625" s="316">
        <v>0</v>
      </c>
      <c r="AD625" s="316">
        <v>1</v>
      </c>
      <c r="AE625" s="302">
        <f t="shared" si="65"/>
        <v>0.625</v>
      </c>
      <c r="AF625" s="186"/>
      <c r="AG625" s="17">
        <v>0</v>
      </c>
      <c r="AH625" s="186" t="s">
        <v>2526</v>
      </c>
      <c r="AI625" s="186">
        <v>1.48</v>
      </c>
      <c r="AJ625" s="186">
        <v>1.48</v>
      </c>
      <c r="AK625" s="187"/>
      <c r="AL625" s="187">
        <v>2.96</v>
      </c>
      <c r="AM625" s="17">
        <f t="shared" si="66"/>
        <v>2.96</v>
      </c>
      <c r="AN625" s="184" t="s">
        <v>2514</v>
      </c>
      <c r="AO625" s="168" t="s">
        <v>2515</v>
      </c>
      <c r="AP625" s="184" t="s">
        <v>119</v>
      </c>
    </row>
    <row r="626" spans="1:42" s="184" customFormat="1" x14ac:dyDescent="0.3">
      <c r="A626" s="183" t="s">
        <v>1453</v>
      </c>
      <c r="B626" s="184" t="s">
        <v>2496</v>
      </c>
      <c r="C626" s="183" t="s">
        <v>2498</v>
      </c>
      <c r="D626" s="184" t="s">
        <v>2499</v>
      </c>
      <c r="E626" s="183" t="s">
        <v>2500</v>
      </c>
      <c r="F626" s="184" t="s">
        <v>2501</v>
      </c>
      <c r="G626" s="183" t="s">
        <v>2502</v>
      </c>
      <c r="H626" s="184" t="s">
        <v>2503</v>
      </c>
      <c r="J626" s="188"/>
      <c r="K626" s="183" t="s">
        <v>2568</v>
      </c>
      <c r="L626" s="184" t="s">
        <v>2569</v>
      </c>
      <c r="M626" s="184" t="s">
        <v>2570</v>
      </c>
      <c r="N626" s="189"/>
      <c r="O626" s="189">
        <v>3.94</v>
      </c>
      <c r="P626" s="189">
        <v>4</v>
      </c>
      <c r="Q626" s="189">
        <v>4</v>
      </c>
      <c r="R626" s="189">
        <v>4</v>
      </c>
      <c r="S626" s="189">
        <v>4</v>
      </c>
      <c r="T626" s="184" t="s">
        <v>2571</v>
      </c>
      <c r="U626" s="283" t="s">
        <v>2573</v>
      </c>
      <c r="V626" s="184" t="s">
        <v>2572</v>
      </c>
      <c r="W626" s="184">
        <v>1</v>
      </c>
      <c r="X626" s="184">
        <v>1</v>
      </c>
      <c r="Y626" s="184">
        <v>1</v>
      </c>
      <c r="Z626" s="184">
        <v>1</v>
      </c>
      <c r="AA626" s="184">
        <v>1</v>
      </c>
      <c r="AB626" s="184">
        <v>1</v>
      </c>
      <c r="AC626" s="316">
        <v>1</v>
      </c>
      <c r="AD626" s="316">
        <v>0</v>
      </c>
      <c r="AE626" s="302">
        <f t="shared" si="65"/>
        <v>0.875</v>
      </c>
      <c r="AF626" s="186"/>
      <c r="AG626" s="17">
        <v>0</v>
      </c>
      <c r="AH626" s="186">
        <v>24</v>
      </c>
      <c r="AI626" s="186">
        <v>30</v>
      </c>
      <c r="AJ626" s="186">
        <v>30</v>
      </c>
      <c r="AK626" s="187">
        <v>24</v>
      </c>
      <c r="AL626" s="187">
        <v>20</v>
      </c>
      <c r="AM626" s="17">
        <f t="shared" si="66"/>
        <v>44</v>
      </c>
      <c r="AN626" s="184" t="s">
        <v>2571</v>
      </c>
      <c r="AO626" s="168" t="s">
        <v>2573</v>
      </c>
      <c r="AP626" s="184" t="s">
        <v>2514</v>
      </c>
    </row>
    <row r="627" spans="1:42" s="184" customFormat="1" x14ac:dyDescent="0.3">
      <c r="A627" s="183" t="s">
        <v>1453</v>
      </c>
      <c r="B627" s="184" t="s">
        <v>2496</v>
      </c>
      <c r="C627" s="183" t="s">
        <v>2498</v>
      </c>
      <c r="D627" s="184" t="s">
        <v>2499</v>
      </c>
      <c r="E627" s="183" t="s">
        <v>2500</v>
      </c>
      <c r="F627" s="184" t="s">
        <v>2501</v>
      </c>
      <c r="G627" s="183" t="s">
        <v>2502</v>
      </c>
      <c r="H627" s="184" t="s">
        <v>2503</v>
      </c>
      <c r="J627" s="188"/>
      <c r="K627" s="183" t="s">
        <v>2568</v>
      </c>
      <c r="L627" s="184" t="s">
        <v>2569</v>
      </c>
      <c r="M627" s="184" t="s">
        <v>2574</v>
      </c>
      <c r="N627" s="189"/>
      <c r="O627" s="189"/>
      <c r="P627" s="189">
        <v>1</v>
      </c>
      <c r="Q627" s="189">
        <v>1</v>
      </c>
      <c r="R627" s="189">
        <v>2</v>
      </c>
      <c r="S627" s="189" t="s">
        <v>271</v>
      </c>
      <c r="T627" s="184" t="s">
        <v>2528</v>
      </c>
      <c r="U627" s="283" t="s">
        <v>2530</v>
      </c>
      <c r="V627" s="184" t="s">
        <v>2575</v>
      </c>
      <c r="W627" s="184">
        <v>1</v>
      </c>
      <c r="X627" s="184">
        <v>1</v>
      </c>
      <c r="Y627" s="184">
        <v>1</v>
      </c>
      <c r="Z627" s="184">
        <v>1</v>
      </c>
      <c r="AA627" s="184">
        <v>1</v>
      </c>
      <c r="AB627" s="184">
        <v>1</v>
      </c>
      <c r="AC627" s="316">
        <v>1</v>
      </c>
      <c r="AD627" s="316">
        <v>1</v>
      </c>
      <c r="AE627" s="302">
        <f t="shared" si="65"/>
        <v>1</v>
      </c>
      <c r="AF627" s="186"/>
      <c r="AG627" s="17">
        <v>0</v>
      </c>
      <c r="AH627" s="186" t="s">
        <v>2526</v>
      </c>
      <c r="AI627" s="186">
        <v>25</v>
      </c>
      <c r="AJ627" s="186">
        <v>22.5</v>
      </c>
      <c r="AK627" s="187">
        <v>50</v>
      </c>
      <c r="AL627" s="187">
        <v>0</v>
      </c>
      <c r="AM627" s="17">
        <f t="shared" si="66"/>
        <v>50</v>
      </c>
      <c r="AN627" s="184" t="s">
        <v>2528</v>
      </c>
      <c r="AO627" s="168" t="s">
        <v>2530</v>
      </c>
      <c r="AP627" s="184" t="s">
        <v>2514</v>
      </c>
    </row>
    <row r="628" spans="1:42" s="184" customFormat="1" x14ac:dyDescent="0.3">
      <c r="A628" s="183" t="s">
        <v>1453</v>
      </c>
      <c r="B628" s="184" t="s">
        <v>2496</v>
      </c>
      <c r="C628" s="183" t="s">
        <v>2498</v>
      </c>
      <c r="D628" s="184" t="s">
        <v>2499</v>
      </c>
      <c r="E628" s="183" t="s">
        <v>2500</v>
      </c>
      <c r="F628" s="184" t="s">
        <v>2501</v>
      </c>
      <c r="G628" s="183" t="s">
        <v>2576</v>
      </c>
      <c r="H628" s="184" t="s">
        <v>2577</v>
      </c>
      <c r="J628" s="188"/>
      <c r="K628" s="183" t="s">
        <v>2578</v>
      </c>
      <c r="L628" s="184" t="s">
        <v>2579</v>
      </c>
      <c r="M628" s="184" t="s">
        <v>2580</v>
      </c>
      <c r="N628" s="189">
        <v>4971</v>
      </c>
      <c r="O628" s="189">
        <v>5717</v>
      </c>
      <c r="P628" s="189">
        <v>6163</v>
      </c>
      <c r="Q628" s="189">
        <v>6609</v>
      </c>
      <c r="R628" s="189">
        <v>7055</v>
      </c>
      <c r="S628" s="189">
        <v>7500</v>
      </c>
      <c r="T628" s="184" t="s">
        <v>2528</v>
      </c>
      <c r="U628" s="283" t="s">
        <v>2530</v>
      </c>
      <c r="V628" s="184" t="s">
        <v>2581</v>
      </c>
      <c r="W628" s="184">
        <v>1</v>
      </c>
      <c r="X628" s="184">
        <v>1</v>
      </c>
      <c r="Y628" s="184">
        <v>1</v>
      </c>
      <c r="Z628" s="184">
        <v>1</v>
      </c>
      <c r="AA628" s="184">
        <v>1</v>
      </c>
      <c r="AB628" s="184">
        <v>1</v>
      </c>
      <c r="AC628" s="316">
        <v>1</v>
      </c>
      <c r="AD628" s="316">
        <v>1</v>
      </c>
      <c r="AE628" s="302">
        <f t="shared" si="65"/>
        <v>1</v>
      </c>
      <c r="AF628" s="186"/>
      <c r="AG628" s="17">
        <v>0</v>
      </c>
      <c r="AH628" s="186">
        <v>915.00000000000091</v>
      </c>
      <c r="AI628" s="186">
        <v>812.125</v>
      </c>
      <c r="AJ628" s="186">
        <v>811.52499999999964</v>
      </c>
      <c r="AK628" s="187">
        <v>615.09</v>
      </c>
      <c r="AL628" s="187">
        <v>863.72</v>
      </c>
      <c r="AM628" s="17">
        <f t="shared" si="66"/>
        <v>1478.81</v>
      </c>
      <c r="AN628" s="184" t="s">
        <v>2528</v>
      </c>
      <c r="AO628" s="168" t="s">
        <v>2530</v>
      </c>
      <c r="AP628" s="184" t="s">
        <v>119</v>
      </c>
    </row>
    <row r="629" spans="1:42" s="184" customFormat="1" x14ac:dyDescent="0.3">
      <c r="A629" s="183" t="s">
        <v>1453</v>
      </c>
      <c r="B629" s="184" t="s">
        <v>2496</v>
      </c>
      <c r="C629" s="183" t="s">
        <v>2498</v>
      </c>
      <c r="D629" s="184" t="s">
        <v>2499</v>
      </c>
      <c r="E629" s="183" t="s">
        <v>2500</v>
      </c>
      <c r="F629" s="184" t="s">
        <v>2501</v>
      </c>
      <c r="G629" s="183" t="s">
        <v>2576</v>
      </c>
      <c r="H629" s="184" t="s">
        <v>2577</v>
      </c>
      <c r="J629" s="188"/>
      <c r="K629" s="183" t="s">
        <v>2578</v>
      </c>
      <c r="L629" s="184" t="s">
        <v>2579</v>
      </c>
      <c r="M629" s="184" t="s">
        <v>2582</v>
      </c>
      <c r="N629" s="189" t="s">
        <v>271</v>
      </c>
      <c r="O629" s="189">
        <v>72</v>
      </c>
      <c r="P629" s="189">
        <v>23</v>
      </c>
      <c r="Q629" s="189">
        <v>5</v>
      </c>
      <c r="R629" s="189" t="s">
        <v>271</v>
      </c>
      <c r="S629" s="189" t="s">
        <v>271</v>
      </c>
      <c r="T629" s="184" t="s">
        <v>63</v>
      </c>
      <c r="U629" s="283" t="s">
        <v>2510</v>
      </c>
      <c r="V629" s="184" t="s">
        <v>2583</v>
      </c>
      <c r="W629" s="184">
        <v>1</v>
      </c>
      <c r="X629" s="184">
        <v>1</v>
      </c>
      <c r="Y629" s="184">
        <v>1</v>
      </c>
      <c r="Z629" s="184">
        <v>1</v>
      </c>
      <c r="AA629" s="184">
        <v>1</v>
      </c>
      <c r="AB629" s="184">
        <v>1</v>
      </c>
      <c r="AC629" s="316">
        <v>1</v>
      </c>
      <c r="AD629" s="316">
        <v>1</v>
      </c>
      <c r="AE629" s="302">
        <f t="shared" si="65"/>
        <v>1</v>
      </c>
      <c r="AF629" s="186"/>
      <c r="AG629" s="17">
        <v>0</v>
      </c>
      <c r="AH629" s="186">
        <v>295.8</v>
      </c>
      <c r="AI629" s="186">
        <v>10</v>
      </c>
      <c r="AJ629" s="186">
        <v>5</v>
      </c>
      <c r="AK629" s="187" t="s">
        <v>2526</v>
      </c>
      <c r="AL629" s="187" t="s">
        <v>2526</v>
      </c>
      <c r="AM629" s="17">
        <f t="shared" si="66"/>
        <v>0</v>
      </c>
      <c r="AN629" s="184" t="s">
        <v>63</v>
      </c>
      <c r="AO629" s="168" t="s">
        <v>2510</v>
      </c>
      <c r="AP629" s="184" t="s">
        <v>2584</v>
      </c>
    </row>
    <row r="630" spans="1:42" s="184" customFormat="1" x14ac:dyDescent="0.3">
      <c r="A630" s="183" t="s">
        <v>1453</v>
      </c>
      <c r="B630" s="184" t="s">
        <v>2496</v>
      </c>
      <c r="C630" s="183" t="s">
        <v>2498</v>
      </c>
      <c r="D630" s="184" t="s">
        <v>2499</v>
      </c>
      <c r="E630" s="183" t="s">
        <v>2500</v>
      </c>
      <c r="F630" s="184" t="s">
        <v>2501</v>
      </c>
      <c r="G630" s="183" t="s">
        <v>2576</v>
      </c>
      <c r="H630" s="184" t="s">
        <v>2577</v>
      </c>
      <c r="J630" s="188"/>
      <c r="K630" s="183" t="s">
        <v>2578</v>
      </c>
      <c r="L630" s="184" t="s">
        <v>2579</v>
      </c>
      <c r="M630" s="184" t="s">
        <v>2585</v>
      </c>
      <c r="N630" s="189"/>
      <c r="O630" s="189"/>
      <c r="P630" s="189">
        <v>40</v>
      </c>
      <c r="Q630" s="189">
        <v>55</v>
      </c>
      <c r="R630" s="189">
        <v>75</v>
      </c>
      <c r="S630" s="189">
        <v>100</v>
      </c>
      <c r="T630" s="184" t="s">
        <v>2518</v>
      </c>
      <c r="U630" s="283" t="e">
        <v>#N/A</v>
      </c>
      <c r="V630" s="184" t="s">
        <v>2586</v>
      </c>
      <c r="W630" s="184">
        <v>1</v>
      </c>
      <c r="X630" s="184">
        <v>1</v>
      </c>
      <c r="Y630" s="184">
        <v>1</v>
      </c>
      <c r="Z630" s="184">
        <v>1</v>
      </c>
      <c r="AA630" s="184">
        <v>1</v>
      </c>
      <c r="AB630" s="184">
        <v>1</v>
      </c>
      <c r="AC630" s="316">
        <v>1</v>
      </c>
      <c r="AD630" s="316">
        <v>1</v>
      </c>
      <c r="AE630" s="302">
        <f t="shared" si="65"/>
        <v>1</v>
      </c>
      <c r="AF630" s="186"/>
      <c r="AG630" s="17">
        <v>0</v>
      </c>
      <c r="AH630" s="186">
        <v>1</v>
      </c>
      <c r="AI630" s="186">
        <v>41</v>
      </c>
      <c r="AJ630" s="186">
        <v>15</v>
      </c>
      <c r="AK630" s="187">
        <v>15</v>
      </c>
      <c r="AL630" s="187">
        <v>15</v>
      </c>
      <c r="AM630" s="17">
        <f t="shared" si="66"/>
        <v>30</v>
      </c>
      <c r="AN630" s="184" t="s">
        <v>2520</v>
      </c>
      <c r="AO630" s="168" t="s">
        <v>2510</v>
      </c>
      <c r="AP630" s="184" t="s">
        <v>63</v>
      </c>
    </row>
    <row r="631" spans="1:42" s="184" customFormat="1" hidden="1" x14ac:dyDescent="0.3">
      <c r="A631" s="183" t="s">
        <v>1453</v>
      </c>
      <c r="B631" s="184" t="s">
        <v>2496</v>
      </c>
      <c r="C631" s="183" t="s">
        <v>2498</v>
      </c>
      <c r="D631" s="184" t="s">
        <v>2499</v>
      </c>
      <c r="E631" s="183" t="s">
        <v>2500</v>
      </c>
      <c r="F631" s="184" t="s">
        <v>2501</v>
      </c>
      <c r="G631" s="183" t="s">
        <v>2576</v>
      </c>
      <c r="H631" s="184" t="s">
        <v>2577</v>
      </c>
      <c r="J631" s="188"/>
      <c r="K631" s="183" t="s">
        <v>2578</v>
      </c>
      <c r="L631" s="184" t="s">
        <v>2579</v>
      </c>
      <c r="M631" s="184" t="s">
        <v>2587</v>
      </c>
      <c r="N631" s="189">
        <v>13</v>
      </c>
      <c r="O631" s="189">
        <v>1</v>
      </c>
      <c r="P631" s="189">
        <v>2</v>
      </c>
      <c r="Q631" s="189">
        <v>1</v>
      </c>
      <c r="R631" s="189">
        <v>1</v>
      </c>
      <c r="S631" s="189">
        <v>1</v>
      </c>
      <c r="T631" s="184" t="s">
        <v>2588</v>
      </c>
      <c r="U631" s="283" t="e">
        <v>#N/A</v>
      </c>
      <c r="AC631" s="316">
        <v>0</v>
      </c>
      <c r="AD631" s="316">
        <v>0</v>
      </c>
      <c r="AE631" s="302">
        <f t="shared" si="65"/>
        <v>0</v>
      </c>
      <c r="AF631" s="190"/>
      <c r="AG631" s="17">
        <v>0</v>
      </c>
      <c r="AH631" s="190" t="s">
        <v>271</v>
      </c>
      <c r="AI631" s="190" t="s">
        <v>271</v>
      </c>
      <c r="AJ631" s="190" t="s">
        <v>271</v>
      </c>
      <c r="AK631" s="191" t="s">
        <v>271</v>
      </c>
      <c r="AL631" s="191" t="s">
        <v>271</v>
      </c>
      <c r="AM631" s="17">
        <f t="shared" si="66"/>
        <v>0</v>
      </c>
      <c r="AN631" s="184" t="s">
        <v>2520</v>
      </c>
      <c r="AO631" s="168" t="s">
        <v>2510</v>
      </c>
      <c r="AP631" s="184" t="s">
        <v>2518</v>
      </c>
    </row>
    <row r="632" spans="1:42" s="184" customFormat="1" x14ac:dyDescent="0.3">
      <c r="A632" s="183" t="s">
        <v>1453</v>
      </c>
      <c r="B632" s="184" t="s">
        <v>2496</v>
      </c>
      <c r="C632" s="183" t="s">
        <v>2498</v>
      </c>
      <c r="D632" s="184" t="s">
        <v>2499</v>
      </c>
      <c r="E632" s="183" t="s">
        <v>2500</v>
      </c>
      <c r="F632" s="184" t="s">
        <v>2501</v>
      </c>
      <c r="G632" s="183" t="s">
        <v>2576</v>
      </c>
      <c r="H632" s="184" t="s">
        <v>2577</v>
      </c>
      <c r="J632" s="188"/>
      <c r="K632" s="183" t="s">
        <v>2578</v>
      </c>
      <c r="L632" s="184" t="s">
        <v>2579</v>
      </c>
      <c r="M632" s="184" t="s">
        <v>2589</v>
      </c>
      <c r="N632" s="189"/>
      <c r="O632" s="189" t="s">
        <v>271</v>
      </c>
      <c r="P632" s="189">
        <v>35</v>
      </c>
      <c r="Q632" s="189">
        <v>68</v>
      </c>
      <c r="R632" s="189">
        <v>90</v>
      </c>
      <c r="S632" s="189">
        <v>100</v>
      </c>
      <c r="T632" s="184" t="s">
        <v>2518</v>
      </c>
      <c r="U632" s="283" t="e">
        <v>#N/A</v>
      </c>
      <c r="V632" s="184" t="s">
        <v>2590</v>
      </c>
      <c r="W632" s="184">
        <v>1</v>
      </c>
      <c r="X632" s="184">
        <v>1</v>
      </c>
      <c r="Y632" s="184">
        <v>1</v>
      </c>
      <c r="Z632" s="184">
        <v>1</v>
      </c>
      <c r="AA632" s="184">
        <v>1</v>
      </c>
      <c r="AB632" s="184">
        <v>1</v>
      </c>
      <c r="AC632" s="316">
        <v>0</v>
      </c>
      <c r="AD632" s="316">
        <v>1</v>
      </c>
      <c r="AE632" s="302">
        <f t="shared" si="65"/>
        <v>0.875</v>
      </c>
      <c r="AF632" s="186"/>
      <c r="AG632" s="17">
        <v>0</v>
      </c>
      <c r="AH632" s="186" t="s">
        <v>271</v>
      </c>
      <c r="AI632" s="186">
        <v>74.3</v>
      </c>
      <c r="AJ632" s="186">
        <v>68.900000000000006</v>
      </c>
      <c r="AK632" s="187">
        <v>50</v>
      </c>
      <c r="AL632" s="187">
        <v>18.899999999999999</v>
      </c>
      <c r="AM632" s="17">
        <f t="shared" si="66"/>
        <v>68.900000000000006</v>
      </c>
      <c r="AN632" s="184" t="s">
        <v>2520</v>
      </c>
      <c r="AO632" s="168" t="s">
        <v>2510</v>
      </c>
      <c r="AP632" s="184" t="s">
        <v>63</v>
      </c>
    </row>
    <row r="633" spans="1:42" s="184" customFormat="1" x14ac:dyDescent="0.3">
      <c r="A633" s="183" t="s">
        <v>1453</v>
      </c>
      <c r="B633" s="184" t="s">
        <v>2496</v>
      </c>
      <c r="C633" s="183" t="s">
        <v>2498</v>
      </c>
      <c r="D633" s="184" t="s">
        <v>2499</v>
      </c>
      <c r="E633" s="183" t="s">
        <v>2500</v>
      </c>
      <c r="F633" s="184" t="s">
        <v>2501</v>
      </c>
      <c r="G633" s="183" t="s">
        <v>2576</v>
      </c>
      <c r="H633" s="184" t="s">
        <v>2577</v>
      </c>
      <c r="I633" s="188"/>
      <c r="J633" s="188"/>
      <c r="K633" s="183" t="s">
        <v>2578</v>
      </c>
      <c r="L633" s="184" t="s">
        <v>2579</v>
      </c>
      <c r="M633" s="184" t="s">
        <v>2591</v>
      </c>
      <c r="N633" s="189"/>
      <c r="O633" s="189">
        <v>0</v>
      </c>
      <c r="P633" s="189">
        <v>35</v>
      </c>
      <c r="Q633" s="189">
        <v>68</v>
      </c>
      <c r="R633" s="189">
        <v>100</v>
      </c>
      <c r="S633" s="189" t="s">
        <v>271</v>
      </c>
      <c r="T633" s="184" t="s">
        <v>2518</v>
      </c>
      <c r="U633" s="283" t="e">
        <v>#N/A</v>
      </c>
      <c r="V633" s="184" t="s">
        <v>2592</v>
      </c>
      <c r="W633" s="184">
        <v>1</v>
      </c>
      <c r="X633" s="184">
        <v>1</v>
      </c>
      <c r="Y633" s="184">
        <v>1</v>
      </c>
      <c r="Z633" s="184">
        <v>1</v>
      </c>
      <c r="AA633" s="184">
        <v>1</v>
      </c>
      <c r="AB633" s="184">
        <v>1</v>
      </c>
      <c r="AC633" s="316">
        <v>0</v>
      </c>
      <c r="AD633" s="316">
        <v>1</v>
      </c>
      <c r="AE633" s="302">
        <f t="shared" si="65"/>
        <v>0.875</v>
      </c>
      <c r="AF633" s="186"/>
      <c r="AG633" s="17">
        <v>0</v>
      </c>
      <c r="AH633" s="186" t="s">
        <v>271</v>
      </c>
      <c r="AI633" s="186">
        <v>0</v>
      </c>
      <c r="AJ633" s="186">
        <v>69.099999999999994</v>
      </c>
      <c r="AK633" s="187">
        <v>54.1</v>
      </c>
      <c r="AL633" s="187">
        <v>64.099999999999994</v>
      </c>
      <c r="AM633" s="17">
        <f t="shared" si="66"/>
        <v>118.19999999999999</v>
      </c>
      <c r="AN633" s="184" t="s">
        <v>2520</v>
      </c>
      <c r="AO633" s="168" t="s">
        <v>2510</v>
      </c>
      <c r="AP633" s="184" t="s">
        <v>63</v>
      </c>
    </row>
    <row r="634" spans="1:42" s="184" customFormat="1" x14ac:dyDescent="0.3">
      <c r="A634" s="183" t="s">
        <v>1453</v>
      </c>
      <c r="B634" s="184" t="s">
        <v>2496</v>
      </c>
      <c r="C634" s="183" t="s">
        <v>2498</v>
      </c>
      <c r="D634" s="184" t="s">
        <v>2499</v>
      </c>
      <c r="E634" s="183" t="s">
        <v>2500</v>
      </c>
      <c r="F634" s="184" t="s">
        <v>2501</v>
      </c>
      <c r="G634" s="183" t="s">
        <v>2576</v>
      </c>
      <c r="H634" s="184" t="s">
        <v>2577</v>
      </c>
      <c r="J634" s="188"/>
      <c r="K634" s="183" t="s">
        <v>2578</v>
      </c>
      <c r="L634" s="184" t="s">
        <v>2579</v>
      </c>
      <c r="M634" s="184" t="s">
        <v>2593</v>
      </c>
      <c r="N634" s="189"/>
      <c r="O634" s="189" t="s">
        <v>271</v>
      </c>
      <c r="P634" s="189" t="s">
        <v>271</v>
      </c>
      <c r="Q634" s="189">
        <v>35</v>
      </c>
      <c r="R634" s="189">
        <v>67</v>
      </c>
      <c r="S634" s="189"/>
      <c r="T634" s="184" t="s">
        <v>2518</v>
      </c>
      <c r="U634" s="283" t="e">
        <v>#N/A</v>
      </c>
      <c r="V634" s="184" t="s">
        <v>2594</v>
      </c>
      <c r="W634" s="184">
        <v>1</v>
      </c>
      <c r="X634" s="184">
        <v>1</v>
      </c>
      <c r="Y634" s="184">
        <v>1</v>
      </c>
      <c r="Z634" s="184">
        <v>1</v>
      </c>
      <c r="AA634" s="184">
        <v>1</v>
      </c>
      <c r="AB634" s="184">
        <v>1</v>
      </c>
      <c r="AC634" s="316">
        <v>0</v>
      </c>
      <c r="AD634" s="316">
        <v>1</v>
      </c>
      <c r="AE634" s="302">
        <f t="shared" si="65"/>
        <v>0.875</v>
      </c>
      <c r="AF634" s="186"/>
      <c r="AG634" s="17">
        <v>0</v>
      </c>
      <c r="AH634" s="186" t="s">
        <v>271</v>
      </c>
      <c r="AI634" s="186" t="s">
        <v>271</v>
      </c>
      <c r="AJ634" s="186">
        <v>73</v>
      </c>
      <c r="AK634" s="187">
        <v>57.8</v>
      </c>
      <c r="AL634" s="187">
        <v>67.8</v>
      </c>
      <c r="AM634" s="17">
        <f t="shared" si="66"/>
        <v>125.6</v>
      </c>
      <c r="AN634" s="184" t="s">
        <v>2520</v>
      </c>
      <c r="AO634" s="168" t="s">
        <v>2510</v>
      </c>
      <c r="AP634" s="184" t="s">
        <v>63</v>
      </c>
    </row>
    <row r="635" spans="1:42" s="184" customFormat="1" x14ac:dyDescent="0.3">
      <c r="A635" s="183" t="s">
        <v>1453</v>
      </c>
      <c r="B635" s="184" t="s">
        <v>2496</v>
      </c>
      <c r="C635" s="183" t="s">
        <v>2498</v>
      </c>
      <c r="D635" s="184" t="s">
        <v>2499</v>
      </c>
      <c r="E635" s="183" t="s">
        <v>2500</v>
      </c>
      <c r="F635" s="184" t="s">
        <v>2501</v>
      </c>
      <c r="G635" s="183" t="s">
        <v>2576</v>
      </c>
      <c r="H635" s="184" t="s">
        <v>2577</v>
      </c>
      <c r="J635" s="188"/>
      <c r="K635" s="183" t="s">
        <v>2578</v>
      </c>
      <c r="L635" s="184" t="s">
        <v>2579</v>
      </c>
      <c r="M635" s="184" t="s">
        <v>2595</v>
      </c>
      <c r="N635" s="189"/>
      <c r="O635" s="189" t="s">
        <v>271</v>
      </c>
      <c r="P635" s="189" t="s">
        <v>271</v>
      </c>
      <c r="Q635" s="189" t="s">
        <v>271</v>
      </c>
      <c r="R635" s="189">
        <v>2</v>
      </c>
      <c r="S635" s="189">
        <v>10</v>
      </c>
      <c r="T635" s="184" t="s">
        <v>2518</v>
      </c>
      <c r="U635" s="283" t="e">
        <v>#N/A</v>
      </c>
      <c r="V635" s="184" t="s">
        <v>2596</v>
      </c>
      <c r="W635" s="184">
        <v>1</v>
      </c>
      <c r="X635" s="184">
        <v>1</v>
      </c>
      <c r="Y635" s="184">
        <v>1</v>
      </c>
      <c r="Z635" s="184">
        <v>1</v>
      </c>
      <c r="AA635" s="184">
        <v>1</v>
      </c>
      <c r="AB635" s="184">
        <v>1</v>
      </c>
      <c r="AC635" s="316">
        <v>0</v>
      </c>
      <c r="AD635" s="316">
        <v>1</v>
      </c>
      <c r="AE635" s="302">
        <f t="shared" si="65"/>
        <v>0.875</v>
      </c>
      <c r="AF635" s="186"/>
      <c r="AG635" s="17">
        <v>0</v>
      </c>
      <c r="AH635" s="186" t="s">
        <v>271</v>
      </c>
      <c r="AI635" s="186" t="s">
        <v>271</v>
      </c>
      <c r="AJ635" s="186" t="s">
        <v>271</v>
      </c>
      <c r="AK635" s="187">
        <v>3.7</v>
      </c>
      <c r="AL635" s="187">
        <v>41.7</v>
      </c>
      <c r="AM635" s="17">
        <f t="shared" si="66"/>
        <v>45.400000000000006</v>
      </c>
      <c r="AN635" s="184" t="s">
        <v>2520</v>
      </c>
      <c r="AO635" s="168" t="s">
        <v>2510</v>
      </c>
      <c r="AP635" s="184" t="s">
        <v>63</v>
      </c>
    </row>
    <row r="636" spans="1:42" s="184" customFormat="1" x14ac:dyDescent="0.3">
      <c r="A636" s="183" t="s">
        <v>1453</v>
      </c>
      <c r="B636" s="184" t="s">
        <v>2496</v>
      </c>
      <c r="C636" s="183" t="s">
        <v>2498</v>
      </c>
      <c r="D636" s="184" t="s">
        <v>2499</v>
      </c>
      <c r="E636" s="183" t="s">
        <v>2500</v>
      </c>
      <c r="F636" s="184" t="s">
        <v>2501</v>
      </c>
      <c r="G636" s="183" t="s">
        <v>2576</v>
      </c>
      <c r="H636" s="184" t="s">
        <v>2577</v>
      </c>
      <c r="J636" s="188"/>
      <c r="K636" s="183" t="s">
        <v>2578</v>
      </c>
      <c r="L636" s="184" t="s">
        <v>2579</v>
      </c>
      <c r="M636" s="184" t="s">
        <v>2597</v>
      </c>
      <c r="N636" s="189"/>
      <c r="O636" s="189" t="s">
        <v>271</v>
      </c>
      <c r="P636" s="189" t="s">
        <v>271</v>
      </c>
      <c r="Q636" s="189" t="s">
        <v>271</v>
      </c>
      <c r="R636" s="189">
        <v>2</v>
      </c>
      <c r="S636" s="189">
        <v>10</v>
      </c>
      <c r="T636" s="184" t="s">
        <v>2518</v>
      </c>
      <c r="U636" s="283" t="e">
        <v>#N/A</v>
      </c>
      <c r="V636" s="184" t="s">
        <v>2598</v>
      </c>
      <c r="W636" s="184">
        <v>1</v>
      </c>
      <c r="X636" s="184">
        <v>1</v>
      </c>
      <c r="Y636" s="184">
        <v>1</v>
      </c>
      <c r="Z636" s="184">
        <v>1</v>
      </c>
      <c r="AA636" s="184">
        <v>1</v>
      </c>
      <c r="AB636" s="184">
        <v>1</v>
      </c>
      <c r="AC636" s="316">
        <v>0</v>
      </c>
      <c r="AD636" s="316">
        <v>1</v>
      </c>
      <c r="AE636" s="302">
        <f t="shared" si="65"/>
        <v>0.875</v>
      </c>
      <c r="AF636" s="186"/>
      <c r="AG636" s="17">
        <v>0</v>
      </c>
      <c r="AH636" s="186" t="s">
        <v>271</v>
      </c>
      <c r="AI636" s="186" t="s">
        <v>271</v>
      </c>
      <c r="AJ636" s="186" t="s">
        <v>271</v>
      </c>
      <c r="AK636" s="187">
        <v>3.8</v>
      </c>
      <c r="AL636" s="187">
        <v>41.7</v>
      </c>
      <c r="AM636" s="17">
        <f t="shared" si="66"/>
        <v>45.5</v>
      </c>
      <c r="AN636" s="184" t="s">
        <v>2520</v>
      </c>
      <c r="AO636" s="168" t="s">
        <v>2510</v>
      </c>
      <c r="AP636" s="184" t="s">
        <v>63</v>
      </c>
    </row>
    <row r="637" spans="1:42" s="184" customFormat="1" x14ac:dyDescent="0.3">
      <c r="A637" s="183" t="s">
        <v>1453</v>
      </c>
      <c r="B637" s="184" t="s">
        <v>2496</v>
      </c>
      <c r="C637" s="183" t="s">
        <v>2498</v>
      </c>
      <c r="D637" s="184" t="s">
        <v>2499</v>
      </c>
      <c r="E637" s="183" t="s">
        <v>2500</v>
      </c>
      <c r="F637" s="184" t="s">
        <v>2501</v>
      </c>
      <c r="G637" s="183" t="s">
        <v>2576</v>
      </c>
      <c r="H637" s="184" t="s">
        <v>2577</v>
      </c>
      <c r="J637" s="188"/>
      <c r="K637" s="183" t="s">
        <v>2578</v>
      </c>
      <c r="L637" s="184" t="s">
        <v>2579</v>
      </c>
      <c r="M637" s="184" t="s">
        <v>2599</v>
      </c>
      <c r="N637" s="192"/>
      <c r="O637" s="192" t="s">
        <v>271</v>
      </c>
      <c r="P637" s="192">
        <v>2</v>
      </c>
      <c r="Q637" s="192">
        <v>37</v>
      </c>
      <c r="R637" s="192">
        <v>69</v>
      </c>
      <c r="S637" s="192">
        <v>100</v>
      </c>
      <c r="T637" s="184" t="s">
        <v>2518</v>
      </c>
      <c r="U637" s="283" t="e">
        <v>#N/A</v>
      </c>
      <c r="V637" s="184" t="s">
        <v>2600</v>
      </c>
      <c r="W637" s="184">
        <v>1</v>
      </c>
      <c r="X637" s="184">
        <v>1</v>
      </c>
      <c r="Y637" s="184">
        <v>1</v>
      </c>
      <c r="Z637" s="184">
        <v>1</v>
      </c>
      <c r="AA637" s="184">
        <v>1</v>
      </c>
      <c r="AB637" s="184">
        <v>1</v>
      </c>
      <c r="AC637" s="316">
        <v>0</v>
      </c>
      <c r="AD637" s="316">
        <v>1</v>
      </c>
      <c r="AE637" s="302">
        <f t="shared" si="65"/>
        <v>0.875</v>
      </c>
      <c r="AF637" s="186"/>
      <c r="AG637" s="17">
        <v>0</v>
      </c>
      <c r="AH637" s="186" t="s">
        <v>271</v>
      </c>
      <c r="AI637" s="186">
        <v>0</v>
      </c>
      <c r="AJ637" s="186">
        <v>57.3</v>
      </c>
      <c r="AK637" s="187">
        <v>41.4</v>
      </c>
      <c r="AL637" s="187">
        <v>51.4</v>
      </c>
      <c r="AM637" s="17">
        <f t="shared" si="66"/>
        <v>92.8</v>
      </c>
      <c r="AN637" s="184" t="s">
        <v>2520</v>
      </c>
      <c r="AO637" s="168" t="s">
        <v>2510</v>
      </c>
      <c r="AP637" s="184" t="s">
        <v>63</v>
      </c>
    </row>
    <row r="638" spans="1:42" s="184" customFormat="1" x14ac:dyDescent="0.3">
      <c r="A638" s="183" t="s">
        <v>1453</v>
      </c>
      <c r="B638" s="184" t="s">
        <v>2496</v>
      </c>
      <c r="C638" s="183" t="s">
        <v>2498</v>
      </c>
      <c r="D638" s="184" t="s">
        <v>2499</v>
      </c>
      <c r="E638" s="183" t="s">
        <v>2500</v>
      </c>
      <c r="F638" s="184" t="s">
        <v>2501</v>
      </c>
      <c r="G638" s="183" t="s">
        <v>2576</v>
      </c>
      <c r="H638" s="184" t="s">
        <v>2577</v>
      </c>
      <c r="J638" s="188"/>
      <c r="K638" s="183" t="s">
        <v>2578</v>
      </c>
      <c r="L638" s="184" t="s">
        <v>2579</v>
      </c>
      <c r="M638" s="184" t="s">
        <v>2601</v>
      </c>
      <c r="N638" s="192"/>
      <c r="O638" s="192" t="s">
        <v>271</v>
      </c>
      <c r="P638" s="192">
        <v>1</v>
      </c>
      <c r="Q638" s="192" t="s">
        <v>271</v>
      </c>
      <c r="R638" s="192" t="s">
        <v>271</v>
      </c>
      <c r="S638" s="192" t="s">
        <v>271</v>
      </c>
      <c r="T638" s="184" t="s">
        <v>2518</v>
      </c>
      <c r="U638" s="283" t="e">
        <v>#N/A</v>
      </c>
      <c r="V638" s="184" t="s">
        <v>2602</v>
      </c>
      <c r="W638" s="184">
        <v>1</v>
      </c>
      <c r="X638" s="184">
        <v>1</v>
      </c>
      <c r="Y638" s="184">
        <v>1</v>
      </c>
      <c r="Z638" s="184">
        <v>1</v>
      </c>
      <c r="AA638" s="184">
        <v>1</v>
      </c>
      <c r="AB638" s="184">
        <v>1</v>
      </c>
      <c r="AC638" s="316">
        <v>0</v>
      </c>
      <c r="AD638" s="316">
        <v>0</v>
      </c>
      <c r="AE638" s="302">
        <f t="shared" si="65"/>
        <v>0.75</v>
      </c>
      <c r="AF638" s="186"/>
      <c r="AG638" s="17">
        <v>0</v>
      </c>
      <c r="AH638" s="186" t="s">
        <v>271</v>
      </c>
      <c r="AI638" s="186" t="s">
        <v>271</v>
      </c>
      <c r="AJ638" s="186" t="s">
        <v>271</v>
      </c>
      <c r="AK638" s="187" t="s">
        <v>271</v>
      </c>
      <c r="AL638" s="187">
        <v>150</v>
      </c>
      <c r="AM638" s="17">
        <f t="shared" si="66"/>
        <v>150</v>
      </c>
      <c r="AN638" s="184" t="s">
        <v>2520</v>
      </c>
      <c r="AO638" s="168" t="s">
        <v>2510</v>
      </c>
      <c r="AP638" s="184" t="s">
        <v>2518</v>
      </c>
    </row>
    <row r="639" spans="1:42" s="184" customFormat="1" x14ac:dyDescent="0.3">
      <c r="A639" s="183" t="s">
        <v>1453</v>
      </c>
      <c r="B639" s="184" t="s">
        <v>2496</v>
      </c>
      <c r="C639" s="183" t="s">
        <v>2498</v>
      </c>
      <c r="D639" s="184" t="s">
        <v>2499</v>
      </c>
      <c r="E639" s="183" t="s">
        <v>2500</v>
      </c>
      <c r="F639" s="184" t="s">
        <v>2501</v>
      </c>
      <c r="G639" s="183" t="s">
        <v>2576</v>
      </c>
      <c r="H639" s="184" t="s">
        <v>2577</v>
      </c>
      <c r="J639" s="188"/>
      <c r="K639" s="183" t="s">
        <v>2578</v>
      </c>
      <c r="L639" s="184" t="s">
        <v>2579</v>
      </c>
      <c r="M639" s="184" t="s">
        <v>2603</v>
      </c>
      <c r="N639" s="192"/>
      <c r="O639" s="192">
        <v>1</v>
      </c>
      <c r="P639" s="192">
        <v>1</v>
      </c>
      <c r="Q639" s="192">
        <v>1</v>
      </c>
      <c r="R639" s="192">
        <v>1</v>
      </c>
      <c r="S639" s="192">
        <v>1</v>
      </c>
      <c r="T639" s="184" t="s">
        <v>63</v>
      </c>
      <c r="U639" s="283" t="s">
        <v>2510</v>
      </c>
      <c r="V639" s="184" t="s">
        <v>2604</v>
      </c>
      <c r="W639" s="184">
        <v>1</v>
      </c>
      <c r="X639" s="184">
        <v>1</v>
      </c>
      <c r="Y639" s="184">
        <v>1</v>
      </c>
      <c r="Z639" s="184">
        <v>1</v>
      </c>
      <c r="AA639" s="184">
        <v>1</v>
      </c>
      <c r="AB639" s="184">
        <v>1</v>
      </c>
      <c r="AC639" s="316">
        <v>0</v>
      </c>
      <c r="AD639" s="316">
        <v>1</v>
      </c>
      <c r="AE639" s="302">
        <f t="shared" si="65"/>
        <v>0.875</v>
      </c>
      <c r="AF639" s="186"/>
      <c r="AG639" s="17">
        <v>0</v>
      </c>
      <c r="AH639" s="186">
        <v>25</v>
      </c>
      <c r="AI639" s="186">
        <v>25</v>
      </c>
      <c r="AJ639" s="186">
        <v>25</v>
      </c>
      <c r="AK639" s="187">
        <v>40</v>
      </c>
      <c r="AL639" s="187">
        <v>75</v>
      </c>
      <c r="AM639" s="17">
        <f t="shared" si="66"/>
        <v>115</v>
      </c>
      <c r="AN639" s="184" t="s">
        <v>63</v>
      </c>
      <c r="AO639" s="168" t="s">
        <v>2510</v>
      </c>
      <c r="AP639" s="184" t="s">
        <v>119</v>
      </c>
    </row>
    <row r="640" spans="1:42" s="184" customFormat="1" x14ac:dyDescent="0.3">
      <c r="A640" s="183" t="s">
        <v>1453</v>
      </c>
      <c r="B640" s="184" t="s">
        <v>2496</v>
      </c>
      <c r="C640" s="183" t="s">
        <v>2498</v>
      </c>
      <c r="D640" s="184" t="s">
        <v>2499</v>
      </c>
      <c r="E640" s="183" t="s">
        <v>2500</v>
      </c>
      <c r="F640" s="184" t="s">
        <v>2501</v>
      </c>
      <c r="G640" s="183" t="s">
        <v>2576</v>
      </c>
      <c r="H640" s="184" t="s">
        <v>2577</v>
      </c>
      <c r="J640" s="188"/>
      <c r="K640" s="183" t="s">
        <v>2578</v>
      </c>
      <c r="L640" s="184" t="s">
        <v>2579</v>
      </c>
      <c r="M640" s="184" t="s">
        <v>2605</v>
      </c>
      <c r="N640" s="192">
        <v>0</v>
      </c>
      <c r="O640" s="192" t="s">
        <v>271</v>
      </c>
      <c r="P640" s="192">
        <v>28</v>
      </c>
      <c r="Q640" s="192">
        <v>78</v>
      </c>
      <c r="R640" s="192">
        <v>93</v>
      </c>
      <c r="S640" s="192">
        <v>93</v>
      </c>
      <c r="T640" s="184" t="s">
        <v>2507</v>
      </c>
      <c r="U640" s="283" t="e">
        <v>#N/A</v>
      </c>
      <c r="V640" s="184" t="s">
        <v>2606</v>
      </c>
      <c r="W640" s="184">
        <v>1</v>
      </c>
      <c r="X640" s="184">
        <v>1</v>
      </c>
      <c r="Y640" s="184">
        <v>1</v>
      </c>
      <c r="Z640" s="184">
        <v>1</v>
      </c>
      <c r="AA640" s="184">
        <v>1</v>
      </c>
      <c r="AB640" s="184">
        <v>1</v>
      </c>
      <c r="AC640" s="316">
        <v>1</v>
      </c>
      <c r="AD640" s="316">
        <v>1</v>
      </c>
      <c r="AE640" s="302">
        <f t="shared" si="65"/>
        <v>1</v>
      </c>
      <c r="AF640" s="186"/>
      <c r="AG640" s="17">
        <v>0</v>
      </c>
      <c r="AH640" s="186">
        <v>200</v>
      </c>
      <c r="AI640" s="186">
        <v>39</v>
      </c>
      <c r="AJ640" s="186">
        <v>452</v>
      </c>
      <c r="AK640" s="187"/>
      <c r="AL640" s="187"/>
      <c r="AM640" s="17">
        <f t="shared" si="66"/>
        <v>0</v>
      </c>
      <c r="AN640" s="184" t="s">
        <v>2509</v>
      </c>
      <c r="AO640" s="168" t="s">
        <v>2510</v>
      </c>
      <c r="AP640" s="184" t="s">
        <v>63</v>
      </c>
    </row>
    <row r="641" spans="1:42" s="184" customFormat="1" x14ac:dyDescent="0.3">
      <c r="A641" s="183" t="s">
        <v>1453</v>
      </c>
      <c r="B641" s="184" t="s">
        <v>2496</v>
      </c>
      <c r="C641" s="183" t="s">
        <v>2498</v>
      </c>
      <c r="D641" s="184" t="s">
        <v>2499</v>
      </c>
      <c r="E641" s="183" t="s">
        <v>2500</v>
      </c>
      <c r="F641" s="184" t="s">
        <v>2501</v>
      </c>
      <c r="G641" s="183" t="s">
        <v>2576</v>
      </c>
      <c r="H641" s="184" t="s">
        <v>2577</v>
      </c>
      <c r="J641" s="188"/>
      <c r="K641" s="183" t="s">
        <v>2578</v>
      </c>
      <c r="L641" s="184" t="s">
        <v>2579</v>
      </c>
      <c r="M641" s="184" t="s">
        <v>2607</v>
      </c>
      <c r="N641" s="189" t="s">
        <v>271</v>
      </c>
      <c r="O641" s="189">
        <v>1700</v>
      </c>
      <c r="P641" s="189">
        <v>3200</v>
      </c>
      <c r="Q641" s="189" t="s">
        <v>271</v>
      </c>
      <c r="R641" s="189" t="s">
        <v>271</v>
      </c>
      <c r="S641" s="189" t="s">
        <v>271</v>
      </c>
      <c r="T641" s="184" t="s">
        <v>63</v>
      </c>
      <c r="U641" s="283" t="s">
        <v>2510</v>
      </c>
      <c r="V641" s="184" t="s">
        <v>2608</v>
      </c>
      <c r="W641" s="184">
        <v>1</v>
      </c>
      <c r="X641" s="184">
        <v>1</v>
      </c>
      <c r="Y641" s="184">
        <v>1</v>
      </c>
      <c r="Z641" s="184">
        <v>1</v>
      </c>
      <c r="AA641" s="184">
        <v>1</v>
      </c>
      <c r="AB641" s="184">
        <v>1</v>
      </c>
      <c r="AC641" s="316">
        <v>1</v>
      </c>
      <c r="AD641" s="316">
        <v>1</v>
      </c>
      <c r="AE641" s="302">
        <f t="shared" si="65"/>
        <v>1</v>
      </c>
      <c r="AF641" s="186"/>
      <c r="AG641" s="17">
        <v>0</v>
      </c>
      <c r="AH641" s="186">
        <v>10</v>
      </c>
      <c r="AI641" s="186">
        <v>0</v>
      </c>
      <c r="AJ641" s="186" t="s">
        <v>2526</v>
      </c>
      <c r="AK641" s="187" t="s">
        <v>2526</v>
      </c>
      <c r="AL641" s="187" t="s">
        <v>2526</v>
      </c>
      <c r="AM641" s="17">
        <f t="shared" si="66"/>
        <v>0</v>
      </c>
      <c r="AN641" s="184" t="s">
        <v>63</v>
      </c>
      <c r="AO641" s="168" t="s">
        <v>2510</v>
      </c>
      <c r="AP641" s="184" t="s">
        <v>570</v>
      </c>
    </row>
    <row r="642" spans="1:42" s="184" customFormat="1" x14ac:dyDescent="0.3">
      <c r="A642" s="183" t="s">
        <v>1453</v>
      </c>
      <c r="B642" s="184" t="s">
        <v>2496</v>
      </c>
      <c r="C642" s="183" t="s">
        <v>2498</v>
      </c>
      <c r="D642" s="184" t="s">
        <v>2499</v>
      </c>
      <c r="E642" s="183" t="s">
        <v>2500</v>
      </c>
      <c r="F642" s="184" t="s">
        <v>2501</v>
      </c>
      <c r="G642" s="183" t="s">
        <v>2576</v>
      </c>
      <c r="H642" s="184" t="s">
        <v>2577</v>
      </c>
      <c r="J642" s="188"/>
      <c r="K642" s="183" t="s">
        <v>2578</v>
      </c>
      <c r="L642" s="184" t="s">
        <v>2579</v>
      </c>
      <c r="M642" s="184" t="s">
        <v>2609</v>
      </c>
      <c r="N642" s="189" t="s">
        <v>271</v>
      </c>
      <c r="O642" s="189">
        <v>20</v>
      </c>
      <c r="P642" s="189">
        <v>100</v>
      </c>
      <c r="Q642" s="189">
        <v>177.5</v>
      </c>
      <c r="R642" s="189">
        <v>177.5</v>
      </c>
      <c r="S642" s="189">
        <v>0</v>
      </c>
      <c r="T642" s="184" t="s">
        <v>63</v>
      </c>
      <c r="U642" s="283" t="s">
        <v>2510</v>
      </c>
      <c r="V642" s="184" t="s">
        <v>2610</v>
      </c>
      <c r="W642" s="184">
        <v>1</v>
      </c>
      <c r="X642" s="184">
        <v>1</v>
      </c>
      <c r="Y642" s="184">
        <v>1</v>
      </c>
      <c r="Z642" s="184">
        <v>1</v>
      </c>
      <c r="AA642" s="184">
        <v>1</v>
      </c>
      <c r="AB642" s="184">
        <v>1</v>
      </c>
      <c r="AC642" s="316">
        <v>1</v>
      </c>
      <c r="AD642" s="316">
        <v>1</v>
      </c>
      <c r="AE642" s="302">
        <f t="shared" si="65"/>
        <v>1</v>
      </c>
      <c r="AF642" s="186"/>
      <c r="AG642" s="17">
        <v>0</v>
      </c>
      <c r="AH642" s="186">
        <v>24</v>
      </c>
      <c r="AI642" s="186">
        <v>46</v>
      </c>
      <c r="AJ642" s="186">
        <v>46</v>
      </c>
      <c r="AK642" s="187"/>
      <c r="AL642" s="187">
        <v>0</v>
      </c>
      <c r="AM642" s="17">
        <f t="shared" si="66"/>
        <v>0</v>
      </c>
      <c r="AN642" s="184" t="s">
        <v>63</v>
      </c>
      <c r="AO642" s="168" t="s">
        <v>2510</v>
      </c>
      <c r="AP642" s="184" t="s">
        <v>2507</v>
      </c>
    </row>
    <row r="643" spans="1:42" s="184" customFormat="1" x14ac:dyDescent="0.3">
      <c r="A643" s="183" t="s">
        <v>1453</v>
      </c>
      <c r="B643" s="184" t="s">
        <v>2496</v>
      </c>
      <c r="C643" s="183" t="s">
        <v>2498</v>
      </c>
      <c r="D643" s="184" t="s">
        <v>2499</v>
      </c>
      <c r="E643" s="183" t="s">
        <v>2500</v>
      </c>
      <c r="F643" s="184" t="s">
        <v>2501</v>
      </c>
      <c r="G643" s="183" t="s">
        <v>2576</v>
      </c>
      <c r="H643" s="184" t="s">
        <v>2577</v>
      </c>
      <c r="J643" s="188"/>
      <c r="K643" s="183" t="s">
        <v>2578</v>
      </c>
      <c r="L643" s="184" t="s">
        <v>2579</v>
      </c>
      <c r="M643" s="184" t="s">
        <v>2611</v>
      </c>
      <c r="N643" s="189" t="s">
        <v>271</v>
      </c>
      <c r="O643" s="189">
        <v>0</v>
      </c>
      <c r="P643" s="189">
        <v>0</v>
      </c>
      <c r="Q643" s="189">
        <v>60</v>
      </c>
      <c r="R643" s="189">
        <v>60</v>
      </c>
      <c r="S643" s="189">
        <v>40</v>
      </c>
      <c r="T643" s="184" t="s">
        <v>63</v>
      </c>
      <c r="U643" s="283" t="s">
        <v>2510</v>
      </c>
      <c r="V643" s="184" t="s">
        <v>2612</v>
      </c>
      <c r="W643" s="184">
        <v>1</v>
      </c>
      <c r="X643" s="184">
        <v>1</v>
      </c>
      <c r="Y643" s="184">
        <v>1</v>
      </c>
      <c r="Z643" s="184">
        <v>0</v>
      </c>
      <c r="AA643" s="184">
        <v>0</v>
      </c>
      <c r="AB643" s="184">
        <v>1</v>
      </c>
      <c r="AC643" s="316">
        <v>1</v>
      </c>
      <c r="AD643" s="316">
        <v>1</v>
      </c>
      <c r="AE643" s="302">
        <f t="shared" si="65"/>
        <v>0.75</v>
      </c>
      <c r="AF643" s="186"/>
      <c r="AG643" s="17">
        <v>0</v>
      </c>
      <c r="AH643" s="186">
        <v>0</v>
      </c>
      <c r="AI643" s="186">
        <v>0</v>
      </c>
      <c r="AJ643" s="186">
        <v>35</v>
      </c>
      <c r="AK643" s="187">
        <v>10</v>
      </c>
      <c r="AL643" s="187">
        <v>35</v>
      </c>
      <c r="AM643" s="17">
        <f t="shared" si="66"/>
        <v>45</v>
      </c>
      <c r="AN643" s="184" t="s">
        <v>63</v>
      </c>
      <c r="AO643" s="168" t="s">
        <v>2510</v>
      </c>
      <c r="AP643" s="184" t="s">
        <v>2507</v>
      </c>
    </row>
    <row r="644" spans="1:42" s="184" customFormat="1" x14ac:dyDescent="0.3">
      <c r="A644" s="183" t="s">
        <v>1453</v>
      </c>
      <c r="B644" s="184" t="s">
        <v>2496</v>
      </c>
      <c r="C644" s="183" t="s">
        <v>2498</v>
      </c>
      <c r="D644" s="184" t="s">
        <v>2499</v>
      </c>
      <c r="E644" s="183" t="s">
        <v>2500</v>
      </c>
      <c r="F644" s="184" t="s">
        <v>2501</v>
      </c>
      <c r="G644" s="183" t="s">
        <v>2576</v>
      </c>
      <c r="H644" s="184" t="s">
        <v>2577</v>
      </c>
      <c r="J644" s="188"/>
      <c r="K644" s="183" t="s">
        <v>2578</v>
      </c>
      <c r="L644" s="184" t="s">
        <v>2579</v>
      </c>
      <c r="M644" s="184" t="s">
        <v>2613</v>
      </c>
      <c r="N644" s="189" t="s">
        <v>271</v>
      </c>
      <c r="O644" s="189">
        <v>20</v>
      </c>
      <c r="P644" s="189">
        <v>100</v>
      </c>
      <c r="Q644" s="189">
        <v>177.5</v>
      </c>
      <c r="R644" s="189">
        <v>177.5</v>
      </c>
      <c r="S644" s="189" t="s">
        <v>271</v>
      </c>
      <c r="T644" s="184" t="s">
        <v>63</v>
      </c>
      <c r="U644" s="283" t="s">
        <v>2510</v>
      </c>
      <c r="V644" s="184" t="s">
        <v>2614</v>
      </c>
      <c r="W644" s="184">
        <v>1</v>
      </c>
      <c r="X644" s="184">
        <v>1</v>
      </c>
      <c r="Y644" s="184">
        <v>1</v>
      </c>
      <c r="Z644" s="184">
        <v>1</v>
      </c>
      <c r="AA644" s="184">
        <v>1</v>
      </c>
      <c r="AB644" s="184">
        <v>1</v>
      </c>
      <c r="AC644" s="316">
        <v>1</v>
      </c>
      <c r="AD644" s="316">
        <v>1</v>
      </c>
      <c r="AE644" s="302">
        <f t="shared" si="65"/>
        <v>1</v>
      </c>
      <c r="AF644" s="186"/>
      <c r="AG644" s="17">
        <v>0</v>
      </c>
      <c r="AH644" s="186">
        <v>0</v>
      </c>
      <c r="AI644" s="186">
        <v>1</v>
      </c>
      <c r="AJ644" s="186">
        <v>2</v>
      </c>
      <c r="AK644" s="187"/>
      <c r="AL644" s="187" t="s">
        <v>271</v>
      </c>
      <c r="AM644" s="17">
        <f t="shared" si="66"/>
        <v>0</v>
      </c>
      <c r="AN644" s="184" t="s">
        <v>63</v>
      </c>
      <c r="AO644" s="168" t="s">
        <v>2510</v>
      </c>
      <c r="AP644" s="184" t="s">
        <v>2507</v>
      </c>
    </row>
    <row r="645" spans="1:42" s="184" customFormat="1" x14ac:dyDescent="0.3">
      <c r="A645" s="183" t="s">
        <v>1453</v>
      </c>
      <c r="B645" s="184" t="s">
        <v>2496</v>
      </c>
      <c r="C645" s="183" t="s">
        <v>2498</v>
      </c>
      <c r="D645" s="184" t="s">
        <v>2499</v>
      </c>
      <c r="E645" s="183" t="s">
        <v>2500</v>
      </c>
      <c r="F645" s="184" t="s">
        <v>2501</v>
      </c>
      <c r="G645" s="183" t="s">
        <v>2576</v>
      </c>
      <c r="H645" s="184" t="s">
        <v>2577</v>
      </c>
      <c r="J645" s="188"/>
      <c r="K645" s="183" t="s">
        <v>2578</v>
      </c>
      <c r="L645" s="184" t="s">
        <v>2579</v>
      </c>
      <c r="M645" s="184" t="s">
        <v>2615</v>
      </c>
      <c r="N645" s="189" t="s">
        <v>271</v>
      </c>
      <c r="O645" s="189">
        <v>0</v>
      </c>
      <c r="P645" s="189">
        <v>0</v>
      </c>
      <c r="Q645" s="189">
        <v>110</v>
      </c>
      <c r="R645" s="189">
        <v>110</v>
      </c>
      <c r="S645" s="189">
        <v>110</v>
      </c>
      <c r="T645" s="184" t="s">
        <v>2507</v>
      </c>
      <c r="U645" s="283" t="e">
        <v>#N/A</v>
      </c>
      <c r="V645" s="184" t="s">
        <v>2616</v>
      </c>
      <c r="W645" s="184">
        <v>1</v>
      </c>
      <c r="X645" s="184">
        <v>1</v>
      </c>
      <c r="Y645" s="184">
        <v>1</v>
      </c>
      <c r="Z645" s="184">
        <v>0</v>
      </c>
      <c r="AA645" s="184">
        <v>0</v>
      </c>
      <c r="AB645" s="184">
        <v>1</v>
      </c>
      <c r="AC645" s="316">
        <v>1</v>
      </c>
      <c r="AD645" s="316">
        <v>1</v>
      </c>
      <c r="AE645" s="302">
        <f t="shared" si="65"/>
        <v>0.75</v>
      </c>
      <c r="AF645" s="186"/>
      <c r="AG645" s="17">
        <v>0</v>
      </c>
      <c r="AH645" s="186">
        <v>0</v>
      </c>
      <c r="AI645" s="186">
        <v>0</v>
      </c>
      <c r="AJ645" s="186">
        <v>0</v>
      </c>
      <c r="AK645" s="187">
        <v>0</v>
      </c>
      <c r="AL645" s="187">
        <v>0</v>
      </c>
      <c r="AM645" s="17">
        <f t="shared" si="66"/>
        <v>0</v>
      </c>
      <c r="AN645" s="184" t="s">
        <v>2509</v>
      </c>
      <c r="AO645" s="168" t="s">
        <v>2510</v>
      </c>
      <c r="AP645" s="184" t="s">
        <v>63</v>
      </c>
    </row>
    <row r="646" spans="1:42" s="184" customFormat="1" hidden="1" x14ac:dyDescent="0.3">
      <c r="A646" s="183" t="s">
        <v>1453</v>
      </c>
      <c r="B646" s="184" t="s">
        <v>2496</v>
      </c>
      <c r="C646" s="183" t="s">
        <v>2498</v>
      </c>
      <c r="D646" s="184" t="s">
        <v>2499</v>
      </c>
      <c r="E646" s="183" t="s">
        <v>2500</v>
      </c>
      <c r="F646" s="184" t="s">
        <v>2501</v>
      </c>
      <c r="G646" s="183" t="s">
        <v>2576</v>
      </c>
      <c r="H646" s="184" t="s">
        <v>2577</v>
      </c>
      <c r="J646" s="188"/>
      <c r="K646" s="183" t="s">
        <v>2578</v>
      </c>
      <c r="L646" s="184" t="s">
        <v>2579</v>
      </c>
      <c r="M646" s="184" t="s">
        <v>2617</v>
      </c>
      <c r="N646" s="189" t="s">
        <v>271</v>
      </c>
      <c r="O646" s="189">
        <v>1100</v>
      </c>
      <c r="P646" s="189" t="s">
        <v>271</v>
      </c>
      <c r="Q646" s="189" t="s">
        <v>271</v>
      </c>
      <c r="R646" s="189" t="s">
        <v>271</v>
      </c>
      <c r="S646" s="189" t="s">
        <v>271</v>
      </c>
      <c r="T646" s="184" t="s">
        <v>63</v>
      </c>
      <c r="U646" s="283" t="s">
        <v>2510</v>
      </c>
      <c r="V646" s="184" t="s">
        <v>2618</v>
      </c>
      <c r="W646" s="184">
        <v>0</v>
      </c>
      <c r="X646" s="184">
        <v>0</v>
      </c>
      <c r="Y646" s="184">
        <v>0</v>
      </c>
      <c r="Z646" s="184">
        <v>0</v>
      </c>
      <c r="AA646" s="184">
        <v>0</v>
      </c>
      <c r="AB646" s="184">
        <v>0</v>
      </c>
      <c r="AC646" s="316">
        <v>0</v>
      </c>
      <c r="AD646" s="316">
        <v>0</v>
      </c>
      <c r="AE646" s="302">
        <f t="shared" si="65"/>
        <v>0</v>
      </c>
      <c r="AF646" s="186"/>
      <c r="AG646" s="17">
        <v>0</v>
      </c>
      <c r="AH646" s="186">
        <v>29.2</v>
      </c>
      <c r="AI646" s="186" t="s">
        <v>2526</v>
      </c>
      <c r="AJ646" s="186" t="s">
        <v>2526</v>
      </c>
      <c r="AK646" s="187" t="s">
        <v>2526</v>
      </c>
      <c r="AL646" s="187" t="s">
        <v>2526</v>
      </c>
      <c r="AM646" s="17">
        <f t="shared" si="66"/>
        <v>0</v>
      </c>
      <c r="AN646" s="184" t="s">
        <v>63</v>
      </c>
      <c r="AO646" s="168" t="s">
        <v>2510</v>
      </c>
      <c r="AP646" s="184" t="s">
        <v>570</v>
      </c>
    </row>
    <row r="647" spans="1:42" s="184" customFormat="1" x14ac:dyDescent="0.3">
      <c r="A647" s="183" t="s">
        <v>1453</v>
      </c>
      <c r="B647" s="184" t="s">
        <v>2496</v>
      </c>
      <c r="C647" s="183" t="s">
        <v>2498</v>
      </c>
      <c r="D647" s="184" t="s">
        <v>2499</v>
      </c>
      <c r="E647" s="183" t="s">
        <v>2500</v>
      </c>
      <c r="F647" s="184" t="s">
        <v>2501</v>
      </c>
      <c r="G647" s="183" t="s">
        <v>2576</v>
      </c>
      <c r="H647" s="184" t="s">
        <v>2577</v>
      </c>
      <c r="J647" s="188"/>
      <c r="K647" s="183" t="s">
        <v>2578</v>
      </c>
      <c r="L647" s="184" t="s">
        <v>2579</v>
      </c>
      <c r="M647" s="184" t="s">
        <v>2619</v>
      </c>
      <c r="N647" s="189" t="s">
        <v>271</v>
      </c>
      <c r="O647" s="189">
        <v>0.05</v>
      </c>
      <c r="P647" s="189">
        <v>0.75</v>
      </c>
      <c r="Q647" s="189">
        <v>0.2</v>
      </c>
      <c r="R647" s="189" t="s">
        <v>271</v>
      </c>
      <c r="S647" s="189" t="s">
        <v>271</v>
      </c>
      <c r="T647" s="184" t="s">
        <v>63</v>
      </c>
      <c r="U647" s="283" t="s">
        <v>2510</v>
      </c>
      <c r="V647" s="184" t="s">
        <v>2620</v>
      </c>
      <c r="W647" s="184">
        <v>1</v>
      </c>
      <c r="X647" s="184">
        <v>1</v>
      </c>
      <c r="Y647" s="184">
        <v>1</v>
      </c>
      <c r="Z647" s="184">
        <v>0</v>
      </c>
      <c r="AA647" s="184">
        <v>1</v>
      </c>
      <c r="AB647" s="184">
        <v>1</v>
      </c>
      <c r="AC647" s="316">
        <v>1</v>
      </c>
      <c r="AD647" s="316">
        <v>1</v>
      </c>
      <c r="AE647" s="302">
        <f t="shared" si="65"/>
        <v>0.875</v>
      </c>
      <c r="AF647" s="186"/>
      <c r="AG647" s="17">
        <v>0</v>
      </c>
      <c r="AH647" s="186">
        <v>0</v>
      </c>
      <c r="AI647" s="186">
        <v>0</v>
      </c>
      <c r="AJ647" s="186">
        <v>0</v>
      </c>
      <c r="AK647" s="187">
        <v>0</v>
      </c>
      <c r="AL647" s="187">
        <v>0</v>
      </c>
      <c r="AM647" s="17">
        <f t="shared" si="66"/>
        <v>0</v>
      </c>
      <c r="AN647" s="184" t="s">
        <v>63</v>
      </c>
      <c r="AO647" s="168" t="s">
        <v>2510</v>
      </c>
      <c r="AP647" s="184" t="s">
        <v>119</v>
      </c>
    </row>
    <row r="648" spans="1:42" s="184" customFormat="1" hidden="1" x14ac:dyDescent="0.3">
      <c r="A648" s="183" t="s">
        <v>1453</v>
      </c>
      <c r="B648" s="184" t="s">
        <v>2496</v>
      </c>
      <c r="C648" s="183" t="s">
        <v>2498</v>
      </c>
      <c r="D648" s="184" t="s">
        <v>2499</v>
      </c>
      <c r="E648" s="183" t="s">
        <v>2500</v>
      </c>
      <c r="F648" s="184" t="s">
        <v>2501</v>
      </c>
      <c r="G648" s="183" t="s">
        <v>2576</v>
      </c>
      <c r="H648" s="184" t="s">
        <v>2577</v>
      </c>
      <c r="J648" s="188"/>
      <c r="K648" s="183" t="s">
        <v>2578</v>
      </c>
      <c r="L648" s="184" t="s">
        <v>2579</v>
      </c>
      <c r="M648" s="184" t="s">
        <v>2621</v>
      </c>
      <c r="N648" s="189" t="s">
        <v>271</v>
      </c>
      <c r="O648" s="189"/>
      <c r="P648" s="189"/>
      <c r="Q648" s="189">
        <v>0.05</v>
      </c>
      <c r="R648" s="189">
        <v>0.75</v>
      </c>
      <c r="S648" s="189">
        <v>0.2</v>
      </c>
      <c r="T648" s="184" t="s">
        <v>63</v>
      </c>
      <c r="U648" s="283" t="s">
        <v>2510</v>
      </c>
      <c r="V648" s="184" t="s">
        <v>2622</v>
      </c>
      <c r="W648" s="184">
        <v>1</v>
      </c>
      <c r="X648" s="184">
        <v>1</v>
      </c>
      <c r="Y648" s="184">
        <v>1</v>
      </c>
      <c r="Z648" s="184">
        <v>0</v>
      </c>
      <c r="AA648" s="184">
        <v>0</v>
      </c>
      <c r="AB648" s="184">
        <v>0</v>
      </c>
      <c r="AC648" s="316">
        <v>1</v>
      </c>
      <c r="AD648" s="316">
        <v>1</v>
      </c>
      <c r="AE648" s="302">
        <f t="shared" si="65"/>
        <v>0.625</v>
      </c>
      <c r="AF648" s="190"/>
      <c r="AG648" s="17">
        <v>0</v>
      </c>
      <c r="AH648" s="190">
        <v>0</v>
      </c>
      <c r="AI648" s="190">
        <v>0</v>
      </c>
      <c r="AJ648" s="186">
        <v>15</v>
      </c>
      <c r="AK648" s="187"/>
      <c r="AL648" s="187"/>
      <c r="AM648" s="17">
        <f t="shared" si="66"/>
        <v>0</v>
      </c>
      <c r="AN648" s="184" t="s">
        <v>63</v>
      </c>
      <c r="AO648" s="168" t="s">
        <v>2510</v>
      </c>
      <c r="AP648" s="184" t="s">
        <v>119</v>
      </c>
    </row>
    <row r="649" spans="1:42" s="184" customFormat="1" x14ac:dyDescent="0.3">
      <c r="A649" s="183" t="s">
        <v>1453</v>
      </c>
      <c r="B649" s="184" t="s">
        <v>2496</v>
      </c>
      <c r="C649" s="183" t="s">
        <v>2498</v>
      </c>
      <c r="D649" s="184" t="s">
        <v>2499</v>
      </c>
      <c r="E649" s="183" t="s">
        <v>2500</v>
      </c>
      <c r="F649" s="184" t="s">
        <v>2501</v>
      </c>
      <c r="G649" s="183" t="s">
        <v>2576</v>
      </c>
      <c r="H649" s="184" t="s">
        <v>2577</v>
      </c>
      <c r="J649" s="188"/>
      <c r="K649" s="183" t="s">
        <v>2578</v>
      </c>
      <c r="L649" s="184" t="s">
        <v>2579</v>
      </c>
      <c r="M649" s="184" t="s">
        <v>2623</v>
      </c>
      <c r="N649" s="189"/>
      <c r="O649" s="189" t="s">
        <v>271</v>
      </c>
      <c r="P649" s="189" t="s">
        <v>271</v>
      </c>
      <c r="Q649" s="189" t="s">
        <v>271</v>
      </c>
      <c r="R649" s="189">
        <v>1</v>
      </c>
      <c r="S649" s="189" t="s">
        <v>271</v>
      </c>
      <c r="T649" s="184" t="s">
        <v>63</v>
      </c>
      <c r="U649" s="283" t="s">
        <v>2510</v>
      </c>
      <c r="V649" s="184" t="s">
        <v>2624</v>
      </c>
      <c r="W649" s="184">
        <v>1</v>
      </c>
      <c r="X649" s="184">
        <v>1</v>
      </c>
      <c r="Y649" s="184">
        <v>1</v>
      </c>
      <c r="Z649" s="184">
        <v>0</v>
      </c>
      <c r="AA649" s="184">
        <v>0</v>
      </c>
      <c r="AB649" s="184">
        <v>1</v>
      </c>
      <c r="AC649" s="316">
        <v>1</v>
      </c>
      <c r="AD649" s="316">
        <v>1</v>
      </c>
      <c r="AE649" s="302">
        <f t="shared" si="65"/>
        <v>0.75</v>
      </c>
      <c r="AF649" s="186"/>
      <c r="AG649" s="17">
        <v>0</v>
      </c>
      <c r="AH649" s="186">
        <v>0</v>
      </c>
      <c r="AI649" s="186">
        <v>0</v>
      </c>
      <c r="AJ649" s="186">
        <v>0</v>
      </c>
      <c r="AK649" s="187">
        <v>0</v>
      </c>
      <c r="AL649" s="187">
        <v>0</v>
      </c>
      <c r="AM649" s="17">
        <f t="shared" si="66"/>
        <v>0</v>
      </c>
      <c r="AN649" s="184" t="s">
        <v>63</v>
      </c>
      <c r="AO649" s="168" t="s">
        <v>2510</v>
      </c>
      <c r="AP649" s="184" t="s">
        <v>119</v>
      </c>
    </row>
    <row r="650" spans="1:42" s="184" customFormat="1" x14ac:dyDescent="0.3">
      <c r="A650" s="183" t="s">
        <v>1453</v>
      </c>
      <c r="B650" s="184" t="s">
        <v>2496</v>
      </c>
      <c r="C650" s="183" t="s">
        <v>2498</v>
      </c>
      <c r="D650" s="184" t="s">
        <v>2499</v>
      </c>
      <c r="E650" s="183" t="s">
        <v>2500</v>
      </c>
      <c r="F650" s="184" t="s">
        <v>2501</v>
      </c>
      <c r="G650" s="183" t="s">
        <v>2625</v>
      </c>
      <c r="H650" s="184" t="s">
        <v>2626</v>
      </c>
      <c r="J650" s="188"/>
      <c r="K650" s="183" t="s">
        <v>2627</v>
      </c>
      <c r="L650" s="184" t="s">
        <v>2628</v>
      </c>
      <c r="M650" s="184" t="s">
        <v>2629</v>
      </c>
      <c r="N650" s="189">
        <v>100</v>
      </c>
      <c r="O650" s="192">
        <v>0</v>
      </c>
      <c r="P650" s="192">
        <v>0</v>
      </c>
      <c r="Q650" s="192">
        <v>17</v>
      </c>
      <c r="R650" s="192">
        <v>0</v>
      </c>
      <c r="S650" s="192">
        <v>18</v>
      </c>
      <c r="T650" s="184" t="s">
        <v>2528</v>
      </c>
      <c r="U650" s="283" t="s">
        <v>2530</v>
      </c>
      <c r="V650" s="184" t="s">
        <v>2630</v>
      </c>
      <c r="W650" s="184">
        <v>1</v>
      </c>
      <c r="X650" s="184">
        <v>1</v>
      </c>
      <c r="Y650" s="184">
        <v>1</v>
      </c>
      <c r="Z650" s="184">
        <v>1</v>
      </c>
      <c r="AA650" s="184">
        <v>1</v>
      </c>
      <c r="AB650" s="184">
        <v>1</v>
      </c>
      <c r="AC650" s="316">
        <v>0</v>
      </c>
      <c r="AD650" s="316">
        <v>1</v>
      </c>
      <c r="AE650" s="302">
        <f t="shared" si="65"/>
        <v>0.875</v>
      </c>
      <c r="AF650" s="186"/>
      <c r="AG650" s="17">
        <v>0</v>
      </c>
      <c r="AH650" s="186" t="s">
        <v>2631</v>
      </c>
      <c r="AI650" s="186">
        <v>62.412999999999997</v>
      </c>
      <c r="AJ650" s="186">
        <v>176.8</v>
      </c>
      <c r="AK650" s="187">
        <v>87</v>
      </c>
      <c r="AL650" s="187">
        <v>100</v>
      </c>
      <c r="AM650" s="17">
        <f t="shared" si="66"/>
        <v>187</v>
      </c>
      <c r="AN650" s="184" t="s">
        <v>2528</v>
      </c>
      <c r="AO650" s="168" t="s">
        <v>2530</v>
      </c>
      <c r="AP650" s="184" t="s">
        <v>2632</v>
      </c>
    </row>
    <row r="651" spans="1:42" s="184" customFormat="1" x14ac:dyDescent="0.3">
      <c r="A651" s="183" t="s">
        <v>1453</v>
      </c>
      <c r="B651" s="184" t="s">
        <v>2496</v>
      </c>
      <c r="C651" s="183" t="s">
        <v>2498</v>
      </c>
      <c r="D651" s="184" t="s">
        <v>2499</v>
      </c>
      <c r="E651" s="183" t="s">
        <v>2500</v>
      </c>
      <c r="F651" s="184" t="s">
        <v>2501</v>
      </c>
      <c r="G651" s="183" t="s">
        <v>2625</v>
      </c>
      <c r="H651" s="184" t="s">
        <v>2626</v>
      </c>
      <c r="J651" s="188"/>
      <c r="K651" s="183" t="s">
        <v>2627</v>
      </c>
      <c r="L651" s="184" t="s">
        <v>2628</v>
      </c>
      <c r="M651" s="184" t="s">
        <v>2633</v>
      </c>
      <c r="N651" s="189">
        <v>0</v>
      </c>
      <c r="O651" s="192">
        <v>0</v>
      </c>
      <c r="P651" s="192">
        <v>2</v>
      </c>
      <c r="Q651" s="192">
        <v>6</v>
      </c>
      <c r="R651" s="192">
        <v>0</v>
      </c>
      <c r="S651" s="192">
        <v>11</v>
      </c>
      <c r="T651" s="184" t="s">
        <v>2528</v>
      </c>
      <c r="U651" s="283" t="s">
        <v>2530</v>
      </c>
      <c r="V651" s="184" t="s">
        <v>2634</v>
      </c>
      <c r="W651" s="184">
        <v>1</v>
      </c>
      <c r="X651" s="184">
        <v>1</v>
      </c>
      <c r="Y651" s="184">
        <v>1</v>
      </c>
      <c r="Z651" s="184">
        <v>1</v>
      </c>
      <c r="AA651" s="184">
        <v>1</v>
      </c>
      <c r="AB651" s="184">
        <v>1</v>
      </c>
      <c r="AC651" s="316">
        <v>1</v>
      </c>
      <c r="AD651" s="316">
        <v>1</v>
      </c>
      <c r="AE651" s="302">
        <f t="shared" si="65"/>
        <v>1</v>
      </c>
      <c r="AF651" s="186"/>
      <c r="AG651" s="17">
        <v>0</v>
      </c>
      <c r="AH651" s="186" t="s">
        <v>271</v>
      </c>
      <c r="AI651" s="186" t="s">
        <v>271</v>
      </c>
      <c r="AJ651" s="186" t="s">
        <v>271</v>
      </c>
      <c r="AK651" s="187">
        <v>67.5</v>
      </c>
      <c r="AL651" s="187">
        <v>90</v>
      </c>
      <c r="AM651" s="17">
        <f t="shared" si="66"/>
        <v>157.5</v>
      </c>
      <c r="AN651" s="184" t="s">
        <v>2528</v>
      </c>
      <c r="AO651" s="168" t="s">
        <v>2530</v>
      </c>
    </row>
    <row r="652" spans="1:42" s="184" customFormat="1" x14ac:dyDescent="0.3">
      <c r="A652" s="183" t="s">
        <v>1453</v>
      </c>
      <c r="B652" s="184" t="s">
        <v>2496</v>
      </c>
      <c r="C652" s="183" t="s">
        <v>2498</v>
      </c>
      <c r="D652" s="184" t="s">
        <v>2499</v>
      </c>
      <c r="E652" s="183" t="s">
        <v>2500</v>
      </c>
      <c r="F652" s="184" t="s">
        <v>2501</v>
      </c>
      <c r="G652" s="183" t="s">
        <v>2625</v>
      </c>
      <c r="H652" s="184" t="s">
        <v>2626</v>
      </c>
      <c r="J652" s="188"/>
      <c r="K652" s="183" t="s">
        <v>2627</v>
      </c>
      <c r="L652" s="184" t="s">
        <v>2628</v>
      </c>
      <c r="M652" s="184" t="s">
        <v>2635</v>
      </c>
      <c r="N652" s="189">
        <v>500</v>
      </c>
      <c r="O652" s="192">
        <v>1500</v>
      </c>
      <c r="P652" s="192">
        <v>1500</v>
      </c>
      <c r="Q652" s="192">
        <v>1500</v>
      </c>
      <c r="R652" s="192">
        <v>1500</v>
      </c>
      <c r="S652" s="192">
        <v>1500</v>
      </c>
      <c r="T652" s="184" t="s">
        <v>2636</v>
      </c>
      <c r="U652" s="283" t="e">
        <v>#N/A</v>
      </c>
      <c r="V652" s="184" t="s">
        <v>2637</v>
      </c>
      <c r="W652" s="184">
        <v>1</v>
      </c>
      <c r="X652" s="184">
        <v>1</v>
      </c>
      <c r="Y652" s="184">
        <v>1</v>
      </c>
      <c r="Z652" s="184">
        <v>1</v>
      </c>
      <c r="AA652" s="184">
        <v>1</v>
      </c>
      <c r="AB652" s="184">
        <v>1</v>
      </c>
      <c r="AC652" s="316">
        <v>1</v>
      </c>
      <c r="AD652" s="316">
        <v>1</v>
      </c>
      <c r="AE652" s="302">
        <f t="shared" si="65"/>
        <v>1</v>
      </c>
      <c r="AF652" s="186"/>
      <c r="AG652" s="17">
        <v>0</v>
      </c>
      <c r="AH652" s="186" t="s">
        <v>271</v>
      </c>
      <c r="AI652" s="186" t="s">
        <v>271</v>
      </c>
      <c r="AJ652" s="186" t="s">
        <v>271</v>
      </c>
      <c r="AK652" s="187" t="s">
        <v>271</v>
      </c>
      <c r="AL652" s="187" t="s">
        <v>271</v>
      </c>
      <c r="AM652" s="17">
        <f t="shared" si="66"/>
        <v>0</v>
      </c>
      <c r="AN652" s="184" t="s">
        <v>2636</v>
      </c>
      <c r="AO652" s="168" t="s">
        <v>2510</v>
      </c>
    </row>
    <row r="653" spans="1:42" s="184" customFormat="1" x14ac:dyDescent="0.3">
      <c r="A653" s="183" t="s">
        <v>1453</v>
      </c>
      <c r="B653" s="184" t="s">
        <v>2496</v>
      </c>
      <c r="C653" s="183" t="s">
        <v>2498</v>
      </c>
      <c r="D653" s="184" t="s">
        <v>2499</v>
      </c>
      <c r="E653" s="183" t="s">
        <v>2500</v>
      </c>
      <c r="F653" s="184" t="s">
        <v>2501</v>
      </c>
      <c r="G653" s="183" t="s">
        <v>2625</v>
      </c>
      <c r="H653" s="184" t="s">
        <v>2626</v>
      </c>
      <c r="J653" s="188"/>
      <c r="K653" s="183" t="s">
        <v>2627</v>
      </c>
      <c r="L653" s="184" t="s">
        <v>2628</v>
      </c>
      <c r="M653" s="184" t="s">
        <v>2638</v>
      </c>
      <c r="N653" s="189">
        <v>2</v>
      </c>
      <c r="O653" s="189">
        <v>2</v>
      </c>
      <c r="P653" s="189">
        <v>0</v>
      </c>
      <c r="Q653" s="189">
        <v>1</v>
      </c>
      <c r="R653" s="189">
        <v>0</v>
      </c>
      <c r="S653" s="189">
        <v>2</v>
      </c>
      <c r="T653" s="184" t="s">
        <v>2639</v>
      </c>
      <c r="U653" s="283" t="e">
        <v>#N/A</v>
      </c>
      <c r="V653" s="184" t="s">
        <v>2640</v>
      </c>
      <c r="W653" s="184">
        <v>1</v>
      </c>
      <c r="X653" s="184">
        <v>1</v>
      </c>
      <c r="Y653" s="184">
        <v>1</v>
      </c>
      <c r="Z653" s="184">
        <v>1</v>
      </c>
      <c r="AA653" s="184">
        <v>1</v>
      </c>
      <c r="AB653" s="184">
        <v>1</v>
      </c>
      <c r="AC653" s="316">
        <v>0</v>
      </c>
      <c r="AD653" s="316">
        <v>1</v>
      </c>
      <c r="AE653" s="302">
        <f t="shared" si="65"/>
        <v>0.875</v>
      </c>
      <c r="AF653" s="186"/>
      <c r="AG653" s="17">
        <v>0</v>
      </c>
      <c r="AH653" s="186">
        <v>539.70000000000005</v>
      </c>
      <c r="AI653" s="186" t="s">
        <v>271</v>
      </c>
      <c r="AJ653" s="186">
        <v>556.88596483881634</v>
      </c>
      <c r="AK653" s="191">
        <v>0</v>
      </c>
      <c r="AL653" s="187">
        <v>522.51403516118376</v>
      </c>
      <c r="AM653" s="17">
        <f t="shared" si="66"/>
        <v>522.51403516118376</v>
      </c>
      <c r="AN653" s="184" t="s">
        <v>2641</v>
      </c>
      <c r="AO653" s="168" t="s">
        <v>2510</v>
      </c>
      <c r="AP653" s="184" t="s">
        <v>119</v>
      </c>
    </row>
    <row r="654" spans="1:42" s="184" customFormat="1" x14ac:dyDescent="0.3">
      <c r="A654" s="183" t="s">
        <v>1453</v>
      </c>
      <c r="B654" s="184" t="s">
        <v>2496</v>
      </c>
      <c r="C654" s="183" t="s">
        <v>2498</v>
      </c>
      <c r="D654" s="184" t="s">
        <v>2499</v>
      </c>
      <c r="E654" s="183" t="s">
        <v>2500</v>
      </c>
      <c r="F654" s="184" t="s">
        <v>2501</v>
      </c>
      <c r="G654" s="183" t="s">
        <v>2625</v>
      </c>
      <c r="H654" s="184" t="s">
        <v>2626</v>
      </c>
      <c r="J654" s="188"/>
      <c r="K654" s="183" t="s">
        <v>2627</v>
      </c>
      <c r="L654" s="184" t="s">
        <v>2628</v>
      </c>
      <c r="M654" s="184" t="s">
        <v>2642</v>
      </c>
      <c r="N654" s="189" t="s">
        <v>271</v>
      </c>
      <c r="O654" s="189" t="s">
        <v>271</v>
      </c>
      <c r="P654" s="189" t="s">
        <v>271</v>
      </c>
      <c r="Q654" s="189">
        <v>1</v>
      </c>
      <c r="R654" s="189" t="s">
        <v>271</v>
      </c>
      <c r="S654" s="189" t="s">
        <v>271</v>
      </c>
      <c r="T654" s="184" t="s">
        <v>2643</v>
      </c>
      <c r="U654" s="283" t="e">
        <v>#N/A</v>
      </c>
      <c r="V654" s="184" t="s">
        <v>2640</v>
      </c>
      <c r="W654" s="184">
        <v>1</v>
      </c>
      <c r="X654" s="184">
        <v>1</v>
      </c>
      <c r="Y654" s="184">
        <v>1</v>
      </c>
      <c r="Z654" s="184">
        <v>1</v>
      </c>
      <c r="AA654" s="184">
        <v>1</v>
      </c>
      <c r="AB654" s="184">
        <v>1</v>
      </c>
      <c r="AC654" s="316">
        <v>0</v>
      </c>
      <c r="AD654" s="316">
        <v>1</v>
      </c>
      <c r="AE654" s="302">
        <f t="shared" si="65"/>
        <v>0.875</v>
      </c>
      <c r="AF654" s="186"/>
      <c r="AG654" s="17">
        <v>0</v>
      </c>
      <c r="AH654" s="186" t="s">
        <v>271</v>
      </c>
      <c r="AI654" s="186" t="s">
        <v>271</v>
      </c>
      <c r="AJ654" s="186">
        <v>9</v>
      </c>
      <c r="AK654" s="187">
        <v>18</v>
      </c>
      <c r="AL654" s="187">
        <v>9</v>
      </c>
      <c r="AM654" s="17">
        <f t="shared" si="66"/>
        <v>27</v>
      </c>
      <c r="AN654" s="184" t="s">
        <v>2644</v>
      </c>
      <c r="AO654" s="168" t="s">
        <v>2510</v>
      </c>
      <c r="AP654" s="184" t="s">
        <v>119</v>
      </c>
    </row>
    <row r="655" spans="1:42" s="184" customFormat="1" x14ac:dyDescent="0.3">
      <c r="A655" s="183" t="s">
        <v>1453</v>
      </c>
      <c r="B655" s="184" t="s">
        <v>2496</v>
      </c>
      <c r="C655" s="183" t="s">
        <v>2498</v>
      </c>
      <c r="D655" s="184" t="s">
        <v>2499</v>
      </c>
      <c r="E655" s="183" t="s">
        <v>2500</v>
      </c>
      <c r="F655" s="184" t="s">
        <v>2501</v>
      </c>
      <c r="G655" s="183" t="s">
        <v>2625</v>
      </c>
      <c r="H655" s="184" t="s">
        <v>2626</v>
      </c>
      <c r="J655" s="188"/>
      <c r="K655" s="183" t="s">
        <v>2627</v>
      </c>
      <c r="L655" s="184" t="s">
        <v>2628</v>
      </c>
      <c r="M655" s="184" t="s">
        <v>2645</v>
      </c>
      <c r="N655" s="189">
        <v>0</v>
      </c>
      <c r="O655" s="189" t="s">
        <v>271</v>
      </c>
      <c r="P655" s="189">
        <v>50</v>
      </c>
      <c r="Q655" s="189">
        <v>75</v>
      </c>
      <c r="R655" s="189">
        <v>100</v>
      </c>
      <c r="S655" s="189">
        <v>150</v>
      </c>
      <c r="T655" s="184" t="s">
        <v>2507</v>
      </c>
      <c r="U655" s="283" t="e">
        <v>#N/A</v>
      </c>
      <c r="V655" s="184" t="s">
        <v>2646</v>
      </c>
      <c r="W655" s="184">
        <v>1</v>
      </c>
      <c r="X655" s="184">
        <v>1</v>
      </c>
      <c r="Y655" s="184">
        <v>1</v>
      </c>
      <c r="Z655" s="184">
        <v>1</v>
      </c>
      <c r="AA655" s="184">
        <v>1</v>
      </c>
      <c r="AB655" s="184">
        <v>1</v>
      </c>
      <c r="AC655" s="316">
        <v>1</v>
      </c>
      <c r="AD655" s="316">
        <v>1</v>
      </c>
      <c r="AE655" s="302">
        <f t="shared" si="65"/>
        <v>1</v>
      </c>
      <c r="AF655" s="186"/>
      <c r="AG655" s="17">
        <v>0</v>
      </c>
      <c r="AH655" s="186" t="s">
        <v>2631</v>
      </c>
      <c r="AI655" s="186">
        <v>0.5</v>
      </c>
      <c r="AJ655" s="186">
        <v>0.75</v>
      </c>
      <c r="AK655" s="187"/>
      <c r="AL655" s="187"/>
      <c r="AM655" s="17">
        <f t="shared" si="66"/>
        <v>0</v>
      </c>
      <c r="AN655" s="184" t="s">
        <v>2509</v>
      </c>
      <c r="AO655" s="168" t="s">
        <v>2510</v>
      </c>
      <c r="AP655" s="184" t="s">
        <v>63</v>
      </c>
    </row>
    <row r="656" spans="1:42" s="184" customFormat="1" x14ac:dyDescent="0.3">
      <c r="A656" s="183" t="s">
        <v>1453</v>
      </c>
      <c r="B656" s="184" t="s">
        <v>2496</v>
      </c>
      <c r="C656" s="183" t="s">
        <v>2498</v>
      </c>
      <c r="D656" s="184" t="s">
        <v>2499</v>
      </c>
      <c r="E656" s="183" t="s">
        <v>2500</v>
      </c>
      <c r="F656" s="184" t="s">
        <v>2501</v>
      </c>
      <c r="G656" s="183" t="s">
        <v>2625</v>
      </c>
      <c r="H656" s="184" t="s">
        <v>2626</v>
      </c>
      <c r="J656" s="188"/>
      <c r="K656" s="183" t="s">
        <v>2627</v>
      </c>
      <c r="L656" s="184" t="s">
        <v>2628</v>
      </c>
      <c r="M656" s="184" t="s">
        <v>2647</v>
      </c>
      <c r="N656" s="189" t="s">
        <v>2648</v>
      </c>
      <c r="O656" s="189">
        <v>0</v>
      </c>
      <c r="P656" s="189">
        <v>4</v>
      </c>
      <c r="Q656" s="189">
        <v>4</v>
      </c>
      <c r="R656" s="189">
        <v>5</v>
      </c>
      <c r="S656" s="189">
        <v>5</v>
      </c>
      <c r="T656" s="184" t="s">
        <v>2507</v>
      </c>
      <c r="U656" s="283" t="e">
        <v>#N/A</v>
      </c>
      <c r="V656" s="184" t="s">
        <v>2649</v>
      </c>
      <c r="W656" s="184">
        <v>1</v>
      </c>
      <c r="X656" s="184">
        <v>1</v>
      </c>
      <c r="Y656" s="184">
        <v>1</v>
      </c>
      <c r="Z656" s="184">
        <v>1</v>
      </c>
      <c r="AA656" s="184">
        <v>1</v>
      </c>
      <c r="AB656" s="184">
        <v>1</v>
      </c>
      <c r="AC656" s="316">
        <v>1</v>
      </c>
      <c r="AD656" s="316">
        <v>1</v>
      </c>
      <c r="AE656" s="302">
        <f t="shared" si="65"/>
        <v>1</v>
      </c>
      <c r="AF656" s="186"/>
      <c r="AG656" s="17">
        <v>0</v>
      </c>
      <c r="AH656" s="186" t="s">
        <v>2631</v>
      </c>
      <c r="AI656" s="186">
        <v>0</v>
      </c>
      <c r="AJ656" s="186">
        <v>0</v>
      </c>
      <c r="AK656" s="187">
        <v>0</v>
      </c>
      <c r="AL656" s="187">
        <v>0</v>
      </c>
      <c r="AM656" s="17">
        <f t="shared" si="66"/>
        <v>0</v>
      </c>
      <c r="AN656" s="184" t="s">
        <v>2509</v>
      </c>
      <c r="AO656" s="168" t="s">
        <v>2510</v>
      </c>
      <c r="AP656" s="184" t="s">
        <v>63</v>
      </c>
    </row>
    <row r="657" spans="1:42" s="184" customFormat="1" x14ac:dyDescent="0.3">
      <c r="A657" s="183" t="s">
        <v>1453</v>
      </c>
      <c r="B657" s="184" t="s">
        <v>2496</v>
      </c>
      <c r="C657" s="183" t="s">
        <v>2498</v>
      </c>
      <c r="D657" s="184" t="s">
        <v>2499</v>
      </c>
      <c r="E657" s="183" t="s">
        <v>2500</v>
      </c>
      <c r="F657" s="184" t="s">
        <v>2501</v>
      </c>
      <c r="G657" s="183" t="s">
        <v>2625</v>
      </c>
      <c r="H657" s="184" t="s">
        <v>2626</v>
      </c>
      <c r="J657" s="188"/>
      <c r="K657" s="183" t="s">
        <v>2627</v>
      </c>
      <c r="L657" s="184" t="s">
        <v>2628</v>
      </c>
      <c r="M657" s="184" t="s">
        <v>2650</v>
      </c>
      <c r="N657" s="189">
        <v>0</v>
      </c>
      <c r="O657" s="189">
        <v>0</v>
      </c>
      <c r="P657" s="192">
        <v>1</v>
      </c>
      <c r="Q657" s="192">
        <v>1</v>
      </c>
      <c r="R657" s="192">
        <v>1</v>
      </c>
      <c r="S657" s="192">
        <v>1</v>
      </c>
      <c r="T657" s="184" t="s">
        <v>2507</v>
      </c>
      <c r="U657" s="283" t="e">
        <v>#N/A</v>
      </c>
      <c r="V657" s="184" t="s">
        <v>2651</v>
      </c>
      <c r="W657" s="184">
        <v>1</v>
      </c>
      <c r="X657" s="184">
        <v>1</v>
      </c>
      <c r="Y657" s="184">
        <v>1</v>
      </c>
      <c r="Z657" s="184">
        <v>1</v>
      </c>
      <c r="AA657" s="184">
        <v>1</v>
      </c>
      <c r="AB657" s="184">
        <v>1</v>
      </c>
      <c r="AC657" s="316">
        <v>1</v>
      </c>
      <c r="AD657" s="316">
        <v>1</v>
      </c>
      <c r="AE657" s="302">
        <f t="shared" si="65"/>
        <v>1</v>
      </c>
      <c r="AF657" s="186"/>
      <c r="AG657" s="17">
        <v>0</v>
      </c>
      <c r="AH657" s="186" t="s">
        <v>2631</v>
      </c>
      <c r="AI657" s="186">
        <v>10</v>
      </c>
      <c r="AJ657" s="186">
        <v>10</v>
      </c>
      <c r="AK657" s="187"/>
      <c r="AL657" s="187"/>
      <c r="AM657" s="17">
        <f t="shared" si="66"/>
        <v>0</v>
      </c>
      <c r="AN657" s="184" t="s">
        <v>2509</v>
      </c>
      <c r="AO657" s="168" t="s">
        <v>2510</v>
      </c>
      <c r="AP657" s="184" t="s">
        <v>63</v>
      </c>
    </row>
    <row r="658" spans="1:42" s="184" customFormat="1" x14ac:dyDescent="0.3">
      <c r="A658" s="183" t="s">
        <v>1453</v>
      </c>
      <c r="B658" s="184" t="s">
        <v>2496</v>
      </c>
      <c r="C658" s="183" t="s">
        <v>2498</v>
      </c>
      <c r="D658" s="184" t="s">
        <v>2499</v>
      </c>
      <c r="E658" s="183" t="s">
        <v>2500</v>
      </c>
      <c r="F658" s="184" t="s">
        <v>2501</v>
      </c>
      <c r="G658" s="183" t="s">
        <v>2625</v>
      </c>
      <c r="H658" s="184" t="s">
        <v>2626</v>
      </c>
      <c r="J658" s="188"/>
      <c r="K658" s="183" t="s">
        <v>2627</v>
      </c>
      <c r="L658" s="184" t="s">
        <v>2628</v>
      </c>
      <c r="M658" s="184" t="s">
        <v>2652</v>
      </c>
      <c r="N658" s="189" t="s">
        <v>271</v>
      </c>
      <c r="O658" s="189">
        <v>2</v>
      </c>
      <c r="P658" s="189">
        <v>2</v>
      </c>
      <c r="Q658" s="189">
        <v>2</v>
      </c>
      <c r="R658" s="189">
        <v>2</v>
      </c>
      <c r="S658" s="189">
        <v>2</v>
      </c>
      <c r="T658" s="184" t="s">
        <v>2507</v>
      </c>
      <c r="U658" s="283" t="e">
        <v>#N/A</v>
      </c>
      <c r="V658" s="184" t="s">
        <v>2653</v>
      </c>
      <c r="W658" s="184">
        <v>1</v>
      </c>
      <c r="X658" s="184">
        <v>1</v>
      </c>
      <c r="Y658" s="184">
        <v>1</v>
      </c>
      <c r="Z658" s="184">
        <v>1</v>
      </c>
      <c r="AA658" s="184">
        <v>1</v>
      </c>
      <c r="AB658" s="184">
        <v>1</v>
      </c>
      <c r="AC658" s="316">
        <v>1</v>
      </c>
      <c r="AD658" s="316">
        <v>1</v>
      </c>
      <c r="AE658" s="302">
        <f t="shared" si="65"/>
        <v>1</v>
      </c>
      <c r="AF658" s="186"/>
      <c r="AG658" s="17">
        <v>0</v>
      </c>
      <c r="AH658" s="186">
        <v>0</v>
      </c>
      <c r="AI658" s="186">
        <v>2</v>
      </c>
      <c r="AJ658" s="186">
        <v>3</v>
      </c>
      <c r="AK658" s="187">
        <v>0</v>
      </c>
      <c r="AL658" s="187">
        <v>0</v>
      </c>
      <c r="AM658" s="17">
        <f t="shared" si="66"/>
        <v>0</v>
      </c>
      <c r="AN658" s="184" t="s">
        <v>2509</v>
      </c>
      <c r="AO658" s="168" t="s">
        <v>2510</v>
      </c>
      <c r="AP658" s="184" t="s">
        <v>63</v>
      </c>
    </row>
    <row r="659" spans="1:42" s="184" customFormat="1" x14ac:dyDescent="0.3">
      <c r="A659" s="183" t="s">
        <v>1453</v>
      </c>
      <c r="B659" s="184" t="s">
        <v>2496</v>
      </c>
      <c r="C659" s="183" t="s">
        <v>2498</v>
      </c>
      <c r="D659" s="184" t="s">
        <v>2499</v>
      </c>
      <c r="E659" s="183" t="s">
        <v>2500</v>
      </c>
      <c r="F659" s="184" t="s">
        <v>2501</v>
      </c>
      <c r="G659" s="183" t="s">
        <v>2625</v>
      </c>
      <c r="H659" s="184" t="s">
        <v>2626</v>
      </c>
      <c r="J659" s="188"/>
      <c r="K659" s="183" t="s">
        <v>2627</v>
      </c>
      <c r="L659" s="184" t="s">
        <v>2628</v>
      </c>
      <c r="M659" s="184" t="s">
        <v>2654</v>
      </c>
      <c r="N659" s="189" t="s">
        <v>271</v>
      </c>
      <c r="O659" s="189">
        <v>2</v>
      </c>
      <c r="P659" s="189">
        <v>2</v>
      </c>
      <c r="Q659" s="189">
        <v>2</v>
      </c>
      <c r="R659" s="189">
        <v>2</v>
      </c>
      <c r="S659" s="189">
        <v>2</v>
      </c>
      <c r="T659" s="184" t="s">
        <v>2507</v>
      </c>
      <c r="U659" s="283" t="e">
        <v>#N/A</v>
      </c>
      <c r="V659" s="184" t="s">
        <v>2655</v>
      </c>
      <c r="W659" s="184">
        <v>1</v>
      </c>
      <c r="X659" s="184">
        <v>1</v>
      </c>
      <c r="Y659" s="184">
        <v>1</v>
      </c>
      <c r="Z659" s="184">
        <v>1</v>
      </c>
      <c r="AA659" s="184">
        <v>1</v>
      </c>
      <c r="AB659" s="184">
        <v>1</v>
      </c>
      <c r="AC659" s="316">
        <v>1</v>
      </c>
      <c r="AD659" s="316">
        <v>1</v>
      </c>
      <c r="AE659" s="302">
        <f t="shared" si="65"/>
        <v>1</v>
      </c>
      <c r="AF659" s="186"/>
      <c r="AG659" s="17">
        <v>0</v>
      </c>
      <c r="AH659" s="186">
        <v>0</v>
      </c>
      <c r="AI659" s="186">
        <v>18</v>
      </c>
      <c r="AJ659" s="186">
        <v>27</v>
      </c>
      <c r="AK659" s="187">
        <v>0</v>
      </c>
      <c r="AL659" s="187">
        <v>0</v>
      </c>
      <c r="AM659" s="17">
        <f t="shared" si="66"/>
        <v>0</v>
      </c>
      <c r="AN659" s="184" t="s">
        <v>2509</v>
      </c>
      <c r="AO659" s="168" t="s">
        <v>2510</v>
      </c>
      <c r="AP659" s="184" t="s">
        <v>63</v>
      </c>
    </row>
    <row r="660" spans="1:42" s="184" customFormat="1" x14ac:dyDescent="0.3">
      <c r="A660" s="183" t="s">
        <v>1453</v>
      </c>
      <c r="B660" s="184" t="s">
        <v>2496</v>
      </c>
      <c r="C660" s="183" t="s">
        <v>2498</v>
      </c>
      <c r="D660" s="184" t="s">
        <v>2499</v>
      </c>
      <c r="E660" s="183" t="s">
        <v>2500</v>
      </c>
      <c r="F660" s="184" t="s">
        <v>2501</v>
      </c>
      <c r="G660" s="183" t="s">
        <v>2625</v>
      </c>
      <c r="H660" s="184" t="s">
        <v>2626</v>
      </c>
      <c r="J660" s="188"/>
      <c r="K660" s="183" t="s">
        <v>2627</v>
      </c>
      <c r="L660" s="184" t="s">
        <v>2628</v>
      </c>
      <c r="M660" s="184" t="s">
        <v>2656</v>
      </c>
      <c r="N660" s="189">
        <v>5</v>
      </c>
      <c r="O660" s="189">
        <v>2</v>
      </c>
      <c r="P660" s="189">
        <v>2</v>
      </c>
      <c r="Q660" s="189">
        <v>2</v>
      </c>
      <c r="R660" s="189">
        <v>2</v>
      </c>
      <c r="S660" s="189">
        <v>2</v>
      </c>
      <c r="T660" s="184" t="s">
        <v>2507</v>
      </c>
      <c r="U660" s="283" t="e">
        <v>#N/A</v>
      </c>
      <c r="V660" s="184" t="s">
        <v>2657</v>
      </c>
      <c r="W660" s="184">
        <v>1</v>
      </c>
      <c r="X660" s="184">
        <v>1</v>
      </c>
      <c r="Y660" s="184">
        <v>1</v>
      </c>
      <c r="Z660" s="184">
        <v>1</v>
      </c>
      <c r="AA660" s="184">
        <v>1</v>
      </c>
      <c r="AB660" s="184">
        <v>1</v>
      </c>
      <c r="AC660" s="316">
        <v>1</v>
      </c>
      <c r="AD660" s="316">
        <v>1</v>
      </c>
      <c r="AE660" s="302">
        <f t="shared" si="65"/>
        <v>1</v>
      </c>
      <c r="AF660" s="186"/>
      <c r="AG660" s="17">
        <v>0</v>
      </c>
      <c r="AH660" s="186">
        <v>0</v>
      </c>
      <c r="AI660" s="186">
        <v>10</v>
      </c>
      <c r="AJ660" s="186">
        <v>20</v>
      </c>
      <c r="AK660" s="187">
        <v>0</v>
      </c>
      <c r="AL660" s="187">
        <v>0</v>
      </c>
      <c r="AM660" s="17">
        <f t="shared" si="66"/>
        <v>0</v>
      </c>
      <c r="AN660" s="184" t="s">
        <v>2509</v>
      </c>
      <c r="AO660" s="168" t="s">
        <v>2510</v>
      </c>
      <c r="AP660" s="184" t="s">
        <v>63</v>
      </c>
    </row>
    <row r="661" spans="1:42" s="184" customFormat="1" x14ac:dyDescent="0.3">
      <c r="A661" s="183" t="s">
        <v>1453</v>
      </c>
      <c r="B661" s="184" t="s">
        <v>2496</v>
      </c>
      <c r="C661" s="183" t="s">
        <v>2498</v>
      </c>
      <c r="D661" s="184" t="s">
        <v>2499</v>
      </c>
      <c r="E661" s="183" t="s">
        <v>2500</v>
      </c>
      <c r="F661" s="184" t="s">
        <v>2501</v>
      </c>
      <c r="G661" s="183" t="s">
        <v>2625</v>
      </c>
      <c r="H661" s="184" t="s">
        <v>2626</v>
      </c>
      <c r="J661" s="188"/>
      <c r="K661" s="183" t="s">
        <v>2627</v>
      </c>
      <c r="L661" s="184" t="s">
        <v>2628</v>
      </c>
      <c r="M661" s="184" t="s">
        <v>2658</v>
      </c>
      <c r="N661" s="189">
        <v>0</v>
      </c>
      <c r="O661" s="192">
        <v>0</v>
      </c>
      <c r="P661" s="192">
        <v>1</v>
      </c>
      <c r="Q661" s="192">
        <v>0</v>
      </c>
      <c r="R661" s="192">
        <v>1</v>
      </c>
      <c r="S661" s="192">
        <v>0</v>
      </c>
      <c r="T661" s="184" t="s">
        <v>2507</v>
      </c>
      <c r="U661" s="283" t="e">
        <v>#N/A</v>
      </c>
      <c r="V661" s="184" t="s">
        <v>2659</v>
      </c>
      <c r="W661" s="184">
        <v>1</v>
      </c>
      <c r="X661" s="184">
        <v>1</v>
      </c>
      <c r="Y661" s="184">
        <v>1</v>
      </c>
      <c r="Z661" s="184">
        <v>1</v>
      </c>
      <c r="AA661" s="184">
        <v>1</v>
      </c>
      <c r="AB661" s="184">
        <v>1</v>
      </c>
      <c r="AC661" s="316">
        <v>1</v>
      </c>
      <c r="AD661" s="316">
        <v>1</v>
      </c>
      <c r="AE661" s="302">
        <f t="shared" si="65"/>
        <v>1</v>
      </c>
      <c r="AF661" s="186"/>
      <c r="AG661" s="17">
        <v>0</v>
      </c>
      <c r="AH661" s="186">
        <v>0</v>
      </c>
      <c r="AI661" s="186">
        <v>10</v>
      </c>
      <c r="AJ661" s="186">
        <v>0</v>
      </c>
      <c r="AK661" s="187">
        <v>0</v>
      </c>
      <c r="AL661" s="187">
        <v>0</v>
      </c>
      <c r="AM661" s="17">
        <f t="shared" si="66"/>
        <v>0</v>
      </c>
      <c r="AN661" s="184" t="s">
        <v>2509</v>
      </c>
      <c r="AO661" s="168" t="s">
        <v>2510</v>
      </c>
      <c r="AP661" s="184" t="s">
        <v>63</v>
      </c>
    </row>
    <row r="662" spans="1:42" s="184" customFormat="1" x14ac:dyDescent="0.3">
      <c r="A662" s="183" t="s">
        <v>1453</v>
      </c>
      <c r="B662" s="184" t="s">
        <v>2496</v>
      </c>
      <c r="C662" s="183" t="s">
        <v>2498</v>
      </c>
      <c r="D662" s="184" t="s">
        <v>2499</v>
      </c>
      <c r="E662" s="183" t="s">
        <v>2500</v>
      </c>
      <c r="F662" s="184" t="s">
        <v>2501</v>
      </c>
      <c r="G662" s="183" t="s">
        <v>2625</v>
      </c>
      <c r="H662" s="184" t="s">
        <v>2626</v>
      </c>
      <c r="J662" s="188"/>
      <c r="K662" s="183" t="s">
        <v>2627</v>
      </c>
      <c r="L662" s="184" t="s">
        <v>2628</v>
      </c>
      <c r="M662" s="184" t="s">
        <v>2660</v>
      </c>
      <c r="N662" s="189">
        <v>3</v>
      </c>
      <c r="O662" s="189">
        <v>3</v>
      </c>
      <c r="P662" s="189">
        <v>3</v>
      </c>
      <c r="Q662" s="189">
        <v>3</v>
      </c>
      <c r="R662" s="189">
        <v>2</v>
      </c>
      <c r="S662" s="189">
        <v>1</v>
      </c>
      <c r="T662" s="184" t="s">
        <v>2661</v>
      </c>
      <c r="U662" s="283" t="e">
        <v>#N/A</v>
      </c>
      <c r="V662" s="184" t="s">
        <v>2662</v>
      </c>
      <c r="W662" s="184">
        <v>1</v>
      </c>
      <c r="X662" s="184">
        <v>1</v>
      </c>
      <c r="Y662" s="184">
        <v>1</v>
      </c>
      <c r="Z662" s="184">
        <v>1</v>
      </c>
      <c r="AA662" s="184">
        <v>1</v>
      </c>
      <c r="AB662" s="184">
        <v>1</v>
      </c>
      <c r="AC662" s="316">
        <v>1</v>
      </c>
      <c r="AD662" s="316">
        <v>1</v>
      </c>
      <c r="AE662" s="302">
        <f t="shared" si="65"/>
        <v>1</v>
      </c>
      <c r="AF662" s="186"/>
      <c r="AG662" s="17">
        <v>0</v>
      </c>
      <c r="AH662" s="186">
        <v>0</v>
      </c>
      <c r="AI662" s="186">
        <v>5.3</v>
      </c>
      <c r="AJ662" s="186">
        <v>12</v>
      </c>
      <c r="AK662" s="187">
        <v>9.1999999999999993</v>
      </c>
      <c r="AL662" s="187">
        <v>6</v>
      </c>
      <c r="AM662" s="17">
        <f t="shared" si="66"/>
        <v>15.2</v>
      </c>
      <c r="AN662" s="184" t="s">
        <v>63</v>
      </c>
      <c r="AO662" s="168" t="s">
        <v>2510</v>
      </c>
      <c r="AP662" s="184" t="s">
        <v>119</v>
      </c>
    </row>
    <row r="663" spans="1:42" s="184" customFormat="1" x14ac:dyDescent="0.3">
      <c r="A663" s="183" t="s">
        <v>1453</v>
      </c>
      <c r="B663" s="184" t="s">
        <v>2496</v>
      </c>
      <c r="C663" s="183" t="s">
        <v>2498</v>
      </c>
      <c r="D663" s="184" t="s">
        <v>2499</v>
      </c>
      <c r="E663" s="183" t="s">
        <v>2500</v>
      </c>
      <c r="F663" s="184" t="s">
        <v>2501</v>
      </c>
      <c r="G663" s="183" t="s">
        <v>2625</v>
      </c>
      <c r="H663" s="184" t="s">
        <v>2626</v>
      </c>
      <c r="J663" s="188"/>
      <c r="K663" s="183" t="s">
        <v>2627</v>
      </c>
      <c r="L663" s="184" t="s">
        <v>2628</v>
      </c>
      <c r="M663" s="184" t="s">
        <v>2663</v>
      </c>
      <c r="N663" s="189" t="s">
        <v>271</v>
      </c>
      <c r="O663" s="189">
        <v>0</v>
      </c>
      <c r="P663" s="189">
        <v>0</v>
      </c>
      <c r="Q663" s="189">
        <v>1</v>
      </c>
      <c r="R663" s="189">
        <v>1</v>
      </c>
      <c r="S663" s="189">
        <v>1</v>
      </c>
      <c r="T663" s="184" t="s">
        <v>63</v>
      </c>
      <c r="U663" s="283" t="s">
        <v>2510</v>
      </c>
      <c r="V663" s="184" t="s">
        <v>2664</v>
      </c>
      <c r="W663" s="184">
        <v>1</v>
      </c>
      <c r="X663" s="184">
        <v>1</v>
      </c>
      <c r="Y663" s="184">
        <v>1</v>
      </c>
      <c r="Z663" s="184">
        <v>1</v>
      </c>
      <c r="AA663" s="184">
        <v>1</v>
      </c>
      <c r="AB663" s="184">
        <v>1</v>
      </c>
      <c r="AC663" s="316">
        <v>1</v>
      </c>
      <c r="AD663" s="316">
        <v>1</v>
      </c>
      <c r="AE663" s="302">
        <f t="shared" si="65"/>
        <v>1</v>
      </c>
      <c r="AF663" s="186"/>
      <c r="AG663" s="17">
        <v>0</v>
      </c>
      <c r="AH663" s="186">
        <v>0</v>
      </c>
      <c r="AI663" s="186">
        <v>0</v>
      </c>
      <c r="AJ663" s="186">
        <v>0</v>
      </c>
      <c r="AK663" s="187">
        <v>2</v>
      </c>
      <c r="AL663" s="187">
        <v>2</v>
      </c>
      <c r="AM663" s="17">
        <f t="shared" si="66"/>
        <v>4</v>
      </c>
      <c r="AN663" s="184" t="s">
        <v>63</v>
      </c>
      <c r="AO663" s="168" t="s">
        <v>2510</v>
      </c>
      <c r="AP663" s="184" t="s">
        <v>119</v>
      </c>
    </row>
    <row r="664" spans="1:42" s="184" customFormat="1" x14ac:dyDescent="0.3">
      <c r="A664" s="183" t="s">
        <v>1453</v>
      </c>
      <c r="B664" s="184" t="s">
        <v>2496</v>
      </c>
      <c r="C664" s="183" t="s">
        <v>2498</v>
      </c>
      <c r="D664" s="184" t="s">
        <v>2499</v>
      </c>
      <c r="E664" s="183" t="s">
        <v>2500</v>
      </c>
      <c r="F664" s="184" t="s">
        <v>2501</v>
      </c>
      <c r="G664" s="183" t="s">
        <v>2625</v>
      </c>
      <c r="H664" s="184" t="s">
        <v>2626</v>
      </c>
      <c r="J664" s="188"/>
      <c r="K664" s="183" t="s">
        <v>2627</v>
      </c>
      <c r="L664" s="184" t="s">
        <v>2628</v>
      </c>
      <c r="M664" s="184" t="s">
        <v>2665</v>
      </c>
      <c r="N664" s="189"/>
      <c r="O664" s="189">
        <v>80</v>
      </c>
      <c r="P664" s="189">
        <v>80</v>
      </c>
      <c r="Q664" s="189">
        <v>70</v>
      </c>
      <c r="R664" s="189">
        <v>70</v>
      </c>
      <c r="S664" s="189">
        <v>70</v>
      </c>
      <c r="T664" s="184" t="s">
        <v>63</v>
      </c>
      <c r="U664" s="283" t="s">
        <v>2510</v>
      </c>
      <c r="V664" s="184" t="s">
        <v>2666</v>
      </c>
      <c r="W664" s="184">
        <v>1</v>
      </c>
      <c r="X664" s="184">
        <v>1</v>
      </c>
      <c r="Y664" s="184">
        <v>1</v>
      </c>
      <c r="Z664" s="184">
        <v>1</v>
      </c>
      <c r="AA664" s="184">
        <v>1</v>
      </c>
      <c r="AB664" s="184">
        <v>1</v>
      </c>
      <c r="AC664" s="316">
        <v>1</v>
      </c>
      <c r="AD664" s="316">
        <v>1</v>
      </c>
      <c r="AE664" s="302">
        <f t="shared" si="65"/>
        <v>1</v>
      </c>
      <c r="AF664" s="186"/>
      <c r="AG664" s="17">
        <v>0</v>
      </c>
      <c r="AH664" s="186">
        <v>10</v>
      </c>
      <c r="AI664" s="186">
        <v>15</v>
      </c>
      <c r="AJ664" s="186">
        <v>20</v>
      </c>
      <c r="AK664" s="187">
        <v>25</v>
      </c>
      <c r="AL664" s="187">
        <v>30</v>
      </c>
      <c r="AM664" s="17">
        <f t="shared" si="66"/>
        <v>55</v>
      </c>
      <c r="AN664" s="184" t="s">
        <v>63</v>
      </c>
      <c r="AO664" s="168" t="s">
        <v>2510</v>
      </c>
      <c r="AP664" s="184" t="s">
        <v>119</v>
      </c>
    </row>
    <row r="665" spans="1:42" s="184" customFormat="1" x14ac:dyDescent="0.3">
      <c r="A665" s="183" t="s">
        <v>1453</v>
      </c>
      <c r="B665" s="184" t="s">
        <v>2496</v>
      </c>
      <c r="C665" s="183" t="s">
        <v>2498</v>
      </c>
      <c r="D665" s="184" t="s">
        <v>2499</v>
      </c>
      <c r="E665" s="183" t="s">
        <v>2500</v>
      </c>
      <c r="F665" s="184" t="s">
        <v>2501</v>
      </c>
      <c r="G665" s="183" t="s">
        <v>2625</v>
      </c>
      <c r="H665" s="184" t="s">
        <v>2626</v>
      </c>
      <c r="I665" s="193"/>
      <c r="J665" s="193"/>
      <c r="K665" s="183" t="s">
        <v>2627</v>
      </c>
      <c r="L665" s="184" t="s">
        <v>2628</v>
      </c>
      <c r="M665" s="184" t="s">
        <v>2667</v>
      </c>
      <c r="N665" s="189">
        <v>12</v>
      </c>
      <c r="O665" s="189" t="s">
        <v>2631</v>
      </c>
      <c r="P665" s="189">
        <v>13</v>
      </c>
      <c r="Q665" s="189">
        <v>5</v>
      </c>
      <c r="R665" s="189" t="s">
        <v>2631</v>
      </c>
      <c r="S665" s="189" t="s">
        <v>2631</v>
      </c>
      <c r="T665" s="184" t="s">
        <v>63</v>
      </c>
      <c r="U665" s="283" t="s">
        <v>2510</v>
      </c>
      <c r="V665" s="184" t="s">
        <v>2668</v>
      </c>
      <c r="W665" s="184">
        <v>1</v>
      </c>
      <c r="X665" s="184">
        <v>1</v>
      </c>
      <c r="Y665" s="184">
        <v>1</v>
      </c>
      <c r="Z665" s="184">
        <v>1</v>
      </c>
      <c r="AA665" s="184">
        <v>1</v>
      </c>
      <c r="AB665" s="184">
        <v>1</v>
      </c>
      <c r="AC665" s="316">
        <v>1</v>
      </c>
      <c r="AD665" s="316">
        <v>1</v>
      </c>
      <c r="AE665" s="302">
        <f t="shared" si="65"/>
        <v>1</v>
      </c>
      <c r="AF665" s="186"/>
      <c r="AG665" s="17">
        <v>0</v>
      </c>
      <c r="AH665" s="186" t="s">
        <v>2631</v>
      </c>
      <c r="AI665" s="186">
        <v>0</v>
      </c>
      <c r="AJ665" s="186">
        <v>0</v>
      </c>
      <c r="AK665" s="187">
        <v>0</v>
      </c>
      <c r="AL665" s="187">
        <v>46</v>
      </c>
      <c r="AM665" s="17">
        <f t="shared" si="66"/>
        <v>46</v>
      </c>
      <c r="AN665" s="184" t="s">
        <v>63</v>
      </c>
      <c r="AO665" s="168" t="s">
        <v>2510</v>
      </c>
      <c r="AP665" s="184" t="s">
        <v>119</v>
      </c>
    </row>
    <row r="666" spans="1:42" s="184" customFormat="1" x14ac:dyDescent="0.3">
      <c r="A666" s="183" t="s">
        <v>1453</v>
      </c>
      <c r="B666" s="184" t="s">
        <v>2496</v>
      </c>
      <c r="C666" s="183" t="s">
        <v>2498</v>
      </c>
      <c r="D666" s="184" t="s">
        <v>2499</v>
      </c>
      <c r="E666" s="183" t="s">
        <v>2500</v>
      </c>
      <c r="F666" s="184" t="s">
        <v>2501</v>
      </c>
      <c r="G666" s="183" t="s">
        <v>2625</v>
      </c>
      <c r="H666" s="184" t="s">
        <v>2626</v>
      </c>
      <c r="K666" s="183" t="s">
        <v>2627</v>
      </c>
      <c r="L666" s="184" t="s">
        <v>2628</v>
      </c>
      <c r="M666" s="184" t="s">
        <v>2669</v>
      </c>
      <c r="N666" s="185">
        <v>0</v>
      </c>
      <c r="O666" s="185">
        <v>0</v>
      </c>
      <c r="P666" s="185">
        <v>0</v>
      </c>
      <c r="Q666" s="185">
        <v>0</v>
      </c>
      <c r="R666" s="185">
        <v>0</v>
      </c>
      <c r="S666" s="185">
        <v>1</v>
      </c>
      <c r="T666" s="184" t="s">
        <v>2661</v>
      </c>
      <c r="U666" s="283" t="e">
        <v>#N/A</v>
      </c>
      <c r="V666" s="184" t="s">
        <v>2670</v>
      </c>
      <c r="W666" s="184">
        <v>1</v>
      </c>
      <c r="X666" s="184">
        <v>1</v>
      </c>
      <c r="Y666" s="184">
        <v>1</v>
      </c>
      <c r="Z666" s="184">
        <v>1</v>
      </c>
      <c r="AA666" s="184">
        <v>1</v>
      </c>
      <c r="AB666" s="184">
        <v>1</v>
      </c>
      <c r="AC666" s="316">
        <v>1</v>
      </c>
      <c r="AD666" s="316">
        <v>1</v>
      </c>
      <c r="AE666" s="302">
        <f t="shared" si="65"/>
        <v>1</v>
      </c>
      <c r="AF666" s="186"/>
      <c r="AG666" s="17">
        <v>0</v>
      </c>
      <c r="AH666" s="186">
        <v>0</v>
      </c>
      <c r="AI666" s="186">
        <v>0</v>
      </c>
      <c r="AJ666" s="186">
        <v>0</v>
      </c>
      <c r="AK666" s="187">
        <v>5</v>
      </c>
      <c r="AL666" s="187">
        <v>10</v>
      </c>
      <c r="AM666" s="17">
        <f t="shared" si="66"/>
        <v>15</v>
      </c>
      <c r="AN666" s="184" t="s">
        <v>63</v>
      </c>
      <c r="AO666" s="168" t="s">
        <v>2510</v>
      </c>
      <c r="AP666" s="184" t="s">
        <v>119</v>
      </c>
    </row>
    <row r="667" spans="1:42" s="184" customFormat="1" x14ac:dyDescent="0.3">
      <c r="A667" s="183" t="s">
        <v>1453</v>
      </c>
      <c r="B667" s="184" t="s">
        <v>2496</v>
      </c>
      <c r="C667" s="183" t="s">
        <v>2498</v>
      </c>
      <c r="D667" s="184" t="s">
        <v>2499</v>
      </c>
      <c r="E667" s="183" t="s">
        <v>2500</v>
      </c>
      <c r="F667" s="184" t="s">
        <v>2501</v>
      </c>
      <c r="G667" s="183" t="s">
        <v>2625</v>
      </c>
      <c r="H667" s="184" t="s">
        <v>2626</v>
      </c>
      <c r="J667" s="188"/>
      <c r="K667" s="183" t="s">
        <v>2627</v>
      </c>
      <c r="L667" s="184" t="s">
        <v>2628</v>
      </c>
      <c r="M667" s="184" t="s">
        <v>2671</v>
      </c>
      <c r="N667" s="189" t="s">
        <v>2631</v>
      </c>
      <c r="O667" s="189" t="s">
        <v>2631</v>
      </c>
      <c r="P667" s="189">
        <v>60</v>
      </c>
      <c r="Q667" s="189">
        <v>40</v>
      </c>
      <c r="R667" s="189" t="s">
        <v>2631</v>
      </c>
      <c r="S667" s="189"/>
      <c r="T667" s="184" t="s">
        <v>63</v>
      </c>
      <c r="U667" s="283" t="s">
        <v>2510</v>
      </c>
      <c r="V667" s="184" t="s">
        <v>2672</v>
      </c>
      <c r="W667" s="184">
        <v>1</v>
      </c>
      <c r="X667" s="184">
        <v>1</v>
      </c>
      <c r="Y667" s="184">
        <v>1</v>
      </c>
      <c r="Z667" s="184">
        <v>0</v>
      </c>
      <c r="AA667" s="184">
        <v>0</v>
      </c>
      <c r="AB667" s="184">
        <v>1</v>
      </c>
      <c r="AC667" s="316">
        <v>1</v>
      </c>
      <c r="AD667" s="316">
        <v>1</v>
      </c>
      <c r="AE667" s="302">
        <f t="shared" si="65"/>
        <v>0.75</v>
      </c>
      <c r="AF667" s="186"/>
      <c r="AG667" s="17">
        <v>0</v>
      </c>
      <c r="AH667" s="186">
        <v>0</v>
      </c>
      <c r="AI667" s="186">
        <v>0</v>
      </c>
      <c r="AJ667" s="186">
        <v>0</v>
      </c>
      <c r="AK667" s="187">
        <v>2</v>
      </c>
      <c r="AL667" s="187">
        <v>3</v>
      </c>
      <c r="AM667" s="17">
        <f t="shared" si="66"/>
        <v>5</v>
      </c>
      <c r="AN667" s="184" t="s">
        <v>63</v>
      </c>
      <c r="AO667" s="168" t="s">
        <v>2510</v>
      </c>
      <c r="AP667" s="184" t="s">
        <v>119</v>
      </c>
    </row>
    <row r="668" spans="1:42" s="184" customFormat="1" x14ac:dyDescent="0.3">
      <c r="A668" s="183" t="s">
        <v>1453</v>
      </c>
      <c r="B668" s="184" t="s">
        <v>2496</v>
      </c>
      <c r="C668" s="183" t="s">
        <v>2498</v>
      </c>
      <c r="D668" s="184" t="s">
        <v>2499</v>
      </c>
      <c r="E668" s="183" t="s">
        <v>2500</v>
      </c>
      <c r="F668" s="184" t="s">
        <v>2501</v>
      </c>
      <c r="G668" s="183" t="s">
        <v>2625</v>
      </c>
      <c r="H668" s="184" t="s">
        <v>2626</v>
      </c>
      <c r="J668" s="188"/>
      <c r="K668" s="183" t="s">
        <v>2627</v>
      </c>
      <c r="L668" s="184" t="s">
        <v>2628</v>
      </c>
      <c r="M668" s="184" t="s">
        <v>2673</v>
      </c>
      <c r="N668" s="189" t="s">
        <v>271</v>
      </c>
      <c r="O668" s="189" t="s">
        <v>271</v>
      </c>
      <c r="P668" s="189" t="s">
        <v>271</v>
      </c>
      <c r="Q668" s="189">
        <v>204</v>
      </c>
      <c r="R668" s="189">
        <v>204</v>
      </c>
      <c r="S668" s="189">
        <v>237</v>
      </c>
      <c r="T668" s="184" t="s">
        <v>63</v>
      </c>
      <c r="U668" s="283" t="s">
        <v>2510</v>
      </c>
      <c r="V668" s="184" t="s">
        <v>2674</v>
      </c>
      <c r="W668" s="184">
        <v>1</v>
      </c>
      <c r="X668" s="184">
        <v>1</v>
      </c>
      <c r="Y668" s="184">
        <v>1</v>
      </c>
      <c r="Z668" s="184">
        <v>1</v>
      </c>
      <c r="AA668" s="184">
        <v>1</v>
      </c>
      <c r="AB668" s="184">
        <v>1</v>
      </c>
      <c r="AC668" s="316">
        <v>1</v>
      </c>
      <c r="AD668" s="316">
        <v>1</v>
      </c>
      <c r="AE668" s="302">
        <f t="shared" si="65"/>
        <v>1</v>
      </c>
      <c r="AF668" s="186"/>
      <c r="AG668" s="17">
        <v>0</v>
      </c>
      <c r="AH668" s="186">
        <v>0</v>
      </c>
      <c r="AI668" s="186">
        <v>0</v>
      </c>
      <c r="AJ668" s="186">
        <v>5</v>
      </c>
      <c r="AK668" s="187">
        <v>6</v>
      </c>
      <c r="AL668" s="187">
        <v>7</v>
      </c>
      <c r="AM668" s="17">
        <f t="shared" si="66"/>
        <v>13</v>
      </c>
      <c r="AN668" s="184" t="s">
        <v>63</v>
      </c>
      <c r="AO668" s="168" t="s">
        <v>2510</v>
      </c>
      <c r="AP668" s="184" t="s">
        <v>119</v>
      </c>
    </row>
    <row r="669" spans="1:42" s="184" customFormat="1" hidden="1" x14ac:dyDescent="0.3">
      <c r="A669" s="183" t="s">
        <v>1453</v>
      </c>
      <c r="B669" s="184" t="s">
        <v>2496</v>
      </c>
      <c r="C669" s="183" t="s">
        <v>2498</v>
      </c>
      <c r="D669" s="184" t="s">
        <v>2499</v>
      </c>
      <c r="E669" s="183" t="s">
        <v>2500</v>
      </c>
      <c r="F669" s="184" t="s">
        <v>2501</v>
      </c>
      <c r="G669" s="183" t="s">
        <v>2625</v>
      </c>
      <c r="H669" s="184" t="s">
        <v>2626</v>
      </c>
      <c r="J669" s="188"/>
      <c r="K669" s="183" t="s">
        <v>2627</v>
      </c>
      <c r="L669" s="184" t="s">
        <v>2628</v>
      </c>
      <c r="M669" s="184" t="s">
        <v>2675</v>
      </c>
      <c r="N669" s="189" t="s">
        <v>271</v>
      </c>
      <c r="O669" s="189">
        <v>70</v>
      </c>
      <c r="P669" s="189">
        <v>70</v>
      </c>
      <c r="Q669" s="189">
        <v>70</v>
      </c>
      <c r="R669" s="189">
        <v>70</v>
      </c>
      <c r="S669" s="189">
        <v>70</v>
      </c>
      <c r="T669" s="184" t="s">
        <v>63</v>
      </c>
      <c r="U669" s="283" t="s">
        <v>2510</v>
      </c>
      <c r="V669" s="184" t="s">
        <v>2676</v>
      </c>
      <c r="W669" s="184">
        <v>0</v>
      </c>
      <c r="X669" s="184">
        <v>0</v>
      </c>
      <c r="Y669" s="184">
        <v>0</v>
      </c>
      <c r="Z669" s="184">
        <v>1</v>
      </c>
      <c r="AA669" s="184">
        <v>1</v>
      </c>
      <c r="AB669" s="184">
        <v>0</v>
      </c>
      <c r="AC669" s="316">
        <v>0</v>
      </c>
      <c r="AD669" s="316">
        <v>1</v>
      </c>
      <c r="AE669" s="302">
        <f t="shared" si="65"/>
        <v>0.375</v>
      </c>
      <c r="AF669" s="186"/>
      <c r="AG669" s="17">
        <v>0</v>
      </c>
      <c r="AH669" s="186">
        <v>1</v>
      </c>
      <c r="AI669" s="186">
        <v>1.2</v>
      </c>
      <c r="AJ669" s="186">
        <v>1.2</v>
      </c>
      <c r="AK669" s="187">
        <v>1.3</v>
      </c>
      <c r="AL669" s="187">
        <v>1.3</v>
      </c>
      <c r="AM669" s="17">
        <f t="shared" si="66"/>
        <v>2.6</v>
      </c>
      <c r="AN669" s="184" t="s">
        <v>63</v>
      </c>
      <c r="AO669" s="168" t="s">
        <v>2510</v>
      </c>
      <c r="AP669" s="184" t="s">
        <v>119</v>
      </c>
    </row>
    <row r="670" spans="1:42" s="184" customFormat="1" hidden="1" x14ac:dyDescent="0.3">
      <c r="A670" s="183" t="s">
        <v>1453</v>
      </c>
      <c r="B670" s="184" t="s">
        <v>2496</v>
      </c>
      <c r="C670" s="183" t="s">
        <v>2498</v>
      </c>
      <c r="D670" s="184" t="s">
        <v>2499</v>
      </c>
      <c r="E670" s="183" t="s">
        <v>2500</v>
      </c>
      <c r="F670" s="184" t="s">
        <v>2501</v>
      </c>
      <c r="G670" s="183" t="s">
        <v>2625</v>
      </c>
      <c r="H670" s="184" t="s">
        <v>2626</v>
      </c>
      <c r="J670" s="188"/>
      <c r="K670" s="183" t="s">
        <v>2627</v>
      </c>
      <c r="L670" s="184" t="s">
        <v>2628</v>
      </c>
      <c r="M670" s="184" t="s">
        <v>2677</v>
      </c>
      <c r="N670" s="189" t="s">
        <v>271</v>
      </c>
      <c r="O670" s="189">
        <v>70</v>
      </c>
      <c r="P670" s="189">
        <v>70</v>
      </c>
      <c r="Q670" s="189">
        <v>70</v>
      </c>
      <c r="R670" s="189">
        <v>70</v>
      </c>
      <c r="S670" s="189">
        <v>70</v>
      </c>
      <c r="T670" s="184" t="s">
        <v>63</v>
      </c>
      <c r="U670" s="283" t="s">
        <v>2510</v>
      </c>
      <c r="V670" s="184" t="s">
        <v>2678</v>
      </c>
      <c r="W670" s="184">
        <v>0</v>
      </c>
      <c r="X670" s="184">
        <v>0</v>
      </c>
      <c r="Y670" s="184">
        <v>0</v>
      </c>
      <c r="Z670" s="184">
        <v>1</v>
      </c>
      <c r="AA670" s="184">
        <v>1</v>
      </c>
      <c r="AB670" s="184">
        <v>0</v>
      </c>
      <c r="AC670" s="316">
        <v>0</v>
      </c>
      <c r="AD670" s="316">
        <v>1</v>
      </c>
      <c r="AE670" s="302">
        <f t="shared" si="65"/>
        <v>0.375</v>
      </c>
      <c r="AF670" s="186"/>
      <c r="AG670" s="17">
        <v>0</v>
      </c>
      <c r="AH670" s="186">
        <v>0</v>
      </c>
      <c r="AI670" s="186">
        <v>0</v>
      </c>
      <c r="AJ670" s="186">
        <v>0.2</v>
      </c>
      <c r="AK670" s="187">
        <v>0.2</v>
      </c>
      <c r="AL670" s="187">
        <v>0.2</v>
      </c>
      <c r="AM670" s="17">
        <f t="shared" si="66"/>
        <v>0.4</v>
      </c>
      <c r="AN670" s="184" t="s">
        <v>63</v>
      </c>
      <c r="AO670" s="168" t="s">
        <v>2510</v>
      </c>
      <c r="AP670" s="184" t="s">
        <v>119</v>
      </c>
    </row>
    <row r="671" spans="1:42" s="184" customFormat="1" x14ac:dyDescent="0.3">
      <c r="A671" s="183" t="s">
        <v>1453</v>
      </c>
      <c r="B671" s="184" t="s">
        <v>2496</v>
      </c>
      <c r="C671" s="183" t="s">
        <v>2498</v>
      </c>
      <c r="D671" s="184" t="s">
        <v>2499</v>
      </c>
      <c r="E671" s="183" t="s">
        <v>2500</v>
      </c>
      <c r="F671" s="184" t="s">
        <v>2501</v>
      </c>
      <c r="G671" s="183" t="s">
        <v>2625</v>
      </c>
      <c r="H671" s="184" t="s">
        <v>2626</v>
      </c>
      <c r="J671" s="188"/>
      <c r="K671" s="183" t="s">
        <v>2627</v>
      </c>
      <c r="L671" s="184" t="s">
        <v>2628</v>
      </c>
      <c r="M671" s="184" t="s">
        <v>2679</v>
      </c>
      <c r="N671" s="189" t="s">
        <v>271</v>
      </c>
      <c r="O671" s="189" t="s">
        <v>271</v>
      </c>
      <c r="P671" s="189">
        <v>2</v>
      </c>
      <c r="Q671" s="189">
        <v>2</v>
      </c>
      <c r="R671" s="189">
        <v>2</v>
      </c>
      <c r="S671" s="189">
        <v>2</v>
      </c>
      <c r="T671" s="184" t="s">
        <v>63</v>
      </c>
      <c r="U671" s="283" t="s">
        <v>2510</v>
      </c>
      <c r="V671" s="184" t="s">
        <v>2680</v>
      </c>
      <c r="W671" s="184">
        <v>1</v>
      </c>
      <c r="X671" s="184">
        <v>1</v>
      </c>
      <c r="Y671" s="184">
        <v>1</v>
      </c>
      <c r="Z671" s="184">
        <v>1</v>
      </c>
      <c r="AA671" s="184">
        <v>1</v>
      </c>
      <c r="AB671" s="184">
        <v>1</v>
      </c>
      <c r="AC671" s="316">
        <v>1</v>
      </c>
      <c r="AD671" s="316">
        <v>1</v>
      </c>
      <c r="AE671" s="302">
        <f t="shared" si="65"/>
        <v>1</v>
      </c>
      <c r="AF671" s="186"/>
      <c r="AG671" s="17">
        <v>0</v>
      </c>
      <c r="AH671" s="186">
        <v>0</v>
      </c>
      <c r="AI671" s="186">
        <v>5</v>
      </c>
      <c r="AJ671" s="186">
        <v>5</v>
      </c>
      <c r="AK671" s="187">
        <v>4</v>
      </c>
      <c r="AL671" s="187">
        <v>4</v>
      </c>
      <c r="AM671" s="17">
        <f t="shared" si="66"/>
        <v>8</v>
      </c>
      <c r="AN671" s="184" t="s">
        <v>63</v>
      </c>
      <c r="AO671" s="168" t="s">
        <v>2510</v>
      </c>
      <c r="AP671" s="184" t="s">
        <v>119</v>
      </c>
    </row>
    <row r="672" spans="1:42" s="184" customFormat="1" hidden="1" x14ac:dyDescent="0.3">
      <c r="A672" s="183" t="s">
        <v>1453</v>
      </c>
      <c r="B672" s="184" t="s">
        <v>2496</v>
      </c>
      <c r="C672" s="183" t="s">
        <v>2498</v>
      </c>
      <c r="D672" s="184" t="s">
        <v>2499</v>
      </c>
      <c r="E672" s="183" t="s">
        <v>2500</v>
      </c>
      <c r="F672" s="184" t="s">
        <v>2501</v>
      </c>
      <c r="G672" s="183" t="s">
        <v>2625</v>
      </c>
      <c r="H672" s="184" t="s">
        <v>2626</v>
      </c>
      <c r="J672" s="188"/>
      <c r="K672" s="183" t="s">
        <v>2627</v>
      </c>
      <c r="L672" s="184" t="s">
        <v>2628</v>
      </c>
      <c r="M672" s="184" t="s">
        <v>2681</v>
      </c>
      <c r="N672" s="189" t="s">
        <v>271</v>
      </c>
      <c r="O672" s="189" t="s">
        <v>271</v>
      </c>
      <c r="P672" s="189">
        <v>50</v>
      </c>
      <c r="Q672" s="189">
        <v>50</v>
      </c>
      <c r="R672" s="189" t="s">
        <v>271</v>
      </c>
      <c r="S672" s="189" t="s">
        <v>271</v>
      </c>
      <c r="T672" s="184" t="s">
        <v>63</v>
      </c>
      <c r="U672" s="283" t="s">
        <v>2510</v>
      </c>
      <c r="V672" s="184" t="s">
        <v>2682</v>
      </c>
      <c r="W672" s="184">
        <v>0</v>
      </c>
      <c r="X672" s="184">
        <v>0</v>
      </c>
      <c r="Y672" s="184">
        <v>0</v>
      </c>
      <c r="Z672" s="184">
        <v>0</v>
      </c>
      <c r="AA672" s="184">
        <v>0</v>
      </c>
      <c r="AB672" s="184">
        <v>0</v>
      </c>
      <c r="AC672" s="316">
        <v>1</v>
      </c>
      <c r="AD672" s="316">
        <v>1</v>
      </c>
      <c r="AE672" s="302">
        <f t="shared" si="65"/>
        <v>0.25</v>
      </c>
      <c r="AF672" s="186"/>
      <c r="AG672" s="17">
        <v>0</v>
      </c>
      <c r="AH672" s="186">
        <v>2</v>
      </c>
      <c r="AI672" s="186">
        <v>7</v>
      </c>
      <c r="AJ672" s="186">
        <v>15</v>
      </c>
      <c r="AK672" s="187"/>
      <c r="AL672" s="187">
        <v>2</v>
      </c>
      <c r="AM672" s="17">
        <f t="shared" si="66"/>
        <v>2</v>
      </c>
      <c r="AN672" s="184" t="s">
        <v>63</v>
      </c>
      <c r="AO672" s="168" t="s">
        <v>2510</v>
      </c>
      <c r="AP672" s="184" t="s">
        <v>119</v>
      </c>
    </row>
    <row r="673" spans="1:42" s="184" customFormat="1" x14ac:dyDescent="0.3">
      <c r="A673" s="183" t="s">
        <v>1453</v>
      </c>
      <c r="B673" s="184" t="s">
        <v>2496</v>
      </c>
      <c r="C673" s="183" t="s">
        <v>2498</v>
      </c>
      <c r="D673" s="184" t="s">
        <v>2499</v>
      </c>
      <c r="E673" s="183" t="s">
        <v>2500</v>
      </c>
      <c r="F673" s="184" t="s">
        <v>2501</v>
      </c>
      <c r="G673" s="183" t="s">
        <v>2625</v>
      </c>
      <c r="H673" s="184" t="s">
        <v>2626</v>
      </c>
      <c r="J673" s="188"/>
      <c r="K673" s="183" t="s">
        <v>2627</v>
      </c>
      <c r="L673" s="184" t="s">
        <v>2628</v>
      </c>
      <c r="M673" s="184" t="s">
        <v>2683</v>
      </c>
      <c r="N673" s="189">
        <v>10</v>
      </c>
      <c r="O673" s="189" t="s">
        <v>271</v>
      </c>
      <c r="P673" s="189" t="s">
        <v>271</v>
      </c>
      <c r="Q673" s="189">
        <v>2</v>
      </c>
      <c r="R673" s="189">
        <v>2</v>
      </c>
      <c r="S673" s="189" t="s">
        <v>271</v>
      </c>
      <c r="T673" s="184" t="s">
        <v>2528</v>
      </c>
      <c r="U673" s="283" t="s">
        <v>2530</v>
      </c>
      <c r="V673" s="184" t="s">
        <v>2684</v>
      </c>
      <c r="W673" s="184">
        <v>1</v>
      </c>
      <c r="X673" s="184">
        <v>1</v>
      </c>
      <c r="Y673" s="184">
        <v>1</v>
      </c>
      <c r="Z673" s="184">
        <v>1</v>
      </c>
      <c r="AA673" s="184">
        <v>1</v>
      </c>
      <c r="AB673" s="184">
        <v>1</v>
      </c>
      <c r="AC673" s="316">
        <v>1</v>
      </c>
      <c r="AD673" s="316">
        <v>1</v>
      </c>
      <c r="AE673" s="302">
        <f t="shared" ref="AE673:AE736" si="67">SUM(W673:AD673)/8</f>
        <v>1</v>
      </c>
      <c r="AF673" s="186"/>
      <c r="AG673" s="17">
        <v>0</v>
      </c>
      <c r="AH673" s="186">
        <v>0</v>
      </c>
      <c r="AI673" s="186">
        <v>15</v>
      </c>
      <c r="AJ673" s="186">
        <v>12</v>
      </c>
      <c r="AK673" s="187">
        <v>0</v>
      </c>
      <c r="AL673" s="187">
        <v>9</v>
      </c>
      <c r="AM673" s="17">
        <f t="shared" ref="AM673:AM736" si="68">SUM(AK673:AL673)</f>
        <v>9</v>
      </c>
      <c r="AN673" s="184" t="s">
        <v>2528</v>
      </c>
      <c r="AO673" s="168" t="s">
        <v>2530</v>
      </c>
      <c r="AP673" s="184" t="s">
        <v>119</v>
      </c>
    </row>
    <row r="674" spans="1:42" s="184" customFormat="1" x14ac:dyDescent="0.3">
      <c r="A674" s="183" t="s">
        <v>1453</v>
      </c>
      <c r="B674" s="184" t="s">
        <v>2496</v>
      </c>
      <c r="C674" s="183" t="s">
        <v>2498</v>
      </c>
      <c r="D674" s="184" t="s">
        <v>2499</v>
      </c>
      <c r="E674" s="183" t="s">
        <v>2500</v>
      </c>
      <c r="F674" s="184" t="s">
        <v>2501</v>
      </c>
      <c r="G674" s="183" t="s">
        <v>2625</v>
      </c>
      <c r="H674" s="184" t="s">
        <v>2626</v>
      </c>
      <c r="J674" s="188"/>
      <c r="K674" s="183" t="s">
        <v>2627</v>
      </c>
      <c r="L674" s="184" t="s">
        <v>2628</v>
      </c>
      <c r="M674" s="184" t="s">
        <v>2685</v>
      </c>
      <c r="N674" s="189" t="s">
        <v>271</v>
      </c>
      <c r="O674" s="189">
        <v>1</v>
      </c>
      <c r="P674" s="189">
        <v>2</v>
      </c>
      <c r="Q674" s="189">
        <v>2</v>
      </c>
      <c r="R674" s="189">
        <v>1</v>
      </c>
      <c r="S674" s="189">
        <v>2</v>
      </c>
      <c r="T674" s="184" t="s">
        <v>2528</v>
      </c>
      <c r="U674" s="283" t="s">
        <v>2530</v>
      </c>
      <c r="V674" s="184" t="s">
        <v>2686</v>
      </c>
      <c r="W674" s="184">
        <v>1</v>
      </c>
      <c r="X674" s="184">
        <v>1</v>
      </c>
      <c r="Y674" s="184">
        <v>1</v>
      </c>
      <c r="Z674" s="184">
        <v>1</v>
      </c>
      <c r="AA674" s="184">
        <v>1</v>
      </c>
      <c r="AB674" s="184">
        <v>1</v>
      </c>
      <c r="AC674" s="316">
        <v>1</v>
      </c>
      <c r="AD674" s="316">
        <v>1</v>
      </c>
      <c r="AE674" s="302">
        <f t="shared" si="67"/>
        <v>1</v>
      </c>
      <c r="AF674" s="186"/>
      <c r="AG674" s="17">
        <v>0</v>
      </c>
      <c r="AH674" s="186">
        <v>20</v>
      </c>
      <c r="AI674" s="186">
        <v>31</v>
      </c>
      <c r="AJ674" s="186">
        <v>38</v>
      </c>
      <c r="AK674" s="187">
        <v>19</v>
      </c>
      <c r="AL674" s="187">
        <v>28</v>
      </c>
      <c r="AM674" s="17">
        <f t="shared" si="68"/>
        <v>47</v>
      </c>
      <c r="AN674" s="184" t="s">
        <v>2528</v>
      </c>
      <c r="AO674" s="168" t="s">
        <v>2530</v>
      </c>
      <c r="AP674" s="184" t="s">
        <v>119</v>
      </c>
    </row>
    <row r="675" spans="1:42" s="184" customFormat="1" x14ac:dyDescent="0.3">
      <c r="A675" s="183" t="s">
        <v>1453</v>
      </c>
      <c r="B675" s="184" t="s">
        <v>2496</v>
      </c>
      <c r="C675" s="183" t="s">
        <v>2498</v>
      </c>
      <c r="D675" s="184" t="s">
        <v>2499</v>
      </c>
      <c r="E675" s="183" t="s">
        <v>2500</v>
      </c>
      <c r="F675" s="184" t="s">
        <v>2501</v>
      </c>
      <c r="G675" s="183" t="s">
        <v>2625</v>
      </c>
      <c r="H675" s="184" t="s">
        <v>2626</v>
      </c>
      <c r="J675" s="188"/>
      <c r="K675" s="183" t="s">
        <v>2627</v>
      </c>
      <c r="L675" s="184" t="s">
        <v>2628</v>
      </c>
      <c r="M675" s="184" t="s">
        <v>2687</v>
      </c>
      <c r="N675" s="189">
        <v>2</v>
      </c>
      <c r="O675" s="189">
        <v>0</v>
      </c>
      <c r="P675" s="189">
        <v>1</v>
      </c>
      <c r="Q675" s="189">
        <v>0</v>
      </c>
      <c r="R675" s="189">
        <v>1</v>
      </c>
      <c r="S675" s="189">
        <v>0</v>
      </c>
      <c r="T675" s="184" t="s">
        <v>2507</v>
      </c>
      <c r="U675" s="283" t="e">
        <v>#N/A</v>
      </c>
      <c r="V675" s="184" t="s">
        <v>2688</v>
      </c>
      <c r="W675" s="184">
        <v>1</v>
      </c>
      <c r="X675" s="184">
        <v>1</v>
      </c>
      <c r="Y675" s="184">
        <v>1</v>
      </c>
      <c r="Z675" s="184">
        <v>1</v>
      </c>
      <c r="AA675" s="184">
        <v>0</v>
      </c>
      <c r="AB675" s="184">
        <v>1</v>
      </c>
      <c r="AC675" s="316">
        <v>0</v>
      </c>
      <c r="AD675" s="316">
        <v>1</v>
      </c>
      <c r="AE675" s="302">
        <f t="shared" si="67"/>
        <v>0.75</v>
      </c>
      <c r="AF675" s="186"/>
      <c r="AG675" s="17">
        <v>0</v>
      </c>
      <c r="AH675" s="186">
        <v>0</v>
      </c>
      <c r="AI675" s="186">
        <v>0</v>
      </c>
      <c r="AJ675" s="186">
        <f>-AK676</f>
        <v>0</v>
      </c>
      <c r="AK675" s="187">
        <v>0</v>
      </c>
      <c r="AL675" s="187">
        <v>15</v>
      </c>
      <c r="AM675" s="17">
        <f t="shared" si="68"/>
        <v>15</v>
      </c>
      <c r="AN675" s="184" t="s">
        <v>2509</v>
      </c>
      <c r="AO675" s="168" t="s">
        <v>2510</v>
      </c>
      <c r="AP675" s="184" t="s">
        <v>63</v>
      </c>
    </row>
    <row r="676" spans="1:42" s="184" customFormat="1" x14ac:dyDescent="0.3">
      <c r="A676" s="183" t="s">
        <v>1453</v>
      </c>
      <c r="B676" s="184" t="s">
        <v>2496</v>
      </c>
      <c r="C676" s="183" t="s">
        <v>2498</v>
      </c>
      <c r="D676" s="184" t="s">
        <v>2499</v>
      </c>
      <c r="E676" s="183" t="s">
        <v>2500</v>
      </c>
      <c r="F676" s="184" t="s">
        <v>2501</v>
      </c>
      <c r="G676" s="183" t="s">
        <v>2625</v>
      </c>
      <c r="H676" s="184" t="s">
        <v>2626</v>
      </c>
      <c r="J676" s="188"/>
      <c r="K676" s="183" t="s">
        <v>2627</v>
      </c>
      <c r="L676" s="184" t="s">
        <v>2628</v>
      </c>
      <c r="M676" s="184" t="s">
        <v>2689</v>
      </c>
      <c r="N676" s="189"/>
      <c r="O676" s="189" t="s">
        <v>271</v>
      </c>
      <c r="P676" s="189" t="s">
        <v>271</v>
      </c>
      <c r="Q676" s="189">
        <v>49</v>
      </c>
      <c r="R676" s="189">
        <v>80</v>
      </c>
      <c r="S676" s="189">
        <v>100</v>
      </c>
      <c r="T676" s="184" t="s">
        <v>2643</v>
      </c>
      <c r="U676" s="283" t="e">
        <v>#N/A</v>
      </c>
      <c r="V676" s="184" t="s">
        <v>2690</v>
      </c>
      <c r="W676" s="184">
        <v>1</v>
      </c>
      <c r="X676" s="184">
        <v>1</v>
      </c>
      <c r="Y676" s="184">
        <v>1</v>
      </c>
      <c r="Z676" s="184">
        <v>1</v>
      </c>
      <c r="AA676" s="184">
        <v>1</v>
      </c>
      <c r="AB676" s="184">
        <v>1</v>
      </c>
      <c r="AC676" s="316">
        <v>0</v>
      </c>
      <c r="AD676" s="316">
        <v>1</v>
      </c>
      <c r="AE676" s="302">
        <f t="shared" si="67"/>
        <v>0.875</v>
      </c>
      <c r="AF676" s="186"/>
      <c r="AG676" s="17">
        <v>0</v>
      </c>
      <c r="AH676" s="186">
        <v>0</v>
      </c>
      <c r="AI676" s="186">
        <v>0</v>
      </c>
      <c r="AJ676" s="186">
        <v>14</v>
      </c>
      <c r="AK676" s="187">
        <v>0</v>
      </c>
      <c r="AL676" s="187">
        <v>0</v>
      </c>
      <c r="AM676" s="17">
        <f t="shared" si="68"/>
        <v>0</v>
      </c>
      <c r="AN676" s="184" t="s">
        <v>2644</v>
      </c>
      <c r="AO676" s="168" t="s">
        <v>2510</v>
      </c>
      <c r="AP676" s="184" t="s">
        <v>63</v>
      </c>
    </row>
    <row r="677" spans="1:42" s="184" customFormat="1" x14ac:dyDescent="0.3">
      <c r="A677" s="183" t="s">
        <v>1453</v>
      </c>
      <c r="B677" s="184" t="s">
        <v>2496</v>
      </c>
      <c r="C677" s="183" t="s">
        <v>2498</v>
      </c>
      <c r="D677" s="184" t="s">
        <v>2499</v>
      </c>
      <c r="E677" s="183" t="s">
        <v>2500</v>
      </c>
      <c r="F677" s="184" t="s">
        <v>2501</v>
      </c>
      <c r="G677" s="183" t="s">
        <v>2625</v>
      </c>
      <c r="H677" s="184" t="s">
        <v>2626</v>
      </c>
      <c r="J677" s="188"/>
      <c r="K677" s="183" t="s">
        <v>2627</v>
      </c>
      <c r="L677" s="184" t="s">
        <v>2628</v>
      </c>
      <c r="M677" s="184" t="s">
        <v>2691</v>
      </c>
      <c r="N677" s="189" t="s">
        <v>271</v>
      </c>
      <c r="O677" s="189">
        <v>0.1</v>
      </c>
      <c r="P677" s="194">
        <v>0.6</v>
      </c>
      <c r="Q677" s="194">
        <v>0.3</v>
      </c>
      <c r="R677" s="192" t="s">
        <v>271</v>
      </c>
      <c r="S677" s="192" t="s">
        <v>271</v>
      </c>
      <c r="T677" s="184" t="s">
        <v>63</v>
      </c>
      <c r="U677" s="283" t="s">
        <v>2510</v>
      </c>
      <c r="V677" s="184" t="s">
        <v>2692</v>
      </c>
      <c r="W677" s="184">
        <v>1</v>
      </c>
      <c r="X677" s="184">
        <v>1</v>
      </c>
      <c r="Y677" s="184">
        <v>1</v>
      </c>
      <c r="Z677" s="184">
        <v>1</v>
      </c>
      <c r="AA677" s="184">
        <v>1</v>
      </c>
      <c r="AB677" s="184">
        <v>1</v>
      </c>
      <c r="AC677" s="316">
        <v>1</v>
      </c>
      <c r="AD677" s="316">
        <v>1</v>
      </c>
      <c r="AE677" s="302">
        <f t="shared" si="67"/>
        <v>1</v>
      </c>
      <c r="AF677" s="186"/>
      <c r="AG677" s="17">
        <v>0</v>
      </c>
      <c r="AH677" s="186">
        <v>0</v>
      </c>
      <c r="AI677" s="186">
        <v>0</v>
      </c>
      <c r="AJ677" s="186">
        <v>0</v>
      </c>
      <c r="AK677" s="187">
        <v>30</v>
      </c>
      <c r="AL677" s="187">
        <v>15</v>
      </c>
      <c r="AM677" s="17">
        <f t="shared" si="68"/>
        <v>45</v>
      </c>
      <c r="AN677" s="184" t="s">
        <v>63</v>
      </c>
      <c r="AO677" s="168" t="s">
        <v>2510</v>
      </c>
      <c r="AP677" s="184" t="s">
        <v>119</v>
      </c>
    </row>
    <row r="678" spans="1:42" s="184" customFormat="1" x14ac:dyDescent="0.3">
      <c r="A678" s="183" t="s">
        <v>1453</v>
      </c>
      <c r="B678" s="184" t="s">
        <v>2496</v>
      </c>
      <c r="C678" s="183" t="s">
        <v>2498</v>
      </c>
      <c r="D678" s="184" t="s">
        <v>2499</v>
      </c>
      <c r="E678" s="183" t="s">
        <v>2500</v>
      </c>
      <c r="F678" s="184" t="s">
        <v>2501</v>
      </c>
      <c r="G678" s="183" t="s">
        <v>2625</v>
      </c>
      <c r="H678" s="184" t="s">
        <v>2626</v>
      </c>
      <c r="J678" s="188"/>
      <c r="K678" s="183" t="s">
        <v>2627</v>
      </c>
      <c r="L678" s="184" t="s">
        <v>2628</v>
      </c>
      <c r="M678" s="184" t="s">
        <v>2693</v>
      </c>
      <c r="N678" s="189"/>
      <c r="O678" s="189" t="s">
        <v>271</v>
      </c>
      <c r="P678" s="192">
        <v>9</v>
      </c>
      <c r="Q678" s="192" t="s">
        <v>271</v>
      </c>
      <c r="R678" s="192" t="s">
        <v>271</v>
      </c>
      <c r="S678" s="192" t="s">
        <v>271</v>
      </c>
      <c r="T678" s="184" t="s">
        <v>63</v>
      </c>
      <c r="U678" s="283" t="s">
        <v>2510</v>
      </c>
      <c r="V678" s="184" t="s">
        <v>2694</v>
      </c>
      <c r="W678" s="184">
        <v>1</v>
      </c>
      <c r="X678" s="184">
        <v>1</v>
      </c>
      <c r="Y678" s="184">
        <v>1</v>
      </c>
      <c r="Z678" s="184">
        <v>1</v>
      </c>
      <c r="AA678" s="184">
        <v>1</v>
      </c>
      <c r="AB678" s="184">
        <v>1</v>
      </c>
      <c r="AC678" s="316">
        <v>1</v>
      </c>
      <c r="AD678" s="316">
        <v>1</v>
      </c>
      <c r="AE678" s="302">
        <f t="shared" si="67"/>
        <v>1</v>
      </c>
      <c r="AF678" s="186"/>
      <c r="AG678" s="17">
        <v>0</v>
      </c>
      <c r="AH678" s="186">
        <v>0</v>
      </c>
      <c r="AI678" s="186">
        <v>0</v>
      </c>
      <c r="AJ678" s="186">
        <v>0</v>
      </c>
      <c r="AK678" s="187">
        <v>9.5</v>
      </c>
      <c r="AL678" s="187">
        <v>2</v>
      </c>
      <c r="AM678" s="17">
        <f t="shared" si="68"/>
        <v>11.5</v>
      </c>
      <c r="AN678" s="184" t="s">
        <v>63</v>
      </c>
      <c r="AO678" s="168" t="s">
        <v>2510</v>
      </c>
      <c r="AP678" s="184" t="s">
        <v>119</v>
      </c>
    </row>
    <row r="679" spans="1:42" s="184" customFormat="1" x14ac:dyDescent="0.3">
      <c r="A679" s="183" t="s">
        <v>1453</v>
      </c>
      <c r="B679" s="184" t="s">
        <v>2496</v>
      </c>
      <c r="C679" s="183" t="s">
        <v>2498</v>
      </c>
      <c r="D679" s="184" t="s">
        <v>2499</v>
      </c>
      <c r="E679" s="183" t="s">
        <v>2500</v>
      </c>
      <c r="F679" s="184" t="s">
        <v>2501</v>
      </c>
      <c r="G679" s="183" t="s">
        <v>2625</v>
      </c>
      <c r="H679" s="184" t="s">
        <v>2626</v>
      </c>
      <c r="J679" s="188"/>
      <c r="K679" s="183" t="s">
        <v>2627</v>
      </c>
      <c r="L679" s="184" t="s">
        <v>2628</v>
      </c>
      <c r="M679" s="184" t="s">
        <v>2695</v>
      </c>
      <c r="N679" s="189"/>
      <c r="O679" s="189" t="s">
        <v>2696</v>
      </c>
      <c r="P679" s="189" t="s">
        <v>2697</v>
      </c>
      <c r="Q679" s="192" t="s">
        <v>2698</v>
      </c>
      <c r="R679" s="192" t="s">
        <v>2699</v>
      </c>
      <c r="S679" s="192" t="s">
        <v>2700</v>
      </c>
      <c r="T679" s="184" t="s">
        <v>63</v>
      </c>
      <c r="U679" s="283" t="s">
        <v>2510</v>
      </c>
      <c r="V679" s="184" t="s">
        <v>2701</v>
      </c>
      <c r="W679" s="184">
        <v>1</v>
      </c>
      <c r="X679" s="184">
        <v>1</v>
      </c>
      <c r="Y679" s="184">
        <v>1</v>
      </c>
      <c r="Z679" s="184">
        <v>1</v>
      </c>
      <c r="AA679" s="184">
        <v>1</v>
      </c>
      <c r="AB679" s="184">
        <v>1</v>
      </c>
      <c r="AC679" s="316">
        <v>1</v>
      </c>
      <c r="AD679" s="316">
        <v>1</v>
      </c>
      <c r="AE679" s="302">
        <f t="shared" si="67"/>
        <v>1</v>
      </c>
      <c r="AF679" s="186"/>
      <c r="AG679" s="17">
        <v>0</v>
      </c>
      <c r="AH679" s="186">
        <v>0</v>
      </c>
      <c r="AI679" s="186">
        <v>0.5</v>
      </c>
      <c r="AJ679" s="186">
        <v>150</v>
      </c>
      <c r="AK679" s="187">
        <v>50</v>
      </c>
      <c r="AL679" s="187">
        <v>120</v>
      </c>
      <c r="AM679" s="17">
        <f t="shared" si="68"/>
        <v>170</v>
      </c>
      <c r="AN679" s="184" t="s">
        <v>63</v>
      </c>
      <c r="AO679" s="168" t="s">
        <v>2510</v>
      </c>
      <c r="AP679" s="184" t="s">
        <v>119</v>
      </c>
    </row>
    <row r="680" spans="1:42" s="184" customFormat="1" x14ac:dyDescent="0.3">
      <c r="A680" s="183" t="s">
        <v>1453</v>
      </c>
      <c r="B680" s="184" t="s">
        <v>2496</v>
      </c>
      <c r="C680" s="183" t="s">
        <v>2498</v>
      </c>
      <c r="D680" s="184" t="s">
        <v>2499</v>
      </c>
      <c r="E680" s="183" t="s">
        <v>2500</v>
      </c>
      <c r="F680" s="184" t="s">
        <v>2501</v>
      </c>
      <c r="G680" s="183" t="s">
        <v>2625</v>
      </c>
      <c r="H680" s="184" t="s">
        <v>2626</v>
      </c>
      <c r="J680" s="188"/>
      <c r="K680" s="183" t="s">
        <v>2627</v>
      </c>
      <c r="L680" s="184" t="s">
        <v>2628</v>
      </c>
      <c r="M680" s="184" t="s">
        <v>2702</v>
      </c>
      <c r="N680" s="189"/>
      <c r="O680" s="189">
        <v>4</v>
      </c>
      <c r="P680" s="189">
        <v>5</v>
      </c>
      <c r="Q680" s="192">
        <v>5</v>
      </c>
      <c r="R680" s="192">
        <v>5</v>
      </c>
      <c r="S680" s="192">
        <v>10</v>
      </c>
      <c r="T680" s="184" t="s">
        <v>63</v>
      </c>
      <c r="U680" s="283" t="s">
        <v>2510</v>
      </c>
      <c r="V680" s="184" t="s">
        <v>2703</v>
      </c>
      <c r="W680" s="184">
        <v>1</v>
      </c>
      <c r="X680" s="184">
        <v>1</v>
      </c>
      <c r="Y680" s="184">
        <v>1</v>
      </c>
      <c r="Z680" s="184">
        <v>1</v>
      </c>
      <c r="AA680" s="184">
        <v>1</v>
      </c>
      <c r="AB680" s="184">
        <v>1</v>
      </c>
      <c r="AC680" s="316">
        <v>1</v>
      </c>
      <c r="AD680" s="316">
        <v>1</v>
      </c>
      <c r="AE680" s="302">
        <f t="shared" si="67"/>
        <v>1</v>
      </c>
      <c r="AF680" s="186"/>
      <c r="AG680" s="17">
        <v>0</v>
      </c>
      <c r="AH680" s="186">
        <v>0</v>
      </c>
      <c r="AI680" s="186">
        <v>0</v>
      </c>
      <c r="AJ680" s="186">
        <v>0</v>
      </c>
      <c r="AK680" s="187">
        <v>2</v>
      </c>
      <c r="AL680" s="187">
        <v>4</v>
      </c>
      <c r="AM680" s="17">
        <f t="shared" si="68"/>
        <v>6</v>
      </c>
      <c r="AN680" s="184" t="s">
        <v>63</v>
      </c>
      <c r="AO680" s="168" t="s">
        <v>2510</v>
      </c>
      <c r="AP680" s="184" t="s">
        <v>119</v>
      </c>
    </row>
    <row r="681" spans="1:42" s="184" customFormat="1" x14ac:dyDescent="0.3">
      <c r="A681" s="183" t="s">
        <v>1453</v>
      </c>
      <c r="B681" s="184" t="s">
        <v>2496</v>
      </c>
      <c r="C681" s="183" t="s">
        <v>2498</v>
      </c>
      <c r="D681" s="184" t="s">
        <v>2499</v>
      </c>
      <c r="E681" s="183" t="s">
        <v>2500</v>
      </c>
      <c r="F681" s="184" t="s">
        <v>2501</v>
      </c>
      <c r="G681" s="183" t="s">
        <v>2625</v>
      </c>
      <c r="H681" s="184" t="s">
        <v>2626</v>
      </c>
      <c r="J681" s="188"/>
      <c r="K681" s="183" t="s">
        <v>2627</v>
      </c>
      <c r="L681" s="184" t="s">
        <v>2628</v>
      </c>
      <c r="M681" s="184" t="s">
        <v>2704</v>
      </c>
      <c r="N681" s="189"/>
      <c r="O681" s="189">
        <v>2</v>
      </c>
      <c r="P681" s="189">
        <v>7</v>
      </c>
      <c r="Q681" s="189">
        <v>4</v>
      </c>
      <c r="R681" s="189">
        <v>4</v>
      </c>
      <c r="S681" s="189">
        <v>1</v>
      </c>
      <c r="T681" s="184" t="s">
        <v>63</v>
      </c>
      <c r="U681" s="283" t="s">
        <v>2510</v>
      </c>
      <c r="V681" s="184" t="s">
        <v>2705</v>
      </c>
      <c r="W681" s="184">
        <v>1</v>
      </c>
      <c r="X681" s="184">
        <v>1</v>
      </c>
      <c r="Y681" s="184">
        <v>1</v>
      </c>
      <c r="Z681" s="184">
        <v>1</v>
      </c>
      <c r="AA681" s="184">
        <v>1</v>
      </c>
      <c r="AB681" s="184">
        <v>1</v>
      </c>
      <c r="AC681" s="316">
        <v>1</v>
      </c>
      <c r="AD681" s="316">
        <v>1</v>
      </c>
      <c r="AE681" s="302">
        <f t="shared" si="67"/>
        <v>1</v>
      </c>
      <c r="AF681" s="186"/>
      <c r="AG681" s="17">
        <v>0</v>
      </c>
      <c r="AH681" s="186">
        <v>0</v>
      </c>
      <c r="AI681" s="186">
        <v>5.25</v>
      </c>
      <c r="AJ681" s="186">
        <v>4</v>
      </c>
      <c r="AK681" s="187">
        <v>3</v>
      </c>
      <c r="AL681" s="187">
        <v>1</v>
      </c>
      <c r="AM681" s="17">
        <f t="shared" si="68"/>
        <v>4</v>
      </c>
      <c r="AN681" s="184" t="s">
        <v>63</v>
      </c>
      <c r="AO681" s="168" t="s">
        <v>2510</v>
      </c>
      <c r="AP681" s="184" t="s">
        <v>119</v>
      </c>
    </row>
    <row r="682" spans="1:42" s="184" customFormat="1" x14ac:dyDescent="0.3">
      <c r="A682" s="183" t="s">
        <v>1453</v>
      </c>
      <c r="B682" s="184" t="s">
        <v>2496</v>
      </c>
      <c r="C682" s="183" t="s">
        <v>2498</v>
      </c>
      <c r="D682" s="184" t="s">
        <v>2499</v>
      </c>
      <c r="E682" s="183" t="s">
        <v>2500</v>
      </c>
      <c r="F682" s="184" t="s">
        <v>2501</v>
      </c>
      <c r="G682" s="183" t="s">
        <v>2625</v>
      </c>
      <c r="H682" s="184" t="s">
        <v>2626</v>
      </c>
      <c r="J682" s="188"/>
      <c r="K682" s="183" t="s">
        <v>2627</v>
      </c>
      <c r="L682" s="184" t="s">
        <v>2628</v>
      </c>
      <c r="M682" s="184" t="s">
        <v>2706</v>
      </c>
      <c r="N682" s="189"/>
      <c r="O682" s="189" t="s">
        <v>271</v>
      </c>
      <c r="P682" s="189">
        <v>0.05</v>
      </c>
      <c r="Q682" s="189">
        <v>0.15</v>
      </c>
      <c r="R682" s="189">
        <v>0.6</v>
      </c>
      <c r="S682" s="189">
        <v>1</v>
      </c>
      <c r="T682" s="184" t="s">
        <v>63</v>
      </c>
      <c r="U682" s="283" t="s">
        <v>2510</v>
      </c>
      <c r="V682" s="184" t="s">
        <v>2707</v>
      </c>
      <c r="W682" s="184">
        <v>1</v>
      </c>
      <c r="X682" s="184">
        <v>1</v>
      </c>
      <c r="Y682" s="184">
        <v>0</v>
      </c>
      <c r="Z682" s="184">
        <v>0</v>
      </c>
      <c r="AA682" s="184">
        <v>1</v>
      </c>
      <c r="AB682" s="184">
        <v>1</v>
      </c>
      <c r="AC682" s="316">
        <v>1</v>
      </c>
      <c r="AD682" s="316">
        <v>1</v>
      </c>
      <c r="AE682" s="302">
        <f t="shared" si="67"/>
        <v>0.75</v>
      </c>
      <c r="AF682" s="186"/>
      <c r="AG682" s="17">
        <v>0</v>
      </c>
      <c r="AH682" s="186">
        <v>0</v>
      </c>
      <c r="AI682" s="186">
        <v>0.2</v>
      </c>
      <c r="AJ682" s="186">
        <v>1</v>
      </c>
      <c r="AK682" s="187">
        <v>1</v>
      </c>
      <c r="AL682" s="187">
        <v>2</v>
      </c>
      <c r="AM682" s="17">
        <f t="shared" si="68"/>
        <v>3</v>
      </c>
      <c r="AN682" s="184" t="s">
        <v>63</v>
      </c>
      <c r="AO682" s="168" t="s">
        <v>2510</v>
      </c>
      <c r="AP682" s="184" t="s">
        <v>119</v>
      </c>
    </row>
    <row r="683" spans="1:42" s="184" customFormat="1" x14ac:dyDescent="0.3">
      <c r="A683" s="183" t="s">
        <v>1453</v>
      </c>
      <c r="B683" s="184" t="s">
        <v>2496</v>
      </c>
      <c r="C683" s="183" t="s">
        <v>2498</v>
      </c>
      <c r="D683" s="184" t="s">
        <v>2499</v>
      </c>
      <c r="E683" s="183" t="s">
        <v>2500</v>
      </c>
      <c r="F683" s="184" t="s">
        <v>2501</v>
      </c>
      <c r="G683" s="183" t="s">
        <v>2625</v>
      </c>
      <c r="H683" s="184" t="s">
        <v>2626</v>
      </c>
      <c r="J683" s="188"/>
      <c r="K683" s="183" t="s">
        <v>2627</v>
      </c>
      <c r="L683" s="184" t="s">
        <v>2628</v>
      </c>
      <c r="M683" s="184" t="s">
        <v>2708</v>
      </c>
      <c r="N683" s="189"/>
      <c r="O683" s="192" t="s">
        <v>271</v>
      </c>
      <c r="P683" s="194">
        <v>0.3</v>
      </c>
      <c r="Q683" s="192">
        <v>0.7</v>
      </c>
      <c r="R683" s="192" t="s">
        <v>271</v>
      </c>
      <c r="S683" s="192" t="s">
        <v>271</v>
      </c>
      <c r="T683" s="184" t="s">
        <v>63</v>
      </c>
      <c r="U683" s="283" t="s">
        <v>2510</v>
      </c>
      <c r="V683" s="184" t="s">
        <v>2709</v>
      </c>
      <c r="W683" s="184">
        <v>1</v>
      </c>
      <c r="X683" s="184">
        <v>1</v>
      </c>
      <c r="Y683" s="184">
        <v>1</v>
      </c>
      <c r="Z683" s="184">
        <v>0</v>
      </c>
      <c r="AA683" s="184">
        <v>1</v>
      </c>
      <c r="AB683" s="184">
        <v>1</v>
      </c>
      <c r="AC683" s="316">
        <v>0</v>
      </c>
      <c r="AD683" s="316">
        <v>1</v>
      </c>
      <c r="AE683" s="302">
        <f t="shared" si="67"/>
        <v>0.75</v>
      </c>
      <c r="AF683" s="186"/>
      <c r="AG683" s="17">
        <v>0</v>
      </c>
      <c r="AH683" s="186">
        <v>0</v>
      </c>
      <c r="AI683" s="186">
        <v>0</v>
      </c>
      <c r="AJ683" s="186">
        <v>0</v>
      </c>
      <c r="AK683" s="187">
        <v>1</v>
      </c>
      <c r="AL683" s="187">
        <v>1.5</v>
      </c>
      <c r="AM683" s="17">
        <f t="shared" si="68"/>
        <v>2.5</v>
      </c>
      <c r="AN683" s="184" t="s">
        <v>63</v>
      </c>
      <c r="AO683" s="168" t="s">
        <v>2510</v>
      </c>
      <c r="AP683" s="184" t="s">
        <v>119</v>
      </c>
    </row>
    <row r="684" spans="1:42" s="184" customFormat="1" hidden="1" x14ac:dyDescent="0.3">
      <c r="A684" s="183" t="s">
        <v>1453</v>
      </c>
      <c r="B684" s="184" t="s">
        <v>2496</v>
      </c>
      <c r="C684" s="183" t="s">
        <v>2498</v>
      </c>
      <c r="D684" s="184" t="s">
        <v>2499</v>
      </c>
      <c r="E684" s="183" t="s">
        <v>2500</v>
      </c>
      <c r="F684" s="184" t="s">
        <v>2501</v>
      </c>
      <c r="G684" s="183" t="s">
        <v>2710</v>
      </c>
      <c r="H684" s="184" t="s">
        <v>2711</v>
      </c>
      <c r="J684" s="188"/>
      <c r="K684" s="183" t="s">
        <v>2712</v>
      </c>
      <c r="L684" s="184" t="s">
        <v>2713</v>
      </c>
      <c r="M684" s="184" t="s">
        <v>2714</v>
      </c>
      <c r="N684" s="189" t="s">
        <v>271</v>
      </c>
      <c r="O684" s="189" t="s">
        <v>2631</v>
      </c>
      <c r="P684" s="189" t="s">
        <v>2715</v>
      </c>
      <c r="Q684" s="189" t="s">
        <v>271</v>
      </c>
      <c r="R684" s="189">
        <v>40</v>
      </c>
      <c r="S684" s="189">
        <v>60</v>
      </c>
      <c r="T684" s="184" t="s">
        <v>63</v>
      </c>
      <c r="U684" s="283" t="s">
        <v>2510</v>
      </c>
      <c r="V684" s="184" t="s">
        <v>2716</v>
      </c>
      <c r="W684" s="184">
        <v>1</v>
      </c>
      <c r="X684" s="184">
        <v>0</v>
      </c>
      <c r="Y684" s="184">
        <v>1</v>
      </c>
      <c r="Z684" s="184">
        <v>1</v>
      </c>
      <c r="AA684" s="184">
        <v>0</v>
      </c>
      <c r="AB684" s="184">
        <v>0</v>
      </c>
      <c r="AC684" s="316">
        <v>0</v>
      </c>
      <c r="AD684" s="316">
        <v>1</v>
      </c>
      <c r="AE684" s="302">
        <f t="shared" si="67"/>
        <v>0.5</v>
      </c>
      <c r="AF684" s="186"/>
      <c r="AG684" s="17">
        <v>0</v>
      </c>
      <c r="AH684" s="186">
        <v>0</v>
      </c>
      <c r="AI684" s="186">
        <v>0</v>
      </c>
      <c r="AJ684" s="186">
        <v>0</v>
      </c>
      <c r="AK684" s="187">
        <v>0</v>
      </c>
      <c r="AL684" s="187">
        <v>0</v>
      </c>
      <c r="AM684" s="17">
        <f t="shared" si="68"/>
        <v>0</v>
      </c>
      <c r="AN684" s="184" t="s">
        <v>63</v>
      </c>
      <c r="AO684" s="168" t="s">
        <v>2510</v>
      </c>
      <c r="AP684" s="184" t="s">
        <v>2717</v>
      </c>
    </row>
    <row r="685" spans="1:42" s="184" customFormat="1" hidden="1" x14ac:dyDescent="0.3">
      <c r="A685" s="183" t="s">
        <v>1453</v>
      </c>
      <c r="B685" s="184" t="s">
        <v>2496</v>
      </c>
      <c r="C685" s="183" t="s">
        <v>2498</v>
      </c>
      <c r="D685" s="184" t="s">
        <v>2499</v>
      </c>
      <c r="E685" s="183" t="s">
        <v>2500</v>
      </c>
      <c r="F685" s="184" t="s">
        <v>2501</v>
      </c>
      <c r="G685" s="183" t="s">
        <v>2710</v>
      </c>
      <c r="H685" s="184" t="s">
        <v>2711</v>
      </c>
      <c r="J685" s="188"/>
      <c r="K685" s="183" t="s">
        <v>2712</v>
      </c>
      <c r="L685" s="184" t="s">
        <v>2713</v>
      </c>
      <c r="M685" s="184" t="s">
        <v>2718</v>
      </c>
      <c r="N685" s="189" t="s">
        <v>271</v>
      </c>
      <c r="O685" s="189" t="s">
        <v>2719</v>
      </c>
      <c r="P685" s="189" t="s">
        <v>2719</v>
      </c>
      <c r="Q685" s="189" t="s">
        <v>2720</v>
      </c>
      <c r="R685" s="189" t="s">
        <v>2720</v>
      </c>
      <c r="S685" s="189" t="s">
        <v>2721</v>
      </c>
      <c r="T685" s="184" t="s">
        <v>63</v>
      </c>
      <c r="U685" s="283" t="s">
        <v>2510</v>
      </c>
      <c r="V685" s="184" t="s">
        <v>2722</v>
      </c>
      <c r="W685" s="184">
        <v>1</v>
      </c>
      <c r="X685" s="184">
        <v>1</v>
      </c>
      <c r="Y685" s="184">
        <v>1</v>
      </c>
      <c r="Z685" s="184">
        <v>0</v>
      </c>
      <c r="AA685" s="184">
        <v>0</v>
      </c>
      <c r="AB685" s="184">
        <v>1</v>
      </c>
      <c r="AC685" s="316">
        <v>0</v>
      </c>
      <c r="AD685" s="316">
        <v>1</v>
      </c>
      <c r="AE685" s="302">
        <f t="shared" si="67"/>
        <v>0.625</v>
      </c>
      <c r="AF685" s="186"/>
      <c r="AG685" s="17">
        <v>0</v>
      </c>
      <c r="AH685" s="186">
        <v>0</v>
      </c>
      <c r="AI685" s="186">
        <v>0</v>
      </c>
      <c r="AJ685" s="186">
        <v>0</v>
      </c>
      <c r="AK685" s="187">
        <v>0</v>
      </c>
      <c r="AL685" s="187">
        <v>26.768000000000001</v>
      </c>
      <c r="AM685" s="17">
        <f t="shared" si="68"/>
        <v>26.768000000000001</v>
      </c>
      <c r="AN685" s="184" t="s">
        <v>63</v>
      </c>
      <c r="AO685" s="168" t="s">
        <v>2510</v>
      </c>
      <c r="AP685" s="184" t="s">
        <v>2723</v>
      </c>
    </row>
    <row r="686" spans="1:42" s="184" customFormat="1" hidden="1" x14ac:dyDescent="0.3">
      <c r="A686" s="183" t="s">
        <v>1453</v>
      </c>
      <c r="B686" s="184" t="s">
        <v>2496</v>
      </c>
      <c r="C686" s="183" t="s">
        <v>2498</v>
      </c>
      <c r="D686" s="184" t="s">
        <v>2499</v>
      </c>
      <c r="E686" s="183" t="s">
        <v>2500</v>
      </c>
      <c r="F686" s="184" t="s">
        <v>2501</v>
      </c>
      <c r="G686" s="183" t="s">
        <v>2710</v>
      </c>
      <c r="H686" s="184" t="s">
        <v>2711</v>
      </c>
      <c r="K686" s="183" t="s">
        <v>2712</v>
      </c>
      <c r="L686" s="184" t="s">
        <v>2713</v>
      </c>
      <c r="M686" s="184" t="s">
        <v>2724</v>
      </c>
      <c r="N686" s="185" t="s">
        <v>271</v>
      </c>
      <c r="O686" s="185">
        <v>10</v>
      </c>
      <c r="P686" s="185">
        <v>30</v>
      </c>
      <c r="Q686" s="185">
        <v>60</v>
      </c>
      <c r="R686" s="185"/>
      <c r="S686" s="185"/>
      <c r="T686" s="184" t="s">
        <v>2571</v>
      </c>
      <c r="U686" s="283" t="s">
        <v>2573</v>
      </c>
      <c r="V686" s="184" t="s">
        <v>2725</v>
      </c>
      <c r="W686" s="184">
        <v>1</v>
      </c>
      <c r="X686" s="184">
        <v>0</v>
      </c>
      <c r="Y686" s="184">
        <v>0</v>
      </c>
      <c r="Z686" s="184">
        <v>0</v>
      </c>
      <c r="AA686" s="184">
        <v>0</v>
      </c>
      <c r="AB686" s="184">
        <v>1</v>
      </c>
      <c r="AC686" s="316">
        <v>1</v>
      </c>
      <c r="AD686" s="316">
        <v>1</v>
      </c>
      <c r="AE686" s="302">
        <f t="shared" si="67"/>
        <v>0.5</v>
      </c>
      <c r="AF686" s="186"/>
      <c r="AG686" s="17">
        <v>0</v>
      </c>
      <c r="AH686" s="186">
        <v>0</v>
      </c>
      <c r="AI686" s="186">
        <v>0</v>
      </c>
      <c r="AJ686" s="186">
        <v>0</v>
      </c>
      <c r="AK686" s="187">
        <v>0</v>
      </c>
      <c r="AL686" s="187">
        <v>0</v>
      </c>
      <c r="AM686" s="17">
        <f t="shared" si="68"/>
        <v>0</v>
      </c>
      <c r="AN686" s="184" t="s">
        <v>2571</v>
      </c>
      <c r="AO686" s="168" t="s">
        <v>2573</v>
      </c>
      <c r="AP686" s="184" t="s">
        <v>2514</v>
      </c>
    </row>
    <row r="687" spans="1:42" s="184" customFormat="1" hidden="1" x14ac:dyDescent="0.3">
      <c r="A687" s="183" t="s">
        <v>1453</v>
      </c>
      <c r="B687" s="184" t="s">
        <v>2496</v>
      </c>
      <c r="C687" s="183" t="s">
        <v>2498</v>
      </c>
      <c r="D687" s="184" t="s">
        <v>2499</v>
      </c>
      <c r="E687" s="183" t="s">
        <v>2500</v>
      </c>
      <c r="F687" s="184" t="s">
        <v>2501</v>
      </c>
      <c r="G687" s="183" t="s">
        <v>2710</v>
      </c>
      <c r="H687" s="184" t="s">
        <v>2711</v>
      </c>
      <c r="K687" s="183" t="s">
        <v>2712</v>
      </c>
      <c r="L687" s="184" t="s">
        <v>2713</v>
      </c>
      <c r="M687" s="184" t="s">
        <v>2726</v>
      </c>
      <c r="N687" s="189" t="s">
        <v>2727</v>
      </c>
      <c r="O687" s="189">
        <v>600000</v>
      </c>
      <c r="P687" s="189">
        <v>672000</v>
      </c>
      <c r="Q687" s="189">
        <v>864000</v>
      </c>
      <c r="R687" s="189">
        <v>1056000</v>
      </c>
      <c r="S687" s="189">
        <v>1248000</v>
      </c>
      <c r="T687" s="184" t="s">
        <v>2507</v>
      </c>
      <c r="U687" s="283" t="e">
        <v>#N/A</v>
      </c>
      <c r="AC687" s="316">
        <v>0</v>
      </c>
      <c r="AD687" s="316">
        <v>0</v>
      </c>
      <c r="AE687" s="302">
        <f t="shared" si="67"/>
        <v>0</v>
      </c>
      <c r="AF687" s="190"/>
      <c r="AG687" s="17">
        <v>0</v>
      </c>
      <c r="AH687" s="190">
        <v>0</v>
      </c>
      <c r="AI687" s="190">
        <v>0</v>
      </c>
      <c r="AJ687" s="190">
        <v>0</v>
      </c>
      <c r="AK687" s="191">
        <v>0</v>
      </c>
      <c r="AL687" s="191">
        <v>0</v>
      </c>
      <c r="AM687" s="17">
        <f t="shared" si="68"/>
        <v>0</v>
      </c>
      <c r="AN687" s="184" t="s">
        <v>2509</v>
      </c>
      <c r="AO687" s="168" t="s">
        <v>2510</v>
      </c>
      <c r="AP687" s="184" t="s">
        <v>2507</v>
      </c>
    </row>
    <row r="688" spans="1:42" s="184" customFormat="1" hidden="1" x14ac:dyDescent="0.3">
      <c r="A688" s="183" t="s">
        <v>1453</v>
      </c>
      <c r="B688" s="184" t="s">
        <v>2496</v>
      </c>
      <c r="C688" s="183" t="s">
        <v>2498</v>
      </c>
      <c r="D688" s="184" t="s">
        <v>2499</v>
      </c>
      <c r="E688" s="183" t="s">
        <v>2500</v>
      </c>
      <c r="F688" s="184" t="s">
        <v>2501</v>
      </c>
      <c r="G688" s="183" t="s">
        <v>2710</v>
      </c>
      <c r="H688" s="184" t="s">
        <v>2711</v>
      </c>
      <c r="K688" s="183" t="s">
        <v>2712</v>
      </c>
      <c r="L688" s="184" t="s">
        <v>2713</v>
      </c>
      <c r="M688" s="184" t="s">
        <v>2728</v>
      </c>
      <c r="N688" s="189"/>
      <c r="O688" s="189">
        <v>2000</v>
      </c>
      <c r="P688" s="189">
        <v>2500</v>
      </c>
      <c r="Q688" s="189">
        <v>3000</v>
      </c>
      <c r="R688" s="189">
        <v>3500</v>
      </c>
      <c r="S688" s="189">
        <v>4000</v>
      </c>
      <c r="T688" s="184" t="s">
        <v>2636</v>
      </c>
      <c r="U688" s="283" t="e">
        <v>#N/A</v>
      </c>
      <c r="AC688" s="316">
        <v>0</v>
      </c>
      <c r="AD688" s="316">
        <v>0</v>
      </c>
      <c r="AE688" s="302">
        <f t="shared" si="67"/>
        <v>0</v>
      </c>
      <c r="AF688" s="190"/>
      <c r="AG688" s="17">
        <v>0</v>
      </c>
      <c r="AH688" s="190">
        <v>0</v>
      </c>
      <c r="AI688" s="190">
        <v>0</v>
      </c>
      <c r="AJ688" s="190">
        <v>0</v>
      </c>
      <c r="AK688" s="191">
        <v>0</v>
      </c>
      <c r="AL688" s="191">
        <v>0</v>
      </c>
      <c r="AM688" s="17">
        <f t="shared" si="68"/>
        <v>0</v>
      </c>
      <c r="AN688" s="184" t="s">
        <v>2729</v>
      </c>
      <c r="AO688" s="168" t="s">
        <v>2510</v>
      </c>
      <c r="AP688" s="184" t="s">
        <v>2730</v>
      </c>
    </row>
    <row r="689" spans="1:42" s="184" customFormat="1" x14ac:dyDescent="0.3">
      <c r="A689" s="183" t="s">
        <v>1453</v>
      </c>
      <c r="B689" s="184" t="s">
        <v>2496</v>
      </c>
      <c r="C689" s="183" t="s">
        <v>2498</v>
      </c>
      <c r="D689" s="184" t="s">
        <v>2499</v>
      </c>
      <c r="E689" s="183" t="s">
        <v>2500</v>
      </c>
      <c r="F689" s="184" t="s">
        <v>2501</v>
      </c>
      <c r="G689" s="183" t="s">
        <v>2731</v>
      </c>
      <c r="H689" s="184" t="s">
        <v>2732</v>
      </c>
      <c r="J689" s="188"/>
      <c r="K689" s="183" t="s">
        <v>2733</v>
      </c>
      <c r="L689" s="184" t="s">
        <v>2734</v>
      </c>
      <c r="M689" s="184" t="s">
        <v>2735</v>
      </c>
      <c r="N689" s="189" t="s">
        <v>271</v>
      </c>
      <c r="O689" s="189">
        <v>2</v>
      </c>
      <c r="P689" s="189">
        <v>3</v>
      </c>
      <c r="Q689" s="189">
        <v>3</v>
      </c>
      <c r="R689" s="189">
        <v>3</v>
      </c>
      <c r="S689" s="189">
        <v>3</v>
      </c>
      <c r="T689" s="184" t="s">
        <v>2571</v>
      </c>
      <c r="U689" s="283" t="s">
        <v>2573</v>
      </c>
      <c r="V689" s="184" t="s">
        <v>2736</v>
      </c>
      <c r="W689" s="184">
        <v>1</v>
      </c>
      <c r="X689" s="184">
        <v>0</v>
      </c>
      <c r="Y689" s="184">
        <v>0</v>
      </c>
      <c r="Z689" s="184">
        <v>1</v>
      </c>
      <c r="AA689" s="184">
        <v>1</v>
      </c>
      <c r="AB689" s="184">
        <v>1</v>
      </c>
      <c r="AC689" s="316">
        <v>1</v>
      </c>
      <c r="AD689" s="316">
        <v>1</v>
      </c>
      <c r="AE689" s="302">
        <f t="shared" si="67"/>
        <v>0.75</v>
      </c>
      <c r="AF689" s="186"/>
      <c r="AG689" s="17">
        <v>0</v>
      </c>
      <c r="AH689" s="186">
        <v>6</v>
      </c>
      <c r="AI689" s="186">
        <v>9</v>
      </c>
      <c r="AJ689" s="186">
        <v>9</v>
      </c>
      <c r="AK689" s="187">
        <v>5</v>
      </c>
      <c r="AL689" s="187">
        <v>9</v>
      </c>
      <c r="AM689" s="17">
        <f t="shared" si="68"/>
        <v>14</v>
      </c>
      <c r="AN689" s="184" t="s">
        <v>2571</v>
      </c>
      <c r="AO689" s="168" t="s">
        <v>2573</v>
      </c>
      <c r="AP689" s="184" t="s">
        <v>2514</v>
      </c>
    </row>
    <row r="690" spans="1:42" s="184" customFormat="1" x14ac:dyDescent="0.3">
      <c r="A690" s="183" t="s">
        <v>1453</v>
      </c>
      <c r="B690" s="184" t="s">
        <v>2496</v>
      </c>
      <c r="C690" s="183" t="s">
        <v>2498</v>
      </c>
      <c r="D690" s="184" t="s">
        <v>2499</v>
      </c>
      <c r="E690" s="183" t="s">
        <v>2500</v>
      </c>
      <c r="F690" s="184" t="s">
        <v>2501</v>
      </c>
      <c r="G690" s="183" t="s">
        <v>2731</v>
      </c>
      <c r="H690" s="184" t="s">
        <v>2732</v>
      </c>
      <c r="J690" s="188"/>
      <c r="K690" s="183" t="s">
        <v>2733</v>
      </c>
      <c r="L690" s="184" t="s">
        <v>2734</v>
      </c>
      <c r="M690" s="184" t="s">
        <v>2737</v>
      </c>
      <c r="N690" s="189">
        <v>50</v>
      </c>
      <c r="O690" s="189">
        <v>10</v>
      </c>
      <c r="P690" s="189">
        <v>10</v>
      </c>
      <c r="Q690" s="189">
        <v>10</v>
      </c>
      <c r="R690" s="189">
        <v>10</v>
      </c>
      <c r="S690" s="189">
        <v>10</v>
      </c>
      <c r="T690" s="184" t="s">
        <v>2738</v>
      </c>
      <c r="U690" s="283" t="e">
        <v>#N/A</v>
      </c>
      <c r="V690" s="184" t="s">
        <v>2739</v>
      </c>
      <c r="W690" s="184">
        <v>1</v>
      </c>
      <c r="X690" s="184">
        <v>0</v>
      </c>
      <c r="Y690" s="184">
        <v>0</v>
      </c>
      <c r="Z690" s="184">
        <v>1</v>
      </c>
      <c r="AA690" s="184">
        <v>1</v>
      </c>
      <c r="AB690" s="184">
        <v>1</v>
      </c>
      <c r="AC690" s="316">
        <v>1</v>
      </c>
      <c r="AD690" s="316">
        <v>1</v>
      </c>
      <c r="AE690" s="302">
        <f t="shared" si="67"/>
        <v>0.75</v>
      </c>
      <c r="AF690" s="186"/>
      <c r="AG690" s="17">
        <v>0</v>
      </c>
      <c r="AH690" s="186" t="s">
        <v>271</v>
      </c>
      <c r="AI690" s="186" t="s">
        <v>271</v>
      </c>
      <c r="AJ690" s="186" t="s">
        <v>271</v>
      </c>
      <c r="AK690" s="187" t="s">
        <v>271</v>
      </c>
      <c r="AL690" s="187" t="s">
        <v>271</v>
      </c>
      <c r="AM690" s="17">
        <f t="shared" si="68"/>
        <v>0</v>
      </c>
      <c r="AN690" s="184" t="s">
        <v>2528</v>
      </c>
      <c r="AO690" s="168" t="s">
        <v>2530</v>
      </c>
      <c r="AP690" s="184" t="s">
        <v>119</v>
      </c>
    </row>
    <row r="691" spans="1:42" s="184" customFormat="1" x14ac:dyDescent="0.3">
      <c r="A691" s="183" t="s">
        <v>1453</v>
      </c>
      <c r="B691" s="184" t="s">
        <v>2496</v>
      </c>
      <c r="C691" s="183" t="s">
        <v>2498</v>
      </c>
      <c r="D691" s="184" t="s">
        <v>2499</v>
      </c>
      <c r="E691" s="183" t="s">
        <v>2500</v>
      </c>
      <c r="F691" s="184" t="s">
        <v>2501</v>
      </c>
      <c r="G691" s="183" t="s">
        <v>2731</v>
      </c>
      <c r="H691" s="184" t="s">
        <v>2732</v>
      </c>
      <c r="J691" s="188"/>
      <c r="K691" s="183" t="s">
        <v>2733</v>
      </c>
      <c r="L691" s="184" t="s">
        <v>2734</v>
      </c>
      <c r="M691" s="184" t="s">
        <v>2740</v>
      </c>
      <c r="N691" s="189"/>
      <c r="O691" s="189">
        <v>50</v>
      </c>
      <c r="P691" s="189">
        <v>50</v>
      </c>
      <c r="Q691" s="189">
        <v>50</v>
      </c>
      <c r="R691" s="189">
        <v>50</v>
      </c>
      <c r="S691" s="189">
        <v>50</v>
      </c>
      <c r="T691" s="184" t="s">
        <v>2741</v>
      </c>
      <c r="U691" s="283" t="e">
        <v>#N/A</v>
      </c>
      <c r="V691" s="184" t="s">
        <v>2742</v>
      </c>
      <c r="W691" s="184">
        <v>1</v>
      </c>
      <c r="X691" s="184">
        <v>0</v>
      </c>
      <c r="Y691" s="184">
        <v>0</v>
      </c>
      <c r="Z691" s="184">
        <v>1</v>
      </c>
      <c r="AA691" s="184">
        <v>1</v>
      </c>
      <c r="AB691" s="184">
        <v>1</v>
      </c>
      <c r="AC691" s="316">
        <v>1</v>
      </c>
      <c r="AD691" s="316">
        <v>1</v>
      </c>
      <c r="AE691" s="302">
        <f t="shared" si="67"/>
        <v>0.75</v>
      </c>
      <c r="AF691" s="186"/>
      <c r="AG691" s="17">
        <v>0</v>
      </c>
      <c r="AH691" s="186" t="s">
        <v>271</v>
      </c>
      <c r="AI691" s="186" t="s">
        <v>271</v>
      </c>
      <c r="AJ691" s="186" t="s">
        <v>271</v>
      </c>
      <c r="AK691" s="187" t="s">
        <v>271</v>
      </c>
      <c r="AL691" s="187" t="s">
        <v>271</v>
      </c>
      <c r="AM691" s="17">
        <f t="shared" si="68"/>
        <v>0</v>
      </c>
      <c r="AN691" s="184" t="s">
        <v>2741</v>
      </c>
      <c r="AO691" s="168" t="s">
        <v>2743</v>
      </c>
      <c r="AP691" s="184" t="s">
        <v>255</v>
      </c>
    </row>
    <row r="692" spans="1:42" s="184" customFormat="1" hidden="1" x14ac:dyDescent="0.3">
      <c r="A692" s="183" t="s">
        <v>1453</v>
      </c>
      <c r="B692" s="184" t="s">
        <v>2496</v>
      </c>
      <c r="C692" s="183" t="s">
        <v>2498</v>
      </c>
      <c r="D692" s="184" t="s">
        <v>2499</v>
      </c>
      <c r="E692" s="183" t="s">
        <v>2500</v>
      </c>
      <c r="F692" s="184" t="s">
        <v>2501</v>
      </c>
      <c r="G692" s="183" t="s">
        <v>2744</v>
      </c>
      <c r="H692" s="184" t="s">
        <v>2745</v>
      </c>
      <c r="J692" s="188"/>
      <c r="K692" s="195" t="s">
        <v>2746</v>
      </c>
      <c r="L692" s="184" t="s">
        <v>2747</v>
      </c>
      <c r="M692" s="184" t="s">
        <v>2748</v>
      </c>
      <c r="N692" s="189">
        <v>0</v>
      </c>
      <c r="O692" s="189">
        <v>0</v>
      </c>
      <c r="P692" s="189">
        <v>1</v>
      </c>
      <c r="Q692" s="189">
        <v>0</v>
      </c>
      <c r="R692" s="189">
        <v>0</v>
      </c>
      <c r="S692" s="189">
        <v>0</v>
      </c>
      <c r="T692" s="184" t="s">
        <v>63</v>
      </c>
      <c r="U692" s="283" t="s">
        <v>2510</v>
      </c>
      <c r="V692" s="184" t="s">
        <v>2749</v>
      </c>
      <c r="W692" s="184">
        <v>0</v>
      </c>
      <c r="X692" s="184">
        <v>0</v>
      </c>
      <c r="Y692" s="184">
        <v>0</v>
      </c>
      <c r="Z692" s="184">
        <v>0</v>
      </c>
      <c r="AA692" s="184">
        <v>0</v>
      </c>
      <c r="AB692" s="184">
        <v>0</v>
      </c>
      <c r="AC692" s="316">
        <v>0</v>
      </c>
      <c r="AD692" s="316">
        <v>0</v>
      </c>
      <c r="AE692" s="302">
        <f t="shared" si="67"/>
        <v>0</v>
      </c>
      <c r="AF692" s="186"/>
      <c r="AG692" s="17">
        <v>0</v>
      </c>
      <c r="AH692" s="186">
        <v>0</v>
      </c>
      <c r="AI692" s="186">
        <v>0</v>
      </c>
      <c r="AJ692" s="186">
        <v>0</v>
      </c>
      <c r="AK692" s="187">
        <v>0</v>
      </c>
      <c r="AL692" s="187">
        <v>0</v>
      </c>
      <c r="AM692" s="17">
        <f t="shared" si="68"/>
        <v>0</v>
      </c>
      <c r="AN692" s="184" t="s">
        <v>63</v>
      </c>
      <c r="AO692" s="168" t="s">
        <v>2510</v>
      </c>
      <c r="AP692" s="184" t="s">
        <v>119</v>
      </c>
    </row>
    <row r="693" spans="1:42" s="184" customFormat="1" x14ac:dyDescent="0.3">
      <c r="A693" s="183" t="s">
        <v>1453</v>
      </c>
      <c r="B693" s="184" t="s">
        <v>2496</v>
      </c>
      <c r="C693" s="183" t="s">
        <v>2750</v>
      </c>
      <c r="D693" s="184" t="s">
        <v>2751</v>
      </c>
      <c r="E693" s="183" t="s">
        <v>2752</v>
      </c>
      <c r="F693" s="184" t="s">
        <v>2753</v>
      </c>
      <c r="G693" s="183" t="s">
        <v>2754</v>
      </c>
      <c r="H693" s="184" t="s">
        <v>2755</v>
      </c>
      <c r="J693" s="188"/>
      <c r="K693" s="183" t="s">
        <v>2756</v>
      </c>
      <c r="L693" s="184" t="s">
        <v>2757</v>
      </c>
      <c r="M693" s="184" t="s">
        <v>2758</v>
      </c>
      <c r="N693" s="189">
        <v>11</v>
      </c>
      <c r="O693" s="189">
        <v>60</v>
      </c>
      <c r="P693" s="189">
        <v>60</v>
      </c>
      <c r="Q693" s="189">
        <v>200</v>
      </c>
      <c r="R693" s="189">
        <v>200</v>
      </c>
      <c r="S693" s="189">
        <v>200</v>
      </c>
      <c r="T693" s="184" t="s">
        <v>2528</v>
      </c>
      <c r="U693" s="283" t="s">
        <v>2530</v>
      </c>
      <c r="V693" s="184" t="s">
        <v>2759</v>
      </c>
      <c r="W693" s="184">
        <v>1</v>
      </c>
      <c r="X693" s="184">
        <v>1</v>
      </c>
      <c r="Y693" s="184">
        <v>0</v>
      </c>
      <c r="Z693" s="184">
        <v>1</v>
      </c>
      <c r="AA693" s="184">
        <v>1</v>
      </c>
      <c r="AB693" s="184">
        <v>1</v>
      </c>
      <c r="AC693" s="316">
        <v>0</v>
      </c>
      <c r="AD693" s="316">
        <v>1</v>
      </c>
      <c r="AE693" s="302">
        <f t="shared" si="67"/>
        <v>0.75</v>
      </c>
      <c r="AF693" s="186"/>
      <c r="AG693" s="17">
        <v>0</v>
      </c>
      <c r="AH693" s="186">
        <v>44</v>
      </c>
      <c r="AI693" s="186">
        <v>44</v>
      </c>
      <c r="AJ693" s="186">
        <v>100</v>
      </c>
      <c r="AK693" s="187">
        <v>100</v>
      </c>
      <c r="AL693" s="187">
        <v>100</v>
      </c>
      <c r="AM693" s="17">
        <f t="shared" si="68"/>
        <v>200</v>
      </c>
      <c r="AN693" s="184" t="s">
        <v>2528</v>
      </c>
      <c r="AO693" s="168" t="s">
        <v>2530</v>
      </c>
      <c r="AP693" s="184" t="s">
        <v>119</v>
      </c>
    </row>
    <row r="694" spans="1:42" s="184" customFormat="1" x14ac:dyDescent="0.3">
      <c r="A694" s="183" t="s">
        <v>1453</v>
      </c>
      <c r="B694" s="184" t="s">
        <v>2496</v>
      </c>
      <c r="C694" s="183" t="s">
        <v>2750</v>
      </c>
      <c r="D694" s="184" t="s">
        <v>2751</v>
      </c>
      <c r="E694" s="183" t="s">
        <v>2752</v>
      </c>
      <c r="F694" s="184" t="s">
        <v>2753</v>
      </c>
      <c r="G694" s="183" t="s">
        <v>2754</v>
      </c>
      <c r="H694" s="184" t="s">
        <v>2755</v>
      </c>
      <c r="J694" s="188"/>
      <c r="K694" s="183" t="s">
        <v>2756</v>
      </c>
      <c r="L694" s="184" t="s">
        <v>2757</v>
      </c>
      <c r="M694" s="184" t="s">
        <v>2760</v>
      </c>
      <c r="N694" s="189">
        <v>588</v>
      </c>
      <c r="O694" s="189">
        <v>650</v>
      </c>
      <c r="P694" s="189">
        <v>650</v>
      </c>
      <c r="Q694" s="189">
        <v>300</v>
      </c>
      <c r="R694" s="189">
        <v>300</v>
      </c>
      <c r="S694" s="189">
        <v>300</v>
      </c>
      <c r="T694" s="184" t="s">
        <v>2738</v>
      </c>
      <c r="U694" s="283" t="e">
        <v>#N/A</v>
      </c>
      <c r="V694" s="184" t="s">
        <v>2761</v>
      </c>
      <c r="W694" s="184">
        <v>1</v>
      </c>
      <c r="X694" s="184">
        <v>1</v>
      </c>
      <c r="Y694" s="184">
        <v>0</v>
      </c>
      <c r="Z694" s="184">
        <v>1</v>
      </c>
      <c r="AA694" s="184">
        <v>1</v>
      </c>
      <c r="AB694" s="184">
        <v>1</v>
      </c>
      <c r="AC694" s="316">
        <v>1</v>
      </c>
      <c r="AD694" s="316">
        <v>1</v>
      </c>
      <c r="AE694" s="302">
        <f t="shared" si="67"/>
        <v>0.875</v>
      </c>
      <c r="AF694" s="186"/>
      <c r="AG694" s="17">
        <v>0</v>
      </c>
      <c r="AH694" s="186">
        <v>48.75</v>
      </c>
      <c r="AI694" s="186">
        <v>48.75</v>
      </c>
      <c r="AJ694" s="186">
        <v>22.5</v>
      </c>
      <c r="AK694" s="187">
        <v>22.5</v>
      </c>
      <c r="AL694" s="187">
        <v>22.5</v>
      </c>
      <c r="AM694" s="17">
        <f t="shared" si="68"/>
        <v>45</v>
      </c>
      <c r="AN694" s="184" t="s">
        <v>2528</v>
      </c>
      <c r="AO694" s="168" t="s">
        <v>2530</v>
      </c>
      <c r="AP694" s="184" t="s">
        <v>119</v>
      </c>
    </row>
    <row r="695" spans="1:42" s="184" customFormat="1" x14ac:dyDescent="0.3">
      <c r="A695" s="183" t="s">
        <v>1453</v>
      </c>
      <c r="B695" s="184" t="s">
        <v>2496</v>
      </c>
      <c r="C695" s="183" t="s">
        <v>2750</v>
      </c>
      <c r="D695" s="184" t="s">
        <v>2751</v>
      </c>
      <c r="E695" s="183" t="s">
        <v>2752</v>
      </c>
      <c r="F695" s="184" t="s">
        <v>2753</v>
      </c>
      <c r="G695" s="183" t="s">
        <v>2754</v>
      </c>
      <c r="H695" s="184" t="s">
        <v>2755</v>
      </c>
      <c r="J695" s="188"/>
      <c r="K695" s="183" t="s">
        <v>2756</v>
      </c>
      <c r="L695" s="184" t="s">
        <v>2757</v>
      </c>
      <c r="M695" s="184" t="s">
        <v>2762</v>
      </c>
      <c r="N695" s="189">
        <v>16783</v>
      </c>
      <c r="O695" s="189">
        <v>19750</v>
      </c>
      <c r="P695" s="189">
        <v>19750</v>
      </c>
      <c r="Q695" s="189">
        <v>19750</v>
      </c>
      <c r="R695" s="189">
        <v>19750</v>
      </c>
      <c r="S695" s="189">
        <v>19750</v>
      </c>
      <c r="T695" s="184" t="s">
        <v>2738</v>
      </c>
      <c r="U695" s="283" t="e">
        <v>#N/A</v>
      </c>
      <c r="V695" s="184" t="s">
        <v>2763</v>
      </c>
      <c r="W695" s="184">
        <v>1</v>
      </c>
      <c r="X695" s="184">
        <v>1</v>
      </c>
      <c r="Y695" s="184">
        <v>1</v>
      </c>
      <c r="Z695" s="184">
        <v>1</v>
      </c>
      <c r="AA695" s="184">
        <v>1</v>
      </c>
      <c r="AB695" s="184">
        <v>1</v>
      </c>
      <c r="AC695" s="316">
        <v>1</v>
      </c>
      <c r="AD695" s="316">
        <v>1</v>
      </c>
      <c r="AE695" s="302">
        <f t="shared" si="67"/>
        <v>1</v>
      </c>
      <c r="AF695" s="186"/>
      <c r="AG695" s="17">
        <v>0</v>
      </c>
      <c r="AH695" s="186">
        <v>28.44</v>
      </c>
      <c r="AI695" s="186">
        <v>28.44</v>
      </c>
      <c r="AJ695" s="186">
        <v>28.44</v>
      </c>
      <c r="AK695" s="187">
        <v>28.44</v>
      </c>
      <c r="AL695" s="187">
        <v>28.44</v>
      </c>
      <c r="AM695" s="17">
        <f t="shared" si="68"/>
        <v>56.88</v>
      </c>
      <c r="AN695" s="184" t="s">
        <v>2528</v>
      </c>
      <c r="AO695" s="168" t="s">
        <v>2530</v>
      </c>
      <c r="AP695" s="184" t="s">
        <v>119</v>
      </c>
    </row>
    <row r="696" spans="1:42" s="184" customFormat="1" x14ac:dyDescent="0.3">
      <c r="A696" s="183" t="s">
        <v>1453</v>
      </c>
      <c r="B696" s="184" t="s">
        <v>2496</v>
      </c>
      <c r="C696" s="183" t="s">
        <v>2750</v>
      </c>
      <c r="D696" s="184" t="s">
        <v>2751</v>
      </c>
      <c r="E696" s="183" t="s">
        <v>2752</v>
      </c>
      <c r="F696" s="184" t="s">
        <v>2753</v>
      </c>
      <c r="G696" s="183" t="s">
        <v>2754</v>
      </c>
      <c r="H696" s="184" t="s">
        <v>2755</v>
      </c>
      <c r="J696" s="188"/>
      <c r="K696" s="183" t="s">
        <v>2756</v>
      </c>
      <c r="L696" s="184" t="s">
        <v>2757</v>
      </c>
      <c r="M696" s="184" t="s">
        <v>2764</v>
      </c>
      <c r="N696" s="189"/>
      <c r="O696" s="189">
        <v>117</v>
      </c>
      <c r="P696" s="189">
        <v>650</v>
      </c>
      <c r="Q696" s="189">
        <v>1000</v>
      </c>
      <c r="R696" s="189">
        <v>1000</v>
      </c>
      <c r="S696" s="189">
        <v>1000</v>
      </c>
      <c r="T696" s="184" t="s">
        <v>2528</v>
      </c>
      <c r="U696" s="283" t="s">
        <v>2530</v>
      </c>
      <c r="V696" s="184" t="s">
        <v>2765</v>
      </c>
      <c r="W696" s="184">
        <v>1</v>
      </c>
      <c r="X696" s="184">
        <v>1</v>
      </c>
      <c r="Y696" s="184">
        <v>1</v>
      </c>
      <c r="Z696" s="184">
        <v>1</v>
      </c>
      <c r="AA696" s="184">
        <v>1</v>
      </c>
      <c r="AB696" s="184">
        <v>1</v>
      </c>
      <c r="AC696" s="316">
        <v>1</v>
      </c>
      <c r="AD696" s="316">
        <v>1</v>
      </c>
      <c r="AE696" s="302">
        <f t="shared" si="67"/>
        <v>1</v>
      </c>
      <c r="AF696" s="186"/>
      <c r="AG696" s="17">
        <v>0</v>
      </c>
      <c r="AH696" s="186">
        <v>8.7799999999999994</v>
      </c>
      <c r="AI696" s="186">
        <v>48.75</v>
      </c>
      <c r="AJ696" s="186">
        <v>75</v>
      </c>
      <c r="AK696" s="187">
        <v>75</v>
      </c>
      <c r="AL696" s="187">
        <v>75</v>
      </c>
      <c r="AM696" s="17">
        <f t="shared" si="68"/>
        <v>150</v>
      </c>
      <c r="AN696" s="184" t="s">
        <v>2528</v>
      </c>
      <c r="AO696" s="168" t="s">
        <v>2530</v>
      </c>
      <c r="AP696" s="184" t="s">
        <v>119</v>
      </c>
    </row>
    <row r="697" spans="1:42" s="184" customFormat="1" x14ac:dyDescent="0.3">
      <c r="A697" s="183" t="s">
        <v>1453</v>
      </c>
      <c r="B697" s="184" t="s">
        <v>2496</v>
      </c>
      <c r="C697" s="183" t="s">
        <v>2750</v>
      </c>
      <c r="D697" s="184" t="s">
        <v>2751</v>
      </c>
      <c r="E697" s="183" t="s">
        <v>2752</v>
      </c>
      <c r="F697" s="184" t="s">
        <v>2753</v>
      </c>
      <c r="G697" s="183" t="s">
        <v>2754</v>
      </c>
      <c r="H697" s="184" t="s">
        <v>2755</v>
      </c>
      <c r="J697" s="188"/>
      <c r="K697" s="183" t="s">
        <v>2756</v>
      </c>
      <c r="L697" s="184" t="s">
        <v>2757</v>
      </c>
      <c r="M697" s="184" t="s">
        <v>2766</v>
      </c>
      <c r="N697" s="189"/>
      <c r="O697" s="189">
        <v>10000</v>
      </c>
      <c r="P697" s="189">
        <v>10000</v>
      </c>
      <c r="Q697" s="189">
        <v>10000</v>
      </c>
      <c r="R697" s="189">
        <v>10000</v>
      </c>
      <c r="S697" s="189">
        <v>10000</v>
      </c>
      <c r="T697" s="184" t="s">
        <v>2738</v>
      </c>
      <c r="U697" s="283" t="e">
        <v>#N/A</v>
      </c>
      <c r="V697" s="184" t="s">
        <v>2767</v>
      </c>
      <c r="W697" s="184">
        <v>1</v>
      </c>
      <c r="X697" s="184">
        <v>1</v>
      </c>
      <c r="Y697" s="184">
        <v>1</v>
      </c>
      <c r="Z697" s="184">
        <v>1</v>
      </c>
      <c r="AA697" s="184">
        <v>1</v>
      </c>
      <c r="AB697" s="184">
        <v>1</v>
      </c>
      <c r="AC697" s="316">
        <v>1</v>
      </c>
      <c r="AD697" s="316">
        <v>1</v>
      </c>
      <c r="AE697" s="302">
        <f t="shared" si="67"/>
        <v>1</v>
      </c>
      <c r="AF697" s="186"/>
      <c r="AG697" s="17">
        <v>0</v>
      </c>
      <c r="AH697" s="186">
        <v>150</v>
      </c>
      <c r="AI697" s="186">
        <v>150.5</v>
      </c>
      <c r="AJ697" s="186">
        <v>150.5</v>
      </c>
      <c r="AK697" s="187">
        <v>151</v>
      </c>
      <c r="AL697" s="187">
        <v>151</v>
      </c>
      <c r="AM697" s="17">
        <f t="shared" si="68"/>
        <v>302</v>
      </c>
      <c r="AN697" s="184" t="s">
        <v>2528</v>
      </c>
      <c r="AO697" s="168" t="s">
        <v>2530</v>
      </c>
      <c r="AP697" s="184" t="s">
        <v>119</v>
      </c>
    </row>
    <row r="698" spans="1:42" s="184" customFormat="1" x14ac:dyDescent="0.3">
      <c r="A698" s="183" t="s">
        <v>1453</v>
      </c>
      <c r="B698" s="184" t="s">
        <v>2496</v>
      </c>
      <c r="C698" s="183" t="s">
        <v>2750</v>
      </c>
      <c r="D698" s="184" t="s">
        <v>2751</v>
      </c>
      <c r="E698" s="183" t="s">
        <v>2752</v>
      </c>
      <c r="F698" s="184" t="s">
        <v>2753</v>
      </c>
      <c r="G698" s="183" t="s">
        <v>2754</v>
      </c>
      <c r="H698" s="184" t="s">
        <v>2755</v>
      </c>
      <c r="J698" s="188"/>
      <c r="K698" s="183" t="s">
        <v>2756</v>
      </c>
      <c r="L698" s="184" t="s">
        <v>2757</v>
      </c>
      <c r="M698" s="184" t="s">
        <v>2768</v>
      </c>
      <c r="N698" s="189">
        <v>5389</v>
      </c>
      <c r="O698" s="189">
        <v>3929</v>
      </c>
      <c r="P698" s="189">
        <v>4950</v>
      </c>
      <c r="Q698" s="189">
        <v>4442</v>
      </c>
      <c r="R698" s="189">
        <v>6290</v>
      </c>
      <c r="S698" s="189">
        <v>7630</v>
      </c>
      <c r="T698" s="184" t="s">
        <v>2769</v>
      </c>
      <c r="U698" s="283" t="e">
        <v>#N/A</v>
      </c>
      <c r="V698" s="184" t="s">
        <v>2770</v>
      </c>
      <c r="W698" s="184">
        <v>1</v>
      </c>
      <c r="X698" s="184">
        <v>1</v>
      </c>
      <c r="Y698" s="184">
        <v>1</v>
      </c>
      <c r="Z698" s="184">
        <v>1</v>
      </c>
      <c r="AA698" s="184">
        <v>1</v>
      </c>
      <c r="AB698" s="184">
        <v>1</v>
      </c>
      <c r="AC698" s="316">
        <v>1</v>
      </c>
      <c r="AD698" s="316">
        <v>1</v>
      </c>
      <c r="AE698" s="302">
        <f t="shared" si="67"/>
        <v>1</v>
      </c>
      <c r="AF698" s="186"/>
      <c r="AG698" s="17">
        <v>0</v>
      </c>
      <c r="AH698" s="186">
        <v>116.3</v>
      </c>
      <c r="AI698" s="186">
        <v>116.3</v>
      </c>
      <c r="AJ698" s="186">
        <v>116.3</v>
      </c>
      <c r="AK698" s="187">
        <v>170.82</v>
      </c>
      <c r="AL698" s="187">
        <v>245.84</v>
      </c>
      <c r="AM698" s="17">
        <f t="shared" si="68"/>
        <v>416.65999999999997</v>
      </c>
      <c r="AN698" s="168" t="s">
        <v>255</v>
      </c>
      <c r="AO698" s="168" t="s">
        <v>1045</v>
      </c>
      <c r="AP698" s="184" t="s">
        <v>119</v>
      </c>
    </row>
    <row r="699" spans="1:42" s="184" customFormat="1" x14ac:dyDescent="0.3">
      <c r="A699" s="183" t="s">
        <v>1453</v>
      </c>
      <c r="B699" s="184" t="s">
        <v>2496</v>
      </c>
      <c r="C699" s="183" t="s">
        <v>2750</v>
      </c>
      <c r="D699" s="184" t="s">
        <v>2751</v>
      </c>
      <c r="E699" s="183" t="s">
        <v>2752</v>
      </c>
      <c r="F699" s="184" t="s">
        <v>2753</v>
      </c>
      <c r="G699" s="183" t="s">
        <v>2754</v>
      </c>
      <c r="H699" s="184" t="s">
        <v>2755</v>
      </c>
      <c r="J699" s="188"/>
      <c r="K699" s="183" t="s">
        <v>2756</v>
      </c>
      <c r="L699" s="184" t="s">
        <v>2757</v>
      </c>
      <c r="M699" s="184" t="s">
        <v>2771</v>
      </c>
      <c r="N699" s="189">
        <v>27682</v>
      </c>
      <c r="O699" s="192">
        <v>52134</v>
      </c>
      <c r="P699" s="192">
        <v>52634</v>
      </c>
      <c r="Q699" s="192">
        <v>52634</v>
      </c>
      <c r="R699" s="192">
        <v>52634</v>
      </c>
      <c r="S699" s="192">
        <v>52634</v>
      </c>
      <c r="T699" s="184" t="s">
        <v>2769</v>
      </c>
      <c r="U699" s="283" t="e">
        <v>#N/A</v>
      </c>
      <c r="V699" s="184" t="s">
        <v>2772</v>
      </c>
      <c r="W699" s="184">
        <v>1</v>
      </c>
      <c r="X699" s="184">
        <v>1</v>
      </c>
      <c r="Y699" s="184">
        <v>1</v>
      </c>
      <c r="Z699" s="184">
        <v>1</v>
      </c>
      <c r="AA699" s="184">
        <v>1</v>
      </c>
      <c r="AB699" s="184">
        <v>1</v>
      </c>
      <c r="AC699" s="316">
        <v>1</v>
      </c>
      <c r="AD699" s="316">
        <v>1</v>
      </c>
      <c r="AE699" s="302">
        <f t="shared" si="67"/>
        <v>1</v>
      </c>
      <c r="AF699" s="186"/>
      <c r="AG699" s="17">
        <v>0</v>
      </c>
      <c r="AH699" s="186">
        <v>80.290000000000006</v>
      </c>
      <c r="AI699" s="186">
        <v>81.06</v>
      </c>
      <c r="AJ699" s="186">
        <v>81.06</v>
      </c>
      <c r="AK699" s="187">
        <v>81.83</v>
      </c>
      <c r="AL699" s="187">
        <v>84.44</v>
      </c>
      <c r="AM699" s="17">
        <f t="shared" si="68"/>
        <v>166.26999999999998</v>
      </c>
      <c r="AN699" s="168" t="s">
        <v>255</v>
      </c>
      <c r="AO699" s="168" t="s">
        <v>1045</v>
      </c>
      <c r="AP699" s="184" t="s">
        <v>119</v>
      </c>
    </row>
    <row r="700" spans="1:42" s="184" customFormat="1" x14ac:dyDescent="0.3">
      <c r="A700" s="183" t="s">
        <v>1453</v>
      </c>
      <c r="B700" s="184" t="s">
        <v>2496</v>
      </c>
      <c r="C700" s="183" t="s">
        <v>2750</v>
      </c>
      <c r="D700" s="184" t="s">
        <v>2751</v>
      </c>
      <c r="E700" s="183" t="s">
        <v>2752</v>
      </c>
      <c r="F700" s="184" t="s">
        <v>2753</v>
      </c>
      <c r="G700" s="183" t="s">
        <v>2754</v>
      </c>
      <c r="H700" s="184" t="s">
        <v>2755</v>
      </c>
      <c r="J700" s="188"/>
      <c r="K700" s="183" t="s">
        <v>2756</v>
      </c>
      <c r="L700" s="184" t="s">
        <v>2757</v>
      </c>
      <c r="M700" s="184" t="s">
        <v>2773</v>
      </c>
      <c r="N700" s="189">
        <v>15224</v>
      </c>
      <c r="O700" s="189">
        <v>31390</v>
      </c>
      <c r="P700" s="189">
        <v>33390</v>
      </c>
      <c r="Q700" s="189">
        <v>33700</v>
      </c>
      <c r="R700" s="189">
        <v>33700</v>
      </c>
      <c r="S700" s="189">
        <v>33700</v>
      </c>
      <c r="T700" s="184" t="s">
        <v>2774</v>
      </c>
      <c r="U700" s="283" t="e">
        <v>#N/A</v>
      </c>
      <c r="V700" s="184" t="s">
        <v>2775</v>
      </c>
      <c r="W700" s="184">
        <v>1</v>
      </c>
      <c r="X700" s="184">
        <v>1</v>
      </c>
      <c r="Y700" s="184">
        <v>1</v>
      </c>
      <c r="Z700" s="184">
        <v>1</v>
      </c>
      <c r="AA700" s="184">
        <v>1</v>
      </c>
      <c r="AB700" s="184">
        <v>1</v>
      </c>
      <c r="AC700" s="316">
        <v>1</v>
      </c>
      <c r="AD700" s="316">
        <v>1</v>
      </c>
      <c r="AE700" s="302">
        <f t="shared" si="67"/>
        <v>1</v>
      </c>
      <c r="AF700" s="186"/>
      <c r="AG700" s="17">
        <v>0</v>
      </c>
      <c r="AH700" s="186">
        <v>321.3</v>
      </c>
      <c r="AI700" s="186">
        <v>221.3</v>
      </c>
      <c r="AJ700" s="186">
        <v>221.3</v>
      </c>
      <c r="AK700" s="187">
        <v>221.3</v>
      </c>
      <c r="AL700" s="187">
        <v>237</v>
      </c>
      <c r="AM700" s="17">
        <f t="shared" si="68"/>
        <v>458.3</v>
      </c>
      <c r="AN700" s="168" t="s">
        <v>255</v>
      </c>
      <c r="AO700" s="168" t="s">
        <v>1045</v>
      </c>
      <c r="AP700" s="184" t="s">
        <v>119</v>
      </c>
    </row>
    <row r="701" spans="1:42" s="184" customFormat="1" x14ac:dyDescent="0.3">
      <c r="A701" s="183" t="s">
        <v>1453</v>
      </c>
      <c r="B701" s="184" t="s">
        <v>2496</v>
      </c>
      <c r="C701" s="183" t="s">
        <v>2750</v>
      </c>
      <c r="D701" s="184" t="s">
        <v>2751</v>
      </c>
      <c r="E701" s="183" t="s">
        <v>2752</v>
      </c>
      <c r="F701" s="184" t="s">
        <v>2753</v>
      </c>
      <c r="G701" s="183" t="s">
        <v>2754</v>
      </c>
      <c r="H701" s="184" t="s">
        <v>2755</v>
      </c>
      <c r="J701" s="188"/>
      <c r="K701" s="183" t="s">
        <v>2756</v>
      </c>
      <c r="L701" s="184" t="s">
        <v>2757</v>
      </c>
      <c r="M701" s="184" t="s">
        <v>2776</v>
      </c>
      <c r="N701" s="189" t="s">
        <v>271</v>
      </c>
      <c r="O701" s="189">
        <v>500</v>
      </c>
      <c r="P701" s="189">
        <v>500</v>
      </c>
      <c r="Q701" s="189">
        <v>500</v>
      </c>
      <c r="R701" s="189">
        <v>500</v>
      </c>
      <c r="S701" s="189">
        <v>500</v>
      </c>
      <c r="T701" s="184" t="s">
        <v>63</v>
      </c>
      <c r="U701" s="283" t="s">
        <v>2510</v>
      </c>
      <c r="V701" s="184" t="s">
        <v>2777</v>
      </c>
      <c r="W701" s="184">
        <v>1</v>
      </c>
      <c r="X701" s="184">
        <v>1</v>
      </c>
      <c r="Y701" s="184">
        <v>1</v>
      </c>
      <c r="Z701" s="184">
        <v>1</v>
      </c>
      <c r="AA701" s="184">
        <v>1</v>
      </c>
      <c r="AB701" s="184">
        <v>1</v>
      </c>
      <c r="AC701" s="316">
        <v>1</v>
      </c>
      <c r="AD701" s="316">
        <v>1</v>
      </c>
      <c r="AE701" s="302">
        <f t="shared" si="67"/>
        <v>1</v>
      </c>
      <c r="AF701" s="186"/>
      <c r="AG701" s="17">
        <v>0</v>
      </c>
      <c r="AH701" s="186">
        <v>15.5</v>
      </c>
      <c r="AI701" s="186">
        <v>15.5</v>
      </c>
      <c r="AJ701" s="186">
        <v>15.5</v>
      </c>
      <c r="AK701" s="187">
        <v>15.5</v>
      </c>
      <c r="AL701" s="187">
        <v>15.5</v>
      </c>
      <c r="AM701" s="17">
        <f t="shared" si="68"/>
        <v>31</v>
      </c>
      <c r="AN701" s="184" t="s">
        <v>63</v>
      </c>
      <c r="AO701" s="168" t="s">
        <v>2510</v>
      </c>
      <c r="AP701" s="184" t="s">
        <v>255</v>
      </c>
    </row>
    <row r="702" spans="1:42" s="184" customFormat="1" x14ac:dyDescent="0.3">
      <c r="A702" s="183" t="s">
        <v>1453</v>
      </c>
      <c r="B702" s="184" t="s">
        <v>2496</v>
      </c>
      <c r="C702" s="183" t="s">
        <v>2750</v>
      </c>
      <c r="D702" s="184" t="s">
        <v>2751</v>
      </c>
      <c r="E702" s="183" t="s">
        <v>2752</v>
      </c>
      <c r="F702" s="184" t="s">
        <v>2753</v>
      </c>
      <c r="G702" s="183" t="s">
        <v>2754</v>
      </c>
      <c r="H702" s="184" t="s">
        <v>2755</v>
      </c>
      <c r="J702" s="188"/>
      <c r="K702" s="183" t="s">
        <v>2756</v>
      </c>
      <c r="L702" s="184" t="s">
        <v>2757</v>
      </c>
      <c r="M702" s="184" t="s">
        <v>2778</v>
      </c>
      <c r="N702" s="189" t="s">
        <v>271</v>
      </c>
      <c r="O702" s="189">
        <v>0</v>
      </c>
      <c r="P702" s="189">
        <v>10</v>
      </c>
      <c r="Q702" s="189">
        <v>10</v>
      </c>
      <c r="R702" s="189">
        <v>10</v>
      </c>
      <c r="S702" s="189">
        <v>10</v>
      </c>
      <c r="T702" s="184" t="s">
        <v>63</v>
      </c>
      <c r="U702" s="283" t="s">
        <v>2510</v>
      </c>
      <c r="V702" s="184" t="s">
        <v>2779</v>
      </c>
      <c r="W702" s="184">
        <v>1</v>
      </c>
      <c r="X702" s="184">
        <v>1</v>
      </c>
      <c r="Y702" s="184">
        <v>1</v>
      </c>
      <c r="Z702" s="184">
        <v>1</v>
      </c>
      <c r="AA702" s="184">
        <v>1</v>
      </c>
      <c r="AB702" s="184">
        <v>1</v>
      </c>
      <c r="AC702" s="316">
        <v>1</v>
      </c>
      <c r="AD702" s="316">
        <v>1</v>
      </c>
      <c r="AE702" s="302">
        <f t="shared" si="67"/>
        <v>1</v>
      </c>
      <c r="AF702" s="186"/>
      <c r="AG702" s="17">
        <v>0</v>
      </c>
      <c r="AH702" s="186">
        <v>0</v>
      </c>
      <c r="AI702" s="186">
        <v>4</v>
      </c>
      <c r="AJ702" s="186">
        <v>4</v>
      </c>
      <c r="AK702" s="187">
        <v>4</v>
      </c>
      <c r="AL702" s="187">
        <v>4</v>
      </c>
      <c r="AM702" s="17">
        <f t="shared" si="68"/>
        <v>8</v>
      </c>
      <c r="AN702" s="184" t="s">
        <v>63</v>
      </c>
      <c r="AO702" s="168" t="s">
        <v>2510</v>
      </c>
      <c r="AP702" s="184" t="s">
        <v>255</v>
      </c>
    </row>
    <row r="703" spans="1:42" s="184" customFormat="1" x14ac:dyDescent="0.3">
      <c r="A703" s="183" t="s">
        <v>1453</v>
      </c>
      <c r="B703" s="184" t="s">
        <v>2496</v>
      </c>
      <c r="C703" s="183" t="s">
        <v>2750</v>
      </c>
      <c r="D703" s="184" t="s">
        <v>2751</v>
      </c>
      <c r="E703" s="183" t="s">
        <v>2752</v>
      </c>
      <c r="F703" s="184" t="s">
        <v>2753</v>
      </c>
      <c r="G703" s="183" t="s">
        <v>2754</v>
      </c>
      <c r="H703" s="184" t="s">
        <v>2755</v>
      </c>
      <c r="J703" s="188"/>
      <c r="K703" s="183" t="s">
        <v>2756</v>
      </c>
      <c r="L703" s="184" t="s">
        <v>2757</v>
      </c>
      <c r="M703" s="184" t="s">
        <v>2780</v>
      </c>
      <c r="N703" s="189" t="s">
        <v>271</v>
      </c>
      <c r="O703" s="189">
        <v>10</v>
      </c>
      <c r="P703" s="189">
        <v>10</v>
      </c>
      <c r="Q703" s="189">
        <v>65</v>
      </c>
      <c r="R703" s="189">
        <v>65</v>
      </c>
      <c r="S703" s="189">
        <v>65</v>
      </c>
      <c r="T703" s="184" t="s">
        <v>63</v>
      </c>
      <c r="U703" s="283" t="s">
        <v>2510</v>
      </c>
      <c r="V703" s="184" t="s">
        <v>2781</v>
      </c>
      <c r="W703" s="184">
        <v>1</v>
      </c>
      <c r="X703" s="184">
        <v>1</v>
      </c>
      <c r="Y703" s="184">
        <v>1</v>
      </c>
      <c r="Z703" s="184">
        <v>1</v>
      </c>
      <c r="AA703" s="184">
        <v>1</v>
      </c>
      <c r="AB703" s="184">
        <v>1</v>
      </c>
      <c r="AC703" s="316">
        <v>1</v>
      </c>
      <c r="AD703" s="316">
        <v>1</v>
      </c>
      <c r="AE703" s="302">
        <f t="shared" si="67"/>
        <v>1</v>
      </c>
      <c r="AF703" s="186"/>
      <c r="AG703" s="17">
        <v>0</v>
      </c>
      <c r="AH703" s="186">
        <v>14</v>
      </c>
      <c r="AI703" s="186">
        <v>14</v>
      </c>
      <c r="AJ703" s="186">
        <v>50</v>
      </c>
      <c r="AK703" s="187">
        <v>50</v>
      </c>
      <c r="AL703" s="187">
        <v>50</v>
      </c>
      <c r="AM703" s="17">
        <f t="shared" si="68"/>
        <v>100</v>
      </c>
      <c r="AN703" s="184" t="s">
        <v>63</v>
      </c>
      <c r="AO703" s="168" t="s">
        <v>2510</v>
      </c>
      <c r="AP703" s="184" t="s">
        <v>2514</v>
      </c>
    </row>
    <row r="704" spans="1:42" s="184" customFormat="1" x14ac:dyDescent="0.3">
      <c r="A704" s="183" t="s">
        <v>1453</v>
      </c>
      <c r="B704" s="184" t="s">
        <v>2496</v>
      </c>
      <c r="C704" s="183" t="s">
        <v>2750</v>
      </c>
      <c r="D704" s="184" t="s">
        <v>2751</v>
      </c>
      <c r="E704" s="183" t="s">
        <v>2752</v>
      </c>
      <c r="F704" s="184" t="s">
        <v>2753</v>
      </c>
      <c r="G704" s="183" t="s">
        <v>2754</v>
      </c>
      <c r="H704" s="184" t="s">
        <v>2755</v>
      </c>
      <c r="J704" s="188"/>
      <c r="K704" s="183" t="s">
        <v>2756</v>
      </c>
      <c r="L704" s="184" t="s">
        <v>2757</v>
      </c>
      <c r="M704" s="184" t="s">
        <v>2782</v>
      </c>
      <c r="N704" s="189" t="s">
        <v>271</v>
      </c>
      <c r="O704" s="189">
        <v>800</v>
      </c>
      <c r="P704" s="189">
        <v>800</v>
      </c>
      <c r="Q704" s="189">
        <v>800</v>
      </c>
      <c r="R704" s="189">
        <v>800</v>
      </c>
      <c r="S704" s="189">
        <v>800</v>
      </c>
      <c r="T704" s="184" t="s">
        <v>63</v>
      </c>
      <c r="U704" s="283" t="s">
        <v>2510</v>
      </c>
      <c r="V704" s="184" t="s">
        <v>2783</v>
      </c>
      <c r="W704" s="184">
        <v>1</v>
      </c>
      <c r="X704" s="184">
        <v>1</v>
      </c>
      <c r="Y704" s="184">
        <v>1</v>
      </c>
      <c r="Z704" s="184">
        <v>1</v>
      </c>
      <c r="AA704" s="184">
        <v>1</v>
      </c>
      <c r="AB704" s="184">
        <v>1</v>
      </c>
      <c r="AC704" s="316">
        <v>1</v>
      </c>
      <c r="AD704" s="316">
        <v>1</v>
      </c>
      <c r="AE704" s="302">
        <f t="shared" si="67"/>
        <v>1</v>
      </c>
      <c r="AF704" s="186"/>
      <c r="AG704" s="17">
        <v>0</v>
      </c>
      <c r="AH704" s="186">
        <v>53.6</v>
      </c>
      <c r="AI704" s="186">
        <v>53.06</v>
      </c>
      <c r="AJ704" s="186">
        <v>63.06</v>
      </c>
      <c r="AK704" s="187">
        <v>43.06</v>
      </c>
      <c r="AL704" s="187">
        <v>63.06</v>
      </c>
      <c r="AM704" s="17">
        <f t="shared" si="68"/>
        <v>106.12</v>
      </c>
      <c r="AN704" s="184" t="s">
        <v>63</v>
      </c>
      <c r="AO704" s="168" t="s">
        <v>2510</v>
      </c>
      <c r="AP704" s="184" t="s">
        <v>2784</v>
      </c>
    </row>
    <row r="705" spans="1:42" s="184" customFormat="1" x14ac:dyDescent="0.3">
      <c r="A705" s="183" t="s">
        <v>1453</v>
      </c>
      <c r="B705" s="184" t="s">
        <v>2496</v>
      </c>
      <c r="C705" s="183" t="s">
        <v>2750</v>
      </c>
      <c r="D705" s="184" t="s">
        <v>2751</v>
      </c>
      <c r="E705" s="183" t="s">
        <v>2752</v>
      </c>
      <c r="F705" s="184" t="s">
        <v>2753</v>
      </c>
      <c r="G705" s="183" t="s">
        <v>2754</v>
      </c>
      <c r="H705" s="184" t="s">
        <v>2755</v>
      </c>
      <c r="J705" s="188"/>
      <c r="K705" s="183" t="s">
        <v>2756</v>
      </c>
      <c r="L705" s="184" t="s">
        <v>2757</v>
      </c>
      <c r="M705" s="184" t="s">
        <v>2785</v>
      </c>
      <c r="N705" s="189">
        <v>950</v>
      </c>
      <c r="O705" s="189">
        <v>8</v>
      </c>
      <c r="P705" s="189">
        <v>8</v>
      </c>
      <c r="Q705" s="189">
        <v>8</v>
      </c>
      <c r="R705" s="189">
        <v>8</v>
      </c>
      <c r="S705" s="189">
        <v>8</v>
      </c>
      <c r="T705" s="184" t="s">
        <v>63</v>
      </c>
      <c r="U705" s="283" t="s">
        <v>2510</v>
      </c>
      <c r="V705" s="184" t="s">
        <v>2786</v>
      </c>
      <c r="W705" s="184">
        <v>1</v>
      </c>
      <c r="X705" s="184">
        <v>1</v>
      </c>
      <c r="Y705" s="184">
        <v>1</v>
      </c>
      <c r="Z705" s="184">
        <v>1</v>
      </c>
      <c r="AA705" s="184">
        <v>1</v>
      </c>
      <c r="AB705" s="184">
        <v>1</v>
      </c>
      <c r="AC705" s="316">
        <v>1</v>
      </c>
      <c r="AD705" s="316">
        <v>1</v>
      </c>
      <c r="AE705" s="302">
        <f t="shared" si="67"/>
        <v>1</v>
      </c>
      <c r="AF705" s="186"/>
      <c r="AG705" s="17">
        <v>0</v>
      </c>
      <c r="AH705" s="186">
        <v>48</v>
      </c>
      <c r="AI705" s="186">
        <v>48</v>
      </c>
      <c r="AJ705" s="186">
        <v>56</v>
      </c>
      <c r="AK705" s="187">
        <v>50</v>
      </c>
      <c r="AL705" s="187">
        <v>65</v>
      </c>
      <c r="AM705" s="17">
        <f t="shared" si="68"/>
        <v>115</v>
      </c>
      <c r="AN705" s="184" t="s">
        <v>63</v>
      </c>
      <c r="AO705" s="168" t="s">
        <v>2510</v>
      </c>
      <c r="AP705" s="184" t="s">
        <v>255</v>
      </c>
    </row>
    <row r="706" spans="1:42" s="184" customFormat="1" x14ac:dyDescent="0.3">
      <c r="A706" s="183" t="s">
        <v>1453</v>
      </c>
      <c r="B706" s="184" t="s">
        <v>2496</v>
      </c>
      <c r="C706" s="183" t="s">
        <v>2750</v>
      </c>
      <c r="D706" s="184" t="s">
        <v>2751</v>
      </c>
      <c r="E706" s="183" t="s">
        <v>2752</v>
      </c>
      <c r="F706" s="184" t="s">
        <v>2753</v>
      </c>
      <c r="G706" s="183" t="s">
        <v>2754</v>
      </c>
      <c r="H706" s="184" t="s">
        <v>2755</v>
      </c>
      <c r="J706" s="188"/>
      <c r="K706" s="183" t="s">
        <v>2756</v>
      </c>
      <c r="L706" s="184" t="s">
        <v>2757</v>
      </c>
      <c r="M706" s="184" t="s">
        <v>2787</v>
      </c>
      <c r="N706" s="189" t="s">
        <v>271</v>
      </c>
      <c r="O706" s="189">
        <v>4</v>
      </c>
      <c r="P706" s="189">
        <v>6</v>
      </c>
      <c r="Q706" s="189">
        <v>8</v>
      </c>
      <c r="R706" s="189">
        <v>8</v>
      </c>
      <c r="S706" s="189">
        <v>8</v>
      </c>
      <c r="T706" s="184" t="s">
        <v>63</v>
      </c>
      <c r="U706" s="283" t="s">
        <v>2510</v>
      </c>
      <c r="V706" s="184" t="s">
        <v>2788</v>
      </c>
      <c r="W706" s="184">
        <v>1</v>
      </c>
      <c r="X706" s="184">
        <v>1</v>
      </c>
      <c r="Y706" s="184">
        <v>1</v>
      </c>
      <c r="Z706" s="184">
        <v>1</v>
      </c>
      <c r="AA706" s="184">
        <v>1</v>
      </c>
      <c r="AB706" s="184">
        <v>1</v>
      </c>
      <c r="AC706" s="316">
        <v>1</v>
      </c>
      <c r="AD706" s="316">
        <v>1</v>
      </c>
      <c r="AE706" s="302">
        <f t="shared" si="67"/>
        <v>1</v>
      </c>
      <c r="AF706" s="186"/>
      <c r="AG706" s="17">
        <v>0</v>
      </c>
      <c r="AH706" s="186">
        <v>2</v>
      </c>
      <c r="AI706" s="186">
        <v>3</v>
      </c>
      <c r="AJ706" s="186">
        <v>4</v>
      </c>
      <c r="AK706" s="187">
        <v>4</v>
      </c>
      <c r="AL706" s="187">
        <v>4</v>
      </c>
      <c r="AM706" s="17">
        <f t="shared" si="68"/>
        <v>8</v>
      </c>
      <c r="AN706" s="184" t="s">
        <v>63</v>
      </c>
      <c r="AO706" s="168" t="s">
        <v>2510</v>
      </c>
      <c r="AP706" s="184" t="s">
        <v>119</v>
      </c>
    </row>
    <row r="707" spans="1:42" s="184" customFormat="1" x14ac:dyDescent="0.3">
      <c r="A707" s="183" t="s">
        <v>1453</v>
      </c>
      <c r="B707" s="184" t="s">
        <v>2496</v>
      </c>
      <c r="C707" s="183" t="s">
        <v>2750</v>
      </c>
      <c r="D707" s="184" t="s">
        <v>2751</v>
      </c>
      <c r="E707" s="183" t="s">
        <v>2752</v>
      </c>
      <c r="F707" s="184" t="s">
        <v>2753</v>
      </c>
      <c r="G707" s="183" t="s">
        <v>2754</v>
      </c>
      <c r="H707" s="184" t="s">
        <v>2755</v>
      </c>
      <c r="J707" s="188"/>
      <c r="K707" s="183" t="s">
        <v>2756</v>
      </c>
      <c r="L707" s="184" t="s">
        <v>2757</v>
      </c>
      <c r="M707" s="184" t="s">
        <v>2789</v>
      </c>
      <c r="N707" s="189" t="s">
        <v>271</v>
      </c>
      <c r="O707" s="189">
        <v>10</v>
      </c>
      <c r="P707" s="189">
        <v>10</v>
      </c>
      <c r="Q707" s="189">
        <v>13</v>
      </c>
      <c r="R707" s="189">
        <v>3</v>
      </c>
      <c r="S707" s="189">
        <v>3</v>
      </c>
      <c r="T707" s="184" t="s">
        <v>2528</v>
      </c>
      <c r="U707" s="283" t="s">
        <v>2530</v>
      </c>
      <c r="V707" s="184" t="s">
        <v>2790</v>
      </c>
      <c r="W707" s="184">
        <v>1</v>
      </c>
      <c r="X707" s="184">
        <v>1</v>
      </c>
      <c r="Y707" s="184">
        <v>0</v>
      </c>
      <c r="Z707" s="184">
        <v>1</v>
      </c>
      <c r="AA707" s="184">
        <v>1</v>
      </c>
      <c r="AB707" s="184">
        <v>1</v>
      </c>
      <c r="AC707" s="316">
        <v>0</v>
      </c>
      <c r="AD707" s="316">
        <v>1</v>
      </c>
      <c r="AE707" s="302">
        <f t="shared" si="67"/>
        <v>0.75</v>
      </c>
      <c r="AF707" s="186"/>
      <c r="AG707" s="17">
        <v>0</v>
      </c>
      <c r="AH707" s="186">
        <v>157</v>
      </c>
      <c r="AI707" s="186">
        <v>149.80000000000001</v>
      </c>
      <c r="AJ707" s="186">
        <v>150</v>
      </c>
      <c r="AK707" s="187">
        <v>150</v>
      </c>
      <c r="AL707" s="187">
        <v>50</v>
      </c>
      <c r="AM707" s="17">
        <f t="shared" si="68"/>
        <v>200</v>
      </c>
      <c r="AN707" s="184" t="s">
        <v>2528</v>
      </c>
      <c r="AO707" s="168" t="s">
        <v>2530</v>
      </c>
      <c r="AP707" s="184" t="s">
        <v>119</v>
      </c>
    </row>
    <row r="708" spans="1:42" s="184" customFormat="1" x14ac:dyDescent="0.3">
      <c r="A708" s="183" t="s">
        <v>1453</v>
      </c>
      <c r="B708" s="184" t="s">
        <v>2496</v>
      </c>
      <c r="C708" s="183" t="s">
        <v>2750</v>
      </c>
      <c r="D708" s="184" t="s">
        <v>2751</v>
      </c>
      <c r="E708" s="183" t="s">
        <v>2752</v>
      </c>
      <c r="F708" s="184" t="s">
        <v>2753</v>
      </c>
      <c r="G708" s="183" t="s">
        <v>2754</v>
      </c>
      <c r="H708" s="184" t="s">
        <v>2755</v>
      </c>
      <c r="J708" s="188"/>
      <c r="K708" s="183" t="s">
        <v>2756</v>
      </c>
      <c r="L708" s="184" t="s">
        <v>2757</v>
      </c>
      <c r="M708" s="184" t="s">
        <v>2791</v>
      </c>
      <c r="N708" s="189"/>
      <c r="O708" s="189"/>
      <c r="P708" s="189">
        <v>2</v>
      </c>
      <c r="Q708" s="189" t="s">
        <v>271</v>
      </c>
      <c r="R708" s="189">
        <v>0</v>
      </c>
      <c r="S708" s="189" t="s">
        <v>271</v>
      </c>
      <c r="T708" s="184" t="s">
        <v>63</v>
      </c>
      <c r="U708" s="283" t="s">
        <v>2510</v>
      </c>
      <c r="V708" s="184" t="s">
        <v>2792</v>
      </c>
      <c r="W708" s="184">
        <v>1</v>
      </c>
      <c r="X708" s="184">
        <v>1</v>
      </c>
      <c r="Y708" s="184">
        <v>1</v>
      </c>
      <c r="Z708" s="184">
        <v>1</v>
      </c>
      <c r="AA708" s="184">
        <v>0</v>
      </c>
      <c r="AB708" s="184">
        <v>1</v>
      </c>
      <c r="AC708" s="316">
        <v>0</v>
      </c>
      <c r="AD708" s="316">
        <v>1</v>
      </c>
      <c r="AE708" s="302">
        <f t="shared" si="67"/>
        <v>0.75</v>
      </c>
      <c r="AF708" s="186"/>
      <c r="AG708" s="17">
        <v>0</v>
      </c>
      <c r="AH708" s="186" t="s">
        <v>2526</v>
      </c>
      <c r="AI708" s="186">
        <v>5</v>
      </c>
      <c r="AJ708" s="186">
        <v>60</v>
      </c>
      <c r="AK708" s="187">
        <v>40</v>
      </c>
      <c r="AL708" s="187">
        <v>40</v>
      </c>
      <c r="AM708" s="17">
        <f t="shared" si="68"/>
        <v>80</v>
      </c>
      <c r="AN708" s="184" t="s">
        <v>63</v>
      </c>
      <c r="AO708" s="168" t="s">
        <v>2510</v>
      </c>
      <c r="AP708" s="184" t="s">
        <v>119</v>
      </c>
    </row>
    <row r="709" spans="1:42" s="184" customFormat="1" x14ac:dyDescent="0.3">
      <c r="A709" s="183" t="s">
        <v>1453</v>
      </c>
      <c r="B709" s="184" t="s">
        <v>2496</v>
      </c>
      <c r="C709" s="183" t="s">
        <v>2750</v>
      </c>
      <c r="D709" s="184" t="s">
        <v>2751</v>
      </c>
      <c r="E709" s="183" t="s">
        <v>2752</v>
      </c>
      <c r="F709" s="184" t="s">
        <v>2753</v>
      </c>
      <c r="G709" s="183" t="s">
        <v>2754</v>
      </c>
      <c r="H709" s="184" t="s">
        <v>2755</v>
      </c>
      <c r="J709" s="188"/>
      <c r="K709" s="183" t="s">
        <v>2756</v>
      </c>
      <c r="L709" s="184" t="s">
        <v>2757</v>
      </c>
      <c r="M709" s="184" t="s">
        <v>2793</v>
      </c>
      <c r="N709" s="189"/>
      <c r="O709" s="189"/>
      <c r="P709" s="189">
        <v>265</v>
      </c>
      <c r="Q709" s="189">
        <v>265</v>
      </c>
      <c r="R709" s="189">
        <v>265</v>
      </c>
      <c r="S709" s="189">
        <v>1100</v>
      </c>
      <c r="T709" s="184" t="s">
        <v>2507</v>
      </c>
      <c r="U709" s="283" t="e">
        <v>#N/A</v>
      </c>
      <c r="V709" s="184" t="s">
        <v>2794</v>
      </c>
      <c r="W709" s="184">
        <v>1</v>
      </c>
      <c r="X709" s="184">
        <v>1</v>
      </c>
      <c r="Y709" s="184">
        <v>1</v>
      </c>
      <c r="Z709" s="184">
        <v>1</v>
      </c>
      <c r="AA709" s="184">
        <v>1</v>
      </c>
      <c r="AB709" s="184">
        <v>1</v>
      </c>
      <c r="AC709" s="316">
        <v>0</v>
      </c>
      <c r="AD709" s="316">
        <v>1</v>
      </c>
      <c r="AE709" s="302">
        <f t="shared" si="67"/>
        <v>0.875</v>
      </c>
      <c r="AF709" s="186"/>
      <c r="AG709" s="17">
        <v>0</v>
      </c>
      <c r="AH709" s="186">
        <v>30</v>
      </c>
      <c r="AI709" s="186">
        <v>15</v>
      </c>
      <c r="AJ709" s="186">
        <v>20</v>
      </c>
      <c r="AK709" s="187">
        <v>30</v>
      </c>
      <c r="AL709" s="187">
        <v>65</v>
      </c>
      <c r="AM709" s="17">
        <f t="shared" si="68"/>
        <v>95</v>
      </c>
      <c r="AN709" s="184" t="s">
        <v>2509</v>
      </c>
      <c r="AO709" s="168" t="s">
        <v>2510</v>
      </c>
      <c r="AP709" s="184" t="s">
        <v>63</v>
      </c>
    </row>
    <row r="710" spans="1:42" s="184" customFormat="1" x14ac:dyDescent="0.3">
      <c r="A710" s="183" t="s">
        <v>1453</v>
      </c>
      <c r="B710" s="184" t="s">
        <v>2496</v>
      </c>
      <c r="C710" s="183" t="s">
        <v>2750</v>
      </c>
      <c r="D710" s="184" t="s">
        <v>2751</v>
      </c>
      <c r="E710" s="183" t="s">
        <v>2752</v>
      </c>
      <c r="F710" s="184" t="s">
        <v>2753</v>
      </c>
      <c r="G710" s="183" t="s">
        <v>2754</v>
      </c>
      <c r="H710" s="184" t="s">
        <v>2755</v>
      </c>
      <c r="J710" s="188"/>
      <c r="K710" s="183" t="s">
        <v>2756</v>
      </c>
      <c r="L710" s="184" t="s">
        <v>2757</v>
      </c>
      <c r="M710" s="184" t="s">
        <v>2795</v>
      </c>
      <c r="N710" s="189"/>
      <c r="O710" s="189"/>
      <c r="P710" s="189">
        <v>6</v>
      </c>
      <c r="Q710" s="189">
        <v>6</v>
      </c>
      <c r="R710" s="189">
        <v>6</v>
      </c>
      <c r="S710" s="189">
        <v>6</v>
      </c>
      <c r="T710" s="184" t="s">
        <v>2571</v>
      </c>
      <c r="U710" s="283" t="s">
        <v>2573</v>
      </c>
      <c r="V710" s="184" t="s">
        <v>2796</v>
      </c>
      <c r="W710" s="184">
        <v>1</v>
      </c>
      <c r="X710" s="184">
        <v>1</v>
      </c>
      <c r="Y710" s="184">
        <v>1</v>
      </c>
      <c r="Z710" s="184">
        <v>1</v>
      </c>
      <c r="AA710" s="184">
        <v>1</v>
      </c>
      <c r="AB710" s="184">
        <v>1</v>
      </c>
      <c r="AC710" s="316">
        <v>1</v>
      </c>
      <c r="AD710" s="316">
        <v>1</v>
      </c>
      <c r="AE710" s="302">
        <f t="shared" si="67"/>
        <v>1</v>
      </c>
      <c r="AF710" s="186"/>
      <c r="AG710" s="17">
        <v>0</v>
      </c>
      <c r="AH710" s="186">
        <v>0</v>
      </c>
      <c r="AI710" s="186">
        <v>35</v>
      </c>
      <c r="AJ710" s="186">
        <v>0</v>
      </c>
      <c r="AK710" s="187">
        <v>0</v>
      </c>
      <c r="AL710" s="187">
        <v>0</v>
      </c>
      <c r="AM710" s="17">
        <f t="shared" si="68"/>
        <v>0</v>
      </c>
      <c r="AN710" s="184" t="s">
        <v>2571</v>
      </c>
      <c r="AO710" s="168" t="s">
        <v>2573</v>
      </c>
      <c r="AP710" s="184" t="s">
        <v>2632</v>
      </c>
    </row>
    <row r="711" spans="1:42" s="184" customFormat="1" hidden="1" x14ac:dyDescent="0.3">
      <c r="A711" s="183" t="s">
        <v>1453</v>
      </c>
      <c r="B711" s="184" t="s">
        <v>2496</v>
      </c>
      <c r="C711" s="183" t="s">
        <v>2750</v>
      </c>
      <c r="D711" s="184" t="s">
        <v>2751</v>
      </c>
      <c r="E711" s="183" t="s">
        <v>2752</v>
      </c>
      <c r="F711" s="184" t="s">
        <v>2753</v>
      </c>
      <c r="G711" s="183" t="s">
        <v>2754</v>
      </c>
      <c r="H711" s="184" t="s">
        <v>2755</v>
      </c>
      <c r="J711" s="188"/>
      <c r="K711" s="183" t="s">
        <v>2756</v>
      </c>
      <c r="L711" s="184" t="s">
        <v>2757</v>
      </c>
      <c r="M711" s="184" t="s">
        <v>2797</v>
      </c>
      <c r="N711" s="189">
        <v>0</v>
      </c>
      <c r="O711" s="189">
        <v>125</v>
      </c>
      <c r="P711" s="189">
        <v>147</v>
      </c>
      <c r="Q711" s="189">
        <v>200</v>
      </c>
      <c r="R711" s="189">
        <v>75</v>
      </c>
      <c r="S711" s="189">
        <v>78</v>
      </c>
      <c r="T711" s="184" t="s">
        <v>2507</v>
      </c>
      <c r="U711" s="283" t="e">
        <v>#N/A</v>
      </c>
      <c r="AC711" s="316">
        <v>0</v>
      </c>
      <c r="AD711" s="316">
        <v>0</v>
      </c>
      <c r="AE711" s="302">
        <f t="shared" si="67"/>
        <v>0</v>
      </c>
      <c r="AF711" s="190"/>
      <c r="AG711" s="17">
        <v>0</v>
      </c>
      <c r="AH711" s="190">
        <v>0</v>
      </c>
      <c r="AI711" s="190" t="s">
        <v>271</v>
      </c>
      <c r="AJ711" s="190">
        <v>0</v>
      </c>
      <c r="AK711" s="191">
        <v>0</v>
      </c>
      <c r="AL711" s="191">
        <v>0</v>
      </c>
      <c r="AM711" s="17">
        <f t="shared" si="68"/>
        <v>0</v>
      </c>
      <c r="AN711" s="184" t="s">
        <v>2509</v>
      </c>
      <c r="AO711" s="168" t="s">
        <v>2510</v>
      </c>
      <c r="AP711" s="184" t="s">
        <v>2507</v>
      </c>
    </row>
    <row r="712" spans="1:42" s="184" customFormat="1" x14ac:dyDescent="0.3">
      <c r="A712" s="183" t="s">
        <v>1453</v>
      </c>
      <c r="B712" s="184" t="s">
        <v>2496</v>
      </c>
      <c r="C712" s="183" t="s">
        <v>2750</v>
      </c>
      <c r="D712" s="184" t="s">
        <v>2751</v>
      </c>
      <c r="E712" s="183" t="s">
        <v>2752</v>
      </c>
      <c r="F712" s="184" t="s">
        <v>2753</v>
      </c>
      <c r="G712" s="183" t="s">
        <v>2798</v>
      </c>
      <c r="H712" s="184" t="s">
        <v>2799</v>
      </c>
      <c r="J712" s="188"/>
      <c r="K712" s="183" t="s">
        <v>2800</v>
      </c>
      <c r="L712" s="184" t="s">
        <v>2801</v>
      </c>
      <c r="M712" s="184" t="s">
        <v>2802</v>
      </c>
      <c r="N712" s="189"/>
      <c r="O712" s="189" t="s">
        <v>271</v>
      </c>
      <c r="P712" s="189" t="s">
        <v>271</v>
      </c>
      <c r="Q712" s="189">
        <v>50</v>
      </c>
      <c r="R712" s="189">
        <v>50</v>
      </c>
      <c r="S712" s="189" t="s">
        <v>271</v>
      </c>
      <c r="T712" s="184" t="s">
        <v>63</v>
      </c>
      <c r="U712" s="283" t="s">
        <v>2510</v>
      </c>
      <c r="V712" s="184" t="s">
        <v>2803</v>
      </c>
      <c r="W712" s="184">
        <v>1</v>
      </c>
      <c r="X712" s="184">
        <v>1</v>
      </c>
      <c r="Y712" s="184">
        <v>0</v>
      </c>
      <c r="Z712" s="184">
        <v>1</v>
      </c>
      <c r="AA712" s="184">
        <v>1</v>
      </c>
      <c r="AB712" s="184">
        <v>1</v>
      </c>
      <c r="AC712" s="316">
        <v>0</v>
      </c>
      <c r="AD712" s="316">
        <v>1</v>
      </c>
      <c r="AE712" s="302">
        <f t="shared" si="67"/>
        <v>0.75</v>
      </c>
      <c r="AF712" s="186"/>
      <c r="AG712" s="17">
        <v>0</v>
      </c>
      <c r="AH712" s="186" t="s">
        <v>2526</v>
      </c>
      <c r="AI712" s="186" t="s">
        <v>2526</v>
      </c>
      <c r="AJ712" s="186">
        <v>1.5</v>
      </c>
      <c r="AK712" s="187">
        <v>1.5</v>
      </c>
      <c r="AL712" s="187" t="s">
        <v>2631</v>
      </c>
      <c r="AM712" s="17">
        <f t="shared" si="68"/>
        <v>1.5</v>
      </c>
      <c r="AN712" s="184" t="s">
        <v>63</v>
      </c>
      <c r="AO712" s="168" t="s">
        <v>2510</v>
      </c>
      <c r="AP712" s="184" t="s">
        <v>119</v>
      </c>
    </row>
    <row r="713" spans="1:42" s="184" customFormat="1" hidden="1" x14ac:dyDescent="0.3">
      <c r="A713" s="183" t="s">
        <v>1453</v>
      </c>
      <c r="B713" s="184" t="s">
        <v>2496</v>
      </c>
      <c r="C713" s="183" t="s">
        <v>2750</v>
      </c>
      <c r="D713" s="184" t="s">
        <v>2751</v>
      </c>
      <c r="E713" s="183" t="s">
        <v>2752</v>
      </c>
      <c r="F713" s="184" t="s">
        <v>2753</v>
      </c>
      <c r="G713" s="183" t="s">
        <v>2804</v>
      </c>
      <c r="H713" s="184" t="s">
        <v>2805</v>
      </c>
      <c r="J713" s="188"/>
      <c r="K713" s="183" t="s">
        <v>2806</v>
      </c>
      <c r="L713" s="184" t="s">
        <v>2807</v>
      </c>
      <c r="M713" s="184" t="s">
        <v>2808</v>
      </c>
      <c r="N713" s="189">
        <v>96.2</v>
      </c>
      <c r="O713" s="189">
        <v>97.5</v>
      </c>
      <c r="P713" s="189">
        <v>98.25</v>
      </c>
      <c r="Q713" s="189">
        <v>98</v>
      </c>
      <c r="R713" s="189">
        <v>99</v>
      </c>
      <c r="S713" s="189">
        <v>99</v>
      </c>
      <c r="T713" s="184" t="s">
        <v>2738</v>
      </c>
      <c r="U713" s="283" t="e">
        <v>#N/A</v>
      </c>
      <c r="V713" s="184" t="s">
        <v>2809</v>
      </c>
      <c r="W713" s="184">
        <v>1</v>
      </c>
      <c r="X713" s="184">
        <v>0</v>
      </c>
      <c r="Y713" s="184">
        <v>0</v>
      </c>
      <c r="Z713" s="184">
        <v>1</v>
      </c>
      <c r="AA713" s="184">
        <v>1</v>
      </c>
      <c r="AB713" s="184">
        <v>0</v>
      </c>
      <c r="AC713" s="316">
        <v>0</v>
      </c>
      <c r="AD713" s="316">
        <v>1</v>
      </c>
      <c r="AE713" s="302">
        <f t="shared" si="67"/>
        <v>0.5</v>
      </c>
      <c r="AF713" s="186"/>
      <c r="AG713" s="17">
        <v>0</v>
      </c>
      <c r="AH713" s="186">
        <v>0</v>
      </c>
      <c r="AI713" s="186">
        <v>0</v>
      </c>
      <c r="AJ713" s="186">
        <v>0</v>
      </c>
      <c r="AK713" s="187">
        <v>0</v>
      </c>
      <c r="AL713" s="187">
        <v>0</v>
      </c>
      <c r="AM713" s="17">
        <f t="shared" si="68"/>
        <v>0</v>
      </c>
      <c r="AN713" s="184" t="s">
        <v>2528</v>
      </c>
      <c r="AO713" s="168" t="s">
        <v>2530</v>
      </c>
      <c r="AP713" s="184" t="s">
        <v>119</v>
      </c>
    </row>
    <row r="714" spans="1:42" s="184" customFormat="1" x14ac:dyDescent="0.3">
      <c r="A714" s="183" t="s">
        <v>1453</v>
      </c>
      <c r="B714" s="184" t="s">
        <v>2496</v>
      </c>
      <c r="C714" s="183" t="s">
        <v>2750</v>
      </c>
      <c r="D714" s="184" t="s">
        <v>2751</v>
      </c>
      <c r="E714" s="183" t="s">
        <v>2752</v>
      </c>
      <c r="F714" s="184" t="s">
        <v>2753</v>
      </c>
      <c r="G714" s="183" t="s">
        <v>2810</v>
      </c>
      <c r="H714" s="184" t="s">
        <v>2811</v>
      </c>
      <c r="J714" s="188"/>
      <c r="K714" s="183" t="s">
        <v>2812</v>
      </c>
      <c r="L714" s="184" t="s">
        <v>2813</v>
      </c>
      <c r="M714" s="184" t="s">
        <v>2814</v>
      </c>
      <c r="N714" s="189" t="s">
        <v>271</v>
      </c>
      <c r="O714" s="189">
        <v>20</v>
      </c>
      <c r="P714" s="189">
        <v>20</v>
      </c>
      <c r="Q714" s="189">
        <v>20</v>
      </c>
      <c r="R714" s="189">
        <v>20</v>
      </c>
      <c r="S714" s="189">
        <v>20</v>
      </c>
      <c r="T714" s="184" t="s">
        <v>2815</v>
      </c>
      <c r="U714" s="283" t="s">
        <v>2817</v>
      </c>
      <c r="V714" s="184" t="s">
        <v>2816</v>
      </c>
      <c r="W714" s="184">
        <v>1</v>
      </c>
      <c r="X714" s="184">
        <v>1</v>
      </c>
      <c r="Y714" s="184">
        <v>1</v>
      </c>
      <c r="Z714" s="184">
        <v>1</v>
      </c>
      <c r="AA714" s="184">
        <v>1</v>
      </c>
      <c r="AB714" s="184">
        <v>1</v>
      </c>
      <c r="AC714" s="316">
        <v>1</v>
      </c>
      <c r="AD714" s="316">
        <v>1</v>
      </c>
      <c r="AE714" s="302">
        <f t="shared" si="67"/>
        <v>1</v>
      </c>
      <c r="AF714" s="186"/>
      <c r="AG714" s="17">
        <v>0</v>
      </c>
      <c r="AH714" s="186">
        <v>1.6</v>
      </c>
      <c r="AI714" s="186">
        <v>1.68</v>
      </c>
      <c r="AJ714" s="186">
        <v>1.78</v>
      </c>
      <c r="AK714" s="187">
        <v>1.85</v>
      </c>
      <c r="AL714" s="187">
        <v>1.94</v>
      </c>
      <c r="AM714" s="17">
        <f t="shared" si="68"/>
        <v>3.79</v>
      </c>
      <c r="AN714" s="184" t="s">
        <v>2815</v>
      </c>
      <c r="AO714" s="168" t="s">
        <v>2817</v>
      </c>
      <c r="AP714" s="184" t="s">
        <v>255</v>
      </c>
    </row>
    <row r="715" spans="1:42" s="184" customFormat="1" x14ac:dyDescent="0.3">
      <c r="A715" s="183" t="s">
        <v>1453</v>
      </c>
      <c r="B715" s="184" t="s">
        <v>2496</v>
      </c>
      <c r="C715" s="183" t="s">
        <v>2750</v>
      </c>
      <c r="D715" s="184" t="s">
        <v>2751</v>
      </c>
      <c r="E715" s="183" t="s">
        <v>2752</v>
      </c>
      <c r="F715" s="184" t="s">
        <v>2753</v>
      </c>
      <c r="G715" s="183" t="s">
        <v>2810</v>
      </c>
      <c r="H715" s="184" t="s">
        <v>2811</v>
      </c>
      <c r="J715" s="188"/>
      <c r="K715" s="183" t="s">
        <v>2812</v>
      </c>
      <c r="L715" s="184" t="s">
        <v>2813</v>
      </c>
      <c r="M715" s="184" t="s">
        <v>2818</v>
      </c>
      <c r="N715" s="189" t="s">
        <v>271</v>
      </c>
      <c r="O715" s="189" t="s">
        <v>271</v>
      </c>
      <c r="P715" s="189">
        <v>200</v>
      </c>
      <c r="Q715" s="189">
        <v>200</v>
      </c>
      <c r="R715" s="189">
        <v>200</v>
      </c>
      <c r="S715" s="189">
        <v>200</v>
      </c>
      <c r="T715" s="184" t="s">
        <v>2815</v>
      </c>
      <c r="U715" s="283" t="s">
        <v>2817</v>
      </c>
      <c r="V715" s="184" t="s">
        <v>2819</v>
      </c>
      <c r="W715" s="184">
        <v>1</v>
      </c>
      <c r="X715" s="184">
        <v>1</v>
      </c>
      <c r="Y715" s="184">
        <v>1</v>
      </c>
      <c r="Z715" s="184">
        <v>1</v>
      </c>
      <c r="AA715" s="184">
        <v>1</v>
      </c>
      <c r="AB715" s="184">
        <v>1</v>
      </c>
      <c r="AC715" s="316">
        <v>1</v>
      </c>
      <c r="AD715" s="316">
        <v>1</v>
      </c>
      <c r="AE715" s="302">
        <f t="shared" si="67"/>
        <v>1</v>
      </c>
      <c r="AF715" s="186"/>
      <c r="AG715" s="17">
        <v>0</v>
      </c>
      <c r="AH715" s="186" t="s">
        <v>2526</v>
      </c>
      <c r="AI715" s="186">
        <v>6</v>
      </c>
      <c r="AJ715" s="186">
        <v>6.3</v>
      </c>
      <c r="AK715" s="187">
        <v>6.62</v>
      </c>
      <c r="AL715" s="187">
        <v>6.95</v>
      </c>
      <c r="AM715" s="17">
        <f t="shared" si="68"/>
        <v>13.57</v>
      </c>
      <c r="AN715" s="184" t="s">
        <v>2815</v>
      </c>
      <c r="AO715" s="168" t="s">
        <v>2817</v>
      </c>
      <c r="AP715" s="184" t="s">
        <v>255</v>
      </c>
    </row>
    <row r="716" spans="1:42" s="184" customFormat="1" x14ac:dyDescent="0.3">
      <c r="A716" s="183" t="s">
        <v>1453</v>
      </c>
      <c r="B716" s="184" t="s">
        <v>2496</v>
      </c>
      <c r="C716" s="183" t="s">
        <v>2750</v>
      </c>
      <c r="D716" s="184" t="s">
        <v>2751</v>
      </c>
      <c r="E716" s="183" t="s">
        <v>2752</v>
      </c>
      <c r="F716" s="184" t="s">
        <v>2753</v>
      </c>
      <c r="G716" s="183" t="s">
        <v>2810</v>
      </c>
      <c r="H716" s="184" t="s">
        <v>2811</v>
      </c>
      <c r="J716" s="188"/>
      <c r="K716" s="183" t="s">
        <v>2812</v>
      </c>
      <c r="L716" s="184" t="s">
        <v>2813</v>
      </c>
      <c r="M716" s="184" t="s">
        <v>2820</v>
      </c>
      <c r="N716" s="189" t="s">
        <v>271</v>
      </c>
      <c r="O716" s="189" t="s">
        <v>271</v>
      </c>
      <c r="P716" s="189">
        <v>10</v>
      </c>
      <c r="Q716" s="189">
        <v>10</v>
      </c>
      <c r="R716" s="189">
        <v>10</v>
      </c>
      <c r="S716" s="189">
        <v>10</v>
      </c>
      <c r="T716" s="184" t="s">
        <v>2815</v>
      </c>
      <c r="U716" s="283" t="s">
        <v>2817</v>
      </c>
      <c r="V716" s="184" t="s">
        <v>2821</v>
      </c>
      <c r="W716" s="184">
        <v>1</v>
      </c>
      <c r="X716" s="184">
        <v>1</v>
      </c>
      <c r="Y716" s="184">
        <v>1</v>
      </c>
      <c r="Z716" s="184">
        <v>1</v>
      </c>
      <c r="AA716" s="184">
        <v>1</v>
      </c>
      <c r="AB716" s="184">
        <v>1</v>
      </c>
      <c r="AC716" s="316">
        <v>1</v>
      </c>
      <c r="AD716" s="316">
        <v>1</v>
      </c>
      <c r="AE716" s="302">
        <f t="shared" si="67"/>
        <v>1</v>
      </c>
      <c r="AF716" s="186"/>
      <c r="AG716" s="17">
        <v>0</v>
      </c>
      <c r="AH716" s="186" t="s">
        <v>2526</v>
      </c>
      <c r="AI716" s="186">
        <v>10</v>
      </c>
      <c r="AJ716" s="186">
        <v>10.5</v>
      </c>
      <c r="AK716" s="187">
        <v>11.02</v>
      </c>
      <c r="AL716" s="187">
        <v>11.58</v>
      </c>
      <c r="AM716" s="17">
        <f t="shared" si="68"/>
        <v>22.6</v>
      </c>
      <c r="AN716" s="184" t="s">
        <v>2815</v>
      </c>
      <c r="AO716" s="168" t="s">
        <v>2817</v>
      </c>
      <c r="AP716" s="184" t="s">
        <v>255</v>
      </c>
    </row>
    <row r="717" spans="1:42" s="184" customFormat="1" hidden="1" x14ac:dyDescent="0.3">
      <c r="A717" s="183" t="s">
        <v>1453</v>
      </c>
      <c r="B717" s="184" t="s">
        <v>2496</v>
      </c>
      <c r="C717" s="183" t="s">
        <v>2750</v>
      </c>
      <c r="D717" s="184" t="s">
        <v>2751</v>
      </c>
      <c r="E717" s="183" t="s">
        <v>2752</v>
      </c>
      <c r="F717" s="184" t="s">
        <v>2753</v>
      </c>
      <c r="G717" s="195" t="s">
        <v>2822</v>
      </c>
      <c r="H717" s="184" t="s">
        <v>2823</v>
      </c>
      <c r="J717" s="188"/>
      <c r="K717" s="195" t="s">
        <v>2824</v>
      </c>
      <c r="L717" s="184" t="s">
        <v>2825</v>
      </c>
      <c r="M717" s="184" t="s">
        <v>2826</v>
      </c>
      <c r="N717" s="189">
        <v>0</v>
      </c>
      <c r="O717" s="189">
        <v>0</v>
      </c>
      <c r="P717" s="189">
        <v>1</v>
      </c>
      <c r="Q717" s="189">
        <v>0</v>
      </c>
      <c r="R717" s="189">
        <v>0</v>
      </c>
      <c r="S717" s="189">
        <v>0</v>
      </c>
      <c r="T717" s="184" t="s">
        <v>2661</v>
      </c>
      <c r="U717" s="283" t="e">
        <v>#N/A</v>
      </c>
      <c r="V717" s="184" t="s">
        <v>2827</v>
      </c>
      <c r="W717" s="184">
        <v>1</v>
      </c>
      <c r="X717" s="184">
        <v>0</v>
      </c>
      <c r="Y717" s="184">
        <v>0</v>
      </c>
      <c r="Z717" s="184">
        <v>1</v>
      </c>
      <c r="AA717" s="184">
        <v>1</v>
      </c>
      <c r="AB717" s="184">
        <v>0</v>
      </c>
      <c r="AC717" s="316">
        <v>0</v>
      </c>
      <c r="AD717" s="316">
        <v>1</v>
      </c>
      <c r="AE717" s="302">
        <f t="shared" si="67"/>
        <v>0.5</v>
      </c>
      <c r="AF717" s="186"/>
      <c r="AG717" s="17">
        <v>0</v>
      </c>
      <c r="AH717" s="186">
        <v>0</v>
      </c>
      <c r="AI717" s="186">
        <v>0</v>
      </c>
      <c r="AJ717" s="186">
        <v>0</v>
      </c>
      <c r="AK717" s="187">
        <v>0</v>
      </c>
      <c r="AL717" s="187">
        <v>0</v>
      </c>
      <c r="AM717" s="17">
        <f t="shared" si="68"/>
        <v>0</v>
      </c>
      <c r="AN717" s="184" t="s">
        <v>63</v>
      </c>
      <c r="AO717" s="168" t="s">
        <v>2510</v>
      </c>
      <c r="AP717" s="184" t="s">
        <v>119</v>
      </c>
    </row>
    <row r="718" spans="1:42" s="184" customFormat="1" hidden="1" x14ac:dyDescent="0.3">
      <c r="A718" s="183" t="s">
        <v>1453</v>
      </c>
      <c r="B718" s="184" t="s">
        <v>2496</v>
      </c>
      <c r="C718" s="183" t="s">
        <v>2750</v>
      </c>
      <c r="D718" s="184" t="s">
        <v>2751</v>
      </c>
      <c r="E718" s="183" t="s">
        <v>2752</v>
      </c>
      <c r="F718" s="184" t="s">
        <v>2753</v>
      </c>
      <c r="G718" s="195" t="s">
        <v>2822</v>
      </c>
      <c r="H718" s="184" t="s">
        <v>2823</v>
      </c>
      <c r="J718" s="188"/>
      <c r="K718" s="195" t="s">
        <v>2824</v>
      </c>
      <c r="L718" s="184" t="s">
        <v>2825</v>
      </c>
      <c r="M718" s="184" t="s">
        <v>2828</v>
      </c>
      <c r="N718" s="189">
        <v>0</v>
      </c>
      <c r="O718" s="189">
        <v>0</v>
      </c>
      <c r="P718" s="189">
        <v>0</v>
      </c>
      <c r="Q718" s="189">
        <v>2</v>
      </c>
      <c r="R718" s="189">
        <v>3</v>
      </c>
      <c r="S718" s="189">
        <v>3</v>
      </c>
      <c r="T718" s="184" t="s">
        <v>2661</v>
      </c>
      <c r="U718" s="283" t="e">
        <v>#N/A</v>
      </c>
      <c r="V718" s="184" t="s">
        <v>2829</v>
      </c>
      <c r="W718" s="184">
        <v>1</v>
      </c>
      <c r="X718" s="184">
        <v>1</v>
      </c>
      <c r="Y718" s="184">
        <v>0</v>
      </c>
      <c r="Z718" s="184">
        <v>0</v>
      </c>
      <c r="AA718" s="184">
        <v>0</v>
      </c>
      <c r="AB718" s="184">
        <v>1</v>
      </c>
      <c r="AC718" s="316">
        <v>1</v>
      </c>
      <c r="AD718" s="316">
        <v>1</v>
      </c>
      <c r="AE718" s="302">
        <f t="shared" si="67"/>
        <v>0.625</v>
      </c>
      <c r="AF718" s="186"/>
      <c r="AG718" s="17">
        <v>0</v>
      </c>
      <c r="AH718" s="186">
        <v>0</v>
      </c>
      <c r="AI718" s="186">
        <v>0</v>
      </c>
      <c r="AJ718" s="186">
        <v>0</v>
      </c>
      <c r="AK718" s="187">
        <v>0</v>
      </c>
      <c r="AL718" s="187">
        <v>200</v>
      </c>
      <c r="AM718" s="17">
        <f t="shared" si="68"/>
        <v>200</v>
      </c>
      <c r="AN718" s="184" t="s">
        <v>63</v>
      </c>
      <c r="AO718" s="168" t="s">
        <v>2510</v>
      </c>
      <c r="AP718" s="184" t="s">
        <v>119</v>
      </c>
    </row>
    <row r="719" spans="1:42" s="184" customFormat="1" hidden="1" x14ac:dyDescent="0.3">
      <c r="A719" s="183" t="s">
        <v>1453</v>
      </c>
      <c r="B719" s="184" t="s">
        <v>2496</v>
      </c>
      <c r="C719" s="183" t="s">
        <v>2750</v>
      </c>
      <c r="D719" s="184" t="s">
        <v>2751</v>
      </c>
      <c r="E719" s="183" t="s">
        <v>2752</v>
      </c>
      <c r="F719" s="184" t="s">
        <v>2753</v>
      </c>
      <c r="G719" s="183" t="s">
        <v>2830</v>
      </c>
      <c r="H719" s="184" t="s">
        <v>2831</v>
      </c>
      <c r="I719" s="183" t="s">
        <v>2832</v>
      </c>
      <c r="J719" s="184" t="s">
        <v>2833</v>
      </c>
      <c r="K719" s="195" t="s">
        <v>2834</v>
      </c>
      <c r="L719" s="184" t="s">
        <v>2835</v>
      </c>
      <c r="M719" s="184" t="s">
        <v>2835</v>
      </c>
      <c r="N719" s="189">
        <v>0</v>
      </c>
      <c r="O719" s="192">
        <v>0</v>
      </c>
      <c r="P719" s="192">
        <v>0</v>
      </c>
      <c r="Q719" s="192">
        <v>1</v>
      </c>
      <c r="R719" s="192">
        <v>0</v>
      </c>
      <c r="S719" s="192">
        <v>0</v>
      </c>
      <c r="T719" s="184" t="s">
        <v>63</v>
      </c>
      <c r="U719" s="283" t="s">
        <v>2510</v>
      </c>
      <c r="V719" s="184" t="s">
        <v>2836</v>
      </c>
      <c r="W719" s="184">
        <v>1</v>
      </c>
      <c r="X719" s="184">
        <v>0</v>
      </c>
      <c r="Y719" s="184">
        <v>0</v>
      </c>
      <c r="Z719" s="184">
        <v>1</v>
      </c>
      <c r="AA719" s="184">
        <v>1</v>
      </c>
      <c r="AB719" s="184">
        <v>1</v>
      </c>
      <c r="AC719" s="316">
        <v>0</v>
      </c>
      <c r="AD719" s="316">
        <v>1</v>
      </c>
      <c r="AE719" s="302">
        <f t="shared" si="67"/>
        <v>0.625</v>
      </c>
      <c r="AF719" s="186"/>
      <c r="AG719" s="17">
        <v>0</v>
      </c>
      <c r="AH719" s="186">
        <v>0</v>
      </c>
      <c r="AI719" s="186">
        <v>0</v>
      </c>
      <c r="AJ719" s="186">
        <v>0</v>
      </c>
      <c r="AK719" s="187">
        <v>0</v>
      </c>
      <c r="AL719" s="187">
        <v>4</v>
      </c>
      <c r="AM719" s="17">
        <f t="shared" si="68"/>
        <v>4</v>
      </c>
      <c r="AN719" s="184" t="s">
        <v>63</v>
      </c>
      <c r="AO719" s="168" t="s">
        <v>2510</v>
      </c>
      <c r="AP719" s="184" t="s">
        <v>119</v>
      </c>
    </row>
    <row r="720" spans="1:42" s="184" customFormat="1" x14ac:dyDescent="0.3">
      <c r="A720" s="183" t="s">
        <v>1453</v>
      </c>
      <c r="B720" s="184" t="s">
        <v>2496</v>
      </c>
      <c r="C720" s="183" t="s">
        <v>2750</v>
      </c>
      <c r="D720" s="184" t="s">
        <v>2751</v>
      </c>
      <c r="E720" s="183" t="s">
        <v>2752</v>
      </c>
      <c r="F720" s="184" t="s">
        <v>2753</v>
      </c>
      <c r="G720" s="183" t="s">
        <v>2830</v>
      </c>
      <c r="H720" s="184" t="s">
        <v>2831</v>
      </c>
      <c r="I720" s="183" t="s">
        <v>2832</v>
      </c>
      <c r="J720" s="184" t="s">
        <v>2833</v>
      </c>
      <c r="K720" s="195" t="s">
        <v>2834</v>
      </c>
      <c r="L720" s="184" t="s">
        <v>2835</v>
      </c>
      <c r="M720" s="184" t="s">
        <v>2837</v>
      </c>
      <c r="N720" s="189" t="s">
        <v>271</v>
      </c>
      <c r="O720" s="189">
        <v>0.1</v>
      </c>
      <c r="P720" s="189">
        <v>0.4</v>
      </c>
      <c r="Q720" s="189">
        <v>0.3</v>
      </c>
      <c r="R720" s="189">
        <v>0.2</v>
      </c>
      <c r="S720" s="189" t="s">
        <v>2631</v>
      </c>
      <c r="T720" s="184" t="s">
        <v>63</v>
      </c>
      <c r="U720" s="283" t="s">
        <v>2510</v>
      </c>
      <c r="V720" s="184" t="s">
        <v>2838</v>
      </c>
      <c r="W720" s="184">
        <v>1</v>
      </c>
      <c r="X720" s="184">
        <v>1</v>
      </c>
      <c r="Y720" s="184">
        <v>1</v>
      </c>
      <c r="Z720" s="184">
        <v>1</v>
      </c>
      <c r="AA720" s="184">
        <v>1</v>
      </c>
      <c r="AB720" s="184">
        <v>1</v>
      </c>
      <c r="AC720" s="316">
        <v>0</v>
      </c>
      <c r="AD720" s="316">
        <v>1</v>
      </c>
      <c r="AE720" s="302">
        <f t="shared" si="67"/>
        <v>0.875</v>
      </c>
      <c r="AF720" s="186"/>
      <c r="AG720" s="17">
        <v>0</v>
      </c>
      <c r="AH720" s="186">
        <v>0</v>
      </c>
      <c r="AI720" s="186">
        <v>0</v>
      </c>
      <c r="AJ720" s="186">
        <v>0</v>
      </c>
      <c r="AK720" s="187">
        <v>0</v>
      </c>
      <c r="AL720" s="187">
        <v>0</v>
      </c>
      <c r="AM720" s="17">
        <f t="shared" si="68"/>
        <v>0</v>
      </c>
      <c r="AN720" s="184" t="s">
        <v>63</v>
      </c>
      <c r="AO720" s="168" t="s">
        <v>2510</v>
      </c>
      <c r="AP720" s="184" t="s">
        <v>119</v>
      </c>
    </row>
    <row r="721" spans="1:42" s="184" customFormat="1" hidden="1" x14ac:dyDescent="0.3">
      <c r="A721" s="183" t="s">
        <v>1453</v>
      </c>
      <c r="B721" s="184" t="s">
        <v>2496</v>
      </c>
      <c r="C721" s="183" t="s">
        <v>2750</v>
      </c>
      <c r="D721" s="184" t="s">
        <v>2751</v>
      </c>
      <c r="E721" s="183" t="s">
        <v>2752</v>
      </c>
      <c r="F721" s="184" t="s">
        <v>2753</v>
      </c>
      <c r="G721" s="183" t="s">
        <v>2830</v>
      </c>
      <c r="H721" s="184" t="s">
        <v>2831</v>
      </c>
      <c r="I721" s="183" t="s">
        <v>2832</v>
      </c>
      <c r="J721" s="184" t="s">
        <v>2833</v>
      </c>
      <c r="K721" s="195" t="s">
        <v>2834</v>
      </c>
      <c r="L721" s="184" t="s">
        <v>2835</v>
      </c>
      <c r="M721" s="184" t="s">
        <v>2839</v>
      </c>
      <c r="N721" s="189">
        <v>0</v>
      </c>
      <c r="O721" s="189">
        <v>2</v>
      </c>
      <c r="P721" s="189">
        <v>2</v>
      </c>
      <c r="Q721" s="189">
        <v>2</v>
      </c>
      <c r="R721" s="189">
        <v>2</v>
      </c>
      <c r="S721" s="189" t="s">
        <v>2840</v>
      </c>
      <c r="T721" s="184" t="s">
        <v>63</v>
      </c>
      <c r="U721" s="283" t="s">
        <v>2510</v>
      </c>
      <c r="AC721" s="316">
        <v>0</v>
      </c>
      <c r="AD721" s="316">
        <v>0</v>
      </c>
      <c r="AE721" s="302">
        <f t="shared" si="67"/>
        <v>0</v>
      </c>
      <c r="AF721" s="190"/>
      <c r="AG721" s="17">
        <v>0</v>
      </c>
      <c r="AH721" s="190">
        <v>0</v>
      </c>
      <c r="AI721" s="190">
        <v>0</v>
      </c>
      <c r="AJ721" s="190">
        <v>0</v>
      </c>
      <c r="AK721" s="191" t="s">
        <v>271</v>
      </c>
      <c r="AL721" s="191" t="s">
        <v>271</v>
      </c>
      <c r="AM721" s="17">
        <f t="shared" si="68"/>
        <v>0</v>
      </c>
      <c r="AN721" s="184" t="s">
        <v>63</v>
      </c>
      <c r="AO721" s="168" t="s">
        <v>2510</v>
      </c>
      <c r="AP721" s="184" t="s">
        <v>119</v>
      </c>
    </row>
    <row r="722" spans="1:42" s="184" customFormat="1" x14ac:dyDescent="0.3">
      <c r="A722" s="183" t="s">
        <v>1453</v>
      </c>
      <c r="B722" s="184" t="s">
        <v>2496</v>
      </c>
      <c r="C722" s="183" t="s">
        <v>2750</v>
      </c>
      <c r="D722" s="184" t="s">
        <v>2751</v>
      </c>
      <c r="E722" s="183" t="s">
        <v>2752</v>
      </c>
      <c r="F722" s="184" t="s">
        <v>2753</v>
      </c>
      <c r="G722" s="183" t="s">
        <v>2830</v>
      </c>
      <c r="H722" s="184" t="s">
        <v>2831</v>
      </c>
      <c r="I722" s="183" t="s">
        <v>2841</v>
      </c>
      <c r="J722" s="184" t="s">
        <v>2842</v>
      </c>
      <c r="K722" s="195" t="s">
        <v>2843</v>
      </c>
      <c r="L722" s="184" t="s">
        <v>2844</v>
      </c>
      <c r="M722" s="184" t="s">
        <v>2845</v>
      </c>
      <c r="N722" s="189">
        <v>0</v>
      </c>
      <c r="O722" s="189">
        <v>0.3</v>
      </c>
      <c r="P722" s="189">
        <v>0.35</v>
      </c>
      <c r="Q722" s="189">
        <v>0.35</v>
      </c>
      <c r="R722" s="189" t="s">
        <v>271</v>
      </c>
      <c r="S722" s="189" t="s">
        <v>271</v>
      </c>
      <c r="T722" s="184" t="s">
        <v>63</v>
      </c>
      <c r="U722" s="283" t="s">
        <v>2510</v>
      </c>
      <c r="V722" s="184" t="s">
        <v>2846</v>
      </c>
      <c r="W722" s="184">
        <v>1</v>
      </c>
      <c r="X722" s="184">
        <v>1</v>
      </c>
      <c r="Y722" s="184">
        <v>1</v>
      </c>
      <c r="Z722" s="184">
        <v>1</v>
      </c>
      <c r="AA722" s="184">
        <v>0</v>
      </c>
      <c r="AB722" s="184">
        <v>1</v>
      </c>
      <c r="AC722" s="316">
        <v>0</v>
      </c>
      <c r="AD722" s="316">
        <v>1</v>
      </c>
      <c r="AE722" s="302">
        <f t="shared" si="67"/>
        <v>0.75</v>
      </c>
      <c r="AF722" s="186"/>
      <c r="AG722" s="17">
        <v>0</v>
      </c>
      <c r="AH722" s="186">
        <v>0</v>
      </c>
      <c r="AI722" s="186">
        <v>0</v>
      </c>
      <c r="AJ722" s="186">
        <v>0</v>
      </c>
      <c r="AK722" s="187">
        <v>1</v>
      </c>
      <c r="AL722" s="187">
        <v>3</v>
      </c>
      <c r="AM722" s="17">
        <f t="shared" si="68"/>
        <v>4</v>
      </c>
      <c r="AN722" s="184" t="s">
        <v>63</v>
      </c>
      <c r="AO722" s="168" t="s">
        <v>2510</v>
      </c>
      <c r="AP722" s="184" t="s">
        <v>119</v>
      </c>
    </row>
    <row r="723" spans="1:42" s="184" customFormat="1" x14ac:dyDescent="0.3">
      <c r="A723" s="183" t="s">
        <v>1453</v>
      </c>
      <c r="B723" s="184" t="s">
        <v>2496</v>
      </c>
      <c r="C723" s="183" t="s">
        <v>2750</v>
      </c>
      <c r="D723" s="184" t="s">
        <v>2751</v>
      </c>
      <c r="E723" s="183" t="s">
        <v>2752</v>
      </c>
      <c r="F723" s="184" t="s">
        <v>2753</v>
      </c>
      <c r="G723" s="183" t="s">
        <v>2830</v>
      </c>
      <c r="H723" s="184" t="s">
        <v>2831</v>
      </c>
      <c r="I723" s="183" t="s">
        <v>2841</v>
      </c>
      <c r="J723" s="184" t="s">
        <v>2842</v>
      </c>
      <c r="K723" s="195" t="s">
        <v>2843</v>
      </c>
      <c r="L723" s="184" t="s">
        <v>2844</v>
      </c>
      <c r="M723" s="184" t="s">
        <v>2847</v>
      </c>
      <c r="N723" s="189"/>
      <c r="O723" s="189" t="s">
        <v>271</v>
      </c>
      <c r="P723" s="189" t="s">
        <v>271</v>
      </c>
      <c r="Q723" s="189">
        <v>0.25</v>
      </c>
      <c r="R723" s="189" t="s">
        <v>2848</v>
      </c>
      <c r="S723" s="189">
        <v>0.35</v>
      </c>
      <c r="T723" s="184" t="s">
        <v>63</v>
      </c>
      <c r="U723" s="283" t="s">
        <v>2510</v>
      </c>
      <c r="V723" s="184" t="s">
        <v>2849</v>
      </c>
      <c r="W723" s="184">
        <v>1</v>
      </c>
      <c r="X723" s="184">
        <v>1</v>
      </c>
      <c r="Y723" s="184">
        <v>1</v>
      </c>
      <c r="Z723" s="184">
        <v>1</v>
      </c>
      <c r="AA723" s="184">
        <v>0</v>
      </c>
      <c r="AB723" s="184">
        <v>1</v>
      </c>
      <c r="AC723" s="316">
        <v>0</v>
      </c>
      <c r="AD723" s="316">
        <v>1</v>
      </c>
      <c r="AE723" s="302">
        <f t="shared" si="67"/>
        <v>0.75</v>
      </c>
      <c r="AF723" s="186"/>
      <c r="AG723" s="17">
        <v>0</v>
      </c>
      <c r="AH723" s="186">
        <v>0</v>
      </c>
      <c r="AI723" s="186">
        <v>0</v>
      </c>
      <c r="AJ723" s="186">
        <v>0</v>
      </c>
      <c r="AK723" s="187">
        <v>2.5</v>
      </c>
      <c r="AL723" s="187">
        <v>3</v>
      </c>
      <c r="AM723" s="17">
        <f t="shared" si="68"/>
        <v>5.5</v>
      </c>
      <c r="AN723" s="184" t="s">
        <v>63</v>
      </c>
      <c r="AO723" s="168" t="s">
        <v>2510</v>
      </c>
      <c r="AP723" s="184" t="s">
        <v>119</v>
      </c>
    </row>
    <row r="724" spans="1:42" s="184" customFormat="1" x14ac:dyDescent="0.3">
      <c r="A724" s="183" t="s">
        <v>1453</v>
      </c>
      <c r="B724" s="184" t="s">
        <v>2496</v>
      </c>
      <c r="C724" s="183" t="s">
        <v>2750</v>
      </c>
      <c r="D724" s="184" t="s">
        <v>2751</v>
      </c>
      <c r="E724" s="183" t="s">
        <v>2752</v>
      </c>
      <c r="F724" s="184" t="s">
        <v>2753</v>
      </c>
      <c r="G724" s="183" t="s">
        <v>2830</v>
      </c>
      <c r="H724" s="184" t="s">
        <v>2831</v>
      </c>
      <c r="I724" s="183" t="s">
        <v>2850</v>
      </c>
      <c r="J724" s="184" t="s">
        <v>2851</v>
      </c>
      <c r="K724" s="195" t="s">
        <v>2852</v>
      </c>
      <c r="L724" s="184" t="s">
        <v>2844</v>
      </c>
      <c r="M724" s="184" t="s">
        <v>2853</v>
      </c>
      <c r="N724" s="189" t="s">
        <v>271</v>
      </c>
      <c r="O724" s="189" t="s">
        <v>271</v>
      </c>
      <c r="P724" s="189">
        <v>10</v>
      </c>
      <c r="Q724" s="189">
        <v>30</v>
      </c>
      <c r="R724" s="189">
        <v>60</v>
      </c>
      <c r="S724" s="189"/>
      <c r="T724" s="184" t="s">
        <v>63</v>
      </c>
      <c r="U724" s="283" t="s">
        <v>2510</v>
      </c>
      <c r="V724" s="184" t="s">
        <v>2854</v>
      </c>
      <c r="W724" s="184">
        <v>1</v>
      </c>
      <c r="X724" s="184">
        <v>1</v>
      </c>
      <c r="Y724" s="184">
        <v>0</v>
      </c>
      <c r="Z724" s="184">
        <v>1</v>
      </c>
      <c r="AA724" s="184">
        <v>1</v>
      </c>
      <c r="AB724" s="184">
        <v>1</v>
      </c>
      <c r="AC724" s="316">
        <v>0</v>
      </c>
      <c r="AD724" s="316">
        <v>1</v>
      </c>
      <c r="AE724" s="302">
        <f t="shared" si="67"/>
        <v>0.75</v>
      </c>
      <c r="AF724" s="186"/>
      <c r="AG724" s="17">
        <v>0</v>
      </c>
      <c r="AH724" s="186">
        <v>0</v>
      </c>
      <c r="AI724" s="186">
        <v>0</v>
      </c>
      <c r="AJ724" s="186">
        <v>0</v>
      </c>
      <c r="AK724" s="187">
        <v>1</v>
      </c>
      <c r="AL724" s="187">
        <v>1</v>
      </c>
      <c r="AM724" s="17">
        <f t="shared" si="68"/>
        <v>2</v>
      </c>
      <c r="AN724" s="184" t="s">
        <v>63</v>
      </c>
      <c r="AO724" s="168" t="s">
        <v>2510</v>
      </c>
      <c r="AP724" s="184" t="s">
        <v>119</v>
      </c>
    </row>
    <row r="725" spans="1:42" s="184" customFormat="1" x14ac:dyDescent="0.3">
      <c r="A725" s="183" t="s">
        <v>1453</v>
      </c>
      <c r="B725" s="184" t="s">
        <v>2496</v>
      </c>
      <c r="C725" s="183" t="s">
        <v>2750</v>
      </c>
      <c r="D725" s="184" t="s">
        <v>2751</v>
      </c>
      <c r="E725" s="183" t="s">
        <v>2752</v>
      </c>
      <c r="F725" s="184" t="s">
        <v>2753</v>
      </c>
      <c r="G725" s="183" t="s">
        <v>2830</v>
      </c>
      <c r="H725" s="184" t="s">
        <v>2831</v>
      </c>
      <c r="I725" s="183" t="s">
        <v>2850</v>
      </c>
      <c r="J725" s="184" t="s">
        <v>2851</v>
      </c>
      <c r="K725" s="195" t="s">
        <v>2852</v>
      </c>
      <c r="L725" s="184" t="s">
        <v>2844</v>
      </c>
      <c r="M725" s="184" t="s">
        <v>2855</v>
      </c>
      <c r="N725" s="189">
        <v>0</v>
      </c>
      <c r="O725" s="189">
        <v>0</v>
      </c>
      <c r="P725" s="189">
        <v>1</v>
      </c>
      <c r="Q725" s="189" t="s">
        <v>271</v>
      </c>
      <c r="R725" s="189" t="s">
        <v>271</v>
      </c>
      <c r="S725" s="189" t="s">
        <v>271</v>
      </c>
      <c r="T725" s="184" t="s">
        <v>2856</v>
      </c>
      <c r="U725" s="283" t="e">
        <v>#N/A</v>
      </c>
      <c r="V725" s="184" t="s">
        <v>2857</v>
      </c>
      <c r="W725" s="184">
        <v>1</v>
      </c>
      <c r="X725" s="184">
        <v>1</v>
      </c>
      <c r="Y725" s="184">
        <v>1</v>
      </c>
      <c r="Z725" s="184">
        <v>1</v>
      </c>
      <c r="AA725" s="184">
        <v>0</v>
      </c>
      <c r="AB725" s="184">
        <v>1</v>
      </c>
      <c r="AC725" s="316">
        <v>0</v>
      </c>
      <c r="AD725" s="316">
        <v>1</v>
      </c>
      <c r="AE725" s="302">
        <f t="shared" si="67"/>
        <v>0.75</v>
      </c>
      <c r="AF725" s="186"/>
      <c r="AG725" s="17">
        <v>0</v>
      </c>
      <c r="AH725" s="186" t="s">
        <v>271</v>
      </c>
      <c r="AI725" s="186" t="s">
        <v>271</v>
      </c>
      <c r="AJ725" s="186" t="s">
        <v>271</v>
      </c>
      <c r="AK725" s="187">
        <v>2</v>
      </c>
      <c r="AL725" s="187">
        <v>3</v>
      </c>
      <c r="AM725" s="17">
        <f t="shared" si="68"/>
        <v>5</v>
      </c>
      <c r="AN725" s="184" t="s">
        <v>2509</v>
      </c>
      <c r="AO725" s="168" t="s">
        <v>2510</v>
      </c>
      <c r="AP725" s="184" t="s">
        <v>2507</v>
      </c>
    </row>
    <row r="726" spans="1:42" s="184" customFormat="1" x14ac:dyDescent="0.3">
      <c r="A726" s="183" t="s">
        <v>1453</v>
      </c>
      <c r="B726" s="184" t="s">
        <v>2496</v>
      </c>
      <c r="C726" s="183" t="s">
        <v>2858</v>
      </c>
      <c r="D726" s="184" t="s">
        <v>2859</v>
      </c>
      <c r="E726" s="183" t="s">
        <v>2860</v>
      </c>
      <c r="F726" s="184" t="s">
        <v>2861</v>
      </c>
      <c r="G726" s="183" t="s">
        <v>2862</v>
      </c>
      <c r="H726" s="184" t="s">
        <v>2863</v>
      </c>
      <c r="K726" s="183" t="s">
        <v>2864</v>
      </c>
      <c r="L726" s="184" t="s">
        <v>2865</v>
      </c>
      <c r="M726" s="184" t="s">
        <v>2866</v>
      </c>
      <c r="N726" s="185"/>
      <c r="O726" s="189">
        <v>586</v>
      </c>
      <c r="P726" s="189">
        <v>590</v>
      </c>
      <c r="Q726" s="189">
        <v>600</v>
      </c>
      <c r="R726" s="189">
        <v>570</v>
      </c>
      <c r="S726" s="189">
        <v>420</v>
      </c>
      <c r="T726" s="184" t="s">
        <v>2528</v>
      </c>
      <c r="U726" s="283" t="s">
        <v>2530</v>
      </c>
      <c r="V726" s="184" t="s">
        <v>2867</v>
      </c>
      <c r="W726" s="184">
        <v>1</v>
      </c>
      <c r="X726" s="184">
        <v>1</v>
      </c>
      <c r="Y726" s="184">
        <v>1</v>
      </c>
      <c r="Z726" s="184">
        <v>1</v>
      </c>
      <c r="AA726" s="184">
        <v>1</v>
      </c>
      <c r="AB726" s="184">
        <v>0</v>
      </c>
      <c r="AC726" s="316">
        <v>0</v>
      </c>
      <c r="AD726" s="316">
        <v>1</v>
      </c>
      <c r="AE726" s="302">
        <f t="shared" si="67"/>
        <v>0.75</v>
      </c>
      <c r="AF726" s="190"/>
      <c r="AG726" s="17">
        <v>0</v>
      </c>
      <c r="AH726" s="190">
        <v>0</v>
      </c>
      <c r="AI726" s="190">
        <v>0</v>
      </c>
      <c r="AJ726" s="190">
        <v>0</v>
      </c>
      <c r="AK726" s="191">
        <v>0</v>
      </c>
      <c r="AL726" s="191">
        <v>0</v>
      </c>
      <c r="AM726" s="17">
        <f t="shared" si="68"/>
        <v>0</v>
      </c>
      <c r="AN726" s="184" t="s">
        <v>2528</v>
      </c>
      <c r="AO726" s="168" t="s">
        <v>2530</v>
      </c>
      <c r="AP726" s="184" t="s">
        <v>119</v>
      </c>
    </row>
    <row r="727" spans="1:42" s="184" customFormat="1" x14ac:dyDescent="0.3">
      <c r="A727" s="183" t="s">
        <v>1453</v>
      </c>
      <c r="B727" s="184" t="s">
        <v>2496</v>
      </c>
      <c r="C727" s="183" t="s">
        <v>2858</v>
      </c>
      <c r="D727" s="184" t="s">
        <v>2859</v>
      </c>
      <c r="E727" s="183" t="s">
        <v>2860</v>
      </c>
      <c r="F727" s="184" t="s">
        <v>2861</v>
      </c>
      <c r="G727" s="183" t="s">
        <v>2862</v>
      </c>
      <c r="H727" s="184" t="s">
        <v>2863</v>
      </c>
      <c r="J727" s="188"/>
      <c r="K727" s="183" t="s">
        <v>2864</v>
      </c>
      <c r="L727" s="184" t="s">
        <v>2865</v>
      </c>
      <c r="M727" s="184" t="s">
        <v>2868</v>
      </c>
      <c r="N727" s="189"/>
      <c r="O727" s="189">
        <v>25.209</v>
      </c>
      <c r="P727" s="189">
        <v>1856.18</v>
      </c>
      <c r="Q727" s="189" t="s">
        <v>271</v>
      </c>
      <c r="R727" s="189" t="s">
        <v>271</v>
      </c>
      <c r="S727" s="189" t="s">
        <v>271</v>
      </c>
      <c r="T727" s="184" t="s">
        <v>2535</v>
      </c>
      <c r="U727" s="283" t="s">
        <v>2510</v>
      </c>
      <c r="V727" s="184" t="s">
        <v>2869</v>
      </c>
      <c r="W727" s="184">
        <v>1</v>
      </c>
      <c r="X727" s="184">
        <v>1</v>
      </c>
      <c r="Y727" s="184">
        <v>1</v>
      </c>
      <c r="Z727" s="184">
        <v>1</v>
      </c>
      <c r="AA727" s="184">
        <v>1</v>
      </c>
      <c r="AB727" s="184">
        <v>1</v>
      </c>
      <c r="AC727" s="316">
        <v>1</v>
      </c>
      <c r="AD727" s="316">
        <v>1</v>
      </c>
      <c r="AE727" s="302">
        <f t="shared" si="67"/>
        <v>1</v>
      </c>
      <c r="AF727" s="186">
        <v>1</v>
      </c>
      <c r="AG727" s="17"/>
      <c r="AH727" s="186">
        <v>0</v>
      </c>
      <c r="AI727" s="186">
        <v>0</v>
      </c>
      <c r="AJ727" s="186">
        <v>0</v>
      </c>
      <c r="AK727" s="187">
        <v>0</v>
      </c>
      <c r="AL727" s="187">
        <v>0</v>
      </c>
      <c r="AM727" s="17">
        <f t="shared" si="68"/>
        <v>0</v>
      </c>
      <c r="AN727" s="184" t="s">
        <v>63</v>
      </c>
      <c r="AO727" s="168" t="s">
        <v>2510</v>
      </c>
      <c r="AP727" s="184" t="s">
        <v>2507</v>
      </c>
    </row>
    <row r="728" spans="1:42" s="184" customFormat="1" x14ac:dyDescent="0.3">
      <c r="A728" s="183" t="s">
        <v>1453</v>
      </c>
      <c r="B728" s="184" t="s">
        <v>2496</v>
      </c>
      <c r="C728" s="183" t="s">
        <v>2858</v>
      </c>
      <c r="D728" s="184" t="s">
        <v>2859</v>
      </c>
      <c r="E728" s="183" t="s">
        <v>2860</v>
      </c>
      <c r="F728" s="184" t="s">
        <v>2861</v>
      </c>
      <c r="G728" s="183" t="s">
        <v>2862</v>
      </c>
      <c r="H728" s="184" t="s">
        <v>2863</v>
      </c>
      <c r="J728" s="188"/>
      <c r="K728" s="183" t="s">
        <v>2864</v>
      </c>
      <c r="L728" s="184" t="s">
        <v>2865</v>
      </c>
      <c r="M728" s="184" t="s">
        <v>2870</v>
      </c>
      <c r="N728" s="189"/>
      <c r="O728" s="189" t="s">
        <v>271</v>
      </c>
      <c r="P728" s="189" t="s">
        <v>271</v>
      </c>
      <c r="Q728" s="189">
        <v>150</v>
      </c>
      <c r="R728" s="189" t="s">
        <v>271</v>
      </c>
      <c r="S728" s="189" t="s">
        <v>271</v>
      </c>
      <c r="T728" s="184" t="s">
        <v>2535</v>
      </c>
      <c r="U728" s="283" t="s">
        <v>2510</v>
      </c>
      <c r="V728" s="184" t="s">
        <v>2871</v>
      </c>
      <c r="W728" s="184">
        <v>1</v>
      </c>
      <c r="X728" s="184">
        <v>1</v>
      </c>
      <c r="Y728" s="184">
        <v>1</v>
      </c>
      <c r="Z728" s="184">
        <v>1</v>
      </c>
      <c r="AA728" s="184">
        <v>1</v>
      </c>
      <c r="AB728" s="184">
        <v>1</v>
      </c>
      <c r="AC728" s="316">
        <v>1</v>
      </c>
      <c r="AD728" s="316">
        <v>1</v>
      </c>
      <c r="AE728" s="302">
        <f t="shared" si="67"/>
        <v>1</v>
      </c>
      <c r="AF728" s="186"/>
      <c r="AG728" s="17">
        <v>0</v>
      </c>
      <c r="AH728" s="186">
        <v>0</v>
      </c>
      <c r="AI728" s="186">
        <v>0</v>
      </c>
      <c r="AJ728" s="186">
        <v>0</v>
      </c>
      <c r="AK728" s="187">
        <v>0</v>
      </c>
      <c r="AL728" s="187">
        <v>0</v>
      </c>
      <c r="AM728" s="17">
        <f t="shared" si="68"/>
        <v>0</v>
      </c>
      <c r="AN728" s="184" t="s">
        <v>63</v>
      </c>
      <c r="AO728" s="168" t="s">
        <v>2510</v>
      </c>
      <c r="AP728" s="184" t="s">
        <v>2872</v>
      </c>
    </row>
    <row r="729" spans="1:42" s="184" customFormat="1" x14ac:dyDescent="0.3">
      <c r="A729" s="183" t="s">
        <v>1453</v>
      </c>
      <c r="B729" s="184" t="s">
        <v>2496</v>
      </c>
      <c r="C729" s="183" t="s">
        <v>2858</v>
      </c>
      <c r="D729" s="184" t="s">
        <v>2859</v>
      </c>
      <c r="E729" s="183" t="s">
        <v>2860</v>
      </c>
      <c r="F729" s="184" t="s">
        <v>2861</v>
      </c>
      <c r="G729" s="183" t="s">
        <v>2862</v>
      </c>
      <c r="H729" s="184" t="s">
        <v>2863</v>
      </c>
      <c r="J729" s="188"/>
      <c r="K729" s="183" t="s">
        <v>2864</v>
      </c>
      <c r="L729" s="184" t="s">
        <v>2865</v>
      </c>
      <c r="M729" s="184" t="s">
        <v>2873</v>
      </c>
      <c r="N729" s="189"/>
      <c r="O729" s="189"/>
      <c r="P729" s="189">
        <v>3500</v>
      </c>
      <c r="Q729" s="189">
        <v>1950</v>
      </c>
      <c r="R729" s="189">
        <v>1700</v>
      </c>
      <c r="S729" s="189">
        <v>1300</v>
      </c>
      <c r="T729" s="184" t="s">
        <v>570</v>
      </c>
      <c r="U729" s="283" t="s">
        <v>2875</v>
      </c>
      <c r="V729" s="184" t="s">
        <v>2874</v>
      </c>
      <c r="W729" s="184">
        <v>1</v>
      </c>
      <c r="X729" s="184">
        <v>1</v>
      </c>
      <c r="Y729" s="184">
        <v>1</v>
      </c>
      <c r="Z729" s="184">
        <v>1</v>
      </c>
      <c r="AA729" s="184">
        <v>1</v>
      </c>
      <c r="AB729" s="184">
        <v>1</v>
      </c>
      <c r="AC729" s="316">
        <v>1</v>
      </c>
      <c r="AD729" s="316">
        <v>1</v>
      </c>
      <c r="AE729" s="302">
        <f t="shared" si="67"/>
        <v>1</v>
      </c>
      <c r="AF729" s="190"/>
      <c r="AG729" s="17">
        <v>0</v>
      </c>
      <c r="AH729" s="190">
        <v>0</v>
      </c>
      <c r="AI729" s="186">
        <v>2</v>
      </c>
      <c r="AJ729" s="186">
        <v>2.6</v>
      </c>
      <c r="AK729" s="187">
        <v>2.4</v>
      </c>
      <c r="AL729" s="187">
        <v>2</v>
      </c>
      <c r="AM729" s="17">
        <f t="shared" si="68"/>
        <v>4.4000000000000004</v>
      </c>
      <c r="AN729" s="184" t="s">
        <v>570</v>
      </c>
      <c r="AO729" s="168" t="s">
        <v>2875</v>
      </c>
      <c r="AP729" s="184" t="s">
        <v>2514</v>
      </c>
    </row>
    <row r="730" spans="1:42" s="184" customFormat="1" hidden="1" x14ac:dyDescent="0.3">
      <c r="A730" s="183" t="s">
        <v>1453</v>
      </c>
      <c r="B730" s="184" t="s">
        <v>2496</v>
      </c>
      <c r="C730" s="183" t="s">
        <v>2858</v>
      </c>
      <c r="D730" s="184" t="s">
        <v>2859</v>
      </c>
      <c r="E730" s="183" t="s">
        <v>2860</v>
      </c>
      <c r="F730" s="184" t="s">
        <v>2861</v>
      </c>
      <c r="G730" s="183" t="s">
        <v>2876</v>
      </c>
      <c r="H730" s="184" t="s">
        <v>2877</v>
      </c>
      <c r="J730" s="188"/>
      <c r="K730" s="183" t="s">
        <v>2878</v>
      </c>
      <c r="L730" s="184" t="s">
        <v>2879</v>
      </c>
      <c r="M730" s="184" t="s">
        <v>2880</v>
      </c>
      <c r="N730" s="189"/>
      <c r="O730" s="189" t="s">
        <v>271</v>
      </c>
      <c r="P730" s="189">
        <v>3</v>
      </c>
      <c r="Q730" s="189">
        <v>3</v>
      </c>
      <c r="R730" s="189">
        <v>3</v>
      </c>
      <c r="S730" s="189">
        <v>3</v>
      </c>
      <c r="T730" s="184" t="s">
        <v>2881</v>
      </c>
      <c r="U730" s="283" t="e">
        <v>#N/A</v>
      </c>
      <c r="V730" s="184" t="s">
        <v>2882</v>
      </c>
      <c r="W730" s="184">
        <v>1</v>
      </c>
      <c r="X730" s="184">
        <v>0</v>
      </c>
      <c r="Y730" s="184">
        <v>0</v>
      </c>
      <c r="Z730" s="184">
        <v>1</v>
      </c>
      <c r="AA730" s="184">
        <v>1</v>
      </c>
      <c r="AB730" s="184">
        <v>1</v>
      </c>
      <c r="AC730" s="316">
        <v>0</v>
      </c>
      <c r="AD730" s="316">
        <v>1</v>
      </c>
      <c r="AE730" s="302">
        <f t="shared" si="67"/>
        <v>0.625</v>
      </c>
      <c r="AF730" s="186"/>
      <c r="AG730" s="17">
        <v>0</v>
      </c>
      <c r="AH730" s="186" t="s">
        <v>2526</v>
      </c>
      <c r="AI730" s="186">
        <v>0.05</v>
      </c>
      <c r="AJ730" s="186">
        <v>0.05</v>
      </c>
      <c r="AK730" s="187">
        <v>0</v>
      </c>
      <c r="AL730" s="187">
        <v>0.13</v>
      </c>
      <c r="AM730" s="17">
        <f t="shared" si="68"/>
        <v>0.13</v>
      </c>
      <c r="AN730" s="184" t="s">
        <v>63</v>
      </c>
      <c r="AO730" s="168" t="s">
        <v>2510</v>
      </c>
      <c r="AP730" s="184" t="s">
        <v>119</v>
      </c>
    </row>
    <row r="731" spans="1:42" s="184" customFormat="1" hidden="1" x14ac:dyDescent="0.3">
      <c r="A731" s="183" t="s">
        <v>1453</v>
      </c>
      <c r="B731" s="184" t="s">
        <v>2496</v>
      </c>
      <c r="C731" s="183" t="s">
        <v>2858</v>
      </c>
      <c r="D731" s="184" t="s">
        <v>2859</v>
      </c>
      <c r="E731" s="183" t="s">
        <v>2860</v>
      </c>
      <c r="F731" s="184" t="s">
        <v>2861</v>
      </c>
      <c r="G731" s="183" t="s">
        <v>2876</v>
      </c>
      <c r="H731" s="184" t="s">
        <v>2877</v>
      </c>
      <c r="J731" s="188"/>
      <c r="K731" s="183" t="s">
        <v>2878</v>
      </c>
      <c r="L731" s="184" t="s">
        <v>2879</v>
      </c>
      <c r="M731" s="184" t="s">
        <v>2883</v>
      </c>
      <c r="N731" s="189"/>
      <c r="O731" s="189" t="s">
        <v>271</v>
      </c>
      <c r="P731" s="189" t="s">
        <v>271</v>
      </c>
      <c r="Q731" s="189">
        <v>5</v>
      </c>
      <c r="R731" s="189">
        <v>5</v>
      </c>
      <c r="S731" s="189">
        <v>5</v>
      </c>
      <c r="T731" s="184" t="s">
        <v>2738</v>
      </c>
      <c r="U731" s="283" t="e">
        <v>#N/A</v>
      </c>
      <c r="V731" s="184" t="s">
        <v>2882</v>
      </c>
      <c r="W731" s="184">
        <v>1</v>
      </c>
      <c r="X731" s="184">
        <v>0</v>
      </c>
      <c r="Y731" s="184">
        <v>0</v>
      </c>
      <c r="Z731" s="184">
        <v>1</v>
      </c>
      <c r="AA731" s="184">
        <v>1</v>
      </c>
      <c r="AB731" s="184">
        <v>1</v>
      </c>
      <c r="AC731" s="316">
        <v>0</v>
      </c>
      <c r="AD731" s="316">
        <v>1</v>
      </c>
      <c r="AE731" s="302">
        <f t="shared" si="67"/>
        <v>0.625</v>
      </c>
      <c r="AF731" s="186"/>
      <c r="AG731" s="17">
        <v>0</v>
      </c>
      <c r="AH731" s="186" t="s">
        <v>271</v>
      </c>
      <c r="AI731" s="190">
        <v>0</v>
      </c>
      <c r="AJ731" s="186">
        <v>0.1</v>
      </c>
      <c r="AK731" s="187">
        <v>0</v>
      </c>
      <c r="AL731" s="187">
        <v>0.22</v>
      </c>
      <c r="AM731" s="17">
        <f t="shared" si="68"/>
        <v>0.22</v>
      </c>
      <c r="AN731" s="184" t="s">
        <v>2528</v>
      </c>
      <c r="AO731" s="168" t="s">
        <v>2530</v>
      </c>
      <c r="AP731" s="184" t="s">
        <v>119</v>
      </c>
    </row>
    <row r="732" spans="1:42" s="184" customFormat="1" hidden="1" x14ac:dyDescent="0.3">
      <c r="A732" s="183" t="s">
        <v>1453</v>
      </c>
      <c r="B732" s="184" t="s">
        <v>2496</v>
      </c>
      <c r="C732" s="183" t="s">
        <v>2858</v>
      </c>
      <c r="D732" s="184" t="s">
        <v>2859</v>
      </c>
      <c r="E732" s="183" t="s">
        <v>2860</v>
      </c>
      <c r="F732" s="184" t="s">
        <v>2861</v>
      </c>
      <c r="G732" s="183" t="s">
        <v>2876</v>
      </c>
      <c r="H732" s="184" t="s">
        <v>2877</v>
      </c>
      <c r="J732" s="188"/>
      <c r="K732" s="183" t="s">
        <v>2878</v>
      </c>
      <c r="L732" s="184" t="s">
        <v>2879</v>
      </c>
      <c r="M732" s="184" t="s">
        <v>2884</v>
      </c>
      <c r="N732" s="189"/>
      <c r="O732" s="189" t="s">
        <v>271</v>
      </c>
      <c r="P732" s="189">
        <v>1</v>
      </c>
      <c r="Q732" s="189">
        <v>1</v>
      </c>
      <c r="R732" s="189">
        <v>1</v>
      </c>
      <c r="S732" s="189">
        <v>1</v>
      </c>
      <c r="T732" s="184" t="s">
        <v>2885</v>
      </c>
      <c r="U732" s="283" t="e">
        <v>#N/A</v>
      </c>
      <c r="V732" s="184" t="s">
        <v>2882</v>
      </c>
      <c r="W732" s="184">
        <v>1</v>
      </c>
      <c r="X732" s="184">
        <v>0</v>
      </c>
      <c r="Y732" s="184">
        <v>0</v>
      </c>
      <c r="Z732" s="184">
        <v>1</v>
      </c>
      <c r="AA732" s="184">
        <v>1</v>
      </c>
      <c r="AB732" s="184">
        <v>1</v>
      </c>
      <c r="AC732" s="316">
        <v>0</v>
      </c>
      <c r="AD732" s="316">
        <v>1</v>
      </c>
      <c r="AE732" s="302">
        <f t="shared" si="67"/>
        <v>0.625</v>
      </c>
      <c r="AF732" s="186"/>
      <c r="AG732" s="17">
        <v>0</v>
      </c>
      <c r="AH732" s="186" t="s">
        <v>271</v>
      </c>
      <c r="AI732" s="186">
        <v>0.05</v>
      </c>
      <c r="AJ732" s="186">
        <v>0.05</v>
      </c>
      <c r="AK732" s="187">
        <v>0</v>
      </c>
      <c r="AL732" s="187">
        <v>0.1</v>
      </c>
      <c r="AM732" s="17">
        <f t="shared" si="68"/>
        <v>0.1</v>
      </c>
      <c r="AN732" s="184" t="s">
        <v>2509</v>
      </c>
      <c r="AO732" s="168" t="s">
        <v>2510</v>
      </c>
      <c r="AP732" s="184" t="s">
        <v>119</v>
      </c>
    </row>
    <row r="733" spans="1:42" s="184" customFormat="1" hidden="1" x14ac:dyDescent="0.3">
      <c r="A733" s="183" t="s">
        <v>1453</v>
      </c>
      <c r="B733" s="184" t="s">
        <v>2496</v>
      </c>
      <c r="C733" s="183" t="s">
        <v>2858</v>
      </c>
      <c r="D733" s="184" t="s">
        <v>2859</v>
      </c>
      <c r="E733" s="183" t="s">
        <v>2860</v>
      </c>
      <c r="F733" s="184" t="s">
        <v>2861</v>
      </c>
      <c r="G733" s="183" t="s">
        <v>2876</v>
      </c>
      <c r="H733" s="184" t="s">
        <v>2877</v>
      </c>
      <c r="J733" s="188"/>
      <c r="K733" s="183" t="s">
        <v>2878</v>
      </c>
      <c r="L733" s="184" t="s">
        <v>2879</v>
      </c>
      <c r="M733" s="184" t="s">
        <v>2886</v>
      </c>
      <c r="N733" s="189"/>
      <c r="O733" s="189" t="s">
        <v>271</v>
      </c>
      <c r="P733" s="189">
        <v>2</v>
      </c>
      <c r="Q733" s="189">
        <v>2</v>
      </c>
      <c r="R733" s="189">
        <v>2</v>
      </c>
      <c r="S733" s="189">
        <v>2</v>
      </c>
      <c r="T733" s="184" t="s">
        <v>2518</v>
      </c>
      <c r="U733" s="283" t="e">
        <v>#N/A</v>
      </c>
      <c r="V733" s="184" t="s">
        <v>2882</v>
      </c>
      <c r="W733" s="184">
        <v>1</v>
      </c>
      <c r="X733" s="184">
        <v>0</v>
      </c>
      <c r="Y733" s="184">
        <v>0</v>
      </c>
      <c r="Z733" s="184">
        <v>1</v>
      </c>
      <c r="AA733" s="184">
        <v>1</v>
      </c>
      <c r="AB733" s="184">
        <v>1</v>
      </c>
      <c r="AC733" s="316">
        <v>0</v>
      </c>
      <c r="AD733" s="316">
        <v>1</v>
      </c>
      <c r="AE733" s="302">
        <f t="shared" si="67"/>
        <v>0.625</v>
      </c>
      <c r="AF733" s="186"/>
      <c r="AG733" s="17">
        <v>0</v>
      </c>
      <c r="AH733" s="186" t="s">
        <v>271</v>
      </c>
      <c r="AI733" s="186">
        <v>0.05</v>
      </c>
      <c r="AJ733" s="186">
        <v>0.05</v>
      </c>
      <c r="AK733" s="187">
        <v>0</v>
      </c>
      <c r="AL733" s="187">
        <v>0.2</v>
      </c>
      <c r="AM733" s="17">
        <f t="shared" si="68"/>
        <v>0.2</v>
      </c>
      <c r="AN733" s="184" t="s">
        <v>2520</v>
      </c>
      <c r="AO733" s="168" t="s">
        <v>2510</v>
      </c>
      <c r="AP733" s="184" t="s">
        <v>119</v>
      </c>
    </row>
    <row r="734" spans="1:42" s="184" customFormat="1" hidden="1" x14ac:dyDescent="0.3">
      <c r="A734" s="183" t="s">
        <v>1453</v>
      </c>
      <c r="B734" s="184" t="s">
        <v>2496</v>
      </c>
      <c r="C734" s="183" t="s">
        <v>2858</v>
      </c>
      <c r="D734" s="184" t="s">
        <v>2859</v>
      </c>
      <c r="E734" s="183" t="s">
        <v>2860</v>
      </c>
      <c r="F734" s="184" t="s">
        <v>2861</v>
      </c>
      <c r="G734" s="183" t="s">
        <v>2876</v>
      </c>
      <c r="H734" s="184" t="s">
        <v>2877</v>
      </c>
      <c r="J734" s="188"/>
      <c r="K734" s="183" t="s">
        <v>2878</v>
      </c>
      <c r="L734" s="184" t="s">
        <v>2879</v>
      </c>
      <c r="M734" s="184" t="s">
        <v>2887</v>
      </c>
      <c r="N734" s="189"/>
      <c r="O734" s="189" t="s">
        <v>271</v>
      </c>
      <c r="P734" s="189">
        <v>1</v>
      </c>
      <c r="Q734" s="189">
        <v>1</v>
      </c>
      <c r="R734" s="189" t="s">
        <v>271</v>
      </c>
      <c r="S734" s="189">
        <v>1</v>
      </c>
      <c r="T734" s="184" t="s">
        <v>2815</v>
      </c>
      <c r="U734" s="283" t="s">
        <v>2817</v>
      </c>
      <c r="V734" s="184" t="s">
        <v>2882</v>
      </c>
      <c r="W734" s="184">
        <v>1</v>
      </c>
      <c r="X734" s="184">
        <v>0</v>
      </c>
      <c r="Y734" s="184">
        <v>0</v>
      </c>
      <c r="Z734" s="184">
        <v>1</v>
      </c>
      <c r="AA734" s="184">
        <v>1</v>
      </c>
      <c r="AB734" s="184">
        <v>1</v>
      </c>
      <c r="AC734" s="316">
        <v>0</v>
      </c>
      <c r="AD734" s="316">
        <v>1</v>
      </c>
      <c r="AE734" s="302">
        <f t="shared" si="67"/>
        <v>0.625</v>
      </c>
      <c r="AF734" s="186"/>
      <c r="AG734" s="17">
        <v>0</v>
      </c>
      <c r="AH734" s="186" t="s">
        <v>271</v>
      </c>
      <c r="AI734" s="186">
        <v>0.05</v>
      </c>
      <c r="AJ734" s="186">
        <v>0.05</v>
      </c>
      <c r="AK734" s="187">
        <v>0</v>
      </c>
      <c r="AL734" s="187">
        <v>0.1</v>
      </c>
      <c r="AM734" s="17">
        <f t="shared" si="68"/>
        <v>0.1</v>
      </c>
      <c r="AN734" s="184" t="s">
        <v>2815</v>
      </c>
      <c r="AO734" s="168" t="s">
        <v>2817</v>
      </c>
      <c r="AP734" s="184" t="s">
        <v>119</v>
      </c>
    </row>
    <row r="735" spans="1:42" s="184" customFormat="1" hidden="1" x14ac:dyDescent="0.3">
      <c r="A735" s="183" t="s">
        <v>1453</v>
      </c>
      <c r="B735" s="184" t="s">
        <v>2496</v>
      </c>
      <c r="C735" s="183" t="s">
        <v>2858</v>
      </c>
      <c r="D735" s="184" t="s">
        <v>2859</v>
      </c>
      <c r="E735" s="183" t="s">
        <v>2860</v>
      </c>
      <c r="F735" s="184" t="s">
        <v>2861</v>
      </c>
      <c r="G735" s="183" t="s">
        <v>2876</v>
      </c>
      <c r="H735" s="184" t="s">
        <v>2877</v>
      </c>
      <c r="J735" s="188"/>
      <c r="K735" s="183" t="s">
        <v>2878</v>
      </c>
      <c r="L735" s="184" t="s">
        <v>2879</v>
      </c>
      <c r="M735" s="184" t="s">
        <v>2888</v>
      </c>
      <c r="N735" s="189"/>
      <c r="O735" s="189" t="s">
        <v>271</v>
      </c>
      <c r="P735" s="189">
        <v>1</v>
      </c>
      <c r="Q735" s="189" t="s">
        <v>271</v>
      </c>
      <c r="R735" s="189" t="s">
        <v>271</v>
      </c>
      <c r="S735" s="189">
        <v>1</v>
      </c>
      <c r="T735" s="184" t="s">
        <v>2889</v>
      </c>
      <c r="U735" s="283" t="e">
        <v>#N/A</v>
      </c>
      <c r="V735" s="184" t="s">
        <v>2882</v>
      </c>
      <c r="W735" s="184">
        <v>1</v>
      </c>
      <c r="X735" s="184">
        <v>0</v>
      </c>
      <c r="Y735" s="184">
        <v>0</v>
      </c>
      <c r="Z735" s="184">
        <v>1</v>
      </c>
      <c r="AA735" s="184">
        <v>1</v>
      </c>
      <c r="AB735" s="184">
        <v>1</v>
      </c>
      <c r="AC735" s="316">
        <v>0</v>
      </c>
      <c r="AD735" s="316">
        <v>1</v>
      </c>
      <c r="AE735" s="302">
        <f t="shared" si="67"/>
        <v>0.625</v>
      </c>
      <c r="AF735" s="186"/>
      <c r="AG735" s="17">
        <v>0</v>
      </c>
      <c r="AH735" s="186" t="s">
        <v>271</v>
      </c>
      <c r="AI735" s="186">
        <v>0.05</v>
      </c>
      <c r="AJ735" s="186" t="s">
        <v>271</v>
      </c>
      <c r="AK735" s="187" t="s">
        <v>271</v>
      </c>
      <c r="AL735" s="187">
        <v>0.05</v>
      </c>
      <c r="AM735" s="17">
        <f t="shared" si="68"/>
        <v>0.05</v>
      </c>
      <c r="AN735" s="184" t="s">
        <v>2641</v>
      </c>
      <c r="AO735" s="168" t="s">
        <v>2510</v>
      </c>
      <c r="AP735" s="184" t="s">
        <v>119</v>
      </c>
    </row>
    <row r="736" spans="1:42" s="184" customFormat="1" hidden="1" x14ac:dyDescent="0.3">
      <c r="A736" s="183" t="s">
        <v>1453</v>
      </c>
      <c r="B736" s="184" t="s">
        <v>2496</v>
      </c>
      <c r="C736" s="183" t="s">
        <v>2858</v>
      </c>
      <c r="D736" s="184" t="s">
        <v>2859</v>
      </c>
      <c r="E736" s="183" t="s">
        <v>2860</v>
      </c>
      <c r="F736" s="184" t="s">
        <v>2861</v>
      </c>
      <c r="G736" s="183" t="s">
        <v>2890</v>
      </c>
      <c r="H736" s="184" t="s">
        <v>2891</v>
      </c>
      <c r="J736" s="188"/>
      <c r="K736" s="183" t="s">
        <v>2892</v>
      </c>
      <c r="L736" s="184" t="s">
        <v>2893</v>
      </c>
      <c r="M736" s="184" t="s">
        <v>2894</v>
      </c>
      <c r="N736" s="189">
        <v>0</v>
      </c>
      <c r="O736" s="189">
        <v>0</v>
      </c>
      <c r="P736" s="189">
        <v>1</v>
      </c>
      <c r="Q736" s="189">
        <v>0</v>
      </c>
      <c r="R736" s="189">
        <v>0</v>
      </c>
      <c r="S736" s="189">
        <v>0</v>
      </c>
      <c r="T736" s="184" t="s">
        <v>2661</v>
      </c>
      <c r="U736" s="283" t="e">
        <v>#N/A</v>
      </c>
      <c r="V736" s="184" t="s">
        <v>2895</v>
      </c>
      <c r="W736" s="184">
        <v>1</v>
      </c>
      <c r="X736" s="184">
        <v>0</v>
      </c>
      <c r="Y736" s="184">
        <v>0</v>
      </c>
      <c r="Z736" s="184">
        <v>1</v>
      </c>
      <c r="AA736" s="184">
        <v>1</v>
      </c>
      <c r="AB736" s="184">
        <v>1</v>
      </c>
      <c r="AC736" s="316">
        <v>0</v>
      </c>
      <c r="AD736" s="316">
        <v>1</v>
      </c>
      <c r="AE736" s="302">
        <f t="shared" si="67"/>
        <v>0.625</v>
      </c>
      <c r="AF736" s="186"/>
      <c r="AG736" s="17">
        <v>0</v>
      </c>
      <c r="AH736" s="186">
        <v>0</v>
      </c>
      <c r="AI736" s="186">
        <v>0</v>
      </c>
      <c r="AJ736" s="186">
        <v>0</v>
      </c>
      <c r="AK736" s="187">
        <v>0</v>
      </c>
      <c r="AL736" s="187">
        <v>0</v>
      </c>
      <c r="AM736" s="17">
        <f t="shared" si="68"/>
        <v>0</v>
      </c>
      <c r="AN736" s="184" t="s">
        <v>63</v>
      </c>
      <c r="AO736" s="168" t="s">
        <v>2510</v>
      </c>
      <c r="AP736" s="184" t="s">
        <v>2896</v>
      </c>
    </row>
    <row r="737" spans="1:42" s="184" customFormat="1" hidden="1" x14ac:dyDescent="0.3">
      <c r="A737" s="183" t="s">
        <v>1453</v>
      </c>
      <c r="B737" s="184" t="s">
        <v>2496</v>
      </c>
      <c r="C737" s="183" t="s">
        <v>2858</v>
      </c>
      <c r="D737" s="184" t="s">
        <v>2859</v>
      </c>
      <c r="E737" s="183" t="s">
        <v>2860</v>
      </c>
      <c r="F737" s="184" t="s">
        <v>2861</v>
      </c>
      <c r="G737" s="183" t="s">
        <v>2890</v>
      </c>
      <c r="H737" s="184" t="s">
        <v>2891</v>
      </c>
      <c r="J737" s="188"/>
      <c r="K737" s="183" t="s">
        <v>2892</v>
      </c>
      <c r="L737" s="184" t="s">
        <v>2893</v>
      </c>
      <c r="M737" s="184" t="s">
        <v>2897</v>
      </c>
      <c r="N737" s="189"/>
      <c r="O737" s="189" t="s">
        <v>271</v>
      </c>
      <c r="P737" s="189">
        <v>1</v>
      </c>
      <c r="Q737" s="189">
        <v>3</v>
      </c>
      <c r="R737" s="189">
        <v>1</v>
      </c>
      <c r="S737" s="189">
        <v>1</v>
      </c>
      <c r="T737" s="184" t="s">
        <v>2661</v>
      </c>
      <c r="U737" s="283" t="e">
        <v>#N/A</v>
      </c>
      <c r="V737" s="184" t="s">
        <v>2898</v>
      </c>
      <c r="W737" s="184">
        <v>1</v>
      </c>
      <c r="X737" s="184">
        <v>0</v>
      </c>
      <c r="Y737" s="184">
        <v>0</v>
      </c>
      <c r="Z737" s="184">
        <v>1</v>
      </c>
      <c r="AA737" s="184">
        <v>1</v>
      </c>
      <c r="AB737" s="184">
        <v>1</v>
      </c>
      <c r="AC737" s="316">
        <v>0</v>
      </c>
      <c r="AD737" s="316">
        <v>1</v>
      </c>
      <c r="AE737" s="302">
        <f t="shared" ref="AE737:AE800" si="69">SUM(W737:AD737)/8</f>
        <v>0.625</v>
      </c>
      <c r="AF737" s="186"/>
      <c r="AG737" s="17">
        <v>0</v>
      </c>
      <c r="AH737" s="186">
        <v>0</v>
      </c>
      <c r="AI737" s="186">
        <v>0.3</v>
      </c>
      <c r="AJ737" s="186">
        <v>0.7</v>
      </c>
      <c r="AK737" s="187">
        <v>0.4</v>
      </c>
      <c r="AL737" s="187">
        <v>0.4</v>
      </c>
      <c r="AM737" s="17">
        <f t="shared" ref="AM737:AM800" si="70">SUM(AK737:AL737)</f>
        <v>0.8</v>
      </c>
      <c r="AN737" s="184" t="s">
        <v>63</v>
      </c>
      <c r="AO737" s="168" t="s">
        <v>2510</v>
      </c>
      <c r="AP737" s="184" t="s">
        <v>119</v>
      </c>
    </row>
    <row r="738" spans="1:42" s="184" customFormat="1" hidden="1" x14ac:dyDescent="0.3">
      <c r="A738" s="183" t="s">
        <v>1453</v>
      </c>
      <c r="B738" s="184" t="s">
        <v>2496</v>
      </c>
      <c r="C738" s="183" t="s">
        <v>2858</v>
      </c>
      <c r="D738" s="184" t="s">
        <v>2859</v>
      </c>
      <c r="E738" s="183" t="s">
        <v>2860</v>
      </c>
      <c r="F738" s="184" t="s">
        <v>2861</v>
      </c>
      <c r="G738" s="183" t="s">
        <v>2890</v>
      </c>
      <c r="H738" s="184" t="s">
        <v>2891</v>
      </c>
      <c r="J738" s="188"/>
      <c r="K738" s="183" t="s">
        <v>2892</v>
      </c>
      <c r="L738" s="184" t="s">
        <v>2893</v>
      </c>
      <c r="M738" s="184" t="s">
        <v>2899</v>
      </c>
      <c r="N738" s="189"/>
      <c r="O738" s="189" t="s">
        <v>271</v>
      </c>
      <c r="P738" s="189" t="s">
        <v>271</v>
      </c>
      <c r="Q738" s="189" t="s">
        <v>271</v>
      </c>
      <c r="R738" s="189" t="s">
        <v>271</v>
      </c>
      <c r="S738" s="189">
        <v>1</v>
      </c>
      <c r="T738" s="184" t="s">
        <v>2507</v>
      </c>
      <c r="U738" s="283" t="e">
        <v>#N/A</v>
      </c>
      <c r="V738" s="184" t="s">
        <v>2898</v>
      </c>
      <c r="W738" s="184">
        <v>1</v>
      </c>
      <c r="X738" s="184">
        <v>0</v>
      </c>
      <c r="Y738" s="184">
        <v>0</v>
      </c>
      <c r="Z738" s="184">
        <v>1</v>
      </c>
      <c r="AA738" s="184">
        <v>1</v>
      </c>
      <c r="AB738" s="184">
        <v>1</v>
      </c>
      <c r="AC738" s="316">
        <v>0</v>
      </c>
      <c r="AD738" s="316">
        <v>1</v>
      </c>
      <c r="AE738" s="302">
        <f t="shared" si="69"/>
        <v>0.625</v>
      </c>
      <c r="AF738" s="190"/>
      <c r="AG738" s="17">
        <v>0</v>
      </c>
      <c r="AH738" s="190">
        <v>0</v>
      </c>
      <c r="AI738" s="190">
        <v>0</v>
      </c>
      <c r="AJ738" s="190">
        <v>0</v>
      </c>
      <c r="AK738" s="187">
        <v>0.5</v>
      </c>
      <c r="AL738" s="191">
        <v>0</v>
      </c>
      <c r="AM738" s="17">
        <f t="shared" si="70"/>
        <v>0.5</v>
      </c>
      <c r="AN738" s="184" t="s">
        <v>2509</v>
      </c>
      <c r="AO738" s="168" t="s">
        <v>2510</v>
      </c>
      <c r="AP738" s="184" t="s">
        <v>119</v>
      </c>
    </row>
    <row r="739" spans="1:42" s="184" customFormat="1" hidden="1" x14ac:dyDescent="0.3">
      <c r="A739" s="183" t="s">
        <v>1453</v>
      </c>
      <c r="B739" s="184" t="s">
        <v>2496</v>
      </c>
      <c r="C739" s="183" t="s">
        <v>2858</v>
      </c>
      <c r="D739" s="184" t="s">
        <v>2859</v>
      </c>
      <c r="E739" s="183" t="s">
        <v>2860</v>
      </c>
      <c r="F739" s="184" t="s">
        <v>2861</v>
      </c>
      <c r="G739" s="183" t="s">
        <v>2890</v>
      </c>
      <c r="H739" s="184" t="s">
        <v>2891</v>
      </c>
      <c r="J739" s="188"/>
      <c r="K739" s="183" t="s">
        <v>2892</v>
      </c>
      <c r="L739" s="184" t="s">
        <v>2893</v>
      </c>
      <c r="M739" s="184" t="s">
        <v>2900</v>
      </c>
      <c r="N739" s="189"/>
      <c r="O739" s="189"/>
      <c r="P739" s="189"/>
      <c r="Q739" s="189"/>
      <c r="R739" s="189"/>
      <c r="S739" s="189">
        <v>1</v>
      </c>
      <c r="T739" s="184" t="s">
        <v>2518</v>
      </c>
      <c r="U739" s="283" t="e">
        <v>#N/A</v>
      </c>
      <c r="V739" s="184" t="s">
        <v>2898</v>
      </c>
      <c r="W739" s="184">
        <v>1</v>
      </c>
      <c r="X739" s="184">
        <v>0</v>
      </c>
      <c r="Y739" s="184">
        <v>0</v>
      </c>
      <c r="Z739" s="184">
        <v>1</v>
      </c>
      <c r="AA739" s="184">
        <v>1</v>
      </c>
      <c r="AB739" s="184">
        <v>1</v>
      </c>
      <c r="AC739" s="316">
        <v>0</v>
      </c>
      <c r="AD739" s="316">
        <v>1</v>
      </c>
      <c r="AE739" s="302">
        <f t="shared" si="69"/>
        <v>0.625</v>
      </c>
      <c r="AF739" s="190"/>
      <c r="AG739" s="17">
        <v>0</v>
      </c>
      <c r="AH739" s="190">
        <v>0</v>
      </c>
      <c r="AI739" s="190">
        <v>0</v>
      </c>
      <c r="AJ739" s="190">
        <v>0</v>
      </c>
      <c r="AK739" s="187">
        <v>0.4</v>
      </c>
      <c r="AL739" s="191">
        <v>0</v>
      </c>
      <c r="AM739" s="17">
        <f t="shared" si="70"/>
        <v>0.4</v>
      </c>
      <c r="AN739" s="184" t="s">
        <v>2520</v>
      </c>
      <c r="AO739" s="168" t="s">
        <v>2510</v>
      </c>
      <c r="AP739" s="184" t="s">
        <v>119</v>
      </c>
    </row>
    <row r="740" spans="1:42" s="184" customFormat="1" hidden="1" x14ac:dyDescent="0.3">
      <c r="A740" s="183" t="s">
        <v>1453</v>
      </c>
      <c r="B740" s="184" t="s">
        <v>2496</v>
      </c>
      <c r="C740" s="183" t="s">
        <v>2858</v>
      </c>
      <c r="D740" s="184" t="s">
        <v>2859</v>
      </c>
      <c r="E740" s="183" t="s">
        <v>2860</v>
      </c>
      <c r="F740" s="184" t="s">
        <v>2861</v>
      </c>
      <c r="G740" s="183" t="s">
        <v>2890</v>
      </c>
      <c r="H740" s="184" t="s">
        <v>2891</v>
      </c>
      <c r="J740" s="188"/>
      <c r="K740" s="195" t="s">
        <v>2892</v>
      </c>
      <c r="L740" s="184" t="s">
        <v>2893</v>
      </c>
      <c r="M740" s="184" t="s">
        <v>2901</v>
      </c>
      <c r="N740" s="189">
        <v>1</v>
      </c>
      <c r="O740" s="189">
        <v>3</v>
      </c>
      <c r="P740" s="189">
        <v>4</v>
      </c>
      <c r="Q740" s="189">
        <v>4</v>
      </c>
      <c r="R740" s="189">
        <v>5</v>
      </c>
      <c r="S740" s="189">
        <v>7</v>
      </c>
      <c r="T740" s="184" t="s">
        <v>63</v>
      </c>
      <c r="U740" s="283" t="s">
        <v>2510</v>
      </c>
      <c r="AC740" s="316">
        <v>0</v>
      </c>
      <c r="AD740" s="316">
        <v>0</v>
      </c>
      <c r="AE740" s="302">
        <f t="shared" si="69"/>
        <v>0</v>
      </c>
      <c r="AF740" s="190"/>
      <c r="AG740" s="17">
        <v>0</v>
      </c>
      <c r="AH740" s="190"/>
      <c r="AI740" s="190"/>
      <c r="AJ740" s="190"/>
      <c r="AK740" s="191"/>
      <c r="AL740" s="191"/>
      <c r="AM740" s="17">
        <f t="shared" si="70"/>
        <v>0</v>
      </c>
      <c r="AO740" s="168"/>
    </row>
    <row r="741" spans="1:42" s="184" customFormat="1" hidden="1" x14ac:dyDescent="0.3">
      <c r="A741" s="183" t="s">
        <v>1453</v>
      </c>
      <c r="B741" s="184" t="s">
        <v>2496</v>
      </c>
      <c r="C741" s="183" t="s">
        <v>2858</v>
      </c>
      <c r="D741" s="184" t="s">
        <v>2859</v>
      </c>
      <c r="E741" s="183" t="s">
        <v>2860</v>
      </c>
      <c r="F741" s="184" t="s">
        <v>2861</v>
      </c>
      <c r="G741" s="183" t="s">
        <v>2890</v>
      </c>
      <c r="H741" s="184" t="s">
        <v>2891</v>
      </c>
      <c r="J741" s="188"/>
      <c r="K741" s="183" t="s">
        <v>2892</v>
      </c>
      <c r="L741" s="184" t="s">
        <v>2893</v>
      </c>
      <c r="M741" s="184" t="s">
        <v>2902</v>
      </c>
      <c r="N741" s="189"/>
      <c r="O741" s="189" t="s">
        <v>271</v>
      </c>
      <c r="P741" s="189">
        <v>4</v>
      </c>
      <c r="Q741" s="189">
        <v>5</v>
      </c>
      <c r="R741" s="189">
        <v>5</v>
      </c>
      <c r="S741" s="189">
        <v>5</v>
      </c>
      <c r="T741" s="184" t="s">
        <v>2528</v>
      </c>
      <c r="U741" s="283" t="s">
        <v>2530</v>
      </c>
      <c r="V741" s="184" t="s">
        <v>2903</v>
      </c>
      <c r="W741" s="184">
        <v>1</v>
      </c>
      <c r="X741" s="184">
        <v>0</v>
      </c>
      <c r="Y741" s="184">
        <v>0</v>
      </c>
      <c r="Z741" s="184">
        <v>1</v>
      </c>
      <c r="AA741" s="184">
        <v>1</v>
      </c>
      <c r="AB741" s="184">
        <v>1</v>
      </c>
      <c r="AC741" s="316">
        <v>0</v>
      </c>
      <c r="AD741" s="316">
        <v>1</v>
      </c>
      <c r="AE741" s="302">
        <f t="shared" si="69"/>
        <v>0.625</v>
      </c>
      <c r="AF741" s="186"/>
      <c r="AG741" s="17">
        <v>0</v>
      </c>
      <c r="AH741" s="186">
        <v>0</v>
      </c>
      <c r="AI741" s="186">
        <v>1.5</v>
      </c>
      <c r="AJ741" s="186">
        <v>6</v>
      </c>
      <c r="AK741" s="187">
        <v>0</v>
      </c>
      <c r="AL741" s="187">
        <v>0</v>
      </c>
      <c r="AM741" s="17">
        <f t="shared" si="70"/>
        <v>0</v>
      </c>
      <c r="AN741" s="184" t="s">
        <v>2528</v>
      </c>
      <c r="AO741" s="168" t="s">
        <v>2530</v>
      </c>
      <c r="AP741" s="184" t="s">
        <v>119</v>
      </c>
    </row>
    <row r="742" spans="1:42" s="184" customFormat="1" hidden="1" x14ac:dyDescent="0.3">
      <c r="A742" s="183" t="s">
        <v>1453</v>
      </c>
      <c r="B742" s="184" t="s">
        <v>2496</v>
      </c>
      <c r="C742" s="183" t="s">
        <v>2858</v>
      </c>
      <c r="D742" s="184" t="s">
        <v>2859</v>
      </c>
      <c r="E742" s="183" t="s">
        <v>2860</v>
      </c>
      <c r="F742" s="184" t="s">
        <v>2861</v>
      </c>
      <c r="G742" s="183" t="s">
        <v>2890</v>
      </c>
      <c r="H742" s="184" t="s">
        <v>2891</v>
      </c>
      <c r="J742" s="188"/>
      <c r="K742" s="183" t="s">
        <v>2892</v>
      </c>
      <c r="L742" s="184" t="s">
        <v>2893</v>
      </c>
      <c r="M742" s="184" t="s">
        <v>2904</v>
      </c>
      <c r="N742" s="189"/>
      <c r="O742" s="189"/>
      <c r="P742" s="189">
        <v>4</v>
      </c>
      <c r="Q742" s="189">
        <v>4</v>
      </c>
      <c r="R742" s="189">
        <v>4</v>
      </c>
      <c r="S742" s="189">
        <v>4</v>
      </c>
      <c r="T742" s="184" t="s">
        <v>63</v>
      </c>
      <c r="U742" s="283" t="s">
        <v>2510</v>
      </c>
      <c r="V742" s="184" t="s">
        <v>2905</v>
      </c>
      <c r="W742" s="184">
        <v>1</v>
      </c>
      <c r="X742" s="184">
        <v>0</v>
      </c>
      <c r="Y742" s="184">
        <v>0</v>
      </c>
      <c r="Z742" s="184">
        <v>1</v>
      </c>
      <c r="AA742" s="184">
        <v>1</v>
      </c>
      <c r="AB742" s="184">
        <v>1</v>
      </c>
      <c r="AC742" s="316">
        <v>0</v>
      </c>
      <c r="AD742" s="316">
        <v>1</v>
      </c>
      <c r="AE742" s="302">
        <f t="shared" si="69"/>
        <v>0.625</v>
      </c>
      <c r="AF742" s="186"/>
      <c r="AG742" s="17">
        <v>0</v>
      </c>
      <c r="AH742" s="186">
        <v>0</v>
      </c>
      <c r="AI742" s="186">
        <v>0</v>
      </c>
      <c r="AJ742" s="186">
        <v>15</v>
      </c>
      <c r="AK742" s="187"/>
      <c r="AL742" s="187">
        <v>4</v>
      </c>
      <c r="AM742" s="17">
        <f t="shared" si="70"/>
        <v>4</v>
      </c>
      <c r="AN742" s="184" t="s">
        <v>63</v>
      </c>
      <c r="AO742" s="168" t="s">
        <v>2510</v>
      </c>
      <c r="AP742" s="184" t="s">
        <v>119</v>
      </c>
    </row>
    <row r="743" spans="1:42" s="184" customFormat="1" hidden="1" x14ac:dyDescent="0.3">
      <c r="A743" s="183" t="s">
        <v>1453</v>
      </c>
      <c r="B743" s="184" t="s">
        <v>2496</v>
      </c>
      <c r="C743" s="183" t="s">
        <v>2858</v>
      </c>
      <c r="D743" s="184" t="s">
        <v>2859</v>
      </c>
      <c r="E743" s="183" t="s">
        <v>2860</v>
      </c>
      <c r="F743" s="184" t="s">
        <v>2861</v>
      </c>
      <c r="G743" s="183" t="s">
        <v>2890</v>
      </c>
      <c r="H743" s="184" t="s">
        <v>2891</v>
      </c>
      <c r="J743" s="188"/>
      <c r="K743" s="183" t="s">
        <v>2892</v>
      </c>
      <c r="L743" s="184" t="s">
        <v>2893</v>
      </c>
      <c r="M743" s="184" t="s">
        <v>2906</v>
      </c>
      <c r="N743" s="189"/>
      <c r="O743" s="189">
        <v>10</v>
      </c>
      <c r="P743" s="189">
        <v>10</v>
      </c>
      <c r="Q743" s="189">
        <v>10</v>
      </c>
      <c r="R743" s="189">
        <v>10</v>
      </c>
      <c r="S743" s="189">
        <v>1</v>
      </c>
      <c r="T743" s="184" t="s">
        <v>63</v>
      </c>
      <c r="U743" s="283" t="s">
        <v>2510</v>
      </c>
      <c r="V743" s="184" t="s">
        <v>2907</v>
      </c>
      <c r="W743" s="184">
        <v>1</v>
      </c>
      <c r="X743" s="184">
        <v>0</v>
      </c>
      <c r="Y743" s="184">
        <v>0</v>
      </c>
      <c r="Z743" s="184">
        <v>1</v>
      </c>
      <c r="AA743" s="184">
        <v>1</v>
      </c>
      <c r="AB743" s="184">
        <v>1</v>
      </c>
      <c r="AC743" s="316">
        <v>0</v>
      </c>
      <c r="AD743" s="316">
        <v>1</v>
      </c>
      <c r="AE743" s="302">
        <f t="shared" si="69"/>
        <v>0.625</v>
      </c>
      <c r="AF743" s="186"/>
      <c r="AG743" s="17">
        <v>0</v>
      </c>
      <c r="AH743" s="186">
        <v>0.75</v>
      </c>
      <c r="AI743" s="186">
        <v>0.75</v>
      </c>
      <c r="AJ743" s="186">
        <v>0.75</v>
      </c>
      <c r="AK743" s="187">
        <v>0.75</v>
      </c>
      <c r="AL743" s="187">
        <v>0.75</v>
      </c>
      <c r="AM743" s="17">
        <f t="shared" si="70"/>
        <v>1.5</v>
      </c>
      <c r="AN743" s="184" t="s">
        <v>63</v>
      </c>
      <c r="AO743" s="168" t="s">
        <v>2510</v>
      </c>
      <c r="AP743" s="184" t="s">
        <v>119</v>
      </c>
    </row>
    <row r="744" spans="1:42" s="184" customFormat="1" hidden="1" x14ac:dyDescent="0.3">
      <c r="A744" s="183" t="s">
        <v>1453</v>
      </c>
      <c r="B744" s="184" t="s">
        <v>2496</v>
      </c>
      <c r="C744" s="183" t="s">
        <v>2858</v>
      </c>
      <c r="D744" s="184" t="s">
        <v>2859</v>
      </c>
      <c r="E744" s="183" t="s">
        <v>2860</v>
      </c>
      <c r="F744" s="184" t="s">
        <v>2861</v>
      </c>
      <c r="G744" s="183" t="s">
        <v>2890</v>
      </c>
      <c r="H744" s="184" t="s">
        <v>2891</v>
      </c>
      <c r="J744" s="188"/>
      <c r="K744" s="183" t="s">
        <v>2892</v>
      </c>
      <c r="L744" s="184" t="s">
        <v>2893</v>
      </c>
      <c r="M744" s="184" t="s">
        <v>2908</v>
      </c>
      <c r="N744" s="189"/>
      <c r="O744" s="189" t="s">
        <v>271</v>
      </c>
      <c r="P744" s="189">
        <v>1</v>
      </c>
      <c r="Q744" s="189" t="s">
        <v>271</v>
      </c>
      <c r="R744" s="189" t="s">
        <v>271</v>
      </c>
      <c r="S744" s="189" t="s">
        <v>271</v>
      </c>
      <c r="T744" s="184" t="s">
        <v>63</v>
      </c>
      <c r="U744" s="283" t="s">
        <v>2510</v>
      </c>
      <c r="V744" s="184" t="s">
        <v>2909</v>
      </c>
      <c r="W744" s="184">
        <v>1</v>
      </c>
      <c r="X744" s="184">
        <v>0</v>
      </c>
      <c r="Y744" s="184">
        <v>0</v>
      </c>
      <c r="Z744" s="184">
        <v>1</v>
      </c>
      <c r="AA744" s="184">
        <v>1</v>
      </c>
      <c r="AB744" s="184">
        <v>1</v>
      </c>
      <c r="AC744" s="316">
        <v>0</v>
      </c>
      <c r="AD744" s="316">
        <v>1</v>
      </c>
      <c r="AE744" s="302">
        <f t="shared" si="69"/>
        <v>0.625</v>
      </c>
      <c r="AF744" s="186"/>
      <c r="AG744" s="17">
        <v>0</v>
      </c>
      <c r="AH744" s="186">
        <v>0</v>
      </c>
      <c r="AI744" s="186">
        <v>0</v>
      </c>
      <c r="AJ744" s="186">
        <v>0</v>
      </c>
      <c r="AK744" s="187">
        <v>0</v>
      </c>
      <c r="AL744" s="187">
        <v>0.1</v>
      </c>
      <c r="AM744" s="17">
        <f t="shared" si="70"/>
        <v>0.1</v>
      </c>
      <c r="AN744" s="184" t="s">
        <v>63</v>
      </c>
      <c r="AO744" s="168" t="s">
        <v>2510</v>
      </c>
      <c r="AP744" s="184" t="s">
        <v>119</v>
      </c>
    </row>
    <row r="745" spans="1:42" s="184" customFormat="1" hidden="1" x14ac:dyDescent="0.3">
      <c r="A745" s="183" t="s">
        <v>1453</v>
      </c>
      <c r="B745" s="184" t="s">
        <v>2496</v>
      </c>
      <c r="C745" s="183" t="s">
        <v>2858</v>
      </c>
      <c r="D745" s="184" t="s">
        <v>2859</v>
      </c>
      <c r="E745" s="183" t="s">
        <v>2860</v>
      </c>
      <c r="F745" s="184" t="s">
        <v>2861</v>
      </c>
      <c r="G745" s="183" t="s">
        <v>2890</v>
      </c>
      <c r="H745" s="184" t="s">
        <v>2891</v>
      </c>
      <c r="J745" s="188"/>
      <c r="K745" s="183" t="s">
        <v>2892</v>
      </c>
      <c r="L745" s="184" t="s">
        <v>2893</v>
      </c>
      <c r="M745" s="184" t="s">
        <v>2910</v>
      </c>
      <c r="N745" s="189"/>
      <c r="O745" s="189" t="s">
        <v>271</v>
      </c>
      <c r="P745" s="189" t="s">
        <v>271</v>
      </c>
      <c r="Q745" s="189" t="s">
        <v>271</v>
      </c>
      <c r="R745" s="189">
        <v>1</v>
      </c>
      <c r="S745" s="189">
        <v>1</v>
      </c>
      <c r="T745" s="184" t="s">
        <v>63</v>
      </c>
      <c r="U745" s="283" t="s">
        <v>2510</v>
      </c>
      <c r="V745" s="184" t="s">
        <v>2911</v>
      </c>
      <c r="W745" s="184">
        <v>1</v>
      </c>
      <c r="X745" s="184">
        <v>0</v>
      </c>
      <c r="Y745" s="184">
        <v>0</v>
      </c>
      <c r="Z745" s="184">
        <v>1</v>
      </c>
      <c r="AA745" s="184">
        <v>1</v>
      </c>
      <c r="AB745" s="184">
        <v>1</v>
      </c>
      <c r="AC745" s="316">
        <v>0</v>
      </c>
      <c r="AD745" s="316">
        <v>1</v>
      </c>
      <c r="AE745" s="302">
        <f t="shared" si="69"/>
        <v>0.625</v>
      </c>
      <c r="AF745" s="186"/>
      <c r="AG745" s="17">
        <v>0</v>
      </c>
      <c r="AH745" s="186">
        <v>0</v>
      </c>
      <c r="AI745" s="186">
        <v>0</v>
      </c>
      <c r="AJ745" s="186">
        <v>0</v>
      </c>
      <c r="AK745" s="187">
        <v>0</v>
      </c>
      <c r="AL745" s="187">
        <v>5</v>
      </c>
      <c r="AM745" s="17">
        <f t="shared" si="70"/>
        <v>5</v>
      </c>
      <c r="AN745" s="184" t="s">
        <v>63</v>
      </c>
      <c r="AO745" s="168" t="s">
        <v>2510</v>
      </c>
      <c r="AP745" s="184" t="s">
        <v>119</v>
      </c>
    </row>
    <row r="746" spans="1:42" s="184" customFormat="1" hidden="1" x14ac:dyDescent="0.3">
      <c r="A746" s="183" t="s">
        <v>1453</v>
      </c>
      <c r="B746" s="184" t="s">
        <v>2496</v>
      </c>
      <c r="C746" s="183" t="s">
        <v>2858</v>
      </c>
      <c r="D746" s="184" t="s">
        <v>2859</v>
      </c>
      <c r="E746" s="183" t="s">
        <v>2860</v>
      </c>
      <c r="F746" s="184" t="s">
        <v>2861</v>
      </c>
      <c r="G746" s="183" t="s">
        <v>2890</v>
      </c>
      <c r="H746" s="184" t="s">
        <v>2891</v>
      </c>
      <c r="J746" s="188"/>
      <c r="K746" s="183" t="s">
        <v>2892</v>
      </c>
      <c r="L746" s="184" t="s">
        <v>2893</v>
      </c>
      <c r="M746" s="184" t="s">
        <v>2912</v>
      </c>
      <c r="N746" s="189"/>
      <c r="O746" s="189">
        <v>1</v>
      </c>
      <c r="P746" s="189">
        <v>2</v>
      </c>
      <c r="Q746" s="189">
        <v>3</v>
      </c>
      <c r="R746" s="189">
        <v>2</v>
      </c>
      <c r="S746" s="189">
        <v>2</v>
      </c>
      <c r="T746" s="184" t="s">
        <v>63</v>
      </c>
      <c r="U746" s="283" t="s">
        <v>2510</v>
      </c>
      <c r="V746" s="184" t="s">
        <v>2913</v>
      </c>
      <c r="W746" s="184">
        <v>1</v>
      </c>
      <c r="X746" s="184">
        <v>0</v>
      </c>
      <c r="Y746" s="184">
        <v>0</v>
      </c>
      <c r="Z746" s="184">
        <v>1</v>
      </c>
      <c r="AA746" s="184">
        <v>1</v>
      </c>
      <c r="AB746" s="184">
        <v>1</v>
      </c>
      <c r="AC746" s="316">
        <v>0</v>
      </c>
      <c r="AD746" s="316">
        <v>1</v>
      </c>
      <c r="AE746" s="302">
        <f t="shared" si="69"/>
        <v>0.625</v>
      </c>
      <c r="AF746" s="186"/>
      <c r="AG746" s="17">
        <v>0</v>
      </c>
      <c r="AH746" s="186">
        <v>0</v>
      </c>
      <c r="AI746" s="186">
        <v>0</v>
      </c>
      <c r="AJ746" s="186">
        <v>0.1</v>
      </c>
      <c r="AK746" s="187"/>
      <c r="AL746" s="187">
        <v>1.1000000000000001</v>
      </c>
      <c r="AM746" s="17">
        <f t="shared" si="70"/>
        <v>1.1000000000000001</v>
      </c>
      <c r="AN746" s="184" t="s">
        <v>63</v>
      </c>
      <c r="AO746" s="168" t="s">
        <v>2510</v>
      </c>
      <c r="AP746" s="184" t="s">
        <v>119</v>
      </c>
    </row>
    <row r="747" spans="1:42" s="184" customFormat="1" hidden="1" x14ac:dyDescent="0.3">
      <c r="A747" s="183" t="s">
        <v>1453</v>
      </c>
      <c r="B747" s="184" t="s">
        <v>2496</v>
      </c>
      <c r="C747" s="183" t="s">
        <v>2858</v>
      </c>
      <c r="D747" s="184" t="s">
        <v>2859</v>
      </c>
      <c r="E747" s="183" t="s">
        <v>2860</v>
      </c>
      <c r="F747" s="184" t="s">
        <v>2861</v>
      </c>
      <c r="G747" s="183" t="s">
        <v>2890</v>
      </c>
      <c r="H747" s="184" t="s">
        <v>2891</v>
      </c>
      <c r="J747" s="188"/>
      <c r="K747" s="183" t="s">
        <v>2892</v>
      </c>
      <c r="L747" s="184" t="s">
        <v>2893</v>
      </c>
      <c r="M747" s="184" t="s">
        <v>2914</v>
      </c>
      <c r="N747" s="189"/>
      <c r="O747" s="189" t="s">
        <v>271</v>
      </c>
      <c r="P747" s="189">
        <v>1</v>
      </c>
      <c r="Q747" s="189" t="s">
        <v>271</v>
      </c>
      <c r="R747" s="189" t="s">
        <v>271</v>
      </c>
      <c r="S747" s="189" t="s">
        <v>271</v>
      </c>
      <c r="T747" s="184" t="s">
        <v>63</v>
      </c>
      <c r="U747" s="283" t="s">
        <v>2510</v>
      </c>
      <c r="V747" s="184" t="s">
        <v>2915</v>
      </c>
      <c r="W747" s="184">
        <v>1</v>
      </c>
      <c r="X747" s="184">
        <v>0</v>
      </c>
      <c r="Y747" s="184">
        <v>0</v>
      </c>
      <c r="Z747" s="184">
        <v>1</v>
      </c>
      <c r="AA747" s="184">
        <v>1</v>
      </c>
      <c r="AB747" s="184">
        <v>1</v>
      </c>
      <c r="AC747" s="316">
        <v>0</v>
      </c>
      <c r="AD747" s="316">
        <v>1</v>
      </c>
      <c r="AE747" s="302">
        <f t="shared" si="69"/>
        <v>0.625</v>
      </c>
      <c r="AF747" s="186"/>
      <c r="AG747" s="17">
        <v>0</v>
      </c>
      <c r="AH747" s="186">
        <v>0</v>
      </c>
      <c r="AI747" s="186">
        <v>0</v>
      </c>
      <c r="AJ747" s="186">
        <v>0</v>
      </c>
      <c r="AK747" s="187">
        <v>0</v>
      </c>
      <c r="AL747" s="187">
        <v>0</v>
      </c>
      <c r="AM747" s="17">
        <f t="shared" si="70"/>
        <v>0</v>
      </c>
      <c r="AN747" s="184" t="s">
        <v>63</v>
      </c>
      <c r="AO747" s="168" t="s">
        <v>2510</v>
      </c>
      <c r="AP747" s="184" t="s">
        <v>2872</v>
      </c>
    </row>
    <row r="748" spans="1:42" s="184" customFormat="1" hidden="1" x14ac:dyDescent="0.3">
      <c r="A748" s="183" t="s">
        <v>1453</v>
      </c>
      <c r="B748" s="184" t="s">
        <v>2496</v>
      </c>
      <c r="C748" s="195" t="s">
        <v>2858</v>
      </c>
      <c r="D748" s="184" t="s">
        <v>2859</v>
      </c>
      <c r="E748" s="195" t="s">
        <v>2860</v>
      </c>
      <c r="F748" s="184" t="s">
        <v>2861</v>
      </c>
      <c r="G748" s="183" t="s">
        <v>2890</v>
      </c>
      <c r="H748" s="184" t="s">
        <v>2891</v>
      </c>
      <c r="J748" s="188"/>
      <c r="K748" s="195" t="s">
        <v>2892</v>
      </c>
      <c r="L748" s="184" t="s">
        <v>2893</v>
      </c>
      <c r="M748" s="184" t="s">
        <v>2916</v>
      </c>
      <c r="N748" s="189"/>
      <c r="O748" s="189" t="s">
        <v>271</v>
      </c>
      <c r="P748" s="189" t="s">
        <v>271</v>
      </c>
      <c r="Q748" s="189">
        <v>4</v>
      </c>
      <c r="R748" s="189">
        <v>4</v>
      </c>
      <c r="S748" s="189">
        <v>4</v>
      </c>
      <c r="T748" s="184" t="s">
        <v>63</v>
      </c>
      <c r="U748" s="283" t="s">
        <v>2510</v>
      </c>
      <c r="V748" s="184" t="s">
        <v>2917</v>
      </c>
      <c r="W748" s="184">
        <v>1</v>
      </c>
      <c r="X748" s="184">
        <v>0</v>
      </c>
      <c r="Y748" s="184">
        <v>0</v>
      </c>
      <c r="Z748" s="184">
        <v>1</v>
      </c>
      <c r="AA748" s="184">
        <v>1</v>
      </c>
      <c r="AB748" s="184">
        <v>1</v>
      </c>
      <c r="AC748" s="316">
        <v>0</v>
      </c>
      <c r="AD748" s="316">
        <v>1</v>
      </c>
      <c r="AE748" s="302">
        <f t="shared" si="69"/>
        <v>0.625</v>
      </c>
      <c r="AF748" s="186"/>
      <c r="AG748" s="17">
        <v>0</v>
      </c>
      <c r="AH748" s="186">
        <v>0</v>
      </c>
      <c r="AI748" s="186">
        <v>0</v>
      </c>
      <c r="AJ748" s="186">
        <v>0</v>
      </c>
      <c r="AK748" s="187">
        <v>0</v>
      </c>
      <c r="AL748" s="187">
        <v>0</v>
      </c>
      <c r="AM748" s="17">
        <f t="shared" si="70"/>
        <v>0</v>
      </c>
      <c r="AN748" s="184" t="s">
        <v>63</v>
      </c>
      <c r="AO748" s="168" t="s">
        <v>2510</v>
      </c>
      <c r="AP748" s="184" t="s">
        <v>119</v>
      </c>
    </row>
    <row r="749" spans="1:42" s="184" customFormat="1" x14ac:dyDescent="0.3">
      <c r="A749" s="183" t="s">
        <v>1453</v>
      </c>
      <c r="B749" s="184" t="s">
        <v>2496</v>
      </c>
      <c r="C749" s="183" t="s">
        <v>2858</v>
      </c>
      <c r="D749" s="184" t="s">
        <v>2859</v>
      </c>
      <c r="E749" s="183" t="s">
        <v>2860</v>
      </c>
      <c r="F749" s="184" t="s">
        <v>2861</v>
      </c>
      <c r="G749" s="183" t="s">
        <v>2918</v>
      </c>
      <c r="H749" s="184" t="s">
        <v>2919</v>
      </c>
      <c r="J749" s="188"/>
      <c r="K749" s="183" t="s">
        <v>2920</v>
      </c>
      <c r="L749" s="184" t="s">
        <v>2921</v>
      </c>
      <c r="M749" s="184" t="s">
        <v>2922</v>
      </c>
      <c r="N749" s="185">
        <v>0</v>
      </c>
      <c r="O749" s="189" t="s">
        <v>271</v>
      </c>
      <c r="P749" s="189">
        <v>1</v>
      </c>
      <c r="Q749" s="189">
        <v>2</v>
      </c>
      <c r="R749" s="189">
        <v>0</v>
      </c>
      <c r="S749" s="189">
        <v>3</v>
      </c>
      <c r="T749" s="184" t="s">
        <v>2528</v>
      </c>
      <c r="U749" s="283" t="s">
        <v>2530</v>
      </c>
      <c r="V749" s="184" t="s">
        <v>2923</v>
      </c>
      <c r="W749" s="184">
        <v>1</v>
      </c>
      <c r="X749" s="184">
        <v>1</v>
      </c>
      <c r="Y749" s="184">
        <v>1</v>
      </c>
      <c r="Z749" s="184">
        <v>1</v>
      </c>
      <c r="AA749" s="184">
        <v>1</v>
      </c>
      <c r="AB749" s="184">
        <v>1</v>
      </c>
      <c r="AC749" s="316">
        <v>1</v>
      </c>
      <c r="AD749" s="316">
        <v>1</v>
      </c>
      <c r="AE749" s="302">
        <f t="shared" si="69"/>
        <v>1</v>
      </c>
      <c r="AF749" s="186"/>
      <c r="AG749" s="17">
        <v>0</v>
      </c>
      <c r="AH749" s="186">
        <v>0</v>
      </c>
      <c r="AI749" s="186">
        <v>0</v>
      </c>
      <c r="AJ749" s="186">
        <v>16.399999999999999</v>
      </c>
      <c r="AK749" s="187">
        <v>10</v>
      </c>
      <c r="AL749" s="187">
        <v>10</v>
      </c>
      <c r="AM749" s="17">
        <f t="shared" si="70"/>
        <v>20</v>
      </c>
      <c r="AN749" s="184" t="s">
        <v>2528</v>
      </c>
      <c r="AO749" s="168" t="s">
        <v>2530</v>
      </c>
      <c r="AP749" s="184" t="s">
        <v>255</v>
      </c>
    </row>
    <row r="750" spans="1:42" s="184" customFormat="1" hidden="1" x14ac:dyDescent="0.3">
      <c r="A750" s="183" t="s">
        <v>1453</v>
      </c>
      <c r="B750" s="184" t="s">
        <v>2496</v>
      </c>
      <c r="C750" s="183" t="s">
        <v>2858</v>
      </c>
      <c r="D750" s="184" t="s">
        <v>2859</v>
      </c>
      <c r="E750" s="183" t="s">
        <v>2860</v>
      </c>
      <c r="F750" s="184" t="s">
        <v>2861</v>
      </c>
      <c r="G750" s="183" t="s">
        <v>2918</v>
      </c>
      <c r="H750" s="184" t="s">
        <v>2919</v>
      </c>
      <c r="K750" s="183" t="s">
        <v>2920</v>
      </c>
      <c r="L750" s="184" t="s">
        <v>2921</v>
      </c>
      <c r="M750" s="184" t="s">
        <v>2924</v>
      </c>
      <c r="N750" s="185"/>
      <c r="O750" s="185" t="s">
        <v>271</v>
      </c>
      <c r="P750" s="185" t="s">
        <v>271</v>
      </c>
      <c r="Q750" s="185">
        <v>1</v>
      </c>
      <c r="R750" s="185">
        <v>1</v>
      </c>
      <c r="S750" s="185" t="s">
        <v>271</v>
      </c>
      <c r="T750" s="184" t="s">
        <v>63</v>
      </c>
      <c r="U750" s="283" t="s">
        <v>2510</v>
      </c>
      <c r="V750" s="184" t="s">
        <v>2925</v>
      </c>
      <c r="W750" s="184">
        <v>1</v>
      </c>
      <c r="X750" s="184">
        <v>0</v>
      </c>
      <c r="Y750" s="184">
        <v>0</v>
      </c>
      <c r="Z750" s="184">
        <v>1</v>
      </c>
      <c r="AA750" s="184">
        <v>1</v>
      </c>
      <c r="AB750" s="184">
        <v>1</v>
      </c>
      <c r="AC750" s="316">
        <v>0</v>
      </c>
      <c r="AD750" s="316">
        <v>1</v>
      </c>
      <c r="AE750" s="302">
        <f t="shared" si="69"/>
        <v>0.625</v>
      </c>
      <c r="AF750" s="186"/>
      <c r="AG750" s="17">
        <v>0</v>
      </c>
      <c r="AH750" s="186">
        <v>0</v>
      </c>
      <c r="AI750" s="186">
        <v>0</v>
      </c>
      <c r="AJ750" s="186">
        <v>0.15</v>
      </c>
      <c r="AK750" s="187">
        <v>0.2</v>
      </c>
      <c r="AL750" s="187">
        <v>0</v>
      </c>
      <c r="AM750" s="17">
        <f t="shared" si="70"/>
        <v>0.2</v>
      </c>
      <c r="AN750" s="184" t="s">
        <v>63</v>
      </c>
      <c r="AO750" s="168" t="s">
        <v>2510</v>
      </c>
      <c r="AP750" s="184" t="s">
        <v>119</v>
      </c>
    </row>
    <row r="751" spans="1:42" s="184" customFormat="1" x14ac:dyDescent="0.3">
      <c r="A751" s="183" t="s">
        <v>1453</v>
      </c>
      <c r="B751" s="184" t="s">
        <v>2496</v>
      </c>
      <c r="C751" s="183" t="s">
        <v>2498</v>
      </c>
      <c r="D751" s="184" t="s">
        <v>2499</v>
      </c>
      <c r="E751" s="183" t="s">
        <v>2926</v>
      </c>
      <c r="F751" s="184" t="s">
        <v>2927</v>
      </c>
      <c r="G751" s="183" t="s">
        <v>2928</v>
      </c>
      <c r="H751" s="184" t="s">
        <v>2929</v>
      </c>
      <c r="J751" s="188"/>
      <c r="K751" s="183" t="s">
        <v>2930</v>
      </c>
      <c r="L751" s="184" t="s">
        <v>2931</v>
      </c>
      <c r="M751" s="184" t="s">
        <v>2932</v>
      </c>
      <c r="N751" s="189">
        <v>120</v>
      </c>
      <c r="O751" s="189">
        <v>50</v>
      </c>
      <c r="P751" s="189">
        <v>35</v>
      </c>
      <c r="Q751" s="189">
        <v>50</v>
      </c>
      <c r="R751" s="189">
        <v>50</v>
      </c>
      <c r="S751" s="189">
        <v>50</v>
      </c>
      <c r="T751" s="184" t="s">
        <v>63</v>
      </c>
      <c r="U751" s="283" t="s">
        <v>2510</v>
      </c>
      <c r="V751" s="184" t="s">
        <v>2933</v>
      </c>
      <c r="W751" s="184">
        <v>1</v>
      </c>
      <c r="X751" s="184">
        <v>1</v>
      </c>
      <c r="Y751" s="184">
        <v>1</v>
      </c>
      <c r="Z751" s="184">
        <v>1</v>
      </c>
      <c r="AA751" s="184">
        <v>1</v>
      </c>
      <c r="AB751" s="184">
        <v>1</v>
      </c>
      <c r="AC751" s="316">
        <v>1</v>
      </c>
      <c r="AD751" s="316">
        <v>1</v>
      </c>
      <c r="AE751" s="302">
        <f t="shared" si="69"/>
        <v>1</v>
      </c>
      <c r="AF751" s="186"/>
      <c r="AG751" s="17">
        <v>0</v>
      </c>
      <c r="AH751" s="186">
        <v>20</v>
      </c>
      <c r="AI751" s="186">
        <v>20</v>
      </c>
      <c r="AJ751" s="186">
        <v>23</v>
      </c>
      <c r="AK751" s="187">
        <v>30</v>
      </c>
      <c r="AL751" s="187">
        <v>35</v>
      </c>
      <c r="AM751" s="17">
        <f t="shared" si="70"/>
        <v>65</v>
      </c>
      <c r="AN751" s="184" t="s">
        <v>63</v>
      </c>
      <c r="AO751" s="168" t="s">
        <v>2510</v>
      </c>
      <c r="AP751" s="184" t="s">
        <v>255</v>
      </c>
    </row>
    <row r="752" spans="1:42" s="184" customFormat="1" x14ac:dyDescent="0.3">
      <c r="A752" s="183" t="s">
        <v>1453</v>
      </c>
      <c r="B752" s="184" t="s">
        <v>2496</v>
      </c>
      <c r="C752" s="183" t="s">
        <v>2498</v>
      </c>
      <c r="D752" s="184" t="s">
        <v>2499</v>
      </c>
      <c r="E752" s="183" t="s">
        <v>2926</v>
      </c>
      <c r="F752" s="184" t="s">
        <v>2927</v>
      </c>
      <c r="G752" s="183" t="s">
        <v>2928</v>
      </c>
      <c r="H752" s="184" t="s">
        <v>2929</v>
      </c>
      <c r="J752" s="188"/>
      <c r="K752" s="183" t="s">
        <v>2930</v>
      </c>
      <c r="L752" s="184" t="s">
        <v>2931</v>
      </c>
      <c r="M752" s="184" t="s">
        <v>2934</v>
      </c>
      <c r="N752" s="189" t="s">
        <v>271</v>
      </c>
      <c r="O752" s="189">
        <v>25</v>
      </c>
      <c r="P752" s="189">
        <v>25</v>
      </c>
      <c r="Q752" s="189">
        <v>50</v>
      </c>
      <c r="R752" s="189">
        <v>100</v>
      </c>
      <c r="S752" s="189">
        <v>150</v>
      </c>
      <c r="T752" s="184" t="s">
        <v>63</v>
      </c>
      <c r="U752" s="283" t="s">
        <v>2510</v>
      </c>
      <c r="V752" s="184" t="s">
        <v>2935</v>
      </c>
      <c r="W752" s="184">
        <v>1</v>
      </c>
      <c r="X752" s="184">
        <v>1</v>
      </c>
      <c r="Y752" s="184">
        <v>1</v>
      </c>
      <c r="Z752" s="184">
        <v>1</v>
      </c>
      <c r="AA752" s="184">
        <v>1</v>
      </c>
      <c r="AB752" s="184">
        <v>1</v>
      </c>
      <c r="AC752" s="316">
        <v>1</v>
      </c>
      <c r="AD752" s="316">
        <v>1</v>
      </c>
      <c r="AE752" s="302">
        <f t="shared" si="69"/>
        <v>1</v>
      </c>
      <c r="AF752" s="186"/>
      <c r="AG752" s="17">
        <v>0</v>
      </c>
      <c r="AH752" s="186">
        <v>30</v>
      </c>
      <c r="AI752" s="186">
        <v>40</v>
      </c>
      <c r="AJ752" s="186">
        <v>40</v>
      </c>
      <c r="AK752" s="187">
        <v>30</v>
      </c>
      <c r="AL752" s="187">
        <v>40</v>
      </c>
      <c r="AM752" s="17">
        <f t="shared" si="70"/>
        <v>70</v>
      </c>
      <c r="AN752" s="184" t="s">
        <v>63</v>
      </c>
      <c r="AO752" s="168" t="s">
        <v>2510</v>
      </c>
      <c r="AP752" s="186" t="s">
        <v>255</v>
      </c>
    </row>
    <row r="753" spans="1:42" s="184" customFormat="1" x14ac:dyDescent="0.3">
      <c r="A753" s="183" t="s">
        <v>1453</v>
      </c>
      <c r="B753" s="184" t="s">
        <v>2496</v>
      </c>
      <c r="C753" s="183" t="s">
        <v>2498</v>
      </c>
      <c r="D753" s="184" t="s">
        <v>2499</v>
      </c>
      <c r="E753" s="183" t="s">
        <v>2926</v>
      </c>
      <c r="F753" s="184" t="s">
        <v>2927</v>
      </c>
      <c r="G753" s="183" t="s">
        <v>2928</v>
      </c>
      <c r="H753" s="184" t="s">
        <v>2929</v>
      </c>
      <c r="J753" s="188"/>
      <c r="K753" s="183" t="s">
        <v>2930</v>
      </c>
      <c r="L753" s="184" t="s">
        <v>2931</v>
      </c>
      <c r="M753" s="184" t="s">
        <v>2936</v>
      </c>
      <c r="N753" s="189" t="s">
        <v>271</v>
      </c>
      <c r="O753" s="189">
        <v>50</v>
      </c>
      <c r="P753" s="189">
        <v>100</v>
      </c>
      <c r="Q753" s="189">
        <v>150</v>
      </c>
      <c r="R753" s="189">
        <v>150</v>
      </c>
      <c r="S753" s="189">
        <v>150</v>
      </c>
      <c r="T753" s="184" t="s">
        <v>2528</v>
      </c>
      <c r="U753" s="283" t="s">
        <v>2530</v>
      </c>
      <c r="V753" s="184" t="s">
        <v>2937</v>
      </c>
      <c r="W753" s="184">
        <v>1</v>
      </c>
      <c r="X753" s="184">
        <v>1</v>
      </c>
      <c r="Y753" s="184">
        <v>1</v>
      </c>
      <c r="Z753" s="184">
        <v>1</v>
      </c>
      <c r="AA753" s="184">
        <v>1</v>
      </c>
      <c r="AB753" s="184">
        <v>1</v>
      </c>
      <c r="AC753" s="316">
        <v>1</v>
      </c>
      <c r="AD753" s="316">
        <v>1</v>
      </c>
      <c r="AE753" s="302">
        <f t="shared" si="69"/>
        <v>1</v>
      </c>
      <c r="AF753" s="186"/>
      <c r="AG753" s="17">
        <v>0</v>
      </c>
      <c r="AH753" s="186">
        <v>30</v>
      </c>
      <c r="AI753" s="186">
        <v>60</v>
      </c>
      <c r="AJ753" s="186">
        <v>60</v>
      </c>
      <c r="AK753" s="187">
        <v>60</v>
      </c>
      <c r="AL753" s="187">
        <v>90</v>
      </c>
      <c r="AM753" s="17">
        <f t="shared" si="70"/>
        <v>150</v>
      </c>
      <c r="AN753" s="184" t="s">
        <v>2528</v>
      </c>
      <c r="AO753" s="168" t="s">
        <v>2530</v>
      </c>
      <c r="AP753" s="186" t="s">
        <v>255</v>
      </c>
    </row>
    <row r="754" spans="1:42" s="184" customFormat="1" x14ac:dyDescent="0.3">
      <c r="A754" s="183" t="s">
        <v>1453</v>
      </c>
      <c r="B754" s="184" t="s">
        <v>2496</v>
      </c>
      <c r="C754" s="183" t="s">
        <v>2498</v>
      </c>
      <c r="D754" s="184" t="s">
        <v>2499</v>
      </c>
      <c r="E754" s="183" t="s">
        <v>2926</v>
      </c>
      <c r="F754" s="184" t="s">
        <v>2927</v>
      </c>
      <c r="G754" s="183" t="s">
        <v>2928</v>
      </c>
      <c r="H754" s="184" t="s">
        <v>2929</v>
      </c>
      <c r="J754" s="188"/>
      <c r="K754" s="183" t="s">
        <v>2930</v>
      </c>
      <c r="L754" s="184" t="s">
        <v>2931</v>
      </c>
      <c r="M754" s="184" t="s">
        <v>2938</v>
      </c>
      <c r="N754" s="189"/>
      <c r="O754" s="189" t="s">
        <v>271</v>
      </c>
      <c r="P754" s="189">
        <v>1</v>
      </c>
      <c r="Q754" s="189">
        <v>40</v>
      </c>
      <c r="R754" s="189">
        <v>40</v>
      </c>
      <c r="S754" s="189">
        <v>40</v>
      </c>
      <c r="T754" s="184" t="s">
        <v>63</v>
      </c>
      <c r="U754" s="283" t="s">
        <v>2510</v>
      </c>
      <c r="V754" s="184" t="s">
        <v>2939</v>
      </c>
      <c r="W754" s="184">
        <v>1</v>
      </c>
      <c r="X754" s="184">
        <v>1</v>
      </c>
      <c r="Y754" s="184">
        <v>1</v>
      </c>
      <c r="Z754" s="184">
        <v>1</v>
      </c>
      <c r="AA754" s="184">
        <v>1</v>
      </c>
      <c r="AB754" s="184">
        <v>1</v>
      </c>
      <c r="AC754" s="316">
        <v>1</v>
      </c>
      <c r="AD754" s="316">
        <v>1</v>
      </c>
      <c r="AE754" s="302">
        <f t="shared" si="69"/>
        <v>1</v>
      </c>
      <c r="AF754" s="186"/>
      <c r="AG754" s="17">
        <v>0</v>
      </c>
      <c r="AH754" s="186">
        <v>20</v>
      </c>
      <c r="AI754" s="186">
        <v>0.5</v>
      </c>
      <c r="AJ754" s="186">
        <v>80</v>
      </c>
      <c r="AK754" s="187">
        <v>80</v>
      </c>
      <c r="AL754" s="187">
        <v>300</v>
      </c>
      <c r="AM754" s="17">
        <f t="shared" si="70"/>
        <v>380</v>
      </c>
      <c r="AN754" s="184" t="s">
        <v>63</v>
      </c>
      <c r="AO754" s="168" t="s">
        <v>2510</v>
      </c>
      <c r="AP754" s="184" t="s">
        <v>119</v>
      </c>
    </row>
    <row r="755" spans="1:42" s="184" customFormat="1" x14ac:dyDescent="0.3">
      <c r="A755" s="183" t="s">
        <v>1453</v>
      </c>
      <c r="B755" s="184" t="s">
        <v>2496</v>
      </c>
      <c r="C755" s="183" t="s">
        <v>2498</v>
      </c>
      <c r="D755" s="184" t="s">
        <v>2499</v>
      </c>
      <c r="E755" s="183" t="s">
        <v>2926</v>
      </c>
      <c r="F755" s="184" t="s">
        <v>2927</v>
      </c>
      <c r="G755" s="183" t="s">
        <v>2928</v>
      </c>
      <c r="H755" s="184" t="s">
        <v>2929</v>
      </c>
      <c r="J755" s="188"/>
      <c r="K755" s="183" t="s">
        <v>2930</v>
      </c>
      <c r="L755" s="184" t="s">
        <v>2931</v>
      </c>
      <c r="M755" s="184" t="s">
        <v>2940</v>
      </c>
      <c r="N755" s="189"/>
      <c r="O755" s="189" t="s">
        <v>2631</v>
      </c>
      <c r="P755" s="189">
        <v>1</v>
      </c>
      <c r="Q755" s="189">
        <v>4</v>
      </c>
      <c r="R755" s="189">
        <v>0</v>
      </c>
      <c r="S755" s="189">
        <v>2</v>
      </c>
      <c r="T755" s="184" t="s">
        <v>63</v>
      </c>
      <c r="U755" s="283" t="s">
        <v>2510</v>
      </c>
      <c r="V755" s="184" t="s">
        <v>2941</v>
      </c>
      <c r="W755" s="184">
        <v>1</v>
      </c>
      <c r="X755" s="184">
        <v>1</v>
      </c>
      <c r="Y755" s="184">
        <v>0</v>
      </c>
      <c r="Z755" s="184">
        <v>1</v>
      </c>
      <c r="AA755" s="184">
        <v>1</v>
      </c>
      <c r="AB755" s="184">
        <v>1</v>
      </c>
      <c r="AC755" s="316">
        <v>0</v>
      </c>
      <c r="AD755" s="316">
        <v>1</v>
      </c>
      <c r="AE755" s="302">
        <f t="shared" si="69"/>
        <v>0.75</v>
      </c>
      <c r="AF755" s="186"/>
      <c r="AG755" s="17">
        <v>0</v>
      </c>
      <c r="AH755" s="186">
        <v>0</v>
      </c>
      <c r="AI755" s="186">
        <v>0</v>
      </c>
      <c r="AJ755" s="186">
        <v>0</v>
      </c>
      <c r="AK755" s="187">
        <v>3</v>
      </c>
      <c r="AL755" s="187">
        <v>0</v>
      </c>
      <c r="AM755" s="17">
        <f t="shared" si="70"/>
        <v>3</v>
      </c>
      <c r="AN755" s="184" t="s">
        <v>63</v>
      </c>
      <c r="AO755" s="168" t="s">
        <v>2510</v>
      </c>
      <c r="AP755" s="184" t="s">
        <v>119</v>
      </c>
    </row>
    <row r="756" spans="1:42" s="184" customFormat="1" hidden="1" x14ac:dyDescent="0.3">
      <c r="A756" s="183" t="s">
        <v>1453</v>
      </c>
      <c r="B756" s="184" t="s">
        <v>2496</v>
      </c>
      <c r="C756" s="183" t="s">
        <v>2498</v>
      </c>
      <c r="D756" s="184" t="s">
        <v>2499</v>
      </c>
      <c r="E756" s="183" t="s">
        <v>2926</v>
      </c>
      <c r="F756" s="184" t="s">
        <v>2927</v>
      </c>
      <c r="G756" s="183" t="s">
        <v>2928</v>
      </c>
      <c r="H756" s="184" t="s">
        <v>2929</v>
      </c>
      <c r="J756" s="188"/>
      <c r="K756" s="183" t="s">
        <v>2930</v>
      </c>
      <c r="L756" s="184" t="s">
        <v>2931</v>
      </c>
      <c r="M756" s="184" t="s">
        <v>2942</v>
      </c>
      <c r="N756" s="189">
        <v>7</v>
      </c>
      <c r="O756" s="189">
        <v>10</v>
      </c>
      <c r="P756" s="189">
        <v>10</v>
      </c>
      <c r="Q756" s="189">
        <v>10</v>
      </c>
      <c r="R756" s="189">
        <v>10</v>
      </c>
      <c r="S756" s="189">
        <v>10</v>
      </c>
      <c r="T756" s="184" t="s">
        <v>63</v>
      </c>
      <c r="U756" s="283" t="s">
        <v>2510</v>
      </c>
      <c r="AC756" s="316">
        <v>0</v>
      </c>
      <c r="AD756" s="316">
        <v>0</v>
      </c>
      <c r="AE756" s="302">
        <f t="shared" si="69"/>
        <v>0</v>
      </c>
      <c r="AF756" s="190"/>
      <c r="AG756" s="17">
        <v>0</v>
      </c>
      <c r="AH756" s="190">
        <v>0</v>
      </c>
      <c r="AI756" s="190">
        <v>0</v>
      </c>
      <c r="AJ756" s="190">
        <v>0</v>
      </c>
      <c r="AK756" s="191">
        <v>0</v>
      </c>
      <c r="AL756" s="191">
        <v>0</v>
      </c>
      <c r="AM756" s="17">
        <f t="shared" si="70"/>
        <v>0</v>
      </c>
      <c r="AO756" s="168"/>
    </row>
    <row r="757" spans="1:42" s="184" customFormat="1" hidden="1" x14ac:dyDescent="0.3">
      <c r="A757" s="183" t="s">
        <v>1453</v>
      </c>
      <c r="B757" s="184" t="s">
        <v>2496</v>
      </c>
      <c r="C757" s="183" t="s">
        <v>2498</v>
      </c>
      <c r="D757" s="184" t="s">
        <v>2499</v>
      </c>
      <c r="E757" s="183" t="s">
        <v>2926</v>
      </c>
      <c r="F757" s="184" t="s">
        <v>2927</v>
      </c>
      <c r="G757" s="183" t="s">
        <v>2928</v>
      </c>
      <c r="H757" s="184" t="s">
        <v>2929</v>
      </c>
      <c r="J757" s="188"/>
      <c r="K757" s="183" t="s">
        <v>2930</v>
      </c>
      <c r="L757" s="184" t="s">
        <v>2931</v>
      </c>
      <c r="M757" s="184" t="s">
        <v>2943</v>
      </c>
      <c r="N757" s="189">
        <v>0</v>
      </c>
      <c r="O757" s="189">
        <v>0</v>
      </c>
      <c r="P757" s="189">
        <v>0</v>
      </c>
      <c r="Q757" s="189">
        <v>0</v>
      </c>
      <c r="R757" s="189">
        <v>100000</v>
      </c>
      <c r="S757" s="189">
        <v>200000</v>
      </c>
      <c r="T757" s="184" t="s">
        <v>2944</v>
      </c>
      <c r="U757" s="283" t="e">
        <v>#N/A</v>
      </c>
      <c r="AC757" s="316">
        <v>0</v>
      </c>
      <c r="AD757" s="316">
        <v>0</v>
      </c>
      <c r="AE757" s="302">
        <f t="shared" si="69"/>
        <v>0</v>
      </c>
      <c r="AF757" s="190"/>
      <c r="AG757" s="17">
        <v>0</v>
      </c>
      <c r="AH757" s="190">
        <v>0</v>
      </c>
      <c r="AI757" s="190">
        <v>0</v>
      </c>
      <c r="AJ757" s="190">
        <v>0</v>
      </c>
      <c r="AK757" s="191">
        <v>0</v>
      </c>
      <c r="AL757" s="191">
        <v>0</v>
      </c>
      <c r="AM757" s="17">
        <f t="shared" si="70"/>
        <v>0</v>
      </c>
      <c r="AN757" s="184" t="s">
        <v>2945</v>
      </c>
      <c r="AO757" s="168" t="s">
        <v>2510</v>
      </c>
      <c r="AP757" s="184" t="s">
        <v>2946</v>
      </c>
    </row>
    <row r="758" spans="1:42" s="184" customFormat="1" x14ac:dyDescent="0.3">
      <c r="A758" s="183" t="s">
        <v>1453</v>
      </c>
      <c r="B758" s="184" t="s">
        <v>2496</v>
      </c>
      <c r="C758" s="183" t="s">
        <v>2498</v>
      </c>
      <c r="D758" s="184" t="s">
        <v>2499</v>
      </c>
      <c r="E758" s="183" t="s">
        <v>2926</v>
      </c>
      <c r="F758" s="184" t="s">
        <v>2927</v>
      </c>
      <c r="G758" s="183" t="s">
        <v>2947</v>
      </c>
      <c r="H758" s="184" t="s">
        <v>2948</v>
      </c>
      <c r="I758" s="183" t="s">
        <v>2949</v>
      </c>
      <c r="J758" s="184" t="s">
        <v>2950</v>
      </c>
      <c r="K758" s="183" t="s">
        <v>2951</v>
      </c>
      <c r="L758" s="184" t="s">
        <v>2952</v>
      </c>
      <c r="M758" s="184" t="s">
        <v>2953</v>
      </c>
      <c r="N758" s="189">
        <v>0</v>
      </c>
      <c r="O758" s="189">
        <v>20</v>
      </c>
      <c r="P758" s="189">
        <v>20</v>
      </c>
      <c r="Q758" s="189">
        <v>20</v>
      </c>
      <c r="R758" s="189">
        <v>20</v>
      </c>
      <c r="S758" s="189">
        <v>20</v>
      </c>
      <c r="T758" s="184" t="s">
        <v>2738</v>
      </c>
      <c r="U758" s="283" t="e">
        <v>#N/A</v>
      </c>
      <c r="V758" s="184" t="s">
        <v>2954</v>
      </c>
      <c r="W758" s="184">
        <v>1</v>
      </c>
      <c r="X758" s="184">
        <v>1</v>
      </c>
      <c r="Y758" s="184">
        <v>1</v>
      </c>
      <c r="Z758" s="184">
        <v>1</v>
      </c>
      <c r="AA758" s="184">
        <v>1</v>
      </c>
      <c r="AB758" s="184">
        <v>1</v>
      </c>
      <c r="AC758" s="316">
        <v>1</v>
      </c>
      <c r="AD758" s="316">
        <v>1</v>
      </c>
      <c r="AE758" s="302">
        <f t="shared" si="69"/>
        <v>1</v>
      </c>
      <c r="AF758" s="186"/>
      <c r="AG758" s="17">
        <v>0</v>
      </c>
      <c r="AH758" s="186">
        <v>0</v>
      </c>
      <c r="AI758" s="186">
        <v>0</v>
      </c>
      <c r="AJ758" s="186">
        <v>0</v>
      </c>
      <c r="AK758" s="187">
        <v>0</v>
      </c>
      <c r="AL758" s="187">
        <v>0</v>
      </c>
      <c r="AM758" s="17">
        <f t="shared" si="70"/>
        <v>0</v>
      </c>
      <c r="AN758" s="184" t="s">
        <v>2528</v>
      </c>
      <c r="AO758" s="168" t="s">
        <v>2530</v>
      </c>
      <c r="AP758" s="184" t="s">
        <v>119</v>
      </c>
    </row>
    <row r="759" spans="1:42" s="184" customFormat="1" x14ac:dyDescent="0.3">
      <c r="A759" s="183" t="s">
        <v>1453</v>
      </c>
      <c r="B759" s="184" t="s">
        <v>2496</v>
      </c>
      <c r="C759" s="183" t="s">
        <v>2498</v>
      </c>
      <c r="D759" s="184" t="s">
        <v>2499</v>
      </c>
      <c r="E759" s="183" t="s">
        <v>2926</v>
      </c>
      <c r="F759" s="184" t="s">
        <v>2927</v>
      </c>
      <c r="G759" s="183" t="s">
        <v>2947</v>
      </c>
      <c r="H759" s="184" t="s">
        <v>2948</v>
      </c>
      <c r="I759" s="183" t="s">
        <v>2949</v>
      </c>
      <c r="J759" s="184" t="s">
        <v>2950</v>
      </c>
      <c r="K759" s="183" t="s">
        <v>2951</v>
      </c>
      <c r="L759" s="184" t="s">
        <v>2952</v>
      </c>
      <c r="M759" s="184" t="s">
        <v>2955</v>
      </c>
      <c r="N759" s="189">
        <v>0</v>
      </c>
      <c r="O759" s="189">
        <v>20</v>
      </c>
      <c r="P759" s="189">
        <v>20</v>
      </c>
      <c r="Q759" s="189">
        <v>20</v>
      </c>
      <c r="R759" s="189">
        <v>20</v>
      </c>
      <c r="S759" s="189">
        <v>20</v>
      </c>
      <c r="T759" s="184" t="s">
        <v>2507</v>
      </c>
      <c r="U759" s="283" t="e">
        <v>#N/A</v>
      </c>
      <c r="V759" s="184" t="s">
        <v>2954</v>
      </c>
      <c r="W759" s="184">
        <v>1</v>
      </c>
      <c r="X759" s="184">
        <v>1</v>
      </c>
      <c r="Y759" s="184">
        <v>1</v>
      </c>
      <c r="Z759" s="184">
        <v>1</v>
      </c>
      <c r="AA759" s="184">
        <v>1</v>
      </c>
      <c r="AB759" s="184">
        <v>1</v>
      </c>
      <c r="AC759" s="316">
        <v>1</v>
      </c>
      <c r="AD759" s="316">
        <v>1</v>
      </c>
      <c r="AE759" s="302">
        <f t="shared" si="69"/>
        <v>1</v>
      </c>
      <c r="AF759" s="186"/>
      <c r="AG759" s="17">
        <v>0</v>
      </c>
      <c r="AH759" s="186">
        <v>0</v>
      </c>
      <c r="AI759" s="186">
        <v>0</v>
      </c>
      <c r="AJ759" s="186">
        <v>0</v>
      </c>
      <c r="AK759" s="187">
        <v>0</v>
      </c>
      <c r="AL759" s="187">
        <v>0</v>
      </c>
      <c r="AM759" s="17">
        <f t="shared" si="70"/>
        <v>0</v>
      </c>
      <c r="AN759" s="184" t="s">
        <v>2509</v>
      </c>
      <c r="AO759" s="168" t="s">
        <v>2510</v>
      </c>
      <c r="AP759" s="184" t="s">
        <v>2507</v>
      </c>
    </row>
    <row r="760" spans="1:42" s="184" customFormat="1" x14ac:dyDescent="0.3">
      <c r="A760" s="183" t="s">
        <v>1453</v>
      </c>
      <c r="B760" s="184" t="s">
        <v>2496</v>
      </c>
      <c r="C760" s="183" t="s">
        <v>2498</v>
      </c>
      <c r="D760" s="184" t="s">
        <v>2499</v>
      </c>
      <c r="E760" s="183" t="s">
        <v>2926</v>
      </c>
      <c r="F760" s="184" t="s">
        <v>2927</v>
      </c>
      <c r="G760" s="183" t="s">
        <v>2947</v>
      </c>
      <c r="H760" s="184" t="s">
        <v>2948</v>
      </c>
      <c r="I760" s="183" t="s">
        <v>2949</v>
      </c>
      <c r="J760" s="184" t="s">
        <v>2950</v>
      </c>
      <c r="K760" s="183" t="s">
        <v>2951</v>
      </c>
      <c r="L760" s="184" t="s">
        <v>2952</v>
      </c>
      <c r="M760" s="184" t="s">
        <v>2955</v>
      </c>
      <c r="N760" s="189">
        <v>0</v>
      </c>
      <c r="O760" s="189">
        <v>20</v>
      </c>
      <c r="P760" s="189">
        <v>20</v>
      </c>
      <c r="Q760" s="189">
        <v>20</v>
      </c>
      <c r="R760" s="189">
        <v>20</v>
      </c>
      <c r="S760" s="189">
        <v>20</v>
      </c>
      <c r="T760" s="184" t="s">
        <v>2956</v>
      </c>
      <c r="U760" s="283" t="e">
        <v>#N/A</v>
      </c>
      <c r="V760" s="184" t="s">
        <v>2954</v>
      </c>
      <c r="W760" s="184">
        <v>1</v>
      </c>
      <c r="X760" s="184">
        <v>1</v>
      </c>
      <c r="Y760" s="184">
        <v>1</v>
      </c>
      <c r="Z760" s="184">
        <v>1</v>
      </c>
      <c r="AA760" s="184">
        <v>1</v>
      </c>
      <c r="AB760" s="184">
        <v>1</v>
      </c>
      <c r="AC760" s="316">
        <v>1</v>
      </c>
      <c r="AD760" s="316">
        <v>1</v>
      </c>
      <c r="AE760" s="302">
        <f t="shared" si="69"/>
        <v>1</v>
      </c>
      <c r="AF760" s="186"/>
      <c r="AG760" s="17">
        <v>0</v>
      </c>
      <c r="AH760" s="186">
        <v>0</v>
      </c>
      <c r="AI760" s="186">
        <v>0</v>
      </c>
      <c r="AJ760" s="186">
        <v>0</v>
      </c>
      <c r="AK760" s="187">
        <v>0</v>
      </c>
      <c r="AL760" s="187">
        <v>0</v>
      </c>
      <c r="AM760" s="17">
        <f t="shared" si="70"/>
        <v>0</v>
      </c>
      <c r="AN760" s="184" t="s">
        <v>2957</v>
      </c>
      <c r="AO760" s="168" t="s">
        <v>2510</v>
      </c>
      <c r="AP760" s="184" t="s">
        <v>2958</v>
      </c>
    </row>
    <row r="761" spans="1:42" s="184" customFormat="1" x14ac:dyDescent="0.3">
      <c r="A761" s="183" t="s">
        <v>1453</v>
      </c>
      <c r="B761" s="184" t="s">
        <v>2496</v>
      </c>
      <c r="C761" s="183" t="s">
        <v>2498</v>
      </c>
      <c r="D761" s="184" t="s">
        <v>2499</v>
      </c>
      <c r="E761" s="183" t="s">
        <v>2926</v>
      </c>
      <c r="F761" s="184" t="s">
        <v>2927</v>
      </c>
      <c r="G761" s="183" t="s">
        <v>2947</v>
      </c>
      <c r="H761" s="184" t="s">
        <v>2948</v>
      </c>
      <c r="I761" s="183" t="s">
        <v>2949</v>
      </c>
      <c r="J761" s="184" t="s">
        <v>2950</v>
      </c>
      <c r="K761" s="183" t="s">
        <v>2951</v>
      </c>
      <c r="L761" s="184" t="s">
        <v>2952</v>
      </c>
      <c r="M761" s="184" t="s">
        <v>2955</v>
      </c>
      <c r="N761" s="189">
        <v>0</v>
      </c>
      <c r="O761" s="189">
        <v>20</v>
      </c>
      <c r="P761" s="189">
        <v>20</v>
      </c>
      <c r="Q761" s="189">
        <v>20</v>
      </c>
      <c r="R761" s="189">
        <v>20</v>
      </c>
      <c r="S761" s="189">
        <v>20</v>
      </c>
      <c r="T761" s="184" t="s">
        <v>63</v>
      </c>
      <c r="U761" s="283" t="s">
        <v>2510</v>
      </c>
      <c r="V761" s="184" t="s">
        <v>2954</v>
      </c>
      <c r="W761" s="184">
        <v>1</v>
      </c>
      <c r="X761" s="184">
        <v>1</v>
      </c>
      <c r="Y761" s="184">
        <v>1</v>
      </c>
      <c r="Z761" s="184">
        <v>1</v>
      </c>
      <c r="AA761" s="184">
        <v>1</v>
      </c>
      <c r="AB761" s="184">
        <v>1</v>
      </c>
      <c r="AC761" s="316">
        <v>1</v>
      </c>
      <c r="AD761" s="316">
        <v>1</v>
      </c>
      <c r="AE761" s="302">
        <f t="shared" si="69"/>
        <v>1</v>
      </c>
      <c r="AF761" s="186"/>
      <c r="AG761" s="17">
        <v>0</v>
      </c>
      <c r="AH761" s="186">
        <v>0</v>
      </c>
      <c r="AI761" s="186">
        <v>0</v>
      </c>
      <c r="AJ761" s="186">
        <v>0</v>
      </c>
      <c r="AK761" s="187">
        <v>0</v>
      </c>
      <c r="AL761" s="187">
        <v>0</v>
      </c>
      <c r="AM761" s="17">
        <f t="shared" si="70"/>
        <v>0</v>
      </c>
      <c r="AN761" s="184" t="s">
        <v>63</v>
      </c>
      <c r="AO761" s="168" t="s">
        <v>2510</v>
      </c>
    </row>
    <row r="762" spans="1:42" s="184" customFormat="1" x14ac:dyDescent="0.3">
      <c r="A762" s="183" t="s">
        <v>1453</v>
      </c>
      <c r="B762" s="184" t="s">
        <v>2496</v>
      </c>
      <c r="C762" s="183" t="s">
        <v>2498</v>
      </c>
      <c r="D762" s="184" t="s">
        <v>2499</v>
      </c>
      <c r="E762" s="183" t="s">
        <v>2926</v>
      </c>
      <c r="F762" s="184" t="s">
        <v>2927</v>
      </c>
      <c r="G762" s="183" t="s">
        <v>2947</v>
      </c>
      <c r="H762" s="184" t="s">
        <v>2948</v>
      </c>
      <c r="I762" s="183" t="s">
        <v>2949</v>
      </c>
      <c r="J762" s="184" t="s">
        <v>2950</v>
      </c>
      <c r="K762" s="183" t="s">
        <v>2951</v>
      </c>
      <c r="L762" s="184" t="s">
        <v>2952</v>
      </c>
      <c r="M762" s="184" t="s">
        <v>2955</v>
      </c>
      <c r="N762" s="189">
        <v>0</v>
      </c>
      <c r="O762" s="189">
        <v>20</v>
      </c>
      <c r="P762" s="189">
        <v>20</v>
      </c>
      <c r="Q762" s="189">
        <v>20</v>
      </c>
      <c r="R762" s="189">
        <v>20</v>
      </c>
      <c r="S762" s="189">
        <v>20</v>
      </c>
      <c r="T762" s="184" t="s">
        <v>2518</v>
      </c>
      <c r="U762" s="283" t="e">
        <v>#N/A</v>
      </c>
      <c r="V762" s="184" t="s">
        <v>2954</v>
      </c>
      <c r="W762" s="184">
        <v>1</v>
      </c>
      <c r="X762" s="184">
        <v>1</v>
      </c>
      <c r="Y762" s="184">
        <v>1</v>
      </c>
      <c r="Z762" s="184">
        <v>1</v>
      </c>
      <c r="AA762" s="184">
        <v>1</v>
      </c>
      <c r="AB762" s="184">
        <v>1</v>
      </c>
      <c r="AC762" s="316">
        <v>1</v>
      </c>
      <c r="AD762" s="316">
        <v>1</v>
      </c>
      <c r="AE762" s="302">
        <f t="shared" si="69"/>
        <v>1</v>
      </c>
      <c r="AF762" s="186"/>
      <c r="AG762" s="17">
        <v>0</v>
      </c>
      <c r="AH762" s="186">
        <v>0</v>
      </c>
      <c r="AI762" s="186">
        <v>0</v>
      </c>
      <c r="AJ762" s="186">
        <v>0</v>
      </c>
      <c r="AK762" s="187">
        <v>0</v>
      </c>
      <c r="AL762" s="187">
        <v>0</v>
      </c>
      <c r="AM762" s="17">
        <f t="shared" si="70"/>
        <v>0</v>
      </c>
      <c r="AN762" s="184" t="s">
        <v>63</v>
      </c>
      <c r="AO762" s="168" t="s">
        <v>2510</v>
      </c>
      <c r="AP762" s="184" t="s">
        <v>2518</v>
      </c>
    </row>
    <row r="763" spans="1:42" s="184" customFormat="1" x14ac:dyDescent="0.3">
      <c r="A763" s="183" t="s">
        <v>1453</v>
      </c>
      <c r="B763" s="184" t="s">
        <v>2496</v>
      </c>
      <c r="C763" s="183" t="s">
        <v>2498</v>
      </c>
      <c r="D763" s="184" t="s">
        <v>2499</v>
      </c>
      <c r="E763" s="183" t="s">
        <v>2926</v>
      </c>
      <c r="F763" s="184" t="s">
        <v>2927</v>
      </c>
      <c r="G763" s="195" t="s">
        <v>2947</v>
      </c>
      <c r="H763" s="184" t="s">
        <v>2948</v>
      </c>
      <c r="I763" s="196" t="s">
        <v>2949</v>
      </c>
      <c r="J763" s="184" t="s">
        <v>2950</v>
      </c>
      <c r="K763" s="183" t="s">
        <v>2951</v>
      </c>
      <c r="L763" s="184" t="s">
        <v>2952</v>
      </c>
      <c r="M763" s="184" t="s">
        <v>2959</v>
      </c>
      <c r="N763" s="189"/>
      <c r="O763" s="189">
        <v>200</v>
      </c>
      <c r="P763" s="189">
        <v>250</v>
      </c>
      <c r="Q763" s="189">
        <v>300</v>
      </c>
      <c r="R763" s="189">
        <v>350</v>
      </c>
      <c r="S763" s="189">
        <v>400</v>
      </c>
      <c r="T763" s="184" t="s">
        <v>2535</v>
      </c>
      <c r="U763" s="283" t="s">
        <v>2510</v>
      </c>
      <c r="V763" s="184" t="s">
        <v>2960</v>
      </c>
      <c r="W763" s="184">
        <v>1</v>
      </c>
      <c r="X763" s="184">
        <v>1</v>
      </c>
      <c r="Y763" s="184">
        <v>0</v>
      </c>
      <c r="Z763" s="184">
        <v>1</v>
      </c>
      <c r="AA763" s="184">
        <v>1</v>
      </c>
      <c r="AB763" s="184">
        <v>1</v>
      </c>
      <c r="AC763" s="316">
        <v>0</v>
      </c>
      <c r="AD763" s="316">
        <v>1</v>
      </c>
      <c r="AE763" s="302">
        <f t="shared" si="69"/>
        <v>0.75</v>
      </c>
      <c r="AF763" s="186"/>
      <c r="AG763" s="17">
        <v>0</v>
      </c>
      <c r="AH763" s="186">
        <v>0</v>
      </c>
      <c r="AI763" s="186">
        <v>2.5000000000000001E-2</v>
      </c>
      <c r="AJ763" s="186">
        <v>0.03</v>
      </c>
      <c r="AK763" s="187">
        <v>3.5000000000000003E-2</v>
      </c>
      <c r="AL763" s="187">
        <v>0.04</v>
      </c>
      <c r="AM763" s="17">
        <f t="shared" si="70"/>
        <v>7.5000000000000011E-2</v>
      </c>
      <c r="AN763" s="184" t="s">
        <v>63</v>
      </c>
      <c r="AO763" s="168" t="s">
        <v>2510</v>
      </c>
      <c r="AP763" s="184" t="s">
        <v>119</v>
      </c>
    </row>
    <row r="764" spans="1:42" s="184" customFormat="1" x14ac:dyDescent="0.3">
      <c r="A764" s="183" t="s">
        <v>1453</v>
      </c>
      <c r="B764" s="184" t="s">
        <v>2496</v>
      </c>
      <c r="C764" s="183" t="s">
        <v>2498</v>
      </c>
      <c r="D764" s="184" t="s">
        <v>2499</v>
      </c>
      <c r="E764" s="183" t="s">
        <v>2926</v>
      </c>
      <c r="F764" s="184" t="s">
        <v>2927</v>
      </c>
      <c r="G764" s="183" t="s">
        <v>2947</v>
      </c>
      <c r="H764" s="184" t="s">
        <v>2948</v>
      </c>
      <c r="I764" s="196" t="s">
        <v>2949</v>
      </c>
      <c r="J764" s="184" t="s">
        <v>2950</v>
      </c>
      <c r="K764" s="183" t="s">
        <v>2951</v>
      </c>
      <c r="L764" s="184" t="s">
        <v>2952</v>
      </c>
      <c r="M764" s="184" t="s">
        <v>2961</v>
      </c>
      <c r="N764" s="185"/>
      <c r="O764" s="185" t="s">
        <v>2631</v>
      </c>
      <c r="P764" s="185" t="s">
        <v>2962</v>
      </c>
      <c r="Q764" s="185">
        <v>1</v>
      </c>
      <c r="R764" s="185">
        <v>2</v>
      </c>
      <c r="S764" s="185">
        <v>1</v>
      </c>
      <c r="T764" s="184" t="s">
        <v>63</v>
      </c>
      <c r="U764" s="283" t="s">
        <v>2510</v>
      </c>
      <c r="V764" s="184" t="s">
        <v>2963</v>
      </c>
      <c r="W764" s="184">
        <v>1</v>
      </c>
      <c r="X764" s="184">
        <v>1</v>
      </c>
      <c r="Y764" s="184">
        <v>0</v>
      </c>
      <c r="Z764" s="184">
        <v>1</v>
      </c>
      <c r="AA764" s="184">
        <v>1</v>
      </c>
      <c r="AB764" s="184">
        <v>1</v>
      </c>
      <c r="AC764" s="316">
        <v>0</v>
      </c>
      <c r="AD764" s="316">
        <v>1</v>
      </c>
      <c r="AE764" s="302">
        <f t="shared" si="69"/>
        <v>0.75</v>
      </c>
      <c r="AF764" s="186"/>
      <c r="AG764" s="17">
        <v>0</v>
      </c>
      <c r="AH764" s="186">
        <v>0</v>
      </c>
      <c r="AI764" s="186">
        <v>0</v>
      </c>
      <c r="AJ764" s="186">
        <v>0</v>
      </c>
      <c r="AK764" s="187">
        <v>0</v>
      </c>
      <c r="AL764" s="187">
        <v>0</v>
      </c>
      <c r="AM764" s="17">
        <f t="shared" si="70"/>
        <v>0</v>
      </c>
      <c r="AN764" s="184" t="s">
        <v>63</v>
      </c>
      <c r="AO764" s="168" t="s">
        <v>2510</v>
      </c>
      <c r="AP764" s="184" t="s">
        <v>119</v>
      </c>
    </row>
    <row r="765" spans="1:42" s="184" customFormat="1" x14ac:dyDescent="0.3">
      <c r="A765" s="183" t="s">
        <v>1453</v>
      </c>
      <c r="B765" s="184" t="s">
        <v>2496</v>
      </c>
      <c r="C765" s="183" t="s">
        <v>2498</v>
      </c>
      <c r="D765" s="184" t="s">
        <v>2499</v>
      </c>
      <c r="E765" s="183" t="s">
        <v>2926</v>
      </c>
      <c r="F765" s="184" t="s">
        <v>2927</v>
      </c>
      <c r="G765" s="195" t="s">
        <v>2947</v>
      </c>
      <c r="H765" s="184" t="s">
        <v>2948</v>
      </c>
      <c r="I765" s="196" t="s">
        <v>2949</v>
      </c>
      <c r="J765" s="184" t="s">
        <v>2950</v>
      </c>
      <c r="K765" s="183" t="s">
        <v>2951</v>
      </c>
      <c r="L765" s="184" t="s">
        <v>2952</v>
      </c>
      <c r="M765" s="184" t="s">
        <v>2964</v>
      </c>
      <c r="N765" s="189"/>
      <c r="O765" s="189">
        <v>1</v>
      </c>
      <c r="P765" s="189">
        <v>2</v>
      </c>
      <c r="Q765" s="189">
        <v>2</v>
      </c>
      <c r="R765" s="189">
        <v>1</v>
      </c>
      <c r="S765" s="189">
        <v>1</v>
      </c>
      <c r="T765" s="184" t="s">
        <v>63</v>
      </c>
      <c r="U765" s="283" t="s">
        <v>2510</v>
      </c>
      <c r="V765" s="184" t="s">
        <v>2965</v>
      </c>
      <c r="W765" s="184">
        <v>1</v>
      </c>
      <c r="X765" s="184">
        <v>1</v>
      </c>
      <c r="Y765" s="184">
        <v>0</v>
      </c>
      <c r="Z765" s="184">
        <v>1</v>
      </c>
      <c r="AA765" s="184">
        <v>1</v>
      </c>
      <c r="AB765" s="184">
        <v>1</v>
      </c>
      <c r="AC765" s="316">
        <v>0</v>
      </c>
      <c r="AD765" s="316">
        <v>1</v>
      </c>
      <c r="AE765" s="302">
        <f t="shared" si="69"/>
        <v>0.75</v>
      </c>
      <c r="AF765" s="186"/>
      <c r="AG765" s="17">
        <v>0</v>
      </c>
      <c r="AH765" s="186">
        <v>0</v>
      </c>
      <c r="AI765" s="186">
        <v>8</v>
      </c>
      <c r="AJ765" s="186">
        <v>0</v>
      </c>
      <c r="AK765" s="187">
        <v>8</v>
      </c>
      <c r="AL765" s="187">
        <v>2</v>
      </c>
      <c r="AM765" s="17">
        <f t="shared" si="70"/>
        <v>10</v>
      </c>
      <c r="AN765" s="184" t="s">
        <v>63</v>
      </c>
      <c r="AO765" s="168" t="s">
        <v>2510</v>
      </c>
      <c r="AP765" s="184" t="s">
        <v>119</v>
      </c>
    </row>
    <row r="766" spans="1:42" s="184" customFormat="1" hidden="1" x14ac:dyDescent="0.3">
      <c r="A766" s="183" t="s">
        <v>1453</v>
      </c>
      <c r="B766" s="184" t="s">
        <v>2496</v>
      </c>
      <c r="C766" s="183" t="s">
        <v>2498</v>
      </c>
      <c r="D766" s="184" t="s">
        <v>2499</v>
      </c>
      <c r="E766" s="183" t="s">
        <v>2926</v>
      </c>
      <c r="F766" s="184" t="s">
        <v>2927</v>
      </c>
      <c r="G766" s="183" t="s">
        <v>2947</v>
      </c>
      <c r="H766" s="184" t="s">
        <v>2948</v>
      </c>
      <c r="I766" s="196" t="s">
        <v>2949</v>
      </c>
      <c r="J766" s="184" t="s">
        <v>2950</v>
      </c>
      <c r="K766" s="183" t="s">
        <v>2951</v>
      </c>
      <c r="L766" s="184" t="s">
        <v>2952</v>
      </c>
      <c r="M766" s="184" t="s">
        <v>2966</v>
      </c>
      <c r="N766" s="189"/>
      <c r="O766" s="189">
        <v>30</v>
      </c>
      <c r="P766" s="189">
        <v>30</v>
      </c>
      <c r="Q766" s="189">
        <v>50</v>
      </c>
      <c r="R766" s="189">
        <v>50</v>
      </c>
      <c r="S766" s="189">
        <v>50</v>
      </c>
      <c r="T766" s="184" t="s">
        <v>2535</v>
      </c>
      <c r="U766" s="283" t="s">
        <v>2510</v>
      </c>
      <c r="V766" s="184" t="s">
        <v>2967</v>
      </c>
      <c r="W766" s="184">
        <v>1</v>
      </c>
      <c r="X766" s="184">
        <v>0</v>
      </c>
      <c r="Y766" s="184">
        <v>0</v>
      </c>
      <c r="Z766" s="184">
        <v>1</v>
      </c>
      <c r="AA766" s="184">
        <v>1</v>
      </c>
      <c r="AB766" s="184">
        <v>1</v>
      </c>
      <c r="AC766" s="316">
        <v>0</v>
      </c>
      <c r="AD766" s="316">
        <v>1</v>
      </c>
      <c r="AE766" s="302">
        <f t="shared" si="69"/>
        <v>0.625</v>
      </c>
      <c r="AF766" s="186"/>
      <c r="AG766" s="17">
        <v>0</v>
      </c>
      <c r="AH766" s="186">
        <v>0</v>
      </c>
      <c r="AI766" s="186">
        <v>0</v>
      </c>
      <c r="AJ766" s="186">
        <v>0</v>
      </c>
      <c r="AK766" s="187">
        <v>0</v>
      </c>
      <c r="AL766" s="187">
        <v>0</v>
      </c>
      <c r="AM766" s="17">
        <f t="shared" si="70"/>
        <v>0</v>
      </c>
      <c r="AN766" s="184" t="s">
        <v>63</v>
      </c>
      <c r="AO766" s="168" t="s">
        <v>2510</v>
      </c>
      <c r="AP766" s="184" t="s">
        <v>119</v>
      </c>
    </row>
    <row r="767" spans="1:42" s="184" customFormat="1" hidden="1" x14ac:dyDescent="0.3">
      <c r="A767" s="183" t="s">
        <v>1453</v>
      </c>
      <c r="B767" s="184" t="s">
        <v>2496</v>
      </c>
      <c r="C767" s="183" t="s">
        <v>2498</v>
      </c>
      <c r="D767" s="184" t="s">
        <v>2499</v>
      </c>
      <c r="E767" s="183" t="s">
        <v>2926</v>
      </c>
      <c r="F767" s="184" t="s">
        <v>2927</v>
      </c>
      <c r="G767" s="195" t="s">
        <v>2947</v>
      </c>
      <c r="H767" s="184" t="s">
        <v>2948</v>
      </c>
      <c r="I767" s="196" t="s">
        <v>2949</v>
      </c>
      <c r="J767" s="184" t="s">
        <v>2950</v>
      </c>
      <c r="K767" s="183" t="s">
        <v>2951</v>
      </c>
      <c r="L767" s="184" t="s">
        <v>2952</v>
      </c>
      <c r="M767" s="184" t="s">
        <v>2968</v>
      </c>
      <c r="N767" s="189"/>
      <c r="O767" s="189" t="s">
        <v>271</v>
      </c>
      <c r="P767" s="189" t="s">
        <v>271</v>
      </c>
      <c r="Q767" s="189" t="s">
        <v>271</v>
      </c>
      <c r="R767" s="189">
        <v>1</v>
      </c>
      <c r="S767" s="189" t="s">
        <v>271</v>
      </c>
      <c r="T767" s="184" t="s">
        <v>2535</v>
      </c>
      <c r="U767" s="283" t="s">
        <v>2510</v>
      </c>
      <c r="V767" s="184" t="s">
        <v>2969</v>
      </c>
      <c r="W767" s="184">
        <v>1</v>
      </c>
      <c r="X767" s="184">
        <v>1</v>
      </c>
      <c r="Y767" s="184">
        <v>0</v>
      </c>
      <c r="Z767" s="184">
        <v>0</v>
      </c>
      <c r="AA767" s="184">
        <v>0</v>
      </c>
      <c r="AB767" s="184">
        <v>1</v>
      </c>
      <c r="AC767" s="316">
        <v>0</v>
      </c>
      <c r="AD767" s="316">
        <v>1</v>
      </c>
      <c r="AE767" s="302">
        <f t="shared" si="69"/>
        <v>0.5</v>
      </c>
      <c r="AF767" s="186"/>
      <c r="AG767" s="17">
        <v>0</v>
      </c>
      <c r="AH767" s="186">
        <v>0</v>
      </c>
      <c r="AI767" s="186" t="s">
        <v>271</v>
      </c>
      <c r="AJ767" s="186" t="s">
        <v>271</v>
      </c>
      <c r="AK767" s="187" t="s">
        <v>271</v>
      </c>
      <c r="AL767" s="187" t="s">
        <v>271</v>
      </c>
      <c r="AM767" s="17">
        <f t="shared" si="70"/>
        <v>0</v>
      </c>
      <c r="AN767" s="184" t="s">
        <v>63</v>
      </c>
      <c r="AO767" s="168" t="s">
        <v>2510</v>
      </c>
      <c r="AP767" s="184" t="s">
        <v>119</v>
      </c>
    </row>
    <row r="768" spans="1:42" s="184" customFormat="1" x14ac:dyDescent="0.3">
      <c r="A768" s="183" t="s">
        <v>1453</v>
      </c>
      <c r="B768" s="184" t="s">
        <v>2496</v>
      </c>
      <c r="C768" s="183" t="s">
        <v>2498</v>
      </c>
      <c r="D768" s="184" t="s">
        <v>2499</v>
      </c>
      <c r="E768" s="183" t="s">
        <v>2926</v>
      </c>
      <c r="F768" s="184" t="s">
        <v>2927</v>
      </c>
      <c r="G768" s="195" t="s">
        <v>2947</v>
      </c>
      <c r="H768" s="184" t="s">
        <v>2948</v>
      </c>
      <c r="I768" s="196" t="s">
        <v>2970</v>
      </c>
      <c r="J768" s="184" t="s">
        <v>2971</v>
      </c>
      <c r="K768" s="183" t="s">
        <v>2972</v>
      </c>
      <c r="L768" s="184" t="s">
        <v>2973</v>
      </c>
      <c r="M768" s="184" t="s">
        <v>2974</v>
      </c>
      <c r="N768" s="189"/>
      <c r="O768" s="189">
        <v>480</v>
      </c>
      <c r="P768" s="189">
        <v>600</v>
      </c>
      <c r="Q768" s="189">
        <v>600</v>
      </c>
      <c r="R768" s="189">
        <v>600</v>
      </c>
      <c r="S768" s="189">
        <v>600</v>
      </c>
      <c r="T768" s="184" t="s">
        <v>2535</v>
      </c>
      <c r="U768" s="283" t="s">
        <v>2510</v>
      </c>
      <c r="V768" s="184" t="s">
        <v>2975</v>
      </c>
      <c r="W768" s="184">
        <v>1</v>
      </c>
      <c r="X768" s="184">
        <v>1</v>
      </c>
      <c r="Y768" s="184">
        <v>1</v>
      </c>
      <c r="Z768" s="184">
        <v>1</v>
      </c>
      <c r="AA768" s="184">
        <v>1</v>
      </c>
      <c r="AB768" s="184">
        <v>1</v>
      </c>
      <c r="AC768" s="316">
        <v>1</v>
      </c>
      <c r="AD768" s="316">
        <v>1</v>
      </c>
      <c r="AE768" s="302">
        <f t="shared" si="69"/>
        <v>1</v>
      </c>
      <c r="AF768" s="186"/>
      <c r="AG768" s="17">
        <v>0</v>
      </c>
      <c r="AH768" s="186">
        <v>0</v>
      </c>
      <c r="AI768" s="186">
        <v>3</v>
      </c>
      <c r="AJ768" s="186">
        <v>0</v>
      </c>
      <c r="AK768" s="187">
        <v>3</v>
      </c>
      <c r="AL768" s="187">
        <v>3</v>
      </c>
      <c r="AM768" s="17">
        <f t="shared" si="70"/>
        <v>6</v>
      </c>
      <c r="AN768" s="184" t="s">
        <v>63</v>
      </c>
      <c r="AO768" s="168" t="s">
        <v>2510</v>
      </c>
      <c r="AP768" s="184" t="s">
        <v>255</v>
      </c>
    </row>
    <row r="769" spans="1:42" s="184" customFormat="1" x14ac:dyDescent="0.3">
      <c r="A769" s="183" t="s">
        <v>1453</v>
      </c>
      <c r="B769" s="184" t="s">
        <v>2496</v>
      </c>
      <c r="C769" s="183" t="s">
        <v>2498</v>
      </c>
      <c r="D769" s="184" t="s">
        <v>2499</v>
      </c>
      <c r="E769" s="183" t="s">
        <v>2926</v>
      </c>
      <c r="F769" s="184" t="s">
        <v>2927</v>
      </c>
      <c r="G769" s="195" t="s">
        <v>2947</v>
      </c>
      <c r="H769" s="184" t="s">
        <v>2948</v>
      </c>
      <c r="I769" s="196" t="s">
        <v>2970</v>
      </c>
      <c r="J769" s="184" t="s">
        <v>2971</v>
      </c>
      <c r="K769" s="183" t="s">
        <v>2972</v>
      </c>
      <c r="L769" s="184" t="s">
        <v>2976</v>
      </c>
      <c r="M769" s="184" t="s">
        <v>2977</v>
      </c>
      <c r="N769" s="189"/>
      <c r="O769" s="189" t="s">
        <v>271</v>
      </c>
      <c r="P769" s="189">
        <v>50</v>
      </c>
      <c r="Q769" s="189">
        <v>50</v>
      </c>
      <c r="R769" s="189">
        <v>75</v>
      </c>
      <c r="S769" s="189">
        <v>75</v>
      </c>
      <c r="T769" s="184" t="s">
        <v>63</v>
      </c>
      <c r="U769" s="283" t="s">
        <v>2510</v>
      </c>
      <c r="V769" s="184" t="s">
        <v>2978</v>
      </c>
      <c r="W769" s="184">
        <v>1</v>
      </c>
      <c r="X769" s="184">
        <v>1</v>
      </c>
      <c r="Y769" s="184">
        <v>1</v>
      </c>
      <c r="Z769" s="184">
        <v>1</v>
      </c>
      <c r="AA769" s="184">
        <v>1</v>
      </c>
      <c r="AB769" s="184">
        <v>1</v>
      </c>
      <c r="AC769" s="316">
        <v>1</v>
      </c>
      <c r="AD769" s="316">
        <v>1</v>
      </c>
      <c r="AE769" s="302">
        <f t="shared" si="69"/>
        <v>1</v>
      </c>
      <c r="AF769" s="186"/>
      <c r="AG769" s="17">
        <v>0</v>
      </c>
      <c r="AH769" s="186">
        <v>0</v>
      </c>
      <c r="AI769" s="186">
        <v>0.2</v>
      </c>
      <c r="AJ769" s="186">
        <v>0.2</v>
      </c>
      <c r="AK769" s="187">
        <v>0.25</v>
      </c>
      <c r="AL769" s="187">
        <v>0.25</v>
      </c>
      <c r="AM769" s="17">
        <f t="shared" si="70"/>
        <v>0.5</v>
      </c>
      <c r="AN769" s="184" t="s">
        <v>63</v>
      </c>
      <c r="AO769" s="168" t="s">
        <v>2510</v>
      </c>
      <c r="AP769" s="184" t="s">
        <v>119</v>
      </c>
    </row>
    <row r="770" spans="1:42" s="184" customFormat="1" hidden="1" x14ac:dyDescent="0.3">
      <c r="A770" s="183" t="s">
        <v>1453</v>
      </c>
      <c r="B770" s="184" t="s">
        <v>2496</v>
      </c>
      <c r="C770" s="183" t="s">
        <v>2498</v>
      </c>
      <c r="D770" s="184" t="s">
        <v>2499</v>
      </c>
      <c r="E770" s="183" t="s">
        <v>2926</v>
      </c>
      <c r="F770" s="184" t="s">
        <v>2927</v>
      </c>
      <c r="G770" s="183" t="s">
        <v>2979</v>
      </c>
      <c r="H770" s="184" t="s">
        <v>2980</v>
      </c>
      <c r="K770" s="183" t="s">
        <v>2981</v>
      </c>
      <c r="L770" s="184" t="s">
        <v>2982</v>
      </c>
      <c r="M770" s="184" t="s">
        <v>2983</v>
      </c>
      <c r="N770" s="185"/>
      <c r="O770" s="185"/>
      <c r="P770" s="185"/>
      <c r="Q770" s="197">
        <v>1</v>
      </c>
      <c r="R770" s="185"/>
      <c r="S770" s="185" t="s">
        <v>271</v>
      </c>
      <c r="T770" s="184" t="s">
        <v>63</v>
      </c>
      <c r="U770" s="283" t="s">
        <v>2510</v>
      </c>
      <c r="V770" s="184" t="s">
        <v>2984</v>
      </c>
      <c r="W770" s="184">
        <v>1</v>
      </c>
      <c r="X770" s="184">
        <v>0</v>
      </c>
      <c r="Y770" s="184">
        <v>0</v>
      </c>
      <c r="Z770" s="184">
        <v>1</v>
      </c>
      <c r="AA770" s="184">
        <v>1</v>
      </c>
      <c r="AB770" s="184">
        <v>1</v>
      </c>
      <c r="AC770" s="316">
        <v>0</v>
      </c>
      <c r="AD770" s="316">
        <v>1</v>
      </c>
      <c r="AE770" s="302">
        <f t="shared" si="69"/>
        <v>0.625</v>
      </c>
      <c r="AF770" s="186"/>
      <c r="AG770" s="17">
        <v>0</v>
      </c>
      <c r="AH770" s="186">
        <v>0</v>
      </c>
      <c r="AI770" s="186">
        <v>0</v>
      </c>
      <c r="AJ770" s="186">
        <v>0</v>
      </c>
      <c r="AK770" s="187">
        <v>0</v>
      </c>
      <c r="AL770" s="187">
        <v>10</v>
      </c>
      <c r="AM770" s="17">
        <f t="shared" si="70"/>
        <v>10</v>
      </c>
      <c r="AN770" s="184" t="s">
        <v>63</v>
      </c>
      <c r="AO770" s="168" t="s">
        <v>2510</v>
      </c>
      <c r="AP770" s="184" t="s">
        <v>119</v>
      </c>
    </row>
    <row r="771" spans="1:42" s="184" customFormat="1" x14ac:dyDescent="0.3">
      <c r="A771" s="183" t="s">
        <v>1453</v>
      </c>
      <c r="B771" s="184" t="s">
        <v>2496</v>
      </c>
      <c r="C771" s="183" t="s">
        <v>2498</v>
      </c>
      <c r="D771" s="184" t="s">
        <v>2499</v>
      </c>
      <c r="E771" s="183" t="s">
        <v>2926</v>
      </c>
      <c r="F771" s="184" t="s">
        <v>2927</v>
      </c>
      <c r="G771" s="183" t="s">
        <v>2979</v>
      </c>
      <c r="H771" s="184" t="s">
        <v>2980</v>
      </c>
      <c r="I771" s="188"/>
      <c r="J771" s="188"/>
      <c r="K771" s="183" t="s">
        <v>2981</v>
      </c>
      <c r="L771" s="184" t="s">
        <v>2982</v>
      </c>
      <c r="M771" s="184" t="s">
        <v>2985</v>
      </c>
      <c r="N771" s="189"/>
      <c r="O771" s="189"/>
      <c r="P771" s="189">
        <v>1</v>
      </c>
      <c r="Q771" s="189">
        <v>1</v>
      </c>
      <c r="R771" s="189">
        <v>1</v>
      </c>
      <c r="S771" s="189" t="s">
        <v>271</v>
      </c>
      <c r="T771" s="184" t="s">
        <v>63</v>
      </c>
      <c r="U771" s="283" t="s">
        <v>2510</v>
      </c>
      <c r="V771" s="184" t="s">
        <v>2986</v>
      </c>
      <c r="W771" s="184">
        <v>1</v>
      </c>
      <c r="X771" s="184">
        <v>1</v>
      </c>
      <c r="Y771" s="184">
        <v>0</v>
      </c>
      <c r="Z771" s="184">
        <v>1</v>
      </c>
      <c r="AA771" s="184">
        <v>1</v>
      </c>
      <c r="AB771" s="184">
        <v>1</v>
      </c>
      <c r="AC771" s="316">
        <v>0</v>
      </c>
      <c r="AD771" s="316">
        <v>1</v>
      </c>
      <c r="AE771" s="302">
        <f t="shared" si="69"/>
        <v>0.75</v>
      </c>
      <c r="AF771" s="186"/>
      <c r="AG771" s="17">
        <v>0</v>
      </c>
      <c r="AH771" s="186">
        <v>0</v>
      </c>
      <c r="AI771" s="186">
        <v>0</v>
      </c>
      <c r="AJ771" s="186">
        <v>0</v>
      </c>
      <c r="AK771" s="187">
        <v>4</v>
      </c>
      <c r="AL771" s="187">
        <v>4</v>
      </c>
      <c r="AM771" s="17">
        <f t="shared" si="70"/>
        <v>8</v>
      </c>
      <c r="AN771" s="184" t="s">
        <v>63</v>
      </c>
      <c r="AO771" s="168" t="s">
        <v>2510</v>
      </c>
      <c r="AP771" s="184" t="s">
        <v>119</v>
      </c>
    </row>
    <row r="772" spans="1:42" s="184" customFormat="1" x14ac:dyDescent="0.3">
      <c r="A772" s="183" t="s">
        <v>1453</v>
      </c>
      <c r="B772" s="184" t="s">
        <v>2496</v>
      </c>
      <c r="C772" s="183" t="s">
        <v>2498</v>
      </c>
      <c r="D772" s="184" t="s">
        <v>2499</v>
      </c>
      <c r="E772" s="183" t="s">
        <v>2926</v>
      </c>
      <c r="F772" s="184" t="s">
        <v>2927</v>
      </c>
      <c r="G772" s="183" t="s">
        <v>2979</v>
      </c>
      <c r="H772" s="184" t="s">
        <v>2980</v>
      </c>
      <c r="I772" s="188"/>
      <c r="J772" s="188"/>
      <c r="K772" s="183" t="s">
        <v>2981</v>
      </c>
      <c r="L772" s="184" t="s">
        <v>2982</v>
      </c>
      <c r="M772" s="184" t="s">
        <v>2987</v>
      </c>
      <c r="N772" s="189">
        <v>3</v>
      </c>
      <c r="O772" s="189">
        <v>10</v>
      </c>
      <c r="P772" s="189">
        <v>13</v>
      </c>
      <c r="Q772" s="189">
        <v>19</v>
      </c>
      <c r="R772" s="189">
        <v>21</v>
      </c>
      <c r="S772" s="189">
        <v>26</v>
      </c>
      <c r="T772" s="184" t="s">
        <v>2528</v>
      </c>
      <c r="U772" s="283" t="s">
        <v>2530</v>
      </c>
      <c r="V772" s="184" t="s">
        <v>2988</v>
      </c>
      <c r="W772" s="184">
        <v>1</v>
      </c>
      <c r="X772" s="184">
        <v>1</v>
      </c>
      <c r="Y772" s="184">
        <v>0</v>
      </c>
      <c r="Z772" s="184">
        <v>1</v>
      </c>
      <c r="AA772" s="184">
        <v>1</v>
      </c>
      <c r="AB772" s="184">
        <v>1</v>
      </c>
      <c r="AC772" s="316">
        <v>0</v>
      </c>
      <c r="AD772" s="316">
        <v>1</v>
      </c>
      <c r="AE772" s="302">
        <f t="shared" si="69"/>
        <v>0.75</v>
      </c>
      <c r="AF772" s="186"/>
      <c r="AG772" s="17">
        <v>0</v>
      </c>
      <c r="AH772" s="186">
        <v>0</v>
      </c>
      <c r="AI772" s="186">
        <v>0</v>
      </c>
      <c r="AJ772" s="186">
        <v>6</v>
      </c>
      <c r="AK772" s="187">
        <v>0</v>
      </c>
      <c r="AL772" s="187">
        <v>0</v>
      </c>
      <c r="AM772" s="17">
        <f t="shared" si="70"/>
        <v>0</v>
      </c>
      <c r="AN772" s="184" t="s">
        <v>2528</v>
      </c>
      <c r="AO772" s="168" t="s">
        <v>2530</v>
      </c>
      <c r="AP772" s="184" t="s">
        <v>119</v>
      </c>
    </row>
    <row r="773" spans="1:42" s="184" customFormat="1" x14ac:dyDescent="0.3">
      <c r="A773" s="183" t="s">
        <v>1453</v>
      </c>
      <c r="B773" s="184" t="s">
        <v>2496</v>
      </c>
      <c r="C773" s="183" t="s">
        <v>2498</v>
      </c>
      <c r="D773" s="184" t="s">
        <v>2499</v>
      </c>
      <c r="E773" s="183" t="s">
        <v>2926</v>
      </c>
      <c r="F773" s="184" t="s">
        <v>2927</v>
      </c>
      <c r="G773" s="183" t="s">
        <v>2979</v>
      </c>
      <c r="H773" s="184" t="s">
        <v>2980</v>
      </c>
      <c r="I773" s="188"/>
      <c r="J773" s="188"/>
      <c r="K773" s="183" t="s">
        <v>2981</v>
      </c>
      <c r="L773" s="184" t="s">
        <v>2982</v>
      </c>
      <c r="M773" s="184" t="s">
        <v>2989</v>
      </c>
      <c r="N773" s="189" t="s">
        <v>271</v>
      </c>
      <c r="O773" s="189" t="s">
        <v>271</v>
      </c>
      <c r="P773" s="189">
        <v>2</v>
      </c>
      <c r="Q773" s="189">
        <v>3</v>
      </c>
      <c r="R773" s="189">
        <v>5</v>
      </c>
      <c r="S773" s="189">
        <v>5</v>
      </c>
      <c r="T773" s="184" t="s">
        <v>63</v>
      </c>
      <c r="U773" s="283" t="s">
        <v>2510</v>
      </c>
      <c r="V773" s="184" t="s">
        <v>2990</v>
      </c>
      <c r="W773" s="184">
        <v>1</v>
      </c>
      <c r="X773" s="184">
        <v>1</v>
      </c>
      <c r="Y773" s="184">
        <v>0</v>
      </c>
      <c r="Z773" s="184">
        <v>1</v>
      </c>
      <c r="AA773" s="184">
        <v>1</v>
      </c>
      <c r="AB773" s="184">
        <v>1</v>
      </c>
      <c r="AC773" s="316">
        <v>0</v>
      </c>
      <c r="AD773" s="316">
        <v>1</v>
      </c>
      <c r="AE773" s="302">
        <f t="shared" si="69"/>
        <v>0.75</v>
      </c>
      <c r="AF773" s="186"/>
      <c r="AG773" s="17">
        <v>0</v>
      </c>
      <c r="AH773" s="186">
        <v>0</v>
      </c>
      <c r="AI773" s="186">
        <v>0</v>
      </c>
      <c r="AJ773" s="186">
        <v>5</v>
      </c>
      <c r="AK773" s="187">
        <v>0</v>
      </c>
      <c r="AL773" s="187">
        <v>0</v>
      </c>
      <c r="AM773" s="17">
        <f t="shared" si="70"/>
        <v>0</v>
      </c>
      <c r="AN773" s="184" t="s">
        <v>63</v>
      </c>
      <c r="AO773" s="168" t="s">
        <v>2510</v>
      </c>
      <c r="AP773" s="184" t="s">
        <v>119</v>
      </c>
    </row>
    <row r="774" spans="1:42" s="184" customFormat="1" x14ac:dyDescent="0.3">
      <c r="A774" s="183" t="s">
        <v>1453</v>
      </c>
      <c r="B774" s="184" t="s">
        <v>2496</v>
      </c>
      <c r="C774" s="183" t="s">
        <v>2498</v>
      </c>
      <c r="D774" s="184" t="s">
        <v>2499</v>
      </c>
      <c r="E774" s="183" t="s">
        <v>2926</v>
      </c>
      <c r="F774" s="184" t="s">
        <v>2927</v>
      </c>
      <c r="G774" s="183" t="s">
        <v>2979</v>
      </c>
      <c r="H774" s="184" t="s">
        <v>2980</v>
      </c>
      <c r="I774" s="188"/>
      <c r="J774" s="188"/>
      <c r="K774" s="183" t="s">
        <v>2981</v>
      </c>
      <c r="L774" s="184" t="s">
        <v>2982</v>
      </c>
      <c r="M774" s="184" t="s">
        <v>2991</v>
      </c>
      <c r="N774" s="189">
        <v>0</v>
      </c>
      <c r="O774" s="189">
        <v>1</v>
      </c>
      <c r="P774" s="189">
        <v>0</v>
      </c>
      <c r="Q774" s="189">
        <v>0</v>
      </c>
      <c r="R774" s="189">
        <v>1</v>
      </c>
      <c r="S774" s="189">
        <v>0</v>
      </c>
      <c r="T774" s="184" t="s">
        <v>2661</v>
      </c>
      <c r="U774" s="283" t="e">
        <v>#N/A</v>
      </c>
      <c r="V774" s="184" t="s">
        <v>2992</v>
      </c>
      <c r="W774" s="184">
        <v>1</v>
      </c>
      <c r="X774" s="184">
        <v>0</v>
      </c>
      <c r="Y774" s="184">
        <v>1</v>
      </c>
      <c r="Z774" s="184">
        <v>1</v>
      </c>
      <c r="AA774" s="184">
        <v>1</v>
      </c>
      <c r="AB774" s="184">
        <v>1</v>
      </c>
      <c r="AC774" s="316">
        <v>1</v>
      </c>
      <c r="AD774" s="316">
        <v>1</v>
      </c>
      <c r="AE774" s="302">
        <f t="shared" si="69"/>
        <v>0.875</v>
      </c>
      <c r="AF774" s="186"/>
      <c r="AG774" s="17">
        <v>0</v>
      </c>
      <c r="AH774" s="186">
        <v>0</v>
      </c>
      <c r="AI774" s="186">
        <v>0</v>
      </c>
      <c r="AJ774" s="186" t="s">
        <v>271</v>
      </c>
      <c r="AK774" s="187">
        <v>0</v>
      </c>
      <c r="AL774" s="187">
        <v>0</v>
      </c>
      <c r="AM774" s="17">
        <f t="shared" si="70"/>
        <v>0</v>
      </c>
      <c r="AN774" s="184" t="s">
        <v>63</v>
      </c>
      <c r="AO774" s="168" t="s">
        <v>2510</v>
      </c>
      <c r="AP774" s="184" t="s">
        <v>119</v>
      </c>
    </row>
    <row r="775" spans="1:42" s="184" customFormat="1" x14ac:dyDescent="0.3">
      <c r="A775" s="183" t="s">
        <v>1453</v>
      </c>
      <c r="B775" s="184" t="s">
        <v>2496</v>
      </c>
      <c r="C775" s="183" t="s">
        <v>2498</v>
      </c>
      <c r="D775" s="184" t="s">
        <v>2499</v>
      </c>
      <c r="E775" s="183" t="s">
        <v>2926</v>
      </c>
      <c r="F775" s="184" t="s">
        <v>2927</v>
      </c>
      <c r="G775" s="183" t="s">
        <v>2979</v>
      </c>
      <c r="H775" s="184" t="s">
        <v>2980</v>
      </c>
      <c r="K775" s="183" t="s">
        <v>2993</v>
      </c>
      <c r="L775" s="184" t="s">
        <v>2994</v>
      </c>
      <c r="M775" s="184" t="s">
        <v>2995</v>
      </c>
      <c r="N775" s="185"/>
      <c r="O775" s="185">
        <v>3</v>
      </c>
      <c r="P775" s="185">
        <v>1</v>
      </c>
      <c r="Q775" s="185">
        <v>1</v>
      </c>
      <c r="R775" s="185">
        <v>1</v>
      </c>
      <c r="S775" s="185">
        <v>1</v>
      </c>
      <c r="T775" s="184" t="s">
        <v>63</v>
      </c>
      <c r="U775" s="283" t="s">
        <v>2510</v>
      </c>
      <c r="V775" s="184" t="s">
        <v>2996</v>
      </c>
      <c r="W775" s="184">
        <v>1</v>
      </c>
      <c r="X775" s="184">
        <v>1</v>
      </c>
      <c r="Y775" s="184">
        <v>0</v>
      </c>
      <c r="Z775" s="184">
        <v>1</v>
      </c>
      <c r="AA775" s="184">
        <v>1</v>
      </c>
      <c r="AB775" s="184">
        <v>1</v>
      </c>
      <c r="AC775" s="316">
        <v>0</v>
      </c>
      <c r="AD775" s="316">
        <v>1</v>
      </c>
      <c r="AE775" s="302">
        <f t="shared" si="69"/>
        <v>0.75</v>
      </c>
      <c r="AF775" s="186"/>
      <c r="AG775" s="17">
        <v>0</v>
      </c>
      <c r="AH775" s="186">
        <v>0</v>
      </c>
      <c r="AI775" s="186">
        <v>0</v>
      </c>
      <c r="AJ775" s="186">
        <v>6</v>
      </c>
      <c r="AK775" s="187">
        <v>1</v>
      </c>
      <c r="AL775" s="187">
        <v>1</v>
      </c>
      <c r="AM775" s="17">
        <f t="shared" si="70"/>
        <v>2</v>
      </c>
      <c r="AN775" s="184" t="s">
        <v>63</v>
      </c>
      <c r="AO775" s="168" t="s">
        <v>2510</v>
      </c>
      <c r="AP775" s="184" t="s">
        <v>119</v>
      </c>
    </row>
    <row r="776" spans="1:42" s="184" customFormat="1" x14ac:dyDescent="0.3">
      <c r="A776" s="183" t="s">
        <v>1453</v>
      </c>
      <c r="B776" s="184" t="s">
        <v>2496</v>
      </c>
      <c r="C776" s="183" t="s">
        <v>2498</v>
      </c>
      <c r="D776" s="184" t="s">
        <v>2499</v>
      </c>
      <c r="E776" s="183" t="s">
        <v>2926</v>
      </c>
      <c r="F776" s="184" t="s">
        <v>2927</v>
      </c>
      <c r="G776" s="183" t="s">
        <v>2979</v>
      </c>
      <c r="H776" s="184" t="s">
        <v>2980</v>
      </c>
      <c r="J776" s="188"/>
      <c r="K776" s="183" t="s">
        <v>2993</v>
      </c>
      <c r="L776" s="184" t="s">
        <v>2994</v>
      </c>
      <c r="M776" s="184" t="s">
        <v>2997</v>
      </c>
      <c r="N776" s="189">
        <v>0</v>
      </c>
      <c r="O776" s="189">
        <v>1</v>
      </c>
      <c r="P776" s="189">
        <v>0</v>
      </c>
      <c r="Q776" s="189">
        <v>1</v>
      </c>
      <c r="R776" s="189">
        <v>0</v>
      </c>
      <c r="S776" s="189">
        <v>1</v>
      </c>
      <c r="T776" s="184" t="s">
        <v>2507</v>
      </c>
      <c r="U776" s="283" t="e">
        <v>#N/A</v>
      </c>
      <c r="V776" s="184" t="s">
        <v>2998</v>
      </c>
      <c r="W776" s="184">
        <v>1</v>
      </c>
      <c r="X776" s="184">
        <v>1</v>
      </c>
      <c r="Y776" s="184">
        <v>0</v>
      </c>
      <c r="Z776" s="184">
        <v>1</v>
      </c>
      <c r="AA776" s="184">
        <v>1</v>
      </c>
      <c r="AB776" s="184">
        <v>1</v>
      </c>
      <c r="AC776" s="316">
        <v>0</v>
      </c>
      <c r="AD776" s="316">
        <v>1</v>
      </c>
      <c r="AE776" s="302">
        <f t="shared" si="69"/>
        <v>0.75</v>
      </c>
      <c r="AF776" s="186"/>
      <c r="AG776" s="17">
        <v>0</v>
      </c>
      <c r="AH776" s="186">
        <v>0</v>
      </c>
      <c r="AI776" s="186" t="s">
        <v>271</v>
      </c>
      <c r="AJ776" s="186">
        <v>0</v>
      </c>
      <c r="AK776" s="187">
        <v>1</v>
      </c>
      <c r="AL776" s="187">
        <v>1</v>
      </c>
      <c r="AM776" s="17">
        <f t="shared" si="70"/>
        <v>2</v>
      </c>
      <c r="AN776" s="184" t="s">
        <v>63</v>
      </c>
      <c r="AO776" s="168" t="s">
        <v>2510</v>
      </c>
      <c r="AP776" s="184" t="s">
        <v>119</v>
      </c>
    </row>
    <row r="777" spans="1:42" s="184" customFormat="1" x14ac:dyDescent="0.3">
      <c r="A777" s="183" t="s">
        <v>1453</v>
      </c>
      <c r="B777" s="184" t="s">
        <v>2496</v>
      </c>
      <c r="C777" s="183" t="s">
        <v>2498</v>
      </c>
      <c r="D777" s="184" t="s">
        <v>2499</v>
      </c>
      <c r="E777" s="183" t="s">
        <v>2926</v>
      </c>
      <c r="F777" s="184" t="s">
        <v>2927</v>
      </c>
      <c r="G777" s="183" t="s">
        <v>2979</v>
      </c>
      <c r="H777" s="184" t="s">
        <v>2980</v>
      </c>
      <c r="J777" s="188"/>
      <c r="K777" s="183" t="s">
        <v>2993</v>
      </c>
      <c r="L777" s="184" t="s">
        <v>2994</v>
      </c>
      <c r="M777" s="184" t="s">
        <v>2999</v>
      </c>
      <c r="N777" s="189">
        <v>0</v>
      </c>
      <c r="O777" s="189">
        <v>1</v>
      </c>
      <c r="P777" s="189">
        <v>1</v>
      </c>
      <c r="Q777" s="189">
        <v>1</v>
      </c>
      <c r="R777" s="189">
        <v>1</v>
      </c>
      <c r="S777" s="189">
        <v>1</v>
      </c>
      <c r="T777" s="184" t="s">
        <v>2661</v>
      </c>
      <c r="U777" s="283" t="e">
        <v>#N/A</v>
      </c>
      <c r="V777" s="184" t="s">
        <v>3000</v>
      </c>
      <c r="W777" s="184">
        <v>1</v>
      </c>
      <c r="X777" s="184">
        <v>1</v>
      </c>
      <c r="Y777" s="184">
        <v>0</v>
      </c>
      <c r="Z777" s="184">
        <v>1</v>
      </c>
      <c r="AA777" s="184">
        <v>1</v>
      </c>
      <c r="AB777" s="184">
        <v>1</v>
      </c>
      <c r="AC777" s="316">
        <v>0</v>
      </c>
      <c r="AD777" s="316">
        <v>1</v>
      </c>
      <c r="AE777" s="302">
        <f t="shared" si="69"/>
        <v>0.75</v>
      </c>
      <c r="AF777" s="186"/>
      <c r="AG777" s="17">
        <v>0</v>
      </c>
      <c r="AH777" s="186" t="s">
        <v>271</v>
      </c>
      <c r="AI777" s="186" t="s">
        <v>271</v>
      </c>
      <c r="AJ777" s="186" t="s">
        <v>271</v>
      </c>
      <c r="AK777" s="187">
        <v>1</v>
      </c>
      <c r="AL777" s="187">
        <v>1</v>
      </c>
      <c r="AM777" s="17">
        <f t="shared" si="70"/>
        <v>2</v>
      </c>
      <c r="AN777" s="184" t="s">
        <v>63</v>
      </c>
      <c r="AO777" s="168" t="s">
        <v>2510</v>
      </c>
      <c r="AP777" s="184" t="s">
        <v>119</v>
      </c>
    </row>
    <row r="778" spans="1:42" s="184" customFormat="1" x14ac:dyDescent="0.3">
      <c r="A778" s="183" t="s">
        <v>1453</v>
      </c>
      <c r="B778" s="184" t="s">
        <v>2496</v>
      </c>
      <c r="C778" s="183" t="s">
        <v>2498</v>
      </c>
      <c r="D778" s="184" t="s">
        <v>2499</v>
      </c>
      <c r="E778" s="183" t="s">
        <v>2926</v>
      </c>
      <c r="F778" s="184" t="s">
        <v>2927</v>
      </c>
      <c r="G778" s="183" t="s">
        <v>2979</v>
      </c>
      <c r="H778" s="184" t="s">
        <v>2980</v>
      </c>
      <c r="J778" s="188"/>
      <c r="K778" s="183" t="s">
        <v>2993</v>
      </c>
      <c r="L778" s="184" t="s">
        <v>2994</v>
      </c>
      <c r="M778" s="184" t="s">
        <v>3001</v>
      </c>
      <c r="N778" s="189"/>
      <c r="O778" s="189" t="s">
        <v>271</v>
      </c>
      <c r="P778" s="189">
        <v>0.3</v>
      </c>
      <c r="Q778" s="189">
        <v>0.3</v>
      </c>
      <c r="R778" s="189">
        <v>0.4</v>
      </c>
      <c r="S778" s="189" t="s">
        <v>271</v>
      </c>
      <c r="T778" s="184" t="s">
        <v>63</v>
      </c>
      <c r="U778" s="283" t="s">
        <v>2510</v>
      </c>
      <c r="V778" s="184" t="s">
        <v>3002</v>
      </c>
      <c r="W778" s="184">
        <v>1</v>
      </c>
      <c r="X778" s="184">
        <v>1</v>
      </c>
      <c r="Y778" s="184">
        <v>0</v>
      </c>
      <c r="Z778" s="184">
        <v>1</v>
      </c>
      <c r="AA778" s="184">
        <v>1</v>
      </c>
      <c r="AB778" s="184">
        <v>1</v>
      </c>
      <c r="AC778" s="316">
        <v>0</v>
      </c>
      <c r="AD778" s="316">
        <v>1</v>
      </c>
      <c r="AE778" s="302">
        <f t="shared" si="69"/>
        <v>0.75</v>
      </c>
      <c r="AF778" s="186"/>
      <c r="AG778" s="17">
        <v>0</v>
      </c>
      <c r="AH778" s="186">
        <v>0</v>
      </c>
      <c r="AI778" s="186">
        <v>1</v>
      </c>
      <c r="AJ778" s="186">
        <v>0</v>
      </c>
      <c r="AK778" s="187">
        <v>0</v>
      </c>
      <c r="AL778" s="187">
        <v>0</v>
      </c>
      <c r="AM778" s="17">
        <f t="shared" si="70"/>
        <v>0</v>
      </c>
      <c r="AN778" s="184" t="s">
        <v>63</v>
      </c>
      <c r="AO778" s="168" t="s">
        <v>2510</v>
      </c>
      <c r="AP778" s="184" t="s">
        <v>119</v>
      </c>
    </row>
    <row r="779" spans="1:42" s="184" customFormat="1" x14ac:dyDescent="0.3">
      <c r="A779" s="183" t="s">
        <v>1453</v>
      </c>
      <c r="B779" s="184" t="s">
        <v>2496</v>
      </c>
      <c r="C779" s="183" t="s">
        <v>3003</v>
      </c>
      <c r="D779" s="184" t="s">
        <v>3004</v>
      </c>
      <c r="E779" s="183" t="s">
        <v>3005</v>
      </c>
      <c r="F779" s="184" t="s">
        <v>3006</v>
      </c>
      <c r="G779" s="183" t="s">
        <v>3007</v>
      </c>
      <c r="H779" s="184" t="s">
        <v>3008</v>
      </c>
      <c r="J779" s="188"/>
      <c r="K779" s="183" t="s">
        <v>3009</v>
      </c>
      <c r="L779" s="184" t="s">
        <v>3010</v>
      </c>
      <c r="M779" s="184" t="s">
        <v>3011</v>
      </c>
      <c r="N779" s="189">
        <v>4</v>
      </c>
      <c r="O779" s="189">
        <v>1</v>
      </c>
      <c r="P779" s="189">
        <v>2</v>
      </c>
      <c r="Q779" s="189">
        <v>1</v>
      </c>
      <c r="R779" s="189">
        <v>1</v>
      </c>
      <c r="S779" s="189">
        <v>1</v>
      </c>
      <c r="T779" s="184" t="s">
        <v>63</v>
      </c>
      <c r="U779" s="283" t="s">
        <v>2510</v>
      </c>
      <c r="V779" s="184" t="s">
        <v>3012</v>
      </c>
      <c r="W779" s="184">
        <v>1</v>
      </c>
      <c r="X779" s="184">
        <v>1</v>
      </c>
      <c r="Y779" s="184">
        <v>0</v>
      </c>
      <c r="Z779" s="184">
        <v>1</v>
      </c>
      <c r="AA779" s="184">
        <v>1</v>
      </c>
      <c r="AB779" s="184">
        <v>1</v>
      </c>
      <c r="AC779" s="316">
        <v>0</v>
      </c>
      <c r="AD779" s="316">
        <v>1</v>
      </c>
      <c r="AE779" s="302">
        <f t="shared" si="69"/>
        <v>0.75</v>
      </c>
      <c r="AF779" s="186"/>
      <c r="AG779" s="17">
        <v>0</v>
      </c>
      <c r="AH779" s="186">
        <v>0.3</v>
      </c>
      <c r="AI779" s="186">
        <v>0.15</v>
      </c>
      <c r="AJ779" s="186">
        <v>0.15</v>
      </c>
      <c r="AK779" s="187">
        <v>0.16</v>
      </c>
      <c r="AL779" s="187">
        <v>0.2</v>
      </c>
      <c r="AM779" s="17">
        <f t="shared" si="70"/>
        <v>0.36</v>
      </c>
      <c r="AN779" s="184" t="s">
        <v>63</v>
      </c>
      <c r="AO779" s="168" t="s">
        <v>2510</v>
      </c>
      <c r="AP779" s="184" t="s">
        <v>119</v>
      </c>
    </row>
    <row r="780" spans="1:42" s="184" customFormat="1" x14ac:dyDescent="0.3">
      <c r="A780" s="183" t="s">
        <v>1453</v>
      </c>
      <c r="B780" s="184" t="s">
        <v>2496</v>
      </c>
      <c r="C780" s="183" t="s">
        <v>3003</v>
      </c>
      <c r="D780" s="184" t="s">
        <v>3004</v>
      </c>
      <c r="E780" s="183" t="s">
        <v>3005</v>
      </c>
      <c r="F780" s="184" t="s">
        <v>3006</v>
      </c>
      <c r="G780" s="183" t="s">
        <v>3007</v>
      </c>
      <c r="H780" s="184" t="s">
        <v>3008</v>
      </c>
      <c r="I780" s="188"/>
      <c r="J780" s="188"/>
      <c r="K780" s="183" t="s">
        <v>3013</v>
      </c>
      <c r="L780" s="184" t="s">
        <v>3014</v>
      </c>
      <c r="M780" s="184" t="s">
        <v>3015</v>
      </c>
      <c r="N780" s="189"/>
      <c r="O780" s="189">
        <v>3</v>
      </c>
      <c r="P780" s="189">
        <v>2</v>
      </c>
      <c r="Q780" s="189">
        <v>2</v>
      </c>
      <c r="R780" s="189">
        <v>2</v>
      </c>
      <c r="S780" s="189">
        <v>4</v>
      </c>
      <c r="T780" s="184" t="s">
        <v>63</v>
      </c>
      <c r="U780" s="283" t="s">
        <v>2510</v>
      </c>
      <c r="V780" s="184" t="s">
        <v>3016</v>
      </c>
      <c r="W780" s="184">
        <v>1</v>
      </c>
      <c r="X780" s="184">
        <v>1</v>
      </c>
      <c r="Y780" s="184">
        <v>0</v>
      </c>
      <c r="Z780" s="184">
        <v>1</v>
      </c>
      <c r="AA780" s="184">
        <v>1</v>
      </c>
      <c r="AB780" s="184">
        <v>1</v>
      </c>
      <c r="AC780" s="316">
        <v>0</v>
      </c>
      <c r="AD780" s="316">
        <v>1</v>
      </c>
      <c r="AE780" s="302">
        <f t="shared" si="69"/>
        <v>0.75</v>
      </c>
      <c r="AF780" s="186"/>
      <c r="AG780" s="17">
        <v>0</v>
      </c>
      <c r="AH780" s="186">
        <v>0</v>
      </c>
      <c r="AI780" s="186">
        <v>0</v>
      </c>
      <c r="AJ780" s="186">
        <v>0</v>
      </c>
      <c r="AK780" s="187">
        <v>0</v>
      </c>
      <c r="AL780" s="187">
        <v>3.5</v>
      </c>
      <c r="AM780" s="17">
        <f t="shared" si="70"/>
        <v>3.5</v>
      </c>
      <c r="AN780" s="184" t="s">
        <v>63</v>
      </c>
      <c r="AO780" s="168" t="s">
        <v>2510</v>
      </c>
      <c r="AP780" s="184" t="s">
        <v>119</v>
      </c>
    </row>
    <row r="781" spans="1:42" s="184" customFormat="1" x14ac:dyDescent="0.3">
      <c r="A781" s="183" t="s">
        <v>1453</v>
      </c>
      <c r="B781" s="184" t="s">
        <v>2496</v>
      </c>
      <c r="C781" s="183" t="s">
        <v>3003</v>
      </c>
      <c r="D781" s="184" t="s">
        <v>3004</v>
      </c>
      <c r="E781" s="183" t="s">
        <v>3005</v>
      </c>
      <c r="F781" s="184" t="s">
        <v>3006</v>
      </c>
      <c r="G781" s="183" t="s">
        <v>3007</v>
      </c>
      <c r="H781" s="184" t="s">
        <v>3008</v>
      </c>
      <c r="K781" s="183" t="s">
        <v>3013</v>
      </c>
      <c r="L781" s="184" t="s">
        <v>3014</v>
      </c>
      <c r="M781" s="184" t="s">
        <v>3017</v>
      </c>
      <c r="N781" s="185"/>
      <c r="O781" s="185">
        <v>2</v>
      </c>
      <c r="P781" s="185" t="s">
        <v>271</v>
      </c>
      <c r="Q781" s="185" t="s">
        <v>271</v>
      </c>
      <c r="R781" s="185" t="s">
        <v>271</v>
      </c>
      <c r="S781" s="185">
        <v>1</v>
      </c>
      <c r="T781" s="184" t="s">
        <v>2528</v>
      </c>
      <c r="U781" s="283" t="s">
        <v>2530</v>
      </c>
      <c r="V781" s="184" t="s">
        <v>3016</v>
      </c>
      <c r="W781" s="184">
        <v>1</v>
      </c>
      <c r="X781" s="184">
        <v>1</v>
      </c>
      <c r="Y781" s="184">
        <v>0</v>
      </c>
      <c r="Z781" s="184">
        <v>1</v>
      </c>
      <c r="AA781" s="184">
        <v>1</v>
      </c>
      <c r="AB781" s="184">
        <v>1</v>
      </c>
      <c r="AC781" s="316">
        <v>0</v>
      </c>
      <c r="AD781" s="316">
        <v>1</v>
      </c>
      <c r="AE781" s="302">
        <f t="shared" si="69"/>
        <v>0.75</v>
      </c>
      <c r="AF781" s="186"/>
      <c r="AG781" s="17">
        <v>0</v>
      </c>
      <c r="AH781" s="186">
        <v>0.7</v>
      </c>
      <c r="AI781" s="186" t="s">
        <v>271</v>
      </c>
      <c r="AJ781" s="186" t="s">
        <v>271</v>
      </c>
      <c r="AK781" s="187" t="s">
        <v>271</v>
      </c>
      <c r="AL781" s="187">
        <v>0.3</v>
      </c>
      <c r="AM781" s="17">
        <f t="shared" si="70"/>
        <v>0.3</v>
      </c>
      <c r="AN781" s="184" t="s">
        <v>2528</v>
      </c>
      <c r="AO781" s="168" t="s">
        <v>2530</v>
      </c>
      <c r="AP781" s="184" t="s">
        <v>119</v>
      </c>
    </row>
    <row r="782" spans="1:42" s="184" customFormat="1" x14ac:dyDescent="0.3">
      <c r="A782" s="183" t="s">
        <v>1453</v>
      </c>
      <c r="B782" s="184" t="s">
        <v>2496</v>
      </c>
      <c r="C782" s="183" t="s">
        <v>3003</v>
      </c>
      <c r="D782" s="184" t="s">
        <v>3004</v>
      </c>
      <c r="E782" s="183" t="s">
        <v>3005</v>
      </c>
      <c r="F782" s="184" t="s">
        <v>3006</v>
      </c>
      <c r="G782" s="183" t="s">
        <v>3007</v>
      </c>
      <c r="H782" s="184" t="s">
        <v>3008</v>
      </c>
      <c r="J782" s="188"/>
      <c r="K782" s="183" t="s">
        <v>3013</v>
      </c>
      <c r="L782" s="184" t="s">
        <v>3014</v>
      </c>
      <c r="M782" s="184" t="s">
        <v>3018</v>
      </c>
      <c r="N782" s="189"/>
      <c r="O782" s="189">
        <v>1</v>
      </c>
      <c r="P782" s="189" t="s">
        <v>271</v>
      </c>
      <c r="Q782" s="189" t="s">
        <v>271</v>
      </c>
      <c r="R782" s="189" t="s">
        <v>271</v>
      </c>
      <c r="S782" s="189">
        <v>1</v>
      </c>
      <c r="T782" s="184" t="s">
        <v>2507</v>
      </c>
      <c r="U782" s="283" t="e">
        <v>#N/A</v>
      </c>
      <c r="V782" s="184" t="s">
        <v>3016</v>
      </c>
      <c r="W782" s="184">
        <v>1</v>
      </c>
      <c r="X782" s="184">
        <v>1</v>
      </c>
      <c r="Y782" s="184">
        <v>0</v>
      </c>
      <c r="Z782" s="184">
        <v>1</v>
      </c>
      <c r="AA782" s="184">
        <v>1</v>
      </c>
      <c r="AB782" s="184">
        <v>1</v>
      </c>
      <c r="AC782" s="316">
        <v>0</v>
      </c>
      <c r="AD782" s="316">
        <v>1</v>
      </c>
      <c r="AE782" s="302">
        <f t="shared" si="69"/>
        <v>0.75</v>
      </c>
      <c r="AF782" s="186"/>
      <c r="AG782" s="17">
        <v>0</v>
      </c>
      <c r="AH782" s="186">
        <v>0.3</v>
      </c>
      <c r="AI782" s="186" t="s">
        <v>271</v>
      </c>
      <c r="AJ782" s="186" t="s">
        <v>271</v>
      </c>
      <c r="AK782" s="187" t="s">
        <v>271</v>
      </c>
      <c r="AL782" s="187">
        <v>0.3</v>
      </c>
      <c r="AM782" s="17">
        <f t="shared" si="70"/>
        <v>0.3</v>
      </c>
      <c r="AN782" s="184" t="s">
        <v>2509</v>
      </c>
      <c r="AO782" s="168" t="s">
        <v>2510</v>
      </c>
      <c r="AP782" s="184" t="s">
        <v>119</v>
      </c>
    </row>
    <row r="783" spans="1:42" s="184" customFormat="1" x14ac:dyDescent="0.3">
      <c r="A783" s="183" t="s">
        <v>1453</v>
      </c>
      <c r="B783" s="184" t="s">
        <v>2496</v>
      </c>
      <c r="C783" s="183" t="s">
        <v>3003</v>
      </c>
      <c r="D783" s="184" t="s">
        <v>3004</v>
      </c>
      <c r="E783" s="183" t="s">
        <v>3005</v>
      </c>
      <c r="F783" s="184" t="s">
        <v>3006</v>
      </c>
      <c r="G783" s="183" t="s">
        <v>3007</v>
      </c>
      <c r="H783" s="184" t="s">
        <v>3008</v>
      </c>
      <c r="J783" s="188"/>
      <c r="K783" s="183" t="s">
        <v>3013</v>
      </c>
      <c r="L783" s="184" t="s">
        <v>3014</v>
      </c>
      <c r="M783" s="184" t="s">
        <v>3019</v>
      </c>
      <c r="N783" s="189"/>
      <c r="O783" s="189">
        <v>1</v>
      </c>
      <c r="P783" s="189" t="s">
        <v>271</v>
      </c>
      <c r="Q783" s="189" t="s">
        <v>271</v>
      </c>
      <c r="R783" s="189" t="s">
        <v>271</v>
      </c>
      <c r="S783" s="189">
        <v>1</v>
      </c>
      <c r="T783" s="184" t="s">
        <v>2815</v>
      </c>
      <c r="U783" s="283" t="s">
        <v>2817</v>
      </c>
      <c r="V783" s="184" t="s">
        <v>3016</v>
      </c>
      <c r="W783" s="184">
        <v>1</v>
      </c>
      <c r="X783" s="184">
        <v>1</v>
      </c>
      <c r="Y783" s="184">
        <v>0</v>
      </c>
      <c r="Z783" s="184">
        <v>1</v>
      </c>
      <c r="AA783" s="184">
        <v>1</v>
      </c>
      <c r="AB783" s="184">
        <v>1</v>
      </c>
      <c r="AC783" s="316">
        <v>0</v>
      </c>
      <c r="AD783" s="316">
        <v>1</v>
      </c>
      <c r="AE783" s="302">
        <f t="shared" si="69"/>
        <v>0.75</v>
      </c>
      <c r="AF783" s="186"/>
      <c r="AG783" s="17">
        <v>0</v>
      </c>
      <c r="AH783" s="186">
        <v>0.3</v>
      </c>
      <c r="AI783" s="186" t="s">
        <v>271</v>
      </c>
      <c r="AJ783" s="186" t="s">
        <v>271</v>
      </c>
      <c r="AK783" s="187" t="s">
        <v>271</v>
      </c>
      <c r="AL783" s="187">
        <v>0.3</v>
      </c>
      <c r="AM783" s="17">
        <f t="shared" si="70"/>
        <v>0.3</v>
      </c>
      <c r="AN783" s="184" t="s">
        <v>2815</v>
      </c>
      <c r="AO783" s="168" t="s">
        <v>2817</v>
      </c>
      <c r="AP783" s="184" t="s">
        <v>119</v>
      </c>
    </row>
    <row r="784" spans="1:42" s="184" customFormat="1" x14ac:dyDescent="0.3">
      <c r="A784" s="183" t="s">
        <v>1453</v>
      </c>
      <c r="B784" s="184" t="s">
        <v>2496</v>
      </c>
      <c r="C784" s="183" t="s">
        <v>3003</v>
      </c>
      <c r="D784" s="184" t="s">
        <v>3004</v>
      </c>
      <c r="E784" s="183" t="s">
        <v>3005</v>
      </c>
      <c r="F784" s="184" t="s">
        <v>3006</v>
      </c>
      <c r="G784" s="183" t="s">
        <v>3007</v>
      </c>
      <c r="H784" s="184" t="s">
        <v>3008</v>
      </c>
      <c r="J784" s="188"/>
      <c r="K784" s="183" t="s">
        <v>3013</v>
      </c>
      <c r="L784" s="184" t="s">
        <v>3014</v>
      </c>
      <c r="M784" s="184" t="s">
        <v>3020</v>
      </c>
      <c r="N784" s="189"/>
      <c r="O784" s="189">
        <v>1</v>
      </c>
      <c r="P784" s="189" t="s">
        <v>271</v>
      </c>
      <c r="Q784" s="189" t="s">
        <v>271</v>
      </c>
      <c r="R784" s="189" t="s">
        <v>271</v>
      </c>
      <c r="S784" s="189">
        <v>1</v>
      </c>
      <c r="T784" s="184" t="s">
        <v>2518</v>
      </c>
      <c r="U784" s="283" t="e">
        <v>#N/A</v>
      </c>
      <c r="V784" s="184" t="s">
        <v>3016</v>
      </c>
      <c r="W784" s="184">
        <v>1</v>
      </c>
      <c r="X784" s="184">
        <v>1</v>
      </c>
      <c r="Y784" s="184">
        <v>0</v>
      </c>
      <c r="Z784" s="184">
        <v>1</v>
      </c>
      <c r="AA784" s="184">
        <v>1</v>
      </c>
      <c r="AB784" s="184">
        <v>1</v>
      </c>
      <c r="AC784" s="316">
        <v>0</v>
      </c>
      <c r="AD784" s="316">
        <v>1</v>
      </c>
      <c r="AE784" s="302">
        <f t="shared" si="69"/>
        <v>0.75</v>
      </c>
      <c r="AF784" s="186"/>
      <c r="AG784" s="17">
        <v>0</v>
      </c>
      <c r="AH784" s="186">
        <v>0.3</v>
      </c>
      <c r="AI784" s="186" t="s">
        <v>271</v>
      </c>
      <c r="AJ784" s="186" t="s">
        <v>271</v>
      </c>
      <c r="AK784" s="187" t="s">
        <v>271</v>
      </c>
      <c r="AL784" s="187">
        <v>0.3</v>
      </c>
      <c r="AM784" s="17">
        <f t="shared" si="70"/>
        <v>0.3</v>
      </c>
      <c r="AN784" s="184" t="s">
        <v>2520</v>
      </c>
      <c r="AO784" s="168" t="s">
        <v>2510</v>
      </c>
      <c r="AP784" s="186" t="s">
        <v>2514</v>
      </c>
    </row>
    <row r="785" spans="1:42" s="184" customFormat="1" x14ac:dyDescent="0.3">
      <c r="A785" s="183" t="s">
        <v>1453</v>
      </c>
      <c r="B785" s="184" t="s">
        <v>2496</v>
      </c>
      <c r="C785" s="183" t="s">
        <v>3003</v>
      </c>
      <c r="D785" s="184" t="s">
        <v>3004</v>
      </c>
      <c r="E785" s="183" t="s">
        <v>3005</v>
      </c>
      <c r="F785" s="184" t="s">
        <v>3006</v>
      </c>
      <c r="G785" s="183" t="s">
        <v>3007</v>
      </c>
      <c r="H785" s="184" t="s">
        <v>3008</v>
      </c>
      <c r="J785" s="188"/>
      <c r="K785" s="183" t="s">
        <v>3013</v>
      </c>
      <c r="L785" s="184" t="s">
        <v>3014</v>
      </c>
      <c r="M785" s="184" t="s">
        <v>3021</v>
      </c>
      <c r="N785" s="189"/>
      <c r="O785" s="189">
        <v>1</v>
      </c>
      <c r="P785" s="189" t="s">
        <v>271</v>
      </c>
      <c r="Q785" s="189" t="s">
        <v>271</v>
      </c>
      <c r="R785" s="189" t="s">
        <v>271</v>
      </c>
      <c r="S785" s="189">
        <v>1</v>
      </c>
      <c r="T785" s="184" t="s">
        <v>2571</v>
      </c>
      <c r="U785" s="283" t="s">
        <v>2573</v>
      </c>
      <c r="V785" s="184" t="s">
        <v>3016</v>
      </c>
      <c r="W785" s="184">
        <v>1</v>
      </c>
      <c r="X785" s="184">
        <v>1</v>
      </c>
      <c r="Y785" s="184">
        <v>0</v>
      </c>
      <c r="Z785" s="184">
        <v>1</v>
      </c>
      <c r="AA785" s="184">
        <v>1</v>
      </c>
      <c r="AB785" s="184">
        <v>1</v>
      </c>
      <c r="AC785" s="316">
        <v>0</v>
      </c>
      <c r="AD785" s="316">
        <v>1</v>
      </c>
      <c r="AE785" s="302">
        <f t="shared" si="69"/>
        <v>0.75</v>
      </c>
      <c r="AF785" s="186"/>
      <c r="AG785" s="17">
        <v>0</v>
      </c>
      <c r="AH785" s="186">
        <v>0.3</v>
      </c>
      <c r="AI785" s="186" t="s">
        <v>271</v>
      </c>
      <c r="AJ785" s="186" t="s">
        <v>271</v>
      </c>
      <c r="AK785" s="187" t="s">
        <v>271</v>
      </c>
      <c r="AL785" s="187">
        <v>0.3</v>
      </c>
      <c r="AM785" s="17">
        <f t="shared" si="70"/>
        <v>0.3</v>
      </c>
      <c r="AN785" s="184" t="s">
        <v>2571</v>
      </c>
      <c r="AO785" s="168" t="s">
        <v>2573</v>
      </c>
      <c r="AP785" s="186" t="s">
        <v>2514</v>
      </c>
    </row>
    <row r="786" spans="1:42" s="184" customFormat="1" x14ac:dyDescent="0.3">
      <c r="A786" s="183" t="s">
        <v>1453</v>
      </c>
      <c r="B786" s="184" t="s">
        <v>2496</v>
      </c>
      <c r="C786" s="183" t="s">
        <v>3003</v>
      </c>
      <c r="D786" s="184" t="s">
        <v>3004</v>
      </c>
      <c r="E786" s="183" t="s">
        <v>3005</v>
      </c>
      <c r="F786" s="184" t="s">
        <v>3006</v>
      </c>
      <c r="G786" s="183" t="s">
        <v>3007</v>
      </c>
      <c r="H786" s="184" t="s">
        <v>3008</v>
      </c>
      <c r="J786" s="188"/>
      <c r="K786" s="183" t="s">
        <v>3013</v>
      </c>
      <c r="L786" s="184" t="s">
        <v>3014</v>
      </c>
      <c r="M786" s="184" t="s">
        <v>3022</v>
      </c>
      <c r="N786" s="189"/>
      <c r="O786" s="189">
        <v>1</v>
      </c>
      <c r="P786" s="189" t="s">
        <v>271</v>
      </c>
      <c r="Q786" s="189" t="s">
        <v>271</v>
      </c>
      <c r="R786" s="189" t="s">
        <v>271</v>
      </c>
      <c r="S786" s="189">
        <v>1</v>
      </c>
      <c r="T786" s="184" t="s">
        <v>2889</v>
      </c>
      <c r="U786" s="283" t="e">
        <v>#N/A</v>
      </c>
      <c r="V786" s="184" t="s">
        <v>3016</v>
      </c>
      <c r="W786" s="184">
        <v>1</v>
      </c>
      <c r="X786" s="184">
        <v>1</v>
      </c>
      <c r="Y786" s="184">
        <v>0</v>
      </c>
      <c r="Z786" s="184">
        <v>1</v>
      </c>
      <c r="AA786" s="184">
        <v>1</v>
      </c>
      <c r="AB786" s="184">
        <v>1</v>
      </c>
      <c r="AC786" s="316">
        <v>0</v>
      </c>
      <c r="AD786" s="316">
        <v>1</v>
      </c>
      <c r="AE786" s="302">
        <f t="shared" si="69"/>
        <v>0.75</v>
      </c>
      <c r="AF786" s="186"/>
      <c r="AG786" s="17">
        <v>0</v>
      </c>
      <c r="AH786" s="186">
        <v>0.3</v>
      </c>
      <c r="AI786" s="186" t="s">
        <v>271</v>
      </c>
      <c r="AJ786" s="186" t="s">
        <v>271</v>
      </c>
      <c r="AK786" s="187" t="s">
        <v>271</v>
      </c>
      <c r="AL786" s="187">
        <v>0.3</v>
      </c>
      <c r="AM786" s="17">
        <f t="shared" si="70"/>
        <v>0.3</v>
      </c>
      <c r="AN786" s="184" t="s">
        <v>2641</v>
      </c>
      <c r="AO786" s="168" t="s">
        <v>2510</v>
      </c>
      <c r="AP786" s="184" t="s">
        <v>119</v>
      </c>
    </row>
    <row r="787" spans="1:42" s="184" customFormat="1" x14ac:dyDescent="0.3">
      <c r="A787" s="183" t="s">
        <v>1453</v>
      </c>
      <c r="B787" s="184" t="s">
        <v>2496</v>
      </c>
      <c r="C787" s="183" t="s">
        <v>3003</v>
      </c>
      <c r="D787" s="184" t="s">
        <v>3004</v>
      </c>
      <c r="E787" s="183" t="s">
        <v>3005</v>
      </c>
      <c r="F787" s="184" t="s">
        <v>3006</v>
      </c>
      <c r="G787" s="183" t="s">
        <v>3007</v>
      </c>
      <c r="H787" s="184" t="s">
        <v>3008</v>
      </c>
      <c r="J787" s="188"/>
      <c r="K787" s="183" t="s">
        <v>3023</v>
      </c>
      <c r="L787" s="184" t="s">
        <v>3024</v>
      </c>
      <c r="M787" s="184" t="s">
        <v>3025</v>
      </c>
      <c r="N787" s="189"/>
      <c r="O787" s="189">
        <v>2</v>
      </c>
      <c r="P787" s="189">
        <v>5</v>
      </c>
      <c r="Q787" s="189">
        <v>5</v>
      </c>
      <c r="R787" s="189">
        <v>1</v>
      </c>
      <c r="S787" s="189">
        <v>1</v>
      </c>
      <c r="T787" s="184" t="s">
        <v>63</v>
      </c>
      <c r="U787" s="283" t="s">
        <v>2510</v>
      </c>
      <c r="V787" s="184" t="s">
        <v>3026</v>
      </c>
      <c r="W787" s="184">
        <v>1</v>
      </c>
      <c r="X787" s="184">
        <v>1</v>
      </c>
      <c r="Y787" s="184">
        <v>0</v>
      </c>
      <c r="Z787" s="184">
        <v>1</v>
      </c>
      <c r="AA787" s="184">
        <v>1</v>
      </c>
      <c r="AB787" s="184">
        <v>1</v>
      </c>
      <c r="AC787" s="316">
        <v>0</v>
      </c>
      <c r="AD787" s="316">
        <v>1</v>
      </c>
      <c r="AE787" s="302">
        <f t="shared" si="69"/>
        <v>0.75</v>
      </c>
      <c r="AF787" s="186"/>
      <c r="AG787" s="17">
        <v>0</v>
      </c>
      <c r="AH787" s="186">
        <v>0.5</v>
      </c>
      <c r="AI787" s="186">
        <v>0</v>
      </c>
      <c r="AJ787" s="186">
        <v>0</v>
      </c>
      <c r="AK787" s="187">
        <v>0</v>
      </c>
      <c r="AL787" s="187">
        <v>0.6</v>
      </c>
      <c r="AM787" s="17">
        <f t="shared" si="70"/>
        <v>0.6</v>
      </c>
      <c r="AN787" s="184" t="s">
        <v>63</v>
      </c>
      <c r="AO787" s="168" t="s">
        <v>2510</v>
      </c>
      <c r="AP787" s="184" t="s">
        <v>119</v>
      </c>
    </row>
    <row r="788" spans="1:42" s="184" customFormat="1" x14ac:dyDescent="0.3">
      <c r="A788" s="183" t="s">
        <v>1453</v>
      </c>
      <c r="B788" s="184" t="s">
        <v>2496</v>
      </c>
      <c r="C788" s="183" t="s">
        <v>3003</v>
      </c>
      <c r="D788" s="184" t="s">
        <v>3004</v>
      </c>
      <c r="E788" s="183" t="s">
        <v>3005</v>
      </c>
      <c r="F788" s="184" t="s">
        <v>3006</v>
      </c>
      <c r="G788" s="183" t="s">
        <v>3007</v>
      </c>
      <c r="H788" s="184" t="s">
        <v>3008</v>
      </c>
      <c r="J788" s="188"/>
      <c r="K788" s="183" t="s">
        <v>3027</v>
      </c>
      <c r="L788" s="184" t="s">
        <v>3028</v>
      </c>
      <c r="M788" s="184" t="s">
        <v>3029</v>
      </c>
      <c r="N788" s="189"/>
      <c r="O788" s="189">
        <v>0</v>
      </c>
      <c r="P788" s="189">
        <v>2</v>
      </c>
      <c r="Q788" s="189">
        <v>3</v>
      </c>
      <c r="R788" s="189">
        <v>2</v>
      </c>
      <c r="S788" s="189" t="s">
        <v>271</v>
      </c>
      <c r="T788" s="184" t="s">
        <v>63</v>
      </c>
      <c r="U788" s="283" t="s">
        <v>2510</v>
      </c>
      <c r="V788" s="184" t="s">
        <v>3030</v>
      </c>
      <c r="W788" s="184">
        <v>1</v>
      </c>
      <c r="X788" s="184">
        <v>1</v>
      </c>
      <c r="Y788" s="184">
        <v>0</v>
      </c>
      <c r="Z788" s="184">
        <v>1</v>
      </c>
      <c r="AA788" s="184">
        <v>1</v>
      </c>
      <c r="AB788" s="184">
        <v>1</v>
      </c>
      <c r="AC788" s="316">
        <v>0</v>
      </c>
      <c r="AD788" s="316">
        <v>1</v>
      </c>
      <c r="AE788" s="302">
        <f t="shared" si="69"/>
        <v>0.75</v>
      </c>
      <c r="AF788" s="186"/>
      <c r="AG788" s="17">
        <v>0</v>
      </c>
      <c r="AH788" s="186">
        <v>0</v>
      </c>
      <c r="AI788" s="186">
        <v>0</v>
      </c>
      <c r="AJ788" s="186">
        <v>6</v>
      </c>
      <c r="AK788" s="187">
        <v>0</v>
      </c>
      <c r="AL788" s="187">
        <v>1</v>
      </c>
      <c r="AM788" s="17">
        <f t="shared" si="70"/>
        <v>1</v>
      </c>
      <c r="AN788" s="184" t="s">
        <v>63</v>
      </c>
      <c r="AO788" s="168" t="s">
        <v>2510</v>
      </c>
      <c r="AP788" s="184" t="s">
        <v>119</v>
      </c>
    </row>
    <row r="789" spans="1:42" s="184" customFormat="1" x14ac:dyDescent="0.3">
      <c r="A789" s="183" t="s">
        <v>1453</v>
      </c>
      <c r="B789" s="184" t="s">
        <v>2496</v>
      </c>
      <c r="C789" s="183" t="s">
        <v>3003</v>
      </c>
      <c r="D789" s="184" t="s">
        <v>3004</v>
      </c>
      <c r="E789" s="183" t="s">
        <v>3005</v>
      </c>
      <c r="F789" s="184" t="s">
        <v>3006</v>
      </c>
      <c r="G789" s="183" t="s">
        <v>3031</v>
      </c>
      <c r="H789" s="184" t="s">
        <v>3032</v>
      </c>
      <c r="J789" s="188"/>
      <c r="K789" s="183" t="s">
        <v>3033</v>
      </c>
      <c r="L789" s="184" t="s">
        <v>3034</v>
      </c>
      <c r="M789" s="184" t="s">
        <v>3035</v>
      </c>
      <c r="N789" s="189">
        <v>20000</v>
      </c>
      <c r="O789" s="189">
        <v>22000</v>
      </c>
      <c r="P789" s="189">
        <v>25000</v>
      </c>
      <c r="Q789" s="189">
        <v>28000</v>
      </c>
      <c r="R789" s="189">
        <v>30000</v>
      </c>
      <c r="S789" s="189">
        <v>35000</v>
      </c>
      <c r="T789" s="184" t="s">
        <v>63</v>
      </c>
      <c r="U789" s="283" t="s">
        <v>2510</v>
      </c>
      <c r="V789" s="184" t="s">
        <v>3036</v>
      </c>
      <c r="W789" s="184">
        <v>1</v>
      </c>
      <c r="X789" s="184">
        <v>1</v>
      </c>
      <c r="Y789" s="184">
        <v>1</v>
      </c>
      <c r="Z789" s="184">
        <v>1</v>
      </c>
      <c r="AA789" s="184">
        <v>1</v>
      </c>
      <c r="AB789" s="184">
        <v>1</v>
      </c>
      <c r="AC789" s="316">
        <v>0</v>
      </c>
      <c r="AD789" s="316">
        <v>1</v>
      </c>
      <c r="AE789" s="302">
        <f t="shared" si="69"/>
        <v>0.875</v>
      </c>
      <c r="AF789" s="186"/>
      <c r="AG789" s="17">
        <v>0</v>
      </c>
      <c r="AH789" s="186">
        <v>0.1</v>
      </c>
      <c r="AI789" s="186">
        <v>0.1</v>
      </c>
      <c r="AJ789" s="186">
        <v>0.15</v>
      </c>
      <c r="AK789" s="187">
        <v>0.16</v>
      </c>
      <c r="AL789" s="187">
        <v>0.17</v>
      </c>
      <c r="AM789" s="17">
        <f t="shared" si="70"/>
        <v>0.33</v>
      </c>
      <c r="AN789" s="184" t="s">
        <v>63</v>
      </c>
      <c r="AO789" s="168" t="s">
        <v>2510</v>
      </c>
      <c r="AP789" s="184" t="s">
        <v>119</v>
      </c>
    </row>
    <row r="790" spans="1:42" s="184" customFormat="1" x14ac:dyDescent="0.3">
      <c r="A790" s="183" t="s">
        <v>1453</v>
      </c>
      <c r="B790" s="184" t="s">
        <v>2496</v>
      </c>
      <c r="C790" s="183" t="s">
        <v>3003</v>
      </c>
      <c r="D790" s="184" t="s">
        <v>3004</v>
      </c>
      <c r="E790" s="183" t="s">
        <v>3005</v>
      </c>
      <c r="F790" s="184" t="s">
        <v>3006</v>
      </c>
      <c r="G790" s="183" t="s">
        <v>3031</v>
      </c>
      <c r="H790" s="184" t="s">
        <v>3032</v>
      </c>
      <c r="J790" s="188"/>
      <c r="K790" s="183" t="s">
        <v>3033</v>
      </c>
      <c r="L790" s="184" t="s">
        <v>3034</v>
      </c>
      <c r="M790" s="184" t="s">
        <v>3037</v>
      </c>
      <c r="N790" s="189" t="s">
        <v>271</v>
      </c>
      <c r="O790" s="189">
        <v>300</v>
      </c>
      <c r="P790" s="189">
        <v>5000</v>
      </c>
      <c r="Q790" s="189">
        <v>10000</v>
      </c>
      <c r="R790" s="189">
        <v>15000</v>
      </c>
      <c r="S790" s="189">
        <v>20000</v>
      </c>
      <c r="T790" s="184" t="s">
        <v>63</v>
      </c>
      <c r="U790" s="283" t="s">
        <v>2510</v>
      </c>
      <c r="V790" s="184" t="s">
        <v>3038</v>
      </c>
      <c r="W790" s="184">
        <v>1</v>
      </c>
      <c r="X790" s="184">
        <v>1</v>
      </c>
      <c r="Y790" s="184">
        <v>1</v>
      </c>
      <c r="Z790" s="184">
        <v>1</v>
      </c>
      <c r="AA790" s="184">
        <v>1</v>
      </c>
      <c r="AB790" s="184">
        <v>1</v>
      </c>
      <c r="AC790" s="316">
        <v>0</v>
      </c>
      <c r="AD790" s="316">
        <v>1</v>
      </c>
      <c r="AE790" s="302">
        <f t="shared" si="69"/>
        <v>0.875</v>
      </c>
      <c r="AF790" s="186"/>
      <c r="AG790" s="17">
        <v>0</v>
      </c>
      <c r="AH790" s="186">
        <v>0.15</v>
      </c>
      <c r="AI790" s="186">
        <v>0.16</v>
      </c>
      <c r="AJ790" s="186">
        <v>0.2</v>
      </c>
      <c r="AK790" s="187">
        <v>0.5</v>
      </c>
      <c r="AL790" s="187">
        <v>1.6</v>
      </c>
      <c r="AM790" s="17">
        <f t="shared" si="70"/>
        <v>2.1</v>
      </c>
      <c r="AN790" s="184" t="s">
        <v>63</v>
      </c>
      <c r="AO790" s="168" t="s">
        <v>2510</v>
      </c>
      <c r="AP790" s="184" t="s">
        <v>119</v>
      </c>
    </row>
    <row r="791" spans="1:42" s="184" customFormat="1" x14ac:dyDescent="0.3">
      <c r="A791" s="183" t="s">
        <v>1453</v>
      </c>
      <c r="B791" s="184" t="s">
        <v>2496</v>
      </c>
      <c r="C791" s="183" t="s">
        <v>3003</v>
      </c>
      <c r="D791" s="184" t="s">
        <v>3004</v>
      </c>
      <c r="E791" s="183" t="s">
        <v>3005</v>
      </c>
      <c r="F791" s="184" t="s">
        <v>3006</v>
      </c>
      <c r="G791" s="183" t="s">
        <v>3031</v>
      </c>
      <c r="H791" s="184" t="s">
        <v>3032</v>
      </c>
      <c r="J791" s="188"/>
      <c r="K791" s="183" t="s">
        <v>3033</v>
      </c>
      <c r="L791" s="184" t="s">
        <v>3034</v>
      </c>
      <c r="M791" s="184" t="s">
        <v>3039</v>
      </c>
      <c r="N791" s="189">
        <v>270000</v>
      </c>
      <c r="O791" s="189">
        <v>300000</v>
      </c>
      <c r="P791" s="189">
        <v>305000</v>
      </c>
      <c r="Q791" s="189">
        <v>310000</v>
      </c>
      <c r="R791" s="189">
        <v>315000</v>
      </c>
      <c r="S791" s="189">
        <v>320000</v>
      </c>
      <c r="T791" s="184" t="s">
        <v>63</v>
      </c>
      <c r="U791" s="283" t="s">
        <v>2510</v>
      </c>
      <c r="V791" s="184" t="s">
        <v>3040</v>
      </c>
      <c r="W791" s="184">
        <v>1</v>
      </c>
      <c r="X791" s="184">
        <v>1</v>
      </c>
      <c r="Y791" s="184">
        <v>1</v>
      </c>
      <c r="Z791" s="184">
        <v>1</v>
      </c>
      <c r="AA791" s="184">
        <v>1</v>
      </c>
      <c r="AB791" s="184">
        <v>1</v>
      </c>
      <c r="AC791" s="316">
        <v>0</v>
      </c>
      <c r="AD791" s="316">
        <v>1</v>
      </c>
      <c r="AE791" s="302">
        <f t="shared" si="69"/>
        <v>0.875</v>
      </c>
      <c r="AF791" s="186"/>
      <c r="AG791" s="17">
        <v>0</v>
      </c>
      <c r="AH791" s="186">
        <v>0</v>
      </c>
      <c r="AI791" s="186">
        <v>0</v>
      </c>
      <c r="AJ791" s="186">
        <v>0</v>
      </c>
      <c r="AK791" s="187">
        <v>0</v>
      </c>
      <c r="AL791" s="187">
        <v>0</v>
      </c>
      <c r="AM791" s="17">
        <f t="shared" si="70"/>
        <v>0</v>
      </c>
      <c r="AN791" s="184" t="s">
        <v>63</v>
      </c>
      <c r="AO791" s="168" t="s">
        <v>2510</v>
      </c>
      <c r="AP791" s="184" t="s">
        <v>119</v>
      </c>
    </row>
    <row r="792" spans="1:42" s="184" customFormat="1" x14ac:dyDescent="0.3">
      <c r="A792" s="183" t="s">
        <v>1453</v>
      </c>
      <c r="B792" s="184" t="s">
        <v>2496</v>
      </c>
      <c r="C792" s="183" t="s">
        <v>3003</v>
      </c>
      <c r="D792" s="184" t="s">
        <v>3004</v>
      </c>
      <c r="E792" s="183" t="s">
        <v>3005</v>
      </c>
      <c r="F792" s="184" t="s">
        <v>3006</v>
      </c>
      <c r="G792" s="183" t="s">
        <v>3031</v>
      </c>
      <c r="H792" s="184" t="s">
        <v>3032</v>
      </c>
      <c r="J792" s="188"/>
      <c r="K792" s="183" t="s">
        <v>3033</v>
      </c>
      <c r="L792" s="184" t="s">
        <v>3034</v>
      </c>
      <c r="M792" s="184" t="s">
        <v>3041</v>
      </c>
      <c r="N792" s="189">
        <v>70</v>
      </c>
      <c r="O792" s="189">
        <v>75</v>
      </c>
      <c r="P792" s="189">
        <v>75</v>
      </c>
      <c r="Q792" s="189">
        <v>80</v>
      </c>
      <c r="R792" s="189">
        <v>80</v>
      </c>
      <c r="S792" s="189">
        <v>100</v>
      </c>
      <c r="T792" s="184" t="s">
        <v>63</v>
      </c>
      <c r="U792" s="283" t="s">
        <v>2510</v>
      </c>
      <c r="V792" s="184" t="s">
        <v>3042</v>
      </c>
      <c r="W792" s="184">
        <v>1</v>
      </c>
      <c r="X792" s="184">
        <v>1</v>
      </c>
      <c r="Y792" s="184">
        <v>0</v>
      </c>
      <c r="Z792" s="184">
        <v>1</v>
      </c>
      <c r="AA792" s="184">
        <v>1</v>
      </c>
      <c r="AB792" s="184">
        <v>1</v>
      </c>
      <c r="AC792" s="316">
        <v>0</v>
      </c>
      <c r="AD792" s="316">
        <v>1</v>
      </c>
      <c r="AE792" s="302">
        <f t="shared" si="69"/>
        <v>0.75</v>
      </c>
      <c r="AF792" s="186"/>
      <c r="AG792" s="17">
        <v>0</v>
      </c>
      <c r="AH792" s="186">
        <v>0.1</v>
      </c>
      <c r="AI792" s="186">
        <v>0.1</v>
      </c>
      <c r="AJ792" s="186">
        <v>0.1</v>
      </c>
      <c r="AK792" s="187">
        <v>0.1</v>
      </c>
      <c r="AL792" s="187">
        <v>0.1</v>
      </c>
      <c r="AM792" s="17">
        <f t="shared" si="70"/>
        <v>0.2</v>
      </c>
      <c r="AN792" s="184" t="s">
        <v>63</v>
      </c>
      <c r="AO792" s="168" t="s">
        <v>2510</v>
      </c>
      <c r="AP792" s="184" t="s">
        <v>119</v>
      </c>
    </row>
    <row r="793" spans="1:42" s="184" customFormat="1" x14ac:dyDescent="0.3">
      <c r="A793" s="183" t="s">
        <v>1453</v>
      </c>
      <c r="B793" s="184" t="s">
        <v>2496</v>
      </c>
      <c r="C793" s="183" t="s">
        <v>3003</v>
      </c>
      <c r="D793" s="184" t="s">
        <v>3004</v>
      </c>
      <c r="E793" s="183" t="s">
        <v>3005</v>
      </c>
      <c r="F793" s="184" t="s">
        <v>3006</v>
      </c>
      <c r="G793" s="183" t="s">
        <v>3031</v>
      </c>
      <c r="H793" s="184" t="s">
        <v>3032</v>
      </c>
      <c r="I793" s="188"/>
      <c r="J793" s="188"/>
      <c r="K793" s="183" t="s">
        <v>3033</v>
      </c>
      <c r="L793" s="184" t="s">
        <v>3034</v>
      </c>
      <c r="M793" s="184" t="s">
        <v>3043</v>
      </c>
      <c r="N793" s="189">
        <v>2</v>
      </c>
      <c r="O793" s="189">
        <v>4</v>
      </c>
      <c r="P793" s="189">
        <v>6</v>
      </c>
      <c r="Q793" s="189">
        <v>8</v>
      </c>
      <c r="R793" s="189">
        <v>10</v>
      </c>
      <c r="S793" s="189">
        <v>12</v>
      </c>
      <c r="T793" s="184" t="s">
        <v>63</v>
      </c>
      <c r="U793" s="283" t="s">
        <v>2510</v>
      </c>
      <c r="V793" s="184" t="s">
        <v>3044</v>
      </c>
      <c r="W793" s="184">
        <v>1</v>
      </c>
      <c r="X793" s="184">
        <v>1</v>
      </c>
      <c r="Y793" s="184">
        <v>0</v>
      </c>
      <c r="Z793" s="184">
        <v>1</v>
      </c>
      <c r="AA793" s="184">
        <v>1</v>
      </c>
      <c r="AB793" s="184">
        <v>1</v>
      </c>
      <c r="AC793" s="316">
        <v>0</v>
      </c>
      <c r="AD793" s="316">
        <v>1</v>
      </c>
      <c r="AE793" s="302">
        <f t="shared" si="69"/>
        <v>0.75</v>
      </c>
      <c r="AF793" s="186"/>
      <c r="AG793" s="17">
        <v>0</v>
      </c>
      <c r="AH793" s="186">
        <v>0</v>
      </c>
      <c r="AI793" s="186">
        <v>0.15</v>
      </c>
      <c r="AJ793" s="186">
        <v>0.16</v>
      </c>
      <c r="AK793" s="187">
        <v>0.17</v>
      </c>
      <c r="AL793" s="187">
        <v>0.18</v>
      </c>
      <c r="AM793" s="17">
        <f t="shared" si="70"/>
        <v>0.35</v>
      </c>
      <c r="AN793" s="184" t="s">
        <v>63</v>
      </c>
      <c r="AO793" s="168" t="s">
        <v>2510</v>
      </c>
      <c r="AP793" s="184" t="s">
        <v>119</v>
      </c>
    </row>
    <row r="794" spans="1:42" s="184" customFormat="1" hidden="1" x14ac:dyDescent="0.3">
      <c r="A794" s="183" t="s">
        <v>1453</v>
      </c>
      <c r="B794" s="184" t="s">
        <v>2496</v>
      </c>
      <c r="C794" s="183" t="s">
        <v>3003</v>
      </c>
      <c r="D794" s="184" t="s">
        <v>3004</v>
      </c>
      <c r="E794" s="183" t="s">
        <v>3005</v>
      </c>
      <c r="F794" s="184" t="s">
        <v>3006</v>
      </c>
      <c r="G794" s="183" t="s">
        <v>3031</v>
      </c>
      <c r="H794" s="184" t="s">
        <v>3032</v>
      </c>
      <c r="J794" s="188"/>
      <c r="K794" s="183" t="s">
        <v>3033</v>
      </c>
      <c r="L794" s="184" t="s">
        <v>3034</v>
      </c>
      <c r="M794" s="184" t="s">
        <v>3045</v>
      </c>
      <c r="N794" s="189">
        <v>0</v>
      </c>
      <c r="O794" s="189">
        <v>100</v>
      </c>
      <c r="P794" s="189">
        <v>200</v>
      </c>
      <c r="Q794" s="189">
        <v>300</v>
      </c>
      <c r="R794" s="189">
        <v>400</v>
      </c>
      <c r="S794" s="189">
        <v>500</v>
      </c>
      <c r="T794" s="184" t="s">
        <v>63</v>
      </c>
      <c r="U794" s="283" t="s">
        <v>2510</v>
      </c>
      <c r="V794" s="184" t="s">
        <v>3046</v>
      </c>
      <c r="W794" s="184">
        <v>1</v>
      </c>
      <c r="X794" s="184">
        <v>0</v>
      </c>
      <c r="Y794" s="184">
        <v>0</v>
      </c>
      <c r="Z794" s="184">
        <v>1</v>
      </c>
      <c r="AA794" s="184">
        <v>1</v>
      </c>
      <c r="AB794" s="184">
        <v>1</v>
      </c>
      <c r="AC794" s="316">
        <v>0</v>
      </c>
      <c r="AD794" s="316">
        <v>1</v>
      </c>
      <c r="AE794" s="302">
        <f t="shared" si="69"/>
        <v>0.625</v>
      </c>
      <c r="AF794" s="186"/>
      <c r="AG794" s="17">
        <v>0</v>
      </c>
      <c r="AH794" s="186">
        <v>2.5</v>
      </c>
      <c r="AI794" s="186">
        <v>2.5</v>
      </c>
      <c r="AJ794" s="186">
        <v>2.5</v>
      </c>
      <c r="AK794" s="187">
        <v>2.5</v>
      </c>
      <c r="AL794" s="187">
        <v>2.5</v>
      </c>
      <c r="AM794" s="17">
        <f t="shared" si="70"/>
        <v>5</v>
      </c>
      <c r="AN794" s="184" t="s">
        <v>2528</v>
      </c>
      <c r="AO794" s="168" t="s">
        <v>2530</v>
      </c>
      <c r="AP794" s="184" t="s">
        <v>119</v>
      </c>
    </row>
    <row r="795" spans="1:42" s="184" customFormat="1" x14ac:dyDescent="0.3">
      <c r="A795" s="183" t="s">
        <v>1453</v>
      </c>
      <c r="B795" s="184" t="s">
        <v>2496</v>
      </c>
      <c r="C795" s="183" t="s">
        <v>3003</v>
      </c>
      <c r="D795" s="184" t="s">
        <v>3004</v>
      </c>
      <c r="E795" s="183" t="s">
        <v>3005</v>
      </c>
      <c r="F795" s="184" t="s">
        <v>3006</v>
      </c>
      <c r="G795" s="183" t="s">
        <v>3031</v>
      </c>
      <c r="H795" s="184" t="s">
        <v>3032</v>
      </c>
      <c r="J795" s="188"/>
      <c r="K795" s="183" t="s">
        <v>3033</v>
      </c>
      <c r="L795" s="184" t="s">
        <v>3034</v>
      </c>
      <c r="M795" s="184" t="s">
        <v>3047</v>
      </c>
      <c r="N795" s="189">
        <v>20000</v>
      </c>
      <c r="O795" s="189">
        <v>25000</v>
      </c>
      <c r="P795" s="189">
        <v>28000</v>
      </c>
      <c r="Q795" s="189">
        <v>31000</v>
      </c>
      <c r="R795" s="189">
        <v>34000</v>
      </c>
      <c r="S795" s="189">
        <v>37000</v>
      </c>
      <c r="T795" s="184" t="s">
        <v>63</v>
      </c>
      <c r="U795" s="283" t="s">
        <v>2510</v>
      </c>
      <c r="V795" s="184" t="s">
        <v>3048</v>
      </c>
      <c r="W795" s="184">
        <v>1</v>
      </c>
      <c r="X795" s="184">
        <v>1</v>
      </c>
      <c r="Y795" s="184">
        <v>0</v>
      </c>
      <c r="Z795" s="184">
        <v>1</v>
      </c>
      <c r="AA795" s="184">
        <v>1</v>
      </c>
      <c r="AB795" s="184">
        <v>1</v>
      </c>
      <c r="AC795" s="316">
        <v>0</v>
      </c>
      <c r="AD795" s="316">
        <v>1</v>
      </c>
      <c r="AE795" s="302">
        <f t="shared" si="69"/>
        <v>0.75</v>
      </c>
      <c r="AF795" s="186"/>
      <c r="AG795" s="17">
        <v>0</v>
      </c>
      <c r="AH795" s="186">
        <v>0</v>
      </c>
      <c r="AI795" s="186">
        <v>0</v>
      </c>
      <c r="AJ795" s="186">
        <v>0</v>
      </c>
      <c r="AK795" s="187">
        <v>0</v>
      </c>
      <c r="AL795" s="187">
        <v>0</v>
      </c>
      <c r="AM795" s="17">
        <f t="shared" si="70"/>
        <v>0</v>
      </c>
      <c r="AN795" s="184" t="s">
        <v>63</v>
      </c>
      <c r="AO795" s="168" t="s">
        <v>2510</v>
      </c>
      <c r="AP795" s="184" t="s">
        <v>119</v>
      </c>
    </row>
    <row r="796" spans="1:42" s="184" customFormat="1" x14ac:dyDescent="0.3">
      <c r="A796" s="183" t="s">
        <v>1453</v>
      </c>
      <c r="B796" s="184" t="s">
        <v>2496</v>
      </c>
      <c r="C796" s="183" t="s">
        <v>3003</v>
      </c>
      <c r="D796" s="184" t="s">
        <v>3004</v>
      </c>
      <c r="E796" s="183" t="s">
        <v>3005</v>
      </c>
      <c r="F796" s="184" t="s">
        <v>3006</v>
      </c>
      <c r="G796" s="183" t="s">
        <v>3031</v>
      </c>
      <c r="H796" s="184" t="s">
        <v>3032</v>
      </c>
      <c r="J796" s="188"/>
      <c r="K796" s="183" t="s">
        <v>3033</v>
      </c>
      <c r="L796" s="184" t="s">
        <v>3034</v>
      </c>
      <c r="M796" s="184" t="s">
        <v>3049</v>
      </c>
      <c r="N796" s="189"/>
      <c r="O796" s="189">
        <v>0.15</v>
      </c>
      <c r="P796" s="189">
        <v>0.15</v>
      </c>
      <c r="Q796" s="189">
        <v>0.3</v>
      </c>
      <c r="R796" s="192">
        <v>0.2</v>
      </c>
      <c r="S796" s="189">
        <v>0.2</v>
      </c>
      <c r="T796" s="184" t="s">
        <v>63</v>
      </c>
      <c r="U796" s="283" t="s">
        <v>2510</v>
      </c>
      <c r="V796" s="184" t="s">
        <v>3050</v>
      </c>
      <c r="W796" s="184">
        <v>1</v>
      </c>
      <c r="X796" s="184">
        <v>1</v>
      </c>
      <c r="Y796" s="184">
        <v>0</v>
      </c>
      <c r="Z796" s="184">
        <v>1</v>
      </c>
      <c r="AA796" s="184">
        <v>1</v>
      </c>
      <c r="AB796" s="184">
        <v>1</v>
      </c>
      <c r="AC796" s="316">
        <v>0</v>
      </c>
      <c r="AD796" s="316">
        <v>1</v>
      </c>
      <c r="AE796" s="302">
        <f t="shared" si="69"/>
        <v>0.75</v>
      </c>
      <c r="AF796" s="186"/>
      <c r="AG796" s="17">
        <v>0</v>
      </c>
      <c r="AH796" s="186">
        <v>0</v>
      </c>
      <c r="AI796" s="186">
        <v>0</v>
      </c>
      <c r="AJ796" s="186">
        <v>0</v>
      </c>
      <c r="AK796" s="187">
        <v>20</v>
      </c>
      <c r="AL796" s="187">
        <v>0</v>
      </c>
      <c r="AM796" s="17">
        <f t="shared" si="70"/>
        <v>20</v>
      </c>
      <c r="AN796" s="184" t="s">
        <v>63</v>
      </c>
      <c r="AO796" s="168" t="s">
        <v>2510</v>
      </c>
      <c r="AP796" s="184" t="s">
        <v>119</v>
      </c>
    </row>
    <row r="797" spans="1:42" s="184" customFormat="1" x14ac:dyDescent="0.3">
      <c r="A797" s="183" t="s">
        <v>1453</v>
      </c>
      <c r="B797" s="184" t="s">
        <v>2496</v>
      </c>
      <c r="C797" s="183" t="s">
        <v>3003</v>
      </c>
      <c r="D797" s="184" t="s">
        <v>3004</v>
      </c>
      <c r="E797" s="183" t="s">
        <v>3005</v>
      </c>
      <c r="F797" s="184" t="s">
        <v>3006</v>
      </c>
      <c r="G797" s="183" t="s">
        <v>3031</v>
      </c>
      <c r="H797" s="184" t="s">
        <v>3032</v>
      </c>
      <c r="J797" s="188"/>
      <c r="K797" s="183" t="s">
        <v>3033</v>
      </c>
      <c r="L797" s="184" t="s">
        <v>3034</v>
      </c>
      <c r="M797" s="184" t="s">
        <v>3051</v>
      </c>
      <c r="N797" s="189"/>
      <c r="O797" s="189">
        <v>10</v>
      </c>
      <c r="P797" s="189">
        <v>40</v>
      </c>
      <c r="Q797" s="189">
        <v>10</v>
      </c>
      <c r="R797" s="189">
        <v>20</v>
      </c>
      <c r="S797" s="189">
        <v>20</v>
      </c>
      <c r="T797" s="184" t="s">
        <v>63</v>
      </c>
      <c r="U797" s="283" t="s">
        <v>2510</v>
      </c>
      <c r="V797" s="184" t="s">
        <v>3052</v>
      </c>
      <c r="W797" s="184">
        <v>1</v>
      </c>
      <c r="X797" s="184">
        <v>1</v>
      </c>
      <c r="Y797" s="184">
        <v>0</v>
      </c>
      <c r="Z797" s="184">
        <v>1</v>
      </c>
      <c r="AA797" s="184">
        <v>1</v>
      </c>
      <c r="AB797" s="184">
        <v>1</v>
      </c>
      <c r="AC797" s="316">
        <v>0</v>
      </c>
      <c r="AD797" s="316">
        <v>1</v>
      </c>
      <c r="AE797" s="302">
        <f t="shared" si="69"/>
        <v>0.75</v>
      </c>
      <c r="AF797" s="186"/>
      <c r="AG797" s="17">
        <v>0</v>
      </c>
      <c r="AH797" s="186">
        <v>0</v>
      </c>
      <c r="AI797" s="186">
        <v>0</v>
      </c>
      <c r="AJ797" s="186">
        <v>0</v>
      </c>
      <c r="AK797" s="187">
        <v>0.12</v>
      </c>
      <c r="AL797" s="187">
        <v>0.14000000000000001</v>
      </c>
      <c r="AM797" s="17">
        <f t="shared" si="70"/>
        <v>0.26</v>
      </c>
      <c r="AN797" s="184" t="s">
        <v>63</v>
      </c>
      <c r="AO797" s="168" t="s">
        <v>2510</v>
      </c>
      <c r="AP797" s="184" t="s">
        <v>119</v>
      </c>
    </row>
    <row r="798" spans="1:42" s="184" customFormat="1" x14ac:dyDescent="0.3">
      <c r="A798" s="183" t="s">
        <v>1453</v>
      </c>
      <c r="B798" s="184" t="s">
        <v>2496</v>
      </c>
      <c r="C798" s="183" t="s">
        <v>3003</v>
      </c>
      <c r="D798" s="184" t="s">
        <v>3004</v>
      </c>
      <c r="E798" s="183" t="s">
        <v>3005</v>
      </c>
      <c r="F798" s="184" t="s">
        <v>3006</v>
      </c>
      <c r="G798" s="183" t="s">
        <v>3031</v>
      </c>
      <c r="H798" s="184" t="s">
        <v>3032</v>
      </c>
      <c r="K798" s="183" t="s">
        <v>3033</v>
      </c>
      <c r="L798" s="184" t="s">
        <v>3034</v>
      </c>
      <c r="M798" s="184" t="s">
        <v>3053</v>
      </c>
      <c r="N798" s="185"/>
      <c r="O798" s="189">
        <v>0.1</v>
      </c>
      <c r="P798" s="189">
        <v>0.9</v>
      </c>
      <c r="Q798" s="189" t="s">
        <v>271</v>
      </c>
      <c r="R798" s="189" t="s">
        <v>271</v>
      </c>
      <c r="S798" s="189" t="s">
        <v>271</v>
      </c>
      <c r="T798" s="184" t="s">
        <v>63</v>
      </c>
      <c r="U798" s="283" t="s">
        <v>2510</v>
      </c>
      <c r="V798" s="184" t="s">
        <v>3054</v>
      </c>
      <c r="W798" s="184">
        <v>1</v>
      </c>
      <c r="X798" s="184">
        <v>1</v>
      </c>
      <c r="Y798" s="184">
        <v>0</v>
      </c>
      <c r="Z798" s="184">
        <v>1</v>
      </c>
      <c r="AA798" s="184">
        <v>1</v>
      </c>
      <c r="AB798" s="184">
        <v>1</v>
      </c>
      <c r="AC798" s="316">
        <v>0</v>
      </c>
      <c r="AD798" s="316">
        <v>1</v>
      </c>
      <c r="AE798" s="302">
        <f t="shared" si="69"/>
        <v>0.75</v>
      </c>
      <c r="AF798" s="186"/>
      <c r="AG798" s="17">
        <v>0</v>
      </c>
      <c r="AH798" s="186">
        <v>0</v>
      </c>
      <c r="AI798" s="186">
        <v>0</v>
      </c>
      <c r="AJ798" s="186">
        <v>0</v>
      </c>
      <c r="AK798" s="187">
        <v>0</v>
      </c>
      <c r="AL798" s="187">
        <v>0</v>
      </c>
      <c r="AM798" s="17">
        <f t="shared" si="70"/>
        <v>0</v>
      </c>
      <c r="AN798" s="184" t="s">
        <v>63</v>
      </c>
      <c r="AO798" s="168" t="s">
        <v>2510</v>
      </c>
      <c r="AP798" s="184" t="s">
        <v>119</v>
      </c>
    </row>
    <row r="799" spans="1:42" s="184" customFormat="1" x14ac:dyDescent="0.3">
      <c r="A799" s="183" t="s">
        <v>1453</v>
      </c>
      <c r="B799" s="184" t="s">
        <v>2496</v>
      </c>
      <c r="C799" s="183" t="s">
        <v>3003</v>
      </c>
      <c r="D799" s="184" t="s">
        <v>3004</v>
      </c>
      <c r="E799" s="183" t="s">
        <v>3005</v>
      </c>
      <c r="F799" s="184" t="s">
        <v>3006</v>
      </c>
      <c r="G799" s="183" t="s">
        <v>3031</v>
      </c>
      <c r="H799" s="184" t="s">
        <v>3032</v>
      </c>
      <c r="K799" s="183" t="s">
        <v>3033</v>
      </c>
      <c r="L799" s="184" t="s">
        <v>3034</v>
      </c>
      <c r="M799" s="184" t="s">
        <v>3055</v>
      </c>
      <c r="N799" s="185"/>
      <c r="O799" s="189" t="s">
        <v>271</v>
      </c>
      <c r="P799" s="189">
        <v>4</v>
      </c>
      <c r="Q799" s="189">
        <v>6</v>
      </c>
      <c r="R799" s="189">
        <v>8</v>
      </c>
      <c r="S799" s="189">
        <v>8</v>
      </c>
      <c r="T799" s="184" t="s">
        <v>63</v>
      </c>
      <c r="U799" s="283" t="s">
        <v>2510</v>
      </c>
      <c r="V799" s="184" t="s">
        <v>3056</v>
      </c>
      <c r="W799" s="184">
        <v>1</v>
      </c>
      <c r="X799" s="184">
        <v>1</v>
      </c>
      <c r="Y799" s="184">
        <v>0</v>
      </c>
      <c r="Z799" s="184">
        <v>1</v>
      </c>
      <c r="AA799" s="184">
        <v>1</v>
      </c>
      <c r="AB799" s="184">
        <v>1</v>
      </c>
      <c r="AC799" s="316">
        <v>0</v>
      </c>
      <c r="AD799" s="316">
        <v>1</v>
      </c>
      <c r="AE799" s="302">
        <f t="shared" si="69"/>
        <v>0.75</v>
      </c>
      <c r="AF799" s="186"/>
      <c r="AG799" s="17">
        <v>0</v>
      </c>
      <c r="AH799" s="186">
        <v>0</v>
      </c>
      <c r="AI799" s="186">
        <v>0</v>
      </c>
      <c r="AJ799" s="186">
        <v>0</v>
      </c>
      <c r="AK799" s="187">
        <v>0.3</v>
      </c>
      <c r="AL799" s="187">
        <v>0.3</v>
      </c>
      <c r="AM799" s="17">
        <f t="shared" si="70"/>
        <v>0.6</v>
      </c>
      <c r="AN799" s="184" t="s">
        <v>63</v>
      </c>
      <c r="AO799" s="168" t="s">
        <v>2510</v>
      </c>
      <c r="AP799" s="184" t="s">
        <v>119</v>
      </c>
    </row>
    <row r="800" spans="1:42" s="184" customFormat="1" hidden="1" x14ac:dyDescent="0.3">
      <c r="A800" s="183" t="s">
        <v>1453</v>
      </c>
      <c r="B800" s="184" t="s">
        <v>2496</v>
      </c>
      <c r="C800" s="183" t="s">
        <v>3003</v>
      </c>
      <c r="D800" s="184" t="s">
        <v>3004</v>
      </c>
      <c r="E800" s="183" t="s">
        <v>3005</v>
      </c>
      <c r="F800" s="184" t="s">
        <v>3006</v>
      </c>
      <c r="G800" s="183" t="s">
        <v>3031</v>
      </c>
      <c r="H800" s="184" t="s">
        <v>3032</v>
      </c>
      <c r="K800" s="183" t="s">
        <v>3033</v>
      </c>
      <c r="L800" s="184" t="s">
        <v>3034</v>
      </c>
      <c r="M800" s="184" t="s">
        <v>3057</v>
      </c>
      <c r="N800" s="185"/>
      <c r="O800" s="189" t="s">
        <v>271</v>
      </c>
      <c r="P800" s="189" t="s">
        <v>271</v>
      </c>
      <c r="Q800" s="189">
        <v>0.5</v>
      </c>
      <c r="R800" s="189">
        <v>0.5</v>
      </c>
      <c r="S800" s="189" t="s">
        <v>271</v>
      </c>
      <c r="T800" s="184" t="s">
        <v>63</v>
      </c>
      <c r="U800" s="283" t="s">
        <v>2510</v>
      </c>
      <c r="V800" s="184" t="s">
        <v>3058</v>
      </c>
      <c r="W800" s="184">
        <v>1</v>
      </c>
      <c r="X800" s="184">
        <v>0</v>
      </c>
      <c r="Y800" s="184">
        <v>0</v>
      </c>
      <c r="Z800" s="184">
        <v>1</v>
      </c>
      <c r="AA800" s="184">
        <v>1</v>
      </c>
      <c r="AB800" s="184">
        <v>1</v>
      </c>
      <c r="AC800" s="316">
        <v>0</v>
      </c>
      <c r="AD800" s="316">
        <v>1</v>
      </c>
      <c r="AE800" s="302">
        <f t="shared" si="69"/>
        <v>0.625</v>
      </c>
      <c r="AF800" s="186"/>
      <c r="AG800" s="17">
        <v>0</v>
      </c>
      <c r="AH800" s="186">
        <v>0</v>
      </c>
      <c r="AI800" s="186">
        <v>0</v>
      </c>
      <c r="AJ800" s="186">
        <v>0</v>
      </c>
      <c r="AK800" s="187">
        <v>0</v>
      </c>
      <c r="AL800" s="187">
        <v>0</v>
      </c>
      <c r="AM800" s="17">
        <f t="shared" si="70"/>
        <v>0</v>
      </c>
      <c r="AN800" s="184" t="s">
        <v>63</v>
      </c>
      <c r="AO800" s="168" t="s">
        <v>2510</v>
      </c>
      <c r="AP800" s="184" t="s">
        <v>119</v>
      </c>
    </row>
    <row r="801" spans="1:42" s="184" customFormat="1" x14ac:dyDescent="0.3">
      <c r="A801" s="183" t="s">
        <v>1453</v>
      </c>
      <c r="B801" s="184" t="s">
        <v>2496</v>
      </c>
      <c r="C801" s="183" t="s">
        <v>3003</v>
      </c>
      <c r="D801" s="184" t="s">
        <v>3004</v>
      </c>
      <c r="E801" s="183" t="s">
        <v>3005</v>
      </c>
      <c r="F801" s="184" t="s">
        <v>3006</v>
      </c>
      <c r="G801" s="183" t="s">
        <v>3031</v>
      </c>
      <c r="H801" s="184" t="s">
        <v>3032</v>
      </c>
      <c r="K801" s="183" t="s">
        <v>3033</v>
      </c>
      <c r="L801" s="184" t="s">
        <v>3034</v>
      </c>
      <c r="M801" s="184" t="s">
        <v>3059</v>
      </c>
      <c r="N801" s="185"/>
      <c r="O801" s="189" t="s">
        <v>271</v>
      </c>
      <c r="P801" s="189">
        <v>8</v>
      </c>
      <c r="Q801" s="189">
        <v>8</v>
      </c>
      <c r="R801" s="189">
        <v>10</v>
      </c>
      <c r="S801" s="189">
        <v>10</v>
      </c>
      <c r="T801" s="184" t="s">
        <v>63</v>
      </c>
      <c r="U801" s="283" t="s">
        <v>2510</v>
      </c>
      <c r="V801" s="184" t="s">
        <v>3060</v>
      </c>
      <c r="W801" s="184">
        <v>1</v>
      </c>
      <c r="X801" s="184">
        <v>1</v>
      </c>
      <c r="Y801" s="184">
        <v>0</v>
      </c>
      <c r="Z801" s="184">
        <v>1</v>
      </c>
      <c r="AA801" s="184">
        <v>1</v>
      </c>
      <c r="AB801" s="184">
        <v>1</v>
      </c>
      <c r="AC801" s="316">
        <v>0</v>
      </c>
      <c r="AD801" s="316">
        <v>1</v>
      </c>
      <c r="AE801" s="302">
        <f t="shared" ref="AE801:AE844" si="71">SUM(W801:AD801)/8</f>
        <v>0.75</v>
      </c>
      <c r="AF801" s="186"/>
      <c r="AG801" s="17">
        <v>0</v>
      </c>
      <c r="AH801" s="186">
        <v>0</v>
      </c>
      <c r="AI801" s="186">
        <v>0</v>
      </c>
      <c r="AJ801" s="186">
        <v>0</v>
      </c>
      <c r="AK801" s="187">
        <v>0.4</v>
      </c>
      <c r="AL801" s="187">
        <v>0.4</v>
      </c>
      <c r="AM801" s="17">
        <f t="shared" ref="AM801:AM844" si="72">SUM(AK801:AL801)</f>
        <v>0.8</v>
      </c>
      <c r="AN801" s="184" t="s">
        <v>63</v>
      </c>
      <c r="AO801" s="168" t="s">
        <v>2510</v>
      </c>
      <c r="AP801" s="184" t="s">
        <v>119</v>
      </c>
    </row>
    <row r="802" spans="1:42" s="184" customFormat="1" x14ac:dyDescent="0.3">
      <c r="A802" s="183" t="s">
        <v>1453</v>
      </c>
      <c r="B802" s="184" t="s">
        <v>2496</v>
      </c>
      <c r="C802" s="183" t="s">
        <v>3003</v>
      </c>
      <c r="D802" s="184" t="s">
        <v>3004</v>
      </c>
      <c r="E802" s="183" t="s">
        <v>3005</v>
      </c>
      <c r="F802" s="184" t="s">
        <v>3006</v>
      </c>
      <c r="G802" s="183" t="s">
        <v>3031</v>
      </c>
      <c r="H802" s="184" t="s">
        <v>3032</v>
      </c>
      <c r="J802" s="188"/>
      <c r="K802" s="183" t="s">
        <v>3033</v>
      </c>
      <c r="L802" s="184" t="s">
        <v>3034</v>
      </c>
      <c r="M802" s="184" t="s">
        <v>3061</v>
      </c>
      <c r="N802" s="189"/>
      <c r="O802" s="189">
        <v>0.1</v>
      </c>
      <c r="P802" s="189">
        <v>0.4</v>
      </c>
      <c r="Q802" s="189">
        <v>0.6</v>
      </c>
      <c r="R802" s="189">
        <v>0.8</v>
      </c>
      <c r="S802" s="189">
        <v>1</v>
      </c>
      <c r="T802" s="184" t="s">
        <v>63</v>
      </c>
      <c r="U802" s="283" t="s">
        <v>2510</v>
      </c>
      <c r="V802" s="184" t="s">
        <v>3062</v>
      </c>
      <c r="W802" s="184">
        <v>1</v>
      </c>
      <c r="X802" s="184">
        <v>1</v>
      </c>
      <c r="Y802" s="184">
        <v>0</v>
      </c>
      <c r="Z802" s="184">
        <v>1</v>
      </c>
      <c r="AA802" s="184">
        <v>1</v>
      </c>
      <c r="AB802" s="184">
        <v>1</v>
      </c>
      <c r="AC802" s="316">
        <v>0</v>
      </c>
      <c r="AD802" s="316">
        <v>1</v>
      </c>
      <c r="AE802" s="302">
        <f t="shared" si="71"/>
        <v>0.75</v>
      </c>
      <c r="AF802" s="186"/>
      <c r="AG802" s="17">
        <v>0</v>
      </c>
      <c r="AH802" s="186">
        <v>0.2</v>
      </c>
      <c r="AI802" s="186">
        <v>0.2</v>
      </c>
      <c r="AJ802" s="186">
        <v>0.2</v>
      </c>
      <c r="AK802" s="187">
        <v>0.3</v>
      </c>
      <c r="AL802" s="187">
        <v>0.5</v>
      </c>
      <c r="AM802" s="17">
        <f t="shared" si="72"/>
        <v>0.8</v>
      </c>
      <c r="AN802" s="184" t="s">
        <v>63</v>
      </c>
      <c r="AO802" s="168" t="s">
        <v>2510</v>
      </c>
      <c r="AP802" s="184" t="s">
        <v>119</v>
      </c>
    </row>
    <row r="803" spans="1:42" s="184" customFormat="1" x14ac:dyDescent="0.3">
      <c r="A803" s="183" t="s">
        <v>1453</v>
      </c>
      <c r="B803" s="184" t="s">
        <v>2496</v>
      </c>
      <c r="C803" s="183" t="s">
        <v>3003</v>
      </c>
      <c r="D803" s="184" t="s">
        <v>3004</v>
      </c>
      <c r="E803" s="183" t="s">
        <v>3005</v>
      </c>
      <c r="F803" s="184" t="s">
        <v>3006</v>
      </c>
      <c r="G803" s="183" t="s">
        <v>3031</v>
      </c>
      <c r="H803" s="184" t="s">
        <v>3032</v>
      </c>
      <c r="J803" s="188"/>
      <c r="K803" s="183" t="s">
        <v>3033</v>
      </c>
      <c r="L803" s="184" t="s">
        <v>3034</v>
      </c>
      <c r="M803" s="184" t="s">
        <v>3063</v>
      </c>
      <c r="N803" s="189"/>
      <c r="O803" s="189">
        <v>0.1</v>
      </c>
      <c r="P803" s="189">
        <v>0.4</v>
      </c>
      <c r="Q803" s="189">
        <v>0.6</v>
      </c>
      <c r="R803" s="189">
        <v>0.8</v>
      </c>
      <c r="S803" s="189">
        <v>1</v>
      </c>
      <c r="T803" s="184" t="s">
        <v>63</v>
      </c>
      <c r="U803" s="283" t="s">
        <v>2510</v>
      </c>
      <c r="V803" s="184" t="s">
        <v>3064</v>
      </c>
      <c r="W803" s="184">
        <v>1</v>
      </c>
      <c r="X803" s="184">
        <v>1</v>
      </c>
      <c r="Y803" s="184">
        <v>0</v>
      </c>
      <c r="Z803" s="184">
        <v>1</v>
      </c>
      <c r="AA803" s="184">
        <v>1</v>
      </c>
      <c r="AB803" s="184">
        <v>1</v>
      </c>
      <c r="AC803" s="316">
        <v>0</v>
      </c>
      <c r="AD803" s="316">
        <v>1</v>
      </c>
      <c r="AE803" s="302">
        <f t="shared" si="71"/>
        <v>0.75</v>
      </c>
      <c r="AF803" s="186"/>
      <c r="AG803" s="17">
        <v>0</v>
      </c>
      <c r="AH803" s="186">
        <v>0.2</v>
      </c>
      <c r="AI803" s="186">
        <v>2</v>
      </c>
      <c r="AJ803" s="186">
        <v>1.5</v>
      </c>
      <c r="AK803" s="187">
        <v>1.5</v>
      </c>
      <c r="AL803" s="187">
        <v>1.5</v>
      </c>
      <c r="AM803" s="17">
        <f t="shared" si="72"/>
        <v>3</v>
      </c>
      <c r="AN803" s="184" t="s">
        <v>63</v>
      </c>
      <c r="AO803" s="168" t="s">
        <v>2510</v>
      </c>
      <c r="AP803" s="184" t="s">
        <v>119</v>
      </c>
    </row>
    <row r="804" spans="1:42" s="184" customFormat="1" x14ac:dyDescent="0.3">
      <c r="A804" s="183" t="s">
        <v>1453</v>
      </c>
      <c r="B804" s="184" t="s">
        <v>2496</v>
      </c>
      <c r="C804" s="183" t="s">
        <v>3003</v>
      </c>
      <c r="D804" s="184" t="s">
        <v>3004</v>
      </c>
      <c r="E804" s="183" t="s">
        <v>3005</v>
      </c>
      <c r="F804" s="184" t="s">
        <v>3006</v>
      </c>
      <c r="G804" s="183" t="s">
        <v>3031</v>
      </c>
      <c r="H804" s="184" t="s">
        <v>3032</v>
      </c>
      <c r="J804" s="188"/>
      <c r="K804" s="183" t="s">
        <v>3033</v>
      </c>
      <c r="L804" s="184" t="s">
        <v>3034</v>
      </c>
      <c r="M804" s="184" t="s">
        <v>3065</v>
      </c>
      <c r="N804" s="189"/>
      <c r="O804" s="189">
        <v>5</v>
      </c>
      <c r="P804" s="189">
        <v>5</v>
      </c>
      <c r="Q804" s="189">
        <v>5</v>
      </c>
      <c r="R804" s="189">
        <v>5</v>
      </c>
      <c r="S804" s="189">
        <v>5</v>
      </c>
      <c r="T804" s="184" t="s">
        <v>63</v>
      </c>
      <c r="U804" s="283" t="s">
        <v>2510</v>
      </c>
      <c r="V804" s="184" t="s">
        <v>3066</v>
      </c>
      <c r="W804" s="184">
        <v>1</v>
      </c>
      <c r="X804" s="184">
        <v>1</v>
      </c>
      <c r="Y804" s="184">
        <v>0</v>
      </c>
      <c r="Z804" s="184">
        <v>1</v>
      </c>
      <c r="AA804" s="184">
        <v>1</v>
      </c>
      <c r="AB804" s="184">
        <v>1</v>
      </c>
      <c r="AC804" s="316">
        <v>0</v>
      </c>
      <c r="AD804" s="316">
        <v>1</v>
      </c>
      <c r="AE804" s="302">
        <f t="shared" si="71"/>
        <v>0.75</v>
      </c>
      <c r="AF804" s="186"/>
      <c r="AG804" s="17">
        <v>0</v>
      </c>
      <c r="AH804" s="186">
        <v>2.5</v>
      </c>
      <c r="AI804" s="186">
        <v>2.5</v>
      </c>
      <c r="AJ804" s="186">
        <v>2.5</v>
      </c>
      <c r="AK804" s="187">
        <v>2.5</v>
      </c>
      <c r="AL804" s="187">
        <v>2.5</v>
      </c>
      <c r="AM804" s="17">
        <f t="shared" si="72"/>
        <v>5</v>
      </c>
      <c r="AN804" s="184" t="s">
        <v>63</v>
      </c>
      <c r="AO804" s="168" t="s">
        <v>2510</v>
      </c>
      <c r="AP804" s="184" t="s">
        <v>119</v>
      </c>
    </row>
    <row r="805" spans="1:42" s="184" customFormat="1" x14ac:dyDescent="0.3">
      <c r="A805" s="183" t="s">
        <v>1453</v>
      </c>
      <c r="B805" s="184" t="s">
        <v>2496</v>
      </c>
      <c r="C805" s="183" t="s">
        <v>3003</v>
      </c>
      <c r="D805" s="184" t="s">
        <v>3004</v>
      </c>
      <c r="E805" s="183" t="s">
        <v>3005</v>
      </c>
      <c r="F805" s="184" t="s">
        <v>3006</v>
      </c>
      <c r="G805" s="183" t="s">
        <v>3031</v>
      </c>
      <c r="H805" s="184" t="s">
        <v>3032</v>
      </c>
      <c r="J805" s="188"/>
      <c r="K805" s="183" t="s">
        <v>3033</v>
      </c>
      <c r="L805" s="184" t="s">
        <v>3034</v>
      </c>
      <c r="M805" s="184" t="s">
        <v>3067</v>
      </c>
      <c r="N805" s="189"/>
      <c r="O805" s="189">
        <v>0</v>
      </c>
      <c r="P805" s="189">
        <v>50</v>
      </c>
      <c r="Q805" s="189">
        <v>100</v>
      </c>
      <c r="R805" s="189">
        <v>300</v>
      </c>
      <c r="S805" s="189">
        <v>500</v>
      </c>
      <c r="T805" s="184" t="s">
        <v>63</v>
      </c>
      <c r="U805" s="283" t="s">
        <v>2510</v>
      </c>
      <c r="V805" s="184" t="s">
        <v>3046</v>
      </c>
      <c r="W805" s="184">
        <v>1</v>
      </c>
      <c r="X805" s="184">
        <v>1</v>
      </c>
      <c r="Y805" s="184">
        <v>0</v>
      </c>
      <c r="Z805" s="184">
        <v>1</v>
      </c>
      <c r="AA805" s="184">
        <v>1</v>
      </c>
      <c r="AB805" s="184">
        <v>1</v>
      </c>
      <c r="AC805" s="316">
        <v>0</v>
      </c>
      <c r="AD805" s="316">
        <v>1</v>
      </c>
      <c r="AE805" s="302">
        <f t="shared" si="71"/>
        <v>0.75</v>
      </c>
      <c r="AF805" s="186"/>
      <c r="AG805" s="17">
        <v>0</v>
      </c>
      <c r="AH805" s="186">
        <v>2.5</v>
      </c>
      <c r="AI805" s="186">
        <v>2.5</v>
      </c>
      <c r="AJ805" s="186">
        <v>2.5</v>
      </c>
      <c r="AK805" s="187">
        <v>2.5</v>
      </c>
      <c r="AL805" s="187">
        <v>2.5</v>
      </c>
      <c r="AM805" s="17">
        <f t="shared" si="72"/>
        <v>5</v>
      </c>
      <c r="AN805" s="184" t="s">
        <v>63</v>
      </c>
      <c r="AO805" s="168" t="s">
        <v>2510</v>
      </c>
      <c r="AP805" s="184" t="s">
        <v>119</v>
      </c>
    </row>
    <row r="806" spans="1:42" s="184" customFormat="1" x14ac:dyDescent="0.3">
      <c r="A806" s="183" t="s">
        <v>1453</v>
      </c>
      <c r="B806" s="184" t="s">
        <v>2496</v>
      </c>
      <c r="C806" s="183" t="s">
        <v>3003</v>
      </c>
      <c r="D806" s="184" t="s">
        <v>3004</v>
      </c>
      <c r="E806" s="183" t="s">
        <v>3005</v>
      </c>
      <c r="F806" s="184" t="s">
        <v>3006</v>
      </c>
      <c r="G806" s="183" t="s">
        <v>3031</v>
      </c>
      <c r="H806" s="184" t="s">
        <v>3032</v>
      </c>
      <c r="J806" s="188"/>
      <c r="K806" s="183" t="s">
        <v>3033</v>
      </c>
      <c r="L806" s="184" t="s">
        <v>3034</v>
      </c>
      <c r="M806" s="184" t="s">
        <v>3068</v>
      </c>
      <c r="N806" s="189"/>
      <c r="O806" s="189">
        <v>4</v>
      </c>
      <c r="P806" s="189">
        <v>6</v>
      </c>
      <c r="Q806" s="189">
        <v>8</v>
      </c>
      <c r="R806" s="189">
        <v>10</v>
      </c>
      <c r="S806" s="189">
        <v>12</v>
      </c>
      <c r="T806" s="184" t="s">
        <v>63</v>
      </c>
      <c r="U806" s="283" t="s">
        <v>2510</v>
      </c>
      <c r="V806" s="184" t="s">
        <v>3069</v>
      </c>
      <c r="W806" s="184">
        <v>1</v>
      </c>
      <c r="X806" s="184">
        <v>1</v>
      </c>
      <c r="Y806" s="184">
        <v>0</v>
      </c>
      <c r="Z806" s="184">
        <v>1</v>
      </c>
      <c r="AA806" s="184">
        <v>1</v>
      </c>
      <c r="AB806" s="184">
        <v>1</v>
      </c>
      <c r="AC806" s="316">
        <v>0</v>
      </c>
      <c r="AD806" s="316">
        <v>1</v>
      </c>
      <c r="AE806" s="302">
        <f t="shared" si="71"/>
        <v>0.75</v>
      </c>
      <c r="AF806" s="186"/>
      <c r="AG806" s="17">
        <v>0</v>
      </c>
      <c r="AH806" s="186">
        <v>0.6</v>
      </c>
      <c r="AI806" s="186">
        <v>0.23</v>
      </c>
      <c r="AJ806" s="186">
        <v>0.35</v>
      </c>
      <c r="AK806" s="187">
        <v>0.45</v>
      </c>
      <c r="AL806" s="187">
        <v>0.55000000000000004</v>
      </c>
      <c r="AM806" s="17">
        <f t="shared" si="72"/>
        <v>1</v>
      </c>
      <c r="AN806" s="184" t="s">
        <v>63</v>
      </c>
      <c r="AO806" s="168" t="s">
        <v>2510</v>
      </c>
      <c r="AP806" s="184" t="s">
        <v>119</v>
      </c>
    </row>
    <row r="807" spans="1:42" s="184" customFormat="1" x14ac:dyDescent="0.3">
      <c r="A807" s="183" t="s">
        <v>1453</v>
      </c>
      <c r="B807" s="184" t="s">
        <v>2496</v>
      </c>
      <c r="C807" s="183" t="s">
        <v>3003</v>
      </c>
      <c r="D807" s="184" t="s">
        <v>3004</v>
      </c>
      <c r="E807" s="183" t="s">
        <v>3005</v>
      </c>
      <c r="F807" s="184" t="s">
        <v>3006</v>
      </c>
      <c r="G807" s="183" t="s">
        <v>3031</v>
      </c>
      <c r="H807" s="184" t="s">
        <v>3032</v>
      </c>
      <c r="J807" s="188"/>
      <c r="K807" s="183" t="s">
        <v>3033</v>
      </c>
      <c r="L807" s="184" t="s">
        <v>3034</v>
      </c>
      <c r="M807" s="184" t="s">
        <v>3070</v>
      </c>
      <c r="N807" s="189"/>
      <c r="O807" s="189">
        <v>4</v>
      </c>
      <c r="P807" s="189">
        <v>6</v>
      </c>
      <c r="Q807" s="189">
        <v>8</v>
      </c>
      <c r="R807" s="189">
        <v>10</v>
      </c>
      <c r="S807" s="189">
        <v>12</v>
      </c>
      <c r="T807" s="184" t="s">
        <v>63</v>
      </c>
      <c r="U807" s="283" t="s">
        <v>2510</v>
      </c>
      <c r="V807" s="184" t="s">
        <v>3046</v>
      </c>
      <c r="W807" s="184">
        <v>1</v>
      </c>
      <c r="X807" s="184">
        <v>1</v>
      </c>
      <c r="Y807" s="184">
        <v>0</v>
      </c>
      <c r="Z807" s="184">
        <v>1</v>
      </c>
      <c r="AA807" s="184">
        <v>1</v>
      </c>
      <c r="AB807" s="184">
        <v>1</v>
      </c>
      <c r="AC807" s="316">
        <v>0</v>
      </c>
      <c r="AD807" s="316">
        <v>1</v>
      </c>
      <c r="AE807" s="302">
        <f t="shared" si="71"/>
        <v>0.75</v>
      </c>
      <c r="AF807" s="186"/>
      <c r="AG807" s="17">
        <v>0</v>
      </c>
      <c r="AH807" s="186">
        <v>0</v>
      </c>
      <c r="AI807" s="186" t="s">
        <v>271</v>
      </c>
      <c r="AJ807" s="186" t="s">
        <v>271</v>
      </c>
      <c r="AK807" s="187">
        <v>2.5</v>
      </c>
      <c r="AL807" s="187">
        <v>2.5</v>
      </c>
      <c r="AM807" s="17">
        <f t="shared" si="72"/>
        <v>5</v>
      </c>
      <c r="AN807" s="184" t="s">
        <v>63</v>
      </c>
      <c r="AO807" s="168" t="s">
        <v>2510</v>
      </c>
      <c r="AP807" s="184" t="s">
        <v>119</v>
      </c>
    </row>
    <row r="808" spans="1:42" s="184" customFormat="1" x14ac:dyDescent="0.3">
      <c r="A808" s="183" t="s">
        <v>1453</v>
      </c>
      <c r="B808" s="184" t="s">
        <v>2496</v>
      </c>
      <c r="C808" s="183" t="s">
        <v>3003</v>
      </c>
      <c r="D808" s="184" t="s">
        <v>3004</v>
      </c>
      <c r="E808" s="183" t="s">
        <v>3005</v>
      </c>
      <c r="F808" s="184" t="s">
        <v>3006</v>
      </c>
      <c r="G808" s="183" t="s">
        <v>3031</v>
      </c>
      <c r="H808" s="184" t="s">
        <v>3032</v>
      </c>
      <c r="J808" s="188"/>
      <c r="K808" s="183" t="s">
        <v>3033</v>
      </c>
      <c r="L808" s="184" t="s">
        <v>3034</v>
      </c>
      <c r="M808" s="184" t="s">
        <v>3071</v>
      </c>
      <c r="N808" s="189"/>
      <c r="O808" s="189">
        <v>100</v>
      </c>
      <c r="P808" s="189">
        <v>100</v>
      </c>
      <c r="Q808" s="189">
        <v>100</v>
      </c>
      <c r="R808" s="189">
        <v>100</v>
      </c>
      <c r="S808" s="189">
        <v>100</v>
      </c>
      <c r="T808" s="184" t="s">
        <v>63</v>
      </c>
      <c r="U808" s="283" t="s">
        <v>2510</v>
      </c>
      <c r="V808" s="184" t="s">
        <v>3072</v>
      </c>
      <c r="W808" s="184">
        <v>1</v>
      </c>
      <c r="X808" s="184">
        <v>1</v>
      </c>
      <c r="Y808" s="184">
        <v>0</v>
      </c>
      <c r="Z808" s="184">
        <v>1</v>
      </c>
      <c r="AA808" s="184">
        <v>1</v>
      </c>
      <c r="AB808" s="184">
        <v>1</v>
      </c>
      <c r="AC808" s="316">
        <v>0</v>
      </c>
      <c r="AD808" s="316">
        <v>1</v>
      </c>
      <c r="AE808" s="302">
        <f t="shared" si="71"/>
        <v>0.75</v>
      </c>
      <c r="AF808" s="186"/>
      <c r="AG808" s="17">
        <v>0</v>
      </c>
      <c r="AH808" s="186">
        <v>0.01</v>
      </c>
      <c r="AI808" s="186">
        <v>0.05</v>
      </c>
      <c r="AJ808" s="186">
        <v>0.2</v>
      </c>
      <c r="AK808" s="187">
        <v>0.3</v>
      </c>
      <c r="AL808" s="187">
        <v>0.6</v>
      </c>
      <c r="AM808" s="17">
        <f t="shared" si="72"/>
        <v>0.89999999999999991</v>
      </c>
      <c r="AN808" s="184" t="s">
        <v>63</v>
      </c>
      <c r="AO808" s="168" t="s">
        <v>2510</v>
      </c>
      <c r="AP808" s="184" t="s">
        <v>119</v>
      </c>
    </row>
    <row r="809" spans="1:42" s="184" customFormat="1" hidden="1" x14ac:dyDescent="0.3">
      <c r="A809" s="183" t="s">
        <v>1453</v>
      </c>
      <c r="B809" s="184" t="s">
        <v>2496</v>
      </c>
      <c r="C809" s="183" t="s">
        <v>3003</v>
      </c>
      <c r="D809" s="184" t="s">
        <v>3004</v>
      </c>
      <c r="E809" s="183" t="s">
        <v>3005</v>
      </c>
      <c r="F809" s="184" t="s">
        <v>3006</v>
      </c>
      <c r="G809" s="183" t="s">
        <v>3031</v>
      </c>
      <c r="H809" s="184" t="s">
        <v>3032</v>
      </c>
      <c r="J809" s="188"/>
      <c r="K809" s="183" t="s">
        <v>3033</v>
      </c>
      <c r="L809" s="184" t="s">
        <v>3034</v>
      </c>
      <c r="M809" s="184" t="s">
        <v>3073</v>
      </c>
      <c r="N809" s="189"/>
      <c r="O809" s="189">
        <v>5</v>
      </c>
      <c r="P809" s="189">
        <v>15</v>
      </c>
      <c r="Q809" s="189">
        <v>35</v>
      </c>
      <c r="R809" s="189">
        <v>45</v>
      </c>
      <c r="S809" s="189">
        <v>70</v>
      </c>
      <c r="T809" s="184" t="s">
        <v>63</v>
      </c>
      <c r="U809" s="283" t="s">
        <v>2510</v>
      </c>
      <c r="V809" s="184" t="s">
        <v>3073</v>
      </c>
      <c r="W809" s="184">
        <v>1</v>
      </c>
      <c r="X809" s="184">
        <v>0</v>
      </c>
      <c r="Y809" s="184">
        <v>0</v>
      </c>
      <c r="Z809" s="184">
        <v>1</v>
      </c>
      <c r="AA809" s="184">
        <v>1</v>
      </c>
      <c r="AB809" s="184">
        <v>1</v>
      </c>
      <c r="AC809" s="316">
        <v>0</v>
      </c>
      <c r="AD809" s="316">
        <v>1</v>
      </c>
      <c r="AE809" s="302">
        <f t="shared" si="71"/>
        <v>0.625</v>
      </c>
      <c r="AF809" s="186"/>
      <c r="AG809" s="17">
        <v>0</v>
      </c>
      <c r="AH809" s="186">
        <v>0</v>
      </c>
      <c r="AI809" s="186">
        <v>0.875</v>
      </c>
      <c r="AJ809" s="186">
        <v>0.875</v>
      </c>
      <c r="AK809" s="187">
        <v>0.875</v>
      </c>
      <c r="AL809" s="187">
        <v>0.875</v>
      </c>
      <c r="AM809" s="17">
        <f t="shared" si="72"/>
        <v>1.75</v>
      </c>
      <c r="AN809" s="184" t="s">
        <v>3074</v>
      </c>
      <c r="AO809" s="168" t="s">
        <v>2510</v>
      </c>
      <c r="AP809" s="184" t="s">
        <v>119</v>
      </c>
    </row>
    <row r="810" spans="1:42" s="184" customFormat="1" hidden="1" x14ac:dyDescent="0.3">
      <c r="A810" s="183" t="s">
        <v>1453</v>
      </c>
      <c r="B810" s="184" t="s">
        <v>2496</v>
      </c>
      <c r="C810" s="183" t="s">
        <v>3003</v>
      </c>
      <c r="D810" s="184" t="s">
        <v>3004</v>
      </c>
      <c r="E810" s="183" t="s">
        <v>3005</v>
      </c>
      <c r="F810" s="184" t="s">
        <v>3006</v>
      </c>
      <c r="G810" s="183" t="s">
        <v>3031</v>
      </c>
      <c r="H810" s="184" t="s">
        <v>3032</v>
      </c>
      <c r="J810" s="188"/>
      <c r="K810" s="183" t="s">
        <v>3033</v>
      </c>
      <c r="L810" s="184" t="s">
        <v>3034</v>
      </c>
      <c r="M810" s="184" t="s">
        <v>3075</v>
      </c>
      <c r="N810" s="189"/>
      <c r="O810" s="189">
        <v>5</v>
      </c>
      <c r="P810" s="189">
        <v>15</v>
      </c>
      <c r="Q810" s="189">
        <v>35</v>
      </c>
      <c r="R810" s="189">
        <v>45</v>
      </c>
      <c r="S810" s="189">
        <v>70</v>
      </c>
      <c r="T810" s="184" t="s">
        <v>63</v>
      </c>
      <c r="U810" s="283" t="s">
        <v>2510</v>
      </c>
      <c r="V810" s="184" t="s">
        <v>3075</v>
      </c>
      <c r="W810" s="184">
        <v>1</v>
      </c>
      <c r="X810" s="184">
        <v>0</v>
      </c>
      <c r="Y810" s="184">
        <v>0</v>
      </c>
      <c r="Z810" s="184">
        <v>1</v>
      </c>
      <c r="AA810" s="184">
        <v>1</v>
      </c>
      <c r="AB810" s="184">
        <v>1</v>
      </c>
      <c r="AC810" s="316">
        <v>0</v>
      </c>
      <c r="AD810" s="316">
        <v>1</v>
      </c>
      <c r="AE810" s="302">
        <f t="shared" si="71"/>
        <v>0.625</v>
      </c>
      <c r="AF810" s="186"/>
      <c r="AG810" s="17">
        <v>0</v>
      </c>
      <c r="AH810" s="186">
        <v>0</v>
      </c>
      <c r="AI810" s="186">
        <v>0.5</v>
      </c>
      <c r="AJ810" s="186">
        <v>0.6</v>
      </c>
      <c r="AK810" s="187"/>
      <c r="AL810" s="187">
        <v>0.8</v>
      </c>
      <c r="AM810" s="17">
        <f t="shared" si="72"/>
        <v>0.8</v>
      </c>
      <c r="AN810" s="184" t="s">
        <v>3074</v>
      </c>
      <c r="AO810" s="168" t="s">
        <v>2510</v>
      </c>
      <c r="AP810" s="184" t="s">
        <v>119</v>
      </c>
    </row>
    <row r="811" spans="1:42" s="184" customFormat="1" x14ac:dyDescent="0.3">
      <c r="A811" s="183" t="s">
        <v>1453</v>
      </c>
      <c r="B811" s="184" t="s">
        <v>2496</v>
      </c>
      <c r="C811" s="183" t="s">
        <v>3003</v>
      </c>
      <c r="D811" s="184" t="s">
        <v>3004</v>
      </c>
      <c r="E811" s="183" t="s">
        <v>3005</v>
      </c>
      <c r="F811" s="184" t="s">
        <v>3006</v>
      </c>
      <c r="G811" s="183" t="s">
        <v>3031</v>
      </c>
      <c r="H811" s="184" t="s">
        <v>3032</v>
      </c>
      <c r="J811" s="188"/>
      <c r="K811" s="183" t="s">
        <v>3033</v>
      </c>
      <c r="L811" s="184" t="s">
        <v>3034</v>
      </c>
      <c r="M811" s="184" t="s">
        <v>3076</v>
      </c>
      <c r="N811" s="189"/>
      <c r="O811" s="189">
        <v>5</v>
      </c>
      <c r="P811" s="189">
        <v>15</v>
      </c>
      <c r="Q811" s="189">
        <v>35</v>
      </c>
      <c r="R811" s="189">
        <v>45</v>
      </c>
      <c r="S811" s="189">
        <v>70</v>
      </c>
      <c r="T811" s="184" t="s">
        <v>63</v>
      </c>
      <c r="U811" s="283" t="s">
        <v>2510</v>
      </c>
      <c r="V811" s="184" t="s">
        <v>3076</v>
      </c>
      <c r="W811" s="184">
        <v>1</v>
      </c>
      <c r="X811" s="184">
        <v>1</v>
      </c>
      <c r="Y811" s="184">
        <v>0</v>
      </c>
      <c r="Z811" s="184">
        <v>1</v>
      </c>
      <c r="AA811" s="184">
        <v>1</v>
      </c>
      <c r="AB811" s="184">
        <v>1</v>
      </c>
      <c r="AC811" s="316">
        <v>0</v>
      </c>
      <c r="AD811" s="316">
        <v>1</v>
      </c>
      <c r="AE811" s="302">
        <f t="shared" si="71"/>
        <v>0.75</v>
      </c>
      <c r="AF811" s="186"/>
      <c r="AG811" s="17">
        <v>0</v>
      </c>
      <c r="AH811" s="186">
        <v>0</v>
      </c>
      <c r="AI811" s="186">
        <v>1.5</v>
      </c>
      <c r="AJ811" s="186">
        <v>2</v>
      </c>
      <c r="AK811" s="187">
        <v>3</v>
      </c>
      <c r="AL811" s="187">
        <v>3</v>
      </c>
      <c r="AM811" s="17">
        <f t="shared" si="72"/>
        <v>6</v>
      </c>
      <c r="AN811" s="184" t="s">
        <v>3074</v>
      </c>
      <c r="AO811" s="168" t="s">
        <v>2510</v>
      </c>
      <c r="AP811" s="184" t="s">
        <v>119</v>
      </c>
    </row>
    <row r="812" spans="1:42" s="184" customFormat="1" hidden="1" x14ac:dyDescent="0.3">
      <c r="A812" s="183" t="s">
        <v>1453</v>
      </c>
      <c r="B812" s="184" t="s">
        <v>2496</v>
      </c>
      <c r="C812" s="183" t="s">
        <v>3003</v>
      </c>
      <c r="D812" s="184" t="s">
        <v>3004</v>
      </c>
      <c r="E812" s="183" t="s">
        <v>3005</v>
      </c>
      <c r="F812" s="184" t="s">
        <v>3006</v>
      </c>
      <c r="G812" s="183" t="s">
        <v>3077</v>
      </c>
      <c r="H812" s="184" t="s">
        <v>3078</v>
      </c>
      <c r="J812" s="188"/>
      <c r="K812" s="183" t="s">
        <v>3079</v>
      </c>
      <c r="L812" s="184" t="s">
        <v>3080</v>
      </c>
      <c r="M812" s="184" t="s">
        <v>3081</v>
      </c>
      <c r="N812" s="189" t="s">
        <v>119</v>
      </c>
      <c r="O812" s="189" t="s">
        <v>271</v>
      </c>
      <c r="P812" s="189" t="s">
        <v>271</v>
      </c>
      <c r="Q812" s="189">
        <v>1</v>
      </c>
      <c r="R812" s="189" t="s">
        <v>271</v>
      </c>
      <c r="S812" s="189">
        <v>1</v>
      </c>
      <c r="T812" s="184" t="s">
        <v>63</v>
      </c>
      <c r="U812" s="283" t="s">
        <v>2510</v>
      </c>
      <c r="V812" s="184" t="s">
        <v>3082</v>
      </c>
      <c r="W812" s="184">
        <v>1</v>
      </c>
      <c r="X812" s="184">
        <v>0</v>
      </c>
      <c r="Y812" s="184">
        <v>0</v>
      </c>
      <c r="Z812" s="184">
        <v>1</v>
      </c>
      <c r="AA812" s="184">
        <v>1</v>
      </c>
      <c r="AB812" s="184">
        <v>0</v>
      </c>
      <c r="AC812" s="316">
        <v>0</v>
      </c>
      <c r="AD812" s="316">
        <v>1</v>
      </c>
      <c r="AE812" s="302">
        <f t="shared" si="71"/>
        <v>0.5</v>
      </c>
      <c r="AF812" s="186"/>
      <c r="AG812" s="17">
        <v>0</v>
      </c>
      <c r="AH812" s="186">
        <v>0</v>
      </c>
      <c r="AI812" s="186">
        <v>0</v>
      </c>
      <c r="AJ812" s="186">
        <v>0.1</v>
      </c>
      <c r="AK812" s="187">
        <v>0</v>
      </c>
      <c r="AL812" s="187">
        <v>0.2</v>
      </c>
      <c r="AM812" s="17">
        <f t="shared" si="72"/>
        <v>0.2</v>
      </c>
      <c r="AN812" s="184" t="s">
        <v>63</v>
      </c>
      <c r="AO812" s="168" t="s">
        <v>2510</v>
      </c>
      <c r="AP812" s="184" t="s">
        <v>119</v>
      </c>
    </row>
    <row r="813" spans="1:42" s="184" customFormat="1" x14ac:dyDescent="0.3">
      <c r="A813" s="183" t="s">
        <v>1453</v>
      </c>
      <c r="B813" s="184" t="s">
        <v>2496</v>
      </c>
      <c r="C813" s="183" t="s">
        <v>3003</v>
      </c>
      <c r="D813" s="184" t="s">
        <v>3004</v>
      </c>
      <c r="E813" s="183" t="s">
        <v>3005</v>
      </c>
      <c r="F813" s="184" t="s">
        <v>3006</v>
      </c>
      <c r="G813" s="183" t="s">
        <v>3077</v>
      </c>
      <c r="H813" s="184" t="s">
        <v>3078</v>
      </c>
      <c r="J813" s="188"/>
      <c r="K813" s="183" t="s">
        <v>3083</v>
      </c>
      <c r="L813" s="184" t="s">
        <v>3084</v>
      </c>
      <c r="M813" s="184" t="s">
        <v>3085</v>
      </c>
      <c r="N813" s="189"/>
      <c r="O813" s="189"/>
      <c r="P813" s="189">
        <v>20</v>
      </c>
      <c r="Q813" s="189">
        <v>20</v>
      </c>
      <c r="R813" s="189">
        <v>21</v>
      </c>
      <c r="S813" s="189">
        <v>25</v>
      </c>
      <c r="T813" s="184" t="s">
        <v>63</v>
      </c>
      <c r="U813" s="283" t="s">
        <v>2510</v>
      </c>
      <c r="V813" s="184" t="s">
        <v>3086</v>
      </c>
      <c r="W813" s="184">
        <v>1</v>
      </c>
      <c r="X813" s="184">
        <v>1</v>
      </c>
      <c r="Y813" s="184">
        <v>0</v>
      </c>
      <c r="Z813" s="184">
        <v>1</v>
      </c>
      <c r="AA813" s="184">
        <v>1</v>
      </c>
      <c r="AB813" s="184">
        <v>1</v>
      </c>
      <c r="AC813" s="316">
        <v>0</v>
      </c>
      <c r="AD813" s="316">
        <v>1</v>
      </c>
      <c r="AE813" s="302">
        <f t="shared" si="71"/>
        <v>0.75</v>
      </c>
      <c r="AF813" s="186"/>
      <c r="AG813" s="17">
        <v>0</v>
      </c>
      <c r="AH813" s="186">
        <v>0.2</v>
      </c>
      <c r="AI813" s="186">
        <v>0.25</v>
      </c>
      <c r="AJ813" s="186">
        <v>0.3</v>
      </c>
      <c r="AK813" s="187">
        <v>0.35</v>
      </c>
      <c r="AL813" s="187">
        <v>0.4</v>
      </c>
      <c r="AM813" s="17">
        <f t="shared" si="72"/>
        <v>0.75</v>
      </c>
      <c r="AN813" s="184" t="s">
        <v>63</v>
      </c>
      <c r="AO813" s="168" t="s">
        <v>2510</v>
      </c>
      <c r="AP813" s="184" t="s">
        <v>119</v>
      </c>
    </row>
    <row r="814" spans="1:42" s="184" customFormat="1" x14ac:dyDescent="0.3">
      <c r="A814" s="183" t="s">
        <v>1453</v>
      </c>
      <c r="B814" s="184" t="s">
        <v>2496</v>
      </c>
      <c r="C814" s="183" t="s">
        <v>3003</v>
      </c>
      <c r="D814" s="184" t="s">
        <v>3004</v>
      </c>
      <c r="E814" s="183" t="s">
        <v>3005</v>
      </c>
      <c r="F814" s="184" t="s">
        <v>3006</v>
      </c>
      <c r="G814" s="183" t="s">
        <v>3087</v>
      </c>
      <c r="H814" s="184" t="s">
        <v>3088</v>
      </c>
      <c r="J814" s="188"/>
      <c r="K814" s="183" t="s">
        <v>3089</v>
      </c>
      <c r="L814" s="184" t="s">
        <v>3090</v>
      </c>
      <c r="M814" s="184" t="s">
        <v>3091</v>
      </c>
      <c r="N814" s="189">
        <v>2</v>
      </c>
      <c r="O814" s="189">
        <v>1</v>
      </c>
      <c r="P814" s="189">
        <v>8</v>
      </c>
      <c r="Q814" s="189">
        <v>8</v>
      </c>
      <c r="R814" s="189">
        <v>8</v>
      </c>
      <c r="S814" s="189">
        <v>8</v>
      </c>
      <c r="T814" s="184" t="s">
        <v>63</v>
      </c>
      <c r="U814" s="283" t="s">
        <v>2510</v>
      </c>
      <c r="V814" s="184" t="s">
        <v>3092</v>
      </c>
      <c r="W814" s="184">
        <v>1</v>
      </c>
      <c r="X814" s="184">
        <v>1</v>
      </c>
      <c r="Y814" s="184">
        <v>0</v>
      </c>
      <c r="Z814" s="184">
        <v>1</v>
      </c>
      <c r="AA814" s="184">
        <v>1</v>
      </c>
      <c r="AB814" s="184">
        <v>1</v>
      </c>
      <c r="AC814" s="316">
        <v>0</v>
      </c>
      <c r="AD814" s="316">
        <v>1</v>
      </c>
      <c r="AE814" s="302">
        <f t="shared" si="71"/>
        <v>0.75</v>
      </c>
      <c r="AF814" s="186"/>
      <c r="AG814" s="17">
        <v>0</v>
      </c>
      <c r="AH814" s="186">
        <v>0.35</v>
      </c>
      <c r="AI814" s="186">
        <v>0.4</v>
      </c>
      <c r="AJ814" s="186">
        <v>0.45</v>
      </c>
      <c r="AK814" s="187">
        <v>0.5</v>
      </c>
      <c r="AL814" s="187">
        <v>0.55000000000000004</v>
      </c>
      <c r="AM814" s="17">
        <f t="shared" si="72"/>
        <v>1.05</v>
      </c>
      <c r="AN814" s="184" t="s">
        <v>63</v>
      </c>
      <c r="AO814" s="168" t="s">
        <v>2510</v>
      </c>
      <c r="AP814" s="184" t="s">
        <v>119</v>
      </c>
    </row>
    <row r="815" spans="1:42" s="184" customFormat="1" x14ac:dyDescent="0.3">
      <c r="A815" s="183" t="s">
        <v>1453</v>
      </c>
      <c r="B815" s="184" t="s">
        <v>2496</v>
      </c>
      <c r="C815" s="183" t="s">
        <v>3003</v>
      </c>
      <c r="D815" s="184" t="s">
        <v>3004</v>
      </c>
      <c r="E815" s="183" t="s">
        <v>3005</v>
      </c>
      <c r="F815" s="184" t="s">
        <v>3006</v>
      </c>
      <c r="G815" s="183" t="s">
        <v>3087</v>
      </c>
      <c r="H815" s="184" t="s">
        <v>3088</v>
      </c>
      <c r="J815" s="188"/>
      <c r="K815" s="195" t="s">
        <v>3089</v>
      </c>
      <c r="L815" s="184" t="s">
        <v>3090</v>
      </c>
      <c r="M815" s="184" t="s">
        <v>3093</v>
      </c>
      <c r="N815" s="189"/>
      <c r="O815" s="189" t="s">
        <v>271</v>
      </c>
      <c r="P815" s="189" t="s">
        <v>271</v>
      </c>
      <c r="Q815" s="189">
        <v>1</v>
      </c>
      <c r="R815" s="189">
        <v>1</v>
      </c>
      <c r="S815" s="189">
        <v>2</v>
      </c>
      <c r="T815" s="184" t="s">
        <v>63</v>
      </c>
      <c r="U815" s="283" t="s">
        <v>2510</v>
      </c>
      <c r="V815" s="184" t="s">
        <v>3094</v>
      </c>
      <c r="W815" s="184">
        <v>1</v>
      </c>
      <c r="X815" s="184">
        <v>1</v>
      </c>
      <c r="Y815" s="184">
        <v>0</v>
      </c>
      <c r="Z815" s="184">
        <v>1</v>
      </c>
      <c r="AA815" s="184">
        <v>1</v>
      </c>
      <c r="AB815" s="184">
        <v>1</v>
      </c>
      <c r="AC815" s="316">
        <v>0</v>
      </c>
      <c r="AD815" s="316">
        <v>1</v>
      </c>
      <c r="AE815" s="302">
        <f t="shared" si="71"/>
        <v>0.75</v>
      </c>
      <c r="AF815" s="186"/>
      <c r="AG815" s="17">
        <v>0</v>
      </c>
      <c r="AH815" s="186">
        <v>0.1</v>
      </c>
      <c r="AI815" s="186">
        <v>0.2</v>
      </c>
      <c r="AJ815" s="186">
        <v>0.2</v>
      </c>
      <c r="AK815" s="187">
        <v>0.25</v>
      </c>
      <c r="AL815" s="187">
        <v>0.3</v>
      </c>
      <c r="AM815" s="17">
        <f t="shared" si="72"/>
        <v>0.55000000000000004</v>
      </c>
      <c r="AN815" s="184" t="s">
        <v>63</v>
      </c>
      <c r="AO815" s="168" t="s">
        <v>2510</v>
      </c>
      <c r="AP815" s="184" t="s">
        <v>119</v>
      </c>
    </row>
    <row r="816" spans="1:42" s="184" customFormat="1" x14ac:dyDescent="0.3">
      <c r="A816" s="183" t="s">
        <v>1453</v>
      </c>
      <c r="B816" s="184" t="s">
        <v>2496</v>
      </c>
      <c r="C816" s="183" t="s">
        <v>3003</v>
      </c>
      <c r="D816" s="184" t="s">
        <v>3004</v>
      </c>
      <c r="E816" s="183" t="s">
        <v>3005</v>
      </c>
      <c r="F816" s="184" t="s">
        <v>3006</v>
      </c>
      <c r="G816" s="183" t="s">
        <v>3087</v>
      </c>
      <c r="H816" s="184" t="s">
        <v>3088</v>
      </c>
      <c r="J816" s="188"/>
      <c r="K816" s="195" t="s">
        <v>3095</v>
      </c>
      <c r="L816" s="184" t="s">
        <v>3096</v>
      </c>
      <c r="M816" s="184" t="s">
        <v>3097</v>
      </c>
      <c r="N816" s="189"/>
      <c r="O816" s="189">
        <v>135</v>
      </c>
      <c r="P816" s="189">
        <v>135</v>
      </c>
      <c r="Q816" s="189">
        <v>135</v>
      </c>
      <c r="R816" s="189">
        <v>135</v>
      </c>
      <c r="S816" s="189">
        <v>135</v>
      </c>
      <c r="T816" s="184" t="s">
        <v>63</v>
      </c>
      <c r="U816" s="283" t="s">
        <v>2510</v>
      </c>
      <c r="V816" s="184" t="s">
        <v>3098</v>
      </c>
      <c r="W816" s="184">
        <v>1</v>
      </c>
      <c r="X816" s="184">
        <v>1</v>
      </c>
      <c r="Y816" s="184">
        <v>0</v>
      </c>
      <c r="Z816" s="184">
        <v>1</v>
      </c>
      <c r="AA816" s="184">
        <v>1</v>
      </c>
      <c r="AB816" s="184">
        <v>1</v>
      </c>
      <c r="AC816" s="316">
        <v>0</v>
      </c>
      <c r="AD816" s="316">
        <v>1</v>
      </c>
      <c r="AE816" s="302">
        <f t="shared" si="71"/>
        <v>0.75</v>
      </c>
      <c r="AF816" s="186"/>
      <c r="AG816" s="17">
        <v>0</v>
      </c>
      <c r="AH816" s="186">
        <v>0.2</v>
      </c>
      <c r="AI816" s="186">
        <v>0.3</v>
      </c>
      <c r="AJ816" s="186">
        <v>0.4</v>
      </c>
      <c r="AK816" s="187">
        <v>0.8</v>
      </c>
      <c r="AL816" s="187">
        <v>0.9</v>
      </c>
      <c r="AM816" s="17">
        <f t="shared" si="72"/>
        <v>1.7000000000000002</v>
      </c>
      <c r="AN816" s="184" t="s">
        <v>63</v>
      </c>
      <c r="AO816" s="168" t="s">
        <v>2510</v>
      </c>
      <c r="AP816" s="184" t="s">
        <v>119</v>
      </c>
    </row>
    <row r="817" spans="1:42" s="184" customFormat="1" x14ac:dyDescent="0.3">
      <c r="A817" s="183" t="s">
        <v>1453</v>
      </c>
      <c r="B817" s="184" t="s">
        <v>2496</v>
      </c>
      <c r="C817" s="183" t="s">
        <v>3003</v>
      </c>
      <c r="D817" s="184" t="s">
        <v>3004</v>
      </c>
      <c r="E817" s="183" t="s">
        <v>3005</v>
      </c>
      <c r="F817" s="184" t="s">
        <v>3006</v>
      </c>
      <c r="G817" s="183" t="s">
        <v>3087</v>
      </c>
      <c r="H817" s="184" t="s">
        <v>3088</v>
      </c>
      <c r="J817" s="188"/>
      <c r="K817" s="195" t="s">
        <v>3095</v>
      </c>
      <c r="L817" s="184" t="s">
        <v>3096</v>
      </c>
      <c r="M817" s="184" t="s">
        <v>3099</v>
      </c>
      <c r="N817" s="189"/>
      <c r="O817" s="189">
        <v>8</v>
      </c>
      <c r="P817" s="189">
        <v>8</v>
      </c>
      <c r="Q817" s="189">
        <v>8</v>
      </c>
      <c r="R817" s="189">
        <v>8</v>
      </c>
      <c r="S817" s="189">
        <v>8</v>
      </c>
      <c r="T817" s="184" t="s">
        <v>63</v>
      </c>
      <c r="U817" s="283" t="s">
        <v>2510</v>
      </c>
      <c r="V817" s="184" t="s">
        <v>3100</v>
      </c>
      <c r="W817" s="184">
        <v>1</v>
      </c>
      <c r="X817" s="184">
        <v>1</v>
      </c>
      <c r="Y817" s="184">
        <v>0</v>
      </c>
      <c r="Z817" s="184">
        <v>1</v>
      </c>
      <c r="AA817" s="184">
        <v>1</v>
      </c>
      <c r="AB817" s="184">
        <v>1</v>
      </c>
      <c r="AC817" s="316">
        <v>0</v>
      </c>
      <c r="AD817" s="316">
        <v>1</v>
      </c>
      <c r="AE817" s="302">
        <f t="shared" si="71"/>
        <v>0.75</v>
      </c>
      <c r="AF817" s="186"/>
      <c r="AG817" s="17">
        <v>0</v>
      </c>
      <c r="AH817" s="186">
        <v>0.2</v>
      </c>
      <c r="AI817" s="186">
        <v>0.2</v>
      </c>
      <c r="AJ817" s="186">
        <v>0.3</v>
      </c>
      <c r="AK817" s="187">
        <v>0.4</v>
      </c>
      <c r="AL817" s="187">
        <v>0.5</v>
      </c>
      <c r="AM817" s="17">
        <f t="shared" si="72"/>
        <v>0.9</v>
      </c>
      <c r="AN817" s="184" t="s">
        <v>63</v>
      </c>
      <c r="AO817" s="168" t="s">
        <v>2510</v>
      </c>
      <c r="AP817" s="184" t="s">
        <v>119</v>
      </c>
    </row>
    <row r="818" spans="1:42" s="184" customFormat="1" x14ac:dyDescent="0.3">
      <c r="A818" s="183" t="s">
        <v>1453</v>
      </c>
      <c r="B818" s="184" t="s">
        <v>2496</v>
      </c>
      <c r="C818" s="183" t="s">
        <v>3003</v>
      </c>
      <c r="D818" s="184" t="s">
        <v>3004</v>
      </c>
      <c r="E818" s="183" t="s">
        <v>3005</v>
      </c>
      <c r="F818" s="184" t="s">
        <v>3006</v>
      </c>
      <c r="G818" s="183" t="s">
        <v>3087</v>
      </c>
      <c r="H818" s="184" t="s">
        <v>3088</v>
      </c>
      <c r="J818" s="188"/>
      <c r="K818" s="195" t="s">
        <v>3095</v>
      </c>
      <c r="L818" s="184" t="s">
        <v>3096</v>
      </c>
      <c r="M818" s="184" t="s">
        <v>3101</v>
      </c>
      <c r="N818" s="189"/>
      <c r="O818" s="189">
        <v>500</v>
      </c>
      <c r="P818" s="189">
        <v>1000</v>
      </c>
      <c r="Q818" s="189">
        <v>5000</v>
      </c>
      <c r="R818" s="189">
        <v>10000</v>
      </c>
      <c r="S818" s="189">
        <v>15000</v>
      </c>
      <c r="T818" s="184" t="s">
        <v>63</v>
      </c>
      <c r="U818" s="283" t="s">
        <v>2510</v>
      </c>
      <c r="V818" s="184" t="s">
        <v>3102</v>
      </c>
      <c r="W818" s="184">
        <v>1</v>
      </c>
      <c r="X818" s="184">
        <v>1</v>
      </c>
      <c r="Y818" s="184">
        <v>0</v>
      </c>
      <c r="Z818" s="184">
        <v>1</v>
      </c>
      <c r="AA818" s="184">
        <v>1</v>
      </c>
      <c r="AB818" s="184">
        <v>1</v>
      </c>
      <c r="AC818" s="316">
        <v>0</v>
      </c>
      <c r="AD818" s="316">
        <v>1</v>
      </c>
      <c r="AE818" s="302">
        <f t="shared" si="71"/>
        <v>0.75</v>
      </c>
      <c r="AF818" s="186"/>
      <c r="AG818" s="17">
        <v>0</v>
      </c>
      <c r="AH818" s="186">
        <v>0.2</v>
      </c>
      <c r="AI818" s="186">
        <v>0.4</v>
      </c>
      <c r="AJ818" s="186">
        <v>0.6</v>
      </c>
      <c r="AK818" s="187">
        <v>0.8</v>
      </c>
      <c r="AL818" s="187">
        <v>1</v>
      </c>
      <c r="AM818" s="17">
        <f t="shared" si="72"/>
        <v>1.8</v>
      </c>
      <c r="AN818" s="184" t="s">
        <v>63</v>
      </c>
      <c r="AO818" s="168" t="s">
        <v>2510</v>
      </c>
      <c r="AP818" s="184" t="s">
        <v>119</v>
      </c>
    </row>
    <row r="819" spans="1:42" s="184" customFormat="1" x14ac:dyDescent="0.3">
      <c r="A819" s="183" t="s">
        <v>1453</v>
      </c>
      <c r="B819" s="184" t="s">
        <v>2496</v>
      </c>
      <c r="C819" s="183" t="s">
        <v>3003</v>
      </c>
      <c r="D819" s="184" t="s">
        <v>3004</v>
      </c>
      <c r="E819" s="183" t="s">
        <v>3005</v>
      </c>
      <c r="F819" s="184" t="s">
        <v>3006</v>
      </c>
      <c r="G819" s="183" t="s">
        <v>3103</v>
      </c>
      <c r="H819" s="184" t="s">
        <v>3104</v>
      </c>
      <c r="J819" s="188"/>
      <c r="K819" s="183" t="s">
        <v>3105</v>
      </c>
      <c r="L819" s="184" t="s">
        <v>3106</v>
      </c>
      <c r="M819" s="184" t="s">
        <v>3107</v>
      </c>
      <c r="N819" s="189">
        <v>0</v>
      </c>
      <c r="O819" s="189">
        <v>5</v>
      </c>
      <c r="P819" s="189">
        <v>10</v>
      </c>
      <c r="Q819" s="189">
        <v>20</v>
      </c>
      <c r="R819" s="189">
        <v>30</v>
      </c>
      <c r="S819" s="189">
        <v>40</v>
      </c>
      <c r="T819" s="184" t="s">
        <v>63</v>
      </c>
      <c r="U819" s="283" t="s">
        <v>2510</v>
      </c>
      <c r="V819" s="184" t="s">
        <v>3108</v>
      </c>
      <c r="W819" s="184">
        <v>1</v>
      </c>
      <c r="X819" s="184">
        <v>1</v>
      </c>
      <c r="Y819" s="184">
        <v>0</v>
      </c>
      <c r="Z819" s="184">
        <v>1</v>
      </c>
      <c r="AA819" s="184">
        <v>1</v>
      </c>
      <c r="AB819" s="184">
        <v>1</v>
      </c>
      <c r="AC819" s="316">
        <v>0</v>
      </c>
      <c r="AD819" s="316">
        <v>1</v>
      </c>
      <c r="AE819" s="302">
        <f t="shared" si="71"/>
        <v>0.75</v>
      </c>
      <c r="AF819" s="186"/>
      <c r="AG819" s="17">
        <v>0</v>
      </c>
      <c r="AH819" s="186">
        <v>0</v>
      </c>
      <c r="AI819" s="186">
        <v>0.35</v>
      </c>
      <c r="AJ819" s="186">
        <v>0</v>
      </c>
      <c r="AK819" s="187">
        <v>0.45</v>
      </c>
      <c r="AL819" s="187">
        <v>0.1</v>
      </c>
      <c r="AM819" s="17">
        <f t="shared" si="72"/>
        <v>0.55000000000000004</v>
      </c>
      <c r="AN819" s="184" t="s">
        <v>63</v>
      </c>
      <c r="AO819" s="168" t="s">
        <v>2510</v>
      </c>
      <c r="AP819" s="184" t="s">
        <v>119</v>
      </c>
    </row>
    <row r="820" spans="1:42" s="184" customFormat="1" x14ac:dyDescent="0.3">
      <c r="A820" s="183" t="s">
        <v>1453</v>
      </c>
      <c r="B820" s="184" t="s">
        <v>2496</v>
      </c>
      <c r="C820" s="183" t="s">
        <v>2498</v>
      </c>
      <c r="D820" s="184" t="s">
        <v>2499</v>
      </c>
      <c r="E820" s="183" t="s">
        <v>3109</v>
      </c>
      <c r="F820" s="184" t="s">
        <v>3110</v>
      </c>
      <c r="G820" s="183" t="s">
        <v>3111</v>
      </c>
      <c r="H820" s="184" t="s">
        <v>3112</v>
      </c>
      <c r="J820" s="188"/>
      <c r="K820" s="183" t="s">
        <v>3113</v>
      </c>
      <c r="L820" s="184" t="s">
        <v>3114</v>
      </c>
      <c r="M820" s="184" t="s">
        <v>3115</v>
      </c>
      <c r="N820" s="189"/>
      <c r="O820" s="189" t="s">
        <v>271</v>
      </c>
      <c r="P820" s="189" t="s">
        <v>271</v>
      </c>
      <c r="Q820" s="189">
        <v>1</v>
      </c>
      <c r="R820" s="189">
        <v>0</v>
      </c>
      <c r="S820" s="189">
        <v>1</v>
      </c>
      <c r="T820" s="184" t="s">
        <v>63</v>
      </c>
      <c r="U820" s="283" t="s">
        <v>2510</v>
      </c>
      <c r="V820" s="184" t="s">
        <v>3116</v>
      </c>
      <c r="W820" s="184">
        <v>1</v>
      </c>
      <c r="X820" s="184">
        <v>1</v>
      </c>
      <c r="Y820" s="184">
        <v>0</v>
      </c>
      <c r="Z820" s="184">
        <v>1</v>
      </c>
      <c r="AA820" s="184">
        <v>1</v>
      </c>
      <c r="AB820" s="184">
        <v>1</v>
      </c>
      <c r="AC820" s="316">
        <v>0</v>
      </c>
      <c r="AD820" s="316">
        <v>1</v>
      </c>
      <c r="AE820" s="302">
        <f t="shared" si="71"/>
        <v>0.75</v>
      </c>
      <c r="AF820" s="186"/>
      <c r="AG820" s="17">
        <v>0</v>
      </c>
      <c r="AH820" s="186">
        <v>0</v>
      </c>
      <c r="AI820" s="186">
        <v>0</v>
      </c>
      <c r="AJ820" s="186">
        <v>4</v>
      </c>
      <c r="AK820" s="187">
        <v>0</v>
      </c>
      <c r="AL820" s="187">
        <v>15</v>
      </c>
      <c r="AM820" s="17">
        <f t="shared" si="72"/>
        <v>15</v>
      </c>
      <c r="AN820" s="184" t="s">
        <v>63</v>
      </c>
      <c r="AO820" s="168" t="s">
        <v>2510</v>
      </c>
      <c r="AP820" s="184" t="s">
        <v>119</v>
      </c>
    </row>
    <row r="821" spans="1:42" s="184" customFormat="1" x14ac:dyDescent="0.3">
      <c r="A821" s="183" t="s">
        <v>1453</v>
      </c>
      <c r="B821" s="184" t="s">
        <v>2496</v>
      </c>
      <c r="C821" s="183" t="s">
        <v>2498</v>
      </c>
      <c r="D821" s="184" t="s">
        <v>2499</v>
      </c>
      <c r="E821" s="183" t="s">
        <v>3109</v>
      </c>
      <c r="F821" s="184" t="s">
        <v>3110</v>
      </c>
      <c r="G821" s="183" t="s">
        <v>3111</v>
      </c>
      <c r="H821" s="184" t="s">
        <v>3112</v>
      </c>
      <c r="J821" s="188"/>
      <c r="K821" s="183" t="s">
        <v>3113</v>
      </c>
      <c r="L821" s="184" t="s">
        <v>3114</v>
      </c>
      <c r="M821" s="184" t="s">
        <v>3117</v>
      </c>
      <c r="N821" s="189"/>
      <c r="O821" s="189" t="s">
        <v>271</v>
      </c>
      <c r="P821" s="189">
        <v>1</v>
      </c>
      <c r="Q821" s="189">
        <v>1</v>
      </c>
      <c r="R821" s="189">
        <v>1</v>
      </c>
      <c r="S821" s="189">
        <v>1</v>
      </c>
      <c r="T821" s="184" t="s">
        <v>63</v>
      </c>
      <c r="U821" s="283" t="s">
        <v>2510</v>
      </c>
      <c r="V821" s="184" t="s">
        <v>3118</v>
      </c>
      <c r="W821" s="184">
        <v>1</v>
      </c>
      <c r="X821" s="184">
        <v>1</v>
      </c>
      <c r="Y821" s="184">
        <v>1</v>
      </c>
      <c r="Z821" s="184">
        <v>1</v>
      </c>
      <c r="AA821" s="184">
        <v>1</v>
      </c>
      <c r="AB821" s="184">
        <v>1</v>
      </c>
      <c r="AC821" s="316">
        <v>1</v>
      </c>
      <c r="AD821" s="316">
        <v>1</v>
      </c>
      <c r="AE821" s="302">
        <f t="shared" si="71"/>
        <v>1</v>
      </c>
      <c r="AF821" s="186"/>
      <c r="AG821" s="17">
        <v>0</v>
      </c>
      <c r="AH821" s="186">
        <v>0</v>
      </c>
      <c r="AI821" s="186">
        <v>10</v>
      </c>
      <c r="AJ821" s="186">
        <v>10</v>
      </c>
      <c r="AK821" s="187">
        <v>10</v>
      </c>
      <c r="AL821" s="187">
        <v>10</v>
      </c>
      <c r="AM821" s="17">
        <f t="shared" si="72"/>
        <v>20</v>
      </c>
      <c r="AN821" s="184" t="s">
        <v>63</v>
      </c>
      <c r="AO821" s="168" t="s">
        <v>2510</v>
      </c>
      <c r="AP821" s="184" t="s">
        <v>119</v>
      </c>
    </row>
    <row r="822" spans="1:42" s="184" customFormat="1" x14ac:dyDescent="0.3">
      <c r="A822" s="183" t="s">
        <v>1453</v>
      </c>
      <c r="B822" s="184" t="s">
        <v>2496</v>
      </c>
      <c r="C822" s="183" t="s">
        <v>2498</v>
      </c>
      <c r="D822" s="184" t="s">
        <v>2499</v>
      </c>
      <c r="E822" s="183" t="s">
        <v>3109</v>
      </c>
      <c r="F822" s="184" t="s">
        <v>3110</v>
      </c>
      <c r="G822" s="183" t="s">
        <v>3111</v>
      </c>
      <c r="H822" s="184" t="s">
        <v>3112</v>
      </c>
      <c r="J822" s="188"/>
      <c r="K822" s="183" t="s">
        <v>3113</v>
      </c>
      <c r="L822" s="184" t="s">
        <v>3114</v>
      </c>
      <c r="M822" s="184" t="s">
        <v>3119</v>
      </c>
      <c r="N822" s="189"/>
      <c r="O822" s="189"/>
      <c r="P822" s="189"/>
      <c r="Q822" s="189"/>
      <c r="R822" s="189"/>
      <c r="S822" s="189"/>
      <c r="T822" s="184" t="s">
        <v>2528</v>
      </c>
      <c r="U822" s="283" t="s">
        <v>2530</v>
      </c>
      <c r="V822" s="184" t="s">
        <v>3120</v>
      </c>
      <c r="W822" s="184">
        <v>1</v>
      </c>
      <c r="X822" s="184">
        <v>1</v>
      </c>
      <c r="Y822" s="184">
        <v>1</v>
      </c>
      <c r="Z822" s="184">
        <v>1</v>
      </c>
      <c r="AA822" s="184">
        <v>1</v>
      </c>
      <c r="AB822" s="184">
        <v>1</v>
      </c>
      <c r="AC822" s="316">
        <v>1</v>
      </c>
      <c r="AD822" s="316">
        <v>1</v>
      </c>
      <c r="AE822" s="302">
        <f t="shared" si="71"/>
        <v>1</v>
      </c>
      <c r="AF822" s="186"/>
      <c r="AG822" s="17">
        <v>0</v>
      </c>
      <c r="AH822" s="186">
        <v>170</v>
      </c>
      <c r="AI822" s="186">
        <v>200</v>
      </c>
      <c r="AJ822" s="186">
        <v>0</v>
      </c>
      <c r="AK822" s="187">
        <v>0</v>
      </c>
      <c r="AL822" s="187">
        <v>0</v>
      </c>
      <c r="AM822" s="17">
        <f t="shared" si="72"/>
        <v>0</v>
      </c>
      <c r="AN822" s="184" t="s">
        <v>2528</v>
      </c>
      <c r="AO822" s="168" t="s">
        <v>2530</v>
      </c>
      <c r="AP822" s="184" t="s">
        <v>119</v>
      </c>
    </row>
    <row r="823" spans="1:42" s="184" customFormat="1" x14ac:dyDescent="0.3">
      <c r="A823" s="183" t="s">
        <v>1453</v>
      </c>
      <c r="B823" s="184" t="s">
        <v>2496</v>
      </c>
      <c r="C823" s="183" t="s">
        <v>2498</v>
      </c>
      <c r="D823" s="184" t="s">
        <v>2499</v>
      </c>
      <c r="E823" s="183" t="s">
        <v>3109</v>
      </c>
      <c r="F823" s="184" t="s">
        <v>3110</v>
      </c>
      <c r="G823" s="183" t="s">
        <v>3111</v>
      </c>
      <c r="H823" s="184" t="s">
        <v>3112</v>
      </c>
      <c r="J823" s="188"/>
      <c r="K823" s="183" t="s">
        <v>3121</v>
      </c>
      <c r="L823" s="184" t="s">
        <v>3122</v>
      </c>
      <c r="M823" s="184" t="s">
        <v>3123</v>
      </c>
      <c r="N823" s="189"/>
      <c r="O823" s="189">
        <v>4</v>
      </c>
      <c r="P823" s="189">
        <v>4</v>
      </c>
      <c r="Q823" s="189">
        <v>4</v>
      </c>
      <c r="R823" s="189">
        <v>4</v>
      </c>
      <c r="S823" s="189">
        <v>4</v>
      </c>
      <c r="T823" s="184" t="s">
        <v>63</v>
      </c>
      <c r="U823" s="283" t="s">
        <v>2510</v>
      </c>
      <c r="V823" s="184" t="s">
        <v>3124</v>
      </c>
      <c r="W823" s="184">
        <v>1</v>
      </c>
      <c r="X823" s="184">
        <v>1</v>
      </c>
      <c r="Y823" s="184">
        <v>0</v>
      </c>
      <c r="Z823" s="184">
        <v>1</v>
      </c>
      <c r="AA823" s="184">
        <v>1</v>
      </c>
      <c r="AB823" s="184">
        <v>1</v>
      </c>
      <c r="AC823" s="316">
        <v>0</v>
      </c>
      <c r="AD823" s="316">
        <v>1</v>
      </c>
      <c r="AE823" s="302">
        <f t="shared" si="71"/>
        <v>0.75</v>
      </c>
      <c r="AF823" s="186"/>
      <c r="AG823" s="17">
        <v>0</v>
      </c>
      <c r="AH823" s="186">
        <v>9.1999999999999993</v>
      </c>
      <c r="AI823" s="186">
        <v>9.4</v>
      </c>
      <c r="AJ823" s="186">
        <v>9.5</v>
      </c>
      <c r="AK823" s="187">
        <v>9.5</v>
      </c>
      <c r="AL823" s="187">
        <v>9.5</v>
      </c>
      <c r="AM823" s="17">
        <f t="shared" si="72"/>
        <v>19</v>
      </c>
      <c r="AN823" s="184" t="s">
        <v>63</v>
      </c>
      <c r="AO823" s="168" t="s">
        <v>2510</v>
      </c>
      <c r="AP823" s="184" t="s">
        <v>119</v>
      </c>
    </row>
    <row r="824" spans="1:42" s="184" customFormat="1" x14ac:dyDescent="0.3">
      <c r="A824" s="183" t="s">
        <v>1453</v>
      </c>
      <c r="B824" s="184" t="s">
        <v>2496</v>
      </c>
      <c r="C824" s="183" t="s">
        <v>2498</v>
      </c>
      <c r="D824" s="184" t="s">
        <v>2499</v>
      </c>
      <c r="E824" s="183" t="s">
        <v>3109</v>
      </c>
      <c r="F824" s="184" t="s">
        <v>3110</v>
      </c>
      <c r="G824" s="183" t="s">
        <v>3111</v>
      </c>
      <c r="H824" s="184" t="s">
        <v>3112</v>
      </c>
      <c r="J824" s="188"/>
      <c r="K824" s="183" t="s">
        <v>3121</v>
      </c>
      <c r="L824" s="184" t="s">
        <v>3122</v>
      </c>
      <c r="M824" s="184" t="s">
        <v>3125</v>
      </c>
      <c r="N824" s="189"/>
      <c r="O824" s="189">
        <v>5200</v>
      </c>
      <c r="P824" s="189">
        <v>5200</v>
      </c>
      <c r="Q824" s="189">
        <v>5200</v>
      </c>
      <c r="R824" s="189">
        <v>5200</v>
      </c>
      <c r="S824" s="189">
        <v>5200</v>
      </c>
      <c r="T824" s="184" t="s">
        <v>63</v>
      </c>
      <c r="U824" s="283" t="s">
        <v>2510</v>
      </c>
      <c r="V824" s="184" t="s">
        <v>3126</v>
      </c>
      <c r="W824" s="184">
        <v>1</v>
      </c>
      <c r="X824" s="184">
        <v>1</v>
      </c>
      <c r="Y824" s="184">
        <v>0</v>
      </c>
      <c r="Z824" s="184">
        <v>1</v>
      </c>
      <c r="AA824" s="184">
        <v>1</v>
      </c>
      <c r="AB824" s="184">
        <v>1</v>
      </c>
      <c r="AC824" s="316">
        <v>1</v>
      </c>
      <c r="AD824" s="316">
        <v>1</v>
      </c>
      <c r="AE824" s="302">
        <f t="shared" si="71"/>
        <v>0.875</v>
      </c>
      <c r="AF824" s="186"/>
      <c r="AG824" s="17">
        <v>0</v>
      </c>
      <c r="AH824" s="186">
        <v>19.55</v>
      </c>
      <c r="AI824" s="186">
        <v>21.75</v>
      </c>
      <c r="AJ824" s="186">
        <v>21.75</v>
      </c>
      <c r="AK824" s="187">
        <v>21.75</v>
      </c>
      <c r="AL824" s="187">
        <v>21.75</v>
      </c>
      <c r="AM824" s="17">
        <f t="shared" si="72"/>
        <v>43.5</v>
      </c>
      <c r="AN824" s="184" t="s">
        <v>63</v>
      </c>
      <c r="AO824" s="168" t="s">
        <v>2510</v>
      </c>
      <c r="AP824" s="184" t="s">
        <v>119</v>
      </c>
    </row>
    <row r="825" spans="1:42" s="184" customFormat="1" x14ac:dyDescent="0.3">
      <c r="A825" s="183" t="s">
        <v>1453</v>
      </c>
      <c r="B825" s="184" t="s">
        <v>2496</v>
      </c>
      <c r="C825" s="183" t="s">
        <v>2498</v>
      </c>
      <c r="D825" s="184" t="s">
        <v>2499</v>
      </c>
      <c r="E825" s="183" t="s">
        <v>3109</v>
      </c>
      <c r="F825" s="184" t="s">
        <v>3110</v>
      </c>
      <c r="G825" s="183" t="s">
        <v>3111</v>
      </c>
      <c r="H825" s="184" t="s">
        <v>3112</v>
      </c>
      <c r="J825" s="188"/>
      <c r="K825" s="183" t="s">
        <v>3121</v>
      </c>
      <c r="L825" s="184" t="s">
        <v>3122</v>
      </c>
      <c r="M825" s="184" t="s">
        <v>3127</v>
      </c>
      <c r="N825" s="189"/>
      <c r="O825" s="189">
        <v>95</v>
      </c>
      <c r="P825" s="189">
        <v>95</v>
      </c>
      <c r="Q825" s="189">
        <v>95</v>
      </c>
      <c r="R825" s="189">
        <v>95</v>
      </c>
      <c r="S825" s="189">
        <v>95</v>
      </c>
      <c r="T825" s="184" t="s">
        <v>63</v>
      </c>
      <c r="U825" s="283" t="s">
        <v>2510</v>
      </c>
      <c r="V825" s="184" t="s">
        <v>3128</v>
      </c>
      <c r="W825" s="184">
        <v>1</v>
      </c>
      <c r="X825" s="184">
        <v>1</v>
      </c>
      <c r="Y825" s="184">
        <v>0</v>
      </c>
      <c r="Z825" s="184">
        <v>1</v>
      </c>
      <c r="AA825" s="184">
        <v>1</v>
      </c>
      <c r="AB825" s="184">
        <v>1</v>
      </c>
      <c r="AC825" s="316">
        <v>0</v>
      </c>
      <c r="AD825" s="316">
        <v>1</v>
      </c>
      <c r="AE825" s="302">
        <f t="shared" si="71"/>
        <v>0.75</v>
      </c>
      <c r="AF825" s="186"/>
      <c r="AG825" s="17">
        <v>0</v>
      </c>
      <c r="AH825" s="186">
        <v>0.2</v>
      </c>
      <c r="AI825" s="186">
        <v>0.5</v>
      </c>
      <c r="AJ825" s="186">
        <v>0.5</v>
      </c>
      <c r="AK825" s="187">
        <v>0.5</v>
      </c>
      <c r="AL825" s="187">
        <v>0.6</v>
      </c>
      <c r="AM825" s="17">
        <f t="shared" si="72"/>
        <v>1.1000000000000001</v>
      </c>
      <c r="AN825" s="184" t="s">
        <v>63</v>
      </c>
      <c r="AO825" s="168" t="s">
        <v>2510</v>
      </c>
      <c r="AP825" s="184" t="s">
        <v>119</v>
      </c>
    </row>
    <row r="826" spans="1:42" s="184" customFormat="1" x14ac:dyDescent="0.3">
      <c r="A826" s="183" t="s">
        <v>1453</v>
      </c>
      <c r="B826" s="184" t="s">
        <v>2496</v>
      </c>
      <c r="C826" s="183" t="s">
        <v>2498</v>
      </c>
      <c r="D826" s="184" t="s">
        <v>2499</v>
      </c>
      <c r="E826" s="183" t="s">
        <v>3109</v>
      </c>
      <c r="F826" s="184" t="s">
        <v>3110</v>
      </c>
      <c r="G826" s="183" t="s">
        <v>3111</v>
      </c>
      <c r="H826" s="184" t="s">
        <v>3112</v>
      </c>
      <c r="J826" s="188"/>
      <c r="K826" s="183" t="s">
        <v>3121</v>
      </c>
      <c r="L826" s="184" t="s">
        <v>3122</v>
      </c>
      <c r="M826" s="184" t="s">
        <v>3129</v>
      </c>
      <c r="N826" s="189"/>
      <c r="O826" s="189">
        <v>1</v>
      </c>
      <c r="P826" s="189">
        <v>1</v>
      </c>
      <c r="Q826" s="189">
        <v>1</v>
      </c>
      <c r="R826" s="189">
        <v>1</v>
      </c>
      <c r="S826" s="189">
        <v>1</v>
      </c>
      <c r="T826" s="184" t="s">
        <v>63</v>
      </c>
      <c r="U826" s="283" t="s">
        <v>2510</v>
      </c>
      <c r="V826" s="184" t="s">
        <v>3130</v>
      </c>
      <c r="W826" s="184">
        <v>1</v>
      </c>
      <c r="X826" s="184">
        <v>1</v>
      </c>
      <c r="Y826" s="184">
        <v>0</v>
      </c>
      <c r="Z826" s="184">
        <v>1</v>
      </c>
      <c r="AA826" s="184">
        <v>1</v>
      </c>
      <c r="AB826" s="184">
        <v>1</v>
      </c>
      <c r="AC826" s="316">
        <v>0</v>
      </c>
      <c r="AD826" s="316">
        <v>1</v>
      </c>
      <c r="AE826" s="302">
        <f t="shared" si="71"/>
        <v>0.75</v>
      </c>
      <c r="AF826" s="186"/>
      <c r="AG826" s="17">
        <v>0</v>
      </c>
      <c r="AH826" s="186">
        <v>0.41</v>
      </c>
      <c r="AI826" s="186">
        <v>0.42</v>
      </c>
      <c r="AJ826" s="186">
        <v>0.42</v>
      </c>
      <c r="AK826" s="187">
        <v>0.42</v>
      </c>
      <c r="AL826" s="187">
        <v>0.42</v>
      </c>
      <c r="AM826" s="17">
        <f t="shared" si="72"/>
        <v>0.84</v>
      </c>
      <c r="AN826" s="184" t="s">
        <v>63</v>
      </c>
      <c r="AO826" s="168" t="s">
        <v>2510</v>
      </c>
      <c r="AP826" s="184" t="s">
        <v>119</v>
      </c>
    </row>
    <row r="827" spans="1:42" s="184" customFormat="1" hidden="1" x14ac:dyDescent="0.3">
      <c r="A827" s="183" t="s">
        <v>1453</v>
      </c>
      <c r="B827" s="184" t="s">
        <v>2496</v>
      </c>
      <c r="C827" s="183" t="s">
        <v>2498</v>
      </c>
      <c r="D827" s="184" t="s">
        <v>2499</v>
      </c>
      <c r="E827" s="183" t="s">
        <v>3109</v>
      </c>
      <c r="F827" s="184" t="s">
        <v>3110</v>
      </c>
      <c r="G827" s="183" t="s">
        <v>3111</v>
      </c>
      <c r="H827" s="184" t="s">
        <v>3112</v>
      </c>
      <c r="J827" s="188"/>
      <c r="K827" s="183" t="s">
        <v>3121</v>
      </c>
      <c r="L827" s="184" t="s">
        <v>3122</v>
      </c>
      <c r="M827" s="184" t="s">
        <v>3131</v>
      </c>
      <c r="N827" s="189"/>
      <c r="O827" s="189" t="s">
        <v>271</v>
      </c>
      <c r="P827" s="189">
        <v>1</v>
      </c>
      <c r="Q827" s="189" t="s">
        <v>271</v>
      </c>
      <c r="R827" s="189">
        <v>1</v>
      </c>
      <c r="S827" s="189">
        <v>1</v>
      </c>
      <c r="T827" s="184" t="s">
        <v>63</v>
      </c>
      <c r="U827" s="283" t="s">
        <v>2510</v>
      </c>
      <c r="V827" s="184" t="s">
        <v>3132</v>
      </c>
      <c r="W827" s="184">
        <v>1</v>
      </c>
      <c r="X827" s="184">
        <v>0</v>
      </c>
      <c r="Y827" s="184">
        <v>0</v>
      </c>
      <c r="Z827" s="184">
        <v>1</v>
      </c>
      <c r="AA827" s="184">
        <v>1</v>
      </c>
      <c r="AB827" s="184">
        <v>1</v>
      </c>
      <c r="AC827" s="316">
        <v>0</v>
      </c>
      <c r="AD827" s="316">
        <v>1</v>
      </c>
      <c r="AE827" s="302">
        <f t="shared" si="71"/>
        <v>0.625</v>
      </c>
      <c r="AF827" s="186"/>
      <c r="AG827" s="17">
        <v>0</v>
      </c>
      <c r="AH827" s="186">
        <v>0</v>
      </c>
      <c r="AI827" s="186">
        <v>0</v>
      </c>
      <c r="AJ827" s="186">
        <v>0</v>
      </c>
      <c r="AK827" s="187">
        <v>0</v>
      </c>
      <c r="AL827" s="187">
        <v>0</v>
      </c>
      <c r="AM827" s="17">
        <f t="shared" si="72"/>
        <v>0</v>
      </c>
      <c r="AN827" s="184" t="s">
        <v>63</v>
      </c>
      <c r="AO827" s="168" t="s">
        <v>2510</v>
      </c>
      <c r="AP827" s="184" t="s">
        <v>119</v>
      </c>
    </row>
    <row r="828" spans="1:42" s="184" customFormat="1" hidden="1" x14ac:dyDescent="0.3">
      <c r="A828" s="183" t="s">
        <v>1453</v>
      </c>
      <c r="B828" s="184" t="s">
        <v>2496</v>
      </c>
      <c r="C828" s="183" t="s">
        <v>2498</v>
      </c>
      <c r="D828" s="184" t="s">
        <v>2499</v>
      </c>
      <c r="E828" s="183" t="s">
        <v>3109</v>
      </c>
      <c r="F828" s="184" t="s">
        <v>3110</v>
      </c>
      <c r="G828" s="183" t="s">
        <v>3133</v>
      </c>
      <c r="H828" s="184" t="s">
        <v>3134</v>
      </c>
      <c r="J828" s="188"/>
      <c r="K828" s="195" t="s">
        <v>3135</v>
      </c>
      <c r="L828" s="184" t="s">
        <v>3136</v>
      </c>
      <c r="M828" s="184" t="s">
        <v>3137</v>
      </c>
      <c r="N828" s="189"/>
      <c r="O828" s="189"/>
      <c r="P828" s="189"/>
      <c r="Q828" s="189"/>
      <c r="R828" s="189">
        <v>50</v>
      </c>
      <c r="S828" s="189">
        <v>50</v>
      </c>
      <c r="T828" s="184" t="s">
        <v>63</v>
      </c>
      <c r="U828" s="283" t="s">
        <v>2510</v>
      </c>
      <c r="AC828" s="316">
        <v>0</v>
      </c>
      <c r="AD828" s="316">
        <v>0</v>
      </c>
      <c r="AE828" s="302">
        <f t="shared" si="71"/>
        <v>0</v>
      </c>
      <c r="AF828" s="190"/>
      <c r="AG828" s="17">
        <v>0</v>
      </c>
      <c r="AH828" s="190"/>
      <c r="AI828" s="190"/>
      <c r="AJ828" s="190"/>
      <c r="AK828" s="191"/>
      <c r="AL828" s="191"/>
      <c r="AM828" s="17">
        <f t="shared" si="72"/>
        <v>0</v>
      </c>
      <c r="AO828" s="168"/>
    </row>
    <row r="829" spans="1:42" s="184" customFormat="1" hidden="1" x14ac:dyDescent="0.3">
      <c r="A829" s="183" t="s">
        <v>1453</v>
      </c>
      <c r="B829" s="184" t="s">
        <v>2496</v>
      </c>
      <c r="C829" s="183" t="s">
        <v>2498</v>
      </c>
      <c r="D829" s="184" t="s">
        <v>2499</v>
      </c>
      <c r="E829" s="183" t="s">
        <v>3109</v>
      </c>
      <c r="F829" s="184" t="s">
        <v>3110</v>
      </c>
      <c r="G829" s="183" t="s">
        <v>3133</v>
      </c>
      <c r="H829" s="184" t="s">
        <v>3134</v>
      </c>
      <c r="J829" s="188"/>
      <c r="K829" s="195" t="s">
        <v>3135</v>
      </c>
      <c r="L829" s="184" t="s">
        <v>3136</v>
      </c>
      <c r="M829" s="184" t="s">
        <v>3138</v>
      </c>
      <c r="N829" s="189">
        <v>0</v>
      </c>
      <c r="O829" s="189">
        <v>0</v>
      </c>
      <c r="P829" s="189">
        <v>0</v>
      </c>
      <c r="Q829" s="189">
        <v>0</v>
      </c>
      <c r="R829" s="189">
        <v>0</v>
      </c>
      <c r="S829" s="189">
        <v>1</v>
      </c>
      <c r="T829" s="184" t="s">
        <v>63</v>
      </c>
      <c r="U829" s="283" t="s">
        <v>2510</v>
      </c>
      <c r="AC829" s="316">
        <v>0</v>
      </c>
      <c r="AD829" s="316">
        <v>0</v>
      </c>
      <c r="AE829" s="302">
        <f t="shared" si="71"/>
        <v>0</v>
      </c>
      <c r="AF829" s="190"/>
      <c r="AG829" s="17">
        <v>0</v>
      </c>
      <c r="AH829" s="190"/>
      <c r="AI829" s="190"/>
      <c r="AJ829" s="190"/>
      <c r="AK829" s="191"/>
      <c r="AL829" s="191"/>
      <c r="AM829" s="17">
        <f t="shared" si="72"/>
        <v>0</v>
      </c>
      <c r="AO829" s="168"/>
    </row>
    <row r="830" spans="1:42" s="184" customFormat="1" hidden="1" x14ac:dyDescent="0.3">
      <c r="A830" s="183" t="s">
        <v>1453</v>
      </c>
      <c r="B830" s="184" t="s">
        <v>2496</v>
      </c>
      <c r="C830" s="183" t="s">
        <v>2498</v>
      </c>
      <c r="D830" s="184" t="s">
        <v>2499</v>
      </c>
      <c r="E830" s="183" t="s">
        <v>3109</v>
      </c>
      <c r="F830" s="184" t="s">
        <v>3110</v>
      </c>
      <c r="G830" s="183" t="s">
        <v>3139</v>
      </c>
      <c r="H830" s="184" t="s">
        <v>3140</v>
      </c>
      <c r="J830" s="188"/>
      <c r="K830" s="183" t="s">
        <v>3141</v>
      </c>
      <c r="L830" s="184" t="s">
        <v>3142</v>
      </c>
      <c r="M830" s="184" t="s">
        <v>3143</v>
      </c>
      <c r="N830" s="21"/>
      <c r="O830" s="21" t="s">
        <v>271</v>
      </c>
      <c r="P830" s="21" t="s">
        <v>271</v>
      </c>
      <c r="Q830" s="21">
        <v>5</v>
      </c>
      <c r="R830" s="21" t="s">
        <v>271</v>
      </c>
      <c r="S830" s="21" t="s">
        <v>271</v>
      </c>
      <c r="T830" s="12" t="s">
        <v>2507</v>
      </c>
      <c r="U830" s="283" t="e">
        <v>#N/A</v>
      </c>
      <c r="V830" s="184" t="s">
        <v>3144</v>
      </c>
      <c r="W830" s="184">
        <v>1</v>
      </c>
      <c r="X830" s="184">
        <v>1</v>
      </c>
      <c r="Y830" s="184">
        <v>1</v>
      </c>
      <c r="Z830" s="184">
        <v>0</v>
      </c>
      <c r="AA830" s="184">
        <v>0</v>
      </c>
      <c r="AB830" s="184">
        <v>1</v>
      </c>
      <c r="AC830" s="316">
        <v>0</v>
      </c>
      <c r="AD830" s="316">
        <v>1</v>
      </c>
      <c r="AE830" s="302">
        <f t="shared" si="71"/>
        <v>0.625</v>
      </c>
      <c r="AF830" s="186"/>
      <c r="AG830" s="17">
        <v>0</v>
      </c>
      <c r="AH830" s="186">
        <v>0</v>
      </c>
      <c r="AI830" s="186">
        <v>0</v>
      </c>
      <c r="AJ830" s="186">
        <v>0</v>
      </c>
      <c r="AK830" s="187">
        <v>0</v>
      </c>
      <c r="AL830" s="187">
        <v>0</v>
      </c>
      <c r="AM830" s="17">
        <f t="shared" si="72"/>
        <v>0</v>
      </c>
      <c r="AN830" s="184" t="s">
        <v>2509</v>
      </c>
      <c r="AO830" s="168" t="s">
        <v>2510</v>
      </c>
      <c r="AP830" s="184" t="s">
        <v>119</v>
      </c>
    </row>
    <row r="831" spans="1:42" s="184" customFormat="1" hidden="1" x14ac:dyDescent="0.3">
      <c r="A831" s="183" t="s">
        <v>1453</v>
      </c>
      <c r="B831" s="184" t="s">
        <v>2496</v>
      </c>
      <c r="C831" s="183" t="s">
        <v>2498</v>
      </c>
      <c r="D831" s="184" t="s">
        <v>2499</v>
      </c>
      <c r="E831" s="183" t="s">
        <v>3109</v>
      </c>
      <c r="F831" s="184" t="s">
        <v>3110</v>
      </c>
      <c r="G831" s="183" t="s">
        <v>3139</v>
      </c>
      <c r="H831" s="184" t="s">
        <v>3140</v>
      </c>
      <c r="J831" s="188"/>
      <c r="K831" s="183" t="s">
        <v>3141</v>
      </c>
      <c r="L831" s="184" t="s">
        <v>3142</v>
      </c>
      <c r="M831" s="184" t="s">
        <v>3145</v>
      </c>
      <c r="N831" s="21">
        <v>0</v>
      </c>
      <c r="O831" s="21">
        <v>0</v>
      </c>
      <c r="P831" s="21">
        <v>0</v>
      </c>
      <c r="Q831" s="21">
        <v>1</v>
      </c>
      <c r="R831" s="21">
        <v>2</v>
      </c>
      <c r="S831" s="21">
        <v>0</v>
      </c>
      <c r="T831" s="12" t="s">
        <v>2507</v>
      </c>
      <c r="U831" s="283" t="e">
        <v>#N/A</v>
      </c>
      <c r="AC831" s="316">
        <v>0</v>
      </c>
      <c r="AD831" s="316">
        <v>0</v>
      </c>
      <c r="AE831" s="302">
        <f t="shared" si="71"/>
        <v>0</v>
      </c>
      <c r="AF831" s="190"/>
      <c r="AG831" s="17">
        <v>0</v>
      </c>
      <c r="AH831" s="190"/>
      <c r="AI831" s="190"/>
      <c r="AJ831" s="190"/>
      <c r="AK831" s="191"/>
      <c r="AL831" s="191"/>
      <c r="AM831" s="17">
        <f t="shared" si="72"/>
        <v>0</v>
      </c>
      <c r="AO831" s="168"/>
    </row>
    <row r="832" spans="1:42" s="184" customFormat="1" hidden="1" x14ac:dyDescent="0.3">
      <c r="A832" s="183" t="s">
        <v>1453</v>
      </c>
      <c r="B832" s="184" t="s">
        <v>2496</v>
      </c>
      <c r="C832" s="183" t="s">
        <v>2498</v>
      </c>
      <c r="D832" s="184" t="s">
        <v>2499</v>
      </c>
      <c r="E832" s="183" t="s">
        <v>3109</v>
      </c>
      <c r="F832" s="184" t="s">
        <v>3110</v>
      </c>
      <c r="G832" s="183" t="s">
        <v>3139</v>
      </c>
      <c r="H832" s="184" t="s">
        <v>3140</v>
      </c>
      <c r="J832" s="188"/>
      <c r="K832" s="183" t="s">
        <v>3141</v>
      </c>
      <c r="L832" s="184" t="s">
        <v>3142</v>
      </c>
      <c r="M832" s="184" t="s">
        <v>3146</v>
      </c>
      <c r="N832" s="21">
        <v>0</v>
      </c>
      <c r="O832" s="21">
        <v>0</v>
      </c>
      <c r="P832" s="21">
        <v>0</v>
      </c>
      <c r="Q832" s="21">
        <v>2</v>
      </c>
      <c r="R832" s="21">
        <v>2</v>
      </c>
      <c r="S832" s="21">
        <v>0</v>
      </c>
      <c r="T832" s="184" t="s">
        <v>2507</v>
      </c>
      <c r="U832" s="283" t="e">
        <v>#N/A</v>
      </c>
      <c r="AC832" s="316">
        <v>0</v>
      </c>
      <c r="AD832" s="316">
        <v>0</v>
      </c>
      <c r="AE832" s="302">
        <f t="shared" si="71"/>
        <v>0</v>
      </c>
      <c r="AF832" s="190"/>
      <c r="AG832" s="17">
        <v>0</v>
      </c>
      <c r="AH832" s="190"/>
      <c r="AI832" s="190"/>
      <c r="AJ832" s="190"/>
      <c r="AK832" s="191"/>
      <c r="AL832" s="191"/>
      <c r="AM832" s="17">
        <f t="shared" si="72"/>
        <v>0</v>
      </c>
      <c r="AO832" s="168"/>
    </row>
    <row r="833" spans="1:49" s="184" customFormat="1" x14ac:dyDescent="0.3">
      <c r="A833" s="183" t="s">
        <v>1453</v>
      </c>
      <c r="B833" s="184" t="s">
        <v>2496</v>
      </c>
      <c r="C833" s="183" t="s">
        <v>2498</v>
      </c>
      <c r="D833" s="184" t="s">
        <v>2499</v>
      </c>
      <c r="E833" s="183" t="s">
        <v>3109</v>
      </c>
      <c r="F833" s="184" t="s">
        <v>3110</v>
      </c>
      <c r="G833" s="183" t="s">
        <v>3147</v>
      </c>
      <c r="H833" s="184" t="s">
        <v>3148</v>
      </c>
      <c r="J833" s="188"/>
      <c r="K833" s="183" t="s">
        <v>3149</v>
      </c>
      <c r="L833" s="184" t="s">
        <v>3150</v>
      </c>
      <c r="M833" s="184" t="s">
        <v>3151</v>
      </c>
      <c r="N833" s="189">
        <v>114</v>
      </c>
      <c r="O833" s="192">
        <v>164</v>
      </c>
      <c r="P833" s="192">
        <v>240</v>
      </c>
      <c r="Q833" s="192">
        <v>315</v>
      </c>
      <c r="R833" s="192">
        <v>390</v>
      </c>
      <c r="S833" s="192">
        <v>464</v>
      </c>
      <c r="T833" s="184" t="s">
        <v>2528</v>
      </c>
      <c r="U833" s="283" t="s">
        <v>2530</v>
      </c>
      <c r="V833" s="184" t="s">
        <v>3152</v>
      </c>
      <c r="W833" s="184">
        <v>1</v>
      </c>
      <c r="X833" s="184">
        <v>1</v>
      </c>
      <c r="Y833" s="184">
        <v>1</v>
      </c>
      <c r="Z833" s="184">
        <v>1</v>
      </c>
      <c r="AA833" s="184">
        <v>1</v>
      </c>
      <c r="AB833" s="184">
        <v>1</v>
      </c>
      <c r="AC833" s="316">
        <v>1</v>
      </c>
      <c r="AD833" s="316">
        <v>1</v>
      </c>
      <c r="AE833" s="302">
        <f t="shared" si="71"/>
        <v>1</v>
      </c>
      <c r="AF833" s="186"/>
      <c r="AG833" s="17">
        <v>0</v>
      </c>
      <c r="AH833" s="186">
        <v>0</v>
      </c>
      <c r="AI833" s="186">
        <v>200</v>
      </c>
      <c r="AJ833" s="186">
        <v>0</v>
      </c>
      <c r="AK833" s="187">
        <v>0</v>
      </c>
      <c r="AL833" s="187">
        <v>0</v>
      </c>
      <c r="AM833" s="17">
        <f t="shared" si="72"/>
        <v>0</v>
      </c>
      <c r="AN833" s="184" t="s">
        <v>2528</v>
      </c>
      <c r="AO833" s="168" t="s">
        <v>2530</v>
      </c>
      <c r="AP833" s="184" t="s">
        <v>119</v>
      </c>
    </row>
    <row r="834" spans="1:49" s="184" customFormat="1" hidden="1" x14ac:dyDescent="0.3">
      <c r="A834" s="183" t="s">
        <v>1453</v>
      </c>
      <c r="B834" s="184" t="s">
        <v>2496</v>
      </c>
      <c r="C834" s="183" t="s">
        <v>2498</v>
      </c>
      <c r="D834" s="184" t="s">
        <v>2499</v>
      </c>
      <c r="E834" s="183" t="s">
        <v>3109</v>
      </c>
      <c r="F834" s="184" t="s">
        <v>3110</v>
      </c>
      <c r="G834" s="183" t="s">
        <v>3147</v>
      </c>
      <c r="H834" s="184" t="s">
        <v>3148</v>
      </c>
      <c r="J834" s="188"/>
      <c r="K834" s="183" t="s">
        <v>3149</v>
      </c>
      <c r="L834" s="184" t="s">
        <v>3150</v>
      </c>
      <c r="M834" s="184" t="s">
        <v>3153</v>
      </c>
      <c r="N834" s="189"/>
      <c r="O834" s="192">
        <v>0</v>
      </c>
      <c r="P834" s="192">
        <v>0</v>
      </c>
      <c r="Q834" s="192">
        <v>0</v>
      </c>
      <c r="R834" s="192">
        <v>75</v>
      </c>
      <c r="S834" s="192">
        <v>75</v>
      </c>
      <c r="T834" s="184" t="s">
        <v>2507</v>
      </c>
      <c r="U834" s="283" t="e">
        <v>#N/A</v>
      </c>
      <c r="V834" s="184" t="s">
        <v>3154</v>
      </c>
      <c r="W834" s="184">
        <v>1</v>
      </c>
      <c r="X834" s="184">
        <v>1</v>
      </c>
      <c r="Y834" s="184">
        <v>0</v>
      </c>
      <c r="Z834" s="184">
        <v>0</v>
      </c>
      <c r="AA834" s="184">
        <v>0</v>
      </c>
      <c r="AB834" s="184">
        <v>1</v>
      </c>
      <c r="AC834" s="316">
        <v>0</v>
      </c>
      <c r="AD834" s="316">
        <v>1</v>
      </c>
      <c r="AE834" s="302">
        <f t="shared" si="71"/>
        <v>0.5</v>
      </c>
      <c r="AF834" s="186"/>
      <c r="AG834" s="17">
        <v>0</v>
      </c>
      <c r="AH834" s="186">
        <v>0</v>
      </c>
      <c r="AI834" s="186">
        <v>0</v>
      </c>
      <c r="AJ834" s="186">
        <v>0</v>
      </c>
      <c r="AK834" s="187">
        <v>0</v>
      </c>
      <c r="AL834" s="187">
        <v>0</v>
      </c>
      <c r="AM834" s="17">
        <f t="shared" si="72"/>
        <v>0</v>
      </c>
      <c r="AN834" s="184" t="s">
        <v>2509</v>
      </c>
      <c r="AO834" s="168" t="s">
        <v>2510</v>
      </c>
      <c r="AP834" s="184" t="s">
        <v>119</v>
      </c>
    </row>
    <row r="835" spans="1:49" s="184" customFormat="1" hidden="1" x14ac:dyDescent="0.3">
      <c r="A835" s="183" t="s">
        <v>1453</v>
      </c>
      <c r="B835" s="184" t="s">
        <v>2496</v>
      </c>
      <c r="C835" s="183" t="s">
        <v>2498</v>
      </c>
      <c r="D835" s="184" t="s">
        <v>2499</v>
      </c>
      <c r="E835" s="183" t="s">
        <v>3109</v>
      </c>
      <c r="F835" s="184" t="s">
        <v>3110</v>
      </c>
      <c r="G835" s="183" t="s">
        <v>3155</v>
      </c>
      <c r="H835" s="184" t="s">
        <v>3156</v>
      </c>
      <c r="J835" s="188"/>
      <c r="K835" s="183" t="s">
        <v>3157</v>
      </c>
      <c r="L835" s="184" t="s">
        <v>3158</v>
      </c>
      <c r="M835" s="184" t="s">
        <v>3159</v>
      </c>
      <c r="N835" s="189"/>
      <c r="O835" s="192"/>
      <c r="P835" s="192" t="s">
        <v>271</v>
      </c>
      <c r="Q835" s="192">
        <v>91</v>
      </c>
      <c r="R835" s="192">
        <v>91</v>
      </c>
      <c r="S835" s="192">
        <v>91</v>
      </c>
      <c r="T835" s="184" t="s">
        <v>63</v>
      </c>
      <c r="U835" s="283" t="s">
        <v>2510</v>
      </c>
      <c r="V835" s="184" t="s">
        <v>3160</v>
      </c>
      <c r="W835" s="184">
        <v>1</v>
      </c>
      <c r="X835" s="184">
        <v>1</v>
      </c>
      <c r="Y835" s="184">
        <v>0</v>
      </c>
      <c r="Z835" s="184">
        <v>0</v>
      </c>
      <c r="AA835" s="184">
        <v>1</v>
      </c>
      <c r="AB835" s="184">
        <v>1</v>
      </c>
      <c r="AC835" s="316">
        <v>0</v>
      </c>
      <c r="AD835" s="316">
        <v>1</v>
      </c>
      <c r="AE835" s="302">
        <f t="shared" si="71"/>
        <v>0.625</v>
      </c>
      <c r="AF835" s="186"/>
      <c r="AG835" s="17">
        <v>0</v>
      </c>
      <c r="AH835" s="186">
        <v>209.6920407059597</v>
      </c>
      <c r="AI835" s="186">
        <v>267.74999999999864</v>
      </c>
      <c r="AJ835" s="186">
        <v>0</v>
      </c>
      <c r="AK835" s="187"/>
      <c r="AL835" s="187"/>
      <c r="AM835" s="17">
        <f t="shared" si="72"/>
        <v>0</v>
      </c>
      <c r="AN835" s="184" t="s">
        <v>63</v>
      </c>
      <c r="AO835" s="168" t="s">
        <v>2510</v>
      </c>
      <c r="AP835" s="184" t="s">
        <v>2507</v>
      </c>
    </row>
    <row r="836" spans="1:49" s="184" customFormat="1" hidden="1" x14ac:dyDescent="0.3">
      <c r="A836" s="183" t="s">
        <v>1453</v>
      </c>
      <c r="B836" s="184" t="s">
        <v>2496</v>
      </c>
      <c r="C836" s="183" t="s">
        <v>2498</v>
      </c>
      <c r="D836" s="184" t="s">
        <v>2499</v>
      </c>
      <c r="E836" s="183" t="s">
        <v>3109</v>
      </c>
      <c r="F836" s="184" t="s">
        <v>3110</v>
      </c>
      <c r="G836" s="183" t="s">
        <v>3155</v>
      </c>
      <c r="H836" s="184" t="s">
        <v>3156</v>
      </c>
      <c r="J836" s="188"/>
      <c r="K836" s="183" t="s">
        <v>3161</v>
      </c>
      <c r="L836" s="184" t="s">
        <v>3162</v>
      </c>
      <c r="N836" s="189"/>
      <c r="O836" s="192"/>
      <c r="P836" s="192"/>
      <c r="Q836" s="192"/>
      <c r="R836" s="192"/>
      <c r="S836" s="192"/>
      <c r="U836" s="283" t="e">
        <v>#N/A</v>
      </c>
      <c r="V836" s="184" t="s">
        <v>3163</v>
      </c>
      <c r="W836" s="184">
        <v>1</v>
      </c>
      <c r="X836" s="184">
        <v>1</v>
      </c>
      <c r="Y836" s="184">
        <v>0</v>
      </c>
      <c r="Z836" s="184">
        <v>0</v>
      </c>
      <c r="AA836" s="184">
        <v>0</v>
      </c>
      <c r="AB836" s="184">
        <v>1</v>
      </c>
      <c r="AC836" s="316">
        <v>0</v>
      </c>
      <c r="AD836" s="316">
        <v>1</v>
      </c>
      <c r="AE836" s="302">
        <f t="shared" si="71"/>
        <v>0.5</v>
      </c>
      <c r="AF836" s="186"/>
      <c r="AG836" s="17">
        <v>0</v>
      </c>
      <c r="AH836" s="186">
        <v>0</v>
      </c>
      <c r="AI836" s="186">
        <v>0</v>
      </c>
      <c r="AJ836" s="186">
        <v>299.99999999999909</v>
      </c>
      <c r="AK836" s="187">
        <v>40</v>
      </c>
      <c r="AL836" s="187">
        <v>192</v>
      </c>
      <c r="AM836" s="17">
        <f t="shared" si="72"/>
        <v>232</v>
      </c>
      <c r="AN836" s="184" t="s">
        <v>2528</v>
      </c>
      <c r="AO836" s="168" t="s">
        <v>2530</v>
      </c>
      <c r="AP836" s="184" t="s">
        <v>3164</v>
      </c>
    </row>
    <row r="837" spans="1:49" s="184" customFormat="1" x14ac:dyDescent="0.3">
      <c r="A837" s="183" t="s">
        <v>1453</v>
      </c>
      <c r="B837" s="184" t="s">
        <v>2496</v>
      </c>
      <c r="C837" s="183" t="s">
        <v>2498</v>
      </c>
      <c r="D837" s="184" t="s">
        <v>2499</v>
      </c>
      <c r="E837" s="183" t="s">
        <v>3109</v>
      </c>
      <c r="F837" s="184" t="s">
        <v>3110</v>
      </c>
      <c r="G837" s="183" t="s">
        <v>3155</v>
      </c>
      <c r="H837" s="184" t="s">
        <v>3156</v>
      </c>
      <c r="I837" s="183"/>
      <c r="K837" s="183" t="s">
        <v>3165</v>
      </c>
      <c r="L837" s="184" t="s">
        <v>3166</v>
      </c>
      <c r="M837" s="184" t="s">
        <v>3167</v>
      </c>
      <c r="N837" s="198"/>
      <c r="O837" s="189">
        <v>50</v>
      </c>
      <c r="P837" s="189">
        <v>50</v>
      </c>
      <c r="Q837" s="189"/>
      <c r="R837" s="189"/>
      <c r="S837" s="189"/>
      <c r="T837" s="199" t="s">
        <v>2507</v>
      </c>
      <c r="U837" s="283" t="e">
        <v>#N/A</v>
      </c>
      <c r="V837" s="184" t="s">
        <v>3168</v>
      </c>
      <c r="W837" s="184">
        <v>1</v>
      </c>
      <c r="X837" s="184">
        <v>1</v>
      </c>
      <c r="Y837" s="184">
        <v>1</v>
      </c>
      <c r="Z837" s="184">
        <v>1</v>
      </c>
      <c r="AA837" s="184">
        <v>1</v>
      </c>
      <c r="AB837" s="184">
        <v>1</v>
      </c>
      <c r="AC837" s="316">
        <v>1</v>
      </c>
      <c r="AD837" s="316">
        <v>1</v>
      </c>
      <c r="AE837" s="302">
        <f t="shared" si="71"/>
        <v>1</v>
      </c>
      <c r="AF837" s="186"/>
      <c r="AG837" s="17">
        <v>0</v>
      </c>
      <c r="AH837" s="186">
        <v>15</v>
      </c>
      <c r="AI837" s="186">
        <v>20</v>
      </c>
      <c r="AJ837" s="186">
        <v>12</v>
      </c>
      <c r="AK837" s="191">
        <v>0</v>
      </c>
      <c r="AL837" s="191">
        <v>0</v>
      </c>
      <c r="AM837" s="17">
        <f t="shared" si="72"/>
        <v>0</v>
      </c>
      <c r="AN837" s="184" t="s">
        <v>2509</v>
      </c>
      <c r="AO837" s="168" t="s">
        <v>2510</v>
      </c>
      <c r="AP837" s="184" t="s">
        <v>119</v>
      </c>
    </row>
    <row r="838" spans="1:49" s="184" customFormat="1" x14ac:dyDescent="0.3">
      <c r="A838" s="183" t="s">
        <v>1453</v>
      </c>
      <c r="B838" s="184" t="s">
        <v>2496</v>
      </c>
      <c r="C838" s="183" t="s">
        <v>2498</v>
      </c>
      <c r="D838" s="184" t="s">
        <v>2499</v>
      </c>
      <c r="E838" s="183" t="s">
        <v>3109</v>
      </c>
      <c r="F838" s="184" t="s">
        <v>3110</v>
      </c>
      <c r="G838" s="183" t="s">
        <v>3155</v>
      </c>
      <c r="H838" s="184" t="s">
        <v>3156</v>
      </c>
      <c r="I838" s="183"/>
      <c r="K838" s="195" t="s">
        <v>3165</v>
      </c>
      <c r="L838" s="184" t="s">
        <v>3166</v>
      </c>
      <c r="M838" s="184" t="s">
        <v>3169</v>
      </c>
      <c r="N838" s="198"/>
      <c r="O838" s="189">
        <v>90</v>
      </c>
      <c r="P838" s="189">
        <v>10</v>
      </c>
      <c r="Q838" s="198" t="s">
        <v>271</v>
      </c>
      <c r="R838" s="198" t="s">
        <v>271</v>
      </c>
      <c r="S838" s="198" t="s">
        <v>271</v>
      </c>
      <c r="T838" s="199" t="s">
        <v>63</v>
      </c>
      <c r="U838" s="283" t="s">
        <v>2510</v>
      </c>
      <c r="V838" s="184" t="s">
        <v>3170</v>
      </c>
      <c r="W838" s="184">
        <v>1</v>
      </c>
      <c r="X838" s="184">
        <v>1</v>
      </c>
      <c r="Y838" s="184">
        <v>1</v>
      </c>
      <c r="Z838" s="184">
        <v>1</v>
      </c>
      <c r="AA838" s="184">
        <v>1</v>
      </c>
      <c r="AB838" s="184">
        <v>1</v>
      </c>
      <c r="AC838" s="316">
        <v>1</v>
      </c>
      <c r="AD838" s="316">
        <v>1</v>
      </c>
      <c r="AE838" s="302">
        <f t="shared" si="71"/>
        <v>1</v>
      </c>
      <c r="AF838" s="186"/>
      <c r="AG838" s="17">
        <v>0</v>
      </c>
      <c r="AH838" s="186">
        <v>0</v>
      </c>
      <c r="AI838" s="186">
        <v>0</v>
      </c>
      <c r="AJ838" s="186">
        <v>0</v>
      </c>
      <c r="AK838" s="187">
        <v>0</v>
      </c>
      <c r="AL838" s="187">
        <v>0</v>
      </c>
      <c r="AM838" s="17">
        <f t="shared" si="72"/>
        <v>0</v>
      </c>
      <c r="AN838" s="184" t="s">
        <v>63</v>
      </c>
      <c r="AO838" s="168" t="s">
        <v>2510</v>
      </c>
      <c r="AP838" s="184" t="s">
        <v>119</v>
      </c>
    </row>
    <row r="839" spans="1:49" s="184" customFormat="1" x14ac:dyDescent="0.3">
      <c r="A839" s="183" t="s">
        <v>1453</v>
      </c>
      <c r="B839" s="184" t="s">
        <v>2496</v>
      </c>
      <c r="C839" s="183" t="s">
        <v>2498</v>
      </c>
      <c r="D839" s="184" t="s">
        <v>2499</v>
      </c>
      <c r="E839" s="183" t="s">
        <v>3109</v>
      </c>
      <c r="F839" s="184" t="s">
        <v>3110</v>
      </c>
      <c r="G839" s="183" t="s">
        <v>3155</v>
      </c>
      <c r="H839" s="184" t="s">
        <v>3156</v>
      </c>
      <c r="I839" s="183"/>
      <c r="K839" s="195" t="s">
        <v>3165</v>
      </c>
      <c r="L839" s="184" t="s">
        <v>3166</v>
      </c>
      <c r="M839" s="184" t="s">
        <v>3171</v>
      </c>
      <c r="N839" s="198"/>
      <c r="O839" s="189">
        <v>40</v>
      </c>
      <c r="P839" s="189">
        <v>50</v>
      </c>
      <c r="Q839" s="189">
        <v>10</v>
      </c>
      <c r="R839" s="198" t="s">
        <v>271</v>
      </c>
      <c r="S839" s="198" t="s">
        <v>271</v>
      </c>
      <c r="T839" s="199" t="s">
        <v>63</v>
      </c>
      <c r="U839" s="283" t="s">
        <v>2510</v>
      </c>
      <c r="V839" s="184" t="s">
        <v>3172</v>
      </c>
      <c r="W839" s="184">
        <v>1</v>
      </c>
      <c r="X839" s="184">
        <v>1</v>
      </c>
      <c r="Y839" s="184">
        <v>1</v>
      </c>
      <c r="Z839" s="184">
        <v>1</v>
      </c>
      <c r="AA839" s="184">
        <v>1</v>
      </c>
      <c r="AB839" s="184">
        <v>1</v>
      </c>
      <c r="AC839" s="316">
        <v>1</v>
      </c>
      <c r="AD839" s="316">
        <v>1</v>
      </c>
      <c r="AE839" s="302">
        <f t="shared" si="71"/>
        <v>1</v>
      </c>
      <c r="AF839" s="186"/>
      <c r="AG839" s="17">
        <v>0</v>
      </c>
      <c r="AH839" s="186">
        <v>0</v>
      </c>
      <c r="AI839" s="186">
        <v>0</v>
      </c>
      <c r="AJ839" s="186">
        <v>0</v>
      </c>
      <c r="AK839" s="187">
        <v>0</v>
      </c>
      <c r="AL839" s="187">
        <v>0</v>
      </c>
      <c r="AM839" s="17">
        <f t="shared" si="72"/>
        <v>0</v>
      </c>
      <c r="AN839" s="184" t="s">
        <v>63</v>
      </c>
      <c r="AO839" s="168" t="s">
        <v>2510</v>
      </c>
      <c r="AP839" s="184" t="s">
        <v>119</v>
      </c>
    </row>
    <row r="840" spans="1:49" s="184" customFormat="1" x14ac:dyDescent="0.3">
      <c r="A840" s="183" t="s">
        <v>1453</v>
      </c>
      <c r="B840" s="184" t="s">
        <v>2496</v>
      </c>
      <c r="C840" s="183" t="s">
        <v>2498</v>
      </c>
      <c r="D840" s="184" t="s">
        <v>2499</v>
      </c>
      <c r="E840" s="183" t="s">
        <v>3109</v>
      </c>
      <c r="F840" s="184" t="s">
        <v>3110</v>
      </c>
      <c r="G840" s="183" t="s">
        <v>3155</v>
      </c>
      <c r="H840" s="184" t="s">
        <v>3156</v>
      </c>
      <c r="I840" s="183"/>
      <c r="K840" s="195" t="s">
        <v>3165</v>
      </c>
      <c r="L840" s="184" t="s">
        <v>3166</v>
      </c>
      <c r="M840" s="184" t="s">
        <v>3173</v>
      </c>
      <c r="N840" s="198"/>
      <c r="O840" s="189">
        <v>30</v>
      </c>
      <c r="P840" s="189">
        <v>60</v>
      </c>
      <c r="Q840" s="189">
        <v>10</v>
      </c>
      <c r="R840" s="198" t="s">
        <v>271</v>
      </c>
      <c r="S840" s="198" t="s">
        <v>271</v>
      </c>
      <c r="T840" s="199" t="s">
        <v>63</v>
      </c>
      <c r="U840" s="283" t="s">
        <v>2510</v>
      </c>
      <c r="V840" s="184" t="s">
        <v>3174</v>
      </c>
      <c r="W840" s="184">
        <v>1</v>
      </c>
      <c r="X840" s="184">
        <v>1</v>
      </c>
      <c r="Y840" s="184">
        <v>1</v>
      </c>
      <c r="Z840" s="184">
        <v>1</v>
      </c>
      <c r="AA840" s="184">
        <v>1</v>
      </c>
      <c r="AB840" s="184">
        <v>1</v>
      </c>
      <c r="AC840" s="316">
        <v>1</v>
      </c>
      <c r="AD840" s="316">
        <v>1</v>
      </c>
      <c r="AE840" s="302">
        <f t="shared" si="71"/>
        <v>1</v>
      </c>
      <c r="AF840" s="186"/>
      <c r="AG840" s="17">
        <v>0</v>
      </c>
      <c r="AH840" s="186">
        <v>0</v>
      </c>
      <c r="AI840" s="186">
        <v>5</v>
      </c>
      <c r="AJ840" s="186">
        <v>0</v>
      </c>
      <c r="AK840" s="187">
        <v>5</v>
      </c>
      <c r="AL840" s="187">
        <v>0</v>
      </c>
      <c r="AM840" s="17">
        <f t="shared" si="72"/>
        <v>5</v>
      </c>
      <c r="AN840" s="184" t="s">
        <v>63</v>
      </c>
      <c r="AO840" s="168" t="s">
        <v>2510</v>
      </c>
      <c r="AP840" s="184" t="s">
        <v>119</v>
      </c>
    </row>
    <row r="841" spans="1:49" s="184" customFormat="1" x14ac:dyDescent="0.3">
      <c r="A841" s="183" t="s">
        <v>1453</v>
      </c>
      <c r="B841" s="184" t="s">
        <v>2496</v>
      </c>
      <c r="C841" s="183" t="s">
        <v>2498</v>
      </c>
      <c r="D841" s="184" t="s">
        <v>2499</v>
      </c>
      <c r="E841" s="183" t="s">
        <v>3109</v>
      </c>
      <c r="F841" s="184" t="s">
        <v>3110</v>
      </c>
      <c r="G841" s="183" t="s">
        <v>3155</v>
      </c>
      <c r="H841" s="184" t="s">
        <v>3156</v>
      </c>
      <c r="I841" s="183"/>
      <c r="K841" s="195" t="s">
        <v>3165</v>
      </c>
      <c r="L841" s="184" t="s">
        <v>3166</v>
      </c>
      <c r="M841" s="184" t="s">
        <v>3175</v>
      </c>
      <c r="N841" s="198"/>
      <c r="O841" s="189">
        <v>30</v>
      </c>
      <c r="P841" s="189">
        <v>60</v>
      </c>
      <c r="Q841" s="189">
        <v>10</v>
      </c>
      <c r="R841" s="198"/>
      <c r="S841" s="198" t="s">
        <v>271</v>
      </c>
      <c r="T841" s="199" t="s">
        <v>63</v>
      </c>
      <c r="U841" s="283" t="s">
        <v>2510</v>
      </c>
      <c r="V841" s="184" t="s">
        <v>3176</v>
      </c>
      <c r="W841" s="184">
        <v>1</v>
      </c>
      <c r="X841" s="184">
        <v>1</v>
      </c>
      <c r="Y841" s="184">
        <v>1</v>
      </c>
      <c r="Z841" s="184">
        <v>1</v>
      </c>
      <c r="AA841" s="184">
        <v>1</v>
      </c>
      <c r="AB841" s="184">
        <v>1</v>
      </c>
      <c r="AC841" s="316">
        <v>1</v>
      </c>
      <c r="AD841" s="316">
        <v>1</v>
      </c>
      <c r="AE841" s="302">
        <f t="shared" si="71"/>
        <v>1</v>
      </c>
      <c r="AF841" s="186"/>
      <c r="AG841" s="17">
        <v>0</v>
      </c>
      <c r="AH841" s="186">
        <v>0</v>
      </c>
      <c r="AI841" s="186">
        <v>5</v>
      </c>
      <c r="AJ841" s="186">
        <v>0</v>
      </c>
      <c r="AK841" s="187">
        <v>5</v>
      </c>
      <c r="AL841" s="187">
        <v>0</v>
      </c>
      <c r="AM841" s="17">
        <f t="shared" si="72"/>
        <v>5</v>
      </c>
      <c r="AN841" s="184" t="s">
        <v>63</v>
      </c>
      <c r="AO841" s="168" t="s">
        <v>2510</v>
      </c>
      <c r="AP841" s="184" t="s">
        <v>119</v>
      </c>
    </row>
    <row r="842" spans="1:49" s="184" customFormat="1" x14ac:dyDescent="0.3">
      <c r="A842" s="183" t="s">
        <v>1453</v>
      </c>
      <c r="B842" s="184" t="s">
        <v>2496</v>
      </c>
      <c r="C842" s="183" t="s">
        <v>2498</v>
      </c>
      <c r="D842" s="184" t="s">
        <v>2499</v>
      </c>
      <c r="E842" s="183" t="s">
        <v>3109</v>
      </c>
      <c r="F842" s="184" t="s">
        <v>3110</v>
      </c>
      <c r="G842" s="183" t="s">
        <v>3155</v>
      </c>
      <c r="H842" s="184" t="s">
        <v>3156</v>
      </c>
      <c r="I842" s="183"/>
      <c r="K842" s="195" t="s">
        <v>3165</v>
      </c>
      <c r="L842" s="184" t="s">
        <v>3166</v>
      </c>
      <c r="M842" s="184" t="s">
        <v>3177</v>
      </c>
      <c r="N842" s="198"/>
      <c r="O842" s="189">
        <v>25</v>
      </c>
      <c r="P842" s="189">
        <v>50</v>
      </c>
      <c r="Q842" s="189">
        <v>25</v>
      </c>
      <c r="R842" s="198" t="s">
        <v>271</v>
      </c>
      <c r="S842" s="198" t="s">
        <v>271</v>
      </c>
      <c r="T842" s="199" t="s">
        <v>63</v>
      </c>
      <c r="U842" s="283" t="s">
        <v>2510</v>
      </c>
      <c r="V842" s="184" t="s">
        <v>3178</v>
      </c>
      <c r="W842" s="184">
        <v>1</v>
      </c>
      <c r="X842" s="184">
        <v>1</v>
      </c>
      <c r="Y842" s="184">
        <v>1</v>
      </c>
      <c r="Z842" s="184">
        <v>1</v>
      </c>
      <c r="AA842" s="184">
        <v>1</v>
      </c>
      <c r="AB842" s="184">
        <v>1</v>
      </c>
      <c r="AC842" s="316">
        <v>1</v>
      </c>
      <c r="AD842" s="316">
        <v>1</v>
      </c>
      <c r="AE842" s="302">
        <f t="shared" si="71"/>
        <v>1</v>
      </c>
      <c r="AF842" s="186"/>
      <c r="AG842" s="17">
        <v>0</v>
      </c>
      <c r="AH842" s="186">
        <v>0</v>
      </c>
      <c r="AI842" s="186">
        <v>5</v>
      </c>
      <c r="AJ842" s="186">
        <v>0</v>
      </c>
      <c r="AK842" s="187">
        <v>5</v>
      </c>
      <c r="AL842" s="187">
        <v>0</v>
      </c>
      <c r="AM842" s="17">
        <f t="shared" si="72"/>
        <v>5</v>
      </c>
      <c r="AN842" s="184" t="s">
        <v>63</v>
      </c>
      <c r="AO842" s="168" t="s">
        <v>2510</v>
      </c>
      <c r="AP842" s="184" t="s">
        <v>119</v>
      </c>
    </row>
    <row r="843" spans="1:49" s="184" customFormat="1" x14ac:dyDescent="0.3">
      <c r="A843" s="183" t="s">
        <v>1453</v>
      </c>
      <c r="B843" s="184" t="s">
        <v>2496</v>
      </c>
      <c r="C843" s="183" t="s">
        <v>2498</v>
      </c>
      <c r="D843" s="184" t="s">
        <v>2499</v>
      </c>
      <c r="E843" s="183" t="s">
        <v>3109</v>
      </c>
      <c r="F843" s="184" t="s">
        <v>3110</v>
      </c>
      <c r="G843" s="183" t="s">
        <v>3155</v>
      </c>
      <c r="H843" s="184" t="s">
        <v>3156</v>
      </c>
      <c r="I843" s="183"/>
      <c r="K843" s="195" t="s">
        <v>3165</v>
      </c>
      <c r="L843" s="184" t="s">
        <v>3166</v>
      </c>
      <c r="M843" s="184" t="s">
        <v>3179</v>
      </c>
      <c r="N843" s="198"/>
      <c r="O843" s="189">
        <v>50</v>
      </c>
      <c r="P843" s="189">
        <v>50</v>
      </c>
      <c r="Q843" s="198" t="s">
        <v>271</v>
      </c>
      <c r="R843" s="198" t="s">
        <v>271</v>
      </c>
      <c r="S843" s="198" t="s">
        <v>271</v>
      </c>
      <c r="T843" s="199" t="s">
        <v>63</v>
      </c>
      <c r="U843" s="283" t="s">
        <v>2510</v>
      </c>
      <c r="V843" s="184" t="s">
        <v>3180</v>
      </c>
      <c r="W843" s="184">
        <v>1</v>
      </c>
      <c r="X843" s="184">
        <v>1</v>
      </c>
      <c r="Y843" s="184">
        <v>1</v>
      </c>
      <c r="Z843" s="184">
        <v>1</v>
      </c>
      <c r="AA843" s="184">
        <v>1</v>
      </c>
      <c r="AB843" s="184">
        <v>1</v>
      </c>
      <c r="AC843" s="316">
        <v>1</v>
      </c>
      <c r="AD843" s="316">
        <v>1</v>
      </c>
      <c r="AE843" s="302">
        <f t="shared" si="71"/>
        <v>1</v>
      </c>
      <c r="AF843" s="186"/>
      <c r="AG843" s="17">
        <v>0</v>
      </c>
      <c r="AH843" s="186">
        <v>0</v>
      </c>
      <c r="AI843" s="186">
        <v>5</v>
      </c>
      <c r="AJ843" s="186">
        <v>0</v>
      </c>
      <c r="AK843" s="187">
        <v>5</v>
      </c>
      <c r="AL843" s="187">
        <v>0</v>
      </c>
      <c r="AM843" s="17">
        <f t="shared" si="72"/>
        <v>5</v>
      </c>
      <c r="AN843" s="184" t="s">
        <v>63</v>
      </c>
      <c r="AO843" s="168" t="s">
        <v>2510</v>
      </c>
      <c r="AP843" s="184" t="s">
        <v>119</v>
      </c>
    </row>
    <row r="844" spans="1:49" s="184" customFormat="1" hidden="1" x14ac:dyDescent="0.3">
      <c r="A844" s="183" t="s">
        <v>1453</v>
      </c>
      <c r="B844" s="184" t="s">
        <v>2496</v>
      </c>
      <c r="C844" s="183" t="s">
        <v>2498</v>
      </c>
      <c r="D844" s="184" t="s">
        <v>2499</v>
      </c>
      <c r="E844" s="183" t="s">
        <v>3109</v>
      </c>
      <c r="F844" s="184" t="s">
        <v>3110</v>
      </c>
      <c r="G844" s="183" t="s">
        <v>3155</v>
      </c>
      <c r="H844" s="184" t="s">
        <v>3156</v>
      </c>
      <c r="I844" s="183"/>
      <c r="K844" s="195" t="s">
        <v>3181</v>
      </c>
      <c r="L844" s="184" t="s">
        <v>3182</v>
      </c>
      <c r="M844" s="184" t="s">
        <v>3137</v>
      </c>
      <c r="N844" s="189"/>
      <c r="O844" s="189" t="s">
        <v>271</v>
      </c>
      <c r="P844" s="189" t="s">
        <v>271</v>
      </c>
      <c r="Q844" s="189" t="s">
        <v>271</v>
      </c>
      <c r="R844" s="189">
        <v>50</v>
      </c>
      <c r="S844" s="189">
        <v>50</v>
      </c>
      <c r="T844" s="184" t="s">
        <v>63</v>
      </c>
      <c r="U844" s="283" t="s">
        <v>2510</v>
      </c>
      <c r="V844" s="184" t="s">
        <v>3183</v>
      </c>
      <c r="W844" s="184">
        <v>1</v>
      </c>
      <c r="X844" s="184">
        <v>1</v>
      </c>
      <c r="Y844" s="184">
        <v>1</v>
      </c>
      <c r="Z844" s="184">
        <v>0</v>
      </c>
      <c r="AA844" s="184">
        <v>0</v>
      </c>
      <c r="AB844" s="184">
        <v>1</v>
      </c>
      <c r="AC844" s="316">
        <v>0</v>
      </c>
      <c r="AD844" s="316">
        <v>1</v>
      </c>
      <c r="AE844" s="302">
        <f t="shared" si="71"/>
        <v>0.625</v>
      </c>
      <c r="AF844" s="186"/>
      <c r="AG844" s="17">
        <v>0</v>
      </c>
      <c r="AH844" s="186">
        <v>0</v>
      </c>
      <c r="AI844" s="186">
        <v>0</v>
      </c>
      <c r="AJ844" s="186">
        <v>0</v>
      </c>
      <c r="AK844" s="187">
        <v>0</v>
      </c>
      <c r="AL844" s="187">
        <v>0</v>
      </c>
      <c r="AM844" s="17">
        <f t="shared" si="72"/>
        <v>0</v>
      </c>
      <c r="AN844" s="184" t="s">
        <v>63</v>
      </c>
      <c r="AO844" s="168" t="s">
        <v>2510</v>
      </c>
      <c r="AP844" s="184" t="s">
        <v>119</v>
      </c>
    </row>
    <row r="845" spans="1:49" s="293" customFormat="1" hidden="1" x14ac:dyDescent="0.3">
      <c r="A845" s="50" t="s">
        <v>1456</v>
      </c>
      <c r="B845" s="51" t="s">
        <v>3184</v>
      </c>
      <c r="C845" s="50" t="s">
        <v>3185</v>
      </c>
      <c r="D845" s="51" t="s">
        <v>1491</v>
      </c>
      <c r="E845" s="50" t="s">
        <v>3185</v>
      </c>
      <c r="F845" s="51" t="s">
        <v>1493</v>
      </c>
      <c r="G845" s="50" t="s">
        <v>3185</v>
      </c>
      <c r="H845" s="51" t="s">
        <v>1491</v>
      </c>
      <c r="I845" s="51"/>
      <c r="J845" s="51"/>
      <c r="K845" s="50" t="s">
        <v>3185</v>
      </c>
      <c r="L845" s="51" t="s">
        <v>1491</v>
      </c>
      <c r="M845" s="60" t="s">
        <v>271</v>
      </c>
      <c r="N845" s="60" t="s">
        <v>271</v>
      </c>
      <c r="O845" s="60" t="s">
        <v>271</v>
      </c>
      <c r="P845" s="60" t="s">
        <v>271</v>
      </c>
      <c r="Q845" s="60" t="s">
        <v>271</v>
      </c>
      <c r="R845" s="60" t="s">
        <v>271</v>
      </c>
      <c r="S845" s="60" t="s">
        <v>271</v>
      </c>
      <c r="T845" s="60" t="s">
        <v>271</v>
      </c>
      <c r="U845" s="60" t="s">
        <v>271</v>
      </c>
      <c r="V845" s="51" t="s">
        <v>1489</v>
      </c>
      <c r="W845" s="291"/>
      <c r="X845" s="291"/>
      <c r="Y845" s="291"/>
      <c r="Z845" s="291"/>
      <c r="AA845" s="291"/>
      <c r="AB845" s="291"/>
      <c r="AC845" s="291"/>
      <c r="AD845" s="291"/>
      <c r="AE845" s="292"/>
      <c r="AF845" s="56"/>
      <c r="AG845" s="292"/>
      <c r="AH845" s="56"/>
      <c r="AI845" s="56"/>
      <c r="AJ845" s="56"/>
      <c r="AK845" s="57">
        <v>11.3</v>
      </c>
      <c r="AL845" s="57">
        <v>11.3</v>
      </c>
      <c r="AM845" s="56">
        <f>SUM(AK845:AL845)</f>
        <v>22.6</v>
      </c>
      <c r="AN845" s="52"/>
      <c r="AO845" s="52"/>
      <c r="AP845" s="51"/>
    </row>
    <row r="846" spans="1:49" s="293" customFormat="1" hidden="1" x14ac:dyDescent="0.3">
      <c r="A846" s="50" t="s">
        <v>1456</v>
      </c>
      <c r="B846" s="51" t="s">
        <v>3184</v>
      </c>
      <c r="C846" s="50" t="s">
        <v>3185</v>
      </c>
      <c r="D846" s="51" t="s">
        <v>1491</v>
      </c>
      <c r="E846" s="50" t="s">
        <v>3185</v>
      </c>
      <c r="F846" s="51" t="s">
        <v>1493</v>
      </c>
      <c r="G846" s="50" t="s">
        <v>3185</v>
      </c>
      <c r="H846" s="51" t="s">
        <v>1491</v>
      </c>
      <c r="I846" s="51"/>
      <c r="J846" s="51"/>
      <c r="K846" s="50" t="s">
        <v>3185</v>
      </c>
      <c r="L846" s="51" t="s">
        <v>1491</v>
      </c>
      <c r="M846" s="60" t="s">
        <v>271</v>
      </c>
      <c r="N846" s="60" t="s">
        <v>271</v>
      </c>
      <c r="O846" s="60" t="s">
        <v>271</v>
      </c>
      <c r="P846" s="60" t="s">
        <v>271</v>
      </c>
      <c r="Q846" s="60" t="s">
        <v>271</v>
      </c>
      <c r="R846" s="60" t="s">
        <v>271</v>
      </c>
      <c r="S846" s="60" t="s">
        <v>271</v>
      </c>
      <c r="T846" s="60" t="s">
        <v>271</v>
      </c>
      <c r="U846" s="60" t="s">
        <v>271</v>
      </c>
      <c r="V846" s="51" t="s">
        <v>1490</v>
      </c>
      <c r="W846" s="291"/>
      <c r="X846" s="291"/>
      <c r="Y846" s="291"/>
      <c r="Z846" s="291"/>
      <c r="AA846" s="291"/>
      <c r="AB846" s="291"/>
      <c r="AC846" s="291"/>
      <c r="AD846" s="291"/>
      <c r="AE846" s="292"/>
      <c r="AF846" s="56"/>
      <c r="AG846" s="292"/>
      <c r="AH846" s="56"/>
      <c r="AI846" s="56"/>
      <c r="AJ846" s="56"/>
      <c r="AK846" s="57">
        <v>4.5200000000000005</v>
      </c>
      <c r="AL846" s="57">
        <v>4.5200000000000005</v>
      </c>
      <c r="AM846" s="56">
        <f>SUM(AK846:AL846)</f>
        <v>9.0400000000000009</v>
      </c>
      <c r="AN846" s="52"/>
      <c r="AO846" s="52"/>
      <c r="AP846" s="51"/>
    </row>
    <row r="847" spans="1:49" s="293" customFormat="1" hidden="1" x14ac:dyDescent="0.3">
      <c r="A847" s="50" t="s">
        <v>1456</v>
      </c>
      <c r="B847" s="51" t="s">
        <v>3184</v>
      </c>
      <c r="C847" s="50" t="s">
        <v>3185</v>
      </c>
      <c r="D847" s="51" t="s">
        <v>1491</v>
      </c>
      <c r="E847" s="50" t="s">
        <v>3185</v>
      </c>
      <c r="F847" s="51" t="s">
        <v>1493</v>
      </c>
      <c r="G847" s="50" t="s">
        <v>3185</v>
      </c>
      <c r="H847" s="51" t="s">
        <v>1491</v>
      </c>
      <c r="I847" s="51"/>
      <c r="J847" s="51"/>
      <c r="K847" s="50" t="s">
        <v>3185</v>
      </c>
      <c r="L847" s="51" t="s">
        <v>1491</v>
      </c>
      <c r="M847" s="60" t="s">
        <v>271</v>
      </c>
      <c r="N847" s="60" t="s">
        <v>271</v>
      </c>
      <c r="O847" s="60" t="s">
        <v>271</v>
      </c>
      <c r="P847" s="60" t="s">
        <v>271</v>
      </c>
      <c r="Q847" s="60" t="s">
        <v>271</v>
      </c>
      <c r="R847" s="60" t="s">
        <v>271</v>
      </c>
      <c r="S847" s="60" t="s">
        <v>271</v>
      </c>
      <c r="T847" s="60" t="s">
        <v>271</v>
      </c>
      <c r="U847" s="60" t="s">
        <v>271</v>
      </c>
      <c r="V847" s="51" t="s">
        <v>1495</v>
      </c>
      <c r="W847" s="291"/>
      <c r="X847" s="291"/>
      <c r="Y847" s="291"/>
      <c r="Z847" s="291"/>
      <c r="AA847" s="291"/>
      <c r="AB847" s="291"/>
      <c r="AC847" s="291"/>
      <c r="AD847" s="291"/>
      <c r="AE847" s="292"/>
      <c r="AF847" s="56"/>
      <c r="AG847" s="292"/>
      <c r="AH847" s="56"/>
      <c r="AI847" s="56"/>
      <c r="AJ847" s="56"/>
      <c r="AK847" s="57">
        <v>12.755600000000001</v>
      </c>
      <c r="AL847" s="57">
        <v>15.306719999999999</v>
      </c>
      <c r="AM847" s="56">
        <f>SUM(AK847:AL847)</f>
        <v>28.06232</v>
      </c>
      <c r="AN847" s="52"/>
      <c r="AO847" s="52"/>
      <c r="AP847" s="51"/>
    </row>
    <row r="848" spans="1:49" x14ac:dyDescent="0.3">
      <c r="A848" s="328" t="s">
        <v>1456</v>
      </c>
      <c r="B848" s="283" t="s">
        <v>3184</v>
      </c>
      <c r="C848" s="328" t="s">
        <v>1457</v>
      </c>
      <c r="D848" s="283" t="s">
        <v>3186</v>
      </c>
      <c r="E848" s="283" t="s">
        <v>1458</v>
      </c>
      <c r="F848" s="283" t="s">
        <v>3187</v>
      </c>
      <c r="G848" s="328" t="s">
        <v>3188</v>
      </c>
      <c r="H848" s="162" t="s">
        <v>3189</v>
      </c>
      <c r="I848" s="162"/>
      <c r="J848" s="162"/>
      <c r="K848" s="205" t="s">
        <v>3190</v>
      </c>
      <c r="L848" s="162" t="s">
        <v>3191</v>
      </c>
      <c r="M848" s="162" t="s">
        <v>3192</v>
      </c>
      <c r="N848" s="162">
        <v>0</v>
      </c>
      <c r="O848" s="162">
        <v>0</v>
      </c>
      <c r="P848" s="162">
        <v>0</v>
      </c>
      <c r="Q848" s="162">
        <v>1</v>
      </c>
      <c r="R848" s="162">
        <v>1</v>
      </c>
      <c r="S848" s="162">
        <v>1</v>
      </c>
      <c r="T848" s="162" t="s">
        <v>3193</v>
      </c>
      <c r="U848" s="162" t="e">
        <v>#N/A</v>
      </c>
      <c r="V848" s="162" t="s">
        <v>3194</v>
      </c>
      <c r="W848" s="329">
        <v>1</v>
      </c>
      <c r="X848" s="329">
        <v>1</v>
      </c>
      <c r="Y848" s="329">
        <v>1</v>
      </c>
      <c r="Z848" s="329">
        <v>1</v>
      </c>
      <c r="AA848" s="329">
        <v>1</v>
      </c>
      <c r="AB848" s="329">
        <v>1</v>
      </c>
      <c r="AC848" s="330">
        <v>1</v>
      </c>
      <c r="AD848" s="330">
        <v>1</v>
      </c>
      <c r="AE848" s="302">
        <f t="shared" ref="AE848:AE894" si="73">SUM(W848:AD848)/8</f>
        <v>1</v>
      </c>
      <c r="AF848" s="201"/>
      <c r="AG848" s="201">
        <v>1</v>
      </c>
      <c r="AH848" s="201">
        <v>0</v>
      </c>
      <c r="AI848" s="201">
        <v>0</v>
      </c>
      <c r="AJ848" s="201">
        <v>1</v>
      </c>
      <c r="AK848" s="202">
        <v>3</v>
      </c>
      <c r="AL848" s="202">
        <v>10</v>
      </c>
      <c r="AM848" s="201">
        <v>10</v>
      </c>
      <c r="AN848" s="283" t="s">
        <v>3193</v>
      </c>
      <c r="AO848" s="283" t="s">
        <v>3193</v>
      </c>
      <c r="AP848" s="283" t="s">
        <v>3195</v>
      </c>
      <c r="AW848" s="331"/>
    </row>
    <row r="849" spans="1:49" ht="15.6" hidden="1" x14ac:dyDescent="0.3">
      <c r="A849" s="328" t="s">
        <v>1456</v>
      </c>
      <c r="B849" s="283" t="s">
        <v>3184</v>
      </c>
      <c r="C849" s="328" t="s">
        <v>1457</v>
      </c>
      <c r="D849" s="283" t="s">
        <v>3186</v>
      </c>
      <c r="E849" s="283" t="s">
        <v>1458</v>
      </c>
      <c r="F849" s="283" t="s">
        <v>3196</v>
      </c>
      <c r="G849" s="328" t="s">
        <v>3188</v>
      </c>
      <c r="H849" s="203" t="s">
        <v>3197</v>
      </c>
      <c r="I849" s="203"/>
      <c r="J849" s="203"/>
      <c r="K849" s="204" t="s">
        <v>3198</v>
      </c>
      <c r="L849" s="203" t="s">
        <v>3199</v>
      </c>
      <c r="M849" s="203" t="s">
        <v>3200</v>
      </c>
      <c r="N849" s="203"/>
      <c r="O849" s="203">
        <v>0</v>
      </c>
      <c r="P849" s="203">
        <v>0</v>
      </c>
      <c r="Q849" s="203">
        <v>100</v>
      </c>
      <c r="R849" s="203">
        <v>300</v>
      </c>
      <c r="S849" s="203">
        <v>500</v>
      </c>
      <c r="T849" s="203" t="s">
        <v>3201</v>
      </c>
      <c r="U849" s="203" t="s">
        <v>5285</v>
      </c>
      <c r="V849" s="203" t="s">
        <v>3202</v>
      </c>
      <c r="W849" s="332">
        <v>1</v>
      </c>
      <c r="X849" s="332">
        <v>1</v>
      </c>
      <c r="Y849" s="332">
        <v>0</v>
      </c>
      <c r="Z849" s="333">
        <v>1</v>
      </c>
      <c r="AA849" s="332">
        <v>1</v>
      </c>
      <c r="AB849" s="333">
        <v>1</v>
      </c>
      <c r="AC849" s="334">
        <v>0</v>
      </c>
      <c r="AD849" s="334">
        <v>0</v>
      </c>
      <c r="AE849" s="302">
        <f t="shared" si="73"/>
        <v>0.625</v>
      </c>
      <c r="AF849" s="310"/>
      <c r="AG849" s="17">
        <v>0</v>
      </c>
      <c r="AH849" s="310">
        <v>0</v>
      </c>
      <c r="AI849" s="310" t="s">
        <v>271</v>
      </c>
      <c r="AJ849" s="310">
        <v>0.2</v>
      </c>
      <c r="AK849" s="317">
        <v>2</v>
      </c>
      <c r="AL849" s="317">
        <v>5</v>
      </c>
      <c r="AM849" s="17">
        <v>4.5</v>
      </c>
      <c r="AN849" s="283" t="s">
        <v>3201</v>
      </c>
      <c r="AO849" s="283" t="s">
        <v>3201</v>
      </c>
      <c r="AP849" s="283" t="s">
        <v>3193</v>
      </c>
      <c r="AW849" s="331"/>
    </row>
    <row r="850" spans="1:49" hidden="1" x14ac:dyDescent="0.3">
      <c r="A850" s="328" t="s">
        <v>1456</v>
      </c>
      <c r="B850" s="283" t="s">
        <v>3184</v>
      </c>
      <c r="C850" s="328" t="s">
        <v>1457</v>
      </c>
      <c r="D850" s="283" t="s">
        <v>3186</v>
      </c>
      <c r="E850" s="283" t="s">
        <v>1458</v>
      </c>
      <c r="F850" s="283" t="s">
        <v>3196</v>
      </c>
      <c r="G850" s="328" t="s">
        <v>3203</v>
      </c>
      <c r="H850" s="162" t="s">
        <v>3197</v>
      </c>
      <c r="I850" s="162"/>
      <c r="J850" s="162"/>
      <c r="K850" s="205" t="s">
        <v>3204</v>
      </c>
      <c r="L850" s="162" t="s">
        <v>3205</v>
      </c>
      <c r="M850" s="162" t="s">
        <v>3206</v>
      </c>
      <c r="N850" s="162">
        <v>35</v>
      </c>
      <c r="O850" s="162">
        <v>0</v>
      </c>
      <c r="P850" s="162">
        <v>0</v>
      </c>
      <c r="Q850" s="162">
        <v>80</v>
      </c>
      <c r="R850" s="162">
        <v>105</v>
      </c>
      <c r="S850" s="162">
        <v>130</v>
      </c>
      <c r="T850" s="162" t="s">
        <v>3193</v>
      </c>
      <c r="U850" s="162" t="e">
        <v>#N/A</v>
      </c>
      <c r="V850" s="162" t="s">
        <v>3207</v>
      </c>
      <c r="W850" s="329">
        <v>1</v>
      </c>
      <c r="X850" s="329">
        <v>1</v>
      </c>
      <c r="Y850" s="329">
        <v>0</v>
      </c>
      <c r="Z850" s="329">
        <v>1</v>
      </c>
      <c r="AA850" s="329">
        <v>1</v>
      </c>
      <c r="AB850" s="329">
        <v>0</v>
      </c>
      <c r="AC850" s="330">
        <v>0</v>
      </c>
      <c r="AD850" s="330">
        <v>0</v>
      </c>
      <c r="AE850" s="302">
        <f t="shared" si="73"/>
        <v>0.5</v>
      </c>
      <c r="AF850" s="310"/>
      <c r="AG850" s="17">
        <v>0</v>
      </c>
      <c r="AH850" s="310">
        <v>0</v>
      </c>
      <c r="AI850" s="310">
        <v>0</v>
      </c>
      <c r="AJ850" s="310">
        <v>1</v>
      </c>
      <c r="AK850" s="317">
        <v>5</v>
      </c>
      <c r="AL850" s="317">
        <v>5</v>
      </c>
      <c r="AM850" s="17">
        <v>11</v>
      </c>
      <c r="AN850" s="283" t="s">
        <v>3193</v>
      </c>
      <c r="AO850" s="283" t="s">
        <v>3193</v>
      </c>
      <c r="AP850" s="283" t="s">
        <v>3208</v>
      </c>
      <c r="AW850" s="331"/>
    </row>
    <row r="851" spans="1:49" hidden="1" x14ac:dyDescent="0.3">
      <c r="A851" s="328" t="s">
        <v>1456</v>
      </c>
      <c r="B851" s="283" t="s">
        <v>3184</v>
      </c>
      <c r="C851" s="328" t="s">
        <v>1459</v>
      </c>
      <c r="D851" s="283" t="s">
        <v>3186</v>
      </c>
      <c r="E851" s="283" t="s">
        <v>1460</v>
      </c>
      <c r="F851" s="283" t="s">
        <v>3196</v>
      </c>
      <c r="G851" s="328" t="s">
        <v>3209</v>
      </c>
      <c r="H851" s="162" t="s">
        <v>3197</v>
      </c>
      <c r="I851" s="162"/>
      <c r="J851" s="162"/>
      <c r="K851" s="205" t="s">
        <v>3210</v>
      </c>
      <c r="L851" s="162" t="s">
        <v>3211</v>
      </c>
      <c r="M851" s="162" t="s">
        <v>3212</v>
      </c>
      <c r="N851" s="162"/>
      <c r="O851" s="162">
        <v>0</v>
      </c>
      <c r="P851" s="162">
        <v>0</v>
      </c>
      <c r="Q851" s="162">
        <v>60</v>
      </c>
      <c r="R851" s="162">
        <v>120</v>
      </c>
      <c r="S851" s="162">
        <v>180</v>
      </c>
      <c r="T851" s="162" t="s">
        <v>3193</v>
      </c>
      <c r="U851" s="162" t="e">
        <v>#N/A</v>
      </c>
      <c r="V851" s="162" t="s">
        <v>3213</v>
      </c>
      <c r="W851" s="329">
        <v>1</v>
      </c>
      <c r="X851" s="329">
        <v>1</v>
      </c>
      <c r="Y851" s="329">
        <v>0</v>
      </c>
      <c r="Z851" s="329">
        <v>1</v>
      </c>
      <c r="AA851" s="329">
        <v>1</v>
      </c>
      <c r="AB851" s="329">
        <v>0</v>
      </c>
      <c r="AC851" s="330">
        <v>0</v>
      </c>
      <c r="AD851" s="330">
        <v>0</v>
      </c>
      <c r="AE851" s="302">
        <f t="shared" si="73"/>
        <v>0.5</v>
      </c>
      <c r="AF851" s="310"/>
      <c r="AG851" s="17">
        <v>0</v>
      </c>
      <c r="AH851" s="310">
        <v>0</v>
      </c>
      <c r="AI851" s="310">
        <v>0</v>
      </c>
      <c r="AJ851" s="310">
        <v>2</v>
      </c>
      <c r="AK851" s="317">
        <v>3</v>
      </c>
      <c r="AL851" s="317">
        <v>3</v>
      </c>
      <c r="AM851" s="17">
        <v>9</v>
      </c>
      <c r="AN851" s="283" t="s">
        <v>3193</v>
      </c>
      <c r="AO851" s="283" t="s">
        <v>3193</v>
      </c>
      <c r="AW851" s="331"/>
    </row>
    <row r="852" spans="1:49" x14ac:dyDescent="0.3">
      <c r="A852" s="328" t="s">
        <v>1456</v>
      </c>
      <c r="B852" s="283" t="s">
        <v>3184</v>
      </c>
      <c r="C852" s="328" t="s">
        <v>1459</v>
      </c>
      <c r="D852" s="283" t="s">
        <v>3214</v>
      </c>
      <c r="E852" s="283" t="s">
        <v>1460</v>
      </c>
      <c r="F852" s="283" t="s">
        <v>3196</v>
      </c>
      <c r="G852" s="328" t="s">
        <v>3209</v>
      </c>
      <c r="H852" s="162" t="s">
        <v>3215</v>
      </c>
      <c r="I852" s="162"/>
      <c r="J852" s="162"/>
      <c r="K852" s="205" t="s">
        <v>3216</v>
      </c>
      <c r="L852" s="162" t="s">
        <v>3217</v>
      </c>
      <c r="M852" s="162" t="s">
        <v>3218</v>
      </c>
      <c r="N852" s="162">
        <v>0</v>
      </c>
      <c r="O852" s="162">
        <v>0</v>
      </c>
      <c r="P852" s="162">
        <v>0</v>
      </c>
      <c r="Q852" s="162">
        <v>2</v>
      </c>
      <c r="R852" s="162">
        <v>10</v>
      </c>
      <c r="S852" s="162">
        <v>10</v>
      </c>
      <c r="T852" s="162" t="s">
        <v>3193</v>
      </c>
      <c r="U852" s="162" t="e">
        <v>#N/A</v>
      </c>
      <c r="V852" s="162" t="s">
        <v>3219</v>
      </c>
      <c r="W852" s="329">
        <v>1</v>
      </c>
      <c r="X852" s="329">
        <v>1</v>
      </c>
      <c r="Y852" s="329">
        <v>1</v>
      </c>
      <c r="Z852" s="329">
        <v>1</v>
      </c>
      <c r="AA852" s="329">
        <v>1</v>
      </c>
      <c r="AB852" s="329">
        <v>1</v>
      </c>
      <c r="AC852" s="330">
        <v>1</v>
      </c>
      <c r="AD852" s="330">
        <v>1</v>
      </c>
      <c r="AE852" s="302">
        <f t="shared" si="73"/>
        <v>1</v>
      </c>
      <c r="AF852" s="310"/>
      <c r="AG852" s="17">
        <v>0</v>
      </c>
      <c r="AH852" s="310">
        <v>0</v>
      </c>
      <c r="AI852" s="310">
        <v>0</v>
      </c>
      <c r="AJ852" s="310">
        <v>5</v>
      </c>
      <c r="AK852" s="317">
        <v>2</v>
      </c>
      <c r="AL852" s="317">
        <v>15</v>
      </c>
      <c r="AM852" s="17">
        <v>4</v>
      </c>
      <c r="AN852" s="283" t="s">
        <v>3193</v>
      </c>
      <c r="AO852" s="283" t="s">
        <v>3193</v>
      </c>
      <c r="AP852" s="283" t="s">
        <v>3220</v>
      </c>
      <c r="AW852" s="331"/>
    </row>
    <row r="853" spans="1:49" hidden="1" x14ac:dyDescent="0.3">
      <c r="A853" s="328" t="s">
        <v>1456</v>
      </c>
      <c r="B853" s="283" t="s">
        <v>3184</v>
      </c>
      <c r="C853" s="328" t="s">
        <v>1459</v>
      </c>
      <c r="D853" s="283" t="s">
        <v>3186</v>
      </c>
      <c r="E853" s="283" t="s">
        <v>1460</v>
      </c>
      <c r="F853" s="283" t="s">
        <v>3196</v>
      </c>
      <c r="G853" s="328" t="s">
        <v>3209</v>
      </c>
      <c r="H853" s="162" t="s">
        <v>3221</v>
      </c>
      <c r="I853" s="162"/>
      <c r="J853" s="162"/>
      <c r="K853" s="205" t="s">
        <v>3222</v>
      </c>
      <c r="L853" s="162" t="s">
        <v>3223</v>
      </c>
      <c r="M853" s="162" t="s">
        <v>3224</v>
      </c>
      <c r="N853" s="162">
        <v>0</v>
      </c>
      <c r="O853" s="162">
        <v>0</v>
      </c>
      <c r="P853" s="162">
        <v>0</v>
      </c>
      <c r="Q853" s="162">
        <v>2</v>
      </c>
      <c r="R853" s="162">
        <v>1</v>
      </c>
      <c r="S853" s="162">
        <v>1</v>
      </c>
      <c r="T853" s="162" t="s">
        <v>3193</v>
      </c>
      <c r="U853" s="162" t="e">
        <v>#N/A</v>
      </c>
      <c r="V853" s="162" t="s">
        <v>3225</v>
      </c>
      <c r="W853" s="329">
        <v>0</v>
      </c>
      <c r="X853" s="329">
        <v>0</v>
      </c>
      <c r="Y853" s="329">
        <v>0</v>
      </c>
      <c r="Z853" s="329">
        <v>1</v>
      </c>
      <c r="AA853" s="329">
        <v>1</v>
      </c>
      <c r="AB853" s="329">
        <v>0</v>
      </c>
      <c r="AC853" s="330">
        <v>0</v>
      </c>
      <c r="AD853" s="330">
        <v>0</v>
      </c>
      <c r="AE853" s="302">
        <f t="shared" si="73"/>
        <v>0.25</v>
      </c>
      <c r="AF853" s="310"/>
      <c r="AG853" s="17">
        <v>0</v>
      </c>
      <c r="AH853" s="310">
        <v>0</v>
      </c>
      <c r="AI853" s="310" t="s">
        <v>271</v>
      </c>
      <c r="AJ853" s="201">
        <v>0.5</v>
      </c>
      <c r="AK853" s="202">
        <v>1.4</v>
      </c>
      <c r="AL853" s="202">
        <v>1.4</v>
      </c>
      <c r="AM853" s="17">
        <v>4.8</v>
      </c>
      <c r="AN853" s="283" t="s">
        <v>3193</v>
      </c>
      <c r="AO853" s="283" t="s">
        <v>3193</v>
      </c>
      <c r="AP853" s="283" t="s">
        <v>3226</v>
      </c>
      <c r="AW853" s="331"/>
    </row>
    <row r="854" spans="1:49" hidden="1" x14ac:dyDescent="0.3">
      <c r="A854" s="328" t="s">
        <v>1456</v>
      </c>
      <c r="B854" s="283" t="s">
        <v>3184</v>
      </c>
      <c r="C854" s="328" t="s">
        <v>1459</v>
      </c>
      <c r="D854" s="283" t="s">
        <v>3186</v>
      </c>
      <c r="E854" s="283" t="s">
        <v>1460</v>
      </c>
      <c r="F854" s="283" t="s">
        <v>3196</v>
      </c>
      <c r="G854" s="328" t="s">
        <v>3227</v>
      </c>
      <c r="H854" s="162" t="s">
        <v>3228</v>
      </c>
      <c r="I854" s="162"/>
      <c r="J854" s="162" t="s">
        <v>3229</v>
      </c>
      <c r="K854" s="205" t="s">
        <v>3230</v>
      </c>
      <c r="L854" s="162" t="s">
        <v>3231</v>
      </c>
      <c r="M854" s="162" t="s">
        <v>3232</v>
      </c>
      <c r="N854" s="162">
        <v>0</v>
      </c>
      <c r="O854" s="162">
        <v>0</v>
      </c>
      <c r="P854" s="162">
        <v>0</v>
      </c>
      <c r="Q854" s="162">
        <v>0</v>
      </c>
      <c r="R854" s="162">
        <v>1</v>
      </c>
      <c r="S854" s="162">
        <v>1</v>
      </c>
      <c r="T854" s="162" t="s">
        <v>3193</v>
      </c>
      <c r="U854" s="162" t="e">
        <v>#N/A</v>
      </c>
      <c r="V854" s="162" t="s">
        <v>3233</v>
      </c>
      <c r="W854" s="329">
        <v>0</v>
      </c>
      <c r="X854" s="329">
        <v>0</v>
      </c>
      <c r="Y854" s="329">
        <v>0</v>
      </c>
      <c r="Z854" s="329">
        <v>1</v>
      </c>
      <c r="AA854" s="329">
        <v>1</v>
      </c>
      <c r="AB854" s="329">
        <v>1</v>
      </c>
      <c r="AC854" s="330">
        <v>0</v>
      </c>
      <c r="AD854" s="330">
        <v>1</v>
      </c>
      <c r="AE854" s="302">
        <f t="shared" si="73"/>
        <v>0.5</v>
      </c>
      <c r="AF854" s="310"/>
      <c r="AG854" s="17">
        <v>0</v>
      </c>
      <c r="AH854" s="310">
        <v>0</v>
      </c>
      <c r="AI854" s="310">
        <v>0</v>
      </c>
      <c r="AJ854" s="310">
        <v>2</v>
      </c>
      <c r="AK854" s="317">
        <v>1</v>
      </c>
      <c r="AL854" s="317">
        <v>5</v>
      </c>
      <c r="AM854" s="17">
        <v>3.5</v>
      </c>
      <c r="AN854" s="283" t="s">
        <v>3193</v>
      </c>
      <c r="AO854" s="283" t="s">
        <v>3193</v>
      </c>
      <c r="AW854" s="331"/>
    </row>
    <row r="855" spans="1:49" hidden="1" x14ac:dyDescent="0.3">
      <c r="A855" s="328" t="s">
        <v>1456</v>
      </c>
      <c r="B855" s="283" t="s">
        <v>3184</v>
      </c>
      <c r="C855" s="328" t="s">
        <v>1459</v>
      </c>
      <c r="D855" s="283" t="s">
        <v>3186</v>
      </c>
      <c r="E855" s="283" t="s">
        <v>1460</v>
      </c>
      <c r="F855" s="283" t="s">
        <v>3234</v>
      </c>
      <c r="G855" s="328" t="s">
        <v>3227</v>
      </c>
      <c r="H855" s="162" t="s">
        <v>3235</v>
      </c>
      <c r="I855" s="162"/>
      <c r="J855" s="162"/>
      <c r="K855" s="205" t="s">
        <v>3236</v>
      </c>
      <c r="L855" s="162" t="s">
        <v>3237</v>
      </c>
      <c r="M855" s="162" t="s">
        <v>3238</v>
      </c>
      <c r="N855" s="162">
        <v>0</v>
      </c>
      <c r="O855" s="162">
        <v>0</v>
      </c>
      <c r="P855" s="162">
        <v>0</v>
      </c>
      <c r="Q855" s="162">
        <v>1</v>
      </c>
      <c r="R855" s="162">
        <v>1</v>
      </c>
      <c r="S855" s="162">
        <v>1</v>
      </c>
      <c r="T855" s="162" t="s">
        <v>3193</v>
      </c>
      <c r="U855" s="162" t="e">
        <v>#N/A</v>
      </c>
      <c r="V855" s="162" t="s">
        <v>3239</v>
      </c>
      <c r="W855" s="329">
        <v>1</v>
      </c>
      <c r="X855" s="329">
        <v>0</v>
      </c>
      <c r="Y855" s="329">
        <v>0</v>
      </c>
      <c r="Z855" s="329">
        <v>1</v>
      </c>
      <c r="AA855" s="329">
        <v>1</v>
      </c>
      <c r="AB855" s="329">
        <v>0</v>
      </c>
      <c r="AC855" s="330">
        <v>0</v>
      </c>
      <c r="AD855" s="330">
        <v>1</v>
      </c>
      <c r="AE855" s="302">
        <f t="shared" si="73"/>
        <v>0.5</v>
      </c>
      <c r="AF855" s="310"/>
      <c r="AG855" s="17">
        <v>0</v>
      </c>
      <c r="AH855" s="310">
        <v>0</v>
      </c>
      <c r="AI855" s="310" t="s">
        <v>271</v>
      </c>
      <c r="AJ855" s="310">
        <v>3</v>
      </c>
      <c r="AK855" s="317">
        <v>0.1</v>
      </c>
      <c r="AL855" s="317">
        <v>1</v>
      </c>
      <c r="AM855" s="17">
        <v>0.1</v>
      </c>
      <c r="AN855" s="283" t="s">
        <v>3193</v>
      </c>
      <c r="AO855" s="283" t="s">
        <v>3193</v>
      </c>
      <c r="AP855" s="283" t="s">
        <v>3240</v>
      </c>
      <c r="AW855" s="331"/>
    </row>
    <row r="856" spans="1:49" hidden="1" x14ac:dyDescent="0.3">
      <c r="A856" s="328" t="s">
        <v>1456</v>
      </c>
      <c r="B856" s="283" t="s">
        <v>3184</v>
      </c>
      <c r="C856" s="328" t="s">
        <v>1459</v>
      </c>
      <c r="D856" s="283" t="s">
        <v>3186</v>
      </c>
      <c r="E856" s="283" t="s">
        <v>1460</v>
      </c>
      <c r="F856" s="283" t="s">
        <v>3241</v>
      </c>
      <c r="G856" s="328" t="s">
        <v>3242</v>
      </c>
      <c r="H856" s="203" t="s">
        <v>3243</v>
      </c>
      <c r="I856" s="162" t="s">
        <v>3244</v>
      </c>
      <c r="J856" s="162"/>
      <c r="K856" s="162" t="s">
        <v>3245</v>
      </c>
      <c r="L856" s="203" t="s">
        <v>3246</v>
      </c>
      <c r="M856" s="162" t="s">
        <v>3247</v>
      </c>
      <c r="N856" s="162" t="s">
        <v>271</v>
      </c>
      <c r="O856" s="162">
        <v>0</v>
      </c>
      <c r="P856" s="162">
        <v>0</v>
      </c>
      <c r="Q856" s="162">
        <v>1</v>
      </c>
      <c r="R856" s="162">
        <v>1</v>
      </c>
      <c r="S856" s="162">
        <v>1</v>
      </c>
      <c r="T856" s="162" t="s">
        <v>3193</v>
      </c>
      <c r="U856" s="162" t="e">
        <v>#N/A</v>
      </c>
      <c r="V856" s="203" t="s">
        <v>3248</v>
      </c>
      <c r="W856" s="335">
        <v>0</v>
      </c>
      <c r="X856" s="335">
        <v>0</v>
      </c>
      <c r="Y856" s="335">
        <v>0</v>
      </c>
      <c r="Z856" s="335">
        <v>0</v>
      </c>
      <c r="AA856" s="335">
        <v>0</v>
      </c>
      <c r="AB856" s="335">
        <v>0</v>
      </c>
      <c r="AC856" s="336">
        <v>0</v>
      </c>
      <c r="AD856" s="330">
        <v>1</v>
      </c>
      <c r="AE856" s="302">
        <f t="shared" si="73"/>
        <v>0.125</v>
      </c>
      <c r="AF856" s="310"/>
      <c r="AG856" s="17">
        <v>0</v>
      </c>
      <c r="AH856" s="310">
        <v>0</v>
      </c>
      <c r="AI856" s="310" t="s">
        <v>271</v>
      </c>
      <c r="AJ856" s="201">
        <v>0.1</v>
      </c>
      <c r="AK856" s="202">
        <v>16.423999999999999</v>
      </c>
      <c r="AL856" s="202">
        <v>16.423999999999999</v>
      </c>
      <c r="AM856" s="17">
        <v>49.268000000000001</v>
      </c>
      <c r="AN856" s="283" t="s">
        <v>3193</v>
      </c>
      <c r="AO856" s="283" t="s">
        <v>3193</v>
      </c>
      <c r="AW856" s="331"/>
    </row>
    <row r="857" spans="1:49" x14ac:dyDescent="0.3">
      <c r="A857" s="328" t="s">
        <v>1456</v>
      </c>
      <c r="B857" s="283" t="s">
        <v>3184</v>
      </c>
      <c r="C857" s="328" t="s">
        <v>1459</v>
      </c>
      <c r="D857" s="283" t="s">
        <v>3186</v>
      </c>
      <c r="E857" s="283" t="s">
        <v>1460</v>
      </c>
      <c r="F857" s="283" t="s">
        <v>3196</v>
      </c>
      <c r="G857" s="328" t="s">
        <v>3242</v>
      </c>
      <c r="H857" s="162" t="s">
        <v>3228</v>
      </c>
      <c r="I857" s="162" t="s">
        <v>3249</v>
      </c>
      <c r="J857" s="162" t="s">
        <v>3250</v>
      </c>
      <c r="K857" s="162" t="s">
        <v>3251</v>
      </c>
      <c r="L857" s="162" t="s">
        <v>3252</v>
      </c>
      <c r="M857" s="162" t="s">
        <v>3253</v>
      </c>
      <c r="N857" s="162" t="s">
        <v>271</v>
      </c>
      <c r="O857" s="162">
        <v>0</v>
      </c>
      <c r="P857" s="162">
        <v>0</v>
      </c>
      <c r="Q857" s="162">
        <v>3</v>
      </c>
      <c r="R857" s="162">
        <v>3</v>
      </c>
      <c r="S857" s="162">
        <v>3</v>
      </c>
      <c r="T857" s="162" t="s">
        <v>3193</v>
      </c>
      <c r="U857" s="162" t="e">
        <v>#N/A</v>
      </c>
      <c r="V857" s="162" t="s">
        <v>3254</v>
      </c>
      <c r="W857" s="329">
        <v>1</v>
      </c>
      <c r="X857" s="329">
        <v>1</v>
      </c>
      <c r="Y857" s="329">
        <v>0</v>
      </c>
      <c r="Z857" s="329">
        <v>1</v>
      </c>
      <c r="AA857" s="329">
        <v>1</v>
      </c>
      <c r="AB857" s="329">
        <v>0</v>
      </c>
      <c r="AC857" s="330">
        <v>1</v>
      </c>
      <c r="AD857" s="330">
        <v>1</v>
      </c>
      <c r="AE857" s="302">
        <f t="shared" si="73"/>
        <v>0.75</v>
      </c>
      <c r="AF857" s="310"/>
      <c r="AG857" s="17">
        <v>0</v>
      </c>
      <c r="AH857" s="310">
        <v>0</v>
      </c>
      <c r="AI857" s="310" t="s">
        <v>271</v>
      </c>
      <c r="AJ857" s="310">
        <v>1.4</v>
      </c>
      <c r="AK857" s="317">
        <v>0.1</v>
      </c>
      <c r="AL857" s="317">
        <v>5</v>
      </c>
      <c r="AM857" s="17">
        <v>0.6</v>
      </c>
      <c r="AN857" s="283" t="s">
        <v>3193</v>
      </c>
      <c r="AO857" s="283" t="s">
        <v>3193</v>
      </c>
      <c r="AP857" s="283" t="s">
        <v>3255</v>
      </c>
      <c r="AW857" s="331"/>
    </row>
    <row r="858" spans="1:49" x14ac:dyDescent="0.3">
      <c r="A858" s="328" t="s">
        <v>1456</v>
      </c>
      <c r="B858" s="283" t="s">
        <v>3184</v>
      </c>
      <c r="C858" s="328" t="s">
        <v>1459</v>
      </c>
      <c r="D858" s="283" t="s">
        <v>3186</v>
      </c>
      <c r="E858" s="283" t="s">
        <v>1460</v>
      </c>
      <c r="F858" s="283" t="s">
        <v>3234</v>
      </c>
      <c r="G858" s="328" t="s">
        <v>3242</v>
      </c>
      <c r="H858" s="203" t="s">
        <v>3256</v>
      </c>
      <c r="I858" s="203" t="s">
        <v>3249</v>
      </c>
      <c r="J858" s="203"/>
      <c r="K858" s="203" t="s">
        <v>3257</v>
      </c>
      <c r="L858" s="203" t="s">
        <v>3258</v>
      </c>
      <c r="M858" s="203" t="s">
        <v>3259</v>
      </c>
      <c r="N858" s="203" t="s">
        <v>271</v>
      </c>
      <c r="O858" s="203">
        <v>0</v>
      </c>
      <c r="P858" s="203">
        <v>0</v>
      </c>
      <c r="Q858" s="203">
        <v>1</v>
      </c>
      <c r="R858" s="203">
        <v>1</v>
      </c>
      <c r="S858" s="203">
        <v>1</v>
      </c>
      <c r="T858" s="203" t="s">
        <v>3240</v>
      </c>
      <c r="U858" s="203" t="e">
        <v>#N/A</v>
      </c>
      <c r="V858" s="203" t="s">
        <v>3260</v>
      </c>
      <c r="W858" s="329">
        <v>1</v>
      </c>
      <c r="X858" s="329">
        <v>1</v>
      </c>
      <c r="Y858" s="329">
        <v>1</v>
      </c>
      <c r="Z858" s="329">
        <v>1</v>
      </c>
      <c r="AA858" s="329">
        <v>1</v>
      </c>
      <c r="AB858" s="329">
        <v>0</v>
      </c>
      <c r="AC858" s="330">
        <v>1</v>
      </c>
      <c r="AD858" s="330">
        <v>1</v>
      </c>
      <c r="AE858" s="302">
        <f t="shared" si="73"/>
        <v>0.875</v>
      </c>
      <c r="AF858" s="310"/>
      <c r="AG858" s="17">
        <v>0</v>
      </c>
      <c r="AH858" s="310" t="s">
        <v>271</v>
      </c>
      <c r="AI858" s="310" t="s">
        <v>271</v>
      </c>
      <c r="AJ858" s="310">
        <v>0.2</v>
      </c>
      <c r="AK858" s="317">
        <v>0.2</v>
      </c>
      <c r="AL858" s="317">
        <v>0.2</v>
      </c>
      <c r="AM858" s="17">
        <v>1.5</v>
      </c>
      <c r="AN858" s="283" t="s">
        <v>3240</v>
      </c>
      <c r="AO858" s="283" t="s">
        <v>3261</v>
      </c>
      <c r="AP858" s="283" t="s">
        <v>3262</v>
      </c>
      <c r="AW858" s="331"/>
    </row>
    <row r="859" spans="1:49" hidden="1" x14ac:dyDescent="0.3">
      <c r="A859" s="328" t="s">
        <v>1456</v>
      </c>
      <c r="B859" s="283" t="s">
        <v>3184</v>
      </c>
      <c r="C859" s="328" t="s">
        <v>1459</v>
      </c>
      <c r="D859" s="283" t="s">
        <v>3186</v>
      </c>
      <c r="E859" s="283" t="s">
        <v>1460</v>
      </c>
      <c r="F859" s="283" t="s">
        <v>3196</v>
      </c>
      <c r="G859" s="328" t="s">
        <v>3242</v>
      </c>
      <c r="H859" s="162" t="s">
        <v>3263</v>
      </c>
      <c r="I859" s="162" t="s">
        <v>3249</v>
      </c>
      <c r="J859" s="162"/>
      <c r="K859" s="162" t="s">
        <v>3264</v>
      </c>
      <c r="L859" s="162" t="s">
        <v>3265</v>
      </c>
      <c r="M859" s="162" t="s">
        <v>3266</v>
      </c>
      <c r="N859" s="162">
        <v>0</v>
      </c>
      <c r="O859" s="162">
        <v>0</v>
      </c>
      <c r="P859" s="162">
        <v>0</v>
      </c>
      <c r="Q859" s="162">
        <v>1</v>
      </c>
      <c r="R859" s="162">
        <v>1</v>
      </c>
      <c r="S859" s="162">
        <v>1</v>
      </c>
      <c r="T859" s="162" t="s">
        <v>3240</v>
      </c>
      <c r="U859" s="162" t="e">
        <v>#N/A</v>
      </c>
      <c r="V859" s="162" t="s">
        <v>3267</v>
      </c>
      <c r="W859" s="329">
        <v>0</v>
      </c>
      <c r="X859" s="329">
        <v>0</v>
      </c>
      <c r="Y859" s="329">
        <v>0</v>
      </c>
      <c r="Z859" s="329">
        <v>1</v>
      </c>
      <c r="AA859" s="329">
        <v>1</v>
      </c>
      <c r="AB859" s="329">
        <v>1</v>
      </c>
      <c r="AC859" s="330">
        <v>0</v>
      </c>
      <c r="AD859" s="330">
        <v>0</v>
      </c>
      <c r="AE859" s="302">
        <f t="shared" si="73"/>
        <v>0.375</v>
      </c>
      <c r="AF859" s="310"/>
      <c r="AG859" s="17">
        <v>0</v>
      </c>
      <c r="AH859" s="310">
        <v>0</v>
      </c>
      <c r="AI859" s="310" t="s">
        <v>271</v>
      </c>
      <c r="AJ859" s="201">
        <v>1</v>
      </c>
      <c r="AK859" s="202">
        <v>1</v>
      </c>
      <c r="AL859" s="202">
        <v>0.2</v>
      </c>
      <c r="AM859" s="17">
        <v>1.2</v>
      </c>
      <c r="AN859" s="283" t="s">
        <v>3240</v>
      </c>
      <c r="AO859" s="283" t="s">
        <v>3261</v>
      </c>
      <c r="AP859" s="283" t="s">
        <v>3268</v>
      </c>
      <c r="AW859" s="331"/>
    </row>
    <row r="860" spans="1:49" hidden="1" x14ac:dyDescent="0.3">
      <c r="A860" s="328" t="s">
        <v>1456</v>
      </c>
      <c r="B860" s="283" t="s">
        <v>3184</v>
      </c>
      <c r="C860" s="328" t="s">
        <v>1459</v>
      </c>
      <c r="D860" s="283" t="s">
        <v>3186</v>
      </c>
      <c r="E860" s="283" t="s">
        <v>1460</v>
      </c>
      <c r="F860" s="283" t="s">
        <v>3234</v>
      </c>
      <c r="G860" s="328" t="s">
        <v>3242</v>
      </c>
      <c r="H860" s="162" t="s">
        <v>3269</v>
      </c>
      <c r="I860" s="162" t="s">
        <v>3249</v>
      </c>
      <c r="J860" s="162"/>
      <c r="K860" s="162" t="s">
        <v>3270</v>
      </c>
      <c r="L860" s="162" t="s">
        <v>3271</v>
      </c>
      <c r="M860" s="162" t="s">
        <v>3272</v>
      </c>
      <c r="N860" s="162"/>
      <c r="O860" s="162">
        <v>0</v>
      </c>
      <c r="P860" s="162">
        <v>0</v>
      </c>
      <c r="Q860" s="162">
        <v>100</v>
      </c>
      <c r="R860" s="162">
        <v>1000</v>
      </c>
      <c r="S860" s="162">
        <v>1000</v>
      </c>
      <c r="T860" s="162" t="s">
        <v>3240</v>
      </c>
      <c r="U860" s="162" t="e">
        <v>#N/A</v>
      </c>
      <c r="V860" s="162" t="s">
        <v>3273</v>
      </c>
      <c r="W860" s="329">
        <v>0</v>
      </c>
      <c r="X860" s="329">
        <v>0</v>
      </c>
      <c r="Y860" s="329">
        <v>0</v>
      </c>
      <c r="Z860" s="329">
        <v>1</v>
      </c>
      <c r="AA860" s="329">
        <v>1</v>
      </c>
      <c r="AB860" s="329">
        <v>1</v>
      </c>
      <c r="AC860" s="330">
        <v>0</v>
      </c>
      <c r="AD860" s="330">
        <v>1</v>
      </c>
      <c r="AE860" s="302">
        <f t="shared" si="73"/>
        <v>0.5</v>
      </c>
      <c r="AF860" s="310"/>
      <c r="AG860" s="17">
        <v>0</v>
      </c>
      <c r="AH860" s="310">
        <v>0</v>
      </c>
      <c r="AI860" s="310" t="s">
        <v>271</v>
      </c>
      <c r="AJ860" s="310">
        <v>0.1</v>
      </c>
      <c r="AK860" s="317">
        <v>0.1</v>
      </c>
      <c r="AL860" s="317">
        <v>5</v>
      </c>
      <c r="AM860" s="17">
        <v>1.3</v>
      </c>
      <c r="AN860" s="283" t="s">
        <v>3240</v>
      </c>
      <c r="AO860" s="283" t="s">
        <v>3193</v>
      </c>
      <c r="AW860" s="331"/>
    </row>
    <row r="861" spans="1:49" hidden="1" x14ac:dyDescent="0.3">
      <c r="A861" s="328" t="s">
        <v>1456</v>
      </c>
      <c r="B861" s="283" t="s">
        <v>3184</v>
      </c>
      <c r="C861" s="328" t="s">
        <v>1459</v>
      </c>
      <c r="D861" s="283" t="s">
        <v>3186</v>
      </c>
      <c r="E861" s="283" t="s">
        <v>1460</v>
      </c>
      <c r="F861" s="283" t="s">
        <v>3234</v>
      </c>
      <c r="G861" s="328" t="s">
        <v>3242</v>
      </c>
      <c r="H861" s="162" t="s">
        <v>3269</v>
      </c>
      <c r="I861" s="162" t="s">
        <v>3249</v>
      </c>
      <c r="J861" s="162"/>
      <c r="K861" s="162" t="s">
        <v>3274</v>
      </c>
      <c r="L861" s="162" t="s">
        <v>3275</v>
      </c>
      <c r="M861" s="162" t="s">
        <v>3276</v>
      </c>
      <c r="N861" s="162">
        <v>0</v>
      </c>
      <c r="O861" s="162">
        <v>0</v>
      </c>
      <c r="P861" s="162">
        <v>0</v>
      </c>
      <c r="Q861" s="162">
        <v>0</v>
      </c>
      <c r="R861" s="162">
        <v>1</v>
      </c>
      <c r="S861" s="162">
        <v>1</v>
      </c>
      <c r="T861" s="162" t="s">
        <v>3240</v>
      </c>
      <c r="U861" s="162" t="e">
        <v>#N/A</v>
      </c>
      <c r="V861" s="162" t="s">
        <v>3277</v>
      </c>
      <c r="W861" s="329">
        <v>1</v>
      </c>
      <c r="X861" s="329">
        <v>0</v>
      </c>
      <c r="Y861" s="329">
        <v>0</v>
      </c>
      <c r="Z861" s="329">
        <v>1</v>
      </c>
      <c r="AA861" s="329">
        <v>1</v>
      </c>
      <c r="AB861" s="329">
        <v>1</v>
      </c>
      <c r="AC861" s="330">
        <v>0</v>
      </c>
      <c r="AD861" s="330">
        <v>1</v>
      </c>
      <c r="AE861" s="302">
        <f t="shared" si="73"/>
        <v>0.625</v>
      </c>
      <c r="AF861" s="4"/>
      <c r="AG861" s="17">
        <v>0</v>
      </c>
      <c r="AH861" s="4" t="s">
        <v>271</v>
      </c>
      <c r="AI861" s="4" t="s">
        <v>271</v>
      </c>
      <c r="AJ861" s="4">
        <v>0.1</v>
      </c>
      <c r="AK861" s="46">
        <v>1</v>
      </c>
      <c r="AL861" s="46">
        <v>1.5</v>
      </c>
      <c r="AM861" s="17">
        <v>3</v>
      </c>
      <c r="AN861" s="283" t="s">
        <v>3240</v>
      </c>
      <c r="AO861" s="283" t="s">
        <v>3193</v>
      </c>
      <c r="AP861" s="283" t="s">
        <v>3193</v>
      </c>
      <c r="AW861" s="331"/>
    </row>
    <row r="862" spans="1:49" s="337" customFormat="1" hidden="1" x14ac:dyDescent="0.3">
      <c r="A862" s="328" t="s">
        <v>1456</v>
      </c>
      <c r="B862" s="283" t="s">
        <v>3184</v>
      </c>
      <c r="C862" s="328" t="s">
        <v>1459</v>
      </c>
      <c r="D862" s="283" t="s">
        <v>3186</v>
      </c>
      <c r="E862" s="283" t="s">
        <v>1461</v>
      </c>
      <c r="F862" s="283" t="s">
        <v>3241</v>
      </c>
      <c r="G862" s="328" t="s">
        <v>3278</v>
      </c>
      <c r="H862" s="203" t="s">
        <v>3243</v>
      </c>
      <c r="I862" s="162"/>
      <c r="J862" s="162"/>
      <c r="K862" s="205" t="s">
        <v>3279</v>
      </c>
      <c r="L862" s="203" t="s">
        <v>3280</v>
      </c>
      <c r="M862" s="162" t="s">
        <v>3281</v>
      </c>
      <c r="N862" s="162"/>
      <c r="O862" s="162">
        <v>0</v>
      </c>
      <c r="P862" s="162">
        <v>0</v>
      </c>
      <c r="Q862" s="162">
        <v>2</v>
      </c>
      <c r="R862" s="162">
        <v>4</v>
      </c>
      <c r="S862" s="162">
        <v>4</v>
      </c>
      <c r="T862" s="162" t="s">
        <v>3193</v>
      </c>
      <c r="U862" s="162" t="e">
        <v>#N/A</v>
      </c>
      <c r="V862" s="203" t="s">
        <v>3282</v>
      </c>
      <c r="W862" s="329">
        <v>1</v>
      </c>
      <c r="X862" s="329">
        <v>0</v>
      </c>
      <c r="Y862" s="329">
        <v>0</v>
      </c>
      <c r="Z862" s="329">
        <v>1</v>
      </c>
      <c r="AA862" s="329">
        <v>1</v>
      </c>
      <c r="AB862" s="329">
        <v>1</v>
      </c>
      <c r="AC862" s="330">
        <v>0</v>
      </c>
      <c r="AD862" s="330">
        <v>1</v>
      </c>
      <c r="AE862" s="302">
        <f t="shared" si="73"/>
        <v>0.625</v>
      </c>
      <c r="AF862" s="310"/>
      <c r="AG862" s="17">
        <v>0</v>
      </c>
      <c r="AH862" s="310" t="s">
        <v>271</v>
      </c>
      <c r="AI862" s="310" t="s">
        <v>271</v>
      </c>
      <c r="AJ862" s="310">
        <v>16.423999999999999</v>
      </c>
      <c r="AK862" s="317">
        <v>0.2</v>
      </c>
      <c r="AL862" s="317">
        <v>0.2</v>
      </c>
      <c r="AM862" s="17">
        <v>1.0999999999999999</v>
      </c>
      <c r="AN862" s="283" t="s">
        <v>3193</v>
      </c>
      <c r="AO862" s="283" t="s">
        <v>3193</v>
      </c>
      <c r="AP862" s="283"/>
      <c r="AQ862" s="283"/>
      <c r="AR862" s="283"/>
      <c r="AS862" s="283"/>
      <c r="AT862" s="283"/>
      <c r="AU862" s="283"/>
      <c r="AV862" s="283"/>
      <c r="AW862" s="331"/>
    </row>
    <row r="863" spans="1:49" hidden="1" x14ac:dyDescent="0.3">
      <c r="A863" s="328" t="s">
        <v>1456</v>
      </c>
      <c r="B863" s="283" t="s">
        <v>3184</v>
      </c>
      <c r="C863" s="328" t="s">
        <v>1459</v>
      </c>
      <c r="D863" s="283" t="s">
        <v>3186</v>
      </c>
      <c r="E863" s="283" t="s">
        <v>1461</v>
      </c>
      <c r="F863" s="283" t="s">
        <v>3187</v>
      </c>
      <c r="G863" s="328" t="s">
        <v>3278</v>
      </c>
      <c r="H863" s="162" t="s">
        <v>3283</v>
      </c>
      <c r="I863" s="162"/>
      <c r="J863" s="162"/>
      <c r="K863" s="205" t="s">
        <v>3279</v>
      </c>
      <c r="L863" s="162" t="s">
        <v>3284</v>
      </c>
      <c r="M863" s="162" t="s">
        <v>3285</v>
      </c>
      <c r="N863" s="162"/>
      <c r="O863" s="162">
        <v>0</v>
      </c>
      <c r="P863" s="162">
        <v>0</v>
      </c>
      <c r="Q863" s="162">
        <v>1</v>
      </c>
      <c r="R863" s="162">
        <v>1</v>
      </c>
      <c r="S863" s="162">
        <v>1</v>
      </c>
      <c r="T863" s="162" t="s">
        <v>3193</v>
      </c>
      <c r="U863" s="162" t="e">
        <v>#N/A</v>
      </c>
      <c r="V863" s="162" t="s">
        <v>3286</v>
      </c>
      <c r="W863" s="329">
        <v>0</v>
      </c>
      <c r="X863" s="329">
        <v>0</v>
      </c>
      <c r="Y863" s="329">
        <v>0</v>
      </c>
      <c r="Z863" s="329">
        <v>1</v>
      </c>
      <c r="AA863" s="329">
        <v>1</v>
      </c>
      <c r="AB863" s="329">
        <v>1</v>
      </c>
      <c r="AC863" s="330">
        <v>0</v>
      </c>
      <c r="AD863" s="330">
        <v>1</v>
      </c>
      <c r="AE863" s="302">
        <f t="shared" si="73"/>
        <v>0.5</v>
      </c>
      <c r="AF863" s="310"/>
      <c r="AG863" s="17">
        <v>0</v>
      </c>
      <c r="AH863" s="310" t="s">
        <v>271</v>
      </c>
      <c r="AI863" s="310" t="s">
        <v>271</v>
      </c>
      <c r="AJ863" s="310">
        <v>0.5</v>
      </c>
      <c r="AK863" s="317">
        <v>0.2</v>
      </c>
      <c r="AL863" s="317">
        <v>0.5</v>
      </c>
      <c r="AM863" s="17">
        <v>0.30000000000000004</v>
      </c>
      <c r="AN863" s="283" t="s">
        <v>3193</v>
      </c>
      <c r="AO863" s="283" t="s">
        <v>3193</v>
      </c>
      <c r="AP863" s="283" t="s">
        <v>3240</v>
      </c>
      <c r="AW863" s="331"/>
    </row>
    <row r="864" spans="1:49" x14ac:dyDescent="0.3">
      <c r="A864" s="328" t="s">
        <v>1456</v>
      </c>
      <c r="B864" s="283" t="s">
        <v>3184</v>
      </c>
      <c r="C864" s="328" t="s">
        <v>1459</v>
      </c>
      <c r="D864" s="283" t="s">
        <v>3186</v>
      </c>
      <c r="E864" s="283" t="s">
        <v>1461</v>
      </c>
      <c r="F864" s="283" t="s">
        <v>3241</v>
      </c>
      <c r="G864" s="328" t="s">
        <v>3278</v>
      </c>
      <c r="H864" s="162" t="s">
        <v>3287</v>
      </c>
      <c r="I864" s="162"/>
      <c r="J864" s="162"/>
      <c r="K864" s="205" t="s">
        <v>3288</v>
      </c>
      <c r="L864" s="162" t="s">
        <v>3289</v>
      </c>
      <c r="M864" s="162" t="s">
        <v>3290</v>
      </c>
      <c r="N864" s="162"/>
      <c r="O864" s="162">
        <v>0</v>
      </c>
      <c r="P864" s="162">
        <v>0</v>
      </c>
      <c r="Q864" s="162">
        <v>1</v>
      </c>
      <c r="R864" s="162">
        <v>1</v>
      </c>
      <c r="S864" s="162">
        <v>1</v>
      </c>
      <c r="T864" s="162" t="s">
        <v>3193</v>
      </c>
      <c r="U864" s="162" t="e">
        <v>#N/A</v>
      </c>
      <c r="V864" s="162" t="s">
        <v>3291</v>
      </c>
      <c r="W864" s="329">
        <v>1</v>
      </c>
      <c r="X864" s="329">
        <v>1</v>
      </c>
      <c r="Y864" s="329">
        <v>0</v>
      </c>
      <c r="Z864" s="329">
        <v>1</v>
      </c>
      <c r="AA864" s="329">
        <v>1</v>
      </c>
      <c r="AB864" s="329">
        <v>1</v>
      </c>
      <c r="AC864" s="330">
        <v>0</v>
      </c>
      <c r="AD864" s="330">
        <v>1</v>
      </c>
      <c r="AE864" s="302">
        <f t="shared" si="73"/>
        <v>0.75</v>
      </c>
      <c r="AF864" s="310"/>
      <c r="AG864" s="17">
        <v>0</v>
      </c>
      <c r="AH864" s="310">
        <v>0</v>
      </c>
      <c r="AI864" s="310">
        <v>0</v>
      </c>
      <c r="AJ864" s="310">
        <v>0.2</v>
      </c>
      <c r="AK864" s="317">
        <v>0</v>
      </c>
      <c r="AL864" s="317">
        <v>0.2</v>
      </c>
      <c r="AM864" s="17">
        <v>0.3</v>
      </c>
      <c r="AN864" s="283" t="s">
        <v>3193</v>
      </c>
      <c r="AO864" s="283" t="s">
        <v>3193</v>
      </c>
      <c r="AP864" s="283" t="s">
        <v>3292</v>
      </c>
      <c r="AW864" s="331"/>
    </row>
    <row r="865" spans="1:49" hidden="1" x14ac:dyDescent="0.3">
      <c r="A865" s="328" t="s">
        <v>1456</v>
      </c>
      <c r="B865" s="283" t="s">
        <v>3184</v>
      </c>
      <c r="C865" s="328" t="s">
        <v>1459</v>
      </c>
      <c r="D865" s="283" t="s">
        <v>3293</v>
      </c>
      <c r="E865" s="283" t="s">
        <v>1461</v>
      </c>
      <c r="F865" s="283" t="s">
        <v>3294</v>
      </c>
      <c r="G865" s="328" t="s">
        <v>3278</v>
      </c>
      <c r="H865" s="162" t="s">
        <v>3295</v>
      </c>
      <c r="I865" s="162"/>
      <c r="J865" s="162"/>
      <c r="K865" s="205" t="s">
        <v>3296</v>
      </c>
      <c r="L865" s="162" t="s">
        <v>3297</v>
      </c>
      <c r="M865" s="162" t="s">
        <v>3298</v>
      </c>
      <c r="N865" s="162">
        <v>0</v>
      </c>
      <c r="O865" s="162">
        <v>0</v>
      </c>
      <c r="P865" s="162">
        <v>0</v>
      </c>
      <c r="Q865" s="162">
        <v>3</v>
      </c>
      <c r="R865" s="162">
        <v>4</v>
      </c>
      <c r="S865" s="162">
        <v>5</v>
      </c>
      <c r="T865" s="162" t="s">
        <v>3292</v>
      </c>
      <c r="U865" s="162" t="e">
        <v>#N/A</v>
      </c>
      <c r="V865" s="162" t="s">
        <v>3299</v>
      </c>
      <c r="W865" s="329">
        <v>1</v>
      </c>
      <c r="X865" s="329">
        <v>1</v>
      </c>
      <c r="Y865" s="329">
        <v>0</v>
      </c>
      <c r="Z865" s="329">
        <v>1</v>
      </c>
      <c r="AA865" s="329">
        <v>1</v>
      </c>
      <c r="AB865" s="329">
        <v>0</v>
      </c>
      <c r="AC865" s="330">
        <v>0</v>
      </c>
      <c r="AD865" s="330">
        <v>1</v>
      </c>
      <c r="AE865" s="302">
        <f t="shared" si="73"/>
        <v>0.625</v>
      </c>
      <c r="AF865" s="310"/>
      <c r="AG865" s="17">
        <v>0</v>
      </c>
      <c r="AH865" s="310">
        <v>0</v>
      </c>
      <c r="AI865" s="310">
        <v>0</v>
      </c>
      <c r="AJ865" s="310">
        <v>0.1</v>
      </c>
      <c r="AK865" s="317">
        <v>0.5</v>
      </c>
      <c r="AL865" s="317">
        <v>1</v>
      </c>
      <c r="AM865" s="17">
        <v>1</v>
      </c>
      <c r="AN865" s="283" t="s">
        <v>3292</v>
      </c>
      <c r="AO865" s="283" t="s">
        <v>3193</v>
      </c>
      <c r="AP865" s="283" t="s">
        <v>3300</v>
      </c>
      <c r="AW865" s="331"/>
    </row>
    <row r="866" spans="1:49" x14ac:dyDescent="0.3">
      <c r="A866" s="328" t="s">
        <v>1456</v>
      </c>
      <c r="B866" s="283" t="s">
        <v>3184</v>
      </c>
      <c r="C866" s="328" t="s">
        <v>1459</v>
      </c>
      <c r="D866" s="283" t="s">
        <v>3293</v>
      </c>
      <c r="E866" s="283" t="s">
        <v>1462</v>
      </c>
      <c r="F866" s="283" t="s">
        <v>3294</v>
      </c>
      <c r="G866" s="328" t="s">
        <v>3301</v>
      </c>
      <c r="H866" s="162" t="s">
        <v>3302</v>
      </c>
      <c r="I866" s="162"/>
      <c r="J866" s="162"/>
      <c r="K866" s="162" t="s">
        <v>3303</v>
      </c>
      <c r="L866" s="162" t="s">
        <v>3304</v>
      </c>
      <c r="M866" s="162" t="s">
        <v>3305</v>
      </c>
      <c r="N866" s="162" t="s">
        <v>271</v>
      </c>
      <c r="O866" s="162">
        <v>0</v>
      </c>
      <c r="P866" s="162">
        <v>0</v>
      </c>
      <c r="Q866" s="162">
        <v>50</v>
      </c>
      <c r="R866" s="162">
        <v>50</v>
      </c>
      <c r="S866" s="162">
        <v>50</v>
      </c>
      <c r="T866" s="162" t="s">
        <v>3292</v>
      </c>
      <c r="U866" s="162" t="e">
        <v>#N/A</v>
      </c>
      <c r="V866" s="162" t="s">
        <v>3306</v>
      </c>
      <c r="W866" s="329">
        <v>1</v>
      </c>
      <c r="X866" s="329">
        <v>1</v>
      </c>
      <c r="Y866" s="329">
        <v>1</v>
      </c>
      <c r="Z866" s="329">
        <v>1</v>
      </c>
      <c r="AA866" s="329">
        <v>1</v>
      </c>
      <c r="AB866" s="329">
        <v>0</v>
      </c>
      <c r="AC866" s="330">
        <v>0</v>
      </c>
      <c r="AD866" s="330">
        <v>1</v>
      </c>
      <c r="AE866" s="302">
        <f t="shared" si="73"/>
        <v>0.75</v>
      </c>
      <c r="AF866" s="310"/>
      <c r="AG866" s="17">
        <v>0</v>
      </c>
      <c r="AH866" s="310">
        <v>0</v>
      </c>
      <c r="AI866" s="310">
        <v>0</v>
      </c>
      <c r="AJ866" s="310">
        <v>0.3</v>
      </c>
      <c r="AK866" s="317">
        <v>1.5</v>
      </c>
      <c r="AL866" s="317">
        <v>5</v>
      </c>
      <c r="AM866" s="17">
        <v>4.5</v>
      </c>
      <c r="AN866" s="283" t="s">
        <v>3292</v>
      </c>
      <c r="AO866" s="283" t="s">
        <v>3261</v>
      </c>
      <c r="AP866" s="283" t="s">
        <v>3307</v>
      </c>
      <c r="AW866" s="331"/>
    </row>
    <row r="867" spans="1:49" hidden="1" x14ac:dyDescent="0.3">
      <c r="A867" s="328" t="s">
        <v>1456</v>
      </c>
      <c r="B867" s="283" t="s">
        <v>3184</v>
      </c>
      <c r="C867" s="328" t="s">
        <v>1459</v>
      </c>
      <c r="D867" s="283" t="s">
        <v>3214</v>
      </c>
      <c r="E867" s="283" t="s">
        <v>1460</v>
      </c>
      <c r="F867" s="283" t="s">
        <v>3234</v>
      </c>
      <c r="G867" s="328" t="s">
        <v>3308</v>
      </c>
      <c r="H867" s="162" t="s">
        <v>3309</v>
      </c>
      <c r="I867" s="162"/>
      <c r="J867" s="162"/>
      <c r="K867" s="205" t="s">
        <v>3310</v>
      </c>
      <c r="L867" s="162" t="s">
        <v>3311</v>
      </c>
      <c r="M867" s="162" t="s">
        <v>3312</v>
      </c>
      <c r="N867" s="162">
        <v>0</v>
      </c>
      <c r="O867" s="162">
        <v>0</v>
      </c>
      <c r="P867" s="162">
        <v>0</v>
      </c>
      <c r="Q867" s="162">
        <v>100</v>
      </c>
      <c r="R867" s="162">
        <v>100</v>
      </c>
      <c r="S867" s="162">
        <v>100</v>
      </c>
      <c r="T867" s="162" t="s">
        <v>3193</v>
      </c>
      <c r="U867" s="162" t="e">
        <v>#N/A</v>
      </c>
      <c r="V867" s="162" t="s">
        <v>3313</v>
      </c>
      <c r="W867" s="329">
        <v>0</v>
      </c>
      <c r="X867" s="329">
        <v>0</v>
      </c>
      <c r="Y867" s="329">
        <v>0</v>
      </c>
      <c r="Z867" s="329">
        <v>1</v>
      </c>
      <c r="AA867" s="329">
        <v>1</v>
      </c>
      <c r="AB867" s="329">
        <v>1</v>
      </c>
      <c r="AC867" s="330">
        <v>0</v>
      </c>
      <c r="AD867" s="330">
        <v>1</v>
      </c>
      <c r="AE867" s="302">
        <f t="shared" si="73"/>
        <v>0.5</v>
      </c>
      <c r="AF867" s="310"/>
      <c r="AG867" s="17">
        <v>0</v>
      </c>
      <c r="AH867" s="310">
        <v>0</v>
      </c>
      <c r="AI867" s="310">
        <v>0</v>
      </c>
      <c r="AJ867" s="310">
        <v>0.2</v>
      </c>
      <c r="AK867" s="317">
        <v>2</v>
      </c>
      <c r="AL867" s="317">
        <v>2</v>
      </c>
      <c r="AM867" s="17">
        <v>7</v>
      </c>
      <c r="AN867" s="283" t="s">
        <v>3193</v>
      </c>
      <c r="AO867" s="283" t="s">
        <v>3193</v>
      </c>
      <c r="AP867" s="283" t="s">
        <v>3220</v>
      </c>
      <c r="AW867" s="331"/>
    </row>
    <row r="868" spans="1:49" hidden="1" x14ac:dyDescent="0.3">
      <c r="A868" s="328" t="s">
        <v>1456</v>
      </c>
      <c r="B868" s="283" t="s">
        <v>3184</v>
      </c>
      <c r="C868" s="328" t="s">
        <v>1459</v>
      </c>
      <c r="D868" s="283" t="s">
        <v>3186</v>
      </c>
      <c r="E868" s="283" t="s">
        <v>1462</v>
      </c>
      <c r="F868" s="283" t="s">
        <v>3234</v>
      </c>
      <c r="G868" s="328" t="s">
        <v>3314</v>
      </c>
      <c r="H868" s="203" t="s">
        <v>3315</v>
      </c>
      <c r="I868" s="162"/>
      <c r="J868" s="162"/>
      <c r="K868" s="162" t="s">
        <v>3316</v>
      </c>
      <c r="L868" s="203" t="s">
        <v>3317</v>
      </c>
      <c r="M868" s="203" t="s">
        <v>3318</v>
      </c>
      <c r="N868" s="203"/>
      <c r="O868" s="203">
        <v>0</v>
      </c>
      <c r="P868" s="203">
        <v>0</v>
      </c>
      <c r="Q868" s="203">
        <v>5</v>
      </c>
      <c r="R868" s="203">
        <v>9</v>
      </c>
      <c r="S868" s="203">
        <v>9</v>
      </c>
      <c r="T868" s="203" t="s">
        <v>3193</v>
      </c>
      <c r="U868" s="203" t="e">
        <v>#N/A</v>
      </c>
      <c r="V868" s="203" t="s">
        <v>3319</v>
      </c>
      <c r="W868" s="329">
        <v>0</v>
      </c>
      <c r="X868" s="329">
        <v>0</v>
      </c>
      <c r="Y868" s="329">
        <v>0</v>
      </c>
      <c r="Z868" s="329">
        <v>1</v>
      </c>
      <c r="AA868" s="329">
        <v>1</v>
      </c>
      <c r="AB868" s="329">
        <v>1</v>
      </c>
      <c r="AC868" s="330">
        <v>1</v>
      </c>
      <c r="AD868" s="330">
        <v>0</v>
      </c>
      <c r="AE868" s="302">
        <f t="shared" si="73"/>
        <v>0.5</v>
      </c>
      <c r="AF868" s="310"/>
      <c r="AG868" s="17">
        <v>0</v>
      </c>
      <c r="AH868" s="310">
        <v>0</v>
      </c>
      <c r="AI868" s="310">
        <v>0</v>
      </c>
      <c r="AJ868" s="310">
        <v>0.1</v>
      </c>
      <c r="AK868" s="317">
        <v>0.5</v>
      </c>
      <c r="AL868" s="317">
        <v>2</v>
      </c>
      <c r="AM868" s="17">
        <v>1.5</v>
      </c>
      <c r="AN868" s="283" t="s">
        <v>3193</v>
      </c>
      <c r="AO868" s="283" t="s">
        <v>3193</v>
      </c>
      <c r="AW868" s="331"/>
    </row>
    <row r="869" spans="1:49" hidden="1" x14ac:dyDescent="0.3">
      <c r="A869" s="328" t="s">
        <v>1456</v>
      </c>
      <c r="B869" s="283" t="s">
        <v>3184</v>
      </c>
      <c r="C869" s="328" t="s">
        <v>1459</v>
      </c>
      <c r="D869" s="283" t="s">
        <v>3186</v>
      </c>
      <c r="E869" s="283" t="s">
        <v>1462</v>
      </c>
      <c r="F869" s="283" t="s">
        <v>3234</v>
      </c>
      <c r="G869" s="328" t="s">
        <v>3314</v>
      </c>
      <c r="H869" s="203" t="s">
        <v>3320</v>
      </c>
      <c r="I869" s="162"/>
      <c r="J869" s="162"/>
      <c r="K869" s="162" t="s">
        <v>3321</v>
      </c>
      <c r="L869" s="203" t="s">
        <v>3322</v>
      </c>
      <c r="M869" s="203" t="s">
        <v>3323</v>
      </c>
      <c r="N869" s="203">
        <v>0</v>
      </c>
      <c r="O869" s="203">
        <v>0</v>
      </c>
      <c r="P869" s="203">
        <v>0</v>
      </c>
      <c r="Q869" s="203">
        <v>15</v>
      </c>
      <c r="R869" s="203">
        <v>15</v>
      </c>
      <c r="S869" s="203">
        <v>20</v>
      </c>
      <c r="T869" s="203" t="s">
        <v>3324</v>
      </c>
      <c r="U869" s="203" t="e">
        <v>#N/A</v>
      </c>
      <c r="V869" s="203" t="s">
        <v>3325</v>
      </c>
      <c r="W869" s="329">
        <v>0</v>
      </c>
      <c r="X869" s="329">
        <v>0</v>
      </c>
      <c r="Y869" s="329">
        <v>0</v>
      </c>
      <c r="Z869" s="329">
        <v>1</v>
      </c>
      <c r="AA869" s="329">
        <v>1</v>
      </c>
      <c r="AB869" s="329">
        <v>1</v>
      </c>
      <c r="AC869" s="330">
        <v>0</v>
      </c>
      <c r="AD869" s="330">
        <v>0</v>
      </c>
      <c r="AE869" s="302">
        <f t="shared" si="73"/>
        <v>0.375</v>
      </c>
      <c r="AF869" s="310"/>
      <c r="AG869" s="17">
        <v>0</v>
      </c>
      <c r="AH869" s="310" t="s">
        <v>271</v>
      </c>
      <c r="AI869" s="310" t="s">
        <v>271</v>
      </c>
      <c r="AJ869" s="201">
        <v>1</v>
      </c>
      <c r="AK869" s="202"/>
      <c r="AL869" s="202">
        <v>8</v>
      </c>
      <c r="AM869" s="17">
        <v>23.6</v>
      </c>
      <c r="AN869" s="283" t="s">
        <v>3193</v>
      </c>
      <c r="AO869" s="283" t="s">
        <v>3193</v>
      </c>
      <c r="AW869" s="331"/>
    </row>
    <row r="870" spans="1:49" x14ac:dyDescent="0.3">
      <c r="A870" s="328" t="s">
        <v>1456</v>
      </c>
      <c r="B870" s="283" t="s">
        <v>3184</v>
      </c>
      <c r="C870" s="328" t="s">
        <v>1459</v>
      </c>
      <c r="D870" s="283" t="s">
        <v>3293</v>
      </c>
      <c r="E870" s="283" t="s">
        <v>1462</v>
      </c>
      <c r="F870" s="283" t="s">
        <v>3294</v>
      </c>
      <c r="G870" s="328" t="s">
        <v>3326</v>
      </c>
      <c r="H870" s="162" t="s">
        <v>3302</v>
      </c>
      <c r="I870" s="162"/>
      <c r="J870" s="162"/>
      <c r="K870" s="162" t="s">
        <v>3327</v>
      </c>
      <c r="L870" s="203" t="s">
        <v>3328</v>
      </c>
      <c r="M870" s="162" t="s">
        <v>3329</v>
      </c>
      <c r="N870" s="162" t="s">
        <v>271</v>
      </c>
      <c r="O870" s="162">
        <v>0</v>
      </c>
      <c r="P870" s="162">
        <v>0</v>
      </c>
      <c r="Q870" s="162">
        <v>10</v>
      </c>
      <c r="R870" s="162">
        <v>10</v>
      </c>
      <c r="S870" s="162">
        <v>10</v>
      </c>
      <c r="T870" s="162" t="s">
        <v>3330</v>
      </c>
      <c r="U870" s="162" t="e">
        <v>#N/A</v>
      </c>
      <c r="V870" s="162" t="s">
        <v>3331</v>
      </c>
      <c r="W870" s="329">
        <v>1</v>
      </c>
      <c r="X870" s="329">
        <v>1</v>
      </c>
      <c r="Y870" s="329">
        <v>1</v>
      </c>
      <c r="Z870" s="329">
        <v>1</v>
      </c>
      <c r="AA870" s="329">
        <v>1</v>
      </c>
      <c r="AB870" s="329">
        <v>0</v>
      </c>
      <c r="AC870" s="330">
        <v>1</v>
      </c>
      <c r="AD870" s="330">
        <v>1</v>
      </c>
      <c r="AE870" s="302">
        <f t="shared" si="73"/>
        <v>0.875</v>
      </c>
      <c r="AF870" s="310"/>
      <c r="AG870" s="17">
        <v>0</v>
      </c>
      <c r="AH870" s="310" t="s">
        <v>271</v>
      </c>
      <c r="AI870" s="310" t="s">
        <v>271</v>
      </c>
      <c r="AJ870" s="310">
        <v>0.5</v>
      </c>
      <c r="AK870" s="317">
        <v>10</v>
      </c>
      <c r="AL870" s="317">
        <v>29</v>
      </c>
      <c r="AM870" s="17">
        <v>35</v>
      </c>
      <c r="AN870" s="283" t="s">
        <v>3330</v>
      </c>
      <c r="AO870" s="283" t="s">
        <v>3193</v>
      </c>
      <c r="AP870" s="283" t="s">
        <v>3193</v>
      </c>
      <c r="AW870" s="331"/>
    </row>
    <row r="871" spans="1:49" x14ac:dyDescent="0.3">
      <c r="A871" s="328" t="s">
        <v>1456</v>
      </c>
      <c r="B871" s="283" t="s">
        <v>3184</v>
      </c>
      <c r="C871" s="328" t="s">
        <v>1459</v>
      </c>
      <c r="D871" s="283" t="s">
        <v>3293</v>
      </c>
      <c r="E871" s="283" t="s">
        <v>1461</v>
      </c>
      <c r="F871" s="283" t="s">
        <v>3294</v>
      </c>
      <c r="G871" s="328" t="s">
        <v>3332</v>
      </c>
      <c r="H871" s="162" t="s">
        <v>3302</v>
      </c>
      <c r="I871" s="162"/>
      <c r="J871" s="162"/>
      <c r="K871" s="205" t="s">
        <v>3333</v>
      </c>
      <c r="L871" s="162" t="s">
        <v>3334</v>
      </c>
      <c r="M871" s="162" t="s">
        <v>3335</v>
      </c>
      <c r="N871" s="162" t="s">
        <v>271</v>
      </c>
      <c r="O871" s="162">
        <v>0</v>
      </c>
      <c r="P871" s="162">
        <v>0</v>
      </c>
      <c r="Q871" s="162">
        <v>10</v>
      </c>
      <c r="R871" s="162">
        <v>5</v>
      </c>
      <c r="S871" s="162">
        <v>10</v>
      </c>
      <c r="T871" s="162" t="s">
        <v>3193</v>
      </c>
      <c r="U871" s="162" t="e">
        <v>#N/A</v>
      </c>
      <c r="V871" s="162" t="s">
        <v>3336</v>
      </c>
      <c r="W871" s="329">
        <v>1</v>
      </c>
      <c r="X871" s="329">
        <v>1</v>
      </c>
      <c r="Y871" s="329">
        <v>1</v>
      </c>
      <c r="Z871" s="329">
        <v>1</v>
      </c>
      <c r="AA871" s="329">
        <v>1</v>
      </c>
      <c r="AB871" s="329">
        <v>1</v>
      </c>
      <c r="AC871" s="330">
        <v>1</v>
      </c>
      <c r="AD871" s="330">
        <v>1</v>
      </c>
      <c r="AE871" s="302">
        <f t="shared" si="73"/>
        <v>1</v>
      </c>
      <c r="AF871" s="310"/>
      <c r="AG871" s="17">
        <v>0</v>
      </c>
      <c r="AH871" s="310">
        <v>0</v>
      </c>
      <c r="AI871" s="310">
        <v>0</v>
      </c>
      <c r="AJ871" s="310">
        <v>0.2</v>
      </c>
      <c r="AK871" s="317">
        <v>5</v>
      </c>
      <c r="AL871" s="317">
        <v>10</v>
      </c>
      <c r="AM871" s="17">
        <v>14</v>
      </c>
      <c r="AN871" s="283" t="s">
        <v>3193</v>
      </c>
      <c r="AO871" s="283" t="s">
        <v>3193</v>
      </c>
      <c r="AW871" s="331"/>
    </row>
    <row r="872" spans="1:49" x14ac:dyDescent="0.3">
      <c r="A872" s="328" t="s">
        <v>1456</v>
      </c>
      <c r="B872" s="283" t="s">
        <v>3184</v>
      </c>
      <c r="C872" s="328" t="s">
        <v>1459</v>
      </c>
      <c r="D872" s="283" t="s">
        <v>3293</v>
      </c>
      <c r="E872" s="283" t="s">
        <v>1461</v>
      </c>
      <c r="F872" s="283" t="s">
        <v>3294</v>
      </c>
      <c r="G872" s="328" t="s">
        <v>3332</v>
      </c>
      <c r="H872" s="162" t="s">
        <v>3302</v>
      </c>
      <c r="I872" s="162"/>
      <c r="J872" s="162"/>
      <c r="K872" s="205" t="s">
        <v>3337</v>
      </c>
      <c r="L872" s="162" t="s">
        <v>3338</v>
      </c>
      <c r="M872" s="162" t="s">
        <v>3339</v>
      </c>
      <c r="N872" s="162" t="s">
        <v>271</v>
      </c>
      <c r="O872" s="162">
        <v>0</v>
      </c>
      <c r="P872" s="162">
        <v>0</v>
      </c>
      <c r="Q872" s="162">
        <v>10</v>
      </c>
      <c r="R872" s="162">
        <v>5</v>
      </c>
      <c r="S872" s="162">
        <v>10</v>
      </c>
      <c r="T872" s="162" t="s">
        <v>3193</v>
      </c>
      <c r="U872" s="162" t="e">
        <v>#N/A</v>
      </c>
      <c r="V872" s="162" t="s">
        <v>3340</v>
      </c>
      <c r="W872" s="329">
        <v>1</v>
      </c>
      <c r="X872" s="329">
        <v>0</v>
      </c>
      <c r="Y872" s="329">
        <v>1</v>
      </c>
      <c r="Z872" s="329">
        <v>1</v>
      </c>
      <c r="AA872" s="329">
        <v>1</v>
      </c>
      <c r="AB872" s="329">
        <v>0</v>
      </c>
      <c r="AC872" s="330">
        <v>1</v>
      </c>
      <c r="AD872" s="330">
        <v>1</v>
      </c>
      <c r="AE872" s="302">
        <f t="shared" si="73"/>
        <v>0.75</v>
      </c>
      <c r="AF872" s="310"/>
      <c r="AG872" s="17">
        <v>0</v>
      </c>
      <c r="AH872" s="310" t="s">
        <v>271</v>
      </c>
      <c r="AI872" s="310" t="s">
        <v>271</v>
      </c>
      <c r="AJ872" s="310">
        <v>0.2</v>
      </c>
      <c r="AK872" s="317">
        <v>15</v>
      </c>
      <c r="AL872" s="317">
        <v>15</v>
      </c>
      <c r="AM872" s="17">
        <v>32</v>
      </c>
      <c r="AN872" s="283" t="s">
        <v>3193</v>
      </c>
      <c r="AO872" s="283" t="s">
        <v>3193</v>
      </c>
      <c r="AP872" s="283" t="s">
        <v>3201</v>
      </c>
      <c r="AW872" s="331"/>
    </row>
    <row r="873" spans="1:49" x14ac:dyDescent="0.3">
      <c r="A873" s="328" t="s">
        <v>1456</v>
      </c>
      <c r="B873" s="283" t="s">
        <v>3184</v>
      </c>
      <c r="C873" s="328" t="s">
        <v>1459</v>
      </c>
      <c r="D873" s="283" t="s">
        <v>3293</v>
      </c>
      <c r="E873" s="283" t="s">
        <v>1461</v>
      </c>
      <c r="F873" s="283" t="s">
        <v>3294</v>
      </c>
      <c r="G873" s="328" t="s">
        <v>3332</v>
      </c>
      <c r="H873" s="162" t="s">
        <v>3302</v>
      </c>
      <c r="I873" s="162"/>
      <c r="J873" s="162"/>
      <c r="K873" s="205" t="s">
        <v>3341</v>
      </c>
      <c r="L873" s="162" t="s">
        <v>3342</v>
      </c>
      <c r="M873" s="162" t="s">
        <v>3343</v>
      </c>
      <c r="N873" s="162" t="s">
        <v>271</v>
      </c>
      <c r="O873" s="162">
        <v>0</v>
      </c>
      <c r="P873" s="162">
        <v>0</v>
      </c>
      <c r="Q873" s="162">
        <v>10</v>
      </c>
      <c r="R873" s="162">
        <v>10</v>
      </c>
      <c r="S873" s="162">
        <v>10</v>
      </c>
      <c r="T873" s="162" t="s">
        <v>3193</v>
      </c>
      <c r="U873" s="162" t="e">
        <v>#N/A</v>
      </c>
      <c r="V873" s="162" t="s">
        <v>3344</v>
      </c>
      <c r="W873" s="329">
        <v>1</v>
      </c>
      <c r="X873" s="329">
        <v>1</v>
      </c>
      <c r="Y873" s="329">
        <v>1</v>
      </c>
      <c r="Z873" s="329">
        <v>1</v>
      </c>
      <c r="AA873" s="329">
        <v>1</v>
      </c>
      <c r="AB873" s="329">
        <v>0</v>
      </c>
      <c r="AC873" s="330">
        <v>1</v>
      </c>
      <c r="AD873" s="330">
        <v>1</v>
      </c>
      <c r="AE873" s="302">
        <f t="shared" si="73"/>
        <v>0.875</v>
      </c>
      <c r="AF873" s="310"/>
      <c r="AG873" s="17">
        <v>0</v>
      </c>
      <c r="AH873" s="310">
        <v>0</v>
      </c>
      <c r="AI873" s="310" t="s">
        <v>271</v>
      </c>
      <c r="AJ873" s="310">
        <v>0.3</v>
      </c>
      <c r="AK873" s="317">
        <v>5</v>
      </c>
      <c r="AL873" s="317">
        <v>5</v>
      </c>
      <c r="AM873" s="17">
        <v>12</v>
      </c>
      <c r="AN873" s="283" t="s">
        <v>3193</v>
      </c>
      <c r="AO873" s="283" t="s">
        <v>3193</v>
      </c>
      <c r="AP873" s="283" t="s">
        <v>3201</v>
      </c>
      <c r="AW873" s="331"/>
    </row>
    <row r="874" spans="1:49" x14ac:dyDescent="0.3">
      <c r="A874" s="328" t="s">
        <v>1456</v>
      </c>
      <c r="B874" s="283" t="s">
        <v>3184</v>
      </c>
      <c r="C874" s="328" t="s">
        <v>1459</v>
      </c>
      <c r="D874" s="283" t="s">
        <v>3293</v>
      </c>
      <c r="E874" s="283" t="s">
        <v>1461</v>
      </c>
      <c r="F874" s="283" t="s">
        <v>3294</v>
      </c>
      <c r="G874" s="328" t="s">
        <v>3332</v>
      </c>
      <c r="H874" s="162" t="s">
        <v>3302</v>
      </c>
      <c r="I874" s="162"/>
      <c r="J874" s="162"/>
      <c r="K874" s="205" t="s">
        <v>3345</v>
      </c>
      <c r="L874" s="162" t="s">
        <v>3346</v>
      </c>
      <c r="M874" s="162" t="s">
        <v>3347</v>
      </c>
      <c r="N874" s="162" t="s">
        <v>271</v>
      </c>
      <c r="O874" s="162">
        <v>0</v>
      </c>
      <c r="P874" s="162">
        <v>0</v>
      </c>
      <c r="Q874" s="162">
        <v>10</v>
      </c>
      <c r="R874" s="162">
        <v>10</v>
      </c>
      <c r="S874" s="162">
        <v>10</v>
      </c>
      <c r="T874" s="162" t="s">
        <v>3193</v>
      </c>
      <c r="U874" s="162" t="e">
        <v>#N/A</v>
      </c>
      <c r="V874" s="162" t="s">
        <v>3348</v>
      </c>
      <c r="W874" s="329">
        <v>1</v>
      </c>
      <c r="X874" s="329">
        <v>1</v>
      </c>
      <c r="Y874" s="329">
        <v>1</v>
      </c>
      <c r="Z874" s="329">
        <v>1</v>
      </c>
      <c r="AA874" s="329">
        <v>1</v>
      </c>
      <c r="AB874" s="329">
        <v>0</v>
      </c>
      <c r="AC874" s="330">
        <v>1</v>
      </c>
      <c r="AD874" s="330">
        <v>1</v>
      </c>
      <c r="AE874" s="302">
        <f t="shared" si="73"/>
        <v>0.875</v>
      </c>
      <c r="AF874" s="310"/>
      <c r="AG874" s="17">
        <v>0</v>
      </c>
      <c r="AH874" s="310">
        <v>0</v>
      </c>
      <c r="AI874" s="310">
        <v>0</v>
      </c>
      <c r="AJ874" s="310">
        <v>0</v>
      </c>
      <c r="AK874" s="317">
        <v>10</v>
      </c>
      <c r="AL874" s="317">
        <v>10</v>
      </c>
      <c r="AM874" s="17">
        <v>20</v>
      </c>
      <c r="AN874" s="283" t="s">
        <v>3193</v>
      </c>
      <c r="AO874" s="283" t="s">
        <v>3193</v>
      </c>
      <c r="AP874" s="283" t="s">
        <v>3201</v>
      </c>
      <c r="AW874" s="331"/>
    </row>
    <row r="875" spans="1:49" x14ac:dyDescent="0.3">
      <c r="A875" s="328" t="s">
        <v>1456</v>
      </c>
      <c r="B875" s="283" t="s">
        <v>3184</v>
      </c>
      <c r="C875" s="328" t="s">
        <v>1459</v>
      </c>
      <c r="D875" s="283" t="s">
        <v>3293</v>
      </c>
      <c r="E875" s="283" t="s">
        <v>3349</v>
      </c>
      <c r="F875" s="283" t="s">
        <v>3294</v>
      </c>
      <c r="G875" s="328" t="s">
        <v>3350</v>
      </c>
      <c r="H875" s="162" t="s">
        <v>3302</v>
      </c>
      <c r="I875" s="162"/>
      <c r="J875" s="162"/>
      <c r="K875" s="205" t="s">
        <v>3351</v>
      </c>
      <c r="L875" s="162" t="s">
        <v>3352</v>
      </c>
      <c r="M875" s="162" t="s">
        <v>3353</v>
      </c>
      <c r="N875" s="162" t="s">
        <v>271</v>
      </c>
      <c r="O875" s="162">
        <v>0</v>
      </c>
      <c r="P875" s="162">
        <v>0</v>
      </c>
      <c r="Q875" s="162">
        <v>1</v>
      </c>
      <c r="R875" s="162">
        <v>1</v>
      </c>
      <c r="S875" s="162">
        <v>1</v>
      </c>
      <c r="T875" s="162" t="s">
        <v>3193</v>
      </c>
      <c r="U875" s="162" t="e">
        <v>#N/A</v>
      </c>
      <c r="V875" s="162" t="s">
        <v>3354</v>
      </c>
      <c r="W875" s="329">
        <v>1</v>
      </c>
      <c r="X875" s="329">
        <v>1</v>
      </c>
      <c r="Y875" s="329">
        <v>1</v>
      </c>
      <c r="Z875" s="329">
        <v>0</v>
      </c>
      <c r="AA875" s="329">
        <v>1</v>
      </c>
      <c r="AB875" s="329">
        <v>1</v>
      </c>
      <c r="AC875" s="330">
        <v>1</v>
      </c>
      <c r="AD875" s="330">
        <v>1</v>
      </c>
      <c r="AE875" s="302">
        <f t="shared" si="73"/>
        <v>0.875</v>
      </c>
      <c r="AF875" s="4"/>
      <c r="AG875" s="17">
        <v>0</v>
      </c>
      <c r="AH875" s="4" t="s">
        <v>271</v>
      </c>
      <c r="AI875" s="4" t="s">
        <v>271</v>
      </c>
      <c r="AJ875" s="4">
        <v>0.5</v>
      </c>
      <c r="AK875" s="46">
        <v>0.46</v>
      </c>
      <c r="AL875" s="46">
        <v>0.46</v>
      </c>
      <c r="AM875" s="17">
        <v>0.92</v>
      </c>
      <c r="AN875" s="283" t="s">
        <v>3193</v>
      </c>
      <c r="AO875" s="283" t="s">
        <v>3193</v>
      </c>
      <c r="AP875" s="283" t="s">
        <v>798</v>
      </c>
      <c r="AW875" s="331"/>
    </row>
    <row r="876" spans="1:49" x14ac:dyDescent="0.3">
      <c r="A876" s="328" t="s">
        <v>1456</v>
      </c>
      <c r="B876" s="283" t="s">
        <v>3184</v>
      </c>
      <c r="C876" s="328" t="s">
        <v>1459</v>
      </c>
      <c r="D876" s="283" t="s">
        <v>3293</v>
      </c>
      <c r="E876" s="283" t="s">
        <v>1461</v>
      </c>
      <c r="F876" s="283" t="s">
        <v>3294</v>
      </c>
      <c r="G876" s="328" t="s">
        <v>3355</v>
      </c>
      <c r="H876" s="203" t="s">
        <v>3302</v>
      </c>
      <c r="I876" s="162"/>
      <c r="J876" s="162"/>
      <c r="K876" s="205" t="s">
        <v>3356</v>
      </c>
      <c r="L876" s="203" t="s">
        <v>3357</v>
      </c>
      <c r="M876" s="162" t="s">
        <v>3358</v>
      </c>
      <c r="N876" s="162" t="s">
        <v>271</v>
      </c>
      <c r="O876" s="162">
        <v>0</v>
      </c>
      <c r="P876" s="162">
        <v>0</v>
      </c>
      <c r="Q876" s="162">
        <v>1</v>
      </c>
      <c r="R876" s="162">
        <v>1</v>
      </c>
      <c r="S876" s="162">
        <v>1</v>
      </c>
      <c r="T876" s="162" t="s">
        <v>3193</v>
      </c>
      <c r="U876" s="162" t="e">
        <v>#N/A</v>
      </c>
      <c r="V876" s="203" t="s">
        <v>3359</v>
      </c>
      <c r="W876" s="329">
        <v>1</v>
      </c>
      <c r="X876" s="329">
        <v>1</v>
      </c>
      <c r="Y876" s="329">
        <v>1</v>
      </c>
      <c r="Z876" s="329">
        <v>1</v>
      </c>
      <c r="AA876" s="329">
        <v>1</v>
      </c>
      <c r="AB876" s="329">
        <v>0</v>
      </c>
      <c r="AC876" s="330">
        <v>1</v>
      </c>
      <c r="AD876" s="330">
        <v>1</v>
      </c>
      <c r="AE876" s="302">
        <f t="shared" si="73"/>
        <v>0.875</v>
      </c>
      <c r="AF876" s="310"/>
      <c r="AG876" s="17">
        <v>0</v>
      </c>
      <c r="AH876" s="310">
        <v>0</v>
      </c>
      <c r="AI876" s="310" t="s">
        <v>271</v>
      </c>
      <c r="AJ876" s="310">
        <v>1.5</v>
      </c>
      <c r="AK876" s="317">
        <v>0.5</v>
      </c>
      <c r="AL876" s="317">
        <v>0.5</v>
      </c>
      <c r="AM876" s="17">
        <v>1</v>
      </c>
      <c r="AN876" s="283" t="s">
        <v>3193</v>
      </c>
      <c r="AO876" s="283" t="s">
        <v>3193</v>
      </c>
      <c r="AW876" s="331"/>
    </row>
    <row r="877" spans="1:49" x14ac:dyDescent="0.3">
      <c r="A877" s="328" t="s">
        <v>1456</v>
      </c>
      <c r="B877" s="283" t="s">
        <v>3184</v>
      </c>
      <c r="C877" s="328" t="s">
        <v>1459</v>
      </c>
      <c r="D877" s="283" t="s">
        <v>3293</v>
      </c>
      <c r="E877" s="283" t="s">
        <v>1461</v>
      </c>
      <c r="F877" s="283" t="s">
        <v>3294</v>
      </c>
      <c r="G877" s="328" t="s">
        <v>3355</v>
      </c>
      <c r="H877" s="162" t="s">
        <v>3302</v>
      </c>
      <c r="I877" s="162"/>
      <c r="J877" s="162"/>
      <c r="K877" s="205" t="s">
        <v>3360</v>
      </c>
      <c r="L877" s="162" t="s">
        <v>3361</v>
      </c>
      <c r="M877" s="162" t="s">
        <v>3362</v>
      </c>
      <c r="N877" s="162" t="s">
        <v>271</v>
      </c>
      <c r="O877" s="162">
        <v>0</v>
      </c>
      <c r="P877" s="162">
        <v>0</v>
      </c>
      <c r="Q877" s="162">
        <v>5</v>
      </c>
      <c r="R877" s="162">
        <v>20</v>
      </c>
      <c r="S877" s="162">
        <v>20</v>
      </c>
      <c r="T877" s="162" t="s">
        <v>3193</v>
      </c>
      <c r="U877" s="162" t="e">
        <v>#N/A</v>
      </c>
      <c r="V877" s="162" t="s">
        <v>3363</v>
      </c>
      <c r="W877" s="329">
        <v>1</v>
      </c>
      <c r="X877" s="329">
        <v>1</v>
      </c>
      <c r="Y877" s="329">
        <v>1</v>
      </c>
      <c r="Z877" s="329">
        <v>1</v>
      </c>
      <c r="AA877" s="329">
        <v>1</v>
      </c>
      <c r="AB877" s="329">
        <v>0</v>
      </c>
      <c r="AC877" s="330">
        <v>1</v>
      </c>
      <c r="AD877" s="330">
        <v>0</v>
      </c>
      <c r="AE877" s="302">
        <f t="shared" si="73"/>
        <v>0.75</v>
      </c>
      <c r="AF877" s="310"/>
      <c r="AG877" s="17">
        <v>0</v>
      </c>
      <c r="AH877" s="310">
        <v>0</v>
      </c>
      <c r="AI877" s="310" t="s">
        <v>271</v>
      </c>
      <c r="AJ877" s="310">
        <v>2</v>
      </c>
      <c r="AK877" s="317">
        <v>10</v>
      </c>
      <c r="AL877" s="317">
        <v>10</v>
      </c>
      <c r="AM877" s="17">
        <v>21.5</v>
      </c>
      <c r="AN877" s="283" t="s">
        <v>3193</v>
      </c>
      <c r="AO877" s="283" t="s">
        <v>3193</v>
      </c>
      <c r="AP877" s="283" t="s">
        <v>3201</v>
      </c>
      <c r="AW877" s="331"/>
    </row>
    <row r="878" spans="1:49" hidden="1" x14ac:dyDescent="0.3">
      <c r="A878" s="328" t="s">
        <v>1456</v>
      </c>
      <c r="B878" s="283" t="s">
        <v>3184</v>
      </c>
      <c r="C878" s="328" t="s">
        <v>1459</v>
      </c>
      <c r="D878" s="283" t="s">
        <v>3293</v>
      </c>
      <c r="E878" s="283" t="s">
        <v>1461</v>
      </c>
      <c r="F878" s="283" t="s">
        <v>3294</v>
      </c>
      <c r="G878" s="328" t="s">
        <v>3364</v>
      </c>
      <c r="H878" s="203" t="s">
        <v>3302</v>
      </c>
      <c r="I878" s="162"/>
      <c r="J878" s="162"/>
      <c r="K878" s="205" t="s">
        <v>3365</v>
      </c>
      <c r="L878" s="203" t="s">
        <v>3366</v>
      </c>
      <c r="M878" s="203" t="s">
        <v>3367</v>
      </c>
      <c r="N878" s="162" t="s">
        <v>271</v>
      </c>
      <c r="O878" s="162">
        <v>0</v>
      </c>
      <c r="P878" s="162">
        <v>0</v>
      </c>
      <c r="Q878" s="162">
        <v>1</v>
      </c>
      <c r="R878" s="162">
        <v>4</v>
      </c>
      <c r="S878" s="162">
        <v>6</v>
      </c>
      <c r="T878" s="162" t="s">
        <v>3201</v>
      </c>
      <c r="U878" s="162" t="s">
        <v>5285</v>
      </c>
      <c r="V878" s="203" t="s">
        <v>3368</v>
      </c>
      <c r="W878" s="329">
        <v>1</v>
      </c>
      <c r="X878" s="329">
        <v>1</v>
      </c>
      <c r="Y878" s="329">
        <v>0</v>
      </c>
      <c r="Z878" s="329">
        <v>1</v>
      </c>
      <c r="AA878" s="329">
        <v>1</v>
      </c>
      <c r="AB878" s="329">
        <v>0</v>
      </c>
      <c r="AC878" s="330">
        <v>0</v>
      </c>
      <c r="AD878" s="330">
        <v>1</v>
      </c>
      <c r="AE878" s="302">
        <f t="shared" si="73"/>
        <v>0.625</v>
      </c>
      <c r="AF878" s="4"/>
      <c r="AG878" s="17">
        <v>0</v>
      </c>
      <c r="AH878" s="4" t="s">
        <v>271</v>
      </c>
      <c r="AI878" s="4" t="s">
        <v>271</v>
      </c>
      <c r="AJ878" s="4">
        <v>2</v>
      </c>
      <c r="AK878" s="46">
        <v>0.3</v>
      </c>
      <c r="AL878" s="46">
        <v>2</v>
      </c>
      <c r="AM878" s="17">
        <v>0.7</v>
      </c>
      <c r="AN878" s="283" t="s">
        <v>3201</v>
      </c>
      <c r="AO878" s="283" t="s">
        <v>3201</v>
      </c>
      <c r="AP878" s="283" t="s">
        <v>3193</v>
      </c>
      <c r="AW878" s="331"/>
    </row>
    <row r="879" spans="1:49" x14ac:dyDescent="0.3">
      <c r="A879" s="328" t="s">
        <v>1456</v>
      </c>
      <c r="B879" s="283" t="s">
        <v>3184</v>
      </c>
      <c r="C879" s="328" t="s">
        <v>1459</v>
      </c>
      <c r="D879" s="283" t="s">
        <v>3293</v>
      </c>
      <c r="E879" s="283" t="s">
        <v>3349</v>
      </c>
      <c r="F879" s="283" t="s">
        <v>3294</v>
      </c>
      <c r="G879" s="328" t="s">
        <v>3369</v>
      </c>
      <c r="H879" s="162" t="s">
        <v>3302</v>
      </c>
      <c r="I879" s="162"/>
      <c r="J879" s="162"/>
      <c r="K879" s="205" t="s">
        <v>3370</v>
      </c>
      <c r="L879" s="162" t="s">
        <v>3371</v>
      </c>
      <c r="M879" s="162" t="s">
        <v>3372</v>
      </c>
      <c r="N879" s="162">
        <v>0</v>
      </c>
      <c r="O879" s="162">
        <v>0</v>
      </c>
      <c r="P879" s="162">
        <v>0</v>
      </c>
      <c r="Q879" s="162">
        <v>0</v>
      </c>
      <c r="R879" s="162">
        <v>1</v>
      </c>
      <c r="S879" s="162">
        <v>1</v>
      </c>
      <c r="T879" s="162" t="s">
        <v>3373</v>
      </c>
      <c r="U879" s="162" t="s">
        <v>7395</v>
      </c>
      <c r="V879" s="162" t="s">
        <v>3374</v>
      </c>
      <c r="W879" s="329">
        <v>1</v>
      </c>
      <c r="X879" s="329">
        <v>1</v>
      </c>
      <c r="Y879" s="329">
        <v>1</v>
      </c>
      <c r="Z879" s="329">
        <v>1</v>
      </c>
      <c r="AA879" s="329">
        <v>1</v>
      </c>
      <c r="AB879" s="329">
        <v>0</v>
      </c>
      <c r="AC879" s="330">
        <v>1</v>
      </c>
      <c r="AD879" s="330">
        <v>1</v>
      </c>
      <c r="AE879" s="302">
        <f t="shared" si="73"/>
        <v>0.875</v>
      </c>
      <c r="AF879" s="310"/>
      <c r="AG879" s="17">
        <v>0</v>
      </c>
      <c r="AH879" s="310">
        <v>0</v>
      </c>
      <c r="AI879" s="310">
        <v>0</v>
      </c>
      <c r="AJ879" s="310">
        <v>0.5</v>
      </c>
      <c r="AK879" s="317">
        <v>15</v>
      </c>
      <c r="AL879" s="317">
        <v>15</v>
      </c>
      <c r="AM879" s="17">
        <v>35</v>
      </c>
      <c r="AN879" s="283" t="s">
        <v>3373</v>
      </c>
      <c r="AO879" s="283" t="s">
        <v>3373</v>
      </c>
      <c r="AP879" s="283" t="s">
        <v>3375</v>
      </c>
      <c r="AW879" s="331"/>
    </row>
    <row r="880" spans="1:49" x14ac:dyDescent="0.3">
      <c r="A880" s="328" t="s">
        <v>1456</v>
      </c>
      <c r="B880" s="283" t="s">
        <v>3184</v>
      </c>
      <c r="C880" s="328" t="s">
        <v>1459</v>
      </c>
      <c r="D880" s="283" t="s">
        <v>3293</v>
      </c>
      <c r="E880" s="283" t="s">
        <v>3349</v>
      </c>
      <c r="F880" s="283" t="s">
        <v>3294</v>
      </c>
      <c r="G880" s="328" t="s">
        <v>3369</v>
      </c>
      <c r="H880" s="162" t="s">
        <v>3302</v>
      </c>
      <c r="I880" s="162"/>
      <c r="J880" s="162"/>
      <c r="K880" s="205" t="s">
        <v>3376</v>
      </c>
      <c r="L880" s="162" t="s">
        <v>3377</v>
      </c>
      <c r="M880" s="203" t="s">
        <v>3378</v>
      </c>
      <c r="N880" s="162" t="s">
        <v>271</v>
      </c>
      <c r="O880" s="162">
        <v>0</v>
      </c>
      <c r="P880" s="162">
        <v>0</v>
      </c>
      <c r="Q880" s="162">
        <v>10</v>
      </c>
      <c r="R880" s="162">
        <v>10</v>
      </c>
      <c r="S880" s="162">
        <v>20</v>
      </c>
      <c r="T880" s="162" t="s">
        <v>3193</v>
      </c>
      <c r="U880" s="162" t="e">
        <v>#N/A</v>
      </c>
      <c r="V880" s="162" t="s">
        <v>3379</v>
      </c>
      <c r="W880" s="329">
        <v>1</v>
      </c>
      <c r="X880" s="329">
        <v>0</v>
      </c>
      <c r="Y880" s="329">
        <v>1</v>
      </c>
      <c r="Z880" s="329">
        <v>1</v>
      </c>
      <c r="AA880" s="329">
        <v>1</v>
      </c>
      <c r="AB880" s="329">
        <v>0</v>
      </c>
      <c r="AC880" s="330">
        <v>1</v>
      </c>
      <c r="AD880" s="330">
        <v>1</v>
      </c>
      <c r="AE880" s="302">
        <f t="shared" si="73"/>
        <v>0.75</v>
      </c>
      <c r="AF880" s="310"/>
      <c r="AG880" s="17">
        <v>0</v>
      </c>
      <c r="AH880" s="310">
        <v>0</v>
      </c>
      <c r="AI880" s="310">
        <v>0</v>
      </c>
      <c r="AJ880" s="310">
        <v>0.5</v>
      </c>
      <c r="AK880" s="317">
        <v>15</v>
      </c>
      <c r="AL880" s="317">
        <v>5</v>
      </c>
      <c r="AM880" s="17">
        <v>32</v>
      </c>
      <c r="AN880" s="283" t="s">
        <v>3193</v>
      </c>
      <c r="AO880" s="283" t="s">
        <v>3193</v>
      </c>
      <c r="AP880" s="283" t="s">
        <v>3380</v>
      </c>
      <c r="AW880" s="331"/>
    </row>
    <row r="881" spans="1:49" x14ac:dyDescent="0.3">
      <c r="A881" s="328" t="s">
        <v>1456</v>
      </c>
      <c r="B881" s="283" t="s">
        <v>3184</v>
      </c>
      <c r="C881" s="328" t="s">
        <v>1459</v>
      </c>
      <c r="D881" s="283" t="s">
        <v>3293</v>
      </c>
      <c r="E881" s="283" t="s">
        <v>1462</v>
      </c>
      <c r="F881" s="283" t="s">
        <v>3294</v>
      </c>
      <c r="G881" s="328" t="s">
        <v>3381</v>
      </c>
      <c r="H881" s="162" t="s">
        <v>3302</v>
      </c>
      <c r="I881" s="162"/>
      <c r="J881" s="162"/>
      <c r="K881" s="162" t="s">
        <v>3382</v>
      </c>
      <c r="L881" s="162" t="s">
        <v>3383</v>
      </c>
      <c r="M881" s="162" t="s">
        <v>3384</v>
      </c>
      <c r="N881" s="162" t="s">
        <v>271</v>
      </c>
      <c r="O881" s="162">
        <v>0</v>
      </c>
      <c r="P881" s="162">
        <v>0</v>
      </c>
      <c r="Q881" s="162">
        <v>2</v>
      </c>
      <c r="R881" s="162">
        <v>10</v>
      </c>
      <c r="S881" s="162">
        <v>10</v>
      </c>
      <c r="T881" s="162" t="s">
        <v>3193</v>
      </c>
      <c r="U881" s="162" t="e">
        <v>#N/A</v>
      </c>
      <c r="V881" s="162" t="s">
        <v>3385</v>
      </c>
      <c r="W881" s="329">
        <v>1</v>
      </c>
      <c r="X881" s="329">
        <v>1</v>
      </c>
      <c r="Y881" s="329">
        <v>1</v>
      </c>
      <c r="Z881" s="329">
        <v>1</v>
      </c>
      <c r="AA881" s="329">
        <v>1</v>
      </c>
      <c r="AB881" s="329">
        <v>0</v>
      </c>
      <c r="AC881" s="330">
        <v>1</v>
      </c>
      <c r="AD881" s="330">
        <v>1</v>
      </c>
      <c r="AE881" s="302">
        <f t="shared" si="73"/>
        <v>0.875</v>
      </c>
      <c r="AF881" s="310"/>
      <c r="AG881" s="17">
        <v>0</v>
      </c>
      <c r="AH881" s="310" t="s">
        <v>271</v>
      </c>
      <c r="AI881" s="310" t="s">
        <v>271</v>
      </c>
      <c r="AJ881" s="310">
        <v>0.2</v>
      </c>
      <c r="AK881" s="317">
        <v>18</v>
      </c>
      <c r="AL881" s="317">
        <v>18</v>
      </c>
      <c r="AM881" s="17">
        <v>71.42</v>
      </c>
      <c r="AN881" s="283" t="s">
        <v>3193</v>
      </c>
      <c r="AO881" s="283" t="s">
        <v>3386</v>
      </c>
      <c r="AW881" s="331"/>
    </row>
    <row r="882" spans="1:49" x14ac:dyDescent="0.3">
      <c r="A882" s="328" t="s">
        <v>1456</v>
      </c>
      <c r="B882" s="283" t="s">
        <v>3184</v>
      </c>
      <c r="C882" s="328" t="s">
        <v>1459</v>
      </c>
      <c r="D882" s="283" t="s">
        <v>3186</v>
      </c>
      <c r="E882" s="283" t="s">
        <v>1462</v>
      </c>
      <c r="F882" s="283" t="s">
        <v>3187</v>
      </c>
      <c r="G882" s="328" t="s">
        <v>3381</v>
      </c>
      <c r="H882" s="162" t="s">
        <v>3387</v>
      </c>
      <c r="I882" s="162"/>
      <c r="J882" s="162"/>
      <c r="K882" s="162" t="s">
        <v>3388</v>
      </c>
      <c r="L882" s="162" t="s">
        <v>3389</v>
      </c>
      <c r="M882" s="162" t="s">
        <v>3390</v>
      </c>
      <c r="N882" s="162">
        <v>0</v>
      </c>
      <c r="O882" s="162">
        <v>0</v>
      </c>
      <c r="P882" s="162">
        <v>0</v>
      </c>
      <c r="Q882" s="162">
        <v>1</v>
      </c>
      <c r="R882" s="162">
        <v>1</v>
      </c>
      <c r="S882" s="162">
        <v>1</v>
      </c>
      <c r="T882" s="162" t="s">
        <v>3193</v>
      </c>
      <c r="U882" s="162" t="e">
        <v>#N/A</v>
      </c>
      <c r="V882" s="162" t="s">
        <v>3391</v>
      </c>
      <c r="W882" s="329">
        <v>1</v>
      </c>
      <c r="X882" s="329">
        <v>1</v>
      </c>
      <c r="Y882" s="329">
        <v>1</v>
      </c>
      <c r="Z882" s="329">
        <v>1</v>
      </c>
      <c r="AA882" s="329">
        <v>1</v>
      </c>
      <c r="AB882" s="329">
        <v>1</v>
      </c>
      <c r="AC882" s="330">
        <v>1</v>
      </c>
      <c r="AD882" s="330">
        <v>0</v>
      </c>
      <c r="AE882" s="302">
        <f t="shared" si="73"/>
        <v>0.875</v>
      </c>
      <c r="AF882" s="310"/>
      <c r="AG882" s="17">
        <v>0</v>
      </c>
      <c r="AH882" s="310">
        <v>0</v>
      </c>
      <c r="AI882" s="310" t="s">
        <v>271</v>
      </c>
      <c r="AJ882" s="310">
        <v>1.5</v>
      </c>
      <c r="AK882" s="317">
        <v>2</v>
      </c>
      <c r="AL882" s="317">
        <v>2</v>
      </c>
      <c r="AM882" s="17">
        <v>8</v>
      </c>
      <c r="AN882" s="283" t="s">
        <v>3193</v>
      </c>
      <c r="AO882" s="283" t="s">
        <v>3193</v>
      </c>
      <c r="AP882" s="283" t="s">
        <v>3392</v>
      </c>
      <c r="AW882" s="331"/>
    </row>
    <row r="883" spans="1:49" hidden="1" x14ac:dyDescent="0.3">
      <c r="A883" s="328" t="s">
        <v>1456</v>
      </c>
      <c r="B883" s="283" t="s">
        <v>3184</v>
      </c>
      <c r="C883" s="328" t="s">
        <v>1459</v>
      </c>
      <c r="D883" s="283" t="s">
        <v>3186</v>
      </c>
      <c r="E883" s="283" t="s">
        <v>1462</v>
      </c>
      <c r="F883" s="283" t="s">
        <v>3187</v>
      </c>
      <c r="G883" s="328" t="s">
        <v>3381</v>
      </c>
      <c r="H883" s="162" t="s">
        <v>3387</v>
      </c>
      <c r="I883" s="162"/>
      <c r="J883" s="162"/>
      <c r="K883" s="162" t="s">
        <v>3393</v>
      </c>
      <c r="L883" s="162" t="s">
        <v>3394</v>
      </c>
      <c r="M883" s="162" t="s">
        <v>3395</v>
      </c>
      <c r="N883" s="162">
        <v>0</v>
      </c>
      <c r="O883" s="162">
        <v>0</v>
      </c>
      <c r="P883" s="162">
        <v>0</v>
      </c>
      <c r="Q883" s="162">
        <v>2</v>
      </c>
      <c r="R883" s="162">
        <v>2</v>
      </c>
      <c r="S883" s="162">
        <v>4</v>
      </c>
      <c r="T883" s="162" t="s">
        <v>3193</v>
      </c>
      <c r="U883" s="162" t="e">
        <v>#N/A</v>
      </c>
      <c r="V883" s="162" t="s">
        <v>3396</v>
      </c>
      <c r="W883" s="329">
        <v>1</v>
      </c>
      <c r="X883" s="329">
        <v>0</v>
      </c>
      <c r="Y883" s="329">
        <v>0</v>
      </c>
      <c r="Z883" s="329">
        <v>1</v>
      </c>
      <c r="AA883" s="329">
        <v>1</v>
      </c>
      <c r="AB883" s="329">
        <v>1</v>
      </c>
      <c r="AC883" s="330">
        <v>0</v>
      </c>
      <c r="AD883" s="330">
        <v>1</v>
      </c>
      <c r="AE883" s="302">
        <f t="shared" si="73"/>
        <v>0.625</v>
      </c>
      <c r="AF883" s="310"/>
      <c r="AG883" s="17">
        <v>0</v>
      </c>
      <c r="AH883" s="310" t="s">
        <v>271</v>
      </c>
      <c r="AI883" s="310" t="s">
        <v>271</v>
      </c>
      <c r="AJ883" s="310">
        <v>0.1</v>
      </c>
      <c r="AK883" s="317">
        <v>2</v>
      </c>
      <c r="AL883" s="317">
        <v>2</v>
      </c>
      <c r="AM883" s="17">
        <v>6</v>
      </c>
      <c r="AN883" s="283" t="s">
        <v>3193</v>
      </c>
      <c r="AO883" s="283" t="s">
        <v>3193</v>
      </c>
      <c r="AP883" s="283" t="s">
        <v>3392</v>
      </c>
      <c r="AW883" s="331"/>
    </row>
    <row r="884" spans="1:49" hidden="1" x14ac:dyDescent="0.3">
      <c r="A884" s="328" t="s">
        <v>1456</v>
      </c>
      <c r="B884" s="283" t="s">
        <v>3184</v>
      </c>
      <c r="C884" s="328" t="s">
        <v>1459</v>
      </c>
      <c r="D884" s="283" t="s">
        <v>3186</v>
      </c>
      <c r="E884" s="283" t="s">
        <v>1462</v>
      </c>
      <c r="F884" s="283" t="s">
        <v>3187</v>
      </c>
      <c r="G884" s="328" t="s">
        <v>3397</v>
      </c>
      <c r="H884" s="162" t="s">
        <v>3398</v>
      </c>
      <c r="I884" s="162"/>
      <c r="J884" s="162"/>
      <c r="K884" s="162" t="s">
        <v>3399</v>
      </c>
      <c r="L884" s="203" t="s">
        <v>3400</v>
      </c>
      <c r="M884" s="203" t="s">
        <v>3401</v>
      </c>
      <c r="N884" s="162" t="s">
        <v>271</v>
      </c>
      <c r="O884" s="162">
        <v>0</v>
      </c>
      <c r="P884" s="162">
        <v>0</v>
      </c>
      <c r="Q884" s="162">
        <v>1</v>
      </c>
      <c r="R884" s="162">
        <v>1</v>
      </c>
      <c r="S884" s="162">
        <v>1</v>
      </c>
      <c r="T884" s="162" t="s">
        <v>1496</v>
      </c>
      <c r="U884" s="162" t="e">
        <v>#N/A</v>
      </c>
      <c r="V884" s="162" t="s">
        <v>3402</v>
      </c>
      <c r="W884" s="329">
        <v>0</v>
      </c>
      <c r="X884" s="329">
        <v>0</v>
      </c>
      <c r="Y884" s="329">
        <v>0</v>
      </c>
      <c r="Z884" s="329">
        <v>1</v>
      </c>
      <c r="AA884" s="329">
        <v>1</v>
      </c>
      <c r="AB884" s="329">
        <v>1</v>
      </c>
      <c r="AC884" s="330">
        <v>0</v>
      </c>
      <c r="AD884" s="330">
        <v>0</v>
      </c>
      <c r="AE884" s="302">
        <f t="shared" si="73"/>
        <v>0.375</v>
      </c>
      <c r="AF884" s="310"/>
      <c r="AG884" s="17">
        <v>0</v>
      </c>
      <c r="AH884" s="310" t="s">
        <v>271</v>
      </c>
      <c r="AI884" s="310" t="s">
        <v>271</v>
      </c>
      <c r="AJ884" s="201">
        <v>10</v>
      </c>
      <c r="AK884" s="202">
        <f>10-1.4-1</f>
        <v>7.6</v>
      </c>
      <c r="AL884" s="202">
        <v>3</v>
      </c>
      <c r="AM884" s="17">
        <v>6</v>
      </c>
      <c r="AN884" s="283" t="s">
        <v>1496</v>
      </c>
      <c r="AO884" s="283" t="s">
        <v>3193</v>
      </c>
      <c r="AW884" s="331"/>
    </row>
    <row r="885" spans="1:49" hidden="1" x14ac:dyDescent="0.3">
      <c r="A885" s="328" t="s">
        <v>1456</v>
      </c>
      <c r="B885" s="283" t="s">
        <v>3184</v>
      </c>
      <c r="C885" s="328" t="s">
        <v>1459</v>
      </c>
      <c r="D885" s="283" t="s">
        <v>3186</v>
      </c>
      <c r="E885" s="283" t="s">
        <v>1462</v>
      </c>
      <c r="F885" s="283" t="s">
        <v>3187</v>
      </c>
      <c r="G885" s="328" t="s">
        <v>3397</v>
      </c>
      <c r="H885" s="203" t="s">
        <v>3398</v>
      </c>
      <c r="I885" s="162"/>
      <c r="J885" s="162"/>
      <c r="K885" s="162" t="s">
        <v>3403</v>
      </c>
      <c r="L885" s="203" t="s">
        <v>3404</v>
      </c>
      <c r="M885" s="162" t="s">
        <v>3405</v>
      </c>
      <c r="N885" s="162">
        <v>0</v>
      </c>
      <c r="O885" s="162">
        <v>0</v>
      </c>
      <c r="P885" s="162">
        <v>0</v>
      </c>
      <c r="Q885" s="162">
        <v>1</v>
      </c>
      <c r="R885" s="162">
        <v>0</v>
      </c>
      <c r="S885" s="162">
        <v>1</v>
      </c>
      <c r="T885" s="162" t="s">
        <v>3193</v>
      </c>
      <c r="U885" s="162" t="e">
        <v>#N/A</v>
      </c>
      <c r="V885" s="203" t="s">
        <v>3406</v>
      </c>
      <c r="W885" s="329">
        <v>0</v>
      </c>
      <c r="X885" s="329">
        <v>0</v>
      </c>
      <c r="Y885" s="329">
        <v>0</v>
      </c>
      <c r="Z885" s="329">
        <v>0</v>
      </c>
      <c r="AA885" s="329">
        <v>1</v>
      </c>
      <c r="AB885" s="329">
        <v>0</v>
      </c>
      <c r="AC885" s="330">
        <v>0</v>
      </c>
      <c r="AD885" s="330">
        <v>0</v>
      </c>
      <c r="AE885" s="302">
        <f t="shared" si="73"/>
        <v>0.125</v>
      </c>
      <c r="AF885" s="310"/>
      <c r="AG885" s="17">
        <v>0</v>
      </c>
      <c r="AH885" s="310">
        <v>0</v>
      </c>
      <c r="AI885" s="310" t="s">
        <v>271</v>
      </c>
      <c r="AJ885" s="201">
        <v>5</v>
      </c>
      <c r="AK885" s="202"/>
      <c r="AL885" s="202">
        <v>10</v>
      </c>
      <c r="AM885" s="17">
        <v>23</v>
      </c>
      <c r="AN885" s="283" t="s">
        <v>3193</v>
      </c>
      <c r="AO885" s="283" t="s">
        <v>3261</v>
      </c>
      <c r="AP885" s="283" t="s">
        <v>3226</v>
      </c>
      <c r="AW885" s="331"/>
    </row>
    <row r="886" spans="1:49" hidden="1" x14ac:dyDescent="0.3">
      <c r="A886" s="328" t="s">
        <v>1456</v>
      </c>
      <c r="B886" s="283" t="s">
        <v>3184</v>
      </c>
      <c r="C886" s="328" t="s">
        <v>1459</v>
      </c>
      <c r="D886" s="283" t="s">
        <v>3186</v>
      </c>
      <c r="E886" s="283" t="s">
        <v>1462</v>
      </c>
      <c r="F886" s="283" t="s">
        <v>3187</v>
      </c>
      <c r="G886" s="328" t="s">
        <v>3397</v>
      </c>
      <c r="H886" s="162" t="s">
        <v>3407</v>
      </c>
      <c r="I886" s="162"/>
      <c r="J886" s="162"/>
      <c r="K886" s="162" t="s">
        <v>3408</v>
      </c>
      <c r="L886" s="162" t="s">
        <v>3409</v>
      </c>
      <c r="M886" s="162" t="s">
        <v>3410</v>
      </c>
      <c r="N886" s="162">
        <v>0</v>
      </c>
      <c r="O886" s="162">
        <v>0</v>
      </c>
      <c r="P886" s="162">
        <v>0</v>
      </c>
      <c r="Q886" s="162">
        <v>0</v>
      </c>
      <c r="R886" s="162">
        <v>1</v>
      </c>
      <c r="S886" s="162">
        <v>1</v>
      </c>
      <c r="T886" s="162" t="s">
        <v>3292</v>
      </c>
      <c r="U886" s="162" t="e">
        <v>#N/A</v>
      </c>
      <c r="V886" s="162" t="s">
        <v>3411</v>
      </c>
      <c r="W886" s="329">
        <v>1</v>
      </c>
      <c r="X886" s="329">
        <v>1</v>
      </c>
      <c r="Y886" s="329">
        <v>1</v>
      </c>
      <c r="Z886" s="329">
        <v>0</v>
      </c>
      <c r="AA886" s="329">
        <v>0</v>
      </c>
      <c r="AB886" s="329">
        <v>0</v>
      </c>
      <c r="AC886" s="330">
        <v>0</v>
      </c>
      <c r="AD886" s="330">
        <v>1</v>
      </c>
      <c r="AE886" s="302">
        <f t="shared" si="73"/>
        <v>0.5</v>
      </c>
      <c r="AF886" s="310"/>
      <c r="AG886" s="17">
        <v>0</v>
      </c>
      <c r="AH886" s="310">
        <v>0</v>
      </c>
      <c r="AI886" s="310" t="s">
        <v>271</v>
      </c>
      <c r="AJ886" s="310">
        <v>15</v>
      </c>
      <c r="AK886" s="317">
        <v>8</v>
      </c>
      <c r="AL886" s="317">
        <v>8</v>
      </c>
      <c r="AM886" s="17">
        <v>16</v>
      </c>
      <c r="AN886" s="283" t="s">
        <v>3292</v>
      </c>
      <c r="AO886" s="283" t="s">
        <v>3292</v>
      </c>
      <c r="AP886" s="283" t="s">
        <v>3412</v>
      </c>
      <c r="AW886" s="331"/>
    </row>
    <row r="887" spans="1:49" hidden="1" x14ac:dyDescent="0.3">
      <c r="A887" s="328" t="s">
        <v>1456</v>
      </c>
      <c r="B887" s="283" t="s">
        <v>3184</v>
      </c>
      <c r="C887" s="328" t="s">
        <v>1459</v>
      </c>
      <c r="D887" s="283" t="s">
        <v>3186</v>
      </c>
      <c r="E887" s="283" t="s">
        <v>1462</v>
      </c>
      <c r="F887" s="283" t="s">
        <v>3187</v>
      </c>
      <c r="G887" s="328" t="s">
        <v>3397</v>
      </c>
      <c r="H887" s="162" t="s">
        <v>3407</v>
      </c>
      <c r="I887" s="162"/>
      <c r="J887" s="162"/>
      <c r="K887" s="162" t="s">
        <v>3413</v>
      </c>
      <c r="L887" s="162" t="s">
        <v>3414</v>
      </c>
      <c r="M887" s="162" t="s">
        <v>3415</v>
      </c>
      <c r="N887" s="162">
        <v>0</v>
      </c>
      <c r="O887" s="162">
        <v>0</v>
      </c>
      <c r="P887" s="162">
        <v>0</v>
      </c>
      <c r="Q887" s="162">
        <v>0</v>
      </c>
      <c r="R887" s="162">
        <v>1</v>
      </c>
      <c r="S887" s="162">
        <v>1</v>
      </c>
      <c r="T887" s="162" t="s">
        <v>3193</v>
      </c>
      <c r="U887" s="162" t="e">
        <v>#N/A</v>
      </c>
      <c r="V887" s="162" t="s">
        <v>3416</v>
      </c>
      <c r="W887" s="329">
        <v>1</v>
      </c>
      <c r="X887" s="329">
        <v>0</v>
      </c>
      <c r="Y887" s="329">
        <v>0</v>
      </c>
      <c r="Z887" s="329">
        <v>1</v>
      </c>
      <c r="AA887" s="329">
        <v>1</v>
      </c>
      <c r="AB887" s="329">
        <v>0</v>
      </c>
      <c r="AC887" s="330">
        <v>0</v>
      </c>
      <c r="AD887" s="330">
        <v>0</v>
      </c>
      <c r="AE887" s="302">
        <f t="shared" si="73"/>
        <v>0.375</v>
      </c>
      <c r="AF887" s="310"/>
      <c r="AG887" s="17">
        <v>0</v>
      </c>
      <c r="AH887" s="310">
        <v>0</v>
      </c>
      <c r="AI887" s="310" t="s">
        <v>271</v>
      </c>
      <c r="AJ887" s="201">
        <v>10</v>
      </c>
      <c r="AK887" s="202">
        <f>30-4.46-10</f>
        <v>15.54</v>
      </c>
      <c r="AL887" s="202">
        <f>50+4.55</f>
        <v>54.55</v>
      </c>
      <c r="AM887" s="17">
        <v>79.215873063218524</v>
      </c>
      <c r="AN887" s="283" t="s">
        <v>3193</v>
      </c>
      <c r="AO887" s="283" t="s">
        <v>3193</v>
      </c>
      <c r="AP887" s="283" t="s">
        <v>255</v>
      </c>
      <c r="AW887" s="331"/>
    </row>
    <row r="888" spans="1:49" x14ac:dyDescent="0.3">
      <c r="A888" s="328" t="s">
        <v>1456</v>
      </c>
      <c r="B888" s="283" t="s">
        <v>3184</v>
      </c>
      <c r="C888" s="328" t="s">
        <v>1459</v>
      </c>
      <c r="D888" s="283" t="s">
        <v>3186</v>
      </c>
      <c r="E888" s="283" t="s">
        <v>1462</v>
      </c>
      <c r="F888" s="283" t="s">
        <v>3187</v>
      </c>
      <c r="G888" s="328" t="s">
        <v>3397</v>
      </c>
      <c r="H888" s="162" t="s">
        <v>3407</v>
      </c>
      <c r="I888" s="162"/>
      <c r="J888" s="162"/>
      <c r="K888" s="162" t="s">
        <v>3417</v>
      </c>
      <c r="L888" s="162" t="s">
        <v>3418</v>
      </c>
      <c r="M888" s="162" t="s">
        <v>3419</v>
      </c>
      <c r="N888" s="162">
        <v>0</v>
      </c>
      <c r="O888" s="162">
        <v>0</v>
      </c>
      <c r="P888" s="162">
        <v>0</v>
      </c>
      <c r="Q888" s="162">
        <v>0</v>
      </c>
      <c r="R888" s="162">
        <v>1</v>
      </c>
      <c r="S888" s="162">
        <v>1</v>
      </c>
      <c r="T888" s="162" t="s">
        <v>3292</v>
      </c>
      <c r="U888" s="162" t="e">
        <v>#N/A</v>
      </c>
      <c r="V888" s="162" t="s">
        <v>3420</v>
      </c>
      <c r="W888" s="329">
        <v>1</v>
      </c>
      <c r="X888" s="329">
        <v>1</v>
      </c>
      <c r="Y888" s="329">
        <v>1</v>
      </c>
      <c r="Z888" s="329">
        <v>1</v>
      </c>
      <c r="AA888" s="329">
        <v>1</v>
      </c>
      <c r="AB888" s="329">
        <v>0</v>
      </c>
      <c r="AC888" s="330">
        <v>0</v>
      </c>
      <c r="AD888" s="330">
        <v>1</v>
      </c>
      <c r="AE888" s="302">
        <f t="shared" si="73"/>
        <v>0.75</v>
      </c>
      <c r="AF888" s="310"/>
      <c r="AG888" s="17">
        <v>0</v>
      </c>
      <c r="AH888" s="310">
        <v>0</v>
      </c>
      <c r="AI888" s="310" t="s">
        <v>271</v>
      </c>
      <c r="AJ888" s="310">
        <v>10</v>
      </c>
      <c r="AK888" s="317">
        <v>70</v>
      </c>
      <c r="AL888" s="317">
        <v>70</v>
      </c>
      <c r="AM888" s="17">
        <v>180</v>
      </c>
      <c r="AN888" s="283" t="s">
        <v>3292</v>
      </c>
      <c r="AO888" s="283" t="s">
        <v>3193</v>
      </c>
      <c r="AP888" s="283" t="s">
        <v>3421</v>
      </c>
      <c r="AW888" s="331"/>
    </row>
    <row r="889" spans="1:49" x14ac:dyDescent="0.3">
      <c r="A889" s="328" t="s">
        <v>1456</v>
      </c>
      <c r="B889" s="283" t="s">
        <v>3184</v>
      </c>
      <c r="C889" s="328" t="s">
        <v>1459</v>
      </c>
      <c r="D889" s="283" t="s">
        <v>3186</v>
      </c>
      <c r="E889" s="283" t="s">
        <v>1462</v>
      </c>
      <c r="F889" s="283" t="s">
        <v>3187</v>
      </c>
      <c r="G889" s="328" t="s">
        <v>3397</v>
      </c>
      <c r="H889" s="162" t="s">
        <v>3387</v>
      </c>
      <c r="I889" s="162"/>
      <c r="J889" s="162"/>
      <c r="K889" s="162" t="s">
        <v>3422</v>
      </c>
      <c r="L889" s="162" t="s">
        <v>3423</v>
      </c>
      <c r="M889" s="162" t="s">
        <v>3424</v>
      </c>
      <c r="N889" s="162" t="s">
        <v>271</v>
      </c>
      <c r="O889" s="162">
        <v>0</v>
      </c>
      <c r="P889" s="162">
        <v>0</v>
      </c>
      <c r="Q889" s="162">
        <v>1</v>
      </c>
      <c r="R889" s="162">
        <v>2</v>
      </c>
      <c r="S889" s="162">
        <v>2</v>
      </c>
      <c r="T889" s="162" t="s">
        <v>3240</v>
      </c>
      <c r="U889" s="162" t="e">
        <v>#N/A</v>
      </c>
      <c r="V889" s="162" t="s">
        <v>3425</v>
      </c>
      <c r="W889" s="329">
        <v>1</v>
      </c>
      <c r="X889" s="329">
        <v>1</v>
      </c>
      <c r="Y889" s="329">
        <v>0</v>
      </c>
      <c r="Z889" s="329">
        <v>1</v>
      </c>
      <c r="AA889" s="329">
        <v>1</v>
      </c>
      <c r="AB889" s="329">
        <v>0</v>
      </c>
      <c r="AC889" s="330">
        <v>1</v>
      </c>
      <c r="AD889" s="330">
        <v>1</v>
      </c>
      <c r="AE889" s="302">
        <f t="shared" si="73"/>
        <v>0.75</v>
      </c>
      <c r="AF889" s="310"/>
      <c r="AG889" s="17">
        <v>0</v>
      </c>
      <c r="AH889" s="310">
        <v>0</v>
      </c>
      <c r="AI889" s="310" t="s">
        <v>271</v>
      </c>
      <c r="AJ889" s="310">
        <v>0.62</v>
      </c>
      <c r="AK889" s="317">
        <v>20</v>
      </c>
      <c r="AL889" s="317">
        <v>30</v>
      </c>
      <c r="AM889" s="17">
        <v>53.259999999999991</v>
      </c>
      <c r="AN889" s="283" t="s">
        <v>3240</v>
      </c>
      <c r="AO889" s="283" t="s">
        <v>3193</v>
      </c>
      <c r="AP889" s="283" t="s">
        <v>3426</v>
      </c>
      <c r="AW889" s="331"/>
    </row>
    <row r="890" spans="1:49" hidden="1" x14ac:dyDescent="0.3">
      <c r="A890" s="328" t="s">
        <v>1456</v>
      </c>
      <c r="B890" s="283" t="s">
        <v>3184</v>
      </c>
      <c r="C890" s="328" t="s">
        <v>1459</v>
      </c>
      <c r="D890" s="283" t="s">
        <v>3186</v>
      </c>
      <c r="E890" s="283" t="s">
        <v>1462</v>
      </c>
      <c r="F890" s="283" t="s">
        <v>3294</v>
      </c>
      <c r="G890" s="328" t="s">
        <v>3397</v>
      </c>
      <c r="H890" s="203" t="s">
        <v>3427</v>
      </c>
      <c r="I890" s="162"/>
      <c r="J890" s="162"/>
      <c r="K890" s="162" t="s">
        <v>3428</v>
      </c>
      <c r="L890" s="203" t="s">
        <v>3429</v>
      </c>
      <c r="M890" s="162" t="s">
        <v>3430</v>
      </c>
      <c r="N890" s="162"/>
      <c r="O890" s="162">
        <v>0</v>
      </c>
      <c r="P890" s="162">
        <v>0</v>
      </c>
      <c r="Q890" s="162">
        <v>1</v>
      </c>
      <c r="R890" s="162">
        <v>20</v>
      </c>
      <c r="S890" s="162">
        <v>20</v>
      </c>
      <c r="T890" s="162" t="s">
        <v>3193</v>
      </c>
      <c r="U890" s="162" t="e">
        <v>#N/A</v>
      </c>
      <c r="V890" s="203" t="s">
        <v>3431</v>
      </c>
      <c r="W890" s="329">
        <v>1</v>
      </c>
      <c r="X890" s="329">
        <v>0</v>
      </c>
      <c r="Y890" s="329">
        <v>0</v>
      </c>
      <c r="Z890" s="329">
        <v>1</v>
      </c>
      <c r="AA890" s="329">
        <v>1</v>
      </c>
      <c r="AB890" s="329">
        <v>1</v>
      </c>
      <c r="AC890" s="330">
        <v>0</v>
      </c>
      <c r="AD890" s="330">
        <v>1</v>
      </c>
      <c r="AE890" s="302">
        <f t="shared" si="73"/>
        <v>0.625</v>
      </c>
      <c r="AF890" s="310"/>
      <c r="AG890" s="17">
        <v>0</v>
      </c>
      <c r="AH890" s="310">
        <v>0</v>
      </c>
      <c r="AI890" s="310" t="s">
        <v>271</v>
      </c>
      <c r="AJ890" s="310">
        <v>0.5</v>
      </c>
      <c r="AK890" s="317">
        <v>1</v>
      </c>
      <c r="AL890" s="317">
        <v>1</v>
      </c>
      <c r="AM890" s="17">
        <v>3.5</v>
      </c>
      <c r="AN890" s="283" t="s">
        <v>3193</v>
      </c>
      <c r="AO890" s="283" t="s">
        <v>3193</v>
      </c>
      <c r="AP890" s="283" t="s">
        <v>3432</v>
      </c>
      <c r="AW890" s="331"/>
    </row>
    <row r="891" spans="1:49" x14ac:dyDescent="0.3">
      <c r="A891" s="328" t="s">
        <v>1456</v>
      </c>
      <c r="B891" s="283" t="s">
        <v>3184</v>
      </c>
      <c r="C891" s="328" t="s">
        <v>1459</v>
      </c>
      <c r="D891" s="283" t="s">
        <v>3186</v>
      </c>
      <c r="E891" s="283" t="s">
        <v>1462</v>
      </c>
      <c r="F891" s="283" t="s">
        <v>3234</v>
      </c>
      <c r="G891" s="328" t="s">
        <v>3397</v>
      </c>
      <c r="H891" s="162" t="s">
        <v>3433</v>
      </c>
      <c r="I891" s="162"/>
      <c r="J891" s="162"/>
      <c r="K891" s="162" t="s">
        <v>3434</v>
      </c>
      <c r="L891" s="162" t="s">
        <v>3435</v>
      </c>
      <c r="M891" s="162" t="s">
        <v>3436</v>
      </c>
      <c r="N891" s="162">
        <v>0</v>
      </c>
      <c r="O891" s="162">
        <v>0</v>
      </c>
      <c r="P891" s="162">
        <v>0</v>
      </c>
      <c r="Q891" s="162">
        <v>3</v>
      </c>
      <c r="R891" s="162">
        <v>0</v>
      </c>
      <c r="S891" s="162">
        <v>1</v>
      </c>
      <c r="T891" s="162" t="s">
        <v>3240</v>
      </c>
      <c r="U891" s="162" t="e">
        <v>#N/A</v>
      </c>
      <c r="V891" s="162" t="s">
        <v>3437</v>
      </c>
      <c r="W891" s="329">
        <v>1</v>
      </c>
      <c r="X891" s="329">
        <v>1</v>
      </c>
      <c r="Y891" s="329">
        <v>1</v>
      </c>
      <c r="Z891" s="329">
        <v>1</v>
      </c>
      <c r="AA891" s="329">
        <v>1</v>
      </c>
      <c r="AB891" s="329">
        <v>1</v>
      </c>
      <c r="AC891" s="330">
        <v>1</v>
      </c>
      <c r="AD891" s="330">
        <v>0</v>
      </c>
      <c r="AE891" s="302">
        <f t="shared" si="73"/>
        <v>0.875</v>
      </c>
      <c r="AF891" s="310"/>
      <c r="AG891" s="17">
        <v>0</v>
      </c>
      <c r="AH891" s="310">
        <v>0</v>
      </c>
      <c r="AI891" s="310" t="s">
        <v>271</v>
      </c>
      <c r="AJ891" s="310">
        <v>10</v>
      </c>
      <c r="AK891" s="317">
        <v>0</v>
      </c>
      <c r="AL891" s="317">
        <v>2</v>
      </c>
      <c r="AM891" s="17">
        <v>1</v>
      </c>
      <c r="AN891" s="283" t="s">
        <v>3240</v>
      </c>
      <c r="AO891" s="283" t="s">
        <v>3193</v>
      </c>
      <c r="AP891" s="283" t="s">
        <v>255</v>
      </c>
      <c r="AW891" s="331"/>
    </row>
    <row r="892" spans="1:49" hidden="1" x14ac:dyDescent="0.3">
      <c r="A892" s="328" t="s">
        <v>1456</v>
      </c>
      <c r="B892" s="283" t="s">
        <v>3184</v>
      </c>
      <c r="C892" s="328" t="s">
        <v>1459</v>
      </c>
      <c r="D892" s="283" t="s">
        <v>3186</v>
      </c>
      <c r="E892" s="283" t="s">
        <v>1462</v>
      </c>
      <c r="F892" s="283" t="s">
        <v>3187</v>
      </c>
      <c r="G892" s="328" t="s">
        <v>3397</v>
      </c>
      <c r="H892" s="162" t="s">
        <v>3189</v>
      </c>
      <c r="I892" s="162"/>
      <c r="J892" s="162"/>
      <c r="K892" s="162" t="s">
        <v>3438</v>
      </c>
      <c r="L892" s="162" t="s">
        <v>3439</v>
      </c>
      <c r="M892" s="162" t="s">
        <v>3439</v>
      </c>
      <c r="N892" s="162">
        <v>0</v>
      </c>
      <c r="O892" s="162">
        <v>0</v>
      </c>
      <c r="P892" s="162">
        <v>0</v>
      </c>
      <c r="Q892" s="162">
        <v>0</v>
      </c>
      <c r="R892" s="162">
        <v>1</v>
      </c>
      <c r="S892" s="162">
        <v>1</v>
      </c>
      <c r="T892" s="162" t="s">
        <v>3193</v>
      </c>
      <c r="U892" s="162" t="e">
        <v>#N/A</v>
      </c>
      <c r="V892" s="203" t="s">
        <v>3440</v>
      </c>
      <c r="W892" s="329">
        <v>1</v>
      </c>
      <c r="X892" s="329">
        <v>1</v>
      </c>
      <c r="Y892" s="329">
        <v>0</v>
      </c>
      <c r="Z892" s="329">
        <v>1</v>
      </c>
      <c r="AA892" s="329">
        <v>1</v>
      </c>
      <c r="AB892" s="329">
        <v>0</v>
      </c>
      <c r="AC892" s="330">
        <v>0</v>
      </c>
      <c r="AD892" s="330">
        <v>0</v>
      </c>
      <c r="AE892" s="302">
        <f t="shared" si="73"/>
        <v>0.5</v>
      </c>
      <c r="AF892" s="310"/>
      <c r="AG892" s="17">
        <v>0</v>
      </c>
      <c r="AH892" s="310">
        <v>0</v>
      </c>
      <c r="AI892" s="310" t="s">
        <v>271</v>
      </c>
      <c r="AJ892" s="310">
        <v>6</v>
      </c>
      <c r="AK892" s="317">
        <v>2</v>
      </c>
      <c r="AL892" s="317">
        <v>5</v>
      </c>
      <c r="AM892" s="17">
        <v>5</v>
      </c>
      <c r="AN892" s="283" t="s">
        <v>3193</v>
      </c>
      <c r="AO892" s="283" t="s">
        <v>3193</v>
      </c>
      <c r="AW892" s="331"/>
    </row>
    <row r="893" spans="1:49" x14ac:dyDescent="0.3">
      <c r="A893" s="328" t="s">
        <v>1456</v>
      </c>
      <c r="B893" s="283" t="s">
        <v>3184</v>
      </c>
      <c r="C893" s="328" t="s">
        <v>1459</v>
      </c>
      <c r="D893" s="283" t="s">
        <v>3186</v>
      </c>
      <c r="E893" s="283" t="s">
        <v>1462</v>
      </c>
      <c r="F893" s="283" t="s">
        <v>3187</v>
      </c>
      <c r="G893" s="328" t="s">
        <v>3397</v>
      </c>
      <c r="H893" s="203" t="s">
        <v>3283</v>
      </c>
      <c r="I893" s="162"/>
      <c r="J893" s="162"/>
      <c r="K893" s="162" t="s">
        <v>3441</v>
      </c>
      <c r="L893" s="203" t="s">
        <v>3284</v>
      </c>
      <c r="M893" s="162" t="s">
        <v>3442</v>
      </c>
      <c r="N893" s="162"/>
      <c r="O893" s="162">
        <v>0</v>
      </c>
      <c r="P893" s="162">
        <v>0</v>
      </c>
      <c r="Q893" s="162">
        <v>1</v>
      </c>
      <c r="R893" s="162">
        <v>1</v>
      </c>
      <c r="S893" s="162">
        <v>1</v>
      </c>
      <c r="T893" s="162" t="s">
        <v>3193</v>
      </c>
      <c r="U893" s="162" t="e">
        <v>#N/A</v>
      </c>
      <c r="V893" s="203" t="s">
        <v>3286</v>
      </c>
      <c r="W893" s="329">
        <v>1</v>
      </c>
      <c r="X893" s="329">
        <v>1</v>
      </c>
      <c r="Y893" s="329">
        <v>1</v>
      </c>
      <c r="Z893" s="329">
        <v>1</v>
      </c>
      <c r="AA893" s="329">
        <v>1</v>
      </c>
      <c r="AB893" s="329">
        <v>0</v>
      </c>
      <c r="AC893" s="330">
        <v>1</v>
      </c>
      <c r="AD893" s="330">
        <v>0</v>
      </c>
      <c r="AE893" s="302">
        <f t="shared" si="73"/>
        <v>0.75</v>
      </c>
      <c r="AF893" s="310"/>
      <c r="AG893" s="17">
        <v>0</v>
      </c>
      <c r="AH893" s="310">
        <v>0</v>
      </c>
      <c r="AI893" s="310" t="s">
        <v>271</v>
      </c>
      <c r="AJ893" s="310">
        <v>4.5</v>
      </c>
      <c r="AK893" s="317">
        <v>15</v>
      </c>
      <c r="AL893" s="317">
        <v>40</v>
      </c>
      <c r="AM893" s="17">
        <v>45</v>
      </c>
      <c r="AN893" s="283" t="s">
        <v>3193</v>
      </c>
      <c r="AO893" s="283" t="s">
        <v>3193</v>
      </c>
      <c r="AP893" s="283" t="s">
        <v>3240</v>
      </c>
      <c r="AW893" s="331"/>
    </row>
    <row r="894" spans="1:49" x14ac:dyDescent="0.3">
      <c r="A894" s="328" t="s">
        <v>1456</v>
      </c>
      <c r="B894" s="283" t="s">
        <v>3184</v>
      </c>
      <c r="C894" s="328" t="s">
        <v>1459</v>
      </c>
      <c r="D894" s="283" t="s">
        <v>3186</v>
      </c>
      <c r="E894" s="283" t="s">
        <v>1462</v>
      </c>
      <c r="F894" s="283" t="s">
        <v>3294</v>
      </c>
      <c r="G894" s="328" t="s">
        <v>3397</v>
      </c>
      <c r="H894" s="162" t="s">
        <v>3302</v>
      </c>
      <c r="I894" s="162"/>
      <c r="J894" s="162"/>
      <c r="K894" s="162" t="s">
        <v>3443</v>
      </c>
      <c r="L894" s="203" t="s">
        <v>3444</v>
      </c>
      <c r="M894" s="203" t="s">
        <v>3445</v>
      </c>
      <c r="N894" s="203"/>
      <c r="O894" s="203">
        <v>0</v>
      </c>
      <c r="P894" s="203">
        <v>0</v>
      </c>
      <c r="Q894" s="203">
        <v>1</v>
      </c>
      <c r="R894" s="203">
        <v>10</v>
      </c>
      <c r="S894" s="203">
        <v>10</v>
      </c>
      <c r="T894" s="203" t="s">
        <v>3193</v>
      </c>
      <c r="U894" s="203" t="e">
        <v>#N/A</v>
      </c>
      <c r="V894" s="203" t="s">
        <v>3446</v>
      </c>
      <c r="W894" s="335">
        <v>1</v>
      </c>
      <c r="X894" s="335">
        <v>1</v>
      </c>
      <c r="Y894" s="335">
        <v>1</v>
      </c>
      <c r="Z894" s="335">
        <v>1</v>
      </c>
      <c r="AA894" s="335">
        <v>1</v>
      </c>
      <c r="AB894" s="335">
        <v>0</v>
      </c>
      <c r="AC894" s="336">
        <v>1</v>
      </c>
      <c r="AD894" s="336">
        <v>1</v>
      </c>
      <c r="AE894" s="302">
        <f t="shared" si="73"/>
        <v>0.875</v>
      </c>
      <c r="AF894" s="310"/>
      <c r="AG894" s="17">
        <v>0</v>
      </c>
      <c r="AH894" s="310">
        <v>0</v>
      </c>
      <c r="AI894" s="310" t="s">
        <v>271</v>
      </c>
      <c r="AJ894" s="310">
        <v>0.5</v>
      </c>
      <c r="AK894" s="317">
        <v>0.7</v>
      </c>
      <c r="AL894" s="317">
        <v>3</v>
      </c>
      <c r="AM894" s="17">
        <v>2.0999999999999996</v>
      </c>
      <c r="AN894" s="283" t="s">
        <v>3193</v>
      </c>
      <c r="AO894" s="283" t="s">
        <v>3193</v>
      </c>
      <c r="AW894" s="331"/>
    </row>
    <row r="895" spans="1:49" s="293" customFormat="1" hidden="1" x14ac:dyDescent="0.3">
      <c r="A895" s="50" t="s">
        <v>1448</v>
      </c>
      <c r="B895" s="51" t="s">
        <v>3447</v>
      </c>
      <c r="C895" s="50" t="s">
        <v>3448</v>
      </c>
      <c r="D895" s="51" t="s">
        <v>1491</v>
      </c>
      <c r="E895" s="50" t="s">
        <v>3448</v>
      </c>
      <c r="F895" s="51" t="s">
        <v>1493</v>
      </c>
      <c r="G895" s="50" t="s">
        <v>3448</v>
      </c>
      <c r="H895" s="51" t="s">
        <v>1491</v>
      </c>
      <c r="I895" s="51"/>
      <c r="J895" s="51"/>
      <c r="K895" s="50" t="s">
        <v>3448</v>
      </c>
      <c r="L895" s="51" t="s">
        <v>1491</v>
      </c>
      <c r="M895" s="60" t="s">
        <v>271</v>
      </c>
      <c r="N895" s="60" t="s">
        <v>271</v>
      </c>
      <c r="O895" s="60" t="s">
        <v>271</v>
      </c>
      <c r="P895" s="60" t="s">
        <v>271</v>
      </c>
      <c r="Q895" s="60" t="s">
        <v>271</v>
      </c>
      <c r="R895" s="60" t="s">
        <v>271</v>
      </c>
      <c r="S895" s="60" t="s">
        <v>271</v>
      </c>
      <c r="T895" s="60" t="s">
        <v>271</v>
      </c>
      <c r="U895" s="60" t="s">
        <v>271</v>
      </c>
      <c r="V895" s="51" t="s">
        <v>1489</v>
      </c>
      <c r="W895" s="291"/>
      <c r="X895" s="291"/>
      <c r="Y895" s="291"/>
      <c r="Z895" s="291"/>
      <c r="AA895" s="291"/>
      <c r="AB895" s="291"/>
      <c r="AC895" s="291"/>
      <c r="AD895" s="291"/>
      <c r="AE895" s="292"/>
      <c r="AF895" s="56"/>
      <c r="AG895" s="292"/>
      <c r="AH895" s="56"/>
      <c r="AI895" s="56"/>
      <c r="AJ895" s="56"/>
      <c r="AK895" s="57">
        <v>2.2000000000000002</v>
      </c>
      <c r="AL895" s="57">
        <v>2.2000000000000002</v>
      </c>
      <c r="AM895" s="56">
        <f>SUM(AK895:AL895)</f>
        <v>4.4000000000000004</v>
      </c>
      <c r="AN895" s="52"/>
      <c r="AO895" s="52"/>
      <c r="AP895" s="51"/>
    </row>
    <row r="896" spans="1:49" s="293" customFormat="1" hidden="1" x14ac:dyDescent="0.3">
      <c r="A896" s="50" t="s">
        <v>1448</v>
      </c>
      <c r="B896" s="51" t="s">
        <v>3447</v>
      </c>
      <c r="C896" s="50" t="s">
        <v>3448</v>
      </c>
      <c r="D896" s="51" t="s">
        <v>1491</v>
      </c>
      <c r="E896" s="50" t="s">
        <v>3448</v>
      </c>
      <c r="F896" s="51" t="s">
        <v>1493</v>
      </c>
      <c r="G896" s="50" t="s">
        <v>3448</v>
      </c>
      <c r="H896" s="51" t="s">
        <v>1491</v>
      </c>
      <c r="I896" s="51"/>
      <c r="J896" s="51"/>
      <c r="K896" s="50" t="s">
        <v>3448</v>
      </c>
      <c r="L896" s="51" t="s">
        <v>1491</v>
      </c>
      <c r="M896" s="60" t="s">
        <v>271</v>
      </c>
      <c r="N896" s="60" t="s">
        <v>271</v>
      </c>
      <c r="O896" s="60" t="s">
        <v>271</v>
      </c>
      <c r="P896" s="60" t="s">
        <v>271</v>
      </c>
      <c r="Q896" s="60" t="s">
        <v>271</v>
      </c>
      <c r="R896" s="60" t="s">
        <v>271</v>
      </c>
      <c r="S896" s="60" t="s">
        <v>271</v>
      </c>
      <c r="T896" s="60" t="s">
        <v>271</v>
      </c>
      <c r="U896" s="60" t="s">
        <v>271</v>
      </c>
      <c r="V896" s="51" t="s">
        <v>1490</v>
      </c>
      <c r="W896" s="291"/>
      <c r="X896" s="291"/>
      <c r="Y896" s="291"/>
      <c r="Z896" s="291"/>
      <c r="AA896" s="291"/>
      <c r="AB896" s="291"/>
      <c r="AC896" s="291"/>
      <c r="AD896" s="291"/>
      <c r="AE896" s="292"/>
      <c r="AF896" s="56"/>
      <c r="AG896" s="292"/>
      <c r="AH896" s="56"/>
      <c r="AI896" s="56"/>
      <c r="AJ896" s="56"/>
      <c r="AK896" s="57">
        <v>0.88000000000000012</v>
      </c>
      <c r="AL896" s="57">
        <v>0.88000000000000012</v>
      </c>
      <c r="AM896" s="56">
        <f>SUM(AK896:AL896)</f>
        <v>1.7600000000000002</v>
      </c>
      <c r="AN896" s="52"/>
      <c r="AO896" s="52"/>
      <c r="AP896" s="51"/>
    </row>
    <row r="897" spans="1:42" s="293" customFormat="1" hidden="1" x14ac:dyDescent="0.3">
      <c r="A897" s="50" t="s">
        <v>1448</v>
      </c>
      <c r="B897" s="51" t="s">
        <v>3447</v>
      </c>
      <c r="C897" s="50" t="s">
        <v>3448</v>
      </c>
      <c r="D897" s="51" t="s">
        <v>1491</v>
      </c>
      <c r="E897" s="50" t="s">
        <v>3448</v>
      </c>
      <c r="F897" s="51" t="s">
        <v>1493</v>
      </c>
      <c r="G897" s="50" t="s">
        <v>3448</v>
      </c>
      <c r="H897" s="51" t="s">
        <v>1491</v>
      </c>
      <c r="I897" s="51"/>
      <c r="J897" s="51"/>
      <c r="K897" s="50" t="s">
        <v>3448</v>
      </c>
      <c r="L897" s="51" t="s">
        <v>1491</v>
      </c>
      <c r="M897" s="60" t="s">
        <v>271</v>
      </c>
      <c r="N897" s="60" t="s">
        <v>271</v>
      </c>
      <c r="O897" s="60" t="s">
        <v>271</v>
      </c>
      <c r="P897" s="60" t="s">
        <v>271</v>
      </c>
      <c r="Q897" s="60" t="s">
        <v>271</v>
      </c>
      <c r="R897" s="60" t="s">
        <v>271</v>
      </c>
      <c r="S897" s="60" t="s">
        <v>271</v>
      </c>
      <c r="T897" s="60" t="s">
        <v>271</v>
      </c>
      <c r="U897" s="60" t="s">
        <v>271</v>
      </c>
      <c r="V897" s="51" t="s">
        <v>1495</v>
      </c>
      <c r="W897" s="291"/>
      <c r="X897" s="291"/>
      <c r="Y897" s="291"/>
      <c r="Z897" s="291"/>
      <c r="AA897" s="291"/>
      <c r="AB897" s="291"/>
      <c r="AC897" s="291"/>
      <c r="AD897" s="291"/>
      <c r="AE897" s="292"/>
      <c r="AF897" s="56"/>
      <c r="AG897" s="292"/>
      <c r="AH897" s="56"/>
      <c r="AI897" s="56"/>
      <c r="AJ897" s="56"/>
      <c r="AK897" s="57">
        <v>15.054376299999999</v>
      </c>
      <c r="AL897" s="57">
        <v>18.006804160000002</v>
      </c>
      <c r="AM897" s="56">
        <f>SUM(AK897:AL897)</f>
        <v>33.061180460000003</v>
      </c>
      <c r="AN897" s="52"/>
      <c r="AO897" s="52"/>
      <c r="AP897" s="51"/>
    </row>
    <row r="898" spans="1:42" hidden="1" x14ac:dyDescent="0.3">
      <c r="A898" s="314" t="s">
        <v>1448</v>
      </c>
      <c r="B898" s="283" t="s">
        <v>3447</v>
      </c>
      <c r="C898" s="314" t="s">
        <v>3449</v>
      </c>
      <c r="D898" s="283" t="s">
        <v>3450</v>
      </c>
      <c r="E898" s="314" t="s">
        <v>3451</v>
      </c>
      <c r="F898" s="283" t="s">
        <v>3452</v>
      </c>
      <c r="G898" s="314" t="s">
        <v>3453</v>
      </c>
      <c r="H898" s="283" t="s">
        <v>3454</v>
      </c>
      <c r="K898" s="318" t="s">
        <v>3455</v>
      </c>
      <c r="L898" s="283" t="s">
        <v>3456</v>
      </c>
      <c r="M898" s="206" t="s">
        <v>3457</v>
      </c>
      <c r="N898" s="3" t="s">
        <v>271</v>
      </c>
      <c r="O898" s="3">
        <v>1</v>
      </c>
      <c r="P898" s="3">
        <v>1</v>
      </c>
      <c r="Q898" s="3">
        <v>1</v>
      </c>
      <c r="R898" s="3">
        <v>0</v>
      </c>
      <c r="S898" s="3">
        <v>0</v>
      </c>
      <c r="T898" s="283" t="s">
        <v>265</v>
      </c>
      <c r="U898" s="283" t="s">
        <v>350</v>
      </c>
      <c r="V898" s="1" t="s">
        <v>3458</v>
      </c>
      <c r="W898" s="1">
        <v>1</v>
      </c>
      <c r="X898" s="1">
        <v>0</v>
      </c>
      <c r="Y898" s="1">
        <v>0</v>
      </c>
      <c r="Z898" s="1">
        <v>1</v>
      </c>
      <c r="AA898" s="1">
        <v>1</v>
      </c>
      <c r="AB898" s="1">
        <v>0</v>
      </c>
      <c r="AC898" s="1">
        <v>0</v>
      </c>
      <c r="AD898" s="1">
        <v>1</v>
      </c>
      <c r="AE898" s="302">
        <f t="shared" ref="AE898:AE961" si="74">SUM(W898:AD898)/8</f>
        <v>0.5</v>
      </c>
      <c r="AF898" s="310"/>
      <c r="AG898" s="17">
        <v>0</v>
      </c>
      <c r="AH898" s="310">
        <v>0</v>
      </c>
      <c r="AI898" s="310">
        <v>0.2</v>
      </c>
      <c r="AJ898" s="310">
        <v>0.2</v>
      </c>
      <c r="AK898" s="317">
        <v>0</v>
      </c>
      <c r="AL898" s="317"/>
      <c r="AM898" s="17">
        <f t="shared" ref="AM898:AM961" si="75">SUM(AK898:AL898)</f>
        <v>0</v>
      </c>
      <c r="AN898" s="283" t="s">
        <v>265</v>
      </c>
      <c r="AO898" s="18" t="s">
        <v>350</v>
      </c>
      <c r="AP898" s="283" t="s">
        <v>3459</v>
      </c>
    </row>
    <row r="899" spans="1:42" hidden="1" x14ac:dyDescent="0.3">
      <c r="A899" s="314" t="s">
        <v>1448</v>
      </c>
      <c r="B899" s="283" t="s">
        <v>3447</v>
      </c>
      <c r="C899" s="314" t="s">
        <v>3449</v>
      </c>
      <c r="D899" s="283" t="s">
        <v>3450</v>
      </c>
      <c r="E899" s="314" t="s">
        <v>3451</v>
      </c>
      <c r="F899" s="283" t="s">
        <v>3452</v>
      </c>
      <c r="G899" s="314" t="s">
        <v>3453</v>
      </c>
      <c r="H899" s="283" t="s">
        <v>3454</v>
      </c>
      <c r="K899" s="318" t="s">
        <v>3455</v>
      </c>
      <c r="L899" s="283" t="s">
        <v>3456</v>
      </c>
      <c r="M899" s="283" t="s">
        <v>3460</v>
      </c>
      <c r="N899" s="3" t="s">
        <v>271</v>
      </c>
      <c r="O899" s="3">
        <v>0</v>
      </c>
      <c r="P899" s="3">
        <v>4</v>
      </c>
      <c r="Q899" s="3">
        <v>4</v>
      </c>
      <c r="R899" s="3">
        <v>4</v>
      </c>
      <c r="S899" s="3">
        <v>4</v>
      </c>
      <c r="T899" s="283" t="s">
        <v>265</v>
      </c>
      <c r="U899" s="283" t="s">
        <v>350</v>
      </c>
      <c r="V899" s="1" t="s">
        <v>3461</v>
      </c>
      <c r="W899" s="1">
        <v>1</v>
      </c>
      <c r="X899" s="1">
        <v>0</v>
      </c>
      <c r="Y899" s="1">
        <v>0</v>
      </c>
      <c r="Z899" s="1">
        <v>1</v>
      </c>
      <c r="AA899" s="1">
        <v>1</v>
      </c>
      <c r="AB899" s="1">
        <v>0</v>
      </c>
      <c r="AC899" s="316">
        <v>0</v>
      </c>
      <c r="AD899" s="316">
        <v>1</v>
      </c>
      <c r="AE899" s="302">
        <f t="shared" si="74"/>
        <v>0.5</v>
      </c>
      <c r="AF899" s="310"/>
      <c r="AG899" s="17">
        <v>0</v>
      </c>
      <c r="AH899" s="310">
        <v>0</v>
      </c>
      <c r="AI899" s="310">
        <v>0</v>
      </c>
      <c r="AJ899" s="310">
        <v>0</v>
      </c>
      <c r="AK899" s="317">
        <v>0</v>
      </c>
      <c r="AL899" s="317"/>
      <c r="AM899" s="17">
        <f t="shared" si="75"/>
        <v>0</v>
      </c>
      <c r="AN899" s="283" t="s">
        <v>265</v>
      </c>
      <c r="AO899" s="18" t="s">
        <v>350</v>
      </c>
      <c r="AP899" s="283" t="s">
        <v>869</v>
      </c>
    </row>
    <row r="900" spans="1:42" x14ac:dyDescent="0.3">
      <c r="A900" s="314" t="s">
        <v>1448</v>
      </c>
      <c r="B900" s="283" t="s">
        <v>3447</v>
      </c>
      <c r="C900" s="314" t="s">
        <v>3449</v>
      </c>
      <c r="D900" s="283" t="s">
        <v>3450</v>
      </c>
      <c r="E900" s="314" t="s">
        <v>3451</v>
      </c>
      <c r="F900" s="283" t="s">
        <v>3452</v>
      </c>
      <c r="G900" s="314" t="s">
        <v>3453</v>
      </c>
      <c r="H900" s="283" t="s">
        <v>3454</v>
      </c>
      <c r="K900" s="318" t="s">
        <v>3455</v>
      </c>
      <c r="L900" s="283" t="s">
        <v>3456</v>
      </c>
      <c r="M900" s="283" t="s">
        <v>3462</v>
      </c>
      <c r="N900" s="3" t="s">
        <v>271</v>
      </c>
      <c r="O900" s="3">
        <v>0</v>
      </c>
      <c r="P900" s="3">
        <v>200</v>
      </c>
      <c r="Q900" s="3">
        <v>200</v>
      </c>
      <c r="R900" s="3">
        <v>200</v>
      </c>
      <c r="S900" s="3">
        <v>200</v>
      </c>
      <c r="T900" s="283" t="s">
        <v>265</v>
      </c>
      <c r="U900" s="283" t="s">
        <v>350</v>
      </c>
      <c r="V900" s="1" t="s">
        <v>3463</v>
      </c>
      <c r="W900" s="1">
        <v>1</v>
      </c>
      <c r="X900" s="1">
        <v>1</v>
      </c>
      <c r="Y900" s="1">
        <v>0</v>
      </c>
      <c r="Z900" s="1">
        <v>1</v>
      </c>
      <c r="AA900" s="1">
        <v>1</v>
      </c>
      <c r="AB900" s="1">
        <v>0</v>
      </c>
      <c r="AC900" s="316">
        <v>1</v>
      </c>
      <c r="AD900" s="316">
        <v>1</v>
      </c>
      <c r="AE900" s="302">
        <f t="shared" si="74"/>
        <v>0.75</v>
      </c>
      <c r="AF900" s="310"/>
      <c r="AG900" s="17">
        <v>0</v>
      </c>
      <c r="AH900" s="310">
        <v>0</v>
      </c>
      <c r="AI900" s="310">
        <v>0.1</v>
      </c>
      <c r="AJ900" s="310">
        <v>0.1</v>
      </c>
      <c r="AK900" s="317">
        <v>0.1</v>
      </c>
      <c r="AL900" s="317">
        <v>0.1</v>
      </c>
      <c r="AM900" s="17">
        <f t="shared" si="75"/>
        <v>0.2</v>
      </c>
      <c r="AN900" s="283" t="s">
        <v>265</v>
      </c>
      <c r="AO900" s="18" t="s">
        <v>350</v>
      </c>
      <c r="AP900" s="283" t="s">
        <v>3464</v>
      </c>
    </row>
    <row r="901" spans="1:42" s="18" customFormat="1" hidden="1" x14ac:dyDescent="0.3">
      <c r="A901" s="207" t="s">
        <v>1448</v>
      </c>
      <c r="B901" s="18" t="s">
        <v>3447</v>
      </c>
      <c r="C901" s="207" t="s">
        <v>3449</v>
      </c>
      <c r="D901" s="18" t="s">
        <v>3450</v>
      </c>
      <c r="E901" s="207" t="s">
        <v>3451</v>
      </c>
      <c r="F901" s="18" t="s">
        <v>3452</v>
      </c>
      <c r="G901" s="207" t="s">
        <v>3453</v>
      </c>
      <c r="H901" s="18" t="s">
        <v>3454</v>
      </c>
      <c r="K901" s="208" t="s">
        <v>3455</v>
      </c>
      <c r="L901" s="18" t="s">
        <v>3456</v>
      </c>
      <c r="M901" s="18" t="s">
        <v>3465</v>
      </c>
      <c r="N901" s="16">
        <v>0</v>
      </c>
      <c r="O901" s="16">
        <v>0</v>
      </c>
      <c r="P901" s="16">
        <v>100</v>
      </c>
      <c r="Q901" s="16">
        <v>100</v>
      </c>
      <c r="R901" s="16">
        <v>100</v>
      </c>
      <c r="S901" s="16">
        <v>100</v>
      </c>
      <c r="T901" s="283" t="s">
        <v>265</v>
      </c>
      <c r="U901" s="283" t="s">
        <v>350</v>
      </c>
      <c r="V901" s="243" t="s">
        <v>3466</v>
      </c>
      <c r="W901" s="18">
        <v>1</v>
      </c>
      <c r="X901" s="18">
        <v>0</v>
      </c>
      <c r="Y901" s="18">
        <v>0</v>
      </c>
      <c r="Z901" s="18">
        <v>1</v>
      </c>
      <c r="AA901" s="18">
        <v>1</v>
      </c>
      <c r="AB901" s="18">
        <v>0</v>
      </c>
      <c r="AC901" s="316">
        <v>0</v>
      </c>
      <c r="AD901" s="316">
        <v>1</v>
      </c>
      <c r="AE901" s="302">
        <f t="shared" si="74"/>
        <v>0.5</v>
      </c>
      <c r="AF901" s="176"/>
      <c r="AG901" s="17">
        <v>0</v>
      </c>
      <c r="AH901" s="176">
        <v>0</v>
      </c>
      <c r="AI901" s="176">
        <v>0</v>
      </c>
      <c r="AJ901" s="176">
        <v>0</v>
      </c>
      <c r="AK901" s="177">
        <v>0</v>
      </c>
      <c r="AL901" s="177"/>
      <c r="AM901" s="17">
        <f t="shared" si="75"/>
        <v>0</v>
      </c>
      <c r="AN901" s="18" t="s">
        <v>265</v>
      </c>
      <c r="AO901" s="18" t="s">
        <v>350</v>
      </c>
      <c r="AP901" s="18" t="s">
        <v>3467</v>
      </c>
    </row>
    <row r="902" spans="1:42" hidden="1" x14ac:dyDescent="0.3">
      <c r="A902" s="314" t="s">
        <v>1448</v>
      </c>
      <c r="B902" s="283" t="s">
        <v>3447</v>
      </c>
      <c r="C902" s="314" t="s">
        <v>3449</v>
      </c>
      <c r="D902" s="283" t="s">
        <v>3450</v>
      </c>
      <c r="E902" s="314" t="s">
        <v>3451</v>
      </c>
      <c r="F902" s="283" t="s">
        <v>3452</v>
      </c>
      <c r="G902" s="314" t="s">
        <v>3453</v>
      </c>
      <c r="H902" s="283" t="s">
        <v>3454</v>
      </c>
      <c r="K902" s="318" t="s">
        <v>3468</v>
      </c>
      <c r="L902" s="283" t="s">
        <v>3469</v>
      </c>
      <c r="M902" s="283" t="s">
        <v>3470</v>
      </c>
      <c r="N902" s="3">
        <v>0</v>
      </c>
      <c r="O902" s="3">
        <v>4</v>
      </c>
      <c r="P902" s="3" t="s">
        <v>271</v>
      </c>
      <c r="Q902" s="3" t="s">
        <v>271</v>
      </c>
      <c r="R902" s="3" t="s">
        <v>271</v>
      </c>
      <c r="S902" s="3" t="s">
        <v>271</v>
      </c>
      <c r="T902" s="283" t="s">
        <v>869</v>
      </c>
      <c r="U902" s="283" t="s">
        <v>871</v>
      </c>
      <c r="V902" s="338" t="s">
        <v>3471</v>
      </c>
      <c r="W902" s="1">
        <v>1</v>
      </c>
      <c r="X902" s="1">
        <v>0</v>
      </c>
      <c r="Y902" s="1">
        <v>0</v>
      </c>
      <c r="Z902" s="1">
        <v>1</v>
      </c>
      <c r="AA902" s="1">
        <v>1</v>
      </c>
      <c r="AB902" s="1">
        <v>0</v>
      </c>
      <c r="AC902" s="316">
        <v>0</v>
      </c>
      <c r="AD902" s="316">
        <v>1</v>
      </c>
      <c r="AE902" s="302">
        <f t="shared" si="74"/>
        <v>0.5</v>
      </c>
      <c r="AF902" s="310"/>
      <c r="AG902" s="17">
        <v>0</v>
      </c>
      <c r="AH902" s="310">
        <v>0</v>
      </c>
      <c r="AI902" s="310">
        <v>0</v>
      </c>
      <c r="AJ902" s="17">
        <v>0</v>
      </c>
      <c r="AK902" s="153">
        <v>0</v>
      </c>
      <c r="AL902" s="154"/>
      <c r="AM902" s="17">
        <f t="shared" si="75"/>
        <v>0</v>
      </c>
      <c r="AN902" s="283" t="s">
        <v>265</v>
      </c>
      <c r="AO902" s="18" t="s">
        <v>350</v>
      </c>
      <c r="AP902" s="283" t="s">
        <v>3472</v>
      </c>
    </row>
    <row r="903" spans="1:42" hidden="1" x14ac:dyDescent="0.3">
      <c r="A903" s="314" t="s">
        <v>1448</v>
      </c>
      <c r="B903" s="283" t="s">
        <v>3447</v>
      </c>
      <c r="C903" s="314" t="s">
        <v>3449</v>
      </c>
      <c r="D903" s="283" t="s">
        <v>3450</v>
      </c>
      <c r="E903" s="314" t="s">
        <v>3451</v>
      </c>
      <c r="F903" s="283" t="s">
        <v>3452</v>
      </c>
      <c r="G903" s="314" t="s">
        <v>3453</v>
      </c>
      <c r="H903" s="283" t="s">
        <v>3454</v>
      </c>
      <c r="K903" s="318" t="s">
        <v>3468</v>
      </c>
      <c r="L903" s="283" t="s">
        <v>3469</v>
      </c>
      <c r="M903" s="283" t="s">
        <v>3473</v>
      </c>
      <c r="N903" s="3">
        <v>0</v>
      </c>
      <c r="O903" s="3">
        <v>0</v>
      </c>
      <c r="P903" s="3">
        <v>1</v>
      </c>
      <c r="Q903" s="3">
        <v>1</v>
      </c>
      <c r="R903" s="3">
        <v>1</v>
      </c>
      <c r="S903" s="3">
        <v>0</v>
      </c>
      <c r="T903" s="283" t="s">
        <v>869</v>
      </c>
      <c r="U903" s="283" t="s">
        <v>871</v>
      </c>
      <c r="V903" s="1" t="s">
        <v>3471</v>
      </c>
      <c r="W903" s="1">
        <v>1</v>
      </c>
      <c r="X903" s="1">
        <v>0</v>
      </c>
      <c r="Y903" s="1">
        <v>0</v>
      </c>
      <c r="Z903" s="1">
        <v>1</v>
      </c>
      <c r="AA903" s="1">
        <v>1</v>
      </c>
      <c r="AB903" s="1">
        <v>0</v>
      </c>
      <c r="AC903" s="316">
        <v>0</v>
      </c>
      <c r="AD903" s="316">
        <v>1</v>
      </c>
      <c r="AE903" s="302">
        <f t="shared" si="74"/>
        <v>0.5</v>
      </c>
      <c r="AF903" s="310"/>
      <c r="AG903" s="17">
        <v>0</v>
      </c>
      <c r="AH903" s="310">
        <v>0</v>
      </c>
      <c r="AI903" s="310">
        <v>2</v>
      </c>
      <c r="AJ903" s="17">
        <v>0</v>
      </c>
      <c r="AK903" s="153">
        <v>0</v>
      </c>
      <c r="AL903" s="154"/>
      <c r="AM903" s="17">
        <f t="shared" si="75"/>
        <v>0</v>
      </c>
      <c r="AN903" s="283" t="s">
        <v>869</v>
      </c>
      <c r="AO903" s="18" t="s">
        <v>871</v>
      </c>
      <c r="AP903" s="283" t="s">
        <v>3474</v>
      </c>
    </row>
    <row r="904" spans="1:42" hidden="1" x14ac:dyDescent="0.3">
      <c r="A904" s="314" t="s">
        <v>1448</v>
      </c>
      <c r="B904" s="283" t="s">
        <v>3447</v>
      </c>
      <c r="C904" s="314" t="s">
        <v>3449</v>
      </c>
      <c r="D904" s="283" t="s">
        <v>3450</v>
      </c>
      <c r="E904" s="314" t="s">
        <v>3451</v>
      </c>
      <c r="F904" s="283" t="s">
        <v>3452</v>
      </c>
      <c r="G904" s="314" t="s">
        <v>3453</v>
      </c>
      <c r="H904" s="283" t="s">
        <v>3454</v>
      </c>
      <c r="K904" s="318" t="s">
        <v>3468</v>
      </c>
      <c r="L904" s="283" t="s">
        <v>3469</v>
      </c>
      <c r="M904" s="283" t="s">
        <v>3475</v>
      </c>
      <c r="N904" s="3">
        <v>0</v>
      </c>
      <c r="P904" s="3">
        <v>1</v>
      </c>
      <c r="Q904" s="3">
        <v>0</v>
      </c>
      <c r="R904" s="3">
        <v>0</v>
      </c>
      <c r="S904" s="3">
        <v>0</v>
      </c>
      <c r="T904" s="283" t="s">
        <v>877</v>
      </c>
      <c r="U904" s="283" t="s">
        <v>880</v>
      </c>
      <c r="V904" s="1" t="s">
        <v>3471</v>
      </c>
      <c r="W904" s="1">
        <v>1</v>
      </c>
      <c r="X904" s="1">
        <v>0</v>
      </c>
      <c r="Y904" s="1">
        <v>0</v>
      </c>
      <c r="Z904" s="1">
        <v>1</v>
      </c>
      <c r="AA904" s="1">
        <v>1</v>
      </c>
      <c r="AB904" s="1">
        <v>0</v>
      </c>
      <c r="AC904" s="316">
        <v>0</v>
      </c>
      <c r="AD904" s="316">
        <v>1</v>
      </c>
      <c r="AE904" s="302">
        <f t="shared" si="74"/>
        <v>0.5</v>
      </c>
      <c r="AF904" s="310"/>
      <c r="AG904" s="17">
        <v>0</v>
      </c>
      <c r="AH904" s="310">
        <v>0</v>
      </c>
      <c r="AI904" s="310">
        <v>0</v>
      </c>
      <c r="AJ904" s="17">
        <v>0</v>
      </c>
      <c r="AK904" s="153">
        <v>0</v>
      </c>
      <c r="AL904" s="154"/>
      <c r="AM904" s="17">
        <f t="shared" si="75"/>
        <v>0</v>
      </c>
      <c r="AN904" s="283" t="s">
        <v>879</v>
      </c>
      <c r="AO904" s="18" t="s">
        <v>880</v>
      </c>
      <c r="AP904" s="283" t="s">
        <v>3476</v>
      </c>
    </row>
    <row r="905" spans="1:42" s="309" customFormat="1" x14ac:dyDescent="0.3">
      <c r="A905" s="339" t="s">
        <v>1448</v>
      </c>
      <c r="B905" s="309" t="s">
        <v>3447</v>
      </c>
      <c r="C905" s="339" t="s">
        <v>3449</v>
      </c>
      <c r="D905" s="309" t="s">
        <v>3450</v>
      </c>
      <c r="E905" s="339" t="s">
        <v>3451</v>
      </c>
      <c r="F905" s="309" t="s">
        <v>3452</v>
      </c>
      <c r="G905" s="339" t="s">
        <v>3453</v>
      </c>
      <c r="H905" s="309" t="s">
        <v>3454</v>
      </c>
      <c r="K905" s="340" t="s">
        <v>3468</v>
      </c>
      <c r="L905" s="309" t="s">
        <v>3469</v>
      </c>
      <c r="M905" s="309" t="s">
        <v>3477</v>
      </c>
      <c r="N905" s="209">
        <v>0</v>
      </c>
      <c r="O905" s="209">
        <v>0</v>
      </c>
      <c r="P905" s="209">
        <v>2</v>
      </c>
      <c r="Q905" s="209">
        <v>1</v>
      </c>
      <c r="R905" s="209">
        <v>1</v>
      </c>
      <c r="S905" s="209">
        <v>0</v>
      </c>
      <c r="T905" s="309" t="s">
        <v>265</v>
      </c>
      <c r="U905" s="309" t="s">
        <v>350</v>
      </c>
      <c r="V905" s="338" t="s">
        <v>3478</v>
      </c>
      <c r="W905" s="338">
        <v>1</v>
      </c>
      <c r="X905" s="338">
        <v>1</v>
      </c>
      <c r="Y905" s="338">
        <v>0</v>
      </c>
      <c r="Z905" s="338">
        <v>1</v>
      </c>
      <c r="AA905" s="338">
        <v>1</v>
      </c>
      <c r="AB905" s="338">
        <v>1</v>
      </c>
      <c r="AC905" s="341">
        <v>1</v>
      </c>
      <c r="AD905" s="341">
        <v>1</v>
      </c>
      <c r="AE905" s="308">
        <f t="shared" si="74"/>
        <v>0.875</v>
      </c>
      <c r="AF905" s="342"/>
      <c r="AG905" s="89">
        <v>0</v>
      </c>
      <c r="AH905" s="343">
        <v>0</v>
      </c>
      <c r="AI905" s="343">
        <v>15</v>
      </c>
      <c r="AJ905" s="342">
        <v>15</v>
      </c>
      <c r="AK905" s="317">
        <v>0</v>
      </c>
      <c r="AL905" s="317">
        <v>0</v>
      </c>
      <c r="AM905" s="89">
        <f t="shared" si="75"/>
        <v>0</v>
      </c>
      <c r="AN905" s="309" t="s">
        <v>869</v>
      </c>
      <c r="AO905" s="90" t="s">
        <v>871</v>
      </c>
      <c r="AP905" s="309" t="s">
        <v>3479</v>
      </c>
    </row>
    <row r="906" spans="1:42" x14ac:dyDescent="0.3">
      <c r="A906" s="314" t="s">
        <v>1448</v>
      </c>
      <c r="B906" s="283" t="s">
        <v>3447</v>
      </c>
      <c r="C906" s="314" t="s">
        <v>3449</v>
      </c>
      <c r="D906" s="283" t="s">
        <v>3450</v>
      </c>
      <c r="E906" s="314" t="s">
        <v>3451</v>
      </c>
      <c r="F906" s="283" t="s">
        <v>3452</v>
      </c>
      <c r="G906" s="314" t="s">
        <v>3453</v>
      </c>
      <c r="H906" s="283" t="s">
        <v>3454</v>
      </c>
      <c r="K906" s="318" t="s">
        <v>3468</v>
      </c>
      <c r="L906" s="283" t="s">
        <v>3469</v>
      </c>
      <c r="M906" s="283" t="s">
        <v>3480</v>
      </c>
      <c r="N906" s="3">
        <v>0</v>
      </c>
      <c r="O906" s="3">
        <v>0</v>
      </c>
      <c r="P906" s="3">
        <v>1</v>
      </c>
      <c r="Q906" s="3">
        <v>1</v>
      </c>
      <c r="R906" s="3">
        <v>1</v>
      </c>
      <c r="S906" s="3">
        <v>0</v>
      </c>
      <c r="T906" s="283" t="s">
        <v>869</v>
      </c>
      <c r="U906" s="283" t="s">
        <v>871</v>
      </c>
      <c r="V906" s="1" t="s">
        <v>3478</v>
      </c>
      <c r="W906" s="338">
        <v>1</v>
      </c>
      <c r="X906" s="338">
        <v>1</v>
      </c>
      <c r="Y906" s="338">
        <v>0</v>
      </c>
      <c r="Z906" s="338">
        <v>1</v>
      </c>
      <c r="AA906" s="338">
        <v>1</v>
      </c>
      <c r="AB906" s="338">
        <v>1</v>
      </c>
      <c r="AC906" s="341">
        <v>1</v>
      </c>
      <c r="AD906" s="341">
        <v>1</v>
      </c>
      <c r="AE906" s="302">
        <f t="shared" si="74"/>
        <v>0.875</v>
      </c>
      <c r="AF906" s="17"/>
      <c r="AG906" s="17">
        <v>0</v>
      </c>
      <c r="AH906" s="17">
        <v>0</v>
      </c>
      <c r="AI906" s="310">
        <v>0</v>
      </c>
      <c r="AJ906" s="17">
        <v>0</v>
      </c>
      <c r="AK906" s="153">
        <v>0</v>
      </c>
      <c r="AL906" s="154">
        <v>0</v>
      </c>
      <c r="AM906" s="17">
        <f t="shared" si="75"/>
        <v>0</v>
      </c>
      <c r="AN906" s="283" t="s">
        <v>879</v>
      </c>
      <c r="AO906" s="18" t="s">
        <v>880</v>
      </c>
      <c r="AP906" s="283" t="s">
        <v>3479</v>
      </c>
    </row>
    <row r="907" spans="1:42" hidden="1" x14ac:dyDescent="0.3">
      <c r="A907" s="314" t="s">
        <v>1448</v>
      </c>
      <c r="B907" s="283" t="s">
        <v>3447</v>
      </c>
      <c r="C907" s="314" t="s">
        <v>3449</v>
      </c>
      <c r="D907" s="283" t="s">
        <v>3450</v>
      </c>
      <c r="E907" s="314" t="s">
        <v>3451</v>
      </c>
      <c r="F907" s="283" t="s">
        <v>3452</v>
      </c>
      <c r="G907" s="314" t="s">
        <v>3453</v>
      </c>
      <c r="H907" s="283" t="s">
        <v>3454</v>
      </c>
      <c r="K907" s="318" t="s">
        <v>3468</v>
      </c>
      <c r="L907" s="283" t="s">
        <v>3469</v>
      </c>
      <c r="M907" s="283" t="s">
        <v>3481</v>
      </c>
      <c r="N907" s="3">
        <v>0</v>
      </c>
      <c r="P907" s="3">
        <v>1</v>
      </c>
      <c r="R907" s="3">
        <v>0</v>
      </c>
      <c r="S907" s="3">
        <v>0</v>
      </c>
      <c r="T907" s="283" t="s">
        <v>877</v>
      </c>
      <c r="U907" s="283" t="s">
        <v>880</v>
      </c>
      <c r="V907" s="1" t="s">
        <v>3482</v>
      </c>
      <c r="W907" s="1">
        <v>1</v>
      </c>
      <c r="X907" s="1">
        <v>0</v>
      </c>
      <c r="Y907" s="1">
        <v>0</v>
      </c>
      <c r="Z907" s="1">
        <v>1</v>
      </c>
      <c r="AA907" s="1">
        <v>1</v>
      </c>
      <c r="AB907" s="1">
        <v>0</v>
      </c>
      <c r="AC907" s="316">
        <v>1</v>
      </c>
      <c r="AD907" s="316">
        <v>1</v>
      </c>
      <c r="AE907" s="302">
        <f t="shared" si="74"/>
        <v>0.625</v>
      </c>
      <c r="AF907" s="310"/>
      <c r="AG907" s="17">
        <v>0</v>
      </c>
      <c r="AH907" s="310">
        <v>0</v>
      </c>
      <c r="AI907" s="310">
        <v>0</v>
      </c>
      <c r="AJ907" s="310">
        <v>0</v>
      </c>
      <c r="AK907" s="317">
        <v>0</v>
      </c>
      <c r="AL907" s="317">
        <v>0</v>
      </c>
      <c r="AM907" s="17">
        <f t="shared" si="75"/>
        <v>0</v>
      </c>
      <c r="AN907" s="283" t="s">
        <v>265</v>
      </c>
      <c r="AO907" s="18" t="s">
        <v>350</v>
      </c>
      <c r="AP907" s="283" t="s">
        <v>3483</v>
      </c>
    </row>
    <row r="908" spans="1:42" hidden="1" x14ac:dyDescent="0.3">
      <c r="A908" s="314" t="s">
        <v>1448</v>
      </c>
      <c r="B908" s="283" t="s">
        <v>3447</v>
      </c>
      <c r="C908" s="314" t="s">
        <v>3449</v>
      </c>
      <c r="D908" s="283" t="s">
        <v>3450</v>
      </c>
      <c r="E908" s="314" t="s">
        <v>3451</v>
      </c>
      <c r="F908" s="283" t="s">
        <v>3452</v>
      </c>
      <c r="G908" s="314" t="s">
        <v>3453</v>
      </c>
      <c r="H908" s="283" t="s">
        <v>3454</v>
      </c>
      <c r="K908" s="318" t="s">
        <v>3468</v>
      </c>
      <c r="L908" s="283" t="s">
        <v>3469</v>
      </c>
      <c r="M908" s="283" t="s">
        <v>3484</v>
      </c>
      <c r="N908" s="3">
        <v>0</v>
      </c>
      <c r="O908" s="3">
        <v>0</v>
      </c>
      <c r="P908" s="3">
        <v>0</v>
      </c>
      <c r="Q908" s="3">
        <v>1</v>
      </c>
      <c r="R908" s="3">
        <v>2</v>
      </c>
      <c r="S908" s="3">
        <v>1</v>
      </c>
      <c r="T908" s="283" t="s">
        <v>265</v>
      </c>
      <c r="U908" s="283" t="s">
        <v>350</v>
      </c>
      <c r="V908" s="1" t="s">
        <v>3482</v>
      </c>
      <c r="W908" s="1">
        <v>1</v>
      </c>
      <c r="X908" s="1">
        <v>0</v>
      </c>
      <c r="Y908" s="1">
        <v>0</v>
      </c>
      <c r="Z908" s="1">
        <v>1</v>
      </c>
      <c r="AA908" s="1">
        <v>1</v>
      </c>
      <c r="AB908" s="1">
        <v>0</v>
      </c>
      <c r="AC908" s="316">
        <v>1</v>
      </c>
      <c r="AD908" s="316">
        <v>1</v>
      </c>
      <c r="AE908" s="302">
        <f t="shared" si="74"/>
        <v>0.625</v>
      </c>
      <c r="AF908" s="310"/>
      <c r="AG908" s="17">
        <v>0</v>
      </c>
      <c r="AH908" s="310">
        <v>0</v>
      </c>
      <c r="AI908" s="310">
        <v>0</v>
      </c>
      <c r="AJ908" s="310">
        <v>0</v>
      </c>
      <c r="AK908" s="317">
        <v>0</v>
      </c>
      <c r="AL908" s="317">
        <v>0</v>
      </c>
      <c r="AM908" s="17">
        <f t="shared" si="75"/>
        <v>0</v>
      </c>
      <c r="AN908" s="283" t="s">
        <v>869</v>
      </c>
      <c r="AO908" s="18" t="s">
        <v>871</v>
      </c>
      <c r="AP908" s="283" t="s">
        <v>3485</v>
      </c>
    </row>
    <row r="909" spans="1:42" hidden="1" x14ac:dyDescent="0.3">
      <c r="A909" s="314" t="s">
        <v>1448</v>
      </c>
      <c r="B909" s="283" t="s">
        <v>3447</v>
      </c>
      <c r="C909" s="314" t="s">
        <v>3449</v>
      </c>
      <c r="D909" s="283" t="s">
        <v>3450</v>
      </c>
      <c r="E909" s="314" t="s">
        <v>3451</v>
      </c>
      <c r="F909" s="283" t="s">
        <v>3452</v>
      </c>
      <c r="G909" s="314" t="s">
        <v>3453</v>
      </c>
      <c r="H909" s="283" t="s">
        <v>3454</v>
      </c>
      <c r="K909" s="318" t="s">
        <v>3468</v>
      </c>
      <c r="L909" s="283" t="s">
        <v>3469</v>
      </c>
      <c r="M909" s="283" t="s">
        <v>3486</v>
      </c>
      <c r="N909" s="3">
        <v>0</v>
      </c>
      <c r="O909" s="3">
        <v>0</v>
      </c>
      <c r="P909" s="3">
        <v>0</v>
      </c>
      <c r="Q909" s="3">
        <v>2</v>
      </c>
      <c r="R909" s="3">
        <v>2</v>
      </c>
      <c r="S909" s="3">
        <v>2</v>
      </c>
      <c r="T909" s="283" t="s">
        <v>869</v>
      </c>
      <c r="U909" s="283" t="s">
        <v>871</v>
      </c>
      <c r="V909" s="1" t="s">
        <v>3482</v>
      </c>
      <c r="W909" s="1">
        <v>1</v>
      </c>
      <c r="X909" s="1">
        <v>0</v>
      </c>
      <c r="Y909" s="1">
        <v>0</v>
      </c>
      <c r="Z909" s="1">
        <v>1</v>
      </c>
      <c r="AA909" s="1">
        <v>1</v>
      </c>
      <c r="AB909" s="1">
        <v>0</v>
      </c>
      <c r="AC909" s="316">
        <v>1</v>
      </c>
      <c r="AD909" s="316">
        <v>1</v>
      </c>
      <c r="AE909" s="302">
        <f t="shared" si="74"/>
        <v>0.625</v>
      </c>
      <c r="AF909" s="310"/>
      <c r="AG909" s="17">
        <v>0</v>
      </c>
      <c r="AH909" s="310">
        <v>0</v>
      </c>
      <c r="AI909" s="310">
        <v>0</v>
      </c>
      <c r="AJ909" s="310">
        <v>0</v>
      </c>
      <c r="AK909" s="317">
        <v>0</v>
      </c>
      <c r="AL909" s="317">
        <v>0</v>
      </c>
      <c r="AM909" s="17">
        <f t="shared" si="75"/>
        <v>0</v>
      </c>
      <c r="AN909" s="283" t="s">
        <v>879</v>
      </c>
      <c r="AO909" s="18" t="s">
        <v>880</v>
      </c>
      <c r="AP909" s="283" t="s">
        <v>3487</v>
      </c>
    </row>
    <row r="910" spans="1:42" x14ac:dyDescent="0.3">
      <c r="A910" s="314" t="s">
        <v>1448</v>
      </c>
      <c r="B910" s="283" t="s">
        <v>3447</v>
      </c>
      <c r="C910" s="314" t="s">
        <v>3449</v>
      </c>
      <c r="D910" s="283" t="s">
        <v>3450</v>
      </c>
      <c r="E910" s="314" t="s">
        <v>3451</v>
      </c>
      <c r="F910" s="283" t="s">
        <v>3452</v>
      </c>
      <c r="G910" s="314" t="s">
        <v>3453</v>
      </c>
      <c r="H910" s="283" t="s">
        <v>3454</v>
      </c>
      <c r="K910" s="318" t="s">
        <v>3468</v>
      </c>
      <c r="L910" s="283" t="s">
        <v>3469</v>
      </c>
      <c r="M910" s="283" t="s">
        <v>3488</v>
      </c>
      <c r="N910" s="3">
        <v>0</v>
      </c>
      <c r="O910" s="3">
        <v>0</v>
      </c>
      <c r="P910" s="3">
        <v>0</v>
      </c>
      <c r="Q910" s="3">
        <v>1</v>
      </c>
      <c r="R910" s="3">
        <v>0</v>
      </c>
      <c r="S910" s="3">
        <v>0</v>
      </c>
      <c r="T910" s="283" t="s">
        <v>877</v>
      </c>
      <c r="U910" s="283" t="s">
        <v>880</v>
      </c>
      <c r="V910" s="1" t="s">
        <v>3489</v>
      </c>
      <c r="W910" s="1">
        <v>1</v>
      </c>
      <c r="X910" s="1">
        <v>1</v>
      </c>
      <c r="Y910" s="1">
        <v>0</v>
      </c>
      <c r="Z910" s="1">
        <v>1</v>
      </c>
      <c r="AA910" s="1">
        <v>1</v>
      </c>
      <c r="AB910" s="1">
        <v>0</v>
      </c>
      <c r="AC910" s="316">
        <v>1</v>
      </c>
      <c r="AD910" s="316">
        <v>1</v>
      </c>
      <c r="AE910" s="302">
        <f t="shared" si="74"/>
        <v>0.75</v>
      </c>
      <c r="AF910" s="310"/>
      <c r="AG910" s="17">
        <v>0</v>
      </c>
      <c r="AH910" s="310">
        <v>0</v>
      </c>
      <c r="AI910" s="310">
        <v>0</v>
      </c>
      <c r="AJ910" s="310">
        <v>0.5</v>
      </c>
      <c r="AK910" s="317">
        <v>1</v>
      </c>
      <c r="AL910" s="317">
        <v>0.5</v>
      </c>
      <c r="AM910" s="17">
        <f t="shared" si="75"/>
        <v>1.5</v>
      </c>
      <c r="AN910" s="283" t="s">
        <v>265</v>
      </c>
      <c r="AO910" s="18" t="s">
        <v>350</v>
      </c>
      <c r="AP910" s="283" t="s">
        <v>3490</v>
      </c>
    </row>
    <row r="911" spans="1:42" x14ac:dyDescent="0.3">
      <c r="A911" s="314" t="s">
        <v>1448</v>
      </c>
      <c r="B911" s="283" t="s">
        <v>3447</v>
      </c>
      <c r="C911" s="314" t="s">
        <v>3449</v>
      </c>
      <c r="D911" s="283" t="s">
        <v>3450</v>
      </c>
      <c r="E911" s="314" t="s">
        <v>3451</v>
      </c>
      <c r="F911" s="283" t="s">
        <v>3452</v>
      </c>
      <c r="G911" s="314" t="s">
        <v>3453</v>
      </c>
      <c r="H911" s="283" t="s">
        <v>3454</v>
      </c>
      <c r="K911" s="318" t="s">
        <v>3468</v>
      </c>
      <c r="L911" s="283" t="s">
        <v>3469</v>
      </c>
      <c r="M911" s="283" t="s">
        <v>3491</v>
      </c>
      <c r="N911" s="3">
        <v>0</v>
      </c>
      <c r="P911" s="3">
        <v>1</v>
      </c>
      <c r="Q911" s="3">
        <v>1</v>
      </c>
      <c r="R911" s="3">
        <v>1</v>
      </c>
      <c r="S911" s="3">
        <v>1</v>
      </c>
      <c r="T911" s="283" t="s">
        <v>321</v>
      </c>
      <c r="U911" s="283" t="s">
        <v>1066</v>
      </c>
      <c r="V911" s="1" t="s">
        <v>3489</v>
      </c>
      <c r="W911" s="1">
        <v>1</v>
      </c>
      <c r="X911" s="1">
        <v>1</v>
      </c>
      <c r="Y911" s="1">
        <v>0</v>
      </c>
      <c r="Z911" s="1">
        <v>1</v>
      </c>
      <c r="AA911" s="1">
        <v>1</v>
      </c>
      <c r="AB911" s="1">
        <v>0</v>
      </c>
      <c r="AC911" s="316">
        <v>1</v>
      </c>
      <c r="AD911" s="316">
        <v>1</v>
      </c>
      <c r="AE911" s="302">
        <f t="shared" si="74"/>
        <v>0.75</v>
      </c>
      <c r="AF911" s="310"/>
      <c r="AG911" s="17">
        <v>0</v>
      </c>
      <c r="AH911" s="310">
        <v>165.65928108619545</v>
      </c>
      <c r="AI911" s="310">
        <v>91.495086686465129</v>
      </c>
      <c r="AJ911" s="310">
        <v>165.3774331567069</v>
      </c>
      <c r="AK911" s="317">
        <v>169.36557591588564</v>
      </c>
      <c r="AL911" s="317">
        <f>345.03649203719-2.86</f>
        <v>342.17649203718997</v>
      </c>
      <c r="AM911" s="17">
        <f t="shared" si="75"/>
        <v>511.54206795307562</v>
      </c>
      <c r="AN911" s="283" t="s">
        <v>869</v>
      </c>
      <c r="AO911" s="18" t="s">
        <v>871</v>
      </c>
      <c r="AP911" s="283" t="s">
        <v>3492</v>
      </c>
    </row>
    <row r="912" spans="1:42" x14ac:dyDescent="0.3">
      <c r="A912" s="314" t="s">
        <v>1448</v>
      </c>
      <c r="B912" s="283" t="s">
        <v>3447</v>
      </c>
      <c r="C912" s="314" t="s">
        <v>3449</v>
      </c>
      <c r="D912" s="283" t="s">
        <v>3450</v>
      </c>
      <c r="E912" s="314" t="s">
        <v>3451</v>
      </c>
      <c r="F912" s="283" t="s">
        <v>3452</v>
      </c>
      <c r="G912" s="314" t="s">
        <v>3453</v>
      </c>
      <c r="H912" s="283" t="s">
        <v>3454</v>
      </c>
      <c r="K912" s="318" t="s">
        <v>3468</v>
      </c>
      <c r="L912" s="283" t="s">
        <v>3469</v>
      </c>
      <c r="N912" s="3"/>
      <c r="U912" s="283" t="e">
        <v>#N/A</v>
      </c>
      <c r="V912" s="1" t="s">
        <v>3489</v>
      </c>
      <c r="W912" s="1">
        <v>1</v>
      </c>
      <c r="X912" s="1">
        <v>1</v>
      </c>
      <c r="Y912" s="1">
        <v>0</v>
      </c>
      <c r="Z912" s="1">
        <v>1</v>
      </c>
      <c r="AA912" s="1">
        <v>1</v>
      </c>
      <c r="AB912" s="1">
        <v>0</v>
      </c>
      <c r="AC912" s="316">
        <v>1</v>
      </c>
      <c r="AD912" s="316">
        <v>1</v>
      </c>
      <c r="AE912" s="302">
        <f t="shared" si="74"/>
        <v>0.75</v>
      </c>
      <c r="AF912" s="310"/>
      <c r="AG912" s="17">
        <v>0</v>
      </c>
      <c r="AH912" s="310">
        <v>0</v>
      </c>
      <c r="AI912" s="310">
        <v>0</v>
      </c>
      <c r="AJ912" s="310">
        <v>0</v>
      </c>
      <c r="AK912" s="317">
        <v>1</v>
      </c>
      <c r="AL912" s="317">
        <v>0</v>
      </c>
      <c r="AM912" s="17">
        <f t="shared" si="75"/>
        <v>1</v>
      </c>
      <c r="AN912" s="283" t="s">
        <v>879</v>
      </c>
      <c r="AO912" s="18" t="s">
        <v>880</v>
      </c>
      <c r="AP912" s="283" t="s">
        <v>3493</v>
      </c>
    </row>
    <row r="913" spans="1:42" x14ac:dyDescent="0.3">
      <c r="A913" s="314" t="s">
        <v>1448</v>
      </c>
      <c r="B913" s="283" t="s">
        <v>3447</v>
      </c>
      <c r="C913" s="314" t="s">
        <v>3449</v>
      </c>
      <c r="D913" s="283" t="s">
        <v>3450</v>
      </c>
      <c r="E913" s="314" t="s">
        <v>3451</v>
      </c>
      <c r="F913" s="283" t="s">
        <v>3452</v>
      </c>
      <c r="G913" s="314" t="s">
        <v>3453</v>
      </c>
      <c r="H913" s="283" t="s">
        <v>3454</v>
      </c>
      <c r="K913" s="318" t="s">
        <v>3468</v>
      </c>
      <c r="L913" s="283" t="s">
        <v>3469</v>
      </c>
      <c r="N913" s="3"/>
      <c r="U913" s="283" t="e">
        <v>#N/A</v>
      </c>
      <c r="V913" s="1" t="s">
        <v>3494</v>
      </c>
      <c r="W913" s="1">
        <v>1</v>
      </c>
      <c r="X913" s="1">
        <v>1</v>
      </c>
      <c r="Y913" s="1">
        <v>1</v>
      </c>
      <c r="Z913" s="1">
        <v>1</v>
      </c>
      <c r="AA913" s="1">
        <v>1</v>
      </c>
      <c r="AB913" s="1">
        <v>0</v>
      </c>
      <c r="AC913" s="316">
        <v>1</v>
      </c>
      <c r="AD913" s="316">
        <v>1</v>
      </c>
      <c r="AE913" s="302">
        <f t="shared" si="74"/>
        <v>0.875</v>
      </c>
      <c r="AF913" s="17"/>
      <c r="AG913" s="17">
        <v>0</v>
      </c>
      <c r="AH913" s="17">
        <v>0</v>
      </c>
      <c r="AI913" s="310">
        <v>10</v>
      </c>
      <c r="AJ913" s="310">
        <v>10</v>
      </c>
      <c r="AK913" s="317">
        <v>10</v>
      </c>
      <c r="AL913" s="317">
        <v>10</v>
      </c>
      <c r="AM913" s="17">
        <f t="shared" si="75"/>
        <v>20</v>
      </c>
      <c r="AN913" s="283" t="s">
        <v>321</v>
      </c>
      <c r="AO913" s="18" t="s">
        <v>1066</v>
      </c>
      <c r="AP913" s="283" t="s">
        <v>3495</v>
      </c>
    </row>
    <row r="914" spans="1:42" hidden="1" x14ac:dyDescent="0.3">
      <c r="A914" s="314" t="s">
        <v>1448</v>
      </c>
      <c r="B914" s="283" t="s">
        <v>3447</v>
      </c>
      <c r="C914" s="314" t="s">
        <v>3449</v>
      </c>
      <c r="D914" s="283" t="s">
        <v>3450</v>
      </c>
      <c r="E914" s="314" t="s">
        <v>3451</v>
      </c>
      <c r="F914" s="283" t="s">
        <v>3452</v>
      </c>
      <c r="G914" s="314" t="s">
        <v>3453</v>
      </c>
      <c r="H914" s="283" t="s">
        <v>3454</v>
      </c>
      <c r="K914" s="318" t="s">
        <v>3468</v>
      </c>
      <c r="L914" s="283" t="s">
        <v>3469</v>
      </c>
      <c r="N914" s="3"/>
      <c r="U914" s="283" t="e">
        <v>#N/A</v>
      </c>
      <c r="V914" s="1"/>
      <c r="W914" s="1"/>
      <c r="X914" s="1"/>
      <c r="Y914" s="1"/>
      <c r="Z914" s="1"/>
      <c r="AA914" s="1"/>
      <c r="AB914" s="1"/>
      <c r="AC914" s="316">
        <v>0</v>
      </c>
      <c r="AD914" s="316">
        <v>0</v>
      </c>
      <c r="AE914" s="302">
        <f t="shared" si="74"/>
        <v>0</v>
      </c>
      <c r="AF914" s="17"/>
      <c r="AG914" s="17">
        <v>0</v>
      </c>
      <c r="AH914" s="17"/>
      <c r="AM914" s="17">
        <f t="shared" si="75"/>
        <v>0</v>
      </c>
      <c r="AO914" s="18"/>
    </row>
    <row r="915" spans="1:42" hidden="1" x14ac:dyDescent="0.3">
      <c r="A915" s="314" t="s">
        <v>1448</v>
      </c>
      <c r="B915" s="283" t="s">
        <v>3447</v>
      </c>
      <c r="C915" s="314" t="s">
        <v>3449</v>
      </c>
      <c r="D915" s="283" t="s">
        <v>3450</v>
      </c>
      <c r="E915" s="314" t="s">
        <v>3451</v>
      </c>
      <c r="F915" s="283" t="s">
        <v>3452</v>
      </c>
      <c r="G915" s="314" t="s">
        <v>3453</v>
      </c>
      <c r="H915" s="283" t="s">
        <v>3454</v>
      </c>
      <c r="K915" s="318" t="s">
        <v>3468</v>
      </c>
      <c r="L915" s="283" t="s">
        <v>3469</v>
      </c>
      <c r="N915" s="3"/>
      <c r="U915" s="283" t="e">
        <v>#N/A</v>
      </c>
      <c r="V915" s="1"/>
      <c r="W915" s="1"/>
      <c r="X915" s="1"/>
      <c r="Y915" s="1"/>
      <c r="Z915" s="1"/>
      <c r="AA915" s="1"/>
      <c r="AB915" s="1"/>
      <c r="AC915" s="316">
        <v>0</v>
      </c>
      <c r="AD915" s="316">
        <v>0</v>
      </c>
      <c r="AE915" s="302">
        <f t="shared" si="74"/>
        <v>0</v>
      </c>
      <c r="AF915" s="17"/>
      <c r="AG915" s="17">
        <v>0</v>
      </c>
      <c r="AH915" s="17"/>
      <c r="AM915" s="17">
        <f t="shared" si="75"/>
        <v>0</v>
      </c>
      <c r="AO915" s="18"/>
    </row>
    <row r="916" spans="1:42" x14ac:dyDescent="0.3">
      <c r="A916" s="314" t="s">
        <v>1448</v>
      </c>
      <c r="B916" s="283" t="s">
        <v>3447</v>
      </c>
      <c r="C916" s="314" t="s">
        <v>3449</v>
      </c>
      <c r="D916" s="283" t="s">
        <v>3450</v>
      </c>
      <c r="E916" s="314" t="s">
        <v>3451</v>
      </c>
      <c r="F916" s="283" t="s">
        <v>3452</v>
      </c>
      <c r="G916" s="314" t="s">
        <v>3453</v>
      </c>
      <c r="H916" s="283" t="s">
        <v>3454</v>
      </c>
      <c r="K916" s="318" t="s">
        <v>3496</v>
      </c>
      <c r="L916" s="283" t="s">
        <v>3497</v>
      </c>
      <c r="M916" s="283" t="s">
        <v>3498</v>
      </c>
      <c r="N916" s="3"/>
      <c r="O916" s="3">
        <v>20</v>
      </c>
      <c r="P916" s="3">
        <v>21</v>
      </c>
      <c r="Q916" s="3">
        <v>25</v>
      </c>
      <c r="R916" s="3">
        <v>30</v>
      </c>
      <c r="S916" s="3">
        <v>30</v>
      </c>
      <c r="T916" s="283" t="s">
        <v>265</v>
      </c>
      <c r="U916" s="283" t="s">
        <v>350</v>
      </c>
      <c r="V916" s="1" t="s">
        <v>3499</v>
      </c>
      <c r="W916" s="1">
        <v>1</v>
      </c>
      <c r="X916" s="1">
        <v>0</v>
      </c>
      <c r="Y916" s="1">
        <v>1</v>
      </c>
      <c r="Z916" s="1">
        <v>1</v>
      </c>
      <c r="AA916" s="1">
        <v>1</v>
      </c>
      <c r="AB916" s="1">
        <v>1</v>
      </c>
      <c r="AC916" s="316">
        <v>1</v>
      </c>
      <c r="AD916" s="316">
        <v>1</v>
      </c>
      <c r="AE916" s="302">
        <f t="shared" si="74"/>
        <v>0.875</v>
      </c>
      <c r="AF916" s="310"/>
      <c r="AG916" s="17">
        <v>0</v>
      </c>
      <c r="AH916" s="310">
        <v>5</v>
      </c>
      <c r="AI916" s="310">
        <v>5</v>
      </c>
      <c r="AJ916" s="310">
        <v>10</v>
      </c>
      <c r="AK916" s="317">
        <v>10</v>
      </c>
      <c r="AL916" s="317">
        <v>5</v>
      </c>
      <c r="AM916" s="17">
        <f t="shared" si="75"/>
        <v>15</v>
      </c>
      <c r="AN916" s="283" t="s">
        <v>1449</v>
      </c>
      <c r="AO916" s="18" t="s">
        <v>3500</v>
      </c>
      <c r="AP916" s="283" t="s">
        <v>3501</v>
      </c>
    </row>
    <row r="917" spans="1:42" hidden="1" x14ac:dyDescent="0.3">
      <c r="A917" s="314" t="s">
        <v>1448</v>
      </c>
      <c r="B917" s="283" t="s">
        <v>3447</v>
      </c>
      <c r="C917" s="314" t="s">
        <v>3449</v>
      </c>
      <c r="D917" s="283" t="s">
        <v>3450</v>
      </c>
      <c r="E917" s="314" t="s">
        <v>3451</v>
      </c>
      <c r="F917" s="283" t="s">
        <v>3452</v>
      </c>
      <c r="G917" s="314" t="s">
        <v>3453</v>
      </c>
      <c r="H917" s="283" t="s">
        <v>3454</v>
      </c>
      <c r="K917" s="318" t="s">
        <v>3496</v>
      </c>
      <c r="L917" s="283" t="s">
        <v>3497</v>
      </c>
      <c r="N917" s="3"/>
      <c r="U917" s="283" t="e">
        <v>#N/A</v>
      </c>
      <c r="V917" s="344" t="s">
        <v>3502</v>
      </c>
      <c r="W917" s="1">
        <v>1</v>
      </c>
      <c r="X917" s="1">
        <v>1</v>
      </c>
      <c r="Y917" s="1">
        <v>0</v>
      </c>
      <c r="Z917" s="1">
        <v>1</v>
      </c>
      <c r="AA917" s="1">
        <v>1</v>
      </c>
      <c r="AB917" s="1">
        <v>0</v>
      </c>
      <c r="AC917" s="316">
        <v>0</v>
      </c>
      <c r="AD917" s="316">
        <v>1</v>
      </c>
      <c r="AE917" s="302">
        <f t="shared" si="74"/>
        <v>0.625</v>
      </c>
      <c r="AF917" s="310"/>
      <c r="AG917" s="17">
        <v>0</v>
      </c>
      <c r="AH917" s="310">
        <v>0</v>
      </c>
      <c r="AI917" s="310">
        <v>0</v>
      </c>
      <c r="AJ917" s="310">
        <v>0</v>
      </c>
      <c r="AK917" s="317">
        <v>0</v>
      </c>
      <c r="AL917" s="317">
        <v>0</v>
      </c>
      <c r="AM917" s="17">
        <f t="shared" si="75"/>
        <v>0</v>
      </c>
      <c r="AN917" s="283" t="s">
        <v>265</v>
      </c>
      <c r="AO917" s="18" t="s">
        <v>350</v>
      </c>
      <c r="AP917" s="283" t="s">
        <v>3503</v>
      </c>
    </row>
    <row r="918" spans="1:42" hidden="1" x14ac:dyDescent="0.3">
      <c r="A918" s="314" t="s">
        <v>1448</v>
      </c>
      <c r="B918" s="283" t="s">
        <v>3447</v>
      </c>
      <c r="C918" s="314" t="s">
        <v>3449</v>
      </c>
      <c r="D918" s="283" t="s">
        <v>3450</v>
      </c>
      <c r="E918" s="314" t="s">
        <v>3451</v>
      </c>
      <c r="F918" s="283" t="s">
        <v>3452</v>
      </c>
      <c r="G918" s="314" t="s">
        <v>3453</v>
      </c>
      <c r="H918" s="283" t="s">
        <v>3454</v>
      </c>
      <c r="K918" s="318" t="s">
        <v>3504</v>
      </c>
      <c r="L918" s="283" t="s">
        <v>3505</v>
      </c>
      <c r="M918" s="283" t="s">
        <v>3506</v>
      </c>
      <c r="N918" s="3">
        <v>0</v>
      </c>
      <c r="O918" s="3">
        <v>0</v>
      </c>
      <c r="P918" s="3">
        <v>1</v>
      </c>
      <c r="Q918" s="3">
        <v>0</v>
      </c>
      <c r="R918" s="3">
        <v>0</v>
      </c>
      <c r="S918" s="3">
        <v>0</v>
      </c>
      <c r="T918" s="283" t="s">
        <v>831</v>
      </c>
      <c r="U918" s="283" t="s">
        <v>834</v>
      </c>
      <c r="V918" s="1" t="s">
        <v>3507</v>
      </c>
      <c r="W918" s="1">
        <v>1</v>
      </c>
      <c r="X918" s="1">
        <v>0</v>
      </c>
      <c r="Y918" s="1">
        <v>0</v>
      </c>
      <c r="Z918" s="1">
        <v>1</v>
      </c>
      <c r="AA918" s="1">
        <v>1</v>
      </c>
      <c r="AB918" s="1">
        <v>0</v>
      </c>
      <c r="AC918" s="316">
        <v>1</v>
      </c>
      <c r="AD918" s="316">
        <v>1</v>
      </c>
      <c r="AE918" s="302">
        <f t="shared" si="74"/>
        <v>0.625</v>
      </c>
      <c r="AF918" s="310"/>
      <c r="AG918" s="17">
        <v>0</v>
      </c>
      <c r="AH918" s="310">
        <v>1</v>
      </c>
      <c r="AI918" s="310">
        <v>1</v>
      </c>
      <c r="AJ918" s="17">
        <v>0</v>
      </c>
      <c r="AK918" s="153">
        <v>0</v>
      </c>
      <c r="AL918" s="154">
        <v>0</v>
      </c>
      <c r="AM918" s="17">
        <f t="shared" si="75"/>
        <v>0</v>
      </c>
      <c r="AN918" s="283" t="s">
        <v>831</v>
      </c>
      <c r="AO918" s="18" t="s">
        <v>834</v>
      </c>
      <c r="AP918" s="283" t="s">
        <v>3508</v>
      </c>
    </row>
    <row r="919" spans="1:42" x14ac:dyDescent="0.3">
      <c r="A919" s="314" t="s">
        <v>1448</v>
      </c>
      <c r="B919" s="283" t="s">
        <v>3447</v>
      </c>
      <c r="C919" s="314" t="s">
        <v>3449</v>
      </c>
      <c r="D919" s="283" t="s">
        <v>3450</v>
      </c>
      <c r="E919" s="314" t="s">
        <v>3451</v>
      </c>
      <c r="F919" s="283" t="s">
        <v>3452</v>
      </c>
      <c r="G919" s="314" t="s">
        <v>3509</v>
      </c>
      <c r="H919" s="283" t="s">
        <v>3510</v>
      </c>
      <c r="I919" s="314" t="s">
        <v>3511</v>
      </c>
      <c r="J919" s="283" t="s">
        <v>3512</v>
      </c>
      <c r="K919" s="314" t="s">
        <v>3513</v>
      </c>
      <c r="L919" s="283" t="s">
        <v>3514</v>
      </c>
      <c r="M919" s="283" t="s">
        <v>3515</v>
      </c>
      <c r="N919" s="3" t="s">
        <v>271</v>
      </c>
      <c r="O919" s="3">
        <v>0</v>
      </c>
      <c r="P919" s="3" t="s">
        <v>3516</v>
      </c>
      <c r="Q919" s="3" t="s">
        <v>3516</v>
      </c>
      <c r="R919" s="3">
        <v>3</v>
      </c>
      <c r="S919" s="3">
        <v>3</v>
      </c>
      <c r="T919" s="283" t="s">
        <v>265</v>
      </c>
      <c r="U919" s="283" t="s">
        <v>350</v>
      </c>
      <c r="V919" s="1" t="s">
        <v>3517</v>
      </c>
      <c r="W919" s="1">
        <v>1</v>
      </c>
      <c r="X919" s="1">
        <v>1</v>
      </c>
      <c r="Y919" s="1">
        <v>1</v>
      </c>
      <c r="Z919" s="1">
        <v>1</v>
      </c>
      <c r="AA919" s="1">
        <v>1</v>
      </c>
      <c r="AB919" s="1">
        <v>1</v>
      </c>
      <c r="AC919" s="316">
        <v>1</v>
      </c>
      <c r="AD919" s="316">
        <v>1</v>
      </c>
      <c r="AE919" s="302">
        <f t="shared" si="74"/>
        <v>1</v>
      </c>
      <c r="AF919" s="17"/>
      <c r="AG919" s="17">
        <v>0</v>
      </c>
      <c r="AH919" s="17">
        <v>0</v>
      </c>
      <c r="AI919" s="310">
        <v>0</v>
      </c>
      <c r="AJ919" s="310">
        <v>0</v>
      </c>
      <c r="AK919" s="317">
        <v>0</v>
      </c>
      <c r="AL919" s="317">
        <v>0</v>
      </c>
      <c r="AM919" s="17">
        <f t="shared" si="75"/>
        <v>0</v>
      </c>
      <c r="AN919" s="283" t="s">
        <v>265</v>
      </c>
      <c r="AO919" s="18" t="s">
        <v>350</v>
      </c>
      <c r="AP919" s="283" t="s">
        <v>921</v>
      </c>
    </row>
    <row r="920" spans="1:42" hidden="1" x14ac:dyDescent="0.3">
      <c r="A920" s="314" t="s">
        <v>1448</v>
      </c>
      <c r="B920" s="283" t="s">
        <v>3447</v>
      </c>
      <c r="C920" s="314" t="s">
        <v>3449</v>
      </c>
      <c r="D920" s="283" t="s">
        <v>3450</v>
      </c>
      <c r="E920" s="314" t="s">
        <v>3451</v>
      </c>
      <c r="F920" s="283" t="s">
        <v>3452</v>
      </c>
      <c r="G920" s="314" t="s">
        <v>3509</v>
      </c>
      <c r="H920" s="283" t="s">
        <v>3510</v>
      </c>
      <c r="I920" s="314" t="s">
        <v>3511</v>
      </c>
      <c r="J920" s="283" t="s">
        <v>3512</v>
      </c>
      <c r="K920" s="314" t="s">
        <v>3513</v>
      </c>
      <c r="L920" s="283" t="s">
        <v>3514</v>
      </c>
      <c r="M920" s="283" t="s">
        <v>3515</v>
      </c>
      <c r="N920" s="3"/>
      <c r="P920" s="3">
        <v>1</v>
      </c>
      <c r="Q920" s="3">
        <v>1</v>
      </c>
      <c r="R920" s="3">
        <v>1</v>
      </c>
      <c r="S920" s="3">
        <v>1</v>
      </c>
      <c r="T920" s="283" t="s">
        <v>921</v>
      </c>
      <c r="U920" s="283" t="s">
        <v>880</v>
      </c>
      <c r="V920" s="1" t="s">
        <v>3517</v>
      </c>
      <c r="W920" s="1"/>
      <c r="X920" s="1"/>
      <c r="Y920" s="1"/>
      <c r="Z920" s="1"/>
      <c r="AA920" s="1"/>
      <c r="AB920" s="1"/>
      <c r="AC920" s="316">
        <v>0</v>
      </c>
      <c r="AD920" s="316">
        <v>0</v>
      </c>
      <c r="AE920" s="302">
        <f t="shared" si="74"/>
        <v>0</v>
      </c>
      <c r="AF920" s="17"/>
      <c r="AG920" s="17">
        <v>0</v>
      </c>
      <c r="AH920" s="17">
        <v>0</v>
      </c>
      <c r="AI920" s="310">
        <v>0</v>
      </c>
      <c r="AJ920" s="310">
        <v>0</v>
      </c>
      <c r="AK920" s="317">
        <v>0</v>
      </c>
      <c r="AL920" s="317"/>
      <c r="AM920" s="17">
        <f t="shared" si="75"/>
        <v>0</v>
      </c>
      <c r="AN920" s="1" t="s">
        <v>921</v>
      </c>
      <c r="AO920" s="18" t="s">
        <v>880</v>
      </c>
      <c r="AP920" s="283" t="s">
        <v>265</v>
      </c>
    </row>
    <row r="921" spans="1:42" x14ac:dyDescent="0.3">
      <c r="A921" s="314" t="s">
        <v>1448</v>
      </c>
      <c r="B921" s="283" t="s">
        <v>3447</v>
      </c>
      <c r="C921" s="314" t="s">
        <v>3449</v>
      </c>
      <c r="D921" s="283" t="s">
        <v>3450</v>
      </c>
      <c r="E921" s="314" t="s">
        <v>3451</v>
      </c>
      <c r="F921" s="283" t="s">
        <v>3452</v>
      </c>
      <c r="G921" s="314" t="s">
        <v>3509</v>
      </c>
      <c r="H921" s="283" t="s">
        <v>3510</v>
      </c>
      <c r="I921" s="314" t="s">
        <v>3511</v>
      </c>
      <c r="J921" s="283" t="s">
        <v>3512</v>
      </c>
      <c r="K921" s="314" t="s">
        <v>3513</v>
      </c>
      <c r="L921" s="283" t="s">
        <v>3514</v>
      </c>
      <c r="M921" s="283" t="s">
        <v>3518</v>
      </c>
      <c r="N921" s="3" t="s">
        <v>271</v>
      </c>
      <c r="O921" s="3">
        <v>0</v>
      </c>
      <c r="P921" s="3">
        <v>5</v>
      </c>
      <c r="Q921" s="3">
        <v>5</v>
      </c>
      <c r="R921" s="3">
        <v>5</v>
      </c>
      <c r="S921" s="3">
        <v>5</v>
      </c>
      <c r="T921" s="283" t="s">
        <v>798</v>
      </c>
      <c r="U921" s="283" t="s">
        <v>350</v>
      </c>
      <c r="V921" s="1" t="s">
        <v>3519</v>
      </c>
      <c r="W921" s="1">
        <v>1</v>
      </c>
      <c r="X921" s="1">
        <v>1</v>
      </c>
      <c r="Y921" s="1">
        <v>1</v>
      </c>
      <c r="Z921" s="1">
        <v>1</v>
      </c>
      <c r="AA921" s="1">
        <v>1</v>
      </c>
      <c r="AB921" s="1">
        <v>1</v>
      </c>
      <c r="AC921" s="316">
        <v>1</v>
      </c>
      <c r="AD921" s="316">
        <v>1</v>
      </c>
      <c r="AE921" s="302">
        <f t="shared" si="74"/>
        <v>1</v>
      </c>
      <c r="AF921" s="310"/>
      <c r="AG921" s="17">
        <v>0</v>
      </c>
      <c r="AH921" s="310">
        <v>133.33333333333334</v>
      </c>
      <c r="AI921" s="310">
        <v>83.333333333333329</v>
      </c>
      <c r="AJ921" s="310">
        <v>83.333333333333329</v>
      </c>
      <c r="AK921" s="317">
        <v>83.333333333333329</v>
      </c>
      <c r="AL921" s="317">
        <v>16.666666666666686</v>
      </c>
      <c r="AM921" s="17">
        <f t="shared" si="75"/>
        <v>100.00000000000001</v>
      </c>
      <c r="AN921" s="283" t="s">
        <v>619</v>
      </c>
      <c r="AO921" s="18" t="s">
        <v>350</v>
      </c>
      <c r="AP921" s="345" t="s">
        <v>3520</v>
      </c>
    </row>
    <row r="922" spans="1:42" x14ac:dyDescent="0.3">
      <c r="A922" s="314" t="s">
        <v>1448</v>
      </c>
      <c r="B922" s="283" t="s">
        <v>3447</v>
      </c>
      <c r="C922" s="314" t="s">
        <v>3449</v>
      </c>
      <c r="D922" s="283" t="s">
        <v>3450</v>
      </c>
      <c r="E922" s="314" t="s">
        <v>3451</v>
      </c>
      <c r="F922" s="283" t="s">
        <v>3452</v>
      </c>
      <c r="G922" s="314" t="s">
        <v>3509</v>
      </c>
      <c r="H922" s="283" t="s">
        <v>3510</v>
      </c>
      <c r="I922" s="314" t="s">
        <v>3511</v>
      </c>
      <c r="J922" s="283" t="s">
        <v>3512</v>
      </c>
      <c r="K922" s="314" t="s">
        <v>3513</v>
      </c>
      <c r="L922" s="283" t="s">
        <v>3514</v>
      </c>
      <c r="M922" s="283" t="s">
        <v>3521</v>
      </c>
      <c r="N922" s="3">
        <v>0</v>
      </c>
      <c r="O922" s="3">
        <v>0</v>
      </c>
      <c r="P922" s="3">
        <v>50</v>
      </c>
      <c r="Q922" s="3">
        <v>50</v>
      </c>
      <c r="R922" s="3" t="s">
        <v>3522</v>
      </c>
      <c r="S922" s="3">
        <v>50</v>
      </c>
      <c r="T922" s="283" t="s">
        <v>265</v>
      </c>
      <c r="U922" s="283" t="s">
        <v>350</v>
      </c>
      <c r="V922" s="1" t="s">
        <v>3523</v>
      </c>
      <c r="W922" s="1">
        <v>1</v>
      </c>
      <c r="X922" s="1">
        <v>1</v>
      </c>
      <c r="Y922" s="1">
        <v>1</v>
      </c>
      <c r="Z922" s="1">
        <v>1</v>
      </c>
      <c r="AA922" s="1">
        <v>1</v>
      </c>
      <c r="AB922" s="1">
        <v>1</v>
      </c>
      <c r="AC922" s="316">
        <v>1</v>
      </c>
      <c r="AD922" s="316">
        <v>1</v>
      </c>
      <c r="AE922" s="302">
        <f t="shared" si="74"/>
        <v>1</v>
      </c>
      <c r="AF922" s="17"/>
      <c r="AG922" s="17">
        <v>0</v>
      </c>
      <c r="AH922" s="17">
        <v>0</v>
      </c>
      <c r="AI922" s="310">
        <v>0</v>
      </c>
      <c r="AJ922" s="310">
        <v>0</v>
      </c>
      <c r="AK922" s="317">
        <v>0.5</v>
      </c>
      <c r="AL922" s="317">
        <v>0</v>
      </c>
      <c r="AM922" s="17">
        <f t="shared" si="75"/>
        <v>0.5</v>
      </c>
      <c r="AN922" s="283" t="s">
        <v>265</v>
      </c>
      <c r="AO922" s="18" t="s">
        <v>350</v>
      </c>
      <c r="AP922" s="283" t="s">
        <v>3524</v>
      </c>
    </row>
    <row r="923" spans="1:42" x14ac:dyDescent="0.3">
      <c r="A923" s="314" t="s">
        <v>1448</v>
      </c>
      <c r="B923" s="283" t="s">
        <v>3447</v>
      </c>
      <c r="C923" s="314" t="s">
        <v>3449</v>
      </c>
      <c r="D923" s="283" t="s">
        <v>3450</v>
      </c>
      <c r="E923" s="314" t="s">
        <v>3451</v>
      </c>
      <c r="F923" s="283" t="s">
        <v>3452</v>
      </c>
      <c r="G923" s="314" t="s">
        <v>3509</v>
      </c>
      <c r="H923" s="283" t="s">
        <v>3510</v>
      </c>
      <c r="I923" s="314" t="s">
        <v>3511</v>
      </c>
      <c r="J923" s="283" t="s">
        <v>3512</v>
      </c>
      <c r="K923" s="314" t="s">
        <v>3513</v>
      </c>
      <c r="L923" s="283" t="s">
        <v>3514</v>
      </c>
      <c r="M923" s="283" t="s">
        <v>3525</v>
      </c>
      <c r="N923" s="3">
        <v>30</v>
      </c>
      <c r="O923" s="3">
        <v>40</v>
      </c>
      <c r="P923" s="3">
        <v>50</v>
      </c>
      <c r="Q923" s="3">
        <v>50</v>
      </c>
      <c r="R923" s="3">
        <v>50</v>
      </c>
      <c r="T923" s="283" t="s">
        <v>265</v>
      </c>
      <c r="U923" s="283" t="s">
        <v>350</v>
      </c>
      <c r="V923" s="1" t="s">
        <v>3526</v>
      </c>
      <c r="W923" s="1">
        <v>1</v>
      </c>
      <c r="X923" s="1">
        <v>1</v>
      </c>
      <c r="Y923" s="1">
        <v>0</v>
      </c>
      <c r="Z923" s="1">
        <v>1</v>
      </c>
      <c r="AA923" s="1">
        <v>1</v>
      </c>
      <c r="AB923" s="1">
        <v>0</v>
      </c>
      <c r="AC923" s="316">
        <v>1</v>
      </c>
      <c r="AD923" s="316">
        <v>1</v>
      </c>
      <c r="AE923" s="302">
        <f t="shared" si="74"/>
        <v>0.75</v>
      </c>
      <c r="AF923" s="310"/>
      <c r="AG923" s="17">
        <v>0</v>
      </c>
      <c r="AH923" s="310">
        <v>0.5</v>
      </c>
      <c r="AI923" s="310">
        <v>0.7</v>
      </c>
      <c r="AJ923" s="310">
        <v>0.6</v>
      </c>
      <c r="AK923" s="317">
        <v>0.6</v>
      </c>
      <c r="AL923" s="317">
        <v>0.6</v>
      </c>
      <c r="AM923" s="17">
        <f t="shared" si="75"/>
        <v>1.2</v>
      </c>
      <c r="AN923" s="283" t="s">
        <v>265</v>
      </c>
      <c r="AO923" s="18" t="s">
        <v>350</v>
      </c>
      <c r="AP923" s="283" t="s">
        <v>92</v>
      </c>
    </row>
    <row r="924" spans="1:42" hidden="1" x14ac:dyDescent="0.3">
      <c r="A924" s="314" t="s">
        <v>1448</v>
      </c>
      <c r="B924" s="283" t="s">
        <v>3447</v>
      </c>
      <c r="C924" s="314" t="s">
        <v>3449</v>
      </c>
      <c r="D924" s="283" t="s">
        <v>3450</v>
      </c>
      <c r="E924" s="314" t="s">
        <v>3451</v>
      </c>
      <c r="F924" s="283" t="s">
        <v>3452</v>
      </c>
      <c r="G924" s="314" t="s">
        <v>3509</v>
      </c>
      <c r="H924" s="283" t="s">
        <v>3510</v>
      </c>
      <c r="I924" s="314" t="s">
        <v>3527</v>
      </c>
      <c r="J924" s="283" t="s">
        <v>3528</v>
      </c>
      <c r="K924" s="314" t="s">
        <v>3529</v>
      </c>
      <c r="L924" s="283" t="s">
        <v>3530</v>
      </c>
      <c r="M924" s="283" t="s">
        <v>3531</v>
      </c>
      <c r="N924" s="3">
        <v>0</v>
      </c>
      <c r="O924" s="3" t="s">
        <v>3532</v>
      </c>
      <c r="P924" s="3">
        <v>2</v>
      </c>
      <c r="Q924" s="3">
        <v>2</v>
      </c>
      <c r="R924" s="3">
        <v>2</v>
      </c>
      <c r="S924" s="3">
        <v>2</v>
      </c>
      <c r="T924" s="283" t="s">
        <v>869</v>
      </c>
      <c r="U924" s="283" t="s">
        <v>871</v>
      </c>
      <c r="V924" s="1" t="s">
        <v>3533</v>
      </c>
      <c r="W924" s="1">
        <v>1</v>
      </c>
      <c r="X924" s="1">
        <v>0</v>
      </c>
      <c r="Y924" s="1">
        <v>0</v>
      </c>
      <c r="Z924" s="1">
        <v>1</v>
      </c>
      <c r="AA924" s="1">
        <v>1</v>
      </c>
      <c r="AB924" s="1">
        <v>0</v>
      </c>
      <c r="AC924" s="316">
        <v>1</v>
      </c>
      <c r="AD924" s="316">
        <v>1</v>
      </c>
      <c r="AE924" s="302">
        <f t="shared" si="74"/>
        <v>0.625</v>
      </c>
      <c r="AF924" s="310"/>
      <c r="AG924" s="17">
        <v>0</v>
      </c>
      <c r="AH924" s="310">
        <v>0.5</v>
      </c>
      <c r="AI924" s="310">
        <v>0.5</v>
      </c>
      <c r="AJ924" s="310">
        <v>0.5</v>
      </c>
      <c r="AK924" s="317">
        <v>0.2</v>
      </c>
      <c r="AL924" s="317"/>
      <c r="AM924" s="17">
        <f t="shared" si="75"/>
        <v>0.2</v>
      </c>
      <c r="AN924" s="283" t="s">
        <v>869</v>
      </c>
      <c r="AO924" s="18" t="s">
        <v>871</v>
      </c>
      <c r="AP924" s="283" t="s">
        <v>3534</v>
      </c>
    </row>
    <row r="925" spans="1:42" hidden="1" x14ac:dyDescent="0.3">
      <c r="A925" s="314" t="s">
        <v>1448</v>
      </c>
      <c r="B925" s="283" t="s">
        <v>3447</v>
      </c>
      <c r="C925" s="314" t="s">
        <v>3449</v>
      </c>
      <c r="D925" s="283" t="s">
        <v>3450</v>
      </c>
      <c r="E925" s="314" t="s">
        <v>3451</v>
      </c>
      <c r="F925" s="283" t="s">
        <v>3452</v>
      </c>
      <c r="G925" s="314" t="s">
        <v>3509</v>
      </c>
      <c r="H925" s="283" t="s">
        <v>3510</v>
      </c>
      <c r="I925" s="314" t="s">
        <v>3527</v>
      </c>
      <c r="J925" s="283" t="s">
        <v>3528</v>
      </c>
      <c r="K925" s="314" t="s">
        <v>3529</v>
      </c>
      <c r="L925" s="283" t="s">
        <v>3530</v>
      </c>
      <c r="M925" s="283" t="s">
        <v>3531</v>
      </c>
      <c r="N925" s="3">
        <v>0</v>
      </c>
      <c r="O925" s="3">
        <v>1</v>
      </c>
      <c r="P925" s="3">
        <v>2</v>
      </c>
      <c r="Q925" s="3">
        <v>2</v>
      </c>
      <c r="R925" s="3">
        <v>2</v>
      </c>
      <c r="S925" s="3">
        <v>2</v>
      </c>
      <c r="T925" s="283" t="s">
        <v>265</v>
      </c>
      <c r="U925" s="283" t="s">
        <v>350</v>
      </c>
      <c r="V925" s="1" t="s">
        <v>3533</v>
      </c>
      <c r="W925" s="1"/>
      <c r="X925" s="1"/>
      <c r="Y925" s="1"/>
      <c r="Z925" s="1"/>
      <c r="AA925" s="1"/>
      <c r="AB925" s="1"/>
      <c r="AC925" s="316">
        <v>0</v>
      </c>
      <c r="AD925" s="316">
        <v>0</v>
      </c>
      <c r="AE925" s="302">
        <f t="shared" si="74"/>
        <v>0</v>
      </c>
      <c r="AF925" s="310"/>
      <c r="AG925" s="17">
        <v>0</v>
      </c>
      <c r="AH925" s="310">
        <v>0</v>
      </c>
      <c r="AI925" s="310">
        <v>0</v>
      </c>
      <c r="AJ925" s="310">
        <v>0</v>
      </c>
      <c r="AK925" s="317">
        <v>0</v>
      </c>
      <c r="AL925" s="317"/>
      <c r="AM925" s="17">
        <f t="shared" si="75"/>
        <v>0</v>
      </c>
      <c r="AN925" s="283" t="s">
        <v>265</v>
      </c>
      <c r="AO925" s="18" t="s">
        <v>350</v>
      </c>
      <c r="AP925" s="283" t="s">
        <v>3535</v>
      </c>
    </row>
    <row r="926" spans="1:42" x14ac:dyDescent="0.3">
      <c r="A926" s="314" t="s">
        <v>1448</v>
      </c>
      <c r="B926" s="283" t="s">
        <v>3447</v>
      </c>
      <c r="C926" s="314" t="s">
        <v>3449</v>
      </c>
      <c r="D926" s="283" t="s">
        <v>3450</v>
      </c>
      <c r="E926" s="314" t="s">
        <v>3451</v>
      </c>
      <c r="F926" s="283" t="s">
        <v>3452</v>
      </c>
      <c r="G926" s="314" t="s">
        <v>3509</v>
      </c>
      <c r="H926" s="283" t="s">
        <v>3510</v>
      </c>
      <c r="I926" s="314" t="s">
        <v>3527</v>
      </c>
      <c r="J926" s="283" t="s">
        <v>3528</v>
      </c>
      <c r="K926" s="314" t="s">
        <v>3529</v>
      </c>
      <c r="L926" s="283" t="s">
        <v>3530</v>
      </c>
      <c r="M926" s="283" t="s">
        <v>3536</v>
      </c>
      <c r="N926" s="3">
        <v>0</v>
      </c>
      <c r="O926" s="3">
        <v>5</v>
      </c>
      <c r="P926" s="3">
        <v>5</v>
      </c>
      <c r="Q926" s="3">
        <v>5</v>
      </c>
      <c r="R926" s="3">
        <v>5</v>
      </c>
      <c r="S926" s="3">
        <v>5</v>
      </c>
      <c r="T926" s="283" t="s">
        <v>265</v>
      </c>
      <c r="U926" s="283" t="s">
        <v>350</v>
      </c>
      <c r="V926" s="1" t="s">
        <v>3537</v>
      </c>
      <c r="W926" s="1">
        <v>1</v>
      </c>
      <c r="X926" s="1">
        <v>1</v>
      </c>
      <c r="Y926" s="1">
        <v>1</v>
      </c>
      <c r="Z926" s="1">
        <v>1</v>
      </c>
      <c r="AA926" s="1">
        <v>1</v>
      </c>
      <c r="AB926" s="1">
        <v>1</v>
      </c>
      <c r="AC926" s="316">
        <v>1</v>
      </c>
      <c r="AD926" s="316">
        <v>1</v>
      </c>
      <c r="AE926" s="302">
        <f t="shared" si="74"/>
        <v>1</v>
      </c>
      <c r="AF926" s="310"/>
      <c r="AG926" s="17">
        <v>0</v>
      </c>
      <c r="AH926" s="310">
        <v>0.2</v>
      </c>
      <c r="AI926" s="310">
        <v>0.2</v>
      </c>
      <c r="AJ926" s="310">
        <v>0.2</v>
      </c>
      <c r="AK926" s="317">
        <v>0.2</v>
      </c>
      <c r="AL926" s="317">
        <v>0.2</v>
      </c>
      <c r="AM926" s="17">
        <f t="shared" si="75"/>
        <v>0.4</v>
      </c>
      <c r="AN926" s="283" t="s">
        <v>265</v>
      </c>
      <c r="AO926" s="18" t="s">
        <v>350</v>
      </c>
      <c r="AP926" s="283" t="s">
        <v>3538</v>
      </c>
    </row>
    <row r="927" spans="1:42" hidden="1" x14ac:dyDescent="0.3">
      <c r="A927" s="314" t="s">
        <v>1448</v>
      </c>
      <c r="B927" s="283" t="s">
        <v>3447</v>
      </c>
      <c r="C927" s="314" t="s">
        <v>3449</v>
      </c>
      <c r="D927" s="283" t="s">
        <v>3450</v>
      </c>
      <c r="E927" s="314" t="s">
        <v>3451</v>
      </c>
      <c r="F927" s="283" t="s">
        <v>3452</v>
      </c>
      <c r="G927" s="314" t="s">
        <v>3509</v>
      </c>
      <c r="H927" s="283" t="s">
        <v>3510</v>
      </c>
      <c r="I927" s="314" t="s">
        <v>3527</v>
      </c>
      <c r="J927" s="283" t="s">
        <v>3528</v>
      </c>
      <c r="K927" s="314" t="s">
        <v>3529</v>
      </c>
      <c r="L927" s="283" t="s">
        <v>3530</v>
      </c>
      <c r="M927" s="283" t="s">
        <v>3536</v>
      </c>
      <c r="N927" s="3">
        <v>0</v>
      </c>
      <c r="O927" s="3">
        <v>5</v>
      </c>
      <c r="P927" s="3">
        <v>5</v>
      </c>
      <c r="Q927" s="3">
        <v>5</v>
      </c>
      <c r="R927" s="3">
        <v>5</v>
      </c>
      <c r="S927" s="3">
        <v>5</v>
      </c>
      <c r="T927" s="283" t="s">
        <v>1233</v>
      </c>
      <c r="U927" s="283" t="s">
        <v>1650</v>
      </c>
      <c r="V927" s="1" t="s">
        <v>3537</v>
      </c>
      <c r="W927" s="1"/>
      <c r="X927" s="1"/>
      <c r="Y927" s="1"/>
      <c r="Z927" s="1"/>
      <c r="AA927" s="1"/>
      <c r="AB927" s="1"/>
      <c r="AC927" s="316">
        <v>0</v>
      </c>
      <c r="AD927" s="316">
        <v>0</v>
      </c>
      <c r="AE927" s="302">
        <f t="shared" si="74"/>
        <v>0</v>
      </c>
      <c r="AF927" s="310"/>
      <c r="AG927" s="17">
        <v>0</v>
      </c>
      <c r="AH927" s="310">
        <v>0.2</v>
      </c>
      <c r="AI927" s="310">
        <v>0.2</v>
      </c>
      <c r="AJ927" s="310">
        <v>0.2</v>
      </c>
      <c r="AK927" s="317">
        <v>0</v>
      </c>
      <c r="AL927" s="317"/>
      <c r="AM927" s="17">
        <f t="shared" si="75"/>
        <v>0</v>
      </c>
      <c r="AN927" s="283" t="s">
        <v>1233</v>
      </c>
      <c r="AO927" s="18" t="s">
        <v>1650</v>
      </c>
      <c r="AP927" s="283" t="s">
        <v>3539</v>
      </c>
    </row>
    <row r="928" spans="1:42" hidden="1" x14ac:dyDescent="0.3">
      <c r="A928" s="314" t="s">
        <v>1448</v>
      </c>
      <c r="B928" s="283" t="s">
        <v>3447</v>
      </c>
      <c r="C928" s="314" t="s">
        <v>3449</v>
      </c>
      <c r="D928" s="283" t="s">
        <v>3450</v>
      </c>
      <c r="E928" s="314" t="s">
        <v>3451</v>
      </c>
      <c r="F928" s="283" t="s">
        <v>3452</v>
      </c>
      <c r="G928" s="314" t="s">
        <v>3509</v>
      </c>
      <c r="H928" s="283" t="s">
        <v>3510</v>
      </c>
      <c r="I928" s="314" t="s">
        <v>3527</v>
      </c>
      <c r="J928" s="283" t="s">
        <v>3528</v>
      </c>
      <c r="K928" s="314" t="s">
        <v>3529</v>
      </c>
      <c r="L928" s="283" t="s">
        <v>3530</v>
      </c>
      <c r="M928" s="283" t="s">
        <v>3540</v>
      </c>
      <c r="N928" s="3">
        <v>0</v>
      </c>
      <c r="O928" s="3">
        <v>1</v>
      </c>
      <c r="P928" s="3">
        <v>10</v>
      </c>
      <c r="Q928" s="3">
        <v>10</v>
      </c>
      <c r="R928" s="3">
        <v>10</v>
      </c>
      <c r="S928" s="3">
        <v>10</v>
      </c>
      <c r="T928" s="283" t="s">
        <v>1233</v>
      </c>
      <c r="U928" s="283" t="s">
        <v>1650</v>
      </c>
      <c r="V928" s="1" t="s">
        <v>3541</v>
      </c>
      <c r="W928" s="1">
        <v>1</v>
      </c>
      <c r="X928" s="1">
        <v>1</v>
      </c>
      <c r="Y928" s="1">
        <v>0</v>
      </c>
      <c r="Z928" s="1">
        <v>1</v>
      </c>
      <c r="AA928" s="1">
        <v>1</v>
      </c>
      <c r="AB928" s="1">
        <v>0</v>
      </c>
      <c r="AC928" s="346">
        <v>0</v>
      </c>
      <c r="AD928" s="316">
        <v>0</v>
      </c>
      <c r="AE928" s="302">
        <f t="shared" si="74"/>
        <v>0.5</v>
      </c>
      <c r="AF928" s="17"/>
      <c r="AG928" s="17">
        <v>0</v>
      </c>
      <c r="AH928" s="17">
        <v>0</v>
      </c>
      <c r="AI928" s="310">
        <v>0</v>
      </c>
      <c r="AJ928" s="310">
        <v>0</v>
      </c>
      <c r="AK928" s="317">
        <v>0</v>
      </c>
      <c r="AL928" s="317"/>
      <c r="AM928" s="17">
        <f t="shared" si="75"/>
        <v>0</v>
      </c>
      <c r="AN928" s="283" t="s">
        <v>1233</v>
      </c>
      <c r="AO928" s="18" t="s">
        <v>1650</v>
      </c>
      <c r="AP928" s="283" t="s">
        <v>265</v>
      </c>
    </row>
    <row r="929" spans="1:42" x14ac:dyDescent="0.3">
      <c r="A929" s="314" t="s">
        <v>1448</v>
      </c>
      <c r="B929" s="283" t="s">
        <v>3447</v>
      </c>
      <c r="C929" s="314" t="s">
        <v>3449</v>
      </c>
      <c r="D929" s="283" t="s">
        <v>3450</v>
      </c>
      <c r="E929" s="314" t="s">
        <v>3451</v>
      </c>
      <c r="F929" s="283" t="s">
        <v>3452</v>
      </c>
      <c r="G929" s="314" t="s">
        <v>3509</v>
      </c>
      <c r="H929" s="283" t="s">
        <v>3510</v>
      </c>
      <c r="I929" s="314" t="s">
        <v>3527</v>
      </c>
      <c r="J929" s="283" t="s">
        <v>3528</v>
      </c>
      <c r="K929" s="314" t="s">
        <v>3529</v>
      </c>
      <c r="L929" s="283" t="s">
        <v>3530</v>
      </c>
      <c r="M929" s="283" t="s">
        <v>3542</v>
      </c>
      <c r="N929" s="3">
        <v>0</v>
      </c>
      <c r="O929" s="3">
        <v>0</v>
      </c>
      <c r="P929" s="3">
        <v>10</v>
      </c>
      <c r="Q929" s="3">
        <v>10</v>
      </c>
      <c r="R929" s="3">
        <v>10</v>
      </c>
      <c r="S929" s="3">
        <v>10</v>
      </c>
      <c r="T929" s="283" t="s">
        <v>1233</v>
      </c>
      <c r="U929" s="283" t="s">
        <v>1650</v>
      </c>
      <c r="V929" s="1" t="s">
        <v>3543</v>
      </c>
      <c r="W929" s="1">
        <v>1</v>
      </c>
      <c r="X929" s="1">
        <v>1</v>
      </c>
      <c r="Y929" s="1">
        <v>0</v>
      </c>
      <c r="Z929" s="1">
        <v>1</v>
      </c>
      <c r="AA929" s="1">
        <v>1</v>
      </c>
      <c r="AB929" s="1">
        <v>1</v>
      </c>
      <c r="AC929" s="316">
        <v>1</v>
      </c>
      <c r="AD929" s="316">
        <v>1</v>
      </c>
      <c r="AE929" s="302">
        <f t="shared" si="74"/>
        <v>0.875</v>
      </c>
      <c r="AF929" s="17"/>
      <c r="AG929" s="17">
        <v>0</v>
      </c>
      <c r="AH929" s="17">
        <v>0</v>
      </c>
      <c r="AI929" s="310">
        <v>1</v>
      </c>
      <c r="AJ929" s="310">
        <v>1</v>
      </c>
      <c r="AK929" s="317">
        <v>1</v>
      </c>
      <c r="AL929" s="317">
        <v>1</v>
      </c>
      <c r="AM929" s="17">
        <f t="shared" si="75"/>
        <v>2</v>
      </c>
      <c r="AN929" s="283" t="s">
        <v>1233</v>
      </c>
      <c r="AO929" s="18" t="s">
        <v>1650</v>
      </c>
      <c r="AP929" s="283" t="s">
        <v>265</v>
      </c>
    </row>
    <row r="930" spans="1:42" hidden="1" x14ac:dyDescent="0.3">
      <c r="A930" s="314" t="s">
        <v>1448</v>
      </c>
      <c r="B930" s="283" t="s">
        <v>3447</v>
      </c>
      <c r="C930" s="314" t="s">
        <v>3449</v>
      </c>
      <c r="D930" s="283" t="s">
        <v>3450</v>
      </c>
      <c r="E930" s="314" t="s">
        <v>3451</v>
      </c>
      <c r="F930" s="283" t="s">
        <v>3452</v>
      </c>
      <c r="G930" s="314" t="s">
        <v>3509</v>
      </c>
      <c r="H930" s="283" t="s">
        <v>3510</v>
      </c>
      <c r="I930" s="314" t="s">
        <v>3527</v>
      </c>
      <c r="J930" s="283" t="s">
        <v>3528</v>
      </c>
      <c r="K930" s="314" t="s">
        <v>3529</v>
      </c>
      <c r="L930" s="283" t="s">
        <v>3530</v>
      </c>
      <c r="M930" s="283" t="s">
        <v>3544</v>
      </c>
      <c r="N930" s="3">
        <v>0</v>
      </c>
      <c r="O930" s="3">
        <v>0</v>
      </c>
      <c r="P930" s="3" t="s">
        <v>3545</v>
      </c>
      <c r="Q930" s="3" t="s">
        <v>3545</v>
      </c>
      <c r="R930" s="3" t="s">
        <v>3545</v>
      </c>
      <c r="S930" s="3" t="s">
        <v>3545</v>
      </c>
      <c r="T930" s="283" t="s">
        <v>265</v>
      </c>
      <c r="U930" s="283" t="s">
        <v>350</v>
      </c>
      <c r="V930" s="1" t="s">
        <v>3546</v>
      </c>
      <c r="W930" s="1">
        <v>0</v>
      </c>
      <c r="X930" s="1">
        <v>0</v>
      </c>
      <c r="Y930" s="1">
        <v>0</v>
      </c>
      <c r="Z930" s="1">
        <v>1</v>
      </c>
      <c r="AA930" s="1">
        <v>0</v>
      </c>
      <c r="AB930" s="1">
        <v>0</v>
      </c>
      <c r="AC930" s="316">
        <v>0</v>
      </c>
      <c r="AD930" s="316">
        <v>0</v>
      </c>
      <c r="AE930" s="302">
        <f t="shared" si="74"/>
        <v>0.125</v>
      </c>
      <c r="AF930" s="17"/>
      <c r="AG930" s="17">
        <v>0</v>
      </c>
      <c r="AH930" s="17">
        <v>0</v>
      </c>
      <c r="AI930" s="310">
        <v>0.2</v>
      </c>
      <c r="AJ930" s="310">
        <v>0.2</v>
      </c>
      <c r="AK930" s="317">
        <v>0</v>
      </c>
      <c r="AL930" s="317"/>
      <c r="AM930" s="17">
        <f t="shared" si="75"/>
        <v>0</v>
      </c>
      <c r="AN930" s="283" t="s">
        <v>265</v>
      </c>
      <c r="AO930" s="18" t="s">
        <v>350</v>
      </c>
      <c r="AP930" s="283" t="s">
        <v>3535</v>
      </c>
    </row>
    <row r="931" spans="1:42" hidden="1" x14ac:dyDescent="0.3">
      <c r="A931" s="314" t="s">
        <v>1448</v>
      </c>
      <c r="B931" s="283" t="s">
        <v>3447</v>
      </c>
      <c r="C931" s="314" t="s">
        <v>3449</v>
      </c>
      <c r="D931" s="283" t="s">
        <v>3450</v>
      </c>
      <c r="E931" s="314" t="s">
        <v>3451</v>
      </c>
      <c r="F931" s="283" t="s">
        <v>3452</v>
      </c>
      <c r="G931" s="314" t="s">
        <v>3509</v>
      </c>
      <c r="H931" s="283" t="s">
        <v>3510</v>
      </c>
      <c r="I931" s="314" t="s">
        <v>3527</v>
      </c>
      <c r="J931" s="283" t="s">
        <v>3528</v>
      </c>
      <c r="K931" s="314" t="s">
        <v>3529</v>
      </c>
      <c r="L931" s="283" t="s">
        <v>3530</v>
      </c>
      <c r="M931" s="283" t="s">
        <v>3547</v>
      </c>
      <c r="N931" s="3">
        <v>0</v>
      </c>
      <c r="O931" s="3">
        <v>1</v>
      </c>
      <c r="P931" s="3" t="s">
        <v>3548</v>
      </c>
      <c r="Q931" s="3" t="s">
        <v>3549</v>
      </c>
      <c r="R931" s="3" t="s">
        <v>3550</v>
      </c>
      <c r="S931" s="3" t="s">
        <v>3550</v>
      </c>
      <c r="T931" s="283" t="s">
        <v>869</v>
      </c>
      <c r="U931" s="283" t="s">
        <v>871</v>
      </c>
      <c r="V931" s="1" t="s">
        <v>3551</v>
      </c>
      <c r="W931" s="1">
        <v>1</v>
      </c>
      <c r="X931" s="1">
        <v>0</v>
      </c>
      <c r="Y931" s="1">
        <v>0</v>
      </c>
      <c r="Z931" s="1">
        <v>1</v>
      </c>
      <c r="AA931" s="1">
        <v>1</v>
      </c>
      <c r="AB931" s="1">
        <v>0</v>
      </c>
      <c r="AC931" s="316">
        <v>1</v>
      </c>
      <c r="AD931" s="316">
        <v>1</v>
      </c>
      <c r="AE931" s="302">
        <f t="shared" si="74"/>
        <v>0.625</v>
      </c>
      <c r="AF931" s="17"/>
      <c r="AG931" s="17">
        <v>0</v>
      </c>
      <c r="AH931" s="17">
        <v>0</v>
      </c>
      <c r="AI931" s="310">
        <v>0.5</v>
      </c>
      <c r="AJ931" s="310">
        <v>0.5</v>
      </c>
      <c r="AK931" s="317">
        <v>0.1</v>
      </c>
      <c r="AL931" s="317">
        <v>0.1</v>
      </c>
      <c r="AM931" s="17">
        <f t="shared" si="75"/>
        <v>0.2</v>
      </c>
      <c r="AN931" s="283" t="s">
        <v>869</v>
      </c>
      <c r="AO931" s="18" t="s">
        <v>871</v>
      </c>
      <c r="AP931" s="283" t="s">
        <v>3552</v>
      </c>
    </row>
    <row r="932" spans="1:42" x14ac:dyDescent="0.3">
      <c r="A932" s="314" t="s">
        <v>1448</v>
      </c>
      <c r="B932" s="283" t="s">
        <v>3447</v>
      </c>
      <c r="C932" s="314" t="s">
        <v>3449</v>
      </c>
      <c r="D932" s="283" t="s">
        <v>3450</v>
      </c>
      <c r="E932" s="314" t="s">
        <v>3451</v>
      </c>
      <c r="F932" s="283" t="s">
        <v>3452</v>
      </c>
      <c r="G932" s="314" t="s">
        <v>3509</v>
      </c>
      <c r="H932" s="283" t="s">
        <v>3510</v>
      </c>
      <c r="I932" s="314" t="s">
        <v>3527</v>
      </c>
      <c r="J932" s="283" t="s">
        <v>3528</v>
      </c>
      <c r="K932" s="314" t="s">
        <v>3529</v>
      </c>
      <c r="L932" s="283" t="s">
        <v>3530</v>
      </c>
      <c r="M932" s="283" t="s">
        <v>3553</v>
      </c>
      <c r="N932" s="3">
        <v>0</v>
      </c>
      <c r="O932" s="3">
        <v>0</v>
      </c>
      <c r="P932" s="3" t="s">
        <v>3532</v>
      </c>
      <c r="S932" s="3" t="s">
        <v>3554</v>
      </c>
      <c r="T932" s="283" t="s">
        <v>921</v>
      </c>
      <c r="U932" s="283" t="s">
        <v>880</v>
      </c>
      <c r="V932" s="1" t="s">
        <v>3555</v>
      </c>
      <c r="W932" s="1">
        <v>1</v>
      </c>
      <c r="X932" s="1">
        <v>1</v>
      </c>
      <c r="Y932" s="1">
        <v>0</v>
      </c>
      <c r="Z932" s="1">
        <v>1</v>
      </c>
      <c r="AA932" s="1">
        <v>1</v>
      </c>
      <c r="AB932" s="1">
        <v>1</v>
      </c>
      <c r="AC932" s="316">
        <v>1</v>
      </c>
      <c r="AD932" s="316">
        <v>0</v>
      </c>
      <c r="AE932" s="302">
        <f t="shared" si="74"/>
        <v>0.75</v>
      </c>
      <c r="AF932" s="17"/>
      <c r="AG932" s="17">
        <v>0</v>
      </c>
      <c r="AH932" s="17">
        <v>0</v>
      </c>
      <c r="AI932" s="310">
        <v>0.2</v>
      </c>
      <c r="AJ932" s="17">
        <v>0</v>
      </c>
      <c r="AK932" s="153">
        <v>0.1</v>
      </c>
      <c r="AL932" s="317">
        <v>0.2</v>
      </c>
      <c r="AM932" s="17">
        <f t="shared" si="75"/>
        <v>0.30000000000000004</v>
      </c>
      <c r="AN932" s="1" t="s">
        <v>921</v>
      </c>
      <c r="AO932" s="18" t="s">
        <v>880</v>
      </c>
      <c r="AP932" s="283" t="s">
        <v>265</v>
      </c>
    </row>
    <row r="933" spans="1:42" x14ac:dyDescent="0.3">
      <c r="A933" s="314" t="s">
        <v>1448</v>
      </c>
      <c r="B933" s="283" t="s">
        <v>3447</v>
      </c>
      <c r="C933" s="314" t="s">
        <v>3449</v>
      </c>
      <c r="D933" s="283" t="s">
        <v>3450</v>
      </c>
      <c r="E933" s="314" t="s">
        <v>3451</v>
      </c>
      <c r="F933" s="283" t="s">
        <v>3452</v>
      </c>
      <c r="G933" s="314" t="s">
        <v>3509</v>
      </c>
      <c r="H933" s="283" t="s">
        <v>3510</v>
      </c>
      <c r="I933" s="314" t="s">
        <v>3527</v>
      </c>
      <c r="J933" s="283" t="s">
        <v>3528</v>
      </c>
      <c r="K933" s="314" t="s">
        <v>3529</v>
      </c>
      <c r="L933" s="283" t="s">
        <v>3530</v>
      </c>
      <c r="M933" s="283" t="s">
        <v>3556</v>
      </c>
      <c r="N933" s="3">
        <v>0</v>
      </c>
      <c r="O933" s="3">
        <v>1</v>
      </c>
      <c r="P933" s="3">
        <v>2</v>
      </c>
      <c r="Q933" s="3">
        <v>1</v>
      </c>
      <c r="R933" s="3">
        <v>2</v>
      </c>
      <c r="S933" s="3">
        <v>2</v>
      </c>
      <c r="T933" s="283" t="s">
        <v>265</v>
      </c>
      <c r="U933" s="283" t="s">
        <v>350</v>
      </c>
      <c r="V933" s="1" t="s">
        <v>3557</v>
      </c>
      <c r="W933" s="1">
        <v>1</v>
      </c>
      <c r="X933" s="1">
        <v>1</v>
      </c>
      <c r="Y933" s="1">
        <v>1</v>
      </c>
      <c r="Z933" s="1">
        <v>1</v>
      </c>
      <c r="AA933" s="1">
        <v>1</v>
      </c>
      <c r="AB933" s="1">
        <v>1</v>
      </c>
      <c r="AC933" s="316">
        <v>1</v>
      </c>
      <c r="AD933" s="316">
        <v>1</v>
      </c>
      <c r="AE933" s="302">
        <f t="shared" si="74"/>
        <v>1</v>
      </c>
      <c r="AF933" s="17"/>
      <c r="AG933" s="17">
        <v>0</v>
      </c>
      <c r="AH933" s="17">
        <v>0</v>
      </c>
      <c r="AI933" s="310">
        <v>0</v>
      </c>
      <c r="AJ933" s="310">
        <v>0</v>
      </c>
      <c r="AK933" s="317">
        <v>0.1</v>
      </c>
      <c r="AL933" s="317">
        <v>0</v>
      </c>
      <c r="AM933" s="17">
        <f t="shared" si="75"/>
        <v>0.1</v>
      </c>
      <c r="AN933" s="283" t="s">
        <v>265</v>
      </c>
      <c r="AO933" s="18" t="s">
        <v>350</v>
      </c>
      <c r="AP933" s="283" t="s">
        <v>3558</v>
      </c>
    </row>
    <row r="934" spans="1:42" x14ac:dyDescent="0.3">
      <c r="A934" s="314" t="s">
        <v>1448</v>
      </c>
      <c r="B934" s="283" t="s">
        <v>3447</v>
      </c>
      <c r="C934" s="314" t="s">
        <v>3449</v>
      </c>
      <c r="D934" s="283" t="s">
        <v>3450</v>
      </c>
      <c r="E934" s="314" t="s">
        <v>3451</v>
      </c>
      <c r="F934" s="283" t="s">
        <v>3452</v>
      </c>
      <c r="G934" s="314" t="s">
        <v>3509</v>
      </c>
      <c r="H934" s="283" t="s">
        <v>3510</v>
      </c>
      <c r="I934" s="314" t="s">
        <v>3527</v>
      </c>
      <c r="J934" s="283" t="s">
        <v>3528</v>
      </c>
      <c r="K934" s="314" t="s">
        <v>3529</v>
      </c>
      <c r="L934" s="283" t="s">
        <v>3530</v>
      </c>
      <c r="M934" s="283" t="s">
        <v>3559</v>
      </c>
      <c r="N934" s="3">
        <v>0</v>
      </c>
      <c r="O934" s="3">
        <v>2</v>
      </c>
      <c r="P934" s="3" t="s">
        <v>3548</v>
      </c>
      <c r="Q934" s="3" t="s">
        <v>3560</v>
      </c>
      <c r="R934" s="3" t="s">
        <v>3561</v>
      </c>
      <c r="S934" s="3" t="s">
        <v>3561</v>
      </c>
      <c r="T934" s="283" t="s">
        <v>869</v>
      </c>
      <c r="U934" s="283" t="s">
        <v>871</v>
      </c>
      <c r="V934" s="1" t="s">
        <v>3562</v>
      </c>
      <c r="W934" s="1">
        <v>1</v>
      </c>
      <c r="X934" s="1">
        <v>1</v>
      </c>
      <c r="Y934" s="1">
        <v>1</v>
      </c>
      <c r="Z934" s="1">
        <v>1</v>
      </c>
      <c r="AA934" s="1">
        <v>1</v>
      </c>
      <c r="AB934" s="1">
        <v>0</v>
      </c>
      <c r="AC934" s="316">
        <v>1</v>
      </c>
      <c r="AD934" s="316">
        <v>1</v>
      </c>
      <c r="AE934" s="302">
        <f t="shared" si="74"/>
        <v>0.875</v>
      </c>
      <c r="AF934" s="17"/>
      <c r="AG934" s="17">
        <v>0</v>
      </c>
      <c r="AH934" s="17">
        <v>0</v>
      </c>
      <c r="AI934" s="310">
        <v>0</v>
      </c>
      <c r="AJ934" s="310">
        <v>0</v>
      </c>
      <c r="AK934" s="317">
        <v>0.1</v>
      </c>
      <c r="AL934" s="317">
        <v>0</v>
      </c>
      <c r="AM934" s="17">
        <f t="shared" si="75"/>
        <v>0.1</v>
      </c>
      <c r="AN934" s="283" t="s">
        <v>869</v>
      </c>
      <c r="AO934" s="18" t="s">
        <v>871</v>
      </c>
      <c r="AP934" s="283" t="s">
        <v>3563</v>
      </c>
    </row>
    <row r="935" spans="1:42" hidden="1" x14ac:dyDescent="0.3">
      <c r="A935" s="314" t="s">
        <v>1448</v>
      </c>
      <c r="B935" s="283" t="s">
        <v>3447</v>
      </c>
      <c r="C935" s="314" t="s">
        <v>3449</v>
      </c>
      <c r="D935" s="283" t="s">
        <v>3450</v>
      </c>
      <c r="E935" s="314" t="s">
        <v>3451</v>
      </c>
      <c r="F935" s="283" t="s">
        <v>3452</v>
      </c>
      <c r="G935" s="314" t="s">
        <v>3509</v>
      </c>
      <c r="H935" s="283" t="s">
        <v>3510</v>
      </c>
      <c r="I935" s="314" t="s">
        <v>3527</v>
      </c>
      <c r="J935" s="283" t="s">
        <v>3528</v>
      </c>
      <c r="K935" s="314" t="s">
        <v>3529</v>
      </c>
      <c r="L935" s="283" t="s">
        <v>3530</v>
      </c>
      <c r="M935" s="283" t="s">
        <v>3564</v>
      </c>
      <c r="N935" s="3">
        <v>0</v>
      </c>
      <c r="O935" s="3">
        <v>1</v>
      </c>
      <c r="P935" s="3" t="s">
        <v>3565</v>
      </c>
      <c r="Q935" s="3" t="s">
        <v>3565</v>
      </c>
      <c r="R935" s="3" t="s">
        <v>3565</v>
      </c>
      <c r="S935" s="3" t="s">
        <v>3565</v>
      </c>
      <c r="T935" s="283" t="s">
        <v>869</v>
      </c>
      <c r="U935" s="283" t="s">
        <v>871</v>
      </c>
      <c r="V935" s="1" t="s">
        <v>3566</v>
      </c>
      <c r="W935" s="1">
        <v>1</v>
      </c>
      <c r="X935" s="1">
        <v>0</v>
      </c>
      <c r="Y935" s="1">
        <v>0</v>
      </c>
      <c r="Z935" s="1">
        <v>1</v>
      </c>
      <c r="AA935" s="1">
        <v>1</v>
      </c>
      <c r="AB935" s="1">
        <v>1</v>
      </c>
      <c r="AC935" s="316">
        <v>0</v>
      </c>
      <c r="AD935" s="316">
        <v>0</v>
      </c>
      <c r="AE935" s="302">
        <f t="shared" si="74"/>
        <v>0.5</v>
      </c>
      <c r="AF935" s="17"/>
      <c r="AG935" s="17">
        <v>0</v>
      </c>
      <c r="AH935" s="17">
        <v>0</v>
      </c>
      <c r="AI935" s="310">
        <v>0</v>
      </c>
      <c r="AJ935" s="310">
        <v>0</v>
      </c>
      <c r="AK935" s="317">
        <v>0</v>
      </c>
      <c r="AL935" s="317"/>
      <c r="AM935" s="17">
        <f t="shared" si="75"/>
        <v>0</v>
      </c>
      <c r="AN935" s="283" t="s">
        <v>869</v>
      </c>
      <c r="AO935" s="18" t="s">
        <v>871</v>
      </c>
      <c r="AP935" s="283" t="s">
        <v>3567</v>
      </c>
    </row>
    <row r="936" spans="1:42" x14ac:dyDescent="0.3">
      <c r="A936" s="314" t="s">
        <v>1448</v>
      </c>
      <c r="B936" s="283" t="s">
        <v>3447</v>
      </c>
      <c r="C936" s="314" t="s">
        <v>3449</v>
      </c>
      <c r="D936" s="283" t="s">
        <v>3450</v>
      </c>
      <c r="E936" s="314" t="s">
        <v>3451</v>
      </c>
      <c r="F936" s="283" t="s">
        <v>3452</v>
      </c>
      <c r="G936" s="314" t="s">
        <v>3568</v>
      </c>
      <c r="H936" s="283" t="s">
        <v>3569</v>
      </c>
      <c r="K936" s="314" t="s">
        <v>3570</v>
      </c>
      <c r="L936" s="283" t="s">
        <v>3571</v>
      </c>
      <c r="M936" s="283" t="s">
        <v>3572</v>
      </c>
      <c r="N936" s="3" t="s">
        <v>271</v>
      </c>
      <c r="O936" s="3">
        <v>100</v>
      </c>
      <c r="P936" s="3">
        <v>100</v>
      </c>
      <c r="Q936" s="3">
        <v>100</v>
      </c>
      <c r="R936" s="3">
        <v>100</v>
      </c>
      <c r="S936" s="3">
        <v>100</v>
      </c>
      <c r="T936" s="283" t="s">
        <v>2524</v>
      </c>
      <c r="U936" s="283" t="e">
        <v>#N/A</v>
      </c>
      <c r="V936" s="1" t="s">
        <v>3573</v>
      </c>
      <c r="W936" s="1">
        <v>1</v>
      </c>
      <c r="X936" s="1">
        <v>1</v>
      </c>
      <c r="Y936" s="1">
        <v>1</v>
      </c>
      <c r="Z936" s="1">
        <v>1</v>
      </c>
      <c r="AA936" s="1">
        <v>1</v>
      </c>
      <c r="AB936" s="1">
        <v>1</v>
      </c>
      <c r="AC936" s="316">
        <v>1</v>
      </c>
      <c r="AD936" s="316">
        <v>1</v>
      </c>
      <c r="AE936" s="302">
        <f t="shared" si="74"/>
        <v>1</v>
      </c>
      <c r="AF936" s="17"/>
      <c r="AG936" s="17">
        <v>0</v>
      </c>
      <c r="AH936" s="17">
        <v>0</v>
      </c>
      <c r="AI936" s="310">
        <v>0</v>
      </c>
      <c r="AJ936" s="310">
        <v>0</v>
      </c>
      <c r="AK936" s="317">
        <v>2</v>
      </c>
      <c r="AL936" s="317">
        <v>0</v>
      </c>
      <c r="AM936" s="17">
        <f t="shared" si="75"/>
        <v>2</v>
      </c>
      <c r="AN936" s="283" t="s">
        <v>63</v>
      </c>
      <c r="AO936" s="18" t="s">
        <v>2510</v>
      </c>
      <c r="AP936" s="283" t="s">
        <v>3574</v>
      </c>
    </row>
    <row r="937" spans="1:42" x14ac:dyDescent="0.3">
      <c r="A937" s="314" t="s">
        <v>1448</v>
      </c>
      <c r="B937" s="283" t="s">
        <v>3447</v>
      </c>
      <c r="C937" s="314" t="s">
        <v>3449</v>
      </c>
      <c r="D937" s="283" t="s">
        <v>3450</v>
      </c>
      <c r="E937" s="314" t="s">
        <v>3451</v>
      </c>
      <c r="F937" s="283" t="s">
        <v>3452</v>
      </c>
      <c r="G937" s="314" t="s">
        <v>3568</v>
      </c>
      <c r="H937" s="283" t="s">
        <v>3569</v>
      </c>
      <c r="K937" s="314" t="s">
        <v>3570</v>
      </c>
      <c r="L937" s="283" t="s">
        <v>3571</v>
      </c>
      <c r="M937" s="283" t="s">
        <v>3575</v>
      </c>
      <c r="N937" s="3" t="s">
        <v>271</v>
      </c>
      <c r="O937" s="3">
        <v>100</v>
      </c>
      <c r="P937" s="3">
        <v>100</v>
      </c>
      <c r="Q937" s="3">
        <v>100</v>
      </c>
      <c r="R937" s="3">
        <v>100</v>
      </c>
      <c r="S937" s="3">
        <v>100</v>
      </c>
      <c r="T937" s="283" t="s">
        <v>2507</v>
      </c>
      <c r="U937" s="283" t="e">
        <v>#N/A</v>
      </c>
      <c r="V937" s="1" t="s">
        <v>3576</v>
      </c>
      <c r="W937" s="1">
        <v>1</v>
      </c>
      <c r="X937" s="1">
        <v>1</v>
      </c>
      <c r="Y937" s="1">
        <v>1</v>
      </c>
      <c r="Z937" s="1">
        <v>1</v>
      </c>
      <c r="AA937" s="1">
        <v>1</v>
      </c>
      <c r="AB937" s="1">
        <v>1</v>
      </c>
      <c r="AC937" s="316">
        <v>1</v>
      </c>
      <c r="AD937" s="316">
        <v>1</v>
      </c>
      <c r="AE937" s="302">
        <f t="shared" si="74"/>
        <v>1</v>
      </c>
      <c r="AF937" s="17">
        <v>1</v>
      </c>
      <c r="AG937" s="17">
        <v>0</v>
      </c>
      <c r="AH937" s="17">
        <v>0</v>
      </c>
      <c r="AI937" s="310">
        <v>0</v>
      </c>
      <c r="AJ937" s="310">
        <v>0</v>
      </c>
      <c r="AK937" s="317">
        <v>0</v>
      </c>
      <c r="AL937" s="317">
        <v>0</v>
      </c>
      <c r="AM937" s="17">
        <f t="shared" si="75"/>
        <v>0</v>
      </c>
      <c r="AN937" s="283" t="s">
        <v>2509</v>
      </c>
      <c r="AO937" s="18" t="s">
        <v>2510</v>
      </c>
      <c r="AP937" s="283" t="s">
        <v>3577</v>
      </c>
    </row>
    <row r="938" spans="1:42" x14ac:dyDescent="0.3">
      <c r="A938" s="314" t="s">
        <v>1448</v>
      </c>
      <c r="B938" s="283" t="s">
        <v>3447</v>
      </c>
      <c r="C938" s="314" t="s">
        <v>3449</v>
      </c>
      <c r="D938" s="283" t="s">
        <v>3450</v>
      </c>
      <c r="E938" s="314" t="s">
        <v>3451</v>
      </c>
      <c r="F938" s="283" t="s">
        <v>3452</v>
      </c>
      <c r="G938" s="314" t="s">
        <v>3578</v>
      </c>
      <c r="H938" s="283" t="s">
        <v>3579</v>
      </c>
      <c r="K938" s="318" t="s">
        <v>3580</v>
      </c>
      <c r="L938" s="283" t="s">
        <v>3581</v>
      </c>
      <c r="M938" s="283" t="s">
        <v>3582</v>
      </c>
      <c r="N938" s="3" t="s">
        <v>271</v>
      </c>
      <c r="O938" s="3">
        <v>100</v>
      </c>
      <c r="P938" s="3">
        <v>100</v>
      </c>
      <c r="Q938" s="3">
        <v>100</v>
      </c>
      <c r="R938" s="3">
        <v>50</v>
      </c>
      <c r="S938" s="3">
        <v>0</v>
      </c>
      <c r="T938" s="283" t="s">
        <v>2528</v>
      </c>
      <c r="U938" s="283" t="s">
        <v>2530</v>
      </c>
      <c r="V938" s="1" t="s">
        <v>3583</v>
      </c>
      <c r="W938" s="1">
        <v>1</v>
      </c>
      <c r="X938" s="1">
        <v>1</v>
      </c>
      <c r="Y938" s="1">
        <v>1</v>
      </c>
      <c r="Z938" s="1">
        <v>1</v>
      </c>
      <c r="AA938" s="1">
        <v>1</v>
      </c>
      <c r="AB938" s="1">
        <v>1</v>
      </c>
      <c r="AC938" s="316">
        <v>1</v>
      </c>
      <c r="AD938" s="316">
        <v>1</v>
      </c>
      <c r="AE938" s="302">
        <f t="shared" si="74"/>
        <v>1</v>
      </c>
      <c r="AF938" s="17">
        <v>1</v>
      </c>
      <c r="AG938" s="17">
        <v>0</v>
      </c>
      <c r="AH938" s="17">
        <v>0</v>
      </c>
      <c r="AI938" s="310">
        <v>0</v>
      </c>
      <c r="AJ938" s="310">
        <v>0</v>
      </c>
      <c r="AK938" s="317">
        <v>0</v>
      </c>
      <c r="AL938" s="154">
        <v>0</v>
      </c>
      <c r="AM938" s="17">
        <f t="shared" si="75"/>
        <v>0</v>
      </c>
      <c r="AN938" s="283" t="s">
        <v>2528</v>
      </c>
      <c r="AO938" s="18" t="s">
        <v>2530</v>
      </c>
      <c r="AP938" s="283" t="s">
        <v>63</v>
      </c>
    </row>
    <row r="939" spans="1:42" x14ac:dyDescent="0.3">
      <c r="A939" s="314" t="s">
        <v>1448</v>
      </c>
      <c r="B939" s="283" t="s">
        <v>3447</v>
      </c>
      <c r="C939" s="314" t="s">
        <v>3449</v>
      </c>
      <c r="D939" s="283" t="s">
        <v>3450</v>
      </c>
      <c r="E939" s="314" t="s">
        <v>3451</v>
      </c>
      <c r="F939" s="283" t="s">
        <v>3452</v>
      </c>
      <c r="G939" s="314" t="s">
        <v>3578</v>
      </c>
      <c r="H939" s="283" t="s">
        <v>3579</v>
      </c>
      <c r="K939" s="318" t="s">
        <v>3580</v>
      </c>
      <c r="L939" s="283" t="s">
        <v>3581</v>
      </c>
      <c r="M939" s="283" t="s">
        <v>3584</v>
      </c>
      <c r="N939" s="3" t="s">
        <v>271</v>
      </c>
      <c r="O939" s="3">
        <v>0</v>
      </c>
      <c r="P939" s="3">
        <v>1</v>
      </c>
      <c r="Q939" s="3">
        <v>2</v>
      </c>
      <c r="R939" s="3">
        <v>2</v>
      </c>
      <c r="S939" s="3">
        <v>2</v>
      </c>
      <c r="T939" s="283" t="s">
        <v>265</v>
      </c>
      <c r="U939" s="283" t="s">
        <v>350</v>
      </c>
      <c r="V939" s="1" t="s">
        <v>3585</v>
      </c>
      <c r="W939" s="1">
        <v>1</v>
      </c>
      <c r="X939" s="1">
        <v>1</v>
      </c>
      <c r="Y939" s="1">
        <v>1</v>
      </c>
      <c r="Z939" s="1">
        <v>1</v>
      </c>
      <c r="AA939" s="1">
        <v>1</v>
      </c>
      <c r="AB939" s="1">
        <v>1</v>
      </c>
      <c r="AC939" s="316">
        <v>1</v>
      </c>
      <c r="AD939" s="316">
        <v>1</v>
      </c>
      <c r="AE939" s="302">
        <f t="shared" si="74"/>
        <v>1</v>
      </c>
      <c r="AF939" s="17"/>
      <c r="AG939" s="17">
        <v>0</v>
      </c>
      <c r="AH939" s="17">
        <v>0</v>
      </c>
      <c r="AI939" s="17">
        <v>0</v>
      </c>
      <c r="AJ939" s="310">
        <v>26</v>
      </c>
      <c r="AK939" s="317">
        <v>28</v>
      </c>
      <c r="AL939" s="317">
        <v>30</v>
      </c>
      <c r="AM939" s="17">
        <f t="shared" si="75"/>
        <v>58</v>
      </c>
      <c r="AN939" s="283" t="s">
        <v>265</v>
      </c>
      <c r="AO939" s="18" t="s">
        <v>350</v>
      </c>
      <c r="AP939" s="283" t="s">
        <v>3586</v>
      </c>
    </row>
    <row r="940" spans="1:42" hidden="1" x14ac:dyDescent="0.3">
      <c r="A940" s="314" t="s">
        <v>1448</v>
      </c>
      <c r="B940" s="283" t="s">
        <v>3447</v>
      </c>
      <c r="C940" s="314" t="s">
        <v>3449</v>
      </c>
      <c r="D940" s="283" t="s">
        <v>3450</v>
      </c>
      <c r="E940" s="314" t="s">
        <v>3451</v>
      </c>
      <c r="F940" s="283" t="s">
        <v>3452</v>
      </c>
      <c r="G940" s="314" t="s">
        <v>3578</v>
      </c>
      <c r="H940" s="283" t="s">
        <v>3579</v>
      </c>
      <c r="K940" s="318" t="s">
        <v>3587</v>
      </c>
      <c r="L940" s="283" t="s">
        <v>3588</v>
      </c>
      <c r="M940" s="283" t="s">
        <v>3544</v>
      </c>
      <c r="N940" s="3">
        <v>0</v>
      </c>
      <c r="O940" s="3">
        <v>2</v>
      </c>
      <c r="P940" s="3" t="s">
        <v>3565</v>
      </c>
      <c r="Q940" s="3" t="s">
        <v>3565</v>
      </c>
      <c r="R940" s="3" t="s">
        <v>3565</v>
      </c>
      <c r="S940" s="3" t="s">
        <v>3565</v>
      </c>
      <c r="T940" s="283" t="s">
        <v>265</v>
      </c>
      <c r="U940" s="283" t="s">
        <v>350</v>
      </c>
      <c r="V940" s="1" t="s">
        <v>3589</v>
      </c>
      <c r="W940" s="1">
        <v>1</v>
      </c>
      <c r="X940" s="1">
        <v>0</v>
      </c>
      <c r="Y940" s="1">
        <v>0</v>
      </c>
      <c r="Z940" s="1">
        <v>1</v>
      </c>
      <c r="AA940" s="1">
        <v>0</v>
      </c>
      <c r="AB940" s="1">
        <v>0</v>
      </c>
      <c r="AC940" s="316">
        <v>1</v>
      </c>
      <c r="AD940" s="316">
        <v>1</v>
      </c>
      <c r="AE940" s="302">
        <f t="shared" si="74"/>
        <v>0.5</v>
      </c>
      <c r="AF940" s="17"/>
      <c r="AG940" s="17">
        <v>0</v>
      </c>
      <c r="AH940" s="17">
        <v>0</v>
      </c>
      <c r="AI940" s="310">
        <v>0.1</v>
      </c>
      <c r="AJ940" s="310">
        <v>0.1</v>
      </c>
      <c r="AK940" s="317">
        <v>0</v>
      </c>
      <c r="AL940" s="317"/>
      <c r="AM940" s="17">
        <f t="shared" si="75"/>
        <v>0</v>
      </c>
      <c r="AN940" s="283" t="s">
        <v>265</v>
      </c>
      <c r="AO940" s="18" t="s">
        <v>350</v>
      </c>
      <c r="AP940" s="283" t="s">
        <v>3590</v>
      </c>
    </row>
    <row r="941" spans="1:42" hidden="1" x14ac:dyDescent="0.3">
      <c r="A941" s="314" t="s">
        <v>1448</v>
      </c>
      <c r="B941" s="283" t="s">
        <v>3447</v>
      </c>
      <c r="C941" s="314" t="s">
        <v>3449</v>
      </c>
      <c r="D941" s="283" t="s">
        <v>3450</v>
      </c>
      <c r="E941" s="314" t="s">
        <v>3451</v>
      </c>
      <c r="F941" s="283" t="s">
        <v>3452</v>
      </c>
      <c r="G941" s="314" t="s">
        <v>3578</v>
      </c>
      <c r="H941" s="283" t="s">
        <v>3579</v>
      </c>
      <c r="K941" s="318" t="s">
        <v>3587</v>
      </c>
      <c r="L941" s="283" t="s">
        <v>3588</v>
      </c>
      <c r="M941" s="283" t="s">
        <v>3591</v>
      </c>
      <c r="N941" s="3">
        <v>0</v>
      </c>
      <c r="O941" s="3">
        <v>2</v>
      </c>
      <c r="P941" s="3">
        <v>2</v>
      </c>
      <c r="Q941" s="3">
        <v>2</v>
      </c>
      <c r="R941" s="3">
        <v>2</v>
      </c>
      <c r="S941" s="3">
        <v>2</v>
      </c>
      <c r="T941" s="283" t="s">
        <v>265</v>
      </c>
      <c r="U941" s="283" t="s">
        <v>350</v>
      </c>
      <c r="V941" s="1" t="s">
        <v>3592</v>
      </c>
      <c r="W941" s="1">
        <v>1</v>
      </c>
      <c r="X941" s="1">
        <v>0</v>
      </c>
      <c r="Y941" s="1">
        <v>0</v>
      </c>
      <c r="Z941" s="1">
        <v>1</v>
      </c>
      <c r="AA941" s="1">
        <v>0</v>
      </c>
      <c r="AB941" s="1">
        <v>0</v>
      </c>
      <c r="AC941" s="316">
        <v>1</v>
      </c>
      <c r="AD941" s="316">
        <v>1</v>
      </c>
      <c r="AE941" s="302">
        <f t="shared" si="74"/>
        <v>0.5</v>
      </c>
      <c r="AF941" s="17"/>
      <c r="AG941" s="17">
        <v>0</v>
      </c>
      <c r="AH941" s="17">
        <v>0</v>
      </c>
      <c r="AI941" s="310">
        <v>0</v>
      </c>
      <c r="AJ941" s="310">
        <v>0</v>
      </c>
      <c r="AK941" s="317">
        <v>0</v>
      </c>
      <c r="AL941" s="317"/>
      <c r="AM941" s="17">
        <f t="shared" si="75"/>
        <v>0</v>
      </c>
      <c r="AN941" s="283" t="s">
        <v>265</v>
      </c>
      <c r="AO941" s="18" t="s">
        <v>350</v>
      </c>
      <c r="AP941" s="283" t="s">
        <v>3590</v>
      </c>
    </row>
    <row r="942" spans="1:42" hidden="1" x14ac:dyDescent="0.3">
      <c r="A942" s="314" t="s">
        <v>1448</v>
      </c>
      <c r="B942" s="283" t="s">
        <v>3447</v>
      </c>
      <c r="C942" s="314" t="s">
        <v>3449</v>
      </c>
      <c r="D942" s="283" t="s">
        <v>3450</v>
      </c>
      <c r="E942" s="314" t="s">
        <v>3451</v>
      </c>
      <c r="F942" s="283" t="s">
        <v>3452</v>
      </c>
      <c r="G942" s="314" t="s">
        <v>3578</v>
      </c>
      <c r="H942" s="283" t="s">
        <v>3579</v>
      </c>
      <c r="K942" s="318" t="s">
        <v>3587</v>
      </c>
      <c r="L942" s="283" t="s">
        <v>3588</v>
      </c>
      <c r="M942" s="283" t="s">
        <v>3593</v>
      </c>
      <c r="N942" s="3">
        <v>0</v>
      </c>
      <c r="O942" s="3">
        <v>0</v>
      </c>
      <c r="P942" s="3">
        <v>0</v>
      </c>
      <c r="Q942" s="3">
        <v>1</v>
      </c>
      <c r="R942" s="3">
        <v>0</v>
      </c>
      <c r="S942" s="3">
        <v>0</v>
      </c>
      <c r="T942" s="283" t="s">
        <v>265</v>
      </c>
      <c r="U942" s="283" t="s">
        <v>350</v>
      </c>
      <c r="V942" s="1" t="s">
        <v>3594</v>
      </c>
      <c r="W942" s="1">
        <v>1</v>
      </c>
      <c r="X942" s="1">
        <v>0</v>
      </c>
      <c r="Y942" s="1">
        <v>0</v>
      </c>
      <c r="Z942" s="1">
        <v>0</v>
      </c>
      <c r="AA942" s="1">
        <v>0</v>
      </c>
      <c r="AB942" s="1">
        <v>1</v>
      </c>
      <c r="AC942" s="316">
        <v>1</v>
      </c>
      <c r="AD942" s="316">
        <v>1</v>
      </c>
      <c r="AE942" s="302">
        <f t="shared" si="74"/>
        <v>0.5</v>
      </c>
      <c r="AF942" s="17"/>
      <c r="AG942" s="17">
        <v>0</v>
      </c>
      <c r="AH942" s="17">
        <v>0</v>
      </c>
      <c r="AI942" s="17">
        <v>0</v>
      </c>
      <c r="AJ942" s="310">
        <v>0.2</v>
      </c>
      <c r="AK942" s="317">
        <v>0</v>
      </c>
      <c r="AL942" s="317"/>
      <c r="AM942" s="17">
        <f t="shared" si="75"/>
        <v>0</v>
      </c>
      <c r="AN942" s="283" t="s">
        <v>265</v>
      </c>
      <c r="AO942" s="18" t="s">
        <v>350</v>
      </c>
      <c r="AP942" s="283" t="s">
        <v>3595</v>
      </c>
    </row>
    <row r="943" spans="1:42" hidden="1" x14ac:dyDescent="0.3">
      <c r="A943" s="314" t="s">
        <v>1448</v>
      </c>
      <c r="B943" s="283" t="s">
        <v>3447</v>
      </c>
      <c r="C943" s="314" t="s">
        <v>3449</v>
      </c>
      <c r="D943" s="283" t="s">
        <v>3450</v>
      </c>
      <c r="E943" s="314" t="s">
        <v>3451</v>
      </c>
      <c r="F943" s="283" t="s">
        <v>3452</v>
      </c>
      <c r="G943" s="314" t="s">
        <v>3578</v>
      </c>
      <c r="H943" s="283" t="s">
        <v>3579</v>
      </c>
      <c r="K943" s="318" t="s">
        <v>3587</v>
      </c>
      <c r="L943" s="283" t="s">
        <v>3588</v>
      </c>
      <c r="N943" s="3"/>
      <c r="U943" s="283" t="e">
        <v>#N/A</v>
      </c>
      <c r="V943" s="1" t="s">
        <v>3594</v>
      </c>
      <c r="W943" s="1"/>
      <c r="X943" s="1"/>
      <c r="Y943" s="1"/>
      <c r="Z943" s="1"/>
      <c r="AA943" s="1"/>
      <c r="AB943" s="1"/>
      <c r="AC943" s="316">
        <v>0</v>
      </c>
      <c r="AD943" s="316">
        <v>0</v>
      </c>
      <c r="AE943" s="302">
        <f t="shared" si="74"/>
        <v>0</v>
      </c>
      <c r="AF943" s="17"/>
      <c r="AG943" s="17">
        <v>0</v>
      </c>
      <c r="AH943" s="17">
        <v>0</v>
      </c>
      <c r="AI943" s="17">
        <v>0</v>
      </c>
      <c r="AJ943" s="310">
        <v>1</v>
      </c>
      <c r="AK943" s="317">
        <v>0</v>
      </c>
      <c r="AL943" s="317"/>
      <c r="AM943" s="17">
        <f t="shared" si="75"/>
        <v>0</v>
      </c>
      <c r="AN943" s="283" t="s">
        <v>2074</v>
      </c>
      <c r="AO943" s="18" t="s">
        <v>2075</v>
      </c>
      <c r="AP943" s="283" t="s">
        <v>3596</v>
      </c>
    </row>
    <row r="944" spans="1:42" x14ac:dyDescent="0.3">
      <c r="A944" s="314" t="s">
        <v>1448</v>
      </c>
      <c r="B944" s="283" t="s">
        <v>3447</v>
      </c>
      <c r="C944" s="314" t="s">
        <v>3449</v>
      </c>
      <c r="D944" s="283" t="s">
        <v>3450</v>
      </c>
      <c r="E944" s="314" t="s">
        <v>3451</v>
      </c>
      <c r="F944" s="283" t="s">
        <v>3452</v>
      </c>
      <c r="G944" s="314" t="s">
        <v>3597</v>
      </c>
      <c r="H944" s="283" t="s">
        <v>3598</v>
      </c>
      <c r="K944" s="314" t="s">
        <v>3599</v>
      </c>
      <c r="L944" s="283" t="s">
        <v>3600</v>
      </c>
      <c r="M944" s="283" t="s">
        <v>3601</v>
      </c>
      <c r="N944" s="3">
        <v>0</v>
      </c>
      <c r="O944" s="3">
        <v>1</v>
      </c>
      <c r="P944" s="3">
        <v>3</v>
      </c>
      <c r="Q944" s="3" t="s">
        <v>3516</v>
      </c>
      <c r="R944" s="3" t="s">
        <v>3565</v>
      </c>
      <c r="S944" s="3" t="s">
        <v>3545</v>
      </c>
      <c r="T944" s="283" t="s">
        <v>265</v>
      </c>
      <c r="U944" s="283" t="s">
        <v>350</v>
      </c>
      <c r="V944" s="1" t="s">
        <v>3602</v>
      </c>
      <c r="W944" s="1">
        <v>1</v>
      </c>
      <c r="X944" s="1">
        <v>0</v>
      </c>
      <c r="Y944" s="1">
        <v>0</v>
      </c>
      <c r="Z944" s="1">
        <v>1</v>
      </c>
      <c r="AA944" s="1">
        <v>1</v>
      </c>
      <c r="AB944" s="1">
        <v>1</v>
      </c>
      <c r="AC944" s="316">
        <v>1</v>
      </c>
      <c r="AD944" s="316">
        <v>1</v>
      </c>
      <c r="AE944" s="302">
        <f t="shared" si="74"/>
        <v>0.75</v>
      </c>
      <c r="AF944" s="310"/>
      <c r="AG944" s="17">
        <v>0</v>
      </c>
      <c r="AH944" s="310">
        <v>0.15</v>
      </c>
      <c r="AI944" s="310">
        <v>0.15</v>
      </c>
      <c r="AJ944" s="310">
        <v>0.15</v>
      </c>
      <c r="AK944" s="317">
        <v>0.1</v>
      </c>
      <c r="AL944" s="317">
        <v>0.1</v>
      </c>
      <c r="AM944" s="17">
        <f t="shared" si="75"/>
        <v>0.2</v>
      </c>
      <c r="AN944" s="283" t="s">
        <v>265</v>
      </c>
      <c r="AO944" s="18" t="s">
        <v>350</v>
      </c>
      <c r="AP944" s="283" t="s">
        <v>119</v>
      </c>
    </row>
    <row r="945" spans="1:42" x14ac:dyDescent="0.3">
      <c r="A945" s="314" t="s">
        <v>1448</v>
      </c>
      <c r="B945" s="283" t="s">
        <v>3447</v>
      </c>
      <c r="C945" s="314" t="s">
        <v>3449</v>
      </c>
      <c r="D945" s="283" t="s">
        <v>3450</v>
      </c>
      <c r="E945" s="314" t="s">
        <v>3451</v>
      </c>
      <c r="F945" s="283" t="s">
        <v>3452</v>
      </c>
      <c r="G945" s="314" t="s">
        <v>3597</v>
      </c>
      <c r="H945" s="283" t="s">
        <v>3598</v>
      </c>
      <c r="K945" s="314" t="s">
        <v>3599</v>
      </c>
      <c r="L945" s="283" t="s">
        <v>3600</v>
      </c>
      <c r="M945" s="283" t="s">
        <v>3603</v>
      </c>
      <c r="N945" s="3">
        <v>0</v>
      </c>
      <c r="O945" s="3">
        <v>0</v>
      </c>
      <c r="P945" s="3">
        <v>30</v>
      </c>
      <c r="Q945" s="3">
        <v>30</v>
      </c>
      <c r="R945" s="3">
        <v>30</v>
      </c>
      <c r="S945" s="3">
        <v>30</v>
      </c>
      <c r="T945" s="283" t="s">
        <v>265</v>
      </c>
      <c r="U945" s="283" t="s">
        <v>350</v>
      </c>
      <c r="V945" s="1" t="s">
        <v>3604</v>
      </c>
      <c r="W945" s="1">
        <v>1</v>
      </c>
      <c r="X945" s="1">
        <v>1</v>
      </c>
      <c r="Y945" s="1">
        <v>1</v>
      </c>
      <c r="Z945" s="1">
        <v>1</v>
      </c>
      <c r="AA945" s="1">
        <v>1</v>
      </c>
      <c r="AB945" s="1">
        <v>1</v>
      </c>
      <c r="AC945" s="316">
        <v>1</v>
      </c>
      <c r="AD945" s="316">
        <v>1</v>
      </c>
      <c r="AE945" s="302">
        <f t="shared" si="74"/>
        <v>1</v>
      </c>
      <c r="AF945" s="17"/>
      <c r="AG945" s="17">
        <v>0</v>
      </c>
      <c r="AH945" s="17">
        <v>0</v>
      </c>
      <c r="AI945" s="310">
        <v>0</v>
      </c>
      <c r="AJ945" s="310">
        <v>0</v>
      </c>
      <c r="AK945" s="317">
        <v>0</v>
      </c>
      <c r="AL945" s="317">
        <v>0</v>
      </c>
      <c r="AM945" s="17">
        <f t="shared" si="75"/>
        <v>0</v>
      </c>
      <c r="AN945" s="283" t="s">
        <v>265</v>
      </c>
      <c r="AO945" s="18" t="s">
        <v>350</v>
      </c>
      <c r="AP945" s="283" t="s">
        <v>3605</v>
      </c>
    </row>
    <row r="946" spans="1:42" hidden="1" x14ac:dyDescent="0.3">
      <c r="A946" s="314" t="s">
        <v>1448</v>
      </c>
      <c r="B946" s="283" t="s">
        <v>3447</v>
      </c>
      <c r="C946" s="314" t="s">
        <v>3449</v>
      </c>
      <c r="D946" s="283" t="s">
        <v>3450</v>
      </c>
      <c r="E946" s="314" t="s">
        <v>3451</v>
      </c>
      <c r="F946" s="283" t="s">
        <v>3452</v>
      </c>
      <c r="G946" s="314" t="s">
        <v>3597</v>
      </c>
      <c r="H946" s="283" t="s">
        <v>3598</v>
      </c>
      <c r="K946" s="314" t="s">
        <v>3599</v>
      </c>
      <c r="L946" s="283" t="s">
        <v>3600</v>
      </c>
      <c r="M946" s="283" t="s">
        <v>3606</v>
      </c>
      <c r="N946" s="3">
        <v>0</v>
      </c>
      <c r="O946" s="3">
        <v>0</v>
      </c>
      <c r="P946" s="3">
        <v>0</v>
      </c>
      <c r="Q946" s="3">
        <v>1</v>
      </c>
      <c r="R946" s="3">
        <v>0</v>
      </c>
      <c r="S946" s="3">
        <v>0</v>
      </c>
      <c r="T946" s="283" t="s">
        <v>265</v>
      </c>
      <c r="U946" s="283" t="s">
        <v>350</v>
      </c>
      <c r="V946" s="1" t="s">
        <v>3607</v>
      </c>
      <c r="W946" s="1">
        <v>0</v>
      </c>
      <c r="X946" s="1">
        <v>0</v>
      </c>
      <c r="Y946" s="1">
        <v>0</v>
      </c>
      <c r="Z946" s="1">
        <v>1</v>
      </c>
      <c r="AA946" s="1">
        <v>1</v>
      </c>
      <c r="AB946" s="1">
        <v>1</v>
      </c>
      <c r="AC946" s="316">
        <v>0</v>
      </c>
      <c r="AD946" s="316">
        <v>1</v>
      </c>
      <c r="AE946" s="302">
        <f t="shared" si="74"/>
        <v>0.5</v>
      </c>
      <c r="AF946" s="17"/>
      <c r="AG946" s="17">
        <v>0</v>
      </c>
      <c r="AH946" s="17">
        <v>0</v>
      </c>
      <c r="AI946" s="17">
        <v>0</v>
      </c>
      <c r="AJ946" s="310">
        <v>1</v>
      </c>
      <c r="AK946" s="317">
        <v>0</v>
      </c>
      <c r="AL946" s="317"/>
      <c r="AM946" s="17">
        <f t="shared" si="75"/>
        <v>0</v>
      </c>
      <c r="AN946" s="283" t="s">
        <v>265</v>
      </c>
      <c r="AO946" s="18" t="s">
        <v>350</v>
      </c>
      <c r="AP946" s="283" t="s">
        <v>321</v>
      </c>
    </row>
    <row r="947" spans="1:42" hidden="1" x14ac:dyDescent="0.3">
      <c r="A947" s="314" t="s">
        <v>1448</v>
      </c>
      <c r="B947" s="283" t="s">
        <v>3447</v>
      </c>
      <c r="C947" s="314" t="s">
        <v>3449</v>
      </c>
      <c r="D947" s="283" t="s">
        <v>3450</v>
      </c>
      <c r="E947" s="314" t="s">
        <v>3451</v>
      </c>
      <c r="F947" s="283" t="s">
        <v>3452</v>
      </c>
      <c r="G947" s="314" t="s">
        <v>3597</v>
      </c>
      <c r="H947" s="283" t="s">
        <v>3598</v>
      </c>
      <c r="K947" s="314" t="s">
        <v>3599</v>
      </c>
      <c r="L947" s="283" t="s">
        <v>3600</v>
      </c>
      <c r="M947" s="283" t="s">
        <v>3608</v>
      </c>
      <c r="N947" s="3">
        <v>0</v>
      </c>
      <c r="O947" s="3">
        <v>0</v>
      </c>
      <c r="P947" s="3">
        <v>0</v>
      </c>
      <c r="Q947" s="3">
        <v>1</v>
      </c>
      <c r="R947" s="3">
        <v>1</v>
      </c>
      <c r="S947" s="3">
        <v>1</v>
      </c>
      <c r="T947" s="283" t="s">
        <v>265</v>
      </c>
      <c r="U947" s="283" t="s">
        <v>350</v>
      </c>
      <c r="V947" s="1" t="s">
        <v>3609</v>
      </c>
      <c r="W947" s="1">
        <v>1</v>
      </c>
      <c r="X947" s="1">
        <v>0</v>
      </c>
      <c r="Y947" s="1">
        <v>0</v>
      </c>
      <c r="Z947" s="1">
        <v>1</v>
      </c>
      <c r="AA947" s="1">
        <v>1</v>
      </c>
      <c r="AB947" s="1">
        <v>0</v>
      </c>
      <c r="AC947" s="316">
        <v>0</v>
      </c>
      <c r="AD947" s="316">
        <v>0</v>
      </c>
      <c r="AE947" s="302">
        <f t="shared" si="74"/>
        <v>0.375</v>
      </c>
      <c r="AF947" s="17"/>
      <c r="AG947" s="17">
        <v>0</v>
      </c>
      <c r="AH947" s="17">
        <v>0</v>
      </c>
      <c r="AI947" s="17">
        <v>0</v>
      </c>
      <c r="AJ947" s="310">
        <v>0</v>
      </c>
      <c r="AK947" s="317">
        <v>0</v>
      </c>
      <c r="AL947" s="317"/>
      <c r="AM947" s="17">
        <f t="shared" si="75"/>
        <v>0</v>
      </c>
      <c r="AN947" s="283" t="s">
        <v>265</v>
      </c>
      <c r="AO947" s="18" t="s">
        <v>350</v>
      </c>
      <c r="AP947" s="283" t="s">
        <v>119</v>
      </c>
    </row>
    <row r="948" spans="1:42" hidden="1" x14ac:dyDescent="0.3">
      <c r="A948" s="314" t="s">
        <v>1448</v>
      </c>
      <c r="B948" s="283" t="s">
        <v>3447</v>
      </c>
      <c r="C948" s="314" t="s">
        <v>3449</v>
      </c>
      <c r="D948" s="283" t="s">
        <v>3450</v>
      </c>
      <c r="E948" s="314" t="s">
        <v>3451</v>
      </c>
      <c r="F948" s="283" t="s">
        <v>3452</v>
      </c>
      <c r="G948" s="314" t="s">
        <v>3597</v>
      </c>
      <c r="H948" s="283" t="s">
        <v>3598</v>
      </c>
      <c r="K948" s="314" t="s">
        <v>3599</v>
      </c>
      <c r="L948" s="283" t="s">
        <v>3600</v>
      </c>
      <c r="M948" s="283" t="s">
        <v>3610</v>
      </c>
      <c r="N948" s="3">
        <v>0</v>
      </c>
      <c r="O948" s="3">
        <v>100</v>
      </c>
      <c r="P948" s="3">
        <v>100</v>
      </c>
      <c r="Q948" s="3">
        <v>100</v>
      </c>
      <c r="R948" s="3">
        <v>100</v>
      </c>
      <c r="S948" s="3">
        <v>100</v>
      </c>
      <c r="T948" s="283" t="s">
        <v>265</v>
      </c>
      <c r="U948" s="283" t="s">
        <v>350</v>
      </c>
      <c r="V948" s="1" t="s">
        <v>3611</v>
      </c>
      <c r="W948" s="1">
        <v>1</v>
      </c>
      <c r="X948" s="1"/>
      <c r="Y948" s="1"/>
      <c r="Z948" s="1"/>
      <c r="AA948" s="1"/>
      <c r="AB948" s="1"/>
      <c r="AC948" s="316">
        <v>0</v>
      </c>
      <c r="AD948" s="316">
        <v>0</v>
      </c>
      <c r="AE948" s="302">
        <f t="shared" si="74"/>
        <v>0.125</v>
      </c>
      <c r="AF948" s="17"/>
      <c r="AG948" s="17">
        <v>1</v>
      </c>
      <c r="AH948" s="17">
        <v>0</v>
      </c>
      <c r="AI948" s="310">
        <v>0.5</v>
      </c>
      <c r="AJ948" s="310">
        <v>0.5</v>
      </c>
      <c r="AK948" s="317">
        <v>0</v>
      </c>
      <c r="AL948" s="317"/>
      <c r="AM948" s="17">
        <f t="shared" si="75"/>
        <v>0</v>
      </c>
      <c r="AN948" s="283" t="s">
        <v>265</v>
      </c>
      <c r="AO948" s="18" t="s">
        <v>350</v>
      </c>
      <c r="AP948" s="283" t="s">
        <v>3612</v>
      </c>
    </row>
    <row r="949" spans="1:42" hidden="1" x14ac:dyDescent="0.3">
      <c r="A949" s="314" t="s">
        <v>1448</v>
      </c>
      <c r="B949" s="283" t="s">
        <v>3447</v>
      </c>
      <c r="C949" s="314" t="s">
        <v>3449</v>
      </c>
      <c r="D949" s="283" t="s">
        <v>3450</v>
      </c>
      <c r="E949" s="314" t="s">
        <v>3451</v>
      </c>
      <c r="F949" s="283" t="s">
        <v>3452</v>
      </c>
      <c r="G949" s="314" t="s">
        <v>3597</v>
      </c>
      <c r="H949" s="283" t="s">
        <v>3598</v>
      </c>
      <c r="K949" s="314" t="s">
        <v>3599</v>
      </c>
      <c r="L949" s="283" t="s">
        <v>3600</v>
      </c>
      <c r="M949" s="283" t="s">
        <v>3613</v>
      </c>
      <c r="N949" s="3">
        <v>0</v>
      </c>
      <c r="O949" s="3">
        <v>100</v>
      </c>
      <c r="P949" s="3">
        <v>100</v>
      </c>
      <c r="Q949" s="3">
        <v>100</v>
      </c>
      <c r="R949" s="3">
        <v>100</v>
      </c>
      <c r="S949" s="3">
        <v>100</v>
      </c>
      <c r="T949" s="283" t="s">
        <v>265</v>
      </c>
      <c r="U949" s="283" t="s">
        <v>350</v>
      </c>
      <c r="V949" s="1" t="s">
        <v>3614</v>
      </c>
      <c r="W949" s="1">
        <v>1</v>
      </c>
      <c r="X949" s="1">
        <v>0</v>
      </c>
      <c r="Y949" s="1">
        <v>0</v>
      </c>
      <c r="Z949" s="1">
        <v>1</v>
      </c>
      <c r="AA949" s="1">
        <v>1</v>
      </c>
      <c r="AB949" s="1">
        <v>0</v>
      </c>
      <c r="AC949" s="316">
        <v>0</v>
      </c>
      <c r="AD949" s="316">
        <v>1</v>
      </c>
      <c r="AE949" s="302">
        <f t="shared" si="74"/>
        <v>0.5</v>
      </c>
      <c r="AF949" s="17"/>
      <c r="AG949" s="17">
        <v>0</v>
      </c>
      <c r="AH949" s="17">
        <v>0</v>
      </c>
      <c r="AI949" s="310">
        <v>0.5</v>
      </c>
      <c r="AJ949" s="310">
        <v>0.5</v>
      </c>
      <c r="AK949" s="317">
        <v>0</v>
      </c>
      <c r="AL949" s="317"/>
      <c r="AM949" s="17">
        <f t="shared" si="75"/>
        <v>0</v>
      </c>
      <c r="AN949" s="283" t="s">
        <v>265</v>
      </c>
      <c r="AO949" s="18" t="s">
        <v>350</v>
      </c>
      <c r="AP949" s="283" t="s">
        <v>3615</v>
      </c>
    </row>
    <row r="950" spans="1:42" hidden="1" x14ac:dyDescent="0.3">
      <c r="A950" s="314" t="s">
        <v>1448</v>
      </c>
      <c r="B950" s="283" t="s">
        <v>3447</v>
      </c>
      <c r="C950" s="314" t="s">
        <v>3449</v>
      </c>
      <c r="D950" s="283" t="s">
        <v>3450</v>
      </c>
      <c r="E950" s="314" t="s">
        <v>3451</v>
      </c>
      <c r="F950" s="283" t="s">
        <v>3452</v>
      </c>
      <c r="G950" s="314" t="s">
        <v>3597</v>
      </c>
      <c r="H950" s="283" t="s">
        <v>3598</v>
      </c>
      <c r="K950" s="314" t="s">
        <v>3599</v>
      </c>
      <c r="L950" s="283" t="s">
        <v>3600</v>
      </c>
      <c r="M950" s="283" t="s">
        <v>3616</v>
      </c>
      <c r="N950" s="3">
        <v>0</v>
      </c>
      <c r="O950" s="3">
        <v>100</v>
      </c>
      <c r="P950" s="3">
        <v>100</v>
      </c>
      <c r="Q950" s="3">
        <v>100</v>
      </c>
      <c r="R950" s="3">
        <v>100</v>
      </c>
      <c r="S950" s="3">
        <v>100</v>
      </c>
      <c r="T950" s="283" t="s">
        <v>265</v>
      </c>
      <c r="U950" s="283" t="s">
        <v>350</v>
      </c>
      <c r="V950" s="1" t="s">
        <v>3617</v>
      </c>
      <c r="W950" s="1">
        <v>1</v>
      </c>
      <c r="X950" s="1">
        <v>0</v>
      </c>
      <c r="Y950" s="1">
        <v>0</v>
      </c>
      <c r="Z950" s="1">
        <v>1</v>
      </c>
      <c r="AA950" s="1">
        <v>1</v>
      </c>
      <c r="AB950" s="1">
        <v>0</v>
      </c>
      <c r="AC950" s="316">
        <v>0</v>
      </c>
      <c r="AD950" s="316">
        <v>1</v>
      </c>
      <c r="AE950" s="302">
        <f t="shared" si="74"/>
        <v>0.5</v>
      </c>
      <c r="AF950" s="17"/>
      <c r="AG950" s="17">
        <v>0</v>
      </c>
      <c r="AH950" s="17">
        <v>0</v>
      </c>
      <c r="AI950" s="310">
        <v>0.5</v>
      </c>
      <c r="AJ950" s="310">
        <v>0.5</v>
      </c>
      <c r="AK950" s="317">
        <v>0</v>
      </c>
      <c r="AL950" s="317"/>
      <c r="AM950" s="17">
        <f t="shared" si="75"/>
        <v>0</v>
      </c>
      <c r="AN950" s="283" t="s">
        <v>265</v>
      </c>
      <c r="AO950" s="18" t="s">
        <v>350</v>
      </c>
      <c r="AP950" s="283" t="s">
        <v>3615</v>
      </c>
    </row>
    <row r="951" spans="1:42" hidden="1" x14ac:dyDescent="0.3">
      <c r="A951" s="314" t="s">
        <v>1448</v>
      </c>
      <c r="B951" s="283" t="s">
        <v>3447</v>
      </c>
      <c r="C951" s="314" t="s">
        <v>3449</v>
      </c>
      <c r="D951" s="283" t="s">
        <v>3450</v>
      </c>
      <c r="E951" s="314" t="s">
        <v>3451</v>
      </c>
      <c r="F951" s="283" t="s">
        <v>3452</v>
      </c>
      <c r="G951" s="314" t="s">
        <v>3597</v>
      </c>
      <c r="H951" s="283" t="s">
        <v>3598</v>
      </c>
      <c r="K951" s="314" t="s">
        <v>3599</v>
      </c>
      <c r="L951" s="283" t="s">
        <v>3600</v>
      </c>
      <c r="M951" s="283" t="s">
        <v>3618</v>
      </c>
      <c r="N951" s="3">
        <v>0</v>
      </c>
      <c r="O951" s="3">
        <v>1</v>
      </c>
      <c r="P951" s="3">
        <v>1</v>
      </c>
      <c r="Q951" s="3">
        <v>1</v>
      </c>
      <c r="R951" s="3">
        <v>1</v>
      </c>
      <c r="S951" s="3" t="s">
        <v>3619</v>
      </c>
      <c r="T951" s="283" t="s">
        <v>265</v>
      </c>
      <c r="U951" s="283" t="s">
        <v>350</v>
      </c>
      <c r="V951" s="1" t="s">
        <v>3620</v>
      </c>
      <c r="W951" s="1">
        <v>1</v>
      </c>
      <c r="X951" s="1">
        <v>0</v>
      </c>
      <c r="Y951" s="1">
        <v>0</v>
      </c>
      <c r="Z951" s="1">
        <v>1</v>
      </c>
      <c r="AA951" s="1">
        <v>1</v>
      </c>
      <c r="AB951" s="1">
        <v>0</v>
      </c>
      <c r="AC951" s="316">
        <v>0</v>
      </c>
      <c r="AD951" s="316">
        <v>1</v>
      </c>
      <c r="AE951" s="302">
        <f t="shared" si="74"/>
        <v>0.5</v>
      </c>
      <c r="AF951" s="17"/>
      <c r="AG951" s="17">
        <v>0</v>
      </c>
      <c r="AH951" s="17">
        <v>0</v>
      </c>
      <c r="AI951" s="310">
        <v>0</v>
      </c>
      <c r="AJ951" s="310">
        <v>0</v>
      </c>
      <c r="AK951" s="317">
        <v>0</v>
      </c>
      <c r="AL951" s="317"/>
      <c r="AM951" s="17">
        <f t="shared" si="75"/>
        <v>0</v>
      </c>
      <c r="AN951" s="283" t="s">
        <v>265</v>
      </c>
      <c r="AO951" s="18" t="s">
        <v>350</v>
      </c>
      <c r="AP951" s="283" t="s">
        <v>119</v>
      </c>
    </row>
    <row r="952" spans="1:42" x14ac:dyDescent="0.3">
      <c r="A952" s="314" t="s">
        <v>1448</v>
      </c>
      <c r="B952" s="283" t="s">
        <v>3447</v>
      </c>
      <c r="C952" s="314" t="s">
        <v>3449</v>
      </c>
      <c r="D952" s="283" t="s">
        <v>3450</v>
      </c>
      <c r="E952" s="314" t="s">
        <v>3621</v>
      </c>
      <c r="F952" s="283" t="s">
        <v>3622</v>
      </c>
      <c r="G952" s="314" t="s">
        <v>3623</v>
      </c>
      <c r="H952" s="283" t="s">
        <v>3624</v>
      </c>
      <c r="K952" s="314" t="s">
        <v>3625</v>
      </c>
      <c r="L952" s="283" t="s">
        <v>3626</v>
      </c>
      <c r="M952" s="283" t="s">
        <v>3627</v>
      </c>
      <c r="N952" s="3">
        <v>0</v>
      </c>
      <c r="O952" s="3">
        <v>10</v>
      </c>
      <c r="P952" s="3">
        <v>10</v>
      </c>
      <c r="Q952" s="3">
        <v>10</v>
      </c>
      <c r="R952" s="3">
        <v>10</v>
      </c>
      <c r="S952" s="3">
        <v>10</v>
      </c>
      <c r="T952" s="283" t="s">
        <v>265</v>
      </c>
      <c r="U952" s="283" t="s">
        <v>350</v>
      </c>
      <c r="V952" s="1" t="s">
        <v>3628</v>
      </c>
      <c r="W952" s="1">
        <v>1</v>
      </c>
      <c r="X952" s="1">
        <v>1</v>
      </c>
      <c r="Y952" s="1">
        <v>1</v>
      </c>
      <c r="Z952" s="1">
        <v>1</v>
      </c>
      <c r="AA952" s="1">
        <v>1</v>
      </c>
      <c r="AB952" s="1">
        <v>1</v>
      </c>
      <c r="AC952" s="316">
        <v>1</v>
      </c>
      <c r="AD952" s="316">
        <v>1</v>
      </c>
      <c r="AE952" s="302">
        <f t="shared" si="74"/>
        <v>1</v>
      </c>
      <c r="AF952" s="310"/>
      <c r="AG952" s="17">
        <v>0</v>
      </c>
      <c r="AH952" s="310">
        <v>0.5</v>
      </c>
      <c r="AI952" s="310">
        <v>0.5</v>
      </c>
      <c r="AJ952" s="310">
        <v>0.5</v>
      </c>
      <c r="AK952" s="317">
        <v>0.5</v>
      </c>
      <c r="AL952" s="317">
        <v>0.5</v>
      </c>
      <c r="AM952" s="17">
        <f t="shared" si="75"/>
        <v>1</v>
      </c>
      <c r="AN952" s="283" t="s">
        <v>3629</v>
      </c>
      <c r="AO952" s="18" t="s">
        <v>3630</v>
      </c>
      <c r="AP952" s="283" t="s">
        <v>321</v>
      </c>
    </row>
    <row r="953" spans="1:42" x14ac:dyDescent="0.3">
      <c r="A953" s="314" t="s">
        <v>1448</v>
      </c>
      <c r="B953" s="283" t="s">
        <v>3447</v>
      </c>
      <c r="C953" s="314" t="s">
        <v>3449</v>
      </c>
      <c r="D953" s="283" t="s">
        <v>3450</v>
      </c>
      <c r="E953" s="314" t="s">
        <v>3621</v>
      </c>
      <c r="F953" s="283" t="s">
        <v>3622</v>
      </c>
      <c r="G953" s="314" t="s">
        <v>3623</v>
      </c>
      <c r="H953" s="283" t="s">
        <v>3624</v>
      </c>
      <c r="K953" s="314" t="s">
        <v>3625</v>
      </c>
      <c r="L953" s="283" t="s">
        <v>3626</v>
      </c>
      <c r="M953" s="283" t="s">
        <v>3631</v>
      </c>
      <c r="N953" s="3">
        <v>2</v>
      </c>
      <c r="O953" s="3" t="s">
        <v>3516</v>
      </c>
      <c r="P953" s="3" t="s">
        <v>3516</v>
      </c>
      <c r="Q953" s="3" t="s">
        <v>3516</v>
      </c>
      <c r="R953" s="3" t="s">
        <v>3516</v>
      </c>
      <c r="S953" s="3">
        <v>3</v>
      </c>
      <c r="T953" s="283" t="s">
        <v>265</v>
      </c>
      <c r="U953" s="283" t="s">
        <v>350</v>
      </c>
      <c r="V953" s="1" t="s">
        <v>3632</v>
      </c>
      <c r="W953" s="1">
        <v>1</v>
      </c>
      <c r="X953" s="1">
        <v>1</v>
      </c>
      <c r="Y953" s="1">
        <v>1</v>
      </c>
      <c r="Z953" s="1">
        <v>1</v>
      </c>
      <c r="AA953" s="1">
        <v>1</v>
      </c>
      <c r="AB953" s="1">
        <v>1</v>
      </c>
      <c r="AC953" s="316">
        <v>1</v>
      </c>
      <c r="AD953" s="316">
        <v>1</v>
      </c>
      <c r="AE953" s="302">
        <f t="shared" si="74"/>
        <v>1</v>
      </c>
      <c r="AF953" s="310"/>
      <c r="AG953" s="17">
        <v>0</v>
      </c>
      <c r="AH953" s="310">
        <v>0</v>
      </c>
      <c r="AI953" s="310">
        <v>0</v>
      </c>
      <c r="AJ953" s="310">
        <v>0</v>
      </c>
      <c r="AK953" s="317">
        <v>0</v>
      </c>
      <c r="AL953" s="317">
        <v>0</v>
      </c>
      <c r="AM953" s="17">
        <f t="shared" si="75"/>
        <v>0</v>
      </c>
      <c r="AN953" s="283" t="s">
        <v>265</v>
      </c>
      <c r="AO953" s="18" t="s">
        <v>350</v>
      </c>
      <c r="AP953" s="283" t="s">
        <v>3633</v>
      </c>
    </row>
    <row r="954" spans="1:42" hidden="1" x14ac:dyDescent="0.3">
      <c r="A954" s="314" t="s">
        <v>1448</v>
      </c>
      <c r="B954" s="283" t="s">
        <v>3447</v>
      </c>
      <c r="C954" s="314" t="s">
        <v>3449</v>
      </c>
      <c r="D954" s="283" t="s">
        <v>3450</v>
      </c>
      <c r="E954" s="314" t="s">
        <v>3621</v>
      </c>
      <c r="F954" s="283" t="s">
        <v>3622</v>
      </c>
      <c r="G954" s="314" t="s">
        <v>3623</v>
      </c>
      <c r="H954" s="283" t="s">
        <v>3624</v>
      </c>
      <c r="K954" s="314" t="s">
        <v>3625</v>
      </c>
      <c r="L954" s="283" t="s">
        <v>3626</v>
      </c>
      <c r="M954" s="283" t="s">
        <v>3631</v>
      </c>
      <c r="N954" s="3">
        <v>2</v>
      </c>
      <c r="O954" s="3" t="s">
        <v>3516</v>
      </c>
      <c r="P954" s="3" t="s">
        <v>3516</v>
      </c>
      <c r="Q954" s="3" t="s">
        <v>3516</v>
      </c>
      <c r="R954" s="3" t="s">
        <v>3516</v>
      </c>
      <c r="S954" s="3">
        <v>3</v>
      </c>
      <c r="T954" s="283" t="s">
        <v>3634</v>
      </c>
      <c r="U954" s="283" t="e">
        <v>#N/A</v>
      </c>
      <c r="V954" s="1" t="s">
        <v>3632</v>
      </c>
      <c r="W954" s="1"/>
      <c r="X954" s="1"/>
      <c r="Y954" s="1"/>
      <c r="Z954" s="1"/>
      <c r="AA954" s="1"/>
      <c r="AB954" s="1"/>
      <c r="AC954" s="316">
        <v>0</v>
      </c>
      <c r="AD954" s="316">
        <v>0</v>
      </c>
      <c r="AE954" s="302">
        <f t="shared" si="74"/>
        <v>0</v>
      </c>
      <c r="AF954" s="310"/>
      <c r="AG954" s="17">
        <v>0</v>
      </c>
      <c r="AH954" s="310">
        <v>0.5</v>
      </c>
      <c r="AI954" s="310">
        <v>0.5</v>
      </c>
      <c r="AJ954" s="310">
        <v>0.5</v>
      </c>
      <c r="AK954" s="317">
        <v>0</v>
      </c>
      <c r="AL954" s="317"/>
      <c r="AM954" s="17">
        <f t="shared" si="75"/>
        <v>0</v>
      </c>
      <c r="AN954" s="283" t="s">
        <v>3629</v>
      </c>
      <c r="AO954" s="18" t="s">
        <v>3630</v>
      </c>
      <c r="AP954" s="283" t="s">
        <v>3635</v>
      </c>
    </row>
    <row r="955" spans="1:42" x14ac:dyDescent="0.3">
      <c r="A955" s="314" t="s">
        <v>1448</v>
      </c>
      <c r="B955" s="283" t="s">
        <v>3447</v>
      </c>
      <c r="C955" s="314" t="s">
        <v>3449</v>
      </c>
      <c r="D955" s="283" t="s">
        <v>3450</v>
      </c>
      <c r="E955" s="314" t="s">
        <v>3621</v>
      </c>
      <c r="F955" s="283" t="s">
        <v>3622</v>
      </c>
      <c r="G955" s="314" t="s">
        <v>3623</v>
      </c>
      <c r="H955" s="283" t="s">
        <v>3624</v>
      </c>
      <c r="K955" s="314" t="s">
        <v>3625</v>
      </c>
      <c r="L955" s="283" t="s">
        <v>3626</v>
      </c>
      <c r="M955" s="283" t="s">
        <v>3636</v>
      </c>
      <c r="N955" s="3">
        <v>1</v>
      </c>
      <c r="O955" s="3" t="s">
        <v>3565</v>
      </c>
      <c r="P955" s="3" t="s">
        <v>3565</v>
      </c>
      <c r="Q955" s="3" t="s">
        <v>3565</v>
      </c>
      <c r="R955" s="3" t="s">
        <v>3565</v>
      </c>
      <c r="S955" s="3">
        <v>2</v>
      </c>
      <c r="T955" s="283" t="s">
        <v>265</v>
      </c>
      <c r="U955" s="283" t="s">
        <v>350</v>
      </c>
      <c r="V955" s="1" t="s">
        <v>3637</v>
      </c>
      <c r="W955" s="1">
        <v>1</v>
      </c>
      <c r="X955" s="1">
        <v>1</v>
      </c>
      <c r="Y955" s="1">
        <v>1</v>
      </c>
      <c r="Z955" s="1">
        <v>1</v>
      </c>
      <c r="AA955" s="1">
        <v>1</v>
      </c>
      <c r="AB955" s="1">
        <v>0</v>
      </c>
      <c r="AC955" s="316">
        <v>1</v>
      </c>
      <c r="AD955" s="316">
        <v>1</v>
      </c>
      <c r="AE955" s="302">
        <f t="shared" si="74"/>
        <v>0.875</v>
      </c>
      <c r="AF955" s="310"/>
      <c r="AG955" s="17">
        <v>0</v>
      </c>
      <c r="AH955" s="310">
        <v>0.1</v>
      </c>
      <c r="AI955" s="310">
        <v>0.1</v>
      </c>
      <c r="AJ955" s="310">
        <v>0.1</v>
      </c>
      <c r="AK955" s="317">
        <v>0.1</v>
      </c>
      <c r="AL955" s="317">
        <v>0.1</v>
      </c>
      <c r="AM955" s="17">
        <f t="shared" si="75"/>
        <v>0.2</v>
      </c>
      <c r="AN955" s="283" t="s">
        <v>265</v>
      </c>
      <c r="AO955" s="18" t="s">
        <v>350</v>
      </c>
      <c r="AP955" s="283" t="s">
        <v>3638</v>
      </c>
    </row>
    <row r="956" spans="1:42" x14ac:dyDescent="0.3">
      <c r="A956" s="314" t="s">
        <v>1448</v>
      </c>
      <c r="B956" s="283" t="s">
        <v>3447</v>
      </c>
      <c r="C956" s="314" t="s">
        <v>3449</v>
      </c>
      <c r="D956" s="283" t="s">
        <v>3450</v>
      </c>
      <c r="E956" s="314" t="s">
        <v>3621</v>
      </c>
      <c r="F956" s="283" t="s">
        <v>3622</v>
      </c>
      <c r="G956" s="314" t="s">
        <v>3623</v>
      </c>
      <c r="H956" s="283" t="s">
        <v>3624</v>
      </c>
      <c r="K956" s="314" t="s">
        <v>3625</v>
      </c>
      <c r="L956" s="283" t="s">
        <v>3626</v>
      </c>
      <c r="M956" s="283" t="s">
        <v>3639</v>
      </c>
      <c r="N956" s="3">
        <v>0</v>
      </c>
      <c r="O956" s="3">
        <v>5</v>
      </c>
      <c r="P956" s="3">
        <v>5</v>
      </c>
      <c r="Q956" s="3">
        <v>5</v>
      </c>
      <c r="R956" s="3">
        <v>5</v>
      </c>
      <c r="S956" s="3">
        <v>5</v>
      </c>
      <c r="T956" s="283" t="s">
        <v>3640</v>
      </c>
      <c r="U956" s="283" t="s">
        <v>3630</v>
      </c>
      <c r="V956" s="1" t="s">
        <v>3641</v>
      </c>
      <c r="W956" s="1">
        <v>1</v>
      </c>
      <c r="X956" s="1">
        <v>1</v>
      </c>
      <c r="Y956" s="1">
        <v>1</v>
      </c>
      <c r="Z956" s="1">
        <v>1</v>
      </c>
      <c r="AA956" s="1">
        <v>1</v>
      </c>
      <c r="AB956" s="1">
        <v>0</v>
      </c>
      <c r="AC956" s="316">
        <v>1</v>
      </c>
      <c r="AD956" s="316">
        <v>1</v>
      </c>
      <c r="AE956" s="302">
        <f t="shared" si="74"/>
        <v>0.875</v>
      </c>
      <c r="AF956" s="310"/>
      <c r="AG956" s="17">
        <v>0</v>
      </c>
      <c r="AH956" s="310">
        <v>0</v>
      </c>
      <c r="AI956" s="310">
        <v>0</v>
      </c>
      <c r="AJ956" s="310">
        <v>0</v>
      </c>
      <c r="AK956" s="317">
        <v>0</v>
      </c>
      <c r="AL956" s="317">
        <v>0</v>
      </c>
      <c r="AM956" s="17">
        <f t="shared" si="75"/>
        <v>0</v>
      </c>
      <c r="AN956" s="283" t="s">
        <v>265</v>
      </c>
      <c r="AO956" s="18" t="s">
        <v>350</v>
      </c>
      <c r="AP956" s="283" t="s">
        <v>3638</v>
      </c>
    </row>
    <row r="957" spans="1:42" hidden="1" x14ac:dyDescent="0.3">
      <c r="A957" s="314" t="s">
        <v>1448</v>
      </c>
      <c r="B957" s="283" t="s">
        <v>3447</v>
      </c>
      <c r="C957" s="314" t="s">
        <v>3449</v>
      </c>
      <c r="D957" s="283" t="s">
        <v>3450</v>
      </c>
      <c r="E957" s="314" t="s">
        <v>3621</v>
      </c>
      <c r="F957" s="283" t="s">
        <v>3622</v>
      </c>
      <c r="G957" s="314" t="s">
        <v>3623</v>
      </c>
      <c r="H957" s="283" t="s">
        <v>3624</v>
      </c>
      <c r="K957" s="314" t="s">
        <v>3625</v>
      </c>
      <c r="L957" s="283" t="s">
        <v>3626</v>
      </c>
      <c r="M957" s="283" t="s">
        <v>3642</v>
      </c>
      <c r="N957" s="3">
        <v>0</v>
      </c>
      <c r="O957" s="3">
        <v>5</v>
      </c>
      <c r="P957" s="3">
        <v>5</v>
      </c>
      <c r="Q957" s="3">
        <v>5</v>
      </c>
      <c r="R957" s="3">
        <v>5</v>
      </c>
      <c r="S957" s="3">
        <v>5</v>
      </c>
      <c r="T957" s="283" t="s">
        <v>265</v>
      </c>
      <c r="U957" s="283" t="s">
        <v>350</v>
      </c>
      <c r="V957" s="1" t="s">
        <v>3641</v>
      </c>
      <c r="W957" s="1"/>
      <c r="X957" s="1"/>
      <c r="Y957" s="1"/>
      <c r="Z957" s="1"/>
      <c r="AA957" s="1"/>
      <c r="AB957" s="1"/>
      <c r="AC957" s="316">
        <v>0</v>
      </c>
      <c r="AD957" s="316">
        <v>0</v>
      </c>
      <c r="AE957" s="302">
        <f t="shared" si="74"/>
        <v>0</v>
      </c>
      <c r="AF957" s="310"/>
      <c r="AG957" s="17">
        <v>0</v>
      </c>
      <c r="AH957" s="310">
        <v>0.7</v>
      </c>
      <c r="AI957" s="310">
        <v>0.7</v>
      </c>
      <c r="AJ957" s="310">
        <v>0.7</v>
      </c>
      <c r="AK957" s="317">
        <v>0</v>
      </c>
      <c r="AL957" s="317"/>
      <c r="AM957" s="17">
        <f t="shared" si="75"/>
        <v>0</v>
      </c>
      <c r="AN957" s="283" t="s">
        <v>3643</v>
      </c>
      <c r="AO957" s="18" t="s">
        <v>3630</v>
      </c>
      <c r="AP957" s="283" t="s">
        <v>3644</v>
      </c>
    </row>
    <row r="958" spans="1:42" x14ac:dyDescent="0.3">
      <c r="A958" s="314" t="s">
        <v>1448</v>
      </c>
      <c r="B958" s="283" t="s">
        <v>3447</v>
      </c>
      <c r="C958" s="314" t="s">
        <v>3449</v>
      </c>
      <c r="D958" s="283" t="s">
        <v>3450</v>
      </c>
      <c r="E958" s="314" t="s">
        <v>3621</v>
      </c>
      <c r="F958" s="283" t="s">
        <v>3622</v>
      </c>
      <c r="G958" s="314" t="s">
        <v>3623</v>
      </c>
      <c r="H958" s="283" t="s">
        <v>3624</v>
      </c>
      <c r="K958" s="314" t="s">
        <v>3625</v>
      </c>
      <c r="L958" s="283" t="s">
        <v>3626</v>
      </c>
      <c r="M958" s="283" t="s">
        <v>3645</v>
      </c>
      <c r="N958" s="3">
        <v>0</v>
      </c>
      <c r="O958" s="3">
        <v>1</v>
      </c>
      <c r="P958" s="3" t="s">
        <v>3565</v>
      </c>
      <c r="Q958" s="3" t="s">
        <v>3565</v>
      </c>
      <c r="R958" s="3" t="s">
        <v>3565</v>
      </c>
      <c r="S958" s="3" t="s">
        <v>3565</v>
      </c>
      <c r="T958" s="283" t="s">
        <v>798</v>
      </c>
      <c r="U958" s="283" t="s">
        <v>350</v>
      </c>
      <c r="V958" s="1" t="s">
        <v>3646</v>
      </c>
      <c r="W958" s="1">
        <v>1</v>
      </c>
      <c r="X958" s="1">
        <v>1</v>
      </c>
      <c r="Y958" s="1">
        <v>1</v>
      </c>
      <c r="Z958" s="1">
        <v>1</v>
      </c>
      <c r="AA958" s="1">
        <v>1</v>
      </c>
      <c r="AB958" s="1">
        <v>0</v>
      </c>
      <c r="AC958" s="316">
        <v>1</v>
      </c>
      <c r="AD958" s="316">
        <v>1</v>
      </c>
      <c r="AE958" s="302">
        <f t="shared" si="74"/>
        <v>0.875</v>
      </c>
      <c r="AF958" s="310"/>
      <c r="AG958" s="17">
        <v>0</v>
      </c>
      <c r="AH958" s="310">
        <v>25</v>
      </c>
      <c r="AI958" s="310">
        <v>25</v>
      </c>
      <c r="AJ958" s="310">
        <v>25</v>
      </c>
      <c r="AK958" s="317">
        <v>25</v>
      </c>
      <c r="AL958" s="317">
        <v>25</v>
      </c>
      <c r="AM958" s="17">
        <f t="shared" si="75"/>
        <v>50</v>
      </c>
      <c r="AN958" s="283" t="s">
        <v>619</v>
      </c>
      <c r="AO958" s="18" t="s">
        <v>350</v>
      </c>
      <c r="AP958" s="283" t="s">
        <v>3647</v>
      </c>
    </row>
    <row r="959" spans="1:42" x14ac:dyDescent="0.3">
      <c r="A959" s="314" t="s">
        <v>1448</v>
      </c>
      <c r="B959" s="283" t="s">
        <v>3447</v>
      </c>
      <c r="C959" s="314" t="s">
        <v>3449</v>
      </c>
      <c r="D959" s="283" t="s">
        <v>3450</v>
      </c>
      <c r="E959" s="314" t="s">
        <v>3621</v>
      </c>
      <c r="F959" s="283" t="s">
        <v>3622</v>
      </c>
      <c r="G959" s="314" t="s">
        <v>3623</v>
      </c>
      <c r="H959" s="283" t="s">
        <v>3624</v>
      </c>
      <c r="K959" s="314" t="s">
        <v>3648</v>
      </c>
      <c r="L959" s="283" t="s">
        <v>3626</v>
      </c>
      <c r="M959" s="283" t="s">
        <v>3649</v>
      </c>
      <c r="N959" s="3" t="s">
        <v>271</v>
      </c>
      <c r="O959" s="3">
        <v>2</v>
      </c>
      <c r="P959" s="3">
        <v>2</v>
      </c>
      <c r="Q959" s="3">
        <v>2</v>
      </c>
      <c r="R959" s="3">
        <v>2</v>
      </c>
      <c r="S959" s="3">
        <v>2</v>
      </c>
      <c r="T959" s="283" t="s">
        <v>265</v>
      </c>
      <c r="U959" s="283" t="s">
        <v>350</v>
      </c>
      <c r="V959" s="1" t="s">
        <v>3650</v>
      </c>
      <c r="W959" s="1">
        <v>1</v>
      </c>
      <c r="X959" s="1">
        <v>1</v>
      </c>
      <c r="Y959" s="1">
        <v>0</v>
      </c>
      <c r="Z959" s="1">
        <v>1</v>
      </c>
      <c r="AA959" s="1">
        <v>1</v>
      </c>
      <c r="AB959" s="1">
        <v>0</v>
      </c>
      <c r="AC959" s="316">
        <v>1</v>
      </c>
      <c r="AD959" s="316">
        <v>1</v>
      </c>
      <c r="AE959" s="302">
        <f t="shared" si="74"/>
        <v>0.75</v>
      </c>
      <c r="AF959" s="310"/>
      <c r="AG959" s="17">
        <v>0</v>
      </c>
      <c r="AH959" s="310">
        <v>0.5</v>
      </c>
      <c r="AI959" s="310">
        <v>0.5</v>
      </c>
      <c r="AJ959" s="310">
        <v>0.5</v>
      </c>
      <c r="AK959" s="317">
        <v>0.5</v>
      </c>
      <c r="AL959" s="317" t="s">
        <v>3651</v>
      </c>
      <c r="AM959" s="17">
        <f t="shared" si="75"/>
        <v>0.5</v>
      </c>
      <c r="AN959" s="283" t="s">
        <v>265</v>
      </c>
      <c r="AO959" s="18" t="s">
        <v>350</v>
      </c>
      <c r="AP959" s="283" t="s">
        <v>1233</v>
      </c>
    </row>
    <row r="960" spans="1:42" hidden="1" x14ac:dyDescent="0.3">
      <c r="A960" s="314" t="s">
        <v>1448</v>
      </c>
      <c r="B960" s="283" t="s">
        <v>3447</v>
      </c>
      <c r="C960" s="314" t="s">
        <v>3449</v>
      </c>
      <c r="D960" s="283" t="s">
        <v>3450</v>
      </c>
      <c r="E960" s="314" t="s">
        <v>3621</v>
      </c>
      <c r="F960" s="283" t="s">
        <v>3622</v>
      </c>
      <c r="G960" s="314" t="s">
        <v>3623</v>
      </c>
      <c r="H960" s="283" t="s">
        <v>3624</v>
      </c>
      <c r="K960" s="314" t="s">
        <v>3648</v>
      </c>
      <c r="L960" s="283" t="s">
        <v>3626</v>
      </c>
      <c r="M960" s="283" t="s">
        <v>3649</v>
      </c>
      <c r="N960" s="3" t="s">
        <v>271</v>
      </c>
      <c r="O960" s="3">
        <v>2</v>
      </c>
      <c r="P960" s="3">
        <v>2</v>
      </c>
      <c r="Q960" s="3">
        <v>2</v>
      </c>
      <c r="R960" s="3">
        <v>2</v>
      </c>
      <c r="S960" s="3">
        <v>2</v>
      </c>
      <c r="T960" s="283" t="s">
        <v>1233</v>
      </c>
      <c r="U960" s="283" t="s">
        <v>1650</v>
      </c>
      <c r="V960" s="344" t="s">
        <v>3652</v>
      </c>
      <c r="W960" s="1"/>
      <c r="X960" s="1"/>
      <c r="Y960" s="1"/>
      <c r="Z960" s="1"/>
      <c r="AA960" s="1"/>
      <c r="AB960" s="1"/>
      <c r="AC960" s="316">
        <v>0</v>
      </c>
      <c r="AD960" s="316">
        <v>0</v>
      </c>
      <c r="AE960" s="302">
        <f t="shared" si="74"/>
        <v>0</v>
      </c>
      <c r="AF960" s="310"/>
      <c r="AG960" s="17">
        <v>0</v>
      </c>
      <c r="AH960" s="310">
        <v>0.5</v>
      </c>
      <c r="AI960" s="310">
        <v>0.2</v>
      </c>
      <c r="AJ960" s="310">
        <v>0.2</v>
      </c>
      <c r="AK960" s="317">
        <v>0</v>
      </c>
      <c r="AL960" s="317"/>
      <c r="AM960" s="17">
        <f t="shared" si="75"/>
        <v>0</v>
      </c>
      <c r="AN960" s="283" t="s">
        <v>1233</v>
      </c>
      <c r="AO960" s="18" t="s">
        <v>1650</v>
      </c>
      <c r="AP960" s="283" t="s">
        <v>265</v>
      </c>
    </row>
    <row r="961" spans="1:42" hidden="1" x14ac:dyDescent="0.3">
      <c r="A961" s="314" t="s">
        <v>1448</v>
      </c>
      <c r="B961" s="283" t="s">
        <v>3447</v>
      </c>
      <c r="C961" s="314" t="s">
        <v>3449</v>
      </c>
      <c r="D961" s="283" t="s">
        <v>3450</v>
      </c>
      <c r="E961" s="314" t="s">
        <v>3621</v>
      </c>
      <c r="F961" s="283" t="s">
        <v>3622</v>
      </c>
      <c r="G961" s="314" t="s">
        <v>3623</v>
      </c>
      <c r="H961" s="283" t="s">
        <v>3624</v>
      </c>
      <c r="K961" s="314" t="s">
        <v>3648</v>
      </c>
      <c r="L961" s="283" t="s">
        <v>3653</v>
      </c>
      <c r="M961" s="283" t="s">
        <v>3654</v>
      </c>
      <c r="N961" s="3">
        <v>0</v>
      </c>
      <c r="O961" s="3">
        <v>5</v>
      </c>
      <c r="P961" s="3">
        <v>5</v>
      </c>
      <c r="Q961" s="3">
        <v>5</v>
      </c>
      <c r="R961" s="3">
        <v>5</v>
      </c>
      <c r="S961" s="3">
        <v>5</v>
      </c>
      <c r="T961" s="283" t="s">
        <v>265</v>
      </c>
      <c r="U961" s="283" t="s">
        <v>350</v>
      </c>
      <c r="V961" s="1" t="s">
        <v>3655</v>
      </c>
      <c r="W961" s="1">
        <v>1</v>
      </c>
      <c r="X961" s="1">
        <v>0</v>
      </c>
      <c r="Y961" s="1">
        <v>0</v>
      </c>
      <c r="Z961" s="1">
        <v>1</v>
      </c>
      <c r="AA961" s="1">
        <v>1</v>
      </c>
      <c r="AB961" s="1">
        <v>1</v>
      </c>
      <c r="AC961" s="316">
        <v>0</v>
      </c>
      <c r="AD961" s="316">
        <v>1</v>
      </c>
      <c r="AE961" s="302">
        <f t="shared" si="74"/>
        <v>0.625</v>
      </c>
      <c r="AF961" s="310"/>
      <c r="AG961" s="17">
        <v>0</v>
      </c>
      <c r="AH961" s="310">
        <v>0.2</v>
      </c>
      <c r="AI961" s="310">
        <v>0.2</v>
      </c>
      <c r="AJ961" s="310">
        <v>0.2</v>
      </c>
      <c r="AK961" s="153">
        <v>0</v>
      </c>
      <c r="AL961" s="154">
        <v>0</v>
      </c>
      <c r="AM961" s="17">
        <f t="shared" si="75"/>
        <v>0</v>
      </c>
      <c r="AN961" s="283" t="s">
        <v>265</v>
      </c>
      <c r="AO961" s="18" t="s">
        <v>350</v>
      </c>
      <c r="AP961" s="283" t="s">
        <v>3656</v>
      </c>
    </row>
    <row r="962" spans="1:42" x14ac:dyDescent="0.3">
      <c r="A962" s="314" t="s">
        <v>1448</v>
      </c>
      <c r="B962" s="283" t="s">
        <v>3447</v>
      </c>
      <c r="C962" s="314" t="s">
        <v>3449</v>
      </c>
      <c r="D962" s="283" t="s">
        <v>3450</v>
      </c>
      <c r="E962" s="314" t="s">
        <v>3621</v>
      </c>
      <c r="F962" s="283" t="s">
        <v>3622</v>
      </c>
      <c r="G962" s="314" t="s">
        <v>3623</v>
      </c>
      <c r="H962" s="283" t="s">
        <v>3624</v>
      </c>
      <c r="K962" s="314" t="s">
        <v>3648</v>
      </c>
      <c r="L962" s="283" t="s">
        <v>3653</v>
      </c>
      <c r="M962" s="283" t="s">
        <v>3657</v>
      </c>
      <c r="N962" s="3" t="s">
        <v>271</v>
      </c>
      <c r="O962" s="3">
        <v>1</v>
      </c>
      <c r="P962" s="3">
        <v>1</v>
      </c>
      <c r="Q962" s="3">
        <v>1</v>
      </c>
      <c r="R962" s="3">
        <v>1</v>
      </c>
      <c r="S962" s="3">
        <v>1</v>
      </c>
      <c r="T962" s="283" t="s">
        <v>265</v>
      </c>
      <c r="U962" s="283" t="s">
        <v>350</v>
      </c>
      <c r="V962" s="1" t="s">
        <v>3658</v>
      </c>
      <c r="W962" s="1">
        <v>1</v>
      </c>
      <c r="X962" s="1">
        <v>1</v>
      </c>
      <c r="Y962" s="1">
        <v>1</v>
      </c>
      <c r="Z962" s="1">
        <v>1</v>
      </c>
      <c r="AA962" s="1">
        <v>1</v>
      </c>
      <c r="AB962" s="1">
        <v>0</v>
      </c>
      <c r="AC962" s="316">
        <v>1</v>
      </c>
      <c r="AD962" s="316">
        <v>1</v>
      </c>
      <c r="AE962" s="302">
        <f t="shared" ref="AE962:AE1025" si="76">SUM(W962:AD962)/8</f>
        <v>0.875</v>
      </c>
      <c r="AF962" s="310"/>
      <c r="AG962" s="17">
        <v>0</v>
      </c>
      <c r="AH962" s="310">
        <v>0</v>
      </c>
      <c r="AI962" s="310">
        <v>0</v>
      </c>
      <c r="AJ962" s="310">
        <v>0</v>
      </c>
      <c r="AK962" s="317">
        <v>0.25</v>
      </c>
      <c r="AL962" s="317">
        <v>0.25</v>
      </c>
      <c r="AM962" s="17">
        <f t="shared" ref="AM962:AM1025" si="77">SUM(AK962:AL962)</f>
        <v>0.5</v>
      </c>
      <c r="AN962" s="283" t="s">
        <v>265</v>
      </c>
      <c r="AO962" s="18" t="s">
        <v>350</v>
      </c>
      <c r="AP962" s="283" t="s">
        <v>3659</v>
      </c>
    </row>
    <row r="963" spans="1:42" x14ac:dyDescent="0.3">
      <c r="A963" s="314" t="s">
        <v>1448</v>
      </c>
      <c r="B963" s="283" t="s">
        <v>3447</v>
      </c>
      <c r="C963" s="314" t="s">
        <v>3449</v>
      </c>
      <c r="D963" s="283" t="s">
        <v>3450</v>
      </c>
      <c r="E963" s="314" t="s">
        <v>3621</v>
      </c>
      <c r="F963" s="283" t="s">
        <v>3622</v>
      </c>
      <c r="G963" s="314" t="s">
        <v>3660</v>
      </c>
      <c r="H963" s="283" t="s">
        <v>3661</v>
      </c>
      <c r="K963" s="314" t="s">
        <v>3662</v>
      </c>
      <c r="L963" s="283" t="s">
        <v>3663</v>
      </c>
      <c r="M963" s="283" t="s">
        <v>3664</v>
      </c>
      <c r="N963" s="3" t="s">
        <v>271</v>
      </c>
      <c r="O963" s="3">
        <v>1</v>
      </c>
      <c r="P963" s="3">
        <v>1</v>
      </c>
      <c r="Q963" s="3">
        <v>1</v>
      </c>
      <c r="T963" s="283" t="s">
        <v>321</v>
      </c>
      <c r="U963" s="283" t="s">
        <v>1066</v>
      </c>
      <c r="V963" s="1" t="s">
        <v>3665</v>
      </c>
      <c r="W963" s="1">
        <v>1</v>
      </c>
      <c r="X963" s="1">
        <v>0</v>
      </c>
      <c r="Y963" s="1">
        <v>1</v>
      </c>
      <c r="Z963" s="1">
        <v>1</v>
      </c>
      <c r="AA963" s="1">
        <v>1</v>
      </c>
      <c r="AB963" s="1">
        <v>1</v>
      </c>
      <c r="AC963" s="316">
        <v>1</v>
      </c>
      <c r="AD963" s="316">
        <v>1</v>
      </c>
      <c r="AE963" s="302">
        <f t="shared" si="76"/>
        <v>0.875</v>
      </c>
      <c r="AF963" s="310"/>
      <c r="AG963" s="17">
        <v>0</v>
      </c>
      <c r="AH963" s="310">
        <v>0.2</v>
      </c>
      <c r="AI963" s="310">
        <v>0.2</v>
      </c>
      <c r="AJ963" s="310">
        <v>0.2</v>
      </c>
      <c r="AK963" s="153">
        <v>0.2</v>
      </c>
      <c r="AL963" s="154">
        <v>0</v>
      </c>
      <c r="AM963" s="17">
        <f t="shared" si="77"/>
        <v>0.2</v>
      </c>
      <c r="AN963" s="283" t="s">
        <v>321</v>
      </c>
      <c r="AO963" s="18" t="s">
        <v>1066</v>
      </c>
      <c r="AP963" s="283" t="s">
        <v>265</v>
      </c>
    </row>
    <row r="964" spans="1:42" hidden="1" x14ac:dyDescent="0.3">
      <c r="A964" s="314" t="s">
        <v>1448</v>
      </c>
      <c r="B964" s="283" t="s">
        <v>3447</v>
      </c>
      <c r="C964" s="314" t="s">
        <v>3449</v>
      </c>
      <c r="D964" s="283" t="s">
        <v>3450</v>
      </c>
      <c r="E964" s="314" t="s">
        <v>3621</v>
      </c>
      <c r="F964" s="283" t="s">
        <v>3622</v>
      </c>
      <c r="G964" s="314" t="s">
        <v>3660</v>
      </c>
      <c r="H964" s="283" t="s">
        <v>3661</v>
      </c>
      <c r="K964" s="314" t="s">
        <v>3662</v>
      </c>
      <c r="L964" s="283" t="s">
        <v>3663</v>
      </c>
      <c r="M964" s="283" t="s">
        <v>3666</v>
      </c>
      <c r="N964" s="3" t="s">
        <v>271</v>
      </c>
      <c r="O964" s="3">
        <v>2000</v>
      </c>
      <c r="P964" s="3">
        <v>2000</v>
      </c>
      <c r="Q964" s="3">
        <v>2000</v>
      </c>
      <c r="R964" s="3">
        <v>2000</v>
      </c>
      <c r="S964" s="3">
        <v>2000</v>
      </c>
      <c r="T964" s="283" t="s">
        <v>321</v>
      </c>
      <c r="U964" s="283" t="s">
        <v>1066</v>
      </c>
      <c r="V964" s="344" t="s">
        <v>3667</v>
      </c>
      <c r="W964" s="1"/>
      <c r="X964" s="1"/>
      <c r="Y964" s="1"/>
      <c r="Z964" s="1"/>
      <c r="AA964" s="1"/>
      <c r="AB964" s="1"/>
      <c r="AC964" s="316">
        <v>0</v>
      </c>
      <c r="AD964" s="316">
        <v>0</v>
      </c>
      <c r="AE964" s="302">
        <f t="shared" si="76"/>
        <v>0</v>
      </c>
      <c r="AF964" s="310"/>
      <c r="AG964" s="17">
        <v>0</v>
      </c>
      <c r="AH964" s="310">
        <v>0.3</v>
      </c>
      <c r="AI964" s="310">
        <v>0.3</v>
      </c>
      <c r="AJ964" s="310">
        <v>0.3</v>
      </c>
      <c r="AK964" s="317">
        <v>0</v>
      </c>
      <c r="AL964" s="317"/>
      <c r="AM964" s="17">
        <f t="shared" si="77"/>
        <v>0</v>
      </c>
      <c r="AN964" s="283" t="s">
        <v>321</v>
      </c>
      <c r="AO964" s="18" t="s">
        <v>1066</v>
      </c>
      <c r="AP964" s="283" t="s">
        <v>3668</v>
      </c>
    </row>
    <row r="965" spans="1:42" x14ac:dyDescent="0.3">
      <c r="A965" s="314" t="s">
        <v>1448</v>
      </c>
      <c r="B965" s="283" t="s">
        <v>3447</v>
      </c>
      <c r="C965" s="314" t="s">
        <v>3449</v>
      </c>
      <c r="D965" s="283" t="s">
        <v>3450</v>
      </c>
      <c r="E965" s="314" t="s">
        <v>3621</v>
      </c>
      <c r="F965" s="283" t="s">
        <v>3622</v>
      </c>
      <c r="G965" s="314" t="s">
        <v>3660</v>
      </c>
      <c r="H965" s="283" t="s">
        <v>3661</v>
      </c>
      <c r="K965" s="314" t="s">
        <v>3662</v>
      </c>
      <c r="L965" s="283" t="s">
        <v>3663</v>
      </c>
      <c r="M965" s="283" t="s">
        <v>3669</v>
      </c>
      <c r="N965" s="3" t="s">
        <v>271</v>
      </c>
      <c r="O965" s="3">
        <v>300</v>
      </c>
      <c r="P965" s="3">
        <v>300</v>
      </c>
      <c r="Q965" s="3">
        <v>300</v>
      </c>
      <c r="R965" s="3">
        <v>300</v>
      </c>
      <c r="S965" s="3">
        <v>300</v>
      </c>
      <c r="T965" s="283" t="s">
        <v>321</v>
      </c>
      <c r="U965" s="283" t="s">
        <v>1066</v>
      </c>
      <c r="V965" s="1" t="s">
        <v>3670</v>
      </c>
      <c r="W965" s="1">
        <v>1</v>
      </c>
      <c r="X965" s="1">
        <v>1</v>
      </c>
      <c r="Y965" s="1">
        <v>1</v>
      </c>
      <c r="Z965" s="1">
        <v>1</v>
      </c>
      <c r="AA965" s="1">
        <v>1</v>
      </c>
      <c r="AB965" s="1">
        <v>0</v>
      </c>
      <c r="AC965" s="316">
        <v>1</v>
      </c>
      <c r="AD965" s="316">
        <v>1</v>
      </c>
      <c r="AE965" s="302">
        <f t="shared" si="76"/>
        <v>0.875</v>
      </c>
      <c r="AF965" s="310"/>
      <c r="AG965" s="17">
        <v>0</v>
      </c>
      <c r="AH965" s="310">
        <v>0.5</v>
      </c>
      <c r="AI965" s="310">
        <v>0.5</v>
      </c>
      <c r="AJ965" s="310">
        <v>0.5</v>
      </c>
      <c r="AK965" s="317">
        <v>0.5</v>
      </c>
      <c r="AL965" s="317">
        <v>0.5</v>
      </c>
      <c r="AM965" s="17">
        <f t="shared" si="77"/>
        <v>1</v>
      </c>
      <c r="AN965" s="283" t="s">
        <v>321</v>
      </c>
      <c r="AO965" s="18" t="s">
        <v>1066</v>
      </c>
      <c r="AP965" s="283" t="s">
        <v>265</v>
      </c>
    </row>
    <row r="966" spans="1:42" x14ac:dyDescent="0.3">
      <c r="A966" s="314" t="s">
        <v>1448</v>
      </c>
      <c r="B966" s="283" t="s">
        <v>3447</v>
      </c>
      <c r="C966" s="314" t="s">
        <v>3449</v>
      </c>
      <c r="D966" s="283" t="s">
        <v>3450</v>
      </c>
      <c r="E966" s="314" t="s">
        <v>3621</v>
      </c>
      <c r="F966" s="283" t="s">
        <v>3622</v>
      </c>
      <c r="G966" s="314" t="s">
        <v>3660</v>
      </c>
      <c r="H966" s="283" t="s">
        <v>3661</v>
      </c>
      <c r="K966" s="314" t="s">
        <v>3671</v>
      </c>
      <c r="L966" s="283" t="s">
        <v>3672</v>
      </c>
      <c r="M966" s="283" t="s">
        <v>3673</v>
      </c>
      <c r="N966" s="3" t="s">
        <v>271</v>
      </c>
      <c r="O966" s="3">
        <v>50</v>
      </c>
      <c r="P966" s="3">
        <v>50</v>
      </c>
      <c r="Q966" s="3">
        <v>50</v>
      </c>
      <c r="R966" s="3">
        <v>50</v>
      </c>
      <c r="S966" s="3">
        <v>50</v>
      </c>
      <c r="T966" s="283" t="s">
        <v>265</v>
      </c>
      <c r="U966" s="283" t="s">
        <v>350</v>
      </c>
      <c r="V966" s="1" t="s">
        <v>3674</v>
      </c>
      <c r="W966" s="1">
        <v>1</v>
      </c>
      <c r="X966" s="1">
        <v>1</v>
      </c>
      <c r="Y966" s="1">
        <v>1</v>
      </c>
      <c r="Z966" s="1">
        <v>1</v>
      </c>
      <c r="AA966" s="1">
        <v>1</v>
      </c>
      <c r="AB966" s="1">
        <v>0</v>
      </c>
      <c r="AC966" s="316">
        <v>1</v>
      </c>
      <c r="AD966" s="316">
        <v>1</v>
      </c>
      <c r="AE966" s="302">
        <f t="shared" si="76"/>
        <v>0.875</v>
      </c>
      <c r="AF966" s="310"/>
      <c r="AG966" s="17">
        <v>0</v>
      </c>
      <c r="AH966" s="310">
        <v>0.5</v>
      </c>
      <c r="AI966" s="310">
        <v>0.5</v>
      </c>
      <c r="AJ966" s="310">
        <v>0.5</v>
      </c>
      <c r="AK966" s="317">
        <v>0.5</v>
      </c>
      <c r="AL966" s="317">
        <v>0.5</v>
      </c>
      <c r="AM966" s="17">
        <f t="shared" si="77"/>
        <v>1</v>
      </c>
      <c r="AN966" s="283" t="s">
        <v>265</v>
      </c>
      <c r="AO966" s="18" t="s">
        <v>350</v>
      </c>
      <c r="AP966" s="283" t="s">
        <v>3675</v>
      </c>
    </row>
    <row r="967" spans="1:42" x14ac:dyDescent="0.3">
      <c r="A967" s="314" t="s">
        <v>1448</v>
      </c>
      <c r="B967" s="283" t="s">
        <v>3447</v>
      </c>
      <c r="C967" s="314" t="s">
        <v>3449</v>
      </c>
      <c r="D967" s="283" t="s">
        <v>3450</v>
      </c>
      <c r="E967" s="314" t="s">
        <v>3621</v>
      </c>
      <c r="F967" s="283" t="s">
        <v>3622</v>
      </c>
      <c r="G967" s="314" t="s">
        <v>3660</v>
      </c>
      <c r="H967" s="283" t="s">
        <v>3661</v>
      </c>
      <c r="K967" s="314" t="s">
        <v>3671</v>
      </c>
      <c r="L967" s="283" t="s">
        <v>3672</v>
      </c>
      <c r="M967" s="283" t="s">
        <v>3676</v>
      </c>
      <c r="N967" s="3" t="s">
        <v>271</v>
      </c>
      <c r="O967" s="3">
        <v>0</v>
      </c>
      <c r="P967" s="3">
        <v>0</v>
      </c>
      <c r="Q967" s="3">
        <v>0</v>
      </c>
      <c r="R967" s="3">
        <v>2</v>
      </c>
      <c r="S967" s="3">
        <v>2</v>
      </c>
      <c r="T967" s="283" t="s">
        <v>265</v>
      </c>
      <c r="U967" s="283" t="s">
        <v>350</v>
      </c>
      <c r="V967" s="1" t="s">
        <v>3677</v>
      </c>
      <c r="W967" s="1">
        <v>1</v>
      </c>
      <c r="X967" s="1">
        <v>1</v>
      </c>
      <c r="Y967" s="1">
        <v>1</v>
      </c>
      <c r="Z967" s="1">
        <v>1</v>
      </c>
      <c r="AA967" s="1">
        <v>1</v>
      </c>
      <c r="AB967" s="1">
        <v>0</v>
      </c>
      <c r="AC967" s="316">
        <v>1</v>
      </c>
      <c r="AD967" s="316">
        <v>1</v>
      </c>
      <c r="AE967" s="302">
        <f t="shared" si="76"/>
        <v>0.875</v>
      </c>
      <c r="AF967" s="17"/>
      <c r="AG967" s="17">
        <v>0</v>
      </c>
      <c r="AH967" s="17">
        <v>0</v>
      </c>
      <c r="AI967" s="17">
        <v>0</v>
      </c>
      <c r="AJ967" s="310">
        <v>0</v>
      </c>
      <c r="AK967" s="317">
        <v>0.2</v>
      </c>
      <c r="AL967" s="317">
        <v>0</v>
      </c>
      <c r="AM967" s="17">
        <f t="shared" si="77"/>
        <v>0.2</v>
      </c>
      <c r="AN967" s="283" t="s">
        <v>265</v>
      </c>
      <c r="AO967" s="18" t="s">
        <v>350</v>
      </c>
      <c r="AP967" s="283" t="s">
        <v>3678</v>
      </c>
    </row>
    <row r="968" spans="1:42" x14ac:dyDescent="0.3">
      <c r="A968" s="314" t="s">
        <v>1448</v>
      </c>
      <c r="B968" s="283" t="s">
        <v>3447</v>
      </c>
      <c r="C968" s="314" t="s">
        <v>3449</v>
      </c>
      <c r="D968" s="283" t="s">
        <v>3450</v>
      </c>
      <c r="E968" s="314" t="s">
        <v>3621</v>
      </c>
      <c r="F968" s="283" t="s">
        <v>3622</v>
      </c>
      <c r="G968" s="314" t="s">
        <v>3660</v>
      </c>
      <c r="H968" s="283" t="s">
        <v>3661</v>
      </c>
      <c r="K968" s="314" t="s">
        <v>3671</v>
      </c>
      <c r="L968" s="283" t="s">
        <v>3672</v>
      </c>
      <c r="M968" s="283" t="s">
        <v>3679</v>
      </c>
      <c r="N968" s="3" t="s">
        <v>271</v>
      </c>
      <c r="O968" s="3">
        <v>4</v>
      </c>
      <c r="P968" s="3">
        <v>4</v>
      </c>
      <c r="Q968" s="3">
        <v>4</v>
      </c>
      <c r="R968" s="3">
        <v>4</v>
      </c>
      <c r="S968" s="3">
        <v>4</v>
      </c>
      <c r="T968" s="283" t="s">
        <v>2361</v>
      </c>
      <c r="U968" s="283" t="s">
        <v>103</v>
      </c>
      <c r="V968" s="1" t="s">
        <v>3680</v>
      </c>
      <c r="W968" s="1">
        <v>1</v>
      </c>
      <c r="X968" s="1">
        <v>1</v>
      </c>
      <c r="Y968" s="1">
        <v>1</v>
      </c>
      <c r="Z968" s="1">
        <v>1</v>
      </c>
      <c r="AA968" s="1">
        <v>1</v>
      </c>
      <c r="AB968" s="1">
        <v>0</v>
      </c>
      <c r="AC968" s="316">
        <v>1</v>
      </c>
      <c r="AD968" s="316">
        <v>1</v>
      </c>
      <c r="AE968" s="302">
        <f t="shared" si="76"/>
        <v>0.875</v>
      </c>
      <c r="AF968" s="310"/>
      <c r="AG968" s="17">
        <v>0</v>
      </c>
      <c r="AH968" s="310">
        <v>1</v>
      </c>
      <c r="AI968" s="310">
        <v>1</v>
      </c>
      <c r="AJ968" s="310">
        <v>1</v>
      </c>
      <c r="AK968" s="317">
        <v>1</v>
      </c>
      <c r="AL968" s="317">
        <v>1</v>
      </c>
      <c r="AM968" s="17">
        <f t="shared" si="77"/>
        <v>2</v>
      </c>
      <c r="AN968" s="283" t="s">
        <v>101</v>
      </c>
      <c r="AO968" s="18" t="s">
        <v>103</v>
      </c>
      <c r="AP968" s="283" t="s">
        <v>3681</v>
      </c>
    </row>
    <row r="969" spans="1:42" x14ac:dyDescent="0.3">
      <c r="A969" s="314" t="s">
        <v>1448</v>
      </c>
      <c r="B969" s="283" t="s">
        <v>3447</v>
      </c>
      <c r="C969" s="314" t="s">
        <v>3449</v>
      </c>
      <c r="D969" s="283" t="s">
        <v>3450</v>
      </c>
      <c r="E969" s="314" t="s">
        <v>3621</v>
      </c>
      <c r="F969" s="283" t="s">
        <v>3622</v>
      </c>
      <c r="G969" s="314" t="s">
        <v>3682</v>
      </c>
      <c r="H969" s="283" t="s">
        <v>3683</v>
      </c>
      <c r="K969" s="314" t="s">
        <v>3684</v>
      </c>
      <c r="L969" s="283" t="s">
        <v>3685</v>
      </c>
      <c r="M969" s="283" t="s">
        <v>3686</v>
      </c>
      <c r="N969" s="3">
        <v>0</v>
      </c>
      <c r="O969" s="3">
        <v>0</v>
      </c>
      <c r="P969" s="3" t="s">
        <v>3565</v>
      </c>
      <c r="Q969" s="3">
        <v>3</v>
      </c>
      <c r="R969" s="3" t="s">
        <v>3565</v>
      </c>
      <c r="S969" s="3" t="s">
        <v>3565</v>
      </c>
      <c r="T969" s="283" t="s">
        <v>321</v>
      </c>
      <c r="U969" s="283" t="s">
        <v>1066</v>
      </c>
      <c r="V969" s="1" t="s">
        <v>3687</v>
      </c>
      <c r="W969" s="1">
        <v>1</v>
      </c>
      <c r="X969" s="1">
        <v>1</v>
      </c>
      <c r="Y969" s="1">
        <v>1</v>
      </c>
      <c r="Z969" s="1">
        <v>1</v>
      </c>
      <c r="AA969" s="1">
        <v>1</v>
      </c>
      <c r="AB969" s="1">
        <v>0</v>
      </c>
      <c r="AC969" s="316">
        <v>1</v>
      </c>
      <c r="AD969" s="316">
        <v>1</v>
      </c>
      <c r="AE969" s="302">
        <f t="shared" si="76"/>
        <v>0.875</v>
      </c>
      <c r="AF969" s="17"/>
      <c r="AG969" s="17">
        <v>1</v>
      </c>
      <c r="AH969" s="17">
        <v>0</v>
      </c>
      <c r="AI969" s="310">
        <v>0.5</v>
      </c>
      <c r="AJ969" s="310">
        <v>0.5</v>
      </c>
      <c r="AK969" s="317" t="s">
        <v>3651</v>
      </c>
      <c r="AL969" s="317" t="s">
        <v>3651</v>
      </c>
      <c r="AM969" s="17">
        <f t="shared" si="77"/>
        <v>0</v>
      </c>
      <c r="AN969" s="283" t="s">
        <v>321</v>
      </c>
      <c r="AO969" s="18" t="s">
        <v>1066</v>
      </c>
      <c r="AP969" s="283" t="s">
        <v>3688</v>
      </c>
    </row>
    <row r="970" spans="1:42" x14ac:dyDescent="0.3">
      <c r="A970" s="314" t="s">
        <v>1448</v>
      </c>
      <c r="B970" s="283" t="s">
        <v>3447</v>
      </c>
      <c r="C970" s="314" t="s">
        <v>3449</v>
      </c>
      <c r="D970" s="283" t="s">
        <v>3450</v>
      </c>
      <c r="E970" s="314" t="s">
        <v>3621</v>
      </c>
      <c r="F970" s="283" t="s">
        <v>3622</v>
      </c>
      <c r="G970" s="314" t="s">
        <v>3682</v>
      </c>
      <c r="H970" s="283" t="s">
        <v>3683</v>
      </c>
      <c r="K970" s="314" t="s">
        <v>3684</v>
      </c>
      <c r="L970" s="283" t="s">
        <v>3685</v>
      </c>
      <c r="M970" s="283" t="s">
        <v>3689</v>
      </c>
      <c r="N970" s="3"/>
      <c r="T970" s="283" t="s">
        <v>321</v>
      </c>
      <c r="U970" s="283" t="s">
        <v>1066</v>
      </c>
      <c r="V970" s="1" t="s">
        <v>3690</v>
      </c>
      <c r="W970" s="1">
        <v>1</v>
      </c>
      <c r="X970" s="1">
        <v>1</v>
      </c>
      <c r="Y970" s="1">
        <v>0</v>
      </c>
      <c r="Z970" s="1">
        <v>1</v>
      </c>
      <c r="AA970" s="1">
        <v>1</v>
      </c>
      <c r="AB970" s="1">
        <v>1</v>
      </c>
      <c r="AC970" s="316">
        <v>0</v>
      </c>
      <c r="AD970" s="316">
        <v>1</v>
      </c>
      <c r="AE970" s="302">
        <f t="shared" si="76"/>
        <v>0.75</v>
      </c>
      <c r="AF970" s="17"/>
      <c r="AG970" s="17">
        <v>0</v>
      </c>
      <c r="AH970" s="17">
        <v>0</v>
      </c>
      <c r="AI970" s="17">
        <v>0</v>
      </c>
      <c r="AJ970" s="17">
        <v>0</v>
      </c>
      <c r="AK970" s="153">
        <v>0</v>
      </c>
      <c r="AL970" s="154">
        <v>0</v>
      </c>
      <c r="AM970" s="17">
        <f t="shared" si="77"/>
        <v>0</v>
      </c>
      <c r="AN970" s="10" t="s">
        <v>3691</v>
      </c>
      <c r="AO970" s="18" t="s">
        <v>103</v>
      </c>
      <c r="AP970" s="283" t="s">
        <v>321</v>
      </c>
    </row>
    <row r="971" spans="1:42" x14ac:dyDescent="0.3">
      <c r="A971" s="314" t="s">
        <v>1448</v>
      </c>
      <c r="B971" s="283" t="s">
        <v>3447</v>
      </c>
      <c r="C971" s="314" t="s">
        <v>3449</v>
      </c>
      <c r="D971" s="283" t="s">
        <v>3450</v>
      </c>
      <c r="E971" s="314" t="s">
        <v>3621</v>
      </c>
      <c r="F971" s="283" t="s">
        <v>3622</v>
      </c>
      <c r="G971" s="314" t="s">
        <v>3682</v>
      </c>
      <c r="H971" s="283" t="s">
        <v>3683</v>
      </c>
      <c r="K971" s="314" t="s">
        <v>3684</v>
      </c>
      <c r="L971" s="283" t="s">
        <v>3685</v>
      </c>
      <c r="M971" s="283" t="s">
        <v>3692</v>
      </c>
      <c r="N971" s="3"/>
      <c r="T971" s="283" t="s">
        <v>321</v>
      </c>
      <c r="U971" s="283" t="s">
        <v>1066</v>
      </c>
      <c r="V971" s="1" t="s">
        <v>3693</v>
      </c>
      <c r="W971" s="1">
        <v>1</v>
      </c>
      <c r="X971" s="1">
        <v>1</v>
      </c>
      <c r="Y971" s="1">
        <v>0</v>
      </c>
      <c r="Z971" s="1">
        <v>1</v>
      </c>
      <c r="AA971" s="1">
        <v>1</v>
      </c>
      <c r="AB971" s="1">
        <v>1</v>
      </c>
      <c r="AC971" s="316">
        <v>0</v>
      </c>
      <c r="AD971" s="316">
        <v>1</v>
      </c>
      <c r="AE971" s="302">
        <f t="shared" si="76"/>
        <v>0.75</v>
      </c>
      <c r="AF971" s="17"/>
      <c r="AG971" s="17">
        <v>0</v>
      </c>
      <c r="AH971" s="17">
        <v>0</v>
      </c>
      <c r="AI971" s="17">
        <v>0</v>
      </c>
      <c r="AJ971" s="17">
        <v>0</v>
      </c>
      <c r="AK971" s="153">
        <v>0</v>
      </c>
      <c r="AL971" s="154">
        <v>0</v>
      </c>
      <c r="AM971" s="17">
        <f t="shared" si="77"/>
        <v>0</v>
      </c>
      <c r="AN971" s="10" t="s">
        <v>3691</v>
      </c>
      <c r="AO971" s="18" t="s">
        <v>103</v>
      </c>
      <c r="AP971" s="283" t="s">
        <v>321</v>
      </c>
    </row>
    <row r="972" spans="1:42" x14ac:dyDescent="0.3">
      <c r="A972" s="314" t="s">
        <v>1448</v>
      </c>
      <c r="B972" s="283" t="s">
        <v>3447</v>
      </c>
      <c r="C972" s="314" t="s">
        <v>3449</v>
      </c>
      <c r="D972" s="283" t="s">
        <v>3450</v>
      </c>
      <c r="E972" s="314" t="s">
        <v>3621</v>
      </c>
      <c r="F972" s="283" t="s">
        <v>3622</v>
      </c>
      <c r="G972" s="314" t="s">
        <v>3682</v>
      </c>
      <c r="H972" s="283" t="s">
        <v>3683</v>
      </c>
      <c r="K972" s="314" t="s">
        <v>3684</v>
      </c>
      <c r="L972" s="283" t="s">
        <v>3685</v>
      </c>
      <c r="M972" s="283" t="s">
        <v>3692</v>
      </c>
      <c r="N972" s="3"/>
      <c r="T972" s="283" t="s">
        <v>321</v>
      </c>
      <c r="U972" s="283" t="s">
        <v>1066</v>
      </c>
      <c r="V972" s="1" t="s">
        <v>3694</v>
      </c>
      <c r="W972" s="1">
        <v>1</v>
      </c>
      <c r="X972" s="1">
        <v>1</v>
      </c>
      <c r="Y972" s="1">
        <v>0</v>
      </c>
      <c r="Z972" s="1">
        <v>1</v>
      </c>
      <c r="AA972" s="1">
        <v>1</v>
      </c>
      <c r="AB972" s="1">
        <v>1</v>
      </c>
      <c r="AC972" s="316">
        <v>0</v>
      </c>
      <c r="AD972" s="316">
        <v>1</v>
      </c>
      <c r="AE972" s="302">
        <f t="shared" si="76"/>
        <v>0.75</v>
      </c>
      <c r="AF972" s="17"/>
      <c r="AG972" s="17">
        <v>0</v>
      </c>
      <c r="AH972" s="17">
        <v>0</v>
      </c>
      <c r="AI972" s="17">
        <v>0</v>
      </c>
      <c r="AJ972" s="17">
        <v>0</v>
      </c>
      <c r="AK972" s="153">
        <v>0</v>
      </c>
      <c r="AL972" s="154">
        <v>0</v>
      </c>
      <c r="AM972" s="17">
        <f t="shared" si="77"/>
        <v>0</v>
      </c>
      <c r="AN972" s="10" t="s">
        <v>321</v>
      </c>
      <c r="AO972" s="18" t="s">
        <v>1066</v>
      </c>
      <c r="AP972" s="283" t="s">
        <v>3292</v>
      </c>
    </row>
    <row r="973" spans="1:42" hidden="1" x14ac:dyDescent="0.3">
      <c r="A973" s="314" t="s">
        <v>1448</v>
      </c>
      <c r="B973" s="283" t="s">
        <v>3447</v>
      </c>
      <c r="C973" s="314" t="s">
        <v>3449</v>
      </c>
      <c r="D973" s="283" t="s">
        <v>3450</v>
      </c>
      <c r="E973" s="314" t="s">
        <v>3621</v>
      </c>
      <c r="F973" s="283" t="s">
        <v>3622</v>
      </c>
      <c r="G973" s="314" t="s">
        <v>3682</v>
      </c>
      <c r="H973" s="283" t="s">
        <v>3683</v>
      </c>
      <c r="K973" s="314" t="s">
        <v>3684</v>
      </c>
      <c r="L973" s="283" t="s">
        <v>3685</v>
      </c>
      <c r="M973" s="283" t="s">
        <v>3695</v>
      </c>
      <c r="N973" s="3"/>
      <c r="P973" s="3">
        <v>50</v>
      </c>
      <c r="Q973" s="3">
        <v>85</v>
      </c>
      <c r="R973" s="3" t="s">
        <v>3696</v>
      </c>
      <c r="T973" s="283" t="s">
        <v>3292</v>
      </c>
      <c r="U973" s="283" t="e">
        <v>#N/A</v>
      </c>
      <c r="V973" s="1" t="s">
        <v>3697</v>
      </c>
      <c r="W973" s="1">
        <v>1</v>
      </c>
      <c r="X973" s="1">
        <v>1</v>
      </c>
      <c r="Y973" s="1">
        <v>0</v>
      </c>
      <c r="Z973" s="1">
        <v>0</v>
      </c>
      <c r="AA973" s="1">
        <v>1</v>
      </c>
      <c r="AB973" s="1">
        <v>1</v>
      </c>
      <c r="AC973" s="316">
        <v>0</v>
      </c>
      <c r="AD973" s="316">
        <v>1</v>
      </c>
      <c r="AE973" s="302">
        <f t="shared" si="76"/>
        <v>0.625</v>
      </c>
      <c r="AF973" s="17">
        <v>1</v>
      </c>
      <c r="AG973" s="17">
        <v>0</v>
      </c>
      <c r="AH973" s="17">
        <v>0</v>
      </c>
      <c r="AI973" s="310">
        <v>60</v>
      </c>
      <c r="AJ973" s="310">
        <v>41</v>
      </c>
      <c r="AK973" s="317">
        <v>30.5</v>
      </c>
      <c r="AL973" s="154">
        <v>0</v>
      </c>
      <c r="AM973" s="17">
        <f t="shared" si="77"/>
        <v>30.5</v>
      </c>
      <c r="AN973" s="10" t="s">
        <v>3691</v>
      </c>
      <c r="AO973" s="18" t="s">
        <v>103</v>
      </c>
      <c r="AP973" s="283" t="s">
        <v>3698</v>
      </c>
    </row>
    <row r="974" spans="1:42" hidden="1" x14ac:dyDescent="0.3">
      <c r="A974" s="314" t="s">
        <v>1448</v>
      </c>
      <c r="B974" s="283" t="s">
        <v>3447</v>
      </c>
      <c r="C974" s="314" t="s">
        <v>3449</v>
      </c>
      <c r="D974" s="283" t="s">
        <v>3450</v>
      </c>
      <c r="E974" s="314" t="s">
        <v>3621</v>
      </c>
      <c r="F974" s="283" t="s">
        <v>3622</v>
      </c>
      <c r="G974" s="314" t="s">
        <v>3682</v>
      </c>
      <c r="H974" s="283" t="s">
        <v>3683</v>
      </c>
      <c r="K974" s="314" t="s">
        <v>3684</v>
      </c>
      <c r="L974" s="283" t="s">
        <v>3685</v>
      </c>
      <c r="M974" s="283" t="s">
        <v>3699</v>
      </c>
      <c r="N974" s="3">
        <v>0</v>
      </c>
      <c r="O974" s="3">
        <v>0</v>
      </c>
      <c r="P974" s="3">
        <v>100</v>
      </c>
      <c r="Q974" s="3">
        <v>100</v>
      </c>
      <c r="R974" s="3">
        <v>100</v>
      </c>
      <c r="S974" s="3">
        <v>100</v>
      </c>
      <c r="T974" s="283" t="s">
        <v>2524</v>
      </c>
      <c r="U974" s="283" t="e">
        <v>#N/A</v>
      </c>
      <c r="V974" s="1" t="s">
        <v>3700</v>
      </c>
      <c r="W974" s="1">
        <v>1</v>
      </c>
      <c r="X974" s="1">
        <v>1</v>
      </c>
      <c r="Y974" s="1">
        <v>0</v>
      </c>
      <c r="Z974" s="1">
        <v>0</v>
      </c>
      <c r="AA974" s="1">
        <v>1</v>
      </c>
      <c r="AB974" s="1">
        <v>1</v>
      </c>
      <c r="AC974" s="316">
        <v>0</v>
      </c>
      <c r="AD974" s="316">
        <v>1</v>
      </c>
      <c r="AE974" s="302">
        <f t="shared" si="76"/>
        <v>0.625</v>
      </c>
      <c r="AF974" s="310"/>
      <c r="AG974" s="17">
        <v>0</v>
      </c>
      <c r="AH974" s="310">
        <v>140</v>
      </c>
      <c r="AI974" s="310">
        <v>40</v>
      </c>
      <c r="AJ974" s="310">
        <v>40</v>
      </c>
      <c r="AK974" s="317">
        <v>0</v>
      </c>
      <c r="AL974" s="317"/>
      <c r="AM974" s="17">
        <f t="shared" si="77"/>
        <v>0</v>
      </c>
      <c r="AN974" s="283" t="s">
        <v>63</v>
      </c>
      <c r="AO974" s="18" t="s">
        <v>2510</v>
      </c>
      <c r="AP974" s="283" t="s">
        <v>3701</v>
      </c>
    </row>
    <row r="975" spans="1:42" hidden="1" x14ac:dyDescent="0.3">
      <c r="A975" s="314" t="s">
        <v>1448</v>
      </c>
      <c r="B975" s="283" t="s">
        <v>3447</v>
      </c>
      <c r="C975" s="314" t="s">
        <v>3449</v>
      </c>
      <c r="D975" s="283" t="s">
        <v>3450</v>
      </c>
      <c r="E975" s="314" t="s">
        <v>3621</v>
      </c>
      <c r="F975" s="283" t="s">
        <v>3622</v>
      </c>
      <c r="G975" s="314" t="s">
        <v>3682</v>
      </c>
      <c r="H975" s="283" t="s">
        <v>3683</v>
      </c>
      <c r="K975" s="314" t="s">
        <v>3684</v>
      </c>
      <c r="L975" s="283" t="s">
        <v>3685</v>
      </c>
      <c r="M975" s="283" t="s">
        <v>3702</v>
      </c>
      <c r="N975" s="3">
        <v>0</v>
      </c>
      <c r="O975" s="3">
        <v>0</v>
      </c>
      <c r="P975" s="3">
        <v>1</v>
      </c>
      <c r="Q975" s="3">
        <v>1</v>
      </c>
      <c r="R975" s="3">
        <v>1</v>
      </c>
      <c r="S975" s="3">
        <v>1</v>
      </c>
      <c r="T975" s="283" t="s">
        <v>798</v>
      </c>
      <c r="U975" s="283" t="s">
        <v>350</v>
      </c>
      <c r="V975" s="1" t="s">
        <v>3703</v>
      </c>
      <c r="W975" s="1">
        <v>1</v>
      </c>
      <c r="X975" s="1">
        <v>1</v>
      </c>
      <c r="Y975" s="1">
        <v>1</v>
      </c>
      <c r="Z975" s="1">
        <v>0</v>
      </c>
      <c r="AA975" s="1">
        <v>0</v>
      </c>
      <c r="AB975" s="1">
        <v>1</v>
      </c>
      <c r="AC975" s="316">
        <v>0</v>
      </c>
      <c r="AD975" s="316">
        <v>1</v>
      </c>
      <c r="AE975" s="302">
        <f t="shared" si="76"/>
        <v>0.625</v>
      </c>
      <c r="AF975" s="17"/>
      <c r="AG975" s="17">
        <v>0</v>
      </c>
      <c r="AH975" s="17">
        <v>0</v>
      </c>
      <c r="AI975" s="310">
        <v>0</v>
      </c>
      <c r="AJ975" s="310">
        <v>0</v>
      </c>
      <c r="AK975" s="317">
        <v>0</v>
      </c>
      <c r="AL975" s="317">
        <v>0</v>
      </c>
      <c r="AM975" s="17">
        <f t="shared" si="77"/>
        <v>0</v>
      </c>
      <c r="AN975" s="283" t="s">
        <v>619</v>
      </c>
      <c r="AO975" s="18" t="s">
        <v>350</v>
      </c>
      <c r="AP975" s="283" t="s">
        <v>3292</v>
      </c>
    </row>
    <row r="976" spans="1:42" x14ac:dyDescent="0.3">
      <c r="A976" s="314" t="s">
        <v>1448</v>
      </c>
      <c r="B976" s="283" t="s">
        <v>3447</v>
      </c>
      <c r="C976" s="314" t="s">
        <v>3449</v>
      </c>
      <c r="D976" s="283" t="s">
        <v>3450</v>
      </c>
      <c r="E976" s="314" t="s">
        <v>3621</v>
      </c>
      <c r="F976" s="283" t="s">
        <v>3622</v>
      </c>
      <c r="G976" s="314" t="s">
        <v>3682</v>
      </c>
      <c r="H976" s="283" t="s">
        <v>3683</v>
      </c>
      <c r="K976" s="314" t="s">
        <v>3684</v>
      </c>
      <c r="L976" s="283" t="s">
        <v>3685</v>
      </c>
      <c r="M976" s="283" t="s">
        <v>3704</v>
      </c>
      <c r="N976" s="3">
        <v>0</v>
      </c>
      <c r="O976" s="3">
        <v>0</v>
      </c>
      <c r="P976" s="3">
        <v>0</v>
      </c>
      <c r="Q976" s="3">
        <v>1</v>
      </c>
      <c r="S976" s="3">
        <v>1</v>
      </c>
      <c r="T976" s="283" t="s">
        <v>3705</v>
      </c>
      <c r="U976" s="283" t="s">
        <v>880</v>
      </c>
      <c r="V976" s="1" t="s">
        <v>3706</v>
      </c>
      <c r="W976" s="1">
        <v>1</v>
      </c>
      <c r="X976" s="1">
        <v>1</v>
      </c>
      <c r="Y976" s="1">
        <v>1</v>
      </c>
      <c r="Z976" s="1">
        <v>1</v>
      </c>
      <c r="AA976" s="1">
        <v>0</v>
      </c>
      <c r="AB976" s="1">
        <v>1</v>
      </c>
      <c r="AC976" s="316">
        <v>0</v>
      </c>
      <c r="AD976" s="316">
        <v>1</v>
      </c>
      <c r="AE976" s="302">
        <f t="shared" si="76"/>
        <v>0.75</v>
      </c>
      <c r="AF976" s="17"/>
      <c r="AG976" s="17">
        <v>0</v>
      </c>
      <c r="AH976" s="17">
        <v>0</v>
      </c>
      <c r="AI976" s="17">
        <v>0</v>
      </c>
      <c r="AJ976" s="310">
        <v>0</v>
      </c>
      <c r="AK976" s="153">
        <v>0</v>
      </c>
      <c r="AL976" s="317">
        <v>0</v>
      </c>
      <c r="AM976" s="17">
        <f t="shared" si="77"/>
        <v>0</v>
      </c>
      <c r="AN976" s="1" t="s">
        <v>921</v>
      </c>
      <c r="AO976" s="18" t="s">
        <v>880</v>
      </c>
      <c r="AP976" s="283" t="s">
        <v>3707</v>
      </c>
    </row>
    <row r="977" spans="1:42" x14ac:dyDescent="0.3">
      <c r="A977" s="314" t="s">
        <v>1448</v>
      </c>
      <c r="B977" s="283" t="s">
        <v>3447</v>
      </c>
      <c r="C977" s="314" t="s">
        <v>3449</v>
      </c>
      <c r="D977" s="283" t="s">
        <v>3450</v>
      </c>
      <c r="E977" s="314" t="s">
        <v>3621</v>
      </c>
      <c r="F977" s="283" t="s">
        <v>3622</v>
      </c>
      <c r="G977" s="314" t="s">
        <v>3682</v>
      </c>
      <c r="H977" s="283" t="s">
        <v>3683</v>
      </c>
      <c r="K977" s="314" t="s">
        <v>3684</v>
      </c>
      <c r="L977" s="283" t="s">
        <v>3685</v>
      </c>
      <c r="M977" s="283" t="s">
        <v>3708</v>
      </c>
      <c r="N977" s="3">
        <v>0</v>
      </c>
      <c r="O977" s="3">
        <v>3</v>
      </c>
      <c r="P977" s="3" t="s">
        <v>3516</v>
      </c>
      <c r="Q977" s="3" t="s">
        <v>3709</v>
      </c>
      <c r="R977" s="3" t="s">
        <v>3709</v>
      </c>
      <c r="S977" s="3">
        <v>6</v>
      </c>
      <c r="T977" s="283" t="s">
        <v>265</v>
      </c>
      <c r="U977" s="283" t="s">
        <v>350</v>
      </c>
      <c r="V977" s="1" t="s">
        <v>3710</v>
      </c>
      <c r="W977" s="1">
        <v>1</v>
      </c>
      <c r="X977" s="1">
        <v>1</v>
      </c>
      <c r="Y977" s="1">
        <v>1</v>
      </c>
      <c r="Z977" s="1">
        <v>1</v>
      </c>
      <c r="AA977" s="1">
        <v>1</v>
      </c>
      <c r="AB977" s="1">
        <v>0</v>
      </c>
      <c r="AC977" s="316">
        <v>0</v>
      </c>
      <c r="AD977" s="316">
        <v>1</v>
      </c>
      <c r="AE977" s="302">
        <f t="shared" si="76"/>
        <v>0.75</v>
      </c>
      <c r="AF977" s="17"/>
      <c r="AG977" s="17">
        <v>0</v>
      </c>
      <c r="AH977" s="17">
        <v>0</v>
      </c>
      <c r="AI977" s="310">
        <v>0.1</v>
      </c>
      <c r="AJ977" s="310">
        <v>0.1</v>
      </c>
      <c r="AK977" s="317">
        <v>0.1</v>
      </c>
      <c r="AL977" s="317">
        <v>0.1</v>
      </c>
      <c r="AM977" s="17">
        <f t="shared" si="77"/>
        <v>0.2</v>
      </c>
      <c r="AN977" s="283" t="s">
        <v>265</v>
      </c>
      <c r="AO977" s="18" t="s">
        <v>350</v>
      </c>
      <c r="AP977" s="283" t="s">
        <v>3292</v>
      </c>
    </row>
    <row r="978" spans="1:42" hidden="1" x14ac:dyDescent="0.3">
      <c r="A978" s="314" t="s">
        <v>1448</v>
      </c>
      <c r="B978" s="283" t="s">
        <v>3447</v>
      </c>
      <c r="C978" s="314" t="s">
        <v>3449</v>
      </c>
      <c r="D978" s="283" t="s">
        <v>3450</v>
      </c>
      <c r="E978" s="314" t="s">
        <v>3621</v>
      </c>
      <c r="F978" s="283" t="s">
        <v>3622</v>
      </c>
      <c r="G978" s="314" t="s">
        <v>3682</v>
      </c>
      <c r="H978" s="283" t="s">
        <v>3683</v>
      </c>
      <c r="K978" s="314" t="s">
        <v>3684</v>
      </c>
      <c r="L978" s="283" t="s">
        <v>3685</v>
      </c>
      <c r="M978" s="283" t="s">
        <v>3711</v>
      </c>
      <c r="N978" s="3">
        <v>0</v>
      </c>
      <c r="Q978" s="3">
        <v>1</v>
      </c>
      <c r="R978" s="3">
        <v>1</v>
      </c>
      <c r="S978" s="3">
        <v>1</v>
      </c>
      <c r="T978" s="283" t="s">
        <v>265</v>
      </c>
      <c r="U978" s="283" t="s">
        <v>350</v>
      </c>
      <c r="V978" s="1" t="s">
        <v>3712</v>
      </c>
      <c r="W978" s="1">
        <v>1</v>
      </c>
      <c r="X978" s="1">
        <v>1</v>
      </c>
      <c r="Y978" s="1">
        <v>1</v>
      </c>
      <c r="Z978" s="1">
        <v>0</v>
      </c>
      <c r="AA978" s="1">
        <v>0</v>
      </c>
      <c r="AB978" s="1">
        <v>1</v>
      </c>
      <c r="AC978" s="316">
        <v>0</v>
      </c>
      <c r="AD978" s="316">
        <v>1</v>
      </c>
      <c r="AE978" s="302">
        <f t="shared" si="76"/>
        <v>0.625</v>
      </c>
      <c r="AF978" s="17"/>
      <c r="AG978" s="17">
        <v>0</v>
      </c>
      <c r="AH978" s="17">
        <v>0</v>
      </c>
      <c r="AI978" s="17">
        <v>0</v>
      </c>
      <c r="AJ978" s="310">
        <v>0</v>
      </c>
      <c r="AK978" s="317">
        <v>0</v>
      </c>
      <c r="AL978" s="317">
        <v>0</v>
      </c>
      <c r="AM978" s="17">
        <f t="shared" si="77"/>
        <v>0</v>
      </c>
      <c r="AN978" s="283" t="s">
        <v>265</v>
      </c>
      <c r="AO978" s="18" t="s">
        <v>350</v>
      </c>
      <c r="AP978" s="283" t="s">
        <v>3292</v>
      </c>
    </row>
    <row r="979" spans="1:42" hidden="1" x14ac:dyDescent="0.3">
      <c r="A979" s="314" t="s">
        <v>1448</v>
      </c>
      <c r="B979" s="283" t="s">
        <v>3447</v>
      </c>
      <c r="C979" s="314" t="s">
        <v>3449</v>
      </c>
      <c r="D979" s="283" t="s">
        <v>3450</v>
      </c>
      <c r="E979" s="314" t="s">
        <v>3621</v>
      </c>
      <c r="F979" s="283" t="s">
        <v>3622</v>
      </c>
      <c r="G979" s="314" t="s">
        <v>3682</v>
      </c>
      <c r="H979" s="283" t="s">
        <v>3683</v>
      </c>
      <c r="K979" s="314" t="s">
        <v>3684</v>
      </c>
      <c r="L979" s="283" t="s">
        <v>3685</v>
      </c>
      <c r="M979" s="283" t="s">
        <v>3713</v>
      </c>
      <c r="N979" s="3">
        <v>0</v>
      </c>
      <c r="O979" s="3">
        <v>2</v>
      </c>
      <c r="P979" s="3">
        <v>2</v>
      </c>
      <c r="Q979" s="3">
        <v>2</v>
      </c>
      <c r="R979" s="3">
        <v>2</v>
      </c>
      <c r="S979" s="3">
        <v>2</v>
      </c>
      <c r="T979" s="283" t="s">
        <v>321</v>
      </c>
      <c r="U979" s="283" t="s">
        <v>1066</v>
      </c>
      <c r="V979" s="1" t="s">
        <v>3714</v>
      </c>
      <c r="W979" s="1">
        <v>1</v>
      </c>
      <c r="X979" s="1">
        <v>1</v>
      </c>
      <c r="Y979" s="1">
        <v>0</v>
      </c>
      <c r="Z979" s="1">
        <v>0</v>
      </c>
      <c r="AA979" s="1">
        <v>0</v>
      </c>
      <c r="AB979" s="1">
        <v>1</v>
      </c>
      <c r="AC979" s="316">
        <v>0</v>
      </c>
      <c r="AD979" s="316">
        <v>1</v>
      </c>
      <c r="AE979" s="302">
        <f t="shared" si="76"/>
        <v>0.5</v>
      </c>
      <c r="AF979" s="310"/>
      <c r="AG979" s="17">
        <v>0</v>
      </c>
      <c r="AH979" s="310">
        <v>0</v>
      </c>
      <c r="AI979" s="310">
        <v>0</v>
      </c>
      <c r="AJ979" s="310">
        <v>0</v>
      </c>
      <c r="AK979" s="317">
        <v>0</v>
      </c>
      <c r="AL979" s="317"/>
      <c r="AM979" s="17">
        <f t="shared" si="77"/>
        <v>0</v>
      </c>
      <c r="AN979" s="283" t="s">
        <v>1446</v>
      </c>
      <c r="AO979" s="18" t="s">
        <v>3715</v>
      </c>
      <c r="AP979" s="283" t="s">
        <v>3716</v>
      </c>
    </row>
    <row r="980" spans="1:42" hidden="1" x14ac:dyDescent="0.3">
      <c r="A980" s="314" t="s">
        <v>1448</v>
      </c>
      <c r="B980" s="283" t="s">
        <v>3447</v>
      </c>
      <c r="C980" s="314" t="s">
        <v>3449</v>
      </c>
      <c r="D980" s="283" t="s">
        <v>3450</v>
      </c>
      <c r="E980" s="314" t="s">
        <v>3621</v>
      </c>
      <c r="F980" s="283" t="s">
        <v>3622</v>
      </c>
      <c r="G980" s="314" t="s">
        <v>3682</v>
      </c>
      <c r="H980" s="283" t="s">
        <v>3683</v>
      </c>
      <c r="K980" s="314" t="s">
        <v>3684</v>
      </c>
      <c r="L980" s="283" t="s">
        <v>3685</v>
      </c>
      <c r="M980" s="283" t="s">
        <v>3717</v>
      </c>
      <c r="N980" s="3">
        <v>0</v>
      </c>
      <c r="Q980" s="3">
        <v>1</v>
      </c>
      <c r="T980" s="283" t="s">
        <v>265</v>
      </c>
      <c r="U980" s="283" t="s">
        <v>350</v>
      </c>
      <c r="V980" s="1" t="s">
        <v>3718</v>
      </c>
      <c r="W980" s="1">
        <v>1</v>
      </c>
      <c r="X980" s="1">
        <v>0</v>
      </c>
      <c r="Y980" s="1">
        <v>0</v>
      </c>
      <c r="Z980" s="1">
        <v>0</v>
      </c>
      <c r="AA980" s="1">
        <v>0</v>
      </c>
      <c r="AB980" s="1">
        <v>1</v>
      </c>
      <c r="AC980" s="316">
        <v>0</v>
      </c>
      <c r="AD980" s="316">
        <v>1</v>
      </c>
      <c r="AE980" s="302">
        <f t="shared" si="76"/>
        <v>0.375</v>
      </c>
      <c r="AF980" s="17"/>
      <c r="AG980" s="17">
        <v>0</v>
      </c>
      <c r="AH980" s="17">
        <v>0</v>
      </c>
      <c r="AI980" s="17">
        <v>0</v>
      </c>
      <c r="AJ980" s="310">
        <v>0</v>
      </c>
      <c r="AK980" s="317">
        <v>0</v>
      </c>
      <c r="AL980" s="154"/>
      <c r="AM980" s="17">
        <f t="shared" si="77"/>
        <v>0</v>
      </c>
      <c r="AN980" s="283" t="s">
        <v>63</v>
      </c>
      <c r="AO980" s="18" t="s">
        <v>2510</v>
      </c>
      <c r="AP980" s="283" t="s">
        <v>3292</v>
      </c>
    </row>
    <row r="981" spans="1:42" hidden="1" x14ac:dyDescent="0.3">
      <c r="A981" s="314" t="s">
        <v>1448</v>
      </c>
      <c r="B981" s="283" t="s">
        <v>3447</v>
      </c>
      <c r="C981" s="314" t="s">
        <v>3449</v>
      </c>
      <c r="D981" s="283" t="s">
        <v>3450</v>
      </c>
      <c r="E981" s="314" t="s">
        <v>3621</v>
      </c>
      <c r="F981" s="283" t="s">
        <v>3622</v>
      </c>
      <c r="G981" s="314" t="s">
        <v>3682</v>
      </c>
      <c r="H981" s="283" t="s">
        <v>3683</v>
      </c>
      <c r="K981" s="318" t="s">
        <v>3684</v>
      </c>
      <c r="L981" s="283" t="s">
        <v>3685</v>
      </c>
      <c r="M981" s="283" t="s">
        <v>3719</v>
      </c>
      <c r="N981" s="3">
        <v>0</v>
      </c>
      <c r="O981" s="3">
        <v>1</v>
      </c>
      <c r="P981" s="3">
        <v>2</v>
      </c>
      <c r="Q981" s="3">
        <v>2</v>
      </c>
      <c r="R981" s="3">
        <v>2</v>
      </c>
      <c r="S981" s="3">
        <v>2</v>
      </c>
      <c r="T981" s="283" t="s">
        <v>3292</v>
      </c>
      <c r="U981" s="283" t="e">
        <v>#N/A</v>
      </c>
      <c r="V981" s="1" t="s">
        <v>3720</v>
      </c>
      <c r="W981" s="1">
        <v>1</v>
      </c>
      <c r="X981" s="1">
        <v>1</v>
      </c>
      <c r="Y981" s="1">
        <v>1</v>
      </c>
      <c r="Z981" s="1">
        <v>0</v>
      </c>
      <c r="AA981" s="1">
        <v>0</v>
      </c>
      <c r="AB981" s="1">
        <v>1</v>
      </c>
      <c r="AC981" s="316">
        <v>0</v>
      </c>
      <c r="AD981" s="316">
        <v>1</v>
      </c>
      <c r="AE981" s="302">
        <f t="shared" si="76"/>
        <v>0.625</v>
      </c>
      <c r="AF981" s="17"/>
      <c r="AG981" s="17">
        <v>0</v>
      </c>
      <c r="AH981" s="17">
        <v>0</v>
      </c>
      <c r="AI981" s="17">
        <v>0</v>
      </c>
      <c r="AJ981" s="17">
        <v>0</v>
      </c>
      <c r="AK981" s="153">
        <v>0</v>
      </c>
      <c r="AL981" s="154">
        <v>0</v>
      </c>
      <c r="AM981" s="17">
        <f t="shared" si="77"/>
        <v>0</v>
      </c>
      <c r="AN981" s="10" t="s">
        <v>3691</v>
      </c>
      <c r="AO981" s="18" t="s">
        <v>103</v>
      </c>
      <c r="AP981" s="283" t="s">
        <v>321</v>
      </c>
    </row>
    <row r="982" spans="1:42" x14ac:dyDescent="0.3">
      <c r="A982" s="314" t="s">
        <v>1448</v>
      </c>
      <c r="B982" s="283" t="s">
        <v>3447</v>
      </c>
      <c r="C982" s="314" t="s">
        <v>3449</v>
      </c>
      <c r="D982" s="283" t="s">
        <v>3450</v>
      </c>
      <c r="E982" s="314" t="s">
        <v>3621</v>
      </c>
      <c r="F982" s="283" t="s">
        <v>3622</v>
      </c>
      <c r="G982" s="314" t="s">
        <v>3721</v>
      </c>
      <c r="H982" s="283" t="s">
        <v>3722</v>
      </c>
      <c r="K982" s="314" t="s">
        <v>3723</v>
      </c>
      <c r="L982" s="283" t="s">
        <v>3724</v>
      </c>
      <c r="M982" s="283" t="s">
        <v>3725</v>
      </c>
      <c r="N982" s="3">
        <v>0</v>
      </c>
      <c r="O982" s="3">
        <v>1</v>
      </c>
      <c r="P982" s="3">
        <v>0</v>
      </c>
      <c r="Q982" s="3">
        <v>0</v>
      </c>
      <c r="R982" s="3">
        <v>0</v>
      </c>
      <c r="S982" s="3">
        <v>0</v>
      </c>
      <c r="T982" s="283" t="s">
        <v>1191</v>
      </c>
      <c r="U982" s="283" t="e">
        <v>#N/A</v>
      </c>
      <c r="V982" s="1" t="s">
        <v>3726</v>
      </c>
      <c r="W982" s="1">
        <v>1</v>
      </c>
      <c r="X982" s="1">
        <v>1</v>
      </c>
      <c r="Y982" s="1">
        <v>1</v>
      </c>
      <c r="Z982" s="1">
        <v>1</v>
      </c>
      <c r="AA982" s="1">
        <v>1</v>
      </c>
      <c r="AB982" s="1">
        <v>1</v>
      </c>
      <c r="AC982" s="316">
        <v>1</v>
      </c>
      <c r="AD982" s="316">
        <v>1</v>
      </c>
      <c r="AE982" s="302">
        <f t="shared" si="76"/>
        <v>1</v>
      </c>
      <c r="AF982" s="17">
        <v>1</v>
      </c>
      <c r="AG982" s="17">
        <v>0</v>
      </c>
      <c r="AH982" s="17">
        <v>0</v>
      </c>
      <c r="AI982" s="310">
        <v>0.3</v>
      </c>
      <c r="AJ982" s="17">
        <v>0</v>
      </c>
      <c r="AK982" s="153">
        <v>0.1</v>
      </c>
      <c r="AL982" s="154">
        <v>0</v>
      </c>
      <c r="AM982" s="17">
        <f t="shared" si="77"/>
        <v>0.1</v>
      </c>
      <c r="AN982" s="1" t="s">
        <v>921</v>
      </c>
      <c r="AO982" s="18" t="s">
        <v>880</v>
      </c>
      <c r="AP982" s="283" t="s">
        <v>265</v>
      </c>
    </row>
    <row r="983" spans="1:42" x14ac:dyDescent="0.3">
      <c r="A983" s="314" t="s">
        <v>1448</v>
      </c>
      <c r="B983" s="283" t="s">
        <v>3447</v>
      </c>
      <c r="C983" s="314" t="s">
        <v>3449</v>
      </c>
      <c r="D983" s="283" t="s">
        <v>3450</v>
      </c>
      <c r="E983" s="314" t="s">
        <v>3621</v>
      </c>
      <c r="F983" s="283" t="s">
        <v>3622</v>
      </c>
      <c r="G983" s="314" t="s">
        <v>3721</v>
      </c>
      <c r="H983" s="283" t="s">
        <v>3722</v>
      </c>
      <c r="K983" s="314" t="s">
        <v>3723</v>
      </c>
      <c r="L983" s="283" t="s">
        <v>3724</v>
      </c>
      <c r="M983" s="283" t="s">
        <v>3727</v>
      </c>
      <c r="N983" s="3"/>
      <c r="P983" s="3">
        <v>2</v>
      </c>
      <c r="Q983" s="3">
        <v>4</v>
      </c>
      <c r="R983" s="3">
        <v>4</v>
      </c>
      <c r="S983" s="3">
        <v>4</v>
      </c>
      <c r="T983" s="283" t="s">
        <v>265</v>
      </c>
      <c r="U983" s="283" t="s">
        <v>350</v>
      </c>
      <c r="V983" s="1" t="s">
        <v>3728</v>
      </c>
      <c r="W983" s="1">
        <v>1</v>
      </c>
      <c r="X983" s="1">
        <v>1</v>
      </c>
      <c r="Y983" s="1">
        <v>1</v>
      </c>
      <c r="Z983" s="1">
        <v>1</v>
      </c>
      <c r="AA983" s="1">
        <v>1</v>
      </c>
      <c r="AB983" s="1">
        <v>1</v>
      </c>
      <c r="AC983" s="316">
        <v>1</v>
      </c>
      <c r="AD983" s="316">
        <v>1</v>
      </c>
      <c r="AE983" s="302">
        <f t="shared" si="76"/>
        <v>1</v>
      </c>
      <c r="AF983" s="17">
        <v>1</v>
      </c>
      <c r="AG983" s="17">
        <v>0</v>
      </c>
      <c r="AH983" s="17">
        <v>0</v>
      </c>
      <c r="AI983" s="310">
        <v>0.1</v>
      </c>
      <c r="AJ983" s="310">
        <v>0.3</v>
      </c>
      <c r="AK983" s="317">
        <v>0.3</v>
      </c>
      <c r="AL983" s="317">
        <v>0.3</v>
      </c>
      <c r="AM983" s="17">
        <f t="shared" si="77"/>
        <v>0.6</v>
      </c>
      <c r="AN983" s="283" t="s">
        <v>265</v>
      </c>
      <c r="AO983" s="18" t="s">
        <v>350</v>
      </c>
      <c r="AP983" s="283" t="s">
        <v>101</v>
      </c>
    </row>
    <row r="984" spans="1:42" x14ac:dyDescent="0.3">
      <c r="A984" s="314" t="s">
        <v>1448</v>
      </c>
      <c r="B984" s="283" t="s">
        <v>3447</v>
      </c>
      <c r="C984" s="314" t="s">
        <v>3449</v>
      </c>
      <c r="D984" s="283" t="s">
        <v>3450</v>
      </c>
      <c r="E984" s="314" t="s">
        <v>3621</v>
      </c>
      <c r="F984" s="283" t="s">
        <v>3622</v>
      </c>
      <c r="G984" s="314" t="s">
        <v>3721</v>
      </c>
      <c r="H984" s="283" t="s">
        <v>3722</v>
      </c>
      <c r="K984" s="314" t="s">
        <v>3723</v>
      </c>
      <c r="L984" s="283" t="s">
        <v>3724</v>
      </c>
      <c r="M984" s="283" t="s">
        <v>3729</v>
      </c>
      <c r="N984" s="3">
        <v>0</v>
      </c>
      <c r="O984" s="3">
        <v>1</v>
      </c>
      <c r="P984" s="3">
        <v>0</v>
      </c>
      <c r="Q984" s="3">
        <v>0</v>
      </c>
      <c r="R984" s="3">
        <v>0</v>
      </c>
      <c r="S984" s="3">
        <v>0</v>
      </c>
      <c r="T984" s="283" t="s">
        <v>265</v>
      </c>
      <c r="U984" s="283" t="s">
        <v>350</v>
      </c>
      <c r="V984" s="1" t="s">
        <v>3730</v>
      </c>
      <c r="W984" s="1">
        <v>1</v>
      </c>
      <c r="X984" s="1">
        <v>1</v>
      </c>
      <c r="Y984" s="1">
        <v>1</v>
      </c>
      <c r="Z984" s="1">
        <v>1</v>
      </c>
      <c r="AA984" s="1">
        <v>1</v>
      </c>
      <c r="AB984" s="1">
        <v>1</v>
      </c>
      <c r="AC984" s="316">
        <v>0</v>
      </c>
      <c r="AD984" s="316">
        <v>1</v>
      </c>
      <c r="AE984" s="302">
        <f t="shared" si="76"/>
        <v>0.875</v>
      </c>
      <c r="AF984" s="17"/>
      <c r="AG984" s="17">
        <v>0</v>
      </c>
      <c r="AH984" s="17">
        <v>0</v>
      </c>
      <c r="AI984" s="310">
        <v>0</v>
      </c>
      <c r="AJ984" s="17">
        <v>0</v>
      </c>
      <c r="AK984" s="153">
        <v>0.6</v>
      </c>
      <c r="AL984" s="154">
        <v>0</v>
      </c>
      <c r="AM984" s="17">
        <f t="shared" si="77"/>
        <v>0.6</v>
      </c>
      <c r="AN984" s="18" t="s">
        <v>92</v>
      </c>
      <c r="AO984" s="18" t="s">
        <v>118</v>
      </c>
      <c r="AP984" s="283" t="s">
        <v>67</v>
      </c>
    </row>
    <row r="985" spans="1:42" x14ac:dyDescent="0.3">
      <c r="A985" s="314" t="s">
        <v>1448</v>
      </c>
      <c r="B985" s="283" t="s">
        <v>3447</v>
      </c>
      <c r="C985" s="314" t="s">
        <v>3449</v>
      </c>
      <c r="D985" s="283" t="s">
        <v>3450</v>
      </c>
      <c r="E985" s="314" t="s">
        <v>3621</v>
      </c>
      <c r="F985" s="283" t="s">
        <v>3622</v>
      </c>
      <c r="G985" s="314" t="s">
        <v>3721</v>
      </c>
      <c r="H985" s="283" t="s">
        <v>3722</v>
      </c>
      <c r="K985" s="314" t="s">
        <v>3723</v>
      </c>
      <c r="L985" s="283" t="s">
        <v>3724</v>
      </c>
      <c r="M985" s="283" t="s">
        <v>3731</v>
      </c>
      <c r="N985" s="3">
        <v>0</v>
      </c>
      <c r="O985" s="3">
        <v>10</v>
      </c>
      <c r="P985" s="3">
        <v>20</v>
      </c>
      <c r="Q985" s="3">
        <v>50</v>
      </c>
      <c r="R985" s="3">
        <v>50</v>
      </c>
      <c r="S985" s="3">
        <v>50</v>
      </c>
      <c r="T985" s="283" t="s">
        <v>265</v>
      </c>
      <c r="U985" s="283" t="s">
        <v>350</v>
      </c>
      <c r="V985" s="1" t="s">
        <v>3732</v>
      </c>
      <c r="W985" s="1">
        <v>1</v>
      </c>
      <c r="X985" s="1">
        <v>1</v>
      </c>
      <c r="Y985" s="1">
        <v>1</v>
      </c>
      <c r="Z985" s="1">
        <v>1</v>
      </c>
      <c r="AA985" s="1">
        <v>1</v>
      </c>
      <c r="AB985" s="1">
        <v>1</v>
      </c>
      <c r="AC985" s="316">
        <v>1</v>
      </c>
      <c r="AD985" s="316">
        <v>1</v>
      </c>
      <c r="AE985" s="302">
        <f t="shared" si="76"/>
        <v>1</v>
      </c>
      <c r="AF985" s="17"/>
      <c r="AG985" s="17">
        <v>0</v>
      </c>
      <c r="AH985" s="17">
        <v>0</v>
      </c>
      <c r="AI985" s="310">
        <v>0</v>
      </c>
      <c r="AJ985" s="310">
        <v>0</v>
      </c>
      <c r="AK985" s="317">
        <v>2</v>
      </c>
      <c r="AL985" s="317">
        <v>0</v>
      </c>
      <c r="AM985" s="17">
        <f t="shared" si="77"/>
        <v>2</v>
      </c>
      <c r="AN985" s="283" t="s">
        <v>321</v>
      </c>
      <c r="AO985" s="18" t="s">
        <v>1066</v>
      </c>
      <c r="AP985" s="283" t="s">
        <v>265</v>
      </c>
    </row>
    <row r="986" spans="1:42" x14ac:dyDescent="0.3">
      <c r="A986" s="314" t="s">
        <v>1448</v>
      </c>
      <c r="B986" s="283" t="s">
        <v>3447</v>
      </c>
      <c r="C986" s="314" t="s">
        <v>3449</v>
      </c>
      <c r="D986" s="283" t="s">
        <v>3450</v>
      </c>
      <c r="E986" s="314" t="s">
        <v>3621</v>
      </c>
      <c r="F986" s="283" t="s">
        <v>3622</v>
      </c>
      <c r="G986" s="314" t="s">
        <v>3721</v>
      </c>
      <c r="H986" s="283" t="s">
        <v>3722</v>
      </c>
      <c r="K986" s="318" t="s">
        <v>3733</v>
      </c>
      <c r="L986" s="283" t="s">
        <v>3734</v>
      </c>
      <c r="M986" s="283" t="s">
        <v>3735</v>
      </c>
      <c r="N986" s="3">
        <v>0</v>
      </c>
      <c r="O986" s="3">
        <v>0</v>
      </c>
      <c r="P986" s="3">
        <v>2</v>
      </c>
      <c r="Q986" s="3">
        <v>2</v>
      </c>
      <c r="R986" s="3">
        <v>2</v>
      </c>
      <c r="S986" s="3">
        <v>2</v>
      </c>
      <c r="T986" s="283" t="s">
        <v>265</v>
      </c>
      <c r="U986" s="283" t="s">
        <v>350</v>
      </c>
      <c r="V986" s="1" t="s">
        <v>3736</v>
      </c>
      <c r="W986" s="1">
        <v>1</v>
      </c>
      <c r="X986" s="1">
        <v>1</v>
      </c>
      <c r="Y986" s="1">
        <v>1</v>
      </c>
      <c r="Z986" s="1">
        <v>1</v>
      </c>
      <c r="AA986" s="1">
        <v>1</v>
      </c>
      <c r="AB986" s="1">
        <v>1</v>
      </c>
      <c r="AC986" s="316">
        <v>1</v>
      </c>
      <c r="AD986" s="316">
        <v>1</v>
      </c>
      <c r="AE986" s="302">
        <f t="shared" si="76"/>
        <v>1</v>
      </c>
      <c r="AF986" s="17"/>
      <c r="AG986" s="17">
        <v>0</v>
      </c>
      <c r="AH986" s="17">
        <v>0</v>
      </c>
      <c r="AI986" s="310">
        <v>0.5</v>
      </c>
      <c r="AJ986" s="310">
        <v>0.5</v>
      </c>
      <c r="AK986" s="317">
        <v>0.5</v>
      </c>
      <c r="AL986" s="317" t="s">
        <v>3651</v>
      </c>
      <c r="AM986" s="17">
        <f t="shared" si="77"/>
        <v>0.5</v>
      </c>
      <c r="AN986" s="283" t="s">
        <v>265</v>
      </c>
      <c r="AO986" s="18" t="s">
        <v>350</v>
      </c>
      <c r="AP986" s="283" t="s">
        <v>3737</v>
      </c>
    </row>
    <row r="987" spans="1:42" hidden="1" x14ac:dyDescent="0.3">
      <c r="A987" s="314" t="s">
        <v>1448</v>
      </c>
      <c r="B987" s="283" t="s">
        <v>3447</v>
      </c>
      <c r="C987" s="314" t="s">
        <v>3449</v>
      </c>
      <c r="D987" s="283" t="s">
        <v>3450</v>
      </c>
      <c r="E987" s="314" t="s">
        <v>3621</v>
      </c>
      <c r="F987" s="283" t="s">
        <v>3622</v>
      </c>
      <c r="G987" s="314" t="s">
        <v>3721</v>
      </c>
      <c r="H987" s="283" t="s">
        <v>3722</v>
      </c>
      <c r="K987" s="318" t="s">
        <v>3733</v>
      </c>
      <c r="L987" s="283" t="s">
        <v>3734</v>
      </c>
      <c r="M987" s="283" t="s">
        <v>3735</v>
      </c>
      <c r="N987" s="3">
        <v>0</v>
      </c>
      <c r="O987" s="3">
        <v>0</v>
      </c>
      <c r="P987" s="3">
        <v>2</v>
      </c>
      <c r="Q987" s="3">
        <v>2</v>
      </c>
      <c r="R987" s="3">
        <v>2</v>
      </c>
      <c r="S987" s="3">
        <v>2</v>
      </c>
      <c r="T987" s="283" t="s">
        <v>1233</v>
      </c>
      <c r="U987" s="283" t="s">
        <v>1650</v>
      </c>
      <c r="V987" s="1" t="s">
        <v>3736</v>
      </c>
      <c r="W987" s="1"/>
      <c r="X987" s="1"/>
      <c r="Y987" s="1"/>
      <c r="Z987" s="1"/>
      <c r="AA987" s="1"/>
      <c r="AB987" s="1"/>
      <c r="AC987" s="316">
        <v>0</v>
      </c>
      <c r="AD987" s="316">
        <v>0</v>
      </c>
      <c r="AE987" s="302">
        <f t="shared" si="76"/>
        <v>0</v>
      </c>
      <c r="AF987" s="17"/>
      <c r="AG987" s="17">
        <v>0</v>
      </c>
      <c r="AH987" s="17">
        <v>0</v>
      </c>
      <c r="AI987" s="310">
        <v>0.2</v>
      </c>
      <c r="AJ987" s="310">
        <v>0.2</v>
      </c>
      <c r="AK987" s="317">
        <v>0</v>
      </c>
      <c r="AL987" s="317"/>
      <c r="AM987" s="17">
        <f t="shared" si="77"/>
        <v>0</v>
      </c>
      <c r="AN987" s="283" t="s">
        <v>1233</v>
      </c>
      <c r="AO987" s="18" t="s">
        <v>1650</v>
      </c>
      <c r="AP987" s="283" t="s">
        <v>3738</v>
      </c>
    </row>
    <row r="988" spans="1:42" hidden="1" x14ac:dyDescent="0.3">
      <c r="A988" s="314" t="s">
        <v>1448</v>
      </c>
      <c r="B988" s="283" t="s">
        <v>3447</v>
      </c>
      <c r="C988" s="314" t="s">
        <v>3449</v>
      </c>
      <c r="D988" s="283" t="s">
        <v>3450</v>
      </c>
      <c r="E988" s="314" t="s">
        <v>3621</v>
      </c>
      <c r="F988" s="283" t="s">
        <v>3622</v>
      </c>
      <c r="G988" s="314" t="s">
        <v>3721</v>
      </c>
      <c r="H988" s="283" t="s">
        <v>3722</v>
      </c>
      <c r="K988" s="318" t="s">
        <v>3733</v>
      </c>
      <c r="L988" s="283" t="s">
        <v>3734</v>
      </c>
      <c r="M988" s="283" t="s">
        <v>3735</v>
      </c>
      <c r="N988" s="3">
        <v>0</v>
      </c>
      <c r="O988" s="3">
        <v>0</v>
      </c>
      <c r="P988" s="3">
        <v>2</v>
      </c>
      <c r="Q988" s="3">
        <v>2</v>
      </c>
      <c r="R988" s="3">
        <v>2</v>
      </c>
      <c r="S988" s="3">
        <v>2</v>
      </c>
      <c r="T988" s="283" t="s">
        <v>1132</v>
      </c>
      <c r="U988" s="283" t="s">
        <v>3739</v>
      </c>
      <c r="V988" s="1" t="s">
        <v>3736</v>
      </c>
      <c r="W988" s="1"/>
      <c r="X988" s="1"/>
      <c r="Y988" s="1"/>
      <c r="Z988" s="1"/>
      <c r="AA988" s="1"/>
      <c r="AB988" s="1"/>
      <c r="AC988" s="316">
        <v>0</v>
      </c>
      <c r="AD988" s="316">
        <v>0</v>
      </c>
      <c r="AE988" s="302">
        <f t="shared" si="76"/>
        <v>0</v>
      </c>
      <c r="AF988" s="17"/>
      <c r="AG988" s="17">
        <v>0</v>
      </c>
      <c r="AH988" s="17">
        <v>0</v>
      </c>
      <c r="AI988" s="310">
        <v>0.1</v>
      </c>
      <c r="AJ988" s="310">
        <v>0.1</v>
      </c>
      <c r="AK988" s="317">
        <v>0</v>
      </c>
      <c r="AL988" s="317"/>
      <c r="AM988" s="17">
        <f t="shared" si="77"/>
        <v>0</v>
      </c>
      <c r="AN988" s="283" t="s">
        <v>1132</v>
      </c>
      <c r="AO988" s="18" t="s">
        <v>3739</v>
      </c>
      <c r="AP988" s="283" t="s">
        <v>3740</v>
      </c>
    </row>
    <row r="989" spans="1:42" x14ac:dyDescent="0.3">
      <c r="A989" s="314" t="s">
        <v>1448</v>
      </c>
      <c r="B989" s="283" t="s">
        <v>3447</v>
      </c>
      <c r="C989" s="314" t="s">
        <v>3449</v>
      </c>
      <c r="D989" s="283" t="s">
        <v>3450</v>
      </c>
      <c r="E989" s="314" t="s">
        <v>3621</v>
      </c>
      <c r="F989" s="283" t="s">
        <v>3622</v>
      </c>
      <c r="G989" s="314" t="s">
        <v>3721</v>
      </c>
      <c r="H989" s="283" t="s">
        <v>3722</v>
      </c>
      <c r="K989" s="318" t="s">
        <v>3733</v>
      </c>
      <c r="L989" s="283" t="s">
        <v>3734</v>
      </c>
      <c r="M989" s="283" t="s">
        <v>3741</v>
      </c>
      <c r="N989" s="3">
        <v>100</v>
      </c>
      <c r="O989" s="3">
        <v>100</v>
      </c>
      <c r="P989" s="3">
        <v>100</v>
      </c>
      <c r="Q989" s="3">
        <v>100</v>
      </c>
      <c r="R989" s="3">
        <v>100</v>
      </c>
      <c r="S989" s="3">
        <v>100</v>
      </c>
      <c r="T989" s="283" t="s">
        <v>265</v>
      </c>
      <c r="U989" s="283" t="s">
        <v>350</v>
      </c>
      <c r="V989" s="1" t="s">
        <v>3742</v>
      </c>
      <c r="W989" s="1">
        <v>1</v>
      </c>
      <c r="X989" s="1">
        <v>1</v>
      </c>
      <c r="Y989" s="1">
        <v>1</v>
      </c>
      <c r="Z989" s="1">
        <v>1</v>
      </c>
      <c r="AA989" s="1">
        <v>1</v>
      </c>
      <c r="AB989" s="1">
        <v>1</v>
      </c>
      <c r="AC989" s="316">
        <v>1</v>
      </c>
      <c r="AD989" s="316">
        <v>1</v>
      </c>
      <c r="AE989" s="302">
        <f t="shared" si="76"/>
        <v>1</v>
      </c>
      <c r="AF989" s="310"/>
      <c r="AG989" s="17">
        <v>0</v>
      </c>
      <c r="AH989" s="310">
        <v>0</v>
      </c>
      <c r="AI989" s="310">
        <v>0</v>
      </c>
      <c r="AJ989" s="310">
        <v>0</v>
      </c>
      <c r="AK989" s="317">
        <v>7.0000000000000007E-2</v>
      </c>
      <c r="AL989" s="317">
        <v>0</v>
      </c>
      <c r="AM989" s="17">
        <f t="shared" si="77"/>
        <v>7.0000000000000007E-2</v>
      </c>
      <c r="AN989" s="283" t="s">
        <v>265</v>
      </c>
      <c r="AO989" s="18" t="s">
        <v>350</v>
      </c>
      <c r="AP989" s="283" t="s">
        <v>3743</v>
      </c>
    </row>
    <row r="990" spans="1:42" x14ac:dyDescent="0.3">
      <c r="A990" s="314" t="s">
        <v>1448</v>
      </c>
      <c r="B990" s="283" t="s">
        <v>3447</v>
      </c>
      <c r="C990" s="314" t="s">
        <v>3744</v>
      </c>
      <c r="D990" s="283" t="s">
        <v>3745</v>
      </c>
      <c r="E990" s="314" t="s">
        <v>3746</v>
      </c>
      <c r="F990" s="283" t="s">
        <v>3747</v>
      </c>
      <c r="G990" s="314" t="s">
        <v>3748</v>
      </c>
      <c r="H990" s="283" t="s">
        <v>3749</v>
      </c>
      <c r="K990" s="314" t="s">
        <v>3750</v>
      </c>
      <c r="L990" s="283" t="s">
        <v>3751</v>
      </c>
      <c r="M990" s="283" t="s">
        <v>3752</v>
      </c>
      <c r="N990" s="3" t="s">
        <v>271</v>
      </c>
      <c r="O990" s="3">
        <v>600</v>
      </c>
      <c r="P990" s="3">
        <v>650</v>
      </c>
      <c r="Q990" s="3" t="s">
        <v>3753</v>
      </c>
      <c r="R990" s="3" t="s">
        <v>3754</v>
      </c>
      <c r="S990" s="3" t="s">
        <v>3755</v>
      </c>
      <c r="T990" s="283" t="s">
        <v>3756</v>
      </c>
      <c r="U990" s="283" t="e">
        <v>#N/A</v>
      </c>
      <c r="V990" s="1" t="s">
        <v>3757</v>
      </c>
      <c r="W990" s="1">
        <v>1</v>
      </c>
      <c r="X990" s="1">
        <v>1</v>
      </c>
      <c r="Y990" s="1">
        <v>1</v>
      </c>
      <c r="Z990" s="1">
        <v>1</v>
      </c>
      <c r="AA990" s="1">
        <v>1</v>
      </c>
      <c r="AB990" s="1">
        <v>1</v>
      </c>
      <c r="AC990" s="316">
        <v>1</v>
      </c>
      <c r="AD990" s="316">
        <v>1</v>
      </c>
      <c r="AE990" s="302">
        <f t="shared" si="76"/>
        <v>1</v>
      </c>
      <c r="AF990" s="310"/>
      <c r="AG990" s="17">
        <v>0</v>
      </c>
      <c r="AH990" s="310">
        <v>0</v>
      </c>
      <c r="AI990" s="310">
        <v>0</v>
      </c>
      <c r="AJ990" s="310">
        <v>0</v>
      </c>
      <c r="AK990" s="317">
        <v>1</v>
      </c>
      <c r="AL990" s="317">
        <v>0</v>
      </c>
      <c r="AM990" s="17">
        <f t="shared" si="77"/>
        <v>1</v>
      </c>
      <c r="AN990" s="283" t="s">
        <v>321</v>
      </c>
      <c r="AO990" s="18" t="s">
        <v>1066</v>
      </c>
      <c r="AP990" s="283" t="s">
        <v>265</v>
      </c>
    </row>
    <row r="991" spans="1:42" x14ac:dyDescent="0.3">
      <c r="A991" s="314" t="s">
        <v>1448</v>
      </c>
      <c r="B991" s="283" t="s">
        <v>3447</v>
      </c>
      <c r="C991" s="314" t="s">
        <v>3744</v>
      </c>
      <c r="D991" s="283" t="s">
        <v>3745</v>
      </c>
      <c r="E991" s="314" t="s">
        <v>3746</v>
      </c>
      <c r="F991" s="283" t="s">
        <v>3747</v>
      </c>
      <c r="G991" s="314" t="s">
        <v>3748</v>
      </c>
      <c r="H991" s="283" t="s">
        <v>3749</v>
      </c>
      <c r="K991" s="314" t="s">
        <v>3750</v>
      </c>
      <c r="L991" s="283" t="s">
        <v>3751</v>
      </c>
      <c r="M991" s="283" t="s">
        <v>3758</v>
      </c>
      <c r="N991" s="3">
        <v>0</v>
      </c>
      <c r="O991" s="3">
        <v>10</v>
      </c>
      <c r="P991" s="3">
        <v>12</v>
      </c>
      <c r="Q991" s="3">
        <v>12</v>
      </c>
      <c r="R991" s="3">
        <v>12</v>
      </c>
      <c r="S991" s="3">
        <v>10</v>
      </c>
      <c r="T991" s="283" t="s">
        <v>321</v>
      </c>
      <c r="U991" s="283" t="s">
        <v>1066</v>
      </c>
      <c r="V991" s="1" t="s">
        <v>3759</v>
      </c>
      <c r="W991" s="1">
        <v>1</v>
      </c>
      <c r="X991" s="1">
        <v>1</v>
      </c>
      <c r="Y991" s="1">
        <v>1</v>
      </c>
      <c r="Z991" s="1">
        <v>1</v>
      </c>
      <c r="AA991" s="1">
        <v>1</v>
      </c>
      <c r="AB991" s="1">
        <v>1</v>
      </c>
      <c r="AC991" s="316">
        <v>1</v>
      </c>
      <c r="AD991" s="316">
        <v>1</v>
      </c>
      <c r="AE991" s="302">
        <f t="shared" si="76"/>
        <v>1</v>
      </c>
      <c r="AF991" s="310"/>
      <c r="AG991" s="17">
        <v>0</v>
      </c>
      <c r="AH991" s="310">
        <v>0</v>
      </c>
      <c r="AI991" s="310">
        <v>0</v>
      </c>
      <c r="AJ991" s="310">
        <v>0</v>
      </c>
      <c r="AK991" s="317">
        <v>0.2</v>
      </c>
      <c r="AL991" s="317">
        <v>0</v>
      </c>
      <c r="AM991" s="17">
        <f t="shared" si="77"/>
        <v>0.2</v>
      </c>
      <c r="AN991" s="283" t="s">
        <v>321</v>
      </c>
      <c r="AO991" s="18" t="s">
        <v>1066</v>
      </c>
      <c r="AP991" s="283" t="s">
        <v>265</v>
      </c>
    </row>
    <row r="992" spans="1:42" x14ac:dyDescent="0.3">
      <c r="A992" s="314" t="s">
        <v>1448</v>
      </c>
      <c r="B992" s="283" t="s">
        <v>3447</v>
      </c>
      <c r="C992" s="314" t="s">
        <v>3744</v>
      </c>
      <c r="D992" s="283" t="s">
        <v>3745</v>
      </c>
      <c r="E992" s="314" t="s">
        <v>3746</v>
      </c>
      <c r="F992" s="283" t="s">
        <v>3747</v>
      </c>
      <c r="G992" s="314" t="s">
        <v>3748</v>
      </c>
      <c r="H992" s="283" t="s">
        <v>3749</v>
      </c>
      <c r="K992" s="314" t="s">
        <v>3750</v>
      </c>
      <c r="L992" s="283" t="s">
        <v>3751</v>
      </c>
      <c r="M992" s="283" t="s">
        <v>3760</v>
      </c>
      <c r="N992" s="3">
        <v>0</v>
      </c>
      <c r="O992" s="3">
        <v>300</v>
      </c>
      <c r="P992" s="3">
        <v>300</v>
      </c>
      <c r="Q992" s="3">
        <v>300</v>
      </c>
      <c r="R992" s="3">
        <v>300</v>
      </c>
      <c r="S992" s="3">
        <v>300</v>
      </c>
      <c r="T992" s="283" t="s">
        <v>321</v>
      </c>
      <c r="U992" s="283" t="s">
        <v>1066</v>
      </c>
      <c r="V992" s="1" t="s">
        <v>3761</v>
      </c>
      <c r="W992" s="1">
        <v>1</v>
      </c>
      <c r="X992" s="1">
        <v>1</v>
      </c>
      <c r="Y992" s="1">
        <v>1</v>
      </c>
      <c r="Z992" s="1">
        <v>1</v>
      </c>
      <c r="AA992" s="1">
        <v>1</v>
      </c>
      <c r="AB992" s="1">
        <v>1</v>
      </c>
      <c r="AC992" s="316">
        <v>1</v>
      </c>
      <c r="AD992" s="316">
        <v>1</v>
      </c>
      <c r="AE992" s="302">
        <f t="shared" si="76"/>
        <v>1</v>
      </c>
      <c r="AF992" s="310"/>
      <c r="AG992" s="17">
        <v>0</v>
      </c>
      <c r="AH992" s="310">
        <v>0</v>
      </c>
      <c r="AI992" s="310">
        <v>0</v>
      </c>
      <c r="AJ992" s="310">
        <v>0</v>
      </c>
      <c r="AK992" s="317">
        <v>0.5</v>
      </c>
      <c r="AL992" s="317">
        <v>0</v>
      </c>
      <c r="AM992" s="17">
        <f t="shared" si="77"/>
        <v>0.5</v>
      </c>
      <c r="AN992" s="283" t="s">
        <v>321</v>
      </c>
      <c r="AO992" s="18" t="s">
        <v>1066</v>
      </c>
      <c r="AP992" s="283" t="s">
        <v>265</v>
      </c>
    </row>
    <row r="993" spans="1:42" x14ac:dyDescent="0.3">
      <c r="A993" s="314" t="s">
        <v>1448</v>
      </c>
      <c r="B993" s="283" t="s">
        <v>3447</v>
      </c>
      <c r="C993" s="314" t="s">
        <v>3744</v>
      </c>
      <c r="D993" s="283" t="s">
        <v>3745</v>
      </c>
      <c r="E993" s="314" t="s">
        <v>3746</v>
      </c>
      <c r="F993" s="283" t="s">
        <v>3747</v>
      </c>
      <c r="G993" s="314" t="s">
        <v>3748</v>
      </c>
      <c r="H993" s="283" t="s">
        <v>3749</v>
      </c>
      <c r="K993" s="314" t="s">
        <v>3750</v>
      </c>
      <c r="L993" s="283" t="s">
        <v>3751</v>
      </c>
      <c r="M993" s="283" t="s">
        <v>3762</v>
      </c>
      <c r="N993" s="3">
        <v>0</v>
      </c>
      <c r="O993" s="3">
        <v>4</v>
      </c>
      <c r="P993" s="3" t="s">
        <v>3763</v>
      </c>
      <c r="Q993" s="3" t="s">
        <v>3763</v>
      </c>
      <c r="R993" s="3" t="s">
        <v>3763</v>
      </c>
      <c r="S993" s="3" t="s">
        <v>3763</v>
      </c>
      <c r="T993" s="283" t="s">
        <v>3756</v>
      </c>
      <c r="U993" s="283" t="e">
        <v>#N/A</v>
      </c>
      <c r="V993" s="1" t="s">
        <v>3764</v>
      </c>
      <c r="W993" s="1">
        <v>1</v>
      </c>
      <c r="X993" s="1">
        <v>1</v>
      </c>
      <c r="Y993" s="1">
        <v>1</v>
      </c>
      <c r="Z993" s="1">
        <v>1</v>
      </c>
      <c r="AA993" s="1">
        <v>1</v>
      </c>
      <c r="AB993" s="1">
        <v>0</v>
      </c>
      <c r="AC993" s="316">
        <v>1</v>
      </c>
      <c r="AD993" s="316">
        <v>1</v>
      </c>
      <c r="AE993" s="302">
        <f t="shared" si="76"/>
        <v>0.875</v>
      </c>
      <c r="AF993" s="310"/>
      <c r="AG993" s="17">
        <v>0</v>
      </c>
      <c r="AH993" s="310">
        <v>0</v>
      </c>
      <c r="AI993" s="310">
        <v>0</v>
      </c>
      <c r="AJ993" s="310">
        <v>0</v>
      </c>
      <c r="AK993" s="317">
        <v>0.5</v>
      </c>
      <c r="AL993" s="317">
        <v>0</v>
      </c>
      <c r="AM993" s="17">
        <f t="shared" si="77"/>
        <v>0.5</v>
      </c>
      <c r="AN993" s="283" t="s">
        <v>321</v>
      </c>
      <c r="AO993" s="18" t="s">
        <v>1066</v>
      </c>
      <c r="AP993" s="283" t="s">
        <v>3765</v>
      </c>
    </row>
    <row r="994" spans="1:42" x14ac:dyDescent="0.3">
      <c r="A994" s="314" t="s">
        <v>1448</v>
      </c>
      <c r="B994" s="283" t="s">
        <v>3447</v>
      </c>
      <c r="C994" s="314" t="s">
        <v>3744</v>
      </c>
      <c r="D994" s="283" t="s">
        <v>3745</v>
      </c>
      <c r="E994" s="314" t="s">
        <v>3746</v>
      </c>
      <c r="F994" s="283" t="s">
        <v>3747</v>
      </c>
      <c r="G994" s="314" t="s">
        <v>3748</v>
      </c>
      <c r="H994" s="283" t="s">
        <v>3749</v>
      </c>
      <c r="K994" s="314" t="s">
        <v>3750</v>
      </c>
      <c r="L994" s="283" t="s">
        <v>3751</v>
      </c>
      <c r="M994" s="283" t="s">
        <v>3766</v>
      </c>
      <c r="N994" s="3" t="s">
        <v>271</v>
      </c>
      <c r="O994" s="3">
        <v>12</v>
      </c>
      <c r="P994" s="3" t="s">
        <v>3767</v>
      </c>
      <c r="Q994" s="3">
        <v>12</v>
      </c>
      <c r="R994" s="3" t="s">
        <v>3767</v>
      </c>
      <c r="S994" s="3" t="s">
        <v>3767</v>
      </c>
      <c r="T994" s="283" t="s">
        <v>1216</v>
      </c>
      <c r="U994" s="283" t="s">
        <v>1218</v>
      </c>
      <c r="V994" s="1" t="s">
        <v>3768</v>
      </c>
      <c r="W994" s="1">
        <v>1</v>
      </c>
      <c r="X994" s="1">
        <v>1</v>
      </c>
      <c r="Y994" s="1">
        <v>1</v>
      </c>
      <c r="Z994" s="1">
        <v>1</v>
      </c>
      <c r="AA994" s="1">
        <v>1</v>
      </c>
      <c r="AB994" s="1">
        <v>0</v>
      </c>
      <c r="AC994" s="316">
        <v>1</v>
      </c>
      <c r="AD994" s="316">
        <v>1</v>
      </c>
      <c r="AE994" s="302">
        <f t="shared" si="76"/>
        <v>0.875</v>
      </c>
      <c r="AF994" s="310"/>
      <c r="AG994" s="17">
        <v>0</v>
      </c>
      <c r="AH994" s="310">
        <v>0.7</v>
      </c>
      <c r="AI994" s="310" t="s">
        <v>3769</v>
      </c>
      <c r="AJ994" s="310" t="s">
        <v>3769</v>
      </c>
      <c r="AK994" s="317">
        <v>0.7</v>
      </c>
      <c r="AL994" s="317" t="s">
        <v>3769</v>
      </c>
      <c r="AM994" s="17">
        <f t="shared" si="77"/>
        <v>0.7</v>
      </c>
      <c r="AN994" s="283" t="s">
        <v>1216</v>
      </c>
      <c r="AO994" s="18" t="s">
        <v>1218</v>
      </c>
      <c r="AP994" s="283" t="s">
        <v>3770</v>
      </c>
    </row>
    <row r="995" spans="1:42" x14ac:dyDescent="0.3">
      <c r="A995" s="314" t="s">
        <v>1448</v>
      </c>
      <c r="B995" s="283" t="s">
        <v>3447</v>
      </c>
      <c r="C995" s="314" t="s">
        <v>3744</v>
      </c>
      <c r="D995" s="283" t="s">
        <v>3745</v>
      </c>
      <c r="E995" s="314" t="s">
        <v>3746</v>
      </c>
      <c r="F995" s="283" t="s">
        <v>3747</v>
      </c>
      <c r="G995" s="314" t="s">
        <v>3748</v>
      </c>
      <c r="H995" s="283" t="s">
        <v>3749</v>
      </c>
      <c r="K995" s="314" t="s">
        <v>3750</v>
      </c>
      <c r="L995" s="283" t="s">
        <v>3751</v>
      </c>
      <c r="M995" s="283" t="s">
        <v>3771</v>
      </c>
      <c r="N995" s="3" t="s">
        <v>271</v>
      </c>
      <c r="O995" s="3">
        <v>20</v>
      </c>
      <c r="P995" s="3">
        <v>50</v>
      </c>
      <c r="Q995" s="3">
        <v>50</v>
      </c>
      <c r="R995" s="3">
        <v>50</v>
      </c>
      <c r="S995" s="3">
        <v>50</v>
      </c>
      <c r="T995" s="283" t="s">
        <v>265</v>
      </c>
      <c r="U995" s="283" t="s">
        <v>350</v>
      </c>
      <c r="V995" s="1" t="s">
        <v>3772</v>
      </c>
      <c r="W995" s="1">
        <v>1</v>
      </c>
      <c r="X995" s="1">
        <v>1</v>
      </c>
      <c r="Y995" s="1">
        <v>1</v>
      </c>
      <c r="Z995" s="1">
        <v>1</v>
      </c>
      <c r="AA995" s="1">
        <v>1</v>
      </c>
      <c r="AB995" s="1">
        <v>1</v>
      </c>
      <c r="AC995" s="316">
        <v>1</v>
      </c>
      <c r="AD995" s="316">
        <v>1</v>
      </c>
      <c r="AE995" s="302">
        <f t="shared" si="76"/>
        <v>1</v>
      </c>
      <c r="AF995" s="310"/>
      <c r="AG995" s="17">
        <v>0</v>
      </c>
      <c r="AH995" s="310">
        <v>0.2</v>
      </c>
      <c r="AI995" s="310">
        <v>0.5</v>
      </c>
      <c r="AJ995" s="310">
        <v>0.5</v>
      </c>
      <c r="AK995" s="317">
        <v>0.5</v>
      </c>
      <c r="AL995" s="317">
        <v>0.5</v>
      </c>
      <c r="AM995" s="17">
        <f t="shared" si="77"/>
        <v>1</v>
      </c>
      <c r="AN995" s="283" t="s">
        <v>265</v>
      </c>
      <c r="AO995" s="18" t="s">
        <v>350</v>
      </c>
      <c r="AP995" s="283" t="s">
        <v>3773</v>
      </c>
    </row>
    <row r="996" spans="1:42" x14ac:dyDescent="0.3">
      <c r="A996" s="314" t="s">
        <v>1448</v>
      </c>
      <c r="B996" s="283" t="s">
        <v>3447</v>
      </c>
      <c r="C996" s="314" t="s">
        <v>3744</v>
      </c>
      <c r="D996" s="283" t="s">
        <v>3745</v>
      </c>
      <c r="E996" s="314" t="s">
        <v>3746</v>
      </c>
      <c r="F996" s="283" t="s">
        <v>3747</v>
      </c>
      <c r="G996" s="314" t="s">
        <v>3748</v>
      </c>
      <c r="H996" s="283" t="s">
        <v>3749</v>
      </c>
      <c r="K996" s="314" t="s">
        <v>3750</v>
      </c>
      <c r="L996" s="283" t="s">
        <v>3751</v>
      </c>
      <c r="M996" s="283" t="s">
        <v>3774</v>
      </c>
      <c r="N996" s="3">
        <v>0</v>
      </c>
      <c r="O996" s="3">
        <v>150</v>
      </c>
      <c r="P996" s="3">
        <v>150</v>
      </c>
      <c r="Q996" s="3">
        <v>150</v>
      </c>
      <c r="R996" s="3">
        <v>150</v>
      </c>
      <c r="S996" s="3">
        <v>150</v>
      </c>
      <c r="T996" s="283" t="s">
        <v>1216</v>
      </c>
      <c r="U996" s="283" t="s">
        <v>1218</v>
      </c>
      <c r="V996" s="1" t="s">
        <v>3775</v>
      </c>
      <c r="W996" s="1">
        <v>1</v>
      </c>
      <c r="X996" s="1">
        <v>1</v>
      </c>
      <c r="Y996" s="1">
        <v>1</v>
      </c>
      <c r="Z996" s="1">
        <v>1</v>
      </c>
      <c r="AA996" s="1">
        <v>1</v>
      </c>
      <c r="AB996" s="1">
        <v>0</v>
      </c>
      <c r="AC996" s="316">
        <v>1</v>
      </c>
      <c r="AD996" s="316">
        <v>1</v>
      </c>
      <c r="AE996" s="302">
        <f t="shared" si="76"/>
        <v>0.875</v>
      </c>
      <c r="AF996" s="310"/>
      <c r="AG996" s="17">
        <v>0</v>
      </c>
      <c r="AH996" s="310">
        <v>0.5</v>
      </c>
      <c r="AI996" s="310">
        <v>0.5</v>
      </c>
      <c r="AJ996" s="310">
        <v>0.5</v>
      </c>
      <c r="AK996" s="317">
        <v>0.5</v>
      </c>
      <c r="AL996" s="317">
        <v>0.5</v>
      </c>
      <c r="AM996" s="17">
        <f t="shared" si="77"/>
        <v>1</v>
      </c>
      <c r="AN996" s="283" t="s">
        <v>1216</v>
      </c>
      <c r="AO996" s="18" t="s">
        <v>1218</v>
      </c>
      <c r="AP996" s="283" t="s">
        <v>265</v>
      </c>
    </row>
    <row r="997" spans="1:42" x14ac:dyDescent="0.3">
      <c r="A997" s="314" t="s">
        <v>1448</v>
      </c>
      <c r="B997" s="283" t="s">
        <v>3447</v>
      </c>
      <c r="C997" s="314" t="s">
        <v>3744</v>
      </c>
      <c r="D997" s="283" t="s">
        <v>3745</v>
      </c>
      <c r="E997" s="314" t="s">
        <v>3746</v>
      </c>
      <c r="F997" s="283" t="s">
        <v>3747</v>
      </c>
      <c r="G997" s="314" t="s">
        <v>3748</v>
      </c>
      <c r="H997" s="283" t="s">
        <v>3749</v>
      </c>
      <c r="K997" s="314" t="s">
        <v>3776</v>
      </c>
      <c r="L997" s="283" t="s">
        <v>3777</v>
      </c>
      <c r="M997" s="283" t="s">
        <v>3778</v>
      </c>
      <c r="N997" s="3">
        <v>0</v>
      </c>
      <c r="O997" s="3">
        <v>2</v>
      </c>
      <c r="P997" s="3">
        <v>2</v>
      </c>
      <c r="Q997" s="3">
        <v>2</v>
      </c>
      <c r="R997" s="3">
        <v>2</v>
      </c>
      <c r="S997" s="3">
        <v>2</v>
      </c>
      <c r="T997" s="283" t="s">
        <v>265</v>
      </c>
      <c r="U997" s="283" t="s">
        <v>350</v>
      </c>
      <c r="V997" s="1" t="s">
        <v>3779</v>
      </c>
      <c r="W997" s="1">
        <v>1</v>
      </c>
      <c r="X997" s="1">
        <v>1</v>
      </c>
      <c r="Y997" s="1">
        <v>1</v>
      </c>
      <c r="Z997" s="1">
        <v>1</v>
      </c>
      <c r="AA997" s="1">
        <v>1</v>
      </c>
      <c r="AB997" s="1">
        <v>1</v>
      </c>
      <c r="AC997" s="316">
        <v>0</v>
      </c>
      <c r="AD997" s="316">
        <v>1</v>
      </c>
      <c r="AE997" s="302">
        <f t="shared" si="76"/>
        <v>0.875</v>
      </c>
      <c r="AF997" s="310"/>
      <c r="AG997" s="17">
        <v>0</v>
      </c>
      <c r="AH997" s="310">
        <v>0</v>
      </c>
      <c r="AI997" s="310">
        <v>0</v>
      </c>
      <c r="AJ997" s="310">
        <v>0</v>
      </c>
      <c r="AK997" s="317">
        <v>0.1</v>
      </c>
      <c r="AL997" s="317">
        <v>0</v>
      </c>
      <c r="AM997" s="17">
        <f t="shared" si="77"/>
        <v>0.1</v>
      </c>
      <c r="AN997" s="283" t="s">
        <v>265</v>
      </c>
      <c r="AO997" s="18" t="s">
        <v>350</v>
      </c>
      <c r="AP997" s="283" t="s">
        <v>921</v>
      </c>
    </row>
    <row r="998" spans="1:42" x14ac:dyDescent="0.3">
      <c r="A998" s="314" t="s">
        <v>1448</v>
      </c>
      <c r="B998" s="283" t="s">
        <v>3447</v>
      </c>
      <c r="C998" s="314" t="s">
        <v>3744</v>
      </c>
      <c r="D998" s="283" t="s">
        <v>3745</v>
      </c>
      <c r="E998" s="314" t="s">
        <v>3746</v>
      </c>
      <c r="F998" s="283" t="s">
        <v>3747</v>
      </c>
      <c r="G998" s="314" t="s">
        <v>3748</v>
      </c>
      <c r="H998" s="283" t="s">
        <v>3749</v>
      </c>
      <c r="K998" s="314" t="s">
        <v>3776</v>
      </c>
      <c r="L998" s="283" t="s">
        <v>3777</v>
      </c>
      <c r="M998" s="283" t="s">
        <v>3780</v>
      </c>
      <c r="N998" s="3">
        <v>0</v>
      </c>
      <c r="O998" s="3">
        <v>5</v>
      </c>
      <c r="P998" s="3">
        <v>5</v>
      </c>
      <c r="Q998" s="3">
        <v>5</v>
      </c>
      <c r="R998" s="3">
        <v>5</v>
      </c>
      <c r="S998" s="3">
        <v>5</v>
      </c>
      <c r="T998" s="283" t="s">
        <v>265</v>
      </c>
      <c r="U998" s="283" t="s">
        <v>350</v>
      </c>
      <c r="V998" s="1" t="s">
        <v>3781</v>
      </c>
      <c r="W998" s="1">
        <v>1</v>
      </c>
      <c r="X998" s="1">
        <v>1</v>
      </c>
      <c r="Y998" s="1">
        <v>1</v>
      </c>
      <c r="Z998" s="1">
        <v>1</v>
      </c>
      <c r="AA998" s="1">
        <v>1</v>
      </c>
      <c r="AB998" s="1">
        <v>1</v>
      </c>
      <c r="AC998" s="316">
        <v>0</v>
      </c>
      <c r="AD998" s="316">
        <v>1</v>
      </c>
      <c r="AE998" s="302">
        <f t="shared" si="76"/>
        <v>0.875</v>
      </c>
      <c r="AF998" s="310"/>
      <c r="AG998" s="17">
        <v>0</v>
      </c>
      <c r="AH998" s="310">
        <v>0</v>
      </c>
      <c r="AI998" s="310">
        <v>0</v>
      </c>
      <c r="AJ998" s="310">
        <v>0</v>
      </c>
      <c r="AK998" s="317">
        <v>0</v>
      </c>
      <c r="AL998" s="317">
        <v>0</v>
      </c>
      <c r="AM998" s="17">
        <f t="shared" si="77"/>
        <v>0</v>
      </c>
      <c r="AN998" s="283" t="s">
        <v>265</v>
      </c>
      <c r="AO998" s="18" t="s">
        <v>350</v>
      </c>
      <c r="AP998" s="283" t="s">
        <v>1216</v>
      </c>
    </row>
    <row r="999" spans="1:42" x14ac:dyDescent="0.3">
      <c r="A999" s="314" t="s">
        <v>1448</v>
      </c>
      <c r="B999" s="283" t="s">
        <v>3447</v>
      </c>
      <c r="C999" s="314" t="s">
        <v>3744</v>
      </c>
      <c r="D999" s="283" t="s">
        <v>3745</v>
      </c>
      <c r="E999" s="314" t="s">
        <v>3746</v>
      </c>
      <c r="F999" s="283" t="s">
        <v>3747</v>
      </c>
      <c r="G999" s="314" t="s">
        <v>3748</v>
      </c>
      <c r="H999" s="283" t="s">
        <v>3749</v>
      </c>
      <c r="K999" s="314" t="s">
        <v>3776</v>
      </c>
      <c r="L999" s="283" t="s">
        <v>3777</v>
      </c>
      <c r="M999" s="283" t="s">
        <v>2288</v>
      </c>
      <c r="N999" s="3">
        <v>0</v>
      </c>
      <c r="O999" s="3" t="s">
        <v>3782</v>
      </c>
      <c r="P999" s="3">
        <v>1</v>
      </c>
      <c r="R999" s="3" t="s">
        <v>3782</v>
      </c>
      <c r="S999" s="3" t="s">
        <v>3782</v>
      </c>
      <c r="T999" s="283" t="s">
        <v>265</v>
      </c>
      <c r="U999" s="283" t="s">
        <v>350</v>
      </c>
      <c r="V999" s="1" t="s">
        <v>3783</v>
      </c>
      <c r="W999" s="1">
        <v>1</v>
      </c>
      <c r="X999" s="1">
        <v>0</v>
      </c>
      <c r="Y999" s="1">
        <v>0</v>
      </c>
      <c r="Z999" s="1">
        <v>1</v>
      </c>
      <c r="AA999" s="1">
        <v>1</v>
      </c>
      <c r="AB999" s="1">
        <v>1</v>
      </c>
      <c r="AC999" s="316">
        <v>1</v>
      </c>
      <c r="AD999" s="316">
        <v>1</v>
      </c>
      <c r="AE999" s="302">
        <f t="shared" si="76"/>
        <v>0.75</v>
      </c>
      <c r="AF999" s="17"/>
      <c r="AG999" s="17">
        <v>0</v>
      </c>
      <c r="AH999" s="17">
        <v>0</v>
      </c>
      <c r="AI999" s="310">
        <v>1</v>
      </c>
      <c r="AJ999" s="17">
        <v>0</v>
      </c>
      <c r="AK999" s="153">
        <v>0.2</v>
      </c>
      <c r="AL999" s="154">
        <v>0</v>
      </c>
      <c r="AM999" s="17">
        <f t="shared" si="77"/>
        <v>0.2</v>
      </c>
      <c r="AN999" s="283" t="s">
        <v>265</v>
      </c>
      <c r="AO999" s="18" t="s">
        <v>350</v>
      </c>
      <c r="AP999" s="283" t="s">
        <v>321</v>
      </c>
    </row>
    <row r="1000" spans="1:42" x14ac:dyDescent="0.3">
      <c r="A1000" s="314" t="s">
        <v>1448</v>
      </c>
      <c r="B1000" s="283" t="s">
        <v>3447</v>
      </c>
      <c r="C1000" s="314" t="s">
        <v>3744</v>
      </c>
      <c r="D1000" s="283" t="s">
        <v>3745</v>
      </c>
      <c r="E1000" s="314" t="s">
        <v>3746</v>
      </c>
      <c r="F1000" s="283" t="s">
        <v>3747</v>
      </c>
      <c r="G1000" s="314" t="s">
        <v>3748</v>
      </c>
      <c r="H1000" s="283" t="s">
        <v>3749</v>
      </c>
      <c r="K1000" s="314" t="s">
        <v>3776</v>
      </c>
      <c r="L1000" s="283" t="s">
        <v>3777</v>
      </c>
      <c r="M1000" s="283" t="s">
        <v>3784</v>
      </c>
      <c r="N1000" s="3" t="s">
        <v>271</v>
      </c>
      <c r="O1000" s="3">
        <v>100</v>
      </c>
      <c r="P1000" s="3">
        <v>100</v>
      </c>
      <c r="Q1000" s="3">
        <v>100</v>
      </c>
      <c r="R1000" s="3">
        <v>100</v>
      </c>
      <c r="S1000" s="3">
        <v>100</v>
      </c>
      <c r="T1000" s="283" t="s">
        <v>265</v>
      </c>
      <c r="U1000" s="283" t="s">
        <v>350</v>
      </c>
      <c r="V1000" s="1" t="s">
        <v>3785</v>
      </c>
      <c r="W1000" s="1">
        <v>1</v>
      </c>
      <c r="X1000" s="1">
        <v>1</v>
      </c>
      <c r="Y1000" s="1">
        <v>1</v>
      </c>
      <c r="Z1000" s="1">
        <v>1</v>
      </c>
      <c r="AA1000" s="1">
        <v>1</v>
      </c>
      <c r="AB1000" s="1">
        <v>1</v>
      </c>
      <c r="AC1000" s="316">
        <v>1</v>
      </c>
      <c r="AD1000" s="316">
        <v>1</v>
      </c>
      <c r="AE1000" s="302">
        <f t="shared" si="76"/>
        <v>1</v>
      </c>
      <c r="AF1000" s="310"/>
      <c r="AG1000" s="17">
        <v>0</v>
      </c>
      <c r="AH1000" s="310">
        <v>1</v>
      </c>
      <c r="AI1000" s="310">
        <v>1</v>
      </c>
      <c r="AJ1000" s="310">
        <v>1</v>
      </c>
      <c r="AK1000" s="317">
        <v>1</v>
      </c>
      <c r="AL1000" s="317" t="s">
        <v>3554</v>
      </c>
      <c r="AM1000" s="17">
        <f t="shared" si="77"/>
        <v>1</v>
      </c>
      <c r="AN1000" s="283" t="s">
        <v>265</v>
      </c>
      <c r="AO1000" s="18" t="s">
        <v>350</v>
      </c>
      <c r="AP1000" s="283" t="s">
        <v>3743</v>
      </c>
    </row>
    <row r="1001" spans="1:42" x14ac:dyDescent="0.3">
      <c r="A1001" s="314" t="s">
        <v>1448</v>
      </c>
      <c r="B1001" s="283" t="s">
        <v>3447</v>
      </c>
      <c r="C1001" s="314" t="s">
        <v>3744</v>
      </c>
      <c r="D1001" s="283" t="s">
        <v>3745</v>
      </c>
      <c r="E1001" s="314" t="s">
        <v>3746</v>
      </c>
      <c r="F1001" s="283" t="s">
        <v>3747</v>
      </c>
      <c r="G1001" s="314" t="s">
        <v>3748</v>
      </c>
      <c r="H1001" s="283" t="s">
        <v>3749</v>
      </c>
      <c r="K1001" s="318" t="s">
        <v>3786</v>
      </c>
      <c r="L1001" s="283" t="s">
        <v>3787</v>
      </c>
      <c r="M1001" s="283" t="s">
        <v>3788</v>
      </c>
      <c r="N1001" s="3"/>
      <c r="O1001" s="3">
        <v>3700</v>
      </c>
      <c r="P1001" s="3">
        <v>4200</v>
      </c>
      <c r="Q1001" s="3">
        <v>4700</v>
      </c>
      <c r="R1001" s="3">
        <v>5200</v>
      </c>
      <c r="S1001" s="3">
        <v>5700</v>
      </c>
      <c r="T1001" s="283" t="s">
        <v>321</v>
      </c>
      <c r="U1001" s="283" t="s">
        <v>1066</v>
      </c>
      <c r="V1001" s="1" t="s">
        <v>3789</v>
      </c>
      <c r="W1001" s="1">
        <v>1</v>
      </c>
      <c r="X1001" s="1">
        <v>1</v>
      </c>
      <c r="Y1001" s="1">
        <v>1</v>
      </c>
      <c r="Z1001" s="1">
        <v>1</v>
      </c>
      <c r="AA1001" s="1">
        <v>1</v>
      </c>
      <c r="AB1001" s="1">
        <v>1</v>
      </c>
      <c r="AC1001" s="316">
        <v>1</v>
      </c>
      <c r="AD1001" s="316">
        <v>1</v>
      </c>
      <c r="AE1001" s="302">
        <f t="shared" si="76"/>
        <v>1</v>
      </c>
      <c r="AF1001" s="310"/>
      <c r="AG1001" s="17">
        <v>0</v>
      </c>
      <c r="AH1001" s="310">
        <v>0</v>
      </c>
      <c r="AI1001" s="310">
        <v>0</v>
      </c>
      <c r="AJ1001" s="310">
        <v>0</v>
      </c>
      <c r="AK1001" s="317">
        <v>0.5</v>
      </c>
      <c r="AL1001" s="317">
        <v>0</v>
      </c>
      <c r="AM1001" s="17">
        <f t="shared" si="77"/>
        <v>0.5</v>
      </c>
      <c r="AN1001" s="283" t="s">
        <v>321</v>
      </c>
      <c r="AO1001" s="18" t="s">
        <v>1066</v>
      </c>
      <c r="AP1001" s="283" t="s">
        <v>265</v>
      </c>
    </row>
    <row r="1002" spans="1:42" x14ac:dyDescent="0.3">
      <c r="A1002" s="314" t="s">
        <v>1448</v>
      </c>
      <c r="B1002" s="283" t="s">
        <v>3447</v>
      </c>
      <c r="C1002" s="314" t="s">
        <v>3744</v>
      </c>
      <c r="D1002" s="283" t="s">
        <v>3745</v>
      </c>
      <c r="E1002" s="314" t="s">
        <v>3746</v>
      </c>
      <c r="F1002" s="283" t="s">
        <v>3747</v>
      </c>
      <c r="G1002" s="314" t="s">
        <v>3748</v>
      </c>
      <c r="H1002" s="283" t="s">
        <v>3749</v>
      </c>
      <c r="K1002" s="318" t="s">
        <v>3786</v>
      </c>
      <c r="L1002" s="283" t="s">
        <v>3787</v>
      </c>
      <c r="M1002" s="283" t="s">
        <v>3790</v>
      </c>
      <c r="N1002" s="3"/>
      <c r="O1002" s="3">
        <v>500</v>
      </c>
      <c r="P1002" s="3">
        <v>500</v>
      </c>
      <c r="Q1002" s="3">
        <v>500</v>
      </c>
      <c r="R1002" s="3">
        <v>500</v>
      </c>
      <c r="S1002" s="3">
        <v>500</v>
      </c>
      <c r="T1002" s="283" t="s">
        <v>265</v>
      </c>
      <c r="U1002" s="283" t="s">
        <v>350</v>
      </c>
      <c r="V1002" s="1" t="s">
        <v>3791</v>
      </c>
      <c r="W1002" s="1">
        <v>1</v>
      </c>
      <c r="X1002" s="1">
        <v>1</v>
      </c>
      <c r="Y1002" s="1">
        <v>1</v>
      </c>
      <c r="Z1002" s="1">
        <v>1</v>
      </c>
      <c r="AA1002" s="1">
        <v>1</v>
      </c>
      <c r="AB1002" s="1">
        <v>1</v>
      </c>
      <c r="AC1002" s="316">
        <v>1</v>
      </c>
      <c r="AD1002" s="316">
        <v>1</v>
      </c>
      <c r="AE1002" s="302">
        <f t="shared" si="76"/>
        <v>1</v>
      </c>
      <c r="AF1002" s="310"/>
      <c r="AG1002" s="17">
        <v>0</v>
      </c>
      <c r="AH1002" s="310">
        <v>0</v>
      </c>
      <c r="AI1002" s="310">
        <v>0</v>
      </c>
      <c r="AJ1002" s="310">
        <v>0</v>
      </c>
      <c r="AK1002" s="317">
        <v>1</v>
      </c>
      <c r="AL1002" s="317">
        <v>0</v>
      </c>
      <c r="AM1002" s="17">
        <f t="shared" si="77"/>
        <v>1</v>
      </c>
      <c r="AN1002" s="283" t="s">
        <v>265</v>
      </c>
      <c r="AO1002" s="18" t="s">
        <v>350</v>
      </c>
      <c r="AP1002" s="283" t="s">
        <v>321</v>
      </c>
    </row>
    <row r="1003" spans="1:42" x14ac:dyDescent="0.3">
      <c r="A1003" s="314" t="s">
        <v>1448</v>
      </c>
      <c r="B1003" s="283" t="s">
        <v>3447</v>
      </c>
      <c r="C1003" s="314" t="s">
        <v>3744</v>
      </c>
      <c r="D1003" s="283" t="s">
        <v>3745</v>
      </c>
      <c r="E1003" s="314" t="s">
        <v>3746</v>
      </c>
      <c r="F1003" s="283" t="s">
        <v>3747</v>
      </c>
      <c r="G1003" s="314" t="s">
        <v>3748</v>
      </c>
      <c r="H1003" s="283" t="s">
        <v>3749</v>
      </c>
      <c r="K1003" s="318" t="s">
        <v>3786</v>
      </c>
      <c r="L1003" s="283" t="s">
        <v>3787</v>
      </c>
      <c r="M1003" s="283" t="s">
        <v>3792</v>
      </c>
      <c r="N1003" s="3"/>
      <c r="O1003" s="3">
        <v>200</v>
      </c>
      <c r="P1003" s="3">
        <v>200</v>
      </c>
      <c r="Q1003" s="3">
        <v>200</v>
      </c>
      <c r="R1003" s="3">
        <v>200</v>
      </c>
      <c r="S1003" s="3">
        <v>200</v>
      </c>
      <c r="T1003" s="283" t="s">
        <v>265</v>
      </c>
      <c r="U1003" s="283" t="s">
        <v>350</v>
      </c>
      <c r="V1003" s="1" t="s">
        <v>3793</v>
      </c>
      <c r="W1003" s="1">
        <v>1</v>
      </c>
      <c r="X1003" s="1">
        <v>1</v>
      </c>
      <c r="Y1003" s="1">
        <v>1</v>
      </c>
      <c r="Z1003" s="1">
        <v>1</v>
      </c>
      <c r="AA1003" s="1">
        <v>1</v>
      </c>
      <c r="AB1003" s="1">
        <v>1</v>
      </c>
      <c r="AC1003" s="316">
        <v>1</v>
      </c>
      <c r="AD1003" s="316">
        <v>1</v>
      </c>
      <c r="AE1003" s="302">
        <f t="shared" si="76"/>
        <v>1</v>
      </c>
      <c r="AF1003" s="310"/>
      <c r="AG1003" s="17">
        <v>0</v>
      </c>
      <c r="AH1003" s="310">
        <v>2</v>
      </c>
      <c r="AI1003" s="310">
        <v>2</v>
      </c>
      <c r="AJ1003" s="310">
        <v>2</v>
      </c>
      <c r="AK1003" s="317">
        <v>2</v>
      </c>
      <c r="AL1003" s="317">
        <v>2</v>
      </c>
      <c r="AM1003" s="17">
        <f t="shared" si="77"/>
        <v>4</v>
      </c>
      <c r="AN1003" s="18" t="s">
        <v>255</v>
      </c>
      <c r="AO1003" s="18" t="s">
        <v>1045</v>
      </c>
      <c r="AP1003" s="283" t="s">
        <v>3635</v>
      </c>
    </row>
    <row r="1004" spans="1:42" x14ac:dyDescent="0.3">
      <c r="A1004" s="314" t="s">
        <v>1448</v>
      </c>
      <c r="B1004" s="283" t="s">
        <v>3447</v>
      </c>
      <c r="C1004" s="314" t="s">
        <v>3744</v>
      </c>
      <c r="D1004" s="283" t="s">
        <v>3745</v>
      </c>
      <c r="E1004" s="314" t="s">
        <v>3746</v>
      </c>
      <c r="F1004" s="283" t="s">
        <v>3747</v>
      </c>
      <c r="G1004" s="314" t="s">
        <v>3748</v>
      </c>
      <c r="H1004" s="283" t="s">
        <v>3749</v>
      </c>
      <c r="K1004" s="318" t="s">
        <v>3786</v>
      </c>
      <c r="L1004" s="283" t="s">
        <v>3787</v>
      </c>
      <c r="M1004" s="283" t="s">
        <v>3794</v>
      </c>
      <c r="N1004" s="3"/>
      <c r="O1004" s="3">
        <v>15000</v>
      </c>
      <c r="P1004" s="3">
        <v>20000</v>
      </c>
      <c r="Q1004" s="3">
        <v>25000</v>
      </c>
      <c r="R1004" s="3">
        <v>30000</v>
      </c>
      <c r="S1004" s="3">
        <v>35000</v>
      </c>
      <c r="T1004" s="283" t="s">
        <v>321</v>
      </c>
      <c r="U1004" s="283" t="s">
        <v>1066</v>
      </c>
      <c r="V1004" s="1" t="s">
        <v>3795</v>
      </c>
      <c r="W1004" s="1">
        <v>1</v>
      </c>
      <c r="X1004" s="1">
        <v>1</v>
      </c>
      <c r="Y1004" s="1">
        <v>1</v>
      </c>
      <c r="Z1004" s="1">
        <v>1</v>
      </c>
      <c r="AA1004" s="1">
        <v>1</v>
      </c>
      <c r="AB1004" s="1">
        <v>1</v>
      </c>
      <c r="AC1004" s="316">
        <v>1</v>
      </c>
      <c r="AD1004" s="316">
        <v>1</v>
      </c>
      <c r="AE1004" s="302">
        <f t="shared" si="76"/>
        <v>1</v>
      </c>
      <c r="AF1004" s="310"/>
      <c r="AG1004" s="17">
        <v>0</v>
      </c>
      <c r="AH1004" s="310">
        <v>0</v>
      </c>
      <c r="AI1004" s="310">
        <v>0</v>
      </c>
      <c r="AJ1004" s="310">
        <v>0</v>
      </c>
      <c r="AK1004" s="317">
        <v>0</v>
      </c>
      <c r="AL1004" s="317">
        <v>0</v>
      </c>
      <c r="AM1004" s="17">
        <f t="shared" si="77"/>
        <v>0</v>
      </c>
      <c r="AN1004" s="283" t="s">
        <v>321</v>
      </c>
      <c r="AO1004" s="18" t="s">
        <v>1066</v>
      </c>
      <c r="AP1004" s="283" t="s">
        <v>265</v>
      </c>
    </row>
    <row r="1005" spans="1:42" x14ac:dyDescent="0.3">
      <c r="A1005" s="314" t="s">
        <v>1448</v>
      </c>
      <c r="B1005" s="283" t="s">
        <v>3447</v>
      </c>
      <c r="C1005" s="314" t="s">
        <v>3744</v>
      </c>
      <c r="D1005" s="283" t="s">
        <v>3745</v>
      </c>
      <c r="E1005" s="314" t="s">
        <v>3746</v>
      </c>
      <c r="F1005" s="283" t="s">
        <v>3747</v>
      </c>
      <c r="G1005" s="314" t="s">
        <v>3748</v>
      </c>
      <c r="H1005" s="283" t="s">
        <v>3749</v>
      </c>
      <c r="K1005" s="318" t="s">
        <v>3786</v>
      </c>
      <c r="L1005" s="283" t="s">
        <v>3787</v>
      </c>
      <c r="M1005" s="283" t="s">
        <v>3796</v>
      </c>
      <c r="N1005" s="3"/>
      <c r="O1005" s="3">
        <v>8000</v>
      </c>
      <c r="P1005" s="3">
        <v>9000</v>
      </c>
      <c r="Q1005" s="3">
        <v>10000</v>
      </c>
      <c r="R1005" s="3">
        <v>11000</v>
      </c>
      <c r="S1005" s="3">
        <v>12000</v>
      </c>
      <c r="T1005" s="283" t="s">
        <v>321</v>
      </c>
      <c r="U1005" s="283" t="s">
        <v>1066</v>
      </c>
      <c r="V1005" s="1" t="s">
        <v>3797</v>
      </c>
      <c r="W1005" s="1">
        <v>1</v>
      </c>
      <c r="X1005" s="1">
        <v>1</v>
      </c>
      <c r="Y1005" s="1">
        <v>1</v>
      </c>
      <c r="Z1005" s="1">
        <v>1</v>
      </c>
      <c r="AA1005" s="1">
        <v>1</v>
      </c>
      <c r="AB1005" s="1">
        <v>1</v>
      </c>
      <c r="AC1005" s="316">
        <v>1</v>
      </c>
      <c r="AD1005" s="316">
        <v>1</v>
      </c>
      <c r="AE1005" s="302">
        <f t="shared" si="76"/>
        <v>1</v>
      </c>
      <c r="AF1005" s="310"/>
      <c r="AG1005" s="17">
        <v>0</v>
      </c>
      <c r="AH1005" s="310">
        <v>0</v>
      </c>
      <c r="AI1005" s="310">
        <v>0</v>
      </c>
      <c r="AJ1005" s="310">
        <v>0</v>
      </c>
      <c r="AK1005" s="317">
        <v>1.5</v>
      </c>
      <c r="AL1005" s="317">
        <v>0</v>
      </c>
      <c r="AM1005" s="17">
        <f t="shared" si="77"/>
        <v>1.5</v>
      </c>
      <c r="AN1005" s="283" t="s">
        <v>321</v>
      </c>
      <c r="AO1005" s="18" t="s">
        <v>1066</v>
      </c>
      <c r="AP1005" s="283" t="s">
        <v>3798</v>
      </c>
    </row>
    <row r="1006" spans="1:42" x14ac:dyDescent="0.3">
      <c r="A1006" s="314" t="s">
        <v>1448</v>
      </c>
      <c r="B1006" s="283" t="s">
        <v>3447</v>
      </c>
      <c r="C1006" s="314" t="s">
        <v>3744</v>
      </c>
      <c r="D1006" s="283" t="s">
        <v>3745</v>
      </c>
      <c r="E1006" s="314" t="s">
        <v>3746</v>
      </c>
      <c r="F1006" s="283" t="s">
        <v>3747</v>
      </c>
      <c r="G1006" s="314" t="s">
        <v>3748</v>
      </c>
      <c r="H1006" s="283" t="s">
        <v>3749</v>
      </c>
      <c r="K1006" s="318" t="s">
        <v>3786</v>
      </c>
      <c r="L1006" s="283" t="s">
        <v>3787</v>
      </c>
      <c r="M1006" s="283" t="s">
        <v>3799</v>
      </c>
      <c r="N1006" s="3"/>
      <c r="O1006" s="3">
        <v>190000</v>
      </c>
      <c r="P1006" s="3">
        <v>195000</v>
      </c>
      <c r="Q1006" s="3">
        <v>200000</v>
      </c>
      <c r="R1006" s="3">
        <v>205000</v>
      </c>
      <c r="S1006" s="3">
        <v>210000</v>
      </c>
      <c r="T1006" s="283" t="s">
        <v>321</v>
      </c>
      <c r="U1006" s="283" t="s">
        <v>1066</v>
      </c>
      <c r="V1006" s="1" t="s">
        <v>3800</v>
      </c>
      <c r="W1006" s="1">
        <v>1</v>
      </c>
      <c r="X1006" s="1">
        <v>1</v>
      </c>
      <c r="Y1006" s="1">
        <v>1</v>
      </c>
      <c r="Z1006" s="1">
        <v>1</v>
      </c>
      <c r="AA1006" s="1">
        <v>1</v>
      </c>
      <c r="AB1006" s="1">
        <v>1</v>
      </c>
      <c r="AC1006" s="316">
        <v>1</v>
      </c>
      <c r="AD1006" s="316">
        <v>1</v>
      </c>
      <c r="AE1006" s="302">
        <f t="shared" si="76"/>
        <v>1</v>
      </c>
      <c r="AF1006" s="310"/>
      <c r="AG1006" s="17">
        <v>0</v>
      </c>
      <c r="AH1006" s="310">
        <v>2</v>
      </c>
      <c r="AI1006" s="310">
        <v>2</v>
      </c>
      <c r="AJ1006" s="310">
        <v>2</v>
      </c>
      <c r="AK1006" s="317">
        <v>2</v>
      </c>
      <c r="AL1006" s="317">
        <v>2</v>
      </c>
      <c r="AM1006" s="17">
        <f t="shared" si="77"/>
        <v>4</v>
      </c>
      <c r="AN1006" s="283" t="s">
        <v>321</v>
      </c>
      <c r="AO1006" s="18" t="s">
        <v>1066</v>
      </c>
      <c r="AP1006" s="283" t="s">
        <v>3801</v>
      </c>
    </row>
    <row r="1007" spans="1:42" hidden="1" x14ac:dyDescent="0.3">
      <c r="A1007" s="314" t="s">
        <v>1448</v>
      </c>
      <c r="B1007" s="283" t="s">
        <v>3447</v>
      </c>
      <c r="C1007" s="314" t="s">
        <v>3744</v>
      </c>
      <c r="D1007" s="283" t="s">
        <v>3745</v>
      </c>
      <c r="E1007" s="314" t="s">
        <v>3746</v>
      </c>
      <c r="F1007" s="283" t="s">
        <v>3747</v>
      </c>
      <c r="G1007" s="314" t="s">
        <v>3748</v>
      </c>
      <c r="H1007" s="283" t="s">
        <v>3749</v>
      </c>
      <c r="K1007" s="318" t="s">
        <v>3786</v>
      </c>
      <c r="L1007" s="283" t="s">
        <v>3787</v>
      </c>
      <c r="M1007" s="283" t="s">
        <v>3802</v>
      </c>
      <c r="N1007" s="3"/>
      <c r="P1007" s="3">
        <v>1</v>
      </c>
      <c r="Q1007" s="3">
        <v>1</v>
      </c>
      <c r="R1007" s="3">
        <v>1</v>
      </c>
      <c r="S1007" s="3">
        <v>1</v>
      </c>
      <c r="T1007" s="283" t="s">
        <v>321</v>
      </c>
      <c r="U1007" s="283" t="s">
        <v>1066</v>
      </c>
      <c r="V1007" s="1" t="s">
        <v>3803</v>
      </c>
      <c r="W1007" s="1">
        <v>1</v>
      </c>
      <c r="X1007" s="1">
        <v>0</v>
      </c>
      <c r="Y1007" s="1">
        <v>0</v>
      </c>
      <c r="Z1007" s="1">
        <v>1</v>
      </c>
      <c r="AA1007" s="1">
        <v>0</v>
      </c>
      <c r="AB1007" s="1">
        <v>0</v>
      </c>
      <c r="AC1007" s="316">
        <v>1</v>
      </c>
      <c r="AD1007" s="316">
        <v>0</v>
      </c>
      <c r="AE1007" s="302">
        <f t="shared" si="76"/>
        <v>0.375</v>
      </c>
      <c r="AF1007" s="17"/>
      <c r="AG1007" s="17">
        <v>0</v>
      </c>
      <c r="AH1007" s="17">
        <v>0</v>
      </c>
      <c r="AI1007" s="310">
        <v>0.5</v>
      </c>
      <c r="AJ1007" s="310">
        <v>0.5</v>
      </c>
      <c r="AK1007" s="317">
        <v>0</v>
      </c>
      <c r="AL1007" s="317"/>
      <c r="AM1007" s="17">
        <f t="shared" si="77"/>
        <v>0</v>
      </c>
      <c r="AN1007" s="283" t="s">
        <v>321</v>
      </c>
      <c r="AO1007" s="18" t="s">
        <v>1066</v>
      </c>
      <c r="AP1007" s="283" t="s">
        <v>265</v>
      </c>
    </row>
    <row r="1008" spans="1:42" hidden="1" x14ac:dyDescent="0.3">
      <c r="A1008" s="314" t="s">
        <v>1448</v>
      </c>
      <c r="B1008" s="283" t="s">
        <v>3447</v>
      </c>
      <c r="C1008" s="314" t="s">
        <v>3744</v>
      </c>
      <c r="D1008" s="283" t="s">
        <v>3745</v>
      </c>
      <c r="E1008" s="314" t="s">
        <v>3746</v>
      </c>
      <c r="F1008" s="283" t="s">
        <v>3747</v>
      </c>
      <c r="G1008" s="314" t="s">
        <v>3804</v>
      </c>
      <c r="H1008" s="283" t="s">
        <v>3805</v>
      </c>
      <c r="K1008" s="314" t="s">
        <v>3806</v>
      </c>
      <c r="L1008" s="283" t="s">
        <v>3807</v>
      </c>
      <c r="M1008" s="283" t="s">
        <v>3808</v>
      </c>
      <c r="N1008" s="3"/>
      <c r="O1008" s="3">
        <v>10</v>
      </c>
      <c r="P1008" s="3">
        <v>20</v>
      </c>
      <c r="Q1008" s="3">
        <v>30</v>
      </c>
      <c r="R1008" s="3">
        <v>40</v>
      </c>
      <c r="S1008" s="3">
        <v>40</v>
      </c>
      <c r="T1008" s="283" t="s">
        <v>265</v>
      </c>
      <c r="U1008" s="283" t="s">
        <v>350</v>
      </c>
      <c r="V1008" s="1" t="s">
        <v>3809</v>
      </c>
      <c r="W1008" s="1">
        <v>1</v>
      </c>
      <c r="X1008" s="1">
        <v>1</v>
      </c>
      <c r="Y1008" s="1">
        <v>0</v>
      </c>
      <c r="Z1008" s="1">
        <v>1</v>
      </c>
      <c r="AA1008" s="1">
        <v>1</v>
      </c>
      <c r="AB1008" s="1">
        <v>1</v>
      </c>
      <c r="AC1008" s="316">
        <v>0</v>
      </c>
      <c r="AD1008" s="316">
        <v>0</v>
      </c>
      <c r="AE1008" s="302">
        <f t="shared" si="76"/>
        <v>0.625</v>
      </c>
      <c r="AF1008" s="310"/>
      <c r="AG1008" s="17">
        <v>0</v>
      </c>
      <c r="AH1008" s="310">
        <v>1.5</v>
      </c>
      <c r="AI1008" s="310">
        <v>1.5</v>
      </c>
      <c r="AJ1008" s="310">
        <v>1.5</v>
      </c>
      <c r="AK1008" s="317">
        <v>0.5</v>
      </c>
      <c r="AL1008" s="317"/>
      <c r="AM1008" s="17">
        <f t="shared" si="77"/>
        <v>0.5</v>
      </c>
      <c r="AN1008" s="283" t="s">
        <v>265</v>
      </c>
      <c r="AO1008" s="18" t="s">
        <v>350</v>
      </c>
      <c r="AP1008" s="283" t="s">
        <v>3810</v>
      </c>
    </row>
    <row r="1009" spans="1:42" x14ac:dyDescent="0.3">
      <c r="A1009" s="314" t="s">
        <v>1448</v>
      </c>
      <c r="B1009" s="283" t="s">
        <v>3447</v>
      </c>
      <c r="C1009" s="314" t="s">
        <v>3744</v>
      </c>
      <c r="D1009" s="283" t="s">
        <v>3745</v>
      </c>
      <c r="E1009" s="314" t="s">
        <v>3746</v>
      </c>
      <c r="F1009" s="283" t="s">
        <v>3747</v>
      </c>
      <c r="G1009" s="314" t="s">
        <v>3811</v>
      </c>
      <c r="H1009" s="283" t="s">
        <v>3812</v>
      </c>
      <c r="K1009" s="314" t="s">
        <v>3813</v>
      </c>
      <c r="L1009" s="283" t="s">
        <v>3814</v>
      </c>
      <c r="M1009" s="283" t="s">
        <v>3815</v>
      </c>
      <c r="N1009" s="3" t="s">
        <v>271</v>
      </c>
      <c r="O1009" s="3" t="s">
        <v>271</v>
      </c>
      <c r="P1009" s="3">
        <v>1</v>
      </c>
      <c r="Q1009" s="3" t="s">
        <v>271</v>
      </c>
      <c r="R1009" s="3" t="s">
        <v>271</v>
      </c>
      <c r="S1009" s="3" t="s">
        <v>271</v>
      </c>
      <c r="T1009" s="283" t="s">
        <v>265</v>
      </c>
      <c r="U1009" s="283" t="s">
        <v>350</v>
      </c>
      <c r="V1009" s="1" t="s">
        <v>3816</v>
      </c>
      <c r="W1009" s="1">
        <v>1</v>
      </c>
      <c r="X1009" s="1">
        <v>1</v>
      </c>
      <c r="Y1009" s="1">
        <v>1</v>
      </c>
      <c r="Z1009" s="1">
        <v>1</v>
      </c>
      <c r="AA1009" s="1">
        <v>1</v>
      </c>
      <c r="AB1009" s="1">
        <v>1</v>
      </c>
      <c r="AC1009" s="316">
        <v>1</v>
      </c>
      <c r="AD1009" s="316">
        <v>1</v>
      </c>
      <c r="AE1009" s="302">
        <f t="shared" si="76"/>
        <v>1</v>
      </c>
      <c r="AF1009" s="17"/>
      <c r="AG1009" s="17">
        <v>0</v>
      </c>
      <c r="AH1009" s="17">
        <v>0</v>
      </c>
      <c r="AI1009" s="310">
        <v>1</v>
      </c>
      <c r="AJ1009" s="17">
        <v>0</v>
      </c>
      <c r="AK1009" s="153"/>
      <c r="AL1009" s="154">
        <v>0</v>
      </c>
      <c r="AM1009" s="17">
        <f t="shared" si="77"/>
        <v>0</v>
      </c>
      <c r="AN1009" s="283" t="s">
        <v>265</v>
      </c>
      <c r="AO1009" s="18" t="s">
        <v>350</v>
      </c>
      <c r="AP1009" s="283" t="s">
        <v>3817</v>
      </c>
    </row>
    <row r="1010" spans="1:42" x14ac:dyDescent="0.3">
      <c r="A1010" s="314" t="s">
        <v>1448</v>
      </c>
      <c r="B1010" s="283" t="s">
        <v>3447</v>
      </c>
      <c r="C1010" s="314" t="s">
        <v>3744</v>
      </c>
      <c r="D1010" s="283" t="s">
        <v>3745</v>
      </c>
      <c r="E1010" s="314" t="s">
        <v>3746</v>
      </c>
      <c r="F1010" s="283" t="s">
        <v>3747</v>
      </c>
      <c r="G1010" s="314" t="s">
        <v>3811</v>
      </c>
      <c r="H1010" s="283" t="s">
        <v>3812</v>
      </c>
      <c r="K1010" s="314" t="s">
        <v>3813</v>
      </c>
      <c r="L1010" s="283" t="s">
        <v>3814</v>
      </c>
      <c r="M1010" s="283" t="s">
        <v>3818</v>
      </c>
      <c r="N1010" s="3"/>
      <c r="O1010" s="211"/>
      <c r="P1010" s="211">
        <v>1</v>
      </c>
      <c r="Q1010" s="211">
        <v>1</v>
      </c>
      <c r="R1010" s="211"/>
      <c r="S1010" s="211"/>
      <c r="T1010" s="212" t="s">
        <v>1216</v>
      </c>
      <c r="U1010" s="283" t="s">
        <v>1218</v>
      </c>
      <c r="V1010" s="1" t="s">
        <v>3819</v>
      </c>
      <c r="W1010" s="1">
        <v>1</v>
      </c>
      <c r="X1010" s="1">
        <v>1</v>
      </c>
      <c r="Y1010" s="1">
        <v>1</v>
      </c>
      <c r="Z1010" s="1">
        <v>1</v>
      </c>
      <c r="AA1010" s="1">
        <v>1</v>
      </c>
      <c r="AB1010" s="1">
        <v>1</v>
      </c>
      <c r="AC1010" s="316">
        <v>1</v>
      </c>
      <c r="AD1010" s="316">
        <v>1</v>
      </c>
      <c r="AE1010" s="302">
        <f t="shared" si="76"/>
        <v>1</v>
      </c>
      <c r="AF1010" s="17"/>
      <c r="AG1010" s="17">
        <v>0</v>
      </c>
      <c r="AH1010" s="17">
        <v>0</v>
      </c>
      <c r="AI1010" s="310">
        <v>0.2</v>
      </c>
      <c r="AJ1010" s="310">
        <v>0.2</v>
      </c>
      <c r="AK1010" s="153">
        <v>0.2</v>
      </c>
      <c r="AL1010" s="154">
        <v>0</v>
      </c>
      <c r="AM1010" s="17">
        <f t="shared" si="77"/>
        <v>0.2</v>
      </c>
      <c r="AN1010" s="283" t="s">
        <v>1216</v>
      </c>
      <c r="AO1010" s="18" t="s">
        <v>1218</v>
      </c>
      <c r="AP1010" s="283" t="s">
        <v>3820</v>
      </c>
    </row>
    <row r="1011" spans="1:42" x14ac:dyDescent="0.3">
      <c r="A1011" s="314" t="s">
        <v>1448</v>
      </c>
      <c r="B1011" s="283" t="s">
        <v>3447</v>
      </c>
      <c r="C1011" s="314" t="s">
        <v>3744</v>
      </c>
      <c r="D1011" s="283" t="s">
        <v>3745</v>
      </c>
      <c r="E1011" s="314" t="s">
        <v>3746</v>
      </c>
      <c r="F1011" s="283" t="s">
        <v>3747</v>
      </c>
      <c r="G1011" s="314" t="s">
        <v>3811</v>
      </c>
      <c r="H1011" s="283" t="s">
        <v>3812</v>
      </c>
      <c r="K1011" s="314" t="s">
        <v>3813</v>
      </c>
      <c r="L1011" s="283" t="s">
        <v>3814</v>
      </c>
      <c r="M1011" s="283" t="s">
        <v>3821</v>
      </c>
      <c r="N1011" s="3"/>
      <c r="O1011" s="211">
        <v>30</v>
      </c>
      <c r="P1011" s="211">
        <v>30</v>
      </c>
      <c r="Q1011" s="211">
        <v>60</v>
      </c>
      <c r="R1011" s="211">
        <v>60</v>
      </c>
      <c r="S1011" s="211">
        <v>90</v>
      </c>
      <c r="T1011" s="283" t="s">
        <v>265</v>
      </c>
      <c r="U1011" s="283" t="s">
        <v>350</v>
      </c>
      <c r="V1011" s="1" t="s">
        <v>3822</v>
      </c>
      <c r="W1011" s="1">
        <v>1</v>
      </c>
      <c r="X1011" s="1">
        <v>1</v>
      </c>
      <c r="Y1011" s="1">
        <v>1</v>
      </c>
      <c r="Z1011" s="1">
        <v>0</v>
      </c>
      <c r="AA1011" s="1">
        <v>1</v>
      </c>
      <c r="AB1011" s="1">
        <v>1</v>
      </c>
      <c r="AC1011" s="316">
        <v>1</v>
      </c>
      <c r="AD1011" s="316">
        <v>1</v>
      </c>
      <c r="AE1011" s="302">
        <f t="shared" si="76"/>
        <v>0.875</v>
      </c>
      <c r="AF1011" s="310"/>
      <c r="AG1011" s="17">
        <v>0</v>
      </c>
      <c r="AH1011" s="310">
        <v>1</v>
      </c>
      <c r="AI1011" s="310">
        <v>1</v>
      </c>
      <c r="AJ1011" s="310">
        <v>1</v>
      </c>
      <c r="AK1011" s="317">
        <v>1</v>
      </c>
      <c r="AL1011" s="317">
        <v>1</v>
      </c>
      <c r="AM1011" s="17">
        <f t="shared" si="77"/>
        <v>2</v>
      </c>
      <c r="AN1011" s="283" t="s">
        <v>265</v>
      </c>
      <c r="AO1011" s="18" t="s">
        <v>350</v>
      </c>
      <c r="AP1011" s="283" t="s">
        <v>3817</v>
      </c>
    </row>
    <row r="1012" spans="1:42" x14ac:dyDescent="0.3">
      <c r="A1012" s="314" t="s">
        <v>1448</v>
      </c>
      <c r="B1012" s="283" t="s">
        <v>3447</v>
      </c>
      <c r="C1012" s="314" t="s">
        <v>3744</v>
      </c>
      <c r="D1012" s="283" t="s">
        <v>3745</v>
      </c>
      <c r="E1012" s="314" t="s">
        <v>3746</v>
      </c>
      <c r="F1012" s="283" t="s">
        <v>3747</v>
      </c>
      <c r="G1012" s="314" t="s">
        <v>3823</v>
      </c>
      <c r="H1012" s="283" t="s">
        <v>3824</v>
      </c>
      <c r="K1012" s="314" t="s">
        <v>3825</v>
      </c>
      <c r="L1012" s="283" t="s">
        <v>3826</v>
      </c>
      <c r="M1012" s="283" t="s">
        <v>3827</v>
      </c>
      <c r="N1012" s="3"/>
      <c r="O1012" s="3">
        <v>1</v>
      </c>
      <c r="P1012" s="3">
        <v>1</v>
      </c>
      <c r="T1012" s="283" t="s">
        <v>265</v>
      </c>
      <c r="U1012" s="283" t="s">
        <v>350</v>
      </c>
      <c r="V1012" s="1" t="s">
        <v>3828</v>
      </c>
      <c r="W1012" s="1">
        <v>1</v>
      </c>
      <c r="X1012" s="1">
        <v>1</v>
      </c>
      <c r="Y1012" s="1">
        <v>1</v>
      </c>
      <c r="Z1012" s="1">
        <v>1</v>
      </c>
      <c r="AA1012" s="1">
        <v>1</v>
      </c>
      <c r="AB1012" s="1">
        <v>1</v>
      </c>
      <c r="AC1012" s="316">
        <v>0</v>
      </c>
      <c r="AD1012" s="316">
        <v>1</v>
      </c>
      <c r="AE1012" s="302">
        <f t="shared" si="76"/>
        <v>0.875</v>
      </c>
      <c r="AF1012" s="310"/>
      <c r="AG1012" s="17">
        <v>0</v>
      </c>
      <c r="AH1012" s="310">
        <v>0.2</v>
      </c>
      <c r="AI1012" s="310">
        <v>0.2</v>
      </c>
      <c r="AJ1012" s="17">
        <v>0</v>
      </c>
      <c r="AK1012" s="153">
        <v>0</v>
      </c>
      <c r="AL1012" s="154">
        <v>0</v>
      </c>
      <c r="AM1012" s="17">
        <f t="shared" si="77"/>
        <v>0</v>
      </c>
      <c r="AN1012" s="283" t="s">
        <v>265</v>
      </c>
      <c r="AO1012" s="18" t="s">
        <v>350</v>
      </c>
      <c r="AP1012" s="283" t="s">
        <v>3829</v>
      </c>
    </row>
    <row r="1013" spans="1:42" x14ac:dyDescent="0.3">
      <c r="A1013" s="314" t="s">
        <v>1448</v>
      </c>
      <c r="B1013" s="283" t="s">
        <v>3447</v>
      </c>
      <c r="C1013" s="314" t="s">
        <v>3744</v>
      </c>
      <c r="D1013" s="283" t="s">
        <v>3745</v>
      </c>
      <c r="E1013" s="314" t="s">
        <v>3746</v>
      </c>
      <c r="F1013" s="283" t="s">
        <v>3747</v>
      </c>
      <c r="G1013" s="314" t="s">
        <v>3823</v>
      </c>
      <c r="H1013" s="283" t="s">
        <v>3824</v>
      </c>
      <c r="K1013" s="314" t="s">
        <v>3825</v>
      </c>
      <c r="L1013" s="283" t="s">
        <v>3826</v>
      </c>
      <c r="M1013" s="283" t="s">
        <v>3830</v>
      </c>
      <c r="N1013" s="3"/>
      <c r="P1013" s="3">
        <v>4</v>
      </c>
      <c r="T1013" s="283" t="s">
        <v>265</v>
      </c>
      <c r="U1013" s="283" t="s">
        <v>350</v>
      </c>
      <c r="V1013" s="1" t="s">
        <v>3831</v>
      </c>
      <c r="W1013" s="1">
        <v>1</v>
      </c>
      <c r="X1013" s="1">
        <v>1</v>
      </c>
      <c r="Y1013" s="1">
        <v>1</v>
      </c>
      <c r="Z1013" s="1">
        <v>1</v>
      </c>
      <c r="AA1013" s="1">
        <v>1</v>
      </c>
      <c r="AB1013" s="1">
        <v>1</v>
      </c>
      <c r="AC1013" s="316">
        <v>0</v>
      </c>
      <c r="AD1013" s="316">
        <v>1</v>
      </c>
      <c r="AE1013" s="302">
        <f t="shared" si="76"/>
        <v>0.875</v>
      </c>
      <c r="AF1013" s="17"/>
      <c r="AG1013" s="17">
        <v>0</v>
      </c>
      <c r="AH1013" s="17">
        <v>0</v>
      </c>
      <c r="AI1013" s="310">
        <v>1</v>
      </c>
      <c r="AJ1013" s="17">
        <v>0</v>
      </c>
      <c r="AK1013" s="153">
        <v>0</v>
      </c>
      <c r="AL1013" s="154">
        <v>0</v>
      </c>
      <c r="AM1013" s="17">
        <f t="shared" si="77"/>
        <v>0</v>
      </c>
      <c r="AN1013" s="283" t="s">
        <v>265</v>
      </c>
      <c r="AO1013" s="18" t="s">
        <v>350</v>
      </c>
      <c r="AP1013" s="283" t="s">
        <v>3558</v>
      </c>
    </row>
    <row r="1014" spans="1:42" x14ac:dyDescent="0.3">
      <c r="A1014" s="314" t="s">
        <v>1448</v>
      </c>
      <c r="B1014" s="283" t="s">
        <v>3447</v>
      </c>
      <c r="C1014" s="314" t="s">
        <v>3744</v>
      </c>
      <c r="D1014" s="283" t="s">
        <v>3745</v>
      </c>
      <c r="E1014" s="314" t="s">
        <v>3746</v>
      </c>
      <c r="F1014" s="283" t="s">
        <v>3747</v>
      </c>
      <c r="G1014" s="314" t="s">
        <v>3823</v>
      </c>
      <c r="H1014" s="283" t="s">
        <v>3824</v>
      </c>
      <c r="K1014" s="314" t="s">
        <v>3825</v>
      </c>
      <c r="L1014" s="283" t="s">
        <v>3826</v>
      </c>
      <c r="M1014" s="283" t="s">
        <v>3832</v>
      </c>
      <c r="N1014" s="3"/>
      <c r="Q1014" s="3">
        <v>2</v>
      </c>
      <c r="R1014" s="3">
        <v>2</v>
      </c>
      <c r="T1014" s="283" t="s">
        <v>265</v>
      </c>
      <c r="U1014" s="283" t="s">
        <v>350</v>
      </c>
      <c r="V1014" s="1" t="s">
        <v>3833</v>
      </c>
      <c r="W1014" s="1">
        <v>1</v>
      </c>
      <c r="X1014" s="1">
        <v>1</v>
      </c>
      <c r="Y1014" s="1">
        <v>1</v>
      </c>
      <c r="Z1014" s="1">
        <v>1</v>
      </c>
      <c r="AA1014" s="1">
        <v>1</v>
      </c>
      <c r="AB1014" s="1">
        <v>1</v>
      </c>
      <c r="AC1014" s="316">
        <v>0</v>
      </c>
      <c r="AD1014" s="316">
        <v>1</v>
      </c>
      <c r="AE1014" s="302">
        <f t="shared" si="76"/>
        <v>0.875</v>
      </c>
      <c r="AF1014" s="17"/>
      <c r="AG1014" s="17">
        <v>0</v>
      </c>
      <c r="AH1014" s="17">
        <v>0</v>
      </c>
      <c r="AI1014" s="17">
        <v>0</v>
      </c>
      <c r="AJ1014" s="310">
        <v>0.5</v>
      </c>
      <c r="AK1014" s="317">
        <v>0.5</v>
      </c>
      <c r="AL1014" s="154">
        <v>0</v>
      </c>
      <c r="AM1014" s="17">
        <f t="shared" si="77"/>
        <v>0.5</v>
      </c>
      <c r="AN1014" s="283" t="s">
        <v>265</v>
      </c>
      <c r="AO1014" s="18" t="s">
        <v>350</v>
      </c>
      <c r="AP1014" s="283" t="s">
        <v>3834</v>
      </c>
    </row>
    <row r="1015" spans="1:42" x14ac:dyDescent="0.3">
      <c r="A1015" s="314" t="s">
        <v>1448</v>
      </c>
      <c r="B1015" s="283" t="s">
        <v>3447</v>
      </c>
      <c r="C1015" s="314" t="s">
        <v>3744</v>
      </c>
      <c r="D1015" s="283" t="s">
        <v>3745</v>
      </c>
      <c r="E1015" s="314" t="s">
        <v>3746</v>
      </c>
      <c r="F1015" s="283" t="s">
        <v>3747</v>
      </c>
      <c r="G1015" s="314" t="s">
        <v>3823</v>
      </c>
      <c r="H1015" s="283" t="s">
        <v>3824</v>
      </c>
      <c r="K1015" s="314" t="s">
        <v>3825</v>
      </c>
      <c r="L1015" s="283" t="s">
        <v>3826</v>
      </c>
      <c r="M1015" s="283" t="s">
        <v>3835</v>
      </c>
      <c r="N1015" s="3">
        <v>0</v>
      </c>
      <c r="O1015" s="3">
        <v>0</v>
      </c>
      <c r="P1015" s="3">
        <v>0</v>
      </c>
      <c r="Q1015" s="3">
        <v>0</v>
      </c>
      <c r="R1015" s="3">
        <v>2</v>
      </c>
      <c r="S1015" s="3">
        <v>2</v>
      </c>
      <c r="T1015" s="283" t="s">
        <v>265</v>
      </c>
      <c r="U1015" s="283" t="s">
        <v>350</v>
      </c>
      <c r="V1015" s="1" t="s">
        <v>3836</v>
      </c>
      <c r="W1015" s="1">
        <v>1</v>
      </c>
      <c r="X1015" s="1">
        <v>1</v>
      </c>
      <c r="Y1015" s="1">
        <v>1</v>
      </c>
      <c r="Z1015" s="1">
        <v>1</v>
      </c>
      <c r="AA1015" s="1">
        <v>1</v>
      </c>
      <c r="AB1015" s="1">
        <v>1</v>
      </c>
      <c r="AC1015" s="316">
        <v>0</v>
      </c>
      <c r="AD1015" s="316">
        <v>1</v>
      </c>
      <c r="AE1015" s="302">
        <f t="shared" si="76"/>
        <v>0.875</v>
      </c>
      <c r="AF1015" s="310"/>
      <c r="AG1015" s="17">
        <v>0</v>
      </c>
      <c r="AH1015" s="310">
        <v>40</v>
      </c>
      <c r="AI1015" s="310">
        <v>40</v>
      </c>
      <c r="AJ1015" s="310">
        <v>40</v>
      </c>
      <c r="AK1015" s="317">
        <v>40</v>
      </c>
      <c r="AL1015" s="317">
        <v>40</v>
      </c>
      <c r="AM1015" s="17">
        <f t="shared" si="77"/>
        <v>80</v>
      </c>
      <c r="AN1015" s="283" t="s">
        <v>265</v>
      </c>
      <c r="AO1015" s="18" t="s">
        <v>350</v>
      </c>
      <c r="AP1015" s="345" t="s">
        <v>63</v>
      </c>
    </row>
    <row r="1016" spans="1:42" hidden="1" x14ac:dyDescent="0.3">
      <c r="A1016" s="314" t="s">
        <v>1448</v>
      </c>
      <c r="B1016" s="283" t="s">
        <v>3447</v>
      </c>
      <c r="C1016" s="314" t="s">
        <v>3744</v>
      </c>
      <c r="D1016" s="283" t="s">
        <v>3745</v>
      </c>
      <c r="E1016" s="314" t="s">
        <v>3746</v>
      </c>
      <c r="F1016" s="283" t="s">
        <v>3747</v>
      </c>
      <c r="G1016" s="314" t="s">
        <v>3837</v>
      </c>
      <c r="H1016" s="283" t="s">
        <v>3838</v>
      </c>
      <c r="K1016" s="314" t="s">
        <v>3839</v>
      </c>
      <c r="L1016" s="283" t="s">
        <v>3840</v>
      </c>
      <c r="M1016" s="283" t="s">
        <v>3841</v>
      </c>
      <c r="N1016" s="3">
        <v>0</v>
      </c>
      <c r="O1016" s="3">
        <v>0</v>
      </c>
      <c r="P1016" s="3">
        <v>0</v>
      </c>
      <c r="Q1016" s="3">
        <v>1</v>
      </c>
      <c r="R1016" s="3">
        <v>2</v>
      </c>
      <c r="S1016" s="3">
        <v>1</v>
      </c>
      <c r="T1016" s="283" t="s">
        <v>265</v>
      </c>
      <c r="U1016" s="283" t="s">
        <v>350</v>
      </c>
      <c r="V1016" s="1" t="s">
        <v>3842</v>
      </c>
      <c r="W1016" s="1">
        <v>1</v>
      </c>
      <c r="X1016" s="1">
        <v>0</v>
      </c>
      <c r="Y1016" s="1">
        <v>0</v>
      </c>
      <c r="Z1016" s="1">
        <v>1</v>
      </c>
      <c r="AA1016" s="1">
        <v>1</v>
      </c>
      <c r="AB1016" s="1">
        <v>0</v>
      </c>
      <c r="AC1016" s="316">
        <v>1</v>
      </c>
      <c r="AD1016" s="316">
        <v>1</v>
      </c>
      <c r="AE1016" s="302">
        <f t="shared" si="76"/>
        <v>0.625</v>
      </c>
      <c r="AF1016" s="17"/>
      <c r="AG1016" s="17">
        <v>0</v>
      </c>
      <c r="AH1016" s="17">
        <v>0</v>
      </c>
      <c r="AI1016" s="310">
        <v>0.2</v>
      </c>
      <c r="AJ1016" s="17">
        <v>0</v>
      </c>
      <c r="AK1016" s="153">
        <v>0</v>
      </c>
      <c r="AL1016" s="154">
        <v>0</v>
      </c>
      <c r="AM1016" s="17">
        <f t="shared" si="77"/>
        <v>0</v>
      </c>
      <c r="AN1016" s="283" t="s">
        <v>265</v>
      </c>
      <c r="AO1016" s="18" t="s">
        <v>350</v>
      </c>
      <c r="AP1016" s="283" t="s">
        <v>3843</v>
      </c>
    </row>
    <row r="1017" spans="1:42" hidden="1" x14ac:dyDescent="0.3">
      <c r="A1017" s="314" t="s">
        <v>1448</v>
      </c>
      <c r="B1017" s="283" t="s">
        <v>3447</v>
      </c>
      <c r="C1017" s="314" t="s">
        <v>3744</v>
      </c>
      <c r="D1017" s="283" t="s">
        <v>3745</v>
      </c>
      <c r="E1017" s="314" t="s">
        <v>3746</v>
      </c>
      <c r="F1017" s="283" t="s">
        <v>3747</v>
      </c>
      <c r="G1017" s="314" t="s">
        <v>3837</v>
      </c>
      <c r="H1017" s="283" t="s">
        <v>3838</v>
      </c>
      <c r="K1017" s="314" t="s">
        <v>3839</v>
      </c>
      <c r="L1017" s="283" t="s">
        <v>3840</v>
      </c>
      <c r="M1017" s="283" t="s">
        <v>3844</v>
      </c>
      <c r="N1017" s="3">
        <v>0</v>
      </c>
      <c r="O1017" s="3">
        <v>95</v>
      </c>
      <c r="P1017" s="3">
        <v>95</v>
      </c>
      <c r="Q1017" s="3">
        <v>95</v>
      </c>
      <c r="R1017" s="3">
        <v>95</v>
      </c>
      <c r="S1017" s="3">
        <v>95</v>
      </c>
      <c r="T1017" s="283" t="s">
        <v>1446</v>
      </c>
      <c r="U1017" s="283" t="s">
        <v>3715</v>
      </c>
      <c r="V1017" s="1" t="s">
        <v>3845</v>
      </c>
      <c r="W1017" s="1">
        <v>1</v>
      </c>
      <c r="X1017" s="1">
        <v>0</v>
      </c>
      <c r="Y1017" s="1">
        <v>0</v>
      </c>
      <c r="Z1017" s="1">
        <v>1</v>
      </c>
      <c r="AA1017" s="1">
        <v>1</v>
      </c>
      <c r="AB1017" s="1">
        <v>0</v>
      </c>
      <c r="AC1017" s="316">
        <v>1</v>
      </c>
      <c r="AD1017" s="316">
        <v>1</v>
      </c>
      <c r="AE1017" s="302">
        <f t="shared" si="76"/>
        <v>0.625</v>
      </c>
      <c r="AF1017" s="17"/>
      <c r="AG1017" s="17">
        <v>0</v>
      </c>
      <c r="AH1017" s="17">
        <v>0</v>
      </c>
      <c r="AI1017" s="17">
        <v>0</v>
      </c>
      <c r="AJ1017" s="310" t="s">
        <v>3554</v>
      </c>
      <c r="AK1017" s="153">
        <v>0</v>
      </c>
      <c r="AL1017" s="154">
        <v>0</v>
      </c>
      <c r="AM1017" s="17">
        <f t="shared" si="77"/>
        <v>0</v>
      </c>
      <c r="AN1017" s="283" t="s">
        <v>265</v>
      </c>
      <c r="AO1017" s="18" t="s">
        <v>350</v>
      </c>
      <c r="AP1017" s="283" t="s">
        <v>3558</v>
      </c>
    </row>
    <row r="1018" spans="1:42" x14ac:dyDescent="0.3">
      <c r="A1018" s="314" t="s">
        <v>1448</v>
      </c>
      <c r="B1018" s="283" t="s">
        <v>3447</v>
      </c>
      <c r="C1018" s="314" t="s">
        <v>3744</v>
      </c>
      <c r="D1018" s="283" t="s">
        <v>3745</v>
      </c>
      <c r="E1018" s="314" t="s">
        <v>3746</v>
      </c>
      <c r="F1018" s="283" t="s">
        <v>3747</v>
      </c>
      <c r="G1018" s="314" t="s">
        <v>3837</v>
      </c>
      <c r="H1018" s="283" t="s">
        <v>3838</v>
      </c>
      <c r="K1018" s="314" t="s">
        <v>3839</v>
      </c>
      <c r="L1018" s="283" t="s">
        <v>3840</v>
      </c>
      <c r="M1018" s="283" t="s">
        <v>3846</v>
      </c>
      <c r="N1018" s="3" t="s">
        <v>271</v>
      </c>
      <c r="O1018" s="3">
        <v>4</v>
      </c>
      <c r="P1018" s="3">
        <v>4</v>
      </c>
      <c r="Q1018" s="3">
        <v>4</v>
      </c>
      <c r="R1018" s="3">
        <v>4</v>
      </c>
      <c r="S1018" s="3">
        <v>4</v>
      </c>
      <c r="T1018" s="283" t="s">
        <v>1446</v>
      </c>
      <c r="U1018" s="283" t="s">
        <v>3715</v>
      </c>
      <c r="V1018" s="1" t="s">
        <v>3847</v>
      </c>
      <c r="W1018" s="1">
        <v>1</v>
      </c>
      <c r="X1018" s="1">
        <v>1</v>
      </c>
      <c r="Y1018" s="1">
        <v>1</v>
      </c>
      <c r="Z1018" s="1">
        <v>1</v>
      </c>
      <c r="AA1018" s="1">
        <v>1</v>
      </c>
      <c r="AB1018" s="1">
        <v>1</v>
      </c>
      <c r="AC1018" s="316">
        <v>1</v>
      </c>
      <c r="AD1018" s="316">
        <v>1</v>
      </c>
      <c r="AE1018" s="302">
        <f t="shared" si="76"/>
        <v>1</v>
      </c>
      <c r="AF1018" s="17"/>
      <c r="AG1018" s="17">
        <v>0</v>
      </c>
      <c r="AH1018" s="17">
        <v>0</v>
      </c>
      <c r="AI1018" s="17">
        <v>0</v>
      </c>
      <c r="AJ1018" s="310">
        <v>28</v>
      </c>
      <c r="AK1018" s="317">
        <v>28</v>
      </c>
      <c r="AL1018" s="154">
        <v>0</v>
      </c>
      <c r="AM1018" s="17">
        <f t="shared" si="77"/>
        <v>28</v>
      </c>
      <c r="AN1018" s="283" t="s">
        <v>265</v>
      </c>
      <c r="AO1018" s="18" t="s">
        <v>350</v>
      </c>
      <c r="AP1018" s="283" t="s">
        <v>3848</v>
      </c>
    </row>
    <row r="1019" spans="1:42" x14ac:dyDescent="0.3">
      <c r="A1019" s="314" t="s">
        <v>1448</v>
      </c>
      <c r="B1019" s="283" t="s">
        <v>3447</v>
      </c>
      <c r="C1019" s="314" t="s">
        <v>3744</v>
      </c>
      <c r="D1019" s="283" t="s">
        <v>3745</v>
      </c>
      <c r="E1019" s="314" t="s">
        <v>3746</v>
      </c>
      <c r="F1019" s="283" t="s">
        <v>3747</v>
      </c>
      <c r="G1019" s="314" t="s">
        <v>3837</v>
      </c>
      <c r="H1019" s="283" t="s">
        <v>3838</v>
      </c>
      <c r="K1019" s="314" t="s">
        <v>3839</v>
      </c>
      <c r="L1019" s="283" t="s">
        <v>3840</v>
      </c>
      <c r="M1019" s="283" t="s">
        <v>3849</v>
      </c>
      <c r="N1019" s="3" t="s">
        <v>271</v>
      </c>
      <c r="O1019" s="3">
        <v>85</v>
      </c>
      <c r="P1019" s="3">
        <v>85</v>
      </c>
      <c r="Q1019" s="3">
        <v>85</v>
      </c>
      <c r="R1019" s="3">
        <v>85</v>
      </c>
      <c r="S1019" s="3">
        <v>85</v>
      </c>
      <c r="T1019" s="283" t="s">
        <v>1446</v>
      </c>
      <c r="U1019" s="283" t="s">
        <v>3715</v>
      </c>
      <c r="V1019" s="1" t="s">
        <v>3850</v>
      </c>
      <c r="W1019" s="1">
        <v>1</v>
      </c>
      <c r="X1019" s="1">
        <v>1</v>
      </c>
      <c r="Y1019" s="1">
        <v>1</v>
      </c>
      <c r="Z1019" s="1">
        <v>1</v>
      </c>
      <c r="AA1019" s="1">
        <v>1</v>
      </c>
      <c r="AB1019" s="1">
        <v>1</v>
      </c>
      <c r="AC1019" s="316">
        <v>1</v>
      </c>
      <c r="AD1019" s="316">
        <v>1</v>
      </c>
      <c r="AE1019" s="302">
        <f t="shared" si="76"/>
        <v>1</v>
      </c>
      <c r="AF1019" s="17"/>
      <c r="AG1019" s="17">
        <v>0</v>
      </c>
      <c r="AH1019" s="17">
        <v>0</v>
      </c>
      <c r="AI1019" s="310">
        <v>0.01</v>
      </c>
      <c r="AJ1019" s="310">
        <v>0.01</v>
      </c>
      <c r="AK1019" s="317">
        <v>0.01</v>
      </c>
      <c r="AL1019" s="317">
        <v>0.01</v>
      </c>
      <c r="AM1019" s="17">
        <f t="shared" si="77"/>
        <v>0.02</v>
      </c>
      <c r="AN1019" s="283" t="s">
        <v>1446</v>
      </c>
      <c r="AO1019" s="18" t="s">
        <v>3715</v>
      </c>
      <c r="AP1019" s="283" t="s">
        <v>265</v>
      </c>
    </row>
    <row r="1020" spans="1:42" x14ac:dyDescent="0.3">
      <c r="A1020" s="314" t="s">
        <v>1448</v>
      </c>
      <c r="B1020" s="283" t="s">
        <v>3447</v>
      </c>
      <c r="C1020" s="314" t="s">
        <v>3744</v>
      </c>
      <c r="D1020" s="283" t="s">
        <v>3745</v>
      </c>
      <c r="E1020" s="314" t="s">
        <v>3746</v>
      </c>
      <c r="F1020" s="283" t="s">
        <v>3747</v>
      </c>
      <c r="G1020" s="314" t="s">
        <v>3837</v>
      </c>
      <c r="H1020" s="283" t="s">
        <v>3838</v>
      </c>
      <c r="K1020" s="314" t="s">
        <v>3839</v>
      </c>
      <c r="L1020" s="283" t="s">
        <v>3840</v>
      </c>
      <c r="N1020" s="3"/>
      <c r="U1020" s="283" t="e">
        <v>#N/A</v>
      </c>
      <c r="V1020" s="1" t="s">
        <v>3851</v>
      </c>
      <c r="W1020" s="1">
        <v>1</v>
      </c>
      <c r="X1020" s="1">
        <v>1</v>
      </c>
      <c r="Y1020" s="1">
        <v>1</v>
      </c>
      <c r="Z1020" s="1">
        <v>1</v>
      </c>
      <c r="AA1020" s="1">
        <v>1</v>
      </c>
      <c r="AB1020" s="1">
        <v>1</v>
      </c>
      <c r="AC1020" s="316">
        <v>1</v>
      </c>
      <c r="AD1020" s="316">
        <v>1</v>
      </c>
      <c r="AE1020" s="302">
        <f t="shared" si="76"/>
        <v>1</v>
      </c>
      <c r="AF1020" s="17"/>
      <c r="AG1020" s="17">
        <v>0</v>
      </c>
      <c r="AH1020" s="17">
        <v>0</v>
      </c>
      <c r="AI1020" s="17">
        <v>0</v>
      </c>
      <c r="AJ1020" s="17">
        <v>0</v>
      </c>
      <c r="AK1020" s="153">
        <v>0.2</v>
      </c>
      <c r="AL1020" s="154">
        <v>0</v>
      </c>
      <c r="AM1020" s="17">
        <f t="shared" si="77"/>
        <v>0.2</v>
      </c>
      <c r="AN1020" s="10" t="s">
        <v>265</v>
      </c>
      <c r="AO1020" s="18" t="s">
        <v>350</v>
      </c>
      <c r="AP1020" s="283" t="s">
        <v>119</v>
      </c>
    </row>
    <row r="1021" spans="1:42" x14ac:dyDescent="0.3">
      <c r="A1021" s="314" t="s">
        <v>1448</v>
      </c>
      <c r="B1021" s="283" t="s">
        <v>3447</v>
      </c>
      <c r="C1021" s="314" t="s">
        <v>3744</v>
      </c>
      <c r="D1021" s="283" t="s">
        <v>3745</v>
      </c>
      <c r="E1021" s="314" t="s">
        <v>3746</v>
      </c>
      <c r="F1021" s="283" t="s">
        <v>3747</v>
      </c>
      <c r="G1021" s="314" t="s">
        <v>3837</v>
      </c>
      <c r="H1021" s="283" t="s">
        <v>3838</v>
      </c>
      <c r="K1021" s="314" t="s">
        <v>3839</v>
      </c>
      <c r="L1021" s="283" t="s">
        <v>3840</v>
      </c>
      <c r="N1021" s="3"/>
      <c r="U1021" s="283" t="e">
        <v>#N/A</v>
      </c>
      <c r="V1021" s="344" t="s">
        <v>3852</v>
      </c>
      <c r="W1021" s="1">
        <v>1</v>
      </c>
      <c r="X1021" s="1">
        <v>1</v>
      </c>
      <c r="Y1021" s="1">
        <v>0</v>
      </c>
      <c r="Z1021" s="1">
        <v>1</v>
      </c>
      <c r="AA1021" s="1">
        <v>1</v>
      </c>
      <c r="AB1021" s="1">
        <v>1</v>
      </c>
      <c r="AC1021" s="316">
        <v>0</v>
      </c>
      <c r="AD1021" s="316">
        <v>1</v>
      </c>
      <c r="AE1021" s="302">
        <f t="shared" si="76"/>
        <v>0.75</v>
      </c>
      <c r="AF1021" s="310"/>
      <c r="AG1021" s="17">
        <v>0</v>
      </c>
      <c r="AH1021" s="310">
        <v>0</v>
      </c>
      <c r="AI1021" s="310">
        <v>0.01</v>
      </c>
      <c r="AJ1021" s="310">
        <v>0.01</v>
      </c>
      <c r="AK1021" s="317">
        <v>0.01</v>
      </c>
      <c r="AL1021" s="317">
        <v>0.01</v>
      </c>
      <c r="AM1021" s="17">
        <f t="shared" si="77"/>
        <v>0.02</v>
      </c>
      <c r="AN1021" s="283" t="s">
        <v>1446</v>
      </c>
      <c r="AO1021" s="18" t="s">
        <v>3715</v>
      </c>
      <c r="AP1021" s="283" t="s">
        <v>3853</v>
      </c>
    </row>
    <row r="1022" spans="1:42" x14ac:dyDescent="0.3">
      <c r="A1022" s="314" t="s">
        <v>1448</v>
      </c>
      <c r="B1022" s="283" t="s">
        <v>3447</v>
      </c>
      <c r="C1022" s="314" t="s">
        <v>3744</v>
      </c>
      <c r="D1022" s="283" t="s">
        <v>3745</v>
      </c>
      <c r="E1022" s="314" t="s">
        <v>3746</v>
      </c>
      <c r="F1022" s="283" t="s">
        <v>3747</v>
      </c>
      <c r="G1022" s="314" t="s">
        <v>3837</v>
      </c>
      <c r="H1022" s="283" t="s">
        <v>3838</v>
      </c>
      <c r="K1022" s="314" t="s">
        <v>3839</v>
      </c>
      <c r="L1022" s="283" t="s">
        <v>3840</v>
      </c>
      <c r="N1022" s="3"/>
      <c r="U1022" s="283" t="e">
        <v>#N/A</v>
      </c>
      <c r="V1022" s="1" t="s">
        <v>3854</v>
      </c>
      <c r="W1022" s="1">
        <v>1</v>
      </c>
      <c r="X1022" s="1">
        <v>1</v>
      </c>
      <c r="Y1022" s="1">
        <v>1</v>
      </c>
      <c r="Z1022" s="1">
        <v>1</v>
      </c>
      <c r="AA1022" s="1">
        <v>1</v>
      </c>
      <c r="AB1022" s="1">
        <v>1</v>
      </c>
      <c r="AC1022" s="316">
        <v>1</v>
      </c>
      <c r="AD1022" s="316">
        <v>1</v>
      </c>
      <c r="AE1022" s="302">
        <f t="shared" si="76"/>
        <v>1</v>
      </c>
      <c r="AF1022" s="17"/>
      <c r="AG1022" s="17">
        <v>0</v>
      </c>
      <c r="AH1022" s="17">
        <v>0</v>
      </c>
      <c r="AI1022" s="310">
        <v>5.5E-2</v>
      </c>
      <c r="AJ1022" s="310">
        <v>5.5E-2</v>
      </c>
      <c r="AK1022" s="317">
        <v>5.5E-2</v>
      </c>
      <c r="AL1022" s="317">
        <v>5.5E-2</v>
      </c>
      <c r="AM1022" s="17">
        <f t="shared" si="77"/>
        <v>0.11</v>
      </c>
      <c r="AN1022" s="283" t="s">
        <v>1446</v>
      </c>
      <c r="AO1022" s="18" t="s">
        <v>3715</v>
      </c>
      <c r="AP1022" s="283" t="s">
        <v>265</v>
      </c>
    </row>
    <row r="1023" spans="1:42" hidden="1" x14ac:dyDescent="0.3">
      <c r="A1023" s="314" t="s">
        <v>1448</v>
      </c>
      <c r="B1023" s="283" t="s">
        <v>3447</v>
      </c>
      <c r="C1023" s="314" t="s">
        <v>3744</v>
      </c>
      <c r="D1023" s="283" t="s">
        <v>3745</v>
      </c>
      <c r="E1023" s="314" t="s">
        <v>3746</v>
      </c>
      <c r="F1023" s="283" t="s">
        <v>3747</v>
      </c>
      <c r="G1023" s="314" t="s">
        <v>3837</v>
      </c>
      <c r="H1023" s="283" t="s">
        <v>3838</v>
      </c>
      <c r="K1023" s="314" t="s">
        <v>3839</v>
      </c>
      <c r="L1023" s="283" t="s">
        <v>3840</v>
      </c>
      <c r="N1023" s="3"/>
      <c r="U1023" s="283" t="e">
        <v>#N/A</v>
      </c>
      <c r="V1023" s="1" t="s">
        <v>3855</v>
      </c>
      <c r="W1023" s="1">
        <v>1</v>
      </c>
      <c r="X1023" s="1">
        <v>0</v>
      </c>
      <c r="Y1023" s="1">
        <v>0</v>
      </c>
      <c r="Z1023" s="1">
        <v>1</v>
      </c>
      <c r="AA1023" s="1">
        <v>1</v>
      </c>
      <c r="AB1023" s="1">
        <v>0</v>
      </c>
      <c r="AC1023" s="316">
        <v>0</v>
      </c>
      <c r="AD1023" s="316">
        <v>1</v>
      </c>
      <c r="AE1023" s="302">
        <f t="shared" si="76"/>
        <v>0.5</v>
      </c>
      <c r="AF1023" s="17"/>
      <c r="AG1023" s="17">
        <v>0</v>
      </c>
      <c r="AH1023" s="17">
        <v>0</v>
      </c>
      <c r="AI1023" s="310">
        <v>0.01</v>
      </c>
      <c r="AJ1023" s="310">
        <v>0.01</v>
      </c>
      <c r="AK1023" s="317">
        <v>0</v>
      </c>
      <c r="AL1023" s="317"/>
      <c r="AM1023" s="17">
        <f t="shared" si="77"/>
        <v>0</v>
      </c>
      <c r="AN1023" s="283" t="s">
        <v>1446</v>
      </c>
      <c r="AO1023" s="18" t="s">
        <v>3715</v>
      </c>
      <c r="AP1023" s="283" t="s">
        <v>3856</v>
      </c>
    </row>
    <row r="1024" spans="1:42" x14ac:dyDescent="0.3">
      <c r="A1024" s="314" t="s">
        <v>1448</v>
      </c>
      <c r="B1024" s="283" t="s">
        <v>3447</v>
      </c>
      <c r="C1024" s="314" t="s">
        <v>3744</v>
      </c>
      <c r="D1024" s="283" t="s">
        <v>3745</v>
      </c>
      <c r="E1024" s="314" t="s">
        <v>3746</v>
      </c>
      <c r="F1024" s="283" t="s">
        <v>3747</v>
      </c>
      <c r="G1024" s="314" t="s">
        <v>3857</v>
      </c>
      <c r="H1024" s="283" t="s">
        <v>3858</v>
      </c>
      <c r="K1024" s="318" t="s">
        <v>3859</v>
      </c>
      <c r="L1024" s="283" t="s">
        <v>3860</v>
      </c>
      <c r="M1024" s="283" t="s">
        <v>3861</v>
      </c>
      <c r="N1024" s="3"/>
      <c r="O1024" s="211">
        <v>3</v>
      </c>
      <c r="P1024" s="211" t="s">
        <v>3516</v>
      </c>
      <c r="Q1024" s="211" t="s">
        <v>3516</v>
      </c>
      <c r="R1024" s="211" t="s">
        <v>3516</v>
      </c>
      <c r="S1024" s="211" t="s">
        <v>3516</v>
      </c>
      <c r="T1024" s="283" t="s">
        <v>265</v>
      </c>
      <c r="U1024" s="283" t="s">
        <v>350</v>
      </c>
      <c r="V1024" s="1" t="s">
        <v>3862</v>
      </c>
      <c r="W1024" s="1">
        <v>1</v>
      </c>
      <c r="X1024" s="1">
        <v>1</v>
      </c>
      <c r="Y1024" s="1">
        <v>0</v>
      </c>
      <c r="Z1024" s="1">
        <v>1</v>
      </c>
      <c r="AA1024" s="1">
        <v>1</v>
      </c>
      <c r="AB1024" s="1">
        <v>1</v>
      </c>
      <c r="AC1024" s="316">
        <v>0</v>
      </c>
      <c r="AD1024" s="316">
        <v>1</v>
      </c>
      <c r="AE1024" s="302">
        <f t="shared" si="76"/>
        <v>0.75</v>
      </c>
      <c r="AF1024" s="310"/>
      <c r="AG1024" s="17">
        <v>0</v>
      </c>
      <c r="AH1024" s="310">
        <v>0.2</v>
      </c>
      <c r="AI1024" s="310">
        <v>0.2</v>
      </c>
      <c r="AJ1024" s="310">
        <v>0.2</v>
      </c>
      <c r="AK1024" s="317">
        <v>0.2</v>
      </c>
      <c r="AL1024" s="317">
        <v>0.2</v>
      </c>
      <c r="AM1024" s="17">
        <f t="shared" si="77"/>
        <v>0.4</v>
      </c>
      <c r="AN1024" s="283" t="s">
        <v>265</v>
      </c>
      <c r="AO1024" s="18" t="s">
        <v>350</v>
      </c>
      <c r="AP1024" s="283" t="s">
        <v>3863</v>
      </c>
    </row>
    <row r="1025" spans="1:42" x14ac:dyDescent="0.3">
      <c r="A1025" s="314" t="s">
        <v>1448</v>
      </c>
      <c r="B1025" s="283" t="s">
        <v>3447</v>
      </c>
      <c r="C1025" s="314" t="s">
        <v>3744</v>
      </c>
      <c r="D1025" s="283" t="s">
        <v>3745</v>
      </c>
      <c r="E1025" s="314" t="s">
        <v>3746</v>
      </c>
      <c r="F1025" s="283" t="s">
        <v>3747</v>
      </c>
      <c r="G1025" s="314" t="s">
        <v>3857</v>
      </c>
      <c r="H1025" s="283" t="s">
        <v>3858</v>
      </c>
      <c r="K1025" s="318" t="s">
        <v>3859</v>
      </c>
      <c r="L1025" s="283" t="s">
        <v>3860</v>
      </c>
      <c r="M1025" s="347" t="s">
        <v>3864</v>
      </c>
      <c r="N1025" s="3"/>
      <c r="O1025" s="211">
        <v>24</v>
      </c>
      <c r="P1025" s="211" t="s">
        <v>3865</v>
      </c>
      <c r="Q1025" s="211" t="s">
        <v>3865</v>
      </c>
      <c r="R1025" s="211" t="s">
        <v>3865</v>
      </c>
      <c r="S1025" s="211" t="s">
        <v>3865</v>
      </c>
      <c r="T1025" s="212" t="s">
        <v>1216</v>
      </c>
      <c r="U1025" s="283" t="s">
        <v>1218</v>
      </c>
      <c r="V1025" s="1" t="s">
        <v>3866</v>
      </c>
      <c r="W1025" s="1">
        <v>1</v>
      </c>
      <c r="X1025" s="1">
        <v>1</v>
      </c>
      <c r="Y1025" s="1">
        <v>1</v>
      </c>
      <c r="Z1025" s="1">
        <v>1</v>
      </c>
      <c r="AA1025" s="1">
        <v>1</v>
      </c>
      <c r="AB1025" s="1">
        <v>1</v>
      </c>
      <c r="AC1025" s="316">
        <v>1</v>
      </c>
      <c r="AD1025" s="316">
        <v>1</v>
      </c>
      <c r="AE1025" s="302">
        <f t="shared" si="76"/>
        <v>1</v>
      </c>
      <c r="AF1025" s="310"/>
      <c r="AG1025" s="17">
        <v>0</v>
      </c>
      <c r="AH1025" s="310">
        <v>1.2</v>
      </c>
      <c r="AI1025" s="310">
        <v>1.2</v>
      </c>
      <c r="AJ1025" s="310">
        <v>1.2</v>
      </c>
      <c r="AK1025" s="317">
        <v>1.2</v>
      </c>
      <c r="AL1025" s="317">
        <v>1.2</v>
      </c>
      <c r="AM1025" s="17">
        <f t="shared" si="77"/>
        <v>2.4</v>
      </c>
      <c r="AN1025" s="283" t="s">
        <v>1216</v>
      </c>
      <c r="AO1025" s="18" t="s">
        <v>1218</v>
      </c>
      <c r="AP1025" s="283" t="s">
        <v>265</v>
      </c>
    </row>
    <row r="1026" spans="1:42" x14ac:dyDescent="0.3">
      <c r="A1026" s="314" t="s">
        <v>1448</v>
      </c>
      <c r="B1026" s="283" t="s">
        <v>3447</v>
      </c>
      <c r="C1026" s="314" t="s">
        <v>3744</v>
      </c>
      <c r="D1026" s="283" t="s">
        <v>3745</v>
      </c>
      <c r="E1026" s="314" t="s">
        <v>3746</v>
      </c>
      <c r="F1026" s="283" t="s">
        <v>3747</v>
      </c>
      <c r="G1026" s="314" t="s">
        <v>3857</v>
      </c>
      <c r="H1026" s="283" t="s">
        <v>3858</v>
      </c>
      <c r="K1026" s="318" t="s">
        <v>3859</v>
      </c>
      <c r="L1026" s="283" t="s">
        <v>3860</v>
      </c>
      <c r="M1026" s="347" t="s">
        <v>3867</v>
      </c>
      <c r="N1026" s="3"/>
      <c r="O1026" s="211">
        <v>12</v>
      </c>
      <c r="P1026" s="211">
        <v>12</v>
      </c>
      <c r="Q1026" s="211">
        <v>12</v>
      </c>
      <c r="R1026" s="211">
        <v>12</v>
      </c>
      <c r="S1026" s="211">
        <v>12</v>
      </c>
      <c r="T1026" s="283" t="s">
        <v>265</v>
      </c>
      <c r="U1026" s="283" t="s">
        <v>350</v>
      </c>
      <c r="V1026" s="347" t="s">
        <v>3868</v>
      </c>
      <c r="W1026" s="347">
        <v>1</v>
      </c>
      <c r="X1026" s="347">
        <v>1</v>
      </c>
      <c r="Y1026" s="347">
        <v>0</v>
      </c>
      <c r="Z1026" s="347">
        <v>1</v>
      </c>
      <c r="AA1026" s="347">
        <v>1</v>
      </c>
      <c r="AB1026" s="347">
        <v>1</v>
      </c>
      <c r="AC1026" s="316">
        <v>0</v>
      </c>
      <c r="AD1026" s="316">
        <v>1</v>
      </c>
      <c r="AE1026" s="302">
        <f t="shared" ref="AE1026:AE1089" si="78">SUM(W1026:AD1026)/8</f>
        <v>0.75</v>
      </c>
      <c r="AF1026" s="17"/>
      <c r="AG1026" s="17">
        <v>0</v>
      </c>
      <c r="AH1026" s="17"/>
      <c r="AI1026" s="310"/>
      <c r="AJ1026" s="310"/>
      <c r="AK1026" s="317"/>
      <c r="AL1026" s="317"/>
      <c r="AM1026" s="17">
        <f t="shared" ref="AM1026:AM1089" si="79">SUM(AK1026:AL1026)</f>
        <v>0</v>
      </c>
      <c r="AN1026" s="283" t="s">
        <v>265</v>
      </c>
      <c r="AO1026" s="18" t="s">
        <v>350</v>
      </c>
      <c r="AP1026" s="283" t="s">
        <v>3863</v>
      </c>
    </row>
    <row r="1027" spans="1:42" x14ac:dyDescent="0.3">
      <c r="A1027" s="314" t="s">
        <v>1448</v>
      </c>
      <c r="B1027" s="283" t="s">
        <v>3447</v>
      </c>
      <c r="C1027" s="314" t="s">
        <v>3744</v>
      </c>
      <c r="D1027" s="283" t="s">
        <v>3745</v>
      </c>
      <c r="E1027" s="314" t="s">
        <v>3746</v>
      </c>
      <c r="F1027" s="283" t="s">
        <v>3747</v>
      </c>
      <c r="G1027" s="314" t="s">
        <v>3857</v>
      </c>
      <c r="H1027" s="283" t="s">
        <v>3858</v>
      </c>
      <c r="K1027" s="318" t="s">
        <v>3859</v>
      </c>
      <c r="L1027" s="283" t="s">
        <v>3860</v>
      </c>
      <c r="M1027" s="347" t="s">
        <v>3869</v>
      </c>
      <c r="N1027" s="3"/>
      <c r="O1027" s="3">
        <v>3</v>
      </c>
      <c r="P1027" s="3">
        <v>3</v>
      </c>
      <c r="Q1027" s="3">
        <v>3</v>
      </c>
      <c r="R1027" s="3">
        <v>3</v>
      </c>
      <c r="S1027" s="3">
        <v>3</v>
      </c>
      <c r="T1027" s="283" t="s">
        <v>265</v>
      </c>
      <c r="U1027" s="283" t="s">
        <v>350</v>
      </c>
      <c r="V1027" s="1" t="s">
        <v>3870</v>
      </c>
      <c r="W1027" s="1">
        <v>1</v>
      </c>
      <c r="X1027" s="1">
        <v>1</v>
      </c>
      <c r="Y1027" s="1">
        <v>0</v>
      </c>
      <c r="Z1027" s="1">
        <v>1</v>
      </c>
      <c r="AA1027" s="1">
        <v>1</v>
      </c>
      <c r="AB1027" s="1">
        <v>1</v>
      </c>
      <c r="AC1027" s="316">
        <v>0</v>
      </c>
      <c r="AD1027" s="316">
        <v>1</v>
      </c>
      <c r="AE1027" s="302">
        <f t="shared" si="78"/>
        <v>0.75</v>
      </c>
      <c r="AF1027" s="310"/>
      <c r="AG1027" s="17">
        <v>0</v>
      </c>
      <c r="AH1027" s="310">
        <v>0.5</v>
      </c>
      <c r="AI1027" s="310">
        <v>0.5</v>
      </c>
      <c r="AJ1027" s="310">
        <v>0.5</v>
      </c>
      <c r="AK1027" s="317">
        <v>0.5</v>
      </c>
      <c r="AL1027" s="317">
        <v>0.5</v>
      </c>
      <c r="AM1027" s="17">
        <f t="shared" si="79"/>
        <v>1</v>
      </c>
      <c r="AN1027" s="283" t="s">
        <v>265</v>
      </c>
      <c r="AO1027" s="18" t="s">
        <v>350</v>
      </c>
      <c r="AP1027" s="283" t="s">
        <v>3871</v>
      </c>
    </row>
    <row r="1028" spans="1:42" hidden="1" x14ac:dyDescent="0.3">
      <c r="A1028" s="314" t="s">
        <v>1448</v>
      </c>
      <c r="B1028" s="283" t="s">
        <v>3447</v>
      </c>
      <c r="C1028" s="314" t="s">
        <v>3744</v>
      </c>
      <c r="D1028" s="283" t="s">
        <v>3745</v>
      </c>
      <c r="E1028" s="314" t="s">
        <v>3746</v>
      </c>
      <c r="F1028" s="283" t="s">
        <v>3747</v>
      </c>
      <c r="G1028" s="314" t="s">
        <v>3857</v>
      </c>
      <c r="H1028" s="283" t="s">
        <v>3858</v>
      </c>
      <c r="K1028" s="318" t="s">
        <v>3859</v>
      </c>
      <c r="L1028" s="283" t="s">
        <v>3860</v>
      </c>
      <c r="M1028" s="347" t="s">
        <v>3869</v>
      </c>
      <c r="N1028" s="3"/>
      <c r="O1028" s="3">
        <v>3</v>
      </c>
      <c r="P1028" s="3">
        <v>3</v>
      </c>
      <c r="Q1028" s="3">
        <v>3</v>
      </c>
      <c r="R1028" s="3">
        <v>3</v>
      </c>
      <c r="S1028" s="3">
        <v>3</v>
      </c>
      <c r="T1028" s="212" t="s">
        <v>3872</v>
      </c>
      <c r="U1028" s="283" t="s">
        <v>1650</v>
      </c>
      <c r="V1028" s="1" t="s">
        <v>3873</v>
      </c>
      <c r="W1028" s="1"/>
      <c r="X1028" s="1"/>
      <c r="Y1028" s="1"/>
      <c r="Z1028" s="1"/>
      <c r="AA1028" s="1"/>
      <c r="AB1028" s="1"/>
      <c r="AC1028" s="316">
        <v>0</v>
      </c>
      <c r="AD1028" s="316">
        <v>0</v>
      </c>
      <c r="AE1028" s="302">
        <f t="shared" si="78"/>
        <v>0</v>
      </c>
      <c r="AF1028" s="310"/>
      <c r="AG1028" s="17">
        <v>0</v>
      </c>
      <c r="AH1028" s="310">
        <v>0.2</v>
      </c>
      <c r="AI1028" s="310">
        <v>0.2</v>
      </c>
      <c r="AJ1028" s="310">
        <v>0.2</v>
      </c>
      <c r="AK1028" s="317">
        <v>0</v>
      </c>
      <c r="AL1028" s="317"/>
      <c r="AM1028" s="17">
        <f t="shared" si="79"/>
        <v>0</v>
      </c>
      <c r="AN1028" s="283" t="s">
        <v>1233</v>
      </c>
      <c r="AO1028" s="18" t="s">
        <v>1650</v>
      </c>
      <c r="AP1028" s="283" t="s">
        <v>3874</v>
      </c>
    </row>
    <row r="1029" spans="1:42" hidden="1" x14ac:dyDescent="0.3">
      <c r="A1029" s="314" t="s">
        <v>1448</v>
      </c>
      <c r="B1029" s="283" t="s">
        <v>3447</v>
      </c>
      <c r="C1029" s="314" t="s">
        <v>3744</v>
      </c>
      <c r="D1029" s="283" t="s">
        <v>3745</v>
      </c>
      <c r="E1029" s="314" t="s">
        <v>3746</v>
      </c>
      <c r="F1029" s="283" t="s">
        <v>3747</v>
      </c>
      <c r="G1029" s="314" t="s">
        <v>3857</v>
      </c>
      <c r="H1029" s="283" t="s">
        <v>3858</v>
      </c>
      <c r="K1029" s="318" t="s">
        <v>3859</v>
      </c>
      <c r="L1029" s="283" t="s">
        <v>3860</v>
      </c>
      <c r="M1029" s="347" t="s">
        <v>3869</v>
      </c>
      <c r="N1029" s="3"/>
      <c r="O1029" s="3">
        <v>3</v>
      </c>
      <c r="P1029" s="3">
        <v>3</v>
      </c>
      <c r="Q1029" s="3">
        <v>3</v>
      </c>
      <c r="R1029" s="3">
        <v>3</v>
      </c>
      <c r="S1029" s="3">
        <v>3</v>
      </c>
      <c r="T1029" s="212" t="s">
        <v>3875</v>
      </c>
      <c r="U1029" s="283" t="s">
        <v>3877</v>
      </c>
      <c r="V1029" s="1" t="s">
        <v>3876</v>
      </c>
      <c r="W1029" s="1"/>
      <c r="X1029" s="1"/>
      <c r="Y1029" s="1"/>
      <c r="Z1029" s="1"/>
      <c r="AA1029" s="1"/>
      <c r="AB1029" s="1"/>
      <c r="AC1029" s="316">
        <v>0</v>
      </c>
      <c r="AD1029" s="316">
        <v>0</v>
      </c>
      <c r="AE1029" s="302">
        <f t="shared" si="78"/>
        <v>0</v>
      </c>
      <c r="AF1029" s="310"/>
      <c r="AG1029" s="17">
        <v>0</v>
      </c>
      <c r="AH1029" s="310">
        <v>0.1</v>
      </c>
      <c r="AI1029" s="310">
        <v>0.1</v>
      </c>
      <c r="AJ1029" s="310">
        <v>0.1</v>
      </c>
      <c r="AK1029" s="317">
        <v>0</v>
      </c>
      <c r="AL1029" s="317"/>
      <c r="AM1029" s="17">
        <f t="shared" si="79"/>
        <v>0</v>
      </c>
      <c r="AN1029" s="283" t="s">
        <v>3875</v>
      </c>
      <c r="AO1029" s="18" t="s">
        <v>3877</v>
      </c>
      <c r="AP1029" s="283" t="s">
        <v>3878</v>
      </c>
    </row>
    <row r="1030" spans="1:42" hidden="1" x14ac:dyDescent="0.3">
      <c r="A1030" s="314" t="s">
        <v>1448</v>
      </c>
      <c r="B1030" s="283" t="s">
        <v>3447</v>
      </c>
      <c r="C1030" s="314" t="s">
        <v>3744</v>
      </c>
      <c r="D1030" s="283" t="s">
        <v>3745</v>
      </c>
      <c r="E1030" s="314" t="s">
        <v>3746</v>
      </c>
      <c r="F1030" s="283" t="s">
        <v>3747</v>
      </c>
      <c r="G1030" s="314" t="s">
        <v>3857</v>
      </c>
      <c r="H1030" s="283" t="s">
        <v>3858</v>
      </c>
      <c r="K1030" s="318" t="s">
        <v>3859</v>
      </c>
      <c r="L1030" s="283" t="s">
        <v>3860</v>
      </c>
      <c r="M1030" s="347" t="s">
        <v>3869</v>
      </c>
      <c r="N1030" s="3"/>
      <c r="O1030" s="3">
        <v>3</v>
      </c>
      <c r="P1030" s="3">
        <v>3</v>
      </c>
      <c r="Q1030" s="3">
        <v>3</v>
      </c>
      <c r="R1030" s="3">
        <v>3</v>
      </c>
      <c r="S1030" s="3">
        <v>3</v>
      </c>
      <c r="T1030" s="212" t="s">
        <v>3879</v>
      </c>
      <c r="U1030" s="283" t="s">
        <v>3881</v>
      </c>
      <c r="V1030" s="1" t="s">
        <v>3880</v>
      </c>
      <c r="W1030" s="1"/>
      <c r="X1030" s="1"/>
      <c r="Y1030" s="1"/>
      <c r="Z1030" s="1"/>
      <c r="AA1030" s="1"/>
      <c r="AB1030" s="1"/>
      <c r="AC1030" s="316">
        <v>0</v>
      </c>
      <c r="AD1030" s="316">
        <v>0</v>
      </c>
      <c r="AE1030" s="302">
        <f t="shared" si="78"/>
        <v>0</v>
      </c>
      <c r="AF1030" s="310"/>
      <c r="AG1030" s="17">
        <v>0</v>
      </c>
      <c r="AH1030" s="310">
        <v>0.1</v>
      </c>
      <c r="AI1030" s="310">
        <v>0.1</v>
      </c>
      <c r="AJ1030" s="310">
        <v>0.1</v>
      </c>
      <c r="AK1030" s="317">
        <v>0</v>
      </c>
      <c r="AL1030" s="317"/>
      <c r="AM1030" s="17">
        <f t="shared" si="79"/>
        <v>0</v>
      </c>
      <c r="AN1030" s="283" t="s">
        <v>3879</v>
      </c>
      <c r="AO1030" s="18" t="s">
        <v>3881</v>
      </c>
      <c r="AP1030" s="283" t="s">
        <v>3882</v>
      </c>
    </row>
    <row r="1031" spans="1:42" hidden="1" x14ac:dyDescent="0.3">
      <c r="A1031" s="314" t="s">
        <v>1448</v>
      </c>
      <c r="B1031" s="283" t="s">
        <v>3447</v>
      </c>
      <c r="C1031" s="314" t="s">
        <v>3744</v>
      </c>
      <c r="D1031" s="283" t="s">
        <v>3745</v>
      </c>
      <c r="E1031" s="314" t="s">
        <v>3746</v>
      </c>
      <c r="F1031" s="283" t="s">
        <v>3747</v>
      </c>
      <c r="G1031" s="314" t="s">
        <v>3883</v>
      </c>
      <c r="H1031" s="283" t="s">
        <v>3884</v>
      </c>
      <c r="K1031" s="314" t="s">
        <v>3885</v>
      </c>
      <c r="L1031" s="283" t="s">
        <v>3886</v>
      </c>
      <c r="M1031" s="283" t="s">
        <v>3887</v>
      </c>
      <c r="N1031" s="3">
        <v>0</v>
      </c>
      <c r="P1031" s="3">
        <v>1</v>
      </c>
      <c r="T1031" s="283" t="s">
        <v>265</v>
      </c>
      <c r="U1031" s="283" t="s">
        <v>350</v>
      </c>
      <c r="V1031" s="1" t="s">
        <v>3888</v>
      </c>
      <c r="W1031" s="1">
        <v>1</v>
      </c>
      <c r="X1031" s="1">
        <v>1</v>
      </c>
      <c r="Y1031" s="1">
        <v>0</v>
      </c>
      <c r="Z1031" s="1">
        <v>1</v>
      </c>
      <c r="AA1031" s="1">
        <v>1</v>
      </c>
      <c r="AB1031" s="1">
        <v>0</v>
      </c>
      <c r="AC1031" s="316">
        <v>0</v>
      </c>
      <c r="AD1031" s="316">
        <v>1</v>
      </c>
      <c r="AE1031" s="302">
        <f t="shared" si="78"/>
        <v>0.625</v>
      </c>
      <c r="AF1031" s="310"/>
      <c r="AG1031" s="17">
        <v>0</v>
      </c>
      <c r="AH1031" s="310">
        <v>0</v>
      </c>
      <c r="AI1031" s="310">
        <v>0.2</v>
      </c>
      <c r="AJ1031" s="310">
        <v>0</v>
      </c>
      <c r="AK1031" s="317">
        <v>0</v>
      </c>
      <c r="AL1031" s="317">
        <v>0</v>
      </c>
      <c r="AM1031" s="17">
        <f t="shared" si="79"/>
        <v>0</v>
      </c>
      <c r="AN1031" s="283" t="s">
        <v>265</v>
      </c>
      <c r="AO1031" s="18" t="s">
        <v>350</v>
      </c>
      <c r="AP1031" s="283" t="s">
        <v>723</v>
      </c>
    </row>
    <row r="1032" spans="1:42" x14ac:dyDescent="0.3">
      <c r="A1032" s="314" t="s">
        <v>1448</v>
      </c>
      <c r="B1032" s="283" t="s">
        <v>3447</v>
      </c>
      <c r="C1032" s="314" t="s">
        <v>3744</v>
      </c>
      <c r="D1032" s="283" t="s">
        <v>3745</v>
      </c>
      <c r="E1032" s="314" t="s">
        <v>3746</v>
      </c>
      <c r="F1032" s="283" t="s">
        <v>3747</v>
      </c>
      <c r="G1032" s="314" t="s">
        <v>3883</v>
      </c>
      <c r="H1032" s="283" t="s">
        <v>3884</v>
      </c>
      <c r="K1032" s="314" t="s">
        <v>3885</v>
      </c>
      <c r="L1032" s="283" t="s">
        <v>3886</v>
      </c>
      <c r="M1032" s="283" t="s">
        <v>3889</v>
      </c>
      <c r="N1032" s="3">
        <v>0</v>
      </c>
      <c r="O1032" s="3">
        <v>1</v>
      </c>
      <c r="P1032" s="3">
        <v>0</v>
      </c>
      <c r="Q1032" s="3">
        <v>0</v>
      </c>
      <c r="R1032" s="3">
        <v>0</v>
      </c>
      <c r="S1032" s="3">
        <v>0</v>
      </c>
      <c r="T1032" s="283" t="s">
        <v>265</v>
      </c>
      <c r="U1032" s="283" t="s">
        <v>350</v>
      </c>
      <c r="V1032" s="1" t="s">
        <v>3890</v>
      </c>
      <c r="W1032" s="1">
        <v>1</v>
      </c>
      <c r="X1032" s="1">
        <v>1</v>
      </c>
      <c r="Y1032" s="1">
        <v>0</v>
      </c>
      <c r="Z1032" s="1">
        <v>1</v>
      </c>
      <c r="AA1032" s="1">
        <v>1</v>
      </c>
      <c r="AB1032" s="1">
        <v>1</v>
      </c>
      <c r="AC1032" s="316">
        <v>0</v>
      </c>
      <c r="AD1032" s="316">
        <v>1</v>
      </c>
      <c r="AE1032" s="302">
        <f t="shared" si="78"/>
        <v>0.75</v>
      </c>
      <c r="AF1032" s="310"/>
      <c r="AG1032" s="17">
        <v>0</v>
      </c>
      <c r="AH1032" s="310">
        <v>0</v>
      </c>
      <c r="AI1032" s="310">
        <v>0.2</v>
      </c>
      <c r="AJ1032" s="310">
        <v>0</v>
      </c>
      <c r="AK1032" s="317">
        <v>0.5</v>
      </c>
      <c r="AL1032" s="317">
        <v>0</v>
      </c>
      <c r="AM1032" s="17">
        <f t="shared" si="79"/>
        <v>0.5</v>
      </c>
      <c r="AN1032" s="10" t="s">
        <v>239</v>
      </c>
      <c r="AO1032" s="18" t="s">
        <v>241</v>
      </c>
      <c r="AP1032" s="283" t="s">
        <v>3891</v>
      </c>
    </row>
    <row r="1033" spans="1:42" x14ac:dyDescent="0.3">
      <c r="A1033" s="314" t="s">
        <v>1448</v>
      </c>
      <c r="B1033" s="283" t="s">
        <v>3447</v>
      </c>
      <c r="C1033" s="314" t="s">
        <v>3744</v>
      </c>
      <c r="D1033" s="283" t="s">
        <v>3745</v>
      </c>
      <c r="E1033" s="314" t="s">
        <v>3746</v>
      </c>
      <c r="F1033" s="283" t="s">
        <v>3747</v>
      </c>
      <c r="G1033" s="314" t="s">
        <v>3883</v>
      </c>
      <c r="H1033" s="283" t="s">
        <v>3884</v>
      </c>
      <c r="K1033" s="314" t="s">
        <v>3885</v>
      </c>
      <c r="L1033" s="283" t="s">
        <v>3886</v>
      </c>
      <c r="M1033" s="283" t="s">
        <v>3892</v>
      </c>
      <c r="N1033" s="3"/>
      <c r="Q1033" s="3">
        <v>1</v>
      </c>
      <c r="T1033" s="283" t="s">
        <v>265</v>
      </c>
      <c r="U1033" s="283" t="s">
        <v>350</v>
      </c>
      <c r="V1033" s="344" t="s">
        <v>3893</v>
      </c>
      <c r="W1033" s="1">
        <v>1</v>
      </c>
      <c r="X1033" s="1">
        <v>1</v>
      </c>
      <c r="Y1033" s="1">
        <v>0</v>
      </c>
      <c r="Z1033" s="1">
        <v>1</v>
      </c>
      <c r="AA1033" s="1">
        <v>1</v>
      </c>
      <c r="AB1033" s="1">
        <v>1</v>
      </c>
      <c r="AC1033" s="316">
        <v>0</v>
      </c>
      <c r="AD1033" s="316">
        <v>1</v>
      </c>
      <c r="AE1033" s="302">
        <f t="shared" si="78"/>
        <v>0.75</v>
      </c>
      <c r="AF1033" s="310"/>
      <c r="AG1033" s="17">
        <v>0</v>
      </c>
      <c r="AH1033" s="310">
        <v>0</v>
      </c>
      <c r="AI1033" s="310">
        <v>0</v>
      </c>
      <c r="AJ1033" s="310">
        <v>0.2</v>
      </c>
      <c r="AK1033" s="317">
        <v>0</v>
      </c>
      <c r="AL1033" s="317">
        <v>0</v>
      </c>
      <c r="AM1033" s="17">
        <f t="shared" si="79"/>
        <v>0</v>
      </c>
      <c r="AN1033" s="283" t="s">
        <v>265</v>
      </c>
      <c r="AO1033" s="18" t="s">
        <v>350</v>
      </c>
      <c r="AP1033" s="283" t="s">
        <v>3595</v>
      </c>
    </row>
    <row r="1034" spans="1:42" x14ac:dyDescent="0.3">
      <c r="A1034" s="314" t="s">
        <v>1448</v>
      </c>
      <c r="B1034" s="283" t="s">
        <v>3447</v>
      </c>
      <c r="C1034" s="314" t="s">
        <v>3744</v>
      </c>
      <c r="D1034" s="283" t="s">
        <v>3745</v>
      </c>
      <c r="E1034" s="314" t="s">
        <v>3746</v>
      </c>
      <c r="F1034" s="283" t="s">
        <v>3747</v>
      </c>
      <c r="G1034" s="314" t="s">
        <v>3883</v>
      </c>
      <c r="H1034" s="283" t="s">
        <v>3884</v>
      </c>
      <c r="K1034" s="314" t="s">
        <v>3885</v>
      </c>
      <c r="L1034" s="283" t="s">
        <v>3886</v>
      </c>
      <c r="M1034" s="283" t="s">
        <v>3894</v>
      </c>
      <c r="N1034" s="3"/>
      <c r="O1034" s="3" t="s">
        <v>3763</v>
      </c>
      <c r="P1034" s="3" t="s">
        <v>3763</v>
      </c>
      <c r="Q1034" s="3" t="s">
        <v>3763</v>
      </c>
      <c r="R1034" s="3" t="s">
        <v>3763</v>
      </c>
      <c r="S1034" s="3">
        <v>4</v>
      </c>
      <c r="T1034" s="283" t="s">
        <v>1216</v>
      </c>
      <c r="U1034" s="283" t="s">
        <v>1218</v>
      </c>
      <c r="V1034" s="1" t="s">
        <v>3895</v>
      </c>
      <c r="W1034" s="1">
        <v>1</v>
      </c>
      <c r="X1034" s="1">
        <v>1</v>
      </c>
      <c r="Y1034" s="1">
        <v>1</v>
      </c>
      <c r="Z1034" s="1">
        <v>1</v>
      </c>
      <c r="AA1034" s="1">
        <v>1</v>
      </c>
      <c r="AB1034" s="1">
        <v>0</v>
      </c>
      <c r="AC1034" s="316">
        <v>1</v>
      </c>
      <c r="AD1034" s="316">
        <v>1</v>
      </c>
      <c r="AE1034" s="302">
        <f>SUM(W1034:AD1034)/8</f>
        <v>0.875</v>
      </c>
      <c r="AF1034" s="310"/>
      <c r="AG1034" s="17">
        <v>0</v>
      </c>
      <c r="AH1034" s="310">
        <v>0</v>
      </c>
      <c r="AI1034" s="310">
        <v>0.2</v>
      </c>
      <c r="AJ1034" s="310">
        <v>0.2</v>
      </c>
      <c r="AK1034" s="317">
        <v>0.2</v>
      </c>
      <c r="AL1034" s="317">
        <v>0.2</v>
      </c>
      <c r="AM1034" s="17">
        <f t="shared" si="79"/>
        <v>0.4</v>
      </c>
      <c r="AN1034" s="283" t="s">
        <v>1216</v>
      </c>
      <c r="AO1034" s="18" t="s">
        <v>1218</v>
      </c>
      <c r="AP1034" s="283" t="s">
        <v>3896</v>
      </c>
    </row>
    <row r="1035" spans="1:42" x14ac:dyDescent="0.3">
      <c r="A1035" s="314" t="s">
        <v>1448</v>
      </c>
      <c r="B1035" s="283" t="s">
        <v>3447</v>
      </c>
      <c r="C1035" s="314" t="s">
        <v>3744</v>
      </c>
      <c r="D1035" s="283" t="s">
        <v>3745</v>
      </c>
      <c r="E1035" s="314" t="s">
        <v>3746</v>
      </c>
      <c r="F1035" s="283" t="s">
        <v>3747</v>
      </c>
      <c r="G1035" s="314" t="s">
        <v>3897</v>
      </c>
      <c r="H1035" s="283" t="s">
        <v>3898</v>
      </c>
      <c r="K1035" s="314" t="s">
        <v>3899</v>
      </c>
      <c r="L1035" s="283" t="s">
        <v>3900</v>
      </c>
      <c r="M1035" s="283" t="s">
        <v>3901</v>
      </c>
      <c r="N1035" s="3">
        <v>0</v>
      </c>
      <c r="O1035" s="3" t="s">
        <v>271</v>
      </c>
      <c r="P1035" s="3">
        <v>1</v>
      </c>
      <c r="Q1035" s="3" t="s">
        <v>271</v>
      </c>
      <c r="R1035" s="3" t="s">
        <v>271</v>
      </c>
      <c r="S1035" s="3" t="s">
        <v>271</v>
      </c>
      <c r="T1035" s="283" t="s">
        <v>265</v>
      </c>
      <c r="U1035" s="283" t="s">
        <v>350</v>
      </c>
      <c r="V1035" s="1" t="s">
        <v>3902</v>
      </c>
      <c r="W1035" s="283">
        <v>1</v>
      </c>
      <c r="X1035" s="1">
        <v>1</v>
      </c>
      <c r="Y1035" s="1">
        <v>0</v>
      </c>
      <c r="Z1035" s="1">
        <v>1</v>
      </c>
      <c r="AA1035" s="1">
        <v>1</v>
      </c>
      <c r="AB1035" s="1">
        <v>1</v>
      </c>
      <c r="AC1035" s="316">
        <v>0</v>
      </c>
      <c r="AD1035" s="316">
        <v>1</v>
      </c>
      <c r="AE1035" s="302">
        <f t="shared" si="78"/>
        <v>0.75</v>
      </c>
      <c r="AF1035" s="17"/>
      <c r="AG1035" s="17">
        <v>0</v>
      </c>
      <c r="AH1035" s="17">
        <v>0</v>
      </c>
      <c r="AI1035" s="310">
        <v>0.1</v>
      </c>
      <c r="AJ1035" s="17">
        <v>0</v>
      </c>
      <c r="AK1035" s="153">
        <v>0.1</v>
      </c>
      <c r="AL1035" s="154">
        <v>0</v>
      </c>
      <c r="AM1035" s="17">
        <f t="shared" si="79"/>
        <v>0.1</v>
      </c>
      <c r="AN1035" s="283" t="s">
        <v>265</v>
      </c>
      <c r="AO1035" s="18" t="s">
        <v>350</v>
      </c>
      <c r="AP1035" s="283" t="s">
        <v>3903</v>
      </c>
    </row>
    <row r="1036" spans="1:42" x14ac:dyDescent="0.3">
      <c r="A1036" s="314" t="s">
        <v>1448</v>
      </c>
      <c r="B1036" s="283" t="s">
        <v>3447</v>
      </c>
      <c r="C1036" s="314" t="s">
        <v>3744</v>
      </c>
      <c r="D1036" s="283" t="s">
        <v>3745</v>
      </c>
      <c r="E1036" s="314" t="s">
        <v>3746</v>
      </c>
      <c r="F1036" s="283" t="s">
        <v>3747</v>
      </c>
      <c r="G1036" s="314" t="s">
        <v>3897</v>
      </c>
      <c r="H1036" s="283" t="s">
        <v>3898</v>
      </c>
      <c r="K1036" s="314" t="s">
        <v>3899</v>
      </c>
      <c r="L1036" s="283" t="s">
        <v>3900</v>
      </c>
      <c r="M1036" s="283" t="s">
        <v>3904</v>
      </c>
      <c r="N1036" s="3">
        <v>0</v>
      </c>
      <c r="O1036" s="3" t="s">
        <v>271</v>
      </c>
      <c r="P1036" s="3">
        <v>1</v>
      </c>
      <c r="Q1036" s="3" t="s">
        <v>271</v>
      </c>
      <c r="R1036" s="3" t="s">
        <v>271</v>
      </c>
      <c r="S1036" s="3" t="s">
        <v>271</v>
      </c>
      <c r="T1036" s="283" t="s">
        <v>265</v>
      </c>
      <c r="U1036" s="283" t="s">
        <v>350</v>
      </c>
      <c r="V1036" s="1" t="s">
        <v>3905</v>
      </c>
      <c r="W1036" s="1">
        <v>1</v>
      </c>
      <c r="X1036" s="1">
        <v>1</v>
      </c>
      <c r="Y1036" s="1">
        <v>0</v>
      </c>
      <c r="Z1036" s="1">
        <v>1</v>
      </c>
      <c r="AA1036" s="1">
        <v>1</v>
      </c>
      <c r="AB1036" s="1">
        <v>1</v>
      </c>
      <c r="AC1036" s="316">
        <v>0</v>
      </c>
      <c r="AD1036" s="316">
        <v>1</v>
      </c>
      <c r="AE1036" s="302">
        <f t="shared" si="78"/>
        <v>0.75</v>
      </c>
      <c r="AF1036" s="17"/>
      <c r="AG1036" s="17">
        <v>0</v>
      </c>
      <c r="AH1036" s="17">
        <v>0</v>
      </c>
      <c r="AI1036" s="310">
        <v>0.3</v>
      </c>
      <c r="AJ1036" s="17">
        <v>0</v>
      </c>
      <c r="AK1036" s="153">
        <v>0.5</v>
      </c>
      <c r="AL1036" s="154">
        <v>0</v>
      </c>
      <c r="AM1036" s="17">
        <f t="shared" si="79"/>
        <v>0.5</v>
      </c>
      <c r="AN1036" s="283" t="s">
        <v>265</v>
      </c>
      <c r="AO1036" s="18" t="s">
        <v>350</v>
      </c>
      <c r="AP1036" s="283" t="s">
        <v>3906</v>
      </c>
    </row>
    <row r="1037" spans="1:42" x14ac:dyDescent="0.3">
      <c r="A1037" s="314" t="s">
        <v>1448</v>
      </c>
      <c r="B1037" s="283" t="s">
        <v>3447</v>
      </c>
      <c r="C1037" s="314" t="s">
        <v>3744</v>
      </c>
      <c r="D1037" s="283" t="s">
        <v>3745</v>
      </c>
      <c r="E1037" s="314" t="s">
        <v>3746</v>
      </c>
      <c r="F1037" s="283" t="s">
        <v>3747</v>
      </c>
      <c r="G1037" s="314" t="s">
        <v>3897</v>
      </c>
      <c r="H1037" s="283" t="s">
        <v>3898</v>
      </c>
      <c r="K1037" s="314" t="s">
        <v>3899</v>
      </c>
      <c r="L1037" s="283" t="s">
        <v>3900</v>
      </c>
      <c r="M1037" s="283" t="s">
        <v>3907</v>
      </c>
      <c r="N1037" s="3">
        <v>15</v>
      </c>
      <c r="O1037" s="3">
        <v>1</v>
      </c>
      <c r="P1037" s="3" t="s">
        <v>271</v>
      </c>
      <c r="Q1037" s="3" t="s">
        <v>271</v>
      </c>
      <c r="R1037" s="3" t="s">
        <v>271</v>
      </c>
      <c r="S1037" s="3" t="s">
        <v>271</v>
      </c>
      <c r="T1037" s="283" t="s">
        <v>321</v>
      </c>
      <c r="U1037" s="283" t="s">
        <v>1066</v>
      </c>
      <c r="V1037" s="1" t="s">
        <v>3908</v>
      </c>
      <c r="W1037" s="1">
        <v>1</v>
      </c>
      <c r="X1037" s="1">
        <v>1</v>
      </c>
      <c r="Y1037" s="1">
        <v>0</v>
      </c>
      <c r="Z1037" s="1">
        <v>1</v>
      </c>
      <c r="AA1037" s="1">
        <v>1</v>
      </c>
      <c r="AB1037" s="1">
        <v>1</v>
      </c>
      <c r="AC1037" s="316">
        <v>0</v>
      </c>
      <c r="AD1037" s="316">
        <v>1</v>
      </c>
      <c r="AE1037" s="302">
        <f t="shared" si="78"/>
        <v>0.75</v>
      </c>
      <c r="AF1037" s="310"/>
      <c r="AG1037" s="17">
        <v>0</v>
      </c>
      <c r="AH1037" s="310">
        <v>0.01</v>
      </c>
      <c r="AI1037" s="310">
        <v>0.64</v>
      </c>
      <c r="AJ1037" s="17">
        <v>0</v>
      </c>
      <c r="AK1037" s="153">
        <v>0.5</v>
      </c>
      <c r="AL1037" s="154">
        <v>0</v>
      </c>
      <c r="AM1037" s="17">
        <f t="shared" si="79"/>
        <v>0.5</v>
      </c>
      <c r="AN1037" s="283" t="s">
        <v>265</v>
      </c>
      <c r="AO1037" s="18" t="s">
        <v>350</v>
      </c>
      <c r="AP1037" s="283" t="s">
        <v>3906</v>
      </c>
    </row>
    <row r="1038" spans="1:42" x14ac:dyDescent="0.3">
      <c r="A1038" s="314" t="s">
        <v>1448</v>
      </c>
      <c r="B1038" s="283" t="s">
        <v>3447</v>
      </c>
      <c r="C1038" s="314" t="s">
        <v>3744</v>
      </c>
      <c r="D1038" s="283" t="s">
        <v>3745</v>
      </c>
      <c r="E1038" s="314" t="s">
        <v>3746</v>
      </c>
      <c r="F1038" s="283" t="s">
        <v>3747</v>
      </c>
      <c r="G1038" s="314" t="s">
        <v>3897</v>
      </c>
      <c r="H1038" s="283" t="s">
        <v>3898</v>
      </c>
      <c r="K1038" s="314" t="s">
        <v>3899</v>
      </c>
      <c r="L1038" s="283" t="s">
        <v>3900</v>
      </c>
      <c r="M1038" s="283" t="s">
        <v>3909</v>
      </c>
      <c r="N1038" s="3">
        <v>0</v>
      </c>
      <c r="O1038" s="3">
        <v>4</v>
      </c>
      <c r="P1038" s="3">
        <v>4</v>
      </c>
      <c r="Q1038" s="3">
        <v>4</v>
      </c>
      <c r="R1038" s="3">
        <v>4</v>
      </c>
      <c r="S1038" s="3">
        <v>4</v>
      </c>
      <c r="T1038" s="283" t="s">
        <v>321</v>
      </c>
      <c r="U1038" s="283" t="s">
        <v>1066</v>
      </c>
      <c r="V1038" s="1" t="s">
        <v>3910</v>
      </c>
      <c r="W1038" s="1">
        <v>1</v>
      </c>
      <c r="X1038" s="1">
        <v>1</v>
      </c>
      <c r="Y1038" s="1">
        <v>0</v>
      </c>
      <c r="Z1038" s="1">
        <v>1</v>
      </c>
      <c r="AA1038" s="1">
        <v>1</v>
      </c>
      <c r="AB1038" s="1">
        <v>1</v>
      </c>
      <c r="AC1038" s="316">
        <v>0</v>
      </c>
      <c r="AD1038" s="316">
        <v>1</v>
      </c>
      <c r="AE1038" s="302">
        <f t="shared" si="78"/>
        <v>0.75</v>
      </c>
      <c r="AF1038" s="17"/>
      <c r="AG1038" s="17">
        <v>0</v>
      </c>
      <c r="AH1038" s="17">
        <v>0</v>
      </c>
      <c r="AI1038" s="310" t="s">
        <v>3911</v>
      </c>
      <c r="AJ1038" s="310">
        <v>0.35</v>
      </c>
      <c r="AK1038" s="317">
        <v>0.35</v>
      </c>
      <c r="AL1038" s="317">
        <v>0.35</v>
      </c>
      <c r="AM1038" s="17">
        <f t="shared" si="79"/>
        <v>0.7</v>
      </c>
      <c r="AN1038" s="283" t="s">
        <v>321</v>
      </c>
      <c r="AO1038" s="18" t="s">
        <v>1066</v>
      </c>
      <c r="AP1038" s="283" t="s">
        <v>3912</v>
      </c>
    </row>
    <row r="1039" spans="1:42" x14ac:dyDescent="0.3">
      <c r="A1039" s="314" t="s">
        <v>1448</v>
      </c>
      <c r="B1039" s="283" t="s">
        <v>3447</v>
      </c>
      <c r="C1039" s="314" t="s">
        <v>3744</v>
      </c>
      <c r="D1039" s="283" t="s">
        <v>3745</v>
      </c>
      <c r="E1039" s="314" t="s">
        <v>3746</v>
      </c>
      <c r="F1039" s="283" t="s">
        <v>3747</v>
      </c>
      <c r="G1039" s="314" t="s">
        <v>3897</v>
      </c>
      <c r="H1039" s="283" t="s">
        <v>3898</v>
      </c>
      <c r="K1039" s="314" t="s">
        <v>3913</v>
      </c>
      <c r="L1039" s="283" t="s">
        <v>3914</v>
      </c>
      <c r="M1039" s="283" t="s">
        <v>3915</v>
      </c>
      <c r="N1039" s="3" t="s">
        <v>271</v>
      </c>
      <c r="O1039" s="3">
        <v>10</v>
      </c>
      <c r="P1039" s="3">
        <v>30</v>
      </c>
      <c r="Q1039" s="3">
        <v>50</v>
      </c>
      <c r="R1039" s="3">
        <v>75</v>
      </c>
      <c r="S1039" s="3">
        <v>100</v>
      </c>
      <c r="T1039" s="283" t="s">
        <v>321</v>
      </c>
      <c r="U1039" s="283" t="s">
        <v>1066</v>
      </c>
      <c r="V1039" s="1" t="s">
        <v>3916</v>
      </c>
      <c r="W1039" s="1">
        <v>1</v>
      </c>
      <c r="X1039" s="1">
        <v>1</v>
      </c>
      <c r="Y1039" s="1">
        <v>0</v>
      </c>
      <c r="Z1039" s="1">
        <v>1</v>
      </c>
      <c r="AA1039" s="1">
        <v>1</v>
      </c>
      <c r="AB1039" s="1">
        <v>1</v>
      </c>
      <c r="AC1039" s="316">
        <v>0</v>
      </c>
      <c r="AD1039" s="316">
        <v>1</v>
      </c>
      <c r="AE1039" s="302">
        <f t="shared" si="78"/>
        <v>0.75</v>
      </c>
      <c r="AF1039" s="310"/>
      <c r="AG1039" s="17">
        <v>0</v>
      </c>
      <c r="AH1039" s="310">
        <v>1</v>
      </c>
      <c r="AI1039" s="310">
        <v>1</v>
      </c>
      <c r="AJ1039" s="310">
        <v>1</v>
      </c>
      <c r="AK1039" s="317">
        <v>1</v>
      </c>
      <c r="AL1039" s="317">
        <v>1</v>
      </c>
      <c r="AM1039" s="17">
        <f t="shared" si="79"/>
        <v>2</v>
      </c>
      <c r="AN1039" s="283" t="s">
        <v>321</v>
      </c>
      <c r="AO1039" s="18" t="s">
        <v>1066</v>
      </c>
      <c r="AP1039" s="283" t="s">
        <v>3917</v>
      </c>
    </row>
    <row r="1040" spans="1:42" x14ac:dyDescent="0.3">
      <c r="A1040" s="314" t="s">
        <v>1448</v>
      </c>
      <c r="B1040" s="283" t="s">
        <v>3447</v>
      </c>
      <c r="C1040" s="314" t="s">
        <v>3744</v>
      </c>
      <c r="D1040" s="283" t="s">
        <v>3745</v>
      </c>
      <c r="E1040" s="314" t="s">
        <v>3746</v>
      </c>
      <c r="F1040" s="283" t="s">
        <v>3747</v>
      </c>
      <c r="G1040" s="314" t="s">
        <v>3897</v>
      </c>
      <c r="H1040" s="283" t="s">
        <v>3898</v>
      </c>
      <c r="K1040" s="314" t="s">
        <v>3913</v>
      </c>
      <c r="L1040" s="283" t="s">
        <v>3914</v>
      </c>
      <c r="M1040" s="283" t="s">
        <v>3918</v>
      </c>
      <c r="N1040" s="3" t="s">
        <v>271</v>
      </c>
      <c r="O1040" s="3">
        <v>0</v>
      </c>
      <c r="P1040" s="3">
        <v>2</v>
      </c>
      <c r="Q1040" s="3">
        <v>4</v>
      </c>
      <c r="R1040" s="3">
        <v>5</v>
      </c>
      <c r="S1040" s="3">
        <v>6</v>
      </c>
      <c r="T1040" s="283" t="s">
        <v>321</v>
      </c>
      <c r="U1040" s="283" t="s">
        <v>1066</v>
      </c>
      <c r="V1040" s="1" t="s">
        <v>3919</v>
      </c>
      <c r="W1040" s="1">
        <v>1</v>
      </c>
      <c r="X1040" s="1">
        <v>1</v>
      </c>
      <c r="Y1040" s="1">
        <v>0</v>
      </c>
      <c r="Z1040" s="1">
        <v>1</v>
      </c>
      <c r="AA1040" s="1">
        <v>1</v>
      </c>
      <c r="AB1040" s="1">
        <v>1</v>
      </c>
      <c r="AC1040" s="316">
        <v>0</v>
      </c>
      <c r="AD1040" s="316">
        <v>1</v>
      </c>
      <c r="AE1040" s="302">
        <f t="shared" si="78"/>
        <v>0.75</v>
      </c>
      <c r="AF1040" s="17"/>
      <c r="AG1040" s="17">
        <v>0</v>
      </c>
      <c r="AH1040" s="17">
        <v>0</v>
      </c>
      <c r="AI1040" s="310">
        <v>10</v>
      </c>
      <c r="AJ1040" s="310">
        <v>10</v>
      </c>
      <c r="AK1040" s="317">
        <v>10</v>
      </c>
      <c r="AL1040" s="317">
        <v>10</v>
      </c>
      <c r="AM1040" s="17">
        <f t="shared" si="79"/>
        <v>20</v>
      </c>
      <c r="AN1040" s="283" t="s">
        <v>321</v>
      </c>
      <c r="AO1040" s="18" t="s">
        <v>1066</v>
      </c>
      <c r="AP1040" s="283" t="s">
        <v>3920</v>
      </c>
    </row>
    <row r="1041" spans="1:42" x14ac:dyDescent="0.3">
      <c r="A1041" s="314" t="s">
        <v>1448</v>
      </c>
      <c r="B1041" s="283" t="s">
        <v>3447</v>
      </c>
      <c r="C1041" s="314" t="s">
        <v>3744</v>
      </c>
      <c r="D1041" s="283" t="s">
        <v>3745</v>
      </c>
      <c r="E1041" s="314" t="s">
        <v>3746</v>
      </c>
      <c r="F1041" s="283" t="s">
        <v>3747</v>
      </c>
      <c r="G1041" s="318" t="s">
        <v>3921</v>
      </c>
      <c r="H1041" s="283" t="s">
        <v>3922</v>
      </c>
      <c r="K1041" s="318" t="s">
        <v>3923</v>
      </c>
      <c r="L1041" s="283" t="s">
        <v>3924</v>
      </c>
      <c r="M1041" s="283" t="s">
        <v>3925</v>
      </c>
      <c r="N1041" s="3" t="s">
        <v>271</v>
      </c>
      <c r="O1041" s="3" t="s">
        <v>271</v>
      </c>
      <c r="P1041" s="3" t="s">
        <v>3532</v>
      </c>
      <c r="Q1041" s="3" t="s">
        <v>3782</v>
      </c>
      <c r="R1041" s="3" t="s">
        <v>3926</v>
      </c>
      <c r="S1041" s="3" t="s">
        <v>3926</v>
      </c>
      <c r="T1041" s="283" t="s">
        <v>265</v>
      </c>
      <c r="U1041" s="283" t="s">
        <v>350</v>
      </c>
      <c r="V1041" s="1" t="s">
        <v>3927</v>
      </c>
      <c r="W1041" s="1">
        <v>1</v>
      </c>
      <c r="X1041" s="1">
        <v>1</v>
      </c>
      <c r="Y1041" s="1">
        <v>1</v>
      </c>
      <c r="Z1041" s="1">
        <v>1</v>
      </c>
      <c r="AA1041" s="1">
        <v>1</v>
      </c>
      <c r="AB1041" s="1">
        <v>1</v>
      </c>
      <c r="AC1041" s="316">
        <v>1</v>
      </c>
      <c r="AD1041" s="316">
        <v>1</v>
      </c>
      <c r="AE1041" s="302">
        <f t="shared" si="78"/>
        <v>1</v>
      </c>
      <c r="AF1041" s="17"/>
      <c r="AG1041" s="17">
        <v>0</v>
      </c>
      <c r="AH1041" s="17">
        <v>0</v>
      </c>
      <c r="AI1041" s="310">
        <v>0</v>
      </c>
      <c r="AJ1041" s="17">
        <v>0</v>
      </c>
      <c r="AK1041" s="153">
        <v>0</v>
      </c>
      <c r="AL1041" s="154">
        <v>0</v>
      </c>
      <c r="AM1041" s="17">
        <f t="shared" si="79"/>
        <v>0</v>
      </c>
      <c r="AN1041" s="283" t="s">
        <v>265</v>
      </c>
      <c r="AO1041" s="18" t="s">
        <v>350</v>
      </c>
      <c r="AP1041" s="283" t="s">
        <v>921</v>
      </c>
    </row>
    <row r="1042" spans="1:42" x14ac:dyDescent="0.3">
      <c r="A1042" s="314" t="s">
        <v>1448</v>
      </c>
      <c r="B1042" s="283" t="s">
        <v>3447</v>
      </c>
      <c r="C1042" s="314" t="s">
        <v>3744</v>
      </c>
      <c r="D1042" s="283" t="s">
        <v>3745</v>
      </c>
      <c r="E1042" s="314" t="s">
        <v>3746</v>
      </c>
      <c r="F1042" s="283" t="s">
        <v>3747</v>
      </c>
      <c r="G1042" s="318" t="s">
        <v>3921</v>
      </c>
      <c r="H1042" s="283" t="s">
        <v>3922</v>
      </c>
      <c r="K1042" s="318" t="s">
        <v>3923</v>
      </c>
      <c r="L1042" s="283" t="s">
        <v>3924</v>
      </c>
      <c r="M1042" s="283" t="s">
        <v>3928</v>
      </c>
      <c r="N1042" s="3" t="s">
        <v>271</v>
      </c>
      <c r="O1042" s="3">
        <v>0</v>
      </c>
      <c r="P1042" s="3" t="s">
        <v>3926</v>
      </c>
      <c r="Q1042" s="3" t="s">
        <v>3565</v>
      </c>
      <c r="R1042" s="3" t="s">
        <v>3548</v>
      </c>
      <c r="S1042" s="3" t="s">
        <v>3548</v>
      </c>
      <c r="T1042" s="283" t="s">
        <v>265</v>
      </c>
      <c r="U1042" s="283" t="s">
        <v>350</v>
      </c>
      <c r="V1042" s="1" t="s">
        <v>3929</v>
      </c>
      <c r="W1042" s="1">
        <v>1</v>
      </c>
      <c r="X1042" s="1">
        <v>1</v>
      </c>
      <c r="Y1042" s="1">
        <v>1</v>
      </c>
      <c r="Z1042" s="1">
        <v>1</v>
      </c>
      <c r="AA1042" s="1">
        <v>1</v>
      </c>
      <c r="AB1042" s="1">
        <v>1</v>
      </c>
      <c r="AC1042" s="316">
        <v>1</v>
      </c>
      <c r="AD1042" s="316">
        <v>1</v>
      </c>
      <c r="AE1042" s="302">
        <f t="shared" si="78"/>
        <v>1</v>
      </c>
      <c r="AF1042" s="17"/>
      <c r="AG1042" s="17">
        <v>0</v>
      </c>
      <c r="AH1042" s="17">
        <v>0</v>
      </c>
      <c r="AI1042" s="17">
        <v>0</v>
      </c>
      <c r="AJ1042" s="310">
        <v>0</v>
      </c>
      <c r="AK1042" s="317">
        <v>0</v>
      </c>
      <c r="AL1042" s="317">
        <v>0</v>
      </c>
      <c r="AM1042" s="17">
        <f t="shared" si="79"/>
        <v>0</v>
      </c>
      <c r="AN1042" s="283" t="s">
        <v>265</v>
      </c>
      <c r="AO1042" s="18" t="s">
        <v>350</v>
      </c>
      <c r="AP1042" s="283" t="s">
        <v>3930</v>
      </c>
    </row>
    <row r="1043" spans="1:42" x14ac:dyDescent="0.3">
      <c r="A1043" s="314" t="s">
        <v>1448</v>
      </c>
      <c r="B1043" s="283" t="s">
        <v>3447</v>
      </c>
      <c r="C1043" s="314" t="s">
        <v>3744</v>
      </c>
      <c r="D1043" s="283" t="s">
        <v>3745</v>
      </c>
      <c r="E1043" s="314" t="s">
        <v>3746</v>
      </c>
      <c r="F1043" s="283" t="s">
        <v>3747</v>
      </c>
      <c r="G1043" s="318" t="s">
        <v>3921</v>
      </c>
      <c r="H1043" s="283" t="s">
        <v>3922</v>
      </c>
      <c r="K1043" s="318" t="s">
        <v>3923</v>
      </c>
      <c r="L1043" s="283" t="s">
        <v>3924</v>
      </c>
      <c r="M1043" s="283" t="s">
        <v>3931</v>
      </c>
      <c r="N1043" s="3" t="s">
        <v>271</v>
      </c>
      <c r="O1043" s="3" t="s">
        <v>271</v>
      </c>
      <c r="P1043" s="3" t="s">
        <v>3560</v>
      </c>
      <c r="Q1043" s="3" t="s">
        <v>3932</v>
      </c>
      <c r="R1043" s="3" t="s">
        <v>3932</v>
      </c>
      <c r="S1043" s="3" t="s">
        <v>3932</v>
      </c>
      <c r="T1043" s="283" t="s">
        <v>265</v>
      </c>
      <c r="U1043" s="283" t="s">
        <v>350</v>
      </c>
      <c r="V1043" s="1" t="s">
        <v>3933</v>
      </c>
      <c r="W1043" s="1">
        <v>1</v>
      </c>
      <c r="X1043" s="1">
        <v>1</v>
      </c>
      <c r="Y1043" s="1">
        <v>1</v>
      </c>
      <c r="Z1043" s="1">
        <v>1</v>
      </c>
      <c r="AA1043" s="1">
        <v>1</v>
      </c>
      <c r="AB1043" s="1">
        <v>1</v>
      </c>
      <c r="AC1043" s="316">
        <v>1</v>
      </c>
      <c r="AD1043" s="316">
        <v>1</v>
      </c>
      <c r="AE1043" s="302">
        <f t="shared" si="78"/>
        <v>1</v>
      </c>
      <c r="AF1043" s="17"/>
      <c r="AG1043" s="17">
        <v>0</v>
      </c>
      <c r="AH1043" s="17">
        <v>0</v>
      </c>
      <c r="AI1043" s="310">
        <v>0</v>
      </c>
      <c r="AJ1043" s="310">
        <v>0</v>
      </c>
      <c r="AK1043" s="317">
        <v>0</v>
      </c>
      <c r="AL1043" s="317">
        <v>0</v>
      </c>
      <c r="AM1043" s="17">
        <f t="shared" si="79"/>
        <v>0</v>
      </c>
      <c r="AN1043" s="283" t="s">
        <v>265</v>
      </c>
      <c r="AO1043" s="18" t="s">
        <v>350</v>
      </c>
      <c r="AP1043" s="283" t="s">
        <v>119</v>
      </c>
    </row>
    <row r="1044" spans="1:42" x14ac:dyDescent="0.3">
      <c r="A1044" s="314" t="s">
        <v>1448</v>
      </c>
      <c r="B1044" s="283" t="s">
        <v>3447</v>
      </c>
      <c r="C1044" s="314" t="s">
        <v>3934</v>
      </c>
      <c r="D1044" s="283" t="s">
        <v>2439</v>
      </c>
      <c r="E1044" s="314" t="s">
        <v>3935</v>
      </c>
      <c r="F1044" s="283" t="s">
        <v>3936</v>
      </c>
      <c r="G1044" s="314" t="s">
        <v>3937</v>
      </c>
      <c r="H1044" s="283" t="s">
        <v>3938</v>
      </c>
      <c r="K1044" s="314" t="s">
        <v>3939</v>
      </c>
      <c r="L1044" s="347" t="s">
        <v>3940</v>
      </c>
      <c r="M1044" s="283" t="s">
        <v>3940</v>
      </c>
      <c r="N1044" s="3">
        <v>0</v>
      </c>
      <c r="O1044" s="3">
        <v>1</v>
      </c>
      <c r="P1044" s="3" t="s">
        <v>271</v>
      </c>
      <c r="Q1044" s="3" t="s">
        <v>271</v>
      </c>
      <c r="R1044" s="3" t="s">
        <v>271</v>
      </c>
      <c r="S1044" s="3" t="s">
        <v>271</v>
      </c>
      <c r="T1044" s="283" t="s">
        <v>265</v>
      </c>
      <c r="U1044" s="283" t="s">
        <v>350</v>
      </c>
      <c r="V1044" s="1" t="s">
        <v>3941</v>
      </c>
      <c r="W1044" s="1">
        <v>1</v>
      </c>
      <c r="X1044" s="1">
        <v>1</v>
      </c>
      <c r="Y1044" s="1">
        <v>1</v>
      </c>
      <c r="Z1044" s="1">
        <v>1</v>
      </c>
      <c r="AA1044" s="1">
        <v>1</v>
      </c>
      <c r="AB1044" s="1">
        <v>1</v>
      </c>
      <c r="AC1044" s="316">
        <v>1</v>
      </c>
      <c r="AD1044" s="316">
        <v>1</v>
      </c>
      <c r="AE1044" s="302">
        <f t="shared" si="78"/>
        <v>1</v>
      </c>
      <c r="AF1044" s="17"/>
      <c r="AG1044" s="17">
        <v>0</v>
      </c>
      <c r="AH1044" s="17">
        <v>0</v>
      </c>
      <c r="AI1044" s="310">
        <v>0</v>
      </c>
      <c r="AJ1044" s="310">
        <v>0</v>
      </c>
      <c r="AK1044" s="317">
        <v>0.1</v>
      </c>
      <c r="AL1044" s="317">
        <v>0</v>
      </c>
      <c r="AM1044" s="17">
        <f t="shared" si="79"/>
        <v>0.1</v>
      </c>
      <c r="AN1044" s="283" t="s">
        <v>265</v>
      </c>
      <c r="AO1044" s="18" t="s">
        <v>350</v>
      </c>
      <c r="AP1044" s="283" t="s">
        <v>119</v>
      </c>
    </row>
    <row r="1045" spans="1:42" x14ac:dyDescent="0.3">
      <c r="A1045" s="314" t="s">
        <v>1448</v>
      </c>
      <c r="B1045" s="283" t="s">
        <v>3447</v>
      </c>
      <c r="C1045" s="314" t="s">
        <v>3934</v>
      </c>
      <c r="D1045" s="283" t="s">
        <v>2439</v>
      </c>
      <c r="E1045" s="314" t="s">
        <v>3935</v>
      </c>
      <c r="F1045" s="283" t="s">
        <v>3936</v>
      </c>
      <c r="G1045" s="314" t="s">
        <v>3937</v>
      </c>
      <c r="H1045" s="283" t="s">
        <v>3938</v>
      </c>
      <c r="K1045" s="314" t="s">
        <v>3939</v>
      </c>
      <c r="L1045" s="347" t="s">
        <v>3940</v>
      </c>
      <c r="M1045" s="283" t="s">
        <v>3942</v>
      </c>
      <c r="N1045" s="3"/>
      <c r="O1045" s="211"/>
      <c r="P1045" s="211"/>
      <c r="Q1045" s="211">
        <v>10</v>
      </c>
      <c r="R1045" s="211">
        <v>15</v>
      </c>
      <c r="S1045" s="211">
        <v>20</v>
      </c>
      <c r="T1045" s="283" t="s">
        <v>265</v>
      </c>
      <c r="U1045" s="283" t="s">
        <v>350</v>
      </c>
      <c r="V1045" s="1" t="s">
        <v>3943</v>
      </c>
      <c r="W1045" s="1">
        <v>1</v>
      </c>
      <c r="X1045" s="1">
        <v>1</v>
      </c>
      <c r="Y1045" s="1">
        <v>1</v>
      </c>
      <c r="Z1045" s="1">
        <v>1</v>
      </c>
      <c r="AA1045" s="1">
        <v>1</v>
      </c>
      <c r="AB1045" s="1">
        <v>1</v>
      </c>
      <c r="AC1045" s="316">
        <v>1</v>
      </c>
      <c r="AD1045" s="316">
        <v>1</v>
      </c>
      <c r="AE1045" s="302">
        <f t="shared" si="78"/>
        <v>1</v>
      </c>
      <c r="AF1045" s="17"/>
      <c r="AG1045" s="17">
        <v>0</v>
      </c>
      <c r="AH1045" s="17">
        <v>0</v>
      </c>
      <c r="AI1045" s="310">
        <v>0</v>
      </c>
      <c r="AJ1045" s="310">
        <v>0</v>
      </c>
      <c r="AK1045" s="317">
        <v>0.1</v>
      </c>
      <c r="AL1045" s="317">
        <v>0</v>
      </c>
      <c r="AM1045" s="17">
        <f t="shared" si="79"/>
        <v>0.1</v>
      </c>
      <c r="AN1045" s="283" t="s">
        <v>265</v>
      </c>
      <c r="AO1045" s="18" t="s">
        <v>350</v>
      </c>
      <c r="AP1045" s="283" t="s">
        <v>119</v>
      </c>
    </row>
    <row r="1046" spans="1:42" x14ac:dyDescent="0.3">
      <c r="A1046" s="314" t="s">
        <v>1448</v>
      </c>
      <c r="B1046" s="283" t="s">
        <v>3447</v>
      </c>
      <c r="C1046" s="314" t="s">
        <v>3934</v>
      </c>
      <c r="D1046" s="283" t="s">
        <v>2439</v>
      </c>
      <c r="E1046" s="314" t="s">
        <v>3935</v>
      </c>
      <c r="F1046" s="283" t="s">
        <v>3936</v>
      </c>
      <c r="G1046" s="314" t="s">
        <v>3937</v>
      </c>
      <c r="H1046" s="283" t="s">
        <v>3938</v>
      </c>
      <c r="K1046" s="314" t="s">
        <v>3939</v>
      </c>
      <c r="L1046" s="347" t="s">
        <v>3940</v>
      </c>
      <c r="M1046" s="283" t="s">
        <v>3944</v>
      </c>
      <c r="N1046" s="3"/>
      <c r="R1046" s="3">
        <v>50</v>
      </c>
      <c r="S1046" s="3">
        <v>100</v>
      </c>
      <c r="T1046" s="283" t="s">
        <v>265</v>
      </c>
      <c r="U1046" s="283" t="s">
        <v>350</v>
      </c>
      <c r="V1046" s="1" t="s">
        <v>3945</v>
      </c>
      <c r="W1046" s="1">
        <v>1</v>
      </c>
      <c r="X1046" s="1">
        <v>1</v>
      </c>
      <c r="Y1046" s="1">
        <v>1</v>
      </c>
      <c r="Z1046" s="1">
        <v>1</v>
      </c>
      <c r="AA1046" s="1">
        <v>1</v>
      </c>
      <c r="AB1046" s="1">
        <v>1</v>
      </c>
      <c r="AC1046" s="316">
        <v>1</v>
      </c>
      <c r="AD1046" s="316">
        <v>1</v>
      </c>
      <c r="AE1046" s="302">
        <f t="shared" si="78"/>
        <v>1</v>
      </c>
      <c r="AF1046" s="17"/>
      <c r="AG1046" s="17">
        <v>0</v>
      </c>
      <c r="AH1046" s="17">
        <v>0</v>
      </c>
      <c r="AI1046" s="310" t="s">
        <v>3946</v>
      </c>
      <c r="AJ1046" s="310">
        <v>0</v>
      </c>
      <c r="AK1046" s="317">
        <v>0.1</v>
      </c>
      <c r="AL1046" s="317">
        <v>0</v>
      </c>
      <c r="AM1046" s="17">
        <f t="shared" si="79"/>
        <v>0.1</v>
      </c>
      <c r="AN1046" s="283" t="s">
        <v>265</v>
      </c>
      <c r="AO1046" s="18" t="s">
        <v>350</v>
      </c>
      <c r="AP1046" s="283" t="s">
        <v>119</v>
      </c>
    </row>
    <row r="1047" spans="1:42" x14ac:dyDescent="0.3">
      <c r="A1047" s="314" t="s">
        <v>1448</v>
      </c>
      <c r="B1047" s="283" t="s">
        <v>3447</v>
      </c>
      <c r="C1047" s="314" t="s">
        <v>3934</v>
      </c>
      <c r="D1047" s="283" t="s">
        <v>2439</v>
      </c>
      <c r="E1047" s="314" t="s">
        <v>3935</v>
      </c>
      <c r="F1047" s="283" t="s">
        <v>3936</v>
      </c>
      <c r="G1047" s="314" t="s">
        <v>3937</v>
      </c>
      <c r="H1047" s="283" t="s">
        <v>3938</v>
      </c>
      <c r="K1047" s="314" t="s">
        <v>3939</v>
      </c>
      <c r="L1047" s="347" t="s">
        <v>3940</v>
      </c>
      <c r="M1047" s="283" t="s">
        <v>3947</v>
      </c>
      <c r="N1047" s="3"/>
      <c r="O1047" s="211">
        <v>5</v>
      </c>
      <c r="P1047" s="211">
        <v>10</v>
      </c>
      <c r="T1047" s="283" t="s">
        <v>265</v>
      </c>
      <c r="U1047" s="283" t="s">
        <v>350</v>
      </c>
      <c r="V1047" s="1" t="s">
        <v>3948</v>
      </c>
      <c r="W1047" s="1">
        <v>1</v>
      </c>
      <c r="X1047" s="1">
        <v>1</v>
      </c>
      <c r="Y1047" s="1">
        <v>1</v>
      </c>
      <c r="Z1047" s="1">
        <v>1</v>
      </c>
      <c r="AA1047" s="1">
        <v>1</v>
      </c>
      <c r="AB1047" s="1">
        <v>1</v>
      </c>
      <c r="AC1047" s="316">
        <v>1</v>
      </c>
      <c r="AD1047" s="316">
        <v>1</v>
      </c>
      <c r="AE1047" s="302">
        <f t="shared" si="78"/>
        <v>1</v>
      </c>
      <c r="AF1047" s="310"/>
      <c r="AG1047" s="17">
        <v>0</v>
      </c>
      <c r="AH1047" s="310">
        <v>0</v>
      </c>
      <c r="AI1047" s="310">
        <v>1</v>
      </c>
      <c r="AJ1047" s="310">
        <v>1</v>
      </c>
      <c r="AK1047" s="153">
        <v>1.5</v>
      </c>
      <c r="AL1047" s="154">
        <v>1.5</v>
      </c>
      <c r="AM1047" s="17">
        <f t="shared" si="79"/>
        <v>3</v>
      </c>
      <c r="AN1047" s="283" t="s">
        <v>265</v>
      </c>
      <c r="AO1047" s="18" t="s">
        <v>350</v>
      </c>
      <c r="AP1047" s="283" t="s">
        <v>3949</v>
      </c>
    </row>
    <row r="1048" spans="1:42" x14ac:dyDescent="0.3">
      <c r="A1048" s="314" t="s">
        <v>1448</v>
      </c>
      <c r="B1048" s="283" t="s">
        <v>3447</v>
      </c>
      <c r="C1048" s="314" t="s">
        <v>3934</v>
      </c>
      <c r="D1048" s="283" t="s">
        <v>2439</v>
      </c>
      <c r="E1048" s="314" t="s">
        <v>3935</v>
      </c>
      <c r="F1048" s="283" t="s">
        <v>3936</v>
      </c>
      <c r="G1048" s="314" t="s">
        <v>3937</v>
      </c>
      <c r="H1048" s="283" t="s">
        <v>3938</v>
      </c>
      <c r="K1048" s="314" t="s">
        <v>3939</v>
      </c>
      <c r="L1048" s="347" t="s">
        <v>3940</v>
      </c>
      <c r="M1048" s="283" t="s">
        <v>3950</v>
      </c>
      <c r="N1048" s="3">
        <v>0</v>
      </c>
      <c r="O1048" s="3">
        <v>1</v>
      </c>
      <c r="P1048" s="3">
        <v>1</v>
      </c>
      <c r="Q1048" s="3">
        <v>1</v>
      </c>
      <c r="R1048" s="3">
        <v>1</v>
      </c>
      <c r="S1048" s="3">
        <v>1</v>
      </c>
      <c r="T1048" s="283" t="s">
        <v>265</v>
      </c>
      <c r="U1048" s="283" t="s">
        <v>350</v>
      </c>
      <c r="V1048" s="1" t="s">
        <v>3951</v>
      </c>
      <c r="W1048" s="1">
        <v>1</v>
      </c>
      <c r="X1048" s="1">
        <v>1</v>
      </c>
      <c r="Y1048" s="1">
        <v>1</v>
      </c>
      <c r="Z1048" s="1">
        <v>1</v>
      </c>
      <c r="AA1048" s="1">
        <v>1</v>
      </c>
      <c r="AB1048" s="1">
        <v>1</v>
      </c>
      <c r="AC1048" s="316">
        <v>1</v>
      </c>
      <c r="AD1048" s="316">
        <v>1</v>
      </c>
      <c r="AE1048" s="302">
        <f t="shared" si="78"/>
        <v>1</v>
      </c>
      <c r="AF1048" s="310"/>
      <c r="AG1048" s="17">
        <v>0</v>
      </c>
      <c r="AH1048" s="310">
        <v>0</v>
      </c>
      <c r="AI1048" s="310">
        <v>0</v>
      </c>
      <c r="AJ1048" s="310">
        <v>0</v>
      </c>
      <c r="AK1048" s="317">
        <v>1</v>
      </c>
      <c r="AL1048" s="317">
        <v>0</v>
      </c>
      <c r="AM1048" s="17">
        <f t="shared" si="79"/>
        <v>1</v>
      </c>
      <c r="AN1048" s="283" t="s">
        <v>265</v>
      </c>
      <c r="AO1048" s="18" t="s">
        <v>350</v>
      </c>
      <c r="AP1048" s="283" t="s">
        <v>869</v>
      </c>
    </row>
    <row r="1049" spans="1:42" x14ac:dyDescent="0.3">
      <c r="A1049" s="314" t="s">
        <v>1448</v>
      </c>
      <c r="B1049" s="283" t="s">
        <v>3447</v>
      </c>
      <c r="C1049" s="314" t="s">
        <v>3934</v>
      </c>
      <c r="D1049" s="283" t="s">
        <v>2439</v>
      </c>
      <c r="E1049" s="314" t="s">
        <v>3935</v>
      </c>
      <c r="F1049" s="283" t="s">
        <v>3936</v>
      </c>
      <c r="G1049" s="314" t="s">
        <v>3937</v>
      </c>
      <c r="H1049" s="283" t="s">
        <v>3938</v>
      </c>
      <c r="K1049" s="314" t="s">
        <v>3939</v>
      </c>
      <c r="L1049" s="347" t="s">
        <v>3940</v>
      </c>
      <c r="M1049" s="347" t="s">
        <v>3952</v>
      </c>
      <c r="N1049" s="3"/>
      <c r="O1049" s="211">
        <v>1</v>
      </c>
      <c r="P1049" s="211">
        <v>5</v>
      </c>
      <c r="Q1049" s="211">
        <v>20</v>
      </c>
      <c r="R1049" s="211">
        <v>30</v>
      </c>
      <c r="S1049" s="211">
        <v>40</v>
      </c>
      <c r="T1049" s="283" t="s">
        <v>265</v>
      </c>
      <c r="U1049" s="283" t="s">
        <v>350</v>
      </c>
      <c r="V1049" s="1" t="s">
        <v>3953</v>
      </c>
      <c r="W1049" s="1">
        <v>1</v>
      </c>
      <c r="X1049" s="1">
        <v>1</v>
      </c>
      <c r="Y1049" s="1">
        <v>1</v>
      </c>
      <c r="Z1049" s="1">
        <v>1</v>
      </c>
      <c r="AA1049" s="1">
        <v>1</v>
      </c>
      <c r="AB1049" s="1">
        <v>0</v>
      </c>
      <c r="AC1049" s="316">
        <v>1</v>
      </c>
      <c r="AD1049" s="316">
        <v>1</v>
      </c>
      <c r="AE1049" s="302">
        <f t="shared" si="78"/>
        <v>0.875</v>
      </c>
      <c r="AF1049" s="310"/>
      <c r="AG1049" s="17">
        <v>0</v>
      </c>
      <c r="AH1049" s="310">
        <v>0.01</v>
      </c>
      <c r="AI1049" s="310">
        <v>0.15</v>
      </c>
      <c r="AJ1049" s="310">
        <v>0.52</v>
      </c>
      <c r="AK1049" s="317">
        <v>0.83</v>
      </c>
      <c r="AL1049" s="317">
        <v>0.94</v>
      </c>
      <c r="AM1049" s="17">
        <f t="shared" si="79"/>
        <v>1.77</v>
      </c>
      <c r="AN1049" s="283" t="s">
        <v>265</v>
      </c>
      <c r="AO1049" s="18" t="s">
        <v>350</v>
      </c>
      <c r="AP1049" s="283" t="s">
        <v>3954</v>
      </c>
    </row>
    <row r="1050" spans="1:42" x14ac:dyDescent="0.3">
      <c r="A1050" s="314" t="s">
        <v>1448</v>
      </c>
      <c r="B1050" s="283" t="s">
        <v>3447</v>
      </c>
      <c r="C1050" s="314" t="s">
        <v>3934</v>
      </c>
      <c r="D1050" s="283" t="s">
        <v>2439</v>
      </c>
      <c r="E1050" s="314" t="s">
        <v>3935</v>
      </c>
      <c r="F1050" s="283" t="s">
        <v>3936</v>
      </c>
      <c r="G1050" s="314" t="s">
        <v>3937</v>
      </c>
      <c r="H1050" s="283" t="s">
        <v>3938</v>
      </c>
      <c r="K1050" s="314" t="s">
        <v>3939</v>
      </c>
      <c r="L1050" s="347" t="s">
        <v>3940</v>
      </c>
      <c r="M1050" s="283" t="s">
        <v>3955</v>
      </c>
      <c r="N1050" s="3"/>
      <c r="O1050" s="3">
        <v>75</v>
      </c>
      <c r="P1050" s="3">
        <v>75</v>
      </c>
      <c r="Q1050" s="3">
        <v>75</v>
      </c>
      <c r="R1050" s="3">
        <v>75</v>
      </c>
      <c r="S1050" s="3">
        <v>75</v>
      </c>
      <c r="T1050" s="283" t="s">
        <v>1446</v>
      </c>
      <c r="U1050" s="283" t="s">
        <v>3715</v>
      </c>
      <c r="V1050" s="1" t="s">
        <v>3956</v>
      </c>
      <c r="W1050" s="1">
        <v>1</v>
      </c>
      <c r="X1050" s="1">
        <v>1</v>
      </c>
      <c r="Y1050" s="1">
        <v>0</v>
      </c>
      <c r="Z1050" s="1">
        <v>1</v>
      </c>
      <c r="AA1050" s="1">
        <v>1</v>
      </c>
      <c r="AB1050" s="1">
        <v>1</v>
      </c>
      <c r="AC1050" s="316">
        <v>0</v>
      </c>
      <c r="AD1050" s="316">
        <v>1</v>
      </c>
      <c r="AE1050" s="302">
        <f t="shared" si="78"/>
        <v>0.75</v>
      </c>
      <c r="AF1050" s="17"/>
      <c r="AG1050" s="17">
        <v>0</v>
      </c>
      <c r="AH1050" s="17">
        <v>0</v>
      </c>
      <c r="AI1050" s="310">
        <v>0.2</v>
      </c>
      <c r="AJ1050" s="310">
        <v>0.2</v>
      </c>
      <c r="AK1050" s="317">
        <v>0.2</v>
      </c>
      <c r="AL1050" s="317">
        <v>0.2</v>
      </c>
      <c r="AM1050" s="17">
        <f t="shared" si="79"/>
        <v>0.4</v>
      </c>
      <c r="AN1050" s="283" t="s">
        <v>1446</v>
      </c>
      <c r="AO1050" s="18" t="s">
        <v>3715</v>
      </c>
      <c r="AP1050" s="283" t="s">
        <v>3957</v>
      </c>
    </row>
    <row r="1051" spans="1:42" x14ac:dyDescent="0.3">
      <c r="A1051" s="314" t="s">
        <v>1448</v>
      </c>
      <c r="B1051" s="283" t="s">
        <v>3447</v>
      </c>
      <c r="C1051" s="314" t="s">
        <v>3934</v>
      </c>
      <c r="D1051" s="283" t="s">
        <v>2439</v>
      </c>
      <c r="E1051" s="314" t="s">
        <v>3935</v>
      </c>
      <c r="F1051" s="283" t="s">
        <v>3936</v>
      </c>
      <c r="G1051" s="314" t="s">
        <v>3958</v>
      </c>
      <c r="H1051" s="283" t="s">
        <v>3959</v>
      </c>
      <c r="K1051" s="314" t="s">
        <v>3960</v>
      </c>
      <c r="L1051" s="283" t="s">
        <v>3961</v>
      </c>
      <c r="M1051" s="283" t="s">
        <v>3962</v>
      </c>
      <c r="N1051" s="3">
        <v>0</v>
      </c>
      <c r="O1051" s="3">
        <v>1</v>
      </c>
      <c r="P1051" s="3">
        <v>1</v>
      </c>
      <c r="Q1051" s="3">
        <v>1</v>
      </c>
      <c r="T1051" s="283" t="s">
        <v>265</v>
      </c>
      <c r="U1051" s="283" t="s">
        <v>350</v>
      </c>
      <c r="V1051" s="1" t="s">
        <v>3963</v>
      </c>
      <c r="W1051" s="1">
        <v>1</v>
      </c>
      <c r="X1051" s="1">
        <v>1</v>
      </c>
      <c r="Y1051" s="1">
        <v>0</v>
      </c>
      <c r="Z1051" s="1">
        <v>0</v>
      </c>
      <c r="AA1051" s="1">
        <v>1</v>
      </c>
      <c r="AB1051" s="1">
        <v>1</v>
      </c>
      <c r="AC1051" s="316">
        <v>1</v>
      </c>
      <c r="AD1051" s="316">
        <v>1</v>
      </c>
      <c r="AE1051" s="302">
        <f t="shared" si="78"/>
        <v>0.75</v>
      </c>
      <c r="AF1051" s="310"/>
      <c r="AG1051" s="17">
        <v>0</v>
      </c>
      <c r="AH1051" s="310">
        <v>0.5</v>
      </c>
      <c r="AI1051" s="310">
        <v>0.5</v>
      </c>
      <c r="AJ1051" s="310">
        <v>0.5</v>
      </c>
      <c r="AK1051" s="153">
        <v>0</v>
      </c>
      <c r="AL1051" s="154">
        <v>0</v>
      </c>
      <c r="AM1051" s="17">
        <f t="shared" si="79"/>
        <v>0</v>
      </c>
      <c r="AN1051" s="283" t="s">
        <v>265</v>
      </c>
      <c r="AO1051" s="18" t="s">
        <v>350</v>
      </c>
      <c r="AP1051" s="283" t="s">
        <v>3964</v>
      </c>
    </row>
    <row r="1052" spans="1:42" x14ac:dyDescent="0.3">
      <c r="A1052" s="314" t="s">
        <v>1448</v>
      </c>
      <c r="B1052" s="283" t="s">
        <v>3447</v>
      </c>
      <c r="C1052" s="314" t="s">
        <v>3934</v>
      </c>
      <c r="D1052" s="283" t="s">
        <v>2439</v>
      </c>
      <c r="E1052" s="314" t="s">
        <v>3935</v>
      </c>
      <c r="F1052" s="283" t="s">
        <v>3936</v>
      </c>
      <c r="G1052" s="314" t="s">
        <v>3958</v>
      </c>
      <c r="H1052" s="283" t="s">
        <v>3959</v>
      </c>
      <c r="K1052" s="314" t="s">
        <v>3960</v>
      </c>
      <c r="L1052" s="283" t="s">
        <v>3961</v>
      </c>
      <c r="M1052" s="283" t="s">
        <v>3965</v>
      </c>
      <c r="N1052" s="3"/>
      <c r="P1052" s="3">
        <v>3</v>
      </c>
      <c r="Q1052" s="3">
        <v>1</v>
      </c>
      <c r="R1052" s="3">
        <v>1</v>
      </c>
      <c r="S1052" s="3">
        <v>1</v>
      </c>
      <c r="T1052" s="283" t="s">
        <v>1581</v>
      </c>
      <c r="U1052" s="283" t="s">
        <v>1583</v>
      </c>
      <c r="V1052" s="1" t="s">
        <v>3966</v>
      </c>
      <c r="W1052" s="1">
        <v>1</v>
      </c>
      <c r="X1052" s="1">
        <v>1</v>
      </c>
      <c r="Y1052" s="1">
        <v>1</v>
      </c>
      <c r="Z1052" s="1">
        <v>0</v>
      </c>
      <c r="AA1052" s="1">
        <v>1</v>
      </c>
      <c r="AB1052" s="1">
        <v>1</v>
      </c>
      <c r="AC1052" s="316">
        <v>1</v>
      </c>
      <c r="AD1052" s="316">
        <v>1</v>
      </c>
      <c r="AE1052" s="302">
        <f t="shared" si="78"/>
        <v>0.875</v>
      </c>
      <c r="AF1052" s="17"/>
      <c r="AG1052" s="17">
        <v>0</v>
      </c>
      <c r="AH1052" s="17">
        <v>0</v>
      </c>
      <c r="AI1052" s="310">
        <v>0.3</v>
      </c>
      <c r="AJ1052" s="310">
        <v>0.1</v>
      </c>
      <c r="AK1052" s="317">
        <v>0.1</v>
      </c>
      <c r="AL1052" s="317">
        <v>0.1</v>
      </c>
      <c r="AM1052" s="17">
        <f t="shared" si="79"/>
        <v>0.2</v>
      </c>
      <c r="AN1052" s="283" t="s">
        <v>1581</v>
      </c>
      <c r="AO1052" s="18" t="s">
        <v>1583</v>
      </c>
      <c r="AP1052" s="283" t="s">
        <v>3967</v>
      </c>
    </row>
    <row r="1053" spans="1:42" x14ac:dyDescent="0.3">
      <c r="A1053" s="314" t="s">
        <v>1448</v>
      </c>
      <c r="B1053" s="283" t="s">
        <v>3447</v>
      </c>
      <c r="C1053" s="314" t="s">
        <v>3934</v>
      </c>
      <c r="D1053" s="283" t="s">
        <v>2439</v>
      </c>
      <c r="E1053" s="314" t="s">
        <v>3935</v>
      </c>
      <c r="F1053" s="283" t="s">
        <v>3936</v>
      </c>
      <c r="G1053" s="314" t="s">
        <v>3958</v>
      </c>
      <c r="H1053" s="283" t="s">
        <v>3959</v>
      </c>
      <c r="K1053" s="314" t="s">
        <v>3960</v>
      </c>
      <c r="L1053" s="283" t="s">
        <v>3961</v>
      </c>
      <c r="M1053" s="283" t="s">
        <v>3968</v>
      </c>
      <c r="N1053" s="3">
        <v>0</v>
      </c>
      <c r="O1053" s="3" t="s">
        <v>3926</v>
      </c>
      <c r="P1053" s="3" t="s">
        <v>3532</v>
      </c>
      <c r="Q1053" s="3" t="s">
        <v>3926</v>
      </c>
      <c r="R1053" s="3" t="s">
        <v>3782</v>
      </c>
      <c r="S1053" s="3" t="s">
        <v>3782</v>
      </c>
      <c r="T1053" s="283" t="s">
        <v>321</v>
      </c>
      <c r="U1053" s="283" t="s">
        <v>1066</v>
      </c>
      <c r="V1053" s="277" t="s">
        <v>3969</v>
      </c>
      <c r="W1053" s="1">
        <v>1</v>
      </c>
      <c r="X1053" s="1">
        <v>0</v>
      </c>
      <c r="Y1053" s="1">
        <v>1</v>
      </c>
      <c r="Z1053" s="1">
        <v>1</v>
      </c>
      <c r="AA1053" s="1">
        <v>1</v>
      </c>
      <c r="AB1053" s="1">
        <v>1</v>
      </c>
      <c r="AC1053" s="316">
        <v>1</v>
      </c>
      <c r="AD1053" s="316">
        <v>1</v>
      </c>
      <c r="AE1053" s="302">
        <f t="shared" si="78"/>
        <v>0.875</v>
      </c>
      <c r="AF1053" s="17"/>
      <c r="AG1053" s="17">
        <v>0</v>
      </c>
      <c r="AH1053" s="17">
        <v>0</v>
      </c>
      <c r="AI1053" s="310">
        <v>0.3</v>
      </c>
      <c r="AJ1053" s="17">
        <v>0</v>
      </c>
      <c r="AK1053" s="153">
        <v>0</v>
      </c>
      <c r="AL1053" s="154">
        <v>0</v>
      </c>
      <c r="AM1053" s="17">
        <f t="shared" si="79"/>
        <v>0</v>
      </c>
      <c r="AN1053" s="283" t="s">
        <v>321</v>
      </c>
      <c r="AO1053" s="18" t="s">
        <v>1066</v>
      </c>
      <c r="AP1053" s="283" t="s">
        <v>3903</v>
      </c>
    </row>
    <row r="1054" spans="1:42" x14ac:dyDescent="0.3">
      <c r="A1054" s="314" t="s">
        <v>1448</v>
      </c>
      <c r="B1054" s="283" t="s">
        <v>3447</v>
      </c>
      <c r="C1054" s="314" t="s">
        <v>3934</v>
      </c>
      <c r="D1054" s="283" t="s">
        <v>2439</v>
      </c>
      <c r="E1054" s="314" t="s">
        <v>3935</v>
      </c>
      <c r="F1054" s="283" t="s">
        <v>3936</v>
      </c>
      <c r="G1054" s="314" t="s">
        <v>3958</v>
      </c>
      <c r="H1054" s="283" t="s">
        <v>3959</v>
      </c>
      <c r="K1054" s="314" t="s">
        <v>3960</v>
      </c>
      <c r="L1054" s="283" t="s">
        <v>3961</v>
      </c>
      <c r="M1054" s="283" t="s">
        <v>3970</v>
      </c>
      <c r="N1054" s="3">
        <v>0</v>
      </c>
      <c r="O1054" s="3">
        <v>200000</v>
      </c>
      <c r="P1054" s="3" t="s">
        <v>3971</v>
      </c>
      <c r="Q1054" s="3" t="s">
        <v>3972</v>
      </c>
      <c r="R1054" s="3" t="s">
        <v>3973</v>
      </c>
      <c r="S1054" s="3" t="s">
        <v>3974</v>
      </c>
      <c r="T1054" s="283" t="s">
        <v>321</v>
      </c>
      <c r="U1054" s="283" t="s">
        <v>1066</v>
      </c>
      <c r="V1054" s="1" t="s">
        <v>3945</v>
      </c>
      <c r="W1054" s="1">
        <v>1</v>
      </c>
      <c r="X1054" s="1">
        <v>0</v>
      </c>
      <c r="Y1054" s="1">
        <v>1</v>
      </c>
      <c r="Z1054" s="1">
        <v>1</v>
      </c>
      <c r="AA1054" s="1">
        <v>1</v>
      </c>
      <c r="AB1054" s="1">
        <v>1</v>
      </c>
      <c r="AC1054" s="316">
        <v>1</v>
      </c>
      <c r="AD1054" s="316">
        <v>1</v>
      </c>
      <c r="AE1054" s="302">
        <f t="shared" si="78"/>
        <v>0.875</v>
      </c>
      <c r="AF1054" s="17"/>
      <c r="AG1054" s="17">
        <v>0</v>
      </c>
      <c r="AH1054" s="17">
        <v>0</v>
      </c>
      <c r="AI1054" s="17">
        <v>0</v>
      </c>
      <c r="AJ1054" s="310">
        <v>0.1</v>
      </c>
      <c r="AK1054" s="153">
        <v>0</v>
      </c>
      <c r="AL1054" s="154">
        <v>0</v>
      </c>
      <c r="AM1054" s="17">
        <f t="shared" si="79"/>
        <v>0</v>
      </c>
      <c r="AN1054" s="283" t="s">
        <v>265</v>
      </c>
      <c r="AO1054" s="18" t="s">
        <v>350</v>
      </c>
      <c r="AP1054" s="283" t="s">
        <v>3975</v>
      </c>
    </row>
    <row r="1055" spans="1:42" hidden="1" x14ac:dyDescent="0.3">
      <c r="A1055" s="314" t="s">
        <v>1448</v>
      </c>
      <c r="B1055" s="283" t="s">
        <v>3447</v>
      </c>
      <c r="C1055" s="314" t="s">
        <v>3934</v>
      </c>
      <c r="D1055" s="283" t="s">
        <v>2439</v>
      </c>
      <c r="E1055" s="314" t="s">
        <v>3935</v>
      </c>
      <c r="F1055" s="283" t="s">
        <v>3936</v>
      </c>
      <c r="G1055" s="314" t="s">
        <v>3958</v>
      </c>
      <c r="H1055" s="283" t="s">
        <v>3959</v>
      </c>
      <c r="K1055" s="314" t="s">
        <v>3960</v>
      </c>
      <c r="L1055" s="283" t="s">
        <v>3961</v>
      </c>
      <c r="M1055" s="283" t="s">
        <v>3976</v>
      </c>
      <c r="N1055" s="3"/>
      <c r="O1055" s="3">
        <v>1</v>
      </c>
      <c r="P1055" s="3">
        <v>1</v>
      </c>
      <c r="Q1055" s="3">
        <v>1</v>
      </c>
      <c r="R1055" s="3">
        <v>1</v>
      </c>
      <c r="T1055" s="283" t="s">
        <v>265</v>
      </c>
      <c r="U1055" s="283" t="s">
        <v>350</v>
      </c>
      <c r="V1055" s="1" t="s">
        <v>3977</v>
      </c>
      <c r="W1055" s="1">
        <v>1</v>
      </c>
      <c r="X1055" s="1">
        <v>1</v>
      </c>
      <c r="Y1055" s="1">
        <v>0</v>
      </c>
      <c r="Z1055" s="1">
        <v>0</v>
      </c>
      <c r="AA1055" s="1">
        <v>1</v>
      </c>
      <c r="AB1055" s="1">
        <v>0</v>
      </c>
      <c r="AC1055" s="316">
        <v>1</v>
      </c>
      <c r="AD1055" s="316">
        <v>1</v>
      </c>
      <c r="AE1055" s="302">
        <f t="shared" si="78"/>
        <v>0.625</v>
      </c>
      <c r="AF1055" s="310"/>
      <c r="AG1055" s="17">
        <v>0</v>
      </c>
      <c r="AH1055" s="310">
        <v>0.1</v>
      </c>
      <c r="AI1055" s="310">
        <v>0.2</v>
      </c>
      <c r="AJ1055" s="310">
        <v>0.2</v>
      </c>
      <c r="AK1055" s="317">
        <v>0.2</v>
      </c>
      <c r="AL1055" s="154">
        <v>0</v>
      </c>
      <c r="AM1055" s="17">
        <f t="shared" si="79"/>
        <v>0.2</v>
      </c>
      <c r="AN1055" s="283" t="s">
        <v>265</v>
      </c>
      <c r="AO1055" s="18" t="s">
        <v>350</v>
      </c>
      <c r="AP1055" s="283" t="s">
        <v>3903</v>
      </c>
    </row>
    <row r="1056" spans="1:42" hidden="1" x14ac:dyDescent="0.3">
      <c r="A1056" s="314" t="s">
        <v>1448</v>
      </c>
      <c r="B1056" s="283" t="s">
        <v>3447</v>
      </c>
      <c r="C1056" s="314" t="s">
        <v>3934</v>
      </c>
      <c r="D1056" s="283" t="s">
        <v>2439</v>
      </c>
      <c r="E1056" s="314" t="s">
        <v>3935</v>
      </c>
      <c r="F1056" s="283" t="s">
        <v>3936</v>
      </c>
      <c r="G1056" s="314" t="s">
        <v>3958</v>
      </c>
      <c r="H1056" s="283" t="s">
        <v>3959</v>
      </c>
      <c r="K1056" s="314" t="s">
        <v>3960</v>
      </c>
      <c r="L1056" s="283" t="s">
        <v>3961</v>
      </c>
      <c r="M1056" s="283" t="s">
        <v>3978</v>
      </c>
      <c r="N1056" s="3"/>
      <c r="O1056" s="3">
        <v>10</v>
      </c>
      <c r="P1056" s="3" t="s">
        <v>3561</v>
      </c>
      <c r="Q1056" s="3" t="s">
        <v>3561</v>
      </c>
      <c r="R1056" s="3" t="s">
        <v>3561</v>
      </c>
      <c r="S1056" s="3" t="s">
        <v>3561</v>
      </c>
      <c r="T1056" s="283" t="s">
        <v>321</v>
      </c>
      <c r="U1056" s="283" t="s">
        <v>1066</v>
      </c>
      <c r="V1056" s="1" t="s">
        <v>3979</v>
      </c>
      <c r="W1056" s="1">
        <v>1</v>
      </c>
      <c r="X1056" s="1">
        <v>0</v>
      </c>
      <c r="Y1056" s="1">
        <v>0</v>
      </c>
      <c r="Z1056" s="1">
        <v>1</v>
      </c>
      <c r="AA1056" s="1">
        <v>1</v>
      </c>
      <c r="AB1056" s="1">
        <v>1</v>
      </c>
      <c r="AC1056" s="316">
        <v>1</v>
      </c>
      <c r="AD1056" s="316">
        <v>0</v>
      </c>
      <c r="AE1056" s="302">
        <f t="shared" si="78"/>
        <v>0.625</v>
      </c>
      <c r="AF1056" s="310"/>
      <c r="AG1056" s="17">
        <v>0</v>
      </c>
      <c r="AH1056" s="310">
        <v>0.2</v>
      </c>
      <c r="AI1056" s="310" t="s">
        <v>3980</v>
      </c>
      <c r="AJ1056" s="310" t="s">
        <v>3980</v>
      </c>
      <c r="AK1056" s="317">
        <v>0.2</v>
      </c>
      <c r="AL1056" s="317">
        <v>0.2</v>
      </c>
      <c r="AM1056" s="17">
        <f t="shared" si="79"/>
        <v>0.4</v>
      </c>
      <c r="AN1056" s="283" t="s">
        <v>321</v>
      </c>
      <c r="AO1056" s="18" t="s">
        <v>1066</v>
      </c>
      <c r="AP1056" s="283" t="s">
        <v>265</v>
      </c>
    </row>
    <row r="1057" spans="1:42" x14ac:dyDescent="0.3">
      <c r="A1057" s="314" t="s">
        <v>1448</v>
      </c>
      <c r="B1057" s="283" t="s">
        <v>3447</v>
      </c>
      <c r="C1057" s="314" t="s">
        <v>3934</v>
      </c>
      <c r="D1057" s="283" t="s">
        <v>2439</v>
      </c>
      <c r="E1057" s="314" t="s">
        <v>3935</v>
      </c>
      <c r="F1057" s="283" t="s">
        <v>3936</v>
      </c>
      <c r="G1057" s="314" t="s">
        <v>3958</v>
      </c>
      <c r="H1057" s="283" t="s">
        <v>3959</v>
      </c>
      <c r="K1057" s="314" t="s">
        <v>3960</v>
      </c>
      <c r="L1057" s="283" t="s">
        <v>3961</v>
      </c>
      <c r="M1057" s="283" t="s">
        <v>3844</v>
      </c>
      <c r="N1057" s="3" t="s">
        <v>271</v>
      </c>
      <c r="O1057" s="3">
        <v>0.95</v>
      </c>
      <c r="P1057" s="3">
        <v>0.95</v>
      </c>
      <c r="Q1057" s="3">
        <v>0.95</v>
      </c>
      <c r="R1057" s="3">
        <v>0.95</v>
      </c>
      <c r="S1057" s="3">
        <v>0.95</v>
      </c>
      <c r="T1057" s="283" t="s">
        <v>1446</v>
      </c>
      <c r="U1057" s="283" t="s">
        <v>3715</v>
      </c>
      <c r="V1057" s="1" t="s">
        <v>3981</v>
      </c>
      <c r="W1057" s="1">
        <v>1</v>
      </c>
      <c r="X1057" s="1">
        <v>1</v>
      </c>
      <c r="Y1057" s="1">
        <v>1</v>
      </c>
      <c r="Z1057" s="1">
        <v>1</v>
      </c>
      <c r="AA1057" s="1">
        <v>1</v>
      </c>
      <c r="AB1057" s="1">
        <v>1</v>
      </c>
      <c r="AC1057" s="316">
        <v>1</v>
      </c>
      <c r="AD1057" s="316">
        <v>1</v>
      </c>
      <c r="AE1057" s="302">
        <f t="shared" si="78"/>
        <v>1</v>
      </c>
      <c r="AF1057" s="310"/>
      <c r="AG1057" s="17">
        <v>0</v>
      </c>
      <c r="AH1057" s="310">
        <v>0.5</v>
      </c>
      <c r="AI1057" s="310">
        <v>0.5</v>
      </c>
      <c r="AJ1057" s="310">
        <v>0.5</v>
      </c>
      <c r="AK1057" s="317">
        <v>0.5</v>
      </c>
      <c r="AL1057" s="317">
        <v>0.5</v>
      </c>
      <c r="AM1057" s="17">
        <f t="shared" si="79"/>
        <v>1</v>
      </c>
      <c r="AN1057" s="283" t="s">
        <v>265</v>
      </c>
      <c r="AO1057" s="18" t="s">
        <v>350</v>
      </c>
      <c r="AP1057" s="283" t="s">
        <v>3982</v>
      </c>
    </row>
    <row r="1058" spans="1:42" x14ac:dyDescent="0.3">
      <c r="A1058" s="314" t="s">
        <v>1448</v>
      </c>
      <c r="B1058" s="283" t="s">
        <v>3447</v>
      </c>
      <c r="C1058" s="314" t="s">
        <v>3934</v>
      </c>
      <c r="D1058" s="283" t="s">
        <v>2439</v>
      </c>
      <c r="E1058" s="314" t="s">
        <v>3935</v>
      </c>
      <c r="F1058" s="283" t="s">
        <v>3936</v>
      </c>
      <c r="G1058" s="314" t="s">
        <v>3958</v>
      </c>
      <c r="H1058" s="283" t="s">
        <v>3959</v>
      </c>
      <c r="K1058" s="314" t="s">
        <v>3960</v>
      </c>
      <c r="L1058" s="283" t="s">
        <v>3961</v>
      </c>
      <c r="M1058" s="283" t="s">
        <v>3983</v>
      </c>
      <c r="N1058" s="3" t="s">
        <v>271</v>
      </c>
      <c r="O1058" s="3">
        <v>0.85</v>
      </c>
      <c r="P1058" s="3">
        <v>0.85</v>
      </c>
      <c r="Q1058" s="3">
        <v>0.85</v>
      </c>
      <c r="R1058" s="3">
        <v>0.85</v>
      </c>
      <c r="S1058" s="3">
        <v>0.85</v>
      </c>
      <c r="T1058" s="283" t="s">
        <v>1446</v>
      </c>
      <c r="U1058" s="283" t="s">
        <v>3715</v>
      </c>
      <c r="V1058" s="1" t="s">
        <v>3984</v>
      </c>
      <c r="W1058" s="1">
        <v>1</v>
      </c>
      <c r="X1058" s="1">
        <v>1</v>
      </c>
      <c r="Y1058" s="1">
        <v>1</v>
      </c>
      <c r="Z1058" s="1">
        <v>1</v>
      </c>
      <c r="AA1058" s="1">
        <v>1</v>
      </c>
      <c r="AB1058" s="1">
        <v>1</v>
      </c>
      <c r="AC1058" s="316">
        <v>1</v>
      </c>
      <c r="AD1058" s="316">
        <v>1</v>
      </c>
      <c r="AE1058" s="302">
        <f t="shared" si="78"/>
        <v>1</v>
      </c>
      <c r="AF1058" s="310"/>
      <c r="AG1058" s="17">
        <v>0</v>
      </c>
      <c r="AH1058" s="310">
        <v>0.2</v>
      </c>
      <c r="AI1058" s="310">
        <v>0.2</v>
      </c>
      <c r="AJ1058" s="310">
        <v>0.2</v>
      </c>
      <c r="AK1058" s="317">
        <v>0.2</v>
      </c>
      <c r="AL1058" s="317">
        <v>0.2</v>
      </c>
      <c r="AM1058" s="17">
        <f t="shared" si="79"/>
        <v>0.4</v>
      </c>
      <c r="AN1058" s="283" t="s">
        <v>321</v>
      </c>
      <c r="AO1058" s="18" t="s">
        <v>1066</v>
      </c>
      <c r="AP1058" s="283" t="s">
        <v>3801</v>
      </c>
    </row>
    <row r="1059" spans="1:42" x14ac:dyDescent="0.3">
      <c r="A1059" s="314" t="s">
        <v>1448</v>
      </c>
      <c r="B1059" s="283" t="s">
        <v>3447</v>
      </c>
      <c r="C1059" s="314" t="s">
        <v>3934</v>
      </c>
      <c r="D1059" s="283" t="s">
        <v>2439</v>
      </c>
      <c r="E1059" s="314" t="s">
        <v>3935</v>
      </c>
      <c r="F1059" s="283" t="s">
        <v>3936</v>
      </c>
      <c r="G1059" s="314" t="s">
        <v>3958</v>
      </c>
      <c r="H1059" s="283" t="s">
        <v>3959</v>
      </c>
      <c r="K1059" s="314" t="s">
        <v>3960</v>
      </c>
      <c r="L1059" s="283" t="s">
        <v>3961</v>
      </c>
      <c r="N1059" s="3"/>
      <c r="U1059" s="283" t="e">
        <v>#N/A</v>
      </c>
      <c r="V1059" s="1" t="s">
        <v>3985</v>
      </c>
      <c r="W1059" s="1">
        <v>1</v>
      </c>
      <c r="X1059" s="1">
        <v>1</v>
      </c>
      <c r="Y1059" s="1">
        <v>1</v>
      </c>
      <c r="Z1059" s="1">
        <v>1</v>
      </c>
      <c r="AA1059" s="1">
        <v>1</v>
      </c>
      <c r="AB1059" s="1">
        <v>1</v>
      </c>
      <c r="AC1059" s="316">
        <v>1</v>
      </c>
      <c r="AD1059" s="316">
        <v>1</v>
      </c>
      <c r="AE1059" s="302">
        <f t="shared" si="78"/>
        <v>1</v>
      </c>
      <c r="AF1059" s="310"/>
      <c r="AG1059" s="17">
        <v>0</v>
      </c>
      <c r="AH1059" s="310">
        <v>0.1</v>
      </c>
      <c r="AI1059" s="310">
        <v>0.1</v>
      </c>
      <c r="AJ1059" s="310">
        <v>0.1</v>
      </c>
      <c r="AK1059" s="153">
        <v>0.2</v>
      </c>
      <c r="AL1059" s="154">
        <v>0</v>
      </c>
      <c r="AM1059" s="17">
        <f t="shared" si="79"/>
        <v>0.2</v>
      </c>
      <c r="AN1059" s="283" t="s">
        <v>265</v>
      </c>
      <c r="AO1059" s="18" t="s">
        <v>350</v>
      </c>
      <c r="AP1059" s="283" t="s">
        <v>3986</v>
      </c>
    </row>
    <row r="1060" spans="1:42" x14ac:dyDescent="0.3">
      <c r="A1060" s="314" t="s">
        <v>1448</v>
      </c>
      <c r="B1060" s="283" t="s">
        <v>3447</v>
      </c>
      <c r="C1060" s="314" t="s">
        <v>3934</v>
      </c>
      <c r="D1060" s="283" t="s">
        <v>2439</v>
      </c>
      <c r="E1060" s="314" t="s">
        <v>3935</v>
      </c>
      <c r="F1060" s="283" t="s">
        <v>3936</v>
      </c>
      <c r="G1060" s="314" t="s">
        <v>3958</v>
      </c>
      <c r="H1060" s="283" t="s">
        <v>3959</v>
      </c>
      <c r="K1060" s="314" t="s">
        <v>3960</v>
      </c>
      <c r="L1060" s="283" t="s">
        <v>3961</v>
      </c>
      <c r="N1060" s="3"/>
      <c r="U1060" s="283" t="e">
        <v>#N/A</v>
      </c>
      <c r="V1060" s="1" t="s">
        <v>3987</v>
      </c>
      <c r="W1060" s="1">
        <v>1</v>
      </c>
      <c r="X1060" s="1">
        <v>1</v>
      </c>
      <c r="Y1060" s="1">
        <v>1</v>
      </c>
      <c r="Z1060" s="1">
        <v>1</v>
      </c>
      <c r="AA1060" s="1">
        <v>1</v>
      </c>
      <c r="AB1060" s="1">
        <v>1</v>
      </c>
      <c r="AC1060" s="316">
        <v>1</v>
      </c>
      <c r="AD1060" s="316">
        <v>1</v>
      </c>
      <c r="AE1060" s="302">
        <f t="shared" si="78"/>
        <v>1</v>
      </c>
      <c r="AF1060" s="17"/>
      <c r="AG1060" s="17">
        <v>0</v>
      </c>
      <c r="AH1060" s="17">
        <v>0</v>
      </c>
      <c r="AI1060" s="17">
        <v>0</v>
      </c>
      <c r="AJ1060" s="17">
        <v>0</v>
      </c>
      <c r="AK1060" s="153">
        <v>0.2</v>
      </c>
      <c r="AL1060" s="154">
        <v>0</v>
      </c>
      <c r="AM1060" s="17">
        <f t="shared" si="79"/>
        <v>0.2</v>
      </c>
      <c r="AN1060" s="283" t="s">
        <v>265</v>
      </c>
      <c r="AO1060" s="18" t="s">
        <v>350</v>
      </c>
      <c r="AP1060" s="283" t="s">
        <v>3903</v>
      </c>
    </row>
    <row r="1061" spans="1:42" x14ac:dyDescent="0.3">
      <c r="A1061" s="314" t="s">
        <v>1448</v>
      </c>
      <c r="B1061" s="283" t="s">
        <v>3447</v>
      </c>
      <c r="C1061" s="314" t="s">
        <v>3934</v>
      </c>
      <c r="D1061" s="283" t="s">
        <v>2439</v>
      </c>
      <c r="E1061" s="314" t="s">
        <v>3935</v>
      </c>
      <c r="F1061" s="283" t="s">
        <v>3936</v>
      </c>
      <c r="G1061" s="314" t="s">
        <v>3958</v>
      </c>
      <c r="H1061" s="283" t="s">
        <v>3959</v>
      </c>
      <c r="K1061" s="314" t="s">
        <v>3960</v>
      </c>
      <c r="L1061" s="283" t="s">
        <v>3961</v>
      </c>
      <c r="N1061" s="3"/>
      <c r="U1061" s="283" t="e">
        <v>#N/A</v>
      </c>
      <c r="V1061" s="1" t="s">
        <v>3988</v>
      </c>
      <c r="W1061" s="1">
        <v>1</v>
      </c>
      <c r="X1061" s="1">
        <v>1</v>
      </c>
      <c r="Y1061" s="1">
        <v>1</v>
      </c>
      <c r="Z1061" s="1">
        <v>1</v>
      </c>
      <c r="AA1061" s="1">
        <v>1</v>
      </c>
      <c r="AB1061" s="1">
        <v>1</v>
      </c>
      <c r="AC1061" s="316">
        <v>1</v>
      </c>
      <c r="AD1061" s="316">
        <v>1</v>
      </c>
      <c r="AE1061" s="302">
        <f t="shared" si="78"/>
        <v>1</v>
      </c>
      <c r="AF1061" s="17"/>
      <c r="AG1061" s="17">
        <v>0</v>
      </c>
      <c r="AH1061" s="17">
        <v>0</v>
      </c>
      <c r="AI1061" s="17">
        <v>0</v>
      </c>
      <c r="AJ1061" s="17">
        <v>0</v>
      </c>
      <c r="AK1061" s="153">
        <v>0.3</v>
      </c>
      <c r="AL1061" s="154">
        <v>0</v>
      </c>
      <c r="AM1061" s="17">
        <f t="shared" si="79"/>
        <v>0.3</v>
      </c>
      <c r="AN1061" s="283" t="s">
        <v>265</v>
      </c>
      <c r="AO1061" s="18" t="s">
        <v>350</v>
      </c>
      <c r="AP1061" s="283" t="s">
        <v>3903</v>
      </c>
    </row>
    <row r="1062" spans="1:42" x14ac:dyDescent="0.3">
      <c r="A1062" s="314" t="s">
        <v>1448</v>
      </c>
      <c r="B1062" s="283" t="s">
        <v>3447</v>
      </c>
      <c r="C1062" s="314" t="s">
        <v>3934</v>
      </c>
      <c r="D1062" s="283" t="s">
        <v>2439</v>
      </c>
      <c r="E1062" s="314" t="s">
        <v>3935</v>
      </c>
      <c r="F1062" s="283" t="s">
        <v>3936</v>
      </c>
      <c r="G1062" s="314" t="s">
        <v>3958</v>
      </c>
      <c r="H1062" s="283" t="s">
        <v>3959</v>
      </c>
      <c r="K1062" s="314" t="s">
        <v>3960</v>
      </c>
      <c r="L1062" s="283" t="s">
        <v>3961</v>
      </c>
      <c r="N1062" s="3"/>
      <c r="U1062" s="283" t="e">
        <v>#N/A</v>
      </c>
      <c r="V1062" s="1" t="s">
        <v>3989</v>
      </c>
      <c r="W1062" s="1">
        <v>1</v>
      </c>
      <c r="X1062" s="1">
        <v>1</v>
      </c>
      <c r="Y1062" s="1">
        <v>1</v>
      </c>
      <c r="Z1062" s="1">
        <v>1</v>
      </c>
      <c r="AA1062" s="1">
        <v>1</v>
      </c>
      <c r="AB1062" s="1">
        <v>1</v>
      </c>
      <c r="AC1062" s="316">
        <v>1</v>
      </c>
      <c r="AD1062" s="316">
        <v>1</v>
      </c>
      <c r="AE1062" s="302">
        <f t="shared" si="78"/>
        <v>1</v>
      </c>
      <c r="AF1062" s="310"/>
      <c r="AG1062" s="17">
        <v>0</v>
      </c>
      <c r="AH1062" s="310">
        <v>0.2</v>
      </c>
      <c r="AI1062" s="310">
        <v>0.2</v>
      </c>
      <c r="AJ1062" s="310">
        <v>0.2</v>
      </c>
      <c r="AK1062" s="317">
        <v>0.2</v>
      </c>
      <c r="AL1062" s="154">
        <v>0</v>
      </c>
      <c r="AM1062" s="17">
        <f t="shared" si="79"/>
        <v>0.2</v>
      </c>
      <c r="AN1062" s="283" t="s">
        <v>265</v>
      </c>
      <c r="AO1062" s="18" t="s">
        <v>350</v>
      </c>
      <c r="AP1062" s="283" t="s">
        <v>119</v>
      </c>
    </row>
    <row r="1063" spans="1:42" x14ac:dyDescent="0.3">
      <c r="A1063" s="314" t="s">
        <v>1448</v>
      </c>
      <c r="B1063" s="283" t="s">
        <v>3447</v>
      </c>
      <c r="C1063" s="314" t="s">
        <v>3934</v>
      </c>
      <c r="D1063" s="283" t="s">
        <v>2439</v>
      </c>
      <c r="E1063" s="314" t="s">
        <v>3935</v>
      </c>
      <c r="F1063" s="283" t="s">
        <v>3936</v>
      </c>
      <c r="G1063" s="314" t="s">
        <v>3958</v>
      </c>
      <c r="H1063" s="283" t="s">
        <v>3959</v>
      </c>
      <c r="K1063" s="314" t="s">
        <v>3960</v>
      </c>
      <c r="L1063" s="283" t="s">
        <v>3961</v>
      </c>
      <c r="N1063" s="3"/>
      <c r="U1063" s="283" t="e">
        <v>#N/A</v>
      </c>
      <c r="V1063" s="1" t="s">
        <v>3990</v>
      </c>
      <c r="W1063" s="1">
        <v>1</v>
      </c>
      <c r="X1063" s="1">
        <v>1</v>
      </c>
      <c r="Y1063" s="1">
        <v>1</v>
      </c>
      <c r="Z1063" s="1">
        <v>1</v>
      </c>
      <c r="AA1063" s="1">
        <v>1</v>
      </c>
      <c r="AB1063" s="1">
        <v>1</v>
      </c>
      <c r="AC1063" s="316">
        <v>1</v>
      </c>
      <c r="AD1063" s="316">
        <v>1</v>
      </c>
      <c r="AE1063" s="302">
        <f t="shared" si="78"/>
        <v>1</v>
      </c>
      <c r="AF1063" s="17"/>
      <c r="AG1063" s="17">
        <v>0</v>
      </c>
      <c r="AH1063" s="17">
        <v>0</v>
      </c>
      <c r="AI1063" s="17">
        <v>0</v>
      </c>
      <c r="AJ1063" s="17">
        <v>0</v>
      </c>
      <c r="AK1063" s="153">
        <v>0.1</v>
      </c>
      <c r="AL1063" s="154">
        <v>0</v>
      </c>
      <c r="AM1063" s="17">
        <f t="shared" si="79"/>
        <v>0.1</v>
      </c>
      <c r="AN1063" s="283" t="s">
        <v>265</v>
      </c>
      <c r="AO1063" s="18" t="s">
        <v>350</v>
      </c>
      <c r="AP1063" s="283" t="s">
        <v>119</v>
      </c>
    </row>
    <row r="1064" spans="1:42" x14ac:dyDescent="0.3">
      <c r="A1064" s="314" t="s">
        <v>1448</v>
      </c>
      <c r="B1064" s="283" t="s">
        <v>3447</v>
      </c>
      <c r="C1064" s="314" t="s">
        <v>3934</v>
      </c>
      <c r="D1064" s="283" t="s">
        <v>2439</v>
      </c>
      <c r="E1064" s="314" t="s">
        <v>3935</v>
      </c>
      <c r="F1064" s="283" t="s">
        <v>3936</v>
      </c>
      <c r="G1064" s="314" t="s">
        <v>3958</v>
      </c>
      <c r="H1064" s="283" t="s">
        <v>3959</v>
      </c>
      <c r="K1064" s="314" t="s">
        <v>3960</v>
      </c>
      <c r="L1064" s="283" t="s">
        <v>3961</v>
      </c>
      <c r="N1064" s="3"/>
      <c r="U1064" s="283" t="e">
        <v>#N/A</v>
      </c>
      <c r="V1064" s="1" t="s">
        <v>3991</v>
      </c>
      <c r="W1064" s="1">
        <v>1</v>
      </c>
      <c r="X1064" s="1">
        <v>1</v>
      </c>
      <c r="Y1064" s="1">
        <v>1</v>
      </c>
      <c r="Z1064" s="1">
        <v>1</v>
      </c>
      <c r="AA1064" s="1">
        <v>1</v>
      </c>
      <c r="AB1064" s="1">
        <v>1</v>
      </c>
      <c r="AC1064" s="316">
        <v>1</v>
      </c>
      <c r="AD1064" s="316">
        <v>1</v>
      </c>
      <c r="AE1064" s="302">
        <f t="shared" si="78"/>
        <v>1</v>
      </c>
      <c r="AF1064" s="17"/>
      <c r="AG1064" s="17">
        <v>0</v>
      </c>
      <c r="AH1064" s="17">
        <v>0</v>
      </c>
      <c r="AI1064" s="17">
        <v>0</v>
      </c>
      <c r="AJ1064" s="17">
        <v>0</v>
      </c>
      <c r="AK1064" s="153">
        <v>0.3</v>
      </c>
      <c r="AL1064" s="154">
        <v>0</v>
      </c>
      <c r="AM1064" s="17">
        <f t="shared" si="79"/>
        <v>0.3</v>
      </c>
      <c r="AN1064" s="283" t="s">
        <v>265</v>
      </c>
      <c r="AO1064" s="18" t="s">
        <v>350</v>
      </c>
      <c r="AP1064" s="283" t="s">
        <v>119</v>
      </c>
    </row>
    <row r="1065" spans="1:42" x14ac:dyDescent="0.3">
      <c r="A1065" s="314" t="s">
        <v>1448</v>
      </c>
      <c r="B1065" s="283" t="s">
        <v>3447</v>
      </c>
      <c r="C1065" s="314" t="s">
        <v>3934</v>
      </c>
      <c r="D1065" s="283" t="s">
        <v>2439</v>
      </c>
      <c r="E1065" s="314" t="s">
        <v>3935</v>
      </c>
      <c r="F1065" s="283" t="s">
        <v>3936</v>
      </c>
      <c r="G1065" s="314" t="s">
        <v>3958</v>
      </c>
      <c r="H1065" s="283" t="s">
        <v>3959</v>
      </c>
      <c r="K1065" s="314" t="s">
        <v>3960</v>
      </c>
      <c r="L1065" s="283" t="s">
        <v>3961</v>
      </c>
      <c r="N1065" s="3"/>
      <c r="U1065" s="283" t="e">
        <v>#N/A</v>
      </c>
      <c r="V1065" s="1" t="s">
        <v>3992</v>
      </c>
      <c r="W1065" s="1">
        <v>1</v>
      </c>
      <c r="X1065" s="1">
        <v>1</v>
      </c>
      <c r="Y1065" s="1">
        <v>1</v>
      </c>
      <c r="Z1065" s="1">
        <v>1</v>
      </c>
      <c r="AA1065" s="1">
        <v>1</v>
      </c>
      <c r="AB1065" s="1">
        <v>1</v>
      </c>
      <c r="AC1065" s="316">
        <v>1</v>
      </c>
      <c r="AD1065" s="316">
        <v>1</v>
      </c>
      <c r="AE1065" s="302">
        <f t="shared" si="78"/>
        <v>1</v>
      </c>
      <c r="AF1065" s="17"/>
      <c r="AG1065" s="17">
        <v>0</v>
      </c>
      <c r="AH1065" s="17">
        <v>0</v>
      </c>
      <c r="AI1065" s="17">
        <v>0</v>
      </c>
      <c r="AJ1065" s="17">
        <v>0</v>
      </c>
      <c r="AK1065" s="153">
        <v>0</v>
      </c>
      <c r="AL1065" s="154">
        <v>0</v>
      </c>
      <c r="AM1065" s="17">
        <f t="shared" si="79"/>
        <v>0</v>
      </c>
      <c r="AN1065" s="283" t="s">
        <v>265</v>
      </c>
      <c r="AO1065" s="18" t="s">
        <v>350</v>
      </c>
      <c r="AP1065" s="283" t="s">
        <v>119</v>
      </c>
    </row>
    <row r="1066" spans="1:42" x14ac:dyDescent="0.3">
      <c r="A1066" s="314" t="s">
        <v>1448</v>
      </c>
      <c r="B1066" s="283" t="s">
        <v>3447</v>
      </c>
      <c r="C1066" s="314" t="s">
        <v>3934</v>
      </c>
      <c r="D1066" s="283" t="s">
        <v>2439</v>
      </c>
      <c r="E1066" s="314" t="s">
        <v>3935</v>
      </c>
      <c r="F1066" s="283" t="s">
        <v>3936</v>
      </c>
      <c r="G1066" s="314" t="s">
        <v>3958</v>
      </c>
      <c r="H1066" s="283" t="s">
        <v>3959</v>
      </c>
      <c r="K1066" s="314" t="s">
        <v>3960</v>
      </c>
      <c r="L1066" s="283" t="s">
        <v>3961</v>
      </c>
      <c r="N1066" s="3"/>
      <c r="U1066" s="283" t="e">
        <v>#N/A</v>
      </c>
      <c r="V1066" s="344" t="s">
        <v>3993</v>
      </c>
      <c r="W1066" s="1">
        <v>1</v>
      </c>
      <c r="X1066" s="1">
        <v>1</v>
      </c>
      <c r="Y1066" s="1">
        <v>1</v>
      </c>
      <c r="Z1066" s="1">
        <v>1</v>
      </c>
      <c r="AA1066" s="1">
        <v>1</v>
      </c>
      <c r="AB1066" s="1">
        <v>1</v>
      </c>
      <c r="AC1066" s="316">
        <v>1</v>
      </c>
      <c r="AD1066" s="316">
        <v>1</v>
      </c>
      <c r="AE1066" s="302">
        <f t="shared" si="78"/>
        <v>1</v>
      </c>
      <c r="AF1066" s="17"/>
      <c r="AG1066" s="17">
        <v>0</v>
      </c>
      <c r="AH1066" s="17">
        <v>0</v>
      </c>
      <c r="AI1066" s="17">
        <v>0</v>
      </c>
      <c r="AJ1066" s="17">
        <v>0</v>
      </c>
      <c r="AK1066" s="153">
        <v>0</v>
      </c>
      <c r="AL1066" s="154">
        <v>0</v>
      </c>
      <c r="AM1066" s="17">
        <f t="shared" si="79"/>
        <v>0</v>
      </c>
      <c r="AN1066" s="283" t="s">
        <v>265</v>
      </c>
      <c r="AO1066" s="18" t="s">
        <v>350</v>
      </c>
      <c r="AP1066" s="283" t="s">
        <v>119</v>
      </c>
    </row>
    <row r="1067" spans="1:42" x14ac:dyDescent="0.3">
      <c r="A1067" s="314" t="s">
        <v>1448</v>
      </c>
      <c r="B1067" s="283" t="s">
        <v>3447</v>
      </c>
      <c r="C1067" s="314" t="s">
        <v>3934</v>
      </c>
      <c r="D1067" s="283" t="s">
        <v>2439</v>
      </c>
      <c r="E1067" s="314" t="s">
        <v>3935</v>
      </c>
      <c r="F1067" s="283" t="s">
        <v>3936</v>
      </c>
      <c r="G1067" s="314" t="s">
        <v>3958</v>
      </c>
      <c r="H1067" s="283" t="s">
        <v>3959</v>
      </c>
      <c r="K1067" s="314" t="s">
        <v>3960</v>
      </c>
      <c r="L1067" s="283" t="s">
        <v>3961</v>
      </c>
      <c r="N1067" s="3"/>
      <c r="U1067" s="283" t="e">
        <v>#N/A</v>
      </c>
      <c r="V1067" s="1" t="s">
        <v>3994</v>
      </c>
      <c r="W1067" s="1">
        <v>1</v>
      </c>
      <c r="X1067" s="1">
        <v>1</v>
      </c>
      <c r="Y1067" s="1">
        <v>1</v>
      </c>
      <c r="Z1067" s="1">
        <v>1</v>
      </c>
      <c r="AA1067" s="1">
        <v>1</v>
      </c>
      <c r="AB1067" s="1">
        <v>1</v>
      </c>
      <c r="AC1067" s="316">
        <v>1</v>
      </c>
      <c r="AD1067" s="316">
        <v>1</v>
      </c>
      <c r="AE1067" s="302">
        <f t="shared" si="78"/>
        <v>1</v>
      </c>
      <c r="AF1067" s="17"/>
      <c r="AG1067" s="17">
        <v>0</v>
      </c>
      <c r="AH1067" s="17">
        <v>0</v>
      </c>
      <c r="AI1067" s="17">
        <v>0</v>
      </c>
      <c r="AJ1067" s="17">
        <v>0</v>
      </c>
      <c r="AK1067" s="153">
        <v>0.1</v>
      </c>
      <c r="AL1067" s="154">
        <v>0</v>
      </c>
      <c r="AM1067" s="17">
        <f t="shared" si="79"/>
        <v>0.1</v>
      </c>
      <c r="AN1067" s="283" t="s">
        <v>265</v>
      </c>
      <c r="AO1067" s="18" t="s">
        <v>350</v>
      </c>
      <c r="AP1067" s="283" t="s">
        <v>119</v>
      </c>
    </row>
    <row r="1068" spans="1:42" x14ac:dyDescent="0.3">
      <c r="A1068" s="314" t="s">
        <v>1448</v>
      </c>
      <c r="B1068" s="283" t="s">
        <v>3447</v>
      </c>
      <c r="C1068" s="314" t="s">
        <v>3934</v>
      </c>
      <c r="D1068" s="283" t="s">
        <v>2439</v>
      </c>
      <c r="E1068" s="314" t="s">
        <v>3935</v>
      </c>
      <c r="F1068" s="283" t="s">
        <v>3936</v>
      </c>
      <c r="G1068" s="314" t="s">
        <v>3958</v>
      </c>
      <c r="H1068" s="283" t="s">
        <v>3959</v>
      </c>
      <c r="K1068" s="314" t="s">
        <v>3960</v>
      </c>
      <c r="L1068" s="283" t="s">
        <v>3961</v>
      </c>
      <c r="N1068" s="3"/>
      <c r="U1068" s="283" t="e">
        <v>#N/A</v>
      </c>
      <c r="V1068" s="1" t="s">
        <v>3995</v>
      </c>
      <c r="W1068" s="1">
        <v>1</v>
      </c>
      <c r="X1068" s="1">
        <v>1</v>
      </c>
      <c r="Y1068" s="1">
        <v>1</v>
      </c>
      <c r="Z1068" s="1">
        <v>1</v>
      </c>
      <c r="AA1068" s="1">
        <v>1</v>
      </c>
      <c r="AB1068" s="1">
        <v>1</v>
      </c>
      <c r="AC1068" s="316">
        <v>1</v>
      </c>
      <c r="AD1068" s="316">
        <v>1</v>
      </c>
      <c r="AE1068" s="302">
        <f t="shared" si="78"/>
        <v>1</v>
      </c>
      <c r="AF1068" s="17"/>
      <c r="AG1068" s="17">
        <v>0</v>
      </c>
      <c r="AH1068" s="17">
        <v>0</v>
      </c>
      <c r="AI1068" s="17">
        <v>0</v>
      </c>
      <c r="AJ1068" s="17">
        <v>0</v>
      </c>
      <c r="AK1068" s="153">
        <v>0</v>
      </c>
      <c r="AL1068" s="154">
        <v>0</v>
      </c>
      <c r="AM1068" s="17">
        <f t="shared" si="79"/>
        <v>0</v>
      </c>
      <c r="AN1068" s="283" t="s">
        <v>265</v>
      </c>
      <c r="AO1068" s="18" t="s">
        <v>350</v>
      </c>
      <c r="AP1068" s="283" t="s">
        <v>119</v>
      </c>
    </row>
    <row r="1069" spans="1:42" x14ac:dyDescent="0.3">
      <c r="A1069" s="314" t="s">
        <v>1448</v>
      </c>
      <c r="B1069" s="283" t="s">
        <v>3447</v>
      </c>
      <c r="C1069" s="314" t="s">
        <v>3934</v>
      </c>
      <c r="D1069" s="283" t="s">
        <v>2439</v>
      </c>
      <c r="E1069" s="314" t="s">
        <v>3935</v>
      </c>
      <c r="F1069" s="283" t="s">
        <v>3936</v>
      </c>
      <c r="G1069" s="314" t="s">
        <v>3958</v>
      </c>
      <c r="H1069" s="283" t="s">
        <v>3959</v>
      </c>
      <c r="K1069" s="314" t="s">
        <v>3960</v>
      </c>
      <c r="L1069" s="283" t="s">
        <v>3961</v>
      </c>
      <c r="N1069" s="3"/>
      <c r="U1069" s="283" t="e">
        <v>#N/A</v>
      </c>
      <c r="V1069" s="1" t="s">
        <v>3996</v>
      </c>
      <c r="W1069" s="1">
        <v>1</v>
      </c>
      <c r="X1069" s="1">
        <v>1</v>
      </c>
      <c r="Y1069" s="1">
        <v>1</v>
      </c>
      <c r="Z1069" s="1">
        <v>1</v>
      </c>
      <c r="AA1069" s="1">
        <v>1</v>
      </c>
      <c r="AB1069" s="1">
        <v>1</v>
      </c>
      <c r="AC1069" s="316">
        <v>1</v>
      </c>
      <c r="AD1069" s="316">
        <v>1</v>
      </c>
      <c r="AE1069" s="302">
        <f t="shared" si="78"/>
        <v>1</v>
      </c>
      <c r="AF1069" s="17"/>
      <c r="AG1069" s="17">
        <v>0</v>
      </c>
      <c r="AH1069" s="17">
        <v>0</v>
      </c>
      <c r="AI1069" s="17">
        <v>0</v>
      </c>
      <c r="AJ1069" s="17">
        <v>0</v>
      </c>
      <c r="AK1069" s="153">
        <v>0</v>
      </c>
      <c r="AL1069" s="154">
        <v>0</v>
      </c>
      <c r="AM1069" s="17">
        <f t="shared" si="79"/>
        <v>0</v>
      </c>
      <c r="AN1069" s="283" t="s">
        <v>265</v>
      </c>
      <c r="AO1069" s="18" t="s">
        <v>350</v>
      </c>
      <c r="AP1069" s="283" t="s">
        <v>3997</v>
      </c>
    </row>
    <row r="1070" spans="1:42" hidden="1" x14ac:dyDescent="0.3">
      <c r="A1070" s="314" t="s">
        <v>1448</v>
      </c>
      <c r="B1070" s="283" t="s">
        <v>3447</v>
      </c>
      <c r="C1070" s="314" t="s">
        <v>3934</v>
      </c>
      <c r="D1070" s="283" t="s">
        <v>2439</v>
      </c>
      <c r="E1070" s="314" t="s">
        <v>3935</v>
      </c>
      <c r="F1070" s="283" t="s">
        <v>3936</v>
      </c>
      <c r="G1070" s="314" t="s">
        <v>3958</v>
      </c>
      <c r="H1070" s="283" t="s">
        <v>3959</v>
      </c>
      <c r="K1070" s="314" t="s">
        <v>3960</v>
      </c>
      <c r="L1070" s="283" t="s">
        <v>3961</v>
      </c>
      <c r="N1070" s="3"/>
      <c r="U1070" s="283" t="e">
        <v>#N/A</v>
      </c>
      <c r="V1070" s="1" t="s">
        <v>3998</v>
      </c>
      <c r="W1070" s="1">
        <v>1</v>
      </c>
      <c r="X1070" s="1">
        <v>0</v>
      </c>
      <c r="Y1070" s="1">
        <v>1</v>
      </c>
      <c r="Z1070" s="1">
        <v>0</v>
      </c>
      <c r="AA1070" s="1">
        <v>1</v>
      </c>
      <c r="AB1070" s="1">
        <v>0</v>
      </c>
      <c r="AC1070" s="316">
        <v>1</v>
      </c>
      <c r="AD1070" s="316">
        <v>1</v>
      </c>
      <c r="AE1070" s="302">
        <f t="shared" si="78"/>
        <v>0.625</v>
      </c>
      <c r="AF1070" s="17"/>
      <c r="AG1070" s="17">
        <v>0</v>
      </c>
      <c r="AH1070" s="17">
        <v>0</v>
      </c>
      <c r="AI1070" s="17">
        <v>0</v>
      </c>
      <c r="AJ1070" s="17">
        <v>0</v>
      </c>
      <c r="AK1070" s="153">
        <v>0</v>
      </c>
      <c r="AL1070" s="154">
        <v>0</v>
      </c>
      <c r="AM1070" s="17">
        <f t="shared" si="79"/>
        <v>0</v>
      </c>
      <c r="AN1070" s="283" t="s">
        <v>265</v>
      </c>
      <c r="AO1070" s="18" t="s">
        <v>350</v>
      </c>
      <c r="AP1070" s="283" t="s">
        <v>921</v>
      </c>
    </row>
    <row r="1071" spans="1:42" x14ac:dyDescent="0.3">
      <c r="A1071" s="314" t="s">
        <v>1448</v>
      </c>
      <c r="B1071" s="283" t="s">
        <v>3447</v>
      </c>
      <c r="C1071" s="314" t="s">
        <v>3934</v>
      </c>
      <c r="D1071" s="283" t="s">
        <v>2439</v>
      </c>
      <c r="E1071" s="314" t="s">
        <v>3935</v>
      </c>
      <c r="F1071" s="283" t="s">
        <v>3936</v>
      </c>
      <c r="G1071" s="314" t="s">
        <v>3958</v>
      </c>
      <c r="H1071" s="283" t="s">
        <v>3959</v>
      </c>
      <c r="K1071" s="314" t="s">
        <v>3960</v>
      </c>
      <c r="L1071" s="283" t="s">
        <v>3961</v>
      </c>
      <c r="N1071" s="3"/>
      <c r="U1071" s="283" t="e">
        <v>#N/A</v>
      </c>
      <c r="V1071" s="1" t="s">
        <v>3999</v>
      </c>
      <c r="W1071" s="1">
        <v>1</v>
      </c>
      <c r="X1071" s="1">
        <v>1</v>
      </c>
      <c r="Y1071" s="1">
        <v>1</v>
      </c>
      <c r="Z1071" s="1">
        <v>1</v>
      </c>
      <c r="AA1071" s="1">
        <v>1</v>
      </c>
      <c r="AB1071" s="1">
        <v>1</v>
      </c>
      <c r="AC1071" s="316">
        <v>1</v>
      </c>
      <c r="AD1071" s="316">
        <v>1</v>
      </c>
      <c r="AE1071" s="302">
        <f t="shared" si="78"/>
        <v>1</v>
      </c>
      <c r="AF1071" s="17"/>
      <c r="AG1071" s="17">
        <v>0</v>
      </c>
      <c r="AH1071" s="17">
        <v>0</v>
      </c>
      <c r="AI1071" s="17">
        <v>0</v>
      </c>
      <c r="AJ1071" s="17">
        <v>0</v>
      </c>
      <c r="AK1071" s="153">
        <v>0</v>
      </c>
      <c r="AL1071" s="154">
        <v>0</v>
      </c>
      <c r="AM1071" s="17">
        <f t="shared" si="79"/>
        <v>0</v>
      </c>
      <c r="AN1071" s="283" t="s">
        <v>265</v>
      </c>
      <c r="AO1071" s="18" t="s">
        <v>350</v>
      </c>
      <c r="AP1071" s="283" t="s">
        <v>119</v>
      </c>
    </row>
    <row r="1072" spans="1:42" x14ac:dyDescent="0.3">
      <c r="A1072" s="314" t="s">
        <v>1448</v>
      </c>
      <c r="B1072" s="283" t="s">
        <v>3447</v>
      </c>
      <c r="C1072" s="314" t="s">
        <v>3934</v>
      </c>
      <c r="D1072" s="283" t="s">
        <v>2439</v>
      </c>
      <c r="E1072" s="314" t="s">
        <v>3935</v>
      </c>
      <c r="F1072" s="283" t="s">
        <v>3936</v>
      </c>
      <c r="G1072" s="314" t="s">
        <v>3958</v>
      </c>
      <c r="H1072" s="283" t="s">
        <v>3959</v>
      </c>
      <c r="K1072" s="314" t="s">
        <v>3960</v>
      </c>
      <c r="L1072" s="283" t="s">
        <v>3961</v>
      </c>
      <c r="N1072" s="3"/>
      <c r="U1072" s="283" t="e">
        <v>#N/A</v>
      </c>
      <c r="V1072" s="1" t="s">
        <v>4000</v>
      </c>
      <c r="W1072" s="1">
        <v>1</v>
      </c>
      <c r="X1072" s="1">
        <v>1</v>
      </c>
      <c r="Y1072" s="1">
        <v>1</v>
      </c>
      <c r="Z1072" s="1">
        <v>1</v>
      </c>
      <c r="AA1072" s="1">
        <v>1</v>
      </c>
      <c r="AB1072" s="1">
        <v>1</v>
      </c>
      <c r="AC1072" s="316">
        <v>1</v>
      </c>
      <c r="AD1072" s="316">
        <v>1</v>
      </c>
      <c r="AE1072" s="302">
        <f t="shared" si="78"/>
        <v>1</v>
      </c>
      <c r="AF1072" s="17"/>
      <c r="AG1072" s="17">
        <v>0</v>
      </c>
      <c r="AH1072" s="17">
        <v>0</v>
      </c>
      <c r="AI1072" s="17">
        <v>0</v>
      </c>
      <c r="AJ1072" s="17">
        <v>0</v>
      </c>
      <c r="AK1072" s="153">
        <v>0.06</v>
      </c>
      <c r="AL1072" s="154">
        <v>0</v>
      </c>
      <c r="AM1072" s="17">
        <f t="shared" si="79"/>
        <v>0.06</v>
      </c>
      <c r="AN1072" s="283" t="s">
        <v>265</v>
      </c>
      <c r="AO1072" s="18" t="s">
        <v>350</v>
      </c>
      <c r="AP1072" s="283" t="s">
        <v>119</v>
      </c>
    </row>
    <row r="1073" spans="1:42" x14ac:dyDescent="0.3">
      <c r="A1073" s="314" t="s">
        <v>1448</v>
      </c>
      <c r="B1073" s="283" t="s">
        <v>3447</v>
      </c>
      <c r="C1073" s="314" t="s">
        <v>3934</v>
      </c>
      <c r="D1073" s="283" t="s">
        <v>2439</v>
      </c>
      <c r="E1073" s="314" t="s">
        <v>3935</v>
      </c>
      <c r="F1073" s="283" t="s">
        <v>3936</v>
      </c>
      <c r="G1073" s="314" t="s">
        <v>3958</v>
      </c>
      <c r="H1073" s="283" t="s">
        <v>3959</v>
      </c>
      <c r="K1073" s="314" t="s">
        <v>3960</v>
      </c>
      <c r="L1073" s="283" t="s">
        <v>3961</v>
      </c>
      <c r="N1073" s="3"/>
      <c r="U1073" s="283" t="e">
        <v>#N/A</v>
      </c>
      <c r="V1073" s="1" t="s">
        <v>4001</v>
      </c>
      <c r="W1073" s="1">
        <v>1</v>
      </c>
      <c r="X1073" s="1">
        <v>1</v>
      </c>
      <c r="Y1073" s="1">
        <v>1</v>
      </c>
      <c r="Z1073" s="1">
        <v>1</v>
      </c>
      <c r="AA1073" s="1">
        <v>1</v>
      </c>
      <c r="AB1073" s="1">
        <v>1</v>
      </c>
      <c r="AC1073" s="316">
        <v>1</v>
      </c>
      <c r="AD1073" s="316">
        <v>1</v>
      </c>
      <c r="AE1073" s="302">
        <f t="shared" si="78"/>
        <v>1</v>
      </c>
      <c r="AF1073" s="17"/>
      <c r="AG1073" s="17">
        <v>0</v>
      </c>
      <c r="AH1073" s="17">
        <v>0</v>
      </c>
      <c r="AI1073" s="17">
        <v>0</v>
      </c>
      <c r="AJ1073" s="17">
        <v>0</v>
      </c>
      <c r="AK1073" s="153">
        <v>0</v>
      </c>
      <c r="AL1073" s="154">
        <v>0</v>
      </c>
      <c r="AM1073" s="17">
        <f t="shared" si="79"/>
        <v>0</v>
      </c>
      <c r="AN1073" s="283" t="s">
        <v>265</v>
      </c>
      <c r="AO1073" s="18" t="s">
        <v>350</v>
      </c>
      <c r="AP1073" s="283" t="s">
        <v>119</v>
      </c>
    </row>
    <row r="1074" spans="1:42" x14ac:dyDescent="0.3">
      <c r="A1074" s="314" t="s">
        <v>1448</v>
      </c>
      <c r="B1074" s="283" t="s">
        <v>3447</v>
      </c>
      <c r="C1074" s="314" t="s">
        <v>3934</v>
      </c>
      <c r="D1074" s="283" t="s">
        <v>2439</v>
      </c>
      <c r="E1074" s="314" t="s">
        <v>3935</v>
      </c>
      <c r="F1074" s="283" t="s">
        <v>3936</v>
      </c>
      <c r="G1074" s="314" t="s">
        <v>3958</v>
      </c>
      <c r="H1074" s="283" t="s">
        <v>3959</v>
      </c>
      <c r="K1074" s="314" t="s">
        <v>3960</v>
      </c>
      <c r="L1074" s="283" t="s">
        <v>3961</v>
      </c>
      <c r="N1074" s="3"/>
      <c r="U1074" s="283" t="e">
        <v>#N/A</v>
      </c>
      <c r="V1074" s="1" t="s">
        <v>4002</v>
      </c>
      <c r="W1074" s="1">
        <v>1</v>
      </c>
      <c r="X1074" s="1">
        <v>1</v>
      </c>
      <c r="Y1074" s="1">
        <v>1</v>
      </c>
      <c r="Z1074" s="1">
        <v>1</v>
      </c>
      <c r="AA1074" s="1">
        <v>1</v>
      </c>
      <c r="AB1074" s="1">
        <v>1</v>
      </c>
      <c r="AC1074" s="316">
        <v>1</v>
      </c>
      <c r="AD1074" s="316">
        <v>1</v>
      </c>
      <c r="AE1074" s="302">
        <f t="shared" si="78"/>
        <v>1</v>
      </c>
      <c r="AF1074" s="17"/>
      <c r="AG1074" s="17">
        <v>0</v>
      </c>
      <c r="AH1074" s="17">
        <v>0</v>
      </c>
      <c r="AI1074" s="17">
        <v>0</v>
      </c>
      <c r="AJ1074" s="17">
        <v>0</v>
      </c>
      <c r="AK1074" s="153">
        <v>0</v>
      </c>
      <c r="AL1074" s="154">
        <v>0</v>
      </c>
      <c r="AM1074" s="17">
        <f t="shared" si="79"/>
        <v>0</v>
      </c>
      <c r="AN1074" s="283" t="s">
        <v>265</v>
      </c>
      <c r="AO1074" s="18" t="s">
        <v>350</v>
      </c>
      <c r="AP1074" s="283" t="s">
        <v>119</v>
      </c>
    </row>
    <row r="1075" spans="1:42" x14ac:dyDescent="0.3">
      <c r="A1075" s="314" t="s">
        <v>1448</v>
      </c>
      <c r="B1075" s="283" t="s">
        <v>3447</v>
      </c>
      <c r="C1075" s="314" t="s">
        <v>3934</v>
      </c>
      <c r="D1075" s="283" t="s">
        <v>2439</v>
      </c>
      <c r="E1075" s="314" t="s">
        <v>3935</v>
      </c>
      <c r="F1075" s="283" t="s">
        <v>3936</v>
      </c>
      <c r="G1075" s="314" t="s">
        <v>3958</v>
      </c>
      <c r="H1075" s="283" t="s">
        <v>3959</v>
      </c>
      <c r="K1075" s="314" t="s">
        <v>3960</v>
      </c>
      <c r="L1075" s="283" t="s">
        <v>3961</v>
      </c>
      <c r="N1075" s="3"/>
      <c r="U1075" s="283" t="e">
        <v>#N/A</v>
      </c>
      <c r="V1075" s="1" t="s">
        <v>4003</v>
      </c>
      <c r="W1075" s="1">
        <v>1</v>
      </c>
      <c r="X1075" s="1">
        <v>1</v>
      </c>
      <c r="Y1075" s="1">
        <v>1</v>
      </c>
      <c r="Z1075" s="1">
        <v>1</v>
      </c>
      <c r="AA1075" s="1">
        <v>1</v>
      </c>
      <c r="AB1075" s="1">
        <v>1</v>
      </c>
      <c r="AC1075" s="316">
        <v>1</v>
      </c>
      <c r="AD1075" s="316">
        <v>1</v>
      </c>
      <c r="AE1075" s="302">
        <f t="shared" si="78"/>
        <v>1</v>
      </c>
      <c r="AF1075" s="310"/>
      <c r="AG1075" s="17">
        <v>0</v>
      </c>
      <c r="AH1075" s="310">
        <v>0</v>
      </c>
      <c r="AI1075" s="310">
        <v>0.01</v>
      </c>
      <c r="AJ1075" s="310">
        <v>0.01</v>
      </c>
      <c r="AK1075" s="317">
        <v>0.01</v>
      </c>
      <c r="AL1075" s="317">
        <v>0.01</v>
      </c>
      <c r="AM1075" s="17">
        <f t="shared" si="79"/>
        <v>0.02</v>
      </c>
      <c r="AN1075" s="283" t="s">
        <v>1446</v>
      </c>
      <c r="AO1075" s="18" t="s">
        <v>3715</v>
      </c>
      <c r="AP1075" s="283" t="s">
        <v>119</v>
      </c>
    </row>
    <row r="1076" spans="1:42" hidden="1" x14ac:dyDescent="0.3">
      <c r="A1076" s="314" t="s">
        <v>1448</v>
      </c>
      <c r="B1076" s="283" t="s">
        <v>3447</v>
      </c>
      <c r="C1076" s="314" t="s">
        <v>3934</v>
      </c>
      <c r="D1076" s="283" t="s">
        <v>2439</v>
      </c>
      <c r="E1076" s="314" t="s">
        <v>3935</v>
      </c>
      <c r="F1076" s="283" t="s">
        <v>3936</v>
      </c>
      <c r="G1076" s="314" t="s">
        <v>3958</v>
      </c>
      <c r="H1076" s="283" t="s">
        <v>3959</v>
      </c>
      <c r="K1076" s="314" t="s">
        <v>3960</v>
      </c>
      <c r="L1076" s="283" t="s">
        <v>3961</v>
      </c>
      <c r="N1076" s="3"/>
      <c r="U1076" s="283" t="e">
        <v>#N/A</v>
      </c>
      <c r="V1076" s="1" t="s">
        <v>4004</v>
      </c>
      <c r="W1076" s="1">
        <v>1</v>
      </c>
      <c r="X1076" s="1">
        <v>1</v>
      </c>
      <c r="Y1076" s="1">
        <v>0</v>
      </c>
      <c r="Z1076" s="1">
        <v>1</v>
      </c>
      <c r="AA1076" s="1">
        <v>1</v>
      </c>
      <c r="AB1076" s="1">
        <v>0</v>
      </c>
      <c r="AC1076" s="316">
        <v>0</v>
      </c>
      <c r="AD1076" s="316">
        <v>1</v>
      </c>
      <c r="AE1076" s="302">
        <f t="shared" si="78"/>
        <v>0.625</v>
      </c>
      <c r="AF1076" s="310"/>
      <c r="AG1076" s="17">
        <v>0</v>
      </c>
      <c r="AH1076" s="310">
        <v>0.2</v>
      </c>
      <c r="AI1076" s="310">
        <v>0.2</v>
      </c>
      <c r="AJ1076" s="310">
        <v>0.2</v>
      </c>
      <c r="AK1076" s="317">
        <v>0.2</v>
      </c>
      <c r="AL1076" s="317"/>
      <c r="AM1076" s="17">
        <f t="shared" si="79"/>
        <v>0.2</v>
      </c>
      <c r="AN1076" s="283" t="s">
        <v>1446</v>
      </c>
      <c r="AO1076" s="18" t="s">
        <v>3715</v>
      </c>
      <c r="AP1076" s="283" t="s">
        <v>3635</v>
      </c>
    </row>
    <row r="1077" spans="1:42" x14ac:dyDescent="0.3">
      <c r="A1077" s="314" t="s">
        <v>1448</v>
      </c>
      <c r="B1077" s="283" t="s">
        <v>3447</v>
      </c>
      <c r="C1077" s="314" t="s">
        <v>3934</v>
      </c>
      <c r="D1077" s="283" t="s">
        <v>2439</v>
      </c>
      <c r="E1077" s="314" t="s">
        <v>3935</v>
      </c>
      <c r="F1077" s="283" t="s">
        <v>3936</v>
      </c>
      <c r="G1077" s="314" t="s">
        <v>4005</v>
      </c>
      <c r="H1077" s="283" t="s">
        <v>4006</v>
      </c>
      <c r="K1077" s="314" t="s">
        <v>4007</v>
      </c>
      <c r="L1077" s="283" t="s">
        <v>4008</v>
      </c>
      <c r="M1077" s="283" t="s">
        <v>4009</v>
      </c>
      <c r="N1077" s="3">
        <v>0</v>
      </c>
      <c r="O1077" s="3">
        <v>1</v>
      </c>
      <c r="P1077" s="3">
        <v>1</v>
      </c>
      <c r="Q1077" s="3">
        <v>1</v>
      </c>
      <c r="T1077" s="283" t="s">
        <v>265</v>
      </c>
      <c r="U1077" s="283" t="s">
        <v>350</v>
      </c>
      <c r="V1077" s="1" t="s">
        <v>4010</v>
      </c>
      <c r="W1077" s="1">
        <v>1</v>
      </c>
      <c r="X1077" s="1">
        <v>1</v>
      </c>
      <c r="Y1077" s="1">
        <v>1</v>
      </c>
      <c r="Z1077" s="1">
        <v>1</v>
      </c>
      <c r="AA1077" s="1">
        <v>1</v>
      </c>
      <c r="AB1077" s="1">
        <v>1</v>
      </c>
      <c r="AC1077" s="316">
        <v>1</v>
      </c>
      <c r="AD1077" s="316">
        <v>1</v>
      </c>
      <c r="AE1077" s="302">
        <f t="shared" si="78"/>
        <v>1</v>
      </c>
      <c r="AF1077" s="310"/>
      <c r="AG1077" s="17">
        <v>0</v>
      </c>
      <c r="AH1077" s="310">
        <v>0.3</v>
      </c>
      <c r="AI1077" s="310">
        <v>0.3</v>
      </c>
      <c r="AJ1077" s="310">
        <v>0.3</v>
      </c>
      <c r="AK1077" s="153">
        <v>0</v>
      </c>
      <c r="AL1077" s="154">
        <v>0</v>
      </c>
      <c r="AM1077" s="17">
        <f t="shared" si="79"/>
        <v>0</v>
      </c>
      <c r="AN1077" s="283" t="s">
        <v>265</v>
      </c>
      <c r="AO1077" s="18" t="s">
        <v>350</v>
      </c>
      <c r="AP1077" s="283" t="s">
        <v>921</v>
      </c>
    </row>
    <row r="1078" spans="1:42" x14ac:dyDescent="0.3">
      <c r="A1078" s="314" t="s">
        <v>1448</v>
      </c>
      <c r="B1078" s="283" t="s">
        <v>3447</v>
      </c>
      <c r="C1078" s="314" t="s">
        <v>3934</v>
      </c>
      <c r="D1078" s="283" t="s">
        <v>2439</v>
      </c>
      <c r="E1078" s="314" t="s">
        <v>3935</v>
      </c>
      <c r="F1078" s="283" t="s">
        <v>3936</v>
      </c>
      <c r="G1078" s="314" t="s">
        <v>4005</v>
      </c>
      <c r="H1078" s="283" t="s">
        <v>4006</v>
      </c>
      <c r="K1078" s="314" t="s">
        <v>4007</v>
      </c>
      <c r="L1078" s="283" t="s">
        <v>4008</v>
      </c>
      <c r="M1078" s="283" t="s">
        <v>4011</v>
      </c>
      <c r="N1078" s="3"/>
      <c r="U1078" s="283" t="e">
        <v>#N/A</v>
      </c>
      <c r="V1078" s="1" t="s">
        <v>4012</v>
      </c>
      <c r="W1078" s="1">
        <v>1</v>
      </c>
      <c r="X1078" s="1">
        <v>1</v>
      </c>
      <c r="Y1078" s="1">
        <v>1</v>
      </c>
      <c r="Z1078" s="1">
        <v>1</v>
      </c>
      <c r="AA1078" s="1">
        <v>1</v>
      </c>
      <c r="AB1078" s="1">
        <v>1</v>
      </c>
      <c r="AC1078" s="316">
        <v>1</v>
      </c>
      <c r="AD1078" s="316">
        <v>1</v>
      </c>
      <c r="AE1078" s="302">
        <f t="shared" si="78"/>
        <v>1</v>
      </c>
      <c r="AF1078" s="310"/>
      <c r="AG1078" s="17">
        <v>0</v>
      </c>
      <c r="AH1078" s="310">
        <v>0.3</v>
      </c>
      <c r="AI1078" s="310">
        <v>0.3</v>
      </c>
      <c r="AJ1078" s="310">
        <v>0.3</v>
      </c>
      <c r="AK1078" s="317">
        <v>0.3</v>
      </c>
      <c r="AL1078" s="317">
        <v>0.3</v>
      </c>
      <c r="AM1078" s="17">
        <f t="shared" si="79"/>
        <v>0.6</v>
      </c>
      <c r="AN1078" s="1" t="s">
        <v>921</v>
      </c>
      <c r="AO1078" s="18" t="s">
        <v>880</v>
      </c>
      <c r="AP1078" s="283" t="s">
        <v>4013</v>
      </c>
    </row>
    <row r="1079" spans="1:42" x14ac:dyDescent="0.3">
      <c r="A1079" s="314" t="s">
        <v>1448</v>
      </c>
      <c r="B1079" s="283" t="s">
        <v>3447</v>
      </c>
      <c r="C1079" s="314" t="s">
        <v>3934</v>
      </c>
      <c r="D1079" s="283" t="s">
        <v>2439</v>
      </c>
      <c r="E1079" s="314" t="s">
        <v>3935</v>
      </c>
      <c r="F1079" s="283" t="s">
        <v>3936</v>
      </c>
      <c r="G1079" s="314" t="s">
        <v>4005</v>
      </c>
      <c r="H1079" s="283" t="s">
        <v>4006</v>
      </c>
      <c r="K1079" s="314" t="s">
        <v>4007</v>
      </c>
      <c r="L1079" s="283" t="s">
        <v>4008</v>
      </c>
      <c r="N1079" s="3"/>
      <c r="U1079" s="283" t="e">
        <v>#N/A</v>
      </c>
      <c r="V1079" s="1" t="s">
        <v>4014</v>
      </c>
      <c r="W1079" s="1">
        <v>1</v>
      </c>
      <c r="X1079" s="1">
        <v>1</v>
      </c>
      <c r="Y1079" s="1">
        <v>1</v>
      </c>
      <c r="Z1079" s="1">
        <v>1</v>
      </c>
      <c r="AA1079" s="1">
        <v>1</v>
      </c>
      <c r="AB1079" s="1">
        <v>1</v>
      </c>
      <c r="AC1079" s="316">
        <v>1</v>
      </c>
      <c r="AD1079" s="316">
        <v>1</v>
      </c>
      <c r="AE1079" s="302">
        <f t="shared" si="78"/>
        <v>1</v>
      </c>
      <c r="AF1079" s="310"/>
      <c r="AG1079" s="17">
        <v>0</v>
      </c>
      <c r="AH1079" s="310">
        <v>0.2</v>
      </c>
      <c r="AI1079" s="310">
        <v>0.2</v>
      </c>
      <c r="AJ1079" s="17">
        <v>0</v>
      </c>
      <c r="AK1079" s="317">
        <v>0.2</v>
      </c>
      <c r="AL1079" s="317">
        <v>0.2</v>
      </c>
      <c r="AM1079" s="17">
        <f t="shared" si="79"/>
        <v>0.4</v>
      </c>
      <c r="AN1079" s="1" t="s">
        <v>921</v>
      </c>
      <c r="AO1079" s="18" t="s">
        <v>880</v>
      </c>
      <c r="AP1079" s="283" t="s">
        <v>4015</v>
      </c>
    </row>
    <row r="1080" spans="1:42" x14ac:dyDescent="0.3">
      <c r="A1080" s="314" t="s">
        <v>1448</v>
      </c>
      <c r="B1080" s="283" t="s">
        <v>3447</v>
      </c>
      <c r="C1080" s="314" t="s">
        <v>3934</v>
      </c>
      <c r="D1080" s="283" t="s">
        <v>2439</v>
      </c>
      <c r="E1080" s="314" t="s">
        <v>3935</v>
      </c>
      <c r="F1080" s="283" t="s">
        <v>3936</v>
      </c>
      <c r="G1080" s="314" t="s">
        <v>4005</v>
      </c>
      <c r="H1080" s="283" t="s">
        <v>4006</v>
      </c>
      <c r="K1080" s="314" t="s">
        <v>4007</v>
      </c>
      <c r="L1080" s="283" t="s">
        <v>4008</v>
      </c>
      <c r="N1080" s="3"/>
      <c r="U1080" s="283" t="e">
        <v>#N/A</v>
      </c>
      <c r="V1080" s="1" t="s">
        <v>4016</v>
      </c>
      <c r="W1080" s="1">
        <v>1</v>
      </c>
      <c r="X1080" s="1">
        <v>1</v>
      </c>
      <c r="Y1080" s="1">
        <v>1</v>
      </c>
      <c r="Z1080" s="1">
        <v>1</v>
      </c>
      <c r="AA1080" s="1">
        <v>1</v>
      </c>
      <c r="AB1080" s="1">
        <v>1</v>
      </c>
      <c r="AC1080" s="316">
        <v>1</v>
      </c>
      <c r="AD1080" s="316">
        <v>1</v>
      </c>
      <c r="AE1080" s="302">
        <f t="shared" si="78"/>
        <v>1</v>
      </c>
      <c r="AF1080" s="310"/>
      <c r="AG1080" s="17">
        <v>0</v>
      </c>
      <c r="AH1080" s="310">
        <v>0</v>
      </c>
      <c r="AI1080" s="310">
        <v>0</v>
      </c>
      <c r="AJ1080" s="310">
        <v>0</v>
      </c>
      <c r="AK1080" s="317">
        <v>1</v>
      </c>
      <c r="AL1080" s="317">
        <v>0</v>
      </c>
      <c r="AM1080" s="17">
        <f t="shared" si="79"/>
        <v>1</v>
      </c>
      <c r="AN1080" s="283" t="s">
        <v>265</v>
      </c>
      <c r="AO1080" s="18" t="s">
        <v>350</v>
      </c>
      <c r="AP1080" s="283" t="s">
        <v>119</v>
      </c>
    </row>
    <row r="1081" spans="1:42" x14ac:dyDescent="0.3">
      <c r="A1081" s="314" t="s">
        <v>1448</v>
      </c>
      <c r="B1081" s="283" t="s">
        <v>3447</v>
      </c>
      <c r="C1081" s="314" t="s">
        <v>3934</v>
      </c>
      <c r="D1081" s="283" t="s">
        <v>2439</v>
      </c>
      <c r="E1081" s="314" t="s">
        <v>3935</v>
      </c>
      <c r="F1081" s="283" t="s">
        <v>3936</v>
      </c>
      <c r="G1081" s="314" t="s">
        <v>4005</v>
      </c>
      <c r="H1081" s="283" t="s">
        <v>4006</v>
      </c>
      <c r="K1081" s="314" t="s">
        <v>4007</v>
      </c>
      <c r="L1081" s="283" t="s">
        <v>4008</v>
      </c>
      <c r="M1081" s="283" t="s">
        <v>4017</v>
      </c>
      <c r="N1081" s="3"/>
      <c r="O1081" s="211"/>
      <c r="P1081" s="211" t="s">
        <v>3532</v>
      </c>
      <c r="Q1081" s="211">
        <v>1</v>
      </c>
      <c r="R1081" s="211">
        <v>1</v>
      </c>
      <c r="S1081" s="211">
        <v>1</v>
      </c>
      <c r="T1081" s="283" t="s">
        <v>265</v>
      </c>
      <c r="U1081" s="283" t="s">
        <v>350</v>
      </c>
      <c r="V1081" s="1" t="s">
        <v>4018</v>
      </c>
      <c r="W1081" s="1">
        <v>1</v>
      </c>
      <c r="X1081" s="1">
        <v>1</v>
      </c>
      <c r="Y1081" s="1">
        <v>1</v>
      </c>
      <c r="Z1081" s="1">
        <v>1</v>
      </c>
      <c r="AA1081" s="1">
        <v>1</v>
      </c>
      <c r="AB1081" s="1">
        <v>1</v>
      </c>
      <c r="AC1081" s="316">
        <v>1</v>
      </c>
      <c r="AD1081" s="316">
        <v>1</v>
      </c>
      <c r="AE1081" s="302">
        <f t="shared" si="78"/>
        <v>1</v>
      </c>
      <c r="AF1081" s="17">
        <v>1</v>
      </c>
      <c r="AG1081" s="17">
        <v>0</v>
      </c>
      <c r="AH1081" s="17">
        <v>0</v>
      </c>
      <c r="AI1081" s="310">
        <v>0.1</v>
      </c>
      <c r="AJ1081" s="310">
        <v>0.1</v>
      </c>
      <c r="AK1081" s="317">
        <v>0.1</v>
      </c>
      <c r="AL1081" s="317">
        <v>0.1</v>
      </c>
      <c r="AM1081" s="17">
        <f t="shared" si="79"/>
        <v>0.2</v>
      </c>
      <c r="AN1081" s="283" t="s">
        <v>265</v>
      </c>
      <c r="AO1081" s="18" t="s">
        <v>350</v>
      </c>
      <c r="AP1081" s="283" t="s">
        <v>4019</v>
      </c>
    </row>
    <row r="1082" spans="1:42" x14ac:dyDescent="0.3">
      <c r="A1082" s="314" t="s">
        <v>1448</v>
      </c>
      <c r="B1082" s="283" t="s">
        <v>3447</v>
      </c>
      <c r="C1082" s="314" t="s">
        <v>3934</v>
      </c>
      <c r="D1082" s="283" t="s">
        <v>2439</v>
      </c>
      <c r="E1082" s="314" t="s">
        <v>3935</v>
      </c>
      <c r="F1082" s="283" t="s">
        <v>3936</v>
      </c>
      <c r="G1082" s="314" t="s">
        <v>4005</v>
      </c>
      <c r="H1082" s="283" t="s">
        <v>4006</v>
      </c>
      <c r="K1082" s="314" t="s">
        <v>4007</v>
      </c>
      <c r="L1082" s="283" t="s">
        <v>4008</v>
      </c>
      <c r="M1082" s="283" t="s">
        <v>4020</v>
      </c>
      <c r="N1082" s="3" t="s">
        <v>271</v>
      </c>
      <c r="O1082" s="3">
        <v>100</v>
      </c>
      <c r="P1082" s="3">
        <v>100</v>
      </c>
      <c r="Q1082" s="3">
        <v>100</v>
      </c>
      <c r="R1082" s="3">
        <v>100</v>
      </c>
      <c r="S1082" s="3">
        <v>100</v>
      </c>
      <c r="T1082" s="283" t="s">
        <v>1446</v>
      </c>
      <c r="U1082" s="283" t="s">
        <v>3715</v>
      </c>
      <c r="V1082" s="1" t="s">
        <v>4021</v>
      </c>
      <c r="W1082" s="1">
        <v>1</v>
      </c>
      <c r="X1082" s="1">
        <v>1</v>
      </c>
      <c r="Y1082" s="1">
        <v>0</v>
      </c>
      <c r="Z1082" s="1">
        <v>1</v>
      </c>
      <c r="AA1082" s="1">
        <v>1</v>
      </c>
      <c r="AB1082" s="1">
        <v>1</v>
      </c>
      <c r="AC1082" s="316">
        <v>0</v>
      </c>
      <c r="AD1082" s="316">
        <v>1</v>
      </c>
      <c r="AE1082" s="302">
        <f t="shared" si="78"/>
        <v>0.75</v>
      </c>
      <c r="AF1082" s="17"/>
      <c r="AG1082" s="17">
        <v>0</v>
      </c>
      <c r="AH1082" s="17">
        <v>0</v>
      </c>
      <c r="AI1082" s="310">
        <v>0.03</v>
      </c>
      <c r="AJ1082" s="310">
        <v>0.03</v>
      </c>
      <c r="AK1082" s="317">
        <v>0.03</v>
      </c>
      <c r="AL1082" s="317">
        <v>0.03</v>
      </c>
      <c r="AM1082" s="17">
        <f t="shared" si="79"/>
        <v>0.06</v>
      </c>
      <c r="AN1082" s="283" t="s">
        <v>1446</v>
      </c>
      <c r="AO1082" s="18" t="s">
        <v>3715</v>
      </c>
      <c r="AP1082" s="283" t="s">
        <v>4022</v>
      </c>
    </row>
    <row r="1083" spans="1:42" x14ac:dyDescent="0.3">
      <c r="A1083" s="314" t="s">
        <v>1448</v>
      </c>
      <c r="B1083" s="283" t="s">
        <v>3447</v>
      </c>
      <c r="C1083" s="314" t="s">
        <v>3934</v>
      </c>
      <c r="D1083" s="283" t="s">
        <v>2439</v>
      </c>
      <c r="E1083" s="314" t="s">
        <v>3935</v>
      </c>
      <c r="F1083" s="283" t="s">
        <v>3936</v>
      </c>
      <c r="G1083" s="314" t="s">
        <v>4023</v>
      </c>
      <c r="H1083" s="283" t="s">
        <v>4024</v>
      </c>
      <c r="K1083" s="318" t="s">
        <v>4025</v>
      </c>
      <c r="L1083" s="283" t="s">
        <v>4026</v>
      </c>
      <c r="M1083" s="283" t="s">
        <v>4027</v>
      </c>
      <c r="N1083" s="3">
        <v>0</v>
      </c>
      <c r="O1083" s="3">
        <v>0</v>
      </c>
      <c r="P1083" s="3">
        <v>0.5</v>
      </c>
      <c r="Q1083" s="3">
        <v>0.5</v>
      </c>
      <c r="R1083" s="3" t="s">
        <v>271</v>
      </c>
      <c r="S1083" s="3" t="s">
        <v>271</v>
      </c>
      <c r="T1083" s="283" t="s">
        <v>265</v>
      </c>
      <c r="U1083" s="283" t="s">
        <v>350</v>
      </c>
      <c r="V1083" s="1" t="s">
        <v>4028</v>
      </c>
      <c r="W1083" s="1">
        <v>1</v>
      </c>
      <c r="X1083" s="1">
        <v>1</v>
      </c>
      <c r="Y1083" s="1">
        <v>1</v>
      </c>
      <c r="Z1083" s="1">
        <v>1</v>
      </c>
      <c r="AA1083" s="1">
        <v>1</v>
      </c>
      <c r="AB1083" s="1">
        <v>1</v>
      </c>
      <c r="AC1083" s="316">
        <v>0</v>
      </c>
      <c r="AD1083" s="316">
        <v>1</v>
      </c>
      <c r="AE1083" s="302">
        <f t="shared" si="78"/>
        <v>0.875</v>
      </c>
      <c r="AF1083" s="310"/>
      <c r="AG1083" s="17">
        <v>0</v>
      </c>
      <c r="AH1083" s="310">
        <v>1</v>
      </c>
      <c r="AI1083" s="310">
        <v>1</v>
      </c>
      <c r="AJ1083" s="17">
        <v>0</v>
      </c>
      <c r="AK1083" s="153">
        <v>0</v>
      </c>
      <c r="AL1083" s="154">
        <v>0</v>
      </c>
      <c r="AM1083" s="17">
        <f t="shared" si="79"/>
        <v>0</v>
      </c>
      <c r="AN1083" s="283" t="s">
        <v>265</v>
      </c>
      <c r="AO1083" s="18" t="s">
        <v>350</v>
      </c>
      <c r="AP1083" s="283" t="s">
        <v>3903</v>
      </c>
    </row>
    <row r="1084" spans="1:42" hidden="1" x14ac:dyDescent="0.3">
      <c r="A1084" s="314" t="s">
        <v>1448</v>
      </c>
      <c r="B1084" s="283" t="s">
        <v>3447</v>
      </c>
      <c r="C1084" s="314" t="s">
        <v>3934</v>
      </c>
      <c r="D1084" s="283" t="s">
        <v>2439</v>
      </c>
      <c r="E1084" s="314" t="s">
        <v>3935</v>
      </c>
      <c r="F1084" s="283" t="s">
        <v>3936</v>
      </c>
      <c r="G1084" s="314" t="s">
        <v>4023</v>
      </c>
      <c r="H1084" s="283" t="s">
        <v>4024</v>
      </c>
      <c r="K1084" s="314" t="s">
        <v>4029</v>
      </c>
      <c r="L1084" s="283" t="s">
        <v>4030</v>
      </c>
      <c r="M1084" s="283" t="s">
        <v>4031</v>
      </c>
      <c r="N1084" s="3">
        <v>0</v>
      </c>
      <c r="P1084" s="3">
        <v>5</v>
      </c>
      <c r="Q1084" s="3">
        <v>5</v>
      </c>
      <c r="R1084" s="3">
        <v>5</v>
      </c>
      <c r="S1084" s="3">
        <v>5</v>
      </c>
      <c r="T1084" s="283" t="s">
        <v>265</v>
      </c>
      <c r="U1084" s="283" t="s">
        <v>350</v>
      </c>
      <c r="V1084" s="1" t="s">
        <v>4032</v>
      </c>
      <c r="W1084" s="1">
        <v>1</v>
      </c>
      <c r="X1084" s="1">
        <v>1</v>
      </c>
      <c r="Y1084" s="1">
        <v>0</v>
      </c>
      <c r="Z1084" s="1">
        <v>0</v>
      </c>
      <c r="AA1084" s="1">
        <v>1</v>
      </c>
      <c r="AB1084" s="1">
        <v>0</v>
      </c>
      <c r="AC1084" s="316">
        <v>1</v>
      </c>
      <c r="AD1084" s="316">
        <v>1</v>
      </c>
      <c r="AE1084" s="302">
        <f t="shared" si="78"/>
        <v>0.625</v>
      </c>
      <c r="AF1084" s="17"/>
      <c r="AG1084" s="17">
        <v>0</v>
      </c>
      <c r="AH1084" s="17">
        <v>0</v>
      </c>
      <c r="AI1084" s="310">
        <v>0.3</v>
      </c>
      <c r="AJ1084" s="310">
        <v>0.3</v>
      </c>
      <c r="AK1084" s="317">
        <v>0.3</v>
      </c>
      <c r="AL1084" s="317"/>
      <c r="AM1084" s="17">
        <f t="shared" si="79"/>
        <v>0.3</v>
      </c>
      <c r="AN1084" s="283" t="s">
        <v>265</v>
      </c>
      <c r="AO1084" s="18" t="s">
        <v>350</v>
      </c>
      <c r="AP1084" s="283" t="s">
        <v>4033</v>
      </c>
    </row>
    <row r="1085" spans="1:42" x14ac:dyDescent="0.3">
      <c r="A1085" s="314" t="s">
        <v>1448</v>
      </c>
      <c r="B1085" s="283" t="s">
        <v>3447</v>
      </c>
      <c r="C1085" s="314" t="s">
        <v>3934</v>
      </c>
      <c r="D1085" s="283" t="s">
        <v>2439</v>
      </c>
      <c r="E1085" s="314" t="s">
        <v>3935</v>
      </c>
      <c r="F1085" s="283" t="s">
        <v>3936</v>
      </c>
      <c r="G1085" s="314" t="s">
        <v>4023</v>
      </c>
      <c r="H1085" s="283" t="s">
        <v>4024</v>
      </c>
      <c r="K1085" s="314" t="s">
        <v>4029</v>
      </c>
      <c r="L1085" s="283" t="s">
        <v>4030</v>
      </c>
      <c r="M1085" s="283" t="s">
        <v>4034</v>
      </c>
      <c r="N1085" s="3">
        <v>0</v>
      </c>
      <c r="P1085" s="3" t="s">
        <v>3565</v>
      </c>
      <c r="Q1085" s="3">
        <v>2</v>
      </c>
      <c r="R1085" s="3" t="s">
        <v>3565</v>
      </c>
      <c r="S1085" s="3">
        <v>2</v>
      </c>
      <c r="T1085" s="283" t="s">
        <v>265</v>
      </c>
      <c r="U1085" s="283" t="s">
        <v>350</v>
      </c>
      <c r="V1085" s="1" t="s">
        <v>4035</v>
      </c>
      <c r="W1085" s="1">
        <v>1</v>
      </c>
      <c r="X1085" s="1">
        <v>1</v>
      </c>
      <c r="Y1085" s="1">
        <v>0</v>
      </c>
      <c r="Z1085" s="1">
        <v>1</v>
      </c>
      <c r="AA1085" s="1">
        <v>1</v>
      </c>
      <c r="AB1085" s="1">
        <v>1</v>
      </c>
      <c r="AC1085" s="316">
        <v>1</v>
      </c>
      <c r="AD1085" s="316">
        <v>1</v>
      </c>
      <c r="AE1085" s="302">
        <f t="shared" si="78"/>
        <v>0.875</v>
      </c>
      <c r="AF1085" s="17"/>
      <c r="AG1085" s="17">
        <v>0</v>
      </c>
      <c r="AH1085" s="17">
        <v>0</v>
      </c>
      <c r="AI1085" s="310">
        <v>0.2</v>
      </c>
      <c r="AJ1085" s="310">
        <v>0.2</v>
      </c>
      <c r="AK1085" s="317">
        <v>0.2</v>
      </c>
      <c r="AL1085" s="317">
        <v>0.2</v>
      </c>
      <c r="AM1085" s="17">
        <f t="shared" si="79"/>
        <v>0.4</v>
      </c>
      <c r="AN1085" s="283" t="s">
        <v>265</v>
      </c>
      <c r="AO1085" s="18" t="s">
        <v>350</v>
      </c>
      <c r="AP1085" s="283" t="s">
        <v>4036</v>
      </c>
    </row>
    <row r="1086" spans="1:42" x14ac:dyDescent="0.3">
      <c r="A1086" s="314" t="s">
        <v>1448</v>
      </c>
      <c r="B1086" s="283" t="s">
        <v>3447</v>
      </c>
      <c r="C1086" s="314" t="s">
        <v>3934</v>
      </c>
      <c r="D1086" s="283" t="s">
        <v>2439</v>
      </c>
      <c r="E1086" s="314" t="s">
        <v>3935</v>
      </c>
      <c r="F1086" s="283" t="s">
        <v>3936</v>
      </c>
      <c r="G1086" s="314" t="s">
        <v>4023</v>
      </c>
      <c r="H1086" s="283" t="s">
        <v>4024</v>
      </c>
      <c r="K1086" s="314" t="s">
        <v>4029</v>
      </c>
      <c r="L1086" s="283" t="s">
        <v>4030</v>
      </c>
      <c r="M1086" s="283" t="s">
        <v>4037</v>
      </c>
      <c r="N1086" s="3">
        <v>0</v>
      </c>
      <c r="O1086" s="3">
        <v>200</v>
      </c>
      <c r="P1086" s="3" t="s">
        <v>4038</v>
      </c>
      <c r="Q1086" s="3" t="s">
        <v>4038</v>
      </c>
      <c r="R1086" s="3" t="s">
        <v>4038</v>
      </c>
      <c r="S1086" s="3" t="s">
        <v>4038</v>
      </c>
      <c r="T1086" s="283" t="s">
        <v>265</v>
      </c>
      <c r="U1086" s="283" t="s">
        <v>350</v>
      </c>
      <c r="V1086" s="344" t="s">
        <v>4039</v>
      </c>
      <c r="W1086" s="1">
        <v>1</v>
      </c>
      <c r="X1086" s="1">
        <v>1</v>
      </c>
      <c r="Y1086" s="1">
        <v>1</v>
      </c>
      <c r="Z1086" s="1">
        <v>1</v>
      </c>
      <c r="AA1086" s="1">
        <v>1</v>
      </c>
      <c r="AB1086" s="1">
        <v>1</v>
      </c>
      <c r="AC1086" s="316">
        <v>1</v>
      </c>
      <c r="AD1086" s="316">
        <v>1</v>
      </c>
      <c r="AE1086" s="302">
        <f t="shared" si="78"/>
        <v>1</v>
      </c>
      <c r="AF1086" s="17"/>
      <c r="AG1086" s="17">
        <v>0</v>
      </c>
      <c r="AH1086" s="17">
        <v>0</v>
      </c>
      <c r="AI1086" s="310">
        <v>0</v>
      </c>
      <c r="AJ1086" s="310">
        <v>0</v>
      </c>
      <c r="AK1086" s="153">
        <v>0</v>
      </c>
      <c r="AL1086" s="154">
        <v>0</v>
      </c>
      <c r="AM1086" s="17">
        <f t="shared" si="79"/>
        <v>0</v>
      </c>
      <c r="AN1086" s="283" t="s">
        <v>265</v>
      </c>
      <c r="AO1086" s="18" t="s">
        <v>350</v>
      </c>
      <c r="AP1086" s="283" t="s">
        <v>3903</v>
      </c>
    </row>
    <row r="1087" spans="1:42" x14ac:dyDescent="0.3">
      <c r="A1087" s="314" t="s">
        <v>1448</v>
      </c>
      <c r="B1087" s="283" t="s">
        <v>3447</v>
      </c>
      <c r="C1087" s="314" t="s">
        <v>3934</v>
      </c>
      <c r="D1087" s="283" t="s">
        <v>2439</v>
      </c>
      <c r="E1087" s="314" t="s">
        <v>3935</v>
      </c>
      <c r="F1087" s="283" t="s">
        <v>3936</v>
      </c>
      <c r="G1087" s="314" t="s">
        <v>4023</v>
      </c>
      <c r="H1087" s="283" t="s">
        <v>4024</v>
      </c>
      <c r="K1087" s="314" t="s">
        <v>4029</v>
      </c>
      <c r="L1087" s="283" t="s">
        <v>4030</v>
      </c>
      <c r="N1087" s="3"/>
      <c r="U1087" s="283" t="e">
        <v>#N/A</v>
      </c>
      <c r="V1087" s="1" t="s">
        <v>4040</v>
      </c>
      <c r="W1087" s="1">
        <v>1</v>
      </c>
      <c r="X1087" s="1">
        <v>1</v>
      </c>
      <c r="Y1087" s="1">
        <v>1</v>
      </c>
      <c r="Z1087" s="1">
        <v>0</v>
      </c>
      <c r="AA1087" s="1">
        <v>1</v>
      </c>
      <c r="AB1087" s="1">
        <v>1</v>
      </c>
      <c r="AC1087" s="316">
        <v>1</v>
      </c>
      <c r="AD1087" s="316">
        <v>1</v>
      </c>
      <c r="AE1087" s="302">
        <f t="shared" si="78"/>
        <v>0.875</v>
      </c>
      <c r="AF1087" s="310"/>
      <c r="AG1087" s="17">
        <v>0</v>
      </c>
      <c r="AH1087" s="310">
        <v>0.2</v>
      </c>
      <c r="AI1087" s="310">
        <v>0.2</v>
      </c>
      <c r="AJ1087" s="17">
        <v>0</v>
      </c>
      <c r="AK1087" s="153">
        <v>0</v>
      </c>
      <c r="AL1087" s="154">
        <v>0</v>
      </c>
      <c r="AM1087" s="17">
        <f t="shared" si="79"/>
        <v>0</v>
      </c>
      <c r="AN1087" s="283" t="s">
        <v>265</v>
      </c>
      <c r="AO1087" s="18" t="s">
        <v>350</v>
      </c>
      <c r="AP1087" s="283" t="s">
        <v>3903</v>
      </c>
    </row>
    <row r="1088" spans="1:42" x14ac:dyDescent="0.3">
      <c r="A1088" s="314" t="s">
        <v>1448</v>
      </c>
      <c r="B1088" s="283" t="s">
        <v>3447</v>
      </c>
      <c r="C1088" s="314" t="s">
        <v>3934</v>
      </c>
      <c r="D1088" s="283" t="s">
        <v>2439</v>
      </c>
      <c r="E1088" s="314" t="s">
        <v>3935</v>
      </c>
      <c r="F1088" s="283" t="s">
        <v>3936</v>
      </c>
      <c r="G1088" s="314" t="s">
        <v>4023</v>
      </c>
      <c r="H1088" s="283" t="s">
        <v>4024</v>
      </c>
      <c r="K1088" s="314" t="s">
        <v>4029</v>
      </c>
      <c r="L1088" s="283" t="s">
        <v>4030</v>
      </c>
      <c r="N1088" s="3"/>
      <c r="U1088" s="283" t="e">
        <v>#N/A</v>
      </c>
      <c r="V1088" s="1" t="s">
        <v>4041</v>
      </c>
      <c r="W1088" s="1">
        <v>1</v>
      </c>
      <c r="X1088" s="1">
        <v>1</v>
      </c>
      <c r="Y1088" s="1">
        <v>1</v>
      </c>
      <c r="Z1088" s="1">
        <v>1</v>
      </c>
      <c r="AA1088" s="1">
        <v>1</v>
      </c>
      <c r="AB1088" s="1">
        <v>1</v>
      </c>
      <c r="AC1088" s="316">
        <v>0</v>
      </c>
      <c r="AD1088" s="316">
        <v>1</v>
      </c>
      <c r="AE1088" s="302">
        <f t="shared" si="78"/>
        <v>0.875</v>
      </c>
      <c r="AF1088" s="17"/>
      <c r="AG1088" s="17">
        <v>0</v>
      </c>
      <c r="AH1088" s="17">
        <v>0</v>
      </c>
      <c r="AI1088" s="310">
        <v>0.3</v>
      </c>
      <c r="AJ1088" s="17">
        <v>0</v>
      </c>
      <c r="AK1088" s="153">
        <v>0</v>
      </c>
      <c r="AL1088" s="154">
        <v>0</v>
      </c>
      <c r="AM1088" s="17">
        <f t="shared" si="79"/>
        <v>0</v>
      </c>
      <c r="AN1088" s="283" t="s">
        <v>265</v>
      </c>
      <c r="AO1088" s="18" t="s">
        <v>350</v>
      </c>
      <c r="AP1088" s="283" t="s">
        <v>3903</v>
      </c>
    </row>
    <row r="1089" spans="1:42" x14ac:dyDescent="0.3">
      <c r="A1089" s="314" t="s">
        <v>1448</v>
      </c>
      <c r="B1089" s="283" t="s">
        <v>3447</v>
      </c>
      <c r="C1089" s="314" t="s">
        <v>3934</v>
      </c>
      <c r="D1089" s="283" t="s">
        <v>2439</v>
      </c>
      <c r="E1089" s="314" t="s">
        <v>3935</v>
      </c>
      <c r="F1089" s="283" t="s">
        <v>3936</v>
      </c>
      <c r="G1089" s="314" t="s">
        <v>4023</v>
      </c>
      <c r="H1089" s="283" t="s">
        <v>4024</v>
      </c>
      <c r="K1089" s="314" t="s">
        <v>4029</v>
      </c>
      <c r="L1089" s="283" t="s">
        <v>4030</v>
      </c>
      <c r="N1089" s="3"/>
      <c r="U1089" s="283" t="e">
        <v>#N/A</v>
      </c>
      <c r="V1089" s="1" t="s">
        <v>4042</v>
      </c>
      <c r="W1089" s="1">
        <v>1</v>
      </c>
      <c r="X1089" s="1">
        <v>0</v>
      </c>
      <c r="Y1089" s="1">
        <v>0</v>
      </c>
      <c r="Z1089" s="1">
        <v>1</v>
      </c>
      <c r="AA1089" s="1">
        <v>1</v>
      </c>
      <c r="AB1089" s="1">
        <v>1</v>
      </c>
      <c r="AC1089" s="316">
        <v>1</v>
      </c>
      <c r="AD1089" s="316">
        <v>1</v>
      </c>
      <c r="AE1089" s="302">
        <f t="shared" si="78"/>
        <v>0.75</v>
      </c>
      <c r="AF1089" s="17"/>
      <c r="AG1089" s="17">
        <v>0</v>
      </c>
      <c r="AH1089" s="17">
        <v>0</v>
      </c>
      <c r="AI1089" s="310">
        <v>1</v>
      </c>
      <c r="AJ1089" s="310">
        <v>1</v>
      </c>
      <c r="AK1089" s="317">
        <v>1</v>
      </c>
      <c r="AL1089" s="317">
        <v>1</v>
      </c>
      <c r="AM1089" s="17">
        <f t="shared" si="79"/>
        <v>2</v>
      </c>
      <c r="AN1089" s="283" t="s">
        <v>265</v>
      </c>
      <c r="AO1089" s="18" t="s">
        <v>350</v>
      </c>
      <c r="AP1089" s="283" t="s">
        <v>4043</v>
      </c>
    </row>
    <row r="1090" spans="1:42" x14ac:dyDescent="0.3">
      <c r="A1090" s="314" t="s">
        <v>1448</v>
      </c>
      <c r="B1090" s="283" t="s">
        <v>3447</v>
      </c>
      <c r="C1090" s="314" t="s">
        <v>3934</v>
      </c>
      <c r="D1090" s="283" t="s">
        <v>2439</v>
      </c>
      <c r="E1090" s="314" t="s">
        <v>3935</v>
      </c>
      <c r="F1090" s="283" t="s">
        <v>3936</v>
      </c>
      <c r="G1090" s="314" t="s">
        <v>4023</v>
      </c>
      <c r="H1090" s="283" t="s">
        <v>4024</v>
      </c>
      <c r="K1090" s="318" t="s">
        <v>4044</v>
      </c>
      <c r="L1090" s="283" t="s">
        <v>4045</v>
      </c>
      <c r="M1090" s="283" t="s">
        <v>4046</v>
      </c>
      <c r="N1090" s="3">
        <v>0</v>
      </c>
      <c r="O1090" s="3">
        <v>5</v>
      </c>
      <c r="P1090" s="3">
        <v>10</v>
      </c>
      <c r="Q1090" s="3">
        <v>10</v>
      </c>
      <c r="R1090" s="3">
        <v>10</v>
      </c>
      <c r="S1090" s="3">
        <v>10</v>
      </c>
      <c r="T1090" s="283" t="s">
        <v>265</v>
      </c>
      <c r="U1090" s="283" t="s">
        <v>350</v>
      </c>
      <c r="V1090" s="1" t="s">
        <v>4047</v>
      </c>
      <c r="W1090" s="1">
        <v>0</v>
      </c>
      <c r="X1090" s="1">
        <v>0</v>
      </c>
      <c r="Y1090" s="1">
        <v>1</v>
      </c>
      <c r="Z1090" s="1">
        <v>1</v>
      </c>
      <c r="AA1090" s="1">
        <v>1</v>
      </c>
      <c r="AB1090" s="1">
        <v>1</v>
      </c>
      <c r="AC1090" s="316">
        <v>1</v>
      </c>
      <c r="AD1090" s="316">
        <v>1</v>
      </c>
      <c r="AE1090" s="302">
        <f t="shared" ref="AE1090:AE1091" si="80">SUM(W1090:AD1090)/8</f>
        <v>0.75</v>
      </c>
      <c r="AF1090" s="310"/>
      <c r="AG1090" s="17">
        <v>0</v>
      </c>
      <c r="AH1090" s="310">
        <v>0.1</v>
      </c>
      <c r="AI1090" s="310">
        <v>0.2</v>
      </c>
      <c r="AJ1090" s="310">
        <v>0.2</v>
      </c>
      <c r="AK1090" s="317">
        <v>0.2</v>
      </c>
      <c r="AL1090" s="317">
        <v>0.2</v>
      </c>
      <c r="AM1090" s="17">
        <f t="shared" ref="AM1090:AM1091" si="81">SUM(AK1090:AL1090)</f>
        <v>0.4</v>
      </c>
      <c r="AN1090" s="283" t="s">
        <v>265</v>
      </c>
      <c r="AO1090" s="18" t="s">
        <v>350</v>
      </c>
      <c r="AP1090" s="283" t="s">
        <v>4043</v>
      </c>
    </row>
    <row r="1091" spans="1:42" x14ac:dyDescent="0.3">
      <c r="A1091" s="314" t="s">
        <v>1448</v>
      </c>
      <c r="B1091" s="283" t="s">
        <v>3447</v>
      </c>
      <c r="C1091" s="314" t="s">
        <v>3934</v>
      </c>
      <c r="D1091" s="283" t="s">
        <v>2439</v>
      </c>
      <c r="E1091" s="314" t="s">
        <v>3935</v>
      </c>
      <c r="F1091" s="283" t="s">
        <v>3936</v>
      </c>
      <c r="G1091" s="314" t="s">
        <v>4023</v>
      </c>
      <c r="H1091" s="283" t="s">
        <v>4024</v>
      </c>
      <c r="K1091" s="318" t="s">
        <v>4044</v>
      </c>
      <c r="L1091" s="283" t="s">
        <v>4045</v>
      </c>
      <c r="M1091" s="283" t="s">
        <v>4048</v>
      </c>
      <c r="N1091" s="3">
        <v>0</v>
      </c>
      <c r="P1091" s="3">
        <v>1</v>
      </c>
      <c r="Q1091" s="3">
        <v>0</v>
      </c>
      <c r="R1091" s="3">
        <v>0</v>
      </c>
      <c r="S1091" s="3">
        <v>0</v>
      </c>
      <c r="T1091" s="283" t="s">
        <v>265</v>
      </c>
      <c r="U1091" s="283" t="s">
        <v>350</v>
      </c>
      <c r="V1091" s="1" t="s">
        <v>4049</v>
      </c>
      <c r="W1091" s="1">
        <v>1</v>
      </c>
      <c r="X1091" s="1">
        <v>0</v>
      </c>
      <c r="Y1091" s="1">
        <v>1</v>
      </c>
      <c r="Z1091" s="1">
        <v>1</v>
      </c>
      <c r="AA1091" s="1">
        <v>1</v>
      </c>
      <c r="AB1091" s="1">
        <v>1</v>
      </c>
      <c r="AC1091" s="316">
        <v>1</v>
      </c>
      <c r="AD1091" s="316">
        <v>1</v>
      </c>
      <c r="AE1091" s="302">
        <f t="shared" si="80"/>
        <v>0.875</v>
      </c>
      <c r="AF1091" s="17"/>
      <c r="AG1091" s="17">
        <v>0</v>
      </c>
      <c r="AH1091" s="17">
        <v>0</v>
      </c>
      <c r="AI1091" s="310">
        <v>1</v>
      </c>
      <c r="AJ1091" s="17">
        <v>0</v>
      </c>
      <c r="AK1091" s="153">
        <v>0</v>
      </c>
      <c r="AL1091" s="154">
        <v>0</v>
      </c>
      <c r="AM1091" s="17">
        <f t="shared" si="81"/>
        <v>0</v>
      </c>
      <c r="AN1091" s="283" t="s">
        <v>265</v>
      </c>
      <c r="AO1091" s="18" t="s">
        <v>350</v>
      </c>
      <c r="AP1091" s="283" t="s">
        <v>3605</v>
      </c>
    </row>
    <row r="1092" spans="1:42" s="293" customFormat="1" hidden="1" x14ac:dyDescent="0.3">
      <c r="A1092" s="50" t="s">
        <v>1444</v>
      </c>
      <c r="B1092" s="51" t="s">
        <v>4050</v>
      </c>
      <c r="C1092" s="50" t="s">
        <v>4051</v>
      </c>
      <c r="D1092" s="51" t="s">
        <v>1491</v>
      </c>
      <c r="E1092" s="50" t="s">
        <v>4051</v>
      </c>
      <c r="F1092" s="51" t="s">
        <v>1493</v>
      </c>
      <c r="G1092" s="50" t="s">
        <v>4051</v>
      </c>
      <c r="H1092" s="51" t="s">
        <v>1491</v>
      </c>
      <c r="I1092" s="51"/>
      <c r="J1092" s="51"/>
      <c r="K1092" s="50" t="s">
        <v>4051</v>
      </c>
      <c r="L1092" s="51" t="s">
        <v>1491</v>
      </c>
      <c r="M1092" s="60" t="s">
        <v>271</v>
      </c>
      <c r="N1092" s="60" t="s">
        <v>271</v>
      </c>
      <c r="O1092" s="60" t="s">
        <v>271</v>
      </c>
      <c r="P1092" s="60" t="s">
        <v>271</v>
      </c>
      <c r="Q1092" s="60" t="s">
        <v>271</v>
      </c>
      <c r="R1092" s="60" t="s">
        <v>271</v>
      </c>
      <c r="S1092" s="60" t="s">
        <v>271</v>
      </c>
      <c r="T1092" s="60" t="s">
        <v>271</v>
      </c>
      <c r="U1092" s="60" t="s">
        <v>271</v>
      </c>
      <c r="V1092" s="51" t="s">
        <v>1489</v>
      </c>
      <c r="W1092" s="291"/>
      <c r="X1092" s="291"/>
      <c r="Y1092" s="291"/>
      <c r="Z1092" s="291"/>
      <c r="AA1092" s="291"/>
      <c r="AB1092" s="291"/>
      <c r="AC1092" s="291"/>
      <c r="AD1092" s="291"/>
      <c r="AE1092" s="292"/>
      <c r="AF1092" s="56"/>
      <c r="AG1092" s="292"/>
      <c r="AH1092" s="56"/>
      <c r="AI1092" s="56"/>
      <c r="AJ1092" s="56"/>
      <c r="AK1092" s="57">
        <v>0</v>
      </c>
      <c r="AL1092" s="57">
        <v>0</v>
      </c>
      <c r="AM1092" s="56">
        <f>SUM(AK1092:AL1092)</f>
        <v>0</v>
      </c>
      <c r="AN1092" s="52"/>
      <c r="AO1092" s="52"/>
      <c r="AP1092" s="51"/>
    </row>
    <row r="1093" spans="1:42" s="293" customFormat="1" hidden="1" x14ac:dyDescent="0.3">
      <c r="A1093" s="50" t="s">
        <v>1444</v>
      </c>
      <c r="B1093" s="51" t="s">
        <v>4050</v>
      </c>
      <c r="C1093" s="50" t="s">
        <v>4051</v>
      </c>
      <c r="D1093" s="51" t="s">
        <v>1491</v>
      </c>
      <c r="E1093" s="50" t="s">
        <v>4051</v>
      </c>
      <c r="F1093" s="51" t="s">
        <v>1493</v>
      </c>
      <c r="G1093" s="50" t="s">
        <v>4051</v>
      </c>
      <c r="H1093" s="51" t="s">
        <v>1491</v>
      </c>
      <c r="I1093" s="51"/>
      <c r="J1093" s="51"/>
      <c r="K1093" s="50" t="s">
        <v>4051</v>
      </c>
      <c r="L1093" s="51" t="s">
        <v>1491</v>
      </c>
      <c r="M1093" s="60" t="s">
        <v>271</v>
      </c>
      <c r="N1093" s="60" t="s">
        <v>271</v>
      </c>
      <c r="O1093" s="60" t="s">
        <v>271</v>
      </c>
      <c r="P1093" s="60" t="s">
        <v>271</v>
      </c>
      <c r="Q1093" s="60" t="s">
        <v>271</v>
      </c>
      <c r="R1093" s="60" t="s">
        <v>271</v>
      </c>
      <c r="S1093" s="60" t="s">
        <v>271</v>
      </c>
      <c r="T1093" s="60" t="s">
        <v>271</v>
      </c>
      <c r="U1093" s="60" t="s">
        <v>271</v>
      </c>
      <c r="V1093" s="51" t="s">
        <v>1490</v>
      </c>
      <c r="W1093" s="291"/>
      <c r="X1093" s="291"/>
      <c r="Y1093" s="291"/>
      <c r="Z1093" s="291"/>
      <c r="AA1093" s="291"/>
      <c r="AB1093" s="291"/>
      <c r="AC1093" s="291"/>
      <c r="AD1093" s="291"/>
      <c r="AE1093" s="292"/>
      <c r="AF1093" s="56"/>
      <c r="AG1093" s="292"/>
      <c r="AH1093" s="56"/>
      <c r="AI1093" s="56"/>
      <c r="AJ1093" s="56"/>
      <c r="AK1093" s="57">
        <v>0</v>
      </c>
      <c r="AL1093" s="57">
        <v>0</v>
      </c>
      <c r="AM1093" s="56">
        <f>SUM(AK1093:AL1093)</f>
        <v>0</v>
      </c>
      <c r="AN1093" s="52"/>
      <c r="AO1093" s="52"/>
      <c r="AP1093" s="51"/>
    </row>
    <row r="1094" spans="1:42" s="293" customFormat="1" hidden="1" x14ac:dyDescent="0.3">
      <c r="A1094" s="50" t="s">
        <v>1444</v>
      </c>
      <c r="B1094" s="51" t="s">
        <v>4050</v>
      </c>
      <c r="C1094" s="50" t="s">
        <v>4051</v>
      </c>
      <c r="D1094" s="51" t="s">
        <v>1491</v>
      </c>
      <c r="E1094" s="50" t="s">
        <v>4051</v>
      </c>
      <c r="F1094" s="51" t="s">
        <v>1493</v>
      </c>
      <c r="G1094" s="50" t="s">
        <v>4051</v>
      </c>
      <c r="H1094" s="51" t="s">
        <v>1491</v>
      </c>
      <c r="I1094" s="51"/>
      <c r="J1094" s="51"/>
      <c r="K1094" s="50" t="s">
        <v>4051</v>
      </c>
      <c r="L1094" s="51" t="s">
        <v>1491</v>
      </c>
      <c r="M1094" s="60" t="s">
        <v>271</v>
      </c>
      <c r="N1094" s="60" t="s">
        <v>271</v>
      </c>
      <c r="O1094" s="60" t="s">
        <v>271</v>
      </c>
      <c r="P1094" s="60" t="s">
        <v>271</v>
      </c>
      <c r="Q1094" s="60" t="s">
        <v>271</v>
      </c>
      <c r="R1094" s="60" t="s">
        <v>271</v>
      </c>
      <c r="S1094" s="60" t="s">
        <v>271</v>
      </c>
      <c r="T1094" s="60" t="s">
        <v>271</v>
      </c>
      <c r="U1094" s="60" t="s">
        <v>271</v>
      </c>
      <c r="V1094" s="51" t="s">
        <v>1495</v>
      </c>
      <c r="W1094" s="291"/>
      <c r="X1094" s="291"/>
      <c r="Y1094" s="291"/>
      <c r="Z1094" s="291"/>
      <c r="AA1094" s="291"/>
      <c r="AB1094" s="291"/>
      <c r="AC1094" s="291"/>
      <c r="AD1094" s="291"/>
      <c r="AE1094" s="292"/>
      <c r="AF1094" s="56"/>
      <c r="AG1094" s="292"/>
      <c r="AH1094" s="56"/>
      <c r="AI1094" s="56"/>
      <c r="AJ1094" s="56"/>
      <c r="AK1094" s="57">
        <v>22.45</v>
      </c>
      <c r="AL1094" s="57">
        <v>22.45</v>
      </c>
      <c r="AM1094" s="56">
        <f>SUM(AK1094:AL1094)</f>
        <v>44.9</v>
      </c>
      <c r="AN1094" s="52"/>
      <c r="AO1094" s="52"/>
      <c r="AP1094" s="51"/>
    </row>
    <row r="1095" spans="1:42" s="10" customFormat="1" hidden="1" x14ac:dyDescent="0.3">
      <c r="A1095" s="213" t="s">
        <v>1444</v>
      </c>
      <c r="B1095" s="10" t="s">
        <v>4050</v>
      </c>
      <c r="C1095" s="213" t="s">
        <v>1445</v>
      </c>
      <c r="D1095" s="10" t="s">
        <v>4052</v>
      </c>
      <c r="E1095" s="213" t="s">
        <v>4053</v>
      </c>
      <c r="F1095" s="10" t="s">
        <v>4054</v>
      </c>
      <c r="G1095" s="213" t="s">
        <v>4055</v>
      </c>
      <c r="H1095" s="10" t="s">
        <v>4056</v>
      </c>
      <c r="K1095" s="213" t="s">
        <v>4057</v>
      </c>
      <c r="L1095" s="10" t="s">
        <v>4058</v>
      </c>
      <c r="M1095" s="10" t="s">
        <v>4059</v>
      </c>
      <c r="N1095" s="16">
        <v>0</v>
      </c>
      <c r="O1095" s="16">
        <v>0</v>
      </c>
      <c r="P1095" s="16">
        <v>0</v>
      </c>
      <c r="Q1095" s="16">
        <v>0</v>
      </c>
      <c r="R1095" s="16">
        <v>1</v>
      </c>
      <c r="S1095" s="16" t="s">
        <v>271</v>
      </c>
      <c r="T1095" s="10" t="s">
        <v>1035</v>
      </c>
      <c r="U1095" s="283" t="s">
        <v>1037</v>
      </c>
      <c r="V1095" s="10" t="s">
        <v>4060</v>
      </c>
      <c r="W1095" s="10">
        <v>1</v>
      </c>
      <c r="X1095" s="10">
        <v>0</v>
      </c>
      <c r="Y1095" s="10">
        <v>0</v>
      </c>
      <c r="Z1095" s="10">
        <v>1</v>
      </c>
      <c r="AA1095" s="10">
        <v>1</v>
      </c>
      <c r="AB1095" s="10">
        <v>0</v>
      </c>
      <c r="AC1095" s="316">
        <v>0</v>
      </c>
      <c r="AD1095" s="316">
        <v>1</v>
      </c>
      <c r="AE1095" s="302">
        <f t="shared" ref="AE1095:AE1158" si="82">SUM(W1095:AD1095)/8</f>
        <v>0.5</v>
      </c>
      <c r="AF1095" s="32"/>
      <c r="AG1095" s="17">
        <v>0</v>
      </c>
      <c r="AH1095" s="32">
        <v>0.1</v>
      </c>
      <c r="AI1095" s="32">
        <v>0.1</v>
      </c>
      <c r="AJ1095" s="32">
        <v>0.1</v>
      </c>
      <c r="AK1095" s="153">
        <v>0</v>
      </c>
      <c r="AL1095" s="154">
        <v>0</v>
      </c>
      <c r="AM1095" s="17">
        <f t="shared" ref="AM1095:AM1158" si="83">SUM(AK1095:AL1095)</f>
        <v>0</v>
      </c>
      <c r="AN1095" s="32" t="s">
        <v>1035</v>
      </c>
      <c r="AO1095" s="18" t="s">
        <v>1037</v>
      </c>
      <c r="AP1095" s="10" t="s">
        <v>4061</v>
      </c>
    </row>
    <row r="1096" spans="1:42" s="10" customFormat="1" hidden="1" x14ac:dyDescent="0.3">
      <c r="A1096" s="213" t="s">
        <v>1444</v>
      </c>
      <c r="B1096" s="10" t="s">
        <v>4050</v>
      </c>
      <c r="C1096" s="213" t="s">
        <v>1445</v>
      </c>
      <c r="D1096" s="10" t="s">
        <v>4052</v>
      </c>
      <c r="E1096" s="213" t="s">
        <v>4053</v>
      </c>
      <c r="F1096" s="10" t="s">
        <v>4054</v>
      </c>
      <c r="G1096" s="213" t="s">
        <v>4055</v>
      </c>
      <c r="H1096" s="10" t="s">
        <v>4056</v>
      </c>
      <c r="K1096" s="213" t="s">
        <v>4057</v>
      </c>
      <c r="L1096" s="10" t="s">
        <v>4058</v>
      </c>
      <c r="M1096" s="10" t="s">
        <v>4059</v>
      </c>
      <c r="N1096" s="16"/>
      <c r="O1096" s="16"/>
      <c r="P1096" s="16"/>
      <c r="Q1096" s="16"/>
      <c r="R1096" s="16"/>
      <c r="S1096" s="16"/>
      <c r="T1096" s="10" t="s">
        <v>4062</v>
      </c>
      <c r="U1096" s="283" t="s">
        <v>1037</v>
      </c>
      <c r="V1096" s="10" t="s">
        <v>4060</v>
      </c>
      <c r="W1096" s="10">
        <v>1</v>
      </c>
      <c r="X1096" s="10">
        <v>0</v>
      </c>
      <c r="Y1096" s="10">
        <v>0</v>
      </c>
      <c r="Z1096" s="10">
        <v>1</v>
      </c>
      <c r="AA1096" s="10">
        <v>1</v>
      </c>
      <c r="AB1096" s="10">
        <v>0</v>
      </c>
      <c r="AC1096" s="316">
        <v>0</v>
      </c>
      <c r="AD1096" s="316">
        <v>1</v>
      </c>
      <c r="AE1096" s="302">
        <f t="shared" si="82"/>
        <v>0.5</v>
      </c>
      <c r="AF1096" s="32"/>
      <c r="AG1096" s="17">
        <v>0</v>
      </c>
      <c r="AH1096" s="32">
        <v>0.1</v>
      </c>
      <c r="AI1096" s="32">
        <v>0.1</v>
      </c>
      <c r="AJ1096" s="32">
        <v>0.1</v>
      </c>
      <c r="AK1096" s="153">
        <v>0</v>
      </c>
      <c r="AL1096" s="154">
        <v>0</v>
      </c>
      <c r="AM1096" s="17">
        <f t="shared" si="83"/>
        <v>0</v>
      </c>
      <c r="AN1096" s="10" t="s">
        <v>2172</v>
      </c>
      <c r="AO1096" s="18" t="s">
        <v>2236</v>
      </c>
      <c r="AP1096" s="10" t="s">
        <v>4063</v>
      </c>
    </row>
    <row r="1097" spans="1:42" s="10" customFormat="1" hidden="1" x14ac:dyDescent="0.3">
      <c r="A1097" s="213" t="s">
        <v>1444</v>
      </c>
      <c r="B1097" s="10" t="s">
        <v>4050</v>
      </c>
      <c r="C1097" s="213" t="s">
        <v>1445</v>
      </c>
      <c r="D1097" s="10" t="s">
        <v>4052</v>
      </c>
      <c r="E1097" s="213" t="s">
        <v>4053</v>
      </c>
      <c r="F1097" s="10" t="s">
        <v>4054</v>
      </c>
      <c r="G1097" s="213" t="s">
        <v>4055</v>
      </c>
      <c r="H1097" s="10" t="s">
        <v>4056</v>
      </c>
      <c r="K1097" s="213" t="s">
        <v>4057</v>
      </c>
      <c r="L1097" s="10" t="s">
        <v>4058</v>
      </c>
      <c r="M1097" s="10" t="s">
        <v>4059</v>
      </c>
      <c r="N1097" s="16"/>
      <c r="O1097" s="16"/>
      <c r="P1097" s="16"/>
      <c r="Q1097" s="16"/>
      <c r="R1097" s="16"/>
      <c r="S1097" s="16"/>
      <c r="T1097" s="32" t="s">
        <v>1035</v>
      </c>
      <c r="U1097" s="283" t="s">
        <v>1037</v>
      </c>
      <c r="V1097" s="10" t="s">
        <v>4064</v>
      </c>
      <c r="W1097" s="10">
        <v>1</v>
      </c>
      <c r="X1097" s="10">
        <v>0</v>
      </c>
      <c r="Y1097" s="10">
        <v>0</v>
      </c>
      <c r="Z1097" s="10">
        <v>1</v>
      </c>
      <c r="AA1097" s="10">
        <v>1</v>
      </c>
      <c r="AB1097" s="10">
        <v>0</v>
      </c>
      <c r="AC1097" s="316">
        <v>0</v>
      </c>
      <c r="AD1097" s="316">
        <v>1</v>
      </c>
      <c r="AE1097" s="302">
        <f t="shared" si="82"/>
        <v>0.5</v>
      </c>
      <c r="AF1097" s="32">
        <v>1</v>
      </c>
      <c r="AG1097" s="17">
        <v>0</v>
      </c>
      <c r="AH1097" s="32" t="s">
        <v>271</v>
      </c>
      <c r="AI1097" s="32">
        <v>1.5</v>
      </c>
      <c r="AJ1097" s="32">
        <v>1.5</v>
      </c>
      <c r="AK1097" s="214">
        <v>2</v>
      </c>
      <c r="AL1097" s="154">
        <v>0</v>
      </c>
      <c r="AM1097" s="17">
        <f t="shared" si="83"/>
        <v>2</v>
      </c>
      <c r="AN1097" s="32" t="s">
        <v>1035</v>
      </c>
      <c r="AO1097" s="18" t="s">
        <v>1037</v>
      </c>
      <c r="AP1097" s="10" t="s">
        <v>4065</v>
      </c>
    </row>
    <row r="1098" spans="1:42" s="10" customFormat="1" hidden="1" x14ac:dyDescent="0.3">
      <c r="A1098" s="213" t="s">
        <v>1444</v>
      </c>
      <c r="B1098" s="10" t="s">
        <v>4050</v>
      </c>
      <c r="C1098" s="213" t="s">
        <v>1445</v>
      </c>
      <c r="D1098" s="10" t="s">
        <v>4052</v>
      </c>
      <c r="E1098" s="213" t="s">
        <v>4053</v>
      </c>
      <c r="F1098" s="10" t="s">
        <v>4054</v>
      </c>
      <c r="G1098" s="213" t="s">
        <v>4055</v>
      </c>
      <c r="H1098" s="10" t="s">
        <v>4056</v>
      </c>
      <c r="K1098" s="213" t="s">
        <v>4057</v>
      </c>
      <c r="L1098" s="10" t="s">
        <v>4058</v>
      </c>
      <c r="M1098" s="10" t="s">
        <v>4059</v>
      </c>
      <c r="N1098" s="16"/>
      <c r="O1098" s="16"/>
      <c r="P1098" s="16"/>
      <c r="Q1098" s="16"/>
      <c r="R1098" s="16"/>
      <c r="S1098" s="16"/>
      <c r="T1098" s="10" t="s">
        <v>4062</v>
      </c>
      <c r="U1098" s="283" t="s">
        <v>1037</v>
      </c>
      <c r="V1098" s="10" t="s">
        <v>4066</v>
      </c>
      <c r="W1098" s="10">
        <v>1</v>
      </c>
      <c r="X1098" s="10">
        <v>0</v>
      </c>
      <c r="Y1098" s="10">
        <v>0</v>
      </c>
      <c r="Z1098" s="10">
        <v>1</v>
      </c>
      <c r="AA1098" s="10">
        <v>1</v>
      </c>
      <c r="AB1098" s="10">
        <v>0</v>
      </c>
      <c r="AC1098" s="316">
        <v>0</v>
      </c>
      <c r="AD1098" s="316">
        <v>1</v>
      </c>
      <c r="AE1098" s="302">
        <f t="shared" si="82"/>
        <v>0.5</v>
      </c>
      <c r="AF1098" s="32">
        <v>1</v>
      </c>
      <c r="AG1098" s="17">
        <v>0</v>
      </c>
      <c r="AH1098" s="32">
        <v>33</v>
      </c>
      <c r="AI1098" s="32">
        <v>23</v>
      </c>
      <c r="AJ1098" s="17">
        <v>0</v>
      </c>
      <c r="AK1098" s="153">
        <v>0</v>
      </c>
      <c r="AL1098" s="154">
        <v>0</v>
      </c>
      <c r="AM1098" s="17">
        <f t="shared" si="83"/>
        <v>0</v>
      </c>
      <c r="AN1098" s="32" t="s">
        <v>4067</v>
      </c>
      <c r="AO1098" s="18" t="s">
        <v>1037</v>
      </c>
      <c r="AP1098" s="10" t="s">
        <v>4068</v>
      </c>
    </row>
    <row r="1099" spans="1:42" s="10" customFormat="1" hidden="1" x14ac:dyDescent="0.3">
      <c r="A1099" s="213" t="s">
        <v>1444</v>
      </c>
      <c r="B1099" s="10" t="s">
        <v>4050</v>
      </c>
      <c r="C1099" s="213" t="s">
        <v>1445</v>
      </c>
      <c r="D1099" s="10" t="s">
        <v>4052</v>
      </c>
      <c r="E1099" s="213" t="s">
        <v>4053</v>
      </c>
      <c r="F1099" s="10" t="s">
        <v>4054</v>
      </c>
      <c r="G1099" s="213" t="s">
        <v>4069</v>
      </c>
      <c r="H1099" s="10" t="s">
        <v>4070</v>
      </c>
      <c r="K1099" s="213" t="s">
        <v>4071</v>
      </c>
      <c r="L1099" s="10" t="s">
        <v>4072</v>
      </c>
      <c r="M1099" s="10" t="s">
        <v>4073</v>
      </c>
      <c r="N1099" s="16">
        <v>0.6</v>
      </c>
      <c r="O1099" s="16">
        <v>1.5</v>
      </c>
      <c r="P1099" s="16">
        <v>2</v>
      </c>
      <c r="Q1099" s="16">
        <v>2.5</v>
      </c>
      <c r="R1099" s="16">
        <v>3.5</v>
      </c>
      <c r="S1099" s="16">
        <v>3.5</v>
      </c>
      <c r="T1099" s="10" t="s">
        <v>4062</v>
      </c>
      <c r="U1099" s="283" t="s">
        <v>1037</v>
      </c>
      <c r="V1099" s="10" t="s">
        <v>4074</v>
      </c>
      <c r="W1099" s="10">
        <v>1</v>
      </c>
      <c r="X1099" s="10">
        <v>0</v>
      </c>
      <c r="Y1099" s="10">
        <v>0</v>
      </c>
      <c r="Z1099" s="10">
        <v>1</v>
      </c>
      <c r="AA1099" s="10">
        <v>1</v>
      </c>
      <c r="AB1099" s="10">
        <v>0</v>
      </c>
      <c r="AC1099" s="316">
        <v>0</v>
      </c>
      <c r="AD1099" s="316">
        <v>1</v>
      </c>
      <c r="AE1099" s="302">
        <f t="shared" si="82"/>
        <v>0.5</v>
      </c>
      <c r="AF1099" s="32">
        <v>1</v>
      </c>
      <c r="AG1099" s="17">
        <v>0</v>
      </c>
      <c r="AH1099" s="32">
        <v>47.5</v>
      </c>
      <c r="AI1099" s="32">
        <v>30</v>
      </c>
      <c r="AJ1099" s="32">
        <v>22.5</v>
      </c>
      <c r="AK1099" s="153">
        <v>0</v>
      </c>
      <c r="AL1099" s="154">
        <v>0</v>
      </c>
      <c r="AM1099" s="17">
        <f t="shared" si="83"/>
        <v>0</v>
      </c>
      <c r="AN1099" s="32" t="s">
        <v>4067</v>
      </c>
      <c r="AO1099" s="18" t="s">
        <v>1037</v>
      </c>
      <c r="AP1099" s="10" t="s">
        <v>4075</v>
      </c>
    </row>
    <row r="1100" spans="1:42" s="10" customFormat="1" hidden="1" x14ac:dyDescent="0.3">
      <c r="A1100" s="213" t="s">
        <v>1444</v>
      </c>
      <c r="B1100" s="10" t="s">
        <v>4050</v>
      </c>
      <c r="C1100" s="213" t="s">
        <v>1445</v>
      </c>
      <c r="D1100" s="10" t="s">
        <v>4052</v>
      </c>
      <c r="E1100" s="213" t="s">
        <v>4053</v>
      </c>
      <c r="F1100" s="10" t="s">
        <v>4054</v>
      </c>
      <c r="G1100" s="213" t="s">
        <v>4069</v>
      </c>
      <c r="H1100" s="10" t="s">
        <v>4070</v>
      </c>
      <c r="K1100" s="213" t="s">
        <v>4071</v>
      </c>
      <c r="L1100" s="10" t="s">
        <v>4072</v>
      </c>
      <c r="N1100" s="16"/>
      <c r="O1100" s="16"/>
      <c r="P1100" s="16"/>
      <c r="Q1100" s="16"/>
      <c r="R1100" s="16"/>
      <c r="S1100" s="16"/>
      <c r="T1100" s="10" t="s">
        <v>4062</v>
      </c>
      <c r="U1100" s="283" t="s">
        <v>1037</v>
      </c>
      <c r="V1100" s="10" t="s">
        <v>4076</v>
      </c>
      <c r="W1100" s="10">
        <v>1</v>
      </c>
      <c r="X1100" s="10">
        <v>0</v>
      </c>
      <c r="Y1100" s="10">
        <v>0</v>
      </c>
      <c r="Z1100" s="10">
        <v>1</v>
      </c>
      <c r="AA1100" s="10">
        <v>1</v>
      </c>
      <c r="AB1100" s="10">
        <v>0</v>
      </c>
      <c r="AC1100" s="316">
        <v>0</v>
      </c>
      <c r="AD1100" s="316">
        <v>1</v>
      </c>
      <c r="AE1100" s="302">
        <f t="shared" si="82"/>
        <v>0.5</v>
      </c>
      <c r="AF1100" s="32">
        <v>1</v>
      </c>
      <c r="AG1100" s="17">
        <v>0</v>
      </c>
      <c r="AH1100" s="32">
        <v>1</v>
      </c>
      <c r="AI1100" s="32">
        <v>2</v>
      </c>
      <c r="AJ1100" s="32">
        <v>2</v>
      </c>
      <c r="AK1100" s="214">
        <v>40</v>
      </c>
      <c r="AL1100" s="214">
        <v>15</v>
      </c>
      <c r="AM1100" s="17">
        <f t="shared" si="83"/>
        <v>55</v>
      </c>
      <c r="AN1100" s="32" t="s">
        <v>4067</v>
      </c>
      <c r="AO1100" s="18" t="s">
        <v>1037</v>
      </c>
      <c r="AP1100" s="10" t="s">
        <v>4075</v>
      </c>
    </row>
    <row r="1101" spans="1:42" s="10" customFormat="1" hidden="1" x14ac:dyDescent="0.3">
      <c r="A1101" s="213" t="s">
        <v>1444</v>
      </c>
      <c r="B1101" s="10" t="s">
        <v>4050</v>
      </c>
      <c r="C1101" s="213" t="s">
        <v>1445</v>
      </c>
      <c r="D1101" s="10" t="s">
        <v>4052</v>
      </c>
      <c r="E1101" s="213" t="s">
        <v>4053</v>
      </c>
      <c r="F1101" s="10" t="s">
        <v>4054</v>
      </c>
      <c r="G1101" s="213" t="s">
        <v>4069</v>
      </c>
      <c r="H1101" s="10" t="s">
        <v>4070</v>
      </c>
      <c r="K1101" s="213" t="s">
        <v>4071</v>
      </c>
      <c r="L1101" s="10" t="s">
        <v>4072</v>
      </c>
      <c r="N1101" s="16"/>
      <c r="O1101" s="16"/>
      <c r="P1101" s="16"/>
      <c r="Q1101" s="16"/>
      <c r="R1101" s="16"/>
      <c r="S1101" s="16"/>
      <c r="T1101" s="10" t="s">
        <v>4062</v>
      </c>
      <c r="U1101" s="283" t="s">
        <v>1037</v>
      </c>
      <c r="V1101" s="10" t="s">
        <v>4077</v>
      </c>
      <c r="W1101" s="10">
        <v>1</v>
      </c>
      <c r="X1101" s="10">
        <v>0</v>
      </c>
      <c r="Y1101" s="10">
        <v>0</v>
      </c>
      <c r="Z1101" s="10">
        <v>1</v>
      </c>
      <c r="AA1101" s="10">
        <v>1</v>
      </c>
      <c r="AB1101" s="10">
        <v>0</v>
      </c>
      <c r="AC1101" s="316">
        <v>0</v>
      </c>
      <c r="AD1101" s="316">
        <v>1</v>
      </c>
      <c r="AE1101" s="302">
        <f t="shared" si="82"/>
        <v>0.5</v>
      </c>
      <c r="AF1101" s="32"/>
      <c r="AG1101" s="17">
        <v>0</v>
      </c>
      <c r="AH1101" s="32">
        <v>33.099999999999994</v>
      </c>
      <c r="AI1101" s="32">
        <v>25.6</v>
      </c>
      <c r="AJ1101" s="32">
        <v>25.6</v>
      </c>
      <c r="AK1101" s="214">
        <v>25.6</v>
      </c>
      <c r="AL1101" s="154">
        <v>15</v>
      </c>
      <c r="AM1101" s="17">
        <f t="shared" si="83"/>
        <v>40.6</v>
      </c>
      <c r="AN1101" s="32" t="s">
        <v>4067</v>
      </c>
      <c r="AO1101" s="18" t="s">
        <v>1037</v>
      </c>
      <c r="AP1101" s="10" t="s">
        <v>4078</v>
      </c>
    </row>
    <row r="1102" spans="1:42" s="10" customFormat="1" hidden="1" x14ac:dyDescent="0.3">
      <c r="A1102" s="213" t="s">
        <v>1444</v>
      </c>
      <c r="B1102" s="10" t="s">
        <v>4050</v>
      </c>
      <c r="C1102" s="213" t="s">
        <v>1445</v>
      </c>
      <c r="D1102" s="10" t="s">
        <v>4052</v>
      </c>
      <c r="E1102" s="213" t="s">
        <v>4053</v>
      </c>
      <c r="F1102" s="10" t="s">
        <v>4054</v>
      </c>
      <c r="G1102" s="213" t="s">
        <v>4069</v>
      </c>
      <c r="H1102" s="10" t="s">
        <v>4070</v>
      </c>
      <c r="K1102" s="213" t="s">
        <v>4079</v>
      </c>
      <c r="L1102" s="10" t="s">
        <v>4080</v>
      </c>
      <c r="M1102" s="10" t="s">
        <v>4081</v>
      </c>
      <c r="N1102" s="16">
        <v>0</v>
      </c>
      <c r="O1102" s="16" t="s">
        <v>271</v>
      </c>
      <c r="P1102" s="16">
        <v>1</v>
      </c>
      <c r="Q1102" s="16" t="s">
        <v>271</v>
      </c>
      <c r="R1102" s="16" t="s">
        <v>271</v>
      </c>
      <c r="S1102" s="16" t="s">
        <v>271</v>
      </c>
      <c r="T1102" s="10" t="s">
        <v>4062</v>
      </c>
      <c r="U1102" s="283" t="s">
        <v>1037</v>
      </c>
      <c r="V1102" s="10" t="s">
        <v>4082</v>
      </c>
      <c r="W1102" s="10">
        <v>1</v>
      </c>
      <c r="X1102" s="10">
        <v>0</v>
      </c>
      <c r="Y1102" s="10">
        <v>0</v>
      </c>
      <c r="Z1102" s="10">
        <v>1</v>
      </c>
      <c r="AA1102" s="10">
        <v>1</v>
      </c>
      <c r="AB1102" s="10">
        <v>0</v>
      </c>
      <c r="AC1102" s="316">
        <v>0</v>
      </c>
      <c r="AD1102" s="316">
        <v>1</v>
      </c>
      <c r="AE1102" s="302">
        <f t="shared" si="82"/>
        <v>0.5</v>
      </c>
      <c r="AF1102" s="32"/>
      <c r="AG1102" s="17">
        <v>0</v>
      </c>
      <c r="AH1102" s="32">
        <v>15</v>
      </c>
      <c r="AI1102" s="32">
        <v>15</v>
      </c>
      <c r="AJ1102" s="32">
        <v>15</v>
      </c>
      <c r="AK1102" s="214">
        <v>15</v>
      </c>
      <c r="AL1102" s="154">
        <v>13.5</v>
      </c>
      <c r="AM1102" s="17">
        <f t="shared" si="83"/>
        <v>28.5</v>
      </c>
      <c r="AN1102" s="32" t="s">
        <v>4067</v>
      </c>
      <c r="AO1102" s="18" t="s">
        <v>1037</v>
      </c>
      <c r="AP1102" s="10" t="s">
        <v>4078</v>
      </c>
    </row>
    <row r="1103" spans="1:42" s="10" customFormat="1" x14ac:dyDescent="0.3">
      <c r="A1103" s="213" t="s">
        <v>1444</v>
      </c>
      <c r="B1103" s="10" t="s">
        <v>4050</v>
      </c>
      <c r="C1103" s="213" t="s">
        <v>1445</v>
      </c>
      <c r="D1103" s="10" t="s">
        <v>4052</v>
      </c>
      <c r="E1103" s="213" t="s">
        <v>4053</v>
      </c>
      <c r="F1103" s="10" t="s">
        <v>4054</v>
      </c>
      <c r="G1103" s="213" t="s">
        <v>4069</v>
      </c>
      <c r="H1103" s="10" t="s">
        <v>4070</v>
      </c>
      <c r="K1103" s="213" t="s">
        <v>4079</v>
      </c>
      <c r="L1103" s="10" t="s">
        <v>4080</v>
      </c>
      <c r="N1103" s="16"/>
      <c r="O1103" s="16"/>
      <c r="P1103" s="16"/>
      <c r="Q1103" s="16"/>
      <c r="R1103" s="16"/>
      <c r="S1103" s="16"/>
      <c r="T1103" s="10" t="s">
        <v>4062</v>
      </c>
      <c r="U1103" s="283" t="s">
        <v>1037</v>
      </c>
      <c r="V1103" s="10" t="s">
        <v>4083</v>
      </c>
      <c r="W1103" s="10">
        <v>1</v>
      </c>
      <c r="X1103" s="10">
        <v>0</v>
      </c>
      <c r="Y1103" s="10">
        <v>0</v>
      </c>
      <c r="Z1103" s="10">
        <v>1</v>
      </c>
      <c r="AA1103" s="10">
        <v>1</v>
      </c>
      <c r="AB1103" s="10">
        <v>1</v>
      </c>
      <c r="AC1103" s="316">
        <v>1</v>
      </c>
      <c r="AD1103" s="316">
        <v>1</v>
      </c>
      <c r="AE1103" s="302">
        <f t="shared" si="82"/>
        <v>0.75</v>
      </c>
      <c r="AF1103" s="32"/>
      <c r="AG1103" s="17">
        <v>0</v>
      </c>
      <c r="AH1103" s="32">
        <v>1</v>
      </c>
      <c r="AI1103" s="32">
        <v>2</v>
      </c>
      <c r="AJ1103" s="32">
        <v>1</v>
      </c>
      <c r="AK1103" s="214">
        <v>1</v>
      </c>
      <c r="AL1103" s="214">
        <v>1</v>
      </c>
      <c r="AM1103" s="17">
        <f t="shared" si="83"/>
        <v>2</v>
      </c>
      <c r="AN1103" s="32" t="s">
        <v>4067</v>
      </c>
      <c r="AO1103" s="18" t="s">
        <v>1037</v>
      </c>
      <c r="AP1103" s="10" t="s">
        <v>4084</v>
      </c>
    </row>
    <row r="1104" spans="1:42" s="10" customFormat="1" x14ac:dyDescent="0.3">
      <c r="A1104" s="213" t="s">
        <v>1444</v>
      </c>
      <c r="B1104" s="10" t="s">
        <v>4050</v>
      </c>
      <c r="C1104" s="213" t="s">
        <v>1445</v>
      </c>
      <c r="D1104" s="10" t="s">
        <v>4052</v>
      </c>
      <c r="E1104" s="213" t="s">
        <v>4053</v>
      </c>
      <c r="F1104" s="10" t="s">
        <v>4054</v>
      </c>
      <c r="G1104" s="213" t="s">
        <v>4069</v>
      </c>
      <c r="H1104" s="10" t="s">
        <v>4070</v>
      </c>
      <c r="K1104" s="213" t="s">
        <v>4079</v>
      </c>
      <c r="L1104" s="10" t="s">
        <v>4080</v>
      </c>
      <c r="N1104" s="16"/>
      <c r="O1104" s="16"/>
      <c r="P1104" s="16"/>
      <c r="Q1104" s="16"/>
      <c r="R1104" s="16"/>
      <c r="S1104" s="16"/>
      <c r="T1104" s="10" t="s">
        <v>4062</v>
      </c>
      <c r="U1104" s="283" t="s">
        <v>1037</v>
      </c>
      <c r="V1104" s="10" t="s">
        <v>4083</v>
      </c>
      <c r="W1104" s="10">
        <v>1</v>
      </c>
      <c r="X1104" s="10">
        <v>0</v>
      </c>
      <c r="Y1104" s="10">
        <v>0</v>
      </c>
      <c r="Z1104" s="10">
        <v>1</v>
      </c>
      <c r="AA1104" s="10">
        <v>1</v>
      </c>
      <c r="AB1104" s="10">
        <v>1</v>
      </c>
      <c r="AC1104" s="316">
        <v>1</v>
      </c>
      <c r="AD1104" s="316">
        <v>1</v>
      </c>
      <c r="AE1104" s="302">
        <f t="shared" si="82"/>
        <v>0.75</v>
      </c>
      <c r="AF1104" s="32"/>
      <c r="AG1104" s="17">
        <v>0</v>
      </c>
      <c r="AH1104" s="32" t="s">
        <v>271</v>
      </c>
      <c r="AI1104" s="32">
        <v>0.2</v>
      </c>
      <c r="AJ1104" s="32">
        <v>0.1</v>
      </c>
      <c r="AK1104" s="214">
        <v>0.1</v>
      </c>
      <c r="AL1104" s="214">
        <v>0.1</v>
      </c>
      <c r="AM1104" s="17">
        <f t="shared" si="83"/>
        <v>0.2</v>
      </c>
      <c r="AN1104" s="10" t="s">
        <v>2074</v>
      </c>
      <c r="AO1104" s="18" t="s">
        <v>2075</v>
      </c>
      <c r="AP1104" s="10" t="s">
        <v>4085</v>
      </c>
    </row>
    <row r="1105" spans="1:42" s="10" customFormat="1" x14ac:dyDescent="0.3">
      <c r="A1105" s="213" t="s">
        <v>1444</v>
      </c>
      <c r="B1105" s="10" t="s">
        <v>4050</v>
      </c>
      <c r="C1105" s="213" t="s">
        <v>1445</v>
      </c>
      <c r="D1105" s="10" t="s">
        <v>4052</v>
      </c>
      <c r="E1105" s="213" t="s">
        <v>4053</v>
      </c>
      <c r="F1105" s="10" t="s">
        <v>4054</v>
      </c>
      <c r="G1105" s="213" t="s">
        <v>4069</v>
      </c>
      <c r="H1105" s="10" t="s">
        <v>4070</v>
      </c>
      <c r="K1105" s="213" t="s">
        <v>4079</v>
      </c>
      <c r="L1105" s="10" t="s">
        <v>4080</v>
      </c>
      <c r="N1105" s="16"/>
      <c r="O1105" s="16"/>
      <c r="P1105" s="16"/>
      <c r="Q1105" s="16"/>
      <c r="R1105" s="16"/>
      <c r="S1105" s="16"/>
      <c r="T1105" s="10" t="s">
        <v>4062</v>
      </c>
      <c r="U1105" s="283" t="s">
        <v>1037</v>
      </c>
      <c r="V1105" s="10" t="s">
        <v>4086</v>
      </c>
      <c r="W1105" s="10">
        <v>1</v>
      </c>
      <c r="X1105" s="10">
        <v>0</v>
      </c>
      <c r="Y1105" s="10">
        <v>0</v>
      </c>
      <c r="Z1105" s="10">
        <v>1</v>
      </c>
      <c r="AA1105" s="10">
        <v>1</v>
      </c>
      <c r="AB1105" s="10">
        <v>1</v>
      </c>
      <c r="AC1105" s="316">
        <v>1</v>
      </c>
      <c r="AD1105" s="316">
        <v>1</v>
      </c>
      <c r="AE1105" s="302">
        <f t="shared" si="82"/>
        <v>0.75</v>
      </c>
      <c r="AF1105" s="32"/>
      <c r="AG1105" s="17">
        <v>0</v>
      </c>
      <c r="AH1105" s="32">
        <v>1</v>
      </c>
      <c r="AI1105" s="32">
        <v>0.2</v>
      </c>
      <c r="AJ1105" s="32">
        <v>0.4</v>
      </c>
      <c r="AK1105" s="214">
        <v>0.3</v>
      </c>
      <c r="AL1105" s="214">
        <v>0.3</v>
      </c>
      <c r="AM1105" s="17">
        <f t="shared" si="83"/>
        <v>0.6</v>
      </c>
      <c r="AN1105" s="32" t="s">
        <v>4067</v>
      </c>
      <c r="AO1105" s="18" t="s">
        <v>1037</v>
      </c>
      <c r="AP1105" s="10" t="s">
        <v>4087</v>
      </c>
    </row>
    <row r="1106" spans="1:42" s="10" customFormat="1" x14ac:dyDescent="0.3">
      <c r="A1106" s="213" t="s">
        <v>1444</v>
      </c>
      <c r="B1106" s="10" t="s">
        <v>4050</v>
      </c>
      <c r="C1106" s="213" t="s">
        <v>1445</v>
      </c>
      <c r="D1106" s="10" t="s">
        <v>4052</v>
      </c>
      <c r="E1106" s="213" t="s">
        <v>4053</v>
      </c>
      <c r="F1106" s="10" t="s">
        <v>4054</v>
      </c>
      <c r="G1106" s="213" t="s">
        <v>4069</v>
      </c>
      <c r="H1106" s="10" t="s">
        <v>4070</v>
      </c>
      <c r="K1106" s="213" t="s">
        <v>4079</v>
      </c>
      <c r="L1106" s="10" t="s">
        <v>4080</v>
      </c>
      <c r="N1106" s="16"/>
      <c r="O1106" s="16"/>
      <c r="P1106" s="16"/>
      <c r="Q1106" s="16"/>
      <c r="R1106" s="16"/>
      <c r="S1106" s="16"/>
      <c r="T1106" s="10" t="s">
        <v>4062</v>
      </c>
      <c r="U1106" s="283" t="s">
        <v>1037</v>
      </c>
      <c r="V1106" s="10" t="s">
        <v>4086</v>
      </c>
      <c r="W1106" s="10">
        <v>1</v>
      </c>
      <c r="X1106" s="10">
        <v>0</v>
      </c>
      <c r="Y1106" s="10">
        <v>0</v>
      </c>
      <c r="Z1106" s="10">
        <v>1</v>
      </c>
      <c r="AA1106" s="10">
        <v>1</v>
      </c>
      <c r="AB1106" s="10">
        <v>1</v>
      </c>
      <c r="AC1106" s="316">
        <v>1</v>
      </c>
      <c r="AD1106" s="316">
        <v>1</v>
      </c>
      <c r="AE1106" s="302">
        <f t="shared" si="82"/>
        <v>0.75</v>
      </c>
      <c r="AF1106" s="32"/>
      <c r="AG1106" s="17">
        <v>0</v>
      </c>
      <c r="AH1106" s="32" t="s">
        <v>271</v>
      </c>
      <c r="AI1106" s="32">
        <v>0.2</v>
      </c>
      <c r="AJ1106" s="32">
        <v>0.1</v>
      </c>
      <c r="AK1106" s="214">
        <v>0.1</v>
      </c>
      <c r="AL1106" s="214">
        <v>0.1</v>
      </c>
      <c r="AM1106" s="17">
        <f t="shared" si="83"/>
        <v>0.2</v>
      </c>
      <c r="AN1106" s="10" t="s">
        <v>2074</v>
      </c>
      <c r="AO1106" s="18" t="s">
        <v>2075</v>
      </c>
      <c r="AP1106" s="10" t="s">
        <v>4088</v>
      </c>
    </row>
    <row r="1107" spans="1:42" s="10" customFormat="1" hidden="1" x14ac:dyDescent="0.3">
      <c r="A1107" s="213" t="s">
        <v>1444</v>
      </c>
      <c r="B1107" s="10" t="s">
        <v>4050</v>
      </c>
      <c r="C1107" s="213" t="s">
        <v>1445</v>
      </c>
      <c r="D1107" s="10" t="s">
        <v>4052</v>
      </c>
      <c r="E1107" s="213" t="s">
        <v>4053</v>
      </c>
      <c r="F1107" s="10" t="s">
        <v>4054</v>
      </c>
      <c r="G1107" s="213" t="s">
        <v>4089</v>
      </c>
      <c r="H1107" s="10" t="s">
        <v>4090</v>
      </c>
      <c r="K1107" s="213" t="s">
        <v>4091</v>
      </c>
      <c r="L1107" s="10" t="s">
        <v>4092</v>
      </c>
      <c r="M1107" s="10" t="s">
        <v>4093</v>
      </c>
      <c r="N1107" s="16">
        <v>0.05</v>
      </c>
      <c r="O1107" s="16">
        <v>0.5</v>
      </c>
      <c r="P1107" s="16">
        <v>0.5</v>
      </c>
      <c r="Q1107" s="16">
        <v>0.8</v>
      </c>
      <c r="R1107" s="16">
        <v>1.5</v>
      </c>
      <c r="S1107" s="16">
        <v>1.5</v>
      </c>
      <c r="T1107" s="10" t="s">
        <v>4062</v>
      </c>
      <c r="U1107" s="283" t="s">
        <v>1037</v>
      </c>
      <c r="V1107" s="10" t="s">
        <v>4094</v>
      </c>
      <c r="W1107" s="10">
        <v>1</v>
      </c>
      <c r="X1107" s="10">
        <v>0</v>
      </c>
      <c r="Y1107" s="10">
        <v>0</v>
      </c>
      <c r="Z1107" s="10">
        <v>0</v>
      </c>
      <c r="AA1107" s="10">
        <v>0</v>
      </c>
      <c r="AB1107" s="10">
        <v>0</v>
      </c>
      <c r="AC1107" s="316">
        <v>0</v>
      </c>
      <c r="AD1107" s="316">
        <v>1</v>
      </c>
      <c r="AE1107" s="302">
        <f t="shared" si="82"/>
        <v>0.25</v>
      </c>
      <c r="AF1107" s="32"/>
      <c r="AG1107" s="17">
        <v>0</v>
      </c>
      <c r="AH1107" s="32">
        <v>0</v>
      </c>
      <c r="AI1107" s="32">
        <v>0.5</v>
      </c>
      <c r="AJ1107" s="32">
        <v>0.8</v>
      </c>
      <c r="AK1107" s="214"/>
      <c r="AL1107" s="214"/>
      <c r="AM1107" s="17">
        <f t="shared" si="83"/>
        <v>0</v>
      </c>
      <c r="AN1107" s="32" t="s">
        <v>4067</v>
      </c>
      <c r="AO1107" s="18" t="s">
        <v>1037</v>
      </c>
      <c r="AP1107" s="10" t="s">
        <v>4095</v>
      </c>
    </row>
    <row r="1108" spans="1:42" s="10" customFormat="1" hidden="1" x14ac:dyDescent="0.3">
      <c r="A1108" s="213" t="s">
        <v>1444</v>
      </c>
      <c r="B1108" s="10" t="s">
        <v>4050</v>
      </c>
      <c r="C1108" s="213" t="s">
        <v>1445</v>
      </c>
      <c r="D1108" s="10" t="s">
        <v>4052</v>
      </c>
      <c r="E1108" s="213" t="s">
        <v>4053</v>
      </c>
      <c r="F1108" s="10" t="s">
        <v>4054</v>
      </c>
      <c r="G1108" s="213" t="s">
        <v>4089</v>
      </c>
      <c r="H1108" s="10" t="s">
        <v>4090</v>
      </c>
      <c r="K1108" s="213" t="s">
        <v>4091</v>
      </c>
      <c r="L1108" s="10" t="s">
        <v>4092</v>
      </c>
      <c r="N1108" s="16"/>
      <c r="O1108" s="16"/>
      <c r="P1108" s="16"/>
      <c r="Q1108" s="16"/>
      <c r="R1108" s="16"/>
      <c r="S1108" s="16"/>
      <c r="T1108" s="10" t="s">
        <v>4062</v>
      </c>
      <c r="U1108" s="283" t="s">
        <v>1037</v>
      </c>
      <c r="V1108" s="10" t="s">
        <v>4094</v>
      </c>
      <c r="W1108" s="10">
        <v>1</v>
      </c>
      <c r="X1108" s="10">
        <v>0</v>
      </c>
      <c r="Y1108" s="10">
        <v>0</v>
      </c>
      <c r="Z1108" s="10">
        <v>0</v>
      </c>
      <c r="AA1108" s="10">
        <v>0</v>
      </c>
      <c r="AB1108" s="10">
        <v>0</v>
      </c>
      <c r="AC1108" s="316">
        <v>0</v>
      </c>
      <c r="AD1108" s="316">
        <v>1</v>
      </c>
      <c r="AE1108" s="302">
        <f t="shared" si="82"/>
        <v>0.25</v>
      </c>
      <c r="AF1108" s="32"/>
      <c r="AG1108" s="17">
        <v>0</v>
      </c>
      <c r="AH1108" s="32" t="s">
        <v>271</v>
      </c>
      <c r="AI1108" s="32">
        <v>0.2</v>
      </c>
      <c r="AJ1108" s="32">
        <v>0.2</v>
      </c>
      <c r="AK1108" s="214"/>
      <c r="AL1108" s="214"/>
      <c r="AM1108" s="17">
        <f t="shared" si="83"/>
        <v>0</v>
      </c>
      <c r="AN1108" s="10" t="s">
        <v>1233</v>
      </c>
      <c r="AO1108" s="18" t="s">
        <v>1650</v>
      </c>
      <c r="AP1108" s="10" t="s">
        <v>4096</v>
      </c>
    </row>
    <row r="1109" spans="1:42" s="10" customFormat="1" hidden="1" x14ac:dyDescent="0.3">
      <c r="A1109" s="213" t="s">
        <v>1444</v>
      </c>
      <c r="B1109" s="10" t="s">
        <v>4050</v>
      </c>
      <c r="C1109" s="213" t="s">
        <v>1445</v>
      </c>
      <c r="D1109" s="10" t="s">
        <v>4052</v>
      </c>
      <c r="E1109" s="213" t="s">
        <v>4053</v>
      </c>
      <c r="F1109" s="10" t="s">
        <v>4054</v>
      </c>
      <c r="G1109" s="213" t="s">
        <v>4089</v>
      </c>
      <c r="H1109" s="10" t="s">
        <v>4090</v>
      </c>
      <c r="K1109" s="213" t="s">
        <v>4091</v>
      </c>
      <c r="L1109" s="10" t="s">
        <v>4092</v>
      </c>
      <c r="N1109" s="16"/>
      <c r="O1109" s="16"/>
      <c r="P1109" s="16"/>
      <c r="Q1109" s="16"/>
      <c r="R1109" s="16"/>
      <c r="S1109" s="16"/>
      <c r="T1109" s="10" t="s">
        <v>4062</v>
      </c>
      <c r="U1109" s="283" t="s">
        <v>1037</v>
      </c>
      <c r="V1109" s="10" t="s">
        <v>4097</v>
      </c>
      <c r="W1109" s="10">
        <v>1</v>
      </c>
      <c r="X1109" s="10">
        <v>0</v>
      </c>
      <c r="Y1109" s="10">
        <v>0</v>
      </c>
      <c r="Z1109" s="10">
        <v>0</v>
      </c>
      <c r="AA1109" s="10">
        <v>0</v>
      </c>
      <c r="AB1109" s="10">
        <v>0</v>
      </c>
      <c r="AC1109" s="316">
        <v>0</v>
      </c>
      <c r="AD1109" s="316">
        <v>1</v>
      </c>
      <c r="AE1109" s="302">
        <f t="shared" si="82"/>
        <v>0.25</v>
      </c>
      <c r="AF1109" s="32"/>
      <c r="AG1109" s="17">
        <v>0</v>
      </c>
      <c r="AH1109" s="32" t="s">
        <v>271</v>
      </c>
      <c r="AI1109" s="32">
        <v>0.5</v>
      </c>
      <c r="AJ1109" s="32">
        <v>0.5</v>
      </c>
      <c r="AK1109" s="214"/>
      <c r="AL1109" s="214"/>
      <c r="AM1109" s="17">
        <f t="shared" si="83"/>
        <v>0</v>
      </c>
      <c r="AN1109" s="32" t="s">
        <v>4067</v>
      </c>
      <c r="AO1109" s="18" t="s">
        <v>1037</v>
      </c>
      <c r="AP1109" s="10" t="s">
        <v>723</v>
      </c>
    </row>
    <row r="1110" spans="1:42" s="10" customFormat="1" hidden="1" x14ac:dyDescent="0.3">
      <c r="A1110" s="213" t="s">
        <v>1444</v>
      </c>
      <c r="B1110" s="10" t="s">
        <v>4050</v>
      </c>
      <c r="C1110" s="213" t="s">
        <v>1445</v>
      </c>
      <c r="D1110" s="10" t="s">
        <v>4052</v>
      </c>
      <c r="E1110" s="213" t="s">
        <v>4053</v>
      </c>
      <c r="F1110" s="10" t="s">
        <v>4054</v>
      </c>
      <c r="G1110" s="213" t="s">
        <v>4098</v>
      </c>
      <c r="H1110" s="10" t="s">
        <v>4099</v>
      </c>
      <c r="K1110" s="213" t="s">
        <v>4100</v>
      </c>
      <c r="L1110" s="10" t="s">
        <v>2540</v>
      </c>
      <c r="M1110" s="10" t="s">
        <v>4101</v>
      </c>
      <c r="N1110" s="16">
        <v>2</v>
      </c>
      <c r="O1110" s="16">
        <v>2</v>
      </c>
      <c r="P1110" s="16">
        <v>2</v>
      </c>
      <c r="Q1110" s="16">
        <v>2</v>
      </c>
      <c r="R1110" s="16">
        <v>2</v>
      </c>
      <c r="S1110" s="16">
        <v>2</v>
      </c>
      <c r="T1110" s="10" t="s">
        <v>4062</v>
      </c>
      <c r="U1110" s="283" t="s">
        <v>1037</v>
      </c>
      <c r="V1110" s="10" t="s">
        <v>4102</v>
      </c>
      <c r="W1110" s="10">
        <v>1</v>
      </c>
      <c r="X1110" s="10">
        <v>0</v>
      </c>
      <c r="Y1110" s="10">
        <v>0</v>
      </c>
      <c r="Z1110" s="10">
        <v>1</v>
      </c>
      <c r="AA1110" s="10">
        <v>1</v>
      </c>
      <c r="AB1110" s="10">
        <v>0</v>
      </c>
      <c r="AC1110" s="316">
        <v>0</v>
      </c>
      <c r="AD1110" s="316">
        <v>1</v>
      </c>
      <c r="AE1110" s="302">
        <f t="shared" si="82"/>
        <v>0.5</v>
      </c>
      <c r="AF1110" s="32"/>
      <c r="AG1110" s="17">
        <v>0</v>
      </c>
      <c r="AH1110" s="32" t="s">
        <v>271</v>
      </c>
      <c r="AI1110" s="32">
        <v>2</v>
      </c>
      <c r="AJ1110" s="32">
        <v>2</v>
      </c>
      <c r="AK1110" s="214">
        <v>2</v>
      </c>
      <c r="AL1110" s="214">
        <v>2</v>
      </c>
      <c r="AM1110" s="17">
        <f t="shared" si="83"/>
        <v>4</v>
      </c>
      <c r="AN1110" s="32" t="s">
        <v>4067</v>
      </c>
      <c r="AO1110" s="18" t="s">
        <v>1037</v>
      </c>
      <c r="AP1110" s="10" t="s">
        <v>4103</v>
      </c>
    </row>
    <row r="1111" spans="1:42" s="10" customFormat="1" hidden="1" x14ac:dyDescent="0.3">
      <c r="A1111" s="213" t="s">
        <v>1444</v>
      </c>
      <c r="B1111" s="10" t="s">
        <v>4050</v>
      </c>
      <c r="C1111" s="213" t="s">
        <v>1445</v>
      </c>
      <c r="D1111" s="10" t="s">
        <v>4052</v>
      </c>
      <c r="E1111" s="213" t="s">
        <v>4053</v>
      </c>
      <c r="F1111" s="10" t="s">
        <v>4054</v>
      </c>
      <c r="G1111" s="213" t="s">
        <v>4098</v>
      </c>
      <c r="H1111" s="10" t="s">
        <v>4099</v>
      </c>
      <c r="K1111" s="213" t="s">
        <v>4100</v>
      </c>
      <c r="L1111" s="10" t="s">
        <v>2540</v>
      </c>
      <c r="N1111" s="16"/>
      <c r="O1111" s="16"/>
      <c r="P1111" s="16"/>
      <c r="Q1111" s="16"/>
      <c r="R1111" s="16"/>
      <c r="S1111" s="16"/>
      <c r="U1111" s="283" t="e">
        <v>#N/A</v>
      </c>
      <c r="V1111" s="10" t="s">
        <v>4102</v>
      </c>
      <c r="W1111" s="10">
        <v>1</v>
      </c>
      <c r="X1111" s="10">
        <v>0</v>
      </c>
      <c r="Y1111" s="10">
        <v>0</v>
      </c>
      <c r="Z1111" s="10">
        <v>1</v>
      </c>
      <c r="AA1111" s="10">
        <v>1</v>
      </c>
      <c r="AB1111" s="10">
        <v>0</v>
      </c>
      <c r="AC1111" s="316">
        <v>0</v>
      </c>
      <c r="AD1111" s="316">
        <v>1</v>
      </c>
      <c r="AE1111" s="302">
        <f t="shared" si="82"/>
        <v>0.5</v>
      </c>
      <c r="AF1111" s="32"/>
      <c r="AG1111" s="17">
        <v>0</v>
      </c>
      <c r="AH1111" s="32" t="s">
        <v>271</v>
      </c>
      <c r="AI1111" s="32">
        <v>0.5</v>
      </c>
      <c r="AJ1111" s="32">
        <v>0.5</v>
      </c>
      <c r="AK1111" s="214">
        <v>0.5</v>
      </c>
      <c r="AL1111" s="214">
        <v>0.5</v>
      </c>
      <c r="AM1111" s="17">
        <f t="shared" si="83"/>
        <v>1</v>
      </c>
      <c r="AN1111" s="18" t="s">
        <v>619</v>
      </c>
      <c r="AO1111" s="18" t="s">
        <v>350</v>
      </c>
      <c r="AP1111" s="10" t="s">
        <v>4104</v>
      </c>
    </row>
    <row r="1112" spans="1:42" s="10" customFormat="1" hidden="1" x14ac:dyDescent="0.3">
      <c r="A1112" s="213" t="s">
        <v>1444</v>
      </c>
      <c r="B1112" s="10" t="s">
        <v>4050</v>
      </c>
      <c r="C1112" s="213" t="s">
        <v>1445</v>
      </c>
      <c r="D1112" s="10" t="s">
        <v>4052</v>
      </c>
      <c r="E1112" s="213" t="s">
        <v>4053</v>
      </c>
      <c r="F1112" s="10" t="s">
        <v>4054</v>
      </c>
      <c r="G1112" s="213" t="s">
        <v>4098</v>
      </c>
      <c r="H1112" s="10" t="s">
        <v>4099</v>
      </c>
      <c r="K1112" s="213" t="s">
        <v>4100</v>
      </c>
      <c r="L1112" s="10" t="s">
        <v>2540</v>
      </c>
      <c r="N1112" s="16"/>
      <c r="O1112" s="16"/>
      <c r="P1112" s="16"/>
      <c r="Q1112" s="16"/>
      <c r="R1112" s="16"/>
      <c r="S1112" s="16"/>
      <c r="U1112" s="283" t="e">
        <v>#N/A</v>
      </c>
      <c r="V1112" s="10" t="s">
        <v>4105</v>
      </c>
      <c r="W1112" s="10">
        <v>1</v>
      </c>
      <c r="X1112" s="10">
        <v>0</v>
      </c>
      <c r="Y1112" s="10">
        <v>0</v>
      </c>
      <c r="Z1112" s="10">
        <v>1</v>
      </c>
      <c r="AA1112" s="10">
        <v>1</v>
      </c>
      <c r="AB1112" s="10">
        <v>0</v>
      </c>
      <c r="AC1112" s="316">
        <v>0</v>
      </c>
      <c r="AD1112" s="316">
        <v>1</v>
      </c>
      <c r="AE1112" s="302">
        <f t="shared" si="82"/>
        <v>0.5</v>
      </c>
      <c r="AF1112" s="32"/>
      <c r="AG1112" s="17">
        <v>0</v>
      </c>
      <c r="AH1112" s="32" t="s">
        <v>271</v>
      </c>
      <c r="AI1112" s="32">
        <v>0.1</v>
      </c>
      <c r="AJ1112" s="32">
        <v>0.1</v>
      </c>
      <c r="AK1112" s="214">
        <v>0.1</v>
      </c>
      <c r="AL1112" s="214">
        <v>0.1</v>
      </c>
      <c r="AM1112" s="17">
        <f t="shared" si="83"/>
        <v>0.2</v>
      </c>
      <c r="AN1112" s="18" t="s">
        <v>869</v>
      </c>
      <c r="AO1112" s="18" t="s">
        <v>871</v>
      </c>
      <c r="AP1112" s="10" t="s">
        <v>4062</v>
      </c>
    </row>
    <row r="1113" spans="1:42" s="10" customFormat="1" x14ac:dyDescent="0.3">
      <c r="A1113" s="213" t="s">
        <v>1444</v>
      </c>
      <c r="B1113" s="10" t="s">
        <v>4050</v>
      </c>
      <c r="C1113" s="213" t="s">
        <v>1445</v>
      </c>
      <c r="D1113" s="10" t="s">
        <v>4052</v>
      </c>
      <c r="E1113" s="213" t="s">
        <v>4106</v>
      </c>
      <c r="F1113" s="10" t="s">
        <v>4107</v>
      </c>
      <c r="G1113" s="213" t="s">
        <v>4108</v>
      </c>
      <c r="H1113" s="10" t="s">
        <v>4109</v>
      </c>
      <c r="K1113" s="213" t="s">
        <v>4110</v>
      </c>
      <c r="L1113" s="10" t="s">
        <v>4111</v>
      </c>
      <c r="M1113" s="10" t="s">
        <v>4112</v>
      </c>
      <c r="N1113" s="16">
        <v>5</v>
      </c>
      <c r="O1113" s="16">
        <v>60</v>
      </c>
      <c r="P1113" s="16">
        <v>60</v>
      </c>
      <c r="Q1113" s="16">
        <v>60</v>
      </c>
      <c r="R1113" s="16">
        <v>60</v>
      </c>
      <c r="S1113" s="16">
        <v>60</v>
      </c>
      <c r="T1113" s="10" t="s">
        <v>4062</v>
      </c>
      <c r="U1113" s="283" t="s">
        <v>1037</v>
      </c>
      <c r="V1113" s="10" t="s">
        <v>4113</v>
      </c>
      <c r="W1113" s="10">
        <v>1</v>
      </c>
      <c r="X1113" s="10">
        <v>1</v>
      </c>
      <c r="Y1113" s="10">
        <v>1</v>
      </c>
      <c r="Z1113" s="10">
        <v>1</v>
      </c>
      <c r="AA1113" s="10">
        <v>1</v>
      </c>
      <c r="AB1113" s="10">
        <v>1</v>
      </c>
      <c r="AC1113" s="316">
        <v>1</v>
      </c>
      <c r="AD1113" s="316">
        <v>1</v>
      </c>
      <c r="AE1113" s="302">
        <f t="shared" si="82"/>
        <v>1</v>
      </c>
      <c r="AF1113" s="32">
        <v>1</v>
      </c>
      <c r="AG1113" s="17">
        <v>0</v>
      </c>
      <c r="AH1113" s="32">
        <v>1.5</v>
      </c>
      <c r="AI1113" s="32">
        <v>1.5</v>
      </c>
      <c r="AJ1113" s="32">
        <v>0.5</v>
      </c>
      <c r="AK1113" s="214">
        <v>2</v>
      </c>
      <c r="AL1113" s="214">
        <v>1</v>
      </c>
      <c r="AM1113" s="17">
        <f t="shared" si="83"/>
        <v>3</v>
      </c>
      <c r="AN1113" s="32" t="s">
        <v>4067</v>
      </c>
      <c r="AO1113" s="18" t="s">
        <v>1037</v>
      </c>
      <c r="AP1113" s="10" t="s">
        <v>4114</v>
      </c>
    </row>
    <row r="1114" spans="1:42" s="10" customFormat="1" x14ac:dyDescent="0.3">
      <c r="A1114" s="213" t="s">
        <v>1444</v>
      </c>
      <c r="B1114" s="10" t="s">
        <v>4050</v>
      </c>
      <c r="C1114" s="213" t="s">
        <v>1445</v>
      </c>
      <c r="D1114" s="10" t="s">
        <v>4052</v>
      </c>
      <c r="E1114" s="213" t="s">
        <v>4106</v>
      </c>
      <c r="F1114" s="10" t="s">
        <v>4107</v>
      </c>
      <c r="G1114" s="213" t="s">
        <v>4108</v>
      </c>
      <c r="H1114" s="10" t="s">
        <v>4109</v>
      </c>
      <c r="K1114" s="213" t="s">
        <v>4110</v>
      </c>
      <c r="L1114" s="10" t="s">
        <v>4111</v>
      </c>
      <c r="N1114" s="16"/>
      <c r="O1114" s="16"/>
      <c r="P1114" s="16"/>
      <c r="Q1114" s="16"/>
      <c r="R1114" s="16"/>
      <c r="S1114" s="16"/>
      <c r="U1114" s="283" t="e">
        <v>#N/A</v>
      </c>
      <c r="V1114" s="10" t="s">
        <v>4113</v>
      </c>
      <c r="W1114" s="10">
        <v>1</v>
      </c>
      <c r="X1114" s="10">
        <v>1</v>
      </c>
      <c r="Y1114" s="10">
        <v>1</v>
      </c>
      <c r="Z1114" s="10">
        <v>1</v>
      </c>
      <c r="AA1114" s="10">
        <v>1</v>
      </c>
      <c r="AB1114" s="10">
        <v>1</v>
      </c>
      <c r="AC1114" s="316">
        <v>1</v>
      </c>
      <c r="AD1114" s="316">
        <v>1</v>
      </c>
      <c r="AE1114" s="302">
        <f t="shared" si="82"/>
        <v>1</v>
      </c>
      <c r="AF1114" s="32">
        <v>1</v>
      </c>
      <c r="AG1114" s="17">
        <v>0</v>
      </c>
      <c r="AH1114" s="32" t="s">
        <v>271</v>
      </c>
      <c r="AI1114" s="32">
        <v>0.2</v>
      </c>
      <c r="AJ1114" s="32">
        <v>0.1</v>
      </c>
      <c r="AK1114" s="214" t="s">
        <v>271</v>
      </c>
      <c r="AL1114" s="214" t="s">
        <v>271</v>
      </c>
      <c r="AM1114" s="17">
        <f t="shared" si="83"/>
        <v>0</v>
      </c>
      <c r="AN1114" s="32" t="s">
        <v>4115</v>
      </c>
      <c r="AO1114" s="18" t="s">
        <v>4116</v>
      </c>
      <c r="AP1114" s="10" t="s">
        <v>4117</v>
      </c>
    </row>
    <row r="1115" spans="1:42" s="10" customFormat="1" x14ac:dyDescent="0.3">
      <c r="A1115" s="213" t="s">
        <v>1444</v>
      </c>
      <c r="B1115" s="10" t="s">
        <v>4050</v>
      </c>
      <c r="C1115" s="213" t="s">
        <v>1445</v>
      </c>
      <c r="D1115" s="10" t="s">
        <v>4052</v>
      </c>
      <c r="E1115" s="213" t="s">
        <v>4106</v>
      </c>
      <c r="F1115" s="10" t="s">
        <v>4107</v>
      </c>
      <c r="G1115" s="213" t="s">
        <v>4108</v>
      </c>
      <c r="H1115" s="10" t="s">
        <v>4109</v>
      </c>
      <c r="K1115" s="213" t="s">
        <v>4110</v>
      </c>
      <c r="L1115" s="10" t="s">
        <v>4111</v>
      </c>
      <c r="N1115" s="16"/>
      <c r="O1115" s="16"/>
      <c r="P1115" s="16"/>
      <c r="Q1115" s="16"/>
      <c r="R1115" s="16"/>
      <c r="S1115" s="16"/>
      <c r="U1115" s="283" t="e">
        <v>#N/A</v>
      </c>
      <c r="V1115" s="10" t="s">
        <v>4113</v>
      </c>
      <c r="W1115" s="10">
        <v>1</v>
      </c>
      <c r="X1115" s="10">
        <v>1</v>
      </c>
      <c r="Y1115" s="10">
        <v>1</v>
      </c>
      <c r="Z1115" s="10">
        <v>1</v>
      </c>
      <c r="AA1115" s="10">
        <v>1</v>
      </c>
      <c r="AB1115" s="10">
        <v>1</v>
      </c>
      <c r="AC1115" s="316">
        <v>1</v>
      </c>
      <c r="AD1115" s="316">
        <v>1</v>
      </c>
      <c r="AE1115" s="302">
        <f t="shared" si="82"/>
        <v>1</v>
      </c>
      <c r="AF1115" s="32">
        <v>1</v>
      </c>
      <c r="AG1115" s="17">
        <v>0</v>
      </c>
      <c r="AH1115" s="32" t="s">
        <v>271</v>
      </c>
      <c r="AI1115" s="32">
        <v>0.2</v>
      </c>
      <c r="AJ1115" s="32">
        <v>0.1</v>
      </c>
      <c r="AK1115" s="214">
        <v>0.1</v>
      </c>
      <c r="AL1115" s="214">
        <v>0.1</v>
      </c>
      <c r="AM1115" s="17">
        <f t="shared" si="83"/>
        <v>0.2</v>
      </c>
      <c r="AN1115" s="10" t="s">
        <v>2074</v>
      </c>
      <c r="AO1115" s="18" t="s">
        <v>2075</v>
      </c>
      <c r="AP1115" s="10" t="s">
        <v>4117</v>
      </c>
    </row>
    <row r="1116" spans="1:42" s="10" customFormat="1" x14ac:dyDescent="0.3">
      <c r="A1116" s="213" t="s">
        <v>1444</v>
      </c>
      <c r="B1116" s="10" t="s">
        <v>4050</v>
      </c>
      <c r="C1116" s="213" t="s">
        <v>1445</v>
      </c>
      <c r="D1116" s="10" t="s">
        <v>4052</v>
      </c>
      <c r="E1116" s="213" t="s">
        <v>4106</v>
      </c>
      <c r="F1116" s="10" t="s">
        <v>4107</v>
      </c>
      <c r="G1116" s="213" t="s">
        <v>4108</v>
      </c>
      <c r="H1116" s="10" t="s">
        <v>4109</v>
      </c>
      <c r="K1116" s="213" t="s">
        <v>4110</v>
      </c>
      <c r="L1116" s="10" t="s">
        <v>4111</v>
      </c>
      <c r="N1116" s="16"/>
      <c r="O1116" s="16"/>
      <c r="P1116" s="16"/>
      <c r="Q1116" s="16"/>
      <c r="R1116" s="16"/>
      <c r="S1116" s="16"/>
      <c r="U1116" s="283" t="e">
        <v>#N/A</v>
      </c>
      <c r="V1116" s="10" t="s">
        <v>4113</v>
      </c>
      <c r="W1116" s="10">
        <v>1</v>
      </c>
      <c r="X1116" s="10">
        <v>1</v>
      </c>
      <c r="Y1116" s="10">
        <v>1</v>
      </c>
      <c r="Z1116" s="10">
        <v>1</v>
      </c>
      <c r="AA1116" s="10">
        <v>1</v>
      </c>
      <c r="AB1116" s="10">
        <v>1</v>
      </c>
      <c r="AC1116" s="316">
        <v>1</v>
      </c>
      <c r="AD1116" s="316">
        <v>1</v>
      </c>
      <c r="AE1116" s="302">
        <f t="shared" si="82"/>
        <v>1</v>
      </c>
      <c r="AF1116" s="32">
        <v>1</v>
      </c>
      <c r="AG1116" s="17">
        <v>0</v>
      </c>
      <c r="AH1116" s="32" t="s">
        <v>271</v>
      </c>
      <c r="AI1116" s="32">
        <v>0.5</v>
      </c>
      <c r="AJ1116" s="32">
        <v>0.5</v>
      </c>
      <c r="AK1116" s="214">
        <v>0.5</v>
      </c>
      <c r="AL1116" s="214">
        <v>0.5</v>
      </c>
      <c r="AM1116" s="17">
        <f t="shared" si="83"/>
        <v>1</v>
      </c>
      <c r="AN1116" s="18" t="s">
        <v>255</v>
      </c>
      <c r="AO1116" s="18" t="s">
        <v>1045</v>
      </c>
      <c r="AP1116" s="10" t="s">
        <v>4118</v>
      </c>
    </row>
    <row r="1117" spans="1:42" s="10" customFormat="1" hidden="1" x14ac:dyDescent="0.3">
      <c r="A1117" s="213" t="s">
        <v>1444</v>
      </c>
      <c r="B1117" s="10" t="s">
        <v>4050</v>
      </c>
      <c r="C1117" s="213" t="s">
        <v>1445</v>
      </c>
      <c r="D1117" s="10" t="s">
        <v>4052</v>
      </c>
      <c r="E1117" s="213" t="s">
        <v>4106</v>
      </c>
      <c r="F1117" s="10" t="s">
        <v>4107</v>
      </c>
      <c r="G1117" s="213" t="s">
        <v>4108</v>
      </c>
      <c r="H1117" s="10" t="s">
        <v>4109</v>
      </c>
      <c r="K1117" s="213" t="s">
        <v>4110</v>
      </c>
      <c r="L1117" s="10" t="s">
        <v>4111</v>
      </c>
      <c r="N1117" s="16"/>
      <c r="O1117" s="16"/>
      <c r="P1117" s="16"/>
      <c r="Q1117" s="16"/>
      <c r="R1117" s="16"/>
      <c r="S1117" s="16"/>
      <c r="U1117" s="283" t="e">
        <v>#N/A</v>
      </c>
      <c r="V1117" s="10" t="s">
        <v>4119</v>
      </c>
      <c r="W1117" s="10">
        <v>1</v>
      </c>
      <c r="X1117" s="10">
        <v>0</v>
      </c>
      <c r="Y1117" s="10">
        <v>0</v>
      </c>
      <c r="Z1117" s="10">
        <v>1</v>
      </c>
      <c r="AA1117" s="10">
        <v>1</v>
      </c>
      <c r="AB1117" s="10">
        <v>0</v>
      </c>
      <c r="AC1117" s="316">
        <v>1</v>
      </c>
      <c r="AD1117" s="316">
        <v>1</v>
      </c>
      <c r="AE1117" s="302">
        <f t="shared" si="82"/>
        <v>0.625</v>
      </c>
      <c r="AF1117" s="32">
        <v>1</v>
      </c>
      <c r="AG1117" s="17">
        <v>0</v>
      </c>
      <c r="AH1117" s="32">
        <v>1</v>
      </c>
      <c r="AI1117" s="32">
        <v>1</v>
      </c>
      <c r="AJ1117" s="32">
        <v>1</v>
      </c>
      <c r="AK1117" s="214">
        <v>1</v>
      </c>
      <c r="AL1117" s="214">
        <v>1</v>
      </c>
      <c r="AM1117" s="17">
        <f t="shared" si="83"/>
        <v>2</v>
      </c>
      <c r="AN1117" s="32" t="s">
        <v>4067</v>
      </c>
      <c r="AO1117" s="18" t="s">
        <v>1037</v>
      </c>
      <c r="AP1117" s="10" t="s">
        <v>1035</v>
      </c>
    </row>
    <row r="1118" spans="1:42" s="10" customFormat="1" x14ac:dyDescent="0.3">
      <c r="A1118" s="213" t="s">
        <v>1444</v>
      </c>
      <c r="B1118" s="10" t="s">
        <v>4050</v>
      </c>
      <c r="C1118" s="213" t="s">
        <v>1445</v>
      </c>
      <c r="D1118" s="10" t="s">
        <v>4052</v>
      </c>
      <c r="E1118" s="213" t="s">
        <v>4106</v>
      </c>
      <c r="F1118" s="10" t="s">
        <v>4107</v>
      </c>
      <c r="G1118" s="213" t="s">
        <v>4108</v>
      </c>
      <c r="H1118" s="10" t="s">
        <v>4109</v>
      </c>
      <c r="K1118" s="213" t="s">
        <v>4110</v>
      </c>
      <c r="L1118" s="10" t="s">
        <v>4111</v>
      </c>
      <c r="N1118" s="16"/>
      <c r="O1118" s="16"/>
      <c r="P1118" s="16"/>
      <c r="Q1118" s="16"/>
      <c r="R1118" s="16"/>
      <c r="S1118" s="16"/>
      <c r="U1118" s="283" t="e">
        <v>#N/A</v>
      </c>
      <c r="V1118" s="10" t="s">
        <v>4120</v>
      </c>
      <c r="W1118" s="10">
        <v>1</v>
      </c>
      <c r="X1118" s="10">
        <v>0</v>
      </c>
      <c r="Y1118" s="10">
        <v>0</v>
      </c>
      <c r="Z1118" s="10">
        <v>1</v>
      </c>
      <c r="AA1118" s="10">
        <v>1</v>
      </c>
      <c r="AB1118" s="10">
        <v>1</v>
      </c>
      <c r="AC1118" s="316">
        <v>1</v>
      </c>
      <c r="AD1118" s="316">
        <v>1</v>
      </c>
      <c r="AE1118" s="302">
        <f t="shared" si="82"/>
        <v>0.75</v>
      </c>
      <c r="AF1118" s="32">
        <v>1</v>
      </c>
      <c r="AG1118" s="17">
        <v>0</v>
      </c>
      <c r="AH1118" s="32">
        <v>0</v>
      </c>
      <c r="AI1118" s="32">
        <v>0</v>
      </c>
      <c r="AJ1118" s="32">
        <v>0</v>
      </c>
      <c r="AK1118" s="214">
        <v>2</v>
      </c>
      <c r="AL1118" s="214">
        <v>0</v>
      </c>
      <c r="AM1118" s="17">
        <f t="shared" si="83"/>
        <v>2</v>
      </c>
      <c r="AN1118" s="32" t="s">
        <v>4067</v>
      </c>
      <c r="AO1118" s="18" t="s">
        <v>1037</v>
      </c>
      <c r="AP1118" s="10" t="s">
        <v>1035</v>
      </c>
    </row>
    <row r="1119" spans="1:42" s="10" customFormat="1" x14ac:dyDescent="0.3">
      <c r="A1119" s="213" t="s">
        <v>1444</v>
      </c>
      <c r="B1119" s="10" t="s">
        <v>4050</v>
      </c>
      <c r="C1119" s="213" t="s">
        <v>1445</v>
      </c>
      <c r="D1119" s="10" t="s">
        <v>4052</v>
      </c>
      <c r="E1119" s="213" t="s">
        <v>4106</v>
      </c>
      <c r="F1119" s="10" t="s">
        <v>4107</v>
      </c>
      <c r="G1119" s="213" t="s">
        <v>4108</v>
      </c>
      <c r="H1119" s="10" t="s">
        <v>4109</v>
      </c>
      <c r="K1119" s="213" t="s">
        <v>4110</v>
      </c>
      <c r="L1119" s="10" t="s">
        <v>4111</v>
      </c>
      <c r="N1119" s="16"/>
      <c r="O1119" s="16"/>
      <c r="P1119" s="16"/>
      <c r="Q1119" s="16"/>
      <c r="R1119" s="16"/>
      <c r="S1119" s="16"/>
      <c r="U1119" s="283" t="e">
        <v>#N/A</v>
      </c>
      <c r="V1119" s="10" t="s">
        <v>4121</v>
      </c>
      <c r="W1119" s="10">
        <v>1</v>
      </c>
      <c r="X1119" s="10">
        <v>0</v>
      </c>
      <c r="Y1119" s="10">
        <v>0</v>
      </c>
      <c r="Z1119" s="10">
        <v>1</v>
      </c>
      <c r="AA1119" s="10">
        <v>1</v>
      </c>
      <c r="AB1119" s="10">
        <v>1</v>
      </c>
      <c r="AC1119" s="316">
        <v>1</v>
      </c>
      <c r="AD1119" s="316">
        <v>1</v>
      </c>
      <c r="AE1119" s="302">
        <f t="shared" si="82"/>
        <v>0.75</v>
      </c>
      <c r="AF1119" s="32">
        <v>1</v>
      </c>
      <c r="AG1119" s="17">
        <v>0</v>
      </c>
      <c r="AH1119" s="32">
        <v>0</v>
      </c>
      <c r="AI1119" s="32">
        <v>0</v>
      </c>
      <c r="AJ1119" s="32">
        <v>0</v>
      </c>
      <c r="AK1119" s="214">
        <v>1</v>
      </c>
      <c r="AL1119" s="214">
        <v>0</v>
      </c>
      <c r="AM1119" s="17">
        <f t="shared" si="83"/>
        <v>1</v>
      </c>
      <c r="AN1119" s="18" t="s">
        <v>255</v>
      </c>
      <c r="AO1119" s="18" t="s">
        <v>1045</v>
      </c>
      <c r="AP1119" s="10" t="s">
        <v>1035</v>
      </c>
    </row>
    <row r="1120" spans="1:42" s="10" customFormat="1" x14ac:dyDescent="0.3">
      <c r="A1120" s="213" t="s">
        <v>1444</v>
      </c>
      <c r="B1120" s="10" t="s">
        <v>4050</v>
      </c>
      <c r="C1120" s="213" t="s">
        <v>1445</v>
      </c>
      <c r="D1120" s="10" t="s">
        <v>4052</v>
      </c>
      <c r="E1120" s="213" t="s">
        <v>4106</v>
      </c>
      <c r="F1120" s="10" t="s">
        <v>4107</v>
      </c>
      <c r="G1120" s="213" t="s">
        <v>4108</v>
      </c>
      <c r="H1120" s="10" t="s">
        <v>4109</v>
      </c>
      <c r="K1120" s="213" t="s">
        <v>4110</v>
      </c>
      <c r="L1120" s="10" t="s">
        <v>4111</v>
      </c>
      <c r="N1120" s="16"/>
      <c r="O1120" s="16"/>
      <c r="P1120" s="16"/>
      <c r="Q1120" s="16"/>
      <c r="R1120" s="16"/>
      <c r="S1120" s="16"/>
      <c r="U1120" s="283" t="e">
        <v>#N/A</v>
      </c>
      <c r="V1120" s="10" t="s">
        <v>4122</v>
      </c>
      <c r="W1120" s="10">
        <v>1</v>
      </c>
      <c r="X1120" s="10">
        <v>1</v>
      </c>
      <c r="Y1120" s="10">
        <v>0</v>
      </c>
      <c r="Z1120" s="10">
        <v>1</v>
      </c>
      <c r="AA1120" s="10">
        <v>1</v>
      </c>
      <c r="AB1120" s="10">
        <v>1</v>
      </c>
      <c r="AC1120" s="316">
        <v>1</v>
      </c>
      <c r="AD1120" s="316">
        <v>1</v>
      </c>
      <c r="AE1120" s="302">
        <f t="shared" si="82"/>
        <v>0.875</v>
      </c>
      <c r="AF1120" s="32">
        <v>1</v>
      </c>
      <c r="AG1120" s="17">
        <v>0</v>
      </c>
      <c r="AH1120" s="32">
        <v>0.5</v>
      </c>
      <c r="AI1120" s="32">
        <v>0.5</v>
      </c>
      <c r="AJ1120" s="32">
        <v>0.5</v>
      </c>
      <c r="AK1120" s="214">
        <v>0.5</v>
      </c>
      <c r="AL1120" s="214">
        <v>0.5</v>
      </c>
      <c r="AM1120" s="17">
        <f t="shared" si="83"/>
        <v>1</v>
      </c>
      <c r="AN1120" s="32" t="s">
        <v>4067</v>
      </c>
      <c r="AO1120" s="18" t="s">
        <v>1037</v>
      </c>
      <c r="AP1120" s="10" t="s">
        <v>1035</v>
      </c>
    </row>
    <row r="1121" spans="1:42" s="10" customFormat="1" hidden="1" x14ac:dyDescent="0.3">
      <c r="A1121" s="213" t="s">
        <v>1444</v>
      </c>
      <c r="B1121" s="10" t="s">
        <v>4050</v>
      </c>
      <c r="C1121" s="213" t="s">
        <v>1445</v>
      </c>
      <c r="D1121" s="10" t="s">
        <v>4052</v>
      </c>
      <c r="E1121" s="213" t="s">
        <v>4106</v>
      </c>
      <c r="F1121" s="10" t="s">
        <v>4107</v>
      </c>
      <c r="G1121" s="213" t="s">
        <v>4108</v>
      </c>
      <c r="H1121" s="10" t="s">
        <v>4109</v>
      </c>
      <c r="K1121" s="213" t="s">
        <v>4110</v>
      </c>
      <c r="L1121" s="10" t="s">
        <v>4111</v>
      </c>
      <c r="M1121" s="347" t="s">
        <v>4123</v>
      </c>
      <c r="N1121" s="16"/>
      <c r="O1121" s="16"/>
      <c r="P1121" s="16"/>
      <c r="Q1121" s="16">
        <v>1</v>
      </c>
      <c r="R1121" s="16"/>
      <c r="S1121" s="16"/>
      <c r="T1121" s="10" t="s">
        <v>1035</v>
      </c>
      <c r="U1121" s="283" t="s">
        <v>1037</v>
      </c>
      <c r="V1121" s="10" t="s">
        <v>4124</v>
      </c>
      <c r="W1121" s="10">
        <v>1</v>
      </c>
      <c r="X1121" s="10">
        <v>0</v>
      </c>
      <c r="Y1121" s="10">
        <v>0</v>
      </c>
      <c r="Z1121" s="10">
        <v>1</v>
      </c>
      <c r="AA1121" s="10">
        <v>1</v>
      </c>
      <c r="AB1121" s="10">
        <v>1</v>
      </c>
      <c r="AC1121" s="316">
        <v>0</v>
      </c>
      <c r="AD1121" s="316">
        <v>1</v>
      </c>
      <c r="AE1121" s="302">
        <f t="shared" si="82"/>
        <v>0.625</v>
      </c>
      <c r="AF1121" s="32">
        <v>1</v>
      </c>
      <c r="AG1121" s="17">
        <v>0</v>
      </c>
      <c r="AH1121" s="32">
        <v>0.1</v>
      </c>
      <c r="AI1121" s="32">
        <v>0.1</v>
      </c>
      <c r="AJ1121" s="32">
        <v>0.1</v>
      </c>
      <c r="AK1121" s="214">
        <v>0.1</v>
      </c>
      <c r="AL1121" s="214">
        <v>0.1</v>
      </c>
      <c r="AM1121" s="17">
        <f t="shared" si="83"/>
        <v>0.2</v>
      </c>
      <c r="AN1121" s="32" t="s">
        <v>1446</v>
      </c>
      <c r="AO1121" s="18" t="s">
        <v>3715</v>
      </c>
      <c r="AP1121" s="10" t="s">
        <v>4125</v>
      </c>
    </row>
    <row r="1122" spans="1:42" s="10" customFormat="1" x14ac:dyDescent="0.3">
      <c r="A1122" s="213" t="s">
        <v>1444</v>
      </c>
      <c r="B1122" s="10" t="s">
        <v>4050</v>
      </c>
      <c r="C1122" s="213" t="s">
        <v>1445</v>
      </c>
      <c r="D1122" s="10" t="s">
        <v>4052</v>
      </c>
      <c r="E1122" s="213" t="s">
        <v>4106</v>
      </c>
      <c r="F1122" s="10" t="s">
        <v>4107</v>
      </c>
      <c r="G1122" s="213" t="s">
        <v>4108</v>
      </c>
      <c r="H1122" s="10" t="s">
        <v>4109</v>
      </c>
      <c r="K1122" s="213" t="s">
        <v>4110</v>
      </c>
      <c r="L1122" s="10" t="s">
        <v>4111</v>
      </c>
      <c r="N1122" s="16"/>
      <c r="O1122" s="16"/>
      <c r="P1122" s="16"/>
      <c r="Q1122" s="16"/>
      <c r="R1122" s="16"/>
      <c r="S1122" s="16"/>
      <c r="U1122" s="283" t="e">
        <v>#N/A</v>
      </c>
      <c r="V1122" s="10" t="s">
        <v>4126</v>
      </c>
      <c r="W1122" s="10">
        <v>1</v>
      </c>
      <c r="X1122" s="10">
        <v>0</v>
      </c>
      <c r="Y1122" s="10">
        <v>0</v>
      </c>
      <c r="Z1122" s="10">
        <v>1</v>
      </c>
      <c r="AA1122" s="10">
        <v>1</v>
      </c>
      <c r="AB1122" s="10">
        <v>1</v>
      </c>
      <c r="AC1122" s="316">
        <v>1</v>
      </c>
      <c r="AD1122" s="316">
        <v>1</v>
      </c>
      <c r="AE1122" s="302">
        <f t="shared" si="82"/>
        <v>0.75</v>
      </c>
      <c r="AF1122" s="32">
        <v>1</v>
      </c>
      <c r="AG1122" s="17">
        <v>0</v>
      </c>
      <c r="AH1122" s="32">
        <v>0</v>
      </c>
      <c r="AI1122" s="32">
        <v>0</v>
      </c>
      <c r="AJ1122" s="32">
        <v>0</v>
      </c>
      <c r="AK1122" s="214">
        <v>2</v>
      </c>
      <c r="AL1122" s="214">
        <v>0</v>
      </c>
      <c r="AM1122" s="17">
        <f t="shared" si="83"/>
        <v>2</v>
      </c>
      <c r="AN1122" s="32" t="s">
        <v>1035</v>
      </c>
      <c r="AO1122" s="18" t="s">
        <v>1037</v>
      </c>
      <c r="AP1122" s="10" t="s">
        <v>119</v>
      </c>
    </row>
    <row r="1123" spans="1:42" s="10" customFormat="1" x14ac:dyDescent="0.3">
      <c r="A1123" s="213" t="s">
        <v>1444</v>
      </c>
      <c r="B1123" s="10" t="s">
        <v>4050</v>
      </c>
      <c r="C1123" s="213" t="s">
        <v>1445</v>
      </c>
      <c r="D1123" s="10" t="s">
        <v>4052</v>
      </c>
      <c r="E1123" s="213" t="s">
        <v>4106</v>
      </c>
      <c r="F1123" s="10" t="s">
        <v>4107</v>
      </c>
      <c r="G1123" s="213" t="s">
        <v>4108</v>
      </c>
      <c r="H1123" s="10" t="s">
        <v>4109</v>
      </c>
      <c r="K1123" s="213" t="s">
        <v>4110</v>
      </c>
      <c r="L1123" s="10" t="s">
        <v>4111</v>
      </c>
      <c r="N1123" s="16"/>
      <c r="O1123" s="16"/>
      <c r="P1123" s="16"/>
      <c r="Q1123" s="16"/>
      <c r="R1123" s="16"/>
      <c r="S1123" s="16"/>
      <c r="U1123" s="283" t="e">
        <v>#N/A</v>
      </c>
      <c r="V1123" s="10" t="s">
        <v>4127</v>
      </c>
      <c r="W1123" s="10">
        <v>1</v>
      </c>
      <c r="X1123" s="10">
        <v>1</v>
      </c>
      <c r="Y1123" s="10">
        <v>0</v>
      </c>
      <c r="Z1123" s="10">
        <v>1</v>
      </c>
      <c r="AA1123" s="10">
        <v>1</v>
      </c>
      <c r="AB1123" s="10">
        <v>1</v>
      </c>
      <c r="AC1123" s="316">
        <v>0</v>
      </c>
      <c r="AD1123" s="316">
        <v>1</v>
      </c>
      <c r="AE1123" s="302">
        <f t="shared" si="82"/>
        <v>0.75</v>
      </c>
      <c r="AF1123" s="32">
        <v>1</v>
      </c>
      <c r="AG1123" s="17">
        <v>0</v>
      </c>
      <c r="AH1123" s="32">
        <v>0.2</v>
      </c>
      <c r="AI1123" s="32">
        <v>0.2</v>
      </c>
      <c r="AJ1123" s="32">
        <v>0.3</v>
      </c>
      <c r="AK1123" s="214">
        <v>5</v>
      </c>
      <c r="AL1123" s="214">
        <v>5</v>
      </c>
      <c r="AM1123" s="17">
        <f t="shared" si="83"/>
        <v>10</v>
      </c>
      <c r="AN1123" s="32" t="s">
        <v>1035</v>
      </c>
      <c r="AO1123" s="18" t="s">
        <v>1037</v>
      </c>
      <c r="AP1123" s="10" t="s">
        <v>4125</v>
      </c>
    </row>
    <row r="1124" spans="1:42" s="10" customFormat="1" x14ac:dyDescent="0.3">
      <c r="A1124" s="213" t="s">
        <v>1444</v>
      </c>
      <c r="B1124" s="10" t="s">
        <v>4050</v>
      </c>
      <c r="C1124" s="213" t="s">
        <v>1445</v>
      </c>
      <c r="D1124" s="10" t="s">
        <v>4052</v>
      </c>
      <c r="E1124" s="213" t="s">
        <v>4106</v>
      </c>
      <c r="F1124" s="10" t="s">
        <v>4107</v>
      </c>
      <c r="G1124" s="213" t="s">
        <v>4108</v>
      </c>
      <c r="H1124" s="10" t="s">
        <v>4109</v>
      </c>
      <c r="K1124" s="213" t="s">
        <v>4110</v>
      </c>
      <c r="L1124" s="10" t="s">
        <v>4111</v>
      </c>
      <c r="N1124" s="16"/>
      <c r="O1124" s="16"/>
      <c r="P1124" s="16"/>
      <c r="Q1124" s="16"/>
      <c r="R1124" s="16"/>
      <c r="S1124" s="16"/>
      <c r="U1124" s="283" t="e">
        <v>#N/A</v>
      </c>
      <c r="V1124" s="10" t="s">
        <v>4128</v>
      </c>
      <c r="W1124" s="10">
        <v>1</v>
      </c>
      <c r="X1124" s="10">
        <v>0</v>
      </c>
      <c r="Y1124" s="10">
        <v>0</v>
      </c>
      <c r="Z1124" s="10">
        <v>1</v>
      </c>
      <c r="AA1124" s="10">
        <v>1</v>
      </c>
      <c r="AB1124" s="10">
        <v>1</v>
      </c>
      <c r="AC1124" s="316">
        <v>1</v>
      </c>
      <c r="AD1124" s="316">
        <v>1</v>
      </c>
      <c r="AE1124" s="302">
        <f t="shared" si="82"/>
        <v>0.75</v>
      </c>
      <c r="AF1124" s="32">
        <v>1</v>
      </c>
      <c r="AG1124" s="17">
        <v>0</v>
      </c>
      <c r="AH1124" s="32" t="s">
        <v>271</v>
      </c>
      <c r="AI1124" s="32">
        <v>0.2</v>
      </c>
      <c r="AJ1124" s="32">
        <v>0</v>
      </c>
      <c r="AK1124" s="214">
        <v>0.5</v>
      </c>
      <c r="AL1124" s="214">
        <v>0</v>
      </c>
      <c r="AM1124" s="17">
        <f t="shared" si="83"/>
        <v>0.5</v>
      </c>
      <c r="AN1124" s="32" t="s">
        <v>1035</v>
      </c>
      <c r="AO1124" s="18" t="s">
        <v>1037</v>
      </c>
      <c r="AP1124" s="10" t="s">
        <v>4129</v>
      </c>
    </row>
    <row r="1125" spans="1:42" s="10" customFormat="1" x14ac:dyDescent="0.3">
      <c r="A1125" s="213" t="s">
        <v>1444</v>
      </c>
      <c r="B1125" s="10" t="s">
        <v>4050</v>
      </c>
      <c r="C1125" s="213" t="s">
        <v>1445</v>
      </c>
      <c r="D1125" s="10" t="s">
        <v>4052</v>
      </c>
      <c r="E1125" s="213" t="s">
        <v>4106</v>
      </c>
      <c r="F1125" s="10" t="s">
        <v>4107</v>
      </c>
      <c r="G1125" s="213" t="s">
        <v>4130</v>
      </c>
      <c r="H1125" s="10" t="s">
        <v>4131</v>
      </c>
      <c r="K1125" s="213" t="s">
        <v>4132</v>
      </c>
      <c r="L1125" s="10" t="s">
        <v>4133</v>
      </c>
      <c r="M1125" s="10" t="s">
        <v>4134</v>
      </c>
      <c r="N1125" s="16" t="s">
        <v>271</v>
      </c>
      <c r="O1125" s="16">
        <v>6000</v>
      </c>
      <c r="P1125" s="16">
        <v>6000</v>
      </c>
      <c r="Q1125" s="16">
        <v>6000</v>
      </c>
      <c r="R1125" s="16">
        <v>6000</v>
      </c>
      <c r="S1125" s="16">
        <v>6000</v>
      </c>
      <c r="T1125" s="10" t="s">
        <v>4062</v>
      </c>
      <c r="U1125" s="283" t="s">
        <v>1037</v>
      </c>
      <c r="V1125" s="10" t="s">
        <v>4135</v>
      </c>
      <c r="W1125" s="10">
        <v>1</v>
      </c>
      <c r="X1125" s="10">
        <v>0</v>
      </c>
      <c r="Y1125" s="10">
        <v>1</v>
      </c>
      <c r="Z1125" s="10">
        <v>1</v>
      </c>
      <c r="AA1125" s="10">
        <v>1</v>
      </c>
      <c r="AB1125" s="10">
        <v>0</v>
      </c>
      <c r="AC1125" s="316">
        <v>1</v>
      </c>
      <c r="AD1125" s="316">
        <v>1</v>
      </c>
      <c r="AE1125" s="302">
        <f t="shared" si="82"/>
        <v>0.75</v>
      </c>
      <c r="AF1125" s="17"/>
      <c r="AG1125" s="17">
        <v>0</v>
      </c>
      <c r="AH1125" s="17">
        <v>0</v>
      </c>
      <c r="AI1125" s="32">
        <v>3</v>
      </c>
      <c r="AJ1125" s="32">
        <v>3</v>
      </c>
      <c r="AK1125" s="214">
        <v>3</v>
      </c>
      <c r="AL1125" s="214">
        <v>3</v>
      </c>
      <c r="AM1125" s="17">
        <f t="shared" si="83"/>
        <v>6</v>
      </c>
      <c r="AN1125" s="32" t="s">
        <v>4067</v>
      </c>
      <c r="AO1125" s="18" t="s">
        <v>1037</v>
      </c>
      <c r="AP1125" s="10" t="s">
        <v>4136</v>
      </c>
    </row>
    <row r="1126" spans="1:42" s="10" customFormat="1" x14ac:dyDescent="0.3">
      <c r="A1126" s="213" t="s">
        <v>1444</v>
      </c>
      <c r="B1126" s="10" t="s">
        <v>4050</v>
      </c>
      <c r="C1126" s="213" t="s">
        <v>1445</v>
      </c>
      <c r="D1126" s="10" t="s">
        <v>4052</v>
      </c>
      <c r="E1126" s="213" t="s">
        <v>4106</v>
      </c>
      <c r="F1126" s="10" t="s">
        <v>4107</v>
      </c>
      <c r="G1126" s="213" t="s">
        <v>4130</v>
      </c>
      <c r="H1126" s="10" t="s">
        <v>4131</v>
      </c>
      <c r="K1126" s="213" t="s">
        <v>4132</v>
      </c>
      <c r="L1126" s="10" t="s">
        <v>4133</v>
      </c>
      <c r="N1126" s="16"/>
      <c r="O1126" s="16"/>
      <c r="P1126" s="16"/>
      <c r="Q1126" s="16"/>
      <c r="R1126" s="16"/>
      <c r="S1126" s="16"/>
      <c r="U1126" s="283" t="e">
        <v>#N/A</v>
      </c>
      <c r="V1126" s="215" t="s">
        <v>4137</v>
      </c>
      <c r="W1126" s="10">
        <v>1</v>
      </c>
      <c r="X1126" s="10">
        <v>1</v>
      </c>
      <c r="Y1126" s="10">
        <v>1</v>
      </c>
      <c r="Z1126" s="10">
        <v>1</v>
      </c>
      <c r="AA1126" s="10">
        <v>1</v>
      </c>
      <c r="AB1126" s="10">
        <v>0</v>
      </c>
      <c r="AC1126" s="316">
        <v>1</v>
      </c>
      <c r="AD1126" s="316">
        <v>1</v>
      </c>
      <c r="AE1126" s="302">
        <f t="shared" si="82"/>
        <v>0.875</v>
      </c>
      <c r="AF1126" s="32"/>
      <c r="AG1126" s="17">
        <v>0</v>
      </c>
      <c r="AH1126" s="32" t="s">
        <v>271</v>
      </c>
      <c r="AI1126" s="32">
        <v>0</v>
      </c>
      <c r="AJ1126" s="32">
        <v>0</v>
      </c>
      <c r="AK1126" s="214">
        <v>10</v>
      </c>
      <c r="AL1126" s="214">
        <v>5</v>
      </c>
      <c r="AM1126" s="17">
        <f t="shared" si="83"/>
        <v>15</v>
      </c>
      <c r="AN1126" s="32" t="s">
        <v>4067</v>
      </c>
      <c r="AO1126" s="18" t="s">
        <v>1037</v>
      </c>
      <c r="AP1126" s="10" t="s">
        <v>4078</v>
      </c>
    </row>
    <row r="1127" spans="1:42" s="10" customFormat="1" x14ac:dyDescent="0.3">
      <c r="A1127" s="213" t="s">
        <v>1444</v>
      </c>
      <c r="B1127" s="10" t="s">
        <v>4050</v>
      </c>
      <c r="C1127" s="213" t="s">
        <v>1445</v>
      </c>
      <c r="D1127" s="10" t="s">
        <v>4052</v>
      </c>
      <c r="E1127" s="213" t="s">
        <v>4106</v>
      </c>
      <c r="F1127" s="10" t="s">
        <v>4107</v>
      </c>
      <c r="G1127" s="213" t="s">
        <v>4130</v>
      </c>
      <c r="H1127" s="10" t="s">
        <v>4131</v>
      </c>
      <c r="K1127" s="213" t="s">
        <v>4132</v>
      </c>
      <c r="L1127" s="10" t="s">
        <v>4133</v>
      </c>
      <c r="N1127" s="16"/>
      <c r="O1127" s="16"/>
      <c r="P1127" s="16"/>
      <c r="Q1127" s="16"/>
      <c r="R1127" s="16"/>
      <c r="S1127" s="16"/>
      <c r="U1127" s="283" t="e">
        <v>#N/A</v>
      </c>
      <c r="V1127" s="215" t="s">
        <v>4137</v>
      </c>
      <c r="W1127" s="10">
        <v>1</v>
      </c>
      <c r="X1127" s="10">
        <v>1</v>
      </c>
      <c r="Y1127" s="10">
        <v>1</v>
      </c>
      <c r="Z1127" s="10">
        <v>1</v>
      </c>
      <c r="AA1127" s="10">
        <v>1</v>
      </c>
      <c r="AB1127" s="10">
        <v>0</v>
      </c>
      <c r="AC1127" s="316">
        <v>1</v>
      </c>
      <c r="AD1127" s="316">
        <v>1</v>
      </c>
      <c r="AE1127" s="302">
        <f t="shared" si="82"/>
        <v>0.875</v>
      </c>
      <c r="AF1127" s="32"/>
      <c r="AG1127" s="17">
        <v>0</v>
      </c>
      <c r="AH1127" s="32" t="s">
        <v>271</v>
      </c>
      <c r="AI1127" s="32">
        <v>0</v>
      </c>
      <c r="AJ1127" s="32">
        <v>0</v>
      </c>
      <c r="AK1127" s="214">
        <v>0</v>
      </c>
      <c r="AL1127" s="214">
        <v>0</v>
      </c>
      <c r="AM1127" s="17">
        <f t="shared" si="83"/>
        <v>0</v>
      </c>
      <c r="AN1127" s="10" t="s">
        <v>63</v>
      </c>
      <c r="AO1127" s="18" t="s">
        <v>2510</v>
      </c>
      <c r="AP1127" s="10" t="s">
        <v>119</v>
      </c>
    </row>
    <row r="1128" spans="1:42" s="10" customFormat="1" hidden="1" x14ac:dyDescent="0.3">
      <c r="A1128" s="213" t="s">
        <v>1444</v>
      </c>
      <c r="B1128" s="10" t="s">
        <v>4050</v>
      </c>
      <c r="C1128" s="213" t="s">
        <v>1445</v>
      </c>
      <c r="D1128" s="10" t="s">
        <v>4052</v>
      </c>
      <c r="E1128" s="213" t="s">
        <v>4106</v>
      </c>
      <c r="F1128" s="10" t="s">
        <v>4107</v>
      </c>
      <c r="G1128" s="213" t="s">
        <v>4130</v>
      </c>
      <c r="H1128" s="10" t="s">
        <v>4131</v>
      </c>
      <c r="K1128" s="213" t="s">
        <v>4132</v>
      </c>
      <c r="L1128" s="10" t="s">
        <v>4133</v>
      </c>
      <c r="N1128" s="16"/>
      <c r="O1128" s="16"/>
      <c r="P1128" s="16"/>
      <c r="Q1128" s="16"/>
      <c r="R1128" s="16"/>
      <c r="S1128" s="16"/>
      <c r="U1128" s="283" t="e">
        <v>#N/A</v>
      </c>
      <c r="V1128" s="10" t="s">
        <v>4138</v>
      </c>
      <c r="W1128" s="10">
        <v>1</v>
      </c>
      <c r="X1128" s="10">
        <v>0</v>
      </c>
      <c r="Y1128" s="10">
        <v>0</v>
      </c>
      <c r="Z1128" s="10">
        <v>0</v>
      </c>
      <c r="AA1128" s="10">
        <v>1</v>
      </c>
      <c r="AB1128" s="10">
        <v>0</v>
      </c>
      <c r="AC1128" s="316">
        <v>1</v>
      </c>
      <c r="AD1128" s="316">
        <v>1</v>
      </c>
      <c r="AE1128" s="302">
        <f t="shared" si="82"/>
        <v>0.5</v>
      </c>
      <c r="AF1128" s="32"/>
      <c r="AG1128" s="17">
        <v>0</v>
      </c>
      <c r="AH1128" s="32" t="s">
        <v>271</v>
      </c>
      <c r="AI1128" s="17">
        <v>0</v>
      </c>
      <c r="AJ1128" s="32">
        <v>2.9</v>
      </c>
      <c r="AK1128" s="214">
        <v>5.9</v>
      </c>
      <c r="AL1128" s="214">
        <v>5.9</v>
      </c>
      <c r="AM1128" s="17">
        <f t="shared" si="83"/>
        <v>11.8</v>
      </c>
      <c r="AN1128" s="32" t="s">
        <v>4067</v>
      </c>
      <c r="AO1128" s="18" t="s">
        <v>1037</v>
      </c>
      <c r="AP1128" s="10" t="s">
        <v>4139</v>
      </c>
    </row>
    <row r="1129" spans="1:42" s="10" customFormat="1" hidden="1" x14ac:dyDescent="0.3">
      <c r="A1129" s="213" t="s">
        <v>1444</v>
      </c>
      <c r="B1129" s="10" t="s">
        <v>4050</v>
      </c>
      <c r="C1129" s="213" t="s">
        <v>1445</v>
      </c>
      <c r="D1129" s="10" t="s">
        <v>4052</v>
      </c>
      <c r="E1129" s="213" t="s">
        <v>4106</v>
      </c>
      <c r="F1129" s="10" t="s">
        <v>4107</v>
      </c>
      <c r="G1129" s="213" t="s">
        <v>4130</v>
      </c>
      <c r="H1129" s="10" t="s">
        <v>4131</v>
      </c>
      <c r="K1129" s="213" t="s">
        <v>4132</v>
      </c>
      <c r="L1129" s="10" t="s">
        <v>4133</v>
      </c>
      <c r="N1129" s="16"/>
      <c r="O1129" s="16"/>
      <c r="P1129" s="16"/>
      <c r="Q1129" s="16"/>
      <c r="R1129" s="16"/>
      <c r="S1129" s="16"/>
      <c r="U1129" s="283" t="e">
        <v>#N/A</v>
      </c>
      <c r="V1129" s="10" t="s">
        <v>4138</v>
      </c>
      <c r="W1129" s="10">
        <v>1</v>
      </c>
      <c r="X1129" s="10">
        <v>0</v>
      </c>
      <c r="Y1129" s="10">
        <v>0</v>
      </c>
      <c r="Z1129" s="10">
        <v>0</v>
      </c>
      <c r="AA1129" s="10">
        <v>1</v>
      </c>
      <c r="AB1129" s="10">
        <v>0</v>
      </c>
      <c r="AC1129" s="316">
        <v>1</v>
      </c>
      <c r="AD1129" s="316">
        <v>1</v>
      </c>
      <c r="AE1129" s="302">
        <f t="shared" si="82"/>
        <v>0.5</v>
      </c>
      <c r="AF1129" s="32"/>
      <c r="AG1129" s="17">
        <v>0</v>
      </c>
      <c r="AH1129" s="32" t="s">
        <v>271</v>
      </c>
      <c r="AI1129" s="17">
        <v>0</v>
      </c>
      <c r="AJ1129" s="32">
        <v>0.1</v>
      </c>
      <c r="AK1129" s="214">
        <v>0.1</v>
      </c>
      <c r="AL1129" s="214">
        <v>0.1</v>
      </c>
      <c r="AM1129" s="17">
        <f t="shared" si="83"/>
        <v>0.2</v>
      </c>
      <c r="AN1129" s="10" t="s">
        <v>63</v>
      </c>
      <c r="AO1129" s="18" t="s">
        <v>2510</v>
      </c>
      <c r="AP1129" s="10" t="s">
        <v>4140</v>
      </c>
    </row>
    <row r="1130" spans="1:42" s="10" customFormat="1" hidden="1" x14ac:dyDescent="0.3">
      <c r="A1130" s="213" t="s">
        <v>1444</v>
      </c>
      <c r="B1130" s="10" t="s">
        <v>4050</v>
      </c>
      <c r="C1130" s="213" t="s">
        <v>1445</v>
      </c>
      <c r="D1130" s="10" t="s">
        <v>4052</v>
      </c>
      <c r="E1130" s="213" t="s">
        <v>4106</v>
      </c>
      <c r="F1130" s="10" t="s">
        <v>4107</v>
      </c>
      <c r="G1130" s="213" t="s">
        <v>4130</v>
      </c>
      <c r="H1130" s="10" t="s">
        <v>4131</v>
      </c>
      <c r="K1130" s="213" t="s">
        <v>4132</v>
      </c>
      <c r="L1130" s="10" t="s">
        <v>4133</v>
      </c>
      <c r="N1130" s="16"/>
      <c r="O1130" s="16"/>
      <c r="P1130" s="16"/>
      <c r="Q1130" s="16"/>
      <c r="R1130" s="16"/>
      <c r="S1130" s="16"/>
      <c r="U1130" s="283" t="e">
        <v>#N/A</v>
      </c>
      <c r="V1130" s="10" t="s">
        <v>4141</v>
      </c>
      <c r="W1130" s="10">
        <v>1</v>
      </c>
      <c r="X1130" s="10">
        <v>0</v>
      </c>
      <c r="Y1130" s="10">
        <v>0</v>
      </c>
      <c r="Z1130" s="10">
        <v>1</v>
      </c>
      <c r="AA1130" s="10">
        <v>1</v>
      </c>
      <c r="AB1130" s="10">
        <v>0</v>
      </c>
      <c r="AC1130" s="316">
        <v>0</v>
      </c>
      <c r="AD1130" s="316">
        <v>0</v>
      </c>
      <c r="AE1130" s="302">
        <f t="shared" si="82"/>
        <v>0.375</v>
      </c>
      <c r="AF1130" s="32"/>
      <c r="AG1130" s="17">
        <v>0</v>
      </c>
      <c r="AH1130" s="32" t="s">
        <v>271</v>
      </c>
      <c r="AI1130" s="32">
        <v>0.5</v>
      </c>
      <c r="AJ1130" s="32">
        <v>0.5</v>
      </c>
      <c r="AK1130" s="214"/>
      <c r="AL1130" s="214"/>
      <c r="AM1130" s="17">
        <f t="shared" si="83"/>
        <v>0</v>
      </c>
      <c r="AN1130" s="32" t="s">
        <v>4067</v>
      </c>
      <c r="AO1130" s="18" t="s">
        <v>1037</v>
      </c>
      <c r="AP1130" s="10" t="s">
        <v>640</v>
      </c>
    </row>
    <row r="1131" spans="1:42" s="10" customFormat="1" x14ac:dyDescent="0.3">
      <c r="A1131" s="213" t="s">
        <v>1444</v>
      </c>
      <c r="B1131" s="10" t="s">
        <v>4050</v>
      </c>
      <c r="C1131" s="213" t="s">
        <v>1445</v>
      </c>
      <c r="D1131" s="10" t="s">
        <v>4052</v>
      </c>
      <c r="E1131" s="213" t="s">
        <v>4106</v>
      </c>
      <c r="F1131" s="10" t="s">
        <v>4107</v>
      </c>
      <c r="G1131" s="213" t="s">
        <v>4130</v>
      </c>
      <c r="H1131" s="10" t="s">
        <v>4131</v>
      </c>
      <c r="K1131" s="213" t="s">
        <v>4132</v>
      </c>
      <c r="L1131" s="10" t="s">
        <v>4133</v>
      </c>
      <c r="N1131" s="16"/>
      <c r="O1131" s="16"/>
      <c r="P1131" s="16"/>
      <c r="Q1131" s="16"/>
      <c r="R1131" s="16"/>
      <c r="S1131" s="16"/>
      <c r="U1131" s="283" t="e">
        <v>#N/A</v>
      </c>
      <c r="V1131" s="10" t="s">
        <v>4142</v>
      </c>
      <c r="W1131" s="10">
        <v>1</v>
      </c>
      <c r="X1131" s="10">
        <v>1</v>
      </c>
      <c r="Y1131" s="10">
        <v>1</v>
      </c>
      <c r="Z1131" s="10">
        <v>0</v>
      </c>
      <c r="AA1131" s="10">
        <v>1</v>
      </c>
      <c r="AB1131" s="10">
        <v>0</v>
      </c>
      <c r="AC1131" s="316">
        <v>1</v>
      </c>
      <c r="AD1131" s="316">
        <v>1</v>
      </c>
      <c r="AE1131" s="302">
        <f t="shared" si="82"/>
        <v>0.75</v>
      </c>
      <c r="AF1131" s="32"/>
      <c r="AG1131" s="17">
        <v>0</v>
      </c>
      <c r="AH1131" s="32" t="s">
        <v>271</v>
      </c>
      <c r="AI1131" s="32">
        <v>0.5</v>
      </c>
      <c r="AJ1131" s="32">
        <v>0.5</v>
      </c>
      <c r="AK1131" s="214">
        <v>1.44</v>
      </c>
      <c r="AL1131" s="214">
        <v>0.5</v>
      </c>
      <c r="AM1131" s="17">
        <f t="shared" si="83"/>
        <v>1.94</v>
      </c>
      <c r="AN1131" s="32" t="s">
        <v>4067</v>
      </c>
      <c r="AO1131" s="18" t="s">
        <v>1037</v>
      </c>
      <c r="AP1131" s="10" t="s">
        <v>4143</v>
      </c>
    </row>
    <row r="1132" spans="1:42" s="10" customFormat="1" x14ac:dyDescent="0.3">
      <c r="A1132" s="213" t="s">
        <v>1444</v>
      </c>
      <c r="B1132" s="10" t="s">
        <v>4050</v>
      </c>
      <c r="C1132" s="213" t="s">
        <v>1445</v>
      </c>
      <c r="D1132" s="10" t="s">
        <v>4052</v>
      </c>
      <c r="E1132" s="213" t="s">
        <v>4106</v>
      </c>
      <c r="F1132" s="10" t="s">
        <v>4107</v>
      </c>
      <c r="G1132" s="213" t="s">
        <v>4130</v>
      </c>
      <c r="H1132" s="10" t="s">
        <v>4131</v>
      </c>
      <c r="K1132" s="213" t="s">
        <v>4132</v>
      </c>
      <c r="L1132" s="10" t="s">
        <v>4133</v>
      </c>
      <c r="N1132" s="16"/>
      <c r="O1132" s="16"/>
      <c r="P1132" s="16"/>
      <c r="Q1132" s="16"/>
      <c r="R1132" s="16"/>
      <c r="S1132" s="16"/>
      <c r="U1132" s="283" t="e">
        <v>#N/A</v>
      </c>
      <c r="V1132" s="10" t="s">
        <v>4142</v>
      </c>
      <c r="W1132" s="10">
        <v>1</v>
      </c>
      <c r="X1132" s="10">
        <v>1</v>
      </c>
      <c r="Y1132" s="10">
        <v>1</v>
      </c>
      <c r="Z1132" s="10">
        <v>0</v>
      </c>
      <c r="AA1132" s="10">
        <v>1</v>
      </c>
      <c r="AB1132" s="10">
        <v>0</v>
      </c>
      <c r="AC1132" s="316">
        <v>1</v>
      </c>
      <c r="AD1132" s="316">
        <v>1</v>
      </c>
      <c r="AE1132" s="302">
        <f t="shared" si="82"/>
        <v>0.75</v>
      </c>
      <c r="AF1132" s="32"/>
      <c r="AG1132" s="17">
        <v>0</v>
      </c>
      <c r="AH1132" s="32" t="s">
        <v>271</v>
      </c>
      <c r="AI1132" s="32">
        <v>1.5</v>
      </c>
      <c r="AJ1132" s="32">
        <v>1.5</v>
      </c>
      <c r="AK1132" s="214">
        <v>1.5</v>
      </c>
      <c r="AL1132" s="214">
        <v>1.5</v>
      </c>
      <c r="AM1132" s="17">
        <f t="shared" si="83"/>
        <v>3</v>
      </c>
      <c r="AN1132" s="18" t="s">
        <v>101</v>
      </c>
      <c r="AO1132" s="18" t="s">
        <v>103</v>
      </c>
      <c r="AP1132" s="10" t="s">
        <v>4062</v>
      </c>
    </row>
    <row r="1133" spans="1:42" s="10" customFormat="1" hidden="1" x14ac:dyDescent="0.3">
      <c r="A1133" s="213" t="s">
        <v>1444</v>
      </c>
      <c r="B1133" s="10" t="s">
        <v>4050</v>
      </c>
      <c r="C1133" s="213" t="s">
        <v>1445</v>
      </c>
      <c r="D1133" s="10" t="s">
        <v>4052</v>
      </c>
      <c r="E1133" s="213" t="s">
        <v>4106</v>
      </c>
      <c r="F1133" s="10" t="s">
        <v>4107</v>
      </c>
      <c r="G1133" s="213" t="s">
        <v>4130</v>
      </c>
      <c r="H1133" s="10" t="s">
        <v>4131</v>
      </c>
      <c r="K1133" s="213" t="s">
        <v>4132</v>
      </c>
      <c r="L1133" s="10" t="s">
        <v>4133</v>
      </c>
      <c r="N1133" s="16"/>
      <c r="O1133" s="16"/>
      <c r="P1133" s="16"/>
      <c r="Q1133" s="16"/>
      <c r="R1133" s="16"/>
      <c r="S1133" s="16"/>
      <c r="U1133" s="283" t="e">
        <v>#N/A</v>
      </c>
      <c r="V1133" s="10" t="s">
        <v>4144</v>
      </c>
      <c r="W1133" s="10">
        <v>1</v>
      </c>
      <c r="X1133" s="10">
        <v>0</v>
      </c>
      <c r="Y1133" s="10">
        <v>0</v>
      </c>
      <c r="Z1133" s="10">
        <v>1</v>
      </c>
      <c r="AA1133" s="10">
        <v>1</v>
      </c>
      <c r="AB1133" s="10">
        <v>0</v>
      </c>
      <c r="AC1133" s="316">
        <v>0</v>
      </c>
      <c r="AD1133" s="316">
        <v>1</v>
      </c>
      <c r="AE1133" s="302">
        <f t="shared" si="82"/>
        <v>0.5</v>
      </c>
      <c r="AF1133" s="32"/>
      <c r="AG1133" s="17">
        <v>0</v>
      </c>
      <c r="AH1133" s="32" t="s">
        <v>271</v>
      </c>
      <c r="AI1133" s="32">
        <v>0.5</v>
      </c>
      <c r="AJ1133" s="32">
        <v>0.5</v>
      </c>
      <c r="AK1133" s="214">
        <v>0.5</v>
      </c>
      <c r="AL1133" s="214">
        <v>0.5</v>
      </c>
      <c r="AM1133" s="17">
        <f t="shared" si="83"/>
        <v>1</v>
      </c>
      <c r="AN1133" s="32" t="s">
        <v>4067</v>
      </c>
      <c r="AO1133" s="18" t="s">
        <v>1037</v>
      </c>
      <c r="AP1133" s="10" t="s">
        <v>4145</v>
      </c>
    </row>
    <row r="1134" spans="1:42" s="10" customFormat="1" hidden="1" x14ac:dyDescent="0.3">
      <c r="A1134" s="213" t="s">
        <v>1444</v>
      </c>
      <c r="B1134" s="10" t="s">
        <v>4050</v>
      </c>
      <c r="C1134" s="213" t="s">
        <v>1445</v>
      </c>
      <c r="D1134" s="10" t="s">
        <v>4052</v>
      </c>
      <c r="E1134" s="213" t="s">
        <v>4106</v>
      </c>
      <c r="F1134" s="10" t="s">
        <v>4107</v>
      </c>
      <c r="G1134" s="213" t="s">
        <v>4130</v>
      </c>
      <c r="H1134" s="10" t="s">
        <v>4131</v>
      </c>
      <c r="K1134" s="213" t="s">
        <v>4132</v>
      </c>
      <c r="L1134" s="10" t="s">
        <v>4133</v>
      </c>
      <c r="N1134" s="16"/>
      <c r="O1134" s="16"/>
      <c r="P1134" s="16"/>
      <c r="Q1134" s="16"/>
      <c r="R1134" s="16"/>
      <c r="S1134" s="16"/>
      <c r="U1134" s="283" t="e">
        <v>#N/A</v>
      </c>
      <c r="V1134" s="10" t="s">
        <v>4144</v>
      </c>
      <c r="W1134" s="10">
        <v>1</v>
      </c>
      <c r="X1134" s="10">
        <v>0</v>
      </c>
      <c r="Y1134" s="10">
        <v>0</v>
      </c>
      <c r="Z1134" s="10">
        <v>1</v>
      </c>
      <c r="AA1134" s="10">
        <v>1</v>
      </c>
      <c r="AB1134" s="10">
        <v>0</v>
      </c>
      <c r="AC1134" s="316">
        <v>0</v>
      </c>
      <c r="AD1134" s="316">
        <v>1</v>
      </c>
      <c r="AE1134" s="302">
        <f t="shared" si="82"/>
        <v>0.5</v>
      </c>
      <c r="AF1134" s="32"/>
      <c r="AG1134" s="17">
        <v>0</v>
      </c>
      <c r="AH1134" s="32" t="s">
        <v>271</v>
      </c>
      <c r="AI1134" s="32">
        <v>0.2</v>
      </c>
      <c r="AJ1134" s="32">
        <v>0.2</v>
      </c>
      <c r="AK1134" s="214">
        <v>0.3</v>
      </c>
      <c r="AL1134" s="214">
        <v>0.5</v>
      </c>
      <c r="AM1134" s="17">
        <f t="shared" si="83"/>
        <v>0.8</v>
      </c>
      <c r="AN1134" s="18" t="s">
        <v>101</v>
      </c>
      <c r="AO1134" s="18" t="s">
        <v>103</v>
      </c>
      <c r="AP1134" s="10" t="s">
        <v>4146</v>
      </c>
    </row>
    <row r="1135" spans="1:42" s="10" customFormat="1" hidden="1" x14ac:dyDescent="0.3">
      <c r="A1135" s="213" t="s">
        <v>1444</v>
      </c>
      <c r="B1135" s="10" t="s">
        <v>4050</v>
      </c>
      <c r="C1135" s="213" t="s">
        <v>1445</v>
      </c>
      <c r="D1135" s="10" t="s">
        <v>4052</v>
      </c>
      <c r="E1135" s="213" t="s">
        <v>4106</v>
      </c>
      <c r="F1135" s="10" t="s">
        <v>4107</v>
      </c>
      <c r="G1135" s="213" t="s">
        <v>4147</v>
      </c>
      <c r="H1135" s="10" t="s">
        <v>4148</v>
      </c>
      <c r="K1135" s="213" t="s">
        <v>4149</v>
      </c>
      <c r="L1135" s="10" t="s">
        <v>4150</v>
      </c>
      <c r="M1135" s="10" t="s">
        <v>4151</v>
      </c>
      <c r="N1135" s="16">
        <v>0</v>
      </c>
      <c r="O1135" s="16">
        <v>1</v>
      </c>
      <c r="P1135" s="16">
        <v>1</v>
      </c>
      <c r="Q1135" s="16">
        <v>1</v>
      </c>
      <c r="R1135" s="16">
        <v>1</v>
      </c>
      <c r="S1135" s="16">
        <v>1</v>
      </c>
      <c r="T1135" s="10" t="s">
        <v>1035</v>
      </c>
      <c r="U1135" s="283" t="s">
        <v>1037</v>
      </c>
      <c r="V1135" s="10" t="s">
        <v>4152</v>
      </c>
      <c r="W1135" s="10">
        <v>1</v>
      </c>
      <c r="X1135" s="10">
        <v>0</v>
      </c>
      <c r="Y1135" s="10">
        <v>0</v>
      </c>
      <c r="Z1135" s="10">
        <v>0</v>
      </c>
      <c r="AA1135" s="10">
        <v>0</v>
      </c>
      <c r="AB1135" s="10">
        <v>0</v>
      </c>
      <c r="AC1135" s="316">
        <v>0</v>
      </c>
      <c r="AD1135" s="316">
        <v>1</v>
      </c>
      <c r="AE1135" s="302">
        <f t="shared" si="82"/>
        <v>0.25</v>
      </c>
      <c r="AF1135" s="32"/>
      <c r="AG1135" s="17">
        <v>0</v>
      </c>
      <c r="AH1135" s="32">
        <v>0</v>
      </c>
      <c r="AI1135" s="32">
        <v>0</v>
      </c>
      <c r="AJ1135" s="32">
        <v>0</v>
      </c>
      <c r="AK1135" s="214">
        <v>0</v>
      </c>
      <c r="AL1135" s="214">
        <v>0</v>
      </c>
      <c r="AM1135" s="17">
        <f t="shared" si="83"/>
        <v>0</v>
      </c>
      <c r="AN1135" s="32" t="s">
        <v>1035</v>
      </c>
      <c r="AO1135" s="18" t="s">
        <v>1037</v>
      </c>
      <c r="AP1135" s="10" t="s">
        <v>4153</v>
      </c>
    </row>
    <row r="1136" spans="1:42" s="10" customFormat="1" hidden="1" x14ac:dyDescent="0.3">
      <c r="A1136" s="213" t="s">
        <v>1444</v>
      </c>
      <c r="B1136" s="10" t="s">
        <v>4050</v>
      </c>
      <c r="C1136" s="213" t="s">
        <v>1445</v>
      </c>
      <c r="D1136" s="10" t="s">
        <v>4052</v>
      </c>
      <c r="E1136" s="213" t="s">
        <v>4106</v>
      </c>
      <c r="F1136" s="10" t="s">
        <v>4107</v>
      </c>
      <c r="G1136" s="213" t="s">
        <v>4147</v>
      </c>
      <c r="H1136" s="10" t="s">
        <v>4148</v>
      </c>
      <c r="K1136" s="213" t="s">
        <v>4149</v>
      </c>
      <c r="L1136" s="10" t="s">
        <v>4150</v>
      </c>
      <c r="N1136" s="16"/>
      <c r="O1136" s="16"/>
      <c r="P1136" s="16"/>
      <c r="Q1136" s="16"/>
      <c r="R1136" s="16"/>
      <c r="S1136" s="16"/>
      <c r="U1136" s="283" t="e">
        <v>#N/A</v>
      </c>
      <c r="V1136" s="10" t="s">
        <v>4152</v>
      </c>
      <c r="W1136" s="10">
        <v>1</v>
      </c>
      <c r="X1136" s="10">
        <v>0</v>
      </c>
      <c r="Y1136" s="10">
        <v>0</v>
      </c>
      <c r="Z1136" s="10">
        <v>0</v>
      </c>
      <c r="AA1136" s="10">
        <v>0</v>
      </c>
      <c r="AB1136" s="10">
        <v>0</v>
      </c>
      <c r="AC1136" s="316">
        <v>0</v>
      </c>
      <c r="AD1136" s="316">
        <v>1</v>
      </c>
      <c r="AE1136" s="302">
        <f t="shared" si="82"/>
        <v>0.25</v>
      </c>
      <c r="AF1136" s="32"/>
      <c r="AG1136" s="17">
        <v>0</v>
      </c>
      <c r="AH1136" s="32">
        <v>0</v>
      </c>
      <c r="AI1136" s="32">
        <v>0</v>
      </c>
      <c r="AJ1136" s="32">
        <v>0</v>
      </c>
      <c r="AK1136" s="214">
        <v>0</v>
      </c>
      <c r="AL1136" s="214">
        <v>0</v>
      </c>
      <c r="AM1136" s="17">
        <f t="shared" si="83"/>
        <v>0</v>
      </c>
      <c r="AN1136" s="10" t="s">
        <v>723</v>
      </c>
      <c r="AO1136" s="18" t="s">
        <v>729</v>
      </c>
      <c r="AP1136" s="10" t="s">
        <v>4154</v>
      </c>
    </row>
    <row r="1137" spans="1:42" s="10" customFormat="1" hidden="1" x14ac:dyDescent="0.3">
      <c r="A1137" s="213" t="s">
        <v>1444</v>
      </c>
      <c r="B1137" s="10" t="s">
        <v>4050</v>
      </c>
      <c r="C1137" s="213" t="s">
        <v>1445</v>
      </c>
      <c r="D1137" s="10" t="s">
        <v>4052</v>
      </c>
      <c r="E1137" s="213" t="s">
        <v>4106</v>
      </c>
      <c r="F1137" s="10" t="s">
        <v>4107</v>
      </c>
      <c r="G1137" s="213" t="s">
        <v>4147</v>
      </c>
      <c r="H1137" s="10" t="s">
        <v>4148</v>
      </c>
      <c r="K1137" s="213" t="s">
        <v>4149</v>
      </c>
      <c r="L1137" s="10" t="s">
        <v>4150</v>
      </c>
      <c r="N1137" s="16"/>
      <c r="O1137" s="16"/>
      <c r="P1137" s="16"/>
      <c r="Q1137" s="16"/>
      <c r="R1137" s="16"/>
      <c r="S1137" s="16"/>
      <c r="U1137" s="283" t="e">
        <v>#N/A</v>
      </c>
      <c r="V1137" s="10" t="s">
        <v>4155</v>
      </c>
      <c r="W1137" s="10">
        <v>1</v>
      </c>
      <c r="X1137" s="10">
        <v>0</v>
      </c>
      <c r="Y1137" s="10">
        <v>0</v>
      </c>
      <c r="Z1137" s="10">
        <v>1</v>
      </c>
      <c r="AA1137" s="10">
        <v>1</v>
      </c>
      <c r="AB1137" s="10">
        <v>0</v>
      </c>
      <c r="AC1137" s="316">
        <v>0</v>
      </c>
      <c r="AD1137" s="316">
        <v>1</v>
      </c>
      <c r="AE1137" s="302">
        <f t="shared" si="82"/>
        <v>0.5</v>
      </c>
      <c r="AF1137" s="32"/>
      <c r="AG1137" s="17">
        <v>0</v>
      </c>
      <c r="AH1137" s="32" t="s">
        <v>271</v>
      </c>
      <c r="AI1137" s="32">
        <v>1</v>
      </c>
      <c r="AJ1137" s="32">
        <v>1</v>
      </c>
      <c r="AK1137" s="214">
        <v>1</v>
      </c>
      <c r="AL1137" s="214">
        <v>1</v>
      </c>
      <c r="AM1137" s="17">
        <f t="shared" si="83"/>
        <v>2</v>
      </c>
      <c r="AN1137" s="32" t="s">
        <v>4067</v>
      </c>
      <c r="AO1137" s="18" t="s">
        <v>1037</v>
      </c>
      <c r="AP1137" s="10" t="s">
        <v>4156</v>
      </c>
    </row>
    <row r="1138" spans="1:42" s="10" customFormat="1" hidden="1" x14ac:dyDescent="0.3">
      <c r="A1138" s="213" t="s">
        <v>1444</v>
      </c>
      <c r="B1138" s="10" t="s">
        <v>4050</v>
      </c>
      <c r="C1138" s="213" t="s">
        <v>1445</v>
      </c>
      <c r="D1138" s="10" t="s">
        <v>4052</v>
      </c>
      <c r="E1138" s="213" t="s">
        <v>4106</v>
      </c>
      <c r="F1138" s="10" t="s">
        <v>4107</v>
      </c>
      <c r="G1138" s="213" t="s">
        <v>4147</v>
      </c>
      <c r="H1138" s="10" t="s">
        <v>4148</v>
      </c>
      <c r="K1138" s="213" t="s">
        <v>4149</v>
      </c>
      <c r="L1138" s="10" t="s">
        <v>4150</v>
      </c>
      <c r="N1138" s="16"/>
      <c r="O1138" s="16"/>
      <c r="P1138" s="16"/>
      <c r="Q1138" s="16"/>
      <c r="R1138" s="16"/>
      <c r="S1138" s="16"/>
      <c r="U1138" s="283" t="e">
        <v>#N/A</v>
      </c>
      <c r="V1138" s="10" t="s">
        <v>4155</v>
      </c>
      <c r="W1138" s="10">
        <v>1</v>
      </c>
      <c r="X1138" s="10">
        <v>0</v>
      </c>
      <c r="Y1138" s="10">
        <v>0</v>
      </c>
      <c r="Z1138" s="10">
        <v>1</v>
      </c>
      <c r="AA1138" s="10">
        <v>1</v>
      </c>
      <c r="AB1138" s="10">
        <v>0</v>
      </c>
      <c r="AC1138" s="316">
        <v>0</v>
      </c>
      <c r="AD1138" s="316">
        <v>1</v>
      </c>
      <c r="AE1138" s="302">
        <f t="shared" si="82"/>
        <v>0.5</v>
      </c>
      <c r="AF1138" s="32"/>
      <c r="AG1138" s="17">
        <v>0</v>
      </c>
      <c r="AH1138" s="32" t="s">
        <v>271</v>
      </c>
      <c r="AI1138" s="32">
        <v>0</v>
      </c>
      <c r="AJ1138" s="32">
        <v>0</v>
      </c>
      <c r="AK1138" s="214">
        <v>0</v>
      </c>
      <c r="AL1138" s="214">
        <v>0</v>
      </c>
      <c r="AM1138" s="17">
        <f t="shared" si="83"/>
        <v>0</v>
      </c>
      <c r="AN1138" s="18" t="s">
        <v>101</v>
      </c>
      <c r="AO1138" s="18" t="s">
        <v>103</v>
      </c>
      <c r="AP1138" s="10" t="s">
        <v>4104</v>
      </c>
    </row>
    <row r="1139" spans="1:42" s="10" customFormat="1" hidden="1" x14ac:dyDescent="0.3">
      <c r="A1139" s="213" t="s">
        <v>1444</v>
      </c>
      <c r="B1139" s="10" t="s">
        <v>4050</v>
      </c>
      <c r="C1139" s="213" t="s">
        <v>1445</v>
      </c>
      <c r="D1139" s="10" t="s">
        <v>4052</v>
      </c>
      <c r="E1139" s="213" t="s">
        <v>4106</v>
      </c>
      <c r="F1139" s="10" t="s">
        <v>4107</v>
      </c>
      <c r="G1139" s="213" t="s">
        <v>4147</v>
      </c>
      <c r="H1139" s="10" t="s">
        <v>4148</v>
      </c>
      <c r="K1139" s="213" t="s">
        <v>4149</v>
      </c>
      <c r="L1139" s="10" t="s">
        <v>4150</v>
      </c>
      <c r="N1139" s="16"/>
      <c r="O1139" s="16"/>
      <c r="P1139" s="16"/>
      <c r="Q1139" s="16"/>
      <c r="R1139" s="16"/>
      <c r="S1139" s="16"/>
      <c r="U1139" s="283" t="e">
        <v>#N/A</v>
      </c>
      <c r="V1139" s="10" t="s">
        <v>4157</v>
      </c>
      <c r="W1139" s="10">
        <v>1</v>
      </c>
      <c r="X1139" s="10">
        <v>0</v>
      </c>
      <c r="Y1139" s="10">
        <v>0</v>
      </c>
      <c r="Z1139" s="10">
        <v>1</v>
      </c>
      <c r="AA1139" s="10">
        <v>1</v>
      </c>
      <c r="AB1139" s="10">
        <v>0</v>
      </c>
      <c r="AC1139" s="316">
        <v>0</v>
      </c>
      <c r="AD1139" s="316">
        <v>1</v>
      </c>
      <c r="AE1139" s="302">
        <f t="shared" si="82"/>
        <v>0.5</v>
      </c>
      <c r="AF1139" s="32"/>
      <c r="AG1139" s="17">
        <v>0</v>
      </c>
      <c r="AH1139" s="32" t="s">
        <v>271</v>
      </c>
      <c r="AI1139" s="32">
        <v>1</v>
      </c>
      <c r="AJ1139" s="32">
        <v>1</v>
      </c>
      <c r="AK1139" s="214">
        <v>1</v>
      </c>
      <c r="AL1139" s="214">
        <v>1</v>
      </c>
      <c r="AM1139" s="17">
        <f t="shared" si="83"/>
        <v>2</v>
      </c>
      <c r="AN1139" s="10" t="s">
        <v>723</v>
      </c>
      <c r="AO1139" s="18" t="s">
        <v>729</v>
      </c>
      <c r="AP1139" s="10" t="s">
        <v>4158</v>
      </c>
    </row>
    <row r="1140" spans="1:42" s="10" customFormat="1" hidden="1" x14ac:dyDescent="0.3">
      <c r="A1140" s="213" t="s">
        <v>1444</v>
      </c>
      <c r="B1140" s="10" t="s">
        <v>4050</v>
      </c>
      <c r="C1140" s="213" t="s">
        <v>1445</v>
      </c>
      <c r="D1140" s="10" t="s">
        <v>4052</v>
      </c>
      <c r="E1140" s="213" t="s">
        <v>4106</v>
      </c>
      <c r="F1140" s="10" t="s">
        <v>4107</v>
      </c>
      <c r="G1140" s="213" t="s">
        <v>4147</v>
      </c>
      <c r="H1140" s="10" t="s">
        <v>4148</v>
      </c>
      <c r="K1140" s="213" t="s">
        <v>4149</v>
      </c>
      <c r="L1140" s="10" t="s">
        <v>4150</v>
      </c>
      <c r="N1140" s="16"/>
      <c r="O1140" s="16"/>
      <c r="P1140" s="16"/>
      <c r="Q1140" s="16"/>
      <c r="R1140" s="16"/>
      <c r="S1140" s="16"/>
      <c r="U1140" s="283" t="e">
        <v>#N/A</v>
      </c>
      <c r="V1140" s="10" t="s">
        <v>4157</v>
      </c>
      <c r="W1140" s="10">
        <v>1</v>
      </c>
      <c r="X1140" s="10">
        <v>0</v>
      </c>
      <c r="Y1140" s="10">
        <v>0</v>
      </c>
      <c r="Z1140" s="10">
        <v>1</v>
      </c>
      <c r="AA1140" s="10">
        <v>1</v>
      </c>
      <c r="AB1140" s="10">
        <v>0</v>
      </c>
      <c r="AC1140" s="316">
        <v>0</v>
      </c>
      <c r="AD1140" s="316">
        <v>1</v>
      </c>
      <c r="AE1140" s="302">
        <f t="shared" si="82"/>
        <v>0.5</v>
      </c>
      <c r="AF1140" s="32"/>
      <c r="AG1140" s="17">
        <v>0</v>
      </c>
      <c r="AH1140" s="32" t="s">
        <v>271</v>
      </c>
      <c r="AI1140" s="32">
        <v>1</v>
      </c>
      <c r="AJ1140" s="32">
        <v>1.5</v>
      </c>
      <c r="AK1140" s="214">
        <v>1.5</v>
      </c>
      <c r="AL1140" s="214">
        <v>1.5</v>
      </c>
      <c r="AM1140" s="17">
        <f t="shared" si="83"/>
        <v>3</v>
      </c>
      <c r="AN1140" s="32" t="s">
        <v>4067</v>
      </c>
      <c r="AO1140" s="18" t="s">
        <v>1037</v>
      </c>
      <c r="AP1140" s="10" t="s">
        <v>4159</v>
      </c>
    </row>
    <row r="1141" spans="1:42" s="10" customFormat="1" hidden="1" x14ac:dyDescent="0.3">
      <c r="A1141" s="213" t="s">
        <v>1444</v>
      </c>
      <c r="B1141" s="10" t="s">
        <v>4050</v>
      </c>
      <c r="C1141" s="213" t="s">
        <v>1445</v>
      </c>
      <c r="D1141" s="10" t="s">
        <v>4052</v>
      </c>
      <c r="E1141" s="213" t="s">
        <v>4106</v>
      </c>
      <c r="F1141" s="10" t="s">
        <v>4107</v>
      </c>
      <c r="G1141" s="213" t="s">
        <v>4147</v>
      </c>
      <c r="H1141" s="10" t="s">
        <v>4148</v>
      </c>
      <c r="K1141" s="213" t="s">
        <v>4149</v>
      </c>
      <c r="L1141" s="10" t="s">
        <v>4150</v>
      </c>
      <c r="N1141" s="16"/>
      <c r="O1141" s="16"/>
      <c r="P1141" s="16"/>
      <c r="Q1141" s="16"/>
      <c r="R1141" s="16"/>
      <c r="S1141" s="16"/>
      <c r="U1141" s="283" t="e">
        <v>#N/A</v>
      </c>
      <c r="V1141" s="10" t="s">
        <v>4160</v>
      </c>
      <c r="W1141" s="10">
        <v>1</v>
      </c>
      <c r="X1141" s="10">
        <v>0</v>
      </c>
      <c r="Y1141" s="10">
        <v>0</v>
      </c>
      <c r="Z1141" s="10">
        <v>1</v>
      </c>
      <c r="AA1141" s="10">
        <v>1</v>
      </c>
      <c r="AB1141" s="10">
        <v>0</v>
      </c>
      <c r="AC1141" s="316">
        <v>0</v>
      </c>
      <c r="AD1141" s="316">
        <v>0</v>
      </c>
      <c r="AE1141" s="302">
        <f t="shared" si="82"/>
        <v>0.375</v>
      </c>
      <c r="AF1141" s="32"/>
      <c r="AG1141" s="17">
        <v>0</v>
      </c>
      <c r="AH1141" s="32">
        <v>1</v>
      </c>
      <c r="AI1141" s="32">
        <v>1</v>
      </c>
      <c r="AJ1141" s="32">
        <v>1</v>
      </c>
      <c r="AK1141" s="214"/>
      <c r="AL1141" s="214"/>
      <c r="AM1141" s="17">
        <f t="shared" si="83"/>
        <v>0</v>
      </c>
      <c r="AN1141" s="32" t="s">
        <v>4067</v>
      </c>
      <c r="AO1141" s="18" t="s">
        <v>1037</v>
      </c>
      <c r="AP1141" s="10" t="s">
        <v>4161</v>
      </c>
    </row>
    <row r="1142" spans="1:42" s="10" customFormat="1" hidden="1" x14ac:dyDescent="0.3">
      <c r="A1142" s="213" t="s">
        <v>1444</v>
      </c>
      <c r="B1142" s="10" t="s">
        <v>4050</v>
      </c>
      <c r="C1142" s="213" t="s">
        <v>1445</v>
      </c>
      <c r="D1142" s="10" t="s">
        <v>4052</v>
      </c>
      <c r="E1142" s="213" t="s">
        <v>4106</v>
      </c>
      <c r="F1142" s="10" t="s">
        <v>4107</v>
      </c>
      <c r="G1142" s="213" t="s">
        <v>4147</v>
      </c>
      <c r="H1142" s="10" t="s">
        <v>4148</v>
      </c>
      <c r="K1142" s="213" t="s">
        <v>4149</v>
      </c>
      <c r="L1142" s="10" t="s">
        <v>4150</v>
      </c>
      <c r="N1142" s="16"/>
      <c r="O1142" s="16"/>
      <c r="P1142" s="16"/>
      <c r="Q1142" s="16"/>
      <c r="R1142" s="16"/>
      <c r="S1142" s="16"/>
      <c r="U1142" s="283" t="e">
        <v>#N/A</v>
      </c>
      <c r="V1142" s="10" t="s">
        <v>4160</v>
      </c>
      <c r="W1142" s="10">
        <v>1</v>
      </c>
      <c r="X1142" s="10">
        <v>0</v>
      </c>
      <c r="Y1142" s="10">
        <v>0</v>
      </c>
      <c r="Z1142" s="10">
        <v>1</v>
      </c>
      <c r="AA1142" s="10">
        <v>1</v>
      </c>
      <c r="AB1142" s="10">
        <v>0</v>
      </c>
      <c r="AC1142" s="316">
        <v>0</v>
      </c>
      <c r="AD1142" s="316">
        <v>0</v>
      </c>
      <c r="AE1142" s="302">
        <f t="shared" si="82"/>
        <v>0.375</v>
      </c>
      <c r="AF1142" s="32"/>
      <c r="AG1142" s="17">
        <v>0</v>
      </c>
      <c r="AH1142" s="32" t="s">
        <v>271</v>
      </c>
      <c r="AI1142" s="32" t="s">
        <v>271</v>
      </c>
      <c r="AJ1142" s="32">
        <v>0.5</v>
      </c>
      <c r="AK1142" s="214"/>
      <c r="AL1142" s="214"/>
      <c r="AM1142" s="17">
        <f t="shared" si="83"/>
        <v>0</v>
      </c>
      <c r="AN1142" s="18" t="s">
        <v>101</v>
      </c>
      <c r="AO1142" s="18" t="s">
        <v>103</v>
      </c>
      <c r="AP1142" s="10" t="s">
        <v>4162</v>
      </c>
    </row>
    <row r="1143" spans="1:42" s="10" customFormat="1" hidden="1" x14ac:dyDescent="0.3">
      <c r="A1143" s="213" t="s">
        <v>1444</v>
      </c>
      <c r="B1143" s="10" t="s">
        <v>4050</v>
      </c>
      <c r="C1143" s="213" t="s">
        <v>1445</v>
      </c>
      <c r="D1143" s="10" t="s">
        <v>4052</v>
      </c>
      <c r="E1143" s="213" t="s">
        <v>4106</v>
      </c>
      <c r="F1143" s="10" t="s">
        <v>4107</v>
      </c>
      <c r="G1143" s="213" t="s">
        <v>4147</v>
      </c>
      <c r="H1143" s="10" t="s">
        <v>4148</v>
      </c>
      <c r="K1143" s="213" t="s">
        <v>4149</v>
      </c>
      <c r="L1143" s="10" t="s">
        <v>4150</v>
      </c>
      <c r="N1143" s="16"/>
      <c r="O1143" s="16"/>
      <c r="P1143" s="16"/>
      <c r="Q1143" s="16"/>
      <c r="R1143" s="16"/>
      <c r="S1143" s="16"/>
      <c r="U1143" s="283" t="e">
        <v>#N/A</v>
      </c>
      <c r="V1143" s="10" t="s">
        <v>4160</v>
      </c>
      <c r="W1143" s="10">
        <v>1</v>
      </c>
      <c r="X1143" s="10">
        <v>0</v>
      </c>
      <c r="Y1143" s="10">
        <v>0</v>
      </c>
      <c r="Z1143" s="10">
        <v>1</v>
      </c>
      <c r="AA1143" s="10">
        <v>1</v>
      </c>
      <c r="AB1143" s="10">
        <v>0</v>
      </c>
      <c r="AC1143" s="316">
        <v>0</v>
      </c>
      <c r="AD1143" s="316">
        <v>0</v>
      </c>
      <c r="AE1143" s="302">
        <f t="shared" si="82"/>
        <v>0.375</v>
      </c>
      <c r="AF1143" s="32"/>
      <c r="AG1143" s="17">
        <v>0</v>
      </c>
      <c r="AH1143" s="32" t="s">
        <v>271</v>
      </c>
      <c r="AI1143" s="32" t="s">
        <v>271</v>
      </c>
      <c r="AJ1143" s="32">
        <v>0.5</v>
      </c>
      <c r="AK1143" s="214"/>
      <c r="AL1143" s="214"/>
      <c r="AM1143" s="17">
        <f t="shared" si="83"/>
        <v>0</v>
      </c>
      <c r="AN1143" s="10" t="s">
        <v>723</v>
      </c>
      <c r="AO1143" s="18" t="s">
        <v>729</v>
      </c>
      <c r="AP1143" s="10" t="s">
        <v>4163</v>
      </c>
    </row>
    <row r="1144" spans="1:42" s="10" customFormat="1" hidden="1" x14ac:dyDescent="0.3">
      <c r="A1144" s="213" t="s">
        <v>1444</v>
      </c>
      <c r="B1144" s="10" t="s">
        <v>4050</v>
      </c>
      <c r="C1144" s="213" t="s">
        <v>1445</v>
      </c>
      <c r="D1144" s="10" t="s">
        <v>4052</v>
      </c>
      <c r="E1144" s="213" t="s">
        <v>4106</v>
      </c>
      <c r="F1144" s="10" t="s">
        <v>4107</v>
      </c>
      <c r="G1144" s="213" t="s">
        <v>4164</v>
      </c>
      <c r="H1144" s="10" t="s">
        <v>4165</v>
      </c>
      <c r="K1144" s="213" t="s">
        <v>4166</v>
      </c>
      <c r="L1144" s="10" t="s">
        <v>4167</v>
      </c>
      <c r="M1144" s="10" t="s">
        <v>4168</v>
      </c>
      <c r="N1144" s="16"/>
      <c r="O1144" s="16"/>
      <c r="P1144" s="16"/>
      <c r="Q1144" s="16"/>
      <c r="R1144" s="16"/>
      <c r="S1144" s="16">
        <v>500</v>
      </c>
      <c r="T1144" s="10" t="s">
        <v>1035</v>
      </c>
      <c r="U1144" s="283" t="s">
        <v>1037</v>
      </c>
      <c r="V1144" s="10" t="s">
        <v>4169</v>
      </c>
      <c r="W1144" s="10">
        <v>1</v>
      </c>
      <c r="X1144" s="10">
        <v>0</v>
      </c>
      <c r="Y1144" s="10">
        <v>0</v>
      </c>
      <c r="Z1144" s="10">
        <v>1</v>
      </c>
      <c r="AA1144" s="10">
        <v>1</v>
      </c>
      <c r="AB1144" s="10">
        <v>0</v>
      </c>
      <c r="AC1144" s="316">
        <v>1</v>
      </c>
      <c r="AD1144" s="316">
        <v>1</v>
      </c>
      <c r="AE1144" s="302">
        <f t="shared" si="82"/>
        <v>0.625</v>
      </c>
      <c r="AF1144" s="32"/>
      <c r="AG1144" s="17">
        <v>0</v>
      </c>
      <c r="AH1144" s="32">
        <v>0.2</v>
      </c>
      <c r="AI1144" s="32">
        <v>0.2</v>
      </c>
      <c r="AJ1144" s="32">
        <v>0.2</v>
      </c>
      <c r="AK1144" s="214">
        <v>0.2</v>
      </c>
      <c r="AL1144" s="214">
        <v>0.2</v>
      </c>
      <c r="AM1144" s="17">
        <f t="shared" si="83"/>
        <v>0.4</v>
      </c>
      <c r="AN1144" s="32" t="s">
        <v>1035</v>
      </c>
      <c r="AO1144" s="18" t="s">
        <v>1037</v>
      </c>
      <c r="AP1144" s="10" t="s">
        <v>4170</v>
      </c>
    </row>
    <row r="1145" spans="1:42" s="10" customFormat="1" hidden="1" x14ac:dyDescent="0.3">
      <c r="A1145" s="213" t="s">
        <v>1444</v>
      </c>
      <c r="B1145" s="10" t="s">
        <v>4050</v>
      </c>
      <c r="C1145" s="213" t="s">
        <v>1445</v>
      </c>
      <c r="D1145" s="10" t="s">
        <v>4052</v>
      </c>
      <c r="E1145" s="213" t="s">
        <v>4106</v>
      </c>
      <c r="F1145" s="10" t="s">
        <v>4107</v>
      </c>
      <c r="G1145" s="213" t="s">
        <v>4164</v>
      </c>
      <c r="H1145" s="10" t="s">
        <v>4165</v>
      </c>
      <c r="K1145" s="213" t="s">
        <v>4166</v>
      </c>
      <c r="L1145" s="10" t="s">
        <v>4167</v>
      </c>
      <c r="M1145" s="10" t="s">
        <v>4171</v>
      </c>
      <c r="N1145" s="16"/>
      <c r="O1145" s="16"/>
      <c r="P1145" s="16"/>
      <c r="Q1145" s="16"/>
      <c r="R1145" s="16"/>
      <c r="S1145" s="16">
        <v>500</v>
      </c>
      <c r="T1145" s="10" t="s">
        <v>1035</v>
      </c>
      <c r="U1145" s="283" t="s">
        <v>1037</v>
      </c>
      <c r="V1145" s="10" t="s">
        <v>4172</v>
      </c>
      <c r="W1145" s="10">
        <v>1</v>
      </c>
      <c r="X1145" s="10">
        <v>0</v>
      </c>
      <c r="Y1145" s="10">
        <v>0</v>
      </c>
      <c r="Z1145" s="10">
        <v>1</v>
      </c>
      <c r="AA1145" s="10">
        <v>1</v>
      </c>
      <c r="AB1145" s="10">
        <v>0</v>
      </c>
      <c r="AC1145" s="316">
        <v>1</v>
      </c>
      <c r="AD1145" s="316">
        <v>1</v>
      </c>
      <c r="AE1145" s="302">
        <f t="shared" si="82"/>
        <v>0.625</v>
      </c>
      <c r="AF1145" s="32"/>
      <c r="AG1145" s="17">
        <v>0</v>
      </c>
      <c r="AH1145" s="32">
        <v>0.2</v>
      </c>
      <c r="AI1145" s="32">
        <v>0.2</v>
      </c>
      <c r="AJ1145" s="32">
        <v>0.2</v>
      </c>
      <c r="AK1145" s="214">
        <v>0.2</v>
      </c>
      <c r="AL1145" s="214">
        <v>0.2</v>
      </c>
      <c r="AM1145" s="17">
        <f t="shared" si="83"/>
        <v>0.4</v>
      </c>
      <c r="AN1145" s="32" t="s">
        <v>1035</v>
      </c>
      <c r="AO1145" s="18" t="s">
        <v>1037</v>
      </c>
      <c r="AP1145" s="10" t="s">
        <v>4173</v>
      </c>
    </row>
    <row r="1146" spans="1:42" s="10" customFormat="1" x14ac:dyDescent="0.3">
      <c r="A1146" s="213" t="s">
        <v>1444</v>
      </c>
      <c r="B1146" s="10" t="s">
        <v>4050</v>
      </c>
      <c r="C1146" s="213" t="s">
        <v>1445</v>
      </c>
      <c r="D1146" s="10" t="s">
        <v>4052</v>
      </c>
      <c r="E1146" s="213" t="s">
        <v>4106</v>
      </c>
      <c r="F1146" s="10" t="s">
        <v>4107</v>
      </c>
      <c r="G1146" s="213" t="s">
        <v>4164</v>
      </c>
      <c r="H1146" s="10" t="s">
        <v>4165</v>
      </c>
      <c r="K1146" s="213" t="s">
        <v>4166</v>
      </c>
      <c r="L1146" s="10" t="s">
        <v>4167</v>
      </c>
      <c r="N1146" s="16"/>
      <c r="O1146" s="16"/>
      <c r="P1146" s="16"/>
      <c r="Q1146" s="16"/>
      <c r="R1146" s="16"/>
      <c r="S1146" s="16"/>
      <c r="U1146" s="283" t="e">
        <v>#N/A</v>
      </c>
      <c r="V1146" s="10" t="s">
        <v>4174</v>
      </c>
      <c r="W1146" s="10">
        <v>1</v>
      </c>
      <c r="X1146" s="10">
        <v>1</v>
      </c>
      <c r="Y1146" s="10">
        <v>1</v>
      </c>
      <c r="Z1146" s="10">
        <v>1</v>
      </c>
      <c r="AA1146" s="10">
        <v>1</v>
      </c>
      <c r="AB1146" s="10">
        <v>0</v>
      </c>
      <c r="AC1146" s="316">
        <v>1</v>
      </c>
      <c r="AD1146" s="316">
        <v>1</v>
      </c>
      <c r="AE1146" s="302">
        <f t="shared" si="82"/>
        <v>0.875</v>
      </c>
      <c r="AF1146" s="32"/>
      <c r="AG1146" s="17">
        <v>0</v>
      </c>
      <c r="AH1146" s="32">
        <v>0.2</v>
      </c>
      <c r="AI1146" s="32">
        <v>0.3</v>
      </c>
      <c r="AJ1146" s="32">
        <v>0.5</v>
      </c>
      <c r="AK1146" s="214">
        <v>1</v>
      </c>
      <c r="AL1146" s="214">
        <v>1</v>
      </c>
      <c r="AM1146" s="17">
        <f t="shared" si="83"/>
        <v>2</v>
      </c>
      <c r="AN1146" s="32" t="s">
        <v>4067</v>
      </c>
      <c r="AO1146" s="18" t="s">
        <v>1037</v>
      </c>
      <c r="AP1146" s="10" t="s">
        <v>1083</v>
      </c>
    </row>
    <row r="1147" spans="1:42" s="10" customFormat="1" x14ac:dyDescent="0.3">
      <c r="A1147" s="213" t="s">
        <v>1444</v>
      </c>
      <c r="B1147" s="10" t="s">
        <v>4050</v>
      </c>
      <c r="C1147" s="213" t="s">
        <v>1445</v>
      </c>
      <c r="D1147" s="10" t="s">
        <v>4052</v>
      </c>
      <c r="E1147" s="213" t="s">
        <v>4106</v>
      </c>
      <c r="F1147" s="10" t="s">
        <v>4107</v>
      </c>
      <c r="G1147" s="213" t="s">
        <v>4164</v>
      </c>
      <c r="H1147" s="10" t="s">
        <v>4165</v>
      </c>
      <c r="K1147" s="213" t="s">
        <v>4166</v>
      </c>
      <c r="L1147" s="10" t="s">
        <v>4167</v>
      </c>
      <c r="N1147" s="16"/>
      <c r="O1147" s="16"/>
      <c r="P1147" s="16"/>
      <c r="Q1147" s="16"/>
      <c r="R1147" s="16"/>
      <c r="S1147" s="16"/>
      <c r="U1147" s="283" t="e">
        <v>#N/A</v>
      </c>
      <c r="V1147" s="10" t="s">
        <v>4174</v>
      </c>
      <c r="W1147" s="10">
        <v>1</v>
      </c>
      <c r="X1147" s="10">
        <v>1</v>
      </c>
      <c r="Y1147" s="10">
        <v>1</v>
      </c>
      <c r="Z1147" s="10">
        <v>1</v>
      </c>
      <c r="AA1147" s="10">
        <v>1</v>
      </c>
      <c r="AB1147" s="10">
        <v>0</v>
      </c>
      <c r="AC1147" s="316">
        <v>1</v>
      </c>
      <c r="AD1147" s="316">
        <v>1</v>
      </c>
      <c r="AE1147" s="302">
        <f t="shared" si="82"/>
        <v>0.875</v>
      </c>
      <c r="AF1147" s="32"/>
      <c r="AG1147" s="17">
        <v>0</v>
      </c>
      <c r="AH1147" s="32" t="s">
        <v>271</v>
      </c>
      <c r="AI1147" s="32" t="s">
        <v>271</v>
      </c>
      <c r="AJ1147" s="32">
        <v>0.2</v>
      </c>
      <c r="AK1147" s="214"/>
      <c r="AL1147" s="214"/>
      <c r="AM1147" s="17">
        <f t="shared" si="83"/>
        <v>0</v>
      </c>
      <c r="AN1147" s="18" t="s">
        <v>101</v>
      </c>
      <c r="AO1147" s="18" t="s">
        <v>103</v>
      </c>
      <c r="AP1147" s="10" t="s">
        <v>4175</v>
      </c>
    </row>
    <row r="1148" spans="1:42" s="10" customFormat="1" x14ac:dyDescent="0.3">
      <c r="A1148" s="213" t="s">
        <v>1444</v>
      </c>
      <c r="B1148" s="10" t="s">
        <v>4050</v>
      </c>
      <c r="C1148" s="213" t="s">
        <v>1445</v>
      </c>
      <c r="D1148" s="10" t="s">
        <v>4052</v>
      </c>
      <c r="E1148" s="213" t="s">
        <v>4106</v>
      </c>
      <c r="F1148" s="10" t="s">
        <v>4107</v>
      </c>
      <c r="G1148" s="213" t="s">
        <v>4164</v>
      </c>
      <c r="H1148" s="10" t="s">
        <v>4165</v>
      </c>
      <c r="K1148" s="213" t="s">
        <v>4166</v>
      </c>
      <c r="L1148" s="10" t="s">
        <v>4167</v>
      </c>
      <c r="N1148" s="16"/>
      <c r="O1148" s="16"/>
      <c r="P1148" s="16"/>
      <c r="Q1148" s="16"/>
      <c r="R1148" s="16"/>
      <c r="S1148" s="16"/>
      <c r="U1148" s="283" t="e">
        <v>#N/A</v>
      </c>
      <c r="V1148" s="10" t="s">
        <v>4174</v>
      </c>
      <c r="W1148" s="10">
        <v>1</v>
      </c>
      <c r="X1148" s="10">
        <v>1</v>
      </c>
      <c r="Y1148" s="10">
        <v>1</v>
      </c>
      <c r="Z1148" s="10">
        <v>1</v>
      </c>
      <c r="AA1148" s="10">
        <v>1</v>
      </c>
      <c r="AB1148" s="10">
        <v>0</v>
      </c>
      <c r="AC1148" s="316">
        <v>1</v>
      </c>
      <c r="AD1148" s="316">
        <v>1</v>
      </c>
      <c r="AE1148" s="302">
        <f t="shared" si="82"/>
        <v>0.875</v>
      </c>
      <c r="AF1148" s="32"/>
      <c r="AG1148" s="17">
        <v>0</v>
      </c>
      <c r="AH1148" s="32" t="s">
        <v>271</v>
      </c>
      <c r="AI1148" s="32" t="s">
        <v>271</v>
      </c>
      <c r="AJ1148" s="32">
        <v>0.2</v>
      </c>
      <c r="AK1148" s="214">
        <v>0.2</v>
      </c>
      <c r="AL1148" s="214">
        <v>0.3</v>
      </c>
      <c r="AM1148" s="17">
        <f t="shared" si="83"/>
        <v>0.5</v>
      </c>
      <c r="AN1148" s="10" t="s">
        <v>265</v>
      </c>
      <c r="AO1148" s="18" t="s">
        <v>350</v>
      </c>
      <c r="AP1148" s="10" t="s">
        <v>4062</v>
      </c>
    </row>
    <row r="1149" spans="1:42" s="10" customFormat="1" x14ac:dyDescent="0.3">
      <c r="A1149" s="213" t="s">
        <v>1444</v>
      </c>
      <c r="B1149" s="10" t="s">
        <v>4050</v>
      </c>
      <c r="C1149" s="213" t="s">
        <v>1445</v>
      </c>
      <c r="D1149" s="10" t="s">
        <v>4052</v>
      </c>
      <c r="E1149" s="213" t="s">
        <v>4106</v>
      </c>
      <c r="F1149" s="10" t="s">
        <v>4107</v>
      </c>
      <c r="G1149" s="213" t="s">
        <v>4164</v>
      </c>
      <c r="H1149" s="10" t="s">
        <v>4165</v>
      </c>
      <c r="K1149" s="213" t="s">
        <v>4166</v>
      </c>
      <c r="L1149" s="10" t="s">
        <v>4167</v>
      </c>
      <c r="N1149" s="16"/>
      <c r="O1149" s="16"/>
      <c r="P1149" s="16"/>
      <c r="Q1149" s="16"/>
      <c r="R1149" s="16"/>
      <c r="S1149" s="16"/>
      <c r="U1149" s="283" t="e">
        <v>#N/A</v>
      </c>
      <c r="V1149" s="10" t="s">
        <v>4176</v>
      </c>
      <c r="W1149" s="10">
        <v>1</v>
      </c>
      <c r="X1149" s="10">
        <v>0</v>
      </c>
      <c r="Y1149" s="10">
        <v>0</v>
      </c>
      <c r="Z1149" s="10">
        <v>1</v>
      </c>
      <c r="AA1149" s="10">
        <v>1</v>
      </c>
      <c r="AB1149" s="10">
        <v>1</v>
      </c>
      <c r="AC1149" s="316">
        <v>1</v>
      </c>
      <c r="AD1149" s="316">
        <v>1</v>
      </c>
      <c r="AE1149" s="302">
        <f t="shared" si="82"/>
        <v>0.75</v>
      </c>
      <c r="AF1149" s="32"/>
      <c r="AG1149" s="17">
        <v>0</v>
      </c>
      <c r="AH1149" s="32">
        <v>0.1</v>
      </c>
      <c r="AI1149" s="32">
        <v>0.2</v>
      </c>
      <c r="AJ1149" s="32">
        <v>0.3</v>
      </c>
      <c r="AK1149" s="214">
        <v>0.3</v>
      </c>
      <c r="AL1149" s="214">
        <v>0.3</v>
      </c>
      <c r="AM1149" s="17">
        <f t="shared" si="83"/>
        <v>0.6</v>
      </c>
      <c r="AN1149" s="32" t="s">
        <v>1035</v>
      </c>
      <c r="AO1149" s="18" t="s">
        <v>1037</v>
      </c>
      <c r="AP1149" s="10" t="s">
        <v>2043</v>
      </c>
    </row>
    <row r="1150" spans="1:42" s="10" customFormat="1" x14ac:dyDescent="0.3">
      <c r="A1150" s="213" t="s">
        <v>1444</v>
      </c>
      <c r="B1150" s="10" t="s">
        <v>4050</v>
      </c>
      <c r="C1150" s="213" t="s">
        <v>1445</v>
      </c>
      <c r="D1150" s="10" t="s">
        <v>4052</v>
      </c>
      <c r="E1150" s="213" t="s">
        <v>4106</v>
      </c>
      <c r="F1150" s="10" t="s">
        <v>4107</v>
      </c>
      <c r="G1150" s="213" t="s">
        <v>4164</v>
      </c>
      <c r="H1150" s="10" t="s">
        <v>4165</v>
      </c>
      <c r="K1150" s="213" t="s">
        <v>4166</v>
      </c>
      <c r="L1150" s="10" t="s">
        <v>4167</v>
      </c>
      <c r="N1150" s="16"/>
      <c r="O1150" s="16"/>
      <c r="P1150" s="16"/>
      <c r="Q1150" s="16"/>
      <c r="R1150" s="16"/>
      <c r="S1150" s="16"/>
      <c r="U1150" s="283" t="e">
        <v>#N/A</v>
      </c>
      <c r="V1150" s="10" t="s">
        <v>4176</v>
      </c>
      <c r="W1150" s="10">
        <v>1</v>
      </c>
      <c r="X1150" s="10">
        <v>0</v>
      </c>
      <c r="Y1150" s="10">
        <v>0</v>
      </c>
      <c r="Z1150" s="10">
        <v>1</v>
      </c>
      <c r="AA1150" s="10">
        <v>1</v>
      </c>
      <c r="AB1150" s="10">
        <v>1</v>
      </c>
      <c r="AC1150" s="316">
        <v>1</v>
      </c>
      <c r="AD1150" s="316">
        <v>1</v>
      </c>
      <c r="AE1150" s="302">
        <f t="shared" si="82"/>
        <v>0.75</v>
      </c>
      <c r="AF1150" s="32"/>
      <c r="AG1150" s="17">
        <v>0</v>
      </c>
      <c r="AH1150" s="32" t="s">
        <v>271</v>
      </c>
      <c r="AI1150" s="32">
        <v>0.2</v>
      </c>
      <c r="AJ1150" s="32">
        <v>0.2</v>
      </c>
      <c r="AK1150" s="214">
        <v>0.3</v>
      </c>
      <c r="AL1150" s="214">
        <v>0.3</v>
      </c>
      <c r="AM1150" s="17">
        <f t="shared" si="83"/>
        <v>0.6</v>
      </c>
      <c r="AN1150" s="18" t="s">
        <v>255</v>
      </c>
      <c r="AO1150" s="18" t="s">
        <v>1045</v>
      </c>
      <c r="AP1150" s="10" t="s">
        <v>4177</v>
      </c>
    </row>
    <row r="1151" spans="1:42" s="10" customFormat="1" x14ac:dyDescent="0.3">
      <c r="A1151" s="213" t="s">
        <v>1444</v>
      </c>
      <c r="B1151" s="10" t="s">
        <v>4050</v>
      </c>
      <c r="C1151" s="213" t="s">
        <v>1445</v>
      </c>
      <c r="D1151" s="10" t="s">
        <v>4052</v>
      </c>
      <c r="E1151" s="213" t="s">
        <v>4106</v>
      </c>
      <c r="F1151" s="10" t="s">
        <v>4107</v>
      </c>
      <c r="G1151" s="213" t="s">
        <v>4164</v>
      </c>
      <c r="H1151" s="10" t="s">
        <v>4165</v>
      </c>
      <c r="K1151" s="213" t="s">
        <v>4166</v>
      </c>
      <c r="L1151" s="10" t="s">
        <v>4167</v>
      </c>
      <c r="N1151" s="16"/>
      <c r="O1151" s="16"/>
      <c r="P1151" s="16"/>
      <c r="Q1151" s="16"/>
      <c r="R1151" s="16"/>
      <c r="S1151" s="16"/>
      <c r="U1151" s="283" t="e">
        <v>#N/A</v>
      </c>
      <c r="V1151" s="10" t="s">
        <v>4176</v>
      </c>
      <c r="W1151" s="10">
        <v>1</v>
      </c>
      <c r="X1151" s="10">
        <v>0</v>
      </c>
      <c r="Y1151" s="10">
        <v>0</v>
      </c>
      <c r="Z1151" s="10">
        <v>1</v>
      </c>
      <c r="AA1151" s="10">
        <v>1</v>
      </c>
      <c r="AB1151" s="10">
        <v>1</v>
      </c>
      <c r="AC1151" s="316">
        <v>1</v>
      </c>
      <c r="AD1151" s="316">
        <v>1</v>
      </c>
      <c r="AE1151" s="302">
        <f t="shared" si="82"/>
        <v>0.75</v>
      </c>
      <c r="AF1151" s="32"/>
      <c r="AG1151" s="17">
        <v>0</v>
      </c>
      <c r="AH1151" s="32" t="s">
        <v>271</v>
      </c>
      <c r="AI1151" s="32">
        <v>0.2</v>
      </c>
      <c r="AJ1151" s="32">
        <v>0.2</v>
      </c>
      <c r="AK1151" s="214">
        <v>0.3</v>
      </c>
      <c r="AL1151" s="214">
        <v>0.3</v>
      </c>
      <c r="AM1151" s="17">
        <f t="shared" si="83"/>
        <v>0.6</v>
      </c>
      <c r="AN1151" s="32" t="s">
        <v>3605</v>
      </c>
      <c r="AO1151" s="18" t="s">
        <v>4178</v>
      </c>
      <c r="AP1151" s="10" t="s">
        <v>4063</v>
      </c>
    </row>
    <row r="1152" spans="1:42" s="10" customFormat="1" x14ac:dyDescent="0.3">
      <c r="A1152" s="213" t="s">
        <v>1444</v>
      </c>
      <c r="B1152" s="10" t="s">
        <v>4050</v>
      </c>
      <c r="C1152" s="213" t="s">
        <v>1445</v>
      </c>
      <c r="D1152" s="10" t="s">
        <v>4052</v>
      </c>
      <c r="E1152" s="213" t="s">
        <v>4106</v>
      </c>
      <c r="F1152" s="10" t="s">
        <v>4107</v>
      </c>
      <c r="G1152" s="213" t="s">
        <v>4164</v>
      </c>
      <c r="H1152" s="10" t="s">
        <v>4165</v>
      </c>
      <c r="K1152" s="213" t="s">
        <v>4166</v>
      </c>
      <c r="L1152" s="10" t="s">
        <v>4167</v>
      </c>
      <c r="N1152" s="16"/>
      <c r="O1152" s="16"/>
      <c r="P1152" s="16"/>
      <c r="Q1152" s="16"/>
      <c r="R1152" s="16"/>
      <c r="S1152" s="16"/>
      <c r="U1152" s="283" t="e">
        <v>#N/A</v>
      </c>
      <c r="V1152" s="10" t="s">
        <v>4176</v>
      </c>
      <c r="W1152" s="10">
        <v>1</v>
      </c>
      <c r="X1152" s="10">
        <v>0</v>
      </c>
      <c r="Y1152" s="10">
        <v>0</v>
      </c>
      <c r="Z1152" s="10">
        <v>1</v>
      </c>
      <c r="AA1152" s="10">
        <v>1</v>
      </c>
      <c r="AB1152" s="10">
        <v>1</v>
      </c>
      <c r="AC1152" s="316">
        <v>1</v>
      </c>
      <c r="AD1152" s="316">
        <v>1</v>
      </c>
      <c r="AE1152" s="302">
        <f t="shared" si="82"/>
        <v>0.75</v>
      </c>
      <c r="AF1152" s="32"/>
      <c r="AG1152" s="17">
        <v>0</v>
      </c>
      <c r="AH1152" s="32" t="s">
        <v>271</v>
      </c>
      <c r="AI1152" s="32">
        <v>0.2</v>
      </c>
      <c r="AJ1152" s="32">
        <v>0.2</v>
      </c>
      <c r="AK1152" s="214">
        <v>0.2</v>
      </c>
      <c r="AL1152" s="214">
        <v>0.3</v>
      </c>
      <c r="AM1152" s="17">
        <f t="shared" si="83"/>
        <v>0.5</v>
      </c>
      <c r="AN1152" s="18" t="s">
        <v>771</v>
      </c>
      <c r="AO1152" s="18" t="s">
        <v>773</v>
      </c>
      <c r="AP1152" s="10" t="s">
        <v>4063</v>
      </c>
    </row>
    <row r="1153" spans="1:42" s="10" customFormat="1" x14ac:dyDescent="0.3">
      <c r="A1153" s="213" t="s">
        <v>1444</v>
      </c>
      <c r="B1153" s="10" t="s">
        <v>4050</v>
      </c>
      <c r="C1153" s="213" t="s">
        <v>1445</v>
      </c>
      <c r="D1153" s="10" t="s">
        <v>4052</v>
      </c>
      <c r="E1153" s="213" t="s">
        <v>4106</v>
      </c>
      <c r="F1153" s="10" t="s">
        <v>4107</v>
      </c>
      <c r="G1153" s="213" t="s">
        <v>4164</v>
      </c>
      <c r="H1153" s="10" t="s">
        <v>4165</v>
      </c>
      <c r="K1153" s="213" t="s">
        <v>4166</v>
      </c>
      <c r="L1153" s="10" t="s">
        <v>4167</v>
      </c>
      <c r="N1153" s="16"/>
      <c r="O1153" s="16"/>
      <c r="P1153" s="16"/>
      <c r="Q1153" s="16"/>
      <c r="R1153" s="16"/>
      <c r="S1153" s="16"/>
      <c r="U1153" s="283" t="e">
        <v>#N/A</v>
      </c>
      <c r="V1153" s="10" t="s">
        <v>4179</v>
      </c>
      <c r="W1153" s="10">
        <v>1</v>
      </c>
      <c r="X1153" s="10">
        <v>1</v>
      </c>
      <c r="Y1153" s="10">
        <v>1</v>
      </c>
      <c r="Z1153" s="10">
        <v>1</v>
      </c>
      <c r="AA1153" s="10">
        <v>1</v>
      </c>
      <c r="AB1153" s="10">
        <v>0</v>
      </c>
      <c r="AC1153" s="316">
        <v>1</v>
      </c>
      <c r="AD1153" s="316">
        <v>1</v>
      </c>
      <c r="AE1153" s="302">
        <f t="shared" si="82"/>
        <v>0.875</v>
      </c>
      <c r="AF1153" s="32"/>
      <c r="AG1153" s="17">
        <v>0</v>
      </c>
      <c r="AH1153" s="32" t="s">
        <v>271</v>
      </c>
      <c r="AI1153" s="32">
        <v>0.2</v>
      </c>
      <c r="AJ1153" s="32">
        <v>0.2</v>
      </c>
      <c r="AK1153" s="214">
        <v>0.2</v>
      </c>
      <c r="AL1153" s="214">
        <v>0.2</v>
      </c>
      <c r="AM1153" s="17">
        <f t="shared" si="83"/>
        <v>0.4</v>
      </c>
      <c r="AN1153" s="10" t="s">
        <v>265</v>
      </c>
      <c r="AO1153" s="18" t="s">
        <v>350</v>
      </c>
      <c r="AP1153" s="10" t="s">
        <v>4180</v>
      </c>
    </row>
    <row r="1154" spans="1:42" s="10" customFormat="1" x14ac:dyDescent="0.3">
      <c r="A1154" s="213" t="s">
        <v>1444</v>
      </c>
      <c r="B1154" s="10" t="s">
        <v>4050</v>
      </c>
      <c r="C1154" s="213" t="s">
        <v>1445</v>
      </c>
      <c r="D1154" s="10" t="s">
        <v>4052</v>
      </c>
      <c r="E1154" s="213" t="s">
        <v>4106</v>
      </c>
      <c r="F1154" s="10" t="s">
        <v>4107</v>
      </c>
      <c r="G1154" s="213" t="s">
        <v>4164</v>
      </c>
      <c r="H1154" s="10" t="s">
        <v>4165</v>
      </c>
      <c r="K1154" s="213" t="s">
        <v>4166</v>
      </c>
      <c r="L1154" s="10" t="s">
        <v>4167</v>
      </c>
      <c r="N1154" s="16"/>
      <c r="O1154" s="16"/>
      <c r="P1154" s="16"/>
      <c r="Q1154" s="16"/>
      <c r="R1154" s="16"/>
      <c r="S1154" s="16"/>
      <c r="U1154" s="283" t="e">
        <v>#N/A</v>
      </c>
      <c r="V1154" s="10" t="s">
        <v>4181</v>
      </c>
      <c r="W1154" s="10">
        <v>1</v>
      </c>
      <c r="X1154" s="10">
        <v>1</v>
      </c>
      <c r="Y1154" s="10">
        <v>0</v>
      </c>
      <c r="Z1154" s="10">
        <v>1</v>
      </c>
      <c r="AA1154" s="10">
        <v>1</v>
      </c>
      <c r="AB1154" s="10">
        <v>0</v>
      </c>
      <c r="AC1154" s="316">
        <v>1</v>
      </c>
      <c r="AD1154" s="316">
        <v>1</v>
      </c>
      <c r="AE1154" s="302">
        <f t="shared" si="82"/>
        <v>0.75</v>
      </c>
      <c r="AF1154" s="32"/>
      <c r="AG1154" s="17">
        <v>0</v>
      </c>
      <c r="AH1154" s="32">
        <v>0.1</v>
      </c>
      <c r="AI1154" s="32">
        <v>0.2</v>
      </c>
      <c r="AJ1154" s="32">
        <v>0.2</v>
      </c>
      <c r="AK1154" s="214">
        <v>0.2</v>
      </c>
      <c r="AL1154" s="214">
        <v>0.2</v>
      </c>
      <c r="AM1154" s="17">
        <f t="shared" si="83"/>
        <v>0.4</v>
      </c>
      <c r="AN1154" s="32" t="s">
        <v>4067</v>
      </c>
      <c r="AO1154" s="18" t="s">
        <v>1037</v>
      </c>
      <c r="AP1154" s="10" t="s">
        <v>1035</v>
      </c>
    </row>
    <row r="1155" spans="1:42" s="10" customFormat="1" hidden="1" x14ac:dyDescent="0.3">
      <c r="A1155" s="213" t="s">
        <v>1444</v>
      </c>
      <c r="B1155" s="10" t="s">
        <v>4050</v>
      </c>
      <c r="C1155" s="213" t="s">
        <v>1445</v>
      </c>
      <c r="D1155" s="10" t="s">
        <v>4052</v>
      </c>
      <c r="E1155" s="213" t="s">
        <v>4106</v>
      </c>
      <c r="F1155" s="10" t="s">
        <v>4107</v>
      </c>
      <c r="G1155" s="213" t="s">
        <v>4164</v>
      </c>
      <c r="H1155" s="10" t="s">
        <v>4165</v>
      </c>
      <c r="K1155" s="213" t="s">
        <v>4166</v>
      </c>
      <c r="L1155" s="10" t="s">
        <v>4167</v>
      </c>
      <c r="N1155" s="16"/>
      <c r="O1155" s="16"/>
      <c r="P1155" s="16"/>
      <c r="Q1155" s="16"/>
      <c r="R1155" s="16"/>
      <c r="S1155" s="16"/>
      <c r="U1155" s="283" t="e">
        <v>#N/A</v>
      </c>
      <c r="V1155" s="10" t="s">
        <v>4182</v>
      </c>
      <c r="W1155" s="10">
        <v>1</v>
      </c>
      <c r="X1155" s="10">
        <v>0</v>
      </c>
      <c r="Y1155" s="10">
        <v>0</v>
      </c>
      <c r="Z1155" s="10">
        <v>1</v>
      </c>
      <c r="AA1155" s="10">
        <v>1</v>
      </c>
      <c r="AB1155" s="10">
        <v>1</v>
      </c>
      <c r="AC1155" s="316">
        <v>1</v>
      </c>
      <c r="AD1155" s="316">
        <v>0</v>
      </c>
      <c r="AE1155" s="302">
        <f t="shared" si="82"/>
        <v>0.625</v>
      </c>
      <c r="AF1155" s="32"/>
      <c r="AG1155" s="17">
        <v>0</v>
      </c>
      <c r="AH1155" s="32">
        <v>0.2</v>
      </c>
      <c r="AI1155" s="32">
        <v>2</v>
      </c>
      <c r="AJ1155" s="32">
        <v>2</v>
      </c>
      <c r="AK1155" s="214">
        <v>2</v>
      </c>
      <c r="AL1155" s="214">
        <v>2</v>
      </c>
      <c r="AM1155" s="17">
        <f t="shared" si="83"/>
        <v>4</v>
      </c>
      <c r="AN1155" s="32" t="s">
        <v>4067</v>
      </c>
      <c r="AO1155" s="18" t="s">
        <v>1037</v>
      </c>
      <c r="AP1155" s="10" t="s">
        <v>1035</v>
      </c>
    </row>
    <row r="1156" spans="1:42" s="10" customFormat="1" x14ac:dyDescent="0.3">
      <c r="A1156" s="213" t="s">
        <v>1444</v>
      </c>
      <c r="B1156" s="10" t="s">
        <v>4050</v>
      </c>
      <c r="C1156" s="213" t="s">
        <v>1445</v>
      </c>
      <c r="D1156" s="10" t="s">
        <v>4052</v>
      </c>
      <c r="E1156" s="213" t="s">
        <v>4183</v>
      </c>
      <c r="F1156" s="10" t="s">
        <v>4184</v>
      </c>
      <c r="G1156" s="213" t="s">
        <v>4185</v>
      </c>
      <c r="H1156" s="10" t="s">
        <v>4186</v>
      </c>
      <c r="K1156" s="213" t="s">
        <v>4187</v>
      </c>
      <c r="L1156" s="10" t="s">
        <v>4188</v>
      </c>
      <c r="M1156" s="10" t="s">
        <v>4189</v>
      </c>
      <c r="N1156" s="16" t="s">
        <v>271</v>
      </c>
      <c r="O1156" s="16">
        <v>1</v>
      </c>
      <c r="P1156" s="16" t="s">
        <v>271</v>
      </c>
      <c r="Q1156" s="16" t="s">
        <v>271</v>
      </c>
      <c r="R1156" s="16" t="s">
        <v>271</v>
      </c>
      <c r="S1156" s="16">
        <v>2</v>
      </c>
      <c r="T1156" s="10" t="s">
        <v>1035</v>
      </c>
      <c r="U1156" s="283" t="s">
        <v>1037</v>
      </c>
      <c r="V1156" s="215" t="s">
        <v>4190</v>
      </c>
      <c r="W1156" s="10">
        <v>1</v>
      </c>
      <c r="X1156" s="10">
        <v>0</v>
      </c>
      <c r="Y1156" s="10">
        <v>0</v>
      </c>
      <c r="Z1156" s="10">
        <v>1</v>
      </c>
      <c r="AA1156" s="10">
        <v>1</v>
      </c>
      <c r="AB1156" s="10">
        <v>1</v>
      </c>
      <c r="AC1156" s="316">
        <v>1</v>
      </c>
      <c r="AD1156" s="316">
        <v>1</v>
      </c>
      <c r="AE1156" s="302">
        <f t="shared" si="82"/>
        <v>0.75</v>
      </c>
      <c r="AF1156" s="32"/>
      <c r="AG1156" s="17">
        <v>0</v>
      </c>
      <c r="AH1156" s="32">
        <v>0.5</v>
      </c>
      <c r="AI1156" s="32">
        <v>0.5</v>
      </c>
      <c r="AJ1156" s="32">
        <v>0.5</v>
      </c>
      <c r="AK1156" s="153">
        <v>0.5</v>
      </c>
      <c r="AL1156" s="214">
        <v>0.1</v>
      </c>
      <c r="AM1156" s="17">
        <f t="shared" si="83"/>
        <v>0.6</v>
      </c>
      <c r="AN1156" s="32" t="s">
        <v>1035</v>
      </c>
      <c r="AO1156" s="18" t="s">
        <v>1037</v>
      </c>
      <c r="AP1156" s="10" t="s">
        <v>4191</v>
      </c>
    </row>
    <row r="1157" spans="1:42" s="10" customFormat="1" x14ac:dyDescent="0.3">
      <c r="A1157" s="213" t="s">
        <v>1444</v>
      </c>
      <c r="B1157" s="10" t="s">
        <v>4050</v>
      </c>
      <c r="C1157" s="213" t="s">
        <v>1445</v>
      </c>
      <c r="D1157" s="10" t="s">
        <v>4052</v>
      </c>
      <c r="E1157" s="213" t="s">
        <v>4183</v>
      </c>
      <c r="F1157" s="10" t="s">
        <v>4184</v>
      </c>
      <c r="G1157" s="213" t="s">
        <v>4185</v>
      </c>
      <c r="H1157" s="10" t="s">
        <v>4186</v>
      </c>
      <c r="K1157" s="213" t="s">
        <v>4187</v>
      </c>
      <c r="L1157" s="10" t="s">
        <v>4188</v>
      </c>
      <c r="N1157" s="16"/>
      <c r="O1157" s="16"/>
      <c r="P1157" s="16"/>
      <c r="Q1157" s="16"/>
      <c r="R1157" s="16"/>
      <c r="S1157" s="16"/>
      <c r="U1157" s="283" t="e">
        <v>#N/A</v>
      </c>
      <c r="V1157" s="10" t="s">
        <v>4190</v>
      </c>
      <c r="W1157" s="10">
        <v>1</v>
      </c>
      <c r="X1157" s="10">
        <v>0</v>
      </c>
      <c r="Y1157" s="10">
        <v>0</v>
      </c>
      <c r="Z1157" s="10">
        <v>1</v>
      </c>
      <c r="AA1157" s="10">
        <v>1</v>
      </c>
      <c r="AB1157" s="10">
        <v>1</v>
      </c>
      <c r="AC1157" s="316">
        <v>1</v>
      </c>
      <c r="AD1157" s="316">
        <v>1</v>
      </c>
      <c r="AE1157" s="302">
        <f t="shared" si="82"/>
        <v>0.75</v>
      </c>
      <c r="AF1157" s="32"/>
      <c r="AG1157" s="17">
        <v>0</v>
      </c>
      <c r="AH1157" s="32" t="s">
        <v>271</v>
      </c>
      <c r="AI1157" s="32">
        <v>0.1</v>
      </c>
      <c r="AJ1157" s="32">
        <v>0.1</v>
      </c>
      <c r="AK1157" s="153"/>
      <c r="AL1157" s="214"/>
      <c r="AM1157" s="17">
        <f t="shared" si="83"/>
        <v>0</v>
      </c>
      <c r="AN1157" s="32" t="s">
        <v>4192</v>
      </c>
      <c r="AO1157" s="18" t="s">
        <v>1334</v>
      </c>
      <c r="AP1157" s="10" t="s">
        <v>4193</v>
      </c>
    </row>
    <row r="1158" spans="1:42" s="10" customFormat="1" x14ac:dyDescent="0.3">
      <c r="A1158" s="213" t="s">
        <v>1444</v>
      </c>
      <c r="B1158" s="10" t="s">
        <v>4050</v>
      </c>
      <c r="C1158" s="213" t="s">
        <v>1445</v>
      </c>
      <c r="D1158" s="10" t="s">
        <v>4052</v>
      </c>
      <c r="E1158" s="213" t="s">
        <v>4183</v>
      </c>
      <c r="F1158" s="10" t="s">
        <v>4184</v>
      </c>
      <c r="G1158" s="213" t="s">
        <v>4185</v>
      </c>
      <c r="H1158" s="10" t="s">
        <v>4186</v>
      </c>
      <c r="K1158" s="213" t="s">
        <v>4187</v>
      </c>
      <c r="L1158" s="10" t="s">
        <v>4188</v>
      </c>
      <c r="N1158" s="16"/>
      <c r="O1158" s="16"/>
      <c r="P1158" s="16"/>
      <c r="Q1158" s="16"/>
      <c r="R1158" s="16"/>
      <c r="S1158" s="16"/>
      <c r="U1158" s="283" t="e">
        <v>#N/A</v>
      </c>
      <c r="V1158" s="10" t="s">
        <v>4190</v>
      </c>
      <c r="W1158" s="10">
        <v>1</v>
      </c>
      <c r="X1158" s="10">
        <v>0</v>
      </c>
      <c r="Y1158" s="10">
        <v>0</v>
      </c>
      <c r="Z1158" s="10">
        <v>1</v>
      </c>
      <c r="AA1158" s="10">
        <v>1</v>
      </c>
      <c r="AB1158" s="10">
        <v>1</v>
      </c>
      <c r="AC1158" s="316">
        <v>1</v>
      </c>
      <c r="AD1158" s="316">
        <v>1</v>
      </c>
      <c r="AE1158" s="302">
        <f t="shared" si="82"/>
        <v>0.75</v>
      </c>
      <c r="AF1158" s="32"/>
      <c r="AG1158" s="17">
        <v>0</v>
      </c>
      <c r="AH1158" s="32" t="s">
        <v>271</v>
      </c>
      <c r="AI1158" s="32">
        <v>0.2</v>
      </c>
      <c r="AJ1158" s="32">
        <v>0.2</v>
      </c>
      <c r="AK1158" s="153">
        <v>0</v>
      </c>
      <c r="AL1158" s="214"/>
      <c r="AM1158" s="17">
        <f t="shared" si="83"/>
        <v>0</v>
      </c>
      <c r="AN1158" s="10" t="s">
        <v>3875</v>
      </c>
      <c r="AO1158" s="18" t="s">
        <v>3877</v>
      </c>
      <c r="AP1158" s="10" t="s">
        <v>4194</v>
      </c>
    </row>
    <row r="1159" spans="1:42" s="10" customFormat="1" x14ac:dyDescent="0.3">
      <c r="A1159" s="213" t="s">
        <v>1444</v>
      </c>
      <c r="B1159" s="10" t="s">
        <v>4050</v>
      </c>
      <c r="C1159" s="213" t="s">
        <v>1445</v>
      </c>
      <c r="D1159" s="10" t="s">
        <v>4052</v>
      </c>
      <c r="E1159" s="213" t="s">
        <v>4183</v>
      </c>
      <c r="F1159" s="10" t="s">
        <v>4184</v>
      </c>
      <c r="G1159" s="213" t="s">
        <v>4185</v>
      </c>
      <c r="H1159" s="10" t="s">
        <v>4186</v>
      </c>
      <c r="K1159" s="213" t="s">
        <v>4187</v>
      </c>
      <c r="L1159" s="10" t="s">
        <v>4188</v>
      </c>
      <c r="N1159" s="16"/>
      <c r="O1159" s="16"/>
      <c r="P1159" s="16"/>
      <c r="Q1159" s="16"/>
      <c r="R1159" s="16"/>
      <c r="S1159" s="16"/>
      <c r="U1159" s="283" t="e">
        <v>#N/A</v>
      </c>
      <c r="V1159" s="10" t="s">
        <v>4190</v>
      </c>
      <c r="W1159" s="10">
        <v>1</v>
      </c>
      <c r="X1159" s="10">
        <v>0</v>
      </c>
      <c r="Y1159" s="10">
        <v>0</v>
      </c>
      <c r="Z1159" s="10">
        <v>1</v>
      </c>
      <c r="AA1159" s="10">
        <v>1</v>
      </c>
      <c r="AB1159" s="10">
        <v>1</v>
      </c>
      <c r="AC1159" s="316">
        <v>1</v>
      </c>
      <c r="AD1159" s="316">
        <v>1</v>
      </c>
      <c r="AE1159" s="302">
        <f t="shared" ref="AE1159:AE1222" si="84">SUM(W1159:AD1159)/8</f>
        <v>0.75</v>
      </c>
      <c r="AF1159" s="32"/>
      <c r="AG1159" s="17">
        <v>0</v>
      </c>
      <c r="AH1159" s="32" t="s">
        <v>271</v>
      </c>
      <c r="AI1159" s="32">
        <v>0.2</v>
      </c>
      <c r="AJ1159" s="32">
        <v>0.2</v>
      </c>
      <c r="AK1159" s="153">
        <v>0</v>
      </c>
      <c r="AL1159" s="214"/>
      <c r="AM1159" s="17">
        <f t="shared" ref="AM1159:AM1222" si="85">SUM(AK1159:AL1159)</f>
        <v>0</v>
      </c>
      <c r="AN1159" s="32" t="s">
        <v>4195</v>
      </c>
      <c r="AO1159" s="18" t="s">
        <v>4196</v>
      </c>
      <c r="AP1159" s="10" t="s">
        <v>4197</v>
      </c>
    </row>
    <row r="1160" spans="1:42" s="10" customFormat="1" x14ac:dyDescent="0.3">
      <c r="A1160" s="213" t="s">
        <v>1444</v>
      </c>
      <c r="B1160" s="10" t="s">
        <v>4050</v>
      </c>
      <c r="C1160" s="213" t="s">
        <v>1445</v>
      </c>
      <c r="D1160" s="10" t="s">
        <v>4052</v>
      </c>
      <c r="E1160" s="213" t="s">
        <v>4183</v>
      </c>
      <c r="F1160" s="10" t="s">
        <v>4184</v>
      </c>
      <c r="G1160" s="213" t="s">
        <v>4185</v>
      </c>
      <c r="H1160" s="10" t="s">
        <v>4186</v>
      </c>
      <c r="K1160" s="213" t="s">
        <v>4187</v>
      </c>
      <c r="L1160" s="10" t="s">
        <v>4188</v>
      </c>
      <c r="N1160" s="16"/>
      <c r="O1160" s="16"/>
      <c r="P1160" s="16"/>
      <c r="Q1160" s="16"/>
      <c r="R1160" s="16"/>
      <c r="S1160" s="16"/>
      <c r="U1160" s="283" t="e">
        <v>#N/A</v>
      </c>
      <c r="V1160" s="10" t="s">
        <v>4198</v>
      </c>
      <c r="W1160" s="10">
        <v>1</v>
      </c>
      <c r="X1160" s="10">
        <v>0</v>
      </c>
      <c r="Y1160" s="10">
        <v>0</v>
      </c>
      <c r="Z1160" s="10">
        <v>1</v>
      </c>
      <c r="AA1160" s="10">
        <v>1</v>
      </c>
      <c r="AB1160" s="10">
        <v>1</v>
      </c>
      <c r="AC1160" s="316">
        <v>1</v>
      </c>
      <c r="AD1160" s="316">
        <v>1</v>
      </c>
      <c r="AE1160" s="302">
        <f t="shared" si="84"/>
        <v>0.75</v>
      </c>
      <c r="AF1160" s="32"/>
      <c r="AG1160" s="17">
        <v>0</v>
      </c>
      <c r="AH1160" s="32" t="s">
        <v>271</v>
      </c>
      <c r="AI1160" s="32" t="s">
        <v>271</v>
      </c>
      <c r="AJ1160" s="32">
        <v>0.2</v>
      </c>
      <c r="AK1160" s="214">
        <v>0.2</v>
      </c>
      <c r="AL1160" s="214">
        <v>0.2</v>
      </c>
      <c r="AM1160" s="17">
        <f t="shared" si="85"/>
        <v>0.4</v>
      </c>
      <c r="AN1160" s="32" t="s">
        <v>1035</v>
      </c>
      <c r="AO1160" s="18" t="s">
        <v>1037</v>
      </c>
      <c r="AP1160" s="10" t="s">
        <v>4199</v>
      </c>
    </row>
    <row r="1161" spans="1:42" s="10" customFormat="1" x14ac:dyDescent="0.3">
      <c r="A1161" s="213" t="s">
        <v>1444</v>
      </c>
      <c r="B1161" s="10" t="s">
        <v>4050</v>
      </c>
      <c r="C1161" s="213" t="s">
        <v>1445</v>
      </c>
      <c r="D1161" s="10" t="s">
        <v>4052</v>
      </c>
      <c r="E1161" s="213" t="s">
        <v>4183</v>
      </c>
      <c r="F1161" s="10" t="s">
        <v>4184</v>
      </c>
      <c r="G1161" s="213" t="s">
        <v>4185</v>
      </c>
      <c r="H1161" s="10" t="s">
        <v>4186</v>
      </c>
      <c r="K1161" s="213" t="s">
        <v>4187</v>
      </c>
      <c r="L1161" s="10" t="s">
        <v>4188</v>
      </c>
      <c r="N1161" s="16"/>
      <c r="O1161" s="16"/>
      <c r="P1161" s="16"/>
      <c r="Q1161" s="16"/>
      <c r="R1161" s="16"/>
      <c r="S1161" s="16"/>
      <c r="U1161" s="283" t="e">
        <v>#N/A</v>
      </c>
      <c r="V1161" s="10" t="s">
        <v>4198</v>
      </c>
      <c r="W1161" s="10">
        <v>1</v>
      </c>
      <c r="X1161" s="10">
        <v>0</v>
      </c>
      <c r="Y1161" s="10">
        <v>0</v>
      </c>
      <c r="Z1161" s="10">
        <v>1</v>
      </c>
      <c r="AA1161" s="10">
        <v>1</v>
      </c>
      <c r="AB1161" s="10">
        <v>1</v>
      </c>
      <c r="AC1161" s="316">
        <v>1</v>
      </c>
      <c r="AD1161" s="316">
        <v>1</v>
      </c>
      <c r="AE1161" s="302">
        <f t="shared" si="84"/>
        <v>0.75</v>
      </c>
      <c r="AF1161" s="32"/>
      <c r="AG1161" s="17">
        <v>0</v>
      </c>
      <c r="AH1161" s="32" t="s">
        <v>271</v>
      </c>
      <c r="AI1161" s="32" t="s">
        <v>271</v>
      </c>
      <c r="AJ1161" s="32">
        <v>0.2</v>
      </c>
      <c r="AK1161" s="214">
        <v>0.2</v>
      </c>
      <c r="AL1161" s="214">
        <v>0.2</v>
      </c>
      <c r="AM1161" s="17">
        <f t="shared" si="85"/>
        <v>0.4</v>
      </c>
      <c r="AN1161" s="10" t="s">
        <v>265</v>
      </c>
      <c r="AO1161" s="18" t="s">
        <v>350</v>
      </c>
      <c r="AP1161" s="10" t="s">
        <v>4200</v>
      </c>
    </row>
    <row r="1162" spans="1:42" s="10" customFormat="1" x14ac:dyDescent="0.3">
      <c r="A1162" s="213" t="s">
        <v>1444</v>
      </c>
      <c r="B1162" s="10" t="s">
        <v>4050</v>
      </c>
      <c r="C1162" s="213" t="s">
        <v>1445</v>
      </c>
      <c r="D1162" s="10" t="s">
        <v>4052</v>
      </c>
      <c r="E1162" s="213" t="s">
        <v>4183</v>
      </c>
      <c r="F1162" s="10" t="s">
        <v>4184</v>
      </c>
      <c r="G1162" s="213" t="s">
        <v>4185</v>
      </c>
      <c r="H1162" s="10" t="s">
        <v>4186</v>
      </c>
      <c r="K1162" s="213" t="s">
        <v>4187</v>
      </c>
      <c r="L1162" s="10" t="s">
        <v>4188</v>
      </c>
      <c r="N1162" s="16"/>
      <c r="O1162" s="16"/>
      <c r="P1162" s="16"/>
      <c r="Q1162" s="16"/>
      <c r="R1162" s="16"/>
      <c r="S1162" s="16"/>
      <c r="U1162" s="283" t="e">
        <v>#N/A</v>
      </c>
      <c r="V1162" s="10" t="s">
        <v>4198</v>
      </c>
      <c r="W1162" s="10">
        <v>1</v>
      </c>
      <c r="X1162" s="10">
        <v>0</v>
      </c>
      <c r="Y1162" s="10">
        <v>0</v>
      </c>
      <c r="Z1162" s="10">
        <v>1</v>
      </c>
      <c r="AA1162" s="10">
        <v>1</v>
      </c>
      <c r="AB1162" s="10">
        <v>1</v>
      </c>
      <c r="AC1162" s="316">
        <v>1</v>
      </c>
      <c r="AD1162" s="316">
        <v>1</v>
      </c>
      <c r="AE1162" s="302">
        <f t="shared" si="84"/>
        <v>0.75</v>
      </c>
      <c r="AF1162" s="32"/>
      <c r="AG1162" s="17">
        <v>0</v>
      </c>
      <c r="AH1162" s="32" t="s">
        <v>271</v>
      </c>
      <c r="AI1162" s="32" t="s">
        <v>271</v>
      </c>
      <c r="AJ1162" s="32">
        <v>0.2</v>
      </c>
      <c r="AK1162" s="214">
        <v>0.2</v>
      </c>
      <c r="AL1162" s="214">
        <v>0.2</v>
      </c>
      <c r="AM1162" s="17">
        <f t="shared" si="85"/>
        <v>0.4</v>
      </c>
      <c r="AN1162" s="18" t="s">
        <v>407</v>
      </c>
      <c r="AO1162" s="18" t="s">
        <v>409</v>
      </c>
      <c r="AP1162" s="10" t="s">
        <v>4201</v>
      </c>
    </row>
    <row r="1163" spans="1:42" s="10" customFormat="1" x14ac:dyDescent="0.3">
      <c r="A1163" s="213" t="s">
        <v>1444</v>
      </c>
      <c r="B1163" s="10" t="s">
        <v>4050</v>
      </c>
      <c r="C1163" s="213" t="s">
        <v>1445</v>
      </c>
      <c r="D1163" s="10" t="s">
        <v>4052</v>
      </c>
      <c r="E1163" s="213" t="s">
        <v>4183</v>
      </c>
      <c r="F1163" s="10" t="s">
        <v>4184</v>
      </c>
      <c r="G1163" s="213" t="s">
        <v>4185</v>
      </c>
      <c r="H1163" s="10" t="s">
        <v>4186</v>
      </c>
      <c r="K1163" s="213" t="s">
        <v>4187</v>
      </c>
      <c r="L1163" s="10" t="s">
        <v>4188</v>
      </c>
      <c r="N1163" s="16"/>
      <c r="O1163" s="16"/>
      <c r="P1163" s="16"/>
      <c r="Q1163" s="16"/>
      <c r="R1163" s="16"/>
      <c r="S1163" s="16"/>
      <c r="U1163" s="283" t="e">
        <v>#N/A</v>
      </c>
      <c r="V1163" s="10" t="s">
        <v>4198</v>
      </c>
      <c r="W1163" s="10">
        <v>1</v>
      </c>
      <c r="X1163" s="10">
        <v>0</v>
      </c>
      <c r="Y1163" s="10">
        <v>0</v>
      </c>
      <c r="Z1163" s="10">
        <v>1</v>
      </c>
      <c r="AA1163" s="10">
        <v>1</v>
      </c>
      <c r="AB1163" s="10">
        <v>1</v>
      </c>
      <c r="AC1163" s="316">
        <v>1</v>
      </c>
      <c r="AD1163" s="316">
        <v>1</v>
      </c>
      <c r="AE1163" s="302">
        <f t="shared" si="84"/>
        <v>0.75</v>
      </c>
      <c r="AF1163" s="32"/>
      <c r="AG1163" s="17">
        <v>0</v>
      </c>
      <c r="AH1163" s="32" t="s">
        <v>271</v>
      </c>
      <c r="AI1163" s="32" t="s">
        <v>271</v>
      </c>
      <c r="AJ1163" s="32">
        <v>0.1</v>
      </c>
      <c r="AK1163" s="214">
        <v>0.1</v>
      </c>
      <c r="AL1163" s="214">
        <v>0.1</v>
      </c>
      <c r="AM1163" s="17">
        <f t="shared" si="85"/>
        <v>0.2</v>
      </c>
      <c r="AN1163" s="32" t="s">
        <v>4192</v>
      </c>
      <c r="AO1163" s="18" t="s">
        <v>1334</v>
      </c>
      <c r="AP1163" s="10" t="s">
        <v>4202</v>
      </c>
    </row>
    <row r="1164" spans="1:42" s="10" customFormat="1" x14ac:dyDescent="0.3">
      <c r="A1164" s="213" t="s">
        <v>1444</v>
      </c>
      <c r="B1164" s="10" t="s">
        <v>4050</v>
      </c>
      <c r="C1164" s="213" t="s">
        <v>1445</v>
      </c>
      <c r="D1164" s="10" t="s">
        <v>4052</v>
      </c>
      <c r="E1164" s="213" t="s">
        <v>4183</v>
      </c>
      <c r="F1164" s="10" t="s">
        <v>4184</v>
      </c>
      <c r="G1164" s="213" t="s">
        <v>4185</v>
      </c>
      <c r="H1164" s="10" t="s">
        <v>4186</v>
      </c>
      <c r="K1164" s="213" t="s">
        <v>4187</v>
      </c>
      <c r="L1164" s="10" t="s">
        <v>4188</v>
      </c>
      <c r="N1164" s="16"/>
      <c r="O1164" s="16"/>
      <c r="P1164" s="16"/>
      <c r="Q1164" s="16"/>
      <c r="R1164" s="16"/>
      <c r="S1164" s="16"/>
      <c r="U1164" s="283" t="e">
        <v>#N/A</v>
      </c>
      <c r="V1164" s="10" t="s">
        <v>4198</v>
      </c>
      <c r="W1164" s="10">
        <v>1</v>
      </c>
      <c r="X1164" s="10">
        <v>0</v>
      </c>
      <c r="Y1164" s="10">
        <v>0</v>
      </c>
      <c r="Z1164" s="10">
        <v>1</v>
      </c>
      <c r="AA1164" s="10">
        <v>1</v>
      </c>
      <c r="AB1164" s="10">
        <v>1</v>
      </c>
      <c r="AC1164" s="316">
        <v>1</v>
      </c>
      <c r="AD1164" s="316">
        <v>1</v>
      </c>
      <c r="AE1164" s="302">
        <f t="shared" si="84"/>
        <v>0.75</v>
      </c>
      <c r="AF1164" s="32"/>
      <c r="AG1164" s="17">
        <v>0</v>
      </c>
      <c r="AH1164" s="32" t="s">
        <v>271</v>
      </c>
      <c r="AI1164" s="32" t="s">
        <v>271</v>
      </c>
      <c r="AJ1164" s="32">
        <v>0.2</v>
      </c>
      <c r="AK1164" s="214">
        <v>0.2</v>
      </c>
      <c r="AL1164" s="214">
        <v>0.2</v>
      </c>
      <c r="AM1164" s="17">
        <f t="shared" si="85"/>
        <v>0.4</v>
      </c>
      <c r="AN1164" s="10" t="s">
        <v>3875</v>
      </c>
      <c r="AO1164" s="18" t="s">
        <v>3877</v>
      </c>
      <c r="AP1164" s="10" t="s">
        <v>4203</v>
      </c>
    </row>
    <row r="1165" spans="1:42" s="10" customFormat="1" x14ac:dyDescent="0.3">
      <c r="A1165" s="213" t="s">
        <v>1444</v>
      </c>
      <c r="B1165" s="10" t="s">
        <v>4050</v>
      </c>
      <c r="C1165" s="213" t="s">
        <v>1445</v>
      </c>
      <c r="D1165" s="10" t="s">
        <v>4052</v>
      </c>
      <c r="E1165" s="213" t="s">
        <v>4183</v>
      </c>
      <c r="F1165" s="10" t="s">
        <v>4184</v>
      </c>
      <c r="G1165" s="213" t="s">
        <v>4185</v>
      </c>
      <c r="H1165" s="10" t="s">
        <v>4186</v>
      </c>
      <c r="K1165" s="213" t="s">
        <v>4187</v>
      </c>
      <c r="L1165" s="10" t="s">
        <v>4188</v>
      </c>
      <c r="N1165" s="16"/>
      <c r="O1165" s="16"/>
      <c r="P1165" s="16"/>
      <c r="Q1165" s="16"/>
      <c r="R1165" s="16"/>
      <c r="S1165" s="16"/>
      <c r="U1165" s="283" t="e">
        <v>#N/A</v>
      </c>
      <c r="V1165" s="10" t="s">
        <v>4198</v>
      </c>
      <c r="W1165" s="10">
        <v>1</v>
      </c>
      <c r="X1165" s="10">
        <v>0</v>
      </c>
      <c r="Y1165" s="10">
        <v>0</v>
      </c>
      <c r="Z1165" s="10">
        <v>1</v>
      </c>
      <c r="AA1165" s="10">
        <v>1</v>
      </c>
      <c r="AB1165" s="10">
        <v>1</v>
      </c>
      <c r="AC1165" s="316">
        <v>1</v>
      </c>
      <c r="AD1165" s="316">
        <v>1</v>
      </c>
      <c r="AE1165" s="302">
        <f t="shared" si="84"/>
        <v>0.75</v>
      </c>
      <c r="AF1165" s="32"/>
      <c r="AG1165" s="17">
        <v>0</v>
      </c>
      <c r="AH1165" s="32" t="s">
        <v>271</v>
      </c>
      <c r="AI1165" s="32" t="s">
        <v>271</v>
      </c>
      <c r="AJ1165" s="32" t="s">
        <v>271</v>
      </c>
      <c r="AK1165" s="214">
        <v>0.2</v>
      </c>
      <c r="AL1165" s="214">
        <v>0.2</v>
      </c>
      <c r="AM1165" s="17">
        <f t="shared" si="85"/>
        <v>0.4</v>
      </c>
      <c r="AN1165" s="32" t="s">
        <v>4195</v>
      </c>
      <c r="AO1165" s="18" t="s">
        <v>4196</v>
      </c>
      <c r="AP1165" s="10" t="s">
        <v>4203</v>
      </c>
    </row>
    <row r="1166" spans="1:42" s="10" customFormat="1" hidden="1" x14ac:dyDescent="0.3">
      <c r="A1166" s="213" t="s">
        <v>1444</v>
      </c>
      <c r="B1166" s="10" t="s">
        <v>4050</v>
      </c>
      <c r="C1166" s="213" t="s">
        <v>1445</v>
      </c>
      <c r="D1166" s="10" t="s">
        <v>4052</v>
      </c>
      <c r="E1166" s="213" t="s">
        <v>4183</v>
      </c>
      <c r="F1166" s="10" t="s">
        <v>4184</v>
      </c>
      <c r="G1166" s="213" t="s">
        <v>4185</v>
      </c>
      <c r="H1166" s="10" t="s">
        <v>4186</v>
      </c>
      <c r="K1166" s="213" t="s">
        <v>4187</v>
      </c>
      <c r="L1166" s="10" t="s">
        <v>4188</v>
      </c>
      <c r="N1166" s="16"/>
      <c r="O1166" s="16"/>
      <c r="P1166" s="16"/>
      <c r="Q1166" s="16"/>
      <c r="R1166" s="16"/>
      <c r="S1166" s="16"/>
      <c r="U1166" s="283" t="e">
        <v>#N/A</v>
      </c>
      <c r="V1166" s="10" t="s">
        <v>4204</v>
      </c>
      <c r="W1166" s="10">
        <v>1</v>
      </c>
      <c r="X1166" s="10">
        <v>0</v>
      </c>
      <c r="Y1166" s="10">
        <v>0</v>
      </c>
      <c r="Z1166" s="10">
        <v>1</v>
      </c>
      <c r="AA1166" s="10">
        <v>1</v>
      </c>
      <c r="AB1166" s="10">
        <v>0</v>
      </c>
      <c r="AC1166" s="316">
        <v>1</v>
      </c>
      <c r="AD1166" s="316">
        <v>1</v>
      </c>
      <c r="AE1166" s="302">
        <f t="shared" si="84"/>
        <v>0.625</v>
      </c>
      <c r="AF1166" s="32"/>
      <c r="AG1166" s="17">
        <v>0</v>
      </c>
      <c r="AH1166" s="32" t="s">
        <v>271</v>
      </c>
      <c r="AI1166" s="32" t="s">
        <v>271</v>
      </c>
      <c r="AJ1166" s="17">
        <v>0</v>
      </c>
      <c r="AK1166" s="214">
        <v>0.2</v>
      </c>
      <c r="AL1166" s="214">
        <v>0.2</v>
      </c>
      <c r="AM1166" s="17">
        <f t="shared" si="85"/>
        <v>0.4</v>
      </c>
      <c r="AN1166" s="10" t="s">
        <v>3875</v>
      </c>
      <c r="AO1166" s="18" t="s">
        <v>3877</v>
      </c>
      <c r="AP1166" s="10" t="s">
        <v>4205</v>
      </c>
    </row>
    <row r="1167" spans="1:42" s="10" customFormat="1" hidden="1" x14ac:dyDescent="0.3">
      <c r="A1167" s="213" t="s">
        <v>1444</v>
      </c>
      <c r="B1167" s="10" t="s">
        <v>4050</v>
      </c>
      <c r="C1167" s="213" t="s">
        <v>1445</v>
      </c>
      <c r="D1167" s="10" t="s">
        <v>4052</v>
      </c>
      <c r="E1167" s="213" t="s">
        <v>4183</v>
      </c>
      <c r="F1167" s="10" t="s">
        <v>4184</v>
      </c>
      <c r="G1167" s="213" t="s">
        <v>4185</v>
      </c>
      <c r="H1167" s="10" t="s">
        <v>4186</v>
      </c>
      <c r="K1167" s="213" t="s">
        <v>4187</v>
      </c>
      <c r="L1167" s="10" t="s">
        <v>4188</v>
      </c>
      <c r="N1167" s="16"/>
      <c r="O1167" s="16"/>
      <c r="P1167" s="16"/>
      <c r="Q1167" s="16"/>
      <c r="R1167" s="16"/>
      <c r="S1167" s="16"/>
      <c r="U1167" s="283" t="e">
        <v>#N/A</v>
      </c>
      <c r="V1167" s="10" t="s">
        <v>4204</v>
      </c>
      <c r="W1167" s="10">
        <v>1</v>
      </c>
      <c r="X1167" s="10">
        <v>0</v>
      </c>
      <c r="Y1167" s="10">
        <v>0</v>
      </c>
      <c r="Z1167" s="10">
        <v>1</v>
      </c>
      <c r="AA1167" s="10">
        <v>1</v>
      </c>
      <c r="AB1167" s="10">
        <v>0</v>
      </c>
      <c r="AC1167" s="316">
        <v>1</v>
      </c>
      <c r="AD1167" s="316">
        <v>1</v>
      </c>
      <c r="AE1167" s="302">
        <f t="shared" si="84"/>
        <v>0.625</v>
      </c>
      <c r="AF1167" s="32"/>
      <c r="AG1167" s="17">
        <v>0</v>
      </c>
      <c r="AH1167" s="32" t="s">
        <v>271</v>
      </c>
      <c r="AI1167" s="32" t="s">
        <v>271</v>
      </c>
      <c r="AJ1167" s="17">
        <v>0</v>
      </c>
      <c r="AK1167" s="153">
        <v>0</v>
      </c>
      <c r="AL1167" s="214">
        <v>0</v>
      </c>
      <c r="AM1167" s="17">
        <f t="shared" si="85"/>
        <v>0</v>
      </c>
      <c r="AN1167" s="32" t="s">
        <v>1035</v>
      </c>
      <c r="AO1167" s="18" t="s">
        <v>1037</v>
      </c>
      <c r="AP1167" s="10" t="s">
        <v>4206</v>
      </c>
    </row>
    <row r="1168" spans="1:42" s="10" customFormat="1" hidden="1" x14ac:dyDescent="0.3">
      <c r="A1168" s="213" t="s">
        <v>1444</v>
      </c>
      <c r="B1168" s="10" t="s">
        <v>4050</v>
      </c>
      <c r="C1168" s="213" t="s">
        <v>1445</v>
      </c>
      <c r="D1168" s="10" t="s">
        <v>4052</v>
      </c>
      <c r="E1168" s="213" t="s">
        <v>4183</v>
      </c>
      <c r="F1168" s="10" t="s">
        <v>4184</v>
      </c>
      <c r="G1168" s="213" t="s">
        <v>4185</v>
      </c>
      <c r="H1168" s="10" t="s">
        <v>4186</v>
      </c>
      <c r="K1168" s="213" t="s">
        <v>4207</v>
      </c>
      <c r="L1168" s="10" t="s">
        <v>4208</v>
      </c>
      <c r="M1168" s="10" t="s">
        <v>4209</v>
      </c>
      <c r="N1168" s="16" t="s">
        <v>271</v>
      </c>
      <c r="O1168" s="16"/>
      <c r="P1168" s="16">
        <v>1</v>
      </c>
      <c r="Q1168" s="16">
        <v>1</v>
      </c>
      <c r="R1168" s="16">
        <v>1</v>
      </c>
      <c r="S1168" s="16">
        <v>1</v>
      </c>
      <c r="T1168" s="10" t="s">
        <v>1035</v>
      </c>
      <c r="U1168" s="283" t="s">
        <v>1037</v>
      </c>
      <c r="V1168" s="10" t="s">
        <v>4210</v>
      </c>
      <c r="W1168" s="10">
        <v>1</v>
      </c>
      <c r="X1168" s="10">
        <v>0</v>
      </c>
      <c r="Y1168" s="10">
        <v>0</v>
      </c>
      <c r="Z1168" s="10">
        <v>1</v>
      </c>
      <c r="AA1168" s="10">
        <v>1</v>
      </c>
      <c r="AB1168" s="10">
        <v>1</v>
      </c>
      <c r="AC1168" s="316">
        <v>0</v>
      </c>
      <c r="AD1168" s="316">
        <v>1</v>
      </c>
      <c r="AE1168" s="302">
        <f t="shared" si="84"/>
        <v>0.625</v>
      </c>
      <c r="AF1168" s="32"/>
      <c r="AG1168" s="17">
        <v>0</v>
      </c>
      <c r="AH1168" s="32">
        <v>0.5</v>
      </c>
      <c r="AI1168" s="32">
        <v>1</v>
      </c>
      <c r="AJ1168" s="32">
        <v>1</v>
      </c>
      <c r="AK1168" s="214">
        <v>1</v>
      </c>
      <c r="AL1168" s="214">
        <v>1</v>
      </c>
      <c r="AM1168" s="17">
        <f t="shared" si="85"/>
        <v>2</v>
      </c>
      <c r="AN1168" s="32" t="s">
        <v>1035</v>
      </c>
      <c r="AO1168" s="18" t="s">
        <v>1037</v>
      </c>
      <c r="AP1168" s="10" t="s">
        <v>4211</v>
      </c>
    </row>
    <row r="1169" spans="1:42" s="10" customFormat="1" hidden="1" x14ac:dyDescent="0.3">
      <c r="A1169" s="213" t="s">
        <v>1444</v>
      </c>
      <c r="B1169" s="10" t="s">
        <v>4050</v>
      </c>
      <c r="C1169" s="213" t="s">
        <v>1445</v>
      </c>
      <c r="D1169" s="10" t="s">
        <v>4052</v>
      </c>
      <c r="E1169" s="213" t="s">
        <v>4183</v>
      </c>
      <c r="F1169" s="10" t="s">
        <v>4184</v>
      </c>
      <c r="G1169" s="213" t="s">
        <v>4185</v>
      </c>
      <c r="H1169" s="10" t="s">
        <v>4186</v>
      </c>
      <c r="K1169" s="213" t="s">
        <v>4207</v>
      </c>
      <c r="L1169" s="10" t="s">
        <v>4208</v>
      </c>
      <c r="N1169" s="16"/>
      <c r="O1169" s="16"/>
      <c r="P1169" s="16"/>
      <c r="Q1169" s="16"/>
      <c r="R1169" s="16"/>
      <c r="S1169" s="16"/>
      <c r="U1169" s="283" t="e">
        <v>#N/A</v>
      </c>
      <c r="V1169" s="215" t="s">
        <v>4212</v>
      </c>
      <c r="W1169" s="10">
        <v>1</v>
      </c>
      <c r="X1169" s="10">
        <v>0</v>
      </c>
      <c r="Y1169" s="10">
        <v>0</v>
      </c>
      <c r="Z1169" s="10">
        <v>1</v>
      </c>
      <c r="AA1169" s="10">
        <v>1</v>
      </c>
      <c r="AB1169" s="10">
        <v>0</v>
      </c>
      <c r="AC1169" s="316">
        <v>0</v>
      </c>
      <c r="AD1169" s="316">
        <v>1</v>
      </c>
      <c r="AE1169" s="302">
        <f t="shared" si="84"/>
        <v>0.5</v>
      </c>
      <c r="AF1169" s="32"/>
      <c r="AG1169" s="17">
        <v>0</v>
      </c>
      <c r="AH1169" s="32" t="s">
        <v>271</v>
      </c>
      <c r="AI1169" s="32" t="s">
        <v>271</v>
      </c>
      <c r="AJ1169" s="32" t="s">
        <v>271</v>
      </c>
      <c r="AK1169" s="214">
        <v>0.3</v>
      </c>
      <c r="AL1169" s="214">
        <v>0.3</v>
      </c>
      <c r="AM1169" s="17">
        <f t="shared" si="85"/>
        <v>0.6</v>
      </c>
      <c r="AN1169" s="18" t="s">
        <v>407</v>
      </c>
      <c r="AO1169" s="18" t="s">
        <v>409</v>
      </c>
      <c r="AP1169" s="10" t="s">
        <v>4213</v>
      </c>
    </row>
    <row r="1170" spans="1:42" s="10" customFormat="1" hidden="1" x14ac:dyDescent="0.3">
      <c r="A1170" s="213" t="s">
        <v>1444</v>
      </c>
      <c r="B1170" s="10" t="s">
        <v>4050</v>
      </c>
      <c r="C1170" s="213" t="s">
        <v>1445</v>
      </c>
      <c r="D1170" s="10" t="s">
        <v>4052</v>
      </c>
      <c r="E1170" s="213" t="s">
        <v>4183</v>
      </c>
      <c r="F1170" s="10" t="s">
        <v>4184</v>
      </c>
      <c r="G1170" s="213" t="s">
        <v>4185</v>
      </c>
      <c r="H1170" s="10" t="s">
        <v>4186</v>
      </c>
      <c r="K1170" s="213" t="s">
        <v>4207</v>
      </c>
      <c r="L1170" s="10" t="s">
        <v>4208</v>
      </c>
      <c r="N1170" s="16"/>
      <c r="O1170" s="16"/>
      <c r="P1170" s="16"/>
      <c r="Q1170" s="16"/>
      <c r="R1170" s="16"/>
      <c r="S1170" s="16"/>
      <c r="U1170" s="283" t="e">
        <v>#N/A</v>
      </c>
      <c r="V1170" s="215" t="s">
        <v>4214</v>
      </c>
      <c r="W1170" s="10">
        <v>1</v>
      </c>
      <c r="X1170" s="10">
        <v>0</v>
      </c>
      <c r="Y1170" s="10">
        <v>0</v>
      </c>
      <c r="Z1170" s="10">
        <v>0</v>
      </c>
      <c r="AA1170" s="10">
        <v>0</v>
      </c>
      <c r="AB1170" s="10">
        <v>0</v>
      </c>
      <c r="AC1170" s="316">
        <v>0</v>
      </c>
      <c r="AD1170" s="316">
        <v>1</v>
      </c>
      <c r="AE1170" s="302">
        <f t="shared" si="84"/>
        <v>0.25</v>
      </c>
      <c r="AF1170" s="32"/>
      <c r="AG1170" s="17">
        <v>0</v>
      </c>
      <c r="AH1170" s="32" t="s">
        <v>271</v>
      </c>
      <c r="AI1170" s="32">
        <v>0.2</v>
      </c>
      <c r="AJ1170" s="32">
        <v>0.2</v>
      </c>
      <c r="AK1170" s="214"/>
      <c r="AL1170" s="214"/>
      <c r="AM1170" s="17">
        <f t="shared" si="85"/>
        <v>0</v>
      </c>
      <c r="AN1170" s="10" t="s">
        <v>3875</v>
      </c>
      <c r="AO1170" s="18" t="s">
        <v>3877</v>
      </c>
      <c r="AP1170" s="10" t="s">
        <v>4213</v>
      </c>
    </row>
    <row r="1171" spans="1:42" s="10" customFormat="1" hidden="1" x14ac:dyDescent="0.3">
      <c r="A1171" s="213" t="s">
        <v>1444</v>
      </c>
      <c r="B1171" s="10" t="s">
        <v>4050</v>
      </c>
      <c r="C1171" s="213" t="s">
        <v>1445</v>
      </c>
      <c r="D1171" s="10" t="s">
        <v>4052</v>
      </c>
      <c r="E1171" s="213" t="s">
        <v>4183</v>
      </c>
      <c r="F1171" s="10" t="s">
        <v>4184</v>
      </c>
      <c r="G1171" s="213" t="s">
        <v>4185</v>
      </c>
      <c r="H1171" s="10" t="s">
        <v>4186</v>
      </c>
      <c r="K1171" s="213" t="s">
        <v>4207</v>
      </c>
      <c r="L1171" s="10" t="s">
        <v>4208</v>
      </c>
      <c r="N1171" s="16"/>
      <c r="O1171" s="16"/>
      <c r="P1171" s="16"/>
      <c r="Q1171" s="16"/>
      <c r="R1171" s="16"/>
      <c r="S1171" s="16"/>
      <c r="U1171" s="283" t="e">
        <v>#N/A</v>
      </c>
      <c r="V1171" s="10" t="s">
        <v>4215</v>
      </c>
      <c r="W1171" s="10">
        <v>1</v>
      </c>
      <c r="X1171" s="10">
        <v>0</v>
      </c>
      <c r="Y1171" s="10">
        <v>0</v>
      </c>
      <c r="Z1171" s="10">
        <v>1</v>
      </c>
      <c r="AA1171" s="10">
        <v>0</v>
      </c>
      <c r="AB1171" s="10">
        <v>0</v>
      </c>
      <c r="AC1171" s="316">
        <v>0</v>
      </c>
      <c r="AD1171" s="316">
        <v>1</v>
      </c>
      <c r="AE1171" s="302">
        <f t="shared" si="84"/>
        <v>0.375</v>
      </c>
      <c r="AF1171" s="32"/>
      <c r="AG1171" s="17">
        <v>0</v>
      </c>
      <c r="AH1171" s="32" t="s">
        <v>271</v>
      </c>
      <c r="AI1171" s="32">
        <v>0.05</v>
      </c>
      <c r="AJ1171" s="32">
        <v>0.05</v>
      </c>
      <c r="AK1171" s="214"/>
      <c r="AL1171" s="214"/>
      <c r="AM1171" s="17">
        <f t="shared" si="85"/>
        <v>0</v>
      </c>
      <c r="AN1171" s="32" t="s">
        <v>4192</v>
      </c>
      <c r="AO1171" s="18" t="s">
        <v>1334</v>
      </c>
      <c r="AP1171" s="10" t="s">
        <v>4213</v>
      </c>
    </row>
    <row r="1172" spans="1:42" s="10" customFormat="1" hidden="1" x14ac:dyDescent="0.3">
      <c r="A1172" s="213" t="s">
        <v>1444</v>
      </c>
      <c r="B1172" s="10" t="s">
        <v>4050</v>
      </c>
      <c r="C1172" s="213" t="s">
        <v>1445</v>
      </c>
      <c r="D1172" s="10" t="s">
        <v>4052</v>
      </c>
      <c r="E1172" s="213" t="s">
        <v>4183</v>
      </c>
      <c r="F1172" s="10" t="s">
        <v>4184</v>
      </c>
      <c r="G1172" s="213" t="s">
        <v>4216</v>
      </c>
      <c r="H1172" s="10" t="s">
        <v>4217</v>
      </c>
      <c r="K1172" s="213" t="s">
        <v>4218</v>
      </c>
      <c r="L1172" s="10" t="s">
        <v>4219</v>
      </c>
      <c r="M1172" s="10" t="s">
        <v>4220</v>
      </c>
      <c r="N1172" s="16">
        <v>34</v>
      </c>
      <c r="O1172" s="16">
        <v>36</v>
      </c>
      <c r="P1172" s="16">
        <v>58</v>
      </c>
      <c r="Q1172" s="16">
        <v>65</v>
      </c>
      <c r="R1172" s="16">
        <v>68</v>
      </c>
      <c r="S1172" s="16">
        <v>75</v>
      </c>
      <c r="T1172" s="10" t="s">
        <v>1035</v>
      </c>
      <c r="U1172" s="283" t="s">
        <v>1037</v>
      </c>
      <c r="V1172" s="10" t="s">
        <v>4221</v>
      </c>
      <c r="W1172" s="10">
        <v>1</v>
      </c>
      <c r="X1172" s="10">
        <v>0</v>
      </c>
      <c r="Y1172" s="10">
        <v>0</v>
      </c>
      <c r="Z1172" s="10">
        <v>0</v>
      </c>
      <c r="AA1172" s="10">
        <v>1</v>
      </c>
      <c r="AB1172" s="10">
        <v>0</v>
      </c>
      <c r="AC1172" s="316">
        <v>0</v>
      </c>
      <c r="AD1172" s="316">
        <v>1</v>
      </c>
      <c r="AE1172" s="302">
        <f t="shared" si="84"/>
        <v>0.375</v>
      </c>
      <c r="AF1172" s="32"/>
      <c r="AG1172" s="17">
        <v>0</v>
      </c>
      <c r="AH1172" s="32" t="s">
        <v>271</v>
      </c>
      <c r="AI1172" s="32">
        <v>0.5</v>
      </c>
      <c r="AJ1172" s="32">
        <v>0.5</v>
      </c>
      <c r="AK1172" s="214">
        <v>0.5</v>
      </c>
      <c r="AL1172" s="214">
        <v>0.5</v>
      </c>
      <c r="AM1172" s="17">
        <f t="shared" si="85"/>
        <v>1</v>
      </c>
      <c r="AN1172" s="32" t="s">
        <v>1035</v>
      </c>
      <c r="AO1172" s="18" t="s">
        <v>1037</v>
      </c>
      <c r="AP1172" s="10" t="s">
        <v>4062</v>
      </c>
    </row>
    <row r="1173" spans="1:42" s="10" customFormat="1" hidden="1" x14ac:dyDescent="0.3">
      <c r="A1173" s="213" t="s">
        <v>1444</v>
      </c>
      <c r="B1173" s="10" t="s">
        <v>4050</v>
      </c>
      <c r="C1173" s="213" t="s">
        <v>1445</v>
      </c>
      <c r="D1173" s="10" t="s">
        <v>4052</v>
      </c>
      <c r="E1173" s="213" t="s">
        <v>4183</v>
      </c>
      <c r="F1173" s="10" t="s">
        <v>4184</v>
      </c>
      <c r="G1173" s="213" t="s">
        <v>4216</v>
      </c>
      <c r="H1173" s="10" t="s">
        <v>4217</v>
      </c>
      <c r="K1173" s="213" t="s">
        <v>4218</v>
      </c>
      <c r="L1173" s="10" t="s">
        <v>4219</v>
      </c>
      <c r="N1173" s="16"/>
      <c r="O1173" s="16"/>
      <c r="P1173" s="16"/>
      <c r="Q1173" s="16"/>
      <c r="R1173" s="16"/>
      <c r="S1173" s="16"/>
      <c r="U1173" s="283" t="e">
        <v>#N/A</v>
      </c>
      <c r="V1173" s="10" t="s">
        <v>4221</v>
      </c>
      <c r="W1173" s="10">
        <v>1</v>
      </c>
      <c r="X1173" s="10">
        <v>0</v>
      </c>
      <c r="Y1173" s="10">
        <v>0</v>
      </c>
      <c r="Z1173" s="10">
        <v>0</v>
      </c>
      <c r="AA1173" s="10">
        <v>1</v>
      </c>
      <c r="AB1173" s="10">
        <v>0</v>
      </c>
      <c r="AC1173" s="316">
        <v>0</v>
      </c>
      <c r="AD1173" s="316">
        <v>1</v>
      </c>
      <c r="AE1173" s="302">
        <f t="shared" si="84"/>
        <v>0.375</v>
      </c>
      <c r="AF1173" s="32"/>
      <c r="AG1173" s="17">
        <v>0</v>
      </c>
      <c r="AH1173" s="32" t="s">
        <v>271</v>
      </c>
      <c r="AI1173" s="32">
        <v>0.1</v>
      </c>
      <c r="AJ1173" s="32">
        <v>0.1</v>
      </c>
      <c r="AK1173" s="214">
        <v>0.1</v>
      </c>
      <c r="AL1173" s="214">
        <v>0.1</v>
      </c>
      <c r="AM1173" s="17">
        <f t="shared" si="85"/>
        <v>0.2</v>
      </c>
      <c r="AN1173" s="10" t="s">
        <v>2172</v>
      </c>
      <c r="AO1173" s="18" t="s">
        <v>2236</v>
      </c>
      <c r="AP1173" s="10" t="s">
        <v>4118</v>
      </c>
    </row>
    <row r="1174" spans="1:42" s="10" customFormat="1" hidden="1" x14ac:dyDescent="0.3">
      <c r="A1174" s="213" t="s">
        <v>1444</v>
      </c>
      <c r="B1174" s="10" t="s">
        <v>4050</v>
      </c>
      <c r="C1174" s="213" t="s">
        <v>1445</v>
      </c>
      <c r="D1174" s="10" t="s">
        <v>4052</v>
      </c>
      <c r="E1174" s="213" t="s">
        <v>4183</v>
      </c>
      <c r="F1174" s="10" t="s">
        <v>4184</v>
      </c>
      <c r="G1174" s="213" t="s">
        <v>4216</v>
      </c>
      <c r="H1174" s="10" t="s">
        <v>4217</v>
      </c>
      <c r="K1174" s="213" t="s">
        <v>4218</v>
      </c>
      <c r="L1174" s="10" t="s">
        <v>4219</v>
      </c>
      <c r="N1174" s="16"/>
      <c r="O1174" s="16"/>
      <c r="P1174" s="16"/>
      <c r="Q1174" s="16"/>
      <c r="R1174" s="16"/>
      <c r="S1174" s="16"/>
      <c r="U1174" s="283" t="e">
        <v>#N/A</v>
      </c>
      <c r="V1174" s="10" t="s">
        <v>4222</v>
      </c>
      <c r="W1174" s="10">
        <v>1</v>
      </c>
      <c r="X1174" s="10">
        <v>0</v>
      </c>
      <c r="Y1174" s="10">
        <v>0</v>
      </c>
      <c r="Z1174" s="10">
        <v>0</v>
      </c>
      <c r="AA1174" s="10">
        <v>1</v>
      </c>
      <c r="AB1174" s="10">
        <v>0</v>
      </c>
      <c r="AC1174" s="316">
        <v>0</v>
      </c>
      <c r="AD1174" s="316">
        <v>1</v>
      </c>
      <c r="AE1174" s="302">
        <f t="shared" si="84"/>
        <v>0.375</v>
      </c>
      <c r="AF1174" s="32"/>
      <c r="AG1174" s="17">
        <v>0</v>
      </c>
      <c r="AH1174" s="32">
        <v>5</v>
      </c>
      <c r="AI1174" s="32">
        <v>2.2999999999999998</v>
      </c>
      <c r="AJ1174" s="32">
        <v>3.2</v>
      </c>
      <c r="AK1174" s="214">
        <v>0.3</v>
      </c>
      <c r="AL1174" s="214">
        <v>0.3</v>
      </c>
      <c r="AM1174" s="17">
        <f t="shared" si="85"/>
        <v>0.6</v>
      </c>
      <c r="AN1174" s="32" t="s">
        <v>1035</v>
      </c>
      <c r="AO1174" s="18" t="s">
        <v>1037</v>
      </c>
      <c r="AP1174" s="10" t="s">
        <v>4223</v>
      </c>
    </row>
    <row r="1175" spans="1:42" s="10" customFormat="1" hidden="1" x14ac:dyDescent="0.3">
      <c r="A1175" s="213" t="s">
        <v>1444</v>
      </c>
      <c r="B1175" s="10" t="s">
        <v>4050</v>
      </c>
      <c r="C1175" s="213" t="s">
        <v>1445</v>
      </c>
      <c r="D1175" s="10" t="s">
        <v>4052</v>
      </c>
      <c r="E1175" s="213" t="s">
        <v>4183</v>
      </c>
      <c r="F1175" s="10" t="s">
        <v>4184</v>
      </c>
      <c r="G1175" s="213" t="s">
        <v>4216</v>
      </c>
      <c r="H1175" s="10" t="s">
        <v>4217</v>
      </c>
      <c r="K1175" s="213" t="s">
        <v>4218</v>
      </c>
      <c r="L1175" s="10" t="s">
        <v>4219</v>
      </c>
      <c r="N1175" s="16"/>
      <c r="O1175" s="16"/>
      <c r="P1175" s="16"/>
      <c r="Q1175" s="16"/>
      <c r="R1175" s="16"/>
      <c r="S1175" s="16"/>
      <c r="U1175" s="283" t="e">
        <v>#N/A</v>
      </c>
      <c r="V1175" s="10" t="s">
        <v>4222</v>
      </c>
      <c r="W1175" s="10">
        <v>1</v>
      </c>
      <c r="X1175" s="10">
        <v>0</v>
      </c>
      <c r="Y1175" s="10">
        <v>0</v>
      </c>
      <c r="Z1175" s="10">
        <v>0</v>
      </c>
      <c r="AA1175" s="10">
        <v>1</v>
      </c>
      <c r="AB1175" s="10">
        <v>0</v>
      </c>
      <c r="AC1175" s="316">
        <v>0</v>
      </c>
      <c r="AD1175" s="316">
        <v>1</v>
      </c>
      <c r="AE1175" s="302">
        <f t="shared" si="84"/>
        <v>0.375</v>
      </c>
      <c r="AF1175" s="32"/>
      <c r="AG1175" s="17">
        <v>0</v>
      </c>
      <c r="AH1175" s="32" t="s">
        <v>271</v>
      </c>
      <c r="AI1175" s="32">
        <v>0.1</v>
      </c>
      <c r="AJ1175" s="32">
        <v>0.2</v>
      </c>
      <c r="AK1175" s="214">
        <v>0.1</v>
      </c>
      <c r="AL1175" s="214">
        <v>0.1</v>
      </c>
      <c r="AM1175" s="17">
        <f t="shared" si="85"/>
        <v>0.2</v>
      </c>
      <c r="AN1175" s="10" t="s">
        <v>2172</v>
      </c>
      <c r="AO1175" s="18" t="s">
        <v>2236</v>
      </c>
      <c r="AP1175" s="10" t="s">
        <v>4224</v>
      </c>
    </row>
    <row r="1176" spans="1:42" s="10" customFormat="1" hidden="1" x14ac:dyDescent="0.3">
      <c r="A1176" s="216" t="s">
        <v>1444</v>
      </c>
      <c r="B1176" s="10" t="s">
        <v>4050</v>
      </c>
      <c r="C1176" s="216" t="s">
        <v>1445</v>
      </c>
      <c r="D1176" s="10" t="s">
        <v>4052</v>
      </c>
      <c r="E1176" s="216" t="s">
        <v>4183</v>
      </c>
      <c r="F1176" s="10" t="s">
        <v>4184</v>
      </c>
      <c r="G1176" s="217" t="s">
        <v>4225</v>
      </c>
      <c r="H1176" s="10" t="s">
        <v>4226</v>
      </c>
      <c r="K1176" s="213" t="s">
        <v>4227</v>
      </c>
      <c r="L1176" s="10" t="s">
        <v>4228</v>
      </c>
      <c r="M1176" s="10" t="s">
        <v>4229</v>
      </c>
      <c r="N1176" s="16">
        <v>45</v>
      </c>
      <c r="O1176" s="16">
        <v>50</v>
      </c>
      <c r="P1176" s="16">
        <v>80</v>
      </c>
      <c r="Q1176" s="16">
        <v>100</v>
      </c>
      <c r="R1176" s="16">
        <v>120</v>
      </c>
      <c r="S1176" s="16">
        <v>200</v>
      </c>
      <c r="T1176" s="10" t="s">
        <v>1035</v>
      </c>
      <c r="U1176" s="283" t="s">
        <v>1037</v>
      </c>
      <c r="V1176" s="10" t="s">
        <v>4230</v>
      </c>
      <c r="W1176" s="10">
        <v>1</v>
      </c>
      <c r="X1176" s="10">
        <v>0</v>
      </c>
      <c r="Y1176" s="10">
        <v>0</v>
      </c>
      <c r="Z1176" s="10">
        <v>0</v>
      </c>
      <c r="AA1176" s="10">
        <v>1</v>
      </c>
      <c r="AB1176" s="10">
        <v>0</v>
      </c>
      <c r="AC1176" s="316">
        <v>0</v>
      </c>
      <c r="AD1176" s="316">
        <v>1</v>
      </c>
      <c r="AE1176" s="302">
        <f t="shared" si="84"/>
        <v>0.375</v>
      </c>
      <c r="AF1176" s="32"/>
      <c r="AG1176" s="17">
        <v>0</v>
      </c>
      <c r="AH1176" s="32" t="s">
        <v>271</v>
      </c>
      <c r="AI1176" s="32">
        <v>1.5</v>
      </c>
      <c r="AJ1176" s="32">
        <v>1.3</v>
      </c>
      <c r="AK1176" s="214"/>
      <c r="AL1176" s="214"/>
      <c r="AM1176" s="17">
        <f t="shared" si="85"/>
        <v>0</v>
      </c>
      <c r="AN1176" s="32" t="s">
        <v>4067</v>
      </c>
      <c r="AO1176" s="18" t="s">
        <v>1037</v>
      </c>
      <c r="AP1176" s="10" t="s">
        <v>4231</v>
      </c>
    </row>
    <row r="1177" spans="1:42" s="10" customFormat="1" hidden="1" x14ac:dyDescent="0.3">
      <c r="A1177" s="213" t="s">
        <v>1444</v>
      </c>
      <c r="B1177" s="10" t="s">
        <v>4050</v>
      </c>
      <c r="C1177" s="213" t="s">
        <v>1445</v>
      </c>
      <c r="D1177" s="10" t="s">
        <v>4052</v>
      </c>
      <c r="E1177" s="213" t="s">
        <v>4183</v>
      </c>
      <c r="F1177" s="10" t="s">
        <v>4184</v>
      </c>
      <c r="G1177" s="217" t="s">
        <v>4225</v>
      </c>
      <c r="H1177" s="10" t="s">
        <v>4226</v>
      </c>
      <c r="K1177" s="213" t="s">
        <v>4227</v>
      </c>
      <c r="L1177" s="10" t="s">
        <v>4228</v>
      </c>
      <c r="N1177" s="16"/>
      <c r="O1177" s="16"/>
      <c r="P1177" s="16"/>
      <c r="Q1177" s="16"/>
      <c r="R1177" s="16"/>
      <c r="S1177" s="16"/>
      <c r="U1177" s="283" t="e">
        <v>#N/A</v>
      </c>
      <c r="V1177" s="10" t="s">
        <v>4230</v>
      </c>
      <c r="W1177" s="10">
        <v>1</v>
      </c>
      <c r="X1177" s="10">
        <v>0</v>
      </c>
      <c r="Y1177" s="10">
        <v>0</v>
      </c>
      <c r="Z1177" s="10">
        <v>0</v>
      </c>
      <c r="AA1177" s="10">
        <v>1</v>
      </c>
      <c r="AB1177" s="10">
        <v>0</v>
      </c>
      <c r="AC1177" s="316">
        <v>0</v>
      </c>
      <c r="AD1177" s="316">
        <v>1</v>
      </c>
      <c r="AE1177" s="302">
        <f t="shared" si="84"/>
        <v>0.375</v>
      </c>
      <c r="AF1177" s="32"/>
      <c r="AG1177" s="17">
        <v>0</v>
      </c>
      <c r="AH1177" s="32" t="s">
        <v>271</v>
      </c>
      <c r="AI1177" s="32">
        <v>0</v>
      </c>
      <c r="AJ1177" s="32">
        <v>0</v>
      </c>
      <c r="AK1177" s="214">
        <v>0</v>
      </c>
      <c r="AL1177" s="214">
        <v>0</v>
      </c>
      <c r="AM1177" s="17">
        <f t="shared" si="85"/>
        <v>0</v>
      </c>
      <c r="AN1177" s="18" t="s">
        <v>771</v>
      </c>
      <c r="AO1177" s="18" t="s">
        <v>773</v>
      </c>
      <c r="AP1177" s="10" t="s">
        <v>119</v>
      </c>
    </row>
    <row r="1178" spans="1:42" s="10" customFormat="1" hidden="1" x14ac:dyDescent="0.3">
      <c r="A1178" s="213" t="s">
        <v>1444</v>
      </c>
      <c r="B1178" s="10" t="s">
        <v>4050</v>
      </c>
      <c r="C1178" s="213" t="s">
        <v>1445</v>
      </c>
      <c r="D1178" s="10" t="s">
        <v>4052</v>
      </c>
      <c r="E1178" s="213" t="s">
        <v>4183</v>
      </c>
      <c r="F1178" s="10" t="s">
        <v>4184</v>
      </c>
      <c r="G1178" s="217" t="s">
        <v>4225</v>
      </c>
      <c r="H1178" s="10" t="s">
        <v>4226</v>
      </c>
      <c r="K1178" s="213" t="s">
        <v>4227</v>
      </c>
      <c r="L1178" s="10" t="s">
        <v>4228</v>
      </c>
      <c r="N1178" s="16"/>
      <c r="O1178" s="16"/>
      <c r="P1178" s="16"/>
      <c r="Q1178" s="16"/>
      <c r="R1178" s="16"/>
      <c r="S1178" s="16"/>
      <c r="U1178" s="283" t="e">
        <v>#N/A</v>
      </c>
      <c r="V1178" s="10" t="s">
        <v>4230</v>
      </c>
      <c r="W1178" s="10">
        <v>1</v>
      </c>
      <c r="X1178" s="10">
        <v>0</v>
      </c>
      <c r="Y1178" s="10">
        <v>0</v>
      </c>
      <c r="Z1178" s="10">
        <v>0</v>
      </c>
      <c r="AA1178" s="10">
        <v>1</v>
      </c>
      <c r="AB1178" s="10">
        <v>0</v>
      </c>
      <c r="AC1178" s="316">
        <v>0</v>
      </c>
      <c r="AD1178" s="316">
        <v>1</v>
      </c>
      <c r="AE1178" s="302">
        <f t="shared" si="84"/>
        <v>0.375</v>
      </c>
      <c r="AF1178" s="32"/>
      <c r="AG1178" s="17">
        <v>0</v>
      </c>
      <c r="AH1178" s="32" t="s">
        <v>271</v>
      </c>
      <c r="AI1178" s="32">
        <v>0</v>
      </c>
      <c r="AJ1178" s="32">
        <v>0</v>
      </c>
      <c r="AK1178" s="214">
        <v>0</v>
      </c>
      <c r="AL1178" s="214">
        <v>0</v>
      </c>
      <c r="AM1178" s="17">
        <f t="shared" si="85"/>
        <v>0</v>
      </c>
      <c r="AN1178" s="10" t="s">
        <v>265</v>
      </c>
      <c r="AO1178" s="18" t="s">
        <v>350</v>
      </c>
      <c r="AP1178" s="10" t="s">
        <v>4232</v>
      </c>
    </row>
    <row r="1179" spans="1:42" s="10" customFormat="1" hidden="1" x14ac:dyDescent="0.3">
      <c r="A1179" s="213" t="s">
        <v>1444</v>
      </c>
      <c r="B1179" s="10" t="s">
        <v>4050</v>
      </c>
      <c r="C1179" s="213" t="s">
        <v>1445</v>
      </c>
      <c r="D1179" s="10" t="s">
        <v>4052</v>
      </c>
      <c r="E1179" s="213" t="s">
        <v>4183</v>
      </c>
      <c r="F1179" s="10" t="s">
        <v>4184</v>
      </c>
      <c r="G1179" s="217" t="s">
        <v>4225</v>
      </c>
      <c r="H1179" s="10" t="s">
        <v>4226</v>
      </c>
      <c r="K1179" s="213" t="s">
        <v>4227</v>
      </c>
      <c r="L1179" s="10" t="s">
        <v>4228</v>
      </c>
      <c r="N1179" s="16"/>
      <c r="O1179" s="16"/>
      <c r="P1179" s="16"/>
      <c r="Q1179" s="16"/>
      <c r="R1179" s="16"/>
      <c r="S1179" s="16"/>
      <c r="U1179" s="283" t="e">
        <v>#N/A</v>
      </c>
      <c r="V1179" s="10" t="s">
        <v>4230</v>
      </c>
      <c r="W1179" s="10">
        <v>1</v>
      </c>
      <c r="X1179" s="10">
        <v>0</v>
      </c>
      <c r="Y1179" s="10">
        <v>0</v>
      </c>
      <c r="Z1179" s="10">
        <v>0</v>
      </c>
      <c r="AA1179" s="10">
        <v>1</v>
      </c>
      <c r="AB1179" s="10">
        <v>0</v>
      </c>
      <c r="AC1179" s="316">
        <v>0</v>
      </c>
      <c r="AD1179" s="316">
        <v>1</v>
      </c>
      <c r="AE1179" s="302">
        <f t="shared" si="84"/>
        <v>0.375</v>
      </c>
      <c r="AF1179" s="32"/>
      <c r="AG1179" s="17">
        <v>0</v>
      </c>
      <c r="AH1179" s="32" t="s">
        <v>271</v>
      </c>
      <c r="AI1179" s="32">
        <v>0</v>
      </c>
      <c r="AJ1179" s="32">
        <v>0</v>
      </c>
      <c r="AK1179" s="214">
        <v>0</v>
      </c>
      <c r="AL1179" s="214">
        <v>0</v>
      </c>
      <c r="AM1179" s="17">
        <f t="shared" si="85"/>
        <v>0</v>
      </c>
      <c r="AN1179" s="10" t="s">
        <v>723</v>
      </c>
      <c r="AO1179" s="18" t="s">
        <v>729</v>
      </c>
      <c r="AP1179" s="10" t="s">
        <v>1083</v>
      </c>
    </row>
    <row r="1180" spans="1:42" s="10" customFormat="1" hidden="1" x14ac:dyDescent="0.3">
      <c r="A1180" s="213" t="s">
        <v>1444</v>
      </c>
      <c r="B1180" s="10" t="s">
        <v>4050</v>
      </c>
      <c r="C1180" s="213" t="s">
        <v>1445</v>
      </c>
      <c r="D1180" s="10" t="s">
        <v>4052</v>
      </c>
      <c r="E1180" s="213" t="s">
        <v>4183</v>
      </c>
      <c r="F1180" s="10" t="s">
        <v>4184</v>
      </c>
      <c r="G1180" s="213" t="s">
        <v>4233</v>
      </c>
      <c r="H1180" s="10" t="s">
        <v>4234</v>
      </c>
      <c r="K1180" s="213" t="s">
        <v>4235</v>
      </c>
      <c r="L1180" s="10" t="s">
        <v>4236</v>
      </c>
      <c r="M1180" s="10" t="s">
        <v>4237</v>
      </c>
      <c r="N1180" s="16" t="s">
        <v>271</v>
      </c>
      <c r="O1180" s="16">
        <v>2</v>
      </c>
      <c r="P1180" s="16">
        <v>2</v>
      </c>
      <c r="Q1180" s="16">
        <v>2</v>
      </c>
      <c r="R1180" s="16">
        <v>2</v>
      </c>
      <c r="S1180" s="16">
        <v>2</v>
      </c>
      <c r="T1180" s="10" t="s">
        <v>1035</v>
      </c>
      <c r="U1180" s="283" t="s">
        <v>1037</v>
      </c>
      <c r="V1180" s="10" t="s">
        <v>4238</v>
      </c>
      <c r="W1180" s="10">
        <v>1</v>
      </c>
      <c r="X1180" s="10">
        <v>0</v>
      </c>
      <c r="Y1180" s="10">
        <v>0</v>
      </c>
      <c r="Z1180" s="10">
        <v>1</v>
      </c>
      <c r="AA1180" s="10">
        <v>1</v>
      </c>
      <c r="AB1180" s="10">
        <v>1</v>
      </c>
      <c r="AC1180" s="316">
        <v>0</v>
      </c>
      <c r="AD1180" s="316">
        <v>1</v>
      </c>
      <c r="AE1180" s="302">
        <f t="shared" si="84"/>
        <v>0.625</v>
      </c>
      <c r="AF1180" s="32"/>
      <c r="AG1180" s="17">
        <v>0</v>
      </c>
      <c r="AH1180" s="32" t="s">
        <v>271</v>
      </c>
      <c r="AI1180" s="32">
        <v>0.15</v>
      </c>
      <c r="AJ1180" s="32">
        <v>0.2</v>
      </c>
      <c r="AK1180" s="214">
        <v>0.35</v>
      </c>
      <c r="AL1180" s="214">
        <v>0.35</v>
      </c>
      <c r="AM1180" s="17">
        <f t="shared" si="85"/>
        <v>0.7</v>
      </c>
      <c r="AN1180" s="32" t="s">
        <v>1035</v>
      </c>
      <c r="AO1180" s="18" t="s">
        <v>1037</v>
      </c>
      <c r="AP1180" s="10" t="s">
        <v>4159</v>
      </c>
    </row>
    <row r="1181" spans="1:42" s="10" customFormat="1" hidden="1" x14ac:dyDescent="0.3">
      <c r="A1181" s="213" t="s">
        <v>1444</v>
      </c>
      <c r="B1181" s="10" t="s">
        <v>4050</v>
      </c>
      <c r="C1181" s="213" t="s">
        <v>1445</v>
      </c>
      <c r="D1181" s="10" t="s">
        <v>4052</v>
      </c>
      <c r="E1181" s="213" t="s">
        <v>4183</v>
      </c>
      <c r="F1181" s="10" t="s">
        <v>4184</v>
      </c>
      <c r="G1181" s="213" t="s">
        <v>4233</v>
      </c>
      <c r="H1181" s="10" t="s">
        <v>4234</v>
      </c>
      <c r="K1181" s="213" t="s">
        <v>4235</v>
      </c>
      <c r="L1181" s="10" t="s">
        <v>4236</v>
      </c>
      <c r="M1181" s="10" t="s">
        <v>4237</v>
      </c>
      <c r="N1181" s="16"/>
      <c r="O1181" s="16"/>
      <c r="P1181" s="16"/>
      <c r="Q1181" s="16"/>
      <c r="R1181" s="16"/>
      <c r="S1181" s="16"/>
      <c r="U1181" s="283" t="e">
        <v>#N/A</v>
      </c>
      <c r="V1181" s="10" t="s">
        <v>4238</v>
      </c>
      <c r="W1181" s="10">
        <v>1</v>
      </c>
      <c r="X1181" s="10">
        <v>0</v>
      </c>
      <c r="Y1181" s="10">
        <v>0</v>
      </c>
      <c r="Z1181" s="10">
        <v>1</v>
      </c>
      <c r="AA1181" s="10">
        <v>1</v>
      </c>
      <c r="AB1181" s="10">
        <v>1</v>
      </c>
      <c r="AC1181" s="316">
        <v>0</v>
      </c>
      <c r="AD1181" s="316">
        <v>1</v>
      </c>
      <c r="AE1181" s="302">
        <f t="shared" si="84"/>
        <v>0.625</v>
      </c>
      <c r="AF1181" s="32"/>
      <c r="AG1181" s="17">
        <v>0</v>
      </c>
      <c r="AH1181" s="32" t="s">
        <v>271</v>
      </c>
      <c r="AI1181" s="32">
        <v>0.05</v>
      </c>
      <c r="AJ1181" s="32">
        <v>0.05</v>
      </c>
      <c r="AK1181" s="214">
        <v>0.05</v>
      </c>
      <c r="AL1181" s="214">
        <v>0.05</v>
      </c>
      <c r="AM1181" s="17">
        <f t="shared" si="85"/>
        <v>0.1</v>
      </c>
      <c r="AN1181" s="18" t="s">
        <v>771</v>
      </c>
      <c r="AO1181" s="18" t="s">
        <v>773</v>
      </c>
      <c r="AP1181" s="10" t="s">
        <v>4239</v>
      </c>
    </row>
    <row r="1182" spans="1:42" s="10" customFormat="1" hidden="1" x14ac:dyDescent="0.3">
      <c r="A1182" s="213" t="s">
        <v>1444</v>
      </c>
      <c r="B1182" s="10" t="s">
        <v>4050</v>
      </c>
      <c r="C1182" s="213" t="s">
        <v>1445</v>
      </c>
      <c r="D1182" s="10" t="s">
        <v>4052</v>
      </c>
      <c r="E1182" s="213" t="s">
        <v>4183</v>
      </c>
      <c r="F1182" s="10" t="s">
        <v>4184</v>
      </c>
      <c r="G1182" s="213" t="s">
        <v>4233</v>
      </c>
      <c r="H1182" s="10" t="s">
        <v>4234</v>
      </c>
      <c r="K1182" s="213" t="s">
        <v>4235</v>
      </c>
      <c r="L1182" s="10" t="s">
        <v>4236</v>
      </c>
      <c r="M1182" s="10" t="s">
        <v>4237</v>
      </c>
      <c r="N1182" s="16"/>
      <c r="O1182" s="16"/>
      <c r="P1182" s="16"/>
      <c r="Q1182" s="16"/>
      <c r="R1182" s="16"/>
      <c r="S1182" s="16"/>
      <c r="U1182" s="283" t="e">
        <v>#N/A</v>
      </c>
      <c r="V1182" s="10" t="s">
        <v>4238</v>
      </c>
      <c r="W1182" s="10">
        <v>1</v>
      </c>
      <c r="X1182" s="10">
        <v>0</v>
      </c>
      <c r="Y1182" s="10">
        <v>0</v>
      </c>
      <c r="Z1182" s="10">
        <v>1</v>
      </c>
      <c r="AA1182" s="10">
        <v>1</v>
      </c>
      <c r="AB1182" s="10">
        <v>1</v>
      </c>
      <c r="AC1182" s="316">
        <v>0</v>
      </c>
      <c r="AD1182" s="316">
        <v>1</v>
      </c>
      <c r="AE1182" s="302">
        <f t="shared" si="84"/>
        <v>0.625</v>
      </c>
      <c r="AF1182" s="32"/>
      <c r="AG1182" s="17">
        <v>0</v>
      </c>
      <c r="AH1182" s="32" t="s">
        <v>271</v>
      </c>
      <c r="AI1182" s="32">
        <v>0.05</v>
      </c>
      <c r="AJ1182" s="32">
        <v>0.05</v>
      </c>
      <c r="AK1182" s="214">
        <v>0.05</v>
      </c>
      <c r="AL1182" s="214">
        <v>0.05</v>
      </c>
      <c r="AM1182" s="17">
        <f t="shared" si="85"/>
        <v>0.1</v>
      </c>
      <c r="AN1182" s="10" t="s">
        <v>723</v>
      </c>
      <c r="AO1182" s="18" t="s">
        <v>729</v>
      </c>
      <c r="AP1182" s="10" t="s">
        <v>4177</v>
      </c>
    </row>
    <row r="1183" spans="1:42" s="10" customFormat="1" hidden="1" x14ac:dyDescent="0.3">
      <c r="A1183" s="213" t="s">
        <v>1444</v>
      </c>
      <c r="B1183" s="10" t="s">
        <v>4050</v>
      </c>
      <c r="C1183" s="213" t="s">
        <v>1445</v>
      </c>
      <c r="D1183" s="10" t="s">
        <v>4052</v>
      </c>
      <c r="E1183" s="213" t="s">
        <v>4183</v>
      </c>
      <c r="F1183" s="10" t="s">
        <v>4184</v>
      </c>
      <c r="G1183" s="213" t="s">
        <v>4233</v>
      </c>
      <c r="H1183" s="10" t="s">
        <v>4234</v>
      </c>
      <c r="K1183" s="213" t="s">
        <v>4235</v>
      </c>
      <c r="L1183" s="10" t="s">
        <v>4236</v>
      </c>
      <c r="M1183" s="10" t="s">
        <v>4237</v>
      </c>
      <c r="N1183" s="16"/>
      <c r="O1183" s="16"/>
      <c r="P1183" s="16"/>
      <c r="Q1183" s="16"/>
      <c r="R1183" s="16"/>
      <c r="S1183" s="16"/>
      <c r="U1183" s="283" t="e">
        <v>#N/A</v>
      </c>
      <c r="V1183" s="10" t="s">
        <v>4240</v>
      </c>
      <c r="W1183" s="10">
        <v>1</v>
      </c>
      <c r="X1183" s="10">
        <v>0</v>
      </c>
      <c r="Y1183" s="10">
        <v>0</v>
      </c>
      <c r="Z1183" s="10">
        <v>1</v>
      </c>
      <c r="AA1183" s="10">
        <v>1</v>
      </c>
      <c r="AB1183" s="10">
        <v>0</v>
      </c>
      <c r="AC1183" s="316">
        <v>1</v>
      </c>
      <c r="AD1183" s="316">
        <v>1</v>
      </c>
      <c r="AE1183" s="302">
        <f t="shared" si="84"/>
        <v>0.625</v>
      </c>
      <c r="AF1183" s="32"/>
      <c r="AG1183" s="17">
        <v>0</v>
      </c>
      <c r="AH1183" s="32" t="s">
        <v>271</v>
      </c>
      <c r="AI1183" s="32" t="s">
        <v>271</v>
      </c>
      <c r="AJ1183" s="32">
        <v>0.2</v>
      </c>
      <c r="AK1183" s="214">
        <v>0.4</v>
      </c>
      <c r="AL1183" s="214">
        <v>0.5</v>
      </c>
      <c r="AM1183" s="17">
        <f t="shared" si="85"/>
        <v>0.9</v>
      </c>
      <c r="AN1183" s="10" t="s">
        <v>723</v>
      </c>
      <c r="AO1183" s="18" t="s">
        <v>729</v>
      </c>
      <c r="AP1183" s="10" t="s">
        <v>4177</v>
      </c>
    </row>
    <row r="1184" spans="1:42" s="10" customFormat="1" hidden="1" x14ac:dyDescent="0.3">
      <c r="A1184" s="213" t="s">
        <v>1444</v>
      </c>
      <c r="B1184" s="10" t="s">
        <v>4050</v>
      </c>
      <c r="C1184" s="213" t="s">
        <v>1445</v>
      </c>
      <c r="D1184" s="10" t="s">
        <v>4052</v>
      </c>
      <c r="E1184" s="213" t="s">
        <v>4183</v>
      </c>
      <c r="F1184" s="10" t="s">
        <v>4184</v>
      </c>
      <c r="G1184" s="213" t="s">
        <v>4233</v>
      </c>
      <c r="H1184" s="10" t="s">
        <v>4234</v>
      </c>
      <c r="K1184" s="213" t="s">
        <v>4235</v>
      </c>
      <c r="L1184" s="10" t="s">
        <v>4236</v>
      </c>
      <c r="M1184" s="10" t="s">
        <v>4237</v>
      </c>
      <c r="N1184" s="16"/>
      <c r="O1184" s="16"/>
      <c r="P1184" s="16"/>
      <c r="Q1184" s="16"/>
      <c r="R1184" s="16"/>
      <c r="S1184" s="16"/>
      <c r="U1184" s="283" t="e">
        <v>#N/A</v>
      </c>
      <c r="V1184" s="10" t="s">
        <v>4240</v>
      </c>
      <c r="W1184" s="10">
        <v>1</v>
      </c>
      <c r="X1184" s="10">
        <v>0</v>
      </c>
      <c r="Y1184" s="10">
        <v>0</v>
      </c>
      <c r="Z1184" s="10">
        <v>1</v>
      </c>
      <c r="AA1184" s="10">
        <v>1</v>
      </c>
      <c r="AB1184" s="10">
        <v>0</v>
      </c>
      <c r="AC1184" s="316">
        <v>1</v>
      </c>
      <c r="AD1184" s="316">
        <v>1</v>
      </c>
      <c r="AE1184" s="302">
        <f t="shared" si="84"/>
        <v>0.625</v>
      </c>
      <c r="AF1184" s="32"/>
      <c r="AG1184" s="17">
        <v>0</v>
      </c>
      <c r="AH1184" s="32" t="s">
        <v>271</v>
      </c>
      <c r="AI1184" s="32" t="s">
        <v>271</v>
      </c>
      <c r="AJ1184" s="32">
        <v>0.05</v>
      </c>
      <c r="AK1184" s="214">
        <v>0.05</v>
      </c>
      <c r="AL1184" s="214">
        <v>0.05</v>
      </c>
      <c r="AM1184" s="17">
        <f t="shared" si="85"/>
        <v>0.1</v>
      </c>
      <c r="AN1184" s="18" t="s">
        <v>771</v>
      </c>
      <c r="AO1184" s="18" t="s">
        <v>773</v>
      </c>
      <c r="AP1184" s="10" t="s">
        <v>4239</v>
      </c>
    </row>
    <row r="1185" spans="1:42" s="10" customFormat="1" hidden="1" x14ac:dyDescent="0.3">
      <c r="A1185" s="213" t="s">
        <v>1444</v>
      </c>
      <c r="B1185" s="10" t="s">
        <v>4050</v>
      </c>
      <c r="C1185" s="213" t="s">
        <v>1445</v>
      </c>
      <c r="D1185" s="10" t="s">
        <v>4052</v>
      </c>
      <c r="E1185" s="213" t="s">
        <v>4183</v>
      </c>
      <c r="F1185" s="10" t="s">
        <v>4184</v>
      </c>
      <c r="G1185" s="213" t="s">
        <v>4241</v>
      </c>
      <c r="H1185" s="10" t="s">
        <v>4242</v>
      </c>
      <c r="I1185" s="213" t="s">
        <v>4243</v>
      </c>
      <c r="J1185" s="10" t="s">
        <v>4244</v>
      </c>
      <c r="K1185" s="213" t="s">
        <v>4245</v>
      </c>
      <c r="L1185" s="10" t="s">
        <v>4246</v>
      </c>
      <c r="M1185" s="10" t="s">
        <v>4247</v>
      </c>
      <c r="N1185" s="16">
        <v>0</v>
      </c>
      <c r="O1185" s="16" t="s">
        <v>271</v>
      </c>
      <c r="P1185" s="16" t="s">
        <v>271</v>
      </c>
      <c r="Q1185" s="16" t="s">
        <v>271</v>
      </c>
      <c r="R1185" s="16" t="s">
        <v>271</v>
      </c>
      <c r="S1185" s="16">
        <v>1</v>
      </c>
      <c r="T1185" s="10" t="s">
        <v>1035</v>
      </c>
      <c r="U1185" s="283" t="s">
        <v>1037</v>
      </c>
      <c r="V1185" s="10" t="s">
        <v>4248</v>
      </c>
      <c r="W1185" s="10">
        <v>1</v>
      </c>
      <c r="X1185" s="10">
        <v>0</v>
      </c>
      <c r="Y1185" s="10">
        <v>0</v>
      </c>
      <c r="Z1185" s="10">
        <v>1</v>
      </c>
      <c r="AA1185" s="10">
        <v>1</v>
      </c>
      <c r="AB1185" s="10">
        <v>0</v>
      </c>
      <c r="AC1185" s="316">
        <v>0</v>
      </c>
      <c r="AD1185" s="316">
        <v>1</v>
      </c>
      <c r="AE1185" s="302">
        <f t="shared" si="84"/>
        <v>0.5</v>
      </c>
      <c r="AF1185" s="32"/>
      <c r="AG1185" s="17">
        <v>0</v>
      </c>
      <c r="AH1185" s="32">
        <v>0</v>
      </c>
      <c r="AI1185" s="32">
        <v>0</v>
      </c>
      <c r="AJ1185" s="32" t="s">
        <v>271</v>
      </c>
      <c r="AK1185" s="214" t="s">
        <v>2112</v>
      </c>
      <c r="AL1185" s="214" t="s">
        <v>271</v>
      </c>
      <c r="AM1185" s="17">
        <f t="shared" si="85"/>
        <v>0</v>
      </c>
      <c r="AN1185" s="32" t="s">
        <v>1035</v>
      </c>
      <c r="AO1185" s="18" t="s">
        <v>1037</v>
      </c>
      <c r="AP1185" s="10" t="s">
        <v>119</v>
      </c>
    </row>
    <row r="1186" spans="1:42" s="10" customFormat="1" hidden="1" x14ac:dyDescent="0.3">
      <c r="A1186" s="213" t="s">
        <v>1444</v>
      </c>
      <c r="B1186" s="10" t="s">
        <v>4050</v>
      </c>
      <c r="C1186" s="213" t="s">
        <v>1445</v>
      </c>
      <c r="D1186" s="10" t="s">
        <v>4052</v>
      </c>
      <c r="E1186" s="213" t="s">
        <v>4183</v>
      </c>
      <c r="F1186" s="10" t="s">
        <v>4184</v>
      </c>
      <c r="G1186" s="213" t="s">
        <v>4241</v>
      </c>
      <c r="H1186" s="10" t="s">
        <v>4242</v>
      </c>
      <c r="I1186" s="213" t="s">
        <v>4243</v>
      </c>
      <c r="J1186" s="10" t="s">
        <v>4244</v>
      </c>
      <c r="K1186" s="213" t="s">
        <v>4245</v>
      </c>
      <c r="L1186" s="10" t="s">
        <v>4246</v>
      </c>
      <c r="N1186" s="16"/>
      <c r="O1186" s="16"/>
      <c r="P1186" s="16"/>
      <c r="Q1186" s="16"/>
      <c r="R1186" s="16"/>
      <c r="S1186" s="16"/>
      <c r="U1186" s="283" t="e">
        <v>#N/A</v>
      </c>
      <c r="V1186" s="10" t="s">
        <v>4248</v>
      </c>
      <c r="W1186" s="10">
        <v>1</v>
      </c>
      <c r="X1186" s="10">
        <v>0</v>
      </c>
      <c r="Y1186" s="10">
        <v>0</v>
      </c>
      <c r="Z1186" s="10">
        <v>1</v>
      </c>
      <c r="AA1186" s="10">
        <v>1</v>
      </c>
      <c r="AB1186" s="10">
        <v>0</v>
      </c>
      <c r="AC1186" s="316">
        <v>0</v>
      </c>
      <c r="AD1186" s="316">
        <v>1</v>
      </c>
      <c r="AE1186" s="302">
        <f t="shared" si="84"/>
        <v>0.5</v>
      </c>
      <c r="AF1186" s="32"/>
      <c r="AG1186" s="17">
        <v>0</v>
      </c>
      <c r="AH1186" s="32" t="s">
        <v>271</v>
      </c>
      <c r="AI1186" s="32">
        <v>0</v>
      </c>
      <c r="AJ1186" s="32" t="s">
        <v>271</v>
      </c>
      <c r="AK1186" s="214" t="s">
        <v>271</v>
      </c>
      <c r="AL1186" s="214" t="s">
        <v>271</v>
      </c>
      <c r="AM1186" s="17">
        <f t="shared" si="85"/>
        <v>0</v>
      </c>
      <c r="AN1186" s="10" t="s">
        <v>3875</v>
      </c>
      <c r="AO1186" s="18" t="s">
        <v>3877</v>
      </c>
      <c r="AP1186" s="10" t="s">
        <v>119</v>
      </c>
    </row>
    <row r="1187" spans="1:42" s="10" customFormat="1" hidden="1" x14ac:dyDescent="0.3">
      <c r="A1187" s="213" t="s">
        <v>1444</v>
      </c>
      <c r="B1187" s="10" t="s">
        <v>4050</v>
      </c>
      <c r="C1187" s="213" t="s">
        <v>1445</v>
      </c>
      <c r="D1187" s="10" t="s">
        <v>4052</v>
      </c>
      <c r="E1187" s="213" t="s">
        <v>4183</v>
      </c>
      <c r="F1187" s="10" t="s">
        <v>4184</v>
      </c>
      <c r="G1187" s="213" t="s">
        <v>4241</v>
      </c>
      <c r="H1187" s="10" t="s">
        <v>4242</v>
      </c>
      <c r="I1187" s="213" t="s">
        <v>4243</v>
      </c>
      <c r="J1187" s="10" t="s">
        <v>4244</v>
      </c>
      <c r="K1187" s="213" t="s">
        <v>4245</v>
      </c>
      <c r="L1187" s="10" t="s">
        <v>4246</v>
      </c>
      <c r="N1187" s="16"/>
      <c r="O1187" s="16"/>
      <c r="P1187" s="16"/>
      <c r="Q1187" s="16"/>
      <c r="R1187" s="16"/>
      <c r="S1187" s="16"/>
      <c r="U1187" s="283" t="e">
        <v>#N/A</v>
      </c>
      <c r="V1187" s="10" t="s">
        <v>4248</v>
      </c>
      <c r="W1187" s="10">
        <v>1</v>
      </c>
      <c r="X1187" s="10">
        <v>0</v>
      </c>
      <c r="Y1187" s="10">
        <v>0</v>
      </c>
      <c r="Z1187" s="10">
        <v>1</v>
      </c>
      <c r="AA1187" s="10">
        <v>1</v>
      </c>
      <c r="AB1187" s="10">
        <v>0</v>
      </c>
      <c r="AC1187" s="316">
        <v>0</v>
      </c>
      <c r="AD1187" s="316">
        <v>1</v>
      </c>
      <c r="AE1187" s="302">
        <f t="shared" si="84"/>
        <v>0.5</v>
      </c>
      <c r="AF1187" s="32"/>
      <c r="AG1187" s="17">
        <v>0</v>
      </c>
      <c r="AH1187" s="32" t="s">
        <v>271</v>
      </c>
      <c r="AI1187" s="32">
        <v>0</v>
      </c>
      <c r="AJ1187" s="32" t="s">
        <v>271</v>
      </c>
      <c r="AK1187" s="214" t="s">
        <v>271</v>
      </c>
      <c r="AL1187" s="214" t="s">
        <v>271</v>
      </c>
      <c r="AM1187" s="17">
        <f t="shared" si="85"/>
        <v>0</v>
      </c>
      <c r="AN1187" s="32" t="s">
        <v>4192</v>
      </c>
      <c r="AO1187" s="18" t="s">
        <v>1334</v>
      </c>
      <c r="AP1187" s="10" t="s">
        <v>119</v>
      </c>
    </row>
    <row r="1188" spans="1:42" s="10" customFormat="1" hidden="1" x14ac:dyDescent="0.3">
      <c r="A1188" s="213" t="s">
        <v>1444</v>
      </c>
      <c r="B1188" s="10" t="s">
        <v>4050</v>
      </c>
      <c r="C1188" s="213" t="s">
        <v>1445</v>
      </c>
      <c r="D1188" s="10" t="s">
        <v>4052</v>
      </c>
      <c r="E1188" s="213" t="s">
        <v>4183</v>
      </c>
      <c r="F1188" s="10" t="s">
        <v>4184</v>
      </c>
      <c r="G1188" s="213" t="s">
        <v>4241</v>
      </c>
      <c r="H1188" s="10" t="s">
        <v>4242</v>
      </c>
      <c r="I1188" s="213" t="s">
        <v>4243</v>
      </c>
      <c r="J1188" s="10" t="s">
        <v>4244</v>
      </c>
      <c r="K1188" s="213" t="s">
        <v>4245</v>
      </c>
      <c r="L1188" s="10" t="s">
        <v>4246</v>
      </c>
      <c r="N1188" s="16"/>
      <c r="O1188" s="16"/>
      <c r="P1188" s="16"/>
      <c r="Q1188" s="16"/>
      <c r="R1188" s="16"/>
      <c r="S1188" s="16"/>
      <c r="U1188" s="283" t="e">
        <v>#N/A</v>
      </c>
      <c r="V1188" s="10" t="s">
        <v>4248</v>
      </c>
      <c r="W1188" s="10">
        <v>1</v>
      </c>
      <c r="X1188" s="10">
        <v>0</v>
      </c>
      <c r="Y1188" s="10">
        <v>0</v>
      </c>
      <c r="Z1188" s="10">
        <v>1</v>
      </c>
      <c r="AA1188" s="10">
        <v>1</v>
      </c>
      <c r="AB1188" s="10">
        <v>0</v>
      </c>
      <c r="AC1188" s="316">
        <v>0</v>
      </c>
      <c r="AD1188" s="316">
        <v>1</v>
      </c>
      <c r="AE1188" s="302">
        <f t="shared" si="84"/>
        <v>0.5</v>
      </c>
      <c r="AF1188" s="32"/>
      <c r="AG1188" s="17">
        <v>0</v>
      </c>
      <c r="AH1188" s="32" t="s">
        <v>271</v>
      </c>
      <c r="AI1188" s="32">
        <v>0</v>
      </c>
      <c r="AJ1188" s="32" t="s">
        <v>271</v>
      </c>
      <c r="AK1188" s="214" t="s">
        <v>271</v>
      </c>
      <c r="AL1188" s="214" t="s">
        <v>271</v>
      </c>
      <c r="AM1188" s="17">
        <f t="shared" si="85"/>
        <v>0</v>
      </c>
      <c r="AN1188" s="32" t="s">
        <v>4195</v>
      </c>
      <c r="AO1188" s="18" t="s">
        <v>4196</v>
      </c>
      <c r="AP1188" s="10" t="s">
        <v>119</v>
      </c>
    </row>
    <row r="1189" spans="1:42" s="10" customFormat="1" hidden="1" x14ac:dyDescent="0.3">
      <c r="A1189" s="213" t="s">
        <v>1444</v>
      </c>
      <c r="B1189" s="10" t="s">
        <v>4050</v>
      </c>
      <c r="C1189" s="213" t="s">
        <v>1445</v>
      </c>
      <c r="D1189" s="10" t="s">
        <v>4052</v>
      </c>
      <c r="E1189" s="213" t="s">
        <v>4183</v>
      </c>
      <c r="F1189" s="10" t="s">
        <v>4184</v>
      </c>
      <c r="G1189" s="213" t="s">
        <v>4241</v>
      </c>
      <c r="H1189" s="10" t="s">
        <v>4242</v>
      </c>
      <c r="I1189" s="213" t="s">
        <v>4243</v>
      </c>
      <c r="J1189" s="10" t="s">
        <v>4244</v>
      </c>
      <c r="K1189" s="213" t="s">
        <v>4245</v>
      </c>
      <c r="L1189" s="10" t="s">
        <v>4246</v>
      </c>
      <c r="N1189" s="16"/>
      <c r="O1189" s="16"/>
      <c r="P1189" s="16"/>
      <c r="Q1189" s="16"/>
      <c r="R1189" s="16"/>
      <c r="S1189" s="16"/>
      <c r="U1189" s="283" t="e">
        <v>#N/A</v>
      </c>
      <c r="V1189" s="10" t="s">
        <v>4249</v>
      </c>
      <c r="W1189" s="10">
        <v>1</v>
      </c>
      <c r="X1189" s="10">
        <v>0</v>
      </c>
      <c r="Y1189" s="10">
        <v>0</v>
      </c>
      <c r="Z1189" s="10">
        <v>0</v>
      </c>
      <c r="AA1189" s="10">
        <v>0</v>
      </c>
      <c r="AB1189" s="10">
        <v>0</v>
      </c>
      <c r="AC1189" s="316">
        <v>0</v>
      </c>
      <c r="AD1189" s="316">
        <v>1</v>
      </c>
      <c r="AE1189" s="302">
        <f t="shared" si="84"/>
        <v>0.25</v>
      </c>
      <c r="AF1189" s="32"/>
      <c r="AG1189" s="17">
        <v>0</v>
      </c>
      <c r="AH1189" s="32" t="s">
        <v>271</v>
      </c>
      <c r="AI1189" s="32" t="s">
        <v>271</v>
      </c>
      <c r="AJ1189" s="32">
        <v>0</v>
      </c>
      <c r="AK1189" s="214">
        <v>0</v>
      </c>
      <c r="AL1189" s="214" t="s">
        <v>271</v>
      </c>
      <c r="AM1189" s="17">
        <f t="shared" si="85"/>
        <v>0</v>
      </c>
      <c r="AN1189" s="32" t="s">
        <v>1035</v>
      </c>
      <c r="AO1189" s="18" t="s">
        <v>1037</v>
      </c>
      <c r="AP1189" s="10" t="s">
        <v>119</v>
      </c>
    </row>
    <row r="1190" spans="1:42" s="10" customFormat="1" hidden="1" x14ac:dyDescent="0.3">
      <c r="A1190" s="213" t="s">
        <v>1444</v>
      </c>
      <c r="B1190" s="10" t="s">
        <v>4050</v>
      </c>
      <c r="C1190" s="213" t="s">
        <v>1445</v>
      </c>
      <c r="D1190" s="10" t="s">
        <v>4052</v>
      </c>
      <c r="E1190" s="213" t="s">
        <v>4183</v>
      </c>
      <c r="F1190" s="10" t="s">
        <v>4184</v>
      </c>
      <c r="G1190" s="213" t="s">
        <v>4241</v>
      </c>
      <c r="H1190" s="10" t="s">
        <v>4242</v>
      </c>
      <c r="I1190" s="213" t="s">
        <v>4243</v>
      </c>
      <c r="J1190" s="10" t="s">
        <v>4244</v>
      </c>
      <c r="K1190" s="213" t="s">
        <v>4245</v>
      </c>
      <c r="L1190" s="10" t="s">
        <v>4246</v>
      </c>
      <c r="N1190" s="16"/>
      <c r="O1190" s="16"/>
      <c r="P1190" s="16"/>
      <c r="Q1190" s="16"/>
      <c r="R1190" s="16"/>
      <c r="S1190" s="16"/>
      <c r="U1190" s="283" t="e">
        <v>#N/A</v>
      </c>
      <c r="V1190" s="10" t="s">
        <v>4249</v>
      </c>
      <c r="W1190" s="10">
        <v>1</v>
      </c>
      <c r="X1190" s="10">
        <v>0</v>
      </c>
      <c r="Y1190" s="10">
        <v>0</v>
      </c>
      <c r="Z1190" s="10">
        <v>0</v>
      </c>
      <c r="AA1190" s="10">
        <v>0</v>
      </c>
      <c r="AB1190" s="10">
        <v>0</v>
      </c>
      <c r="AC1190" s="316">
        <v>0</v>
      </c>
      <c r="AD1190" s="316">
        <v>1</v>
      </c>
      <c r="AE1190" s="302">
        <f t="shared" si="84"/>
        <v>0.25</v>
      </c>
      <c r="AF1190" s="32"/>
      <c r="AG1190" s="17">
        <v>0</v>
      </c>
      <c r="AH1190" s="32" t="s">
        <v>271</v>
      </c>
      <c r="AI1190" s="32" t="s">
        <v>271</v>
      </c>
      <c r="AJ1190" s="32">
        <v>0</v>
      </c>
      <c r="AK1190" s="214">
        <v>0</v>
      </c>
      <c r="AL1190" s="214" t="s">
        <v>271</v>
      </c>
      <c r="AM1190" s="17">
        <f t="shared" si="85"/>
        <v>0</v>
      </c>
      <c r="AN1190" s="10" t="s">
        <v>3875</v>
      </c>
      <c r="AO1190" s="18" t="s">
        <v>3877</v>
      </c>
      <c r="AP1190" s="10" t="s">
        <v>119</v>
      </c>
    </row>
    <row r="1191" spans="1:42" s="10" customFormat="1" hidden="1" x14ac:dyDescent="0.3">
      <c r="A1191" s="213" t="s">
        <v>1444</v>
      </c>
      <c r="B1191" s="10" t="s">
        <v>4050</v>
      </c>
      <c r="C1191" s="213" t="s">
        <v>1445</v>
      </c>
      <c r="D1191" s="10" t="s">
        <v>4052</v>
      </c>
      <c r="E1191" s="213" t="s">
        <v>4183</v>
      </c>
      <c r="F1191" s="10" t="s">
        <v>4184</v>
      </c>
      <c r="G1191" s="213" t="s">
        <v>4241</v>
      </c>
      <c r="H1191" s="10" t="s">
        <v>4242</v>
      </c>
      <c r="I1191" s="213" t="s">
        <v>4243</v>
      </c>
      <c r="J1191" s="10" t="s">
        <v>4244</v>
      </c>
      <c r="K1191" s="213" t="s">
        <v>4245</v>
      </c>
      <c r="L1191" s="10" t="s">
        <v>4246</v>
      </c>
      <c r="N1191" s="16"/>
      <c r="O1191" s="16"/>
      <c r="P1191" s="16"/>
      <c r="Q1191" s="16"/>
      <c r="R1191" s="16"/>
      <c r="S1191" s="16"/>
      <c r="U1191" s="283" t="e">
        <v>#N/A</v>
      </c>
      <c r="V1191" s="10" t="s">
        <v>4249</v>
      </c>
      <c r="W1191" s="10">
        <v>1</v>
      </c>
      <c r="X1191" s="10">
        <v>0</v>
      </c>
      <c r="Y1191" s="10">
        <v>0</v>
      </c>
      <c r="Z1191" s="10">
        <v>0</v>
      </c>
      <c r="AA1191" s="10">
        <v>0</v>
      </c>
      <c r="AB1191" s="10">
        <v>0</v>
      </c>
      <c r="AC1191" s="316">
        <v>0</v>
      </c>
      <c r="AD1191" s="316">
        <v>1</v>
      </c>
      <c r="AE1191" s="302">
        <f t="shared" si="84"/>
        <v>0.25</v>
      </c>
      <c r="AF1191" s="32"/>
      <c r="AG1191" s="17">
        <v>0</v>
      </c>
      <c r="AH1191" s="32" t="s">
        <v>271</v>
      </c>
      <c r="AI1191" s="32" t="s">
        <v>271</v>
      </c>
      <c r="AJ1191" s="32">
        <v>0</v>
      </c>
      <c r="AK1191" s="214">
        <v>0</v>
      </c>
      <c r="AL1191" s="214" t="s">
        <v>271</v>
      </c>
      <c r="AM1191" s="17">
        <f t="shared" si="85"/>
        <v>0</v>
      </c>
      <c r="AN1191" s="32" t="s">
        <v>4192</v>
      </c>
      <c r="AO1191" s="18" t="s">
        <v>1334</v>
      </c>
      <c r="AP1191" s="10" t="s">
        <v>119</v>
      </c>
    </row>
    <row r="1192" spans="1:42" s="10" customFormat="1" hidden="1" x14ac:dyDescent="0.3">
      <c r="A1192" s="213" t="s">
        <v>1444</v>
      </c>
      <c r="B1192" s="10" t="s">
        <v>4050</v>
      </c>
      <c r="C1192" s="213" t="s">
        <v>1445</v>
      </c>
      <c r="D1192" s="10" t="s">
        <v>4052</v>
      </c>
      <c r="E1192" s="213" t="s">
        <v>4183</v>
      </c>
      <c r="F1192" s="10" t="s">
        <v>4184</v>
      </c>
      <c r="G1192" s="213" t="s">
        <v>4241</v>
      </c>
      <c r="H1192" s="10" t="s">
        <v>4242</v>
      </c>
      <c r="I1192" s="213" t="s">
        <v>4243</v>
      </c>
      <c r="J1192" s="10" t="s">
        <v>4244</v>
      </c>
      <c r="K1192" s="213" t="s">
        <v>4245</v>
      </c>
      <c r="L1192" s="10" t="s">
        <v>4246</v>
      </c>
      <c r="N1192" s="16"/>
      <c r="O1192" s="16"/>
      <c r="P1192" s="16"/>
      <c r="Q1192" s="16"/>
      <c r="R1192" s="16"/>
      <c r="S1192" s="16"/>
      <c r="U1192" s="283" t="e">
        <v>#N/A</v>
      </c>
      <c r="V1192" s="10" t="s">
        <v>4250</v>
      </c>
      <c r="W1192" s="10">
        <v>1</v>
      </c>
      <c r="X1192" s="10">
        <v>0</v>
      </c>
      <c r="Y1192" s="10">
        <v>0</v>
      </c>
      <c r="Z1192" s="10">
        <v>0</v>
      </c>
      <c r="AA1192" s="10">
        <v>0</v>
      </c>
      <c r="AB1192" s="10">
        <v>0</v>
      </c>
      <c r="AC1192" s="316">
        <v>0</v>
      </c>
      <c r="AD1192" s="316">
        <v>1</v>
      </c>
      <c r="AE1192" s="302">
        <f t="shared" si="84"/>
        <v>0.25</v>
      </c>
      <c r="AF1192" s="32"/>
      <c r="AG1192" s="17">
        <v>0</v>
      </c>
      <c r="AH1192" s="32" t="s">
        <v>271</v>
      </c>
      <c r="AI1192" s="32" t="s">
        <v>271</v>
      </c>
      <c r="AJ1192" s="32">
        <v>0.4</v>
      </c>
      <c r="AK1192" s="214"/>
      <c r="AL1192" s="214" t="s">
        <v>271</v>
      </c>
      <c r="AM1192" s="17">
        <f t="shared" si="85"/>
        <v>0</v>
      </c>
      <c r="AN1192" s="32" t="s">
        <v>1035</v>
      </c>
      <c r="AO1192" s="18" t="s">
        <v>1037</v>
      </c>
      <c r="AP1192" s="10" t="s">
        <v>4251</v>
      </c>
    </row>
    <row r="1193" spans="1:42" s="10" customFormat="1" hidden="1" x14ac:dyDescent="0.3">
      <c r="A1193" s="213" t="s">
        <v>1444</v>
      </c>
      <c r="B1193" s="10" t="s">
        <v>4050</v>
      </c>
      <c r="C1193" s="213" t="s">
        <v>1445</v>
      </c>
      <c r="D1193" s="10" t="s">
        <v>4052</v>
      </c>
      <c r="E1193" s="213" t="s">
        <v>4183</v>
      </c>
      <c r="F1193" s="10" t="s">
        <v>4184</v>
      </c>
      <c r="G1193" s="213" t="s">
        <v>4241</v>
      </c>
      <c r="H1193" s="10" t="s">
        <v>4242</v>
      </c>
      <c r="I1193" s="213" t="s">
        <v>4243</v>
      </c>
      <c r="J1193" s="10" t="s">
        <v>4244</v>
      </c>
      <c r="K1193" s="213" t="s">
        <v>4245</v>
      </c>
      <c r="L1193" s="10" t="s">
        <v>4246</v>
      </c>
      <c r="N1193" s="16"/>
      <c r="O1193" s="16"/>
      <c r="P1193" s="16"/>
      <c r="Q1193" s="16"/>
      <c r="R1193" s="16"/>
      <c r="S1193" s="16"/>
      <c r="U1193" s="283" t="e">
        <v>#N/A</v>
      </c>
      <c r="V1193" s="10" t="s">
        <v>4250</v>
      </c>
      <c r="W1193" s="10">
        <v>1</v>
      </c>
      <c r="X1193" s="10">
        <v>0</v>
      </c>
      <c r="Y1193" s="10">
        <v>0</v>
      </c>
      <c r="Z1193" s="10">
        <v>0</v>
      </c>
      <c r="AA1193" s="10">
        <v>0</v>
      </c>
      <c r="AB1193" s="10">
        <v>0</v>
      </c>
      <c r="AC1193" s="316">
        <v>0</v>
      </c>
      <c r="AD1193" s="316">
        <v>1</v>
      </c>
      <c r="AE1193" s="302">
        <f t="shared" si="84"/>
        <v>0.25</v>
      </c>
      <c r="AF1193" s="32"/>
      <c r="AG1193" s="17">
        <v>0</v>
      </c>
      <c r="AH1193" s="32" t="s">
        <v>271</v>
      </c>
      <c r="AI1193" s="32" t="s">
        <v>271</v>
      </c>
      <c r="AJ1193" s="32">
        <v>0.1</v>
      </c>
      <c r="AK1193" s="214"/>
      <c r="AL1193" s="214" t="s">
        <v>271</v>
      </c>
      <c r="AM1193" s="17">
        <f t="shared" si="85"/>
        <v>0</v>
      </c>
      <c r="AN1193" s="32" t="s">
        <v>321</v>
      </c>
      <c r="AO1193" s="18" t="s">
        <v>1066</v>
      </c>
      <c r="AP1193" s="10" t="s">
        <v>4118</v>
      </c>
    </row>
    <row r="1194" spans="1:42" s="10" customFormat="1" hidden="1" x14ac:dyDescent="0.3">
      <c r="A1194" s="213" t="s">
        <v>1444</v>
      </c>
      <c r="B1194" s="10" t="s">
        <v>4050</v>
      </c>
      <c r="C1194" s="213" t="s">
        <v>1445</v>
      </c>
      <c r="D1194" s="10" t="s">
        <v>4052</v>
      </c>
      <c r="E1194" s="213" t="s">
        <v>4183</v>
      </c>
      <c r="F1194" s="10" t="s">
        <v>4184</v>
      </c>
      <c r="G1194" s="213" t="s">
        <v>4241</v>
      </c>
      <c r="H1194" s="10" t="s">
        <v>4242</v>
      </c>
      <c r="I1194" s="213" t="s">
        <v>4252</v>
      </c>
      <c r="J1194" s="10" t="s">
        <v>4253</v>
      </c>
      <c r="K1194" s="213" t="s">
        <v>4254</v>
      </c>
      <c r="L1194" s="10" t="s">
        <v>4255</v>
      </c>
      <c r="M1194" s="10" t="s">
        <v>4255</v>
      </c>
      <c r="N1194" s="16">
        <v>0</v>
      </c>
      <c r="O1194" s="16" t="s">
        <v>271</v>
      </c>
      <c r="P1194" s="16" t="s">
        <v>271</v>
      </c>
      <c r="Q1194" s="16">
        <v>1</v>
      </c>
      <c r="R1194" s="16" t="s">
        <v>271</v>
      </c>
      <c r="S1194" s="16" t="s">
        <v>271</v>
      </c>
      <c r="T1194" s="10" t="s">
        <v>1035</v>
      </c>
      <c r="U1194" s="283" t="s">
        <v>1037</v>
      </c>
      <c r="V1194" s="10" t="s">
        <v>4256</v>
      </c>
      <c r="W1194" s="10">
        <v>1</v>
      </c>
      <c r="X1194" s="10">
        <v>0</v>
      </c>
      <c r="Y1194" s="10">
        <v>0</v>
      </c>
      <c r="Z1194" s="10">
        <v>0</v>
      </c>
      <c r="AA1194" s="10">
        <v>0</v>
      </c>
      <c r="AB1194" s="10">
        <v>0</v>
      </c>
      <c r="AC1194" s="316">
        <v>0</v>
      </c>
      <c r="AD1194" s="316">
        <v>1</v>
      </c>
      <c r="AE1194" s="302">
        <f t="shared" si="84"/>
        <v>0.25</v>
      </c>
      <c r="AF1194" s="32"/>
      <c r="AG1194" s="17">
        <v>0</v>
      </c>
      <c r="AH1194" s="32" t="s">
        <v>2112</v>
      </c>
      <c r="AI1194" s="32" t="s">
        <v>2112</v>
      </c>
      <c r="AJ1194" s="32">
        <v>0.5</v>
      </c>
      <c r="AK1194" s="214"/>
      <c r="AL1194" s="214" t="s">
        <v>271</v>
      </c>
      <c r="AM1194" s="17">
        <f t="shared" si="85"/>
        <v>0</v>
      </c>
      <c r="AN1194" s="32" t="s">
        <v>1035</v>
      </c>
      <c r="AO1194" s="18" t="s">
        <v>1037</v>
      </c>
      <c r="AP1194" s="10" t="s">
        <v>4257</v>
      </c>
    </row>
    <row r="1195" spans="1:42" s="10" customFormat="1" hidden="1" x14ac:dyDescent="0.3">
      <c r="A1195" s="213" t="s">
        <v>1444</v>
      </c>
      <c r="B1195" s="10" t="s">
        <v>4050</v>
      </c>
      <c r="C1195" s="213" t="s">
        <v>1445</v>
      </c>
      <c r="D1195" s="10" t="s">
        <v>4052</v>
      </c>
      <c r="E1195" s="213" t="s">
        <v>4183</v>
      </c>
      <c r="F1195" s="10" t="s">
        <v>4184</v>
      </c>
      <c r="G1195" s="213" t="s">
        <v>4258</v>
      </c>
      <c r="H1195" s="10" t="s">
        <v>4259</v>
      </c>
      <c r="K1195" s="213" t="s">
        <v>4260</v>
      </c>
      <c r="L1195" s="10" t="s">
        <v>4261</v>
      </c>
      <c r="M1195" s="10" t="s">
        <v>4262</v>
      </c>
      <c r="N1195" s="16" t="s">
        <v>271</v>
      </c>
      <c r="O1195" s="16">
        <v>60</v>
      </c>
      <c r="P1195" s="16">
        <v>70</v>
      </c>
      <c r="Q1195" s="16">
        <v>80</v>
      </c>
      <c r="R1195" s="16">
        <v>90</v>
      </c>
      <c r="S1195" s="16">
        <v>95</v>
      </c>
      <c r="T1195" s="10" t="s">
        <v>1035</v>
      </c>
      <c r="U1195" s="283" t="s">
        <v>1037</v>
      </c>
      <c r="V1195" s="10" t="s">
        <v>4060</v>
      </c>
      <c r="W1195" s="10">
        <v>1</v>
      </c>
      <c r="X1195" s="10">
        <v>0</v>
      </c>
      <c r="Y1195" s="10">
        <v>0</v>
      </c>
      <c r="Z1195" s="10">
        <v>1</v>
      </c>
      <c r="AA1195" s="10">
        <v>1</v>
      </c>
      <c r="AB1195" s="10">
        <v>0</v>
      </c>
      <c r="AC1195" s="316">
        <v>0</v>
      </c>
      <c r="AD1195" s="316">
        <v>1</v>
      </c>
      <c r="AE1195" s="302">
        <f t="shared" si="84"/>
        <v>0.5</v>
      </c>
      <c r="AF1195" s="32"/>
      <c r="AG1195" s="17">
        <v>0</v>
      </c>
      <c r="AH1195" s="32">
        <v>2</v>
      </c>
      <c r="AI1195" s="32">
        <v>2</v>
      </c>
      <c r="AJ1195" s="32">
        <v>2</v>
      </c>
      <c r="AK1195" s="214">
        <v>0.5</v>
      </c>
      <c r="AL1195" s="214">
        <v>0.5</v>
      </c>
      <c r="AM1195" s="17">
        <f t="shared" si="85"/>
        <v>1</v>
      </c>
      <c r="AN1195" s="32" t="s">
        <v>1035</v>
      </c>
      <c r="AO1195" s="18" t="s">
        <v>1037</v>
      </c>
      <c r="AP1195" s="10" t="s">
        <v>4263</v>
      </c>
    </row>
    <row r="1196" spans="1:42" s="10" customFormat="1" hidden="1" x14ac:dyDescent="0.3">
      <c r="A1196" s="213" t="s">
        <v>1444</v>
      </c>
      <c r="B1196" s="10" t="s">
        <v>4050</v>
      </c>
      <c r="C1196" s="213" t="s">
        <v>1445</v>
      </c>
      <c r="D1196" s="10" t="s">
        <v>4052</v>
      </c>
      <c r="E1196" s="213" t="s">
        <v>4183</v>
      </c>
      <c r="F1196" s="10" t="s">
        <v>4184</v>
      </c>
      <c r="G1196" s="213" t="s">
        <v>4258</v>
      </c>
      <c r="H1196" s="10" t="s">
        <v>4259</v>
      </c>
      <c r="K1196" s="213" t="s">
        <v>4260</v>
      </c>
      <c r="L1196" s="10" t="s">
        <v>4261</v>
      </c>
      <c r="M1196" s="10" t="s">
        <v>4264</v>
      </c>
      <c r="N1196" s="16" t="s">
        <v>271</v>
      </c>
      <c r="O1196" s="16">
        <v>0</v>
      </c>
      <c r="P1196" s="16">
        <v>1</v>
      </c>
      <c r="Q1196" s="16">
        <v>4</v>
      </c>
      <c r="R1196" s="16">
        <v>108</v>
      </c>
      <c r="S1196" s="16">
        <v>208</v>
      </c>
      <c r="T1196" s="10" t="s">
        <v>1035</v>
      </c>
      <c r="U1196" s="283" t="s">
        <v>1037</v>
      </c>
      <c r="V1196" s="10" t="s">
        <v>4265</v>
      </c>
      <c r="W1196" s="10">
        <v>1</v>
      </c>
      <c r="X1196" s="10">
        <v>0</v>
      </c>
      <c r="Y1196" s="10">
        <v>0</v>
      </c>
      <c r="Z1196" s="10">
        <v>1</v>
      </c>
      <c r="AA1196" s="10">
        <v>1</v>
      </c>
      <c r="AB1196" s="10">
        <v>0</v>
      </c>
      <c r="AC1196" s="316">
        <v>0</v>
      </c>
      <c r="AD1196" s="316">
        <v>1</v>
      </c>
      <c r="AE1196" s="302">
        <f t="shared" si="84"/>
        <v>0.5</v>
      </c>
      <c r="AF1196" s="32"/>
      <c r="AG1196" s="17">
        <v>0</v>
      </c>
      <c r="AH1196" s="32">
        <v>0.2</v>
      </c>
      <c r="AI1196" s="32">
        <v>1</v>
      </c>
      <c r="AJ1196" s="32">
        <v>1</v>
      </c>
      <c r="AK1196" s="214">
        <v>0.5</v>
      </c>
      <c r="AL1196" s="214">
        <v>0.5</v>
      </c>
      <c r="AM1196" s="17">
        <f t="shared" si="85"/>
        <v>1</v>
      </c>
      <c r="AN1196" s="32" t="s">
        <v>1035</v>
      </c>
      <c r="AO1196" s="18" t="s">
        <v>1037</v>
      </c>
      <c r="AP1196" s="10" t="s">
        <v>723</v>
      </c>
    </row>
    <row r="1197" spans="1:42" s="10" customFormat="1" hidden="1" x14ac:dyDescent="0.3">
      <c r="A1197" s="213" t="s">
        <v>1444</v>
      </c>
      <c r="B1197" s="10" t="s">
        <v>4050</v>
      </c>
      <c r="C1197" s="213" t="s">
        <v>1445</v>
      </c>
      <c r="D1197" s="10" t="s">
        <v>4052</v>
      </c>
      <c r="E1197" s="213" t="s">
        <v>4183</v>
      </c>
      <c r="F1197" s="10" t="s">
        <v>4184</v>
      </c>
      <c r="G1197" s="213" t="s">
        <v>4258</v>
      </c>
      <c r="H1197" s="10" t="s">
        <v>4259</v>
      </c>
      <c r="K1197" s="213" t="s">
        <v>4260</v>
      </c>
      <c r="L1197" s="10" t="s">
        <v>4261</v>
      </c>
      <c r="N1197" s="16"/>
      <c r="O1197" s="16"/>
      <c r="P1197" s="16"/>
      <c r="Q1197" s="16"/>
      <c r="R1197" s="16"/>
      <c r="S1197" s="16"/>
      <c r="U1197" s="283" t="e">
        <v>#N/A</v>
      </c>
      <c r="V1197" s="10" t="s">
        <v>4265</v>
      </c>
      <c r="W1197" s="10">
        <v>1</v>
      </c>
      <c r="X1197" s="10">
        <v>0</v>
      </c>
      <c r="Y1197" s="10">
        <v>0</v>
      </c>
      <c r="Z1197" s="10">
        <v>1</v>
      </c>
      <c r="AA1197" s="10">
        <v>1</v>
      </c>
      <c r="AB1197" s="10">
        <v>0</v>
      </c>
      <c r="AC1197" s="316">
        <v>0</v>
      </c>
      <c r="AD1197" s="316">
        <v>1</v>
      </c>
      <c r="AE1197" s="302">
        <f t="shared" si="84"/>
        <v>0.5</v>
      </c>
      <c r="AF1197" s="32"/>
      <c r="AG1197" s="17">
        <v>0</v>
      </c>
      <c r="AH1197" s="32" t="s">
        <v>271</v>
      </c>
      <c r="AI1197" s="32">
        <v>0.1</v>
      </c>
      <c r="AJ1197" s="32">
        <v>0.2</v>
      </c>
      <c r="AK1197" s="214">
        <v>0.2</v>
      </c>
      <c r="AL1197" s="214">
        <v>0.2</v>
      </c>
      <c r="AM1197" s="17">
        <f t="shared" si="85"/>
        <v>0.4</v>
      </c>
      <c r="AN1197" s="10" t="s">
        <v>2172</v>
      </c>
      <c r="AO1197" s="18" t="s">
        <v>2236</v>
      </c>
      <c r="AP1197" s="10" t="s">
        <v>4266</v>
      </c>
    </row>
    <row r="1198" spans="1:42" s="10" customFormat="1" hidden="1" x14ac:dyDescent="0.3">
      <c r="A1198" s="213" t="s">
        <v>1444</v>
      </c>
      <c r="B1198" s="10" t="s">
        <v>4050</v>
      </c>
      <c r="C1198" s="213" t="s">
        <v>1445</v>
      </c>
      <c r="D1198" s="10" t="s">
        <v>4052</v>
      </c>
      <c r="E1198" s="213" t="s">
        <v>4183</v>
      </c>
      <c r="F1198" s="10" t="s">
        <v>4184</v>
      </c>
      <c r="G1198" s="213" t="s">
        <v>4258</v>
      </c>
      <c r="H1198" s="10" t="s">
        <v>4259</v>
      </c>
      <c r="K1198" s="213" t="s">
        <v>4260</v>
      </c>
      <c r="L1198" s="10" t="s">
        <v>4261</v>
      </c>
      <c r="N1198" s="16"/>
      <c r="O1198" s="16"/>
      <c r="P1198" s="16"/>
      <c r="Q1198" s="16"/>
      <c r="R1198" s="16"/>
      <c r="S1198" s="16"/>
      <c r="U1198" s="283" t="e">
        <v>#N/A</v>
      </c>
      <c r="V1198" s="10" t="s">
        <v>4267</v>
      </c>
      <c r="W1198" s="10">
        <v>1</v>
      </c>
      <c r="X1198" s="10">
        <v>0</v>
      </c>
      <c r="Y1198" s="10">
        <v>0</v>
      </c>
      <c r="Z1198" s="10">
        <v>1</v>
      </c>
      <c r="AA1198" s="10">
        <v>1</v>
      </c>
      <c r="AB1198" s="10">
        <v>1</v>
      </c>
      <c r="AC1198" s="316">
        <v>0</v>
      </c>
      <c r="AD1198" s="316">
        <v>1</v>
      </c>
      <c r="AE1198" s="302">
        <f t="shared" si="84"/>
        <v>0.625</v>
      </c>
      <c r="AF1198" s="32"/>
      <c r="AG1198" s="17">
        <v>0</v>
      </c>
      <c r="AH1198" s="32" t="s">
        <v>271</v>
      </c>
      <c r="AI1198" s="32">
        <v>4.8</v>
      </c>
      <c r="AJ1198" s="32">
        <v>10</v>
      </c>
      <c r="AK1198" s="214">
        <v>10</v>
      </c>
      <c r="AL1198" s="214">
        <v>10</v>
      </c>
      <c r="AM1198" s="17">
        <f t="shared" si="85"/>
        <v>20</v>
      </c>
      <c r="AN1198" s="32" t="s">
        <v>4067</v>
      </c>
      <c r="AO1198" s="18" t="s">
        <v>1037</v>
      </c>
      <c r="AP1198" s="10" t="s">
        <v>4268</v>
      </c>
    </row>
    <row r="1199" spans="1:42" s="10" customFormat="1" hidden="1" x14ac:dyDescent="0.3">
      <c r="A1199" s="213" t="s">
        <v>1444</v>
      </c>
      <c r="B1199" s="10" t="s">
        <v>4050</v>
      </c>
      <c r="C1199" s="213" t="s">
        <v>1445</v>
      </c>
      <c r="D1199" s="10" t="s">
        <v>4052</v>
      </c>
      <c r="E1199" s="213" t="s">
        <v>4183</v>
      </c>
      <c r="F1199" s="10" t="s">
        <v>4184</v>
      </c>
      <c r="G1199" s="213" t="s">
        <v>4258</v>
      </c>
      <c r="H1199" s="10" t="s">
        <v>4259</v>
      </c>
      <c r="K1199" s="213" t="s">
        <v>4260</v>
      </c>
      <c r="L1199" s="10" t="s">
        <v>4261</v>
      </c>
      <c r="N1199" s="16"/>
      <c r="O1199" s="16"/>
      <c r="P1199" s="16"/>
      <c r="Q1199" s="16"/>
      <c r="R1199" s="16"/>
      <c r="S1199" s="16"/>
      <c r="U1199" s="283" t="e">
        <v>#N/A</v>
      </c>
      <c r="V1199" s="10" t="s">
        <v>4267</v>
      </c>
      <c r="W1199" s="10">
        <v>1</v>
      </c>
      <c r="X1199" s="10">
        <v>0</v>
      </c>
      <c r="Y1199" s="10">
        <v>0</v>
      </c>
      <c r="Z1199" s="10">
        <v>1</v>
      </c>
      <c r="AA1199" s="10">
        <v>1</v>
      </c>
      <c r="AB1199" s="10">
        <v>1</v>
      </c>
      <c r="AC1199" s="316">
        <v>0</v>
      </c>
      <c r="AD1199" s="316">
        <v>1</v>
      </c>
      <c r="AE1199" s="302">
        <f t="shared" si="84"/>
        <v>0.625</v>
      </c>
      <c r="AF1199" s="32"/>
      <c r="AG1199" s="17">
        <v>0</v>
      </c>
      <c r="AH1199" s="32" t="s">
        <v>271</v>
      </c>
      <c r="AI1199" s="32">
        <v>0.2</v>
      </c>
      <c r="AJ1199" s="32">
        <v>0.3</v>
      </c>
      <c r="AK1199" s="214">
        <v>0.4</v>
      </c>
      <c r="AL1199" s="214">
        <v>0.5</v>
      </c>
      <c r="AM1199" s="17">
        <f t="shared" si="85"/>
        <v>0.9</v>
      </c>
      <c r="AN1199" s="10" t="s">
        <v>63</v>
      </c>
      <c r="AO1199" s="18" t="s">
        <v>2510</v>
      </c>
      <c r="AP1199" s="10" t="s">
        <v>4268</v>
      </c>
    </row>
    <row r="1200" spans="1:42" s="10" customFormat="1" hidden="1" x14ac:dyDescent="0.3">
      <c r="A1200" s="213" t="s">
        <v>1444</v>
      </c>
      <c r="B1200" s="10" t="s">
        <v>4050</v>
      </c>
      <c r="C1200" s="213" t="s">
        <v>1445</v>
      </c>
      <c r="D1200" s="10" t="s">
        <v>4052</v>
      </c>
      <c r="E1200" s="213" t="s">
        <v>4183</v>
      </c>
      <c r="F1200" s="10" t="s">
        <v>4184</v>
      </c>
      <c r="G1200" s="213" t="s">
        <v>4258</v>
      </c>
      <c r="H1200" s="10" t="s">
        <v>4259</v>
      </c>
      <c r="K1200" s="213" t="s">
        <v>4260</v>
      </c>
      <c r="L1200" s="10" t="s">
        <v>4261</v>
      </c>
      <c r="N1200" s="16"/>
      <c r="O1200" s="16"/>
      <c r="P1200" s="16"/>
      <c r="Q1200" s="16"/>
      <c r="R1200" s="16"/>
      <c r="S1200" s="16"/>
      <c r="U1200" s="283" t="e">
        <v>#N/A</v>
      </c>
      <c r="V1200" s="10" t="s">
        <v>4269</v>
      </c>
      <c r="W1200" s="10">
        <v>1</v>
      </c>
      <c r="X1200" s="10">
        <v>0</v>
      </c>
      <c r="Y1200" s="10">
        <v>0</v>
      </c>
      <c r="Z1200" s="10">
        <v>1</v>
      </c>
      <c r="AA1200" s="10">
        <v>1</v>
      </c>
      <c r="AB1200" s="10">
        <v>1</v>
      </c>
      <c r="AC1200" s="316">
        <v>0</v>
      </c>
      <c r="AD1200" s="316">
        <v>1</v>
      </c>
      <c r="AE1200" s="302">
        <f t="shared" si="84"/>
        <v>0.625</v>
      </c>
      <c r="AF1200" s="32"/>
      <c r="AG1200" s="17">
        <v>0</v>
      </c>
      <c r="AH1200" s="32">
        <v>23</v>
      </c>
      <c r="AI1200" s="32">
        <v>23</v>
      </c>
      <c r="AJ1200" s="32">
        <v>23</v>
      </c>
      <c r="AK1200" s="214">
        <v>22</v>
      </c>
      <c r="AL1200" s="214">
        <v>22</v>
      </c>
      <c r="AM1200" s="17">
        <f t="shared" si="85"/>
        <v>44</v>
      </c>
      <c r="AN1200" s="32" t="s">
        <v>4067</v>
      </c>
      <c r="AO1200" s="18" t="s">
        <v>1037</v>
      </c>
      <c r="AP1200" s="10" t="s">
        <v>4270</v>
      </c>
    </row>
    <row r="1201" spans="1:42" s="10" customFormat="1" x14ac:dyDescent="0.3">
      <c r="A1201" s="213" t="s">
        <v>1444</v>
      </c>
      <c r="B1201" s="10" t="s">
        <v>4050</v>
      </c>
      <c r="C1201" s="213" t="s">
        <v>1445</v>
      </c>
      <c r="D1201" s="10" t="s">
        <v>4052</v>
      </c>
      <c r="E1201" s="213" t="s">
        <v>4183</v>
      </c>
      <c r="F1201" s="10" t="s">
        <v>4184</v>
      </c>
      <c r="G1201" s="213" t="s">
        <v>4271</v>
      </c>
      <c r="H1201" s="10" t="s">
        <v>4272</v>
      </c>
      <c r="K1201" s="213" t="s">
        <v>4273</v>
      </c>
      <c r="L1201" s="10" t="s">
        <v>4274</v>
      </c>
      <c r="M1201" s="10" t="s">
        <v>4275</v>
      </c>
      <c r="N1201" s="16"/>
      <c r="O1201" s="16">
        <v>100</v>
      </c>
      <c r="P1201" s="16">
        <v>100</v>
      </c>
      <c r="Q1201" s="16">
        <v>100</v>
      </c>
      <c r="R1201" s="16">
        <v>100</v>
      </c>
      <c r="S1201" s="16">
        <v>100</v>
      </c>
      <c r="T1201" s="10" t="s">
        <v>1035</v>
      </c>
      <c r="U1201" s="283" t="s">
        <v>1037</v>
      </c>
      <c r="V1201" s="10" t="s">
        <v>4276</v>
      </c>
      <c r="W1201" s="10">
        <v>1</v>
      </c>
      <c r="X1201" s="10">
        <v>0</v>
      </c>
      <c r="Y1201" s="10">
        <v>0</v>
      </c>
      <c r="Z1201" s="10">
        <v>1</v>
      </c>
      <c r="AA1201" s="10">
        <v>1</v>
      </c>
      <c r="AB1201" s="10">
        <v>1</v>
      </c>
      <c r="AC1201" s="316">
        <v>1</v>
      </c>
      <c r="AD1201" s="316">
        <v>1</v>
      </c>
      <c r="AE1201" s="302">
        <f t="shared" si="84"/>
        <v>0.75</v>
      </c>
      <c r="AF1201" s="32"/>
      <c r="AG1201" s="17">
        <v>0</v>
      </c>
      <c r="AH1201" s="32">
        <v>0.5</v>
      </c>
      <c r="AI1201" s="32">
        <v>0.5</v>
      </c>
      <c r="AJ1201" s="32">
        <v>0.5</v>
      </c>
      <c r="AK1201" s="214">
        <v>2.5</v>
      </c>
      <c r="AL1201" s="214">
        <v>2.5</v>
      </c>
      <c r="AM1201" s="17">
        <f t="shared" si="85"/>
        <v>5</v>
      </c>
      <c r="AN1201" s="32" t="s">
        <v>4067</v>
      </c>
      <c r="AO1201" s="18" t="s">
        <v>1037</v>
      </c>
      <c r="AP1201" s="10" t="s">
        <v>4277</v>
      </c>
    </row>
    <row r="1202" spans="1:42" s="10" customFormat="1" x14ac:dyDescent="0.3">
      <c r="A1202" s="213" t="s">
        <v>1444</v>
      </c>
      <c r="B1202" s="10" t="s">
        <v>4050</v>
      </c>
      <c r="C1202" s="213" t="s">
        <v>1445</v>
      </c>
      <c r="D1202" s="10" t="s">
        <v>4052</v>
      </c>
      <c r="E1202" s="213" t="s">
        <v>4183</v>
      </c>
      <c r="F1202" s="10" t="s">
        <v>4184</v>
      </c>
      <c r="G1202" s="213" t="s">
        <v>4271</v>
      </c>
      <c r="H1202" s="10" t="s">
        <v>4272</v>
      </c>
      <c r="K1202" s="213" t="s">
        <v>4273</v>
      </c>
      <c r="L1202" s="10" t="s">
        <v>4274</v>
      </c>
      <c r="N1202" s="16"/>
      <c r="O1202" s="16"/>
      <c r="P1202" s="16"/>
      <c r="Q1202" s="16"/>
      <c r="R1202" s="16"/>
      <c r="S1202" s="16"/>
      <c r="U1202" s="283" t="e">
        <v>#N/A</v>
      </c>
      <c r="V1202" s="10" t="s">
        <v>4276</v>
      </c>
      <c r="W1202" s="10">
        <v>1</v>
      </c>
      <c r="X1202" s="10">
        <v>0</v>
      </c>
      <c r="Y1202" s="10">
        <v>0</v>
      </c>
      <c r="Z1202" s="10">
        <v>1</v>
      </c>
      <c r="AA1202" s="10">
        <v>1</v>
      </c>
      <c r="AB1202" s="10">
        <v>1</v>
      </c>
      <c r="AC1202" s="316">
        <v>1</v>
      </c>
      <c r="AD1202" s="316">
        <v>1</v>
      </c>
      <c r="AE1202" s="302">
        <f t="shared" si="84"/>
        <v>0.75</v>
      </c>
      <c r="AF1202" s="32"/>
      <c r="AG1202" s="17">
        <v>0</v>
      </c>
      <c r="AH1202" s="32" t="s">
        <v>271</v>
      </c>
      <c r="AI1202" s="32">
        <v>1</v>
      </c>
      <c r="AJ1202" s="32">
        <v>1</v>
      </c>
      <c r="AK1202" s="214">
        <v>1</v>
      </c>
      <c r="AL1202" s="214">
        <v>1</v>
      </c>
      <c r="AM1202" s="17">
        <f t="shared" si="85"/>
        <v>2</v>
      </c>
      <c r="AN1202" s="18" t="s">
        <v>255</v>
      </c>
      <c r="AO1202" s="18" t="s">
        <v>1045</v>
      </c>
      <c r="AP1202" s="10" t="s">
        <v>4277</v>
      </c>
    </row>
    <row r="1203" spans="1:42" s="10" customFormat="1" x14ac:dyDescent="0.3">
      <c r="A1203" s="213" t="s">
        <v>1444</v>
      </c>
      <c r="B1203" s="10" t="s">
        <v>4050</v>
      </c>
      <c r="C1203" s="213" t="s">
        <v>1445</v>
      </c>
      <c r="D1203" s="10" t="s">
        <v>4052</v>
      </c>
      <c r="E1203" s="213" t="s">
        <v>4183</v>
      </c>
      <c r="F1203" s="10" t="s">
        <v>4184</v>
      </c>
      <c r="G1203" s="213" t="s">
        <v>4271</v>
      </c>
      <c r="H1203" s="10" t="s">
        <v>4272</v>
      </c>
      <c r="K1203" s="213" t="s">
        <v>4273</v>
      </c>
      <c r="L1203" s="10" t="s">
        <v>4274</v>
      </c>
      <c r="N1203" s="16"/>
      <c r="O1203" s="16"/>
      <c r="P1203" s="16"/>
      <c r="Q1203" s="16"/>
      <c r="R1203" s="16"/>
      <c r="S1203" s="16"/>
      <c r="U1203" s="283" t="e">
        <v>#N/A</v>
      </c>
      <c r="V1203" s="10" t="s">
        <v>4276</v>
      </c>
      <c r="W1203" s="10">
        <v>1</v>
      </c>
      <c r="X1203" s="10">
        <v>0</v>
      </c>
      <c r="Y1203" s="10">
        <v>0</v>
      </c>
      <c r="Z1203" s="10">
        <v>1</v>
      </c>
      <c r="AA1203" s="10">
        <v>1</v>
      </c>
      <c r="AB1203" s="10">
        <v>1</v>
      </c>
      <c r="AC1203" s="316">
        <v>1</v>
      </c>
      <c r="AD1203" s="316">
        <v>1</v>
      </c>
      <c r="AE1203" s="302">
        <f t="shared" si="84"/>
        <v>0.75</v>
      </c>
      <c r="AF1203" s="32"/>
      <c r="AG1203" s="17">
        <v>0</v>
      </c>
      <c r="AH1203" s="32" t="s">
        <v>271</v>
      </c>
      <c r="AI1203" s="32">
        <v>0.2</v>
      </c>
      <c r="AJ1203" s="32">
        <v>0.2</v>
      </c>
      <c r="AK1203" s="214">
        <v>0.2</v>
      </c>
      <c r="AL1203" s="214">
        <v>0.2</v>
      </c>
      <c r="AM1203" s="17">
        <f t="shared" si="85"/>
        <v>0.4</v>
      </c>
      <c r="AN1203" s="32" t="s">
        <v>3605</v>
      </c>
      <c r="AO1203" s="18" t="s">
        <v>4178</v>
      </c>
      <c r="AP1203" s="10" t="s">
        <v>4277</v>
      </c>
    </row>
    <row r="1204" spans="1:42" s="10" customFormat="1" hidden="1" x14ac:dyDescent="0.3">
      <c r="A1204" s="213" t="s">
        <v>1444</v>
      </c>
      <c r="B1204" s="10" t="s">
        <v>4050</v>
      </c>
      <c r="C1204" s="213" t="s">
        <v>1445</v>
      </c>
      <c r="D1204" s="10" t="s">
        <v>4052</v>
      </c>
      <c r="E1204" s="213" t="s">
        <v>4183</v>
      </c>
      <c r="F1204" s="10" t="s">
        <v>4184</v>
      </c>
      <c r="G1204" s="213" t="s">
        <v>4271</v>
      </c>
      <c r="H1204" s="10" t="s">
        <v>4272</v>
      </c>
      <c r="K1204" s="213" t="s">
        <v>4273</v>
      </c>
      <c r="L1204" s="10" t="s">
        <v>4274</v>
      </c>
      <c r="N1204" s="16"/>
      <c r="O1204" s="16"/>
      <c r="P1204" s="16"/>
      <c r="Q1204" s="16"/>
      <c r="R1204" s="16"/>
      <c r="S1204" s="16"/>
      <c r="U1204" s="283" t="e">
        <v>#N/A</v>
      </c>
      <c r="V1204" s="10" t="s">
        <v>4278</v>
      </c>
      <c r="W1204" s="10">
        <v>1</v>
      </c>
      <c r="X1204" s="10">
        <v>0</v>
      </c>
      <c r="Y1204" s="10">
        <v>0</v>
      </c>
      <c r="Z1204" s="10">
        <v>1</v>
      </c>
      <c r="AA1204" s="10">
        <v>1</v>
      </c>
      <c r="AB1204" s="10">
        <v>1</v>
      </c>
      <c r="AC1204" s="316">
        <v>0</v>
      </c>
      <c r="AD1204" s="316">
        <v>1</v>
      </c>
      <c r="AE1204" s="302">
        <f t="shared" si="84"/>
        <v>0.625</v>
      </c>
      <c r="AF1204" s="32"/>
      <c r="AG1204" s="17">
        <v>0</v>
      </c>
      <c r="AH1204" s="32" t="s">
        <v>271</v>
      </c>
      <c r="AI1204" s="32">
        <v>0.35</v>
      </c>
      <c r="AJ1204" s="32">
        <v>0.35</v>
      </c>
      <c r="AK1204" s="214">
        <v>0.35</v>
      </c>
      <c r="AL1204" s="214">
        <v>0.35</v>
      </c>
      <c r="AM1204" s="17">
        <f t="shared" si="85"/>
        <v>0.7</v>
      </c>
      <c r="AN1204" s="32" t="s">
        <v>4067</v>
      </c>
      <c r="AO1204" s="18" t="s">
        <v>1037</v>
      </c>
      <c r="AP1204" s="10" t="s">
        <v>3615</v>
      </c>
    </row>
    <row r="1205" spans="1:42" s="10" customFormat="1" hidden="1" x14ac:dyDescent="0.3">
      <c r="A1205" s="213" t="s">
        <v>1444</v>
      </c>
      <c r="B1205" s="10" t="s">
        <v>4050</v>
      </c>
      <c r="C1205" s="213" t="s">
        <v>1445</v>
      </c>
      <c r="D1205" s="10" t="s">
        <v>4052</v>
      </c>
      <c r="E1205" s="213" t="s">
        <v>4183</v>
      </c>
      <c r="F1205" s="10" t="s">
        <v>4184</v>
      </c>
      <c r="G1205" s="213" t="s">
        <v>4271</v>
      </c>
      <c r="H1205" s="10" t="s">
        <v>4272</v>
      </c>
      <c r="K1205" s="213" t="s">
        <v>4273</v>
      </c>
      <c r="L1205" s="10" t="s">
        <v>4274</v>
      </c>
      <c r="N1205" s="16"/>
      <c r="O1205" s="16"/>
      <c r="P1205" s="16"/>
      <c r="Q1205" s="16"/>
      <c r="R1205" s="16"/>
      <c r="S1205" s="16"/>
      <c r="U1205" s="283" t="e">
        <v>#N/A</v>
      </c>
      <c r="V1205" s="10" t="s">
        <v>4278</v>
      </c>
      <c r="W1205" s="10">
        <v>1</v>
      </c>
      <c r="X1205" s="10">
        <v>0</v>
      </c>
      <c r="Y1205" s="10">
        <v>0</v>
      </c>
      <c r="Z1205" s="10">
        <v>1</v>
      </c>
      <c r="AA1205" s="10">
        <v>1</v>
      </c>
      <c r="AB1205" s="10">
        <v>1</v>
      </c>
      <c r="AC1205" s="316">
        <v>0</v>
      </c>
      <c r="AD1205" s="316">
        <v>1</v>
      </c>
      <c r="AE1205" s="302">
        <f t="shared" si="84"/>
        <v>0.625</v>
      </c>
      <c r="AF1205" s="32"/>
      <c r="AG1205" s="17">
        <v>0</v>
      </c>
      <c r="AH1205" s="32" t="s">
        <v>271</v>
      </c>
      <c r="AI1205" s="32">
        <v>0.05</v>
      </c>
      <c r="AJ1205" s="32">
        <v>0.05</v>
      </c>
      <c r="AK1205" s="214">
        <v>0.05</v>
      </c>
      <c r="AL1205" s="214">
        <v>0.05</v>
      </c>
      <c r="AM1205" s="17">
        <f t="shared" si="85"/>
        <v>0.1</v>
      </c>
      <c r="AN1205" s="32" t="s">
        <v>321</v>
      </c>
      <c r="AO1205" s="18" t="s">
        <v>1066</v>
      </c>
      <c r="AP1205" s="10" t="s">
        <v>4177</v>
      </c>
    </row>
    <row r="1206" spans="1:42" s="10" customFormat="1" hidden="1" x14ac:dyDescent="0.3">
      <c r="A1206" s="213" t="s">
        <v>1444</v>
      </c>
      <c r="B1206" s="10" t="s">
        <v>4050</v>
      </c>
      <c r="C1206" s="213" t="s">
        <v>1445</v>
      </c>
      <c r="D1206" s="10" t="s">
        <v>4052</v>
      </c>
      <c r="E1206" s="213" t="s">
        <v>4183</v>
      </c>
      <c r="F1206" s="10" t="s">
        <v>4184</v>
      </c>
      <c r="G1206" s="213" t="s">
        <v>4271</v>
      </c>
      <c r="H1206" s="10" t="s">
        <v>4272</v>
      </c>
      <c r="K1206" s="213" t="s">
        <v>4273</v>
      </c>
      <c r="L1206" s="10" t="s">
        <v>4274</v>
      </c>
      <c r="N1206" s="16"/>
      <c r="O1206" s="16"/>
      <c r="P1206" s="16"/>
      <c r="Q1206" s="16"/>
      <c r="R1206" s="16"/>
      <c r="S1206" s="16"/>
      <c r="U1206" s="283" t="e">
        <v>#N/A</v>
      </c>
      <c r="V1206" s="10" t="s">
        <v>4279</v>
      </c>
      <c r="W1206" s="10">
        <v>1</v>
      </c>
      <c r="X1206" s="10">
        <v>0</v>
      </c>
      <c r="Y1206" s="10">
        <v>0</v>
      </c>
      <c r="Z1206" s="10">
        <v>1</v>
      </c>
      <c r="AA1206" s="10">
        <v>1</v>
      </c>
      <c r="AB1206" s="10">
        <v>0</v>
      </c>
      <c r="AC1206" s="316">
        <v>0</v>
      </c>
      <c r="AD1206" s="316">
        <v>1</v>
      </c>
      <c r="AE1206" s="302">
        <f t="shared" si="84"/>
        <v>0.5</v>
      </c>
      <c r="AF1206" s="32"/>
      <c r="AG1206" s="17">
        <v>0</v>
      </c>
      <c r="AH1206" s="32" t="s">
        <v>271</v>
      </c>
      <c r="AI1206" s="32">
        <v>0.6</v>
      </c>
      <c r="AJ1206" s="32">
        <v>0.6</v>
      </c>
      <c r="AK1206" s="214">
        <v>0.6</v>
      </c>
      <c r="AL1206" s="214">
        <v>0.6</v>
      </c>
      <c r="AM1206" s="17">
        <f t="shared" si="85"/>
        <v>1.2</v>
      </c>
      <c r="AN1206" s="32" t="s">
        <v>1035</v>
      </c>
      <c r="AO1206" s="18" t="s">
        <v>1037</v>
      </c>
      <c r="AP1206" s="10" t="s">
        <v>4280</v>
      </c>
    </row>
    <row r="1207" spans="1:42" s="10" customFormat="1" hidden="1" x14ac:dyDescent="0.3">
      <c r="A1207" s="213" t="s">
        <v>1444</v>
      </c>
      <c r="B1207" s="10" t="s">
        <v>4050</v>
      </c>
      <c r="C1207" s="213" t="s">
        <v>1445</v>
      </c>
      <c r="D1207" s="10" t="s">
        <v>4052</v>
      </c>
      <c r="E1207" s="213" t="s">
        <v>4183</v>
      </c>
      <c r="F1207" s="10" t="s">
        <v>4184</v>
      </c>
      <c r="G1207" s="213" t="s">
        <v>4271</v>
      </c>
      <c r="H1207" s="10" t="s">
        <v>4272</v>
      </c>
      <c r="K1207" s="213" t="s">
        <v>4273</v>
      </c>
      <c r="L1207" s="10" t="s">
        <v>4274</v>
      </c>
      <c r="N1207" s="16"/>
      <c r="O1207" s="16"/>
      <c r="P1207" s="16"/>
      <c r="Q1207" s="16"/>
      <c r="R1207" s="16"/>
      <c r="S1207" s="16"/>
      <c r="U1207" s="283" t="e">
        <v>#N/A</v>
      </c>
      <c r="V1207" s="10" t="s">
        <v>4281</v>
      </c>
      <c r="W1207" s="10">
        <v>1</v>
      </c>
      <c r="X1207" s="10">
        <v>0</v>
      </c>
      <c r="Y1207" s="10">
        <v>0</v>
      </c>
      <c r="Z1207" s="10">
        <v>0</v>
      </c>
      <c r="AA1207" s="10">
        <v>1</v>
      </c>
      <c r="AB1207" s="10">
        <v>0</v>
      </c>
      <c r="AC1207" s="316">
        <v>0</v>
      </c>
      <c r="AD1207" s="316">
        <v>1</v>
      </c>
      <c r="AE1207" s="302">
        <f t="shared" si="84"/>
        <v>0.375</v>
      </c>
      <c r="AF1207" s="32"/>
      <c r="AG1207" s="17">
        <v>0</v>
      </c>
      <c r="AH1207" s="32" t="s">
        <v>271</v>
      </c>
      <c r="AI1207" s="32">
        <v>0.1</v>
      </c>
      <c r="AJ1207" s="32">
        <v>0.1</v>
      </c>
      <c r="AK1207" s="214"/>
      <c r="AL1207" s="214"/>
      <c r="AM1207" s="17">
        <f t="shared" si="85"/>
        <v>0</v>
      </c>
      <c r="AN1207" s="32" t="s">
        <v>1035</v>
      </c>
      <c r="AO1207" s="18" t="s">
        <v>1037</v>
      </c>
      <c r="AP1207" s="10" t="s">
        <v>4282</v>
      </c>
    </row>
    <row r="1208" spans="1:42" s="10" customFormat="1" hidden="1" x14ac:dyDescent="0.3">
      <c r="A1208" s="213" t="s">
        <v>1444</v>
      </c>
      <c r="B1208" s="10" t="s">
        <v>4050</v>
      </c>
      <c r="C1208" s="213" t="s">
        <v>1445</v>
      </c>
      <c r="D1208" s="10" t="s">
        <v>4052</v>
      </c>
      <c r="E1208" s="213" t="s">
        <v>4183</v>
      </c>
      <c r="F1208" s="10" t="s">
        <v>4184</v>
      </c>
      <c r="G1208" s="213" t="s">
        <v>4271</v>
      </c>
      <c r="H1208" s="10" t="s">
        <v>4272</v>
      </c>
      <c r="K1208" s="213" t="s">
        <v>4273</v>
      </c>
      <c r="L1208" s="10" t="s">
        <v>4274</v>
      </c>
      <c r="N1208" s="16"/>
      <c r="O1208" s="16"/>
      <c r="P1208" s="16"/>
      <c r="Q1208" s="16"/>
      <c r="R1208" s="16"/>
      <c r="S1208" s="16"/>
      <c r="U1208" s="283" t="e">
        <v>#N/A</v>
      </c>
      <c r="V1208" s="10" t="s">
        <v>4281</v>
      </c>
      <c r="W1208" s="10">
        <v>1</v>
      </c>
      <c r="X1208" s="10">
        <v>0</v>
      </c>
      <c r="Y1208" s="10">
        <v>0</v>
      </c>
      <c r="Z1208" s="10">
        <v>0</v>
      </c>
      <c r="AA1208" s="10">
        <v>1</v>
      </c>
      <c r="AB1208" s="10">
        <v>0</v>
      </c>
      <c r="AC1208" s="316">
        <v>0</v>
      </c>
      <c r="AD1208" s="316">
        <v>1</v>
      </c>
      <c r="AE1208" s="302">
        <f t="shared" si="84"/>
        <v>0.375</v>
      </c>
      <c r="AF1208" s="32"/>
      <c r="AG1208" s="17">
        <v>0</v>
      </c>
      <c r="AH1208" s="32" t="s">
        <v>271</v>
      </c>
      <c r="AI1208" s="32">
        <v>0.2</v>
      </c>
      <c r="AJ1208" s="32">
        <v>0.2</v>
      </c>
      <c r="AK1208" s="214"/>
      <c r="AL1208" s="214"/>
      <c r="AM1208" s="17">
        <f t="shared" si="85"/>
        <v>0</v>
      </c>
      <c r="AN1208" s="18" t="s">
        <v>407</v>
      </c>
      <c r="AO1208" s="18" t="s">
        <v>409</v>
      </c>
      <c r="AP1208" s="10" t="s">
        <v>4283</v>
      </c>
    </row>
    <row r="1209" spans="1:42" s="10" customFormat="1" hidden="1" x14ac:dyDescent="0.3">
      <c r="A1209" s="213" t="s">
        <v>1444</v>
      </c>
      <c r="B1209" s="10" t="s">
        <v>4050</v>
      </c>
      <c r="C1209" s="213" t="s">
        <v>1445</v>
      </c>
      <c r="D1209" s="10" t="s">
        <v>4052</v>
      </c>
      <c r="E1209" s="213" t="s">
        <v>4183</v>
      </c>
      <c r="F1209" s="10" t="s">
        <v>4184</v>
      </c>
      <c r="G1209" s="213" t="s">
        <v>4284</v>
      </c>
      <c r="H1209" s="10" t="s">
        <v>4285</v>
      </c>
      <c r="K1209" s="213" t="s">
        <v>4286</v>
      </c>
      <c r="L1209" s="10" t="s">
        <v>4287</v>
      </c>
      <c r="M1209" s="10" t="s">
        <v>4288</v>
      </c>
      <c r="N1209" s="16"/>
      <c r="O1209" s="16">
        <v>0</v>
      </c>
      <c r="P1209" s="16">
        <v>0</v>
      </c>
      <c r="Q1209" s="16">
        <v>2</v>
      </c>
      <c r="R1209" s="16">
        <v>1</v>
      </c>
      <c r="S1209" s="16">
        <v>1</v>
      </c>
      <c r="T1209" s="10" t="s">
        <v>1035</v>
      </c>
      <c r="U1209" s="283" t="s">
        <v>1037</v>
      </c>
      <c r="V1209" s="10" t="s">
        <v>4289</v>
      </c>
      <c r="W1209" s="10">
        <v>1</v>
      </c>
      <c r="X1209" s="10">
        <v>0</v>
      </c>
      <c r="Y1209" s="10">
        <v>0</v>
      </c>
      <c r="Z1209" s="10">
        <v>1</v>
      </c>
      <c r="AA1209" s="10">
        <v>1</v>
      </c>
      <c r="AB1209" s="10">
        <v>1</v>
      </c>
      <c r="AC1209" s="316">
        <v>0</v>
      </c>
      <c r="AD1209" s="316">
        <v>1</v>
      </c>
      <c r="AE1209" s="302">
        <f t="shared" si="84"/>
        <v>0.625</v>
      </c>
      <c r="AF1209" s="32"/>
      <c r="AG1209" s="17">
        <v>0</v>
      </c>
      <c r="AH1209" s="32" t="s">
        <v>271</v>
      </c>
      <c r="AI1209" s="32">
        <v>0.5</v>
      </c>
      <c r="AJ1209" s="32">
        <v>0.5</v>
      </c>
      <c r="AK1209" s="214">
        <v>0.5</v>
      </c>
      <c r="AL1209" s="214">
        <v>0.5</v>
      </c>
      <c r="AM1209" s="17">
        <f t="shared" si="85"/>
        <v>1</v>
      </c>
      <c r="AN1209" s="32" t="s">
        <v>4067</v>
      </c>
      <c r="AO1209" s="18" t="s">
        <v>1037</v>
      </c>
      <c r="AP1209" s="10" t="s">
        <v>4290</v>
      </c>
    </row>
    <row r="1210" spans="1:42" s="10" customFormat="1" x14ac:dyDescent="0.3">
      <c r="A1210" s="213" t="s">
        <v>1444</v>
      </c>
      <c r="B1210" s="10" t="s">
        <v>4050</v>
      </c>
      <c r="C1210" s="213" t="s">
        <v>1445</v>
      </c>
      <c r="D1210" s="10" t="s">
        <v>4052</v>
      </c>
      <c r="E1210" s="213" t="s">
        <v>4183</v>
      </c>
      <c r="F1210" s="10" t="s">
        <v>4184</v>
      </c>
      <c r="G1210" s="213" t="s">
        <v>4284</v>
      </c>
      <c r="H1210" s="10" t="s">
        <v>4285</v>
      </c>
      <c r="K1210" s="213" t="s">
        <v>4286</v>
      </c>
      <c r="L1210" s="10" t="s">
        <v>4287</v>
      </c>
      <c r="N1210" s="16"/>
      <c r="O1210" s="16"/>
      <c r="P1210" s="16"/>
      <c r="Q1210" s="16"/>
      <c r="R1210" s="16"/>
      <c r="S1210" s="16"/>
      <c r="U1210" s="283" t="e">
        <v>#N/A</v>
      </c>
      <c r="V1210" s="10" t="s">
        <v>4291</v>
      </c>
      <c r="W1210" s="10">
        <v>1</v>
      </c>
      <c r="X1210" s="10">
        <v>1</v>
      </c>
      <c r="Y1210" s="10">
        <v>1</v>
      </c>
      <c r="Z1210" s="10">
        <v>1</v>
      </c>
      <c r="AA1210" s="10">
        <v>1</v>
      </c>
      <c r="AB1210" s="10">
        <v>0</v>
      </c>
      <c r="AC1210" s="316">
        <v>1</v>
      </c>
      <c r="AD1210" s="316">
        <v>1</v>
      </c>
      <c r="AE1210" s="302">
        <f t="shared" si="84"/>
        <v>0.875</v>
      </c>
      <c r="AF1210" s="32"/>
      <c r="AG1210" s="17">
        <v>0</v>
      </c>
      <c r="AH1210" s="32">
        <v>0.5</v>
      </c>
      <c r="AI1210" s="32">
        <v>0.3</v>
      </c>
      <c r="AJ1210" s="32">
        <v>0.3</v>
      </c>
      <c r="AK1210" s="214">
        <v>0.3</v>
      </c>
      <c r="AL1210" s="214">
        <v>0.6</v>
      </c>
      <c r="AM1210" s="17">
        <f t="shared" si="85"/>
        <v>0.89999999999999991</v>
      </c>
      <c r="AN1210" s="32" t="s">
        <v>4067</v>
      </c>
      <c r="AO1210" s="18" t="s">
        <v>1037</v>
      </c>
      <c r="AP1210" s="10" t="s">
        <v>4292</v>
      </c>
    </row>
    <row r="1211" spans="1:42" s="10" customFormat="1" x14ac:dyDescent="0.3">
      <c r="A1211" s="213" t="s">
        <v>1444</v>
      </c>
      <c r="B1211" s="10" t="s">
        <v>4050</v>
      </c>
      <c r="C1211" s="213" t="s">
        <v>1445</v>
      </c>
      <c r="D1211" s="10" t="s">
        <v>4052</v>
      </c>
      <c r="E1211" s="213" t="s">
        <v>4183</v>
      </c>
      <c r="F1211" s="10" t="s">
        <v>4184</v>
      </c>
      <c r="G1211" s="213" t="s">
        <v>4284</v>
      </c>
      <c r="H1211" s="10" t="s">
        <v>4285</v>
      </c>
      <c r="K1211" s="213" t="s">
        <v>4286</v>
      </c>
      <c r="L1211" s="10" t="s">
        <v>4287</v>
      </c>
      <c r="N1211" s="16"/>
      <c r="O1211" s="16"/>
      <c r="P1211" s="16"/>
      <c r="Q1211" s="16"/>
      <c r="R1211" s="16"/>
      <c r="S1211" s="16"/>
      <c r="U1211" s="283" t="e">
        <v>#N/A</v>
      </c>
      <c r="V1211" s="10" t="s">
        <v>4291</v>
      </c>
      <c r="W1211" s="10">
        <v>1</v>
      </c>
      <c r="X1211" s="10">
        <v>1</v>
      </c>
      <c r="Y1211" s="10">
        <v>1</v>
      </c>
      <c r="Z1211" s="10">
        <v>1</v>
      </c>
      <c r="AA1211" s="10">
        <v>1</v>
      </c>
      <c r="AB1211" s="10">
        <v>0</v>
      </c>
      <c r="AC1211" s="316">
        <v>1</v>
      </c>
      <c r="AD1211" s="316">
        <v>1</v>
      </c>
      <c r="AE1211" s="302">
        <f t="shared" si="84"/>
        <v>0.875</v>
      </c>
      <c r="AF1211" s="32"/>
      <c r="AG1211" s="17">
        <v>0</v>
      </c>
      <c r="AH1211" s="32" t="s">
        <v>271</v>
      </c>
      <c r="AI1211" s="32">
        <v>0.2</v>
      </c>
      <c r="AJ1211" s="32">
        <v>0.2</v>
      </c>
      <c r="AK1211" s="214">
        <v>0.2</v>
      </c>
      <c r="AL1211" s="214">
        <v>0.4</v>
      </c>
      <c r="AM1211" s="17">
        <f t="shared" si="85"/>
        <v>0.60000000000000009</v>
      </c>
      <c r="AN1211" s="18" t="s">
        <v>255</v>
      </c>
      <c r="AO1211" s="18" t="s">
        <v>1045</v>
      </c>
      <c r="AP1211" s="10" t="s">
        <v>4118</v>
      </c>
    </row>
    <row r="1212" spans="1:42" s="10" customFormat="1" hidden="1" x14ac:dyDescent="0.3">
      <c r="A1212" s="213" t="s">
        <v>1444</v>
      </c>
      <c r="B1212" s="10" t="s">
        <v>4050</v>
      </c>
      <c r="C1212" s="213" t="s">
        <v>1445</v>
      </c>
      <c r="D1212" s="10" t="s">
        <v>4052</v>
      </c>
      <c r="E1212" s="213" t="s">
        <v>4183</v>
      </c>
      <c r="F1212" s="10" t="s">
        <v>4184</v>
      </c>
      <c r="G1212" s="213" t="s">
        <v>4284</v>
      </c>
      <c r="H1212" s="10" t="s">
        <v>4285</v>
      </c>
      <c r="K1212" s="213" t="s">
        <v>4286</v>
      </c>
      <c r="L1212" s="10" t="s">
        <v>4287</v>
      </c>
      <c r="N1212" s="16"/>
      <c r="O1212" s="16"/>
      <c r="P1212" s="16"/>
      <c r="Q1212" s="16"/>
      <c r="R1212" s="16"/>
      <c r="S1212" s="16"/>
      <c r="U1212" s="283" t="e">
        <v>#N/A</v>
      </c>
      <c r="V1212" s="10" t="s">
        <v>4293</v>
      </c>
      <c r="W1212" s="10">
        <v>1</v>
      </c>
      <c r="X1212" s="10">
        <v>0</v>
      </c>
      <c r="Y1212" s="10">
        <v>0</v>
      </c>
      <c r="Z1212" s="10">
        <v>1</v>
      </c>
      <c r="AA1212" s="10">
        <v>1</v>
      </c>
      <c r="AB1212" s="10">
        <v>0</v>
      </c>
      <c r="AC1212" s="316">
        <v>1</v>
      </c>
      <c r="AD1212" s="316">
        <v>1</v>
      </c>
      <c r="AE1212" s="302">
        <f t="shared" si="84"/>
        <v>0.625</v>
      </c>
      <c r="AF1212" s="32"/>
      <c r="AG1212" s="17">
        <v>0</v>
      </c>
      <c r="AH1212" s="32" t="s">
        <v>271</v>
      </c>
      <c r="AI1212" s="32">
        <v>0.3</v>
      </c>
      <c r="AJ1212" s="32">
        <v>0.3</v>
      </c>
      <c r="AK1212" s="214">
        <v>0.3</v>
      </c>
      <c r="AL1212" s="214">
        <v>0.3</v>
      </c>
      <c r="AM1212" s="17">
        <f t="shared" si="85"/>
        <v>0.6</v>
      </c>
      <c r="AN1212" s="32" t="s">
        <v>4067</v>
      </c>
      <c r="AO1212" s="18" t="s">
        <v>1037</v>
      </c>
      <c r="AP1212" s="10" t="s">
        <v>4292</v>
      </c>
    </row>
    <row r="1213" spans="1:42" s="10" customFormat="1" hidden="1" x14ac:dyDescent="0.3">
      <c r="A1213" s="213" t="s">
        <v>1444</v>
      </c>
      <c r="B1213" s="10" t="s">
        <v>4050</v>
      </c>
      <c r="C1213" s="213" t="s">
        <v>1445</v>
      </c>
      <c r="D1213" s="10" t="s">
        <v>4052</v>
      </c>
      <c r="E1213" s="213" t="s">
        <v>4183</v>
      </c>
      <c r="F1213" s="10" t="s">
        <v>4184</v>
      </c>
      <c r="G1213" s="213" t="s">
        <v>4284</v>
      </c>
      <c r="H1213" s="10" t="s">
        <v>4285</v>
      </c>
      <c r="K1213" s="213" t="s">
        <v>4286</v>
      </c>
      <c r="L1213" s="10" t="s">
        <v>4287</v>
      </c>
      <c r="N1213" s="16"/>
      <c r="O1213" s="16"/>
      <c r="P1213" s="16"/>
      <c r="Q1213" s="16"/>
      <c r="R1213" s="16"/>
      <c r="S1213" s="16"/>
      <c r="U1213" s="283" t="e">
        <v>#N/A</v>
      </c>
      <c r="V1213" s="10" t="s">
        <v>4293</v>
      </c>
      <c r="W1213" s="10">
        <v>1</v>
      </c>
      <c r="X1213" s="10">
        <v>0</v>
      </c>
      <c r="Y1213" s="10">
        <v>0</v>
      </c>
      <c r="Z1213" s="10">
        <v>1</v>
      </c>
      <c r="AA1213" s="10">
        <v>1</v>
      </c>
      <c r="AB1213" s="10">
        <v>0</v>
      </c>
      <c r="AC1213" s="316">
        <v>1</v>
      </c>
      <c r="AD1213" s="316">
        <v>1</v>
      </c>
      <c r="AE1213" s="302">
        <f t="shared" si="84"/>
        <v>0.625</v>
      </c>
      <c r="AF1213" s="32"/>
      <c r="AG1213" s="17">
        <v>0</v>
      </c>
      <c r="AH1213" s="32" t="s">
        <v>271</v>
      </c>
      <c r="AI1213" s="32">
        <v>0.2</v>
      </c>
      <c r="AJ1213" s="32">
        <v>0.2</v>
      </c>
      <c r="AK1213" s="214">
        <v>0.2</v>
      </c>
      <c r="AL1213" s="214">
        <v>0.2</v>
      </c>
      <c r="AM1213" s="17">
        <f t="shared" si="85"/>
        <v>0.4</v>
      </c>
      <c r="AN1213" s="10" t="s">
        <v>280</v>
      </c>
      <c r="AO1213" s="18" t="s">
        <v>1151</v>
      </c>
      <c r="AP1213" s="10" t="s">
        <v>4118</v>
      </c>
    </row>
    <row r="1214" spans="1:42" s="10" customFormat="1" x14ac:dyDescent="0.3">
      <c r="A1214" s="213" t="s">
        <v>1444</v>
      </c>
      <c r="B1214" s="10" t="s">
        <v>4050</v>
      </c>
      <c r="C1214" s="213" t="s">
        <v>1445</v>
      </c>
      <c r="D1214" s="10" t="s">
        <v>4052</v>
      </c>
      <c r="E1214" s="213" t="s">
        <v>4183</v>
      </c>
      <c r="F1214" s="10" t="s">
        <v>4184</v>
      </c>
      <c r="G1214" s="213" t="s">
        <v>4294</v>
      </c>
      <c r="H1214" s="10" t="s">
        <v>4295</v>
      </c>
      <c r="K1214" s="213" t="s">
        <v>4296</v>
      </c>
      <c r="L1214" s="10" t="s">
        <v>4297</v>
      </c>
      <c r="M1214" s="10" t="s">
        <v>2288</v>
      </c>
      <c r="N1214" s="16">
        <v>0</v>
      </c>
      <c r="O1214" s="16">
        <v>0</v>
      </c>
      <c r="P1214" s="16">
        <v>1</v>
      </c>
      <c r="Q1214" s="16">
        <v>0</v>
      </c>
      <c r="R1214" s="16">
        <v>0</v>
      </c>
      <c r="S1214" s="16">
        <v>0</v>
      </c>
      <c r="T1214" s="10" t="s">
        <v>771</v>
      </c>
      <c r="U1214" s="283" t="s">
        <v>773</v>
      </c>
      <c r="V1214" s="10" t="s">
        <v>4298</v>
      </c>
      <c r="W1214" s="10">
        <v>1</v>
      </c>
      <c r="X1214" s="10">
        <v>0</v>
      </c>
      <c r="Y1214" s="10">
        <v>1</v>
      </c>
      <c r="Z1214" s="10">
        <v>1</v>
      </c>
      <c r="AA1214" s="10">
        <v>1</v>
      </c>
      <c r="AB1214" s="10">
        <v>1</v>
      </c>
      <c r="AC1214" s="316">
        <v>1</v>
      </c>
      <c r="AD1214" s="316">
        <v>0</v>
      </c>
      <c r="AE1214" s="302">
        <f t="shared" si="84"/>
        <v>0.75</v>
      </c>
      <c r="AF1214" s="32"/>
      <c r="AG1214" s="17">
        <v>0</v>
      </c>
      <c r="AH1214" s="32" t="s">
        <v>271</v>
      </c>
      <c r="AI1214" s="32">
        <v>0.1</v>
      </c>
      <c r="AJ1214" s="32">
        <v>0.1</v>
      </c>
      <c r="AK1214" s="214">
        <v>0.2</v>
      </c>
      <c r="AL1214" s="214">
        <v>0.25</v>
      </c>
      <c r="AM1214" s="17">
        <f t="shared" si="85"/>
        <v>0.45</v>
      </c>
      <c r="AN1214" s="32" t="s">
        <v>4067</v>
      </c>
      <c r="AO1214" s="18" t="s">
        <v>1037</v>
      </c>
      <c r="AP1214" s="10" t="s">
        <v>1536</v>
      </c>
    </row>
    <row r="1215" spans="1:42" s="10" customFormat="1" x14ac:dyDescent="0.3">
      <c r="A1215" s="213" t="s">
        <v>1444</v>
      </c>
      <c r="B1215" s="10" t="s">
        <v>4050</v>
      </c>
      <c r="C1215" s="213" t="s">
        <v>1445</v>
      </c>
      <c r="D1215" s="10" t="s">
        <v>4052</v>
      </c>
      <c r="E1215" s="213" t="s">
        <v>4183</v>
      </c>
      <c r="F1215" s="10" t="s">
        <v>4184</v>
      </c>
      <c r="G1215" s="213" t="s">
        <v>4294</v>
      </c>
      <c r="H1215" s="10" t="s">
        <v>4295</v>
      </c>
      <c r="K1215" s="213" t="s">
        <v>4296</v>
      </c>
      <c r="L1215" s="10" t="s">
        <v>4297</v>
      </c>
      <c r="N1215" s="16"/>
      <c r="O1215" s="16"/>
      <c r="P1215" s="16"/>
      <c r="Q1215" s="16"/>
      <c r="R1215" s="16"/>
      <c r="S1215" s="16"/>
      <c r="U1215" s="283" t="e">
        <v>#N/A</v>
      </c>
      <c r="V1215" s="10" t="s">
        <v>4298</v>
      </c>
      <c r="W1215" s="10">
        <v>1</v>
      </c>
      <c r="X1215" s="10">
        <v>0</v>
      </c>
      <c r="Y1215" s="10">
        <v>1</v>
      </c>
      <c r="Z1215" s="10">
        <v>1</v>
      </c>
      <c r="AA1215" s="10">
        <v>1</v>
      </c>
      <c r="AB1215" s="10">
        <v>1</v>
      </c>
      <c r="AC1215" s="316">
        <v>1</v>
      </c>
      <c r="AD1215" s="316">
        <v>0</v>
      </c>
      <c r="AE1215" s="302">
        <f t="shared" si="84"/>
        <v>0.75</v>
      </c>
      <c r="AF1215" s="32"/>
      <c r="AG1215" s="17">
        <v>0</v>
      </c>
      <c r="AH1215" s="32" t="s">
        <v>271</v>
      </c>
      <c r="AI1215" s="32">
        <v>0.05</v>
      </c>
      <c r="AJ1215" s="32">
        <v>0.05</v>
      </c>
      <c r="AK1215" s="214">
        <v>0.05</v>
      </c>
      <c r="AL1215" s="214">
        <v>0.05</v>
      </c>
      <c r="AM1215" s="17">
        <f t="shared" si="85"/>
        <v>0.1</v>
      </c>
      <c r="AN1215" s="18" t="s">
        <v>771</v>
      </c>
      <c r="AO1215" s="18" t="s">
        <v>773</v>
      </c>
      <c r="AP1215" s="10" t="s">
        <v>4062</v>
      </c>
    </row>
    <row r="1216" spans="1:42" s="10" customFormat="1" x14ac:dyDescent="0.3">
      <c r="A1216" s="213" t="s">
        <v>1444</v>
      </c>
      <c r="B1216" s="10" t="s">
        <v>4050</v>
      </c>
      <c r="C1216" s="213" t="s">
        <v>1445</v>
      </c>
      <c r="D1216" s="10" t="s">
        <v>4052</v>
      </c>
      <c r="E1216" s="213" t="s">
        <v>4183</v>
      </c>
      <c r="F1216" s="10" t="s">
        <v>4184</v>
      </c>
      <c r="G1216" s="213" t="s">
        <v>4294</v>
      </c>
      <c r="H1216" s="10" t="s">
        <v>4295</v>
      </c>
      <c r="K1216" s="213" t="s">
        <v>4296</v>
      </c>
      <c r="L1216" s="10" t="s">
        <v>4297</v>
      </c>
      <c r="N1216" s="16"/>
      <c r="O1216" s="16"/>
      <c r="P1216" s="16"/>
      <c r="Q1216" s="16"/>
      <c r="R1216" s="16"/>
      <c r="S1216" s="16"/>
      <c r="U1216" s="283" t="e">
        <v>#N/A</v>
      </c>
      <c r="V1216" s="10" t="s">
        <v>4298</v>
      </c>
      <c r="W1216" s="10">
        <v>1</v>
      </c>
      <c r="X1216" s="10">
        <v>0</v>
      </c>
      <c r="Y1216" s="10">
        <v>1</v>
      </c>
      <c r="Z1216" s="10">
        <v>1</v>
      </c>
      <c r="AA1216" s="10">
        <v>1</v>
      </c>
      <c r="AB1216" s="10">
        <v>1</v>
      </c>
      <c r="AC1216" s="316">
        <v>1</v>
      </c>
      <c r="AD1216" s="316">
        <v>0</v>
      </c>
      <c r="AE1216" s="302">
        <f t="shared" si="84"/>
        <v>0.75</v>
      </c>
      <c r="AF1216" s="32"/>
      <c r="AG1216" s="17">
        <v>0</v>
      </c>
      <c r="AH1216" s="32" t="s">
        <v>271</v>
      </c>
      <c r="AI1216" s="32">
        <v>0.1</v>
      </c>
      <c r="AJ1216" s="32">
        <v>0.1</v>
      </c>
      <c r="AK1216" s="214">
        <v>0.1</v>
      </c>
      <c r="AL1216" s="214">
        <v>0.1</v>
      </c>
      <c r="AM1216" s="17">
        <f t="shared" si="85"/>
        <v>0.2</v>
      </c>
      <c r="AN1216" s="10" t="s">
        <v>1563</v>
      </c>
      <c r="AO1216" s="18" t="s">
        <v>1565</v>
      </c>
      <c r="AP1216" s="10" t="s">
        <v>4299</v>
      </c>
    </row>
    <row r="1217" spans="1:42" s="10" customFormat="1" hidden="1" x14ac:dyDescent="0.3">
      <c r="A1217" s="213" t="s">
        <v>1444</v>
      </c>
      <c r="B1217" s="10" t="s">
        <v>4050</v>
      </c>
      <c r="C1217" s="213" t="s">
        <v>1445</v>
      </c>
      <c r="D1217" s="10" t="s">
        <v>4052</v>
      </c>
      <c r="E1217" s="213" t="s">
        <v>4183</v>
      </c>
      <c r="F1217" s="10" t="s">
        <v>4184</v>
      </c>
      <c r="G1217" s="213" t="s">
        <v>4300</v>
      </c>
      <c r="H1217" s="10" t="s">
        <v>4301</v>
      </c>
      <c r="K1217" s="213" t="s">
        <v>4302</v>
      </c>
      <c r="L1217" s="10" t="s">
        <v>4303</v>
      </c>
      <c r="M1217" s="10" t="s">
        <v>4304</v>
      </c>
      <c r="N1217" s="16">
        <v>0</v>
      </c>
      <c r="O1217" s="16">
        <v>1</v>
      </c>
      <c r="P1217" s="16">
        <v>1</v>
      </c>
      <c r="Q1217" s="16">
        <v>1</v>
      </c>
      <c r="R1217" s="16">
        <v>1</v>
      </c>
      <c r="S1217" s="16">
        <v>1</v>
      </c>
      <c r="T1217" s="10" t="s">
        <v>3875</v>
      </c>
      <c r="U1217" s="283" t="s">
        <v>3877</v>
      </c>
      <c r="V1217" s="10" t="s">
        <v>4305</v>
      </c>
      <c r="W1217" s="10">
        <v>1</v>
      </c>
      <c r="X1217" s="10">
        <v>0</v>
      </c>
      <c r="Y1217" s="10">
        <v>0</v>
      </c>
      <c r="Z1217" s="10">
        <v>1</v>
      </c>
      <c r="AA1217" s="10">
        <v>1</v>
      </c>
      <c r="AB1217" s="10">
        <v>0</v>
      </c>
      <c r="AC1217" s="316">
        <v>0</v>
      </c>
      <c r="AD1217" s="316">
        <v>1</v>
      </c>
      <c r="AE1217" s="302">
        <f t="shared" si="84"/>
        <v>0.5</v>
      </c>
      <c r="AF1217" s="32"/>
      <c r="AG1217" s="17">
        <v>0</v>
      </c>
      <c r="AH1217" s="32">
        <v>0</v>
      </c>
      <c r="AI1217" s="32">
        <v>0</v>
      </c>
      <c r="AJ1217" s="32">
        <v>0.6</v>
      </c>
      <c r="AK1217" s="214">
        <v>0.1</v>
      </c>
      <c r="AL1217" s="214">
        <v>0.1</v>
      </c>
      <c r="AM1217" s="17">
        <f t="shared" si="85"/>
        <v>0.2</v>
      </c>
      <c r="AN1217" s="32" t="s">
        <v>1035</v>
      </c>
      <c r="AO1217" s="18" t="s">
        <v>1037</v>
      </c>
      <c r="AP1217" s="10" t="s">
        <v>4306</v>
      </c>
    </row>
    <row r="1218" spans="1:42" s="10" customFormat="1" hidden="1" x14ac:dyDescent="0.3">
      <c r="A1218" s="213" t="s">
        <v>1444</v>
      </c>
      <c r="B1218" s="10" t="s">
        <v>4050</v>
      </c>
      <c r="C1218" s="213" t="s">
        <v>1445</v>
      </c>
      <c r="D1218" s="10" t="s">
        <v>4052</v>
      </c>
      <c r="E1218" s="213" t="s">
        <v>4183</v>
      </c>
      <c r="F1218" s="10" t="s">
        <v>4184</v>
      </c>
      <c r="G1218" s="213" t="s">
        <v>4300</v>
      </c>
      <c r="H1218" s="10" t="s">
        <v>4301</v>
      </c>
      <c r="K1218" s="213" t="s">
        <v>4302</v>
      </c>
      <c r="L1218" s="10" t="s">
        <v>4303</v>
      </c>
      <c r="N1218" s="16"/>
      <c r="O1218" s="16"/>
      <c r="P1218" s="16"/>
      <c r="Q1218" s="16"/>
      <c r="R1218" s="16"/>
      <c r="S1218" s="16"/>
      <c r="U1218" s="283" t="e">
        <v>#N/A</v>
      </c>
      <c r="V1218" s="10" t="s">
        <v>4305</v>
      </c>
      <c r="W1218" s="10">
        <v>1</v>
      </c>
      <c r="X1218" s="10">
        <v>0</v>
      </c>
      <c r="Y1218" s="10">
        <v>0</v>
      </c>
      <c r="Z1218" s="10">
        <v>1</v>
      </c>
      <c r="AA1218" s="10">
        <v>1</v>
      </c>
      <c r="AB1218" s="10">
        <v>0</v>
      </c>
      <c r="AC1218" s="316">
        <v>0</v>
      </c>
      <c r="AD1218" s="316">
        <v>1</v>
      </c>
      <c r="AE1218" s="302">
        <f t="shared" si="84"/>
        <v>0.5</v>
      </c>
      <c r="AF1218" s="32"/>
      <c r="AG1218" s="17">
        <v>0</v>
      </c>
      <c r="AH1218" s="32" t="s">
        <v>271</v>
      </c>
      <c r="AI1218" s="32" t="s">
        <v>271</v>
      </c>
      <c r="AJ1218" s="32">
        <v>0.5</v>
      </c>
      <c r="AK1218" s="214">
        <v>0.2</v>
      </c>
      <c r="AL1218" s="214">
        <v>0.1</v>
      </c>
      <c r="AM1218" s="17">
        <f t="shared" si="85"/>
        <v>0.30000000000000004</v>
      </c>
      <c r="AN1218" s="10" t="s">
        <v>1233</v>
      </c>
      <c r="AO1218" s="18" t="s">
        <v>1650</v>
      </c>
      <c r="AP1218" s="10" t="s">
        <v>4307</v>
      </c>
    </row>
    <row r="1219" spans="1:42" s="10" customFormat="1" hidden="1" x14ac:dyDescent="0.3">
      <c r="A1219" s="213" t="s">
        <v>1444</v>
      </c>
      <c r="B1219" s="10" t="s">
        <v>4050</v>
      </c>
      <c r="C1219" s="213" t="s">
        <v>1445</v>
      </c>
      <c r="D1219" s="10" t="s">
        <v>4052</v>
      </c>
      <c r="E1219" s="213" t="s">
        <v>4183</v>
      </c>
      <c r="F1219" s="10" t="s">
        <v>4184</v>
      </c>
      <c r="G1219" s="213" t="s">
        <v>4300</v>
      </c>
      <c r="H1219" s="10" t="s">
        <v>4301</v>
      </c>
      <c r="K1219" s="213" t="s">
        <v>4302</v>
      </c>
      <c r="L1219" s="10" t="s">
        <v>4303</v>
      </c>
      <c r="N1219" s="16"/>
      <c r="O1219" s="16"/>
      <c r="P1219" s="16"/>
      <c r="Q1219" s="16"/>
      <c r="R1219" s="16"/>
      <c r="S1219" s="16"/>
      <c r="U1219" s="283" t="e">
        <v>#N/A</v>
      </c>
      <c r="V1219" s="218" t="s">
        <v>4308</v>
      </c>
      <c r="AC1219" s="316">
        <v>0</v>
      </c>
      <c r="AD1219" s="316">
        <v>0</v>
      </c>
      <c r="AE1219" s="302">
        <f t="shared" si="84"/>
        <v>0</v>
      </c>
      <c r="AF1219" s="32"/>
      <c r="AG1219" s="17">
        <v>0</v>
      </c>
      <c r="AH1219" s="32">
        <v>0.2</v>
      </c>
      <c r="AI1219" s="32">
        <v>0.2</v>
      </c>
      <c r="AJ1219" s="32">
        <v>0.2</v>
      </c>
      <c r="AK1219" s="219"/>
      <c r="AL1219" s="219"/>
      <c r="AM1219" s="17">
        <f t="shared" si="85"/>
        <v>0</v>
      </c>
      <c r="AN1219" s="32" t="s">
        <v>1035</v>
      </c>
      <c r="AO1219" s="18" t="s">
        <v>1037</v>
      </c>
      <c r="AP1219" s="10" t="s">
        <v>4309</v>
      </c>
    </row>
    <row r="1220" spans="1:42" s="10" customFormat="1" hidden="1" x14ac:dyDescent="0.3">
      <c r="A1220" s="213" t="s">
        <v>1444</v>
      </c>
      <c r="B1220" s="10" t="s">
        <v>4050</v>
      </c>
      <c r="C1220" s="213" t="s">
        <v>1445</v>
      </c>
      <c r="D1220" s="10" t="s">
        <v>4052</v>
      </c>
      <c r="E1220" s="213" t="s">
        <v>4183</v>
      </c>
      <c r="F1220" s="10" t="s">
        <v>4184</v>
      </c>
      <c r="G1220" s="213" t="s">
        <v>4300</v>
      </c>
      <c r="H1220" s="10" t="s">
        <v>4301</v>
      </c>
      <c r="K1220" s="213" t="s">
        <v>4302</v>
      </c>
      <c r="L1220" s="10" t="s">
        <v>4303</v>
      </c>
      <c r="N1220" s="16"/>
      <c r="O1220" s="16"/>
      <c r="P1220" s="16"/>
      <c r="Q1220" s="16"/>
      <c r="R1220" s="16"/>
      <c r="S1220" s="16"/>
      <c r="U1220" s="283" t="e">
        <v>#N/A</v>
      </c>
      <c r="V1220" s="220" t="s">
        <v>4310</v>
      </c>
      <c r="AC1220" s="316">
        <v>0</v>
      </c>
      <c r="AD1220" s="316">
        <v>0</v>
      </c>
      <c r="AE1220" s="302">
        <f t="shared" si="84"/>
        <v>0</v>
      </c>
      <c r="AF1220" s="32"/>
      <c r="AG1220" s="17">
        <v>0</v>
      </c>
      <c r="AH1220" s="32" t="s">
        <v>271</v>
      </c>
      <c r="AI1220" s="32">
        <v>0.1</v>
      </c>
      <c r="AJ1220" s="32">
        <v>0.1</v>
      </c>
      <c r="AK1220" s="219"/>
      <c r="AL1220" s="219"/>
      <c r="AM1220" s="17">
        <f t="shared" si="85"/>
        <v>0</v>
      </c>
      <c r="AN1220" s="10" t="s">
        <v>1233</v>
      </c>
      <c r="AO1220" s="18" t="s">
        <v>1650</v>
      </c>
      <c r="AP1220" s="10" t="s">
        <v>4309</v>
      </c>
    </row>
    <row r="1221" spans="1:42" s="10" customFormat="1" hidden="1" x14ac:dyDescent="0.3">
      <c r="A1221" s="213" t="s">
        <v>1444</v>
      </c>
      <c r="B1221" s="10" t="s">
        <v>4050</v>
      </c>
      <c r="C1221" s="213" t="s">
        <v>1445</v>
      </c>
      <c r="D1221" s="10" t="s">
        <v>4052</v>
      </c>
      <c r="E1221" s="213" t="s">
        <v>4183</v>
      </c>
      <c r="F1221" s="10" t="s">
        <v>4184</v>
      </c>
      <c r="G1221" s="213" t="s">
        <v>4300</v>
      </c>
      <c r="H1221" s="10" t="s">
        <v>4301</v>
      </c>
      <c r="K1221" s="213" t="s">
        <v>4302</v>
      </c>
      <c r="L1221" s="10" t="s">
        <v>4303</v>
      </c>
      <c r="N1221" s="16"/>
      <c r="O1221" s="16"/>
      <c r="P1221" s="16"/>
      <c r="Q1221" s="16"/>
      <c r="R1221" s="16"/>
      <c r="S1221" s="16"/>
      <c r="U1221" s="283" t="e">
        <v>#N/A</v>
      </c>
      <c r="V1221" s="220" t="s">
        <v>4311</v>
      </c>
      <c r="AC1221" s="316">
        <v>0</v>
      </c>
      <c r="AD1221" s="316">
        <v>0</v>
      </c>
      <c r="AE1221" s="302">
        <f t="shared" si="84"/>
        <v>0</v>
      </c>
      <c r="AF1221" s="32"/>
      <c r="AG1221" s="17">
        <v>0</v>
      </c>
      <c r="AH1221" s="32" t="s">
        <v>271</v>
      </c>
      <c r="AI1221" s="32">
        <v>0</v>
      </c>
      <c r="AJ1221" s="32">
        <v>0</v>
      </c>
      <c r="AK1221" s="214">
        <v>0</v>
      </c>
      <c r="AL1221" s="214">
        <v>0</v>
      </c>
      <c r="AM1221" s="17">
        <f t="shared" si="85"/>
        <v>0</v>
      </c>
      <c r="AN1221" s="10" t="s">
        <v>3875</v>
      </c>
      <c r="AO1221" s="18" t="s">
        <v>3877</v>
      </c>
      <c r="AP1221" s="10" t="s">
        <v>4309</v>
      </c>
    </row>
    <row r="1222" spans="1:42" s="10" customFormat="1" hidden="1" x14ac:dyDescent="0.3">
      <c r="A1222" s="213" t="s">
        <v>1444</v>
      </c>
      <c r="B1222" s="10" t="s">
        <v>4050</v>
      </c>
      <c r="C1222" s="213" t="s">
        <v>1445</v>
      </c>
      <c r="D1222" s="10" t="s">
        <v>4052</v>
      </c>
      <c r="E1222" s="213" t="s">
        <v>4183</v>
      </c>
      <c r="F1222" s="10" t="s">
        <v>4184</v>
      </c>
      <c r="G1222" s="213" t="s">
        <v>4312</v>
      </c>
      <c r="H1222" s="10" t="s">
        <v>4313</v>
      </c>
      <c r="K1222" s="213" t="s">
        <v>4314</v>
      </c>
      <c r="L1222" s="10" t="s">
        <v>4315</v>
      </c>
      <c r="M1222" s="10" t="s">
        <v>4316</v>
      </c>
      <c r="N1222" s="16"/>
      <c r="O1222" s="16" t="s">
        <v>4317</v>
      </c>
      <c r="P1222" s="16" t="s">
        <v>4317</v>
      </c>
      <c r="Q1222" s="16" t="s">
        <v>4317</v>
      </c>
      <c r="R1222" s="16" t="s">
        <v>4317</v>
      </c>
      <c r="S1222" s="16" t="s">
        <v>4317</v>
      </c>
      <c r="T1222" s="10" t="s">
        <v>1035</v>
      </c>
      <c r="U1222" s="283" t="s">
        <v>1037</v>
      </c>
      <c r="V1222" s="10" t="s">
        <v>4318</v>
      </c>
      <c r="W1222" s="10">
        <v>1</v>
      </c>
      <c r="X1222" s="10">
        <v>0</v>
      </c>
      <c r="Y1222" s="10">
        <v>0</v>
      </c>
      <c r="Z1222" s="10">
        <v>1</v>
      </c>
      <c r="AA1222" s="10">
        <v>1</v>
      </c>
      <c r="AB1222" s="10">
        <v>1</v>
      </c>
      <c r="AC1222" s="316">
        <v>0</v>
      </c>
      <c r="AD1222" s="316">
        <v>1</v>
      </c>
      <c r="AE1222" s="302">
        <f t="shared" si="84"/>
        <v>0.625</v>
      </c>
      <c r="AF1222" s="32"/>
      <c r="AG1222" s="17">
        <v>0</v>
      </c>
      <c r="AH1222" s="32">
        <v>0.5</v>
      </c>
      <c r="AI1222" s="32">
        <v>2.5</v>
      </c>
      <c r="AJ1222" s="32">
        <v>2.5</v>
      </c>
      <c r="AK1222" s="214">
        <v>2.5</v>
      </c>
      <c r="AL1222" s="214">
        <v>2.5</v>
      </c>
      <c r="AM1222" s="17">
        <f t="shared" si="85"/>
        <v>5</v>
      </c>
      <c r="AN1222" s="32" t="s">
        <v>4067</v>
      </c>
      <c r="AO1222" s="18" t="s">
        <v>1037</v>
      </c>
      <c r="AP1222" s="10" t="s">
        <v>4319</v>
      </c>
    </row>
    <row r="1223" spans="1:42" s="10" customFormat="1" hidden="1" x14ac:dyDescent="0.3">
      <c r="A1223" s="213" t="s">
        <v>1444</v>
      </c>
      <c r="B1223" s="10" t="s">
        <v>4050</v>
      </c>
      <c r="C1223" s="213" t="s">
        <v>1445</v>
      </c>
      <c r="D1223" s="10" t="s">
        <v>4052</v>
      </c>
      <c r="E1223" s="213" t="s">
        <v>4183</v>
      </c>
      <c r="F1223" s="10" t="s">
        <v>4184</v>
      </c>
      <c r="G1223" s="213" t="s">
        <v>4312</v>
      </c>
      <c r="H1223" s="10" t="s">
        <v>4313</v>
      </c>
      <c r="K1223" s="213" t="s">
        <v>4314</v>
      </c>
      <c r="L1223" s="10" t="s">
        <v>4315</v>
      </c>
      <c r="N1223" s="16"/>
      <c r="O1223" s="16"/>
      <c r="P1223" s="16"/>
      <c r="Q1223" s="16"/>
      <c r="R1223" s="16"/>
      <c r="S1223" s="16"/>
      <c r="U1223" s="283" t="e">
        <v>#N/A</v>
      </c>
      <c r="V1223" s="10" t="s">
        <v>4318</v>
      </c>
      <c r="W1223" s="10">
        <v>1</v>
      </c>
      <c r="X1223" s="10">
        <v>0</v>
      </c>
      <c r="Y1223" s="10">
        <v>0</v>
      </c>
      <c r="Z1223" s="10">
        <v>1</v>
      </c>
      <c r="AA1223" s="10">
        <v>1</v>
      </c>
      <c r="AB1223" s="10">
        <v>1</v>
      </c>
      <c r="AC1223" s="316">
        <v>0</v>
      </c>
      <c r="AD1223" s="316">
        <v>1</v>
      </c>
      <c r="AE1223" s="302">
        <f t="shared" ref="AE1223:AE1286" si="86">SUM(W1223:AD1223)/8</f>
        <v>0.625</v>
      </c>
      <c r="AF1223" s="32"/>
      <c r="AG1223" s="17">
        <v>0</v>
      </c>
      <c r="AH1223" s="32" t="s">
        <v>271</v>
      </c>
      <c r="AI1223" s="32">
        <v>0</v>
      </c>
      <c r="AJ1223" s="32">
        <v>0</v>
      </c>
      <c r="AK1223" s="214">
        <v>0</v>
      </c>
      <c r="AL1223" s="214">
        <v>0</v>
      </c>
      <c r="AM1223" s="17">
        <f t="shared" ref="AM1223:AM1286" si="87">SUM(AK1223:AL1223)</f>
        <v>0</v>
      </c>
      <c r="AN1223" s="18" t="s">
        <v>407</v>
      </c>
      <c r="AO1223" s="18" t="s">
        <v>409</v>
      </c>
      <c r="AP1223" s="10" t="s">
        <v>119</v>
      </c>
    </row>
    <row r="1224" spans="1:42" s="10" customFormat="1" hidden="1" x14ac:dyDescent="0.3">
      <c r="A1224" s="213" t="s">
        <v>1444</v>
      </c>
      <c r="B1224" s="10" t="s">
        <v>4050</v>
      </c>
      <c r="C1224" s="213" t="s">
        <v>1445</v>
      </c>
      <c r="D1224" s="10" t="s">
        <v>4052</v>
      </c>
      <c r="E1224" s="213" t="s">
        <v>4183</v>
      </c>
      <c r="F1224" s="10" t="s">
        <v>4184</v>
      </c>
      <c r="G1224" s="213" t="s">
        <v>4312</v>
      </c>
      <c r="H1224" s="10" t="s">
        <v>4313</v>
      </c>
      <c r="K1224" s="213" t="s">
        <v>4314</v>
      </c>
      <c r="L1224" s="10" t="s">
        <v>4315</v>
      </c>
      <c r="N1224" s="16"/>
      <c r="O1224" s="16"/>
      <c r="P1224" s="16"/>
      <c r="Q1224" s="16"/>
      <c r="R1224" s="16"/>
      <c r="S1224" s="16"/>
      <c r="U1224" s="283" t="e">
        <v>#N/A</v>
      </c>
      <c r="V1224" s="10" t="s">
        <v>4318</v>
      </c>
      <c r="W1224" s="10">
        <v>1</v>
      </c>
      <c r="X1224" s="10">
        <v>0</v>
      </c>
      <c r="Y1224" s="10">
        <v>0</v>
      </c>
      <c r="Z1224" s="10">
        <v>1</v>
      </c>
      <c r="AA1224" s="10">
        <v>1</v>
      </c>
      <c r="AB1224" s="10">
        <v>1</v>
      </c>
      <c r="AC1224" s="316">
        <v>0</v>
      </c>
      <c r="AD1224" s="316">
        <v>1</v>
      </c>
      <c r="AE1224" s="302">
        <f t="shared" si="86"/>
        <v>0.625</v>
      </c>
      <c r="AF1224" s="32"/>
      <c r="AG1224" s="17">
        <v>0</v>
      </c>
      <c r="AH1224" s="32" t="s">
        <v>271</v>
      </c>
      <c r="AI1224" s="32">
        <v>0</v>
      </c>
      <c r="AJ1224" s="32">
        <v>0</v>
      </c>
      <c r="AK1224" s="214">
        <v>0</v>
      </c>
      <c r="AL1224" s="214">
        <v>0</v>
      </c>
      <c r="AM1224" s="17">
        <f t="shared" si="87"/>
        <v>0</v>
      </c>
      <c r="AN1224" s="10" t="s">
        <v>1167</v>
      </c>
      <c r="AO1224" s="18" t="s">
        <v>1170</v>
      </c>
      <c r="AP1224" s="10" t="s">
        <v>119</v>
      </c>
    </row>
    <row r="1225" spans="1:42" s="10" customFormat="1" hidden="1" x14ac:dyDescent="0.3">
      <c r="A1225" s="213" t="s">
        <v>1444</v>
      </c>
      <c r="B1225" s="10" t="s">
        <v>4050</v>
      </c>
      <c r="C1225" s="213" t="s">
        <v>1445</v>
      </c>
      <c r="D1225" s="10" t="s">
        <v>4052</v>
      </c>
      <c r="E1225" s="213" t="s">
        <v>4183</v>
      </c>
      <c r="F1225" s="10" t="s">
        <v>4184</v>
      </c>
      <c r="G1225" s="213" t="s">
        <v>4320</v>
      </c>
      <c r="H1225" s="10" t="s">
        <v>4321</v>
      </c>
      <c r="K1225" s="213" t="s">
        <v>4322</v>
      </c>
      <c r="L1225" s="10" t="s">
        <v>4323</v>
      </c>
      <c r="M1225" s="10" t="s">
        <v>4324</v>
      </c>
      <c r="N1225" s="16"/>
      <c r="O1225" s="16">
        <v>60</v>
      </c>
      <c r="P1225" s="16">
        <v>70</v>
      </c>
      <c r="Q1225" s="16">
        <v>75</v>
      </c>
      <c r="R1225" s="16">
        <v>80</v>
      </c>
      <c r="S1225" s="16">
        <v>90</v>
      </c>
      <c r="T1225" s="10" t="s">
        <v>1035</v>
      </c>
      <c r="U1225" s="283" t="s">
        <v>1037</v>
      </c>
      <c r="V1225" s="10" t="s">
        <v>4325</v>
      </c>
      <c r="W1225" s="10">
        <v>1</v>
      </c>
      <c r="X1225" s="10">
        <v>0</v>
      </c>
      <c r="Y1225" s="10">
        <v>0</v>
      </c>
      <c r="Z1225" s="10">
        <v>1</v>
      </c>
      <c r="AA1225" s="10">
        <v>1</v>
      </c>
      <c r="AB1225" s="10">
        <v>1</v>
      </c>
      <c r="AC1225" s="316">
        <v>0</v>
      </c>
      <c r="AD1225" s="316">
        <v>1</v>
      </c>
      <c r="AE1225" s="302">
        <f t="shared" si="86"/>
        <v>0.625</v>
      </c>
      <c r="AF1225" s="32"/>
      <c r="AG1225" s="17">
        <v>0</v>
      </c>
      <c r="AH1225" s="32">
        <v>0.5</v>
      </c>
      <c r="AI1225" s="32">
        <v>1.7</v>
      </c>
      <c r="AJ1225" s="32">
        <v>1.7</v>
      </c>
      <c r="AK1225" s="214">
        <v>1.7</v>
      </c>
      <c r="AL1225" s="214">
        <v>1.7</v>
      </c>
      <c r="AM1225" s="17">
        <f t="shared" si="87"/>
        <v>3.4</v>
      </c>
      <c r="AN1225" s="32" t="s">
        <v>4067</v>
      </c>
      <c r="AO1225" s="18" t="s">
        <v>1037</v>
      </c>
      <c r="AP1225" s="10" t="s">
        <v>4326</v>
      </c>
    </row>
    <row r="1226" spans="1:42" s="10" customFormat="1" hidden="1" x14ac:dyDescent="0.3">
      <c r="A1226" s="213" t="s">
        <v>1444</v>
      </c>
      <c r="B1226" s="10" t="s">
        <v>4050</v>
      </c>
      <c r="C1226" s="213" t="s">
        <v>1445</v>
      </c>
      <c r="D1226" s="10" t="s">
        <v>4052</v>
      </c>
      <c r="E1226" s="213" t="s">
        <v>4183</v>
      </c>
      <c r="F1226" s="10" t="s">
        <v>4184</v>
      </c>
      <c r="G1226" s="213" t="s">
        <v>4320</v>
      </c>
      <c r="H1226" s="10" t="s">
        <v>4321</v>
      </c>
      <c r="K1226" s="213" t="s">
        <v>4322</v>
      </c>
      <c r="L1226" s="10" t="s">
        <v>4323</v>
      </c>
      <c r="N1226" s="16"/>
      <c r="O1226" s="16"/>
      <c r="P1226" s="16"/>
      <c r="Q1226" s="16"/>
      <c r="R1226" s="16"/>
      <c r="S1226" s="16"/>
      <c r="U1226" s="283" t="e">
        <v>#N/A</v>
      </c>
      <c r="V1226" s="10" t="s">
        <v>4325</v>
      </c>
      <c r="W1226" s="10">
        <v>1</v>
      </c>
      <c r="X1226" s="10">
        <v>0</v>
      </c>
      <c r="Y1226" s="10">
        <v>0</v>
      </c>
      <c r="Z1226" s="10">
        <v>1</v>
      </c>
      <c r="AA1226" s="10">
        <v>1</v>
      </c>
      <c r="AB1226" s="10">
        <v>1</v>
      </c>
      <c r="AC1226" s="316">
        <v>0</v>
      </c>
      <c r="AD1226" s="316">
        <v>1</v>
      </c>
      <c r="AE1226" s="302">
        <f t="shared" si="86"/>
        <v>0.625</v>
      </c>
      <c r="AF1226" s="32"/>
      <c r="AG1226" s="17">
        <v>0</v>
      </c>
      <c r="AH1226" s="32" t="s">
        <v>271</v>
      </c>
      <c r="AI1226" s="32">
        <v>0</v>
      </c>
      <c r="AJ1226" s="32">
        <v>0</v>
      </c>
      <c r="AK1226" s="214">
        <v>0</v>
      </c>
      <c r="AL1226" s="214">
        <v>0</v>
      </c>
      <c r="AM1226" s="17">
        <f t="shared" si="87"/>
        <v>0</v>
      </c>
      <c r="AN1226" s="18" t="s">
        <v>771</v>
      </c>
      <c r="AO1226" s="18" t="s">
        <v>773</v>
      </c>
      <c r="AP1226" s="10" t="s">
        <v>4062</v>
      </c>
    </row>
    <row r="1227" spans="1:42" s="10" customFormat="1" hidden="1" x14ac:dyDescent="0.3">
      <c r="A1227" s="213" t="s">
        <v>1444</v>
      </c>
      <c r="B1227" s="10" t="s">
        <v>4050</v>
      </c>
      <c r="C1227" s="213" t="s">
        <v>1445</v>
      </c>
      <c r="D1227" s="10" t="s">
        <v>4052</v>
      </c>
      <c r="E1227" s="213" t="s">
        <v>4183</v>
      </c>
      <c r="F1227" s="10" t="s">
        <v>4184</v>
      </c>
      <c r="G1227" s="213" t="s">
        <v>4320</v>
      </c>
      <c r="H1227" s="10" t="s">
        <v>4321</v>
      </c>
      <c r="K1227" s="213" t="s">
        <v>4322</v>
      </c>
      <c r="L1227" s="10" t="s">
        <v>4323</v>
      </c>
      <c r="N1227" s="16"/>
      <c r="O1227" s="16"/>
      <c r="P1227" s="16"/>
      <c r="Q1227" s="16"/>
      <c r="R1227" s="16"/>
      <c r="S1227" s="16"/>
      <c r="U1227" s="283" t="e">
        <v>#N/A</v>
      </c>
      <c r="V1227" s="10" t="s">
        <v>4325</v>
      </c>
      <c r="W1227" s="10">
        <v>1</v>
      </c>
      <c r="X1227" s="10">
        <v>0</v>
      </c>
      <c r="Y1227" s="10">
        <v>0</v>
      </c>
      <c r="Z1227" s="10">
        <v>1</v>
      </c>
      <c r="AA1227" s="10">
        <v>1</v>
      </c>
      <c r="AB1227" s="10">
        <v>1</v>
      </c>
      <c r="AC1227" s="316">
        <v>0</v>
      </c>
      <c r="AD1227" s="316">
        <v>1</v>
      </c>
      <c r="AE1227" s="302">
        <f t="shared" si="86"/>
        <v>0.625</v>
      </c>
      <c r="AF1227" s="32"/>
      <c r="AG1227" s="17">
        <v>0</v>
      </c>
      <c r="AH1227" s="32" t="s">
        <v>271</v>
      </c>
      <c r="AI1227" s="32">
        <v>0</v>
      </c>
      <c r="AJ1227" s="32">
        <v>0</v>
      </c>
      <c r="AK1227" s="214">
        <v>0</v>
      </c>
      <c r="AL1227" s="214">
        <v>0</v>
      </c>
      <c r="AM1227" s="17">
        <f t="shared" si="87"/>
        <v>0</v>
      </c>
      <c r="AN1227" s="32" t="s">
        <v>3605</v>
      </c>
      <c r="AO1227" s="18" t="s">
        <v>4178</v>
      </c>
      <c r="AP1227" s="10" t="s">
        <v>119</v>
      </c>
    </row>
    <row r="1228" spans="1:42" s="10" customFormat="1" hidden="1" x14ac:dyDescent="0.3">
      <c r="A1228" s="213" t="s">
        <v>1444</v>
      </c>
      <c r="B1228" s="10" t="s">
        <v>4050</v>
      </c>
      <c r="C1228" s="213" t="s">
        <v>1445</v>
      </c>
      <c r="D1228" s="10" t="s">
        <v>4052</v>
      </c>
      <c r="E1228" s="213" t="s">
        <v>4183</v>
      </c>
      <c r="F1228" s="10" t="s">
        <v>4184</v>
      </c>
      <c r="G1228" s="213" t="s">
        <v>4320</v>
      </c>
      <c r="H1228" s="10" t="s">
        <v>4321</v>
      </c>
      <c r="K1228" s="213" t="s">
        <v>4322</v>
      </c>
      <c r="L1228" s="10" t="s">
        <v>4323</v>
      </c>
      <c r="N1228" s="16"/>
      <c r="O1228" s="16"/>
      <c r="P1228" s="16"/>
      <c r="Q1228" s="16"/>
      <c r="R1228" s="16"/>
      <c r="S1228" s="16"/>
      <c r="U1228" s="283" t="e">
        <v>#N/A</v>
      </c>
      <c r="V1228" s="10" t="s">
        <v>4325</v>
      </c>
      <c r="W1228" s="10">
        <v>1</v>
      </c>
      <c r="X1228" s="10">
        <v>0</v>
      </c>
      <c r="Y1228" s="10">
        <v>0</v>
      </c>
      <c r="Z1228" s="10">
        <v>1</v>
      </c>
      <c r="AA1228" s="10">
        <v>1</v>
      </c>
      <c r="AB1228" s="10">
        <v>1</v>
      </c>
      <c r="AC1228" s="316">
        <v>0</v>
      </c>
      <c r="AD1228" s="316">
        <v>1</v>
      </c>
      <c r="AE1228" s="302">
        <f t="shared" si="86"/>
        <v>0.625</v>
      </c>
      <c r="AF1228" s="32"/>
      <c r="AG1228" s="17">
        <v>0</v>
      </c>
      <c r="AH1228" s="32" t="s">
        <v>271</v>
      </c>
      <c r="AI1228" s="32">
        <v>0.4</v>
      </c>
      <c r="AJ1228" s="32">
        <v>0.6</v>
      </c>
      <c r="AK1228" s="214">
        <v>0.8</v>
      </c>
      <c r="AL1228" s="214">
        <v>1</v>
      </c>
      <c r="AM1228" s="17">
        <f t="shared" si="87"/>
        <v>1.8</v>
      </c>
      <c r="AN1228" s="18" t="s">
        <v>255</v>
      </c>
      <c r="AO1228" s="18" t="s">
        <v>1045</v>
      </c>
      <c r="AP1228" s="10" t="s">
        <v>4327</v>
      </c>
    </row>
    <row r="1229" spans="1:42" s="10" customFormat="1" x14ac:dyDescent="0.3">
      <c r="A1229" s="213" t="s">
        <v>1444</v>
      </c>
      <c r="B1229" s="10" t="s">
        <v>4050</v>
      </c>
      <c r="C1229" s="213" t="s">
        <v>1445</v>
      </c>
      <c r="D1229" s="10" t="s">
        <v>4052</v>
      </c>
      <c r="E1229" s="213" t="s">
        <v>4328</v>
      </c>
      <c r="F1229" s="10" t="s">
        <v>4329</v>
      </c>
      <c r="G1229" s="213" t="s">
        <v>4330</v>
      </c>
      <c r="H1229" s="10" t="s">
        <v>4331</v>
      </c>
      <c r="K1229" s="213" t="s">
        <v>4332</v>
      </c>
      <c r="L1229" s="10" t="s">
        <v>4333</v>
      </c>
      <c r="M1229" s="10" t="s">
        <v>4334</v>
      </c>
      <c r="N1229" s="16"/>
      <c r="O1229" s="16"/>
      <c r="P1229" s="16"/>
      <c r="Q1229" s="16"/>
      <c r="R1229" s="16"/>
      <c r="S1229" s="16"/>
      <c r="U1229" s="283" t="e">
        <v>#N/A</v>
      </c>
      <c r="V1229" s="10" t="s">
        <v>4335</v>
      </c>
      <c r="W1229" s="10">
        <v>1</v>
      </c>
      <c r="X1229" s="10">
        <v>1</v>
      </c>
      <c r="Y1229" s="10">
        <v>1</v>
      </c>
      <c r="Z1229" s="10">
        <v>1</v>
      </c>
      <c r="AA1229" s="10">
        <v>1</v>
      </c>
      <c r="AB1229" s="10">
        <v>1</v>
      </c>
      <c r="AC1229" s="316">
        <v>1</v>
      </c>
      <c r="AD1229" s="316">
        <v>1</v>
      </c>
      <c r="AE1229" s="302">
        <f t="shared" si="86"/>
        <v>1</v>
      </c>
      <c r="AF1229" s="32"/>
      <c r="AG1229" s="17">
        <v>0</v>
      </c>
      <c r="AH1229" s="32" t="s">
        <v>271</v>
      </c>
      <c r="AI1229" s="32">
        <v>0.5</v>
      </c>
      <c r="AJ1229" s="32">
        <v>0.5</v>
      </c>
      <c r="AK1229" s="214">
        <v>0.5</v>
      </c>
      <c r="AL1229" s="214">
        <v>0.5</v>
      </c>
      <c r="AM1229" s="17">
        <f t="shared" si="87"/>
        <v>1</v>
      </c>
      <c r="AN1229" s="32" t="s">
        <v>1035</v>
      </c>
      <c r="AO1229" s="18" t="s">
        <v>1037</v>
      </c>
      <c r="AP1229" s="10" t="s">
        <v>4336</v>
      </c>
    </row>
    <row r="1230" spans="1:42" s="10" customFormat="1" x14ac:dyDescent="0.3">
      <c r="A1230" s="213" t="s">
        <v>1444</v>
      </c>
      <c r="B1230" s="10" t="s">
        <v>4050</v>
      </c>
      <c r="C1230" s="213" t="s">
        <v>1445</v>
      </c>
      <c r="D1230" s="10" t="s">
        <v>4052</v>
      </c>
      <c r="E1230" s="213" t="s">
        <v>4328</v>
      </c>
      <c r="F1230" s="10" t="s">
        <v>4329</v>
      </c>
      <c r="G1230" s="213" t="s">
        <v>4330</v>
      </c>
      <c r="H1230" s="10" t="s">
        <v>4331</v>
      </c>
      <c r="K1230" s="213" t="s">
        <v>4332</v>
      </c>
      <c r="L1230" s="10" t="s">
        <v>4333</v>
      </c>
      <c r="M1230" s="10" t="s">
        <v>4337</v>
      </c>
      <c r="N1230" s="16"/>
      <c r="O1230" s="16"/>
      <c r="P1230" s="16"/>
      <c r="Q1230" s="16"/>
      <c r="R1230" s="16"/>
      <c r="S1230" s="16"/>
      <c r="U1230" s="283" t="e">
        <v>#N/A</v>
      </c>
      <c r="V1230" s="10" t="s">
        <v>4335</v>
      </c>
      <c r="W1230" s="10">
        <v>1</v>
      </c>
      <c r="X1230" s="10">
        <v>1</v>
      </c>
      <c r="Y1230" s="10">
        <v>1</v>
      </c>
      <c r="Z1230" s="10">
        <v>1</v>
      </c>
      <c r="AA1230" s="10">
        <v>1</v>
      </c>
      <c r="AB1230" s="10">
        <v>1</v>
      </c>
      <c r="AC1230" s="316">
        <v>1</v>
      </c>
      <c r="AD1230" s="316">
        <v>1</v>
      </c>
      <c r="AE1230" s="302">
        <f t="shared" si="86"/>
        <v>1</v>
      </c>
      <c r="AF1230" s="32"/>
      <c r="AG1230" s="17">
        <v>0</v>
      </c>
      <c r="AH1230" s="32" t="s">
        <v>271</v>
      </c>
      <c r="AI1230" s="32">
        <v>1</v>
      </c>
      <c r="AJ1230" s="32">
        <v>1</v>
      </c>
      <c r="AK1230" s="214">
        <v>1</v>
      </c>
      <c r="AL1230" s="214">
        <v>1</v>
      </c>
      <c r="AM1230" s="17">
        <f t="shared" si="87"/>
        <v>2</v>
      </c>
      <c r="AN1230" s="176" t="s">
        <v>921</v>
      </c>
      <c r="AO1230" s="18" t="s">
        <v>880</v>
      </c>
      <c r="AP1230" s="10" t="s">
        <v>4338</v>
      </c>
    </row>
    <row r="1231" spans="1:42" s="10" customFormat="1" hidden="1" x14ac:dyDescent="0.3">
      <c r="A1231" s="213" t="s">
        <v>1444</v>
      </c>
      <c r="B1231" s="10" t="s">
        <v>4050</v>
      </c>
      <c r="C1231" s="213" t="s">
        <v>1445</v>
      </c>
      <c r="D1231" s="10" t="s">
        <v>4052</v>
      </c>
      <c r="E1231" s="213" t="s">
        <v>4328</v>
      </c>
      <c r="F1231" s="10" t="s">
        <v>4329</v>
      </c>
      <c r="G1231" s="213" t="s">
        <v>4330</v>
      </c>
      <c r="H1231" s="10" t="s">
        <v>4331</v>
      </c>
      <c r="K1231" s="213" t="s">
        <v>4332</v>
      </c>
      <c r="L1231" s="10" t="s">
        <v>4333</v>
      </c>
      <c r="M1231" s="10" t="s">
        <v>4339</v>
      </c>
      <c r="N1231" s="16"/>
      <c r="O1231" s="16"/>
      <c r="P1231" s="16"/>
      <c r="Q1231" s="16"/>
      <c r="R1231" s="16"/>
      <c r="S1231" s="16"/>
      <c r="U1231" s="283" t="e">
        <v>#N/A</v>
      </c>
      <c r="V1231" s="10" t="s">
        <v>4340</v>
      </c>
      <c r="W1231" s="10">
        <v>1</v>
      </c>
      <c r="X1231" s="10">
        <v>0</v>
      </c>
      <c r="Y1231" s="10">
        <v>0</v>
      </c>
      <c r="Z1231" s="10">
        <v>1</v>
      </c>
      <c r="AA1231" s="10">
        <v>1</v>
      </c>
      <c r="AB1231" s="10">
        <v>1</v>
      </c>
      <c r="AC1231" s="316">
        <v>0</v>
      </c>
      <c r="AD1231" s="316">
        <v>1</v>
      </c>
      <c r="AE1231" s="302">
        <f t="shared" si="86"/>
        <v>0.625</v>
      </c>
      <c r="AF1231" s="32"/>
      <c r="AG1231" s="17">
        <v>0</v>
      </c>
      <c r="AH1231" s="32" t="s">
        <v>271</v>
      </c>
      <c r="AI1231" s="32">
        <v>0.2</v>
      </c>
      <c r="AJ1231" s="32">
        <v>0.2</v>
      </c>
      <c r="AK1231" s="214">
        <v>0.2</v>
      </c>
      <c r="AL1231" s="214">
        <v>0.2</v>
      </c>
      <c r="AM1231" s="17">
        <f t="shared" si="87"/>
        <v>0.4</v>
      </c>
      <c r="AN1231" s="32" t="s">
        <v>321</v>
      </c>
      <c r="AO1231" s="18" t="s">
        <v>1066</v>
      </c>
      <c r="AP1231" s="10" t="s">
        <v>4341</v>
      </c>
    </row>
    <row r="1232" spans="1:42" s="10" customFormat="1" hidden="1" x14ac:dyDescent="0.3">
      <c r="A1232" s="213" t="s">
        <v>1444</v>
      </c>
      <c r="B1232" s="10" t="s">
        <v>4050</v>
      </c>
      <c r="C1232" s="213" t="s">
        <v>1445</v>
      </c>
      <c r="D1232" s="10" t="s">
        <v>4052</v>
      </c>
      <c r="E1232" s="213" t="s">
        <v>4328</v>
      </c>
      <c r="F1232" s="10" t="s">
        <v>4329</v>
      </c>
      <c r="G1232" s="213" t="s">
        <v>4330</v>
      </c>
      <c r="H1232" s="10" t="s">
        <v>4331</v>
      </c>
      <c r="K1232" s="213" t="s">
        <v>4332</v>
      </c>
      <c r="L1232" s="10" t="s">
        <v>4333</v>
      </c>
      <c r="M1232" s="10" t="s">
        <v>4342</v>
      </c>
      <c r="N1232" s="16"/>
      <c r="O1232" s="16"/>
      <c r="P1232" s="16"/>
      <c r="Q1232" s="16"/>
      <c r="R1232" s="16"/>
      <c r="S1232" s="16"/>
      <c r="U1232" s="283" t="e">
        <v>#N/A</v>
      </c>
      <c r="V1232" s="10" t="s">
        <v>4340</v>
      </c>
      <c r="W1232" s="10">
        <v>1</v>
      </c>
      <c r="X1232" s="10">
        <v>0</v>
      </c>
      <c r="Y1232" s="10">
        <v>0</v>
      </c>
      <c r="Z1232" s="10">
        <v>1</v>
      </c>
      <c r="AA1232" s="10">
        <v>1</v>
      </c>
      <c r="AB1232" s="10">
        <v>1</v>
      </c>
      <c r="AC1232" s="316">
        <v>0</v>
      </c>
      <c r="AD1232" s="316">
        <v>1</v>
      </c>
      <c r="AE1232" s="302">
        <f t="shared" si="86"/>
        <v>0.625</v>
      </c>
      <c r="AF1232" s="32"/>
      <c r="AG1232" s="17">
        <v>0</v>
      </c>
      <c r="AH1232" s="32" t="s">
        <v>271</v>
      </c>
      <c r="AI1232" s="32">
        <v>0</v>
      </c>
      <c r="AJ1232" s="32">
        <v>0</v>
      </c>
      <c r="AK1232" s="214">
        <v>0</v>
      </c>
      <c r="AL1232" s="214">
        <v>0</v>
      </c>
      <c r="AM1232" s="17">
        <f t="shared" si="87"/>
        <v>0</v>
      </c>
      <c r="AN1232" s="10" t="s">
        <v>63</v>
      </c>
      <c r="AO1232" s="18" t="s">
        <v>2510</v>
      </c>
      <c r="AP1232" s="10" t="s">
        <v>119</v>
      </c>
    </row>
    <row r="1233" spans="1:42" s="10" customFormat="1" hidden="1" x14ac:dyDescent="0.3">
      <c r="A1233" s="213" t="s">
        <v>1444</v>
      </c>
      <c r="B1233" s="10" t="s">
        <v>4050</v>
      </c>
      <c r="C1233" s="213" t="s">
        <v>1445</v>
      </c>
      <c r="D1233" s="10" t="s">
        <v>4052</v>
      </c>
      <c r="E1233" s="213" t="s">
        <v>4328</v>
      </c>
      <c r="F1233" s="10" t="s">
        <v>4329</v>
      </c>
      <c r="G1233" s="213" t="s">
        <v>4330</v>
      </c>
      <c r="H1233" s="10" t="s">
        <v>4331</v>
      </c>
      <c r="K1233" s="213" t="s">
        <v>4332</v>
      </c>
      <c r="L1233" s="10" t="s">
        <v>4333</v>
      </c>
      <c r="N1233" s="16"/>
      <c r="O1233" s="16"/>
      <c r="P1233" s="16"/>
      <c r="Q1233" s="16"/>
      <c r="R1233" s="16"/>
      <c r="S1233" s="16"/>
      <c r="U1233" s="283" t="e">
        <v>#N/A</v>
      </c>
      <c r="V1233" s="10" t="s">
        <v>4343</v>
      </c>
      <c r="W1233" s="10">
        <v>1</v>
      </c>
      <c r="X1233" s="10">
        <v>0</v>
      </c>
      <c r="Y1233" s="10">
        <v>0</v>
      </c>
      <c r="Z1233" s="10">
        <v>1</v>
      </c>
      <c r="AA1233" s="10">
        <v>1</v>
      </c>
      <c r="AB1233" s="10">
        <v>1</v>
      </c>
      <c r="AC1233" s="316">
        <v>0</v>
      </c>
      <c r="AD1233" s="316">
        <v>1</v>
      </c>
      <c r="AE1233" s="302">
        <f t="shared" si="86"/>
        <v>0.625</v>
      </c>
      <c r="AF1233" s="32"/>
      <c r="AG1233" s="17">
        <v>0</v>
      </c>
      <c r="AH1233" s="32" t="s">
        <v>271</v>
      </c>
      <c r="AI1233" s="32">
        <v>0.2</v>
      </c>
      <c r="AJ1233" s="32">
        <v>0.2</v>
      </c>
      <c r="AK1233" s="214">
        <v>0.2</v>
      </c>
      <c r="AL1233" s="214">
        <v>0.2</v>
      </c>
      <c r="AM1233" s="17">
        <f t="shared" si="87"/>
        <v>0.4</v>
      </c>
      <c r="AN1233" s="10" t="s">
        <v>265</v>
      </c>
      <c r="AO1233" s="18" t="s">
        <v>350</v>
      </c>
      <c r="AP1233" s="10" t="s">
        <v>4344</v>
      </c>
    </row>
    <row r="1234" spans="1:42" s="10" customFormat="1" hidden="1" x14ac:dyDescent="0.3">
      <c r="A1234" s="213" t="s">
        <v>1444</v>
      </c>
      <c r="B1234" s="10" t="s">
        <v>4050</v>
      </c>
      <c r="C1234" s="213" t="s">
        <v>1445</v>
      </c>
      <c r="D1234" s="10" t="s">
        <v>4052</v>
      </c>
      <c r="E1234" s="213" t="s">
        <v>4328</v>
      </c>
      <c r="F1234" s="10" t="s">
        <v>4329</v>
      </c>
      <c r="G1234" s="213" t="s">
        <v>4330</v>
      </c>
      <c r="H1234" s="10" t="s">
        <v>4331</v>
      </c>
      <c r="K1234" s="213" t="s">
        <v>4332</v>
      </c>
      <c r="L1234" s="10" t="s">
        <v>4333</v>
      </c>
      <c r="N1234" s="16"/>
      <c r="O1234" s="16"/>
      <c r="P1234" s="16"/>
      <c r="Q1234" s="16"/>
      <c r="R1234" s="16"/>
      <c r="S1234" s="16"/>
      <c r="U1234" s="283" t="e">
        <v>#N/A</v>
      </c>
      <c r="V1234" s="10" t="s">
        <v>4343</v>
      </c>
      <c r="W1234" s="10">
        <v>1</v>
      </c>
      <c r="X1234" s="10">
        <v>0</v>
      </c>
      <c r="Y1234" s="10">
        <v>0</v>
      </c>
      <c r="Z1234" s="10">
        <v>1</v>
      </c>
      <c r="AA1234" s="10">
        <v>1</v>
      </c>
      <c r="AB1234" s="10">
        <v>1</v>
      </c>
      <c r="AC1234" s="316">
        <v>0</v>
      </c>
      <c r="AD1234" s="316">
        <v>1</v>
      </c>
      <c r="AE1234" s="302">
        <f t="shared" si="86"/>
        <v>0.625</v>
      </c>
      <c r="AF1234" s="32"/>
      <c r="AG1234" s="17">
        <v>0</v>
      </c>
      <c r="AH1234" s="32" t="s">
        <v>271</v>
      </c>
      <c r="AI1234" s="32">
        <v>0.1</v>
      </c>
      <c r="AJ1234" s="32">
        <v>0.1</v>
      </c>
      <c r="AK1234" s="214">
        <v>0.2</v>
      </c>
      <c r="AL1234" s="214">
        <v>0.2</v>
      </c>
      <c r="AM1234" s="17">
        <f t="shared" si="87"/>
        <v>0.4</v>
      </c>
      <c r="AN1234" s="18" t="s">
        <v>869</v>
      </c>
      <c r="AO1234" s="18" t="s">
        <v>871</v>
      </c>
      <c r="AP1234" s="10" t="s">
        <v>4345</v>
      </c>
    </row>
    <row r="1235" spans="1:42" s="10" customFormat="1" hidden="1" x14ac:dyDescent="0.3">
      <c r="A1235" s="213" t="s">
        <v>1444</v>
      </c>
      <c r="B1235" s="10" t="s">
        <v>4050</v>
      </c>
      <c r="C1235" s="213" t="s">
        <v>1445</v>
      </c>
      <c r="D1235" s="10" t="s">
        <v>4052</v>
      </c>
      <c r="E1235" s="213" t="s">
        <v>4328</v>
      </c>
      <c r="F1235" s="10" t="s">
        <v>4329</v>
      </c>
      <c r="G1235" s="213" t="s">
        <v>4346</v>
      </c>
      <c r="H1235" s="10" t="s">
        <v>4347</v>
      </c>
      <c r="K1235" s="213" t="s">
        <v>4348</v>
      </c>
      <c r="L1235" s="10" t="s">
        <v>4349</v>
      </c>
      <c r="M1235" s="10" t="s">
        <v>4350</v>
      </c>
      <c r="N1235" s="16">
        <v>0</v>
      </c>
      <c r="O1235" s="16">
        <v>1</v>
      </c>
      <c r="P1235" s="16">
        <v>2</v>
      </c>
      <c r="Q1235" s="16">
        <v>3</v>
      </c>
      <c r="R1235" s="16">
        <v>3</v>
      </c>
      <c r="S1235" s="16">
        <v>4</v>
      </c>
      <c r="T1235" s="10" t="s">
        <v>1035</v>
      </c>
      <c r="U1235" s="283" t="s">
        <v>1037</v>
      </c>
      <c r="V1235" s="10" t="s">
        <v>4351</v>
      </c>
      <c r="W1235" s="10">
        <v>1</v>
      </c>
      <c r="X1235" s="10">
        <v>0</v>
      </c>
      <c r="Y1235" s="10">
        <v>0</v>
      </c>
      <c r="Z1235" s="10">
        <v>0</v>
      </c>
      <c r="AA1235" s="10">
        <v>1</v>
      </c>
      <c r="AB1235" s="10">
        <v>0</v>
      </c>
      <c r="AC1235" s="316">
        <v>0</v>
      </c>
      <c r="AD1235" s="316">
        <v>1</v>
      </c>
      <c r="AE1235" s="302">
        <f t="shared" si="86"/>
        <v>0.375</v>
      </c>
      <c r="AF1235" s="32">
        <v>1</v>
      </c>
      <c r="AG1235" s="17">
        <v>0</v>
      </c>
      <c r="AH1235" s="32">
        <v>1.7</v>
      </c>
      <c r="AI1235" s="32">
        <v>10</v>
      </c>
      <c r="AJ1235" s="32">
        <v>10</v>
      </c>
      <c r="AK1235" s="214">
        <v>1</v>
      </c>
      <c r="AL1235" s="214">
        <v>1</v>
      </c>
      <c r="AM1235" s="17">
        <f t="shared" si="87"/>
        <v>2</v>
      </c>
      <c r="AN1235" s="32" t="s">
        <v>1035</v>
      </c>
      <c r="AO1235" s="18" t="s">
        <v>1037</v>
      </c>
      <c r="AP1235" s="10" t="s">
        <v>4352</v>
      </c>
    </row>
    <row r="1236" spans="1:42" s="10" customFormat="1" x14ac:dyDescent="0.3">
      <c r="A1236" s="213" t="s">
        <v>1444</v>
      </c>
      <c r="B1236" s="10" t="s">
        <v>4050</v>
      </c>
      <c r="C1236" s="213" t="s">
        <v>1445</v>
      </c>
      <c r="D1236" s="10" t="s">
        <v>4052</v>
      </c>
      <c r="E1236" s="213" t="s">
        <v>4328</v>
      </c>
      <c r="F1236" s="10" t="s">
        <v>4329</v>
      </c>
      <c r="G1236" s="213" t="s">
        <v>4353</v>
      </c>
      <c r="H1236" s="10" t="s">
        <v>4354</v>
      </c>
      <c r="K1236" s="213" t="s">
        <v>4355</v>
      </c>
      <c r="L1236" s="10" t="s">
        <v>4356</v>
      </c>
      <c r="M1236" s="10" t="s">
        <v>4357</v>
      </c>
      <c r="N1236" s="16" t="s">
        <v>271</v>
      </c>
      <c r="O1236" s="16">
        <v>160</v>
      </c>
      <c r="P1236" s="16">
        <v>100</v>
      </c>
      <c r="Q1236" s="16">
        <v>35</v>
      </c>
      <c r="R1236" s="16">
        <v>100</v>
      </c>
      <c r="S1236" s="16">
        <v>73</v>
      </c>
      <c r="T1236" s="10" t="s">
        <v>63</v>
      </c>
      <c r="U1236" s="283" t="s">
        <v>2510</v>
      </c>
      <c r="V1236" s="215" t="s">
        <v>4358</v>
      </c>
      <c r="W1236" s="10">
        <v>1</v>
      </c>
      <c r="X1236" s="10">
        <v>1</v>
      </c>
      <c r="Y1236" s="10">
        <v>1</v>
      </c>
      <c r="Z1236" s="10">
        <v>0</v>
      </c>
      <c r="AA1236" s="10">
        <v>1</v>
      </c>
      <c r="AB1236" s="10">
        <v>0</v>
      </c>
      <c r="AC1236" s="316">
        <v>1</v>
      </c>
      <c r="AD1236" s="316">
        <v>1</v>
      </c>
      <c r="AE1236" s="348">
        <f t="shared" si="86"/>
        <v>0.75</v>
      </c>
      <c r="AF1236" s="221"/>
      <c r="AG1236" s="17">
        <v>0</v>
      </c>
      <c r="AH1236" s="32">
        <v>0</v>
      </c>
      <c r="AI1236" s="32">
        <v>0</v>
      </c>
      <c r="AJ1236" s="32">
        <v>0</v>
      </c>
      <c r="AK1236" s="222">
        <v>66.61</v>
      </c>
      <c r="AL1236" s="222">
        <v>134.19999999999999</v>
      </c>
      <c r="AM1236" s="17">
        <f t="shared" si="87"/>
        <v>200.81</v>
      </c>
      <c r="AN1236" s="215" t="s">
        <v>63</v>
      </c>
      <c r="AO1236" s="18" t="s">
        <v>2510</v>
      </c>
      <c r="AP1236" s="10" t="s">
        <v>119</v>
      </c>
    </row>
    <row r="1237" spans="1:42" s="10" customFormat="1" x14ac:dyDescent="0.3">
      <c r="A1237" s="213" t="s">
        <v>1444</v>
      </c>
      <c r="B1237" s="10" t="s">
        <v>4050</v>
      </c>
      <c r="C1237" s="213" t="s">
        <v>1445</v>
      </c>
      <c r="D1237" s="10" t="s">
        <v>4052</v>
      </c>
      <c r="E1237" s="213" t="s">
        <v>4328</v>
      </c>
      <c r="F1237" s="10" t="s">
        <v>4329</v>
      </c>
      <c r="G1237" s="213" t="s">
        <v>4353</v>
      </c>
      <c r="H1237" s="10" t="s">
        <v>4354</v>
      </c>
      <c r="K1237" s="213" t="s">
        <v>4355</v>
      </c>
      <c r="L1237" s="10" t="s">
        <v>4356</v>
      </c>
      <c r="M1237" s="10" t="s">
        <v>4359</v>
      </c>
      <c r="N1237" s="16" t="s">
        <v>271</v>
      </c>
      <c r="O1237" s="16" t="s">
        <v>271</v>
      </c>
      <c r="P1237" s="16">
        <v>661</v>
      </c>
      <c r="Q1237" s="16">
        <v>379</v>
      </c>
      <c r="R1237" s="16" t="s">
        <v>271</v>
      </c>
      <c r="S1237" s="16">
        <v>170</v>
      </c>
      <c r="T1237" s="10" t="s">
        <v>63</v>
      </c>
      <c r="U1237" s="283" t="s">
        <v>2510</v>
      </c>
      <c r="V1237" s="10" t="s">
        <v>4358</v>
      </c>
      <c r="W1237" s="10">
        <v>1</v>
      </c>
      <c r="X1237" s="10">
        <v>1</v>
      </c>
      <c r="Y1237" s="10">
        <v>1</v>
      </c>
      <c r="Z1237" s="10">
        <v>0</v>
      </c>
      <c r="AA1237" s="10">
        <v>1</v>
      </c>
      <c r="AB1237" s="10">
        <v>0</v>
      </c>
      <c r="AC1237" s="316">
        <v>1</v>
      </c>
      <c r="AD1237" s="316">
        <v>1</v>
      </c>
      <c r="AE1237" s="302">
        <f t="shared" si="86"/>
        <v>0.75</v>
      </c>
      <c r="AF1237" s="32"/>
      <c r="AG1237" s="17">
        <v>0</v>
      </c>
      <c r="AH1237" s="32" t="s">
        <v>271</v>
      </c>
      <c r="AI1237" s="32">
        <v>0</v>
      </c>
      <c r="AJ1237" s="32">
        <v>0</v>
      </c>
      <c r="AK1237" s="214">
        <v>2</v>
      </c>
      <c r="AL1237" s="214">
        <v>5</v>
      </c>
      <c r="AM1237" s="17">
        <f t="shared" si="87"/>
        <v>7</v>
      </c>
      <c r="AN1237" s="32" t="s">
        <v>1035</v>
      </c>
      <c r="AO1237" s="18" t="s">
        <v>1037</v>
      </c>
      <c r="AP1237" s="10" t="s">
        <v>119</v>
      </c>
    </row>
    <row r="1238" spans="1:42" s="10" customFormat="1" x14ac:dyDescent="0.3">
      <c r="A1238" s="213" t="s">
        <v>1444</v>
      </c>
      <c r="B1238" s="10" t="s">
        <v>4050</v>
      </c>
      <c r="C1238" s="213" t="s">
        <v>1445</v>
      </c>
      <c r="D1238" s="10" t="s">
        <v>4052</v>
      </c>
      <c r="E1238" s="213" t="s">
        <v>4328</v>
      </c>
      <c r="F1238" s="10" t="s">
        <v>4329</v>
      </c>
      <c r="G1238" s="213" t="s">
        <v>4353</v>
      </c>
      <c r="H1238" s="10" t="s">
        <v>4354</v>
      </c>
      <c r="K1238" s="213" t="s">
        <v>4355</v>
      </c>
      <c r="L1238" s="10" t="s">
        <v>4356</v>
      </c>
      <c r="M1238" s="10" t="s">
        <v>4360</v>
      </c>
      <c r="N1238" s="16"/>
      <c r="O1238" s="16"/>
      <c r="P1238" s="16"/>
      <c r="Q1238" s="16"/>
      <c r="R1238" s="16"/>
      <c r="S1238" s="16"/>
      <c r="U1238" s="283" t="e">
        <v>#N/A</v>
      </c>
      <c r="V1238" s="215" t="s">
        <v>4361</v>
      </c>
      <c r="W1238" s="10">
        <v>1</v>
      </c>
      <c r="X1238" s="10">
        <v>1</v>
      </c>
      <c r="Y1238" s="10">
        <v>1</v>
      </c>
      <c r="Z1238" s="10">
        <v>0</v>
      </c>
      <c r="AA1238" s="10">
        <v>1</v>
      </c>
      <c r="AB1238" s="10">
        <v>0</v>
      </c>
      <c r="AC1238" s="316">
        <v>1</v>
      </c>
      <c r="AD1238" s="316">
        <v>1</v>
      </c>
      <c r="AE1238" s="348">
        <f t="shared" si="86"/>
        <v>0.75</v>
      </c>
      <c r="AF1238" s="221"/>
      <c r="AG1238" s="17">
        <v>0</v>
      </c>
      <c r="AH1238" s="32">
        <v>453.15444220460415</v>
      </c>
      <c r="AI1238" s="32">
        <v>239.11026707156299</v>
      </c>
      <c r="AJ1238" s="32">
        <v>267.83397413108082</v>
      </c>
      <c r="AK1238" s="222">
        <v>10</v>
      </c>
      <c r="AL1238" s="222">
        <v>20</v>
      </c>
      <c r="AM1238" s="17">
        <f t="shared" si="87"/>
        <v>30</v>
      </c>
      <c r="AN1238" s="10" t="s">
        <v>63</v>
      </c>
      <c r="AO1238" s="18" t="s">
        <v>2510</v>
      </c>
      <c r="AP1238" s="10" t="s">
        <v>4224</v>
      </c>
    </row>
    <row r="1239" spans="1:42" s="10" customFormat="1" x14ac:dyDescent="0.3">
      <c r="A1239" s="213" t="s">
        <v>1444</v>
      </c>
      <c r="B1239" s="10" t="s">
        <v>4050</v>
      </c>
      <c r="C1239" s="213" t="s">
        <v>1445</v>
      </c>
      <c r="D1239" s="10" t="s">
        <v>4052</v>
      </c>
      <c r="E1239" s="213" t="s">
        <v>4328</v>
      </c>
      <c r="F1239" s="10" t="s">
        <v>4329</v>
      </c>
      <c r="G1239" s="213" t="s">
        <v>4353</v>
      </c>
      <c r="H1239" s="10" t="s">
        <v>4354</v>
      </c>
      <c r="K1239" s="213" t="s">
        <v>4355</v>
      </c>
      <c r="L1239" s="10" t="s">
        <v>4356</v>
      </c>
      <c r="M1239" s="10" t="s">
        <v>4362</v>
      </c>
      <c r="N1239" s="16">
        <v>179</v>
      </c>
      <c r="O1239" s="16">
        <v>431</v>
      </c>
      <c r="P1239" s="16">
        <v>163</v>
      </c>
      <c r="Q1239" s="16">
        <v>22</v>
      </c>
      <c r="R1239" s="16">
        <v>30</v>
      </c>
      <c r="S1239" s="16">
        <v>155</v>
      </c>
      <c r="T1239" s="10" t="s">
        <v>1035</v>
      </c>
      <c r="U1239" s="283" t="s">
        <v>1037</v>
      </c>
      <c r="V1239" s="215" t="s">
        <v>4361</v>
      </c>
      <c r="W1239" s="10">
        <v>1</v>
      </c>
      <c r="X1239" s="10">
        <v>1</v>
      </c>
      <c r="Y1239" s="10">
        <v>1</v>
      </c>
      <c r="Z1239" s="10">
        <v>0</v>
      </c>
      <c r="AA1239" s="10">
        <v>1</v>
      </c>
      <c r="AB1239" s="10">
        <v>0</v>
      </c>
      <c r="AC1239" s="316">
        <v>1</v>
      </c>
      <c r="AD1239" s="316">
        <v>1</v>
      </c>
      <c r="AE1239" s="348">
        <f t="shared" si="86"/>
        <v>0.75</v>
      </c>
      <c r="AF1239" s="221"/>
      <c r="AG1239" s="17">
        <v>0</v>
      </c>
      <c r="AH1239" s="32" t="s">
        <v>271</v>
      </c>
      <c r="AI1239" s="32">
        <v>0.3</v>
      </c>
      <c r="AJ1239" s="32">
        <v>0.3</v>
      </c>
      <c r="AK1239" s="222">
        <v>0.5</v>
      </c>
      <c r="AL1239" s="222">
        <v>0.5</v>
      </c>
      <c r="AM1239" s="17">
        <f t="shared" si="87"/>
        <v>1</v>
      </c>
      <c r="AN1239" s="32" t="s">
        <v>1035</v>
      </c>
      <c r="AO1239" s="18" t="s">
        <v>1037</v>
      </c>
      <c r="AP1239" s="10" t="s">
        <v>4363</v>
      </c>
    </row>
    <row r="1240" spans="1:42" s="10" customFormat="1" x14ac:dyDescent="0.3">
      <c r="A1240" s="213" t="s">
        <v>1444</v>
      </c>
      <c r="B1240" s="10" t="s">
        <v>4050</v>
      </c>
      <c r="C1240" s="213" t="s">
        <v>1445</v>
      </c>
      <c r="D1240" s="10" t="s">
        <v>4052</v>
      </c>
      <c r="E1240" s="213" t="s">
        <v>4328</v>
      </c>
      <c r="F1240" s="10" t="s">
        <v>4329</v>
      </c>
      <c r="G1240" s="213" t="s">
        <v>4353</v>
      </c>
      <c r="H1240" s="10" t="s">
        <v>4354</v>
      </c>
      <c r="K1240" s="213" t="s">
        <v>4355</v>
      </c>
      <c r="L1240" s="10" t="s">
        <v>4356</v>
      </c>
      <c r="M1240" s="10" t="s">
        <v>4364</v>
      </c>
      <c r="N1240" s="16">
        <v>0</v>
      </c>
      <c r="O1240" s="16">
        <v>10</v>
      </c>
      <c r="P1240" s="16">
        <v>20</v>
      </c>
      <c r="Q1240" s="16">
        <v>50</v>
      </c>
      <c r="R1240" s="16">
        <v>80</v>
      </c>
      <c r="S1240" s="16">
        <v>100</v>
      </c>
      <c r="T1240" s="10" t="s">
        <v>1035</v>
      </c>
      <c r="U1240" s="283" t="s">
        <v>1037</v>
      </c>
      <c r="V1240" s="215" t="s">
        <v>4365</v>
      </c>
      <c r="W1240" s="10">
        <v>1</v>
      </c>
      <c r="X1240" s="10">
        <v>1</v>
      </c>
      <c r="Y1240" s="10">
        <v>1</v>
      </c>
      <c r="Z1240" s="10">
        <v>0</v>
      </c>
      <c r="AA1240" s="10">
        <v>1</v>
      </c>
      <c r="AB1240" s="10">
        <v>0</v>
      </c>
      <c r="AC1240" s="316">
        <v>1</v>
      </c>
      <c r="AD1240" s="316">
        <v>1</v>
      </c>
      <c r="AE1240" s="348">
        <f t="shared" si="86"/>
        <v>0.75</v>
      </c>
      <c r="AF1240" s="221"/>
      <c r="AG1240" s="17">
        <v>0</v>
      </c>
      <c r="AH1240" s="32" t="s">
        <v>271</v>
      </c>
      <c r="AI1240" s="32">
        <v>15</v>
      </c>
      <c r="AJ1240" s="32">
        <v>15</v>
      </c>
      <c r="AK1240" s="222">
        <v>15</v>
      </c>
      <c r="AL1240" s="222">
        <v>15</v>
      </c>
      <c r="AM1240" s="17">
        <f t="shared" si="87"/>
        <v>30</v>
      </c>
      <c r="AN1240" s="32" t="s">
        <v>1035</v>
      </c>
      <c r="AO1240" s="18" t="s">
        <v>1037</v>
      </c>
      <c r="AP1240" s="10" t="s">
        <v>4363</v>
      </c>
    </row>
    <row r="1241" spans="1:42" s="10" customFormat="1" x14ac:dyDescent="0.3">
      <c r="A1241" s="213" t="s">
        <v>1444</v>
      </c>
      <c r="B1241" s="10" t="s">
        <v>4050</v>
      </c>
      <c r="C1241" s="213" t="s">
        <v>1445</v>
      </c>
      <c r="D1241" s="10" t="s">
        <v>4052</v>
      </c>
      <c r="E1241" s="213" t="s">
        <v>4328</v>
      </c>
      <c r="F1241" s="10" t="s">
        <v>4329</v>
      </c>
      <c r="G1241" s="213" t="s">
        <v>4353</v>
      </c>
      <c r="H1241" s="10" t="s">
        <v>4354</v>
      </c>
      <c r="K1241" s="213" t="s">
        <v>4355</v>
      </c>
      <c r="L1241" s="10" t="s">
        <v>4356</v>
      </c>
      <c r="M1241" s="10" t="s">
        <v>4366</v>
      </c>
      <c r="N1241" s="16">
        <v>1</v>
      </c>
      <c r="O1241" s="16">
        <v>1</v>
      </c>
      <c r="P1241" s="16">
        <v>1</v>
      </c>
      <c r="Q1241" s="16">
        <v>1</v>
      </c>
      <c r="R1241" s="16">
        <v>1</v>
      </c>
      <c r="S1241" s="16">
        <v>1</v>
      </c>
      <c r="T1241" s="10" t="s">
        <v>2072</v>
      </c>
      <c r="U1241" s="283" t="e">
        <v>#N/A</v>
      </c>
      <c r="V1241" s="10" t="s">
        <v>4367</v>
      </c>
      <c r="W1241" s="10">
        <v>1</v>
      </c>
      <c r="X1241" s="10">
        <v>1</v>
      </c>
      <c r="Y1241" s="10">
        <v>1</v>
      </c>
      <c r="Z1241" s="10">
        <v>0</v>
      </c>
      <c r="AA1241" s="10">
        <v>1</v>
      </c>
      <c r="AB1241" s="10">
        <v>0</v>
      </c>
      <c r="AC1241" s="316">
        <v>1</v>
      </c>
      <c r="AD1241" s="316">
        <v>1</v>
      </c>
      <c r="AE1241" s="302">
        <f t="shared" si="86"/>
        <v>0.75</v>
      </c>
      <c r="AF1241" s="17"/>
      <c r="AG1241" s="17">
        <v>0</v>
      </c>
      <c r="AH1241" s="17">
        <v>0</v>
      </c>
      <c r="AI1241" s="32">
        <v>4.3499999999999996</v>
      </c>
      <c r="AJ1241" s="32">
        <v>4.0999999999999996</v>
      </c>
      <c r="AK1241" s="214">
        <v>12</v>
      </c>
      <c r="AL1241" s="214">
        <v>12</v>
      </c>
      <c r="AM1241" s="17">
        <f t="shared" si="87"/>
        <v>24</v>
      </c>
      <c r="AN1241" s="32" t="s">
        <v>1035</v>
      </c>
      <c r="AO1241" s="18" t="s">
        <v>1037</v>
      </c>
      <c r="AP1241" s="10" t="s">
        <v>4368</v>
      </c>
    </row>
    <row r="1242" spans="1:42" s="10" customFormat="1" x14ac:dyDescent="0.3">
      <c r="A1242" s="213" t="s">
        <v>1444</v>
      </c>
      <c r="B1242" s="10" t="s">
        <v>4050</v>
      </c>
      <c r="C1242" s="213" t="s">
        <v>1445</v>
      </c>
      <c r="D1242" s="10" t="s">
        <v>4052</v>
      </c>
      <c r="E1242" s="213" t="s">
        <v>4328</v>
      </c>
      <c r="F1242" s="10" t="s">
        <v>4329</v>
      </c>
      <c r="G1242" s="213" t="s">
        <v>4353</v>
      </c>
      <c r="H1242" s="10" t="s">
        <v>4354</v>
      </c>
      <c r="K1242" s="213" t="s">
        <v>4355</v>
      </c>
      <c r="L1242" s="10" t="s">
        <v>4356</v>
      </c>
      <c r="N1242" s="16"/>
      <c r="O1242" s="16"/>
      <c r="P1242" s="16"/>
      <c r="Q1242" s="16"/>
      <c r="R1242" s="16"/>
      <c r="S1242" s="16"/>
      <c r="U1242" s="283" t="e">
        <v>#N/A</v>
      </c>
      <c r="V1242" s="10" t="s">
        <v>4367</v>
      </c>
      <c r="W1242" s="10">
        <v>1</v>
      </c>
      <c r="X1242" s="10">
        <v>1</v>
      </c>
      <c r="Y1242" s="10">
        <v>1</v>
      </c>
      <c r="Z1242" s="10">
        <v>0</v>
      </c>
      <c r="AA1242" s="10">
        <v>1</v>
      </c>
      <c r="AB1242" s="10">
        <v>0</v>
      </c>
      <c r="AC1242" s="316">
        <v>1</v>
      </c>
      <c r="AD1242" s="316">
        <v>1</v>
      </c>
      <c r="AE1242" s="302">
        <f t="shared" si="86"/>
        <v>0.75</v>
      </c>
      <c r="AF1242" s="32"/>
      <c r="AG1242" s="17">
        <v>0</v>
      </c>
      <c r="AH1242" s="32" t="s">
        <v>271</v>
      </c>
      <c r="AI1242" s="32">
        <v>0.2</v>
      </c>
      <c r="AJ1242" s="32">
        <v>0.2</v>
      </c>
      <c r="AK1242" s="214">
        <v>0.2</v>
      </c>
      <c r="AL1242" s="214">
        <v>0.2</v>
      </c>
      <c r="AM1242" s="17">
        <f t="shared" si="87"/>
        <v>0.4</v>
      </c>
      <c r="AN1242" s="10" t="s">
        <v>63</v>
      </c>
      <c r="AO1242" s="18" t="s">
        <v>2510</v>
      </c>
      <c r="AP1242" s="10" t="s">
        <v>4368</v>
      </c>
    </row>
    <row r="1243" spans="1:42" s="10" customFormat="1" x14ac:dyDescent="0.3">
      <c r="A1243" s="213" t="s">
        <v>1444</v>
      </c>
      <c r="B1243" s="10" t="s">
        <v>4050</v>
      </c>
      <c r="C1243" s="213" t="s">
        <v>1445</v>
      </c>
      <c r="D1243" s="10" t="s">
        <v>4052</v>
      </c>
      <c r="E1243" s="213" t="s">
        <v>4328</v>
      </c>
      <c r="F1243" s="10" t="s">
        <v>4329</v>
      </c>
      <c r="G1243" s="213" t="s">
        <v>4353</v>
      </c>
      <c r="H1243" s="10" t="s">
        <v>4354</v>
      </c>
      <c r="K1243" s="213" t="s">
        <v>4355</v>
      </c>
      <c r="L1243" s="10" t="s">
        <v>4356</v>
      </c>
      <c r="N1243" s="16"/>
      <c r="O1243" s="16"/>
      <c r="P1243" s="16"/>
      <c r="Q1243" s="16"/>
      <c r="R1243" s="16"/>
      <c r="S1243" s="16"/>
      <c r="U1243" s="283" t="e">
        <v>#N/A</v>
      </c>
      <c r="V1243" s="10" t="s">
        <v>4367</v>
      </c>
      <c r="W1243" s="10">
        <v>1</v>
      </c>
      <c r="X1243" s="10">
        <v>1</v>
      </c>
      <c r="Y1243" s="10">
        <v>1</v>
      </c>
      <c r="Z1243" s="10">
        <v>0</v>
      </c>
      <c r="AA1243" s="10">
        <v>1</v>
      </c>
      <c r="AB1243" s="10">
        <v>0</v>
      </c>
      <c r="AC1243" s="316">
        <v>1</v>
      </c>
      <c r="AD1243" s="316">
        <v>1</v>
      </c>
      <c r="AE1243" s="302">
        <f t="shared" si="86"/>
        <v>0.75</v>
      </c>
      <c r="AF1243" s="32"/>
      <c r="AG1243" s="17">
        <v>0</v>
      </c>
      <c r="AH1243" s="32" t="s">
        <v>271</v>
      </c>
      <c r="AI1243" s="32">
        <v>0</v>
      </c>
      <c r="AJ1243" s="32">
        <v>0</v>
      </c>
      <c r="AK1243" s="214">
        <v>0</v>
      </c>
      <c r="AL1243" s="214">
        <v>0</v>
      </c>
      <c r="AM1243" s="17">
        <f t="shared" si="87"/>
        <v>0</v>
      </c>
      <c r="AN1243" s="10" t="s">
        <v>570</v>
      </c>
      <c r="AO1243" s="18" t="s">
        <v>2875</v>
      </c>
      <c r="AP1243" s="10" t="s">
        <v>4368</v>
      </c>
    </row>
    <row r="1244" spans="1:42" s="10" customFormat="1" x14ac:dyDescent="0.3">
      <c r="A1244" s="213" t="s">
        <v>1444</v>
      </c>
      <c r="B1244" s="10" t="s">
        <v>4050</v>
      </c>
      <c r="C1244" s="213" t="s">
        <v>1445</v>
      </c>
      <c r="D1244" s="10" t="s">
        <v>4052</v>
      </c>
      <c r="E1244" s="213" t="s">
        <v>4328</v>
      </c>
      <c r="F1244" s="10" t="s">
        <v>4329</v>
      </c>
      <c r="G1244" s="213" t="s">
        <v>4353</v>
      </c>
      <c r="H1244" s="10" t="s">
        <v>4354</v>
      </c>
      <c r="K1244" s="213" t="s">
        <v>4355</v>
      </c>
      <c r="L1244" s="10" t="s">
        <v>4356</v>
      </c>
      <c r="N1244" s="16"/>
      <c r="O1244" s="16"/>
      <c r="P1244" s="16"/>
      <c r="Q1244" s="16"/>
      <c r="R1244" s="16"/>
      <c r="S1244" s="16"/>
      <c r="U1244" s="283" t="e">
        <v>#N/A</v>
      </c>
      <c r="V1244" s="10" t="s">
        <v>4367</v>
      </c>
      <c r="W1244" s="10">
        <v>1</v>
      </c>
      <c r="X1244" s="10">
        <v>1</v>
      </c>
      <c r="Y1244" s="10">
        <v>1</v>
      </c>
      <c r="Z1244" s="10">
        <v>0</v>
      </c>
      <c r="AA1244" s="10">
        <v>1</v>
      </c>
      <c r="AB1244" s="10">
        <v>0</v>
      </c>
      <c r="AC1244" s="316">
        <v>1</v>
      </c>
      <c r="AD1244" s="316">
        <v>1</v>
      </c>
      <c r="AE1244" s="302">
        <f t="shared" si="86"/>
        <v>0.75</v>
      </c>
      <c r="AF1244" s="32"/>
      <c r="AG1244" s="17">
        <v>0</v>
      </c>
      <c r="AH1244" s="32" t="s">
        <v>271</v>
      </c>
      <c r="AI1244" s="32">
        <v>0</v>
      </c>
      <c r="AJ1244" s="32">
        <v>0</v>
      </c>
      <c r="AK1244" s="214">
        <v>0</v>
      </c>
      <c r="AL1244" s="214">
        <v>0</v>
      </c>
      <c r="AM1244" s="17">
        <f t="shared" si="87"/>
        <v>0</v>
      </c>
      <c r="AN1244" s="10" t="s">
        <v>1233</v>
      </c>
      <c r="AO1244" s="18" t="s">
        <v>1650</v>
      </c>
      <c r="AP1244" s="10" t="s">
        <v>4368</v>
      </c>
    </row>
    <row r="1245" spans="1:42" s="10" customFormat="1" x14ac:dyDescent="0.3">
      <c r="A1245" s="213" t="s">
        <v>1444</v>
      </c>
      <c r="B1245" s="10" t="s">
        <v>4050</v>
      </c>
      <c r="C1245" s="213" t="s">
        <v>1445</v>
      </c>
      <c r="D1245" s="10" t="s">
        <v>4052</v>
      </c>
      <c r="E1245" s="213" t="s">
        <v>4328</v>
      </c>
      <c r="F1245" s="10" t="s">
        <v>4329</v>
      </c>
      <c r="G1245" s="213" t="s">
        <v>4353</v>
      </c>
      <c r="H1245" s="10" t="s">
        <v>4354</v>
      </c>
      <c r="K1245" s="213" t="s">
        <v>4355</v>
      </c>
      <c r="L1245" s="10" t="s">
        <v>4356</v>
      </c>
      <c r="N1245" s="16"/>
      <c r="O1245" s="16"/>
      <c r="P1245" s="16"/>
      <c r="Q1245" s="16"/>
      <c r="R1245" s="16"/>
      <c r="S1245" s="16"/>
      <c r="U1245" s="283" t="e">
        <v>#N/A</v>
      </c>
      <c r="V1245" s="10" t="s">
        <v>4367</v>
      </c>
      <c r="W1245" s="10">
        <v>1</v>
      </c>
      <c r="X1245" s="10">
        <v>1</v>
      </c>
      <c r="Y1245" s="10">
        <v>1</v>
      </c>
      <c r="Z1245" s="10">
        <v>0</v>
      </c>
      <c r="AA1245" s="10">
        <v>1</v>
      </c>
      <c r="AB1245" s="10">
        <v>0</v>
      </c>
      <c r="AC1245" s="316">
        <v>1</v>
      </c>
      <c r="AD1245" s="316">
        <v>1</v>
      </c>
      <c r="AE1245" s="302">
        <f t="shared" si="86"/>
        <v>0.75</v>
      </c>
      <c r="AF1245" s="32"/>
      <c r="AG1245" s="17">
        <v>0</v>
      </c>
      <c r="AH1245" s="32" t="s">
        <v>271</v>
      </c>
      <c r="AI1245" s="32">
        <v>0</v>
      </c>
      <c r="AJ1245" s="32">
        <v>0</v>
      </c>
      <c r="AK1245" s="214">
        <v>0</v>
      </c>
      <c r="AL1245" s="214">
        <v>0</v>
      </c>
      <c r="AM1245" s="17">
        <f t="shared" si="87"/>
        <v>0</v>
      </c>
      <c r="AN1245" s="10" t="s">
        <v>3875</v>
      </c>
      <c r="AO1245" s="18" t="s">
        <v>3877</v>
      </c>
      <c r="AP1245" s="10" t="s">
        <v>4368</v>
      </c>
    </row>
    <row r="1246" spans="1:42" s="10" customFormat="1" x14ac:dyDescent="0.3">
      <c r="A1246" s="213" t="s">
        <v>1444</v>
      </c>
      <c r="B1246" s="10" t="s">
        <v>4050</v>
      </c>
      <c r="C1246" s="213" t="s">
        <v>1445</v>
      </c>
      <c r="D1246" s="10" t="s">
        <v>4052</v>
      </c>
      <c r="E1246" s="213" t="s">
        <v>4328</v>
      </c>
      <c r="F1246" s="10" t="s">
        <v>4329</v>
      </c>
      <c r="G1246" s="213" t="s">
        <v>4353</v>
      </c>
      <c r="H1246" s="10" t="s">
        <v>4354</v>
      </c>
      <c r="K1246" s="213" t="s">
        <v>4355</v>
      </c>
      <c r="L1246" s="10" t="s">
        <v>4356</v>
      </c>
      <c r="N1246" s="16"/>
      <c r="O1246" s="16"/>
      <c r="P1246" s="16"/>
      <c r="Q1246" s="16"/>
      <c r="R1246" s="16"/>
      <c r="S1246" s="16"/>
      <c r="U1246" s="283" t="e">
        <v>#N/A</v>
      </c>
      <c r="V1246" s="10" t="s">
        <v>4367</v>
      </c>
      <c r="W1246" s="10">
        <v>1</v>
      </c>
      <c r="X1246" s="10">
        <v>1</v>
      </c>
      <c r="Y1246" s="10">
        <v>1</v>
      </c>
      <c r="Z1246" s="10">
        <v>0</v>
      </c>
      <c r="AA1246" s="10">
        <v>1</v>
      </c>
      <c r="AB1246" s="10">
        <v>0</v>
      </c>
      <c r="AC1246" s="316">
        <v>1</v>
      </c>
      <c r="AD1246" s="316">
        <v>1</v>
      </c>
      <c r="AE1246" s="302">
        <f t="shared" si="86"/>
        <v>0.75</v>
      </c>
      <c r="AF1246" s="32"/>
      <c r="AG1246" s="17">
        <v>0</v>
      </c>
      <c r="AH1246" s="32" t="s">
        <v>271</v>
      </c>
      <c r="AI1246" s="32">
        <v>0</v>
      </c>
      <c r="AJ1246" s="32">
        <v>0</v>
      </c>
      <c r="AK1246" s="214">
        <v>0</v>
      </c>
      <c r="AL1246" s="214">
        <v>0</v>
      </c>
      <c r="AM1246" s="17">
        <f t="shared" si="87"/>
        <v>0</v>
      </c>
      <c r="AN1246" s="176" t="s">
        <v>921</v>
      </c>
      <c r="AO1246" s="18" t="s">
        <v>880</v>
      </c>
      <c r="AP1246" s="10" t="s">
        <v>4368</v>
      </c>
    </row>
    <row r="1247" spans="1:42" s="10" customFormat="1" x14ac:dyDescent="0.3">
      <c r="A1247" s="213" t="s">
        <v>1444</v>
      </c>
      <c r="B1247" s="10" t="s">
        <v>4050</v>
      </c>
      <c r="C1247" s="213" t="s">
        <v>1445</v>
      </c>
      <c r="D1247" s="10" t="s">
        <v>4052</v>
      </c>
      <c r="E1247" s="213" t="s">
        <v>4328</v>
      </c>
      <c r="F1247" s="10" t="s">
        <v>4329</v>
      </c>
      <c r="G1247" s="213" t="s">
        <v>4353</v>
      </c>
      <c r="H1247" s="10" t="s">
        <v>4354</v>
      </c>
      <c r="K1247" s="213" t="s">
        <v>4355</v>
      </c>
      <c r="L1247" s="10" t="s">
        <v>4356</v>
      </c>
      <c r="N1247" s="16"/>
      <c r="O1247" s="16"/>
      <c r="P1247" s="16"/>
      <c r="Q1247" s="16"/>
      <c r="R1247" s="16"/>
      <c r="S1247" s="16"/>
      <c r="U1247" s="283" t="e">
        <v>#N/A</v>
      </c>
      <c r="V1247" s="10" t="s">
        <v>4369</v>
      </c>
      <c r="W1247" s="10">
        <v>1</v>
      </c>
      <c r="X1247" s="10">
        <v>1</v>
      </c>
      <c r="Y1247" s="10">
        <v>1</v>
      </c>
      <c r="Z1247" s="10">
        <v>0</v>
      </c>
      <c r="AA1247" s="10">
        <v>1</v>
      </c>
      <c r="AB1247" s="10">
        <v>0</v>
      </c>
      <c r="AC1247" s="316">
        <v>1</v>
      </c>
      <c r="AD1247" s="316">
        <v>1</v>
      </c>
      <c r="AE1247" s="302">
        <f t="shared" si="86"/>
        <v>0.75</v>
      </c>
      <c r="AF1247" s="32"/>
      <c r="AG1247" s="17">
        <v>0</v>
      </c>
      <c r="AH1247" s="32" t="s">
        <v>2112</v>
      </c>
      <c r="AI1247" s="32">
        <v>0.2</v>
      </c>
      <c r="AJ1247" s="32">
        <v>3</v>
      </c>
      <c r="AK1247" s="214" t="s">
        <v>3548</v>
      </c>
      <c r="AL1247" s="214" t="s">
        <v>3561</v>
      </c>
      <c r="AM1247" s="17">
        <f t="shared" si="87"/>
        <v>0</v>
      </c>
      <c r="AN1247" s="32" t="s">
        <v>4370</v>
      </c>
      <c r="AO1247" s="18" t="s">
        <v>409</v>
      </c>
      <c r="AP1247" s="10" t="s">
        <v>4371</v>
      </c>
    </row>
    <row r="1248" spans="1:42" s="10" customFormat="1" x14ac:dyDescent="0.3">
      <c r="A1248" s="213" t="s">
        <v>1444</v>
      </c>
      <c r="B1248" s="10" t="s">
        <v>4050</v>
      </c>
      <c r="C1248" s="213" t="s">
        <v>1445</v>
      </c>
      <c r="D1248" s="10" t="s">
        <v>4052</v>
      </c>
      <c r="E1248" s="213" t="s">
        <v>4328</v>
      </c>
      <c r="F1248" s="10" t="s">
        <v>4329</v>
      </c>
      <c r="G1248" s="213" t="s">
        <v>4353</v>
      </c>
      <c r="H1248" s="10" t="s">
        <v>4354</v>
      </c>
      <c r="K1248" s="213" t="s">
        <v>4355</v>
      </c>
      <c r="L1248" s="10" t="s">
        <v>4356</v>
      </c>
      <c r="N1248" s="16"/>
      <c r="O1248" s="16"/>
      <c r="P1248" s="16"/>
      <c r="Q1248" s="16"/>
      <c r="R1248" s="16"/>
      <c r="S1248" s="16"/>
      <c r="U1248" s="283" t="e">
        <v>#N/A</v>
      </c>
      <c r="V1248" s="10" t="s">
        <v>4369</v>
      </c>
      <c r="W1248" s="10">
        <v>1</v>
      </c>
      <c r="X1248" s="10">
        <v>1</v>
      </c>
      <c r="Y1248" s="10">
        <v>1</v>
      </c>
      <c r="Z1248" s="10">
        <v>0</v>
      </c>
      <c r="AA1248" s="10">
        <v>1</v>
      </c>
      <c r="AB1248" s="10">
        <v>0</v>
      </c>
      <c r="AC1248" s="316">
        <v>1</v>
      </c>
      <c r="AD1248" s="316">
        <v>1</v>
      </c>
      <c r="AE1248" s="302">
        <f t="shared" si="86"/>
        <v>0.75</v>
      </c>
      <c r="AF1248" s="32"/>
      <c r="AG1248" s="17">
        <v>0</v>
      </c>
      <c r="AH1248" s="32" t="s">
        <v>271</v>
      </c>
      <c r="AI1248" s="32">
        <v>0.1</v>
      </c>
      <c r="AJ1248" s="32">
        <v>0.1</v>
      </c>
      <c r="AK1248" s="214">
        <v>0.2</v>
      </c>
      <c r="AL1248" s="214">
        <v>0.2</v>
      </c>
      <c r="AM1248" s="17">
        <f t="shared" si="87"/>
        <v>0.4</v>
      </c>
      <c r="AN1248" s="32" t="s">
        <v>4067</v>
      </c>
      <c r="AO1248" s="18" t="s">
        <v>1037</v>
      </c>
      <c r="AP1248" s="10" t="s">
        <v>4371</v>
      </c>
    </row>
    <row r="1249" spans="1:42" s="10" customFormat="1" x14ac:dyDescent="0.3">
      <c r="A1249" s="213" t="s">
        <v>1444</v>
      </c>
      <c r="B1249" s="10" t="s">
        <v>4050</v>
      </c>
      <c r="C1249" s="213" t="s">
        <v>1445</v>
      </c>
      <c r="D1249" s="10" t="s">
        <v>4052</v>
      </c>
      <c r="E1249" s="213" t="s">
        <v>4328</v>
      </c>
      <c r="F1249" s="10" t="s">
        <v>4329</v>
      </c>
      <c r="G1249" s="213" t="s">
        <v>4353</v>
      </c>
      <c r="H1249" s="10" t="s">
        <v>4354</v>
      </c>
      <c r="K1249" s="213" t="s">
        <v>4355</v>
      </c>
      <c r="L1249" s="10" t="s">
        <v>4356</v>
      </c>
      <c r="N1249" s="16"/>
      <c r="O1249" s="16"/>
      <c r="P1249" s="16"/>
      <c r="Q1249" s="16"/>
      <c r="R1249" s="16"/>
      <c r="S1249" s="16"/>
      <c r="U1249" s="283" t="e">
        <v>#N/A</v>
      </c>
      <c r="V1249" s="10" t="s">
        <v>4372</v>
      </c>
      <c r="W1249" s="10">
        <v>1</v>
      </c>
      <c r="X1249" s="10">
        <v>1</v>
      </c>
      <c r="Y1249" s="10">
        <v>1</v>
      </c>
      <c r="Z1249" s="10">
        <v>0</v>
      </c>
      <c r="AA1249" s="10">
        <v>1</v>
      </c>
      <c r="AB1249" s="10">
        <v>0</v>
      </c>
      <c r="AC1249" s="316">
        <v>1</v>
      </c>
      <c r="AD1249" s="316">
        <v>1</v>
      </c>
      <c r="AE1249" s="302">
        <f t="shared" si="86"/>
        <v>0.75</v>
      </c>
      <c r="AF1249" s="32"/>
      <c r="AG1249" s="17">
        <v>0</v>
      </c>
      <c r="AH1249" s="32" t="s">
        <v>271</v>
      </c>
      <c r="AI1249" s="32">
        <v>1.5</v>
      </c>
      <c r="AJ1249" s="32">
        <v>3</v>
      </c>
      <c r="AK1249" s="214">
        <v>5</v>
      </c>
      <c r="AL1249" s="214">
        <v>5</v>
      </c>
      <c r="AM1249" s="17">
        <f t="shared" si="87"/>
        <v>10</v>
      </c>
      <c r="AN1249" s="10" t="s">
        <v>239</v>
      </c>
      <c r="AO1249" s="18" t="s">
        <v>241</v>
      </c>
      <c r="AP1249" s="10" t="s">
        <v>4373</v>
      </c>
    </row>
    <row r="1250" spans="1:42" s="10" customFormat="1" x14ac:dyDescent="0.3">
      <c r="A1250" s="213" t="s">
        <v>1444</v>
      </c>
      <c r="B1250" s="10" t="s">
        <v>4050</v>
      </c>
      <c r="C1250" s="213" t="s">
        <v>1445</v>
      </c>
      <c r="D1250" s="10" t="s">
        <v>4052</v>
      </c>
      <c r="E1250" s="213" t="s">
        <v>4328</v>
      </c>
      <c r="F1250" s="10" t="s">
        <v>4329</v>
      </c>
      <c r="G1250" s="213" t="s">
        <v>4353</v>
      </c>
      <c r="H1250" s="10" t="s">
        <v>4354</v>
      </c>
      <c r="K1250" s="213" t="s">
        <v>4355</v>
      </c>
      <c r="L1250" s="10" t="s">
        <v>4356</v>
      </c>
      <c r="N1250" s="16"/>
      <c r="O1250" s="16"/>
      <c r="P1250" s="16"/>
      <c r="Q1250" s="16"/>
      <c r="R1250" s="16"/>
      <c r="S1250" s="16"/>
      <c r="U1250" s="283" t="e">
        <v>#N/A</v>
      </c>
      <c r="V1250" s="10" t="s">
        <v>4372</v>
      </c>
      <c r="W1250" s="10">
        <v>1</v>
      </c>
      <c r="X1250" s="10">
        <v>1</v>
      </c>
      <c r="Y1250" s="10">
        <v>1</v>
      </c>
      <c r="Z1250" s="10">
        <v>0</v>
      </c>
      <c r="AA1250" s="10">
        <v>1</v>
      </c>
      <c r="AB1250" s="10">
        <v>0</v>
      </c>
      <c r="AC1250" s="316">
        <v>1</v>
      </c>
      <c r="AD1250" s="316">
        <v>1</v>
      </c>
      <c r="AE1250" s="302">
        <f t="shared" si="86"/>
        <v>0.75</v>
      </c>
      <c r="AF1250" s="32"/>
      <c r="AG1250" s="17">
        <v>0</v>
      </c>
      <c r="AH1250" s="32" t="s">
        <v>271</v>
      </c>
      <c r="AI1250" s="32">
        <v>0</v>
      </c>
      <c r="AJ1250" s="32">
        <v>0</v>
      </c>
      <c r="AK1250" s="214">
        <v>1</v>
      </c>
      <c r="AL1250" s="214">
        <v>1</v>
      </c>
      <c r="AM1250" s="17">
        <f t="shared" si="87"/>
        <v>2</v>
      </c>
      <c r="AN1250" s="32" t="s">
        <v>4067</v>
      </c>
      <c r="AO1250" s="18" t="s">
        <v>1037</v>
      </c>
      <c r="AP1250" s="10" t="s">
        <v>119</v>
      </c>
    </row>
    <row r="1251" spans="1:42" s="10" customFormat="1" hidden="1" x14ac:dyDescent="0.3">
      <c r="A1251" s="213" t="s">
        <v>1444</v>
      </c>
      <c r="B1251" s="10" t="s">
        <v>4050</v>
      </c>
      <c r="C1251" s="213" t="s">
        <v>1445</v>
      </c>
      <c r="D1251" s="10" t="s">
        <v>4052</v>
      </c>
      <c r="E1251" s="213" t="s">
        <v>4328</v>
      </c>
      <c r="F1251" s="10" t="s">
        <v>4329</v>
      </c>
      <c r="G1251" s="213" t="s">
        <v>4353</v>
      </c>
      <c r="H1251" s="10" t="s">
        <v>4354</v>
      </c>
      <c r="K1251" s="213" t="s">
        <v>4355</v>
      </c>
      <c r="L1251" s="10" t="s">
        <v>4356</v>
      </c>
      <c r="M1251" s="10" t="s">
        <v>4374</v>
      </c>
      <c r="N1251" s="16"/>
      <c r="O1251" s="16"/>
      <c r="P1251" s="16"/>
      <c r="Q1251" s="16"/>
      <c r="R1251" s="16"/>
      <c r="S1251" s="16"/>
      <c r="U1251" s="283" t="e">
        <v>#N/A</v>
      </c>
      <c r="V1251" s="10" t="s">
        <v>4375</v>
      </c>
      <c r="W1251" s="10">
        <v>1</v>
      </c>
      <c r="X1251" s="10">
        <v>1</v>
      </c>
      <c r="Y1251" s="10">
        <v>0</v>
      </c>
      <c r="Z1251" s="10">
        <v>0</v>
      </c>
      <c r="AA1251" s="10">
        <v>0</v>
      </c>
      <c r="AB1251" s="10">
        <v>1</v>
      </c>
      <c r="AC1251" s="316">
        <v>0</v>
      </c>
      <c r="AD1251" s="316">
        <v>1</v>
      </c>
      <c r="AE1251" s="302">
        <f t="shared" si="86"/>
        <v>0.5</v>
      </c>
      <c r="AF1251" s="32"/>
      <c r="AG1251" s="17">
        <v>0</v>
      </c>
      <c r="AH1251" s="32" t="s">
        <v>271</v>
      </c>
      <c r="AI1251" s="32">
        <v>0.05</v>
      </c>
      <c r="AJ1251" s="32">
        <v>0.1</v>
      </c>
      <c r="AK1251" s="214">
        <v>0.1</v>
      </c>
      <c r="AL1251" s="214">
        <v>0.1</v>
      </c>
      <c r="AM1251" s="17">
        <f t="shared" si="87"/>
        <v>0.2</v>
      </c>
      <c r="AN1251" s="32" t="s">
        <v>1233</v>
      </c>
      <c r="AO1251" s="18" t="s">
        <v>1650</v>
      </c>
      <c r="AP1251" s="10" t="s">
        <v>4376</v>
      </c>
    </row>
    <row r="1252" spans="1:42" s="10" customFormat="1" hidden="1" x14ac:dyDescent="0.3">
      <c r="A1252" s="213" t="s">
        <v>1444</v>
      </c>
      <c r="B1252" s="10" t="s">
        <v>4050</v>
      </c>
      <c r="C1252" s="213" t="s">
        <v>1445</v>
      </c>
      <c r="D1252" s="10" t="s">
        <v>4052</v>
      </c>
      <c r="E1252" s="213" t="s">
        <v>4328</v>
      </c>
      <c r="F1252" s="10" t="s">
        <v>4329</v>
      </c>
      <c r="G1252" s="213" t="s">
        <v>4377</v>
      </c>
      <c r="H1252" s="10" t="s">
        <v>4378</v>
      </c>
      <c r="K1252" s="213" t="s">
        <v>4379</v>
      </c>
      <c r="L1252" s="10" t="s">
        <v>4380</v>
      </c>
      <c r="M1252" s="10" t="s">
        <v>4381</v>
      </c>
      <c r="N1252" s="16">
        <v>0</v>
      </c>
      <c r="O1252" s="16">
        <v>20</v>
      </c>
      <c r="P1252" s="16">
        <v>30</v>
      </c>
      <c r="Q1252" s="16">
        <v>50</v>
      </c>
      <c r="R1252" s="16">
        <v>70</v>
      </c>
      <c r="S1252" s="16">
        <v>100</v>
      </c>
      <c r="T1252" s="10" t="s">
        <v>1035</v>
      </c>
      <c r="U1252" s="283" t="s">
        <v>1037</v>
      </c>
      <c r="V1252" s="10" t="s">
        <v>4382</v>
      </c>
      <c r="W1252" s="10">
        <v>1</v>
      </c>
      <c r="X1252" s="10">
        <v>0</v>
      </c>
      <c r="Y1252" s="10">
        <v>0</v>
      </c>
      <c r="Z1252" s="10">
        <v>0</v>
      </c>
      <c r="AA1252" s="10">
        <v>1</v>
      </c>
      <c r="AB1252" s="10">
        <v>0</v>
      </c>
      <c r="AC1252" s="316">
        <v>1</v>
      </c>
      <c r="AD1252" s="316">
        <v>1</v>
      </c>
      <c r="AE1252" s="302">
        <f t="shared" si="86"/>
        <v>0.5</v>
      </c>
      <c r="AF1252" s="32"/>
      <c r="AG1252" s="17">
        <v>0</v>
      </c>
      <c r="AH1252" s="32">
        <v>3.25</v>
      </c>
      <c r="AI1252" s="32">
        <v>15</v>
      </c>
      <c r="AJ1252" s="32">
        <v>100</v>
      </c>
      <c r="AK1252" s="214">
        <v>10</v>
      </c>
      <c r="AL1252" s="214">
        <v>10</v>
      </c>
      <c r="AM1252" s="17">
        <f t="shared" si="87"/>
        <v>20</v>
      </c>
      <c r="AN1252" s="32" t="s">
        <v>4067</v>
      </c>
      <c r="AO1252" s="18" t="s">
        <v>1037</v>
      </c>
      <c r="AP1252" s="10" t="s">
        <v>4383</v>
      </c>
    </row>
    <row r="1253" spans="1:42" s="10" customFormat="1" hidden="1" x14ac:dyDescent="0.3">
      <c r="A1253" s="213" t="s">
        <v>1444</v>
      </c>
      <c r="B1253" s="10" t="s">
        <v>4050</v>
      </c>
      <c r="C1253" s="213" t="s">
        <v>1445</v>
      </c>
      <c r="D1253" s="10" t="s">
        <v>4052</v>
      </c>
      <c r="E1253" s="213" t="s">
        <v>4328</v>
      </c>
      <c r="F1253" s="10" t="s">
        <v>4329</v>
      </c>
      <c r="G1253" s="213" t="s">
        <v>4377</v>
      </c>
      <c r="H1253" s="10" t="s">
        <v>4378</v>
      </c>
      <c r="K1253" s="213" t="s">
        <v>4379</v>
      </c>
      <c r="L1253" s="10" t="s">
        <v>4380</v>
      </c>
      <c r="N1253" s="16"/>
      <c r="O1253" s="16"/>
      <c r="P1253" s="16"/>
      <c r="Q1253" s="16"/>
      <c r="R1253" s="16"/>
      <c r="S1253" s="16"/>
      <c r="U1253" s="283" t="e">
        <v>#N/A</v>
      </c>
      <c r="V1253" s="10" t="s">
        <v>4382</v>
      </c>
      <c r="W1253" s="10">
        <v>1</v>
      </c>
      <c r="X1253" s="10">
        <v>0</v>
      </c>
      <c r="Y1253" s="10">
        <v>0</v>
      </c>
      <c r="Z1253" s="10">
        <v>0</v>
      </c>
      <c r="AA1253" s="10">
        <v>1</v>
      </c>
      <c r="AB1253" s="10">
        <v>0</v>
      </c>
      <c r="AC1253" s="316">
        <v>1</v>
      </c>
      <c r="AD1253" s="316">
        <v>1</v>
      </c>
      <c r="AE1253" s="302">
        <f t="shared" si="86"/>
        <v>0.5</v>
      </c>
      <c r="AF1253" s="32"/>
      <c r="AG1253" s="17">
        <v>0</v>
      </c>
      <c r="AH1253" s="32" t="s">
        <v>271</v>
      </c>
      <c r="AI1253" s="32">
        <v>0</v>
      </c>
      <c r="AJ1253" s="32">
        <v>0</v>
      </c>
      <c r="AK1253" s="214">
        <v>0</v>
      </c>
      <c r="AL1253" s="214">
        <v>0</v>
      </c>
      <c r="AM1253" s="17">
        <f t="shared" si="87"/>
        <v>0</v>
      </c>
      <c r="AN1253" s="18" t="s">
        <v>101</v>
      </c>
      <c r="AO1253" s="18" t="s">
        <v>103</v>
      </c>
      <c r="AP1253" s="10" t="s">
        <v>119</v>
      </c>
    </row>
    <row r="1254" spans="1:42" s="10" customFormat="1" hidden="1" x14ac:dyDescent="0.3">
      <c r="A1254" s="213" t="s">
        <v>1444</v>
      </c>
      <c r="B1254" s="10" t="s">
        <v>4050</v>
      </c>
      <c r="C1254" s="213" t="s">
        <v>1445</v>
      </c>
      <c r="D1254" s="10" t="s">
        <v>4052</v>
      </c>
      <c r="E1254" s="213" t="s">
        <v>4328</v>
      </c>
      <c r="F1254" s="10" t="s">
        <v>4329</v>
      </c>
      <c r="G1254" s="213" t="s">
        <v>4377</v>
      </c>
      <c r="H1254" s="10" t="s">
        <v>4378</v>
      </c>
      <c r="K1254" s="213" t="s">
        <v>4379</v>
      </c>
      <c r="L1254" s="10" t="s">
        <v>4380</v>
      </c>
      <c r="N1254" s="16"/>
      <c r="O1254" s="16"/>
      <c r="P1254" s="16"/>
      <c r="Q1254" s="16"/>
      <c r="R1254" s="16"/>
      <c r="S1254" s="16"/>
      <c r="U1254" s="283" t="e">
        <v>#N/A</v>
      </c>
      <c r="V1254" s="10" t="s">
        <v>4382</v>
      </c>
      <c r="W1254" s="10">
        <v>1</v>
      </c>
      <c r="X1254" s="10">
        <v>0</v>
      </c>
      <c r="Y1254" s="10">
        <v>0</v>
      </c>
      <c r="Z1254" s="10">
        <v>0</v>
      </c>
      <c r="AA1254" s="10">
        <v>1</v>
      </c>
      <c r="AB1254" s="10">
        <v>0</v>
      </c>
      <c r="AC1254" s="316">
        <v>1</v>
      </c>
      <c r="AD1254" s="316">
        <v>1</v>
      </c>
      <c r="AE1254" s="302">
        <f t="shared" si="86"/>
        <v>0.5</v>
      </c>
      <c r="AF1254" s="32"/>
      <c r="AG1254" s="17">
        <v>0</v>
      </c>
      <c r="AH1254" s="32" t="s">
        <v>271</v>
      </c>
      <c r="AI1254" s="32">
        <v>0</v>
      </c>
      <c r="AJ1254" s="32">
        <v>0</v>
      </c>
      <c r="AK1254" s="214">
        <v>0</v>
      </c>
      <c r="AL1254" s="214">
        <v>0</v>
      </c>
      <c r="AM1254" s="17">
        <f t="shared" si="87"/>
        <v>0</v>
      </c>
      <c r="AN1254" s="10" t="s">
        <v>723</v>
      </c>
      <c r="AO1254" s="18" t="s">
        <v>729</v>
      </c>
      <c r="AP1254" s="10" t="s">
        <v>119</v>
      </c>
    </row>
    <row r="1255" spans="1:42" s="10" customFormat="1" hidden="1" x14ac:dyDescent="0.3">
      <c r="A1255" s="213" t="s">
        <v>1444</v>
      </c>
      <c r="B1255" s="10" t="s">
        <v>4050</v>
      </c>
      <c r="C1255" s="213" t="s">
        <v>1445</v>
      </c>
      <c r="D1255" s="10" t="s">
        <v>4052</v>
      </c>
      <c r="E1255" s="213" t="s">
        <v>4328</v>
      </c>
      <c r="F1255" s="10" t="s">
        <v>4329</v>
      </c>
      <c r="G1255" s="213" t="s">
        <v>4377</v>
      </c>
      <c r="H1255" s="10" t="s">
        <v>4378</v>
      </c>
      <c r="K1255" s="213" t="s">
        <v>4379</v>
      </c>
      <c r="L1255" s="10" t="s">
        <v>4380</v>
      </c>
      <c r="N1255" s="16"/>
      <c r="O1255" s="16"/>
      <c r="P1255" s="16"/>
      <c r="Q1255" s="16"/>
      <c r="R1255" s="16"/>
      <c r="S1255" s="16"/>
      <c r="U1255" s="283" t="e">
        <v>#N/A</v>
      </c>
      <c r="V1255" s="10" t="s">
        <v>4384</v>
      </c>
      <c r="W1255" s="10">
        <v>1</v>
      </c>
      <c r="X1255" s="10">
        <v>0</v>
      </c>
      <c r="Y1255" s="10">
        <v>0</v>
      </c>
      <c r="Z1255" s="10">
        <v>1</v>
      </c>
      <c r="AA1255" s="10">
        <v>1</v>
      </c>
      <c r="AB1255" s="10">
        <v>1</v>
      </c>
      <c r="AC1255" s="316">
        <v>0</v>
      </c>
      <c r="AD1255" s="316">
        <v>1</v>
      </c>
      <c r="AE1255" s="302">
        <f t="shared" si="86"/>
        <v>0.625</v>
      </c>
      <c r="AF1255" s="32"/>
      <c r="AG1255" s="17">
        <v>0</v>
      </c>
      <c r="AH1255" s="32" t="s">
        <v>271</v>
      </c>
      <c r="AI1255" s="32">
        <v>1.5</v>
      </c>
      <c r="AJ1255" s="32">
        <v>0.2</v>
      </c>
      <c r="AK1255" s="214">
        <v>0.2</v>
      </c>
      <c r="AL1255" s="214">
        <v>0.2</v>
      </c>
      <c r="AM1255" s="17">
        <f t="shared" si="87"/>
        <v>0.4</v>
      </c>
      <c r="AN1255" s="10" t="s">
        <v>4385</v>
      </c>
      <c r="AO1255" s="18" t="s">
        <v>103</v>
      </c>
      <c r="AP1255" s="10" t="s">
        <v>4386</v>
      </c>
    </row>
    <row r="1256" spans="1:42" s="10" customFormat="1" hidden="1" x14ac:dyDescent="0.3">
      <c r="A1256" s="213" t="s">
        <v>1444</v>
      </c>
      <c r="B1256" s="10" t="s">
        <v>4050</v>
      </c>
      <c r="C1256" s="213" t="s">
        <v>1445</v>
      </c>
      <c r="D1256" s="10" t="s">
        <v>4052</v>
      </c>
      <c r="E1256" s="213" t="s">
        <v>4328</v>
      </c>
      <c r="F1256" s="10" t="s">
        <v>4329</v>
      </c>
      <c r="G1256" s="213" t="s">
        <v>4377</v>
      </c>
      <c r="H1256" s="10" t="s">
        <v>4378</v>
      </c>
      <c r="K1256" s="213" t="s">
        <v>4379</v>
      </c>
      <c r="L1256" s="10" t="s">
        <v>4380</v>
      </c>
      <c r="N1256" s="16"/>
      <c r="O1256" s="16"/>
      <c r="P1256" s="16"/>
      <c r="Q1256" s="16"/>
      <c r="R1256" s="16"/>
      <c r="S1256" s="16"/>
      <c r="U1256" s="283" t="e">
        <v>#N/A</v>
      </c>
      <c r="V1256" s="10" t="s">
        <v>4384</v>
      </c>
      <c r="W1256" s="10">
        <v>1</v>
      </c>
      <c r="X1256" s="10">
        <v>0</v>
      </c>
      <c r="Y1256" s="10">
        <v>0</v>
      </c>
      <c r="Z1256" s="10">
        <v>1</v>
      </c>
      <c r="AA1256" s="10">
        <v>1</v>
      </c>
      <c r="AB1256" s="10">
        <v>1</v>
      </c>
      <c r="AC1256" s="316">
        <v>0</v>
      </c>
      <c r="AD1256" s="316">
        <v>1</v>
      </c>
      <c r="AE1256" s="302">
        <f t="shared" si="86"/>
        <v>0.625</v>
      </c>
      <c r="AF1256" s="32"/>
      <c r="AG1256" s="17">
        <v>0</v>
      </c>
      <c r="AH1256" s="32" t="s">
        <v>271</v>
      </c>
      <c r="AI1256" s="32">
        <v>0</v>
      </c>
      <c r="AJ1256" s="32">
        <v>0</v>
      </c>
      <c r="AK1256" s="214">
        <v>0.1</v>
      </c>
      <c r="AL1256" s="214">
        <v>0.1</v>
      </c>
      <c r="AM1256" s="17">
        <f t="shared" si="87"/>
        <v>0.2</v>
      </c>
      <c r="AN1256" s="32" t="s">
        <v>4067</v>
      </c>
      <c r="AO1256" s="18" t="s">
        <v>1037</v>
      </c>
      <c r="AP1256" s="10" t="s">
        <v>119</v>
      </c>
    </row>
    <row r="1257" spans="1:42" s="10" customFormat="1" hidden="1" x14ac:dyDescent="0.3">
      <c r="A1257" s="213" t="s">
        <v>1444</v>
      </c>
      <c r="B1257" s="10" t="s">
        <v>4050</v>
      </c>
      <c r="C1257" s="213" t="s">
        <v>1445</v>
      </c>
      <c r="D1257" s="10" t="s">
        <v>4052</v>
      </c>
      <c r="E1257" s="213" t="s">
        <v>4328</v>
      </c>
      <c r="F1257" s="10" t="s">
        <v>4329</v>
      </c>
      <c r="G1257" s="213" t="s">
        <v>4387</v>
      </c>
      <c r="H1257" s="10" t="s">
        <v>4388</v>
      </c>
      <c r="K1257" s="213" t="s">
        <v>4389</v>
      </c>
      <c r="L1257" s="10" t="s">
        <v>4390</v>
      </c>
      <c r="M1257" s="10" t="s">
        <v>4391</v>
      </c>
      <c r="N1257" s="16">
        <v>10</v>
      </c>
      <c r="O1257" s="16">
        <v>10</v>
      </c>
      <c r="P1257" s="16">
        <v>12.5</v>
      </c>
      <c r="Q1257" s="16">
        <v>20</v>
      </c>
      <c r="R1257" s="16">
        <v>31.25</v>
      </c>
      <c r="S1257" s="16">
        <v>41.25</v>
      </c>
      <c r="T1257" s="10" t="s">
        <v>1035</v>
      </c>
      <c r="U1257" s="283" t="s">
        <v>1037</v>
      </c>
      <c r="V1257" s="10" t="s">
        <v>4392</v>
      </c>
      <c r="W1257" s="10">
        <v>1</v>
      </c>
      <c r="X1257" s="10">
        <v>0</v>
      </c>
      <c r="Y1257" s="10">
        <v>0</v>
      </c>
      <c r="Z1257" s="10">
        <v>1</v>
      </c>
      <c r="AA1257" s="10">
        <v>1</v>
      </c>
      <c r="AB1257" s="10">
        <v>1</v>
      </c>
      <c r="AC1257" s="316">
        <v>0</v>
      </c>
      <c r="AD1257" s="316">
        <v>1</v>
      </c>
      <c r="AE1257" s="302">
        <f t="shared" si="86"/>
        <v>0.625</v>
      </c>
      <c r="AF1257" s="32">
        <v>1</v>
      </c>
      <c r="AG1257" s="17">
        <v>0</v>
      </c>
      <c r="AH1257" s="32" t="s">
        <v>271</v>
      </c>
      <c r="AI1257" s="32">
        <v>0.5</v>
      </c>
      <c r="AJ1257" s="32">
        <v>0.1</v>
      </c>
      <c r="AK1257" s="214">
        <v>0.1</v>
      </c>
      <c r="AL1257" s="214">
        <v>0.1</v>
      </c>
      <c r="AM1257" s="17">
        <f t="shared" si="87"/>
        <v>0.2</v>
      </c>
      <c r="AN1257" s="32" t="s">
        <v>4067</v>
      </c>
      <c r="AO1257" s="18" t="s">
        <v>1037</v>
      </c>
      <c r="AP1257" s="10" t="s">
        <v>4393</v>
      </c>
    </row>
    <row r="1258" spans="1:42" s="10" customFormat="1" x14ac:dyDescent="0.3">
      <c r="A1258" s="213" t="s">
        <v>1444</v>
      </c>
      <c r="B1258" s="10" t="s">
        <v>4050</v>
      </c>
      <c r="C1258" s="213" t="s">
        <v>1445</v>
      </c>
      <c r="D1258" s="10" t="s">
        <v>4052</v>
      </c>
      <c r="E1258" s="213" t="s">
        <v>4328</v>
      </c>
      <c r="F1258" s="10" t="s">
        <v>4329</v>
      </c>
      <c r="G1258" s="213" t="s">
        <v>4387</v>
      </c>
      <c r="H1258" s="10" t="s">
        <v>4388</v>
      </c>
      <c r="K1258" s="213" t="s">
        <v>4389</v>
      </c>
      <c r="L1258" s="10" t="s">
        <v>4390</v>
      </c>
      <c r="N1258" s="16"/>
      <c r="O1258" s="16"/>
      <c r="P1258" s="16"/>
      <c r="Q1258" s="16"/>
      <c r="R1258" s="16"/>
      <c r="S1258" s="16"/>
      <c r="U1258" s="283" t="e">
        <v>#N/A</v>
      </c>
      <c r="V1258" s="10" t="s">
        <v>4394</v>
      </c>
      <c r="W1258" s="10">
        <v>1</v>
      </c>
      <c r="X1258" s="10">
        <v>1</v>
      </c>
      <c r="Y1258" s="10">
        <v>1</v>
      </c>
      <c r="Z1258" s="10">
        <v>1</v>
      </c>
      <c r="AA1258" s="10">
        <v>1</v>
      </c>
      <c r="AB1258" s="10">
        <v>1</v>
      </c>
      <c r="AC1258" s="316">
        <v>1</v>
      </c>
      <c r="AD1258" s="316">
        <v>1</v>
      </c>
      <c r="AE1258" s="302">
        <f t="shared" si="86"/>
        <v>1</v>
      </c>
      <c r="AF1258" s="32"/>
      <c r="AG1258" s="17">
        <v>0</v>
      </c>
      <c r="AH1258" s="32" t="s">
        <v>271</v>
      </c>
      <c r="AI1258" s="32">
        <v>0</v>
      </c>
      <c r="AJ1258" s="32">
        <v>0</v>
      </c>
      <c r="AK1258" s="214">
        <v>5</v>
      </c>
      <c r="AL1258" s="214">
        <v>5</v>
      </c>
      <c r="AM1258" s="17">
        <f t="shared" si="87"/>
        <v>10</v>
      </c>
      <c r="AN1258" s="32" t="s">
        <v>4067</v>
      </c>
      <c r="AO1258" s="18" t="s">
        <v>1037</v>
      </c>
      <c r="AP1258" s="10" t="s">
        <v>119</v>
      </c>
    </row>
    <row r="1259" spans="1:42" s="10" customFormat="1" x14ac:dyDescent="0.3">
      <c r="A1259" s="213" t="s">
        <v>1444</v>
      </c>
      <c r="B1259" s="10" t="s">
        <v>4050</v>
      </c>
      <c r="C1259" s="213" t="s">
        <v>1445</v>
      </c>
      <c r="D1259" s="10" t="s">
        <v>4052</v>
      </c>
      <c r="E1259" s="213" t="s">
        <v>4328</v>
      </c>
      <c r="F1259" s="10" t="s">
        <v>4329</v>
      </c>
      <c r="G1259" s="213" t="s">
        <v>4387</v>
      </c>
      <c r="H1259" s="10" t="s">
        <v>4388</v>
      </c>
      <c r="K1259" s="213" t="s">
        <v>4389</v>
      </c>
      <c r="L1259" s="10" t="s">
        <v>4390</v>
      </c>
      <c r="N1259" s="16"/>
      <c r="O1259" s="16"/>
      <c r="P1259" s="16"/>
      <c r="Q1259" s="16"/>
      <c r="R1259" s="16"/>
      <c r="S1259" s="16"/>
      <c r="U1259" s="283" t="e">
        <v>#N/A</v>
      </c>
      <c r="V1259" s="10" t="s">
        <v>4394</v>
      </c>
      <c r="W1259" s="10">
        <v>1</v>
      </c>
      <c r="X1259" s="10">
        <v>1</v>
      </c>
      <c r="Y1259" s="10">
        <v>1</v>
      </c>
      <c r="Z1259" s="10">
        <v>1</v>
      </c>
      <c r="AA1259" s="10">
        <v>1</v>
      </c>
      <c r="AB1259" s="10">
        <v>1</v>
      </c>
      <c r="AC1259" s="316">
        <v>1</v>
      </c>
      <c r="AD1259" s="316">
        <v>1</v>
      </c>
      <c r="AE1259" s="302">
        <f t="shared" si="86"/>
        <v>1</v>
      </c>
      <c r="AF1259" s="32"/>
      <c r="AG1259" s="17">
        <v>0</v>
      </c>
      <c r="AH1259" s="32" t="s">
        <v>271</v>
      </c>
      <c r="AI1259" s="32">
        <v>0.1</v>
      </c>
      <c r="AJ1259" s="32">
        <v>0.2</v>
      </c>
      <c r="AK1259" s="214">
        <v>0.2</v>
      </c>
      <c r="AL1259" s="214">
        <v>0.2</v>
      </c>
      <c r="AM1259" s="17">
        <f t="shared" si="87"/>
        <v>0.4</v>
      </c>
      <c r="AN1259" s="18" t="s">
        <v>869</v>
      </c>
      <c r="AO1259" s="18" t="s">
        <v>871</v>
      </c>
      <c r="AP1259" s="10" t="s">
        <v>4395</v>
      </c>
    </row>
    <row r="1260" spans="1:42" s="10" customFormat="1" x14ac:dyDescent="0.3">
      <c r="A1260" s="213" t="s">
        <v>1444</v>
      </c>
      <c r="B1260" s="10" t="s">
        <v>4050</v>
      </c>
      <c r="C1260" s="213" t="s">
        <v>1445</v>
      </c>
      <c r="D1260" s="10" t="s">
        <v>4052</v>
      </c>
      <c r="E1260" s="213" t="s">
        <v>4328</v>
      </c>
      <c r="F1260" s="10" t="s">
        <v>4329</v>
      </c>
      <c r="G1260" s="213" t="s">
        <v>4387</v>
      </c>
      <c r="H1260" s="10" t="s">
        <v>4388</v>
      </c>
      <c r="K1260" s="213" t="s">
        <v>4389</v>
      </c>
      <c r="L1260" s="10" t="s">
        <v>4390</v>
      </c>
      <c r="N1260" s="16"/>
      <c r="O1260" s="16"/>
      <c r="P1260" s="16"/>
      <c r="Q1260" s="16"/>
      <c r="R1260" s="16"/>
      <c r="S1260" s="16"/>
      <c r="U1260" s="283" t="e">
        <v>#N/A</v>
      </c>
      <c r="V1260" s="10" t="s">
        <v>4394</v>
      </c>
      <c r="W1260" s="10">
        <v>1</v>
      </c>
      <c r="X1260" s="10">
        <v>1</v>
      </c>
      <c r="Y1260" s="10">
        <v>1</v>
      </c>
      <c r="Z1260" s="10">
        <v>1</v>
      </c>
      <c r="AA1260" s="10">
        <v>1</v>
      </c>
      <c r="AB1260" s="10">
        <v>1</v>
      </c>
      <c r="AC1260" s="316">
        <v>1</v>
      </c>
      <c r="AD1260" s="316">
        <v>1</v>
      </c>
      <c r="AE1260" s="302">
        <f t="shared" si="86"/>
        <v>1</v>
      </c>
      <c r="AF1260" s="32"/>
      <c r="AG1260" s="17">
        <v>0</v>
      </c>
      <c r="AH1260" s="32" t="s">
        <v>271</v>
      </c>
      <c r="AI1260" s="32">
        <v>0.2</v>
      </c>
      <c r="AJ1260" s="32">
        <v>0.2</v>
      </c>
      <c r="AK1260" s="214">
        <v>0.2</v>
      </c>
      <c r="AL1260" s="214">
        <v>0.2</v>
      </c>
      <c r="AM1260" s="17">
        <f t="shared" si="87"/>
        <v>0.4</v>
      </c>
      <c r="AN1260" s="10" t="s">
        <v>265</v>
      </c>
      <c r="AO1260" s="18" t="s">
        <v>350</v>
      </c>
      <c r="AP1260" s="10" t="s">
        <v>4395</v>
      </c>
    </row>
    <row r="1261" spans="1:42" s="10" customFormat="1" hidden="1" x14ac:dyDescent="0.3">
      <c r="A1261" s="213" t="s">
        <v>1444</v>
      </c>
      <c r="B1261" s="10" t="s">
        <v>4050</v>
      </c>
      <c r="C1261" s="213" t="s">
        <v>1445</v>
      </c>
      <c r="D1261" s="10" t="s">
        <v>4052</v>
      </c>
      <c r="E1261" s="213" t="s">
        <v>4328</v>
      </c>
      <c r="F1261" s="10" t="s">
        <v>4329</v>
      </c>
      <c r="G1261" s="213" t="s">
        <v>4387</v>
      </c>
      <c r="H1261" s="10" t="s">
        <v>4388</v>
      </c>
      <c r="K1261" s="213" t="s">
        <v>4389</v>
      </c>
      <c r="L1261" s="10" t="s">
        <v>4390</v>
      </c>
      <c r="N1261" s="16"/>
      <c r="O1261" s="16"/>
      <c r="P1261" s="16"/>
      <c r="Q1261" s="16"/>
      <c r="R1261" s="16"/>
      <c r="S1261" s="16"/>
      <c r="U1261" s="283" t="e">
        <v>#N/A</v>
      </c>
      <c r="V1261" s="10" t="s">
        <v>4396</v>
      </c>
      <c r="W1261" s="10">
        <v>1</v>
      </c>
      <c r="X1261" s="10">
        <v>1</v>
      </c>
      <c r="Y1261" s="10">
        <v>1</v>
      </c>
      <c r="Z1261" s="10">
        <v>0</v>
      </c>
      <c r="AA1261" s="10">
        <v>1</v>
      </c>
      <c r="AB1261" s="10">
        <v>0</v>
      </c>
      <c r="AC1261" s="316">
        <v>0</v>
      </c>
      <c r="AD1261" s="316">
        <v>1</v>
      </c>
      <c r="AE1261" s="302">
        <f t="shared" si="86"/>
        <v>0.625</v>
      </c>
      <c r="AF1261" s="32"/>
      <c r="AG1261" s="17">
        <v>0</v>
      </c>
      <c r="AH1261" s="32" t="s">
        <v>271</v>
      </c>
      <c r="AI1261" s="32" t="s">
        <v>271</v>
      </c>
      <c r="AJ1261" s="32">
        <v>20</v>
      </c>
      <c r="AK1261" s="214">
        <v>50</v>
      </c>
      <c r="AL1261" s="214">
        <v>30</v>
      </c>
      <c r="AM1261" s="17">
        <f t="shared" si="87"/>
        <v>80</v>
      </c>
      <c r="AN1261" s="18" t="s">
        <v>619</v>
      </c>
      <c r="AO1261" s="18" t="s">
        <v>350</v>
      </c>
      <c r="AP1261" s="10" t="s">
        <v>4397</v>
      </c>
    </row>
    <row r="1262" spans="1:42" s="10" customFormat="1" hidden="1" x14ac:dyDescent="0.3">
      <c r="A1262" s="213" t="s">
        <v>1444</v>
      </c>
      <c r="B1262" s="10" t="s">
        <v>4050</v>
      </c>
      <c r="C1262" s="213" t="s">
        <v>1445</v>
      </c>
      <c r="D1262" s="10" t="s">
        <v>4052</v>
      </c>
      <c r="E1262" s="213" t="s">
        <v>4328</v>
      </c>
      <c r="F1262" s="10" t="s">
        <v>4329</v>
      </c>
      <c r="G1262" s="213" t="s">
        <v>4387</v>
      </c>
      <c r="H1262" s="10" t="s">
        <v>4388</v>
      </c>
      <c r="K1262" s="213" t="s">
        <v>4389</v>
      </c>
      <c r="L1262" s="10" t="s">
        <v>4390</v>
      </c>
      <c r="N1262" s="16"/>
      <c r="O1262" s="16"/>
      <c r="P1262" s="16"/>
      <c r="Q1262" s="16"/>
      <c r="R1262" s="16"/>
      <c r="S1262" s="16"/>
      <c r="U1262" s="283" t="e">
        <v>#N/A</v>
      </c>
      <c r="V1262" s="10" t="s">
        <v>4398</v>
      </c>
      <c r="W1262" s="10">
        <v>1</v>
      </c>
      <c r="X1262" s="10">
        <v>0</v>
      </c>
      <c r="Y1262" s="10">
        <v>0</v>
      </c>
      <c r="Z1262" s="10">
        <v>1</v>
      </c>
      <c r="AA1262" s="10">
        <v>1</v>
      </c>
      <c r="AB1262" s="10">
        <v>0</v>
      </c>
      <c r="AC1262" s="316">
        <v>0</v>
      </c>
      <c r="AD1262" s="316">
        <v>0</v>
      </c>
      <c r="AE1262" s="302">
        <f t="shared" si="86"/>
        <v>0.375</v>
      </c>
      <c r="AF1262" s="32"/>
      <c r="AG1262" s="17">
        <v>0</v>
      </c>
      <c r="AH1262" s="32" t="s">
        <v>271</v>
      </c>
      <c r="AI1262" s="32">
        <v>0.15</v>
      </c>
      <c r="AJ1262" s="32">
        <v>0.1</v>
      </c>
      <c r="AK1262" s="214" t="s">
        <v>271</v>
      </c>
      <c r="AL1262" s="214" t="s">
        <v>271</v>
      </c>
      <c r="AM1262" s="17">
        <f t="shared" si="87"/>
        <v>0</v>
      </c>
      <c r="AN1262" s="32" t="s">
        <v>831</v>
      </c>
      <c r="AO1262" s="18" t="s">
        <v>834</v>
      </c>
      <c r="AP1262" s="10" t="s">
        <v>4399</v>
      </c>
    </row>
    <row r="1263" spans="1:42" s="10" customFormat="1" hidden="1" x14ac:dyDescent="0.3">
      <c r="A1263" s="213" t="s">
        <v>1444</v>
      </c>
      <c r="B1263" s="10" t="s">
        <v>4050</v>
      </c>
      <c r="C1263" s="213" t="s">
        <v>1445</v>
      </c>
      <c r="D1263" s="10" t="s">
        <v>4052</v>
      </c>
      <c r="E1263" s="213" t="s">
        <v>4328</v>
      </c>
      <c r="F1263" s="10" t="s">
        <v>4329</v>
      </c>
      <c r="G1263" s="213" t="s">
        <v>4400</v>
      </c>
      <c r="H1263" s="10" t="s">
        <v>4401</v>
      </c>
      <c r="K1263" s="213" t="s">
        <v>4402</v>
      </c>
      <c r="L1263" s="10" t="s">
        <v>4403</v>
      </c>
      <c r="M1263" s="10" t="s">
        <v>4404</v>
      </c>
      <c r="N1263" s="16">
        <v>20</v>
      </c>
      <c r="O1263" s="16">
        <v>20</v>
      </c>
      <c r="P1263" s="16">
        <v>20</v>
      </c>
      <c r="Q1263" s="16">
        <v>20</v>
      </c>
      <c r="R1263" s="16">
        <v>20</v>
      </c>
      <c r="S1263" s="16">
        <v>20</v>
      </c>
      <c r="T1263" s="10" t="s">
        <v>1035</v>
      </c>
      <c r="U1263" s="283" t="s">
        <v>1037</v>
      </c>
      <c r="V1263" s="10" t="s">
        <v>4405</v>
      </c>
      <c r="W1263" s="10">
        <v>1</v>
      </c>
      <c r="X1263" s="10">
        <v>0</v>
      </c>
      <c r="Y1263" s="10">
        <v>0</v>
      </c>
      <c r="Z1263" s="10">
        <v>1</v>
      </c>
      <c r="AA1263" s="10">
        <v>1</v>
      </c>
      <c r="AB1263" s="10">
        <v>1</v>
      </c>
      <c r="AC1263" s="316">
        <v>0</v>
      </c>
      <c r="AD1263" s="316">
        <v>1</v>
      </c>
      <c r="AE1263" s="302">
        <f t="shared" si="86"/>
        <v>0.625</v>
      </c>
      <c r="AF1263" s="32"/>
      <c r="AG1263" s="17">
        <v>0</v>
      </c>
      <c r="AH1263" s="32" t="s">
        <v>2112</v>
      </c>
      <c r="AI1263" s="32" t="s">
        <v>2112</v>
      </c>
      <c r="AJ1263" s="32">
        <v>0.5</v>
      </c>
      <c r="AK1263" s="214" t="s">
        <v>4406</v>
      </c>
      <c r="AL1263" s="214">
        <v>0.5</v>
      </c>
      <c r="AM1263" s="17">
        <f t="shared" si="87"/>
        <v>0.5</v>
      </c>
      <c r="AN1263" s="176" t="s">
        <v>921</v>
      </c>
      <c r="AO1263" s="18" t="s">
        <v>880</v>
      </c>
      <c r="AP1263" s="10" t="s">
        <v>4407</v>
      </c>
    </row>
    <row r="1264" spans="1:42" s="10" customFormat="1" hidden="1" x14ac:dyDescent="0.3">
      <c r="A1264" s="213" t="s">
        <v>1444</v>
      </c>
      <c r="B1264" s="10" t="s">
        <v>4050</v>
      </c>
      <c r="C1264" s="213" t="s">
        <v>1445</v>
      </c>
      <c r="D1264" s="10" t="s">
        <v>4052</v>
      </c>
      <c r="E1264" s="213" t="s">
        <v>4328</v>
      </c>
      <c r="F1264" s="10" t="s">
        <v>4329</v>
      </c>
      <c r="G1264" s="213" t="s">
        <v>4400</v>
      </c>
      <c r="H1264" s="10" t="s">
        <v>4401</v>
      </c>
      <c r="K1264" s="213" t="s">
        <v>4402</v>
      </c>
      <c r="L1264" s="10" t="s">
        <v>4403</v>
      </c>
      <c r="N1264" s="16"/>
      <c r="O1264" s="16"/>
      <c r="P1264" s="16"/>
      <c r="Q1264" s="16"/>
      <c r="R1264" s="16"/>
      <c r="S1264" s="16"/>
      <c r="U1264" s="283" t="e">
        <v>#N/A</v>
      </c>
      <c r="V1264" s="10" t="s">
        <v>4405</v>
      </c>
      <c r="W1264" s="10">
        <v>1</v>
      </c>
      <c r="X1264" s="10">
        <v>0</v>
      </c>
      <c r="Y1264" s="10">
        <v>0</v>
      </c>
      <c r="Z1264" s="10">
        <v>1</v>
      </c>
      <c r="AA1264" s="10">
        <v>1</v>
      </c>
      <c r="AB1264" s="10">
        <v>1</v>
      </c>
      <c r="AC1264" s="316">
        <v>0</v>
      </c>
      <c r="AD1264" s="316">
        <v>1</v>
      </c>
      <c r="AE1264" s="302">
        <f t="shared" si="86"/>
        <v>0.625</v>
      </c>
      <c r="AF1264" s="32"/>
      <c r="AG1264" s="17">
        <v>0</v>
      </c>
      <c r="AH1264" s="32" t="s">
        <v>271</v>
      </c>
      <c r="AI1264" s="32" t="s">
        <v>271</v>
      </c>
      <c r="AJ1264" s="32">
        <v>0</v>
      </c>
      <c r="AK1264" s="214">
        <v>0</v>
      </c>
      <c r="AL1264" s="214">
        <v>0</v>
      </c>
      <c r="AM1264" s="17">
        <f t="shared" si="87"/>
        <v>0</v>
      </c>
      <c r="AN1264" s="32" t="s">
        <v>4067</v>
      </c>
      <c r="AO1264" s="18" t="s">
        <v>1037</v>
      </c>
      <c r="AP1264" s="10" t="s">
        <v>119</v>
      </c>
    </row>
    <row r="1265" spans="1:42" s="10" customFormat="1" hidden="1" x14ac:dyDescent="0.3">
      <c r="A1265" s="213" t="s">
        <v>1444</v>
      </c>
      <c r="B1265" s="10" t="s">
        <v>4050</v>
      </c>
      <c r="C1265" s="213" t="s">
        <v>1445</v>
      </c>
      <c r="D1265" s="10" t="s">
        <v>4052</v>
      </c>
      <c r="E1265" s="213" t="s">
        <v>4328</v>
      </c>
      <c r="F1265" s="10" t="s">
        <v>4329</v>
      </c>
      <c r="G1265" s="213" t="s">
        <v>4400</v>
      </c>
      <c r="H1265" s="10" t="s">
        <v>4401</v>
      </c>
      <c r="K1265" s="213" t="s">
        <v>4402</v>
      </c>
      <c r="L1265" s="10" t="s">
        <v>4403</v>
      </c>
      <c r="N1265" s="16"/>
      <c r="O1265" s="16"/>
      <c r="P1265" s="16"/>
      <c r="Q1265" s="16"/>
      <c r="R1265" s="16"/>
      <c r="S1265" s="16"/>
      <c r="U1265" s="283" t="e">
        <v>#N/A</v>
      </c>
      <c r="V1265" s="10" t="s">
        <v>4405</v>
      </c>
      <c r="W1265" s="10">
        <v>1</v>
      </c>
      <c r="X1265" s="10">
        <v>0</v>
      </c>
      <c r="Y1265" s="10">
        <v>0</v>
      </c>
      <c r="Z1265" s="10">
        <v>1</v>
      </c>
      <c r="AA1265" s="10">
        <v>1</v>
      </c>
      <c r="AB1265" s="10">
        <v>1</v>
      </c>
      <c r="AC1265" s="316">
        <v>0</v>
      </c>
      <c r="AD1265" s="316">
        <v>1</v>
      </c>
      <c r="AE1265" s="302">
        <f t="shared" si="86"/>
        <v>0.625</v>
      </c>
      <c r="AF1265" s="32"/>
      <c r="AG1265" s="17">
        <v>0</v>
      </c>
      <c r="AH1265" s="32" t="s">
        <v>271</v>
      </c>
      <c r="AI1265" s="32" t="s">
        <v>271</v>
      </c>
      <c r="AJ1265" s="32">
        <v>0</v>
      </c>
      <c r="AK1265" s="214">
        <v>0</v>
      </c>
      <c r="AL1265" s="214">
        <v>0</v>
      </c>
      <c r="AM1265" s="17">
        <f t="shared" si="87"/>
        <v>0</v>
      </c>
      <c r="AN1265" s="18" t="s">
        <v>869</v>
      </c>
      <c r="AO1265" s="18" t="s">
        <v>871</v>
      </c>
      <c r="AP1265" s="10" t="s">
        <v>119</v>
      </c>
    </row>
    <row r="1266" spans="1:42" s="10" customFormat="1" hidden="1" x14ac:dyDescent="0.3">
      <c r="A1266" s="213" t="s">
        <v>1444</v>
      </c>
      <c r="B1266" s="10" t="s">
        <v>4050</v>
      </c>
      <c r="C1266" s="213" t="s">
        <v>1445</v>
      </c>
      <c r="D1266" s="10" t="s">
        <v>4052</v>
      </c>
      <c r="E1266" s="213" t="s">
        <v>4328</v>
      </c>
      <c r="F1266" s="10" t="s">
        <v>4329</v>
      </c>
      <c r="G1266" s="213" t="s">
        <v>4400</v>
      </c>
      <c r="H1266" s="10" t="s">
        <v>4401</v>
      </c>
      <c r="K1266" s="213" t="s">
        <v>4402</v>
      </c>
      <c r="L1266" s="10" t="s">
        <v>4403</v>
      </c>
      <c r="N1266" s="16"/>
      <c r="O1266" s="16"/>
      <c r="P1266" s="16"/>
      <c r="Q1266" s="16"/>
      <c r="R1266" s="16"/>
      <c r="S1266" s="16"/>
      <c r="U1266" s="283" t="e">
        <v>#N/A</v>
      </c>
      <c r="V1266" s="10" t="s">
        <v>4405</v>
      </c>
      <c r="W1266" s="10">
        <v>1</v>
      </c>
      <c r="X1266" s="10">
        <v>0</v>
      </c>
      <c r="Y1266" s="10">
        <v>0</v>
      </c>
      <c r="Z1266" s="10">
        <v>1</v>
      </c>
      <c r="AA1266" s="10">
        <v>1</v>
      </c>
      <c r="AB1266" s="10">
        <v>1</v>
      </c>
      <c r="AC1266" s="316">
        <v>0</v>
      </c>
      <c r="AD1266" s="316">
        <v>1</v>
      </c>
      <c r="AE1266" s="302">
        <f t="shared" si="86"/>
        <v>0.625</v>
      </c>
      <c r="AF1266" s="32"/>
      <c r="AG1266" s="17">
        <v>0</v>
      </c>
      <c r="AH1266" s="32" t="s">
        <v>271</v>
      </c>
      <c r="AI1266" s="32" t="s">
        <v>271</v>
      </c>
      <c r="AJ1266" s="32">
        <v>0.5</v>
      </c>
      <c r="AK1266" s="214">
        <v>0.5</v>
      </c>
      <c r="AL1266" s="214">
        <v>0.5</v>
      </c>
      <c r="AM1266" s="17">
        <f t="shared" si="87"/>
        <v>1</v>
      </c>
      <c r="AN1266" s="10" t="s">
        <v>1233</v>
      </c>
      <c r="AO1266" s="18" t="s">
        <v>1650</v>
      </c>
      <c r="AP1266" s="10" t="s">
        <v>4408</v>
      </c>
    </row>
    <row r="1267" spans="1:42" s="10" customFormat="1" x14ac:dyDescent="0.3">
      <c r="A1267" s="213" t="s">
        <v>1444</v>
      </c>
      <c r="B1267" s="10" t="s">
        <v>4050</v>
      </c>
      <c r="C1267" s="213" t="s">
        <v>1445</v>
      </c>
      <c r="D1267" s="10" t="s">
        <v>4052</v>
      </c>
      <c r="E1267" s="213" t="s">
        <v>4328</v>
      </c>
      <c r="F1267" s="10" t="s">
        <v>4329</v>
      </c>
      <c r="G1267" s="213" t="s">
        <v>4400</v>
      </c>
      <c r="H1267" s="10" t="s">
        <v>4401</v>
      </c>
      <c r="K1267" s="213" t="s">
        <v>4402</v>
      </c>
      <c r="L1267" s="10" t="s">
        <v>4403</v>
      </c>
      <c r="N1267" s="16"/>
      <c r="O1267" s="16"/>
      <c r="P1267" s="16"/>
      <c r="Q1267" s="16"/>
      <c r="R1267" s="16"/>
      <c r="S1267" s="16"/>
      <c r="U1267" s="283" t="e">
        <v>#N/A</v>
      </c>
      <c r="V1267" s="10" t="s">
        <v>4409</v>
      </c>
      <c r="W1267" s="10">
        <v>1</v>
      </c>
      <c r="X1267" s="10">
        <v>1</v>
      </c>
      <c r="Y1267" s="10">
        <v>1</v>
      </c>
      <c r="Z1267" s="10">
        <v>1</v>
      </c>
      <c r="AA1267" s="10">
        <v>1</v>
      </c>
      <c r="AB1267" s="10">
        <v>1</v>
      </c>
      <c r="AC1267" s="316">
        <v>0</v>
      </c>
      <c r="AD1267" s="316">
        <v>1</v>
      </c>
      <c r="AE1267" s="302">
        <f t="shared" si="86"/>
        <v>0.875</v>
      </c>
      <c r="AF1267" s="32"/>
      <c r="AG1267" s="17">
        <v>0</v>
      </c>
      <c r="AH1267" s="32" t="s">
        <v>271</v>
      </c>
      <c r="AI1267" s="32">
        <v>0.2</v>
      </c>
      <c r="AJ1267" s="32">
        <v>0.2</v>
      </c>
      <c r="AK1267" s="214">
        <v>0.2</v>
      </c>
      <c r="AL1267" s="214">
        <v>0.2</v>
      </c>
      <c r="AM1267" s="17">
        <f t="shared" si="87"/>
        <v>0.4</v>
      </c>
      <c r="AN1267" s="32" t="s">
        <v>4410</v>
      </c>
      <c r="AO1267" s="18" t="s">
        <v>880</v>
      </c>
      <c r="AP1267" s="10" t="s">
        <v>4068</v>
      </c>
    </row>
    <row r="1268" spans="1:42" s="10" customFormat="1" x14ac:dyDescent="0.3">
      <c r="A1268" s="213" t="s">
        <v>1444</v>
      </c>
      <c r="B1268" s="10" t="s">
        <v>4050</v>
      </c>
      <c r="C1268" s="213" t="s">
        <v>1445</v>
      </c>
      <c r="D1268" s="10" t="s">
        <v>4052</v>
      </c>
      <c r="E1268" s="213" t="s">
        <v>4328</v>
      </c>
      <c r="F1268" s="10" t="s">
        <v>4329</v>
      </c>
      <c r="G1268" s="213" t="s">
        <v>4400</v>
      </c>
      <c r="H1268" s="10" t="s">
        <v>4401</v>
      </c>
      <c r="K1268" s="213" t="s">
        <v>4402</v>
      </c>
      <c r="L1268" s="10" t="s">
        <v>4403</v>
      </c>
      <c r="N1268" s="16"/>
      <c r="O1268" s="16"/>
      <c r="P1268" s="16"/>
      <c r="Q1268" s="16"/>
      <c r="R1268" s="16"/>
      <c r="S1268" s="16"/>
      <c r="U1268" s="283" t="e">
        <v>#N/A</v>
      </c>
      <c r="V1268" s="10" t="s">
        <v>4409</v>
      </c>
      <c r="W1268" s="10">
        <v>1</v>
      </c>
      <c r="X1268" s="10">
        <v>1</v>
      </c>
      <c r="Y1268" s="10">
        <v>1</v>
      </c>
      <c r="Z1268" s="10">
        <v>1</v>
      </c>
      <c r="AA1268" s="10">
        <v>1</v>
      </c>
      <c r="AB1268" s="10">
        <v>1</v>
      </c>
      <c r="AC1268" s="316">
        <v>0</v>
      </c>
      <c r="AD1268" s="316">
        <v>1</v>
      </c>
      <c r="AE1268" s="302">
        <f t="shared" si="86"/>
        <v>0.875</v>
      </c>
      <c r="AF1268" s="32"/>
      <c r="AG1268" s="17">
        <v>0</v>
      </c>
      <c r="AH1268" s="32" t="s">
        <v>271</v>
      </c>
      <c r="AI1268" s="32">
        <v>0</v>
      </c>
      <c r="AJ1268" s="32">
        <v>10</v>
      </c>
      <c r="AK1268" s="214">
        <v>10</v>
      </c>
      <c r="AL1268" s="214">
        <v>10</v>
      </c>
      <c r="AM1268" s="17">
        <f t="shared" si="87"/>
        <v>20</v>
      </c>
      <c r="AN1268" s="18" t="s">
        <v>619</v>
      </c>
      <c r="AO1268" s="18" t="s">
        <v>350</v>
      </c>
      <c r="AP1268" s="10" t="s">
        <v>4411</v>
      </c>
    </row>
    <row r="1269" spans="1:42" s="10" customFormat="1" x14ac:dyDescent="0.3">
      <c r="A1269" s="213" t="s">
        <v>1444</v>
      </c>
      <c r="B1269" s="10" t="s">
        <v>4050</v>
      </c>
      <c r="C1269" s="213" t="s">
        <v>1445</v>
      </c>
      <c r="D1269" s="10" t="s">
        <v>4052</v>
      </c>
      <c r="E1269" s="213" t="s">
        <v>4328</v>
      </c>
      <c r="F1269" s="10" t="s">
        <v>4329</v>
      </c>
      <c r="G1269" s="213" t="s">
        <v>4400</v>
      </c>
      <c r="H1269" s="10" t="s">
        <v>4401</v>
      </c>
      <c r="K1269" s="213" t="s">
        <v>4402</v>
      </c>
      <c r="L1269" s="10" t="s">
        <v>4403</v>
      </c>
      <c r="N1269" s="16"/>
      <c r="O1269" s="16"/>
      <c r="P1269" s="16"/>
      <c r="Q1269" s="16"/>
      <c r="R1269" s="16"/>
      <c r="S1269" s="16"/>
      <c r="U1269" s="283" t="e">
        <v>#N/A</v>
      </c>
      <c r="V1269" s="10" t="s">
        <v>4409</v>
      </c>
      <c r="W1269" s="10">
        <v>1</v>
      </c>
      <c r="X1269" s="10">
        <v>1</v>
      </c>
      <c r="Y1269" s="10">
        <v>1</v>
      </c>
      <c r="Z1269" s="10">
        <v>1</v>
      </c>
      <c r="AA1269" s="10">
        <v>1</v>
      </c>
      <c r="AB1269" s="10">
        <v>1</v>
      </c>
      <c r="AC1269" s="316">
        <v>0</v>
      </c>
      <c r="AD1269" s="316">
        <v>1</v>
      </c>
      <c r="AE1269" s="302">
        <f t="shared" si="86"/>
        <v>0.875</v>
      </c>
      <c r="AF1269" s="32"/>
      <c r="AG1269" s="17">
        <v>0</v>
      </c>
      <c r="AH1269" s="32" t="s">
        <v>271</v>
      </c>
      <c r="AI1269" s="32">
        <v>0</v>
      </c>
      <c r="AJ1269" s="32">
        <v>0</v>
      </c>
      <c r="AK1269" s="214">
        <v>0</v>
      </c>
      <c r="AL1269" s="214">
        <v>0</v>
      </c>
      <c r="AM1269" s="17">
        <f t="shared" si="87"/>
        <v>0</v>
      </c>
      <c r="AN1269" s="18" t="s">
        <v>869</v>
      </c>
      <c r="AO1269" s="18" t="s">
        <v>871</v>
      </c>
      <c r="AP1269" s="10" t="s">
        <v>119</v>
      </c>
    </row>
    <row r="1270" spans="1:42" s="10" customFormat="1" x14ac:dyDescent="0.3">
      <c r="A1270" s="213" t="s">
        <v>1444</v>
      </c>
      <c r="B1270" s="10" t="s">
        <v>4050</v>
      </c>
      <c r="C1270" s="213" t="s">
        <v>1445</v>
      </c>
      <c r="D1270" s="10" t="s">
        <v>4052</v>
      </c>
      <c r="E1270" s="213" t="s">
        <v>4328</v>
      </c>
      <c r="F1270" s="10" t="s">
        <v>4329</v>
      </c>
      <c r="G1270" s="213" t="s">
        <v>4400</v>
      </c>
      <c r="H1270" s="10" t="s">
        <v>4401</v>
      </c>
      <c r="K1270" s="213" t="s">
        <v>4402</v>
      </c>
      <c r="L1270" s="10" t="s">
        <v>4403</v>
      </c>
      <c r="N1270" s="16"/>
      <c r="O1270" s="16"/>
      <c r="P1270" s="16"/>
      <c r="Q1270" s="16"/>
      <c r="R1270" s="16"/>
      <c r="S1270" s="16"/>
      <c r="U1270" s="283" t="e">
        <v>#N/A</v>
      </c>
      <c r="V1270" s="10" t="s">
        <v>4409</v>
      </c>
      <c r="W1270" s="10">
        <v>1</v>
      </c>
      <c r="X1270" s="10">
        <v>1</v>
      </c>
      <c r="Y1270" s="10">
        <v>1</v>
      </c>
      <c r="Z1270" s="10">
        <v>1</v>
      </c>
      <c r="AA1270" s="10">
        <v>1</v>
      </c>
      <c r="AB1270" s="10">
        <v>1</v>
      </c>
      <c r="AC1270" s="316">
        <v>0</v>
      </c>
      <c r="AD1270" s="316">
        <v>1</v>
      </c>
      <c r="AE1270" s="302">
        <f t="shared" si="86"/>
        <v>0.875</v>
      </c>
      <c r="AF1270" s="32"/>
      <c r="AG1270" s="17">
        <v>0</v>
      </c>
      <c r="AH1270" s="32" t="s">
        <v>271</v>
      </c>
      <c r="AI1270" s="32">
        <v>0</v>
      </c>
      <c r="AJ1270" s="32">
        <v>0</v>
      </c>
      <c r="AK1270" s="214">
        <v>0</v>
      </c>
      <c r="AL1270" s="214">
        <v>0</v>
      </c>
      <c r="AM1270" s="17">
        <f t="shared" si="87"/>
        <v>0</v>
      </c>
      <c r="AN1270" s="10" t="s">
        <v>3875</v>
      </c>
      <c r="AO1270" s="18" t="s">
        <v>3877</v>
      </c>
      <c r="AP1270" s="10" t="s">
        <v>119</v>
      </c>
    </row>
    <row r="1271" spans="1:42" s="10" customFormat="1" x14ac:dyDescent="0.3">
      <c r="A1271" s="213" t="s">
        <v>1444</v>
      </c>
      <c r="B1271" s="10" t="s">
        <v>4050</v>
      </c>
      <c r="C1271" s="213" t="s">
        <v>1445</v>
      </c>
      <c r="D1271" s="10" t="s">
        <v>4052</v>
      </c>
      <c r="E1271" s="213" t="s">
        <v>4328</v>
      </c>
      <c r="F1271" s="10" t="s">
        <v>4329</v>
      </c>
      <c r="G1271" s="213" t="s">
        <v>4400</v>
      </c>
      <c r="H1271" s="10" t="s">
        <v>4401</v>
      </c>
      <c r="K1271" s="213" t="s">
        <v>4402</v>
      </c>
      <c r="L1271" s="10" t="s">
        <v>4403</v>
      </c>
      <c r="N1271" s="16"/>
      <c r="O1271" s="16"/>
      <c r="P1271" s="16"/>
      <c r="Q1271" s="16"/>
      <c r="R1271" s="16"/>
      <c r="S1271" s="16"/>
      <c r="U1271" s="283" t="e">
        <v>#N/A</v>
      </c>
      <c r="V1271" s="10" t="s">
        <v>4409</v>
      </c>
      <c r="W1271" s="10">
        <v>1</v>
      </c>
      <c r="X1271" s="10">
        <v>1</v>
      </c>
      <c r="Y1271" s="10">
        <v>1</v>
      </c>
      <c r="Z1271" s="10">
        <v>1</v>
      </c>
      <c r="AA1271" s="10">
        <v>1</v>
      </c>
      <c r="AB1271" s="10">
        <v>1</v>
      </c>
      <c r="AC1271" s="316">
        <v>0</v>
      </c>
      <c r="AD1271" s="316">
        <v>1</v>
      </c>
      <c r="AE1271" s="302">
        <f t="shared" si="86"/>
        <v>0.875</v>
      </c>
      <c r="AF1271" s="32"/>
      <c r="AG1271" s="17">
        <v>0</v>
      </c>
      <c r="AH1271" s="32" t="s">
        <v>271</v>
      </c>
      <c r="AI1271" s="32">
        <v>0</v>
      </c>
      <c r="AJ1271" s="32">
        <v>0</v>
      </c>
      <c r="AK1271" s="214">
        <v>1</v>
      </c>
      <c r="AL1271" s="214">
        <v>1</v>
      </c>
      <c r="AM1271" s="17">
        <f t="shared" si="87"/>
        <v>2</v>
      </c>
      <c r="AN1271" s="32" t="s">
        <v>4067</v>
      </c>
      <c r="AO1271" s="18" t="s">
        <v>1037</v>
      </c>
      <c r="AP1271" s="10" t="s">
        <v>119</v>
      </c>
    </row>
    <row r="1272" spans="1:42" s="10" customFormat="1" hidden="1" x14ac:dyDescent="0.3">
      <c r="A1272" s="213" t="s">
        <v>1444</v>
      </c>
      <c r="B1272" s="10" t="s">
        <v>4050</v>
      </c>
      <c r="C1272" s="213" t="s">
        <v>1445</v>
      </c>
      <c r="D1272" s="10" t="s">
        <v>4052</v>
      </c>
      <c r="E1272" s="213" t="s">
        <v>4328</v>
      </c>
      <c r="F1272" s="10" t="s">
        <v>4329</v>
      </c>
      <c r="G1272" s="213" t="s">
        <v>4400</v>
      </c>
      <c r="H1272" s="10" t="s">
        <v>4401</v>
      </c>
      <c r="K1272" s="213" t="s">
        <v>4402</v>
      </c>
      <c r="L1272" s="10" t="s">
        <v>4403</v>
      </c>
      <c r="N1272" s="16"/>
      <c r="O1272" s="16"/>
      <c r="P1272" s="16"/>
      <c r="Q1272" s="16"/>
      <c r="R1272" s="16"/>
      <c r="S1272" s="16"/>
      <c r="U1272" s="283" t="e">
        <v>#N/A</v>
      </c>
      <c r="V1272" s="10" t="s">
        <v>4412</v>
      </c>
      <c r="W1272" s="10">
        <v>1</v>
      </c>
      <c r="X1272" s="10">
        <v>0</v>
      </c>
      <c r="Y1272" s="10">
        <v>0</v>
      </c>
      <c r="Z1272" s="10">
        <v>1</v>
      </c>
      <c r="AA1272" s="10">
        <v>1</v>
      </c>
      <c r="AB1272" s="10">
        <v>1</v>
      </c>
      <c r="AC1272" s="316">
        <v>0</v>
      </c>
      <c r="AD1272" s="316">
        <v>0</v>
      </c>
      <c r="AE1272" s="302">
        <f t="shared" si="86"/>
        <v>0.5</v>
      </c>
      <c r="AF1272" s="32"/>
      <c r="AG1272" s="17">
        <v>0</v>
      </c>
      <c r="AH1272" s="32" t="s">
        <v>271</v>
      </c>
      <c r="AI1272" s="32">
        <v>0.1</v>
      </c>
      <c r="AJ1272" s="32">
        <v>0.1</v>
      </c>
      <c r="AK1272" s="214">
        <v>0.1</v>
      </c>
      <c r="AL1272" s="214">
        <v>0.1</v>
      </c>
      <c r="AM1272" s="17">
        <f t="shared" si="87"/>
        <v>0.2</v>
      </c>
      <c r="AN1272" s="32" t="s">
        <v>4067</v>
      </c>
      <c r="AO1272" s="18" t="s">
        <v>1037</v>
      </c>
      <c r="AP1272" s="10" t="s">
        <v>4413</v>
      </c>
    </row>
    <row r="1273" spans="1:42" s="10" customFormat="1" hidden="1" x14ac:dyDescent="0.3">
      <c r="A1273" s="213" t="s">
        <v>1444</v>
      </c>
      <c r="B1273" s="10" t="s">
        <v>4050</v>
      </c>
      <c r="C1273" s="213" t="s">
        <v>1445</v>
      </c>
      <c r="D1273" s="10" t="s">
        <v>4052</v>
      </c>
      <c r="E1273" s="213" t="s">
        <v>4328</v>
      </c>
      <c r="F1273" s="10" t="s">
        <v>4329</v>
      </c>
      <c r="G1273" s="213" t="s">
        <v>4400</v>
      </c>
      <c r="H1273" s="10" t="s">
        <v>4401</v>
      </c>
      <c r="K1273" s="213" t="s">
        <v>4402</v>
      </c>
      <c r="L1273" s="10" t="s">
        <v>4403</v>
      </c>
      <c r="N1273" s="16"/>
      <c r="O1273" s="16"/>
      <c r="P1273" s="16"/>
      <c r="Q1273" s="16"/>
      <c r="R1273" s="16"/>
      <c r="S1273" s="16"/>
      <c r="U1273" s="283" t="e">
        <v>#N/A</v>
      </c>
      <c r="V1273" s="10" t="s">
        <v>4412</v>
      </c>
      <c r="W1273" s="10">
        <v>1</v>
      </c>
      <c r="X1273" s="10">
        <v>0</v>
      </c>
      <c r="Y1273" s="10">
        <v>0</v>
      </c>
      <c r="Z1273" s="10">
        <v>1</v>
      </c>
      <c r="AA1273" s="10">
        <v>1</v>
      </c>
      <c r="AB1273" s="10">
        <v>1</v>
      </c>
      <c r="AC1273" s="316">
        <v>0</v>
      </c>
      <c r="AD1273" s="316">
        <v>0</v>
      </c>
      <c r="AE1273" s="302">
        <f t="shared" si="86"/>
        <v>0.5</v>
      </c>
      <c r="AF1273" s="32"/>
      <c r="AG1273" s="17">
        <v>0</v>
      </c>
      <c r="AH1273" s="32" t="s">
        <v>271</v>
      </c>
      <c r="AI1273" s="32">
        <v>0.2</v>
      </c>
      <c r="AJ1273" s="32">
        <v>0.2</v>
      </c>
      <c r="AK1273" s="214">
        <v>0.2</v>
      </c>
      <c r="AL1273" s="214">
        <v>0.2</v>
      </c>
      <c r="AM1273" s="17">
        <f t="shared" si="87"/>
        <v>0.4</v>
      </c>
      <c r="AN1273" s="18" t="s">
        <v>869</v>
      </c>
      <c r="AO1273" s="18" t="s">
        <v>871</v>
      </c>
      <c r="AP1273" s="10" t="s">
        <v>4414</v>
      </c>
    </row>
    <row r="1274" spans="1:42" s="10" customFormat="1" x14ac:dyDescent="0.3">
      <c r="A1274" s="213" t="s">
        <v>1444</v>
      </c>
      <c r="B1274" s="10" t="s">
        <v>4050</v>
      </c>
      <c r="C1274" s="213" t="s">
        <v>1445</v>
      </c>
      <c r="D1274" s="10" t="s">
        <v>4052</v>
      </c>
      <c r="E1274" s="213" t="s">
        <v>4328</v>
      </c>
      <c r="F1274" s="10" t="s">
        <v>4329</v>
      </c>
      <c r="G1274" s="213" t="s">
        <v>4415</v>
      </c>
      <c r="H1274" s="10" t="s">
        <v>4416</v>
      </c>
      <c r="K1274" s="213" t="s">
        <v>4417</v>
      </c>
      <c r="L1274" s="10" t="s">
        <v>4390</v>
      </c>
      <c r="M1274" s="10" t="s">
        <v>4391</v>
      </c>
      <c r="N1274" s="16">
        <v>10</v>
      </c>
      <c r="O1274" s="16">
        <v>10</v>
      </c>
      <c r="P1274" s="16">
        <v>12.5</v>
      </c>
      <c r="Q1274" s="16">
        <v>20</v>
      </c>
      <c r="R1274" s="16">
        <v>31.25</v>
      </c>
      <c r="S1274" s="16">
        <v>41.25</v>
      </c>
      <c r="T1274" s="10" t="s">
        <v>1035</v>
      </c>
      <c r="U1274" s="283" t="s">
        <v>1037</v>
      </c>
      <c r="V1274" s="10" t="s">
        <v>4418</v>
      </c>
      <c r="W1274" s="10">
        <v>1</v>
      </c>
      <c r="X1274" s="10">
        <v>1</v>
      </c>
      <c r="Y1274" s="10">
        <v>0</v>
      </c>
      <c r="Z1274" s="10">
        <v>1</v>
      </c>
      <c r="AA1274" s="10">
        <v>1</v>
      </c>
      <c r="AB1274" s="10">
        <v>1</v>
      </c>
      <c r="AC1274" s="316">
        <v>0</v>
      </c>
      <c r="AD1274" s="316">
        <v>1</v>
      </c>
      <c r="AE1274" s="302">
        <f t="shared" si="86"/>
        <v>0.75</v>
      </c>
      <c r="AF1274" s="32"/>
      <c r="AG1274" s="17">
        <v>0</v>
      </c>
      <c r="AH1274" s="32">
        <v>0</v>
      </c>
      <c r="AI1274" s="32">
        <v>0</v>
      </c>
      <c r="AJ1274" s="32">
        <v>0</v>
      </c>
      <c r="AK1274" s="214">
        <v>30</v>
      </c>
      <c r="AL1274" s="214">
        <v>30</v>
      </c>
      <c r="AM1274" s="17">
        <f t="shared" si="87"/>
        <v>60</v>
      </c>
      <c r="AN1274" s="32" t="s">
        <v>4067</v>
      </c>
      <c r="AO1274" s="18" t="s">
        <v>1037</v>
      </c>
      <c r="AP1274" s="10" t="s">
        <v>119</v>
      </c>
    </row>
    <row r="1275" spans="1:42" s="10" customFormat="1" x14ac:dyDescent="0.3">
      <c r="A1275" s="213" t="s">
        <v>1444</v>
      </c>
      <c r="B1275" s="10" t="s">
        <v>4050</v>
      </c>
      <c r="C1275" s="213" t="s">
        <v>1445</v>
      </c>
      <c r="D1275" s="10" t="s">
        <v>4052</v>
      </c>
      <c r="E1275" s="213" t="s">
        <v>4328</v>
      </c>
      <c r="F1275" s="10" t="s">
        <v>4329</v>
      </c>
      <c r="G1275" s="213" t="s">
        <v>4415</v>
      </c>
      <c r="H1275" s="10" t="s">
        <v>4416</v>
      </c>
      <c r="K1275" s="213" t="s">
        <v>4417</v>
      </c>
      <c r="L1275" s="10" t="s">
        <v>4390</v>
      </c>
      <c r="N1275" s="16"/>
      <c r="O1275" s="16"/>
      <c r="P1275" s="16"/>
      <c r="Q1275" s="16"/>
      <c r="R1275" s="16"/>
      <c r="S1275" s="16"/>
      <c r="U1275" s="283" t="e">
        <v>#N/A</v>
      </c>
      <c r="V1275" s="10" t="s">
        <v>4419</v>
      </c>
      <c r="W1275" s="10">
        <v>1</v>
      </c>
      <c r="X1275" s="10">
        <v>1</v>
      </c>
      <c r="Y1275" s="10">
        <v>1</v>
      </c>
      <c r="Z1275" s="10">
        <v>1</v>
      </c>
      <c r="AA1275" s="10">
        <v>1</v>
      </c>
      <c r="AB1275" s="10">
        <v>1</v>
      </c>
      <c r="AC1275" s="316">
        <v>1</v>
      </c>
      <c r="AD1275" s="316">
        <v>1</v>
      </c>
      <c r="AE1275" s="302">
        <f t="shared" si="86"/>
        <v>1</v>
      </c>
      <c r="AF1275" s="32"/>
      <c r="AG1275" s="17">
        <v>0</v>
      </c>
      <c r="AH1275" s="32" t="s">
        <v>271</v>
      </c>
      <c r="AI1275" s="32">
        <v>0</v>
      </c>
      <c r="AJ1275" s="32">
        <v>0</v>
      </c>
      <c r="AK1275" s="214">
        <v>10</v>
      </c>
      <c r="AL1275" s="214">
        <v>2</v>
      </c>
      <c r="AM1275" s="17">
        <f t="shared" si="87"/>
        <v>12</v>
      </c>
      <c r="AN1275" s="32" t="s">
        <v>4067</v>
      </c>
      <c r="AO1275" s="18" t="s">
        <v>1037</v>
      </c>
      <c r="AP1275" s="10" t="s">
        <v>119</v>
      </c>
    </row>
    <row r="1276" spans="1:42" s="10" customFormat="1" x14ac:dyDescent="0.3">
      <c r="A1276" s="213" t="s">
        <v>1444</v>
      </c>
      <c r="B1276" s="10" t="s">
        <v>4050</v>
      </c>
      <c r="C1276" s="213" t="s">
        <v>1445</v>
      </c>
      <c r="D1276" s="10" t="s">
        <v>4052</v>
      </c>
      <c r="E1276" s="213" t="s">
        <v>4328</v>
      </c>
      <c r="F1276" s="10" t="s">
        <v>4329</v>
      </c>
      <c r="G1276" s="213" t="s">
        <v>4420</v>
      </c>
      <c r="H1276" s="10" t="s">
        <v>4421</v>
      </c>
      <c r="K1276" s="213" t="s">
        <v>4422</v>
      </c>
      <c r="L1276" s="10" t="s">
        <v>4423</v>
      </c>
      <c r="M1276" s="10" t="s">
        <v>4424</v>
      </c>
      <c r="N1276" s="16"/>
      <c r="O1276" s="16"/>
      <c r="P1276" s="16"/>
      <c r="Q1276" s="16"/>
      <c r="R1276" s="16"/>
      <c r="S1276" s="16"/>
      <c r="T1276" s="10" t="s">
        <v>1035</v>
      </c>
      <c r="U1276" s="283" t="s">
        <v>1037</v>
      </c>
      <c r="V1276" s="10" t="s">
        <v>4425</v>
      </c>
      <c r="W1276" s="10">
        <v>1</v>
      </c>
      <c r="X1276" s="10">
        <v>1</v>
      </c>
      <c r="Y1276" s="10">
        <v>1</v>
      </c>
      <c r="Z1276" s="10">
        <v>1</v>
      </c>
      <c r="AA1276" s="10">
        <v>1</v>
      </c>
      <c r="AB1276" s="10">
        <v>0</v>
      </c>
      <c r="AC1276" s="316">
        <v>1</v>
      </c>
      <c r="AD1276" s="316">
        <v>1</v>
      </c>
      <c r="AE1276" s="302">
        <f t="shared" si="86"/>
        <v>0.875</v>
      </c>
      <c r="AF1276" s="32"/>
      <c r="AG1276" s="17">
        <v>0</v>
      </c>
      <c r="AH1276" s="32" t="s">
        <v>271</v>
      </c>
      <c r="AI1276" s="32">
        <v>0.1</v>
      </c>
      <c r="AJ1276" s="32">
        <v>0.2</v>
      </c>
      <c r="AK1276" s="214">
        <v>0.2</v>
      </c>
      <c r="AL1276" s="214">
        <v>0.2</v>
      </c>
      <c r="AM1276" s="17">
        <f t="shared" si="87"/>
        <v>0.4</v>
      </c>
      <c r="AN1276" s="32" t="s">
        <v>4067</v>
      </c>
      <c r="AO1276" s="18" t="s">
        <v>1037</v>
      </c>
      <c r="AP1276" s="10" t="s">
        <v>4426</v>
      </c>
    </row>
    <row r="1277" spans="1:42" s="10" customFormat="1" x14ac:dyDescent="0.3">
      <c r="A1277" s="213" t="s">
        <v>1444</v>
      </c>
      <c r="B1277" s="10" t="s">
        <v>4050</v>
      </c>
      <c r="C1277" s="213" t="s">
        <v>1445</v>
      </c>
      <c r="D1277" s="10" t="s">
        <v>4052</v>
      </c>
      <c r="E1277" s="213" t="s">
        <v>4328</v>
      </c>
      <c r="F1277" s="10" t="s">
        <v>4329</v>
      </c>
      <c r="G1277" s="213" t="s">
        <v>4420</v>
      </c>
      <c r="H1277" s="10" t="s">
        <v>4421</v>
      </c>
      <c r="K1277" s="213" t="s">
        <v>4422</v>
      </c>
      <c r="L1277" s="10" t="s">
        <v>4423</v>
      </c>
      <c r="N1277" s="16"/>
      <c r="O1277" s="16"/>
      <c r="P1277" s="16"/>
      <c r="Q1277" s="16"/>
      <c r="R1277" s="16"/>
      <c r="S1277" s="16"/>
      <c r="U1277" s="283" t="e">
        <v>#N/A</v>
      </c>
      <c r="V1277" s="10" t="s">
        <v>4425</v>
      </c>
      <c r="W1277" s="10">
        <v>1</v>
      </c>
      <c r="X1277" s="10">
        <v>1</v>
      </c>
      <c r="Y1277" s="10">
        <v>1</v>
      </c>
      <c r="Z1277" s="10">
        <v>1</v>
      </c>
      <c r="AA1277" s="10">
        <v>1</v>
      </c>
      <c r="AB1277" s="10">
        <v>0</v>
      </c>
      <c r="AC1277" s="316">
        <v>1</v>
      </c>
      <c r="AD1277" s="316">
        <v>1</v>
      </c>
      <c r="AE1277" s="302">
        <f t="shared" si="86"/>
        <v>0.875</v>
      </c>
      <c r="AF1277" s="32"/>
      <c r="AG1277" s="17">
        <v>0</v>
      </c>
      <c r="AH1277" s="32" t="s">
        <v>271</v>
      </c>
      <c r="AI1277" s="32" t="s">
        <v>271</v>
      </c>
      <c r="AJ1277" s="32" t="s">
        <v>271</v>
      </c>
      <c r="AK1277" s="214" t="s">
        <v>271</v>
      </c>
      <c r="AL1277" s="214">
        <v>10</v>
      </c>
      <c r="AM1277" s="17">
        <f t="shared" si="87"/>
        <v>10</v>
      </c>
      <c r="AN1277" s="18" t="s">
        <v>619</v>
      </c>
      <c r="AO1277" s="18" t="s">
        <v>350</v>
      </c>
      <c r="AP1277" s="10" t="s">
        <v>4427</v>
      </c>
    </row>
    <row r="1278" spans="1:42" s="10" customFormat="1" x14ac:dyDescent="0.3">
      <c r="A1278" s="213" t="s">
        <v>1444</v>
      </c>
      <c r="B1278" s="10" t="s">
        <v>4050</v>
      </c>
      <c r="C1278" s="213" t="s">
        <v>1445</v>
      </c>
      <c r="D1278" s="10" t="s">
        <v>4052</v>
      </c>
      <c r="E1278" s="213" t="s">
        <v>4328</v>
      </c>
      <c r="F1278" s="10" t="s">
        <v>4329</v>
      </c>
      <c r="G1278" s="213" t="s">
        <v>4420</v>
      </c>
      <c r="H1278" s="10" t="s">
        <v>4421</v>
      </c>
      <c r="K1278" s="213" t="s">
        <v>4422</v>
      </c>
      <c r="L1278" s="10" t="s">
        <v>4423</v>
      </c>
      <c r="N1278" s="16"/>
      <c r="O1278" s="16"/>
      <c r="P1278" s="16"/>
      <c r="Q1278" s="16"/>
      <c r="R1278" s="16"/>
      <c r="S1278" s="16"/>
      <c r="U1278" s="283" t="e">
        <v>#N/A</v>
      </c>
      <c r="V1278" s="10" t="s">
        <v>4425</v>
      </c>
      <c r="W1278" s="10">
        <v>1</v>
      </c>
      <c r="X1278" s="10">
        <v>1</v>
      </c>
      <c r="Y1278" s="10">
        <v>1</v>
      </c>
      <c r="Z1278" s="10">
        <v>1</v>
      </c>
      <c r="AA1278" s="10">
        <v>1</v>
      </c>
      <c r="AB1278" s="10">
        <v>0</v>
      </c>
      <c r="AC1278" s="316">
        <v>1</v>
      </c>
      <c r="AD1278" s="316">
        <v>1</v>
      </c>
      <c r="AE1278" s="302">
        <f t="shared" si="86"/>
        <v>0.875</v>
      </c>
      <c r="AF1278" s="32"/>
      <c r="AG1278" s="17">
        <v>0</v>
      </c>
      <c r="AH1278" s="32" t="s">
        <v>271</v>
      </c>
      <c r="AI1278" s="32">
        <v>0.2</v>
      </c>
      <c r="AJ1278" s="32">
        <v>0.3</v>
      </c>
      <c r="AK1278" s="214">
        <v>0.4</v>
      </c>
      <c r="AL1278" s="214">
        <v>0.5</v>
      </c>
      <c r="AM1278" s="17">
        <f t="shared" si="87"/>
        <v>0.9</v>
      </c>
      <c r="AN1278" s="10" t="s">
        <v>1392</v>
      </c>
      <c r="AO1278" s="18" t="s">
        <v>880</v>
      </c>
      <c r="AP1278" s="10" t="s">
        <v>1035</v>
      </c>
    </row>
    <row r="1279" spans="1:42" s="10" customFormat="1" x14ac:dyDescent="0.3">
      <c r="A1279" s="213" t="s">
        <v>1444</v>
      </c>
      <c r="B1279" s="10" t="s">
        <v>4050</v>
      </c>
      <c r="C1279" s="213" t="s">
        <v>1445</v>
      </c>
      <c r="D1279" s="10" t="s">
        <v>4052</v>
      </c>
      <c r="E1279" s="213" t="s">
        <v>4328</v>
      </c>
      <c r="F1279" s="10" t="s">
        <v>4329</v>
      </c>
      <c r="G1279" s="213" t="s">
        <v>4420</v>
      </c>
      <c r="H1279" s="10" t="s">
        <v>4421</v>
      </c>
      <c r="K1279" s="213" t="s">
        <v>4422</v>
      </c>
      <c r="L1279" s="10" t="s">
        <v>4423</v>
      </c>
      <c r="N1279" s="16"/>
      <c r="O1279" s="16"/>
      <c r="P1279" s="16"/>
      <c r="Q1279" s="16"/>
      <c r="R1279" s="16"/>
      <c r="S1279" s="16"/>
      <c r="U1279" s="283" t="e">
        <v>#N/A</v>
      </c>
      <c r="V1279" s="10" t="s">
        <v>4428</v>
      </c>
      <c r="W1279" s="10">
        <v>1</v>
      </c>
      <c r="X1279" s="10">
        <v>1</v>
      </c>
      <c r="Y1279" s="10">
        <v>1</v>
      </c>
      <c r="Z1279" s="10">
        <v>1</v>
      </c>
      <c r="AA1279" s="10">
        <v>0</v>
      </c>
      <c r="AB1279" s="10">
        <v>0</v>
      </c>
      <c r="AC1279" s="316">
        <v>1</v>
      </c>
      <c r="AD1279" s="316">
        <v>1</v>
      </c>
      <c r="AE1279" s="302">
        <f t="shared" si="86"/>
        <v>0.75</v>
      </c>
      <c r="AF1279" s="32"/>
      <c r="AG1279" s="17">
        <v>0</v>
      </c>
      <c r="AH1279" s="32" t="s">
        <v>271</v>
      </c>
      <c r="AI1279" s="32">
        <v>0</v>
      </c>
      <c r="AJ1279" s="32">
        <v>0</v>
      </c>
      <c r="AK1279" s="214">
        <v>0</v>
      </c>
      <c r="AL1279" s="214">
        <v>0</v>
      </c>
      <c r="AM1279" s="17">
        <f t="shared" si="87"/>
        <v>0</v>
      </c>
      <c r="AN1279" s="10" t="s">
        <v>1392</v>
      </c>
      <c r="AO1279" s="18" t="s">
        <v>880</v>
      </c>
      <c r="AP1279" s="10" t="s">
        <v>119</v>
      </c>
    </row>
    <row r="1280" spans="1:42" s="10" customFormat="1" x14ac:dyDescent="0.3">
      <c r="A1280" s="213" t="s">
        <v>1444</v>
      </c>
      <c r="B1280" s="10" t="s">
        <v>4050</v>
      </c>
      <c r="C1280" s="213" t="s">
        <v>1445</v>
      </c>
      <c r="D1280" s="10" t="s">
        <v>4052</v>
      </c>
      <c r="E1280" s="213" t="s">
        <v>4328</v>
      </c>
      <c r="F1280" s="10" t="s">
        <v>4329</v>
      </c>
      <c r="G1280" s="213" t="s">
        <v>4420</v>
      </c>
      <c r="H1280" s="10" t="s">
        <v>4421</v>
      </c>
      <c r="K1280" s="213" t="s">
        <v>4422</v>
      </c>
      <c r="L1280" s="10" t="s">
        <v>4423</v>
      </c>
      <c r="N1280" s="16"/>
      <c r="O1280" s="16"/>
      <c r="P1280" s="16"/>
      <c r="Q1280" s="16"/>
      <c r="R1280" s="16"/>
      <c r="S1280" s="16"/>
      <c r="U1280" s="283" t="e">
        <v>#N/A</v>
      </c>
      <c r="V1280" s="10" t="s">
        <v>4428</v>
      </c>
      <c r="W1280" s="10">
        <v>1</v>
      </c>
      <c r="X1280" s="10">
        <v>1</v>
      </c>
      <c r="Y1280" s="10">
        <v>1</v>
      </c>
      <c r="Z1280" s="10">
        <v>1</v>
      </c>
      <c r="AA1280" s="10">
        <v>0</v>
      </c>
      <c r="AB1280" s="10">
        <v>0</v>
      </c>
      <c r="AC1280" s="316">
        <v>1</v>
      </c>
      <c r="AD1280" s="316">
        <v>1</v>
      </c>
      <c r="AE1280" s="302">
        <f t="shared" si="86"/>
        <v>0.75</v>
      </c>
      <c r="AF1280" s="32"/>
      <c r="AG1280" s="17">
        <v>0</v>
      </c>
      <c r="AH1280" s="32" t="s">
        <v>271</v>
      </c>
      <c r="AI1280" s="32">
        <v>0</v>
      </c>
      <c r="AJ1280" s="32">
        <v>0</v>
      </c>
      <c r="AK1280" s="214">
        <v>0</v>
      </c>
      <c r="AL1280" s="214">
        <v>0</v>
      </c>
      <c r="AM1280" s="17">
        <f t="shared" si="87"/>
        <v>0</v>
      </c>
      <c r="AN1280" s="32" t="s">
        <v>4067</v>
      </c>
      <c r="AO1280" s="18" t="s">
        <v>1037</v>
      </c>
      <c r="AP1280" s="10" t="s">
        <v>119</v>
      </c>
    </row>
    <row r="1281" spans="1:42" s="10" customFormat="1" x14ac:dyDescent="0.3">
      <c r="A1281" s="213" t="s">
        <v>1444</v>
      </c>
      <c r="B1281" s="10" t="s">
        <v>4050</v>
      </c>
      <c r="C1281" s="213" t="s">
        <v>1445</v>
      </c>
      <c r="D1281" s="10" t="s">
        <v>4052</v>
      </c>
      <c r="E1281" s="213" t="s">
        <v>4328</v>
      </c>
      <c r="F1281" s="10" t="s">
        <v>4329</v>
      </c>
      <c r="G1281" s="213" t="s">
        <v>4420</v>
      </c>
      <c r="H1281" s="10" t="s">
        <v>4421</v>
      </c>
      <c r="K1281" s="213" t="s">
        <v>4422</v>
      </c>
      <c r="L1281" s="10" t="s">
        <v>4423</v>
      </c>
      <c r="N1281" s="16"/>
      <c r="O1281" s="16"/>
      <c r="P1281" s="16"/>
      <c r="Q1281" s="16"/>
      <c r="R1281" s="16"/>
      <c r="S1281" s="16"/>
      <c r="U1281" s="283" t="e">
        <v>#N/A</v>
      </c>
      <c r="V1281" s="10" t="s">
        <v>4428</v>
      </c>
      <c r="W1281" s="10">
        <v>1</v>
      </c>
      <c r="X1281" s="10">
        <v>1</v>
      </c>
      <c r="Y1281" s="10">
        <v>1</v>
      </c>
      <c r="Z1281" s="10">
        <v>1</v>
      </c>
      <c r="AA1281" s="10">
        <v>0</v>
      </c>
      <c r="AB1281" s="10">
        <v>0</v>
      </c>
      <c r="AC1281" s="316">
        <v>1</v>
      </c>
      <c r="AD1281" s="316">
        <v>1</v>
      </c>
      <c r="AE1281" s="302">
        <f t="shared" si="86"/>
        <v>0.75</v>
      </c>
      <c r="AF1281" s="32"/>
      <c r="AG1281" s="17">
        <v>0</v>
      </c>
      <c r="AH1281" s="32" t="s">
        <v>271</v>
      </c>
      <c r="AI1281" s="32">
        <v>0</v>
      </c>
      <c r="AJ1281" s="32">
        <v>0</v>
      </c>
      <c r="AK1281" s="214">
        <v>0</v>
      </c>
      <c r="AL1281" s="214">
        <v>0</v>
      </c>
      <c r="AM1281" s="17">
        <f t="shared" si="87"/>
        <v>0</v>
      </c>
      <c r="AN1281" s="176" t="s">
        <v>921</v>
      </c>
      <c r="AO1281" s="18" t="s">
        <v>880</v>
      </c>
      <c r="AP1281" s="10" t="s">
        <v>119</v>
      </c>
    </row>
    <row r="1282" spans="1:42" s="10" customFormat="1" x14ac:dyDescent="0.3">
      <c r="A1282" s="213" t="s">
        <v>1444</v>
      </c>
      <c r="B1282" s="10" t="s">
        <v>4050</v>
      </c>
      <c r="C1282" s="213" t="s">
        <v>1445</v>
      </c>
      <c r="D1282" s="10" t="s">
        <v>4052</v>
      </c>
      <c r="E1282" s="213" t="s">
        <v>4429</v>
      </c>
      <c r="F1282" s="10" t="s">
        <v>4430</v>
      </c>
      <c r="G1282" s="213" t="s">
        <v>4431</v>
      </c>
      <c r="H1282" s="10" t="s">
        <v>4432</v>
      </c>
      <c r="K1282" s="213" t="s">
        <v>4433</v>
      </c>
      <c r="L1282" s="10" t="s">
        <v>4434</v>
      </c>
      <c r="M1282" s="10" t="s">
        <v>4435</v>
      </c>
      <c r="N1282" s="16" t="s">
        <v>271</v>
      </c>
      <c r="O1282" s="16">
        <v>10</v>
      </c>
      <c r="P1282" s="16">
        <v>20</v>
      </c>
      <c r="Q1282" s="16">
        <v>30</v>
      </c>
      <c r="R1282" s="16">
        <v>40</v>
      </c>
      <c r="S1282" s="16">
        <v>50</v>
      </c>
      <c r="T1282" s="10" t="s">
        <v>1035</v>
      </c>
      <c r="U1282" s="283" t="s">
        <v>1037</v>
      </c>
      <c r="V1282" s="10" t="s">
        <v>4436</v>
      </c>
      <c r="W1282" s="10">
        <v>1</v>
      </c>
      <c r="X1282" s="10">
        <v>1</v>
      </c>
      <c r="Y1282" s="10">
        <v>0</v>
      </c>
      <c r="Z1282" s="10">
        <v>1</v>
      </c>
      <c r="AA1282" s="10">
        <v>1</v>
      </c>
      <c r="AB1282" s="10">
        <v>1</v>
      </c>
      <c r="AC1282" s="316">
        <v>0</v>
      </c>
      <c r="AD1282" s="316">
        <v>1</v>
      </c>
      <c r="AE1282" s="302">
        <f t="shared" si="86"/>
        <v>0.75</v>
      </c>
      <c r="AF1282" s="32"/>
      <c r="AG1282" s="17">
        <v>0</v>
      </c>
      <c r="AH1282" s="32" t="s">
        <v>271</v>
      </c>
      <c r="AI1282" s="32">
        <v>0</v>
      </c>
      <c r="AJ1282" s="32">
        <v>0</v>
      </c>
      <c r="AK1282" s="214">
        <v>0</v>
      </c>
      <c r="AL1282" s="214">
        <v>0</v>
      </c>
      <c r="AM1282" s="17">
        <f t="shared" si="87"/>
        <v>0</v>
      </c>
      <c r="AN1282" s="10" t="s">
        <v>265</v>
      </c>
      <c r="AO1282" s="18" t="s">
        <v>350</v>
      </c>
      <c r="AP1282" s="10" t="s">
        <v>119</v>
      </c>
    </row>
    <row r="1283" spans="1:42" s="10" customFormat="1" hidden="1" x14ac:dyDescent="0.3">
      <c r="A1283" s="213" t="s">
        <v>1444</v>
      </c>
      <c r="B1283" s="10" t="s">
        <v>4050</v>
      </c>
      <c r="C1283" s="213" t="s">
        <v>1445</v>
      </c>
      <c r="D1283" s="10" t="s">
        <v>4052</v>
      </c>
      <c r="E1283" s="213" t="s">
        <v>4429</v>
      </c>
      <c r="F1283" s="10" t="s">
        <v>4430</v>
      </c>
      <c r="G1283" s="213" t="s">
        <v>4431</v>
      </c>
      <c r="H1283" s="10" t="s">
        <v>4432</v>
      </c>
      <c r="K1283" s="213" t="s">
        <v>4433</v>
      </c>
      <c r="L1283" s="10" t="s">
        <v>4434</v>
      </c>
      <c r="N1283" s="16"/>
      <c r="O1283" s="16"/>
      <c r="P1283" s="16"/>
      <c r="Q1283" s="16"/>
      <c r="R1283" s="16"/>
      <c r="S1283" s="16"/>
      <c r="U1283" s="283" t="e">
        <v>#N/A</v>
      </c>
      <c r="AC1283" s="316">
        <v>0</v>
      </c>
      <c r="AD1283" s="316">
        <v>0</v>
      </c>
      <c r="AE1283" s="302">
        <f t="shared" si="86"/>
        <v>0</v>
      </c>
      <c r="AF1283" s="17"/>
      <c r="AG1283" s="17">
        <v>0</v>
      </c>
      <c r="AH1283" s="17" t="s">
        <v>271</v>
      </c>
      <c r="AI1283" s="17">
        <v>0</v>
      </c>
      <c r="AJ1283" s="17">
        <v>0</v>
      </c>
      <c r="AK1283" s="154">
        <v>0</v>
      </c>
      <c r="AL1283" s="154">
        <v>0</v>
      </c>
      <c r="AM1283" s="17">
        <f t="shared" si="87"/>
        <v>0</v>
      </c>
      <c r="AN1283" s="32" t="s">
        <v>4067</v>
      </c>
      <c r="AO1283" s="18" t="s">
        <v>1037</v>
      </c>
      <c r="AP1283" s="10" t="s">
        <v>119</v>
      </c>
    </row>
    <row r="1284" spans="1:42" s="10" customFormat="1" hidden="1" x14ac:dyDescent="0.3">
      <c r="A1284" s="213" t="s">
        <v>1444</v>
      </c>
      <c r="B1284" s="10" t="s">
        <v>4050</v>
      </c>
      <c r="C1284" s="213" t="s">
        <v>1445</v>
      </c>
      <c r="D1284" s="10" t="s">
        <v>4052</v>
      </c>
      <c r="E1284" s="213" t="s">
        <v>4429</v>
      </c>
      <c r="F1284" s="10" t="s">
        <v>4430</v>
      </c>
      <c r="G1284" s="213" t="s">
        <v>4431</v>
      </c>
      <c r="H1284" s="10" t="s">
        <v>4432</v>
      </c>
      <c r="K1284" s="213" t="s">
        <v>4433</v>
      </c>
      <c r="L1284" s="10" t="s">
        <v>4434</v>
      </c>
      <c r="N1284" s="16"/>
      <c r="O1284" s="16"/>
      <c r="P1284" s="16"/>
      <c r="Q1284" s="16"/>
      <c r="R1284" s="16"/>
      <c r="S1284" s="16"/>
      <c r="U1284" s="283" t="e">
        <v>#N/A</v>
      </c>
      <c r="AC1284" s="316">
        <v>0</v>
      </c>
      <c r="AD1284" s="316">
        <v>0</v>
      </c>
      <c r="AE1284" s="302">
        <f t="shared" si="86"/>
        <v>0</v>
      </c>
      <c r="AF1284" s="17"/>
      <c r="AG1284" s="17">
        <v>0</v>
      </c>
      <c r="AH1284" s="17" t="s">
        <v>271</v>
      </c>
      <c r="AI1284" s="17">
        <v>0</v>
      </c>
      <c r="AJ1284" s="17">
        <v>0</v>
      </c>
      <c r="AK1284" s="154">
        <v>0</v>
      </c>
      <c r="AL1284" s="154">
        <v>0</v>
      </c>
      <c r="AM1284" s="17">
        <f t="shared" si="87"/>
        <v>0</v>
      </c>
      <c r="AN1284" s="32" t="s">
        <v>1216</v>
      </c>
      <c r="AO1284" s="18" t="s">
        <v>1218</v>
      </c>
      <c r="AP1284" s="10" t="s">
        <v>119</v>
      </c>
    </row>
    <row r="1285" spans="1:42" s="10" customFormat="1" hidden="1" x14ac:dyDescent="0.3">
      <c r="A1285" s="213" t="s">
        <v>1444</v>
      </c>
      <c r="B1285" s="10" t="s">
        <v>4050</v>
      </c>
      <c r="C1285" s="213" t="s">
        <v>1445</v>
      </c>
      <c r="D1285" s="10" t="s">
        <v>4052</v>
      </c>
      <c r="E1285" s="213" t="s">
        <v>4429</v>
      </c>
      <c r="F1285" s="10" t="s">
        <v>4430</v>
      </c>
      <c r="G1285" s="213" t="s">
        <v>4431</v>
      </c>
      <c r="H1285" s="10" t="s">
        <v>4432</v>
      </c>
      <c r="K1285" s="213" t="s">
        <v>4433</v>
      </c>
      <c r="L1285" s="10" t="s">
        <v>4434</v>
      </c>
      <c r="N1285" s="16"/>
      <c r="O1285" s="16"/>
      <c r="P1285" s="16"/>
      <c r="Q1285" s="16"/>
      <c r="R1285" s="16"/>
      <c r="S1285" s="16"/>
      <c r="U1285" s="283" t="e">
        <v>#N/A</v>
      </c>
      <c r="AC1285" s="316">
        <v>0</v>
      </c>
      <c r="AD1285" s="316">
        <v>0</v>
      </c>
      <c r="AE1285" s="302">
        <f t="shared" si="86"/>
        <v>0</v>
      </c>
      <c r="AF1285" s="17"/>
      <c r="AG1285" s="17">
        <v>0</v>
      </c>
      <c r="AH1285" s="17" t="s">
        <v>271</v>
      </c>
      <c r="AI1285" s="17">
        <v>0</v>
      </c>
      <c r="AJ1285" s="17">
        <v>0</v>
      </c>
      <c r="AK1285" s="154">
        <v>0</v>
      </c>
      <c r="AL1285" s="154">
        <v>0</v>
      </c>
      <c r="AM1285" s="17">
        <f t="shared" si="87"/>
        <v>0</v>
      </c>
      <c r="AN1285" s="10" t="s">
        <v>1233</v>
      </c>
      <c r="AO1285" s="18" t="s">
        <v>1650</v>
      </c>
      <c r="AP1285" s="10" t="s">
        <v>119</v>
      </c>
    </row>
    <row r="1286" spans="1:42" s="10" customFormat="1" hidden="1" x14ac:dyDescent="0.3">
      <c r="A1286" s="213" t="s">
        <v>1444</v>
      </c>
      <c r="B1286" s="10" t="s">
        <v>4050</v>
      </c>
      <c r="C1286" s="213" t="s">
        <v>1445</v>
      </c>
      <c r="D1286" s="10" t="s">
        <v>4052</v>
      </c>
      <c r="E1286" s="213" t="s">
        <v>4429</v>
      </c>
      <c r="F1286" s="10" t="s">
        <v>4430</v>
      </c>
      <c r="G1286" s="213" t="s">
        <v>4431</v>
      </c>
      <c r="H1286" s="10" t="s">
        <v>4432</v>
      </c>
      <c r="K1286" s="213" t="s">
        <v>4433</v>
      </c>
      <c r="L1286" s="10" t="s">
        <v>4434</v>
      </c>
      <c r="N1286" s="16"/>
      <c r="O1286" s="16"/>
      <c r="P1286" s="16"/>
      <c r="Q1286" s="16"/>
      <c r="R1286" s="16"/>
      <c r="S1286" s="16"/>
      <c r="U1286" s="283" t="e">
        <v>#N/A</v>
      </c>
      <c r="AC1286" s="316">
        <v>0</v>
      </c>
      <c r="AD1286" s="316">
        <v>0</v>
      </c>
      <c r="AE1286" s="302">
        <f t="shared" si="86"/>
        <v>0</v>
      </c>
      <c r="AF1286" s="17"/>
      <c r="AG1286" s="17">
        <v>0</v>
      </c>
      <c r="AH1286" s="17" t="s">
        <v>271</v>
      </c>
      <c r="AI1286" s="17">
        <v>0</v>
      </c>
      <c r="AJ1286" s="17">
        <v>0</v>
      </c>
      <c r="AK1286" s="154">
        <v>0</v>
      </c>
      <c r="AL1286" s="154">
        <v>0</v>
      </c>
      <c r="AM1286" s="17">
        <f t="shared" si="87"/>
        <v>0</v>
      </c>
      <c r="AN1286" s="176" t="s">
        <v>921</v>
      </c>
      <c r="AO1286" s="18" t="s">
        <v>880</v>
      </c>
      <c r="AP1286" s="10" t="s">
        <v>119</v>
      </c>
    </row>
    <row r="1287" spans="1:42" s="10" customFormat="1" x14ac:dyDescent="0.3">
      <c r="A1287" s="213" t="s">
        <v>1444</v>
      </c>
      <c r="B1287" s="10" t="s">
        <v>4050</v>
      </c>
      <c r="C1287" s="213" t="s">
        <v>1445</v>
      </c>
      <c r="D1287" s="10" t="s">
        <v>4052</v>
      </c>
      <c r="E1287" s="213" t="s">
        <v>4429</v>
      </c>
      <c r="F1287" s="10" t="s">
        <v>4430</v>
      </c>
      <c r="G1287" s="213" t="s">
        <v>4431</v>
      </c>
      <c r="H1287" s="10" t="s">
        <v>4432</v>
      </c>
      <c r="K1287" s="213" t="s">
        <v>4433</v>
      </c>
      <c r="L1287" s="10" t="s">
        <v>4434</v>
      </c>
      <c r="N1287" s="16"/>
      <c r="O1287" s="16"/>
      <c r="P1287" s="16"/>
      <c r="Q1287" s="16"/>
      <c r="R1287" s="16"/>
      <c r="S1287" s="16"/>
      <c r="U1287" s="283" t="e">
        <v>#N/A</v>
      </c>
      <c r="V1287" s="10" t="s">
        <v>4437</v>
      </c>
      <c r="W1287" s="10">
        <v>1</v>
      </c>
      <c r="X1287" s="10">
        <v>1</v>
      </c>
      <c r="Y1287" s="10">
        <v>0</v>
      </c>
      <c r="Z1287" s="10">
        <v>1</v>
      </c>
      <c r="AA1287" s="10">
        <v>1</v>
      </c>
      <c r="AB1287" s="10">
        <v>1</v>
      </c>
      <c r="AC1287" s="316">
        <v>0</v>
      </c>
      <c r="AD1287" s="316">
        <v>1</v>
      </c>
      <c r="AE1287" s="302">
        <f t="shared" ref="AE1287:AE1308" si="88">SUM(W1287:AD1287)/8</f>
        <v>0.75</v>
      </c>
      <c r="AF1287" s="32"/>
      <c r="AG1287" s="17">
        <v>0</v>
      </c>
      <c r="AH1287" s="32" t="s">
        <v>271</v>
      </c>
      <c r="AI1287" s="32">
        <v>0.2</v>
      </c>
      <c r="AJ1287" s="32">
        <v>0.2</v>
      </c>
      <c r="AK1287" s="214">
        <v>0.2</v>
      </c>
      <c r="AL1287" s="214">
        <v>0.2</v>
      </c>
      <c r="AM1287" s="17">
        <f t="shared" ref="AM1287:AM1308" si="89">SUM(AK1287:AL1287)</f>
        <v>0.4</v>
      </c>
      <c r="AN1287" s="176" t="s">
        <v>921</v>
      </c>
      <c r="AO1287" s="18" t="s">
        <v>880</v>
      </c>
      <c r="AP1287" s="10" t="s">
        <v>4438</v>
      </c>
    </row>
    <row r="1288" spans="1:42" s="10" customFormat="1" hidden="1" x14ac:dyDescent="0.3">
      <c r="A1288" s="213" t="s">
        <v>1444</v>
      </c>
      <c r="B1288" s="10" t="s">
        <v>4050</v>
      </c>
      <c r="C1288" s="213" t="s">
        <v>1445</v>
      </c>
      <c r="D1288" s="10" t="s">
        <v>4052</v>
      </c>
      <c r="E1288" s="213" t="s">
        <v>4429</v>
      </c>
      <c r="F1288" s="10" t="s">
        <v>4430</v>
      </c>
      <c r="G1288" s="213" t="s">
        <v>4431</v>
      </c>
      <c r="H1288" s="10" t="s">
        <v>4432</v>
      </c>
      <c r="K1288" s="213" t="s">
        <v>4433</v>
      </c>
      <c r="L1288" s="10" t="s">
        <v>4434</v>
      </c>
      <c r="N1288" s="16"/>
      <c r="O1288" s="16"/>
      <c r="P1288" s="16"/>
      <c r="Q1288" s="16"/>
      <c r="R1288" s="16"/>
      <c r="S1288" s="16"/>
      <c r="U1288" s="283" t="e">
        <v>#N/A</v>
      </c>
      <c r="AC1288" s="316">
        <v>0</v>
      </c>
      <c r="AD1288" s="316">
        <v>0</v>
      </c>
      <c r="AE1288" s="302">
        <f t="shared" si="88"/>
        <v>0</v>
      </c>
      <c r="AF1288" s="17"/>
      <c r="AG1288" s="17">
        <v>0</v>
      </c>
      <c r="AH1288" s="17" t="s">
        <v>271</v>
      </c>
      <c r="AI1288" s="17">
        <v>0</v>
      </c>
      <c r="AJ1288" s="17">
        <v>0</v>
      </c>
      <c r="AK1288" s="154">
        <v>0</v>
      </c>
      <c r="AL1288" s="154">
        <v>0</v>
      </c>
      <c r="AM1288" s="17">
        <f t="shared" si="89"/>
        <v>0</v>
      </c>
      <c r="AN1288" s="32" t="s">
        <v>1446</v>
      </c>
      <c r="AO1288" s="18" t="s">
        <v>3715</v>
      </c>
      <c r="AP1288" s="10" t="s">
        <v>119</v>
      </c>
    </row>
    <row r="1289" spans="1:42" s="10" customFormat="1" hidden="1" x14ac:dyDescent="0.3">
      <c r="A1289" s="213" t="s">
        <v>1444</v>
      </c>
      <c r="B1289" s="10" t="s">
        <v>4050</v>
      </c>
      <c r="C1289" s="213" t="s">
        <v>1445</v>
      </c>
      <c r="D1289" s="10" t="s">
        <v>4052</v>
      </c>
      <c r="E1289" s="213" t="s">
        <v>4429</v>
      </c>
      <c r="F1289" s="10" t="s">
        <v>4430</v>
      </c>
      <c r="G1289" s="213" t="s">
        <v>4431</v>
      </c>
      <c r="H1289" s="10" t="s">
        <v>4432</v>
      </c>
      <c r="K1289" s="213" t="s">
        <v>4433</v>
      </c>
      <c r="L1289" s="10" t="s">
        <v>4434</v>
      </c>
      <c r="N1289" s="16"/>
      <c r="O1289" s="16"/>
      <c r="P1289" s="16"/>
      <c r="Q1289" s="16"/>
      <c r="R1289" s="16"/>
      <c r="S1289" s="16"/>
      <c r="U1289" s="283" t="e">
        <v>#N/A</v>
      </c>
      <c r="AC1289" s="316">
        <v>0</v>
      </c>
      <c r="AD1289" s="316">
        <v>0</v>
      </c>
      <c r="AE1289" s="302">
        <f t="shared" si="88"/>
        <v>0</v>
      </c>
      <c r="AF1289" s="17"/>
      <c r="AG1289" s="17">
        <v>0</v>
      </c>
      <c r="AH1289" s="17" t="s">
        <v>271</v>
      </c>
      <c r="AI1289" s="17">
        <v>0</v>
      </c>
      <c r="AJ1289" s="17">
        <v>0</v>
      </c>
      <c r="AK1289" s="154">
        <v>0</v>
      </c>
      <c r="AL1289" s="154">
        <v>0</v>
      </c>
      <c r="AM1289" s="17">
        <f t="shared" si="89"/>
        <v>0</v>
      </c>
      <c r="AN1289" s="10" t="s">
        <v>265</v>
      </c>
      <c r="AO1289" s="18" t="s">
        <v>350</v>
      </c>
      <c r="AP1289" s="10" t="s">
        <v>1035</v>
      </c>
    </row>
    <row r="1290" spans="1:42" s="10" customFormat="1" x14ac:dyDescent="0.3">
      <c r="A1290" s="213" t="s">
        <v>1444</v>
      </c>
      <c r="B1290" s="10" t="s">
        <v>4050</v>
      </c>
      <c r="C1290" s="213" t="s">
        <v>1445</v>
      </c>
      <c r="D1290" s="10" t="s">
        <v>4052</v>
      </c>
      <c r="E1290" s="213" t="s">
        <v>4429</v>
      </c>
      <c r="F1290" s="10" t="s">
        <v>4430</v>
      </c>
      <c r="G1290" s="213" t="s">
        <v>4431</v>
      </c>
      <c r="H1290" s="10" t="s">
        <v>4432</v>
      </c>
      <c r="K1290" s="213" t="s">
        <v>4433</v>
      </c>
      <c r="L1290" s="10" t="s">
        <v>4434</v>
      </c>
      <c r="N1290" s="16"/>
      <c r="O1290" s="16"/>
      <c r="P1290" s="16"/>
      <c r="Q1290" s="16"/>
      <c r="R1290" s="16"/>
      <c r="S1290" s="16"/>
      <c r="U1290" s="283" t="e">
        <v>#N/A</v>
      </c>
      <c r="V1290" s="10" t="s">
        <v>4437</v>
      </c>
      <c r="W1290" s="10">
        <v>1</v>
      </c>
      <c r="X1290" s="10">
        <v>1</v>
      </c>
      <c r="Y1290" s="10">
        <v>0</v>
      </c>
      <c r="Z1290" s="10">
        <v>1</v>
      </c>
      <c r="AA1290" s="10">
        <v>1</v>
      </c>
      <c r="AB1290" s="10">
        <v>1</v>
      </c>
      <c r="AC1290" s="316">
        <v>0</v>
      </c>
      <c r="AD1290" s="316">
        <v>1</v>
      </c>
      <c r="AE1290" s="302">
        <f t="shared" si="88"/>
        <v>0.75</v>
      </c>
      <c r="AF1290" s="17"/>
      <c r="AG1290" s="17">
        <v>0</v>
      </c>
      <c r="AH1290" s="17" t="s">
        <v>271</v>
      </c>
      <c r="AI1290" s="17">
        <v>0.1</v>
      </c>
      <c r="AJ1290" s="17">
        <v>0.1</v>
      </c>
      <c r="AK1290" s="154">
        <v>0.1</v>
      </c>
      <c r="AL1290" s="154">
        <v>0.1</v>
      </c>
      <c r="AM1290" s="17">
        <f t="shared" si="89"/>
        <v>0.2</v>
      </c>
      <c r="AN1290" s="10" t="s">
        <v>1233</v>
      </c>
      <c r="AO1290" s="18" t="s">
        <v>1650</v>
      </c>
      <c r="AP1290" s="10" t="s">
        <v>4439</v>
      </c>
    </row>
    <row r="1291" spans="1:42" s="10" customFormat="1" x14ac:dyDescent="0.3">
      <c r="A1291" s="213" t="s">
        <v>1444</v>
      </c>
      <c r="B1291" s="10" t="s">
        <v>4050</v>
      </c>
      <c r="C1291" s="213" t="s">
        <v>1445</v>
      </c>
      <c r="D1291" s="10" t="s">
        <v>4052</v>
      </c>
      <c r="E1291" s="213" t="s">
        <v>4429</v>
      </c>
      <c r="F1291" s="10" t="s">
        <v>4430</v>
      </c>
      <c r="G1291" s="213" t="s">
        <v>4440</v>
      </c>
      <c r="H1291" s="10" t="s">
        <v>4441</v>
      </c>
      <c r="K1291" s="213" t="s">
        <v>4442</v>
      </c>
      <c r="L1291" s="10" t="s">
        <v>4443</v>
      </c>
      <c r="M1291" s="10" t="s">
        <v>4444</v>
      </c>
      <c r="N1291" s="16">
        <v>1</v>
      </c>
      <c r="O1291" s="16">
        <v>2</v>
      </c>
      <c r="P1291" s="16">
        <v>3</v>
      </c>
      <c r="Q1291" s="16">
        <v>3</v>
      </c>
      <c r="R1291" s="16">
        <v>3</v>
      </c>
      <c r="S1291" s="16">
        <v>3</v>
      </c>
      <c r="T1291" s="10" t="s">
        <v>1035</v>
      </c>
      <c r="U1291" s="283" t="s">
        <v>1037</v>
      </c>
      <c r="V1291" s="10" t="s">
        <v>4445</v>
      </c>
      <c r="W1291" s="10">
        <v>1</v>
      </c>
      <c r="X1291" s="10">
        <v>1</v>
      </c>
      <c r="Y1291" s="10">
        <v>0</v>
      </c>
      <c r="Z1291" s="10">
        <v>1</v>
      </c>
      <c r="AA1291" s="10">
        <v>1</v>
      </c>
      <c r="AB1291" s="10">
        <v>1</v>
      </c>
      <c r="AC1291" s="316">
        <v>0</v>
      </c>
      <c r="AD1291" s="316">
        <v>1</v>
      </c>
      <c r="AE1291" s="302">
        <f t="shared" si="88"/>
        <v>0.75</v>
      </c>
      <c r="AF1291" s="32"/>
      <c r="AG1291" s="17">
        <v>0</v>
      </c>
      <c r="AH1291" s="32">
        <v>5</v>
      </c>
      <c r="AI1291" s="32">
        <v>5</v>
      </c>
      <c r="AJ1291" s="32">
        <v>5</v>
      </c>
      <c r="AK1291" s="214">
        <v>5</v>
      </c>
      <c r="AL1291" s="214">
        <v>5</v>
      </c>
      <c r="AM1291" s="17">
        <f t="shared" si="89"/>
        <v>10</v>
      </c>
      <c r="AN1291" s="176" t="s">
        <v>921</v>
      </c>
      <c r="AO1291" s="18" t="s">
        <v>880</v>
      </c>
      <c r="AP1291" s="10" t="s">
        <v>4446</v>
      </c>
    </row>
    <row r="1292" spans="1:42" s="10" customFormat="1" x14ac:dyDescent="0.3">
      <c r="A1292" s="213" t="s">
        <v>1444</v>
      </c>
      <c r="B1292" s="10" t="s">
        <v>4050</v>
      </c>
      <c r="C1292" s="213" t="s">
        <v>1445</v>
      </c>
      <c r="D1292" s="10" t="s">
        <v>4052</v>
      </c>
      <c r="E1292" s="213" t="s">
        <v>4429</v>
      </c>
      <c r="F1292" s="10" t="s">
        <v>4430</v>
      </c>
      <c r="G1292" s="213" t="s">
        <v>4440</v>
      </c>
      <c r="H1292" s="10" t="s">
        <v>4441</v>
      </c>
      <c r="K1292" s="213" t="s">
        <v>4442</v>
      </c>
      <c r="L1292" s="10" t="s">
        <v>4443</v>
      </c>
      <c r="N1292" s="16"/>
      <c r="O1292" s="16"/>
      <c r="P1292" s="16"/>
      <c r="Q1292" s="16"/>
      <c r="R1292" s="16"/>
      <c r="S1292" s="16"/>
      <c r="U1292" s="283" t="e">
        <v>#N/A</v>
      </c>
      <c r="V1292" s="10" t="s">
        <v>4445</v>
      </c>
      <c r="W1292" s="10">
        <v>1</v>
      </c>
      <c r="X1292" s="10">
        <v>1</v>
      </c>
      <c r="Y1292" s="10">
        <v>0</v>
      </c>
      <c r="Z1292" s="10">
        <v>1</v>
      </c>
      <c r="AA1292" s="10">
        <v>1</v>
      </c>
      <c r="AB1292" s="10">
        <v>1</v>
      </c>
      <c r="AC1292" s="316">
        <v>0</v>
      </c>
      <c r="AD1292" s="316">
        <v>1</v>
      </c>
      <c r="AE1292" s="302">
        <f t="shared" si="88"/>
        <v>0.75</v>
      </c>
      <c r="AF1292" s="17"/>
      <c r="AG1292" s="17">
        <v>0</v>
      </c>
      <c r="AH1292" s="17" t="s">
        <v>271</v>
      </c>
      <c r="AI1292" s="17">
        <v>0.1</v>
      </c>
      <c r="AJ1292" s="17">
        <v>0.1</v>
      </c>
      <c r="AK1292" s="154">
        <v>0.1</v>
      </c>
      <c r="AL1292" s="154">
        <v>0.1</v>
      </c>
      <c r="AM1292" s="17">
        <f t="shared" si="89"/>
        <v>0.2</v>
      </c>
      <c r="AN1292" s="32" t="s">
        <v>4067</v>
      </c>
      <c r="AO1292" s="18" t="s">
        <v>1037</v>
      </c>
      <c r="AP1292" s="10" t="s">
        <v>4447</v>
      </c>
    </row>
    <row r="1293" spans="1:42" s="10" customFormat="1" x14ac:dyDescent="0.3">
      <c r="A1293" s="213" t="s">
        <v>1444</v>
      </c>
      <c r="B1293" s="10" t="s">
        <v>4050</v>
      </c>
      <c r="C1293" s="213" t="s">
        <v>1445</v>
      </c>
      <c r="D1293" s="10" t="s">
        <v>4052</v>
      </c>
      <c r="E1293" s="213" t="s">
        <v>4429</v>
      </c>
      <c r="F1293" s="10" t="s">
        <v>4430</v>
      </c>
      <c r="G1293" s="213" t="s">
        <v>4440</v>
      </c>
      <c r="H1293" s="10" t="s">
        <v>4441</v>
      </c>
      <c r="K1293" s="213" t="s">
        <v>4442</v>
      </c>
      <c r="L1293" s="10" t="s">
        <v>4443</v>
      </c>
      <c r="N1293" s="16"/>
      <c r="O1293" s="16"/>
      <c r="P1293" s="16"/>
      <c r="Q1293" s="16"/>
      <c r="R1293" s="16"/>
      <c r="S1293" s="16"/>
      <c r="U1293" s="283" t="e">
        <v>#N/A</v>
      </c>
      <c r="V1293" s="10" t="s">
        <v>4445</v>
      </c>
      <c r="W1293" s="10">
        <v>1</v>
      </c>
      <c r="X1293" s="10">
        <v>1</v>
      </c>
      <c r="Y1293" s="10">
        <v>0</v>
      </c>
      <c r="Z1293" s="10">
        <v>1</v>
      </c>
      <c r="AA1293" s="10">
        <v>1</v>
      </c>
      <c r="AB1293" s="10">
        <v>1</v>
      </c>
      <c r="AC1293" s="316">
        <v>0</v>
      </c>
      <c r="AD1293" s="316">
        <v>1</v>
      </c>
      <c r="AE1293" s="302">
        <f t="shared" si="88"/>
        <v>0.75</v>
      </c>
      <c r="AF1293" s="17"/>
      <c r="AG1293" s="17">
        <v>0</v>
      </c>
      <c r="AH1293" s="17" t="s">
        <v>271</v>
      </c>
      <c r="AI1293" s="17">
        <v>0.1</v>
      </c>
      <c r="AJ1293" s="17">
        <v>0.1</v>
      </c>
      <c r="AK1293" s="154">
        <v>0.1</v>
      </c>
      <c r="AL1293" s="154">
        <v>0.1</v>
      </c>
      <c r="AM1293" s="17">
        <f t="shared" si="89"/>
        <v>0.2</v>
      </c>
      <c r="AN1293" s="18" t="s">
        <v>869</v>
      </c>
      <c r="AO1293" s="18" t="s">
        <v>871</v>
      </c>
      <c r="AP1293" s="10" t="s">
        <v>119</v>
      </c>
    </row>
    <row r="1294" spans="1:42" s="10" customFormat="1" x14ac:dyDescent="0.3">
      <c r="A1294" s="213" t="s">
        <v>1444</v>
      </c>
      <c r="B1294" s="10" t="s">
        <v>4050</v>
      </c>
      <c r="C1294" s="213" t="s">
        <v>1445</v>
      </c>
      <c r="D1294" s="10" t="s">
        <v>4052</v>
      </c>
      <c r="E1294" s="213" t="s">
        <v>4429</v>
      </c>
      <c r="F1294" s="10" t="s">
        <v>4430</v>
      </c>
      <c r="G1294" s="213" t="s">
        <v>4440</v>
      </c>
      <c r="H1294" s="10" t="s">
        <v>4441</v>
      </c>
      <c r="K1294" s="213" t="s">
        <v>4442</v>
      </c>
      <c r="L1294" s="10" t="s">
        <v>4443</v>
      </c>
      <c r="N1294" s="16"/>
      <c r="O1294" s="16"/>
      <c r="P1294" s="16"/>
      <c r="Q1294" s="16"/>
      <c r="R1294" s="16"/>
      <c r="S1294" s="16"/>
      <c r="U1294" s="283" t="e">
        <v>#N/A</v>
      </c>
      <c r="V1294" s="10" t="s">
        <v>4445</v>
      </c>
      <c r="W1294" s="10">
        <v>1</v>
      </c>
      <c r="X1294" s="10">
        <v>1</v>
      </c>
      <c r="Y1294" s="10">
        <v>0</v>
      </c>
      <c r="Z1294" s="10">
        <v>1</v>
      </c>
      <c r="AA1294" s="10">
        <v>1</v>
      </c>
      <c r="AB1294" s="10">
        <v>1</v>
      </c>
      <c r="AC1294" s="316">
        <v>0</v>
      </c>
      <c r="AD1294" s="316">
        <v>1</v>
      </c>
      <c r="AE1294" s="302">
        <f t="shared" si="88"/>
        <v>0.75</v>
      </c>
      <c r="AF1294" s="17"/>
      <c r="AG1294" s="17">
        <v>0</v>
      </c>
      <c r="AH1294" s="17" t="s">
        <v>271</v>
      </c>
      <c r="AI1294" s="17">
        <v>0.2</v>
      </c>
      <c r="AJ1294" s="17">
        <v>0.2</v>
      </c>
      <c r="AK1294" s="154">
        <v>0.2</v>
      </c>
      <c r="AL1294" s="154">
        <v>0.2</v>
      </c>
      <c r="AM1294" s="17">
        <f t="shared" si="89"/>
        <v>0.4</v>
      </c>
      <c r="AN1294" s="10" t="s">
        <v>265</v>
      </c>
      <c r="AO1294" s="18" t="s">
        <v>350</v>
      </c>
      <c r="AP1294" s="10" t="s">
        <v>4448</v>
      </c>
    </row>
    <row r="1295" spans="1:42" s="10" customFormat="1" hidden="1" x14ac:dyDescent="0.3">
      <c r="A1295" s="213" t="s">
        <v>1444</v>
      </c>
      <c r="B1295" s="10" t="s">
        <v>4050</v>
      </c>
      <c r="C1295" s="213" t="s">
        <v>1445</v>
      </c>
      <c r="D1295" s="10" t="s">
        <v>4052</v>
      </c>
      <c r="E1295" s="213" t="s">
        <v>4429</v>
      </c>
      <c r="F1295" s="10" t="s">
        <v>4430</v>
      </c>
      <c r="G1295" s="213" t="s">
        <v>4440</v>
      </c>
      <c r="H1295" s="10" t="s">
        <v>4441</v>
      </c>
      <c r="K1295" s="213" t="s">
        <v>4442</v>
      </c>
      <c r="L1295" s="10" t="s">
        <v>4443</v>
      </c>
      <c r="N1295" s="16"/>
      <c r="O1295" s="16"/>
      <c r="P1295" s="16"/>
      <c r="Q1295" s="16"/>
      <c r="R1295" s="16"/>
      <c r="S1295" s="16"/>
      <c r="U1295" s="283" t="e">
        <v>#N/A</v>
      </c>
      <c r="V1295" s="10" t="s">
        <v>4449</v>
      </c>
      <c r="W1295" s="10">
        <v>1</v>
      </c>
      <c r="X1295" s="10">
        <v>1</v>
      </c>
      <c r="Y1295" s="10">
        <v>0</v>
      </c>
      <c r="Z1295" s="10">
        <v>1</v>
      </c>
      <c r="AA1295" s="10">
        <v>0</v>
      </c>
      <c r="AB1295" s="10">
        <v>0</v>
      </c>
      <c r="AC1295" s="316">
        <v>0</v>
      </c>
      <c r="AD1295" s="316">
        <v>1</v>
      </c>
      <c r="AE1295" s="302">
        <f t="shared" si="88"/>
        <v>0.5</v>
      </c>
      <c r="AF1295" s="32"/>
      <c r="AG1295" s="17">
        <v>0</v>
      </c>
      <c r="AH1295" s="32" t="s">
        <v>271</v>
      </c>
      <c r="AI1295" s="32">
        <v>0</v>
      </c>
      <c r="AJ1295" s="32">
        <v>0</v>
      </c>
      <c r="AK1295" s="214">
        <v>0</v>
      </c>
      <c r="AL1295" s="214">
        <v>0</v>
      </c>
      <c r="AM1295" s="17">
        <f t="shared" si="89"/>
        <v>0</v>
      </c>
      <c r="AN1295" s="32" t="s">
        <v>879</v>
      </c>
      <c r="AO1295" s="18" t="s">
        <v>880</v>
      </c>
      <c r="AP1295" s="10" t="s">
        <v>119</v>
      </c>
    </row>
    <row r="1296" spans="1:42" s="10" customFormat="1" hidden="1" x14ac:dyDescent="0.3">
      <c r="A1296" s="213" t="s">
        <v>1444</v>
      </c>
      <c r="B1296" s="10" t="s">
        <v>4050</v>
      </c>
      <c r="C1296" s="213" t="s">
        <v>1445</v>
      </c>
      <c r="D1296" s="10" t="s">
        <v>4052</v>
      </c>
      <c r="E1296" s="213" t="s">
        <v>4429</v>
      </c>
      <c r="F1296" s="10" t="s">
        <v>4430</v>
      </c>
      <c r="G1296" s="213" t="s">
        <v>4450</v>
      </c>
      <c r="H1296" s="10" t="s">
        <v>4451</v>
      </c>
      <c r="K1296" s="213" t="s">
        <v>4452</v>
      </c>
      <c r="L1296" s="10" t="s">
        <v>4453</v>
      </c>
      <c r="M1296" s="10" t="s">
        <v>4454</v>
      </c>
      <c r="N1296" s="16">
        <v>4</v>
      </c>
      <c r="O1296" s="16">
        <v>5</v>
      </c>
      <c r="P1296" s="16">
        <v>5</v>
      </c>
      <c r="Q1296" s="16">
        <v>5</v>
      </c>
      <c r="R1296" s="16">
        <v>5</v>
      </c>
      <c r="S1296" s="16">
        <v>5</v>
      </c>
      <c r="T1296" s="10" t="s">
        <v>1035</v>
      </c>
      <c r="U1296" s="283" t="s">
        <v>1037</v>
      </c>
      <c r="V1296" s="10" t="s">
        <v>4455</v>
      </c>
      <c r="W1296" s="10">
        <v>1</v>
      </c>
      <c r="X1296" s="10">
        <v>0</v>
      </c>
      <c r="Y1296" s="10">
        <v>0</v>
      </c>
      <c r="Z1296" s="10">
        <v>1</v>
      </c>
      <c r="AA1296" s="10">
        <v>1</v>
      </c>
      <c r="AB1296" s="10">
        <v>0</v>
      </c>
      <c r="AC1296" s="316">
        <v>0</v>
      </c>
      <c r="AD1296" s="316">
        <v>1</v>
      </c>
      <c r="AE1296" s="302">
        <f t="shared" si="88"/>
        <v>0.5</v>
      </c>
      <c r="AF1296" s="32"/>
      <c r="AG1296" s="17">
        <v>0</v>
      </c>
      <c r="AH1296" s="32">
        <v>1</v>
      </c>
      <c r="AI1296" s="32">
        <v>0.2</v>
      </c>
      <c r="AJ1296" s="32">
        <v>0.2</v>
      </c>
      <c r="AK1296" s="214">
        <v>0.2</v>
      </c>
      <c r="AL1296" s="214">
        <v>0.2</v>
      </c>
      <c r="AM1296" s="17">
        <f t="shared" si="89"/>
        <v>0.4</v>
      </c>
      <c r="AN1296" s="32" t="s">
        <v>4067</v>
      </c>
      <c r="AO1296" s="18" t="s">
        <v>1037</v>
      </c>
      <c r="AP1296" s="10" t="s">
        <v>4456</v>
      </c>
    </row>
    <row r="1297" spans="1:42" s="10" customFormat="1" hidden="1" x14ac:dyDescent="0.3">
      <c r="A1297" s="213" t="s">
        <v>1444</v>
      </c>
      <c r="B1297" s="10" t="s">
        <v>4050</v>
      </c>
      <c r="C1297" s="213" t="s">
        <v>1445</v>
      </c>
      <c r="D1297" s="10" t="s">
        <v>4052</v>
      </c>
      <c r="E1297" s="213" t="s">
        <v>4429</v>
      </c>
      <c r="F1297" s="10" t="s">
        <v>4430</v>
      </c>
      <c r="G1297" s="213" t="s">
        <v>4450</v>
      </c>
      <c r="H1297" s="10" t="s">
        <v>4451</v>
      </c>
      <c r="K1297" s="213" t="s">
        <v>4452</v>
      </c>
      <c r="L1297" s="10" t="s">
        <v>4453</v>
      </c>
      <c r="M1297" s="10" t="s">
        <v>4457</v>
      </c>
      <c r="N1297" s="16" t="s">
        <v>271</v>
      </c>
      <c r="O1297" s="16" t="s">
        <v>271</v>
      </c>
      <c r="P1297" s="16">
        <v>1</v>
      </c>
      <c r="Q1297" s="16" t="s">
        <v>271</v>
      </c>
      <c r="R1297" s="16" t="s">
        <v>271</v>
      </c>
      <c r="S1297" s="16" t="s">
        <v>271</v>
      </c>
      <c r="T1297" s="10" t="s">
        <v>1035</v>
      </c>
      <c r="U1297" s="283" t="s">
        <v>1037</v>
      </c>
      <c r="V1297" s="10" t="s">
        <v>4458</v>
      </c>
      <c r="W1297" s="10">
        <v>1</v>
      </c>
      <c r="X1297" s="10">
        <v>0</v>
      </c>
      <c r="Y1297" s="10">
        <v>0</v>
      </c>
      <c r="Z1297" s="10">
        <v>1</v>
      </c>
      <c r="AA1297" s="10">
        <v>1</v>
      </c>
      <c r="AB1297" s="10">
        <v>1</v>
      </c>
      <c r="AC1297" s="316">
        <v>0</v>
      </c>
      <c r="AD1297" s="316">
        <v>1</v>
      </c>
      <c r="AE1297" s="302">
        <f t="shared" si="88"/>
        <v>0.625</v>
      </c>
      <c r="AF1297" s="32"/>
      <c r="AG1297" s="17">
        <v>0</v>
      </c>
      <c r="AH1297" s="32" t="s">
        <v>271</v>
      </c>
      <c r="AI1297" s="32">
        <v>0.1</v>
      </c>
      <c r="AJ1297" s="32">
        <v>0.1</v>
      </c>
      <c r="AK1297" s="214">
        <v>0.1</v>
      </c>
      <c r="AL1297" s="214">
        <v>0.1</v>
      </c>
      <c r="AM1297" s="17">
        <f t="shared" si="89"/>
        <v>0.2</v>
      </c>
      <c r="AN1297" s="18" t="s">
        <v>869</v>
      </c>
      <c r="AO1297" s="18" t="s">
        <v>871</v>
      </c>
      <c r="AP1297" s="10" t="s">
        <v>4459</v>
      </c>
    </row>
    <row r="1298" spans="1:42" s="10" customFormat="1" hidden="1" x14ac:dyDescent="0.3">
      <c r="A1298" s="213" t="s">
        <v>1444</v>
      </c>
      <c r="B1298" s="10" t="s">
        <v>4050</v>
      </c>
      <c r="C1298" s="213" t="s">
        <v>1445</v>
      </c>
      <c r="D1298" s="10" t="s">
        <v>4052</v>
      </c>
      <c r="E1298" s="213" t="s">
        <v>4429</v>
      </c>
      <c r="F1298" s="10" t="s">
        <v>4430</v>
      </c>
      <c r="G1298" s="213" t="s">
        <v>4450</v>
      </c>
      <c r="H1298" s="10" t="s">
        <v>4451</v>
      </c>
      <c r="K1298" s="213" t="s">
        <v>4452</v>
      </c>
      <c r="L1298" s="10" t="s">
        <v>4453</v>
      </c>
      <c r="N1298" s="16"/>
      <c r="O1298" s="16"/>
      <c r="P1298" s="16"/>
      <c r="Q1298" s="16"/>
      <c r="R1298" s="16"/>
      <c r="S1298" s="16"/>
      <c r="U1298" s="283" t="e">
        <v>#N/A</v>
      </c>
      <c r="V1298" s="10" t="s">
        <v>4460</v>
      </c>
      <c r="W1298" s="10">
        <v>1</v>
      </c>
      <c r="X1298" s="10">
        <v>0</v>
      </c>
      <c r="Y1298" s="10">
        <v>0</v>
      </c>
      <c r="Z1298" s="10">
        <v>1</v>
      </c>
      <c r="AA1298" s="10">
        <v>1</v>
      </c>
      <c r="AB1298" s="10">
        <v>1</v>
      </c>
      <c r="AC1298" s="316">
        <v>0</v>
      </c>
      <c r="AD1298" s="316">
        <v>1</v>
      </c>
      <c r="AE1298" s="302">
        <f t="shared" si="88"/>
        <v>0.625</v>
      </c>
      <c r="AF1298" s="32"/>
      <c r="AG1298" s="17">
        <v>0</v>
      </c>
      <c r="AH1298" s="32">
        <v>0.25</v>
      </c>
      <c r="AI1298" s="32">
        <v>1</v>
      </c>
      <c r="AJ1298" s="32">
        <v>1</v>
      </c>
      <c r="AK1298" s="214">
        <v>1</v>
      </c>
      <c r="AL1298" s="214">
        <v>1</v>
      </c>
      <c r="AM1298" s="17">
        <f t="shared" si="89"/>
        <v>2</v>
      </c>
      <c r="AN1298" s="32" t="s">
        <v>4067</v>
      </c>
      <c r="AO1298" s="18" t="s">
        <v>1037</v>
      </c>
      <c r="AP1298" s="10" t="s">
        <v>1614</v>
      </c>
    </row>
    <row r="1299" spans="1:42" s="10" customFormat="1" hidden="1" x14ac:dyDescent="0.3">
      <c r="A1299" s="213" t="s">
        <v>1444</v>
      </c>
      <c r="B1299" s="10" t="s">
        <v>4050</v>
      </c>
      <c r="C1299" s="213" t="s">
        <v>1445</v>
      </c>
      <c r="D1299" s="10" t="s">
        <v>4052</v>
      </c>
      <c r="E1299" s="213" t="s">
        <v>4429</v>
      </c>
      <c r="F1299" s="10" t="s">
        <v>4430</v>
      </c>
      <c r="G1299" s="213" t="s">
        <v>4450</v>
      </c>
      <c r="H1299" s="10" t="s">
        <v>4451</v>
      </c>
      <c r="K1299" s="213" t="s">
        <v>4452</v>
      </c>
      <c r="L1299" s="10" t="s">
        <v>4453</v>
      </c>
      <c r="N1299" s="16"/>
      <c r="O1299" s="16"/>
      <c r="P1299" s="16"/>
      <c r="Q1299" s="16"/>
      <c r="R1299" s="16"/>
      <c r="S1299" s="16"/>
      <c r="U1299" s="283" t="e">
        <v>#N/A</v>
      </c>
      <c r="V1299" s="10" t="s">
        <v>4461</v>
      </c>
      <c r="W1299" s="10">
        <v>1</v>
      </c>
      <c r="X1299" s="10">
        <v>0</v>
      </c>
      <c r="Y1299" s="10">
        <v>0</v>
      </c>
      <c r="Z1299" s="10">
        <v>1</v>
      </c>
      <c r="AA1299" s="10">
        <v>1</v>
      </c>
      <c r="AB1299" s="10">
        <v>1</v>
      </c>
      <c r="AC1299" s="316">
        <v>0</v>
      </c>
      <c r="AD1299" s="316">
        <v>1</v>
      </c>
      <c r="AE1299" s="302">
        <f t="shared" si="88"/>
        <v>0.625</v>
      </c>
      <c r="AF1299" s="32"/>
      <c r="AG1299" s="17">
        <v>0</v>
      </c>
      <c r="AH1299" s="32" t="s">
        <v>2112</v>
      </c>
      <c r="AI1299" s="32">
        <v>0</v>
      </c>
      <c r="AJ1299" s="32">
        <v>0</v>
      </c>
      <c r="AK1299" s="214">
        <v>1</v>
      </c>
      <c r="AL1299" s="214">
        <v>0.16</v>
      </c>
      <c r="AM1299" s="17">
        <f t="shared" si="89"/>
        <v>1.1599999999999999</v>
      </c>
      <c r="AN1299" s="32" t="s">
        <v>4067</v>
      </c>
      <c r="AO1299" s="18" t="s">
        <v>1037</v>
      </c>
      <c r="AP1299" s="10" t="s">
        <v>119</v>
      </c>
    </row>
    <row r="1300" spans="1:42" s="10" customFormat="1" hidden="1" x14ac:dyDescent="0.3">
      <c r="A1300" s="213" t="s">
        <v>1444</v>
      </c>
      <c r="B1300" s="10" t="s">
        <v>4050</v>
      </c>
      <c r="C1300" s="213" t="s">
        <v>1445</v>
      </c>
      <c r="D1300" s="10" t="s">
        <v>4052</v>
      </c>
      <c r="E1300" s="213" t="s">
        <v>4429</v>
      </c>
      <c r="F1300" s="10" t="s">
        <v>4430</v>
      </c>
      <c r="G1300" s="213" t="s">
        <v>4450</v>
      </c>
      <c r="H1300" s="10" t="s">
        <v>4451</v>
      </c>
      <c r="K1300" s="213" t="s">
        <v>4452</v>
      </c>
      <c r="L1300" s="10" t="s">
        <v>4453</v>
      </c>
      <c r="N1300" s="16"/>
      <c r="O1300" s="16"/>
      <c r="P1300" s="16"/>
      <c r="Q1300" s="16"/>
      <c r="R1300" s="16"/>
      <c r="S1300" s="16"/>
      <c r="U1300" s="283" t="e">
        <v>#N/A</v>
      </c>
      <c r="V1300" s="10" t="s">
        <v>4462</v>
      </c>
      <c r="W1300" s="10">
        <v>1</v>
      </c>
      <c r="X1300" s="10">
        <v>0</v>
      </c>
      <c r="Y1300" s="10">
        <v>0</v>
      </c>
      <c r="Z1300" s="10">
        <v>1</v>
      </c>
      <c r="AA1300" s="10">
        <v>1</v>
      </c>
      <c r="AB1300" s="10">
        <v>1</v>
      </c>
      <c r="AC1300" s="316">
        <v>0</v>
      </c>
      <c r="AD1300" s="316">
        <v>1</v>
      </c>
      <c r="AE1300" s="302">
        <f t="shared" si="88"/>
        <v>0.625</v>
      </c>
      <c r="AF1300" s="32"/>
      <c r="AG1300" s="17">
        <v>0</v>
      </c>
      <c r="AH1300" s="32" t="s">
        <v>271</v>
      </c>
      <c r="AI1300" s="32">
        <v>0.5</v>
      </c>
      <c r="AJ1300" s="32">
        <v>0.5</v>
      </c>
      <c r="AK1300" s="214">
        <v>0.5</v>
      </c>
      <c r="AL1300" s="214">
        <v>0.5</v>
      </c>
      <c r="AM1300" s="17">
        <f t="shared" si="89"/>
        <v>1</v>
      </c>
      <c r="AN1300" s="18" t="s">
        <v>869</v>
      </c>
      <c r="AO1300" s="18" t="s">
        <v>871</v>
      </c>
      <c r="AP1300" s="10" t="s">
        <v>4463</v>
      </c>
    </row>
    <row r="1301" spans="1:42" s="10" customFormat="1" hidden="1" x14ac:dyDescent="0.3">
      <c r="A1301" s="213" t="s">
        <v>1444</v>
      </c>
      <c r="B1301" s="10" t="s">
        <v>4050</v>
      </c>
      <c r="C1301" s="213" t="s">
        <v>1445</v>
      </c>
      <c r="D1301" s="10" t="s">
        <v>4052</v>
      </c>
      <c r="E1301" s="213" t="s">
        <v>4429</v>
      </c>
      <c r="F1301" s="10" t="s">
        <v>4430</v>
      </c>
      <c r="G1301" s="213" t="s">
        <v>4464</v>
      </c>
      <c r="H1301" s="10" t="s">
        <v>4465</v>
      </c>
      <c r="K1301" s="213" t="s">
        <v>4466</v>
      </c>
      <c r="L1301" s="10" t="s">
        <v>4467</v>
      </c>
      <c r="M1301" s="10" t="s">
        <v>4468</v>
      </c>
      <c r="N1301" s="16"/>
      <c r="O1301" s="16"/>
      <c r="P1301" s="16"/>
      <c r="Q1301" s="16"/>
      <c r="R1301" s="16"/>
      <c r="S1301" s="16"/>
      <c r="U1301" s="283" t="e">
        <v>#N/A</v>
      </c>
      <c r="V1301" s="10" t="s">
        <v>4469</v>
      </c>
      <c r="W1301" s="10">
        <v>1</v>
      </c>
      <c r="X1301" s="10">
        <v>0</v>
      </c>
      <c r="Y1301" s="10">
        <v>0</v>
      </c>
      <c r="Z1301" s="10">
        <v>1</v>
      </c>
      <c r="AA1301" s="10">
        <v>1</v>
      </c>
      <c r="AB1301" s="10">
        <v>1</v>
      </c>
      <c r="AC1301" s="316">
        <v>0</v>
      </c>
      <c r="AD1301" s="316">
        <v>1</v>
      </c>
      <c r="AE1301" s="302">
        <f t="shared" si="88"/>
        <v>0.625</v>
      </c>
      <c r="AF1301" s="32"/>
      <c r="AG1301" s="17">
        <v>0</v>
      </c>
      <c r="AH1301" s="32" t="s">
        <v>271</v>
      </c>
      <c r="AI1301" s="32">
        <v>0</v>
      </c>
      <c r="AJ1301" s="32">
        <v>0</v>
      </c>
      <c r="AK1301" s="214">
        <v>0.5</v>
      </c>
      <c r="AL1301" s="214">
        <v>0</v>
      </c>
      <c r="AM1301" s="17">
        <f t="shared" si="89"/>
        <v>0.5</v>
      </c>
      <c r="AN1301" s="10" t="s">
        <v>265</v>
      </c>
      <c r="AO1301" s="18" t="s">
        <v>350</v>
      </c>
      <c r="AP1301" s="10" t="s">
        <v>119</v>
      </c>
    </row>
    <row r="1302" spans="1:42" s="10" customFormat="1" hidden="1" x14ac:dyDescent="0.3">
      <c r="A1302" s="213" t="s">
        <v>1444</v>
      </c>
      <c r="B1302" s="10" t="s">
        <v>4050</v>
      </c>
      <c r="C1302" s="213" t="s">
        <v>1445</v>
      </c>
      <c r="D1302" s="10" t="s">
        <v>4052</v>
      </c>
      <c r="E1302" s="213" t="s">
        <v>4429</v>
      </c>
      <c r="F1302" s="10" t="s">
        <v>4430</v>
      </c>
      <c r="G1302" s="213" t="s">
        <v>4464</v>
      </c>
      <c r="H1302" s="10" t="s">
        <v>4465</v>
      </c>
      <c r="K1302" s="213" t="s">
        <v>4466</v>
      </c>
      <c r="L1302" s="10" t="s">
        <v>4467</v>
      </c>
      <c r="N1302" s="16"/>
      <c r="O1302" s="16"/>
      <c r="P1302" s="16"/>
      <c r="Q1302" s="16"/>
      <c r="R1302" s="16"/>
      <c r="S1302" s="16"/>
      <c r="U1302" s="283" t="e">
        <v>#N/A</v>
      </c>
      <c r="W1302" s="10">
        <v>1</v>
      </c>
      <c r="X1302" s="10">
        <v>0</v>
      </c>
      <c r="Y1302" s="10">
        <v>0</v>
      </c>
      <c r="Z1302" s="10">
        <v>1</v>
      </c>
      <c r="AA1302" s="10">
        <v>1</v>
      </c>
      <c r="AB1302" s="10">
        <v>1</v>
      </c>
      <c r="AC1302" s="316">
        <v>0</v>
      </c>
      <c r="AD1302" s="316">
        <v>1</v>
      </c>
      <c r="AE1302" s="302">
        <f t="shared" si="88"/>
        <v>0.625</v>
      </c>
      <c r="AF1302" s="17"/>
      <c r="AG1302" s="17">
        <v>0</v>
      </c>
      <c r="AH1302" s="17" t="s">
        <v>271</v>
      </c>
      <c r="AI1302" s="17">
        <v>0</v>
      </c>
      <c r="AJ1302" s="17">
        <v>0</v>
      </c>
      <c r="AK1302" s="154">
        <v>0.2</v>
      </c>
      <c r="AL1302" s="154">
        <v>0</v>
      </c>
      <c r="AM1302" s="17">
        <f t="shared" si="89"/>
        <v>0.2</v>
      </c>
      <c r="AN1302" s="32" t="s">
        <v>1035</v>
      </c>
      <c r="AO1302" s="18" t="s">
        <v>1037</v>
      </c>
      <c r="AP1302" s="10" t="s">
        <v>119</v>
      </c>
    </row>
    <row r="1303" spans="1:42" s="10" customFormat="1" hidden="1" x14ac:dyDescent="0.3">
      <c r="A1303" s="213" t="s">
        <v>1444</v>
      </c>
      <c r="B1303" s="10" t="s">
        <v>4050</v>
      </c>
      <c r="C1303" s="213" t="s">
        <v>1445</v>
      </c>
      <c r="D1303" s="10" t="s">
        <v>4052</v>
      </c>
      <c r="E1303" s="213" t="s">
        <v>4429</v>
      </c>
      <c r="F1303" s="10" t="s">
        <v>4430</v>
      </c>
      <c r="G1303" s="213" t="s">
        <v>4464</v>
      </c>
      <c r="H1303" s="10" t="s">
        <v>4465</v>
      </c>
      <c r="K1303" s="213" t="s">
        <v>4466</v>
      </c>
      <c r="L1303" s="10" t="s">
        <v>4467</v>
      </c>
      <c r="N1303" s="16"/>
      <c r="O1303" s="16"/>
      <c r="P1303" s="16"/>
      <c r="Q1303" s="16"/>
      <c r="R1303" s="16"/>
      <c r="S1303" s="16"/>
      <c r="U1303" s="283" t="e">
        <v>#N/A</v>
      </c>
      <c r="W1303" s="10">
        <v>1</v>
      </c>
      <c r="X1303" s="10">
        <v>0</v>
      </c>
      <c r="Y1303" s="10">
        <v>0</v>
      </c>
      <c r="Z1303" s="10">
        <v>1</v>
      </c>
      <c r="AA1303" s="10">
        <v>1</v>
      </c>
      <c r="AB1303" s="10">
        <v>1</v>
      </c>
      <c r="AC1303" s="316">
        <v>0</v>
      </c>
      <c r="AD1303" s="316">
        <v>1</v>
      </c>
      <c r="AE1303" s="302">
        <f t="shared" si="88"/>
        <v>0.625</v>
      </c>
      <c r="AF1303" s="17"/>
      <c r="AG1303" s="17">
        <v>0</v>
      </c>
      <c r="AH1303" s="17" t="s">
        <v>271</v>
      </c>
      <c r="AI1303" s="17">
        <v>0</v>
      </c>
      <c r="AJ1303" s="17">
        <v>0</v>
      </c>
      <c r="AK1303" s="154">
        <v>0</v>
      </c>
      <c r="AL1303" s="154">
        <v>0</v>
      </c>
      <c r="AM1303" s="17">
        <f t="shared" si="89"/>
        <v>0</v>
      </c>
      <c r="AN1303" s="176" t="s">
        <v>921</v>
      </c>
      <c r="AO1303" s="18" t="s">
        <v>880</v>
      </c>
      <c r="AP1303" s="10" t="s">
        <v>119</v>
      </c>
    </row>
    <row r="1304" spans="1:42" s="10" customFormat="1" hidden="1" x14ac:dyDescent="0.3">
      <c r="A1304" s="213" t="s">
        <v>1444</v>
      </c>
      <c r="B1304" s="10" t="s">
        <v>4050</v>
      </c>
      <c r="C1304" s="213" t="s">
        <v>1445</v>
      </c>
      <c r="D1304" s="10" t="s">
        <v>4052</v>
      </c>
      <c r="E1304" s="213" t="s">
        <v>4429</v>
      </c>
      <c r="F1304" s="10" t="s">
        <v>4430</v>
      </c>
      <c r="G1304" s="213" t="s">
        <v>4470</v>
      </c>
      <c r="H1304" s="10" t="s">
        <v>4471</v>
      </c>
      <c r="K1304" s="213" t="s">
        <v>4472</v>
      </c>
      <c r="L1304" s="10" t="s">
        <v>4473</v>
      </c>
      <c r="M1304" s="10" t="s">
        <v>4474</v>
      </c>
      <c r="N1304" s="16"/>
      <c r="O1304" s="16"/>
      <c r="P1304" s="16"/>
      <c r="Q1304" s="16"/>
      <c r="R1304" s="16"/>
      <c r="S1304" s="16"/>
      <c r="U1304" s="283" t="e">
        <v>#N/A</v>
      </c>
      <c r="V1304" s="10" t="s">
        <v>4475</v>
      </c>
      <c r="W1304" s="10">
        <v>1</v>
      </c>
      <c r="X1304" s="10">
        <v>0</v>
      </c>
      <c r="Y1304" s="10">
        <v>0</v>
      </c>
      <c r="Z1304" s="10">
        <v>1</v>
      </c>
      <c r="AA1304" s="10">
        <v>1</v>
      </c>
      <c r="AB1304" s="10">
        <v>1</v>
      </c>
      <c r="AC1304" s="316">
        <v>0</v>
      </c>
      <c r="AD1304" s="316">
        <v>1</v>
      </c>
      <c r="AE1304" s="302">
        <f t="shared" si="88"/>
        <v>0.625</v>
      </c>
      <c r="AF1304" s="32"/>
      <c r="AG1304" s="17">
        <v>0</v>
      </c>
      <c r="AH1304" s="32" t="s">
        <v>271</v>
      </c>
      <c r="AI1304" s="32">
        <v>0.7</v>
      </c>
      <c r="AJ1304" s="32">
        <v>0.2</v>
      </c>
      <c r="AK1304" s="214">
        <v>0.2</v>
      </c>
      <c r="AL1304" s="214">
        <v>0.2</v>
      </c>
      <c r="AM1304" s="17">
        <f t="shared" si="89"/>
        <v>0.4</v>
      </c>
      <c r="AN1304" s="32" t="s">
        <v>321</v>
      </c>
      <c r="AO1304" s="18" t="s">
        <v>1066</v>
      </c>
      <c r="AP1304" s="10" t="s">
        <v>4476</v>
      </c>
    </row>
    <row r="1305" spans="1:42" s="10" customFormat="1" hidden="1" x14ac:dyDescent="0.3">
      <c r="A1305" s="213" t="s">
        <v>1444</v>
      </c>
      <c r="B1305" s="10" t="s">
        <v>4050</v>
      </c>
      <c r="C1305" s="213" t="s">
        <v>1445</v>
      </c>
      <c r="D1305" s="10" t="s">
        <v>4052</v>
      </c>
      <c r="E1305" s="213" t="s">
        <v>4429</v>
      </c>
      <c r="F1305" s="10" t="s">
        <v>4430</v>
      </c>
      <c r="G1305" s="213" t="s">
        <v>4470</v>
      </c>
      <c r="H1305" s="10" t="s">
        <v>4471</v>
      </c>
      <c r="K1305" s="213" t="s">
        <v>4472</v>
      </c>
      <c r="L1305" s="10" t="s">
        <v>4473</v>
      </c>
      <c r="N1305" s="16"/>
      <c r="O1305" s="16"/>
      <c r="P1305" s="16"/>
      <c r="Q1305" s="16"/>
      <c r="R1305" s="16"/>
      <c r="S1305" s="16"/>
      <c r="U1305" s="283" t="e">
        <v>#N/A</v>
      </c>
      <c r="W1305" s="10">
        <v>1</v>
      </c>
      <c r="X1305" s="10">
        <v>0</v>
      </c>
      <c r="Y1305" s="10">
        <v>0</v>
      </c>
      <c r="Z1305" s="10">
        <v>1</v>
      </c>
      <c r="AA1305" s="10">
        <v>1</v>
      </c>
      <c r="AB1305" s="10">
        <v>1</v>
      </c>
      <c r="AC1305" s="316">
        <v>0</v>
      </c>
      <c r="AD1305" s="316">
        <v>1</v>
      </c>
      <c r="AE1305" s="302">
        <f t="shared" si="88"/>
        <v>0.625</v>
      </c>
      <c r="AF1305" s="17"/>
      <c r="AG1305" s="17">
        <v>0</v>
      </c>
      <c r="AH1305" s="17" t="s">
        <v>271</v>
      </c>
      <c r="AI1305" s="17">
        <v>0</v>
      </c>
      <c r="AJ1305" s="17">
        <v>0</v>
      </c>
      <c r="AK1305" s="154">
        <v>0</v>
      </c>
      <c r="AL1305" s="154">
        <v>0</v>
      </c>
      <c r="AM1305" s="17">
        <f t="shared" si="89"/>
        <v>0</v>
      </c>
      <c r="AN1305" s="10" t="s">
        <v>265</v>
      </c>
      <c r="AO1305" s="18" t="s">
        <v>350</v>
      </c>
      <c r="AP1305" s="10" t="s">
        <v>119</v>
      </c>
    </row>
    <row r="1306" spans="1:42" s="10" customFormat="1" hidden="1" x14ac:dyDescent="0.3">
      <c r="A1306" s="213" t="s">
        <v>1444</v>
      </c>
      <c r="B1306" s="10" t="s">
        <v>4050</v>
      </c>
      <c r="C1306" s="213" t="s">
        <v>1445</v>
      </c>
      <c r="D1306" s="10" t="s">
        <v>4052</v>
      </c>
      <c r="E1306" s="213" t="s">
        <v>4429</v>
      </c>
      <c r="F1306" s="10" t="s">
        <v>4430</v>
      </c>
      <c r="G1306" s="213" t="s">
        <v>4470</v>
      </c>
      <c r="H1306" s="10" t="s">
        <v>4471</v>
      </c>
      <c r="K1306" s="213" t="s">
        <v>4472</v>
      </c>
      <c r="L1306" s="10" t="s">
        <v>4473</v>
      </c>
      <c r="N1306" s="16"/>
      <c r="O1306" s="16"/>
      <c r="P1306" s="16"/>
      <c r="Q1306" s="16"/>
      <c r="R1306" s="16"/>
      <c r="S1306" s="16"/>
      <c r="U1306" s="283" t="e">
        <v>#N/A</v>
      </c>
      <c r="W1306" s="10">
        <v>1</v>
      </c>
      <c r="X1306" s="10">
        <v>0</v>
      </c>
      <c r="Y1306" s="10">
        <v>0</v>
      </c>
      <c r="Z1306" s="10">
        <v>1</v>
      </c>
      <c r="AA1306" s="10">
        <v>1</v>
      </c>
      <c r="AB1306" s="10">
        <v>1</v>
      </c>
      <c r="AC1306" s="316">
        <v>0</v>
      </c>
      <c r="AD1306" s="316">
        <v>1</v>
      </c>
      <c r="AE1306" s="302">
        <f t="shared" si="88"/>
        <v>0.625</v>
      </c>
      <c r="AF1306" s="17"/>
      <c r="AG1306" s="17">
        <v>0</v>
      </c>
      <c r="AH1306" s="17" t="s">
        <v>271</v>
      </c>
      <c r="AI1306" s="17">
        <v>0</v>
      </c>
      <c r="AJ1306" s="17">
        <v>0</v>
      </c>
      <c r="AK1306" s="154">
        <v>0</v>
      </c>
      <c r="AL1306" s="154">
        <v>0</v>
      </c>
      <c r="AM1306" s="17">
        <f t="shared" si="89"/>
        <v>0</v>
      </c>
      <c r="AN1306" s="32" t="s">
        <v>4067</v>
      </c>
      <c r="AO1306" s="18" t="s">
        <v>1037</v>
      </c>
      <c r="AP1306" s="10" t="s">
        <v>119</v>
      </c>
    </row>
    <row r="1307" spans="1:42" s="10" customFormat="1" x14ac:dyDescent="0.3">
      <c r="A1307" s="213" t="s">
        <v>1444</v>
      </c>
      <c r="B1307" s="10" t="s">
        <v>4050</v>
      </c>
      <c r="C1307" s="213" t="s">
        <v>1445</v>
      </c>
      <c r="D1307" s="10" t="s">
        <v>4052</v>
      </c>
      <c r="E1307" s="213" t="s">
        <v>4429</v>
      </c>
      <c r="F1307" s="10" t="s">
        <v>4430</v>
      </c>
      <c r="G1307" s="213" t="s">
        <v>4477</v>
      </c>
      <c r="H1307" s="10" t="s">
        <v>4478</v>
      </c>
      <c r="K1307" s="213" t="s">
        <v>4479</v>
      </c>
      <c r="L1307" s="10" t="s">
        <v>4480</v>
      </c>
      <c r="M1307" s="10" t="s">
        <v>4481</v>
      </c>
      <c r="N1307" s="16">
        <v>0</v>
      </c>
      <c r="O1307" s="16">
        <v>0</v>
      </c>
      <c r="P1307" s="16">
        <v>1</v>
      </c>
      <c r="Q1307" s="16" t="s">
        <v>271</v>
      </c>
      <c r="R1307" s="16" t="s">
        <v>271</v>
      </c>
      <c r="S1307" s="16" t="s">
        <v>271</v>
      </c>
      <c r="T1307" s="10" t="s">
        <v>1035</v>
      </c>
      <c r="U1307" s="283" t="s">
        <v>1037</v>
      </c>
      <c r="V1307" s="10" t="s">
        <v>4482</v>
      </c>
      <c r="W1307" s="10">
        <v>1</v>
      </c>
      <c r="X1307" s="10">
        <v>1</v>
      </c>
      <c r="Y1307" s="10">
        <v>0</v>
      </c>
      <c r="Z1307" s="10">
        <v>1</v>
      </c>
      <c r="AA1307" s="10">
        <v>1</v>
      </c>
      <c r="AB1307" s="10">
        <v>1</v>
      </c>
      <c r="AC1307" s="316">
        <v>0</v>
      </c>
      <c r="AD1307" s="316">
        <v>1</v>
      </c>
      <c r="AE1307" s="302">
        <f t="shared" si="88"/>
        <v>0.75</v>
      </c>
      <c r="AF1307" s="32"/>
      <c r="AG1307" s="17">
        <v>0</v>
      </c>
      <c r="AH1307" s="32" t="s">
        <v>271</v>
      </c>
      <c r="AI1307" s="32">
        <v>2.5</v>
      </c>
      <c r="AJ1307" s="32">
        <v>2.5</v>
      </c>
      <c r="AK1307" s="214">
        <v>1.5</v>
      </c>
      <c r="AL1307" s="214">
        <v>1.5</v>
      </c>
      <c r="AM1307" s="17">
        <f t="shared" si="89"/>
        <v>3</v>
      </c>
      <c r="AN1307" s="32" t="s">
        <v>4067</v>
      </c>
      <c r="AO1307" s="18" t="s">
        <v>1037</v>
      </c>
      <c r="AP1307" s="10" t="s">
        <v>1035</v>
      </c>
    </row>
    <row r="1308" spans="1:42" s="10" customFormat="1" hidden="1" x14ac:dyDescent="0.3">
      <c r="A1308" s="213" t="s">
        <v>1444</v>
      </c>
      <c r="B1308" s="10" t="s">
        <v>4050</v>
      </c>
      <c r="C1308" s="213" t="s">
        <v>1445</v>
      </c>
      <c r="D1308" s="10" t="s">
        <v>4052</v>
      </c>
      <c r="E1308" s="213" t="s">
        <v>4429</v>
      </c>
      <c r="F1308" s="10" t="s">
        <v>4430</v>
      </c>
      <c r="G1308" s="213" t="s">
        <v>4477</v>
      </c>
      <c r="H1308" s="10" t="s">
        <v>4478</v>
      </c>
      <c r="K1308" s="213" t="s">
        <v>4479</v>
      </c>
      <c r="L1308" s="10" t="s">
        <v>4480</v>
      </c>
      <c r="N1308" s="16"/>
      <c r="O1308" s="16"/>
      <c r="P1308" s="16"/>
      <c r="Q1308" s="16"/>
      <c r="R1308" s="16"/>
      <c r="S1308" s="16"/>
      <c r="U1308" s="283" t="e">
        <v>#N/A</v>
      </c>
      <c r="V1308" s="10" t="s">
        <v>4483</v>
      </c>
      <c r="W1308" s="10">
        <v>1</v>
      </c>
      <c r="X1308" s="10">
        <v>0</v>
      </c>
      <c r="Y1308" s="10">
        <v>0</v>
      </c>
      <c r="Z1308" s="10">
        <v>1</v>
      </c>
      <c r="AA1308" s="10">
        <v>1</v>
      </c>
      <c r="AB1308" s="10">
        <v>1</v>
      </c>
      <c r="AC1308" s="316">
        <v>0</v>
      </c>
      <c r="AD1308" s="316">
        <v>1</v>
      </c>
      <c r="AE1308" s="302">
        <f t="shared" si="88"/>
        <v>0.625</v>
      </c>
      <c r="AF1308" s="32"/>
      <c r="AG1308" s="17">
        <v>0</v>
      </c>
      <c r="AH1308" s="32" t="s">
        <v>271</v>
      </c>
      <c r="AI1308" s="32">
        <v>0.1</v>
      </c>
      <c r="AJ1308" s="32">
        <v>0.1</v>
      </c>
      <c r="AK1308" s="214">
        <v>0.1</v>
      </c>
      <c r="AL1308" s="214">
        <v>0.1</v>
      </c>
      <c r="AM1308" s="17">
        <f t="shared" si="89"/>
        <v>0.2</v>
      </c>
      <c r="AN1308" s="10" t="s">
        <v>1233</v>
      </c>
      <c r="AO1308" s="18" t="s">
        <v>1650</v>
      </c>
      <c r="AP1308" s="10" t="s">
        <v>4484</v>
      </c>
    </row>
    <row r="1309" spans="1:42" s="293" customFormat="1" hidden="1" x14ac:dyDescent="0.3">
      <c r="A1309" s="50" t="s">
        <v>1447</v>
      </c>
      <c r="B1309" s="51" t="s">
        <v>4485</v>
      </c>
      <c r="C1309" s="50" t="s">
        <v>4486</v>
      </c>
      <c r="D1309" s="51" t="s">
        <v>1491</v>
      </c>
      <c r="E1309" s="50" t="s">
        <v>4486</v>
      </c>
      <c r="F1309" s="51" t="s">
        <v>1493</v>
      </c>
      <c r="G1309" s="50" t="s">
        <v>4486</v>
      </c>
      <c r="H1309" s="51" t="s">
        <v>1491</v>
      </c>
      <c r="I1309" s="51"/>
      <c r="J1309" s="51"/>
      <c r="K1309" s="50" t="s">
        <v>4486</v>
      </c>
      <c r="L1309" s="51" t="s">
        <v>1491</v>
      </c>
      <c r="M1309" s="60" t="s">
        <v>271</v>
      </c>
      <c r="N1309" s="60" t="s">
        <v>271</v>
      </c>
      <c r="O1309" s="60" t="s">
        <v>271</v>
      </c>
      <c r="P1309" s="60" t="s">
        <v>271</v>
      </c>
      <c r="Q1309" s="60" t="s">
        <v>271</v>
      </c>
      <c r="R1309" s="60" t="s">
        <v>271</v>
      </c>
      <c r="S1309" s="60" t="s">
        <v>271</v>
      </c>
      <c r="T1309" s="60" t="s">
        <v>271</v>
      </c>
      <c r="U1309" s="60" t="s">
        <v>271</v>
      </c>
      <c r="V1309" s="51" t="s">
        <v>1489</v>
      </c>
      <c r="W1309" s="291"/>
      <c r="X1309" s="291"/>
      <c r="Y1309" s="291"/>
      <c r="Z1309" s="291"/>
      <c r="AA1309" s="291"/>
      <c r="AB1309" s="291"/>
      <c r="AC1309" s="291"/>
      <c r="AD1309" s="291"/>
      <c r="AE1309" s="292"/>
      <c r="AF1309" s="56"/>
      <c r="AG1309" s="292"/>
      <c r="AH1309" s="56"/>
      <c r="AI1309" s="56"/>
      <c r="AJ1309" s="56"/>
      <c r="AK1309" s="57">
        <v>28.7</v>
      </c>
      <c r="AL1309" s="57">
        <v>28.7</v>
      </c>
      <c r="AM1309" s="56">
        <f>SUM(AK1309:AL1309)</f>
        <v>57.4</v>
      </c>
      <c r="AN1309" s="52"/>
      <c r="AO1309" s="52"/>
      <c r="AP1309" s="51"/>
    </row>
    <row r="1310" spans="1:42" s="293" customFormat="1" hidden="1" x14ac:dyDescent="0.3">
      <c r="A1310" s="50" t="s">
        <v>1447</v>
      </c>
      <c r="B1310" s="51" t="s">
        <v>4485</v>
      </c>
      <c r="C1310" s="50" t="s">
        <v>4486</v>
      </c>
      <c r="D1310" s="51" t="s">
        <v>1491</v>
      </c>
      <c r="E1310" s="50" t="s">
        <v>4486</v>
      </c>
      <c r="F1310" s="51" t="s">
        <v>1493</v>
      </c>
      <c r="G1310" s="50" t="s">
        <v>4486</v>
      </c>
      <c r="H1310" s="51" t="s">
        <v>1491</v>
      </c>
      <c r="I1310" s="51"/>
      <c r="J1310" s="51"/>
      <c r="K1310" s="50" t="s">
        <v>4486</v>
      </c>
      <c r="L1310" s="51" t="s">
        <v>1491</v>
      </c>
      <c r="M1310" s="60" t="s">
        <v>271</v>
      </c>
      <c r="N1310" s="60" t="s">
        <v>271</v>
      </c>
      <c r="O1310" s="60" t="s">
        <v>271</v>
      </c>
      <c r="P1310" s="60" t="s">
        <v>271</v>
      </c>
      <c r="Q1310" s="60" t="s">
        <v>271</v>
      </c>
      <c r="R1310" s="60" t="s">
        <v>271</v>
      </c>
      <c r="S1310" s="60" t="s">
        <v>271</v>
      </c>
      <c r="T1310" s="60" t="s">
        <v>271</v>
      </c>
      <c r="U1310" s="60" t="s">
        <v>271</v>
      </c>
      <c r="V1310" s="51" t="s">
        <v>1490</v>
      </c>
      <c r="W1310" s="291"/>
      <c r="X1310" s="291"/>
      <c r="Y1310" s="291"/>
      <c r="Z1310" s="291"/>
      <c r="AA1310" s="291"/>
      <c r="AB1310" s="291"/>
      <c r="AC1310" s="291"/>
      <c r="AD1310" s="291"/>
      <c r="AE1310" s="292"/>
      <c r="AF1310" s="56"/>
      <c r="AG1310" s="292"/>
      <c r="AH1310" s="56"/>
      <c r="AI1310" s="56"/>
      <c r="AJ1310" s="56"/>
      <c r="AK1310" s="57">
        <v>14.6</v>
      </c>
      <c r="AL1310" s="57">
        <v>17</v>
      </c>
      <c r="AM1310" s="56">
        <f>SUM(AK1310:AL1310)</f>
        <v>31.6</v>
      </c>
      <c r="AN1310" s="52"/>
      <c r="AO1310" s="52"/>
      <c r="AP1310" s="51"/>
    </row>
    <row r="1311" spans="1:42" s="293" customFormat="1" hidden="1" x14ac:dyDescent="0.3">
      <c r="A1311" s="50" t="s">
        <v>1447</v>
      </c>
      <c r="B1311" s="51" t="s">
        <v>4485</v>
      </c>
      <c r="C1311" s="50" t="s">
        <v>4486</v>
      </c>
      <c r="D1311" s="51" t="s">
        <v>1491</v>
      </c>
      <c r="E1311" s="50" t="s">
        <v>4486</v>
      </c>
      <c r="F1311" s="51" t="s">
        <v>1493</v>
      </c>
      <c r="G1311" s="50" t="s">
        <v>4486</v>
      </c>
      <c r="H1311" s="51" t="s">
        <v>1491</v>
      </c>
      <c r="I1311" s="51"/>
      <c r="J1311" s="51"/>
      <c r="K1311" s="50" t="s">
        <v>4486</v>
      </c>
      <c r="L1311" s="51" t="s">
        <v>1491</v>
      </c>
      <c r="M1311" s="60" t="s">
        <v>271</v>
      </c>
      <c r="N1311" s="60" t="s">
        <v>271</v>
      </c>
      <c r="O1311" s="60" t="s">
        <v>271</v>
      </c>
      <c r="P1311" s="60" t="s">
        <v>271</v>
      </c>
      <c r="Q1311" s="60" t="s">
        <v>271</v>
      </c>
      <c r="R1311" s="60" t="s">
        <v>271</v>
      </c>
      <c r="S1311" s="60" t="s">
        <v>271</v>
      </c>
      <c r="T1311" s="60" t="s">
        <v>271</v>
      </c>
      <c r="U1311" s="60" t="s">
        <v>271</v>
      </c>
      <c r="V1311" s="51" t="s">
        <v>1495</v>
      </c>
      <c r="W1311" s="291"/>
      <c r="X1311" s="291"/>
      <c r="Y1311" s="291"/>
      <c r="Z1311" s="291"/>
      <c r="AA1311" s="291"/>
      <c r="AB1311" s="291"/>
      <c r="AC1311" s="291"/>
      <c r="AD1311" s="291"/>
      <c r="AE1311" s="292"/>
      <c r="AF1311" s="56"/>
      <c r="AG1311" s="292"/>
      <c r="AH1311" s="56"/>
      <c r="AI1311" s="56"/>
      <c r="AJ1311" s="56"/>
      <c r="AK1311" s="57">
        <v>49.679000000000002</v>
      </c>
      <c r="AL1311" s="57">
        <v>31.034999999999997</v>
      </c>
      <c r="AM1311" s="56">
        <f>SUM(AK1311:AL1311)</f>
        <v>80.713999999999999</v>
      </c>
      <c r="AN1311" s="52"/>
      <c r="AO1311" s="52"/>
      <c r="AP1311" s="51"/>
    </row>
    <row r="1312" spans="1:42" hidden="1" x14ac:dyDescent="0.3">
      <c r="A1312" s="314" t="s">
        <v>1447</v>
      </c>
      <c r="B1312" s="283" t="s">
        <v>4485</v>
      </c>
      <c r="C1312" s="314" t="s">
        <v>4487</v>
      </c>
      <c r="D1312" s="283" t="s">
        <v>4488</v>
      </c>
      <c r="E1312" s="314" t="s">
        <v>4489</v>
      </c>
      <c r="F1312" s="283" t="s">
        <v>4490</v>
      </c>
      <c r="G1312" s="314" t="s">
        <v>4491</v>
      </c>
      <c r="H1312" s="283" t="s">
        <v>4492</v>
      </c>
      <c r="I1312" s="223"/>
      <c r="J1312" s="349"/>
      <c r="K1312" s="350" t="s">
        <v>4493</v>
      </c>
      <c r="L1312" s="283" t="s">
        <v>4494</v>
      </c>
      <c r="M1312" s="206" t="s">
        <v>4495</v>
      </c>
      <c r="N1312" s="224">
        <v>6</v>
      </c>
      <c r="O1312" s="224"/>
      <c r="P1312" s="224"/>
      <c r="Q1312" s="224">
        <v>1</v>
      </c>
      <c r="R1312" s="224">
        <v>0.5</v>
      </c>
      <c r="S1312" s="224">
        <v>2</v>
      </c>
      <c r="T1312" s="206" t="s">
        <v>1035</v>
      </c>
      <c r="U1312" s="283" t="s">
        <v>1037</v>
      </c>
      <c r="V1312" s="283" t="s">
        <v>4496</v>
      </c>
      <c r="W1312" s="283">
        <v>1</v>
      </c>
      <c r="X1312" s="283">
        <v>0</v>
      </c>
      <c r="Y1312" s="283">
        <v>0</v>
      </c>
      <c r="Z1312" s="283">
        <v>1</v>
      </c>
      <c r="AA1312" s="283">
        <v>1</v>
      </c>
      <c r="AB1312" s="283">
        <v>1</v>
      </c>
      <c r="AC1312" s="316">
        <v>0</v>
      </c>
      <c r="AD1312" s="316">
        <v>1</v>
      </c>
      <c r="AE1312" s="302">
        <f t="shared" ref="AE1312:AE1375" si="90">SUM(W1312:AD1312)/8</f>
        <v>0.625</v>
      </c>
      <c r="AF1312" s="310"/>
      <c r="AG1312" s="17">
        <v>0</v>
      </c>
      <c r="AH1312" s="310">
        <v>1</v>
      </c>
      <c r="AI1312" s="310">
        <v>2</v>
      </c>
      <c r="AJ1312" s="17">
        <v>0</v>
      </c>
      <c r="AK1312" s="153">
        <v>3</v>
      </c>
      <c r="AL1312" s="154">
        <v>5</v>
      </c>
      <c r="AM1312" s="17">
        <f t="shared" ref="AM1312:AM1375" si="91">SUM(AK1312:AL1312)</f>
        <v>8</v>
      </c>
      <c r="AN1312" s="283" t="s">
        <v>1035</v>
      </c>
      <c r="AO1312" s="18" t="s">
        <v>1037</v>
      </c>
      <c r="AP1312" s="283" t="s">
        <v>4497</v>
      </c>
    </row>
    <row r="1313" spans="1:42" hidden="1" x14ac:dyDescent="0.3">
      <c r="A1313" s="314" t="s">
        <v>1447</v>
      </c>
      <c r="B1313" s="283" t="s">
        <v>4485</v>
      </c>
      <c r="C1313" s="314" t="s">
        <v>4487</v>
      </c>
      <c r="D1313" s="283" t="s">
        <v>4488</v>
      </c>
      <c r="E1313" s="314" t="s">
        <v>4489</v>
      </c>
      <c r="F1313" s="283" t="s">
        <v>4490</v>
      </c>
      <c r="G1313" s="314" t="s">
        <v>4491</v>
      </c>
      <c r="H1313" s="283" t="s">
        <v>4492</v>
      </c>
      <c r="I1313" s="223"/>
      <c r="J1313" s="225"/>
      <c r="K1313" s="350" t="s">
        <v>4493</v>
      </c>
      <c r="L1313" s="283" t="s">
        <v>4494</v>
      </c>
      <c r="M1313" s="223"/>
      <c r="N1313" s="224"/>
      <c r="O1313" s="224"/>
      <c r="P1313" s="224"/>
      <c r="Q1313" s="224"/>
      <c r="R1313" s="224"/>
      <c r="S1313" s="224"/>
      <c r="T1313" s="223"/>
      <c r="U1313" s="283" t="e">
        <v>#N/A</v>
      </c>
      <c r="V1313" s="283" t="s">
        <v>4498</v>
      </c>
      <c r="W1313" s="283">
        <v>0</v>
      </c>
      <c r="X1313" s="283">
        <v>0</v>
      </c>
      <c r="Y1313" s="283">
        <v>0</v>
      </c>
      <c r="Z1313" s="283">
        <v>1</v>
      </c>
      <c r="AA1313" s="283">
        <v>1</v>
      </c>
      <c r="AB1313" s="283">
        <v>1</v>
      </c>
      <c r="AC1313" s="316">
        <v>0</v>
      </c>
      <c r="AD1313" s="316">
        <v>1</v>
      </c>
      <c r="AE1313" s="302">
        <f t="shared" si="90"/>
        <v>0.5</v>
      </c>
      <c r="AF1313" s="310"/>
      <c r="AG1313" s="17">
        <v>0</v>
      </c>
      <c r="AH1313" s="310">
        <v>1</v>
      </c>
      <c r="AI1313" s="310">
        <v>1.3</v>
      </c>
      <c r="AJ1313" s="310">
        <v>1.5</v>
      </c>
      <c r="AK1313" s="317">
        <v>1.5</v>
      </c>
      <c r="AL1313" s="317">
        <v>1.5</v>
      </c>
      <c r="AM1313" s="17">
        <f>SUM(AK1313:AL1313)</f>
        <v>3</v>
      </c>
      <c r="AN1313" s="283" t="s">
        <v>4497</v>
      </c>
      <c r="AO1313" s="18" t="s">
        <v>4499</v>
      </c>
      <c r="AP1313" s="283" t="s">
        <v>1035</v>
      </c>
    </row>
    <row r="1314" spans="1:42" hidden="1" x14ac:dyDescent="0.3">
      <c r="A1314" s="314" t="s">
        <v>1447</v>
      </c>
      <c r="B1314" s="283" t="s">
        <v>4485</v>
      </c>
      <c r="C1314" s="314" t="s">
        <v>4487</v>
      </c>
      <c r="D1314" s="283" t="s">
        <v>4488</v>
      </c>
      <c r="E1314" s="314" t="s">
        <v>4489</v>
      </c>
      <c r="F1314" s="283" t="s">
        <v>4490</v>
      </c>
      <c r="G1314" s="314" t="s">
        <v>4491</v>
      </c>
      <c r="H1314" s="283" t="s">
        <v>4492</v>
      </c>
      <c r="I1314" s="223"/>
      <c r="J1314" s="225"/>
      <c r="K1314" s="350" t="s">
        <v>4493</v>
      </c>
      <c r="L1314" s="283" t="s">
        <v>4494</v>
      </c>
      <c r="M1314" s="223"/>
      <c r="N1314" s="224"/>
      <c r="O1314" s="224"/>
      <c r="P1314" s="224"/>
      <c r="Q1314" s="224"/>
      <c r="R1314" s="224"/>
      <c r="S1314" s="224"/>
      <c r="T1314" s="223"/>
      <c r="U1314" s="283" t="e">
        <v>#N/A</v>
      </c>
      <c r="V1314" s="283" t="s">
        <v>4500</v>
      </c>
      <c r="W1314" s="283">
        <v>0</v>
      </c>
      <c r="X1314" s="283">
        <v>0</v>
      </c>
      <c r="Y1314" s="283">
        <v>0</v>
      </c>
      <c r="Z1314" s="283">
        <v>1</v>
      </c>
      <c r="AA1314" s="283">
        <v>1</v>
      </c>
      <c r="AB1314" s="283">
        <v>1</v>
      </c>
      <c r="AC1314" s="316">
        <v>0</v>
      </c>
      <c r="AD1314" s="316">
        <v>1</v>
      </c>
      <c r="AE1314" s="302">
        <f t="shared" si="90"/>
        <v>0.5</v>
      </c>
      <c r="AF1314" s="310"/>
      <c r="AG1314" s="17">
        <v>0</v>
      </c>
      <c r="AH1314" s="310">
        <v>2.8</v>
      </c>
      <c r="AI1314" s="310">
        <v>2.5999999999999996</v>
      </c>
      <c r="AJ1314" s="310">
        <v>2.38</v>
      </c>
      <c r="AK1314" s="317">
        <v>0.6</v>
      </c>
      <c r="AL1314" s="317">
        <v>0.6</v>
      </c>
      <c r="AM1314" s="17">
        <f t="shared" si="91"/>
        <v>1.2</v>
      </c>
      <c r="AN1314" s="283" t="s">
        <v>1035</v>
      </c>
      <c r="AO1314" s="18" t="s">
        <v>1037</v>
      </c>
      <c r="AP1314" s="283" t="s">
        <v>4501</v>
      </c>
    </row>
    <row r="1315" spans="1:42" x14ac:dyDescent="0.3">
      <c r="A1315" s="314" t="s">
        <v>1447</v>
      </c>
      <c r="B1315" s="283" t="s">
        <v>4485</v>
      </c>
      <c r="C1315" s="314" t="s">
        <v>4487</v>
      </c>
      <c r="D1315" s="283" t="s">
        <v>4488</v>
      </c>
      <c r="E1315" s="314" t="s">
        <v>4489</v>
      </c>
      <c r="F1315" s="283" t="s">
        <v>4490</v>
      </c>
      <c r="G1315" s="314" t="s">
        <v>4491</v>
      </c>
      <c r="H1315" s="283" t="s">
        <v>4492</v>
      </c>
      <c r="I1315" s="223"/>
      <c r="J1315" s="225"/>
      <c r="K1315" s="350" t="s">
        <v>4493</v>
      </c>
      <c r="L1315" s="283" t="s">
        <v>4494</v>
      </c>
      <c r="M1315" s="206"/>
      <c r="N1315" s="211"/>
      <c r="O1315" s="211"/>
      <c r="P1315" s="211"/>
      <c r="Q1315" s="211"/>
      <c r="R1315" s="211">
        <v>1</v>
      </c>
      <c r="S1315" s="211">
        <v>2</v>
      </c>
      <c r="T1315" s="223"/>
      <c r="U1315" s="283" t="e">
        <v>#N/A</v>
      </c>
      <c r="V1315" s="283" t="s">
        <v>4502</v>
      </c>
      <c r="W1315" s="283">
        <v>1</v>
      </c>
      <c r="X1315" s="283">
        <v>1</v>
      </c>
      <c r="Y1315" s="283">
        <v>0</v>
      </c>
      <c r="Z1315" s="283">
        <v>1</v>
      </c>
      <c r="AA1315" s="283">
        <v>1</v>
      </c>
      <c r="AB1315" s="283">
        <v>1</v>
      </c>
      <c r="AC1315" s="316">
        <v>0</v>
      </c>
      <c r="AD1315" s="316">
        <v>1</v>
      </c>
      <c r="AE1315" s="302">
        <f t="shared" si="90"/>
        <v>0.75</v>
      </c>
      <c r="AF1315" s="310"/>
      <c r="AG1315" s="17">
        <v>0</v>
      </c>
      <c r="AH1315" s="310">
        <v>1</v>
      </c>
      <c r="AI1315" s="310">
        <v>0.6</v>
      </c>
      <c r="AJ1315" s="310">
        <v>0.6</v>
      </c>
      <c r="AK1315" s="317">
        <v>5</v>
      </c>
      <c r="AL1315" s="317">
        <v>5</v>
      </c>
      <c r="AM1315" s="17">
        <f t="shared" si="91"/>
        <v>10</v>
      </c>
      <c r="AN1315" s="283" t="s">
        <v>1035</v>
      </c>
      <c r="AO1315" s="18" t="s">
        <v>1037</v>
      </c>
      <c r="AP1315" s="176" t="s">
        <v>4497</v>
      </c>
    </row>
    <row r="1316" spans="1:42" hidden="1" x14ac:dyDescent="0.3">
      <c r="A1316" s="314" t="s">
        <v>1447</v>
      </c>
      <c r="B1316" s="283" t="s">
        <v>4485</v>
      </c>
      <c r="C1316" s="314" t="s">
        <v>4487</v>
      </c>
      <c r="D1316" s="283" t="s">
        <v>4488</v>
      </c>
      <c r="E1316" s="314" t="s">
        <v>4489</v>
      </c>
      <c r="F1316" s="283" t="s">
        <v>4490</v>
      </c>
      <c r="G1316" s="314" t="s">
        <v>4491</v>
      </c>
      <c r="H1316" s="283" t="s">
        <v>4492</v>
      </c>
      <c r="I1316" s="223"/>
      <c r="J1316" s="225"/>
      <c r="K1316" s="350" t="s">
        <v>4493</v>
      </c>
      <c r="L1316" s="283" t="s">
        <v>4494</v>
      </c>
      <c r="M1316" s="223"/>
      <c r="N1316" s="224"/>
      <c r="O1316" s="224"/>
      <c r="P1316" s="224"/>
      <c r="Q1316" s="224"/>
      <c r="R1316" s="224"/>
      <c r="S1316" s="224"/>
      <c r="T1316" s="223"/>
      <c r="U1316" s="283" t="e">
        <v>#N/A</v>
      </c>
      <c r="V1316" s="283" t="s">
        <v>4503</v>
      </c>
      <c r="W1316" s="283">
        <v>0</v>
      </c>
      <c r="X1316" s="283">
        <v>0</v>
      </c>
      <c r="Y1316" s="283">
        <v>0</v>
      </c>
      <c r="Z1316" s="283">
        <v>1</v>
      </c>
      <c r="AA1316" s="283">
        <v>1</v>
      </c>
      <c r="AB1316" s="283">
        <v>1</v>
      </c>
      <c r="AC1316" s="316">
        <v>0</v>
      </c>
      <c r="AD1316" s="316">
        <v>1</v>
      </c>
      <c r="AE1316" s="302">
        <f t="shared" si="90"/>
        <v>0.5</v>
      </c>
      <c r="AF1316" s="310"/>
      <c r="AG1316" s="17">
        <v>0</v>
      </c>
      <c r="AH1316" s="310">
        <v>1.5</v>
      </c>
      <c r="AI1316" s="310">
        <v>1.25</v>
      </c>
      <c r="AJ1316" s="310">
        <v>1.25</v>
      </c>
      <c r="AK1316" s="317">
        <v>1.25</v>
      </c>
      <c r="AL1316" s="317">
        <v>1.25</v>
      </c>
      <c r="AM1316" s="17">
        <f t="shared" si="91"/>
        <v>2.5</v>
      </c>
      <c r="AN1316" s="283" t="s">
        <v>1035</v>
      </c>
      <c r="AO1316" s="18" t="s">
        <v>1037</v>
      </c>
      <c r="AP1316" s="283" t="s">
        <v>4497</v>
      </c>
    </row>
    <row r="1317" spans="1:42" hidden="1" x14ac:dyDescent="0.3">
      <c r="A1317" s="314" t="s">
        <v>1447</v>
      </c>
      <c r="B1317" s="283" t="s">
        <v>4485</v>
      </c>
      <c r="C1317" s="314" t="s">
        <v>4487</v>
      </c>
      <c r="D1317" s="283" t="s">
        <v>4488</v>
      </c>
      <c r="E1317" s="314" t="s">
        <v>4489</v>
      </c>
      <c r="F1317" s="283" t="s">
        <v>4490</v>
      </c>
      <c r="G1317" s="314" t="s">
        <v>4491</v>
      </c>
      <c r="H1317" s="283" t="s">
        <v>4492</v>
      </c>
      <c r="I1317" s="223"/>
      <c r="J1317" s="225"/>
      <c r="K1317" s="350" t="s">
        <v>4493</v>
      </c>
      <c r="L1317" s="283" t="s">
        <v>4494</v>
      </c>
      <c r="M1317" s="206"/>
      <c r="N1317" s="211"/>
      <c r="O1317" s="211"/>
      <c r="P1317" s="211"/>
      <c r="Q1317" s="211"/>
      <c r="R1317" s="211">
        <v>1</v>
      </c>
      <c r="S1317" s="211">
        <v>1</v>
      </c>
      <c r="T1317" s="223"/>
      <c r="U1317" s="283" t="e">
        <v>#N/A</v>
      </c>
      <c r="V1317" s="283" t="s">
        <v>4504</v>
      </c>
      <c r="W1317" s="283">
        <v>1</v>
      </c>
      <c r="X1317" s="283">
        <v>1</v>
      </c>
      <c r="Y1317" s="283">
        <v>0</v>
      </c>
      <c r="Z1317" s="283">
        <v>1</v>
      </c>
      <c r="AA1317" s="283">
        <v>1</v>
      </c>
      <c r="AB1317" s="283">
        <v>0</v>
      </c>
      <c r="AC1317" s="316">
        <v>0</v>
      </c>
      <c r="AD1317" s="316">
        <v>1</v>
      </c>
      <c r="AE1317" s="302">
        <f t="shared" si="90"/>
        <v>0.625</v>
      </c>
      <c r="AF1317" s="310"/>
      <c r="AG1317" s="17">
        <v>0</v>
      </c>
      <c r="AH1317" s="310">
        <v>0.5</v>
      </c>
      <c r="AI1317" s="310">
        <v>0.5</v>
      </c>
      <c r="AJ1317" s="17">
        <v>0</v>
      </c>
      <c r="AK1317" s="153">
        <v>0.3</v>
      </c>
      <c r="AL1317" s="154">
        <v>0.3</v>
      </c>
      <c r="AM1317" s="17">
        <f t="shared" si="91"/>
        <v>0.6</v>
      </c>
      <c r="AN1317" s="283" t="s">
        <v>1035</v>
      </c>
      <c r="AO1317" s="18" t="s">
        <v>1037</v>
      </c>
      <c r="AP1317" s="283" t="s">
        <v>4501</v>
      </c>
    </row>
    <row r="1318" spans="1:42" x14ac:dyDescent="0.3">
      <c r="A1318" s="314" t="s">
        <v>1447</v>
      </c>
      <c r="B1318" s="283" t="s">
        <v>4485</v>
      </c>
      <c r="C1318" s="314" t="s">
        <v>4487</v>
      </c>
      <c r="D1318" s="283" t="s">
        <v>4488</v>
      </c>
      <c r="E1318" s="314" t="s">
        <v>4489</v>
      </c>
      <c r="F1318" s="283" t="s">
        <v>4490</v>
      </c>
      <c r="G1318" s="314" t="s">
        <v>4505</v>
      </c>
      <c r="H1318" s="283" t="s">
        <v>4506</v>
      </c>
      <c r="I1318" s="314" t="s">
        <v>4507</v>
      </c>
      <c r="J1318" s="283" t="s">
        <v>4508</v>
      </c>
      <c r="K1318" s="350" t="s">
        <v>4509</v>
      </c>
      <c r="L1318" s="283" t="s">
        <v>4510</v>
      </c>
      <c r="M1318" s="283" t="s">
        <v>4511</v>
      </c>
      <c r="N1318" s="224">
        <v>0</v>
      </c>
      <c r="O1318" s="224">
        <v>20</v>
      </c>
      <c r="P1318" s="224">
        <v>40</v>
      </c>
      <c r="Q1318" s="224">
        <v>60</v>
      </c>
      <c r="R1318" s="224">
        <v>20</v>
      </c>
      <c r="S1318" s="224">
        <v>40</v>
      </c>
      <c r="T1318" s="223" t="s">
        <v>4512</v>
      </c>
      <c r="U1318" s="283" t="s">
        <v>4514</v>
      </c>
      <c r="V1318" s="283" t="s">
        <v>4513</v>
      </c>
      <c r="W1318" s="283">
        <v>1</v>
      </c>
      <c r="X1318" s="283">
        <v>1</v>
      </c>
      <c r="Y1318" s="283">
        <v>1</v>
      </c>
      <c r="Z1318" s="283">
        <v>1</v>
      </c>
      <c r="AA1318" s="283">
        <v>1</v>
      </c>
      <c r="AB1318" s="283">
        <v>0</v>
      </c>
      <c r="AC1318" s="316">
        <v>0</v>
      </c>
      <c r="AD1318" s="316">
        <v>1</v>
      </c>
      <c r="AE1318" s="302">
        <f t="shared" si="90"/>
        <v>0.75</v>
      </c>
      <c r="AF1318" s="17"/>
      <c r="AG1318" s="17">
        <v>0</v>
      </c>
      <c r="AH1318" s="17">
        <v>0</v>
      </c>
      <c r="AI1318" s="310">
        <v>3.16</v>
      </c>
      <c r="AJ1318" s="310">
        <v>20</v>
      </c>
      <c r="AK1318" s="317">
        <v>31.5</v>
      </c>
      <c r="AL1318" s="154">
        <v>40.5</v>
      </c>
      <c r="AM1318" s="17">
        <f t="shared" si="91"/>
        <v>72</v>
      </c>
      <c r="AN1318" s="283" t="s">
        <v>4512</v>
      </c>
      <c r="AO1318" s="18" t="s">
        <v>4514</v>
      </c>
      <c r="AP1318" s="176" t="s">
        <v>4515</v>
      </c>
    </row>
    <row r="1319" spans="1:42" hidden="1" x14ac:dyDescent="0.3">
      <c r="A1319" s="314" t="s">
        <v>1447</v>
      </c>
      <c r="B1319" s="283" t="s">
        <v>4485</v>
      </c>
      <c r="C1319" s="314" t="s">
        <v>4487</v>
      </c>
      <c r="D1319" s="283" t="s">
        <v>4488</v>
      </c>
      <c r="E1319" s="314" t="s">
        <v>4489</v>
      </c>
      <c r="F1319" s="283" t="s">
        <v>4490</v>
      </c>
      <c r="G1319" s="314" t="s">
        <v>4505</v>
      </c>
      <c r="H1319" s="283" t="s">
        <v>4506</v>
      </c>
      <c r="I1319" s="314" t="s">
        <v>4507</v>
      </c>
      <c r="J1319" s="283" t="s">
        <v>4508</v>
      </c>
      <c r="K1319" s="350" t="s">
        <v>4509</v>
      </c>
      <c r="L1319" s="283" t="s">
        <v>4510</v>
      </c>
      <c r="M1319" s="225"/>
      <c r="N1319" s="224"/>
      <c r="O1319" s="224"/>
      <c r="P1319" s="224"/>
      <c r="Q1319" s="224"/>
      <c r="R1319" s="224"/>
      <c r="S1319" s="226"/>
      <c r="T1319" s="223" t="s">
        <v>4512</v>
      </c>
      <c r="U1319" s="283" t="s">
        <v>4514</v>
      </c>
      <c r="V1319" s="283" t="s">
        <v>4516</v>
      </c>
      <c r="W1319" s="283">
        <v>0</v>
      </c>
      <c r="X1319" s="283">
        <v>0</v>
      </c>
      <c r="Y1319" s="283">
        <v>0</v>
      </c>
      <c r="Z1319" s="283">
        <v>1</v>
      </c>
      <c r="AA1319" s="283">
        <v>0</v>
      </c>
      <c r="AB1319" s="283">
        <v>0</v>
      </c>
      <c r="AC1319" s="316">
        <v>0</v>
      </c>
      <c r="AD1319" s="316">
        <v>1</v>
      </c>
      <c r="AE1319" s="302">
        <f t="shared" si="90"/>
        <v>0.25</v>
      </c>
      <c r="AF1319" s="17"/>
      <c r="AG1319" s="17">
        <v>0</v>
      </c>
      <c r="AH1319" s="17">
        <v>0</v>
      </c>
      <c r="AI1319" s="310">
        <v>0.9</v>
      </c>
      <c r="AJ1319" s="310">
        <v>3</v>
      </c>
      <c r="AK1319" s="317">
        <v>2.5</v>
      </c>
      <c r="AL1319" s="317">
        <v>1.85</v>
      </c>
      <c r="AM1319" s="17">
        <f t="shared" si="91"/>
        <v>4.3499999999999996</v>
      </c>
      <c r="AN1319" s="283" t="s">
        <v>1035</v>
      </c>
      <c r="AO1319" s="18" t="s">
        <v>1037</v>
      </c>
      <c r="AP1319" s="176" t="s">
        <v>4497</v>
      </c>
    </row>
    <row r="1320" spans="1:42" x14ac:dyDescent="0.3">
      <c r="A1320" s="314" t="s">
        <v>1447</v>
      </c>
      <c r="B1320" s="283" t="s">
        <v>4485</v>
      </c>
      <c r="C1320" s="314" t="s">
        <v>4487</v>
      </c>
      <c r="D1320" s="283" t="s">
        <v>4488</v>
      </c>
      <c r="E1320" s="314" t="s">
        <v>4489</v>
      </c>
      <c r="F1320" s="283" t="s">
        <v>4490</v>
      </c>
      <c r="G1320" s="314" t="s">
        <v>4505</v>
      </c>
      <c r="H1320" s="283" t="s">
        <v>4506</v>
      </c>
      <c r="I1320" s="314" t="s">
        <v>4517</v>
      </c>
      <c r="J1320" s="283" t="s">
        <v>4518</v>
      </c>
      <c r="K1320" s="350" t="s">
        <v>4519</v>
      </c>
      <c r="L1320" s="283" t="s">
        <v>4520</v>
      </c>
      <c r="M1320" s="206" t="s">
        <v>4521</v>
      </c>
      <c r="N1320" s="211">
        <v>2</v>
      </c>
      <c r="O1320" s="211">
        <v>5</v>
      </c>
      <c r="P1320" s="211">
        <v>10</v>
      </c>
      <c r="Q1320" s="211">
        <v>33</v>
      </c>
      <c r="R1320" s="211">
        <v>100</v>
      </c>
      <c r="S1320" s="211">
        <v>0</v>
      </c>
      <c r="T1320" s="223" t="s">
        <v>4512</v>
      </c>
      <c r="U1320" s="283" t="s">
        <v>4514</v>
      </c>
      <c r="V1320" s="283" t="s">
        <v>4522</v>
      </c>
      <c r="W1320" s="283">
        <v>1</v>
      </c>
      <c r="X1320" s="283">
        <v>1</v>
      </c>
      <c r="Y1320" s="283">
        <v>1</v>
      </c>
      <c r="Z1320" s="283">
        <v>1</v>
      </c>
      <c r="AA1320" s="283">
        <v>1</v>
      </c>
      <c r="AB1320" s="283">
        <v>0</v>
      </c>
      <c r="AC1320" s="316">
        <v>0</v>
      </c>
      <c r="AD1320" s="316">
        <v>1</v>
      </c>
      <c r="AE1320" s="302">
        <f t="shared" si="90"/>
        <v>0.75</v>
      </c>
      <c r="AF1320" s="310"/>
      <c r="AG1320" s="17">
        <v>0</v>
      </c>
      <c r="AH1320" s="310">
        <v>8</v>
      </c>
      <c r="AI1320" s="310">
        <v>4</v>
      </c>
      <c r="AJ1320" s="310">
        <v>2</v>
      </c>
      <c r="AK1320" s="317">
        <v>1</v>
      </c>
      <c r="AL1320" s="154">
        <v>0</v>
      </c>
      <c r="AM1320" s="17">
        <f t="shared" si="91"/>
        <v>1</v>
      </c>
      <c r="AN1320" s="283" t="s">
        <v>1035</v>
      </c>
      <c r="AO1320" s="18" t="s">
        <v>1037</v>
      </c>
      <c r="AP1320" s="283" t="s">
        <v>4523</v>
      </c>
    </row>
    <row r="1321" spans="1:42" x14ac:dyDescent="0.3">
      <c r="A1321" s="314" t="s">
        <v>1447</v>
      </c>
      <c r="B1321" s="283" t="s">
        <v>4485</v>
      </c>
      <c r="C1321" s="314" t="s">
        <v>4487</v>
      </c>
      <c r="D1321" s="283" t="s">
        <v>4488</v>
      </c>
      <c r="E1321" s="314" t="s">
        <v>4489</v>
      </c>
      <c r="F1321" s="283" t="s">
        <v>4490</v>
      </c>
      <c r="G1321" s="314" t="s">
        <v>4505</v>
      </c>
      <c r="H1321" s="283" t="s">
        <v>4506</v>
      </c>
      <c r="I1321" s="314" t="s">
        <v>4517</v>
      </c>
      <c r="J1321" s="283" t="s">
        <v>4518</v>
      </c>
      <c r="K1321" s="350" t="s">
        <v>4519</v>
      </c>
      <c r="L1321" s="283" t="s">
        <v>4520</v>
      </c>
      <c r="M1321" s="206"/>
      <c r="N1321" s="211"/>
      <c r="O1321" s="211"/>
      <c r="P1321" s="211"/>
      <c r="Q1321" s="211"/>
      <c r="R1321" s="211">
        <v>75</v>
      </c>
      <c r="S1321" s="211">
        <v>100</v>
      </c>
      <c r="T1321" s="223"/>
      <c r="U1321" s="283" t="e">
        <v>#N/A</v>
      </c>
      <c r="V1321" s="283" t="s">
        <v>4524</v>
      </c>
      <c r="W1321" s="283">
        <v>1</v>
      </c>
      <c r="X1321" s="283">
        <v>0</v>
      </c>
      <c r="Y1321" s="283">
        <v>1</v>
      </c>
      <c r="Z1321" s="283">
        <v>1</v>
      </c>
      <c r="AA1321" s="283">
        <v>1</v>
      </c>
      <c r="AB1321" s="283">
        <v>1</v>
      </c>
      <c r="AC1321" s="316">
        <v>0</v>
      </c>
      <c r="AD1321" s="316">
        <v>1</v>
      </c>
      <c r="AE1321" s="302">
        <f t="shared" si="90"/>
        <v>0.75</v>
      </c>
      <c r="AF1321" s="310"/>
      <c r="AG1321" s="17">
        <v>0</v>
      </c>
      <c r="AH1321" s="310">
        <v>50</v>
      </c>
      <c r="AI1321" s="310">
        <v>40</v>
      </c>
      <c r="AJ1321" s="310">
        <v>5</v>
      </c>
      <c r="AK1321" s="317">
        <v>77</v>
      </c>
      <c r="AL1321" s="317">
        <v>2</v>
      </c>
      <c r="AM1321" s="17">
        <f t="shared" si="91"/>
        <v>79</v>
      </c>
      <c r="AN1321" s="283" t="s">
        <v>1035</v>
      </c>
      <c r="AO1321" s="18" t="s">
        <v>1037</v>
      </c>
      <c r="AP1321" s="283" t="s">
        <v>4523</v>
      </c>
    </row>
    <row r="1322" spans="1:42" hidden="1" x14ac:dyDescent="0.3">
      <c r="A1322" s="314" t="s">
        <v>1447</v>
      </c>
      <c r="B1322" s="283" t="s">
        <v>4485</v>
      </c>
      <c r="C1322" s="314" t="s">
        <v>4487</v>
      </c>
      <c r="D1322" s="283" t="s">
        <v>4488</v>
      </c>
      <c r="E1322" s="314" t="s">
        <v>4489</v>
      </c>
      <c r="F1322" s="283" t="s">
        <v>4490</v>
      </c>
      <c r="G1322" s="314" t="s">
        <v>4505</v>
      </c>
      <c r="H1322" s="283" t="s">
        <v>4506</v>
      </c>
      <c r="I1322" s="314" t="s">
        <v>4517</v>
      </c>
      <c r="J1322" s="283" t="s">
        <v>4518</v>
      </c>
      <c r="K1322" s="350" t="s">
        <v>4519</v>
      </c>
      <c r="L1322" s="283" t="s">
        <v>4520</v>
      </c>
      <c r="M1322" s="206"/>
      <c r="N1322" s="211"/>
      <c r="O1322" s="211"/>
      <c r="P1322" s="211"/>
      <c r="Q1322" s="211"/>
      <c r="R1322" s="211"/>
      <c r="S1322" s="211"/>
      <c r="T1322" s="223"/>
      <c r="U1322" s="283" t="e">
        <v>#N/A</v>
      </c>
      <c r="V1322" s="283" t="s">
        <v>4525</v>
      </c>
      <c r="W1322" s="283">
        <v>0</v>
      </c>
      <c r="X1322" s="283">
        <v>0</v>
      </c>
      <c r="Y1322" s="283">
        <v>0</v>
      </c>
      <c r="Z1322" s="283">
        <v>1</v>
      </c>
      <c r="AA1322" s="283">
        <v>1</v>
      </c>
      <c r="AB1322" s="283">
        <v>0</v>
      </c>
      <c r="AC1322" s="316">
        <v>0</v>
      </c>
      <c r="AD1322" s="316">
        <v>1</v>
      </c>
      <c r="AE1322" s="302">
        <f t="shared" si="90"/>
        <v>0.375</v>
      </c>
      <c r="AF1322" s="310"/>
      <c r="AG1322" s="17">
        <v>0</v>
      </c>
      <c r="AH1322" s="310">
        <v>3</v>
      </c>
      <c r="AI1322" s="310">
        <v>1</v>
      </c>
      <c r="AJ1322" s="310">
        <v>1</v>
      </c>
      <c r="AK1322" s="153">
        <v>0</v>
      </c>
      <c r="AL1322" s="154">
        <v>0</v>
      </c>
      <c r="AM1322" s="17">
        <f t="shared" si="91"/>
        <v>0</v>
      </c>
      <c r="AN1322" s="283" t="s">
        <v>1035</v>
      </c>
      <c r="AO1322" s="18" t="s">
        <v>1037</v>
      </c>
      <c r="AP1322" s="283" t="s">
        <v>4526</v>
      </c>
    </row>
    <row r="1323" spans="1:42" hidden="1" x14ac:dyDescent="0.3">
      <c r="A1323" s="314" t="s">
        <v>1447</v>
      </c>
      <c r="B1323" s="283" t="s">
        <v>4485</v>
      </c>
      <c r="C1323" s="314" t="s">
        <v>4487</v>
      </c>
      <c r="D1323" s="283" t="s">
        <v>4488</v>
      </c>
      <c r="E1323" s="314" t="s">
        <v>4489</v>
      </c>
      <c r="F1323" s="283" t="s">
        <v>4490</v>
      </c>
      <c r="G1323" s="314" t="s">
        <v>4505</v>
      </c>
      <c r="H1323" s="283" t="s">
        <v>4506</v>
      </c>
      <c r="I1323" s="314" t="s">
        <v>4517</v>
      </c>
      <c r="J1323" s="283" t="s">
        <v>4518</v>
      </c>
      <c r="K1323" s="350" t="s">
        <v>4519</v>
      </c>
      <c r="L1323" s="283" t="s">
        <v>4520</v>
      </c>
      <c r="M1323" s="206"/>
      <c r="N1323" s="211"/>
      <c r="O1323" s="211"/>
      <c r="P1323" s="211"/>
      <c r="Q1323" s="211"/>
      <c r="R1323" s="211">
        <v>10</v>
      </c>
      <c r="S1323" s="211">
        <v>20</v>
      </c>
      <c r="T1323" s="223"/>
      <c r="U1323" s="283" t="e">
        <v>#N/A</v>
      </c>
      <c r="V1323" s="283" t="s">
        <v>4527</v>
      </c>
      <c r="W1323" s="283">
        <v>1</v>
      </c>
      <c r="X1323" s="283">
        <v>1</v>
      </c>
      <c r="Y1323" s="283">
        <v>1</v>
      </c>
      <c r="Z1323" s="283">
        <v>0</v>
      </c>
      <c r="AA1323" s="283">
        <v>1</v>
      </c>
      <c r="AB1323" s="283">
        <v>0</v>
      </c>
      <c r="AC1323" s="316">
        <v>0</v>
      </c>
      <c r="AD1323" s="316">
        <v>1</v>
      </c>
      <c r="AE1323" s="302">
        <f t="shared" si="90"/>
        <v>0.625</v>
      </c>
      <c r="AF1323" s="310"/>
      <c r="AG1323" s="17">
        <v>1</v>
      </c>
      <c r="AH1323" s="310">
        <v>322.60898851777466</v>
      </c>
      <c r="AI1323" s="310">
        <v>119.88885761466707</v>
      </c>
      <c r="AJ1323" s="310">
        <v>221.24892306621842</v>
      </c>
      <c r="AK1323" s="317">
        <v>221.248923066218</v>
      </c>
      <c r="AL1323" s="317">
        <v>600</v>
      </c>
      <c r="AM1323" s="17">
        <f t="shared" si="91"/>
        <v>821.24892306621803</v>
      </c>
      <c r="AN1323" s="283" t="s">
        <v>4512</v>
      </c>
      <c r="AO1323" s="18" t="s">
        <v>4514</v>
      </c>
      <c r="AP1323" s="345" t="s">
        <v>4528</v>
      </c>
    </row>
    <row r="1324" spans="1:42" hidden="1" x14ac:dyDescent="0.3">
      <c r="A1324" s="314" t="s">
        <v>1447</v>
      </c>
      <c r="B1324" s="283" t="s">
        <v>4485</v>
      </c>
      <c r="C1324" s="314" t="s">
        <v>4487</v>
      </c>
      <c r="D1324" s="283" t="s">
        <v>4488</v>
      </c>
      <c r="E1324" s="314" t="s">
        <v>4489</v>
      </c>
      <c r="F1324" s="283" t="s">
        <v>4490</v>
      </c>
      <c r="G1324" s="314" t="s">
        <v>4505</v>
      </c>
      <c r="H1324" s="283" t="s">
        <v>4506</v>
      </c>
      <c r="I1324" s="314" t="s">
        <v>4517</v>
      </c>
      <c r="J1324" s="283" t="s">
        <v>4518</v>
      </c>
      <c r="K1324" s="350" t="s">
        <v>4519</v>
      </c>
      <c r="L1324" s="283" t="s">
        <v>4520</v>
      </c>
      <c r="M1324" s="206"/>
      <c r="N1324" s="211"/>
      <c r="O1324" s="211"/>
      <c r="P1324" s="211"/>
      <c r="Q1324" s="211"/>
      <c r="R1324" s="211">
        <v>10</v>
      </c>
      <c r="S1324" s="211">
        <v>20</v>
      </c>
      <c r="T1324" s="206"/>
      <c r="U1324" s="283" t="e">
        <v>#N/A</v>
      </c>
      <c r="V1324" s="283" t="s">
        <v>4529</v>
      </c>
      <c r="W1324" s="283">
        <v>1</v>
      </c>
      <c r="X1324" s="283">
        <v>1</v>
      </c>
      <c r="Y1324" s="283">
        <v>1</v>
      </c>
      <c r="Z1324" s="283">
        <v>0</v>
      </c>
      <c r="AA1324" s="283">
        <v>1</v>
      </c>
      <c r="AB1324" s="283">
        <v>0</v>
      </c>
      <c r="AC1324" s="316">
        <v>0</v>
      </c>
      <c r="AD1324" s="316">
        <v>1</v>
      </c>
      <c r="AE1324" s="302">
        <f t="shared" si="90"/>
        <v>0.625</v>
      </c>
      <c r="AF1324" s="310"/>
      <c r="AG1324" s="17">
        <v>0</v>
      </c>
      <c r="AH1324" s="310">
        <v>5</v>
      </c>
      <c r="AI1324" s="310">
        <v>8</v>
      </c>
      <c r="AJ1324" s="310">
        <v>10</v>
      </c>
      <c r="AK1324" s="317">
        <v>8</v>
      </c>
      <c r="AL1324" s="317">
        <v>7</v>
      </c>
      <c r="AM1324" s="17">
        <f t="shared" si="91"/>
        <v>15</v>
      </c>
      <c r="AN1324" s="283" t="s">
        <v>1035</v>
      </c>
      <c r="AO1324" s="18" t="s">
        <v>1037</v>
      </c>
      <c r="AP1324" s="283" t="s">
        <v>4512</v>
      </c>
    </row>
    <row r="1325" spans="1:42" hidden="1" x14ac:dyDescent="0.3">
      <c r="A1325" s="314" t="s">
        <v>1447</v>
      </c>
      <c r="B1325" s="283" t="s">
        <v>4485</v>
      </c>
      <c r="C1325" s="314" t="s">
        <v>4487</v>
      </c>
      <c r="D1325" s="283" t="s">
        <v>4488</v>
      </c>
      <c r="E1325" s="314" t="s">
        <v>4489</v>
      </c>
      <c r="F1325" s="283" t="s">
        <v>4490</v>
      </c>
      <c r="G1325" s="314" t="s">
        <v>4505</v>
      </c>
      <c r="H1325" s="283" t="s">
        <v>4506</v>
      </c>
      <c r="I1325" s="314" t="s">
        <v>4530</v>
      </c>
      <c r="J1325" s="283" t="s">
        <v>4531</v>
      </c>
      <c r="K1325" s="350" t="s">
        <v>4532</v>
      </c>
      <c r="L1325" s="283" t="s">
        <v>4533</v>
      </c>
      <c r="M1325" s="206" t="s">
        <v>4534</v>
      </c>
      <c r="N1325" s="211">
        <v>5</v>
      </c>
      <c r="O1325" s="211">
        <v>10</v>
      </c>
      <c r="P1325" s="211">
        <v>33</v>
      </c>
      <c r="Q1325" s="211">
        <v>67</v>
      </c>
      <c r="R1325" s="211">
        <v>30</v>
      </c>
      <c r="S1325" s="211">
        <v>70</v>
      </c>
      <c r="T1325" s="206" t="s">
        <v>4535</v>
      </c>
      <c r="U1325" s="283" t="e">
        <v>#N/A</v>
      </c>
      <c r="V1325" s="283" t="s">
        <v>4536</v>
      </c>
      <c r="W1325" s="283">
        <v>1</v>
      </c>
      <c r="X1325" s="283">
        <v>1</v>
      </c>
      <c r="Y1325" s="283">
        <v>1</v>
      </c>
      <c r="Z1325" s="283">
        <v>0</v>
      </c>
      <c r="AA1325" s="283">
        <v>1</v>
      </c>
      <c r="AB1325" s="283">
        <v>0</v>
      </c>
      <c r="AC1325" s="316">
        <v>0</v>
      </c>
      <c r="AD1325" s="316">
        <v>1</v>
      </c>
      <c r="AE1325" s="302">
        <f t="shared" si="90"/>
        <v>0.625</v>
      </c>
      <c r="AF1325" s="310"/>
      <c r="AG1325" s="17">
        <v>1</v>
      </c>
      <c r="AH1325" s="310">
        <v>284.53500000000003</v>
      </c>
      <c r="AI1325" s="310">
        <v>111.14344604537442</v>
      </c>
      <c r="AJ1325" s="310">
        <v>267.60912933845788</v>
      </c>
      <c r="AK1325" s="317">
        <v>78.859998045169675</v>
      </c>
      <c r="AL1325" s="317">
        <v>300</v>
      </c>
      <c r="AM1325" s="17">
        <f t="shared" si="91"/>
        <v>378.85999804516968</v>
      </c>
      <c r="AN1325" s="283" t="s">
        <v>4512</v>
      </c>
      <c r="AO1325" s="18" t="s">
        <v>4514</v>
      </c>
      <c r="AP1325" s="345" t="s">
        <v>4537</v>
      </c>
    </row>
    <row r="1326" spans="1:42" x14ac:dyDescent="0.3">
      <c r="A1326" s="314" t="s">
        <v>1447</v>
      </c>
      <c r="B1326" s="283" t="s">
        <v>4485</v>
      </c>
      <c r="C1326" s="314" t="s">
        <v>4487</v>
      </c>
      <c r="D1326" s="283" t="s">
        <v>4488</v>
      </c>
      <c r="E1326" s="314" t="s">
        <v>4489</v>
      </c>
      <c r="F1326" s="283" t="s">
        <v>4490</v>
      </c>
      <c r="G1326" s="314" t="s">
        <v>4505</v>
      </c>
      <c r="H1326" s="283" t="s">
        <v>4506</v>
      </c>
      <c r="I1326" s="314" t="s">
        <v>4530</v>
      </c>
      <c r="J1326" s="283" t="s">
        <v>4531</v>
      </c>
      <c r="K1326" s="350" t="s">
        <v>4532</v>
      </c>
      <c r="L1326" s="283" t="s">
        <v>4533</v>
      </c>
      <c r="M1326" s="223"/>
      <c r="N1326" s="211"/>
      <c r="O1326" s="211"/>
      <c r="P1326" s="211"/>
      <c r="Q1326" s="211"/>
      <c r="R1326" s="211">
        <v>85</v>
      </c>
      <c r="S1326" s="211">
        <v>100</v>
      </c>
      <c r="T1326" s="206"/>
      <c r="U1326" s="283" t="e">
        <v>#N/A</v>
      </c>
      <c r="V1326" s="283" t="s">
        <v>4538</v>
      </c>
      <c r="W1326" s="283">
        <v>1</v>
      </c>
      <c r="X1326" s="283">
        <v>1</v>
      </c>
      <c r="Y1326" s="283">
        <v>1</v>
      </c>
      <c r="Z1326" s="283">
        <v>1</v>
      </c>
      <c r="AA1326" s="283">
        <v>1</v>
      </c>
      <c r="AB1326" s="283">
        <v>0</v>
      </c>
      <c r="AC1326" s="316">
        <v>0</v>
      </c>
      <c r="AD1326" s="316">
        <v>1</v>
      </c>
      <c r="AE1326" s="302">
        <f t="shared" si="90"/>
        <v>0.75</v>
      </c>
      <c r="AF1326" s="310"/>
      <c r="AG1326" s="17">
        <v>0</v>
      </c>
      <c r="AH1326" s="310">
        <v>13</v>
      </c>
      <c r="AI1326" s="310">
        <v>10</v>
      </c>
      <c r="AJ1326" s="310">
        <v>5</v>
      </c>
      <c r="AK1326" s="317">
        <v>5</v>
      </c>
      <c r="AL1326" s="154">
        <v>3</v>
      </c>
      <c r="AM1326" s="17">
        <f t="shared" si="91"/>
        <v>8</v>
      </c>
      <c r="AN1326" s="283" t="s">
        <v>1035</v>
      </c>
      <c r="AO1326" s="18" t="s">
        <v>1037</v>
      </c>
      <c r="AP1326" s="345" t="s">
        <v>4539</v>
      </c>
    </row>
    <row r="1327" spans="1:42" hidden="1" x14ac:dyDescent="0.3">
      <c r="A1327" s="314" t="s">
        <v>1447</v>
      </c>
      <c r="B1327" s="283" t="s">
        <v>4485</v>
      </c>
      <c r="C1327" s="314" t="s">
        <v>4487</v>
      </c>
      <c r="D1327" s="283" t="s">
        <v>4488</v>
      </c>
      <c r="E1327" s="314" t="s">
        <v>4489</v>
      </c>
      <c r="F1327" s="283" t="s">
        <v>4490</v>
      </c>
      <c r="G1327" s="314" t="s">
        <v>4505</v>
      </c>
      <c r="H1327" s="283" t="s">
        <v>4506</v>
      </c>
      <c r="I1327" s="314" t="s">
        <v>4530</v>
      </c>
      <c r="J1327" s="283" t="s">
        <v>4531</v>
      </c>
      <c r="K1327" s="350" t="s">
        <v>4532</v>
      </c>
      <c r="L1327" s="283" t="s">
        <v>4533</v>
      </c>
      <c r="M1327" s="223"/>
      <c r="N1327" s="211"/>
      <c r="O1327" s="211"/>
      <c r="P1327" s="211"/>
      <c r="Q1327" s="224"/>
      <c r="R1327" s="224">
        <v>80</v>
      </c>
      <c r="S1327" s="224">
        <v>100</v>
      </c>
      <c r="T1327" s="206"/>
      <c r="U1327" s="283" t="e">
        <v>#N/A</v>
      </c>
      <c r="V1327" s="283" t="s">
        <v>4540</v>
      </c>
      <c r="W1327" s="283">
        <v>1</v>
      </c>
      <c r="X1327" s="283">
        <v>0</v>
      </c>
      <c r="Y1327" s="283">
        <v>0</v>
      </c>
      <c r="Z1327" s="283">
        <v>1</v>
      </c>
      <c r="AA1327" s="283">
        <v>1</v>
      </c>
      <c r="AB1327" s="283">
        <v>1</v>
      </c>
      <c r="AC1327" s="316">
        <v>0</v>
      </c>
      <c r="AD1327" s="316">
        <v>1</v>
      </c>
      <c r="AE1327" s="302">
        <f t="shared" si="90"/>
        <v>0.625</v>
      </c>
      <c r="AF1327" s="310"/>
      <c r="AG1327" s="17">
        <v>0</v>
      </c>
      <c r="AH1327" s="310">
        <v>2.5</v>
      </c>
      <c r="AI1327" s="310">
        <v>2.5</v>
      </c>
      <c r="AJ1327" s="310">
        <v>2.5</v>
      </c>
      <c r="AK1327" s="317">
        <v>2.5</v>
      </c>
      <c r="AL1327" s="317">
        <v>2.5</v>
      </c>
      <c r="AM1327" s="17">
        <f t="shared" si="91"/>
        <v>5</v>
      </c>
      <c r="AN1327" s="283" t="s">
        <v>1035</v>
      </c>
      <c r="AO1327" s="18" t="s">
        <v>1037</v>
      </c>
      <c r="AP1327" s="345" t="s">
        <v>4541</v>
      </c>
    </row>
    <row r="1328" spans="1:42" hidden="1" x14ac:dyDescent="0.3">
      <c r="A1328" s="314" t="s">
        <v>1447</v>
      </c>
      <c r="B1328" s="283" t="s">
        <v>4485</v>
      </c>
      <c r="C1328" s="314" t="s">
        <v>4487</v>
      </c>
      <c r="D1328" s="283" t="s">
        <v>4488</v>
      </c>
      <c r="E1328" s="314" t="s">
        <v>4489</v>
      </c>
      <c r="F1328" s="283" t="s">
        <v>4490</v>
      </c>
      <c r="G1328" s="314" t="s">
        <v>4505</v>
      </c>
      <c r="H1328" s="283" t="s">
        <v>4506</v>
      </c>
      <c r="I1328" s="314" t="s">
        <v>4542</v>
      </c>
      <c r="J1328" s="283" t="s">
        <v>4543</v>
      </c>
      <c r="K1328" s="350" t="s">
        <v>4544</v>
      </c>
      <c r="L1328" s="283" t="s">
        <v>4545</v>
      </c>
      <c r="M1328" s="206" t="s">
        <v>4546</v>
      </c>
      <c r="N1328" s="224">
        <v>5</v>
      </c>
      <c r="O1328" s="224">
        <v>45</v>
      </c>
      <c r="P1328" s="224">
        <v>75</v>
      </c>
      <c r="Q1328" s="224">
        <v>100</v>
      </c>
      <c r="R1328" s="224" t="s">
        <v>271</v>
      </c>
      <c r="S1328" s="224" t="s">
        <v>271</v>
      </c>
      <c r="T1328" s="206" t="s">
        <v>4535</v>
      </c>
      <c r="U1328" s="283" t="e">
        <v>#N/A</v>
      </c>
      <c r="V1328" s="283" t="s">
        <v>4547</v>
      </c>
      <c r="W1328" s="283">
        <v>1</v>
      </c>
      <c r="X1328" s="283">
        <v>1</v>
      </c>
      <c r="Y1328" s="283">
        <v>0</v>
      </c>
      <c r="Z1328" s="283">
        <v>0</v>
      </c>
      <c r="AA1328" s="283">
        <v>1</v>
      </c>
      <c r="AB1328" s="283">
        <v>0</v>
      </c>
      <c r="AC1328" s="316">
        <v>0</v>
      </c>
      <c r="AD1328" s="316">
        <v>1</v>
      </c>
      <c r="AE1328" s="302">
        <f t="shared" si="90"/>
        <v>0.5</v>
      </c>
      <c r="AF1328" s="310"/>
      <c r="AG1328" s="17">
        <v>0</v>
      </c>
      <c r="AH1328" s="310">
        <v>120.87</v>
      </c>
      <c r="AI1328" s="310">
        <v>161.16</v>
      </c>
      <c r="AJ1328" s="17">
        <v>0</v>
      </c>
      <c r="AK1328" s="153">
        <v>0</v>
      </c>
      <c r="AL1328" s="154">
        <v>0</v>
      </c>
      <c r="AM1328" s="17">
        <f t="shared" si="91"/>
        <v>0</v>
      </c>
      <c r="AN1328" s="283" t="s">
        <v>4512</v>
      </c>
      <c r="AO1328" s="18" t="s">
        <v>4514</v>
      </c>
      <c r="AP1328" s="345" t="s">
        <v>4528</v>
      </c>
    </row>
    <row r="1329" spans="1:42" hidden="1" x14ac:dyDescent="0.3">
      <c r="A1329" s="314" t="s">
        <v>1447</v>
      </c>
      <c r="B1329" s="283" t="s">
        <v>4485</v>
      </c>
      <c r="C1329" s="314" t="s">
        <v>4487</v>
      </c>
      <c r="D1329" s="283" t="s">
        <v>4488</v>
      </c>
      <c r="E1329" s="314" t="s">
        <v>4489</v>
      </c>
      <c r="F1329" s="283" t="s">
        <v>4490</v>
      </c>
      <c r="G1329" s="314" t="s">
        <v>4505</v>
      </c>
      <c r="H1329" s="283" t="s">
        <v>4506</v>
      </c>
      <c r="I1329" s="314" t="s">
        <v>4548</v>
      </c>
      <c r="J1329" s="283" t="s">
        <v>4549</v>
      </c>
      <c r="K1329" s="350" t="s">
        <v>4550</v>
      </c>
      <c r="L1329" s="283" t="s">
        <v>4551</v>
      </c>
      <c r="M1329" s="206" t="s">
        <v>4552</v>
      </c>
      <c r="N1329" s="224">
        <v>0</v>
      </c>
      <c r="O1329" s="224" t="s">
        <v>271</v>
      </c>
      <c r="P1329" s="224">
        <v>10</v>
      </c>
      <c r="Q1329" s="224">
        <v>60</v>
      </c>
      <c r="R1329" s="224">
        <v>80</v>
      </c>
      <c r="S1329" s="224">
        <v>100</v>
      </c>
      <c r="T1329" s="206" t="s">
        <v>1035</v>
      </c>
      <c r="U1329" s="283" t="s">
        <v>1037</v>
      </c>
      <c r="V1329" s="283" t="s">
        <v>4553</v>
      </c>
      <c r="W1329" s="283">
        <v>0</v>
      </c>
      <c r="X1329" s="283">
        <v>0</v>
      </c>
      <c r="Y1329" s="283">
        <v>0</v>
      </c>
      <c r="Z1329" s="283">
        <v>1</v>
      </c>
      <c r="AA1329" s="283">
        <v>1</v>
      </c>
      <c r="AB1329" s="283">
        <v>0</v>
      </c>
      <c r="AC1329" s="316">
        <v>0</v>
      </c>
      <c r="AD1329" s="316">
        <v>1</v>
      </c>
      <c r="AE1329" s="302">
        <f t="shared" si="90"/>
        <v>0.375</v>
      </c>
      <c r="AF1329" s="310"/>
      <c r="AG1329" s="17">
        <v>0</v>
      </c>
      <c r="AH1329" s="310">
        <v>0.5</v>
      </c>
      <c r="AI1329" s="17">
        <v>0</v>
      </c>
      <c r="AJ1329" s="17">
        <v>0</v>
      </c>
      <c r="AK1329" s="153">
        <v>0</v>
      </c>
      <c r="AL1329" s="154">
        <v>0</v>
      </c>
      <c r="AM1329" s="17">
        <f t="shared" si="91"/>
        <v>0</v>
      </c>
      <c r="AN1329" s="283" t="s">
        <v>1035</v>
      </c>
      <c r="AO1329" s="18" t="s">
        <v>1037</v>
      </c>
      <c r="AP1329" s="345" t="s">
        <v>4501</v>
      </c>
    </row>
    <row r="1330" spans="1:42" hidden="1" x14ac:dyDescent="0.3">
      <c r="A1330" s="314" t="s">
        <v>1447</v>
      </c>
      <c r="B1330" s="283" t="s">
        <v>4485</v>
      </c>
      <c r="C1330" s="314" t="s">
        <v>4487</v>
      </c>
      <c r="D1330" s="283" t="s">
        <v>4488</v>
      </c>
      <c r="E1330" s="314" t="s">
        <v>4489</v>
      </c>
      <c r="F1330" s="283" t="s">
        <v>4490</v>
      </c>
      <c r="G1330" s="314" t="s">
        <v>4505</v>
      </c>
      <c r="H1330" s="283" t="s">
        <v>4506</v>
      </c>
      <c r="I1330" s="314" t="s">
        <v>4548</v>
      </c>
      <c r="J1330" s="283" t="s">
        <v>4549</v>
      </c>
      <c r="K1330" s="350" t="s">
        <v>4550</v>
      </c>
      <c r="L1330" s="283" t="s">
        <v>4551</v>
      </c>
      <c r="M1330" s="206"/>
      <c r="N1330" s="211"/>
      <c r="O1330" s="211"/>
      <c r="P1330" s="211"/>
      <c r="Q1330" s="224"/>
      <c r="R1330" s="224">
        <v>30</v>
      </c>
      <c r="S1330" s="224">
        <v>50</v>
      </c>
      <c r="T1330" s="206"/>
      <c r="U1330" s="283" t="e">
        <v>#N/A</v>
      </c>
      <c r="V1330" s="283" t="s">
        <v>4554</v>
      </c>
      <c r="W1330" s="283">
        <v>1</v>
      </c>
      <c r="X1330" s="283">
        <v>1</v>
      </c>
      <c r="Y1330" s="283">
        <v>0</v>
      </c>
      <c r="Z1330" s="283">
        <v>1</v>
      </c>
      <c r="AA1330" s="283">
        <v>1</v>
      </c>
      <c r="AB1330" s="283">
        <v>0</v>
      </c>
      <c r="AC1330" s="316">
        <v>0</v>
      </c>
      <c r="AD1330" s="316">
        <v>1</v>
      </c>
      <c r="AE1330" s="302">
        <f t="shared" si="90"/>
        <v>0.625</v>
      </c>
      <c r="AF1330" s="310"/>
      <c r="AG1330" s="17">
        <v>0</v>
      </c>
      <c r="AH1330" s="310">
        <v>0.93400000000000005</v>
      </c>
      <c r="AI1330" s="310">
        <v>0.93400000000000005</v>
      </c>
      <c r="AJ1330" s="310">
        <v>0.93400000000000005</v>
      </c>
      <c r="AK1330" s="317">
        <v>0.93400000000000005</v>
      </c>
      <c r="AL1330" s="317">
        <v>0.93400000000000005</v>
      </c>
      <c r="AM1330" s="17">
        <f t="shared" si="91"/>
        <v>1.8680000000000001</v>
      </c>
      <c r="AN1330" s="283" t="s">
        <v>321</v>
      </c>
      <c r="AO1330" s="18" t="s">
        <v>1066</v>
      </c>
      <c r="AP1330" s="345" t="s">
        <v>4555</v>
      </c>
    </row>
    <row r="1331" spans="1:42" hidden="1" x14ac:dyDescent="0.3">
      <c r="A1331" s="314" t="s">
        <v>1447</v>
      </c>
      <c r="B1331" s="283" t="s">
        <v>4485</v>
      </c>
      <c r="C1331" s="314" t="s">
        <v>4487</v>
      </c>
      <c r="D1331" s="283" t="s">
        <v>4488</v>
      </c>
      <c r="E1331" s="314" t="s">
        <v>4489</v>
      </c>
      <c r="F1331" s="283" t="s">
        <v>4490</v>
      </c>
      <c r="G1331" s="314" t="s">
        <v>4505</v>
      </c>
      <c r="H1331" s="283" t="s">
        <v>4506</v>
      </c>
      <c r="I1331" s="314" t="s">
        <v>4548</v>
      </c>
      <c r="J1331" s="283" t="s">
        <v>4549</v>
      </c>
      <c r="K1331" s="350" t="s">
        <v>4550</v>
      </c>
      <c r="L1331" s="283" t="s">
        <v>4551</v>
      </c>
      <c r="M1331" s="206"/>
      <c r="N1331" s="211"/>
      <c r="O1331" s="211"/>
      <c r="P1331" s="211"/>
      <c r="Q1331" s="224"/>
      <c r="R1331" s="224">
        <v>50</v>
      </c>
      <c r="S1331" s="224">
        <v>80</v>
      </c>
      <c r="T1331" s="206"/>
      <c r="U1331" s="283" t="e">
        <v>#N/A</v>
      </c>
      <c r="V1331" s="283" t="s">
        <v>4556</v>
      </c>
      <c r="W1331" s="283">
        <v>1</v>
      </c>
      <c r="X1331" s="283">
        <v>0</v>
      </c>
      <c r="Y1331" s="283">
        <v>0</v>
      </c>
      <c r="Z1331" s="283">
        <v>1</v>
      </c>
      <c r="AA1331" s="283">
        <v>1</v>
      </c>
      <c r="AB1331" s="283">
        <v>1</v>
      </c>
      <c r="AC1331" s="316">
        <v>0</v>
      </c>
      <c r="AD1331" s="316">
        <v>1</v>
      </c>
      <c r="AE1331" s="302">
        <f t="shared" si="90"/>
        <v>0.625</v>
      </c>
      <c r="AF1331" s="310"/>
      <c r="AG1331" s="17">
        <v>0</v>
      </c>
      <c r="AH1331" s="310">
        <v>1.4340999999999999</v>
      </c>
      <c r="AI1331" s="310">
        <v>6</v>
      </c>
      <c r="AJ1331" s="310">
        <v>6.4595000000000002</v>
      </c>
      <c r="AK1331" s="317">
        <v>23.628</v>
      </c>
      <c r="AL1331" s="317">
        <v>50</v>
      </c>
      <c r="AM1331" s="17">
        <f t="shared" si="91"/>
        <v>73.628</v>
      </c>
      <c r="AN1331" s="283" t="s">
        <v>1035</v>
      </c>
      <c r="AO1331" s="18" t="s">
        <v>1037</v>
      </c>
      <c r="AP1331" s="345" t="s">
        <v>119</v>
      </c>
    </row>
    <row r="1332" spans="1:42" hidden="1" x14ac:dyDescent="0.3">
      <c r="A1332" s="314" t="s">
        <v>1447</v>
      </c>
      <c r="B1332" s="283" t="s">
        <v>4485</v>
      </c>
      <c r="C1332" s="314" t="s">
        <v>4487</v>
      </c>
      <c r="D1332" s="283" t="s">
        <v>4488</v>
      </c>
      <c r="E1332" s="314" t="s">
        <v>4489</v>
      </c>
      <c r="F1332" s="283" t="s">
        <v>4490</v>
      </c>
      <c r="G1332" s="314" t="s">
        <v>4505</v>
      </c>
      <c r="H1332" s="283" t="s">
        <v>4506</v>
      </c>
      <c r="I1332" s="314" t="s">
        <v>4557</v>
      </c>
      <c r="J1332" s="283" t="s">
        <v>4558</v>
      </c>
      <c r="K1332" s="350" t="s">
        <v>4559</v>
      </c>
      <c r="L1332" s="283" t="s">
        <v>4560</v>
      </c>
      <c r="M1332" s="206" t="s">
        <v>4561</v>
      </c>
      <c r="N1332" s="224">
        <v>0</v>
      </c>
      <c r="O1332" s="224">
        <v>45</v>
      </c>
      <c r="P1332" s="224">
        <v>66</v>
      </c>
      <c r="Q1332" s="224">
        <v>80</v>
      </c>
      <c r="R1332" s="224">
        <v>40</v>
      </c>
      <c r="S1332" s="224">
        <v>60</v>
      </c>
      <c r="T1332" s="206" t="s">
        <v>4497</v>
      </c>
      <c r="U1332" s="283" t="s">
        <v>4499</v>
      </c>
      <c r="V1332" s="283" t="s">
        <v>4562</v>
      </c>
      <c r="W1332" s="283">
        <v>1</v>
      </c>
      <c r="X1332" s="283">
        <v>0</v>
      </c>
      <c r="Y1332" s="283">
        <v>0</v>
      </c>
      <c r="Z1332" s="283">
        <v>1</v>
      </c>
      <c r="AA1332" s="283">
        <v>1</v>
      </c>
      <c r="AB1332" s="283">
        <v>1</v>
      </c>
      <c r="AC1332" s="316">
        <v>0</v>
      </c>
      <c r="AD1332" s="316">
        <v>1</v>
      </c>
      <c r="AE1332" s="302">
        <f t="shared" si="90"/>
        <v>0.625</v>
      </c>
      <c r="AF1332" s="310"/>
      <c r="AG1332" s="17">
        <v>0</v>
      </c>
      <c r="AH1332" s="310">
        <v>23.5</v>
      </c>
      <c r="AI1332" s="310">
        <v>10</v>
      </c>
      <c r="AJ1332" s="310">
        <v>10</v>
      </c>
      <c r="AK1332" s="317">
        <v>30</v>
      </c>
      <c r="AL1332" s="317">
        <v>40</v>
      </c>
      <c r="AM1332" s="17">
        <f t="shared" si="91"/>
        <v>70</v>
      </c>
      <c r="AN1332" s="283" t="s">
        <v>4497</v>
      </c>
      <c r="AO1332" s="18" t="s">
        <v>4499</v>
      </c>
      <c r="AP1332" s="345" t="s">
        <v>1035</v>
      </c>
    </row>
    <row r="1333" spans="1:42" x14ac:dyDescent="0.3">
      <c r="A1333" s="314" t="s">
        <v>1447</v>
      </c>
      <c r="B1333" s="283" t="s">
        <v>4485</v>
      </c>
      <c r="C1333" s="314" t="s">
        <v>4487</v>
      </c>
      <c r="D1333" s="283" t="s">
        <v>4488</v>
      </c>
      <c r="E1333" s="314" t="s">
        <v>4489</v>
      </c>
      <c r="F1333" s="283" t="s">
        <v>4490</v>
      </c>
      <c r="G1333" s="314" t="s">
        <v>4563</v>
      </c>
      <c r="H1333" s="283" t="s">
        <v>4564</v>
      </c>
      <c r="I1333" s="223"/>
      <c r="J1333" s="225"/>
      <c r="K1333" s="350" t="s">
        <v>4565</v>
      </c>
      <c r="L1333" s="283" t="s">
        <v>4566</v>
      </c>
      <c r="M1333" s="206" t="s">
        <v>4567</v>
      </c>
      <c r="N1333" s="224">
        <v>0</v>
      </c>
      <c r="O1333" s="224">
        <v>0</v>
      </c>
      <c r="P1333" s="224">
        <v>33</v>
      </c>
      <c r="Q1333" s="224">
        <v>67</v>
      </c>
      <c r="R1333" s="224">
        <v>95</v>
      </c>
      <c r="S1333" s="211">
        <v>100</v>
      </c>
      <c r="T1333" s="206" t="s">
        <v>4512</v>
      </c>
      <c r="U1333" s="283" t="s">
        <v>4514</v>
      </c>
      <c r="V1333" s="283" t="s">
        <v>4568</v>
      </c>
      <c r="W1333" s="283">
        <v>1</v>
      </c>
      <c r="X1333" s="283">
        <v>1</v>
      </c>
      <c r="Y1333" s="283">
        <v>1</v>
      </c>
      <c r="Z1333" s="283">
        <v>1</v>
      </c>
      <c r="AA1333" s="283">
        <v>1</v>
      </c>
      <c r="AB1333" s="283">
        <v>0</v>
      </c>
      <c r="AC1333" s="316">
        <v>0</v>
      </c>
      <c r="AD1333" s="316">
        <v>1</v>
      </c>
      <c r="AE1333" s="302">
        <f t="shared" si="90"/>
        <v>0.75</v>
      </c>
      <c r="AF1333" s="310"/>
      <c r="AG1333" s="17">
        <v>0</v>
      </c>
      <c r="AH1333" s="310">
        <v>1.7</v>
      </c>
      <c r="AI1333" s="310">
        <v>6.2</v>
      </c>
      <c r="AJ1333" s="310">
        <v>5.5</v>
      </c>
      <c r="AK1333" s="317">
        <v>2.4</v>
      </c>
      <c r="AL1333" s="317">
        <v>1</v>
      </c>
      <c r="AM1333" s="17">
        <f t="shared" si="91"/>
        <v>3.4</v>
      </c>
      <c r="AN1333" s="283" t="s">
        <v>1035</v>
      </c>
      <c r="AO1333" s="18" t="s">
        <v>1037</v>
      </c>
      <c r="AP1333" s="345" t="s">
        <v>4537</v>
      </c>
    </row>
    <row r="1334" spans="1:42" hidden="1" x14ac:dyDescent="0.3">
      <c r="A1334" s="314" t="s">
        <v>1447</v>
      </c>
      <c r="B1334" s="283" t="s">
        <v>4485</v>
      </c>
      <c r="C1334" s="314" t="s">
        <v>4487</v>
      </c>
      <c r="D1334" s="283" t="s">
        <v>4488</v>
      </c>
      <c r="E1334" s="314" t="s">
        <v>4489</v>
      </c>
      <c r="F1334" s="283" t="s">
        <v>4490</v>
      </c>
      <c r="G1334" s="314" t="s">
        <v>4569</v>
      </c>
      <c r="H1334" s="283" t="s">
        <v>4570</v>
      </c>
      <c r="I1334" s="223"/>
      <c r="J1334" s="225"/>
      <c r="K1334" s="350" t="s">
        <v>4571</v>
      </c>
      <c r="L1334" s="283" t="s">
        <v>4572</v>
      </c>
      <c r="M1334" s="206" t="s">
        <v>4573</v>
      </c>
      <c r="N1334" s="211">
        <v>0</v>
      </c>
      <c r="O1334" s="211">
        <v>50</v>
      </c>
      <c r="P1334" s="211">
        <v>100</v>
      </c>
      <c r="Q1334" s="224"/>
      <c r="R1334" s="224"/>
      <c r="S1334" s="224"/>
      <c r="T1334" s="206" t="s">
        <v>4512</v>
      </c>
      <c r="U1334" s="283" t="s">
        <v>4514</v>
      </c>
      <c r="V1334" s="283" t="s">
        <v>4574</v>
      </c>
      <c r="W1334" s="283">
        <v>1</v>
      </c>
      <c r="X1334" s="283">
        <v>0</v>
      </c>
      <c r="Y1334" s="283">
        <v>0</v>
      </c>
      <c r="Z1334" s="283">
        <v>1</v>
      </c>
      <c r="AA1334" s="283">
        <v>1</v>
      </c>
      <c r="AB1334" s="283">
        <v>0</v>
      </c>
      <c r="AC1334" s="316">
        <v>0</v>
      </c>
      <c r="AD1334" s="316">
        <v>1</v>
      </c>
      <c r="AE1334" s="302">
        <f t="shared" si="90"/>
        <v>0.5</v>
      </c>
      <c r="AF1334" s="310"/>
      <c r="AG1334" s="17">
        <v>0</v>
      </c>
      <c r="AH1334" s="310">
        <v>3</v>
      </c>
      <c r="AI1334" s="310">
        <v>1</v>
      </c>
      <c r="AJ1334" s="17">
        <v>0</v>
      </c>
      <c r="AK1334" s="153">
        <v>0</v>
      </c>
      <c r="AL1334" s="154">
        <v>0</v>
      </c>
      <c r="AM1334" s="17">
        <f t="shared" si="91"/>
        <v>0</v>
      </c>
      <c r="AN1334" s="283" t="s">
        <v>1035</v>
      </c>
      <c r="AO1334" s="18" t="s">
        <v>1037</v>
      </c>
      <c r="AP1334" s="345" t="s">
        <v>4575</v>
      </c>
    </row>
    <row r="1335" spans="1:42" hidden="1" x14ac:dyDescent="0.3">
      <c r="A1335" s="314" t="s">
        <v>1447</v>
      </c>
      <c r="B1335" s="283" t="s">
        <v>4485</v>
      </c>
      <c r="C1335" s="314" t="s">
        <v>4487</v>
      </c>
      <c r="D1335" s="283" t="s">
        <v>4488</v>
      </c>
      <c r="E1335" s="314" t="s">
        <v>4489</v>
      </c>
      <c r="F1335" s="283" t="s">
        <v>4490</v>
      </c>
      <c r="G1335" s="314" t="s">
        <v>4569</v>
      </c>
      <c r="H1335" s="283" t="s">
        <v>4570</v>
      </c>
      <c r="I1335" s="223"/>
      <c r="J1335" s="225"/>
      <c r="K1335" s="350" t="s">
        <v>4576</v>
      </c>
      <c r="L1335" s="283" t="s">
        <v>4577</v>
      </c>
      <c r="M1335" s="206" t="s">
        <v>4578</v>
      </c>
      <c r="N1335" s="211">
        <v>0</v>
      </c>
      <c r="O1335" s="211">
        <v>0</v>
      </c>
      <c r="P1335" s="211">
        <v>0</v>
      </c>
      <c r="Q1335" s="224">
        <v>15</v>
      </c>
      <c r="R1335" s="224">
        <v>50</v>
      </c>
      <c r="S1335" s="224">
        <v>100</v>
      </c>
      <c r="T1335" s="206" t="s">
        <v>4512</v>
      </c>
      <c r="U1335" s="283" t="s">
        <v>4514</v>
      </c>
      <c r="V1335" s="283" t="s">
        <v>4579</v>
      </c>
      <c r="W1335" s="283">
        <v>1</v>
      </c>
      <c r="X1335" s="283">
        <v>0</v>
      </c>
      <c r="Y1335" s="283">
        <v>0</v>
      </c>
      <c r="Z1335" s="283">
        <v>1</v>
      </c>
      <c r="AA1335" s="283">
        <v>1</v>
      </c>
      <c r="AB1335" s="283">
        <v>1</v>
      </c>
      <c r="AC1335" s="316">
        <v>0</v>
      </c>
      <c r="AD1335" s="316">
        <v>1</v>
      </c>
      <c r="AE1335" s="302">
        <f t="shared" si="90"/>
        <v>0.625</v>
      </c>
      <c r="AF1335" s="17"/>
      <c r="AG1335" s="17">
        <v>0</v>
      </c>
      <c r="AH1335" s="17">
        <v>0</v>
      </c>
      <c r="AI1335" s="17">
        <v>0</v>
      </c>
      <c r="AJ1335" s="310">
        <v>1</v>
      </c>
      <c r="AK1335" s="317">
        <v>1</v>
      </c>
      <c r="AL1335" s="317">
        <v>0.2</v>
      </c>
      <c r="AM1335" s="17">
        <f t="shared" si="91"/>
        <v>1.2</v>
      </c>
      <c r="AN1335" s="283" t="s">
        <v>1035</v>
      </c>
      <c r="AO1335" s="18" t="s">
        <v>1037</v>
      </c>
      <c r="AP1335" s="345" t="s">
        <v>4575</v>
      </c>
    </row>
    <row r="1336" spans="1:42" hidden="1" x14ac:dyDescent="0.3">
      <c r="A1336" s="314" t="s">
        <v>1447</v>
      </c>
      <c r="B1336" s="283" t="s">
        <v>4485</v>
      </c>
      <c r="C1336" s="314" t="s">
        <v>4487</v>
      </c>
      <c r="D1336" s="283" t="s">
        <v>4488</v>
      </c>
      <c r="E1336" s="314" t="s">
        <v>4489</v>
      </c>
      <c r="F1336" s="283" t="s">
        <v>4490</v>
      </c>
      <c r="G1336" s="314" t="s">
        <v>4580</v>
      </c>
      <c r="H1336" s="283" t="s">
        <v>4581</v>
      </c>
      <c r="I1336" s="223"/>
      <c r="J1336" s="225"/>
      <c r="K1336" s="350" t="s">
        <v>4582</v>
      </c>
      <c r="L1336" s="283" t="s">
        <v>4583</v>
      </c>
      <c r="M1336" s="206" t="s">
        <v>4584</v>
      </c>
      <c r="N1336" s="211">
        <v>0</v>
      </c>
      <c r="O1336" s="211">
        <v>10</v>
      </c>
      <c r="P1336" s="211">
        <v>25</v>
      </c>
      <c r="Q1336" s="224">
        <v>50</v>
      </c>
      <c r="R1336" s="224">
        <v>70</v>
      </c>
      <c r="S1336" s="224">
        <v>100</v>
      </c>
      <c r="T1336" s="206" t="s">
        <v>1035</v>
      </c>
      <c r="U1336" s="283" t="s">
        <v>1037</v>
      </c>
      <c r="V1336" s="283" t="s">
        <v>4585</v>
      </c>
      <c r="W1336" s="283">
        <v>1</v>
      </c>
      <c r="X1336" s="283">
        <v>0</v>
      </c>
      <c r="Y1336" s="283">
        <v>0</v>
      </c>
      <c r="Z1336" s="283">
        <v>1</v>
      </c>
      <c r="AA1336" s="283">
        <v>1</v>
      </c>
      <c r="AB1336" s="283">
        <v>0</v>
      </c>
      <c r="AC1336" s="316">
        <v>0</v>
      </c>
      <c r="AD1336" s="316">
        <v>1</v>
      </c>
      <c r="AE1336" s="302">
        <f t="shared" si="90"/>
        <v>0.5</v>
      </c>
      <c r="AF1336" s="310"/>
      <c r="AG1336" s="17">
        <v>0</v>
      </c>
      <c r="AH1336" s="310">
        <v>5</v>
      </c>
      <c r="AI1336" s="310">
        <v>5</v>
      </c>
      <c r="AJ1336" s="17">
        <v>0</v>
      </c>
      <c r="AK1336" s="153">
        <v>0</v>
      </c>
      <c r="AL1336" s="154">
        <v>0</v>
      </c>
      <c r="AM1336" s="17">
        <f t="shared" si="91"/>
        <v>0</v>
      </c>
      <c r="AN1336" s="283" t="s">
        <v>1035</v>
      </c>
      <c r="AO1336" s="18" t="s">
        <v>1037</v>
      </c>
      <c r="AP1336" s="345" t="s">
        <v>831</v>
      </c>
    </row>
    <row r="1337" spans="1:42" hidden="1" x14ac:dyDescent="0.3">
      <c r="A1337" s="314" t="s">
        <v>1447</v>
      </c>
      <c r="B1337" s="283" t="s">
        <v>4485</v>
      </c>
      <c r="C1337" s="314" t="s">
        <v>4487</v>
      </c>
      <c r="D1337" s="283" t="s">
        <v>4488</v>
      </c>
      <c r="E1337" s="314" t="s">
        <v>4489</v>
      </c>
      <c r="F1337" s="283" t="s">
        <v>4490</v>
      </c>
      <c r="G1337" s="314" t="s">
        <v>4580</v>
      </c>
      <c r="H1337" s="283" t="s">
        <v>4581</v>
      </c>
      <c r="I1337" s="225"/>
      <c r="J1337" s="225"/>
      <c r="K1337" s="350" t="s">
        <v>4582</v>
      </c>
      <c r="L1337" s="283" t="s">
        <v>4583</v>
      </c>
      <c r="M1337" s="223"/>
      <c r="N1337" s="224"/>
      <c r="O1337" s="224"/>
      <c r="P1337" s="224"/>
      <c r="Q1337" s="224"/>
      <c r="R1337" s="224"/>
      <c r="S1337" s="224"/>
      <c r="T1337" s="223"/>
      <c r="U1337" s="283" t="e">
        <v>#N/A</v>
      </c>
      <c r="V1337" s="283" t="s">
        <v>4586</v>
      </c>
      <c r="W1337" s="283">
        <v>1</v>
      </c>
      <c r="X1337" s="283">
        <v>0</v>
      </c>
      <c r="Y1337" s="283">
        <v>0</v>
      </c>
      <c r="Z1337" s="283">
        <v>0</v>
      </c>
      <c r="AA1337" s="283">
        <v>1</v>
      </c>
      <c r="AB1337" s="283">
        <v>0</v>
      </c>
      <c r="AC1337" s="316">
        <v>0</v>
      </c>
      <c r="AD1337" s="316">
        <v>1</v>
      </c>
      <c r="AE1337" s="302">
        <f t="shared" si="90"/>
        <v>0.375</v>
      </c>
      <c r="AF1337" s="17"/>
      <c r="AG1337" s="17">
        <v>0</v>
      </c>
      <c r="AH1337" s="17">
        <v>0</v>
      </c>
      <c r="AI1337" s="17">
        <v>0</v>
      </c>
      <c r="AJ1337" s="310">
        <v>30</v>
      </c>
      <c r="AK1337" s="317">
        <v>5</v>
      </c>
      <c r="AL1337" s="317">
        <v>5</v>
      </c>
      <c r="AM1337" s="17">
        <f t="shared" si="91"/>
        <v>10</v>
      </c>
      <c r="AN1337" s="283" t="s">
        <v>570</v>
      </c>
      <c r="AO1337" s="18" t="s">
        <v>2875</v>
      </c>
      <c r="AP1337" s="345" t="s">
        <v>4587</v>
      </c>
    </row>
    <row r="1338" spans="1:42" hidden="1" x14ac:dyDescent="0.3">
      <c r="A1338" s="314" t="s">
        <v>1447</v>
      </c>
      <c r="B1338" s="283" t="s">
        <v>4485</v>
      </c>
      <c r="C1338" s="314" t="s">
        <v>4487</v>
      </c>
      <c r="D1338" s="283" t="s">
        <v>4488</v>
      </c>
      <c r="E1338" s="314" t="s">
        <v>4489</v>
      </c>
      <c r="F1338" s="283" t="s">
        <v>4490</v>
      </c>
      <c r="G1338" s="318" t="s">
        <v>4580</v>
      </c>
      <c r="H1338" s="283" t="s">
        <v>4581</v>
      </c>
      <c r="I1338" s="223"/>
      <c r="J1338" s="225"/>
      <c r="K1338" s="351" t="s">
        <v>4582</v>
      </c>
      <c r="L1338" s="283" t="s">
        <v>4583</v>
      </c>
      <c r="M1338" s="223"/>
      <c r="N1338" s="224"/>
      <c r="O1338" s="224"/>
      <c r="P1338" s="224"/>
      <c r="Q1338" s="224"/>
      <c r="R1338" s="224"/>
      <c r="S1338" s="224"/>
      <c r="T1338" s="223"/>
      <c r="U1338" s="283" t="e">
        <v>#N/A</v>
      </c>
      <c r="V1338" s="283" t="s">
        <v>4588</v>
      </c>
      <c r="W1338" s="283">
        <v>1</v>
      </c>
      <c r="X1338" s="283">
        <v>0</v>
      </c>
      <c r="Y1338" s="283">
        <v>0</v>
      </c>
      <c r="Z1338" s="283">
        <v>1</v>
      </c>
      <c r="AA1338" s="283">
        <v>1</v>
      </c>
      <c r="AB1338" s="283">
        <v>0</v>
      </c>
      <c r="AC1338" s="316">
        <v>0</v>
      </c>
      <c r="AD1338" s="316">
        <v>1</v>
      </c>
      <c r="AE1338" s="302">
        <f t="shared" si="90"/>
        <v>0.5</v>
      </c>
      <c r="AF1338" s="310"/>
      <c r="AG1338" s="17">
        <v>0</v>
      </c>
      <c r="AH1338" s="310">
        <v>2</v>
      </c>
      <c r="AI1338" s="310">
        <v>2</v>
      </c>
      <c r="AJ1338" s="17">
        <v>0</v>
      </c>
      <c r="AK1338" s="153">
        <v>0</v>
      </c>
      <c r="AL1338" s="154">
        <v>0</v>
      </c>
      <c r="AM1338" s="17">
        <f t="shared" si="91"/>
        <v>0</v>
      </c>
      <c r="AN1338" s="283" t="s">
        <v>1035</v>
      </c>
      <c r="AO1338" s="18" t="s">
        <v>1037</v>
      </c>
      <c r="AP1338" s="345" t="s">
        <v>4575</v>
      </c>
    </row>
    <row r="1339" spans="1:42" hidden="1" x14ac:dyDescent="0.3">
      <c r="A1339" s="314" t="s">
        <v>1447</v>
      </c>
      <c r="B1339" s="283" t="s">
        <v>4485</v>
      </c>
      <c r="C1339" s="314" t="s">
        <v>4487</v>
      </c>
      <c r="D1339" s="283" t="s">
        <v>4488</v>
      </c>
      <c r="E1339" s="314" t="s">
        <v>4489</v>
      </c>
      <c r="F1339" s="283" t="s">
        <v>4490</v>
      </c>
      <c r="G1339" s="318" t="s">
        <v>4580</v>
      </c>
      <c r="H1339" s="283" t="s">
        <v>4581</v>
      </c>
      <c r="I1339" s="223"/>
      <c r="J1339" s="225"/>
      <c r="K1339" s="351" t="s">
        <v>4582</v>
      </c>
      <c r="L1339" s="283" t="s">
        <v>4583</v>
      </c>
      <c r="M1339" s="223"/>
      <c r="N1339" s="224"/>
      <c r="O1339" s="224"/>
      <c r="P1339" s="224"/>
      <c r="Q1339" s="224"/>
      <c r="R1339" s="224"/>
      <c r="S1339" s="224"/>
      <c r="T1339" s="223"/>
      <c r="U1339" s="283" t="e">
        <v>#N/A</v>
      </c>
      <c r="V1339" s="283" t="s">
        <v>4589</v>
      </c>
      <c r="W1339" s="283">
        <v>1</v>
      </c>
      <c r="X1339" s="283">
        <v>0</v>
      </c>
      <c r="Y1339" s="283">
        <v>1</v>
      </c>
      <c r="Z1339" s="283">
        <v>0</v>
      </c>
      <c r="AA1339" s="283">
        <v>0</v>
      </c>
      <c r="AB1339" s="283">
        <v>0</v>
      </c>
      <c r="AC1339" s="316">
        <v>0</v>
      </c>
      <c r="AD1339" s="316">
        <v>1</v>
      </c>
      <c r="AE1339" s="302">
        <f t="shared" si="90"/>
        <v>0.375</v>
      </c>
      <c r="AF1339" s="17"/>
      <c r="AG1339" s="17">
        <v>0</v>
      </c>
      <c r="AH1339" s="17">
        <v>0</v>
      </c>
      <c r="AI1339" s="17">
        <v>0</v>
      </c>
      <c r="AJ1339" s="310">
        <v>80</v>
      </c>
      <c r="AK1339" s="317">
        <v>30</v>
      </c>
      <c r="AL1339" s="317">
        <v>5</v>
      </c>
      <c r="AM1339" s="17">
        <f t="shared" si="91"/>
        <v>35</v>
      </c>
      <c r="AN1339" s="283" t="s">
        <v>1035</v>
      </c>
      <c r="AO1339" s="18" t="s">
        <v>1037</v>
      </c>
      <c r="AP1339" s="345" t="s">
        <v>4590</v>
      </c>
    </row>
    <row r="1340" spans="1:42" s="18" customFormat="1" hidden="1" x14ac:dyDescent="0.3">
      <c r="A1340" s="207" t="s">
        <v>1447</v>
      </c>
      <c r="B1340" s="18" t="s">
        <v>4485</v>
      </c>
      <c r="C1340" s="207" t="s">
        <v>4487</v>
      </c>
      <c r="D1340" s="18" t="s">
        <v>4488</v>
      </c>
      <c r="E1340" s="207" t="s">
        <v>4591</v>
      </c>
      <c r="F1340" s="18" t="s">
        <v>4592</v>
      </c>
      <c r="G1340" s="207" t="s">
        <v>4593</v>
      </c>
      <c r="H1340" s="18" t="s">
        <v>4594</v>
      </c>
      <c r="I1340" s="208" t="s">
        <v>4595</v>
      </c>
      <c r="J1340" s="18" t="s">
        <v>4596</v>
      </c>
      <c r="K1340" s="227" t="s">
        <v>4597</v>
      </c>
      <c r="L1340" s="18" t="s">
        <v>4598</v>
      </c>
      <c r="M1340" s="157" t="s">
        <v>4599</v>
      </c>
      <c r="N1340" s="16">
        <v>9</v>
      </c>
      <c r="O1340" s="16">
        <v>3</v>
      </c>
      <c r="P1340" s="16">
        <v>6</v>
      </c>
      <c r="Q1340" s="16">
        <v>5</v>
      </c>
      <c r="R1340" s="16">
        <v>0</v>
      </c>
      <c r="S1340" s="16">
        <v>0</v>
      </c>
      <c r="T1340" s="18" t="s">
        <v>1035</v>
      </c>
      <c r="U1340" s="283" t="s">
        <v>1037</v>
      </c>
      <c r="V1340" s="18" t="s">
        <v>4600</v>
      </c>
      <c r="W1340" s="18">
        <v>1</v>
      </c>
      <c r="X1340" s="18">
        <v>0</v>
      </c>
      <c r="Y1340" s="18">
        <v>0</v>
      </c>
      <c r="Z1340" s="18">
        <v>1</v>
      </c>
      <c r="AA1340" s="18">
        <v>1</v>
      </c>
      <c r="AB1340" s="18">
        <v>0</v>
      </c>
      <c r="AC1340" s="316">
        <v>0</v>
      </c>
      <c r="AD1340" s="316">
        <v>1</v>
      </c>
      <c r="AE1340" s="302">
        <f t="shared" si="90"/>
        <v>0.5</v>
      </c>
      <c r="AF1340" s="176"/>
      <c r="AG1340" s="17">
        <v>0</v>
      </c>
      <c r="AH1340" s="176">
        <v>1</v>
      </c>
      <c r="AI1340" s="176">
        <v>1</v>
      </c>
      <c r="AJ1340" s="176">
        <v>0</v>
      </c>
      <c r="AK1340" s="165">
        <v>0</v>
      </c>
      <c r="AL1340" s="177">
        <v>0</v>
      </c>
      <c r="AM1340" s="17">
        <f t="shared" si="91"/>
        <v>0</v>
      </c>
      <c r="AN1340" s="18" t="s">
        <v>1035</v>
      </c>
      <c r="AO1340" s="18" t="s">
        <v>1037</v>
      </c>
      <c r="AP1340" s="228" t="s">
        <v>4601</v>
      </c>
    </row>
    <row r="1341" spans="1:42" hidden="1" x14ac:dyDescent="0.3">
      <c r="A1341" s="314" t="s">
        <v>1447</v>
      </c>
      <c r="B1341" s="283" t="s">
        <v>4485</v>
      </c>
      <c r="C1341" s="314" t="s">
        <v>4487</v>
      </c>
      <c r="D1341" s="283" t="s">
        <v>4488</v>
      </c>
      <c r="E1341" s="314" t="s">
        <v>4591</v>
      </c>
      <c r="F1341" s="18" t="s">
        <v>4592</v>
      </c>
      <c r="G1341" s="314" t="s">
        <v>4602</v>
      </c>
      <c r="H1341" s="283" t="s">
        <v>4603</v>
      </c>
      <c r="I1341" s="223"/>
      <c r="J1341" s="225"/>
      <c r="K1341" s="350" t="s">
        <v>4604</v>
      </c>
      <c r="L1341" s="283" t="s">
        <v>4605</v>
      </c>
      <c r="M1341" s="206" t="s">
        <v>4606</v>
      </c>
      <c r="N1341" s="224">
        <v>10</v>
      </c>
      <c r="O1341" s="224">
        <v>0</v>
      </c>
      <c r="P1341" s="224">
        <v>0</v>
      </c>
      <c r="Q1341" s="224">
        <v>0</v>
      </c>
      <c r="R1341" s="224">
        <v>100</v>
      </c>
      <c r="S1341" s="224">
        <v>100</v>
      </c>
      <c r="T1341" s="223" t="s">
        <v>1035</v>
      </c>
      <c r="U1341" s="283" t="s">
        <v>1037</v>
      </c>
      <c r="V1341" s="283" t="s">
        <v>4607</v>
      </c>
      <c r="W1341" s="283">
        <v>1</v>
      </c>
      <c r="X1341" s="283">
        <v>0</v>
      </c>
      <c r="Y1341" s="283">
        <v>0</v>
      </c>
      <c r="Z1341" s="283">
        <v>1</v>
      </c>
      <c r="AA1341" s="283">
        <v>1</v>
      </c>
      <c r="AB1341" s="283">
        <v>1</v>
      </c>
      <c r="AC1341" s="316">
        <v>0</v>
      </c>
      <c r="AD1341" s="316">
        <v>1</v>
      </c>
      <c r="AE1341" s="302">
        <f t="shared" si="90"/>
        <v>0.625</v>
      </c>
      <c r="AF1341" s="17"/>
      <c r="AG1341" s="17">
        <v>0</v>
      </c>
      <c r="AH1341" s="17">
        <v>0</v>
      </c>
      <c r="AI1341" s="17">
        <v>0</v>
      </c>
      <c r="AJ1341" s="310">
        <v>0.5</v>
      </c>
      <c r="AK1341" s="153">
        <v>0</v>
      </c>
      <c r="AL1341" s="154">
        <v>0</v>
      </c>
      <c r="AM1341" s="17">
        <f t="shared" si="91"/>
        <v>0</v>
      </c>
      <c r="AN1341" s="283" t="s">
        <v>1035</v>
      </c>
      <c r="AO1341" s="18" t="s">
        <v>1037</v>
      </c>
      <c r="AP1341" s="345" t="s">
        <v>4608</v>
      </c>
    </row>
    <row r="1342" spans="1:42" hidden="1" x14ac:dyDescent="0.3">
      <c r="A1342" s="314" t="s">
        <v>1447</v>
      </c>
      <c r="B1342" s="283" t="s">
        <v>4485</v>
      </c>
      <c r="C1342" s="314" t="s">
        <v>4487</v>
      </c>
      <c r="D1342" s="283" t="s">
        <v>4488</v>
      </c>
      <c r="E1342" s="314" t="s">
        <v>4591</v>
      </c>
      <c r="F1342" s="18" t="s">
        <v>4592</v>
      </c>
      <c r="G1342" s="314" t="s">
        <v>4602</v>
      </c>
      <c r="H1342" s="283" t="s">
        <v>4603</v>
      </c>
      <c r="I1342" s="223"/>
      <c r="J1342" s="225"/>
      <c r="K1342" s="350" t="s">
        <v>4604</v>
      </c>
      <c r="L1342" s="283" t="s">
        <v>4605</v>
      </c>
      <c r="M1342" s="223"/>
      <c r="N1342" s="229"/>
      <c r="O1342" s="229"/>
      <c r="P1342" s="229"/>
      <c r="Q1342" s="229"/>
      <c r="R1342" s="229">
        <v>80</v>
      </c>
      <c r="S1342" s="229">
        <v>100</v>
      </c>
      <c r="T1342" s="223"/>
      <c r="U1342" s="283" t="e">
        <v>#N/A</v>
      </c>
      <c r="V1342" s="283" t="s">
        <v>4609</v>
      </c>
      <c r="W1342" s="283">
        <v>1</v>
      </c>
      <c r="X1342" s="283">
        <v>0</v>
      </c>
      <c r="Y1342" s="283">
        <v>0</v>
      </c>
      <c r="Z1342" s="283">
        <v>1</v>
      </c>
      <c r="AA1342" s="283">
        <v>1</v>
      </c>
      <c r="AB1342" s="283">
        <v>1</v>
      </c>
      <c r="AC1342" s="316">
        <v>0</v>
      </c>
      <c r="AD1342" s="316">
        <v>1</v>
      </c>
      <c r="AE1342" s="302">
        <f t="shared" si="90"/>
        <v>0.625</v>
      </c>
      <c r="AF1342" s="17"/>
      <c r="AG1342" s="17">
        <v>0</v>
      </c>
      <c r="AH1342" s="17">
        <v>0</v>
      </c>
      <c r="AI1342" s="17">
        <v>0</v>
      </c>
      <c r="AJ1342" s="310">
        <v>0.2</v>
      </c>
      <c r="AK1342" s="317">
        <v>0.3</v>
      </c>
      <c r="AL1342" s="154">
        <v>0.3</v>
      </c>
      <c r="AM1342" s="17">
        <f t="shared" si="91"/>
        <v>0.6</v>
      </c>
      <c r="AN1342" s="283" t="s">
        <v>1035</v>
      </c>
      <c r="AO1342" s="18" t="s">
        <v>1037</v>
      </c>
      <c r="AP1342" s="345" t="s">
        <v>4608</v>
      </c>
    </row>
    <row r="1343" spans="1:42" hidden="1" x14ac:dyDescent="0.3">
      <c r="A1343" s="314" t="s">
        <v>1447</v>
      </c>
      <c r="B1343" s="283" t="s">
        <v>4485</v>
      </c>
      <c r="C1343" s="314" t="s">
        <v>4487</v>
      </c>
      <c r="D1343" s="283" t="s">
        <v>4488</v>
      </c>
      <c r="E1343" s="314" t="s">
        <v>4591</v>
      </c>
      <c r="F1343" s="18" t="s">
        <v>4592</v>
      </c>
      <c r="G1343" s="314" t="s">
        <v>4602</v>
      </c>
      <c r="H1343" s="283" t="s">
        <v>4603</v>
      </c>
      <c r="I1343" s="223"/>
      <c r="J1343" s="225"/>
      <c r="K1343" s="350" t="s">
        <v>4604</v>
      </c>
      <c r="L1343" s="283" t="s">
        <v>4605</v>
      </c>
      <c r="M1343" s="223"/>
      <c r="N1343" s="224"/>
      <c r="O1343" s="224"/>
      <c r="P1343" s="224"/>
      <c r="Q1343" s="224"/>
      <c r="R1343" s="224">
        <v>2</v>
      </c>
      <c r="S1343" s="224">
        <v>5</v>
      </c>
      <c r="T1343" s="223"/>
      <c r="U1343" s="283" t="e">
        <v>#N/A</v>
      </c>
      <c r="V1343" s="283" t="s">
        <v>4610</v>
      </c>
      <c r="W1343" s="283">
        <v>1</v>
      </c>
      <c r="X1343" s="283">
        <v>0</v>
      </c>
      <c r="Y1343" s="283">
        <v>0</v>
      </c>
      <c r="Z1343" s="283">
        <v>1</v>
      </c>
      <c r="AA1343" s="283">
        <v>1</v>
      </c>
      <c r="AB1343" s="283">
        <v>1</v>
      </c>
      <c r="AC1343" s="316">
        <v>0</v>
      </c>
      <c r="AD1343" s="316">
        <v>1</v>
      </c>
      <c r="AE1343" s="302">
        <f t="shared" si="90"/>
        <v>0.625</v>
      </c>
      <c r="AF1343" s="17"/>
      <c r="AG1343" s="17">
        <v>0</v>
      </c>
      <c r="AH1343" s="17">
        <v>0</v>
      </c>
      <c r="AI1343" s="17">
        <v>0</v>
      </c>
      <c r="AJ1343" s="17">
        <v>0</v>
      </c>
      <c r="AK1343" s="317">
        <v>1</v>
      </c>
      <c r="AL1343" s="317">
        <v>1</v>
      </c>
      <c r="AM1343" s="17">
        <f t="shared" si="91"/>
        <v>2</v>
      </c>
      <c r="AN1343" s="283" t="s">
        <v>1035</v>
      </c>
      <c r="AO1343" s="18" t="s">
        <v>1037</v>
      </c>
      <c r="AP1343" s="345" t="s">
        <v>119</v>
      </c>
    </row>
    <row r="1344" spans="1:42" x14ac:dyDescent="0.3">
      <c r="A1344" s="314" t="s">
        <v>1447</v>
      </c>
      <c r="B1344" s="283" t="s">
        <v>4485</v>
      </c>
      <c r="C1344" s="314" t="s">
        <v>4487</v>
      </c>
      <c r="D1344" s="283" t="s">
        <v>4488</v>
      </c>
      <c r="E1344" s="314" t="s">
        <v>4591</v>
      </c>
      <c r="F1344" s="18" t="s">
        <v>4592</v>
      </c>
      <c r="G1344" s="314" t="s">
        <v>4611</v>
      </c>
      <c r="H1344" s="283" t="s">
        <v>4612</v>
      </c>
      <c r="I1344" s="223"/>
      <c r="J1344" s="225"/>
      <c r="K1344" s="350" t="s">
        <v>4613</v>
      </c>
      <c r="L1344" s="283" t="s">
        <v>4614</v>
      </c>
      <c r="M1344" s="206" t="s">
        <v>4615</v>
      </c>
      <c r="N1344" s="224">
        <v>28</v>
      </c>
      <c r="O1344" s="224">
        <v>30</v>
      </c>
      <c r="P1344" s="224">
        <v>30</v>
      </c>
      <c r="Q1344" s="224">
        <v>32</v>
      </c>
      <c r="R1344" s="224">
        <v>25</v>
      </c>
      <c r="S1344" s="224">
        <v>30</v>
      </c>
      <c r="T1344" s="223" t="s">
        <v>4497</v>
      </c>
      <c r="U1344" s="283" t="s">
        <v>4499</v>
      </c>
      <c r="V1344" s="283" t="s">
        <v>4616</v>
      </c>
      <c r="W1344" s="283">
        <v>1</v>
      </c>
      <c r="X1344" s="283">
        <v>1</v>
      </c>
      <c r="Y1344" s="283">
        <v>1</v>
      </c>
      <c r="Z1344" s="283">
        <v>1</v>
      </c>
      <c r="AA1344" s="283">
        <v>1</v>
      </c>
      <c r="AB1344" s="283">
        <v>0</v>
      </c>
      <c r="AC1344" s="316">
        <v>1</v>
      </c>
      <c r="AD1344" s="316">
        <v>1</v>
      </c>
      <c r="AE1344" s="302">
        <f t="shared" si="90"/>
        <v>0.875</v>
      </c>
      <c r="AF1344" s="310"/>
      <c r="AG1344" s="17">
        <v>0</v>
      </c>
      <c r="AH1344" s="310">
        <v>0</v>
      </c>
      <c r="AI1344" s="310">
        <v>0</v>
      </c>
      <c r="AJ1344" s="310">
        <v>0</v>
      </c>
      <c r="AK1344" s="317">
        <v>6</v>
      </c>
      <c r="AL1344" s="317">
        <v>5</v>
      </c>
      <c r="AM1344" s="17">
        <f t="shared" si="91"/>
        <v>11</v>
      </c>
      <c r="AN1344" s="283" t="s">
        <v>1035</v>
      </c>
      <c r="AO1344" s="18" t="s">
        <v>1037</v>
      </c>
      <c r="AP1344" s="345" t="s">
        <v>4501</v>
      </c>
    </row>
    <row r="1345" spans="1:42" x14ac:dyDescent="0.3">
      <c r="A1345" s="314" t="s">
        <v>1447</v>
      </c>
      <c r="B1345" s="283" t="s">
        <v>4485</v>
      </c>
      <c r="C1345" s="314" t="s">
        <v>4487</v>
      </c>
      <c r="D1345" s="283" t="s">
        <v>4488</v>
      </c>
      <c r="E1345" s="314" t="s">
        <v>4591</v>
      </c>
      <c r="F1345" s="18" t="s">
        <v>4592</v>
      </c>
      <c r="G1345" s="314" t="s">
        <v>4611</v>
      </c>
      <c r="H1345" s="283" t="s">
        <v>4612</v>
      </c>
      <c r="I1345" s="223"/>
      <c r="J1345" s="225"/>
      <c r="K1345" s="350" t="s">
        <v>4613</v>
      </c>
      <c r="L1345" s="283" t="s">
        <v>4614</v>
      </c>
      <c r="M1345" s="223"/>
      <c r="N1345" s="224"/>
      <c r="O1345" s="224"/>
      <c r="P1345" s="224"/>
      <c r="Q1345" s="224"/>
      <c r="R1345" s="224">
        <v>35</v>
      </c>
      <c r="S1345" s="224">
        <v>40</v>
      </c>
      <c r="T1345" s="223"/>
      <c r="U1345" s="283" t="e">
        <v>#N/A</v>
      </c>
      <c r="V1345" s="283" t="s">
        <v>4617</v>
      </c>
      <c r="W1345" s="283">
        <v>1</v>
      </c>
      <c r="X1345" s="283">
        <v>1</v>
      </c>
      <c r="Y1345" s="283">
        <v>1</v>
      </c>
      <c r="Z1345" s="283">
        <v>1</v>
      </c>
      <c r="AA1345" s="283">
        <v>1</v>
      </c>
      <c r="AB1345" s="283">
        <v>0</v>
      </c>
      <c r="AC1345" s="316">
        <v>1</v>
      </c>
      <c r="AD1345" s="316">
        <v>1</v>
      </c>
      <c r="AE1345" s="302">
        <f t="shared" si="90"/>
        <v>0.875</v>
      </c>
      <c r="AF1345" s="310"/>
      <c r="AG1345" s="17">
        <v>0</v>
      </c>
      <c r="AH1345" s="310">
        <v>0</v>
      </c>
      <c r="AI1345" s="310">
        <v>0</v>
      </c>
      <c r="AJ1345" s="310">
        <v>0</v>
      </c>
      <c r="AK1345" s="317">
        <v>7</v>
      </c>
      <c r="AL1345" s="317">
        <v>6</v>
      </c>
      <c r="AM1345" s="17">
        <f t="shared" si="91"/>
        <v>13</v>
      </c>
      <c r="AN1345" s="283" t="s">
        <v>1035</v>
      </c>
      <c r="AO1345" s="18" t="s">
        <v>1037</v>
      </c>
      <c r="AP1345" s="345" t="s">
        <v>4618</v>
      </c>
    </row>
    <row r="1346" spans="1:42" hidden="1" x14ac:dyDescent="0.3">
      <c r="A1346" s="314" t="s">
        <v>1447</v>
      </c>
      <c r="B1346" s="283" t="s">
        <v>4485</v>
      </c>
      <c r="C1346" s="314" t="s">
        <v>4487</v>
      </c>
      <c r="D1346" s="283" t="s">
        <v>4488</v>
      </c>
      <c r="E1346" s="314" t="s">
        <v>4591</v>
      </c>
      <c r="F1346" s="18" t="s">
        <v>4592</v>
      </c>
      <c r="G1346" s="314" t="s">
        <v>4619</v>
      </c>
      <c r="H1346" s="283" t="s">
        <v>4620</v>
      </c>
      <c r="I1346" s="223"/>
      <c r="J1346" s="225"/>
      <c r="K1346" s="350" t="s">
        <v>4621</v>
      </c>
      <c r="L1346" s="283" t="s">
        <v>4622</v>
      </c>
      <c r="M1346" s="206" t="s">
        <v>4623</v>
      </c>
      <c r="N1346" s="224">
        <v>0</v>
      </c>
      <c r="O1346" s="224">
        <v>40</v>
      </c>
      <c r="P1346" s="224">
        <v>60</v>
      </c>
      <c r="Q1346" s="224">
        <v>100</v>
      </c>
      <c r="R1346" s="224"/>
      <c r="S1346" s="224"/>
      <c r="T1346" s="223" t="s">
        <v>1035</v>
      </c>
      <c r="U1346" s="283" t="s">
        <v>1037</v>
      </c>
      <c r="V1346" s="283" t="s">
        <v>4624</v>
      </c>
      <c r="W1346" s="283">
        <v>1</v>
      </c>
      <c r="X1346" s="283">
        <v>0</v>
      </c>
      <c r="Y1346" s="283">
        <v>0</v>
      </c>
      <c r="Z1346" s="283">
        <v>1</v>
      </c>
      <c r="AA1346" s="283">
        <v>1</v>
      </c>
      <c r="AB1346" s="283">
        <v>0</v>
      </c>
      <c r="AC1346" s="316">
        <v>0</v>
      </c>
      <c r="AD1346" s="316">
        <v>1</v>
      </c>
      <c r="AE1346" s="302">
        <f t="shared" si="90"/>
        <v>0.5</v>
      </c>
      <c r="AF1346" s="310"/>
      <c r="AG1346" s="17">
        <v>0</v>
      </c>
      <c r="AH1346" s="310">
        <v>0.5</v>
      </c>
      <c r="AI1346" s="310">
        <v>0.3</v>
      </c>
      <c r="AJ1346" s="310">
        <v>0</v>
      </c>
      <c r="AK1346" s="153">
        <v>0</v>
      </c>
      <c r="AL1346" s="154">
        <v>0</v>
      </c>
      <c r="AM1346" s="17">
        <f t="shared" si="91"/>
        <v>0</v>
      </c>
      <c r="AN1346" s="283" t="s">
        <v>101</v>
      </c>
      <c r="AO1346" s="18" t="s">
        <v>103</v>
      </c>
      <c r="AP1346" s="345" t="s">
        <v>4625</v>
      </c>
    </row>
    <row r="1347" spans="1:42" hidden="1" x14ac:dyDescent="0.3">
      <c r="A1347" s="314" t="s">
        <v>1447</v>
      </c>
      <c r="B1347" s="283" t="s">
        <v>4485</v>
      </c>
      <c r="C1347" s="314" t="s">
        <v>4487</v>
      </c>
      <c r="D1347" s="283" t="s">
        <v>4488</v>
      </c>
      <c r="E1347" s="314" t="s">
        <v>4591</v>
      </c>
      <c r="F1347" s="18" t="s">
        <v>4592</v>
      </c>
      <c r="G1347" s="314" t="s">
        <v>4619</v>
      </c>
      <c r="H1347" s="283" t="s">
        <v>4620</v>
      </c>
      <c r="I1347" s="223"/>
      <c r="J1347" s="225"/>
      <c r="K1347" s="350" t="s">
        <v>4621</v>
      </c>
      <c r="L1347" s="283" t="s">
        <v>4622</v>
      </c>
      <c r="M1347" s="206" t="s">
        <v>4626</v>
      </c>
      <c r="N1347" s="224">
        <v>0</v>
      </c>
      <c r="O1347" s="224">
        <v>1</v>
      </c>
      <c r="P1347" s="224">
        <v>2</v>
      </c>
      <c r="Q1347" s="224">
        <v>2</v>
      </c>
      <c r="R1347" s="224">
        <v>4</v>
      </c>
      <c r="S1347" s="224">
        <v>4</v>
      </c>
      <c r="T1347" s="223" t="s">
        <v>1035</v>
      </c>
      <c r="U1347" s="283" t="s">
        <v>1037</v>
      </c>
      <c r="V1347" s="283" t="s">
        <v>4627</v>
      </c>
      <c r="W1347" s="283">
        <v>1</v>
      </c>
      <c r="X1347" s="283">
        <v>0</v>
      </c>
      <c r="Y1347" s="283">
        <v>0</v>
      </c>
      <c r="Z1347" s="283">
        <v>1</v>
      </c>
      <c r="AA1347" s="283">
        <v>1</v>
      </c>
      <c r="AB1347" s="283">
        <v>0</v>
      </c>
      <c r="AC1347" s="316">
        <v>0</v>
      </c>
      <c r="AD1347" s="316">
        <v>1</v>
      </c>
      <c r="AE1347" s="302">
        <f t="shared" si="90"/>
        <v>0.5</v>
      </c>
      <c r="AF1347" s="17"/>
      <c r="AG1347" s="17">
        <v>0</v>
      </c>
      <c r="AH1347" s="17">
        <v>0</v>
      </c>
      <c r="AI1347" s="17">
        <v>0</v>
      </c>
      <c r="AJ1347" s="17">
        <v>0</v>
      </c>
      <c r="AK1347" s="317">
        <v>0.1</v>
      </c>
      <c r="AL1347" s="317">
        <v>0.05</v>
      </c>
      <c r="AM1347" s="17">
        <f t="shared" si="91"/>
        <v>0.15000000000000002</v>
      </c>
      <c r="AN1347" s="283" t="s">
        <v>101</v>
      </c>
      <c r="AO1347" s="18" t="s">
        <v>103</v>
      </c>
      <c r="AP1347" s="345" t="s">
        <v>4587</v>
      </c>
    </row>
    <row r="1348" spans="1:42" hidden="1" x14ac:dyDescent="0.3">
      <c r="A1348" s="314" t="s">
        <v>1447</v>
      </c>
      <c r="B1348" s="283" t="s">
        <v>4485</v>
      </c>
      <c r="C1348" s="314" t="s">
        <v>4487</v>
      </c>
      <c r="D1348" s="283" t="s">
        <v>4488</v>
      </c>
      <c r="E1348" s="314" t="s">
        <v>4591</v>
      </c>
      <c r="F1348" s="18" t="s">
        <v>4592</v>
      </c>
      <c r="G1348" s="314" t="s">
        <v>4619</v>
      </c>
      <c r="H1348" s="283" t="s">
        <v>4620</v>
      </c>
      <c r="I1348" s="223"/>
      <c r="J1348" s="225"/>
      <c r="K1348" s="350" t="s">
        <v>4621</v>
      </c>
      <c r="L1348" s="283" t="s">
        <v>4622</v>
      </c>
      <c r="M1348" s="223"/>
      <c r="N1348" s="211"/>
      <c r="O1348" s="211"/>
      <c r="P1348" s="224"/>
      <c r="Q1348" s="224"/>
      <c r="R1348" s="224">
        <v>50</v>
      </c>
      <c r="S1348" s="224">
        <v>80</v>
      </c>
      <c r="T1348" s="206"/>
      <c r="U1348" s="283" t="e">
        <v>#N/A</v>
      </c>
      <c r="V1348" s="283" t="s">
        <v>4628</v>
      </c>
      <c r="W1348" s="283">
        <v>1</v>
      </c>
      <c r="X1348" s="283">
        <v>0</v>
      </c>
      <c r="Y1348" s="283">
        <v>0</v>
      </c>
      <c r="Z1348" s="283">
        <v>1</v>
      </c>
      <c r="AA1348" s="283">
        <v>1</v>
      </c>
      <c r="AB1348" s="283">
        <v>1</v>
      </c>
      <c r="AC1348" s="316">
        <v>0</v>
      </c>
      <c r="AD1348" s="316">
        <v>1</v>
      </c>
      <c r="AE1348" s="302">
        <f t="shared" si="90"/>
        <v>0.625</v>
      </c>
      <c r="AF1348" s="310"/>
      <c r="AG1348" s="17">
        <v>0</v>
      </c>
      <c r="AH1348" s="310">
        <v>1</v>
      </c>
      <c r="AI1348" s="310">
        <v>1</v>
      </c>
      <c r="AJ1348" s="310">
        <v>1</v>
      </c>
      <c r="AK1348" s="317">
        <v>1</v>
      </c>
      <c r="AL1348" s="317">
        <v>1</v>
      </c>
      <c r="AM1348" s="17">
        <f t="shared" si="91"/>
        <v>2</v>
      </c>
      <c r="AN1348" s="283" t="s">
        <v>1035</v>
      </c>
      <c r="AO1348" s="18" t="s">
        <v>1037</v>
      </c>
      <c r="AP1348" s="345" t="s">
        <v>4501</v>
      </c>
    </row>
    <row r="1349" spans="1:42" hidden="1" x14ac:dyDescent="0.3">
      <c r="A1349" s="314" t="s">
        <v>1447</v>
      </c>
      <c r="B1349" s="283" t="s">
        <v>4485</v>
      </c>
      <c r="C1349" s="314" t="s">
        <v>4487</v>
      </c>
      <c r="D1349" s="283" t="s">
        <v>4488</v>
      </c>
      <c r="E1349" s="314" t="s">
        <v>4591</v>
      </c>
      <c r="F1349" s="18" t="s">
        <v>4592</v>
      </c>
      <c r="G1349" s="314" t="s">
        <v>4629</v>
      </c>
      <c r="H1349" s="283" t="s">
        <v>4630</v>
      </c>
      <c r="I1349" s="223"/>
      <c r="J1349" s="225"/>
      <c r="K1349" s="350" t="s">
        <v>4631</v>
      </c>
      <c r="L1349" s="283" t="s">
        <v>4632</v>
      </c>
      <c r="M1349" s="223" t="s">
        <v>4633</v>
      </c>
      <c r="N1349" s="211">
        <v>50</v>
      </c>
      <c r="O1349" s="211">
        <v>60</v>
      </c>
      <c r="P1349" s="224">
        <v>75</v>
      </c>
      <c r="Q1349" s="224">
        <v>100</v>
      </c>
      <c r="R1349" s="224">
        <v>80</v>
      </c>
      <c r="S1349" s="224">
        <v>100</v>
      </c>
      <c r="T1349" s="206" t="s">
        <v>1035</v>
      </c>
      <c r="U1349" s="283" t="s">
        <v>1037</v>
      </c>
      <c r="V1349" s="283" t="s">
        <v>4634</v>
      </c>
      <c r="W1349" s="283">
        <v>1</v>
      </c>
      <c r="X1349" s="283">
        <v>0</v>
      </c>
      <c r="Y1349" s="283">
        <v>0</v>
      </c>
      <c r="Z1349" s="283">
        <v>1</v>
      </c>
      <c r="AA1349" s="283">
        <v>1</v>
      </c>
      <c r="AB1349" s="283">
        <v>1</v>
      </c>
      <c r="AC1349" s="316">
        <v>0</v>
      </c>
      <c r="AD1349" s="316">
        <v>1</v>
      </c>
      <c r="AE1349" s="302">
        <f t="shared" si="90"/>
        <v>0.625</v>
      </c>
      <c r="AF1349" s="310"/>
      <c r="AG1349" s="17">
        <v>0</v>
      </c>
      <c r="AH1349" s="310">
        <v>0.2</v>
      </c>
      <c r="AI1349" s="310">
        <v>0.2</v>
      </c>
      <c r="AJ1349" s="310">
        <v>0</v>
      </c>
      <c r="AK1349" s="317">
        <v>0.5</v>
      </c>
      <c r="AL1349" s="317">
        <v>0.4</v>
      </c>
      <c r="AM1349" s="17">
        <f t="shared" si="91"/>
        <v>0.9</v>
      </c>
      <c r="AN1349" s="283" t="s">
        <v>1035</v>
      </c>
      <c r="AO1349" s="18" t="s">
        <v>1037</v>
      </c>
      <c r="AP1349" s="345" t="s">
        <v>4501</v>
      </c>
    </row>
    <row r="1350" spans="1:42" x14ac:dyDescent="0.3">
      <c r="A1350" s="314" t="s">
        <v>1447</v>
      </c>
      <c r="B1350" s="283" t="s">
        <v>4485</v>
      </c>
      <c r="C1350" s="314" t="s">
        <v>4487</v>
      </c>
      <c r="D1350" s="283" t="s">
        <v>4488</v>
      </c>
      <c r="E1350" s="314" t="s">
        <v>4591</v>
      </c>
      <c r="F1350" s="18" t="s">
        <v>4592</v>
      </c>
      <c r="G1350" s="314" t="s">
        <v>4635</v>
      </c>
      <c r="H1350" s="283" t="s">
        <v>4636</v>
      </c>
      <c r="I1350" s="223"/>
      <c r="J1350" s="225"/>
      <c r="K1350" s="350" t="s">
        <v>4637</v>
      </c>
      <c r="L1350" s="283" t="s">
        <v>4638</v>
      </c>
      <c r="M1350" s="206" t="s">
        <v>4639</v>
      </c>
      <c r="N1350" s="224">
        <v>0</v>
      </c>
      <c r="O1350" s="224">
        <v>20</v>
      </c>
      <c r="P1350" s="224">
        <v>40</v>
      </c>
      <c r="Q1350" s="224">
        <v>60</v>
      </c>
      <c r="R1350" s="224">
        <v>80</v>
      </c>
      <c r="S1350" s="224">
        <v>100</v>
      </c>
      <c r="T1350" s="223" t="s">
        <v>921</v>
      </c>
      <c r="U1350" s="283" t="s">
        <v>880</v>
      </c>
      <c r="V1350" s="283" t="s">
        <v>4640</v>
      </c>
      <c r="W1350" s="283">
        <v>1</v>
      </c>
      <c r="X1350" s="283">
        <v>0</v>
      </c>
      <c r="Y1350" s="283">
        <v>0</v>
      </c>
      <c r="Z1350" s="283">
        <v>1</v>
      </c>
      <c r="AA1350" s="283">
        <v>1</v>
      </c>
      <c r="AB1350" s="283">
        <v>1</v>
      </c>
      <c r="AC1350" s="316">
        <v>1</v>
      </c>
      <c r="AD1350" s="316">
        <v>1</v>
      </c>
      <c r="AE1350" s="302">
        <f t="shared" si="90"/>
        <v>0.75</v>
      </c>
      <c r="AF1350" s="310"/>
      <c r="AG1350" s="17">
        <v>0</v>
      </c>
      <c r="AH1350" s="310">
        <v>0.3</v>
      </c>
      <c r="AI1350" s="310">
        <v>0.3</v>
      </c>
      <c r="AJ1350" s="310">
        <v>0.3</v>
      </c>
      <c r="AK1350" s="317">
        <v>2</v>
      </c>
      <c r="AL1350" s="317">
        <v>2</v>
      </c>
      <c r="AM1350" s="17">
        <f t="shared" si="91"/>
        <v>4</v>
      </c>
      <c r="AN1350" s="1" t="s">
        <v>921</v>
      </c>
      <c r="AO1350" s="18" t="s">
        <v>880</v>
      </c>
      <c r="AP1350" s="345" t="s">
        <v>4641</v>
      </c>
    </row>
    <row r="1351" spans="1:42" hidden="1" x14ac:dyDescent="0.3">
      <c r="A1351" s="314" t="s">
        <v>1447</v>
      </c>
      <c r="B1351" s="283" t="s">
        <v>4485</v>
      </c>
      <c r="C1351" s="314" t="s">
        <v>4642</v>
      </c>
      <c r="D1351" s="283" t="s">
        <v>4643</v>
      </c>
      <c r="E1351" s="314" t="s">
        <v>4644</v>
      </c>
      <c r="F1351" s="283" t="s">
        <v>4645</v>
      </c>
      <c r="G1351" s="314" t="s">
        <v>4646</v>
      </c>
      <c r="H1351" s="283" t="s">
        <v>4647</v>
      </c>
      <c r="I1351" s="223"/>
      <c r="J1351" s="225"/>
      <c r="K1351" s="350" t="s">
        <v>4648</v>
      </c>
      <c r="L1351" s="283" t="s">
        <v>4649</v>
      </c>
      <c r="M1351" s="206" t="s">
        <v>4650</v>
      </c>
      <c r="N1351" s="224">
        <v>0</v>
      </c>
      <c r="O1351" s="224">
        <v>0</v>
      </c>
      <c r="P1351" s="224">
        <v>500</v>
      </c>
      <c r="Q1351" s="224">
        <v>500</v>
      </c>
      <c r="R1351" s="224">
        <v>80</v>
      </c>
      <c r="S1351" s="224">
        <v>100</v>
      </c>
      <c r="T1351" s="223" t="s">
        <v>921</v>
      </c>
      <c r="U1351" s="283" t="s">
        <v>880</v>
      </c>
      <c r="V1351" s="283" t="s">
        <v>4651</v>
      </c>
      <c r="W1351" s="283">
        <v>1</v>
      </c>
      <c r="X1351" s="283">
        <v>0</v>
      </c>
      <c r="Y1351" s="283">
        <v>0</v>
      </c>
      <c r="Z1351" s="283">
        <v>1</v>
      </c>
      <c r="AA1351" s="283">
        <v>1</v>
      </c>
      <c r="AB1351" s="283">
        <v>1</v>
      </c>
      <c r="AC1351" s="316">
        <v>0</v>
      </c>
      <c r="AD1351" s="316">
        <v>1</v>
      </c>
      <c r="AE1351" s="302">
        <f t="shared" si="90"/>
        <v>0.625</v>
      </c>
      <c r="AF1351" s="17"/>
      <c r="AG1351" s="17">
        <v>0</v>
      </c>
      <c r="AH1351" s="17">
        <v>0</v>
      </c>
      <c r="AI1351" s="310">
        <v>1</v>
      </c>
      <c r="AJ1351" s="17">
        <v>0</v>
      </c>
      <c r="AK1351" s="153">
        <v>1</v>
      </c>
      <c r="AL1351" s="154">
        <v>0.5</v>
      </c>
      <c r="AM1351" s="17">
        <f t="shared" si="91"/>
        <v>1.5</v>
      </c>
      <c r="AN1351" s="283" t="s">
        <v>1035</v>
      </c>
      <c r="AO1351" s="18" t="s">
        <v>1037</v>
      </c>
      <c r="AP1351" s="283" t="s">
        <v>4652</v>
      </c>
    </row>
    <row r="1352" spans="1:42" x14ac:dyDescent="0.3">
      <c r="A1352" s="314" t="s">
        <v>1447</v>
      </c>
      <c r="B1352" s="283" t="s">
        <v>4485</v>
      </c>
      <c r="C1352" s="314" t="s">
        <v>4642</v>
      </c>
      <c r="D1352" s="283" t="s">
        <v>4643</v>
      </c>
      <c r="E1352" s="314" t="s">
        <v>4644</v>
      </c>
      <c r="F1352" s="283" t="s">
        <v>4645</v>
      </c>
      <c r="G1352" s="314" t="s">
        <v>4646</v>
      </c>
      <c r="H1352" s="283" t="s">
        <v>4647</v>
      </c>
      <c r="I1352" s="223"/>
      <c r="J1352" s="225"/>
      <c r="K1352" s="350" t="s">
        <v>4648</v>
      </c>
      <c r="L1352" s="283" t="s">
        <v>4649</v>
      </c>
      <c r="M1352" s="206"/>
      <c r="N1352" s="211"/>
      <c r="O1352" s="230"/>
      <c r="P1352" s="230"/>
      <c r="Q1352" s="229"/>
      <c r="R1352" s="229">
        <v>40</v>
      </c>
      <c r="S1352" s="229">
        <v>60</v>
      </c>
      <c r="T1352" s="206"/>
      <c r="U1352" s="283" t="e">
        <v>#N/A</v>
      </c>
      <c r="V1352" s="283" t="s">
        <v>4653</v>
      </c>
      <c r="W1352" s="283">
        <v>1</v>
      </c>
      <c r="X1352" s="283">
        <v>1</v>
      </c>
      <c r="Y1352" s="283">
        <v>1</v>
      </c>
      <c r="Z1352" s="283">
        <v>1</v>
      </c>
      <c r="AA1352" s="283">
        <v>1</v>
      </c>
      <c r="AB1352" s="283">
        <v>0</v>
      </c>
      <c r="AC1352" s="316">
        <v>0</v>
      </c>
      <c r="AD1352" s="316">
        <v>1</v>
      </c>
      <c r="AE1352" s="302">
        <f t="shared" si="90"/>
        <v>0.75</v>
      </c>
      <c r="AF1352" s="17"/>
      <c r="AG1352" s="17">
        <v>0</v>
      </c>
      <c r="AH1352" s="17">
        <v>0</v>
      </c>
      <c r="AI1352" s="310">
        <v>30</v>
      </c>
      <c r="AJ1352" s="310">
        <v>30</v>
      </c>
      <c r="AK1352" s="317">
        <v>60.71</v>
      </c>
      <c r="AL1352" s="317">
        <v>50</v>
      </c>
      <c r="AM1352" s="17">
        <f t="shared" si="91"/>
        <v>110.71000000000001</v>
      </c>
      <c r="AN1352" s="283" t="s">
        <v>921</v>
      </c>
      <c r="AO1352" s="18" t="s">
        <v>880</v>
      </c>
      <c r="AP1352" s="345" t="s">
        <v>4625</v>
      </c>
    </row>
    <row r="1353" spans="1:42" hidden="1" x14ac:dyDescent="0.3">
      <c r="A1353" s="314" t="s">
        <v>1447</v>
      </c>
      <c r="B1353" s="283" t="s">
        <v>4485</v>
      </c>
      <c r="C1353" s="314" t="s">
        <v>4642</v>
      </c>
      <c r="D1353" s="283" t="s">
        <v>4643</v>
      </c>
      <c r="E1353" s="314" t="s">
        <v>4644</v>
      </c>
      <c r="F1353" s="283" t="s">
        <v>4645</v>
      </c>
      <c r="G1353" s="314" t="s">
        <v>4646</v>
      </c>
      <c r="H1353" s="283" t="s">
        <v>4647</v>
      </c>
      <c r="I1353" s="223"/>
      <c r="J1353" s="225"/>
      <c r="K1353" s="350" t="s">
        <v>4648</v>
      </c>
      <c r="L1353" s="283" t="s">
        <v>4649</v>
      </c>
      <c r="M1353" s="206" t="s">
        <v>4654</v>
      </c>
      <c r="N1353" s="224">
        <v>28</v>
      </c>
      <c r="O1353" s="224">
        <v>30</v>
      </c>
      <c r="P1353" s="224">
        <v>30</v>
      </c>
      <c r="Q1353" s="224">
        <v>35</v>
      </c>
      <c r="R1353" s="224">
        <v>35</v>
      </c>
      <c r="S1353" s="224">
        <v>35</v>
      </c>
      <c r="T1353" s="223" t="s">
        <v>4655</v>
      </c>
      <c r="U1353" s="283" t="e">
        <v>#N/A</v>
      </c>
      <c r="V1353" s="283" t="s">
        <v>4656</v>
      </c>
      <c r="W1353" s="283">
        <v>0</v>
      </c>
      <c r="X1353" s="283">
        <v>0</v>
      </c>
      <c r="Y1353" s="283">
        <v>0</v>
      </c>
      <c r="Z1353" s="283">
        <v>0</v>
      </c>
      <c r="AA1353" s="283">
        <v>0</v>
      </c>
      <c r="AB1353" s="283">
        <v>0</v>
      </c>
      <c r="AC1353" s="316">
        <v>0</v>
      </c>
      <c r="AD1353" s="316">
        <v>0</v>
      </c>
      <c r="AE1353" s="302">
        <f t="shared" si="90"/>
        <v>0</v>
      </c>
      <c r="AF1353" s="310"/>
      <c r="AG1353" s="17">
        <v>0</v>
      </c>
      <c r="AH1353" s="310">
        <v>0.8</v>
      </c>
      <c r="AI1353" s="310">
        <v>0.5</v>
      </c>
      <c r="AJ1353" s="310">
        <v>0.1</v>
      </c>
      <c r="AK1353" s="317">
        <v>0.1</v>
      </c>
      <c r="AL1353" s="317">
        <v>0.05</v>
      </c>
      <c r="AM1353" s="17">
        <f t="shared" si="91"/>
        <v>0.15000000000000002</v>
      </c>
      <c r="AN1353" s="283" t="s">
        <v>4497</v>
      </c>
      <c r="AO1353" s="18" t="s">
        <v>4499</v>
      </c>
      <c r="AP1353" s="345" t="s">
        <v>4657</v>
      </c>
    </row>
    <row r="1354" spans="1:42" hidden="1" x14ac:dyDescent="0.3">
      <c r="A1354" s="314" t="s">
        <v>1447</v>
      </c>
      <c r="B1354" s="283" t="s">
        <v>4485</v>
      </c>
      <c r="C1354" s="314" t="s">
        <v>4642</v>
      </c>
      <c r="D1354" s="283" t="s">
        <v>4643</v>
      </c>
      <c r="E1354" s="314" t="s">
        <v>4644</v>
      </c>
      <c r="F1354" s="283" t="s">
        <v>4645</v>
      </c>
      <c r="G1354" s="314" t="s">
        <v>4658</v>
      </c>
      <c r="H1354" s="283" t="s">
        <v>4659</v>
      </c>
      <c r="I1354" s="223"/>
      <c r="J1354" s="225"/>
      <c r="K1354" s="350" t="s">
        <v>4660</v>
      </c>
      <c r="L1354" s="283" t="s">
        <v>4661</v>
      </c>
      <c r="M1354" s="206" t="s">
        <v>4662</v>
      </c>
      <c r="N1354" s="211">
        <v>0</v>
      </c>
      <c r="O1354" s="211">
        <v>14</v>
      </c>
      <c r="P1354" s="211">
        <v>37</v>
      </c>
      <c r="Q1354" s="224">
        <v>56</v>
      </c>
      <c r="R1354" s="224">
        <v>39</v>
      </c>
      <c r="S1354" s="224">
        <v>100</v>
      </c>
      <c r="T1354" s="206" t="s">
        <v>4512</v>
      </c>
      <c r="U1354" s="283" t="s">
        <v>4514</v>
      </c>
      <c r="V1354" s="283" t="s">
        <v>4663</v>
      </c>
      <c r="W1354" s="283">
        <v>1</v>
      </c>
      <c r="X1354" s="283">
        <v>1</v>
      </c>
      <c r="Y1354" s="283">
        <v>0</v>
      </c>
      <c r="Z1354" s="283">
        <v>1</v>
      </c>
      <c r="AA1354" s="283">
        <v>1</v>
      </c>
      <c r="AB1354" s="283">
        <v>0</v>
      </c>
      <c r="AC1354" s="316">
        <v>0</v>
      </c>
      <c r="AD1354" s="316">
        <v>1</v>
      </c>
      <c r="AE1354" s="302">
        <f t="shared" si="90"/>
        <v>0.625</v>
      </c>
      <c r="AF1354" s="310"/>
      <c r="AG1354" s="17">
        <v>0</v>
      </c>
      <c r="AH1354" s="310">
        <v>31.47</v>
      </c>
      <c r="AI1354" s="310">
        <v>31.47</v>
      </c>
      <c r="AJ1354" s="310">
        <v>31.47</v>
      </c>
      <c r="AK1354" s="317">
        <v>50</v>
      </c>
      <c r="AL1354" s="317">
        <v>129</v>
      </c>
      <c r="AM1354" s="17">
        <f t="shared" si="91"/>
        <v>179</v>
      </c>
      <c r="AN1354" s="283" t="s">
        <v>4512</v>
      </c>
      <c r="AO1354" s="18" t="s">
        <v>4514</v>
      </c>
      <c r="AP1354" s="345" t="s">
        <v>921</v>
      </c>
    </row>
    <row r="1355" spans="1:42" hidden="1" x14ac:dyDescent="0.3">
      <c r="A1355" s="314" t="s">
        <v>1447</v>
      </c>
      <c r="B1355" s="283" t="s">
        <v>4485</v>
      </c>
      <c r="C1355" s="314" t="s">
        <v>4642</v>
      </c>
      <c r="D1355" s="283" t="s">
        <v>4643</v>
      </c>
      <c r="E1355" s="314" t="s">
        <v>4644</v>
      </c>
      <c r="F1355" s="283" t="s">
        <v>4645</v>
      </c>
      <c r="G1355" s="314" t="s">
        <v>4664</v>
      </c>
      <c r="H1355" s="283" t="s">
        <v>4665</v>
      </c>
      <c r="I1355" s="223"/>
      <c r="J1355" s="225"/>
      <c r="K1355" s="350" t="s">
        <v>4666</v>
      </c>
      <c r="L1355" s="283" t="s">
        <v>4667</v>
      </c>
      <c r="M1355" s="206" t="s">
        <v>4668</v>
      </c>
      <c r="N1355" s="211">
        <v>1</v>
      </c>
      <c r="O1355" s="211">
        <v>1</v>
      </c>
      <c r="P1355" s="211">
        <v>1</v>
      </c>
      <c r="Q1355" s="224">
        <v>1</v>
      </c>
      <c r="R1355" s="224">
        <v>2</v>
      </c>
      <c r="S1355" s="224">
        <v>2</v>
      </c>
      <c r="T1355" s="206" t="s">
        <v>1035</v>
      </c>
      <c r="U1355" s="283" t="s">
        <v>1037</v>
      </c>
      <c r="V1355" s="283" t="s">
        <v>4669</v>
      </c>
      <c r="W1355" s="283">
        <v>1</v>
      </c>
      <c r="X1355" s="283">
        <v>0</v>
      </c>
      <c r="Y1355" s="283">
        <v>0</v>
      </c>
      <c r="Z1355" s="283">
        <v>1</v>
      </c>
      <c r="AA1355" s="283">
        <v>1</v>
      </c>
      <c r="AB1355" s="283">
        <v>1</v>
      </c>
      <c r="AC1355" s="316">
        <v>0</v>
      </c>
      <c r="AD1355" s="316">
        <v>1</v>
      </c>
      <c r="AE1355" s="302">
        <f t="shared" si="90"/>
        <v>0.625</v>
      </c>
      <c r="AF1355" s="17"/>
      <c r="AG1355" s="17">
        <v>0</v>
      </c>
      <c r="AH1355" s="17">
        <v>0</v>
      </c>
      <c r="AI1355" s="310">
        <v>0.3</v>
      </c>
      <c r="AJ1355" s="310">
        <v>0.3</v>
      </c>
      <c r="AK1355" s="153">
        <v>0</v>
      </c>
      <c r="AL1355" s="154">
        <v>0</v>
      </c>
      <c r="AM1355" s="17">
        <f t="shared" si="91"/>
        <v>0</v>
      </c>
      <c r="AN1355" s="283" t="s">
        <v>723</v>
      </c>
      <c r="AO1355" s="18" t="s">
        <v>729</v>
      </c>
      <c r="AP1355" s="345" t="s">
        <v>4625</v>
      </c>
    </row>
    <row r="1356" spans="1:42" hidden="1" x14ac:dyDescent="0.3">
      <c r="A1356" s="314" t="s">
        <v>1447</v>
      </c>
      <c r="B1356" s="283" t="s">
        <v>4485</v>
      </c>
      <c r="C1356" s="314" t="s">
        <v>4642</v>
      </c>
      <c r="D1356" s="283" t="s">
        <v>4643</v>
      </c>
      <c r="E1356" s="314" t="s">
        <v>4644</v>
      </c>
      <c r="F1356" s="283" t="s">
        <v>4645</v>
      </c>
      <c r="G1356" s="314" t="s">
        <v>4664</v>
      </c>
      <c r="H1356" s="283" t="s">
        <v>4665</v>
      </c>
      <c r="I1356" s="223"/>
      <c r="J1356" s="225"/>
      <c r="K1356" s="350" t="s">
        <v>4666</v>
      </c>
      <c r="L1356" s="283" t="s">
        <v>4667</v>
      </c>
      <c r="M1356" s="206"/>
      <c r="N1356" s="211"/>
      <c r="O1356" s="211"/>
      <c r="P1356" s="211"/>
      <c r="Q1356" s="211"/>
      <c r="R1356" s="211">
        <v>200</v>
      </c>
      <c r="S1356" s="211">
        <v>400</v>
      </c>
      <c r="T1356" s="206"/>
      <c r="U1356" s="283" t="e">
        <v>#N/A</v>
      </c>
      <c r="V1356" s="283" t="s">
        <v>4670</v>
      </c>
      <c r="W1356" s="283">
        <v>1</v>
      </c>
      <c r="X1356" s="283">
        <v>0</v>
      </c>
      <c r="Y1356" s="283">
        <v>1</v>
      </c>
      <c r="Z1356" s="283">
        <v>1</v>
      </c>
      <c r="AA1356" s="283">
        <v>1</v>
      </c>
      <c r="AB1356" s="283">
        <v>0</v>
      </c>
      <c r="AC1356" s="316">
        <v>0</v>
      </c>
      <c r="AD1356" s="316">
        <v>1</v>
      </c>
      <c r="AE1356" s="302">
        <f t="shared" si="90"/>
        <v>0.625</v>
      </c>
      <c r="AF1356" s="310"/>
      <c r="AG1356" s="17">
        <v>0</v>
      </c>
      <c r="AH1356" s="310">
        <v>0.5</v>
      </c>
      <c r="AI1356" s="310">
        <v>3</v>
      </c>
      <c r="AJ1356" s="310">
        <v>3</v>
      </c>
      <c r="AK1356" s="317">
        <v>4</v>
      </c>
      <c r="AL1356" s="317">
        <v>4</v>
      </c>
      <c r="AM1356" s="17">
        <f t="shared" si="91"/>
        <v>8</v>
      </c>
      <c r="AN1356" s="283" t="s">
        <v>723</v>
      </c>
      <c r="AO1356" s="18" t="s">
        <v>729</v>
      </c>
      <c r="AP1356" s="345" t="s">
        <v>4671</v>
      </c>
    </row>
    <row r="1357" spans="1:42" hidden="1" x14ac:dyDescent="0.3">
      <c r="A1357" s="314" t="s">
        <v>1447</v>
      </c>
      <c r="B1357" s="283" t="s">
        <v>4485</v>
      </c>
      <c r="C1357" s="314" t="s">
        <v>4642</v>
      </c>
      <c r="D1357" s="283" t="s">
        <v>4643</v>
      </c>
      <c r="E1357" s="314" t="s">
        <v>4644</v>
      </c>
      <c r="F1357" s="283" t="s">
        <v>4645</v>
      </c>
      <c r="G1357" s="314" t="s">
        <v>4664</v>
      </c>
      <c r="H1357" s="283" t="s">
        <v>4665</v>
      </c>
      <c r="I1357" s="223"/>
      <c r="J1357" s="225"/>
      <c r="K1357" s="350" t="s">
        <v>4666</v>
      </c>
      <c r="L1357" s="283" t="s">
        <v>4672</v>
      </c>
      <c r="M1357" s="206" t="s">
        <v>4673</v>
      </c>
      <c r="N1357" s="224">
        <v>60</v>
      </c>
      <c r="O1357" s="224">
        <v>20</v>
      </c>
      <c r="P1357" s="224">
        <v>30</v>
      </c>
      <c r="Q1357" s="224">
        <v>50</v>
      </c>
      <c r="R1357" s="224">
        <v>50</v>
      </c>
      <c r="S1357" s="224">
        <v>50</v>
      </c>
      <c r="T1357" s="223" t="s">
        <v>4497</v>
      </c>
      <c r="U1357" s="283" t="s">
        <v>4499</v>
      </c>
      <c r="V1357" s="283" t="s">
        <v>4674</v>
      </c>
      <c r="AC1357" s="316">
        <v>0</v>
      </c>
      <c r="AD1357" s="316">
        <v>0</v>
      </c>
      <c r="AE1357" s="302">
        <f t="shared" si="90"/>
        <v>0</v>
      </c>
      <c r="AF1357" s="17"/>
      <c r="AG1357" s="17">
        <v>0</v>
      </c>
      <c r="AH1357" s="17">
        <v>0</v>
      </c>
      <c r="AI1357" s="310">
        <v>1</v>
      </c>
      <c r="AJ1357" s="310">
        <v>1</v>
      </c>
      <c r="AK1357" s="153">
        <v>0</v>
      </c>
      <c r="AL1357" s="154">
        <v>0</v>
      </c>
      <c r="AM1357" s="17">
        <f t="shared" si="91"/>
        <v>0</v>
      </c>
      <c r="AN1357" s="283" t="s">
        <v>723</v>
      </c>
      <c r="AO1357" s="18" t="s">
        <v>729</v>
      </c>
      <c r="AP1357" s="345" t="s">
        <v>4675</v>
      </c>
    </row>
    <row r="1358" spans="1:42" x14ac:dyDescent="0.3">
      <c r="A1358" s="314" t="s">
        <v>1447</v>
      </c>
      <c r="B1358" s="283" t="s">
        <v>4485</v>
      </c>
      <c r="C1358" s="314" t="s">
        <v>4642</v>
      </c>
      <c r="D1358" s="283" t="s">
        <v>4643</v>
      </c>
      <c r="E1358" s="314" t="s">
        <v>4644</v>
      </c>
      <c r="F1358" s="283" t="s">
        <v>4645</v>
      </c>
      <c r="G1358" s="314" t="s">
        <v>4664</v>
      </c>
      <c r="H1358" s="283" t="s">
        <v>4665</v>
      </c>
      <c r="I1358" s="223"/>
      <c r="J1358" s="225"/>
      <c r="K1358" s="350" t="s">
        <v>4666</v>
      </c>
      <c r="L1358" s="283" t="s">
        <v>4672</v>
      </c>
      <c r="M1358" s="206"/>
      <c r="N1358" s="224"/>
      <c r="O1358" s="224"/>
      <c r="P1358" s="224"/>
      <c r="Q1358" s="224"/>
      <c r="R1358" s="224">
        <v>35</v>
      </c>
      <c r="S1358" s="224">
        <v>50</v>
      </c>
      <c r="T1358" s="223"/>
      <c r="U1358" s="283" t="e">
        <v>#N/A</v>
      </c>
      <c r="V1358" s="283" t="s">
        <v>4676</v>
      </c>
      <c r="W1358" s="283">
        <v>1</v>
      </c>
      <c r="X1358" s="283">
        <v>0</v>
      </c>
      <c r="Y1358" s="283">
        <v>1</v>
      </c>
      <c r="Z1358" s="283">
        <v>1</v>
      </c>
      <c r="AA1358" s="283">
        <v>1</v>
      </c>
      <c r="AB1358" s="283">
        <v>0</v>
      </c>
      <c r="AC1358" s="316">
        <v>1</v>
      </c>
      <c r="AD1358" s="316">
        <v>1</v>
      </c>
      <c r="AE1358" s="302">
        <f t="shared" si="90"/>
        <v>0.75</v>
      </c>
      <c r="AF1358" s="310"/>
      <c r="AG1358" s="17">
        <v>0</v>
      </c>
      <c r="AH1358" s="310">
        <v>0.3</v>
      </c>
      <c r="AI1358" s="310">
        <v>3</v>
      </c>
      <c r="AJ1358" s="310">
        <v>4</v>
      </c>
      <c r="AK1358" s="317">
        <v>5</v>
      </c>
      <c r="AL1358" s="317">
        <v>5</v>
      </c>
      <c r="AM1358" s="17">
        <f t="shared" si="91"/>
        <v>10</v>
      </c>
      <c r="AN1358" s="283" t="s">
        <v>723</v>
      </c>
      <c r="AO1358" s="18" t="s">
        <v>729</v>
      </c>
      <c r="AP1358" s="345" t="s">
        <v>4677</v>
      </c>
    </row>
    <row r="1359" spans="1:42" x14ac:dyDescent="0.3">
      <c r="A1359" s="314" t="s">
        <v>1447</v>
      </c>
      <c r="B1359" s="283" t="s">
        <v>4485</v>
      </c>
      <c r="C1359" s="314" t="s">
        <v>4642</v>
      </c>
      <c r="D1359" s="283" t="s">
        <v>4643</v>
      </c>
      <c r="E1359" s="314" t="s">
        <v>4644</v>
      </c>
      <c r="F1359" s="283" t="s">
        <v>4645</v>
      </c>
      <c r="G1359" s="314" t="s">
        <v>4678</v>
      </c>
      <c r="H1359" s="283" t="s">
        <v>4679</v>
      </c>
      <c r="I1359" s="223"/>
      <c r="J1359" s="225"/>
      <c r="K1359" s="350" t="s">
        <v>4680</v>
      </c>
      <c r="L1359" s="283" t="s">
        <v>4681</v>
      </c>
      <c r="M1359" s="283" t="s">
        <v>4682</v>
      </c>
      <c r="N1359" s="224">
        <v>0</v>
      </c>
      <c r="O1359" s="224">
        <v>35</v>
      </c>
      <c r="P1359" s="224">
        <v>50</v>
      </c>
      <c r="Q1359" s="224">
        <v>75</v>
      </c>
      <c r="R1359" s="224">
        <v>40</v>
      </c>
      <c r="S1359" s="224">
        <v>50</v>
      </c>
      <c r="T1359" s="223" t="s">
        <v>1035</v>
      </c>
      <c r="U1359" s="283" t="s">
        <v>1037</v>
      </c>
      <c r="V1359" s="283" t="s">
        <v>4683</v>
      </c>
      <c r="W1359" s="283">
        <v>1</v>
      </c>
      <c r="X1359" s="283">
        <v>1</v>
      </c>
      <c r="Y1359" s="283">
        <v>1</v>
      </c>
      <c r="Z1359" s="283">
        <v>1</v>
      </c>
      <c r="AA1359" s="283">
        <v>1</v>
      </c>
      <c r="AB1359" s="283">
        <v>0</v>
      </c>
      <c r="AC1359" s="316">
        <v>1</v>
      </c>
      <c r="AD1359" s="316">
        <v>1</v>
      </c>
      <c r="AE1359" s="302">
        <f t="shared" si="90"/>
        <v>0.875</v>
      </c>
      <c r="AF1359" s="17"/>
      <c r="AG1359" s="17">
        <v>0</v>
      </c>
      <c r="AH1359" s="17">
        <v>0</v>
      </c>
      <c r="AI1359" s="310">
        <v>1</v>
      </c>
      <c r="AJ1359" s="310">
        <v>0.5</v>
      </c>
      <c r="AK1359" s="317">
        <v>2</v>
      </c>
      <c r="AL1359" s="317">
        <v>5</v>
      </c>
      <c r="AM1359" s="17">
        <f t="shared" si="91"/>
        <v>7</v>
      </c>
      <c r="AN1359" s="283" t="s">
        <v>1035</v>
      </c>
      <c r="AO1359" s="18" t="s">
        <v>1037</v>
      </c>
      <c r="AP1359" s="345" t="s">
        <v>4684</v>
      </c>
    </row>
    <row r="1360" spans="1:42" x14ac:dyDescent="0.3">
      <c r="A1360" s="314" t="s">
        <v>1447</v>
      </c>
      <c r="B1360" s="283" t="s">
        <v>4485</v>
      </c>
      <c r="C1360" s="314" t="s">
        <v>4642</v>
      </c>
      <c r="D1360" s="283" t="s">
        <v>4643</v>
      </c>
      <c r="E1360" s="314" t="s">
        <v>4644</v>
      </c>
      <c r="F1360" s="283" t="s">
        <v>4645</v>
      </c>
      <c r="G1360" s="314" t="s">
        <v>4678</v>
      </c>
      <c r="H1360" s="283" t="s">
        <v>4679</v>
      </c>
      <c r="I1360" s="223"/>
      <c r="J1360" s="225"/>
      <c r="K1360" s="350" t="s">
        <v>4680</v>
      </c>
      <c r="L1360" s="283" t="s">
        <v>4681</v>
      </c>
      <c r="M1360" s="206" t="s">
        <v>4685</v>
      </c>
      <c r="N1360" s="224" t="s">
        <v>271</v>
      </c>
      <c r="O1360" s="224" t="s">
        <v>271</v>
      </c>
      <c r="P1360" s="224">
        <v>1</v>
      </c>
      <c r="Q1360" s="224" t="s">
        <v>271</v>
      </c>
      <c r="R1360" s="224">
        <v>40</v>
      </c>
      <c r="S1360" s="224">
        <v>60</v>
      </c>
      <c r="T1360" s="223" t="s">
        <v>1035</v>
      </c>
      <c r="U1360" s="283" t="s">
        <v>1037</v>
      </c>
      <c r="V1360" s="283" t="s">
        <v>4686</v>
      </c>
      <c r="W1360" s="283">
        <v>1</v>
      </c>
      <c r="X1360" s="283">
        <v>1</v>
      </c>
      <c r="Y1360" s="283">
        <v>1</v>
      </c>
      <c r="Z1360" s="283">
        <v>1</v>
      </c>
      <c r="AA1360" s="283">
        <v>1</v>
      </c>
      <c r="AB1360" s="283">
        <v>1</v>
      </c>
      <c r="AC1360" s="316">
        <v>1</v>
      </c>
      <c r="AD1360" s="316">
        <v>1</v>
      </c>
      <c r="AE1360" s="302">
        <f t="shared" si="90"/>
        <v>1</v>
      </c>
      <c r="AF1360" s="17"/>
      <c r="AG1360" s="17">
        <v>0</v>
      </c>
      <c r="AH1360" s="17">
        <v>0</v>
      </c>
      <c r="AI1360" s="310">
        <v>0.5</v>
      </c>
      <c r="AJ1360" s="310">
        <v>0.5</v>
      </c>
      <c r="AK1360" s="317">
        <v>2</v>
      </c>
      <c r="AL1360" s="317">
        <v>2</v>
      </c>
      <c r="AM1360" s="17">
        <f t="shared" si="91"/>
        <v>4</v>
      </c>
      <c r="AN1360" s="283" t="s">
        <v>321</v>
      </c>
      <c r="AO1360" s="18" t="s">
        <v>1066</v>
      </c>
      <c r="AP1360" s="283" t="s">
        <v>4687</v>
      </c>
    </row>
    <row r="1361" spans="1:42" hidden="1" x14ac:dyDescent="0.3">
      <c r="A1361" s="314" t="s">
        <v>1447</v>
      </c>
      <c r="B1361" s="283" t="s">
        <v>4485</v>
      </c>
      <c r="C1361" s="314" t="s">
        <v>4642</v>
      </c>
      <c r="D1361" s="283" t="s">
        <v>4643</v>
      </c>
      <c r="E1361" s="314" t="s">
        <v>4644</v>
      </c>
      <c r="F1361" s="283" t="s">
        <v>4645</v>
      </c>
      <c r="G1361" s="314" t="s">
        <v>4688</v>
      </c>
      <c r="H1361" s="283" t="s">
        <v>4689</v>
      </c>
      <c r="I1361" s="223"/>
      <c r="J1361" s="225"/>
      <c r="K1361" s="350" t="s">
        <v>4690</v>
      </c>
      <c r="L1361" s="283" t="s">
        <v>4691</v>
      </c>
      <c r="M1361" s="206" t="s">
        <v>4692</v>
      </c>
      <c r="N1361" s="224">
        <v>0</v>
      </c>
      <c r="O1361" s="229">
        <v>0</v>
      </c>
      <c r="P1361" s="229">
        <v>200</v>
      </c>
      <c r="Q1361" s="229">
        <v>300</v>
      </c>
      <c r="R1361" s="229">
        <v>500</v>
      </c>
      <c r="S1361" s="229">
        <v>700</v>
      </c>
      <c r="T1361" s="223" t="s">
        <v>1035</v>
      </c>
      <c r="U1361" s="283" t="s">
        <v>1037</v>
      </c>
      <c r="V1361" s="283" t="s">
        <v>4693</v>
      </c>
      <c r="W1361" s="283">
        <v>1</v>
      </c>
      <c r="X1361" s="283">
        <v>0</v>
      </c>
      <c r="Y1361" s="283">
        <v>0</v>
      </c>
      <c r="Z1361" s="283">
        <v>1</v>
      </c>
      <c r="AA1361" s="283">
        <v>1</v>
      </c>
      <c r="AB1361" s="283">
        <v>0</v>
      </c>
      <c r="AC1361" s="316">
        <v>0</v>
      </c>
      <c r="AD1361" s="316">
        <v>1</v>
      </c>
      <c r="AE1361" s="302">
        <f t="shared" si="90"/>
        <v>0.5</v>
      </c>
      <c r="AF1361" s="17"/>
      <c r="AG1361" s="17">
        <v>0</v>
      </c>
      <c r="AH1361" s="17">
        <v>0</v>
      </c>
      <c r="AI1361" s="310">
        <v>0</v>
      </c>
      <c r="AJ1361" s="310">
        <v>0</v>
      </c>
      <c r="AK1361" s="317">
        <v>0</v>
      </c>
      <c r="AL1361" s="317">
        <v>0</v>
      </c>
      <c r="AM1361" s="17">
        <f t="shared" si="91"/>
        <v>0</v>
      </c>
      <c r="AN1361" s="283" t="s">
        <v>1035</v>
      </c>
      <c r="AO1361" s="18" t="s">
        <v>1037</v>
      </c>
      <c r="AP1361" s="345" t="s">
        <v>4694</v>
      </c>
    </row>
    <row r="1362" spans="1:42" hidden="1" x14ac:dyDescent="0.3">
      <c r="A1362" s="314" t="s">
        <v>1447</v>
      </c>
      <c r="B1362" s="283" t="s">
        <v>4485</v>
      </c>
      <c r="C1362" s="314" t="s">
        <v>4642</v>
      </c>
      <c r="D1362" s="283" t="s">
        <v>4643</v>
      </c>
      <c r="E1362" s="314" t="s">
        <v>4644</v>
      </c>
      <c r="F1362" s="283" t="s">
        <v>4645</v>
      </c>
      <c r="G1362" s="314" t="s">
        <v>4695</v>
      </c>
      <c r="H1362" s="283" t="s">
        <v>4696</v>
      </c>
      <c r="I1362" s="223"/>
      <c r="J1362" s="225"/>
      <c r="K1362" s="350" t="s">
        <v>4697</v>
      </c>
      <c r="L1362" s="283" t="s">
        <v>4698</v>
      </c>
      <c r="M1362" s="206" t="s">
        <v>4699</v>
      </c>
      <c r="N1362" s="224">
        <v>100</v>
      </c>
      <c r="O1362" s="224">
        <v>300</v>
      </c>
      <c r="P1362" s="224">
        <v>200</v>
      </c>
      <c r="Q1362" s="224">
        <v>200</v>
      </c>
      <c r="R1362" s="224">
        <v>300</v>
      </c>
      <c r="S1362" s="224">
        <v>600</v>
      </c>
      <c r="T1362" s="223" t="s">
        <v>1035</v>
      </c>
      <c r="U1362" s="283" t="s">
        <v>1037</v>
      </c>
      <c r="V1362" s="283" t="s">
        <v>4700</v>
      </c>
      <c r="W1362" s="283">
        <v>1</v>
      </c>
      <c r="X1362" s="283">
        <v>0</v>
      </c>
      <c r="Y1362" s="283">
        <v>1</v>
      </c>
      <c r="Z1362" s="283">
        <v>1</v>
      </c>
      <c r="AA1362" s="283">
        <v>1</v>
      </c>
      <c r="AB1362" s="283">
        <v>0</v>
      </c>
      <c r="AC1362" s="316">
        <v>0</v>
      </c>
      <c r="AD1362" s="316">
        <v>1</v>
      </c>
      <c r="AE1362" s="302">
        <f t="shared" si="90"/>
        <v>0.625</v>
      </c>
      <c r="AF1362" s="17"/>
      <c r="AG1362" s="17">
        <v>0</v>
      </c>
      <c r="AH1362" s="17">
        <v>0</v>
      </c>
      <c r="AI1362" s="310">
        <v>1</v>
      </c>
      <c r="AJ1362" s="310">
        <v>1.2</v>
      </c>
      <c r="AK1362" s="317">
        <v>5</v>
      </c>
      <c r="AL1362" s="317">
        <v>5</v>
      </c>
      <c r="AM1362" s="17">
        <f t="shared" si="91"/>
        <v>10</v>
      </c>
      <c r="AN1362" s="283" t="s">
        <v>1035</v>
      </c>
      <c r="AO1362" s="18" t="s">
        <v>1037</v>
      </c>
      <c r="AP1362" s="345" t="s">
        <v>4618</v>
      </c>
    </row>
    <row r="1363" spans="1:42" x14ac:dyDescent="0.3">
      <c r="A1363" s="314" t="s">
        <v>1447</v>
      </c>
      <c r="B1363" s="283" t="s">
        <v>4485</v>
      </c>
      <c r="C1363" s="314" t="s">
        <v>4642</v>
      </c>
      <c r="D1363" s="283" t="s">
        <v>4643</v>
      </c>
      <c r="E1363" s="314" t="s">
        <v>4644</v>
      </c>
      <c r="F1363" s="283" t="s">
        <v>4645</v>
      </c>
      <c r="G1363" s="314" t="s">
        <v>4701</v>
      </c>
      <c r="H1363" s="283" t="s">
        <v>4702</v>
      </c>
      <c r="I1363" s="223"/>
      <c r="J1363" s="225"/>
      <c r="K1363" s="350" t="s">
        <v>4703</v>
      </c>
      <c r="L1363" s="283" t="s">
        <v>4704</v>
      </c>
      <c r="M1363" s="206" t="s">
        <v>4705</v>
      </c>
      <c r="N1363" s="211">
        <v>85</v>
      </c>
      <c r="O1363" s="224">
        <v>100</v>
      </c>
      <c r="P1363" s="211">
        <v>100</v>
      </c>
      <c r="Q1363" s="211">
        <v>500</v>
      </c>
      <c r="R1363" s="211">
        <v>200</v>
      </c>
      <c r="S1363" s="211">
        <v>400</v>
      </c>
      <c r="T1363" s="206" t="s">
        <v>4497</v>
      </c>
      <c r="U1363" s="283" t="s">
        <v>4499</v>
      </c>
      <c r="V1363" s="283" t="s">
        <v>4706</v>
      </c>
      <c r="W1363" s="283">
        <v>1</v>
      </c>
      <c r="X1363" s="283">
        <v>1</v>
      </c>
      <c r="Y1363" s="283">
        <v>1</v>
      </c>
      <c r="Z1363" s="283">
        <v>1</v>
      </c>
      <c r="AA1363" s="283">
        <v>1</v>
      </c>
      <c r="AB1363" s="283">
        <v>1</v>
      </c>
      <c r="AC1363" s="316">
        <v>1</v>
      </c>
      <c r="AD1363" s="316">
        <v>1</v>
      </c>
      <c r="AE1363" s="302">
        <f t="shared" si="90"/>
        <v>1</v>
      </c>
      <c r="AF1363" s="17"/>
      <c r="AG1363" s="17">
        <v>0</v>
      </c>
      <c r="AH1363" s="17">
        <v>0</v>
      </c>
      <c r="AI1363" s="310"/>
      <c r="AJ1363" s="310"/>
      <c r="AK1363" s="317">
        <v>10</v>
      </c>
      <c r="AL1363" s="317">
        <v>10</v>
      </c>
      <c r="AM1363" s="17">
        <f t="shared" si="91"/>
        <v>20</v>
      </c>
      <c r="AN1363" s="283" t="s">
        <v>4497</v>
      </c>
      <c r="AO1363" s="18" t="s">
        <v>118</v>
      </c>
      <c r="AP1363" s="345" t="s">
        <v>4707</v>
      </c>
    </row>
    <row r="1364" spans="1:42" x14ac:dyDescent="0.3">
      <c r="A1364" s="314" t="s">
        <v>1447</v>
      </c>
      <c r="B1364" s="283" t="s">
        <v>4485</v>
      </c>
      <c r="C1364" s="314" t="s">
        <v>4642</v>
      </c>
      <c r="D1364" s="283" t="s">
        <v>4643</v>
      </c>
      <c r="E1364" s="314" t="s">
        <v>4644</v>
      </c>
      <c r="F1364" s="283" t="s">
        <v>4645</v>
      </c>
      <c r="G1364" s="314" t="s">
        <v>4701</v>
      </c>
      <c r="H1364" s="283" t="s">
        <v>4702</v>
      </c>
      <c r="I1364" s="223"/>
      <c r="J1364" s="225"/>
      <c r="K1364" s="350" t="s">
        <v>4703</v>
      </c>
      <c r="L1364" s="283" t="s">
        <v>4704</v>
      </c>
      <c r="M1364" s="206" t="s">
        <v>4708</v>
      </c>
      <c r="N1364" s="211">
        <v>20</v>
      </c>
      <c r="O1364" s="224">
        <v>20</v>
      </c>
      <c r="P1364" s="211">
        <v>20</v>
      </c>
      <c r="Q1364" s="211">
        <v>20</v>
      </c>
      <c r="R1364" s="211">
        <v>200</v>
      </c>
      <c r="S1364" s="211">
        <v>400</v>
      </c>
      <c r="T1364" s="206" t="s">
        <v>4497</v>
      </c>
      <c r="U1364" s="283" t="s">
        <v>4499</v>
      </c>
      <c r="V1364" s="283" t="s">
        <v>4709</v>
      </c>
      <c r="W1364" s="283">
        <v>1</v>
      </c>
      <c r="X1364" s="283">
        <v>1</v>
      </c>
      <c r="Y1364" s="283">
        <v>1</v>
      </c>
      <c r="Z1364" s="283">
        <v>1</v>
      </c>
      <c r="AA1364" s="283">
        <v>1</v>
      </c>
      <c r="AB1364" s="283">
        <v>1</v>
      </c>
      <c r="AC1364" s="316">
        <v>1</v>
      </c>
      <c r="AD1364" s="316">
        <v>1</v>
      </c>
      <c r="AE1364" s="302">
        <f t="shared" si="90"/>
        <v>1</v>
      </c>
      <c r="AF1364" s="17"/>
      <c r="AG1364" s="17">
        <v>0</v>
      </c>
      <c r="AH1364" s="17">
        <v>0</v>
      </c>
      <c r="AI1364" s="310"/>
      <c r="AJ1364" s="310"/>
      <c r="AK1364" s="317">
        <v>20</v>
      </c>
      <c r="AL1364" s="317">
        <v>20</v>
      </c>
      <c r="AM1364" s="17">
        <f t="shared" si="91"/>
        <v>40</v>
      </c>
      <c r="AN1364" s="283" t="s">
        <v>1035</v>
      </c>
      <c r="AO1364" s="18" t="s">
        <v>118</v>
      </c>
      <c r="AP1364" s="345" t="s">
        <v>4537</v>
      </c>
    </row>
    <row r="1365" spans="1:42" hidden="1" x14ac:dyDescent="0.3">
      <c r="A1365" s="314" t="s">
        <v>1447</v>
      </c>
      <c r="B1365" s="283" t="s">
        <v>4485</v>
      </c>
      <c r="C1365" s="314" t="s">
        <v>4642</v>
      </c>
      <c r="D1365" s="283" t="s">
        <v>4643</v>
      </c>
      <c r="E1365" s="314" t="s">
        <v>4710</v>
      </c>
      <c r="F1365" s="283" t="s">
        <v>4711</v>
      </c>
      <c r="G1365" s="314" t="s">
        <v>4712</v>
      </c>
      <c r="H1365" s="283" t="s">
        <v>4713</v>
      </c>
      <c r="I1365" s="231"/>
      <c r="J1365" s="231"/>
      <c r="K1365" s="350" t="s">
        <v>4714</v>
      </c>
      <c r="L1365" s="283" t="s">
        <v>4715</v>
      </c>
      <c r="M1365" s="206" t="s">
        <v>4716</v>
      </c>
      <c r="N1365" s="224" t="s">
        <v>3926</v>
      </c>
      <c r="O1365" s="224" t="s">
        <v>3709</v>
      </c>
      <c r="P1365" s="224" t="s">
        <v>3709</v>
      </c>
      <c r="Q1365" s="224" t="s">
        <v>3709</v>
      </c>
      <c r="R1365" s="224" t="s">
        <v>3709</v>
      </c>
      <c r="S1365" s="224" t="s">
        <v>3709</v>
      </c>
      <c r="T1365" s="223" t="s">
        <v>4512</v>
      </c>
      <c r="U1365" s="283" t="s">
        <v>4514</v>
      </c>
      <c r="V1365" s="283" t="s">
        <v>4717</v>
      </c>
      <c r="W1365" s="283">
        <v>0</v>
      </c>
      <c r="X1365" s="283">
        <v>0</v>
      </c>
      <c r="Y1365" s="283">
        <v>0</v>
      </c>
      <c r="Z1365" s="283">
        <v>0</v>
      </c>
      <c r="AA1365" s="283">
        <v>0</v>
      </c>
      <c r="AB1365" s="283">
        <v>0</v>
      </c>
      <c r="AC1365" s="316">
        <v>0</v>
      </c>
      <c r="AD1365" s="316">
        <v>0</v>
      </c>
      <c r="AE1365" s="302">
        <f t="shared" si="90"/>
        <v>0</v>
      </c>
      <c r="AF1365" s="310"/>
      <c r="AG1365" s="17">
        <v>0</v>
      </c>
      <c r="AH1365" s="310">
        <v>0.1</v>
      </c>
      <c r="AI1365" s="17">
        <v>0</v>
      </c>
      <c r="AJ1365" s="17">
        <v>0</v>
      </c>
      <c r="AK1365" s="153">
        <v>0</v>
      </c>
      <c r="AL1365" s="154">
        <v>0</v>
      </c>
      <c r="AM1365" s="17">
        <f t="shared" si="91"/>
        <v>0</v>
      </c>
      <c r="AN1365" s="283" t="s">
        <v>4512</v>
      </c>
      <c r="AO1365" s="18" t="s">
        <v>4514</v>
      </c>
      <c r="AP1365" s="345" t="s">
        <v>4718</v>
      </c>
    </row>
    <row r="1366" spans="1:42" hidden="1" x14ac:dyDescent="0.3">
      <c r="A1366" s="314" t="s">
        <v>1447</v>
      </c>
      <c r="B1366" s="283" t="s">
        <v>4485</v>
      </c>
      <c r="C1366" s="314" t="s">
        <v>4642</v>
      </c>
      <c r="D1366" s="283" t="s">
        <v>4643</v>
      </c>
      <c r="E1366" s="314" t="s">
        <v>4710</v>
      </c>
      <c r="F1366" s="283" t="s">
        <v>4711</v>
      </c>
      <c r="G1366" s="314" t="s">
        <v>4712</v>
      </c>
      <c r="H1366" s="283" t="s">
        <v>4713</v>
      </c>
      <c r="I1366" s="223"/>
      <c r="J1366" s="225"/>
      <c r="K1366" s="350" t="s">
        <v>4714</v>
      </c>
      <c r="L1366" s="283" t="s">
        <v>4715</v>
      </c>
      <c r="M1366" s="206" t="s">
        <v>4719</v>
      </c>
      <c r="N1366" s="211"/>
      <c r="O1366" s="211">
        <v>4</v>
      </c>
      <c r="P1366" s="211">
        <v>4</v>
      </c>
      <c r="Q1366" s="211">
        <v>4</v>
      </c>
      <c r="R1366" s="211">
        <v>4</v>
      </c>
      <c r="S1366" s="211">
        <v>4</v>
      </c>
      <c r="T1366" s="223" t="s">
        <v>1035</v>
      </c>
      <c r="U1366" s="283" t="s">
        <v>1037</v>
      </c>
      <c r="V1366" s="283" t="s">
        <v>4720</v>
      </c>
      <c r="W1366" s="283">
        <v>1</v>
      </c>
      <c r="X1366" s="283">
        <v>0</v>
      </c>
      <c r="Y1366" s="283">
        <v>0</v>
      </c>
      <c r="Z1366" s="283">
        <v>1</v>
      </c>
      <c r="AA1366" s="283">
        <v>1</v>
      </c>
      <c r="AB1366" s="283">
        <v>1</v>
      </c>
      <c r="AC1366" s="316">
        <v>0</v>
      </c>
      <c r="AD1366" s="316">
        <v>1</v>
      </c>
      <c r="AE1366" s="302">
        <f t="shared" si="90"/>
        <v>0.625</v>
      </c>
      <c r="AF1366" s="310"/>
      <c r="AG1366" s="17">
        <v>0</v>
      </c>
      <c r="AH1366" s="310">
        <v>2</v>
      </c>
      <c r="AI1366" s="310">
        <v>2</v>
      </c>
      <c r="AJ1366" s="310">
        <v>2</v>
      </c>
      <c r="AK1366" s="317">
        <v>2</v>
      </c>
      <c r="AL1366" s="317">
        <v>2</v>
      </c>
      <c r="AM1366" s="17">
        <f t="shared" si="91"/>
        <v>4</v>
      </c>
      <c r="AN1366" s="283" t="s">
        <v>1233</v>
      </c>
      <c r="AO1366" s="18" t="s">
        <v>1650</v>
      </c>
      <c r="AP1366" s="345" t="s">
        <v>4528</v>
      </c>
    </row>
    <row r="1367" spans="1:42" hidden="1" x14ac:dyDescent="0.3">
      <c r="A1367" s="314" t="s">
        <v>1447</v>
      </c>
      <c r="B1367" s="283" t="s">
        <v>4485</v>
      </c>
      <c r="C1367" s="314" t="s">
        <v>4642</v>
      </c>
      <c r="D1367" s="283" t="s">
        <v>4643</v>
      </c>
      <c r="E1367" s="314" t="s">
        <v>4710</v>
      </c>
      <c r="F1367" s="283" t="s">
        <v>4711</v>
      </c>
      <c r="G1367" s="314" t="s">
        <v>4712</v>
      </c>
      <c r="H1367" s="283" t="s">
        <v>4713</v>
      </c>
      <c r="I1367" s="223"/>
      <c r="J1367" s="223"/>
      <c r="K1367" s="350" t="s">
        <v>4714</v>
      </c>
      <c r="L1367" s="283" t="s">
        <v>4715</v>
      </c>
      <c r="M1367" s="223"/>
      <c r="N1367" s="226"/>
      <c r="O1367" s="226"/>
      <c r="P1367" s="226"/>
      <c r="Q1367" s="226"/>
      <c r="R1367" s="226"/>
      <c r="S1367" s="226"/>
      <c r="T1367" s="223"/>
      <c r="U1367" s="283" t="e">
        <v>#N/A</v>
      </c>
      <c r="V1367" s="283" t="s">
        <v>4721</v>
      </c>
      <c r="W1367" s="283">
        <v>0</v>
      </c>
      <c r="X1367" s="283">
        <v>0</v>
      </c>
      <c r="Y1367" s="283">
        <v>0</v>
      </c>
      <c r="Z1367" s="283">
        <v>0</v>
      </c>
      <c r="AA1367" s="283">
        <v>0</v>
      </c>
      <c r="AB1367" s="283">
        <v>0</v>
      </c>
      <c r="AC1367" s="316">
        <v>0</v>
      </c>
      <c r="AD1367" s="316">
        <v>0</v>
      </c>
      <c r="AE1367" s="302">
        <f t="shared" si="90"/>
        <v>0</v>
      </c>
      <c r="AF1367" s="17"/>
      <c r="AG1367" s="17">
        <v>0</v>
      </c>
      <c r="AH1367" s="17">
        <v>0</v>
      </c>
      <c r="AI1367" s="17">
        <v>0</v>
      </c>
      <c r="AJ1367" s="17">
        <v>0</v>
      </c>
      <c r="AK1367" s="153">
        <v>0</v>
      </c>
      <c r="AL1367" s="154">
        <v>0</v>
      </c>
      <c r="AM1367" s="17">
        <f t="shared" si="91"/>
        <v>0</v>
      </c>
      <c r="AN1367" s="283" t="s">
        <v>1035</v>
      </c>
      <c r="AO1367" s="18" t="s">
        <v>1037</v>
      </c>
      <c r="AP1367" s="345" t="s">
        <v>4722</v>
      </c>
    </row>
    <row r="1368" spans="1:42" hidden="1" x14ac:dyDescent="0.3">
      <c r="A1368" s="314" t="s">
        <v>1447</v>
      </c>
      <c r="B1368" s="283" t="s">
        <v>4485</v>
      </c>
      <c r="C1368" s="314" t="s">
        <v>4642</v>
      </c>
      <c r="D1368" s="283" t="s">
        <v>4643</v>
      </c>
      <c r="E1368" s="314" t="s">
        <v>4710</v>
      </c>
      <c r="F1368" s="283" t="s">
        <v>4711</v>
      </c>
      <c r="G1368" s="314" t="s">
        <v>4712</v>
      </c>
      <c r="H1368" s="283" t="s">
        <v>4713</v>
      </c>
      <c r="I1368" s="223"/>
      <c r="J1368" s="223"/>
      <c r="K1368" s="350" t="s">
        <v>4714</v>
      </c>
      <c r="L1368" s="283" t="s">
        <v>4715</v>
      </c>
      <c r="M1368" s="223" t="s">
        <v>4719</v>
      </c>
      <c r="N1368" s="226"/>
      <c r="O1368" s="226"/>
      <c r="P1368" s="226"/>
      <c r="Q1368" s="226"/>
      <c r="R1368" s="226"/>
      <c r="S1368" s="226"/>
      <c r="T1368" s="223" t="s">
        <v>1233</v>
      </c>
      <c r="U1368" s="283" t="s">
        <v>1650</v>
      </c>
      <c r="V1368" s="283" t="s">
        <v>4723</v>
      </c>
      <c r="W1368" s="283">
        <v>0</v>
      </c>
      <c r="X1368" s="283">
        <v>0</v>
      </c>
      <c r="Y1368" s="283">
        <v>0</v>
      </c>
      <c r="Z1368" s="283">
        <v>0</v>
      </c>
      <c r="AA1368" s="283">
        <v>0</v>
      </c>
      <c r="AB1368" s="283">
        <v>0</v>
      </c>
      <c r="AC1368" s="316">
        <v>0</v>
      </c>
      <c r="AD1368" s="316">
        <v>0</v>
      </c>
      <c r="AE1368" s="302">
        <f t="shared" si="90"/>
        <v>0</v>
      </c>
      <c r="AF1368" s="17"/>
      <c r="AG1368" s="17">
        <v>0</v>
      </c>
      <c r="AH1368" s="17"/>
      <c r="AI1368" s="17"/>
      <c r="AJ1368" s="17"/>
      <c r="AK1368" s="153"/>
      <c r="AL1368" s="154"/>
      <c r="AM1368" s="17">
        <f t="shared" si="91"/>
        <v>0</v>
      </c>
      <c r="AN1368" s="283" t="s">
        <v>1233</v>
      </c>
      <c r="AO1368" s="18" t="s">
        <v>1650</v>
      </c>
      <c r="AP1368" s="345"/>
    </row>
    <row r="1369" spans="1:42" hidden="1" x14ac:dyDescent="0.3">
      <c r="A1369" s="314" t="s">
        <v>1447</v>
      </c>
      <c r="B1369" s="283" t="s">
        <v>4485</v>
      </c>
      <c r="C1369" s="314" t="s">
        <v>4642</v>
      </c>
      <c r="D1369" s="283" t="s">
        <v>4643</v>
      </c>
      <c r="E1369" s="314" t="s">
        <v>4710</v>
      </c>
      <c r="F1369" s="283" t="s">
        <v>4711</v>
      </c>
      <c r="G1369" s="314" t="s">
        <v>4724</v>
      </c>
      <c r="H1369" s="283" t="s">
        <v>4725</v>
      </c>
      <c r="I1369" s="223"/>
      <c r="J1369" s="225"/>
      <c r="K1369" s="350" t="s">
        <v>4726</v>
      </c>
      <c r="L1369" s="283" t="s">
        <v>4727</v>
      </c>
      <c r="M1369" s="206" t="s">
        <v>4728</v>
      </c>
      <c r="N1369" s="224">
        <v>300</v>
      </c>
      <c r="O1369" s="224">
        <v>400</v>
      </c>
      <c r="P1369" s="224">
        <v>500</v>
      </c>
      <c r="Q1369" s="224">
        <v>500</v>
      </c>
      <c r="R1369" s="224">
        <v>1000</v>
      </c>
      <c r="S1369" s="224">
        <v>1000</v>
      </c>
      <c r="T1369" s="206" t="s">
        <v>1035</v>
      </c>
      <c r="U1369" s="283" t="s">
        <v>1037</v>
      </c>
      <c r="V1369" s="283" t="s">
        <v>4729</v>
      </c>
      <c r="W1369" s="283">
        <v>1</v>
      </c>
      <c r="X1369" s="283">
        <v>0</v>
      </c>
      <c r="Y1369" s="283">
        <v>0</v>
      </c>
      <c r="Z1369" s="283">
        <v>1</v>
      </c>
      <c r="AA1369" s="283">
        <v>1</v>
      </c>
      <c r="AB1369" s="283">
        <v>1</v>
      </c>
      <c r="AC1369" s="316">
        <v>0</v>
      </c>
      <c r="AD1369" s="316">
        <v>1</v>
      </c>
      <c r="AE1369" s="302">
        <f t="shared" si="90"/>
        <v>0.625</v>
      </c>
      <c r="AF1369" s="310"/>
      <c r="AG1369" s="17">
        <v>0</v>
      </c>
      <c r="AH1369" s="310">
        <v>1</v>
      </c>
      <c r="AI1369" s="310">
        <v>1</v>
      </c>
      <c r="AJ1369" s="310">
        <v>1</v>
      </c>
      <c r="AK1369" s="317">
        <v>1</v>
      </c>
      <c r="AL1369" s="317">
        <v>1</v>
      </c>
      <c r="AM1369" s="17">
        <f t="shared" si="91"/>
        <v>2</v>
      </c>
      <c r="AN1369" s="283" t="s">
        <v>1035</v>
      </c>
      <c r="AO1369" s="18" t="s">
        <v>1037</v>
      </c>
      <c r="AP1369" s="345" t="s">
        <v>4501</v>
      </c>
    </row>
    <row r="1370" spans="1:42" hidden="1" x14ac:dyDescent="0.3">
      <c r="A1370" s="314" t="s">
        <v>1447</v>
      </c>
      <c r="B1370" s="283" t="s">
        <v>4485</v>
      </c>
      <c r="C1370" s="314" t="s">
        <v>4642</v>
      </c>
      <c r="D1370" s="283" t="s">
        <v>4643</v>
      </c>
      <c r="E1370" s="314" t="s">
        <v>4710</v>
      </c>
      <c r="F1370" s="283" t="s">
        <v>4711</v>
      </c>
      <c r="G1370" s="314" t="s">
        <v>4730</v>
      </c>
      <c r="H1370" s="283" t="s">
        <v>4731</v>
      </c>
      <c r="I1370" s="223"/>
      <c r="J1370" s="225"/>
      <c r="K1370" s="350" t="s">
        <v>4732</v>
      </c>
      <c r="L1370" s="283" t="s">
        <v>4733</v>
      </c>
      <c r="M1370" s="206" t="s">
        <v>4734</v>
      </c>
      <c r="N1370" s="224">
        <v>0</v>
      </c>
      <c r="O1370" s="224">
        <v>0</v>
      </c>
      <c r="P1370" s="224">
        <v>1</v>
      </c>
      <c r="Q1370" s="224" t="s">
        <v>271</v>
      </c>
      <c r="R1370" s="224" t="s">
        <v>271</v>
      </c>
      <c r="S1370" s="226" t="s">
        <v>271</v>
      </c>
      <c r="T1370" s="206" t="s">
        <v>4512</v>
      </c>
      <c r="U1370" s="283" t="s">
        <v>4514</v>
      </c>
      <c r="V1370" s="283" t="s">
        <v>4735</v>
      </c>
      <c r="W1370" s="283">
        <v>0</v>
      </c>
      <c r="X1370" s="283">
        <v>0</v>
      </c>
      <c r="Y1370" s="283">
        <v>0</v>
      </c>
      <c r="Z1370" s="283">
        <v>0</v>
      </c>
      <c r="AA1370" s="283">
        <v>0</v>
      </c>
      <c r="AB1370" s="283">
        <v>0</v>
      </c>
      <c r="AC1370" s="316">
        <v>0</v>
      </c>
      <c r="AD1370" s="316">
        <v>0</v>
      </c>
      <c r="AE1370" s="302">
        <f t="shared" si="90"/>
        <v>0</v>
      </c>
      <c r="AF1370" s="17"/>
      <c r="AG1370" s="17">
        <v>0</v>
      </c>
      <c r="AH1370" s="17">
        <v>0</v>
      </c>
      <c r="AI1370" s="310">
        <v>0.5</v>
      </c>
      <c r="AJ1370" s="310">
        <v>0.1</v>
      </c>
      <c r="AK1370" s="153">
        <v>0</v>
      </c>
      <c r="AL1370" s="154">
        <v>0</v>
      </c>
      <c r="AM1370" s="17">
        <f t="shared" si="91"/>
        <v>0</v>
      </c>
      <c r="AN1370" s="283" t="s">
        <v>1035</v>
      </c>
      <c r="AO1370" s="18" t="s">
        <v>1037</v>
      </c>
      <c r="AP1370" s="345" t="s">
        <v>4501</v>
      </c>
    </row>
    <row r="1371" spans="1:42" hidden="1" x14ac:dyDescent="0.3">
      <c r="A1371" s="314" t="s">
        <v>1447</v>
      </c>
      <c r="B1371" s="283" t="s">
        <v>4485</v>
      </c>
      <c r="C1371" s="314" t="s">
        <v>4487</v>
      </c>
      <c r="D1371" s="283" t="s">
        <v>4488</v>
      </c>
      <c r="E1371" s="314" t="s">
        <v>4736</v>
      </c>
      <c r="F1371" s="283" t="s">
        <v>4737</v>
      </c>
      <c r="G1371" s="314" t="s">
        <v>4738</v>
      </c>
      <c r="H1371" s="283" t="s">
        <v>4739</v>
      </c>
      <c r="I1371" s="223"/>
      <c r="J1371" s="225"/>
      <c r="K1371" s="350" t="s">
        <v>4740</v>
      </c>
      <c r="L1371" s="283" t="s">
        <v>4741</v>
      </c>
      <c r="M1371" s="206" t="s">
        <v>4742</v>
      </c>
      <c r="N1371" s="224">
        <v>110</v>
      </c>
      <c r="O1371" s="224">
        <v>40</v>
      </c>
      <c r="P1371" s="224">
        <v>60</v>
      </c>
      <c r="Q1371" s="224">
        <v>60</v>
      </c>
      <c r="R1371" s="224">
        <v>70</v>
      </c>
      <c r="S1371" s="224">
        <v>80</v>
      </c>
      <c r="T1371" s="206" t="s">
        <v>321</v>
      </c>
      <c r="U1371" s="283" t="s">
        <v>1066</v>
      </c>
      <c r="V1371" s="283" t="s">
        <v>4743</v>
      </c>
      <c r="W1371" s="283">
        <v>1</v>
      </c>
      <c r="X1371" s="283">
        <v>0</v>
      </c>
      <c r="Y1371" s="283">
        <v>0</v>
      </c>
      <c r="Z1371" s="283">
        <v>1</v>
      </c>
      <c r="AA1371" s="283">
        <v>1</v>
      </c>
      <c r="AB1371" s="283">
        <v>1</v>
      </c>
      <c r="AC1371" s="316">
        <v>0</v>
      </c>
      <c r="AD1371" s="316">
        <v>1</v>
      </c>
      <c r="AE1371" s="302">
        <f t="shared" si="90"/>
        <v>0.625</v>
      </c>
      <c r="AF1371" s="310"/>
      <c r="AG1371" s="17">
        <v>0</v>
      </c>
      <c r="AH1371" s="310">
        <v>1.7</v>
      </c>
      <c r="AI1371" s="310">
        <v>2.2999999999999998</v>
      </c>
      <c r="AJ1371" s="310">
        <v>2.2999999999999998</v>
      </c>
      <c r="AK1371" s="317">
        <v>2.6</v>
      </c>
      <c r="AL1371" s="317">
        <v>2.4</v>
      </c>
      <c r="AM1371" s="17">
        <f t="shared" si="91"/>
        <v>5</v>
      </c>
      <c r="AN1371" s="283" t="s">
        <v>4497</v>
      </c>
      <c r="AO1371" s="18" t="s">
        <v>4499</v>
      </c>
      <c r="AP1371" s="345" t="s">
        <v>4657</v>
      </c>
    </row>
    <row r="1372" spans="1:42" hidden="1" x14ac:dyDescent="0.3">
      <c r="A1372" s="314" t="s">
        <v>1447</v>
      </c>
      <c r="B1372" s="283" t="s">
        <v>4485</v>
      </c>
      <c r="C1372" s="314" t="s">
        <v>4487</v>
      </c>
      <c r="D1372" s="283" t="s">
        <v>4488</v>
      </c>
      <c r="E1372" s="314" t="s">
        <v>4736</v>
      </c>
      <c r="F1372" s="283" t="s">
        <v>4737</v>
      </c>
      <c r="G1372" s="314" t="s">
        <v>4738</v>
      </c>
      <c r="H1372" s="283" t="s">
        <v>4739</v>
      </c>
      <c r="I1372" s="223"/>
      <c r="J1372" s="225"/>
      <c r="K1372" s="350" t="s">
        <v>4740</v>
      </c>
      <c r="L1372" s="283" t="s">
        <v>4741</v>
      </c>
      <c r="M1372" s="206" t="s">
        <v>4744</v>
      </c>
      <c r="N1372" s="224">
        <v>0</v>
      </c>
      <c r="O1372" s="224">
        <v>0</v>
      </c>
      <c r="P1372" s="224">
        <v>1</v>
      </c>
      <c r="Q1372" s="224">
        <v>1</v>
      </c>
      <c r="R1372" s="224">
        <v>0</v>
      </c>
      <c r="S1372" s="224">
        <v>1</v>
      </c>
      <c r="T1372" s="206" t="s">
        <v>321</v>
      </c>
      <c r="U1372" s="283" t="s">
        <v>1066</v>
      </c>
      <c r="V1372" s="283" t="s">
        <v>4745</v>
      </c>
      <c r="W1372" s="283">
        <v>1</v>
      </c>
      <c r="X1372" s="283">
        <v>0</v>
      </c>
      <c r="Y1372" s="283">
        <v>0</v>
      </c>
      <c r="Z1372" s="283">
        <v>1</v>
      </c>
      <c r="AA1372" s="283">
        <v>1</v>
      </c>
      <c r="AB1372" s="283">
        <v>1</v>
      </c>
      <c r="AC1372" s="316">
        <v>0</v>
      </c>
      <c r="AD1372" s="316">
        <v>1</v>
      </c>
      <c r="AE1372" s="302">
        <f t="shared" si="90"/>
        <v>0.625</v>
      </c>
      <c r="AF1372" s="17"/>
      <c r="AG1372" s="17">
        <v>0</v>
      </c>
      <c r="AH1372" s="17">
        <v>0</v>
      </c>
      <c r="AI1372" s="17">
        <v>0</v>
      </c>
      <c r="AJ1372" s="17">
        <v>0</v>
      </c>
      <c r="AK1372" s="153">
        <v>0</v>
      </c>
      <c r="AL1372" s="154">
        <v>2</v>
      </c>
      <c r="AM1372" s="17">
        <f t="shared" si="91"/>
        <v>2</v>
      </c>
      <c r="AN1372" s="283" t="s">
        <v>1035</v>
      </c>
      <c r="AO1372" s="18" t="s">
        <v>1037</v>
      </c>
      <c r="AP1372" s="345" t="s">
        <v>4501</v>
      </c>
    </row>
    <row r="1373" spans="1:42" hidden="1" x14ac:dyDescent="0.3">
      <c r="A1373" s="314" t="s">
        <v>1447</v>
      </c>
      <c r="B1373" s="283" t="s">
        <v>4485</v>
      </c>
      <c r="C1373" s="314" t="s">
        <v>4487</v>
      </c>
      <c r="D1373" s="283" t="s">
        <v>4488</v>
      </c>
      <c r="E1373" s="314" t="s">
        <v>4736</v>
      </c>
      <c r="F1373" s="283" t="s">
        <v>4737</v>
      </c>
      <c r="G1373" s="314" t="s">
        <v>4738</v>
      </c>
      <c r="H1373" s="283" t="s">
        <v>4739</v>
      </c>
      <c r="I1373" s="223"/>
      <c r="J1373" s="225"/>
      <c r="K1373" s="350" t="s">
        <v>4740</v>
      </c>
      <c r="L1373" s="283" t="s">
        <v>4741</v>
      </c>
      <c r="M1373" s="206" t="s">
        <v>4746</v>
      </c>
      <c r="N1373" s="224" t="s">
        <v>271</v>
      </c>
      <c r="O1373" s="224">
        <v>10</v>
      </c>
      <c r="P1373" s="224">
        <v>10</v>
      </c>
      <c r="Q1373" s="224">
        <v>10</v>
      </c>
      <c r="R1373" s="224">
        <v>0</v>
      </c>
      <c r="S1373" s="224">
        <v>10</v>
      </c>
      <c r="T1373" s="206" t="s">
        <v>321</v>
      </c>
      <c r="U1373" s="283" t="s">
        <v>1066</v>
      </c>
      <c r="V1373" s="283" t="s">
        <v>4747</v>
      </c>
      <c r="W1373" s="283">
        <v>1</v>
      </c>
      <c r="X1373" s="283">
        <v>0</v>
      </c>
      <c r="Y1373" s="283">
        <v>0</v>
      </c>
      <c r="Z1373" s="283">
        <v>1</v>
      </c>
      <c r="AA1373" s="283">
        <v>1</v>
      </c>
      <c r="AB1373" s="283">
        <v>1</v>
      </c>
      <c r="AC1373" s="316">
        <v>0</v>
      </c>
      <c r="AD1373" s="316">
        <v>1</v>
      </c>
      <c r="AE1373" s="302">
        <f t="shared" si="90"/>
        <v>0.625</v>
      </c>
      <c r="AF1373" s="17"/>
      <c r="AG1373" s="17">
        <v>0</v>
      </c>
      <c r="AH1373" s="17">
        <v>0</v>
      </c>
      <c r="AI1373" s="17">
        <v>0</v>
      </c>
      <c r="AJ1373" s="17">
        <v>0</v>
      </c>
      <c r="AK1373" s="153">
        <v>0</v>
      </c>
      <c r="AL1373" s="154">
        <v>2</v>
      </c>
      <c r="AM1373" s="17">
        <f t="shared" si="91"/>
        <v>2</v>
      </c>
      <c r="AN1373" s="283" t="s">
        <v>4497</v>
      </c>
      <c r="AO1373" s="18" t="s">
        <v>4499</v>
      </c>
      <c r="AP1373" s="345" t="s">
        <v>4748</v>
      </c>
    </row>
    <row r="1374" spans="1:42" hidden="1" x14ac:dyDescent="0.3">
      <c r="A1374" s="314" t="s">
        <v>1447</v>
      </c>
      <c r="B1374" s="283" t="s">
        <v>4485</v>
      </c>
      <c r="C1374" s="314" t="s">
        <v>4487</v>
      </c>
      <c r="D1374" s="283" t="s">
        <v>4488</v>
      </c>
      <c r="E1374" s="314" t="s">
        <v>4736</v>
      </c>
      <c r="F1374" s="283" t="s">
        <v>4737</v>
      </c>
      <c r="G1374" s="314" t="s">
        <v>4749</v>
      </c>
      <c r="H1374" s="283" t="s">
        <v>4750</v>
      </c>
      <c r="I1374" s="223"/>
      <c r="J1374" s="225"/>
      <c r="K1374" s="350" t="s">
        <v>4751</v>
      </c>
      <c r="L1374" s="283" t="s">
        <v>4752</v>
      </c>
      <c r="M1374" s="206" t="s">
        <v>4753</v>
      </c>
      <c r="N1374" s="224" t="s">
        <v>271</v>
      </c>
      <c r="O1374" s="224">
        <v>25</v>
      </c>
      <c r="P1374" s="224">
        <v>50</v>
      </c>
      <c r="Q1374" s="224">
        <v>75</v>
      </c>
      <c r="R1374" s="224">
        <v>0</v>
      </c>
      <c r="S1374" s="224">
        <v>1</v>
      </c>
      <c r="T1374" s="223" t="s">
        <v>4754</v>
      </c>
      <c r="U1374" s="283" t="e">
        <v>#N/A</v>
      </c>
      <c r="V1374" s="283" t="s">
        <v>4755</v>
      </c>
      <c r="W1374" s="283">
        <v>1</v>
      </c>
      <c r="X1374" s="283">
        <v>0</v>
      </c>
      <c r="Y1374" s="283">
        <v>0</v>
      </c>
      <c r="Z1374" s="283">
        <v>1</v>
      </c>
      <c r="AA1374" s="283">
        <v>1</v>
      </c>
      <c r="AB1374" s="283">
        <v>1</v>
      </c>
      <c r="AC1374" s="316">
        <v>0</v>
      </c>
      <c r="AD1374" s="316">
        <v>1</v>
      </c>
      <c r="AE1374" s="302">
        <f t="shared" si="90"/>
        <v>0.625</v>
      </c>
      <c r="AF1374" s="310"/>
      <c r="AG1374" s="17">
        <v>0</v>
      </c>
      <c r="AH1374" s="310">
        <v>0.5</v>
      </c>
      <c r="AI1374" s="310">
        <v>0.5</v>
      </c>
      <c r="AJ1374" s="310">
        <v>0.5</v>
      </c>
      <c r="AK1374" s="153">
        <v>0</v>
      </c>
      <c r="AL1374" s="154">
        <v>0.5</v>
      </c>
      <c r="AM1374" s="17">
        <f t="shared" si="91"/>
        <v>0.5</v>
      </c>
      <c r="AN1374" s="283" t="s">
        <v>321</v>
      </c>
      <c r="AO1374" s="18" t="s">
        <v>1066</v>
      </c>
      <c r="AP1374" s="345" t="s">
        <v>4756</v>
      </c>
    </row>
    <row r="1375" spans="1:42" hidden="1" x14ac:dyDescent="0.3">
      <c r="A1375" s="314" t="s">
        <v>1447</v>
      </c>
      <c r="B1375" s="283" t="s">
        <v>4485</v>
      </c>
      <c r="C1375" s="314" t="s">
        <v>4487</v>
      </c>
      <c r="D1375" s="283" t="s">
        <v>4488</v>
      </c>
      <c r="E1375" s="314" t="s">
        <v>4736</v>
      </c>
      <c r="F1375" s="283" t="s">
        <v>4737</v>
      </c>
      <c r="G1375" s="314" t="s">
        <v>4749</v>
      </c>
      <c r="H1375" s="283" t="s">
        <v>4750</v>
      </c>
      <c r="I1375" s="223"/>
      <c r="J1375" s="225"/>
      <c r="K1375" s="350" t="s">
        <v>4751</v>
      </c>
      <c r="L1375" s="283" t="s">
        <v>4752</v>
      </c>
      <c r="M1375" s="206"/>
      <c r="N1375" s="211"/>
      <c r="O1375" s="211"/>
      <c r="P1375" s="211"/>
      <c r="Q1375" s="211"/>
      <c r="R1375" s="211"/>
      <c r="S1375" s="211"/>
      <c r="T1375" s="206"/>
      <c r="U1375" s="283" t="e">
        <v>#N/A</v>
      </c>
      <c r="V1375" s="283" t="s">
        <v>4757</v>
      </c>
      <c r="W1375" s="283">
        <v>0</v>
      </c>
      <c r="X1375" s="283">
        <v>0</v>
      </c>
      <c r="Y1375" s="283">
        <v>0</v>
      </c>
      <c r="Z1375" s="283">
        <v>0</v>
      </c>
      <c r="AA1375" s="283">
        <v>0</v>
      </c>
      <c r="AB1375" s="283">
        <v>0</v>
      </c>
      <c r="AC1375" s="316">
        <v>0</v>
      </c>
      <c r="AD1375" s="316">
        <v>0</v>
      </c>
      <c r="AE1375" s="302">
        <f t="shared" si="90"/>
        <v>0</v>
      </c>
      <c r="AF1375" s="310"/>
      <c r="AG1375" s="17">
        <v>0</v>
      </c>
      <c r="AH1375" s="310">
        <v>0.1</v>
      </c>
      <c r="AI1375" s="310">
        <v>0.2</v>
      </c>
      <c r="AJ1375" s="310">
        <v>1</v>
      </c>
      <c r="AK1375" s="317">
        <v>2</v>
      </c>
      <c r="AL1375" s="317">
        <v>3</v>
      </c>
      <c r="AM1375" s="17">
        <f t="shared" si="91"/>
        <v>5</v>
      </c>
      <c r="AN1375" s="283" t="s">
        <v>321</v>
      </c>
      <c r="AO1375" s="18" t="s">
        <v>1066</v>
      </c>
      <c r="AP1375" s="345" t="s">
        <v>4555</v>
      </c>
    </row>
    <row r="1376" spans="1:42" hidden="1" x14ac:dyDescent="0.3">
      <c r="A1376" s="314" t="s">
        <v>1447</v>
      </c>
      <c r="B1376" s="283" t="s">
        <v>4485</v>
      </c>
      <c r="C1376" s="314" t="s">
        <v>4487</v>
      </c>
      <c r="D1376" s="283" t="s">
        <v>4488</v>
      </c>
      <c r="E1376" s="314" t="s">
        <v>4736</v>
      </c>
      <c r="F1376" s="283" t="s">
        <v>4737</v>
      </c>
      <c r="G1376" s="314" t="s">
        <v>4749</v>
      </c>
      <c r="H1376" s="283" t="s">
        <v>4750</v>
      </c>
      <c r="I1376" s="223"/>
      <c r="J1376" s="225"/>
      <c r="K1376" s="350" t="s">
        <v>4751</v>
      </c>
      <c r="L1376" s="283" t="s">
        <v>4752</v>
      </c>
      <c r="M1376" s="206"/>
      <c r="N1376" s="211"/>
      <c r="O1376" s="211"/>
      <c r="P1376" s="211"/>
      <c r="Q1376" s="211"/>
      <c r="R1376" s="211">
        <v>1</v>
      </c>
      <c r="S1376" s="211">
        <v>1</v>
      </c>
      <c r="T1376" s="206"/>
      <c r="U1376" s="283" t="e">
        <v>#N/A</v>
      </c>
      <c r="V1376" s="283" t="s">
        <v>4758</v>
      </c>
      <c r="W1376" s="283">
        <v>1</v>
      </c>
      <c r="X1376" s="283">
        <v>0</v>
      </c>
      <c r="Y1376" s="283">
        <v>0</v>
      </c>
      <c r="Z1376" s="283">
        <v>1</v>
      </c>
      <c r="AA1376" s="283">
        <v>1</v>
      </c>
      <c r="AB1376" s="283">
        <v>1</v>
      </c>
      <c r="AC1376" s="316">
        <v>0</v>
      </c>
      <c r="AD1376" s="316">
        <v>1</v>
      </c>
      <c r="AE1376" s="302">
        <f t="shared" ref="AE1376:AE1400" si="92">SUM(W1376:AD1376)/8</f>
        <v>0.625</v>
      </c>
      <c r="AF1376" s="310"/>
      <c r="AG1376" s="17">
        <v>0</v>
      </c>
      <c r="AH1376" s="310">
        <v>0.2</v>
      </c>
      <c r="AI1376" s="310">
        <v>0.2</v>
      </c>
      <c r="AJ1376" s="310">
        <v>0.2</v>
      </c>
      <c r="AK1376" s="317">
        <v>0.2</v>
      </c>
      <c r="AL1376" s="317">
        <v>0.2</v>
      </c>
      <c r="AM1376" s="17">
        <f t="shared" ref="AM1376:AM1400" si="93">SUM(AK1376:AL1376)</f>
        <v>0.4</v>
      </c>
      <c r="AN1376" s="283" t="s">
        <v>321</v>
      </c>
      <c r="AO1376" s="18" t="s">
        <v>1066</v>
      </c>
      <c r="AP1376" s="345" t="s">
        <v>4555</v>
      </c>
    </row>
    <row r="1377" spans="1:42" x14ac:dyDescent="0.3">
      <c r="A1377" s="314" t="s">
        <v>1447</v>
      </c>
      <c r="B1377" s="283" t="s">
        <v>4485</v>
      </c>
      <c r="C1377" s="314" t="s">
        <v>4487</v>
      </c>
      <c r="D1377" s="283" t="s">
        <v>4488</v>
      </c>
      <c r="E1377" s="314" t="s">
        <v>4736</v>
      </c>
      <c r="F1377" s="283" t="s">
        <v>4737</v>
      </c>
      <c r="G1377" s="314" t="s">
        <v>4749</v>
      </c>
      <c r="H1377" s="283" t="s">
        <v>4750</v>
      </c>
      <c r="I1377" s="223"/>
      <c r="J1377" s="225"/>
      <c r="K1377" s="350" t="s">
        <v>4751</v>
      </c>
      <c r="L1377" s="283" t="s">
        <v>4752</v>
      </c>
      <c r="M1377" s="206"/>
      <c r="N1377" s="211"/>
      <c r="O1377" s="211"/>
      <c r="P1377" s="211"/>
      <c r="Q1377" s="211"/>
      <c r="R1377" s="211">
        <v>5</v>
      </c>
      <c r="S1377" s="211">
        <v>10</v>
      </c>
      <c r="T1377" s="206"/>
      <c r="U1377" s="283" t="e">
        <v>#N/A</v>
      </c>
      <c r="V1377" s="283" t="s">
        <v>4759</v>
      </c>
      <c r="W1377" s="283">
        <v>1</v>
      </c>
      <c r="X1377" s="283">
        <v>0</v>
      </c>
      <c r="Y1377" s="283">
        <v>0</v>
      </c>
      <c r="Z1377" s="283">
        <v>1</v>
      </c>
      <c r="AA1377" s="283">
        <v>1</v>
      </c>
      <c r="AB1377" s="283">
        <v>1</v>
      </c>
      <c r="AC1377" s="316">
        <v>1</v>
      </c>
      <c r="AD1377" s="316">
        <v>1</v>
      </c>
      <c r="AE1377" s="302">
        <f t="shared" si="92"/>
        <v>0.75</v>
      </c>
      <c r="AF1377" s="310"/>
      <c r="AG1377" s="17">
        <v>0</v>
      </c>
      <c r="AH1377" s="310">
        <v>0</v>
      </c>
      <c r="AI1377" s="310">
        <v>0</v>
      </c>
      <c r="AJ1377" s="310">
        <v>0.2</v>
      </c>
      <c r="AK1377" s="317">
        <v>0.5</v>
      </c>
      <c r="AL1377" s="317">
        <v>0.5</v>
      </c>
      <c r="AM1377" s="17">
        <f t="shared" si="93"/>
        <v>1</v>
      </c>
      <c r="AN1377" s="283" t="s">
        <v>1035</v>
      </c>
      <c r="AO1377" s="18" t="s">
        <v>1037</v>
      </c>
      <c r="AP1377" s="345" t="s">
        <v>4760</v>
      </c>
    </row>
    <row r="1378" spans="1:42" hidden="1" x14ac:dyDescent="0.3">
      <c r="A1378" s="314" t="s">
        <v>1447</v>
      </c>
      <c r="B1378" s="283" t="s">
        <v>4485</v>
      </c>
      <c r="C1378" s="314" t="s">
        <v>4487</v>
      </c>
      <c r="D1378" s="283" t="s">
        <v>4488</v>
      </c>
      <c r="E1378" s="314" t="s">
        <v>4736</v>
      </c>
      <c r="F1378" s="283" t="s">
        <v>4737</v>
      </c>
      <c r="G1378" s="314" t="s">
        <v>4761</v>
      </c>
      <c r="H1378" s="283" t="s">
        <v>4762</v>
      </c>
      <c r="I1378" s="223"/>
      <c r="J1378" s="225"/>
      <c r="K1378" s="350" t="s">
        <v>4763</v>
      </c>
      <c r="L1378" s="283" t="s">
        <v>4764</v>
      </c>
      <c r="M1378" s="223" t="s">
        <v>4765</v>
      </c>
      <c r="N1378" s="224">
        <v>0</v>
      </c>
      <c r="O1378" s="224">
        <v>1</v>
      </c>
      <c r="P1378" s="224" t="s">
        <v>271</v>
      </c>
      <c r="Q1378" s="224" t="s">
        <v>271</v>
      </c>
      <c r="R1378" s="224">
        <v>0</v>
      </c>
      <c r="S1378" s="224">
        <v>1</v>
      </c>
      <c r="T1378" s="223" t="s">
        <v>4497</v>
      </c>
      <c r="U1378" s="283" t="s">
        <v>4499</v>
      </c>
      <c r="V1378" s="283" t="s">
        <v>4766</v>
      </c>
      <c r="W1378" s="283">
        <v>1</v>
      </c>
      <c r="X1378" s="283">
        <v>0</v>
      </c>
      <c r="Y1378" s="283">
        <v>0</v>
      </c>
      <c r="Z1378" s="283">
        <v>1</v>
      </c>
      <c r="AA1378" s="283">
        <v>1</v>
      </c>
      <c r="AB1378" s="283">
        <v>1</v>
      </c>
      <c r="AC1378" s="316">
        <v>0</v>
      </c>
      <c r="AD1378" s="316">
        <v>1</v>
      </c>
      <c r="AE1378" s="302">
        <f t="shared" si="92"/>
        <v>0.625</v>
      </c>
      <c r="AF1378" s="17"/>
      <c r="AG1378" s="17">
        <v>0</v>
      </c>
      <c r="AH1378" s="17">
        <v>0</v>
      </c>
      <c r="AI1378" s="310">
        <v>0.3</v>
      </c>
      <c r="AJ1378" s="310">
        <v>0.3</v>
      </c>
      <c r="AK1378" s="153">
        <v>0</v>
      </c>
      <c r="AL1378" s="154">
        <v>3</v>
      </c>
      <c r="AM1378" s="17">
        <f t="shared" si="93"/>
        <v>3</v>
      </c>
      <c r="AN1378" s="283" t="s">
        <v>4497</v>
      </c>
      <c r="AO1378" s="18" t="s">
        <v>4499</v>
      </c>
      <c r="AP1378" s="345" t="s">
        <v>4767</v>
      </c>
    </row>
    <row r="1379" spans="1:42" hidden="1" x14ac:dyDescent="0.3">
      <c r="A1379" s="314" t="s">
        <v>1447</v>
      </c>
      <c r="B1379" s="283" t="s">
        <v>4485</v>
      </c>
      <c r="C1379" s="314" t="s">
        <v>4487</v>
      </c>
      <c r="D1379" s="283" t="s">
        <v>4488</v>
      </c>
      <c r="E1379" s="314" t="s">
        <v>4736</v>
      </c>
      <c r="F1379" s="283" t="s">
        <v>4737</v>
      </c>
      <c r="G1379" s="314" t="s">
        <v>4761</v>
      </c>
      <c r="H1379" s="283" t="s">
        <v>4762</v>
      </c>
      <c r="I1379" s="223"/>
      <c r="J1379" s="225"/>
      <c r="K1379" s="350" t="s">
        <v>4763</v>
      </c>
      <c r="L1379" s="283" t="s">
        <v>4764</v>
      </c>
      <c r="M1379" s="206" t="s">
        <v>4768</v>
      </c>
      <c r="N1379" s="224">
        <v>0</v>
      </c>
      <c r="O1379" s="224">
        <v>1</v>
      </c>
      <c r="P1379" s="224">
        <v>1</v>
      </c>
      <c r="Q1379" s="224">
        <v>1</v>
      </c>
      <c r="R1379" s="224">
        <v>1</v>
      </c>
      <c r="S1379" s="224">
        <v>1</v>
      </c>
      <c r="T1379" s="223" t="s">
        <v>4497</v>
      </c>
      <c r="U1379" s="283" t="s">
        <v>4499</v>
      </c>
      <c r="V1379" s="283" t="s">
        <v>4769</v>
      </c>
      <c r="W1379" s="283">
        <v>1</v>
      </c>
      <c r="X1379" s="283">
        <v>0</v>
      </c>
      <c r="Y1379" s="283">
        <v>0</v>
      </c>
      <c r="Z1379" s="283">
        <v>1</v>
      </c>
      <c r="AA1379" s="283">
        <v>1</v>
      </c>
      <c r="AB1379" s="283">
        <v>0</v>
      </c>
      <c r="AC1379" s="316">
        <v>0</v>
      </c>
      <c r="AD1379" s="316">
        <v>1</v>
      </c>
      <c r="AE1379" s="302">
        <f t="shared" si="92"/>
        <v>0.5</v>
      </c>
      <c r="AF1379" s="310"/>
      <c r="AG1379" s="17">
        <v>0</v>
      </c>
      <c r="AH1379" s="310">
        <v>0</v>
      </c>
      <c r="AI1379" s="310">
        <v>0</v>
      </c>
      <c r="AJ1379" s="310">
        <v>0</v>
      </c>
      <c r="AK1379" s="317">
        <v>2</v>
      </c>
      <c r="AL1379" s="317">
        <v>3</v>
      </c>
      <c r="AM1379" s="17">
        <f t="shared" si="93"/>
        <v>5</v>
      </c>
      <c r="AN1379" s="283" t="s">
        <v>4497</v>
      </c>
      <c r="AO1379" s="18" t="s">
        <v>4499</v>
      </c>
      <c r="AP1379" s="345" t="s">
        <v>4767</v>
      </c>
    </row>
    <row r="1380" spans="1:42" hidden="1" x14ac:dyDescent="0.3">
      <c r="A1380" s="314" t="s">
        <v>1447</v>
      </c>
      <c r="B1380" s="283" t="s">
        <v>4485</v>
      </c>
      <c r="C1380" s="314" t="s">
        <v>4487</v>
      </c>
      <c r="D1380" s="283" t="s">
        <v>4488</v>
      </c>
      <c r="E1380" s="314" t="s">
        <v>4736</v>
      </c>
      <c r="F1380" s="283" t="s">
        <v>4737</v>
      </c>
      <c r="G1380" s="314" t="s">
        <v>4761</v>
      </c>
      <c r="H1380" s="283" t="s">
        <v>4762</v>
      </c>
      <c r="I1380" s="223"/>
      <c r="J1380" s="225"/>
      <c r="K1380" s="350" t="s">
        <v>4763</v>
      </c>
      <c r="L1380" s="283" t="s">
        <v>4764</v>
      </c>
      <c r="M1380" s="206"/>
      <c r="N1380" s="224"/>
      <c r="O1380" s="224"/>
      <c r="P1380" s="224"/>
      <c r="Q1380" s="229"/>
      <c r="R1380" s="229"/>
      <c r="S1380" s="229"/>
      <c r="T1380" s="206"/>
      <c r="U1380" s="283" t="e">
        <v>#N/A</v>
      </c>
      <c r="V1380" s="283" t="s">
        <v>4770</v>
      </c>
      <c r="W1380" s="283">
        <v>1</v>
      </c>
      <c r="X1380" s="283">
        <v>0</v>
      </c>
      <c r="Y1380" s="283">
        <v>0</v>
      </c>
      <c r="Z1380" s="283">
        <v>1</v>
      </c>
      <c r="AA1380" s="283">
        <v>1</v>
      </c>
      <c r="AB1380" s="283">
        <v>0</v>
      </c>
      <c r="AC1380" s="316">
        <v>0</v>
      </c>
      <c r="AD1380" s="316">
        <v>1</v>
      </c>
      <c r="AE1380" s="302">
        <f t="shared" si="92"/>
        <v>0.5</v>
      </c>
      <c r="AF1380" s="310"/>
      <c r="AG1380" s="17">
        <v>0</v>
      </c>
      <c r="AH1380" s="310">
        <v>0.1</v>
      </c>
      <c r="AI1380" s="310">
        <v>0.1</v>
      </c>
      <c r="AJ1380" s="310">
        <v>0.1</v>
      </c>
      <c r="AK1380" s="317">
        <v>0.1</v>
      </c>
      <c r="AL1380" s="317">
        <v>0.1</v>
      </c>
      <c r="AM1380" s="17">
        <f t="shared" si="93"/>
        <v>0.2</v>
      </c>
      <c r="AN1380" s="283" t="s">
        <v>4497</v>
      </c>
      <c r="AO1380" s="18" t="s">
        <v>4499</v>
      </c>
      <c r="AP1380" s="345" t="s">
        <v>4771</v>
      </c>
    </row>
    <row r="1381" spans="1:42" hidden="1" x14ac:dyDescent="0.3">
      <c r="A1381" s="314" t="s">
        <v>1447</v>
      </c>
      <c r="B1381" s="283" t="s">
        <v>4485</v>
      </c>
      <c r="C1381" s="314" t="s">
        <v>4487</v>
      </c>
      <c r="D1381" s="283" t="s">
        <v>4488</v>
      </c>
      <c r="E1381" s="314" t="s">
        <v>4736</v>
      </c>
      <c r="F1381" s="283" t="s">
        <v>4737</v>
      </c>
      <c r="G1381" s="314" t="s">
        <v>4772</v>
      </c>
      <c r="H1381" s="283" t="s">
        <v>4773</v>
      </c>
      <c r="I1381" s="223"/>
      <c r="J1381" s="225"/>
      <c r="K1381" s="350" t="s">
        <v>4774</v>
      </c>
      <c r="L1381" s="283" t="s">
        <v>4775</v>
      </c>
      <c r="M1381" s="283" t="s">
        <v>4776</v>
      </c>
      <c r="N1381" s="224">
        <v>5</v>
      </c>
      <c r="O1381" s="224">
        <v>10</v>
      </c>
      <c r="P1381" s="224">
        <v>20</v>
      </c>
      <c r="Q1381" s="224">
        <v>20</v>
      </c>
      <c r="R1381" s="224">
        <v>1</v>
      </c>
      <c r="S1381" s="224">
        <v>2</v>
      </c>
      <c r="T1381" s="223" t="s">
        <v>4497</v>
      </c>
      <c r="U1381" s="283" t="s">
        <v>4499</v>
      </c>
      <c r="V1381" s="283" t="s">
        <v>4777</v>
      </c>
      <c r="W1381" s="283">
        <v>1</v>
      </c>
      <c r="X1381" s="283">
        <v>0</v>
      </c>
      <c r="Y1381" s="283">
        <v>0</v>
      </c>
      <c r="Z1381" s="283">
        <v>1</v>
      </c>
      <c r="AA1381" s="283">
        <v>1</v>
      </c>
      <c r="AB1381" s="283">
        <v>1</v>
      </c>
      <c r="AC1381" s="316">
        <v>0</v>
      </c>
      <c r="AD1381" s="316">
        <v>1</v>
      </c>
      <c r="AE1381" s="302">
        <f t="shared" si="92"/>
        <v>0.625</v>
      </c>
      <c r="AF1381" s="310"/>
      <c r="AG1381" s="17">
        <v>0</v>
      </c>
      <c r="AH1381" s="310">
        <v>0</v>
      </c>
      <c r="AI1381" s="310">
        <v>0</v>
      </c>
      <c r="AJ1381" s="310">
        <v>0</v>
      </c>
      <c r="AK1381" s="317">
        <v>0.2</v>
      </c>
      <c r="AL1381" s="154">
        <v>0.3</v>
      </c>
      <c r="AM1381" s="17">
        <f t="shared" si="93"/>
        <v>0.5</v>
      </c>
      <c r="AN1381" s="283" t="s">
        <v>1035</v>
      </c>
      <c r="AO1381" s="18" t="s">
        <v>1037</v>
      </c>
      <c r="AP1381" s="345" t="s">
        <v>4501</v>
      </c>
    </row>
    <row r="1382" spans="1:42" hidden="1" x14ac:dyDescent="0.3">
      <c r="A1382" s="314" t="s">
        <v>1447</v>
      </c>
      <c r="B1382" s="283" t="s">
        <v>4485</v>
      </c>
      <c r="C1382" s="314" t="s">
        <v>4487</v>
      </c>
      <c r="D1382" s="283" t="s">
        <v>4488</v>
      </c>
      <c r="E1382" s="314" t="s">
        <v>4736</v>
      </c>
      <c r="F1382" s="283" t="s">
        <v>4737</v>
      </c>
      <c r="G1382" s="314" t="s">
        <v>4772</v>
      </c>
      <c r="H1382" s="283" t="s">
        <v>4773</v>
      </c>
      <c r="I1382" s="223"/>
      <c r="J1382" s="225"/>
      <c r="K1382" s="350" t="s">
        <v>4774</v>
      </c>
      <c r="L1382" s="283" t="s">
        <v>4775</v>
      </c>
      <c r="N1382" s="224"/>
      <c r="O1382" s="224"/>
      <c r="P1382" s="224"/>
      <c r="Q1382" s="224"/>
      <c r="R1382" s="224">
        <v>0</v>
      </c>
      <c r="S1382" s="224">
        <v>1</v>
      </c>
      <c r="T1382" s="223"/>
      <c r="U1382" s="283" t="e">
        <v>#N/A</v>
      </c>
      <c r="V1382" s="283" t="s">
        <v>4773</v>
      </c>
      <c r="W1382" s="283">
        <v>1</v>
      </c>
      <c r="X1382" s="283">
        <v>0</v>
      </c>
      <c r="Y1382" s="283">
        <v>0</v>
      </c>
      <c r="Z1382" s="283">
        <v>1</v>
      </c>
      <c r="AA1382" s="283">
        <v>1</v>
      </c>
      <c r="AB1382" s="283">
        <v>1</v>
      </c>
      <c r="AC1382" s="316">
        <v>0</v>
      </c>
      <c r="AD1382" s="316">
        <v>1</v>
      </c>
      <c r="AE1382" s="302">
        <f t="shared" si="92"/>
        <v>0.625</v>
      </c>
      <c r="AF1382" s="17"/>
      <c r="AG1382" s="17">
        <v>0</v>
      </c>
      <c r="AH1382" s="17">
        <v>0</v>
      </c>
      <c r="AI1382" s="17">
        <v>0</v>
      </c>
      <c r="AJ1382" s="310">
        <v>0</v>
      </c>
      <c r="AK1382" s="153">
        <v>0</v>
      </c>
      <c r="AL1382" s="317">
        <v>0.1</v>
      </c>
      <c r="AM1382" s="17">
        <f t="shared" si="93"/>
        <v>0.1</v>
      </c>
      <c r="AN1382" s="283" t="s">
        <v>4497</v>
      </c>
      <c r="AO1382" s="18" t="s">
        <v>4499</v>
      </c>
      <c r="AP1382" s="345" t="s">
        <v>4657</v>
      </c>
    </row>
    <row r="1383" spans="1:42" hidden="1" x14ac:dyDescent="0.3">
      <c r="A1383" s="314" t="s">
        <v>1447</v>
      </c>
      <c r="B1383" s="283" t="s">
        <v>4485</v>
      </c>
      <c r="C1383" s="314" t="s">
        <v>4487</v>
      </c>
      <c r="D1383" s="283" t="s">
        <v>4488</v>
      </c>
      <c r="E1383" s="314" t="s">
        <v>4736</v>
      </c>
      <c r="F1383" s="283" t="s">
        <v>4737</v>
      </c>
      <c r="G1383" s="314" t="s">
        <v>4778</v>
      </c>
      <c r="H1383" s="283" t="s">
        <v>4779</v>
      </c>
      <c r="I1383" s="223"/>
      <c r="J1383" s="225"/>
      <c r="K1383" s="350" t="s">
        <v>4780</v>
      </c>
      <c r="L1383" s="283" t="s">
        <v>4781</v>
      </c>
      <c r="M1383" s="283" t="s">
        <v>4782</v>
      </c>
      <c r="N1383" s="224">
        <v>0</v>
      </c>
      <c r="O1383" s="224">
        <v>1</v>
      </c>
      <c r="P1383" s="224" t="s">
        <v>271</v>
      </c>
      <c r="Q1383" s="224" t="s">
        <v>271</v>
      </c>
      <c r="R1383" s="224" t="s">
        <v>271</v>
      </c>
      <c r="S1383" s="224" t="s">
        <v>271</v>
      </c>
      <c r="T1383" s="223" t="s">
        <v>4754</v>
      </c>
      <c r="U1383" s="283" t="e">
        <v>#N/A</v>
      </c>
      <c r="V1383" s="283" t="s">
        <v>4783</v>
      </c>
      <c r="W1383" s="283">
        <v>1</v>
      </c>
      <c r="X1383" s="283">
        <v>0</v>
      </c>
      <c r="Y1383" s="283">
        <v>0</v>
      </c>
      <c r="Z1383" s="283">
        <v>1</v>
      </c>
      <c r="AA1383" s="283">
        <v>1</v>
      </c>
      <c r="AB1383" s="283">
        <v>0</v>
      </c>
      <c r="AC1383" s="316">
        <v>0</v>
      </c>
      <c r="AD1383" s="316">
        <v>1</v>
      </c>
      <c r="AE1383" s="302">
        <f t="shared" si="92"/>
        <v>0.5</v>
      </c>
      <c r="AF1383" s="310"/>
      <c r="AG1383" s="17">
        <v>0</v>
      </c>
      <c r="AH1383" s="310">
        <v>0</v>
      </c>
      <c r="AI1383" s="310">
        <v>0</v>
      </c>
      <c r="AJ1383" s="310">
        <v>0.3</v>
      </c>
      <c r="AK1383" s="317">
        <v>1</v>
      </c>
      <c r="AL1383" s="317">
        <v>0</v>
      </c>
      <c r="AM1383" s="17">
        <f t="shared" si="93"/>
        <v>1</v>
      </c>
      <c r="AN1383" s="283" t="s">
        <v>3605</v>
      </c>
      <c r="AO1383" s="18" t="s">
        <v>4178</v>
      </c>
      <c r="AP1383" s="345" t="s">
        <v>4528</v>
      </c>
    </row>
    <row r="1384" spans="1:42" hidden="1" x14ac:dyDescent="0.3">
      <c r="A1384" s="314" t="s">
        <v>1447</v>
      </c>
      <c r="B1384" s="283" t="s">
        <v>4485</v>
      </c>
      <c r="C1384" s="314" t="s">
        <v>4487</v>
      </c>
      <c r="D1384" s="283" t="s">
        <v>4488</v>
      </c>
      <c r="E1384" s="314" t="s">
        <v>4736</v>
      </c>
      <c r="F1384" s="283" t="s">
        <v>4737</v>
      </c>
      <c r="G1384" s="314" t="s">
        <v>4778</v>
      </c>
      <c r="H1384" s="283" t="s">
        <v>4779</v>
      </c>
      <c r="I1384" s="223"/>
      <c r="J1384" s="225"/>
      <c r="K1384" s="350" t="s">
        <v>4780</v>
      </c>
      <c r="L1384" s="283" t="s">
        <v>4781</v>
      </c>
      <c r="N1384" s="211"/>
      <c r="O1384" s="211"/>
      <c r="P1384" s="211"/>
      <c r="Q1384" s="211"/>
      <c r="R1384" s="211"/>
      <c r="S1384" s="211"/>
      <c r="T1384" s="223"/>
      <c r="U1384" s="283" t="e">
        <v>#N/A</v>
      </c>
      <c r="V1384" s="283" t="s">
        <v>4784</v>
      </c>
      <c r="W1384" s="283">
        <v>1</v>
      </c>
      <c r="X1384" s="283">
        <v>0</v>
      </c>
      <c r="Y1384" s="283">
        <v>0</v>
      </c>
      <c r="Z1384" s="283">
        <v>1</v>
      </c>
      <c r="AA1384" s="283">
        <v>1</v>
      </c>
      <c r="AB1384" s="283">
        <v>0</v>
      </c>
      <c r="AC1384" s="316">
        <v>0</v>
      </c>
      <c r="AD1384" s="316">
        <v>1</v>
      </c>
      <c r="AE1384" s="302">
        <f t="shared" si="92"/>
        <v>0.5</v>
      </c>
      <c r="AF1384" s="310"/>
      <c r="AG1384" s="17">
        <v>0</v>
      </c>
      <c r="AH1384" s="310">
        <v>0.5</v>
      </c>
      <c r="AI1384" s="310">
        <v>0.5</v>
      </c>
      <c r="AJ1384" s="310">
        <v>0.5</v>
      </c>
      <c r="AK1384" s="317">
        <v>0.5</v>
      </c>
      <c r="AL1384" s="317">
        <v>0.5</v>
      </c>
      <c r="AM1384" s="17">
        <f t="shared" si="93"/>
        <v>1</v>
      </c>
      <c r="AN1384" s="283" t="s">
        <v>4497</v>
      </c>
      <c r="AO1384" s="18" t="s">
        <v>4499</v>
      </c>
      <c r="AP1384" s="345" t="s">
        <v>1035</v>
      </c>
    </row>
    <row r="1385" spans="1:42" hidden="1" x14ac:dyDescent="0.3">
      <c r="A1385" s="314" t="s">
        <v>1447</v>
      </c>
      <c r="B1385" s="283" t="s">
        <v>4485</v>
      </c>
      <c r="C1385" s="314" t="s">
        <v>4487</v>
      </c>
      <c r="D1385" s="283" t="s">
        <v>4488</v>
      </c>
      <c r="E1385" s="314" t="s">
        <v>4736</v>
      </c>
      <c r="F1385" s="283" t="s">
        <v>4737</v>
      </c>
      <c r="G1385" s="314" t="s">
        <v>4778</v>
      </c>
      <c r="H1385" s="283" t="s">
        <v>4779</v>
      </c>
      <c r="I1385" s="223"/>
      <c r="J1385" s="225"/>
      <c r="K1385" s="350" t="s">
        <v>4780</v>
      </c>
      <c r="L1385" s="283" t="s">
        <v>4781</v>
      </c>
      <c r="N1385" s="211"/>
      <c r="O1385" s="211"/>
      <c r="P1385" s="211"/>
      <c r="Q1385" s="211"/>
      <c r="R1385" s="211">
        <v>2</v>
      </c>
      <c r="S1385" s="211">
        <v>5</v>
      </c>
      <c r="T1385" s="223"/>
      <c r="U1385" s="283" t="e">
        <v>#N/A</v>
      </c>
      <c r="V1385" s="283" t="s">
        <v>4785</v>
      </c>
      <c r="W1385" s="283">
        <v>1</v>
      </c>
      <c r="X1385" s="283">
        <v>0</v>
      </c>
      <c r="Y1385" s="283">
        <v>0</v>
      </c>
      <c r="Z1385" s="283">
        <v>1</v>
      </c>
      <c r="AA1385" s="283">
        <v>1</v>
      </c>
      <c r="AB1385" s="283">
        <v>1</v>
      </c>
      <c r="AC1385" s="316">
        <v>0</v>
      </c>
      <c r="AD1385" s="316">
        <v>1</v>
      </c>
      <c r="AE1385" s="302">
        <f t="shared" si="92"/>
        <v>0.625</v>
      </c>
      <c r="AF1385" s="310"/>
      <c r="AG1385" s="17">
        <v>0</v>
      </c>
      <c r="AH1385" s="310">
        <v>0</v>
      </c>
      <c r="AI1385" s="310">
        <v>0</v>
      </c>
      <c r="AJ1385" s="310">
        <v>1</v>
      </c>
      <c r="AK1385" s="317">
        <v>1</v>
      </c>
      <c r="AL1385" s="317">
        <v>1</v>
      </c>
      <c r="AM1385" s="17">
        <f t="shared" si="93"/>
        <v>2</v>
      </c>
      <c r="AN1385" s="283" t="s">
        <v>3605</v>
      </c>
      <c r="AO1385" s="18" t="s">
        <v>4178</v>
      </c>
      <c r="AP1385" s="345" t="s">
        <v>4528</v>
      </c>
    </row>
    <row r="1386" spans="1:42" hidden="1" x14ac:dyDescent="0.3">
      <c r="A1386" s="314" t="s">
        <v>1447</v>
      </c>
      <c r="B1386" s="283" t="s">
        <v>4485</v>
      </c>
      <c r="C1386" s="314" t="s">
        <v>4487</v>
      </c>
      <c r="D1386" s="283" t="s">
        <v>4488</v>
      </c>
      <c r="E1386" s="314" t="s">
        <v>4736</v>
      </c>
      <c r="F1386" s="283" t="s">
        <v>4737</v>
      </c>
      <c r="G1386" s="314" t="s">
        <v>4778</v>
      </c>
      <c r="H1386" s="283" t="s">
        <v>4779</v>
      </c>
      <c r="I1386" s="223"/>
      <c r="J1386" s="223"/>
      <c r="K1386" s="350" t="s">
        <v>4780</v>
      </c>
      <c r="L1386" s="283" t="s">
        <v>4781</v>
      </c>
      <c r="M1386" s="283" t="s">
        <v>4786</v>
      </c>
      <c r="N1386" s="224" t="s">
        <v>271</v>
      </c>
      <c r="O1386" s="224">
        <v>2</v>
      </c>
      <c r="P1386" s="224">
        <v>3</v>
      </c>
      <c r="Q1386" s="224" t="s">
        <v>271</v>
      </c>
      <c r="R1386" s="224">
        <v>2</v>
      </c>
      <c r="S1386" s="224">
        <v>5</v>
      </c>
      <c r="T1386" s="223" t="s">
        <v>4754</v>
      </c>
      <c r="U1386" s="283" t="e">
        <v>#N/A</v>
      </c>
      <c r="V1386" s="283" t="s">
        <v>4787</v>
      </c>
      <c r="W1386" s="283">
        <v>1</v>
      </c>
      <c r="X1386" s="283">
        <v>0</v>
      </c>
      <c r="Y1386" s="283">
        <v>0</v>
      </c>
      <c r="Z1386" s="283">
        <v>1</v>
      </c>
      <c r="AA1386" s="283">
        <v>1</v>
      </c>
      <c r="AB1386" s="283">
        <v>1</v>
      </c>
      <c r="AC1386" s="316">
        <v>0</v>
      </c>
      <c r="AD1386" s="316">
        <v>1</v>
      </c>
      <c r="AE1386" s="302">
        <f t="shared" si="92"/>
        <v>0.625</v>
      </c>
      <c r="AF1386" s="310"/>
      <c r="AG1386" s="17">
        <v>0</v>
      </c>
      <c r="AH1386" s="310">
        <v>0</v>
      </c>
      <c r="AI1386" s="310">
        <v>0</v>
      </c>
      <c r="AJ1386" s="310">
        <v>0.4</v>
      </c>
      <c r="AK1386" s="317">
        <v>0.5</v>
      </c>
      <c r="AL1386" s="317">
        <v>0.5</v>
      </c>
      <c r="AM1386" s="17">
        <f t="shared" si="93"/>
        <v>1</v>
      </c>
      <c r="AN1386" s="283" t="s">
        <v>3605</v>
      </c>
      <c r="AO1386" s="18" t="s">
        <v>4178</v>
      </c>
      <c r="AP1386" s="345" t="s">
        <v>4587</v>
      </c>
    </row>
    <row r="1387" spans="1:42" hidden="1" x14ac:dyDescent="0.3">
      <c r="A1387" s="314" t="s">
        <v>1447</v>
      </c>
      <c r="B1387" s="283" t="s">
        <v>4485</v>
      </c>
      <c r="C1387" s="314" t="s">
        <v>4487</v>
      </c>
      <c r="D1387" s="283" t="s">
        <v>4488</v>
      </c>
      <c r="E1387" s="314" t="s">
        <v>4736</v>
      </c>
      <c r="F1387" s="283" t="s">
        <v>4737</v>
      </c>
      <c r="G1387" s="314" t="s">
        <v>4778</v>
      </c>
      <c r="H1387" s="283" t="s">
        <v>4779</v>
      </c>
      <c r="I1387" s="223"/>
      <c r="J1387" s="225"/>
      <c r="K1387" s="350" t="s">
        <v>4780</v>
      </c>
      <c r="L1387" s="283" t="s">
        <v>4781</v>
      </c>
      <c r="N1387" s="224"/>
      <c r="O1387" s="224"/>
      <c r="P1387" s="224"/>
      <c r="Q1387" s="224"/>
      <c r="R1387" s="224"/>
      <c r="S1387" s="224"/>
      <c r="T1387" s="223"/>
      <c r="U1387" s="283" t="e">
        <v>#N/A</v>
      </c>
      <c r="V1387" s="283" t="s">
        <v>4788</v>
      </c>
      <c r="W1387" s="283">
        <v>1</v>
      </c>
      <c r="X1387" s="283">
        <v>0</v>
      </c>
      <c r="Y1387" s="283">
        <v>0</v>
      </c>
      <c r="Z1387" s="283">
        <v>1</v>
      </c>
      <c r="AA1387" s="283">
        <v>1</v>
      </c>
      <c r="AB1387" s="283">
        <v>0</v>
      </c>
      <c r="AC1387" s="316">
        <v>0</v>
      </c>
      <c r="AD1387" s="316">
        <v>1</v>
      </c>
      <c r="AE1387" s="302">
        <f t="shared" si="92"/>
        <v>0.5</v>
      </c>
      <c r="AF1387" s="310"/>
      <c r="AG1387" s="17">
        <v>0</v>
      </c>
      <c r="AH1387" s="310">
        <v>0</v>
      </c>
      <c r="AI1387" s="310">
        <v>0</v>
      </c>
      <c r="AJ1387" s="310">
        <v>0.4</v>
      </c>
      <c r="AK1387" s="317">
        <v>0.2</v>
      </c>
      <c r="AL1387" s="317">
        <v>0.2</v>
      </c>
      <c r="AM1387" s="17">
        <f t="shared" si="93"/>
        <v>0.4</v>
      </c>
      <c r="AN1387" s="283" t="s">
        <v>1035</v>
      </c>
      <c r="AO1387" s="18" t="s">
        <v>1037</v>
      </c>
      <c r="AP1387" s="345" t="s">
        <v>723</v>
      </c>
    </row>
    <row r="1388" spans="1:42" hidden="1" x14ac:dyDescent="0.3">
      <c r="A1388" s="314" t="s">
        <v>1447</v>
      </c>
      <c r="B1388" s="283" t="s">
        <v>4485</v>
      </c>
      <c r="C1388" s="314" t="s">
        <v>4487</v>
      </c>
      <c r="D1388" s="283" t="s">
        <v>4488</v>
      </c>
      <c r="E1388" s="314" t="s">
        <v>4736</v>
      </c>
      <c r="F1388" s="283" t="s">
        <v>4737</v>
      </c>
      <c r="G1388" s="314" t="s">
        <v>4789</v>
      </c>
      <c r="H1388" s="283" t="s">
        <v>4790</v>
      </c>
      <c r="I1388" s="223"/>
      <c r="J1388" s="225"/>
      <c r="K1388" s="350" t="s">
        <v>4791</v>
      </c>
      <c r="L1388" s="283" t="s">
        <v>4792</v>
      </c>
      <c r="M1388" s="283" t="s">
        <v>4793</v>
      </c>
      <c r="N1388" s="224">
        <v>0</v>
      </c>
      <c r="O1388" s="224">
        <v>10</v>
      </c>
      <c r="P1388" s="224">
        <v>10</v>
      </c>
      <c r="Q1388" s="224">
        <v>10</v>
      </c>
      <c r="R1388" s="224">
        <v>10</v>
      </c>
      <c r="S1388" s="224">
        <v>10</v>
      </c>
      <c r="T1388" s="223" t="s">
        <v>321</v>
      </c>
      <c r="U1388" s="283" t="s">
        <v>1066</v>
      </c>
      <c r="V1388" s="283" t="s">
        <v>4794</v>
      </c>
      <c r="W1388" s="283">
        <v>1</v>
      </c>
      <c r="X1388" s="283">
        <v>0</v>
      </c>
      <c r="Y1388" s="283">
        <v>0</v>
      </c>
      <c r="Z1388" s="283">
        <v>1</v>
      </c>
      <c r="AA1388" s="283">
        <v>1</v>
      </c>
      <c r="AB1388" s="283">
        <v>1</v>
      </c>
      <c r="AC1388" s="316">
        <v>0</v>
      </c>
      <c r="AD1388" s="316">
        <v>1</v>
      </c>
      <c r="AE1388" s="302">
        <f t="shared" si="92"/>
        <v>0.625</v>
      </c>
      <c r="AF1388" s="310"/>
      <c r="AG1388" s="17">
        <v>0</v>
      </c>
      <c r="AH1388" s="310">
        <v>0</v>
      </c>
      <c r="AI1388" s="310">
        <v>0</v>
      </c>
      <c r="AJ1388" s="310">
        <v>0.3</v>
      </c>
      <c r="AK1388" s="317">
        <v>0.5</v>
      </c>
      <c r="AL1388" s="317">
        <v>0.5</v>
      </c>
      <c r="AM1388" s="17">
        <f t="shared" si="93"/>
        <v>1</v>
      </c>
      <c r="AN1388" s="283" t="s">
        <v>321</v>
      </c>
      <c r="AO1388" s="18" t="s">
        <v>1066</v>
      </c>
      <c r="AP1388" s="345" t="s">
        <v>1035</v>
      </c>
    </row>
    <row r="1389" spans="1:42" hidden="1" x14ac:dyDescent="0.3">
      <c r="A1389" s="314" t="s">
        <v>1447</v>
      </c>
      <c r="B1389" s="283" t="s">
        <v>4485</v>
      </c>
      <c r="C1389" s="314" t="s">
        <v>4795</v>
      </c>
      <c r="D1389" s="283" t="s">
        <v>4796</v>
      </c>
      <c r="E1389" s="314" t="s">
        <v>4797</v>
      </c>
      <c r="F1389" s="283" t="s">
        <v>4798</v>
      </c>
      <c r="G1389" s="314" t="s">
        <v>4799</v>
      </c>
      <c r="H1389" s="283" t="s">
        <v>4800</v>
      </c>
      <c r="I1389" s="223"/>
      <c r="J1389" s="225"/>
      <c r="K1389" s="350" t="s">
        <v>4801</v>
      </c>
      <c r="L1389" s="283" t="s">
        <v>4802</v>
      </c>
      <c r="M1389" s="283" t="s">
        <v>4803</v>
      </c>
      <c r="N1389" s="224">
        <v>99.3</v>
      </c>
      <c r="O1389" s="224">
        <v>99.5</v>
      </c>
      <c r="P1389" s="224">
        <v>99.6</v>
      </c>
      <c r="Q1389" s="224">
        <v>99.7</v>
      </c>
      <c r="R1389" s="224">
        <v>10</v>
      </c>
      <c r="S1389" s="224">
        <v>10</v>
      </c>
      <c r="T1389" s="223" t="s">
        <v>321</v>
      </c>
      <c r="U1389" s="283" t="s">
        <v>1066</v>
      </c>
      <c r="V1389" s="283" t="s">
        <v>4804</v>
      </c>
      <c r="W1389" s="283">
        <v>1</v>
      </c>
      <c r="X1389" s="283">
        <v>0</v>
      </c>
      <c r="Y1389" s="283">
        <v>0</v>
      </c>
      <c r="Z1389" s="283">
        <v>1</v>
      </c>
      <c r="AA1389" s="283">
        <v>1</v>
      </c>
      <c r="AB1389" s="283">
        <v>1</v>
      </c>
      <c r="AC1389" s="316">
        <v>0</v>
      </c>
      <c r="AD1389" s="316">
        <v>1</v>
      </c>
      <c r="AE1389" s="302">
        <f t="shared" si="92"/>
        <v>0.625</v>
      </c>
      <c r="AF1389" s="310"/>
      <c r="AG1389" s="17">
        <v>0</v>
      </c>
      <c r="AH1389" s="310">
        <v>0</v>
      </c>
      <c r="AI1389" s="310">
        <v>0</v>
      </c>
      <c r="AJ1389" s="310">
        <v>0.3</v>
      </c>
      <c r="AK1389" s="317">
        <v>0.5</v>
      </c>
      <c r="AL1389" s="317">
        <v>0.5</v>
      </c>
      <c r="AM1389" s="17">
        <f t="shared" si="93"/>
        <v>1</v>
      </c>
      <c r="AN1389" s="283" t="s">
        <v>321</v>
      </c>
      <c r="AO1389" s="18" t="s">
        <v>1066</v>
      </c>
      <c r="AP1389" s="345" t="s">
        <v>1035</v>
      </c>
    </row>
    <row r="1390" spans="1:42" hidden="1" x14ac:dyDescent="0.3">
      <c r="A1390" s="314" t="s">
        <v>1447</v>
      </c>
      <c r="B1390" s="283" t="s">
        <v>4485</v>
      </c>
      <c r="C1390" s="314" t="s">
        <v>4795</v>
      </c>
      <c r="D1390" s="283" t="s">
        <v>4796</v>
      </c>
      <c r="E1390" s="314" t="s">
        <v>4797</v>
      </c>
      <c r="F1390" s="283" t="s">
        <v>4798</v>
      </c>
      <c r="G1390" s="314" t="s">
        <v>4799</v>
      </c>
      <c r="H1390" s="283" t="s">
        <v>4800</v>
      </c>
      <c r="I1390" s="223"/>
      <c r="J1390" s="225"/>
      <c r="K1390" s="350" t="s">
        <v>4801</v>
      </c>
      <c r="L1390" s="283" t="s">
        <v>4802</v>
      </c>
      <c r="N1390" s="211"/>
      <c r="O1390" s="211"/>
      <c r="P1390" s="211"/>
      <c r="Q1390" s="211"/>
      <c r="R1390" s="211">
        <v>3</v>
      </c>
      <c r="S1390" s="211">
        <v>5</v>
      </c>
      <c r="T1390" s="206"/>
      <c r="U1390" s="283" t="e">
        <v>#N/A</v>
      </c>
      <c r="V1390" s="283" t="s">
        <v>4805</v>
      </c>
      <c r="W1390" s="283">
        <v>1</v>
      </c>
      <c r="X1390" s="283">
        <v>0</v>
      </c>
      <c r="Y1390" s="283">
        <v>0</v>
      </c>
      <c r="Z1390" s="283">
        <v>1</v>
      </c>
      <c r="AA1390" s="283">
        <v>1</v>
      </c>
      <c r="AB1390" s="283">
        <v>1</v>
      </c>
      <c r="AC1390" s="316">
        <v>0</v>
      </c>
      <c r="AD1390" s="316">
        <v>1</v>
      </c>
      <c r="AE1390" s="302">
        <f t="shared" si="92"/>
        <v>0.625</v>
      </c>
      <c r="AF1390" s="310"/>
      <c r="AG1390" s="17">
        <v>0</v>
      </c>
      <c r="AH1390" s="310">
        <v>0</v>
      </c>
      <c r="AI1390" s="310">
        <v>0</v>
      </c>
      <c r="AJ1390" s="310">
        <v>0</v>
      </c>
      <c r="AK1390" s="317">
        <v>0.2</v>
      </c>
      <c r="AL1390" s="317">
        <v>0.5</v>
      </c>
      <c r="AM1390" s="17">
        <f t="shared" si="93"/>
        <v>0.7</v>
      </c>
      <c r="AN1390" s="283" t="s">
        <v>1035</v>
      </c>
      <c r="AO1390" s="18" t="s">
        <v>1037</v>
      </c>
      <c r="AP1390" s="345" t="s">
        <v>321</v>
      </c>
    </row>
    <row r="1391" spans="1:42" hidden="1" x14ac:dyDescent="0.3">
      <c r="A1391" s="314" t="s">
        <v>1447</v>
      </c>
      <c r="B1391" s="283" t="s">
        <v>4485</v>
      </c>
      <c r="C1391" s="314" t="s">
        <v>4795</v>
      </c>
      <c r="D1391" s="283" t="s">
        <v>4796</v>
      </c>
      <c r="E1391" s="314" t="s">
        <v>4797</v>
      </c>
      <c r="F1391" s="283" t="s">
        <v>4798</v>
      </c>
      <c r="G1391" s="314" t="s">
        <v>4806</v>
      </c>
      <c r="H1391" s="283" t="s">
        <v>4807</v>
      </c>
      <c r="I1391" s="223"/>
      <c r="J1391" s="225"/>
      <c r="K1391" s="350" t="s">
        <v>4808</v>
      </c>
      <c r="L1391" s="283" t="s">
        <v>4809</v>
      </c>
      <c r="M1391" s="283" t="s">
        <v>4810</v>
      </c>
      <c r="N1391" s="224">
        <v>0</v>
      </c>
      <c r="O1391" s="224">
        <v>5</v>
      </c>
      <c r="P1391" s="224">
        <v>5</v>
      </c>
      <c r="Q1391" s="224">
        <v>5</v>
      </c>
      <c r="R1391" s="224">
        <v>5</v>
      </c>
      <c r="S1391" s="224">
        <v>5</v>
      </c>
      <c r="T1391" s="223" t="s">
        <v>1035</v>
      </c>
      <c r="U1391" s="283" t="s">
        <v>1037</v>
      </c>
      <c r="V1391" s="283" t="s">
        <v>4811</v>
      </c>
      <c r="W1391" s="283">
        <v>1</v>
      </c>
      <c r="X1391" s="283">
        <v>0</v>
      </c>
      <c r="Y1391" s="283">
        <v>0</v>
      </c>
      <c r="Z1391" s="283">
        <v>1</v>
      </c>
      <c r="AA1391" s="283">
        <v>1</v>
      </c>
      <c r="AB1391" s="283">
        <v>1</v>
      </c>
      <c r="AC1391" s="316">
        <v>0</v>
      </c>
      <c r="AD1391" s="316">
        <v>1</v>
      </c>
      <c r="AE1391" s="302">
        <f t="shared" si="92"/>
        <v>0.625</v>
      </c>
      <c r="AF1391" s="310"/>
      <c r="AG1391" s="17">
        <v>0</v>
      </c>
      <c r="AH1391" s="310">
        <v>0</v>
      </c>
      <c r="AI1391" s="310">
        <v>0</v>
      </c>
      <c r="AJ1391" s="310">
        <v>0</v>
      </c>
      <c r="AK1391" s="317">
        <v>0.2</v>
      </c>
      <c r="AL1391" s="317">
        <v>0.6</v>
      </c>
      <c r="AM1391" s="17">
        <f t="shared" si="93"/>
        <v>0.8</v>
      </c>
      <c r="AN1391" s="283" t="s">
        <v>1035</v>
      </c>
      <c r="AO1391" s="18" t="s">
        <v>1037</v>
      </c>
      <c r="AP1391" s="345" t="s">
        <v>321</v>
      </c>
    </row>
    <row r="1392" spans="1:42" hidden="1" x14ac:dyDescent="0.3">
      <c r="A1392" s="314" t="s">
        <v>1447</v>
      </c>
      <c r="B1392" s="283" t="s">
        <v>4485</v>
      </c>
      <c r="C1392" s="314" t="s">
        <v>4795</v>
      </c>
      <c r="D1392" s="283" t="s">
        <v>4796</v>
      </c>
      <c r="E1392" s="314" t="s">
        <v>4797</v>
      </c>
      <c r="F1392" s="283" t="s">
        <v>4798</v>
      </c>
      <c r="G1392" s="314" t="s">
        <v>4806</v>
      </c>
      <c r="H1392" s="283" t="s">
        <v>4807</v>
      </c>
      <c r="I1392" s="223"/>
      <c r="J1392" s="225"/>
      <c r="K1392" s="350" t="s">
        <v>4808</v>
      </c>
      <c r="L1392" s="283" t="s">
        <v>4809</v>
      </c>
      <c r="N1392" s="211"/>
      <c r="O1392" s="211"/>
      <c r="P1392" s="211"/>
      <c r="Q1392" s="211"/>
      <c r="R1392" s="211"/>
      <c r="S1392" s="211"/>
      <c r="T1392" s="223" t="s">
        <v>1035</v>
      </c>
      <c r="U1392" s="283" t="s">
        <v>1037</v>
      </c>
      <c r="V1392" s="283" t="s">
        <v>4812</v>
      </c>
      <c r="W1392" s="283">
        <v>0</v>
      </c>
      <c r="X1392" s="283">
        <v>0</v>
      </c>
      <c r="Y1392" s="283">
        <v>0</v>
      </c>
      <c r="Z1392" s="283">
        <v>0</v>
      </c>
      <c r="AA1392" s="283">
        <v>0</v>
      </c>
      <c r="AB1392" s="283">
        <v>0</v>
      </c>
      <c r="AC1392" s="316">
        <v>0</v>
      </c>
      <c r="AD1392" s="316">
        <v>0</v>
      </c>
      <c r="AE1392" s="302">
        <f t="shared" si="92"/>
        <v>0</v>
      </c>
      <c r="AF1392" s="310"/>
      <c r="AG1392" s="17">
        <v>0</v>
      </c>
      <c r="AH1392" s="310">
        <v>0</v>
      </c>
      <c r="AI1392" s="310">
        <v>0</v>
      </c>
      <c r="AJ1392" s="310">
        <v>0</v>
      </c>
      <c r="AK1392" s="317">
        <v>0.2</v>
      </c>
      <c r="AL1392" s="317">
        <v>0.2</v>
      </c>
      <c r="AM1392" s="17">
        <f t="shared" si="93"/>
        <v>0.4</v>
      </c>
      <c r="AN1392" s="283" t="s">
        <v>321</v>
      </c>
      <c r="AO1392" s="18" t="s">
        <v>1066</v>
      </c>
      <c r="AP1392" s="345" t="s">
        <v>4657</v>
      </c>
    </row>
    <row r="1393" spans="1:42" hidden="1" x14ac:dyDescent="0.3">
      <c r="A1393" s="314" t="s">
        <v>1447</v>
      </c>
      <c r="B1393" s="283" t="s">
        <v>4485</v>
      </c>
      <c r="C1393" s="314" t="s">
        <v>4795</v>
      </c>
      <c r="D1393" s="283" t="s">
        <v>4796</v>
      </c>
      <c r="E1393" s="314" t="s">
        <v>4797</v>
      </c>
      <c r="F1393" s="283" t="s">
        <v>4798</v>
      </c>
      <c r="G1393" s="314" t="s">
        <v>4806</v>
      </c>
      <c r="H1393" s="283" t="s">
        <v>4807</v>
      </c>
      <c r="I1393" s="223"/>
      <c r="J1393" s="225"/>
      <c r="K1393" s="350" t="s">
        <v>4808</v>
      </c>
      <c r="L1393" s="283" t="s">
        <v>4809</v>
      </c>
      <c r="M1393" s="283" t="s">
        <v>4813</v>
      </c>
      <c r="N1393" s="211"/>
      <c r="O1393" s="224"/>
      <c r="P1393" s="232">
        <v>0.5</v>
      </c>
      <c r="Q1393" s="232">
        <v>1</v>
      </c>
      <c r="R1393" s="211">
        <v>1</v>
      </c>
      <c r="S1393" s="211">
        <v>1</v>
      </c>
      <c r="T1393" s="223" t="s">
        <v>1035</v>
      </c>
      <c r="U1393" s="283" t="s">
        <v>1037</v>
      </c>
      <c r="V1393" s="283" t="s">
        <v>4814</v>
      </c>
      <c r="W1393" s="283">
        <v>1</v>
      </c>
      <c r="X1393" s="283">
        <v>0</v>
      </c>
      <c r="Y1393" s="283">
        <v>0</v>
      </c>
      <c r="Z1393" s="283">
        <v>1</v>
      </c>
      <c r="AA1393" s="283">
        <v>1</v>
      </c>
      <c r="AB1393" s="283">
        <v>1</v>
      </c>
      <c r="AC1393" s="316">
        <v>0</v>
      </c>
      <c r="AD1393" s="316">
        <v>1</v>
      </c>
      <c r="AE1393" s="302">
        <f t="shared" si="92"/>
        <v>0.625</v>
      </c>
      <c r="AF1393" s="310"/>
      <c r="AG1393" s="17">
        <v>0</v>
      </c>
      <c r="AH1393" s="310">
        <v>0</v>
      </c>
      <c r="AI1393" s="310">
        <v>0</v>
      </c>
      <c r="AJ1393" s="310">
        <v>0</v>
      </c>
      <c r="AK1393" s="317">
        <v>0.2</v>
      </c>
      <c r="AL1393" s="317">
        <v>0.5</v>
      </c>
      <c r="AM1393" s="17">
        <f t="shared" si="93"/>
        <v>0.7</v>
      </c>
      <c r="AN1393" s="283" t="s">
        <v>1035</v>
      </c>
      <c r="AO1393" s="18" t="s">
        <v>1037</v>
      </c>
      <c r="AP1393" s="345" t="s">
        <v>4815</v>
      </c>
    </row>
    <row r="1394" spans="1:42" hidden="1" x14ac:dyDescent="0.3">
      <c r="A1394" s="314" t="s">
        <v>1447</v>
      </c>
      <c r="B1394" s="283" t="s">
        <v>4485</v>
      </c>
      <c r="C1394" s="314" t="s">
        <v>4795</v>
      </c>
      <c r="D1394" s="283" t="s">
        <v>4796</v>
      </c>
      <c r="E1394" s="314" t="s">
        <v>4797</v>
      </c>
      <c r="F1394" s="283" t="s">
        <v>4798</v>
      </c>
      <c r="G1394" s="314" t="s">
        <v>4806</v>
      </c>
      <c r="H1394" s="283" t="s">
        <v>4807</v>
      </c>
      <c r="I1394" s="223"/>
      <c r="J1394" s="225"/>
      <c r="K1394" s="350" t="s">
        <v>4808</v>
      </c>
      <c r="L1394" s="283" t="s">
        <v>4809</v>
      </c>
      <c r="M1394" s="283" t="s">
        <v>4816</v>
      </c>
      <c r="N1394" s="211">
        <v>0</v>
      </c>
      <c r="O1394" s="224" t="s">
        <v>271</v>
      </c>
      <c r="P1394" s="211">
        <v>1</v>
      </c>
      <c r="Q1394" s="224" t="s">
        <v>271</v>
      </c>
      <c r="R1394" s="224">
        <v>5</v>
      </c>
      <c r="S1394" s="224">
        <v>10</v>
      </c>
      <c r="T1394" s="223" t="s">
        <v>4497</v>
      </c>
      <c r="U1394" s="283" t="s">
        <v>4499</v>
      </c>
      <c r="V1394" s="283" t="s">
        <v>4817</v>
      </c>
      <c r="W1394" s="283">
        <v>1</v>
      </c>
      <c r="X1394" s="283">
        <v>0</v>
      </c>
      <c r="Y1394" s="283">
        <v>0</v>
      </c>
      <c r="Z1394" s="283">
        <v>1</v>
      </c>
      <c r="AA1394" s="283">
        <v>1</v>
      </c>
      <c r="AB1394" s="283">
        <v>1</v>
      </c>
      <c r="AC1394" s="316">
        <v>0</v>
      </c>
      <c r="AD1394" s="316">
        <v>1</v>
      </c>
      <c r="AE1394" s="302">
        <f t="shared" si="92"/>
        <v>0.625</v>
      </c>
      <c r="AF1394" s="310"/>
      <c r="AG1394" s="17">
        <v>0</v>
      </c>
      <c r="AH1394" s="310">
        <v>0</v>
      </c>
      <c r="AI1394" s="310">
        <v>0</v>
      </c>
      <c r="AJ1394" s="310">
        <v>0</v>
      </c>
      <c r="AK1394" s="317">
        <v>0.2</v>
      </c>
      <c r="AL1394" s="317">
        <v>0.3</v>
      </c>
      <c r="AM1394" s="17">
        <f t="shared" si="93"/>
        <v>0.5</v>
      </c>
      <c r="AN1394" s="283" t="s">
        <v>1035</v>
      </c>
      <c r="AO1394" s="18" t="s">
        <v>1037</v>
      </c>
      <c r="AP1394" s="345" t="s">
        <v>4815</v>
      </c>
    </row>
    <row r="1395" spans="1:42" hidden="1" x14ac:dyDescent="0.3">
      <c r="A1395" s="314" t="s">
        <v>1447</v>
      </c>
      <c r="B1395" s="283" t="s">
        <v>4485</v>
      </c>
      <c r="C1395" s="314" t="s">
        <v>4795</v>
      </c>
      <c r="D1395" s="283" t="s">
        <v>4796</v>
      </c>
      <c r="E1395" s="314" t="s">
        <v>4797</v>
      </c>
      <c r="F1395" s="283" t="s">
        <v>4798</v>
      </c>
      <c r="G1395" s="314" t="s">
        <v>4818</v>
      </c>
      <c r="H1395" s="283" t="s">
        <v>4819</v>
      </c>
      <c r="I1395" s="223"/>
      <c r="J1395" s="225"/>
      <c r="K1395" s="350" t="s">
        <v>4820</v>
      </c>
      <c r="L1395" s="283" t="s">
        <v>4821</v>
      </c>
      <c r="M1395" s="283" t="s">
        <v>4822</v>
      </c>
      <c r="N1395" s="224" t="s">
        <v>3532</v>
      </c>
      <c r="O1395" s="224">
        <v>1</v>
      </c>
      <c r="P1395" s="224">
        <v>1</v>
      </c>
      <c r="Q1395" s="224">
        <v>1</v>
      </c>
      <c r="R1395" s="224">
        <v>1</v>
      </c>
      <c r="S1395" s="224">
        <v>1</v>
      </c>
      <c r="T1395" s="223" t="s">
        <v>4512</v>
      </c>
      <c r="U1395" s="283" t="s">
        <v>4514</v>
      </c>
      <c r="V1395" s="283" t="s">
        <v>4823</v>
      </c>
      <c r="W1395" s="283">
        <v>1</v>
      </c>
      <c r="X1395" s="283">
        <v>0</v>
      </c>
      <c r="Y1395" s="283">
        <v>0</v>
      </c>
      <c r="Z1395" s="283">
        <v>0</v>
      </c>
      <c r="AA1395" s="283">
        <v>0</v>
      </c>
      <c r="AB1395" s="283">
        <v>0</v>
      </c>
      <c r="AC1395" s="316">
        <v>0</v>
      </c>
      <c r="AD1395" s="316">
        <v>1</v>
      </c>
      <c r="AE1395" s="302">
        <f t="shared" si="92"/>
        <v>0.25</v>
      </c>
      <c r="AF1395" s="17"/>
      <c r="AG1395" s="17">
        <v>0</v>
      </c>
      <c r="AH1395" s="17">
        <v>0</v>
      </c>
      <c r="AI1395" s="310">
        <v>0</v>
      </c>
      <c r="AJ1395" s="310">
        <v>0</v>
      </c>
      <c r="AK1395" s="317">
        <v>50</v>
      </c>
      <c r="AL1395" s="317">
        <v>70</v>
      </c>
      <c r="AM1395" s="17">
        <f t="shared" si="93"/>
        <v>120</v>
      </c>
      <c r="AN1395" s="283" t="s">
        <v>1035</v>
      </c>
      <c r="AO1395" s="18" t="s">
        <v>1037</v>
      </c>
      <c r="AP1395" s="345" t="s">
        <v>4815</v>
      </c>
    </row>
    <row r="1396" spans="1:42" hidden="1" x14ac:dyDescent="0.3">
      <c r="A1396" s="314" t="s">
        <v>1447</v>
      </c>
      <c r="B1396" s="283" t="s">
        <v>4485</v>
      </c>
      <c r="C1396" s="314" t="s">
        <v>4795</v>
      </c>
      <c r="D1396" s="283" t="s">
        <v>4796</v>
      </c>
      <c r="E1396" s="314" t="s">
        <v>4797</v>
      </c>
      <c r="F1396" s="283" t="s">
        <v>4798</v>
      </c>
      <c r="G1396" s="314" t="s">
        <v>4818</v>
      </c>
      <c r="H1396" s="283" t="s">
        <v>4819</v>
      </c>
      <c r="I1396" s="223"/>
      <c r="J1396" s="225"/>
      <c r="K1396" s="350" t="s">
        <v>4820</v>
      </c>
      <c r="L1396" s="283" t="s">
        <v>4821</v>
      </c>
      <c r="N1396" s="211"/>
      <c r="O1396" s="230"/>
      <c r="P1396" s="230"/>
      <c r="Q1396" s="230"/>
      <c r="R1396" s="230"/>
      <c r="S1396" s="230"/>
      <c r="T1396" s="206"/>
      <c r="U1396" s="283" t="e">
        <v>#N/A</v>
      </c>
      <c r="V1396" s="283" t="s">
        <v>4824</v>
      </c>
      <c r="W1396" s="283">
        <v>1</v>
      </c>
      <c r="X1396" s="283">
        <v>0</v>
      </c>
      <c r="Y1396" s="283">
        <v>0</v>
      </c>
      <c r="Z1396" s="283">
        <v>0</v>
      </c>
      <c r="AA1396" s="283">
        <v>0</v>
      </c>
      <c r="AB1396" s="283">
        <v>0</v>
      </c>
      <c r="AC1396" s="316">
        <v>0</v>
      </c>
      <c r="AD1396" s="316">
        <v>1</v>
      </c>
      <c r="AE1396" s="302">
        <f t="shared" si="92"/>
        <v>0.25</v>
      </c>
      <c r="AF1396" s="310"/>
      <c r="AG1396" s="17">
        <v>0</v>
      </c>
      <c r="AH1396" s="310">
        <v>0</v>
      </c>
      <c r="AI1396" s="310">
        <v>5</v>
      </c>
      <c r="AJ1396" s="310">
        <v>5</v>
      </c>
      <c r="AK1396" s="153">
        <v>0</v>
      </c>
      <c r="AL1396" s="154">
        <v>0</v>
      </c>
      <c r="AM1396" s="17">
        <f t="shared" si="93"/>
        <v>0</v>
      </c>
      <c r="AN1396" s="283" t="s">
        <v>4825</v>
      </c>
      <c r="AO1396" s="18" t="s">
        <v>4826</v>
      </c>
      <c r="AP1396" s="345" t="s">
        <v>4771</v>
      </c>
    </row>
    <row r="1397" spans="1:42" x14ac:dyDescent="0.3">
      <c r="A1397" s="314" t="s">
        <v>1447</v>
      </c>
      <c r="B1397" s="283" t="s">
        <v>4485</v>
      </c>
      <c r="C1397" s="314" t="s">
        <v>4795</v>
      </c>
      <c r="D1397" s="283" t="s">
        <v>4796</v>
      </c>
      <c r="E1397" s="314" t="s">
        <v>4797</v>
      </c>
      <c r="F1397" s="283" t="s">
        <v>4798</v>
      </c>
      <c r="G1397" s="314" t="s">
        <v>4818</v>
      </c>
      <c r="H1397" s="283" t="s">
        <v>4819</v>
      </c>
      <c r="I1397" s="223"/>
      <c r="J1397" s="225"/>
      <c r="K1397" s="350" t="s">
        <v>4820</v>
      </c>
      <c r="L1397" s="283" t="s">
        <v>4821</v>
      </c>
      <c r="N1397" s="211"/>
      <c r="O1397" s="211"/>
      <c r="P1397" s="211"/>
      <c r="Q1397" s="211"/>
      <c r="R1397" s="211">
        <v>40</v>
      </c>
      <c r="S1397" s="211">
        <v>80</v>
      </c>
      <c r="T1397" s="206"/>
      <c r="U1397" s="283" t="e">
        <v>#N/A</v>
      </c>
      <c r="V1397" s="283" t="s">
        <v>4827</v>
      </c>
      <c r="W1397" s="283">
        <v>1</v>
      </c>
      <c r="X1397" s="283">
        <v>1</v>
      </c>
      <c r="Y1397" s="283">
        <v>1</v>
      </c>
      <c r="Z1397" s="283">
        <v>1</v>
      </c>
      <c r="AA1397" s="283">
        <v>1</v>
      </c>
      <c r="AB1397" s="283">
        <v>0</v>
      </c>
      <c r="AC1397" s="316">
        <v>0</v>
      </c>
      <c r="AD1397" s="316">
        <v>1</v>
      </c>
      <c r="AE1397" s="302">
        <f t="shared" si="92"/>
        <v>0.75</v>
      </c>
      <c r="AF1397" s="17"/>
      <c r="AG1397" s="17">
        <v>0</v>
      </c>
      <c r="AH1397" s="17">
        <v>0</v>
      </c>
      <c r="AI1397" s="310">
        <v>0</v>
      </c>
      <c r="AJ1397" s="310">
        <v>0</v>
      </c>
      <c r="AK1397" s="317">
        <v>70</v>
      </c>
      <c r="AL1397" s="317">
        <v>50</v>
      </c>
      <c r="AM1397" s="17">
        <f t="shared" si="93"/>
        <v>120</v>
      </c>
      <c r="AN1397" s="283" t="s">
        <v>1035</v>
      </c>
      <c r="AO1397" s="18" t="s">
        <v>1037</v>
      </c>
      <c r="AP1397" s="345" t="s">
        <v>4828</v>
      </c>
    </row>
    <row r="1398" spans="1:42" hidden="1" x14ac:dyDescent="0.3">
      <c r="A1398" s="314" t="s">
        <v>1447</v>
      </c>
      <c r="B1398" s="283" t="s">
        <v>4485</v>
      </c>
      <c r="C1398" s="314" t="s">
        <v>4795</v>
      </c>
      <c r="D1398" s="283" t="s">
        <v>4796</v>
      </c>
      <c r="E1398" s="314" t="s">
        <v>4797</v>
      </c>
      <c r="F1398" s="283" t="s">
        <v>4798</v>
      </c>
      <c r="G1398" s="314" t="s">
        <v>4818</v>
      </c>
      <c r="H1398" s="283" t="s">
        <v>4819</v>
      </c>
      <c r="I1398" s="223"/>
      <c r="J1398" s="225"/>
      <c r="K1398" s="350" t="s">
        <v>4820</v>
      </c>
      <c r="L1398" s="283" t="s">
        <v>4821</v>
      </c>
      <c r="N1398" s="211"/>
      <c r="O1398" s="211"/>
      <c r="P1398" s="211"/>
      <c r="Q1398" s="211"/>
      <c r="R1398" s="211"/>
      <c r="S1398" s="211"/>
      <c r="T1398" s="206"/>
      <c r="U1398" s="283" t="e">
        <v>#N/A</v>
      </c>
      <c r="V1398" s="283" t="s">
        <v>4829</v>
      </c>
      <c r="W1398" s="283">
        <v>0</v>
      </c>
      <c r="X1398" s="283">
        <v>0</v>
      </c>
      <c r="Y1398" s="283">
        <v>0</v>
      </c>
      <c r="Z1398" s="283">
        <v>0</v>
      </c>
      <c r="AA1398" s="283">
        <v>0</v>
      </c>
      <c r="AB1398" s="283">
        <v>0</v>
      </c>
      <c r="AC1398" s="316">
        <v>0</v>
      </c>
      <c r="AD1398" s="316">
        <v>0</v>
      </c>
      <c r="AE1398" s="302">
        <f t="shared" si="92"/>
        <v>0</v>
      </c>
      <c r="AF1398" s="310"/>
      <c r="AG1398" s="17">
        <v>0</v>
      </c>
      <c r="AH1398" s="310">
        <v>0</v>
      </c>
      <c r="AI1398" s="310">
        <v>0</v>
      </c>
      <c r="AJ1398" s="310">
        <v>0.5</v>
      </c>
      <c r="AK1398" s="317">
        <v>0.5</v>
      </c>
      <c r="AL1398" s="317">
        <v>0.5</v>
      </c>
      <c r="AM1398" s="17">
        <f t="shared" si="93"/>
        <v>1</v>
      </c>
      <c r="AN1398" s="283" t="s">
        <v>1035</v>
      </c>
      <c r="AO1398" s="18" t="s">
        <v>1037</v>
      </c>
      <c r="AP1398" s="345" t="s">
        <v>4512</v>
      </c>
    </row>
    <row r="1399" spans="1:42" hidden="1" x14ac:dyDescent="0.3">
      <c r="A1399" s="314" t="s">
        <v>1447</v>
      </c>
      <c r="B1399" s="283" t="s">
        <v>4485</v>
      </c>
      <c r="C1399" s="314" t="s">
        <v>4795</v>
      </c>
      <c r="D1399" s="283" t="s">
        <v>4796</v>
      </c>
      <c r="E1399" s="314" t="s">
        <v>4797</v>
      </c>
      <c r="F1399" s="283" t="s">
        <v>4798</v>
      </c>
      <c r="G1399" s="314" t="s">
        <v>4830</v>
      </c>
      <c r="H1399" s="283" t="s">
        <v>4831</v>
      </c>
      <c r="I1399" s="223"/>
      <c r="J1399" s="225"/>
      <c r="K1399" s="350" t="s">
        <v>4832</v>
      </c>
      <c r="L1399" s="283" t="s">
        <v>4833</v>
      </c>
      <c r="M1399" s="283" t="s">
        <v>4834</v>
      </c>
      <c r="N1399" s="224">
        <v>10</v>
      </c>
      <c r="O1399" s="224">
        <v>50</v>
      </c>
      <c r="P1399" s="224">
        <v>100</v>
      </c>
      <c r="Q1399" s="224">
        <v>100</v>
      </c>
      <c r="R1399" s="224">
        <v>100</v>
      </c>
      <c r="S1399" s="224" t="s">
        <v>4835</v>
      </c>
      <c r="T1399" s="223" t="s">
        <v>4512</v>
      </c>
      <c r="U1399" s="283" t="s">
        <v>4514</v>
      </c>
      <c r="V1399" s="283" t="s">
        <v>4836</v>
      </c>
      <c r="W1399" s="283">
        <v>1</v>
      </c>
      <c r="X1399" s="283">
        <v>0</v>
      </c>
      <c r="Y1399" s="283">
        <v>0</v>
      </c>
      <c r="Z1399" s="283">
        <v>1</v>
      </c>
      <c r="AA1399" s="283">
        <v>1</v>
      </c>
      <c r="AB1399" s="283">
        <v>0</v>
      </c>
      <c r="AC1399" s="316">
        <v>0</v>
      </c>
      <c r="AD1399" s="316">
        <v>1</v>
      </c>
      <c r="AE1399" s="302">
        <f t="shared" si="92"/>
        <v>0.5</v>
      </c>
      <c r="AF1399" s="17"/>
      <c r="AG1399" s="17">
        <v>0</v>
      </c>
      <c r="AH1399" s="17">
        <v>0</v>
      </c>
      <c r="AI1399" s="310">
        <v>21.27</v>
      </c>
      <c r="AJ1399" s="310">
        <v>3.16</v>
      </c>
      <c r="AK1399" s="153">
        <v>0</v>
      </c>
      <c r="AL1399" s="154">
        <v>0</v>
      </c>
      <c r="AM1399" s="17">
        <f t="shared" si="93"/>
        <v>0</v>
      </c>
      <c r="AN1399" s="283" t="s">
        <v>4512</v>
      </c>
      <c r="AO1399" s="18" t="s">
        <v>4514</v>
      </c>
      <c r="AP1399" s="345" t="s">
        <v>1035</v>
      </c>
    </row>
    <row r="1400" spans="1:42" hidden="1" x14ac:dyDescent="0.3">
      <c r="A1400" s="314" t="s">
        <v>1447</v>
      </c>
      <c r="B1400" s="283" t="s">
        <v>4485</v>
      </c>
      <c r="C1400" s="314" t="s">
        <v>4795</v>
      </c>
      <c r="D1400" s="283" t="s">
        <v>4796</v>
      </c>
      <c r="E1400" s="314" t="s">
        <v>4797</v>
      </c>
      <c r="F1400" s="283" t="s">
        <v>4798</v>
      </c>
      <c r="G1400" s="314" t="s">
        <v>4830</v>
      </c>
      <c r="H1400" s="283" t="s">
        <v>4831</v>
      </c>
      <c r="I1400" s="223"/>
      <c r="J1400" s="225"/>
      <c r="K1400" s="350" t="s">
        <v>4832</v>
      </c>
      <c r="L1400" s="283" t="s">
        <v>4833</v>
      </c>
      <c r="N1400" s="224"/>
      <c r="O1400" s="224"/>
      <c r="P1400" s="224"/>
      <c r="Q1400" s="224"/>
      <c r="R1400" s="224"/>
      <c r="S1400" s="224"/>
      <c r="T1400" s="206"/>
      <c r="U1400" s="283" t="e">
        <v>#N/A</v>
      </c>
      <c r="V1400" s="283" t="s">
        <v>4837</v>
      </c>
      <c r="W1400" s="283">
        <v>1</v>
      </c>
      <c r="X1400" s="283">
        <v>0</v>
      </c>
      <c r="Y1400" s="283">
        <v>0</v>
      </c>
      <c r="Z1400" s="283">
        <v>1</v>
      </c>
      <c r="AA1400" s="283">
        <v>1</v>
      </c>
      <c r="AB1400" s="283">
        <v>0</v>
      </c>
      <c r="AC1400" s="316">
        <v>0</v>
      </c>
      <c r="AD1400" s="316">
        <v>1</v>
      </c>
      <c r="AE1400" s="302">
        <f t="shared" si="92"/>
        <v>0.5</v>
      </c>
      <c r="AF1400" s="17"/>
      <c r="AG1400" s="17">
        <v>0</v>
      </c>
      <c r="AH1400" s="17">
        <v>0</v>
      </c>
      <c r="AI1400" s="310">
        <v>23.7</v>
      </c>
      <c r="AJ1400" s="310">
        <v>23.7</v>
      </c>
      <c r="AK1400" s="153">
        <v>0</v>
      </c>
      <c r="AL1400" s="154">
        <v>0</v>
      </c>
      <c r="AM1400" s="17">
        <f t="shared" si="93"/>
        <v>0</v>
      </c>
      <c r="AN1400" s="283" t="s">
        <v>4512</v>
      </c>
      <c r="AO1400" s="18" t="s">
        <v>4514</v>
      </c>
      <c r="AP1400" s="345" t="s">
        <v>1035</v>
      </c>
    </row>
    <row r="1401" spans="1:42" s="293" customFormat="1" hidden="1" x14ac:dyDescent="0.3">
      <c r="A1401" s="50" t="s">
        <v>1451</v>
      </c>
      <c r="B1401" s="51" t="s">
        <v>4838</v>
      </c>
      <c r="C1401" s="50" t="s">
        <v>4839</v>
      </c>
      <c r="D1401" s="51" t="s">
        <v>1491</v>
      </c>
      <c r="E1401" s="50" t="s">
        <v>4839</v>
      </c>
      <c r="F1401" s="51" t="s">
        <v>1493</v>
      </c>
      <c r="G1401" s="50" t="s">
        <v>4839</v>
      </c>
      <c r="H1401" s="51" t="s">
        <v>1491</v>
      </c>
      <c r="I1401" s="51"/>
      <c r="J1401" s="51"/>
      <c r="K1401" s="50" t="s">
        <v>4839</v>
      </c>
      <c r="L1401" s="51" t="s">
        <v>1491</v>
      </c>
      <c r="M1401" s="60" t="s">
        <v>271</v>
      </c>
      <c r="N1401" s="60" t="s">
        <v>271</v>
      </c>
      <c r="O1401" s="60" t="s">
        <v>271</v>
      </c>
      <c r="P1401" s="60" t="s">
        <v>271</v>
      </c>
      <c r="Q1401" s="60" t="s">
        <v>271</v>
      </c>
      <c r="R1401" s="60" t="s">
        <v>271</v>
      </c>
      <c r="S1401" s="60" t="s">
        <v>271</v>
      </c>
      <c r="T1401" s="60" t="s">
        <v>271</v>
      </c>
      <c r="U1401" s="60" t="s">
        <v>271</v>
      </c>
      <c r="V1401" s="51" t="s">
        <v>1489</v>
      </c>
      <c r="W1401" s="291"/>
      <c r="X1401" s="291"/>
      <c r="Y1401" s="291"/>
      <c r="Z1401" s="291"/>
      <c r="AA1401" s="291"/>
      <c r="AB1401" s="291"/>
      <c r="AC1401" s="291"/>
      <c r="AD1401" s="291"/>
      <c r="AE1401" s="292"/>
      <c r="AF1401" s="56"/>
      <c r="AG1401" s="292"/>
      <c r="AH1401" s="56"/>
      <c r="AI1401" s="56"/>
      <c r="AJ1401" s="56"/>
      <c r="AK1401" s="57">
        <v>53.6</v>
      </c>
      <c r="AL1401" s="57">
        <v>53.6</v>
      </c>
      <c r="AM1401" s="56">
        <f>SUM(AK1401:AL1401)</f>
        <v>107.2</v>
      </c>
      <c r="AN1401" s="52"/>
      <c r="AO1401" s="52"/>
      <c r="AP1401" s="51"/>
    </row>
    <row r="1402" spans="1:42" s="293" customFormat="1" hidden="1" x14ac:dyDescent="0.3">
      <c r="A1402" s="50" t="s">
        <v>1451</v>
      </c>
      <c r="B1402" s="51" t="s">
        <v>4838</v>
      </c>
      <c r="C1402" s="50" t="s">
        <v>4839</v>
      </c>
      <c r="D1402" s="51" t="s">
        <v>1491</v>
      </c>
      <c r="E1402" s="50" t="s">
        <v>4839</v>
      </c>
      <c r="F1402" s="51" t="s">
        <v>1493</v>
      </c>
      <c r="G1402" s="50" t="s">
        <v>4839</v>
      </c>
      <c r="H1402" s="51" t="s">
        <v>1491</v>
      </c>
      <c r="I1402" s="51"/>
      <c r="J1402" s="51"/>
      <c r="K1402" s="50" t="s">
        <v>4839</v>
      </c>
      <c r="L1402" s="51" t="s">
        <v>1491</v>
      </c>
      <c r="M1402" s="60" t="s">
        <v>271</v>
      </c>
      <c r="N1402" s="60" t="s">
        <v>271</v>
      </c>
      <c r="O1402" s="60" t="s">
        <v>271</v>
      </c>
      <c r="P1402" s="60" t="s">
        <v>271</v>
      </c>
      <c r="Q1402" s="60" t="s">
        <v>271</v>
      </c>
      <c r="R1402" s="60" t="s">
        <v>271</v>
      </c>
      <c r="S1402" s="60" t="s">
        <v>271</v>
      </c>
      <c r="T1402" s="60" t="s">
        <v>271</v>
      </c>
      <c r="U1402" s="60" t="s">
        <v>271</v>
      </c>
      <c r="V1402" s="51" t="s">
        <v>1490</v>
      </c>
      <c r="W1402" s="291"/>
      <c r="X1402" s="291"/>
      <c r="Y1402" s="291"/>
      <c r="Z1402" s="291"/>
      <c r="AA1402" s="291"/>
      <c r="AB1402" s="291"/>
      <c r="AC1402" s="291"/>
      <c r="AD1402" s="291"/>
      <c r="AE1402" s="292"/>
      <c r="AF1402" s="56"/>
      <c r="AG1402" s="292"/>
      <c r="AH1402" s="56"/>
      <c r="AI1402" s="56"/>
      <c r="AJ1402" s="56"/>
      <c r="AK1402" s="57">
        <v>21.44</v>
      </c>
      <c r="AL1402" s="57">
        <v>21.44</v>
      </c>
      <c r="AM1402" s="56">
        <f t="shared" ref="AM1402:AM1465" si="94">SUM(AK1402:AL1402)</f>
        <v>42.88</v>
      </c>
      <c r="AN1402" s="52"/>
      <c r="AO1402" s="52"/>
      <c r="AP1402" s="51"/>
    </row>
    <row r="1403" spans="1:42" s="293" customFormat="1" hidden="1" x14ac:dyDescent="0.3">
      <c r="A1403" s="50" t="s">
        <v>1451</v>
      </c>
      <c r="B1403" s="51" t="s">
        <v>4838</v>
      </c>
      <c r="C1403" s="50" t="s">
        <v>4839</v>
      </c>
      <c r="D1403" s="51" t="s">
        <v>1491</v>
      </c>
      <c r="E1403" s="50" t="s">
        <v>4839</v>
      </c>
      <c r="F1403" s="51" t="s">
        <v>1493</v>
      </c>
      <c r="G1403" s="50" t="s">
        <v>4839</v>
      </c>
      <c r="H1403" s="51" t="s">
        <v>1491</v>
      </c>
      <c r="I1403" s="51"/>
      <c r="J1403" s="51"/>
      <c r="K1403" s="50" t="s">
        <v>4839</v>
      </c>
      <c r="L1403" s="51" t="s">
        <v>1491</v>
      </c>
      <c r="M1403" s="60" t="s">
        <v>271</v>
      </c>
      <c r="N1403" s="60" t="s">
        <v>271</v>
      </c>
      <c r="O1403" s="60" t="s">
        <v>271</v>
      </c>
      <c r="P1403" s="60" t="s">
        <v>271</v>
      </c>
      <c r="Q1403" s="60" t="s">
        <v>271</v>
      </c>
      <c r="R1403" s="60" t="s">
        <v>271</v>
      </c>
      <c r="S1403" s="60" t="s">
        <v>271</v>
      </c>
      <c r="T1403" s="60" t="s">
        <v>271</v>
      </c>
      <c r="U1403" s="60" t="s">
        <v>271</v>
      </c>
      <c r="V1403" s="51" t="s">
        <v>1495</v>
      </c>
      <c r="W1403" s="291"/>
      <c r="X1403" s="291"/>
      <c r="Y1403" s="291"/>
      <c r="Z1403" s="291"/>
      <c r="AA1403" s="291"/>
      <c r="AB1403" s="291"/>
      <c r="AC1403" s="291"/>
      <c r="AD1403" s="291"/>
      <c r="AE1403" s="292"/>
      <c r="AF1403" s="56"/>
      <c r="AG1403" s="292"/>
      <c r="AH1403" s="56"/>
      <c r="AI1403" s="56"/>
      <c r="AJ1403" s="56"/>
      <c r="AK1403" s="57">
        <v>128.59161554300002</v>
      </c>
      <c r="AL1403" s="57">
        <v>123.67673865099999</v>
      </c>
      <c r="AM1403" s="56">
        <f t="shared" si="94"/>
        <v>252.26835419400001</v>
      </c>
      <c r="AN1403" s="52"/>
      <c r="AO1403" s="52"/>
      <c r="AP1403" s="51"/>
    </row>
    <row r="1404" spans="1:42" s="293" customFormat="1" hidden="1" x14ac:dyDescent="0.3">
      <c r="A1404" s="50"/>
      <c r="B1404" s="51"/>
      <c r="C1404" s="50"/>
      <c r="D1404" s="51"/>
      <c r="E1404" s="50"/>
      <c r="F1404" s="51"/>
      <c r="G1404" s="50"/>
      <c r="H1404" s="51"/>
      <c r="I1404" s="51"/>
      <c r="J1404" s="51"/>
      <c r="K1404" s="50"/>
      <c r="L1404" s="51"/>
      <c r="M1404" s="60"/>
      <c r="N1404" s="60"/>
      <c r="O1404" s="60"/>
      <c r="P1404" s="60"/>
      <c r="Q1404" s="60"/>
      <c r="R1404" s="60"/>
      <c r="S1404" s="60"/>
      <c r="T1404" s="60"/>
      <c r="U1404" s="60"/>
      <c r="V1404" s="51" t="s">
        <v>4840</v>
      </c>
      <c r="W1404" s="291"/>
      <c r="X1404" s="291"/>
      <c r="Y1404" s="291"/>
      <c r="Z1404" s="291"/>
      <c r="AA1404" s="291"/>
      <c r="AB1404" s="291"/>
      <c r="AC1404" s="291"/>
      <c r="AD1404" s="291"/>
      <c r="AE1404" s="292"/>
      <c r="AF1404" s="56"/>
      <c r="AG1404" s="292"/>
      <c r="AH1404" s="56"/>
      <c r="AI1404" s="56"/>
      <c r="AJ1404" s="56"/>
      <c r="AK1404" s="57">
        <v>1059.4000000000001</v>
      </c>
      <c r="AL1404" s="57">
        <v>1059.4000000000001</v>
      </c>
      <c r="AM1404" s="56">
        <f t="shared" si="94"/>
        <v>2118.8000000000002</v>
      </c>
      <c r="AN1404" s="52"/>
      <c r="AO1404" s="52"/>
      <c r="AP1404" s="51"/>
    </row>
    <row r="1405" spans="1:42" s="18" customFormat="1" hidden="1" x14ac:dyDescent="0.3">
      <c r="A1405" s="233" t="s">
        <v>1451</v>
      </c>
      <c r="B1405" s="18" t="s">
        <v>4838</v>
      </c>
      <c r="C1405" s="233" t="s">
        <v>4841</v>
      </c>
      <c r="D1405" s="18" t="s">
        <v>2439</v>
      </c>
      <c r="E1405" s="233" t="s">
        <v>4842</v>
      </c>
      <c r="F1405" s="18" t="s">
        <v>4843</v>
      </c>
      <c r="G1405" s="228" t="s">
        <v>4844</v>
      </c>
      <c r="H1405" s="18" t="s">
        <v>4845</v>
      </c>
      <c r="I1405" s="228" t="s">
        <v>4846</v>
      </c>
      <c r="J1405" s="18" t="s">
        <v>4847</v>
      </c>
      <c r="K1405" s="228" t="s">
        <v>4848</v>
      </c>
      <c r="L1405" s="18" t="s">
        <v>4849</v>
      </c>
      <c r="M1405" s="18" t="s">
        <v>4850</v>
      </c>
      <c r="N1405" s="16">
        <v>0</v>
      </c>
      <c r="O1405" s="16">
        <v>1</v>
      </c>
      <c r="P1405" s="16">
        <v>1</v>
      </c>
      <c r="Q1405" s="16">
        <v>0</v>
      </c>
      <c r="R1405" s="16">
        <v>0</v>
      </c>
      <c r="S1405" s="16">
        <v>0</v>
      </c>
      <c r="T1405" s="18" t="s">
        <v>831</v>
      </c>
      <c r="U1405" s="283" t="s">
        <v>834</v>
      </c>
      <c r="V1405" s="18" t="s">
        <v>4851</v>
      </c>
      <c r="AC1405" s="316">
        <v>0</v>
      </c>
      <c r="AD1405" s="316">
        <v>0</v>
      </c>
      <c r="AE1405" s="302">
        <f t="shared" ref="AE1405:AE1468" si="95">SUM(W1405:AD1405)/8</f>
        <v>0</v>
      </c>
      <c r="AF1405" s="176"/>
      <c r="AG1405" s="17">
        <v>0</v>
      </c>
      <c r="AH1405" s="176">
        <v>0.45</v>
      </c>
      <c r="AI1405" s="176">
        <v>0.25</v>
      </c>
      <c r="AJ1405" s="234" t="s">
        <v>2526</v>
      </c>
      <c r="AK1405" s="235" t="s">
        <v>2526</v>
      </c>
      <c r="AL1405" s="235" t="s">
        <v>2526</v>
      </c>
      <c r="AM1405" s="17">
        <f t="shared" si="94"/>
        <v>0</v>
      </c>
      <c r="AN1405" s="236" t="s">
        <v>831</v>
      </c>
      <c r="AO1405" s="236" t="s">
        <v>834</v>
      </c>
      <c r="AP1405" s="228" t="s">
        <v>4852</v>
      </c>
    </row>
    <row r="1406" spans="1:42" s="18" customFormat="1" hidden="1" x14ac:dyDescent="0.3">
      <c r="A1406" s="228" t="s">
        <v>1451</v>
      </c>
      <c r="B1406" s="18" t="s">
        <v>4838</v>
      </c>
      <c r="C1406" s="228" t="s">
        <v>4841</v>
      </c>
      <c r="D1406" s="18" t="s">
        <v>2439</v>
      </c>
      <c r="E1406" s="228" t="s">
        <v>4842</v>
      </c>
      <c r="F1406" s="18" t="s">
        <v>4843</v>
      </c>
      <c r="G1406" s="228" t="s">
        <v>4844</v>
      </c>
      <c r="H1406" s="18" t="s">
        <v>4845</v>
      </c>
      <c r="I1406" s="228" t="s">
        <v>4846</v>
      </c>
      <c r="J1406" s="18" t="s">
        <v>4847</v>
      </c>
      <c r="K1406" s="228" t="s">
        <v>4848</v>
      </c>
      <c r="L1406" s="18" t="s">
        <v>4849</v>
      </c>
      <c r="M1406" s="18" t="s">
        <v>4853</v>
      </c>
      <c r="N1406" s="16">
        <v>0</v>
      </c>
      <c r="O1406" s="16">
        <v>0</v>
      </c>
      <c r="P1406" s="16">
        <v>0</v>
      </c>
      <c r="Q1406" s="16">
        <v>500</v>
      </c>
      <c r="R1406" s="16">
        <v>500</v>
      </c>
      <c r="S1406" s="16">
        <v>500</v>
      </c>
      <c r="T1406" s="18" t="s">
        <v>1191</v>
      </c>
      <c r="U1406" s="283" t="e">
        <v>#N/A</v>
      </c>
      <c r="V1406" s="18" t="s">
        <v>4854</v>
      </c>
      <c r="W1406" s="18">
        <v>0</v>
      </c>
      <c r="X1406" s="18">
        <v>0</v>
      </c>
      <c r="Y1406" s="18">
        <v>0</v>
      </c>
      <c r="Z1406" s="18">
        <v>1</v>
      </c>
      <c r="AA1406" s="18">
        <v>0</v>
      </c>
      <c r="AB1406" s="18">
        <v>0</v>
      </c>
      <c r="AC1406" s="316">
        <v>1</v>
      </c>
      <c r="AD1406" s="316">
        <v>0</v>
      </c>
      <c r="AE1406" s="302">
        <f t="shared" si="95"/>
        <v>0.25</v>
      </c>
      <c r="AF1406" s="176">
        <v>0</v>
      </c>
      <c r="AG1406" s="17">
        <v>0</v>
      </c>
      <c r="AH1406" s="176" t="s">
        <v>2526</v>
      </c>
      <c r="AI1406" s="176">
        <v>0.2</v>
      </c>
      <c r="AJ1406" s="176" t="s">
        <v>2526</v>
      </c>
      <c r="AK1406" s="177" t="s">
        <v>2526</v>
      </c>
      <c r="AL1406" s="177" t="s">
        <v>2526</v>
      </c>
      <c r="AM1406" s="17">
        <f t="shared" si="94"/>
        <v>0</v>
      </c>
      <c r="AN1406" s="18" t="s">
        <v>921</v>
      </c>
      <c r="AO1406" s="18" t="s">
        <v>880</v>
      </c>
      <c r="AP1406" s="228" t="s">
        <v>4855</v>
      </c>
    </row>
    <row r="1407" spans="1:42" s="18" customFormat="1" x14ac:dyDescent="0.3">
      <c r="A1407" s="228" t="s">
        <v>1451</v>
      </c>
      <c r="B1407" s="18" t="s">
        <v>4838</v>
      </c>
      <c r="C1407" s="228" t="s">
        <v>4841</v>
      </c>
      <c r="D1407" s="18" t="s">
        <v>2439</v>
      </c>
      <c r="E1407" s="228" t="s">
        <v>4842</v>
      </c>
      <c r="F1407" s="18" t="s">
        <v>4843</v>
      </c>
      <c r="G1407" s="228" t="s">
        <v>4844</v>
      </c>
      <c r="H1407" s="18" t="s">
        <v>4845</v>
      </c>
      <c r="I1407" s="228" t="s">
        <v>4846</v>
      </c>
      <c r="J1407" s="18" t="s">
        <v>4847</v>
      </c>
      <c r="K1407" s="228" t="s">
        <v>4848</v>
      </c>
      <c r="L1407" s="18" t="s">
        <v>4849</v>
      </c>
      <c r="M1407" s="18" t="s">
        <v>4856</v>
      </c>
      <c r="N1407" s="16">
        <v>0</v>
      </c>
      <c r="O1407" s="16">
        <v>10</v>
      </c>
      <c r="P1407" s="16">
        <v>10</v>
      </c>
      <c r="Q1407" s="16">
        <v>5</v>
      </c>
      <c r="R1407" s="16">
        <v>5</v>
      </c>
      <c r="S1407" s="16">
        <v>3</v>
      </c>
      <c r="T1407" s="18" t="s">
        <v>1191</v>
      </c>
      <c r="U1407" s="283" t="e">
        <v>#N/A</v>
      </c>
      <c r="V1407" s="18" t="s">
        <v>4857</v>
      </c>
      <c r="W1407" s="18">
        <v>1</v>
      </c>
      <c r="X1407" s="18">
        <v>1</v>
      </c>
      <c r="Y1407" s="18">
        <v>1</v>
      </c>
      <c r="Z1407" s="18">
        <v>1</v>
      </c>
      <c r="AA1407" s="18">
        <v>1</v>
      </c>
      <c r="AB1407" s="18">
        <v>1</v>
      </c>
      <c r="AC1407" s="316">
        <v>1</v>
      </c>
      <c r="AD1407" s="316">
        <v>0</v>
      </c>
      <c r="AE1407" s="302">
        <f t="shared" si="95"/>
        <v>0.875</v>
      </c>
      <c r="AF1407" s="176">
        <v>1</v>
      </c>
      <c r="AG1407" s="17">
        <v>1</v>
      </c>
      <c r="AH1407" s="176" t="s">
        <v>2526</v>
      </c>
      <c r="AI1407" s="176" t="s">
        <v>2526</v>
      </c>
      <c r="AJ1407" s="176">
        <v>0</v>
      </c>
      <c r="AK1407" s="237">
        <v>20</v>
      </c>
      <c r="AL1407" s="237">
        <v>30</v>
      </c>
      <c r="AM1407" s="17">
        <f t="shared" si="94"/>
        <v>50</v>
      </c>
      <c r="AN1407" s="18" t="s">
        <v>921</v>
      </c>
      <c r="AO1407" s="18" t="s">
        <v>880</v>
      </c>
      <c r="AP1407" s="18" t="s">
        <v>119</v>
      </c>
    </row>
    <row r="1408" spans="1:42" s="18" customFormat="1" x14ac:dyDescent="0.3">
      <c r="A1408" s="228" t="s">
        <v>1451</v>
      </c>
      <c r="B1408" s="18" t="s">
        <v>4838</v>
      </c>
      <c r="C1408" s="228" t="s">
        <v>4841</v>
      </c>
      <c r="D1408" s="18" t="s">
        <v>2439</v>
      </c>
      <c r="E1408" s="228" t="s">
        <v>4842</v>
      </c>
      <c r="F1408" s="18" t="s">
        <v>4843</v>
      </c>
      <c r="G1408" s="228" t="s">
        <v>4844</v>
      </c>
      <c r="H1408" s="18" t="s">
        <v>4845</v>
      </c>
      <c r="I1408" s="228" t="s">
        <v>4846</v>
      </c>
      <c r="J1408" s="18" t="s">
        <v>4847</v>
      </c>
      <c r="K1408" s="228" t="s">
        <v>4848</v>
      </c>
      <c r="L1408" s="18" t="s">
        <v>4849</v>
      </c>
      <c r="M1408" s="18" t="s">
        <v>4858</v>
      </c>
      <c r="N1408" s="16">
        <v>0</v>
      </c>
      <c r="O1408" s="16">
        <v>100</v>
      </c>
      <c r="P1408" s="16">
        <v>100</v>
      </c>
      <c r="Q1408" s="16">
        <v>100</v>
      </c>
      <c r="R1408" s="16">
        <v>100</v>
      </c>
      <c r="S1408" s="16">
        <v>100</v>
      </c>
      <c r="T1408" s="18" t="s">
        <v>4855</v>
      </c>
      <c r="U1408" s="283" t="e">
        <v>#N/A</v>
      </c>
      <c r="V1408" s="18" t="s">
        <v>4859</v>
      </c>
      <c r="W1408" s="18">
        <v>1</v>
      </c>
      <c r="X1408" s="18">
        <v>1</v>
      </c>
      <c r="Y1408" s="18">
        <v>0</v>
      </c>
      <c r="Z1408" s="18">
        <v>1</v>
      </c>
      <c r="AA1408" s="18">
        <v>1</v>
      </c>
      <c r="AB1408" s="18">
        <v>1</v>
      </c>
      <c r="AC1408" s="316">
        <v>1</v>
      </c>
      <c r="AD1408" s="316">
        <v>1</v>
      </c>
      <c r="AE1408" s="302">
        <f t="shared" si="95"/>
        <v>0.875</v>
      </c>
      <c r="AF1408" s="176">
        <v>0</v>
      </c>
      <c r="AG1408" s="17">
        <v>0</v>
      </c>
      <c r="AH1408" s="176" t="s">
        <v>2526</v>
      </c>
      <c r="AI1408" s="176" t="s">
        <v>2526</v>
      </c>
      <c r="AJ1408" s="176" t="s">
        <v>2526</v>
      </c>
      <c r="AK1408" s="238" t="s">
        <v>2526</v>
      </c>
      <c r="AL1408" s="238" t="s">
        <v>2526</v>
      </c>
      <c r="AM1408" s="17">
        <f t="shared" si="94"/>
        <v>0</v>
      </c>
      <c r="AN1408" s="157" t="s">
        <v>4860</v>
      </c>
      <c r="AO1408" s="157" t="e">
        <v>#N/A</v>
      </c>
      <c r="AP1408" s="18" t="s">
        <v>119</v>
      </c>
    </row>
    <row r="1409" spans="1:43" s="18" customFormat="1" x14ac:dyDescent="0.3">
      <c r="A1409" s="228" t="s">
        <v>1451</v>
      </c>
      <c r="B1409" s="18" t="s">
        <v>4838</v>
      </c>
      <c r="C1409" s="228" t="s">
        <v>4841</v>
      </c>
      <c r="D1409" s="18" t="s">
        <v>2439</v>
      </c>
      <c r="E1409" s="228" t="s">
        <v>4842</v>
      </c>
      <c r="F1409" s="18" t="s">
        <v>4843</v>
      </c>
      <c r="G1409" s="228" t="s">
        <v>4844</v>
      </c>
      <c r="H1409" s="18" t="s">
        <v>4845</v>
      </c>
      <c r="I1409" s="228" t="s">
        <v>4861</v>
      </c>
      <c r="J1409" s="18" t="s">
        <v>4862</v>
      </c>
      <c r="K1409" s="228" t="s">
        <v>4863</v>
      </c>
      <c r="L1409" s="18" t="s">
        <v>4864</v>
      </c>
      <c r="M1409" s="18" t="s">
        <v>4865</v>
      </c>
      <c r="N1409" s="16"/>
      <c r="O1409" s="16"/>
      <c r="P1409" s="16">
        <v>2130</v>
      </c>
      <c r="Q1409" s="16">
        <v>2663</v>
      </c>
      <c r="R1409" s="16">
        <v>3328</v>
      </c>
      <c r="S1409" s="16">
        <v>4160</v>
      </c>
      <c r="T1409" s="18" t="s">
        <v>4866</v>
      </c>
      <c r="U1409" s="283" t="s">
        <v>4867</v>
      </c>
      <c r="V1409" s="18" t="s">
        <v>4868</v>
      </c>
      <c r="W1409" s="18">
        <v>1</v>
      </c>
      <c r="X1409" s="18">
        <v>0</v>
      </c>
      <c r="Z1409" s="18">
        <v>1</v>
      </c>
      <c r="AA1409" s="18">
        <v>1</v>
      </c>
      <c r="AB1409" s="18">
        <v>1</v>
      </c>
      <c r="AC1409" s="316">
        <v>1</v>
      </c>
      <c r="AD1409" s="316">
        <v>1</v>
      </c>
      <c r="AE1409" s="302">
        <v>0.75</v>
      </c>
      <c r="AF1409" s="176">
        <v>0</v>
      </c>
      <c r="AG1409" s="17">
        <v>0</v>
      </c>
      <c r="AH1409" s="176" t="s">
        <v>2526</v>
      </c>
      <c r="AI1409" s="176" t="s">
        <v>2526</v>
      </c>
      <c r="AJ1409" s="176" t="s">
        <v>2526</v>
      </c>
      <c r="AK1409" s="237">
        <v>3</v>
      </c>
      <c r="AL1409" s="237">
        <v>3.5</v>
      </c>
      <c r="AM1409" s="239">
        <v>8.5</v>
      </c>
      <c r="AN1409" s="239" t="s">
        <v>4866</v>
      </c>
      <c r="AO1409" s="239" t="s">
        <v>880</v>
      </c>
      <c r="AP1409" s="17" t="s">
        <v>4869</v>
      </c>
    </row>
    <row r="1410" spans="1:43" s="18" customFormat="1" x14ac:dyDescent="0.3">
      <c r="A1410" s="228" t="s">
        <v>1451</v>
      </c>
      <c r="B1410" s="18" t="s">
        <v>4838</v>
      </c>
      <c r="C1410" s="228" t="s">
        <v>4841</v>
      </c>
      <c r="D1410" s="18" t="s">
        <v>2439</v>
      </c>
      <c r="E1410" s="228" t="s">
        <v>4842</v>
      </c>
      <c r="F1410" s="18" t="s">
        <v>4843</v>
      </c>
      <c r="G1410" s="228" t="s">
        <v>4844</v>
      </c>
      <c r="H1410" s="18" t="s">
        <v>4845</v>
      </c>
      <c r="I1410" s="228" t="s">
        <v>4861</v>
      </c>
      <c r="J1410" s="18" t="s">
        <v>4862</v>
      </c>
      <c r="K1410" s="228" t="s">
        <v>4863</v>
      </c>
      <c r="L1410" s="18" t="s">
        <v>4864</v>
      </c>
      <c r="M1410" s="18" t="s">
        <v>4870</v>
      </c>
      <c r="N1410" s="16"/>
      <c r="O1410" s="16"/>
      <c r="P1410" s="16">
        <v>3000</v>
      </c>
      <c r="Q1410" s="16">
        <v>3750</v>
      </c>
      <c r="R1410" s="16">
        <v>4687</v>
      </c>
      <c r="S1410" s="16">
        <v>5859</v>
      </c>
      <c r="T1410" s="18" t="s">
        <v>4866</v>
      </c>
      <c r="U1410" s="283" t="s">
        <v>4867</v>
      </c>
      <c r="V1410" s="18" t="s">
        <v>4871</v>
      </c>
      <c r="W1410" s="18">
        <v>1</v>
      </c>
      <c r="X1410" s="18">
        <v>1</v>
      </c>
      <c r="Y1410" s="18">
        <v>1</v>
      </c>
      <c r="Z1410" s="18">
        <v>1</v>
      </c>
      <c r="AA1410" s="18">
        <v>1</v>
      </c>
      <c r="AB1410" s="18">
        <v>1</v>
      </c>
      <c r="AC1410" s="316">
        <v>1</v>
      </c>
      <c r="AD1410" s="316">
        <v>0</v>
      </c>
      <c r="AE1410" s="302">
        <v>0.875</v>
      </c>
      <c r="AF1410" s="176">
        <v>0</v>
      </c>
      <c r="AG1410" s="17">
        <v>0</v>
      </c>
      <c r="AH1410" s="176" t="s">
        <v>2526</v>
      </c>
      <c r="AI1410" s="176" t="s">
        <v>2526</v>
      </c>
      <c r="AJ1410" s="176" t="s">
        <v>2526</v>
      </c>
      <c r="AK1410" s="177">
        <v>1.4</v>
      </c>
      <c r="AL1410" s="238">
        <v>1.6</v>
      </c>
      <c r="AM1410" s="239">
        <v>3</v>
      </c>
      <c r="AN1410" s="239" t="s">
        <v>4866</v>
      </c>
      <c r="AO1410" s="239" t="s">
        <v>880</v>
      </c>
      <c r="AP1410" s="17" t="s">
        <v>4869</v>
      </c>
    </row>
    <row r="1411" spans="1:43" s="18" customFormat="1" x14ac:dyDescent="0.3">
      <c r="A1411" s="228" t="s">
        <v>1451</v>
      </c>
      <c r="B1411" s="18" t="s">
        <v>4838</v>
      </c>
      <c r="C1411" s="228" t="s">
        <v>4841</v>
      </c>
      <c r="D1411" s="18" t="s">
        <v>2439</v>
      </c>
      <c r="E1411" s="228" t="s">
        <v>4842</v>
      </c>
      <c r="F1411" s="18" t="s">
        <v>4843</v>
      </c>
      <c r="G1411" s="228" t="s">
        <v>4844</v>
      </c>
      <c r="H1411" s="18" t="s">
        <v>4845</v>
      </c>
      <c r="I1411" s="228" t="s">
        <v>4861</v>
      </c>
      <c r="J1411" s="18" t="s">
        <v>4862</v>
      </c>
      <c r="K1411" s="228" t="s">
        <v>4863</v>
      </c>
      <c r="L1411" s="18" t="s">
        <v>4864</v>
      </c>
      <c r="M1411" s="18" t="s">
        <v>4872</v>
      </c>
      <c r="N1411" s="16"/>
      <c r="O1411" s="16"/>
      <c r="P1411" s="16" t="s">
        <v>4873</v>
      </c>
      <c r="Q1411" s="16" t="s">
        <v>4874</v>
      </c>
      <c r="R1411" s="16" t="s">
        <v>4875</v>
      </c>
      <c r="S1411" s="16" t="s">
        <v>4876</v>
      </c>
      <c r="T1411" s="18" t="s">
        <v>4866</v>
      </c>
      <c r="U1411" s="283" t="s">
        <v>4867</v>
      </c>
      <c r="V1411" s="18" t="s">
        <v>4877</v>
      </c>
      <c r="W1411" s="18">
        <v>1</v>
      </c>
      <c r="X1411" s="18">
        <v>0</v>
      </c>
      <c r="Y1411" s="18">
        <v>0</v>
      </c>
      <c r="Z1411" s="18">
        <v>1</v>
      </c>
      <c r="AA1411" s="18">
        <v>1</v>
      </c>
      <c r="AB1411" s="18">
        <v>1</v>
      </c>
      <c r="AC1411" s="316">
        <v>1</v>
      </c>
      <c r="AD1411" s="316">
        <v>1</v>
      </c>
      <c r="AE1411" s="302">
        <v>0.75</v>
      </c>
      <c r="AF1411" s="176">
        <v>0</v>
      </c>
      <c r="AG1411" s="17">
        <v>0</v>
      </c>
      <c r="AH1411" s="176" t="s">
        <v>2526</v>
      </c>
      <c r="AI1411" s="176" t="s">
        <v>2526</v>
      </c>
      <c r="AJ1411" s="176" t="s">
        <v>2526</v>
      </c>
      <c r="AK1411" s="177">
        <v>1</v>
      </c>
      <c r="AL1411" s="238">
        <v>1</v>
      </c>
      <c r="AM1411" s="239">
        <v>2</v>
      </c>
      <c r="AN1411" s="239" t="s">
        <v>4866</v>
      </c>
      <c r="AO1411" s="239" t="s">
        <v>880</v>
      </c>
      <c r="AP1411" s="17" t="s">
        <v>4869</v>
      </c>
    </row>
    <row r="1412" spans="1:43" s="18" customFormat="1" x14ac:dyDescent="0.3">
      <c r="A1412" s="228" t="s">
        <v>1451</v>
      </c>
      <c r="B1412" s="18" t="s">
        <v>4838</v>
      </c>
      <c r="C1412" s="228" t="s">
        <v>4841</v>
      </c>
      <c r="D1412" s="18" t="s">
        <v>2439</v>
      </c>
      <c r="E1412" s="228" t="s">
        <v>4842</v>
      </c>
      <c r="F1412" s="18" t="s">
        <v>4843</v>
      </c>
      <c r="G1412" s="228" t="s">
        <v>4844</v>
      </c>
      <c r="H1412" s="18" t="s">
        <v>4845</v>
      </c>
      <c r="I1412" s="228" t="s">
        <v>4846</v>
      </c>
      <c r="J1412" s="18" t="s">
        <v>4847</v>
      </c>
      <c r="K1412" s="228" t="s">
        <v>4848</v>
      </c>
      <c r="L1412" s="18" t="s">
        <v>4849</v>
      </c>
      <c r="N1412" s="16"/>
      <c r="O1412" s="16"/>
      <c r="P1412" s="16"/>
      <c r="Q1412" s="16"/>
      <c r="R1412" s="16"/>
      <c r="S1412" s="16"/>
      <c r="U1412" s="283" t="e">
        <v>#N/A</v>
      </c>
      <c r="V1412" s="18" t="s">
        <v>4878</v>
      </c>
      <c r="W1412" s="18">
        <v>1</v>
      </c>
      <c r="X1412" s="18">
        <v>1</v>
      </c>
      <c r="Y1412" s="18">
        <v>1</v>
      </c>
      <c r="Z1412" s="18">
        <v>1</v>
      </c>
      <c r="AA1412" s="18">
        <v>1</v>
      </c>
      <c r="AB1412" s="18">
        <v>1</v>
      </c>
      <c r="AC1412" s="316">
        <v>0</v>
      </c>
      <c r="AD1412" s="316">
        <v>1</v>
      </c>
      <c r="AE1412" s="302">
        <f t="shared" si="95"/>
        <v>0.875</v>
      </c>
      <c r="AF1412" s="176">
        <v>0</v>
      </c>
      <c r="AG1412" s="17">
        <v>0</v>
      </c>
      <c r="AH1412" s="176" t="s">
        <v>2526</v>
      </c>
      <c r="AI1412" s="176" t="s">
        <v>2526</v>
      </c>
      <c r="AJ1412" s="176" t="s">
        <v>2526</v>
      </c>
      <c r="AK1412" s="177" t="s">
        <v>2526</v>
      </c>
      <c r="AL1412" s="177" t="s">
        <v>2526</v>
      </c>
      <c r="AM1412" s="17">
        <f t="shared" si="94"/>
        <v>0</v>
      </c>
      <c r="AN1412" s="18" t="s">
        <v>4860</v>
      </c>
      <c r="AO1412" s="18" t="e">
        <v>#N/A</v>
      </c>
      <c r="AP1412" s="18" t="s">
        <v>119</v>
      </c>
    </row>
    <row r="1413" spans="1:43" s="18" customFormat="1" x14ac:dyDescent="0.3">
      <c r="A1413" s="228" t="s">
        <v>1451</v>
      </c>
      <c r="B1413" s="18" t="s">
        <v>4838</v>
      </c>
      <c r="C1413" s="228" t="s">
        <v>4841</v>
      </c>
      <c r="D1413" s="18" t="s">
        <v>2439</v>
      </c>
      <c r="E1413" s="228" t="s">
        <v>4842</v>
      </c>
      <c r="F1413" s="18" t="s">
        <v>4843</v>
      </c>
      <c r="G1413" s="228" t="s">
        <v>4844</v>
      </c>
      <c r="H1413" s="18" t="s">
        <v>4845</v>
      </c>
      <c r="I1413" s="228" t="s">
        <v>4861</v>
      </c>
      <c r="J1413" s="18" t="s">
        <v>4862</v>
      </c>
      <c r="K1413" s="228" t="s">
        <v>4863</v>
      </c>
      <c r="L1413" s="18" t="s">
        <v>4864</v>
      </c>
      <c r="M1413" s="18" t="s">
        <v>4879</v>
      </c>
      <c r="N1413" s="16">
        <v>0</v>
      </c>
      <c r="O1413" s="16">
        <v>0</v>
      </c>
      <c r="P1413" s="16">
        <v>41000</v>
      </c>
      <c r="Q1413" s="16">
        <v>41000</v>
      </c>
      <c r="R1413" s="16">
        <v>41000</v>
      </c>
      <c r="S1413" s="16">
        <v>41000</v>
      </c>
      <c r="T1413" s="18" t="s">
        <v>1191</v>
      </c>
      <c r="U1413" s="283" t="e">
        <v>#N/A</v>
      </c>
      <c r="V1413" s="18" t="s">
        <v>4880</v>
      </c>
      <c r="W1413" s="18">
        <v>1</v>
      </c>
      <c r="X1413" s="18">
        <v>1</v>
      </c>
      <c r="Y1413" s="18">
        <v>1</v>
      </c>
      <c r="Z1413" s="18">
        <v>1</v>
      </c>
      <c r="AA1413" s="18">
        <v>1</v>
      </c>
      <c r="AB1413" s="18">
        <v>1</v>
      </c>
      <c r="AC1413" s="316">
        <v>1</v>
      </c>
      <c r="AD1413" s="316">
        <v>1</v>
      </c>
      <c r="AE1413" s="302">
        <f t="shared" si="95"/>
        <v>1</v>
      </c>
      <c r="AF1413" s="176">
        <v>0</v>
      </c>
      <c r="AG1413" s="17">
        <v>0</v>
      </c>
      <c r="AH1413" s="176" t="s">
        <v>2526</v>
      </c>
      <c r="AI1413" s="239">
        <v>0</v>
      </c>
      <c r="AJ1413" s="239" t="s">
        <v>2526</v>
      </c>
      <c r="AK1413" s="238" t="s">
        <v>2526</v>
      </c>
      <c r="AL1413" s="238" t="s">
        <v>2526</v>
      </c>
      <c r="AM1413" s="17">
        <f t="shared" si="94"/>
        <v>0</v>
      </c>
      <c r="AN1413" s="157" t="s">
        <v>921</v>
      </c>
      <c r="AO1413" s="157" t="s">
        <v>880</v>
      </c>
      <c r="AP1413" s="18" t="s">
        <v>119</v>
      </c>
    </row>
    <row r="1414" spans="1:43" s="18" customFormat="1" hidden="1" x14ac:dyDescent="0.3">
      <c r="A1414" s="228" t="s">
        <v>1451</v>
      </c>
      <c r="B1414" s="18" t="s">
        <v>4838</v>
      </c>
      <c r="C1414" s="228" t="s">
        <v>4841</v>
      </c>
      <c r="D1414" s="18" t="s">
        <v>2439</v>
      </c>
      <c r="E1414" s="228" t="s">
        <v>4842</v>
      </c>
      <c r="F1414" s="18" t="s">
        <v>4843</v>
      </c>
      <c r="G1414" s="228" t="s">
        <v>4844</v>
      </c>
      <c r="H1414" s="18" t="s">
        <v>4845</v>
      </c>
      <c r="I1414" s="228" t="s">
        <v>4861</v>
      </c>
      <c r="J1414" s="18" t="s">
        <v>4862</v>
      </c>
      <c r="K1414" s="228" t="s">
        <v>4863</v>
      </c>
      <c r="L1414" s="18" t="s">
        <v>4864</v>
      </c>
      <c r="M1414" s="18" t="s">
        <v>4881</v>
      </c>
      <c r="N1414" s="16">
        <v>2500</v>
      </c>
      <c r="O1414" s="16">
        <v>11000</v>
      </c>
      <c r="P1414" s="16">
        <v>11000</v>
      </c>
      <c r="Q1414" s="16">
        <v>11000</v>
      </c>
      <c r="R1414" s="16">
        <v>11000</v>
      </c>
      <c r="S1414" s="16">
        <v>11000</v>
      </c>
      <c r="T1414" s="18" t="s">
        <v>4869</v>
      </c>
      <c r="U1414" s="283" t="e">
        <v>#N/A</v>
      </c>
      <c r="V1414" s="18" t="s">
        <v>4882</v>
      </c>
      <c r="W1414" s="18">
        <v>0</v>
      </c>
      <c r="X1414" s="18">
        <v>0</v>
      </c>
      <c r="Y1414" s="18">
        <v>0</v>
      </c>
      <c r="Z1414" s="18">
        <v>0</v>
      </c>
      <c r="AA1414" s="18">
        <v>0</v>
      </c>
      <c r="AB1414" s="18">
        <v>0</v>
      </c>
      <c r="AC1414" s="316">
        <v>1</v>
      </c>
      <c r="AD1414" s="316">
        <v>0</v>
      </c>
      <c r="AE1414" s="302">
        <f t="shared" si="95"/>
        <v>0.125</v>
      </c>
      <c r="AF1414" s="176">
        <v>0</v>
      </c>
      <c r="AG1414" s="17">
        <v>0</v>
      </c>
      <c r="AH1414" s="176" t="s">
        <v>2526</v>
      </c>
      <c r="AI1414" s="176">
        <v>0.2</v>
      </c>
      <c r="AJ1414" s="176" t="s">
        <v>2526</v>
      </c>
      <c r="AK1414" s="177" t="s">
        <v>2526</v>
      </c>
      <c r="AL1414" s="177" t="s">
        <v>2526</v>
      </c>
      <c r="AM1414" s="17">
        <f t="shared" si="94"/>
        <v>0</v>
      </c>
      <c r="AN1414" s="18" t="s">
        <v>921</v>
      </c>
      <c r="AO1414" s="18" t="s">
        <v>880</v>
      </c>
      <c r="AP1414" s="228" t="s">
        <v>4869</v>
      </c>
    </row>
    <row r="1415" spans="1:43" s="18" customFormat="1" x14ac:dyDescent="0.3">
      <c r="A1415" s="228" t="s">
        <v>1451</v>
      </c>
      <c r="B1415" s="18" t="s">
        <v>4838</v>
      </c>
      <c r="C1415" s="228" t="s">
        <v>4841</v>
      </c>
      <c r="D1415" s="18" t="s">
        <v>2439</v>
      </c>
      <c r="E1415" s="228" t="s">
        <v>4842</v>
      </c>
      <c r="F1415" s="18" t="s">
        <v>4843</v>
      </c>
      <c r="G1415" s="228" t="s">
        <v>4844</v>
      </c>
      <c r="H1415" s="18" t="s">
        <v>4845</v>
      </c>
      <c r="I1415" s="228" t="s">
        <v>4861</v>
      </c>
      <c r="J1415" s="18" t="s">
        <v>4862</v>
      </c>
      <c r="K1415" s="228" t="s">
        <v>4863</v>
      </c>
      <c r="L1415" s="18" t="s">
        <v>4864</v>
      </c>
      <c r="M1415" s="18" t="s">
        <v>4883</v>
      </c>
      <c r="N1415" s="16"/>
      <c r="O1415" s="16">
        <v>0</v>
      </c>
      <c r="P1415" s="16">
        <v>0.5</v>
      </c>
      <c r="Q1415" s="16">
        <v>0.75</v>
      </c>
      <c r="R1415" s="16">
        <v>0.85</v>
      </c>
      <c r="S1415" s="16">
        <v>0.85</v>
      </c>
      <c r="T1415" s="18" t="s">
        <v>1191</v>
      </c>
      <c r="U1415" s="283" t="e">
        <v>#N/A</v>
      </c>
      <c r="V1415" s="18" t="s">
        <v>4884</v>
      </c>
      <c r="W1415" s="18">
        <v>1</v>
      </c>
      <c r="X1415" s="18">
        <v>1</v>
      </c>
      <c r="Y1415" s="18">
        <v>1</v>
      </c>
      <c r="Z1415" s="18">
        <v>1</v>
      </c>
      <c r="AA1415" s="18">
        <v>1</v>
      </c>
      <c r="AB1415" s="18">
        <v>1</v>
      </c>
      <c r="AC1415" s="316">
        <v>1</v>
      </c>
      <c r="AD1415" s="316">
        <v>1</v>
      </c>
      <c r="AE1415" s="302">
        <f t="shared" si="95"/>
        <v>1</v>
      </c>
      <c r="AF1415" s="176">
        <v>0</v>
      </c>
      <c r="AG1415" s="17">
        <v>0</v>
      </c>
      <c r="AH1415" s="176">
        <v>0.5</v>
      </c>
      <c r="AI1415" s="239">
        <v>0.5</v>
      </c>
      <c r="AJ1415" s="239">
        <v>0.5</v>
      </c>
      <c r="AK1415" s="238">
        <v>0.5</v>
      </c>
      <c r="AL1415" s="238">
        <v>0.5</v>
      </c>
      <c r="AM1415" s="17">
        <f t="shared" si="94"/>
        <v>1</v>
      </c>
      <c r="AN1415" s="157" t="s">
        <v>921</v>
      </c>
      <c r="AO1415" s="157" t="s">
        <v>880</v>
      </c>
      <c r="AP1415" s="157" t="s">
        <v>4885</v>
      </c>
      <c r="AQ1415" s="157"/>
    </row>
    <row r="1416" spans="1:43" s="18" customFormat="1" hidden="1" x14ac:dyDescent="0.3">
      <c r="A1416" s="228" t="s">
        <v>1451</v>
      </c>
      <c r="B1416" s="18" t="s">
        <v>4838</v>
      </c>
      <c r="C1416" s="228" t="s">
        <v>4841</v>
      </c>
      <c r="D1416" s="18" t="s">
        <v>2439</v>
      </c>
      <c r="E1416" s="228" t="s">
        <v>4842</v>
      </c>
      <c r="F1416" s="18" t="s">
        <v>4843</v>
      </c>
      <c r="G1416" s="228" t="s">
        <v>4844</v>
      </c>
      <c r="H1416" s="18" t="s">
        <v>4845</v>
      </c>
      <c r="I1416" s="228" t="s">
        <v>4861</v>
      </c>
      <c r="J1416" s="18" t="s">
        <v>4862</v>
      </c>
      <c r="K1416" s="228" t="s">
        <v>4863</v>
      </c>
      <c r="L1416" s="18" t="s">
        <v>4864</v>
      </c>
      <c r="N1416" s="16"/>
      <c r="O1416" s="16"/>
      <c r="P1416" s="16"/>
      <c r="Q1416" s="16"/>
      <c r="R1416" s="16"/>
      <c r="S1416" s="16"/>
      <c r="U1416" s="283" t="e">
        <v>#N/A</v>
      </c>
      <c r="V1416" s="18" t="s">
        <v>4886</v>
      </c>
      <c r="W1416" s="18">
        <v>1</v>
      </c>
      <c r="X1416" s="18">
        <v>0</v>
      </c>
      <c r="Y1416" s="18">
        <v>0</v>
      </c>
      <c r="Z1416" s="18">
        <v>1</v>
      </c>
      <c r="AA1416" s="18">
        <v>0</v>
      </c>
      <c r="AB1416" s="18">
        <v>0</v>
      </c>
      <c r="AC1416" s="316">
        <v>0</v>
      </c>
      <c r="AD1416" s="316">
        <v>0</v>
      </c>
      <c r="AE1416" s="302">
        <f t="shared" si="95"/>
        <v>0.25</v>
      </c>
      <c r="AF1416" s="176">
        <v>0</v>
      </c>
      <c r="AG1416" s="17">
        <v>0</v>
      </c>
      <c r="AH1416" s="176">
        <v>0.2</v>
      </c>
      <c r="AI1416" s="239">
        <v>0.3</v>
      </c>
      <c r="AJ1416" s="239">
        <v>0.4</v>
      </c>
      <c r="AK1416" s="238"/>
      <c r="AL1416" s="238"/>
      <c r="AM1416" s="17">
        <f t="shared" si="94"/>
        <v>0</v>
      </c>
      <c r="AN1416" s="157" t="s">
        <v>921</v>
      </c>
      <c r="AO1416" s="157" t="s">
        <v>880</v>
      </c>
      <c r="AP1416" s="18" t="s">
        <v>4855</v>
      </c>
    </row>
    <row r="1417" spans="1:43" s="18" customFormat="1" x14ac:dyDescent="0.3">
      <c r="A1417" s="228" t="s">
        <v>1451</v>
      </c>
      <c r="B1417" s="18" t="s">
        <v>4838</v>
      </c>
      <c r="C1417" s="228" t="s">
        <v>4841</v>
      </c>
      <c r="D1417" s="18" t="s">
        <v>2439</v>
      </c>
      <c r="E1417" s="228" t="s">
        <v>4842</v>
      </c>
      <c r="F1417" s="18" t="s">
        <v>4843</v>
      </c>
      <c r="G1417" s="228" t="s">
        <v>4844</v>
      </c>
      <c r="H1417" s="18" t="s">
        <v>4845</v>
      </c>
      <c r="I1417" s="228" t="s">
        <v>4861</v>
      </c>
      <c r="J1417" s="18" t="s">
        <v>4862</v>
      </c>
      <c r="K1417" s="228" t="s">
        <v>4863</v>
      </c>
      <c r="L1417" s="18" t="s">
        <v>4864</v>
      </c>
      <c r="N1417" s="16"/>
      <c r="O1417" s="16"/>
      <c r="P1417" s="16"/>
      <c r="Q1417" s="16"/>
      <c r="R1417" s="16"/>
      <c r="S1417" s="16"/>
      <c r="U1417" s="283" t="e">
        <v>#N/A</v>
      </c>
      <c r="V1417" s="18" t="s">
        <v>4887</v>
      </c>
      <c r="W1417" s="18">
        <v>1</v>
      </c>
      <c r="X1417" s="18">
        <v>1</v>
      </c>
      <c r="Y1417" s="18">
        <v>1</v>
      </c>
      <c r="Z1417" s="18">
        <v>1</v>
      </c>
      <c r="AA1417" s="18">
        <v>1</v>
      </c>
      <c r="AB1417" s="18">
        <v>1</v>
      </c>
      <c r="AC1417" s="316">
        <v>1</v>
      </c>
      <c r="AD1417" s="316">
        <v>1</v>
      </c>
      <c r="AE1417" s="302">
        <f t="shared" si="95"/>
        <v>1</v>
      </c>
      <c r="AF1417" s="176">
        <v>1</v>
      </c>
      <c r="AG1417" s="17">
        <v>1</v>
      </c>
      <c r="AH1417" s="176">
        <v>209.2</v>
      </c>
      <c r="AI1417" s="239">
        <v>56.8</v>
      </c>
      <c r="AJ1417" s="239">
        <v>56.8</v>
      </c>
      <c r="AK1417" s="238">
        <v>56.5</v>
      </c>
      <c r="AL1417" s="238">
        <v>56.5</v>
      </c>
      <c r="AM1417" s="17">
        <f t="shared" si="94"/>
        <v>113</v>
      </c>
      <c r="AN1417" s="157" t="s">
        <v>4888</v>
      </c>
      <c r="AO1417" s="157" t="s">
        <v>880</v>
      </c>
      <c r="AP1417" s="18" t="s">
        <v>119</v>
      </c>
    </row>
    <row r="1418" spans="1:43" s="18" customFormat="1" x14ac:dyDescent="0.3">
      <c r="A1418" s="228" t="s">
        <v>1451</v>
      </c>
      <c r="B1418" s="18" t="s">
        <v>4838</v>
      </c>
      <c r="C1418" s="228" t="s">
        <v>4841</v>
      </c>
      <c r="D1418" s="18" t="s">
        <v>2439</v>
      </c>
      <c r="E1418" s="228" t="s">
        <v>4842</v>
      </c>
      <c r="F1418" s="18" t="s">
        <v>4843</v>
      </c>
      <c r="G1418" s="228" t="s">
        <v>4844</v>
      </c>
      <c r="H1418" s="18" t="s">
        <v>4845</v>
      </c>
      <c r="I1418" s="228" t="s">
        <v>4861</v>
      </c>
      <c r="J1418" s="18" t="s">
        <v>4862</v>
      </c>
      <c r="K1418" s="228" t="s">
        <v>4863</v>
      </c>
      <c r="L1418" s="18" t="s">
        <v>4864</v>
      </c>
      <c r="N1418" s="16"/>
      <c r="O1418" s="16"/>
      <c r="P1418" s="16"/>
      <c r="Q1418" s="16"/>
      <c r="R1418" s="16"/>
      <c r="S1418" s="16"/>
      <c r="U1418" s="283" t="e">
        <v>#N/A</v>
      </c>
      <c r="V1418" s="18" t="s">
        <v>4889</v>
      </c>
      <c r="W1418" s="18">
        <v>1</v>
      </c>
      <c r="X1418" s="18">
        <v>1</v>
      </c>
      <c r="Y1418" s="18">
        <v>1</v>
      </c>
      <c r="Z1418" s="18">
        <v>1</v>
      </c>
      <c r="AA1418" s="18">
        <v>1</v>
      </c>
      <c r="AB1418" s="18">
        <v>1</v>
      </c>
      <c r="AC1418" s="316">
        <v>1</v>
      </c>
      <c r="AD1418" s="316">
        <v>1</v>
      </c>
      <c r="AE1418" s="302">
        <f t="shared" si="95"/>
        <v>1</v>
      </c>
      <c r="AF1418" s="176">
        <v>0</v>
      </c>
      <c r="AG1418" s="17">
        <v>0</v>
      </c>
      <c r="AH1418" s="176">
        <v>122.63706668482629</v>
      </c>
      <c r="AI1418" s="239">
        <v>24.86696434942321</v>
      </c>
      <c r="AJ1418" s="239">
        <v>128.32083713185085</v>
      </c>
      <c r="AK1418" s="237">
        <v>86</v>
      </c>
      <c r="AL1418" s="237">
        <v>195.21</v>
      </c>
      <c r="AM1418" s="17">
        <f t="shared" si="94"/>
        <v>281.21000000000004</v>
      </c>
      <c r="AN1418" s="157" t="s">
        <v>921</v>
      </c>
      <c r="AO1418" s="157" t="s">
        <v>880</v>
      </c>
      <c r="AP1418" s="18" t="s">
        <v>4890</v>
      </c>
    </row>
    <row r="1419" spans="1:43" s="18" customFormat="1" x14ac:dyDescent="0.3">
      <c r="A1419" s="228" t="s">
        <v>1451</v>
      </c>
      <c r="B1419" s="18" t="s">
        <v>4838</v>
      </c>
      <c r="C1419" s="228" t="s">
        <v>4841</v>
      </c>
      <c r="D1419" s="18" t="s">
        <v>2439</v>
      </c>
      <c r="E1419" s="228" t="s">
        <v>4842</v>
      </c>
      <c r="F1419" s="18" t="s">
        <v>4843</v>
      </c>
      <c r="G1419" s="228" t="s">
        <v>4844</v>
      </c>
      <c r="H1419" s="18" t="s">
        <v>4845</v>
      </c>
      <c r="I1419" s="228" t="s">
        <v>4891</v>
      </c>
      <c r="J1419" s="18" t="s">
        <v>4892</v>
      </c>
      <c r="K1419" s="228" t="s">
        <v>4893</v>
      </c>
      <c r="L1419" s="18" t="s">
        <v>4894</v>
      </c>
      <c r="M1419" s="18" t="s">
        <v>4895</v>
      </c>
      <c r="N1419" s="16" t="s">
        <v>4896</v>
      </c>
      <c r="O1419" s="16">
        <v>3145</v>
      </c>
      <c r="P1419" s="16">
        <v>3648</v>
      </c>
      <c r="Q1419" s="16">
        <v>4232</v>
      </c>
      <c r="R1419" s="16">
        <v>4909</v>
      </c>
      <c r="S1419" s="16">
        <v>5694</v>
      </c>
      <c r="T1419" s="18" t="s">
        <v>1581</v>
      </c>
      <c r="U1419" s="283" t="s">
        <v>1583</v>
      </c>
      <c r="V1419" s="18" t="s">
        <v>4897</v>
      </c>
      <c r="W1419" s="18">
        <v>1</v>
      </c>
      <c r="X1419" s="18">
        <v>1</v>
      </c>
      <c r="Y1419" s="18">
        <v>1</v>
      </c>
      <c r="Z1419" s="18">
        <v>1</v>
      </c>
      <c r="AA1419" s="18">
        <v>1</v>
      </c>
      <c r="AB1419" s="18">
        <v>1</v>
      </c>
      <c r="AC1419" s="316">
        <v>1</v>
      </c>
      <c r="AD1419" s="316">
        <v>1</v>
      </c>
      <c r="AE1419" s="302">
        <f t="shared" si="95"/>
        <v>1</v>
      </c>
      <c r="AF1419" s="176">
        <v>0</v>
      </c>
      <c r="AG1419" s="17">
        <v>0</v>
      </c>
      <c r="AH1419" s="176">
        <v>0.18</v>
      </c>
      <c r="AI1419" s="176">
        <v>0.36</v>
      </c>
      <c r="AJ1419" s="176">
        <v>0.38</v>
      </c>
      <c r="AK1419" s="177">
        <v>0.19</v>
      </c>
      <c r="AL1419" s="177">
        <v>0.08</v>
      </c>
      <c r="AM1419" s="17">
        <f t="shared" si="94"/>
        <v>0.27</v>
      </c>
      <c r="AN1419" s="18" t="s">
        <v>1581</v>
      </c>
      <c r="AO1419" s="18" t="s">
        <v>1583</v>
      </c>
      <c r="AP1419" s="18" t="s">
        <v>4898</v>
      </c>
    </row>
    <row r="1420" spans="1:43" s="18" customFormat="1" x14ac:dyDescent="0.3">
      <c r="A1420" s="228" t="s">
        <v>1451</v>
      </c>
      <c r="B1420" s="18" t="s">
        <v>4838</v>
      </c>
      <c r="C1420" s="228" t="s">
        <v>4841</v>
      </c>
      <c r="D1420" s="18" t="s">
        <v>2439</v>
      </c>
      <c r="E1420" s="228" t="s">
        <v>4842</v>
      </c>
      <c r="F1420" s="18" t="s">
        <v>4843</v>
      </c>
      <c r="G1420" s="228" t="s">
        <v>4844</v>
      </c>
      <c r="H1420" s="18" t="s">
        <v>4845</v>
      </c>
      <c r="I1420" s="228" t="s">
        <v>4891</v>
      </c>
      <c r="J1420" s="18" t="s">
        <v>4892</v>
      </c>
      <c r="K1420" s="228" t="s">
        <v>4893</v>
      </c>
      <c r="L1420" s="18" t="s">
        <v>4894</v>
      </c>
      <c r="M1420" s="18" t="s">
        <v>4899</v>
      </c>
      <c r="N1420" s="16">
        <v>0</v>
      </c>
      <c r="O1420" s="16">
        <v>200</v>
      </c>
      <c r="P1420" s="16">
        <v>300</v>
      </c>
      <c r="Q1420" s="16">
        <v>400</v>
      </c>
      <c r="R1420" s="16">
        <v>500</v>
      </c>
      <c r="S1420" s="16">
        <v>600</v>
      </c>
      <c r="T1420" s="18" t="s">
        <v>1581</v>
      </c>
      <c r="U1420" s="283" t="s">
        <v>1583</v>
      </c>
      <c r="V1420" s="18" t="s">
        <v>4900</v>
      </c>
      <c r="W1420" s="18">
        <v>1</v>
      </c>
      <c r="X1420" s="18">
        <v>0</v>
      </c>
      <c r="Y1420" s="18">
        <v>0</v>
      </c>
      <c r="Z1420" s="18">
        <v>1</v>
      </c>
      <c r="AA1420" s="18">
        <v>1</v>
      </c>
      <c r="AB1420" s="18">
        <v>1</v>
      </c>
      <c r="AC1420" s="316">
        <v>1</v>
      </c>
      <c r="AD1420" s="316">
        <v>1</v>
      </c>
      <c r="AE1420" s="302">
        <f t="shared" si="95"/>
        <v>0.75</v>
      </c>
      <c r="AF1420" s="176">
        <v>0</v>
      </c>
      <c r="AG1420" s="17">
        <v>0</v>
      </c>
      <c r="AH1420" s="176" t="s">
        <v>2526</v>
      </c>
      <c r="AI1420" s="239">
        <v>0.57999999999999996</v>
      </c>
      <c r="AJ1420" s="239">
        <v>0.03</v>
      </c>
      <c r="AK1420" s="238">
        <v>0.03</v>
      </c>
      <c r="AL1420" s="238">
        <v>0.03</v>
      </c>
      <c r="AM1420" s="17">
        <f t="shared" si="94"/>
        <v>0.06</v>
      </c>
      <c r="AN1420" s="157" t="s">
        <v>1581</v>
      </c>
      <c r="AO1420" s="157" t="s">
        <v>1583</v>
      </c>
      <c r="AP1420" s="157" t="s">
        <v>4898</v>
      </c>
      <c r="AQ1420" s="157"/>
    </row>
    <row r="1421" spans="1:43" s="18" customFormat="1" hidden="1" x14ac:dyDescent="0.3">
      <c r="A1421" s="228" t="s">
        <v>1451</v>
      </c>
      <c r="B1421" s="18" t="s">
        <v>4838</v>
      </c>
      <c r="C1421" s="228" t="s">
        <v>4841</v>
      </c>
      <c r="D1421" s="18" t="s">
        <v>2439</v>
      </c>
      <c r="E1421" s="228" t="s">
        <v>4842</v>
      </c>
      <c r="F1421" s="18" t="s">
        <v>4843</v>
      </c>
      <c r="G1421" s="228" t="s">
        <v>4844</v>
      </c>
      <c r="H1421" s="18" t="s">
        <v>4845</v>
      </c>
      <c r="I1421" s="228" t="s">
        <v>4891</v>
      </c>
      <c r="J1421" s="18" t="s">
        <v>4892</v>
      </c>
      <c r="K1421" s="228" t="s">
        <v>4893</v>
      </c>
      <c r="L1421" s="18" t="s">
        <v>4894</v>
      </c>
      <c r="M1421" s="18" t="s">
        <v>4901</v>
      </c>
      <c r="N1421" s="16">
        <v>0</v>
      </c>
      <c r="O1421" s="16">
        <v>200</v>
      </c>
      <c r="P1421" s="16">
        <v>300</v>
      </c>
      <c r="Q1421" s="16">
        <v>400</v>
      </c>
      <c r="R1421" s="16">
        <v>500</v>
      </c>
      <c r="S1421" s="16">
        <v>600</v>
      </c>
      <c r="T1421" s="18" t="s">
        <v>1581</v>
      </c>
      <c r="U1421" s="283" t="s">
        <v>1583</v>
      </c>
      <c r="V1421" s="18" t="s">
        <v>4902</v>
      </c>
      <c r="W1421" s="18">
        <v>1</v>
      </c>
      <c r="X1421" s="18">
        <v>0</v>
      </c>
      <c r="Y1421" s="18">
        <v>0</v>
      </c>
      <c r="Z1421" s="18">
        <v>1</v>
      </c>
      <c r="AA1421" s="18">
        <v>0</v>
      </c>
      <c r="AB1421" s="18">
        <v>0</v>
      </c>
      <c r="AC1421" s="316">
        <v>1</v>
      </c>
      <c r="AD1421" s="316">
        <v>0</v>
      </c>
      <c r="AE1421" s="302">
        <f t="shared" si="95"/>
        <v>0.375</v>
      </c>
      <c r="AF1421" s="176"/>
      <c r="AG1421" s="17">
        <v>0</v>
      </c>
      <c r="AH1421" s="176" t="s">
        <v>2526</v>
      </c>
      <c r="AI1421" s="239">
        <v>0.36</v>
      </c>
      <c r="AJ1421" s="239" t="s">
        <v>2526</v>
      </c>
      <c r="AK1421" s="238" t="s">
        <v>2526</v>
      </c>
      <c r="AL1421" s="238" t="s">
        <v>2526</v>
      </c>
      <c r="AM1421" s="17">
        <f t="shared" si="94"/>
        <v>0</v>
      </c>
      <c r="AN1421" s="157" t="s">
        <v>1581</v>
      </c>
      <c r="AO1421" s="157" t="s">
        <v>1583</v>
      </c>
      <c r="AP1421" s="240" t="s">
        <v>4903</v>
      </c>
      <c r="AQ1421" s="157"/>
    </row>
    <row r="1422" spans="1:43" s="18" customFormat="1" x14ac:dyDescent="0.3">
      <c r="A1422" s="228" t="s">
        <v>1451</v>
      </c>
      <c r="B1422" s="18" t="s">
        <v>4838</v>
      </c>
      <c r="C1422" s="228" t="s">
        <v>4841</v>
      </c>
      <c r="D1422" s="18" t="s">
        <v>2439</v>
      </c>
      <c r="E1422" s="228" t="s">
        <v>4842</v>
      </c>
      <c r="F1422" s="18" t="s">
        <v>4843</v>
      </c>
      <c r="G1422" s="228" t="s">
        <v>4844</v>
      </c>
      <c r="H1422" s="18" t="s">
        <v>4845</v>
      </c>
      <c r="I1422" s="228" t="s">
        <v>4891</v>
      </c>
      <c r="J1422" s="18" t="s">
        <v>4892</v>
      </c>
      <c r="K1422" s="228" t="s">
        <v>4893</v>
      </c>
      <c r="L1422" s="18" t="s">
        <v>4894</v>
      </c>
      <c r="M1422" s="18" t="s">
        <v>4895</v>
      </c>
      <c r="N1422" s="16">
        <v>0</v>
      </c>
      <c r="O1422" s="16">
        <v>3145</v>
      </c>
      <c r="P1422" s="16">
        <v>3648</v>
      </c>
      <c r="Q1422" s="16">
        <v>4232</v>
      </c>
      <c r="R1422" s="16">
        <v>4909</v>
      </c>
      <c r="S1422" s="16">
        <v>5694</v>
      </c>
      <c r="T1422" s="18" t="s">
        <v>1581</v>
      </c>
      <c r="U1422" s="283" t="s">
        <v>1583</v>
      </c>
      <c r="V1422" s="18" t="s">
        <v>4904</v>
      </c>
      <c r="W1422" s="18">
        <v>1</v>
      </c>
      <c r="X1422" s="18">
        <v>1</v>
      </c>
      <c r="Y1422" s="18">
        <v>1</v>
      </c>
      <c r="Z1422" s="18">
        <v>1</v>
      </c>
      <c r="AA1422" s="18">
        <v>1</v>
      </c>
      <c r="AB1422" s="18">
        <v>1</v>
      </c>
      <c r="AC1422" s="316">
        <v>0</v>
      </c>
      <c r="AD1422" s="316">
        <v>1</v>
      </c>
      <c r="AE1422" s="302">
        <f t="shared" si="95"/>
        <v>0.875</v>
      </c>
      <c r="AF1422" s="176">
        <v>0</v>
      </c>
      <c r="AG1422" s="17">
        <v>0</v>
      </c>
      <c r="AH1422" s="176">
        <v>0.46</v>
      </c>
      <c r="AI1422" s="239">
        <v>0.46</v>
      </c>
      <c r="AJ1422" s="239">
        <v>0.46</v>
      </c>
      <c r="AK1422" s="238">
        <v>0.46</v>
      </c>
      <c r="AL1422" s="238">
        <v>0.46</v>
      </c>
      <c r="AM1422" s="17">
        <f t="shared" si="94"/>
        <v>0.92</v>
      </c>
      <c r="AN1422" s="157" t="s">
        <v>1581</v>
      </c>
      <c r="AO1422" s="157" t="s">
        <v>1583</v>
      </c>
      <c r="AP1422" s="157" t="s">
        <v>4905</v>
      </c>
      <c r="AQ1422" s="157"/>
    </row>
    <row r="1423" spans="1:43" s="18" customFormat="1" x14ac:dyDescent="0.3">
      <c r="A1423" s="228" t="s">
        <v>1451</v>
      </c>
      <c r="B1423" s="18" t="s">
        <v>4838</v>
      </c>
      <c r="C1423" s="228" t="s">
        <v>4841</v>
      </c>
      <c r="D1423" s="18" t="s">
        <v>2439</v>
      </c>
      <c r="E1423" s="228" t="s">
        <v>4842</v>
      </c>
      <c r="F1423" s="18" t="s">
        <v>4843</v>
      </c>
      <c r="G1423" s="228" t="s">
        <v>4844</v>
      </c>
      <c r="H1423" s="18" t="s">
        <v>4845</v>
      </c>
      <c r="I1423" s="228" t="s">
        <v>4891</v>
      </c>
      <c r="J1423" s="18" t="s">
        <v>4892</v>
      </c>
      <c r="K1423" s="228" t="s">
        <v>4893</v>
      </c>
      <c r="L1423" s="18" t="s">
        <v>4894</v>
      </c>
      <c r="M1423" s="18" t="s">
        <v>4906</v>
      </c>
      <c r="N1423" s="16">
        <v>0</v>
      </c>
      <c r="O1423" s="16">
        <v>0</v>
      </c>
      <c r="P1423" s="16">
        <v>60</v>
      </c>
      <c r="Q1423" s="16">
        <v>70</v>
      </c>
      <c r="R1423" s="16">
        <v>80</v>
      </c>
      <c r="S1423" s="16">
        <v>90</v>
      </c>
      <c r="T1423" s="18" t="s">
        <v>1446</v>
      </c>
      <c r="U1423" s="283" t="s">
        <v>3715</v>
      </c>
      <c r="V1423" s="18" t="s">
        <v>4907</v>
      </c>
      <c r="W1423" s="18">
        <v>1</v>
      </c>
      <c r="X1423" s="18">
        <v>1</v>
      </c>
      <c r="Y1423" s="18">
        <v>1</v>
      </c>
      <c r="Z1423" s="18">
        <v>1</v>
      </c>
      <c r="AA1423" s="18">
        <v>1</v>
      </c>
      <c r="AB1423" s="18">
        <v>1</v>
      </c>
      <c r="AC1423" s="316">
        <v>1</v>
      </c>
      <c r="AD1423" s="316">
        <v>0</v>
      </c>
      <c r="AE1423" s="302">
        <f t="shared" si="95"/>
        <v>0.875</v>
      </c>
      <c r="AF1423" s="176">
        <v>0</v>
      </c>
      <c r="AG1423" s="17">
        <v>0</v>
      </c>
      <c r="AH1423" s="176" t="s">
        <v>2526</v>
      </c>
      <c r="AI1423" s="239">
        <v>0.26</v>
      </c>
      <c r="AJ1423" s="239">
        <v>0.26</v>
      </c>
      <c r="AK1423" s="238">
        <v>0.14000000000000001</v>
      </c>
      <c r="AL1423" s="238">
        <v>0.14000000000000001</v>
      </c>
      <c r="AM1423" s="17">
        <f t="shared" si="94"/>
        <v>0.28000000000000003</v>
      </c>
      <c r="AN1423" s="18" t="s">
        <v>1581</v>
      </c>
      <c r="AO1423" s="18" t="s">
        <v>1583</v>
      </c>
      <c r="AP1423" s="157" t="s">
        <v>119</v>
      </c>
      <c r="AQ1423" s="157"/>
    </row>
    <row r="1424" spans="1:43" s="18" customFormat="1" hidden="1" x14ac:dyDescent="0.3">
      <c r="A1424" s="228" t="s">
        <v>1451</v>
      </c>
      <c r="B1424" s="18" t="s">
        <v>4838</v>
      </c>
      <c r="C1424" s="228" t="s">
        <v>4841</v>
      </c>
      <c r="D1424" s="18" t="s">
        <v>2439</v>
      </c>
      <c r="E1424" s="228" t="s">
        <v>4842</v>
      </c>
      <c r="F1424" s="18" t="s">
        <v>4843</v>
      </c>
      <c r="G1424" s="228" t="s">
        <v>4844</v>
      </c>
      <c r="H1424" s="18" t="s">
        <v>4845</v>
      </c>
      <c r="I1424" s="228" t="s">
        <v>4891</v>
      </c>
      <c r="J1424" s="18" t="s">
        <v>4892</v>
      </c>
      <c r="K1424" s="228" t="s">
        <v>4893</v>
      </c>
      <c r="L1424" s="18" t="s">
        <v>4894</v>
      </c>
      <c r="N1424" s="16"/>
      <c r="O1424" s="16"/>
      <c r="P1424" s="16"/>
      <c r="Q1424" s="16"/>
      <c r="R1424" s="16"/>
      <c r="S1424" s="16"/>
      <c r="U1424" s="283" t="e">
        <v>#N/A</v>
      </c>
      <c r="V1424" s="18" t="s">
        <v>4908</v>
      </c>
      <c r="W1424" s="18">
        <v>0</v>
      </c>
      <c r="X1424" s="18">
        <v>0</v>
      </c>
      <c r="Y1424" s="18">
        <v>0</v>
      </c>
      <c r="Z1424" s="18">
        <v>1</v>
      </c>
      <c r="AA1424" s="18">
        <v>1</v>
      </c>
      <c r="AB1424" s="18">
        <v>0</v>
      </c>
      <c r="AC1424" s="316">
        <v>0</v>
      </c>
      <c r="AD1424" s="316">
        <v>0</v>
      </c>
      <c r="AE1424" s="302">
        <f t="shared" si="95"/>
        <v>0.25</v>
      </c>
      <c r="AF1424" s="176">
        <v>0</v>
      </c>
      <c r="AG1424" s="17">
        <v>0</v>
      </c>
      <c r="AH1424" s="176">
        <v>0.04</v>
      </c>
      <c r="AI1424" s="239">
        <v>0.17</v>
      </c>
      <c r="AJ1424" s="239">
        <v>0.05</v>
      </c>
      <c r="AK1424" s="241">
        <v>0</v>
      </c>
      <c r="AL1424" s="241">
        <v>0</v>
      </c>
      <c r="AM1424" s="17">
        <f t="shared" si="94"/>
        <v>0</v>
      </c>
      <c r="AN1424" s="18" t="s">
        <v>1581</v>
      </c>
      <c r="AO1424" s="18" t="s">
        <v>1583</v>
      </c>
      <c r="AP1424" s="157" t="s">
        <v>119</v>
      </c>
      <c r="AQ1424" s="157"/>
    </row>
    <row r="1425" spans="1:43" s="18" customFormat="1" hidden="1" x14ac:dyDescent="0.3">
      <c r="A1425" s="228" t="s">
        <v>1451</v>
      </c>
      <c r="B1425" s="18" t="s">
        <v>4838</v>
      </c>
      <c r="C1425" s="228" t="s">
        <v>4841</v>
      </c>
      <c r="D1425" s="18" t="s">
        <v>2439</v>
      </c>
      <c r="E1425" s="228" t="s">
        <v>4842</v>
      </c>
      <c r="F1425" s="18" t="s">
        <v>4843</v>
      </c>
      <c r="G1425" s="228" t="s">
        <v>4844</v>
      </c>
      <c r="H1425" s="18" t="s">
        <v>4845</v>
      </c>
      <c r="I1425" s="228" t="s">
        <v>4891</v>
      </c>
      <c r="J1425" s="18" t="s">
        <v>4892</v>
      </c>
      <c r="K1425" s="228" t="s">
        <v>4893</v>
      </c>
      <c r="L1425" s="18" t="s">
        <v>4894</v>
      </c>
      <c r="N1425" s="16"/>
      <c r="O1425" s="16"/>
      <c r="P1425" s="16"/>
      <c r="Q1425" s="16"/>
      <c r="R1425" s="16"/>
      <c r="S1425" s="16"/>
      <c r="U1425" s="283" t="e">
        <v>#N/A</v>
      </c>
      <c r="V1425" s="18" t="s">
        <v>4909</v>
      </c>
      <c r="W1425" s="18">
        <v>1</v>
      </c>
      <c r="X1425" s="18">
        <v>1</v>
      </c>
      <c r="Y1425" s="18">
        <v>0</v>
      </c>
      <c r="Z1425" s="18">
        <v>0</v>
      </c>
      <c r="AA1425" s="18">
        <v>0</v>
      </c>
      <c r="AB1425" s="18">
        <v>0</v>
      </c>
      <c r="AC1425" s="316">
        <v>0</v>
      </c>
      <c r="AD1425" s="316">
        <v>0</v>
      </c>
      <c r="AE1425" s="302">
        <f t="shared" si="95"/>
        <v>0.25</v>
      </c>
      <c r="AF1425" s="239">
        <v>0</v>
      </c>
      <c r="AG1425" s="17">
        <v>0</v>
      </c>
      <c r="AH1425" s="239" t="s">
        <v>2526</v>
      </c>
      <c r="AI1425" s="239" t="s">
        <v>2526</v>
      </c>
      <c r="AJ1425" s="239" t="s">
        <v>2526</v>
      </c>
      <c r="AK1425" s="238" t="s">
        <v>2526</v>
      </c>
      <c r="AL1425" s="238" t="s">
        <v>2526</v>
      </c>
      <c r="AM1425" s="17">
        <f t="shared" si="94"/>
        <v>0</v>
      </c>
      <c r="AN1425" s="18" t="s">
        <v>1446</v>
      </c>
      <c r="AO1425" s="18" t="s">
        <v>3715</v>
      </c>
      <c r="AP1425" s="240" t="s">
        <v>1581</v>
      </c>
      <c r="AQ1425" s="157"/>
    </row>
    <row r="1426" spans="1:43" s="18" customFormat="1" hidden="1" x14ac:dyDescent="0.3">
      <c r="A1426" s="228" t="s">
        <v>1451</v>
      </c>
      <c r="B1426" s="18" t="s">
        <v>4838</v>
      </c>
      <c r="C1426" s="228" t="s">
        <v>4841</v>
      </c>
      <c r="D1426" s="18" t="s">
        <v>2439</v>
      </c>
      <c r="E1426" s="228" t="s">
        <v>4842</v>
      </c>
      <c r="F1426" s="18" t="s">
        <v>4843</v>
      </c>
      <c r="G1426" s="228" t="s">
        <v>4844</v>
      </c>
      <c r="H1426" s="18" t="s">
        <v>4845</v>
      </c>
      <c r="I1426" s="228" t="s">
        <v>4891</v>
      </c>
      <c r="J1426" s="18" t="s">
        <v>4892</v>
      </c>
      <c r="K1426" s="228" t="s">
        <v>4893</v>
      </c>
      <c r="L1426" s="18" t="s">
        <v>4894</v>
      </c>
      <c r="N1426" s="16"/>
      <c r="O1426" s="16"/>
      <c r="P1426" s="16"/>
      <c r="Q1426" s="16"/>
      <c r="R1426" s="16"/>
      <c r="S1426" s="16"/>
      <c r="U1426" s="283" t="e">
        <v>#N/A</v>
      </c>
      <c r="V1426" s="18" t="s">
        <v>4910</v>
      </c>
      <c r="W1426" s="18">
        <v>0</v>
      </c>
      <c r="X1426" s="18">
        <v>0</v>
      </c>
      <c r="Y1426" s="18">
        <v>0</v>
      </c>
      <c r="Z1426" s="18">
        <v>0</v>
      </c>
      <c r="AA1426" s="18">
        <v>0</v>
      </c>
      <c r="AB1426" s="18">
        <v>0</v>
      </c>
      <c r="AC1426" s="316">
        <v>0</v>
      </c>
      <c r="AD1426" s="316">
        <v>0</v>
      </c>
      <c r="AE1426" s="302">
        <f t="shared" si="95"/>
        <v>0</v>
      </c>
      <c r="AF1426" s="239">
        <v>0</v>
      </c>
      <c r="AG1426" s="17">
        <v>0</v>
      </c>
      <c r="AH1426" s="239" t="s">
        <v>2526</v>
      </c>
      <c r="AI1426" s="239" t="s">
        <v>2526</v>
      </c>
      <c r="AJ1426" s="239" t="s">
        <v>2526</v>
      </c>
      <c r="AK1426" s="238" t="s">
        <v>2526</v>
      </c>
      <c r="AL1426" s="238" t="s">
        <v>2526</v>
      </c>
      <c r="AM1426" s="17">
        <f t="shared" si="94"/>
        <v>0</v>
      </c>
      <c r="AN1426" s="18" t="s">
        <v>921</v>
      </c>
      <c r="AO1426" s="18" t="s">
        <v>880</v>
      </c>
      <c r="AP1426" s="240" t="s">
        <v>1581</v>
      </c>
      <c r="AQ1426" s="157"/>
    </row>
    <row r="1427" spans="1:43" s="18" customFormat="1" x14ac:dyDescent="0.3">
      <c r="A1427" s="228" t="s">
        <v>1451</v>
      </c>
      <c r="B1427" s="18" t="s">
        <v>4838</v>
      </c>
      <c r="C1427" s="228" t="s">
        <v>4841</v>
      </c>
      <c r="D1427" s="18" t="s">
        <v>2439</v>
      </c>
      <c r="E1427" s="228" t="s">
        <v>4842</v>
      </c>
      <c r="F1427" s="18" t="s">
        <v>4843</v>
      </c>
      <c r="G1427" s="228" t="s">
        <v>4844</v>
      </c>
      <c r="H1427" s="18" t="s">
        <v>4845</v>
      </c>
      <c r="I1427" s="228" t="s">
        <v>4891</v>
      </c>
      <c r="J1427" s="18" t="s">
        <v>4892</v>
      </c>
      <c r="K1427" s="228" t="s">
        <v>4893</v>
      </c>
      <c r="L1427" s="18" t="s">
        <v>4894</v>
      </c>
      <c r="N1427" s="16"/>
      <c r="O1427" s="16"/>
      <c r="P1427" s="16"/>
      <c r="Q1427" s="16"/>
      <c r="R1427" s="16"/>
      <c r="S1427" s="16"/>
      <c r="U1427" s="283" t="e">
        <v>#N/A</v>
      </c>
      <c r="V1427" s="18" t="s">
        <v>4911</v>
      </c>
      <c r="W1427" s="18">
        <v>1</v>
      </c>
      <c r="X1427" s="18">
        <v>0</v>
      </c>
      <c r="Y1427" s="18">
        <v>0</v>
      </c>
      <c r="Z1427" s="18">
        <v>1</v>
      </c>
      <c r="AA1427" s="18">
        <v>1</v>
      </c>
      <c r="AB1427" s="18">
        <v>1</v>
      </c>
      <c r="AC1427" s="316">
        <v>1</v>
      </c>
      <c r="AD1427" s="316">
        <v>1</v>
      </c>
      <c r="AE1427" s="302">
        <f t="shared" si="95"/>
        <v>0.75</v>
      </c>
      <c r="AF1427" s="239">
        <v>0</v>
      </c>
      <c r="AG1427" s="17">
        <v>0</v>
      </c>
      <c r="AH1427" s="239">
        <v>0.3</v>
      </c>
      <c r="AI1427" s="239">
        <v>0.3</v>
      </c>
      <c r="AJ1427" s="239">
        <v>0.3</v>
      </c>
      <c r="AK1427" s="238">
        <v>0.3</v>
      </c>
      <c r="AL1427" s="238">
        <v>0.3</v>
      </c>
      <c r="AM1427" s="17">
        <f t="shared" si="94"/>
        <v>0.6</v>
      </c>
      <c r="AN1427" s="18" t="s">
        <v>1581</v>
      </c>
      <c r="AO1427" s="18" t="s">
        <v>1583</v>
      </c>
      <c r="AP1427" s="157" t="s">
        <v>4912</v>
      </c>
      <c r="AQ1427" s="157"/>
    </row>
    <row r="1428" spans="1:43" s="18" customFormat="1" hidden="1" x14ac:dyDescent="0.3">
      <c r="A1428" s="228" t="s">
        <v>1451</v>
      </c>
      <c r="B1428" s="18" t="s">
        <v>4838</v>
      </c>
      <c r="C1428" s="228" t="s">
        <v>4841</v>
      </c>
      <c r="D1428" s="18" t="s">
        <v>2439</v>
      </c>
      <c r="E1428" s="228" t="s">
        <v>4842</v>
      </c>
      <c r="F1428" s="18" t="s">
        <v>4843</v>
      </c>
      <c r="G1428" s="228" t="s">
        <v>4844</v>
      </c>
      <c r="H1428" s="18" t="s">
        <v>4845</v>
      </c>
      <c r="I1428" s="228" t="s">
        <v>4891</v>
      </c>
      <c r="J1428" s="18" t="s">
        <v>4892</v>
      </c>
      <c r="K1428" s="228" t="s">
        <v>4893</v>
      </c>
      <c r="L1428" s="18" t="s">
        <v>4894</v>
      </c>
      <c r="N1428" s="16"/>
      <c r="O1428" s="16"/>
      <c r="P1428" s="16"/>
      <c r="Q1428" s="16"/>
      <c r="R1428" s="16"/>
      <c r="S1428" s="16"/>
      <c r="U1428" s="283" t="e">
        <v>#N/A</v>
      </c>
      <c r="V1428" s="18" t="s">
        <v>4913</v>
      </c>
      <c r="W1428" s="18">
        <v>0</v>
      </c>
      <c r="X1428" s="18">
        <v>0</v>
      </c>
      <c r="Y1428" s="18">
        <v>0</v>
      </c>
      <c r="Z1428" s="18">
        <v>0</v>
      </c>
      <c r="AA1428" s="18">
        <v>0</v>
      </c>
      <c r="AB1428" s="18">
        <v>0</v>
      </c>
      <c r="AC1428" s="316">
        <v>0</v>
      </c>
      <c r="AD1428" s="316">
        <v>0</v>
      </c>
      <c r="AE1428" s="302">
        <f t="shared" si="95"/>
        <v>0</v>
      </c>
      <c r="AF1428" s="239"/>
      <c r="AG1428" s="17">
        <v>0</v>
      </c>
      <c r="AH1428" s="239" t="s">
        <v>2526</v>
      </c>
      <c r="AI1428" s="239">
        <v>0.5</v>
      </c>
      <c r="AJ1428" s="239">
        <v>0.5</v>
      </c>
      <c r="AK1428" s="241">
        <v>0</v>
      </c>
      <c r="AL1428" s="241">
        <v>0</v>
      </c>
      <c r="AM1428" s="17">
        <f t="shared" si="94"/>
        <v>0</v>
      </c>
      <c r="AN1428" s="18" t="s">
        <v>1446</v>
      </c>
      <c r="AO1428" s="18" t="s">
        <v>3715</v>
      </c>
      <c r="AP1428" s="157" t="s">
        <v>119</v>
      </c>
      <c r="AQ1428" s="157"/>
    </row>
    <row r="1429" spans="1:43" s="18" customFormat="1" x14ac:dyDescent="0.3">
      <c r="A1429" s="228" t="s">
        <v>1451</v>
      </c>
      <c r="B1429" s="18" t="s">
        <v>4838</v>
      </c>
      <c r="C1429" s="228" t="s">
        <v>4841</v>
      </c>
      <c r="D1429" s="18" t="s">
        <v>2439</v>
      </c>
      <c r="E1429" s="228" t="s">
        <v>4842</v>
      </c>
      <c r="F1429" s="18" t="s">
        <v>4843</v>
      </c>
      <c r="G1429" s="228" t="s">
        <v>4844</v>
      </c>
      <c r="H1429" s="18" t="s">
        <v>4845</v>
      </c>
      <c r="I1429" s="228" t="s">
        <v>4914</v>
      </c>
      <c r="J1429" s="18" t="s">
        <v>4915</v>
      </c>
      <c r="K1429" s="228" t="s">
        <v>4916</v>
      </c>
      <c r="L1429" s="18" t="s">
        <v>4917</v>
      </c>
      <c r="M1429" s="18" t="s">
        <v>4918</v>
      </c>
      <c r="N1429" s="16">
        <v>0</v>
      </c>
      <c r="O1429" s="16">
        <v>200</v>
      </c>
      <c r="P1429" s="16">
        <v>200</v>
      </c>
      <c r="Q1429" s="16">
        <v>400</v>
      </c>
      <c r="R1429" s="16">
        <v>450</v>
      </c>
      <c r="S1429" s="16">
        <v>600</v>
      </c>
      <c r="T1429" s="18" t="s">
        <v>1191</v>
      </c>
      <c r="U1429" s="283" t="e">
        <v>#N/A</v>
      </c>
      <c r="V1429" s="18" t="s">
        <v>4919</v>
      </c>
      <c r="W1429" s="18">
        <v>1</v>
      </c>
      <c r="X1429" s="18">
        <v>1</v>
      </c>
      <c r="Y1429" s="18">
        <v>1</v>
      </c>
      <c r="Z1429" s="18">
        <v>1</v>
      </c>
      <c r="AA1429" s="18">
        <v>1</v>
      </c>
      <c r="AB1429" s="18">
        <v>1</v>
      </c>
      <c r="AC1429" s="316">
        <v>1</v>
      </c>
      <c r="AD1429" s="316">
        <v>1</v>
      </c>
      <c r="AE1429" s="302">
        <f t="shared" si="95"/>
        <v>1</v>
      </c>
      <c r="AF1429" s="239">
        <v>1</v>
      </c>
      <c r="AG1429" s="17">
        <v>0</v>
      </c>
      <c r="AH1429" s="239" t="s">
        <v>2526</v>
      </c>
      <c r="AI1429" s="239">
        <v>4</v>
      </c>
      <c r="AJ1429" s="239">
        <v>4</v>
      </c>
      <c r="AK1429" s="238">
        <v>1</v>
      </c>
      <c r="AL1429" s="238">
        <v>7</v>
      </c>
      <c r="AM1429" s="17">
        <f t="shared" si="94"/>
        <v>8</v>
      </c>
      <c r="AN1429" s="18" t="s">
        <v>921</v>
      </c>
      <c r="AO1429" s="18" t="s">
        <v>880</v>
      </c>
      <c r="AP1429" s="157" t="s">
        <v>509</v>
      </c>
      <c r="AQ1429" s="157"/>
    </row>
    <row r="1430" spans="1:43" s="18" customFormat="1" x14ac:dyDescent="0.3">
      <c r="A1430" s="228" t="s">
        <v>1451</v>
      </c>
      <c r="B1430" s="18" t="s">
        <v>4838</v>
      </c>
      <c r="C1430" s="228" t="s">
        <v>4841</v>
      </c>
      <c r="D1430" s="18" t="s">
        <v>2439</v>
      </c>
      <c r="E1430" s="228" t="s">
        <v>4842</v>
      </c>
      <c r="F1430" s="18" t="s">
        <v>4843</v>
      </c>
      <c r="G1430" s="228" t="s">
        <v>4844</v>
      </c>
      <c r="H1430" s="18" t="s">
        <v>4845</v>
      </c>
      <c r="I1430" s="228" t="s">
        <v>4914</v>
      </c>
      <c r="J1430" s="18" t="s">
        <v>4915</v>
      </c>
      <c r="K1430" s="228" t="s">
        <v>4920</v>
      </c>
      <c r="L1430" s="18" t="s">
        <v>4921</v>
      </c>
      <c r="M1430" s="18" t="s">
        <v>4922</v>
      </c>
      <c r="N1430" s="16">
        <v>0</v>
      </c>
      <c r="O1430" s="16" t="s">
        <v>4923</v>
      </c>
      <c r="P1430" s="16" t="s">
        <v>4924</v>
      </c>
      <c r="Q1430" s="16" t="s">
        <v>4925</v>
      </c>
      <c r="R1430" s="16">
        <v>0</v>
      </c>
      <c r="S1430" s="16" t="s">
        <v>4926</v>
      </c>
      <c r="T1430" s="18" t="s">
        <v>1191</v>
      </c>
      <c r="U1430" s="283" t="e">
        <v>#N/A</v>
      </c>
      <c r="V1430" s="18" t="s">
        <v>4927</v>
      </c>
      <c r="W1430" s="18">
        <v>1</v>
      </c>
      <c r="X1430" s="18">
        <v>1</v>
      </c>
      <c r="Y1430" s="18">
        <v>1</v>
      </c>
      <c r="Z1430" s="18">
        <v>1</v>
      </c>
      <c r="AA1430" s="18">
        <v>1</v>
      </c>
      <c r="AB1430" s="18">
        <v>1</v>
      </c>
      <c r="AC1430" s="316">
        <v>1</v>
      </c>
      <c r="AD1430" s="316">
        <v>0</v>
      </c>
      <c r="AE1430" s="302">
        <f t="shared" si="95"/>
        <v>0.875</v>
      </c>
      <c r="AF1430" s="239">
        <v>0</v>
      </c>
      <c r="AG1430" s="17">
        <v>0</v>
      </c>
      <c r="AH1430" s="239">
        <v>0.5</v>
      </c>
      <c r="AI1430" s="239">
        <v>0.5</v>
      </c>
      <c r="AJ1430" s="239">
        <v>0.5</v>
      </c>
      <c r="AK1430" s="238"/>
      <c r="AL1430" s="238"/>
      <c r="AM1430" s="17">
        <f t="shared" si="94"/>
        <v>0</v>
      </c>
      <c r="AN1430" s="18" t="s">
        <v>921</v>
      </c>
      <c r="AO1430" s="18" t="s">
        <v>880</v>
      </c>
      <c r="AP1430" s="157" t="s">
        <v>4928</v>
      </c>
      <c r="AQ1430" s="157"/>
    </row>
    <row r="1431" spans="1:43" s="18" customFormat="1" x14ac:dyDescent="0.3">
      <c r="A1431" s="228" t="s">
        <v>1451</v>
      </c>
      <c r="B1431" s="18" t="s">
        <v>4838</v>
      </c>
      <c r="C1431" s="228" t="s">
        <v>4841</v>
      </c>
      <c r="D1431" s="18" t="s">
        <v>2439</v>
      </c>
      <c r="E1431" s="228" t="s">
        <v>4842</v>
      </c>
      <c r="F1431" s="18" t="s">
        <v>4843</v>
      </c>
      <c r="G1431" s="228" t="s">
        <v>4844</v>
      </c>
      <c r="H1431" s="18" t="s">
        <v>4845</v>
      </c>
      <c r="I1431" s="228" t="s">
        <v>4914</v>
      </c>
      <c r="J1431" s="18" t="s">
        <v>4915</v>
      </c>
      <c r="K1431" s="228" t="s">
        <v>4929</v>
      </c>
      <c r="L1431" s="18" t="s">
        <v>4930</v>
      </c>
      <c r="M1431" s="18" t="s">
        <v>4931</v>
      </c>
      <c r="N1431" s="16">
        <v>4</v>
      </c>
      <c r="O1431" s="16">
        <v>3.5</v>
      </c>
      <c r="P1431" s="16">
        <v>3</v>
      </c>
      <c r="Q1431" s="16">
        <v>2.5</v>
      </c>
      <c r="R1431" s="16">
        <v>2</v>
      </c>
      <c r="S1431" s="16">
        <v>2</v>
      </c>
      <c r="T1431" s="18" t="s">
        <v>4932</v>
      </c>
      <c r="U1431" s="283" t="s">
        <v>3877</v>
      </c>
      <c r="V1431" s="18" t="s">
        <v>4933</v>
      </c>
      <c r="W1431" s="18">
        <v>1</v>
      </c>
      <c r="X1431" s="18">
        <v>1</v>
      </c>
      <c r="Y1431" s="18">
        <v>1</v>
      </c>
      <c r="Z1431" s="18">
        <v>1</v>
      </c>
      <c r="AA1431" s="18">
        <v>0</v>
      </c>
      <c r="AB1431" s="18">
        <v>1</v>
      </c>
      <c r="AC1431" s="316">
        <v>0</v>
      </c>
      <c r="AD1431" s="316">
        <v>1</v>
      </c>
      <c r="AE1431" s="302">
        <f t="shared" si="95"/>
        <v>0.75</v>
      </c>
      <c r="AF1431" s="239"/>
      <c r="AG1431" s="17">
        <v>0</v>
      </c>
      <c r="AH1431" s="239">
        <v>0</v>
      </c>
      <c r="AI1431" s="239">
        <v>0</v>
      </c>
      <c r="AJ1431" s="239">
        <v>0</v>
      </c>
      <c r="AK1431" s="238">
        <v>0</v>
      </c>
      <c r="AL1431" s="238">
        <v>0</v>
      </c>
      <c r="AM1431" s="17">
        <f t="shared" si="94"/>
        <v>0</v>
      </c>
      <c r="AN1431" s="18" t="s">
        <v>3875</v>
      </c>
      <c r="AO1431" s="18" t="s">
        <v>3877</v>
      </c>
      <c r="AP1431" s="157" t="s">
        <v>119</v>
      </c>
      <c r="AQ1431" s="157"/>
    </row>
    <row r="1432" spans="1:43" s="18" customFormat="1" x14ac:dyDescent="0.3">
      <c r="A1432" s="228" t="s">
        <v>1451</v>
      </c>
      <c r="B1432" s="18" t="s">
        <v>4838</v>
      </c>
      <c r="C1432" s="228" t="s">
        <v>4841</v>
      </c>
      <c r="D1432" s="18" t="s">
        <v>2439</v>
      </c>
      <c r="E1432" s="228" t="s">
        <v>4842</v>
      </c>
      <c r="F1432" s="18" t="s">
        <v>4843</v>
      </c>
      <c r="G1432" s="228" t="s">
        <v>4844</v>
      </c>
      <c r="H1432" s="18" t="s">
        <v>4845</v>
      </c>
      <c r="I1432" s="228" t="s">
        <v>4914</v>
      </c>
      <c r="J1432" s="18" t="s">
        <v>4915</v>
      </c>
      <c r="K1432" s="228" t="s">
        <v>4934</v>
      </c>
      <c r="L1432" s="18" t="s">
        <v>4935</v>
      </c>
      <c r="M1432" s="18" t="s">
        <v>4936</v>
      </c>
      <c r="N1432" s="16" t="s">
        <v>4937</v>
      </c>
      <c r="O1432" s="16" t="s">
        <v>4937</v>
      </c>
      <c r="P1432" s="16" t="s">
        <v>4938</v>
      </c>
      <c r="Q1432" s="16" t="s">
        <v>4939</v>
      </c>
      <c r="R1432" s="16" t="s">
        <v>4939</v>
      </c>
      <c r="S1432" s="16" t="s">
        <v>4939</v>
      </c>
      <c r="T1432" s="18" t="s">
        <v>1191</v>
      </c>
      <c r="U1432" s="283" t="e">
        <v>#N/A</v>
      </c>
      <c r="V1432" s="18" t="s">
        <v>4940</v>
      </c>
      <c r="W1432" s="18">
        <v>1</v>
      </c>
      <c r="X1432" s="18">
        <v>1</v>
      </c>
      <c r="Y1432" s="18">
        <v>1</v>
      </c>
      <c r="Z1432" s="18">
        <v>0</v>
      </c>
      <c r="AA1432" s="18">
        <v>1</v>
      </c>
      <c r="AB1432" s="18">
        <v>1</v>
      </c>
      <c r="AC1432" s="316">
        <v>0</v>
      </c>
      <c r="AD1432" s="316">
        <v>1</v>
      </c>
      <c r="AE1432" s="302">
        <f t="shared" si="95"/>
        <v>0.75</v>
      </c>
      <c r="AF1432" s="176">
        <v>0</v>
      </c>
      <c r="AG1432" s="17">
        <v>0</v>
      </c>
      <c r="AH1432" s="176" t="s">
        <v>2526</v>
      </c>
      <c r="AI1432" s="176">
        <v>50</v>
      </c>
      <c r="AJ1432" s="239">
        <v>50</v>
      </c>
      <c r="AK1432" s="238">
        <v>0.5</v>
      </c>
      <c r="AL1432" s="238">
        <v>0.5</v>
      </c>
      <c r="AM1432" s="17">
        <f t="shared" si="94"/>
        <v>1</v>
      </c>
      <c r="AN1432" s="18" t="s">
        <v>921</v>
      </c>
      <c r="AO1432" s="18" t="s">
        <v>880</v>
      </c>
      <c r="AP1432" s="157" t="s">
        <v>4855</v>
      </c>
      <c r="AQ1432" s="157"/>
    </row>
    <row r="1433" spans="1:43" s="18" customFormat="1" x14ac:dyDescent="0.3">
      <c r="A1433" s="228" t="s">
        <v>1451</v>
      </c>
      <c r="B1433" s="18" t="s">
        <v>4838</v>
      </c>
      <c r="C1433" s="228" t="s">
        <v>4841</v>
      </c>
      <c r="D1433" s="18" t="s">
        <v>2439</v>
      </c>
      <c r="E1433" s="228" t="s">
        <v>4842</v>
      </c>
      <c r="F1433" s="18" t="s">
        <v>4843</v>
      </c>
      <c r="G1433" s="228" t="s">
        <v>4844</v>
      </c>
      <c r="H1433" s="18" t="s">
        <v>4845</v>
      </c>
      <c r="I1433" s="228" t="s">
        <v>4914</v>
      </c>
      <c r="J1433" s="18" t="s">
        <v>4915</v>
      </c>
      <c r="K1433" s="228" t="s">
        <v>4941</v>
      </c>
      <c r="L1433" s="18" t="s">
        <v>4942</v>
      </c>
      <c r="M1433" s="18" t="s">
        <v>4943</v>
      </c>
      <c r="N1433" s="16">
        <v>0</v>
      </c>
      <c r="O1433" s="16">
        <v>1000</v>
      </c>
      <c r="P1433" s="16">
        <v>1000</v>
      </c>
      <c r="Q1433" s="16">
        <v>1000</v>
      </c>
      <c r="R1433" s="16">
        <v>1000</v>
      </c>
      <c r="S1433" s="16">
        <v>1000</v>
      </c>
      <c r="T1433" s="18" t="s">
        <v>1283</v>
      </c>
      <c r="U1433" s="283" t="s">
        <v>880</v>
      </c>
      <c r="V1433" s="18" t="s">
        <v>4944</v>
      </c>
      <c r="W1433" s="18">
        <v>1</v>
      </c>
      <c r="X1433" s="18">
        <v>1</v>
      </c>
      <c r="Y1433" s="18">
        <v>0</v>
      </c>
      <c r="Z1433" s="18">
        <v>1</v>
      </c>
      <c r="AA1433" s="18">
        <v>1</v>
      </c>
      <c r="AB1433" s="18">
        <v>1</v>
      </c>
      <c r="AC1433" s="316">
        <v>1</v>
      </c>
      <c r="AD1433" s="316">
        <v>1</v>
      </c>
      <c r="AE1433" s="302">
        <f t="shared" si="95"/>
        <v>0.875</v>
      </c>
      <c r="AF1433" s="176">
        <v>0</v>
      </c>
      <c r="AG1433" s="17">
        <v>0</v>
      </c>
      <c r="AH1433" s="176">
        <v>0.12</v>
      </c>
      <c r="AI1433" s="176">
        <v>0.2</v>
      </c>
      <c r="AJ1433" s="176">
        <v>0.25</v>
      </c>
      <c r="AK1433" s="177">
        <v>0.4</v>
      </c>
      <c r="AL1433" s="177">
        <v>0.5</v>
      </c>
      <c r="AM1433" s="17">
        <f t="shared" si="94"/>
        <v>0.9</v>
      </c>
      <c r="AN1433" s="18" t="s">
        <v>1285</v>
      </c>
      <c r="AO1433" s="18" t="s">
        <v>880</v>
      </c>
      <c r="AP1433" s="18" t="s">
        <v>921</v>
      </c>
    </row>
    <row r="1434" spans="1:43" s="18" customFormat="1" x14ac:dyDescent="0.3">
      <c r="A1434" s="228" t="s">
        <v>1451</v>
      </c>
      <c r="B1434" s="18" t="s">
        <v>4838</v>
      </c>
      <c r="C1434" s="228" t="s">
        <v>4841</v>
      </c>
      <c r="D1434" s="18" t="s">
        <v>2439</v>
      </c>
      <c r="E1434" s="228" t="s">
        <v>4842</v>
      </c>
      <c r="F1434" s="18" t="s">
        <v>4843</v>
      </c>
      <c r="G1434" s="228" t="s">
        <v>4844</v>
      </c>
      <c r="H1434" s="18" t="s">
        <v>4845</v>
      </c>
      <c r="I1434" s="228" t="s">
        <v>4914</v>
      </c>
      <c r="J1434" s="18" t="s">
        <v>4915</v>
      </c>
      <c r="K1434" s="228" t="s">
        <v>4945</v>
      </c>
      <c r="L1434" s="18" t="s">
        <v>4946</v>
      </c>
      <c r="M1434" s="18" t="s">
        <v>4943</v>
      </c>
      <c r="N1434" s="16">
        <v>0</v>
      </c>
      <c r="O1434" s="16">
        <v>5</v>
      </c>
      <c r="P1434" s="16">
        <v>8</v>
      </c>
      <c r="Q1434" s="16">
        <v>12</v>
      </c>
      <c r="R1434" s="16">
        <v>20</v>
      </c>
      <c r="S1434" s="16">
        <v>25</v>
      </c>
      <c r="T1434" s="283" t="s">
        <v>265</v>
      </c>
      <c r="U1434" s="283" t="s">
        <v>350</v>
      </c>
      <c r="V1434" s="18" t="s">
        <v>4947</v>
      </c>
      <c r="W1434" s="18">
        <v>1</v>
      </c>
      <c r="X1434" s="18">
        <v>1</v>
      </c>
      <c r="Y1434" s="18">
        <v>1</v>
      </c>
      <c r="Z1434" s="18">
        <v>1</v>
      </c>
      <c r="AA1434" s="18">
        <v>1</v>
      </c>
      <c r="AB1434" s="18">
        <v>1</v>
      </c>
      <c r="AC1434" s="316">
        <v>1</v>
      </c>
      <c r="AD1434" s="316">
        <v>0</v>
      </c>
      <c r="AE1434" s="302">
        <f t="shared" si="95"/>
        <v>0.875</v>
      </c>
      <c r="AF1434" s="176">
        <v>0</v>
      </c>
      <c r="AG1434" s="17">
        <v>0</v>
      </c>
      <c r="AH1434" s="176">
        <v>1</v>
      </c>
      <c r="AI1434" s="176">
        <v>1</v>
      </c>
      <c r="AJ1434" s="176">
        <v>1</v>
      </c>
      <c r="AK1434" s="177">
        <v>1</v>
      </c>
      <c r="AL1434" s="177">
        <v>1</v>
      </c>
      <c r="AM1434" s="17">
        <f t="shared" si="94"/>
        <v>2</v>
      </c>
      <c r="AN1434" s="18" t="s">
        <v>265</v>
      </c>
      <c r="AO1434" s="18" t="s">
        <v>350</v>
      </c>
      <c r="AP1434" s="18" t="s">
        <v>4948</v>
      </c>
    </row>
    <row r="1435" spans="1:43" s="18" customFormat="1" hidden="1" x14ac:dyDescent="0.3">
      <c r="A1435" s="228" t="s">
        <v>1451</v>
      </c>
      <c r="B1435" s="18" t="s">
        <v>4838</v>
      </c>
      <c r="C1435" s="228" t="s">
        <v>4841</v>
      </c>
      <c r="D1435" s="18" t="s">
        <v>2439</v>
      </c>
      <c r="E1435" s="228" t="s">
        <v>4842</v>
      </c>
      <c r="F1435" s="18" t="s">
        <v>4843</v>
      </c>
      <c r="G1435" s="228" t="s">
        <v>4844</v>
      </c>
      <c r="H1435" s="18" t="s">
        <v>4845</v>
      </c>
      <c r="I1435" s="228" t="s">
        <v>4914</v>
      </c>
      <c r="J1435" s="18" t="s">
        <v>4915</v>
      </c>
      <c r="K1435" s="228" t="s">
        <v>4945</v>
      </c>
      <c r="L1435" s="18" t="s">
        <v>4946</v>
      </c>
      <c r="N1435" s="16"/>
      <c r="O1435" s="16"/>
      <c r="P1435" s="16"/>
      <c r="Q1435" s="16"/>
      <c r="R1435" s="16"/>
      <c r="S1435" s="16"/>
      <c r="U1435" s="283" t="e">
        <v>#N/A</v>
      </c>
      <c r="V1435" s="18" t="s">
        <v>4949</v>
      </c>
      <c r="W1435" s="18">
        <v>1</v>
      </c>
      <c r="X1435" s="18">
        <v>0</v>
      </c>
      <c r="Y1435" s="18">
        <v>1</v>
      </c>
      <c r="Z1435" s="18">
        <v>1</v>
      </c>
      <c r="AA1435" s="18">
        <v>1</v>
      </c>
      <c r="AB1435" s="18">
        <v>0</v>
      </c>
      <c r="AC1435" s="316">
        <v>1</v>
      </c>
      <c r="AD1435" s="316">
        <v>0</v>
      </c>
      <c r="AE1435" s="302">
        <f t="shared" si="95"/>
        <v>0.625</v>
      </c>
      <c r="AF1435" s="176">
        <v>0</v>
      </c>
      <c r="AG1435" s="17">
        <v>0</v>
      </c>
      <c r="AH1435" s="176">
        <v>0</v>
      </c>
      <c r="AI1435" s="176">
        <v>0</v>
      </c>
      <c r="AJ1435" s="176">
        <v>0</v>
      </c>
      <c r="AK1435" s="177">
        <v>0</v>
      </c>
      <c r="AL1435" s="177">
        <v>0</v>
      </c>
      <c r="AM1435" s="17">
        <f t="shared" si="94"/>
        <v>0</v>
      </c>
      <c r="AN1435" s="18" t="s">
        <v>4855</v>
      </c>
      <c r="AO1435" s="18" t="e">
        <v>#N/A</v>
      </c>
      <c r="AP1435" s="18" t="s">
        <v>119</v>
      </c>
    </row>
    <row r="1436" spans="1:43" s="243" customFormat="1" hidden="1" x14ac:dyDescent="0.3">
      <c r="A1436" s="228" t="s">
        <v>1451</v>
      </c>
      <c r="B1436" s="18" t="s">
        <v>4838</v>
      </c>
      <c r="C1436" s="228" t="s">
        <v>4841</v>
      </c>
      <c r="D1436" s="14" t="s">
        <v>2439</v>
      </c>
      <c r="E1436" s="242" t="s">
        <v>4842</v>
      </c>
      <c r="F1436" s="14" t="s">
        <v>4843</v>
      </c>
      <c r="G1436" s="242" t="s">
        <v>4844</v>
      </c>
      <c r="H1436" s="14" t="s">
        <v>4845</v>
      </c>
      <c r="I1436" s="242" t="s">
        <v>4914</v>
      </c>
      <c r="J1436" s="14" t="s">
        <v>4915</v>
      </c>
      <c r="K1436" s="228" t="s">
        <v>4950</v>
      </c>
      <c r="L1436" s="18" t="s">
        <v>4951</v>
      </c>
      <c r="M1436" s="18" t="s">
        <v>4952</v>
      </c>
      <c r="N1436" s="16">
        <v>0</v>
      </c>
      <c r="O1436" s="16">
        <v>8</v>
      </c>
      <c r="P1436" s="16">
        <v>10</v>
      </c>
      <c r="Q1436" s="16">
        <v>12</v>
      </c>
      <c r="R1436" s="16">
        <v>14</v>
      </c>
      <c r="S1436" s="16">
        <v>16</v>
      </c>
      <c r="T1436" s="18" t="s">
        <v>3705</v>
      </c>
      <c r="U1436" s="283" t="s">
        <v>880</v>
      </c>
      <c r="AC1436" s="316">
        <v>0</v>
      </c>
      <c r="AD1436" s="316">
        <v>0</v>
      </c>
      <c r="AE1436" s="302">
        <f t="shared" si="95"/>
        <v>0</v>
      </c>
      <c r="AF1436" s="244"/>
      <c r="AG1436" s="17">
        <v>0</v>
      </c>
      <c r="AH1436" s="244"/>
      <c r="AI1436" s="244"/>
      <c r="AJ1436" s="244"/>
      <c r="AK1436" s="245"/>
      <c r="AL1436" s="245"/>
      <c r="AM1436" s="17">
        <f t="shared" si="94"/>
        <v>0</v>
      </c>
    </row>
    <row r="1437" spans="1:43" s="18" customFormat="1" x14ac:dyDescent="0.3">
      <c r="A1437" s="228" t="s">
        <v>1451</v>
      </c>
      <c r="B1437" s="18" t="s">
        <v>4838</v>
      </c>
      <c r="C1437" s="228" t="s">
        <v>4841</v>
      </c>
      <c r="D1437" s="18" t="s">
        <v>2439</v>
      </c>
      <c r="E1437" s="228" t="s">
        <v>4842</v>
      </c>
      <c r="F1437" s="18" t="s">
        <v>4843</v>
      </c>
      <c r="G1437" s="228" t="s">
        <v>4953</v>
      </c>
      <c r="H1437" s="18" t="s">
        <v>4954</v>
      </c>
      <c r="I1437" s="228" t="s">
        <v>4955</v>
      </c>
      <c r="J1437" s="18" t="s">
        <v>4956</v>
      </c>
      <c r="K1437" s="228" t="s">
        <v>4957</v>
      </c>
      <c r="L1437" s="18" t="s">
        <v>4958</v>
      </c>
      <c r="M1437" s="18" t="s">
        <v>4959</v>
      </c>
      <c r="N1437" s="16">
        <v>67</v>
      </c>
      <c r="O1437" s="16">
        <v>103</v>
      </c>
      <c r="P1437" s="16">
        <v>550</v>
      </c>
      <c r="Q1437" s="16">
        <v>500</v>
      </c>
      <c r="R1437" s="16">
        <v>400</v>
      </c>
      <c r="S1437" s="16">
        <v>100</v>
      </c>
      <c r="T1437" s="18" t="s">
        <v>509</v>
      </c>
      <c r="U1437" s="283" t="s">
        <v>880</v>
      </c>
      <c r="V1437" s="18" t="s">
        <v>4960</v>
      </c>
      <c r="W1437" s="18">
        <v>1</v>
      </c>
      <c r="X1437" s="18">
        <v>1</v>
      </c>
      <c r="Y1437" s="18">
        <v>1</v>
      </c>
      <c r="Z1437" s="18">
        <v>1</v>
      </c>
      <c r="AA1437" s="18">
        <v>1</v>
      </c>
      <c r="AB1437" s="18">
        <v>1</v>
      </c>
      <c r="AC1437" s="316">
        <v>1</v>
      </c>
      <c r="AD1437" s="316">
        <v>0</v>
      </c>
      <c r="AE1437" s="302">
        <f t="shared" si="95"/>
        <v>0.875</v>
      </c>
      <c r="AF1437" s="176">
        <v>1</v>
      </c>
      <c r="AG1437" s="17">
        <v>0</v>
      </c>
      <c r="AH1437" s="176">
        <v>0.2</v>
      </c>
      <c r="AI1437" s="176">
        <v>0.2</v>
      </c>
      <c r="AJ1437" s="176">
        <v>0.2</v>
      </c>
      <c r="AK1437" s="177">
        <v>0.2</v>
      </c>
      <c r="AL1437" s="177" t="s">
        <v>2526</v>
      </c>
      <c r="AM1437" s="17">
        <f t="shared" si="94"/>
        <v>0.2</v>
      </c>
      <c r="AN1437" s="18" t="s">
        <v>1392</v>
      </c>
      <c r="AO1437" s="18" t="s">
        <v>880</v>
      </c>
      <c r="AP1437" s="18" t="s">
        <v>4961</v>
      </c>
    </row>
    <row r="1438" spans="1:43" s="18" customFormat="1" x14ac:dyDescent="0.3">
      <c r="A1438" s="228" t="s">
        <v>1451</v>
      </c>
      <c r="B1438" s="18" t="s">
        <v>4838</v>
      </c>
      <c r="C1438" s="228" t="s">
        <v>4841</v>
      </c>
      <c r="D1438" s="18" t="s">
        <v>2439</v>
      </c>
      <c r="E1438" s="228" t="s">
        <v>4842</v>
      </c>
      <c r="F1438" s="18" t="s">
        <v>4843</v>
      </c>
      <c r="G1438" s="228" t="s">
        <v>4953</v>
      </c>
      <c r="H1438" s="18" t="s">
        <v>4954</v>
      </c>
      <c r="I1438" s="228" t="s">
        <v>4955</v>
      </c>
      <c r="J1438" s="18" t="s">
        <v>4956</v>
      </c>
      <c r="K1438" s="228" t="s">
        <v>4957</v>
      </c>
      <c r="L1438" s="18" t="s">
        <v>4958</v>
      </c>
      <c r="M1438" s="18" t="s">
        <v>4962</v>
      </c>
      <c r="N1438" s="16">
        <v>0</v>
      </c>
      <c r="O1438" s="16">
        <v>0</v>
      </c>
      <c r="P1438" s="16">
        <v>1</v>
      </c>
      <c r="Q1438" s="16">
        <v>0</v>
      </c>
      <c r="R1438" s="16">
        <v>0</v>
      </c>
      <c r="S1438" s="16">
        <v>0</v>
      </c>
      <c r="T1438" s="18" t="s">
        <v>1191</v>
      </c>
      <c r="U1438" s="283" t="e">
        <v>#N/A</v>
      </c>
      <c r="V1438" s="18" t="s">
        <v>4963</v>
      </c>
      <c r="W1438" s="18">
        <v>1</v>
      </c>
      <c r="X1438" s="18">
        <v>1</v>
      </c>
      <c r="Y1438" s="18">
        <v>1</v>
      </c>
      <c r="Z1438" s="18">
        <v>1</v>
      </c>
      <c r="AA1438" s="18">
        <v>1</v>
      </c>
      <c r="AB1438" s="18">
        <v>1</v>
      </c>
      <c r="AC1438" s="316">
        <v>1</v>
      </c>
      <c r="AD1438" s="316">
        <v>1</v>
      </c>
      <c r="AE1438" s="302">
        <f t="shared" si="95"/>
        <v>1</v>
      </c>
      <c r="AF1438" s="176">
        <v>1</v>
      </c>
      <c r="AG1438" s="17">
        <v>0</v>
      </c>
      <c r="AH1438" s="176" t="s">
        <v>2526</v>
      </c>
      <c r="AI1438" s="176" t="s">
        <v>2526</v>
      </c>
      <c r="AJ1438" s="176" t="s">
        <v>2526</v>
      </c>
      <c r="AK1438" s="177" t="s">
        <v>2526</v>
      </c>
      <c r="AL1438" s="177" t="s">
        <v>2526</v>
      </c>
      <c r="AM1438" s="17">
        <f t="shared" si="94"/>
        <v>0</v>
      </c>
      <c r="AN1438" s="18" t="s">
        <v>921</v>
      </c>
      <c r="AO1438" s="18" t="s">
        <v>880</v>
      </c>
      <c r="AP1438" s="228" t="s">
        <v>119</v>
      </c>
    </row>
    <row r="1439" spans="1:43" s="18" customFormat="1" x14ac:dyDescent="0.3">
      <c r="A1439" s="228" t="s">
        <v>1451</v>
      </c>
      <c r="B1439" s="18" t="s">
        <v>4838</v>
      </c>
      <c r="C1439" s="228" t="s">
        <v>4841</v>
      </c>
      <c r="D1439" s="18" t="s">
        <v>2439</v>
      </c>
      <c r="E1439" s="228" t="s">
        <v>4842</v>
      </c>
      <c r="F1439" s="18" t="s">
        <v>4843</v>
      </c>
      <c r="G1439" s="228" t="s">
        <v>4953</v>
      </c>
      <c r="H1439" s="18" t="s">
        <v>4954</v>
      </c>
      <c r="I1439" s="228" t="s">
        <v>4955</v>
      </c>
      <c r="J1439" s="18" t="s">
        <v>4956</v>
      </c>
      <c r="K1439" s="228" t="s">
        <v>4957</v>
      </c>
      <c r="L1439" s="18" t="s">
        <v>4958</v>
      </c>
      <c r="N1439" s="16"/>
      <c r="O1439" s="16"/>
      <c r="P1439" s="16"/>
      <c r="Q1439" s="16"/>
      <c r="R1439" s="16"/>
      <c r="S1439" s="16"/>
      <c r="U1439" s="283" t="e">
        <v>#N/A</v>
      </c>
      <c r="V1439" s="18" t="s">
        <v>4964</v>
      </c>
      <c r="W1439" s="18">
        <v>1</v>
      </c>
      <c r="X1439" s="18">
        <v>1</v>
      </c>
      <c r="Y1439" s="18">
        <v>1</v>
      </c>
      <c r="Z1439" s="18">
        <v>1</v>
      </c>
      <c r="AA1439" s="18">
        <v>1</v>
      </c>
      <c r="AB1439" s="18">
        <v>1</v>
      </c>
      <c r="AC1439" s="316">
        <v>1</v>
      </c>
      <c r="AD1439" s="316">
        <v>1</v>
      </c>
      <c r="AE1439" s="302">
        <f t="shared" si="95"/>
        <v>1</v>
      </c>
      <c r="AF1439" s="176">
        <v>1</v>
      </c>
      <c r="AG1439" s="17">
        <v>0</v>
      </c>
      <c r="AH1439" s="176">
        <v>51.5</v>
      </c>
      <c r="AI1439" s="176">
        <v>51.5</v>
      </c>
      <c r="AJ1439" s="176">
        <v>75</v>
      </c>
      <c r="AK1439" s="237">
        <v>50</v>
      </c>
      <c r="AL1439" s="237">
        <v>50</v>
      </c>
      <c r="AM1439" s="17">
        <f t="shared" si="94"/>
        <v>100</v>
      </c>
      <c r="AN1439" s="18" t="s">
        <v>921</v>
      </c>
      <c r="AO1439" s="18" t="s">
        <v>880</v>
      </c>
      <c r="AP1439" s="18" t="s">
        <v>119</v>
      </c>
    </row>
    <row r="1440" spans="1:43" s="18" customFormat="1" x14ac:dyDescent="0.3">
      <c r="A1440" s="228" t="s">
        <v>1451</v>
      </c>
      <c r="B1440" s="18" t="s">
        <v>4838</v>
      </c>
      <c r="C1440" s="228" t="s">
        <v>4841</v>
      </c>
      <c r="D1440" s="18" t="s">
        <v>2439</v>
      </c>
      <c r="E1440" s="228" t="s">
        <v>4842</v>
      </c>
      <c r="F1440" s="18" t="s">
        <v>4843</v>
      </c>
      <c r="G1440" s="228" t="s">
        <v>4953</v>
      </c>
      <c r="H1440" s="18" t="s">
        <v>4954</v>
      </c>
      <c r="I1440" s="228" t="s">
        <v>4965</v>
      </c>
      <c r="J1440" s="18" t="s">
        <v>4966</v>
      </c>
      <c r="K1440" s="228" t="s">
        <v>4967</v>
      </c>
      <c r="L1440" s="18" t="s">
        <v>4968</v>
      </c>
      <c r="M1440" s="18" t="s">
        <v>4969</v>
      </c>
      <c r="N1440" s="16">
        <v>0</v>
      </c>
      <c r="O1440" s="16">
        <v>0</v>
      </c>
      <c r="P1440" s="16">
        <v>0</v>
      </c>
      <c r="Q1440" s="16">
        <v>1</v>
      </c>
      <c r="R1440" s="16">
        <v>0</v>
      </c>
      <c r="S1440" s="16">
        <v>0</v>
      </c>
      <c r="T1440" s="18" t="s">
        <v>1191</v>
      </c>
      <c r="U1440" s="283" t="e">
        <v>#N/A</v>
      </c>
      <c r="V1440" s="18" t="s">
        <v>4970</v>
      </c>
      <c r="W1440" s="18">
        <v>1</v>
      </c>
      <c r="X1440" s="18">
        <v>1</v>
      </c>
      <c r="Y1440" s="18">
        <v>1</v>
      </c>
      <c r="Z1440" s="18">
        <v>1</v>
      </c>
      <c r="AA1440" s="18">
        <v>1</v>
      </c>
      <c r="AB1440" s="18">
        <v>1</v>
      </c>
      <c r="AC1440" s="316">
        <v>0</v>
      </c>
      <c r="AD1440" s="316">
        <v>0</v>
      </c>
      <c r="AE1440" s="302">
        <f t="shared" si="95"/>
        <v>0.75</v>
      </c>
      <c r="AF1440" s="176">
        <v>1</v>
      </c>
      <c r="AG1440" s="17">
        <v>0</v>
      </c>
      <c r="AH1440" s="176" t="s">
        <v>2526</v>
      </c>
      <c r="AI1440" s="176">
        <v>0.25</v>
      </c>
      <c r="AJ1440" s="176">
        <v>0.25</v>
      </c>
      <c r="AK1440" s="177" t="s">
        <v>2526</v>
      </c>
      <c r="AL1440" s="177" t="s">
        <v>2526</v>
      </c>
      <c r="AM1440" s="17">
        <f t="shared" si="94"/>
        <v>0</v>
      </c>
      <c r="AN1440" s="18" t="s">
        <v>921</v>
      </c>
      <c r="AO1440" s="18" t="s">
        <v>880</v>
      </c>
      <c r="AP1440" s="18" t="s">
        <v>4971</v>
      </c>
    </row>
    <row r="1441" spans="1:43" s="18" customFormat="1" hidden="1" x14ac:dyDescent="0.3">
      <c r="A1441" s="228" t="s">
        <v>1451</v>
      </c>
      <c r="B1441" s="18" t="s">
        <v>4838</v>
      </c>
      <c r="C1441" s="228" t="s">
        <v>4841</v>
      </c>
      <c r="D1441" s="18" t="s">
        <v>2439</v>
      </c>
      <c r="E1441" s="228" t="s">
        <v>4842</v>
      </c>
      <c r="F1441" s="18" t="s">
        <v>4843</v>
      </c>
      <c r="G1441" s="228" t="s">
        <v>4953</v>
      </c>
      <c r="H1441" s="18" t="s">
        <v>4954</v>
      </c>
      <c r="I1441" s="228" t="s">
        <v>4972</v>
      </c>
      <c r="J1441" s="18" t="s">
        <v>4973</v>
      </c>
      <c r="K1441" s="228" t="s">
        <v>4974</v>
      </c>
      <c r="L1441" s="18" t="s">
        <v>4975</v>
      </c>
      <c r="M1441" s="18" t="s">
        <v>4976</v>
      </c>
      <c r="N1441" s="224" t="s">
        <v>271</v>
      </c>
      <c r="O1441" s="224"/>
      <c r="P1441" s="224"/>
      <c r="Q1441" s="224"/>
      <c r="R1441" s="224"/>
      <c r="S1441" s="224"/>
      <c r="T1441" s="18" t="s">
        <v>3705</v>
      </c>
      <c r="U1441" s="283" t="s">
        <v>880</v>
      </c>
      <c r="V1441" s="18" t="s">
        <v>4977</v>
      </c>
      <c r="AC1441" s="316">
        <v>0</v>
      </c>
      <c r="AD1441" s="316">
        <v>0</v>
      </c>
      <c r="AE1441" s="302">
        <f t="shared" si="95"/>
        <v>0</v>
      </c>
      <c r="AF1441" s="176"/>
      <c r="AG1441" s="17">
        <v>0</v>
      </c>
      <c r="AH1441" s="176"/>
      <c r="AI1441" s="176"/>
      <c r="AJ1441" s="176"/>
      <c r="AK1441" s="177"/>
      <c r="AL1441" s="177"/>
      <c r="AM1441" s="17">
        <f t="shared" si="94"/>
        <v>0</v>
      </c>
      <c r="AN1441" s="18" t="s">
        <v>921</v>
      </c>
      <c r="AO1441" s="18" t="s">
        <v>880</v>
      </c>
      <c r="AP1441" s="157" t="s">
        <v>921</v>
      </c>
    </row>
    <row r="1442" spans="1:43" s="18" customFormat="1" hidden="1" x14ac:dyDescent="0.3">
      <c r="A1442" s="228" t="s">
        <v>1451</v>
      </c>
      <c r="B1442" s="18" t="s">
        <v>4838</v>
      </c>
      <c r="C1442" s="228" t="s">
        <v>4841</v>
      </c>
      <c r="D1442" s="18" t="s">
        <v>2439</v>
      </c>
      <c r="E1442" s="228" t="s">
        <v>4842</v>
      </c>
      <c r="F1442" s="18" t="s">
        <v>4843</v>
      </c>
      <c r="G1442" s="228" t="s">
        <v>4953</v>
      </c>
      <c r="H1442" s="18" t="s">
        <v>4954</v>
      </c>
      <c r="I1442" s="228" t="s">
        <v>4978</v>
      </c>
      <c r="J1442" s="18" t="s">
        <v>4979</v>
      </c>
      <c r="K1442" s="228" t="s">
        <v>4980</v>
      </c>
      <c r="L1442" s="18" t="s">
        <v>4981</v>
      </c>
      <c r="M1442" s="18" t="s">
        <v>4982</v>
      </c>
      <c r="N1442" s="16">
        <v>0</v>
      </c>
      <c r="O1442" s="16">
        <v>0</v>
      </c>
      <c r="P1442" s="16">
        <v>1</v>
      </c>
      <c r="Q1442" s="16">
        <v>0</v>
      </c>
      <c r="R1442" s="16">
        <v>0</v>
      </c>
      <c r="S1442" s="16">
        <v>0</v>
      </c>
      <c r="T1442" s="18" t="s">
        <v>1191</v>
      </c>
      <c r="U1442" s="283" t="e">
        <v>#N/A</v>
      </c>
      <c r="V1442" s="18" t="s">
        <v>4983</v>
      </c>
      <c r="W1442" s="18">
        <v>0</v>
      </c>
      <c r="X1442" s="18">
        <v>0</v>
      </c>
      <c r="Y1442" s="18">
        <v>0</v>
      </c>
      <c r="Z1442" s="18">
        <v>1</v>
      </c>
      <c r="AA1442" s="18">
        <v>0</v>
      </c>
      <c r="AB1442" s="18">
        <v>1</v>
      </c>
      <c r="AC1442" s="316">
        <v>1</v>
      </c>
      <c r="AD1442" s="316">
        <v>0</v>
      </c>
      <c r="AE1442" s="302">
        <f t="shared" si="95"/>
        <v>0.375</v>
      </c>
      <c r="AF1442" s="176"/>
      <c r="AG1442" s="17">
        <v>0</v>
      </c>
      <c r="AH1442" s="176" t="s">
        <v>2526</v>
      </c>
      <c r="AI1442" s="176" t="s">
        <v>2526</v>
      </c>
      <c r="AJ1442" s="176">
        <v>1</v>
      </c>
      <c r="AK1442" s="177" t="s">
        <v>2526</v>
      </c>
      <c r="AL1442" s="177" t="s">
        <v>2526</v>
      </c>
      <c r="AM1442" s="17">
        <f t="shared" si="94"/>
        <v>0</v>
      </c>
      <c r="AN1442" s="18" t="s">
        <v>921</v>
      </c>
      <c r="AO1442" s="18" t="s">
        <v>880</v>
      </c>
      <c r="AP1442" s="18" t="s">
        <v>4984</v>
      </c>
    </row>
    <row r="1443" spans="1:43" s="18" customFormat="1" x14ac:dyDescent="0.3">
      <c r="A1443" s="228" t="s">
        <v>1451</v>
      </c>
      <c r="B1443" s="18" t="s">
        <v>4838</v>
      </c>
      <c r="C1443" s="228" t="s">
        <v>4841</v>
      </c>
      <c r="D1443" s="18" t="s">
        <v>2439</v>
      </c>
      <c r="E1443" s="228" t="s">
        <v>4842</v>
      </c>
      <c r="F1443" s="18" t="s">
        <v>4843</v>
      </c>
      <c r="G1443" s="228" t="s">
        <v>4953</v>
      </c>
      <c r="H1443" s="18" t="s">
        <v>4954</v>
      </c>
      <c r="I1443" s="228" t="s">
        <v>4978</v>
      </c>
      <c r="J1443" s="18" t="s">
        <v>4979</v>
      </c>
      <c r="K1443" s="228" t="s">
        <v>4985</v>
      </c>
      <c r="L1443" s="18" t="s">
        <v>4986</v>
      </c>
      <c r="M1443" s="18" t="s">
        <v>4987</v>
      </c>
      <c r="N1443" s="16">
        <v>0</v>
      </c>
      <c r="O1443" s="16">
        <v>1</v>
      </c>
      <c r="P1443" s="16">
        <v>1</v>
      </c>
      <c r="Q1443" s="16">
        <v>1</v>
      </c>
      <c r="R1443" s="16">
        <v>1</v>
      </c>
      <c r="S1443" s="16">
        <v>1</v>
      </c>
      <c r="T1443" s="18" t="s">
        <v>1283</v>
      </c>
      <c r="U1443" s="283" t="s">
        <v>880</v>
      </c>
      <c r="V1443" s="18" t="s">
        <v>4988</v>
      </c>
      <c r="W1443" s="18">
        <v>1</v>
      </c>
      <c r="X1443" s="18">
        <v>1</v>
      </c>
      <c r="Y1443" s="18">
        <v>0</v>
      </c>
      <c r="Z1443" s="18">
        <v>1</v>
      </c>
      <c r="AA1443" s="18">
        <v>1</v>
      </c>
      <c r="AB1443" s="18">
        <v>1</v>
      </c>
      <c r="AC1443" s="316">
        <v>0</v>
      </c>
      <c r="AD1443" s="316">
        <v>1</v>
      </c>
      <c r="AE1443" s="302">
        <f t="shared" si="95"/>
        <v>0.75</v>
      </c>
      <c r="AF1443" s="176">
        <v>0</v>
      </c>
      <c r="AG1443" s="17">
        <v>0</v>
      </c>
      <c r="AH1443" s="176">
        <v>0.72</v>
      </c>
      <c r="AI1443" s="176">
        <v>0.79</v>
      </c>
      <c r="AJ1443" s="176">
        <v>0.79</v>
      </c>
      <c r="AK1443" s="237">
        <v>0.85</v>
      </c>
      <c r="AL1443" s="177">
        <v>0.87</v>
      </c>
      <c r="AM1443" s="17">
        <f t="shared" si="94"/>
        <v>1.72</v>
      </c>
      <c r="AN1443" s="18" t="s">
        <v>1285</v>
      </c>
      <c r="AO1443" s="18" t="s">
        <v>880</v>
      </c>
      <c r="AP1443" s="18" t="s">
        <v>921</v>
      </c>
    </row>
    <row r="1444" spans="1:43" s="18" customFormat="1" hidden="1" x14ac:dyDescent="0.3">
      <c r="A1444" s="228" t="s">
        <v>1451</v>
      </c>
      <c r="B1444" s="18" t="s">
        <v>4838</v>
      </c>
      <c r="C1444" s="228" t="s">
        <v>4841</v>
      </c>
      <c r="D1444" s="18" t="s">
        <v>2439</v>
      </c>
      <c r="E1444" s="228" t="s">
        <v>4842</v>
      </c>
      <c r="F1444" s="18" t="s">
        <v>4843</v>
      </c>
      <c r="G1444" s="228" t="s">
        <v>4953</v>
      </c>
      <c r="H1444" s="18" t="s">
        <v>4954</v>
      </c>
      <c r="I1444" s="228" t="s">
        <v>4978</v>
      </c>
      <c r="J1444" s="18" t="s">
        <v>4979</v>
      </c>
      <c r="K1444" s="228" t="s">
        <v>4985</v>
      </c>
      <c r="L1444" s="18" t="s">
        <v>4986</v>
      </c>
      <c r="M1444" s="18" t="s">
        <v>4989</v>
      </c>
      <c r="N1444" s="16">
        <v>0</v>
      </c>
      <c r="O1444" s="16">
        <v>5</v>
      </c>
      <c r="P1444" s="16">
        <v>10</v>
      </c>
      <c r="Q1444" s="16">
        <v>12</v>
      </c>
      <c r="R1444" s="16">
        <v>15</v>
      </c>
      <c r="S1444" s="16">
        <v>25</v>
      </c>
      <c r="T1444" s="18" t="s">
        <v>1283</v>
      </c>
      <c r="U1444" s="283" t="s">
        <v>880</v>
      </c>
      <c r="V1444" s="18" t="s">
        <v>4990</v>
      </c>
      <c r="W1444" s="18">
        <v>0</v>
      </c>
      <c r="X1444" s="18">
        <v>0</v>
      </c>
      <c r="Y1444" s="18">
        <v>0</v>
      </c>
      <c r="Z1444" s="18">
        <v>0</v>
      </c>
      <c r="AA1444" s="18">
        <v>0</v>
      </c>
      <c r="AB1444" s="18">
        <v>0</v>
      </c>
      <c r="AC1444" s="316">
        <v>0</v>
      </c>
      <c r="AD1444" s="316">
        <v>0</v>
      </c>
      <c r="AE1444" s="302">
        <f t="shared" si="95"/>
        <v>0</v>
      </c>
      <c r="AF1444" s="176"/>
      <c r="AG1444" s="17">
        <v>0</v>
      </c>
      <c r="AH1444" s="176">
        <v>0.2</v>
      </c>
      <c r="AI1444" s="176">
        <v>0.2</v>
      </c>
      <c r="AJ1444" s="176">
        <v>0.3</v>
      </c>
      <c r="AK1444" s="246">
        <v>0</v>
      </c>
      <c r="AL1444" s="246">
        <v>0</v>
      </c>
      <c r="AM1444" s="17">
        <f t="shared" si="94"/>
        <v>0</v>
      </c>
      <c r="AN1444" s="18" t="s">
        <v>1285</v>
      </c>
      <c r="AO1444" s="18" t="s">
        <v>880</v>
      </c>
      <c r="AP1444" s="18" t="s">
        <v>921</v>
      </c>
    </row>
    <row r="1445" spans="1:43" s="18" customFormat="1" x14ac:dyDescent="0.3">
      <c r="A1445" s="228" t="s">
        <v>1451</v>
      </c>
      <c r="B1445" s="18" t="s">
        <v>4838</v>
      </c>
      <c r="C1445" s="228" t="s">
        <v>4841</v>
      </c>
      <c r="D1445" s="18" t="s">
        <v>2439</v>
      </c>
      <c r="E1445" s="228" t="s">
        <v>4842</v>
      </c>
      <c r="F1445" s="18" t="s">
        <v>4843</v>
      </c>
      <c r="G1445" s="228" t="s">
        <v>4953</v>
      </c>
      <c r="H1445" s="18" t="s">
        <v>4954</v>
      </c>
      <c r="I1445" s="228" t="s">
        <v>4978</v>
      </c>
      <c r="J1445" s="18" t="s">
        <v>4979</v>
      </c>
      <c r="K1445" s="228" t="s">
        <v>4991</v>
      </c>
      <c r="L1445" s="18" t="s">
        <v>4992</v>
      </c>
      <c r="M1445" s="18" t="s">
        <v>4993</v>
      </c>
      <c r="N1445" s="16">
        <v>0.01</v>
      </c>
      <c r="O1445" s="16">
        <v>0.01</v>
      </c>
      <c r="P1445" s="16">
        <v>0.2</v>
      </c>
      <c r="Q1445" s="16">
        <v>0.2</v>
      </c>
      <c r="R1445" s="16">
        <v>0.2</v>
      </c>
      <c r="S1445" s="16">
        <v>0.2</v>
      </c>
      <c r="T1445" s="18" t="s">
        <v>1283</v>
      </c>
      <c r="U1445" s="283" t="s">
        <v>880</v>
      </c>
      <c r="V1445" s="18" t="s">
        <v>4994</v>
      </c>
      <c r="W1445" s="18">
        <v>1</v>
      </c>
      <c r="X1445" s="18">
        <v>0</v>
      </c>
      <c r="Y1445" s="18">
        <v>1</v>
      </c>
      <c r="Z1445" s="18">
        <v>1</v>
      </c>
      <c r="AA1445" s="18">
        <v>1</v>
      </c>
      <c r="AB1445" s="18">
        <v>1</v>
      </c>
      <c r="AC1445" s="316">
        <v>1</v>
      </c>
      <c r="AD1445" s="316">
        <v>0</v>
      </c>
      <c r="AE1445" s="302">
        <f t="shared" si="95"/>
        <v>0.75</v>
      </c>
      <c r="AF1445" s="176"/>
      <c r="AG1445" s="17">
        <v>0</v>
      </c>
      <c r="AH1445" s="176">
        <v>0.12</v>
      </c>
      <c r="AI1445" s="176">
        <v>0.2</v>
      </c>
      <c r="AJ1445" s="239">
        <v>0.25</v>
      </c>
      <c r="AK1445" s="238">
        <v>0.4</v>
      </c>
      <c r="AL1445" s="177">
        <v>0.5</v>
      </c>
      <c r="AM1445" s="17">
        <f t="shared" si="94"/>
        <v>0.9</v>
      </c>
      <c r="AN1445" s="18" t="s">
        <v>1285</v>
      </c>
      <c r="AO1445" s="18" t="s">
        <v>880</v>
      </c>
      <c r="AP1445" s="157" t="s">
        <v>921</v>
      </c>
      <c r="AQ1445" s="157"/>
    </row>
    <row r="1446" spans="1:43" s="18" customFormat="1" x14ac:dyDescent="0.3">
      <c r="A1446" s="228" t="s">
        <v>1451</v>
      </c>
      <c r="B1446" s="18" t="s">
        <v>4838</v>
      </c>
      <c r="C1446" s="228" t="s">
        <v>4841</v>
      </c>
      <c r="D1446" s="18" t="s">
        <v>2439</v>
      </c>
      <c r="E1446" s="228" t="s">
        <v>4842</v>
      </c>
      <c r="F1446" s="18" t="s">
        <v>4843</v>
      </c>
      <c r="G1446" s="228" t="s">
        <v>4953</v>
      </c>
      <c r="H1446" s="18" t="s">
        <v>4954</v>
      </c>
      <c r="I1446" s="228" t="s">
        <v>4978</v>
      </c>
      <c r="J1446" s="18" t="s">
        <v>4979</v>
      </c>
      <c r="K1446" s="228" t="s">
        <v>4991</v>
      </c>
      <c r="L1446" s="18" t="s">
        <v>4992</v>
      </c>
      <c r="M1446" s="18" t="s">
        <v>4995</v>
      </c>
      <c r="N1446" s="16">
        <v>0.26</v>
      </c>
      <c r="O1446" s="16">
        <v>0.25</v>
      </c>
      <c r="P1446" s="16">
        <v>0.3</v>
      </c>
      <c r="Q1446" s="16">
        <v>0.4</v>
      </c>
      <c r="R1446" s="16">
        <v>0.5</v>
      </c>
      <c r="S1446" s="16">
        <v>0.5</v>
      </c>
      <c r="T1446" s="18" t="s">
        <v>1283</v>
      </c>
      <c r="U1446" s="283" t="s">
        <v>880</v>
      </c>
      <c r="V1446" s="18" t="s">
        <v>4996</v>
      </c>
      <c r="W1446" s="18">
        <v>1</v>
      </c>
      <c r="X1446" s="18">
        <v>1</v>
      </c>
      <c r="Y1446" s="18">
        <v>0</v>
      </c>
      <c r="Z1446" s="18">
        <v>1</v>
      </c>
      <c r="AA1446" s="18">
        <v>1</v>
      </c>
      <c r="AB1446" s="18">
        <v>1</v>
      </c>
      <c r="AC1446" s="316">
        <v>1</v>
      </c>
      <c r="AD1446" s="316">
        <v>0</v>
      </c>
      <c r="AE1446" s="302">
        <f t="shared" si="95"/>
        <v>0.75</v>
      </c>
      <c r="AF1446" s="176"/>
      <c r="AG1446" s="17">
        <v>0</v>
      </c>
      <c r="AH1446" s="176">
        <v>0.3</v>
      </c>
      <c r="AI1446" s="176">
        <v>0.4</v>
      </c>
      <c r="AJ1446" s="239">
        <v>0.4</v>
      </c>
      <c r="AK1446" s="238">
        <v>0.5</v>
      </c>
      <c r="AL1446" s="177">
        <v>0.8</v>
      </c>
      <c r="AM1446" s="17">
        <f t="shared" si="94"/>
        <v>1.3</v>
      </c>
      <c r="AN1446" s="18" t="s">
        <v>1285</v>
      </c>
      <c r="AO1446" s="18" t="s">
        <v>880</v>
      </c>
      <c r="AP1446" s="157" t="s">
        <v>921</v>
      </c>
      <c r="AQ1446" s="157"/>
    </row>
    <row r="1447" spans="1:43" s="18" customFormat="1" x14ac:dyDescent="0.3">
      <c r="A1447" s="228" t="s">
        <v>1451</v>
      </c>
      <c r="B1447" s="18" t="s">
        <v>4838</v>
      </c>
      <c r="C1447" s="228" t="s">
        <v>4841</v>
      </c>
      <c r="D1447" s="18" t="s">
        <v>2439</v>
      </c>
      <c r="E1447" s="228" t="s">
        <v>4842</v>
      </c>
      <c r="F1447" s="18" t="s">
        <v>4843</v>
      </c>
      <c r="G1447" s="228" t="s">
        <v>4953</v>
      </c>
      <c r="H1447" s="18" t="s">
        <v>4954</v>
      </c>
      <c r="I1447" s="228" t="s">
        <v>4978</v>
      </c>
      <c r="J1447" s="18" t="s">
        <v>4979</v>
      </c>
      <c r="K1447" s="228" t="s">
        <v>4991</v>
      </c>
      <c r="L1447" s="18" t="s">
        <v>4992</v>
      </c>
      <c r="M1447" s="18" t="s">
        <v>4997</v>
      </c>
      <c r="N1447" s="16">
        <v>0.14000000000000001</v>
      </c>
      <c r="O1447" s="16">
        <v>0.15</v>
      </c>
      <c r="P1447" s="16">
        <v>0.16</v>
      </c>
      <c r="Q1447" s="16">
        <v>0.18</v>
      </c>
      <c r="R1447" s="16">
        <v>0.19</v>
      </c>
      <c r="S1447" s="16">
        <v>0.2</v>
      </c>
      <c r="T1447" s="18" t="s">
        <v>4998</v>
      </c>
      <c r="U1447" s="283" t="e">
        <v>#N/A</v>
      </c>
      <c r="V1447" s="18" t="s">
        <v>4999</v>
      </c>
      <c r="W1447" s="18">
        <v>1</v>
      </c>
      <c r="X1447" s="18">
        <v>0</v>
      </c>
      <c r="Y1447" s="18">
        <v>0</v>
      </c>
      <c r="Z1447" s="18">
        <v>1</v>
      </c>
      <c r="AA1447" s="18">
        <v>1</v>
      </c>
      <c r="AB1447" s="18">
        <v>1</v>
      </c>
      <c r="AC1447" s="316">
        <v>1</v>
      </c>
      <c r="AD1447" s="316">
        <v>1</v>
      </c>
      <c r="AE1447" s="302">
        <f t="shared" si="95"/>
        <v>0.75</v>
      </c>
      <c r="AF1447" s="176">
        <v>0</v>
      </c>
      <c r="AG1447" s="17">
        <v>0</v>
      </c>
      <c r="AH1447" s="176">
        <v>0</v>
      </c>
      <c r="AI1447" s="239">
        <v>0.1</v>
      </c>
      <c r="AJ1447" s="239" t="s">
        <v>2526</v>
      </c>
      <c r="AK1447" s="177" t="s">
        <v>2526</v>
      </c>
      <c r="AL1447" s="177" t="s">
        <v>2526</v>
      </c>
      <c r="AM1447" s="17">
        <f t="shared" si="94"/>
        <v>0</v>
      </c>
      <c r="AN1447" s="18" t="s">
        <v>5000</v>
      </c>
      <c r="AO1447" s="18" t="s">
        <v>880</v>
      </c>
      <c r="AP1447" s="157" t="s">
        <v>921</v>
      </c>
      <c r="AQ1447" s="157"/>
    </row>
    <row r="1448" spans="1:43" s="18" customFormat="1" x14ac:dyDescent="0.3">
      <c r="A1448" s="228" t="s">
        <v>1451</v>
      </c>
      <c r="B1448" s="18" t="s">
        <v>4838</v>
      </c>
      <c r="C1448" s="228" t="s">
        <v>4841</v>
      </c>
      <c r="D1448" s="18" t="s">
        <v>2439</v>
      </c>
      <c r="E1448" s="228" t="s">
        <v>4842</v>
      </c>
      <c r="F1448" s="18" t="s">
        <v>4843</v>
      </c>
      <c r="G1448" s="228" t="s">
        <v>4953</v>
      </c>
      <c r="H1448" s="18" t="s">
        <v>4954</v>
      </c>
      <c r="I1448" s="228" t="s">
        <v>4978</v>
      </c>
      <c r="J1448" s="18" t="s">
        <v>4979</v>
      </c>
      <c r="K1448" s="228" t="s">
        <v>4991</v>
      </c>
      <c r="L1448" s="18" t="s">
        <v>4992</v>
      </c>
      <c r="M1448" s="18" t="s">
        <v>5001</v>
      </c>
      <c r="N1448" s="16">
        <v>1.66E-2</v>
      </c>
      <c r="O1448" s="16">
        <v>1.46E-2</v>
      </c>
      <c r="P1448" s="16">
        <v>1.26E-2</v>
      </c>
      <c r="Q1448" s="16">
        <v>1.06E-2</v>
      </c>
      <c r="R1448" s="16">
        <v>8.6E-3</v>
      </c>
      <c r="S1448" s="16">
        <v>6.6E-3</v>
      </c>
      <c r="T1448" s="18" t="s">
        <v>4998</v>
      </c>
      <c r="U1448" s="283" t="e">
        <v>#N/A</v>
      </c>
      <c r="V1448" s="18" t="s">
        <v>5002</v>
      </c>
      <c r="W1448" s="18">
        <v>1</v>
      </c>
      <c r="X1448" s="18">
        <v>0</v>
      </c>
      <c r="Y1448" s="18">
        <v>0</v>
      </c>
      <c r="Z1448" s="18">
        <v>1</v>
      </c>
      <c r="AA1448" s="18">
        <v>1</v>
      </c>
      <c r="AB1448" s="18">
        <v>1</v>
      </c>
      <c r="AC1448" s="316">
        <v>1</v>
      </c>
      <c r="AD1448" s="316">
        <v>1</v>
      </c>
      <c r="AE1448" s="302">
        <f t="shared" si="95"/>
        <v>0.75</v>
      </c>
      <c r="AF1448" s="176">
        <v>0</v>
      </c>
      <c r="AG1448" s="17">
        <v>0</v>
      </c>
      <c r="AH1448" s="176" t="s">
        <v>2526</v>
      </c>
      <c r="AI1448" s="176" t="s">
        <v>2526</v>
      </c>
      <c r="AJ1448" s="176" t="s">
        <v>2526</v>
      </c>
      <c r="AK1448" s="177" t="s">
        <v>2526</v>
      </c>
      <c r="AL1448" s="177" t="s">
        <v>2526</v>
      </c>
      <c r="AM1448" s="17">
        <f t="shared" si="94"/>
        <v>0</v>
      </c>
      <c r="AN1448" s="18" t="s">
        <v>5000</v>
      </c>
      <c r="AO1448" s="18" t="s">
        <v>880</v>
      </c>
      <c r="AP1448" s="18" t="s">
        <v>921</v>
      </c>
    </row>
    <row r="1449" spans="1:43" s="18" customFormat="1" x14ac:dyDescent="0.3">
      <c r="A1449" s="228" t="s">
        <v>1451</v>
      </c>
      <c r="B1449" s="18" t="s">
        <v>4838</v>
      </c>
      <c r="C1449" s="228" t="s">
        <v>4841</v>
      </c>
      <c r="D1449" s="18" t="s">
        <v>2439</v>
      </c>
      <c r="E1449" s="228" t="s">
        <v>4842</v>
      </c>
      <c r="F1449" s="18" t="s">
        <v>4843</v>
      </c>
      <c r="G1449" s="228" t="s">
        <v>4953</v>
      </c>
      <c r="H1449" s="18" t="s">
        <v>4954</v>
      </c>
      <c r="I1449" s="228" t="s">
        <v>4978</v>
      </c>
      <c r="J1449" s="18" t="s">
        <v>4979</v>
      </c>
      <c r="K1449" s="228" t="s">
        <v>5003</v>
      </c>
      <c r="L1449" s="18" t="s">
        <v>5004</v>
      </c>
      <c r="M1449" s="18" t="s">
        <v>5001</v>
      </c>
      <c r="N1449" s="16">
        <v>0</v>
      </c>
      <c r="O1449" s="16">
        <v>0</v>
      </c>
      <c r="P1449" s="16">
        <v>0</v>
      </c>
      <c r="Q1449" s="16">
        <v>0</v>
      </c>
      <c r="R1449" s="16">
        <v>0</v>
      </c>
      <c r="S1449" s="16">
        <v>0</v>
      </c>
      <c r="T1449" s="18" t="s">
        <v>4998</v>
      </c>
      <c r="U1449" s="283" t="e">
        <v>#N/A</v>
      </c>
      <c r="V1449" s="18" t="s">
        <v>5005</v>
      </c>
      <c r="W1449" s="18">
        <v>1</v>
      </c>
      <c r="X1449" s="18">
        <v>0</v>
      </c>
      <c r="Y1449" s="18">
        <v>0</v>
      </c>
      <c r="Z1449" s="18">
        <v>1</v>
      </c>
      <c r="AA1449" s="18">
        <v>1</v>
      </c>
      <c r="AB1449" s="18">
        <v>1</v>
      </c>
      <c r="AC1449" s="316">
        <v>1</v>
      </c>
      <c r="AD1449" s="316">
        <v>1</v>
      </c>
      <c r="AE1449" s="302">
        <f t="shared" si="95"/>
        <v>0.75</v>
      </c>
      <c r="AF1449" s="176"/>
      <c r="AG1449" s="17">
        <v>0</v>
      </c>
      <c r="AH1449" s="176" t="s">
        <v>2526</v>
      </c>
      <c r="AI1449" s="239" t="s">
        <v>2526</v>
      </c>
      <c r="AJ1449" s="239" t="s">
        <v>2526</v>
      </c>
      <c r="AK1449" s="238" t="s">
        <v>2526</v>
      </c>
      <c r="AL1449" s="238" t="s">
        <v>2526</v>
      </c>
      <c r="AM1449" s="17">
        <f t="shared" si="94"/>
        <v>0</v>
      </c>
      <c r="AN1449" s="18" t="s">
        <v>5000</v>
      </c>
      <c r="AO1449" s="18" t="s">
        <v>880</v>
      </c>
      <c r="AP1449" s="157" t="s">
        <v>921</v>
      </c>
      <c r="AQ1449" s="157"/>
    </row>
    <row r="1450" spans="1:43" s="18" customFormat="1" x14ac:dyDescent="0.3">
      <c r="A1450" s="228" t="s">
        <v>1451</v>
      </c>
      <c r="B1450" s="18" t="s">
        <v>4838</v>
      </c>
      <c r="C1450" s="228" t="s">
        <v>4841</v>
      </c>
      <c r="D1450" s="18" t="s">
        <v>2439</v>
      </c>
      <c r="E1450" s="228" t="s">
        <v>4842</v>
      </c>
      <c r="F1450" s="18" t="s">
        <v>4843</v>
      </c>
      <c r="G1450" s="228" t="s">
        <v>4953</v>
      </c>
      <c r="H1450" s="18" t="s">
        <v>4954</v>
      </c>
      <c r="I1450" s="228" t="s">
        <v>4978</v>
      </c>
      <c r="J1450" s="18" t="s">
        <v>4979</v>
      </c>
      <c r="K1450" s="228" t="s">
        <v>5003</v>
      </c>
      <c r="L1450" s="18" t="s">
        <v>5004</v>
      </c>
      <c r="N1450" s="16"/>
      <c r="O1450" s="16"/>
      <c r="P1450" s="16"/>
      <c r="Q1450" s="16"/>
      <c r="R1450" s="16"/>
      <c r="S1450" s="16"/>
      <c r="U1450" s="283" t="e">
        <v>#N/A</v>
      </c>
      <c r="V1450" s="18" t="s">
        <v>5006</v>
      </c>
      <c r="W1450" s="18">
        <v>1</v>
      </c>
      <c r="X1450" s="18">
        <v>0</v>
      </c>
      <c r="Y1450" s="18">
        <v>0</v>
      </c>
      <c r="Z1450" s="18">
        <v>1</v>
      </c>
      <c r="AA1450" s="18">
        <v>1</v>
      </c>
      <c r="AB1450" s="18">
        <v>1</v>
      </c>
      <c r="AC1450" s="316">
        <v>1</v>
      </c>
      <c r="AD1450" s="316">
        <v>1</v>
      </c>
      <c r="AE1450" s="302">
        <f t="shared" si="95"/>
        <v>0.75</v>
      </c>
      <c r="AF1450" s="176"/>
      <c r="AG1450" s="17">
        <v>0</v>
      </c>
      <c r="AH1450" s="176" t="s">
        <v>2526</v>
      </c>
      <c r="AI1450" s="176" t="s">
        <v>2526</v>
      </c>
      <c r="AJ1450" s="176" t="s">
        <v>2526</v>
      </c>
      <c r="AK1450" s="177" t="s">
        <v>2526</v>
      </c>
      <c r="AL1450" s="177" t="s">
        <v>2526</v>
      </c>
      <c r="AM1450" s="17">
        <f t="shared" si="94"/>
        <v>0</v>
      </c>
      <c r="AN1450" s="18" t="s">
        <v>5000</v>
      </c>
      <c r="AO1450" s="18" t="s">
        <v>880</v>
      </c>
      <c r="AP1450" s="18" t="s">
        <v>921</v>
      </c>
    </row>
    <row r="1451" spans="1:43" s="18" customFormat="1" hidden="1" x14ac:dyDescent="0.3">
      <c r="A1451" s="228" t="s">
        <v>1451</v>
      </c>
      <c r="B1451" s="18" t="s">
        <v>4838</v>
      </c>
      <c r="C1451" s="228" t="s">
        <v>4841</v>
      </c>
      <c r="D1451" s="18" t="s">
        <v>2439</v>
      </c>
      <c r="E1451" s="228" t="s">
        <v>4842</v>
      </c>
      <c r="F1451" s="18" t="s">
        <v>4843</v>
      </c>
      <c r="G1451" s="228" t="s">
        <v>4953</v>
      </c>
      <c r="H1451" s="18" t="s">
        <v>4954</v>
      </c>
      <c r="I1451" s="228" t="s">
        <v>4978</v>
      </c>
      <c r="J1451" s="18" t="s">
        <v>4979</v>
      </c>
      <c r="K1451" s="228" t="s">
        <v>5003</v>
      </c>
      <c r="L1451" s="18" t="s">
        <v>5004</v>
      </c>
      <c r="N1451" s="16"/>
      <c r="O1451" s="16"/>
      <c r="P1451" s="16"/>
      <c r="Q1451" s="16"/>
      <c r="R1451" s="16"/>
      <c r="S1451" s="16"/>
      <c r="U1451" s="283" t="e">
        <v>#N/A</v>
      </c>
      <c r="V1451" s="18" t="s">
        <v>5007</v>
      </c>
      <c r="W1451" s="18">
        <v>0</v>
      </c>
      <c r="X1451" s="18">
        <v>0</v>
      </c>
      <c r="Y1451" s="18">
        <v>0</v>
      </c>
      <c r="Z1451" s="18">
        <v>0</v>
      </c>
      <c r="AA1451" s="18">
        <v>0</v>
      </c>
      <c r="AB1451" s="18">
        <v>0</v>
      </c>
      <c r="AC1451" s="316">
        <v>0</v>
      </c>
      <c r="AD1451" s="316">
        <v>0</v>
      </c>
      <c r="AE1451" s="302">
        <f t="shared" si="95"/>
        <v>0</v>
      </c>
      <c r="AF1451" s="176"/>
      <c r="AG1451" s="17">
        <v>0</v>
      </c>
      <c r="AH1451" s="176" t="s">
        <v>2526</v>
      </c>
      <c r="AI1451" s="239" t="s">
        <v>2526</v>
      </c>
      <c r="AJ1451" s="239" t="s">
        <v>2526</v>
      </c>
      <c r="AK1451" s="238" t="s">
        <v>2526</v>
      </c>
      <c r="AL1451" s="238" t="s">
        <v>2526</v>
      </c>
      <c r="AM1451" s="17">
        <f t="shared" si="94"/>
        <v>0</v>
      </c>
      <c r="AN1451" s="18" t="s">
        <v>5000</v>
      </c>
      <c r="AO1451" s="18" t="s">
        <v>880</v>
      </c>
      <c r="AP1451" s="157" t="s">
        <v>921</v>
      </c>
      <c r="AQ1451" s="157"/>
    </row>
    <row r="1452" spans="1:43" s="18" customFormat="1" x14ac:dyDescent="0.3">
      <c r="A1452" s="228" t="s">
        <v>1451</v>
      </c>
      <c r="B1452" s="18" t="s">
        <v>4838</v>
      </c>
      <c r="C1452" s="228" t="s">
        <v>4841</v>
      </c>
      <c r="D1452" s="18" t="s">
        <v>2439</v>
      </c>
      <c r="E1452" s="228" t="s">
        <v>4842</v>
      </c>
      <c r="F1452" s="18" t="s">
        <v>4843</v>
      </c>
      <c r="G1452" s="228" t="s">
        <v>5008</v>
      </c>
      <c r="H1452" s="18" t="s">
        <v>5009</v>
      </c>
      <c r="I1452" s="228" t="s">
        <v>5010</v>
      </c>
      <c r="J1452" s="18" t="s">
        <v>5011</v>
      </c>
      <c r="K1452" s="228" t="s">
        <v>5012</v>
      </c>
      <c r="L1452" s="18" t="s">
        <v>5013</v>
      </c>
      <c r="M1452" s="18" t="s">
        <v>5014</v>
      </c>
      <c r="N1452" s="16">
        <v>0</v>
      </c>
      <c r="O1452" s="16">
        <v>200</v>
      </c>
      <c r="P1452" s="16">
        <v>200</v>
      </c>
      <c r="Q1452" s="16">
        <v>200</v>
      </c>
      <c r="R1452" s="16">
        <v>200</v>
      </c>
      <c r="S1452" s="16">
        <v>200</v>
      </c>
      <c r="T1452" s="18" t="s">
        <v>4855</v>
      </c>
      <c r="U1452" s="283" t="e">
        <v>#N/A</v>
      </c>
      <c r="V1452" s="18" t="s">
        <v>5015</v>
      </c>
      <c r="W1452" s="18">
        <v>1</v>
      </c>
      <c r="X1452" s="18">
        <v>1</v>
      </c>
      <c r="Y1452" s="18">
        <v>0</v>
      </c>
      <c r="Z1452" s="18">
        <v>1</v>
      </c>
      <c r="AA1452" s="18">
        <v>1</v>
      </c>
      <c r="AB1452" s="18">
        <v>0</v>
      </c>
      <c r="AC1452" s="316">
        <v>1</v>
      </c>
      <c r="AD1452" s="316">
        <v>1</v>
      </c>
      <c r="AE1452" s="302">
        <f t="shared" si="95"/>
        <v>0.75</v>
      </c>
      <c r="AF1452" s="176"/>
      <c r="AG1452" s="17">
        <v>0</v>
      </c>
      <c r="AH1452" s="176" t="s">
        <v>2526</v>
      </c>
      <c r="AI1452" s="239" t="s">
        <v>2526</v>
      </c>
      <c r="AJ1452" s="239" t="s">
        <v>2526</v>
      </c>
      <c r="AK1452" s="238" t="s">
        <v>2526</v>
      </c>
      <c r="AL1452" s="238" t="s">
        <v>2526</v>
      </c>
      <c r="AM1452" s="17">
        <f t="shared" si="94"/>
        <v>0</v>
      </c>
      <c r="AN1452" s="157" t="s">
        <v>4860</v>
      </c>
      <c r="AO1452" s="157" t="e">
        <v>#N/A</v>
      </c>
      <c r="AP1452" s="157" t="s">
        <v>119</v>
      </c>
      <c r="AQ1452" s="157"/>
    </row>
    <row r="1453" spans="1:43" s="18" customFormat="1" hidden="1" x14ac:dyDescent="0.3">
      <c r="A1453" s="228" t="s">
        <v>1451</v>
      </c>
      <c r="B1453" s="18" t="s">
        <v>4838</v>
      </c>
      <c r="C1453" s="228" t="s">
        <v>4841</v>
      </c>
      <c r="D1453" s="18" t="s">
        <v>2439</v>
      </c>
      <c r="E1453" s="228" t="s">
        <v>4842</v>
      </c>
      <c r="F1453" s="18" t="s">
        <v>4843</v>
      </c>
      <c r="G1453" s="228" t="s">
        <v>5008</v>
      </c>
      <c r="H1453" s="18" t="s">
        <v>5009</v>
      </c>
      <c r="I1453" s="228" t="s">
        <v>5010</v>
      </c>
      <c r="J1453" s="18" t="s">
        <v>5011</v>
      </c>
      <c r="K1453" s="228" t="s">
        <v>5012</v>
      </c>
      <c r="L1453" s="18" t="s">
        <v>5013</v>
      </c>
      <c r="M1453" s="18" t="s">
        <v>5016</v>
      </c>
      <c r="N1453" s="16">
        <v>0</v>
      </c>
      <c r="O1453" s="16">
        <v>200</v>
      </c>
      <c r="P1453" s="16">
        <v>200</v>
      </c>
      <c r="Q1453" s="16">
        <v>200</v>
      </c>
      <c r="R1453" s="16">
        <v>200</v>
      </c>
      <c r="S1453" s="16">
        <v>200</v>
      </c>
      <c r="T1453" s="18" t="s">
        <v>5017</v>
      </c>
      <c r="U1453" s="283" t="e">
        <v>#N/A</v>
      </c>
      <c r="V1453" s="18" t="s">
        <v>5018</v>
      </c>
      <c r="W1453" s="18">
        <v>1</v>
      </c>
      <c r="X1453" s="18">
        <v>0</v>
      </c>
      <c r="Y1453" s="18">
        <v>0</v>
      </c>
      <c r="Z1453" s="18">
        <v>1</v>
      </c>
      <c r="AA1453" s="18">
        <v>1</v>
      </c>
      <c r="AB1453" s="18">
        <v>1</v>
      </c>
      <c r="AC1453" s="316">
        <v>0</v>
      </c>
      <c r="AD1453" s="316">
        <v>1</v>
      </c>
      <c r="AE1453" s="302">
        <f t="shared" si="95"/>
        <v>0.625</v>
      </c>
      <c r="AF1453" s="176"/>
      <c r="AG1453" s="17">
        <v>0</v>
      </c>
      <c r="AH1453" s="176" t="s">
        <v>2526</v>
      </c>
      <c r="AI1453" s="239" t="s">
        <v>2526</v>
      </c>
      <c r="AJ1453" s="239" t="s">
        <v>2526</v>
      </c>
      <c r="AK1453" s="238" t="s">
        <v>2526</v>
      </c>
      <c r="AL1453" s="238" t="s">
        <v>2526</v>
      </c>
      <c r="AM1453" s="17">
        <f t="shared" si="94"/>
        <v>0</v>
      </c>
      <c r="AN1453" s="157" t="s">
        <v>5019</v>
      </c>
      <c r="AO1453" s="157" t="s">
        <v>880</v>
      </c>
      <c r="AP1453" s="240" t="s">
        <v>5020</v>
      </c>
      <c r="AQ1453" s="157"/>
    </row>
    <row r="1454" spans="1:43" s="18" customFormat="1" x14ac:dyDescent="0.3">
      <c r="A1454" s="228" t="s">
        <v>1451</v>
      </c>
      <c r="B1454" s="18" t="s">
        <v>4838</v>
      </c>
      <c r="C1454" s="228" t="s">
        <v>4841</v>
      </c>
      <c r="D1454" s="18" t="s">
        <v>2439</v>
      </c>
      <c r="E1454" s="228" t="s">
        <v>4842</v>
      </c>
      <c r="F1454" s="18" t="s">
        <v>4843</v>
      </c>
      <c r="G1454" s="228" t="s">
        <v>5008</v>
      </c>
      <c r="H1454" s="18" t="s">
        <v>5009</v>
      </c>
      <c r="I1454" s="228" t="s">
        <v>5010</v>
      </c>
      <c r="J1454" s="18" t="s">
        <v>5011</v>
      </c>
      <c r="K1454" s="228" t="s">
        <v>5012</v>
      </c>
      <c r="L1454" s="18" t="s">
        <v>5013</v>
      </c>
      <c r="M1454" s="18" t="s">
        <v>5021</v>
      </c>
      <c r="N1454" s="16" t="s">
        <v>5022</v>
      </c>
      <c r="O1454" s="16">
        <v>224</v>
      </c>
      <c r="P1454" s="16">
        <v>269</v>
      </c>
      <c r="Q1454" s="16">
        <v>323</v>
      </c>
      <c r="R1454" s="16">
        <v>1.4</v>
      </c>
      <c r="S1454" s="16">
        <v>1.68</v>
      </c>
      <c r="T1454" s="18" t="s">
        <v>5017</v>
      </c>
      <c r="U1454" s="283" t="e">
        <v>#N/A</v>
      </c>
      <c r="V1454" s="18" t="s">
        <v>5023</v>
      </c>
      <c r="W1454" s="18">
        <v>1</v>
      </c>
      <c r="X1454" s="18">
        <v>1</v>
      </c>
      <c r="Y1454" s="18">
        <v>1</v>
      </c>
      <c r="Z1454" s="18">
        <v>1</v>
      </c>
      <c r="AA1454" s="18">
        <v>1</v>
      </c>
      <c r="AB1454" s="18">
        <v>1</v>
      </c>
      <c r="AC1454" s="316">
        <v>1</v>
      </c>
      <c r="AD1454" s="316">
        <v>1</v>
      </c>
      <c r="AE1454" s="302">
        <f t="shared" si="95"/>
        <v>1</v>
      </c>
      <c r="AF1454" s="176">
        <v>0</v>
      </c>
      <c r="AG1454" s="17">
        <v>0</v>
      </c>
      <c r="AH1454" s="176">
        <v>0.5</v>
      </c>
      <c r="AI1454" s="176">
        <v>0.5</v>
      </c>
      <c r="AJ1454" s="176">
        <v>0.5</v>
      </c>
      <c r="AK1454" s="177">
        <v>0.5</v>
      </c>
      <c r="AL1454" s="177">
        <v>0.5</v>
      </c>
      <c r="AM1454" s="17">
        <f t="shared" si="94"/>
        <v>1</v>
      </c>
      <c r="AN1454" s="18" t="s">
        <v>5019</v>
      </c>
      <c r="AO1454" s="18" t="s">
        <v>880</v>
      </c>
      <c r="AP1454" s="228" t="s">
        <v>5020</v>
      </c>
    </row>
    <row r="1455" spans="1:43" s="18" customFormat="1" hidden="1" x14ac:dyDescent="0.3">
      <c r="A1455" s="228" t="s">
        <v>1451</v>
      </c>
      <c r="B1455" s="18" t="s">
        <v>4838</v>
      </c>
      <c r="C1455" s="228" t="s">
        <v>4841</v>
      </c>
      <c r="D1455" s="18" t="s">
        <v>2439</v>
      </c>
      <c r="E1455" s="228" t="s">
        <v>4842</v>
      </c>
      <c r="F1455" s="18" t="s">
        <v>4843</v>
      </c>
      <c r="G1455" s="228" t="s">
        <v>5008</v>
      </c>
      <c r="H1455" s="18" t="s">
        <v>5009</v>
      </c>
      <c r="I1455" s="228" t="s">
        <v>5010</v>
      </c>
      <c r="J1455" s="18" t="s">
        <v>5011</v>
      </c>
      <c r="K1455" s="228" t="s">
        <v>5012</v>
      </c>
      <c r="L1455" s="18" t="s">
        <v>5013</v>
      </c>
      <c r="M1455" s="18" t="s">
        <v>5024</v>
      </c>
      <c r="N1455" s="16" t="s">
        <v>271</v>
      </c>
      <c r="O1455" s="16" t="s">
        <v>271</v>
      </c>
      <c r="P1455" s="16">
        <v>1</v>
      </c>
      <c r="Q1455" s="16">
        <v>1</v>
      </c>
      <c r="R1455" s="16">
        <v>1</v>
      </c>
      <c r="S1455" s="16">
        <v>0</v>
      </c>
      <c r="T1455" s="18" t="s">
        <v>5025</v>
      </c>
      <c r="U1455" s="283" t="e">
        <v>#N/A</v>
      </c>
      <c r="V1455" s="18" t="s">
        <v>5026</v>
      </c>
      <c r="AC1455" s="316">
        <v>0</v>
      </c>
      <c r="AD1455" s="316">
        <v>0</v>
      </c>
      <c r="AE1455" s="302">
        <f t="shared" si="95"/>
        <v>0</v>
      </c>
      <c r="AF1455" s="176">
        <v>0</v>
      </c>
      <c r="AG1455" s="17">
        <v>0</v>
      </c>
      <c r="AH1455" s="176" t="s">
        <v>2526</v>
      </c>
      <c r="AI1455" s="176" t="s">
        <v>2526</v>
      </c>
      <c r="AJ1455" s="176" t="s">
        <v>2526</v>
      </c>
      <c r="AK1455" s="177" t="s">
        <v>2526</v>
      </c>
      <c r="AL1455" s="177" t="s">
        <v>2526</v>
      </c>
      <c r="AM1455" s="17">
        <f t="shared" si="94"/>
        <v>0</v>
      </c>
      <c r="AN1455" s="18" t="s">
        <v>5019</v>
      </c>
      <c r="AO1455" s="18" t="s">
        <v>880</v>
      </c>
      <c r="AP1455" s="228" t="s">
        <v>921</v>
      </c>
    </row>
    <row r="1456" spans="1:43" s="18" customFormat="1" hidden="1" x14ac:dyDescent="0.3">
      <c r="A1456" s="228" t="s">
        <v>1451</v>
      </c>
      <c r="B1456" s="18" t="s">
        <v>4838</v>
      </c>
      <c r="C1456" s="228" t="s">
        <v>4841</v>
      </c>
      <c r="D1456" s="18" t="s">
        <v>2439</v>
      </c>
      <c r="E1456" s="228" t="s">
        <v>4842</v>
      </c>
      <c r="F1456" s="18" t="s">
        <v>4843</v>
      </c>
      <c r="G1456" s="228" t="s">
        <v>5008</v>
      </c>
      <c r="H1456" s="18" t="s">
        <v>5009</v>
      </c>
      <c r="I1456" s="228" t="s">
        <v>5010</v>
      </c>
      <c r="J1456" s="18" t="s">
        <v>5011</v>
      </c>
      <c r="K1456" s="228" t="s">
        <v>5012</v>
      </c>
      <c r="L1456" s="18" t="s">
        <v>5013</v>
      </c>
      <c r="M1456" s="18" t="s">
        <v>5027</v>
      </c>
      <c r="N1456" s="16" t="s">
        <v>271</v>
      </c>
      <c r="O1456" s="16">
        <v>5</v>
      </c>
      <c r="P1456" s="16">
        <v>5</v>
      </c>
      <c r="Q1456" s="16">
        <v>5</v>
      </c>
      <c r="R1456" s="16">
        <v>5</v>
      </c>
      <c r="S1456" s="16">
        <v>5</v>
      </c>
      <c r="T1456" s="18" t="s">
        <v>5017</v>
      </c>
      <c r="U1456" s="283" t="e">
        <v>#N/A</v>
      </c>
      <c r="AC1456" s="316">
        <v>0</v>
      </c>
      <c r="AD1456" s="316">
        <v>0</v>
      </c>
      <c r="AE1456" s="302">
        <f t="shared" si="95"/>
        <v>0</v>
      </c>
      <c r="AF1456" s="17"/>
      <c r="AG1456" s="17">
        <v>0</v>
      </c>
      <c r="AH1456" s="17"/>
      <c r="AI1456" s="17"/>
      <c r="AJ1456" s="17"/>
      <c r="AK1456" s="154"/>
      <c r="AL1456" s="154"/>
      <c r="AM1456" s="17">
        <f t="shared" si="94"/>
        <v>0</v>
      </c>
      <c r="AP1456" s="228"/>
    </row>
    <row r="1457" spans="1:43" s="18" customFormat="1" hidden="1" x14ac:dyDescent="0.3">
      <c r="A1457" s="228" t="s">
        <v>1451</v>
      </c>
      <c r="B1457" s="18" t="s">
        <v>4838</v>
      </c>
      <c r="C1457" s="228" t="s">
        <v>4841</v>
      </c>
      <c r="D1457" s="18" t="s">
        <v>2439</v>
      </c>
      <c r="E1457" s="228" t="s">
        <v>4842</v>
      </c>
      <c r="F1457" s="18" t="s">
        <v>4843</v>
      </c>
      <c r="G1457" s="228" t="s">
        <v>5008</v>
      </c>
      <c r="H1457" s="18" t="s">
        <v>5009</v>
      </c>
      <c r="I1457" s="228" t="s">
        <v>5010</v>
      </c>
      <c r="J1457" s="18" t="s">
        <v>5011</v>
      </c>
      <c r="K1457" s="228" t="s">
        <v>5012</v>
      </c>
      <c r="L1457" s="18" t="s">
        <v>5013</v>
      </c>
      <c r="M1457" s="18" t="s">
        <v>5028</v>
      </c>
      <c r="N1457" s="16">
        <v>6</v>
      </c>
      <c r="O1457" s="16">
        <v>12</v>
      </c>
      <c r="P1457" s="16">
        <v>14</v>
      </c>
      <c r="Q1457" s="16">
        <v>16</v>
      </c>
      <c r="R1457" s="16">
        <v>18</v>
      </c>
      <c r="S1457" s="16">
        <v>20</v>
      </c>
      <c r="T1457" s="18" t="s">
        <v>5017</v>
      </c>
      <c r="U1457" s="283" t="e">
        <v>#N/A</v>
      </c>
      <c r="AC1457" s="316">
        <v>0</v>
      </c>
      <c r="AD1457" s="316">
        <v>0</v>
      </c>
      <c r="AE1457" s="302">
        <f t="shared" si="95"/>
        <v>0</v>
      </c>
      <c r="AF1457" s="17"/>
      <c r="AG1457" s="17">
        <v>0</v>
      </c>
      <c r="AH1457" s="17"/>
      <c r="AI1457" s="17"/>
      <c r="AJ1457" s="17"/>
      <c r="AK1457" s="154"/>
      <c r="AL1457" s="154"/>
      <c r="AM1457" s="17">
        <f t="shared" si="94"/>
        <v>0</v>
      </c>
      <c r="AP1457" s="228"/>
    </row>
    <row r="1458" spans="1:43" s="18" customFormat="1" x14ac:dyDescent="0.3">
      <c r="A1458" s="228" t="s">
        <v>1451</v>
      </c>
      <c r="B1458" s="18" t="s">
        <v>4838</v>
      </c>
      <c r="C1458" s="228" t="s">
        <v>4841</v>
      </c>
      <c r="D1458" s="18" t="s">
        <v>2439</v>
      </c>
      <c r="E1458" s="228" t="s">
        <v>4842</v>
      </c>
      <c r="F1458" s="18" t="s">
        <v>4843</v>
      </c>
      <c r="G1458" s="228" t="s">
        <v>5008</v>
      </c>
      <c r="H1458" s="18" t="s">
        <v>5009</v>
      </c>
      <c r="I1458" s="228" t="s">
        <v>5010</v>
      </c>
      <c r="J1458" s="18" t="s">
        <v>5011</v>
      </c>
      <c r="K1458" s="228" t="s">
        <v>5029</v>
      </c>
      <c r="L1458" s="18" t="s">
        <v>5030</v>
      </c>
      <c r="M1458" s="18" t="s">
        <v>5031</v>
      </c>
      <c r="N1458" s="16">
        <v>0</v>
      </c>
      <c r="O1458" s="16">
        <v>1</v>
      </c>
      <c r="P1458" s="16">
        <v>2</v>
      </c>
      <c r="Q1458" s="16">
        <v>5</v>
      </c>
      <c r="R1458" s="16">
        <v>5</v>
      </c>
      <c r="S1458" s="16">
        <v>9</v>
      </c>
      <c r="T1458" s="18" t="s">
        <v>5032</v>
      </c>
      <c r="U1458" s="283" t="e">
        <v>#N/A</v>
      </c>
      <c r="V1458" s="18" t="s">
        <v>5033</v>
      </c>
      <c r="W1458" s="18">
        <v>1</v>
      </c>
      <c r="X1458" s="18">
        <v>1</v>
      </c>
      <c r="Y1458" s="18">
        <v>1</v>
      </c>
      <c r="Z1458" s="18">
        <v>1</v>
      </c>
      <c r="AA1458" s="18">
        <v>1</v>
      </c>
      <c r="AB1458" s="18">
        <v>1</v>
      </c>
      <c r="AC1458" s="316">
        <v>0</v>
      </c>
      <c r="AD1458" s="316">
        <v>1</v>
      </c>
      <c r="AE1458" s="302">
        <f t="shared" si="95"/>
        <v>0.875</v>
      </c>
      <c r="AF1458" s="176">
        <v>0</v>
      </c>
      <c r="AG1458" s="17">
        <v>0</v>
      </c>
      <c r="AH1458" s="176" t="s">
        <v>2526</v>
      </c>
      <c r="AI1458" s="176" t="s">
        <v>2526</v>
      </c>
      <c r="AJ1458" s="176" t="s">
        <v>2526</v>
      </c>
      <c r="AK1458" s="177" t="s">
        <v>2526</v>
      </c>
      <c r="AL1458" s="177" t="s">
        <v>2526</v>
      </c>
      <c r="AM1458" s="17">
        <f t="shared" si="94"/>
        <v>0</v>
      </c>
      <c r="AN1458" s="18" t="s">
        <v>5019</v>
      </c>
      <c r="AO1458" s="18" t="s">
        <v>880</v>
      </c>
      <c r="AP1458" s="228" t="s">
        <v>921</v>
      </c>
    </row>
    <row r="1459" spans="1:43" s="18" customFormat="1" x14ac:dyDescent="0.3">
      <c r="A1459" s="228" t="s">
        <v>1451</v>
      </c>
      <c r="B1459" s="18" t="s">
        <v>4838</v>
      </c>
      <c r="C1459" s="228" t="s">
        <v>4841</v>
      </c>
      <c r="D1459" s="18" t="s">
        <v>2439</v>
      </c>
      <c r="E1459" s="228" t="s">
        <v>4842</v>
      </c>
      <c r="F1459" s="18" t="s">
        <v>4843</v>
      </c>
      <c r="G1459" s="228" t="s">
        <v>5008</v>
      </c>
      <c r="H1459" s="18" t="s">
        <v>5009</v>
      </c>
      <c r="I1459" s="228" t="s">
        <v>5010</v>
      </c>
      <c r="J1459" s="18" t="s">
        <v>5011</v>
      </c>
      <c r="K1459" s="228" t="s">
        <v>5029</v>
      </c>
      <c r="L1459" s="18" t="s">
        <v>5030</v>
      </c>
      <c r="M1459" s="18" t="s">
        <v>5034</v>
      </c>
      <c r="N1459" s="16">
        <v>0</v>
      </c>
      <c r="O1459" s="16">
        <v>0</v>
      </c>
      <c r="P1459" s="16">
        <v>0</v>
      </c>
      <c r="Q1459" s="16">
        <v>1</v>
      </c>
      <c r="R1459" s="16">
        <v>1</v>
      </c>
      <c r="S1459" s="16">
        <v>0</v>
      </c>
      <c r="T1459" s="18" t="s">
        <v>5035</v>
      </c>
      <c r="U1459" s="283" t="e">
        <v>#N/A</v>
      </c>
      <c r="V1459" s="18" t="s">
        <v>5036</v>
      </c>
      <c r="W1459" s="18">
        <v>1</v>
      </c>
      <c r="X1459" s="18">
        <v>1</v>
      </c>
      <c r="Y1459" s="18">
        <v>1</v>
      </c>
      <c r="Z1459" s="18">
        <v>1</v>
      </c>
      <c r="AA1459" s="18">
        <v>1</v>
      </c>
      <c r="AB1459" s="18">
        <v>1</v>
      </c>
      <c r="AC1459" s="316">
        <v>0</v>
      </c>
      <c r="AD1459" s="316">
        <v>1</v>
      </c>
      <c r="AE1459" s="302">
        <f t="shared" si="95"/>
        <v>0.875</v>
      </c>
      <c r="AF1459" s="176">
        <v>0</v>
      </c>
      <c r="AG1459" s="17">
        <v>0</v>
      </c>
      <c r="AH1459" s="176">
        <v>4.5</v>
      </c>
      <c r="AI1459" s="176">
        <v>4.5</v>
      </c>
      <c r="AJ1459" s="176">
        <v>4.5</v>
      </c>
      <c r="AK1459" s="237">
        <v>3.5</v>
      </c>
      <c r="AL1459" s="177" t="s">
        <v>2526</v>
      </c>
      <c r="AM1459" s="17">
        <f t="shared" si="94"/>
        <v>3.5</v>
      </c>
      <c r="AN1459" s="18" t="s">
        <v>5019</v>
      </c>
      <c r="AO1459" s="18" t="s">
        <v>880</v>
      </c>
      <c r="AP1459" s="228" t="s">
        <v>5037</v>
      </c>
    </row>
    <row r="1460" spans="1:43" s="18" customFormat="1" hidden="1" x14ac:dyDescent="0.3">
      <c r="A1460" s="228" t="s">
        <v>1451</v>
      </c>
      <c r="B1460" s="18" t="s">
        <v>4838</v>
      </c>
      <c r="C1460" s="228" t="s">
        <v>4841</v>
      </c>
      <c r="D1460" s="18" t="s">
        <v>2439</v>
      </c>
      <c r="E1460" s="228" t="s">
        <v>4842</v>
      </c>
      <c r="F1460" s="18" t="s">
        <v>4843</v>
      </c>
      <c r="G1460" s="228" t="s">
        <v>5008</v>
      </c>
      <c r="H1460" s="18" t="s">
        <v>5009</v>
      </c>
      <c r="I1460" s="228" t="s">
        <v>5010</v>
      </c>
      <c r="J1460" s="18" t="s">
        <v>5011</v>
      </c>
      <c r="K1460" s="228" t="s">
        <v>5029</v>
      </c>
      <c r="L1460" s="18" t="s">
        <v>5030</v>
      </c>
      <c r="N1460" s="16"/>
      <c r="O1460" s="16"/>
      <c r="P1460" s="16"/>
      <c r="Q1460" s="16"/>
      <c r="R1460" s="16"/>
      <c r="S1460" s="16"/>
      <c r="U1460" s="283" t="e">
        <v>#N/A</v>
      </c>
      <c r="V1460" s="18" t="s">
        <v>5038</v>
      </c>
      <c r="W1460" s="18">
        <v>0</v>
      </c>
      <c r="X1460" s="18">
        <v>0</v>
      </c>
      <c r="Y1460" s="18">
        <v>0</v>
      </c>
      <c r="Z1460" s="18">
        <v>0</v>
      </c>
      <c r="AA1460" s="18">
        <v>0</v>
      </c>
      <c r="AB1460" s="18">
        <v>0</v>
      </c>
      <c r="AC1460" s="316">
        <v>0</v>
      </c>
      <c r="AD1460" s="316">
        <v>0</v>
      </c>
      <c r="AE1460" s="302">
        <f t="shared" si="95"/>
        <v>0</v>
      </c>
      <c r="AF1460" s="176"/>
      <c r="AG1460" s="17">
        <v>0</v>
      </c>
      <c r="AH1460" s="176" t="s">
        <v>2526</v>
      </c>
      <c r="AI1460" s="176" t="s">
        <v>2526</v>
      </c>
      <c r="AJ1460" s="176" t="s">
        <v>2526</v>
      </c>
      <c r="AK1460" s="177" t="s">
        <v>2526</v>
      </c>
      <c r="AL1460" s="177" t="s">
        <v>2526</v>
      </c>
      <c r="AM1460" s="17">
        <f t="shared" si="94"/>
        <v>0</v>
      </c>
      <c r="AN1460" s="18" t="s">
        <v>4860</v>
      </c>
      <c r="AO1460" s="18" t="e">
        <v>#N/A</v>
      </c>
      <c r="AP1460" s="228" t="s">
        <v>5039</v>
      </c>
    </row>
    <row r="1461" spans="1:43" s="18" customFormat="1" x14ac:dyDescent="0.3">
      <c r="A1461" s="228" t="s">
        <v>1451</v>
      </c>
      <c r="B1461" s="18" t="s">
        <v>4838</v>
      </c>
      <c r="C1461" s="228" t="s">
        <v>4841</v>
      </c>
      <c r="D1461" s="18" t="s">
        <v>2439</v>
      </c>
      <c r="E1461" s="228" t="s">
        <v>4842</v>
      </c>
      <c r="F1461" s="18" t="s">
        <v>4843</v>
      </c>
      <c r="G1461" s="228" t="s">
        <v>5008</v>
      </c>
      <c r="H1461" s="18" t="s">
        <v>5009</v>
      </c>
      <c r="I1461" s="228" t="s">
        <v>5040</v>
      </c>
      <c r="J1461" s="18" t="s">
        <v>5041</v>
      </c>
      <c r="K1461" s="228" t="s">
        <v>5042</v>
      </c>
      <c r="L1461" s="18" t="s">
        <v>5043</v>
      </c>
      <c r="M1461" s="18" t="s">
        <v>5044</v>
      </c>
      <c r="N1461" s="16">
        <v>0</v>
      </c>
      <c r="O1461" s="16">
        <v>0</v>
      </c>
      <c r="P1461" s="16">
        <v>2</v>
      </c>
      <c r="Q1461" s="16">
        <v>2</v>
      </c>
      <c r="R1461" s="16">
        <v>2</v>
      </c>
      <c r="S1461" s="16">
        <v>2</v>
      </c>
      <c r="T1461" s="18" t="s">
        <v>5017</v>
      </c>
      <c r="U1461" s="283" t="e">
        <v>#N/A</v>
      </c>
      <c r="V1461" s="18" t="s">
        <v>5045</v>
      </c>
      <c r="W1461" s="18">
        <v>1</v>
      </c>
      <c r="X1461" s="18">
        <v>1</v>
      </c>
      <c r="Y1461" s="18">
        <v>1</v>
      </c>
      <c r="Z1461" s="18">
        <v>1</v>
      </c>
      <c r="AA1461" s="18">
        <v>1</v>
      </c>
      <c r="AB1461" s="18">
        <v>1</v>
      </c>
      <c r="AC1461" s="316">
        <v>0</v>
      </c>
      <c r="AD1461" s="316">
        <v>1</v>
      </c>
      <c r="AE1461" s="302">
        <f t="shared" si="95"/>
        <v>0.875</v>
      </c>
      <c r="AF1461" s="176"/>
      <c r="AG1461" s="17">
        <v>0</v>
      </c>
      <c r="AH1461" s="176">
        <v>0.5</v>
      </c>
      <c r="AI1461" s="176">
        <v>0.5</v>
      </c>
      <c r="AJ1461" s="239">
        <v>0.5</v>
      </c>
      <c r="AK1461" s="177">
        <v>0.5</v>
      </c>
      <c r="AL1461" s="238" t="s">
        <v>2526</v>
      </c>
      <c r="AM1461" s="17">
        <f t="shared" si="94"/>
        <v>0.5</v>
      </c>
      <c r="AN1461" s="157" t="s">
        <v>5019</v>
      </c>
      <c r="AO1461" s="157" t="s">
        <v>880</v>
      </c>
      <c r="AP1461" s="240" t="s">
        <v>5046</v>
      </c>
      <c r="AQ1461" s="157"/>
    </row>
    <row r="1462" spans="1:43" s="18" customFormat="1" x14ac:dyDescent="0.3">
      <c r="A1462" s="228" t="s">
        <v>1451</v>
      </c>
      <c r="B1462" s="18" t="s">
        <v>4838</v>
      </c>
      <c r="C1462" s="228" t="s">
        <v>4841</v>
      </c>
      <c r="D1462" s="18" t="s">
        <v>2439</v>
      </c>
      <c r="E1462" s="228" t="s">
        <v>4842</v>
      </c>
      <c r="F1462" s="18" t="s">
        <v>4843</v>
      </c>
      <c r="G1462" s="228" t="s">
        <v>5008</v>
      </c>
      <c r="H1462" s="18" t="s">
        <v>5009</v>
      </c>
      <c r="I1462" s="228" t="s">
        <v>5040</v>
      </c>
      <c r="J1462" s="18" t="s">
        <v>5041</v>
      </c>
      <c r="K1462" s="228" t="s">
        <v>5042</v>
      </c>
      <c r="L1462" s="18" t="s">
        <v>5043</v>
      </c>
      <c r="M1462" s="18" t="s">
        <v>5047</v>
      </c>
      <c r="N1462" s="16">
        <v>100</v>
      </c>
      <c r="O1462" s="16">
        <v>2500</v>
      </c>
      <c r="P1462" s="16">
        <v>2500</v>
      </c>
      <c r="Q1462" s="16">
        <v>0</v>
      </c>
      <c r="R1462" s="16">
        <v>0</v>
      </c>
      <c r="S1462" s="16">
        <v>0</v>
      </c>
      <c r="T1462" s="18" t="s">
        <v>798</v>
      </c>
      <c r="U1462" s="283" t="s">
        <v>350</v>
      </c>
      <c r="V1462" s="18" t="s">
        <v>5048</v>
      </c>
      <c r="W1462" s="18">
        <v>1</v>
      </c>
      <c r="X1462" s="18">
        <v>0</v>
      </c>
      <c r="Y1462" s="18">
        <v>1</v>
      </c>
      <c r="Z1462" s="18">
        <v>1</v>
      </c>
      <c r="AA1462" s="18">
        <v>1</v>
      </c>
      <c r="AB1462" s="18">
        <v>1</v>
      </c>
      <c r="AC1462" s="316">
        <v>1</v>
      </c>
      <c r="AD1462" s="316">
        <v>1</v>
      </c>
      <c r="AE1462" s="302">
        <f t="shared" si="95"/>
        <v>0.875</v>
      </c>
      <c r="AF1462" s="176"/>
      <c r="AG1462" s="17">
        <v>0</v>
      </c>
      <c r="AH1462" s="176" t="s">
        <v>2526</v>
      </c>
      <c r="AI1462" s="176">
        <v>0.25</v>
      </c>
      <c r="AJ1462" s="239">
        <v>0.25</v>
      </c>
      <c r="AK1462" s="177">
        <v>0.25</v>
      </c>
      <c r="AL1462" s="238">
        <v>0.25</v>
      </c>
      <c r="AM1462" s="17">
        <f t="shared" si="94"/>
        <v>0.5</v>
      </c>
      <c r="AN1462" s="157" t="s">
        <v>619</v>
      </c>
      <c r="AO1462" s="157" t="s">
        <v>350</v>
      </c>
      <c r="AP1462" s="240" t="s">
        <v>5049</v>
      </c>
      <c r="AQ1462" s="157"/>
    </row>
    <row r="1463" spans="1:43" s="18" customFormat="1" hidden="1" x14ac:dyDescent="0.3">
      <c r="A1463" s="228" t="s">
        <v>1451</v>
      </c>
      <c r="B1463" s="18" t="s">
        <v>4838</v>
      </c>
      <c r="C1463" s="228" t="s">
        <v>4841</v>
      </c>
      <c r="D1463" s="18" t="s">
        <v>2439</v>
      </c>
      <c r="E1463" s="228" t="s">
        <v>4842</v>
      </c>
      <c r="F1463" s="18" t="s">
        <v>4843</v>
      </c>
      <c r="G1463" s="228" t="s">
        <v>5008</v>
      </c>
      <c r="H1463" s="18" t="s">
        <v>5009</v>
      </c>
      <c r="I1463" s="228" t="s">
        <v>5040</v>
      </c>
      <c r="J1463" s="18" t="s">
        <v>5041</v>
      </c>
      <c r="K1463" s="228" t="s">
        <v>5042</v>
      </c>
      <c r="L1463" s="18" t="s">
        <v>5043</v>
      </c>
      <c r="N1463" s="16"/>
      <c r="O1463" s="16"/>
      <c r="P1463" s="16"/>
      <c r="Q1463" s="16"/>
      <c r="R1463" s="16"/>
      <c r="S1463" s="16"/>
      <c r="U1463" s="283" t="e">
        <v>#N/A</v>
      </c>
      <c r="V1463" s="18" t="s">
        <v>5050</v>
      </c>
      <c r="W1463" s="18">
        <v>0</v>
      </c>
      <c r="X1463" s="18">
        <v>0</v>
      </c>
      <c r="Y1463" s="18">
        <v>0</v>
      </c>
      <c r="Z1463" s="18">
        <v>0</v>
      </c>
      <c r="AA1463" s="18">
        <v>0</v>
      </c>
      <c r="AB1463" s="18">
        <v>0</v>
      </c>
      <c r="AC1463" s="316">
        <v>0</v>
      </c>
      <c r="AD1463" s="316">
        <v>0</v>
      </c>
      <c r="AE1463" s="302">
        <f t="shared" si="95"/>
        <v>0</v>
      </c>
      <c r="AF1463" s="176"/>
      <c r="AG1463" s="17">
        <v>0</v>
      </c>
      <c r="AH1463" s="176" t="s">
        <v>2526</v>
      </c>
      <c r="AI1463" s="176" t="s">
        <v>2526</v>
      </c>
      <c r="AJ1463" s="239" t="s">
        <v>2526</v>
      </c>
      <c r="AK1463" s="238" t="s">
        <v>2526</v>
      </c>
      <c r="AL1463" s="238" t="s">
        <v>2526</v>
      </c>
      <c r="AM1463" s="17">
        <f t="shared" si="94"/>
        <v>0</v>
      </c>
      <c r="AN1463" s="157" t="s">
        <v>869</v>
      </c>
      <c r="AO1463" s="157" t="s">
        <v>871</v>
      </c>
      <c r="AP1463" s="240" t="s">
        <v>119</v>
      </c>
      <c r="AQ1463" s="157"/>
    </row>
    <row r="1464" spans="1:43" s="18" customFormat="1" hidden="1" x14ac:dyDescent="0.3">
      <c r="A1464" s="228" t="s">
        <v>1451</v>
      </c>
      <c r="B1464" s="18" t="s">
        <v>4838</v>
      </c>
      <c r="C1464" s="228" t="s">
        <v>4841</v>
      </c>
      <c r="D1464" s="18" t="s">
        <v>2439</v>
      </c>
      <c r="E1464" s="228" t="s">
        <v>4842</v>
      </c>
      <c r="F1464" s="18" t="s">
        <v>4843</v>
      </c>
      <c r="G1464" s="228" t="s">
        <v>5008</v>
      </c>
      <c r="H1464" s="18" t="s">
        <v>5009</v>
      </c>
      <c r="I1464" s="228" t="s">
        <v>5040</v>
      </c>
      <c r="J1464" s="18" t="s">
        <v>5041</v>
      </c>
      <c r="K1464" s="228" t="s">
        <v>5051</v>
      </c>
      <c r="L1464" s="18" t="s">
        <v>5052</v>
      </c>
      <c r="M1464" s="18" t="s">
        <v>5053</v>
      </c>
      <c r="N1464" s="16">
        <v>0</v>
      </c>
      <c r="O1464" s="16">
        <v>5</v>
      </c>
      <c r="P1464" s="16">
        <v>5</v>
      </c>
      <c r="Q1464" s="16">
        <v>5</v>
      </c>
      <c r="R1464" s="16">
        <v>5</v>
      </c>
      <c r="S1464" s="16">
        <v>5</v>
      </c>
      <c r="T1464" s="18" t="s">
        <v>1191</v>
      </c>
      <c r="U1464" s="283" t="e">
        <v>#N/A</v>
      </c>
      <c r="V1464" s="18" t="s">
        <v>5054</v>
      </c>
      <c r="W1464" s="18">
        <v>1</v>
      </c>
      <c r="X1464" s="18">
        <v>0</v>
      </c>
      <c r="Y1464" s="18">
        <v>1</v>
      </c>
      <c r="Z1464" s="18">
        <v>1</v>
      </c>
      <c r="AA1464" s="18">
        <v>0</v>
      </c>
      <c r="AB1464" s="18">
        <v>0</v>
      </c>
      <c r="AC1464" s="316">
        <v>1</v>
      </c>
      <c r="AD1464" s="316">
        <v>1</v>
      </c>
      <c r="AE1464" s="302">
        <f t="shared" si="95"/>
        <v>0.625</v>
      </c>
      <c r="AF1464" s="176"/>
      <c r="AG1464" s="17">
        <v>0</v>
      </c>
      <c r="AH1464" s="176">
        <v>0.2</v>
      </c>
      <c r="AI1464" s="176">
        <v>0.1</v>
      </c>
      <c r="AJ1464" s="234" t="s">
        <v>2526</v>
      </c>
      <c r="AK1464" s="235" t="s">
        <v>2526</v>
      </c>
      <c r="AL1464" s="235" t="s">
        <v>2526</v>
      </c>
      <c r="AM1464" s="17">
        <f t="shared" si="94"/>
        <v>0</v>
      </c>
      <c r="AN1464" s="236" t="s">
        <v>921</v>
      </c>
      <c r="AO1464" s="236" t="s">
        <v>880</v>
      </c>
      <c r="AP1464" s="228" t="s">
        <v>5055</v>
      </c>
    </row>
    <row r="1465" spans="1:43" s="18" customFormat="1" x14ac:dyDescent="0.3">
      <c r="A1465" s="228" t="s">
        <v>1451</v>
      </c>
      <c r="B1465" s="18" t="s">
        <v>4838</v>
      </c>
      <c r="C1465" s="228" t="s">
        <v>4841</v>
      </c>
      <c r="D1465" s="18" t="s">
        <v>2439</v>
      </c>
      <c r="E1465" s="228" t="s">
        <v>4842</v>
      </c>
      <c r="F1465" s="18" t="s">
        <v>4843</v>
      </c>
      <c r="G1465" s="228" t="s">
        <v>5008</v>
      </c>
      <c r="H1465" s="18" t="s">
        <v>5009</v>
      </c>
      <c r="I1465" s="228" t="s">
        <v>5040</v>
      </c>
      <c r="J1465" s="18" t="s">
        <v>5041</v>
      </c>
      <c r="K1465" s="228" t="s">
        <v>5051</v>
      </c>
      <c r="L1465" s="18" t="s">
        <v>5052</v>
      </c>
      <c r="N1465" s="16"/>
      <c r="O1465" s="16"/>
      <c r="P1465" s="16"/>
      <c r="Q1465" s="16"/>
      <c r="R1465" s="16"/>
      <c r="S1465" s="16"/>
      <c r="U1465" s="283" t="e">
        <v>#N/A</v>
      </c>
      <c r="V1465" s="18" t="s">
        <v>5056</v>
      </c>
      <c r="W1465" s="18">
        <v>1</v>
      </c>
      <c r="X1465" s="18">
        <v>0</v>
      </c>
      <c r="Y1465" s="18">
        <v>1</v>
      </c>
      <c r="Z1465" s="18">
        <v>1</v>
      </c>
      <c r="AA1465" s="18">
        <v>1</v>
      </c>
      <c r="AB1465" s="18">
        <v>0</v>
      </c>
      <c r="AC1465" s="316">
        <v>1</v>
      </c>
      <c r="AD1465" s="316">
        <v>1</v>
      </c>
      <c r="AE1465" s="302">
        <f t="shared" si="95"/>
        <v>0.75</v>
      </c>
      <c r="AF1465" s="176"/>
      <c r="AG1465" s="17">
        <v>0</v>
      </c>
      <c r="AH1465" s="176" t="s">
        <v>2526</v>
      </c>
      <c r="AI1465" s="239">
        <v>0</v>
      </c>
      <c r="AJ1465" s="239">
        <v>0.15</v>
      </c>
      <c r="AK1465" s="238">
        <v>0.15</v>
      </c>
      <c r="AL1465" s="238">
        <v>0.15</v>
      </c>
      <c r="AM1465" s="17">
        <f t="shared" si="94"/>
        <v>0.3</v>
      </c>
      <c r="AN1465" s="157" t="s">
        <v>869</v>
      </c>
      <c r="AO1465" s="157" t="s">
        <v>871</v>
      </c>
      <c r="AP1465" s="240" t="s">
        <v>4408</v>
      </c>
      <c r="AQ1465" s="157"/>
    </row>
    <row r="1466" spans="1:43" s="18" customFormat="1" x14ac:dyDescent="0.3">
      <c r="A1466" s="228" t="s">
        <v>1451</v>
      </c>
      <c r="B1466" s="18" t="s">
        <v>4838</v>
      </c>
      <c r="C1466" s="228" t="s">
        <v>4841</v>
      </c>
      <c r="D1466" s="18" t="s">
        <v>2439</v>
      </c>
      <c r="E1466" s="228" t="s">
        <v>4842</v>
      </c>
      <c r="F1466" s="18" t="s">
        <v>4843</v>
      </c>
      <c r="G1466" s="228" t="s">
        <v>5008</v>
      </c>
      <c r="H1466" s="18" t="s">
        <v>5009</v>
      </c>
      <c r="I1466" s="228" t="s">
        <v>5057</v>
      </c>
      <c r="J1466" s="18" t="s">
        <v>5058</v>
      </c>
      <c r="K1466" s="228" t="s">
        <v>5059</v>
      </c>
      <c r="L1466" s="18" t="s">
        <v>5060</v>
      </c>
      <c r="M1466" s="18" t="s">
        <v>5061</v>
      </c>
      <c r="N1466" s="16">
        <v>0</v>
      </c>
      <c r="O1466" s="16" t="s">
        <v>3763</v>
      </c>
      <c r="P1466" s="16" t="s">
        <v>3565</v>
      </c>
      <c r="Q1466" s="16" t="s">
        <v>3565</v>
      </c>
      <c r="R1466" s="16" t="s">
        <v>3565</v>
      </c>
      <c r="S1466" s="16" t="s">
        <v>3532</v>
      </c>
      <c r="T1466" s="18" t="s">
        <v>3705</v>
      </c>
      <c r="U1466" s="283" t="s">
        <v>880</v>
      </c>
      <c r="V1466" s="18" t="s">
        <v>5062</v>
      </c>
      <c r="W1466" s="18">
        <v>1</v>
      </c>
      <c r="X1466" s="18">
        <v>1</v>
      </c>
      <c r="Y1466" s="18">
        <v>1</v>
      </c>
      <c r="Z1466" s="18">
        <v>1</v>
      </c>
      <c r="AA1466" s="18">
        <v>1</v>
      </c>
      <c r="AB1466" s="18">
        <v>1</v>
      </c>
      <c r="AC1466" s="316">
        <v>1</v>
      </c>
      <c r="AD1466" s="316">
        <v>1</v>
      </c>
      <c r="AE1466" s="302">
        <f t="shared" si="95"/>
        <v>1</v>
      </c>
      <c r="AF1466" s="176">
        <v>0</v>
      </c>
      <c r="AG1466" s="17">
        <v>0</v>
      </c>
      <c r="AH1466" s="176">
        <v>0.05</v>
      </c>
      <c r="AI1466" s="239">
        <v>0.05</v>
      </c>
      <c r="AJ1466" s="239">
        <v>0.05</v>
      </c>
      <c r="AK1466" s="238">
        <v>7.0000000000000007E-2</v>
      </c>
      <c r="AL1466" s="238">
        <v>7.0000000000000007E-2</v>
      </c>
      <c r="AM1466" s="17">
        <f t="shared" ref="AM1466:AM1529" si="96">SUM(AK1466:AL1466)</f>
        <v>0.14000000000000001</v>
      </c>
      <c r="AN1466" s="157" t="s">
        <v>921</v>
      </c>
      <c r="AO1466" s="157" t="s">
        <v>880</v>
      </c>
      <c r="AP1466" s="240" t="s">
        <v>119</v>
      </c>
      <c r="AQ1466" s="157"/>
    </row>
    <row r="1467" spans="1:43" s="18" customFormat="1" x14ac:dyDescent="0.3">
      <c r="A1467" s="228" t="s">
        <v>1451</v>
      </c>
      <c r="B1467" s="18" t="s">
        <v>4838</v>
      </c>
      <c r="C1467" s="228" t="s">
        <v>4841</v>
      </c>
      <c r="D1467" s="18" t="s">
        <v>2439</v>
      </c>
      <c r="E1467" s="228" t="s">
        <v>4842</v>
      </c>
      <c r="F1467" s="18" t="s">
        <v>4843</v>
      </c>
      <c r="G1467" s="228" t="s">
        <v>5008</v>
      </c>
      <c r="H1467" s="18" t="s">
        <v>5009</v>
      </c>
      <c r="I1467" s="228" t="s">
        <v>5057</v>
      </c>
      <c r="J1467" s="18" t="s">
        <v>5058</v>
      </c>
      <c r="K1467" s="228" t="s">
        <v>5059</v>
      </c>
      <c r="L1467" s="18" t="s">
        <v>5060</v>
      </c>
      <c r="N1467" s="16"/>
      <c r="O1467" s="16"/>
      <c r="P1467" s="16"/>
      <c r="Q1467" s="16"/>
      <c r="R1467" s="16"/>
      <c r="S1467" s="16"/>
      <c r="U1467" s="283" t="e">
        <v>#N/A</v>
      </c>
      <c r="V1467" s="18" t="s">
        <v>5063</v>
      </c>
      <c r="W1467" s="18">
        <v>1</v>
      </c>
      <c r="X1467" s="18">
        <v>1</v>
      </c>
      <c r="Y1467" s="18">
        <v>1</v>
      </c>
      <c r="Z1467" s="18">
        <v>1</v>
      </c>
      <c r="AA1467" s="18">
        <v>1</v>
      </c>
      <c r="AB1467" s="18">
        <v>1</v>
      </c>
      <c r="AC1467" s="316">
        <v>0</v>
      </c>
      <c r="AD1467" s="316">
        <v>1</v>
      </c>
      <c r="AE1467" s="302">
        <f t="shared" si="95"/>
        <v>0.875</v>
      </c>
      <c r="AF1467" s="176"/>
      <c r="AG1467" s="17">
        <v>0</v>
      </c>
      <c r="AH1467" s="176" t="s">
        <v>2526</v>
      </c>
      <c r="AI1467" s="239">
        <v>0.1</v>
      </c>
      <c r="AJ1467" s="239">
        <v>0.1</v>
      </c>
      <c r="AK1467" s="238">
        <v>0.1</v>
      </c>
      <c r="AL1467" s="238">
        <v>0.1</v>
      </c>
      <c r="AM1467" s="17">
        <f t="shared" si="96"/>
        <v>0.2</v>
      </c>
      <c r="AN1467" s="157" t="s">
        <v>921</v>
      </c>
      <c r="AO1467" s="157" t="s">
        <v>880</v>
      </c>
      <c r="AP1467" s="240" t="s">
        <v>1898</v>
      </c>
      <c r="AQ1467" s="157"/>
    </row>
    <row r="1468" spans="1:43" s="18" customFormat="1" hidden="1" x14ac:dyDescent="0.3">
      <c r="A1468" s="228" t="s">
        <v>1451</v>
      </c>
      <c r="B1468" s="18" t="s">
        <v>4838</v>
      </c>
      <c r="C1468" s="228" t="s">
        <v>4841</v>
      </c>
      <c r="D1468" s="18" t="s">
        <v>2439</v>
      </c>
      <c r="E1468" s="228" t="s">
        <v>4842</v>
      </c>
      <c r="F1468" s="18" t="s">
        <v>4843</v>
      </c>
      <c r="G1468" s="228" t="s">
        <v>5008</v>
      </c>
      <c r="H1468" s="18" t="s">
        <v>5009</v>
      </c>
      <c r="I1468" s="228" t="s">
        <v>5057</v>
      </c>
      <c r="J1468" s="18" t="s">
        <v>5058</v>
      </c>
      <c r="K1468" s="228" t="s">
        <v>5059</v>
      </c>
      <c r="L1468" s="18" t="s">
        <v>5060</v>
      </c>
      <c r="N1468" s="16"/>
      <c r="O1468" s="16"/>
      <c r="P1468" s="16"/>
      <c r="Q1468" s="16"/>
      <c r="R1468" s="16"/>
      <c r="S1468" s="16"/>
      <c r="U1468" s="283" t="e">
        <v>#N/A</v>
      </c>
      <c r="V1468" s="18" t="s">
        <v>5064</v>
      </c>
      <c r="W1468" s="18">
        <v>1</v>
      </c>
      <c r="X1468" s="18">
        <v>0</v>
      </c>
      <c r="Y1468" s="18">
        <v>0</v>
      </c>
      <c r="Z1468" s="18">
        <v>1</v>
      </c>
      <c r="AA1468" s="18">
        <v>1</v>
      </c>
      <c r="AB1468" s="18">
        <v>1</v>
      </c>
      <c r="AC1468" s="316">
        <v>0</v>
      </c>
      <c r="AD1468" s="316">
        <v>1</v>
      </c>
      <c r="AE1468" s="302">
        <f t="shared" si="95"/>
        <v>0.625</v>
      </c>
      <c r="AF1468" s="176"/>
      <c r="AG1468" s="17">
        <v>0</v>
      </c>
      <c r="AH1468" s="176" t="s">
        <v>2526</v>
      </c>
      <c r="AI1468" s="239" t="s">
        <v>2526</v>
      </c>
      <c r="AJ1468" s="239" t="s">
        <v>2526</v>
      </c>
      <c r="AK1468" s="238" t="s">
        <v>2526</v>
      </c>
      <c r="AL1468" s="238" t="s">
        <v>2526</v>
      </c>
      <c r="AM1468" s="17">
        <f t="shared" si="96"/>
        <v>0</v>
      </c>
      <c r="AN1468" s="157" t="s">
        <v>921</v>
      </c>
      <c r="AO1468" s="157" t="s">
        <v>880</v>
      </c>
      <c r="AP1468" s="240" t="s">
        <v>119</v>
      </c>
      <c r="AQ1468" s="157"/>
    </row>
    <row r="1469" spans="1:43" s="18" customFormat="1" hidden="1" x14ac:dyDescent="0.3">
      <c r="A1469" s="228" t="s">
        <v>1451</v>
      </c>
      <c r="B1469" s="18" t="s">
        <v>4838</v>
      </c>
      <c r="C1469" s="228" t="s">
        <v>4841</v>
      </c>
      <c r="D1469" s="18" t="s">
        <v>2439</v>
      </c>
      <c r="E1469" s="228" t="s">
        <v>4842</v>
      </c>
      <c r="F1469" s="18" t="s">
        <v>4843</v>
      </c>
      <c r="G1469" s="228" t="s">
        <v>5008</v>
      </c>
      <c r="H1469" s="18" t="s">
        <v>5009</v>
      </c>
      <c r="I1469" s="228" t="s">
        <v>5057</v>
      </c>
      <c r="J1469" s="18" t="s">
        <v>5058</v>
      </c>
      <c r="K1469" s="228" t="s">
        <v>5059</v>
      </c>
      <c r="L1469" s="18" t="s">
        <v>5060</v>
      </c>
      <c r="N1469" s="16"/>
      <c r="O1469" s="16"/>
      <c r="P1469" s="16"/>
      <c r="Q1469" s="16"/>
      <c r="R1469" s="16"/>
      <c r="S1469" s="16"/>
      <c r="U1469" s="283" t="e">
        <v>#N/A</v>
      </c>
      <c r="V1469" s="18" t="s">
        <v>5065</v>
      </c>
      <c r="W1469" s="18">
        <v>0</v>
      </c>
      <c r="X1469" s="18">
        <v>0</v>
      </c>
      <c r="Y1469" s="18">
        <v>0</v>
      </c>
      <c r="Z1469" s="18">
        <v>0</v>
      </c>
      <c r="AA1469" s="18">
        <v>0</v>
      </c>
      <c r="AB1469" s="18">
        <v>1</v>
      </c>
      <c r="AC1469" s="316">
        <v>0</v>
      </c>
      <c r="AD1469" s="316">
        <v>1</v>
      </c>
      <c r="AE1469" s="302">
        <f t="shared" ref="AE1469:AE1532" si="97">SUM(W1469:AD1469)/8</f>
        <v>0.25</v>
      </c>
      <c r="AF1469" s="176"/>
      <c r="AG1469" s="17">
        <v>0</v>
      </c>
      <c r="AH1469" s="176" t="s">
        <v>2526</v>
      </c>
      <c r="AI1469" s="239" t="s">
        <v>2526</v>
      </c>
      <c r="AJ1469" s="239" t="s">
        <v>2526</v>
      </c>
      <c r="AK1469" s="238" t="s">
        <v>2526</v>
      </c>
      <c r="AL1469" s="238" t="s">
        <v>2526</v>
      </c>
      <c r="AM1469" s="17">
        <f t="shared" si="96"/>
        <v>0</v>
      </c>
      <c r="AN1469" s="157" t="s">
        <v>921</v>
      </c>
      <c r="AO1469" s="157" t="s">
        <v>880</v>
      </c>
      <c r="AP1469" s="240" t="s">
        <v>119</v>
      </c>
      <c r="AQ1469" s="157"/>
    </row>
    <row r="1470" spans="1:43" s="18" customFormat="1" hidden="1" x14ac:dyDescent="0.3">
      <c r="A1470" s="228" t="s">
        <v>1451</v>
      </c>
      <c r="B1470" s="18" t="s">
        <v>4838</v>
      </c>
      <c r="C1470" s="228" t="s">
        <v>4841</v>
      </c>
      <c r="D1470" s="18" t="s">
        <v>2439</v>
      </c>
      <c r="E1470" s="228" t="s">
        <v>4842</v>
      </c>
      <c r="F1470" s="18" t="s">
        <v>4843</v>
      </c>
      <c r="G1470" s="228" t="s">
        <v>5008</v>
      </c>
      <c r="H1470" s="18" t="s">
        <v>5009</v>
      </c>
      <c r="I1470" s="228" t="s">
        <v>5057</v>
      </c>
      <c r="J1470" s="18" t="s">
        <v>5058</v>
      </c>
      <c r="K1470" s="228" t="s">
        <v>5059</v>
      </c>
      <c r="L1470" s="18" t="s">
        <v>5060</v>
      </c>
      <c r="N1470" s="16"/>
      <c r="O1470" s="16"/>
      <c r="P1470" s="16"/>
      <c r="Q1470" s="16"/>
      <c r="R1470" s="16"/>
      <c r="S1470" s="16"/>
      <c r="U1470" s="283" t="e">
        <v>#N/A</v>
      </c>
      <c r="V1470" s="18" t="s">
        <v>5066</v>
      </c>
      <c r="W1470" s="18">
        <v>0</v>
      </c>
      <c r="X1470" s="18">
        <v>0</v>
      </c>
      <c r="Y1470" s="18">
        <v>0</v>
      </c>
      <c r="Z1470" s="18">
        <v>0</v>
      </c>
      <c r="AA1470" s="18">
        <v>0</v>
      </c>
      <c r="AB1470" s="18">
        <v>0</v>
      </c>
      <c r="AC1470" s="316">
        <v>0</v>
      </c>
      <c r="AD1470" s="316">
        <v>0</v>
      </c>
      <c r="AE1470" s="302">
        <f t="shared" si="97"/>
        <v>0</v>
      </c>
      <c r="AF1470" s="176"/>
      <c r="AG1470" s="17">
        <v>0</v>
      </c>
      <c r="AH1470" s="176" t="s">
        <v>2526</v>
      </c>
      <c r="AI1470" s="239" t="s">
        <v>2526</v>
      </c>
      <c r="AJ1470" s="239" t="s">
        <v>2526</v>
      </c>
      <c r="AK1470" s="238" t="s">
        <v>2526</v>
      </c>
      <c r="AL1470" s="238" t="s">
        <v>2526</v>
      </c>
      <c r="AM1470" s="17">
        <f t="shared" si="96"/>
        <v>0</v>
      </c>
      <c r="AN1470" s="157" t="s">
        <v>921</v>
      </c>
      <c r="AO1470" s="157" t="s">
        <v>880</v>
      </c>
      <c r="AP1470" s="240" t="s">
        <v>119</v>
      </c>
      <c r="AQ1470" s="157"/>
    </row>
    <row r="1471" spans="1:43" s="18" customFormat="1" hidden="1" x14ac:dyDescent="0.3">
      <c r="A1471" s="228" t="s">
        <v>1451</v>
      </c>
      <c r="B1471" s="18" t="s">
        <v>4838</v>
      </c>
      <c r="C1471" s="228" t="s">
        <v>4841</v>
      </c>
      <c r="D1471" s="18" t="s">
        <v>2439</v>
      </c>
      <c r="E1471" s="228" t="s">
        <v>4842</v>
      </c>
      <c r="F1471" s="18" t="s">
        <v>4843</v>
      </c>
      <c r="G1471" s="228" t="s">
        <v>5008</v>
      </c>
      <c r="H1471" s="18" t="s">
        <v>5009</v>
      </c>
      <c r="I1471" s="228" t="s">
        <v>5057</v>
      </c>
      <c r="J1471" s="18" t="s">
        <v>5058</v>
      </c>
      <c r="K1471" s="228" t="s">
        <v>5059</v>
      </c>
      <c r="L1471" s="18" t="s">
        <v>5060</v>
      </c>
      <c r="N1471" s="16"/>
      <c r="O1471" s="16"/>
      <c r="P1471" s="16"/>
      <c r="Q1471" s="16"/>
      <c r="R1471" s="16"/>
      <c r="S1471" s="16"/>
      <c r="U1471" s="283" t="e">
        <v>#N/A</v>
      </c>
      <c r="V1471" s="18" t="s">
        <v>5067</v>
      </c>
      <c r="W1471" s="18">
        <v>0</v>
      </c>
      <c r="X1471" s="18">
        <v>0</v>
      </c>
      <c r="Y1471" s="18">
        <v>0</v>
      </c>
      <c r="Z1471" s="18">
        <v>0</v>
      </c>
      <c r="AA1471" s="18">
        <v>0</v>
      </c>
      <c r="AB1471" s="18">
        <v>0</v>
      </c>
      <c r="AC1471" s="316">
        <v>0</v>
      </c>
      <c r="AD1471" s="316">
        <v>0</v>
      </c>
      <c r="AE1471" s="302">
        <f t="shared" si="97"/>
        <v>0</v>
      </c>
      <c r="AF1471" s="176"/>
      <c r="AG1471" s="17">
        <v>0</v>
      </c>
      <c r="AH1471" s="176" t="s">
        <v>2526</v>
      </c>
      <c r="AI1471" s="239" t="s">
        <v>2526</v>
      </c>
      <c r="AJ1471" s="239" t="s">
        <v>2526</v>
      </c>
      <c r="AK1471" s="238" t="s">
        <v>2526</v>
      </c>
      <c r="AL1471" s="238" t="s">
        <v>2526</v>
      </c>
      <c r="AM1471" s="17">
        <f t="shared" si="96"/>
        <v>0</v>
      </c>
      <c r="AN1471" s="157" t="s">
        <v>921</v>
      </c>
      <c r="AO1471" s="157" t="s">
        <v>880</v>
      </c>
      <c r="AP1471" s="240" t="s">
        <v>119</v>
      </c>
      <c r="AQ1471" s="157"/>
    </row>
    <row r="1472" spans="1:43" s="18" customFormat="1" x14ac:dyDescent="0.3">
      <c r="A1472" s="228" t="s">
        <v>1451</v>
      </c>
      <c r="B1472" s="18" t="s">
        <v>4838</v>
      </c>
      <c r="C1472" s="228" t="s">
        <v>4841</v>
      </c>
      <c r="D1472" s="18" t="s">
        <v>2439</v>
      </c>
      <c r="E1472" s="228" t="s">
        <v>4842</v>
      </c>
      <c r="F1472" s="18" t="s">
        <v>4843</v>
      </c>
      <c r="G1472" s="228" t="s">
        <v>5068</v>
      </c>
      <c r="H1472" s="18" t="s">
        <v>5069</v>
      </c>
      <c r="K1472" s="228" t="s">
        <v>5070</v>
      </c>
      <c r="L1472" s="18" t="s">
        <v>5071</v>
      </c>
      <c r="M1472" s="18" t="s">
        <v>5072</v>
      </c>
      <c r="N1472" s="16">
        <v>0</v>
      </c>
      <c r="O1472" s="16">
        <v>20</v>
      </c>
      <c r="P1472" s="16">
        <v>32</v>
      </c>
      <c r="Q1472" s="16">
        <v>51</v>
      </c>
      <c r="R1472" s="16">
        <v>92</v>
      </c>
      <c r="S1472" s="16"/>
      <c r="T1472" s="18" t="s">
        <v>1175</v>
      </c>
      <c r="U1472" s="283" t="s">
        <v>118</v>
      </c>
      <c r="V1472" s="18" t="s">
        <v>5073</v>
      </c>
      <c r="W1472" s="18">
        <v>1</v>
      </c>
      <c r="X1472" s="18">
        <v>1</v>
      </c>
      <c r="Y1472" s="18">
        <v>1</v>
      </c>
      <c r="Z1472" s="18">
        <v>1</v>
      </c>
      <c r="AA1472" s="18">
        <v>1</v>
      </c>
      <c r="AB1472" s="18">
        <v>1</v>
      </c>
      <c r="AC1472" s="316">
        <v>1</v>
      </c>
      <c r="AD1472" s="316">
        <v>1</v>
      </c>
      <c r="AE1472" s="302">
        <f t="shared" si="97"/>
        <v>1</v>
      </c>
      <c r="AF1472" s="176"/>
      <c r="AG1472" s="17">
        <v>0</v>
      </c>
      <c r="AH1472" s="176">
        <v>1.0900000000000001</v>
      </c>
      <c r="AI1472" s="239">
        <v>1.0900000000000001</v>
      </c>
      <c r="AJ1472" s="239">
        <v>1.23</v>
      </c>
      <c r="AK1472" s="238">
        <v>1</v>
      </c>
      <c r="AL1472" s="238">
        <v>1.36</v>
      </c>
      <c r="AM1472" s="17">
        <f t="shared" si="96"/>
        <v>2.3600000000000003</v>
      </c>
      <c r="AN1472" s="157" t="s">
        <v>265</v>
      </c>
      <c r="AO1472" s="157" t="s">
        <v>350</v>
      </c>
      <c r="AP1472" s="240" t="s">
        <v>5074</v>
      </c>
      <c r="AQ1472" s="157"/>
    </row>
    <row r="1473" spans="1:43" s="18" customFormat="1" x14ac:dyDescent="0.3">
      <c r="A1473" s="228" t="s">
        <v>1451</v>
      </c>
      <c r="B1473" s="18" t="s">
        <v>4838</v>
      </c>
      <c r="C1473" s="228" t="s">
        <v>4841</v>
      </c>
      <c r="D1473" s="18" t="s">
        <v>2439</v>
      </c>
      <c r="E1473" s="228" t="s">
        <v>4842</v>
      </c>
      <c r="F1473" s="18" t="s">
        <v>4843</v>
      </c>
      <c r="G1473" s="228" t="s">
        <v>5068</v>
      </c>
      <c r="H1473" s="18" t="s">
        <v>5069</v>
      </c>
      <c r="K1473" s="228" t="s">
        <v>5070</v>
      </c>
      <c r="L1473" s="18" t="s">
        <v>5071</v>
      </c>
      <c r="M1473" s="18" t="s">
        <v>5075</v>
      </c>
      <c r="N1473" s="16">
        <v>0</v>
      </c>
      <c r="O1473" s="16">
        <v>10000</v>
      </c>
      <c r="P1473" s="16">
        <v>17000</v>
      </c>
      <c r="Q1473" s="16">
        <v>28900</v>
      </c>
      <c r="R1473" s="16">
        <v>49130</v>
      </c>
      <c r="S1473" s="16"/>
      <c r="T1473" s="283" t="s">
        <v>265</v>
      </c>
      <c r="U1473" s="283" t="s">
        <v>350</v>
      </c>
      <c r="V1473" s="18" t="s">
        <v>5076</v>
      </c>
      <c r="W1473" s="18">
        <v>0</v>
      </c>
      <c r="X1473" s="18">
        <v>1</v>
      </c>
      <c r="Y1473" s="18">
        <v>1</v>
      </c>
      <c r="Z1473" s="18">
        <v>1</v>
      </c>
      <c r="AA1473" s="18">
        <v>1</v>
      </c>
      <c r="AB1473" s="18">
        <v>1</v>
      </c>
      <c r="AC1473" s="316">
        <v>1</v>
      </c>
      <c r="AD1473" s="316">
        <v>1</v>
      </c>
      <c r="AE1473" s="302">
        <f t="shared" si="97"/>
        <v>0.875</v>
      </c>
      <c r="AF1473" s="176"/>
      <c r="AG1473" s="17">
        <v>0</v>
      </c>
      <c r="AH1473" s="176">
        <v>2</v>
      </c>
      <c r="AI1473" s="239">
        <v>3</v>
      </c>
      <c r="AJ1473" s="239">
        <v>4</v>
      </c>
      <c r="AK1473" s="237">
        <v>2</v>
      </c>
      <c r="AL1473" s="237">
        <v>4</v>
      </c>
      <c r="AM1473" s="17">
        <f t="shared" si="96"/>
        <v>6</v>
      </c>
      <c r="AN1473" s="157" t="s">
        <v>265</v>
      </c>
      <c r="AO1473" s="157" t="s">
        <v>350</v>
      </c>
      <c r="AP1473" s="240" t="s">
        <v>1175</v>
      </c>
      <c r="AQ1473" s="157"/>
    </row>
    <row r="1474" spans="1:43" s="18" customFormat="1" x14ac:dyDescent="0.3">
      <c r="A1474" s="228" t="s">
        <v>1451</v>
      </c>
      <c r="B1474" s="18" t="s">
        <v>4838</v>
      </c>
      <c r="C1474" s="228" t="s">
        <v>4841</v>
      </c>
      <c r="D1474" s="18" t="s">
        <v>2439</v>
      </c>
      <c r="E1474" s="228" t="s">
        <v>4842</v>
      </c>
      <c r="F1474" s="18" t="s">
        <v>4843</v>
      </c>
      <c r="G1474" s="228" t="s">
        <v>5068</v>
      </c>
      <c r="H1474" s="18" t="s">
        <v>5069</v>
      </c>
      <c r="K1474" s="228" t="s">
        <v>5070</v>
      </c>
      <c r="L1474" s="18" t="s">
        <v>5071</v>
      </c>
      <c r="M1474" s="18" t="s">
        <v>5077</v>
      </c>
      <c r="N1474" s="16">
        <v>0</v>
      </c>
      <c r="O1474" s="16">
        <v>2</v>
      </c>
      <c r="P1474" s="16">
        <v>2</v>
      </c>
      <c r="Q1474" s="16">
        <v>3</v>
      </c>
      <c r="R1474" s="16">
        <v>4</v>
      </c>
      <c r="S1474" s="16">
        <v>5</v>
      </c>
      <c r="T1474" s="18" t="s">
        <v>1175</v>
      </c>
      <c r="U1474" s="283" t="s">
        <v>118</v>
      </c>
      <c r="V1474" s="18" t="s">
        <v>5078</v>
      </c>
      <c r="W1474" s="18">
        <v>1</v>
      </c>
      <c r="X1474" s="18">
        <v>0</v>
      </c>
      <c r="Y1474" s="18">
        <v>1</v>
      </c>
      <c r="Z1474" s="18">
        <v>1</v>
      </c>
      <c r="AA1474" s="18">
        <v>1</v>
      </c>
      <c r="AB1474" s="18">
        <v>1</v>
      </c>
      <c r="AC1474" s="316">
        <v>1</v>
      </c>
      <c r="AD1474" s="316">
        <v>1</v>
      </c>
      <c r="AE1474" s="302">
        <f t="shared" si="97"/>
        <v>0.875</v>
      </c>
      <c r="AF1474" s="176"/>
      <c r="AG1474" s="17">
        <v>0</v>
      </c>
      <c r="AH1474" s="176">
        <v>1.5</v>
      </c>
      <c r="AI1474" s="176">
        <v>2.5</v>
      </c>
      <c r="AJ1474" s="176">
        <v>3</v>
      </c>
      <c r="AK1474" s="237">
        <v>0.5</v>
      </c>
      <c r="AL1474" s="177">
        <v>2.5</v>
      </c>
      <c r="AM1474" s="17">
        <f t="shared" si="96"/>
        <v>3</v>
      </c>
      <c r="AN1474" s="18" t="s">
        <v>1177</v>
      </c>
      <c r="AO1474" s="18" t="s">
        <v>350</v>
      </c>
      <c r="AP1474" s="240" t="s">
        <v>5079</v>
      </c>
      <c r="AQ1474" s="157"/>
    </row>
    <row r="1475" spans="1:43" s="18" customFormat="1" hidden="1" x14ac:dyDescent="0.3">
      <c r="A1475" s="228" t="s">
        <v>1451</v>
      </c>
      <c r="B1475" s="18" t="s">
        <v>4838</v>
      </c>
      <c r="C1475" s="228" t="s">
        <v>4841</v>
      </c>
      <c r="D1475" s="18" t="s">
        <v>2439</v>
      </c>
      <c r="E1475" s="228" t="s">
        <v>4842</v>
      </c>
      <c r="F1475" s="18" t="s">
        <v>4843</v>
      </c>
      <c r="G1475" s="228" t="s">
        <v>5068</v>
      </c>
      <c r="H1475" s="18" t="s">
        <v>5069</v>
      </c>
      <c r="K1475" s="228" t="s">
        <v>5070</v>
      </c>
      <c r="L1475" s="18" t="s">
        <v>5071</v>
      </c>
      <c r="M1475" s="18" t="s">
        <v>5080</v>
      </c>
      <c r="N1475" s="16">
        <v>0</v>
      </c>
      <c r="O1475" s="16">
        <v>5</v>
      </c>
      <c r="P1475" s="16">
        <v>5</v>
      </c>
      <c r="Q1475" s="16">
        <v>10</v>
      </c>
      <c r="R1475" s="16">
        <v>15</v>
      </c>
      <c r="S1475" s="16">
        <v>20</v>
      </c>
      <c r="T1475" s="18" t="s">
        <v>1446</v>
      </c>
      <c r="U1475" s="283" t="s">
        <v>3715</v>
      </c>
      <c r="V1475" s="18" t="s">
        <v>5081</v>
      </c>
      <c r="W1475" s="18">
        <v>1</v>
      </c>
      <c r="X1475" s="18">
        <v>0</v>
      </c>
      <c r="Y1475" s="18">
        <v>0</v>
      </c>
      <c r="Z1475" s="18">
        <v>1</v>
      </c>
      <c r="AA1475" s="18">
        <v>1</v>
      </c>
      <c r="AB1475" s="18">
        <v>0</v>
      </c>
      <c r="AC1475" s="316">
        <v>0</v>
      </c>
      <c r="AD1475" s="316">
        <v>1</v>
      </c>
      <c r="AE1475" s="302">
        <f t="shared" si="97"/>
        <v>0.5</v>
      </c>
      <c r="AF1475" s="176"/>
      <c r="AG1475" s="17">
        <v>0</v>
      </c>
      <c r="AH1475" s="176" t="s">
        <v>2526</v>
      </c>
      <c r="AI1475" s="176" t="s">
        <v>2526</v>
      </c>
      <c r="AJ1475" s="176" t="s">
        <v>2526</v>
      </c>
      <c r="AK1475" s="177" t="s">
        <v>2526</v>
      </c>
      <c r="AL1475" s="177" t="s">
        <v>2526</v>
      </c>
      <c r="AM1475" s="17">
        <f t="shared" si="96"/>
        <v>0</v>
      </c>
      <c r="AN1475" s="18" t="s">
        <v>1446</v>
      </c>
      <c r="AO1475" s="18" t="s">
        <v>3715</v>
      </c>
      <c r="AP1475" s="240" t="s">
        <v>119</v>
      </c>
      <c r="AQ1475" s="157"/>
    </row>
    <row r="1476" spans="1:43" s="18" customFormat="1" hidden="1" x14ac:dyDescent="0.3">
      <c r="A1476" s="228" t="s">
        <v>1451</v>
      </c>
      <c r="B1476" s="18" t="s">
        <v>4838</v>
      </c>
      <c r="C1476" s="228" t="s">
        <v>4841</v>
      </c>
      <c r="D1476" s="18" t="s">
        <v>2439</v>
      </c>
      <c r="E1476" s="228" t="s">
        <v>4842</v>
      </c>
      <c r="F1476" s="18" t="s">
        <v>4843</v>
      </c>
      <c r="G1476" s="228" t="s">
        <v>5068</v>
      </c>
      <c r="H1476" s="18" t="s">
        <v>5069</v>
      </c>
      <c r="K1476" s="228" t="s">
        <v>5070</v>
      </c>
      <c r="L1476" s="18" t="s">
        <v>5071</v>
      </c>
      <c r="M1476" s="18" t="s">
        <v>5082</v>
      </c>
      <c r="N1476" s="16">
        <v>10</v>
      </c>
      <c r="O1476" s="16">
        <v>10</v>
      </c>
      <c r="P1476" s="16">
        <v>40</v>
      </c>
      <c r="Q1476" s="16">
        <v>60</v>
      </c>
      <c r="R1476" s="16">
        <v>80</v>
      </c>
      <c r="S1476" s="16">
        <v>100</v>
      </c>
      <c r="T1476" s="18" t="s">
        <v>1446</v>
      </c>
      <c r="U1476" s="283" t="s">
        <v>3715</v>
      </c>
      <c r="V1476" s="18" t="s">
        <v>5083</v>
      </c>
      <c r="W1476" s="18">
        <v>0</v>
      </c>
      <c r="X1476" s="18">
        <v>0</v>
      </c>
      <c r="Y1476" s="18">
        <v>0</v>
      </c>
      <c r="Z1476" s="18">
        <v>0</v>
      </c>
      <c r="AA1476" s="18">
        <v>0</v>
      </c>
      <c r="AB1476" s="18">
        <v>0</v>
      </c>
      <c r="AC1476" s="316">
        <v>0</v>
      </c>
      <c r="AD1476" s="316">
        <v>0</v>
      </c>
      <c r="AE1476" s="302">
        <f t="shared" si="97"/>
        <v>0</v>
      </c>
      <c r="AF1476" s="176"/>
      <c r="AG1476" s="17">
        <v>0</v>
      </c>
      <c r="AH1476" s="176" t="s">
        <v>2526</v>
      </c>
      <c r="AI1476" s="176" t="s">
        <v>2526</v>
      </c>
      <c r="AJ1476" s="176" t="s">
        <v>2526</v>
      </c>
      <c r="AK1476" s="177" t="s">
        <v>2526</v>
      </c>
      <c r="AL1476" s="177" t="s">
        <v>2526</v>
      </c>
      <c r="AM1476" s="17">
        <f t="shared" si="96"/>
        <v>0</v>
      </c>
      <c r="AN1476" s="18" t="s">
        <v>1446</v>
      </c>
      <c r="AO1476" s="18" t="s">
        <v>3715</v>
      </c>
      <c r="AP1476" s="240" t="s">
        <v>119</v>
      </c>
      <c r="AQ1476" s="157"/>
    </row>
    <row r="1477" spans="1:43" s="18" customFormat="1" x14ac:dyDescent="0.3">
      <c r="A1477" s="228" t="s">
        <v>1451</v>
      </c>
      <c r="B1477" s="18" t="s">
        <v>4838</v>
      </c>
      <c r="C1477" s="228" t="s">
        <v>4841</v>
      </c>
      <c r="D1477" s="18" t="s">
        <v>2439</v>
      </c>
      <c r="E1477" s="228" t="s">
        <v>4842</v>
      </c>
      <c r="F1477" s="18" t="s">
        <v>4843</v>
      </c>
      <c r="G1477" s="228" t="s">
        <v>5068</v>
      </c>
      <c r="H1477" s="18" t="s">
        <v>5069</v>
      </c>
      <c r="K1477" s="228" t="s">
        <v>5070</v>
      </c>
      <c r="L1477" s="18" t="s">
        <v>5071</v>
      </c>
      <c r="N1477" s="16"/>
      <c r="O1477" s="16"/>
      <c r="P1477" s="16"/>
      <c r="Q1477" s="16"/>
      <c r="R1477" s="16"/>
      <c r="S1477" s="16"/>
      <c r="U1477" s="283" t="e">
        <v>#N/A</v>
      </c>
      <c r="V1477" s="18" t="s">
        <v>5084</v>
      </c>
      <c r="W1477" s="18">
        <v>1</v>
      </c>
      <c r="X1477" s="18">
        <v>1</v>
      </c>
      <c r="Y1477" s="18">
        <v>0</v>
      </c>
      <c r="Z1477" s="18">
        <v>1</v>
      </c>
      <c r="AA1477" s="18">
        <v>1</v>
      </c>
      <c r="AB1477" s="18">
        <v>1</v>
      </c>
      <c r="AC1477" s="316">
        <v>1</v>
      </c>
      <c r="AD1477" s="316">
        <v>1</v>
      </c>
      <c r="AE1477" s="302">
        <f t="shared" si="97"/>
        <v>0.875</v>
      </c>
      <c r="AF1477" s="176"/>
      <c r="AG1477" s="17">
        <v>0</v>
      </c>
      <c r="AH1477" s="176" t="s">
        <v>2526</v>
      </c>
      <c r="AI1477" s="176" t="s">
        <v>2526</v>
      </c>
      <c r="AJ1477" s="176" t="s">
        <v>2526</v>
      </c>
      <c r="AK1477" s="177" t="s">
        <v>2526</v>
      </c>
      <c r="AL1477" s="177" t="s">
        <v>2526</v>
      </c>
      <c r="AM1477" s="17">
        <f t="shared" si="96"/>
        <v>0</v>
      </c>
      <c r="AN1477" s="18" t="s">
        <v>1446</v>
      </c>
      <c r="AO1477" s="18" t="s">
        <v>3715</v>
      </c>
      <c r="AP1477" s="240" t="s">
        <v>119</v>
      </c>
      <c r="AQ1477" s="157"/>
    </row>
    <row r="1478" spans="1:43" s="18" customFormat="1" x14ac:dyDescent="0.3">
      <c r="A1478" s="228" t="s">
        <v>1451</v>
      </c>
      <c r="B1478" s="18" t="s">
        <v>4838</v>
      </c>
      <c r="C1478" s="228" t="s">
        <v>4841</v>
      </c>
      <c r="D1478" s="18" t="s">
        <v>2439</v>
      </c>
      <c r="E1478" s="228" t="s">
        <v>4842</v>
      </c>
      <c r="F1478" s="18" t="s">
        <v>4843</v>
      </c>
      <c r="G1478" s="228" t="s">
        <v>5068</v>
      </c>
      <c r="H1478" s="18" t="s">
        <v>5069</v>
      </c>
      <c r="K1478" s="228" t="s">
        <v>5070</v>
      </c>
      <c r="L1478" s="18" t="s">
        <v>5071</v>
      </c>
      <c r="N1478" s="16"/>
      <c r="O1478" s="16"/>
      <c r="P1478" s="16"/>
      <c r="Q1478" s="16"/>
      <c r="R1478" s="16"/>
      <c r="S1478" s="16"/>
      <c r="U1478" s="283" t="e">
        <v>#N/A</v>
      </c>
      <c r="V1478" s="18" t="s">
        <v>5085</v>
      </c>
      <c r="W1478" s="18">
        <v>1</v>
      </c>
      <c r="X1478" s="18">
        <v>0</v>
      </c>
      <c r="Y1478" s="18">
        <v>1</v>
      </c>
      <c r="Z1478" s="18">
        <v>1</v>
      </c>
      <c r="AA1478" s="18">
        <v>1</v>
      </c>
      <c r="AB1478" s="18">
        <v>0</v>
      </c>
      <c r="AC1478" s="316">
        <v>1</v>
      </c>
      <c r="AD1478" s="316">
        <v>1</v>
      </c>
      <c r="AE1478" s="302">
        <f t="shared" si="97"/>
        <v>0.75</v>
      </c>
      <c r="AF1478" s="176"/>
      <c r="AG1478" s="17">
        <v>0</v>
      </c>
      <c r="AH1478" s="176" t="s">
        <v>2526</v>
      </c>
      <c r="AI1478" s="176">
        <v>1</v>
      </c>
      <c r="AJ1478" s="176">
        <v>1</v>
      </c>
      <c r="AK1478" s="177">
        <v>1</v>
      </c>
      <c r="AL1478" s="177">
        <v>1</v>
      </c>
      <c r="AM1478" s="17">
        <f t="shared" si="96"/>
        <v>2</v>
      </c>
      <c r="AN1478" s="18" t="s">
        <v>1446</v>
      </c>
      <c r="AO1478" s="18" t="s">
        <v>3715</v>
      </c>
      <c r="AP1478" s="240" t="s">
        <v>5086</v>
      </c>
      <c r="AQ1478" s="157"/>
    </row>
    <row r="1479" spans="1:43" s="18" customFormat="1" hidden="1" x14ac:dyDescent="0.3">
      <c r="A1479" s="228" t="s">
        <v>1451</v>
      </c>
      <c r="B1479" s="18" t="s">
        <v>4838</v>
      </c>
      <c r="C1479" s="228" t="s">
        <v>4841</v>
      </c>
      <c r="D1479" s="18" t="s">
        <v>2439</v>
      </c>
      <c r="E1479" s="228" t="s">
        <v>4842</v>
      </c>
      <c r="F1479" s="18" t="s">
        <v>4843</v>
      </c>
      <c r="G1479" s="228" t="s">
        <v>5068</v>
      </c>
      <c r="H1479" s="18" t="s">
        <v>5069</v>
      </c>
      <c r="K1479" s="228" t="s">
        <v>5087</v>
      </c>
      <c r="L1479" s="18" t="s">
        <v>5088</v>
      </c>
      <c r="M1479" s="18" t="s">
        <v>5089</v>
      </c>
      <c r="N1479" s="16">
        <v>10500</v>
      </c>
      <c r="O1479" s="16">
        <v>25</v>
      </c>
      <c r="P1479" s="16">
        <v>25</v>
      </c>
      <c r="Q1479" s="16">
        <v>25</v>
      </c>
      <c r="R1479" s="16">
        <v>25</v>
      </c>
      <c r="S1479" s="16">
        <v>25</v>
      </c>
      <c r="T1479" s="18" t="s">
        <v>5090</v>
      </c>
      <c r="U1479" s="283" t="e">
        <v>#N/A</v>
      </c>
      <c r="V1479" s="18" t="s">
        <v>5091</v>
      </c>
      <c r="W1479" s="18">
        <v>0</v>
      </c>
      <c r="X1479" s="18">
        <v>0</v>
      </c>
      <c r="Y1479" s="18">
        <v>0</v>
      </c>
      <c r="Z1479" s="18">
        <v>0</v>
      </c>
      <c r="AA1479" s="18">
        <v>0</v>
      </c>
      <c r="AB1479" s="18">
        <v>0</v>
      </c>
      <c r="AC1479" s="316">
        <v>0</v>
      </c>
      <c r="AD1479" s="316">
        <v>0</v>
      </c>
      <c r="AE1479" s="302">
        <f t="shared" si="97"/>
        <v>0</v>
      </c>
      <c r="AF1479" s="176"/>
      <c r="AG1479" s="17">
        <v>0</v>
      </c>
      <c r="AH1479" s="176">
        <v>0.81</v>
      </c>
      <c r="AI1479" s="176">
        <v>0.81</v>
      </c>
      <c r="AJ1479" s="176">
        <v>0.91</v>
      </c>
      <c r="AK1479" s="246">
        <v>0</v>
      </c>
      <c r="AL1479" s="246">
        <v>0</v>
      </c>
      <c r="AM1479" s="17">
        <f t="shared" si="96"/>
        <v>0</v>
      </c>
      <c r="AN1479" s="18" t="s">
        <v>2074</v>
      </c>
      <c r="AO1479" s="18" t="s">
        <v>2075</v>
      </c>
      <c r="AP1479" s="240" t="s">
        <v>239</v>
      </c>
      <c r="AQ1479" s="157"/>
    </row>
    <row r="1480" spans="1:43" s="18" customFormat="1" x14ac:dyDescent="0.3">
      <c r="A1480" s="228" t="s">
        <v>1451</v>
      </c>
      <c r="B1480" s="18" t="s">
        <v>4838</v>
      </c>
      <c r="C1480" s="228" t="s">
        <v>4841</v>
      </c>
      <c r="D1480" s="18" t="s">
        <v>2439</v>
      </c>
      <c r="E1480" s="228" t="s">
        <v>4842</v>
      </c>
      <c r="F1480" s="18" t="s">
        <v>4843</v>
      </c>
      <c r="G1480" s="228" t="s">
        <v>5068</v>
      </c>
      <c r="H1480" s="18" t="s">
        <v>5069</v>
      </c>
      <c r="K1480" s="228" t="s">
        <v>5087</v>
      </c>
      <c r="L1480" s="18" t="s">
        <v>5088</v>
      </c>
      <c r="N1480" s="16"/>
      <c r="O1480" s="16"/>
      <c r="P1480" s="16"/>
      <c r="Q1480" s="16"/>
      <c r="R1480" s="16"/>
      <c r="S1480" s="16"/>
      <c r="U1480" s="283" t="e">
        <v>#N/A</v>
      </c>
      <c r="V1480" s="18" t="s">
        <v>5092</v>
      </c>
      <c r="W1480" s="18">
        <v>1</v>
      </c>
      <c r="X1480" s="18">
        <v>1</v>
      </c>
      <c r="Y1480" s="18">
        <v>1</v>
      </c>
      <c r="Z1480" s="18">
        <v>1</v>
      </c>
      <c r="AA1480" s="18">
        <v>1</v>
      </c>
      <c r="AB1480" s="18">
        <v>1</v>
      </c>
      <c r="AC1480" s="316">
        <v>1</v>
      </c>
      <c r="AD1480" s="316">
        <v>1</v>
      </c>
      <c r="AE1480" s="302">
        <f t="shared" si="97"/>
        <v>1</v>
      </c>
      <c r="AF1480" s="176"/>
      <c r="AG1480" s="17">
        <v>0</v>
      </c>
      <c r="AH1480" s="176">
        <v>0.1</v>
      </c>
      <c r="AI1480" s="239">
        <v>0.1</v>
      </c>
      <c r="AJ1480" s="239">
        <v>0.1</v>
      </c>
      <c r="AK1480" s="238">
        <v>0.1</v>
      </c>
      <c r="AL1480" s="238">
        <v>0.1</v>
      </c>
      <c r="AM1480" s="17">
        <f t="shared" si="96"/>
        <v>0.2</v>
      </c>
      <c r="AN1480" s="157" t="s">
        <v>869</v>
      </c>
      <c r="AO1480" s="157" t="s">
        <v>871</v>
      </c>
      <c r="AP1480" s="240" t="s">
        <v>5093</v>
      </c>
      <c r="AQ1480" s="157"/>
    </row>
    <row r="1481" spans="1:43" s="18" customFormat="1" hidden="1" x14ac:dyDescent="0.3">
      <c r="A1481" s="228" t="s">
        <v>1451</v>
      </c>
      <c r="B1481" s="18" t="s">
        <v>4838</v>
      </c>
      <c r="C1481" s="228" t="s">
        <v>4841</v>
      </c>
      <c r="D1481" s="18" t="s">
        <v>2439</v>
      </c>
      <c r="E1481" s="228" t="s">
        <v>4842</v>
      </c>
      <c r="F1481" s="18" t="s">
        <v>4843</v>
      </c>
      <c r="G1481" s="228" t="s">
        <v>5068</v>
      </c>
      <c r="H1481" s="18" t="s">
        <v>5069</v>
      </c>
      <c r="K1481" s="228" t="s">
        <v>5087</v>
      </c>
      <c r="L1481" s="18" t="s">
        <v>5088</v>
      </c>
      <c r="N1481" s="16"/>
      <c r="O1481" s="16"/>
      <c r="P1481" s="16"/>
      <c r="Q1481" s="16"/>
      <c r="R1481" s="16"/>
      <c r="S1481" s="16"/>
      <c r="U1481" s="283" t="e">
        <v>#N/A</v>
      </c>
      <c r="V1481" s="18" t="s">
        <v>5094</v>
      </c>
      <c r="W1481" s="18">
        <v>0</v>
      </c>
      <c r="X1481" s="18">
        <v>0</v>
      </c>
      <c r="Y1481" s="18">
        <v>0</v>
      </c>
      <c r="Z1481" s="18">
        <v>0</v>
      </c>
      <c r="AA1481" s="18">
        <v>0</v>
      </c>
      <c r="AB1481" s="18">
        <v>0</v>
      </c>
      <c r="AC1481" s="316">
        <v>0</v>
      </c>
      <c r="AD1481" s="316">
        <v>0</v>
      </c>
      <c r="AE1481" s="302">
        <f t="shared" si="97"/>
        <v>0</v>
      </c>
      <c r="AF1481" s="176"/>
      <c r="AG1481" s="17">
        <v>0</v>
      </c>
      <c r="AH1481" s="176" t="s">
        <v>2526</v>
      </c>
      <c r="AI1481" s="239">
        <v>4.74</v>
      </c>
      <c r="AJ1481" s="239">
        <v>4.74</v>
      </c>
      <c r="AK1481" s="241">
        <v>0</v>
      </c>
      <c r="AL1481" s="241">
        <v>0</v>
      </c>
      <c r="AM1481" s="17">
        <f t="shared" si="96"/>
        <v>0</v>
      </c>
      <c r="AN1481" s="157" t="s">
        <v>1446</v>
      </c>
      <c r="AO1481" s="157" t="s">
        <v>3715</v>
      </c>
      <c r="AP1481" s="240" t="s">
        <v>5095</v>
      </c>
      <c r="AQ1481" s="157"/>
    </row>
    <row r="1482" spans="1:43" s="18" customFormat="1" hidden="1" x14ac:dyDescent="0.3">
      <c r="A1482" s="228" t="s">
        <v>1451</v>
      </c>
      <c r="B1482" s="18" t="s">
        <v>4838</v>
      </c>
      <c r="C1482" s="228" t="s">
        <v>4841</v>
      </c>
      <c r="D1482" s="18" t="s">
        <v>2439</v>
      </c>
      <c r="E1482" s="228" t="s">
        <v>4842</v>
      </c>
      <c r="F1482" s="18" t="s">
        <v>4843</v>
      </c>
      <c r="G1482" s="228" t="s">
        <v>5068</v>
      </c>
      <c r="H1482" s="18" t="s">
        <v>5069</v>
      </c>
      <c r="K1482" s="228" t="s">
        <v>5087</v>
      </c>
      <c r="L1482" s="18" t="s">
        <v>5088</v>
      </c>
      <c r="N1482" s="16"/>
      <c r="O1482" s="16"/>
      <c r="P1482" s="16"/>
      <c r="Q1482" s="16"/>
      <c r="R1482" s="16"/>
      <c r="S1482" s="16"/>
      <c r="U1482" s="283" t="e">
        <v>#N/A</v>
      </c>
      <c r="V1482" s="18" t="s">
        <v>5096</v>
      </c>
      <c r="W1482" s="18">
        <v>0</v>
      </c>
      <c r="X1482" s="18">
        <v>0</v>
      </c>
      <c r="Y1482" s="18">
        <v>0</v>
      </c>
      <c r="Z1482" s="18">
        <v>0</v>
      </c>
      <c r="AA1482" s="18">
        <v>0</v>
      </c>
      <c r="AB1482" s="18">
        <v>0</v>
      </c>
      <c r="AC1482" s="316">
        <v>0</v>
      </c>
      <c r="AD1482" s="316">
        <v>0</v>
      </c>
      <c r="AE1482" s="302">
        <f t="shared" si="97"/>
        <v>0</v>
      </c>
      <c r="AF1482" s="176"/>
      <c r="AG1482" s="17">
        <v>0</v>
      </c>
      <c r="AH1482" s="176">
        <v>0</v>
      </c>
      <c r="AI1482" s="176">
        <v>1.18</v>
      </c>
      <c r="AJ1482" s="234">
        <v>1.18</v>
      </c>
      <c r="AK1482" s="247">
        <v>0</v>
      </c>
      <c r="AL1482" s="247">
        <v>0</v>
      </c>
      <c r="AM1482" s="17">
        <f t="shared" si="96"/>
        <v>0</v>
      </c>
      <c r="AN1482" s="236" t="s">
        <v>1446</v>
      </c>
      <c r="AO1482" s="236" t="s">
        <v>3715</v>
      </c>
      <c r="AP1482" s="228" t="s">
        <v>5097</v>
      </c>
    </row>
    <row r="1483" spans="1:43" s="18" customFormat="1" x14ac:dyDescent="0.3">
      <c r="A1483" s="228" t="s">
        <v>1451</v>
      </c>
      <c r="B1483" s="18" t="s">
        <v>4838</v>
      </c>
      <c r="C1483" s="228" t="s">
        <v>4841</v>
      </c>
      <c r="D1483" s="18" t="s">
        <v>2439</v>
      </c>
      <c r="E1483" s="228" t="s">
        <v>4842</v>
      </c>
      <c r="F1483" s="18" t="s">
        <v>4843</v>
      </c>
      <c r="G1483" s="228" t="s">
        <v>5068</v>
      </c>
      <c r="H1483" s="18" t="s">
        <v>5069</v>
      </c>
      <c r="K1483" s="228" t="s">
        <v>5098</v>
      </c>
      <c r="L1483" s="18" t="s">
        <v>5099</v>
      </c>
      <c r="M1483" s="18" t="s">
        <v>5100</v>
      </c>
      <c r="N1483" s="16">
        <v>0</v>
      </c>
      <c r="O1483" s="16">
        <v>2</v>
      </c>
      <c r="P1483" s="16">
        <v>2</v>
      </c>
      <c r="Q1483" s="16">
        <v>1</v>
      </c>
      <c r="R1483" s="16">
        <v>1</v>
      </c>
      <c r="S1483" s="16">
        <v>1</v>
      </c>
      <c r="T1483" s="18" t="s">
        <v>869</v>
      </c>
      <c r="U1483" s="283" t="s">
        <v>871</v>
      </c>
      <c r="V1483" s="18" t="s">
        <v>5101</v>
      </c>
      <c r="W1483" s="18">
        <v>1</v>
      </c>
      <c r="X1483" s="18">
        <v>1</v>
      </c>
      <c r="Y1483" s="18">
        <v>0</v>
      </c>
      <c r="Z1483" s="18">
        <v>1</v>
      </c>
      <c r="AA1483" s="18">
        <v>1</v>
      </c>
      <c r="AB1483" s="18">
        <v>1</v>
      </c>
      <c r="AC1483" s="316">
        <v>1</v>
      </c>
      <c r="AD1483" s="316">
        <v>1</v>
      </c>
      <c r="AE1483" s="302">
        <f t="shared" si="97"/>
        <v>0.875</v>
      </c>
      <c r="AF1483" s="176"/>
      <c r="AG1483" s="17">
        <v>0</v>
      </c>
      <c r="AH1483" s="176">
        <v>0.4</v>
      </c>
      <c r="AI1483" s="239">
        <v>0.4</v>
      </c>
      <c r="AJ1483" s="176">
        <v>0.4</v>
      </c>
      <c r="AK1483" s="177">
        <v>0.4</v>
      </c>
      <c r="AL1483" s="177">
        <v>0.4</v>
      </c>
      <c r="AM1483" s="17">
        <f t="shared" si="96"/>
        <v>0.8</v>
      </c>
      <c r="AN1483" s="18" t="s">
        <v>869</v>
      </c>
      <c r="AO1483" s="18" t="s">
        <v>871</v>
      </c>
      <c r="AP1483" s="240" t="s">
        <v>5102</v>
      </c>
      <c r="AQ1483" s="157"/>
    </row>
    <row r="1484" spans="1:43" s="18" customFormat="1" x14ac:dyDescent="0.3">
      <c r="A1484" s="228" t="s">
        <v>1451</v>
      </c>
      <c r="B1484" s="18" t="s">
        <v>4838</v>
      </c>
      <c r="C1484" s="228" t="s">
        <v>4841</v>
      </c>
      <c r="D1484" s="18" t="s">
        <v>2439</v>
      </c>
      <c r="E1484" s="228" t="s">
        <v>4842</v>
      </c>
      <c r="F1484" s="18" t="s">
        <v>4843</v>
      </c>
      <c r="G1484" s="228" t="s">
        <v>5068</v>
      </c>
      <c r="H1484" s="18" t="s">
        <v>5069</v>
      </c>
      <c r="K1484" s="228" t="s">
        <v>5098</v>
      </c>
      <c r="L1484" s="18" t="s">
        <v>5099</v>
      </c>
      <c r="N1484" s="16"/>
      <c r="O1484" s="16"/>
      <c r="P1484" s="16"/>
      <c r="Q1484" s="16"/>
      <c r="R1484" s="16"/>
      <c r="S1484" s="16"/>
      <c r="U1484" s="283" t="e">
        <v>#N/A</v>
      </c>
      <c r="V1484" s="18" t="s">
        <v>5103</v>
      </c>
      <c r="W1484" s="18">
        <v>1</v>
      </c>
      <c r="X1484" s="18">
        <v>1</v>
      </c>
      <c r="Y1484" s="18">
        <v>1</v>
      </c>
      <c r="Z1484" s="18">
        <v>1</v>
      </c>
      <c r="AA1484" s="18">
        <v>1</v>
      </c>
      <c r="AB1484" s="18">
        <v>1</v>
      </c>
      <c r="AC1484" s="18">
        <v>1</v>
      </c>
      <c r="AD1484" s="18">
        <v>1</v>
      </c>
      <c r="AE1484" s="302">
        <f t="shared" si="97"/>
        <v>1</v>
      </c>
      <c r="AF1484" s="239"/>
      <c r="AG1484" s="17">
        <v>0</v>
      </c>
      <c r="AH1484" s="239">
        <v>2.2999999999999998</v>
      </c>
      <c r="AI1484" s="239">
        <v>2.2999999999999998</v>
      </c>
      <c r="AJ1484" s="239">
        <v>2.2999999999999998</v>
      </c>
      <c r="AK1484" s="238">
        <v>1</v>
      </c>
      <c r="AL1484" s="238">
        <v>1</v>
      </c>
      <c r="AM1484" s="17">
        <f t="shared" si="96"/>
        <v>2</v>
      </c>
      <c r="AN1484" s="157" t="s">
        <v>869</v>
      </c>
      <c r="AO1484" s="157" t="s">
        <v>871</v>
      </c>
      <c r="AP1484" s="240" t="s">
        <v>5104</v>
      </c>
      <c r="AQ1484" s="157"/>
    </row>
    <row r="1485" spans="1:43" s="18" customFormat="1" x14ac:dyDescent="0.3">
      <c r="A1485" s="228" t="s">
        <v>1451</v>
      </c>
      <c r="B1485" s="18" t="s">
        <v>4838</v>
      </c>
      <c r="C1485" s="228" t="s">
        <v>4841</v>
      </c>
      <c r="D1485" s="18" t="s">
        <v>2439</v>
      </c>
      <c r="E1485" s="228" t="s">
        <v>4842</v>
      </c>
      <c r="F1485" s="18" t="s">
        <v>4843</v>
      </c>
      <c r="G1485" s="228" t="s">
        <v>5068</v>
      </c>
      <c r="H1485" s="18" t="s">
        <v>5069</v>
      </c>
      <c r="K1485" s="228" t="s">
        <v>5098</v>
      </c>
      <c r="L1485" s="18" t="s">
        <v>5099</v>
      </c>
      <c r="N1485" s="16"/>
      <c r="O1485" s="16"/>
      <c r="P1485" s="16"/>
      <c r="Q1485" s="16"/>
      <c r="R1485" s="16"/>
      <c r="S1485" s="16"/>
      <c r="U1485" s="283" t="e">
        <v>#N/A</v>
      </c>
      <c r="V1485" s="18" t="s">
        <v>5105</v>
      </c>
      <c r="W1485" s="18">
        <v>1</v>
      </c>
      <c r="X1485" s="18">
        <v>0</v>
      </c>
      <c r="Y1485" s="18">
        <v>0</v>
      </c>
      <c r="Z1485" s="18">
        <v>1</v>
      </c>
      <c r="AA1485" s="18">
        <v>1</v>
      </c>
      <c r="AB1485" s="18">
        <v>1</v>
      </c>
      <c r="AC1485" s="316">
        <v>1</v>
      </c>
      <c r="AD1485" s="316">
        <v>1</v>
      </c>
      <c r="AE1485" s="302">
        <f t="shared" si="97"/>
        <v>0.75</v>
      </c>
      <c r="AF1485" s="239"/>
      <c r="AG1485" s="17">
        <v>0</v>
      </c>
      <c r="AH1485" s="239">
        <v>0.5</v>
      </c>
      <c r="AI1485" s="239">
        <v>0.5</v>
      </c>
      <c r="AJ1485" s="239">
        <v>0.5</v>
      </c>
      <c r="AK1485" s="238">
        <v>0.5</v>
      </c>
      <c r="AL1485" s="238">
        <v>0.5</v>
      </c>
      <c r="AM1485" s="17">
        <f t="shared" si="96"/>
        <v>1</v>
      </c>
      <c r="AN1485" s="157" t="s">
        <v>869</v>
      </c>
      <c r="AO1485" s="157" t="s">
        <v>871</v>
      </c>
      <c r="AP1485" s="240" t="s">
        <v>5106</v>
      </c>
      <c r="AQ1485" s="157"/>
    </row>
    <row r="1486" spans="1:43" s="18" customFormat="1" x14ac:dyDescent="0.3">
      <c r="A1486" s="228" t="s">
        <v>1451</v>
      </c>
      <c r="B1486" s="18" t="s">
        <v>4838</v>
      </c>
      <c r="C1486" s="228" t="s">
        <v>4841</v>
      </c>
      <c r="D1486" s="18" t="s">
        <v>2439</v>
      </c>
      <c r="E1486" s="228" t="s">
        <v>4842</v>
      </c>
      <c r="F1486" s="18" t="s">
        <v>4843</v>
      </c>
      <c r="G1486" s="228" t="s">
        <v>5068</v>
      </c>
      <c r="H1486" s="18" t="s">
        <v>5069</v>
      </c>
      <c r="K1486" s="228" t="s">
        <v>5098</v>
      </c>
      <c r="L1486" s="18" t="s">
        <v>5099</v>
      </c>
      <c r="N1486" s="16"/>
      <c r="O1486" s="16"/>
      <c r="P1486" s="16"/>
      <c r="Q1486" s="16"/>
      <c r="R1486" s="16"/>
      <c r="S1486" s="16"/>
      <c r="U1486" s="283" t="e">
        <v>#N/A</v>
      </c>
      <c r="V1486" s="18" t="s">
        <v>5107</v>
      </c>
      <c r="W1486" s="18">
        <v>1</v>
      </c>
      <c r="X1486" s="18">
        <v>1</v>
      </c>
      <c r="Y1486" s="18">
        <v>1</v>
      </c>
      <c r="Z1486" s="18">
        <v>1</v>
      </c>
      <c r="AA1486" s="18">
        <v>1</v>
      </c>
      <c r="AB1486" s="18">
        <v>1</v>
      </c>
      <c r="AC1486" s="316">
        <v>1</v>
      </c>
      <c r="AD1486" s="316">
        <v>1</v>
      </c>
      <c r="AE1486" s="302">
        <f t="shared" si="97"/>
        <v>1</v>
      </c>
      <c r="AF1486" s="176"/>
      <c r="AG1486" s="17">
        <v>0</v>
      </c>
      <c r="AH1486" s="176">
        <v>3</v>
      </c>
      <c r="AI1486" s="239">
        <v>2</v>
      </c>
      <c r="AJ1486" s="239">
        <v>1</v>
      </c>
      <c r="AK1486" s="238">
        <v>1</v>
      </c>
      <c r="AL1486" s="238">
        <v>1</v>
      </c>
      <c r="AM1486" s="17">
        <f t="shared" si="96"/>
        <v>2</v>
      </c>
      <c r="AN1486" s="157" t="s">
        <v>869</v>
      </c>
      <c r="AO1486" s="157" t="s">
        <v>871</v>
      </c>
      <c r="AP1486" s="240" t="s">
        <v>5108</v>
      </c>
      <c r="AQ1486" s="157"/>
    </row>
    <row r="1487" spans="1:43" s="18" customFormat="1" hidden="1" x14ac:dyDescent="0.3">
      <c r="A1487" s="228" t="s">
        <v>1451</v>
      </c>
      <c r="B1487" s="18" t="s">
        <v>4838</v>
      </c>
      <c r="C1487" s="228" t="s">
        <v>4841</v>
      </c>
      <c r="D1487" s="18" t="s">
        <v>2439</v>
      </c>
      <c r="E1487" s="228" t="s">
        <v>4842</v>
      </c>
      <c r="F1487" s="18" t="s">
        <v>4843</v>
      </c>
      <c r="G1487" s="228" t="s">
        <v>5068</v>
      </c>
      <c r="H1487" s="18" t="s">
        <v>5069</v>
      </c>
      <c r="K1487" s="228" t="s">
        <v>5109</v>
      </c>
      <c r="L1487" s="18" t="s">
        <v>5110</v>
      </c>
      <c r="M1487" s="18" t="s">
        <v>5111</v>
      </c>
      <c r="N1487" s="16" t="s">
        <v>3763</v>
      </c>
      <c r="O1487" s="16" t="s">
        <v>3763</v>
      </c>
      <c r="P1487" s="16" t="s">
        <v>3763</v>
      </c>
      <c r="Q1487" s="16" t="s">
        <v>3548</v>
      </c>
      <c r="R1487" s="16" t="s">
        <v>3709</v>
      </c>
      <c r="S1487" s="16" t="s">
        <v>5112</v>
      </c>
      <c r="T1487" s="18" t="s">
        <v>869</v>
      </c>
      <c r="U1487" s="283" t="s">
        <v>871</v>
      </c>
      <c r="V1487" s="18" t="s">
        <v>5113</v>
      </c>
      <c r="W1487" s="18">
        <v>0</v>
      </c>
      <c r="X1487" s="18">
        <v>0</v>
      </c>
      <c r="Y1487" s="18">
        <v>0</v>
      </c>
      <c r="Z1487" s="18">
        <v>0</v>
      </c>
      <c r="AA1487" s="18">
        <v>0</v>
      </c>
      <c r="AB1487" s="18">
        <v>0</v>
      </c>
      <c r="AC1487" s="316">
        <v>0</v>
      </c>
      <c r="AD1487" s="316">
        <v>0</v>
      </c>
      <c r="AE1487" s="302">
        <f t="shared" si="97"/>
        <v>0</v>
      </c>
      <c r="AF1487" s="239"/>
      <c r="AG1487" s="17">
        <v>0</v>
      </c>
      <c r="AH1487" s="239">
        <v>0</v>
      </c>
      <c r="AI1487" s="239">
        <v>0</v>
      </c>
      <c r="AJ1487" s="239">
        <v>0</v>
      </c>
      <c r="AK1487" s="238">
        <v>0</v>
      </c>
      <c r="AL1487" s="238">
        <v>0</v>
      </c>
      <c r="AM1487" s="17">
        <f t="shared" si="96"/>
        <v>0</v>
      </c>
      <c r="AN1487" s="157" t="s">
        <v>1035</v>
      </c>
      <c r="AO1487" s="157" t="s">
        <v>1037</v>
      </c>
      <c r="AP1487" s="240" t="s">
        <v>119</v>
      </c>
      <c r="AQ1487" s="157"/>
    </row>
    <row r="1488" spans="1:43" s="18" customFormat="1" x14ac:dyDescent="0.3">
      <c r="A1488" s="228" t="s">
        <v>1451</v>
      </c>
      <c r="B1488" s="18" t="s">
        <v>4838</v>
      </c>
      <c r="C1488" s="228" t="s">
        <v>5114</v>
      </c>
      <c r="D1488" s="18" t="s">
        <v>5115</v>
      </c>
      <c r="E1488" s="228" t="s">
        <v>5116</v>
      </c>
      <c r="F1488" s="18" t="s">
        <v>5117</v>
      </c>
      <c r="G1488" s="228" t="s">
        <v>5118</v>
      </c>
      <c r="H1488" s="18" t="s">
        <v>5119</v>
      </c>
      <c r="I1488" s="228" t="s">
        <v>5120</v>
      </c>
      <c r="J1488" s="18" t="s">
        <v>5121</v>
      </c>
      <c r="K1488" s="228" t="s">
        <v>5122</v>
      </c>
      <c r="L1488" s="18" t="s">
        <v>5123</v>
      </c>
      <c r="M1488" s="18" t="s">
        <v>5124</v>
      </c>
      <c r="N1488" s="16">
        <v>1</v>
      </c>
      <c r="O1488" s="16">
        <v>2</v>
      </c>
      <c r="P1488" s="16">
        <v>2</v>
      </c>
      <c r="Q1488" s="16">
        <v>1</v>
      </c>
      <c r="R1488" s="16">
        <v>1</v>
      </c>
      <c r="S1488" s="16">
        <v>1</v>
      </c>
      <c r="T1488" s="18" t="s">
        <v>869</v>
      </c>
      <c r="U1488" s="283" t="s">
        <v>871</v>
      </c>
      <c r="V1488" s="18" t="s">
        <v>5125</v>
      </c>
      <c r="W1488" s="18">
        <v>1</v>
      </c>
      <c r="X1488" s="18">
        <v>1</v>
      </c>
      <c r="Y1488" s="18">
        <v>1</v>
      </c>
      <c r="Z1488" s="18">
        <v>1</v>
      </c>
      <c r="AA1488" s="18">
        <v>1</v>
      </c>
      <c r="AB1488" s="18">
        <v>1</v>
      </c>
      <c r="AC1488" s="316">
        <v>1</v>
      </c>
      <c r="AD1488" s="316">
        <v>0</v>
      </c>
      <c r="AE1488" s="302">
        <f t="shared" si="97"/>
        <v>0.875</v>
      </c>
      <c r="AF1488" s="239"/>
      <c r="AG1488" s="17">
        <v>0</v>
      </c>
      <c r="AH1488" s="239">
        <v>0.2</v>
      </c>
      <c r="AI1488" s="239">
        <v>0.2</v>
      </c>
      <c r="AJ1488" s="239">
        <v>0.2</v>
      </c>
      <c r="AK1488" s="177">
        <v>0.2</v>
      </c>
      <c r="AL1488" s="238">
        <v>0.2</v>
      </c>
      <c r="AM1488" s="17">
        <f t="shared" si="96"/>
        <v>0.4</v>
      </c>
      <c r="AN1488" s="157" t="s">
        <v>265</v>
      </c>
      <c r="AO1488" s="157" t="s">
        <v>350</v>
      </c>
      <c r="AP1488" s="240" t="s">
        <v>5126</v>
      </c>
      <c r="AQ1488" s="157"/>
    </row>
    <row r="1489" spans="1:43" s="18" customFormat="1" hidden="1" x14ac:dyDescent="0.3">
      <c r="A1489" s="228" t="s">
        <v>1451</v>
      </c>
      <c r="B1489" s="18" t="s">
        <v>4838</v>
      </c>
      <c r="C1489" s="228" t="s">
        <v>5114</v>
      </c>
      <c r="D1489" s="18" t="s">
        <v>5115</v>
      </c>
      <c r="E1489" s="228" t="s">
        <v>5116</v>
      </c>
      <c r="F1489" s="18" t="s">
        <v>5117</v>
      </c>
      <c r="G1489" s="228" t="s">
        <v>5118</v>
      </c>
      <c r="H1489" s="18" t="s">
        <v>5119</v>
      </c>
      <c r="I1489" s="228" t="s">
        <v>5120</v>
      </c>
      <c r="J1489" s="18" t="s">
        <v>5121</v>
      </c>
      <c r="K1489" s="228" t="s">
        <v>5122</v>
      </c>
      <c r="L1489" s="18" t="s">
        <v>5123</v>
      </c>
      <c r="M1489" s="18" t="s">
        <v>5127</v>
      </c>
      <c r="N1489" s="16">
        <v>0</v>
      </c>
      <c r="O1489" s="16">
        <v>3</v>
      </c>
      <c r="P1489" s="16">
        <v>2</v>
      </c>
      <c r="Q1489" s="16">
        <v>2</v>
      </c>
      <c r="R1489" s="16">
        <v>2</v>
      </c>
      <c r="S1489" s="16">
        <v>2</v>
      </c>
      <c r="T1489" s="283" t="s">
        <v>265</v>
      </c>
      <c r="U1489" s="283" t="s">
        <v>350</v>
      </c>
      <c r="V1489" s="18" t="s">
        <v>5128</v>
      </c>
      <c r="W1489" s="18">
        <v>1</v>
      </c>
      <c r="X1489" s="18">
        <v>0</v>
      </c>
      <c r="Y1489" s="18">
        <v>0</v>
      </c>
      <c r="Z1489" s="18">
        <v>1</v>
      </c>
      <c r="AA1489" s="18">
        <v>1</v>
      </c>
      <c r="AB1489" s="18">
        <v>0</v>
      </c>
      <c r="AC1489" s="316">
        <v>1</v>
      </c>
      <c r="AD1489" s="316">
        <v>1</v>
      </c>
      <c r="AE1489" s="302">
        <f t="shared" si="97"/>
        <v>0.625</v>
      </c>
      <c r="AF1489" s="239">
        <v>0</v>
      </c>
      <c r="AG1489" s="17">
        <v>0</v>
      </c>
      <c r="AH1489" s="239">
        <v>1.5</v>
      </c>
      <c r="AI1489" s="239">
        <v>0.2</v>
      </c>
      <c r="AJ1489" s="239">
        <v>0.2</v>
      </c>
      <c r="AK1489" s="246">
        <v>0</v>
      </c>
      <c r="AL1489" s="246">
        <v>0</v>
      </c>
      <c r="AM1489" s="17">
        <f t="shared" si="96"/>
        <v>0</v>
      </c>
      <c r="AN1489" s="157" t="s">
        <v>869</v>
      </c>
      <c r="AO1489" s="157" t="s">
        <v>871</v>
      </c>
      <c r="AP1489" s="240" t="s">
        <v>5129</v>
      </c>
      <c r="AQ1489" s="157"/>
    </row>
    <row r="1490" spans="1:43" s="18" customFormat="1" x14ac:dyDescent="0.3">
      <c r="A1490" s="228" t="s">
        <v>1451</v>
      </c>
      <c r="B1490" s="18" t="s">
        <v>4838</v>
      </c>
      <c r="C1490" s="228" t="s">
        <v>5114</v>
      </c>
      <c r="D1490" s="18" t="s">
        <v>5115</v>
      </c>
      <c r="E1490" s="228" t="s">
        <v>5116</v>
      </c>
      <c r="F1490" s="18" t="s">
        <v>5117</v>
      </c>
      <c r="G1490" s="228" t="s">
        <v>5118</v>
      </c>
      <c r="H1490" s="18" t="s">
        <v>5119</v>
      </c>
      <c r="I1490" s="228" t="s">
        <v>5120</v>
      </c>
      <c r="J1490" s="18" t="s">
        <v>5121</v>
      </c>
      <c r="K1490" s="228" t="s">
        <v>5122</v>
      </c>
      <c r="L1490" s="18" t="s">
        <v>5123</v>
      </c>
      <c r="M1490" s="18" t="s">
        <v>5130</v>
      </c>
      <c r="N1490" s="16">
        <v>0</v>
      </c>
      <c r="O1490" s="16">
        <v>500</v>
      </c>
      <c r="P1490" s="16">
        <v>1000</v>
      </c>
      <c r="Q1490" s="16">
        <v>1500</v>
      </c>
      <c r="R1490" s="16">
        <v>2000</v>
      </c>
      <c r="S1490" s="16">
        <v>2500</v>
      </c>
      <c r="T1490" s="18" t="s">
        <v>869</v>
      </c>
      <c r="U1490" s="283" t="s">
        <v>871</v>
      </c>
      <c r="V1490" s="18" t="s">
        <v>5131</v>
      </c>
      <c r="W1490" s="18">
        <v>1</v>
      </c>
      <c r="X1490" s="18">
        <v>1</v>
      </c>
      <c r="Y1490" s="18">
        <v>1</v>
      </c>
      <c r="Z1490" s="18">
        <v>1</v>
      </c>
      <c r="AA1490" s="18">
        <v>1</v>
      </c>
      <c r="AB1490" s="18">
        <v>1</v>
      </c>
      <c r="AC1490" s="316">
        <v>1</v>
      </c>
      <c r="AD1490" s="316">
        <v>1</v>
      </c>
      <c r="AE1490" s="302">
        <f t="shared" si="97"/>
        <v>1</v>
      </c>
      <c r="AF1490" s="239"/>
      <c r="AG1490" s="17">
        <v>0</v>
      </c>
      <c r="AH1490" s="239">
        <v>2.4</v>
      </c>
      <c r="AI1490" s="239">
        <v>2.4</v>
      </c>
      <c r="AJ1490" s="239">
        <v>2.4</v>
      </c>
      <c r="AK1490" s="238">
        <v>2.4</v>
      </c>
      <c r="AL1490" s="238">
        <v>2.4</v>
      </c>
      <c r="AM1490" s="17">
        <f t="shared" si="96"/>
        <v>4.8</v>
      </c>
      <c r="AN1490" s="157" t="s">
        <v>869</v>
      </c>
      <c r="AO1490" s="157" t="s">
        <v>871</v>
      </c>
      <c r="AP1490" s="240" t="s">
        <v>820</v>
      </c>
      <c r="AQ1490" s="157"/>
    </row>
    <row r="1491" spans="1:43" s="18" customFormat="1" hidden="1" x14ac:dyDescent="0.3">
      <c r="A1491" s="228" t="s">
        <v>1451</v>
      </c>
      <c r="B1491" s="18" t="s">
        <v>4838</v>
      </c>
      <c r="C1491" s="228" t="s">
        <v>5114</v>
      </c>
      <c r="D1491" s="18" t="s">
        <v>5115</v>
      </c>
      <c r="E1491" s="228" t="s">
        <v>5116</v>
      </c>
      <c r="F1491" s="18" t="s">
        <v>5117</v>
      </c>
      <c r="G1491" s="228" t="s">
        <v>5118</v>
      </c>
      <c r="H1491" s="18" t="s">
        <v>5119</v>
      </c>
      <c r="I1491" s="228" t="s">
        <v>5120</v>
      </c>
      <c r="J1491" s="18" t="s">
        <v>5121</v>
      </c>
      <c r="K1491" s="228" t="s">
        <v>5122</v>
      </c>
      <c r="L1491" s="18" t="s">
        <v>5123</v>
      </c>
      <c r="M1491" s="18" t="s">
        <v>5132</v>
      </c>
      <c r="N1491" s="16"/>
      <c r="O1491" s="16">
        <v>100</v>
      </c>
      <c r="P1491" s="16">
        <v>200</v>
      </c>
      <c r="Q1491" s="16">
        <v>250</v>
      </c>
      <c r="R1491" s="16">
        <v>400</v>
      </c>
      <c r="S1491" s="16">
        <v>500</v>
      </c>
      <c r="T1491" s="283" t="s">
        <v>265</v>
      </c>
      <c r="U1491" s="283" t="s">
        <v>350</v>
      </c>
      <c r="V1491" s="18" t="s">
        <v>5133</v>
      </c>
      <c r="W1491" s="18">
        <v>0</v>
      </c>
      <c r="X1491" s="18">
        <v>0</v>
      </c>
      <c r="Y1491" s="18">
        <v>0</v>
      </c>
      <c r="Z1491" s="18">
        <v>0</v>
      </c>
      <c r="AA1491" s="18">
        <v>0</v>
      </c>
      <c r="AB1491" s="18">
        <v>0</v>
      </c>
      <c r="AC1491" s="316">
        <v>0</v>
      </c>
      <c r="AD1491" s="316">
        <v>0</v>
      </c>
      <c r="AE1491" s="302">
        <f t="shared" si="97"/>
        <v>0</v>
      </c>
      <c r="AF1491" s="239"/>
      <c r="AG1491" s="17">
        <v>0</v>
      </c>
      <c r="AH1491" s="239" t="s">
        <v>2526</v>
      </c>
      <c r="AI1491" s="239" t="s">
        <v>2526</v>
      </c>
      <c r="AJ1491" s="239" t="s">
        <v>2526</v>
      </c>
      <c r="AK1491" s="238" t="s">
        <v>2526</v>
      </c>
      <c r="AL1491" s="238" t="s">
        <v>2526</v>
      </c>
      <c r="AM1491" s="17">
        <f t="shared" si="96"/>
        <v>0</v>
      </c>
      <c r="AN1491" s="157" t="s">
        <v>921</v>
      </c>
      <c r="AO1491" s="157" t="s">
        <v>880</v>
      </c>
      <c r="AP1491" s="240" t="s">
        <v>119</v>
      </c>
      <c r="AQ1491" s="157"/>
    </row>
    <row r="1492" spans="1:43" s="18" customFormat="1" x14ac:dyDescent="0.3">
      <c r="A1492" s="228" t="s">
        <v>1451</v>
      </c>
      <c r="B1492" s="18" t="s">
        <v>4838</v>
      </c>
      <c r="C1492" s="228" t="s">
        <v>5114</v>
      </c>
      <c r="D1492" s="18" t="s">
        <v>5115</v>
      </c>
      <c r="E1492" s="228" t="s">
        <v>5116</v>
      </c>
      <c r="F1492" s="18" t="s">
        <v>5117</v>
      </c>
      <c r="G1492" s="228" t="s">
        <v>5118</v>
      </c>
      <c r="H1492" s="18" t="s">
        <v>5119</v>
      </c>
      <c r="I1492" s="228" t="s">
        <v>5120</v>
      </c>
      <c r="J1492" s="18" t="s">
        <v>5121</v>
      </c>
      <c r="K1492" s="228" t="s">
        <v>5122</v>
      </c>
      <c r="L1492" s="18" t="s">
        <v>5123</v>
      </c>
      <c r="M1492" s="18" t="s">
        <v>5134</v>
      </c>
      <c r="N1492" s="16">
        <v>549</v>
      </c>
      <c r="O1492" s="16">
        <v>1000</v>
      </c>
      <c r="P1492" s="16">
        <v>1500</v>
      </c>
      <c r="Q1492" s="16">
        <v>2000</v>
      </c>
      <c r="R1492" s="16">
        <v>2500</v>
      </c>
      <c r="S1492" s="16">
        <v>3000</v>
      </c>
      <c r="T1492" s="18" t="s">
        <v>5135</v>
      </c>
      <c r="U1492" s="283" t="e">
        <v>#N/A</v>
      </c>
      <c r="V1492" s="18" t="s">
        <v>5136</v>
      </c>
      <c r="W1492" s="18">
        <v>1</v>
      </c>
      <c r="X1492" s="18">
        <v>1</v>
      </c>
      <c r="Y1492" s="18">
        <v>0</v>
      </c>
      <c r="Z1492" s="18">
        <v>1</v>
      </c>
      <c r="AA1492" s="18">
        <v>1</v>
      </c>
      <c r="AB1492" s="18">
        <v>1</v>
      </c>
      <c r="AC1492" s="316">
        <v>1</v>
      </c>
      <c r="AD1492" s="316">
        <v>1</v>
      </c>
      <c r="AE1492" s="302">
        <f t="shared" si="97"/>
        <v>0.875</v>
      </c>
      <c r="AF1492" s="239"/>
      <c r="AG1492" s="17">
        <v>0</v>
      </c>
      <c r="AH1492" s="239" t="s">
        <v>2526</v>
      </c>
      <c r="AI1492" s="239" t="s">
        <v>2526</v>
      </c>
      <c r="AJ1492" s="239" t="s">
        <v>2526</v>
      </c>
      <c r="AK1492" s="238" t="s">
        <v>2526</v>
      </c>
      <c r="AL1492" s="238" t="s">
        <v>2526</v>
      </c>
      <c r="AM1492" s="17">
        <f t="shared" si="96"/>
        <v>0</v>
      </c>
      <c r="AN1492" s="157" t="s">
        <v>1581</v>
      </c>
      <c r="AO1492" s="157" t="s">
        <v>1583</v>
      </c>
      <c r="AP1492" s="240" t="s">
        <v>119</v>
      </c>
      <c r="AQ1492" s="157"/>
    </row>
    <row r="1493" spans="1:43" s="18" customFormat="1" x14ac:dyDescent="0.3">
      <c r="A1493" s="228" t="s">
        <v>1451</v>
      </c>
      <c r="B1493" s="18" t="s">
        <v>4838</v>
      </c>
      <c r="C1493" s="228" t="s">
        <v>5114</v>
      </c>
      <c r="D1493" s="18" t="s">
        <v>5115</v>
      </c>
      <c r="E1493" s="228" t="s">
        <v>5116</v>
      </c>
      <c r="F1493" s="18" t="s">
        <v>5117</v>
      </c>
      <c r="G1493" s="228" t="s">
        <v>5118</v>
      </c>
      <c r="H1493" s="18" t="s">
        <v>5119</v>
      </c>
      <c r="I1493" s="228" t="s">
        <v>5120</v>
      </c>
      <c r="J1493" s="18" t="s">
        <v>5121</v>
      </c>
      <c r="K1493" s="228" t="s">
        <v>5122</v>
      </c>
      <c r="L1493" s="18" t="s">
        <v>5123</v>
      </c>
      <c r="N1493" s="16"/>
      <c r="O1493" s="16"/>
      <c r="P1493" s="16"/>
      <c r="Q1493" s="16"/>
      <c r="R1493" s="16"/>
      <c r="S1493" s="16"/>
      <c r="U1493" s="283" t="e">
        <v>#N/A</v>
      </c>
      <c r="V1493" s="18" t="s">
        <v>5137</v>
      </c>
      <c r="W1493" s="18">
        <v>1</v>
      </c>
      <c r="X1493" s="18">
        <v>1</v>
      </c>
      <c r="Y1493" s="18">
        <v>1</v>
      </c>
      <c r="Z1493" s="18">
        <v>1</v>
      </c>
      <c r="AA1493" s="18">
        <v>1</v>
      </c>
      <c r="AB1493" s="18">
        <v>1</v>
      </c>
      <c r="AC1493" s="316">
        <v>1</v>
      </c>
      <c r="AD1493" s="316">
        <v>1</v>
      </c>
      <c r="AE1493" s="302">
        <f t="shared" si="97"/>
        <v>1</v>
      </c>
      <c r="AF1493" s="239"/>
      <c r="AG1493" s="17">
        <v>0</v>
      </c>
      <c r="AH1493" s="239" t="s">
        <v>2526</v>
      </c>
      <c r="AI1493" s="239">
        <v>0</v>
      </c>
      <c r="AJ1493" s="239">
        <v>0</v>
      </c>
      <c r="AK1493" s="238">
        <v>0</v>
      </c>
      <c r="AL1493" s="238">
        <v>0</v>
      </c>
      <c r="AM1493" s="17">
        <f t="shared" si="96"/>
        <v>0</v>
      </c>
      <c r="AN1493" s="157" t="s">
        <v>265</v>
      </c>
      <c r="AO1493" s="157" t="s">
        <v>350</v>
      </c>
      <c r="AP1493" s="240" t="s">
        <v>119</v>
      </c>
      <c r="AQ1493" s="157"/>
    </row>
    <row r="1494" spans="1:43" s="18" customFormat="1" x14ac:dyDescent="0.3">
      <c r="A1494" s="228" t="s">
        <v>1451</v>
      </c>
      <c r="B1494" s="18" t="s">
        <v>4838</v>
      </c>
      <c r="C1494" s="228" t="s">
        <v>5114</v>
      </c>
      <c r="D1494" s="18" t="s">
        <v>5115</v>
      </c>
      <c r="E1494" s="228" t="s">
        <v>5116</v>
      </c>
      <c r="F1494" s="18" t="s">
        <v>5117</v>
      </c>
      <c r="G1494" s="228" t="s">
        <v>5118</v>
      </c>
      <c r="H1494" s="18" t="s">
        <v>5119</v>
      </c>
      <c r="I1494" s="228" t="s">
        <v>5120</v>
      </c>
      <c r="J1494" s="18" t="s">
        <v>5121</v>
      </c>
      <c r="K1494" s="228" t="s">
        <v>5122</v>
      </c>
      <c r="L1494" s="18" t="s">
        <v>5123</v>
      </c>
      <c r="N1494" s="16"/>
      <c r="O1494" s="16"/>
      <c r="P1494" s="16"/>
      <c r="Q1494" s="16"/>
      <c r="R1494" s="16"/>
      <c r="S1494" s="16"/>
      <c r="U1494" s="283" t="e">
        <v>#N/A</v>
      </c>
      <c r="V1494" s="18" t="s">
        <v>5138</v>
      </c>
      <c r="W1494" s="18">
        <v>1</v>
      </c>
      <c r="X1494" s="18">
        <v>1</v>
      </c>
      <c r="Y1494" s="18">
        <v>1</v>
      </c>
      <c r="Z1494" s="18">
        <v>1</v>
      </c>
      <c r="AA1494" s="18">
        <v>0</v>
      </c>
      <c r="AB1494" s="18">
        <v>1</v>
      </c>
      <c r="AC1494" s="316">
        <v>1</v>
      </c>
      <c r="AD1494" s="316">
        <v>0</v>
      </c>
      <c r="AE1494" s="302">
        <f t="shared" si="97"/>
        <v>0.75</v>
      </c>
      <c r="AF1494" s="239"/>
      <c r="AG1494" s="17">
        <v>0</v>
      </c>
      <c r="AH1494" s="239">
        <v>20</v>
      </c>
      <c r="AI1494" s="239">
        <v>20</v>
      </c>
      <c r="AJ1494" s="176">
        <v>20</v>
      </c>
      <c r="AK1494" s="237">
        <v>10</v>
      </c>
      <c r="AL1494" s="237">
        <v>10</v>
      </c>
      <c r="AM1494" s="17">
        <f t="shared" si="96"/>
        <v>20</v>
      </c>
      <c r="AN1494" s="18" t="s">
        <v>771</v>
      </c>
      <c r="AO1494" s="18" t="s">
        <v>773</v>
      </c>
      <c r="AP1494" s="157" t="s">
        <v>5139</v>
      </c>
      <c r="AQ1494" s="157"/>
    </row>
    <row r="1495" spans="1:43" s="18" customFormat="1" x14ac:dyDescent="0.3">
      <c r="A1495" s="228" t="s">
        <v>1451</v>
      </c>
      <c r="B1495" s="18" t="s">
        <v>4838</v>
      </c>
      <c r="C1495" s="228" t="s">
        <v>5114</v>
      </c>
      <c r="D1495" s="18" t="s">
        <v>5115</v>
      </c>
      <c r="E1495" s="228" t="s">
        <v>5116</v>
      </c>
      <c r="F1495" s="18" t="s">
        <v>5117</v>
      </c>
      <c r="G1495" s="228" t="s">
        <v>5118</v>
      </c>
      <c r="H1495" s="18" t="s">
        <v>5119</v>
      </c>
      <c r="I1495" s="228" t="s">
        <v>5120</v>
      </c>
      <c r="J1495" s="18" t="s">
        <v>5121</v>
      </c>
      <c r="K1495" s="228" t="s">
        <v>5122</v>
      </c>
      <c r="L1495" s="18" t="s">
        <v>5123</v>
      </c>
      <c r="N1495" s="16"/>
      <c r="O1495" s="16"/>
      <c r="P1495" s="16"/>
      <c r="Q1495" s="16"/>
      <c r="R1495" s="16"/>
      <c r="S1495" s="16"/>
      <c r="U1495" s="283" t="e">
        <v>#N/A</v>
      </c>
      <c r="V1495" s="18" t="s">
        <v>5140</v>
      </c>
      <c r="W1495" s="18">
        <v>1</v>
      </c>
      <c r="X1495" s="18">
        <v>1</v>
      </c>
      <c r="Y1495" s="18">
        <v>1</v>
      </c>
      <c r="Z1495" s="18">
        <v>1</v>
      </c>
      <c r="AA1495" s="18">
        <v>0</v>
      </c>
      <c r="AB1495" s="18">
        <v>1</v>
      </c>
      <c r="AC1495" s="316">
        <v>1</v>
      </c>
      <c r="AD1495" s="316">
        <v>0</v>
      </c>
      <c r="AE1495" s="302">
        <f t="shared" si="97"/>
        <v>0.75</v>
      </c>
      <c r="AF1495" s="239"/>
      <c r="AG1495" s="17">
        <v>0</v>
      </c>
      <c r="AH1495" s="239" t="s">
        <v>2526</v>
      </c>
      <c r="AI1495" s="239">
        <v>0</v>
      </c>
      <c r="AJ1495" s="176" t="s">
        <v>2526</v>
      </c>
      <c r="AK1495" s="177" t="s">
        <v>2526</v>
      </c>
      <c r="AL1495" s="177" t="s">
        <v>2526</v>
      </c>
      <c r="AM1495" s="17">
        <f t="shared" si="96"/>
        <v>0</v>
      </c>
      <c r="AN1495" s="18" t="s">
        <v>921</v>
      </c>
      <c r="AO1495" s="18" t="s">
        <v>880</v>
      </c>
      <c r="AP1495" s="240" t="s">
        <v>119</v>
      </c>
      <c r="AQ1495" s="157"/>
    </row>
    <row r="1496" spans="1:43" s="18" customFormat="1" x14ac:dyDescent="0.3">
      <c r="A1496" s="228" t="s">
        <v>1451</v>
      </c>
      <c r="B1496" s="18" t="s">
        <v>4838</v>
      </c>
      <c r="C1496" s="228" t="s">
        <v>5114</v>
      </c>
      <c r="D1496" s="18" t="s">
        <v>5115</v>
      </c>
      <c r="E1496" s="228" t="s">
        <v>5116</v>
      </c>
      <c r="F1496" s="18" t="s">
        <v>5117</v>
      </c>
      <c r="G1496" s="228" t="s">
        <v>5118</v>
      </c>
      <c r="H1496" s="18" t="s">
        <v>5119</v>
      </c>
      <c r="I1496" s="228" t="s">
        <v>5120</v>
      </c>
      <c r="J1496" s="18" t="s">
        <v>5121</v>
      </c>
      <c r="K1496" s="228" t="s">
        <v>5122</v>
      </c>
      <c r="L1496" s="18" t="s">
        <v>5123</v>
      </c>
      <c r="N1496" s="16"/>
      <c r="O1496" s="16"/>
      <c r="P1496" s="16"/>
      <c r="Q1496" s="16"/>
      <c r="R1496" s="16"/>
      <c r="S1496" s="16"/>
      <c r="U1496" s="283" t="e">
        <v>#N/A</v>
      </c>
      <c r="V1496" s="18" t="s">
        <v>5141</v>
      </c>
      <c r="W1496" s="18">
        <v>1</v>
      </c>
      <c r="X1496" s="18">
        <v>1</v>
      </c>
      <c r="Y1496" s="18">
        <v>1</v>
      </c>
      <c r="Z1496" s="18">
        <v>1</v>
      </c>
      <c r="AA1496" s="18">
        <v>1</v>
      </c>
      <c r="AB1496" s="18">
        <v>1</v>
      </c>
      <c r="AC1496" s="316">
        <v>1</v>
      </c>
      <c r="AD1496" s="316">
        <v>1</v>
      </c>
      <c r="AE1496" s="302">
        <f t="shared" si="97"/>
        <v>1</v>
      </c>
      <c r="AF1496" s="239"/>
      <c r="AG1496" s="17">
        <v>0</v>
      </c>
      <c r="AH1496" s="239">
        <v>0.2</v>
      </c>
      <c r="AI1496" s="239">
        <v>2</v>
      </c>
      <c r="AJ1496" s="32">
        <v>2</v>
      </c>
      <c r="AK1496" s="248">
        <v>0</v>
      </c>
      <c r="AL1496" s="248">
        <v>0</v>
      </c>
      <c r="AM1496" s="17">
        <f t="shared" si="96"/>
        <v>0</v>
      </c>
      <c r="AN1496" s="10" t="s">
        <v>771</v>
      </c>
      <c r="AO1496" s="10" t="s">
        <v>773</v>
      </c>
      <c r="AP1496" s="249" t="s">
        <v>1687</v>
      </c>
      <c r="AQ1496" s="157"/>
    </row>
    <row r="1497" spans="1:43" s="18" customFormat="1" x14ac:dyDescent="0.3">
      <c r="A1497" s="228" t="s">
        <v>1451</v>
      </c>
      <c r="B1497" s="18" t="s">
        <v>4838</v>
      </c>
      <c r="C1497" s="228" t="s">
        <v>5114</v>
      </c>
      <c r="D1497" s="18" t="s">
        <v>5115</v>
      </c>
      <c r="E1497" s="228" t="s">
        <v>5116</v>
      </c>
      <c r="F1497" s="18" t="s">
        <v>5117</v>
      </c>
      <c r="G1497" s="228" t="s">
        <v>5118</v>
      </c>
      <c r="H1497" s="18" t="s">
        <v>5119</v>
      </c>
      <c r="I1497" s="228" t="s">
        <v>5120</v>
      </c>
      <c r="J1497" s="18" t="s">
        <v>5121</v>
      </c>
      <c r="K1497" s="228" t="s">
        <v>5122</v>
      </c>
      <c r="L1497" s="18" t="s">
        <v>5123</v>
      </c>
      <c r="N1497" s="16"/>
      <c r="O1497" s="16"/>
      <c r="P1497" s="16"/>
      <c r="Q1497" s="16"/>
      <c r="R1497" s="16"/>
      <c r="S1497" s="16"/>
      <c r="U1497" s="283" t="e">
        <v>#N/A</v>
      </c>
      <c r="V1497" s="18" t="s">
        <v>5142</v>
      </c>
      <c r="W1497" s="18">
        <v>1</v>
      </c>
      <c r="X1497" s="18">
        <v>1</v>
      </c>
      <c r="Y1497" s="18">
        <v>1</v>
      </c>
      <c r="Z1497" s="18">
        <v>1</v>
      </c>
      <c r="AA1497" s="18">
        <v>1</v>
      </c>
      <c r="AB1497" s="18">
        <v>1</v>
      </c>
      <c r="AC1497" s="316">
        <v>0</v>
      </c>
      <c r="AD1497" s="316">
        <v>1</v>
      </c>
      <c r="AE1497" s="302">
        <f t="shared" si="97"/>
        <v>0.875</v>
      </c>
      <c r="AF1497" s="239">
        <v>0</v>
      </c>
      <c r="AG1497" s="17">
        <v>0</v>
      </c>
      <c r="AH1497" s="239">
        <v>0.06</v>
      </c>
      <c r="AI1497" s="239">
        <v>0.27</v>
      </c>
      <c r="AJ1497" s="32">
        <v>0.17</v>
      </c>
      <c r="AK1497" s="214">
        <v>0.17</v>
      </c>
      <c r="AL1497" s="214">
        <v>0.17</v>
      </c>
      <c r="AM1497" s="17">
        <f t="shared" si="96"/>
        <v>0.34</v>
      </c>
      <c r="AN1497" s="10" t="s">
        <v>1581</v>
      </c>
      <c r="AO1497" s="10" t="s">
        <v>1583</v>
      </c>
      <c r="AP1497" s="249" t="s">
        <v>5143</v>
      </c>
      <c r="AQ1497" s="157"/>
    </row>
    <row r="1498" spans="1:43" s="18" customFormat="1" hidden="1" x14ac:dyDescent="0.3">
      <c r="A1498" s="228" t="s">
        <v>1451</v>
      </c>
      <c r="B1498" s="18" t="s">
        <v>4838</v>
      </c>
      <c r="C1498" s="228" t="s">
        <v>5114</v>
      </c>
      <c r="D1498" s="18" t="s">
        <v>5115</v>
      </c>
      <c r="E1498" s="228" t="s">
        <v>5116</v>
      </c>
      <c r="F1498" s="18" t="s">
        <v>5117</v>
      </c>
      <c r="G1498" s="228" t="s">
        <v>5118</v>
      </c>
      <c r="H1498" s="18" t="s">
        <v>5119</v>
      </c>
      <c r="I1498" s="228" t="s">
        <v>5120</v>
      </c>
      <c r="J1498" s="18" t="s">
        <v>5121</v>
      </c>
      <c r="K1498" s="228" t="s">
        <v>5122</v>
      </c>
      <c r="L1498" s="18" t="s">
        <v>5123</v>
      </c>
      <c r="N1498" s="16"/>
      <c r="O1498" s="16"/>
      <c r="P1498" s="16"/>
      <c r="Q1498" s="16"/>
      <c r="R1498" s="16"/>
      <c r="S1498" s="16"/>
      <c r="U1498" s="283" t="e">
        <v>#N/A</v>
      </c>
      <c r="V1498" s="18" t="s">
        <v>5144</v>
      </c>
      <c r="W1498" s="18">
        <v>1</v>
      </c>
      <c r="X1498" s="18">
        <v>1</v>
      </c>
      <c r="Y1498" s="18">
        <v>0</v>
      </c>
      <c r="Z1498" s="18">
        <v>1</v>
      </c>
      <c r="AA1498" s="18">
        <v>0</v>
      </c>
      <c r="AB1498" s="18">
        <v>0</v>
      </c>
      <c r="AC1498" s="316">
        <v>0</v>
      </c>
      <c r="AD1498" s="316">
        <v>0</v>
      </c>
      <c r="AE1498" s="302">
        <f t="shared" si="97"/>
        <v>0.375</v>
      </c>
      <c r="AF1498" s="239"/>
      <c r="AG1498" s="17">
        <v>0</v>
      </c>
      <c r="AH1498" s="239" t="s">
        <v>2526</v>
      </c>
      <c r="AI1498" s="239" t="s">
        <v>2526</v>
      </c>
      <c r="AJ1498" s="176" t="s">
        <v>2526</v>
      </c>
      <c r="AK1498" s="177" t="s">
        <v>2526</v>
      </c>
      <c r="AL1498" s="177" t="s">
        <v>2526</v>
      </c>
      <c r="AM1498" s="17">
        <f t="shared" si="96"/>
        <v>0</v>
      </c>
      <c r="AN1498" s="18" t="s">
        <v>921</v>
      </c>
      <c r="AO1498" s="18" t="s">
        <v>880</v>
      </c>
      <c r="AP1498" s="240" t="s">
        <v>119</v>
      </c>
      <c r="AQ1498" s="157"/>
    </row>
    <row r="1499" spans="1:43" s="18" customFormat="1" x14ac:dyDescent="0.3">
      <c r="A1499" s="228" t="s">
        <v>1451</v>
      </c>
      <c r="B1499" s="18" t="s">
        <v>4838</v>
      </c>
      <c r="C1499" s="228" t="s">
        <v>5114</v>
      </c>
      <c r="D1499" s="18" t="s">
        <v>5115</v>
      </c>
      <c r="E1499" s="228" t="s">
        <v>5116</v>
      </c>
      <c r="F1499" s="18" t="s">
        <v>5117</v>
      </c>
      <c r="G1499" s="228" t="s">
        <v>5118</v>
      </c>
      <c r="H1499" s="18" t="s">
        <v>5119</v>
      </c>
      <c r="I1499" s="228" t="s">
        <v>5120</v>
      </c>
      <c r="J1499" s="18" t="s">
        <v>5121</v>
      </c>
      <c r="K1499" s="228" t="s">
        <v>5122</v>
      </c>
      <c r="L1499" s="18" t="s">
        <v>5123</v>
      </c>
      <c r="N1499" s="16"/>
      <c r="O1499" s="16"/>
      <c r="P1499" s="16"/>
      <c r="Q1499" s="16"/>
      <c r="R1499" s="16"/>
      <c r="S1499" s="16"/>
      <c r="U1499" s="283" t="e">
        <v>#N/A</v>
      </c>
      <c r="V1499" s="18" t="s">
        <v>5145</v>
      </c>
      <c r="W1499" s="18">
        <v>1</v>
      </c>
      <c r="X1499" s="18">
        <v>1</v>
      </c>
      <c r="Y1499" s="18">
        <v>1</v>
      </c>
      <c r="Z1499" s="18">
        <v>1</v>
      </c>
      <c r="AA1499" s="18">
        <v>1</v>
      </c>
      <c r="AB1499" s="18">
        <v>1</v>
      </c>
      <c r="AC1499" s="316">
        <v>1</v>
      </c>
      <c r="AD1499" s="316">
        <v>1</v>
      </c>
      <c r="AE1499" s="302">
        <f t="shared" si="97"/>
        <v>1</v>
      </c>
      <c r="AF1499" s="239"/>
      <c r="AG1499" s="17">
        <v>0</v>
      </c>
      <c r="AH1499" s="239">
        <v>0.5</v>
      </c>
      <c r="AI1499" s="239">
        <v>0.5</v>
      </c>
      <c r="AJ1499" s="176">
        <v>0.5</v>
      </c>
      <c r="AK1499" s="177">
        <v>0.5</v>
      </c>
      <c r="AL1499" s="177">
        <v>0.5</v>
      </c>
      <c r="AM1499" s="17">
        <f t="shared" si="96"/>
        <v>1</v>
      </c>
      <c r="AN1499" s="18" t="s">
        <v>5146</v>
      </c>
      <c r="AO1499" s="18" t="s">
        <v>880</v>
      </c>
      <c r="AP1499" s="240" t="s">
        <v>5147</v>
      </c>
      <c r="AQ1499" s="157"/>
    </row>
    <row r="1500" spans="1:43" s="18" customFormat="1" x14ac:dyDescent="0.3">
      <c r="A1500" s="228" t="s">
        <v>1451</v>
      </c>
      <c r="B1500" s="18" t="s">
        <v>4838</v>
      </c>
      <c r="C1500" s="228" t="s">
        <v>5114</v>
      </c>
      <c r="D1500" s="18" t="s">
        <v>5115</v>
      </c>
      <c r="E1500" s="228" t="s">
        <v>5116</v>
      </c>
      <c r="F1500" s="18" t="s">
        <v>5117</v>
      </c>
      <c r="G1500" s="228" t="s">
        <v>5118</v>
      </c>
      <c r="H1500" s="18" t="s">
        <v>5119</v>
      </c>
      <c r="I1500" s="228" t="s">
        <v>5120</v>
      </c>
      <c r="J1500" s="18" t="s">
        <v>5121</v>
      </c>
      <c r="K1500" s="228" t="s">
        <v>5122</v>
      </c>
      <c r="L1500" s="18" t="s">
        <v>5123</v>
      </c>
      <c r="N1500" s="16"/>
      <c r="O1500" s="16"/>
      <c r="P1500" s="16"/>
      <c r="Q1500" s="16"/>
      <c r="R1500" s="16"/>
      <c r="S1500" s="16"/>
      <c r="U1500" s="283" t="e">
        <v>#N/A</v>
      </c>
      <c r="V1500" s="18" t="s">
        <v>5148</v>
      </c>
      <c r="W1500" s="18">
        <v>1</v>
      </c>
      <c r="X1500" s="18">
        <v>1</v>
      </c>
      <c r="Y1500" s="18">
        <v>1</v>
      </c>
      <c r="Z1500" s="18">
        <v>1</v>
      </c>
      <c r="AA1500" s="18">
        <v>1</v>
      </c>
      <c r="AB1500" s="18">
        <v>1</v>
      </c>
      <c r="AC1500" s="316">
        <v>1</v>
      </c>
      <c r="AD1500" s="316">
        <v>1</v>
      </c>
      <c r="AE1500" s="302">
        <f t="shared" si="97"/>
        <v>1</v>
      </c>
      <c r="AF1500" s="239">
        <v>0</v>
      </c>
      <c r="AG1500" s="17">
        <v>0</v>
      </c>
      <c r="AH1500" s="239" t="s">
        <v>2526</v>
      </c>
      <c r="AI1500" s="239">
        <v>0.5</v>
      </c>
      <c r="AJ1500" s="176">
        <v>0.5</v>
      </c>
      <c r="AK1500" s="177">
        <v>0.5</v>
      </c>
      <c r="AL1500" s="177">
        <v>0.5</v>
      </c>
      <c r="AM1500" s="17">
        <f t="shared" si="96"/>
        <v>1</v>
      </c>
      <c r="AN1500" s="18" t="s">
        <v>869</v>
      </c>
      <c r="AO1500" s="18" t="s">
        <v>871</v>
      </c>
      <c r="AP1500" s="240" t="s">
        <v>5097</v>
      </c>
      <c r="AQ1500" s="157"/>
    </row>
    <row r="1501" spans="1:43" s="18" customFormat="1" x14ac:dyDescent="0.3">
      <c r="A1501" s="228" t="s">
        <v>1451</v>
      </c>
      <c r="B1501" s="18" t="s">
        <v>4838</v>
      </c>
      <c r="C1501" s="228" t="s">
        <v>5114</v>
      </c>
      <c r="D1501" s="18" t="s">
        <v>5115</v>
      </c>
      <c r="E1501" s="228" t="s">
        <v>5116</v>
      </c>
      <c r="F1501" s="18" t="s">
        <v>5117</v>
      </c>
      <c r="G1501" s="228" t="s">
        <v>5118</v>
      </c>
      <c r="H1501" s="18" t="s">
        <v>5119</v>
      </c>
      <c r="I1501" s="228" t="s">
        <v>5120</v>
      </c>
      <c r="J1501" s="18" t="s">
        <v>5121</v>
      </c>
      <c r="K1501" s="228" t="s">
        <v>5122</v>
      </c>
      <c r="L1501" s="18" t="s">
        <v>5123</v>
      </c>
      <c r="N1501" s="16"/>
      <c r="O1501" s="16"/>
      <c r="P1501" s="16"/>
      <c r="Q1501" s="16"/>
      <c r="R1501" s="16"/>
      <c r="S1501" s="16"/>
      <c r="U1501" s="283" t="e">
        <v>#N/A</v>
      </c>
      <c r="V1501" s="18" t="s">
        <v>5149</v>
      </c>
      <c r="W1501" s="18">
        <v>1</v>
      </c>
      <c r="X1501" s="18">
        <v>1</v>
      </c>
      <c r="Y1501" s="18">
        <v>1</v>
      </c>
      <c r="Z1501" s="18">
        <v>1</v>
      </c>
      <c r="AA1501" s="18">
        <v>1</v>
      </c>
      <c r="AB1501" s="18">
        <v>1</v>
      </c>
      <c r="AC1501" s="316">
        <v>1</v>
      </c>
      <c r="AD1501" s="316">
        <v>1</v>
      </c>
      <c r="AE1501" s="302">
        <f t="shared" si="97"/>
        <v>1</v>
      </c>
      <c r="AF1501" s="239"/>
      <c r="AG1501" s="17">
        <v>0</v>
      </c>
      <c r="AH1501" s="239" t="s">
        <v>2526</v>
      </c>
      <c r="AI1501" s="239">
        <v>0.5</v>
      </c>
      <c r="AJ1501" s="176">
        <v>1</v>
      </c>
      <c r="AK1501" s="177">
        <v>1</v>
      </c>
      <c r="AL1501" s="177">
        <v>1</v>
      </c>
      <c r="AM1501" s="17">
        <f t="shared" si="96"/>
        <v>2</v>
      </c>
      <c r="AN1501" s="18" t="s">
        <v>869</v>
      </c>
      <c r="AO1501" s="18" t="s">
        <v>871</v>
      </c>
      <c r="AP1501" s="240" t="s">
        <v>5097</v>
      </c>
      <c r="AQ1501" s="157"/>
    </row>
    <row r="1502" spans="1:43" s="18" customFormat="1" x14ac:dyDescent="0.3">
      <c r="A1502" s="228" t="s">
        <v>1451</v>
      </c>
      <c r="B1502" s="18" t="s">
        <v>4838</v>
      </c>
      <c r="C1502" s="228" t="s">
        <v>5114</v>
      </c>
      <c r="D1502" s="18" t="s">
        <v>5150</v>
      </c>
      <c r="E1502" s="228" t="s">
        <v>5116</v>
      </c>
      <c r="F1502" s="18" t="s">
        <v>5117</v>
      </c>
      <c r="G1502" s="228" t="s">
        <v>5118</v>
      </c>
      <c r="H1502" s="18" t="s">
        <v>5119</v>
      </c>
      <c r="I1502" s="228" t="s">
        <v>5120</v>
      </c>
      <c r="J1502" s="18" t="s">
        <v>5121</v>
      </c>
      <c r="K1502" s="228" t="s">
        <v>5151</v>
      </c>
      <c r="L1502" s="18" t="s">
        <v>5152</v>
      </c>
      <c r="M1502" s="18" t="s">
        <v>5153</v>
      </c>
      <c r="N1502" s="16"/>
      <c r="O1502" s="16">
        <v>6</v>
      </c>
      <c r="P1502" s="16">
        <v>6</v>
      </c>
      <c r="Q1502" s="16">
        <v>8</v>
      </c>
      <c r="R1502" s="16">
        <v>10</v>
      </c>
      <c r="S1502" s="16">
        <v>12</v>
      </c>
      <c r="T1502" s="18" t="s">
        <v>1132</v>
      </c>
      <c r="U1502" s="283" t="s">
        <v>3739</v>
      </c>
      <c r="V1502" s="18" t="s">
        <v>5154</v>
      </c>
      <c r="W1502" s="18">
        <v>1</v>
      </c>
      <c r="X1502" s="18">
        <v>1</v>
      </c>
      <c r="Y1502" s="18">
        <v>1</v>
      </c>
      <c r="Z1502" s="18">
        <v>1</v>
      </c>
      <c r="AA1502" s="18">
        <v>1</v>
      </c>
      <c r="AB1502" s="18">
        <v>1</v>
      </c>
      <c r="AC1502" s="316">
        <v>1</v>
      </c>
      <c r="AD1502" s="316">
        <v>1</v>
      </c>
      <c r="AE1502" s="302">
        <f t="shared" si="97"/>
        <v>1</v>
      </c>
      <c r="AF1502" s="239">
        <v>0</v>
      </c>
      <c r="AG1502" s="17">
        <v>0</v>
      </c>
      <c r="AH1502" s="239">
        <v>2.5</v>
      </c>
      <c r="AI1502" s="239">
        <v>3</v>
      </c>
      <c r="AJ1502" s="176">
        <v>3.5</v>
      </c>
      <c r="AK1502" s="237">
        <v>3</v>
      </c>
      <c r="AL1502" s="237">
        <v>3</v>
      </c>
      <c r="AM1502" s="17">
        <f t="shared" si="96"/>
        <v>6</v>
      </c>
      <c r="AN1502" s="18" t="s">
        <v>1132</v>
      </c>
      <c r="AO1502" s="18" t="s">
        <v>1134</v>
      </c>
      <c r="AP1502" s="240"/>
      <c r="AQ1502" s="157"/>
    </row>
    <row r="1503" spans="1:43" s="18" customFormat="1" x14ac:dyDescent="0.3">
      <c r="A1503" s="228" t="s">
        <v>1451</v>
      </c>
      <c r="B1503" s="18" t="s">
        <v>4838</v>
      </c>
      <c r="C1503" s="228" t="s">
        <v>5114</v>
      </c>
      <c r="D1503" s="18" t="s">
        <v>5115</v>
      </c>
      <c r="E1503" s="228" t="s">
        <v>5116</v>
      </c>
      <c r="F1503" s="18" t="s">
        <v>5117</v>
      </c>
      <c r="G1503" s="228" t="s">
        <v>5118</v>
      </c>
      <c r="H1503" s="18" t="s">
        <v>5119</v>
      </c>
      <c r="I1503" s="228" t="s">
        <v>5155</v>
      </c>
      <c r="J1503" s="18" t="s">
        <v>5156</v>
      </c>
      <c r="K1503" s="228" t="s">
        <v>5157</v>
      </c>
      <c r="L1503" s="18" t="s">
        <v>5158</v>
      </c>
      <c r="M1503" s="18" t="s">
        <v>5159</v>
      </c>
      <c r="N1503" s="16">
        <v>0</v>
      </c>
      <c r="O1503" s="16">
        <v>0</v>
      </c>
      <c r="P1503" s="16">
        <v>1</v>
      </c>
      <c r="Q1503" s="16">
        <v>0</v>
      </c>
      <c r="R1503" s="16">
        <v>0</v>
      </c>
      <c r="S1503" s="16">
        <v>0</v>
      </c>
      <c r="T1503" s="283" t="s">
        <v>265</v>
      </c>
      <c r="U1503" s="283" t="s">
        <v>350</v>
      </c>
      <c r="V1503" s="18" t="s">
        <v>5160</v>
      </c>
      <c r="W1503" s="18">
        <v>1</v>
      </c>
      <c r="X1503" s="18">
        <v>1</v>
      </c>
      <c r="Y1503" s="18">
        <v>1</v>
      </c>
      <c r="Z1503" s="18">
        <v>1</v>
      </c>
      <c r="AA1503" s="18">
        <v>0</v>
      </c>
      <c r="AB1503" s="18">
        <v>1</v>
      </c>
      <c r="AC1503" s="316">
        <v>1</v>
      </c>
      <c r="AD1503" s="316">
        <v>0</v>
      </c>
      <c r="AE1503" s="302">
        <f t="shared" si="97"/>
        <v>0.75</v>
      </c>
      <c r="AF1503" s="176"/>
      <c r="AG1503" s="17">
        <v>0</v>
      </c>
      <c r="AH1503" s="176">
        <v>0</v>
      </c>
      <c r="AI1503" s="176">
        <v>0</v>
      </c>
      <c r="AJ1503" s="176">
        <v>0</v>
      </c>
      <c r="AK1503" s="177">
        <v>0</v>
      </c>
      <c r="AL1503" s="177">
        <v>0</v>
      </c>
      <c r="AM1503" s="17">
        <f t="shared" si="96"/>
        <v>0</v>
      </c>
      <c r="AN1503" s="18" t="s">
        <v>265</v>
      </c>
      <c r="AO1503" s="18" t="s">
        <v>350</v>
      </c>
      <c r="AP1503" s="228" t="s">
        <v>119</v>
      </c>
    </row>
    <row r="1504" spans="1:43" s="18" customFormat="1" x14ac:dyDescent="0.3">
      <c r="A1504" s="228" t="s">
        <v>1451</v>
      </c>
      <c r="B1504" s="18" t="s">
        <v>4838</v>
      </c>
      <c r="C1504" s="228" t="s">
        <v>5114</v>
      </c>
      <c r="D1504" s="18" t="s">
        <v>5115</v>
      </c>
      <c r="E1504" s="228" t="s">
        <v>5116</v>
      </c>
      <c r="F1504" s="18" t="s">
        <v>5117</v>
      </c>
      <c r="G1504" s="228" t="s">
        <v>5118</v>
      </c>
      <c r="H1504" s="18" t="s">
        <v>5119</v>
      </c>
      <c r="I1504" s="228" t="s">
        <v>5155</v>
      </c>
      <c r="J1504" s="18" t="s">
        <v>5156</v>
      </c>
      <c r="K1504" s="228" t="s">
        <v>5157</v>
      </c>
      <c r="L1504" s="18" t="s">
        <v>5158</v>
      </c>
      <c r="M1504" s="18" t="s">
        <v>5161</v>
      </c>
      <c r="N1504" s="16">
        <v>0</v>
      </c>
      <c r="O1504" s="16">
        <v>0</v>
      </c>
      <c r="P1504" s="16">
        <v>1</v>
      </c>
      <c r="Q1504" s="16">
        <v>0</v>
      </c>
      <c r="R1504" s="16">
        <v>0</v>
      </c>
      <c r="S1504" s="16">
        <v>0</v>
      </c>
      <c r="T1504" s="18" t="s">
        <v>869</v>
      </c>
      <c r="U1504" s="283" t="s">
        <v>871</v>
      </c>
      <c r="V1504" s="18" t="s">
        <v>5162</v>
      </c>
      <c r="W1504" s="18">
        <v>1</v>
      </c>
      <c r="X1504" s="18">
        <v>1</v>
      </c>
      <c r="Y1504" s="18">
        <v>1</v>
      </c>
      <c r="Z1504" s="18">
        <v>1</v>
      </c>
      <c r="AA1504" s="18">
        <v>1</v>
      </c>
      <c r="AB1504" s="18">
        <v>1</v>
      </c>
      <c r="AC1504" s="316">
        <v>1</v>
      </c>
      <c r="AD1504" s="316">
        <v>1</v>
      </c>
      <c r="AE1504" s="302">
        <f t="shared" si="97"/>
        <v>1</v>
      </c>
      <c r="AF1504" s="176"/>
      <c r="AG1504" s="17">
        <v>0</v>
      </c>
      <c r="AH1504" s="176">
        <v>0</v>
      </c>
      <c r="AI1504" s="176">
        <v>0</v>
      </c>
      <c r="AJ1504" s="176">
        <v>0</v>
      </c>
      <c r="AK1504" s="177">
        <v>0</v>
      </c>
      <c r="AL1504" s="177">
        <v>0</v>
      </c>
      <c r="AM1504" s="17">
        <f t="shared" si="96"/>
        <v>0</v>
      </c>
      <c r="AN1504" s="18" t="s">
        <v>5146</v>
      </c>
      <c r="AO1504" s="18" t="s">
        <v>880</v>
      </c>
      <c r="AP1504" s="18" t="s">
        <v>869</v>
      </c>
    </row>
    <row r="1505" spans="1:43" s="18" customFormat="1" x14ac:dyDescent="0.3">
      <c r="A1505" s="228" t="s">
        <v>1451</v>
      </c>
      <c r="B1505" s="18" t="s">
        <v>4838</v>
      </c>
      <c r="C1505" s="228" t="s">
        <v>5114</v>
      </c>
      <c r="D1505" s="18" t="s">
        <v>5115</v>
      </c>
      <c r="E1505" s="228" t="s">
        <v>5116</v>
      </c>
      <c r="F1505" s="18" t="s">
        <v>5117</v>
      </c>
      <c r="G1505" s="228" t="s">
        <v>5118</v>
      </c>
      <c r="H1505" s="18" t="s">
        <v>5119</v>
      </c>
      <c r="I1505" s="228" t="s">
        <v>5163</v>
      </c>
      <c r="J1505" s="18" t="s">
        <v>5164</v>
      </c>
      <c r="K1505" s="228" t="s">
        <v>5165</v>
      </c>
      <c r="L1505" s="18" t="s">
        <v>5166</v>
      </c>
      <c r="M1505" s="18" t="s">
        <v>5167</v>
      </c>
      <c r="N1505" s="16"/>
      <c r="O1505" s="16" t="s">
        <v>5168</v>
      </c>
      <c r="P1505" s="16">
        <v>20</v>
      </c>
      <c r="Q1505" s="16" t="s">
        <v>5168</v>
      </c>
      <c r="R1505" s="16" t="s">
        <v>5168</v>
      </c>
      <c r="S1505" s="16" t="s">
        <v>5168</v>
      </c>
      <c r="T1505" s="283" t="s">
        <v>265</v>
      </c>
      <c r="U1505" s="283" t="s">
        <v>350</v>
      </c>
      <c r="V1505" s="18" t="s">
        <v>5169</v>
      </c>
      <c r="W1505" s="18">
        <v>1</v>
      </c>
      <c r="X1505" s="18">
        <v>1</v>
      </c>
      <c r="Y1505" s="18">
        <v>0</v>
      </c>
      <c r="Z1505" s="18">
        <v>1</v>
      </c>
      <c r="AA1505" s="18">
        <v>1</v>
      </c>
      <c r="AB1505" s="18">
        <v>1</v>
      </c>
      <c r="AC1505" s="316">
        <v>0</v>
      </c>
      <c r="AD1505" s="316">
        <v>1</v>
      </c>
      <c r="AE1505" s="302">
        <f t="shared" si="97"/>
        <v>0.75</v>
      </c>
      <c r="AF1505" s="176"/>
      <c r="AG1505" s="17">
        <v>0</v>
      </c>
      <c r="AH1505" s="176">
        <v>0.95</v>
      </c>
      <c r="AI1505" s="239">
        <v>0.95</v>
      </c>
      <c r="AJ1505" s="239">
        <v>0.95</v>
      </c>
      <c r="AK1505" s="177">
        <v>0</v>
      </c>
      <c r="AL1505" s="238">
        <v>0</v>
      </c>
      <c r="AM1505" s="17">
        <f t="shared" si="96"/>
        <v>0</v>
      </c>
      <c r="AN1505" s="157" t="s">
        <v>265</v>
      </c>
      <c r="AO1505" s="157" t="s">
        <v>350</v>
      </c>
      <c r="AP1505" s="240" t="s">
        <v>5170</v>
      </c>
      <c r="AQ1505" s="157"/>
    </row>
    <row r="1506" spans="1:43" s="18" customFormat="1" x14ac:dyDescent="0.3">
      <c r="A1506" s="228" t="s">
        <v>1451</v>
      </c>
      <c r="B1506" s="18" t="s">
        <v>4838</v>
      </c>
      <c r="C1506" s="228" t="s">
        <v>5114</v>
      </c>
      <c r="D1506" s="18" t="s">
        <v>5115</v>
      </c>
      <c r="E1506" s="228" t="s">
        <v>5116</v>
      </c>
      <c r="F1506" s="18" t="s">
        <v>5117</v>
      </c>
      <c r="G1506" s="228" t="s">
        <v>5118</v>
      </c>
      <c r="H1506" s="18" t="s">
        <v>5119</v>
      </c>
      <c r="I1506" s="228" t="s">
        <v>5163</v>
      </c>
      <c r="J1506" s="18" t="s">
        <v>5164</v>
      </c>
      <c r="K1506" s="228" t="s">
        <v>5165</v>
      </c>
      <c r="L1506" s="18" t="s">
        <v>5166</v>
      </c>
      <c r="M1506" s="18" t="s">
        <v>5171</v>
      </c>
      <c r="N1506" s="16">
        <v>30</v>
      </c>
      <c r="O1506" s="16">
        <v>200</v>
      </c>
      <c r="P1506" s="16">
        <v>400</v>
      </c>
      <c r="Q1506" s="16">
        <v>600</v>
      </c>
      <c r="R1506" s="16">
        <v>800</v>
      </c>
      <c r="S1506" s="16">
        <v>1000</v>
      </c>
      <c r="T1506" s="283" t="s">
        <v>265</v>
      </c>
      <c r="U1506" s="283" t="s">
        <v>350</v>
      </c>
      <c r="V1506" s="18" t="s">
        <v>5172</v>
      </c>
      <c r="W1506" s="18">
        <v>1</v>
      </c>
      <c r="X1506" s="18">
        <v>1</v>
      </c>
      <c r="Y1506" s="18">
        <v>1</v>
      </c>
      <c r="Z1506" s="18">
        <v>1</v>
      </c>
      <c r="AA1506" s="18">
        <v>1</v>
      </c>
      <c r="AB1506" s="18">
        <v>1</v>
      </c>
      <c r="AC1506" s="316">
        <v>1</v>
      </c>
      <c r="AD1506" s="316">
        <v>0</v>
      </c>
      <c r="AE1506" s="302">
        <f t="shared" si="97"/>
        <v>0.875</v>
      </c>
      <c r="AF1506" s="176"/>
      <c r="AG1506" s="17">
        <v>0</v>
      </c>
      <c r="AH1506" s="176" t="s">
        <v>2526</v>
      </c>
      <c r="AI1506" s="239">
        <v>4</v>
      </c>
      <c r="AJ1506" s="239">
        <v>4</v>
      </c>
      <c r="AK1506" s="237">
        <v>2</v>
      </c>
      <c r="AL1506" s="237">
        <v>2</v>
      </c>
      <c r="AM1506" s="17">
        <f t="shared" si="96"/>
        <v>4</v>
      </c>
      <c r="AN1506" s="157" t="s">
        <v>1446</v>
      </c>
      <c r="AO1506" s="157" t="s">
        <v>3715</v>
      </c>
      <c r="AP1506" s="157" t="s">
        <v>3534</v>
      </c>
      <c r="AQ1506" s="157"/>
    </row>
    <row r="1507" spans="1:43" s="18" customFormat="1" x14ac:dyDescent="0.3">
      <c r="A1507" s="228" t="s">
        <v>1451</v>
      </c>
      <c r="B1507" s="18" t="s">
        <v>4838</v>
      </c>
      <c r="C1507" s="228" t="s">
        <v>5114</v>
      </c>
      <c r="D1507" s="18" t="s">
        <v>5115</v>
      </c>
      <c r="E1507" s="228" t="s">
        <v>5116</v>
      </c>
      <c r="F1507" s="18" t="s">
        <v>5117</v>
      </c>
      <c r="G1507" s="228" t="s">
        <v>5118</v>
      </c>
      <c r="H1507" s="18" t="s">
        <v>5119</v>
      </c>
      <c r="I1507" s="228" t="s">
        <v>5163</v>
      </c>
      <c r="J1507" s="18" t="s">
        <v>5164</v>
      </c>
      <c r="K1507" s="228" t="s">
        <v>5165</v>
      </c>
      <c r="L1507" s="18" t="s">
        <v>5166</v>
      </c>
      <c r="M1507" s="18" t="s">
        <v>5173</v>
      </c>
      <c r="N1507" s="16">
        <v>10</v>
      </c>
      <c r="O1507" s="16">
        <v>0.1</v>
      </c>
      <c r="P1507" s="16">
        <v>0.15</v>
      </c>
      <c r="Q1507" s="16">
        <v>0.2</v>
      </c>
      <c r="R1507" s="16">
        <v>0.22</v>
      </c>
      <c r="S1507" s="16">
        <v>0.28000000000000003</v>
      </c>
      <c r="T1507" s="18" t="s">
        <v>1446</v>
      </c>
      <c r="U1507" s="283" t="s">
        <v>3715</v>
      </c>
      <c r="V1507" s="18" t="s">
        <v>5174</v>
      </c>
      <c r="W1507" s="18">
        <v>1</v>
      </c>
      <c r="X1507" s="18">
        <v>1</v>
      </c>
      <c r="Y1507" s="18">
        <v>0</v>
      </c>
      <c r="Z1507" s="18">
        <v>1</v>
      </c>
      <c r="AA1507" s="18">
        <v>0</v>
      </c>
      <c r="AB1507" s="18">
        <v>1</v>
      </c>
      <c r="AC1507" s="316">
        <v>1</v>
      </c>
      <c r="AD1507" s="316">
        <v>1</v>
      </c>
      <c r="AE1507" s="302">
        <f t="shared" si="97"/>
        <v>0.75</v>
      </c>
      <c r="AF1507" s="176"/>
      <c r="AG1507" s="17">
        <v>0</v>
      </c>
      <c r="AH1507" s="176" t="s">
        <v>2526</v>
      </c>
      <c r="AI1507" s="239" t="s">
        <v>2526</v>
      </c>
      <c r="AJ1507" s="239" t="s">
        <v>2526</v>
      </c>
      <c r="AK1507" s="238" t="s">
        <v>2526</v>
      </c>
      <c r="AL1507" s="238" t="s">
        <v>2526</v>
      </c>
      <c r="AM1507" s="17">
        <f t="shared" si="96"/>
        <v>0</v>
      </c>
      <c r="AN1507" s="157" t="s">
        <v>5175</v>
      </c>
      <c r="AO1507" s="157" t="s">
        <v>880</v>
      </c>
      <c r="AP1507" s="240" t="s">
        <v>119</v>
      </c>
      <c r="AQ1507" s="157"/>
    </row>
    <row r="1508" spans="1:43" s="18" customFormat="1" x14ac:dyDescent="0.3">
      <c r="A1508" s="228" t="s">
        <v>1451</v>
      </c>
      <c r="B1508" s="18" t="s">
        <v>4838</v>
      </c>
      <c r="C1508" s="228" t="s">
        <v>5114</v>
      </c>
      <c r="D1508" s="18" t="s">
        <v>5115</v>
      </c>
      <c r="E1508" s="228" t="s">
        <v>5116</v>
      </c>
      <c r="F1508" s="18" t="s">
        <v>5117</v>
      </c>
      <c r="G1508" s="228" t="s">
        <v>5118</v>
      </c>
      <c r="H1508" s="18" t="s">
        <v>5119</v>
      </c>
      <c r="I1508" s="228" t="s">
        <v>5163</v>
      </c>
      <c r="J1508" s="18" t="s">
        <v>5164</v>
      </c>
      <c r="K1508" s="228" t="s">
        <v>5165</v>
      </c>
      <c r="L1508" s="18" t="s">
        <v>5166</v>
      </c>
      <c r="M1508" s="18" t="s">
        <v>5176</v>
      </c>
      <c r="N1508" s="16">
        <v>5</v>
      </c>
      <c r="O1508" s="16">
        <v>10</v>
      </c>
      <c r="P1508" s="16">
        <v>10</v>
      </c>
      <c r="Q1508" s="16">
        <v>10</v>
      </c>
      <c r="R1508" s="16">
        <v>10</v>
      </c>
      <c r="S1508" s="16">
        <v>10</v>
      </c>
      <c r="T1508" s="18" t="s">
        <v>1446</v>
      </c>
      <c r="U1508" s="283" t="s">
        <v>3715</v>
      </c>
      <c r="V1508" s="18" t="s">
        <v>5177</v>
      </c>
      <c r="W1508" s="18">
        <v>1</v>
      </c>
      <c r="X1508" s="18">
        <v>1</v>
      </c>
      <c r="Y1508" s="18">
        <v>0</v>
      </c>
      <c r="Z1508" s="18">
        <v>1</v>
      </c>
      <c r="AA1508" s="18">
        <v>1</v>
      </c>
      <c r="AB1508" s="18">
        <v>1</v>
      </c>
      <c r="AC1508" s="316">
        <v>1</v>
      </c>
      <c r="AD1508" s="316">
        <v>1</v>
      </c>
      <c r="AE1508" s="302">
        <f t="shared" si="97"/>
        <v>0.875</v>
      </c>
      <c r="AF1508" s="176"/>
      <c r="AG1508" s="17">
        <v>0</v>
      </c>
      <c r="AH1508" s="176" t="s">
        <v>2526</v>
      </c>
      <c r="AI1508" s="239">
        <v>0.3</v>
      </c>
      <c r="AJ1508" s="239">
        <v>0.3</v>
      </c>
      <c r="AK1508" s="238">
        <v>0.3</v>
      </c>
      <c r="AL1508" s="238">
        <v>0.3</v>
      </c>
      <c r="AM1508" s="17">
        <f t="shared" si="96"/>
        <v>0.6</v>
      </c>
      <c r="AN1508" s="157" t="s">
        <v>265</v>
      </c>
      <c r="AO1508" s="157" t="s">
        <v>350</v>
      </c>
      <c r="AP1508" s="157" t="s">
        <v>5178</v>
      </c>
      <c r="AQ1508" s="157"/>
    </row>
    <row r="1509" spans="1:43" s="18" customFormat="1" x14ac:dyDescent="0.3">
      <c r="A1509" s="228" t="s">
        <v>1451</v>
      </c>
      <c r="B1509" s="18" t="s">
        <v>4838</v>
      </c>
      <c r="C1509" s="228" t="s">
        <v>5114</v>
      </c>
      <c r="D1509" s="18" t="s">
        <v>5115</v>
      </c>
      <c r="E1509" s="228" t="s">
        <v>5116</v>
      </c>
      <c r="F1509" s="18" t="s">
        <v>5117</v>
      </c>
      <c r="G1509" s="228" t="s">
        <v>5118</v>
      </c>
      <c r="H1509" s="18" t="s">
        <v>5119</v>
      </c>
      <c r="I1509" s="228" t="s">
        <v>5163</v>
      </c>
      <c r="J1509" s="18" t="s">
        <v>5164</v>
      </c>
      <c r="K1509" s="228" t="s">
        <v>5165</v>
      </c>
      <c r="L1509" s="18" t="s">
        <v>5166</v>
      </c>
      <c r="N1509" s="16"/>
      <c r="O1509" s="16"/>
      <c r="P1509" s="16"/>
      <c r="Q1509" s="16"/>
      <c r="R1509" s="16"/>
      <c r="S1509" s="16"/>
      <c r="U1509" s="283" t="e">
        <v>#N/A</v>
      </c>
      <c r="V1509" s="18" t="s">
        <v>5179</v>
      </c>
      <c r="W1509" s="18">
        <v>1</v>
      </c>
      <c r="X1509" s="18">
        <v>1</v>
      </c>
      <c r="Y1509" s="18">
        <v>1</v>
      </c>
      <c r="Z1509" s="18">
        <v>1</v>
      </c>
      <c r="AA1509" s="18">
        <v>1</v>
      </c>
      <c r="AB1509" s="18">
        <v>1</v>
      </c>
      <c r="AC1509" s="316">
        <v>1</v>
      </c>
      <c r="AD1509" s="316">
        <v>1</v>
      </c>
      <c r="AE1509" s="302">
        <f t="shared" si="97"/>
        <v>1</v>
      </c>
      <c r="AF1509" s="176"/>
      <c r="AG1509" s="17">
        <v>0</v>
      </c>
      <c r="AH1509" s="176" t="s">
        <v>2526</v>
      </c>
      <c r="AI1509" s="239">
        <v>0.5</v>
      </c>
      <c r="AJ1509" s="239">
        <v>0.5</v>
      </c>
      <c r="AK1509" s="238">
        <v>0.5</v>
      </c>
      <c r="AL1509" s="238">
        <v>0.5</v>
      </c>
      <c r="AM1509" s="17">
        <f t="shared" si="96"/>
        <v>1</v>
      </c>
      <c r="AN1509" s="157" t="s">
        <v>265</v>
      </c>
      <c r="AO1509" s="157" t="s">
        <v>350</v>
      </c>
      <c r="AP1509" s="240" t="s">
        <v>5180</v>
      </c>
      <c r="AQ1509" s="157"/>
    </row>
    <row r="1510" spans="1:43" s="18" customFormat="1" x14ac:dyDescent="0.3">
      <c r="A1510" s="228" t="s">
        <v>1451</v>
      </c>
      <c r="B1510" s="18" t="s">
        <v>4838</v>
      </c>
      <c r="C1510" s="228" t="s">
        <v>5114</v>
      </c>
      <c r="D1510" s="18" t="s">
        <v>5115</v>
      </c>
      <c r="E1510" s="228" t="s">
        <v>5116</v>
      </c>
      <c r="F1510" s="18" t="s">
        <v>5117</v>
      </c>
      <c r="G1510" s="228" t="s">
        <v>5118</v>
      </c>
      <c r="H1510" s="18" t="s">
        <v>5119</v>
      </c>
      <c r="I1510" s="228" t="s">
        <v>5163</v>
      </c>
      <c r="J1510" s="18" t="s">
        <v>5164</v>
      </c>
      <c r="K1510" s="228" t="s">
        <v>5165</v>
      </c>
      <c r="L1510" s="18" t="s">
        <v>5166</v>
      </c>
      <c r="N1510" s="16"/>
      <c r="O1510" s="16"/>
      <c r="P1510" s="16"/>
      <c r="Q1510" s="16"/>
      <c r="R1510" s="16"/>
      <c r="S1510" s="16"/>
      <c r="U1510" s="283" t="e">
        <v>#N/A</v>
      </c>
      <c r="V1510" s="18" t="s">
        <v>5181</v>
      </c>
      <c r="W1510" s="18">
        <v>1</v>
      </c>
      <c r="X1510" s="18">
        <v>1</v>
      </c>
      <c r="Y1510" s="18">
        <v>1</v>
      </c>
      <c r="Z1510" s="18">
        <v>1</v>
      </c>
      <c r="AA1510" s="18">
        <v>1</v>
      </c>
      <c r="AB1510" s="18">
        <v>1</v>
      </c>
      <c r="AC1510" s="316">
        <v>1</v>
      </c>
      <c r="AD1510" s="316">
        <v>1</v>
      </c>
      <c r="AE1510" s="302">
        <f t="shared" si="97"/>
        <v>1</v>
      </c>
      <c r="AF1510" s="176"/>
      <c r="AG1510" s="17">
        <v>0</v>
      </c>
      <c r="AH1510" s="176" t="s">
        <v>2526</v>
      </c>
      <c r="AI1510" s="239">
        <v>0</v>
      </c>
      <c r="AJ1510" s="239">
        <v>0</v>
      </c>
      <c r="AK1510" s="238">
        <v>0</v>
      </c>
      <c r="AL1510" s="238">
        <v>0</v>
      </c>
      <c r="AM1510" s="17">
        <f t="shared" si="96"/>
        <v>0</v>
      </c>
      <c r="AN1510" s="157" t="s">
        <v>265</v>
      </c>
      <c r="AO1510" s="157" t="s">
        <v>350</v>
      </c>
      <c r="AP1510" s="157" t="s">
        <v>119</v>
      </c>
      <c r="AQ1510" s="157"/>
    </row>
    <row r="1511" spans="1:43" s="18" customFormat="1" x14ac:dyDescent="0.3">
      <c r="A1511" s="228" t="s">
        <v>1451</v>
      </c>
      <c r="B1511" s="18" t="s">
        <v>4838</v>
      </c>
      <c r="C1511" s="228" t="s">
        <v>5114</v>
      </c>
      <c r="D1511" s="18" t="s">
        <v>5115</v>
      </c>
      <c r="E1511" s="228" t="s">
        <v>5116</v>
      </c>
      <c r="F1511" s="18" t="s">
        <v>5117</v>
      </c>
      <c r="G1511" s="228" t="s">
        <v>5118</v>
      </c>
      <c r="H1511" s="18" t="s">
        <v>5119</v>
      </c>
      <c r="I1511" s="228" t="s">
        <v>5163</v>
      </c>
      <c r="J1511" s="18" t="s">
        <v>5164</v>
      </c>
      <c r="K1511" s="228" t="s">
        <v>5165</v>
      </c>
      <c r="L1511" s="18" t="s">
        <v>5166</v>
      </c>
      <c r="N1511" s="16"/>
      <c r="O1511" s="16"/>
      <c r="P1511" s="16"/>
      <c r="Q1511" s="16"/>
      <c r="R1511" s="16"/>
      <c r="S1511" s="16"/>
      <c r="U1511" s="283" t="e">
        <v>#N/A</v>
      </c>
      <c r="V1511" s="18" t="s">
        <v>5182</v>
      </c>
      <c r="W1511" s="18">
        <v>1</v>
      </c>
      <c r="X1511" s="18">
        <v>1</v>
      </c>
      <c r="Y1511" s="18">
        <v>0</v>
      </c>
      <c r="Z1511" s="18">
        <v>1</v>
      </c>
      <c r="AA1511" s="18">
        <v>1</v>
      </c>
      <c r="AB1511" s="18">
        <v>1</v>
      </c>
      <c r="AC1511" s="316">
        <v>1</v>
      </c>
      <c r="AD1511" s="316">
        <v>1</v>
      </c>
      <c r="AE1511" s="302">
        <f t="shared" si="97"/>
        <v>0.875</v>
      </c>
      <c r="AF1511" s="176"/>
      <c r="AG1511" s="17">
        <v>0</v>
      </c>
      <c r="AH1511" s="176" t="s">
        <v>2526</v>
      </c>
      <c r="AI1511" s="239" t="s">
        <v>2526</v>
      </c>
      <c r="AJ1511" s="239" t="s">
        <v>2526</v>
      </c>
      <c r="AK1511" s="238" t="s">
        <v>2526</v>
      </c>
      <c r="AL1511" s="238" t="s">
        <v>2526</v>
      </c>
      <c r="AM1511" s="17">
        <f t="shared" si="96"/>
        <v>0</v>
      </c>
      <c r="AN1511" s="157" t="s">
        <v>265</v>
      </c>
      <c r="AO1511" s="157" t="s">
        <v>350</v>
      </c>
      <c r="AP1511" s="157" t="s">
        <v>119</v>
      </c>
      <c r="AQ1511" s="157"/>
    </row>
    <row r="1512" spans="1:43" s="18" customFormat="1" x14ac:dyDescent="0.3">
      <c r="A1512" s="228" t="s">
        <v>1451</v>
      </c>
      <c r="B1512" s="18" t="s">
        <v>4838</v>
      </c>
      <c r="C1512" s="228" t="s">
        <v>5114</v>
      </c>
      <c r="D1512" s="18" t="s">
        <v>5115</v>
      </c>
      <c r="E1512" s="228" t="s">
        <v>5116</v>
      </c>
      <c r="F1512" s="18" t="s">
        <v>5117</v>
      </c>
      <c r="G1512" s="228" t="s">
        <v>5118</v>
      </c>
      <c r="H1512" s="18" t="s">
        <v>5119</v>
      </c>
      <c r="I1512" s="228" t="s">
        <v>5163</v>
      </c>
      <c r="J1512" s="18" t="s">
        <v>5164</v>
      </c>
      <c r="K1512" s="228" t="s">
        <v>5165</v>
      </c>
      <c r="L1512" s="18" t="s">
        <v>5166</v>
      </c>
      <c r="N1512" s="16"/>
      <c r="O1512" s="16"/>
      <c r="P1512" s="16"/>
      <c r="Q1512" s="16"/>
      <c r="R1512" s="16"/>
      <c r="S1512" s="16"/>
      <c r="U1512" s="283" t="e">
        <v>#N/A</v>
      </c>
      <c r="V1512" s="18" t="s">
        <v>5183</v>
      </c>
      <c r="W1512" s="18">
        <v>1</v>
      </c>
      <c r="X1512" s="18">
        <v>1</v>
      </c>
      <c r="Y1512" s="18">
        <v>0</v>
      </c>
      <c r="Z1512" s="18">
        <v>1</v>
      </c>
      <c r="AA1512" s="18">
        <v>1</v>
      </c>
      <c r="AB1512" s="18">
        <v>1</v>
      </c>
      <c r="AC1512" s="316">
        <v>0</v>
      </c>
      <c r="AD1512" s="316">
        <v>1</v>
      </c>
      <c r="AE1512" s="302">
        <f t="shared" si="97"/>
        <v>0.75</v>
      </c>
      <c r="AF1512" s="176"/>
      <c r="AG1512" s="17">
        <v>0</v>
      </c>
      <c r="AH1512" s="176" t="s">
        <v>2526</v>
      </c>
      <c r="AI1512" s="239">
        <v>0.5</v>
      </c>
      <c r="AJ1512" s="239">
        <v>0.5</v>
      </c>
      <c r="AK1512" s="238">
        <v>0.5</v>
      </c>
      <c r="AL1512" s="238">
        <v>0.5</v>
      </c>
      <c r="AM1512" s="17">
        <f t="shared" si="96"/>
        <v>1</v>
      </c>
      <c r="AN1512" s="157" t="s">
        <v>1446</v>
      </c>
      <c r="AO1512" s="157" t="s">
        <v>3715</v>
      </c>
      <c r="AP1512" s="157" t="s">
        <v>1083</v>
      </c>
      <c r="AQ1512" s="157"/>
    </row>
    <row r="1513" spans="1:43" s="18" customFormat="1" x14ac:dyDescent="0.3">
      <c r="A1513" s="228" t="s">
        <v>1451</v>
      </c>
      <c r="B1513" s="18" t="s">
        <v>4838</v>
      </c>
      <c r="C1513" s="228" t="s">
        <v>5114</v>
      </c>
      <c r="D1513" s="18" t="s">
        <v>5115</v>
      </c>
      <c r="E1513" s="228" t="s">
        <v>5116</v>
      </c>
      <c r="F1513" s="18" t="s">
        <v>5117</v>
      </c>
      <c r="G1513" s="228" t="s">
        <v>5118</v>
      </c>
      <c r="H1513" s="18" t="s">
        <v>5119</v>
      </c>
      <c r="I1513" s="228" t="s">
        <v>5163</v>
      </c>
      <c r="J1513" s="18" t="s">
        <v>5164</v>
      </c>
      <c r="K1513" s="228" t="s">
        <v>5165</v>
      </c>
      <c r="L1513" s="18" t="s">
        <v>5166</v>
      </c>
      <c r="N1513" s="16"/>
      <c r="O1513" s="16"/>
      <c r="P1513" s="16"/>
      <c r="Q1513" s="16"/>
      <c r="R1513" s="16"/>
      <c r="S1513" s="16"/>
      <c r="U1513" s="283" t="e">
        <v>#N/A</v>
      </c>
      <c r="V1513" s="18" t="s">
        <v>5184</v>
      </c>
      <c r="W1513" s="18">
        <v>1</v>
      </c>
      <c r="X1513" s="18">
        <v>1</v>
      </c>
      <c r="Y1513" s="18">
        <v>0</v>
      </c>
      <c r="Z1513" s="18">
        <v>1</v>
      </c>
      <c r="AA1513" s="18">
        <v>1</v>
      </c>
      <c r="AB1513" s="18">
        <v>1</v>
      </c>
      <c r="AC1513" s="316">
        <v>1</v>
      </c>
      <c r="AD1513" s="316">
        <v>1</v>
      </c>
      <c r="AE1513" s="302">
        <f t="shared" si="97"/>
        <v>0.875</v>
      </c>
      <c r="AF1513" s="176"/>
      <c r="AG1513" s="17">
        <v>0</v>
      </c>
      <c r="AH1513" s="176">
        <v>0</v>
      </c>
      <c r="AI1513" s="239">
        <v>2.2000000000000002</v>
      </c>
      <c r="AJ1513" s="239">
        <v>2.2000000000000002</v>
      </c>
      <c r="AK1513" s="237">
        <v>1.8</v>
      </c>
      <c r="AL1513" s="238">
        <v>2.2000000000000002</v>
      </c>
      <c r="AM1513" s="17">
        <f t="shared" si="96"/>
        <v>4</v>
      </c>
      <c r="AN1513" s="157" t="s">
        <v>1446</v>
      </c>
      <c r="AO1513" s="157" t="s">
        <v>3715</v>
      </c>
      <c r="AP1513" s="157" t="s">
        <v>5185</v>
      </c>
      <c r="AQ1513" s="157"/>
    </row>
    <row r="1514" spans="1:43" s="18" customFormat="1" hidden="1" x14ac:dyDescent="0.3">
      <c r="A1514" s="228" t="s">
        <v>1451</v>
      </c>
      <c r="B1514" s="18" t="s">
        <v>4838</v>
      </c>
      <c r="C1514" s="228" t="s">
        <v>5114</v>
      </c>
      <c r="D1514" s="18" t="s">
        <v>5115</v>
      </c>
      <c r="E1514" s="228" t="s">
        <v>5116</v>
      </c>
      <c r="F1514" s="18" t="s">
        <v>5117</v>
      </c>
      <c r="G1514" s="228" t="s">
        <v>5118</v>
      </c>
      <c r="H1514" s="18" t="s">
        <v>5119</v>
      </c>
      <c r="I1514" s="228" t="s">
        <v>5186</v>
      </c>
      <c r="J1514" s="18" t="s">
        <v>5187</v>
      </c>
      <c r="K1514" s="228" t="s">
        <v>5188</v>
      </c>
      <c r="L1514" s="18" t="s">
        <v>5189</v>
      </c>
      <c r="M1514" s="18" t="s">
        <v>5190</v>
      </c>
      <c r="N1514" s="16">
        <v>0</v>
      </c>
      <c r="O1514" s="16">
        <v>50</v>
      </c>
      <c r="P1514" s="16">
        <v>60</v>
      </c>
      <c r="Q1514" s="16">
        <v>70</v>
      </c>
      <c r="R1514" s="16">
        <v>80</v>
      </c>
      <c r="S1514" s="16">
        <v>80</v>
      </c>
      <c r="T1514" s="283" t="s">
        <v>265</v>
      </c>
      <c r="U1514" s="283" t="s">
        <v>350</v>
      </c>
      <c r="V1514" s="18" t="s">
        <v>5191</v>
      </c>
      <c r="W1514" s="18">
        <v>0</v>
      </c>
      <c r="X1514" s="18">
        <v>0</v>
      </c>
      <c r="Y1514" s="18">
        <v>0</v>
      </c>
      <c r="Z1514" s="18">
        <v>0</v>
      </c>
      <c r="AA1514" s="18">
        <v>0</v>
      </c>
      <c r="AB1514" s="18">
        <v>0</v>
      </c>
      <c r="AC1514" s="316">
        <v>0</v>
      </c>
      <c r="AD1514" s="316">
        <v>0</v>
      </c>
      <c r="AE1514" s="302">
        <f t="shared" si="97"/>
        <v>0</v>
      </c>
      <c r="AF1514" s="176">
        <v>0</v>
      </c>
      <c r="AG1514" s="17">
        <v>0</v>
      </c>
      <c r="AH1514" s="176">
        <v>0</v>
      </c>
      <c r="AI1514" s="239">
        <v>0</v>
      </c>
      <c r="AJ1514" s="239">
        <v>0</v>
      </c>
      <c r="AK1514" s="238">
        <v>0</v>
      </c>
      <c r="AL1514" s="238">
        <v>0</v>
      </c>
      <c r="AM1514" s="17">
        <f t="shared" si="96"/>
        <v>0</v>
      </c>
      <c r="AN1514" s="157" t="s">
        <v>265</v>
      </c>
      <c r="AO1514" s="157" t="s">
        <v>350</v>
      </c>
      <c r="AP1514" s="157" t="s">
        <v>119</v>
      </c>
      <c r="AQ1514" s="157"/>
    </row>
    <row r="1515" spans="1:43" s="18" customFormat="1" x14ac:dyDescent="0.3">
      <c r="A1515" s="228" t="s">
        <v>1451</v>
      </c>
      <c r="B1515" s="18" t="s">
        <v>4838</v>
      </c>
      <c r="C1515" s="228" t="s">
        <v>5114</v>
      </c>
      <c r="D1515" s="18" t="s">
        <v>5115</v>
      </c>
      <c r="E1515" s="228" t="s">
        <v>5116</v>
      </c>
      <c r="F1515" s="18" t="s">
        <v>5117</v>
      </c>
      <c r="G1515" s="228" t="s">
        <v>5118</v>
      </c>
      <c r="H1515" s="18" t="s">
        <v>5119</v>
      </c>
      <c r="I1515" s="228" t="s">
        <v>5186</v>
      </c>
      <c r="J1515" s="18" t="s">
        <v>5187</v>
      </c>
      <c r="K1515" s="228" t="s">
        <v>5188</v>
      </c>
      <c r="L1515" s="18" t="s">
        <v>5189</v>
      </c>
      <c r="M1515" s="18" t="s">
        <v>5192</v>
      </c>
      <c r="N1515" s="16">
        <v>50</v>
      </c>
      <c r="O1515" s="16">
        <v>100</v>
      </c>
      <c r="P1515" s="16">
        <v>125</v>
      </c>
      <c r="Q1515" s="16">
        <v>150</v>
      </c>
      <c r="R1515" s="16">
        <v>175</v>
      </c>
      <c r="S1515" s="16">
        <v>200</v>
      </c>
      <c r="T1515" s="18" t="s">
        <v>869</v>
      </c>
      <c r="U1515" s="283" t="s">
        <v>871</v>
      </c>
      <c r="V1515" s="18" t="s">
        <v>5193</v>
      </c>
      <c r="W1515" s="18">
        <v>1</v>
      </c>
      <c r="X1515" s="18">
        <v>1</v>
      </c>
      <c r="Y1515" s="18">
        <v>0</v>
      </c>
      <c r="Z1515" s="18">
        <v>1</v>
      </c>
      <c r="AA1515" s="18">
        <v>1</v>
      </c>
      <c r="AB1515" s="18">
        <v>1</v>
      </c>
      <c r="AC1515" s="316">
        <v>0</v>
      </c>
      <c r="AD1515" s="316">
        <v>1</v>
      </c>
      <c r="AE1515" s="302">
        <f t="shared" si="97"/>
        <v>0.75</v>
      </c>
      <c r="AF1515" s="176">
        <v>0</v>
      </c>
      <c r="AG1515" s="17">
        <v>0</v>
      </c>
      <c r="AH1515" s="176" t="s">
        <v>2526</v>
      </c>
      <c r="AI1515" s="176">
        <v>5</v>
      </c>
      <c r="AJ1515" s="234">
        <v>5</v>
      </c>
      <c r="AK1515" s="250">
        <v>2.5</v>
      </c>
      <c r="AL1515" s="235">
        <v>5</v>
      </c>
      <c r="AM1515" s="17">
        <f t="shared" si="96"/>
        <v>7.5</v>
      </c>
      <c r="AN1515" s="236" t="s">
        <v>265</v>
      </c>
      <c r="AO1515" s="236" t="s">
        <v>350</v>
      </c>
      <c r="AP1515" s="18" t="s">
        <v>5194</v>
      </c>
    </row>
    <row r="1516" spans="1:43" s="18" customFormat="1" x14ac:dyDescent="0.3">
      <c r="A1516" s="228" t="s">
        <v>1451</v>
      </c>
      <c r="B1516" s="18" t="s">
        <v>4838</v>
      </c>
      <c r="C1516" s="228" t="s">
        <v>5114</v>
      </c>
      <c r="D1516" s="18" t="s">
        <v>5115</v>
      </c>
      <c r="E1516" s="228" t="s">
        <v>5116</v>
      </c>
      <c r="F1516" s="18" t="s">
        <v>5117</v>
      </c>
      <c r="G1516" s="228" t="s">
        <v>5118</v>
      </c>
      <c r="H1516" s="18" t="s">
        <v>5119</v>
      </c>
      <c r="I1516" s="228" t="s">
        <v>5186</v>
      </c>
      <c r="J1516" s="18" t="s">
        <v>5187</v>
      </c>
      <c r="K1516" s="228" t="s">
        <v>5188</v>
      </c>
      <c r="L1516" s="18" t="s">
        <v>5189</v>
      </c>
      <c r="M1516" s="18" t="s">
        <v>5195</v>
      </c>
      <c r="N1516" s="16">
        <v>0</v>
      </c>
      <c r="O1516" s="16">
        <v>15</v>
      </c>
      <c r="P1516" s="16">
        <v>24</v>
      </c>
      <c r="Q1516" s="16">
        <v>27</v>
      </c>
      <c r="R1516" s="16">
        <v>30</v>
      </c>
      <c r="S1516" s="16">
        <v>33</v>
      </c>
      <c r="T1516" s="18" t="s">
        <v>877</v>
      </c>
      <c r="U1516" s="283" t="s">
        <v>880</v>
      </c>
      <c r="V1516" s="18" t="s">
        <v>5196</v>
      </c>
      <c r="W1516" s="18">
        <v>1</v>
      </c>
      <c r="X1516" s="18">
        <v>1</v>
      </c>
      <c r="Y1516" s="18">
        <v>1</v>
      </c>
      <c r="Z1516" s="18">
        <v>1</v>
      </c>
      <c r="AA1516" s="18">
        <v>1</v>
      </c>
      <c r="AB1516" s="18">
        <v>1</v>
      </c>
      <c r="AC1516" s="316">
        <v>1</v>
      </c>
      <c r="AD1516" s="316">
        <v>1</v>
      </c>
      <c r="AE1516" s="302">
        <f t="shared" si="97"/>
        <v>1</v>
      </c>
      <c r="AF1516" s="176">
        <v>0</v>
      </c>
      <c r="AG1516" s="17">
        <v>0</v>
      </c>
      <c r="AH1516" s="176">
        <v>2</v>
      </c>
      <c r="AI1516" s="239">
        <v>3</v>
      </c>
      <c r="AJ1516" s="239">
        <v>3</v>
      </c>
      <c r="AK1516" s="238">
        <v>3</v>
      </c>
      <c r="AL1516" s="238">
        <v>3</v>
      </c>
      <c r="AM1516" s="17">
        <f t="shared" si="96"/>
        <v>6</v>
      </c>
      <c r="AN1516" s="157" t="s">
        <v>265</v>
      </c>
      <c r="AO1516" s="157" t="s">
        <v>350</v>
      </c>
      <c r="AP1516" s="157" t="s">
        <v>5197</v>
      </c>
      <c r="AQ1516" s="157"/>
    </row>
    <row r="1517" spans="1:43" s="18" customFormat="1" hidden="1" x14ac:dyDescent="0.3">
      <c r="A1517" s="228" t="s">
        <v>1451</v>
      </c>
      <c r="B1517" s="18" t="s">
        <v>4838</v>
      </c>
      <c r="C1517" s="228" t="s">
        <v>5114</v>
      </c>
      <c r="D1517" s="18" t="s">
        <v>5115</v>
      </c>
      <c r="E1517" s="228" t="s">
        <v>5116</v>
      </c>
      <c r="F1517" s="18" t="s">
        <v>5117</v>
      </c>
      <c r="G1517" s="228" t="s">
        <v>5118</v>
      </c>
      <c r="H1517" s="18" t="s">
        <v>5119</v>
      </c>
      <c r="I1517" s="228" t="s">
        <v>5186</v>
      </c>
      <c r="J1517" s="18" t="s">
        <v>5187</v>
      </c>
      <c r="K1517" s="228" t="s">
        <v>5188</v>
      </c>
      <c r="L1517" s="18" t="s">
        <v>5189</v>
      </c>
      <c r="M1517" s="18" t="s">
        <v>5198</v>
      </c>
      <c r="N1517" s="16">
        <v>0</v>
      </c>
      <c r="O1517" s="16">
        <v>50</v>
      </c>
      <c r="P1517" s="16">
        <v>50</v>
      </c>
      <c r="Q1517" s="16">
        <v>50</v>
      </c>
      <c r="R1517" s="16">
        <v>50</v>
      </c>
      <c r="S1517" s="16">
        <v>50</v>
      </c>
      <c r="T1517" s="18" t="s">
        <v>1446</v>
      </c>
      <c r="U1517" s="283" t="s">
        <v>3715</v>
      </c>
      <c r="V1517" s="18" t="s">
        <v>5199</v>
      </c>
      <c r="W1517" s="18">
        <v>0</v>
      </c>
      <c r="X1517" s="18">
        <v>0</v>
      </c>
      <c r="Y1517" s="18">
        <v>0</v>
      </c>
      <c r="Z1517" s="18">
        <v>0</v>
      </c>
      <c r="AA1517" s="18">
        <v>0</v>
      </c>
      <c r="AB1517" s="18">
        <v>0</v>
      </c>
      <c r="AC1517" s="316">
        <v>0</v>
      </c>
      <c r="AD1517" s="316">
        <v>0</v>
      </c>
      <c r="AE1517" s="302">
        <f t="shared" si="97"/>
        <v>0</v>
      </c>
      <c r="AF1517" s="176"/>
      <c r="AG1517" s="17">
        <v>0</v>
      </c>
      <c r="AH1517" s="176" t="s">
        <v>2526</v>
      </c>
      <c r="AI1517" s="176" t="s">
        <v>2526</v>
      </c>
      <c r="AJ1517" s="176" t="s">
        <v>2526</v>
      </c>
      <c r="AK1517" s="177" t="s">
        <v>2526</v>
      </c>
      <c r="AL1517" s="177" t="s">
        <v>2526</v>
      </c>
      <c r="AM1517" s="17">
        <f t="shared" si="96"/>
        <v>0</v>
      </c>
      <c r="AN1517" s="18" t="s">
        <v>265</v>
      </c>
      <c r="AO1517" s="18" t="s">
        <v>350</v>
      </c>
      <c r="AP1517" s="228" t="s">
        <v>119</v>
      </c>
    </row>
    <row r="1518" spans="1:43" s="18" customFormat="1" hidden="1" x14ac:dyDescent="0.3">
      <c r="A1518" s="228" t="s">
        <v>1451</v>
      </c>
      <c r="B1518" s="18" t="s">
        <v>4838</v>
      </c>
      <c r="C1518" s="228" t="s">
        <v>5114</v>
      </c>
      <c r="D1518" s="18" t="s">
        <v>5115</v>
      </c>
      <c r="E1518" s="228" t="s">
        <v>5116</v>
      </c>
      <c r="F1518" s="18" t="s">
        <v>5117</v>
      </c>
      <c r="G1518" s="228" t="s">
        <v>5118</v>
      </c>
      <c r="H1518" s="18" t="s">
        <v>5119</v>
      </c>
      <c r="I1518" s="228" t="s">
        <v>5186</v>
      </c>
      <c r="J1518" s="18" t="s">
        <v>5187</v>
      </c>
      <c r="K1518" s="228" t="s">
        <v>5188</v>
      </c>
      <c r="L1518" s="18" t="s">
        <v>5189</v>
      </c>
      <c r="N1518" s="16"/>
      <c r="O1518" s="16"/>
      <c r="P1518" s="16"/>
      <c r="Q1518" s="16"/>
      <c r="R1518" s="16"/>
      <c r="S1518" s="16"/>
      <c r="U1518" s="283" t="e">
        <v>#N/A</v>
      </c>
      <c r="V1518" s="18" t="s">
        <v>5200</v>
      </c>
      <c r="W1518" s="18">
        <v>0</v>
      </c>
      <c r="X1518" s="18">
        <v>0</v>
      </c>
      <c r="Y1518" s="18">
        <v>0</v>
      </c>
      <c r="Z1518" s="18">
        <v>0</v>
      </c>
      <c r="AA1518" s="18">
        <v>0</v>
      </c>
      <c r="AB1518" s="18">
        <v>0</v>
      </c>
      <c r="AC1518" s="316">
        <v>0</v>
      </c>
      <c r="AD1518" s="316">
        <v>0</v>
      </c>
      <c r="AE1518" s="302">
        <f t="shared" si="97"/>
        <v>0</v>
      </c>
      <c r="AF1518" s="176">
        <v>0</v>
      </c>
      <c r="AG1518" s="17">
        <v>0</v>
      </c>
      <c r="AH1518" s="176" t="s">
        <v>2526</v>
      </c>
      <c r="AI1518" s="239">
        <v>0.3</v>
      </c>
      <c r="AJ1518" s="239">
        <v>0.3</v>
      </c>
      <c r="AK1518" s="241">
        <v>0</v>
      </c>
      <c r="AL1518" s="241">
        <v>0</v>
      </c>
      <c r="AM1518" s="17">
        <f t="shared" si="96"/>
        <v>0</v>
      </c>
      <c r="AN1518" s="157" t="s">
        <v>265</v>
      </c>
      <c r="AO1518" s="157" t="s">
        <v>350</v>
      </c>
      <c r="AP1518" s="157" t="s">
        <v>5201</v>
      </c>
      <c r="AQ1518" s="157"/>
    </row>
    <row r="1519" spans="1:43" s="18" customFormat="1" x14ac:dyDescent="0.3">
      <c r="A1519" s="228" t="s">
        <v>1451</v>
      </c>
      <c r="B1519" s="18" t="s">
        <v>4838</v>
      </c>
      <c r="C1519" s="228" t="s">
        <v>5114</v>
      </c>
      <c r="D1519" s="18" t="s">
        <v>5115</v>
      </c>
      <c r="E1519" s="228" t="s">
        <v>5116</v>
      </c>
      <c r="F1519" s="18" t="s">
        <v>5117</v>
      </c>
      <c r="G1519" s="228" t="s">
        <v>5118</v>
      </c>
      <c r="H1519" s="18" t="s">
        <v>5119</v>
      </c>
      <c r="I1519" s="228" t="s">
        <v>5186</v>
      </c>
      <c r="J1519" s="18" t="s">
        <v>5187</v>
      </c>
      <c r="K1519" s="228" t="s">
        <v>5188</v>
      </c>
      <c r="L1519" s="18" t="s">
        <v>5189</v>
      </c>
      <c r="N1519" s="16"/>
      <c r="O1519" s="16"/>
      <c r="P1519" s="16"/>
      <c r="Q1519" s="16"/>
      <c r="R1519" s="16"/>
      <c r="S1519" s="16"/>
      <c r="U1519" s="283" t="e">
        <v>#N/A</v>
      </c>
      <c r="V1519" s="18" t="s">
        <v>5202</v>
      </c>
      <c r="W1519" s="18">
        <v>1</v>
      </c>
      <c r="X1519" s="18">
        <v>1</v>
      </c>
      <c r="Y1519" s="18">
        <v>1</v>
      </c>
      <c r="Z1519" s="18">
        <v>1</v>
      </c>
      <c r="AA1519" s="18">
        <v>1</v>
      </c>
      <c r="AB1519" s="18">
        <v>1</v>
      </c>
      <c r="AC1519" s="316">
        <v>1</v>
      </c>
      <c r="AD1519" s="316">
        <v>1</v>
      </c>
      <c r="AE1519" s="302">
        <f t="shared" si="97"/>
        <v>1</v>
      </c>
      <c r="AF1519" s="176">
        <v>0</v>
      </c>
      <c r="AG1519" s="17">
        <v>0</v>
      </c>
      <c r="AH1519" s="176" t="s">
        <v>2526</v>
      </c>
      <c r="AI1519" s="239">
        <v>0.3</v>
      </c>
      <c r="AJ1519" s="239">
        <v>0.2</v>
      </c>
      <c r="AK1519" s="238">
        <v>0.2</v>
      </c>
      <c r="AL1519" s="238">
        <v>0.2</v>
      </c>
      <c r="AM1519" s="17">
        <f t="shared" si="96"/>
        <v>0.4</v>
      </c>
      <c r="AN1519" s="157" t="s">
        <v>265</v>
      </c>
      <c r="AO1519" s="157" t="s">
        <v>350</v>
      </c>
      <c r="AP1519" s="157" t="s">
        <v>5203</v>
      </c>
      <c r="AQ1519" s="157"/>
    </row>
    <row r="1520" spans="1:43" s="18" customFormat="1" x14ac:dyDescent="0.3">
      <c r="A1520" s="228" t="s">
        <v>1451</v>
      </c>
      <c r="B1520" s="18" t="s">
        <v>4838</v>
      </c>
      <c r="C1520" s="228" t="s">
        <v>5114</v>
      </c>
      <c r="D1520" s="18" t="s">
        <v>5115</v>
      </c>
      <c r="E1520" s="228" t="s">
        <v>5116</v>
      </c>
      <c r="F1520" s="18" t="s">
        <v>5117</v>
      </c>
      <c r="G1520" s="228" t="s">
        <v>5118</v>
      </c>
      <c r="H1520" s="18" t="s">
        <v>5119</v>
      </c>
      <c r="I1520" s="228" t="s">
        <v>5186</v>
      </c>
      <c r="J1520" s="18" t="s">
        <v>5187</v>
      </c>
      <c r="K1520" s="228" t="s">
        <v>5188</v>
      </c>
      <c r="L1520" s="18" t="s">
        <v>5189</v>
      </c>
      <c r="N1520" s="16"/>
      <c r="O1520" s="16"/>
      <c r="P1520" s="16"/>
      <c r="Q1520" s="16"/>
      <c r="R1520" s="16"/>
      <c r="S1520" s="16"/>
      <c r="U1520" s="283" t="e">
        <v>#N/A</v>
      </c>
      <c r="V1520" s="18" t="s">
        <v>5204</v>
      </c>
      <c r="W1520" s="18">
        <v>1</v>
      </c>
      <c r="X1520" s="18">
        <v>1</v>
      </c>
      <c r="Y1520" s="18">
        <v>1</v>
      </c>
      <c r="Z1520" s="18">
        <v>1</v>
      </c>
      <c r="AA1520" s="18">
        <v>1</v>
      </c>
      <c r="AB1520" s="18">
        <v>1</v>
      </c>
      <c r="AC1520" s="316">
        <v>1</v>
      </c>
      <c r="AD1520" s="316">
        <v>1</v>
      </c>
      <c r="AE1520" s="302">
        <f t="shared" si="97"/>
        <v>1</v>
      </c>
      <c r="AF1520" s="176">
        <v>0</v>
      </c>
      <c r="AG1520" s="17">
        <v>0</v>
      </c>
      <c r="AH1520" s="176" t="s">
        <v>2526</v>
      </c>
      <c r="AI1520" s="239">
        <v>0.42</v>
      </c>
      <c r="AJ1520" s="239">
        <v>0.44</v>
      </c>
      <c r="AK1520" s="238">
        <v>0.48</v>
      </c>
      <c r="AL1520" s="238">
        <v>0.48</v>
      </c>
      <c r="AM1520" s="17">
        <f t="shared" si="96"/>
        <v>0.96</v>
      </c>
      <c r="AN1520" s="157" t="s">
        <v>879</v>
      </c>
      <c r="AO1520" s="157" t="s">
        <v>880</v>
      </c>
      <c r="AP1520" s="157" t="s">
        <v>5205</v>
      </c>
      <c r="AQ1520" s="157"/>
    </row>
    <row r="1521" spans="1:43" s="18" customFormat="1" hidden="1" x14ac:dyDescent="0.3">
      <c r="A1521" s="228" t="s">
        <v>1451</v>
      </c>
      <c r="B1521" s="18" t="s">
        <v>4838</v>
      </c>
      <c r="C1521" s="228" t="s">
        <v>5114</v>
      </c>
      <c r="D1521" s="18" t="s">
        <v>5115</v>
      </c>
      <c r="E1521" s="228" t="s">
        <v>5116</v>
      </c>
      <c r="F1521" s="18" t="s">
        <v>5117</v>
      </c>
      <c r="G1521" s="228" t="s">
        <v>5118</v>
      </c>
      <c r="H1521" s="18" t="s">
        <v>5119</v>
      </c>
      <c r="I1521" s="228" t="s">
        <v>5186</v>
      </c>
      <c r="J1521" s="18" t="s">
        <v>5187</v>
      </c>
      <c r="K1521" s="228" t="s">
        <v>5188</v>
      </c>
      <c r="L1521" s="18" t="s">
        <v>5189</v>
      </c>
      <c r="N1521" s="16"/>
      <c r="O1521" s="16"/>
      <c r="P1521" s="16"/>
      <c r="Q1521" s="16"/>
      <c r="R1521" s="16"/>
      <c r="S1521" s="16"/>
      <c r="U1521" s="283" t="e">
        <v>#N/A</v>
      </c>
      <c r="V1521" s="18" t="s">
        <v>5206</v>
      </c>
      <c r="W1521" s="18">
        <v>0</v>
      </c>
      <c r="X1521" s="18">
        <v>0</v>
      </c>
      <c r="Y1521" s="18">
        <v>0</v>
      </c>
      <c r="Z1521" s="18">
        <v>0</v>
      </c>
      <c r="AA1521" s="18">
        <v>0</v>
      </c>
      <c r="AB1521" s="18">
        <v>0</v>
      </c>
      <c r="AC1521" s="316">
        <v>0</v>
      </c>
      <c r="AD1521" s="316">
        <v>0</v>
      </c>
      <c r="AE1521" s="302">
        <f t="shared" si="97"/>
        <v>0</v>
      </c>
      <c r="AF1521" s="176">
        <v>0</v>
      </c>
      <c r="AG1521" s="17">
        <v>0</v>
      </c>
      <c r="AH1521" s="176" t="s">
        <v>2526</v>
      </c>
      <c r="AI1521" s="239">
        <v>7.0000000000000007E-2</v>
      </c>
      <c r="AJ1521" s="239">
        <v>0.08</v>
      </c>
      <c r="AK1521" s="246">
        <v>0</v>
      </c>
      <c r="AL1521" s="246">
        <v>0</v>
      </c>
      <c r="AM1521" s="17">
        <f t="shared" si="96"/>
        <v>0</v>
      </c>
      <c r="AN1521" s="157" t="s">
        <v>879</v>
      </c>
      <c r="AO1521" s="157" t="s">
        <v>880</v>
      </c>
      <c r="AP1521" s="157" t="s">
        <v>5207</v>
      </c>
      <c r="AQ1521" s="157"/>
    </row>
    <row r="1522" spans="1:43" s="18" customFormat="1" hidden="1" x14ac:dyDescent="0.3">
      <c r="A1522" s="228" t="s">
        <v>1451</v>
      </c>
      <c r="B1522" s="18" t="s">
        <v>4838</v>
      </c>
      <c r="C1522" s="228" t="s">
        <v>5114</v>
      </c>
      <c r="D1522" s="18" t="s">
        <v>5115</v>
      </c>
      <c r="E1522" s="228" t="s">
        <v>5116</v>
      </c>
      <c r="F1522" s="18" t="s">
        <v>5117</v>
      </c>
      <c r="G1522" s="228" t="s">
        <v>5118</v>
      </c>
      <c r="H1522" s="18" t="s">
        <v>5119</v>
      </c>
      <c r="I1522" s="228" t="s">
        <v>5186</v>
      </c>
      <c r="J1522" s="18" t="s">
        <v>5187</v>
      </c>
      <c r="K1522" s="228" t="s">
        <v>5188</v>
      </c>
      <c r="L1522" s="18" t="s">
        <v>5189</v>
      </c>
      <c r="N1522" s="16"/>
      <c r="O1522" s="16"/>
      <c r="P1522" s="16"/>
      <c r="Q1522" s="16"/>
      <c r="R1522" s="16"/>
      <c r="S1522" s="16"/>
      <c r="U1522" s="283" t="e">
        <v>#N/A</v>
      </c>
      <c r="V1522" s="18" t="s">
        <v>5208</v>
      </c>
      <c r="X1522" s="18">
        <v>0</v>
      </c>
      <c r="Y1522" s="18">
        <v>0</v>
      </c>
      <c r="Z1522" s="18">
        <v>0</v>
      </c>
      <c r="AA1522" s="18">
        <v>0</v>
      </c>
      <c r="AB1522" s="18">
        <v>0</v>
      </c>
      <c r="AC1522" s="316">
        <v>0</v>
      </c>
      <c r="AD1522" s="316">
        <v>1</v>
      </c>
      <c r="AE1522" s="302">
        <f t="shared" si="97"/>
        <v>0.125</v>
      </c>
      <c r="AF1522" s="176">
        <v>0</v>
      </c>
      <c r="AG1522" s="17">
        <v>0</v>
      </c>
      <c r="AH1522" s="176" t="s">
        <v>2526</v>
      </c>
      <c r="AI1522" s="239">
        <v>0.36</v>
      </c>
      <c r="AJ1522" s="239">
        <v>0.36</v>
      </c>
      <c r="AK1522" s="246">
        <v>0</v>
      </c>
      <c r="AL1522" s="246">
        <v>0</v>
      </c>
      <c r="AM1522" s="17">
        <f t="shared" si="96"/>
        <v>0</v>
      </c>
      <c r="AN1522" s="157" t="s">
        <v>1446</v>
      </c>
      <c r="AO1522" s="157" t="s">
        <v>3715</v>
      </c>
      <c r="AP1522" s="157" t="s">
        <v>5209</v>
      </c>
      <c r="AQ1522" s="157"/>
    </row>
    <row r="1523" spans="1:43" s="18" customFormat="1" x14ac:dyDescent="0.3">
      <c r="A1523" s="228" t="s">
        <v>1451</v>
      </c>
      <c r="B1523" s="18" t="s">
        <v>4838</v>
      </c>
      <c r="C1523" s="228" t="s">
        <v>5114</v>
      </c>
      <c r="D1523" s="18" t="s">
        <v>5115</v>
      </c>
      <c r="E1523" s="228" t="s">
        <v>5116</v>
      </c>
      <c r="F1523" s="18" t="s">
        <v>5117</v>
      </c>
      <c r="G1523" s="228" t="s">
        <v>5118</v>
      </c>
      <c r="H1523" s="18" t="s">
        <v>5119</v>
      </c>
      <c r="I1523" s="228" t="s">
        <v>5210</v>
      </c>
      <c r="J1523" s="18" t="s">
        <v>5211</v>
      </c>
      <c r="K1523" s="228" t="s">
        <v>5212</v>
      </c>
      <c r="L1523" s="18" t="s">
        <v>5213</v>
      </c>
      <c r="M1523" s="18" t="s">
        <v>5214</v>
      </c>
      <c r="N1523" s="16">
        <v>0</v>
      </c>
      <c r="O1523" s="16" t="s">
        <v>3560</v>
      </c>
      <c r="P1523" s="16" t="s">
        <v>5168</v>
      </c>
      <c r="Q1523" s="16" t="s">
        <v>5168</v>
      </c>
      <c r="R1523" s="16" t="s">
        <v>3932</v>
      </c>
      <c r="S1523" s="16" t="s">
        <v>3932</v>
      </c>
      <c r="T1523" s="283" t="s">
        <v>265</v>
      </c>
      <c r="U1523" s="283" t="s">
        <v>350</v>
      </c>
      <c r="V1523" s="18" t="s">
        <v>5215</v>
      </c>
      <c r="X1523" s="18">
        <v>1</v>
      </c>
      <c r="Y1523" s="18">
        <v>1</v>
      </c>
      <c r="Z1523" s="18">
        <v>0</v>
      </c>
      <c r="AA1523" s="18">
        <v>1</v>
      </c>
      <c r="AB1523" s="18">
        <v>1</v>
      </c>
      <c r="AC1523" s="316">
        <v>1</v>
      </c>
      <c r="AD1523" s="316">
        <v>1</v>
      </c>
      <c r="AE1523" s="302">
        <f t="shared" si="97"/>
        <v>0.75</v>
      </c>
      <c r="AF1523" s="176">
        <v>0</v>
      </c>
      <c r="AG1523" s="17">
        <v>0</v>
      </c>
      <c r="AH1523" s="176">
        <v>0.2</v>
      </c>
      <c r="AI1523" s="239">
        <v>0.2</v>
      </c>
      <c r="AJ1523" s="239">
        <v>0.2</v>
      </c>
      <c r="AK1523" s="238">
        <v>0.2</v>
      </c>
      <c r="AL1523" s="177">
        <v>0.2</v>
      </c>
      <c r="AM1523" s="17">
        <f t="shared" si="96"/>
        <v>0.4</v>
      </c>
      <c r="AN1523" s="18" t="s">
        <v>265</v>
      </c>
      <c r="AO1523" s="157" t="s">
        <v>350</v>
      </c>
      <c r="AP1523" s="157" t="s">
        <v>5216</v>
      </c>
      <c r="AQ1523" s="157"/>
    </row>
    <row r="1524" spans="1:43" s="18" customFormat="1" hidden="1" x14ac:dyDescent="0.3">
      <c r="A1524" s="228" t="s">
        <v>1451</v>
      </c>
      <c r="B1524" s="18" t="s">
        <v>4838</v>
      </c>
      <c r="C1524" s="228" t="s">
        <v>5114</v>
      </c>
      <c r="D1524" s="18" t="s">
        <v>5115</v>
      </c>
      <c r="E1524" s="228" t="s">
        <v>5116</v>
      </c>
      <c r="F1524" s="18" t="s">
        <v>5117</v>
      </c>
      <c r="G1524" s="228" t="s">
        <v>5118</v>
      </c>
      <c r="H1524" s="18" t="s">
        <v>5119</v>
      </c>
      <c r="I1524" s="228" t="s">
        <v>5210</v>
      </c>
      <c r="J1524" s="18" t="s">
        <v>5211</v>
      </c>
      <c r="K1524" s="228" t="s">
        <v>5212</v>
      </c>
      <c r="L1524" s="18" t="s">
        <v>5213</v>
      </c>
      <c r="M1524" s="18" t="s">
        <v>5217</v>
      </c>
      <c r="N1524" s="16">
        <v>4</v>
      </c>
      <c r="O1524" s="16">
        <v>2</v>
      </c>
      <c r="P1524" s="16">
        <v>3</v>
      </c>
      <c r="Q1524" s="16">
        <v>3</v>
      </c>
      <c r="R1524" s="16">
        <v>4</v>
      </c>
      <c r="S1524" s="16">
        <v>7</v>
      </c>
      <c r="T1524" s="18" t="s">
        <v>869</v>
      </c>
      <c r="U1524" s="283" t="s">
        <v>871</v>
      </c>
      <c r="V1524" s="18" t="s">
        <v>5218</v>
      </c>
      <c r="X1524" s="18">
        <v>0</v>
      </c>
      <c r="Y1524" s="18">
        <v>0</v>
      </c>
      <c r="Z1524" s="18">
        <v>0</v>
      </c>
      <c r="AA1524" s="18">
        <v>1</v>
      </c>
      <c r="AB1524" s="18">
        <v>0</v>
      </c>
      <c r="AC1524" s="316">
        <v>0</v>
      </c>
      <c r="AD1524" s="316">
        <v>1</v>
      </c>
      <c r="AE1524" s="302">
        <f t="shared" si="97"/>
        <v>0.25</v>
      </c>
      <c r="AF1524" s="176">
        <v>0</v>
      </c>
      <c r="AG1524" s="17">
        <v>0</v>
      </c>
      <c r="AH1524" s="176" t="s">
        <v>2526</v>
      </c>
      <c r="AI1524" s="239" t="s">
        <v>2526</v>
      </c>
      <c r="AJ1524" s="239" t="s">
        <v>2526</v>
      </c>
      <c r="AK1524" s="177" t="s">
        <v>2526</v>
      </c>
      <c r="AL1524" s="177" t="s">
        <v>2526</v>
      </c>
      <c r="AM1524" s="17">
        <f t="shared" si="96"/>
        <v>0</v>
      </c>
      <c r="AN1524" s="18" t="s">
        <v>1446</v>
      </c>
      <c r="AO1524" s="18" t="s">
        <v>3715</v>
      </c>
      <c r="AP1524" s="240" t="s">
        <v>119</v>
      </c>
      <c r="AQ1524" s="157"/>
    </row>
    <row r="1525" spans="1:43" s="18" customFormat="1" hidden="1" x14ac:dyDescent="0.3">
      <c r="A1525" s="228" t="s">
        <v>1451</v>
      </c>
      <c r="B1525" s="18" t="s">
        <v>4838</v>
      </c>
      <c r="C1525" s="228" t="s">
        <v>5114</v>
      </c>
      <c r="D1525" s="18" t="s">
        <v>5115</v>
      </c>
      <c r="E1525" s="228" t="s">
        <v>5116</v>
      </c>
      <c r="F1525" s="18" t="s">
        <v>5117</v>
      </c>
      <c r="G1525" s="228" t="s">
        <v>5118</v>
      </c>
      <c r="H1525" s="18" t="s">
        <v>5119</v>
      </c>
      <c r="I1525" s="228" t="s">
        <v>5210</v>
      </c>
      <c r="J1525" s="18" t="s">
        <v>5211</v>
      </c>
      <c r="K1525" s="228" t="s">
        <v>5212</v>
      </c>
      <c r="L1525" s="18" t="s">
        <v>5213</v>
      </c>
      <c r="M1525" s="18" t="s">
        <v>5219</v>
      </c>
      <c r="N1525" s="16">
        <v>0</v>
      </c>
      <c r="O1525" s="16">
        <v>20000</v>
      </c>
      <c r="P1525" s="16">
        <v>30000</v>
      </c>
      <c r="Q1525" s="16">
        <v>40000</v>
      </c>
      <c r="R1525" s="16">
        <v>50000</v>
      </c>
      <c r="S1525" s="16">
        <v>50000</v>
      </c>
      <c r="T1525" s="18" t="s">
        <v>1446</v>
      </c>
      <c r="U1525" s="283" t="s">
        <v>3715</v>
      </c>
      <c r="V1525" s="18" t="s">
        <v>5220</v>
      </c>
      <c r="W1525" s="18">
        <v>0</v>
      </c>
      <c r="X1525" s="18">
        <v>0</v>
      </c>
      <c r="Y1525" s="18">
        <v>0</v>
      </c>
      <c r="Z1525" s="18">
        <v>0</v>
      </c>
      <c r="AA1525" s="18">
        <v>0</v>
      </c>
      <c r="AB1525" s="18">
        <v>0</v>
      </c>
      <c r="AC1525" s="316">
        <v>0</v>
      </c>
      <c r="AD1525" s="316">
        <v>0</v>
      </c>
      <c r="AE1525" s="302">
        <f t="shared" si="97"/>
        <v>0</v>
      </c>
      <c r="AF1525" s="176">
        <v>0</v>
      </c>
      <c r="AG1525" s="17">
        <v>0</v>
      </c>
      <c r="AH1525" s="176">
        <v>0</v>
      </c>
      <c r="AI1525" s="239">
        <v>0</v>
      </c>
      <c r="AJ1525" s="239">
        <v>0</v>
      </c>
      <c r="AK1525" s="177">
        <v>0</v>
      </c>
      <c r="AL1525" s="177">
        <v>0</v>
      </c>
      <c r="AM1525" s="17">
        <f t="shared" si="96"/>
        <v>0</v>
      </c>
      <c r="AN1525" s="18" t="s">
        <v>869</v>
      </c>
      <c r="AO1525" s="18" t="s">
        <v>871</v>
      </c>
      <c r="AP1525" s="240" t="s">
        <v>119</v>
      </c>
      <c r="AQ1525" s="157"/>
    </row>
    <row r="1526" spans="1:43" s="18" customFormat="1" hidden="1" x14ac:dyDescent="0.3">
      <c r="A1526" s="228" t="s">
        <v>1451</v>
      </c>
      <c r="B1526" s="18" t="s">
        <v>4838</v>
      </c>
      <c r="C1526" s="228" t="s">
        <v>5114</v>
      </c>
      <c r="D1526" s="18" t="s">
        <v>5115</v>
      </c>
      <c r="E1526" s="228" t="s">
        <v>5116</v>
      </c>
      <c r="F1526" s="18" t="s">
        <v>5117</v>
      </c>
      <c r="G1526" s="228" t="s">
        <v>5118</v>
      </c>
      <c r="H1526" s="18" t="s">
        <v>5119</v>
      </c>
      <c r="I1526" s="228" t="s">
        <v>5210</v>
      </c>
      <c r="J1526" s="18" t="s">
        <v>5211</v>
      </c>
      <c r="K1526" s="228" t="s">
        <v>5212</v>
      </c>
      <c r="L1526" s="18" t="s">
        <v>5213</v>
      </c>
      <c r="M1526" s="18" t="s">
        <v>5221</v>
      </c>
      <c r="N1526" s="16">
        <v>2</v>
      </c>
      <c r="O1526" s="16">
        <v>0</v>
      </c>
      <c r="P1526" s="16">
        <v>3</v>
      </c>
      <c r="Q1526" s="16">
        <v>3</v>
      </c>
      <c r="R1526" s="16">
        <v>1</v>
      </c>
      <c r="S1526" s="16">
        <v>1</v>
      </c>
      <c r="T1526" s="18" t="s">
        <v>869</v>
      </c>
      <c r="U1526" s="283" t="s">
        <v>871</v>
      </c>
      <c r="V1526" s="18" t="s">
        <v>5222</v>
      </c>
      <c r="W1526" s="18">
        <v>0</v>
      </c>
      <c r="X1526" s="18">
        <v>0</v>
      </c>
      <c r="Y1526" s="18">
        <v>0</v>
      </c>
      <c r="Z1526" s="18">
        <v>0</v>
      </c>
      <c r="AA1526" s="18">
        <v>0</v>
      </c>
      <c r="AB1526" s="18">
        <v>0</v>
      </c>
      <c r="AC1526" s="316">
        <v>0</v>
      </c>
      <c r="AD1526" s="316">
        <v>0</v>
      </c>
      <c r="AE1526" s="302">
        <f t="shared" si="97"/>
        <v>0</v>
      </c>
      <c r="AF1526" s="176">
        <v>0</v>
      </c>
      <c r="AG1526" s="17">
        <v>0</v>
      </c>
      <c r="AH1526" s="176" t="s">
        <v>2526</v>
      </c>
      <c r="AI1526" s="239" t="s">
        <v>2526</v>
      </c>
      <c r="AJ1526" s="239" t="s">
        <v>2526</v>
      </c>
      <c r="AK1526" s="177" t="s">
        <v>2526</v>
      </c>
      <c r="AL1526" s="177" t="s">
        <v>2526</v>
      </c>
      <c r="AM1526" s="17">
        <f t="shared" si="96"/>
        <v>0</v>
      </c>
      <c r="AN1526" s="18" t="s">
        <v>869</v>
      </c>
      <c r="AO1526" s="18" t="s">
        <v>871</v>
      </c>
      <c r="AP1526" s="240" t="s">
        <v>119</v>
      </c>
      <c r="AQ1526" s="157"/>
    </row>
    <row r="1527" spans="1:43" s="18" customFormat="1" hidden="1" x14ac:dyDescent="0.3">
      <c r="A1527" s="228" t="s">
        <v>1451</v>
      </c>
      <c r="B1527" s="18" t="s">
        <v>4838</v>
      </c>
      <c r="C1527" s="228" t="s">
        <v>5114</v>
      </c>
      <c r="D1527" s="18" t="s">
        <v>5115</v>
      </c>
      <c r="E1527" s="228" t="s">
        <v>5116</v>
      </c>
      <c r="F1527" s="18" t="s">
        <v>5117</v>
      </c>
      <c r="G1527" s="228" t="s">
        <v>5118</v>
      </c>
      <c r="H1527" s="18" t="s">
        <v>5119</v>
      </c>
      <c r="I1527" s="228" t="s">
        <v>5210</v>
      </c>
      <c r="J1527" s="18" t="s">
        <v>5211</v>
      </c>
      <c r="K1527" s="228" t="s">
        <v>5212</v>
      </c>
      <c r="L1527" s="18" t="s">
        <v>5213</v>
      </c>
      <c r="M1527" s="18" t="s">
        <v>5223</v>
      </c>
      <c r="N1527" s="16">
        <v>0</v>
      </c>
      <c r="O1527" s="16">
        <v>5</v>
      </c>
      <c r="P1527" s="16">
        <v>5</v>
      </c>
      <c r="Q1527" s="16">
        <v>5</v>
      </c>
      <c r="R1527" s="16">
        <v>5</v>
      </c>
      <c r="S1527" s="16">
        <v>5</v>
      </c>
      <c r="T1527" s="18" t="s">
        <v>869</v>
      </c>
      <c r="U1527" s="283" t="s">
        <v>871</v>
      </c>
      <c r="V1527" s="18" t="s">
        <v>5224</v>
      </c>
      <c r="W1527" s="18">
        <v>0</v>
      </c>
      <c r="X1527" s="18">
        <v>0</v>
      </c>
      <c r="Y1527" s="18">
        <v>0</v>
      </c>
      <c r="Z1527" s="18">
        <v>0</v>
      </c>
      <c r="AA1527" s="18">
        <v>0</v>
      </c>
      <c r="AB1527" s="18">
        <v>0</v>
      </c>
      <c r="AC1527" s="316">
        <v>0</v>
      </c>
      <c r="AD1527" s="316">
        <v>0</v>
      </c>
      <c r="AE1527" s="302">
        <f t="shared" si="97"/>
        <v>0</v>
      </c>
      <c r="AF1527" s="176">
        <v>0</v>
      </c>
      <c r="AG1527" s="17">
        <v>0</v>
      </c>
      <c r="AH1527" s="176">
        <v>0.1</v>
      </c>
      <c r="AI1527" s="239">
        <v>0.1</v>
      </c>
      <c r="AJ1527" s="239">
        <v>0.1</v>
      </c>
      <c r="AK1527" s="177" t="s">
        <v>2526</v>
      </c>
      <c r="AL1527" s="177" t="s">
        <v>2526</v>
      </c>
      <c r="AM1527" s="17">
        <f t="shared" si="96"/>
        <v>0</v>
      </c>
      <c r="AN1527" s="18" t="s">
        <v>869</v>
      </c>
      <c r="AO1527" s="18" t="s">
        <v>871</v>
      </c>
      <c r="AP1527" s="240" t="s">
        <v>5225</v>
      </c>
      <c r="AQ1527" s="157"/>
    </row>
    <row r="1528" spans="1:43" s="18" customFormat="1" hidden="1" x14ac:dyDescent="0.3">
      <c r="A1528" s="228" t="s">
        <v>1451</v>
      </c>
      <c r="B1528" s="18" t="s">
        <v>4838</v>
      </c>
      <c r="C1528" s="228" t="s">
        <v>5114</v>
      </c>
      <c r="D1528" s="18" t="s">
        <v>5115</v>
      </c>
      <c r="E1528" s="228" t="s">
        <v>5116</v>
      </c>
      <c r="F1528" s="18" t="s">
        <v>5117</v>
      </c>
      <c r="G1528" s="228" t="s">
        <v>5118</v>
      </c>
      <c r="H1528" s="18" t="s">
        <v>5119</v>
      </c>
      <c r="I1528" s="228" t="s">
        <v>5210</v>
      </c>
      <c r="J1528" s="18" t="s">
        <v>5211</v>
      </c>
      <c r="K1528" s="228" t="s">
        <v>5212</v>
      </c>
      <c r="L1528" s="18" t="s">
        <v>5213</v>
      </c>
      <c r="M1528" s="18" t="s">
        <v>5226</v>
      </c>
      <c r="N1528" s="16">
        <v>0</v>
      </c>
      <c r="O1528" s="16">
        <v>1</v>
      </c>
      <c r="P1528" s="16">
        <v>1</v>
      </c>
      <c r="Q1528" s="16">
        <v>1</v>
      </c>
      <c r="R1528" s="16">
        <v>1</v>
      </c>
      <c r="S1528" s="16">
        <v>1</v>
      </c>
      <c r="T1528" s="18" t="s">
        <v>877</v>
      </c>
      <c r="U1528" s="283" t="s">
        <v>880</v>
      </c>
      <c r="V1528" s="18" t="s">
        <v>5227</v>
      </c>
      <c r="W1528" s="18">
        <v>0</v>
      </c>
      <c r="X1528" s="18">
        <v>0</v>
      </c>
      <c r="Y1528" s="18">
        <v>0</v>
      </c>
      <c r="Z1528" s="18">
        <v>0</v>
      </c>
      <c r="AA1528" s="18">
        <v>0</v>
      </c>
      <c r="AB1528" s="18">
        <v>0</v>
      </c>
      <c r="AC1528" s="316">
        <v>0</v>
      </c>
      <c r="AD1528" s="316">
        <v>0</v>
      </c>
      <c r="AE1528" s="302">
        <f t="shared" si="97"/>
        <v>0</v>
      </c>
      <c r="AF1528" s="176">
        <v>0</v>
      </c>
      <c r="AG1528" s="17">
        <v>0</v>
      </c>
      <c r="AH1528" s="176" t="s">
        <v>2526</v>
      </c>
      <c r="AI1528" s="239">
        <v>0.2</v>
      </c>
      <c r="AJ1528" s="239">
        <v>0.1</v>
      </c>
      <c r="AK1528" s="177" t="s">
        <v>2526</v>
      </c>
      <c r="AL1528" s="177" t="s">
        <v>2526</v>
      </c>
      <c r="AM1528" s="17">
        <f t="shared" si="96"/>
        <v>0</v>
      </c>
      <c r="AN1528" s="18" t="s">
        <v>879</v>
      </c>
      <c r="AO1528" s="18" t="s">
        <v>880</v>
      </c>
      <c r="AP1528" s="240" t="s">
        <v>5228</v>
      </c>
      <c r="AQ1528" s="157"/>
    </row>
    <row r="1529" spans="1:43" s="18" customFormat="1" x14ac:dyDescent="0.3">
      <c r="A1529" s="228" t="s">
        <v>1451</v>
      </c>
      <c r="B1529" s="18" t="s">
        <v>4838</v>
      </c>
      <c r="C1529" s="228" t="s">
        <v>5114</v>
      </c>
      <c r="D1529" s="18" t="s">
        <v>5115</v>
      </c>
      <c r="E1529" s="228" t="s">
        <v>5116</v>
      </c>
      <c r="F1529" s="18" t="s">
        <v>5117</v>
      </c>
      <c r="G1529" s="228" t="s">
        <v>5118</v>
      </c>
      <c r="H1529" s="18" t="s">
        <v>5119</v>
      </c>
      <c r="I1529" s="228" t="s">
        <v>5210</v>
      </c>
      <c r="J1529" s="18" t="s">
        <v>5211</v>
      </c>
      <c r="K1529" s="228" t="s">
        <v>5212</v>
      </c>
      <c r="L1529" s="18" t="s">
        <v>5213</v>
      </c>
      <c r="M1529" s="18" t="s">
        <v>5229</v>
      </c>
      <c r="N1529" s="16">
        <v>10</v>
      </c>
      <c r="O1529" s="16">
        <v>15</v>
      </c>
      <c r="P1529" s="16">
        <v>20</v>
      </c>
      <c r="Q1529" s="16">
        <v>25</v>
      </c>
      <c r="R1529" s="16">
        <v>30</v>
      </c>
      <c r="S1529" s="16">
        <v>35</v>
      </c>
      <c r="T1529" s="18" t="s">
        <v>1581</v>
      </c>
      <c r="U1529" s="283" t="s">
        <v>1583</v>
      </c>
      <c r="V1529" s="18" t="s">
        <v>5230</v>
      </c>
      <c r="W1529" s="18">
        <v>1</v>
      </c>
      <c r="X1529" s="18">
        <v>1</v>
      </c>
      <c r="Y1529" s="18">
        <v>1</v>
      </c>
      <c r="Z1529" s="18">
        <v>1</v>
      </c>
      <c r="AA1529" s="18">
        <v>1</v>
      </c>
      <c r="AB1529" s="18">
        <v>1</v>
      </c>
      <c r="AC1529" s="316">
        <v>1</v>
      </c>
      <c r="AD1529" s="316">
        <v>1</v>
      </c>
      <c r="AE1529" s="302">
        <f t="shared" si="97"/>
        <v>1</v>
      </c>
      <c r="AF1529" s="176">
        <v>0</v>
      </c>
      <c r="AG1529" s="17">
        <v>0</v>
      </c>
      <c r="AH1529" s="176">
        <v>1.53</v>
      </c>
      <c r="AI1529" s="239">
        <v>1.53</v>
      </c>
      <c r="AJ1529" s="239">
        <v>1</v>
      </c>
      <c r="AK1529" s="238">
        <v>1</v>
      </c>
      <c r="AL1529" s="238">
        <v>1</v>
      </c>
      <c r="AM1529" s="17">
        <f t="shared" si="96"/>
        <v>2</v>
      </c>
      <c r="AN1529" s="18" t="s">
        <v>1581</v>
      </c>
      <c r="AO1529" s="157" t="s">
        <v>1583</v>
      </c>
      <c r="AP1529" s="240" t="s">
        <v>5209</v>
      </c>
      <c r="AQ1529" s="157"/>
    </row>
    <row r="1530" spans="1:43" s="18" customFormat="1" hidden="1" x14ac:dyDescent="0.3">
      <c r="A1530" s="228" t="s">
        <v>1451</v>
      </c>
      <c r="B1530" s="18" t="s">
        <v>4838</v>
      </c>
      <c r="C1530" s="228" t="s">
        <v>5114</v>
      </c>
      <c r="D1530" s="18" t="s">
        <v>5115</v>
      </c>
      <c r="E1530" s="228" t="s">
        <v>5116</v>
      </c>
      <c r="F1530" s="18" t="s">
        <v>5117</v>
      </c>
      <c r="G1530" s="228" t="s">
        <v>5118</v>
      </c>
      <c r="H1530" s="18" t="s">
        <v>5119</v>
      </c>
      <c r="I1530" s="228" t="s">
        <v>5210</v>
      </c>
      <c r="J1530" s="18" t="s">
        <v>5211</v>
      </c>
      <c r="K1530" s="228" t="s">
        <v>5231</v>
      </c>
      <c r="L1530" s="18" t="s">
        <v>5232</v>
      </c>
      <c r="M1530" s="18" t="s">
        <v>5233</v>
      </c>
      <c r="N1530" s="16">
        <v>0</v>
      </c>
      <c r="O1530" s="16">
        <v>0</v>
      </c>
      <c r="P1530" s="16">
        <v>0</v>
      </c>
      <c r="Q1530" s="16">
        <v>1</v>
      </c>
      <c r="R1530" s="16">
        <v>0</v>
      </c>
      <c r="S1530" s="16">
        <v>0</v>
      </c>
      <c r="T1530" s="18" t="s">
        <v>1446</v>
      </c>
      <c r="U1530" s="283" t="s">
        <v>3715</v>
      </c>
      <c r="V1530" s="18" t="s">
        <v>5234</v>
      </c>
      <c r="W1530" s="18">
        <v>0</v>
      </c>
      <c r="X1530" s="18">
        <v>0</v>
      </c>
      <c r="Y1530" s="18">
        <v>0</v>
      </c>
      <c r="Z1530" s="18">
        <v>0</v>
      </c>
      <c r="AA1530" s="18">
        <v>0</v>
      </c>
      <c r="AB1530" s="18">
        <v>0</v>
      </c>
      <c r="AC1530" s="316">
        <v>0</v>
      </c>
      <c r="AD1530" s="316">
        <v>0</v>
      </c>
      <c r="AE1530" s="302">
        <f t="shared" si="97"/>
        <v>0</v>
      </c>
      <c r="AF1530" s="176">
        <v>0</v>
      </c>
      <c r="AG1530" s="17">
        <v>0</v>
      </c>
      <c r="AH1530" s="176" t="s">
        <v>2526</v>
      </c>
      <c r="AI1530" s="239" t="s">
        <v>2526</v>
      </c>
      <c r="AJ1530" s="239" t="s">
        <v>2526</v>
      </c>
      <c r="AK1530" s="238" t="s">
        <v>2526</v>
      </c>
      <c r="AL1530" s="238" t="s">
        <v>2526</v>
      </c>
      <c r="AM1530" s="17">
        <f t="shared" ref="AM1530:AM1593" si="98">SUM(AK1530:AL1530)</f>
        <v>0</v>
      </c>
      <c r="AN1530" s="18" t="s">
        <v>1446</v>
      </c>
      <c r="AO1530" s="157" t="s">
        <v>3715</v>
      </c>
      <c r="AP1530" s="240" t="s">
        <v>119</v>
      </c>
      <c r="AQ1530" s="157"/>
    </row>
    <row r="1531" spans="1:43" s="18" customFormat="1" hidden="1" x14ac:dyDescent="0.3">
      <c r="A1531" s="228" t="s">
        <v>1451</v>
      </c>
      <c r="B1531" s="18" t="s">
        <v>4838</v>
      </c>
      <c r="C1531" s="228" t="s">
        <v>5114</v>
      </c>
      <c r="D1531" s="18" t="s">
        <v>5115</v>
      </c>
      <c r="E1531" s="228" t="s">
        <v>5116</v>
      </c>
      <c r="F1531" s="18" t="s">
        <v>5117</v>
      </c>
      <c r="G1531" s="228" t="s">
        <v>5118</v>
      </c>
      <c r="H1531" s="18" t="s">
        <v>5119</v>
      </c>
      <c r="I1531" s="228" t="s">
        <v>5210</v>
      </c>
      <c r="J1531" s="18" t="s">
        <v>5211</v>
      </c>
      <c r="K1531" s="228" t="s">
        <v>5231</v>
      </c>
      <c r="L1531" s="18" t="s">
        <v>5232</v>
      </c>
      <c r="M1531" s="18" t="s">
        <v>5235</v>
      </c>
      <c r="N1531" s="16"/>
      <c r="O1531" s="16">
        <v>1000</v>
      </c>
      <c r="P1531" s="16">
        <v>1200</v>
      </c>
      <c r="Q1531" s="16">
        <v>1500</v>
      </c>
      <c r="R1531" s="16">
        <v>2500</v>
      </c>
      <c r="S1531" s="16">
        <v>3200</v>
      </c>
      <c r="T1531" s="18" t="s">
        <v>1581</v>
      </c>
      <c r="U1531" s="283" t="s">
        <v>1583</v>
      </c>
      <c r="V1531" s="18" t="s">
        <v>5236</v>
      </c>
      <c r="X1531" s="18">
        <v>0</v>
      </c>
      <c r="Y1531" s="18">
        <v>0</v>
      </c>
      <c r="Z1531" s="18">
        <v>0</v>
      </c>
      <c r="AA1531" s="18">
        <v>0</v>
      </c>
      <c r="AB1531" s="18">
        <v>0</v>
      </c>
      <c r="AC1531" s="316">
        <v>0</v>
      </c>
      <c r="AD1531" s="316">
        <v>0</v>
      </c>
      <c r="AE1531" s="302">
        <f t="shared" si="97"/>
        <v>0</v>
      </c>
      <c r="AF1531" s="176">
        <v>0</v>
      </c>
      <c r="AG1531" s="17">
        <v>0</v>
      </c>
      <c r="AH1531" s="176">
        <v>0.3</v>
      </c>
      <c r="AI1531" s="239">
        <v>0.5</v>
      </c>
      <c r="AJ1531" s="239">
        <v>0.5</v>
      </c>
      <c r="AK1531" s="246">
        <v>0</v>
      </c>
      <c r="AL1531" s="246">
        <v>0</v>
      </c>
      <c r="AM1531" s="17">
        <f t="shared" si="98"/>
        <v>0</v>
      </c>
      <c r="AN1531" s="18" t="s">
        <v>1581</v>
      </c>
      <c r="AO1531" s="18" t="s">
        <v>1583</v>
      </c>
      <c r="AP1531" s="240" t="s">
        <v>5237</v>
      </c>
      <c r="AQ1531" s="157"/>
    </row>
    <row r="1532" spans="1:43" s="18" customFormat="1" hidden="1" x14ac:dyDescent="0.3">
      <c r="A1532" s="228" t="s">
        <v>1451</v>
      </c>
      <c r="B1532" s="18" t="s">
        <v>4838</v>
      </c>
      <c r="C1532" s="228" t="s">
        <v>5114</v>
      </c>
      <c r="D1532" s="18" t="s">
        <v>5115</v>
      </c>
      <c r="E1532" s="228" t="s">
        <v>5116</v>
      </c>
      <c r="F1532" s="18" t="s">
        <v>5117</v>
      </c>
      <c r="G1532" s="228" t="s">
        <v>5118</v>
      </c>
      <c r="H1532" s="18" t="s">
        <v>5119</v>
      </c>
      <c r="I1532" s="228" t="s">
        <v>5210</v>
      </c>
      <c r="J1532" s="18" t="s">
        <v>5211</v>
      </c>
      <c r="K1532" s="228" t="s">
        <v>5238</v>
      </c>
      <c r="L1532" s="18" t="s">
        <v>5239</v>
      </c>
      <c r="M1532" s="18" t="s">
        <v>5240</v>
      </c>
      <c r="N1532" s="16">
        <v>0</v>
      </c>
      <c r="O1532" s="16">
        <v>5</v>
      </c>
      <c r="P1532" s="16">
        <v>10</v>
      </c>
      <c r="Q1532" s="16">
        <v>15</v>
      </c>
      <c r="R1532" s="16">
        <v>17</v>
      </c>
      <c r="S1532" s="16">
        <v>18</v>
      </c>
      <c r="T1532" s="283" t="s">
        <v>265</v>
      </c>
      <c r="U1532" s="283" t="s">
        <v>350</v>
      </c>
      <c r="V1532" s="18" t="s">
        <v>5241</v>
      </c>
      <c r="W1532" s="18">
        <v>0</v>
      </c>
      <c r="X1532" s="18">
        <v>0</v>
      </c>
      <c r="Y1532" s="18">
        <v>0</v>
      </c>
      <c r="Z1532" s="18">
        <v>0</v>
      </c>
      <c r="AA1532" s="18">
        <v>0</v>
      </c>
      <c r="AB1532" s="18">
        <v>0</v>
      </c>
      <c r="AC1532" s="316">
        <v>0</v>
      </c>
      <c r="AD1532" s="316">
        <v>0</v>
      </c>
      <c r="AE1532" s="302">
        <f t="shared" si="97"/>
        <v>0</v>
      </c>
      <c r="AF1532" s="176">
        <v>0</v>
      </c>
      <c r="AG1532" s="17">
        <v>0</v>
      </c>
      <c r="AH1532" s="176">
        <v>0.1</v>
      </c>
      <c r="AI1532" s="239">
        <v>0.1</v>
      </c>
      <c r="AJ1532" s="239">
        <v>0.1</v>
      </c>
      <c r="AK1532" s="246">
        <v>0</v>
      </c>
      <c r="AL1532" s="246">
        <v>0</v>
      </c>
      <c r="AM1532" s="17">
        <f t="shared" si="98"/>
        <v>0</v>
      </c>
      <c r="AN1532" s="18" t="s">
        <v>1581</v>
      </c>
      <c r="AO1532" s="18" t="s">
        <v>1583</v>
      </c>
      <c r="AP1532" s="240" t="s">
        <v>1446</v>
      </c>
      <c r="AQ1532" s="157"/>
    </row>
    <row r="1533" spans="1:43" s="18" customFormat="1" hidden="1" x14ac:dyDescent="0.3">
      <c r="A1533" s="228" t="s">
        <v>1451</v>
      </c>
      <c r="B1533" s="18" t="s">
        <v>4838</v>
      </c>
      <c r="C1533" s="228" t="s">
        <v>5114</v>
      </c>
      <c r="D1533" s="18" t="s">
        <v>5115</v>
      </c>
      <c r="E1533" s="228" t="s">
        <v>5116</v>
      </c>
      <c r="F1533" s="18" t="s">
        <v>5117</v>
      </c>
      <c r="G1533" s="228" t="s">
        <v>5118</v>
      </c>
      <c r="H1533" s="18" t="s">
        <v>5119</v>
      </c>
      <c r="I1533" s="228" t="s">
        <v>5210</v>
      </c>
      <c r="J1533" s="18" t="s">
        <v>5211</v>
      </c>
      <c r="K1533" s="228" t="s">
        <v>5238</v>
      </c>
      <c r="L1533" s="18" t="s">
        <v>5239</v>
      </c>
      <c r="M1533" s="18" t="s">
        <v>5242</v>
      </c>
      <c r="N1533" s="16">
        <v>0</v>
      </c>
      <c r="O1533" s="16">
        <v>0</v>
      </c>
      <c r="P1533" s="16">
        <v>1</v>
      </c>
      <c r="Q1533" s="16">
        <v>0</v>
      </c>
      <c r="R1533" s="16">
        <v>0</v>
      </c>
      <c r="S1533" s="16">
        <v>0</v>
      </c>
      <c r="T1533" s="18" t="s">
        <v>1446</v>
      </c>
      <c r="U1533" s="283" t="s">
        <v>3715</v>
      </c>
      <c r="V1533" s="18" t="s">
        <v>5243</v>
      </c>
      <c r="W1533" s="18">
        <v>1</v>
      </c>
      <c r="X1533" s="18">
        <v>0</v>
      </c>
      <c r="Y1533" s="18">
        <v>0</v>
      </c>
      <c r="Z1533" s="18">
        <v>0</v>
      </c>
      <c r="AA1533" s="18">
        <v>0</v>
      </c>
      <c r="AB1533" s="18">
        <v>0</v>
      </c>
      <c r="AC1533" s="316">
        <v>0</v>
      </c>
      <c r="AD1533" s="316">
        <v>1</v>
      </c>
      <c r="AE1533" s="302">
        <f t="shared" ref="AE1533:AE1596" si="99">SUM(W1533:AD1533)/8</f>
        <v>0.25</v>
      </c>
      <c r="AF1533" s="176">
        <v>0</v>
      </c>
      <c r="AG1533" s="17">
        <v>0</v>
      </c>
      <c r="AH1533" s="176" t="s">
        <v>2526</v>
      </c>
      <c r="AI1533" s="239" t="s">
        <v>2526</v>
      </c>
      <c r="AJ1533" s="239" t="s">
        <v>2526</v>
      </c>
      <c r="AK1533" s="177" t="s">
        <v>2526</v>
      </c>
      <c r="AL1533" s="177" t="s">
        <v>2526</v>
      </c>
      <c r="AM1533" s="17">
        <f t="shared" si="98"/>
        <v>0</v>
      </c>
      <c r="AN1533" s="18" t="s">
        <v>1446</v>
      </c>
      <c r="AO1533" s="18" t="s">
        <v>3715</v>
      </c>
      <c r="AP1533" s="240" t="s">
        <v>119</v>
      </c>
      <c r="AQ1533" s="157"/>
    </row>
    <row r="1534" spans="1:43" s="18" customFormat="1" hidden="1" x14ac:dyDescent="0.3">
      <c r="A1534" s="228" t="s">
        <v>1451</v>
      </c>
      <c r="B1534" s="18" t="s">
        <v>4838</v>
      </c>
      <c r="C1534" s="228" t="s">
        <v>5114</v>
      </c>
      <c r="D1534" s="18" t="s">
        <v>5115</v>
      </c>
      <c r="E1534" s="228" t="s">
        <v>5116</v>
      </c>
      <c r="F1534" s="18" t="s">
        <v>5117</v>
      </c>
      <c r="G1534" s="228" t="s">
        <v>5118</v>
      </c>
      <c r="H1534" s="18" t="s">
        <v>5119</v>
      </c>
      <c r="I1534" s="228" t="s">
        <v>5210</v>
      </c>
      <c r="J1534" s="18" t="s">
        <v>5211</v>
      </c>
      <c r="K1534" s="228" t="s">
        <v>5238</v>
      </c>
      <c r="L1534" s="18" t="s">
        <v>5239</v>
      </c>
      <c r="M1534" s="18" t="s">
        <v>5244</v>
      </c>
      <c r="N1534" s="16">
        <v>0</v>
      </c>
      <c r="O1534" s="16" t="s">
        <v>5245</v>
      </c>
      <c r="P1534" s="16" t="s">
        <v>5245</v>
      </c>
      <c r="Q1534" s="16" t="s">
        <v>5245</v>
      </c>
      <c r="R1534" s="16" t="s">
        <v>5245</v>
      </c>
      <c r="S1534" s="16" t="s">
        <v>5245</v>
      </c>
      <c r="T1534" s="18" t="s">
        <v>1446</v>
      </c>
      <c r="U1534" s="283" t="s">
        <v>3715</v>
      </c>
      <c r="AC1534" s="316">
        <v>0</v>
      </c>
      <c r="AD1534" s="316">
        <v>0</v>
      </c>
      <c r="AE1534" s="302">
        <f t="shared" si="99"/>
        <v>0</v>
      </c>
      <c r="AF1534" s="17"/>
      <c r="AG1534" s="17">
        <v>0</v>
      </c>
      <c r="AH1534" s="17"/>
      <c r="AI1534" s="251"/>
      <c r="AJ1534" s="251"/>
      <c r="AK1534" s="154"/>
      <c r="AL1534" s="154"/>
      <c r="AM1534" s="17">
        <f t="shared" si="98"/>
        <v>0</v>
      </c>
      <c r="AP1534" s="240"/>
      <c r="AQ1534" s="157"/>
    </row>
    <row r="1535" spans="1:43" s="18" customFormat="1" hidden="1" x14ac:dyDescent="0.3">
      <c r="A1535" s="228" t="s">
        <v>1451</v>
      </c>
      <c r="B1535" s="18" t="s">
        <v>4838</v>
      </c>
      <c r="C1535" s="228" t="s">
        <v>5114</v>
      </c>
      <c r="D1535" s="18" t="s">
        <v>5115</v>
      </c>
      <c r="E1535" s="228" t="s">
        <v>5116</v>
      </c>
      <c r="F1535" s="18" t="s">
        <v>5117</v>
      </c>
      <c r="G1535" s="228" t="s">
        <v>5118</v>
      </c>
      <c r="H1535" s="18" t="s">
        <v>5119</v>
      </c>
      <c r="I1535" s="228" t="s">
        <v>5246</v>
      </c>
      <c r="J1535" s="18" t="s">
        <v>5247</v>
      </c>
      <c r="K1535" s="228" t="s">
        <v>5248</v>
      </c>
      <c r="L1535" s="18" t="s">
        <v>5249</v>
      </c>
      <c r="M1535" s="18" t="s">
        <v>5250</v>
      </c>
      <c r="N1535" s="16">
        <v>240</v>
      </c>
      <c r="O1535" s="16">
        <v>240</v>
      </c>
      <c r="P1535" s="16">
        <v>500</v>
      </c>
      <c r="Q1535" s="16">
        <v>750</v>
      </c>
      <c r="R1535" s="16">
        <v>1000</v>
      </c>
      <c r="S1535" s="16">
        <v>1200</v>
      </c>
      <c r="T1535" s="18" t="s">
        <v>1536</v>
      </c>
      <c r="U1535" s="283" t="e">
        <v>#N/A</v>
      </c>
      <c r="V1535" s="18" t="s">
        <v>5251</v>
      </c>
      <c r="W1535" s="18">
        <v>0</v>
      </c>
      <c r="X1535" s="18">
        <v>0</v>
      </c>
      <c r="Y1535" s="18">
        <v>0</v>
      </c>
      <c r="Z1535" s="18">
        <v>0</v>
      </c>
      <c r="AA1535" s="18">
        <v>0</v>
      </c>
      <c r="AB1535" s="18">
        <v>0</v>
      </c>
      <c r="AC1535" s="316">
        <v>0</v>
      </c>
      <c r="AD1535" s="316">
        <v>0</v>
      </c>
      <c r="AE1535" s="302">
        <f t="shared" si="99"/>
        <v>0</v>
      </c>
      <c r="AF1535" s="176"/>
      <c r="AG1535" s="17">
        <v>0</v>
      </c>
      <c r="AH1535" s="176" t="s">
        <v>2526</v>
      </c>
      <c r="AI1535" s="239">
        <v>0</v>
      </c>
      <c r="AJ1535" s="239">
        <v>0</v>
      </c>
      <c r="AK1535" s="238">
        <v>0</v>
      </c>
      <c r="AL1535" s="238">
        <v>0</v>
      </c>
      <c r="AM1535" s="17">
        <f t="shared" si="98"/>
        <v>0</v>
      </c>
      <c r="AN1535" s="157" t="s">
        <v>771</v>
      </c>
      <c r="AO1535" s="157" t="s">
        <v>773</v>
      </c>
      <c r="AP1535" s="240" t="s">
        <v>119</v>
      </c>
      <c r="AQ1535" s="157"/>
    </row>
    <row r="1536" spans="1:43" s="18" customFormat="1" x14ac:dyDescent="0.3">
      <c r="A1536" s="228" t="s">
        <v>1451</v>
      </c>
      <c r="B1536" s="18" t="s">
        <v>4838</v>
      </c>
      <c r="C1536" s="228" t="s">
        <v>5114</v>
      </c>
      <c r="D1536" s="18" t="s">
        <v>5115</v>
      </c>
      <c r="E1536" s="228" t="s">
        <v>5116</v>
      </c>
      <c r="F1536" s="18" t="s">
        <v>5117</v>
      </c>
      <c r="G1536" s="228" t="s">
        <v>5118</v>
      </c>
      <c r="H1536" s="18" t="s">
        <v>5119</v>
      </c>
      <c r="I1536" s="228" t="s">
        <v>5246</v>
      </c>
      <c r="J1536" s="18" t="s">
        <v>5247</v>
      </c>
      <c r="K1536" s="228" t="s">
        <v>5248</v>
      </c>
      <c r="L1536" s="18" t="s">
        <v>5249</v>
      </c>
      <c r="M1536" s="18" t="s">
        <v>5252</v>
      </c>
      <c r="N1536" s="16">
        <v>10</v>
      </c>
      <c r="O1536" s="16">
        <v>15</v>
      </c>
      <c r="P1536" s="16">
        <v>20</v>
      </c>
      <c r="Q1536" s="16">
        <v>20</v>
      </c>
      <c r="R1536" s="16">
        <v>25</v>
      </c>
      <c r="S1536" s="16">
        <v>25</v>
      </c>
      <c r="T1536" s="18" t="s">
        <v>869</v>
      </c>
      <c r="U1536" s="283" t="s">
        <v>871</v>
      </c>
      <c r="V1536" s="18" t="s">
        <v>5253</v>
      </c>
      <c r="W1536" s="18">
        <v>1</v>
      </c>
      <c r="X1536" s="18">
        <v>1</v>
      </c>
      <c r="Y1536" s="18">
        <v>1</v>
      </c>
      <c r="Z1536" s="18">
        <v>1</v>
      </c>
      <c r="AA1536" s="18">
        <v>1</v>
      </c>
      <c r="AB1536" s="18">
        <v>1</v>
      </c>
      <c r="AC1536" s="316">
        <v>1</v>
      </c>
      <c r="AD1536" s="316">
        <v>1</v>
      </c>
      <c r="AE1536" s="302">
        <f t="shared" si="99"/>
        <v>1</v>
      </c>
      <c r="AF1536" s="176">
        <v>0</v>
      </c>
      <c r="AG1536" s="17">
        <v>0</v>
      </c>
      <c r="AH1536" s="176">
        <v>0.1</v>
      </c>
      <c r="AI1536" s="239">
        <v>0.1</v>
      </c>
      <c r="AJ1536" s="239">
        <v>0.1</v>
      </c>
      <c r="AK1536" s="238">
        <v>0.1</v>
      </c>
      <c r="AL1536" s="238">
        <v>0.1</v>
      </c>
      <c r="AM1536" s="17">
        <f t="shared" si="98"/>
        <v>0.2</v>
      </c>
      <c r="AN1536" s="157" t="s">
        <v>869</v>
      </c>
      <c r="AO1536" s="157" t="s">
        <v>871</v>
      </c>
      <c r="AP1536" s="240" t="s">
        <v>5254</v>
      </c>
      <c r="AQ1536" s="157"/>
    </row>
    <row r="1537" spans="1:43" s="18" customFormat="1" x14ac:dyDescent="0.3">
      <c r="A1537" s="228" t="s">
        <v>1451</v>
      </c>
      <c r="B1537" s="18" t="s">
        <v>4838</v>
      </c>
      <c r="C1537" s="228" t="s">
        <v>5114</v>
      </c>
      <c r="D1537" s="18" t="s">
        <v>5115</v>
      </c>
      <c r="E1537" s="228" t="s">
        <v>5116</v>
      </c>
      <c r="F1537" s="18" t="s">
        <v>5117</v>
      </c>
      <c r="G1537" s="228" t="s">
        <v>5118</v>
      </c>
      <c r="H1537" s="18" t="s">
        <v>5119</v>
      </c>
      <c r="I1537" s="228" t="s">
        <v>5255</v>
      </c>
      <c r="J1537" s="18" t="s">
        <v>5256</v>
      </c>
      <c r="K1537" s="228" t="s">
        <v>5257</v>
      </c>
      <c r="L1537" s="18" t="s">
        <v>5258</v>
      </c>
      <c r="M1537" s="18" t="s">
        <v>5259</v>
      </c>
      <c r="N1537" s="16">
        <v>0</v>
      </c>
      <c r="O1537" s="16">
        <v>50</v>
      </c>
      <c r="P1537" s="16">
        <v>76</v>
      </c>
      <c r="Q1537" s="16">
        <v>100</v>
      </c>
      <c r="R1537" s="16">
        <v>100</v>
      </c>
      <c r="S1537" s="16">
        <v>100</v>
      </c>
      <c r="T1537" s="283" t="s">
        <v>265</v>
      </c>
      <c r="U1537" s="283" t="s">
        <v>350</v>
      </c>
      <c r="V1537" s="18" t="s">
        <v>5260</v>
      </c>
      <c r="W1537" s="18">
        <v>1</v>
      </c>
      <c r="X1537" s="18">
        <v>1</v>
      </c>
      <c r="Y1537" s="18">
        <v>1</v>
      </c>
      <c r="Z1537" s="18">
        <v>1</v>
      </c>
      <c r="AA1537" s="18">
        <v>1</v>
      </c>
      <c r="AB1537" s="18">
        <v>1</v>
      </c>
      <c r="AC1537" s="316">
        <v>1</v>
      </c>
      <c r="AD1537" s="316">
        <v>1</v>
      </c>
      <c r="AE1537" s="302">
        <f t="shared" si="99"/>
        <v>1</v>
      </c>
      <c r="AF1537" s="176">
        <v>0</v>
      </c>
      <c r="AG1537" s="17">
        <v>0</v>
      </c>
      <c r="AH1537" s="176">
        <v>2</v>
      </c>
      <c r="AI1537" s="239">
        <v>2</v>
      </c>
      <c r="AJ1537" s="239">
        <v>2</v>
      </c>
      <c r="AK1537" s="237">
        <v>0.5</v>
      </c>
      <c r="AL1537" s="238">
        <v>2</v>
      </c>
      <c r="AM1537" s="17">
        <f t="shared" si="98"/>
        <v>2.5</v>
      </c>
      <c r="AN1537" s="157" t="s">
        <v>265</v>
      </c>
      <c r="AO1537" s="157" t="s">
        <v>350</v>
      </c>
      <c r="AP1537" s="240" t="s">
        <v>5261</v>
      </c>
      <c r="AQ1537" s="157"/>
    </row>
    <row r="1538" spans="1:43" s="18" customFormat="1" hidden="1" x14ac:dyDescent="0.3">
      <c r="A1538" s="228" t="s">
        <v>1451</v>
      </c>
      <c r="B1538" s="18" t="s">
        <v>4838</v>
      </c>
      <c r="C1538" s="228" t="s">
        <v>5114</v>
      </c>
      <c r="D1538" s="18" t="s">
        <v>5115</v>
      </c>
      <c r="E1538" s="228" t="s">
        <v>5116</v>
      </c>
      <c r="F1538" s="18" t="s">
        <v>5117</v>
      </c>
      <c r="G1538" s="228" t="s">
        <v>5118</v>
      </c>
      <c r="H1538" s="18" t="s">
        <v>5119</v>
      </c>
      <c r="I1538" s="228" t="s">
        <v>5255</v>
      </c>
      <c r="J1538" s="18" t="s">
        <v>5256</v>
      </c>
      <c r="K1538" s="228" t="s">
        <v>5257</v>
      </c>
      <c r="L1538" s="18" t="s">
        <v>5258</v>
      </c>
      <c r="M1538" s="18" t="s">
        <v>5262</v>
      </c>
      <c r="N1538" s="16">
        <v>0</v>
      </c>
      <c r="O1538" s="16">
        <v>100</v>
      </c>
      <c r="P1538" s="16">
        <v>150</v>
      </c>
      <c r="Q1538" s="16">
        <v>180</v>
      </c>
      <c r="R1538" s="16">
        <v>180</v>
      </c>
      <c r="S1538" s="16">
        <v>180</v>
      </c>
      <c r="T1538" s="283" t="s">
        <v>265</v>
      </c>
      <c r="U1538" s="283" t="s">
        <v>350</v>
      </c>
      <c r="V1538" s="18" t="s">
        <v>5263</v>
      </c>
      <c r="W1538" s="18">
        <v>0</v>
      </c>
      <c r="X1538" s="18">
        <v>0</v>
      </c>
      <c r="Y1538" s="18">
        <v>0</v>
      </c>
      <c r="Z1538" s="18">
        <v>0</v>
      </c>
      <c r="AA1538" s="18">
        <v>0</v>
      </c>
      <c r="AB1538" s="18">
        <v>0</v>
      </c>
      <c r="AC1538" s="316">
        <v>0</v>
      </c>
      <c r="AD1538" s="316">
        <v>0</v>
      </c>
      <c r="AE1538" s="302">
        <f t="shared" si="99"/>
        <v>0</v>
      </c>
      <c r="AF1538" s="176">
        <v>0</v>
      </c>
      <c r="AG1538" s="17">
        <v>0</v>
      </c>
      <c r="AH1538" s="176" t="s">
        <v>2526</v>
      </c>
      <c r="AI1538" s="239">
        <v>0.5</v>
      </c>
      <c r="AJ1538" s="239">
        <v>0.5</v>
      </c>
      <c r="AK1538" s="246">
        <v>0</v>
      </c>
      <c r="AL1538" s="246">
        <v>0</v>
      </c>
      <c r="AM1538" s="17">
        <f t="shared" si="98"/>
        <v>0</v>
      </c>
      <c r="AN1538" s="157" t="s">
        <v>265</v>
      </c>
      <c r="AO1538" s="157" t="s">
        <v>350</v>
      </c>
      <c r="AP1538" s="240" t="s">
        <v>5135</v>
      </c>
      <c r="AQ1538" s="157"/>
    </row>
    <row r="1539" spans="1:43" s="18" customFormat="1" hidden="1" x14ac:dyDescent="0.3">
      <c r="A1539" s="228" t="s">
        <v>1451</v>
      </c>
      <c r="B1539" s="18" t="s">
        <v>4838</v>
      </c>
      <c r="C1539" s="228" t="s">
        <v>5114</v>
      </c>
      <c r="D1539" s="18" t="s">
        <v>5115</v>
      </c>
      <c r="E1539" s="228" t="s">
        <v>5116</v>
      </c>
      <c r="F1539" s="18" t="s">
        <v>5117</v>
      </c>
      <c r="G1539" s="228" t="s">
        <v>5118</v>
      </c>
      <c r="H1539" s="18" t="s">
        <v>5119</v>
      </c>
      <c r="I1539" s="228" t="s">
        <v>5255</v>
      </c>
      <c r="J1539" s="18" t="s">
        <v>5256</v>
      </c>
      <c r="K1539" s="228" t="s">
        <v>5257</v>
      </c>
      <c r="L1539" s="18" t="s">
        <v>5258</v>
      </c>
      <c r="N1539" s="16"/>
      <c r="O1539" s="16"/>
      <c r="P1539" s="16"/>
      <c r="Q1539" s="16"/>
      <c r="R1539" s="16"/>
      <c r="S1539" s="16"/>
      <c r="U1539" s="283" t="e">
        <v>#N/A</v>
      </c>
      <c r="V1539" s="18" t="s">
        <v>5264</v>
      </c>
      <c r="W1539" s="18">
        <v>0</v>
      </c>
      <c r="X1539" s="18">
        <v>0</v>
      </c>
      <c r="Y1539" s="18">
        <v>0</v>
      </c>
      <c r="Z1539" s="18">
        <v>0</v>
      </c>
      <c r="AA1539" s="18">
        <v>0</v>
      </c>
      <c r="AB1539" s="18">
        <v>0</v>
      </c>
      <c r="AC1539" s="316">
        <v>0</v>
      </c>
      <c r="AD1539" s="316">
        <v>0</v>
      </c>
      <c r="AE1539" s="302">
        <f t="shared" si="99"/>
        <v>0</v>
      </c>
      <c r="AF1539" s="176">
        <v>0</v>
      </c>
      <c r="AG1539" s="17">
        <v>0</v>
      </c>
      <c r="AH1539" s="176" t="s">
        <v>2526</v>
      </c>
      <c r="AI1539" s="176">
        <v>0</v>
      </c>
      <c r="AJ1539" s="234">
        <v>0</v>
      </c>
      <c r="AK1539" s="177">
        <v>0</v>
      </c>
      <c r="AL1539" s="177">
        <v>0</v>
      </c>
      <c r="AM1539" s="17">
        <f t="shared" si="98"/>
        <v>0</v>
      </c>
      <c r="AN1539" s="18" t="s">
        <v>265</v>
      </c>
      <c r="AO1539" s="18" t="s">
        <v>350</v>
      </c>
      <c r="AP1539" s="228" t="s">
        <v>119</v>
      </c>
    </row>
    <row r="1540" spans="1:43" s="18" customFormat="1" hidden="1" x14ac:dyDescent="0.3">
      <c r="A1540" s="228" t="s">
        <v>1451</v>
      </c>
      <c r="B1540" s="18" t="s">
        <v>4838</v>
      </c>
      <c r="C1540" s="228" t="s">
        <v>5114</v>
      </c>
      <c r="D1540" s="18" t="s">
        <v>5115</v>
      </c>
      <c r="E1540" s="228" t="s">
        <v>5116</v>
      </c>
      <c r="F1540" s="18" t="s">
        <v>5117</v>
      </c>
      <c r="G1540" s="228" t="s">
        <v>5118</v>
      </c>
      <c r="H1540" s="18" t="s">
        <v>5119</v>
      </c>
      <c r="I1540" s="228" t="s">
        <v>5255</v>
      </c>
      <c r="J1540" s="18" t="s">
        <v>5256</v>
      </c>
      <c r="K1540" s="228" t="s">
        <v>5257</v>
      </c>
      <c r="L1540" s="18" t="s">
        <v>5258</v>
      </c>
      <c r="N1540" s="16"/>
      <c r="O1540" s="16"/>
      <c r="P1540" s="16"/>
      <c r="Q1540" s="16"/>
      <c r="R1540" s="16"/>
      <c r="S1540" s="16"/>
      <c r="U1540" s="283" t="e">
        <v>#N/A</v>
      </c>
      <c r="V1540" s="18" t="s">
        <v>5265</v>
      </c>
      <c r="W1540" s="18">
        <v>0</v>
      </c>
      <c r="X1540" s="18">
        <v>0</v>
      </c>
      <c r="Y1540" s="18">
        <v>0</v>
      </c>
      <c r="Z1540" s="18">
        <v>0</v>
      </c>
      <c r="AA1540" s="18">
        <v>0</v>
      </c>
      <c r="AB1540" s="18">
        <v>0</v>
      </c>
      <c r="AC1540" s="316">
        <v>0</v>
      </c>
      <c r="AD1540" s="316">
        <v>0</v>
      </c>
      <c r="AE1540" s="302">
        <f t="shared" si="99"/>
        <v>0</v>
      </c>
      <c r="AF1540" s="176">
        <v>0</v>
      </c>
      <c r="AG1540" s="17">
        <v>0</v>
      </c>
      <c r="AH1540" s="176" t="s">
        <v>2526</v>
      </c>
      <c r="AI1540" s="176">
        <v>0.3</v>
      </c>
      <c r="AJ1540" s="234">
        <v>0.3</v>
      </c>
      <c r="AK1540" s="246">
        <v>0</v>
      </c>
      <c r="AL1540" s="246">
        <v>0</v>
      </c>
      <c r="AM1540" s="17">
        <f t="shared" si="98"/>
        <v>0</v>
      </c>
      <c r="AN1540" s="18" t="s">
        <v>265</v>
      </c>
      <c r="AO1540" s="18" t="s">
        <v>350</v>
      </c>
      <c r="AP1540" s="228" t="s">
        <v>5266</v>
      </c>
    </row>
    <row r="1541" spans="1:43" s="18" customFormat="1" x14ac:dyDescent="0.3">
      <c r="A1541" s="228" t="s">
        <v>1451</v>
      </c>
      <c r="B1541" s="18" t="s">
        <v>4838</v>
      </c>
      <c r="C1541" s="228" t="s">
        <v>5114</v>
      </c>
      <c r="D1541" s="18" t="s">
        <v>5115</v>
      </c>
      <c r="E1541" s="228" t="s">
        <v>5116</v>
      </c>
      <c r="F1541" s="18" t="s">
        <v>5117</v>
      </c>
      <c r="G1541" s="228" t="s">
        <v>5118</v>
      </c>
      <c r="H1541" s="18" t="s">
        <v>5119</v>
      </c>
      <c r="I1541" s="228" t="s">
        <v>5255</v>
      </c>
      <c r="J1541" s="18" t="s">
        <v>5256</v>
      </c>
      <c r="K1541" s="228" t="s">
        <v>5257</v>
      </c>
      <c r="L1541" s="18" t="s">
        <v>5258</v>
      </c>
      <c r="N1541" s="16"/>
      <c r="O1541" s="16"/>
      <c r="P1541" s="16"/>
      <c r="Q1541" s="16"/>
      <c r="R1541" s="16"/>
      <c r="S1541" s="16"/>
      <c r="U1541" s="283" t="e">
        <v>#N/A</v>
      </c>
      <c r="V1541" s="18" t="s">
        <v>5267</v>
      </c>
      <c r="W1541" s="18">
        <v>1</v>
      </c>
      <c r="X1541" s="18">
        <v>1</v>
      </c>
      <c r="Y1541" s="18">
        <v>1</v>
      </c>
      <c r="Z1541" s="18">
        <v>1</v>
      </c>
      <c r="AA1541" s="18">
        <v>0</v>
      </c>
      <c r="AB1541" s="18">
        <v>1</v>
      </c>
      <c r="AC1541" s="316">
        <v>1</v>
      </c>
      <c r="AD1541" s="316">
        <v>1</v>
      </c>
      <c r="AE1541" s="302">
        <f t="shared" si="99"/>
        <v>0.875</v>
      </c>
      <c r="AF1541" s="176">
        <v>0</v>
      </c>
      <c r="AG1541" s="17">
        <v>0</v>
      </c>
      <c r="AH1541" s="176" t="s">
        <v>2526</v>
      </c>
      <c r="AI1541" s="176">
        <v>0</v>
      </c>
      <c r="AJ1541" s="234">
        <v>0</v>
      </c>
      <c r="AK1541" s="246">
        <v>0</v>
      </c>
      <c r="AL1541" s="246">
        <v>0</v>
      </c>
      <c r="AM1541" s="17">
        <f t="shared" si="98"/>
        <v>0</v>
      </c>
      <c r="AN1541" s="236" t="s">
        <v>265</v>
      </c>
      <c r="AO1541" s="236" t="s">
        <v>350</v>
      </c>
      <c r="AP1541" s="228" t="s">
        <v>119</v>
      </c>
    </row>
    <row r="1542" spans="1:43" s="18" customFormat="1" hidden="1" x14ac:dyDescent="0.3">
      <c r="A1542" s="228" t="s">
        <v>1451</v>
      </c>
      <c r="B1542" s="18" t="s">
        <v>4838</v>
      </c>
      <c r="C1542" s="228" t="s">
        <v>5114</v>
      </c>
      <c r="D1542" s="18" t="s">
        <v>5115</v>
      </c>
      <c r="E1542" s="228" t="s">
        <v>5116</v>
      </c>
      <c r="F1542" s="18" t="s">
        <v>5117</v>
      </c>
      <c r="G1542" s="228" t="s">
        <v>5118</v>
      </c>
      <c r="H1542" s="18" t="s">
        <v>5119</v>
      </c>
      <c r="I1542" s="228" t="s">
        <v>5255</v>
      </c>
      <c r="J1542" s="18" t="s">
        <v>5256</v>
      </c>
      <c r="K1542" s="228" t="s">
        <v>5268</v>
      </c>
      <c r="L1542" s="18" t="s">
        <v>5269</v>
      </c>
      <c r="M1542" s="18" t="s">
        <v>5270</v>
      </c>
      <c r="N1542" s="16">
        <v>24</v>
      </c>
      <c r="O1542" s="16">
        <v>538</v>
      </c>
      <c r="P1542" s="16">
        <v>642</v>
      </c>
      <c r="Q1542" s="16">
        <v>746</v>
      </c>
      <c r="R1542" s="16">
        <v>846</v>
      </c>
      <c r="S1542" s="16">
        <v>946</v>
      </c>
      <c r="T1542" s="18" t="s">
        <v>1581</v>
      </c>
      <c r="U1542" s="283" t="s">
        <v>1583</v>
      </c>
      <c r="V1542" s="18" t="s">
        <v>5271</v>
      </c>
      <c r="W1542" s="18">
        <v>0</v>
      </c>
      <c r="X1542" s="18">
        <v>0</v>
      </c>
      <c r="Y1542" s="18">
        <v>0</v>
      </c>
      <c r="Z1542" s="18">
        <v>1</v>
      </c>
      <c r="AA1542" s="18">
        <v>1</v>
      </c>
      <c r="AB1542" s="18">
        <v>0</v>
      </c>
      <c r="AC1542" s="316">
        <v>0</v>
      </c>
      <c r="AD1542" s="316">
        <v>1</v>
      </c>
      <c r="AE1542" s="302">
        <f t="shared" si="99"/>
        <v>0.375</v>
      </c>
      <c r="AF1542" s="239">
        <v>0</v>
      </c>
      <c r="AG1542" s="17">
        <v>0</v>
      </c>
      <c r="AH1542" s="239">
        <v>0.2</v>
      </c>
      <c r="AI1542" s="239">
        <v>0.2</v>
      </c>
      <c r="AJ1542" s="239">
        <v>0.2</v>
      </c>
      <c r="AK1542" s="246">
        <v>0</v>
      </c>
      <c r="AL1542" s="246">
        <v>0</v>
      </c>
      <c r="AM1542" s="17">
        <f t="shared" si="98"/>
        <v>0</v>
      </c>
      <c r="AN1542" s="157" t="s">
        <v>1581</v>
      </c>
      <c r="AO1542" s="157" t="s">
        <v>1583</v>
      </c>
      <c r="AP1542" s="240" t="s">
        <v>5209</v>
      </c>
      <c r="AQ1542" s="157"/>
    </row>
    <row r="1543" spans="1:43" s="18" customFormat="1" hidden="1" x14ac:dyDescent="0.3">
      <c r="A1543" s="228" t="s">
        <v>1451</v>
      </c>
      <c r="B1543" s="18" t="s">
        <v>4838</v>
      </c>
      <c r="C1543" s="228" t="s">
        <v>5114</v>
      </c>
      <c r="D1543" s="18" t="s">
        <v>5115</v>
      </c>
      <c r="E1543" s="228" t="s">
        <v>5116</v>
      </c>
      <c r="F1543" s="18" t="s">
        <v>5117</v>
      </c>
      <c r="G1543" s="228" t="s">
        <v>5118</v>
      </c>
      <c r="H1543" s="18" t="s">
        <v>5119</v>
      </c>
      <c r="I1543" s="228" t="s">
        <v>5255</v>
      </c>
      <c r="J1543" s="18" t="s">
        <v>5256</v>
      </c>
      <c r="K1543" s="228" t="s">
        <v>5268</v>
      </c>
      <c r="L1543" s="18" t="s">
        <v>5269</v>
      </c>
      <c r="M1543" s="18" t="s">
        <v>5272</v>
      </c>
      <c r="N1543" s="16">
        <v>49</v>
      </c>
      <c r="O1543" s="16">
        <v>75</v>
      </c>
      <c r="P1543" s="16">
        <v>80</v>
      </c>
      <c r="Q1543" s="16">
        <v>90</v>
      </c>
      <c r="R1543" s="16">
        <v>100</v>
      </c>
      <c r="S1543" s="16">
        <v>100</v>
      </c>
      <c r="T1543" s="18" t="s">
        <v>1581</v>
      </c>
      <c r="U1543" s="283" t="s">
        <v>1583</v>
      </c>
      <c r="V1543" s="18" t="s">
        <v>5273</v>
      </c>
      <c r="W1543" s="18">
        <v>0</v>
      </c>
      <c r="X1543" s="18">
        <v>0</v>
      </c>
      <c r="Y1543" s="18">
        <v>0</v>
      </c>
      <c r="Z1543" s="18">
        <v>0</v>
      </c>
      <c r="AA1543" s="18">
        <v>0</v>
      </c>
      <c r="AB1543" s="18">
        <v>0</v>
      </c>
      <c r="AC1543" s="316">
        <v>0</v>
      </c>
      <c r="AD1543" s="316">
        <v>0</v>
      </c>
      <c r="AE1543" s="302">
        <f t="shared" si="99"/>
        <v>0</v>
      </c>
      <c r="AF1543" s="239">
        <v>0</v>
      </c>
      <c r="AG1543" s="17">
        <v>0</v>
      </c>
      <c r="AH1543" s="239">
        <v>0.2</v>
      </c>
      <c r="AI1543" s="239">
        <v>0.2</v>
      </c>
      <c r="AJ1543" s="239">
        <v>0.2</v>
      </c>
      <c r="AK1543" s="246">
        <v>0</v>
      </c>
      <c r="AL1543" s="246">
        <v>0</v>
      </c>
      <c r="AM1543" s="17">
        <f t="shared" si="98"/>
        <v>0</v>
      </c>
      <c r="AN1543" s="157" t="s">
        <v>1581</v>
      </c>
      <c r="AO1543" s="157" t="s">
        <v>1583</v>
      </c>
      <c r="AP1543" s="240" t="s">
        <v>2074</v>
      </c>
      <c r="AQ1543" s="157"/>
    </row>
    <row r="1544" spans="1:43" s="18" customFormat="1" hidden="1" x14ac:dyDescent="0.3">
      <c r="A1544" s="228" t="s">
        <v>1451</v>
      </c>
      <c r="B1544" s="18" t="s">
        <v>4838</v>
      </c>
      <c r="C1544" s="228" t="s">
        <v>5114</v>
      </c>
      <c r="D1544" s="18" t="s">
        <v>5115</v>
      </c>
      <c r="E1544" s="228" t="s">
        <v>5116</v>
      </c>
      <c r="F1544" s="18" t="s">
        <v>5117</v>
      </c>
      <c r="G1544" s="228" t="s">
        <v>5118</v>
      </c>
      <c r="H1544" s="18" t="s">
        <v>5119</v>
      </c>
      <c r="I1544" s="228" t="s">
        <v>5255</v>
      </c>
      <c r="J1544" s="18" t="s">
        <v>5256</v>
      </c>
      <c r="K1544" s="228" t="s">
        <v>5268</v>
      </c>
      <c r="L1544" s="18" t="s">
        <v>5269</v>
      </c>
      <c r="N1544" s="16"/>
      <c r="O1544" s="16"/>
      <c r="P1544" s="16"/>
      <c r="Q1544" s="16"/>
      <c r="R1544" s="16"/>
      <c r="S1544" s="16"/>
      <c r="U1544" s="283" t="e">
        <v>#N/A</v>
      </c>
      <c r="V1544" s="18" t="s">
        <v>5274</v>
      </c>
      <c r="W1544" s="18">
        <v>0</v>
      </c>
      <c r="X1544" s="18">
        <v>0</v>
      </c>
      <c r="Y1544" s="18">
        <v>0</v>
      </c>
      <c r="Z1544" s="18">
        <v>0</v>
      </c>
      <c r="AA1544" s="18">
        <v>0</v>
      </c>
      <c r="AB1544" s="18">
        <v>0</v>
      </c>
      <c r="AC1544" s="316">
        <v>0</v>
      </c>
      <c r="AD1544" s="316">
        <v>0</v>
      </c>
      <c r="AE1544" s="302">
        <f t="shared" si="99"/>
        <v>0</v>
      </c>
      <c r="AF1544" s="239">
        <v>0</v>
      </c>
      <c r="AG1544" s="17">
        <v>0</v>
      </c>
      <c r="AH1544" s="239">
        <v>7.0000000000000007E-2</v>
      </c>
      <c r="AI1544" s="239">
        <v>7.0000000000000007E-2</v>
      </c>
      <c r="AJ1544" s="239">
        <v>7.0000000000000007E-2</v>
      </c>
      <c r="AK1544" s="246">
        <v>0</v>
      </c>
      <c r="AL1544" s="246">
        <v>0</v>
      </c>
      <c r="AM1544" s="17">
        <f t="shared" si="98"/>
        <v>0</v>
      </c>
      <c r="AN1544" s="157" t="s">
        <v>1581</v>
      </c>
      <c r="AO1544" s="157" t="s">
        <v>1583</v>
      </c>
      <c r="AP1544" s="240" t="s">
        <v>119</v>
      </c>
      <c r="AQ1544" s="157"/>
    </row>
    <row r="1545" spans="1:43" s="18" customFormat="1" hidden="1" x14ac:dyDescent="0.3">
      <c r="A1545" s="228" t="s">
        <v>1451</v>
      </c>
      <c r="B1545" s="18" t="s">
        <v>4838</v>
      </c>
      <c r="C1545" s="228" t="s">
        <v>5114</v>
      </c>
      <c r="D1545" s="18" t="s">
        <v>5115</v>
      </c>
      <c r="E1545" s="228" t="s">
        <v>5116</v>
      </c>
      <c r="F1545" s="18" t="s">
        <v>5117</v>
      </c>
      <c r="G1545" s="228" t="s">
        <v>5118</v>
      </c>
      <c r="H1545" s="18" t="s">
        <v>5119</v>
      </c>
      <c r="I1545" s="228" t="s">
        <v>5255</v>
      </c>
      <c r="J1545" s="18" t="s">
        <v>5256</v>
      </c>
      <c r="K1545" s="228" t="s">
        <v>5268</v>
      </c>
      <c r="L1545" s="18" t="s">
        <v>5269</v>
      </c>
      <c r="N1545" s="16"/>
      <c r="O1545" s="16"/>
      <c r="P1545" s="16"/>
      <c r="Q1545" s="16"/>
      <c r="R1545" s="16"/>
      <c r="S1545" s="16"/>
      <c r="U1545" s="283" t="e">
        <v>#N/A</v>
      </c>
      <c r="V1545" s="18" t="s">
        <v>5275</v>
      </c>
      <c r="W1545" s="18">
        <v>0</v>
      </c>
      <c r="X1545" s="18">
        <v>0</v>
      </c>
      <c r="Y1545" s="18">
        <v>0</v>
      </c>
      <c r="Z1545" s="18">
        <v>0</v>
      </c>
      <c r="AA1545" s="18">
        <v>0</v>
      </c>
      <c r="AB1545" s="18">
        <v>0</v>
      </c>
      <c r="AC1545" s="316">
        <v>0</v>
      </c>
      <c r="AD1545" s="316">
        <v>0</v>
      </c>
      <c r="AE1545" s="302">
        <f t="shared" si="99"/>
        <v>0</v>
      </c>
      <c r="AF1545" s="239">
        <v>0</v>
      </c>
      <c r="AG1545" s="17">
        <v>0</v>
      </c>
      <c r="AH1545" s="239" t="s">
        <v>2526</v>
      </c>
      <c r="AI1545" s="239">
        <v>7.0000000000000007E-2</v>
      </c>
      <c r="AJ1545" s="239" t="s">
        <v>2526</v>
      </c>
      <c r="AK1545" s="246">
        <v>0</v>
      </c>
      <c r="AL1545" s="246">
        <v>0</v>
      </c>
      <c r="AM1545" s="17">
        <f t="shared" si="98"/>
        <v>0</v>
      </c>
      <c r="AN1545" s="157" t="s">
        <v>1581</v>
      </c>
      <c r="AO1545" s="157" t="s">
        <v>1583</v>
      </c>
      <c r="AP1545" s="240" t="s">
        <v>5276</v>
      </c>
      <c r="AQ1545" s="157"/>
    </row>
    <row r="1546" spans="1:43" s="18" customFormat="1" x14ac:dyDescent="0.3">
      <c r="A1546" s="228" t="s">
        <v>1451</v>
      </c>
      <c r="B1546" s="18" t="s">
        <v>4838</v>
      </c>
      <c r="C1546" s="228" t="s">
        <v>5114</v>
      </c>
      <c r="D1546" s="18" t="s">
        <v>5115</v>
      </c>
      <c r="E1546" s="228" t="s">
        <v>5116</v>
      </c>
      <c r="F1546" s="18" t="s">
        <v>5117</v>
      </c>
      <c r="G1546" s="228" t="s">
        <v>5277</v>
      </c>
      <c r="H1546" s="18" t="s">
        <v>5278</v>
      </c>
      <c r="I1546" s="228" t="s">
        <v>5279</v>
      </c>
      <c r="J1546" s="18" t="s">
        <v>5280</v>
      </c>
      <c r="K1546" s="228" t="s">
        <v>5281</v>
      </c>
      <c r="L1546" s="18" t="s">
        <v>5282</v>
      </c>
      <c r="M1546" s="18" t="s">
        <v>5283</v>
      </c>
      <c r="N1546" s="16">
        <v>0</v>
      </c>
      <c r="O1546" s="16">
        <v>3</v>
      </c>
      <c r="P1546" s="16">
        <v>4</v>
      </c>
      <c r="Q1546" s="16">
        <v>5</v>
      </c>
      <c r="R1546" s="16">
        <v>5</v>
      </c>
      <c r="S1546" s="16">
        <v>5</v>
      </c>
      <c r="T1546" s="18" t="s">
        <v>1191</v>
      </c>
      <c r="U1546" s="283" t="e">
        <v>#N/A</v>
      </c>
      <c r="V1546" s="18" t="s">
        <v>5284</v>
      </c>
      <c r="W1546" s="18">
        <v>1</v>
      </c>
      <c r="X1546" s="18">
        <v>1</v>
      </c>
      <c r="Y1546" s="18">
        <v>1</v>
      </c>
      <c r="Z1546" s="18">
        <v>1</v>
      </c>
      <c r="AA1546" s="18">
        <v>1</v>
      </c>
      <c r="AB1546" s="18">
        <v>1</v>
      </c>
      <c r="AC1546" s="316">
        <v>1</v>
      </c>
      <c r="AD1546" s="316">
        <v>1</v>
      </c>
      <c r="AE1546" s="302">
        <f t="shared" si="99"/>
        <v>1</v>
      </c>
      <c r="AF1546" s="239">
        <v>0</v>
      </c>
      <c r="AG1546" s="17">
        <v>0</v>
      </c>
      <c r="AH1546" s="239">
        <v>2</v>
      </c>
      <c r="AI1546" s="239">
        <v>2.1</v>
      </c>
      <c r="AJ1546" s="239">
        <v>2.21</v>
      </c>
      <c r="AK1546" s="238">
        <v>2.3199999999999998</v>
      </c>
      <c r="AL1546" s="238">
        <v>2.4300000000000002</v>
      </c>
      <c r="AM1546" s="17">
        <f t="shared" si="98"/>
        <v>4.75</v>
      </c>
      <c r="AN1546" s="157" t="s">
        <v>3201</v>
      </c>
      <c r="AO1546" s="157" t="s">
        <v>5285</v>
      </c>
      <c r="AP1546" s="240" t="s">
        <v>101</v>
      </c>
      <c r="AQ1546" s="157"/>
    </row>
    <row r="1547" spans="1:43" s="18" customFormat="1" hidden="1" x14ac:dyDescent="0.3">
      <c r="A1547" s="228" t="s">
        <v>1451</v>
      </c>
      <c r="B1547" s="18" t="s">
        <v>4838</v>
      </c>
      <c r="C1547" s="228" t="s">
        <v>5114</v>
      </c>
      <c r="D1547" s="18" t="s">
        <v>5115</v>
      </c>
      <c r="E1547" s="228" t="s">
        <v>5116</v>
      </c>
      <c r="F1547" s="18" t="s">
        <v>5117</v>
      </c>
      <c r="G1547" s="228" t="s">
        <v>5277</v>
      </c>
      <c r="H1547" s="18" t="s">
        <v>5278</v>
      </c>
      <c r="I1547" s="228" t="s">
        <v>5279</v>
      </c>
      <c r="J1547" s="18" t="s">
        <v>5280</v>
      </c>
      <c r="K1547" s="228" t="s">
        <v>5281</v>
      </c>
      <c r="L1547" s="18" t="s">
        <v>5282</v>
      </c>
      <c r="M1547" s="18" t="s">
        <v>5286</v>
      </c>
      <c r="N1547" s="16"/>
      <c r="O1547" s="16" t="s">
        <v>5287</v>
      </c>
      <c r="P1547" s="16" t="s">
        <v>5288</v>
      </c>
      <c r="Q1547" s="16" t="s">
        <v>5289</v>
      </c>
      <c r="R1547" s="16" t="s">
        <v>5290</v>
      </c>
      <c r="S1547" s="16" t="s">
        <v>3696</v>
      </c>
      <c r="T1547" s="18" t="s">
        <v>321</v>
      </c>
      <c r="U1547" s="283" t="s">
        <v>1066</v>
      </c>
      <c r="V1547" s="18" t="s">
        <v>5291</v>
      </c>
      <c r="W1547" s="18">
        <v>0</v>
      </c>
      <c r="X1547" s="18">
        <v>0</v>
      </c>
      <c r="Y1547" s="18">
        <v>0</v>
      </c>
      <c r="Z1547" s="18">
        <v>0</v>
      </c>
      <c r="AA1547" s="18">
        <v>0</v>
      </c>
      <c r="AB1547" s="18">
        <v>0</v>
      </c>
      <c r="AC1547" s="316">
        <v>0</v>
      </c>
      <c r="AD1547" s="316">
        <v>0</v>
      </c>
      <c r="AE1547" s="302">
        <f t="shared" si="99"/>
        <v>0</v>
      </c>
      <c r="AF1547" s="239">
        <v>0</v>
      </c>
      <c r="AG1547" s="17">
        <v>0</v>
      </c>
      <c r="AH1547" s="239" t="s">
        <v>2526</v>
      </c>
      <c r="AI1547" s="239" t="s">
        <v>2526</v>
      </c>
      <c r="AJ1547" s="239" t="s">
        <v>2526</v>
      </c>
      <c r="AK1547" s="238" t="s">
        <v>2526</v>
      </c>
      <c r="AL1547" s="238" t="s">
        <v>2526</v>
      </c>
      <c r="AM1547" s="17">
        <f t="shared" si="98"/>
        <v>0</v>
      </c>
      <c r="AN1547" s="157" t="s">
        <v>921</v>
      </c>
      <c r="AO1547" s="157" t="s">
        <v>880</v>
      </c>
      <c r="AP1547" s="240" t="s">
        <v>119</v>
      </c>
      <c r="AQ1547" s="157"/>
    </row>
    <row r="1548" spans="1:43" s="18" customFormat="1" x14ac:dyDescent="0.3">
      <c r="A1548" s="228" t="s">
        <v>1451</v>
      </c>
      <c r="B1548" s="18" t="s">
        <v>4838</v>
      </c>
      <c r="C1548" s="228" t="s">
        <v>5114</v>
      </c>
      <c r="D1548" s="18" t="s">
        <v>5115</v>
      </c>
      <c r="E1548" s="228" t="s">
        <v>5116</v>
      </c>
      <c r="F1548" s="18" t="s">
        <v>5117</v>
      </c>
      <c r="G1548" s="228" t="s">
        <v>5277</v>
      </c>
      <c r="H1548" s="18" t="s">
        <v>5278</v>
      </c>
      <c r="I1548" s="228" t="s">
        <v>5279</v>
      </c>
      <c r="J1548" s="18" t="s">
        <v>5280</v>
      </c>
      <c r="K1548" s="228" t="s">
        <v>5281</v>
      </c>
      <c r="L1548" s="18" t="s">
        <v>5282</v>
      </c>
      <c r="M1548" s="18" t="s">
        <v>5292</v>
      </c>
      <c r="N1548" s="16">
        <v>1</v>
      </c>
      <c r="O1548" s="16">
        <v>1</v>
      </c>
      <c r="P1548" s="16">
        <v>1</v>
      </c>
      <c r="Q1548" s="16" t="s">
        <v>3763</v>
      </c>
      <c r="R1548" s="16">
        <v>0</v>
      </c>
      <c r="S1548" s="16" t="s">
        <v>3763</v>
      </c>
      <c r="T1548" s="18" t="s">
        <v>3240</v>
      </c>
      <c r="U1548" s="283" t="e">
        <v>#N/A</v>
      </c>
      <c r="V1548" s="18" t="s">
        <v>5293</v>
      </c>
      <c r="W1548" s="18">
        <v>1</v>
      </c>
      <c r="X1548" s="18">
        <v>0</v>
      </c>
      <c r="Y1548" s="18">
        <v>1</v>
      </c>
      <c r="Z1548" s="18">
        <v>1</v>
      </c>
      <c r="AA1548" s="18">
        <v>0</v>
      </c>
      <c r="AB1548" s="18">
        <v>1</v>
      </c>
      <c r="AC1548" s="316">
        <v>1</v>
      </c>
      <c r="AD1548" s="316">
        <v>1</v>
      </c>
      <c r="AE1548" s="302">
        <f t="shared" si="99"/>
        <v>0.75</v>
      </c>
      <c r="AF1548" s="176">
        <v>0</v>
      </c>
      <c r="AG1548" s="17">
        <v>0</v>
      </c>
      <c r="AH1548" s="176" t="s">
        <v>2526</v>
      </c>
      <c r="AI1548" s="176" t="s">
        <v>2526</v>
      </c>
      <c r="AJ1548" s="234" t="s">
        <v>2526</v>
      </c>
      <c r="AK1548" s="235" t="s">
        <v>2526</v>
      </c>
      <c r="AL1548" s="235" t="s">
        <v>2526</v>
      </c>
      <c r="AM1548" s="17">
        <f t="shared" si="98"/>
        <v>0</v>
      </c>
      <c r="AN1548" s="236" t="s">
        <v>921</v>
      </c>
      <c r="AO1548" s="236" t="s">
        <v>880</v>
      </c>
      <c r="AP1548" s="228" t="s">
        <v>119</v>
      </c>
    </row>
    <row r="1549" spans="1:43" s="18" customFormat="1" x14ac:dyDescent="0.3">
      <c r="A1549" s="228" t="s">
        <v>1451</v>
      </c>
      <c r="B1549" s="18" t="s">
        <v>4838</v>
      </c>
      <c r="C1549" s="228" t="s">
        <v>5114</v>
      </c>
      <c r="D1549" s="18" t="s">
        <v>5115</v>
      </c>
      <c r="E1549" s="228" t="s">
        <v>5116</v>
      </c>
      <c r="F1549" s="18" t="s">
        <v>5117</v>
      </c>
      <c r="G1549" s="228" t="s">
        <v>5277</v>
      </c>
      <c r="H1549" s="18" t="s">
        <v>5278</v>
      </c>
      <c r="I1549" s="228" t="s">
        <v>5279</v>
      </c>
      <c r="J1549" s="18" t="s">
        <v>5280</v>
      </c>
      <c r="K1549" s="228" t="s">
        <v>5281</v>
      </c>
      <c r="L1549" s="18" t="s">
        <v>5282</v>
      </c>
      <c r="M1549" s="18" t="s">
        <v>5294</v>
      </c>
      <c r="N1549" s="16">
        <v>2</v>
      </c>
      <c r="O1549" s="16" t="s">
        <v>3548</v>
      </c>
      <c r="P1549" s="16" t="s">
        <v>5295</v>
      </c>
      <c r="Q1549" s="16" t="s">
        <v>3560</v>
      </c>
      <c r="R1549" s="16" t="s">
        <v>3767</v>
      </c>
      <c r="S1549" s="16" t="s">
        <v>5296</v>
      </c>
      <c r="T1549" s="18" t="s">
        <v>3201</v>
      </c>
      <c r="U1549" s="283" t="s">
        <v>5285</v>
      </c>
      <c r="V1549" s="18" t="s">
        <v>5297</v>
      </c>
      <c r="W1549" s="18">
        <v>1</v>
      </c>
      <c r="X1549" s="18">
        <v>1</v>
      </c>
      <c r="Y1549" s="18">
        <v>1</v>
      </c>
      <c r="Z1549" s="18">
        <v>1</v>
      </c>
      <c r="AA1549" s="18">
        <v>1</v>
      </c>
      <c r="AB1549" s="18">
        <v>1</v>
      </c>
      <c r="AC1549" s="316">
        <v>1</v>
      </c>
      <c r="AD1549" s="316">
        <v>1</v>
      </c>
      <c r="AE1549" s="302">
        <f t="shared" si="99"/>
        <v>1</v>
      </c>
      <c r="AF1549" s="176">
        <v>0</v>
      </c>
      <c r="AG1549" s="17">
        <v>0</v>
      </c>
      <c r="AH1549" s="176">
        <v>0.5</v>
      </c>
      <c r="AI1549" s="239">
        <v>0.6</v>
      </c>
      <c r="AJ1549" s="239">
        <v>0.7</v>
      </c>
      <c r="AK1549" s="177">
        <v>0.8</v>
      </c>
      <c r="AL1549" s="238">
        <v>0.9</v>
      </c>
      <c r="AM1549" s="17">
        <f t="shared" si="98"/>
        <v>1.7000000000000002</v>
      </c>
      <c r="AN1549" s="157" t="s">
        <v>321</v>
      </c>
      <c r="AO1549" s="157" t="s">
        <v>1066</v>
      </c>
      <c r="AP1549" s="240" t="s">
        <v>5298</v>
      </c>
      <c r="AQ1549" s="157"/>
    </row>
    <row r="1550" spans="1:43" s="18" customFormat="1" x14ac:dyDescent="0.3">
      <c r="A1550" s="228" t="s">
        <v>1451</v>
      </c>
      <c r="B1550" s="18" t="s">
        <v>4838</v>
      </c>
      <c r="C1550" s="228" t="s">
        <v>5114</v>
      </c>
      <c r="D1550" s="18" t="s">
        <v>5115</v>
      </c>
      <c r="E1550" s="228" t="s">
        <v>5116</v>
      </c>
      <c r="F1550" s="18" t="s">
        <v>5117</v>
      </c>
      <c r="G1550" s="228" t="s">
        <v>5277</v>
      </c>
      <c r="H1550" s="18" t="s">
        <v>5278</v>
      </c>
      <c r="I1550" s="228" t="s">
        <v>5279</v>
      </c>
      <c r="J1550" s="18" t="s">
        <v>5280</v>
      </c>
      <c r="K1550" s="228" t="s">
        <v>5281</v>
      </c>
      <c r="L1550" s="18" t="s">
        <v>5282</v>
      </c>
      <c r="N1550" s="16"/>
      <c r="O1550" s="16"/>
      <c r="P1550" s="16"/>
      <c r="Q1550" s="16"/>
      <c r="R1550" s="16"/>
      <c r="S1550" s="16"/>
      <c r="U1550" s="283" t="e">
        <v>#N/A</v>
      </c>
      <c r="V1550" s="18" t="s">
        <v>5299</v>
      </c>
      <c r="W1550" s="18">
        <v>1</v>
      </c>
      <c r="X1550" s="18">
        <v>1</v>
      </c>
      <c r="Y1550" s="18">
        <v>1</v>
      </c>
      <c r="Z1550" s="18">
        <v>1</v>
      </c>
      <c r="AA1550" s="18">
        <v>1</v>
      </c>
      <c r="AB1550" s="18">
        <v>1</v>
      </c>
      <c r="AC1550" s="316">
        <v>1</v>
      </c>
      <c r="AD1550" s="316">
        <v>1</v>
      </c>
      <c r="AE1550" s="302">
        <f t="shared" si="99"/>
        <v>1</v>
      </c>
      <c r="AF1550" s="176">
        <v>0</v>
      </c>
      <c r="AG1550" s="17">
        <v>0</v>
      </c>
      <c r="AH1550" s="176">
        <v>4</v>
      </c>
      <c r="AI1550" s="239">
        <v>4</v>
      </c>
      <c r="AJ1550" s="239">
        <v>4</v>
      </c>
      <c r="AK1550" s="237">
        <v>2.8</v>
      </c>
      <c r="AL1550" s="238">
        <v>4</v>
      </c>
      <c r="AM1550" s="17">
        <f t="shared" si="98"/>
        <v>6.8</v>
      </c>
      <c r="AN1550" s="157" t="s">
        <v>3201</v>
      </c>
      <c r="AO1550" s="157" t="s">
        <v>5285</v>
      </c>
      <c r="AP1550" s="240" t="s">
        <v>5300</v>
      </c>
      <c r="AQ1550" s="157"/>
    </row>
    <row r="1551" spans="1:43" s="18" customFormat="1" x14ac:dyDescent="0.3">
      <c r="A1551" s="228" t="s">
        <v>1451</v>
      </c>
      <c r="B1551" s="18" t="s">
        <v>4838</v>
      </c>
      <c r="C1551" s="228" t="s">
        <v>5114</v>
      </c>
      <c r="D1551" s="18" t="s">
        <v>5115</v>
      </c>
      <c r="E1551" s="228" t="s">
        <v>5116</v>
      </c>
      <c r="F1551" s="18" t="s">
        <v>5117</v>
      </c>
      <c r="G1551" s="228" t="s">
        <v>5277</v>
      </c>
      <c r="H1551" s="18" t="s">
        <v>5278</v>
      </c>
      <c r="I1551" s="228" t="s">
        <v>5279</v>
      </c>
      <c r="J1551" s="18" t="s">
        <v>5280</v>
      </c>
      <c r="K1551" s="228" t="s">
        <v>5281</v>
      </c>
      <c r="L1551" s="18" t="s">
        <v>5282</v>
      </c>
      <c r="N1551" s="16"/>
      <c r="O1551" s="16"/>
      <c r="P1551" s="16"/>
      <c r="Q1551" s="16"/>
      <c r="R1551" s="16"/>
      <c r="S1551" s="16"/>
      <c r="U1551" s="283" t="e">
        <v>#N/A</v>
      </c>
      <c r="V1551" s="18" t="s">
        <v>5301</v>
      </c>
      <c r="W1551" s="18">
        <v>1</v>
      </c>
      <c r="X1551" s="18">
        <v>1</v>
      </c>
      <c r="Y1551" s="18">
        <v>1</v>
      </c>
      <c r="Z1551" s="18">
        <v>1</v>
      </c>
      <c r="AA1551" s="18">
        <v>1</v>
      </c>
      <c r="AB1551" s="18">
        <v>1</v>
      </c>
      <c r="AC1551" s="316">
        <v>1</v>
      </c>
      <c r="AD1551" s="316">
        <v>1</v>
      </c>
      <c r="AE1551" s="302">
        <f t="shared" si="99"/>
        <v>1</v>
      </c>
      <c r="AF1551" s="176">
        <v>0</v>
      </c>
      <c r="AG1551" s="17">
        <v>0</v>
      </c>
      <c r="AH1551" s="176">
        <v>2</v>
      </c>
      <c r="AI1551" s="239">
        <v>2</v>
      </c>
      <c r="AJ1551" s="239">
        <v>2</v>
      </c>
      <c r="AK1551" s="177">
        <v>2</v>
      </c>
      <c r="AL1551" s="238">
        <v>2</v>
      </c>
      <c r="AM1551" s="17">
        <f t="shared" si="98"/>
        <v>4</v>
      </c>
      <c r="AN1551" s="157" t="s">
        <v>3201</v>
      </c>
      <c r="AO1551" s="157" t="s">
        <v>5285</v>
      </c>
      <c r="AP1551" s="240" t="s">
        <v>5302</v>
      </c>
      <c r="AQ1551" s="157"/>
    </row>
    <row r="1552" spans="1:43" s="18" customFormat="1" x14ac:dyDescent="0.3">
      <c r="A1552" s="228" t="s">
        <v>1451</v>
      </c>
      <c r="B1552" s="18" t="s">
        <v>4838</v>
      </c>
      <c r="C1552" s="228" t="s">
        <v>5114</v>
      </c>
      <c r="D1552" s="18" t="s">
        <v>5115</v>
      </c>
      <c r="E1552" s="228" t="s">
        <v>5116</v>
      </c>
      <c r="F1552" s="18" t="s">
        <v>5117</v>
      </c>
      <c r="G1552" s="228" t="s">
        <v>5277</v>
      </c>
      <c r="H1552" s="18" t="s">
        <v>5278</v>
      </c>
      <c r="I1552" s="228" t="s">
        <v>5279</v>
      </c>
      <c r="J1552" s="18" t="s">
        <v>5280</v>
      </c>
      <c r="K1552" s="228" t="s">
        <v>5281</v>
      </c>
      <c r="L1552" s="18" t="s">
        <v>5282</v>
      </c>
      <c r="N1552" s="16"/>
      <c r="O1552" s="16"/>
      <c r="P1552" s="16"/>
      <c r="Q1552" s="16"/>
      <c r="R1552" s="16"/>
      <c r="S1552" s="16"/>
      <c r="U1552" s="283" t="e">
        <v>#N/A</v>
      </c>
      <c r="V1552" s="18" t="s">
        <v>5303</v>
      </c>
      <c r="W1552" s="18">
        <v>1</v>
      </c>
      <c r="X1552" s="18">
        <v>1</v>
      </c>
      <c r="Y1552" s="18">
        <v>1</v>
      </c>
      <c r="Z1552" s="18">
        <v>0</v>
      </c>
      <c r="AA1552" s="18">
        <v>1</v>
      </c>
      <c r="AB1552" s="18">
        <v>1</v>
      </c>
      <c r="AC1552" s="316">
        <v>1</v>
      </c>
      <c r="AD1552" s="316">
        <v>1</v>
      </c>
      <c r="AE1552" s="302">
        <f t="shared" si="99"/>
        <v>0.875</v>
      </c>
      <c r="AF1552" s="176">
        <v>0</v>
      </c>
      <c r="AG1552" s="17">
        <v>0</v>
      </c>
      <c r="AH1552" s="176">
        <v>1</v>
      </c>
      <c r="AI1552" s="239">
        <v>0.5</v>
      </c>
      <c r="AJ1552" s="239">
        <v>0.5</v>
      </c>
      <c r="AK1552" s="177">
        <v>0.5</v>
      </c>
      <c r="AL1552" s="238">
        <v>0.5</v>
      </c>
      <c r="AM1552" s="17">
        <f t="shared" si="98"/>
        <v>1</v>
      </c>
      <c r="AN1552" s="157" t="s">
        <v>3201</v>
      </c>
      <c r="AO1552" s="157" t="s">
        <v>5285</v>
      </c>
      <c r="AP1552" s="240" t="s">
        <v>5304</v>
      </c>
      <c r="AQ1552" s="157"/>
    </row>
    <row r="1553" spans="1:43" s="18" customFormat="1" x14ac:dyDescent="0.3">
      <c r="A1553" s="228" t="s">
        <v>1451</v>
      </c>
      <c r="B1553" s="18" t="s">
        <v>4838</v>
      </c>
      <c r="C1553" s="228" t="s">
        <v>5114</v>
      </c>
      <c r="D1553" s="18" t="s">
        <v>5115</v>
      </c>
      <c r="E1553" s="228" t="s">
        <v>5116</v>
      </c>
      <c r="F1553" s="18" t="s">
        <v>5117</v>
      </c>
      <c r="G1553" s="228" t="s">
        <v>5277</v>
      </c>
      <c r="H1553" s="18" t="s">
        <v>5278</v>
      </c>
      <c r="I1553" s="228" t="s">
        <v>5279</v>
      </c>
      <c r="J1553" s="18" t="s">
        <v>5280</v>
      </c>
      <c r="K1553" s="228" t="s">
        <v>5281</v>
      </c>
      <c r="L1553" s="18" t="s">
        <v>5282</v>
      </c>
      <c r="N1553" s="16"/>
      <c r="O1553" s="16"/>
      <c r="P1553" s="16"/>
      <c r="Q1553" s="16"/>
      <c r="R1553" s="16"/>
      <c r="S1553" s="16"/>
      <c r="U1553" s="283" t="e">
        <v>#N/A</v>
      </c>
      <c r="V1553" s="18" t="s">
        <v>5305</v>
      </c>
      <c r="W1553" s="18">
        <v>1</v>
      </c>
      <c r="X1553" s="18">
        <v>1</v>
      </c>
      <c r="Y1553" s="18">
        <v>1</v>
      </c>
      <c r="Z1553" s="18">
        <v>1</v>
      </c>
      <c r="AA1553" s="18">
        <v>1</v>
      </c>
      <c r="AB1553" s="18">
        <v>1</v>
      </c>
      <c r="AC1553" s="18">
        <v>0</v>
      </c>
      <c r="AD1553" s="18">
        <v>1</v>
      </c>
      <c r="AE1553" s="302">
        <f t="shared" si="99"/>
        <v>0.875</v>
      </c>
      <c r="AF1553" s="176">
        <v>0</v>
      </c>
      <c r="AG1553" s="17">
        <v>0</v>
      </c>
      <c r="AH1553" s="176">
        <v>2.5</v>
      </c>
      <c r="AI1553" s="239">
        <v>2.5</v>
      </c>
      <c r="AJ1553" s="239">
        <v>2.5</v>
      </c>
      <c r="AK1553" s="177">
        <v>2.5</v>
      </c>
      <c r="AL1553" s="238">
        <v>2.5</v>
      </c>
      <c r="AM1553" s="17">
        <f t="shared" si="98"/>
        <v>5</v>
      </c>
      <c r="AN1553" s="157" t="s">
        <v>3201</v>
      </c>
      <c r="AO1553" s="157" t="s">
        <v>5285</v>
      </c>
      <c r="AP1553" s="240" t="s">
        <v>5306</v>
      </c>
      <c r="AQ1553" s="157"/>
    </row>
    <row r="1554" spans="1:43" s="18" customFormat="1" x14ac:dyDescent="0.3">
      <c r="A1554" s="228" t="s">
        <v>1451</v>
      </c>
      <c r="B1554" s="18" t="s">
        <v>4838</v>
      </c>
      <c r="C1554" s="228" t="s">
        <v>5114</v>
      </c>
      <c r="D1554" s="18" t="s">
        <v>5115</v>
      </c>
      <c r="E1554" s="228" t="s">
        <v>5116</v>
      </c>
      <c r="F1554" s="18" t="s">
        <v>5117</v>
      </c>
      <c r="G1554" s="228" t="s">
        <v>5277</v>
      </c>
      <c r="H1554" s="18" t="s">
        <v>5278</v>
      </c>
      <c r="I1554" s="228" t="s">
        <v>5279</v>
      </c>
      <c r="J1554" s="18" t="s">
        <v>5280</v>
      </c>
      <c r="K1554" s="228" t="s">
        <v>5281</v>
      </c>
      <c r="L1554" s="18" t="s">
        <v>5282</v>
      </c>
      <c r="N1554" s="16"/>
      <c r="O1554" s="16"/>
      <c r="P1554" s="16"/>
      <c r="Q1554" s="16"/>
      <c r="R1554" s="16"/>
      <c r="S1554" s="16"/>
      <c r="U1554" s="283" t="e">
        <v>#N/A</v>
      </c>
      <c r="V1554" s="18" t="s">
        <v>5307</v>
      </c>
      <c r="W1554" s="18">
        <v>1</v>
      </c>
      <c r="X1554" s="18">
        <v>1</v>
      </c>
      <c r="Y1554" s="18">
        <v>1</v>
      </c>
      <c r="Z1554" s="18">
        <v>0</v>
      </c>
      <c r="AA1554" s="18">
        <v>1</v>
      </c>
      <c r="AB1554" s="18">
        <v>1</v>
      </c>
      <c r="AC1554" s="316">
        <v>0</v>
      </c>
      <c r="AD1554" s="316">
        <v>1</v>
      </c>
      <c r="AE1554" s="302">
        <f t="shared" si="99"/>
        <v>0.75</v>
      </c>
      <c r="AF1554" s="176">
        <v>0</v>
      </c>
      <c r="AG1554" s="17">
        <v>0</v>
      </c>
      <c r="AH1554" s="176">
        <v>15</v>
      </c>
      <c r="AI1554" s="239">
        <v>15</v>
      </c>
      <c r="AJ1554" s="239">
        <v>15</v>
      </c>
      <c r="AK1554" s="237">
        <v>11</v>
      </c>
      <c r="AL1554" s="238">
        <v>15</v>
      </c>
      <c r="AM1554" s="17">
        <f t="shared" si="98"/>
        <v>26</v>
      </c>
      <c r="AN1554" s="157" t="s">
        <v>3201</v>
      </c>
      <c r="AO1554" s="157" t="s">
        <v>5285</v>
      </c>
      <c r="AP1554" s="240" t="s">
        <v>5308</v>
      </c>
      <c r="AQ1554" s="157"/>
    </row>
    <row r="1555" spans="1:43" s="18" customFormat="1" hidden="1" x14ac:dyDescent="0.3">
      <c r="A1555" s="228" t="s">
        <v>1451</v>
      </c>
      <c r="B1555" s="18" t="s">
        <v>4838</v>
      </c>
      <c r="C1555" s="228" t="s">
        <v>5114</v>
      </c>
      <c r="D1555" s="18" t="s">
        <v>5115</v>
      </c>
      <c r="E1555" s="228" t="s">
        <v>5116</v>
      </c>
      <c r="F1555" s="18" t="s">
        <v>5117</v>
      </c>
      <c r="G1555" s="228" t="s">
        <v>5277</v>
      </c>
      <c r="H1555" s="18" t="s">
        <v>5278</v>
      </c>
      <c r="I1555" s="228" t="s">
        <v>5279</v>
      </c>
      <c r="J1555" s="18" t="s">
        <v>5280</v>
      </c>
      <c r="K1555" s="228" t="s">
        <v>5281</v>
      </c>
      <c r="L1555" s="18" t="s">
        <v>5282</v>
      </c>
      <c r="N1555" s="16"/>
      <c r="O1555" s="16"/>
      <c r="P1555" s="16"/>
      <c r="Q1555" s="16"/>
      <c r="R1555" s="16"/>
      <c r="S1555" s="16"/>
      <c r="U1555" s="283" t="e">
        <v>#N/A</v>
      </c>
      <c r="V1555" s="18" t="s">
        <v>5309</v>
      </c>
      <c r="W1555" s="18">
        <v>0</v>
      </c>
      <c r="X1555" s="18">
        <v>0</v>
      </c>
      <c r="Y1555" s="18">
        <v>0</v>
      </c>
      <c r="Z1555" s="18">
        <v>0</v>
      </c>
      <c r="AA1555" s="18">
        <v>0</v>
      </c>
      <c r="AB1555" s="18">
        <v>0</v>
      </c>
      <c r="AC1555" s="316">
        <v>0</v>
      </c>
      <c r="AD1555" s="316">
        <v>0</v>
      </c>
      <c r="AE1555" s="302">
        <f t="shared" si="99"/>
        <v>0</v>
      </c>
      <c r="AF1555" s="176">
        <v>0</v>
      </c>
      <c r="AG1555" s="17">
        <v>0</v>
      </c>
      <c r="AH1555" s="176" t="s">
        <v>2526</v>
      </c>
      <c r="AI1555" s="239" t="s">
        <v>2526</v>
      </c>
      <c r="AJ1555" s="239" t="s">
        <v>2526</v>
      </c>
      <c r="AK1555" s="177" t="s">
        <v>2526</v>
      </c>
      <c r="AL1555" s="238" t="s">
        <v>2526</v>
      </c>
      <c r="AM1555" s="17">
        <f t="shared" si="98"/>
        <v>0</v>
      </c>
      <c r="AN1555" s="157" t="s">
        <v>101</v>
      </c>
      <c r="AO1555" s="157" t="s">
        <v>103</v>
      </c>
      <c r="AP1555" s="240" t="s">
        <v>119</v>
      </c>
      <c r="AQ1555" s="157"/>
    </row>
    <row r="1556" spans="1:43" s="18" customFormat="1" hidden="1" x14ac:dyDescent="0.3">
      <c r="A1556" s="228" t="s">
        <v>1451</v>
      </c>
      <c r="B1556" s="18" t="s">
        <v>4838</v>
      </c>
      <c r="C1556" s="228" t="s">
        <v>5114</v>
      </c>
      <c r="D1556" s="18" t="s">
        <v>5115</v>
      </c>
      <c r="E1556" s="228" t="s">
        <v>5116</v>
      </c>
      <c r="F1556" s="18" t="s">
        <v>5117</v>
      </c>
      <c r="G1556" s="228" t="s">
        <v>5277</v>
      </c>
      <c r="H1556" s="18" t="s">
        <v>5278</v>
      </c>
      <c r="I1556" s="228" t="s">
        <v>5279</v>
      </c>
      <c r="J1556" s="18" t="s">
        <v>5280</v>
      </c>
      <c r="K1556" s="228" t="s">
        <v>5281</v>
      </c>
      <c r="L1556" s="18" t="s">
        <v>5282</v>
      </c>
      <c r="N1556" s="16"/>
      <c r="O1556" s="16"/>
      <c r="P1556" s="16"/>
      <c r="Q1556" s="16"/>
      <c r="R1556" s="16"/>
      <c r="S1556" s="16"/>
      <c r="U1556" s="283" t="e">
        <v>#N/A</v>
      </c>
      <c r="V1556" s="18" t="s">
        <v>5310</v>
      </c>
      <c r="W1556" s="18">
        <v>0</v>
      </c>
      <c r="X1556" s="18">
        <v>0</v>
      </c>
      <c r="Y1556" s="18">
        <v>0</v>
      </c>
      <c r="Z1556" s="18">
        <v>0</v>
      </c>
      <c r="AA1556" s="18">
        <v>0</v>
      </c>
      <c r="AB1556" s="18">
        <v>0</v>
      </c>
      <c r="AC1556" s="316">
        <v>0</v>
      </c>
      <c r="AD1556" s="316">
        <v>0</v>
      </c>
      <c r="AE1556" s="302">
        <f t="shared" si="99"/>
        <v>0</v>
      </c>
      <c r="AF1556" s="176">
        <v>0</v>
      </c>
      <c r="AG1556" s="17">
        <v>0</v>
      </c>
      <c r="AH1556" s="176" t="s">
        <v>2526</v>
      </c>
      <c r="AI1556" s="239" t="s">
        <v>2526</v>
      </c>
      <c r="AJ1556" s="239" t="s">
        <v>2526</v>
      </c>
      <c r="AK1556" s="177" t="s">
        <v>2526</v>
      </c>
      <c r="AL1556" s="238" t="s">
        <v>2526</v>
      </c>
      <c r="AM1556" s="17">
        <f t="shared" si="98"/>
        <v>0</v>
      </c>
      <c r="AN1556" s="157" t="s">
        <v>101</v>
      </c>
      <c r="AO1556" s="157" t="s">
        <v>103</v>
      </c>
      <c r="AP1556" s="240" t="s">
        <v>119</v>
      </c>
      <c r="AQ1556" s="157"/>
    </row>
    <row r="1557" spans="1:43" s="18" customFormat="1" hidden="1" x14ac:dyDescent="0.3">
      <c r="A1557" s="228" t="s">
        <v>1451</v>
      </c>
      <c r="B1557" s="18" t="s">
        <v>4838</v>
      </c>
      <c r="C1557" s="228" t="s">
        <v>5114</v>
      </c>
      <c r="D1557" s="18" t="s">
        <v>5115</v>
      </c>
      <c r="E1557" s="228" t="s">
        <v>5116</v>
      </c>
      <c r="F1557" s="18" t="s">
        <v>5117</v>
      </c>
      <c r="G1557" s="228" t="s">
        <v>5277</v>
      </c>
      <c r="H1557" s="18" t="s">
        <v>5278</v>
      </c>
      <c r="I1557" s="228" t="s">
        <v>5279</v>
      </c>
      <c r="J1557" s="18" t="s">
        <v>5280</v>
      </c>
      <c r="K1557" s="228" t="s">
        <v>5281</v>
      </c>
      <c r="L1557" s="18" t="s">
        <v>5282</v>
      </c>
      <c r="N1557" s="16"/>
      <c r="O1557" s="16"/>
      <c r="P1557" s="16"/>
      <c r="Q1557" s="16"/>
      <c r="R1557" s="16"/>
      <c r="S1557" s="16"/>
      <c r="U1557" s="283" t="e">
        <v>#N/A</v>
      </c>
      <c r="V1557" s="18" t="s">
        <v>5311</v>
      </c>
      <c r="W1557" s="18">
        <v>0</v>
      </c>
      <c r="X1557" s="18">
        <v>0</v>
      </c>
      <c r="Y1557" s="18">
        <v>0</v>
      </c>
      <c r="Z1557" s="18">
        <v>0</v>
      </c>
      <c r="AA1557" s="18">
        <v>0</v>
      </c>
      <c r="AB1557" s="18">
        <v>0</v>
      </c>
      <c r="AC1557" s="316">
        <v>0</v>
      </c>
      <c r="AD1557" s="316">
        <v>0</v>
      </c>
      <c r="AE1557" s="302">
        <f t="shared" si="99"/>
        <v>0</v>
      </c>
      <c r="AF1557" s="176">
        <v>0</v>
      </c>
      <c r="AG1557" s="17">
        <v>0</v>
      </c>
      <c r="AH1557" s="176" t="s">
        <v>2526</v>
      </c>
      <c r="AI1557" s="239" t="s">
        <v>2526</v>
      </c>
      <c r="AJ1557" s="239" t="s">
        <v>2526</v>
      </c>
      <c r="AK1557" s="246" t="s">
        <v>2526</v>
      </c>
      <c r="AL1557" s="246" t="s">
        <v>2526</v>
      </c>
      <c r="AM1557" s="17">
        <f t="shared" si="98"/>
        <v>0</v>
      </c>
      <c r="AN1557" s="157" t="s">
        <v>101</v>
      </c>
      <c r="AO1557" s="157" t="s">
        <v>103</v>
      </c>
      <c r="AP1557" s="240" t="s">
        <v>119</v>
      </c>
      <c r="AQ1557" s="157"/>
    </row>
    <row r="1558" spans="1:43" s="18" customFormat="1" hidden="1" x14ac:dyDescent="0.3">
      <c r="A1558" s="228" t="s">
        <v>1451</v>
      </c>
      <c r="B1558" s="18" t="s">
        <v>4838</v>
      </c>
      <c r="C1558" s="228" t="s">
        <v>5114</v>
      </c>
      <c r="D1558" s="18" t="s">
        <v>5115</v>
      </c>
      <c r="E1558" s="228" t="s">
        <v>5116</v>
      </c>
      <c r="F1558" s="18" t="s">
        <v>5117</v>
      </c>
      <c r="G1558" s="228" t="s">
        <v>5277</v>
      </c>
      <c r="H1558" s="18" t="s">
        <v>5278</v>
      </c>
      <c r="I1558" s="228" t="s">
        <v>5279</v>
      </c>
      <c r="J1558" s="18" t="s">
        <v>5280</v>
      </c>
      <c r="K1558" s="228" t="s">
        <v>5281</v>
      </c>
      <c r="L1558" s="18" t="s">
        <v>5282</v>
      </c>
      <c r="N1558" s="16"/>
      <c r="O1558" s="16"/>
      <c r="P1558" s="16"/>
      <c r="Q1558" s="16"/>
      <c r="R1558" s="16"/>
      <c r="S1558" s="16"/>
      <c r="U1558" s="283" t="e">
        <v>#N/A</v>
      </c>
      <c r="V1558" s="18" t="s">
        <v>5312</v>
      </c>
      <c r="W1558" s="18">
        <v>0</v>
      </c>
      <c r="X1558" s="18">
        <v>0</v>
      </c>
      <c r="Y1558" s="18">
        <v>0</v>
      </c>
      <c r="Z1558" s="18">
        <v>0</v>
      </c>
      <c r="AA1558" s="18">
        <v>0</v>
      </c>
      <c r="AB1558" s="18">
        <v>0</v>
      </c>
      <c r="AC1558" s="18">
        <v>0</v>
      </c>
      <c r="AD1558" s="316">
        <v>0</v>
      </c>
      <c r="AE1558" s="302">
        <f t="shared" si="99"/>
        <v>0</v>
      </c>
      <c r="AF1558" s="176">
        <v>0</v>
      </c>
      <c r="AG1558" s="17">
        <v>0</v>
      </c>
      <c r="AH1558" s="176" t="s">
        <v>2526</v>
      </c>
      <c r="AI1558" s="176">
        <v>1</v>
      </c>
      <c r="AJ1558" s="234">
        <v>1</v>
      </c>
      <c r="AK1558" s="246" t="s">
        <v>2526</v>
      </c>
      <c r="AL1558" s="246" t="s">
        <v>2526</v>
      </c>
      <c r="AM1558" s="17">
        <f t="shared" si="98"/>
        <v>0</v>
      </c>
      <c r="AN1558" s="236" t="s">
        <v>4385</v>
      </c>
      <c r="AO1558" s="236" t="s">
        <v>103</v>
      </c>
      <c r="AP1558" s="228" t="s">
        <v>5313</v>
      </c>
    </row>
    <row r="1559" spans="1:43" s="18" customFormat="1" hidden="1" x14ac:dyDescent="0.3">
      <c r="A1559" s="228" t="s">
        <v>1451</v>
      </c>
      <c r="B1559" s="18" t="s">
        <v>4838</v>
      </c>
      <c r="C1559" s="228" t="s">
        <v>5114</v>
      </c>
      <c r="D1559" s="18" t="s">
        <v>5115</v>
      </c>
      <c r="E1559" s="228" t="s">
        <v>5116</v>
      </c>
      <c r="F1559" s="18" t="s">
        <v>5117</v>
      </c>
      <c r="G1559" s="228" t="s">
        <v>5277</v>
      </c>
      <c r="H1559" s="18" t="s">
        <v>5278</v>
      </c>
      <c r="I1559" s="228" t="s">
        <v>5279</v>
      </c>
      <c r="J1559" s="18" t="s">
        <v>5280</v>
      </c>
      <c r="K1559" s="228" t="s">
        <v>5281</v>
      </c>
      <c r="L1559" s="18" t="s">
        <v>5282</v>
      </c>
      <c r="N1559" s="16"/>
      <c r="O1559" s="16"/>
      <c r="P1559" s="16"/>
      <c r="Q1559" s="16"/>
      <c r="R1559" s="16"/>
      <c r="S1559" s="16"/>
      <c r="U1559" s="283" t="e">
        <v>#N/A</v>
      </c>
      <c r="V1559" s="18" t="s">
        <v>5314</v>
      </c>
      <c r="W1559" s="18">
        <v>1</v>
      </c>
      <c r="X1559" s="18">
        <v>0</v>
      </c>
      <c r="Y1559" s="18">
        <v>0</v>
      </c>
      <c r="Z1559" s="18">
        <v>1</v>
      </c>
      <c r="AA1559" s="18">
        <v>1</v>
      </c>
      <c r="AB1559" s="18">
        <v>0</v>
      </c>
      <c r="AC1559" s="316">
        <v>0</v>
      </c>
      <c r="AD1559" s="316">
        <v>1</v>
      </c>
      <c r="AE1559" s="302">
        <f t="shared" si="99"/>
        <v>0.5</v>
      </c>
      <c r="AF1559" s="176">
        <v>0</v>
      </c>
      <c r="AG1559" s="17">
        <v>0</v>
      </c>
      <c r="AH1559" s="176" t="s">
        <v>2526</v>
      </c>
      <c r="AI1559" s="239">
        <v>1</v>
      </c>
      <c r="AJ1559" s="239">
        <v>1</v>
      </c>
      <c r="AK1559" s="246" t="s">
        <v>2526</v>
      </c>
      <c r="AL1559" s="246" t="s">
        <v>2526</v>
      </c>
      <c r="AM1559" s="17">
        <f t="shared" si="98"/>
        <v>0</v>
      </c>
      <c r="AN1559" s="157" t="s">
        <v>4385</v>
      </c>
      <c r="AO1559" s="157" t="s">
        <v>103</v>
      </c>
      <c r="AP1559" s="240" t="s">
        <v>101</v>
      </c>
      <c r="AQ1559" s="157"/>
    </row>
    <row r="1560" spans="1:43" s="18" customFormat="1" hidden="1" x14ac:dyDescent="0.3">
      <c r="A1560" s="228" t="s">
        <v>1451</v>
      </c>
      <c r="B1560" s="18" t="s">
        <v>4838</v>
      </c>
      <c r="C1560" s="228" t="s">
        <v>5114</v>
      </c>
      <c r="D1560" s="18" t="s">
        <v>5115</v>
      </c>
      <c r="E1560" s="228" t="s">
        <v>5116</v>
      </c>
      <c r="F1560" s="18" t="s">
        <v>5117</v>
      </c>
      <c r="G1560" s="228" t="s">
        <v>5277</v>
      </c>
      <c r="H1560" s="18" t="s">
        <v>5278</v>
      </c>
      <c r="I1560" s="228" t="s">
        <v>5279</v>
      </c>
      <c r="J1560" s="18" t="s">
        <v>5280</v>
      </c>
      <c r="K1560" s="228" t="s">
        <v>5281</v>
      </c>
      <c r="L1560" s="18" t="s">
        <v>5282</v>
      </c>
      <c r="N1560" s="16"/>
      <c r="O1560" s="16"/>
      <c r="P1560" s="16"/>
      <c r="Q1560" s="16"/>
      <c r="R1560" s="16"/>
      <c r="S1560" s="16"/>
      <c r="U1560" s="283" t="e">
        <v>#N/A</v>
      </c>
      <c r="V1560" s="18" t="s">
        <v>5315</v>
      </c>
      <c r="W1560" s="18">
        <v>0</v>
      </c>
      <c r="X1560" s="18">
        <v>0</v>
      </c>
      <c r="Y1560" s="18">
        <v>0</v>
      </c>
      <c r="Z1560" s="18">
        <v>0</v>
      </c>
      <c r="AA1560" s="18">
        <v>0</v>
      </c>
      <c r="AB1560" s="18">
        <v>0</v>
      </c>
      <c r="AC1560" s="316">
        <v>0</v>
      </c>
      <c r="AD1560" s="316">
        <v>0</v>
      </c>
      <c r="AE1560" s="302">
        <f t="shared" si="99"/>
        <v>0</v>
      </c>
      <c r="AF1560" s="176">
        <v>0</v>
      </c>
      <c r="AG1560" s="17">
        <v>0</v>
      </c>
      <c r="AH1560" s="176" t="s">
        <v>2526</v>
      </c>
      <c r="AI1560" s="239">
        <v>2.8</v>
      </c>
      <c r="AJ1560" s="239">
        <v>2</v>
      </c>
      <c r="AK1560" s="246" t="s">
        <v>2526</v>
      </c>
      <c r="AL1560" s="246" t="s">
        <v>2526</v>
      </c>
      <c r="AM1560" s="17">
        <f t="shared" si="98"/>
        <v>0</v>
      </c>
      <c r="AN1560" s="157" t="s">
        <v>4385</v>
      </c>
      <c r="AO1560" s="157" t="s">
        <v>103</v>
      </c>
      <c r="AP1560" s="240" t="s">
        <v>5316</v>
      </c>
      <c r="AQ1560" s="157"/>
    </row>
    <row r="1561" spans="1:43" s="18" customFormat="1" hidden="1" x14ac:dyDescent="0.3">
      <c r="A1561" s="228" t="s">
        <v>1451</v>
      </c>
      <c r="B1561" s="18" t="s">
        <v>4838</v>
      </c>
      <c r="C1561" s="228" t="s">
        <v>5114</v>
      </c>
      <c r="D1561" s="18" t="s">
        <v>5115</v>
      </c>
      <c r="E1561" s="228" t="s">
        <v>5116</v>
      </c>
      <c r="F1561" s="18" t="s">
        <v>5117</v>
      </c>
      <c r="G1561" s="228" t="s">
        <v>5277</v>
      </c>
      <c r="H1561" s="18" t="s">
        <v>5278</v>
      </c>
      <c r="I1561" s="228" t="s">
        <v>5279</v>
      </c>
      <c r="J1561" s="18" t="s">
        <v>5280</v>
      </c>
      <c r="K1561" s="228" t="s">
        <v>5281</v>
      </c>
      <c r="L1561" s="18" t="s">
        <v>5282</v>
      </c>
      <c r="N1561" s="16"/>
      <c r="O1561" s="16"/>
      <c r="P1561" s="16"/>
      <c r="Q1561" s="16"/>
      <c r="R1561" s="16"/>
      <c r="S1561" s="16"/>
      <c r="U1561" s="283" t="e">
        <v>#N/A</v>
      </c>
      <c r="V1561" s="18" t="s">
        <v>5317</v>
      </c>
      <c r="W1561" s="18">
        <v>0</v>
      </c>
      <c r="X1561" s="18">
        <v>0</v>
      </c>
      <c r="Y1561" s="18">
        <v>0</v>
      </c>
      <c r="Z1561" s="18">
        <v>0</v>
      </c>
      <c r="AA1561" s="18">
        <v>0</v>
      </c>
      <c r="AB1561" s="18">
        <v>0</v>
      </c>
      <c r="AC1561" s="18">
        <v>0</v>
      </c>
      <c r="AD1561" s="18">
        <v>0</v>
      </c>
      <c r="AE1561" s="302">
        <f t="shared" si="99"/>
        <v>0</v>
      </c>
      <c r="AF1561" s="239">
        <v>0</v>
      </c>
      <c r="AG1561" s="17">
        <v>0</v>
      </c>
      <c r="AH1561" s="239" t="s">
        <v>2526</v>
      </c>
      <c r="AI1561" s="239" t="s">
        <v>2526</v>
      </c>
      <c r="AJ1561" s="239" t="s">
        <v>2526</v>
      </c>
      <c r="AK1561" s="177" t="s">
        <v>2526</v>
      </c>
      <c r="AL1561" s="238" t="s">
        <v>2526</v>
      </c>
      <c r="AM1561" s="17">
        <f t="shared" si="98"/>
        <v>0</v>
      </c>
      <c r="AN1561" s="157" t="s">
        <v>3201</v>
      </c>
      <c r="AO1561" s="157" t="s">
        <v>5285</v>
      </c>
      <c r="AP1561" s="240" t="s">
        <v>119</v>
      </c>
      <c r="AQ1561" s="157"/>
    </row>
    <row r="1562" spans="1:43" s="18" customFormat="1" x14ac:dyDescent="0.3">
      <c r="A1562" s="228" t="s">
        <v>1451</v>
      </c>
      <c r="B1562" s="18" t="s">
        <v>4838</v>
      </c>
      <c r="C1562" s="228" t="s">
        <v>5114</v>
      </c>
      <c r="D1562" s="18" t="s">
        <v>5115</v>
      </c>
      <c r="E1562" s="228" t="s">
        <v>5116</v>
      </c>
      <c r="F1562" s="18" t="s">
        <v>5117</v>
      </c>
      <c r="G1562" s="228" t="s">
        <v>5277</v>
      </c>
      <c r="H1562" s="18" t="s">
        <v>5278</v>
      </c>
      <c r="I1562" s="228" t="s">
        <v>5318</v>
      </c>
      <c r="J1562" s="18" t="s">
        <v>5319</v>
      </c>
      <c r="K1562" s="228" t="s">
        <v>5320</v>
      </c>
      <c r="L1562" s="18" t="s">
        <v>5321</v>
      </c>
      <c r="M1562" s="18" t="s">
        <v>5322</v>
      </c>
      <c r="N1562" s="16">
        <v>0</v>
      </c>
      <c r="O1562" s="16">
        <v>1</v>
      </c>
      <c r="P1562" s="16">
        <v>1</v>
      </c>
      <c r="Q1562" s="16">
        <v>1</v>
      </c>
      <c r="R1562" s="16">
        <v>1</v>
      </c>
      <c r="S1562" s="16">
        <v>1</v>
      </c>
      <c r="T1562" s="18" t="s">
        <v>5323</v>
      </c>
      <c r="U1562" s="283" t="e">
        <v>#N/A</v>
      </c>
      <c r="V1562" s="18" t="s">
        <v>5324</v>
      </c>
      <c r="W1562" s="18">
        <v>1</v>
      </c>
      <c r="X1562" s="18">
        <v>1</v>
      </c>
      <c r="Y1562" s="18">
        <v>1</v>
      </c>
      <c r="Z1562" s="18">
        <v>1</v>
      </c>
      <c r="AA1562" s="18">
        <v>1</v>
      </c>
      <c r="AB1562" s="18">
        <v>1</v>
      </c>
      <c r="AC1562" s="18">
        <v>1</v>
      </c>
      <c r="AD1562" s="316">
        <v>1</v>
      </c>
      <c r="AE1562" s="302">
        <f t="shared" si="99"/>
        <v>1</v>
      </c>
      <c r="AF1562" s="176">
        <v>0</v>
      </c>
      <c r="AG1562" s="17">
        <v>0</v>
      </c>
      <c r="AH1562" s="176">
        <v>1.5</v>
      </c>
      <c r="AI1562" s="176">
        <v>0.5</v>
      </c>
      <c r="AJ1562" s="234">
        <v>0.5</v>
      </c>
      <c r="AK1562" s="235">
        <v>0.5</v>
      </c>
      <c r="AL1562" s="235">
        <v>0.5</v>
      </c>
      <c r="AM1562" s="17">
        <f t="shared" si="98"/>
        <v>1</v>
      </c>
      <c r="AN1562" s="236" t="s">
        <v>265</v>
      </c>
      <c r="AO1562" s="236" t="s">
        <v>350</v>
      </c>
      <c r="AP1562" s="228" t="s">
        <v>5325</v>
      </c>
    </row>
    <row r="1563" spans="1:43" s="18" customFormat="1" hidden="1" x14ac:dyDescent="0.3">
      <c r="A1563" s="228" t="s">
        <v>1451</v>
      </c>
      <c r="B1563" s="18" t="s">
        <v>4838</v>
      </c>
      <c r="C1563" s="228" t="s">
        <v>5114</v>
      </c>
      <c r="D1563" s="18" t="s">
        <v>5115</v>
      </c>
      <c r="E1563" s="228" t="s">
        <v>5116</v>
      </c>
      <c r="F1563" s="18" t="s">
        <v>5117</v>
      </c>
      <c r="G1563" s="228" t="s">
        <v>5277</v>
      </c>
      <c r="H1563" s="18" t="s">
        <v>5278</v>
      </c>
      <c r="I1563" s="228" t="s">
        <v>5318</v>
      </c>
      <c r="J1563" s="18" t="s">
        <v>5319</v>
      </c>
      <c r="K1563" s="228" t="s">
        <v>5320</v>
      </c>
      <c r="L1563" s="18" t="s">
        <v>5321</v>
      </c>
      <c r="N1563" s="16"/>
      <c r="O1563" s="16"/>
      <c r="P1563" s="16"/>
      <c r="Q1563" s="16"/>
      <c r="R1563" s="16"/>
      <c r="S1563" s="16"/>
      <c r="U1563" s="283" t="e">
        <v>#N/A</v>
      </c>
      <c r="V1563" s="18" t="s">
        <v>5326</v>
      </c>
      <c r="W1563" s="18">
        <v>0</v>
      </c>
      <c r="X1563" s="18">
        <v>0</v>
      </c>
      <c r="Y1563" s="18">
        <v>0</v>
      </c>
      <c r="Z1563" s="18">
        <v>0</v>
      </c>
      <c r="AA1563" s="18">
        <v>0</v>
      </c>
      <c r="AB1563" s="18">
        <v>0</v>
      </c>
      <c r="AC1563" s="18">
        <v>0</v>
      </c>
      <c r="AD1563" s="18">
        <v>0</v>
      </c>
      <c r="AE1563" s="302">
        <f t="shared" si="99"/>
        <v>0</v>
      </c>
      <c r="AF1563" s="239">
        <v>0</v>
      </c>
      <c r="AG1563" s="17">
        <v>0</v>
      </c>
      <c r="AH1563" s="239" t="s">
        <v>2526</v>
      </c>
      <c r="AI1563" s="239" t="s">
        <v>2526</v>
      </c>
      <c r="AJ1563" s="239" t="s">
        <v>2526</v>
      </c>
      <c r="AK1563" s="238" t="s">
        <v>2526</v>
      </c>
      <c r="AL1563" s="238" t="s">
        <v>2526</v>
      </c>
      <c r="AM1563" s="17">
        <f t="shared" si="98"/>
        <v>0</v>
      </c>
      <c r="AN1563" s="157" t="s">
        <v>265</v>
      </c>
      <c r="AO1563" s="157" t="s">
        <v>350</v>
      </c>
      <c r="AP1563" s="240" t="s">
        <v>3201</v>
      </c>
      <c r="AQ1563" s="157"/>
    </row>
    <row r="1564" spans="1:43" s="18" customFormat="1" hidden="1" x14ac:dyDescent="0.3">
      <c r="A1564" s="228" t="s">
        <v>1451</v>
      </c>
      <c r="B1564" s="18" t="s">
        <v>4838</v>
      </c>
      <c r="C1564" s="228" t="s">
        <v>5114</v>
      </c>
      <c r="D1564" s="18" t="s">
        <v>5115</v>
      </c>
      <c r="E1564" s="228" t="s">
        <v>5116</v>
      </c>
      <c r="F1564" s="18" t="s">
        <v>5117</v>
      </c>
      <c r="G1564" s="228" t="s">
        <v>5277</v>
      </c>
      <c r="H1564" s="18" t="s">
        <v>5278</v>
      </c>
      <c r="I1564" s="228" t="s">
        <v>5318</v>
      </c>
      <c r="J1564" s="18" t="s">
        <v>5319</v>
      </c>
      <c r="K1564" s="228" t="s">
        <v>5320</v>
      </c>
      <c r="L1564" s="18" t="s">
        <v>5321</v>
      </c>
      <c r="N1564" s="16"/>
      <c r="O1564" s="16"/>
      <c r="P1564" s="16"/>
      <c r="Q1564" s="16"/>
      <c r="R1564" s="16"/>
      <c r="S1564" s="16"/>
      <c r="U1564" s="283" t="e">
        <v>#N/A</v>
      </c>
      <c r="V1564" s="18" t="s">
        <v>5327</v>
      </c>
      <c r="W1564" s="18">
        <v>0</v>
      </c>
      <c r="X1564" s="18">
        <v>0</v>
      </c>
      <c r="Y1564" s="18">
        <v>0</v>
      </c>
      <c r="Z1564" s="18">
        <v>0</v>
      </c>
      <c r="AA1564" s="18">
        <v>1</v>
      </c>
      <c r="AB1564" s="18">
        <v>0</v>
      </c>
      <c r="AC1564" s="316">
        <v>0</v>
      </c>
      <c r="AD1564" s="316">
        <v>1</v>
      </c>
      <c r="AE1564" s="302">
        <f t="shared" si="99"/>
        <v>0.25</v>
      </c>
      <c r="AF1564" s="239">
        <v>0</v>
      </c>
      <c r="AG1564" s="17">
        <v>0</v>
      </c>
      <c r="AH1564" s="239">
        <v>0.3</v>
      </c>
      <c r="AI1564" s="239">
        <v>0.3</v>
      </c>
      <c r="AJ1564" s="239">
        <v>0.3</v>
      </c>
      <c r="AK1564" s="238" t="s">
        <v>2526</v>
      </c>
      <c r="AL1564" s="238" t="s">
        <v>2526</v>
      </c>
      <c r="AM1564" s="17">
        <f t="shared" si="98"/>
        <v>0</v>
      </c>
      <c r="AN1564" s="157" t="s">
        <v>869</v>
      </c>
      <c r="AO1564" s="157" t="s">
        <v>871</v>
      </c>
      <c r="AP1564" s="240" t="s">
        <v>265</v>
      </c>
      <c r="AQ1564" s="157"/>
    </row>
    <row r="1565" spans="1:43" s="18" customFormat="1" x14ac:dyDescent="0.3">
      <c r="A1565" s="228" t="s">
        <v>1451</v>
      </c>
      <c r="B1565" s="18" t="s">
        <v>4838</v>
      </c>
      <c r="C1565" s="228" t="s">
        <v>5114</v>
      </c>
      <c r="D1565" s="18" t="s">
        <v>5115</v>
      </c>
      <c r="E1565" s="228" t="s">
        <v>5116</v>
      </c>
      <c r="F1565" s="18" t="s">
        <v>5117</v>
      </c>
      <c r="G1565" s="228" t="s">
        <v>5277</v>
      </c>
      <c r="H1565" s="18" t="s">
        <v>5278</v>
      </c>
      <c r="I1565" s="228" t="s">
        <v>5328</v>
      </c>
      <c r="J1565" s="18" t="s">
        <v>5329</v>
      </c>
      <c r="K1565" s="228" t="s">
        <v>5330</v>
      </c>
      <c r="L1565" s="18" t="s">
        <v>5331</v>
      </c>
      <c r="M1565" s="18" t="s">
        <v>5332</v>
      </c>
      <c r="N1565" s="16">
        <v>2</v>
      </c>
      <c r="O1565" s="16" t="s">
        <v>3763</v>
      </c>
      <c r="P1565" s="16" t="s">
        <v>3763</v>
      </c>
      <c r="Q1565" s="16" t="s">
        <v>3763</v>
      </c>
      <c r="R1565" s="16" t="s">
        <v>3763</v>
      </c>
      <c r="S1565" s="16" t="s">
        <v>3763</v>
      </c>
      <c r="T1565" s="283" t="s">
        <v>265</v>
      </c>
      <c r="U1565" s="283" t="s">
        <v>350</v>
      </c>
      <c r="V1565" s="18" t="s">
        <v>5333</v>
      </c>
      <c r="W1565" s="18">
        <v>1</v>
      </c>
      <c r="X1565" s="18">
        <v>1</v>
      </c>
      <c r="Y1565" s="18">
        <v>1</v>
      </c>
      <c r="Z1565" s="18">
        <v>1</v>
      </c>
      <c r="AA1565" s="18">
        <v>1</v>
      </c>
      <c r="AB1565" s="18">
        <v>0</v>
      </c>
      <c r="AC1565" s="316">
        <v>0</v>
      </c>
      <c r="AD1565" s="316">
        <v>1</v>
      </c>
      <c r="AE1565" s="302">
        <f t="shared" si="99"/>
        <v>0.75</v>
      </c>
      <c r="AF1565" s="239">
        <v>1</v>
      </c>
      <c r="AG1565" s="17">
        <v>0</v>
      </c>
      <c r="AH1565" s="239">
        <v>4</v>
      </c>
      <c r="AI1565" s="239">
        <v>4.2</v>
      </c>
      <c r="AJ1565" s="239">
        <v>4.41</v>
      </c>
      <c r="AK1565" s="237">
        <v>3.63</v>
      </c>
      <c r="AL1565" s="238">
        <v>4.8600000000000003</v>
      </c>
      <c r="AM1565" s="17">
        <f t="shared" si="98"/>
        <v>8.49</v>
      </c>
      <c r="AN1565" s="157" t="s">
        <v>101</v>
      </c>
      <c r="AO1565" s="157" t="s">
        <v>103</v>
      </c>
      <c r="AP1565" s="240" t="s">
        <v>5334</v>
      </c>
      <c r="AQ1565" s="157"/>
    </row>
    <row r="1566" spans="1:43" s="18" customFormat="1" x14ac:dyDescent="0.3">
      <c r="A1566" s="228" t="s">
        <v>1451</v>
      </c>
      <c r="B1566" s="18" t="s">
        <v>4838</v>
      </c>
      <c r="C1566" s="228" t="s">
        <v>5114</v>
      </c>
      <c r="D1566" s="18" t="s">
        <v>5115</v>
      </c>
      <c r="E1566" s="228" t="s">
        <v>5116</v>
      </c>
      <c r="F1566" s="18" t="s">
        <v>5117</v>
      </c>
      <c r="G1566" s="228" t="s">
        <v>5277</v>
      </c>
      <c r="H1566" s="18" t="s">
        <v>5278</v>
      </c>
      <c r="I1566" s="228" t="s">
        <v>5335</v>
      </c>
      <c r="J1566" s="18" t="s">
        <v>5336</v>
      </c>
      <c r="K1566" s="228" t="s">
        <v>5337</v>
      </c>
      <c r="L1566" s="18" t="s">
        <v>5338</v>
      </c>
      <c r="M1566" s="18" t="s">
        <v>5339</v>
      </c>
      <c r="N1566" s="16">
        <v>1</v>
      </c>
      <c r="O1566" s="16">
        <v>1</v>
      </c>
      <c r="P1566" s="16">
        <v>1</v>
      </c>
      <c r="Q1566" s="16">
        <v>3</v>
      </c>
      <c r="R1566" s="16">
        <v>2</v>
      </c>
      <c r="S1566" s="16">
        <v>2</v>
      </c>
      <c r="T1566" s="18" t="s">
        <v>1581</v>
      </c>
      <c r="U1566" s="283" t="s">
        <v>1583</v>
      </c>
      <c r="V1566" s="18" t="s">
        <v>5340</v>
      </c>
      <c r="W1566" s="18">
        <v>1</v>
      </c>
      <c r="X1566" s="18">
        <v>1</v>
      </c>
      <c r="Y1566" s="18">
        <v>0</v>
      </c>
      <c r="Z1566" s="18">
        <v>1</v>
      </c>
      <c r="AA1566" s="18">
        <v>1</v>
      </c>
      <c r="AB1566" s="18">
        <v>0</v>
      </c>
      <c r="AC1566" s="316">
        <v>1</v>
      </c>
      <c r="AD1566" s="316">
        <v>1</v>
      </c>
      <c r="AE1566" s="302">
        <f t="shared" si="99"/>
        <v>0.75</v>
      </c>
      <c r="AF1566" s="176">
        <v>0</v>
      </c>
      <c r="AG1566" s="17">
        <v>0</v>
      </c>
      <c r="AH1566" s="176">
        <v>3</v>
      </c>
      <c r="AI1566" s="239">
        <v>3</v>
      </c>
      <c r="AJ1566" s="239">
        <v>3</v>
      </c>
      <c r="AK1566" s="238">
        <v>3</v>
      </c>
      <c r="AL1566" s="238">
        <v>3</v>
      </c>
      <c r="AM1566" s="17">
        <f t="shared" si="98"/>
        <v>6</v>
      </c>
      <c r="AN1566" s="157" t="s">
        <v>869</v>
      </c>
      <c r="AO1566" s="157" t="s">
        <v>871</v>
      </c>
      <c r="AP1566" s="240" t="s">
        <v>5341</v>
      </c>
      <c r="AQ1566" s="157"/>
    </row>
    <row r="1567" spans="1:43" s="18" customFormat="1" hidden="1" x14ac:dyDescent="0.3">
      <c r="A1567" s="228" t="s">
        <v>1451</v>
      </c>
      <c r="B1567" s="18" t="s">
        <v>4838</v>
      </c>
      <c r="C1567" s="228" t="s">
        <v>5114</v>
      </c>
      <c r="D1567" s="18" t="s">
        <v>5115</v>
      </c>
      <c r="E1567" s="228" t="s">
        <v>5116</v>
      </c>
      <c r="F1567" s="18" t="s">
        <v>5117</v>
      </c>
      <c r="G1567" s="228" t="s">
        <v>5277</v>
      </c>
      <c r="H1567" s="18" t="s">
        <v>5278</v>
      </c>
      <c r="I1567" s="228" t="s">
        <v>5335</v>
      </c>
      <c r="J1567" s="18" t="s">
        <v>5336</v>
      </c>
      <c r="K1567" s="228" t="s">
        <v>5337</v>
      </c>
      <c r="L1567" s="18" t="s">
        <v>5338</v>
      </c>
      <c r="M1567" s="18" t="s">
        <v>5342</v>
      </c>
      <c r="N1567" s="16">
        <v>2</v>
      </c>
      <c r="O1567" s="16">
        <v>1</v>
      </c>
      <c r="P1567" s="16">
        <v>1</v>
      </c>
      <c r="Q1567" s="16">
        <v>2</v>
      </c>
      <c r="R1567" s="16">
        <v>2</v>
      </c>
      <c r="S1567" s="16">
        <v>2</v>
      </c>
      <c r="T1567" s="18" t="s">
        <v>869</v>
      </c>
      <c r="U1567" s="283" t="s">
        <v>871</v>
      </c>
      <c r="V1567" s="18" t="s">
        <v>5343</v>
      </c>
      <c r="W1567" s="18">
        <v>1</v>
      </c>
      <c r="X1567" s="18">
        <v>1</v>
      </c>
      <c r="Y1567" s="18">
        <v>0</v>
      </c>
      <c r="Z1567" s="18">
        <v>1</v>
      </c>
      <c r="AA1567" s="18">
        <v>0</v>
      </c>
      <c r="AB1567" s="18">
        <v>0</v>
      </c>
      <c r="AC1567" s="316">
        <v>0</v>
      </c>
      <c r="AD1567" s="316">
        <v>1</v>
      </c>
      <c r="AE1567" s="302">
        <f t="shared" si="99"/>
        <v>0.5</v>
      </c>
      <c r="AF1567" s="176">
        <v>0</v>
      </c>
      <c r="AG1567" s="17">
        <v>0</v>
      </c>
      <c r="AH1567" s="176" t="s">
        <v>2526</v>
      </c>
      <c r="AI1567" s="176" t="s">
        <v>2526</v>
      </c>
      <c r="AJ1567" s="234" t="s">
        <v>2526</v>
      </c>
      <c r="AK1567" s="235" t="s">
        <v>2526</v>
      </c>
      <c r="AL1567" s="235" t="s">
        <v>2526</v>
      </c>
      <c r="AM1567" s="17">
        <f t="shared" si="98"/>
        <v>0</v>
      </c>
      <c r="AN1567" s="236" t="s">
        <v>1581</v>
      </c>
      <c r="AO1567" s="236" t="s">
        <v>1583</v>
      </c>
      <c r="AP1567" s="228" t="s">
        <v>119</v>
      </c>
    </row>
    <row r="1568" spans="1:43" s="18" customFormat="1" x14ac:dyDescent="0.3">
      <c r="A1568" s="228" t="s">
        <v>1451</v>
      </c>
      <c r="B1568" s="18" t="s">
        <v>4838</v>
      </c>
      <c r="C1568" s="228" t="s">
        <v>5114</v>
      </c>
      <c r="D1568" s="18" t="s">
        <v>5115</v>
      </c>
      <c r="E1568" s="228" t="s">
        <v>5116</v>
      </c>
      <c r="F1568" s="18" t="s">
        <v>5117</v>
      </c>
      <c r="G1568" s="228" t="s">
        <v>5277</v>
      </c>
      <c r="H1568" s="18" t="s">
        <v>5278</v>
      </c>
      <c r="I1568" s="228" t="s">
        <v>5335</v>
      </c>
      <c r="J1568" s="18" t="s">
        <v>5336</v>
      </c>
      <c r="K1568" s="228" t="s">
        <v>5337</v>
      </c>
      <c r="L1568" s="18" t="s">
        <v>5338</v>
      </c>
      <c r="N1568" s="16"/>
      <c r="O1568" s="16"/>
      <c r="P1568" s="16"/>
      <c r="Q1568" s="16"/>
      <c r="R1568" s="16"/>
      <c r="S1568" s="16"/>
      <c r="U1568" s="283" t="e">
        <v>#N/A</v>
      </c>
      <c r="V1568" s="18" t="s">
        <v>5344</v>
      </c>
      <c r="W1568" s="18">
        <v>1</v>
      </c>
      <c r="X1568" s="18">
        <v>1</v>
      </c>
      <c r="Y1568" s="18">
        <v>1</v>
      </c>
      <c r="Z1568" s="18">
        <v>1</v>
      </c>
      <c r="AA1568" s="18">
        <v>1</v>
      </c>
      <c r="AB1568" s="18">
        <v>0</v>
      </c>
      <c r="AC1568" s="18">
        <v>0</v>
      </c>
      <c r="AD1568" s="18">
        <v>1</v>
      </c>
      <c r="AE1568" s="302">
        <f t="shared" si="99"/>
        <v>0.75</v>
      </c>
      <c r="AF1568" s="176"/>
      <c r="AG1568" s="17">
        <v>0</v>
      </c>
      <c r="AH1568" s="176" t="s">
        <v>2526</v>
      </c>
      <c r="AI1568" s="239">
        <v>13.18</v>
      </c>
      <c r="AJ1568" s="239">
        <v>13.18</v>
      </c>
      <c r="AK1568" s="237">
        <v>5.18</v>
      </c>
      <c r="AL1568" s="238">
        <v>13.18</v>
      </c>
      <c r="AM1568" s="17">
        <f t="shared" si="98"/>
        <v>18.36</v>
      </c>
      <c r="AN1568" s="157" t="s">
        <v>1446</v>
      </c>
      <c r="AO1568" s="157" t="s">
        <v>3715</v>
      </c>
      <c r="AP1568" s="240" t="s">
        <v>5345</v>
      </c>
      <c r="AQ1568" s="157"/>
    </row>
    <row r="1569" spans="1:43" s="18" customFormat="1" x14ac:dyDescent="0.3">
      <c r="A1569" s="228" t="s">
        <v>1451</v>
      </c>
      <c r="B1569" s="18" t="s">
        <v>4838</v>
      </c>
      <c r="C1569" s="228" t="s">
        <v>5114</v>
      </c>
      <c r="D1569" s="18" t="s">
        <v>5115</v>
      </c>
      <c r="E1569" s="228" t="s">
        <v>5116</v>
      </c>
      <c r="F1569" s="18" t="s">
        <v>5117</v>
      </c>
      <c r="G1569" s="228" t="s">
        <v>5277</v>
      </c>
      <c r="H1569" s="18" t="s">
        <v>5278</v>
      </c>
      <c r="I1569" s="228" t="s">
        <v>5335</v>
      </c>
      <c r="J1569" s="18" t="s">
        <v>5336</v>
      </c>
      <c r="K1569" s="228" t="s">
        <v>5337</v>
      </c>
      <c r="L1569" s="18" t="s">
        <v>5338</v>
      </c>
      <c r="N1569" s="16"/>
      <c r="O1569" s="16"/>
      <c r="P1569" s="16"/>
      <c r="Q1569" s="16"/>
      <c r="R1569" s="16"/>
      <c r="S1569" s="16"/>
      <c r="U1569" s="283" t="e">
        <v>#N/A</v>
      </c>
      <c r="V1569" s="18" t="s">
        <v>5343</v>
      </c>
      <c r="W1569" s="18">
        <v>1</v>
      </c>
      <c r="X1569" s="18">
        <v>1</v>
      </c>
      <c r="Y1569" s="18">
        <v>0</v>
      </c>
      <c r="Z1569" s="18">
        <v>1</v>
      </c>
      <c r="AA1569" s="18">
        <v>1</v>
      </c>
      <c r="AB1569" s="18">
        <v>1</v>
      </c>
      <c r="AC1569" s="316">
        <v>0</v>
      </c>
      <c r="AD1569" s="316">
        <v>1</v>
      </c>
      <c r="AE1569" s="302">
        <f t="shared" si="99"/>
        <v>0.75</v>
      </c>
      <c r="AF1569" s="176">
        <v>0</v>
      </c>
      <c r="AG1569" s="17">
        <v>0</v>
      </c>
      <c r="AH1569" s="176">
        <v>0.7</v>
      </c>
      <c r="AI1569" s="239">
        <v>0.7</v>
      </c>
      <c r="AJ1569" s="239">
        <v>0.7</v>
      </c>
      <c r="AK1569" s="177">
        <v>0.7</v>
      </c>
      <c r="AL1569" s="238">
        <v>0.7</v>
      </c>
      <c r="AM1569" s="17">
        <f t="shared" si="98"/>
        <v>1.4</v>
      </c>
      <c r="AN1569" s="157" t="s">
        <v>1581</v>
      </c>
      <c r="AO1569" s="157" t="s">
        <v>1583</v>
      </c>
      <c r="AP1569" s="240" t="s">
        <v>5346</v>
      </c>
      <c r="AQ1569" s="157"/>
    </row>
    <row r="1570" spans="1:43" s="18" customFormat="1" x14ac:dyDescent="0.3">
      <c r="A1570" s="228" t="s">
        <v>1451</v>
      </c>
      <c r="B1570" s="18" t="s">
        <v>4838</v>
      </c>
      <c r="C1570" s="228" t="s">
        <v>5114</v>
      </c>
      <c r="D1570" s="18" t="s">
        <v>5150</v>
      </c>
      <c r="E1570" s="228" t="s">
        <v>5116</v>
      </c>
      <c r="F1570" s="18" t="s">
        <v>5117</v>
      </c>
      <c r="G1570" s="228" t="s">
        <v>5277</v>
      </c>
      <c r="H1570" s="18" t="s">
        <v>5278</v>
      </c>
      <c r="I1570" s="228" t="s">
        <v>5335</v>
      </c>
      <c r="J1570" s="18" t="s">
        <v>5336</v>
      </c>
      <c r="K1570" s="228" t="s">
        <v>5347</v>
      </c>
      <c r="L1570" s="18" t="s">
        <v>5348</v>
      </c>
      <c r="M1570" s="18" t="s">
        <v>5349</v>
      </c>
      <c r="N1570" s="16">
        <v>13</v>
      </c>
      <c r="O1570" s="16">
        <v>14</v>
      </c>
      <c r="P1570" s="16">
        <v>14</v>
      </c>
      <c r="Q1570" s="16">
        <v>16</v>
      </c>
      <c r="R1570" s="16">
        <v>20</v>
      </c>
      <c r="S1570" s="16">
        <v>22</v>
      </c>
      <c r="T1570" s="18" t="s">
        <v>1132</v>
      </c>
      <c r="U1570" s="283" t="s">
        <v>3739</v>
      </c>
      <c r="V1570" s="18" t="s">
        <v>5350</v>
      </c>
      <c r="W1570" s="18">
        <v>1</v>
      </c>
      <c r="X1570" s="18">
        <v>1</v>
      </c>
      <c r="Y1570" s="18">
        <v>1</v>
      </c>
      <c r="Z1570" s="18">
        <v>1</v>
      </c>
      <c r="AA1570" s="18">
        <v>1</v>
      </c>
      <c r="AB1570" s="18">
        <v>0</v>
      </c>
      <c r="AC1570" s="316">
        <v>0</v>
      </c>
      <c r="AD1570" s="316">
        <v>1</v>
      </c>
      <c r="AE1570" s="302">
        <f t="shared" si="99"/>
        <v>0.75</v>
      </c>
      <c r="AF1570" s="176">
        <v>0</v>
      </c>
      <c r="AG1570" s="17">
        <v>0</v>
      </c>
      <c r="AH1570" s="176">
        <v>0.8</v>
      </c>
      <c r="AI1570" s="239">
        <v>1.2</v>
      </c>
      <c r="AJ1570" s="239">
        <v>1.2</v>
      </c>
      <c r="AK1570" s="177">
        <v>2</v>
      </c>
      <c r="AL1570" s="238">
        <v>2</v>
      </c>
      <c r="AM1570" s="17">
        <f t="shared" si="98"/>
        <v>4</v>
      </c>
      <c r="AN1570" s="157" t="s">
        <v>1132</v>
      </c>
      <c r="AO1570" s="157" t="s">
        <v>1134</v>
      </c>
      <c r="AP1570" s="240"/>
      <c r="AQ1570" s="157"/>
    </row>
    <row r="1571" spans="1:43" s="18" customFormat="1" x14ac:dyDescent="0.3">
      <c r="A1571" s="228" t="s">
        <v>1451</v>
      </c>
      <c r="B1571" s="18" t="s">
        <v>4838</v>
      </c>
      <c r="C1571" s="228" t="s">
        <v>4841</v>
      </c>
      <c r="D1571" s="18" t="s">
        <v>2439</v>
      </c>
      <c r="E1571" s="228" t="s">
        <v>5351</v>
      </c>
      <c r="F1571" s="18" t="s">
        <v>5352</v>
      </c>
      <c r="G1571" s="228" t="s">
        <v>5353</v>
      </c>
      <c r="H1571" s="18" t="s">
        <v>5354</v>
      </c>
      <c r="K1571" s="228" t="s">
        <v>5355</v>
      </c>
      <c r="L1571" s="18" t="s">
        <v>5356</v>
      </c>
      <c r="M1571" s="18" t="s">
        <v>5357</v>
      </c>
      <c r="N1571" s="16">
        <v>0.57999999999999996</v>
      </c>
      <c r="O1571" s="16">
        <v>0.6</v>
      </c>
      <c r="P1571" s="16">
        <v>0.65</v>
      </c>
      <c r="Q1571" s="16">
        <v>0.7</v>
      </c>
      <c r="R1571" s="16">
        <v>0.75</v>
      </c>
      <c r="S1571" s="16">
        <v>0.8</v>
      </c>
      <c r="T1571" s="18" t="s">
        <v>1452</v>
      </c>
      <c r="U1571" s="283" t="s">
        <v>5363</v>
      </c>
      <c r="V1571" s="18" t="s">
        <v>5358</v>
      </c>
      <c r="W1571" s="18">
        <v>1</v>
      </c>
      <c r="X1571" s="18">
        <v>1</v>
      </c>
      <c r="Y1571" s="18">
        <v>1</v>
      </c>
      <c r="Z1571" s="18">
        <v>1</v>
      </c>
      <c r="AA1571" s="18">
        <v>1</v>
      </c>
      <c r="AB1571" s="18">
        <v>1</v>
      </c>
      <c r="AC1571" s="316">
        <v>1</v>
      </c>
      <c r="AD1571" s="316">
        <v>1</v>
      </c>
      <c r="AE1571" s="302">
        <f t="shared" si="99"/>
        <v>1</v>
      </c>
      <c r="AF1571" s="176">
        <v>1</v>
      </c>
      <c r="AG1571" s="17">
        <v>0</v>
      </c>
      <c r="AH1571" s="176">
        <v>2</v>
      </c>
      <c r="AI1571" s="239">
        <v>2</v>
      </c>
      <c r="AJ1571" s="239">
        <v>1</v>
      </c>
      <c r="AK1571" s="238">
        <v>1</v>
      </c>
      <c r="AL1571" s="238" t="s">
        <v>2526</v>
      </c>
      <c r="AM1571" s="17">
        <f t="shared" si="98"/>
        <v>1</v>
      </c>
      <c r="AN1571" s="157" t="s">
        <v>921</v>
      </c>
      <c r="AO1571" s="157" t="s">
        <v>880</v>
      </c>
      <c r="AP1571" s="240" t="s">
        <v>5359</v>
      </c>
      <c r="AQ1571" s="157"/>
    </row>
    <row r="1572" spans="1:43" s="18" customFormat="1" hidden="1" x14ac:dyDescent="0.3">
      <c r="A1572" s="228" t="s">
        <v>1451</v>
      </c>
      <c r="B1572" s="18" t="s">
        <v>4838</v>
      </c>
      <c r="C1572" s="228" t="s">
        <v>4841</v>
      </c>
      <c r="D1572" s="18" t="s">
        <v>2439</v>
      </c>
      <c r="E1572" s="228" t="s">
        <v>5351</v>
      </c>
      <c r="F1572" s="18" t="s">
        <v>5352</v>
      </c>
      <c r="G1572" s="228" t="s">
        <v>5353</v>
      </c>
      <c r="H1572" s="18" t="s">
        <v>5354</v>
      </c>
      <c r="K1572" s="228" t="s">
        <v>5355</v>
      </c>
      <c r="L1572" s="18" t="s">
        <v>5356</v>
      </c>
      <c r="M1572" s="18" t="s">
        <v>5360</v>
      </c>
      <c r="N1572" s="16">
        <v>0</v>
      </c>
      <c r="O1572" s="16">
        <v>0</v>
      </c>
      <c r="P1572" s="16">
        <v>10</v>
      </c>
      <c r="Q1572" s="16">
        <v>10</v>
      </c>
      <c r="R1572" s="16">
        <v>10</v>
      </c>
      <c r="S1572" s="16">
        <v>10</v>
      </c>
      <c r="T1572" s="18" t="s">
        <v>321</v>
      </c>
      <c r="U1572" s="283" t="s">
        <v>1066</v>
      </c>
      <c r="V1572" s="18" t="s">
        <v>5361</v>
      </c>
      <c r="W1572" s="18">
        <v>0</v>
      </c>
      <c r="X1572" s="18">
        <v>0</v>
      </c>
      <c r="Y1572" s="18">
        <v>0</v>
      </c>
      <c r="Z1572" s="18">
        <v>0</v>
      </c>
      <c r="AA1572" s="18">
        <v>0</v>
      </c>
      <c r="AB1572" s="18">
        <v>0</v>
      </c>
      <c r="AC1572" s="316">
        <v>0</v>
      </c>
      <c r="AD1572" s="316">
        <v>0</v>
      </c>
      <c r="AE1572" s="302">
        <f t="shared" si="99"/>
        <v>0</v>
      </c>
      <c r="AF1572" s="176"/>
      <c r="AG1572" s="17">
        <v>0</v>
      </c>
      <c r="AH1572" s="176" t="s">
        <v>2526</v>
      </c>
      <c r="AI1572" s="239">
        <v>0</v>
      </c>
      <c r="AJ1572" s="239">
        <v>0</v>
      </c>
      <c r="AK1572" s="238">
        <v>0</v>
      </c>
      <c r="AL1572" s="238" t="s">
        <v>2526</v>
      </c>
      <c r="AM1572" s="17">
        <f t="shared" si="98"/>
        <v>0</v>
      </c>
      <c r="AN1572" s="157" t="s">
        <v>921</v>
      </c>
      <c r="AO1572" s="157" t="s">
        <v>880</v>
      </c>
      <c r="AP1572" s="240" t="s">
        <v>119</v>
      </c>
      <c r="AQ1572" s="157"/>
    </row>
    <row r="1573" spans="1:43" s="18" customFormat="1" x14ac:dyDescent="0.3">
      <c r="A1573" s="228" t="s">
        <v>1451</v>
      </c>
      <c r="B1573" s="18" t="s">
        <v>4838</v>
      </c>
      <c r="C1573" s="228" t="s">
        <v>4841</v>
      </c>
      <c r="D1573" s="18" t="s">
        <v>2439</v>
      </c>
      <c r="E1573" s="228" t="s">
        <v>5351</v>
      </c>
      <c r="F1573" s="18" t="s">
        <v>5352</v>
      </c>
      <c r="G1573" s="228" t="s">
        <v>5353</v>
      </c>
      <c r="H1573" s="18" t="s">
        <v>5354</v>
      </c>
      <c r="K1573" s="228" t="s">
        <v>5355</v>
      </c>
      <c r="L1573" s="18" t="s">
        <v>5356</v>
      </c>
      <c r="N1573" s="16"/>
      <c r="O1573" s="16"/>
      <c r="P1573" s="16"/>
      <c r="Q1573" s="16"/>
      <c r="R1573" s="16"/>
      <c r="S1573" s="16"/>
      <c r="U1573" s="283" t="e">
        <v>#N/A</v>
      </c>
      <c r="V1573" s="18" t="s">
        <v>5362</v>
      </c>
      <c r="W1573" s="18">
        <v>1</v>
      </c>
      <c r="X1573" s="18">
        <v>1</v>
      </c>
      <c r="Y1573" s="18">
        <v>1</v>
      </c>
      <c r="Z1573" s="18">
        <v>1</v>
      </c>
      <c r="AA1573" s="18">
        <v>1</v>
      </c>
      <c r="AB1573" s="18">
        <v>1</v>
      </c>
      <c r="AC1573" s="316">
        <v>1</v>
      </c>
      <c r="AD1573" s="316">
        <v>1</v>
      </c>
      <c r="AE1573" s="302">
        <f t="shared" si="99"/>
        <v>1</v>
      </c>
      <c r="AF1573" s="176">
        <v>0</v>
      </c>
      <c r="AG1573" s="17">
        <v>0</v>
      </c>
      <c r="AH1573" s="176">
        <v>0.5</v>
      </c>
      <c r="AI1573" s="239">
        <v>0.5</v>
      </c>
      <c r="AJ1573" s="239">
        <v>0.5</v>
      </c>
      <c r="AK1573" s="238">
        <v>0.5</v>
      </c>
      <c r="AL1573" s="238">
        <v>0.5</v>
      </c>
      <c r="AM1573" s="17">
        <f t="shared" si="98"/>
        <v>1</v>
      </c>
      <c r="AN1573" s="157" t="s">
        <v>1452</v>
      </c>
      <c r="AO1573" s="157" t="s">
        <v>5363</v>
      </c>
      <c r="AP1573" s="240" t="s">
        <v>5364</v>
      </c>
      <c r="AQ1573" s="157"/>
    </row>
    <row r="1574" spans="1:43" s="18" customFormat="1" hidden="1" x14ac:dyDescent="0.3">
      <c r="A1574" s="228" t="s">
        <v>1451</v>
      </c>
      <c r="B1574" s="18" t="s">
        <v>4838</v>
      </c>
      <c r="C1574" s="228" t="s">
        <v>4841</v>
      </c>
      <c r="D1574" s="18" t="s">
        <v>2439</v>
      </c>
      <c r="E1574" s="228" t="s">
        <v>5351</v>
      </c>
      <c r="F1574" s="18" t="s">
        <v>5352</v>
      </c>
      <c r="G1574" s="228" t="s">
        <v>5353</v>
      </c>
      <c r="H1574" s="18" t="s">
        <v>5354</v>
      </c>
      <c r="K1574" s="228" t="s">
        <v>5355</v>
      </c>
      <c r="L1574" s="18" t="s">
        <v>5356</v>
      </c>
      <c r="N1574" s="16"/>
      <c r="O1574" s="16"/>
      <c r="P1574" s="16"/>
      <c r="Q1574" s="16"/>
      <c r="R1574" s="16"/>
      <c r="S1574" s="16"/>
      <c r="U1574" s="283" t="e">
        <v>#N/A</v>
      </c>
      <c r="V1574" s="18" t="s">
        <v>5365</v>
      </c>
      <c r="W1574" s="18">
        <v>0</v>
      </c>
      <c r="X1574" s="18">
        <v>0</v>
      </c>
      <c r="Y1574" s="18">
        <v>0</v>
      </c>
      <c r="Z1574" s="18">
        <v>0</v>
      </c>
      <c r="AA1574" s="18">
        <v>0</v>
      </c>
      <c r="AB1574" s="18">
        <v>0</v>
      </c>
      <c r="AC1574" s="18">
        <v>0</v>
      </c>
      <c r="AD1574" s="18">
        <v>0</v>
      </c>
      <c r="AE1574" s="302">
        <f t="shared" si="99"/>
        <v>0</v>
      </c>
      <c r="AF1574" s="176">
        <v>0</v>
      </c>
      <c r="AG1574" s="17">
        <v>0</v>
      </c>
      <c r="AH1574" s="176" t="s">
        <v>2526</v>
      </c>
      <c r="AI1574" s="239" t="s">
        <v>2526</v>
      </c>
      <c r="AJ1574" s="239" t="s">
        <v>2526</v>
      </c>
      <c r="AK1574" s="238" t="s">
        <v>2526</v>
      </c>
      <c r="AL1574" s="238" t="s">
        <v>2526</v>
      </c>
      <c r="AM1574" s="17">
        <f t="shared" si="98"/>
        <v>0</v>
      </c>
      <c r="AN1574" s="157" t="s">
        <v>265</v>
      </c>
      <c r="AO1574" s="157" t="s">
        <v>350</v>
      </c>
      <c r="AP1574" s="240" t="s">
        <v>119</v>
      </c>
      <c r="AQ1574" s="157"/>
    </row>
    <row r="1575" spans="1:43" s="18" customFormat="1" hidden="1" x14ac:dyDescent="0.3">
      <c r="A1575" s="228" t="s">
        <v>1451</v>
      </c>
      <c r="B1575" s="18" t="s">
        <v>4838</v>
      </c>
      <c r="C1575" s="228" t="s">
        <v>4841</v>
      </c>
      <c r="D1575" s="18" t="s">
        <v>2439</v>
      </c>
      <c r="E1575" s="228" t="s">
        <v>5351</v>
      </c>
      <c r="F1575" s="18" t="s">
        <v>5352</v>
      </c>
      <c r="G1575" s="228" t="s">
        <v>5353</v>
      </c>
      <c r="H1575" s="18" t="s">
        <v>5354</v>
      </c>
      <c r="K1575" s="228" t="s">
        <v>5355</v>
      </c>
      <c r="L1575" s="18" t="s">
        <v>5356</v>
      </c>
      <c r="N1575" s="16"/>
      <c r="O1575" s="16"/>
      <c r="P1575" s="16"/>
      <c r="Q1575" s="16"/>
      <c r="R1575" s="16"/>
      <c r="S1575" s="16"/>
      <c r="U1575" s="283" t="e">
        <v>#N/A</v>
      </c>
      <c r="V1575" s="18" t="s">
        <v>5366</v>
      </c>
      <c r="W1575" s="18">
        <v>0</v>
      </c>
      <c r="X1575" s="18">
        <v>0</v>
      </c>
      <c r="Y1575" s="18">
        <v>0</v>
      </c>
      <c r="Z1575" s="18">
        <v>0</v>
      </c>
      <c r="AA1575" s="18">
        <v>0</v>
      </c>
      <c r="AB1575" s="18">
        <v>0</v>
      </c>
      <c r="AC1575" s="18">
        <v>0</v>
      </c>
      <c r="AD1575" s="18">
        <v>0</v>
      </c>
      <c r="AE1575" s="302">
        <f t="shared" si="99"/>
        <v>0</v>
      </c>
      <c r="AF1575" s="176">
        <v>0</v>
      </c>
      <c r="AG1575" s="17">
        <v>0</v>
      </c>
      <c r="AH1575" s="176">
        <v>0.2</v>
      </c>
      <c r="AI1575" s="239">
        <v>0.2</v>
      </c>
      <c r="AJ1575" s="239">
        <v>0.2</v>
      </c>
      <c r="AK1575" s="238">
        <v>0</v>
      </c>
      <c r="AL1575" s="238">
        <v>0</v>
      </c>
      <c r="AM1575" s="17">
        <f t="shared" si="98"/>
        <v>0</v>
      </c>
      <c r="AN1575" s="157" t="s">
        <v>321</v>
      </c>
      <c r="AO1575" s="157" t="s">
        <v>1066</v>
      </c>
      <c r="AP1575" s="240" t="s">
        <v>1452</v>
      </c>
      <c r="AQ1575" s="157"/>
    </row>
    <row r="1576" spans="1:43" s="18" customFormat="1" hidden="1" x14ac:dyDescent="0.3">
      <c r="A1576" s="228" t="s">
        <v>1451</v>
      </c>
      <c r="B1576" s="18" t="s">
        <v>4838</v>
      </c>
      <c r="C1576" s="228" t="s">
        <v>4841</v>
      </c>
      <c r="D1576" s="18" t="s">
        <v>2439</v>
      </c>
      <c r="E1576" s="228" t="s">
        <v>5351</v>
      </c>
      <c r="F1576" s="18" t="s">
        <v>5352</v>
      </c>
      <c r="G1576" s="228" t="s">
        <v>5353</v>
      </c>
      <c r="H1576" s="18" t="s">
        <v>5354</v>
      </c>
      <c r="K1576" s="228" t="s">
        <v>5355</v>
      </c>
      <c r="L1576" s="18" t="s">
        <v>5356</v>
      </c>
      <c r="N1576" s="16"/>
      <c r="O1576" s="16"/>
      <c r="P1576" s="16"/>
      <c r="Q1576" s="16"/>
      <c r="R1576" s="16"/>
      <c r="S1576" s="16"/>
      <c r="U1576" s="283" t="e">
        <v>#N/A</v>
      </c>
      <c r="V1576" s="18" t="s">
        <v>5367</v>
      </c>
      <c r="W1576" s="18">
        <v>0</v>
      </c>
      <c r="X1576" s="18">
        <v>0</v>
      </c>
      <c r="Y1576" s="18">
        <v>0</v>
      </c>
      <c r="Z1576" s="18">
        <v>0</v>
      </c>
      <c r="AA1576" s="18">
        <v>0</v>
      </c>
      <c r="AB1576" s="18">
        <v>0</v>
      </c>
      <c r="AC1576" s="18">
        <v>0</v>
      </c>
      <c r="AD1576" s="18">
        <v>0</v>
      </c>
      <c r="AE1576" s="302">
        <f t="shared" si="99"/>
        <v>0</v>
      </c>
      <c r="AF1576" s="176">
        <v>0</v>
      </c>
      <c r="AG1576" s="17">
        <v>0</v>
      </c>
      <c r="AH1576" s="176">
        <v>0</v>
      </c>
      <c r="AI1576" s="239">
        <v>0</v>
      </c>
      <c r="AJ1576" s="239">
        <v>0</v>
      </c>
      <c r="AK1576" s="238">
        <v>0</v>
      </c>
      <c r="AL1576" s="238">
        <v>0</v>
      </c>
      <c r="AM1576" s="17">
        <f t="shared" si="98"/>
        <v>0</v>
      </c>
      <c r="AN1576" s="157" t="s">
        <v>321</v>
      </c>
      <c r="AO1576" s="157" t="s">
        <v>1066</v>
      </c>
      <c r="AP1576" s="240" t="s">
        <v>119</v>
      </c>
      <c r="AQ1576" s="157"/>
    </row>
    <row r="1577" spans="1:43" s="18" customFormat="1" x14ac:dyDescent="0.3">
      <c r="A1577" s="228" t="s">
        <v>1451</v>
      </c>
      <c r="B1577" s="18" t="s">
        <v>4838</v>
      </c>
      <c r="C1577" s="228" t="s">
        <v>4841</v>
      </c>
      <c r="D1577" s="18" t="s">
        <v>2439</v>
      </c>
      <c r="E1577" s="228" t="s">
        <v>5351</v>
      </c>
      <c r="F1577" s="18" t="s">
        <v>5352</v>
      </c>
      <c r="G1577" s="228" t="s">
        <v>5353</v>
      </c>
      <c r="H1577" s="18" t="s">
        <v>5354</v>
      </c>
      <c r="K1577" s="228" t="s">
        <v>5355</v>
      </c>
      <c r="L1577" s="18" t="s">
        <v>5356</v>
      </c>
      <c r="N1577" s="16"/>
      <c r="O1577" s="16"/>
      <c r="P1577" s="16"/>
      <c r="Q1577" s="16"/>
      <c r="R1577" s="16"/>
      <c r="S1577" s="16"/>
      <c r="U1577" s="283" t="e">
        <v>#N/A</v>
      </c>
      <c r="V1577" s="18" t="s">
        <v>5368</v>
      </c>
      <c r="W1577" s="18">
        <v>1</v>
      </c>
      <c r="X1577" s="18">
        <v>1</v>
      </c>
      <c r="Y1577" s="18">
        <v>1</v>
      </c>
      <c r="Z1577" s="18">
        <v>1</v>
      </c>
      <c r="AA1577" s="18">
        <v>1</v>
      </c>
      <c r="AB1577" s="18">
        <v>1</v>
      </c>
      <c r="AC1577" s="316">
        <v>1</v>
      </c>
      <c r="AD1577" s="316">
        <v>1</v>
      </c>
      <c r="AE1577" s="302">
        <f t="shared" si="99"/>
        <v>1</v>
      </c>
      <c r="AF1577" s="176">
        <v>0</v>
      </c>
      <c r="AG1577" s="17">
        <v>0</v>
      </c>
      <c r="AH1577" s="176">
        <v>1.5</v>
      </c>
      <c r="AI1577" s="239">
        <v>1.5</v>
      </c>
      <c r="AJ1577" s="239">
        <v>1.5</v>
      </c>
      <c r="AK1577" s="238">
        <v>1.5</v>
      </c>
      <c r="AL1577" s="238">
        <v>1.5</v>
      </c>
      <c r="AM1577" s="17">
        <f t="shared" si="98"/>
        <v>3</v>
      </c>
      <c r="AN1577" s="157" t="s">
        <v>321</v>
      </c>
      <c r="AO1577" s="157" t="s">
        <v>1066</v>
      </c>
      <c r="AP1577" s="240" t="s">
        <v>5369</v>
      </c>
      <c r="AQ1577" s="157"/>
    </row>
    <row r="1578" spans="1:43" s="18" customFormat="1" x14ac:dyDescent="0.3">
      <c r="A1578" s="228" t="s">
        <v>1451</v>
      </c>
      <c r="B1578" s="18" t="s">
        <v>4838</v>
      </c>
      <c r="C1578" s="228" t="s">
        <v>4841</v>
      </c>
      <c r="D1578" s="18" t="s">
        <v>2439</v>
      </c>
      <c r="E1578" s="228" t="s">
        <v>5351</v>
      </c>
      <c r="F1578" s="18" t="s">
        <v>5352</v>
      </c>
      <c r="G1578" s="228" t="s">
        <v>5353</v>
      </c>
      <c r="H1578" s="18" t="s">
        <v>5354</v>
      </c>
      <c r="K1578" s="228" t="s">
        <v>5355</v>
      </c>
      <c r="L1578" s="18" t="s">
        <v>5356</v>
      </c>
      <c r="N1578" s="16"/>
      <c r="O1578" s="16"/>
      <c r="P1578" s="16"/>
      <c r="Q1578" s="16"/>
      <c r="R1578" s="16"/>
      <c r="S1578" s="16"/>
      <c r="U1578" s="283" t="e">
        <v>#N/A</v>
      </c>
      <c r="V1578" s="18" t="s">
        <v>5370</v>
      </c>
      <c r="W1578" s="18">
        <v>1</v>
      </c>
      <c r="X1578" s="18">
        <v>1</v>
      </c>
      <c r="Y1578" s="18">
        <v>1</v>
      </c>
      <c r="Z1578" s="18">
        <v>1</v>
      </c>
      <c r="AA1578" s="18">
        <v>1</v>
      </c>
      <c r="AB1578" s="18">
        <v>1</v>
      </c>
      <c r="AC1578" s="18">
        <v>1</v>
      </c>
      <c r="AD1578" s="18">
        <v>1</v>
      </c>
      <c r="AE1578" s="302">
        <f t="shared" si="99"/>
        <v>1</v>
      </c>
      <c r="AF1578" s="176">
        <v>0</v>
      </c>
      <c r="AG1578" s="17">
        <v>0</v>
      </c>
      <c r="AH1578" s="176" t="s">
        <v>2526</v>
      </c>
      <c r="AI1578" s="239">
        <v>0.08</v>
      </c>
      <c r="AJ1578" s="239">
        <v>0.08</v>
      </c>
      <c r="AK1578" s="238">
        <v>0.08</v>
      </c>
      <c r="AL1578" s="238">
        <v>0.08</v>
      </c>
      <c r="AM1578" s="17">
        <f t="shared" si="98"/>
        <v>0.16</v>
      </c>
      <c r="AN1578" s="157" t="s">
        <v>879</v>
      </c>
      <c r="AO1578" s="157" t="s">
        <v>880</v>
      </c>
      <c r="AP1578" s="240" t="s">
        <v>5371</v>
      </c>
      <c r="AQ1578" s="157"/>
    </row>
    <row r="1579" spans="1:43" s="18" customFormat="1" x14ac:dyDescent="0.3">
      <c r="A1579" s="228" t="s">
        <v>1451</v>
      </c>
      <c r="B1579" s="18" t="s">
        <v>4838</v>
      </c>
      <c r="C1579" s="228" t="s">
        <v>4841</v>
      </c>
      <c r="D1579" s="18" t="s">
        <v>2439</v>
      </c>
      <c r="E1579" s="228" t="s">
        <v>5351</v>
      </c>
      <c r="F1579" s="18" t="s">
        <v>5352</v>
      </c>
      <c r="G1579" s="228" t="s">
        <v>5353</v>
      </c>
      <c r="H1579" s="18" t="s">
        <v>5354</v>
      </c>
      <c r="K1579" s="228" t="s">
        <v>5355</v>
      </c>
      <c r="L1579" s="18" t="s">
        <v>5356</v>
      </c>
      <c r="N1579" s="16"/>
      <c r="O1579" s="16"/>
      <c r="P1579" s="16"/>
      <c r="Q1579" s="16"/>
      <c r="R1579" s="16"/>
      <c r="S1579" s="16"/>
      <c r="U1579" s="283" t="e">
        <v>#N/A</v>
      </c>
      <c r="V1579" s="18" t="s">
        <v>5372</v>
      </c>
      <c r="W1579" s="18">
        <v>1</v>
      </c>
      <c r="X1579" s="18">
        <v>1</v>
      </c>
      <c r="Y1579" s="18">
        <v>1</v>
      </c>
      <c r="Z1579" s="18">
        <v>1</v>
      </c>
      <c r="AA1579" s="18">
        <v>1</v>
      </c>
      <c r="AB1579" s="18">
        <v>1</v>
      </c>
      <c r="AC1579" s="316">
        <v>1</v>
      </c>
      <c r="AD1579" s="316">
        <v>1</v>
      </c>
      <c r="AE1579" s="302">
        <f t="shared" si="99"/>
        <v>1</v>
      </c>
      <c r="AF1579" s="176">
        <v>1</v>
      </c>
      <c r="AG1579" s="17">
        <v>0</v>
      </c>
      <c r="AH1579" s="176">
        <v>0.46</v>
      </c>
      <c r="AI1579" s="239">
        <v>0.51</v>
      </c>
      <c r="AJ1579" s="239">
        <v>0.56000000000000005</v>
      </c>
      <c r="AK1579" s="238">
        <v>0.61</v>
      </c>
      <c r="AL1579" s="238">
        <v>0.67</v>
      </c>
      <c r="AM1579" s="17">
        <f t="shared" si="98"/>
        <v>1.28</v>
      </c>
      <c r="AN1579" s="157" t="s">
        <v>1452</v>
      </c>
      <c r="AO1579" s="157" t="s">
        <v>5363</v>
      </c>
      <c r="AP1579" s="240" t="s">
        <v>5373</v>
      </c>
      <c r="AQ1579" s="157"/>
    </row>
    <row r="1580" spans="1:43" s="18" customFormat="1" x14ac:dyDescent="0.3">
      <c r="A1580" s="228" t="s">
        <v>1451</v>
      </c>
      <c r="B1580" s="18" t="s">
        <v>4838</v>
      </c>
      <c r="C1580" s="228" t="s">
        <v>4841</v>
      </c>
      <c r="D1580" s="18" t="s">
        <v>2439</v>
      </c>
      <c r="E1580" s="228" t="s">
        <v>5351</v>
      </c>
      <c r="F1580" s="18" t="s">
        <v>5352</v>
      </c>
      <c r="G1580" s="228" t="s">
        <v>5353</v>
      </c>
      <c r="H1580" s="18" t="s">
        <v>5354</v>
      </c>
      <c r="K1580" s="228" t="s">
        <v>5355</v>
      </c>
      <c r="L1580" s="18" t="s">
        <v>5356</v>
      </c>
      <c r="N1580" s="16"/>
      <c r="O1580" s="16"/>
      <c r="P1580" s="16"/>
      <c r="Q1580" s="16"/>
      <c r="R1580" s="16"/>
      <c r="S1580" s="16"/>
      <c r="U1580" s="283" t="e">
        <v>#N/A</v>
      </c>
      <c r="V1580" s="18" t="s">
        <v>5374</v>
      </c>
      <c r="W1580" s="18">
        <v>1</v>
      </c>
      <c r="X1580" s="18">
        <v>1</v>
      </c>
      <c r="Y1580" s="18">
        <v>1</v>
      </c>
      <c r="Z1580" s="18">
        <v>0</v>
      </c>
      <c r="AA1580" s="18">
        <v>1</v>
      </c>
      <c r="AB1580" s="18">
        <v>1</v>
      </c>
      <c r="AC1580" s="316">
        <v>0</v>
      </c>
      <c r="AD1580" s="316">
        <v>1</v>
      </c>
      <c r="AE1580" s="302">
        <f t="shared" si="99"/>
        <v>0.75</v>
      </c>
      <c r="AF1580" s="176">
        <v>0</v>
      </c>
      <c r="AG1580" s="17">
        <v>0</v>
      </c>
      <c r="AH1580" s="176">
        <v>0.5</v>
      </c>
      <c r="AI1580" s="239">
        <v>0.5</v>
      </c>
      <c r="AJ1580" s="239">
        <v>0.5</v>
      </c>
      <c r="AK1580" s="238">
        <v>0.5</v>
      </c>
      <c r="AL1580" s="238">
        <v>0.5</v>
      </c>
      <c r="AM1580" s="17">
        <f t="shared" si="98"/>
        <v>1</v>
      </c>
      <c r="AN1580" s="157" t="s">
        <v>771</v>
      </c>
      <c r="AO1580" s="157" t="s">
        <v>773</v>
      </c>
      <c r="AP1580" s="240" t="s">
        <v>5375</v>
      </c>
      <c r="AQ1580" s="157"/>
    </row>
    <row r="1581" spans="1:43" s="18" customFormat="1" hidden="1" x14ac:dyDescent="0.3">
      <c r="A1581" s="228" t="s">
        <v>1451</v>
      </c>
      <c r="B1581" s="18" t="s">
        <v>4838</v>
      </c>
      <c r="C1581" s="228" t="s">
        <v>4841</v>
      </c>
      <c r="D1581" s="18" t="s">
        <v>2439</v>
      </c>
      <c r="E1581" s="228" t="s">
        <v>5351</v>
      </c>
      <c r="F1581" s="18" t="s">
        <v>5352</v>
      </c>
      <c r="G1581" s="228" t="s">
        <v>5353</v>
      </c>
      <c r="H1581" s="18" t="s">
        <v>5354</v>
      </c>
      <c r="K1581" s="228" t="s">
        <v>5355</v>
      </c>
      <c r="L1581" s="18" t="s">
        <v>5356</v>
      </c>
      <c r="N1581" s="16"/>
      <c r="O1581" s="16"/>
      <c r="P1581" s="16"/>
      <c r="Q1581" s="16"/>
      <c r="R1581" s="16"/>
      <c r="S1581" s="16"/>
      <c r="U1581" s="283" t="e">
        <v>#N/A</v>
      </c>
      <c r="V1581" s="18" t="s">
        <v>5376</v>
      </c>
      <c r="W1581" s="18">
        <v>1</v>
      </c>
      <c r="X1581" s="18">
        <v>1</v>
      </c>
      <c r="Y1581" s="18">
        <v>0</v>
      </c>
      <c r="Z1581" s="18">
        <v>0</v>
      </c>
      <c r="AA1581" s="18">
        <v>0</v>
      </c>
      <c r="AB1581" s="18">
        <v>1</v>
      </c>
      <c r="AC1581" s="316">
        <v>0</v>
      </c>
      <c r="AD1581" s="316">
        <v>1</v>
      </c>
      <c r="AE1581" s="302">
        <f t="shared" si="99"/>
        <v>0.5</v>
      </c>
      <c r="AF1581" s="176">
        <v>0</v>
      </c>
      <c r="AG1581" s="17">
        <v>0</v>
      </c>
      <c r="AH1581" s="176">
        <v>0</v>
      </c>
      <c r="AI1581" s="239">
        <v>0</v>
      </c>
      <c r="AJ1581" s="239">
        <v>0</v>
      </c>
      <c r="AK1581" s="238">
        <v>0</v>
      </c>
      <c r="AL1581" s="238">
        <v>0</v>
      </c>
      <c r="AM1581" s="17">
        <f t="shared" si="98"/>
        <v>0</v>
      </c>
      <c r="AN1581" s="157" t="s">
        <v>1452</v>
      </c>
      <c r="AO1581" s="157" t="s">
        <v>5363</v>
      </c>
      <c r="AP1581" s="240" t="s">
        <v>119</v>
      </c>
      <c r="AQ1581" s="157"/>
    </row>
    <row r="1582" spans="1:43" s="18" customFormat="1" hidden="1" x14ac:dyDescent="0.3">
      <c r="A1582" s="228" t="s">
        <v>1451</v>
      </c>
      <c r="B1582" s="18" t="s">
        <v>4838</v>
      </c>
      <c r="C1582" s="228" t="s">
        <v>4841</v>
      </c>
      <c r="D1582" s="18" t="s">
        <v>2439</v>
      </c>
      <c r="E1582" s="228" t="s">
        <v>5351</v>
      </c>
      <c r="F1582" s="18" t="s">
        <v>5352</v>
      </c>
      <c r="G1582" s="228" t="s">
        <v>5353</v>
      </c>
      <c r="H1582" s="18" t="s">
        <v>5354</v>
      </c>
      <c r="K1582" s="228" t="s">
        <v>5355</v>
      </c>
      <c r="L1582" s="18" t="s">
        <v>5356</v>
      </c>
      <c r="N1582" s="16"/>
      <c r="O1582" s="16"/>
      <c r="P1582" s="16"/>
      <c r="Q1582" s="16"/>
      <c r="R1582" s="16"/>
      <c r="S1582" s="16"/>
      <c r="U1582" s="283" t="e">
        <v>#N/A</v>
      </c>
      <c r="V1582" s="18" t="s">
        <v>5377</v>
      </c>
      <c r="W1582" s="18">
        <v>0</v>
      </c>
      <c r="X1582" s="18">
        <v>0</v>
      </c>
      <c r="Y1582" s="18">
        <v>0</v>
      </c>
      <c r="Z1582" s="18">
        <v>0</v>
      </c>
      <c r="AA1582" s="18">
        <v>0</v>
      </c>
      <c r="AB1582" s="18">
        <v>0</v>
      </c>
      <c r="AC1582" s="18">
        <v>0</v>
      </c>
      <c r="AD1582" s="18">
        <v>0</v>
      </c>
      <c r="AE1582" s="302">
        <f t="shared" si="99"/>
        <v>0</v>
      </c>
      <c r="AF1582" s="176">
        <v>0</v>
      </c>
      <c r="AG1582" s="17">
        <v>0</v>
      </c>
      <c r="AH1582" s="176" t="s">
        <v>2526</v>
      </c>
      <c r="AI1582" s="239">
        <v>0.4</v>
      </c>
      <c r="AJ1582" s="239">
        <v>0</v>
      </c>
      <c r="AK1582" s="238" t="s">
        <v>2526</v>
      </c>
      <c r="AL1582" s="238" t="s">
        <v>2526</v>
      </c>
      <c r="AM1582" s="17">
        <f t="shared" si="98"/>
        <v>0</v>
      </c>
      <c r="AN1582" s="157" t="s">
        <v>771</v>
      </c>
      <c r="AO1582" s="157" t="s">
        <v>773</v>
      </c>
      <c r="AP1582" s="240" t="s">
        <v>5276</v>
      </c>
      <c r="AQ1582" s="157"/>
    </row>
    <row r="1583" spans="1:43" s="18" customFormat="1" hidden="1" x14ac:dyDescent="0.3">
      <c r="A1583" s="228" t="s">
        <v>1451</v>
      </c>
      <c r="B1583" s="18" t="s">
        <v>4838</v>
      </c>
      <c r="C1583" s="228" t="s">
        <v>4841</v>
      </c>
      <c r="D1583" s="18" t="s">
        <v>2439</v>
      </c>
      <c r="E1583" s="228" t="s">
        <v>5351</v>
      </c>
      <c r="F1583" s="18" t="s">
        <v>5352</v>
      </c>
      <c r="G1583" s="228" t="s">
        <v>5353</v>
      </c>
      <c r="H1583" s="18" t="s">
        <v>5354</v>
      </c>
      <c r="K1583" s="228" t="s">
        <v>5355</v>
      </c>
      <c r="L1583" s="18" t="s">
        <v>5356</v>
      </c>
      <c r="N1583" s="16"/>
      <c r="O1583" s="16"/>
      <c r="P1583" s="16"/>
      <c r="Q1583" s="16"/>
      <c r="R1583" s="16"/>
      <c r="S1583" s="16"/>
      <c r="U1583" s="283" t="e">
        <v>#N/A</v>
      </c>
      <c r="V1583" s="18" t="s">
        <v>5378</v>
      </c>
      <c r="W1583" s="18">
        <v>1</v>
      </c>
      <c r="X1583" s="18">
        <v>1</v>
      </c>
      <c r="Y1583" s="18">
        <v>0</v>
      </c>
      <c r="Z1583" s="18">
        <v>0</v>
      </c>
      <c r="AA1583" s="18">
        <v>0</v>
      </c>
      <c r="AB1583" s="18">
        <v>1</v>
      </c>
      <c r="AC1583" s="316">
        <v>1</v>
      </c>
      <c r="AD1583" s="316">
        <v>1</v>
      </c>
      <c r="AE1583" s="302">
        <f t="shared" si="99"/>
        <v>0.625</v>
      </c>
      <c r="AF1583" s="176">
        <v>0</v>
      </c>
      <c r="AG1583" s="17">
        <v>0</v>
      </c>
      <c r="AH1583" s="176" t="s">
        <v>2526</v>
      </c>
      <c r="AI1583" s="239" t="s">
        <v>2526</v>
      </c>
      <c r="AJ1583" s="239" t="s">
        <v>2526</v>
      </c>
      <c r="AK1583" s="238" t="s">
        <v>2526</v>
      </c>
      <c r="AL1583" s="238" t="s">
        <v>2526</v>
      </c>
      <c r="AM1583" s="17">
        <f t="shared" si="98"/>
        <v>0</v>
      </c>
      <c r="AN1583" s="157" t="s">
        <v>869</v>
      </c>
      <c r="AO1583" s="157" t="s">
        <v>871</v>
      </c>
      <c r="AP1583" s="240" t="s">
        <v>119</v>
      </c>
      <c r="AQ1583" s="157"/>
    </row>
    <row r="1584" spans="1:43" s="18" customFormat="1" x14ac:dyDescent="0.3">
      <c r="A1584" s="228" t="s">
        <v>1451</v>
      </c>
      <c r="B1584" s="18" t="s">
        <v>4838</v>
      </c>
      <c r="C1584" s="228" t="s">
        <v>4841</v>
      </c>
      <c r="D1584" s="18" t="s">
        <v>2439</v>
      </c>
      <c r="E1584" s="228" t="s">
        <v>5351</v>
      </c>
      <c r="F1584" s="18" t="s">
        <v>5352</v>
      </c>
      <c r="G1584" s="228" t="s">
        <v>5353</v>
      </c>
      <c r="H1584" s="18" t="s">
        <v>5354</v>
      </c>
      <c r="K1584" s="228" t="s">
        <v>5355</v>
      </c>
      <c r="L1584" s="18" t="s">
        <v>5356</v>
      </c>
      <c r="N1584" s="16"/>
      <c r="O1584" s="16"/>
      <c r="P1584" s="16"/>
      <c r="Q1584" s="16"/>
      <c r="R1584" s="16"/>
      <c r="S1584" s="16"/>
      <c r="U1584" s="283" t="e">
        <v>#N/A</v>
      </c>
      <c r="V1584" s="18" t="s">
        <v>5379</v>
      </c>
      <c r="W1584" s="18">
        <v>1</v>
      </c>
      <c r="X1584" s="18">
        <v>1</v>
      </c>
      <c r="Y1584" s="18">
        <v>1</v>
      </c>
      <c r="Z1584" s="18">
        <v>1</v>
      </c>
      <c r="AA1584" s="18">
        <v>1</v>
      </c>
      <c r="AB1584" s="18">
        <v>1</v>
      </c>
      <c r="AC1584" s="316">
        <v>1</v>
      </c>
      <c r="AD1584" s="316">
        <v>1</v>
      </c>
      <c r="AE1584" s="302">
        <f t="shared" si="99"/>
        <v>1</v>
      </c>
      <c r="AF1584" s="176">
        <v>0</v>
      </c>
      <c r="AG1584" s="17">
        <v>0</v>
      </c>
      <c r="AH1584" s="176" t="s">
        <v>2526</v>
      </c>
      <c r="AI1584" s="176">
        <v>0.1</v>
      </c>
      <c r="AJ1584" s="234">
        <v>0.1</v>
      </c>
      <c r="AK1584" s="235">
        <v>0.1</v>
      </c>
      <c r="AL1584" s="235">
        <v>0.1</v>
      </c>
      <c r="AM1584" s="17">
        <f t="shared" si="98"/>
        <v>0.2</v>
      </c>
      <c r="AN1584" s="236" t="s">
        <v>879</v>
      </c>
      <c r="AO1584" s="236" t="s">
        <v>880</v>
      </c>
      <c r="AP1584" s="228" t="s">
        <v>5380</v>
      </c>
    </row>
    <row r="1585" spans="1:43" s="18" customFormat="1" hidden="1" x14ac:dyDescent="0.3">
      <c r="A1585" s="228" t="s">
        <v>1451</v>
      </c>
      <c r="B1585" s="18" t="s">
        <v>4838</v>
      </c>
      <c r="C1585" s="228" t="s">
        <v>4841</v>
      </c>
      <c r="D1585" s="18" t="s">
        <v>2439</v>
      </c>
      <c r="E1585" s="228" t="s">
        <v>5351</v>
      </c>
      <c r="F1585" s="18" t="s">
        <v>5352</v>
      </c>
      <c r="G1585" s="228" t="s">
        <v>5353</v>
      </c>
      <c r="H1585" s="18" t="s">
        <v>5354</v>
      </c>
      <c r="K1585" s="228" t="s">
        <v>5355</v>
      </c>
      <c r="L1585" s="18" t="s">
        <v>5356</v>
      </c>
      <c r="N1585" s="16"/>
      <c r="O1585" s="16"/>
      <c r="P1585" s="16"/>
      <c r="Q1585" s="16"/>
      <c r="R1585" s="16"/>
      <c r="S1585" s="16"/>
      <c r="U1585" s="283" t="e">
        <v>#N/A</v>
      </c>
      <c r="V1585" s="18" t="s">
        <v>5381</v>
      </c>
      <c r="W1585" s="18">
        <v>0</v>
      </c>
      <c r="X1585" s="18">
        <v>0</v>
      </c>
      <c r="Y1585" s="18">
        <v>0</v>
      </c>
      <c r="Z1585" s="18">
        <v>1</v>
      </c>
      <c r="AA1585" s="18">
        <v>1</v>
      </c>
      <c r="AB1585" s="18">
        <v>0</v>
      </c>
      <c r="AC1585" s="316">
        <v>0</v>
      </c>
      <c r="AD1585" s="316">
        <v>1</v>
      </c>
      <c r="AE1585" s="302">
        <f t="shared" si="99"/>
        <v>0.375</v>
      </c>
      <c r="AF1585" s="176">
        <v>0</v>
      </c>
      <c r="AG1585" s="17">
        <v>0</v>
      </c>
      <c r="AH1585" s="176" t="s">
        <v>2526</v>
      </c>
      <c r="AI1585" s="239" t="s">
        <v>2526</v>
      </c>
      <c r="AJ1585" s="239" t="s">
        <v>2526</v>
      </c>
      <c r="AK1585" s="238" t="s">
        <v>2526</v>
      </c>
      <c r="AL1585" s="238" t="s">
        <v>2526</v>
      </c>
      <c r="AM1585" s="17">
        <f t="shared" si="98"/>
        <v>0</v>
      </c>
      <c r="AN1585" s="157" t="s">
        <v>921</v>
      </c>
      <c r="AO1585" s="157" t="s">
        <v>880</v>
      </c>
      <c r="AP1585" s="240" t="s">
        <v>119</v>
      </c>
      <c r="AQ1585" s="157"/>
    </row>
    <row r="1586" spans="1:43" s="18" customFormat="1" hidden="1" x14ac:dyDescent="0.3">
      <c r="A1586" s="228" t="s">
        <v>1451</v>
      </c>
      <c r="B1586" s="18" t="s">
        <v>4838</v>
      </c>
      <c r="C1586" s="228" t="s">
        <v>4841</v>
      </c>
      <c r="D1586" s="18" t="s">
        <v>2439</v>
      </c>
      <c r="E1586" s="228" t="s">
        <v>5351</v>
      </c>
      <c r="F1586" s="18" t="s">
        <v>5352</v>
      </c>
      <c r="G1586" s="228" t="s">
        <v>5382</v>
      </c>
      <c r="H1586" s="18" t="s">
        <v>5383</v>
      </c>
      <c r="K1586" s="228" t="s">
        <v>5384</v>
      </c>
      <c r="L1586" s="18" t="s">
        <v>5385</v>
      </c>
      <c r="M1586" s="18" t="s">
        <v>5386</v>
      </c>
      <c r="N1586" s="16" t="s">
        <v>5245</v>
      </c>
      <c r="O1586" s="16" t="s">
        <v>5245</v>
      </c>
      <c r="P1586" s="16" t="s">
        <v>5245</v>
      </c>
      <c r="Q1586" s="16" t="s">
        <v>5245</v>
      </c>
      <c r="R1586" s="16" t="s">
        <v>5245</v>
      </c>
      <c r="S1586" s="16" t="s">
        <v>5245</v>
      </c>
      <c r="T1586" s="18" t="s">
        <v>1191</v>
      </c>
      <c r="U1586" s="283" t="e">
        <v>#N/A</v>
      </c>
      <c r="V1586" s="18" t="s">
        <v>5387</v>
      </c>
      <c r="W1586" s="18">
        <v>0</v>
      </c>
      <c r="X1586" s="18">
        <v>0</v>
      </c>
      <c r="Y1586" s="18">
        <v>0</v>
      </c>
      <c r="Z1586" s="18">
        <v>0</v>
      </c>
      <c r="AA1586" s="18">
        <v>0</v>
      </c>
      <c r="AB1586" s="18">
        <v>0</v>
      </c>
      <c r="AC1586" s="18">
        <v>0</v>
      </c>
      <c r="AD1586" s="18">
        <v>0</v>
      </c>
      <c r="AE1586" s="302">
        <f t="shared" si="99"/>
        <v>0</v>
      </c>
      <c r="AF1586" s="176">
        <v>0</v>
      </c>
      <c r="AG1586" s="17">
        <v>0</v>
      </c>
      <c r="AH1586" s="176">
        <v>0</v>
      </c>
      <c r="AI1586" s="239">
        <v>0</v>
      </c>
      <c r="AJ1586" s="239">
        <v>0</v>
      </c>
      <c r="AK1586" s="238">
        <v>0</v>
      </c>
      <c r="AL1586" s="238">
        <v>0</v>
      </c>
      <c r="AM1586" s="17">
        <f t="shared" si="98"/>
        <v>0</v>
      </c>
      <c r="AN1586" s="157" t="s">
        <v>265</v>
      </c>
      <c r="AO1586" s="157" t="s">
        <v>350</v>
      </c>
      <c r="AP1586" s="240" t="s">
        <v>119</v>
      </c>
      <c r="AQ1586" s="157"/>
    </row>
    <row r="1587" spans="1:43" s="18" customFormat="1" x14ac:dyDescent="0.3">
      <c r="A1587" s="228" t="s">
        <v>1451</v>
      </c>
      <c r="B1587" s="18" t="s">
        <v>4838</v>
      </c>
      <c r="C1587" s="228" t="s">
        <v>4841</v>
      </c>
      <c r="D1587" s="18" t="s">
        <v>2439</v>
      </c>
      <c r="E1587" s="228" t="s">
        <v>5351</v>
      </c>
      <c r="F1587" s="18" t="s">
        <v>5352</v>
      </c>
      <c r="G1587" s="228" t="s">
        <v>5382</v>
      </c>
      <c r="H1587" s="18" t="s">
        <v>5383</v>
      </c>
      <c r="K1587" s="228" t="s">
        <v>5384</v>
      </c>
      <c r="L1587" s="18" t="s">
        <v>5385</v>
      </c>
      <c r="M1587" s="18" t="s">
        <v>5388</v>
      </c>
      <c r="N1587" s="16">
        <v>0</v>
      </c>
      <c r="O1587" s="16">
        <v>0</v>
      </c>
      <c r="P1587" s="16">
        <v>0</v>
      </c>
      <c r="Q1587" s="16" t="s">
        <v>5389</v>
      </c>
      <c r="R1587" s="16">
        <v>0</v>
      </c>
      <c r="S1587" s="16">
        <v>0</v>
      </c>
      <c r="T1587" s="18" t="s">
        <v>798</v>
      </c>
      <c r="U1587" s="283" t="s">
        <v>350</v>
      </c>
      <c r="V1587" s="18" t="s">
        <v>5390</v>
      </c>
      <c r="W1587" s="18">
        <v>1</v>
      </c>
      <c r="X1587" s="18">
        <v>1</v>
      </c>
      <c r="Y1587" s="18">
        <v>1</v>
      </c>
      <c r="Z1587" s="18">
        <v>1</v>
      </c>
      <c r="AA1587" s="18">
        <v>1</v>
      </c>
      <c r="AB1587" s="18">
        <v>1</v>
      </c>
      <c r="AC1587" s="316">
        <v>1</v>
      </c>
      <c r="AD1587" s="316">
        <v>1</v>
      </c>
      <c r="AE1587" s="302">
        <f t="shared" si="99"/>
        <v>1</v>
      </c>
      <c r="AF1587" s="176">
        <v>0</v>
      </c>
      <c r="AG1587" s="17">
        <v>0</v>
      </c>
      <c r="AH1587" s="176">
        <v>1</v>
      </c>
      <c r="AI1587" s="239">
        <v>1</v>
      </c>
      <c r="AJ1587" s="239">
        <v>1</v>
      </c>
      <c r="AK1587" s="238">
        <v>1</v>
      </c>
      <c r="AL1587" s="238">
        <v>1</v>
      </c>
      <c r="AM1587" s="17">
        <f t="shared" si="98"/>
        <v>2</v>
      </c>
      <c r="AN1587" s="157" t="s">
        <v>321</v>
      </c>
      <c r="AO1587" s="157" t="s">
        <v>1066</v>
      </c>
      <c r="AP1587" s="240" t="s">
        <v>5391</v>
      </c>
      <c r="AQ1587" s="157"/>
    </row>
    <row r="1588" spans="1:43" s="18" customFormat="1" x14ac:dyDescent="0.3">
      <c r="A1588" s="228" t="s">
        <v>1451</v>
      </c>
      <c r="B1588" s="18" t="s">
        <v>4838</v>
      </c>
      <c r="C1588" s="228" t="s">
        <v>4841</v>
      </c>
      <c r="D1588" s="18" t="s">
        <v>2439</v>
      </c>
      <c r="E1588" s="228" t="s">
        <v>5351</v>
      </c>
      <c r="F1588" s="18" t="s">
        <v>5352</v>
      </c>
      <c r="G1588" s="228" t="s">
        <v>5382</v>
      </c>
      <c r="H1588" s="18" t="s">
        <v>5383</v>
      </c>
      <c r="K1588" s="228" t="s">
        <v>5384</v>
      </c>
      <c r="L1588" s="18" t="s">
        <v>5385</v>
      </c>
      <c r="M1588" s="18" t="s">
        <v>5392</v>
      </c>
      <c r="N1588" s="16" t="s">
        <v>5245</v>
      </c>
      <c r="O1588" s="16">
        <v>100</v>
      </c>
      <c r="P1588" s="16">
        <v>100</v>
      </c>
      <c r="Q1588" s="16">
        <v>200</v>
      </c>
      <c r="R1588" s="16">
        <v>200</v>
      </c>
      <c r="S1588" s="16">
        <v>200</v>
      </c>
      <c r="T1588" s="283" t="s">
        <v>265</v>
      </c>
      <c r="U1588" s="283" t="s">
        <v>350</v>
      </c>
      <c r="V1588" s="18" t="s">
        <v>5393</v>
      </c>
      <c r="W1588" s="18">
        <v>1</v>
      </c>
      <c r="X1588" s="18">
        <v>1</v>
      </c>
      <c r="Y1588" s="18">
        <v>1</v>
      </c>
      <c r="Z1588" s="18">
        <v>0</v>
      </c>
      <c r="AA1588" s="18">
        <v>1</v>
      </c>
      <c r="AB1588" s="18">
        <v>1</v>
      </c>
      <c r="AC1588" s="18">
        <v>1</v>
      </c>
      <c r="AD1588" s="18">
        <v>1</v>
      </c>
      <c r="AE1588" s="302">
        <f t="shared" si="99"/>
        <v>0.875</v>
      </c>
      <c r="AF1588" s="176">
        <v>0</v>
      </c>
      <c r="AG1588" s="17">
        <v>0</v>
      </c>
      <c r="AH1588" s="176">
        <v>0.2</v>
      </c>
      <c r="AI1588" s="239">
        <v>0.3</v>
      </c>
      <c r="AJ1588" s="239">
        <v>0.3</v>
      </c>
      <c r="AK1588" s="238">
        <v>0.1</v>
      </c>
      <c r="AL1588" s="238" t="s">
        <v>2526</v>
      </c>
      <c r="AM1588" s="17">
        <f t="shared" si="98"/>
        <v>0.1</v>
      </c>
      <c r="AN1588" s="157" t="s">
        <v>921</v>
      </c>
      <c r="AO1588" s="157" t="s">
        <v>880</v>
      </c>
      <c r="AP1588" s="240" t="s">
        <v>5394</v>
      </c>
      <c r="AQ1588" s="157"/>
    </row>
    <row r="1589" spans="1:43" s="18" customFormat="1" x14ac:dyDescent="0.3">
      <c r="A1589" s="228" t="s">
        <v>1451</v>
      </c>
      <c r="B1589" s="18" t="s">
        <v>4838</v>
      </c>
      <c r="C1589" s="228" t="s">
        <v>4841</v>
      </c>
      <c r="D1589" s="18" t="s">
        <v>2439</v>
      </c>
      <c r="E1589" s="228" t="s">
        <v>5351</v>
      </c>
      <c r="F1589" s="18" t="s">
        <v>5352</v>
      </c>
      <c r="G1589" s="228" t="s">
        <v>5382</v>
      </c>
      <c r="H1589" s="18" t="s">
        <v>5383</v>
      </c>
      <c r="K1589" s="228" t="s">
        <v>5384</v>
      </c>
      <c r="L1589" s="18" t="s">
        <v>5385</v>
      </c>
      <c r="N1589" s="16"/>
      <c r="O1589" s="16"/>
      <c r="P1589" s="16"/>
      <c r="Q1589" s="16"/>
      <c r="R1589" s="16"/>
      <c r="S1589" s="16"/>
      <c r="U1589" s="283" t="e">
        <v>#N/A</v>
      </c>
      <c r="V1589" s="18" t="s">
        <v>5395</v>
      </c>
      <c r="W1589" s="18">
        <v>1</v>
      </c>
      <c r="X1589" s="18">
        <v>1</v>
      </c>
      <c r="Y1589" s="18">
        <v>1</v>
      </c>
      <c r="Z1589" s="18">
        <v>1</v>
      </c>
      <c r="AA1589" s="18">
        <v>0</v>
      </c>
      <c r="AB1589" s="18">
        <v>0</v>
      </c>
      <c r="AC1589" s="18">
        <v>1</v>
      </c>
      <c r="AD1589" s="18">
        <v>1</v>
      </c>
      <c r="AE1589" s="302">
        <f t="shared" si="99"/>
        <v>0.75</v>
      </c>
      <c r="AF1589" s="176">
        <v>0</v>
      </c>
      <c r="AG1589" s="17">
        <v>0</v>
      </c>
      <c r="AH1589" s="176" t="s">
        <v>2526</v>
      </c>
      <c r="AI1589" s="239" t="s">
        <v>2526</v>
      </c>
      <c r="AJ1589" s="239" t="s">
        <v>2526</v>
      </c>
      <c r="AK1589" s="238" t="s">
        <v>2526</v>
      </c>
      <c r="AL1589" s="238" t="s">
        <v>2526</v>
      </c>
      <c r="AM1589" s="17">
        <f t="shared" si="98"/>
        <v>0</v>
      </c>
      <c r="AN1589" s="157" t="s">
        <v>921</v>
      </c>
      <c r="AO1589" s="157" t="s">
        <v>880</v>
      </c>
      <c r="AP1589" s="240" t="s">
        <v>119</v>
      </c>
      <c r="AQ1589" s="157"/>
    </row>
    <row r="1590" spans="1:43" s="18" customFormat="1" hidden="1" x14ac:dyDescent="0.3">
      <c r="A1590" s="228" t="s">
        <v>1451</v>
      </c>
      <c r="B1590" s="18" t="s">
        <v>4838</v>
      </c>
      <c r="C1590" s="228" t="s">
        <v>4841</v>
      </c>
      <c r="D1590" s="18" t="s">
        <v>2439</v>
      </c>
      <c r="E1590" s="228" t="s">
        <v>5351</v>
      </c>
      <c r="F1590" s="18" t="s">
        <v>5352</v>
      </c>
      <c r="G1590" s="228" t="s">
        <v>5382</v>
      </c>
      <c r="H1590" s="18" t="s">
        <v>5383</v>
      </c>
      <c r="K1590" s="228" t="s">
        <v>5384</v>
      </c>
      <c r="L1590" s="18" t="s">
        <v>5385</v>
      </c>
      <c r="N1590" s="16"/>
      <c r="O1590" s="16"/>
      <c r="P1590" s="16"/>
      <c r="Q1590" s="16"/>
      <c r="R1590" s="16"/>
      <c r="S1590" s="16"/>
      <c r="U1590" s="283" t="e">
        <v>#N/A</v>
      </c>
      <c r="V1590" s="18" t="s">
        <v>5396</v>
      </c>
      <c r="W1590" s="18">
        <v>0</v>
      </c>
      <c r="X1590" s="18">
        <v>0</v>
      </c>
      <c r="Y1590" s="18">
        <v>0</v>
      </c>
      <c r="Z1590" s="18">
        <v>0</v>
      </c>
      <c r="AA1590" s="18">
        <v>0</v>
      </c>
      <c r="AB1590" s="18">
        <v>0</v>
      </c>
      <c r="AC1590" s="18">
        <v>0</v>
      </c>
      <c r="AD1590" s="18">
        <v>0</v>
      </c>
      <c r="AE1590" s="302">
        <f t="shared" si="99"/>
        <v>0</v>
      </c>
      <c r="AF1590" s="176">
        <v>0</v>
      </c>
      <c r="AG1590" s="17">
        <v>0</v>
      </c>
      <c r="AH1590" s="176" t="s">
        <v>2526</v>
      </c>
      <c r="AI1590" s="239" t="s">
        <v>2526</v>
      </c>
      <c r="AJ1590" s="239" t="s">
        <v>2526</v>
      </c>
      <c r="AK1590" s="177" t="s">
        <v>2526</v>
      </c>
      <c r="AL1590" s="238" t="s">
        <v>2526</v>
      </c>
      <c r="AM1590" s="17">
        <f t="shared" si="98"/>
        <v>0</v>
      </c>
      <c r="AN1590" s="157" t="s">
        <v>921</v>
      </c>
      <c r="AO1590" s="157" t="s">
        <v>880</v>
      </c>
      <c r="AP1590" s="240" t="s">
        <v>119</v>
      </c>
      <c r="AQ1590" s="157"/>
    </row>
    <row r="1591" spans="1:43" s="18" customFormat="1" hidden="1" x14ac:dyDescent="0.3">
      <c r="A1591" s="228" t="s">
        <v>1451</v>
      </c>
      <c r="B1591" s="18" t="s">
        <v>4838</v>
      </c>
      <c r="C1591" s="228" t="s">
        <v>4841</v>
      </c>
      <c r="D1591" s="18" t="s">
        <v>2439</v>
      </c>
      <c r="E1591" s="228" t="s">
        <v>5351</v>
      </c>
      <c r="F1591" s="18" t="s">
        <v>5352</v>
      </c>
      <c r="G1591" s="228" t="s">
        <v>5382</v>
      </c>
      <c r="H1591" s="18" t="s">
        <v>5383</v>
      </c>
      <c r="K1591" s="228" t="s">
        <v>5384</v>
      </c>
      <c r="L1591" s="18" t="s">
        <v>5385</v>
      </c>
      <c r="N1591" s="16"/>
      <c r="O1591" s="16"/>
      <c r="P1591" s="16"/>
      <c r="Q1591" s="16"/>
      <c r="R1591" s="16"/>
      <c r="S1591" s="16"/>
      <c r="U1591" s="283" t="e">
        <v>#N/A</v>
      </c>
      <c r="V1591" s="18" t="s">
        <v>5397</v>
      </c>
      <c r="W1591" s="18">
        <v>1</v>
      </c>
      <c r="X1591" s="18">
        <v>0</v>
      </c>
      <c r="Y1591" s="18">
        <v>0</v>
      </c>
      <c r="Z1591" s="18">
        <v>1</v>
      </c>
      <c r="AA1591" s="18">
        <v>0</v>
      </c>
      <c r="AB1591" s="18">
        <v>1</v>
      </c>
      <c r="AC1591" s="18">
        <v>0</v>
      </c>
      <c r="AD1591" s="18">
        <v>1</v>
      </c>
      <c r="AE1591" s="302">
        <f t="shared" si="99"/>
        <v>0.5</v>
      </c>
      <c r="AF1591" s="176">
        <v>0</v>
      </c>
      <c r="AG1591" s="17">
        <v>0</v>
      </c>
      <c r="AH1591" s="176" t="s">
        <v>2526</v>
      </c>
      <c r="AI1591" s="239" t="s">
        <v>2526</v>
      </c>
      <c r="AJ1591" s="239" t="s">
        <v>2526</v>
      </c>
      <c r="AK1591" s="177" t="s">
        <v>2526</v>
      </c>
      <c r="AL1591" s="238" t="s">
        <v>2526</v>
      </c>
      <c r="AM1591" s="17">
        <f t="shared" si="98"/>
        <v>0</v>
      </c>
      <c r="AN1591" s="157" t="s">
        <v>921</v>
      </c>
      <c r="AO1591" s="157" t="s">
        <v>880</v>
      </c>
      <c r="AP1591" s="240" t="s">
        <v>119</v>
      </c>
      <c r="AQ1591" s="157"/>
    </row>
    <row r="1592" spans="1:43" s="18" customFormat="1" x14ac:dyDescent="0.3">
      <c r="A1592" s="228" t="s">
        <v>1451</v>
      </c>
      <c r="B1592" s="18" t="s">
        <v>4838</v>
      </c>
      <c r="C1592" s="228" t="s">
        <v>4841</v>
      </c>
      <c r="D1592" s="18" t="s">
        <v>2439</v>
      </c>
      <c r="E1592" s="228" t="s">
        <v>5351</v>
      </c>
      <c r="F1592" s="18" t="s">
        <v>5352</v>
      </c>
      <c r="G1592" s="228" t="s">
        <v>5382</v>
      </c>
      <c r="H1592" s="18" t="s">
        <v>5383</v>
      </c>
      <c r="K1592" s="228" t="s">
        <v>5384</v>
      </c>
      <c r="L1592" s="18" t="s">
        <v>5385</v>
      </c>
      <c r="N1592" s="16"/>
      <c r="O1592" s="16"/>
      <c r="P1592" s="16"/>
      <c r="Q1592" s="16"/>
      <c r="R1592" s="16"/>
      <c r="S1592" s="16"/>
      <c r="U1592" s="283" t="e">
        <v>#N/A</v>
      </c>
      <c r="V1592" s="18" t="s">
        <v>5398</v>
      </c>
      <c r="W1592" s="18">
        <v>1</v>
      </c>
      <c r="X1592" s="18">
        <v>0</v>
      </c>
      <c r="Y1592" s="18">
        <v>1</v>
      </c>
      <c r="Z1592" s="18">
        <v>1</v>
      </c>
      <c r="AA1592" s="18">
        <v>1</v>
      </c>
      <c r="AB1592" s="18">
        <v>1</v>
      </c>
      <c r="AC1592" s="316">
        <v>0</v>
      </c>
      <c r="AD1592" s="316">
        <v>1</v>
      </c>
      <c r="AE1592" s="302">
        <f t="shared" si="99"/>
        <v>0.75</v>
      </c>
      <c r="AF1592" s="176">
        <v>0</v>
      </c>
      <c r="AG1592" s="17">
        <v>0</v>
      </c>
      <c r="AH1592" s="176">
        <v>0.5</v>
      </c>
      <c r="AI1592" s="239">
        <v>0.5</v>
      </c>
      <c r="AJ1592" s="239">
        <v>0.5</v>
      </c>
      <c r="AK1592" s="238">
        <v>0.5</v>
      </c>
      <c r="AL1592" s="238">
        <v>0.5</v>
      </c>
      <c r="AM1592" s="17">
        <f t="shared" si="98"/>
        <v>1</v>
      </c>
      <c r="AN1592" s="157" t="s">
        <v>921</v>
      </c>
      <c r="AO1592" s="157" t="s">
        <v>880</v>
      </c>
      <c r="AP1592" s="240" t="s">
        <v>5399</v>
      </c>
      <c r="AQ1592" s="157"/>
    </row>
    <row r="1593" spans="1:43" s="18" customFormat="1" hidden="1" x14ac:dyDescent="0.3">
      <c r="A1593" s="228" t="s">
        <v>1451</v>
      </c>
      <c r="B1593" s="18" t="s">
        <v>4838</v>
      </c>
      <c r="C1593" s="228" t="s">
        <v>4841</v>
      </c>
      <c r="D1593" s="18" t="s">
        <v>2439</v>
      </c>
      <c r="E1593" s="228" t="s">
        <v>5351</v>
      </c>
      <c r="F1593" s="18" t="s">
        <v>5352</v>
      </c>
      <c r="G1593" s="228" t="s">
        <v>5382</v>
      </c>
      <c r="H1593" s="18" t="s">
        <v>5383</v>
      </c>
      <c r="K1593" s="228" t="s">
        <v>5384</v>
      </c>
      <c r="L1593" s="18" t="s">
        <v>5385</v>
      </c>
      <c r="N1593" s="16"/>
      <c r="O1593" s="16"/>
      <c r="P1593" s="16"/>
      <c r="Q1593" s="16"/>
      <c r="R1593" s="16"/>
      <c r="S1593" s="16"/>
      <c r="U1593" s="283" t="e">
        <v>#N/A</v>
      </c>
      <c r="V1593" s="18" t="s">
        <v>5400</v>
      </c>
      <c r="W1593" s="18">
        <v>1</v>
      </c>
      <c r="X1593" s="18">
        <v>0</v>
      </c>
      <c r="Y1593" s="18">
        <v>0</v>
      </c>
      <c r="Z1593" s="18">
        <v>1</v>
      </c>
      <c r="AA1593" s="18">
        <v>1</v>
      </c>
      <c r="AB1593" s="18">
        <v>1</v>
      </c>
      <c r="AC1593" s="316">
        <v>0</v>
      </c>
      <c r="AD1593" s="316">
        <v>1</v>
      </c>
      <c r="AE1593" s="302">
        <f t="shared" si="99"/>
        <v>0.625</v>
      </c>
      <c r="AF1593" s="176">
        <v>0</v>
      </c>
      <c r="AG1593" s="17">
        <v>0</v>
      </c>
      <c r="AH1593" s="176" t="s">
        <v>2526</v>
      </c>
      <c r="AI1593" s="239" t="s">
        <v>2526</v>
      </c>
      <c r="AJ1593" s="239" t="s">
        <v>2526</v>
      </c>
      <c r="AK1593" s="238" t="s">
        <v>2526</v>
      </c>
      <c r="AL1593" s="238" t="s">
        <v>2526</v>
      </c>
      <c r="AM1593" s="17">
        <f t="shared" si="98"/>
        <v>0</v>
      </c>
      <c r="AN1593" s="157" t="s">
        <v>1452</v>
      </c>
      <c r="AO1593" s="157" t="s">
        <v>5363</v>
      </c>
      <c r="AP1593" s="240" t="s">
        <v>119</v>
      </c>
      <c r="AQ1593" s="157"/>
    </row>
    <row r="1594" spans="1:43" s="18" customFormat="1" hidden="1" x14ac:dyDescent="0.3">
      <c r="A1594" s="228" t="s">
        <v>1451</v>
      </c>
      <c r="B1594" s="18" t="s">
        <v>4838</v>
      </c>
      <c r="C1594" s="228" t="s">
        <v>4841</v>
      </c>
      <c r="D1594" s="18" t="s">
        <v>2439</v>
      </c>
      <c r="E1594" s="228" t="s">
        <v>5351</v>
      </c>
      <c r="F1594" s="18" t="s">
        <v>5352</v>
      </c>
      <c r="G1594" s="228" t="s">
        <v>5382</v>
      </c>
      <c r="H1594" s="18" t="s">
        <v>5383</v>
      </c>
      <c r="K1594" s="228" t="s">
        <v>5384</v>
      </c>
      <c r="L1594" s="18" t="s">
        <v>5385</v>
      </c>
      <c r="N1594" s="16"/>
      <c r="O1594" s="16"/>
      <c r="P1594" s="16"/>
      <c r="Q1594" s="16"/>
      <c r="R1594" s="16"/>
      <c r="S1594" s="16"/>
      <c r="U1594" s="283" t="e">
        <v>#N/A</v>
      </c>
      <c r="V1594" s="18" t="s">
        <v>5401</v>
      </c>
      <c r="W1594" s="18">
        <v>0</v>
      </c>
      <c r="X1594" s="18">
        <v>0</v>
      </c>
      <c r="Y1594" s="18">
        <v>0</v>
      </c>
      <c r="Z1594" s="18">
        <v>0</v>
      </c>
      <c r="AA1594" s="18">
        <v>0</v>
      </c>
      <c r="AB1594" s="18">
        <v>0</v>
      </c>
      <c r="AC1594" s="18">
        <v>0</v>
      </c>
      <c r="AD1594" s="18">
        <v>0</v>
      </c>
      <c r="AE1594" s="302">
        <f t="shared" si="99"/>
        <v>0</v>
      </c>
      <c r="AF1594" s="176">
        <v>0</v>
      </c>
      <c r="AG1594" s="17">
        <v>0</v>
      </c>
      <c r="AH1594" s="176" t="s">
        <v>2526</v>
      </c>
      <c r="AI1594" s="239" t="s">
        <v>2526</v>
      </c>
      <c r="AJ1594" s="239" t="s">
        <v>2526</v>
      </c>
      <c r="AK1594" s="238" t="s">
        <v>2526</v>
      </c>
      <c r="AL1594" s="238" t="s">
        <v>2526</v>
      </c>
      <c r="AM1594" s="17">
        <f t="shared" ref="AM1594:AM1657" si="100">SUM(AK1594:AL1594)</f>
        <v>0</v>
      </c>
      <c r="AN1594" s="157" t="s">
        <v>921</v>
      </c>
      <c r="AO1594" s="157" t="s">
        <v>880</v>
      </c>
      <c r="AP1594" s="240" t="s">
        <v>119</v>
      </c>
      <c r="AQ1594" s="157"/>
    </row>
    <row r="1595" spans="1:43" s="18" customFormat="1" ht="28.8" hidden="1" x14ac:dyDescent="0.3">
      <c r="A1595" s="228" t="s">
        <v>1451</v>
      </c>
      <c r="B1595" s="18" t="s">
        <v>4838</v>
      </c>
      <c r="C1595" s="228" t="s">
        <v>4841</v>
      </c>
      <c r="D1595" s="18" t="s">
        <v>2439</v>
      </c>
      <c r="E1595" s="228" t="s">
        <v>5351</v>
      </c>
      <c r="F1595" s="18" t="s">
        <v>5352</v>
      </c>
      <c r="G1595" s="228" t="s">
        <v>5402</v>
      </c>
      <c r="H1595" s="18" t="s">
        <v>5403</v>
      </c>
      <c r="K1595" s="233" t="s">
        <v>5404</v>
      </c>
      <c r="L1595" s="225" t="s">
        <v>5405</v>
      </c>
      <c r="M1595" s="225" t="s">
        <v>5406</v>
      </c>
      <c r="N1595" s="224">
        <v>0</v>
      </c>
      <c r="O1595" s="224">
        <v>1</v>
      </c>
      <c r="P1595" s="224" t="s">
        <v>271</v>
      </c>
      <c r="Q1595" s="224" t="s">
        <v>271</v>
      </c>
      <c r="R1595" s="224" t="s">
        <v>271</v>
      </c>
      <c r="S1595" s="224" t="s">
        <v>271</v>
      </c>
      <c r="T1595" s="223" t="s">
        <v>798</v>
      </c>
      <c r="U1595" s="283" t="s">
        <v>350</v>
      </c>
      <c r="V1595" s="18" t="s">
        <v>5407</v>
      </c>
      <c r="W1595" s="18">
        <v>0</v>
      </c>
      <c r="X1595" s="18">
        <v>0</v>
      </c>
      <c r="Y1595" s="18">
        <v>0</v>
      </c>
      <c r="Z1595" s="18">
        <v>0</v>
      </c>
      <c r="AA1595" s="18">
        <v>0</v>
      </c>
      <c r="AB1595" s="18">
        <v>0</v>
      </c>
      <c r="AC1595" s="18">
        <v>0</v>
      </c>
      <c r="AD1595" s="18">
        <v>0</v>
      </c>
      <c r="AE1595" s="302">
        <f t="shared" si="99"/>
        <v>0</v>
      </c>
      <c r="AF1595" s="176">
        <v>1</v>
      </c>
      <c r="AG1595" s="17">
        <v>0</v>
      </c>
      <c r="AH1595" s="176">
        <v>0</v>
      </c>
      <c r="AI1595" s="239">
        <v>0</v>
      </c>
      <c r="AJ1595" s="239">
        <v>10</v>
      </c>
      <c r="AK1595" s="238" t="s">
        <v>2526</v>
      </c>
      <c r="AL1595" s="238" t="s">
        <v>2526</v>
      </c>
      <c r="AM1595" s="17">
        <f t="shared" si="100"/>
        <v>0</v>
      </c>
      <c r="AN1595" s="157" t="s">
        <v>619</v>
      </c>
      <c r="AO1595" s="157" t="s">
        <v>350</v>
      </c>
      <c r="AP1595" s="240" t="s">
        <v>3574</v>
      </c>
      <c r="AQ1595" s="157"/>
    </row>
    <row r="1596" spans="1:43" s="18" customFormat="1" hidden="1" x14ac:dyDescent="0.3">
      <c r="A1596" s="228" t="s">
        <v>1451</v>
      </c>
      <c r="B1596" s="18" t="s">
        <v>4838</v>
      </c>
      <c r="C1596" s="228" t="s">
        <v>4841</v>
      </c>
      <c r="D1596" s="18" t="s">
        <v>2439</v>
      </c>
      <c r="E1596" s="228" t="s">
        <v>5351</v>
      </c>
      <c r="F1596" s="18" t="s">
        <v>5352</v>
      </c>
      <c r="G1596" s="228" t="s">
        <v>5408</v>
      </c>
      <c r="H1596" s="18" t="s">
        <v>5409</v>
      </c>
      <c r="K1596" s="228" t="s">
        <v>5410</v>
      </c>
      <c r="L1596" s="18" t="s">
        <v>5411</v>
      </c>
      <c r="M1596" s="18" t="s">
        <v>5412</v>
      </c>
      <c r="N1596" s="16">
        <v>0</v>
      </c>
      <c r="O1596" s="16">
        <v>0</v>
      </c>
      <c r="P1596" s="16">
        <v>0</v>
      </c>
      <c r="Q1596" s="16">
        <v>1</v>
      </c>
      <c r="R1596" s="16">
        <v>0</v>
      </c>
      <c r="S1596" s="16">
        <v>0</v>
      </c>
      <c r="T1596" s="18" t="s">
        <v>1191</v>
      </c>
      <c r="U1596" s="283" t="e">
        <v>#N/A</v>
      </c>
      <c r="V1596" s="18" t="s">
        <v>5413</v>
      </c>
      <c r="W1596" s="18">
        <v>0</v>
      </c>
      <c r="X1596" s="18">
        <v>0</v>
      </c>
      <c r="Y1596" s="18">
        <v>0</v>
      </c>
      <c r="Z1596" s="18">
        <v>1</v>
      </c>
      <c r="AA1596" s="18">
        <v>0</v>
      </c>
      <c r="AB1596" s="18">
        <v>0</v>
      </c>
      <c r="AC1596" s="18">
        <v>0</v>
      </c>
      <c r="AD1596" s="18">
        <v>0</v>
      </c>
      <c r="AE1596" s="302">
        <f t="shared" si="99"/>
        <v>0.125</v>
      </c>
      <c r="AF1596" s="176">
        <v>0</v>
      </c>
      <c r="AG1596" s="17">
        <v>0</v>
      </c>
      <c r="AH1596" s="176" t="s">
        <v>2526</v>
      </c>
      <c r="AI1596" s="239" t="s">
        <v>2526</v>
      </c>
      <c r="AJ1596" s="239" t="s">
        <v>2526</v>
      </c>
      <c r="AK1596" s="238" t="s">
        <v>2526</v>
      </c>
      <c r="AL1596" s="238" t="s">
        <v>2526</v>
      </c>
      <c r="AM1596" s="17">
        <f t="shared" si="100"/>
        <v>0</v>
      </c>
      <c r="AN1596" s="157" t="s">
        <v>921</v>
      </c>
      <c r="AO1596" s="157" t="s">
        <v>880</v>
      </c>
      <c r="AP1596" s="240" t="s">
        <v>119</v>
      </c>
      <c r="AQ1596" s="157"/>
    </row>
    <row r="1597" spans="1:43" s="18" customFormat="1" hidden="1" x14ac:dyDescent="0.3">
      <c r="A1597" s="228" t="s">
        <v>1451</v>
      </c>
      <c r="B1597" s="18" t="s">
        <v>4838</v>
      </c>
      <c r="C1597" s="228" t="s">
        <v>4841</v>
      </c>
      <c r="D1597" s="18" t="s">
        <v>2439</v>
      </c>
      <c r="E1597" s="228" t="s">
        <v>5351</v>
      </c>
      <c r="F1597" s="18" t="s">
        <v>5352</v>
      </c>
      <c r="G1597" s="228" t="s">
        <v>5408</v>
      </c>
      <c r="H1597" s="18" t="s">
        <v>5409</v>
      </c>
      <c r="K1597" s="228" t="s">
        <v>5410</v>
      </c>
      <c r="L1597" s="18" t="s">
        <v>5411</v>
      </c>
      <c r="N1597" s="16"/>
      <c r="O1597" s="16"/>
      <c r="P1597" s="16"/>
      <c r="Q1597" s="16"/>
      <c r="R1597" s="16"/>
      <c r="S1597" s="16"/>
      <c r="U1597" s="283" t="e">
        <v>#N/A</v>
      </c>
      <c r="V1597" s="18" t="s">
        <v>5414</v>
      </c>
      <c r="W1597" s="18">
        <v>0</v>
      </c>
      <c r="X1597" s="18">
        <v>0</v>
      </c>
      <c r="Y1597" s="18">
        <v>0</v>
      </c>
      <c r="Z1597" s="18">
        <v>0</v>
      </c>
      <c r="AA1597" s="18">
        <v>0</v>
      </c>
      <c r="AB1597" s="18">
        <v>0</v>
      </c>
      <c r="AC1597" s="18">
        <v>0</v>
      </c>
      <c r="AD1597" s="18">
        <v>0</v>
      </c>
      <c r="AE1597" s="302">
        <f t="shared" ref="AE1597:AE1660" si="101">SUM(W1597:AD1597)/8</f>
        <v>0</v>
      </c>
      <c r="AF1597" s="176">
        <v>0</v>
      </c>
      <c r="AG1597" s="17">
        <v>0</v>
      </c>
      <c r="AH1597" s="176" t="s">
        <v>2526</v>
      </c>
      <c r="AI1597" s="239" t="s">
        <v>2526</v>
      </c>
      <c r="AJ1597" s="239" t="s">
        <v>2526</v>
      </c>
      <c r="AK1597" s="177" t="s">
        <v>2526</v>
      </c>
      <c r="AL1597" s="238" t="s">
        <v>2526</v>
      </c>
      <c r="AM1597" s="17">
        <f t="shared" si="100"/>
        <v>0</v>
      </c>
      <c r="AN1597" s="157" t="s">
        <v>265</v>
      </c>
      <c r="AO1597" s="157" t="s">
        <v>350</v>
      </c>
      <c r="AP1597" s="240" t="s">
        <v>119</v>
      </c>
      <c r="AQ1597" s="157"/>
    </row>
    <row r="1598" spans="1:43" s="18" customFormat="1" hidden="1" x14ac:dyDescent="0.3">
      <c r="A1598" s="228" t="s">
        <v>1451</v>
      </c>
      <c r="B1598" s="18" t="s">
        <v>4838</v>
      </c>
      <c r="C1598" s="228" t="s">
        <v>4841</v>
      </c>
      <c r="D1598" s="18" t="s">
        <v>2439</v>
      </c>
      <c r="E1598" s="228" t="s">
        <v>5351</v>
      </c>
      <c r="F1598" s="18" t="s">
        <v>5352</v>
      </c>
      <c r="G1598" s="228" t="s">
        <v>5408</v>
      </c>
      <c r="H1598" s="18" t="s">
        <v>5409</v>
      </c>
      <c r="K1598" s="228" t="s">
        <v>5410</v>
      </c>
      <c r="L1598" s="18" t="s">
        <v>5411</v>
      </c>
      <c r="N1598" s="16"/>
      <c r="O1598" s="16"/>
      <c r="P1598" s="16"/>
      <c r="Q1598" s="16"/>
      <c r="R1598" s="16"/>
      <c r="S1598" s="16"/>
      <c r="U1598" s="283" t="e">
        <v>#N/A</v>
      </c>
      <c r="V1598" s="18" t="s">
        <v>5415</v>
      </c>
      <c r="W1598" s="18">
        <v>0</v>
      </c>
      <c r="X1598" s="18">
        <v>0</v>
      </c>
      <c r="Y1598" s="18">
        <v>0</v>
      </c>
      <c r="Z1598" s="18">
        <v>0</v>
      </c>
      <c r="AA1598" s="18">
        <v>0</v>
      </c>
      <c r="AB1598" s="18">
        <v>0</v>
      </c>
      <c r="AC1598" s="18">
        <v>0</v>
      </c>
      <c r="AD1598" s="18">
        <v>0</v>
      </c>
      <c r="AE1598" s="302">
        <f t="shared" si="101"/>
        <v>0</v>
      </c>
      <c r="AF1598" s="176">
        <v>0</v>
      </c>
      <c r="AG1598" s="17">
        <v>0</v>
      </c>
      <c r="AH1598" s="176" t="s">
        <v>2526</v>
      </c>
      <c r="AI1598" s="239" t="s">
        <v>2526</v>
      </c>
      <c r="AJ1598" s="239" t="s">
        <v>2526</v>
      </c>
      <c r="AK1598" s="177" t="s">
        <v>2526</v>
      </c>
      <c r="AL1598" s="238" t="s">
        <v>2526</v>
      </c>
      <c r="AM1598" s="17">
        <f t="shared" si="100"/>
        <v>0</v>
      </c>
      <c r="AN1598" s="157" t="s">
        <v>265</v>
      </c>
      <c r="AO1598" s="157" t="s">
        <v>350</v>
      </c>
      <c r="AP1598" s="240" t="s">
        <v>119</v>
      </c>
      <c r="AQ1598" s="157"/>
    </row>
    <row r="1599" spans="1:43" s="18" customFormat="1" x14ac:dyDescent="0.3">
      <c r="A1599" s="228" t="s">
        <v>1451</v>
      </c>
      <c r="B1599" s="18" t="s">
        <v>4838</v>
      </c>
      <c r="C1599" s="228" t="s">
        <v>4841</v>
      </c>
      <c r="D1599" s="18" t="s">
        <v>2439</v>
      </c>
      <c r="E1599" s="228" t="s">
        <v>5416</v>
      </c>
      <c r="F1599" s="18" t="s">
        <v>5417</v>
      </c>
      <c r="G1599" s="228" t="s">
        <v>5418</v>
      </c>
      <c r="H1599" s="18" t="s">
        <v>5419</v>
      </c>
      <c r="K1599" s="228" t="s">
        <v>5420</v>
      </c>
      <c r="L1599" s="18" t="s">
        <v>5421</v>
      </c>
      <c r="M1599" s="18" t="s">
        <v>5422</v>
      </c>
      <c r="N1599" s="16">
        <v>0</v>
      </c>
      <c r="O1599" s="16">
        <v>10</v>
      </c>
      <c r="P1599" s="16">
        <v>10</v>
      </c>
      <c r="Q1599" s="16">
        <v>20</v>
      </c>
      <c r="R1599" s="16">
        <v>20</v>
      </c>
      <c r="S1599" s="16">
        <v>10</v>
      </c>
      <c r="T1599" s="18" t="s">
        <v>5423</v>
      </c>
      <c r="U1599" s="283" t="s">
        <v>1650</v>
      </c>
      <c r="V1599" s="18" t="s">
        <v>5424</v>
      </c>
      <c r="W1599" s="18">
        <v>1</v>
      </c>
      <c r="X1599" s="18">
        <v>0</v>
      </c>
      <c r="Y1599" s="18">
        <v>0</v>
      </c>
      <c r="Z1599" s="18">
        <v>1</v>
      </c>
      <c r="AA1599" s="18">
        <v>1</v>
      </c>
      <c r="AB1599" s="18">
        <v>1</v>
      </c>
      <c r="AC1599" s="316">
        <v>1</v>
      </c>
      <c r="AD1599" s="316">
        <v>1</v>
      </c>
      <c r="AE1599" s="302">
        <f t="shared" si="101"/>
        <v>0.75</v>
      </c>
      <c r="AF1599" s="176">
        <v>0</v>
      </c>
      <c r="AG1599" s="17">
        <v>0</v>
      </c>
      <c r="AH1599" s="176">
        <v>2</v>
      </c>
      <c r="AI1599" s="176">
        <v>2.5</v>
      </c>
      <c r="AJ1599" s="234">
        <v>2.5</v>
      </c>
      <c r="AK1599" s="235">
        <v>1.5</v>
      </c>
      <c r="AL1599" s="235">
        <v>1.5</v>
      </c>
      <c r="AM1599" s="17">
        <f t="shared" si="100"/>
        <v>3</v>
      </c>
      <c r="AN1599" s="236" t="s">
        <v>831</v>
      </c>
      <c r="AO1599" s="236" t="s">
        <v>834</v>
      </c>
      <c r="AP1599" s="228" t="s">
        <v>5425</v>
      </c>
    </row>
    <row r="1600" spans="1:43" s="18" customFormat="1" x14ac:dyDescent="0.3">
      <c r="A1600" s="228" t="s">
        <v>1451</v>
      </c>
      <c r="B1600" s="18" t="s">
        <v>4838</v>
      </c>
      <c r="C1600" s="228" t="s">
        <v>4841</v>
      </c>
      <c r="D1600" s="18" t="s">
        <v>2439</v>
      </c>
      <c r="E1600" s="228" t="s">
        <v>5416</v>
      </c>
      <c r="F1600" s="18" t="s">
        <v>5417</v>
      </c>
      <c r="G1600" s="228" t="s">
        <v>5418</v>
      </c>
      <c r="H1600" s="18" t="s">
        <v>5419</v>
      </c>
      <c r="K1600" s="228" t="s">
        <v>5420</v>
      </c>
      <c r="L1600" s="18" t="s">
        <v>5421</v>
      </c>
      <c r="M1600" s="18" t="s">
        <v>5426</v>
      </c>
      <c r="N1600" s="16">
        <v>5</v>
      </c>
      <c r="O1600" s="16">
        <v>4</v>
      </c>
      <c r="P1600" s="16" t="s">
        <v>5427</v>
      </c>
      <c r="Q1600" s="16" t="s">
        <v>3548</v>
      </c>
      <c r="R1600" s="16" t="s">
        <v>5427</v>
      </c>
      <c r="S1600" s="16" t="s">
        <v>3548</v>
      </c>
      <c r="T1600" s="18" t="s">
        <v>831</v>
      </c>
      <c r="U1600" s="283" t="s">
        <v>834</v>
      </c>
      <c r="V1600" s="18" t="s">
        <v>5428</v>
      </c>
      <c r="W1600" s="18">
        <v>1</v>
      </c>
      <c r="X1600" s="18">
        <v>1</v>
      </c>
      <c r="Y1600" s="18">
        <v>1</v>
      </c>
      <c r="Z1600" s="18">
        <v>1</v>
      </c>
      <c r="AB1600" s="18">
        <v>1</v>
      </c>
      <c r="AC1600" s="316">
        <v>1</v>
      </c>
      <c r="AD1600" s="316">
        <v>1</v>
      </c>
      <c r="AE1600" s="302">
        <f t="shared" si="101"/>
        <v>0.875</v>
      </c>
      <c r="AF1600" s="176">
        <v>0</v>
      </c>
      <c r="AG1600" s="17">
        <v>0</v>
      </c>
      <c r="AH1600" s="176" t="s">
        <v>2526</v>
      </c>
      <c r="AI1600" s="239" t="s">
        <v>2526</v>
      </c>
      <c r="AJ1600" s="239" t="s">
        <v>2526</v>
      </c>
      <c r="AK1600" s="238" t="s">
        <v>2526</v>
      </c>
      <c r="AL1600" s="238" t="s">
        <v>2526</v>
      </c>
      <c r="AM1600" s="17">
        <f t="shared" si="100"/>
        <v>0</v>
      </c>
      <c r="AN1600" s="157" t="s">
        <v>921</v>
      </c>
      <c r="AO1600" s="157" t="s">
        <v>880</v>
      </c>
      <c r="AP1600" s="240" t="s">
        <v>119</v>
      </c>
      <c r="AQ1600" s="157"/>
    </row>
    <row r="1601" spans="1:43" s="18" customFormat="1" hidden="1" x14ac:dyDescent="0.3">
      <c r="A1601" s="228" t="s">
        <v>1451</v>
      </c>
      <c r="B1601" s="18" t="s">
        <v>4838</v>
      </c>
      <c r="C1601" s="228" t="s">
        <v>4841</v>
      </c>
      <c r="D1601" s="18" t="s">
        <v>2439</v>
      </c>
      <c r="E1601" s="228" t="s">
        <v>5416</v>
      </c>
      <c r="F1601" s="18" t="s">
        <v>5417</v>
      </c>
      <c r="G1601" s="228" t="s">
        <v>5418</v>
      </c>
      <c r="H1601" s="18" t="s">
        <v>5419</v>
      </c>
      <c r="K1601" s="228" t="s">
        <v>5420</v>
      </c>
      <c r="L1601" s="18" t="s">
        <v>5421</v>
      </c>
      <c r="M1601" s="18" t="s">
        <v>5429</v>
      </c>
      <c r="N1601" s="16" t="s">
        <v>3532</v>
      </c>
      <c r="O1601" s="16" t="s">
        <v>3565</v>
      </c>
      <c r="P1601" s="16" t="s">
        <v>3516</v>
      </c>
      <c r="Q1601" s="16" t="s">
        <v>3516</v>
      </c>
      <c r="R1601" s="16" t="s">
        <v>3516</v>
      </c>
      <c r="S1601" s="16" t="s">
        <v>3516</v>
      </c>
      <c r="T1601" s="18" t="s">
        <v>5423</v>
      </c>
      <c r="U1601" s="283" t="s">
        <v>1650</v>
      </c>
      <c r="V1601" s="18" t="s">
        <v>5430</v>
      </c>
      <c r="W1601" s="18">
        <v>0</v>
      </c>
      <c r="X1601" s="18">
        <v>0</v>
      </c>
      <c r="Y1601" s="18">
        <v>0</v>
      </c>
      <c r="Z1601" s="18">
        <v>0</v>
      </c>
      <c r="AA1601" s="18">
        <v>0</v>
      </c>
      <c r="AB1601" s="18">
        <v>0</v>
      </c>
      <c r="AC1601" s="18">
        <v>0</v>
      </c>
      <c r="AD1601" s="18">
        <v>0</v>
      </c>
      <c r="AE1601" s="302">
        <f t="shared" si="101"/>
        <v>0</v>
      </c>
      <c r="AF1601" s="176">
        <v>0</v>
      </c>
      <c r="AG1601" s="17">
        <v>0</v>
      </c>
      <c r="AH1601" s="176">
        <v>0</v>
      </c>
      <c r="AI1601" s="239">
        <v>0</v>
      </c>
      <c r="AJ1601" s="239">
        <v>0</v>
      </c>
      <c r="AK1601" s="177">
        <v>0</v>
      </c>
      <c r="AL1601" s="238">
        <v>0</v>
      </c>
      <c r="AM1601" s="17">
        <f t="shared" si="100"/>
        <v>0</v>
      </c>
      <c r="AN1601" s="157" t="s">
        <v>921</v>
      </c>
      <c r="AO1601" s="157" t="s">
        <v>880</v>
      </c>
      <c r="AP1601" s="240" t="s">
        <v>119</v>
      </c>
      <c r="AQ1601" s="157"/>
    </row>
    <row r="1602" spans="1:43" s="18" customFormat="1" hidden="1" x14ac:dyDescent="0.3">
      <c r="A1602" s="228" t="s">
        <v>1451</v>
      </c>
      <c r="B1602" s="18" t="s">
        <v>4838</v>
      </c>
      <c r="C1602" s="228" t="s">
        <v>4841</v>
      </c>
      <c r="D1602" s="18" t="s">
        <v>2439</v>
      </c>
      <c r="E1602" s="228" t="s">
        <v>5416</v>
      </c>
      <c r="F1602" s="18" t="s">
        <v>5417</v>
      </c>
      <c r="G1602" s="228" t="s">
        <v>5418</v>
      </c>
      <c r="H1602" s="18" t="s">
        <v>5419</v>
      </c>
      <c r="K1602" s="228" t="s">
        <v>5420</v>
      </c>
      <c r="L1602" s="18" t="s">
        <v>5421</v>
      </c>
      <c r="M1602" s="18" t="s">
        <v>5431</v>
      </c>
      <c r="N1602" s="16">
        <v>0</v>
      </c>
      <c r="O1602" s="16" t="s">
        <v>3926</v>
      </c>
      <c r="P1602" s="16" t="s">
        <v>3926</v>
      </c>
      <c r="Q1602" s="16" t="s">
        <v>3532</v>
      </c>
      <c r="R1602" s="16" t="s">
        <v>3926</v>
      </c>
      <c r="S1602" s="16" t="s">
        <v>3554</v>
      </c>
      <c r="T1602" s="18" t="s">
        <v>877</v>
      </c>
      <c r="U1602" s="283" t="s">
        <v>880</v>
      </c>
      <c r="V1602" s="18" t="s">
        <v>5432</v>
      </c>
      <c r="W1602" s="18">
        <v>0</v>
      </c>
      <c r="X1602" s="18">
        <v>0</v>
      </c>
      <c r="Y1602" s="18">
        <v>0</v>
      </c>
      <c r="Z1602" s="18">
        <v>0</v>
      </c>
      <c r="AA1602" s="18">
        <v>0</v>
      </c>
      <c r="AB1602" s="18">
        <v>0</v>
      </c>
      <c r="AC1602" s="18">
        <v>0</v>
      </c>
      <c r="AD1602" s="18">
        <v>0</v>
      </c>
      <c r="AE1602" s="302">
        <f t="shared" si="101"/>
        <v>0</v>
      </c>
      <c r="AF1602" s="176">
        <v>0</v>
      </c>
      <c r="AG1602" s="17">
        <v>0</v>
      </c>
      <c r="AH1602" s="176" t="s">
        <v>2526</v>
      </c>
      <c r="AI1602" s="239" t="s">
        <v>2526</v>
      </c>
      <c r="AJ1602" s="239" t="s">
        <v>2526</v>
      </c>
      <c r="AK1602" s="177" t="s">
        <v>2526</v>
      </c>
      <c r="AL1602" s="238" t="s">
        <v>2526</v>
      </c>
      <c r="AM1602" s="17">
        <f t="shared" si="100"/>
        <v>0</v>
      </c>
      <c r="AN1602" s="157" t="s">
        <v>921</v>
      </c>
      <c r="AO1602" s="157" t="s">
        <v>880</v>
      </c>
      <c r="AP1602" s="240" t="s">
        <v>119</v>
      </c>
      <c r="AQ1602" s="157"/>
    </row>
    <row r="1603" spans="1:43" s="18" customFormat="1" x14ac:dyDescent="0.3">
      <c r="A1603" s="228" t="s">
        <v>1451</v>
      </c>
      <c r="B1603" s="18" t="s">
        <v>4838</v>
      </c>
      <c r="C1603" s="228" t="s">
        <v>4841</v>
      </c>
      <c r="D1603" s="18" t="s">
        <v>2439</v>
      </c>
      <c r="E1603" s="228" t="s">
        <v>5416</v>
      </c>
      <c r="F1603" s="18" t="s">
        <v>5417</v>
      </c>
      <c r="G1603" s="228" t="s">
        <v>5418</v>
      </c>
      <c r="H1603" s="18" t="s">
        <v>5419</v>
      </c>
      <c r="K1603" s="228" t="s">
        <v>5420</v>
      </c>
      <c r="L1603" s="18" t="s">
        <v>5421</v>
      </c>
      <c r="M1603" s="18" t="s">
        <v>5433</v>
      </c>
      <c r="N1603" s="16">
        <v>0</v>
      </c>
      <c r="O1603" s="16">
        <v>1203.4000000000001</v>
      </c>
      <c r="P1603" s="16">
        <v>1270.0999999999999</v>
      </c>
      <c r="Q1603" s="16">
        <v>1340.6</v>
      </c>
      <c r="R1603" s="16">
        <v>1414.8</v>
      </c>
      <c r="S1603" s="16">
        <v>1491.9</v>
      </c>
      <c r="T1603" s="18" t="s">
        <v>877</v>
      </c>
      <c r="U1603" s="283" t="s">
        <v>880</v>
      </c>
      <c r="V1603" s="18" t="s">
        <v>5434</v>
      </c>
      <c r="W1603" s="18">
        <v>1</v>
      </c>
      <c r="X1603" s="18">
        <v>1</v>
      </c>
      <c r="Y1603" s="18">
        <v>1</v>
      </c>
      <c r="Z1603" s="18">
        <v>1</v>
      </c>
      <c r="AA1603" s="18">
        <v>0</v>
      </c>
      <c r="AB1603" s="18">
        <v>1</v>
      </c>
      <c r="AC1603" s="18">
        <v>1</v>
      </c>
      <c r="AD1603" s="18">
        <v>1</v>
      </c>
      <c r="AE1603" s="302">
        <f t="shared" si="101"/>
        <v>0.875</v>
      </c>
      <c r="AF1603" s="176">
        <v>0</v>
      </c>
      <c r="AG1603" s="17">
        <v>0</v>
      </c>
      <c r="AH1603" s="176" t="s">
        <v>2526</v>
      </c>
      <c r="AI1603" s="239" t="s">
        <v>2526</v>
      </c>
      <c r="AJ1603" s="239" t="s">
        <v>2526</v>
      </c>
      <c r="AK1603" s="177" t="s">
        <v>2526</v>
      </c>
      <c r="AL1603" s="238" t="s">
        <v>2526</v>
      </c>
      <c r="AM1603" s="17">
        <f t="shared" si="100"/>
        <v>0</v>
      </c>
      <c r="AN1603" s="157" t="s">
        <v>921</v>
      </c>
      <c r="AO1603" s="157" t="s">
        <v>880</v>
      </c>
      <c r="AP1603" s="240" t="s">
        <v>119</v>
      </c>
      <c r="AQ1603" s="157"/>
    </row>
    <row r="1604" spans="1:43" s="18" customFormat="1" x14ac:dyDescent="0.3">
      <c r="A1604" s="228" t="s">
        <v>1451</v>
      </c>
      <c r="B1604" s="18" t="s">
        <v>4838</v>
      </c>
      <c r="C1604" s="228" t="s">
        <v>4841</v>
      </c>
      <c r="D1604" s="18" t="s">
        <v>2439</v>
      </c>
      <c r="E1604" s="228" t="s">
        <v>5416</v>
      </c>
      <c r="F1604" s="18" t="s">
        <v>5417</v>
      </c>
      <c r="G1604" s="228" t="s">
        <v>5418</v>
      </c>
      <c r="H1604" s="18" t="s">
        <v>5419</v>
      </c>
      <c r="K1604" s="228" t="s">
        <v>5420</v>
      </c>
      <c r="L1604" s="18" t="s">
        <v>5421</v>
      </c>
      <c r="M1604" s="18" t="s">
        <v>5435</v>
      </c>
      <c r="N1604" s="16">
        <v>815</v>
      </c>
      <c r="O1604" s="16">
        <v>900</v>
      </c>
      <c r="P1604" s="16">
        <v>800</v>
      </c>
      <c r="Q1604" s="16">
        <v>900</v>
      </c>
      <c r="R1604" s="16">
        <v>1000</v>
      </c>
      <c r="S1604" s="16">
        <v>1050</v>
      </c>
      <c r="T1604" s="18" t="s">
        <v>5423</v>
      </c>
      <c r="U1604" s="283" t="s">
        <v>1650</v>
      </c>
      <c r="V1604" s="18" t="s">
        <v>5436</v>
      </c>
      <c r="W1604" s="18">
        <v>1</v>
      </c>
      <c r="X1604" s="18">
        <v>1</v>
      </c>
      <c r="Y1604" s="18">
        <v>1</v>
      </c>
      <c r="Z1604" s="18">
        <v>1</v>
      </c>
      <c r="AA1604" s="18">
        <v>0</v>
      </c>
      <c r="AB1604" s="18">
        <v>1</v>
      </c>
      <c r="AC1604" s="316">
        <v>0</v>
      </c>
      <c r="AD1604" s="316">
        <v>1</v>
      </c>
      <c r="AE1604" s="302">
        <f t="shared" si="101"/>
        <v>0.75</v>
      </c>
      <c r="AF1604" s="176">
        <v>1</v>
      </c>
      <c r="AG1604" s="17">
        <v>0</v>
      </c>
      <c r="AH1604" s="176" t="s">
        <v>2526</v>
      </c>
      <c r="AI1604" s="176" t="s">
        <v>2526</v>
      </c>
      <c r="AJ1604" s="234" t="s">
        <v>2526</v>
      </c>
      <c r="AK1604" s="235" t="s">
        <v>2526</v>
      </c>
      <c r="AL1604" s="235" t="s">
        <v>2526</v>
      </c>
      <c r="AM1604" s="17">
        <f t="shared" si="100"/>
        <v>0</v>
      </c>
      <c r="AN1604" s="236" t="s">
        <v>619</v>
      </c>
      <c r="AO1604" s="236" t="s">
        <v>350</v>
      </c>
      <c r="AP1604" s="228" t="s">
        <v>119</v>
      </c>
    </row>
    <row r="1605" spans="1:43" s="18" customFormat="1" hidden="1" x14ac:dyDescent="0.3">
      <c r="A1605" s="228" t="s">
        <v>1451</v>
      </c>
      <c r="B1605" s="18" t="s">
        <v>4838</v>
      </c>
      <c r="C1605" s="228" t="s">
        <v>4841</v>
      </c>
      <c r="D1605" s="18" t="s">
        <v>2439</v>
      </c>
      <c r="E1605" s="228" t="s">
        <v>5416</v>
      </c>
      <c r="F1605" s="18" t="s">
        <v>5417</v>
      </c>
      <c r="G1605" s="228" t="s">
        <v>5418</v>
      </c>
      <c r="H1605" s="18" t="s">
        <v>5419</v>
      </c>
      <c r="K1605" s="228" t="s">
        <v>5420</v>
      </c>
      <c r="L1605" s="18" t="s">
        <v>5421</v>
      </c>
      <c r="N1605" s="16"/>
      <c r="O1605" s="16"/>
      <c r="P1605" s="16"/>
      <c r="Q1605" s="16"/>
      <c r="R1605" s="16"/>
      <c r="S1605" s="16"/>
      <c r="U1605" s="283" t="e">
        <v>#N/A</v>
      </c>
      <c r="V1605" s="18" t="s">
        <v>5437</v>
      </c>
      <c r="W1605" s="18">
        <v>0</v>
      </c>
      <c r="X1605" s="18">
        <v>0</v>
      </c>
      <c r="Y1605" s="18">
        <v>0</v>
      </c>
      <c r="Z1605" s="18">
        <v>0</v>
      </c>
      <c r="AA1605" s="18">
        <v>0</v>
      </c>
      <c r="AB1605" s="18">
        <v>0</v>
      </c>
      <c r="AC1605" s="18">
        <v>0</v>
      </c>
      <c r="AD1605" s="18">
        <v>0</v>
      </c>
      <c r="AE1605" s="302">
        <f t="shared" si="101"/>
        <v>0</v>
      </c>
      <c r="AF1605" s="176">
        <v>0</v>
      </c>
      <c r="AG1605" s="17">
        <v>0</v>
      </c>
      <c r="AH1605" s="176" t="s">
        <v>2526</v>
      </c>
      <c r="AI1605" s="176">
        <v>0</v>
      </c>
      <c r="AJ1605" s="234">
        <v>0</v>
      </c>
      <c r="AK1605" s="235">
        <v>0</v>
      </c>
      <c r="AL1605" s="235">
        <v>0</v>
      </c>
      <c r="AM1605" s="17">
        <f t="shared" si="100"/>
        <v>0</v>
      </c>
      <c r="AN1605" s="236" t="s">
        <v>921</v>
      </c>
      <c r="AO1605" s="236" t="s">
        <v>880</v>
      </c>
      <c r="AP1605" s="228" t="s">
        <v>119</v>
      </c>
    </row>
    <row r="1606" spans="1:43" s="18" customFormat="1" hidden="1" x14ac:dyDescent="0.3">
      <c r="A1606" s="228" t="s">
        <v>1451</v>
      </c>
      <c r="B1606" s="18" t="s">
        <v>4838</v>
      </c>
      <c r="C1606" s="228" t="s">
        <v>4841</v>
      </c>
      <c r="D1606" s="18" t="s">
        <v>2439</v>
      </c>
      <c r="E1606" s="228" t="s">
        <v>5416</v>
      </c>
      <c r="F1606" s="18" t="s">
        <v>5417</v>
      </c>
      <c r="G1606" s="228" t="s">
        <v>5418</v>
      </c>
      <c r="H1606" s="18" t="s">
        <v>5419</v>
      </c>
      <c r="K1606" s="228" t="s">
        <v>5420</v>
      </c>
      <c r="L1606" s="18" t="s">
        <v>5421</v>
      </c>
      <c r="N1606" s="16"/>
      <c r="O1606" s="16"/>
      <c r="P1606" s="16"/>
      <c r="Q1606" s="16"/>
      <c r="R1606" s="16"/>
      <c r="S1606" s="16"/>
      <c r="U1606" s="283" t="e">
        <v>#N/A</v>
      </c>
      <c r="V1606" s="18" t="s">
        <v>5438</v>
      </c>
      <c r="W1606" s="18">
        <v>0</v>
      </c>
      <c r="X1606" s="18">
        <v>0</v>
      </c>
      <c r="Y1606" s="18">
        <v>0</v>
      </c>
      <c r="Z1606" s="18">
        <v>0</v>
      </c>
      <c r="AA1606" s="18">
        <v>0</v>
      </c>
      <c r="AB1606" s="18">
        <v>0</v>
      </c>
      <c r="AC1606" s="18">
        <v>0</v>
      </c>
      <c r="AD1606" s="18">
        <v>0</v>
      </c>
      <c r="AE1606" s="302">
        <f t="shared" si="101"/>
        <v>0</v>
      </c>
      <c r="AF1606" s="176">
        <v>0</v>
      </c>
      <c r="AG1606" s="17">
        <v>0</v>
      </c>
      <c r="AH1606" s="176" t="s">
        <v>2526</v>
      </c>
      <c r="AI1606" s="176" t="s">
        <v>2526</v>
      </c>
      <c r="AJ1606" s="234" t="s">
        <v>2526</v>
      </c>
      <c r="AK1606" s="235" t="s">
        <v>2526</v>
      </c>
      <c r="AL1606" s="235" t="s">
        <v>2526</v>
      </c>
      <c r="AM1606" s="17">
        <f t="shared" si="100"/>
        <v>0</v>
      </c>
      <c r="AN1606" s="236" t="s">
        <v>921</v>
      </c>
      <c r="AO1606" s="236" t="s">
        <v>880</v>
      </c>
      <c r="AP1606" s="228" t="s">
        <v>119</v>
      </c>
    </row>
    <row r="1607" spans="1:43" s="18" customFormat="1" x14ac:dyDescent="0.3">
      <c r="A1607" s="228" t="s">
        <v>1451</v>
      </c>
      <c r="B1607" s="18" t="s">
        <v>4838</v>
      </c>
      <c r="C1607" s="228" t="s">
        <v>4841</v>
      </c>
      <c r="D1607" s="18" t="s">
        <v>2439</v>
      </c>
      <c r="E1607" s="228" t="s">
        <v>5416</v>
      </c>
      <c r="F1607" s="18" t="s">
        <v>5417</v>
      </c>
      <c r="G1607" s="228" t="s">
        <v>5418</v>
      </c>
      <c r="H1607" s="18" t="s">
        <v>5419</v>
      </c>
      <c r="K1607" s="228" t="s">
        <v>5420</v>
      </c>
      <c r="L1607" s="18" t="s">
        <v>5421</v>
      </c>
      <c r="N1607" s="16"/>
      <c r="O1607" s="16"/>
      <c r="P1607" s="16"/>
      <c r="Q1607" s="16"/>
      <c r="R1607" s="16"/>
      <c r="S1607" s="16"/>
      <c r="U1607" s="283" t="e">
        <v>#N/A</v>
      </c>
      <c r="V1607" s="18" t="s">
        <v>5439</v>
      </c>
      <c r="W1607" s="18">
        <v>1</v>
      </c>
      <c r="X1607" s="18">
        <v>1</v>
      </c>
      <c r="Y1607" s="18">
        <v>1</v>
      </c>
      <c r="Z1607" s="18">
        <v>1</v>
      </c>
      <c r="AA1607" s="18">
        <v>1</v>
      </c>
      <c r="AB1607" s="18">
        <v>1</v>
      </c>
      <c r="AC1607" s="18">
        <v>1</v>
      </c>
      <c r="AD1607" s="18">
        <v>1</v>
      </c>
      <c r="AE1607" s="302">
        <f t="shared" si="101"/>
        <v>1</v>
      </c>
      <c r="AF1607" s="176">
        <v>0</v>
      </c>
      <c r="AG1607" s="17">
        <v>0</v>
      </c>
      <c r="AH1607" s="176" t="s">
        <v>2526</v>
      </c>
      <c r="AI1607" s="239">
        <v>0.99</v>
      </c>
      <c r="AJ1607" s="239">
        <v>0.99</v>
      </c>
      <c r="AK1607" s="238">
        <v>0.99</v>
      </c>
      <c r="AL1607" s="238">
        <v>0.99</v>
      </c>
      <c r="AM1607" s="17">
        <f t="shared" si="100"/>
        <v>1.98</v>
      </c>
      <c r="AN1607" s="157" t="s">
        <v>921</v>
      </c>
      <c r="AO1607" s="157" t="s">
        <v>880</v>
      </c>
      <c r="AP1607" s="240" t="s">
        <v>5440</v>
      </c>
      <c r="AQ1607" s="157"/>
    </row>
    <row r="1608" spans="1:43" s="18" customFormat="1" x14ac:dyDescent="0.3">
      <c r="A1608" s="228" t="s">
        <v>1451</v>
      </c>
      <c r="B1608" s="18" t="s">
        <v>4838</v>
      </c>
      <c r="C1608" s="228" t="s">
        <v>4841</v>
      </c>
      <c r="D1608" s="18" t="s">
        <v>2439</v>
      </c>
      <c r="E1608" s="228" t="s">
        <v>5416</v>
      </c>
      <c r="F1608" s="18" t="s">
        <v>5417</v>
      </c>
      <c r="G1608" s="228" t="s">
        <v>5418</v>
      </c>
      <c r="H1608" s="18" t="s">
        <v>5419</v>
      </c>
      <c r="K1608" s="228" t="s">
        <v>5420</v>
      </c>
      <c r="L1608" s="18" t="s">
        <v>5421</v>
      </c>
      <c r="N1608" s="16"/>
      <c r="O1608" s="16"/>
      <c r="P1608" s="16"/>
      <c r="Q1608" s="16"/>
      <c r="R1608" s="16"/>
      <c r="S1608" s="16"/>
      <c r="U1608" s="283" t="e">
        <v>#N/A</v>
      </c>
      <c r="V1608" s="18" t="s">
        <v>5441</v>
      </c>
      <c r="W1608" s="18">
        <v>1</v>
      </c>
      <c r="X1608" s="18">
        <v>1</v>
      </c>
      <c r="Y1608" s="18">
        <v>1</v>
      </c>
      <c r="Z1608" s="18">
        <v>1</v>
      </c>
      <c r="AA1608" s="18">
        <v>1</v>
      </c>
      <c r="AB1608" s="18">
        <v>1</v>
      </c>
      <c r="AC1608" s="18">
        <v>1</v>
      </c>
      <c r="AD1608" s="18">
        <v>1</v>
      </c>
      <c r="AE1608" s="302">
        <f t="shared" si="101"/>
        <v>1</v>
      </c>
      <c r="AF1608" s="176">
        <v>0</v>
      </c>
      <c r="AG1608" s="17"/>
      <c r="AH1608" s="176" t="s">
        <v>2526</v>
      </c>
      <c r="AI1608" s="239">
        <v>0.2</v>
      </c>
      <c r="AJ1608" s="239">
        <v>0.2</v>
      </c>
      <c r="AK1608" s="238">
        <v>0.2</v>
      </c>
      <c r="AL1608" s="238">
        <v>0.2</v>
      </c>
      <c r="AM1608" s="17">
        <f t="shared" si="100"/>
        <v>0.4</v>
      </c>
      <c r="AN1608" s="157" t="s">
        <v>1233</v>
      </c>
      <c r="AO1608" s="157" t="s">
        <v>1650</v>
      </c>
      <c r="AP1608" s="240" t="s">
        <v>119</v>
      </c>
      <c r="AQ1608" s="157"/>
    </row>
    <row r="1609" spans="1:43" s="18" customFormat="1" hidden="1" x14ac:dyDescent="0.3">
      <c r="A1609" s="228" t="s">
        <v>1451</v>
      </c>
      <c r="B1609" s="18" t="s">
        <v>4838</v>
      </c>
      <c r="C1609" s="228" t="s">
        <v>4841</v>
      </c>
      <c r="D1609" s="18" t="s">
        <v>2439</v>
      </c>
      <c r="E1609" s="228" t="s">
        <v>5416</v>
      </c>
      <c r="F1609" s="18" t="s">
        <v>5417</v>
      </c>
      <c r="G1609" s="228" t="s">
        <v>5418</v>
      </c>
      <c r="H1609" s="18" t="s">
        <v>5419</v>
      </c>
      <c r="K1609" s="228" t="s">
        <v>5420</v>
      </c>
      <c r="L1609" s="18" t="s">
        <v>5421</v>
      </c>
      <c r="N1609" s="16"/>
      <c r="O1609" s="16"/>
      <c r="P1609" s="16"/>
      <c r="Q1609" s="16"/>
      <c r="R1609" s="16"/>
      <c r="S1609" s="16"/>
      <c r="U1609" s="283" t="e">
        <v>#N/A</v>
      </c>
      <c r="V1609" s="18" t="s">
        <v>5442</v>
      </c>
      <c r="W1609" s="18">
        <v>0</v>
      </c>
      <c r="X1609" s="18">
        <v>0</v>
      </c>
      <c r="Y1609" s="18">
        <v>0</v>
      </c>
      <c r="Z1609" s="18">
        <v>0</v>
      </c>
      <c r="AA1609" s="18">
        <v>0</v>
      </c>
      <c r="AB1609" s="18">
        <v>0</v>
      </c>
      <c r="AC1609" s="18">
        <v>0</v>
      </c>
      <c r="AD1609" s="18">
        <v>0</v>
      </c>
      <c r="AE1609" s="302">
        <f t="shared" si="101"/>
        <v>0</v>
      </c>
      <c r="AF1609" s="176">
        <v>0</v>
      </c>
      <c r="AG1609" s="17">
        <v>0</v>
      </c>
      <c r="AH1609" s="176" t="s">
        <v>2526</v>
      </c>
      <c r="AI1609" s="239" t="s">
        <v>2526</v>
      </c>
      <c r="AJ1609" s="239" t="s">
        <v>2526</v>
      </c>
      <c r="AK1609" s="238" t="s">
        <v>2526</v>
      </c>
      <c r="AL1609" s="238" t="s">
        <v>2526</v>
      </c>
      <c r="AM1609" s="17">
        <f t="shared" si="100"/>
        <v>0</v>
      </c>
      <c r="AN1609" s="157" t="s">
        <v>1233</v>
      </c>
      <c r="AO1609" s="157" t="s">
        <v>1650</v>
      </c>
      <c r="AP1609" s="240" t="s">
        <v>119</v>
      </c>
      <c r="AQ1609" s="157"/>
    </row>
    <row r="1610" spans="1:43" s="18" customFormat="1" x14ac:dyDescent="0.3">
      <c r="A1610" s="228" t="s">
        <v>1451</v>
      </c>
      <c r="B1610" s="18" t="s">
        <v>4838</v>
      </c>
      <c r="C1610" s="228" t="s">
        <v>4841</v>
      </c>
      <c r="D1610" s="18" t="s">
        <v>2439</v>
      </c>
      <c r="E1610" s="228" t="s">
        <v>5416</v>
      </c>
      <c r="F1610" s="18" t="s">
        <v>5417</v>
      </c>
      <c r="G1610" s="228" t="s">
        <v>5418</v>
      </c>
      <c r="H1610" s="18" t="s">
        <v>5419</v>
      </c>
      <c r="K1610" s="228" t="s">
        <v>5420</v>
      </c>
      <c r="L1610" s="18" t="s">
        <v>5421</v>
      </c>
      <c r="N1610" s="16"/>
      <c r="O1610" s="16"/>
      <c r="P1610" s="16"/>
      <c r="Q1610" s="16"/>
      <c r="R1610" s="16"/>
      <c r="S1610" s="16"/>
      <c r="U1610" s="283" t="e">
        <v>#N/A</v>
      </c>
      <c r="V1610" s="18" t="s">
        <v>5443</v>
      </c>
      <c r="W1610" s="18">
        <v>1</v>
      </c>
      <c r="X1610" s="18">
        <v>1</v>
      </c>
      <c r="Y1610" s="18">
        <v>1</v>
      </c>
      <c r="Z1610" s="18">
        <v>1</v>
      </c>
      <c r="AA1610" s="18">
        <v>1</v>
      </c>
      <c r="AB1610" s="18">
        <v>1</v>
      </c>
      <c r="AC1610" s="18">
        <v>1</v>
      </c>
      <c r="AD1610" s="18">
        <v>1</v>
      </c>
      <c r="AE1610" s="302">
        <f t="shared" si="101"/>
        <v>1</v>
      </c>
      <c r="AF1610" s="176">
        <v>0</v>
      </c>
      <c r="AG1610" s="17">
        <v>0</v>
      </c>
      <c r="AH1610" s="176" t="s">
        <v>2526</v>
      </c>
      <c r="AI1610" s="239">
        <v>25</v>
      </c>
      <c r="AJ1610" s="239">
        <v>25</v>
      </c>
      <c r="AK1610" s="237">
        <v>15</v>
      </c>
      <c r="AL1610" s="238">
        <v>25</v>
      </c>
      <c r="AM1610" s="17">
        <f t="shared" si="100"/>
        <v>40</v>
      </c>
      <c r="AN1610" s="157" t="s">
        <v>879</v>
      </c>
      <c r="AO1610" s="157" t="s">
        <v>880</v>
      </c>
      <c r="AP1610" s="157" t="s">
        <v>63</v>
      </c>
      <c r="AQ1610" s="157"/>
    </row>
    <row r="1611" spans="1:43" s="18" customFormat="1" x14ac:dyDescent="0.3">
      <c r="A1611" s="228" t="s">
        <v>1451</v>
      </c>
      <c r="B1611" s="18" t="s">
        <v>4838</v>
      </c>
      <c r="C1611" s="228" t="s">
        <v>4841</v>
      </c>
      <c r="D1611" s="18" t="s">
        <v>2439</v>
      </c>
      <c r="E1611" s="228" t="s">
        <v>5416</v>
      </c>
      <c r="F1611" s="18" t="s">
        <v>5417</v>
      </c>
      <c r="G1611" s="228" t="s">
        <v>5418</v>
      </c>
      <c r="H1611" s="18" t="s">
        <v>5419</v>
      </c>
      <c r="K1611" s="228" t="s">
        <v>5420</v>
      </c>
      <c r="L1611" s="18" t="s">
        <v>5421</v>
      </c>
      <c r="N1611" s="16"/>
      <c r="O1611" s="16"/>
      <c r="P1611" s="16"/>
      <c r="Q1611" s="16"/>
      <c r="R1611" s="16"/>
      <c r="S1611" s="16"/>
      <c r="U1611" s="283" t="e">
        <v>#N/A</v>
      </c>
      <c r="V1611" s="18" t="s">
        <v>5444</v>
      </c>
      <c r="W1611" s="18">
        <v>1</v>
      </c>
      <c r="X1611" s="18">
        <v>1</v>
      </c>
      <c r="Y1611" s="18">
        <v>1</v>
      </c>
      <c r="Z1611" s="18">
        <v>1</v>
      </c>
      <c r="AA1611" s="18">
        <v>1</v>
      </c>
      <c r="AB1611" s="18">
        <v>1</v>
      </c>
      <c r="AC1611" s="18">
        <v>1</v>
      </c>
      <c r="AD1611" s="18">
        <v>1</v>
      </c>
      <c r="AE1611" s="302">
        <f t="shared" si="101"/>
        <v>1</v>
      </c>
      <c r="AF1611" s="176">
        <v>0</v>
      </c>
      <c r="AG1611" s="17">
        <v>0</v>
      </c>
      <c r="AH1611" s="176" t="s">
        <v>2526</v>
      </c>
      <c r="AI1611" s="239" t="s">
        <v>2526</v>
      </c>
      <c r="AJ1611" s="239">
        <v>0</v>
      </c>
      <c r="AK1611" s="238">
        <v>0</v>
      </c>
      <c r="AL1611" s="238">
        <v>0</v>
      </c>
      <c r="AM1611" s="17">
        <f t="shared" si="100"/>
        <v>0</v>
      </c>
      <c r="AN1611" s="157" t="s">
        <v>879</v>
      </c>
      <c r="AO1611" s="157" t="s">
        <v>880</v>
      </c>
      <c r="AP1611" s="240" t="s">
        <v>119</v>
      </c>
      <c r="AQ1611" s="157"/>
    </row>
    <row r="1612" spans="1:43" s="18" customFormat="1" hidden="1" x14ac:dyDescent="0.3">
      <c r="A1612" s="228" t="s">
        <v>1451</v>
      </c>
      <c r="B1612" s="18" t="s">
        <v>4838</v>
      </c>
      <c r="C1612" s="228" t="s">
        <v>4841</v>
      </c>
      <c r="D1612" s="18" t="s">
        <v>2439</v>
      </c>
      <c r="E1612" s="228" t="s">
        <v>5416</v>
      </c>
      <c r="F1612" s="18" t="s">
        <v>5417</v>
      </c>
      <c r="G1612" s="228" t="s">
        <v>5418</v>
      </c>
      <c r="H1612" s="18" t="s">
        <v>5419</v>
      </c>
      <c r="K1612" s="228" t="s">
        <v>5420</v>
      </c>
      <c r="L1612" s="18" t="s">
        <v>5421</v>
      </c>
      <c r="N1612" s="16"/>
      <c r="O1612" s="16"/>
      <c r="P1612" s="16"/>
      <c r="Q1612" s="16"/>
      <c r="R1612" s="16"/>
      <c r="S1612" s="16"/>
      <c r="U1612" s="283" t="e">
        <v>#N/A</v>
      </c>
      <c r="V1612" s="18" t="s">
        <v>5445</v>
      </c>
      <c r="W1612" s="18">
        <v>0</v>
      </c>
      <c r="X1612" s="18">
        <v>0</v>
      </c>
      <c r="Y1612" s="18">
        <v>0</v>
      </c>
      <c r="Z1612" s="18">
        <v>0</v>
      </c>
      <c r="AA1612" s="18">
        <v>0</v>
      </c>
      <c r="AB1612" s="18">
        <v>0</v>
      </c>
      <c r="AC1612" s="18">
        <v>0</v>
      </c>
      <c r="AD1612" s="18">
        <v>0</v>
      </c>
      <c r="AE1612" s="302">
        <f t="shared" si="101"/>
        <v>0</v>
      </c>
      <c r="AF1612" s="176">
        <v>0</v>
      </c>
      <c r="AG1612" s="17">
        <v>0</v>
      </c>
      <c r="AH1612" s="176" t="s">
        <v>2526</v>
      </c>
      <c r="AI1612" s="239" t="s">
        <v>2526</v>
      </c>
      <c r="AJ1612" s="239" t="s">
        <v>2526</v>
      </c>
      <c r="AK1612" s="238" t="s">
        <v>2526</v>
      </c>
      <c r="AL1612" s="238" t="s">
        <v>2526</v>
      </c>
      <c r="AM1612" s="17">
        <f t="shared" si="100"/>
        <v>0</v>
      </c>
      <c r="AN1612" s="157" t="s">
        <v>921</v>
      </c>
      <c r="AO1612" s="157" t="s">
        <v>880</v>
      </c>
      <c r="AP1612" s="240" t="s">
        <v>119</v>
      </c>
      <c r="AQ1612" s="157"/>
    </row>
    <row r="1613" spans="1:43" s="18" customFormat="1" hidden="1" x14ac:dyDescent="0.3">
      <c r="A1613" s="228" t="s">
        <v>1451</v>
      </c>
      <c r="B1613" s="18" t="s">
        <v>4838</v>
      </c>
      <c r="C1613" s="228" t="s">
        <v>4841</v>
      </c>
      <c r="D1613" s="18" t="s">
        <v>2439</v>
      </c>
      <c r="E1613" s="228" t="s">
        <v>5416</v>
      </c>
      <c r="F1613" s="18" t="s">
        <v>5417</v>
      </c>
      <c r="G1613" s="228" t="s">
        <v>5418</v>
      </c>
      <c r="H1613" s="18" t="s">
        <v>5419</v>
      </c>
      <c r="K1613" s="228" t="s">
        <v>5420</v>
      </c>
      <c r="L1613" s="18" t="s">
        <v>5421</v>
      </c>
      <c r="N1613" s="16"/>
      <c r="O1613" s="16"/>
      <c r="P1613" s="16"/>
      <c r="Q1613" s="16"/>
      <c r="R1613" s="16"/>
      <c r="S1613" s="16"/>
      <c r="U1613" s="283" t="e">
        <v>#N/A</v>
      </c>
      <c r="V1613" s="18" t="s">
        <v>5446</v>
      </c>
      <c r="W1613" s="18">
        <v>0</v>
      </c>
      <c r="X1613" s="18">
        <v>0</v>
      </c>
      <c r="Y1613" s="18">
        <v>0</v>
      </c>
      <c r="Z1613" s="18">
        <v>0</v>
      </c>
      <c r="AA1613" s="18">
        <v>0</v>
      </c>
      <c r="AB1613" s="18">
        <v>0</v>
      </c>
      <c r="AC1613" s="18">
        <v>0</v>
      </c>
      <c r="AD1613" s="18">
        <v>0</v>
      </c>
      <c r="AE1613" s="302">
        <f t="shared" si="101"/>
        <v>0</v>
      </c>
      <c r="AF1613" s="176">
        <v>0</v>
      </c>
      <c r="AG1613" s="17">
        <v>0</v>
      </c>
      <c r="AH1613" s="176" t="s">
        <v>2526</v>
      </c>
      <c r="AI1613" s="239" t="s">
        <v>2526</v>
      </c>
      <c r="AJ1613" s="239" t="s">
        <v>2526</v>
      </c>
      <c r="AK1613" s="238" t="s">
        <v>2526</v>
      </c>
      <c r="AL1613" s="238" t="s">
        <v>2526</v>
      </c>
      <c r="AM1613" s="17">
        <f t="shared" si="100"/>
        <v>0</v>
      </c>
      <c r="AN1613" s="157" t="s">
        <v>1233</v>
      </c>
      <c r="AO1613" s="157" t="s">
        <v>1650</v>
      </c>
      <c r="AP1613" s="240" t="s">
        <v>119</v>
      </c>
      <c r="AQ1613" s="157"/>
    </row>
    <row r="1614" spans="1:43" s="18" customFormat="1" hidden="1" x14ac:dyDescent="0.3">
      <c r="A1614" s="228" t="s">
        <v>1451</v>
      </c>
      <c r="B1614" s="18" t="s">
        <v>4838</v>
      </c>
      <c r="C1614" s="228" t="s">
        <v>4841</v>
      </c>
      <c r="D1614" s="18" t="s">
        <v>2439</v>
      </c>
      <c r="E1614" s="228" t="s">
        <v>5416</v>
      </c>
      <c r="F1614" s="18" t="s">
        <v>5417</v>
      </c>
      <c r="G1614" s="228" t="s">
        <v>5418</v>
      </c>
      <c r="H1614" s="18" t="s">
        <v>5419</v>
      </c>
      <c r="K1614" s="228" t="s">
        <v>5420</v>
      </c>
      <c r="L1614" s="18" t="s">
        <v>5421</v>
      </c>
      <c r="N1614" s="16"/>
      <c r="O1614" s="16"/>
      <c r="P1614" s="16"/>
      <c r="Q1614" s="16"/>
      <c r="R1614" s="16"/>
      <c r="S1614" s="16"/>
      <c r="U1614" s="283" t="e">
        <v>#N/A</v>
      </c>
      <c r="V1614" s="18" t="s">
        <v>5447</v>
      </c>
      <c r="W1614" s="18">
        <v>0</v>
      </c>
      <c r="X1614" s="18">
        <v>0</v>
      </c>
      <c r="Y1614" s="18">
        <v>0</v>
      </c>
      <c r="Z1614" s="18">
        <v>0</v>
      </c>
      <c r="AA1614" s="18">
        <v>0</v>
      </c>
      <c r="AB1614" s="18">
        <v>0</v>
      </c>
      <c r="AC1614" s="18">
        <v>0</v>
      </c>
      <c r="AD1614" s="18">
        <v>0</v>
      </c>
      <c r="AE1614" s="302">
        <f t="shared" si="101"/>
        <v>0</v>
      </c>
      <c r="AF1614" s="176">
        <v>0</v>
      </c>
      <c r="AG1614" s="17">
        <v>0</v>
      </c>
      <c r="AH1614" s="176" t="s">
        <v>2526</v>
      </c>
      <c r="AI1614" s="239">
        <v>0.1</v>
      </c>
      <c r="AJ1614" s="239">
        <v>0.1</v>
      </c>
      <c r="AK1614" s="238" t="s">
        <v>2526</v>
      </c>
      <c r="AL1614" s="238" t="s">
        <v>2526</v>
      </c>
      <c r="AM1614" s="17">
        <f t="shared" si="100"/>
        <v>0</v>
      </c>
      <c r="AN1614" s="157" t="s">
        <v>869</v>
      </c>
      <c r="AO1614" s="157" t="s">
        <v>871</v>
      </c>
      <c r="AP1614" s="240" t="s">
        <v>5448</v>
      </c>
      <c r="AQ1614" s="157"/>
    </row>
    <row r="1615" spans="1:43" s="18" customFormat="1" x14ac:dyDescent="0.3">
      <c r="A1615" s="228" t="s">
        <v>1451</v>
      </c>
      <c r="B1615" s="18" t="s">
        <v>4838</v>
      </c>
      <c r="C1615" s="228" t="s">
        <v>4841</v>
      </c>
      <c r="D1615" s="18" t="s">
        <v>2439</v>
      </c>
      <c r="E1615" s="228" t="s">
        <v>5416</v>
      </c>
      <c r="F1615" s="18" t="s">
        <v>5417</v>
      </c>
      <c r="G1615" s="228" t="s">
        <v>5418</v>
      </c>
      <c r="H1615" s="18" t="s">
        <v>5419</v>
      </c>
      <c r="K1615" s="228" t="s">
        <v>5449</v>
      </c>
      <c r="L1615" s="18" t="s">
        <v>5450</v>
      </c>
      <c r="M1615" s="18" t="s">
        <v>5451</v>
      </c>
      <c r="N1615" s="16">
        <v>0</v>
      </c>
      <c r="O1615" s="16">
        <v>0</v>
      </c>
      <c r="P1615" s="16">
        <v>0</v>
      </c>
      <c r="Q1615" s="16">
        <v>50</v>
      </c>
      <c r="R1615" s="16">
        <v>50</v>
      </c>
      <c r="S1615" s="16">
        <v>50</v>
      </c>
      <c r="T1615" s="18" t="s">
        <v>798</v>
      </c>
      <c r="U1615" s="283" t="s">
        <v>350</v>
      </c>
      <c r="V1615" s="18" t="s">
        <v>5452</v>
      </c>
      <c r="W1615" s="18">
        <v>1</v>
      </c>
      <c r="X1615" s="18">
        <v>1</v>
      </c>
      <c r="Y1615" s="18">
        <v>1</v>
      </c>
      <c r="Z1615" s="18">
        <v>0</v>
      </c>
      <c r="AA1615" s="18">
        <v>1</v>
      </c>
      <c r="AB1615" s="18">
        <v>1</v>
      </c>
      <c r="AC1615" s="18">
        <v>1</v>
      </c>
      <c r="AD1615" s="18">
        <v>1</v>
      </c>
      <c r="AE1615" s="302">
        <f t="shared" si="101"/>
        <v>0.875</v>
      </c>
      <c r="AF1615" s="176"/>
      <c r="AG1615" s="17">
        <v>0</v>
      </c>
      <c r="AH1615" s="176" t="s">
        <v>2526</v>
      </c>
      <c r="AI1615" s="239" t="s">
        <v>2526</v>
      </c>
      <c r="AJ1615" s="239" t="s">
        <v>2526</v>
      </c>
      <c r="AK1615" s="238" t="s">
        <v>2526</v>
      </c>
      <c r="AL1615" s="238" t="s">
        <v>2526</v>
      </c>
      <c r="AM1615" s="17">
        <f t="shared" si="100"/>
        <v>0</v>
      </c>
      <c r="AN1615" s="157" t="s">
        <v>921</v>
      </c>
      <c r="AO1615" s="157" t="s">
        <v>880</v>
      </c>
      <c r="AP1615" s="240" t="s">
        <v>119</v>
      </c>
      <c r="AQ1615" s="157"/>
    </row>
    <row r="1616" spans="1:43" s="18" customFormat="1" hidden="1" x14ac:dyDescent="0.3">
      <c r="A1616" s="228" t="s">
        <v>1451</v>
      </c>
      <c r="B1616" s="18" t="s">
        <v>4838</v>
      </c>
      <c r="C1616" s="228" t="s">
        <v>4841</v>
      </c>
      <c r="D1616" s="18" t="s">
        <v>2439</v>
      </c>
      <c r="E1616" s="228" t="s">
        <v>5416</v>
      </c>
      <c r="F1616" s="18" t="s">
        <v>5417</v>
      </c>
      <c r="G1616" s="228" t="s">
        <v>5418</v>
      </c>
      <c r="H1616" s="18" t="s">
        <v>5419</v>
      </c>
      <c r="K1616" s="228" t="s">
        <v>5449</v>
      </c>
      <c r="L1616" s="18" t="s">
        <v>5450</v>
      </c>
      <c r="N1616" s="16"/>
      <c r="O1616" s="16"/>
      <c r="P1616" s="16"/>
      <c r="Q1616" s="16"/>
      <c r="R1616" s="16"/>
      <c r="S1616" s="16"/>
      <c r="U1616" s="283" t="e">
        <v>#N/A</v>
      </c>
      <c r="V1616" s="18" t="s">
        <v>5453</v>
      </c>
      <c r="W1616" s="18">
        <v>0</v>
      </c>
      <c r="X1616" s="18">
        <v>0</v>
      </c>
      <c r="Y1616" s="18">
        <v>0</v>
      </c>
      <c r="Z1616" s="18">
        <v>0</v>
      </c>
      <c r="AA1616" s="18">
        <v>0</v>
      </c>
      <c r="AB1616" s="18">
        <v>0</v>
      </c>
      <c r="AC1616" s="18">
        <v>0</v>
      </c>
      <c r="AD1616" s="18">
        <v>0</v>
      </c>
      <c r="AE1616" s="302">
        <f t="shared" si="101"/>
        <v>0</v>
      </c>
      <c r="AF1616" s="176">
        <v>0</v>
      </c>
      <c r="AG1616" s="17">
        <v>0</v>
      </c>
      <c r="AH1616" s="176" t="s">
        <v>2526</v>
      </c>
      <c r="AI1616" s="239" t="s">
        <v>2526</v>
      </c>
      <c r="AJ1616" s="239">
        <v>0</v>
      </c>
      <c r="AK1616" s="238">
        <v>0</v>
      </c>
      <c r="AL1616" s="238">
        <v>0</v>
      </c>
      <c r="AM1616" s="17">
        <f t="shared" si="100"/>
        <v>0</v>
      </c>
      <c r="AN1616" s="157" t="s">
        <v>619</v>
      </c>
      <c r="AO1616" s="157" t="s">
        <v>350</v>
      </c>
      <c r="AP1616" s="240" t="s">
        <v>119</v>
      </c>
      <c r="AQ1616" s="157"/>
    </row>
    <row r="1617" spans="1:43" s="18" customFormat="1" x14ac:dyDescent="0.3">
      <c r="A1617" s="228" t="s">
        <v>1451</v>
      </c>
      <c r="B1617" s="18" t="s">
        <v>4838</v>
      </c>
      <c r="C1617" s="228" t="s">
        <v>4841</v>
      </c>
      <c r="D1617" s="18" t="s">
        <v>2439</v>
      </c>
      <c r="E1617" s="228" t="s">
        <v>5416</v>
      </c>
      <c r="F1617" s="18" t="s">
        <v>5417</v>
      </c>
      <c r="G1617" s="228" t="s">
        <v>5418</v>
      </c>
      <c r="H1617" s="18" t="s">
        <v>5419</v>
      </c>
      <c r="K1617" s="228" t="s">
        <v>5449</v>
      </c>
      <c r="L1617" s="18" t="s">
        <v>5450</v>
      </c>
      <c r="N1617" s="16"/>
      <c r="O1617" s="16"/>
      <c r="P1617" s="16"/>
      <c r="Q1617" s="16"/>
      <c r="R1617" s="16"/>
      <c r="S1617" s="16"/>
      <c r="U1617" s="283" t="e">
        <v>#N/A</v>
      </c>
      <c r="V1617" s="18" t="s">
        <v>5454</v>
      </c>
      <c r="W1617" s="18">
        <v>1</v>
      </c>
      <c r="X1617" s="18">
        <v>1</v>
      </c>
      <c r="Y1617" s="18">
        <v>1</v>
      </c>
      <c r="Z1617" s="18">
        <v>1</v>
      </c>
      <c r="AA1617" s="18">
        <v>1</v>
      </c>
      <c r="AB1617" s="18">
        <v>1</v>
      </c>
      <c r="AC1617" s="18">
        <v>1</v>
      </c>
      <c r="AD1617" s="18">
        <v>1</v>
      </c>
      <c r="AE1617" s="302">
        <f t="shared" si="101"/>
        <v>1</v>
      </c>
      <c r="AF1617" s="176">
        <v>1</v>
      </c>
      <c r="AG1617" s="17">
        <v>0</v>
      </c>
      <c r="AH1617" s="176" t="s">
        <v>2526</v>
      </c>
      <c r="AI1617" s="239" t="s">
        <v>2526</v>
      </c>
      <c r="AJ1617" s="239" t="s">
        <v>2526</v>
      </c>
      <c r="AK1617" s="237">
        <v>10</v>
      </c>
      <c r="AL1617" s="238">
        <v>50</v>
      </c>
      <c r="AM1617" s="17">
        <f t="shared" si="100"/>
        <v>60</v>
      </c>
      <c r="AN1617" s="157" t="s">
        <v>619</v>
      </c>
      <c r="AO1617" s="157" t="s">
        <v>350</v>
      </c>
      <c r="AP1617" s="240" t="s">
        <v>119</v>
      </c>
      <c r="AQ1617" s="157"/>
    </row>
    <row r="1618" spans="1:43" s="18" customFormat="1" x14ac:dyDescent="0.3">
      <c r="A1618" s="228" t="s">
        <v>1451</v>
      </c>
      <c r="B1618" s="18" t="s">
        <v>4838</v>
      </c>
      <c r="C1618" s="228" t="s">
        <v>4841</v>
      </c>
      <c r="D1618" s="18" t="s">
        <v>2439</v>
      </c>
      <c r="E1618" s="228" t="s">
        <v>5416</v>
      </c>
      <c r="F1618" s="18" t="s">
        <v>5417</v>
      </c>
      <c r="G1618" s="228" t="s">
        <v>5418</v>
      </c>
      <c r="H1618" s="18" t="s">
        <v>5419</v>
      </c>
      <c r="K1618" s="228" t="s">
        <v>5449</v>
      </c>
      <c r="L1618" s="18" t="s">
        <v>5450</v>
      </c>
      <c r="N1618" s="16"/>
      <c r="O1618" s="16"/>
      <c r="P1618" s="16"/>
      <c r="Q1618" s="16"/>
      <c r="R1618" s="16"/>
      <c r="S1618" s="16"/>
      <c r="U1618" s="283" t="e">
        <v>#N/A</v>
      </c>
      <c r="V1618" s="18" t="s">
        <v>5455</v>
      </c>
      <c r="W1618" s="18">
        <v>1</v>
      </c>
      <c r="X1618" s="18">
        <v>1</v>
      </c>
      <c r="Y1618" s="18">
        <v>1</v>
      </c>
      <c r="Z1618" s="18">
        <v>1</v>
      </c>
      <c r="AA1618" s="18">
        <v>1</v>
      </c>
      <c r="AB1618" s="18">
        <v>1</v>
      </c>
      <c r="AC1618" s="18">
        <v>1</v>
      </c>
      <c r="AD1618" s="18">
        <v>1</v>
      </c>
      <c r="AE1618" s="302">
        <f t="shared" si="101"/>
        <v>1</v>
      </c>
      <c r="AF1618" s="176">
        <v>0</v>
      </c>
      <c r="AG1618" s="17">
        <v>0</v>
      </c>
      <c r="AH1618" s="176" t="s">
        <v>2526</v>
      </c>
      <c r="AI1618" s="239" t="s">
        <v>2526</v>
      </c>
      <c r="AJ1618" s="239" t="s">
        <v>2526</v>
      </c>
      <c r="AK1618" s="238" t="s">
        <v>2526</v>
      </c>
      <c r="AL1618" s="238" t="s">
        <v>2526</v>
      </c>
      <c r="AM1618" s="17">
        <f t="shared" si="100"/>
        <v>0</v>
      </c>
      <c r="AN1618" s="157" t="s">
        <v>619</v>
      </c>
      <c r="AO1618" s="157" t="s">
        <v>350</v>
      </c>
      <c r="AP1618" s="240" t="s">
        <v>119</v>
      </c>
      <c r="AQ1618" s="157"/>
    </row>
    <row r="1619" spans="1:43" s="18" customFormat="1" x14ac:dyDescent="0.3">
      <c r="A1619" s="228" t="s">
        <v>1451</v>
      </c>
      <c r="B1619" s="18" t="s">
        <v>4838</v>
      </c>
      <c r="C1619" s="228" t="s">
        <v>4841</v>
      </c>
      <c r="D1619" s="18" t="s">
        <v>2439</v>
      </c>
      <c r="E1619" s="228" t="s">
        <v>5416</v>
      </c>
      <c r="F1619" s="18" t="s">
        <v>5417</v>
      </c>
      <c r="G1619" s="228" t="s">
        <v>5418</v>
      </c>
      <c r="H1619" s="18" t="s">
        <v>5419</v>
      </c>
      <c r="J1619" s="18" t="s">
        <v>5456</v>
      </c>
      <c r="K1619" s="233" t="s">
        <v>5457</v>
      </c>
      <c r="L1619" s="18" t="s">
        <v>5458</v>
      </c>
      <c r="M1619" s="18" t="s">
        <v>5153</v>
      </c>
      <c r="N1619" s="16"/>
      <c r="O1619" s="16"/>
      <c r="P1619" s="16"/>
      <c r="Q1619" s="16"/>
      <c r="R1619" s="16"/>
      <c r="S1619" s="16"/>
      <c r="T1619" s="18" t="s">
        <v>1132</v>
      </c>
      <c r="U1619" s="283" t="s">
        <v>3739</v>
      </c>
      <c r="V1619" s="18" t="s">
        <v>5459</v>
      </c>
      <c r="W1619" s="18">
        <v>1</v>
      </c>
      <c r="X1619" s="18">
        <v>1</v>
      </c>
      <c r="Y1619" s="18">
        <v>1</v>
      </c>
      <c r="Z1619" s="18">
        <v>1</v>
      </c>
      <c r="AA1619" s="18">
        <v>1</v>
      </c>
      <c r="AB1619" s="18">
        <v>0</v>
      </c>
      <c r="AC1619" s="18">
        <v>0</v>
      </c>
      <c r="AD1619" s="18">
        <v>1</v>
      </c>
      <c r="AE1619" s="302">
        <f t="shared" si="101"/>
        <v>0.75</v>
      </c>
      <c r="AF1619" s="176">
        <v>0</v>
      </c>
      <c r="AG1619" s="17">
        <v>0</v>
      </c>
      <c r="AH1619" s="176">
        <v>2</v>
      </c>
      <c r="AI1619" s="239">
        <v>3</v>
      </c>
      <c r="AJ1619" s="239">
        <v>3.5</v>
      </c>
      <c r="AK1619" s="237">
        <v>2.5</v>
      </c>
      <c r="AL1619" s="238">
        <v>5</v>
      </c>
      <c r="AM1619" s="17">
        <f t="shared" si="100"/>
        <v>7.5</v>
      </c>
      <c r="AN1619" s="157" t="s">
        <v>1132</v>
      </c>
      <c r="AO1619" s="157" t="s">
        <v>1134</v>
      </c>
      <c r="AP1619" s="240"/>
      <c r="AQ1619" s="157"/>
    </row>
    <row r="1620" spans="1:43" s="18" customFormat="1" hidden="1" x14ac:dyDescent="0.3">
      <c r="A1620" s="228" t="s">
        <v>1451</v>
      </c>
      <c r="B1620" s="18" t="s">
        <v>4838</v>
      </c>
      <c r="C1620" s="228" t="s">
        <v>4841</v>
      </c>
      <c r="D1620" s="18" t="s">
        <v>2439</v>
      </c>
      <c r="E1620" s="228" t="s">
        <v>5416</v>
      </c>
      <c r="F1620" s="18" t="s">
        <v>5417</v>
      </c>
      <c r="G1620" s="228" t="s">
        <v>5460</v>
      </c>
      <c r="H1620" s="18" t="s">
        <v>5461</v>
      </c>
      <c r="K1620" s="228" t="s">
        <v>5462</v>
      </c>
      <c r="L1620" s="18" t="s">
        <v>5463</v>
      </c>
      <c r="M1620" s="18" t="s">
        <v>5464</v>
      </c>
      <c r="N1620" s="16">
        <v>0</v>
      </c>
      <c r="O1620" s="16">
        <v>5</v>
      </c>
      <c r="P1620" s="16">
        <v>6</v>
      </c>
      <c r="Q1620" s="16">
        <v>8</v>
      </c>
      <c r="R1620" s="16">
        <v>12</v>
      </c>
      <c r="S1620" s="16">
        <v>12</v>
      </c>
      <c r="T1620" s="18" t="s">
        <v>3201</v>
      </c>
      <c r="U1620" s="283" t="s">
        <v>5285</v>
      </c>
      <c r="V1620" s="18" t="s">
        <v>5465</v>
      </c>
      <c r="W1620" s="18">
        <v>1</v>
      </c>
      <c r="X1620" s="18">
        <v>1</v>
      </c>
      <c r="Y1620" s="18">
        <v>1</v>
      </c>
      <c r="Z1620" s="18">
        <v>0</v>
      </c>
      <c r="AA1620" s="18">
        <v>0</v>
      </c>
      <c r="AB1620" s="18">
        <v>1</v>
      </c>
      <c r="AC1620" s="316">
        <v>0</v>
      </c>
      <c r="AD1620" s="316">
        <v>1</v>
      </c>
      <c r="AE1620" s="302">
        <f t="shared" si="101"/>
        <v>0.625</v>
      </c>
      <c r="AF1620" s="176">
        <v>0</v>
      </c>
      <c r="AG1620" s="17">
        <v>0</v>
      </c>
      <c r="AH1620" s="176" t="s">
        <v>2526</v>
      </c>
      <c r="AI1620" s="239" t="s">
        <v>2526</v>
      </c>
      <c r="AJ1620" s="239" t="s">
        <v>2526</v>
      </c>
      <c r="AK1620" s="238" t="s">
        <v>2526</v>
      </c>
      <c r="AL1620" s="238" t="s">
        <v>2526</v>
      </c>
      <c r="AM1620" s="17">
        <f t="shared" si="100"/>
        <v>0</v>
      </c>
      <c r="AN1620" s="157" t="s">
        <v>5466</v>
      </c>
      <c r="AO1620" s="157" t="s">
        <v>871</v>
      </c>
      <c r="AP1620" s="240" t="s">
        <v>119</v>
      </c>
      <c r="AQ1620" s="157"/>
    </row>
    <row r="1621" spans="1:43" s="18" customFormat="1" hidden="1" x14ac:dyDescent="0.3">
      <c r="A1621" s="228" t="s">
        <v>1451</v>
      </c>
      <c r="B1621" s="18" t="s">
        <v>4838</v>
      </c>
      <c r="C1621" s="228" t="s">
        <v>4841</v>
      </c>
      <c r="D1621" s="18" t="s">
        <v>2439</v>
      </c>
      <c r="E1621" s="228" t="s">
        <v>5416</v>
      </c>
      <c r="F1621" s="18" t="s">
        <v>5417</v>
      </c>
      <c r="G1621" s="228" t="s">
        <v>5460</v>
      </c>
      <c r="H1621" s="18" t="s">
        <v>5461</v>
      </c>
      <c r="K1621" s="228" t="s">
        <v>5462</v>
      </c>
      <c r="L1621" s="18" t="s">
        <v>5463</v>
      </c>
      <c r="M1621" s="18" t="s">
        <v>5467</v>
      </c>
      <c r="N1621" s="16">
        <v>1</v>
      </c>
      <c r="O1621" s="16">
        <v>5</v>
      </c>
      <c r="P1621" s="16">
        <v>10</v>
      </c>
      <c r="Q1621" s="16">
        <v>10</v>
      </c>
      <c r="R1621" s="16">
        <v>10</v>
      </c>
      <c r="S1621" s="16">
        <v>10</v>
      </c>
      <c r="T1621" s="18" t="s">
        <v>2361</v>
      </c>
      <c r="U1621" s="283" t="s">
        <v>103</v>
      </c>
      <c r="V1621" s="18" t="s">
        <v>5468</v>
      </c>
      <c r="W1621" s="18">
        <v>0</v>
      </c>
      <c r="X1621" s="18">
        <v>0</v>
      </c>
      <c r="Y1621" s="18">
        <v>0</v>
      </c>
      <c r="Z1621" s="18">
        <v>0</v>
      </c>
      <c r="AA1621" s="18">
        <v>0</v>
      </c>
      <c r="AB1621" s="18">
        <v>0</v>
      </c>
      <c r="AC1621" s="18">
        <v>0</v>
      </c>
      <c r="AD1621" s="18">
        <v>0</v>
      </c>
      <c r="AE1621" s="302">
        <f t="shared" si="101"/>
        <v>0</v>
      </c>
      <c r="AF1621" s="176">
        <v>0</v>
      </c>
      <c r="AG1621" s="176">
        <v>0</v>
      </c>
      <c r="AH1621" s="176" t="s">
        <v>2526</v>
      </c>
      <c r="AI1621" s="239" t="s">
        <v>2526</v>
      </c>
      <c r="AJ1621" s="239" t="s">
        <v>2526</v>
      </c>
      <c r="AK1621" s="238" t="s">
        <v>2526</v>
      </c>
      <c r="AL1621" s="238" t="s">
        <v>2526</v>
      </c>
      <c r="AM1621" s="17">
        <f t="shared" si="100"/>
        <v>0</v>
      </c>
      <c r="AN1621" s="157" t="s">
        <v>101</v>
      </c>
      <c r="AO1621" s="157" t="s">
        <v>103</v>
      </c>
      <c r="AP1621" s="240" t="s">
        <v>119</v>
      </c>
      <c r="AQ1621" s="157"/>
    </row>
    <row r="1622" spans="1:43" s="18" customFormat="1" hidden="1" x14ac:dyDescent="0.3">
      <c r="A1622" s="228" t="s">
        <v>1451</v>
      </c>
      <c r="B1622" s="18" t="s">
        <v>4838</v>
      </c>
      <c r="C1622" s="228" t="s">
        <v>4841</v>
      </c>
      <c r="D1622" s="18" t="s">
        <v>2439</v>
      </c>
      <c r="E1622" s="228" t="s">
        <v>5416</v>
      </c>
      <c r="F1622" s="18" t="s">
        <v>5417</v>
      </c>
      <c r="G1622" s="228" t="s">
        <v>5460</v>
      </c>
      <c r="H1622" s="18" t="s">
        <v>5461</v>
      </c>
      <c r="K1622" s="228" t="s">
        <v>5462</v>
      </c>
      <c r="L1622" s="18" t="s">
        <v>5463</v>
      </c>
      <c r="M1622" s="18" t="s">
        <v>5469</v>
      </c>
      <c r="N1622" s="16">
        <v>0</v>
      </c>
      <c r="O1622" s="16">
        <v>1</v>
      </c>
      <c r="P1622" s="16">
        <v>10</v>
      </c>
      <c r="Q1622" s="16">
        <v>15</v>
      </c>
      <c r="R1622" s="16">
        <v>2020</v>
      </c>
      <c r="S1622" s="16">
        <v>20</v>
      </c>
      <c r="T1622" s="18" t="s">
        <v>5470</v>
      </c>
      <c r="U1622" s="283" t="e">
        <v>#N/A</v>
      </c>
      <c r="V1622" s="18" t="s">
        <v>5471</v>
      </c>
      <c r="W1622" s="18">
        <v>0</v>
      </c>
      <c r="X1622" s="18">
        <v>0</v>
      </c>
      <c r="Y1622" s="18">
        <v>0</v>
      </c>
      <c r="Z1622" s="18">
        <v>0</v>
      </c>
      <c r="AA1622" s="18">
        <v>0</v>
      </c>
      <c r="AB1622" s="18">
        <v>0</v>
      </c>
      <c r="AC1622" s="18">
        <v>0</v>
      </c>
      <c r="AD1622" s="18">
        <v>0</v>
      </c>
      <c r="AE1622" s="302">
        <f t="shared" si="101"/>
        <v>0</v>
      </c>
      <c r="AF1622" s="176">
        <v>0</v>
      </c>
      <c r="AG1622" s="176">
        <v>0</v>
      </c>
      <c r="AH1622" s="176" t="s">
        <v>2526</v>
      </c>
      <c r="AI1622" s="239" t="s">
        <v>2526</v>
      </c>
      <c r="AJ1622" s="239" t="s">
        <v>2526</v>
      </c>
      <c r="AK1622" s="238" t="s">
        <v>2526</v>
      </c>
      <c r="AL1622" s="238" t="s">
        <v>2526</v>
      </c>
      <c r="AM1622" s="17">
        <f t="shared" si="100"/>
        <v>0</v>
      </c>
      <c r="AN1622" s="157" t="s">
        <v>101</v>
      </c>
      <c r="AO1622" s="157" t="s">
        <v>103</v>
      </c>
      <c r="AP1622" s="240" t="s">
        <v>119</v>
      </c>
      <c r="AQ1622" s="157"/>
    </row>
    <row r="1623" spans="1:43" s="18" customFormat="1" hidden="1" x14ac:dyDescent="0.3">
      <c r="A1623" s="228" t="s">
        <v>1451</v>
      </c>
      <c r="B1623" s="18" t="s">
        <v>4838</v>
      </c>
      <c r="C1623" s="228" t="s">
        <v>4841</v>
      </c>
      <c r="D1623" s="18" t="s">
        <v>2439</v>
      </c>
      <c r="E1623" s="228" t="s">
        <v>5416</v>
      </c>
      <c r="F1623" s="18" t="s">
        <v>5417</v>
      </c>
      <c r="G1623" s="228" t="s">
        <v>5460</v>
      </c>
      <c r="H1623" s="18" t="s">
        <v>5461</v>
      </c>
      <c r="K1623" s="228" t="s">
        <v>5462</v>
      </c>
      <c r="L1623" s="18" t="s">
        <v>5463</v>
      </c>
      <c r="N1623" s="16"/>
      <c r="O1623" s="16"/>
      <c r="P1623" s="16"/>
      <c r="Q1623" s="16"/>
      <c r="R1623" s="16"/>
      <c r="S1623" s="16"/>
      <c r="U1623" s="283" t="e">
        <v>#N/A</v>
      </c>
      <c r="V1623" s="18" t="s">
        <v>5472</v>
      </c>
      <c r="W1623" s="18">
        <v>0</v>
      </c>
      <c r="X1623" s="18">
        <v>0</v>
      </c>
      <c r="Y1623" s="18">
        <v>0</v>
      </c>
      <c r="Z1623" s="18">
        <v>0</v>
      </c>
      <c r="AA1623" s="18">
        <v>0</v>
      </c>
      <c r="AB1623" s="18">
        <v>0</v>
      </c>
      <c r="AC1623" s="18">
        <v>0</v>
      </c>
      <c r="AD1623" s="18">
        <v>0</v>
      </c>
      <c r="AE1623" s="302">
        <f t="shared" si="101"/>
        <v>0</v>
      </c>
      <c r="AF1623" s="176">
        <v>0</v>
      </c>
      <c r="AG1623" s="176">
        <v>0</v>
      </c>
      <c r="AH1623" s="176" t="s">
        <v>2526</v>
      </c>
      <c r="AI1623" s="239" t="s">
        <v>2526</v>
      </c>
      <c r="AJ1623" s="239" t="s">
        <v>2526</v>
      </c>
      <c r="AK1623" s="238" t="s">
        <v>2526</v>
      </c>
      <c r="AL1623" s="238" t="s">
        <v>2526</v>
      </c>
      <c r="AM1623" s="17">
        <f t="shared" si="100"/>
        <v>0</v>
      </c>
      <c r="AN1623" s="157" t="s">
        <v>101</v>
      </c>
      <c r="AO1623" s="157" t="s">
        <v>103</v>
      </c>
      <c r="AP1623" s="240" t="s">
        <v>119</v>
      </c>
      <c r="AQ1623" s="157"/>
    </row>
    <row r="1624" spans="1:43" s="18" customFormat="1" hidden="1" x14ac:dyDescent="0.3">
      <c r="A1624" s="228" t="s">
        <v>1451</v>
      </c>
      <c r="B1624" s="18" t="s">
        <v>4838</v>
      </c>
      <c r="C1624" s="228" t="s">
        <v>4841</v>
      </c>
      <c r="D1624" s="18" t="s">
        <v>2439</v>
      </c>
      <c r="E1624" s="228" t="s">
        <v>5416</v>
      </c>
      <c r="F1624" s="18" t="s">
        <v>5417</v>
      </c>
      <c r="G1624" s="228" t="s">
        <v>5460</v>
      </c>
      <c r="H1624" s="18" t="s">
        <v>5461</v>
      </c>
      <c r="K1624" s="228" t="s">
        <v>5462</v>
      </c>
      <c r="L1624" s="18" t="s">
        <v>5463</v>
      </c>
      <c r="N1624" s="16"/>
      <c r="O1624" s="16"/>
      <c r="P1624" s="16"/>
      <c r="Q1624" s="16"/>
      <c r="R1624" s="16"/>
      <c r="S1624" s="16"/>
      <c r="U1624" s="283" t="e">
        <v>#N/A</v>
      </c>
      <c r="V1624" s="18" t="s">
        <v>5473</v>
      </c>
      <c r="W1624" s="18">
        <v>0</v>
      </c>
      <c r="X1624" s="18">
        <v>0</v>
      </c>
      <c r="Y1624" s="18">
        <v>0</v>
      </c>
      <c r="Z1624" s="18">
        <v>0</v>
      </c>
      <c r="AA1624" s="18">
        <v>0</v>
      </c>
      <c r="AB1624" s="18">
        <v>0</v>
      </c>
      <c r="AC1624" s="18">
        <v>0</v>
      </c>
      <c r="AD1624" s="18">
        <v>0</v>
      </c>
      <c r="AE1624" s="302">
        <f t="shared" si="101"/>
        <v>0</v>
      </c>
      <c r="AF1624" s="176">
        <v>0</v>
      </c>
      <c r="AG1624" s="176">
        <v>0</v>
      </c>
      <c r="AH1624" s="176" t="s">
        <v>2526</v>
      </c>
      <c r="AI1624" s="239" t="s">
        <v>2526</v>
      </c>
      <c r="AJ1624" s="239" t="s">
        <v>2526</v>
      </c>
      <c r="AK1624" s="238" t="s">
        <v>2526</v>
      </c>
      <c r="AL1624" s="238" t="s">
        <v>2526</v>
      </c>
      <c r="AM1624" s="17">
        <f t="shared" si="100"/>
        <v>0</v>
      </c>
      <c r="AN1624" s="157" t="s">
        <v>101</v>
      </c>
      <c r="AO1624" s="157" t="s">
        <v>103</v>
      </c>
      <c r="AP1624" s="240" t="s">
        <v>119</v>
      </c>
      <c r="AQ1624" s="157"/>
    </row>
    <row r="1625" spans="1:43" s="18" customFormat="1" hidden="1" x14ac:dyDescent="0.3">
      <c r="A1625" s="228" t="s">
        <v>1451</v>
      </c>
      <c r="B1625" s="18" t="s">
        <v>4838</v>
      </c>
      <c r="C1625" s="228" t="s">
        <v>4841</v>
      </c>
      <c r="D1625" s="18" t="s">
        <v>2439</v>
      </c>
      <c r="E1625" s="228" t="s">
        <v>5416</v>
      </c>
      <c r="F1625" s="18" t="s">
        <v>5417</v>
      </c>
      <c r="G1625" s="228" t="s">
        <v>5460</v>
      </c>
      <c r="H1625" s="18" t="s">
        <v>5461</v>
      </c>
      <c r="K1625" s="228" t="s">
        <v>5462</v>
      </c>
      <c r="L1625" s="18" t="s">
        <v>5463</v>
      </c>
      <c r="N1625" s="16"/>
      <c r="O1625" s="16"/>
      <c r="P1625" s="16"/>
      <c r="Q1625" s="16"/>
      <c r="R1625" s="16"/>
      <c r="S1625" s="16"/>
      <c r="U1625" s="283" t="e">
        <v>#N/A</v>
      </c>
      <c r="V1625" s="18" t="s">
        <v>5474</v>
      </c>
      <c r="W1625" s="18">
        <v>0</v>
      </c>
      <c r="X1625" s="18">
        <v>0</v>
      </c>
      <c r="Y1625" s="18">
        <v>0</v>
      </c>
      <c r="Z1625" s="18">
        <v>0</v>
      </c>
      <c r="AA1625" s="18">
        <v>0</v>
      </c>
      <c r="AB1625" s="18">
        <v>0</v>
      </c>
      <c r="AC1625" s="18">
        <v>0</v>
      </c>
      <c r="AD1625" s="18">
        <v>0</v>
      </c>
      <c r="AE1625" s="302">
        <f t="shared" si="101"/>
        <v>0</v>
      </c>
      <c r="AF1625" s="176">
        <v>0</v>
      </c>
      <c r="AG1625" s="176">
        <v>0</v>
      </c>
      <c r="AH1625" s="176" t="s">
        <v>2526</v>
      </c>
      <c r="AI1625" s="239" t="s">
        <v>2526</v>
      </c>
      <c r="AJ1625" s="239" t="s">
        <v>2526</v>
      </c>
      <c r="AK1625" s="177" t="s">
        <v>2526</v>
      </c>
      <c r="AL1625" s="177" t="s">
        <v>2526</v>
      </c>
      <c r="AM1625" s="17">
        <f t="shared" si="100"/>
        <v>0</v>
      </c>
      <c r="AN1625" s="18" t="s">
        <v>101</v>
      </c>
      <c r="AO1625" s="18" t="s">
        <v>103</v>
      </c>
      <c r="AP1625" s="240" t="s">
        <v>119</v>
      </c>
      <c r="AQ1625" s="157"/>
    </row>
    <row r="1626" spans="1:43" s="18" customFormat="1" hidden="1" x14ac:dyDescent="0.3">
      <c r="A1626" s="228" t="s">
        <v>1451</v>
      </c>
      <c r="B1626" s="18" t="s">
        <v>4838</v>
      </c>
      <c r="C1626" s="228" t="s">
        <v>4841</v>
      </c>
      <c r="D1626" s="18" t="s">
        <v>2439</v>
      </c>
      <c r="E1626" s="228" t="s">
        <v>5416</v>
      </c>
      <c r="F1626" s="18" t="s">
        <v>5417</v>
      </c>
      <c r="G1626" s="228" t="s">
        <v>5460</v>
      </c>
      <c r="H1626" s="18" t="s">
        <v>5461</v>
      </c>
      <c r="K1626" s="228" t="s">
        <v>5462</v>
      </c>
      <c r="L1626" s="18" t="s">
        <v>5463</v>
      </c>
      <c r="N1626" s="16"/>
      <c r="O1626" s="16"/>
      <c r="P1626" s="16"/>
      <c r="Q1626" s="16"/>
      <c r="R1626" s="16"/>
      <c r="S1626" s="16"/>
      <c r="U1626" s="283" t="e">
        <v>#N/A</v>
      </c>
      <c r="V1626" s="18" t="s">
        <v>5475</v>
      </c>
      <c r="W1626" s="18">
        <v>0</v>
      </c>
      <c r="X1626" s="18">
        <v>0</v>
      </c>
      <c r="Y1626" s="18">
        <v>0</v>
      </c>
      <c r="Z1626" s="18">
        <v>0</v>
      </c>
      <c r="AA1626" s="18">
        <v>0</v>
      </c>
      <c r="AB1626" s="18">
        <v>0</v>
      </c>
      <c r="AC1626" s="18">
        <v>0</v>
      </c>
      <c r="AD1626" s="18">
        <v>0</v>
      </c>
      <c r="AE1626" s="302">
        <f t="shared" si="101"/>
        <v>0</v>
      </c>
      <c r="AF1626" s="176">
        <v>0</v>
      </c>
      <c r="AG1626" s="176">
        <v>0</v>
      </c>
      <c r="AH1626" s="176" t="s">
        <v>2526</v>
      </c>
      <c r="AI1626" s="239" t="s">
        <v>2526</v>
      </c>
      <c r="AJ1626" s="239" t="s">
        <v>2526</v>
      </c>
      <c r="AK1626" s="177" t="s">
        <v>2526</v>
      </c>
      <c r="AL1626" s="177" t="s">
        <v>2526</v>
      </c>
      <c r="AM1626" s="17">
        <f t="shared" si="100"/>
        <v>0</v>
      </c>
      <c r="AN1626" s="18" t="s">
        <v>101</v>
      </c>
      <c r="AO1626" s="18" t="s">
        <v>103</v>
      </c>
      <c r="AP1626" s="240" t="s">
        <v>119</v>
      </c>
      <c r="AQ1626" s="157"/>
    </row>
    <row r="1627" spans="1:43" s="18" customFormat="1" hidden="1" x14ac:dyDescent="0.3">
      <c r="A1627" s="228" t="s">
        <v>1451</v>
      </c>
      <c r="B1627" s="18" t="s">
        <v>4838</v>
      </c>
      <c r="C1627" s="228" t="s">
        <v>4841</v>
      </c>
      <c r="D1627" s="18" t="s">
        <v>2439</v>
      </c>
      <c r="E1627" s="228" t="s">
        <v>5416</v>
      </c>
      <c r="F1627" s="18" t="s">
        <v>5417</v>
      </c>
      <c r="G1627" s="228" t="s">
        <v>5460</v>
      </c>
      <c r="H1627" s="18" t="s">
        <v>5461</v>
      </c>
      <c r="K1627" s="228" t="s">
        <v>5462</v>
      </c>
      <c r="L1627" s="18" t="s">
        <v>5463</v>
      </c>
      <c r="N1627" s="16"/>
      <c r="O1627" s="16"/>
      <c r="P1627" s="16"/>
      <c r="Q1627" s="16"/>
      <c r="R1627" s="16"/>
      <c r="S1627" s="16"/>
      <c r="U1627" s="283" t="e">
        <v>#N/A</v>
      </c>
      <c r="V1627" s="18" t="s">
        <v>5476</v>
      </c>
      <c r="W1627" s="18">
        <v>0</v>
      </c>
      <c r="X1627" s="18">
        <v>0</v>
      </c>
      <c r="Y1627" s="18">
        <v>0</v>
      </c>
      <c r="Z1627" s="18">
        <v>0</v>
      </c>
      <c r="AA1627" s="18">
        <v>0</v>
      </c>
      <c r="AB1627" s="18">
        <v>0</v>
      </c>
      <c r="AC1627" s="18">
        <v>0</v>
      </c>
      <c r="AD1627" s="18">
        <v>0</v>
      </c>
      <c r="AE1627" s="302">
        <f t="shared" si="101"/>
        <v>0</v>
      </c>
      <c r="AF1627" s="176">
        <v>0</v>
      </c>
      <c r="AG1627" s="176">
        <v>0</v>
      </c>
      <c r="AH1627" s="176" t="s">
        <v>2526</v>
      </c>
      <c r="AI1627" s="239" t="s">
        <v>2526</v>
      </c>
      <c r="AJ1627" s="239" t="s">
        <v>2526</v>
      </c>
      <c r="AK1627" s="177" t="s">
        <v>2526</v>
      </c>
      <c r="AL1627" s="177" t="s">
        <v>2526</v>
      </c>
      <c r="AM1627" s="17">
        <f t="shared" si="100"/>
        <v>0</v>
      </c>
      <c r="AN1627" s="18" t="s">
        <v>101</v>
      </c>
      <c r="AO1627" s="18" t="s">
        <v>103</v>
      </c>
      <c r="AP1627" s="240" t="s">
        <v>119</v>
      </c>
      <c r="AQ1627" s="157"/>
    </row>
    <row r="1628" spans="1:43" s="18" customFormat="1" hidden="1" x14ac:dyDescent="0.3">
      <c r="A1628" s="228" t="s">
        <v>1451</v>
      </c>
      <c r="B1628" s="18" t="s">
        <v>4838</v>
      </c>
      <c r="C1628" s="228" t="s">
        <v>4841</v>
      </c>
      <c r="D1628" s="18" t="s">
        <v>2439</v>
      </c>
      <c r="E1628" s="228" t="s">
        <v>5416</v>
      </c>
      <c r="F1628" s="18" t="s">
        <v>5417</v>
      </c>
      <c r="G1628" s="228" t="s">
        <v>5460</v>
      </c>
      <c r="H1628" s="18" t="s">
        <v>5461</v>
      </c>
      <c r="K1628" s="228" t="s">
        <v>5462</v>
      </c>
      <c r="L1628" s="18" t="s">
        <v>5463</v>
      </c>
      <c r="N1628" s="16"/>
      <c r="O1628" s="16"/>
      <c r="P1628" s="16"/>
      <c r="Q1628" s="16"/>
      <c r="R1628" s="16"/>
      <c r="S1628" s="16"/>
      <c r="U1628" s="283" t="e">
        <v>#N/A</v>
      </c>
      <c r="V1628" s="18" t="s">
        <v>5477</v>
      </c>
      <c r="W1628" s="18">
        <v>1</v>
      </c>
      <c r="X1628" s="18">
        <v>1</v>
      </c>
      <c r="Y1628" s="18">
        <v>0</v>
      </c>
      <c r="Z1628" s="18">
        <v>1</v>
      </c>
      <c r="AA1628" s="18">
        <v>0</v>
      </c>
      <c r="AB1628" s="18">
        <v>0</v>
      </c>
      <c r="AC1628" s="316">
        <v>0</v>
      </c>
      <c r="AD1628" s="316">
        <v>1</v>
      </c>
      <c r="AE1628" s="302">
        <f t="shared" si="101"/>
        <v>0.5</v>
      </c>
      <c r="AF1628" s="176">
        <v>0</v>
      </c>
      <c r="AG1628" s="17">
        <v>0</v>
      </c>
      <c r="AH1628" s="176" t="s">
        <v>2526</v>
      </c>
      <c r="AI1628" s="239" t="s">
        <v>2526</v>
      </c>
      <c r="AJ1628" s="239" t="s">
        <v>2526</v>
      </c>
      <c r="AK1628" s="177" t="s">
        <v>2526</v>
      </c>
      <c r="AL1628" s="177" t="s">
        <v>2526</v>
      </c>
      <c r="AM1628" s="17">
        <f t="shared" si="100"/>
        <v>0</v>
      </c>
      <c r="AN1628" s="18" t="s">
        <v>5478</v>
      </c>
      <c r="AO1628" s="18" t="s">
        <v>880</v>
      </c>
      <c r="AP1628" s="240" t="s">
        <v>119</v>
      </c>
      <c r="AQ1628" s="157"/>
    </row>
    <row r="1629" spans="1:43" s="18" customFormat="1" hidden="1" x14ac:dyDescent="0.3">
      <c r="A1629" s="228" t="s">
        <v>1451</v>
      </c>
      <c r="B1629" s="18" t="s">
        <v>4838</v>
      </c>
      <c r="C1629" s="228" t="s">
        <v>4841</v>
      </c>
      <c r="D1629" s="18" t="s">
        <v>2439</v>
      </c>
      <c r="E1629" s="228" t="s">
        <v>5416</v>
      </c>
      <c r="F1629" s="18" t="s">
        <v>5417</v>
      </c>
      <c r="G1629" s="228" t="s">
        <v>5460</v>
      </c>
      <c r="H1629" s="18" t="s">
        <v>5461</v>
      </c>
      <c r="K1629" s="228" t="s">
        <v>5462</v>
      </c>
      <c r="L1629" s="18" t="s">
        <v>5463</v>
      </c>
      <c r="N1629" s="16"/>
      <c r="O1629" s="16"/>
      <c r="P1629" s="16"/>
      <c r="Q1629" s="16"/>
      <c r="R1629" s="16"/>
      <c r="S1629" s="16"/>
      <c r="U1629" s="283" t="e">
        <v>#N/A</v>
      </c>
      <c r="V1629" s="18" t="s">
        <v>5479</v>
      </c>
      <c r="W1629" s="18">
        <v>1</v>
      </c>
      <c r="X1629" s="18">
        <v>0</v>
      </c>
      <c r="Y1629" s="18">
        <v>0</v>
      </c>
      <c r="Z1629" s="18">
        <v>0</v>
      </c>
      <c r="AA1629" s="18">
        <v>0</v>
      </c>
      <c r="AB1629" s="18">
        <v>0</v>
      </c>
      <c r="AC1629" s="316">
        <v>0</v>
      </c>
      <c r="AD1629" s="316">
        <v>1</v>
      </c>
      <c r="AE1629" s="302">
        <f t="shared" si="101"/>
        <v>0.25</v>
      </c>
      <c r="AF1629" s="176">
        <v>0</v>
      </c>
      <c r="AG1629" s="17">
        <v>0</v>
      </c>
      <c r="AH1629" s="176" t="s">
        <v>2526</v>
      </c>
      <c r="AI1629" s="239" t="s">
        <v>2526</v>
      </c>
      <c r="AJ1629" s="239" t="s">
        <v>2526</v>
      </c>
      <c r="AK1629" s="177" t="s">
        <v>2526</v>
      </c>
      <c r="AL1629" s="177" t="s">
        <v>2526</v>
      </c>
      <c r="AM1629" s="17">
        <f t="shared" si="100"/>
        <v>0</v>
      </c>
      <c r="AN1629" s="18" t="s">
        <v>5478</v>
      </c>
      <c r="AO1629" s="18" t="s">
        <v>880</v>
      </c>
      <c r="AP1629" s="240" t="s">
        <v>119</v>
      </c>
      <c r="AQ1629" s="157"/>
    </row>
    <row r="1630" spans="1:43" s="18" customFormat="1" hidden="1" x14ac:dyDescent="0.3">
      <c r="A1630" s="228" t="s">
        <v>1451</v>
      </c>
      <c r="B1630" s="18" t="s">
        <v>4838</v>
      </c>
      <c r="C1630" s="228" t="s">
        <v>4841</v>
      </c>
      <c r="D1630" s="18" t="s">
        <v>2439</v>
      </c>
      <c r="E1630" s="228" t="s">
        <v>5416</v>
      </c>
      <c r="F1630" s="18" t="s">
        <v>5417</v>
      </c>
      <c r="G1630" s="228" t="s">
        <v>5460</v>
      </c>
      <c r="H1630" s="18" t="s">
        <v>5461</v>
      </c>
      <c r="K1630" s="228" t="s">
        <v>5462</v>
      </c>
      <c r="L1630" s="18" t="s">
        <v>5463</v>
      </c>
      <c r="N1630" s="16"/>
      <c r="O1630" s="16"/>
      <c r="P1630" s="16"/>
      <c r="Q1630" s="16"/>
      <c r="R1630" s="16"/>
      <c r="S1630" s="16"/>
      <c r="U1630" s="283" t="e">
        <v>#N/A</v>
      </c>
      <c r="V1630" s="18" t="s">
        <v>5480</v>
      </c>
      <c r="W1630" s="18">
        <v>1</v>
      </c>
      <c r="X1630" s="18">
        <v>0</v>
      </c>
      <c r="Y1630" s="18">
        <v>0</v>
      </c>
      <c r="Z1630" s="18">
        <v>0</v>
      </c>
      <c r="AA1630" s="18">
        <v>0</v>
      </c>
      <c r="AB1630" s="18">
        <v>0</v>
      </c>
      <c r="AC1630" s="316">
        <v>0</v>
      </c>
      <c r="AD1630" s="316">
        <v>0</v>
      </c>
      <c r="AE1630" s="302">
        <f t="shared" si="101"/>
        <v>0.125</v>
      </c>
      <c r="AF1630" s="176">
        <v>0</v>
      </c>
      <c r="AG1630" s="17">
        <v>0</v>
      </c>
      <c r="AH1630" s="176" t="s">
        <v>2526</v>
      </c>
      <c r="AI1630" s="239" t="s">
        <v>2526</v>
      </c>
      <c r="AJ1630" s="239" t="s">
        <v>2526</v>
      </c>
      <c r="AK1630" s="177" t="s">
        <v>2526</v>
      </c>
      <c r="AL1630" s="177" t="s">
        <v>2526</v>
      </c>
      <c r="AM1630" s="17">
        <f t="shared" si="100"/>
        <v>0</v>
      </c>
      <c r="AN1630" s="18" t="s">
        <v>5478</v>
      </c>
      <c r="AO1630" s="18" t="s">
        <v>880</v>
      </c>
      <c r="AP1630" s="240" t="s">
        <v>119</v>
      </c>
      <c r="AQ1630" s="157"/>
    </row>
    <row r="1631" spans="1:43" s="18" customFormat="1" hidden="1" x14ac:dyDescent="0.3">
      <c r="A1631" s="228" t="s">
        <v>1451</v>
      </c>
      <c r="B1631" s="18" t="s">
        <v>4838</v>
      </c>
      <c r="C1631" s="228" t="s">
        <v>4841</v>
      </c>
      <c r="D1631" s="18" t="s">
        <v>2439</v>
      </c>
      <c r="E1631" s="228" t="s">
        <v>5416</v>
      </c>
      <c r="F1631" s="18" t="s">
        <v>5417</v>
      </c>
      <c r="G1631" s="228" t="s">
        <v>5460</v>
      </c>
      <c r="H1631" s="18" t="s">
        <v>5461</v>
      </c>
      <c r="K1631" s="228" t="s">
        <v>5462</v>
      </c>
      <c r="L1631" s="18" t="s">
        <v>5463</v>
      </c>
      <c r="N1631" s="16"/>
      <c r="O1631" s="16"/>
      <c r="P1631" s="16"/>
      <c r="Q1631" s="16"/>
      <c r="R1631" s="16"/>
      <c r="S1631" s="16"/>
      <c r="U1631" s="283" t="e">
        <v>#N/A</v>
      </c>
      <c r="V1631" s="18" t="s">
        <v>5481</v>
      </c>
      <c r="W1631" s="18">
        <v>1</v>
      </c>
      <c r="X1631" s="18">
        <v>0</v>
      </c>
      <c r="Y1631" s="18">
        <v>0</v>
      </c>
      <c r="Z1631" s="18">
        <v>0</v>
      </c>
      <c r="AA1631" s="18">
        <v>0</v>
      </c>
      <c r="AB1631" s="18">
        <v>0</v>
      </c>
      <c r="AC1631" s="316">
        <v>0</v>
      </c>
      <c r="AD1631" s="316">
        <v>0</v>
      </c>
      <c r="AE1631" s="302">
        <f t="shared" si="101"/>
        <v>0.125</v>
      </c>
      <c r="AF1631" s="176">
        <v>0</v>
      </c>
      <c r="AG1631" s="17">
        <v>0</v>
      </c>
      <c r="AH1631" s="176" t="s">
        <v>2526</v>
      </c>
      <c r="AI1631" s="239" t="s">
        <v>2526</v>
      </c>
      <c r="AJ1631" s="239" t="s">
        <v>2526</v>
      </c>
      <c r="AK1631" s="177" t="s">
        <v>2526</v>
      </c>
      <c r="AL1631" s="177" t="s">
        <v>2526</v>
      </c>
      <c r="AM1631" s="17">
        <f t="shared" si="100"/>
        <v>0</v>
      </c>
      <c r="AN1631" s="18" t="s">
        <v>5478</v>
      </c>
      <c r="AO1631" s="18" t="s">
        <v>880</v>
      </c>
      <c r="AP1631" s="240" t="s">
        <v>119</v>
      </c>
      <c r="AQ1631" s="157"/>
    </row>
    <row r="1632" spans="1:43" s="18" customFormat="1" x14ac:dyDescent="0.3">
      <c r="A1632" s="228" t="s">
        <v>1451</v>
      </c>
      <c r="B1632" s="18" t="s">
        <v>4838</v>
      </c>
      <c r="C1632" s="228" t="s">
        <v>4841</v>
      </c>
      <c r="D1632" s="18" t="s">
        <v>2439</v>
      </c>
      <c r="E1632" s="228" t="s">
        <v>5416</v>
      </c>
      <c r="F1632" s="18" t="s">
        <v>5417</v>
      </c>
      <c r="G1632" s="228" t="s">
        <v>5460</v>
      </c>
      <c r="H1632" s="18" t="s">
        <v>5461</v>
      </c>
      <c r="K1632" s="228" t="s">
        <v>5462</v>
      </c>
      <c r="L1632" s="18" t="s">
        <v>5463</v>
      </c>
      <c r="N1632" s="16"/>
      <c r="O1632" s="16"/>
      <c r="P1632" s="16"/>
      <c r="Q1632" s="16"/>
      <c r="R1632" s="16"/>
      <c r="S1632" s="16"/>
      <c r="U1632" s="283" t="e">
        <v>#N/A</v>
      </c>
      <c r="V1632" s="18" t="s">
        <v>5482</v>
      </c>
      <c r="W1632" s="18">
        <v>1</v>
      </c>
      <c r="X1632" s="18">
        <v>1</v>
      </c>
      <c r="Y1632" s="18">
        <v>1</v>
      </c>
      <c r="Z1632" s="18">
        <v>1</v>
      </c>
      <c r="AA1632" s="18">
        <v>1</v>
      </c>
      <c r="AB1632" s="18">
        <v>1</v>
      </c>
      <c r="AC1632" s="18">
        <v>1</v>
      </c>
      <c r="AD1632" s="18">
        <v>1</v>
      </c>
      <c r="AE1632" s="302">
        <f t="shared" si="101"/>
        <v>1</v>
      </c>
      <c r="AF1632" s="176">
        <v>0</v>
      </c>
      <c r="AG1632" s="17">
        <v>0</v>
      </c>
      <c r="AH1632" s="176">
        <v>2</v>
      </c>
      <c r="AI1632" s="176">
        <v>2</v>
      </c>
      <c r="AJ1632" s="234">
        <v>2</v>
      </c>
      <c r="AK1632" s="235">
        <v>2</v>
      </c>
      <c r="AL1632" s="235">
        <v>2</v>
      </c>
      <c r="AM1632" s="17">
        <f t="shared" si="100"/>
        <v>4</v>
      </c>
      <c r="AN1632" s="236" t="s">
        <v>3201</v>
      </c>
      <c r="AO1632" s="236" t="s">
        <v>5285</v>
      </c>
      <c r="AP1632" s="228" t="s">
        <v>101</v>
      </c>
    </row>
    <row r="1633" spans="1:43" s="18" customFormat="1" x14ac:dyDescent="0.3">
      <c r="A1633" s="228" t="s">
        <v>1451</v>
      </c>
      <c r="B1633" s="18" t="s">
        <v>4838</v>
      </c>
      <c r="C1633" s="228" t="s">
        <v>4841</v>
      </c>
      <c r="D1633" s="18" t="s">
        <v>2439</v>
      </c>
      <c r="E1633" s="228" t="s">
        <v>5416</v>
      </c>
      <c r="F1633" s="18" t="s">
        <v>5417</v>
      </c>
      <c r="G1633" s="228" t="s">
        <v>5460</v>
      </c>
      <c r="H1633" s="18" t="s">
        <v>5461</v>
      </c>
      <c r="K1633" s="228" t="s">
        <v>5462</v>
      </c>
      <c r="L1633" s="18" t="s">
        <v>5463</v>
      </c>
      <c r="N1633" s="16"/>
      <c r="O1633" s="16"/>
      <c r="P1633" s="16"/>
      <c r="Q1633" s="16"/>
      <c r="R1633" s="16"/>
      <c r="S1633" s="16"/>
      <c r="U1633" s="283" t="e">
        <v>#N/A</v>
      </c>
      <c r="V1633" s="18" t="s">
        <v>5483</v>
      </c>
      <c r="W1633" s="18">
        <v>1</v>
      </c>
      <c r="X1633" s="18">
        <v>1</v>
      </c>
      <c r="Y1633" s="18">
        <v>1</v>
      </c>
      <c r="Z1633" s="18">
        <v>1</v>
      </c>
      <c r="AA1633" s="18">
        <v>1</v>
      </c>
      <c r="AB1633" s="18">
        <v>1</v>
      </c>
      <c r="AC1633" s="18">
        <v>1</v>
      </c>
      <c r="AD1633" s="18">
        <v>1</v>
      </c>
      <c r="AE1633" s="302">
        <f t="shared" si="101"/>
        <v>1</v>
      </c>
      <c r="AF1633" s="176">
        <v>0</v>
      </c>
      <c r="AG1633" s="17">
        <v>0</v>
      </c>
      <c r="AH1633" s="176">
        <v>0.5</v>
      </c>
      <c r="AI1633" s="176">
        <v>0.5</v>
      </c>
      <c r="AJ1633" s="234">
        <v>0.5</v>
      </c>
      <c r="AK1633" s="235">
        <v>0.6</v>
      </c>
      <c r="AL1633" s="235">
        <v>0.6</v>
      </c>
      <c r="AM1633" s="17">
        <f t="shared" si="100"/>
        <v>1.2</v>
      </c>
      <c r="AN1633" s="236" t="s">
        <v>3201</v>
      </c>
      <c r="AO1633" s="236" t="s">
        <v>5285</v>
      </c>
      <c r="AP1633" s="228" t="s">
        <v>5484</v>
      </c>
    </row>
    <row r="1634" spans="1:43" s="18" customFormat="1" hidden="1" x14ac:dyDescent="0.3">
      <c r="A1634" s="228" t="s">
        <v>1451</v>
      </c>
      <c r="B1634" s="18" t="s">
        <v>4838</v>
      </c>
      <c r="C1634" s="228" t="s">
        <v>4841</v>
      </c>
      <c r="D1634" s="18" t="s">
        <v>2439</v>
      </c>
      <c r="E1634" s="228" t="s">
        <v>5416</v>
      </c>
      <c r="F1634" s="18" t="s">
        <v>5417</v>
      </c>
      <c r="G1634" s="233" t="s">
        <v>5485</v>
      </c>
      <c r="H1634" s="18" t="s">
        <v>5486</v>
      </c>
      <c r="K1634" s="233" t="s">
        <v>5487</v>
      </c>
      <c r="L1634" s="18" t="s">
        <v>5488</v>
      </c>
      <c r="M1634" s="18" t="s">
        <v>5489</v>
      </c>
      <c r="N1634" s="16">
        <v>0</v>
      </c>
      <c r="O1634" s="16">
        <v>1</v>
      </c>
      <c r="P1634" s="16">
        <v>1</v>
      </c>
      <c r="Q1634" s="16">
        <v>1</v>
      </c>
      <c r="R1634" s="16">
        <v>1</v>
      </c>
      <c r="S1634" s="16">
        <v>1</v>
      </c>
      <c r="T1634" s="18" t="s">
        <v>1898</v>
      </c>
      <c r="U1634" s="283" t="e">
        <v>#N/A</v>
      </c>
      <c r="V1634" s="157"/>
      <c r="W1634" s="157"/>
      <c r="X1634" s="157"/>
      <c r="Y1634" s="157"/>
      <c r="Z1634" s="157"/>
      <c r="AA1634" s="157"/>
      <c r="AB1634" s="157"/>
      <c r="AC1634" s="316">
        <v>0</v>
      </c>
      <c r="AD1634" s="316">
        <v>0</v>
      </c>
      <c r="AE1634" s="302">
        <f t="shared" si="101"/>
        <v>0</v>
      </c>
      <c r="AF1634" s="17"/>
      <c r="AG1634" s="17">
        <v>0</v>
      </c>
      <c r="AH1634" s="17"/>
      <c r="AI1634" s="251"/>
      <c r="AJ1634" s="251"/>
      <c r="AK1634" s="154"/>
      <c r="AL1634" s="154"/>
      <c r="AM1634" s="17">
        <f t="shared" si="100"/>
        <v>0</v>
      </c>
      <c r="AP1634" s="157"/>
      <c r="AQ1634" s="157"/>
    </row>
    <row r="1635" spans="1:43" s="18" customFormat="1" hidden="1" x14ac:dyDescent="0.3">
      <c r="A1635" s="228" t="s">
        <v>1451</v>
      </c>
      <c r="B1635" s="18" t="s">
        <v>4838</v>
      </c>
      <c r="C1635" s="228" t="s">
        <v>4841</v>
      </c>
      <c r="D1635" s="18" t="s">
        <v>2439</v>
      </c>
      <c r="E1635" s="228" t="s">
        <v>5490</v>
      </c>
      <c r="F1635" s="18" t="s">
        <v>5491</v>
      </c>
      <c r="G1635" s="228" t="s">
        <v>5492</v>
      </c>
      <c r="H1635" s="18" t="s">
        <v>5493</v>
      </c>
      <c r="K1635" s="228" t="s">
        <v>5494</v>
      </c>
      <c r="L1635" s="18" t="s">
        <v>5495</v>
      </c>
      <c r="M1635" s="18" t="s">
        <v>5496</v>
      </c>
      <c r="N1635" s="16">
        <v>0</v>
      </c>
      <c r="O1635" s="16">
        <v>2</v>
      </c>
      <c r="P1635" s="16">
        <v>2</v>
      </c>
      <c r="Q1635" s="16">
        <v>2</v>
      </c>
      <c r="R1635" s="16">
        <v>2</v>
      </c>
      <c r="S1635" s="16">
        <v>2</v>
      </c>
      <c r="T1635" s="283" t="s">
        <v>265</v>
      </c>
      <c r="U1635" s="283" t="s">
        <v>350</v>
      </c>
      <c r="V1635" s="18" t="s">
        <v>5497</v>
      </c>
      <c r="W1635" s="18">
        <v>0</v>
      </c>
      <c r="X1635" s="18">
        <v>0</v>
      </c>
      <c r="Y1635" s="18">
        <v>0</v>
      </c>
      <c r="Z1635" s="18">
        <v>0</v>
      </c>
      <c r="AA1635" s="18">
        <v>0</v>
      </c>
      <c r="AB1635" s="18">
        <v>0</v>
      </c>
      <c r="AC1635" s="18">
        <v>0</v>
      </c>
      <c r="AD1635" s="18">
        <v>0</v>
      </c>
      <c r="AE1635" s="302">
        <f t="shared" si="101"/>
        <v>0</v>
      </c>
      <c r="AF1635" s="176">
        <v>0</v>
      </c>
      <c r="AG1635" s="17">
        <v>0</v>
      </c>
      <c r="AH1635" s="176">
        <v>0.5</v>
      </c>
      <c r="AI1635" s="176">
        <v>0.5</v>
      </c>
      <c r="AJ1635" s="234" t="s">
        <v>2526</v>
      </c>
      <c r="AK1635" s="235" t="s">
        <v>2526</v>
      </c>
      <c r="AL1635" s="235" t="s">
        <v>2526</v>
      </c>
      <c r="AM1635" s="17">
        <f t="shared" si="100"/>
        <v>0</v>
      </c>
      <c r="AN1635" s="236" t="s">
        <v>265</v>
      </c>
      <c r="AO1635" s="236" t="s">
        <v>350</v>
      </c>
      <c r="AP1635" s="228" t="s">
        <v>5498</v>
      </c>
    </row>
    <row r="1636" spans="1:43" s="18" customFormat="1" x14ac:dyDescent="0.3">
      <c r="A1636" s="228" t="s">
        <v>1451</v>
      </c>
      <c r="B1636" s="18" t="s">
        <v>4838</v>
      </c>
      <c r="C1636" s="228" t="s">
        <v>4841</v>
      </c>
      <c r="D1636" s="18" t="s">
        <v>2439</v>
      </c>
      <c r="E1636" s="228" t="s">
        <v>5490</v>
      </c>
      <c r="F1636" s="18" t="s">
        <v>5491</v>
      </c>
      <c r="G1636" s="228" t="s">
        <v>5492</v>
      </c>
      <c r="H1636" s="18" t="s">
        <v>5493</v>
      </c>
      <c r="K1636" s="228" t="s">
        <v>5494</v>
      </c>
      <c r="L1636" s="18" t="s">
        <v>5495</v>
      </c>
      <c r="M1636" s="18" t="s">
        <v>5499</v>
      </c>
      <c r="N1636" s="16">
        <v>500</v>
      </c>
      <c r="O1636" s="16">
        <v>1000</v>
      </c>
      <c r="P1636" s="16">
        <v>2000</v>
      </c>
      <c r="Q1636" s="16">
        <v>2500</v>
      </c>
      <c r="R1636" s="16">
        <v>3000</v>
      </c>
      <c r="S1636" s="16">
        <v>3000</v>
      </c>
      <c r="T1636" s="18" t="s">
        <v>321</v>
      </c>
      <c r="U1636" s="283" t="s">
        <v>1066</v>
      </c>
      <c r="V1636" s="18" t="s">
        <v>5500</v>
      </c>
      <c r="W1636" s="18">
        <v>1</v>
      </c>
      <c r="X1636" s="18">
        <v>1</v>
      </c>
      <c r="Y1636" s="18">
        <v>1</v>
      </c>
      <c r="Z1636" s="18">
        <v>1</v>
      </c>
      <c r="AA1636" s="18">
        <v>1</v>
      </c>
      <c r="AB1636" s="18">
        <v>1</v>
      </c>
      <c r="AC1636" s="316">
        <v>1</v>
      </c>
      <c r="AD1636" s="316">
        <v>1</v>
      </c>
      <c r="AE1636" s="302">
        <f t="shared" si="101"/>
        <v>1</v>
      </c>
      <c r="AF1636" s="176">
        <v>0</v>
      </c>
      <c r="AG1636" s="17">
        <v>0</v>
      </c>
      <c r="AH1636" s="176">
        <v>1</v>
      </c>
      <c r="AI1636" s="176">
        <v>1</v>
      </c>
      <c r="AJ1636" s="234">
        <v>1</v>
      </c>
      <c r="AK1636" s="235">
        <v>1</v>
      </c>
      <c r="AL1636" s="235">
        <v>1</v>
      </c>
      <c r="AM1636" s="17">
        <f t="shared" si="100"/>
        <v>2</v>
      </c>
      <c r="AN1636" s="236" t="s">
        <v>321</v>
      </c>
      <c r="AO1636" s="236" t="s">
        <v>1066</v>
      </c>
      <c r="AP1636" s="228" t="s">
        <v>5341</v>
      </c>
    </row>
    <row r="1637" spans="1:43" s="18" customFormat="1" x14ac:dyDescent="0.3">
      <c r="A1637" s="228" t="s">
        <v>1451</v>
      </c>
      <c r="B1637" s="18" t="s">
        <v>4838</v>
      </c>
      <c r="C1637" s="228" t="s">
        <v>4841</v>
      </c>
      <c r="D1637" s="18" t="s">
        <v>2439</v>
      </c>
      <c r="E1637" s="228" t="s">
        <v>5490</v>
      </c>
      <c r="F1637" s="18" t="s">
        <v>5491</v>
      </c>
      <c r="G1637" s="228" t="s">
        <v>5492</v>
      </c>
      <c r="H1637" s="18" t="s">
        <v>5493</v>
      </c>
      <c r="K1637" s="228" t="s">
        <v>5494</v>
      </c>
      <c r="L1637" s="18" t="s">
        <v>5495</v>
      </c>
      <c r="M1637" s="18" t="s">
        <v>5501</v>
      </c>
      <c r="N1637" s="16">
        <v>2</v>
      </c>
      <c r="O1637" s="16">
        <v>10</v>
      </c>
      <c r="P1637" s="16">
        <v>15</v>
      </c>
      <c r="Q1637" s="16">
        <v>15</v>
      </c>
      <c r="R1637" s="16">
        <v>15</v>
      </c>
      <c r="S1637" s="16">
        <v>15</v>
      </c>
      <c r="T1637" s="18" t="s">
        <v>321</v>
      </c>
      <c r="U1637" s="283" t="s">
        <v>1066</v>
      </c>
      <c r="V1637" s="18" t="s">
        <v>5502</v>
      </c>
      <c r="W1637" s="18">
        <v>1</v>
      </c>
      <c r="X1637" s="18">
        <v>1</v>
      </c>
      <c r="Y1637" s="18">
        <v>1</v>
      </c>
      <c r="Z1637" s="18">
        <v>1</v>
      </c>
      <c r="AA1637" s="18">
        <v>1</v>
      </c>
      <c r="AB1637" s="18">
        <v>1</v>
      </c>
      <c r="AC1637" s="316">
        <v>1</v>
      </c>
      <c r="AD1637" s="316">
        <v>1</v>
      </c>
      <c r="AE1637" s="302">
        <f t="shared" si="101"/>
        <v>1</v>
      </c>
      <c r="AF1637" s="176">
        <v>0</v>
      </c>
      <c r="AG1637" s="17">
        <v>0</v>
      </c>
      <c r="AH1637" s="176">
        <v>1.2</v>
      </c>
      <c r="AI1637" s="176">
        <v>1.2</v>
      </c>
      <c r="AJ1637" s="234">
        <v>1.2</v>
      </c>
      <c r="AK1637" s="235">
        <v>1.2</v>
      </c>
      <c r="AL1637" s="235">
        <v>1.2</v>
      </c>
      <c r="AM1637" s="17">
        <f t="shared" si="100"/>
        <v>2.4</v>
      </c>
      <c r="AN1637" s="236" t="s">
        <v>321</v>
      </c>
      <c r="AO1637" s="236" t="s">
        <v>1066</v>
      </c>
      <c r="AP1637" s="228" t="s">
        <v>1446</v>
      </c>
    </row>
    <row r="1638" spans="1:43" s="18" customFormat="1" x14ac:dyDescent="0.3">
      <c r="A1638" s="228" t="s">
        <v>1451</v>
      </c>
      <c r="B1638" s="18" t="s">
        <v>4838</v>
      </c>
      <c r="C1638" s="228" t="s">
        <v>4841</v>
      </c>
      <c r="D1638" s="18" t="s">
        <v>2439</v>
      </c>
      <c r="E1638" s="228" t="s">
        <v>5490</v>
      </c>
      <c r="F1638" s="18" t="s">
        <v>5491</v>
      </c>
      <c r="G1638" s="228" t="s">
        <v>5492</v>
      </c>
      <c r="H1638" s="18" t="s">
        <v>5493</v>
      </c>
      <c r="K1638" s="228" t="s">
        <v>5494</v>
      </c>
      <c r="L1638" s="18" t="s">
        <v>5495</v>
      </c>
      <c r="N1638" s="16"/>
      <c r="O1638" s="16"/>
      <c r="P1638" s="16"/>
      <c r="Q1638" s="16"/>
      <c r="R1638" s="16"/>
      <c r="S1638" s="16"/>
      <c r="U1638" s="283" t="e">
        <v>#N/A</v>
      </c>
      <c r="V1638" s="18" t="s">
        <v>5503</v>
      </c>
      <c r="W1638" s="18">
        <v>1</v>
      </c>
      <c r="X1638" s="18">
        <v>1</v>
      </c>
      <c r="Y1638" s="18">
        <v>1</v>
      </c>
      <c r="Z1638" s="18">
        <v>1</v>
      </c>
      <c r="AA1638" s="18">
        <v>1</v>
      </c>
      <c r="AB1638" s="18">
        <v>1</v>
      </c>
      <c r="AC1638" s="18">
        <v>1</v>
      </c>
      <c r="AD1638" s="18">
        <v>1</v>
      </c>
      <c r="AE1638" s="302">
        <f t="shared" si="101"/>
        <v>1</v>
      </c>
      <c r="AF1638" s="176">
        <v>0</v>
      </c>
      <c r="AG1638" s="17">
        <v>0</v>
      </c>
      <c r="AH1638" s="176">
        <v>0.3</v>
      </c>
      <c r="AI1638" s="176">
        <v>0.3</v>
      </c>
      <c r="AJ1638" s="234">
        <v>0.3</v>
      </c>
      <c r="AK1638" s="235">
        <v>0.3</v>
      </c>
      <c r="AL1638" s="235">
        <v>0.3</v>
      </c>
      <c r="AM1638" s="17">
        <f t="shared" si="100"/>
        <v>0.6</v>
      </c>
      <c r="AN1638" s="236" t="s">
        <v>321</v>
      </c>
      <c r="AO1638" s="236" t="s">
        <v>1066</v>
      </c>
      <c r="AP1638" s="228" t="s">
        <v>119</v>
      </c>
    </row>
    <row r="1639" spans="1:43" s="18" customFormat="1" x14ac:dyDescent="0.3">
      <c r="A1639" s="228" t="s">
        <v>1451</v>
      </c>
      <c r="B1639" s="18" t="s">
        <v>4838</v>
      </c>
      <c r="C1639" s="228" t="s">
        <v>4841</v>
      </c>
      <c r="D1639" s="18" t="s">
        <v>2439</v>
      </c>
      <c r="E1639" s="228" t="s">
        <v>5490</v>
      </c>
      <c r="F1639" s="18" t="s">
        <v>5491</v>
      </c>
      <c r="G1639" s="228" t="s">
        <v>5492</v>
      </c>
      <c r="H1639" s="18" t="s">
        <v>5493</v>
      </c>
      <c r="K1639" s="228" t="s">
        <v>5494</v>
      </c>
      <c r="L1639" s="18" t="s">
        <v>5495</v>
      </c>
      <c r="N1639" s="16"/>
      <c r="O1639" s="16"/>
      <c r="P1639" s="16"/>
      <c r="Q1639" s="16"/>
      <c r="R1639" s="16"/>
      <c r="S1639" s="16"/>
      <c r="U1639" s="283" t="e">
        <v>#N/A</v>
      </c>
      <c r="V1639" s="18" t="s">
        <v>5504</v>
      </c>
      <c r="W1639" s="18">
        <v>1</v>
      </c>
      <c r="X1639" s="18">
        <v>0</v>
      </c>
      <c r="Y1639" s="18">
        <v>0</v>
      </c>
      <c r="Z1639" s="18">
        <v>1</v>
      </c>
      <c r="AA1639" s="18">
        <v>1</v>
      </c>
      <c r="AB1639" s="18">
        <v>1</v>
      </c>
      <c r="AC1639" s="316">
        <v>1</v>
      </c>
      <c r="AD1639" s="316">
        <v>1</v>
      </c>
      <c r="AE1639" s="302">
        <f t="shared" si="101"/>
        <v>0.75</v>
      </c>
      <c r="AF1639" s="176">
        <v>0</v>
      </c>
      <c r="AG1639" s="17">
        <v>0</v>
      </c>
      <c r="AH1639" s="176">
        <v>0.1</v>
      </c>
      <c r="AI1639" s="176">
        <v>0.11</v>
      </c>
      <c r="AJ1639" s="234">
        <v>0.12</v>
      </c>
      <c r="AK1639" s="235">
        <v>0.13</v>
      </c>
      <c r="AL1639" s="235">
        <v>0.14000000000000001</v>
      </c>
      <c r="AM1639" s="17">
        <f t="shared" si="100"/>
        <v>0.27</v>
      </c>
      <c r="AN1639" s="236" t="s">
        <v>321</v>
      </c>
      <c r="AO1639" s="236" t="s">
        <v>1066</v>
      </c>
      <c r="AP1639" s="228" t="s">
        <v>119</v>
      </c>
    </row>
    <row r="1640" spans="1:43" s="18" customFormat="1" x14ac:dyDescent="0.3">
      <c r="A1640" s="228" t="s">
        <v>1451</v>
      </c>
      <c r="B1640" s="18" t="s">
        <v>4838</v>
      </c>
      <c r="C1640" s="228" t="s">
        <v>4841</v>
      </c>
      <c r="D1640" s="18" t="s">
        <v>2439</v>
      </c>
      <c r="E1640" s="228" t="s">
        <v>5490</v>
      </c>
      <c r="F1640" s="18" t="s">
        <v>5491</v>
      </c>
      <c r="G1640" s="228" t="s">
        <v>5505</v>
      </c>
      <c r="H1640" s="18" t="s">
        <v>5506</v>
      </c>
      <c r="K1640" s="228" t="s">
        <v>5507</v>
      </c>
      <c r="L1640" s="18" t="s">
        <v>5508</v>
      </c>
      <c r="M1640" s="18" t="s">
        <v>5509</v>
      </c>
      <c r="N1640" s="16">
        <v>0</v>
      </c>
      <c r="O1640" s="16">
        <v>0</v>
      </c>
      <c r="P1640" s="16">
        <v>4</v>
      </c>
      <c r="Q1640" s="16">
        <v>3</v>
      </c>
      <c r="R1640" s="16">
        <v>3</v>
      </c>
      <c r="S1640" s="16">
        <v>0</v>
      </c>
      <c r="T1640" s="283" t="s">
        <v>265</v>
      </c>
      <c r="U1640" s="283" t="s">
        <v>350</v>
      </c>
      <c r="V1640" s="18" t="s">
        <v>5510</v>
      </c>
      <c r="W1640" s="18">
        <v>1</v>
      </c>
      <c r="X1640" s="18">
        <v>1</v>
      </c>
      <c r="Y1640" s="18">
        <v>1</v>
      </c>
      <c r="Z1640" s="18">
        <v>1</v>
      </c>
      <c r="AA1640" s="18">
        <v>1</v>
      </c>
      <c r="AB1640" s="18">
        <v>1</v>
      </c>
      <c r="AC1640" s="18">
        <v>1</v>
      </c>
      <c r="AD1640" s="18">
        <v>1</v>
      </c>
      <c r="AE1640" s="302">
        <f t="shared" si="101"/>
        <v>1</v>
      </c>
      <c r="AF1640" s="176">
        <v>0</v>
      </c>
      <c r="AG1640" s="17">
        <v>0</v>
      </c>
      <c r="AH1640" s="176">
        <v>0.4</v>
      </c>
      <c r="AI1640" s="176">
        <v>0.2</v>
      </c>
      <c r="AJ1640" s="234">
        <v>0.2</v>
      </c>
      <c r="AK1640" s="235">
        <v>0.2</v>
      </c>
      <c r="AL1640" s="235" t="s">
        <v>2526</v>
      </c>
      <c r="AM1640" s="17">
        <f t="shared" si="100"/>
        <v>0.2</v>
      </c>
      <c r="AN1640" s="236" t="s">
        <v>265</v>
      </c>
      <c r="AO1640" s="236" t="s">
        <v>350</v>
      </c>
      <c r="AP1640" s="228" t="s">
        <v>5511</v>
      </c>
    </row>
    <row r="1641" spans="1:43" s="18" customFormat="1" hidden="1" x14ac:dyDescent="0.3">
      <c r="A1641" s="228" t="s">
        <v>1451</v>
      </c>
      <c r="B1641" s="18" t="s">
        <v>4838</v>
      </c>
      <c r="C1641" s="228" t="s">
        <v>4841</v>
      </c>
      <c r="D1641" s="18" t="s">
        <v>2439</v>
      </c>
      <c r="E1641" s="228" t="s">
        <v>5490</v>
      </c>
      <c r="F1641" s="18" t="s">
        <v>5491</v>
      </c>
      <c r="G1641" s="228" t="s">
        <v>5505</v>
      </c>
      <c r="H1641" s="18" t="s">
        <v>5506</v>
      </c>
      <c r="K1641" s="228" t="s">
        <v>5507</v>
      </c>
      <c r="L1641" s="18" t="s">
        <v>5508</v>
      </c>
      <c r="M1641" s="18" t="s">
        <v>5512</v>
      </c>
      <c r="N1641" s="16">
        <v>0</v>
      </c>
      <c r="O1641" s="16">
        <v>5</v>
      </c>
      <c r="P1641" s="16">
        <v>5</v>
      </c>
      <c r="Q1641" s="16">
        <v>4</v>
      </c>
      <c r="R1641" s="16">
        <v>4</v>
      </c>
      <c r="S1641" s="16">
        <v>3</v>
      </c>
      <c r="T1641" s="283" t="s">
        <v>265</v>
      </c>
      <c r="U1641" s="283" t="s">
        <v>350</v>
      </c>
      <c r="V1641" s="18" t="s">
        <v>5513</v>
      </c>
      <c r="W1641" s="18">
        <v>0</v>
      </c>
      <c r="X1641" s="18">
        <v>0</v>
      </c>
      <c r="Y1641" s="18">
        <v>0</v>
      </c>
      <c r="Z1641" s="18">
        <v>0</v>
      </c>
      <c r="AA1641" s="18">
        <v>0</v>
      </c>
      <c r="AB1641" s="18">
        <v>0</v>
      </c>
      <c r="AC1641" s="18">
        <v>0</v>
      </c>
      <c r="AD1641" s="18">
        <v>0</v>
      </c>
      <c r="AE1641" s="302">
        <f t="shared" si="101"/>
        <v>0</v>
      </c>
      <c r="AF1641" s="176">
        <v>0</v>
      </c>
      <c r="AG1641" s="17">
        <v>0</v>
      </c>
      <c r="AH1641" s="176" t="s">
        <v>2526</v>
      </c>
      <c r="AI1641" s="176" t="s">
        <v>2526</v>
      </c>
      <c r="AJ1641" s="234" t="s">
        <v>2526</v>
      </c>
      <c r="AK1641" s="235" t="s">
        <v>2526</v>
      </c>
      <c r="AL1641" s="235" t="s">
        <v>2526</v>
      </c>
      <c r="AM1641" s="17">
        <f t="shared" si="100"/>
        <v>0</v>
      </c>
      <c r="AN1641" s="236" t="s">
        <v>265</v>
      </c>
      <c r="AO1641" s="236" t="s">
        <v>350</v>
      </c>
      <c r="AP1641" s="228" t="s">
        <v>119</v>
      </c>
    </row>
    <row r="1642" spans="1:43" s="18" customFormat="1" x14ac:dyDescent="0.3">
      <c r="A1642" s="228" t="s">
        <v>1451</v>
      </c>
      <c r="B1642" s="18" t="s">
        <v>4838</v>
      </c>
      <c r="C1642" s="228" t="s">
        <v>4841</v>
      </c>
      <c r="D1642" s="18" t="s">
        <v>2439</v>
      </c>
      <c r="E1642" s="228" t="s">
        <v>5490</v>
      </c>
      <c r="F1642" s="18" t="s">
        <v>5491</v>
      </c>
      <c r="G1642" s="228" t="s">
        <v>5505</v>
      </c>
      <c r="H1642" s="18" t="s">
        <v>5506</v>
      </c>
      <c r="K1642" s="228" t="s">
        <v>5507</v>
      </c>
      <c r="L1642" s="18" t="s">
        <v>5508</v>
      </c>
      <c r="M1642" s="18" t="s">
        <v>5514</v>
      </c>
      <c r="N1642" s="16">
        <v>252</v>
      </c>
      <c r="O1642" s="16">
        <v>700</v>
      </c>
      <c r="P1642" s="16">
        <v>770</v>
      </c>
      <c r="Q1642" s="16">
        <v>847</v>
      </c>
      <c r="R1642" s="16">
        <v>931</v>
      </c>
      <c r="S1642" s="16">
        <v>1024</v>
      </c>
      <c r="T1642" s="18" t="s">
        <v>321</v>
      </c>
      <c r="U1642" s="283" t="s">
        <v>1066</v>
      </c>
      <c r="V1642" s="18" t="s">
        <v>5515</v>
      </c>
      <c r="W1642" s="18">
        <v>1</v>
      </c>
      <c r="X1642" s="18">
        <v>1</v>
      </c>
      <c r="Y1642" s="18">
        <v>1</v>
      </c>
      <c r="Z1642" s="18">
        <v>1</v>
      </c>
      <c r="AA1642" s="18">
        <v>1</v>
      </c>
      <c r="AB1642" s="18">
        <v>1</v>
      </c>
      <c r="AC1642" s="316">
        <v>1</v>
      </c>
      <c r="AD1642" s="316">
        <v>1</v>
      </c>
      <c r="AE1642" s="302">
        <f t="shared" si="101"/>
        <v>1</v>
      </c>
      <c r="AF1642" s="176">
        <v>0</v>
      </c>
      <c r="AG1642" s="17">
        <v>0</v>
      </c>
      <c r="AH1642" s="176" t="s">
        <v>2526</v>
      </c>
      <c r="AI1642" s="176" t="s">
        <v>2526</v>
      </c>
      <c r="AJ1642" s="234" t="s">
        <v>2526</v>
      </c>
      <c r="AK1642" s="235" t="s">
        <v>2526</v>
      </c>
      <c r="AL1642" s="235" t="s">
        <v>2526</v>
      </c>
      <c r="AM1642" s="17">
        <f t="shared" si="100"/>
        <v>0</v>
      </c>
      <c r="AN1642" s="236" t="s">
        <v>1132</v>
      </c>
      <c r="AO1642" s="236" t="s">
        <v>3739</v>
      </c>
      <c r="AP1642" s="228" t="s">
        <v>119</v>
      </c>
    </row>
    <row r="1643" spans="1:43" s="18" customFormat="1" x14ac:dyDescent="0.3">
      <c r="A1643" s="228" t="s">
        <v>1451</v>
      </c>
      <c r="B1643" s="18" t="s">
        <v>4838</v>
      </c>
      <c r="C1643" s="228" t="s">
        <v>4841</v>
      </c>
      <c r="D1643" s="18" t="s">
        <v>2439</v>
      </c>
      <c r="E1643" s="228" t="s">
        <v>5490</v>
      </c>
      <c r="F1643" s="18" t="s">
        <v>5491</v>
      </c>
      <c r="G1643" s="228" t="s">
        <v>5505</v>
      </c>
      <c r="H1643" s="18" t="s">
        <v>5506</v>
      </c>
      <c r="K1643" s="228" t="s">
        <v>5507</v>
      </c>
      <c r="L1643" s="18" t="s">
        <v>5508</v>
      </c>
      <c r="M1643" s="18" t="s">
        <v>5516</v>
      </c>
      <c r="N1643" s="16" t="s">
        <v>5517</v>
      </c>
      <c r="O1643" s="16" t="s">
        <v>5518</v>
      </c>
      <c r="P1643" s="16" t="s">
        <v>5519</v>
      </c>
      <c r="Q1643" s="16" t="s">
        <v>5520</v>
      </c>
      <c r="R1643" s="16" t="s">
        <v>5521</v>
      </c>
      <c r="S1643" s="16" t="s">
        <v>5522</v>
      </c>
      <c r="T1643" s="18" t="s">
        <v>1446</v>
      </c>
      <c r="U1643" s="283" t="s">
        <v>3715</v>
      </c>
      <c r="V1643" s="18" t="s">
        <v>5523</v>
      </c>
      <c r="W1643" s="18">
        <v>1</v>
      </c>
      <c r="X1643" s="18">
        <v>1</v>
      </c>
      <c r="Y1643" s="18">
        <v>1</v>
      </c>
      <c r="Z1643" s="18">
        <v>1</v>
      </c>
      <c r="AA1643" s="18">
        <v>1</v>
      </c>
      <c r="AB1643" s="18">
        <v>1</v>
      </c>
      <c r="AC1643" s="316">
        <v>0</v>
      </c>
      <c r="AD1643" s="316">
        <v>1</v>
      </c>
      <c r="AE1643" s="302">
        <f t="shared" si="101"/>
        <v>0.875</v>
      </c>
      <c r="AF1643" s="176">
        <v>0</v>
      </c>
      <c r="AG1643" s="17">
        <v>0</v>
      </c>
      <c r="AH1643" s="176">
        <v>3.2</v>
      </c>
      <c r="AI1643" s="176">
        <v>3.2</v>
      </c>
      <c r="AJ1643" s="239">
        <v>3.2</v>
      </c>
      <c r="AK1643" s="238">
        <v>3.2</v>
      </c>
      <c r="AL1643" s="238">
        <v>3.2</v>
      </c>
      <c r="AM1643" s="17">
        <f t="shared" si="100"/>
        <v>6.4</v>
      </c>
      <c r="AN1643" s="18" t="s">
        <v>321</v>
      </c>
      <c r="AO1643" s="18" t="s">
        <v>1066</v>
      </c>
      <c r="AP1643" s="228" t="s">
        <v>1446</v>
      </c>
    </row>
    <row r="1644" spans="1:43" s="18" customFormat="1" x14ac:dyDescent="0.3">
      <c r="A1644" s="228" t="s">
        <v>1451</v>
      </c>
      <c r="B1644" s="18" t="s">
        <v>4838</v>
      </c>
      <c r="C1644" s="228" t="s">
        <v>4841</v>
      </c>
      <c r="D1644" s="18" t="s">
        <v>2439</v>
      </c>
      <c r="E1644" s="228" t="s">
        <v>5490</v>
      </c>
      <c r="F1644" s="18" t="s">
        <v>5491</v>
      </c>
      <c r="G1644" s="228" t="s">
        <v>5505</v>
      </c>
      <c r="H1644" s="18" t="s">
        <v>5506</v>
      </c>
      <c r="K1644" s="228" t="s">
        <v>5507</v>
      </c>
      <c r="L1644" s="18" t="s">
        <v>5508</v>
      </c>
      <c r="M1644" s="18" t="s">
        <v>5524</v>
      </c>
      <c r="N1644" s="16">
        <v>254</v>
      </c>
      <c r="O1644" s="16">
        <v>600</v>
      </c>
      <c r="P1644" s="16">
        <v>700</v>
      </c>
      <c r="Q1644" s="16">
        <v>770</v>
      </c>
      <c r="R1644" s="16">
        <v>900</v>
      </c>
      <c r="S1644" s="16">
        <v>1030</v>
      </c>
      <c r="T1644" s="18" t="s">
        <v>321</v>
      </c>
      <c r="U1644" s="283" t="s">
        <v>1066</v>
      </c>
      <c r="V1644" s="18" t="s">
        <v>5525</v>
      </c>
      <c r="W1644" s="18">
        <v>1</v>
      </c>
      <c r="X1644" s="18">
        <v>1</v>
      </c>
      <c r="Y1644" s="18">
        <v>1</v>
      </c>
      <c r="Z1644" s="18">
        <v>1</v>
      </c>
      <c r="AA1644" s="18">
        <v>1</v>
      </c>
      <c r="AB1644" s="18">
        <v>1</v>
      </c>
      <c r="AC1644" s="316">
        <v>1</v>
      </c>
      <c r="AD1644" s="316">
        <v>1</v>
      </c>
      <c r="AE1644" s="302">
        <f t="shared" si="101"/>
        <v>1</v>
      </c>
      <c r="AF1644" s="176">
        <v>0</v>
      </c>
      <c r="AG1644" s="17">
        <v>0</v>
      </c>
      <c r="AH1644" s="176">
        <v>1.5</v>
      </c>
      <c r="AI1644" s="176">
        <v>1.65</v>
      </c>
      <c r="AJ1644" s="239">
        <v>1.82</v>
      </c>
      <c r="AK1644" s="238">
        <v>2</v>
      </c>
      <c r="AL1644" s="238">
        <v>2.2000000000000002</v>
      </c>
      <c r="AM1644" s="17">
        <f t="shared" si="100"/>
        <v>4.2</v>
      </c>
      <c r="AN1644" s="18" t="s">
        <v>321</v>
      </c>
      <c r="AO1644" s="18" t="s">
        <v>1066</v>
      </c>
      <c r="AP1644" s="228" t="s">
        <v>1581</v>
      </c>
    </row>
    <row r="1645" spans="1:43" s="18" customFormat="1" x14ac:dyDescent="0.3">
      <c r="A1645" s="228" t="s">
        <v>1451</v>
      </c>
      <c r="B1645" s="18" t="s">
        <v>4838</v>
      </c>
      <c r="C1645" s="228" t="s">
        <v>4841</v>
      </c>
      <c r="D1645" s="18" t="s">
        <v>2439</v>
      </c>
      <c r="E1645" s="228" t="s">
        <v>5490</v>
      </c>
      <c r="F1645" s="18" t="s">
        <v>5491</v>
      </c>
      <c r="G1645" s="228" t="s">
        <v>5505</v>
      </c>
      <c r="H1645" s="18" t="s">
        <v>5506</v>
      </c>
      <c r="K1645" s="228" t="s">
        <v>5507</v>
      </c>
      <c r="L1645" s="18" t="s">
        <v>5508</v>
      </c>
      <c r="M1645" s="18" t="s">
        <v>5526</v>
      </c>
      <c r="N1645" s="16">
        <v>252</v>
      </c>
      <c r="O1645" s="16">
        <v>800</v>
      </c>
      <c r="P1645" s="16">
        <v>900</v>
      </c>
      <c r="Q1645" s="16">
        <v>1000</v>
      </c>
      <c r="R1645" s="16">
        <v>1100</v>
      </c>
      <c r="S1645" s="16">
        <v>1200</v>
      </c>
      <c r="T1645" s="18" t="s">
        <v>321</v>
      </c>
      <c r="U1645" s="283" t="s">
        <v>1066</v>
      </c>
      <c r="V1645" s="18" t="s">
        <v>5527</v>
      </c>
      <c r="W1645" s="18">
        <v>1</v>
      </c>
      <c r="X1645" s="18">
        <v>1</v>
      </c>
      <c r="Y1645" s="18">
        <v>1</v>
      </c>
      <c r="Z1645" s="18">
        <v>1</v>
      </c>
      <c r="AA1645" s="18">
        <v>1</v>
      </c>
      <c r="AB1645" s="18">
        <v>1</v>
      </c>
      <c r="AC1645" s="316">
        <v>1</v>
      </c>
      <c r="AD1645" s="316">
        <v>1</v>
      </c>
      <c r="AE1645" s="302">
        <f t="shared" si="101"/>
        <v>1</v>
      </c>
      <c r="AF1645" s="176">
        <v>0</v>
      </c>
      <c r="AG1645" s="17">
        <v>0</v>
      </c>
      <c r="AH1645" s="176" t="s">
        <v>2526</v>
      </c>
      <c r="AI1645" s="176" t="s">
        <v>2526</v>
      </c>
      <c r="AJ1645" s="239" t="s">
        <v>2526</v>
      </c>
      <c r="AK1645" s="238" t="s">
        <v>2526</v>
      </c>
      <c r="AL1645" s="238" t="s">
        <v>2526</v>
      </c>
      <c r="AM1645" s="17">
        <f t="shared" si="100"/>
        <v>0</v>
      </c>
      <c r="AN1645" s="157" t="s">
        <v>321</v>
      </c>
      <c r="AO1645" s="157" t="s">
        <v>1066</v>
      </c>
      <c r="AP1645" s="240" t="s">
        <v>119</v>
      </c>
      <c r="AQ1645" s="157"/>
    </row>
    <row r="1646" spans="1:43" s="18" customFormat="1" hidden="1" x14ac:dyDescent="0.3">
      <c r="A1646" s="228" t="s">
        <v>1451</v>
      </c>
      <c r="B1646" s="18" t="s">
        <v>4838</v>
      </c>
      <c r="C1646" s="228" t="s">
        <v>4841</v>
      </c>
      <c r="D1646" s="18" t="s">
        <v>2439</v>
      </c>
      <c r="E1646" s="228" t="s">
        <v>5490</v>
      </c>
      <c r="F1646" s="18" t="s">
        <v>5491</v>
      </c>
      <c r="G1646" s="228" t="s">
        <v>5505</v>
      </c>
      <c r="H1646" s="18" t="s">
        <v>5506</v>
      </c>
      <c r="K1646" s="228" t="s">
        <v>5507</v>
      </c>
      <c r="L1646" s="18" t="s">
        <v>5508</v>
      </c>
      <c r="M1646" s="18" t="s">
        <v>5528</v>
      </c>
      <c r="N1646" s="16">
        <v>0</v>
      </c>
      <c r="O1646" s="16">
        <v>0</v>
      </c>
      <c r="P1646" s="16">
        <v>1</v>
      </c>
      <c r="Q1646" s="16">
        <v>1</v>
      </c>
      <c r="R1646" s="16">
        <v>1</v>
      </c>
      <c r="S1646" s="16">
        <v>1</v>
      </c>
      <c r="T1646" s="283" t="s">
        <v>265</v>
      </c>
      <c r="U1646" s="283" t="s">
        <v>350</v>
      </c>
      <c r="V1646" s="18" t="s">
        <v>5529</v>
      </c>
      <c r="W1646" s="18">
        <v>0</v>
      </c>
      <c r="X1646" s="18">
        <v>0</v>
      </c>
      <c r="Y1646" s="18">
        <v>0</v>
      </c>
      <c r="Z1646" s="18">
        <v>0</v>
      </c>
      <c r="AA1646" s="18">
        <v>0</v>
      </c>
      <c r="AB1646" s="18">
        <v>0</v>
      </c>
      <c r="AC1646" s="18">
        <v>0</v>
      </c>
      <c r="AD1646" s="18">
        <v>0</v>
      </c>
      <c r="AE1646" s="302">
        <f t="shared" si="101"/>
        <v>0</v>
      </c>
      <c r="AF1646" s="176">
        <v>0</v>
      </c>
      <c r="AG1646" s="17">
        <v>0</v>
      </c>
      <c r="AH1646" s="176" t="s">
        <v>2526</v>
      </c>
      <c r="AI1646" s="176" t="s">
        <v>2526</v>
      </c>
      <c r="AJ1646" s="239" t="s">
        <v>2526</v>
      </c>
      <c r="AK1646" s="238" t="s">
        <v>2526</v>
      </c>
      <c r="AL1646" s="238" t="s">
        <v>2526</v>
      </c>
      <c r="AM1646" s="17">
        <f t="shared" si="100"/>
        <v>0</v>
      </c>
      <c r="AN1646" s="18" t="s">
        <v>5466</v>
      </c>
      <c r="AO1646" s="18" t="s">
        <v>871</v>
      </c>
      <c r="AP1646" s="228" t="s">
        <v>119</v>
      </c>
    </row>
    <row r="1647" spans="1:43" s="18" customFormat="1" hidden="1" x14ac:dyDescent="0.3">
      <c r="A1647" s="228" t="s">
        <v>1451</v>
      </c>
      <c r="B1647" s="18" t="s">
        <v>4838</v>
      </c>
      <c r="C1647" s="228" t="s">
        <v>4841</v>
      </c>
      <c r="D1647" s="18" t="s">
        <v>2439</v>
      </c>
      <c r="E1647" s="228" t="s">
        <v>5490</v>
      </c>
      <c r="F1647" s="18" t="s">
        <v>5491</v>
      </c>
      <c r="G1647" s="228" t="s">
        <v>5505</v>
      </c>
      <c r="H1647" s="18" t="s">
        <v>5506</v>
      </c>
      <c r="K1647" s="228" t="s">
        <v>5507</v>
      </c>
      <c r="L1647" s="18" t="s">
        <v>5508</v>
      </c>
      <c r="M1647" s="18" t="s">
        <v>5530</v>
      </c>
      <c r="N1647" s="16">
        <v>0</v>
      </c>
      <c r="O1647" s="16">
        <v>2</v>
      </c>
      <c r="P1647" s="16">
        <v>3</v>
      </c>
      <c r="Q1647" s="16">
        <v>3</v>
      </c>
      <c r="R1647" s="16">
        <v>4</v>
      </c>
      <c r="S1647" s="16">
        <v>4</v>
      </c>
      <c r="T1647" s="283" t="s">
        <v>265</v>
      </c>
      <c r="U1647" s="283" t="s">
        <v>350</v>
      </c>
      <c r="V1647" s="18" t="s">
        <v>5531</v>
      </c>
      <c r="W1647" s="18">
        <v>0</v>
      </c>
      <c r="X1647" s="18">
        <v>0</v>
      </c>
      <c r="Y1647" s="18">
        <v>0</v>
      </c>
      <c r="Z1647" s="18">
        <v>0</v>
      </c>
      <c r="AA1647" s="18">
        <v>0</v>
      </c>
      <c r="AB1647" s="18">
        <v>0</v>
      </c>
      <c r="AC1647" s="18">
        <v>0</v>
      </c>
      <c r="AD1647" s="18">
        <v>1</v>
      </c>
      <c r="AE1647" s="302">
        <f t="shared" si="101"/>
        <v>0.125</v>
      </c>
      <c r="AF1647" s="176">
        <v>0</v>
      </c>
      <c r="AG1647" s="17">
        <v>0</v>
      </c>
      <c r="AH1647" s="176" t="s">
        <v>2526</v>
      </c>
      <c r="AI1647" s="239" t="s">
        <v>2526</v>
      </c>
      <c r="AJ1647" s="239" t="s">
        <v>2526</v>
      </c>
      <c r="AK1647" s="238" t="s">
        <v>2526</v>
      </c>
      <c r="AL1647" s="177" t="s">
        <v>2526</v>
      </c>
      <c r="AM1647" s="17">
        <f t="shared" si="100"/>
        <v>0</v>
      </c>
      <c r="AN1647" s="18" t="s">
        <v>1446</v>
      </c>
      <c r="AO1647" s="18" t="s">
        <v>3715</v>
      </c>
      <c r="AP1647" s="228" t="s">
        <v>119</v>
      </c>
    </row>
    <row r="1648" spans="1:43" s="18" customFormat="1" x14ac:dyDescent="0.3">
      <c r="A1648" s="228" t="s">
        <v>1451</v>
      </c>
      <c r="B1648" s="18" t="s">
        <v>4838</v>
      </c>
      <c r="C1648" s="228" t="s">
        <v>4841</v>
      </c>
      <c r="D1648" s="18" t="s">
        <v>2439</v>
      </c>
      <c r="E1648" s="228" t="s">
        <v>5490</v>
      </c>
      <c r="F1648" s="18" t="s">
        <v>5491</v>
      </c>
      <c r="G1648" s="228" t="s">
        <v>5505</v>
      </c>
      <c r="H1648" s="18" t="s">
        <v>5506</v>
      </c>
      <c r="K1648" s="228" t="s">
        <v>5507</v>
      </c>
      <c r="L1648" s="18" t="s">
        <v>5508</v>
      </c>
      <c r="M1648" s="18" t="s">
        <v>5532</v>
      </c>
      <c r="N1648" s="16" t="s">
        <v>3926</v>
      </c>
      <c r="O1648" s="16" t="s">
        <v>3532</v>
      </c>
      <c r="P1648" s="16" t="s">
        <v>3545</v>
      </c>
      <c r="Q1648" s="16" t="s">
        <v>3516</v>
      </c>
      <c r="R1648" s="16" t="s">
        <v>3763</v>
      </c>
      <c r="S1648" s="16" t="s">
        <v>5427</v>
      </c>
      <c r="T1648" s="18" t="s">
        <v>321</v>
      </c>
      <c r="U1648" s="283" t="s">
        <v>1066</v>
      </c>
      <c r="V1648" s="18" t="s">
        <v>5533</v>
      </c>
      <c r="W1648" s="18">
        <v>1</v>
      </c>
      <c r="X1648" s="18">
        <v>1</v>
      </c>
      <c r="Y1648" s="18">
        <v>1</v>
      </c>
      <c r="Z1648" s="18">
        <v>1</v>
      </c>
      <c r="AA1648" s="18">
        <v>1</v>
      </c>
      <c r="AB1648" s="18">
        <v>1</v>
      </c>
      <c r="AC1648" s="316">
        <v>1</v>
      </c>
      <c r="AD1648" s="316">
        <v>1</v>
      </c>
      <c r="AE1648" s="302">
        <f t="shared" si="101"/>
        <v>1</v>
      </c>
      <c r="AF1648" s="176">
        <v>0</v>
      </c>
      <c r="AG1648" s="17">
        <v>0</v>
      </c>
      <c r="AH1648" s="176" t="s">
        <v>2526</v>
      </c>
      <c r="AI1648" s="176" t="s">
        <v>2526</v>
      </c>
      <c r="AJ1648" s="234" t="s">
        <v>2526</v>
      </c>
      <c r="AK1648" s="235" t="s">
        <v>2526</v>
      </c>
      <c r="AL1648" s="235" t="s">
        <v>2526</v>
      </c>
      <c r="AM1648" s="17">
        <f t="shared" si="100"/>
        <v>0</v>
      </c>
      <c r="AN1648" s="236" t="s">
        <v>1446</v>
      </c>
      <c r="AO1648" s="236" t="s">
        <v>3715</v>
      </c>
      <c r="AP1648" s="228" t="s">
        <v>119</v>
      </c>
    </row>
    <row r="1649" spans="1:43" s="18" customFormat="1" hidden="1" x14ac:dyDescent="0.3">
      <c r="A1649" s="228" t="s">
        <v>1451</v>
      </c>
      <c r="B1649" s="18" t="s">
        <v>4838</v>
      </c>
      <c r="C1649" s="228" t="s">
        <v>4841</v>
      </c>
      <c r="D1649" s="18" t="s">
        <v>2439</v>
      </c>
      <c r="E1649" s="228" t="s">
        <v>5490</v>
      </c>
      <c r="F1649" s="18" t="s">
        <v>5491</v>
      </c>
      <c r="G1649" s="228" t="s">
        <v>5505</v>
      </c>
      <c r="H1649" s="18" t="s">
        <v>5506</v>
      </c>
      <c r="K1649" s="228" t="s">
        <v>5507</v>
      </c>
      <c r="L1649" s="18" t="s">
        <v>5508</v>
      </c>
      <c r="N1649" s="16"/>
      <c r="O1649" s="16"/>
      <c r="P1649" s="16"/>
      <c r="Q1649" s="16"/>
      <c r="R1649" s="16"/>
      <c r="S1649" s="16"/>
      <c r="U1649" s="283" t="e">
        <v>#N/A</v>
      </c>
      <c r="V1649" s="18" t="s">
        <v>5534</v>
      </c>
      <c r="W1649" s="18">
        <v>0</v>
      </c>
      <c r="X1649" s="18">
        <v>0</v>
      </c>
      <c r="Y1649" s="18">
        <v>0</v>
      </c>
      <c r="Z1649" s="18">
        <v>0</v>
      </c>
      <c r="AA1649" s="18">
        <v>0</v>
      </c>
      <c r="AB1649" s="18">
        <v>0</v>
      </c>
      <c r="AC1649" s="18">
        <v>0</v>
      </c>
      <c r="AD1649" s="18">
        <v>1</v>
      </c>
      <c r="AE1649" s="302">
        <f t="shared" si="101"/>
        <v>0.125</v>
      </c>
      <c r="AF1649" s="176">
        <v>0</v>
      </c>
      <c r="AG1649" s="17">
        <v>0</v>
      </c>
      <c r="AH1649" s="176" t="s">
        <v>2526</v>
      </c>
      <c r="AI1649" s="239" t="s">
        <v>2526</v>
      </c>
      <c r="AJ1649" s="239" t="s">
        <v>2526</v>
      </c>
      <c r="AK1649" s="238" t="s">
        <v>2526</v>
      </c>
      <c r="AL1649" s="238" t="s">
        <v>2526</v>
      </c>
      <c r="AM1649" s="17">
        <f t="shared" si="100"/>
        <v>0</v>
      </c>
      <c r="AN1649" s="157" t="s">
        <v>1446</v>
      </c>
      <c r="AO1649" s="157" t="s">
        <v>3715</v>
      </c>
      <c r="AP1649" s="240" t="s">
        <v>119</v>
      </c>
      <c r="AQ1649" s="157"/>
    </row>
    <row r="1650" spans="1:43" s="18" customFormat="1" x14ac:dyDescent="0.3">
      <c r="A1650" s="228" t="s">
        <v>1451</v>
      </c>
      <c r="B1650" s="18" t="s">
        <v>4838</v>
      </c>
      <c r="C1650" s="228" t="s">
        <v>4841</v>
      </c>
      <c r="D1650" s="18" t="s">
        <v>2439</v>
      </c>
      <c r="E1650" s="228" t="s">
        <v>5490</v>
      </c>
      <c r="F1650" s="18" t="s">
        <v>5491</v>
      </c>
      <c r="G1650" s="228" t="s">
        <v>5505</v>
      </c>
      <c r="H1650" s="18" t="s">
        <v>5506</v>
      </c>
      <c r="K1650" s="228" t="s">
        <v>5507</v>
      </c>
      <c r="L1650" s="18" t="s">
        <v>5508</v>
      </c>
      <c r="N1650" s="16"/>
      <c r="O1650" s="16"/>
      <c r="P1650" s="16"/>
      <c r="Q1650" s="16"/>
      <c r="R1650" s="16"/>
      <c r="S1650" s="16"/>
      <c r="U1650" s="283" t="e">
        <v>#N/A</v>
      </c>
      <c r="V1650" s="18" t="s">
        <v>5535</v>
      </c>
      <c r="W1650" s="18">
        <v>1</v>
      </c>
      <c r="X1650" s="18">
        <v>1</v>
      </c>
      <c r="Y1650" s="18">
        <v>1</v>
      </c>
      <c r="Z1650" s="18">
        <v>1</v>
      </c>
      <c r="AA1650" s="18">
        <v>1</v>
      </c>
      <c r="AB1650" s="18">
        <v>1</v>
      </c>
      <c r="AC1650" s="18">
        <v>1</v>
      </c>
      <c r="AD1650" s="18">
        <v>1</v>
      </c>
      <c r="AE1650" s="302">
        <f t="shared" si="101"/>
        <v>1</v>
      </c>
      <c r="AF1650" s="176">
        <v>0</v>
      </c>
      <c r="AG1650" s="17">
        <v>0</v>
      </c>
      <c r="AH1650" s="176">
        <v>1.85</v>
      </c>
      <c r="AI1650" s="239">
        <v>2.5</v>
      </c>
      <c r="AJ1650" s="239">
        <v>2.5</v>
      </c>
      <c r="AK1650" s="238">
        <v>2.5</v>
      </c>
      <c r="AL1650" s="238">
        <v>2.5</v>
      </c>
      <c r="AM1650" s="17">
        <f t="shared" si="100"/>
        <v>5</v>
      </c>
      <c r="AN1650" s="157" t="s">
        <v>321</v>
      </c>
      <c r="AO1650" s="157" t="s">
        <v>1066</v>
      </c>
      <c r="AP1650" s="240" t="s">
        <v>5536</v>
      </c>
      <c r="AQ1650" s="157"/>
    </row>
    <row r="1651" spans="1:43" s="18" customFormat="1" x14ac:dyDescent="0.3">
      <c r="A1651" s="228" t="s">
        <v>1451</v>
      </c>
      <c r="B1651" s="18" t="s">
        <v>4838</v>
      </c>
      <c r="C1651" s="228" t="s">
        <v>4841</v>
      </c>
      <c r="D1651" s="18" t="s">
        <v>2439</v>
      </c>
      <c r="E1651" s="228" t="s">
        <v>5490</v>
      </c>
      <c r="F1651" s="18" t="s">
        <v>5491</v>
      </c>
      <c r="G1651" s="228" t="s">
        <v>5505</v>
      </c>
      <c r="H1651" s="18" t="s">
        <v>5506</v>
      </c>
      <c r="K1651" s="228" t="s">
        <v>5507</v>
      </c>
      <c r="L1651" s="18" t="s">
        <v>5508</v>
      </c>
      <c r="N1651" s="16"/>
      <c r="O1651" s="16"/>
      <c r="P1651" s="16"/>
      <c r="Q1651" s="16"/>
      <c r="R1651" s="16"/>
      <c r="S1651" s="16"/>
      <c r="U1651" s="283" t="e">
        <v>#N/A</v>
      </c>
      <c r="V1651" s="18" t="s">
        <v>5537</v>
      </c>
      <c r="W1651" s="18">
        <v>1</v>
      </c>
      <c r="X1651" s="18">
        <v>1</v>
      </c>
      <c r="Y1651" s="18">
        <v>1</v>
      </c>
      <c r="Z1651" s="18">
        <v>1</v>
      </c>
      <c r="AA1651" s="18">
        <v>0</v>
      </c>
      <c r="AB1651" s="18">
        <v>1</v>
      </c>
      <c r="AC1651" s="18">
        <v>1</v>
      </c>
      <c r="AD1651" s="18">
        <v>1</v>
      </c>
      <c r="AE1651" s="302">
        <f t="shared" si="101"/>
        <v>0.875</v>
      </c>
      <c r="AF1651" s="176">
        <v>0</v>
      </c>
      <c r="AG1651" s="17">
        <v>0</v>
      </c>
      <c r="AH1651" s="176">
        <v>0.9</v>
      </c>
      <c r="AI1651" s="176">
        <v>1.5</v>
      </c>
      <c r="AJ1651" s="234">
        <v>0.9</v>
      </c>
      <c r="AK1651" s="235">
        <v>0</v>
      </c>
      <c r="AL1651" s="235">
        <v>0</v>
      </c>
      <c r="AM1651" s="17">
        <f t="shared" si="100"/>
        <v>0</v>
      </c>
      <c r="AN1651" s="236" t="s">
        <v>321</v>
      </c>
      <c r="AO1651" s="236" t="s">
        <v>1066</v>
      </c>
      <c r="AP1651" s="228" t="s">
        <v>119</v>
      </c>
    </row>
    <row r="1652" spans="1:43" s="18" customFormat="1" hidden="1" x14ac:dyDescent="0.3">
      <c r="A1652" s="228" t="s">
        <v>1451</v>
      </c>
      <c r="B1652" s="18" t="s">
        <v>4838</v>
      </c>
      <c r="C1652" s="228" t="s">
        <v>4841</v>
      </c>
      <c r="D1652" s="18" t="s">
        <v>2439</v>
      </c>
      <c r="E1652" s="228" t="s">
        <v>5490</v>
      </c>
      <c r="F1652" s="18" t="s">
        <v>5491</v>
      </c>
      <c r="G1652" s="228" t="s">
        <v>5505</v>
      </c>
      <c r="H1652" s="18" t="s">
        <v>5506</v>
      </c>
      <c r="K1652" s="228" t="s">
        <v>5507</v>
      </c>
      <c r="L1652" s="18" t="s">
        <v>5508</v>
      </c>
      <c r="N1652" s="16"/>
      <c r="O1652" s="16"/>
      <c r="P1652" s="16"/>
      <c r="Q1652" s="16"/>
      <c r="R1652" s="16"/>
      <c r="S1652" s="16"/>
      <c r="U1652" s="283" t="e">
        <v>#N/A</v>
      </c>
      <c r="V1652" s="18" t="s">
        <v>5538</v>
      </c>
      <c r="W1652" s="18">
        <v>0</v>
      </c>
      <c r="X1652" s="18">
        <v>0</v>
      </c>
      <c r="Y1652" s="18">
        <v>0</v>
      </c>
      <c r="Z1652" s="18">
        <v>0</v>
      </c>
      <c r="AA1652" s="18">
        <v>0</v>
      </c>
      <c r="AB1652" s="18">
        <v>0</v>
      </c>
      <c r="AC1652" s="18">
        <v>0</v>
      </c>
      <c r="AD1652" s="18">
        <v>0</v>
      </c>
      <c r="AE1652" s="302">
        <f t="shared" si="101"/>
        <v>0</v>
      </c>
      <c r="AF1652" s="176">
        <v>0</v>
      </c>
      <c r="AG1652" s="17">
        <v>0</v>
      </c>
      <c r="AH1652" s="176" t="s">
        <v>2526</v>
      </c>
      <c r="AI1652" s="176" t="s">
        <v>2526</v>
      </c>
      <c r="AJ1652" s="234" t="s">
        <v>2526</v>
      </c>
      <c r="AK1652" s="235" t="s">
        <v>2526</v>
      </c>
      <c r="AL1652" s="235" t="s">
        <v>2526</v>
      </c>
      <c r="AM1652" s="17">
        <f t="shared" si="100"/>
        <v>0</v>
      </c>
      <c r="AN1652" s="236" t="s">
        <v>1446</v>
      </c>
      <c r="AO1652" s="236" t="s">
        <v>3715</v>
      </c>
      <c r="AP1652" s="228" t="s">
        <v>119</v>
      </c>
    </row>
    <row r="1653" spans="1:43" s="18" customFormat="1" hidden="1" x14ac:dyDescent="0.3">
      <c r="A1653" s="228" t="s">
        <v>1451</v>
      </c>
      <c r="B1653" s="18" t="s">
        <v>4838</v>
      </c>
      <c r="C1653" s="228" t="s">
        <v>4841</v>
      </c>
      <c r="D1653" s="18" t="s">
        <v>2439</v>
      </c>
      <c r="E1653" s="228" t="s">
        <v>5490</v>
      </c>
      <c r="F1653" s="18" t="s">
        <v>5491</v>
      </c>
      <c r="G1653" s="228" t="s">
        <v>5505</v>
      </c>
      <c r="H1653" s="18" t="s">
        <v>5506</v>
      </c>
      <c r="K1653" s="228" t="s">
        <v>5507</v>
      </c>
      <c r="L1653" s="18" t="s">
        <v>5508</v>
      </c>
      <c r="N1653" s="16"/>
      <c r="O1653" s="16"/>
      <c r="P1653" s="16"/>
      <c r="Q1653" s="16"/>
      <c r="R1653" s="16"/>
      <c r="S1653" s="16"/>
      <c r="U1653" s="283" t="e">
        <v>#N/A</v>
      </c>
      <c r="V1653" s="18" t="s">
        <v>5539</v>
      </c>
      <c r="W1653" s="18">
        <v>0</v>
      </c>
      <c r="X1653" s="18">
        <v>0</v>
      </c>
      <c r="Y1653" s="18">
        <v>0</v>
      </c>
      <c r="Z1653" s="18">
        <v>0</v>
      </c>
      <c r="AA1653" s="18">
        <v>0</v>
      </c>
      <c r="AB1653" s="18">
        <v>0</v>
      </c>
      <c r="AC1653" s="18">
        <v>0</v>
      </c>
      <c r="AD1653" s="18">
        <v>0</v>
      </c>
      <c r="AE1653" s="302">
        <f t="shared" si="101"/>
        <v>0</v>
      </c>
      <c r="AF1653" s="176"/>
      <c r="AG1653" s="17">
        <v>0</v>
      </c>
      <c r="AH1653" s="176" t="s">
        <v>2526</v>
      </c>
      <c r="AI1653" s="176" t="s">
        <v>2526</v>
      </c>
      <c r="AJ1653" s="234" t="s">
        <v>2526</v>
      </c>
      <c r="AK1653" s="235" t="s">
        <v>2526</v>
      </c>
      <c r="AL1653" s="235" t="s">
        <v>2526</v>
      </c>
      <c r="AM1653" s="17">
        <f t="shared" si="100"/>
        <v>0</v>
      </c>
      <c r="AN1653" s="236" t="s">
        <v>1446</v>
      </c>
      <c r="AO1653" s="236" t="s">
        <v>3715</v>
      </c>
      <c r="AP1653" s="228" t="s">
        <v>119</v>
      </c>
    </row>
    <row r="1654" spans="1:43" s="18" customFormat="1" hidden="1" x14ac:dyDescent="0.3">
      <c r="A1654" s="228" t="s">
        <v>1451</v>
      </c>
      <c r="B1654" s="18" t="s">
        <v>4838</v>
      </c>
      <c r="C1654" s="228" t="s">
        <v>4841</v>
      </c>
      <c r="D1654" s="18" t="s">
        <v>2439</v>
      </c>
      <c r="E1654" s="228" t="s">
        <v>5490</v>
      </c>
      <c r="F1654" s="18" t="s">
        <v>5491</v>
      </c>
      <c r="G1654" s="228" t="s">
        <v>5505</v>
      </c>
      <c r="H1654" s="18" t="s">
        <v>5506</v>
      </c>
      <c r="K1654" s="228" t="s">
        <v>5507</v>
      </c>
      <c r="L1654" s="18" t="s">
        <v>5508</v>
      </c>
      <c r="N1654" s="16"/>
      <c r="O1654" s="16"/>
      <c r="P1654" s="16"/>
      <c r="Q1654" s="16"/>
      <c r="R1654" s="16"/>
      <c r="S1654" s="16"/>
      <c r="U1654" s="283" t="e">
        <v>#N/A</v>
      </c>
      <c r="V1654" s="18" t="s">
        <v>5540</v>
      </c>
      <c r="W1654" s="18">
        <v>0</v>
      </c>
      <c r="X1654" s="18">
        <v>0</v>
      </c>
      <c r="Y1654" s="18">
        <v>0</v>
      </c>
      <c r="Z1654" s="18">
        <v>0</v>
      </c>
      <c r="AA1654" s="18">
        <v>0</v>
      </c>
      <c r="AB1654" s="18">
        <v>0</v>
      </c>
      <c r="AC1654" s="18">
        <v>0</v>
      </c>
      <c r="AD1654" s="18">
        <v>0</v>
      </c>
      <c r="AE1654" s="302">
        <f t="shared" si="101"/>
        <v>0</v>
      </c>
      <c r="AF1654" s="239"/>
      <c r="AG1654" s="17">
        <v>0</v>
      </c>
      <c r="AH1654" s="239" t="s">
        <v>2526</v>
      </c>
      <c r="AI1654" s="239" t="s">
        <v>2526</v>
      </c>
      <c r="AJ1654" s="239" t="s">
        <v>2526</v>
      </c>
      <c r="AK1654" s="177" t="s">
        <v>2526</v>
      </c>
      <c r="AL1654" s="177" t="s">
        <v>2526</v>
      </c>
      <c r="AM1654" s="17">
        <f t="shared" si="100"/>
        <v>0</v>
      </c>
      <c r="AN1654" s="18" t="s">
        <v>1446</v>
      </c>
      <c r="AO1654" s="18" t="s">
        <v>3715</v>
      </c>
      <c r="AP1654" s="240" t="s">
        <v>119</v>
      </c>
      <c r="AQ1654" s="157"/>
    </row>
    <row r="1655" spans="1:43" s="18" customFormat="1" x14ac:dyDescent="0.3">
      <c r="A1655" s="228" t="s">
        <v>1451</v>
      </c>
      <c r="B1655" s="18" t="s">
        <v>4838</v>
      </c>
      <c r="C1655" s="228" t="s">
        <v>4841</v>
      </c>
      <c r="D1655" s="18" t="s">
        <v>2439</v>
      </c>
      <c r="E1655" s="228" t="s">
        <v>5490</v>
      </c>
      <c r="F1655" s="18" t="s">
        <v>5491</v>
      </c>
      <c r="G1655" s="228" t="s">
        <v>5505</v>
      </c>
      <c r="H1655" s="18" t="s">
        <v>5506</v>
      </c>
      <c r="K1655" s="228" t="s">
        <v>5507</v>
      </c>
      <c r="L1655" s="18" t="s">
        <v>5508</v>
      </c>
      <c r="N1655" s="16"/>
      <c r="O1655" s="16"/>
      <c r="P1655" s="16"/>
      <c r="Q1655" s="16"/>
      <c r="R1655" s="16"/>
      <c r="S1655" s="16"/>
      <c r="U1655" s="283" t="e">
        <v>#N/A</v>
      </c>
      <c r="V1655" s="18" t="s">
        <v>5541</v>
      </c>
      <c r="W1655" s="18">
        <v>1</v>
      </c>
      <c r="X1655" s="18">
        <v>1</v>
      </c>
      <c r="Y1655" s="18">
        <v>1</v>
      </c>
      <c r="Z1655" s="18">
        <v>1</v>
      </c>
      <c r="AA1655" s="18">
        <v>1</v>
      </c>
      <c r="AB1655" s="18">
        <v>1</v>
      </c>
      <c r="AC1655" s="18">
        <v>1</v>
      </c>
      <c r="AD1655" s="18">
        <v>1</v>
      </c>
      <c r="AE1655" s="302">
        <f t="shared" si="101"/>
        <v>1</v>
      </c>
      <c r="AF1655" s="176">
        <v>0</v>
      </c>
      <c r="AG1655" s="17">
        <v>0</v>
      </c>
      <c r="AH1655" s="176">
        <v>0.13</v>
      </c>
      <c r="AI1655" s="176" t="s">
        <v>2526</v>
      </c>
      <c r="AJ1655" s="234" t="s">
        <v>2526</v>
      </c>
      <c r="AK1655" s="235" t="s">
        <v>2526</v>
      </c>
      <c r="AL1655" s="235">
        <v>0.2</v>
      </c>
      <c r="AM1655" s="17">
        <f t="shared" si="100"/>
        <v>0.2</v>
      </c>
      <c r="AN1655" s="236" t="s">
        <v>265</v>
      </c>
      <c r="AO1655" s="236" t="s">
        <v>350</v>
      </c>
      <c r="AP1655" s="228" t="s">
        <v>5542</v>
      </c>
    </row>
    <row r="1656" spans="1:43" s="18" customFormat="1" x14ac:dyDescent="0.3">
      <c r="A1656" s="228" t="s">
        <v>1451</v>
      </c>
      <c r="B1656" s="18" t="s">
        <v>4838</v>
      </c>
      <c r="C1656" s="228" t="s">
        <v>4841</v>
      </c>
      <c r="D1656" s="18" t="s">
        <v>2439</v>
      </c>
      <c r="E1656" s="228" t="s">
        <v>5490</v>
      </c>
      <c r="F1656" s="18" t="s">
        <v>5491</v>
      </c>
      <c r="G1656" s="228" t="s">
        <v>5505</v>
      </c>
      <c r="H1656" s="18" t="s">
        <v>5506</v>
      </c>
      <c r="K1656" s="228" t="s">
        <v>5507</v>
      </c>
      <c r="L1656" s="18" t="s">
        <v>5508</v>
      </c>
      <c r="N1656" s="16"/>
      <c r="O1656" s="16"/>
      <c r="P1656" s="16"/>
      <c r="Q1656" s="16"/>
      <c r="R1656" s="16"/>
      <c r="S1656" s="16"/>
      <c r="U1656" s="283" t="e">
        <v>#N/A</v>
      </c>
      <c r="V1656" s="18" t="s">
        <v>5543</v>
      </c>
      <c r="W1656" s="18">
        <v>1</v>
      </c>
      <c r="X1656" s="18">
        <v>1</v>
      </c>
      <c r="Y1656" s="18">
        <v>1</v>
      </c>
      <c r="Z1656" s="18">
        <v>1</v>
      </c>
      <c r="AA1656" s="18">
        <v>1</v>
      </c>
      <c r="AB1656" s="18">
        <v>1</v>
      </c>
      <c r="AC1656" s="18">
        <v>1</v>
      </c>
      <c r="AD1656" s="18">
        <v>1</v>
      </c>
      <c r="AE1656" s="302">
        <f t="shared" si="101"/>
        <v>1</v>
      </c>
      <c r="AF1656" s="176">
        <v>0</v>
      </c>
      <c r="AG1656" s="17">
        <v>0</v>
      </c>
      <c r="AH1656" s="176">
        <v>0.04</v>
      </c>
      <c r="AI1656" s="176">
        <v>0.04</v>
      </c>
      <c r="AJ1656" s="234">
        <v>0.04</v>
      </c>
      <c r="AK1656" s="235">
        <v>0.04</v>
      </c>
      <c r="AL1656" s="235">
        <v>0.04</v>
      </c>
      <c r="AM1656" s="17">
        <f t="shared" si="100"/>
        <v>0.08</v>
      </c>
      <c r="AN1656" s="236" t="s">
        <v>265</v>
      </c>
      <c r="AO1656" s="236" t="s">
        <v>350</v>
      </c>
      <c r="AP1656" s="18" t="s">
        <v>5209</v>
      </c>
    </row>
    <row r="1657" spans="1:43" s="18" customFormat="1" hidden="1" x14ac:dyDescent="0.3">
      <c r="A1657" s="228" t="s">
        <v>1451</v>
      </c>
      <c r="B1657" s="18" t="s">
        <v>4838</v>
      </c>
      <c r="C1657" s="228" t="s">
        <v>4841</v>
      </c>
      <c r="D1657" s="18" t="s">
        <v>2439</v>
      </c>
      <c r="E1657" s="228" t="s">
        <v>5490</v>
      </c>
      <c r="F1657" s="18" t="s">
        <v>5491</v>
      </c>
      <c r="G1657" s="233" t="s">
        <v>5505</v>
      </c>
      <c r="H1657" s="18" t="s">
        <v>5506</v>
      </c>
      <c r="J1657" s="157"/>
      <c r="K1657" s="233" t="s">
        <v>5544</v>
      </c>
      <c r="L1657" s="18" t="s">
        <v>5545</v>
      </c>
      <c r="M1657" s="18" t="s">
        <v>5546</v>
      </c>
      <c r="N1657" s="16" t="s">
        <v>3926</v>
      </c>
      <c r="O1657" s="16" t="s">
        <v>3532</v>
      </c>
      <c r="P1657" s="16" t="s">
        <v>3565</v>
      </c>
      <c r="Q1657" s="16" t="s">
        <v>3516</v>
      </c>
      <c r="R1657" s="16">
        <v>4</v>
      </c>
      <c r="S1657" s="16">
        <v>5</v>
      </c>
      <c r="T1657" s="18" t="s">
        <v>321</v>
      </c>
      <c r="U1657" s="283" t="s">
        <v>1066</v>
      </c>
      <c r="V1657" s="157"/>
      <c r="W1657" s="157"/>
      <c r="X1657" s="157"/>
      <c r="Y1657" s="157"/>
      <c r="Z1657" s="157"/>
      <c r="AA1657" s="157"/>
      <c r="AB1657" s="157"/>
      <c r="AC1657" s="316">
        <v>0</v>
      </c>
      <c r="AD1657" s="316">
        <v>0</v>
      </c>
      <c r="AE1657" s="302">
        <f t="shared" si="101"/>
        <v>0</v>
      </c>
      <c r="AF1657" s="17"/>
      <c r="AG1657" s="17">
        <v>0</v>
      </c>
      <c r="AH1657" s="17"/>
      <c r="AI1657" s="251"/>
      <c r="AJ1657" s="251"/>
      <c r="AK1657" s="252"/>
      <c r="AL1657" s="154"/>
      <c r="AM1657" s="17">
        <f t="shared" si="100"/>
        <v>0</v>
      </c>
      <c r="AP1657" s="157"/>
      <c r="AQ1657" s="157"/>
    </row>
    <row r="1658" spans="1:43" s="18" customFormat="1" hidden="1" x14ac:dyDescent="0.3">
      <c r="A1658" s="228" t="s">
        <v>1451</v>
      </c>
      <c r="B1658" s="18" t="s">
        <v>4838</v>
      </c>
      <c r="C1658" s="228" t="s">
        <v>4841</v>
      </c>
      <c r="D1658" s="18" t="s">
        <v>2439</v>
      </c>
      <c r="E1658" s="228" t="s">
        <v>5490</v>
      </c>
      <c r="F1658" s="18" t="s">
        <v>5491</v>
      </c>
      <c r="G1658" s="228" t="s">
        <v>5505</v>
      </c>
      <c r="H1658" s="18" t="s">
        <v>5506</v>
      </c>
      <c r="J1658" s="157"/>
      <c r="K1658" s="233" t="s">
        <v>5544</v>
      </c>
      <c r="L1658" s="18" t="s">
        <v>5545</v>
      </c>
      <c r="M1658" s="18" t="s">
        <v>5547</v>
      </c>
      <c r="N1658" s="16">
        <v>2</v>
      </c>
      <c r="O1658" s="16">
        <v>2</v>
      </c>
      <c r="P1658" s="16">
        <v>3</v>
      </c>
      <c r="Q1658" s="16">
        <v>3</v>
      </c>
      <c r="R1658" s="16">
        <v>4</v>
      </c>
      <c r="S1658" s="16">
        <v>4</v>
      </c>
      <c r="T1658" s="18" t="s">
        <v>321</v>
      </c>
      <c r="U1658" s="283" t="s">
        <v>1066</v>
      </c>
      <c r="V1658" s="157"/>
      <c r="W1658" s="157"/>
      <c r="X1658" s="157"/>
      <c r="Y1658" s="157"/>
      <c r="Z1658" s="157"/>
      <c r="AA1658" s="157"/>
      <c r="AB1658" s="157"/>
      <c r="AC1658" s="316">
        <v>0</v>
      </c>
      <c r="AD1658" s="316">
        <v>0</v>
      </c>
      <c r="AE1658" s="302">
        <f t="shared" si="101"/>
        <v>0</v>
      </c>
      <c r="AF1658" s="17"/>
      <c r="AG1658" s="17">
        <v>0</v>
      </c>
      <c r="AH1658" s="17"/>
      <c r="AI1658" s="251"/>
      <c r="AJ1658" s="251"/>
      <c r="AK1658" s="252"/>
      <c r="AL1658" s="154"/>
      <c r="AM1658" s="17">
        <f t="shared" ref="AM1658:AM1701" si="102">SUM(AK1658:AL1658)</f>
        <v>0</v>
      </c>
      <c r="AP1658" s="157"/>
      <c r="AQ1658" s="157"/>
    </row>
    <row r="1659" spans="1:43" s="18" customFormat="1" hidden="1" x14ac:dyDescent="0.3">
      <c r="A1659" s="228" t="s">
        <v>1451</v>
      </c>
      <c r="B1659" s="18" t="s">
        <v>4838</v>
      </c>
      <c r="C1659" s="228" t="s">
        <v>4841</v>
      </c>
      <c r="D1659" s="18" t="s">
        <v>2439</v>
      </c>
      <c r="E1659" s="228" t="s">
        <v>5490</v>
      </c>
      <c r="F1659" s="18" t="s">
        <v>5491</v>
      </c>
      <c r="G1659" s="228" t="s">
        <v>5505</v>
      </c>
      <c r="H1659" s="18" t="s">
        <v>5506</v>
      </c>
      <c r="J1659" s="157"/>
      <c r="K1659" s="233" t="s">
        <v>5544</v>
      </c>
      <c r="L1659" s="18" t="s">
        <v>5545</v>
      </c>
      <c r="M1659" s="18" t="s">
        <v>5548</v>
      </c>
      <c r="N1659" s="16">
        <v>51</v>
      </c>
      <c r="O1659" s="16">
        <v>45</v>
      </c>
      <c r="P1659" s="16">
        <v>40</v>
      </c>
      <c r="Q1659" s="16">
        <v>35</v>
      </c>
      <c r="R1659" s="16">
        <v>30</v>
      </c>
      <c r="S1659" s="16">
        <v>25</v>
      </c>
      <c r="T1659" s="18" t="s">
        <v>321</v>
      </c>
      <c r="U1659" s="283" t="s">
        <v>1066</v>
      </c>
      <c r="V1659" s="157"/>
      <c r="W1659" s="157"/>
      <c r="X1659" s="157"/>
      <c r="Y1659" s="157"/>
      <c r="Z1659" s="157"/>
      <c r="AA1659" s="157"/>
      <c r="AB1659" s="157"/>
      <c r="AC1659" s="316">
        <v>0</v>
      </c>
      <c r="AD1659" s="316">
        <v>0</v>
      </c>
      <c r="AE1659" s="302">
        <f t="shared" si="101"/>
        <v>0</v>
      </c>
      <c r="AF1659" s="17"/>
      <c r="AG1659" s="17">
        <v>0</v>
      </c>
      <c r="AH1659" s="17"/>
      <c r="AI1659" s="251"/>
      <c r="AJ1659" s="251"/>
      <c r="AK1659" s="252"/>
      <c r="AL1659" s="154"/>
      <c r="AM1659" s="17">
        <f t="shared" si="102"/>
        <v>0</v>
      </c>
      <c r="AP1659" s="157"/>
      <c r="AQ1659" s="157"/>
    </row>
    <row r="1660" spans="1:43" s="18" customFormat="1" hidden="1" x14ac:dyDescent="0.3">
      <c r="A1660" s="228" t="s">
        <v>1451</v>
      </c>
      <c r="B1660" s="18" t="s">
        <v>4838</v>
      </c>
      <c r="C1660" s="228" t="s">
        <v>4841</v>
      </c>
      <c r="D1660" s="18" t="s">
        <v>2439</v>
      </c>
      <c r="E1660" s="228" t="s">
        <v>5490</v>
      </c>
      <c r="F1660" s="18" t="s">
        <v>5491</v>
      </c>
      <c r="G1660" s="228" t="s">
        <v>5505</v>
      </c>
      <c r="H1660" s="18" t="s">
        <v>5506</v>
      </c>
      <c r="J1660" s="157"/>
      <c r="K1660" s="233" t="s">
        <v>5544</v>
      </c>
      <c r="L1660" s="18" t="s">
        <v>5545</v>
      </c>
      <c r="M1660" s="18" t="s">
        <v>5549</v>
      </c>
      <c r="N1660" s="16">
        <v>0</v>
      </c>
      <c r="O1660" s="16">
        <v>1</v>
      </c>
      <c r="P1660" s="16">
        <v>2</v>
      </c>
      <c r="Q1660" s="16">
        <v>3</v>
      </c>
      <c r="R1660" s="16">
        <v>4</v>
      </c>
      <c r="S1660" s="16">
        <v>5</v>
      </c>
      <c r="T1660" s="18" t="s">
        <v>321</v>
      </c>
      <c r="U1660" s="283" t="s">
        <v>1066</v>
      </c>
      <c r="V1660" s="157"/>
      <c r="W1660" s="157"/>
      <c r="X1660" s="157"/>
      <c r="Y1660" s="157"/>
      <c r="Z1660" s="157"/>
      <c r="AA1660" s="157"/>
      <c r="AB1660" s="157"/>
      <c r="AC1660" s="316">
        <v>0</v>
      </c>
      <c r="AD1660" s="316">
        <v>0</v>
      </c>
      <c r="AE1660" s="302">
        <f t="shared" si="101"/>
        <v>0</v>
      </c>
      <c r="AF1660" s="17"/>
      <c r="AG1660" s="17">
        <v>0</v>
      </c>
      <c r="AH1660" s="17"/>
      <c r="AI1660" s="17"/>
      <c r="AJ1660" s="253"/>
      <c r="AK1660" s="254"/>
      <c r="AL1660" s="254"/>
      <c r="AM1660" s="17">
        <f t="shared" si="102"/>
        <v>0</v>
      </c>
      <c r="AN1660" s="236"/>
      <c r="AO1660" s="236"/>
    </row>
    <row r="1661" spans="1:43" s="18" customFormat="1" x14ac:dyDescent="0.3">
      <c r="A1661" s="228" t="s">
        <v>1451</v>
      </c>
      <c r="B1661" s="18" t="s">
        <v>4838</v>
      </c>
      <c r="C1661" s="228" t="s">
        <v>4841</v>
      </c>
      <c r="D1661" s="18" t="s">
        <v>2439</v>
      </c>
      <c r="E1661" s="228" t="s">
        <v>5490</v>
      </c>
      <c r="F1661" s="18" t="s">
        <v>5491</v>
      </c>
      <c r="G1661" s="228" t="s">
        <v>5550</v>
      </c>
      <c r="H1661" s="18" t="s">
        <v>5551</v>
      </c>
      <c r="K1661" s="228" t="s">
        <v>5552</v>
      </c>
      <c r="L1661" s="18" t="s">
        <v>5553</v>
      </c>
      <c r="M1661" s="18" t="s">
        <v>5554</v>
      </c>
      <c r="N1661" s="16">
        <v>3</v>
      </c>
      <c r="O1661" s="16">
        <v>3</v>
      </c>
      <c r="P1661" s="16">
        <v>3</v>
      </c>
      <c r="Q1661" s="16">
        <v>3</v>
      </c>
      <c r="R1661" s="16">
        <v>3</v>
      </c>
      <c r="S1661" s="16">
        <v>3</v>
      </c>
      <c r="T1661" s="18" t="s">
        <v>5555</v>
      </c>
      <c r="U1661" s="283" t="e">
        <v>#N/A</v>
      </c>
      <c r="V1661" s="18" t="s">
        <v>5556</v>
      </c>
      <c r="W1661" s="18">
        <v>1</v>
      </c>
      <c r="X1661" s="18">
        <v>1</v>
      </c>
      <c r="Y1661" s="18">
        <v>1</v>
      </c>
      <c r="Z1661" s="18">
        <v>1</v>
      </c>
      <c r="AA1661" s="18">
        <v>1</v>
      </c>
      <c r="AB1661" s="18">
        <v>1</v>
      </c>
      <c r="AC1661" s="18">
        <v>1</v>
      </c>
      <c r="AD1661" s="18">
        <v>1</v>
      </c>
      <c r="AE1661" s="302">
        <f t="shared" ref="AE1661:AE1701" si="103">SUM(W1661:AD1661)/8</f>
        <v>1</v>
      </c>
      <c r="AF1661" s="176">
        <v>0</v>
      </c>
      <c r="AG1661" s="17">
        <v>0</v>
      </c>
      <c r="AH1661" s="176" t="s">
        <v>2526</v>
      </c>
      <c r="AI1661" s="176">
        <v>0.2</v>
      </c>
      <c r="AJ1661" s="234">
        <v>0.2</v>
      </c>
      <c r="AK1661" s="235" t="s">
        <v>2526</v>
      </c>
      <c r="AL1661" s="235" t="s">
        <v>2526</v>
      </c>
      <c r="AM1661" s="17">
        <f t="shared" si="102"/>
        <v>0</v>
      </c>
      <c r="AN1661" s="236" t="s">
        <v>265</v>
      </c>
      <c r="AO1661" s="236" t="s">
        <v>350</v>
      </c>
      <c r="AP1661" s="18" t="s">
        <v>5276</v>
      </c>
    </row>
    <row r="1662" spans="1:43" s="18" customFormat="1" hidden="1" x14ac:dyDescent="0.3">
      <c r="A1662" s="228" t="s">
        <v>1451</v>
      </c>
      <c r="B1662" s="18" t="s">
        <v>4838</v>
      </c>
      <c r="C1662" s="228" t="s">
        <v>4841</v>
      </c>
      <c r="D1662" s="18" t="s">
        <v>2439</v>
      </c>
      <c r="E1662" s="228" t="s">
        <v>5490</v>
      </c>
      <c r="F1662" s="18" t="s">
        <v>5491</v>
      </c>
      <c r="G1662" s="228" t="s">
        <v>5550</v>
      </c>
      <c r="H1662" s="18" t="s">
        <v>5551</v>
      </c>
      <c r="K1662" s="228" t="s">
        <v>5552</v>
      </c>
      <c r="L1662" s="18" t="s">
        <v>5553</v>
      </c>
      <c r="M1662" s="18" t="s">
        <v>5557</v>
      </c>
      <c r="N1662" s="16">
        <v>0</v>
      </c>
      <c r="O1662" s="16">
        <v>0</v>
      </c>
      <c r="P1662" s="16">
        <v>1</v>
      </c>
      <c r="Q1662" s="16">
        <v>0</v>
      </c>
      <c r="R1662" s="16">
        <v>0</v>
      </c>
      <c r="S1662" s="16">
        <v>0</v>
      </c>
      <c r="T1662" s="18" t="s">
        <v>1581</v>
      </c>
      <c r="U1662" s="283" t="s">
        <v>1583</v>
      </c>
      <c r="V1662" s="18" t="s">
        <v>5558</v>
      </c>
      <c r="W1662" s="18">
        <v>0</v>
      </c>
      <c r="X1662" s="18">
        <v>0</v>
      </c>
      <c r="Y1662" s="18">
        <v>0</v>
      </c>
      <c r="Z1662" s="18">
        <v>0</v>
      </c>
      <c r="AA1662" s="18">
        <v>0</v>
      </c>
      <c r="AB1662" s="18">
        <v>0</v>
      </c>
      <c r="AC1662" s="18">
        <v>0</v>
      </c>
      <c r="AD1662" s="18">
        <v>1</v>
      </c>
      <c r="AE1662" s="302">
        <f t="shared" si="103"/>
        <v>0.125</v>
      </c>
      <c r="AF1662" s="176">
        <v>0</v>
      </c>
      <c r="AG1662" s="17">
        <v>0</v>
      </c>
      <c r="AH1662" s="176" t="s">
        <v>2526</v>
      </c>
      <c r="AI1662" s="176" t="s">
        <v>2526</v>
      </c>
      <c r="AJ1662" s="234" t="s">
        <v>2526</v>
      </c>
      <c r="AK1662" s="235" t="s">
        <v>2526</v>
      </c>
      <c r="AL1662" s="235" t="s">
        <v>2526</v>
      </c>
      <c r="AM1662" s="17">
        <f t="shared" si="102"/>
        <v>0</v>
      </c>
      <c r="AN1662" s="236" t="s">
        <v>1446</v>
      </c>
      <c r="AO1662" s="236" t="s">
        <v>3715</v>
      </c>
      <c r="AP1662" s="228" t="s">
        <v>119</v>
      </c>
    </row>
    <row r="1663" spans="1:43" s="18" customFormat="1" x14ac:dyDescent="0.3">
      <c r="A1663" s="228" t="s">
        <v>1451</v>
      </c>
      <c r="B1663" s="18" t="s">
        <v>4838</v>
      </c>
      <c r="C1663" s="228" t="s">
        <v>4841</v>
      </c>
      <c r="D1663" s="18" t="s">
        <v>2439</v>
      </c>
      <c r="E1663" s="228" t="s">
        <v>5490</v>
      </c>
      <c r="F1663" s="18" t="s">
        <v>5491</v>
      </c>
      <c r="G1663" s="228" t="s">
        <v>5550</v>
      </c>
      <c r="H1663" s="18" t="s">
        <v>5551</v>
      </c>
      <c r="K1663" s="228" t="s">
        <v>5552</v>
      </c>
      <c r="L1663" s="18" t="s">
        <v>5553</v>
      </c>
      <c r="M1663" s="18" t="s">
        <v>5559</v>
      </c>
      <c r="N1663" s="16">
        <v>0</v>
      </c>
      <c r="O1663" s="16">
        <v>4</v>
      </c>
      <c r="P1663" s="16">
        <v>4</v>
      </c>
      <c r="Q1663" s="16">
        <v>4</v>
      </c>
      <c r="R1663" s="16">
        <v>4</v>
      </c>
      <c r="S1663" s="16">
        <v>4</v>
      </c>
      <c r="T1663" s="18" t="s">
        <v>1446</v>
      </c>
      <c r="U1663" s="283" t="s">
        <v>3715</v>
      </c>
      <c r="V1663" s="18" t="s">
        <v>5560</v>
      </c>
      <c r="W1663" s="18">
        <v>1</v>
      </c>
      <c r="X1663" s="18">
        <v>0</v>
      </c>
      <c r="Y1663" s="18">
        <v>1</v>
      </c>
      <c r="Z1663" s="18">
        <v>1</v>
      </c>
      <c r="AA1663" s="18">
        <v>1</v>
      </c>
      <c r="AB1663" s="18">
        <v>0</v>
      </c>
      <c r="AC1663" s="316">
        <v>1</v>
      </c>
      <c r="AD1663" s="316">
        <v>1</v>
      </c>
      <c r="AE1663" s="302">
        <f t="shared" si="103"/>
        <v>0.75</v>
      </c>
      <c r="AF1663" s="239">
        <v>0</v>
      </c>
      <c r="AG1663" s="17">
        <v>0</v>
      </c>
      <c r="AH1663" s="239">
        <v>0.3</v>
      </c>
      <c r="AI1663" s="239">
        <v>0.2</v>
      </c>
      <c r="AJ1663" s="239">
        <v>0.2</v>
      </c>
      <c r="AK1663" s="177">
        <v>0.2</v>
      </c>
      <c r="AL1663" s="177">
        <v>0.2</v>
      </c>
      <c r="AM1663" s="17">
        <f t="shared" si="102"/>
        <v>0.4</v>
      </c>
      <c r="AN1663" s="18" t="s">
        <v>1581</v>
      </c>
      <c r="AO1663" s="18" t="s">
        <v>1583</v>
      </c>
      <c r="AP1663" s="240" t="s">
        <v>5276</v>
      </c>
      <c r="AQ1663" s="157"/>
    </row>
    <row r="1664" spans="1:43" s="18" customFormat="1" x14ac:dyDescent="0.3">
      <c r="A1664" s="228" t="s">
        <v>1451</v>
      </c>
      <c r="B1664" s="18" t="s">
        <v>4838</v>
      </c>
      <c r="C1664" s="228" t="s">
        <v>4841</v>
      </c>
      <c r="D1664" s="18" t="s">
        <v>2439</v>
      </c>
      <c r="E1664" s="228" t="s">
        <v>5490</v>
      </c>
      <c r="F1664" s="18" t="s">
        <v>5491</v>
      </c>
      <c r="G1664" s="228" t="s">
        <v>5550</v>
      </c>
      <c r="H1664" s="18" t="s">
        <v>5551</v>
      </c>
      <c r="K1664" s="228" t="s">
        <v>5552</v>
      </c>
      <c r="L1664" s="18" t="s">
        <v>5553</v>
      </c>
      <c r="M1664" s="18" t="s">
        <v>5561</v>
      </c>
      <c r="N1664" s="16">
        <v>7</v>
      </c>
      <c r="O1664" s="16">
        <v>2</v>
      </c>
      <c r="P1664" s="16">
        <v>3</v>
      </c>
      <c r="Q1664" s="16">
        <v>4</v>
      </c>
      <c r="R1664" s="16">
        <v>4</v>
      </c>
      <c r="S1664" s="16">
        <v>1</v>
      </c>
      <c r="T1664" s="18" t="s">
        <v>1581</v>
      </c>
      <c r="U1664" s="283" t="s">
        <v>1583</v>
      </c>
      <c r="V1664" s="18" t="s">
        <v>5562</v>
      </c>
      <c r="W1664" s="18">
        <v>1</v>
      </c>
      <c r="X1664" s="18">
        <v>1</v>
      </c>
      <c r="Y1664" s="18">
        <v>1</v>
      </c>
      <c r="Z1664" s="18">
        <v>1</v>
      </c>
      <c r="AA1664" s="18">
        <v>1</v>
      </c>
      <c r="AB1664" s="18">
        <v>1</v>
      </c>
      <c r="AC1664" s="18">
        <v>1</v>
      </c>
      <c r="AD1664" s="18">
        <v>1</v>
      </c>
      <c r="AE1664" s="302">
        <f t="shared" si="103"/>
        <v>1</v>
      </c>
      <c r="AF1664" s="239">
        <v>0</v>
      </c>
      <c r="AG1664" s="17">
        <v>0</v>
      </c>
      <c r="AH1664" s="239" t="s">
        <v>2526</v>
      </c>
      <c r="AI1664" s="176">
        <v>0.16</v>
      </c>
      <c r="AJ1664" s="234" t="s">
        <v>2526</v>
      </c>
      <c r="AK1664" s="235" t="s">
        <v>2526</v>
      </c>
      <c r="AL1664" s="235" t="s">
        <v>2526</v>
      </c>
      <c r="AM1664" s="17">
        <f t="shared" si="102"/>
        <v>0</v>
      </c>
      <c r="AN1664" s="236" t="s">
        <v>1581</v>
      </c>
      <c r="AO1664" s="236" t="s">
        <v>1583</v>
      </c>
      <c r="AP1664" s="228" t="s">
        <v>5563</v>
      </c>
    </row>
    <row r="1665" spans="1:43" s="18" customFormat="1" hidden="1" x14ac:dyDescent="0.3">
      <c r="A1665" s="228" t="s">
        <v>1451</v>
      </c>
      <c r="B1665" s="18" t="s">
        <v>4838</v>
      </c>
      <c r="C1665" s="228" t="s">
        <v>4841</v>
      </c>
      <c r="D1665" s="18" t="s">
        <v>2439</v>
      </c>
      <c r="E1665" s="228" t="s">
        <v>5490</v>
      </c>
      <c r="F1665" s="18" t="s">
        <v>5491</v>
      </c>
      <c r="G1665" s="228" t="s">
        <v>5550</v>
      </c>
      <c r="H1665" s="18" t="s">
        <v>5551</v>
      </c>
      <c r="K1665" s="228" t="s">
        <v>5552</v>
      </c>
      <c r="L1665" s="18" t="s">
        <v>5553</v>
      </c>
      <c r="M1665" s="18" t="s">
        <v>5564</v>
      </c>
      <c r="N1665" s="16">
        <v>0</v>
      </c>
      <c r="O1665" s="16">
        <v>0</v>
      </c>
      <c r="P1665" s="16" t="s">
        <v>5565</v>
      </c>
      <c r="Q1665" s="16">
        <v>0</v>
      </c>
      <c r="R1665" s="16">
        <v>0</v>
      </c>
      <c r="S1665" s="16">
        <v>0</v>
      </c>
      <c r="T1665" s="18" t="s">
        <v>1191</v>
      </c>
      <c r="U1665" s="283" t="e">
        <v>#N/A</v>
      </c>
      <c r="V1665" s="18" t="s">
        <v>5566</v>
      </c>
      <c r="W1665" s="18">
        <v>0</v>
      </c>
      <c r="X1665" s="18">
        <v>0</v>
      </c>
      <c r="Y1665" s="18">
        <v>0</v>
      </c>
      <c r="Z1665" s="18">
        <v>0</v>
      </c>
      <c r="AA1665" s="18">
        <v>0</v>
      </c>
      <c r="AB1665" s="18">
        <v>0</v>
      </c>
      <c r="AC1665" s="18">
        <v>0</v>
      </c>
      <c r="AD1665" s="18">
        <v>0</v>
      </c>
      <c r="AE1665" s="302">
        <f t="shared" si="103"/>
        <v>0</v>
      </c>
      <c r="AF1665" s="239">
        <v>0</v>
      </c>
      <c r="AG1665" s="17">
        <v>0</v>
      </c>
      <c r="AH1665" s="239">
        <v>0</v>
      </c>
      <c r="AI1665" s="239">
        <v>0</v>
      </c>
      <c r="AJ1665" s="239">
        <v>0</v>
      </c>
      <c r="AK1665" s="177">
        <v>0</v>
      </c>
      <c r="AL1665" s="177">
        <v>0</v>
      </c>
      <c r="AM1665" s="17">
        <f t="shared" si="102"/>
        <v>0</v>
      </c>
      <c r="AN1665" s="18" t="s">
        <v>921</v>
      </c>
      <c r="AO1665" s="18" t="s">
        <v>880</v>
      </c>
      <c r="AP1665" s="240" t="s">
        <v>119</v>
      </c>
      <c r="AQ1665" s="157"/>
    </row>
    <row r="1666" spans="1:43" s="18" customFormat="1" hidden="1" x14ac:dyDescent="0.3">
      <c r="A1666" s="228" t="s">
        <v>1451</v>
      </c>
      <c r="B1666" s="18" t="s">
        <v>4838</v>
      </c>
      <c r="C1666" s="228" t="s">
        <v>4841</v>
      </c>
      <c r="D1666" s="18" t="s">
        <v>2439</v>
      </c>
      <c r="E1666" s="228" t="s">
        <v>5490</v>
      </c>
      <c r="F1666" s="18" t="s">
        <v>5491</v>
      </c>
      <c r="G1666" s="228" t="s">
        <v>5550</v>
      </c>
      <c r="H1666" s="18" t="s">
        <v>5551</v>
      </c>
      <c r="K1666" s="228" t="s">
        <v>5552</v>
      </c>
      <c r="L1666" s="18" t="s">
        <v>5553</v>
      </c>
      <c r="N1666" s="16"/>
      <c r="O1666" s="16"/>
      <c r="P1666" s="16"/>
      <c r="Q1666" s="16"/>
      <c r="R1666" s="16"/>
      <c r="S1666" s="16"/>
      <c r="U1666" s="283" t="e">
        <v>#N/A</v>
      </c>
      <c r="V1666" s="18" t="s">
        <v>5567</v>
      </c>
      <c r="W1666" s="18">
        <v>0</v>
      </c>
      <c r="X1666" s="18">
        <v>0</v>
      </c>
      <c r="Y1666" s="18">
        <v>0</v>
      </c>
      <c r="Z1666" s="18">
        <v>0</v>
      </c>
      <c r="AA1666" s="18">
        <v>0</v>
      </c>
      <c r="AB1666" s="18">
        <v>0</v>
      </c>
      <c r="AC1666" s="18">
        <v>0</v>
      </c>
      <c r="AD1666" s="18">
        <v>0</v>
      </c>
      <c r="AE1666" s="302">
        <f t="shared" si="103"/>
        <v>0</v>
      </c>
      <c r="AF1666" s="176">
        <v>0</v>
      </c>
      <c r="AG1666" s="17">
        <v>0</v>
      </c>
      <c r="AH1666" s="176" t="s">
        <v>2526</v>
      </c>
      <c r="AI1666" s="176" t="s">
        <v>2526</v>
      </c>
      <c r="AJ1666" s="234" t="s">
        <v>2526</v>
      </c>
      <c r="AK1666" s="235" t="s">
        <v>2526</v>
      </c>
      <c r="AL1666" s="235" t="s">
        <v>2526</v>
      </c>
      <c r="AM1666" s="17">
        <f t="shared" si="102"/>
        <v>0</v>
      </c>
      <c r="AN1666" s="236" t="s">
        <v>921</v>
      </c>
      <c r="AO1666" s="236" t="s">
        <v>880</v>
      </c>
      <c r="AP1666" s="228" t="s">
        <v>119</v>
      </c>
    </row>
    <row r="1667" spans="1:43" s="18" customFormat="1" x14ac:dyDescent="0.3">
      <c r="A1667" s="228" t="s">
        <v>1451</v>
      </c>
      <c r="B1667" s="18" t="s">
        <v>4838</v>
      </c>
      <c r="C1667" s="228" t="s">
        <v>4841</v>
      </c>
      <c r="D1667" s="18" t="s">
        <v>2439</v>
      </c>
      <c r="E1667" s="228" t="s">
        <v>5490</v>
      </c>
      <c r="F1667" s="18" t="s">
        <v>5491</v>
      </c>
      <c r="G1667" s="228" t="s">
        <v>5550</v>
      </c>
      <c r="H1667" s="18" t="s">
        <v>5551</v>
      </c>
      <c r="K1667" s="228" t="s">
        <v>5568</v>
      </c>
      <c r="L1667" s="18" t="s">
        <v>5569</v>
      </c>
      <c r="M1667" s="18" t="s">
        <v>5570</v>
      </c>
      <c r="N1667" s="16">
        <v>10</v>
      </c>
      <c r="O1667" s="16">
        <v>50</v>
      </c>
      <c r="P1667" s="16">
        <v>50</v>
      </c>
      <c r="Q1667" s="16">
        <v>100</v>
      </c>
      <c r="R1667" s="16">
        <v>120</v>
      </c>
      <c r="S1667" s="16">
        <v>150</v>
      </c>
      <c r="T1667" s="18" t="s">
        <v>4932</v>
      </c>
      <c r="U1667" s="283" t="s">
        <v>3877</v>
      </c>
      <c r="V1667" s="18" t="s">
        <v>5571</v>
      </c>
      <c r="W1667" s="18">
        <v>1</v>
      </c>
      <c r="X1667" s="18">
        <v>0</v>
      </c>
      <c r="Y1667" s="18">
        <v>1</v>
      </c>
      <c r="Z1667" s="18">
        <v>1</v>
      </c>
      <c r="AA1667" s="18">
        <v>1</v>
      </c>
      <c r="AB1667" s="18">
        <v>1</v>
      </c>
      <c r="AC1667" s="316">
        <v>1</v>
      </c>
      <c r="AD1667" s="316">
        <v>1</v>
      </c>
      <c r="AE1667" s="302">
        <f t="shared" si="103"/>
        <v>0.875</v>
      </c>
      <c r="AF1667" s="176">
        <v>0</v>
      </c>
      <c r="AG1667" s="17">
        <v>0</v>
      </c>
      <c r="AH1667" s="176">
        <v>52.5</v>
      </c>
      <c r="AI1667" s="239">
        <v>47</v>
      </c>
      <c r="AJ1667" s="239">
        <v>46.5</v>
      </c>
      <c r="AK1667" s="250" t="s">
        <v>2526</v>
      </c>
      <c r="AL1667" s="177">
        <v>0</v>
      </c>
      <c r="AM1667" s="17">
        <f t="shared" si="102"/>
        <v>0</v>
      </c>
      <c r="AN1667" s="18" t="s">
        <v>3875</v>
      </c>
      <c r="AO1667" s="18" t="s">
        <v>3877</v>
      </c>
      <c r="AP1667" s="240" t="s">
        <v>921</v>
      </c>
      <c r="AQ1667" s="157"/>
    </row>
    <row r="1668" spans="1:43" s="18" customFormat="1" hidden="1" x14ac:dyDescent="0.3">
      <c r="A1668" s="228" t="s">
        <v>1451</v>
      </c>
      <c r="B1668" s="18" t="s">
        <v>4838</v>
      </c>
      <c r="C1668" s="228" t="s">
        <v>4841</v>
      </c>
      <c r="D1668" s="18" t="s">
        <v>2439</v>
      </c>
      <c r="E1668" s="228" t="s">
        <v>5490</v>
      </c>
      <c r="F1668" s="18" t="s">
        <v>5491</v>
      </c>
      <c r="G1668" s="228" t="s">
        <v>5550</v>
      </c>
      <c r="H1668" s="18" t="s">
        <v>5551</v>
      </c>
      <c r="K1668" s="228" t="s">
        <v>5568</v>
      </c>
      <c r="L1668" s="18" t="s">
        <v>5569</v>
      </c>
      <c r="N1668" s="16"/>
      <c r="O1668" s="16"/>
      <c r="P1668" s="16"/>
      <c r="Q1668" s="16"/>
      <c r="R1668" s="16"/>
      <c r="S1668" s="16"/>
      <c r="U1668" s="283" t="e">
        <v>#N/A</v>
      </c>
      <c r="V1668" s="18" t="s">
        <v>5572</v>
      </c>
      <c r="W1668" s="18">
        <v>0</v>
      </c>
      <c r="X1668" s="18">
        <v>0</v>
      </c>
      <c r="Y1668" s="18">
        <v>0</v>
      </c>
      <c r="Z1668" s="18">
        <v>0</v>
      </c>
      <c r="AA1668" s="18">
        <v>0</v>
      </c>
      <c r="AB1668" s="18">
        <v>0</v>
      </c>
      <c r="AC1668" s="18">
        <v>0</v>
      </c>
      <c r="AD1668" s="18">
        <v>0</v>
      </c>
      <c r="AE1668" s="302">
        <f t="shared" si="103"/>
        <v>0</v>
      </c>
      <c r="AF1668" s="176">
        <v>0</v>
      </c>
      <c r="AG1668" s="17">
        <v>0</v>
      </c>
      <c r="AH1668" s="176" t="s">
        <v>2526</v>
      </c>
      <c r="AI1668" s="239" t="s">
        <v>2526</v>
      </c>
      <c r="AJ1668" s="239" t="s">
        <v>2526</v>
      </c>
      <c r="AK1668" s="177" t="s">
        <v>2526</v>
      </c>
      <c r="AL1668" s="177" t="s">
        <v>2526</v>
      </c>
      <c r="AM1668" s="17">
        <f t="shared" si="102"/>
        <v>0</v>
      </c>
      <c r="AN1668" s="18" t="s">
        <v>921</v>
      </c>
      <c r="AO1668" s="18" t="s">
        <v>880</v>
      </c>
      <c r="AP1668" s="240" t="s">
        <v>119</v>
      </c>
      <c r="AQ1668" s="157"/>
    </row>
    <row r="1669" spans="1:43" s="18" customFormat="1" x14ac:dyDescent="0.3">
      <c r="A1669" s="228" t="s">
        <v>1451</v>
      </c>
      <c r="B1669" s="18" t="s">
        <v>4838</v>
      </c>
      <c r="C1669" s="228" t="s">
        <v>4841</v>
      </c>
      <c r="D1669" s="18" t="s">
        <v>2439</v>
      </c>
      <c r="E1669" s="228" t="s">
        <v>5490</v>
      </c>
      <c r="F1669" s="18" t="s">
        <v>5491</v>
      </c>
      <c r="G1669" s="228" t="s">
        <v>5550</v>
      </c>
      <c r="H1669" s="18" t="s">
        <v>5551</v>
      </c>
      <c r="K1669" s="228" t="s">
        <v>5573</v>
      </c>
      <c r="L1669" s="18" t="s">
        <v>5574</v>
      </c>
      <c r="M1669" s="18" t="s">
        <v>5575</v>
      </c>
      <c r="N1669" s="16">
        <v>0</v>
      </c>
      <c r="O1669" s="16">
        <v>0.05</v>
      </c>
      <c r="P1669" s="16">
        <v>0.05</v>
      </c>
      <c r="Q1669" s="16">
        <v>0.1</v>
      </c>
      <c r="R1669" s="16">
        <v>0.15</v>
      </c>
      <c r="S1669" s="16">
        <v>0.2</v>
      </c>
      <c r="T1669" s="18" t="s">
        <v>5576</v>
      </c>
      <c r="U1669" s="283" t="e">
        <v>#N/A</v>
      </c>
      <c r="V1669" s="18" t="s">
        <v>5577</v>
      </c>
      <c r="W1669" s="18">
        <v>1</v>
      </c>
      <c r="X1669" s="18">
        <v>1</v>
      </c>
      <c r="Y1669" s="18">
        <v>1</v>
      </c>
      <c r="Z1669" s="18">
        <v>1</v>
      </c>
      <c r="AA1669" s="18">
        <v>1</v>
      </c>
      <c r="AB1669" s="18">
        <v>1</v>
      </c>
      <c r="AC1669" s="18">
        <v>1</v>
      </c>
      <c r="AD1669" s="18">
        <v>1</v>
      </c>
      <c r="AE1669" s="302">
        <f t="shared" si="103"/>
        <v>1</v>
      </c>
      <c r="AF1669" s="239">
        <v>0</v>
      </c>
      <c r="AG1669" s="17">
        <v>0</v>
      </c>
      <c r="AH1669" s="239">
        <v>0.2</v>
      </c>
      <c r="AI1669" s="239">
        <v>0.2</v>
      </c>
      <c r="AJ1669" s="239">
        <v>0.2</v>
      </c>
      <c r="AK1669" s="238">
        <v>0.2</v>
      </c>
      <c r="AL1669" s="177">
        <v>0.2</v>
      </c>
      <c r="AM1669" s="17">
        <f t="shared" si="102"/>
        <v>0.4</v>
      </c>
      <c r="AN1669" s="18" t="s">
        <v>5578</v>
      </c>
      <c r="AO1669" s="18" t="s">
        <v>880</v>
      </c>
      <c r="AP1669" s="240" t="s">
        <v>5579</v>
      </c>
      <c r="AQ1669" s="157"/>
    </row>
    <row r="1670" spans="1:43" s="18" customFormat="1" hidden="1" x14ac:dyDescent="0.3">
      <c r="A1670" s="228" t="s">
        <v>1451</v>
      </c>
      <c r="B1670" s="18" t="s">
        <v>4838</v>
      </c>
      <c r="C1670" s="228" t="s">
        <v>4841</v>
      </c>
      <c r="D1670" s="18" t="s">
        <v>2439</v>
      </c>
      <c r="E1670" s="228" t="s">
        <v>5490</v>
      </c>
      <c r="F1670" s="18" t="s">
        <v>5491</v>
      </c>
      <c r="G1670" s="228" t="s">
        <v>5550</v>
      </c>
      <c r="H1670" s="18" t="s">
        <v>5551</v>
      </c>
      <c r="K1670" s="228" t="s">
        <v>5573</v>
      </c>
      <c r="L1670" s="18" t="s">
        <v>5574</v>
      </c>
      <c r="M1670" s="18" t="s">
        <v>5580</v>
      </c>
      <c r="N1670" s="16">
        <v>6</v>
      </c>
      <c r="O1670" s="16">
        <v>3</v>
      </c>
      <c r="P1670" s="16">
        <v>3</v>
      </c>
      <c r="Q1670" s="16">
        <v>1</v>
      </c>
      <c r="R1670" s="16">
        <v>1</v>
      </c>
      <c r="S1670" s="16">
        <v>1</v>
      </c>
      <c r="T1670" s="18" t="s">
        <v>5576</v>
      </c>
      <c r="U1670" s="283" t="e">
        <v>#N/A</v>
      </c>
      <c r="AC1670" s="316">
        <v>0</v>
      </c>
      <c r="AD1670" s="316">
        <v>0</v>
      </c>
      <c r="AE1670" s="302">
        <f t="shared" si="103"/>
        <v>0</v>
      </c>
      <c r="AF1670" s="251"/>
      <c r="AG1670" s="17">
        <v>0</v>
      </c>
      <c r="AH1670" s="251"/>
      <c r="AI1670" s="251"/>
      <c r="AJ1670" s="251"/>
      <c r="AK1670" s="252"/>
      <c r="AL1670" s="154"/>
      <c r="AM1670" s="17">
        <f t="shared" si="102"/>
        <v>0</v>
      </c>
      <c r="AP1670" s="240"/>
      <c r="AQ1670" s="157"/>
    </row>
    <row r="1671" spans="1:43" s="18" customFormat="1" hidden="1" x14ac:dyDescent="0.3">
      <c r="A1671" s="228" t="s">
        <v>1451</v>
      </c>
      <c r="B1671" s="18" t="s">
        <v>4838</v>
      </c>
      <c r="C1671" s="228" t="s">
        <v>4841</v>
      </c>
      <c r="D1671" s="18" t="s">
        <v>2439</v>
      </c>
      <c r="E1671" s="228" t="s">
        <v>5490</v>
      </c>
      <c r="F1671" s="18" t="s">
        <v>5491</v>
      </c>
      <c r="G1671" s="228" t="s">
        <v>5550</v>
      </c>
      <c r="H1671" s="18" t="s">
        <v>5551</v>
      </c>
      <c r="K1671" s="228" t="s">
        <v>5581</v>
      </c>
      <c r="L1671" s="18" t="s">
        <v>5582</v>
      </c>
      <c r="M1671" s="18" t="s">
        <v>5583</v>
      </c>
      <c r="N1671" s="16"/>
      <c r="O1671" s="16"/>
      <c r="P1671" s="16"/>
      <c r="Q1671" s="16"/>
      <c r="R1671" s="16"/>
      <c r="S1671" s="16"/>
      <c r="U1671" s="283" t="e">
        <v>#N/A</v>
      </c>
      <c r="V1671" s="18" t="s">
        <v>5584</v>
      </c>
      <c r="W1671" s="18">
        <v>0</v>
      </c>
      <c r="X1671" s="18">
        <v>0</v>
      </c>
      <c r="Y1671" s="18">
        <v>0</v>
      </c>
      <c r="Z1671" s="18">
        <v>0</v>
      </c>
      <c r="AA1671" s="18">
        <v>0</v>
      </c>
      <c r="AB1671" s="18">
        <v>0</v>
      </c>
      <c r="AC1671" s="18">
        <v>0</v>
      </c>
      <c r="AD1671" s="18">
        <v>0</v>
      </c>
      <c r="AE1671" s="302">
        <f t="shared" si="103"/>
        <v>0</v>
      </c>
      <c r="AF1671" s="176">
        <v>0</v>
      </c>
      <c r="AG1671" s="17">
        <v>0</v>
      </c>
      <c r="AH1671" s="176" t="s">
        <v>2526</v>
      </c>
      <c r="AI1671" s="176" t="s">
        <v>2526</v>
      </c>
      <c r="AJ1671" s="234" t="s">
        <v>2526</v>
      </c>
      <c r="AK1671" s="235" t="s">
        <v>2526</v>
      </c>
      <c r="AL1671" s="235" t="s">
        <v>2526</v>
      </c>
      <c r="AM1671" s="17">
        <f t="shared" si="102"/>
        <v>0</v>
      </c>
      <c r="AN1671" s="236" t="s">
        <v>921</v>
      </c>
      <c r="AO1671" s="236" t="s">
        <v>880</v>
      </c>
      <c r="AP1671" s="228" t="s">
        <v>119</v>
      </c>
    </row>
    <row r="1672" spans="1:43" s="18" customFormat="1" x14ac:dyDescent="0.3">
      <c r="A1672" s="228" t="s">
        <v>1451</v>
      </c>
      <c r="B1672" s="18" t="s">
        <v>4838</v>
      </c>
      <c r="C1672" s="228" t="s">
        <v>4841</v>
      </c>
      <c r="D1672" s="18" t="s">
        <v>2439</v>
      </c>
      <c r="E1672" s="228" t="s">
        <v>5490</v>
      </c>
      <c r="F1672" s="18" t="s">
        <v>5491</v>
      </c>
      <c r="G1672" s="228" t="s">
        <v>5550</v>
      </c>
      <c r="H1672" s="18" t="s">
        <v>5551</v>
      </c>
      <c r="K1672" s="233" t="s">
        <v>5585</v>
      </c>
      <c r="L1672" s="18" t="s">
        <v>5586</v>
      </c>
      <c r="M1672" s="18" t="s">
        <v>5587</v>
      </c>
      <c r="N1672" s="16"/>
      <c r="O1672" s="16"/>
      <c r="P1672" s="16"/>
      <c r="Q1672" s="16"/>
      <c r="R1672" s="16"/>
      <c r="S1672" s="16"/>
      <c r="T1672" s="18" t="s">
        <v>1132</v>
      </c>
      <c r="U1672" s="283" t="s">
        <v>3739</v>
      </c>
      <c r="V1672" s="18" t="s">
        <v>5588</v>
      </c>
      <c r="W1672" s="18">
        <v>1</v>
      </c>
      <c r="X1672" s="18">
        <v>0</v>
      </c>
      <c r="Y1672" s="18">
        <v>1</v>
      </c>
      <c r="Z1672" s="18">
        <v>1</v>
      </c>
      <c r="AA1672" s="18">
        <v>1</v>
      </c>
      <c r="AB1672" s="18">
        <v>1</v>
      </c>
      <c r="AC1672" s="316">
        <v>0</v>
      </c>
      <c r="AD1672" s="316">
        <v>1</v>
      </c>
      <c r="AE1672" s="302">
        <f t="shared" si="103"/>
        <v>0.75</v>
      </c>
      <c r="AF1672" s="176">
        <v>0</v>
      </c>
      <c r="AG1672" s="17">
        <v>0</v>
      </c>
      <c r="AH1672" s="176">
        <v>0.9</v>
      </c>
      <c r="AI1672" s="176">
        <v>0.98750000000000004</v>
      </c>
      <c r="AJ1672" s="255">
        <v>1.05</v>
      </c>
      <c r="AK1672" s="256">
        <v>1.25</v>
      </c>
      <c r="AL1672" s="256">
        <v>1.3</v>
      </c>
      <c r="AM1672" s="17">
        <f t="shared" si="102"/>
        <v>2.5499999999999998</v>
      </c>
      <c r="AN1672" s="236" t="s">
        <v>1132</v>
      </c>
      <c r="AO1672" s="236" t="s">
        <v>1134</v>
      </c>
      <c r="AP1672" s="228"/>
    </row>
    <row r="1673" spans="1:43" s="18" customFormat="1" hidden="1" x14ac:dyDescent="0.3">
      <c r="A1673" s="228" t="s">
        <v>1451</v>
      </c>
      <c r="B1673" s="18" t="s">
        <v>4838</v>
      </c>
      <c r="C1673" s="228" t="s">
        <v>4841</v>
      </c>
      <c r="D1673" s="18" t="s">
        <v>2439</v>
      </c>
      <c r="E1673" s="228" t="s">
        <v>5490</v>
      </c>
      <c r="F1673" s="18" t="s">
        <v>5491</v>
      </c>
      <c r="G1673" s="228" t="s">
        <v>5589</v>
      </c>
      <c r="H1673" s="18" t="s">
        <v>5590</v>
      </c>
      <c r="K1673" s="228" t="s">
        <v>5591</v>
      </c>
      <c r="L1673" s="18" t="s">
        <v>5592</v>
      </c>
      <c r="M1673" s="18" t="s">
        <v>5593</v>
      </c>
      <c r="N1673" s="16">
        <v>0</v>
      </c>
      <c r="O1673" s="16" t="s">
        <v>3926</v>
      </c>
      <c r="P1673" s="16" t="s">
        <v>3532</v>
      </c>
      <c r="Q1673" s="16" t="s">
        <v>3532</v>
      </c>
      <c r="R1673" s="16" t="s">
        <v>3532</v>
      </c>
      <c r="S1673" s="16" t="s">
        <v>3532</v>
      </c>
      <c r="T1673" s="18" t="s">
        <v>869</v>
      </c>
      <c r="U1673" s="283" t="s">
        <v>871</v>
      </c>
      <c r="V1673" s="18" t="s">
        <v>5594</v>
      </c>
      <c r="W1673" s="18">
        <v>0</v>
      </c>
      <c r="X1673" s="18">
        <v>0</v>
      </c>
      <c r="Y1673" s="18">
        <v>0</v>
      </c>
      <c r="Z1673" s="18">
        <v>0</v>
      </c>
      <c r="AA1673" s="18">
        <v>0</v>
      </c>
      <c r="AB1673" s="18">
        <v>0</v>
      </c>
      <c r="AC1673" s="18">
        <v>0</v>
      </c>
      <c r="AD1673" s="18">
        <v>0</v>
      </c>
      <c r="AE1673" s="302">
        <f t="shared" si="103"/>
        <v>0</v>
      </c>
      <c r="AF1673" s="239">
        <v>0</v>
      </c>
      <c r="AG1673" s="17">
        <v>0</v>
      </c>
      <c r="AH1673" s="239">
        <v>0</v>
      </c>
      <c r="AI1673" s="239">
        <v>0</v>
      </c>
      <c r="AJ1673" s="239">
        <v>0</v>
      </c>
      <c r="AK1673" s="238">
        <v>0</v>
      </c>
      <c r="AL1673" s="177">
        <v>0</v>
      </c>
      <c r="AM1673" s="17">
        <f t="shared" si="102"/>
        <v>0</v>
      </c>
      <c r="AN1673" s="18" t="s">
        <v>869</v>
      </c>
      <c r="AO1673" s="18" t="s">
        <v>871</v>
      </c>
      <c r="AP1673" s="240" t="s">
        <v>119</v>
      </c>
      <c r="AQ1673" s="157"/>
    </row>
    <row r="1674" spans="1:43" s="18" customFormat="1" hidden="1" x14ac:dyDescent="0.3">
      <c r="A1674" s="228" t="s">
        <v>1451</v>
      </c>
      <c r="B1674" s="18" t="s">
        <v>4838</v>
      </c>
      <c r="C1674" s="228" t="s">
        <v>4841</v>
      </c>
      <c r="D1674" s="18" t="s">
        <v>2439</v>
      </c>
      <c r="E1674" s="228" t="s">
        <v>5490</v>
      </c>
      <c r="F1674" s="18" t="s">
        <v>5491</v>
      </c>
      <c r="G1674" s="228" t="s">
        <v>5589</v>
      </c>
      <c r="H1674" s="18" t="s">
        <v>5590</v>
      </c>
      <c r="K1674" s="228" t="s">
        <v>5591</v>
      </c>
      <c r="L1674" s="18" t="s">
        <v>5592</v>
      </c>
      <c r="M1674" s="18" t="s">
        <v>5595</v>
      </c>
      <c r="N1674" s="16" t="s">
        <v>3926</v>
      </c>
      <c r="O1674" s="16" t="s">
        <v>3532</v>
      </c>
      <c r="P1674" s="16" t="s">
        <v>3532</v>
      </c>
      <c r="Q1674" s="16" t="s">
        <v>3532</v>
      </c>
      <c r="R1674" s="16" t="s">
        <v>3532</v>
      </c>
      <c r="S1674" s="16" t="s">
        <v>3532</v>
      </c>
      <c r="T1674" s="18" t="s">
        <v>869</v>
      </c>
      <c r="U1674" s="283" t="s">
        <v>871</v>
      </c>
      <c r="V1674" s="18" t="s">
        <v>5596</v>
      </c>
      <c r="W1674" s="18">
        <v>0</v>
      </c>
      <c r="X1674" s="18">
        <v>0</v>
      </c>
      <c r="Y1674" s="18">
        <v>0</v>
      </c>
      <c r="Z1674" s="18">
        <v>0</v>
      </c>
      <c r="AA1674" s="18">
        <v>0</v>
      </c>
      <c r="AB1674" s="18">
        <v>0</v>
      </c>
      <c r="AC1674" s="18">
        <v>0</v>
      </c>
      <c r="AD1674" s="18">
        <v>0</v>
      </c>
      <c r="AE1674" s="302">
        <f t="shared" si="103"/>
        <v>0</v>
      </c>
      <c r="AF1674" s="176">
        <v>0</v>
      </c>
      <c r="AG1674" s="17">
        <v>0</v>
      </c>
      <c r="AH1674" s="176" t="s">
        <v>2526</v>
      </c>
      <c r="AI1674" s="176" t="s">
        <v>2526</v>
      </c>
      <c r="AJ1674" s="176" t="s">
        <v>2526</v>
      </c>
      <c r="AK1674" s="177" t="s">
        <v>2526</v>
      </c>
      <c r="AL1674" s="177" t="s">
        <v>2526</v>
      </c>
      <c r="AM1674" s="17">
        <f t="shared" si="102"/>
        <v>0</v>
      </c>
      <c r="AN1674" s="18" t="s">
        <v>869</v>
      </c>
      <c r="AO1674" s="18" t="s">
        <v>871</v>
      </c>
      <c r="AP1674" s="228" t="s">
        <v>119</v>
      </c>
    </row>
    <row r="1675" spans="1:43" s="18" customFormat="1" hidden="1" x14ac:dyDescent="0.3">
      <c r="A1675" s="228" t="s">
        <v>1451</v>
      </c>
      <c r="B1675" s="18" t="s">
        <v>4838</v>
      </c>
      <c r="C1675" s="228" t="s">
        <v>4841</v>
      </c>
      <c r="D1675" s="18" t="s">
        <v>2439</v>
      </c>
      <c r="E1675" s="228" t="s">
        <v>5490</v>
      </c>
      <c r="F1675" s="18" t="s">
        <v>5491</v>
      </c>
      <c r="G1675" s="228" t="s">
        <v>5589</v>
      </c>
      <c r="H1675" s="18" t="s">
        <v>5590</v>
      </c>
      <c r="K1675" s="228" t="s">
        <v>5591</v>
      </c>
      <c r="L1675" s="18" t="s">
        <v>5592</v>
      </c>
      <c r="N1675" s="16"/>
      <c r="O1675" s="16"/>
      <c r="P1675" s="16"/>
      <c r="Q1675" s="16"/>
      <c r="R1675" s="16"/>
      <c r="S1675" s="16"/>
      <c r="U1675" s="283" t="e">
        <v>#N/A</v>
      </c>
      <c r="V1675" s="18" t="s">
        <v>5597</v>
      </c>
      <c r="W1675" s="18">
        <v>0</v>
      </c>
      <c r="X1675" s="18">
        <v>0</v>
      </c>
      <c r="Y1675" s="18">
        <v>0</v>
      </c>
      <c r="Z1675" s="18">
        <v>0</v>
      </c>
      <c r="AA1675" s="18">
        <v>0</v>
      </c>
      <c r="AB1675" s="18">
        <v>0</v>
      </c>
      <c r="AC1675" s="18">
        <v>0</v>
      </c>
      <c r="AD1675" s="18">
        <v>0</v>
      </c>
      <c r="AE1675" s="302">
        <f t="shared" si="103"/>
        <v>0</v>
      </c>
      <c r="AF1675" s="239">
        <v>0</v>
      </c>
      <c r="AG1675" s="17">
        <v>0</v>
      </c>
      <c r="AH1675" s="239" t="s">
        <v>2526</v>
      </c>
      <c r="AI1675" s="239" t="s">
        <v>2526</v>
      </c>
      <c r="AJ1675" s="239" t="s">
        <v>2526</v>
      </c>
      <c r="AK1675" s="177" t="s">
        <v>2526</v>
      </c>
      <c r="AL1675" s="177" t="s">
        <v>2526</v>
      </c>
      <c r="AM1675" s="17">
        <f t="shared" si="102"/>
        <v>0</v>
      </c>
      <c r="AN1675" s="18" t="s">
        <v>1446</v>
      </c>
      <c r="AO1675" s="18" t="s">
        <v>3715</v>
      </c>
      <c r="AP1675" s="240" t="s">
        <v>119</v>
      </c>
      <c r="AQ1675" s="157"/>
    </row>
    <row r="1676" spans="1:43" s="18" customFormat="1" hidden="1" x14ac:dyDescent="0.3">
      <c r="A1676" s="228" t="s">
        <v>1451</v>
      </c>
      <c r="B1676" s="18" t="s">
        <v>4838</v>
      </c>
      <c r="C1676" s="228" t="s">
        <v>4841</v>
      </c>
      <c r="D1676" s="18" t="s">
        <v>2439</v>
      </c>
      <c r="E1676" s="228" t="s">
        <v>5490</v>
      </c>
      <c r="F1676" s="18" t="s">
        <v>5491</v>
      </c>
      <c r="G1676" s="228" t="s">
        <v>5589</v>
      </c>
      <c r="H1676" s="18" t="s">
        <v>5590</v>
      </c>
      <c r="K1676" s="228" t="s">
        <v>5591</v>
      </c>
      <c r="L1676" s="18" t="s">
        <v>5592</v>
      </c>
      <c r="N1676" s="16"/>
      <c r="O1676" s="16"/>
      <c r="P1676" s="16"/>
      <c r="Q1676" s="16"/>
      <c r="R1676" s="16"/>
      <c r="S1676" s="16"/>
      <c r="U1676" s="283" t="e">
        <v>#N/A</v>
      </c>
      <c r="V1676" s="18" t="s">
        <v>5598</v>
      </c>
      <c r="W1676" s="18">
        <v>0</v>
      </c>
      <c r="X1676" s="18">
        <v>0</v>
      </c>
      <c r="Y1676" s="18">
        <v>0</v>
      </c>
      <c r="Z1676" s="18">
        <v>0</v>
      </c>
      <c r="AA1676" s="18">
        <v>0</v>
      </c>
      <c r="AB1676" s="18">
        <v>0</v>
      </c>
      <c r="AC1676" s="18">
        <v>0</v>
      </c>
      <c r="AD1676" s="18">
        <v>0</v>
      </c>
      <c r="AE1676" s="302">
        <f t="shared" si="103"/>
        <v>0</v>
      </c>
      <c r="AF1676" s="176">
        <v>0</v>
      </c>
      <c r="AG1676" s="17">
        <v>0</v>
      </c>
      <c r="AH1676" s="176" t="s">
        <v>2526</v>
      </c>
      <c r="AI1676" s="176" t="s">
        <v>2526</v>
      </c>
      <c r="AJ1676" s="176" t="s">
        <v>2526</v>
      </c>
      <c r="AK1676" s="177" t="s">
        <v>2526</v>
      </c>
      <c r="AL1676" s="177" t="s">
        <v>2526</v>
      </c>
      <c r="AM1676" s="17">
        <f t="shared" si="102"/>
        <v>0</v>
      </c>
      <c r="AN1676" s="18" t="s">
        <v>921</v>
      </c>
      <c r="AO1676" s="18" t="s">
        <v>880</v>
      </c>
      <c r="AP1676" s="228" t="s">
        <v>119</v>
      </c>
    </row>
    <row r="1677" spans="1:43" s="18" customFormat="1" hidden="1" x14ac:dyDescent="0.3">
      <c r="A1677" s="228" t="s">
        <v>1451</v>
      </c>
      <c r="B1677" s="18" t="s">
        <v>4838</v>
      </c>
      <c r="C1677" s="228" t="s">
        <v>4841</v>
      </c>
      <c r="D1677" s="18" t="s">
        <v>2439</v>
      </c>
      <c r="E1677" s="228" t="s">
        <v>5490</v>
      </c>
      <c r="F1677" s="18" t="s">
        <v>5491</v>
      </c>
      <c r="G1677" s="228" t="s">
        <v>5599</v>
      </c>
      <c r="H1677" s="18" t="s">
        <v>5600</v>
      </c>
      <c r="K1677" s="228" t="s">
        <v>5601</v>
      </c>
      <c r="L1677" s="18" t="s">
        <v>5602</v>
      </c>
      <c r="M1677" s="18" t="s">
        <v>5603</v>
      </c>
      <c r="N1677" s="16">
        <v>0</v>
      </c>
      <c r="O1677" s="16">
        <v>20000</v>
      </c>
      <c r="P1677" s="16">
        <v>25000</v>
      </c>
      <c r="Q1677" s="16">
        <v>33000</v>
      </c>
      <c r="R1677" s="16">
        <v>40000</v>
      </c>
      <c r="S1677" s="16">
        <v>40000</v>
      </c>
      <c r="T1677" s="18" t="s">
        <v>1191</v>
      </c>
      <c r="U1677" s="283" t="e">
        <v>#N/A</v>
      </c>
      <c r="V1677" s="18" t="s">
        <v>5604</v>
      </c>
      <c r="W1677" s="18">
        <v>0</v>
      </c>
      <c r="X1677" s="18">
        <v>0</v>
      </c>
      <c r="Y1677" s="18">
        <v>0</v>
      </c>
      <c r="Z1677" s="18">
        <v>0</v>
      </c>
      <c r="AA1677" s="18">
        <v>0</v>
      </c>
      <c r="AB1677" s="18">
        <v>0</v>
      </c>
      <c r="AC1677" s="18">
        <v>0</v>
      </c>
      <c r="AD1677" s="18">
        <v>0</v>
      </c>
      <c r="AE1677" s="302">
        <f t="shared" si="103"/>
        <v>0</v>
      </c>
      <c r="AF1677" s="176">
        <v>0</v>
      </c>
      <c r="AG1677" s="17">
        <v>0</v>
      </c>
      <c r="AH1677" s="176" t="s">
        <v>2526</v>
      </c>
      <c r="AI1677" s="176" t="s">
        <v>2526</v>
      </c>
      <c r="AJ1677" s="234" t="s">
        <v>2526</v>
      </c>
      <c r="AK1677" s="235" t="s">
        <v>2526</v>
      </c>
      <c r="AL1677" s="235" t="s">
        <v>2526</v>
      </c>
      <c r="AM1677" s="17">
        <f t="shared" si="102"/>
        <v>0</v>
      </c>
      <c r="AN1677" s="236" t="s">
        <v>869</v>
      </c>
      <c r="AO1677" s="236" t="s">
        <v>871</v>
      </c>
      <c r="AP1677" s="228" t="s">
        <v>119</v>
      </c>
    </row>
    <row r="1678" spans="1:43" s="18" customFormat="1" hidden="1" x14ac:dyDescent="0.3">
      <c r="A1678" s="228" t="s">
        <v>1451</v>
      </c>
      <c r="B1678" s="18" t="s">
        <v>4838</v>
      </c>
      <c r="C1678" s="228" t="s">
        <v>4841</v>
      </c>
      <c r="D1678" s="18" t="s">
        <v>2439</v>
      </c>
      <c r="E1678" s="228" t="s">
        <v>5490</v>
      </c>
      <c r="F1678" s="18" t="s">
        <v>5491</v>
      </c>
      <c r="G1678" s="228" t="s">
        <v>5599</v>
      </c>
      <c r="H1678" s="18" t="s">
        <v>5600</v>
      </c>
      <c r="K1678" s="228" t="s">
        <v>5601</v>
      </c>
      <c r="L1678" s="18" t="s">
        <v>5602</v>
      </c>
      <c r="M1678" s="18" t="s">
        <v>5605</v>
      </c>
      <c r="N1678" s="16">
        <v>0</v>
      </c>
      <c r="O1678" s="16">
        <v>500</v>
      </c>
      <c r="P1678" s="16">
        <v>1200</v>
      </c>
      <c r="Q1678" s="16">
        <v>1200</v>
      </c>
      <c r="R1678" s="16">
        <v>1200</v>
      </c>
      <c r="S1678" s="16">
        <v>2000</v>
      </c>
      <c r="T1678" s="18" t="s">
        <v>1191</v>
      </c>
      <c r="U1678" s="283" t="e">
        <v>#N/A</v>
      </c>
      <c r="V1678" s="18" t="s">
        <v>5606</v>
      </c>
      <c r="W1678" s="18">
        <v>0</v>
      </c>
      <c r="X1678" s="18">
        <v>0</v>
      </c>
      <c r="Y1678" s="18">
        <v>0</v>
      </c>
      <c r="Z1678" s="18">
        <v>0</v>
      </c>
      <c r="AA1678" s="18">
        <v>0</v>
      </c>
      <c r="AB1678" s="18">
        <v>0</v>
      </c>
      <c r="AC1678" s="18">
        <v>0</v>
      </c>
      <c r="AD1678" s="18">
        <v>0</v>
      </c>
      <c r="AE1678" s="302">
        <f t="shared" si="103"/>
        <v>0</v>
      </c>
      <c r="AF1678" s="176">
        <v>0</v>
      </c>
      <c r="AG1678" s="17">
        <v>0</v>
      </c>
      <c r="AH1678" s="176" t="s">
        <v>2526</v>
      </c>
      <c r="AI1678" s="239" t="s">
        <v>2526</v>
      </c>
      <c r="AJ1678" s="239" t="s">
        <v>2526</v>
      </c>
      <c r="AK1678" s="238" t="s">
        <v>2526</v>
      </c>
      <c r="AL1678" s="177" t="s">
        <v>2526</v>
      </c>
      <c r="AM1678" s="17">
        <f t="shared" si="102"/>
        <v>0</v>
      </c>
      <c r="AN1678" s="18" t="s">
        <v>407</v>
      </c>
      <c r="AO1678" s="18" t="s">
        <v>409</v>
      </c>
      <c r="AP1678" s="240" t="s">
        <v>119</v>
      </c>
      <c r="AQ1678" s="157"/>
    </row>
    <row r="1679" spans="1:43" s="18" customFormat="1" hidden="1" x14ac:dyDescent="0.3">
      <c r="A1679" s="228" t="s">
        <v>1451</v>
      </c>
      <c r="B1679" s="18" t="s">
        <v>4838</v>
      </c>
      <c r="C1679" s="228" t="s">
        <v>4841</v>
      </c>
      <c r="D1679" s="18" t="s">
        <v>2439</v>
      </c>
      <c r="E1679" s="228" t="s">
        <v>5490</v>
      </c>
      <c r="F1679" s="18" t="s">
        <v>5491</v>
      </c>
      <c r="G1679" s="228" t="s">
        <v>5599</v>
      </c>
      <c r="H1679" s="18" t="s">
        <v>5600</v>
      </c>
      <c r="K1679" s="228" t="s">
        <v>5601</v>
      </c>
      <c r="L1679" s="18" t="s">
        <v>5602</v>
      </c>
      <c r="N1679" s="16"/>
      <c r="O1679" s="16"/>
      <c r="P1679" s="16"/>
      <c r="Q1679" s="16"/>
      <c r="R1679" s="16"/>
      <c r="S1679" s="16"/>
      <c r="U1679" s="283" t="e">
        <v>#N/A</v>
      </c>
      <c r="V1679" s="18" t="s">
        <v>5607</v>
      </c>
      <c r="W1679" s="18">
        <v>0</v>
      </c>
      <c r="X1679" s="18">
        <v>0</v>
      </c>
      <c r="Y1679" s="18">
        <v>0</v>
      </c>
      <c r="Z1679" s="18">
        <v>1</v>
      </c>
      <c r="AA1679" s="18">
        <v>0</v>
      </c>
      <c r="AB1679" s="18">
        <v>0</v>
      </c>
      <c r="AC1679" s="18">
        <v>1</v>
      </c>
      <c r="AD1679" s="18">
        <v>1</v>
      </c>
      <c r="AE1679" s="302">
        <f t="shared" si="103"/>
        <v>0.375</v>
      </c>
      <c r="AF1679" s="176">
        <v>0</v>
      </c>
      <c r="AG1679" s="17">
        <v>0</v>
      </c>
      <c r="AH1679" s="176" t="s">
        <v>2526</v>
      </c>
      <c r="AI1679" s="239" t="s">
        <v>2526</v>
      </c>
      <c r="AJ1679" s="239" t="s">
        <v>2526</v>
      </c>
      <c r="AK1679" s="238" t="s">
        <v>2526</v>
      </c>
      <c r="AL1679" s="177" t="s">
        <v>2526</v>
      </c>
      <c r="AM1679" s="17">
        <f t="shared" si="102"/>
        <v>0</v>
      </c>
      <c r="AN1679" s="18" t="s">
        <v>921</v>
      </c>
      <c r="AO1679" s="18" t="s">
        <v>880</v>
      </c>
      <c r="AP1679" s="240" t="s">
        <v>119</v>
      </c>
      <c r="AQ1679" s="157"/>
    </row>
    <row r="1680" spans="1:43" s="18" customFormat="1" hidden="1" x14ac:dyDescent="0.3">
      <c r="A1680" s="228" t="s">
        <v>1451</v>
      </c>
      <c r="B1680" s="18" t="s">
        <v>4838</v>
      </c>
      <c r="C1680" s="228" t="s">
        <v>4841</v>
      </c>
      <c r="D1680" s="18" t="s">
        <v>2439</v>
      </c>
      <c r="E1680" s="228" t="s">
        <v>5490</v>
      </c>
      <c r="F1680" s="18" t="s">
        <v>5491</v>
      </c>
      <c r="G1680" s="228" t="s">
        <v>5599</v>
      </c>
      <c r="H1680" s="18" t="s">
        <v>5600</v>
      </c>
      <c r="K1680" s="228" t="s">
        <v>5601</v>
      </c>
      <c r="L1680" s="18" t="s">
        <v>5602</v>
      </c>
      <c r="N1680" s="16"/>
      <c r="O1680" s="16"/>
      <c r="P1680" s="16"/>
      <c r="Q1680" s="16"/>
      <c r="R1680" s="16"/>
      <c r="S1680" s="16"/>
      <c r="U1680" s="283" t="e">
        <v>#N/A</v>
      </c>
      <c r="V1680" s="18" t="s">
        <v>5608</v>
      </c>
      <c r="W1680" s="18">
        <v>0</v>
      </c>
      <c r="X1680" s="18">
        <v>0</v>
      </c>
      <c r="Y1680" s="18">
        <v>0</v>
      </c>
      <c r="Z1680" s="18">
        <v>0</v>
      </c>
      <c r="AA1680" s="18">
        <v>0</v>
      </c>
      <c r="AB1680" s="18">
        <v>0</v>
      </c>
      <c r="AC1680" s="18">
        <v>0</v>
      </c>
      <c r="AD1680" s="18">
        <v>0</v>
      </c>
      <c r="AE1680" s="302">
        <f t="shared" si="103"/>
        <v>0</v>
      </c>
      <c r="AF1680" s="176">
        <v>0</v>
      </c>
      <c r="AG1680" s="17">
        <v>0</v>
      </c>
      <c r="AH1680" s="176" t="s">
        <v>2526</v>
      </c>
      <c r="AI1680" s="176" t="s">
        <v>2526</v>
      </c>
      <c r="AJ1680" s="234" t="s">
        <v>2526</v>
      </c>
      <c r="AK1680" s="235" t="s">
        <v>2526</v>
      </c>
      <c r="AL1680" s="235" t="s">
        <v>2526</v>
      </c>
      <c r="AM1680" s="17">
        <f t="shared" si="102"/>
        <v>0</v>
      </c>
      <c r="AN1680" s="236" t="s">
        <v>921</v>
      </c>
      <c r="AO1680" s="236" t="s">
        <v>880</v>
      </c>
      <c r="AP1680" s="228" t="s">
        <v>119</v>
      </c>
    </row>
    <row r="1681" spans="1:43" s="18" customFormat="1" hidden="1" x14ac:dyDescent="0.3">
      <c r="A1681" s="228" t="s">
        <v>1451</v>
      </c>
      <c r="B1681" s="18" t="s">
        <v>4838</v>
      </c>
      <c r="C1681" s="228" t="s">
        <v>4841</v>
      </c>
      <c r="D1681" s="18" t="s">
        <v>2439</v>
      </c>
      <c r="E1681" s="228" t="s">
        <v>5490</v>
      </c>
      <c r="F1681" s="18" t="s">
        <v>5491</v>
      </c>
      <c r="G1681" s="228" t="s">
        <v>5599</v>
      </c>
      <c r="H1681" s="18" t="s">
        <v>5600</v>
      </c>
      <c r="K1681" s="228" t="s">
        <v>5601</v>
      </c>
      <c r="L1681" s="18" t="s">
        <v>5602</v>
      </c>
      <c r="N1681" s="16"/>
      <c r="O1681" s="16"/>
      <c r="P1681" s="16"/>
      <c r="Q1681" s="16"/>
      <c r="R1681" s="16"/>
      <c r="S1681" s="16"/>
      <c r="U1681" s="283" t="e">
        <v>#N/A</v>
      </c>
      <c r="V1681" s="18" t="s">
        <v>5609</v>
      </c>
      <c r="W1681" s="18">
        <v>0</v>
      </c>
      <c r="X1681" s="18">
        <v>0</v>
      </c>
      <c r="Y1681" s="18">
        <v>0</v>
      </c>
      <c r="Z1681" s="18">
        <v>0</v>
      </c>
      <c r="AA1681" s="18">
        <v>0</v>
      </c>
      <c r="AB1681" s="18">
        <v>0</v>
      </c>
      <c r="AC1681" s="18">
        <v>0</v>
      </c>
      <c r="AD1681" s="18">
        <v>0</v>
      </c>
      <c r="AE1681" s="302">
        <f t="shared" si="103"/>
        <v>0</v>
      </c>
      <c r="AF1681" s="176">
        <v>0</v>
      </c>
      <c r="AG1681" s="17">
        <v>0</v>
      </c>
      <c r="AH1681" s="176" t="s">
        <v>2526</v>
      </c>
      <c r="AI1681" s="176" t="s">
        <v>2526</v>
      </c>
      <c r="AJ1681" s="234" t="s">
        <v>2526</v>
      </c>
      <c r="AK1681" s="235" t="s">
        <v>2526</v>
      </c>
      <c r="AL1681" s="235" t="s">
        <v>2526</v>
      </c>
      <c r="AM1681" s="17">
        <f t="shared" si="102"/>
        <v>0</v>
      </c>
      <c r="AN1681" s="236" t="s">
        <v>921</v>
      </c>
      <c r="AO1681" s="236" t="s">
        <v>880</v>
      </c>
      <c r="AP1681" s="228" t="s">
        <v>119</v>
      </c>
    </row>
    <row r="1682" spans="1:43" s="18" customFormat="1" hidden="1" x14ac:dyDescent="0.3">
      <c r="A1682" s="228" t="s">
        <v>1451</v>
      </c>
      <c r="B1682" s="18" t="s">
        <v>4838</v>
      </c>
      <c r="C1682" s="228" t="s">
        <v>4841</v>
      </c>
      <c r="D1682" s="18" t="s">
        <v>2439</v>
      </c>
      <c r="E1682" s="228" t="s">
        <v>5490</v>
      </c>
      <c r="F1682" s="18" t="s">
        <v>5491</v>
      </c>
      <c r="G1682" s="228" t="s">
        <v>5599</v>
      </c>
      <c r="H1682" s="18" t="s">
        <v>5600</v>
      </c>
      <c r="K1682" s="228" t="s">
        <v>5601</v>
      </c>
      <c r="L1682" s="18" t="s">
        <v>5602</v>
      </c>
      <c r="N1682" s="16"/>
      <c r="O1682" s="16"/>
      <c r="P1682" s="16"/>
      <c r="Q1682" s="16"/>
      <c r="R1682" s="16"/>
      <c r="S1682" s="16"/>
      <c r="U1682" s="283" t="e">
        <v>#N/A</v>
      </c>
      <c r="V1682" s="18" t="s">
        <v>5610</v>
      </c>
      <c r="W1682" s="18">
        <v>0</v>
      </c>
      <c r="X1682" s="18">
        <v>0</v>
      </c>
      <c r="Y1682" s="18">
        <v>0</v>
      </c>
      <c r="Z1682" s="18">
        <v>0</v>
      </c>
      <c r="AA1682" s="18">
        <v>0</v>
      </c>
      <c r="AB1682" s="18">
        <v>0</v>
      </c>
      <c r="AC1682" s="18">
        <v>0</v>
      </c>
      <c r="AD1682" s="18">
        <v>0</v>
      </c>
      <c r="AE1682" s="302">
        <f t="shared" si="103"/>
        <v>0</v>
      </c>
      <c r="AF1682" s="176">
        <v>0</v>
      </c>
      <c r="AG1682" s="17">
        <v>0</v>
      </c>
      <c r="AH1682" s="239" t="s">
        <v>2526</v>
      </c>
      <c r="AI1682" s="239" t="s">
        <v>2526</v>
      </c>
      <c r="AJ1682" s="239" t="s">
        <v>2526</v>
      </c>
      <c r="AK1682" s="177" t="s">
        <v>2526</v>
      </c>
      <c r="AL1682" s="177" t="s">
        <v>2526</v>
      </c>
      <c r="AM1682" s="17">
        <f t="shared" si="102"/>
        <v>0</v>
      </c>
      <c r="AN1682" s="18" t="s">
        <v>407</v>
      </c>
      <c r="AO1682" s="18" t="s">
        <v>409</v>
      </c>
      <c r="AP1682" s="240" t="s">
        <v>119</v>
      </c>
      <c r="AQ1682" s="157"/>
    </row>
    <row r="1683" spans="1:43" s="18" customFormat="1" hidden="1" x14ac:dyDescent="0.3">
      <c r="A1683" s="228" t="s">
        <v>1451</v>
      </c>
      <c r="B1683" s="18" t="s">
        <v>4838</v>
      </c>
      <c r="C1683" s="228" t="s">
        <v>4841</v>
      </c>
      <c r="D1683" s="18" t="s">
        <v>2439</v>
      </c>
      <c r="E1683" s="228" t="s">
        <v>5490</v>
      </c>
      <c r="F1683" s="18" t="s">
        <v>5491</v>
      </c>
      <c r="G1683" s="228" t="s">
        <v>5599</v>
      </c>
      <c r="H1683" s="18" t="s">
        <v>5600</v>
      </c>
      <c r="K1683" s="228" t="s">
        <v>5601</v>
      </c>
      <c r="L1683" s="18" t="s">
        <v>5602</v>
      </c>
      <c r="N1683" s="16"/>
      <c r="O1683" s="16"/>
      <c r="P1683" s="16"/>
      <c r="Q1683" s="16"/>
      <c r="R1683" s="16"/>
      <c r="S1683" s="16"/>
      <c r="U1683" s="283" t="e">
        <v>#N/A</v>
      </c>
      <c r="V1683" s="18" t="s">
        <v>5611</v>
      </c>
      <c r="W1683" s="18">
        <v>0</v>
      </c>
      <c r="X1683" s="18">
        <v>0</v>
      </c>
      <c r="Y1683" s="18">
        <v>0</v>
      </c>
      <c r="Z1683" s="18">
        <v>0</v>
      </c>
      <c r="AA1683" s="18">
        <v>0</v>
      </c>
      <c r="AB1683" s="18">
        <v>0</v>
      </c>
      <c r="AC1683" s="18">
        <v>0</v>
      </c>
      <c r="AD1683" s="18">
        <v>0</v>
      </c>
      <c r="AE1683" s="302">
        <f t="shared" si="103"/>
        <v>0</v>
      </c>
      <c r="AF1683" s="176">
        <v>0</v>
      </c>
      <c r="AG1683" s="17">
        <v>0</v>
      </c>
      <c r="AH1683" s="239" t="s">
        <v>2526</v>
      </c>
      <c r="AI1683" s="239" t="s">
        <v>2526</v>
      </c>
      <c r="AJ1683" s="239" t="s">
        <v>2526</v>
      </c>
      <c r="AK1683" s="177" t="s">
        <v>2526</v>
      </c>
      <c r="AL1683" s="177" t="s">
        <v>2526</v>
      </c>
      <c r="AM1683" s="17">
        <f t="shared" si="102"/>
        <v>0</v>
      </c>
      <c r="AN1683" s="18" t="s">
        <v>921</v>
      </c>
      <c r="AO1683" s="18" t="s">
        <v>880</v>
      </c>
      <c r="AP1683" s="240" t="s">
        <v>119</v>
      </c>
      <c r="AQ1683" s="157"/>
    </row>
    <row r="1684" spans="1:43" s="18" customFormat="1" hidden="1" x14ac:dyDescent="0.3">
      <c r="A1684" s="228" t="s">
        <v>1451</v>
      </c>
      <c r="B1684" s="18" t="s">
        <v>4838</v>
      </c>
      <c r="C1684" s="228" t="s">
        <v>4841</v>
      </c>
      <c r="D1684" s="18" t="s">
        <v>2439</v>
      </c>
      <c r="E1684" s="228" t="s">
        <v>5490</v>
      </c>
      <c r="F1684" s="18" t="s">
        <v>5491</v>
      </c>
      <c r="G1684" s="228" t="s">
        <v>5599</v>
      </c>
      <c r="H1684" s="18" t="s">
        <v>5600</v>
      </c>
      <c r="K1684" s="228" t="s">
        <v>5601</v>
      </c>
      <c r="L1684" s="18" t="s">
        <v>5602</v>
      </c>
      <c r="N1684" s="16"/>
      <c r="O1684" s="16"/>
      <c r="P1684" s="16"/>
      <c r="Q1684" s="16"/>
      <c r="R1684" s="16"/>
      <c r="S1684" s="16"/>
      <c r="U1684" s="283" t="e">
        <v>#N/A</v>
      </c>
      <c r="V1684" s="18" t="s">
        <v>5612</v>
      </c>
      <c r="W1684" s="18">
        <v>0</v>
      </c>
      <c r="X1684" s="18">
        <v>0</v>
      </c>
      <c r="Y1684" s="18">
        <v>0</v>
      </c>
      <c r="Z1684" s="18">
        <v>0</v>
      </c>
      <c r="AA1684" s="18">
        <v>0</v>
      </c>
      <c r="AB1684" s="18">
        <v>0</v>
      </c>
      <c r="AC1684" s="18">
        <v>0</v>
      </c>
      <c r="AD1684" s="18">
        <v>0</v>
      </c>
      <c r="AE1684" s="302">
        <f t="shared" si="103"/>
        <v>0</v>
      </c>
      <c r="AF1684" s="239">
        <v>0</v>
      </c>
      <c r="AG1684" s="17">
        <v>0</v>
      </c>
      <c r="AH1684" s="239" t="s">
        <v>2526</v>
      </c>
      <c r="AI1684" s="239" t="s">
        <v>2526</v>
      </c>
      <c r="AJ1684" s="239" t="s">
        <v>2526</v>
      </c>
      <c r="AK1684" s="177" t="s">
        <v>2526</v>
      </c>
      <c r="AL1684" s="177" t="s">
        <v>2526</v>
      </c>
      <c r="AM1684" s="17">
        <f t="shared" si="102"/>
        <v>0</v>
      </c>
      <c r="AN1684" s="18" t="s">
        <v>921</v>
      </c>
      <c r="AO1684" s="18" t="s">
        <v>880</v>
      </c>
      <c r="AP1684" s="240" t="s">
        <v>119</v>
      </c>
      <c r="AQ1684" s="157"/>
    </row>
    <row r="1685" spans="1:43" s="18" customFormat="1" hidden="1" x14ac:dyDescent="0.3">
      <c r="A1685" s="228" t="s">
        <v>1451</v>
      </c>
      <c r="B1685" s="18" t="s">
        <v>4838</v>
      </c>
      <c r="C1685" s="228" t="s">
        <v>4841</v>
      </c>
      <c r="D1685" s="18" t="s">
        <v>2439</v>
      </c>
      <c r="E1685" s="228" t="s">
        <v>5490</v>
      </c>
      <c r="F1685" s="18" t="s">
        <v>5491</v>
      </c>
      <c r="G1685" s="228" t="s">
        <v>5599</v>
      </c>
      <c r="H1685" s="18" t="s">
        <v>5600</v>
      </c>
      <c r="K1685" s="228" t="s">
        <v>5601</v>
      </c>
      <c r="L1685" s="18" t="s">
        <v>5602</v>
      </c>
      <c r="N1685" s="16"/>
      <c r="O1685" s="16"/>
      <c r="P1685" s="16"/>
      <c r="Q1685" s="16"/>
      <c r="R1685" s="16"/>
      <c r="S1685" s="16"/>
      <c r="U1685" s="283" t="e">
        <v>#N/A</v>
      </c>
      <c r="V1685" s="18" t="s">
        <v>5613</v>
      </c>
      <c r="W1685" s="18">
        <v>0</v>
      </c>
      <c r="X1685" s="18">
        <v>0</v>
      </c>
      <c r="Y1685" s="18">
        <v>0</v>
      </c>
      <c r="Z1685" s="18">
        <v>0</v>
      </c>
      <c r="AA1685" s="18">
        <v>0</v>
      </c>
      <c r="AB1685" s="18">
        <v>0</v>
      </c>
      <c r="AC1685" s="18">
        <v>0</v>
      </c>
      <c r="AD1685" s="18">
        <v>0</v>
      </c>
      <c r="AE1685" s="302">
        <f t="shared" si="103"/>
        <v>0</v>
      </c>
      <c r="AF1685" s="239">
        <v>0</v>
      </c>
      <c r="AG1685" s="17">
        <v>0</v>
      </c>
      <c r="AH1685" s="239" t="s">
        <v>2526</v>
      </c>
      <c r="AI1685" s="239" t="s">
        <v>2526</v>
      </c>
      <c r="AJ1685" s="239" t="s">
        <v>2526</v>
      </c>
      <c r="AK1685" s="177" t="s">
        <v>2526</v>
      </c>
      <c r="AL1685" s="177" t="s">
        <v>2526</v>
      </c>
      <c r="AM1685" s="17">
        <f t="shared" si="102"/>
        <v>0</v>
      </c>
      <c r="AN1685" s="18" t="s">
        <v>921</v>
      </c>
      <c r="AO1685" s="18" t="s">
        <v>880</v>
      </c>
      <c r="AP1685" s="240" t="s">
        <v>119</v>
      </c>
      <c r="AQ1685" s="157"/>
    </row>
    <row r="1686" spans="1:43" s="18" customFormat="1" hidden="1" x14ac:dyDescent="0.3">
      <c r="A1686" s="228" t="s">
        <v>1451</v>
      </c>
      <c r="B1686" s="18" t="s">
        <v>4838</v>
      </c>
      <c r="C1686" s="228" t="s">
        <v>4841</v>
      </c>
      <c r="D1686" s="18" t="s">
        <v>2439</v>
      </c>
      <c r="E1686" s="228" t="s">
        <v>5490</v>
      </c>
      <c r="F1686" s="18" t="s">
        <v>5491</v>
      </c>
      <c r="G1686" s="228" t="s">
        <v>5599</v>
      </c>
      <c r="H1686" s="18" t="s">
        <v>5600</v>
      </c>
      <c r="K1686" s="228" t="s">
        <v>5601</v>
      </c>
      <c r="L1686" s="18" t="s">
        <v>5602</v>
      </c>
      <c r="N1686" s="16"/>
      <c r="O1686" s="16"/>
      <c r="P1686" s="16"/>
      <c r="Q1686" s="16"/>
      <c r="R1686" s="16"/>
      <c r="S1686" s="16"/>
      <c r="U1686" s="283" t="e">
        <v>#N/A</v>
      </c>
      <c r="V1686" s="18" t="s">
        <v>5614</v>
      </c>
      <c r="W1686" s="18">
        <v>0</v>
      </c>
      <c r="X1686" s="18">
        <v>0</v>
      </c>
      <c r="Y1686" s="18">
        <v>0</v>
      </c>
      <c r="Z1686" s="18">
        <v>0</v>
      </c>
      <c r="AA1686" s="18">
        <v>0</v>
      </c>
      <c r="AB1686" s="18">
        <v>0</v>
      </c>
      <c r="AC1686" s="18">
        <v>0</v>
      </c>
      <c r="AD1686" s="18">
        <v>0</v>
      </c>
      <c r="AE1686" s="302">
        <f t="shared" si="103"/>
        <v>0</v>
      </c>
      <c r="AF1686" s="239">
        <v>0</v>
      </c>
      <c r="AG1686" s="17">
        <v>0</v>
      </c>
      <c r="AH1686" s="176" t="s">
        <v>2526</v>
      </c>
      <c r="AI1686" s="239" t="s">
        <v>2526</v>
      </c>
      <c r="AJ1686" s="239" t="s">
        <v>2526</v>
      </c>
      <c r="AK1686" s="238" t="s">
        <v>2526</v>
      </c>
      <c r="AL1686" s="177" t="s">
        <v>2526</v>
      </c>
      <c r="AM1686" s="17">
        <f t="shared" si="102"/>
        <v>0</v>
      </c>
      <c r="AN1686" s="18" t="s">
        <v>921</v>
      </c>
      <c r="AO1686" s="18" t="s">
        <v>880</v>
      </c>
      <c r="AP1686" s="240" t="s">
        <v>119</v>
      </c>
      <c r="AQ1686" s="157"/>
    </row>
    <row r="1687" spans="1:43" s="18" customFormat="1" hidden="1" x14ac:dyDescent="0.3">
      <c r="A1687" s="228" t="s">
        <v>1451</v>
      </c>
      <c r="B1687" s="18" t="s">
        <v>4838</v>
      </c>
      <c r="C1687" s="228" t="s">
        <v>4841</v>
      </c>
      <c r="D1687" s="18" t="s">
        <v>2439</v>
      </c>
      <c r="E1687" s="228" t="s">
        <v>5490</v>
      </c>
      <c r="F1687" s="18" t="s">
        <v>5491</v>
      </c>
      <c r="G1687" s="228" t="s">
        <v>5599</v>
      </c>
      <c r="H1687" s="18" t="s">
        <v>5600</v>
      </c>
      <c r="K1687" s="228" t="s">
        <v>5601</v>
      </c>
      <c r="L1687" s="18" t="s">
        <v>5602</v>
      </c>
      <c r="N1687" s="16"/>
      <c r="O1687" s="16"/>
      <c r="P1687" s="16"/>
      <c r="Q1687" s="16"/>
      <c r="R1687" s="16"/>
      <c r="S1687" s="16"/>
      <c r="U1687" s="283" t="e">
        <v>#N/A</v>
      </c>
      <c r="V1687" s="18" t="s">
        <v>5615</v>
      </c>
      <c r="W1687" s="18">
        <v>0</v>
      </c>
      <c r="X1687" s="18">
        <v>0</v>
      </c>
      <c r="Y1687" s="18">
        <v>0</v>
      </c>
      <c r="Z1687" s="18">
        <v>0</v>
      </c>
      <c r="AA1687" s="18">
        <v>0</v>
      </c>
      <c r="AB1687" s="18">
        <v>0</v>
      </c>
      <c r="AC1687" s="18">
        <v>0</v>
      </c>
      <c r="AD1687" s="18">
        <v>0</v>
      </c>
      <c r="AE1687" s="302">
        <f t="shared" si="103"/>
        <v>0</v>
      </c>
      <c r="AF1687" s="239">
        <v>0</v>
      </c>
      <c r="AG1687" s="17">
        <v>0</v>
      </c>
      <c r="AH1687" s="239" t="s">
        <v>2526</v>
      </c>
      <c r="AI1687" s="239" t="s">
        <v>2526</v>
      </c>
      <c r="AJ1687" s="239" t="s">
        <v>2526</v>
      </c>
      <c r="AK1687" s="238" t="s">
        <v>2526</v>
      </c>
      <c r="AL1687" s="238" t="s">
        <v>2526</v>
      </c>
      <c r="AM1687" s="17">
        <f t="shared" si="102"/>
        <v>0</v>
      </c>
      <c r="AN1687" s="157" t="s">
        <v>921</v>
      </c>
      <c r="AO1687" s="157" t="s">
        <v>880</v>
      </c>
      <c r="AP1687" s="240" t="s">
        <v>119</v>
      </c>
      <c r="AQ1687" s="157"/>
    </row>
    <row r="1688" spans="1:43" s="18" customFormat="1" x14ac:dyDescent="0.3">
      <c r="A1688" s="228" t="s">
        <v>1451</v>
      </c>
      <c r="B1688" s="18" t="s">
        <v>4838</v>
      </c>
      <c r="C1688" s="228" t="s">
        <v>4841</v>
      </c>
      <c r="D1688" s="18" t="s">
        <v>2439</v>
      </c>
      <c r="E1688" s="228" t="s">
        <v>5490</v>
      </c>
      <c r="F1688" s="18" t="s">
        <v>5491</v>
      </c>
      <c r="G1688" s="228" t="s">
        <v>5616</v>
      </c>
      <c r="H1688" s="18" t="s">
        <v>5617</v>
      </c>
      <c r="K1688" s="228" t="s">
        <v>5618</v>
      </c>
      <c r="L1688" s="18" t="s">
        <v>5619</v>
      </c>
      <c r="M1688" s="18" t="s">
        <v>5620</v>
      </c>
      <c r="N1688" s="16" t="s">
        <v>3926</v>
      </c>
      <c r="O1688" s="16" t="s">
        <v>3532</v>
      </c>
      <c r="P1688" s="16" t="s">
        <v>3532</v>
      </c>
      <c r="Q1688" s="16" t="s">
        <v>3532</v>
      </c>
      <c r="R1688" s="16" t="s">
        <v>3532</v>
      </c>
      <c r="S1688" s="16" t="s">
        <v>3532</v>
      </c>
      <c r="T1688" s="18" t="s">
        <v>869</v>
      </c>
      <c r="U1688" s="283" t="s">
        <v>871</v>
      </c>
      <c r="V1688" s="18" t="s">
        <v>5621</v>
      </c>
      <c r="W1688" s="18">
        <v>1</v>
      </c>
      <c r="X1688" s="18">
        <v>1</v>
      </c>
      <c r="Y1688" s="18">
        <v>1</v>
      </c>
      <c r="Z1688" s="18">
        <v>1</v>
      </c>
      <c r="AA1688" s="18">
        <v>1</v>
      </c>
      <c r="AB1688" s="18">
        <v>1</v>
      </c>
      <c r="AC1688" s="18">
        <v>1</v>
      </c>
      <c r="AD1688" s="18">
        <v>1</v>
      </c>
      <c r="AE1688" s="302">
        <f t="shared" si="103"/>
        <v>1</v>
      </c>
      <c r="AF1688" s="239">
        <v>1</v>
      </c>
      <c r="AG1688" s="17">
        <v>0</v>
      </c>
      <c r="AH1688" s="239">
        <v>0</v>
      </c>
      <c r="AI1688" s="239">
        <v>0</v>
      </c>
      <c r="AJ1688" s="239">
        <v>0</v>
      </c>
      <c r="AK1688" s="238">
        <v>0</v>
      </c>
      <c r="AL1688" s="238">
        <v>0</v>
      </c>
      <c r="AM1688" s="17">
        <f t="shared" si="102"/>
        <v>0</v>
      </c>
      <c r="AN1688" s="157" t="s">
        <v>869</v>
      </c>
      <c r="AO1688" s="157" t="s">
        <v>871</v>
      </c>
      <c r="AP1688" s="240" t="s">
        <v>119</v>
      </c>
      <c r="AQ1688" s="157"/>
    </row>
    <row r="1689" spans="1:43" s="18" customFormat="1" x14ac:dyDescent="0.3">
      <c r="A1689" s="228" t="s">
        <v>1451</v>
      </c>
      <c r="B1689" s="18" t="s">
        <v>4838</v>
      </c>
      <c r="C1689" s="228" t="s">
        <v>4841</v>
      </c>
      <c r="D1689" s="18" t="s">
        <v>2439</v>
      </c>
      <c r="E1689" s="228" t="s">
        <v>5490</v>
      </c>
      <c r="F1689" s="18" t="s">
        <v>5491</v>
      </c>
      <c r="G1689" s="228" t="s">
        <v>5616</v>
      </c>
      <c r="H1689" s="18" t="s">
        <v>5617</v>
      </c>
      <c r="K1689" s="228" t="s">
        <v>5618</v>
      </c>
      <c r="L1689" s="18" t="s">
        <v>5619</v>
      </c>
      <c r="M1689" s="18" t="s">
        <v>5622</v>
      </c>
      <c r="N1689" s="16" t="s">
        <v>3926</v>
      </c>
      <c r="O1689" s="16" t="s">
        <v>3554</v>
      </c>
      <c r="P1689" s="16" t="s">
        <v>3554</v>
      </c>
      <c r="Q1689" s="16" t="s">
        <v>3554</v>
      </c>
      <c r="R1689" s="16" t="s">
        <v>3554</v>
      </c>
      <c r="S1689" s="16" t="s">
        <v>3554</v>
      </c>
      <c r="T1689" s="18" t="s">
        <v>869</v>
      </c>
      <c r="U1689" s="283" t="s">
        <v>871</v>
      </c>
      <c r="V1689" s="18" t="s">
        <v>5623</v>
      </c>
      <c r="W1689" s="18">
        <v>1</v>
      </c>
      <c r="X1689" s="18">
        <v>1</v>
      </c>
      <c r="Y1689" s="18">
        <v>1</v>
      </c>
      <c r="Z1689" s="18">
        <v>1</v>
      </c>
      <c r="AA1689" s="18">
        <v>1</v>
      </c>
      <c r="AB1689" s="18">
        <v>1</v>
      </c>
      <c r="AC1689" s="18">
        <v>1</v>
      </c>
      <c r="AD1689" s="18">
        <v>1</v>
      </c>
      <c r="AE1689" s="302">
        <f t="shared" si="103"/>
        <v>1</v>
      </c>
      <c r="AF1689" s="239">
        <v>0</v>
      </c>
      <c r="AG1689" s="17">
        <v>0</v>
      </c>
      <c r="AH1689" s="239">
        <v>0.1</v>
      </c>
      <c r="AI1689" s="239">
        <v>0.1</v>
      </c>
      <c r="AJ1689" s="239">
        <v>0.1</v>
      </c>
      <c r="AK1689" s="177">
        <v>0.1</v>
      </c>
      <c r="AL1689" s="177">
        <v>0.1</v>
      </c>
      <c r="AM1689" s="17">
        <f t="shared" si="102"/>
        <v>0.2</v>
      </c>
      <c r="AN1689" s="18" t="s">
        <v>869</v>
      </c>
      <c r="AO1689" s="18" t="s">
        <v>871</v>
      </c>
      <c r="AP1689" s="240" t="s">
        <v>5624</v>
      </c>
      <c r="AQ1689" s="157"/>
    </row>
    <row r="1690" spans="1:43" s="18" customFormat="1" hidden="1" x14ac:dyDescent="0.3">
      <c r="A1690" s="228" t="s">
        <v>1451</v>
      </c>
      <c r="B1690" s="18" t="s">
        <v>4838</v>
      </c>
      <c r="C1690" s="228" t="s">
        <v>4841</v>
      </c>
      <c r="D1690" s="18" t="s">
        <v>2439</v>
      </c>
      <c r="E1690" s="228" t="s">
        <v>5490</v>
      </c>
      <c r="F1690" s="18" t="s">
        <v>5491</v>
      </c>
      <c r="G1690" s="228" t="s">
        <v>5616</v>
      </c>
      <c r="H1690" s="18" t="s">
        <v>5617</v>
      </c>
      <c r="K1690" s="228" t="s">
        <v>5618</v>
      </c>
      <c r="L1690" s="18" t="s">
        <v>5619</v>
      </c>
      <c r="M1690" s="18" t="s">
        <v>5625</v>
      </c>
      <c r="N1690" s="16">
        <v>0</v>
      </c>
      <c r="O1690" s="16">
        <v>1</v>
      </c>
      <c r="P1690" s="16">
        <v>1</v>
      </c>
      <c r="Q1690" s="16">
        <v>1</v>
      </c>
      <c r="R1690" s="16">
        <v>2</v>
      </c>
      <c r="S1690" s="16">
        <v>2</v>
      </c>
      <c r="T1690" s="18" t="s">
        <v>869</v>
      </c>
      <c r="U1690" s="283" t="s">
        <v>871</v>
      </c>
      <c r="V1690" s="18" t="s">
        <v>5626</v>
      </c>
      <c r="W1690" s="18">
        <v>0</v>
      </c>
      <c r="X1690" s="18">
        <v>0</v>
      </c>
      <c r="Y1690" s="18">
        <v>0</v>
      </c>
      <c r="Z1690" s="18">
        <v>0</v>
      </c>
      <c r="AA1690" s="18">
        <v>0</v>
      </c>
      <c r="AB1690" s="18">
        <v>0</v>
      </c>
      <c r="AC1690" s="18">
        <v>0</v>
      </c>
      <c r="AD1690" s="18">
        <v>0</v>
      </c>
      <c r="AE1690" s="302">
        <f t="shared" si="103"/>
        <v>0</v>
      </c>
      <c r="AF1690" s="239">
        <v>0</v>
      </c>
      <c r="AG1690" s="17">
        <v>0</v>
      </c>
      <c r="AH1690" s="239" t="s">
        <v>2526</v>
      </c>
      <c r="AI1690" s="239" t="s">
        <v>2526</v>
      </c>
      <c r="AJ1690" s="239" t="s">
        <v>2526</v>
      </c>
      <c r="AK1690" s="177" t="s">
        <v>2526</v>
      </c>
      <c r="AL1690" s="177" t="s">
        <v>2526</v>
      </c>
      <c r="AM1690" s="17">
        <f t="shared" si="102"/>
        <v>0</v>
      </c>
      <c r="AN1690" s="18" t="s">
        <v>5466</v>
      </c>
      <c r="AO1690" s="18" t="s">
        <v>871</v>
      </c>
      <c r="AP1690" s="240" t="s">
        <v>119</v>
      </c>
      <c r="AQ1690" s="157"/>
    </row>
    <row r="1691" spans="1:43" s="18" customFormat="1" x14ac:dyDescent="0.3">
      <c r="A1691" s="228" t="s">
        <v>1451</v>
      </c>
      <c r="B1691" s="18" t="s">
        <v>4838</v>
      </c>
      <c r="C1691" s="228" t="s">
        <v>4841</v>
      </c>
      <c r="D1691" s="18" t="s">
        <v>2439</v>
      </c>
      <c r="E1691" s="228" t="s">
        <v>5490</v>
      </c>
      <c r="F1691" s="18" t="s">
        <v>5491</v>
      </c>
      <c r="G1691" s="228" t="s">
        <v>5627</v>
      </c>
      <c r="H1691" s="18" t="s">
        <v>5628</v>
      </c>
      <c r="K1691" s="228" t="s">
        <v>5629</v>
      </c>
      <c r="L1691" s="18" t="s">
        <v>5630</v>
      </c>
      <c r="M1691" s="18" t="s">
        <v>5631</v>
      </c>
      <c r="N1691" s="16">
        <v>0</v>
      </c>
      <c r="O1691" s="16">
        <v>10</v>
      </c>
      <c r="P1691" s="16">
        <v>10</v>
      </c>
      <c r="Q1691" s="16">
        <v>10</v>
      </c>
      <c r="R1691" s="16">
        <v>10</v>
      </c>
      <c r="S1691" s="16">
        <v>10</v>
      </c>
      <c r="T1691" s="18" t="s">
        <v>877</v>
      </c>
      <c r="U1691" s="283" t="s">
        <v>880</v>
      </c>
      <c r="V1691" s="18" t="s">
        <v>5632</v>
      </c>
      <c r="W1691" s="18">
        <v>1</v>
      </c>
      <c r="X1691" s="18">
        <v>0</v>
      </c>
      <c r="Y1691" s="18">
        <v>1</v>
      </c>
      <c r="Z1691" s="18">
        <v>1</v>
      </c>
      <c r="AA1691" s="18">
        <v>0</v>
      </c>
      <c r="AB1691" s="18">
        <v>1</v>
      </c>
      <c r="AC1691" s="316">
        <v>1</v>
      </c>
      <c r="AD1691" s="316">
        <v>1</v>
      </c>
      <c r="AE1691" s="302">
        <f t="shared" si="103"/>
        <v>0.75</v>
      </c>
      <c r="AF1691" s="239">
        <v>0</v>
      </c>
      <c r="AG1691" s="17">
        <v>0</v>
      </c>
      <c r="AH1691" s="239" t="s">
        <v>2526</v>
      </c>
      <c r="AI1691" s="239">
        <v>0.03</v>
      </c>
      <c r="AJ1691" s="239">
        <v>0.03</v>
      </c>
      <c r="AK1691" s="177">
        <v>0</v>
      </c>
      <c r="AL1691" s="177">
        <v>0</v>
      </c>
      <c r="AM1691" s="17">
        <f t="shared" si="102"/>
        <v>0</v>
      </c>
      <c r="AN1691" s="18" t="s">
        <v>1446</v>
      </c>
      <c r="AO1691" s="18" t="s">
        <v>3715</v>
      </c>
      <c r="AP1691" s="240" t="s">
        <v>877</v>
      </c>
      <c r="AQ1691" s="157"/>
    </row>
    <row r="1692" spans="1:43" s="18" customFormat="1" hidden="1" x14ac:dyDescent="0.3">
      <c r="A1692" s="228" t="s">
        <v>1451</v>
      </c>
      <c r="B1692" s="18" t="s">
        <v>4838</v>
      </c>
      <c r="C1692" s="228" t="s">
        <v>4841</v>
      </c>
      <c r="D1692" s="18" t="s">
        <v>2439</v>
      </c>
      <c r="E1692" s="228" t="s">
        <v>5490</v>
      </c>
      <c r="F1692" s="18" t="s">
        <v>5491</v>
      </c>
      <c r="G1692" s="228" t="s">
        <v>5627</v>
      </c>
      <c r="H1692" s="18" t="s">
        <v>5628</v>
      </c>
      <c r="K1692" s="228" t="s">
        <v>5629</v>
      </c>
      <c r="L1692" s="18" t="s">
        <v>5630</v>
      </c>
      <c r="M1692" s="18" t="s">
        <v>5633</v>
      </c>
      <c r="N1692" s="16">
        <v>0</v>
      </c>
      <c r="O1692" s="16" t="s">
        <v>5168</v>
      </c>
      <c r="P1692" s="16" t="s">
        <v>5634</v>
      </c>
      <c r="Q1692" s="16" t="s">
        <v>5635</v>
      </c>
      <c r="R1692" s="16" t="s">
        <v>5635</v>
      </c>
      <c r="S1692" s="16" t="s">
        <v>5636</v>
      </c>
      <c r="T1692" s="18" t="s">
        <v>877</v>
      </c>
      <c r="U1692" s="283" t="s">
        <v>880</v>
      </c>
      <c r="V1692" s="18" t="s">
        <v>5637</v>
      </c>
      <c r="W1692" s="18">
        <v>1</v>
      </c>
      <c r="X1692" s="18">
        <v>1</v>
      </c>
      <c r="Y1692" s="18">
        <v>1</v>
      </c>
      <c r="Z1692" s="18">
        <v>0</v>
      </c>
      <c r="AA1692" s="18">
        <v>0</v>
      </c>
      <c r="AB1692" s="18">
        <v>0</v>
      </c>
      <c r="AC1692" s="316">
        <v>1</v>
      </c>
      <c r="AD1692" s="316">
        <v>1</v>
      </c>
      <c r="AE1692" s="302">
        <f t="shared" si="103"/>
        <v>0.625</v>
      </c>
      <c r="AF1692" s="239">
        <v>0</v>
      </c>
      <c r="AG1692" s="17">
        <v>0</v>
      </c>
      <c r="AH1692" s="239" t="s">
        <v>2526</v>
      </c>
      <c r="AI1692" s="239" t="s">
        <v>2526</v>
      </c>
      <c r="AJ1692" s="239" t="s">
        <v>2526</v>
      </c>
      <c r="AK1692" s="177" t="s">
        <v>2526</v>
      </c>
      <c r="AL1692" s="177" t="s">
        <v>2526</v>
      </c>
      <c r="AM1692" s="17">
        <f t="shared" si="102"/>
        <v>0</v>
      </c>
      <c r="AN1692" s="18" t="s">
        <v>921</v>
      </c>
      <c r="AO1692" s="18" t="s">
        <v>880</v>
      </c>
      <c r="AP1692" s="240" t="s">
        <v>119</v>
      </c>
      <c r="AQ1692" s="157"/>
    </row>
    <row r="1693" spans="1:43" s="18" customFormat="1" x14ac:dyDescent="0.3">
      <c r="A1693" s="228" t="s">
        <v>1451</v>
      </c>
      <c r="B1693" s="18" t="s">
        <v>4838</v>
      </c>
      <c r="C1693" s="228" t="s">
        <v>4841</v>
      </c>
      <c r="D1693" s="18" t="s">
        <v>2439</v>
      </c>
      <c r="E1693" s="228" t="s">
        <v>5490</v>
      </c>
      <c r="F1693" s="18" t="s">
        <v>5491</v>
      </c>
      <c r="G1693" s="228" t="s">
        <v>5627</v>
      </c>
      <c r="H1693" s="18" t="s">
        <v>5628</v>
      </c>
      <c r="K1693" s="228" t="s">
        <v>5629</v>
      </c>
      <c r="L1693" s="18" t="s">
        <v>5630</v>
      </c>
      <c r="M1693" s="18" t="s">
        <v>5638</v>
      </c>
      <c r="N1693" s="16">
        <v>0</v>
      </c>
      <c r="O1693" s="16">
        <v>2</v>
      </c>
      <c r="P1693" s="16">
        <v>3</v>
      </c>
      <c r="Q1693" s="16">
        <v>3</v>
      </c>
      <c r="R1693" s="16">
        <v>3</v>
      </c>
      <c r="S1693" s="16">
        <v>3</v>
      </c>
      <c r="T1693" s="18" t="s">
        <v>877</v>
      </c>
      <c r="U1693" s="283" t="s">
        <v>880</v>
      </c>
      <c r="V1693" s="18" t="s">
        <v>5639</v>
      </c>
      <c r="W1693" s="18">
        <v>1</v>
      </c>
      <c r="X1693" s="18">
        <v>1</v>
      </c>
      <c r="Y1693" s="18">
        <v>1</v>
      </c>
      <c r="Z1693" s="18">
        <v>1</v>
      </c>
      <c r="AA1693" s="18">
        <v>1</v>
      </c>
      <c r="AB1693" s="18">
        <v>1</v>
      </c>
      <c r="AC1693" s="18">
        <v>1</v>
      </c>
      <c r="AD1693" s="18">
        <v>1</v>
      </c>
      <c r="AE1693" s="302">
        <f t="shared" si="103"/>
        <v>1</v>
      </c>
      <c r="AF1693" s="239">
        <v>0</v>
      </c>
      <c r="AG1693" s="17">
        <v>0</v>
      </c>
      <c r="AH1693" s="239" t="s">
        <v>2526</v>
      </c>
      <c r="AI1693" s="239">
        <v>0.14000000000000001</v>
      </c>
      <c r="AJ1693" s="239">
        <v>0.15</v>
      </c>
      <c r="AK1693" s="177">
        <v>0.17</v>
      </c>
      <c r="AL1693" s="177">
        <v>0.19</v>
      </c>
      <c r="AM1693" s="17">
        <f t="shared" si="102"/>
        <v>0.36</v>
      </c>
      <c r="AN1693" s="18" t="s">
        <v>879</v>
      </c>
      <c r="AO1693" s="18" t="s">
        <v>880</v>
      </c>
      <c r="AP1693" s="240" t="s">
        <v>5640</v>
      </c>
      <c r="AQ1693" s="157"/>
    </row>
    <row r="1694" spans="1:43" s="18" customFormat="1" x14ac:dyDescent="0.3">
      <c r="A1694" s="228" t="s">
        <v>1451</v>
      </c>
      <c r="B1694" s="18" t="s">
        <v>4838</v>
      </c>
      <c r="C1694" s="228" t="s">
        <v>4841</v>
      </c>
      <c r="D1694" s="18" t="s">
        <v>2439</v>
      </c>
      <c r="E1694" s="228" t="s">
        <v>5490</v>
      </c>
      <c r="F1694" s="18" t="s">
        <v>5491</v>
      </c>
      <c r="G1694" s="228" t="s">
        <v>5627</v>
      </c>
      <c r="H1694" s="18" t="s">
        <v>5628</v>
      </c>
      <c r="K1694" s="228" t="s">
        <v>5629</v>
      </c>
      <c r="L1694" s="18" t="s">
        <v>5630</v>
      </c>
      <c r="M1694" s="18" t="s">
        <v>5641</v>
      </c>
      <c r="N1694" s="16" t="s">
        <v>5642</v>
      </c>
      <c r="O1694" s="16" t="s">
        <v>5643</v>
      </c>
      <c r="P1694" s="16" t="s">
        <v>5644</v>
      </c>
      <c r="Q1694" s="16" t="s">
        <v>5645</v>
      </c>
      <c r="R1694" s="16" t="s">
        <v>5646</v>
      </c>
      <c r="S1694" s="16" t="s">
        <v>5647</v>
      </c>
      <c r="T1694" s="18" t="s">
        <v>877</v>
      </c>
      <c r="U1694" s="283" t="s">
        <v>880</v>
      </c>
      <c r="V1694" s="18" t="s">
        <v>5648</v>
      </c>
      <c r="W1694" s="18">
        <v>1</v>
      </c>
      <c r="X1694" s="18">
        <v>1</v>
      </c>
      <c r="Y1694" s="18">
        <v>1</v>
      </c>
      <c r="Z1694" s="18">
        <v>1</v>
      </c>
      <c r="AA1694" s="18">
        <v>1</v>
      </c>
      <c r="AB1694" s="18">
        <v>1</v>
      </c>
      <c r="AC1694" s="18">
        <v>1</v>
      </c>
      <c r="AD1694" s="18">
        <v>1</v>
      </c>
      <c r="AE1694" s="302">
        <f t="shared" si="103"/>
        <v>1</v>
      </c>
      <c r="AF1694" s="239">
        <v>0</v>
      </c>
      <c r="AG1694" s="17">
        <v>0</v>
      </c>
      <c r="AH1694" s="239">
        <v>5.5</v>
      </c>
      <c r="AI1694" s="239">
        <v>30.7</v>
      </c>
      <c r="AJ1694" s="239">
        <v>0.1</v>
      </c>
      <c r="AK1694" s="238">
        <v>0.1</v>
      </c>
      <c r="AL1694" s="177">
        <v>0.1</v>
      </c>
      <c r="AM1694" s="17">
        <f t="shared" si="102"/>
        <v>0.2</v>
      </c>
      <c r="AN1694" s="18" t="s">
        <v>879</v>
      </c>
      <c r="AO1694" s="18" t="s">
        <v>880</v>
      </c>
      <c r="AP1694" s="240" t="s">
        <v>63</v>
      </c>
      <c r="AQ1694" s="157"/>
    </row>
    <row r="1695" spans="1:43" s="18" customFormat="1" x14ac:dyDescent="0.3">
      <c r="A1695" s="228" t="s">
        <v>1451</v>
      </c>
      <c r="B1695" s="18" t="s">
        <v>4838</v>
      </c>
      <c r="C1695" s="228" t="s">
        <v>4841</v>
      </c>
      <c r="D1695" s="18" t="s">
        <v>2439</v>
      </c>
      <c r="E1695" s="228" t="s">
        <v>5490</v>
      </c>
      <c r="F1695" s="18" t="s">
        <v>5491</v>
      </c>
      <c r="G1695" s="228" t="s">
        <v>5627</v>
      </c>
      <c r="H1695" s="18" t="s">
        <v>5628</v>
      </c>
      <c r="K1695" s="228" t="s">
        <v>5629</v>
      </c>
      <c r="L1695" s="18" t="s">
        <v>5630</v>
      </c>
      <c r="M1695" s="18" t="s">
        <v>5649</v>
      </c>
      <c r="N1695" s="16">
        <v>0</v>
      </c>
      <c r="O1695" s="16">
        <v>10</v>
      </c>
      <c r="P1695" s="16">
        <v>10</v>
      </c>
      <c r="Q1695" s="16">
        <v>10</v>
      </c>
      <c r="R1695" s="16">
        <v>10</v>
      </c>
      <c r="S1695" s="16">
        <v>10</v>
      </c>
      <c r="T1695" s="18" t="s">
        <v>1216</v>
      </c>
      <c r="U1695" s="283" t="s">
        <v>1218</v>
      </c>
      <c r="V1695" s="18" t="s">
        <v>5650</v>
      </c>
      <c r="W1695" s="18">
        <v>1</v>
      </c>
      <c r="X1695" s="18">
        <v>1</v>
      </c>
      <c r="Y1695" s="18">
        <v>1</v>
      </c>
      <c r="Z1695" s="18">
        <v>1</v>
      </c>
      <c r="AA1695" s="18">
        <v>1</v>
      </c>
      <c r="AB1695" s="18">
        <v>1</v>
      </c>
      <c r="AC1695" s="18">
        <v>1</v>
      </c>
      <c r="AD1695" s="18">
        <v>1</v>
      </c>
      <c r="AE1695" s="302">
        <f t="shared" si="103"/>
        <v>1</v>
      </c>
      <c r="AF1695" s="239">
        <v>0</v>
      </c>
      <c r="AG1695" s="17">
        <v>0</v>
      </c>
      <c r="AH1695" s="239" t="s">
        <v>2526</v>
      </c>
      <c r="AI1695" s="239">
        <v>0.2</v>
      </c>
      <c r="AJ1695" s="239">
        <v>0.2</v>
      </c>
      <c r="AK1695" s="241">
        <v>0</v>
      </c>
      <c r="AL1695" s="241">
        <v>0</v>
      </c>
      <c r="AM1695" s="17">
        <f t="shared" si="102"/>
        <v>0</v>
      </c>
      <c r="AN1695" s="18" t="s">
        <v>879</v>
      </c>
      <c r="AO1695" s="18" t="s">
        <v>880</v>
      </c>
      <c r="AP1695" s="240" t="s">
        <v>5651</v>
      </c>
      <c r="AQ1695" s="157"/>
    </row>
    <row r="1696" spans="1:43" s="18" customFormat="1" x14ac:dyDescent="0.3">
      <c r="A1696" s="228" t="s">
        <v>1451</v>
      </c>
      <c r="B1696" s="18" t="s">
        <v>4838</v>
      </c>
      <c r="C1696" s="228" t="s">
        <v>4841</v>
      </c>
      <c r="D1696" s="18" t="s">
        <v>2439</v>
      </c>
      <c r="E1696" s="228" t="s">
        <v>5490</v>
      </c>
      <c r="F1696" s="18" t="s">
        <v>5491</v>
      </c>
      <c r="G1696" s="228" t="s">
        <v>5627</v>
      </c>
      <c r="H1696" s="18" t="s">
        <v>5628</v>
      </c>
      <c r="K1696" s="228" t="s">
        <v>5629</v>
      </c>
      <c r="L1696" s="18" t="s">
        <v>5630</v>
      </c>
      <c r="M1696" s="18" t="s">
        <v>5652</v>
      </c>
      <c r="N1696" s="16">
        <v>0</v>
      </c>
      <c r="O1696" s="16">
        <v>10</v>
      </c>
      <c r="P1696" s="16">
        <v>10</v>
      </c>
      <c r="Q1696" s="16">
        <v>10</v>
      </c>
      <c r="R1696" s="16">
        <v>10</v>
      </c>
      <c r="S1696" s="16">
        <v>10</v>
      </c>
      <c r="T1696" s="18" t="s">
        <v>1216</v>
      </c>
      <c r="U1696" s="283" t="s">
        <v>1218</v>
      </c>
      <c r="V1696" s="18" t="s">
        <v>5653</v>
      </c>
      <c r="W1696" s="18">
        <v>1</v>
      </c>
      <c r="X1696" s="18">
        <v>1</v>
      </c>
      <c r="Y1696" s="18">
        <v>1</v>
      </c>
      <c r="Z1696" s="18">
        <v>1</v>
      </c>
      <c r="AA1696" s="18">
        <v>1</v>
      </c>
      <c r="AB1696" s="18">
        <v>1</v>
      </c>
      <c r="AC1696" s="316">
        <v>1</v>
      </c>
      <c r="AD1696" s="316">
        <v>1</v>
      </c>
      <c r="AE1696" s="302">
        <f t="shared" si="103"/>
        <v>1</v>
      </c>
      <c r="AF1696" s="239">
        <v>0</v>
      </c>
      <c r="AG1696" s="17">
        <v>0</v>
      </c>
      <c r="AH1696" s="239" t="s">
        <v>2526</v>
      </c>
      <c r="AI1696" s="239">
        <v>0.08</v>
      </c>
      <c r="AJ1696" s="239">
        <v>0.08</v>
      </c>
      <c r="AK1696" s="238">
        <v>0.08</v>
      </c>
      <c r="AL1696" s="177">
        <v>0.08</v>
      </c>
      <c r="AM1696" s="17">
        <f t="shared" si="102"/>
        <v>0.16</v>
      </c>
      <c r="AN1696" s="18" t="s">
        <v>879</v>
      </c>
      <c r="AO1696" s="18" t="s">
        <v>880</v>
      </c>
      <c r="AP1696" s="240" t="s">
        <v>5536</v>
      </c>
      <c r="AQ1696" s="157"/>
    </row>
    <row r="1697" spans="1:43" s="18" customFormat="1" x14ac:dyDescent="0.3">
      <c r="A1697" s="228" t="s">
        <v>1451</v>
      </c>
      <c r="B1697" s="18" t="s">
        <v>4838</v>
      </c>
      <c r="C1697" s="228" t="s">
        <v>4841</v>
      </c>
      <c r="D1697" s="18" t="s">
        <v>2439</v>
      </c>
      <c r="E1697" s="228" t="s">
        <v>5490</v>
      </c>
      <c r="F1697" s="18" t="s">
        <v>5491</v>
      </c>
      <c r="G1697" s="228" t="s">
        <v>5627</v>
      </c>
      <c r="H1697" s="18" t="s">
        <v>5628</v>
      </c>
      <c r="K1697" s="228" t="s">
        <v>5629</v>
      </c>
      <c r="L1697" s="18" t="s">
        <v>5630</v>
      </c>
      <c r="N1697" s="16"/>
      <c r="O1697" s="16"/>
      <c r="P1697" s="16"/>
      <c r="Q1697" s="16"/>
      <c r="R1697" s="16"/>
      <c r="S1697" s="16"/>
      <c r="U1697" s="283" t="e">
        <v>#N/A</v>
      </c>
      <c r="V1697" s="18" t="s">
        <v>5654</v>
      </c>
      <c r="W1697" s="18">
        <v>1</v>
      </c>
      <c r="X1697" s="18">
        <v>1</v>
      </c>
      <c r="Y1697" s="18">
        <v>1</v>
      </c>
      <c r="Z1697" s="18">
        <v>1</v>
      </c>
      <c r="AA1697" s="18">
        <v>1</v>
      </c>
      <c r="AB1697" s="18">
        <v>1</v>
      </c>
      <c r="AC1697" s="316">
        <v>1</v>
      </c>
      <c r="AD1697" s="316">
        <v>1</v>
      </c>
      <c r="AE1697" s="302">
        <f t="shared" si="103"/>
        <v>1</v>
      </c>
      <c r="AF1697" s="176">
        <v>0</v>
      </c>
      <c r="AG1697" s="17">
        <v>0</v>
      </c>
      <c r="AH1697" s="176" t="s">
        <v>2526</v>
      </c>
      <c r="AI1697" s="176">
        <v>20</v>
      </c>
      <c r="AJ1697" s="239">
        <v>20</v>
      </c>
      <c r="AK1697" s="237">
        <v>12</v>
      </c>
      <c r="AL1697" s="177">
        <v>20</v>
      </c>
      <c r="AM1697" s="17">
        <f t="shared" si="102"/>
        <v>32</v>
      </c>
      <c r="AN1697" s="18" t="s">
        <v>879</v>
      </c>
      <c r="AO1697" s="18" t="s">
        <v>880</v>
      </c>
      <c r="AP1697" s="240" t="s">
        <v>5655</v>
      </c>
      <c r="AQ1697" s="157"/>
    </row>
    <row r="1698" spans="1:43" s="18" customFormat="1" x14ac:dyDescent="0.3">
      <c r="A1698" s="228" t="s">
        <v>1451</v>
      </c>
      <c r="B1698" s="18" t="s">
        <v>4838</v>
      </c>
      <c r="C1698" s="228" t="s">
        <v>4841</v>
      </c>
      <c r="D1698" s="18" t="s">
        <v>2439</v>
      </c>
      <c r="E1698" s="228" t="s">
        <v>5490</v>
      </c>
      <c r="F1698" s="18" t="s">
        <v>5491</v>
      </c>
      <c r="G1698" s="228" t="s">
        <v>5627</v>
      </c>
      <c r="H1698" s="18" t="s">
        <v>5628</v>
      </c>
      <c r="K1698" s="228" t="s">
        <v>5629</v>
      </c>
      <c r="L1698" s="18" t="s">
        <v>5630</v>
      </c>
      <c r="N1698" s="16"/>
      <c r="O1698" s="16"/>
      <c r="P1698" s="16"/>
      <c r="Q1698" s="16"/>
      <c r="R1698" s="16"/>
      <c r="S1698" s="16"/>
      <c r="U1698" s="283" t="e">
        <v>#N/A</v>
      </c>
      <c r="V1698" s="18" t="s">
        <v>5656</v>
      </c>
      <c r="W1698" s="18">
        <v>1</v>
      </c>
      <c r="X1698" s="18">
        <v>1</v>
      </c>
      <c r="Y1698" s="18">
        <v>1</v>
      </c>
      <c r="Z1698" s="18">
        <v>1</v>
      </c>
      <c r="AA1698" s="18">
        <v>1</v>
      </c>
      <c r="AB1698" s="18">
        <v>1</v>
      </c>
      <c r="AC1698" s="18">
        <v>1</v>
      </c>
      <c r="AD1698" s="18">
        <v>1</v>
      </c>
      <c r="AE1698" s="302">
        <f t="shared" si="103"/>
        <v>1</v>
      </c>
      <c r="AF1698" s="176">
        <v>0</v>
      </c>
      <c r="AG1698" s="17">
        <v>0</v>
      </c>
      <c r="AH1698" s="176">
        <v>0</v>
      </c>
      <c r="AI1698" s="176">
        <v>0.35</v>
      </c>
      <c r="AJ1698" s="234">
        <v>0.35</v>
      </c>
      <c r="AK1698" s="235">
        <v>0.35</v>
      </c>
      <c r="AL1698" s="235">
        <v>0</v>
      </c>
      <c r="AM1698" s="17">
        <f t="shared" si="102"/>
        <v>0.35</v>
      </c>
      <c r="AN1698" s="236" t="s">
        <v>1216</v>
      </c>
      <c r="AO1698" s="236" t="s">
        <v>1218</v>
      </c>
      <c r="AP1698" s="228" t="s">
        <v>5657</v>
      </c>
    </row>
    <row r="1699" spans="1:43" s="18" customFormat="1" x14ac:dyDescent="0.3">
      <c r="A1699" s="228" t="s">
        <v>1451</v>
      </c>
      <c r="B1699" s="18" t="s">
        <v>4838</v>
      </c>
      <c r="C1699" s="228" t="s">
        <v>4841</v>
      </c>
      <c r="D1699" s="18" t="s">
        <v>2439</v>
      </c>
      <c r="E1699" s="228" t="s">
        <v>5490</v>
      </c>
      <c r="F1699" s="18" t="s">
        <v>5491</v>
      </c>
      <c r="G1699" s="228" t="s">
        <v>5627</v>
      </c>
      <c r="H1699" s="157" t="s">
        <v>5628</v>
      </c>
      <c r="K1699" s="240" t="s">
        <v>5629</v>
      </c>
      <c r="L1699" s="157" t="s">
        <v>5630</v>
      </c>
      <c r="N1699" s="16"/>
      <c r="O1699" s="16"/>
      <c r="P1699" s="16"/>
      <c r="Q1699" s="16"/>
      <c r="R1699" s="16"/>
      <c r="S1699" s="16"/>
      <c r="U1699" s="283" t="e">
        <v>#N/A</v>
      </c>
      <c r="V1699" s="157" t="s">
        <v>5658</v>
      </c>
      <c r="W1699" s="157">
        <v>1</v>
      </c>
      <c r="X1699" s="157">
        <v>1</v>
      </c>
      <c r="Y1699" s="157">
        <v>1</v>
      </c>
      <c r="Z1699" s="157">
        <v>1</v>
      </c>
      <c r="AA1699" s="157">
        <v>1</v>
      </c>
      <c r="AB1699" s="157">
        <v>1</v>
      </c>
      <c r="AC1699" s="157">
        <v>1</v>
      </c>
      <c r="AD1699" s="157">
        <v>1</v>
      </c>
      <c r="AE1699" s="302">
        <f t="shared" si="103"/>
        <v>1</v>
      </c>
      <c r="AF1699" s="176">
        <v>0</v>
      </c>
      <c r="AG1699" s="17">
        <v>0</v>
      </c>
      <c r="AH1699" s="176">
        <v>0</v>
      </c>
      <c r="AI1699" s="239">
        <v>0.5</v>
      </c>
      <c r="AJ1699" s="239">
        <v>0.5</v>
      </c>
      <c r="AK1699" s="238">
        <v>0.5</v>
      </c>
      <c r="AL1699" s="177">
        <v>0.5</v>
      </c>
      <c r="AM1699" s="17">
        <f t="shared" si="102"/>
        <v>1</v>
      </c>
      <c r="AN1699" s="18" t="s">
        <v>1216</v>
      </c>
      <c r="AO1699" s="18" t="s">
        <v>1218</v>
      </c>
      <c r="AP1699" s="240" t="s">
        <v>5659</v>
      </c>
      <c r="AQ1699" s="157"/>
    </row>
    <row r="1700" spans="1:43" s="18" customFormat="1" x14ac:dyDescent="0.3">
      <c r="A1700" s="228" t="s">
        <v>1451</v>
      </c>
      <c r="B1700" s="18" t="s">
        <v>4838</v>
      </c>
      <c r="C1700" s="228" t="s">
        <v>4841</v>
      </c>
      <c r="D1700" s="18" t="s">
        <v>2439</v>
      </c>
      <c r="E1700" s="228" t="s">
        <v>5490</v>
      </c>
      <c r="F1700" s="18" t="s">
        <v>5491</v>
      </c>
      <c r="G1700" s="228" t="s">
        <v>5627</v>
      </c>
      <c r="H1700" s="157" t="s">
        <v>5628</v>
      </c>
      <c r="K1700" s="240" t="s">
        <v>5629</v>
      </c>
      <c r="L1700" s="157" t="s">
        <v>5630</v>
      </c>
      <c r="N1700" s="16"/>
      <c r="O1700" s="16"/>
      <c r="P1700" s="16"/>
      <c r="Q1700" s="16"/>
      <c r="R1700" s="16"/>
      <c r="S1700" s="16"/>
      <c r="U1700" s="283" t="e">
        <v>#N/A</v>
      </c>
      <c r="V1700" s="157" t="s">
        <v>5660</v>
      </c>
      <c r="W1700" s="157">
        <v>1</v>
      </c>
      <c r="X1700" s="157">
        <v>1</v>
      </c>
      <c r="Y1700" s="157">
        <v>1</v>
      </c>
      <c r="Z1700" s="157">
        <v>1</v>
      </c>
      <c r="AA1700" s="157">
        <v>1</v>
      </c>
      <c r="AB1700" s="157">
        <v>1</v>
      </c>
      <c r="AC1700" s="157">
        <v>1</v>
      </c>
      <c r="AD1700" s="157">
        <v>1</v>
      </c>
      <c r="AE1700" s="302">
        <f t="shared" si="103"/>
        <v>1</v>
      </c>
      <c r="AF1700" s="176">
        <v>0</v>
      </c>
      <c r="AG1700" s="17">
        <v>0</v>
      </c>
      <c r="AH1700" s="239">
        <v>0</v>
      </c>
      <c r="AI1700" s="239">
        <v>0.8</v>
      </c>
      <c r="AJ1700" s="239">
        <v>0.8</v>
      </c>
      <c r="AK1700" s="238">
        <v>0.8</v>
      </c>
      <c r="AL1700" s="238">
        <v>0.8</v>
      </c>
      <c r="AM1700" s="17">
        <f t="shared" si="102"/>
        <v>1.6</v>
      </c>
      <c r="AN1700" s="157" t="s">
        <v>1216</v>
      </c>
      <c r="AO1700" s="157" t="s">
        <v>1218</v>
      </c>
      <c r="AP1700" s="240" t="s">
        <v>5661</v>
      </c>
      <c r="AQ1700" s="157"/>
    </row>
    <row r="1701" spans="1:43" s="18" customFormat="1" x14ac:dyDescent="0.3">
      <c r="A1701" s="228" t="s">
        <v>1451</v>
      </c>
      <c r="B1701" s="18" t="s">
        <v>4838</v>
      </c>
      <c r="C1701" s="228" t="s">
        <v>4841</v>
      </c>
      <c r="D1701" s="18" t="s">
        <v>2439</v>
      </c>
      <c r="E1701" s="228" t="s">
        <v>5490</v>
      </c>
      <c r="F1701" s="18" t="s">
        <v>5491</v>
      </c>
      <c r="G1701" s="228" t="s">
        <v>5627</v>
      </c>
      <c r="H1701" s="157" t="s">
        <v>5628</v>
      </c>
      <c r="K1701" s="240" t="s">
        <v>5629</v>
      </c>
      <c r="L1701" s="157" t="s">
        <v>5630</v>
      </c>
      <c r="N1701" s="16"/>
      <c r="O1701" s="16"/>
      <c r="P1701" s="16"/>
      <c r="Q1701" s="16"/>
      <c r="R1701" s="16"/>
      <c r="S1701" s="16"/>
      <c r="U1701" s="283" t="e">
        <v>#N/A</v>
      </c>
      <c r="V1701" s="157" t="s">
        <v>5662</v>
      </c>
      <c r="W1701" s="157">
        <v>1</v>
      </c>
      <c r="X1701" s="157">
        <v>1</v>
      </c>
      <c r="Y1701" s="157">
        <v>1</v>
      </c>
      <c r="Z1701" s="157">
        <v>1</v>
      </c>
      <c r="AA1701" s="157">
        <v>1</v>
      </c>
      <c r="AB1701" s="157">
        <v>1</v>
      </c>
      <c r="AC1701" s="157">
        <v>1</v>
      </c>
      <c r="AD1701" s="157">
        <v>1</v>
      </c>
      <c r="AE1701" s="302">
        <f t="shared" si="103"/>
        <v>1</v>
      </c>
      <c r="AF1701" s="176">
        <v>0</v>
      </c>
      <c r="AG1701" s="17">
        <v>0</v>
      </c>
      <c r="AH1701" s="239">
        <v>0</v>
      </c>
      <c r="AI1701" s="239">
        <v>0.25</v>
      </c>
      <c r="AJ1701" s="239">
        <v>0.25</v>
      </c>
      <c r="AK1701" s="238">
        <v>0.25</v>
      </c>
      <c r="AL1701" s="238">
        <v>0.25</v>
      </c>
      <c r="AM1701" s="17">
        <f t="shared" si="102"/>
        <v>0.5</v>
      </c>
      <c r="AN1701" s="157" t="s">
        <v>1216</v>
      </c>
      <c r="AO1701" s="157" t="s">
        <v>1218</v>
      </c>
      <c r="AP1701" s="240" t="s">
        <v>5663</v>
      </c>
      <c r="AQ1701" s="157"/>
    </row>
    <row r="1702" spans="1:43" hidden="1" x14ac:dyDescent="0.3">
      <c r="A1702" s="50" t="s">
        <v>1463</v>
      </c>
      <c r="B1702" s="51" t="s">
        <v>5664</v>
      </c>
      <c r="C1702" s="50" t="s">
        <v>5665</v>
      </c>
      <c r="D1702" s="51" t="s">
        <v>1491</v>
      </c>
      <c r="E1702" s="50" t="s">
        <v>5665</v>
      </c>
      <c r="F1702" s="51" t="s">
        <v>1493</v>
      </c>
      <c r="G1702" s="50" t="s">
        <v>5665</v>
      </c>
      <c r="H1702" s="51" t="s">
        <v>1491</v>
      </c>
      <c r="I1702" s="51"/>
      <c r="J1702" s="51"/>
      <c r="K1702" s="50" t="s">
        <v>5665</v>
      </c>
      <c r="L1702" s="51" t="s">
        <v>1491</v>
      </c>
      <c r="M1702" s="60" t="s">
        <v>271</v>
      </c>
      <c r="N1702" s="60" t="s">
        <v>271</v>
      </c>
      <c r="O1702" s="60" t="s">
        <v>271</v>
      </c>
      <c r="P1702" s="60" t="s">
        <v>271</v>
      </c>
      <c r="Q1702" s="60" t="s">
        <v>271</v>
      </c>
      <c r="R1702" s="60" t="s">
        <v>271</v>
      </c>
      <c r="S1702" s="60" t="s">
        <v>271</v>
      </c>
      <c r="T1702" s="60" t="s">
        <v>271</v>
      </c>
      <c r="U1702" s="60" t="s">
        <v>271</v>
      </c>
      <c r="V1702" s="51" t="s">
        <v>1489</v>
      </c>
      <c r="W1702" s="291"/>
      <c r="X1702" s="291"/>
      <c r="Y1702" s="291"/>
      <c r="Z1702" s="291"/>
      <c r="AA1702" s="291"/>
      <c r="AB1702" s="291"/>
      <c r="AC1702" s="291"/>
      <c r="AD1702" s="291"/>
      <c r="AE1702" s="292"/>
      <c r="AF1702" s="257"/>
      <c r="AG1702" s="292"/>
      <c r="AH1702" s="257"/>
      <c r="AI1702" s="257"/>
      <c r="AJ1702" s="257"/>
      <c r="AK1702" s="258">
        <v>105.39</v>
      </c>
      <c r="AL1702" s="258">
        <v>105.39</v>
      </c>
      <c r="AM1702" s="257">
        <v>210.78</v>
      </c>
      <c r="AN1702" s="52"/>
      <c r="AO1702" s="52"/>
      <c r="AP1702" s="51"/>
    </row>
    <row r="1703" spans="1:43" hidden="1" x14ac:dyDescent="0.3">
      <c r="A1703" s="50" t="s">
        <v>1463</v>
      </c>
      <c r="B1703" s="51" t="s">
        <v>5664</v>
      </c>
      <c r="C1703" s="50" t="s">
        <v>5665</v>
      </c>
      <c r="D1703" s="51" t="s">
        <v>1491</v>
      </c>
      <c r="E1703" s="50" t="s">
        <v>5665</v>
      </c>
      <c r="F1703" s="51" t="s">
        <v>1493</v>
      </c>
      <c r="G1703" s="50" t="s">
        <v>5665</v>
      </c>
      <c r="H1703" s="51" t="s">
        <v>1491</v>
      </c>
      <c r="I1703" s="51"/>
      <c r="J1703" s="51"/>
      <c r="K1703" s="50" t="s">
        <v>5665</v>
      </c>
      <c r="L1703" s="51" t="s">
        <v>1491</v>
      </c>
      <c r="M1703" s="60" t="s">
        <v>271</v>
      </c>
      <c r="N1703" s="60" t="s">
        <v>271</v>
      </c>
      <c r="O1703" s="60" t="s">
        <v>271</v>
      </c>
      <c r="P1703" s="60" t="s">
        <v>271</v>
      </c>
      <c r="Q1703" s="60" t="s">
        <v>271</v>
      </c>
      <c r="R1703" s="60" t="s">
        <v>271</v>
      </c>
      <c r="S1703" s="60" t="s">
        <v>271</v>
      </c>
      <c r="T1703" s="60" t="s">
        <v>271</v>
      </c>
      <c r="U1703" s="60" t="s">
        <v>271</v>
      </c>
      <c r="V1703" s="51" t="s">
        <v>1490</v>
      </c>
      <c r="W1703" s="291"/>
      <c r="X1703" s="291"/>
      <c r="Y1703" s="291"/>
      <c r="Z1703" s="291"/>
      <c r="AA1703" s="291"/>
      <c r="AB1703" s="291"/>
      <c r="AC1703" s="291"/>
      <c r="AD1703" s="291"/>
      <c r="AE1703" s="292"/>
      <c r="AF1703" s="257"/>
      <c r="AG1703" s="292"/>
      <c r="AH1703" s="257"/>
      <c r="AI1703" s="257"/>
      <c r="AJ1703" s="257"/>
      <c r="AK1703" s="258">
        <v>42.156000000000006</v>
      </c>
      <c r="AL1703" s="258">
        <v>42.156000000000006</v>
      </c>
      <c r="AM1703" s="257">
        <v>84.312000000000012</v>
      </c>
      <c r="AN1703" s="52"/>
      <c r="AO1703" s="52"/>
      <c r="AP1703" s="51"/>
    </row>
    <row r="1704" spans="1:43" hidden="1" x14ac:dyDescent="0.3">
      <c r="A1704" s="50" t="s">
        <v>1463</v>
      </c>
      <c r="B1704" s="51" t="s">
        <v>5664</v>
      </c>
      <c r="C1704" s="50" t="s">
        <v>5665</v>
      </c>
      <c r="D1704" s="51" t="s">
        <v>1491</v>
      </c>
      <c r="E1704" s="50" t="s">
        <v>5665</v>
      </c>
      <c r="F1704" s="51" t="s">
        <v>1493</v>
      </c>
      <c r="G1704" s="50" t="s">
        <v>5665</v>
      </c>
      <c r="H1704" s="51" t="s">
        <v>1491</v>
      </c>
      <c r="I1704" s="51"/>
      <c r="J1704" s="51"/>
      <c r="K1704" s="50" t="s">
        <v>5665</v>
      </c>
      <c r="L1704" s="51" t="s">
        <v>1491</v>
      </c>
      <c r="M1704" s="60" t="s">
        <v>271</v>
      </c>
      <c r="N1704" s="60" t="s">
        <v>271</v>
      </c>
      <c r="O1704" s="60" t="s">
        <v>271</v>
      </c>
      <c r="P1704" s="60" t="s">
        <v>271</v>
      </c>
      <c r="Q1704" s="60" t="s">
        <v>271</v>
      </c>
      <c r="R1704" s="60" t="s">
        <v>271</v>
      </c>
      <c r="S1704" s="60" t="s">
        <v>271</v>
      </c>
      <c r="T1704" s="60" t="s">
        <v>271</v>
      </c>
      <c r="U1704" s="60" t="s">
        <v>271</v>
      </c>
      <c r="V1704" s="51" t="s">
        <v>1495</v>
      </c>
      <c r="W1704" s="291"/>
      <c r="X1704" s="291"/>
      <c r="Y1704" s="291"/>
      <c r="Z1704" s="291"/>
      <c r="AA1704" s="291"/>
      <c r="AB1704" s="291"/>
      <c r="AC1704" s="291"/>
      <c r="AD1704" s="291"/>
      <c r="AE1704" s="292"/>
      <c r="AF1704" s="257"/>
      <c r="AG1704" s="292"/>
      <c r="AH1704" s="257"/>
      <c r="AI1704" s="257"/>
      <c r="AJ1704" s="257"/>
      <c r="AK1704" s="258">
        <v>45.615614383</v>
      </c>
      <c r="AL1704" s="258">
        <v>52.258737260000004</v>
      </c>
      <c r="AM1704" s="257">
        <v>97.874351643000011</v>
      </c>
      <c r="AN1704" s="52"/>
      <c r="AO1704" s="52"/>
      <c r="AP1704" s="51"/>
    </row>
    <row r="1705" spans="1:43" hidden="1" x14ac:dyDescent="0.3">
      <c r="A1705" s="18" t="s">
        <v>1463</v>
      </c>
      <c r="B1705" s="18" t="s">
        <v>5664</v>
      </c>
      <c r="C1705" s="18" t="s">
        <v>1464</v>
      </c>
      <c r="D1705" s="18" t="s">
        <v>5666</v>
      </c>
      <c r="E1705" s="18" t="s">
        <v>5667</v>
      </c>
      <c r="F1705" s="18" t="s">
        <v>5668</v>
      </c>
      <c r="G1705" s="18" t="s">
        <v>5669</v>
      </c>
      <c r="H1705" s="18" t="s">
        <v>5670</v>
      </c>
      <c r="I1705" s="18"/>
      <c r="J1705" s="18"/>
      <c r="K1705" s="18" t="s">
        <v>5671</v>
      </c>
      <c r="L1705" s="18" t="s">
        <v>5672</v>
      </c>
      <c r="M1705" s="18" t="s">
        <v>5673</v>
      </c>
      <c r="N1705" s="16">
        <v>20</v>
      </c>
      <c r="O1705" s="16">
        <v>50</v>
      </c>
      <c r="P1705" s="16">
        <v>50</v>
      </c>
      <c r="Q1705" s="16">
        <v>50</v>
      </c>
      <c r="R1705" s="16">
        <v>50</v>
      </c>
      <c r="S1705" s="16">
        <v>50</v>
      </c>
      <c r="T1705" s="18" t="s">
        <v>2234</v>
      </c>
      <c r="U1705" s="283" t="s">
        <v>2236</v>
      </c>
      <c r="V1705" s="18" t="s">
        <v>5674</v>
      </c>
      <c r="W1705" s="18">
        <v>1</v>
      </c>
      <c r="X1705" s="18">
        <v>0</v>
      </c>
      <c r="Y1705" s="18">
        <v>0</v>
      </c>
      <c r="Z1705" s="18">
        <v>1</v>
      </c>
      <c r="AA1705" s="18">
        <v>1</v>
      </c>
      <c r="AB1705" s="18">
        <v>0</v>
      </c>
      <c r="AC1705" s="316">
        <v>1</v>
      </c>
      <c r="AD1705" s="316">
        <v>1</v>
      </c>
      <c r="AE1705" s="302">
        <v>0.625</v>
      </c>
      <c r="AF1705" s="259"/>
      <c r="AG1705" s="259">
        <v>0</v>
      </c>
      <c r="AH1705" s="259">
        <v>0.1</v>
      </c>
      <c r="AI1705" s="259" t="s">
        <v>5675</v>
      </c>
      <c r="AJ1705" s="259">
        <v>0.1</v>
      </c>
      <c r="AK1705" s="260">
        <v>0.4</v>
      </c>
      <c r="AL1705" s="260">
        <v>0.1</v>
      </c>
      <c r="AM1705" s="259">
        <v>0.5</v>
      </c>
      <c r="AN1705" s="18" t="s">
        <v>2172</v>
      </c>
      <c r="AO1705" s="18" t="s">
        <v>2236</v>
      </c>
      <c r="AP1705" s="18" t="s">
        <v>5676</v>
      </c>
    </row>
    <row r="1706" spans="1:43" hidden="1" x14ac:dyDescent="0.3">
      <c r="A1706" s="18" t="s">
        <v>1463</v>
      </c>
      <c r="B1706" s="18" t="s">
        <v>5664</v>
      </c>
      <c r="C1706" s="18" t="s">
        <v>1464</v>
      </c>
      <c r="D1706" s="18" t="s">
        <v>5666</v>
      </c>
      <c r="E1706" s="18" t="s">
        <v>5667</v>
      </c>
      <c r="F1706" s="18" t="s">
        <v>5668</v>
      </c>
      <c r="G1706" s="18" t="s">
        <v>5669</v>
      </c>
      <c r="H1706" s="18" t="s">
        <v>5670</v>
      </c>
      <c r="I1706" s="18"/>
      <c r="J1706" s="18"/>
      <c r="K1706" s="18" t="s">
        <v>5671</v>
      </c>
      <c r="L1706" s="18" t="s">
        <v>5672</v>
      </c>
      <c r="M1706" s="18" t="s">
        <v>5677</v>
      </c>
      <c r="N1706" s="38">
        <v>0.52</v>
      </c>
      <c r="O1706" s="38">
        <v>0.59</v>
      </c>
      <c r="P1706" s="38">
        <v>0.66</v>
      </c>
      <c r="Q1706" s="38">
        <v>0.75</v>
      </c>
      <c r="R1706" s="38">
        <v>0.8</v>
      </c>
      <c r="S1706" s="38">
        <v>1</v>
      </c>
      <c r="T1706" s="18" t="s">
        <v>2234</v>
      </c>
      <c r="U1706" s="283" t="s">
        <v>2236</v>
      </c>
      <c r="V1706" s="18" t="s">
        <v>5678</v>
      </c>
      <c r="W1706" s="18">
        <v>0</v>
      </c>
      <c r="X1706" s="18">
        <v>0</v>
      </c>
      <c r="Y1706" s="18">
        <v>0</v>
      </c>
      <c r="Z1706" s="18">
        <v>1</v>
      </c>
      <c r="AA1706" s="18">
        <v>1</v>
      </c>
      <c r="AB1706" s="18">
        <v>0</v>
      </c>
      <c r="AC1706" s="316">
        <v>1</v>
      </c>
      <c r="AD1706" s="316">
        <v>1</v>
      </c>
      <c r="AE1706" s="302">
        <v>0.5</v>
      </c>
      <c r="AF1706" s="259"/>
      <c r="AG1706" s="259">
        <v>0</v>
      </c>
      <c r="AH1706" s="259"/>
      <c r="AI1706" s="259"/>
      <c r="AJ1706" s="259"/>
      <c r="AK1706" s="260"/>
      <c r="AL1706" s="260"/>
      <c r="AM1706" s="259">
        <v>0</v>
      </c>
      <c r="AN1706" s="18" t="s">
        <v>2172</v>
      </c>
      <c r="AO1706" s="18" t="s">
        <v>2236</v>
      </c>
      <c r="AP1706" s="18" t="s">
        <v>1167</v>
      </c>
    </row>
    <row r="1707" spans="1:43" hidden="1" x14ac:dyDescent="0.3">
      <c r="A1707" s="18" t="s">
        <v>1463</v>
      </c>
      <c r="B1707" s="18" t="s">
        <v>5664</v>
      </c>
      <c r="C1707" s="18" t="s">
        <v>1464</v>
      </c>
      <c r="D1707" s="18" t="s">
        <v>5666</v>
      </c>
      <c r="E1707" s="18" t="s">
        <v>5667</v>
      </c>
      <c r="F1707" s="18" t="s">
        <v>5668</v>
      </c>
      <c r="G1707" s="18" t="s">
        <v>5669</v>
      </c>
      <c r="H1707" s="18" t="s">
        <v>5670</v>
      </c>
      <c r="I1707" s="18"/>
      <c r="J1707" s="18"/>
      <c r="K1707" s="18" t="s">
        <v>5671</v>
      </c>
      <c r="L1707" s="18" t="s">
        <v>5672</v>
      </c>
      <c r="M1707" s="18" t="s">
        <v>5679</v>
      </c>
      <c r="N1707" s="38">
        <v>0.52</v>
      </c>
      <c r="O1707" s="38">
        <v>0.59</v>
      </c>
      <c r="P1707" s="38">
        <v>0.66</v>
      </c>
      <c r="Q1707" s="38">
        <v>0.75</v>
      </c>
      <c r="R1707" s="38">
        <v>0.8</v>
      </c>
      <c r="S1707" s="38">
        <v>1</v>
      </c>
      <c r="T1707" s="18" t="s">
        <v>2234</v>
      </c>
      <c r="U1707" s="283" t="s">
        <v>2236</v>
      </c>
      <c r="V1707" s="18" t="s">
        <v>5680</v>
      </c>
      <c r="W1707" s="18">
        <v>0</v>
      </c>
      <c r="X1707" s="18">
        <v>0</v>
      </c>
      <c r="Y1707" s="18">
        <v>0</v>
      </c>
      <c r="Z1707" s="18">
        <v>1</v>
      </c>
      <c r="AA1707" s="18">
        <v>1</v>
      </c>
      <c r="AB1707" s="18">
        <v>0</v>
      </c>
      <c r="AC1707" s="316">
        <v>1</v>
      </c>
      <c r="AD1707" s="316">
        <v>1</v>
      </c>
      <c r="AE1707" s="302">
        <v>0.5</v>
      </c>
      <c r="AF1707" s="259"/>
      <c r="AG1707" s="259">
        <v>0</v>
      </c>
      <c r="AH1707" s="259"/>
      <c r="AI1707" s="259"/>
      <c r="AJ1707" s="259"/>
      <c r="AK1707" s="260"/>
      <c r="AL1707" s="260"/>
      <c r="AM1707" s="259">
        <v>0</v>
      </c>
      <c r="AN1707" s="18" t="s">
        <v>2234</v>
      </c>
      <c r="AO1707" s="18" t="s">
        <v>2236</v>
      </c>
      <c r="AP1707" s="18"/>
    </row>
    <row r="1708" spans="1:43" hidden="1" x14ac:dyDescent="0.3">
      <c r="A1708" s="18" t="s">
        <v>1463</v>
      </c>
      <c r="B1708" s="18" t="s">
        <v>5664</v>
      </c>
      <c r="C1708" s="18" t="s">
        <v>1464</v>
      </c>
      <c r="D1708" s="18" t="s">
        <v>5666</v>
      </c>
      <c r="E1708" s="18" t="s">
        <v>5667</v>
      </c>
      <c r="F1708" s="18" t="s">
        <v>5668</v>
      </c>
      <c r="G1708" s="18" t="s">
        <v>5669</v>
      </c>
      <c r="H1708" s="18" t="s">
        <v>5670</v>
      </c>
      <c r="I1708" s="18"/>
      <c r="J1708" s="18"/>
      <c r="K1708" s="18" t="s">
        <v>5671</v>
      </c>
      <c r="L1708" s="18" t="s">
        <v>5672</v>
      </c>
      <c r="M1708" s="18" t="s">
        <v>5681</v>
      </c>
      <c r="N1708" s="38">
        <v>0</v>
      </c>
      <c r="O1708" s="38">
        <v>0</v>
      </c>
      <c r="P1708" s="38">
        <v>0.1</v>
      </c>
      <c r="Q1708" s="38">
        <v>0.5</v>
      </c>
      <c r="R1708" s="38">
        <v>0.75</v>
      </c>
      <c r="S1708" s="38">
        <v>1</v>
      </c>
      <c r="T1708" s="18" t="s">
        <v>723</v>
      </c>
      <c r="U1708" s="283" t="s">
        <v>729</v>
      </c>
      <c r="V1708" s="18" t="s">
        <v>5682</v>
      </c>
      <c r="W1708" s="18">
        <v>0</v>
      </c>
      <c r="X1708" s="18">
        <v>1</v>
      </c>
      <c r="Y1708" s="18">
        <v>0</v>
      </c>
      <c r="Z1708" s="18">
        <v>1</v>
      </c>
      <c r="AA1708" s="18">
        <v>1</v>
      </c>
      <c r="AB1708" s="18">
        <v>0</v>
      </c>
      <c r="AC1708" s="316">
        <v>0</v>
      </c>
      <c r="AD1708" s="316">
        <v>1</v>
      </c>
      <c r="AE1708" s="302">
        <v>0.5</v>
      </c>
      <c r="AF1708" s="259"/>
      <c r="AG1708" s="259">
        <v>0</v>
      </c>
      <c r="AH1708" s="259"/>
      <c r="AI1708" s="259">
        <v>0.01</v>
      </c>
      <c r="AJ1708" s="259">
        <v>1.4999999999999999E-2</v>
      </c>
      <c r="AK1708" s="260"/>
      <c r="AL1708" s="260">
        <v>2.4E-2</v>
      </c>
      <c r="AM1708" s="259">
        <v>2.4E-2</v>
      </c>
      <c r="AN1708" s="18" t="s">
        <v>723</v>
      </c>
      <c r="AO1708" s="18" t="s">
        <v>729</v>
      </c>
      <c r="AP1708" s="18"/>
    </row>
    <row r="1709" spans="1:43" s="10" customFormat="1" hidden="1" x14ac:dyDescent="0.3">
      <c r="A1709" s="18" t="s">
        <v>1463</v>
      </c>
      <c r="B1709" s="18" t="s">
        <v>5664</v>
      </c>
      <c r="C1709" s="18" t="s">
        <v>1464</v>
      </c>
      <c r="D1709" s="18" t="s">
        <v>5666</v>
      </c>
      <c r="E1709" s="18" t="s">
        <v>5667</v>
      </c>
      <c r="F1709" s="18" t="s">
        <v>5668</v>
      </c>
      <c r="G1709" s="18" t="s">
        <v>5669</v>
      </c>
      <c r="H1709" s="18" t="s">
        <v>5670</v>
      </c>
      <c r="I1709" s="18"/>
      <c r="J1709" s="18"/>
      <c r="K1709" s="18" t="s">
        <v>5683</v>
      </c>
      <c r="L1709" s="18" t="s">
        <v>5684</v>
      </c>
      <c r="M1709" s="18" t="s">
        <v>5685</v>
      </c>
      <c r="N1709" s="16" t="s">
        <v>271</v>
      </c>
      <c r="O1709" s="16">
        <v>130</v>
      </c>
      <c r="P1709" s="16">
        <v>130</v>
      </c>
      <c r="Q1709" s="16">
        <v>130</v>
      </c>
      <c r="R1709" s="16">
        <v>130</v>
      </c>
      <c r="S1709" s="16">
        <v>130</v>
      </c>
      <c r="T1709" s="18" t="s">
        <v>1167</v>
      </c>
      <c r="U1709" s="283" t="s">
        <v>1170</v>
      </c>
      <c r="V1709" s="18" t="s">
        <v>5686</v>
      </c>
      <c r="W1709" s="18">
        <v>1</v>
      </c>
      <c r="X1709" s="18">
        <v>0</v>
      </c>
      <c r="Y1709" s="18">
        <v>0</v>
      </c>
      <c r="Z1709" s="18">
        <v>1</v>
      </c>
      <c r="AA1709" s="18">
        <v>1</v>
      </c>
      <c r="AB1709" s="18">
        <v>0</v>
      </c>
      <c r="AC1709" s="316">
        <v>1</v>
      </c>
      <c r="AD1709" s="316">
        <v>1</v>
      </c>
      <c r="AE1709" s="302">
        <f t="shared" ref="AE1709" si="104">SUM(W1709:AD1709)/8</f>
        <v>0.625</v>
      </c>
      <c r="AF1709" s="259"/>
      <c r="AG1709" s="259">
        <v>0</v>
      </c>
      <c r="AH1709" s="259">
        <v>2</v>
      </c>
      <c r="AI1709" s="259">
        <v>2</v>
      </c>
      <c r="AJ1709" s="259">
        <v>2</v>
      </c>
      <c r="AK1709" s="260">
        <v>1</v>
      </c>
      <c r="AL1709" s="260">
        <v>2</v>
      </c>
      <c r="AM1709" s="259">
        <f t="shared" ref="AM1709" si="105">SUM(AK1709:AL1709)</f>
        <v>3</v>
      </c>
      <c r="AN1709" s="18" t="s">
        <v>1167</v>
      </c>
      <c r="AO1709" s="18" t="s">
        <v>1170</v>
      </c>
      <c r="AP1709" s="18" t="s">
        <v>119</v>
      </c>
    </row>
    <row r="1710" spans="1:43" x14ac:dyDescent="0.3">
      <c r="A1710" s="18" t="s">
        <v>1463</v>
      </c>
      <c r="B1710" s="18" t="s">
        <v>5664</v>
      </c>
      <c r="C1710" s="18" t="s">
        <v>1464</v>
      </c>
      <c r="D1710" s="18" t="s">
        <v>5666</v>
      </c>
      <c r="E1710" s="18" t="s">
        <v>5667</v>
      </c>
      <c r="F1710" s="18" t="s">
        <v>5668</v>
      </c>
      <c r="G1710" s="18" t="s">
        <v>5687</v>
      </c>
      <c r="H1710" s="18" t="s">
        <v>5688</v>
      </c>
      <c r="I1710" s="18"/>
      <c r="J1710" s="18"/>
      <c r="K1710" s="18">
        <v>14110201</v>
      </c>
      <c r="L1710" s="18" t="s">
        <v>5689</v>
      </c>
      <c r="M1710" s="18" t="s">
        <v>5690</v>
      </c>
      <c r="N1710" s="16">
        <v>91</v>
      </c>
      <c r="O1710" s="16">
        <v>76</v>
      </c>
      <c r="P1710" s="16">
        <v>76</v>
      </c>
      <c r="Q1710" s="16">
        <v>76</v>
      </c>
      <c r="R1710" s="16">
        <v>76</v>
      </c>
      <c r="S1710" s="16">
        <v>76</v>
      </c>
      <c r="T1710" s="18" t="s">
        <v>2234</v>
      </c>
      <c r="U1710" s="283" t="s">
        <v>2236</v>
      </c>
      <c r="V1710" s="18" t="s">
        <v>5691</v>
      </c>
      <c r="W1710" s="18">
        <v>1</v>
      </c>
      <c r="X1710" s="18">
        <v>1</v>
      </c>
      <c r="Y1710" s="18">
        <v>0</v>
      </c>
      <c r="Z1710" s="18">
        <v>1</v>
      </c>
      <c r="AA1710" s="18">
        <v>1</v>
      </c>
      <c r="AB1710" s="18">
        <v>1</v>
      </c>
      <c r="AC1710" s="316">
        <v>1</v>
      </c>
      <c r="AD1710" s="316">
        <v>1</v>
      </c>
      <c r="AE1710" s="302">
        <v>0.875</v>
      </c>
      <c r="AF1710" s="259"/>
      <c r="AG1710" s="259">
        <v>0</v>
      </c>
      <c r="AH1710" s="259">
        <v>0.97</v>
      </c>
      <c r="AI1710" s="259">
        <v>0.97</v>
      </c>
      <c r="AJ1710" s="259" t="s">
        <v>5692</v>
      </c>
      <c r="AK1710" s="260" t="s">
        <v>5692</v>
      </c>
      <c r="AL1710" s="260" t="s">
        <v>5692</v>
      </c>
      <c r="AM1710" s="259">
        <v>0</v>
      </c>
      <c r="AN1710" s="18" t="s">
        <v>2234</v>
      </c>
      <c r="AO1710" s="18" t="s">
        <v>2236</v>
      </c>
      <c r="AP1710" s="18" t="s">
        <v>5693</v>
      </c>
    </row>
    <row r="1711" spans="1:43" x14ac:dyDescent="0.3">
      <c r="A1711" s="18" t="s">
        <v>1463</v>
      </c>
      <c r="B1711" s="18" t="s">
        <v>5664</v>
      </c>
      <c r="C1711" s="18" t="s">
        <v>1464</v>
      </c>
      <c r="D1711" s="18" t="s">
        <v>5666</v>
      </c>
      <c r="E1711" s="18" t="s">
        <v>5667</v>
      </c>
      <c r="F1711" s="18" t="s">
        <v>5668</v>
      </c>
      <c r="G1711" s="18" t="s">
        <v>5687</v>
      </c>
      <c r="H1711" s="18" t="s">
        <v>5688</v>
      </c>
      <c r="I1711" s="18"/>
      <c r="J1711" s="18"/>
      <c r="K1711" s="18" t="s">
        <v>5694</v>
      </c>
      <c r="L1711" s="18" t="s">
        <v>5689</v>
      </c>
      <c r="M1711" s="18" t="s">
        <v>5695</v>
      </c>
      <c r="N1711" s="38">
        <v>0.28999999999999998</v>
      </c>
      <c r="O1711" s="38">
        <v>0.42</v>
      </c>
      <c r="P1711" s="38">
        <v>0.48</v>
      </c>
      <c r="Q1711" s="38">
        <v>0.5</v>
      </c>
      <c r="R1711" s="38">
        <v>0.75</v>
      </c>
      <c r="S1711" s="38">
        <v>1</v>
      </c>
      <c r="T1711" s="18" t="s">
        <v>5696</v>
      </c>
      <c r="U1711" s="283" t="e">
        <v>#N/A</v>
      </c>
      <c r="V1711" s="18" t="s">
        <v>5697</v>
      </c>
      <c r="W1711" s="18">
        <v>1</v>
      </c>
      <c r="X1711" s="18">
        <v>1</v>
      </c>
      <c r="Y1711" s="18">
        <v>0</v>
      </c>
      <c r="Z1711" s="18">
        <v>1</v>
      </c>
      <c r="AA1711" s="18">
        <v>1</v>
      </c>
      <c r="AB1711" s="18">
        <v>0</v>
      </c>
      <c r="AC1711" s="316">
        <v>1</v>
      </c>
      <c r="AD1711" s="316">
        <v>1</v>
      </c>
      <c r="AE1711" s="302">
        <v>0.75</v>
      </c>
      <c r="AF1711" s="259"/>
      <c r="AG1711" s="259">
        <v>0</v>
      </c>
      <c r="AH1711" s="259">
        <v>0.11</v>
      </c>
      <c r="AI1711" s="259">
        <v>0.11</v>
      </c>
      <c r="AJ1711" s="259">
        <v>0.11</v>
      </c>
      <c r="AK1711" s="260">
        <v>0.11</v>
      </c>
      <c r="AL1711" s="260">
        <v>0.11</v>
      </c>
      <c r="AM1711" s="259">
        <v>0.22</v>
      </c>
      <c r="AN1711" s="18" t="s">
        <v>2234</v>
      </c>
      <c r="AO1711" s="18" t="s">
        <v>2236</v>
      </c>
      <c r="AP1711" s="18" t="s">
        <v>5698</v>
      </c>
    </row>
    <row r="1712" spans="1:43" hidden="1" x14ac:dyDescent="0.3">
      <c r="A1712" s="18" t="s">
        <v>1463</v>
      </c>
      <c r="B1712" s="18" t="s">
        <v>5664</v>
      </c>
      <c r="C1712" s="18" t="s">
        <v>1464</v>
      </c>
      <c r="D1712" s="18" t="s">
        <v>5666</v>
      </c>
      <c r="E1712" s="18" t="s">
        <v>5667</v>
      </c>
      <c r="F1712" s="18" t="s">
        <v>5668</v>
      </c>
      <c r="G1712" s="18" t="s">
        <v>5687</v>
      </c>
      <c r="H1712" s="18" t="s">
        <v>5688</v>
      </c>
      <c r="I1712" s="18"/>
      <c r="J1712" s="18"/>
      <c r="K1712" s="18" t="s">
        <v>5694</v>
      </c>
      <c r="L1712" s="18" t="s">
        <v>5689</v>
      </c>
      <c r="M1712" s="18" t="s">
        <v>5699</v>
      </c>
      <c r="N1712" s="16" t="s">
        <v>271</v>
      </c>
      <c r="O1712" s="16">
        <v>4</v>
      </c>
      <c r="P1712" s="16">
        <v>4</v>
      </c>
      <c r="Q1712" s="16">
        <v>4</v>
      </c>
      <c r="R1712" s="16">
        <v>4</v>
      </c>
      <c r="S1712" s="16">
        <v>4</v>
      </c>
      <c r="T1712" s="18" t="s">
        <v>5696</v>
      </c>
      <c r="U1712" s="283" t="e">
        <v>#N/A</v>
      </c>
      <c r="V1712" s="18" t="s">
        <v>5700</v>
      </c>
      <c r="W1712" s="18">
        <v>0</v>
      </c>
      <c r="X1712" s="18">
        <v>0</v>
      </c>
      <c r="Y1712" s="18">
        <v>1</v>
      </c>
      <c r="Z1712" s="18">
        <v>1</v>
      </c>
      <c r="AA1712" s="18">
        <v>1</v>
      </c>
      <c r="AB1712" s="18">
        <v>0</v>
      </c>
      <c r="AC1712" s="316">
        <v>1</v>
      </c>
      <c r="AD1712" s="316">
        <v>1</v>
      </c>
      <c r="AE1712" s="302">
        <v>0.625</v>
      </c>
      <c r="AF1712" s="259"/>
      <c r="AG1712" s="259">
        <v>0</v>
      </c>
      <c r="AH1712" s="259">
        <v>1.06</v>
      </c>
      <c r="AI1712" s="259">
        <v>1.06</v>
      </c>
      <c r="AJ1712" s="259">
        <v>1.06</v>
      </c>
      <c r="AK1712" s="260">
        <v>1.06</v>
      </c>
      <c r="AL1712" s="260">
        <v>1.06</v>
      </c>
      <c r="AM1712" s="259">
        <v>2.12</v>
      </c>
      <c r="AN1712" s="18" t="s">
        <v>2234</v>
      </c>
      <c r="AO1712" s="18" t="s">
        <v>2236</v>
      </c>
      <c r="AP1712" s="18" t="s">
        <v>5693</v>
      </c>
    </row>
    <row r="1713" spans="1:42" x14ac:dyDescent="0.3">
      <c r="A1713" s="18" t="s">
        <v>1463</v>
      </c>
      <c r="B1713" s="18" t="s">
        <v>5664</v>
      </c>
      <c r="C1713" s="18" t="s">
        <v>1464</v>
      </c>
      <c r="D1713" s="18" t="s">
        <v>5666</v>
      </c>
      <c r="E1713" s="18" t="s">
        <v>5667</v>
      </c>
      <c r="F1713" s="18" t="s">
        <v>5668</v>
      </c>
      <c r="G1713" s="18" t="s">
        <v>5687</v>
      </c>
      <c r="H1713" s="18" t="s">
        <v>5688</v>
      </c>
      <c r="I1713" s="18"/>
      <c r="J1713" s="18"/>
      <c r="K1713" s="18">
        <v>14110206</v>
      </c>
      <c r="L1713" s="18" t="s">
        <v>5701</v>
      </c>
      <c r="M1713" s="18" t="s">
        <v>5702</v>
      </c>
      <c r="N1713" s="16">
        <v>20</v>
      </c>
      <c r="O1713" s="16">
        <v>380</v>
      </c>
      <c r="P1713" s="16">
        <v>380</v>
      </c>
      <c r="Q1713" s="16">
        <v>380</v>
      </c>
      <c r="R1713" s="16">
        <v>380</v>
      </c>
      <c r="S1713" s="16">
        <v>380</v>
      </c>
      <c r="T1713" s="18" t="s">
        <v>2234</v>
      </c>
      <c r="U1713" s="283" t="s">
        <v>2236</v>
      </c>
      <c r="V1713" s="18" t="s">
        <v>5703</v>
      </c>
      <c r="W1713" s="18">
        <v>1</v>
      </c>
      <c r="X1713" s="18">
        <v>0</v>
      </c>
      <c r="Y1713" s="18">
        <v>1</v>
      </c>
      <c r="Z1713" s="18">
        <v>1</v>
      </c>
      <c r="AA1713" s="18">
        <v>1</v>
      </c>
      <c r="AB1713" s="18">
        <v>0</v>
      </c>
      <c r="AC1713" s="316">
        <v>1</v>
      </c>
      <c r="AD1713" s="316">
        <v>1</v>
      </c>
      <c r="AE1713" s="302">
        <v>0.75</v>
      </c>
      <c r="AF1713" s="259"/>
      <c r="AG1713" s="259">
        <v>0</v>
      </c>
      <c r="AH1713" s="259">
        <v>1.1000000000000001</v>
      </c>
      <c r="AI1713" s="259">
        <v>1.1000000000000001</v>
      </c>
      <c r="AJ1713" s="259">
        <v>1.1000000000000001</v>
      </c>
      <c r="AK1713" s="260">
        <v>1.1000000000000001</v>
      </c>
      <c r="AL1713" s="260">
        <v>1.5</v>
      </c>
      <c r="AM1713" s="259">
        <v>2.6</v>
      </c>
      <c r="AN1713" s="18" t="s">
        <v>2234</v>
      </c>
      <c r="AO1713" s="18" t="s">
        <v>2236</v>
      </c>
      <c r="AP1713" s="10" t="s">
        <v>280</v>
      </c>
    </row>
    <row r="1714" spans="1:42" x14ac:dyDescent="0.3">
      <c r="A1714" s="18" t="s">
        <v>1463</v>
      </c>
      <c r="B1714" s="18" t="s">
        <v>5664</v>
      </c>
      <c r="C1714" s="18" t="s">
        <v>1464</v>
      </c>
      <c r="D1714" s="18" t="s">
        <v>5666</v>
      </c>
      <c r="E1714" s="18" t="s">
        <v>5667</v>
      </c>
      <c r="F1714" s="18" t="s">
        <v>5668</v>
      </c>
      <c r="G1714" s="18" t="s">
        <v>5687</v>
      </c>
      <c r="H1714" s="18" t="s">
        <v>5688</v>
      </c>
      <c r="I1714" s="18"/>
      <c r="J1714" s="18"/>
      <c r="K1714" s="18">
        <v>14110206</v>
      </c>
      <c r="L1714" s="18" t="s">
        <v>5701</v>
      </c>
      <c r="M1714" s="18" t="s">
        <v>5704</v>
      </c>
      <c r="N1714" s="16">
        <v>0</v>
      </c>
      <c r="O1714" s="16">
        <v>296</v>
      </c>
      <c r="P1714" s="16">
        <v>296</v>
      </c>
      <c r="Q1714" s="16">
        <v>296</v>
      </c>
      <c r="R1714" s="16">
        <v>296</v>
      </c>
      <c r="S1714" s="16">
        <v>296</v>
      </c>
      <c r="T1714" s="18" t="s">
        <v>2234</v>
      </c>
      <c r="U1714" s="283" t="s">
        <v>2236</v>
      </c>
      <c r="V1714" s="18" t="s">
        <v>5705</v>
      </c>
      <c r="W1714" s="18">
        <v>1</v>
      </c>
      <c r="X1714" s="18">
        <v>1</v>
      </c>
      <c r="Y1714" s="18">
        <v>1</v>
      </c>
      <c r="Z1714" s="18">
        <v>1</v>
      </c>
      <c r="AA1714" s="18">
        <v>1</v>
      </c>
      <c r="AB1714" s="18">
        <v>0</v>
      </c>
      <c r="AC1714" s="316">
        <v>1</v>
      </c>
      <c r="AD1714" s="316">
        <v>1</v>
      </c>
      <c r="AE1714" s="302">
        <v>0.875</v>
      </c>
      <c r="AF1714" s="259"/>
      <c r="AG1714" s="259">
        <v>0</v>
      </c>
      <c r="AH1714" s="259">
        <v>0.4</v>
      </c>
      <c r="AI1714" s="259">
        <v>0.4</v>
      </c>
      <c r="AJ1714" s="259">
        <v>0.4</v>
      </c>
      <c r="AK1714" s="260">
        <v>0.4</v>
      </c>
      <c r="AL1714" s="260">
        <v>0.4</v>
      </c>
      <c r="AM1714" s="259">
        <v>0.8</v>
      </c>
      <c r="AN1714" s="18" t="s">
        <v>2234</v>
      </c>
      <c r="AO1714" s="18" t="s">
        <v>2236</v>
      </c>
      <c r="AP1714" s="243" t="s">
        <v>5706</v>
      </c>
    </row>
    <row r="1715" spans="1:42" x14ac:dyDescent="0.3">
      <c r="A1715" s="18" t="s">
        <v>1463</v>
      </c>
      <c r="B1715" s="18" t="s">
        <v>5664</v>
      </c>
      <c r="C1715" s="18" t="s">
        <v>1464</v>
      </c>
      <c r="D1715" s="18" t="s">
        <v>5666</v>
      </c>
      <c r="E1715" s="18" t="s">
        <v>5667</v>
      </c>
      <c r="F1715" s="18" t="s">
        <v>5668</v>
      </c>
      <c r="G1715" s="18" t="s">
        <v>5687</v>
      </c>
      <c r="H1715" s="18" t="s">
        <v>5688</v>
      </c>
      <c r="I1715" s="18"/>
      <c r="J1715" s="18"/>
      <c r="K1715" s="18">
        <v>14110206</v>
      </c>
      <c r="L1715" s="18" t="s">
        <v>5701</v>
      </c>
      <c r="M1715" s="18" t="s">
        <v>5707</v>
      </c>
      <c r="N1715" s="16">
        <v>0</v>
      </c>
      <c r="O1715" s="16">
        <v>60</v>
      </c>
      <c r="P1715" s="16">
        <v>60</v>
      </c>
      <c r="Q1715" s="16">
        <v>60</v>
      </c>
      <c r="R1715" s="16">
        <v>60</v>
      </c>
      <c r="S1715" s="16">
        <v>60</v>
      </c>
      <c r="T1715" s="18" t="s">
        <v>2234</v>
      </c>
      <c r="U1715" s="283" t="s">
        <v>2236</v>
      </c>
      <c r="V1715" s="18" t="s">
        <v>5708</v>
      </c>
      <c r="W1715" s="18">
        <v>1</v>
      </c>
      <c r="X1715" s="18">
        <v>0</v>
      </c>
      <c r="Y1715" s="18">
        <v>1</v>
      </c>
      <c r="Z1715" s="18">
        <v>1</v>
      </c>
      <c r="AA1715" s="18">
        <v>1</v>
      </c>
      <c r="AB1715" s="18">
        <v>0</v>
      </c>
      <c r="AC1715" s="316">
        <v>1</v>
      </c>
      <c r="AD1715" s="316">
        <v>1</v>
      </c>
      <c r="AE1715" s="302">
        <v>0.75</v>
      </c>
      <c r="AF1715" s="259"/>
      <c r="AG1715" s="259">
        <v>0</v>
      </c>
      <c r="AH1715" s="259">
        <v>0.1</v>
      </c>
      <c r="AI1715" s="259">
        <v>0.1</v>
      </c>
      <c r="AJ1715" s="259">
        <v>0.1</v>
      </c>
      <c r="AK1715" s="260">
        <v>0.1</v>
      </c>
      <c r="AL1715" s="260">
        <v>0.1</v>
      </c>
      <c r="AM1715" s="259">
        <v>0.2</v>
      </c>
      <c r="AN1715" s="18" t="s">
        <v>2234</v>
      </c>
      <c r="AO1715" s="18" t="s">
        <v>2236</v>
      </c>
      <c r="AP1715" s="243" t="s">
        <v>280</v>
      </c>
    </row>
    <row r="1716" spans="1:42" x14ac:dyDescent="0.3">
      <c r="A1716" s="18" t="s">
        <v>1463</v>
      </c>
      <c r="B1716" s="18" t="s">
        <v>5664</v>
      </c>
      <c r="C1716" s="18" t="s">
        <v>1464</v>
      </c>
      <c r="D1716" s="18" t="s">
        <v>5666</v>
      </c>
      <c r="E1716" s="18" t="s">
        <v>5667</v>
      </c>
      <c r="F1716" s="18" t="s">
        <v>5668</v>
      </c>
      <c r="G1716" s="18" t="s">
        <v>5687</v>
      </c>
      <c r="H1716" s="18" t="s">
        <v>5688</v>
      </c>
      <c r="I1716" s="18"/>
      <c r="J1716" s="18"/>
      <c r="K1716" s="18">
        <v>14110207</v>
      </c>
      <c r="L1716" s="18" t="s">
        <v>5709</v>
      </c>
      <c r="M1716" s="18" t="s">
        <v>5710</v>
      </c>
      <c r="N1716" s="16">
        <v>0</v>
      </c>
      <c r="O1716" s="16">
        <v>1</v>
      </c>
      <c r="P1716" s="16">
        <v>0</v>
      </c>
      <c r="Q1716" s="16">
        <v>0</v>
      </c>
      <c r="R1716" s="16">
        <v>0</v>
      </c>
      <c r="S1716" s="16">
        <v>0</v>
      </c>
      <c r="T1716" s="18" t="s">
        <v>2234</v>
      </c>
      <c r="U1716" s="283" t="s">
        <v>2236</v>
      </c>
      <c r="V1716" s="18" t="s">
        <v>5711</v>
      </c>
      <c r="W1716" s="18">
        <v>1</v>
      </c>
      <c r="X1716" s="18">
        <v>1</v>
      </c>
      <c r="Y1716" s="18">
        <v>0</v>
      </c>
      <c r="Z1716" s="18">
        <v>1</v>
      </c>
      <c r="AA1716" s="18">
        <v>1</v>
      </c>
      <c r="AB1716" s="18">
        <v>1</v>
      </c>
      <c r="AC1716" s="316">
        <v>1</v>
      </c>
      <c r="AD1716" s="316">
        <v>1</v>
      </c>
      <c r="AE1716" s="302">
        <v>0.875</v>
      </c>
      <c r="AF1716" s="259"/>
      <c r="AG1716" s="259">
        <v>0</v>
      </c>
      <c r="AH1716" s="259"/>
      <c r="AI1716" s="259">
        <v>0.25</v>
      </c>
      <c r="AJ1716" s="259"/>
      <c r="AK1716" s="260">
        <v>0.1</v>
      </c>
      <c r="AL1716" s="260"/>
      <c r="AM1716" s="259">
        <v>0.1</v>
      </c>
      <c r="AN1716" s="18" t="s">
        <v>2234</v>
      </c>
      <c r="AO1716" s="18" t="s">
        <v>2236</v>
      </c>
      <c r="AP1716" s="243" t="s">
        <v>280</v>
      </c>
    </row>
    <row r="1717" spans="1:42" x14ac:dyDescent="0.3">
      <c r="A1717" s="18" t="s">
        <v>1463</v>
      </c>
      <c r="B1717" s="18" t="s">
        <v>5664</v>
      </c>
      <c r="C1717" s="18" t="s">
        <v>1464</v>
      </c>
      <c r="D1717" s="18" t="s">
        <v>5666</v>
      </c>
      <c r="E1717" s="18" t="s">
        <v>5667</v>
      </c>
      <c r="F1717" s="18" t="s">
        <v>5668</v>
      </c>
      <c r="G1717" s="18" t="s">
        <v>5687</v>
      </c>
      <c r="H1717" s="18" t="s">
        <v>5688</v>
      </c>
      <c r="I1717" s="18"/>
      <c r="J1717" s="18"/>
      <c r="K1717" s="18">
        <v>14110208</v>
      </c>
      <c r="L1717" s="18" t="s">
        <v>5712</v>
      </c>
      <c r="M1717" s="18" t="s">
        <v>5713</v>
      </c>
      <c r="N1717" s="16">
        <v>38</v>
      </c>
      <c r="O1717" s="16">
        <v>183</v>
      </c>
      <c r="P1717" s="16">
        <v>183</v>
      </c>
      <c r="Q1717" s="16">
        <v>183</v>
      </c>
      <c r="R1717" s="16">
        <v>183</v>
      </c>
      <c r="S1717" s="16">
        <v>183</v>
      </c>
      <c r="T1717" s="18" t="s">
        <v>2234</v>
      </c>
      <c r="U1717" s="283" t="s">
        <v>2236</v>
      </c>
      <c r="V1717" s="18" t="s">
        <v>5714</v>
      </c>
      <c r="W1717" s="18">
        <v>1</v>
      </c>
      <c r="X1717" s="18">
        <v>1</v>
      </c>
      <c r="Y1717" s="18">
        <v>1</v>
      </c>
      <c r="Z1717" s="18">
        <v>1</v>
      </c>
      <c r="AA1717" s="18">
        <v>1</v>
      </c>
      <c r="AB1717" s="18">
        <v>1</v>
      </c>
      <c r="AC1717" s="316">
        <v>1</v>
      </c>
      <c r="AD1717" s="316">
        <v>1</v>
      </c>
      <c r="AE1717" s="302">
        <v>1</v>
      </c>
      <c r="AF1717" s="259"/>
      <c r="AG1717" s="259">
        <v>0</v>
      </c>
      <c r="AH1717" s="259">
        <v>0.5</v>
      </c>
      <c r="AI1717" s="259">
        <v>0.5</v>
      </c>
      <c r="AJ1717" s="259">
        <v>0.5</v>
      </c>
      <c r="AK1717" s="260">
        <v>2.4</v>
      </c>
      <c r="AL1717" s="260">
        <v>0.5</v>
      </c>
      <c r="AM1717" s="259">
        <v>2.9</v>
      </c>
      <c r="AN1717" s="18" t="s">
        <v>2234</v>
      </c>
      <c r="AO1717" s="18" t="s">
        <v>2236</v>
      </c>
      <c r="AP1717" s="243" t="s">
        <v>280</v>
      </c>
    </row>
    <row r="1718" spans="1:42" x14ac:dyDescent="0.3">
      <c r="A1718" s="18" t="s">
        <v>1463</v>
      </c>
      <c r="B1718" s="18" t="s">
        <v>5664</v>
      </c>
      <c r="C1718" s="18" t="s">
        <v>1464</v>
      </c>
      <c r="D1718" s="18" t="s">
        <v>5666</v>
      </c>
      <c r="E1718" s="18" t="s">
        <v>5667</v>
      </c>
      <c r="F1718" s="18" t="s">
        <v>5668</v>
      </c>
      <c r="G1718" s="18" t="s">
        <v>5687</v>
      </c>
      <c r="H1718" s="18" t="s">
        <v>5688</v>
      </c>
      <c r="I1718" s="18"/>
      <c r="J1718" s="18"/>
      <c r="K1718" s="18">
        <v>14110209</v>
      </c>
      <c r="L1718" s="18" t="s">
        <v>5715</v>
      </c>
      <c r="M1718" s="18" t="s">
        <v>5716</v>
      </c>
      <c r="N1718" s="16">
        <v>0</v>
      </c>
      <c r="O1718" s="16">
        <v>0</v>
      </c>
      <c r="P1718" s="16">
        <v>1</v>
      </c>
      <c r="Q1718" s="16">
        <v>0</v>
      </c>
      <c r="R1718" s="16">
        <v>0</v>
      </c>
      <c r="S1718" s="16">
        <v>0</v>
      </c>
      <c r="T1718" s="18" t="s">
        <v>2234</v>
      </c>
      <c r="U1718" s="283" t="s">
        <v>2236</v>
      </c>
      <c r="V1718" s="18" t="s">
        <v>5717</v>
      </c>
      <c r="W1718" s="18">
        <v>1</v>
      </c>
      <c r="X1718" s="18">
        <v>1</v>
      </c>
      <c r="Y1718" s="18">
        <v>0</v>
      </c>
      <c r="Z1718" s="18">
        <v>1</v>
      </c>
      <c r="AA1718" s="18">
        <v>1</v>
      </c>
      <c r="AB1718" s="18">
        <v>1</v>
      </c>
      <c r="AC1718" s="316">
        <v>1</v>
      </c>
      <c r="AD1718" s="316">
        <v>1</v>
      </c>
      <c r="AE1718" s="302">
        <v>0.875</v>
      </c>
      <c r="AF1718" s="259"/>
      <c r="AG1718" s="259">
        <v>0</v>
      </c>
      <c r="AH1718" s="259"/>
      <c r="AI1718" s="259">
        <v>0.35</v>
      </c>
      <c r="AJ1718" s="259"/>
      <c r="AK1718" s="260">
        <v>0.05</v>
      </c>
      <c r="AL1718" s="260"/>
      <c r="AM1718" s="259">
        <v>0.05</v>
      </c>
      <c r="AN1718" s="18" t="s">
        <v>2234</v>
      </c>
      <c r="AO1718" s="18" t="s">
        <v>2236</v>
      </c>
      <c r="AP1718" s="243" t="s">
        <v>280</v>
      </c>
    </row>
    <row r="1719" spans="1:42" x14ac:dyDescent="0.3">
      <c r="A1719" s="18" t="s">
        <v>1463</v>
      </c>
      <c r="B1719" s="18" t="s">
        <v>5664</v>
      </c>
      <c r="C1719" s="18" t="s">
        <v>1464</v>
      </c>
      <c r="D1719" s="18" t="s">
        <v>5666</v>
      </c>
      <c r="E1719" s="18" t="s">
        <v>5667</v>
      </c>
      <c r="F1719" s="18" t="s">
        <v>5668</v>
      </c>
      <c r="G1719" s="18" t="s">
        <v>5687</v>
      </c>
      <c r="H1719" s="18" t="s">
        <v>5688</v>
      </c>
      <c r="I1719" s="18"/>
      <c r="J1719" s="18"/>
      <c r="K1719" s="18">
        <v>14110210</v>
      </c>
      <c r="L1719" s="18" t="s">
        <v>5718</v>
      </c>
      <c r="M1719" s="18" t="s">
        <v>5719</v>
      </c>
      <c r="N1719" s="16">
        <v>2</v>
      </c>
      <c r="O1719" s="16">
        <v>2</v>
      </c>
      <c r="P1719" s="16">
        <v>2</v>
      </c>
      <c r="Q1719" s="16">
        <v>2</v>
      </c>
      <c r="R1719" s="16">
        <v>2</v>
      </c>
      <c r="S1719" s="16">
        <v>2</v>
      </c>
      <c r="T1719" s="18" t="s">
        <v>2234</v>
      </c>
      <c r="U1719" s="283" t="s">
        <v>2236</v>
      </c>
      <c r="V1719" s="18" t="s">
        <v>5720</v>
      </c>
      <c r="W1719" s="18">
        <v>1</v>
      </c>
      <c r="X1719" s="18">
        <v>1</v>
      </c>
      <c r="Y1719" s="18">
        <v>1</v>
      </c>
      <c r="Z1719" s="18">
        <v>1</v>
      </c>
      <c r="AA1719" s="18">
        <v>1</v>
      </c>
      <c r="AB1719" s="18">
        <v>1</v>
      </c>
      <c r="AC1719" s="316">
        <v>1</v>
      </c>
      <c r="AD1719" s="316">
        <v>1</v>
      </c>
      <c r="AE1719" s="302">
        <v>1</v>
      </c>
      <c r="AF1719" s="259"/>
      <c r="AG1719" s="259">
        <v>0</v>
      </c>
      <c r="AH1719" s="259">
        <v>0.02</v>
      </c>
      <c r="AI1719" s="259">
        <v>0.02</v>
      </c>
      <c r="AJ1719" s="259">
        <v>0.02</v>
      </c>
      <c r="AK1719" s="260">
        <v>0.08</v>
      </c>
      <c r="AL1719" s="260">
        <v>0.02</v>
      </c>
      <c r="AM1719" s="259">
        <v>0.1</v>
      </c>
      <c r="AN1719" s="18" t="s">
        <v>2234</v>
      </c>
      <c r="AO1719" s="18" t="s">
        <v>2236</v>
      </c>
      <c r="AP1719" s="243" t="s">
        <v>280</v>
      </c>
    </row>
    <row r="1720" spans="1:42" x14ac:dyDescent="0.3">
      <c r="A1720" s="18" t="s">
        <v>1463</v>
      </c>
      <c r="B1720" s="18" t="s">
        <v>5664</v>
      </c>
      <c r="C1720" s="18" t="s">
        <v>1464</v>
      </c>
      <c r="D1720" s="18" t="s">
        <v>5666</v>
      </c>
      <c r="E1720" s="18" t="s">
        <v>5667</v>
      </c>
      <c r="F1720" s="18" t="s">
        <v>5668</v>
      </c>
      <c r="G1720" s="18" t="s">
        <v>5687</v>
      </c>
      <c r="H1720" s="18" t="s">
        <v>5688</v>
      </c>
      <c r="I1720" s="18"/>
      <c r="J1720" s="18"/>
      <c r="K1720" s="18">
        <v>14110210</v>
      </c>
      <c r="L1720" s="18" t="s">
        <v>5718</v>
      </c>
      <c r="M1720" s="18" t="s">
        <v>5721</v>
      </c>
      <c r="N1720" s="16">
        <v>0</v>
      </c>
      <c r="O1720" s="16">
        <v>2</v>
      </c>
      <c r="P1720" s="16">
        <v>2</v>
      </c>
      <c r="Q1720" s="16">
        <v>2</v>
      </c>
      <c r="R1720" s="16">
        <v>2</v>
      </c>
      <c r="S1720" s="16">
        <v>2</v>
      </c>
      <c r="T1720" s="18" t="s">
        <v>2172</v>
      </c>
      <c r="U1720" s="283" t="s">
        <v>2236</v>
      </c>
      <c r="V1720" s="18" t="s">
        <v>5722</v>
      </c>
      <c r="W1720" s="18">
        <v>1</v>
      </c>
      <c r="X1720" s="18">
        <v>1</v>
      </c>
      <c r="Y1720" s="18">
        <v>1</v>
      </c>
      <c r="Z1720" s="18">
        <v>1</v>
      </c>
      <c r="AA1720" s="18">
        <v>1</v>
      </c>
      <c r="AB1720" s="18">
        <v>0</v>
      </c>
      <c r="AC1720" s="316">
        <v>1</v>
      </c>
      <c r="AD1720" s="316">
        <v>1</v>
      </c>
      <c r="AE1720" s="302">
        <v>0.875</v>
      </c>
      <c r="AF1720" s="259"/>
      <c r="AG1720" s="259">
        <v>0</v>
      </c>
      <c r="AH1720" s="259">
        <v>0.01</v>
      </c>
      <c r="AI1720" s="259">
        <v>0.01</v>
      </c>
      <c r="AJ1720" s="259">
        <v>0.01</v>
      </c>
      <c r="AK1720" s="260">
        <v>0.01</v>
      </c>
      <c r="AL1720" s="260">
        <v>0.01</v>
      </c>
      <c r="AM1720" s="259">
        <v>0.02</v>
      </c>
      <c r="AN1720" s="18" t="s">
        <v>2234</v>
      </c>
      <c r="AO1720" s="18" t="s">
        <v>2236</v>
      </c>
      <c r="AP1720" s="243" t="s">
        <v>280</v>
      </c>
    </row>
    <row r="1721" spans="1:42" x14ac:dyDescent="0.3">
      <c r="A1721" s="18" t="s">
        <v>1463</v>
      </c>
      <c r="B1721" s="18" t="s">
        <v>5664</v>
      </c>
      <c r="C1721" s="18" t="s">
        <v>1464</v>
      </c>
      <c r="D1721" s="18" t="s">
        <v>5666</v>
      </c>
      <c r="E1721" s="18" t="s">
        <v>5667</v>
      </c>
      <c r="F1721" s="18" t="s">
        <v>5668</v>
      </c>
      <c r="G1721" s="18" t="s">
        <v>5687</v>
      </c>
      <c r="H1721" s="18" t="s">
        <v>5688</v>
      </c>
      <c r="I1721" s="18"/>
      <c r="J1721" s="18"/>
      <c r="K1721" s="18">
        <v>14110211</v>
      </c>
      <c r="L1721" s="18" t="s">
        <v>5723</v>
      </c>
      <c r="M1721" s="18" t="s">
        <v>5724</v>
      </c>
      <c r="N1721" s="16">
        <v>37</v>
      </c>
      <c r="O1721" s="16">
        <v>70</v>
      </c>
      <c r="P1721" s="16">
        <v>70</v>
      </c>
      <c r="Q1721" s="16">
        <v>70</v>
      </c>
      <c r="R1721" s="16">
        <v>70</v>
      </c>
      <c r="S1721" s="16">
        <v>70</v>
      </c>
      <c r="T1721" s="18" t="s">
        <v>2234</v>
      </c>
      <c r="U1721" s="283" t="s">
        <v>2236</v>
      </c>
      <c r="V1721" s="18" t="s">
        <v>5725</v>
      </c>
      <c r="W1721" s="18">
        <v>1</v>
      </c>
      <c r="X1721" s="18">
        <v>1</v>
      </c>
      <c r="Y1721" s="18">
        <v>0</v>
      </c>
      <c r="Z1721" s="18">
        <v>1</v>
      </c>
      <c r="AA1721" s="18">
        <v>1</v>
      </c>
      <c r="AB1721" s="18">
        <v>0</v>
      </c>
      <c r="AC1721" s="316">
        <v>1</v>
      </c>
      <c r="AD1721" s="316">
        <v>1</v>
      </c>
      <c r="AE1721" s="302">
        <v>0.75</v>
      </c>
      <c r="AF1721" s="259"/>
      <c r="AG1721" s="259">
        <v>0</v>
      </c>
      <c r="AH1721" s="259">
        <v>0.38400000000000001</v>
      </c>
      <c r="AI1721" s="259">
        <v>0.38400000000000001</v>
      </c>
      <c r="AJ1721" s="259">
        <v>0.38400000000000001</v>
      </c>
      <c r="AK1721" s="260">
        <v>0.4</v>
      </c>
      <c r="AL1721" s="260">
        <v>0.38400000000000001</v>
      </c>
      <c r="AM1721" s="259">
        <v>0.78400000000000003</v>
      </c>
      <c r="AN1721" s="18" t="s">
        <v>2234</v>
      </c>
      <c r="AO1721" s="18" t="s">
        <v>2236</v>
      </c>
      <c r="AP1721" s="243" t="s">
        <v>280</v>
      </c>
    </row>
    <row r="1722" spans="1:42" x14ac:dyDescent="0.3">
      <c r="A1722" s="18" t="s">
        <v>1463</v>
      </c>
      <c r="B1722" s="18" t="s">
        <v>5664</v>
      </c>
      <c r="C1722" s="18" t="s">
        <v>1464</v>
      </c>
      <c r="D1722" s="18" t="s">
        <v>5666</v>
      </c>
      <c r="E1722" s="18" t="s">
        <v>5667</v>
      </c>
      <c r="F1722" s="18" t="s">
        <v>5668</v>
      </c>
      <c r="G1722" s="18" t="s">
        <v>5687</v>
      </c>
      <c r="H1722" s="18" t="s">
        <v>5688</v>
      </c>
      <c r="I1722" s="18"/>
      <c r="J1722" s="18"/>
      <c r="K1722" s="18">
        <v>14110211</v>
      </c>
      <c r="L1722" s="18" t="s">
        <v>5723</v>
      </c>
      <c r="M1722" s="18" t="s">
        <v>5726</v>
      </c>
      <c r="N1722" s="16">
        <v>1</v>
      </c>
      <c r="O1722" s="16">
        <v>1</v>
      </c>
      <c r="P1722" s="16">
        <v>1</v>
      </c>
      <c r="Q1722" s="16">
        <v>1</v>
      </c>
      <c r="R1722" s="16">
        <v>1</v>
      </c>
      <c r="S1722" s="16">
        <v>1</v>
      </c>
      <c r="T1722" s="18" t="s">
        <v>2234</v>
      </c>
      <c r="U1722" s="283" t="s">
        <v>2236</v>
      </c>
      <c r="V1722" s="18" t="s">
        <v>5727</v>
      </c>
      <c r="W1722" s="18">
        <v>1</v>
      </c>
      <c r="X1722" s="18">
        <v>1</v>
      </c>
      <c r="Y1722" s="18">
        <v>0</v>
      </c>
      <c r="Z1722" s="18">
        <v>1</v>
      </c>
      <c r="AA1722" s="18">
        <v>1</v>
      </c>
      <c r="AB1722" s="18">
        <v>0</v>
      </c>
      <c r="AC1722" s="316">
        <v>1</v>
      </c>
      <c r="AD1722" s="316">
        <v>1</v>
      </c>
      <c r="AE1722" s="302">
        <v>0.75</v>
      </c>
      <c r="AF1722" s="259"/>
      <c r="AG1722" s="259">
        <v>0</v>
      </c>
      <c r="AH1722" s="259">
        <v>0.3</v>
      </c>
      <c r="AI1722" s="259">
        <v>0.3</v>
      </c>
      <c r="AJ1722" s="259">
        <v>0.3</v>
      </c>
      <c r="AK1722" s="260">
        <v>0.05</v>
      </c>
      <c r="AL1722" s="260">
        <v>0.3</v>
      </c>
      <c r="AM1722" s="259">
        <v>0.35</v>
      </c>
      <c r="AN1722" s="18" t="s">
        <v>2234</v>
      </c>
      <c r="AO1722" s="18" t="s">
        <v>2236</v>
      </c>
      <c r="AP1722" s="18" t="s">
        <v>5676</v>
      </c>
    </row>
    <row r="1723" spans="1:42" x14ac:dyDescent="0.3">
      <c r="A1723" s="18" t="s">
        <v>1463</v>
      </c>
      <c r="B1723" s="18" t="s">
        <v>5664</v>
      </c>
      <c r="C1723" s="18" t="s">
        <v>1464</v>
      </c>
      <c r="D1723" s="18" t="s">
        <v>5666</v>
      </c>
      <c r="E1723" s="18" t="s">
        <v>5667</v>
      </c>
      <c r="F1723" s="18" t="s">
        <v>5668</v>
      </c>
      <c r="G1723" s="18" t="s">
        <v>5687</v>
      </c>
      <c r="H1723" s="18" t="s">
        <v>5688</v>
      </c>
      <c r="I1723" s="18"/>
      <c r="J1723" s="18"/>
      <c r="K1723" s="18">
        <v>14110212</v>
      </c>
      <c r="L1723" s="18" t="s">
        <v>5728</v>
      </c>
      <c r="M1723" s="18" t="s">
        <v>5729</v>
      </c>
      <c r="N1723" s="16">
        <v>0</v>
      </c>
      <c r="O1723" s="16">
        <v>1</v>
      </c>
      <c r="P1723" s="16">
        <v>0</v>
      </c>
      <c r="Q1723" s="16">
        <v>0</v>
      </c>
      <c r="R1723" s="16">
        <v>0</v>
      </c>
      <c r="S1723" s="16">
        <v>0</v>
      </c>
      <c r="T1723" s="18" t="s">
        <v>2234</v>
      </c>
      <c r="U1723" s="283" t="s">
        <v>2236</v>
      </c>
      <c r="V1723" s="18" t="s">
        <v>5730</v>
      </c>
      <c r="W1723" s="18">
        <v>1</v>
      </c>
      <c r="X1723" s="18">
        <v>1</v>
      </c>
      <c r="Y1723" s="18">
        <v>0</v>
      </c>
      <c r="Z1723" s="18">
        <v>1</v>
      </c>
      <c r="AA1723" s="18">
        <v>1</v>
      </c>
      <c r="AB1723" s="18">
        <v>1</v>
      </c>
      <c r="AC1723" s="316">
        <v>1</v>
      </c>
      <c r="AD1723" s="316">
        <v>1</v>
      </c>
      <c r="AE1723" s="302">
        <v>0.875</v>
      </c>
      <c r="AF1723" s="259"/>
      <c r="AG1723" s="259">
        <v>0</v>
      </c>
      <c r="AH1723" s="259">
        <v>0.08</v>
      </c>
      <c r="AI1723" s="259">
        <v>0</v>
      </c>
      <c r="AJ1723" s="259">
        <v>0</v>
      </c>
      <c r="AK1723" s="260"/>
      <c r="AL1723" s="260"/>
      <c r="AM1723" s="259">
        <v>0</v>
      </c>
      <c r="AN1723" s="18" t="s">
        <v>2234</v>
      </c>
      <c r="AO1723" s="18" t="s">
        <v>2236</v>
      </c>
      <c r="AP1723" s="18" t="s">
        <v>2172</v>
      </c>
    </row>
    <row r="1724" spans="1:42" x14ac:dyDescent="0.3">
      <c r="A1724" s="18" t="s">
        <v>1463</v>
      </c>
      <c r="B1724" s="18" t="s">
        <v>5664</v>
      </c>
      <c r="C1724" s="18" t="s">
        <v>1464</v>
      </c>
      <c r="D1724" s="18" t="s">
        <v>5666</v>
      </c>
      <c r="E1724" s="18" t="s">
        <v>5667</v>
      </c>
      <c r="F1724" s="18" t="s">
        <v>5668</v>
      </c>
      <c r="G1724" s="18" t="s">
        <v>5687</v>
      </c>
      <c r="H1724" s="18" t="s">
        <v>5688</v>
      </c>
      <c r="I1724" s="18"/>
      <c r="J1724" s="18"/>
      <c r="K1724" s="18">
        <v>14110212</v>
      </c>
      <c r="L1724" s="18" t="s">
        <v>5728</v>
      </c>
      <c r="M1724" s="18" t="s">
        <v>5731</v>
      </c>
      <c r="N1724" s="16">
        <v>0</v>
      </c>
      <c r="O1724" s="16">
        <v>36</v>
      </c>
      <c r="P1724" s="16">
        <v>70</v>
      </c>
      <c r="Q1724" s="16">
        <v>70</v>
      </c>
      <c r="R1724" s="16">
        <v>70</v>
      </c>
      <c r="S1724" s="16">
        <v>70</v>
      </c>
      <c r="T1724" s="18" t="s">
        <v>2234</v>
      </c>
      <c r="U1724" s="283" t="s">
        <v>2236</v>
      </c>
      <c r="V1724" s="18" t="s">
        <v>5732</v>
      </c>
      <c r="W1724" s="18">
        <v>1</v>
      </c>
      <c r="X1724" s="18">
        <v>1</v>
      </c>
      <c r="Y1724" s="18">
        <v>0</v>
      </c>
      <c r="Z1724" s="18">
        <v>1</v>
      </c>
      <c r="AA1724" s="18">
        <v>1</v>
      </c>
      <c r="AB1724" s="18">
        <v>1</v>
      </c>
      <c r="AC1724" s="316">
        <v>1</v>
      </c>
      <c r="AD1724" s="316">
        <v>1</v>
      </c>
      <c r="AE1724" s="302">
        <v>0.875</v>
      </c>
      <c r="AF1724" s="259"/>
      <c r="AG1724" s="259">
        <v>0</v>
      </c>
      <c r="AH1724" s="259">
        <v>0.6</v>
      </c>
      <c r="AI1724" s="259">
        <v>0.6</v>
      </c>
      <c r="AJ1724" s="259">
        <v>0.6</v>
      </c>
      <c r="AK1724" s="260">
        <v>3</v>
      </c>
      <c r="AL1724" s="260">
        <v>0.6</v>
      </c>
      <c r="AM1724" s="259">
        <v>3.6</v>
      </c>
      <c r="AN1724" s="18" t="s">
        <v>2234</v>
      </c>
      <c r="AO1724" s="18" t="s">
        <v>2236</v>
      </c>
      <c r="AP1724" s="243" t="s">
        <v>280</v>
      </c>
    </row>
    <row r="1725" spans="1:42" x14ac:dyDescent="0.3">
      <c r="A1725" s="18" t="s">
        <v>1463</v>
      </c>
      <c r="B1725" s="18" t="s">
        <v>5664</v>
      </c>
      <c r="C1725" s="18" t="s">
        <v>1464</v>
      </c>
      <c r="D1725" s="18" t="s">
        <v>5666</v>
      </c>
      <c r="E1725" s="18" t="s">
        <v>5667</v>
      </c>
      <c r="F1725" s="18" t="s">
        <v>5668</v>
      </c>
      <c r="G1725" s="18" t="s">
        <v>5687</v>
      </c>
      <c r="H1725" s="18" t="s">
        <v>5688</v>
      </c>
      <c r="I1725" s="18"/>
      <c r="J1725" s="18"/>
      <c r="K1725" s="18">
        <v>14110213</v>
      </c>
      <c r="L1725" s="18" t="s">
        <v>5733</v>
      </c>
      <c r="M1725" s="18" t="s">
        <v>5734</v>
      </c>
      <c r="N1725" s="16">
        <v>12</v>
      </c>
      <c r="O1725" s="16">
        <v>5</v>
      </c>
      <c r="P1725" s="16">
        <v>5</v>
      </c>
      <c r="Q1725" s="16">
        <v>5</v>
      </c>
      <c r="R1725" s="16">
        <v>10</v>
      </c>
      <c r="S1725" s="16">
        <v>15</v>
      </c>
      <c r="T1725" s="18" t="s">
        <v>5676</v>
      </c>
      <c r="U1725" s="283" t="s">
        <v>5735</v>
      </c>
      <c r="V1725" s="18" t="s">
        <v>5736</v>
      </c>
      <c r="W1725" s="18">
        <v>1</v>
      </c>
      <c r="X1725" s="18">
        <v>1</v>
      </c>
      <c r="Y1725" s="18">
        <v>0</v>
      </c>
      <c r="Z1725" s="18">
        <v>1</v>
      </c>
      <c r="AA1725" s="18">
        <v>1</v>
      </c>
      <c r="AB1725" s="18">
        <v>0</v>
      </c>
      <c r="AC1725" s="316">
        <v>1</v>
      </c>
      <c r="AD1725" s="316">
        <v>1</v>
      </c>
      <c r="AE1725" s="302">
        <v>0.75</v>
      </c>
      <c r="AF1725" s="259"/>
      <c r="AG1725" s="259">
        <v>0</v>
      </c>
      <c r="AH1725" s="259">
        <v>0.4</v>
      </c>
      <c r="AI1725" s="259">
        <v>0.4</v>
      </c>
      <c r="AJ1725" s="259">
        <v>0.4</v>
      </c>
      <c r="AK1725" s="260">
        <v>0.4</v>
      </c>
      <c r="AL1725" s="260">
        <v>0.4</v>
      </c>
      <c r="AM1725" s="259">
        <v>0.8</v>
      </c>
      <c r="AN1725" s="18" t="s">
        <v>5676</v>
      </c>
      <c r="AO1725" s="18" t="s">
        <v>5735</v>
      </c>
      <c r="AP1725" s="18" t="s">
        <v>2234</v>
      </c>
    </row>
    <row r="1726" spans="1:42" x14ac:dyDescent="0.3">
      <c r="A1726" s="18" t="s">
        <v>1463</v>
      </c>
      <c r="B1726" s="18" t="s">
        <v>5664</v>
      </c>
      <c r="C1726" s="18" t="s">
        <v>1464</v>
      </c>
      <c r="D1726" s="18" t="s">
        <v>5666</v>
      </c>
      <c r="E1726" s="18" t="s">
        <v>5667</v>
      </c>
      <c r="F1726" s="18" t="s">
        <v>5668</v>
      </c>
      <c r="G1726" s="18" t="s">
        <v>5737</v>
      </c>
      <c r="H1726" s="157" t="s">
        <v>5738</v>
      </c>
      <c r="I1726" s="18" t="s">
        <v>5739</v>
      </c>
      <c r="J1726" s="18" t="s">
        <v>5740</v>
      </c>
      <c r="K1726" s="18" t="s">
        <v>5741</v>
      </c>
      <c r="L1726" s="18" t="s">
        <v>5742</v>
      </c>
      <c r="M1726" s="18" t="s">
        <v>5743</v>
      </c>
      <c r="N1726" s="16"/>
      <c r="O1726" s="16" t="s">
        <v>5744</v>
      </c>
      <c r="P1726" s="16" t="s">
        <v>5745</v>
      </c>
      <c r="Q1726" s="261" t="s">
        <v>5746</v>
      </c>
      <c r="R1726" s="16" t="s">
        <v>5747</v>
      </c>
      <c r="S1726" s="16" t="s">
        <v>271</v>
      </c>
      <c r="T1726" s="18" t="s">
        <v>2234</v>
      </c>
      <c r="U1726" s="283" t="s">
        <v>2236</v>
      </c>
      <c r="V1726" s="18" t="s">
        <v>5748</v>
      </c>
      <c r="W1726" s="18">
        <v>1</v>
      </c>
      <c r="X1726" s="18">
        <v>1</v>
      </c>
      <c r="Y1726" s="18">
        <v>1</v>
      </c>
      <c r="Z1726" s="18">
        <v>1</v>
      </c>
      <c r="AA1726" s="18">
        <v>1</v>
      </c>
      <c r="AB1726" s="18">
        <v>0</v>
      </c>
      <c r="AC1726" s="316">
        <v>1</v>
      </c>
      <c r="AD1726" s="316">
        <v>1</v>
      </c>
      <c r="AE1726" s="302">
        <v>0.875</v>
      </c>
      <c r="AF1726" s="259"/>
      <c r="AG1726" s="259">
        <v>0</v>
      </c>
      <c r="AH1726" s="259"/>
      <c r="AI1726" s="259">
        <v>7.0000000000000007E-2</v>
      </c>
      <c r="AJ1726" s="259">
        <v>7.0000000000000007E-2</v>
      </c>
      <c r="AK1726" s="260">
        <v>7.0000000000000007E-2</v>
      </c>
      <c r="AL1726" s="260">
        <v>7.0000000000000007E-2</v>
      </c>
      <c r="AM1726" s="259">
        <v>0.14000000000000001</v>
      </c>
      <c r="AN1726" s="18" t="s">
        <v>2172</v>
      </c>
      <c r="AO1726" s="18" t="s">
        <v>2236</v>
      </c>
      <c r="AP1726" s="18" t="s">
        <v>5749</v>
      </c>
    </row>
    <row r="1727" spans="1:42" x14ac:dyDescent="0.3">
      <c r="A1727" s="18" t="s">
        <v>1463</v>
      </c>
      <c r="B1727" s="18" t="s">
        <v>5664</v>
      </c>
      <c r="C1727" s="18" t="s">
        <v>1464</v>
      </c>
      <c r="D1727" s="18" t="s">
        <v>5666</v>
      </c>
      <c r="E1727" s="18" t="s">
        <v>5667</v>
      </c>
      <c r="F1727" s="18" t="s">
        <v>5668</v>
      </c>
      <c r="G1727" s="18" t="s">
        <v>5737</v>
      </c>
      <c r="H1727" s="157" t="s">
        <v>5738</v>
      </c>
      <c r="I1727" s="18" t="s">
        <v>5750</v>
      </c>
      <c r="J1727" s="18" t="s">
        <v>5751</v>
      </c>
      <c r="K1727" s="18" t="s">
        <v>5752</v>
      </c>
      <c r="L1727" s="283" t="s">
        <v>5753</v>
      </c>
      <c r="M1727" s="18" t="s">
        <v>5754</v>
      </c>
      <c r="N1727" s="16" t="s">
        <v>271</v>
      </c>
      <c r="O1727" s="16">
        <v>20</v>
      </c>
      <c r="P1727" s="16">
        <v>35</v>
      </c>
      <c r="Q1727" s="16">
        <v>50</v>
      </c>
      <c r="R1727" s="16">
        <v>75</v>
      </c>
      <c r="S1727" s="16">
        <v>100</v>
      </c>
      <c r="T1727" s="18" t="s">
        <v>5755</v>
      </c>
      <c r="U1727" s="283" t="s">
        <v>2236</v>
      </c>
      <c r="V1727" s="14" t="s">
        <v>5756</v>
      </c>
      <c r="W1727" s="14">
        <v>1</v>
      </c>
      <c r="X1727" s="14">
        <v>1</v>
      </c>
      <c r="Y1727" s="14">
        <v>1</v>
      </c>
      <c r="Z1727" s="14">
        <v>1</v>
      </c>
      <c r="AA1727" s="14">
        <v>1</v>
      </c>
      <c r="AB1727" s="14">
        <v>1</v>
      </c>
      <c r="AC1727" s="316">
        <v>1</v>
      </c>
      <c r="AD1727" s="316">
        <v>1</v>
      </c>
      <c r="AE1727" s="302">
        <v>1</v>
      </c>
      <c r="AF1727" s="259"/>
      <c r="AG1727" s="259">
        <v>0</v>
      </c>
      <c r="AH1727" s="259">
        <v>286</v>
      </c>
      <c r="AI1727" s="259">
        <v>317</v>
      </c>
      <c r="AJ1727" s="259">
        <v>641</v>
      </c>
      <c r="AK1727" s="260">
        <v>0.2</v>
      </c>
      <c r="AL1727" s="260">
        <v>1.92</v>
      </c>
      <c r="AM1727" s="259">
        <v>3.84</v>
      </c>
      <c r="AN1727" s="18" t="s">
        <v>2234</v>
      </c>
      <c r="AO1727" s="18" t="s">
        <v>2236</v>
      </c>
      <c r="AP1727" s="18" t="s">
        <v>1345</v>
      </c>
    </row>
    <row r="1728" spans="1:42" x14ac:dyDescent="0.3">
      <c r="A1728" s="18" t="s">
        <v>1463</v>
      </c>
      <c r="B1728" s="18" t="s">
        <v>5664</v>
      </c>
      <c r="C1728" s="18" t="s">
        <v>1464</v>
      </c>
      <c r="D1728" s="18" t="s">
        <v>5666</v>
      </c>
      <c r="E1728" s="18" t="s">
        <v>5667</v>
      </c>
      <c r="F1728" s="18" t="s">
        <v>5668</v>
      </c>
      <c r="G1728" s="18" t="s">
        <v>5737</v>
      </c>
      <c r="H1728" s="157" t="s">
        <v>5738</v>
      </c>
      <c r="I1728" s="18" t="s">
        <v>5750</v>
      </c>
      <c r="J1728" s="18" t="s">
        <v>5751</v>
      </c>
      <c r="K1728" s="18" t="s">
        <v>5752</v>
      </c>
      <c r="L1728" s="283" t="s">
        <v>5753</v>
      </c>
      <c r="M1728" s="18" t="s">
        <v>5757</v>
      </c>
      <c r="N1728" s="16"/>
      <c r="O1728" s="38">
        <v>1</v>
      </c>
      <c r="P1728" s="38">
        <v>1</v>
      </c>
      <c r="Q1728" s="38">
        <v>1</v>
      </c>
      <c r="R1728" s="38">
        <v>1</v>
      </c>
      <c r="S1728" s="38">
        <v>1</v>
      </c>
      <c r="T1728" s="18" t="s">
        <v>2234</v>
      </c>
      <c r="U1728" s="283" t="s">
        <v>2236</v>
      </c>
      <c r="V1728" s="14" t="s">
        <v>5758</v>
      </c>
      <c r="W1728" s="14">
        <v>1</v>
      </c>
      <c r="X1728" s="14">
        <v>1</v>
      </c>
      <c r="Y1728" s="14">
        <v>1</v>
      </c>
      <c r="Z1728" s="14">
        <v>1</v>
      </c>
      <c r="AA1728" s="14">
        <v>1</v>
      </c>
      <c r="AB1728" s="14">
        <v>1</v>
      </c>
      <c r="AC1728" s="316">
        <v>1</v>
      </c>
      <c r="AD1728" s="316">
        <v>1</v>
      </c>
      <c r="AE1728" s="302">
        <v>1</v>
      </c>
      <c r="AF1728" s="259"/>
      <c r="AG1728" s="259">
        <v>0</v>
      </c>
      <c r="AH1728" s="259"/>
      <c r="AI1728" s="259"/>
      <c r="AJ1728" s="259"/>
      <c r="AK1728" s="260"/>
      <c r="AL1728" s="260"/>
      <c r="AM1728" s="259">
        <v>0</v>
      </c>
      <c r="AN1728" s="18" t="s">
        <v>2234</v>
      </c>
      <c r="AO1728" s="18" t="s">
        <v>2236</v>
      </c>
      <c r="AP1728" s="18" t="s">
        <v>5759</v>
      </c>
    </row>
    <row r="1729" spans="1:42" x14ac:dyDescent="0.3">
      <c r="A1729" s="18" t="s">
        <v>1463</v>
      </c>
      <c r="B1729" s="18" t="s">
        <v>5664</v>
      </c>
      <c r="C1729" s="18" t="s">
        <v>1464</v>
      </c>
      <c r="D1729" s="18" t="s">
        <v>5666</v>
      </c>
      <c r="E1729" s="18" t="s">
        <v>5667</v>
      </c>
      <c r="F1729" s="18" t="s">
        <v>5668</v>
      </c>
      <c r="G1729" s="18" t="s">
        <v>5737</v>
      </c>
      <c r="H1729" s="157" t="s">
        <v>5738</v>
      </c>
      <c r="I1729" s="18" t="s">
        <v>5750</v>
      </c>
      <c r="J1729" s="18" t="s">
        <v>5751</v>
      </c>
      <c r="K1729" s="18" t="s">
        <v>5752</v>
      </c>
      <c r="L1729" s="283" t="s">
        <v>5753</v>
      </c>
      <c r="M1729" s="18" t="s">
        <v>5760</v>
      </c>
      <c r="N1729" s="16"/>
      <c r="O1729" s="16">
        <v>1</v>
      </c>
      <c r="P1729" s="16">
        <v>1</v>
      </c>
      <c r="Q1729" s="16">
        <v>1</v>
      </c>
      <c r="R1729" s="16">
        <v>1</v>
      </c>
      <c r="S1729" s="16">
        <v>1</v>
      </c>
      <c r="T1729" s="18" t="s">
        <v>2234</v>
      </c>
      <c r="U1729" s="283" t="s">
        <v>2236</v>
      </c>
      <c r="V1729" s="18" t="s">
        <v>5761</v>
      </c>
      <c r="W1729" s="18">
        <v>1</v>
      </c>
      <c r="X1729" s="18">
        <v>0</v>
      </c>
      <c r="Y1729" s="18">
        <v>1</v>
      </c>
      <c r="Z1729" s="18">
        <v>1</v>
      </c>
      <c r="AA1729" s="18">
        <v>1</v>
      </c>
      <c r="AB1729" s="18">
        <v>0</v>
      </c>
      <c r="AC1729" s="316">
        <v>1</v>
      </c>
      <c r="AD1729" s="316">
        <v>1</v>
      </c>
      <c r="AE1729" s="302">
        <v>0.75</v>
      </c>
      <c r="AF1729" s="259"/>
      <c r="AG1729" s="259">
        <v>0</v>
      </c>
      <c r="AH1729" s="259"/>
      <c r="AI1729" s="259">
        <v>0.2</v>
      </c>
      <c r="AJ1729" s="259">
        <v>0.2</v>
      </c>
      <c r="AK1729" s="260">
        <v>0.4</v>
      </c>
      <c r="AL1729" s="260">
        <v>0.2</v>
      </c>
      <c r="AM1729" s="259">
        <v>0.4</v>
      </c>
      <c r="AN1729" s="18" t="s">
        <v>2234</v>
      </c>
      <c r="AO1729" s="18" t="s">
        <v>2236</v>
      </c>
      <c r="AP1729" s="18" t="s">
        <v>5759</v>
      </c>
    </row>
    <row r="1730" spans="1:42" hidden="1" x14ac:dyDescent="0.3">
      <c r="A1730" s="18" t="s">
        <v>1463</v>
      </c>
      <c r="B1730" s="18" t="s">
        <v>5664</v>
      </c>
      <c r="C1730" s="18" t="s">
        <v>1464</v>
      </c>
      <c r="D1730" s="18" t="s">
        <v>5666</v>
      </c>
      <c r="E1730" s="18" t="s">
        <v>5667</v>
      </c>
      <c r="F1730" s="18" t="s">
        <v>5668</v>
      </c>
      <c r="G1730" s="18" t="s">
        <v>5737</v>
      </c>
      <c r="H1730" s="157" t="s">
        <v>5738</v>
      </c>
      <c r="I1730" s="18" t="s">
        <v>5762</v>
      </c>
      <c r="J1730" s="18" t="s">
        <v>5763</v>
      </c>
      <c r="K1730" s="18" t="s">
        <v>5764</v>
      </c>
      <c r="L1730" s="283" t="s">
        <v>5765</v>
      </c>
      <c r="M1730" s="18" t="s">
        <v>5766</v>
      </c>
      <c r="N1730" s="16"/>
      <c r="O1730" s="16">
        <v>80</v>
      </c>
      <c r="P1730" s="16">
        <v>70</v>
      </c>
      <c r="Q1730" s="16">
        <v>70</v>
      </c>
      <c r="R1730" s="16">
        <v>70</v>
      </c>
      <c r="S1730" s="16">
        <v>70</v>
      </c>
      <c r="T1730" s="18" t="s">
        <v>2234</v>
      </c>
      <c r="U1730" s="283" t="s">
        <v>2236</v>
      </c>
      <c r="V1730" s="14" t="s">
        <v>5767</v>
      </c>
      <c r="W1730" s="14">
        <v>1</v>
      </c>
      <c r="X1730" s="14">
        <v>0</v>
      </c>
      <c r="Y1730" s="14">
        <v>0</v>
      </c>
      <c r="Z1730" s="14">
        <v>1</v>
      </c>
      <c r="AA1730" s="14">
        <v>1</v>
      </c>
      <c r="AB1730" s="14">
        <v>0</v>
      </c>
      <c r="AC1730" s="316">
        <v>1</v>
      </c>
      <c r="AD1730" s="316">
        <v>1</v>
      </c>
      <c r="AE1730" s="302">
        <v>0.625</v>
      </c>
      <c r="AF1730" s="262"/>
      <c r="AG1730" s="259">
        <v>0</v>
      </c>
      <c r="AH1730" s="262">
        <v>2</v>
      </c>
      <c r="AI1730" s="262">
        <v>2</v>
      </c>
      <c r="AJ1730" s="262">
        <v>2</v>
      </c>
      <c r="AK1730" s="263">
        <v>2</v>
      </c>
      <c r="AL1730" s="263">
        <v>2</v>
      </c>
      <c r="AM1730" s="259">
        <v>4</v>
      </c>
      <c r="AN1730" s="14" t="s">
        <v>2172</v>
      </c>
      <c r="AO1730" s="14" t="s">
        <v>2236</v>
      </c>
      <c r="AP1730" s="14" t="s">
        <v>5768</v>
      </c>
    </row>
    <row r="1731" spans="1:42" hidden="1" x14ac:dyDescent="0.3">
      <c r="A1731" s="18" t="s">
        <v>1463</v>
      </c>
      <c r="B1731" s="18" t="s">
        <v>5664</v>
      </c>
      <c r="C1731" s="18" t="s">
        <v>1464</v>
      </c>
      <c r="D1731" s="18" t="s">
        <v>5666</v>
      </c>
      <c r="E1731" s="18" t="s">
        <v>5667</v>
      </c>
      <c r="F1731" s="18" t="s">
        <v>5668</v>
      </c>
      <c r="G1731" s="18" t="s">
        <v>5737</v>
      </c>
      <c r="H1731" s="157" t="s">
        <v>5738</v>
      </c>
      <c r="I1731" s="18" t="s">
        <v>5762</v>
      </c>
      <c r="J1731" s="18" t="s">
        <v>5763</v>
      </c>
      <c r="K1731" s="18" t="s">
        <v>5769</v>
      </c>
      <c r="L1731" s="18" t="s">
        <v>5770</v>
      </c>
      <c r="M1731" s="18" t="s">
        <v>5771</v>
      </c>
      <c r="N1731" s="16">
        <v>0</v>
      </c>
      <c r="O1731" s="16">
        <v>1</v>
      </c>
      <c r="P1731" s="16">
        <v>0</v>
      </c>
      <c r="Q1731" s="16">
        <v>0</v>
      </c>
      <c r="R1731" s="16">
        <v>0</v>
      </c>
      <c r="S1731" s="16">
        <v>0</v>
      </c>
      <c r="T1731" s="18" t="s">
        <v>2234</v>
      </c>
      <c r="U1731" s="283" t="s">
        <v>2236</v>
      </c>
      <c r="V1731" s="18" t="s">
        <v>5772</v>
      </c>
      <c r="W1731" s="18">
        <v>1</v>
      </c>
      <c r="X1731" s="18">
        <v>0</v>
      </c>
      <c r="Y1731" s="18">
        <v>0</v>
      </c>
      <c r="Z1731" s="18">
        <v>1</v>
      </c>
      <c r="AA1731" s="18">
        <v>1</v>
      </c>
      <c r="AB1731" s="18">
        <v>0</v>
      </c>
      <c r="AC1731" s="316">
        <v>1</v>
      </c>
      <c r="AD1731" s="316">
        <v>1</v>
      </c>
      <c r="AE1731" s="302">
        <v>0.625</v>
      </c>
      <c r="AF1731" s="259"/>
      <c r="AG1731" s="259">
        <v>0</v>
      </c>
      <c r="AH1731" s="259"/>
      <c r="AI1731" s="259">
        <v>0.1</v>
      </c>
      <c r="AJ1731" s="259"/>
      <c r="AK1731" s="260"/>
      <c r="AL1731" s="260"/>
      <c r="AM1731" s="259">
        <v>0</v>
      </c>
      <c r="AN1731" s="18" t="s">
        <v>2172</v>
      </c>
      <c r="AO1731" s="18" t="s">
        <v>2236</v>
      </c>
      <c r="AP1731" s="18" t="s">
        <v>5773</v>
      </c>
    </row>
    <row r="1732" spans="1:42" hidden="1" x14ac:dyDescent="0.3">
      <c r="A1732" s="18" t="s">
        <v>1463</v>
      </c>
      <c r="B1732" s="18" t="s">
        <v>5664</v>
      </c>
      <c r="C1732" s="18" t="s">
        <v>1464</v>
      </c>
      <c r="D1732" s="18" t="s">
        <v>5666</v>
      </c>
      <c r="E1732" s="18" t="s">
        <v>5667</v>
      </c>
      <c r="F1732" s="18" t="s">
        <v>5668</v>
      </c>
      <c r="G1732" s="18" t="s">
        <v>5737</v>
      </c>
      <c r="H1732" s="157" t="s">
        <v>5738</v>
      </c>
      <c r="I1732" s="18" t="s">
        <v>5762</v>
      </c>
      <c r="J1732" s="18" t="s">
        <v>5763</v>
      </c>
      <c r="K1732" s="18" t="s">
        <v>5769</v>
      </c>
      <c r="L1732" s="18" t="s">
        <v>5770</v>
      </c>
      <c r="M1732" s="18" t="s">
        <v>5774</v>
      </c>
      <c r="N1732" s="16">
        <v>1</v>
      </c>
      <c r="O1732" s="16">
        <v>1</v>
      </c>
      <c r="P1732" s="16">
        <v>30</v>
      </c>
      <c r="Q1732" s="16">
        <v>50</v>
      </c>
      <c r="R1732" s="16">
        <v>50</v>
      </c>
      <c r="S1732" s="16">
        <v>49</v>
      </c>
      <c r="T1732" s="18" t="s">
        <v>2234</v>
      </c>
      <c r="U1732" s="283" t="s">
        <v>2236</v>
      </c>
      <c r="V1732" s="18" t="s">
        <v>5775</v>
      </c>
      <c r="W1732" s="18">
        <v>1</v>
      </c>
      <c r="X1732" s="18">
        <v>0</v>
      </c>
      <c r="Y1732" s="18">
        <v>0</v>
      </c>
      <c r="Z1732" s="18">
        <v>1</v>
      </c>
      <c r="AA1732" s="18">
        <v>1</v>
      </c>
      <c r="AB1732" s="18">
        <v>0</v>
      </c>
      <c r="AC1732" s="316">
        <v>1</v>
      </c>
      <c r="AD1732" s="316">
        <v>1</v>
      </c>
      <c r="AE1732" s="302">
        <v>0.625</v>
      </c>
      <c r="AF1732" s="259"/>
      <c r="AG1732" s="259">
        <v>0</v>
      </c>
      <c r="AH1732" s="259">
        <v>0.41299999999999998</v>
      </c>
      <c r="AI1732" s="259">
        <v>0.51300000000000001</v>
      </c>
      <c r="AJ1732" s="259">
        <v>0.51300000000000001</v>
      </c>
      <c r="AK1732" s="260">
        <v>0.51300000000000001</v>
      </c>
      <c r="AL1732" s="260">
        <v>0.51300000000000001</v>
      </c>
      <c r="AM1732" s="259">
        <v>1.026</v>
      </c>
      <c r="AN1732" s="18" t="s">
        <v>2172</v>
      </c>
      <c r="AO1732" s="18" t="s">
        <v>2236</v>
      </c>
      <c r="AP1732" s="18" t="s">
        <v>119</v>
      </c>
    </row>
    <row r="1733" spans="1:42" hidden="1" x14ac:dyDescent="0.3">
      <c r="A1733" s="18" t="s">
        <v>1463</v>
      </c>
      <c r="B1733" s="18" t="s">
        <v>5664</v>
      </c>
      <c r="C1733" s="18" t="s">
        <v>1464</v>
      </c>
      <c r="D1733" s="18" t="s">
        <v>5666</v>
      </c>
      <c r="E1733" s="18" t="s">
        <v>5667</v>
      </c>
      <c r="F1733" s="18" t="s">
        <v>5668</v>
      </c>
      <c r="G1733" s="18" t="s">
        <v>5737</v>
      </c>
      <c r="H1733" s="157" t="s">
        <v>5738</v>
      </c>
      <c r="I1733" s="18" t="s">
        <v>5762</v>
      </c>
      <c r="J1733" s="18" t="s">
        <v>5763</v>
      </c>
      <c r="K1733" s="18" t="s">
        <v>5769</v>
      </c>
      <c r="L1733" s="18" t="s">
        <v>5770</v>
      </c>
      <c r="M1733" s="18" t="s">
        <v>5776</v>
      </c>
      <c r="N1733" s="16"/>
      <c r="O1733" s="16">
        <v>1</v>
      </c>
      <c r="P1733" s="16">
        <v>1</v>
      </c>
      <c r="Q1733" s="16">
        <v>1</v>
      </c>
      <c r="R1733" s="16">
        <v>1</v>
      </c>
      <c r="S1733" s="16">
        <v>1</v>
      </c>
      <c r="T1733" s="18" t="s">
        <v>723</v>
      </c>
      <c r="U1733" s="283" t="s">
        <v>729</v>
      </c>
      <c r="V1733" s="18" t="s">
        <v>5777</v>
      </c>
      <c r="W1733" s="18">
        <v>1</v>
      </c>
      <c r="X1733" s="18">
        <v>1</v>
      </c>
      <c r="Y1733" s="18">
        <v>0</v>
      </c>
      <c r="Z1733" s="18">
        <v>1</v>
      </c>
      <c r="AA1733" s="18">
        <v>1</v>
      </c>
      <c r="AB1733" s="18">
        <v>0</v>
      </c>
      <c r="AC1733" s="316">
        <v>0</v>
      </c>
      <c r="AD1733" s="316">
        <v>1</v>
      </c>
      <c r="AE1733" s="302">
        <v>0.625</v>
      </c>
      <c r="AF1733" s="259"/>
      <c r="AG1733" s="259">
        <v>0</v>
      </c>
      <c r="AH1733" s="259">
        <v>2.5000000000000001E-2</v>
      </c>
      <c r="AI1733" s="259">
        <v>2.5000000000000001E-2</v>
      </c>
      <c r="AJ1733" s="259">
        <v>2.5000000000000001E-2</v>
      </c>
      <c r="AK1733" s="260">
        <v>2.5000000000000001E-2</v>
      </c>
      <c r="AL1733" s="260">
        <v>2.5000000000000001E-2</v>
      </c>
      <c r="AM1733" s="259">
        <v>0.05</v>
      </c>
      <c r="AN1733" s="18" t="s">
        <v>723</v>
      </c>
      <c r="AO1733" s="18" t="s">
        <v>729</v>
      </c>
      <c r="AP1733" s="10"/>
    </row>
    <row r="1734" spans="1:42" x14ac:dyDescent="0.3">
      <c r="A1734" s="18" t="s">
        <v>1463</v>
      </c>
      <c r="B1734" s="18" t="s">
        <v>5664</v>
      </c>
      <c r="C1734" s="18" t="s">
        <v>1464</v>
      </c>
      <c r="D1734" s="18" t="s">
        <v>5666</v>
      </c>
      <c r="E1734" s="18" t="s">
        <v>5667</v>
      </c>
      <c r="F1734" s="18" t="s">
        <v>5668</v>
      </c>
      <c r="G1734" s="18" t="s">
        <v>5737</v>
      </c>
      <c r="H1734" s="157" t="s">
        <v>5738</v>
      </c>
      <c r="I1734" s="18" t="s">
        <v>5762</v>
      </c>
      <c r="J1734" s="18" t="s">
        <v>5763</v>
      </c>
      <c r="K1734" s="18" t="s">
        <v>5778</v>
      </c>
      <c r="L1734" s="18" t="s">
        <v>5779</v>
      </c>
      <c r="M1734" s="18"/>
      <c r="N1734" s="16"/>
      <c r="O1734" s="16"/>
      <c r="P1734" s="16"/>
      <c r="Q1734" s="16"/>
      <c r="R1734" s="16"/>
      <c r="S1734" s="16"/>
      <c r="T1734" s="18" t="s">
        <v>2234</v>
      </c>
      <c r="U1734" s="283" t="s">
        <v>2236</v>
      </c>
      <c r="V1734" s="283" t="s">
        <v>5780</v>
      </c>
      <c r="W1734" s="14">
        <v>1</v>
      </c>
      <c r="X1734" s="14">
        <v>1</v>
      </c>
      <c r="Y1734" s="14">
        <v>1</v>
      </c>
      <c r="Z1734" s="14">
        <v>1</v>
      </c>
      <c r="AA1734" s="14">
        <v>1</v>
      </c>
      <c r="AB1734" s="14">
        <v>1</v>
      </c>
      <c r="AC1734" s="316">
        <v>1</v>
      </c>
      <c r="AD1734" s="316">
        <v>1</v>
      </c>
      <c r="AE1734" s="302">
        <v>1</v>
      </c>
      <c r="AF1734" s="259"/>
      <c r="AG1734" s="259"/>
      <c r="AH1734" s="259"/>
      <c r="AI1734" s="259"/>
      <c r="AJ1734" s="259"/>
      <c r="AK1734" s="264">
        <v>0.2</v>
      </c>
      <c r="AL1734" s="264">
        <v>0.1</v>
      </c>
      <c r="AM1734" s="259"/>
      <c r="AN1734" s="18" t="s">
        <v>2172</v>
      </c>
      <c r="AO1734" s="18" t="s">
        <v>2236</v>
      </c>
      <c r="AP1734" s="10"/>
    </row>
    <row r="1735" spans="1:42" x14ac:dyDescent="0.3">
      <c r="A1735" s="18" t="s">
        <v>1463</v>
      </c>
      <c r="B1735" s="18" t="s">
        <v>5664</v>
      </c>
      <c r="C1735" s="18" t="s">
        <v>1464</v>
      </c>
      <c r="D1735" s="18" t="s">
        <v>5666</v>
      </c>
      <c r="E1735" s="18" t="s">
        <v>5667</v>
      </c>
      <c r="F1735" s="18" t="s">
        <v>5668</v>
      </c>
      <c r="G1735" s="18" t="s">
        <v>5737</v>
      </c>
      <c r="H1735" s="157" t="s">
        <v>5738</v>
      </c>
      <c r="I1735" s="18" t="s">
        <v>5762</v>
      </c>
      <c r="J1735" s="18" t="s">
        <v>5763</v>
      </c>
      <c r="K1735" s="18" t="s">
        <v>5778</v>
      </c>
      <c r="L1735" s="18" t="s">
        <v>5779</v>
      </c>
      <c r="M1735" s="18"/>
      <c r="N1735" s="16"/>
      <c r="O1735" s="16"/>
      <c r="P1735" s="16"/>
      <c r="Q1735" s="16"/>
      <c r="R1735" s="16"/>
      <c r="S1735" s="16"/>
      <c r="T1735" s="18" t="s">
        <v>2234</v>
      </c>
      <c r="U1735" s="283" t="s">
        <v>2236</v>
      </c>
      <c r="V1735" s="283" t="s">
        <v>5781</v>
      </c>
      <c r="W1735" s="14">
        <v>1</v>
      </c>
      <c r="X1735" s="14">
        <v>1</v>
      </c>
      <c r="Y1735" s="14">
        <v>1</v>
      </c>
      <c r="Z1735" s="14">
        <v>1</v>
      </c>
      <c r="AA1735" s="14">
        <v>1</v>
      </c>
      <c r="AB1735" s="14">
        <v>1</v>
      </c>
      <c r="AC1735" s="316">
        <v>1</v>
      </c>
      <c r="AD1735" s="316">
        <v>1</v>
      </c>
      <c r="AE1735" s="302">
        <v>1</v>
      </c>
      <c r="AF1735" s="259"/>
      <c r="AG1735" s="259"/>
      <c r="AH1735" s="259"/>
      <c r="AI1735" s="259"/>
      <c r="AJ1735" s="259"/>
      <c r="AK1735" s="264">
        <v>1.5</v>
      </c>
      <c r="AL1735" s="264">
        <v>1.5</v>
      </c>
      <c r="AM1735" s="259"/>
      <c r="AN1735" s="18" t="s">
        <v>2172</v>
      </c>
      <c r="AO1735" s="18" t="s">
        <v>2236</v>
      </c>
      <c r="AP1735" s="10"/>
    </row>
    <row r="1736" spans="1:42" x14ac:dyDescent="0.3">
      <c r="A1736" s="18" t="s">
        <v>1463</v>
      </c>
      <c r="B1736" s="18" t="s">
        <v>5664</v>
      </c>
      <c r="C1736" s="18" t="s">
        <v>1464</v>
      </c>
      <c r="D1736" s="18" t="s">
        <v>5666</v>
      </c>
      <c r="E1736" s="18" t="s">
        <v>5667</v>
      </c>
      <c r="F1736" s="18" t="s">
        <v>5668</v>
      </c>
      <c r="G1736" s="18" t="s">
        <v>5737</v>
      </c>
      <c r="H1736" s="157" t="s">
        <v>5738</v>
      </c>
      <c r="I1736" s="18" t="s">
        <v>5762</v>
      </c>
      <c r="J1736" s="18" t="s">
        <v>5763</v>
      </c>
      <c r="K1736" s="18" t="s">
        <v>5778</v>
      </c>
      <c r="L1736" s="18" t="s">
        <v>5779</v>
      </c>
      <c r="M1736" s="18"/>
      <c r="N1736" s="16"/>
      <c r="O1736" s="16"/>
      <c r="P1736" s="16"/>
      <c r="Q1736" s="16"/>
      <c r="R1736" s="16"/>
      <c r="S1736" s="16"/>
      <c r="T1736" s="18" t="s">
        <v>2234</v>
      </c>
      <c r="U1736" s="283" t="s">
        <v>2236</v>
      </c>
      <c r="V1736" s="283" t="s">
        <v>5782</v>
      </c>
      <c r="W1736" s="14">
        <v>1</v>
      </c>
      <c r="X1736" s="14">
        <v>1</v>
      </c>
      <c r="Y1736" s="14">
        <v>1</v>
      </c>
      <c r="Z1736" s="14">
        <v>1</v>
      </c>
      <c r="AA1736" s="14">
        <v>1</v>
      </c>
      <c r="AB1736" s="14">
        <v>1</v>
      </c>
      <c r="AC1736" s="316">
        <v>1</v>
      </c>
      <c r="AD1736" s="316">
        <v>1</v>
      </c>
      <c r="AE1736" s="302">
        <v>1</v>
      </c>
      <c r="AF1736" s="259"/>
      <c r="AG1736" s="259"/>
      <c r="AH1736" s="259"/>
      <c r="AI1736" s="259"/>
      <c r="AJ1736" s="259"/>
      <c r="AK1736" s="264">
        <v>0.9</v>
      </c>
      <c r="AL1736" s="264">
        <v>0.9</v>
      </c>
      <c r="AM1736" s="259"/>
      <c r="AN1736" s="18" t="s">
        <v>2172</v>
      </c>
      <c r="AO1736" s="18" t="s">
        <v>2236</v>
      </c>
      <c r="AP1736" s="10"/>
    </row>
    <row r="1737" spans="1:42" x14ac:dyDescent="0.3">
      <c r="A1737" s="18" t="s">
        <v>1463</v>
      </c>
      <c r="B1737" s="18" t="s">
        <v>5664</v>
      </c>
      <c r="C1737" s="18" t="s">
        <v>1464</v>
      </c>
      <c r="D1737" s="18" t="s">
        <v>5666</v>
      </c>
      <c r="E1737" s="18" t="s">
        <v>5667</v>
      </c>
      <c r="F1737" s="18" t="s">
        <v>5668</v>
      </c>
      <c r="G1737" s="18" t="s">
        <v>5737</v>
      </c>
      <c r="H1737" s="157" t="s">
        <v>5738</v>
      </c>
      <c r="I1737" s="18" t="s">
        <v>5762</v>
      </c>
      <c r="J1737" s="18" t="s">
        <v>5763</v>
      </c>
      <c r="K1737" s="18" t="s">
        <v>5778</v>
      </c>
      <c r="L1737" s="18" t="s">
        <v>5779</v>
      </c>
      <c r="M1737" s="18"/>
      <c r="N1737" s="16"/>
      <c r="O1737" s="16"/>
      <c r="P1737" s="16"/>
      <c r="Q1737" s="16"/>
      <c r="R1737" s="16"/>
      <c r="S1737" s="16"/>
      <c r="T1737" s="18" t="s">
        <v>2234</v>
      </c>
      <c r="U1737" s="283" t="s">
        <v>2236</v>
      </c>
      <c r="V1737" s="283" t="s">
        <v>5783</v>
      </c>
      <c r="W1737" s="14">
        <v>1</v>
      </c>
      <c r="X1737" s="14">
        <v>1</v>
      </c>
      <c r="Y1737" s="14">
        <v>1</v>
      </c>
      <c r="Z1737" s="14">
        <v>1</v>
      </c>
      <c r="AA1737" s="14">
        <v>1</v>
      </c>
      <c r="AB1737" s="14">
        <v>1</v>
      </c>
      <c r="AC1737" s="316">
        <v>1</v>
      </c>
      <c r="AD1737" s="316">
        <v>1</v>
      </c>
      <c r="AE1737" s="302">
        <v>1</v>
      </c>
      <c r="AF1737" s="259"/>
      <c r="AG1737" s="259"/>
      <c r="AH1737" s="259"/>
      <c r="AI1737" s="259"/>
      <c r="AJ1737" s="259"/>
      <c r="AK1737" s="264">
        <v>0.4</v>
      </c>
      <c r="AL1737" s="264">
        <v>0.3</v>
      </c>
      <c r="AM1737" s="259"/>
      <c r="AN1737" s="18" t="s">
        <v>2172</v>
      </c>
      <c r="AO1737" s="18" t="s">
        <v>2236</v>
      </c>
      <c r="AP1737" s="10"/>
    </row>
    <row r="1738" spans="1:42" x14ac:dyDescent="0.3">
      <c r="A1738" s="18" t="s">
        <v>1463</v>
      </c>
      <c r="B1738" s="18" t="s">
        <v>5664</v>
      </c>
      <c r="C1738" s="18" t="s">
        <v>1464</v>
      </c>
      <c r="D1738" s="18" t="s">
        <v>5666</v>
      </c>
      <c r="E1738" s="18" t="s">
        <v>5667</v>
      </c>
      <c r="F1738" s="18" t="s">
        <v>5668</v>
      </c>
      <c r="G1738" s="18" t="s">
        <v>5737</v>
      </c>
      <c r="H1738" s="157" t="s">
        <v>5738</v>
      </c>
      <c r="I1738" s="18" t="s">
        <v>5762</v>
      </c>
      <c r="J1738" s="18" t="s">
        <v>5763</v>
      </c>
      <c r="K1738" s="18" t="s">
        <v>5778</v>
      </c>
      <c r="L1738" s="18" t="s">
        <v>5779</v>
      </c>
      <c r="M1738" s="18"/>
      <c r="N1738" s="16"/>
      <c r="O1738" s="16"/>
      <c r="P1738" s="16"/>
      <c r="Q1738" s="16"/>
      <c r="R1738" s="16"/>
      <c r="S1738" s="16"/>
      <c r="T1738" s="18" t="s">
        <v>2234</v>
      </c>
      <c r="U1738" s="283" t="s">
        <v>2236</v>
      </c>
      <c r="V1738" s="283" t="s">
        <v>5784</v>
      </c>
      <c r="W1738" s="14">
        <v>1</v>
      </c>
      <c r="X1738" s="14">
        <v>1</v>
      </c>
      <c r="Y1738" s="14">
        <v>1</v>
      </c>
      <c r="Z1738" s="14">
        <v>1</v>
      </c>
      <c r="AA1738" s="14">
        <v>1</v>
      </c>
      <c r="AB1738" s="14">
        <v>1</v>
      </c>
      <c r="AC1738" s="316">
        <v>1</v>
      </c>
      <c r="AD1738" s="316">
        <v>1</v>
      </c>
      <c r="AE1738" s="302">
        <v>1</v>
      </c>
      <c r="AF1738" s="259"/>
      <c r="AG1738" s="259"/>
      <c r="AH1738" s="259"/>
      <c r="AI1738" s="259"/>
      <c r="AJ1738" s="259"/>
      <c r="AK1738" s="264">
        <v>0.18</v>
      </c>
      <c r="AL1738" s="264">
        <v>0.15</v>
      </c>
      <c r="AM1738" s="259"/>
      <c r="AN1738" s="18" t="s">
        <v>2172</v>
      </c>
      <c r="AO1738" s="18" t="s">
        <v>2236</v>
      </c>
      <c r="AP1738" s="10"/>
    </row>
    <row r="1739" spans="1:42" x14ac:dyDescent="0.3">
      <c r="A1739" s="18" t="s">
        <v>1463</v>
      </c>
      <c r="B1739" s="18" t="s">
        <v>5664</v>
      </c>
      <c r="C1739" s="18" t="s">
        <v>1464</v>
      </c>
      <c r="D1739" s="18" t="s">
        <v>5666</v>
      </c>
      <c r="E1739" s="18" t="s">
        <v>5667</v>
      </c>
      <c r="F1739" s="18" t="s">
        <v>5668</v>
      </c>
      <c r="G1739" s="18" t="s">
        <v>5737</v>
      </c>
      <c r="H1739" s="157" t="s">
        <v>5738</v>
      </c>
      <c r="I1739" s="18" t="s">
        <v>5762</v>
      </c>
      <c r="J1739" s="18" t="s">
        <v>5763</v>
      </c>
      <c r="K1739" s="18" t="s">
        <v>5778</v>
      </c>
      <c r="L1739" s="18" t="s">
        <v>5779</v>
      </c>
      <c r="M1739" s="18"/>
      <c r="N1739" s="16"/>
      <c r="O1739" s="16"/>
      <c r="P1739" s="16"/>
      <c r="Q1739" s="16"/>
      <c r="R1739" s="16"/>
      <c r="S1739" s="16"/>
      <c r="T1739" s="18" t="s">
        <v>2234</v>
      </c>
      <c r="U1739" s="283" t="s">
        <v>2236</v>
      </c>
      <c r="V1739" s="283" t="s">
        <v>5785</v>
      </c>
      <c r="W1739" s="14">
        <v>1</v>
      </c>
      <c r="X1739" s="14">
        <v>1</v>
      </c>
      <c r="Y1739" s="14">
        <v>1</v>
      </c>
      <c r="Z1739" s="14">
        <v>1</v>
      </c>
      <c r="AA1739" s="14">
        <v>1</v>
      </c>
      <c r="AB1739" s="14">
        <v>1</v>
      </c>
      <c r="AC1739" s="316">
        <v>1</v>
      </c>
      <c r="AD1739" s="316">
        <v>1</v>
      </c>
      <c r="AE1739" s="302">
        <v>1</v>
      </c>
      <c r="AF1739" s="259"/>
      <c r="AG1739" s="259"/>
      <c r="AH1739" s="259"/>
      <c r="AI1739" s="259"/>
      <c r="AJ1739" s="259"/>
      <c r="AK1739" s="264">
        <v>0.6</v>
      </c>
      <c r="AL1739" s="264">
        <v>0.6</v>
      </c>
      <c r="AM1739" s="259"/>
      <c r="AN1739" s="18" t="s">
        <v>2172</v>
      </c>
      <c r="AO1739" s="18" t="s">
        <v>2236</v>
      </c>
      <c r="AP1739" s="10"/>
    </row>
    <row r="1740" spans="1:42" x14ac:dyDescent="0.3">
      <c r="A1740" s="18" t="s">
        <v>1463</v>
      </c>
      <c r="B1740" s="18" t="s">
        <v>5664</v>
      </c>
      <c r="C1740" s="18" t="s">
        <v>1464</v>
      </c>
      <c r="D1740" s="18" t="s">
        <v>5666</v>
      </c>
      <c r="E1740" s="18" t="s">
        <v>5667</v>
      </c>
      <c r="F1740" s="18" t="s">
        <v>5668</v>
      </c>
      <c r="G1740" s="18" t="s">
        <v>5737</v>
      </c>
      <c r="H1740" s="157" t="s">
        <v>5738</v>
      </c>
      <c r="I1740" s="18" t="s">
        <v>5762</v>
      </c>
      <c r="J1740" s="18" t="s">
        <v>5763</v>
      </c>
      <c r="K1740" s="18" t="s">
        <v>5778</v>
      </c>
      <c r="L1740" s="18" t="s">
        <v>5779</v>
      </c>
      <c r="M1740" s="18"/>
      <c r="N1740" s="16"/>
      <c r="O1740" s="16"/>
      <c r="P1740" s="16"/>
      <c r="Q1740" s="16"/>
      <c r="R1740" s="16"/>
      <c r="S1740" s="16"/>
      <c r="T1740" s="18" t="s">
        <v>2234</v>
      </c>
      <c r="U1740" s="283" t="s">
        <v>2236</v>
      </c>
      <c r="V1740" s="283" t="s">
        <v>5786</v>
      </c>
      <c r="W1740" s="14">
        <v>1</v>
      </c>
      <c r="X1740" s="14">
        <v>1</v>
      </c>
      <c r="Y1740" s="14">
        <v>1</v>
      </c>
      <c r="Z1740" s="14">
        <v>1</v>
      </c>
      <c r="AA1740" s="14">
        <v>1</v>
      </c>
      <c r="AB1740" s="14">
        <v>1</v>
      </c>
      <c r="AC1740" s="316">
        <v>1</v>
      </c>
      <c r="AD1740" s="316">
        <v>1</v>
      </c>
      <c r="AE1740" s="302">
        <v>1</v>
      </c>
      <c r="AF1740" s="259"/>
      <c r="AG1740" s="259"/>
      <c r="AH1740" s="259"/>
      <c r="AI1740" s="259"/>
      <c r="AJ1740" s="259"/>
      <c r="AK1740" s="264">
        <f>0.18-0.01</f>
        <v>0.16999999999999998</v>
      </c>
      <c r="AL1740" s="264">
        <v>0.2</v>
      </c>
      <c r="AM1740" s="259"/>
      <c r="AN1740" s="18" t="s">
        <v>2172</v>
      </c>
      <c r="AO1740" s="18" t="s">
        <v>2236</v>
      </c>
      <c r="AP1740" s="10"/>
    </row>
    <row r="1741" spans="1:42" x14ac:dyDescent="0.3">
      <c r="A1741" s="18" t="s">
        <v>1463</v>
      </c>
      <c r="B1741" s="18" t="s">
        <v>5664</v>
      </c>
      <c r="C1741" s="18" t="s">
        <v>1464</v>
      </c>
      <c r="D1741" s="18" t="s">
        <v>5666</v>
      </c>
      <c r="E1741" s="18" t="s">
        <v>5667</v>
      </c>
      <c r="F1741" s="18" t="s">
        <v>5668</v>
      </c>
      <c r="G1741" s="18" t="s">
        <v>5737</v>
      </c>
      <c r="H1741" s="157" t="s">
        <v>5738</v>
      </c>
      <c r="I1741" s="18" t="s">
        <v>5762</v>
      </c>
      <c r="J1741" s="18" t="s">
        <v>5763</v>
      </c>
      <c r="K1741" s="18" t="s">
        <v>5778</v>
      </c>
      <c r="L1741" s="18" t="s">
        <v>5779</v>
      </c>
      <c r="M1741" s="18"/>
      <c r="N1741" s="16"/>
      <c r="O1741" s="16"/>
      <c r="P1741" s="16"/>
      <c r="Q1741" s="16"/>
      <c r="R1741" s="16"/>
      <c r="S1741" s="16"/>
      <c r="T1741" s="18" t="s">
        <v>2234</v>
      </c>
      <c r="U1741" s="283" t="s">
        <v>2236</v>
      </c>
      <c r="V1741" s="283" t="s">
        <v>5787</v>
      </c>
      <c r="W1741" s="14">
        <v>1</v>
      </c>
      <c r="X1741" s="14">
        <v>1</v>
      </c>
      <c r="Y1741" s="14">
        <v>1</v>
      </c>
      <c r="Z1741" s="14">
        <v>1</v>
      </c>
      <c r="AA1741" s="14">
        <v>1</v>
      </c>
      <c r="AB1741" s="14">
        <v>1</v>
      </c>
      <c r="AC1741" s="316">
        <v>1</v>
      </c>
      <c r="AD1741" s="316">
        <v>1</v>
      </c>
      <c r="AE1741" s="302">
        <v>1</v>
      </c>
      <c r="AF1741" s="259"/>
      <c r="AG1741" s="259"/>
      <c r="AH1741" s="259"/>
      <c r="AI1741" s="259"/>
      <c r="AJ1741" s="259"/>
      <c r="AK1741" s="264">
        <v>0.2</v>
      </c>
      <c r="AL1741" s="264">
        <v>0.2</v>
      </c>
      <c r="AM1741" s="259"/>
      <c r="AN1741" s="18" t="s">
        <v>2172</v>
      </c>
      <c r="AO1741" s="18" t="s">
        <v>2236</v>
      </c>
      <c r="AP1741" s="10"/>
    </row>
    <row r="1742" spans="1:42" x14ac:dyDescent="0.3">
      <c r="A1742" s="18" t="s">
        <v>1463</v>
      </c>
      <c r="B1742" s="18" t="s">
        <v>5664</v>
      </c>
      <c r="C1742" s="18" t="s">
        <v>1464</v>
      </c>
      <c r="D1742" s="18" t="s">
        <v>5666</v>
      </c>
      <c r="E1742" s="18" t="s">
        <v>5667</v>
      </c>
      <c r="F1742" s="18" t="s">
        <v>5668</v>
      </c>
      <c r="G1742" s="18" t="s">
        <v>5737</v>
      </c>
      <c r="H1742" s="157" t="s">
        <v>5738</v>
      </c>
      <c r="I1742" s="18" t="s">
        <v>5762</v>
      </c>
      <c r="J1742" s="18" t="s">
        <v>5763</v>
      </c>
      <c r="K1742" s="18" t="s">
        <v>5778</v>
      </c>
      <c r="L1742" s="18" t="s">
        <v>5779</v>
      </c>
      <c r="M1742" s="18"/>
      <c r="N1742" s="16"/>
      <c r="O1742" s="16"/>
      <c r="P1742" s="16"/>
      <c r="Q1742" s="16"/>
      <c r="R1742" s="16"/>
      <c r="S1742" s="16"/>
      <c r="T1742" s="18" t="s">
        <v>2234</v>
      </c>
      <c r="U1742" s="283" t="s">
        <v>2236</v>
      </c>
      <c r="V1742" s="283" t="s">
        <v>5788</v>
      </c>
      <c r="W1742" s="14">
        <v>1</v>
      </c>
      <c r="X1742" s="14">
        <v>1</v>
      </c>
      <c r="Y1742" s="14">
        <v>1</v>
      </c>
      <c r="Z1742" s="14">
        <v>1</v>
      </c>
      <c r="AA1742" s="14">
        <v>1</v>
      </c>
      <c r="AB1742" s="14">
        <v>1</v>
      </c>
      <c r="AC1742" s="316">
        <v>1</v>
      </c>
      <c r="AD1742" s="316">
        <v>1</v>
      </c>
      <c r="AE1742" s="302">
        <v>1</v>
      </c>
      <c r="AF1742" s="259"/>
      <c r="AG1742" s="259"/>
      <c r="AH1742" s="259"/>
      <c r="AI1742" s="259"/>
      <c r="AJ1742" s="259"/>
      <c r="AK1742" s="264">
        <v>0.4</v>
      </c>
      <c r="AL1742" s="264">
        <v>0.4</v>
      </c>
      <c r="AM1742" s="259"/>
      <c r="AN1742" s="18" t="s">
        <v>2172</v>
      </c>
      <c r="AO1742" s="18" t="s">
        <v>2236</v>
      </c>
      <c r="AP1742" s="10"/>
    </row>
    <row r="1743" spans="1:42" x14ac:dyDescent="0.3">
      <c r="A1743" s="18" t="s">
        <v>1463</v>
      </c>
      <c r="B1743" s="18" t="s">
        <v>5664</v>
      </c>
      <c r="C1743" s="18" t="s">
        <v>1464</v>
      </c>
      <c r="D1743" s="18" t="s">
        <v>5666</v>
      </c>
      <c r="E1743" s="18" t="s">
        <v>5667</v>
      </c>
      <c r="F1743" s="18" t="s">
        <v>5668</v>
      </c>
      <c r="G1743" s="18" t="s">
        <v>5737</v>
      </c>
      <c r="H1743" s="157" t="s">
        <v>5738</v>
      </c>
      <c r="I1743" s="18" t="s">
        <v>5762</v>
      </c>
      <c r="J1743" s="18" t="s">
        <v>5763</v>
      </c>
      <c r="K1743" s="18" t="s">
        <v>5778</v>
      </c>
      <c r="L1743" s="18" t="s">
        <v>5779</v>
      </c>
      <c r="M1743" s="18"/>
      <c r="N1743" s="16"/>
      <c r="O1743" s="16"/>
      <c r="P1743" s="16"/>
      <c r="Q1743" s="16"/>
      <c r="R1743" s="16"/>
      <c r="S1743" s="16"/>
      <c r="T1743" s="18" t="s">
        <v>2234</v>
      </c>
      <c r="U1743" s="283" t="s">
        <v>2236</v>
      </c>
      <c r="V1743" s="283" t="s">
        <v>5789</v>
      </c>
      <c r="W1743" s="14">
        <v>1</v>
      </c>
      <c r="X1743" s="14">
        <v>1</v>
      </c>
      <c r="Y1743" s="14">
        <v>1</v>
      </c>
      <c r="Z1743" s="14">
        <v>1</v>
      </c>
      <c r="AA1743" s="14">
        <v>1</v>
      </c>
      <c r="AB1743" s="14">
        <v>1</v>
      </c>
      <c r="AC1743" s="316">
        <v>1</v>
      </c>
      <c r="AD1743" s="316">
        <v>1</v>
      </c>
      <c r="AE1743" s="302">
        <v>1</v>
      </c>
      <c r="AF1743" s="259"/>
      <c r="AG1743" s="259"/>
      <c r="AH1743" s="259"/>
      <c r="AI1743" s="259"/>
      <c r="AJ1743" s="259"/>
      <c r="AK1743" s="264">
        <v>0.4</v>
      </c>
      <c r="AL1743" s="264">
        <v>0.4</v>
      </c>
      <c r="AM1743" s="259"/>
      <c r="AN1743" s="18" t="s">
        <v>2172</v>
      </c>
      <c r="AO1743" s="18" t="s">
        <v>2236</v>
      </c>
      <c r="AP1743" s="10"/>
    </row>
    <row r="1744" spans="1:42" x14ac:dyDescent="0.3">
      <c r="A1744" s="18" t="s">
        <v>1463</v>
      </c>
      <c r="B1744" s="18" t="s">
        <v>5664</v>
      </c>
      <c r="C1744" s="18" t="s">
        <v>1464</v>
      </c>
      <c r="D1744" s="18" t="s">
        <v>5666</v>
      </c>
      <c r="E1744" s="18" t="s">
        <v>5667</v>
      </c>
      <c r="F1744" s="18" t="s">
        <v>5668</v>
      </c>
      <c r="G1744" s="18" t="s">
        <v>5737</v>
      </c>
      <c r="H1744" s="157" t="s">
        <v>5738</v>
      </c>
      <c r="I1744" s="18" t="s">
        <v>5762</v>
      </c>
      <c r="J1744" s="18" t="s">
        <v>5763</v>
      </c>
      <c r="K1744" s="18" t="s">
        <v>5778</v>
      </c>
      <c r="L1744" s="18" t="s">
        <v>5779</v>
      </c>
      <c r="M1744" s="18"/>
      <c r="N1744" s="16"/>
      <c r="O1744" s="16"/>
      <c r="P1744" s="16"/>
      <c r="Q1744" s="16"/>
      <c r="R1744" s="16"/>
      <c r="S1744" s="16"/>
      <c r="T1744" s="18" t="s">
        <v>2234</v>
      </c>
      <c r="U1744" s="283" t="s">
        <v>2236</v>
      </c>
      <c r="V1744" s="283" t="s">
        <v>5790</v>
      </c>
      <c r="W1744" s="14">
        <v>1</v>
      </c>
      <c r="X1744" s="14">
        <v>1</v>
      </c>
      <c r="Y1744" s="14">
        <v>1</v>
      </c>
      <c r="Z1744" s="14">
        <v>1</v>
      </c>
      <c r="AA1744" s="14">
        <v>1</v>
      </c>
      <c r="AB1744" s="14">
        <v>1</v>
      </c>
      <c r="AC1744" s="316">
        <v>1</v>
      </c>
      <c r="AD1744" s="316">
        <v>1</v>
      </c>
      <c r="AE1744" s="302">
        <v>1</v>
      </c>
      <c r="AF1744" s="259"/>
      <c r="AG1744" s="259"/>
      <c r="AH1744" s="259"/>
      <c r="AI1744" s="259"/>
      <c r="AJ1744" s="259"/>
      <c r="AK1744" s="264">
        <v>0.4</v>
      </c>
      <c r="AL1744" s="264">
        <v>0.4</v>
      </c>
      <c r="AM1744" s="259"/>
      <c r="AN1744" s="18" t="s">
        <v>2172</v>
      </c>
      <c r="AO1744" s="18" t="s">
        <v>2236</v>
      </c>
      <c r="AP1744" s="10"/>
    </row>
    <row r="1745" spans="1:42" x14ac:dyDescent="0.3">
      <c r="A1745" s="18" t="s">
        <v>1463</v>
      </c>
      <c r="B1745" s="18" t="s">
        <v>5664</v>
      </c>
      <c r="C1745" s="18" t="s">
        <v>1464</v>
      </c>
      <c r="D1745" s="18" t="s">
        <v>5666</v>
      </c>
      <c r="E1745" s="18" t="s">
        <v>5667</v>
      </c>
      <c r="F1745" s="18" t="s">
        <v>5668</v>
      </c>
      <c r="G1745" s="18" t="s">
        <v>5737</v>
      </c>
      <c r="H1745" s="157" t="s">
        <v>5738</v>
      </c>
      <c r="I1745" s="18" t="s">
        <v>5762</v>
      </c>
      <c r="J1745" s="18" t="s">
        <v>5763</v>
      </c>
      <c r="K1745" s="18" t="s">
        <v>5778</v>
      </c>
      <c r="L1745" s="18" t="s">
        <v>5779</v>
      </c>
      <c r="M1745" s="18"/>
      <c r="N1745" s="16"/>
      <c r="O1745" s="16"/>
      <c r="P1745" s="16"/>
      <c r="Q1745" s="16"/>
      <c r="R1745" s="16"/>
      <c r="S1745" s="16"/>
      <c r="T1745" s="18" t="s">
        <v>2234</v>
      </c>
      <c r="U1745" s="283" t="s">
        <v>2236</v>
      </c>
      <c r="V1745" s="283" t="s">
        <v>5791</v>
      </c>
      <c r="W1745" s="14">
        <v>1</v>
      </c>
      <c r="X1745" s="14">
        <v>1</v>
      </c>
      <c r="Y1745" s="14">
        <v>1</v>
      </c>
      <c r="Z1745" s="14">
        <v>1</v>
      </c>
      <c r="AA1745" s="14">
        <v>1</v>
      </c>
      <c r="AB1745" s="14">
        <v>1</v>
      </c>
      <c r="AC1745" s="316">
        <v>1</v>
      </c>
      <c r="AD1745" s="316">
        <v>1</v>
      </c>
      <c r="AE1745" s="302">
        <v>1</v>
      </c>
      <c r="AF1745" s="259"/>
      <c r="AG1745" s="259"/>
      <c r="AH1745" s="259"/>
      <c r="AI1745" s="259"/>
      <c r="AJ1745" s="259"/>
      <c r="AK1745" s="264">
        <v>1.45</v>
      </c>
      <c r="AL1745" s="264">
        <v>1.45</v>
      </c>
      <c r="AM1745" s="259"/>
      <c r="AN1745" s="18" t="s">
        <v>2172</v>
      </c>
      <c r="AO1745" s="18" t="s">
        <v>2236</v>
      </c>
      <c r="AP1745" s="10"/>
    </row>
    <row r="1746" spans="1:42" hidden="1" x14ac:dyDescent="0.3">
      <c r="A1746" s="18" t="s">
        <v>1463</v>
      </c>
      <c r="B1746" s="18" t="s">
        <v>5664</v>
      </c>
      <c r="C1746" s="18" t="s">
        <v>1464</v>
      </c>
      <c r="D1746" s="18" t="s">
        <v>5666</v>
      </c>
      <c r="E1746" s="18" t="s">
        <v>5667</v>
      </c>
      <c r="F1746" s="18" t="s">
        <v>5668</v>
      </c>
      <c r="G1746" s="18" t="s">
        <v>5737</v>
      </c>
      <c r="H1746" s="157" t="s">
        <v>5738</v>
      </c>
      <c r="I1746" s="18" t="s">
        <v>5762</v>
      </c>
      <c r="J1746" s="18" t="s">
        <v>5763</v>
      </c>
      <c r="K1746" s="18" t="s">
        <v>5792</v>
      </c>
      <c r="L1746" s="18" t="s">
        <v>5793</v>
      </c>
      <c r="M1746" s="18" t="s">
        <v>5794</v>
      </c>
      <c r="N1746" s="16" t="s">
        <v>271</v>
      </c>
      <c r="O1746" s="16">
        <v>2000</v>
      </c>
      <c r="P1746" s="16">
        <v>2500</v>
      </c>
      <c r="Q1746" s="16">
        <v>3000</v>
      </c>
      <c r="R1746" s="16">
        <v>3500</v>
      </c>
      <c r="S1746" s="16">
        <v>4000</v>
      </c>
      <c r="T1746" s="18" t="s">
        <v>2234</v>
      </c>
      <c r="U1746" s="283" t="s">
        <v>2236</v>
      </c>
      <c r="V1746" s="18" t="s">
        <v>5795</v>
      </c>
      <c r="W1746" s="18">
        <v>1</v>
      </c>
      <c r="X1746" s="18">
        <v>0</v>
      </c>
      <c r="Y1746" s="18">
        <v>0</v>
      </c>
      <c r="Z1746" s="18">
        <v>1</v>
      </c>
      <c r="AA1746" s="18">
        <v>1</v>
      </c>
      <c r="AB1746" s="18">
        <v>0</v>
      </c>
      <c r="AC1746" s="316">
        <v>1</v>
      </c>
      <c r="AD1746" s="316">
        <v>1</v>
      </c>
      <c r="AE1746" s="302">
        <v>0.625</v>
      </c>
      <c r="AF1746" s="259"/>
      <c r="AG1746" s="259">
        <v>0</v>
      </c>
      <c r="AH1746" s="259">
        <v>0.11</v>
      </c>
      <c r="AI1746" s="259">
        <v>0.13700000000000001</v>
      </c>
      <c r="AJ1746" s="259">
        <v>0.16500000000000001</v>
      </c>
      <c r="AK1746" s="260">
        <v>0.12</v>
      </c>
      <c r="AL1746" s="260">
        <v>0.22</v>
      </c>
      <c r="AM1746" s="259">
        <v>0.33999999999999997</v>
      </c>
      <c r="AN1746" s="18" t="s">
        <v>2172</v>
      </c>
      <c r="AO1746" s="18" t="s">
        <v>2236</v>
      </c>
      <c r="AP1746" s="18" t="s">
        <v>119</v>
      </c>
    </row>
    <row r="1747" spans="1:42" hidden="1" x14ac:dyDescent="0.3">
      <c r="A1747" s="18" t="s">
        <v>1463</v>
      </c>
      <c r="B1747" s="18" t="s">
        <v>5664</v>
      </c>
      <c r="C1747" s="18" t="s">
        <v>1464</v>
      </c>
      <c r="D1747" s="18" t="s">
        <v>5666</v>
      </c>
      <c r="E1747" s="18" t="s">
        <v>5667</v>
      </c>
      <c r="F1747" s="18" t="s">
        <v>5668</v>
      </c>
      <c r="G1747" s="18" t="s">
        <v>5737</v>
      </c>
      <c r="H1747" s="157" t="s">
        <v>5738</v>
      </c>
      <c r="I1747" s="18" t="s">
        <v>5762</v>
      </c>
      <c r="J1747" s="18" t="s">
        <v>5763</v>
      </c>
      <c r="K1747" s="18" t="s">
        <v>5796</v>
      </c>
      <c r="L1747" s="18" t="s">
        <v>5797</v>
      </c>
      <c r="M1747" s="18" t="s">
        <v>5798</v>
      </c>
      <c r="N1747" s="16" t="s">
        <v>271</v>
      </c>
      <c r="O1747" s="16">
        <v>60</v>
      </c>
      <c r="P1747" s="16">
        <v>60</v>
      </c>
      <c r="Q1747" s="16">
        <v>60</v>
      </c>
      <c r="R1747" s="16">
        <v>60</v>
      </c>
      <c r="S1747" s="16">
        <v>60</v>
      </c>
      <c r="T1747" s="18" t="s">
        <v>2234</v>
      </c>
      <c r="U1747" s="283" t="s">
        <v>2236</v>
      </c>
      <c r="V1747" s="18" t="s">
        <v>5799</v>
      </c>
      <c r="W1747" s="18">
        <v>1</v>
      </c>
      <c r="X1747" s="18">
        <v>0</v>
      </c>
      <c r="Y1747" s="18">
        <v>0</v>
      </c>
      <c r="Z1747" s="18">
        <v>1</v>
      </c>
      <c r="AA1747" s="18">
        <v>1</v>
      </c>
      <c r="AB1747" s="18">
        <v>0</v>
      </c>
      <c r="AC1747" s="316">
        <v>0</v>
      </c>
      <c r="AD1747" s="316">
        <v>1</v>
      </c>
      <c r="AE1747" s="302">
        <v>0.5</v>
      </c>
      <c r="AF1747" s="259"/>
      <c r="AG1747" s="259">
        <v>0</v>
      </c>
      <c r="AH1747" s="259">
        <v>4.4999999999999998E-2</v>
      </c>
      <c r="AI1747" s="259">
        <v>4.4999999999999998E-2</v>
      </c>
      <c r="AJ1747" s="259">
        <v>4.4999999999999998E-2</v>
      </c>
      <c r="AK1747" s="260">
        <v>0</v>
      </c>
      <c r="AL1747" s="260">
        <v>0.05</v>
      </c>
      <c r="AM1747" s="259">
        <v>0.1</v>
      </c>
      <c r="AN1747" s="18" t="s">
        <v>2172</v>
      </c>
      <c r="AO1747" s="18" t="s">
        <v>2236</v>
      </c>
      <c r="AP1747" s="18" t="s">
        <v>5676</v>
      </c>
    </row>
    <row r="1748" spans="1:42" hidden="1" x14ac:dyDescent="0.3">
      <c r="A1748" s="18" t="s">
        <v>1463</v>
      </c>
      <c r="B1748" s="18" t="s">
        <v>5664</v>
      </c>
      <c r="C1748" s="18" t="s">
        <v>1464</v>
      </c>
      <c r="D1748" s="18" t="s">
        <v>5666</v>
      </c>
      <c r="E1748" s="18" t="s">
        <v>5667</v>
      </c>
      <c r="F1748" s="18" t="s">
        <v>5668</v>
      </c>
      <c r="G1748" s="18" t="s">
        <v>5737</v>
      </c>
      <c r="H1748" s="157" t="s">
        <v>5738</v>
      </c>
      <c r="I1748" s="18" t="s">
        <v>5762</v>
      </c>
      <c r="J1748" s="18" t="s">
        <v>5763</v>
      </c>
      <c r="K1748" s="18" t="s">
        <v>5796</v>
      </c>
      <c r="L1748" s="18" t="s">
        <v>5797</v>
      </c>
      <c r="M1748" s="18" t="s">
        <v>5800</v>
      </c>
      <c r="N1748" s="16">
        <v>0</v>
      </c>
      <c r="O1748" s="16">
        <v>50</v>
      </c>
      <c r="P1748" s="16">
        <v>50</v>
      </c>
      <c r="Q1748" s="16">
        <v>50</v>
      </c>
      <c r="R1748" s="16">
        <v>50</v>
      </c>
      <c r="S1748" s="16">
        <v>50</v>
      </c>
      <c r="T1748" s="18" t="s">
        <v>2234</v>
      </c>
      <c r="U1748" s="283" t="s">
        <v>2236</v>
      </c>
      <c r="V1748" s="18" t="s">
        <v>5801</v>
      </c>
      <c r="W1748" s="18">
        <v>1</v>
      </c>
      <c r="X1748" s="18">
        <v>0</v>
      </c>
      <c r="Y1748" s="18">
        <v>0</v>
      </c>
      <c r="Z1748" s="18">
        <v>1</v>
      </c>
      <c r="AA1748" s="18">
        <v>1</v>
      </c>
      <c r="AB1748" s="18">
        <v>0</v>
      </c>
      <c r="AC1748" s="316">
        <v>0</v>
      </c>
      <c r="AD1748" s="316">
        <v>1</v>
      </c>
      <c r="AE1748" s="302">
        <v>0.5</v>
      </c>
      <c r="AF1748" s="259"/>
      <c r="AG1748" s="259">
        <v>0</v>
      </c>
      <c r="AH1748" s="259">
        <v>0.1</v>
      </c>
      <c r="AI1748" s="259">
        <v>0.1</v>
      </c>
      <c r="AJ1748" s="259">
        <v>0.1</v>
      </c>
      <c r="AK1748" s="260">
        <v>0</v>
      </c>
      <c r="AL1748" s="260">
        <v>0.1</v>
      </c>
      <c r="AM1748" s="259">
        <v>0.2</v>
      </c>
      <c r="AN1748" s="18" t="s">
        <v>2172</v>
      </c>
      <c r="AO1748" s="18" t="s">
        <v>2236</v>
      </c>
      <c r="AP1748" s="18" t="s">
        <v>119</v>
      </c>
    </row>
    <row r="1749" spans="1:42" x14ac:dyDescent="0.3">
      <c r="A1749" s="18" t="s">
        <v>1463</v>
      </c>
      <c r="B1749" s="18" t="s">
        <v>5664</v>
      </c>
      <c r="C1749" s="18" t="s">
        <v>1464</v>
      </c>
      <c r="D1749" s="18" t="s">
        <v>5666</v>
      </c>
      <c r="E1749" s="18" t="s">
        <v>5667</v>
      </c>
      <c r="F1749" s="18" t="s">
        <v>5668</v>
      </c>
      <c r="G1749" s="18" t="s">
        <v>5737</v>
      </c>
      <c r="H1749" s="157" t="s">
        <v>5738</v>
      </c>
      <c r="I1749" s="18" t="s">
        <v>5762</v>
      </c>
      <c r="J1749" s="18" t="s">
        <v>5763</v>
      </c>
      <c r="K1749" s="18" t="s">
        <v>5802</v>
      </c>
      <c r="L1749" s="18" t="s">
        <v>5803</v>
      </c>
      <c r="M1749" s="18" t="s">
        <v>5804</v>
      </c>
      <c r="N1749" s="16">
        <v>0</v>
      </c>
      <c r="O1749" s="16">
        <v>30</v>
      </c>
      <c r="P1749" s="16">
        <v>45</v>
      </c>
      <c r="Q1749" s="16">
        <v>50</v>
      </c>
      <c r="R1749" s="16">
        <v>60</v>
      </c>
      <c r="S1749" s="16">
        <v>75</v>
      </c>
      <c r="T1749" s="18" t="s">
        <v>2234</v>
      </c>
      <c r="U1749" s="283" t="s">
        <v>2236</v>
      </c>
      <c r="V1749" s="18" t="s">
        <v>5805</v>
      </c>
      <c r="W1749" s="18">
        <v>1</v>
      </c>
      <c r="X1749" s="18">
        <v>0</v>
      </c>
      <c r="Y1749" s="18">
        <v>1</v>
      </c>
      <c r="Z1749" s="18">
        <v>1</v>
      </c>
      <c r="AA1749" s="18">
        <v>1</v>
      </c>
      <c r="AB1749" s="18">
        <v>0</v>
      </c>
      <c r="AC1749" s="316">
        <v>1</v>
      </c>
      <c r="AD1749" s="316">
        <v>1</v>
      </c>
      <c r="AE1749" s="302">
        <v>0.75</v>
      </c>
      <c r="AF1749" s="259"/>
      <c r="AG1749" s="259">
        <v>0</v>
      </c>
      <c r="AH1749" s="259">
        <v>0.36399999999999999</v>
      </c>
      <c r="AI1749" s="259">
        <v>0.36399999999999999</v>
      </c>
      <c r="AJ1749" s="259">
        <v>0.36399999999999999</v>
      </c>
      <c r="AK1749" s="260">
        <v>0.36</v>
      </c>
      <c r="AL1749" s="260">
        <v>0.36</v>
      </c>
      <c r="AM1749" s="259">
        <v>0.72</v>
      </c>
      <c r="AN1749" s="18" t="s">
        <v>2172</v>
      </c>
      <c r="AO1749" s="18" t="s">
        <v>2236</v>
      </c>
      <c r="AP1749" s="18" t="s">
        <v>119</v>
      </c>
    </row>
    <row r="1750" spans="1:42" x14ac:dyDescent="0.3">
      <c r="A1750" s="18" t="s">
        <v>1463</v>
      </c>
      <c r="B1750" s="18" t="s">
        <v>5664</v>
      </c>
      <c r="C1750" s="18" t="s">
        <v>1464</v>
      </c>
      <c r="D1750" s="18" t="s">
        <v>5666</v>
      </c>
      <c r="E1750" s="18" t="s">
        <v>5667</v>
      </c>
      <c r="F1750" s="18" t="s">
        <v>5668</v>
      </c>
      <c r="G1750" s="18" t="s">
        <v>5737</v>
      </c>
      <c r="H1750" s="157" t="s">
        <v>5738</v>
      </c>
      <c r="I1750" s="18" t="s">
        <v>5762</v>
      </c>
      <c r="J1750" s="18" t="s">
        <v>5763</v>
      </c>
      <c r="K1750" s="18" t="s">
        <v>5806</v>
      </c>
      <c r="L1750" s="18" t="s">
        <v>5807</v>
      </c>
      <c r="M1750" s="18" t="s">
        <v>5808</v>
      </c>
      <c r="N1750" s="16">
        <v>0</v>
      </c>
      <c r="O1750" s="16">
        <v>0</v>
      </c>
      <c r="P1750" s="16">
        <v>0</v>
      </c>
      <c r="Q1750" s="16">
        <v>1</v>
      </c>
      <c r="R1750" s="16">
        <v>0</v>
      </c>
      <c r="S1750" s="16">
        <v>0</v>
      </c>
      <c r="T1750" s="18" t="s">
        <v>2234</v>
      </c>
      <c r="U1750" s="283" t="s">
        <v>2236</v>
      </c>
      <c r="V1750" s="18" t="s">
        <v>5809</v>
      </c>
      <c r="W1750" s="18">
        <v>1</v>
      </c>
      <c r="X1750" s="18">
        <v>1</v>
      </c>
      <c r="Y1750" s="18">
        <v>0</v>
      </c>
      <c r="Z1750" s="18">
        <v>1</v>
      </c>
      <c r="AA1750" s="18">
        <v>1</v>
      </c>
      <c r="AB1750" s="18">
        <v>0</v>
      </c>
      <c r="AC1750" s="316">
        <v>1</v>
      </c>
      <c r="AD1750" s="316">
        <v>1</v>
      </c>
      <c r="AE1750" s="302">
        <v>0.75</v>
      </c>
      <c r="AF1750" s="259"/>
      <c r="AG1750" s="259">
        <v>0</v>
      </c>
      <c r="AH1750" s="259">
        <v>0</v>
      </c>
      <c r="AI1750" s="259">
        <v>0</v>
      </c>
      <c r="AJ1750" s="259">
        <v>0.5</v>
      </c>
      <c r="AK1750" s="260">
        <v>0</v>
      </c>
      <c r="AL1750" s="260">
        <v>0</v>
      </c>
      <c r="AM1750" s="259">
        <v>0</v>
      </c>
      <c r="AN1750" s="18" t="s">
        <v>2172</v>
      </c>
      <c r="AO1750" s="18" t="s">
        <v>2236</v>
      </c>
      <c r="AP1750" s="18" t="s">
        <v>119</v>
      </c>
    </row>
    <row r="1751" spans="1:42" hidden="1" x14ac:dyDescent="0.3">
      <c r="A1751" s="18" t="s">
        <v>1463</v>
      </c>
      <c r="B1751" s="18" t="s">
        <v>5664</v>
      </c>
      <c r="C1751" s="18" t="s">
        <v>1464</v>
      </c>
      <c r="D1751" s="18" t="s">
        <v>5666</v>
      </c>
      <c r="E1751" s="18" t="s">
        <v>5667</v>
      </c>
      <c r="F1751" s="18" t="s">
        <v>5668</v>
      </c>
      <c r="G1751" s="18" t="s">
        <v>5737</v>
      </c>
      <c r="H1751" s="157" t="s">
        <v>5738</v>
      </c>
      <c r="I1751" s="18" t="s">
        <v>5762</v>
      </c>
      <c r="J1751" s="18" t="s">
        <v>5763</v>
      </c>
      <c r="K1751" s="18" t="s">
        <v>5810</v>
      </c>
      <c r="L1751" s="18" t="s">
        <v>5811</v>
      </c>
      <c r="M1751" s="18" t="s">
        <v>5812</v>
      </c>
      <c r="N1751" s="16">
        <v>0</v>
      </c>
      <c r="O1751" s="16">
        <v>1</v>
      </c>
      <c r="P1751" s="16">
        <v>0</v>
      </c>
      <c r="Q1751" s="16">
        <v>0</v>
      </c>
      <c r="R1751" s="16">
        <v>0</v>
      </c>
      <c r="S1751" s="16">
        <v>0</v>
      </c>
      <c r="T1751" s="18" t="s">
        <v>2234</v>
      </c>
      <c r="U1751" s="283" t="s">
        <v>2236</v>
      </c>
      <c r="V1751" s="18" t="s">
        <v>5813</v>
      </c>
      <c r="W1751" s="18">
        <v>1</v>
      </c>
      <c r="X1751" s="18">
        <v>1</v>
      </c>
      <c r="Y1751" s="18">
        <v>0</v>
      </c>
      <c r="Z1751" s="18">
        <v>1</v>
      </c>
      <c r="AA1751" s="18">
        <v>1</v>
      </c>
      <c r="AB1751" s="18">
        <v>0</v>
      </c>
      <c r="AC1751" s="316">
        <v>0</v>
      </c>
      <c r="AD1751" s="316">
        <v>1</v>
      </c>
      <c r="AE1751" s="302">
        <v>0.625</v>
      </c>
      <c r="AF1751" s="259"/>
      <c r="AG1751" s="259">
        <v>0</v>
      </c>
      <c r="AH1751" s="259">
        <v>0.66</v>
      </c>
      <c r="AI1751" s="259">
        <v>0</v>
      </c>
      <c r="AJ1751" s="259">
        <v>0</v>
      </c>
      <c r="AK1751" s="260">
        <v>0.6</v>
      </c>
      <c r="AL1751" s="260">
        <v>0</v>
      </c>
      <c r="AM1751" s="259">
        <v>0</v>
      </c>
      <c r="AN1751" s="18" t="s">
        <v>2234</v>
      </c>
      <c r="AO1751" s="18" t="s">
        <v>2236</v>
      </c>
      <c r="AP1751" s="18" t="s">
        <v>831</v>
      </c>
    </row>
    <row r="1752" spans="1:42" x14ac:dyDescent="0.3">
      <c r="A1752" s="18" t="s">
        <v>1463</v>
      </c>
      <c r="B1752" s="18" t="s">
        <v>5664</v>
      </c>
      <c r="C1752" s="18" t="s">
        <v>1464</v>
      </c>
      <c r="D1752" s="18" t="s">
        <v>5666</v>
      </c>
      <c r="E1752" s="18" t="s">
        <v>5667</v>
      </c>
      <c r="F1752" s="18" t="s">
        <v>5668</v>
      </c>
      <c r="G1752" s="18" t="s">
        <v>5737</v>
      </c>
      <c r="H1752" s="157" t="s">
        <v>5738</v>
      </c>
      <c r="I1752" s="18" t="s">
        <v>5762</v>
      </c>
      <c r="J1752" s="18" t="s">
        <v>5763</v>
      </c>
      <c r="K1752" s="18" t="s">
        <v>5810</v>
      </c>
      <c r="L1752" s="18" t="s">
        <v>5811</v>
      </c>
      <c r="M1752" s="18" t="s">
        <v>5814</v>
      </c>
      <c r="N1752" s="16"/>
      <c r="O1752" s="16">
        <v>1</v>
      </c>
      <c r="P1752" s="16">
        <v>1</v>
      </c>
      <c r="Q1752" s="16">
        <v>1</v>
      </c>
      <c r="R1752" s="16">
        <v>1</v>
      </c>
      <c r="S1752" s="16">
        <v>1</v>
      </c>
      <c r="T1752" s="18" t="s">
        <v>5815</v>
      </c>
      <c r="U1752" s="283" t="e">
        <v>#N/A</v>
      </c>
      <c r="V1752" s="18" t="s">
        <v>5816</v>
      </c>
      <c r="W1752" s="18">
        <v>1</v>
      </c>
      <c r="X1752" s="18">
        <v>1</v>
      </c>
      <c r="Y1752" s="18">
        <v>1</v>
      </c>
      <c r="Z1752" s="18">
        <v>1</v>
      </c>
      <c r="AA1752" s="18">
        <v>1</v>
      </c>
      <c r="AB1752" s="18">
        <v>0</v>
      </c>
      <c r="AC1752" s="316">
        <v>0</v>
      </c>
      <c r="AD1752" s="316">
        <v>1</v>
      </c>
      <c r="AE1752" s="302">
        <v>0.75</v>
      </c>
      <c r="AF1752" s="259"/>
      <c r="AG1752" s="259">
        <v>0</v>
      </c>
      <c r="AH1752" s="259">
        <v>0.25</v>
      </c>
      <c r="AI1752" s="259">
        <v>0.25</v>
      </c>
      <c r="AJ1752" s="259">
        <v>0.25</v>
      </c>
      <c r="AK1752" s="260">
        <v>0.25</v>
      </c>
      <c r="AL1752" s="260">
        <v>0.25</v>
      </c>
      <c r="AM1752" s="259">
        <v>0.5</v>
      </c>
      <c r="AN1752" s="18" t="s">
        <v>2234</v>
      </c>
      <c r="AO1752" s="18" t="s">
        <v>2236</v>
      </c>
      <c r="AP1752" s="18" t="s">
        <v>5817</v>
      </c>
    </row>
    <row r="1753" spans="1:42" hidden="1" x14ac:dyDescent="0.3">
      <c r="A1753" s="18" t="s">
        <v>1463</v>
      </c>
      <c r="B1753" s="18" t="s">
        <v>5664</v>
      </c>
      <c r="C1753" s="18" t="s">
        <v>1464</v>
      </c>
      <c r="D1753" s="18" t="s">
        <v>5666</v>
      </c>
      <c r="E1753" s="18" t="s">
        <v>5667</v>
      </c>
      <c r="F1753" s="18" t="s">
        <v>5668</v>
      </c>
      <c r="G1753" s="18" t="s">
        <v>5737</v>
      </c>
      <c r="H1753" s="157" t="s">
        <v>5738</v>
      </c>
      <c r="I1753" s="18" t="s">
        <v>5762</v>
      </c>
      <c r="J1753" s="18" t="s">
        <v>5763</v>
      </c>
      <c r="K1753" s="18" t="s">
        <v>5818</v>
      </c>
      <c r="L1753" s="18" t="s">
        <v>5819</v>
      </c>
      <c r="M1753" s="18" t="s">
        <v>5820</v>
      </c>
      <c r="N1753" s="16"/>
      <c r="O1753" s="16">
        <v>1</v>
      </c>
      <c r="P1753" s="16">
        <v>1</v>
      </c>
      <c r="Q1753" s="16">
        <v>1</v>
      </c>
      <c r="R1753" s="16">
        <v>1</v>
      </c>
      <c r="S1753" s="16">
        <v>1</v>
      </c>
      <c r="T1753" s="18" t="s">
        <v>5696</v>
      </c>
      <c r="U1753" s="283" t="e">
        <v>#N/A</v>
      </c>
      <c r="V1753" s="18" t="s">
        <v>5821</v>
      </c>
      <c r="W1753" s="18">
        <v>1</v>
      </c>
      <c r="X1753" s="18">
        <v>1</v>
      </c>
      <c r="Y1753" s="18">
        <v>1</v>
      </c>
      <c r="Z1753" s="18">
        <v>1</v>
      </c>
      <c r="AA1753" s="18">
        <v>1</v>
      </c>
      <c r="AB1753" s="18">
        <v>0</v>
      </c>
      <c r="AC1753" s="316">
        <v>0</v>
      </c>
      <c r="AD1753" s="316">
        <v>0</v>
      </c>
      <c r="AE1753" s="302">
        <v>0.625</v>
      </c>
      <c r="AF1753" s="259"/>
      <c r="AG1753" s="259">
        <v>0</v>
      </c>
      <c r="AH1753" s="259">
        <v>2.5</v>
      </c>
      <c r="AI1753" s="259">
        <v>1.05</v>
      </c>
      <c r="AJ1753" s="259">
        <v>0.71</v>
      </c>
      <c r="AK1753" s="260">
        <v>0.45</v>
      </c>
      <c r="AL1753" s="260">
        <v>0.45</v>
      </c>
      <c r="AM1753" s="259">
        <v>0.9</v>
      </c>
      <c r="AN1753" s="18" t="s">
        <v>2234</v>
      </c>
      <c r="AO1753" s="18" t="s">
        <v>2236</v>
      </c>
      <c r="AP1753" s="18" t="s">
        <v>5676</v>
      </c>
    </row>
    <row r="1754" spans="1:42" x14ac:dyDescent="0.3">
      <c r="A1754" s="18" t="s">
        <v>1463</v>
      </c>
      <c r="B1754" s="18" t="s">
        <v>5664</v>
      </c>
      <c r="C1754" s="18" t="s">
        <v>1464</v>
      </c>
      <c r="D1754" s="18" t="s">
        <v>5666</v>
      </c>
      <c r="E1754" s="18" t="s">
        <v>5667</v>
      </c>
      <c r="F1754" s="18" t="s">
        <v>5668</v>
      </c>
      <c r="G1754" s="18" t="s">
        <v>5822</v>
      </c>
      <c r="H1754" s="157" t="s">
        <v>5823</v>
      </c>
      <c r="I1754" s="18"/>
      <c r="J1754" s="18"/>
      <c r="K1754" s="18" t="s">
        <v>5824</v>
      </c>
      <c r="L1754" s="18" t="s">
        <v>5825</v>
      </c>
      <c r="M1754" s="18" t="s">
        <v>5826</v>
      </c>
      <c r="N1754" s="16" t="s">
        <v>271</v>
      </c>
      <c r="O1754" s="16">
        <v>100</v>
      </c>
      <c r="P1754" s="16">
        <v>100</v>
      </c>
      <c r="Q1754" s="16">
        <v>100</v>
      </c>
      <c r="R1754" s="16">
        <v>100</v>
      </c>
      <c r="S1754" s="16">
        <v>100</v>
      </c>
      <c r="T1754" s="18" t="s">
        <v>5827</v>
      </c>
      <c r="U1754" s="283" t="e">
        <v>#N/A</v>
      </c>
      <c r="V1754" s="18" t="s">
        <v>5828</v>
      </c>
      <c r="W1754" s="18">
        <v>1</v>
      </c>
      <c r="X1754" s="18">
        <v>1</v>
      </c>
      <c r="Y1754" s="18">
        <v>1</v>
      </c>
      <c r="Z1754" s="18">
        <v>1</v>
      </c>
      <c r="AA1754" s="18">
        <v>1</v>
      </c>
      <c r="AB1754" s="18">
        <v>1</v>
      </c>
      <c r="AC1754" s="316">
        <v>1</v>
      </c>
      <c r="AD1754" s="316">
        <v>1</v>
      </c>
      <c r="AE1754" s="302">
        <v>1</v>
      </c>
      <c r="AF1754" s="259"/>
      <c r="AG1754" s="259">
        <v>0</v>
      </c>
      <c r="AH1754" s="259">
        <v>2</v>
      </c>
      <c r="AI1754" s="259">
        <v>2</v>
      </c>
      <c r="AJ1754" s="259">
        <v>2</v>
      </c>
      <c r="AK1754" s="260">
        <v>2</v>
      </c>
      <c r="AL1754" s="260">
        <v>2</v>
      </c>
      <c r="AM1754" s="259">
        <v>4</v>
      </c>
      <c r="AN1754" s="18" t="s">
        <v>5829</v>
      </c>
      <c r="AO1754" s="18" t="s">
        <v>5830</v>
      </c>
      <c r="AP1754" s="18" t="s">
        <v>5831</v>
      </c>
    </row>
    <row r="1755" spans="1:42" x14ac:dyDescent="0.3">
      <c r="A1755" s="18" t="s">
        <v>1463</v>
      </c>
      <c r="B1755" s="18" t="s">
        <v>5664</v>
      </c>
      <c r="C1755" s="18" t="s">
        <v>1464</v>
      </c>
      <c r="D1755" s="18" t="s">
        <v>5666</v>
      </c>
      <c r="E1755" s="18" t="s">
        <v>5667</v>
      </c>
      <c r="F1755" s="18" t="s">
        <v>5668</v>
      </c>
      <c r="G1755" s="18" t="s">
        <v>5822</v>
      </c>
      <c r="H1755" s="157" t="s">
        <v>5823</v>
      </c>
      <c r="I1755" s="18"/>
      <c r="J1755" s="18"/>
      <c r="K1755" s="18" t="s">
        <v>5832</v>
      </c>
      <c r="L1755" s="18" t="s">
        <v>5833</v>
      </c>
      <c r="M1755" s="18" t="s">
        <v>5834</v>
      </c>
      <c r="N1755" s="16">
        <v>85.7</v>
      </c>
      <c r="O1755" s="16">
        <v>88</v>
      </c>
      <c r="P1755" s="16"/>
      <c r="Q1755" s="16">
        <v>92</v>
      </c>
      <c r="R1755" s="16"/>
      <c r="S1755" s="16">
        <v>95</v>
      </c>
      <c r="T1755" s="18" t="s">
        <v>5835</v>
      </c>
      <c r="U1755" s="283" t="e">
        <v>#N/A</v>
      </c>
      <c r="V1755" s="18" t="s">
        <v>5836</v>
      </c>
      <c r="W1755" s="18">
        <v>1</v>
      </c>
      <c r="X1755" s="18">
        <v>1</v>
      </c>
      <c r="Y1755" s="18">
        <v>0</v>
      </c>
      <c r="Z1755" s="18">
        <v>1</v>
      </c>
      <c r="AA1755" s="18">
        <v>1</v>
      </c>
      <c r="AB1755" s="18">
        <v>1</v>
      </c>
      <c r="AC1755" s="316">
        <v>1</v>
      </c>
      <c r="AD1755" s="316">
        <v>1</v>
      </c>
      <c r="AE1755" s="302">
        <v>0.875</v>
      </c>
      <c r="AF1755" s="259"/>
      <c r="AG1755" s="259">
        <v>0</v>
      </c>
      <c r="AH1755" s="259">
        <v>1.2</v>
      </c>
      <c r="AI1755" s="259">
        <v>0</v>
      </c>
      <c r="AJ1755" s="259">
        <v>1.2</v>
      </c>
      <c r="AK1755" s="260">
        <v>0</v>
      </c>
      <c r="AL1755" s="260">
        <v>1.2</v>
      </c>
      <c r="AM1755" s="259">
        <v>1.2</v>
      </c>
      <c r="AN1755" s="18" t="s">
        <v>5829</v>
      </c>
      <c r="AO1755" s="18" t="s">
        <v>5830</v>
      </c>
      <c r="AP1755" s="18" t="s">
        <v>5837</v>
      </c>
    </row>
    <row r="1756" spans="1:42" x14ac:dyDescent="0.3">
      <c r="A1756" s="18" t="s">
        <v>1463</v>
      </c>
      <c r="B1756" s="18" t="s">
        <v>5664</v>
      </c>
      <c r="C1756" s="18" t="s">
        <v>1464</v>
      </c>
      <c r="D1756" s="18" t="s">
        <v>5666</v>
      </c>
      <c r="E1756" s="18" t="s">
        <v>5667</v>
      </c>
      <c r="F1756" s="18" t="s">
        <v>5668</v>
      </c>
      <c r="G1756" s="18" t="s">
        <v>5822</v>
      </c>
      <c r="H1756" s="157" t="s">
        <v>5823</v>
      </c>
      <c r="I1756" s="18"/>
      <c r="J1756" s="18"/>
      <c r="K1756" s="18" t="s">
        <v>5832</v>
      </c>
      <c r="L1756" s="18" t="s">
        <v>5833</v>
      </c>
      <c r="M1756" s="18" t="s">
        <v>5838</v>
      </c>
      <c r="N1756" s="16">
        <v>305</v>
      </c>
      <c r="O1756" s="16">
        <v>336</v>
      </c>
      <c r="P1756" s="16">
        <v>400</v>
      </c>
      <c r="Q1756" s="16">
        <v>500</v>
      </c>
      <c r="R1756" s="16">
        <v>600</v>
      </c>
      <c r="S1756" s="16">
        <v>664</v>
      </c>
      <c r="T1756" s="265" t="s">
        <v>5829</v>
      </c>
      <c r="U1756" s="283" t="s">
        <v>5839</v>
      </c>
      <c r="V1756" s="18" t="s">
        <v>5840</v>
      </c>
      <c r="W1756" s="18">
        <v>1</v>
      </c>
      <c r="X1756" s="18">
        <v>1</v>
      </c>
      <c r="Y1756" s="18">
        <v>0</v>
      </c>
      <c r="Z1756" s="18">
        <v>1</v>
      </c>
      <c r="AA1756" s="18">
        <v>1</v>
      </c>
      <c r="AB1756" s="18">
        <v>1</v>
      </c>
      <c r="AC1756" s="316">
        <v>1</v>
      </c>
      <c r="AD1756" s="316">
        <v>1</v>
      </c>
      <c r="AE1756" s="302">
        <v>0.875</v>
      </c>
      <c r="AF1756" s="259"/>
      <c r="AG1756" s="259">
        <v>0</v>
      </c>
      <c r="AH1756" s="259">
        <v>1.5</v>
      </c>
      <c r="AI1756" s="259">
        <v>1.6</v>
      </c>
      <c r="AJ1756" s="259">
        <v>1.7</v>
      </c>
      <c r="AK1756" s="260">
        <v>1.8</v>
      </c>
      <c r="AL1756" s="260">
        <v>1.9</v>
      </c>
      <c r="AM1756" s="259">
        <v>3.7</v>
      </c>
      <c r="AN1756" s="265" t="s">
        <v>5829</v>
      </c>
      <c r="AO1756" s="18" t="s">
        <v>5830</v>
      </c>
      <c r="AP1756" s="265" t="s">
        <v>280</v>
      </c>
    </row>
    <row r="1757" spans="1:42" hidden="1" x14ac:dyDescent="0.3">
      <c r="A1757" s="18" t="s">
        <v>1463</v>
      </c>
      <c r="B1757" s="18" t="s">
        <v>5664</v>
      </c>
      <c r="C1757" s="18" t="s">
        <v>1464</v>
      </c>
      <c r="D1757" s="18" t="s">
        <v>5666</v>
      </c>
      <c r="E1757" s="18" t="s">
        <v>5667</v>
      </c>
      <c r="F1757" s="18" t="s">
        <v>5668</v>
      </c>
      <c r="G1757" s="18" t="s">
        <v>5822</v>
      </c>
      <c r="H1757" s="157" t="s">
        <v>5823</v>
      </c>
      <c r="I1757" s="18"/>
      <c r="J1757" s="18"/>
      <c r="K1757" s="18" t="s">
        <v>5841</v>
      </c>
      <c r="L1757" s="18" t="s">
        <v>5842</v>
      </c>
      <c r="M1757" s="18" t="s">
        <v>5843</v>
      </c>
      <c r="N1757" s="16">
        <v>0</v>
      </c>
      <c r="O1757" s="16">
        <v>2</v>
      </c>
      <c r="P1757" s="16">
        <v>2</v>
      </c>
      <c r="Q1757" s="16">
        <v>2</v>
      </c>
      <c r="R1757" s="16"/>
      <c r="S1757" s="16"/>
      <c r="T1757" s="18" t="s">
        <v>2234</v>
      </c>
      <c r="U1757" s="283" t="s">
        <v>2236</v>
      </c>
      <c r="V1757" s="18" t="s">
        <v>5844</v>
      </c>
      <c r="W1757" s="18">
        <v>1</v>
      </c>
      <c r="X1757" s="18">
        <v>0</v>
      </c>
      <c r="Y1757" s="18">
        <v>0</v>
      </c>
      <c r="Z1757" s="18">
        <v>1</v>
      </c>
      <c r="AA1757" s="18">
        <v>1</v>
      </c>
      <c r="AB1757" s="18">
        <v>0</v>
      </c>
      <c r="AC1757" s="316">
        <v>1</v>
      </c>
      <c r="AD1757" s="316">
        <v>1</v>
      </c>
      <c r="AE1757" s="302">
        <v>0.625</v>
      </c>
      <c r="AF1757" s="259"/>
      <c r="AG1757" s="259">
        <v>0</v>
      </c>
      <c r="AH1757" s="259">
        <v>0.5</v>
      </c>
      <c r="AI1757" s="259">
        <v>0.5</v>
      </c>
      <c r="AJ1757" s="259">
        <v>0.5</v>
      </c>
      <c r="AK1757" s="260">
        <v>0.5</v>
      </c>
      <c r="AL1757" s="260">
        <v>0.5</v>
      </c>
      <c r="AM1757" s="259">
        <v>1</v>
      </c>
      <c r="AN1757" s="18" t="s">
        <v>2172</v>
      </c>
      <c r="AO1757" s="18" t="s">
        <v>2236</v>
      </c>
      <c r="AP1757" s="18" t="s">
        <v>5676</v>
      </c>
    </row>
    <row r="1758" spans="1:42" hidden="1" x14ac:dyDescent="0.3">
      <c r="A1758" s="18" t="s">
        <v>1463</v>
      </c>
      <c r="B1758" s="18" t="s">
        <v>5664</v>
      </c>
      <c r="C1758" s="18" t="s">
        <v>1464</v>
      </c>
      <c r="D1758" s="18" t="s">
        <v>5666</v>
      </c>
      <c r="E1758" s="18" t="s">
        <v>5667</v>
      </c>
      <c r="F1758" s="18" t="s">
        <v>5668</v>
      </c>
      <c r="G1758" s="18" t="s">
        <v>5822</v>
      </c>
      <c r="H1758" s="157" t="s">
        <v>5823</v>
      </c>
      <c r="I1758" s="18"/>
      <c r="J1758" s="18"/>
      <c r="K1758" s="18" t="s">
        <v>5841</v>
      </c>
      <c r="L1758" s="18" t="s">
        <v>5842</v>
      </c>
      <c r="M1758" s="18" t="s">
        <v>5845</v>
      </c>
      <c r="N1758" s="16">
        <v>0</v>
      </c>
      <c r="O1758" s="16">
        <v>2</v>
      </c>
      <c r="P1758" s="16">
        <v>1</v>
      </c>
      <c r="Q1758" s="16"/>
      <c r="R1758" s="16"/>
      <c r="S1758" s="16"/>
      <c r="T1758" s="18" t="s">
        <v>2234</v>
      </c>
      <c r="U1758" s="283" t="s">
        <v>2236</v>
      </c>
      <c r="V1758" s="18" t="s">
        <v>5846</v>
      </c>
      <c r="W1758" s="18">
        <v>1</v>
      </c>
      <c r="X1758" s="18">
        <v>0</v>
      </c>
      <c r="Y1758" s="18">
        <v>0</v>
      </c>
      <c r="Z1758" s="18">
        <v>1</v>
      </c>
      <c r="AA1758" s="18">
        <v>1</v>
      </c>
      <c r="AB1758" s="18">
        <v>0</v>
      </c>
      <c r="AC1758" s="316">
        <v>1</v>
      </c>
      <c r="AD1758" s="316">
        <v>1</v>
      </c>
      <c r="AE1758" s="302">
        <v>0.625</v>
      </c>
      <c r="AF1758" s="259"/>
      <c r="AG1758" s="259">
        <v>0</v>
      </c>
      <c r="AH1758" s="259">
        <v>0.4</v>
      </c>
      <c r="AI1758" s="259">
        <v>0.2</v>
      </c>
      <c r="AJ1758" s="259"/>
      <c r="AK1758" s="260">
        <v>0.2</v>
      </c>
      <c r="AL1758" s="260"/>
      <c r="AM1758" s="259">
        <v>0</v>
      </c>
      <c r="AN1758" s="18" t="s">
        <v>2172</v>
      </c>
      <c r="AO1758" s="18" t="s">
        <v>2236</v>
      </c>
      <c r="AP1758" s="18" t="s">
        <v>119</v>
      </c>
    </row>
    <row r="1759" spans="1:42" hidden="1" x14ac:dyDescent="0.3">
      <c r="A1759" s="18" t="s">
        <v>1463</v>
      </c>
      <c r="B1759" s="18" t="s">
        <v>5664</v>
      </c>
      <c r="C1759" s="18" t="s">
        <v>1464</v>
      </c>
      <c r="D1759" s="18" t="s">
        <v>5666</v>
      </c>
      <c r="E1759" s="18" t="s">
        <v>5667</v>
      </c>
      <c r="F1759" s="18" t="s">
        <v>5668</v>
      </c>
      <c r="G1759" s="18" t="s">
        <v>5822</v>
      </c>
      <c r="H1759" s="157" t="s">
        <v>5823</v>
      </c>
      <c r="I1759" s="18"/>
      <c r="J1759" s="18"/>
      <c r="K1759" s="18" t="s">
        <v>5847</v>
      </c>
      <c r="L1759" s="18" t="s">
        <v>5848</v>
      </c>
      <c r="M1759" s="18" t="s">
        <v>5849</v>
      </c>
      <c r="N1759" s="16">
        <v>45</v>
      </c>
      <c r="O1759" s="16">
        <v>60</v>
      </c>
      <c r="P1759" s="16">
        <v>60</v>
      </c>
      <c r="Q1759" s="16">
        <v>60</v>
      </c>
      <c r="R1759" s="16">
        <v>60</v>
      </c>
      <c r="S1759" s="16">
        <v>60</v>
      </c>
      <c r="T1759" s="18" t="s">
        <v>2234</v>
      </c>
      <c r="U1759" s="283" t="s">
        <v>2236</v>
      </c>
      <c r="V1759" s="18" t="s">
        <v>5850</v>
      </c>
      <c r="W1759" s="18">
        <v>1</v>
      </c>
      <c r="X1759" s="18">
        <v>0</v>
      </c>
      <c r="Y1759" s="18">
        <v>0</v>
      </c>
      <c r="Z1759" s="18">
        <v>1</v>
      </c>
      <c r="AA1759" s="18">
        <v>1</v>
      </c>
      <c r="AB1759" s="18">
        <v>0</v>
      </c>
      <c r="AC1759" s="316">
        <v>1</v>
      </c>
      <c r="AD1759" s="316">
        <v>1</v>
      </c>
      <c r="AE1759" s="302">
        <v>0.625</v>
      </c>
      <c r="AF1759" s="259"/>
      <c r="AG1759" s="259">
        <v>0</v>
      </c>
      <c r="AH1759" s="259">
        <v>0.19</v>
      </c>
      <c r="AI1759" s="259">
        <v>0.19</v>
      </c>
      <c r="AJ1759" s="259">
        <v>0.19</v>
      </c>
      <c r="AK1759" s="260">
        <v>0.2</v>
      </c>
      <c r="AL1759" s="260">
        <v>0.19</v>
      </c>
      <c r="AM1759" s="259">
        <v>0.38</v>
      </c>
      <c r="AN1759" s="18" t="s">
        <v>2172</v>
      </c>
      <c r="AO1759" s="18" t="s">
        <v>2236</v>
      </c>
      <c r="AP1759" s="18" t="s">
        <v>119</v>
      </c>
    </row>
    <row r="1760" spans="1:42" hidden="1" x14ac:dyDescent="0.3">
      <c r="A1760" s="18" t="s">
        <v>1463</v>
      </c>
      <c r="B1760" s="18" t="s">
        <v>5664</v>
      </c>
      <c r="C1760" s="18" t="s">
        <v>1464</v>
      </c>
      <c r="D1760" s="18" t="s">
        <v>5666</v>
      </c>
      <c r="E1760" s="18" t="s">
        <v>5667</v>
      </c>
      <c r="F1760" s="18" t="s">
        <v>5668</v>
      </c>
      <c r="G1760" s="18" t="s">
        <v>5822</v>
      </c>
      <c r="H1760" s="157" t="s">
        <v>5823</v>
      </c>
      <c r="I1760" s="18"/>
      <c r="J1760" s="18"/>
      <c r="K1760" s="18" t="s">
        <v>5851</v>
      </c>
      <c r="L1760" s="18" t="s">
        <v>5852</v>
      </c>
      <c r="M1760" s="18" t="s">
        <v>5853</v>
      </c>
      <c r="N1760" s="16">
        <v>0</v>
      </c>
      <c r="O1760" s="16">
        <v>170</v>
      </c>
      <c r="P1760" s="16">
        <v>190</v>
      </c>
      <c r="Q1760" s="16">
        <v>190</v>
      </c>
      <c r="R1760" s="16">
        <v>170</v>
      </c>
      <c r="S1760" s="16">
        <v>170</v>
      </c>
      <c r="T1760" s="18" t="s">
        <v>2234</v>
      </c>
      <c r="U1760" s="283" t="s">
        <v>2236</v>
      </c>
      <c r="V1760" s="18" t="s">
        <v>5854</v>
      </c>
      <c r="W1760" s="18">
        <v>1</v>
      </c>
      <c r="X1760" s="18">
        <v>0</v>
      </c>
      <c r="Y1760" s="18">
        <v>0</v>
      </c>
      <c r="Z1760" s="18">
        <v>1</v>
      </c>
      <c r="AA1760" s="18">
        <v>1</v>
      </c>
      <c r="AB1760" s="18">
        <v>0</v>
      </c>
      <c r="AC1760" s="316">
        <v>1</v>
      </c>
      <c r="AD1760" s="316">
        <v>1</v>
      </c>
      <c r="AE1760" s="302">
        <v>0.625</v>
      </c>
      <c r="AF1760" s="259"/>
      <c r="AG1760" s="259">
        <v>0</v>
      </c>
      <c r="AH1760" s="259">
        <v>0.2</v>
      </c>
      <c r="AI1760" s="259">
        <v>0.5</v>
      </c>
      <c r="AJ1760" s="259">
        <v>0.5</v>
      </c>
      <c r="AK1760" s="260">
        <v>0.5</v>
      </c>
      <c r="AL1760" s="260">
        <v>0.5</v>
      </c>
      <c r="AM1760" s="259">
        <v>1</v>
      </c>
      <c r="AN1760" s="18" t="s">
        <v>2234</v>
      </c>
      <c r="AO1760" s="18" t="s">
        <v>2236</v>
      </c>
      <c r="AP1760" s="18"/>
    </row>
    <row r="1761" spans="1:42" x14ac:dyDescent="0.3">
      <c r="A1761" s="18" t="s">
        <v>1463</v>
      </c>
      <c r="B1761" s="18" t="s">
        <v>5664</v>
      </c>
      <c r="C1761" s="18" t="s">
        <v>1464</v>
      </c>
      <c r="D1761" s="18" t="s">
        <v>5666</v>
      </c>
      <c r="E1761" s="18" t="s">
        <v>5667</v>
      </c>
      <c r="F1761" s="18" t="s">
        <v>5668</v>
      </c>
      <c r="G1761" s="18" t="s">
        <v>5822</v>
      </c>
      <c r="H1761" s="157" t="s">
        <v>5823</v>
      </c>
      <c r="I1761" s="18"/>
      <c r="J1761" s="18"/>
      <c r="K1761" s="18" t="s">
        <v>5855</v>
      </c>
      <c r="L1761" s="18" t="s">
        <v>5856</v>
      </c>
      <c r="M1761" s="18" t="s">
        <v>5857</v>
      </c>
      <c r="N1761" s="16">
        <v>49</v>
      </c>
      <c r="O1761" s="16" t="s">
        <v>271</v>
      </c>
      <c r="P1761" s="16">
        <v>145</v>
      </c>
      <c r="Q1761" s="16">
        <v>145</v>
      </c>
      <c r="R1761" s="16">
        <v>145</v>
      </c>
      <c r="S1761" s="16">
        <v>145</v>
      </c>
      <c r="T1761" s="18" t="s">
        <v>5676</v>
      </c>
      <c r="U1761" s="283" t="s">
        <v>5735</v>
      </c>
      <c r="V1761" s="18" t="s">
        <v>5858</v>
      </c>
      <c r="W1761" s="18">
        <v>1</v>
      </c>
      <c r="X1761" s="18">
        <v>0</v>
      </c>
      <c r="Y1761" s="18">
        <v>0</v>
      </c>
      <c r="Z1761" s="18">
        <v>1</v>
      </c>
      <c r="AA1761" s="18">
        <v>1</v>
      </c>
      <c r="AB1761" s="18">
        <v>1</v>
      </c>
      <c r="AC1761" s="316">
        <v>1</v>
      </c>
      <c r="AD1761" s="316">
        <v>1</v>
      </c>
      <c r="AE1761" s="302">
        <v>0.75</v>
      </c>
      <c r="AF1761" s="259"/>
      <c r="AG1761" s="259">
        <v>0</v>
      </c>
      <c r="AH1761" s="259">
        <v>0.2</v>
      </c>
      <c r="AI1761" s="259">
        <v>0.2</v>
      </c>
      <c r="AJ1761" s="259">
        <v>0.2</v>
      </c>
      <c r="AK1761" s="260">
        <v>0.2</v>
      </c>
      <c r="AL1761" s="260">
        <v>0.2</v>
      </c>
      <c r="AM1761" s="259">
        <v>0.4</v>
      </c>
      <c r="AN1761" s="18" t="s">
        <v>5676</v>
      </c>
      <c r="AO1761" s="18" t="s">
        <v>5735</v>
      </c>
      <c r="AP1761" s="18"/>
    </row>
    <row r="1762" spans="1:42" x14ac:dyDescent="0.3">
      <c r="A1762" s="18" t="s">
        <v>1463</v>
      </c>
      <c r="B1762" s="18" t="s">
        <v>5664</v>
      </c>
      <c r="C1762" s="18" t="s">
        <v>1464</v>
      </c>
      <c r="D1762" s="18" t="s">
        <v>5666</v>
      </c>
      <c r="E1762" s="18" t="s">
        <v>5667</v>
      </c>
      <c r="F1762" s="18" t="s">
        <v>5668</v>
      </c>
      <c r="G1762" s="18" t="s">
        <v>5822</v>
      </c>
      <c r="H1762" s="157" t="s">
        <v>5823</v>
      </c>
      <c r="I1762" s="18"/>
      <c r="J1762" s="18"/>
      <c r="K1762" s="18" t="s">
        <v>5855</v>
      </c>
      <c r="L1762" s="18" t="s">
        <v>5856</v>
      </c>
      <c r="M1762" s="18" t="s">
        <v>5859</v>
      </c>
      <c r="N1762" s="16"/>
      <c r="O1762" s="16"/>
      <c r="P1762" s="16">
        <v>145</v>
      </c>
      <c r="Q1762" s="16">
        <v>145</v>
      </c>
      <c r="R1762" s="16">
        <v>145</v>
      </c>
      <c r="S1762" s="16">
        <v>145</v>
      </c>
      <c r="T1762" s="18" t="s">
        <v>5676</v>
      </c>
      <c r="U1762" s="283" t="s">
        <v>5735</v>
      </c>
      <c r="V1762" s="18" t="s">
        <v>5860</v>
      </c>
      <c r="W1762" s="18">
        <v>1</v>
      </c>
      <c r="X1762" s="18">
        <v>1</v>
      </c>
      <c r="Y1762" s="18">
        <v>0</v>
      </c>
      <c r="Z1762" s="18">
        <v>1</v>
      </c>
      <c r="AA1762" s="18">
        <v>1</v>
      </c>
      <c r="AB1762" s="18">
        <v>0</v>
      </c>
      <c r="AC1762" s="316">
        <v>1</v>
      </c>
      <c r="AD1762" s="316">
        <v>1</v>
      </c>
      <c r="AE1762" s="302">
        <v>0.75</v>
      </c>
      <c r="AF1762" s="259"/>
      <c r="AG1762" s="259">
        <v>0</v>
      </c>
      <c r="AH1762" s="259">
        <v>1.2</v>
      </c>
      <c r="AI1762" s="259">
        <v>1.2</v>
      </c>
      <c r="AJ1762" s="259">
        <v>1.2</v>
      </c>
      <c r="AK1762" s="260">
        <v>1.2</v>
      </c>
      <c r="AL1762" s="260">
        <v>1.2</v>
      </c>
      <c r="AM1762" s="259">
        <v>2.4</v>
      </c>
      <c r="AN1762" s="18" t="s">
        <v>5676</v>
      </c>
      <c r="AO1762" s="18" t="s">
        <v>5735</v>
      </c>
      <c r="AP1762" s="18"/>
    </row>
    <row r="1763" spans="1:42" x14ac:dyDescent="0.3">
      <c r="A1763" s="18" t="s">
        <v>1463</v>
      </c>
      <c r="B1763" s="18" t="s">
        <v>5664</v>
      </c>
      <c r="C1763" s="18" t="s">
        <v>1464</v>
      </c>
      <c r="D1763" s="18" t="s">
        <v>5666</v>
      </c>
      <c r="E1763" s="18" t="s">
        <v>5667</v>
      </c>
      <c r="F1763" s="18" t="s">
        <v>5668</v>
      </c>
      <c r="G1763" s="18" t="s">
        <v>5822</v>
      </c>
      <c r="H1763" s="157" t="s">
        <v>5823</v>
      </c>
      <c r="I1763" s="18"/>
      <c r="J1763" s="18"/>
      <c r="K1763" s="18" t="s">
        <v>5861</v>
      </c>
      <c r="L1763" s="18" t="s">
        <v>5862</v>
      </c>
      <c r="M1763" s="18" t="s">
        <v>5863</v>
      </c>
      <c r="N1763" s="16">
        <v>88</v>
      </c>
      <c r="O1763" s="16">
        <v>100</v>
      </c>
      <c r="P1763" s="16">
        <v>100</v>
      </c>
      <c r="Q1763" s="16">
        <v>100</v>
      </c>
      <c r="R1763" s="16">
        <v>100</v>
      </c>
      <c r="S1763" s="16">
        <v>100</v>
      </c>
      <c r="T1763" s="18" t="s">
        <v>5676</v>
      </c>
      <c r="U1763" s="283" t="s">
        <v>5735</v>
      </c>
      <c r="V1763" s="18" t="s">
        <v>5864</v>
      </c>
      <c r="W1763" s="18">
        <v>1</v>
      </c>
      <c r="X1763" s="18">
        <v>1</v>
      </c>
      <c r="Y1763" s="18">
        <v>1</v>
      </c>
      <c r="Z1763" s="18">
        <v>1</v>
      </c>
      <c r="AA1763" s="18">
        <v>1</v>
      </c>
      <c r="AB1763" s="18">
        <v>1</v>
      </c>
      <c r="AC1763" s="316">
        <v>1</v>
      </c>
      <c r="AD1763" s="316">
        <v>1</v>
      </c>
      <c r="AE1763" s="302">
        <v>1</v>
      </c>
      <c r="AF1763" s="259"/>
      <c r="AG1763" s="259">
        <v>0</v>
      </c>
      <c r="AH1763" s="259">
        <v>0.01</v>
      </c>
      <c r="AI1763" s="259">
        <v>0.01</v>
      </c>
      <c r="AJ1763" s="259">
        <v>0.01</v>
      </c>
      <c r="AK1763" s="260">
        <v>0.01</v>
      </c>
      <c r="AL1763" s="260">
        <v>0.01</v>
      </c>
      <c r="AM1763" s="259">
        <v>0.02</v>
      </c>
      <c r="AN1763" s="18" t="s">
        <v>5676</v>
      </c>
      <c r="AO1763" s="18" t="s">
        <v>5735</v>
      </c>
      <c r="AP1763" s="18" t="s">
        <v>119</v>
      </c>
    </row>
    <row r="1764" spans="1:42" x14ac:dyDescent="0.3">
      <c r="A1764" s="18" t="s">
        <v>1463</v>
      </c>
      <c r="B1764" s="18" t="s">
        <v>5664</v>
      </c>
      <c r="C1764" s="18" t="s">
        <v>1464</v>
      </c>
      <c r="D1764" s="18" t="s">
        <v>5666</v>
      </c>
      <c r="E1764" s="18" t="s">
        <v>5667</v>
      </c>
      <c r="F1764" s="18" t="s">
        <v>5668</v>
      </c>
      <c r="G1764" s="18" t="s">
        <v>5822</v>
      </c>
      <c r="H1764" s="157" t="s">
        <v>5823</v>
      </c>
      <c r="I1764" s="18"/>
      <c r="J1764" s="18"/>
      <c r="K1764" s="18" t="s">
        <v>5865</v>
      </c>
      <c r="L1764" s="18" t="s">
        <v>5866</v>
      </c>
      <c r="M1764" s="18" t="s">
        <v>5867</v>
      </c>
      <c r="N1764" s="16">
        <v>0</v>
      </c>
      <c r="O1764" s="16">
        <v>1</v>
      </c>
      <c r="P1764" s="16">
        <v>2</v>
      </c>
      <c r="Q1764" s="16">
        <v>2</v>
      </c>
      <c r="R1764" s="16">
        <v>2</v>
      </c>
      <c r="S1764" s="16">
        <v>2</v>
      </c>
      <c r="T1764" s="18" t="s">
        <v>5676</v>
      </c>
      <c r="U1764" s="283" t="s">
        <v>5735</v>
      </c>
      <c r="V1764" s="18" t="s">
        <v>5868</v>
      </c>
      <c r="W1764" s="18">
        <v>1</v>
      </c>
      <c r="X1764" s="18">
        <v>1</v>
      </c>
      <c r="Y1764" s="18">
        <v>0</v>
      </c>
      <c r="Z1764" s="18">
        <v>1</v>
      </c>
      <c r="AA1764" s="18">
        <v>1</v>
      </c>
      <c r="AB1764" s="18">
        <v>0</v>
      </c>
      <c r="AC1764" s="316">
        <v>1</v>
      </c>
      <c r="AD1764" s="316">
        <v>1</v>
      </c>
      <c r="AE1764" s="302">
        <v>0.75</v>
      </c>
      <c r="AF1764" s="259"/>
      <c r="AG1764" s="259">
        <v>0</v>
      </c>
      <c r="AH1764" s="259">
        <v>0.4</v>
      </c>
      <c r="AI1764" s="259">
        <v>0.2</v>
      </c>
      <c r="AJ1764" s="259">
        <v>0.2</v>
      </c>
      <c r="AK1764" s="260">
        <v>0.2</v>
      </c>
      <c r="AL1764" s="260">
        <v>0.2</v>
      </c>
      <c r="AM1764" s="259">
        <v>0.4</v>
      </c>
      <c r="AN1764" s="18" t="s">
        <v>5676</v>
      </c>
      <c r="AO1764" s="18" t="s">
        <v>5735</v>
      </c>
      <c r="AP1764" s="18"/>
    </row>
    <row r="1765" spans="1:42" hidden="1" x14ac:dyDescent="0.3">
      <c r="A1765" s="18" t="s">
        <v>1463</v>
      </c>
      <c r="B1765" s="18" t="s">
        <v>5664</v>
      </c>
      <c r="C1765" s="18" t="s">
        <v>1464</v>
      </c>
      <c r="D1765" s="18" t="s">
        <v>5666</v>
      </c>
      <c r="E1765" s="18" t="s">
        <v>5667</v>
      </c>
      <c r="F1765" s="18" t="s">
        <v>5668</v>
      </c>
      <c r="G1765" s="18" t="s">
        <v>5822</v>
      </c>
      <c r="H1765" s="157" t="s">
        <v>5823</v>
      </c>
      <c r="I1765" s="18"/>
      <c r="J1765" s="18"/>
      <c r="K1765" s="18">
        <v>14110410</v>
      </c>
      <c r="L1765" s="18" t="s">
        <v>5869</v>
      </c>
      <c r="M1765" s="18" t="s">
        <v>5870</v>
      </c>
      <c r="N1765" s="16">
        <v>88</v>
      </c>
      <c r="O1765" s="16">
        <v>90</v>
      </c>
      <c r="P1765" s="16">
        <v>92</v>
      </c>
      <c r="Q1765" s="16">
        <v>95</v>
      </c>
      <c r="R1765" s="16">
        <v>95</v>
      </c>
      <c r="S1765" s="16">
        <v>95</v>
      </c>
      <c r="T1765" s="18" t="s">
        <v>5676</v>
      </c>
      <c r="U1765" s="283" t="s">
        <v>5735</v>
      </c>
      <c r="V1765" s="18" t="s">
        <v>5871</v>
      </c>
      <c r="W1765" s="18">
        <v>1</v>
      </c>
      <c r="X1765" s="18">
        <v>1</v>
      </c>
      <c r="Y1765" s="18">
        <v>0</v>
      </c>
      <c r="Z1765" s="18">
        <v>1</v>
      </c>
      <c r="AA1765" s="18">
        <v>1</v>
      </c>
      <c r="AB1765" s="18">
        <v>0</v>
      </c>
      <c r="AC1765" s="316">
        <v>0</v>
      </c>
      <c r="AD1765" s="316">
        <v>1</v>
      </c>
      <c r="AE1765" s="302">
        <v>0.625</v>
      </c>
      <c r="AF1765" s="259"/>
      <c r="AG1765" s="259">
        <v>0</v>
      </c>
      <c r="AH1765" s="259">
        <v>0.1</v>
      </c>
      <c r="AI1765" s="259">
        <v>0.1</v>
      </c>
      <c r="AJ1765" s="259">
        <v>0.1</v>
      </c>
      <c r="AK1765" s="260">
        <v>0.1</v>
      </c>
      <c r="AL1765" s="260">
        <v>0.1</v>
      </c>
      <c r="AM1765" s="259">
        <v>0.2</v>
      </c>
      <c r="AN1765" s="18" t="s">
        <v>5676</v>
      </c>
      <c r="AO1765" s="18" t="s">
        <v>5735</v>
      </c>
      <c r="AP1765" s="18"/>
    </row>
    <row r="1766" spans="1:42" x14ac:dyDescent="0.3">
      <c r="A1766" s="18" t="s">
        <v>1463</v>
      </c>
      <c r="B1766" s="18" t="s">
        <v>5664</v>
      </c>
      <c r="C1766" s="18" t="s">
        <v>1465</v>
      </c>
      <c r="D1766" s="18" t="s">
        <v>5872</v>
      </c>
      <c r="E1766" s="18" t="s">
        <v>5873</v>
      </c>
      <c r="F1766" s="18" t="s">
        <v>5874</v>
      </c>
      <c r="G1766" s="18">
        <v>142201</v>
      </c>
      <c r="H1766" s="157" t="s">
        <v>5875</v>
      </c>
      <c r="I1766" s="18" t="s">
        <v>5876</v>
      </c>
      <c r="J1766" s="18" t="s">
        <v>5877</v>
      </c>
      <c r="K1766" s="18" t="s">
        <v>5878</v>
      </c>
      <c r="L1766" s="18" t="s">
        <v>5879</v>
      </c>
      <c r="M1766" s="18" t="s">
        <v>5880</v>
      </c>
      <c r="N1766" s="16">
        <v>0</v>
      </c>
      <c r="O1766" s="16">
        <v>25</v>
      </c>
      <c r="P1766" s="16">
        <v>35</v>
      </c>
      <c r="Q1766" s="16">
        <v>40</v>
      </c>
      <c r="R1766" s="16" t="s">
        <v>271</v>
      </c>
      <c r="S1766" s="16" t="s">
        <v>271</v>
      </c>
      <c r="T1766" s="18" t="s">
        <v>5881</v>
      </c>
      <c r="U1766" s="283" t="e">
        <v>#N/A</v>
      </c>
      <c r="V1766" s="18" t="s">
        <v>5882</v>
      </c>
      <c r="W1766" s="18">
        <v>1</v>
      </c>
      <c r="X1766" s="18">
        <v>1</v>
      </c>
      <c r="Y1766" s="18">
        <v>1</v>
      </c>
      <c r="Z1766" s="18">
        <v>1</v>
      </c>
      <c r="AA1766" s="18">
        <v>1</v>
      </c>
      <c r="AB1766" s="18">
        <v>1</v>
      </c>
      <c r="AC1766" s="316">
        <v>1</v>
      </c>
      <c r="AD1766" s="316">
        <v>1</v>
      </c>
      <c r="AE1766" s="302">
        <v>1</v>
      </c>
      <c r="AF1766" s="259"/>
      <c r="AG1766" s="259">
        <v>0</v>
      </c>
      <c r="AH1766" s="259">
        <v>3</v>
      </c>
      <c r="AI1766" s="259">
        <v>4.2</v>
      </c>
      <c r="AJ1766" s="259">
        <v>4.8</v>
      </c>
      <c r="AK1766" s="260">
        <v>0</v>
      </c>
      <c r="AL1766" s="260">
        <v>0</v>
      </c>
      <c r="AM1766" s="259">
        <v>0</v>
      </c>
      <c r="AN1766" s="18" t="s">
        <v>2172</v>
      </c>
      <c r="AO1766" s="18" t="s">
        <v>2236</v>
      </c>
      <c r="AP1766" s="18" t="s">
        <v>5883</v>
      </c>
    </row>
    <row r="1767" spans="1:42" x14ac:dyDescent="0.3">
      <c r="A1767" s="18" t="s">
        <v>1463</v>
      </c>
      <c r="B1767" s="18" t="s">
        <v>5664</v>
      </c>
      <c r="C1767" s="18" t="s">
        <v>1465</v>
      </c>
      <c r="D1767" s="18" t="s">
        <v>5872</v>
      </c>
      <c r="E1767" s="18" t="s">
        <v>5873</v>
      </c>
      <c r="F1767" s="18" t="s">
        <v>5874</v>
      </c>
      <c r="G1767" s="18">
        <v>142201</v>
      </c>
      <c r="H1767" s="157" t="s">
        <v>5875</v>
      </c>
      <c r="I1767" s="18" t="s">
        <v>5884</v>
      </c>
      <c r="J1767" s="18" t="s">
        <v>5885</v>
      </c>
      <c r="K1767" s="18" t="s">
        <v>5886</v>
      </c>
      <c r="L1767" s="18" t="s">
        <v>5887</v>
      </c>
      <c r="M1767" s="18" t="s">
        <v>5888</v>
      </c>
      <c r="N1767" s="16"/>
      <c r="O1767" s="16">
        <v>25</v>
      </c>
      <c r="P1767" s="16">
        <v>50</v>
      </c>
      <c r="Q1767" s="16">
        <v>65</v>
      </c>
      <c r="R1767" s="16">
        <v>75</v>
      </c>
      <c r="S1767" s="16">
        <v>100</v>
      </c>
      <c r="T1767" s="18" t="s">
        <v>5881</v>
      </c>
      <c r="U1767" s="283" t="e">
        <v>#N/A</v>
      </c>
      <c r="V1767" s="223" t="s">
        <v>5889</v>
      </c>
      <c r="W1767" s="18">
        <v>1</v>
      </c>
      <c r="X1767" s="18">
        <v>1</v>
      </c>
      <c r="Y1767" s="18">
        <v>1</v>
      </c>
      <c r="Z1767" s="18">
        <v>1</v>
      </c>
      <c r="AA1767" s="18">
        <v>1</v>
      </c>
      <c r="AB1767" s="18">
        <v>1</v>
      </c>
      <c r="AC1767" s="316">
        <v>1</v>
      </c>
      <c r="AD1767" s="316">
        <v>1</v>
      </c>
      <c r="AE1767" s="302">
        <v>1</v>
      </c>
      <c r="AF1767" s="259"/>
      <c r="AG1767" s="259">
        <v>0</v>
      </c>
      <c r="AH1767" s="259">
        <v>6</v>
      </c>
      <c r="AI1767" s="259">
        <v>6</v>
      </c>
      <c r="AJ1767" s="259">
        <v>1.5</v>
      </c>
      <c r="AK1767" s="260">
        <v>2</v>
      </c>
      <c r="AL1767" s="260">
        <v>2.4</v>
      </c>
      <c r="AM1767" s="259">
        <v>6</v>
      </c>
      <c r="AN1767" s="18" t="s">
        <v>2234</v>
      </c>
      <c r="AO1767" s="18" t="s">
        <v>2236</v>
      </c>
      <c r="AP1767" s="18"/>
    </row>
    <row r="1768" spans="1:42" x14ac:dyDescent="0.3">
      <c r="A1768" s="18" t="s">
        <v>1463</v>
      </c>
      <c r="B1768" s="18" t="s">
        <v>5664</v>
      </c>
      <c r="C1768" s="18" t="s">
        <v>1465</v>
      </c>
      <c r="D1768" s="18" t="s">
        <v>5872</v>
      </c>
      <c r="E1768" s="18" t="s">
        <v>5873</v>
      </c>
      <c r="F1768" s="18" t="s">
        <v>5874</v>
      </c>
      <c r="G1768" s="18">
        <v>142201</v>
      </c>
      <c r="H1768" s="157" t="s">
        <v>5875</v>
      </c>
      <c r="I1768" s="18" t="s">
        <v>5884</v>
      </c>
      <c r="J1768" s="18" t="s">
        <v>5885</v>
      </c>
      <c r="K1768" s="18" t="s">
        <v>5886</v>
      </c>
      <c r="L1768" s="18" t="s">
        <v>5887</v>
      </c>
      <c r="M1768" s="18" t="s">
        <v>5890</v>
      </c>
      <c r="N1768" s="16"/>
      <c r="O1768" s="16"/>
      <c r="P1768" s="16">
        <v>21</v>
      </c>
      <c r="Q1768" s="16">
        <v>21</v>
      </c>
      <c r="R1768" s="16"/>
      <c r="S1768" s="16"/>
      <c r="T1768" s="18" t="s">
        <v>5881</v>
      </c>
      <c r="U1768" s="283" t="e">
        <v>#N/A</v>
      </c>
      <c r="V1768" s="266" t="s">
        <v>5891</v>
      </c>
      <c r="W1768" s="18">
        <v>1</v>
      </c>
      <c r="X1768" s="18">
        <v>1</v>
      </c>
      <c r="Y1768" s="18">
        <v>1</v>
      </c>
      <c r="Z1768" s="18">
        <v>1</v>
      </c>
      <c r="AA1768" s="18">
        <v>1</v>
      </c>
      <c r="AB1768" s="18">
        <v>1</v>
      </c>
      <c r="AC1768" s="316">
        <v>1</v>
      </c>
      <c r="AD1768" s="316">
        <v>1</v>
      </c>
      <c r="AE1768" s="302">
        <v>1</v>
      </c>
      <c r="AF1768" s="259"/>
      <c r="AG1768" s="259">
        <v>0</v>
      </c>
      <c r="AH1768" s="259"/>
      <c r="AI1768" s="259"/>
      <c r="AJ1768" s="259"/>
      <c r="AK1768" s="260">
        <v>4.5999999999999996</v>
      </c>
      <c r="AL1768" s="260"/>
      <c r="AM1768" s="259">
        <v>0</v>
      </c>
      <c r="AN1768" s="18" t="s">
        <v>2234</v>
      </c>
      <c r="AO1768" s="18" t="s">
        <v>2236</v>
      </c>
      <c r="AP1768" s="18"/>
    </row>
    <row r="1769" spans="1:42" x14ac:dyDescent="0.3">
      <c r="A1769" s="18" t="s">
        <v>1463</v>
      </c>
      <c r="B1769" s="18" t="s">
        <v>5664</v>
      </c>
      <c r="C1769" s="18" t="s">
        <v>1465</v>
      </c>
      <c r="D1769" s="18" t="s">
        <v>5872</v>
      </c>
      <c r="E1769" s="18" t="s">
        <v>5873</v>
      </c>
      <c r="F1769" s="18" t="s">
        <v>5874</v>
      </c>
      <c r="G1769" s="18">
        <v>142201</v>
      </c>
      <c r="H1769" s="157" t="s">
        <v>5875</v>
      </c>
      <c r="I1769" s="18" t="s">
        <v>5884</v>
      </c>
      <c r="J1769" s="18" t="s">
        <v>5885</v>
      </c>
      <c r="K1769" s="18" t="s">
        <v>5886</v>
      </c>
      <c r="L1769" s="18" t="s">
        <v>5887</v>
      </c>
      <c r="M1769" s="18" t="s">
        <v>5892</v>
      </c>
      <c r="N1769" s="16"/>
      <c r="O1769" s="16">
        <v>26</v>
      </c>
      <c r="P1769" s="16">
        <v>26</v>
      </c>
      <c r="Q1769" s="16"/>
      <c r="R1769" s="16"/>
      <c r="S1769" s="16"/>
      <c r="T1769" s="18" t="s">
        <v>5881</v>
      </c>
      <c r="U1769" s="283" t="e">
        <v>#N/A</v>
      </c>
      <c r="V1769" s="223" t="s">
        <v>5893</v>
      </c>
      <c r="W1769" s="18">
        <v>1</v>
      </c>
      <c r="X1769" s="18">
        <v>1</v>
      </c>
      <c r="Y1769" s="18">
        <v>1</v>
      </c>
      <c r="Z1769" s="18">
        <v>1</v>
      </c>
      <c r="AA1769" s="18">
        <v>1</v>
      </c>
      <c r="AB1769" s="18">
        <v>1</v>
      </c>
      <c r="AC1769" s="316">
        <v>1</v>
      </c>
      <c r="AD1769" s="316">
        <v>1</v>
      </c>
      <c r="AE1769" s="302">
        <v>1</v>
      </c>
      <c r="AF1769" s="259"/>
      <c r="AG1769" s="259">
        <v>0</v>
      </c>
      <c r="AH1769" s="259"/>
      <c r="AI1769" s="259"/>
      <c r="AJ1769" s="259"/>
      <c r="AK1769" s="260"/>
      <c r="AL1769" s="260"/>
      <c r="AM1769" s="259">
        <v>0</v>
      </c>
      <c r="AN1769" s="18" t="s">
        <v>2234</v>
      </c>
      <c r="AO1769" s="18" t="s">
        <v>2236</v>
      </c>
      <c r="AP1769" s="18"/>
    </row>
    <row r="1770" spans="1:42" x14ac:dyDescent="0.3">
      <c r="A1770" s="18" t="s">
        <v>1463</v>
      </c>
      <c r="B1770" s="18" t="s">
        <v>5664</v>
      </c>
      <c r="C1770" s="18" t="s">
        <v>1465</v>
      </c>
      <c r="D1770" s="18" t="s">
        <v>5872</v>
      </c>
      <c r="E1770" s="18" t="s">
        <v>5873</v>
      </c>
      <c r="F1770" s="18" t="s">
        <v>5874</v>
      </c>
      <c r="G1770" s="18">
        <v>142201</v>
      </c>
      <c r="H1770" s="157" t="s">
        <v>5875</v>
      </c>
      <c r="I1770" s="18" t="s">
        <v>5884</v>
      </c>
      <c r="J1770" s="18" t="s">
        <v>5885</v>
      </c>
      <c r="K1770" s="18" t="s">
        <v>5886</v>
      </c>
      <c r="L1770" s="18" t="s">
        <v>5887</v>
      </c>
      <c r="M1770" s="18" t="s">
        <v>5894</v>
      </c>
      <c r="N1770" s="16"/>
      <c r="O1770" s="16"/>
      <c r="P1770" s="16"/>
      <c r="Q1770" s="16">
        <v>20</v>
      </c>
      <c r="R1770" s="16">
        <v>20</v>
      </c>
      <c r="S1770" s="16">
        <v>19</v>
      </c>
      <c r="T1770" s="18" t="s">
        <v>5881</v>
      </c>
      <c r="U1770" s="283" t="e">
        <v>#N/A</v>
      </c>
      <c r="V1770" s="223" t="s">
        <v>5895</v>
      </c>
      <c r="W1770" s="18">
        <v>1</v>
      </c>
      <c r="X1770" s="18">
        <v>1</v>
      </c>
      <c r="Y1770" s="18">
        <v>1</v>
      </c>
      <c r="Z1770" s="18">
        <v>1</v>
      </c>
      <c r="AA1770" s="18">
        <v>1</v>
      </c>
      <c r="AB1770" s="18">
        <v>1</v>
      </c>
      <c r="AC1770" s="316">
        <v>1</v>
      </c>
      <c r="AD1770" s="316">
        <v>1</v>
      </c>
      <c r="AE1770" s="302">
        <v>1</v>
      </c>
      <c r="AF1770" s="259"/>
      <c r="AG1770" s="259">
        <v>0</v>
      </c>
      <c r="AH1770" s="259"/>
      <c r="AI1770" s="259"/>
      <c r="AJ1770" s="259"/>
      <c r="AK1770" s="260"/>
      <c r="AL1770" s="260"/>
      <c r="AM1770" s="259">
        <v>0</v>
      </c>
      <c r="AN1770" s="18" t="s">
        <v>2234</v>
      </c>
      <c r="AO1770" s="18" t="s">
        <v>2236</v>
      </c>
      <c r="AP1770" s="18"/>
    </row>
    <row r="1771" spans="1:42" x14ac:dyDescent="0.3">
      <c r="A1771" s="18" t="s">
        <v>1463</v>
      </c>
      <c r="B1771" s="18" t="s">
        <v>5664</v>
      </c>
      <c r="C1771" s="18" t="s">
        <v>1465</v>
      </c>
      <c r="D1771" s="18" t="s">
        <v>5872</v>
      </c>
      <c r="E1771" s="18" t="s">
        <v>5873</v>
      </c>
      <c r="F1771" s="18" t="s">
        <v>5874</v>
      </c>
      <c r="G1771" s="18" t="s">
        <v>5896</v>
      </c>
      <c r="H1771" s="157" t="s">
        <v>5897</v>
      </c>
      <c r="I1771" s="18"/>
      <c r="J1771" s="18"/>
      <c r="K1771" s="18" t="s">
        <v>5898</v>
      </c>
      <c r="L1771" s="18" t="s">
        <v>5899</v>
      </c>
      <c r="M1771" s="18" t="s">
        <v>5900</v>
      </c>
      <c r="N1771" s="16">
        <v>26</v>
      </c>
      <c r="O1771" s="16">
        <v>134</v>
      </c>
      <c r="P1771" s="16">
        <v>134</v>
      </c>
      <c r="Q1771" s="16">
        <v>134</v>
      </c>
      <c r="R1771" s="16">
        <v>134</v>
      </c>
      <c r="S1771" s="16">
        <v>134</v>
      </c>
      <c r="T1771" s="18" t="s">
        <v>5901</v>
      </c>
      <c r="U1771" s="283" t="e">
        <v>#N/A</v>
      </c>
      <c r="V1771" s="18" t="s">
        <v>5902</v>
      </c>
      <c r="W1771" s="18">
        <v>1</v>
      </c>
      <c r="X1771" s="18">
        <v>1</v>
      </c>
      <c r="Y1771" s="18">
        <v>1</v>
      </c>
      <c r="Z1771" s="18">
        <v>1</v>
      </c>
      <c r="AA1771" s="18">
        <v>1</v>
      </c>
      <c r="AB1771" s="18">
        <v>1</v>
      </c>
      <c r="AC1771" s="316">
        <v>1</v>
      </c>
      <c r="AD1771" s="316">
        <v>1</v>
      </c>
      <c r="AE1771" s="302">
        <v>1</v>
      </c>
      <c r="AF1771" s="259"/>
      <c r="AG1771" s="259">
        <v>0</v>
      </c>
      <c r="AH1771" s="259">
        <v>0.64</v>
      </c>
      <c r="AI1771" s="259">
        <v>0.64</v>
      </c>
      <c r="AJ1771" s="259">
        <v>0.64</v>
      </c>
      <c r="AK1771" s="260">
        <v>0.64</v>
      </c>
      <c r="AL1771" s="260">
        <v>0.64</v>
      </c>
      <c r="AM1771" s="259">
        <v>1.28</v>
      </c>
      <c r="AN1771" s="18" t="s">
        <v>2172</v>
      </c>
      <c r="AO1771" s="18" t="s">
        <v>2236</v>
      </c>
      <c r="AP1771" s="18" t="s">
        <v>5883</v>
      </c>
    </row>
    <row r="1772" spans="1:42" x14ac:dyDescent="0.3">
      <c r="A1772" s="18" t="s">
        <v>1463</v>
      </c>
      <c r="B1772" s="18" t="s">
        <v>5664</v>
      </c>
      <c r="C1772" s="18" t="s">
        <v>1465</v>
      </c>
      <c r="D1772" s="18" t="s">
        <v>5872</v>
      </c>
      <c r="E1772" s="18" t="s">
        <v>5873</v>
      </c>
      <c r="F1772" s="18" t="s">
        <v>5874</v>
      </c>
      <c r="G1772" s="18" t="s">
        <v>5896</v>
      </c>
      <c r="H1772" s="157" t="s">
        <v>5897</v>
      </c>
      <c r="I1772" s="18"/>
      <c r="J1772" s="18"/>
      <c r="K1772" s="18" t="s">
        <v>5898</v>
      </c>
      <c r="L1772" s="18" t="s">
        <v>5899</v>
      </c>
      <c r="M1772" s="18" t="s">
        <v>5903</v>
      </c>
      <c r="N1772" s="16">
        <v>37</v>
      </c>
      <c r="O1772" s="16">
        <v>10</v>
      </c>
      <c r="P1772" s="16">
        <v>10</v>
      </c>
      <c r="Q1772" s="16">
        <v>10</v>
      </c>
      <c r="R1772" s="16">
        <v>10</v>
      </c>
      <c r="S1772" s="16">
        <v>10</v>
      </c>
      <c r="T1772" s="18" t="s">
        <v>2172</v>
      </c>
      <c r="U1772" s="283" t="s">
        <v>2236</v>
      </c>
      <c r="V1772" s="18" t="s">
        <v>5904</v>
      </c>
      <c r="W1772" s="18">
        <v>1</v>
      </c>
      <c r="X1772" s="18">
        <v>1</v>
      </c>
      <c r="Y1772" s="18">
        <v>1</v>
      </c>
      <c r="Z1772" s="18">
        <v>1</v>
      </c>
      <c r="AA1772" s="18">
        <v>1</v>
      </c>
      <c r="AB1772" s="18">
        <v>1</v>
      </c>
      <c r="AC1772" s="316">
        <v>1</v>
      </c>
      <c r="AD1772" s="316">
        <v>1</v>
      </c>
      <c r="AE1772" s="302">
        <v>1</v>
      </c>
      <c r="AF1772" s="259"/>
      <c r="AG1772" s="259">
        <v>0</v>
      </c>
      <c r="AH1772" s="259">
        <v>1</v>
      </c>
      <c r="AI1772" s="259">
        <v>1</v>
      </c>
      <c r="AJ1772" s="259">
        <v>1</v>
      </c>
      <c r="AK1772" s="260">
        <v>1</v>
      </c>
      <c r="AL1772" s="260">
        <v>1</v>
      </c>
      <c r="AM1772" s="259">
        <v>2</v>
      </c>
      <c r="AN1772" s="18" t="s">
        <v>2234</v>
      </c>
      <c r="AO1772" s="18" t="s">
        <v>2236</v>
      </c>
      <c r="AP1772" s="18" t="s">
        <v>119</v>
      </c>
    </row>
    <row r="1773" spans="1:42" x14ac:dyDescent="0.3">
      <c r="A1773" s="18" t="s">
        <v>1463</v>
      </c>
      <c r="B1773" s="18" t="s">
        <v>5664</v>
      </c>
      <c r="C1773" s="18" t="s">
        <v>1465</v>
      </c>
      <c r="D1773" s="18" t="s">
        <v>5872</v>
      </c>
      <c r="E1773" s="18" t="s">
        <v>5873</v>
      </c>
      <c r="F1773" s="18" t="s">
        <v>5874</v>
      </c>
      <c r="G1773" s="18" t="s">
        <v>5896</v>
      </c>
      <c r="H1773" s="157" t="s">
        <v>5897</v>
      </c>
      <c r="I1773" s="18"/>
      <c r="J1773" s="18"/>
      <c r="K1773" s="18" t="s">
        <v>5898</v>
      </c>
      <c r="L1773" s="18" t="s">
        <v>5899</v>
      </c>
      <c r="M1773" s="18" t="s">
        <v>5905</v>
      </c>
      <c r="N1773" s="16">
        <v>44</v>
      </c>
      <c r="O1773" s="16">
        <v>12</v>
      </c>
      <c r="P1773" s="16">
        <v>11</v>
      </c>
      <c r="Q1773" s="16">
        <v>11</v>
      </c>
      <c r="R1773" s="16">
        <v>6</v>
      </c>
      <c r="S1773" s="16">
        <v>0</v>
      </c>
      <c r="T1773" s="18" t="s">
        <v>5906</v>
      </c>
      <c r="U1773" s="283" t="e">
        <v>#N/A</v>
      </c>
      <c r="V1773" s="18" t="s">
        <v>5907</v>
      </c>
      <c r="W1773" s="18">
        <v>1</v>
      </c>
      <c r="X1773" s="18">
        <v>1</v>
      </c>
      <c r="Y1773" s="18">
        <v>1</v>
      </c>
      <c r="Z1773" s="18">
        <v>1</v>
      </c>
      <c r="AA1773" s="18">
        <v>1</v>
      </c>
      <c r="AB1773" s="18">
        <v>1</v>
      </c>
      <c r="AC1773" s="316">
        <v>1</v>
      </c>
      <c r="AD1773" s="316">
        <v>1</v>
      </c>
      <c r="AE1773" s="302">
        <v>1</v>
      </c>
      <c r="AF1773" s="259"/>
      <c r="AG1773" s="259">
        <v>0</v>
      </c>
      <c r="AH1773" s="259">
        <v>0.5</v>
      </c>
      <c r="AI1773" s="259">
        <v>0.6</v>
      </c>
      <c r="AJ1773" s="259">
        <v>0.6</v>
      </c>
      <c r="AK1773" s="260">
        <v>0.6</v>
      </c>
      <c r="AL1773" s="260">
        <v>0.6</v>
      </c>
      <c r="AM1773" s="259">
        <v>1.2</v>
      </c>
      <c r="AN1773" s="18" t="s">
        <v>2234</v>
      </c>
      <c r="AO1773" s="18" t="s">
        <v>2236</v>
      </c>
      <c r="AP1773" s="18" t="s">
        <v>119</v>
      </c>
    </row>
    <row r="1774" spans="1:42" x14ac:dyDescent="0.3">
      <c r="A1774" s="18" t="s">
        <v>1463</v>
      </c>
      <c r="B1774" s="18" t="s">
        <v>5664</v>
      </c>
      <c r="C1774" s="18" t="s">
        <v>1465</v>
      </c>
      <c r="D1774" s="18" t="s">
        <v>5872</v>
      </c>
      <c r="E1774" s="18" t="s">
        <v>5873</v>
      </c>
      <c r="F1774" s="18" t="s">
        <v>5874</v>
      </c>
      <c r="G1774" s="18" t="s">
        <v>5896</v>
      </c>
      <c r="H1774" s="157" t="s">
        <v>5897</v>
      </c>
      <c r="I1774" s="18"/>
      <c r="J1774" s="18"/>
      <c r="K1774" s="18">
        <v>14220204</v>
      </c>
      <c r="L1774" s="18" t="s">
        <v>5908</v>
      </c>
      <c r="M1774" s="18" t="s">
        <v>5909</v>
      </c>
      <c r="N1774" s="16">
        <v>80</v>
      </c>
      <c r="O1774" s="16">
        <v>85</v>
      </c>
      <c r="P1774" s="16">
        <v>90</v>
      </c>
      <c r="Q1774" s="16">
        <v>100</v>
      </c>
      <c r="R1774" s="16"/>
      <c r="S1774" s="16"/>
      <c r="T1774" s="18" t="s">
        <v>2234</v>
      </c>
      <c r="U1774" s="283" t="s">
        <v>2236</v>
      </c>
      <c r="V1774" s="18" t="s">
        <v>5910</v>
      </c>
      <c r="W1774" s="18">
        <v>1</v>
      </c>
      <c r="X1774" s="18">
        <v>1</v>
      </c>
      <c r="Y1774" s="18">
        <v>1</v>
      </c>
      <c r="Z1774" s="18">
        <v>1</v>
      </c>
      <c r="AA1774" s="18">
        <v>1</v>
      </c>
      <c r="AB1774" s="18">
        <v>0</v>
      </c>
      <c r="AC1774" s="316">
        <v>1</v>
      </c>
      <c r="AD1774" s="316">
        <v>1</v>
      </c>
      <c r="AE1774" s="302">
        <v>0.875</v>
      </c>
      <c r="AF1774" s="259"/>
      <c r="AG1774" s="259">
        <v>0</v>
      </c>
      <c r="AH1774" s="259">
        <v>0.33</v>
      </c>
      <c r="AI1774" s="259">
        <v>0.33</v>
      </c>
      <c r="AJ1774" s="259">
        <v>0.33</v>
      </c>
      <c r="AK1774" s="260">
        <v>2</v>
      </c>
      <c r="AL1774" s="260"/>
      <c r="AM1774" s="259">
        <v>0</v>
      </c>
      <c r="AN1774" s="18" t="s">
        <v>2234</v>
      </c>
      <c r="AO1774" s="18" t="s">
        <v>2236</v>
      </c>
      <c r="AP1774" s="18"/>
    </row>
    <row r="1775" spans="1:42" x14ac:dyDescent="0.3">
      <c r="A1775" s="18" t="s">
        <v>1463</v>
      </c>
      <c r="B1775" s="18" t="s">
        <v>5664</v>
      </c>
      <c r="C1775" s="18" t="s">
        <v>1465</v>
      </c>
      <c r="D1775" s="18" t="s">
        <v>5872</v>
      </c>
      <c r="E1775" s="18" t="s">
        <v>5873</v>
      </c>
      <c r="F1775" s="18" t="s">
        <v>5874</v>
      </c>
      <c r="G1775" s="18" t="s">
        <v>5896</v>
      </c>
      <c r="H1775" s="157" t="s">
        <v>5897</v>
      </c>
      <c r="I1775" s="18"/>
      <c r="J1775" s="18"/>
      <c r="K1775" s="18">
        <v>14220205</v>
      </c>
      <c r="L1775" s="18" t="s">
        <v>5911</v>
      </c>
      <c r="M1775" s="18" t="s">
        <v>5912</v>
      </c>
      <c r="N1775" s="16"/>
      <c r="O1775" s="16">
        <v>10</v>
      </c>
      <c r="P1775" s="16">
        <v>1</v>
      </c>
      <c r="Q1775" s="16">
        <v>4</v>
      </c>
      <c r="R1775" s="16"/>
      <c r="S1775" s="16"/>
      <c r="T1775" s="18" t="s">
        <v>2234</v>
      </c>
      <c r="U1775" s="283" t="s">
        <v>2236</v>
      </c>
      <c r="V1775" s="18" t="s">
        <v>5913</v>
      </c>
      <c r="W1775" s="18">
        <v>1</v>
      </c>
      <c r="X1775" s="18">
        <v>1</v>
      </c>
      <c r="Y1775" s="18">
        <v>1</v>
      </c>
      <c r="Z1775" s="18">
        <v>1</v>
      </c>
      <c r="AA1775" s="18">
        <v>1</v>
      </c>
      <c r="AB1775" s="18">
        <v>1</v>
      </c>
      <c r="AC1775" s="316">
        <v>1</v>
      </c>
      <c r="AD1775" s="316">
        <v>1</v>
      </c>
      <c r="AE1775" s="302">
        <v>1</v>
      </c>
      <c r="AF1775" s="259"/>
      <c r="AG1775" s="259">
        <v>0</v>
      </c>
      <c r="AH1775" s="259">
        <v>0.3</v>
      </c>
      <c r="AI1775" s="259">
        <v>0.3</v>
      </c>
      <c r="AJ1775" s="259">
        <v>0.12</v>
      </c>
      <c r="AK1775" s="260">
        <v>0.3</v>
      </c>
      <c r="AL1775" s="260"/>
      <c r="AM1775" s="259">
        <v>0</v>
      </c>
      <c r="AN1775" s="18" t="s">
        <v>2234</v>
      </c>
      <c r="AO1775" s="18" t="s">
        <v>2236</v>
      </c>
      <c r="AP1775" s="18"/>
    </row>
    <row r="1776" spans="1:42" hidden="1" x14ac:dyDescent="0.3">
      <c r="A1776" s="18" t="s">
        <v>1463</v>
      </c>
      <c r="B1776" s="18" t="s">
        <v>5664</v>
      </c>
      <c r="C1776" s="18" t="s">
        <v>1465</v>
      </c>
      <c r="D1776" s="18" t="s">
        <v>5872</v>
      </c>
      <c r="E1776" s="18" t="s">
        <v>5873</v>
      </c>
      <c r="F1776" s="18" t="s">
        <v>5874</v>
      </c>
      <c r="G1776" s="18" t="s">
        <v>5896</v>
      </c>
      <c r="H1776" s="157" t="s">
        <v>5897</v>
      </c>
      <c r="I1776" s="18"/>
      <c r="J1776" s="18"/>
      <c r="K1776" s="18">
        <v>14220205</v>
      </c>
      <c r="L1776" s="18" t="s">
        <v>5914</v>
      </c>
      <c r="M1776" s="18" t="s">
        <v>5915</v>
      </c>
      <c r="N1776" s="16">
        <v>15</v>
      </c>
      <c r="O1776" s="16">
        <v>40</v>
      </c>
      <c r="P1776" s="16">
        <v>60</v>
      </c>
      <c r="Q1776" s="16">
        <v>80</v>
      </c>
      <c r="R1776" s="16">
        <v>100</v>
      </c>
      <c r="S1776" s="16"/>
      <c r="T1776" s="18" t="s">
        <v>2234</v>
      </c>
      <c r="U1776" s="283" t="s">
        <v>2236</v>
      </c>
      <c r="V1776" s="18" t="s">
        <v>5916</v>
      </c>
      <c r="W1776" s="18">
        <v>1</v>
      </c>
      <c r="X1776" s="18">
        <v>0</v>
      </c>
      <c r="Y1776" s="18">
        <v>0</v>
      </c>
      <c r="Z1776" s="18">
        <v>1</v>
      </c>
      <c r="AA1776" s="18">
        <v>1</v>
      </c>
      <c r="AB1776" s="18">
        <v>0</v>
      </c>
      <c r="AC1776" s="316">
        <v>0</v>
      </c>
      <c r="AD1776" s="316">
        <v>1</v>
      </c>
      <c r="AE1776" s="302">
        <v>0.5</v>
      </c>
      <c r="AF1776" s="259"/>
      <c r="AG1776" s="259">
        <v>0</v>
      </c>
      <c r="AH1776" s="259">
        <v>0.86</v>
      </c>
      <c r="AI1776" s="259">
        <v>1.3</v>
      </c>
      <c r="AJ1776" s="259">
        <v>1.7</v>
      </c>
      <c r="AK1776" s="260">
        <v>0</v>
      </c>
      <c r="AL1776" s="260">
        <v>2.6</v>
      </c>
      <c r="AM1776" s="259">
        <v>4.8000000000000007</v>
      </c>
      <c r="AN1776" s="18" t="s">
        <v>2234</v>
      </c>
      <c r="AO1776" s="18" t="s">
        <v>2236</v>
      </c>
      <c r="AP1776" s="18"/>
    </row>
    <row r="1777" spans="1:42" hidden="1" x14ac:dyDescent="0.3">
      <c r="A1777" s="18" t="s">
        <v>1463</v>
      </c>
      <c r="B1777" s="18" t="s">
        <v>5664</v>
      </c>
      <c r="C1777" s="18" t="s">
        <v>1465</v>
      </c>
      <c r="D1777" s="18" t="s">
        <v>5872</v>
      </c>
      <c r="E1777" s="18" t="s">
        <v>5873</v>
      </c>
      <c r="F1777" s="18" t="s">
        <v>5874</v>
      </c>
      <c r="G1777" s="18" t="s">
        <v>5896</v>
      </c>
      <c r="H1777" s="157" t="s">
        <v>5897</v>
      </c>
      <c r="I1777" s="18"/>
      <c r="J1777" s="18"/>
      <c r="K1777" s="18">
        <v>14220206</v>
      </c>
      <c r="L1777" s="18" t="s">
        <v>5917</v>
      </c>
      <c r="M1777" s="18" t="s">
        <v>5918</v>
      </c>
      <c r="N1777" s="16"/>
      <c r="O1777" s="16">
        <v>45</v>
      </c>
      <c r="P1777" s="16">
        <v>40</v>
      </c>
      <c r="Q1777" s="16">
        <v>40</v>
      </c>
      <c r="R1777" s="16">
        <v>43</v>
      </c>
      <c r="S1777" s="16">
        <v>37</v>
      </c>
      <c r="T1777" s="18" t="s">
        <v>2234</v>
      </c>
      <c r="U1777" s="283" t="s">
        <v>2236</v>
      </c>
      <c r="V1777" s="18" t="s">
        <v>5919</v>
      </c>
      <c r="W1777" s="18">
        <v>1</v>
      </c>
      <c r="X1777" s="18">
        <v>0</v>
      </c>
      <c r="Y1777" s="18">
        <v>0</v>
      </c>
      <c r="Z1777" s="18">
        <v>1</v>
      </c>
      <c r="AA1777" s="18">
        <v>1</v>
      </c>
      <c r="AB1777" s="18">
        <v>0</v>
      </c>
      <c r="AC1777" s="316">
        <v>1</v>
      </c>
      <c r="AD1777" s="316">
        <v>1</v>
      </c>
      <c r="AE1777" s="302">
        <v>0.625</v>
      </c>
      <c r="AF1777" s="259"/>
      <c r="AG1777" s="259">
        <v>0</v>
      </c>
      <c r="AH1777" s="259">
        <v>0.28999999999999998</v>
      </c>
      <c r="AI1777" s="259">
        <v>0.28999999999999998</v>
      </c>
      <c r="AJ1777" s="259">
        <v>0.28999999999999998</v>
      </c>
      <c r="AK1777" s="260">
        <v>0.3</v>
      </c>
      <c r="AL1777" s="260">
        <v>0.28999999999999998</v>
      </c>
      <c r="AM1777" s="259">
        <v>0.57999999999999996</v>
      </c>
      <c r="AN1777" s="18" t="s">
        <v>2234</v>
      </c>
      <c r="AO1777" s="18" t="s">
        <v>2236</v>
      </c>
      <c r="AP1777" s="18"/>
    </row>
    <row r="1778" spans="1:42" hidden="1" x14ac:dyDescent="0.3">
      <c r="A1778" s="18" t="s">
        <v>1463</v>
      </c>
      <c r="B1778" s="18" t="s">
        <v>5664</v>
      </c>
      <c r="C1778" s="18" t="s">
        <v>1465</v>
      </c>
      <c r="D1778" s="18" t="s">
        <v>5872</v>
      </c>
      <c r="E1778" s="18" t="s">
        <v>5873</v>
      </c>
      <c r="F1778" s="18" t="s">
        <v>5874</v>
      </c>
      <c r="G1778" s="18" t="s">
        <v>5896</v>
      </c>
      <c r="H1778" s="157" t="s">
        <v>5897</v>
      </c>
      <c r="I1778" s="18"/>
      <c r="J1778" s="18"/>
      <c r="K1778" s="18">
        <v>14220207</v>
      </c>
      <c r="L1778" s="18" t="s">
        <v>5920</v>
      </c>
      <c r="M1778" s="18" t="s">
        <v>5921</v>
      </c>
      <c r="N1778" s="16"/>
      <c r="O1778" s="16"/>
      <c r="P1778" s="16"/>
      <c r="Q1778" s="16"/>
      <c r="R1778" s="16"/>
      <c r="S1778" s="16">
        <v>100</v>
      </c>
      <c r="T1778" s="18" t="s">
        <v>2234</v>
      </c>
      <c r="U1778" s="283" t="s">
        <v>2236</v>
      </c>
      <c r="V1778" s="18" t="s">
        <v>5922</v>
      </c>
      <c r="W1778" s="18">
        <v>1</v>
      </c>
      <c r="X1778" s="18">
        <v>0</v>
      </c>
      <c r="Y1778" s="18">
        <v>0</v>
      </c>
      <c r="Z1778" s="18">
        <v>1</v>
      </c>
      <c r="AA1778" s="18">
        <v>1</v>
      </c>
      <c r="AB1778" s="18">
        <v>0</v>
      </c>
      <c r="AC1778" s="316">
        <v>1</v>
      </c>
      <c r="AD1778" s="316">
        <v>1</v>
      </c>
      <c r="AE1778" s="302">
        <v>0.625</v>
      </c>
      <c r="AF1778" s="259"/>
      <c r="AG1778" s="259">
        <v>0</v>
      </c>
      <c r="AH1778" s="259"/>
      <c r="AI1778" s="259"/>
      <c r="AJ1778" s="259"/>
      <c r="AK1778" s="260">
        <v>0.4</v>
      </c>
      <c r="AL1778" s="260">
        <v>9.1999999999999993</v>
      </c>
      <c r="AM1778" s="259">
        <v>9.1999999999999993</v>
      </c>
      <c r="AN1778" s="18" t="s">
        <v>2234</v>
      </c>
      <c r="AO1778" s="18" t="s">
        <v>2236</v>
      </c>
      <c r="AP1778" s="18"/>
    </row>
    <row r="1779" spans="1:42" x14ac:dyDescent="0.3">
      <c r="A1779" s="18" t="s">
        <v>1463</v>
      </c>
      <c r="B1779" s="18" t="s">
        <v>5664</v>
      </c>
      <c r="C1779" s="18" t="s">
        <v>1465</v>
      </c>
      <c r="D1779" s="18" t="s">
        <v>5872</v>
      </c>
      <c r="E1779" s="18" t="s">
        <v>5873</v>
      </c>
      <c r="F1779" s="18" t="s">
        <v>5874</v>
      </c>
      <c r="G1779" s="18" t="s">
        <v>5896</v>
      </c>
      <c r="H1779" s="157" t="s">
        <v>5897</v>
      </c>
      <c r="I1779" s="18"/>
      <c r="J1779" s="18"/>
      <c r="K1779" s="18">
        <v>14220208</v>
      </c>
      <c r="L1779" s="18" t="s">
        <v>5923</v>
      </c>
      <c r="M1779" s="18" t="s">
        <v>5924</v>
      </c>
      <c r="N1779" s="16">
        <v>400</v>
      </c>
      <c r="O1779" s="16">
        <v>400</v>
      </c>
      <c r="P1779" s="16">
        <v>500</v>
      </c>
      <c r="Q1779" s="16">
        <v>600</v>
      </c>
      <c r="R1779" s="16">
        <v>700</v>
      </c>
      <c r="S1779" s="16">
        <v>800</v>
      </c>
      <c r="T1779" s="18" t="s">
        <v>2234</v>
      </c>
      <c r="U1779" s="283" t="s">
        <v>2236</v>
      </c>
      <c r="V1779" s="18" t="s">
        <v>5925</v>
      </c>
      <c r="W1779" s="18">
        <v>1</v>
      </c>
      <c r="X1779" s="18">
        <v>1</v>
      </c>
      <c r="Y1779" s="18">
        <v>1</v>
      </c>
      <c r="Z1779" s="18">
        <v>1</v>
      </c>
      <c r="AA1779" s="18">
        <v>1</v>
      </c>
      <c r="AB1779" s="18">
        <v>1</v>
      </c>
      <c r="AC1779" s="316">
        <v>1</v>
      </c>
      <c r="AD1779" s="316">
        <v>1</v>
      </c>
      <c r="AE1779" s="302">
        <v>1</v>
      </c>
      <c r="AF1779" s="259"/>
      <c r="AG1779" s="259">
        <v>0</v>
      </c>
      <c r="AH1779" s="259">
        <v>8.0000000000000002E-3</v>
      </c>
      <c r="AI1779" s="259">
        <v>0.01</v>
      </c>
      <c r="AJ1779" s="259">
        <v>1.2E-2</v>
      </c>
      <c r="AK1779" s="260">
        <v>0.05</v>
      </c>
      <c r="AL1779" s="260">
        <v>1.6E-2</v>
      </c>
      <c r="AM1779" s="259">
        <v>0.03</v>
      </c>
      <c r="AN1779" s="18" t="s">
        <v>2234</v>
      </c>
      <c r="AO1779" s="18" t="s">
        <v>2236</v>
      </c>
      <c r="AP1779" s="18"/>
    </row>
    <row r="1780" spans="1:42" x14ac:dyDescent="0.3">
      <c r="A1780" s="18" t="s">
        <v>1463</v>
      </c>
      <c r="B1780" s="18" t="s">
        <v>5664</v>
      </c>
      <c r="C1780" s="18" t="s">
        <v>1465</v>
      </c>
      <c r="D1780" s="18" t="s">
        <v>5872</v>
      </c>
      <c r="E1780" s="18" t="s">
        <v>5873</v>
      </c>
      <c r="F1780" s="18" t="s">
        <v>5874</v>
      </c>
      <c r="G1780" s="18" t="s">
        <v>5896</v>
      </c>
      <c r="H1780" s="157" t="s">
        <v>5897</v>
      </c>
      <c r="I1780" s="18"/>
      <c r="J1780" s="18"/>
      <c r="K1780" s="18">
        <v>14220208</v>
      </c>
      <c r="L1780" s="18" t="s">
        <v>5923</v>
      </c>
      <c r="M1780" s="18" t="s">
        <v>5926</v>
      </c>
      <c r="N1780" s="16"/>
      <c r="O1780" s="16">
        <v>20</v>
      </c>
      <c r="P1780" s="16">
        <v>20</v>
      </c>
      <c r="Q1780" s="16">
        <v>20</v>
      </c>
      <c r="R1780" s="16">
        <v>20</v>
      </c>
      <c r="S1780" s="16">
        <v>20</v>
      </c>
      <c r="T1780" s="18" t="s">
        <v>2234</v>
      </c>
      <c r="U1780" s="283" t="s">
        <v>2236</v>
      </c>
      <c r="V1780" s="18" t="s">
        <v>5927</v>
      </c>
      <c r="W1780" s="18">
        <v>1</v>
      </c>
      <c r="X1780" s="18">
        <v>1</v>
      </c>
      <c r="Y1780" s="18">
        <v>1</v>
      </c>
      <c r="Z1780" s="18">
        <v>1</v>
      </c>
      <c r="AA1780" s="18">
        <v>1</v>
      </c>
      <c r="AB1780" s="18">
        <v>1</v>
      </c>
      <c r="AC1780" s="316">
        <v>1</v>
      </c>
      <c r="AD1780" s="316">
        <v>1</v>
      </c>
      <c r="AE1780" s="302">
        <v>1</v>
      </c>
      <c r="AF1780" s="259"/>
      <c r="AG1780" s="259">
        <v>0</v>
      </c>
      <c r="AH1780" s="259">
        <v>0.13</v>
      </c>
      <c r="AI1780" s="259">
        <v>0.13</v>
      </c>
      <c r="AJ1780" s="259">
        <v>0.13</v>
      </c>
      <c r="AK1780" s="260">
        <v>0.3</v>
      </c>
      <c r="AL1780" s="260">
        <v>0.13</v>
      </c>
      <c r="AM1780" s="259">
        <v>0.26</v>
      </c>
      <c r="AN1780" s="18" t="s">
        <v>2234</v>
      </c>
      <c r="AO1780" s="18" t="s">
        <v>2236</v>
      </c>
      <c r="AP1780" s="18"/>
    </row>
    <row r="1781" spans="1:42" x14ac:dyDescent="0.3">
      <c r="A1781" s="18" t="s">
        <v>1463</v>
      </c>
      <c r="B1781" s="18" t="s">
        <v>5664</v>
      </c>
      <c r="C1781" s="18" t="s">
        <v>1465</v>
      </c>
      <c r="D1781" s="18" t="s">
        <v>5872</v>
      </c>
      <c r="E1781" s="18" t="s">
        <v>5873</v>
      </c>
      <c r="F1781" s="18" t="s">
        <v>5874</v>
      </c>
      <c r="G1781" s="18" t="s">
        <v>5896</v>
      </c>
      <c r="H1781" s="157" t="s">
        <v>5897</v>
      </c>
      <c r="I1781" s="18"/>
      <c r="J1781" s="18"/>
      <c r="K1781" s="18">
        <v>14220209</v>
      </c>
      <c r="L1781" s="18" t="s">
        <v>5928</v>
      </c>
      <c r="M1781" s="18" t="s">
        <v>5929</v>
      </c>
      <c r="N1781" s="16"/>
      <c r="O1781" s="16"/>
      <c r="P1781" s="16">
        <v>1</v>
      </c>
      <c r="Q1781" s="16"/>
      <c r="R1781" s="16"/>
      <c r="S1781" s="16"/>
      <c r="T1781" s="18" t="s">
        <v>5930</v>
      </c>
      <c r="U1781" s="283" t="s">
        <v>5931</v>
      </c>
      <c r="V1781" s="18" t="s">
        <v>5932</v>
      </c>
      <c r="W1781" s="18">
        <v>1</v>
      </c>
      <c r="X1781" s="18">
        <v>1</v>
      </c>
      <c r="Y1781" s="18">
        <v>1</v>
      </c>
      <c r="Z1781" s="18">
        <v>1</v>
      </c>
      <c r="AA1781" s="18">
        <v>1</v>
      </c>
      <c r="AB1781" s="18">
        <v>1</v>
      </c>
      <c r="AC1781" s="316">
        <v>1</v>
      </c>
      <c r="AD1781" s="316">
        <v>1</v>
      </c>
      <c r="AE1781" s="302">
        <v>1</v>
      </c>
      <c r="AF1781" s="259"/>
      <c r="AG1781" s="259">
        <v>0</v>
      </c>
      <c r="AH1781" s="259"/>
      <c r="AI1781" s="259">
        <v>0.4</v>
      </c>
      <c r="AJ1781" s="259"/>
      <c r="AK1781" s="260">
        <v>0.05</v>
      </c>
      <c r="AL1781" s="260"/>
      <c r="AM1781" s="259">
        <v>0</v>
      </c>
      <c r="AN1781" s="18" t="s">
        <v>5930</v>
      </c>
      <c r="AO1781" s="18" t="s">
        <v>5933</v>
      </c>
      <c r="AP1781" s="18"/>
    </row>
    <row r="1782" spans="1:42" x14ac:dyDescent="0.3">
      <c r="A1782" s="18" t="s">
        <v>1463</v>
      </c>
      <c r="B1782" s="18" t="s">
        <v>5664</v>
      </c>
      <c r="C1782" s="18" t="s">
        <v>1465</v>
      </c>
      <c r="D1782" s="18" t="s">
        <v>5872</v>
      </c>
      <c r="E1782" s="18" t="s">
        <v>5873</v>
      </c>
      <c r="F1782" s="18" t="s">
        <v>5874</v>
      </c>
      <c r="G1782" s="18" t="s">
        <v>5896</v>
      </c>
      <c r="H1782" s="157" t="s">
        <v>5897</v>
      </c>
      <c r="I1782" s="18"/>
      <c r="J1782" s="18"/>
      <c r="K1782" s="18">
        <v>14220210</v>
      </c>
      <c r="L1782" s="18" t="s">
        <v>5934</v>
      </c>
      <c r="M1782" s="18" t="s">
        <v>5935</v>
      </c>
      <c r="N1782" s="16"/>
      <c r="O1782" s="16"/>
      <c r="P1782" s="16">
        <v>1</v>
      </c>
      <c r="Q1782" s="16"/>
      <c r="R1782" s="16"/>
      <c r="S1782" s="16"/>
      <c r="T1782" s="18" t="s">
        <v>5930</v>
      </c>
      <c r="U1782" s="283" t="s">
        <v>5931</v>
      </c>
      <c r="V1782" s="18" t="s">
        <v>5936</v>
      </c>
      <c r="W1782" s="18">
        <v>1</v>
      </c>
      <c r="X1782" s="18">
        <v>1</v>
      </c>
      <c r="Y1782" s="18">
        <v>1</v>
      </c>
      <c r="Z1782" s="18">
        <v>1</v>
      </c>
      <c r="AA1782" s="18">
        <v>1</v>
      </c>
      <c r="AB1782" s="18">
        <v>1</v>
      </c>
      <c r="AC1782" s="316">
        <v>1</v>
      </c>
      <c r="AD1782" s="316">
        <v>1</v>
      </c>
      <c r="AE1782" s="302">
        <v>1</v>
      </c>
      <c r="AF1782" s="259"/>
      <c r="AG1782" s="259">
        <v>0</v>
      </c>
      <c r="AH1782" s="259"/>
      <c r="AI1782" s="259">
        <v>0.8</v>
      </c>
      <c r="AJ1782" s="259"/>
      <c r="AK1782" s="260">
        <v>0.05</v>
      </c>
      <c r="AL1782" s="260"/>
      <c r="AM1782" s="259">
        <v>0</v>
      </c>
      <c r="AN1782" s="18" t="s">
        <v>5930</v>
      </c>
      <c r="AO1782" s="18" t="s">
        <v>5933</v>
      </c>
      <c r="AP1782" s="18"/>
    </row>
    <row r="1783" spans="1:42" x14ac:dyDescent="0.3">
      <c r="A1783" s="18" t="s">
        <v>1463</v>
      </c>
      <c r="B1783" s="18" t="s">
        <v>5664</v>
      </c>
      <c r="C1783" s="18" t="s">
        <v>1465</v>
      </c>
      <c r="D1783" s="18" t="s">
        <v>5872</v>
      </c>
      <c r="E1783" s="18" t="s">
        <v>5873</v>
      </c>
      <c r="F1783" s="18" t="s">
        <v>5874</v>
      </c>
      <c r="G1783" s="18" t="s">
        <v>5896</v>
      </c>
      <c r="H1783" s="157" t="s">
        <v>5897</v>
      </c>
      <c r="I1783" s="18"/>
      <c r="J1783" s="18"/>
      <c r="K1783" s="18">
        <v>14220211</v>
      </c>
      <c r="L1783" s="18" t="s">
        <v>5937</v>
      </c>
      <c r="M1783" s="18" t="s">
        <v>5938</v>
      </c>
      <c r="N1783" s="16"/>
      <c r="O1783" s="16"/>
      <c r="P1783" s="16">
        <v>1</v>
      </c>
      <c r="Q1783" s="16"/>
      <c r="R1783" s="16"/>
      <c r="S1783" s="16"/>
      <c r="T1783" s="18" t="s">
        <v>723</v>
      </c>
      <c r="U1783" s="283" t="s">
        <v>729</v>
      </c>
      <c r="V1783" s="18" t="s">
        <v>5939</v>
      </c>
      <c r="W1783" s="18">
        <v>1</v>
      </c>
      <c r="X1783" s="18">
        <v>1</v>
      </c>
      <c r="Y1783" s="18">
        <v>0</v>
      </c>
      <c r="Z1783" s="18">
        <v>1</v>
      </c>
      <c r="AA1783" s="18">
        <v>1</v>
      </c>
      <c r="AB1783" s="18">
        <v>0</v>
      </c>
      <c r="AC1783" s="316">
        <v>1</v>
      </c>
      <c r="AD1783" s="316">
        <v>1</v>
      </c>
      <c r="AE1783" s="302">
        <v>0.75</v>
      </c>
      <c r="AF1783" s="259"/>
      <c r="AG1783" s="259">
        <v>0</v>
      </c>
      <c r="AH1783" s="259"/>
      <c r="AI1783" s="259">
        <v>8.3000000000000004E-2</v>
      </c>
      <c r="AJ1783" s="259"/>
      <c r="AK1783" s="260"/>
      <c r="AL1783" s="260"/>
      <c r="AM1783" s="259">
        <v>0</v>
      </c>
      <c r="AN1783" s="18" t="s">
        <v>723</v>
      </c>
      <c r="AO1783" s="18" t="s">
        <v>729</v>
      </c>
      <c r="AP1783" s="18"/>
    </row>
    <row r="1784" spans="1:42" x14ac:dyDescent="0.3">
      <c r="A1784" s="18" t="s">
        <v>1463</v>
      </c>
      <c r="B1784" s="18" t="s">
        <v>5664</v>
      </c>
      <c r="C1784" s="18" t="s">
        <v>1466</v>
      </c>
      <c r="D1784" s="18" t="s">
        <v>5940</v>
      </c>
      <c r="E1784" s="18" t="s">
        <v>1467</v>
      </c>
      <c r="F1784" s="18" t="s">
        <v>5941</v>
      </c>
      <c r="G1784" s="18" t="s">
        <v>5942</v>
      </c>
      <c r="H1784" s="157" t="s">
        <v>5943</v>
      </c>
      <c r="I1784" s="18"/>
      <c r="J1784" s="18"/>
      <c r="K1784" s="18" t="s">
        <v>5944</v>
      </c>
      <c r="L1784" s="18" t="s">
        <v>5945</v>
      </c>
      <c r="M1784" s="18" t="s">
        <v>5946</v>
      </c>
      <c r="N1784" s="16">
        <v>0</v>
      </c>
      <c r="O1784" s="16">
        <v>1</v>
      </c>
      <c r="P1784" s="16"/>
      <c r="Q1784" s="16">
        <v>0</v>
      </c>
      <c r="R1784" s="16">
        <v>0</v>
      </c>
      <c r="S1784" s="16">
        <v>0</v>
      </c>
      <c r="T1784" s="18" t="s">
        <v>2234</v>
      </c>
      <c r="U1784" s="283" t="s">
        <v>2236</v>
      </c>
      <c r="V1784" s="18" t="s">
        <v>5947</v>
      </c>
      <c r="W1784" s="18">
        <v>1</v>
      </c>
      <c r="X1784" s="18">
        <v>1</v>
      </c>
      <c r="Y1784" s="18">
        <v>1</v>
      </c>
      <c r="Z1784" s="18">
        <v>1</v>
      </c>
      <c r="AA1784" s="18">
        <v>1</v>
      </c>
      <c r="AB1784" s="18">
        <v>1</v>
      </c>
      <c r="AC1784" s="316">
        <v>1</v>
      </c>
      <c r="AD1784" s="316">
        <v>1</v>
      </c>
      <c r="AE1784" s="302">
        <v>1</v>
      </c>
      <c r="AF1784" s="259"/>
      <c r="AG1784" s="259">
        <v>0</v>
      </c>
      <c r="AH1784" s="259">
        <v>0.21</v>
      </c>
      <c r="AI1784" s="259"/>
      <c r="AJ1784" s="259"/>
      <c r="AK1784" s="260"/>
      <c r="AL1784" s="260"/>
      <c r="AM1784" s="259">
        <v>0</v>
      </c>
      <c r="AN1784" s="18" t="s">
        <v>2172</v>
      </c>
      <c r="AO1784" s="18" t="s">
        <v>2236</v>
      </c>
      <c r="AP1784" s="18" t="s">
        <v>5831</v>
      </c>
    </row>
    <row r="1785" spans="1:42" hidden="1" x14ac:dyDescent="0.3">
      <c r="A1785" s="18" t="s">
        <v>1463</v>
      </c>
      <c r="B1785" s="18" t="s">
        <v>5664</v>
      </c>
      <c r="C1785" s="18" t="s">
        <v>1466</v>
      </c>
      <c r="D1785" s="18" t="s">
        <v>5940</v>
      </c>
      <c r="E1785" s="18" t="s">
        <v>1467</v>
      </c>
      <c r="F1785" s="18" t="s">
        <v>5941</v>
      </c>
      <c r="G1785" s="18" t="s">
        <v>5942</v>
      </c>
      <c r="H1785" s="157" t="s">
        <v>5943</v>
      </c>
      <c r="I1785" s="18"/>
      <c r="J1785" s="18"/>
      <c r="K1785" s="18" t="s">
        <v>5944</v>
      </c>
      <c r="L1785" s="18" t="s">
        <v>5945</v>
      </c>
      <c r="M1785" s="18" t="s">
        <v>5948</v>
      </c>
      <c r="N1785" s="16"/>
      <c r="O1785" s="16">
        <v>200</v>
      </c>
      <c r="P1785" s="16">
        <v>200</v>
      </c>
      <c r="Q1785" s="16">
        <v>200</v>
      </c>
      <c r="R1785" s="16">
        <v>200</v>
      </c>
      <c r="S1785" s="16">
        <v>200</v>
      </c>
      <c r="T1785" s="18" t="s">
        <v>2234</v>
      </c>
      <c r="U1785" s="283" t="s">
        <v>2236</v>
      </c>
      <c r="V1785" s="18" t="s">
        <v>5949</v>
      </c>
      <c r="W1785" s="18">
        <v>0</v>
      </c>
      <c r="X1785" s="18">
        <v>0</v>
      </c>
      <c r="Y1785" s="18">
        <v>0</v>
      </c>
      <c r="Z1785" s="18">
        <v>1</v>
      </c>
      <c r="AA1785" s="18">
        <v>1</v>
      </c>
      <c r="AB1785" s="18">
        <v>0</v>
      </c>
      <c r="AC1785" s="316">
        <v>1</v>
      </c>
      <c r="AD1785" s="316">
        <v>1</v>
      </c>
      <c r="AE1785" s="302">
        <v>0.5</v>
      </c>
      <c r="AF1785" s="259"/>
      <c r="AG1785" s="259">
        <v>0</v>
      </c>
      <c r="AH1785" s="259">
        <v>0.39400000000000002</v>
      </c>
      <c r="AI1785" s="259">
        <v>0.39400000000000002</v>
      </c>
      <c r="AJ1785" s="259">
        <v>0.39400000000000002</v>
      </c>
      <c r="AK1785" s="260">
        <v>0</v>
      </c>
      <c r="AL1785" s="260">
        <v>0.39400000000000002</v>
      </c>
      <c r="AM1785" s="259">
        <v>0.78800000000000003</v>
      </c>
      <c r="AN1785" s="18" t="s">
        <v>2234</v>
      </c>
      <c r="AO1785" s="18" t="s">
        <v>2236</v>
      </c>
      <c r="AP1785" s="18"/>
    </row>
    <row r="1786" spans="1:42" x14ac:dyDescent="0.3">
      <c r="A1786" s="18" t="s">
        <v>1463</v>
      </c>
      <c r="B1786" s="18" t="s">
        <v>5664</v>
      </c>
      <c r="C1786" s="18" t="s">
        <v>1466</v>
      </c>
      <c r="D1786" s="18" t="s">
        <v>5940</v>
      </c>
      <c r="E1786" s="18" t="s">
        <v>1467</v>
      </c>
      <c r="F1786" s="18" t="s">
        <v>5941</v>
      </c>
      <c r="G1786" s="18" t="s">
        <v>5942</v>
      </c>
      <c r="H1786" s="157" t="s">
        <v>5943</v>
      </c>
      <c r="I1786" s="18"/>
      <c r="J1786" s="18"/>
      <c r="K1786" s="18" t="s">
        <v>5950</v>
      </c>
      <c r="L1786" s="18" t="s">
        <v>5951</v>
      </c>
      <c r="M1786" s="18" t="s">
        <v>5952</v>
      </c>
      <c r="N1786" s="16"/>
      <c r="O1786" s="16">
        <v>25</v>
      </c>
      <c r="P1786" s="16">
        <v>50</v>
      </c>
      <c r="Q1786" s="16">
        <v>75</v>
      </c>
      <c r="R1786" s="16">
        <v>85</v>
      </c>
      <c r="S1786" s="16">
        <v>100</v>
      </c>
      <c r="T1786" s="18" t="s">
        <v>2234</v>
      </c>
      <c r="U1786" s="283" t="s">
        <v>2236</v>
      </c>
      <c r="V1786" s="18" t="s">
        <v>5953</v>
      </c>
      <c r="W1786" s="18">
        <v>1</v>
      </c>
      <c r="X1786" s="18">
        <v>1</v>
      </c>
      <c r="Y1786" s="18">
        <v>0</v>
      </c>
      <c r="Z1786" s="18">
        <v>1</v>
      </c>
      <c r="AA1786" s="18">
        <v>1</v>
      </c>
      <c r="AB1786" s="18">
        <v>1</v>
      </c>
      <c r="AC1786" s="316">
        <v>1</v>
      </c>
      <c r="AD1786" s="316">
        <v>1</v>
      </c>
      <c r="AE1786" s="302">
        <v>0.875</v>
      </c>
      <c r="AF1786" s="259"/>
      <c r="AG1786" s="259">
        <v>0</v>
      </c>
      <c r="AH1786" s="259">
        <v>8</v>
      </c>
      <c r="AI1786" s="259">
        <v>8</v>
      </c>
      <c r="AJ1786" s="259">
        <v>8</v>
      </c>
      <c r="AK1786" s="260">
        <v>9</v>
      </c>
      <c r="AL1786" s="260">
        <v>8</v>
      </c>
      <c r="AM1786" s="259">
        <v>16</v>
      </c>
      <c r="AN1786" s="18" t="s">
        <v>2234</v>
      </c>
      <c r="AO1786" s="18" t="s">
        <v>2236</v>
      </c>
      <c r="AP1786" s="18"/>
    </row>
    <row r="1787" spans="1:42" x14ac:dyDescent="0.3">
      <c r="A1787" s="18" t="s">
        <v>1463</v>
      </c>
      <c r="B1787" s="18" t="s">
        <v>5664</v>
      </c>
      <c r="C1787" s="18" t="s">
        <v>1466</v>
      </c>
      <c r="D1787" s="18" t="s">
        <v>5940</v>
      </c>
      <c r="E1787" s="18" t="s">
        <v>1467</v>
      </c>
      <c r="F1787" s="18" t="s">
        <v>5941</v>
      </c>
      <c r="G1787" s="18" t="s">
        <v>5942</v>
      </c>
      <c r="H1787" s="157" t="s">
        <v>5943</v>
      </c>
      <c r="I1787" s="18"/>
      <c r="J1787" s="18"/>
      <c r="K1787" s="18" t="s">
        <v>5950</v>
      </c>
      <c r="L1787" s="18" t="s">
        <v>5951</v>
      </c>
      <c r="M1787" s="18" t="s">
        <v>5954</v>
      </c>
      <c r="N1787" s="16"/>
      <c r="O1787" s="16">
        <v>76</v>
      </c>
      <c r="P1787" s="16">
        <v>76</v>
      </c>
      <c r="Q1787" s="16">
        <v>76</v>
      </c>
      <c r="R1787" s="16">
        <v>76</v>
      </c>
      <c r="S1787" s="16">
        <v>76</v>
      </c>
      <c r="T1787" s="18" t="s">
        <v>2234</v>
      </c>
      <c r="U1787" s="283" t="s">
        <v>2236</v>
      </c>
      <c r="V1787" s="18" t="s">
        <v>5955</v>
      </c>
      <c r="W1787" s="18">
        <v>1</v>
      </c>
      <c r="X1787" s="18">
        <v>1</v>
      </c>
      <c r="Y1787" s="18">
        <v>0</v>
      </c>
      <c r="Z1787" s="18">
        <v>1</v>
      </c>
      <c r="AA1787" s="18">
        <v>1</v>
      </c>
      <c r="AB1787" s="18">
        <v>1</v>
      </c>
      <c r="AC1787" s="316">
        <v>0</v>
      </c>
      <c r="AD1787" s="316">
        <v>1</v>
      </c>
      <c r="AE1787" s="302">
        <v>0.75</v>
      </c>
      <c r="AF1787" s="259"/>
      <c r="AG1787" s="259">
        <v>0</v>
      </c>
      <c r="AH1787" s="259">
        <v>8.5000000000000006E-2</v>
      </c>
      <c r="AI1787" s="259">
        <v>8.5000000000000006E-2</v>
      </c>
      <c r="AJ1787" s="259">
        <v>8.5000000000000006E-2</v>
      </c>
      <c r="AK1787" s="260">
        <v>0.09</v>
      </c>
      <c r="AL1787" s="260">
        <v>8.5000000000000006E-2</v>
      </c>
      <c r="AM1787" s="259">
        <v>0.17</v>
      </c>
      <c r="AN1787" s="18" t="s">
        <v>2234</v>
      </c>
      <c r="AO1787" s="18" t="s">
        <v>2236</v>
      </c>
      <c r="AP1787" s="18"/>
    </row>
    <row r="1788" spans="1:42" x14ac:dyDescent="0.3">
      <c r="A1788" s="18" t="s">
        <v>1463</v>
      </c>
      <c r="B1788" s="18" t="s">
        <v>5664</v>
      </c>
      <c r="C1788" s="18" t="s">
        <v>1466</v>
      </c>
      <c r="D1788" s="18" t="s">
        <v>5940</v>
      </c>
      <c r="E1788" s="18" t="s">
        <v>1467</v>
      </c>
      <c r="F1788" s="18" t="s">
        <v>5941</v>
      </c>
      <c r="G1788" s="18" t="s">
        <v>5942</v>
      </c>
      <c r="H1788" s="157" t="s">
        <v>5943</v>
      </c>
      <c r="I1788" s="18"/>
      <c r="J1788" s="18"/>
      <c r="K1788" s="18" t="s">
        <v>5956</v>
      </c>
      <c r="L1788" s="18" t="s">
        <v>5957</v>
      </c>
      <c r="M1788" s="18" t="s">
        <v>5958</v>
      </c>
      <c r="N1788" s="16">
        <v>0</v>
      </c>
      <c r="O1788" s="16">
        <v>1</v>
      </c>
      <c r="P1788" s="16">
        <v>1</v>
      </c>
      <c r="Q1788" s="16">
        <v>1</v>
      </c>
      <c r="R1788" s="16">
        <v>1</v>
      </c>
      <c r="S1788" s="16">
        <v>1</v>
      </c>
      <c r="T1788" s="18" t="s">
        <v>5959</v>
      </c>
      <c r="U1788" s="283" t="e">
        <v>#N/A</v>
      </c>
      <c r="V1788" s="18" t="s">
        <v>5960</v>
      </c>
      <c r="W1788" s="18">
        <v>1</v>
      </c>
      <c r="X1788" s="18">
        <v>1</v>
      </c>
      <c r="Y1788" s="18">
        <v>0</v>
      </c>
      <c r="Z1788" s="18">
        <v>1</v>
      </c>
      <c r="AA1788" s="18">
        <v>1</v>
      </c>
      <c r="AB1788" s="18">
        <v>0</v>
      </c>
      <c r="AC1788" s="316">
        <v>1</v>
      </c>
      <c r="AD1788" s="316">
        <v>1</v>
      </c>
      <c r="AE1788" s="302">
        <v>0.75</v>
      </c>
      <c r="AF1788" s="259"/>
      <c r="AG1788" s="259">
        <v>0</v>
      </c>
      <c r="AH1788" s="259">
        <v>1.9</v>
      </c>
      <c r="AI1788" s="259">
        <v>1</v>
      </c>
      <c r="AJ1788" s="259">
        <v>1.1000000000000001</v>
      </c>
      <c r="AK1788" s="260">
        <v>2</v>
      </c>
      <c r="AL1788" s="260"/>
      <c r="AM1788" s="259">
        <v>0.32</v>
      </c>
      <c r="AN1788" s="18" t="s">
        <v>2234</v>
      </c>
      <c r="AO1788" s="18" t="s">
        <v>2236</v>
      </c>
      <c r="AP1788" s="18"/>
    </row>
    <row r="1789" spans="1:42" x14ac:dyDescent="0.3">
      <c r="A1789" s="18" t="s">
        <v>1463</v>
      </c>
      <c r="B1789" s="18" t="s">
        <v>5664</v>
      </c>
      <c r="C1789" s="18" t="s">
        <v>1466</v>
      </c>
      <c r="D1789" s="18" t="s">
        <v>5940</v>
      </c>
      <c r="E1789" s="18" t="s">
        <v>1467</v>
      </c>
      <c r="F1789" s="18" t="s">
        <v>5941</v>
      </c>
      <c r="G1789" s="18" t="s">
        <v>5942</v>
      </c>
      <c r="H1789" s="157" t="s">
        <v>5943</v>
      </c>
      <c r="I1789" s="18"/>
      <c r="J1789" s="18"/>
      <c r="K1789" s="18" t="s">
        <v>5961</v>
      </c>
      <c r="L1789" s="18" t="s">
        <v>5962</v>
      </c>
      <c r="M1789" s="18" t="s">
        <v>5963</v>
      </c>
      <c r="N1789" s="223"/>
      <c r="O1789" s="16">
        <v>1</v>
      </c>
      <c r="P1789" s="16"/>
      <c r="Q1789" s="16"/>
      <c r="R1789" s="16"/>
      <c r="S1789" s="16"/>
      <c r="T1789" s="18" t="s">
        <v>2234</v>
      </c>
      <c r="U1789" s="283" t="s">
        <v>2236</v>
      </c>
      <c r="V1789" s="18" t="s">
        <v>5964</v>
      </c>
      <c r="W1789" s="18">
        <v>1</v>
      </c>
      <c r="X1789" s="18">
        <v>1</v>
      </c>
      <c r="Y1789" s="18">
        <v>1</v>
      </c>
      <c r="Z1789" s="18">
        <v>1</v>
      </c>
      <c r="AA1789" s="18">
        <v>1</v>
      </c>
      <c r="AB1789" s="18">
        <v>1</v>
      </c>
      <c r="AC1789" s="316">
        <v>1</v>
      </c>
      <c r="AD1789" s="316">
        <v>1</v>
      </c>
      <c r="AE1789" s="302">
        <v>1</v>
      </c>
      <c r="AF1789" s="259"/>
      <c r="AG1789" s="259">
        <v>0</v>
      </c>
      <c r="AH1789" s="259">
        <v>0.3</v>
      </c>
      <c r="AI1789" s="259">
        <v>2</v>
      </c>
      <c r="AJ1789" s="259">
        <v>3</v>
      </c>
      <c r="AK1789" s="260">
        <v>3</v>
      </c>
      <c r="AL1789" s="260"/>
      <c r="AM1789" s="259">
        <v>3</v>
      </c>
      <c r="AN1789" s="18" t="s">
        <v>2234</v>
      </c>
      <c r="AO1789" s="18" t="s">
        <v>2236</v>
      </c>
      <c r="AP1789" s="18"/>
    </row>
    <row r="1790" spans="1:42" hidden="1" x14ac:dyDescent="0.3">
      <c r="A1790" s="18" t="s">
        <v>1463</v>
      </c>
      <c r="B1790" s="18" t="s">
        <v>5664</v>
      </c>
      <c r="C1790" s="18" t="s">
        <v>1466</v>
      </c>
      <c r="D1790" s="18" t="s">
        <v>5940</v>
      </c>
      <c r="E1790" s="18" t="s">
        <v>1467</v>
      </c>
      <c r="F1790" s="18" t="s">
        <v>5941</v>
      </c>
      <c r="G1790" s="18" t="s">
        <v>5942</v>
      </c>
      <c r="H1790" s="157" t="s">
        <v>5943</v>
      </c>
      <c r="I1790" s="18"/>
      <c r="J1790" s="18"/>
      <c r="K1790" s="18" t="s">
        <v>5961</v>
      </c>
      <c r="L1790" s="18" t="s">
        <v>5962</v>
      </c>
      <c r="M1790" s="18" t="s">
        <v>5965</v>
      </c>
      <c r="N1790" s="223"/>
      <c r="O1790" s="16">
        <v>12</v>
      </c>
      <c r="P1790" s="16">
        <v>12</v>
      </c>
      <c r="Q1790" s="16"/>
      <c r="R1790" s="16"/>
      <c r="S1790" s="16"/>
      <c r="T1790" s="18" t="s">
        <v>2234</v>
      </c>
      <c r="U1790" s="283" t="s">
        <v>2236</v>
      </c>
      <c r="V1790" s="18" t="s">
        <v>5966</v>
      </c>
      <c r="W1790" s="18">
        <v>1</v>
      </c>
      <c r="X1790" s="18">
        <v>0</v>
      </c>
      <c r="Y1790" s="18">
        <v>0</v>
      </c>
      <c r="Z1790" s="18">
        <v>1</v>
      </c>
      <c r="AA1790" s="18">
        <v>1</v>
      </c>
      <c r="AB1790" s="18">
        <v>0</v>
      </c>
      <c r="AC1790" s="316">
        <v>0</v>
      </c>
      <c r="AD1790" s="316">
        <v>1</v>
      </c>
      <c r="AE1790" s="302">
        <v>0.5</v>
      </c>
      <c r="AF1790" s="259"/>
      <c r="AG1790" s="259">
        <v>0</v>
      </c>
      <c r="AH1790" s="259">
        <v>0.1</v>
      </c>
      <c r="AI1790" s="259">
        <v>0.1</v>
      </c>
      <c r="AJ1790" s="259"/>
      <c r="AK1790" s="260"/>
      <c r="AL1790" s="260"/>
      <c r="AM1790" s="259">
        <v>0</v>
      </c>
      <c r="AN1790" s="18" t="s">
        <v>2234</v>
      </c>
      <c r="AO1790" s="18" t="s">
        <v>2236</v>
      </c>
      <c r="AP1790" s="18"/>
    </row>
    <row r="1791" spans="1:42" x14ac:dyDescent="0.3">
      <c r="A1791" s="18" t="s">
        <v>1463</v>
      </c>
      <c r="B1791" s="18" t="s">
        <v>5664</v>
      </c>
      <c r="C1791" s="18" t="s">
        <v>1466</v>
      </c>
      <c r="D1791" s="18" t="s">
        <v>5940</v>
      </c>
      <c r="E1791" s="18" t="s">
        <v>1467</v>
      </c>
      <c r="F1791" s="18" t="s">
        <v>5941</v>
      </c>
      <c r="G1791" s="18" t="s">
        <v>5942</v>
      </c>
      <c r="H1791" s="157" t="s">
        <v>5943</v>
      </c>
      <c r="I1791" s="18"/>
      <c r="J1791" s="18"/>
      <c r="K1791" s="18" t="s">
        <v>5967</v>
      </c>
      <c r="L1791" s="18" t="s">
        <v>5968</v>
      </c>
      <c r="M1791" s="18" t="s">
        <v>5969</v>
      </c>
      <c r="N1791" s="223"/>
      <c r="O1791" s="16"/>
      <c r="P1791" s="16">
        <v>50</v>
      </c>
      <c r="Q1791" s="16">
        <v>50</v>
      </c>
      <c r="R1791" s="16">
        <v>50</v>
      </c>
      <c r="S1791" s="16">
        <v>50</v>
      </c>
      <c r="T1791" s="18" t="s">
        <v>5970</v>
      </c>
      <c r="U1791" s="283" t="e">
        <v>#N/A</v>
      </c>
      <c r="V1791" s="18" t="s">
        <v>5971</v>
      </c>
      <c r="W1791" s="18">
        <v>1</v>
      </c>
      <c r="X1791" s="18">
        <v>1</v>
      </c>
      <c r="Y1791" s="18">
        <v>1</v>
      </c>
      <c r="Z1791" s="18">
        <v>1</v>
      </c>
      <c r="AA1791" s="18">
        <v>1</v>
      </c>
      <c r="AB1791" s="18">
        <v>1</v>
      </c>
      <c r="AC1791" s="316">
        <v>1</v>
      </c>
      <c r="AD1791" s="316">
        <v>1</v>
      </c>
      <c r="AE1791" s="302">
        <v>1</v>
      </c>
      <c r="AF1791" s="259"/>
      <c r="AG1791" s="259">
        <v>0</v>
      </c>
      <c r="AH1791" s="259"/>
      <c r="AI1791" s="259">
        <v>1</v>
      </c>
      <c r="AJ1791" s="259">
        <v>1</v>
      </c>
      <c r="AK1791" s="260">
        <v>1</v>
      </c>
      <c r="AL1791" s="260">
        <v>1</v>
      </c>
      <c r="AM1791" s="259">
        <v>2</v>
      </c>
      <c r="AN1791" s="18" t="s">
        <v>723</v>
      </c>
      <c r="AO1791" s="18" t="s">
        <v>729</v>
      </c>
      <c r="AP1791" s="18"/>
    </row>
    <row r="1792" spans="1:42" x14ac:dyDescent="0.3">
      <c r="A1792" s="18" t="s">
        <v>1463</v>
      </c>
      <c r="B1792" s="18" t="s">
        <v>5664</v>
      </c>
      <c r="C1792" s="18" t="s">
        <v>1466</v>
      </c>
      <c r="D1792" s="18" t="s">
        <v>5940</v>
      </c>
      <c r="E1792" s="18" t="s">
        <v>1467</v>
      </c>
      <c r="F1792" s="18" t="s">
        <v>5941</v>
      </c>
      <c r="G1792" s="18" t="s">
        <v>5942</v>
      </c>
      <c r="H1792" s="157" t="s">
        <v>5943</v>
      </c>
      <c r="I1792" s="18"/>
      <c r="J1792" s="18"/>
      <c r="K1792" s="18" t="s">
        <v>5972</v>
      </c>
      <c r="L1792" s="18" t="s">
        <v>5973</v>
      </c>
      <c r="M1792" s="18" t="s">
        <v>5974</v>
      </c>
      <c r="N1792" s="223"/>
      <c r="O1792" s="16">
        <v>665</v>
      </c>
      <c r="P1792" s="16">
        <v>665</v>
      </c>
      <c r="Q1792" s="16">
        <v>665</v>
      </c>
      <c r="R1792" s="16">
        <v>665</v>
      </c>
      <c r="S1792" s="16">
        <v>665</v>
      </c>
      <c r="T1792" s="18" t="s">
        <v>2234</v>
      </c>
      <c r="U1792" s="283" t="s">
        <v>2236</v>
      </c>
      <c r="V1792" s="18" t="s">
        <v>5975</v>
      </c>
      <c r="W1792" s="18">
        <v>1</v>
      </c>
      <c r="X1792" s="18">
        <v>1</v>
      </c>
      <c r="Y1792" s="18">
        <v>1</v>
      </c>
      <c r="Z1792" s="18">
        <v>1</v>
      </c>
      <c r="AA1792" s="18">
        <v>1</v>
      </c>
      <c r="AB1792" s="18">
        <v>1</v>
      </c>
      <c r="AC1792" s="316">
        <v>1</v>
      </c>
      <c r="AD1792" s="316">
        <v>1</v>
      </c>
      <c r="AE1792" s="302">
        <v>1</v>
      </c>
      <c r="AF1792" s="259"/>
      <c r="AG1792" s="259">
        <v>0</v>
      </c>
      <c r="AH1792" s="259">
        <v>0.32</v>
      </c>
      <c r="AI1792" s="259">
        <v>0.32</v>
      </c>
      <c r="AJ1792" s="259">
        <v>0.32</v>
      </c>
      <c r="AK1792" s="260">
        <v>1</v>
      </c>
      <c r="AL1792" s="260">
        <v>0.32</v>
      </c>
      <c r="AM1792" s="259">
        <v>0.64</v>
      </c>
      <c r="AN1792" s="18" t="s">
        <v>2234</v>
      </c>
      <c r="AO1792" s="18" t="s">
        <v>2236</v>
      </c>
      <c r="AP1792" s="18"/>
    </row>
    <row r="1793" spans="1:42" x14ac:dyDescent="0.3">
      <c r="A1793" s="18" t="s">
        <v>1463</v>
      </c>
      <c r="B1793" s="18" t="s">
        <v>5664</v>
      </c>
      <c r="C1793" s="18" t="s">
        <v>1466</v>
      </c>
      <c r="D1793" s="18" t="s">
        <v>5940</v>
      </c>
      <c r="E1793" s="18" t="s">
        <v>1467</v>
      </c>
      <c r="F1793" s="18" t="s">
        <v>5941</v>
      </c>
      <c r="G1793" s="18" t="s">
        <v>5942</v>
      </c>
      <c r="H1793" s="157" t="s">
        <v>5943</v>
      </c>
      <c r="I1793" s="18"/>
      <c r="J1793" s="18"/>
      <c r="K1793" s="18" t="s">
        <v>5976</v>
      </c>
      <c r="L1793" s="18" t="s">
        <v>5977</v>
      </c>
      <c r="M1793" s="18" t="s">
        <v>5978</v>
      </c>
      <c r="N1793" s="223"/>
      <c r="O1793" s="38"/>
      <c r="P1793" s="38">
        <v>0.25</v>
      </c>
      <c r="Q1793" s="38">
        <v>0.6</v>
      </c>
      <c r="R1793" s="38">
        <v>0.8</v>
      </c>
      <c r="S1793" s="38">
        <v>1</v>
      </c>
      <c r="T1793" s="18" t="s">
        <v>2172</v>
      </c>
      <c r="U1793" s="283" t="s">
        <v>2236</v>
      </c>
      <c r="V1793" s="18" t="s">
        <v>5979</v>
      </c>
      <c r="W1793" s="18">
        <v>1</v>
      </c>
      <c r="X1793" s="18">
        <v>0</v>
      </c>
      <c r="Y1793" s="18">
        <v>0</v>
      </c>
      <c r="Z1793" s="18">
        <v>1</v>
      </c>
      <c r="AA1793" s="18">
        <v>1</v>
      </c>
      <c r="AB1793" s="18">
        <v>1</v>
      </c>
      <c r="AC1793" s="316">
        <v>1</v>
      </c>
      <c r="AD1793" s="316">
        <v>1</v>
      </c>
      <c r="AE1793" s="302">
        <v>0.75</v>
      </c>
      <c r="AF1793" s="259"/>
      <c r="AG1793" s="259">
        <v>0</v>
      </c>
      <c r="AH1793" s="259"/>
      <c r="AI1793" s="259">
        <v>35.4</v>
      </c>
      <c r="AJ1793" s="259">
        <v>47.2</v>
      </c>
      <c r="AK1793" s="260">
        <v>1</v>
      </c>
      <c r="AL1793" s="260">
        <v>11.8</v>
      </c>
      <c r="AM1793" s="259">
        <v>35.400000000000006</v>
      </c>
      <c r="AN1793" s="18" t="s">
        <v>2234</v>
      </c>
      <c r="AO1793" s="18" t="s">
        <v>2236</v>
      </c>
      <c r="AP1793" s="18"/>
    </row>
    <row r="1794" spans="1:42" x14ac:dyDescent="0.3">
      <c r="A1794" s="18" t="s">
        <v>1463</v>
      </c>
      <c r="B1794" s="18" t="s">
        <v>5664</v>
      </c>
      <c r="C1794" s="18" t="s">
        <v>1466</v>
      </c>
      <c r="D1794" s="18" t="s">
        <v>5940</v>
      </c>
      <c r="E1794" s="18" t="s">
        <v>1467</v>
      </c>
      <c r="F1794" s="18" t="s">
        <v>5941</v>
      </c>
      <c r="G1794" s="18" t="s">
        <v>5942</v>
      </c>
      <c r="H1794" s="157" t="s">
        <v>5943</v>
      </c>
      <c r="I1794" s="18"/>
      <c r="J1794" s="18"/>
      <c r="K1794" s="18" t="s">
        <v>5980</v>
      </c>
      <c r="L1794" s="18" t="s">
        <v>5981</v>
      </c>
      <c r="M1794" s="18" t="s">
        <v>5982</v>
      </c>
      <c r="N1794" s="223"/>
      <c r="O1794" s="38">
        <v>0.2</v>
      </c>
      <c r="P1794" s="38">
        <v>0.4</v>
      </c>
      <c r="Q1794" s="38">
        <v>0.6</v>
      </c>
      <c r="R1794" s="38">
        <v>0.8</v>
      </c>
      <c r="S1794" s="38">
        <v>1</v>
      </c>
      <c r="T1794" s="18" t="s">
        <v>2172</v>
      </c>
      <c r="U1794" s="283" t="s">
        <v>2236</v>
      </c>
      <c r="V1794" s="18" t="s">
        <v>5983</v>
      </c>
      <c r="W1794" s="18">
        <v>1</v>
      </c>
      <c r="X1794" s="18">
        <v>1</v>
      </c>
      <c r="Y1794" s="18">
        <v>1</v>
      </c>
      <c r="Z1794" s="18">
        <v>1</v>
      </c>
      <c r="AA1794" s="18">
        <v>1</v>
      </c>
      <c r="AB1794" s="18">
        <v>1</v>
      </c>
      <c r="AC1794" s="316">
        <v>1</v>
      </c>
      <c r="AD1794" s="316">
        <v>1</v>
      </c>
      <c r="AE1794" s="302">
        <v>1</v>
      </c>
      <c r="AF1794" s="259"/>
      <c r="AG1794" s="259">
        <v>0</v>
      </c>
      <c r="AH1794" s="259">
        <v>0.4</v>
      </c>
      <c r="AI1794" s="259">
        <v>0.4</v>
      </c>
      <c r="AJ1794" s="259">
        <v>0.4</v>
      </c>
      <c r="AK1794" s="260">
        <v>0.4</v>
      </c>
      <c r="AL1794" s="260">
        <v>0.4</v>
      </c>
      <c r="AM1794" s="259">
        <v>0.8</v>
      </c>
      <c r="AN1794" s="18" t="s">
        <v>2234</v>
      </c>
      <c r="AO1794" s="18" t="s">
        <v>2236</v>
      </c>
      <c r="AP1794" s="18"/>
    </row>
    <row r="1795" spans="1:42" x14ac:dyDescent="0.3">
      <c r="A1795" s="18" t="s">
        <v>1463</v>
      </c>
      <c r="B1795" s="18" t="s">
        <v>5664</v>
      </c>
      <c r="C1795" s="18" t="s">
        <v>1466</v>
      </c>
      <c r="D1795" s="18" t="s">
        <v>5940</v>
      </c>
      <c r="E1795" s="18" t="s">
        <v>1467</v>
      </c>
      <c r="F1795" s="18" t="s">
        <v>5941</v>
      </c>
      <c r="G1795" s="18" t="s">
        <v>5942</v>
      </c>
      <c r="H1795" s="157" t="s">
        <v>5943</v>
      </c>
      <c r="I1795" s="18"/>
      <c r="J1795" s="18"/>
      <c r="K1795" s="18" t="s">
        <v>5980</v>
      </c>
      <c r="L1795" s="18" t="s">
        <v>5981</v>
      </c>
      <c r="M1795" s="18" t="s">
        <v>5984</v>
      </c>
      <c r="N1795" s="223"/>
      <c r="O1795" s="38">
        <v>0.2</v>
      </c>
      <c r="P1795" s="38">
        <v>0.4</v>
      </c>
      <c r="Q1795" s="38">
        <v>0.6</v>
      </c>
      <c r="R1795" s="38">
        <v>0.8</v>
      </c>
      <c r="S1795" s="38">
        <v>1</v>
      </c>
      <c r="T1795" s="18" t="s">
        <v>2172</v>
      </c>
      <c r="U1795" s="283" t="s">
        <v>2236</v>
      </c>
      <c r="V1795" s="18" t="s">
        <v>5985</v>
      </c>
      <c r="W1795" s="18">
        <v>1</v>
      </c>
      <c r="X1795" s="18">
        <v>1</v>
      </c>
      <c r="Y1795" s="18">
        <v>1</v>
      </c>
      <c r="Z1795" s="18">
        <v>1</v>
      </c>
      <c r="AA1795" s="18">
        <v>1</v>
      </c>
      <c r="AB1795" s="18">
        <v>1</v>
      </c>
      <c r="AC1795" s="316">
        <v>1</v>
      </c>
      <c r="AD1795" s="316">
        <v>1</v>
      </c>
      <c r="AE1795" s="302">
        <v>1</v>
      </c>
      <c r="AF1795" s="259"/>
      <c r="AG1795" s="259">
        <v>0</v>
      </c>
      <c r="AH1795" s="259"/>
      <c r="AI1795" s="259"/>
      <c r="AJ1795" s="259"/>
      <c r="AK1795" s="260">
        <v>0.2</v>
      </c>
      <c r="AL1795" s="260"/>
      <c r="AM1795" s="259">
        <v>0</v>
      </c>
      <c r="AN1795" s="18" t="s">
        <v>2234</v>
      </c>
      <c r="AO1795" s="18" t="s">
        <v>2236</v>
      </c>
      <c r="AP1795" s="18"/>
    </row>
    <row r="1796" spans="1:42" x14ac:dyDescent="0.3">
      <c r="A1796" s="18" t="s">
        <v>1463</v>
      </c>
      <c r="B1796" s="18" t="s">
        <v>5664</v>
      </c>
      <c r="C1796" s="18" t="s">
        <v>1466</v>
      </c>
      <c r="D1796" s="18" t="s">
        <v>5940</v>
      </c>
      <c r="E1796" s="18" t="s">
        <v>1467</v>
      </c>
      <c r="F1796" s="18" t="s">
        <v>5941</v>
      </c>
      <c r="G1796" s="18" t="s">
        <v>5942</v>
      </c>
      <c r="H1796" s="157" t="s">
        <v>5943</v>
      </c>
      <c r="I1796" s="18"/>
      <c r="J1796" s="18"/>
      <c r="K1796" s="18" t="s">
        <v>5986</v>
      </c>
      <c r="L1796" s="10" t="s">
        <v>5987</v>
      </c>
      <c r="M1796" s="18" t="s">
        <v>5988</v>
      </c>
      <c r="N1796" s="16"/>
      <c r="O1796" s="16"/>
      <c r="P1796" s="16"/>
      <c r="Q1796" s="16"/>
      <c r="R1796" s="16"/>
      <c r="S1796" s="16"/>
      <c r="T1796" s="18" t="s">
        <v>5989</v>
      </c>
      <c r="U1796" s="283" t="e">
        <v>#N/A</v>
      </c>
      <c r="V1796" s="18" t="s">
        <v>5990</v>
      </c>
      <c r="W1796" s="18">
        <v>1</v>
      </c>
      <c r="X1796" s="18">
        <v>1</v>
      </c>
      <c r="Y1796" s="18">
        <v>1</v>
      </c>
      <c r="Z1796" s="18">
        <v>1</v>
      </c>
      <c r="AA1796" s="18">
        <v>1</v>
      </c>
      <c r="AB1796" s="18">
        <v>1</v>
      </c>
      <c r="AC1796" s="316">
        <v>1</v>
      </c>
      <c r="AD1796" s="316">
        <v>1</v>
      </c>
      <c r="AE1796" s="302">
        <v>1</v>
      </c>
      <c r="AF1796" s="259"/>
      <c r="AG1796" s="259">
        <v>0</v>
      </c>
      <c r="AH1796" s="259"/>
      <c r="AI1796" s="259">
        <v>0.5</v>
      </c>
      <c r="AJ1796" s="259">
        <v>0.5</v>
      </c>
      <c r="AK1796" s="260">
        <v>0.5</v>
      </c>
      <c r="AL1796" s="260">
        <v>0.5</v>
      </c>
      <c r="AM1796" s="259">
        <v>1</v>
      </c>
      <c r="AN1796" s="18" t="s">
        <v>2234</v>
      </c>
      <c r="AO1796" s="18" t="s">
        <v>2236</v>
      </c>
      <c r="AP1796" s="18"/>
    </row>
    <row r="1797" spans="1:42" x14ac:dyDescent="0.3">
      <c r="A1797" s="18" t="s">
        <v>1463</v>
      </c>
      <c r="B1797" s="18" t="s">
        <v>5664</v>
      </c>
      <c r="C1797" s="18" t="s">
        <v>1466</v>
      </c>
      <c r="D1797" s="18" t="s">
        <v>5940</v>
      </c>
      <c r="E1797" s="18" t="s">
        <v>1467</v>
      </c>
      <c r="F1797" s="18" t="s">
        <v>5941</v>
      </c>
      <c r="G1797" s="18" t="s">
        <v>5942</v>
      </c>
      <c r="H1797" s="157" t="s">
        <v>5943</v>
      </c>
      <c r="I1797" s="18"/>
      <c r="J1797" s="18"/>
      <c r="K1797" s="18" t="s">
        <v>5991</v>
      </c>
      <c r="L1797" s="18" t="s">
        <v>5992</v>
      </c>
      <c r="M1797" s="18" t="s">
        <v>5993</v>
      </c>
      <c r="N1797" s="16"/>
      <c r="O1797" s="16"/>
      <c r="P1797" s="16">
        <v>1</v>
      </c>
      <c r="Q1797" s="16">
        <v>1</v>
      </c>
      <c r="R1797" s="16">
        <v>1</v>
      </c>
      <c r="S1797" s="16">
        <v>1</v>
      </c>
      <c r="T1797" s="18" t="s">
        <v>5994</v>
      </c>
      <c r="U1797" s="283" t="e">
        <v>#N/A</v>
      </c>
      <c r="V1797" s="14" t="s">
        <v>5995</v>
      </c>
      <c r="W1797" s="14">
        <v>1</v>
      </c>
      <c r="X1797" s="14">
        <v>1</v>
      </c>
      <c r="Y1797" s="14">
        <v>0</v>
      </c>
      <c r="Z1797" s="14">
        <v>1</v>
      </c>
      <c r="AA1797" s="14">
        <v>1</v>
      </c>
      <c r="AB1797" s="14">
        <v>1</v>
      </c>
      <c r="AC1797" s="316">
        <v>1</v>
      </c>
      <c r="AD1797" s="316">
        <v>1</v>
      </c>
      <c r="AE1797" s="302">
        <v>0.875</v>
      </c>
      <c r="AF1797" s="259"/>
      <c r="AG1797" s="259">
        <v>0</v>
      </c>
      <c r="AH1797" s="259">
        <v>0.12</v>
      </c>
      <c r="AI1797" s="259"/>
      <c r="AJ1797" s="259"/>
      <c r="AK1797" s="260">
        <v>0.2</v>
      </c>
      <c r="AL1797" s="260"/>
      <c r="AM1797" s="259">
        <v>0</v>
      </c>
      <c r="AN1797" s="18" t="s">
        <v>2234</v>
      </c>
      <c r="AO1797" s="18" t="s">
        <v>2236</v>
      </c>
      <c r="AP1797" s="18"/>
    </row>
    <row r="1798" spans="1:42" x14ac:dyDescent="0.3">
      <c r="A1798" s="18" t="s">
        <v>1463</v>
      </c>
      <c r="B1798" s="18" t="s">
        <v>5664</v>
      </c>
      <c r="C1798" s="18" t="s">
        <v>1466</v>
      </c>
      <c r="D1798" s="18" t="s">
        <v>5940</v>
      </c>
      <c r="E1798" s="18" t="s">
        <v>1467</v>
      </c>
      <c r="F1798" s="18" t="s">
        <v>5941</v>
      </c>
      <c r="G1798" s="18" t="s">
        <v>5942</v>
      </c>
      <c r="H1798" s="157" t="s">
        <v>5943</v>
      </c>
      <c r="I1798" s="18"/>
      <c r="J1798" s="18"/>
      <c r="K1798" s="18" t="s">
        <v>5996</v>
      </c>
      <c r="L1798" s="18" t="s">
        <v>5997</v>
      </c>
      <c r="M1798" s="18" t="s">
        <v>5998</v>
      </c>
      <c r="N1798" s="16"/>
      <c r="O1798" s="16">
        <v>1</v>
      </c>
      <c r="P1798" s="16">
        <v>1</v>
      </c>
      <c r="Q1798" s="16">
        <v>1</v>
      </c>
      <c r="R1798" s="16">
        <v>1</v>
      </c>
      <c r="S1798" s="16">
        <v>1</v>
      </c>
      <c r="T1798" s="18" t="s">
        <v>5994</v>
      </c>
      <c r="U1798" s="283" t="e">
        <v>#N/A</v>
      </c>
      <c r="V1798" s="18" t="s">
        <v>5999</v>
      </c>
      <c r="W1798" s="18">
        <v>1</v>
      </c>
      <c r="X1798" s="18">
        <v>1</v>
      </c>
      <c r="Y1798" s="18">
        <v>0</v>
      </c>
      <c r="Z1798" s="18">
        <v>1</v>
      </c>
      <c r="AA1798" s="18">
        <v>1</v>
      </c>
      <c r="AB1798" s="18">
        <v>1</v>
      </c>
      <c r="AC1798" s="316">
        <v>1</v>
      </c>
      <c r="AD1798" s="316">
        <v>1</v>
      </c>
      <c r="AE1798" s="302">
        <v>0.875</v>
      </c>
      <c r="AF1798" s="259"/>
      <c r="AG1798" s="259">
        <v>0</v>
      </c>
      <c r="AH1798" s="259">
        <v>0.6</v>
      </c>
      <c r="AI1798" s="259">
        <v>0.4</v>
      </c>
      <c r="AJ1798" s="259">
        <v>0.4</v>
      </c>
      <c r="AK1798" s="260">
        <v>0.4</v>
      </c>
      <c r="AL1798" s="260">
        <v>0.4</v>
      </c>
      <c r="AM1798" s="259">
        <v>0.8</v>
      </c>
      <c r="AN1798" s="18" t="s">
        <v>2234</v>
      </c>
      <c r="AO1798" s="18" t="s">
        <v>2236</v>
      </c>
      <c r="AP1798" s="18"/>
    </row>
    <row r="1799" spans="1:42" x14ac:dyDescent="0.3">
      <c r="A1799" s="18" t="s">
        <v>1463</v>
      </c>
      <c r="B1799" s="18" t="s">
        <v>5664</v>
      </c>
      <c r="C1799" s="18" t="s">
        <v>1466</v>
      </c>
      <c r="D1799" s="18" t="s">
        <v>5940</v>
      </c>
      <c r="E1799" s="18" t="s">
        <v>1467</v>
      </c>
      <c r="F1799" s="18" t="s">
        <v>5941</v>
      </c>
      <c r="G1799" s="18" t="s">
        <v>5942</v>
      </c>
      <c r="H1799" s="157" t="s">
        <v>5943</v>
      </c>
      <c r="I1799" s="18"/>
      <c r="J1799" s="18"/>
      <c r="K1799" s="18" t="s">
        <v>6000</v>
      </c>
      <c r="L1799" s="18" t="s">
        <v>6001</v>
      </c>
      <c r="M1799" s="18" t="s">
        <v>6002</v>
      </c>
      <c r="N1799" s="16"/>
      <c r="O1799" s="16"/>
      <c r="P1799" s="16">
        <v>1</v>
      </c>
      <c r="Q1799" s="16">
        <v>1</v>
      </c>
      <c r="R1799" s="16">
        <v>1</v>
      </c>
      <c r="S1799" s="16">
        <v>1</v>
      </c>
      <c r="T1799" s="18" t="s">
        <v>5994</v>
      </c>
      <c r="U1799" s="283" t="e">
        <v>#N/A</v>
      </c>
      <c r="V1799" s="18" t="s">
        <v>6003</v>
      </c>
      <c r="W1799" s="18">
        <v>1</v>
      </c>
      <c r="X1799" s="18">
        <v>1</v>
      </c>
      <c r="Y1799" s="18">
        <v>0</v>
      </c>
      <c r="Z1799" s="18">
        <v>1</v>
      </c>
      <c r="AA1799" s="18">
        <v>1</v>
      </c>
      <c r="AB1799" s="18">
        <v>1</v>
      </c>
      <c r="AC1799" s="316">
        <v>1</v>
      </c>
      <c r="AD1799" s="316">
        <v>1</v>
      </c>
      <c r="AE1799" s="302">
        <v>0.875</v>
      </c>
      <c r="AF1799" s="259"/>
      <c r="AG1799" s="259">
        <v>0</v>
      </c>
      <c r="AH1799" s="259"/>
      <c r="AI1799" s="259">
        <v>0.5</v>
      </c>
      <c r="AJ1799" s="259">
        <v>0.5</v>
      </c>
      <c r="AK1799" s="260">
        <v>0.5</v>
      </c>
      <c r="AL1799" s="260">
        <v>0.5</v>
      </c>
      <c r="AM1799" s="259">
        <v>1</v>
      </c>
      <c r="AN1799" s="18" t="s">
        <v>2234</v>
      </c>
      <c r="AO1799" s="18" t="s">
        <v>2236</v>
      </c>
      <c r="AP1799" s="18"/>
    </row>
    <row r="1800" spans="1:42" x14ac:dyDescent="0.3">
      <c r="A1800" s="18" t="s">
        <v>1463</v>
      </c>
      <c r="B1800" s="18" t="s">
        <v>5664</v>
      </c>
      <c r="C1800" s="18" t="s">
        <v>1466</v>
      </c>
      <c r="D1800" s="18" t="s">
        <v>5940</v>
      </c>
      <c r="E1800" s="18" t="s">
        <v>1467</v>
      </c>
      <c r="F1800" s="18" t="s">
        <v>5941</v>
      </c>
      <c r="G1800" s="18" t="s">
        <v>5942</v>
      </c>
      <c r="H1800" s="157" t="s">
        <v>5943</v>
      </c>
      <c r="I1800" s="18"/>
      <c r="J1800" s="18"/>
      <c r="K1800" s="18" t="s">
        <v>6000</v>
      </c>
      <c r="L1800" s="18" t="s">
        <v>6001</v>
      </c>
      <c r="M1800" s="18" t="s">
        <v>6004</v>
      </c>
      <c r="N1800" s="16"/>
      <c r="O1800" s="16"/>
      <c r="P1800" s="16">
        <v>1</v>
      </c>
      <c r="Q1800" s="16">
        <v>1</v>
      </c>
      <c r="R1800" s="16">
        <v>1</v>
      </c>
      <c r="S1800" s="16">
        <v>1</v>
      </c>
      <c r="T1800" s="18" t="s">
        <v>5994</v>
      </c>
      <c r="U1800" s="283" t="e">
        <v>#N/A</v>
      </c>
      <c r="V1800" s="18" t="s">
        <v>6005</v>
      </c>
      <c r="W1800" s="18">
        <v>1</v>
      </c>
      <c r="X1800" s="18">
        <v>1</v>
      </c>
      <c r="Y1800" s="18">
        <v>0</v>
      </c>
      <c r="Z1800" s="18">
        <v>1</v>
      </c>
      <c r="AA1800" s="18">
        <v>1</v>
      </c>
      <c r="AB1800" s="18">
        <v>1</v>
      </c>
      <c r="AC1800" s="316">
        <v>1</v>
      </c>
      <c r="AD1800" s="316">
        <v>1</v>
      </c>
      <c r="AE1800" s="302">
        <v>0.875</v>
      </c>
      <c r="AF1800" s="259"/>
      <c r="AG1800" s="259">
        <v>0</v>
      </c>
      <c r="AH1800" s="259"/>
      <c r="AI1800" s="259">
        <v>0.5</v>
      </c>
      <c r="AJ1800" s="259">
        <v>0.5</v>
      </c>
      <c r="AK1800" s="260">
        <v>0</v>
      </c>
      <c r="AL1800" s="260">
        <v>0</v>
      </c>
      <c r="AM1800" s="259">
        <v>1</v>
      </c>
      <c r="AN1800" s="18" t="s">
        <v>1446</v>
      </c>
      <c r="AO1800" s="18" t="s">
        <v>3715</v>
      </c>
      <c r="AP1800" s="18"/>
    </row>
    <row r="1801" spans="1:42" x14ac:dyDescent="0.3">
      <c r="A1801" s="18" t="s">
        <v>1463</v>
      </c>
      <c r="B1801" s="18" t="s">
        <v>5664</v>
      </c>
      <c r="C1801" s="18" t="s">
        <v>1466</v>
      </c>
      <c r="D1801" s="18" t="s">
        <v>5940</v>
      </c>
      <c r="E1801" s="18" t="s">
        <v>1467</v>
      </c>
      <c r="F1801" s="18" t="s">
        <v>5941</v>
      </c>
      <c r="G1801" s="18" t="s">
        <v>5942</v>
      </c>
      <c r="H1801" s="157" t="s">
        <v>5943</v>
      </c>
      <c r="I1801" s="18"/>
      <c r="J1801" s="18"/>
      <c r="K1801" s="18" t="s">
        <v>6000</v>
      </c>
      <c r="L1801" s="18" t="s">
        <v>6001</v>
      </c>
      <c r="M1801" s="18" t="s">
        <v>6006</v>
      </c>
      <c r="N1801" s="16"/>
      <c r="O1801" s="16"/>
      <c r="P1801" s="16">
        <v>1</v>
      </c>
      <c r="Q1801" s="16">
        <v>1</v>
      </c>
      <c r="R1801" s="16">
        <v>1</v>
      </c>
      <c r="S1801" s="16">
        <v>1</v>
      </c>
      <c r="T1801" s="18" t="s">
        <v>6007</v>
      </c>
      <c r="U1801" s="283" t="e">
        <v>#N/A</v>
      </c>
      <c r="V1801" s="18" t="s">
        <v>6008</v>
      </c>
      <c r="W1801" s="18">
        <v>1</v>
      </c>
      <c r="X1801" s="18">
        <v>1</v>
      </c>
      <c r="Y1801" s="18">
        <v>0</v>
      </c>
      <c r="Z1801" s="18">
        <v>1</v>
      </c>
      <c r="AA1801" s="18">
        <v>1</v>
      </c>
      <c r="AB1801" s="18">
        <v>1</v>
      </c>
      <c r="AC1801" s="316">
        <v>0</v>
      </c>
      <c r="AD1801" s="316">
        <v>1</v>
      </c>
      <c r="AE1801" s="302">
        <v>0.75</v>
      </c>
      <c r="AF1801" s="259"/>
      <c r="AG1801" s="259">
        <v>0</v>
      </c>
      <c r="AH1801" s="259"/>
      <c r="AI1801" s="259">
        <v>0.5</v>
      </c>
      <c r="AJ1801" s="259">
        <v>0.5</v>
      </c>
      <c r="AK1801" s="260">
        <v>0</v>
      </c>
      <c r="AL1801" s="260">
        <v>0</v>
      </c>
      <c r="AM1801" s="259">
        <v>1</v>
      </c>
      <c r="AN1801" s="18" t="s">
        <v>1446</v>
      </c>
      <c r="AO1801" s="18" t="s">
        <v>3715</v>
      </c>
      <c r="AP1801" s="18"/>
    </row>
    <row r="1802" spans="1:42" x14ac:dyDescent="0.3">
      <c r="A1802" s="18" t="s">
        <v>1463</v>
      </c>
      <c r="B1802" s="18" t="s">
        <v>5664</v>
      </c>
      <c r="C1802" s="18" t="s">
        <v>1466</v>
      </c>
      <c r="D1802" s="18" t="s">
        <v>5940</v>
      </c>
      <c r="E1802" s="18" t="s">
        <v>1467</v>
      </c>
      <c r="F1802" s="18" t="s">
        <v>5941</v>
      </c>
      <c r="G1802" s="18" t="s">
        <v>6009</v>
      </c>
      <c r="H1802" s="157" t="s">
        <v>6010</v>
      </c>
      <c r="I1802" s="18" t="s">
        <v>6011</v>
      </c>
      <c r="J1802" s="18" t="s">
        <v>6012</v>
      </c>
      <c r="K1802" s="18" t="s">
        <v>6013</v>
      </c>
      <c r="L1802" s="18" t="s">
        <v>6012</v>
      </c>
      <c r="M1802" s="18" t="s">
        <v>6014</v>
      </c>
      <c r="N1802" s="16">
        <v>8</v>
      </c>
      <c r="O1802" s="16">
        <v>50</v>
      </c>
      <c r="P1802" s="16">
        <v>50</v>
      </c>
      <c r="Q1802" s="16">
        <v>50</v>
      </c>
      <c r="R1802" s="16">
        <v>50</v>
      </c>
      <c r="S1802" s="16">
        <v>50</v>
      </c>
      <c r="T1802" s="18" t="s">
        <v>2172</v>
      </c>
      <c r="U1802" s="283" t="s">
        <v>2236</v>
      </c>
      <c r="V1802" s="18" t="s">
        <v>6015</v>
      </c>
      <c r="W1802" s="18">
        <v>1</v>
      </c>
      <c r="X1802" s="18">
        <v>1</v>
      </c>
      <c r="Y1802" s="18">
        <v>0</v>
      </c>
      <c r="Z1802" s="18">
        <v>1</v>
      </c>
      <c r="AA1802" s="18">
        <v>1</v>
      </c>
      <c r="AB1802" s="18">
        <v>0</v>
      </c>
      <c r="AC1802" s="316">
        <v>1</v>
      </c>
      <c r="AD1802" s="316">
        <v>1</v>
      </c>
      <c r="AE1802" s="302">
        <v>0.75</v>
      </c>
      <c r="AF1802" s="259"/>
      <c r="AG1802" s="259">
        <v>0</v>
      </c>
      <c r="AH1802" s="259">
        <v>0.26</v>
      </c>
      <c r="AI1802" s="259">
        <v>0.26</v>
      </c>
      <c r="AJ1802" s="259">
        <v>0.26</v>
      </c>
      <c r="AK1802" s="260">
        <v>0.3</v>
      </c>
      <c r="AL1802" s="260">
        <v>0.26</v>
      </c>
      <c r="AM1802" s="259">
        <v>0.52</v>
      </c>
      <c r="AN1802" s="18" t="s">
        <v>2234</v>
      </c>
      <c r="AO1802" s="18" t="s">
        <v>2236</v>
      </c>
      <c r="AP1802" s="18"/>
    </row>
    <row r="1803" spans="1:42" x14ac:dyDescent="0.3">
      <c r="A1803" s="18" t="s">
        <v>1463</v>
      </c>
      <c r="B1803" s="18" t="s">
        <v>5664</v>
      </c>
      <c r="C1803" s="18" t="s">
        <v>1466</v>
      </c>
      <c r="D1803" s="18" t="s">
        <v>5940</v>
      </c>
      <c r="E1803" s="18" t="s">
        <v>1467</v>
      </c>
      <c r="F1803" s="18" t="s">
        <v>5941</v>
      </c>
      <c r="G1803" s="18" t="s">
        <v>6009</v>
      </c>
      <c r="H1803" s="157" t="s">
        <v>6010</v>
      </c>
      <c r="I1803" s="18" t="s">
        <v>6011</v>
      </c>
      <c r="J1803" s="18" t="s">
        <v>6012</v>
      </c>
      <c r="K1803" s="18" t="s">
        <v>6013</v>
      </c>
      <c r="L1803" s="18" t="s">
        <v>6012</v>
      </c>
      <c r="M1803" s="18" t="s">
        <v>6016</v>
      </c>
      <c r="N1803" s="16" t="s">
        <v>271</v>
      </c>
      <c r="O1803" s="16">
        <v>30</v>
      </c>
      <c r="P1803" s="16">
        <v>35</v>
      </c>
      <c r="Q1803" s="16">
        <v>40</v>
      </c>
      <c r="R1803" s="16">
        <v>50</v>
      </c>
      <c r="S1803" s="16">
        <v>65</v>
      </c>
      <c r="T1803" s="18" t="s">
        <v>2172</v>
      </c>
      <c r="U1803" s="283" t="s">
        <v>2236</v>
      </c>
      <c r="V1803" s="18" t="s">
        <v>6017</v>
      </c>
      <c r="W1803" s="18">
        <v>1</v>
      </c>
      <c r="X1803" s="18">
        <v>1</v>
      </c>
      <c r="Y1803" s="18">
        <v>0</v>
      </c>
      <c r="Z1803" s="18">
        <v>1</v>
      </c>
      <c r="AA1803" s="18">
        <v>1</v>
      </c>
      <c r="AB1803" s="18">
        <v>0</v>
      </c>
      <c r="AC1803" s="316">
        <v>1</v>
      </c>
      <c r="AD1803" s="316">
        <v>1</v>
      </c>
      <c r="AE1803" s="302">
        <v>0.75</v>
      </c>
      <c r="AF1803" s="259"/>
      <c r="AG1803" s="259">
        <v>0</v>
      </c>
      <c r="AH1803" s="259"/>
      <c r="AI1803" s="259"/>
      <c r="AJ1803" s="259"/>
      <c r="AK1803" s="260"/>
      <c r="AL1803" s="260"/>
      <c r="AM1803" s="259">
        <v>0</v>
      </c>
      <c r="AN1803" s="18" t="s">
        <v>2234</v>
      </c>
      <c r="AO1803" s="18" t="s">
        <v>2236</v>
      </c>
      <c r="AP1803" s="18"/>
    </row>
    <row r="1804" spans="1:42" x14ac:dyDescent="0.3">
      <c r="A1804" s="18" t="s">
        <v>1463</v>
      </c>
      <c r="B1804" s="18" t="s">
        <v>5664</v>
      </c>
      <c r="C1804" s="18" t="s">
        <v>1466</v>
      </c>
      <c r="D1804" s="18" t="s">
        <v>5940</v>
      </c>
      <c r="E1804" s="18" t="s">
        <v>1467</v>
      </c>
      <c r="F1804" s="18" t="s">
        <v>5941</v>
      </c>
      <c r="G1804" s="18" t="s">
        <v>6018</v>
      </c>
      <c r="H1804" s="157" t="s">
        <v>6019</v>
      </c>
      <c r="I1804" s="18"/>
      <c r="J1804" s="18"/>
      <c r="K1804" s="18" t="s">
        <v>6020</v>
      </c>
      <c r="L1804" s="18" t="s">
        <v>6021</v>
      </c>
      <c r="M1804" s="18" t="s">
        <v>6022</v>
      </c>
      <c r="N1804" s="16" t="s">
        <v>271</v>
      </c>
      <c r="O1804" s="16">
        <v>1</v>
      </c>
      <c r="P1804" s="16">
        <v>1</v>
      </c>
      <c r="Q1804" s="16">
        <v>1</v>
      </c>
      <c r="R1804" s="16">
        <v>1</v>
      </c>
      <c r="S1804" s="16">
        <v>1</v>
      </c>
      <c r="T1804" s="18" t="s">
        <v>6023</v>
      </c>
      <c r="U1804" s="283" t="e">
        <v>#N/A</v>
      </c>
      <c r="V1804" s="18" t="s">
        <v>6024</v>
      </c>
      <c r="W1804" s="18">
        <v>1</v>
      </c>
      <c r="X1804" s="18">
        <v>1</v>
      </c>
      <c r="Y1804" s="18">
        <v>0</v>
      </c>
      <c r="Z1804" s="18">
        <v>1</v>
      </c>
      <c r="AA1804" s="18">
        <v>1</v>
      </c>
      <c r="AB1804" s="18">
        <v>0</v>
      </c>
      <c r="AC1804" s="316">
        <v>1</v>
      </c>
      <c r="AD1804" s="316">
        <v>1</v>
      </c>
      <c r="AE1804" s="302">
        <v>0.75</v>
      </c>
      <c r="AF1804" s="259"/>
      <c r="AG1804" s="259">
        <v>0</v>
      </c>
      <c r="AH1804" s="259"/>
      <c r="AI1804" s="259">
        <v>2.5</v>
      </c>
      <c r="AJ1804" s="259">
        <v>2.5</v>
      </c>
      <c r="AK1804" s="260">
        <v>2.5</v>
      </c>
      <c r="AL1804" s="260">
        <v>2.5</v>
      </c>
      <c r="AM1804" s="259">
        <v>5</v>
      </c>
      <c r="AN1804" s="18" t="s">
        <v>2172</v>
      </c>
      <c r="AO1804" s="18" t="s">
        <v>2236</v>
      </c>
      <c r="AP1804" s="18" t="s">
        <v>5676</v>
      </c>
    </row>
    <row r="1805" spans="1:42" x14ac:dyDescent="0.3">
      <c r="A1805" s="18" t="s">
        <v>1463</v>
      </c>
      <c r="B1805" s="18" t="s">
        <v>5664</v>
      </c>
      <c r="C1805" s="18" t="s">
        <v>1466</v>
      </c>
      <c r="D1805" s="18" t="s">
        <v>5940</v>
      </c>
      <c r="E1805" s="18" t="s">
        <v>1467</v>
      </c>
      <c r="F1805" s="18" t="s">
        <v>5941</v>
      </c>
      <c r="G1805" s="18" t="s">
        <v>6018</v>
      </c>
      <c r="H1805" s="157" t="s">
        <v>6019</v>
      </c>
      <c r="I1805" s="18"/>
      <c r="J1805" s="18"/>
      <c r="K1805" s="18" t="s">
        <v>6025</v>
      </c>
      <c r="L1805" s="18" t="s">
        <v>6026</v>
      </c>
      <c r="M1805" s="18" t="s">
        <v>6027</v>
      </c>
      <c r="N1805" s="16"/>
      <c r="O1805" s="16"/>
      <c r="P1805" s="16">
        <v>1</v>
      </c>
      <c r="Q1805" s="16"/>
      <c r="R1805" s="16"/>
      <c r="S1805" s="16"/>
      <c r="T1805" s="18" t="s">
        <v>2234</v>
      </c>
      <c r="U1805" s="283" t="s">
        <v>2236</v>
      </c>
      <c r="V1805" s="18" t="s">
        <v>6028</v>
      </c>
      <c r="W1805" s="18">
        <v>1</v>
      </c>
      <c r="X1805" s="18">
        <v>1</v>
      </c>
      <c r="Y1805" s="18">
        <v>0</v>
      </c>
      <c r="Z1805" s="18">
        <v>1</v>
      </c>
      <c r="AA1805" s="18">
        <v>1</v>
      </c>
      <c r="AB1805" s="18">
        <v>1</v>
      </c>
      <c r="AC1805" s="316">
        <v>1</v>
      </c>
      <c r="AD1805" s="316">
        <v>1</v>
      </c>
      <c r="AE1805" s="302">
        <v>0.875</v>
      </c>
      <c r="AF1805" s="259"/>
      <c r="AG1805" s="259">
        <v>0</v>
      </c>
      <c r="AH1805" s="259"/>
      <c r="AI1805" s="259">
        <v>0.2</v>
      </c>
      <c r="AJ1805" s="259"/>
      <c r="AK1805" s="260"/>
      <c r="AL1805" s="260"/>
      <c r="AM1805" s="259">
        <v>0</v>
      </c>
      <c r="AN1805" s="18" t="s">
        <v>2234</v>
      </c>
      <c r="AO1805" s="18" t="s">
        <v>2236</v>
      </c>
      <c r="AP1805" s="18"/>
    </row>
    <row r="1806" spans="1:42" x14ac:dyDescent="0.3">
      <c r="A1806" s="18" t="s">
        <v>1463</v>
      </c>
      <c r="B1806" s="18" t="s">
        <v>5664</v>
      </c>
      <c r="C1806" s="18" t="s">
        <v>1466</v>
      </c>
      <c r="D1806" s="18" t="s">
        <v>5940</v>
      </c>
      <c r="E1806" s="18" t="s">
        <v>1467</v>
      </c>
      <c r="F1806" s="18" t="s">
        <v>5941</v>
      </c>
      <c r="G1806" s="18" t="s">
        <v>6018</v>
      </c>
      <c r="H1806" s="157" t="s">
        <v>6019</v>
      </c>
      <c r="I1806" s="18"/>
      <c r="J1806" s="18"/>
      <c r="K1806" s="18" t="s">
        <v>6025</v>
      </c>
      <c r="L1806" s="18" t="s">
        <v>6026</v>
      </c>
      <c r="M1806" s="18" t="s">
        <v>6029</v>
      </c>
      <c r="N1806" s="16"/>
      <c r="O1806" s="16"/>
      <c r="P1806" s="38">
        <v>1</v>
      </c>
      <c r="Q1806" s="38">
        <v>1</v>
      </c>
      <c r="R1806" s="38">
        <v>1</v>
      </c>
      <c r="S1806" s="38">
        <v>1</v>
      </c>
      <c r="T1806" s="18" t="s">
        <v>2234</v>
      </c>
      <c r="U1806" s="283" t="s">
        <v>2236</v>
      </c>
      <c r="V1806" s="18" t="s">
        <v>6030</v>
      </c>
      <c r="W1806" s="18">
        <v>1</v>
      </c>
      <c r="X1806" s="18">
        <v>1</v>
      </c>
      <c r="Y1806" s="18">
        <v>0</v>
      </c>
      <c r="Z1806" s="18">
        <v>1</v>
      </c>
      <c r="AA1806" s="18">
        <v>1</v>
      </c>
      <c r="AB1806" s="18">
        <v>1</v>
      </c>
      <c r="AC1806" s="316">
        <v>1</v>
      </c>
      <c r="AD1806" s="316">
        <v>1</v>
      </c>
      <c r="AE1806" s="302">
        <v>0.875</v>
      </c>
      <c r="AF1806" s="259"/>
      <c r="AG1806" s="259">
        <v>0</v>
      </c>
      <c r="AH1806" s="259"/>
      <c r="AI1806" s="259">
        <v>1.8</v>
      </c>
      <c r="AJ1806" s="259">
        <v>1.8</v>
      </c>
      <c r="AK1806" s="260">
        <v>0</v>
      </c>
      <c r="AL1806" s="260">
        <v>1.8</v>
      </c>
      <c r="AM1806" s="259">
        <v>3.6</v>
      </c>
      <c r="AN1806" s="18" t="s">
        <v>2234</v>
      </c>
      <c r="AO1806" s="18" t="s">
        <v>2236</v>
      </c>
      <c r="AP1806" s="18"/>
    </row>
    <row r="1807" spans="1:42" x14ac:dyDescent="0.3">
      <c r="A1807" s="18" t="s">
        <v>1463</v>
      </c>
      <c r="B1807" s="18" t="s">
        <v>5664</v>
      </c>
      <c r="C1807" s="18" t="s">
        <v>1466</v>
      </c>
      <c r="D1807" s="18" t="s">
        <v>5940</v>
      </c>
      <c r="E1807" s="18" t="s">
        <v>1467</v>
      </c>
      <c r="F1807" s="18" t="s">
        <v>5941</v>
      </c>
      <c r="G1807" s="18" t="s">
        <v>6018</v>
      </c>
      <c r="H1807" s="157" t="s">
        <v>6019</v>
      </c>
      <c r="I1807" s="18"/>
      <c r="J1807" s="18"/>
      <c r="K1807" s="18" t="s">
        <v>6031</v>
      </c>
      <c r="L1807" s="18" t="s">
        <v>6032</v>
      </c>
      <c r="M1807" s="18" t="s">
        <v>6033</v>
      </c>
      <c r="N1807" s="16"/>
      <c r="O1807" s="16">
        <v>1</v>
      </c>
      <c r="P1807" s="16">
        <v>1</v>
      </c>
      <c r="Q1807" s="16">
        <v>1</v>
      </c>
      <c r="R1807" s="16">
        <v>1</v>
      </c>
      <c r="S1807" s="16">
        <v>1</v>
      </c>
      <c r="T1807" s="18" t="s">
        <v>2234</v>
      </c>
      <c r="U1807" s="283" t="s">
        <v>2236</v>
      </c>
      <c r="V1807" s="243" t="s">
        <v>6034</v>
      </c>
      <c r="W1807" s="18">
        <v>1</v>
      </c>
      <c r="X1807" s="18">
        <v>1</v>
      </c>
      <c r="Y1807" s="18">
        <v>0</v>
      </c>
      <c r="Z1807" s="18">
        <v>1</v>
      </c>
      <c r="AA1807" s="18">
        <v>1</v>
      </c>
      <c r="AB1807" s="18">
        <v>0</v>
      </c>
      <c r="AC1807" s="316">
        <v>1</v>
      </c>
      <c r="AD1807" s="316">
        <v>1</v>
      </c>
      <c r="AE1807" s="302">
        <v>0.75</v>
      </c>
      <c r="AF1807" s="259"/>
      <c r="AG1807" s="259">
        <v>0</v>
      </c>
      <c r="AH1807" s="259">
        <v>0.6</v>
      </c>
      <c r="AI1807" s="259">
        <v>0.6</v>
      </c>
      <c r="AJ1807" s="259">
        <v>0.6</v>
      </c>
      <c r="AK1807" s="260">
        <v>0.6</v>
      </c>
      <c r="AL1807" s="260">
        <v>0.6</v>
      </c>
      <c r="AM1807" s="259">
        <v>1.2</v>
      </c>
      <c r="AN1807" s="18" t="s">
        <v>2234</v>
      </c>
      <c r="AO1807" s="18" t="s">
        <v>2236</v>
      </c>
      <c r="AP1807" s="18"/>
    </row>
    <row r="1808" spans="1:42" s="10" customFormat="1" x14ac:dyDescent="0.3">
      <c r="A1808" s="18" t="s">
        <v>1463</v>
      </c>
      <c r="B1808" s="18" t="s">
        <v>5664</v>
      </c>
      <c r="C1808" s="18" t="s">
        <v>1466</v>
      </c>
      <c r="D1808" s="18" t="s">
        <v>5940</v>
      </c>
      <c r="E1808" s="18" t="s">
        <v>1467</v>
      </c>
      <c r="F1808" s="18" t="s">
        <v>5941</v>
      </c>
      <c r="G1808" s="18" t="s">
        <v>6018</v>
      </c>
      <c r="H1808" s="157" t="s">
        <v>6019</v>
      </c>
      <c r="I1808" s="18"/>
      <c r="J1808" s="18"/>
      <c r="K1808" s="18" t="s">
        <v>6025</v>
      </c>
      <c r="L1808" s="18" t="s">
        <v>6026</v>
      </c>
      <c r="M1808" s="18" t="s">
        <v>6027</v>
      </c>
      <c r="N1808" s="16"/>
      <c r="O1808" s="16"/>
      <c r="P1808" s="16">
        <v>1</v>
      </c>
      <c r="Q1808" s="16"/>
      <c r="R1808" s="16"/>
      <c r="S1808" s="16"/>
      <c r="T1808" s="18" t="s">
        <v>2234</v>
      </c>
      <c r="U1808" s="283" t="s">
        <v>2236</v>
      </c>
      <c r="V1808" s="18" t="s">
        <v>6028</v>
      </c>
      <c r="W1808" s="18">
        <v>1</v>
      </c>
      <c r="X1808" s="18">
        <v>1</v>
      </c>
      <c r="Y1808" s="18">
        <v>0</v>
      </c>
      <c r="Z1808" s="18">
        <v>1</v>
      </c>
      <c r="AA1808" s="18">
        <v>1</v>
      </c>
      <c r="AB1808" s="18">
        <v>1</v>
      </c>
      <c r="AC1808" s="316">
        <v>1</v>
      </c>
      <c r="AD1808" s="316">
        <v>1</v>
      </c>
      <c r="AE1808" s="302">
        <f t="shared" ref="AE1808:AE1809" si="106">SUM(W1808:AD1808)/8</f>
        <v>0.875</v>
      </c>
      <c r="AF1808" s="259"/>
      <c r="AG1808" s="259">
        <v>0</v>
      </c>
      <c r="AH1808" s="259"/>
      <c r="AI1808" s="259">
        <v>0.2</v>
      </c>
      <c r="AJ1808" s="259"/>
      <c r="AK1808" s="260">
        <v>0.2</v>
      </c>
      <c r="AL1808" s="260"/>
      <c r="AM1808" s="259">
        <f t="shared" ref="AM1808:AM1809" si="107">SUM(AK1808:AL1808)</f>
        <v>0.2</v>
      </c>
      <c r="AN1808" s="18" t="s">
        <v>2234</v>
      </c>
      <c r="AO1808" s="18" t="s">
        <v>2236</v>
      </c>
      <c r="AP1808" s="18"/>
    </row>
    <row r="1809" spans="1:42" s="10" customFormat="1" x14ac:dyDescent="0.3">
      <c r="A1809" s="18" t="s">
        <v>1463</v>
      </c>
      <c r="B1809" s="18" t="s">
        <v>5664</v>
      </c>
      <c r="C1809" s="18" t="s">
        <v>1466</v>
      </c>
      <c r="D1809" s="18" t="s">
        <v>5940</v>
      </c>
      <c r="E1809" s="18" t="s">
        <v>1467</v>
      </c>
      <c r="F1809" s="18" t="s">
        <v>5941</v>
      </c>
      <c r="G1809" s="18" t="s">
        <v>6018</v>
      </c>
      <c r="H1809" s="157" t="s">
        <v>6019</v>
      </c>
      <c r="I1809" s="18"/>
      <c r="J1809" s="18"/>
      <c r="K1809" s="18" t="s">
        <v>6025</v>
      </c>
      <c r="L1809" s="18" t="s">
        <v>6026</v>
      </c>
      <c r="M1809" s="18" t="s">
        <v>6029</v>
      </c>
      <c r="N1809" s="16"/>
      <c r="O1809" s="16"/>
      <c r="P1809" s="38">
        <v>1</v>
      </c>
      <c r="Q1809" s="38">
        <v>1</v>
      </c>
      <c r="R1809" s="38">
        <v>1</v>
      </c>
      <c r="S1809" s="38">
        <v>1</v>
      </c>
      <c r="T1809" s="18" t="s">
        <v>2234</v>
      </c>
      <c r="U1809" s="283" t="s">
        <v>2236</v>
      </c>
      <c r="V1809" s="18" t="s">
        <v>6030</v>
      </c>
      <c r="W1809" s="18">
        <v>1</v>
      </c>
      <c r="X1809" s="18">
        <v>1</v>
      </c>
      <c r="Y1809" s="18">
        <v>0</v>
      </c>
      <c r="Z1809" s="18">
        <v>1</v>
      </c>
      <c r="AA1809" s="18">
        <v>1</v>
      </c>
      <c r="AB1809" s="18">
        <v>1</v>
      </c>
      <c r="AC1809" s="316">
        <v>1</v>
      </c>
      <c r="AD1809" s="316">
        <v>1</v>
      </c>
      <c r="AE1809" s="302">
        <f t="shared" si="106"/>
        <v>0.875</v>
      </c>
      <c r="AF1809" s="259"/>
      <c r="AG1809" s="259">
        <v>0</v>
      </c>
      <c r="AH1809" s="259"/>
      <c r="AI1809" s="259">
        <v>1.8</v>
      </c>
      <c r="AJ1809" s="259">
        <v>1.8</v>
      </c>
      <c r="AK1809" s="260">
        <v>1.8</v>
      </c>
      <c r="AL1809" s="260">
        <v>1.8</v>
      </c>
      <c r="AM1809" s="259">
        <f t="shared" si="107"/>
        <v>3.6</v>
      </c>
      <c r="AN1809" s="18" t="s">
        <v>2234</v>
      </c>
      <c r="AO1809" s="18" t="s">
        <v>2236</v>
      </c>
      <c r="AP1809" s="18"/>
    </row>
    <row r="1810" spans="1:42" x14ac:dyDescent="0.3">
      <c r="A1810" s="18" t="s">
        <v>1463</v>
      </c>
      <c r="B1810" s="18" t="s">
        <v>5664</v>
      </c>
      <c r="C1810" s="18" t="s">
        <v>1466</v>
      </c>
      <c r="D1810" s="18" t="s">
        <v>5940</v>
      </c>
      <c r="E1810" s="18" t="s">
        <v>1467</v>
      </c>
      <c r="F1810" s="18" t="s">
        <v>5941</v>
      </c>
      <c r="G1810" s="18" t="s">
        <v>6018</v>
      </c>
      <c r="H1810" s="157" t="s">
        <v>6019</v>
      </c>
      <c r="I1810" s="18"/>
      <c r="J1810" s="18"/>
      <c r="K1810" s="18" t="s">
        <v>6035</v>
      </c>
      <c r="L1810" s="18" t="s">
        <v>6036</v>
      </c>
      <c r="M1810" s="18" t="s">
        <v>6037</v>
      </c>
      <c r="N1810" s="16"/>
      <c r="O1810" s="16">
        <v>1</v>
      </c>
      <c r="P1810" s="16">
        <v>1</v>
      </c>
      <c r="Q1810" s="16">
        <v>1</v>
      </c>
      <c r="R1810" s="16">
        <v>1</v>
      </c>
      <c r="S1810" s="16">
        <v>1</v>
      </c>
      <c r="T1810" s="18" t="s">
        <v>5676</v>
      </c>
      <c r="U1810" s="283" t="s">
        <v>5735</v>
      </c>
      <c r="V1810" s="18" t="s">
        <v>6038</v>
      </c>
      <c r="W1810" s="18">
        <v>1</v>
      </c>
      <c r="X1810" s="18">
        <v>1</v>
      </c>
      <c r="Y1810" s="18">
        <v>0</v>
      </c>
      <c r="Z1810" s="18">
        <v>1</v>
      </c>
      <c r="AA1810" s="18">
        <v>1</v>
      </c>
      <c r="AB1810" s="18">
        <v>1</v>
      </c>
      <c r="AC1810" s="316">
        <v>1</v>
      </c>
      <c r="AD1810" s="316">
        <v>1</v>
      </c>
      <c r="AE1810" s="302">
        <v>0.875</v>
      </c>
      <c r="AF1810" s="259"/>
      <c r="AG1810" s="259">
        <v>0</v>
      </c>
      <c r="AH1810" s="259">
        <v>0.1</v>
      </c>
      <c r="AI1810" s="259">
        <v>0.1</v>
      </c>
      <c r="AJ1810" s="259">
        <v>0.1</v>
      </c>
      <c r="AK1810" s="260">
        <v>0.1</v>
      </c>
      <c r="AL1810" s="260">
        <v>0.1</v>
      </c>
      <c r="AM1810" s="259">
        <v>0.2</v>
      </c>
      <c r="AN1810" s="18" t="s">
        <v>5676</v>
      </c>
      <c r="AO1810" s="18" t="s">
        <v>5735</v>
      </c>
      <c r="AP1810" s="18"/>
    </row>
    <row r="1811" spans="1:42" x14ac:dyDescent="0.3">
      <c r="A1811" s="18" t="s">
        <v>1463</v>
      </c>
      <c r="B1811" s="18" t="s">
        <v>5664</v>
      </c>
      <c r="C1811" s="18" t="s">
        <v>1466</v>
      </c>
      <c r="D1811" s="18" t="s">
        <v>5940</v>
      </c>
      <c r="E1811" s="18" t="s">
        <v>1467</v>
      </c>
      <c r="F1811" s="18" t="s">
        <v>5941</v>
      </c>
      <c r="G1811" s="18" t="s">
        <v>6018</v>
      </c>
      <c r="H1811" s="157" t="s">
        <v>6019</v>
      </c>
      <c r="I1811" s="18"/>
      <c r="J1811" s="18"/>
      <c r="K1811" s="18" t="s">
        <v>6035</v>
      </c>
      <c r="L1811" s="18" t="s">
        <v>6036</v>
      </c>
      <c r="M1811" s="18" t="s">
        <v>6039</v>
      </c>
      <c r="N1811" s="16">
        <v>20</v>
      </c>
      <c r="O1811" s="16">
        <v>30</v>
      </c>
      <c r="P1811" s="16">
        <v>40</v>
      </c>
      <c r="Q1811" s="16">
        <v>80</v>
      </c>
      <c r="R1811" s="16">
        <v>150</v>
      </c>
      <c r="S1811" s="16">
        <v>200</v>
      </c>
      <c r="T1811" s="18" t="s">
        <v>5676</v>
      </c>
      <c r="U1811" s="283" t="s">
        <v>5735</v>
      </c>
      <c r="V1811" s="18" t="s">
        <v>6040</v>
      </c>
      <c r="W1811" s="18">
        <v>1</v>
      </c>
      <c r="X1811" s="18">
        <v>1</v>
      </c>
      <c r="Y1811" s="18">
        <v>1</v>
      </c>
      <c r="Z1811" s="18">
        <v>1</v>
      </c>
      <c r="AA1811" s="18">
        <v>1</v>
      </c>
      <c r="AB1811" s="18">
        <v>1</v>
      </c>
      <c r="AC1811" s="316">
        <v>1</v>
      </c>
      <c r="AD1811" s="316">
        <v>1</v>
      </c>
      <c r="AE1811" s="302">
        <v>1</v>
      </c>
      <c r="AF1811" s="259"/>
      <c r="AG1811" s="259">
        <v>0</v>
      </c>
      <c r="AH1811" s="259">
        <v>0.03</v>
      </c>
      <c r="AI1811" s="259">
        <v>0.06</v>
      </c>
      <c r="AJ1811" s="259">
        <v>0.1</v>
      </c>
      <c r="AK1811" s="260">
        <v>1</v>
      </c>
      <c r="AL1811" s="260">
        <v>0.18</v>
      </c>
      <c r="AM1811" s="259">
        <v>0.28199999999999997</v>
      </c>
      <c r="AN1811" s="18" t="s">
        <v>5676</v>
      </c>
      <c r="AO1811" s="18" t="s">
        <v>5735</v>
      </c>
      <c r="AP1811" s="18"/>
    </row>
    <row r="1812" spans="1:42" x14ac:dyDescent="0.3">
      <c r="A1812" s="18" t="s">
        <v>1463</v>
      </c>
      <c r="B1812" s="18" t="s">
        <v>5664</v>
      </c>
      <c r="C1812" s="18" t="s">
        <v>1466</v>
      </c>
      <c r="D1812" s="18" t="s">
        <v>5940</v>
      </c>
      <c r="E1812" s="18" t="s">
        <v>1467</v>
      </c>
      <c r="F1812" s="18" t="s">
        <v>5941</v>
      </c>
      <c r="G1812" s="18" t="s">
        <v>6018</v>
      </c>
      <c r="H1812" s="157" t="s">
        <v>6019</v>
      </c>
      <c r="I1812" s="18"/>
      <c r="J1812" s="18"/>
      <c r="K1812" s="18" t="s">
        <v>6041</v>
      </c>
      <c r="L1812" s="18" t="s">
        <v>6042</v>
      </c>
      <c r="M1812" s="18" t="s">
        <v>6043</v>
      </c>
      <c r="N1812" s="223"/>
      <c r="O1812" s="16">
        <v>1</v>
      </c>
      <c r="P1812" s="16">
        <v>1</v>
      </c>
      <c r="Q1812" s="16">
        <v>1</v>
      </c>
      <c r="R1812" s="16">
        <v>1</v>
      </c>
      <c r="S1812" s="16">
        <v>1</v>
      </c>
      <c r="T1812" s="18" t="s">
        <v>2234</v>
      </c>
      <c r="U1812" s="283" t="s">
        <v>2236</v>
      </c>
      <c r="V1812" s="18" t="s">
        <v>6044</v>
      </c>
      <c r="W1812" s="18">
        <v>1</v>
      </c>
      <c r="X1812" s="18">
        <v>1</v>
      </c>
      <c r="Y1812" s="18">
        <v>1</v>
      </c>
      <c r="Z1812" s="18">
        <v>1</v>
      </c>
      <c r="AA1812" s="18">
        <v>1</v>
      </c>
      <c r="AB1812" s="18">
        <v>1</v>
      </c>
      <c r="AC1812" s="316">
        <v>1</v>
      </c>
      <c r="AD1812" s="316">
        <v>1</v>
      </c>
      <c r="AE1812" s="302">
        <v>1</v>
      </c>
      <c r="AF1812" s="259"/>
      <c r="AG1812" s="259">
        <v>0</v>
      </c>
      <c r="AH1812" s="259">
        <v>4.8000000000000001E-2</v>
      </c>
      <c r="AI1812" s="259">
        <v>4.8000000000000001E-2</v>
      </c>
      <c r="AJ1812" s="259">
        <v>4.8000000000000001E-2</v>
      </c>
      <c r="AK1812" s="260">
        <v>0.12</v>
      </c>
      <c r="AL1812" s="260">
        <v>4.8000000000000001E-2</v>
      </c>
      <c r="AM1812" s="259">
        <v>9.6000000000000002E-2</v>
      </c>
      <c r="AN1812" s="18" t="s">
        <v>2234</v>
      </c>
      <c r="AO1812" s="18" t="s">
        <v>2236</v>
      </c>
      <c r="AP1812" s="18"/>
    </row>
    <row r="1813" spans="1:42" x14ac:dyDescent="0.3">
      <c r="A1813" s="18" t="s">
        <v>1463</v>
      </c>
      <c r="B1813" s="18" t="s">
        <v>5664</v>
      </c>
      <c r="C1813" s="18" t="s">
        <v>1466</v>
      </c>
      <c r="D1813" s="18" t="s">
        <v>5940</v>
      </c>
      <c r="E1813" s="18" t="s">
        <v>1467</v>
      </c>
      <c r="F1813" s="18" t="s">
        <v>5941</v>
      </c>
      <c r="G1813" s="18" t="s">
        <v>6018</v>
      </c>
      <c r="H1813" s="157" t="s">
        <v>6019</v>
      </c>
      <c r="I1813" s="18"/>
      <c r="J1813" s="18"/>
      <c r="K1813" s="18" t="s">
        <v>6041</v>
      </c>
      <c r="L1813" s="18" t="s">
        <v>6042</v>
      </c>
      <c r="M1813" s="18" t="s">
        <v>6045</v>
      </c>
      <c r="N1813" s="223"/>
      <c r="O1813" s="16">
        <v>100</v>
      </c>
      <c r="P1813" s="16">
        <v>100</v>
      </c>
      <c r="Q1813" s="16">
        <v>100</v>
      </c>
      <c r="R1813" s="16">
        <v>100</v>
      </c>
      <c r="S1813" s="16">
        <v>100</v>
      </c>
      <c r="T1813" s="18" t="s">
        <v>2234</v>
      </c>
      <c r="U1813" s="283" t="s">
        <v>2236</v>
      </c>
      <c r="V1813" s="18" t="s">
        <v>6046</v>
      </c>
      <c r="W1813" s="18">
        <v>1</v>
      </c>
      <c r="X1813" s="18">
        <v>1</v>
      </c>
      <c r="Y1813" s="18">
        <v>1</v>
      </c>
      <c r="Z1813" s="18">
        <v>1</v>
      </c>
      <c r="AA1813" s="18">
        <v>1</v>
      </c>
      <c r="AB1813" s="18">
        <v>1</v>
      </c>
      <c r="AC1813" s="316">
        <v>1</v>
      </c>
      <c r="AD1813" s="316">
        <v>1</v>
      </c>
      <c r="AE1813" s="302">
        <v>1</v>
      </c>
      <c r="AF1813" s="259"/>
      <c r="AG1813" s="259">
        <v>0</v>
      </c>
      <c r="AH1813" s="259">
        <v>0.19</v>
      </c>
      <c r="AI1813" s="259">
        <v>0.19</v>
      </c>
      <c r="AJ1813" s="259">
        <v>0.19</v>
      </c>
      <c r="AK1813" s="260">
        <v>0.6</v>
      </c>
      <c r="AL1813" s="260">
        <v>0.19</v>
      </c>
      <c r="AM1813" s="259">
        <v>0.38</v>
      </c>
      <c r="AN1813" s="18" t="s">
        <v>2234</v>
      </c>
      <c r="AO1813" s="18" t="s">
        <v>2236</v>
      </c>
      <c r="AP1813" s="18"/>
    </row>
    <row r="1814" spans="1:42" x14ac:dyDescent="0.3">
      <c r="A1814" s="18" t="s">
        <v>1463</v>
      </c>
      <c r="B1814" s="18" t="s">
        <v>5664</v>
      </c>
      <c r="C1814" s="18" t="s">
        <v>1466</v>
      </c>
      <c r="D1814" s="18" t="s">
        <v>5940</v>
      </c>
      <c r="E1814" s="18" t="s">
        <v>1467</v>
      </c>
      <c r="F1814" s="18" t="s">
        <v>5941</v>
      </c>
      <c r="G1814" s="18" t="s">
        <v>6018</v>
      </c>
      <c r="H1814" s="157" t="s">
        <v>6019</v>
      </c>
      <c r="I1814" s="18"/>
      <c r="J1814" s="18"/>
      <c r="K1814" s="18" t="s">
        <v>6041</v>
      </c>
      <c r="L1814" s="18" t="s">
        <v>6042</v>
      </c>
      <c r="M1814" s="18" t="s">
        <v>6047</v>
      </c>
      <c r="N1814" s="223"/>
      <c r="O1814" s="16">
        <v>140</v>
      </c>
      <c r="P1814" s="16">
        <v>140</v>
      </c>
      <c r="Q1814" s="16">
        <v>140</v>
      </c>
      <c r="R1814" s="16">
        <v>140</v>
      </c>
      <c r="S1814" s="16">
        <v>140</v>
      </c>
      <c r="T1814" s="18" t="s">
        <v>2234</v>
      </c>
      <c r="U1814" s="283" t="s">
        <v>2236</v>
      </c>
      <c r="V1814" s="18" t="s">
        <v>6048</v>
      </c>
      <c r="W1814" s="18">
        <v>1</v>
      </c>
      <c r="X1814" s="18">
        <v>1</v>
      </c>
      <c r="Y1814" s="18">
        <v>1</v>
      </c>
      <c r="Z1814" s="18">
        <v>1</v>
      </c>
      <c r="AA1814" s="18">
        <v>1</v>
      </c>
      <c r="AB1814" s="18">
        <v>1</v>
      </c>
      <c r="AC1814" s="316">
        <v>1</v>
      </c>
      <c r="AD1814" s="316">
        <v>1</v>
      </c>
      <c r="AE1814" s="302">
        <v>1</v>
      </c>
      <c r="AF1814" s="259"/>
      <c r="AG1814" s="259">
        <v>0</v>
      </c>
      <c r="AH1814" s="259">
        <v>6.7000000000000004E-2</v>
      </c>
      <c r="AI1814" s="259">
        <v>0.68</v>
      </c>
      <c r="AJ1814" s="259">
        <v>0.68</v>
      </c>
      <c r="AK1814" s="260">
        <v>1</v>
      </c>
      <c r="AL1814" s="260">
        <v>0.68</v>
      </c>
      <c r="AM1814" s="259">
        <v>1.36</v>
      </c>
      <c r="AN1814" s="18" t="s">
        <v>2234</v>
      </c>
      <c r="AO1814" s="18" t="s">
        <v>2236</v>
      </c>
      <c r="AP1814" s="18"/>
    </row>
    <row r="1815" spans="1:42" x14ac:dyDescent="0.3">
      <c r="A1815" s="18" t="s">
        <v>1463</v>
      </c>
      <c r="B1815" s="18" t="s">
        <v>5664</v>
      </c>
      <c r="C1815" s="18" t="s">
        <v>1466</v>
      </c>
      <c r="D1815" s="18" t="s">
        <v>5940</v>
      </c>
      <c r="E1815" s="18" t="s">
        <v>1467</v>
      </c>
      <c r="F1815" s="18" t="s">
        <v>5941</v>
      </c>
      <c r="G1815" s="18" t="s">
        <v>6018</v>
      </c>
      <c r="H1815" s="157" t="s">
        <v>6019</v>
      </c>
      <c r="I1815" s="18"/>
      <c r="J1815" s="18"/>
      <c r="K1815" s="18" t="s">
        <v>6041</v>
      </c>
      <c r="L1815" s="18" t="s">
        <v>6042</v>
      </c>
      <c r="M1815" s="18" t="s">
        <v>6049</v>
      </c>
      <c r="N1815" s="223"/>
      <c r="O1815" s="16">
        <v>4</v>
      </c>
      <c r="P1815" s="16">
        <v>4</v>
      </c>
      <c r="Q1815" s="16">
        <v>4</v>
      </c>
      <c r="R1815" s="16">
        <v>4</v>
      </c>
      <c r="S1815" s="16">
        <v>4</v>
      </c>
      <c r="T1815" s="18" t="s">
        <v>2234</v>
      </c>
      <c r="U1815" s="283" t="s">
        <v>2236</v>
      </c>
      <c r="V1815" s="18" t="s">
        <v>6050</v>
      </c>
      <c r="W1815" s="18">
        <v>1</v>
      </c>
      <c r="X1815" s="18">
        <v>1</v>
      </c>
      <c r="Y1815" s="18">
        <v>1</v>
      </c>
      <c r="Z1815" s="18">
        <v>1</v>
      </c>
      <c r="AA1815" s="18">
        <v>1</v>
      </c>
      <c r="AB1815" s="18">
        <v>1</v>
      </c>
      <c r="AC1815" s="316">
        <v>1</v>
      </c>
      <c r="AD1815" s="316">
        <v>1</v>
      </c>
      <c r="AE1815" s="302">
        <v>1</v>
      </c>
      <c r="AF1815" s="259"/>
      <c r="AG1815" s="259">
        <v>0</v>
      </c>
      <c r="AH1815" s="259">
        <v>0.02</v>
      </c>
      <c r="AI1815" s="259">
        <v>0.02</v>
      </c>
      <c r="AJ1815" s="259">
        <v>0.02</v>
      </c>
      <c r="AK1815" s="260">
        <v>0.02</v>
      </c>
      <c r="AL1815" s="260">
        <v>0.02</v>
      </c>
      <c r="AM1815" s="259">
        <v>0.04</v>
      </c>
      <c r="AN1815" s="18" t="s">
        <v>2234</v>
      </c>
      <c r="AO1815" s="18" t="s">
        <v>2236</v>
      </c>
      <c r="AP1815" s="18"/>
    </row>
    <row r="1816" spans="1:42" x14ac:dyDescent="0.3">
      <c r="A1816" s="18" t="s">
        <v>1463</v>
      </c>
      <c r="B1816" s="18" t="s">
        <v>5664</v>
      </c>
      <c r="C1816" s="18" t="s">
        <v>1466</v>
      </c>
      <c r="D1816" s="18" t="s">
        <v>5940</v>
      </c>
      <c r="E1816" s="18" t="s">
        <v>1467</v>
      </c>
      <c r="F1816" s="18" t="s">
        <v>5941</v>
      </c>
      <c r="G1816" s="18" t="s">
        <v>6018</v>
      </c>
      <c r="H1816" s="157" t="s">
        <v>6019</v>
      </c>
      <c r="I1816" s="18"/>
      <c r="J1816" s="18"/>
      <c r="K1816" s="18" t="s">
        <v>6051</v>
      </c>
      <c r="L1816" s="18" t="s">
        <v>6052</v>
      </c>
      <c r="M1816" s="18" t="s">
        <v>6053</v>
      </c>
      <c r="N1816" s="223"/>
      <c r="O1816" s="16">
        <v>243</v>
      </c>
      <c r="P1816" s="16">
        <v>243</v>
      </c>
      <c r="Q1816" s="16">
        <v>243</v>
      </c>
      <c r="R1816" s="16">
        <v>243</v>
      </c>
      <c r="S1816" s="16">
        <v>243</v>
      </c>
      <c r="T1816" s="18" t="s">
        <v>2234</v>
      </c>
      <c r="U1816" s="283" t="s">
        <v>2236</v>
      </c>
      <c r="V1816" s="18" t="s">
        <v>6054</v>
      </c>
      <c r="W1816" s="18">
        <v>1</v>
      </c>
      <c r="X1816" s="18">
        <v>1</v>
      </c>
      <c r="Y1816" s="18">
        <v>1</v>
      </c>
      <c r="Z1816" s="18">
        <v>1</v>
      </c>
      <c r="AA1816" s="18">
        <v>1</v>
      </c>
      <c r="AB1816" s="18">
        <v>1</v>
      </c>
      <c r="AC1816" s="316">
        <v>1</v>
      </c>
      <c r="AD1816" s="316">
        <v>1</v>
      </c>
      <c r="AE1816" s="302">
        <v>1</v>
      </c>
      <c r="AF1816" s="259"/>
      <c r="AG1816" s="259">
        <v>0</v>
      </c>
      <c r="AH1816" s="259">
        <v>6.7000000000000004E-2</v>
      </c>
      <c r="AI1816" s="259">
        <v>6.7000000000000004E-2</v>
      </c>
      <c r="AJ1816" s="259">
        <v>6.7000000000000004E-2</v>
      </c>
      <c r="AK1816" s="260">
        <v>0.1</v>
      </c>
      <c r="AL1816" s="260">
        <v>0.67</v>
      </c>
      <c r="AM1816" s="259">
        <v>0.7370000000000001</v>
      </c>
      <c r="AN1816" s="18" t="s">
        <v>2234</v>
      </c>
      <c r="AO1816" s="18" t="s">
        <v>2236</v>
      </c>
      <c r="AP1816" s="18"/>
    </row>
    <row r="1817" spans="1:42" x14ac:dyDescent="0.3">
      <c r="A1817" s="18" t="s">
        <v>1463</v>
      </c>
      <c r="B1817" s="18" t="s">
        <v>5664</v>
      </c>
      <c r="C1817" s="18" t="s">
        <v>1466</v>
      </c>
      <c r="D1817" s="18" t="s">
        <v>5940</v>
      </c>
      <c r="E1817" s="18" t="s">
        <v>1467</v>
      </c>
      <c r="F1817" s="18" t="s">
        <v>5941</v>
      </c>
      <c r="G1817" s="18" t="s">
        <v>6018</v>
      </c>
      <c r="H1817" s="157" t="s">
        <v>6019</v>
      </c>
      <c r="I1817" s="18"/>
      <c r="J1817" s="18"/>
      <c r="K1817" s="18" t="s">
        <v>6055</v>
      </c>
      <c r="L1817" s="18" t="s">
        <v>6056</v>
      </c>
      <c r="M1817" s="18" t="s">
        <v>6057</v>
      </c>
      <c r="N1817" s="223"/>
      <c r="O1817" s="16"/>
      <c r="P1817" s="16"/>
      <c r="Q1817" s="16"/>
      <c r="R1817" s="16"/>
      <c r="S1817" s="16">
        <v>1</v>
      </c>
      <c r="T1817" s="18" t="s">
        <v>2234</v>
      </c>
      <c r="U1817" s="283" t="s">
        <v>2236</v>
      </c>
      <c r="V1817" s="18" t="s">
        <v>6058</v>
      </c>
      <c r="W1817" s="18">
        <v>1</v>
      </c>
      <c r="X1817" s="18">
        <v>1</v>
      </c>
      <c r="Y1817" s="18">
        <v>1</v>
      </c>
      <c r="Z1817" s="18">
        <v>1</v>
      </c>
      <c r="AA1817" s="18">
        <v>1</v>
      </c>
      <c r="AB1817" s="18">
        <v>1</v>
      </c>
      <c r="AC1817" s="316">
        <v>1</v>
      </c>
      <c r="AD1817" s="316">
        <v>1</v>
      </c>
      <c r="AE1817" s="302">
        <v>1</v>
      </c>
      <c r="AF1817" s="259"/>
      <c r="AG1817" s="259">
        <v>0</v>
      </c>
      <c r="AH1817" s="259"/>
      <c r="AI1817" s="259"/>
      <c r="AJ1817" s="259"/>
      <c r="AK1817" s="260">
        <v>5.5E-2</v>
      </c>
      <c r="AL1817" s="260">
        <v>5.5E-2</v>
      </c>
      <c r="AM1817" s="259">
        <v>0.11</v>
      </c>
      <c r="AN1817" s="18" t="s">
        <v>2234</v>
      </c>
      <c r="AO1817" s="18" t="s">
        <v>2236</v>
      </c>
      <c r="AP1817" s="18"/>
    </row>
    <row r="1818" spans="1:42" x14ac:dyDescent="0.3">
      <c r="A1818" s="18" t="s">
        <v>1463</v>
      </c>
      <c r="B1818" s="18" t="s">
        <v>5664</v>
      </c>
      <c r="C1818" s="18" t="s">
        <v>1466</v>
      </c>
      <c r="D1818" s="18" t="s">
        <v>5940</v>
      </c>
      <c r="E1818" s="18" t="s">
        <v>1467</v>
      </c>
      <c r="F1818" s="18" t="s">
        <v>5941</v>
      </c>
      <c r="G1818" s="18" t="s">
        <v>6018</v>
      </c>
      <c r="H1818" s="157" t="s">
        <v>6019</v>
      </c>
      <c r="I1818" s="18"/>
      <c r="J1818" s="18"/>
      <c r="K1818" s="18" t="s">
        <v>6055</v>
      </c>
      <c r="L1818" s="18" t="s">
        <v>6056</v>
      </c>
      <c r="M1818" s="18" t="s">
        <v>6059</v>
      </c>
      <c r="N1818" s="223"/>
      <c r="O1818" s="16">
        <v>50</v>
      </c>
      <c r="P1818" s="16">
        <v>50</v>
      </c>
      <c r="Q1818" s="16">
        <v>50</v>
      </c>
      <c r="R1818" s="16">
        <v>50</v>
      </c>
      <c r="S1818" s="16">
        <v>50</v>
      </c>
      <c r="T1818" s="18" t="s">
        <v>2234</v>
      </c>
      <c r="U1818" s="283" t="s">
        <v>2236</v>
      </c>
      <c r="V1818" s="18" t="s">
        <v>6060</v>
      </c>
      <c r="W1818" s="18">
        <v>1</v>
      </c>
      <c r="X1818" s="18">
        <v>1</v>
      </c>
      <c r="Y1818" s="18">
        <v>1</v>
      </c>
      <c r="Z1818" s="18">
        <v>1</v>
      </c>
      <c r="AA1818" s="18">
        <v>1</v>
      </c>
      <c r="AB1818" s="18">
        <v>1</v>
      </c>
      <c r="AC1818" s="316">
        <v>1</v>
      </c>
      <c r="AD1818" s="316">
        <v>1</v>
      </c>
      <c r="AE1818" s="302">
        <v>1</v>
      </c>
      <c r="AF1818" s="259"/>
      <c r="AG1818" s="259">
        <v>0</v>
      </c>
      <c r="AH1818" s="259">
        <v>4.4999999999999998E-2</v>
      </c>
      <c r="AI1818" s="259">
        <v>4.4999999999999998E-2</v>
      </c>
      <c r="AJ1818" s="259">
        <v>4.4999999999999998E-2</v>
      </c>
      <c r="AK1818" s="260">
        <v>0.2</v>
      </c>
      <c r="AL1818" s="260">
        <v>4.4999999999999998E-2</v>
      </c>
      <c r="AM1818" s="259">
        <v>0.09</v>
      </c>
      <c r="AN1818" s="18" t="s">
        <v>2234</v>
      </c>
      <c r="AO1818" s="18" t="s">
        <v>2236</v>
      </c>
      <c r="AP1818" s="18"/>
    </row>
    <row r="1819" spans="1:42" x14ac:dyDescent="0.3">
      <c r="A1819" s="18" t="s">
        <v>1463</v>
      </c>
      <c r="B1819" s="18" t="s">
        <v>5664</v>
      </c>
      <c r="C1819" s="18" t="s">
        <v>1466</v>
      </c>
      <c r="D1819" s="18" t="s">
        <v>5940</v>
      </c>
      <c r="E1819" s="18" t="s">
        <v>1467</v>
      </c>
      <c r="F1819" s="18" t="s">
        <v>5941</v>
      </c>
      <c r="G1819" s="18" t="s">
        <v>6018</v>
      </c>
      <c r="H1819" s="157" t="s">
        <v>6019</v>
      </c>
      <c r="I1819" s="18"/>
      <c r="J1819" s="18"/>
      <c r="K1819" s="18" t="s">
        <v>6055</v>
      </c>
      <c r="L1819" s="18" t="s">
        <v>6056</v>
      </c>
      <c r="M1819" s="18" t="s">
        <v>6061</v>
      </c>
      <c r="N1819" s="223"/>
      <c r="O1819" s="16">
        <v>2500</v>
      </c>
      <c r="P1819" s="16">
        <v>3000</v>
      </c>
      <c r="Q1819" s="16">
        <v>3500</v>
      </c>
      <c r="R1819" s="16">
        <v>4000</v>
      </c>
      <c r="S1819" s="16">
        <v>4500</v>
      </c>
      <c r="T1819" s="18" t="s">
        <v>2234</v>
      </c>
      <c r="U1819" s="283" t="s">
        <v>2236</v>
      </c>
      <c r="V1819" s="18" t="s">
        <v>6062</v>
      </c>
      <c r="W1819" s="18">
        <v>1</v>
      </c>
      <c r="X1819" s="18">
        <v>1</v>
      </c>
      <c r="Y1819" s="18">
        <v>1</v>
      </c>
      <c r="Z1819" s="18">
        <v>1</v>
      </c>
      <c r="AA1819" s="18">
        <v>1</v>
      </c>
      <c r="AB1819" s="18">
        <v>1</v>
      </c>
      <c r="AC1819" s="316">
        <v>1</v>
      </c>
      <c r="AD1819" s="316">
        <v>1</v>
      </c>
      <c r="AE1819" s="302">
        <v>1</v>
      </c>
      <c r="AF1819" s="259"/>
      <c r="AG1819" s="259">
        <v>0</v>
      </c>
      <c r="AH1819" s="259">
        <v>0.6</v>
      </c>
      <c r="AI1819" s="259">
        <v>0.7</v>
      </c>
      <c r="AJ1819" s="259">
        <v>0.8</v>
      </c>
      <c r="AK1819" s="260">
        <v>0.9</v>
      </c>
      <c r="AL1819" s="260">
        <v>1</v>
      </c>
      <c r="AM1819" s="259">
        <v>1.9</v>
      </c>
      <c r="AN1819" s="18" t="s">
        <v>2234</v>
      </c>
      <c r="AO1819" s="18" t="s">
        <v>2236</v>
      </c>
      <c r="AP1819" s="18"/>
    </row>
    <row r="1820" spans="1:42" x14ac:dyDescent="0.3">
      <c r="A1820" s="18" t="s">
        <v>1463</v>
      </c>
      <c r="B1820" s="18" t="s">
        <v>5664</v>
      </c>
      <c r="C1820" s="18" t="s">
        <v>1466</v>
      </c>
      <c r="D1820" s="18" t="s">
        <v>5940</v>
      </c>
      <c r="E1820" s="18" t="s">
        <v>1467</v>
      </c>
      <c r="F1820" s="18" t="s">
        <v>5941</v>
      </c>
      <c r="G1820" s="18" t="s">
        <v>6018</v>
      </c>
      <c r="H1820" s="157" t="s">
        <v>6019</v>
      </c>
      <c r="I1820" s="18"/>
      <c r="J1820" s="18"/>
      <c r="K1820" s="18" t="s">
        <v>6055</v>
      </c>
      <c r="L1820" s="18" t="s">
        <v>6056</v>
      </c>
      <c r="M1820" s="18" t="s">
        <v>6063</v>
      </c>
      <c r="N1820" s="223"/>
      <c r="O1820" s="16">
        <v>400</v>
      </c>
      <c r="P1820" s="16">
        <v>400</v>
      </c>
      <c r="Q1820" s="16">
        <v>400</v>
      </c>
      <c r="R1820" s="16">
        <v>400</v>
      </c>
      <c r="S1820" s="16">
        <v>400</v>
      </c>
      <c r="T1820" s="18" t="s">
        <v>2234</v>
      </c>
      <c r="U1820" s="283" t="s">
        <v>2236</v>
      </c>
      <c r="V1820" s="18" t="s">
        <v>6064</v>
      </c>
      <c r="W1820" s="18">
        <v>1</v>
      </c>
      <c r="X1820" s="18">
        <v>0</v>
      </c>
      <c r="Y1820" s="18">
        <v>1</v>
      </c>
      <c r="Z1820" s="18">
        <v>1</v>
      </c>
      <c r="AA1820" s="18">
        <v>1</v>
      </c>
      <c r="AB1820" s="18">
        <v>1</v>
      </c>
      <c r="AC1820" s="316">
        <v>1</v>
      </c>
      <c r="AD1820" s="316">
        <v>0</v>
      </c>
      <c r="AE1820" s="302">
        <v>0.75</v>
      </c>
      <c r="AF1820" s="259"/>
      <c r="AG1820" s="259">
        <v>0</v>
      </c>
      <c r="AH1820" s="259">
        <v>4.4999999999999998E-2</v>
      </c>
      <c r="AI1820" s="259">
        <v>4.4999999999999998E-2</v>
      </c>
      <c r="AJ1820" s="259">
        <v>4.4999999999999998E-2</v>
      </c>
      <c r="AK1820" s="260">
        <v>1</v>
      </c>
      <c r="AL1820" s="260">
        <v>4.4999999999999998E-2</v>
      </c>
      <c r="AM1820" s="259">
        <v>0.09</v>
      </c>
      <c r="AN1820" s="18" t="s">
        <v>2234</v>
      </c>
      <c r="AO1820" s="18" t="s">
        <v>2236</v>
      </c>
      <c r="AP1820" s="18"/>
    </row>
    <row r="1821" spans="1:42" x14ac:dyDescent="0.3">
      <c r="A1821" s="18" t="s">
        <v>1463</v>
      </c>
      <c r="B1821" s="18" t="s">
        <v>5664</v>
      </c>
      <c r="C1821" s="18" t="s">
        <v>1466</v>
      </c>
      <c r="D1821" s="18" t="s">
        <v>5940</v>
      </c>
      <c r="E1821" s="18" t="s">
        <v>1467</v>
      </c>
      <c r="F1821" s="18" t="s">
        <v>5941</v>
      </c>
      <c r="G1821" s="18" t="s">
        <v>6018</v>
      </c>
      <c r="H1821" s="157" t="s">
        <v>6019</v>
      </c>
      <c r="I1821" s="18"/>
      <c r="J1821" s="18"/>
      <c r="K1821" s="18">
        <v>14330310</v>
      </c>
      <c r="L1821" s="18" t="s">
        <v>6065</v>
      </c>
      <c r="M1821" s="18" t="s">
        <v>6066</v>
      </c>
      <c r="N1821" s="223"/>
      <c r="O1821" s="16"/>
      <c r="P1821" s="16">
        <v>1</v>
      </c>
      <c r="Q1821" s="16"/>
      <c r="R1821" s="16"/>
      <c r="S1821" s="16"/>
      <c r="T1821" s="18" t="s">
        <v>2234</v>
      </c>
      <c r="U1821" s="283" t="s">
        <v>2236</v>
      </c>
      <c r="V1821" s="18" t="s">
        <v>6067</v>
      </c>
      <c r="W1821" s="18">
        <v>1</v>
      </c>
      <c r="X1821" s="18">
        <v>1</v>
      </c>
      <c r="Y1821" s="18">
        <v>0</v>
      </c>
      <c r="Z1821" s="18">
        <v>1</v>
      </c>
      <c r="AA1821" s="18">
        <v>1</v>
      </c>
      <c r="AB1821" s="18">
        <v>1</v>
      </c>
      <c r="AC1821" s="316">
        <v>0</v>
      </c>
      <c r="AD1821" s="316">
        <v>1</v>
      </c>
      <c r="AE1821" s="302">
        <v>0.75</v>
      </c>
      <c r="AF1821" s="259"/>
      <c r="AG1821" s="259">
        <v>0</v>
      </c>
      <c r="AH1821" s="259"/>
      <c r="AI1821" s="259">
        <v>1</v>
      </c>
      <c r="AJ1821" s="259"/>
      <c r="AK1821" s="260">
        <v>5</v>
      </c>
      <c r="AL1821" s="260"/>
      <c r="AM1821" s="259">
        <v>0</v>
      </c>
      <c r="AN1821" s="18" t="s">
        <v>2234</v>
      </c>
      <c r="AO1821" s="18" t="s">
        <v>2236</v>
      </c>
      <c r="AP1821" s="18"/>
    </row>
    <row r="1822" spans="1:42" x14ac:dyDescent="0.3">
      <c r="A1822" s="18" t="s">
        <v>1463</v>
      </c>
      <c r="B1822" s="18" t="s">
        <v>5664</v>
      </c>
      <c r="C1822" s="18" t="s">
        <v>1466</v>
      </c>
      <c r="D1822" s="18" t="s">
        <v>5940</v>
      </c>
      <c r="E1822" s="18" t="s">
        <v>1467</v>
      </c>
      <c r="F1822" s="18" t="s">
        <v>5941</v>
      </c>
      <c r="G1822" s="18" t="s">
        <v>6018</v>
      </c>
      <c r="H1822" s="157" t="s">
        <v>6019</v>
      </c>
      <c r="I1822" s="18"/>
      <c r="J1822" s="18"/>
      <c r="K1822" s="18">
        <v>14330314</v>
      </c>
      <c r="L1822" s="18" t="s">
        <v>6068</v>
      </c>
      <c r="M1822" s="18" t="s">
        <v>6069</v>
      </c>
      <c r="N1822" s="223"/>
      <c r="O1822" s="16">
        <v>1</v>
      </c>
      <c r="P1822" s="16">
        <v>1</v>
      </c>
      <c r="Q1822" s="16">
        <v>1</v>
      </c>
      <c r="R1822" s="16">
        <v>1</v>
      </c>
      <c r="S1822" s="16">
        <v>1</v>
      </c>
      <c r="T1822" s="18" t="s">
        <v>5676</v>
      </c>
      <c r="U1822" s="283" t="s">
        <v>5735</v>
      </c>
      <c r="V1822" s="18" t="s">
        <v>6070</v>
      </c>
      <c r="W1822" s="18">
        <v>1</v>
      </c>
      <c r="X1822" s="18">
        <v>1</v>
      </c>
      <c r="Y1822" s="18">
        <v>1</v>
      </c>
      <c r="Z1822" s="18">
        <v>1</v>
      </c>
      <c r="AA1822" s="18">
        <v>1</v>
      </c>
      <c r="AB1822" s="18">
        <v>1</v>
      </c>
      <c r="AC1822" s="316">
        <v>1</v>
      </c>
      <c r="AD1822" s="316">
        <v>1</v>
      </c>
      <c r="AE1822" s="302">
        <v>1</v>
      </c>
      <c r="AF1822" s="259"/>
      <c r="AG1822" s="259">
        <v>0</v>
      </c>
      <c r="AH1822" s="259">
        <v>0.2</v>
      </c>
      <c r="AI1822" s="259">
        <v>0.2</v>
      </c>
      <c r="AJ1822" s="259">
        <v>0.25</v>
      </c>
      <c r="AK1822" s="260">
        <v>0.75</v>
      </c>
      <c r="AL1822" s="260">
        <v>0.25</v>
      </c>
      <c r="AM1822" s="259">
        <v>0.5</v>
      </c>
      <c r="AN1822" s="18" t="s">
        <v>5676</v>
      </c>
      <c r="AO1822" s="18" t="s">
        <v>5735</v>
      </c>
      <c r="AP1822" s="18"/>
    </row>
    <row r="1823" spans="1:42" x14ac:dyDescent="0.3">
      <c r="A1823" s="18" t="s">
        <v>1463</v>
      </c>
      <c r="B1823" s="18" t="s">
        <v>5664</v>
      </c>
      <c r="C1823" s="18" t="s">
        <v>1466</v>
      </c>
      <c r="D1823" s="18" t="s">
        <v>5940</v>
      </c>
      <c r="E1823" s="18" t="s">
        <v>1467</v>
      </c>
      <c r="F1823" s="18" t="s">
        <v>5941</v>
      </c>
      <c r="G1823" s="18" t="s">
        <v>6018</v>
      </c>
      <c r="H1823" s="157" t="s">
        <v>6019</v>
      </c>
      <c r="I1823" s="18"/>
      <c r="J1823" s="18"/>
      <c r="K1823" s="18">
        <v>14330315</v>
      </c>
      <c r="L1823" s="18" t="s">
        <v>6071</v>
      </c>
      <c r="M1823" s="18" t="s">
        <v>6072</v>
      </c>
      <c r="N1823" s="223">
        <v>75</v>
      </c>
      <c r="O1823" s="16">
        <v>92</v>
      </c>
      <c r="P1823" s="16">
        <v>95</v>
      </c>
      <c r="Q1823" s="16">
        <v>95</v>
      </c>
      <c r="R1823" s="16">
        <v>95</v>
      </c>
      <c r="S1823" s="16">
        <v>95</v>
      </c>
      <c r="T1823" s="18" t="s">
        <v>5676</v>
      </c>
      <c r="U1823" s="283" t="s">
        <v>5735</v>
      </c>
      <c r="V1823" s="18" t="s">
        <v>6073</v>
      </c>
      <c r="W1823" s="18">
        <v>1</v>
      </c>
      <c r="X1823" s="18">
        <v>1</v>
      </c>
      <c r="Y1823" s="18">
        <v>1</v>
      </c>
      <c r="Z1823" s="18">
        <v>1</v>
      </c>
      <c r="AA1823" s="18">
        <v>1</v>
      </c>
      <c r="AB1823" s="18">
        <v>1</v>
      </c>
      <c r="AC1823" s="316">
        <v>1</v>
      </c>
      <c r="AD1823" s="316">
        <v>1</v>
      </c>
      <c r="AE1823" s="302">
        <v>1</v>
      </c>
      <c r="AF1823" s="259"/>
      <c r="AG1823" s="259">
        <v>0</v>
      </c>
      <c r="AH1823" s="259">
        <v>1</v>
      </c>
      <c r="AI1823" s="259">
        <v>1</v>
      </c>
      <c r="AJ1823" s="259">
        <v>1</v>
      </c>
      <c r="AK1823" s="260">
        <v>1</v>
      </c>
      <c r="AL1823" s="260">
        <v>1</v>
      </c>
      <c r="AM1823" s="259">
        <v>2</v>
      </c>
      <c r="AN1823" s="18" t="s">
        <v>5676</v>
      </c>
      <c r="AO1823" s="18" t="s">
        <v>5735</v>
      </c>
      <c r="AP1823" s="18"/>
    </row>
    <row r="1824" spans="1:42" x14ac:dyDescent="0.3">
      <c r="A1824" s="18" t="s">
        <v>1463</v>
      </c>
      <c r="B1824" s="18" t="s">
        <v>5664</v>
      </c>
      <c r="C1824" s="18" t="s">
        <v>1466</v>
      </c>
      <c r="D1824" s="18" t="s">
        <v>5940</v>
      </c>
      <c r="E1824" s="18" t="s">
        <v>1467</v>
      </c>
      <c r="F1824" s="18" t="s">
        <v>5941</v>
      </c>
      <c r="G1824" s="18" t="s">
        <v>6018</v>
      </c>
      <c r="H1824" s="157" t="s">
        <v>6019</v>
      </c>
      <c r="I1824" s="18"/>
      <c r="J1824" s="18"/>
      <c r="K1824" s="18">
        <v>14330316</v>
      </c>
      <c r="L1824" s="18" t="s">
        <v>6074</v>
      </c>
      <c r="M1824" s="18" t="s">
        <v>6075</v>
      </c>
      <c r="N1824" s="223">
        <v>60</v>
      </c>
      <c r="O1824" s="16">
        <v>65</v>
      </c>
      <c r="P1824" s="16">
        <v>65</v>
      </c>
      <c r="Q1824" s="16">
        <v>68</v>
      </c>
      <c r="R1824" s="16">
        <v>70</v>
      </c>
      <c r="S1824" s="16"/>
      <c r="T1824" s="18" t="s">
        <v>5676</v>
      </c>
      <c r="U1824" s="283" t="s">
        <v>5735</v>
      </c>
      <c r="V1824" s="18" t="s">
        <v>6076</v>
      </c>
      <c r="W1824" s="18">
        <v>1</v>
      </c>
      <c r="X1824" s="18">
        <v>1</v>
      </c>
      <c r="Y1824" s="18">
        <v>1</v>
      </c>
      <c r="Z1824" s="18">
        <v>1</v>
      </c>
      <c r="AA1824" s="18">
        <v>1</v>
      </c>
      <c r="AB1824" s="18">
        <v>1</v>
      </c>
      <c r="AC1824" s="316">
        <v>1</v>
      </c>
      <c r="AD1824" s="316">
        <v>1</v>
      </c>
      <c r="AE1824" s="302">
        <v>1</v>
      </c>
      <c r="AF1824" s="259"/>
      <c r="AG1824" s="259">
        <v>0</v>
      </c>
      <c r="AH1824" s="259">
        <v>0.1</v>
      </c>
      <c r="AI1824" s="259">
        <v>0.1</v>
      </c>
      <c r="AJ1824" s="259">
        <v>0.1</v>
      </c>
      <c r="AK1824" s="260">
        <v>0.1</v>
      </c>
      <c r="AL1824" s="260">
        <v>0.1</v>
      </c>
      <c r="AM1824" s="259">
        <v>0.2</v>
      </c>
      <c r="AN1824" s="18" t="s">
        <v>5676</v>
      </c>
      <c r="AO1824" s="18" t="s">
        <v>5735</v>
      </c>
      <c r="AP1824" s="18"/>
    </row>
    <row r="1825" spans="1:42" x14ac:dyDescent="0.3">
      <c r="A1825" s="18" t="s">
        <v>1463</v>
      </c>
      <c r="B1825" s="18" t="s">
        <v>5664</v>
      </c>
      <c r="C1825" s="18" t="s">
        <v>1466</v>
      </c>
      <c r="D1825" s="18" t="s">
        <v>5940</v>
      </c>
      <c r="E1825" s="18" t="s">
        <v>1467</v>
      </c>
      <c r="F1825" s="18" t="s">
        <v>5941</v>
      </c>
      <c r="G1825" s="18" t="s">
        <v>6018</v>
      </c>
      <c r="H1825" s="157" t="s">
        <v>6019</v>
      </c>
      <c r="I1825" s="18"/>
      <c r="J1825" s="18"/>
      <c r="K1825" s="18">
        <v>14330316</v>
      </c>
      <c r="L1825" s="18" t="s">
        <v>6074</v>
      </c>
      <c r="M1825" s="18" t="s">
        <v>6077</v>
      </c>
      <c r="N1825" s="223">
        <v>150</v>
      </c>
      <c r="O1825" s="16">
        <v>275</v>
      </c>
      <c r="P1825" s="16">
        <v>375</v>
      </c>
      <c r="Q1825" s="16">
        <v>500</v>
      </c>
      <c r="R1825" s="16">
        <v>100</v>
      </c>
      <c r="S1825" s="16">
        <v>100</v>
      </c>
      <c r="T1825" s="18" t="s">
        <v>5676</v>
      </c>
      <c r="U1825" s="283" t="s">
        <v>5735</v>
      </c>
      <c r="V1825" s="18" t="s">
        <v>6078</v>
      </c>
      <c r="W1825" s="18">
        <v>1</v>
      </c>
      <c r="X1825" s="18">
        <v>1</v>
      </c>
      <c r="Y1825" s="18">
        <v>1</v>
      </c>
      <c r="Z1825" s="18">
        <v>1</v>
      </c>
      <c r="AA1825" s="18">
        <v>1</v>
      </c>
      <c r="AB1825" s="18">
        <v>1</v>
      </c>
      <c r="AC1825" s="316">
        <v>1</v>
      </c>
      <c r="AD1825" s="316">
        <v>1</v>
      </c>
      <c r="AE1825" s="302">
        <v>1</v>
      </c>
      <c r="AF1825" s="259"/>
      <c r="AG1825" s="259">
        <v>0</v>
      </c>
      <c r="AH1825" s="259">
        <v>1.6</v>
      </c>
      <c r="AI1825" s="259">
        <v>1.6</v>
      </c>
      <c r="AJ1825" s="259">
        <v>1.6</v>
      </c>
      <c r="AK1825" s="260">
        <v>1.6</v>
      </c>
      <c r="AL1825" s="260">
        <v>1.6</v>
      </c>
      <c r="AM1825" s="259">
        <v>3.2</v>
      </c>
      <c r="AN1825" s="18" t="s">
        <v>5676</v>
      </c>
      <c r="AO1825" s="18" t="s">
        <v>5735</v>
      </c>
      <c r="AP1825" s="18"/>
    </row>
    <row r="1826" spans="1:42" hidden="1" x14ac:dyDescent="0.3">
      <c r="A1826" s="18" t="s">
        <v>1463</v>
      </c>
      <c r="B1826" s="18" t="s">
        <v>5664</v>
      </c>
      <c r="C1826" s="18" t="s">
        <v>1466</v>
      </c>
      <c r="D1826" s="18" t="s">
        <v>5940</v>
      </c>
      <c r="E1826" s="18" t="s">
        <v>1467</v>
      </c>
      <c r="F1826" s="18" t="s">
        <v>5941</v>
      </c>
      <c r="G1826" s="18" t="s">
        <v>6018</v>
      </c>
      <c r="H1826" s="157" t="s">
        <v>6019</v>
      </c>
      <c r="I1826" s="18"/>
      <c r="J1826" s="18"/>
      <c r="K1826" s="18">
        <v>14330317</v>
      </c>
      <c r="L1826" s="18" t="s">
        <v>6079</v>
      </c>
      <c r="M1826" s="18" t="s">
        <v>6080</v>
      </c>
      <c r="N1826" s="223"/>
      <c r="O1826" s="16">
        <v>1</v>
      </c>
      <c r="P1826" s="16">
        <v>1</v>
      </c>
      <c r="Q1826" s="16">
        <v>1</v>
      </c>
      <c r="R1826" s="16">
        <v>1</v>
      </c>
      <c r="S1826" s="16">
        <v>1</v>
      </c>
      <c r="T1826" s="18" t="s">
        <v>5676</v>
      </c>
      <c r="U1826" s="283" t="s">
        <v>5735</v>
      </c>
      <c r="V1826" s="18" t="s">
        <v>6081</v>
      </c>
      <c r="W1826" s="18">
        <v>0</v>
      </c>
      <c r="X1826" s="18">
        <v>0</v>
      </c>
      <c r="Y1826" s="18">
        <v>0</v>
      </c>
      <c r="Z1826" s="18">
        <v>1</v>
      </c>
      <c r="AA1826" s="18">
        <v>1</v>
      </c>
      <c r="AB1826" s="18">
        <v>0</v>
      </c>
      <c r="AC1826" s="316">
        <v>1</v>
      </c>
      <c r="AD1826" s="316">
        <v>1</v>
      </c>
      <c r="AE1826" s="302">
        <v>0.5</v>
      </c>
      <c r="AF1826" s="259"/>
      <c r="AG1826" s="259">
        <v>0</v>
      </c>
      <c r="AH1826" s="259">
        <v>0.02</v>
      </c>
      <c r="AI1826" s="259">
        <v>0.01</v>
      </c>
      <c r="AJ1826" s="259">
        <v>0.01</v>
      </c>
      <c r="AK1826" s="260">
        <v>0</v>
      </c>
      <c r="AL1826" s="260">
        <v>0</v>
      </c>
      <c r="AM1826" s="259">
        <v>0.02</v>
      </c>
      <c r="AN1826" s="18" t="s">
        <v>5676</v>
      </c>
      <c r="AO1826" s="18" t="s">
        <v>5735</v>
      </c>
      <c r="AP1826" s="18"/>
    </row>
    <row r="1827" spans="1:42" hidden="1" x14ac:dyDescent="0.3">
      <c r="A1827" s="18" t="s">
        <v>1463</v>
      </c>
      <c r="B1827" s="18" t="s">
        <v>5664</v>
      </c>
      <c r="C1827" s="18" t="s">
        <v>1466</v>
      </c>
      <c r="D1827" s="18" t="s">
        <v>5940</v>
      </c>
      <c r="E1827" s="18" t="s">
        <v>1467</v>
      </c>
      <c r="F1827" s="18" t="s">
        <v>5941</v>
      </c>
      <c r="G1827" s="18" t="s">
        <v>6018</v>
      </c>
      <c r="H1827" s="157" t="s">
        <v>6019</v>
      </c>
      <c r="I1827" s="18"/>
      <c r="J1827" s="18"/>
      <c r="K1827" s="18">
        <v>14330318</v>
      </c>
      <c r="L1827" s="18" t="s">
        <v>6082</v>
      </c>
      <c r="M1827" s="18" t="s">
        <v>6083</v>
      </c>
      <c r="N1827" s="223"/>
      <c r="O1827" s="16">
        <v>1</v>
      </c>
      <c r="P1827" s="16">
        <v>3</v>
      </c>
      <c r="Q1827" s="16">
        <v>3</v>
      </c>
      <c r="R1827" s="16">
        <v>3</v>
      </c>
      <c r="S1827" s="16">
        <v>3</v>
      </c>
      <c r="T1827" s="18" t="s">
        <v>5676</v>
      </c>
      <c r="U1827" s="283" t="s">
        <v>5735</v>
      </c>
      <c r="V1827" s="18" t="s">
        <v>6084</v>
      </c>
      <c r="W1827" s="18">
        <v>0</v>
      </c>
      <c r="X1827" s="18">
        <v>0</v>
      </c>
      <c r="Y1827" s="18">
        <v>0</v>
      </c>
      <c r="Z1827" s="18">
        <v>1</v>
      </c>
      <c r="AA1827" s="18">
        <v>1</v>
      </c>
      <c r="AB1827" s="18">
        <v>0</v>
      </c>
      <c r="AC1827" s="316">
        <v>1</v>
      </c>
      <c r="AD1827" s="316">
        <v>1</v>
      </c>
      <c r="AE1827" s="302">
        <v>0.5</v>
      </c>
      <c r="AF1827" s="259"/>
      <c r="AG1827" s="259">
        <v>0</v>
      </c>
      <c r="AH1827" s="259">
        <v>5.1999999999999998E-2</v>
      </c>
      <c r="AI1827" s="259">
        <v>0.05</v>
      </c>
      <c r="AJ1827" s="259">
        <v>0.05</v>
      </c>
      <c r="AK1827" s="260">
        <v>0</v>
      </c>
      <c r="AL1827" s="260">
        <v>0</v>
      </c>
      <c r="AM1827" s="259">
        <v>0.1</v>
      </c>
      <c r="AN1827" s="18" t="s">
        <v>5676</v>
      </c>
      <c r="AO1827" s="18" t="s">
        <v>5735</v>
      </c>
      <c r="AP1827" s="18"/>
    </row>
    <row r="1828" spans="1:42" x14ac:dyDescent="0.3">
      <c r="A1828" s="18" t="s">
        <v>1463</v>
      </c>
      <c r="B1828" s="18" t="s">
        <v>5664</v>
      </c>
      <c r="C1828" s="18" t="s">
        <v>1466</v>
      </c>
      <c r="D1828" s="18" t="s">
        <v>5940</v>
      </c>
      <c r="E1828" s="18" t="s">
        <v>1467</v>
      </c>
      <c r="F1828" s="18" t="s">
        <v>5941</v>
      </c>
      <c r="G1828" s="18" t="s">
        <v>6018</v>
      </c>
      <c r="H1828" s="157" t="s">
        <v>6019</v>
      </c>
      <c r="I1828" s="18"/>
      <c r="J1828" s="18"/>
      <c r="K1828" s="18">
        <v>14330319</v>
      </c>
      <c r="L1828" s="18" t="s">
        <v>6085</v>
      </c>
      <c r="M1828" s="18" t="s">
        <v>6086</v>
      </c>
      <c r="N1828" s="267">
        <v>0.01</v>
      </c>
      <c r="O1828" s="38">
        <v>0.1</v>
      </c>
      <c r="P1828" s="38">
        <v>0.1</v>
      </c>
      <c r="Q1828" s="38">
        <v>0.1</v>
      </c>
      <c r="R1828" s="38">
        <v>0.1</v>
      </c>
      <c r="S1828" s="38">
        <v>0.1</v>
      </c>
      <c r="T1828" s="18" t="s">
        <v>5676</v>
      </c>
      <c r="U1828" s="283" t="s">
        <v>5735</v>
      </c>
      <c r="V1828" s="18" t="s">
        <v>6087</v>
      </c>
      <c r="W1828" s="18">
        <v>1</v>
      </c>
      <c r="X1828" s="18">
        <v>1</v>
      </c>
      <c r="Y1828" s="18">
        <v>1</v>
      </c>
      <c r="Z1828" s="18">
        <v>1</v>
      </c>
      <c r="AA1828" s="18">
        <v>1</v>
      </c>
      <c r="AB1828" s="18">
        <v>1</v>
      </c>
      <c r="AC1828" s="316">
        <v>1</v>
      </c>
      <c r="AD1828" s="316">
        <v>1</v>
      </c>
      <c r="AE1828" s="302">
        <v>1</v>
      </c>
      <c r="AF1828" s="259"/>
      <c r="AG1828" s="259">
        <v>0</v>
      </c>
      <c r="AH1828" s="259">
        <v>0.06</v>
      </c>
      <c r="AI1828" s="259">
        <v>0.06</v>
      </c>
      <c r="AJ1828" s="259">
        <v>0.06</v>
      </c>
      <c r="AK1828" s="260">
        <v>7.0000000000000007E-2</v>
      </c>
      <c r="AL1828" s="260">
        <v>7.0000000000000007E-2</v>
      </c>
      <c r="AM1828" s="259">
        <v>0.14000000000000001</v>
      </c>
      <c r="AN1828" s="18" t="s">
        <v>5676</v>
      </c>
      <c r="AO1828" s="18" t="s">
        <v>5735</v>
      </c>
      <c r="AP1828" s="18"/>
    </row>
    <row r="1829" spans="1:42" s="10" customFormat="1" x14ac:dyDescent="0.3">
      <c r="A1829" s="18" t="s">
        <v>1463</v>
      </c>
      <c r="B1829" s="18" t="s">
        <v>5664</v>
      </c>
      <c r="C1829" s="18" t="s">
        <v>1466</v>
      </c>
      <c r="D1829" s="18" t="s">
        <v>5940</v>
      </c>
      <c r="E1829" s="18" t="s">
        <v>1467</v>
      </c>
      <c r="F1829" s="18" t="s">
        <v>5941</v>
      </c>
      <c r="G1829" s="18" t="s">
        <v>6018</v>
      </c>
      <c r="H1829" s="157" t="s">
        <v>6019</v>
      </c>
      <c r="I1829" s="18"/>
      <c r="J1829" s="18"/>
      <c r="K1829" s="18">
        <v>14330317</v>
      </c>
      <c r="L1829" s="18" t="s">
        <v>6079</v>
      </c>
      <c r="M1829" s="18" t="s">
        <v>6088</v>
      </c>
      <c r="N1829" s="223"/>
      <c r="O1829" s="16">
        <v>1</v>
      </c>
      <c r="P1829" s="16">
        <v>1</v>
      </c>
      <c r="Q1829" s="16">
        <v>1</v>
      </c>
      <c r="R1829" s="16">
        <v>1</v>
      </c>
      <c r="S1829" s="16">
        <v>1</v>
      </c>
      <c r="T1829" s="18" t="s">
        <v>5676</v>
      </c>
      <c r="U1829" s="283" t="s">
        <v>5735</v>
      </c>
      <c r="V1829" s="18" t="s">
        <v>6089</v>
      </c>
      <c r="W1829" s="18">
        <v>1</v>
      </c>
      <c r="X1829" s="18">
        <v>0</v>
      </c>
      <c r="Y1829" s="18">
        <v>1</v>
      </c>
      <c r="Z1829" s="18">
        <v>1</v>
      </c>
      <c r="AA1829" s="18">
        <v>1</v>
      </c>
      <c r="AB1829" s="18">
        <v>1</v>
      </c>
      <c r="AC1829" s="316">
        <v>1</v>
      </c>
      <c r="AD1829" s="316">
        <v>0</v>
      </c>
      <c r="AE1829" s="302">
        <v>0.75</v>
      </c>
      <c r="AF1829" s="259"/>
      <c r="AG1829" s="259">
        <v>0</v>
      </c>
      <c r="AH1829" s="259">
        <v>0.03</v>
      </c>
      <c r="AI1829" s="259">
        <v>0.03</v>
      </c>
      <c r="AJ1829" s="259">
        <v>0.03</v>
      </c>
      <c r="AK1829" s="260">
        <v>0.53</v>
      </c>
      <c r="AL1829" s="260">
        <v>0.03</v>
      </c>
      <c r="AM1829" s="259">
        <f t="shared" ref="AM1829" si="108">SUM(AK1829:AL1829)</f>
        <v>0.56000000000000005</v>
      </c>
      <c r="AN1829" s="18" t="s">
        <v>5676</v>
      </c>
      <c r="AO1829" s="18" t="s">
        <v>5735</v>
      </c>
      <c r="AP1829" s="18"/>
    </row>
    <row r="1830" spans="1:42" x14ac:dyDescent="0.3">
      <c r="A1830" s="18" t="s">
        <v>1463</v>
      </c>
      <c r="B1830" s="18" t="s">
        <v>5664</v>
      </c>
      <c r="C1830" s="18" t="s">
        <v>1466</v>
      </c>
      <c r="D1830" s="18" t="s">
        <v>5940</v>
      </c>
      <c r="E1830" s="18" t="s">
        <v>1467</v>
      </c>
      <c r="F1830" s="18" t="s">
        <v>5941</v>
      </c>
      <c r="G1830" s="18" t="s">
        <v>6018</v>
      </c>
      <c r="H1830" s="157" t="s">
        <v>6019</v>
      </c>
      <c r="I1830" s="18"/>
      <c r="J1830" s="18"/>
      <c r="K1830" s="18">
        <v>14330321</v>
      </c>
      <c r="L1830" s="18" t="s">
        <v>6090</v>
      </c>
      <c r="M1830" s="18" t="s">
        <v>6091</v>
      </c>
      <c r="N1830" s="223"/>
      <c r="O1830" s="16">
        <v>100</v>
      </c>
      <c r="P1830" s="16">
        <v>100</v>
      </c>
      <c r="Q1830" s="16">
        <v>100</v>
      </c>
      <c r="R1830" s="16">
        <v>100</v>
      </c>
      <c r="S1830" s="16">
        <v>100</v>
      </c>
      <c r="T1830" s="18" t="s">
        <v>2234</v>
      </c>
      <c r="U1830" s="283" t="s">
        <v>2236</v>
      </c>
      <c r="V1830" s="18" t="s">
        <v>6092</v>
      </c>
      <c r="W1830" s="18">
        <v>1</v>
      </c>
      <c r="X1830" s="18">
        <v>1</v>
      </c>
      <c r="Y1830" s="18">
        <v>0</v>
      </c>
      <c r="Z1830" s="18">
        <v>1</v>
      </c>
      <c r="AA1830" s="18">
        <v>1</v>
      </c>
      <c r="AB1830" s="18">
        <v>0</v>
      </c>
      <c r="AC1830" s="316">
        <v>1</v>
      </c>
      <c r="AD1830" s="316">
        <v>1</v>
      </c>
      <c r="AE1830" s="302">
        <v>0.75</v>
      </c>
      <c r="AF1830" s="259"/>
      <c r="AG1830" s="259">
        <v>0</v>
      </c>
      <c r="AH1830" s="259">
        <v>0.4</v>
      </c>
      <c r="AI1830" s="259">
        <v>0.4</v>
      </c>
      <c r="AJ1830" s="259">
        <v>0.4</v>
      </c>
      <c r="AK1830" s="260">
        <v>0.4</v>
      </c>
      <c r="AL1830" s="260">
        <v>0.4</v>
      </c>
      <c r="AM1830" s="259">
        <v>0.8</v>
      </c>
      <c r="AN1830" s="18" t="s">
        <v>2234</v>
      </c>
      <c r="AO1830" s="18" t="s">
        <v>2236</v>
      </c>
      <c r="AP1830" s="18"/>
    </row>
    <row r="1831" spans="1:42" x14ac:dyDescent="0.3">
      <c r="A1831" s="18" t="s">
        <v>1463</v>
      </c>
      <c r="B1831" s="18" t="s">
        <v>5664</v>
      </c>
      <c r="C1831" s="18" t="s">
        <v>1466</v>
      </c>
      <c r="D1831" s="18" t="s">
        <v>5940</v>
      </c>
      <c r="E1831" s="18" t="s">
        <v>1467</v>
      </c>
      <c r="F1831" s="18" t="s">
        <v>5941</v>
      </c>
      <c r="G1831" s="18" t="s">
        <v>6018</v>
      </c>
      <c r="H1831" s="157" t="s">
        <v>6019</v>
      </c>
      <c r="I1831" s="18"/>
      <c r="J1831" s="18"/>
      <c r="K1831" s="18">
        <v>14330322</v>
      </c>
      <c r="L1831" s="18" t="s">
        <v>6093</v>
      </c>
      <c r="M1831" s="18" t="s">
        <v>6094</v>
      </c>
      <c r="N1831" s="223"/>
      <c r="O1831" s="16">
        <v>5</v>
      </c>
      <c r="P1831" s="16">
        <v>5</v>
      </c>
      <c r="Q1831" s="16">
        <v>3</v>
      </c>
      <c r="R1831" s="16">
        <v>5</v>
      </c>
      <c r="S1831" s="16">
        <v>5</v>
      </c>
      <c r="T1831" s="18" t="s">
        <v>2234</v>
      </c>
      <c r="U1831" s="283" t="s">
        <v>2236</v>
      </c>
      <c r="V1831" s="18" t="s">
        <v>6095</v>
      </c>
      <c r="W1831" s="18">
        <v>1</v>
      </c>
      <c r="X1831" s="18">
        <v>1</v>
      </c>
      <c r="Y1831" s="18">
        <v>0</v>
      </c>
      <c r="Z1831" s="18">
        <v>1</v>
      </c>
      <c r="AA1831" s="18">
        <v>1</v>
      </c>
      <c r="AB1831" s="18">
        <v>1</v>
      </c>
      <c r="AC1831" s="316">
        <v>1</v>
      </c>
      <c r="AD1831" s="316">
        <v>1</v>
      </c>
      <c r="AE1831" s="302">
        <v>0.875</v>
      </c>
      <c r="AF1831" s="259"/>
      <c r="AG1831" s="259">
        <v>0</v>
      </c>
      <c r="AH1831" s="259">
        <v>0.5</v>
      </c>
      <c r="AI1831" s="259"/>
      <c r="AJ1831" s="259"/>
      <c r="AK1831" s="260">
        <v>0.3</v>
      </c>
      <c r="AL1831" s="260"/>
      <c r="AM1831" s="259">
        <v>0</v>
      </c>
      <c r="AN1831" s="18" t="s">
        <v>2234</v>
      </c>
      <c r="AO1831" s="18" t="s">
        <v>2236</v>
      </c>
      <c r="AP1831" s="18"/>
    </row>
    <row r="1832" spans="1:42" x14ac:dyDescent="0.3">
      <c r="A1832" s="18" t="s">
        <v>1463</v>
      </c>
      <c r="B1832" s="18" t="s">
        <v>5664</v>
      </c>
      <c r="C1832" s="18" t="s">
        <v>1466</v>
      </c>
      <c r="D1832" s="18" t="s">
        <v>5940</v>
      </c>
      <c r="E1832" s="18" t="s">
        <v>1467</v>
      </c>
      <c r="F1832" s="18" t="s">
        <v>5941</v>
      </c>
      <c r="G1832" s="18" t="s">
        <v>6096</v>
      </c>
      <c r="H1832" s="157" t="s">
        <v>6097</v>
      </c>
      <c r="I1832" s="18"/>
      <c r="J1832" s="18"/>
      <c r="K1832" s="18" t="s">
        <v>6098</v>
      </c>
      <c r="L1832" s="18" t="s">
        <v>6099</v>
      </c>
      <c r="M1832" s="18" t="s">
        <v>6100</v>
      </c>
      <c r="N1832" s="16" t="s">
        <v>271</v>
      </c>
      <c r="O1832" s="16">
        <v>60</v>
      </c>
      <c r="P1832" s="16">
        <v>160</v>
      </c>
      <c r="Q1832" s="16">
        <v>250</v>
      </c>
      <c r="R1832" s="16">
        <v>273</v>
      </c>
      <c r="S1832" s="16"/>
      <c r="T1832" s="18" t="s">
        <v>6101</v>
      </c>
      <c r="U1832" s="283" t="e">
        <v>#N/A</v>
      </c>
      <c r="V1832" s="18" t="s">
        <v>6102</v>
      </c>
      <c r="W1832" s="18">
        <v>1</v>
      </c>
      <c r="X1832" s="18">
        <v>1</v>
      </c>
      <c r="Y1832" s="18">
        <v>1</v>
      </c>
      <c r="Z1832" s="18">
        <v>1</v>
      </c>
      <c r="AA1832" s="18">
        <v>1</v>
      </c>
      <c r="AB1832" s="18">
        <v>1</v>
      </c>
      <c r="AC1832" s="316">
        <v>1</v>
      </c>
      <c r="AD1832" s="316">
        <v>1</v>
      </c>
      <c r="AE1832" s="302">
        <v>1</v>
      </c>
      <c r="AF1832" s="259"/>
      <c r="AG1832" s="259">
        <v>0</v>
      </c>
      <c r="AH1832" s="259">
        <v>17.899999999999999</v>
      </c>
      <c r="AI1832" s="259">
        <v>21.462</v>
      </c>
      <c r="AJ1832" s="259">
        <v>9.3800000000000008</v>
      </c>
      <c r="AK1832" s="260">
        <v>4</v>
      </c>
      <c r="AL1832" s="260"/>
      <c r="AM1832" s="259">
        <v>4</v>
      </c>
      <c r="AN1832" s="18" t="s">
        <v>2172</v>
      </c>
      <c r="AO1832" s="18" t="s">
        <v>2236</v>
      </c>
      <c r="AP1832" s="18" t="s">
        <v>6103</v>
      </c>
    </row>
    <row r="1833" spans="1:42" x14ac:dyDescent="0.3">
      <c r="A1833" s="18" t="s">
        <v>1463</v>
      </c>
      <c r="B1833" s="18" t="s">
        <v>5664</v>
      </c>
      <c r="C1833" s="18" t="s">
        <v>1466</v>
      </c>
      <c r="D1833" s="18" t="s">
        <v>5940</v>
      </c>
      <c r="E1833" s="18" t="s">
        <v>1467</v>
      </c>
      <c r="F1833" s="18" t="s">
        <v>5941</v>
      </c>
      <c r="G1833" s="18" t="s">
        <v>6096</v>
      </c>
      <c r="H1833" s="157" t="s">
        <v>6097</v>
      </c>
      <c r="I1833" s="18"/>
      <c r="J1833" s="18"/>
      <c r="K1833" s="18" t="s">
        <v>6098</v>
      </c>
      <c r="L1833" s="18" t="s">
        <v>6099</v>
      </c>
      <c r="M1833" s="18" t="s">
        <v>6104</v>
      </c>
      <c r="N1833" s="16" t="s">
        <v>271</v>
      </c>
      <c r="O1833" s="16">
        <v>2</v>
      </c>
      <c r="P1833" s="16">
        <v>10</v>
      </c>
      <c r="Q1833" s="16">
        <v>50</v>
      </c>
      <c r="R1833" s="16">
        <v>50</v>
      </c>
      <c r="S1833" s="16">
        <v>50</v>
      </c>
      <c r="T1833" s="18" t="s">
        <v>6023</v>
      </c>
      <c r="U1833" s="283" t="e">
        <v>#N/A</v>
      </c>
      <c r="V1833" s="18" t="s">
        <v>6105</v>
      </c>
      <c r="W1833" s="18">
        <v>1</v>
      </c>
      <c r="X1833" s="18">
        <v>1</v>
      </c>
      <c r="Y1833" s="18">
        <v>1</v>
      </c>
      <c r="Z1833" s="18">
        <v>1</v>
      </c>
      <c r="AA1833" s="18">
        <v>1</v>
      </c>
      <c r="AB1833" s="18">
        <v>1</v>
      </c>
      <c r="AC1833" s="316">
        <v>1</v>
      </c>
      <c r="AD1833" s="316">
        <v>1</v>
      </c>
      <c r="AE1833" s="302">
        <v>1</v>
      </c>
      <c r="AF1833" s="259"/>
      <c r="AG1833" s="259">
        <v>0</v>
      </c>
      <c r="AH1833" s="259"/>
      <c r="AI1833" s="259"/>
      <c r="AJ1833" s="259"/>
      <c r="AK1833" s="260"/>
      <c r="AL1833" s="260"/>
      <c r="AM1833" s="259">
        <v>0</v>
      </c>
      <c r="AN1833" s="18" t="s">
        <v>2172</v>
      </c>
      <c r="AO1833" s="18" t="s">
        <v>2236</v>
      </c>
      <c r="AP1833" s="18"/>
    </row>
    <row r="1834" spans="1:42" x14ac:dyDescent="0.3">
      <c r="A1834" s="18" t="s">
        <v>1463</v>
      </c>
      <c r="B1834" s="18" t="s">
        <v>5664</v>
      </c>
      <c r="C1834" s="18" t="s">
        <v>1466</v>
      </c>
      <c r="D1834" s="18" t="s">
        <v>5940</v>
      </c>
      <c r="E1834" s="18" t="s">
        <v>1467</v>
      </c>
      <c r="F1834" s="18" t="s">
        <v>5941</v>
      </c>
      <c r="G1834" s="18" t="s">
        <v>6096</v>
      </c>
      <c r="H1834" s="157" t="s">
        <v>6097</v>
      </c>
      <c r="I1834" s="18"/>
      <c r="J1834" s="18"/>
      <c r="K1834" s="18" t="s">
        <v>6098</v>
      </c>
      <c r="L1834" s="18" t="s">
        <v>6099</v>
      </c>
      <c r="M1834" s="18" t="s">
        <v>6106</v>
      </c>
      <c r="N1834" s="16"/>
      <c r="O1834" s="16"/>
      <c r="P1834" s="16">
        <v>1</v>
      </c>
      <c r="Q1834" s="16"/>
      <c r="R1834" s="16"/>
      <c r="S1834" s="16"/>
      <c r="T1834" s="18" t="s">
        <v>6023</v>
      </c>
      <c r="U1834" s="283" t="e">
        <v>#N/A</v>
      </c>
      <c r="V1834" s="18" t="s">
        <v>6107</v>
      </c>
      <c r="W1834" s="18">
        <v>1</v>
      </c>
      <c r="X1834" s="18">
        <v>1</v>
      </c>
      <c r="Y1834" s="18">
        <v>1</v>
      </c>
      <c r="Z1834" s="18">
        <v>1</v>
      </c>
      <c r="AA1834" s="18">
        <v>1</v>
      </c>
      <c r="AB1834" s="18">
        <v>1</v>
      </c>
      <c r="AC1834" s="316">
        <v>1</v>
      </c>
      <c r="AD1834" s="316">
        <v>1</v>
      </c>
      <c r="AE1834" s="302">
        <v>1</v>
      </c>
      <c r="AF1834" s="259"/>
      <c r="AG1834" s="259">
        <v>0</v>
      </c>
      <c r="AH1834" s="259"/>
      <c r="AI1834" s="259">
        <v>0.18</v>
      </c>
      <c r="AJ1834" s="259"/>
      <c r="AK1834" s="260"/>
      <c r="AL1834" s="260"/>
      <c r="AM1834" s="259">
        <v>0</v>
      </c>
      <c r="AN1834" s="18" t="s">
        <v>2172</v>
      </c>
      <c r="AO1834" s="18" t="s">
        <v>2236</v>
      </c>
      <c r="AP1834" s="18"/>
    </row>
    <row r="1835" spans="1:42" x14ac:dyDescent="0.3">
      <c r="A1835" s="18" t="s">
        <v>1463</v>
      </c>
      <c r="B1835" s="18" t="s">
        <v>5664</v>
      </c>
      <c r="C1835" s="18" t="s">
        <v>1466</v>
      </c>
      <c r="D1835" s="18" t="s">
        <v>5940</v>
      </c>
      <c r="E1835" s="18" t="s">
        <v>1467</v>
      </c>
      <c r="F1835" s="18" t="s">
        <v>5941</v>
      </c>
      <c r="G1835" s="18" t="s">
        <v>6096</v>
      </c>
      <c r="H1835" s="157" t="s">
        <v>6097</v>
      </c>
      <c r="I1835" s="18"/>
      <c r="J1835" s="18"/>
      <c r="K1835" s="18" t="s">
        <v>6098</v>
      </c>
      <c r="L1835" s="18" t="s">
        <v>6099</v>
      </c>
      <c r="M1835" s="18" t="s">
        <v>6108</v>
      </c>
      <c r="N1835" s="16"/>
      <c r="O1835" s="16">
        <v>24</v>
      </c>
      <c r="P1835" s="16">
        <v>60</v>
      </c>
      <c r="Q1835" s="16">
        <v>91</v>
      </c>
      <c r="R1835" s="16">
        <v>100</v>
      </c>
      <c r="S1835" s="16"/>
      <c r="T1835" s="18" t="s">
        <v>6023</v>
      </c>
      <c r="U1835" s="283" t="e">
        <v>#N/A</v>
      </c>
      <c r="V1835" s="18" t="s">
        <v>6109</v>
      </c>
      <c r="W1835" s="18">
        <v>1</v>
      </c>
      <c r="X1835" s="18">
        <v>1</v>
      </c>
      <c r="Y1835" s="18">
        <v>1</v>
      </c>
      <c r="Z1835" s="18">
        <v>1</v>
      </c>
      <c r="AA1835" s="18">
        <v>1</v>
      </c>
      <c r="AB1835" s="18">
        <v>1</v>
      </c>
      <c r="AC1835" s="316">
        <v>1</v>
      </c>
      <c r="AD1835" s="316">
        <v>1</v>
      </c>
      <c r="AE1835" s="302">
        <v>1</v>
      </c>
      <c r="AF1835" s="259"/>
      <c r="AG1835" s="259">
        <v>0</v>
      </c>
      <c r="AH1835" s="259"/>
      <c r="AI1835" s="259"/>
      <c r="AJ1835" s="259"/>
      <c r="AK1835" s="260"/>
      <c r="AL1835" s="260"/>
      <c r="AM1835" s="259">
        <v>0</v>
      </c>
      <c r="AN1835" s="18" t="s">
        <v>2172</v>
      </c>
      <c r="AO1835" s="18" t="s">
        <v>2236</v>
      </c>
      <c r="AP1835" s="18"/>
    </row>
    <row r="1836" spans="1:42" x14ac:dyDescent="0.3">
      <c r="A1836" s="18" t="s">
        <v>1463</v>
      </c>
      <c r="B1836" s="18" t="s">
        <v>5664</v>
      </c>
      <c r="C1836" s="18" t="s">
        <v>1466</v>
      </c>
      <c r="D1836" s="18" t="s">
        <v>5940</v>
      </c>
      <c r="E1836" s="18" t="s">
        <v>1467</v>
      </c>
      <c r="F1836" s="18" t="s">
        <v>5941</v>
      </c>
      <c r="G1836" s="18" t="s">
        <v>6096</v>
      </c>
      <c r="H1836" s="157" t="s">
        <v>6097</v>
      </c>
      <c r="I1836" s="18"/>
      <c r="J1836" s="18"/>
      <c r="K1836" s="18" t="s">
        <v>6098</v>
      </c>
      <c r="L1836" s="18" t="s">
        <v>6099</v>
      </c>
      <c r="M1836" s="18" t="s">
        <v>6110</v>
      </c>
      <c r="N1836" s="16"/>
      <c r="O1836" s="16">
        <v>24</v>
      </c>
      <c r="P1836" s="16">
        <v>64</v>
      </c>
      <c r="Q1836" s="16">
        <v>100</v>
      </c>
      <c r="R1836" s="16"/>
      <c r="S1836" s="16"/>
      <c r="T1836" s="18" t="s">
        <v>6023</v>
      </c>
      <c r="U1836" s="283" t="e">
        <v>#N/A</v>
      </c>
      <c r="V1836" s="18" t="s">
        <v>6111</v>
      </c>
      <c r="W1836" s="18">
        <v>1</v>
      </c>
      <c r="X1836" s="18">
        <v>1</v>
      </c>
      <c r="Y1836" s="18">
        <v>1</v>
      </c>
      <c r="Z1836" s="18">
        <v>1</v>
      </c>
      <c r="AA1836" s="18">
        <v>1</v>
      </c>
      <c r="AB1836" s="18">
        <v>1</v>
      </c>
      <c r="AC1836" s="316">
        <v>1</v>
      </c>
      <c r="AD1836" s="316">
        <v>1</v>
      </c>
      <c r="AE1836" s="302">
        <v>1</v>
      </c>
      <c r="AF1836" s="259"/>
      <c r="AG1836" s="259">
        <v>0</v>
      </c>
      <c r="AH1836" s="259"/>
      <c r="AI1836" s="259"/>
      <c r="AJ1836" s="259"/>
      <c r="AK1836" s="260"/>
      <c r="AL1836" s="260"/>
      <c r="AM1836" s="259">
        <v>0</v>
      </c>
      <c r="AN1836" s="18" t="s">
        <v>2172</v>
      </c>
      <c r="AO1836" s="18" t="s">
        <v>2236</v>
      </c>
      <c r="AP1836" s="18"/>
    </row>
    <row r="1837" spans="1:42" x14ac:dyDescent="0.3">
      <c r="A1837" s="18" t="s">
        <v>1463</v>
      </c>
      <c r="B1837" s="18" t="s">
        <v>5664</v>
      </c>
      <c r="C1837" s="18" t="s">
        <v>1466</v>
      </c>
      <c r="D1837" s="18" t="s">
        <v>5940</v>
      </c>
      <c r="E1837" s="18" t="s">
        <v>1467</v>
      </c>
      <c r="F1837" s="18" t="s">
        <v>5941</v>
      </c>
      <c r="G1837" s="18" t="s">
        <v>6096</v>
      </c>
      <c r="H1837" s="157" t="s">
        <v>6097</v>
      </c>
      <c r="I1837" s="18"/>
      <c r="J1837" s="18"/>
      <c r="K1837" s="18" t="s">
        <v>6098</v>
      </c>
      <c r="L1837" s="18" t="s">
        <v>6099</v>
      </c>
      <c r="M1837" s="18" t="s">
        <v>6112</v>
      </c>
      <c r="N1837" s="16"/>
      <c r="O1837" s="16">
        <v>9</v>
      </c>
      <c r="P1837" s="16">
        <v>4</v>
      </c>
      <c r="Q1837" s="16">
        <v>2</v>
      </c>
      <c r="R1837" s="16">
        <v>2</v>
      </c>
      <c r="S1837" s="16">
        <v>1</v>
      </c>
      <c r="T1837" s="18" t="s">
        <v>6023</v>
      </c>
      <c r="U1837" s="283" t="e">
        <v>#N/A</v>
      </c>
      <c r="V1837" s="18" t="s">
        <v>6113</v>
      </c>
      <c r="W1837" s="18">
        <v>1</v>
      </c>
      <c r="X1837" s="18">
        <v>1</v>
      </c>
      <c r="Y1837" s="18">
        <v>1</v>
      </c>
      <c r="Z1837" s="18">
        <v>1</v>
      </c>
      <c r="AA1837" s="18">
        <v>1</v>
      </c>
      <c r="AB1837" s="18">
        <v>1</v>
      </c>
      <c r="AC1837" s="316">
        <v>1</v>
      </c>
      <c r="AD1837" s="316">
        <v>1</v>
      </c>
      <c r="AE1837" s="302">
        <v>1</v>
      </c>
      <c r="AF1837" s="259"/>
      <c r="AG1837" s="259">
        <v>0</v>
      </c>
      <c r="AH1837" s="259"/>
      <c r="AI1837" s="259"/>
      <c r="AJ1837" s="259"/>
      <c r="AK1837" s="260"/>
      <c r="AL1837" s="260"/>
      <c r="AM1837" s="259">
        <v>0</v>
      </c>
      <c r="AN1837" s="18" t="s">
        <v>2172</v>
      </c>
      <c r="AO1837" s="18" t="s">
        <v>2236</v>
      </c>
      <c r="AP1837" s="18"/>
    </row>
    <row r="1838" spans="1:42" x14ac:dyDescent="0.3">
      <c r="A1838" s="18" t="s">
        <v>1463</v>
      </c>
      <c r="B1838" s="18" t="s">
        <v>5664</v>
      </c>
      <c r="C1838" s="18" t="s">
        <v>1466</v>
      </c>
      <c r="D1838" s="18" t="s">
        <v>5940</v>
      </c>
      <c r="E1838" s="18" t="s">
        <v>1467</v>
      </c>
      <c r="F1838" s="18" t="s">
        <v>5941</v>
      </c>
      <c r="G1838" s="18" t="s">
        <v>6096</v>
      </c>
      <c r="H1838" s="157" t="s">
        <v>6097</v>
      </c>
      <c r="I1838" s="18"/>
      <c r="J1838" s="18"/>
      <c r="K1838" s="18" t="s">
        <v>6098</v>
      </c>
      <c r="L1838" s="18" t="s">
        <v>6099</v>
      </c>
      <c r="M1838" s="18" t="s">
        <v>6114</v>
      </c>
      <c r="N1838" s="16"/>
      <c r="O1838" s="16">
        <v>27</v>
      </c>
      <c r="P1838" s="16">
        <v>79</v>
      </c>
      <c r="Q1838" s="16">
        <v>100</v>
      </c>
      <c r="R1838" s="16"/>
      <c r="S1838" s="16"/>
      <c r="T1838" s="18" t="s">
        <v>6023</v>
      </c>
      <c r="U1838" s="283" t="e">
        <v>#N/A</v>
      </c>
      <c r="V1838" s="18" t="s">
        <v>6115</v>
      </c>
      <c r="W1838" s="18">
        <v>1</v>
      </c>
      <c r="X1838" s="18">
        <v>1</v>
      </c>
      <c r="Y1838" s="18">
        <v>1</v>
      </c>
      <c r="Z1838" s="18">
        <v>1</v>
      </c>
      <c r="AA1838" s="18">
        <v>1</v>
      </c>
      <c r="AB1838" s="18">
        <v>1</v>
      </c>
      <c r="AC1838" s="316">
        <v>1</v>
      </c>
      <c r="AD1838" s="316">
        <v>1</v>
      </c>
      <c r="AE1838" s="302">
        <v>1</v>
      </c>
      <c r="AF1838" s="259"/>
      <c r="AG1838" s="259">
        <v>0</v>
      </c>
      <c r="AH1838" s="259">
        <v>0.14000000000000001</v>
      </c>
      <c r="AI1838" s="259">
        <v>0.98799999999999999</v>
      </c>
      <c r="AJ1838" s="259">
        <v>0.98799999999999999</v>
      </c>
      <c r="AK1838" s="260"/>
      <c r="AL1838" s="260"/>
      <c r="AM1838" s="259">
        <v>0</v>
      </c>
      <c r="AN1838" s="18" t="s">
        <v>2172</v>
      </c>
      <c r="AO1838" s="18" t="s">
        <v>2236</v>
      </c>
      <c r="AP1838" s="18"/>
    </row>
    <row r="1839" spans="1:42" x14ac:dyDescent="0.3">
      <c r="A1839" s="18" t="s">
        <v>1463</v>
      </c>
      <c r="B1839" s="18" t="s">
        <v>5664</v>
      </c>
      <c r="C1839" s="18" t="s">
        <v>1466</v>
      </c>
      <c r="D1839" s="18" t="s">
        <v>5940</v>
      </c>
      <c r="E1839" s="18" t="s">
        <v>1467</v>
      </c>
      <c r="F1839" s="18" t="s">
        <v>5941</v>
      </c>
      <c r="G1839" s="18" t="s">
        <v>6096</v>
      </c>
      <c r="H1839" s="157" t="s">
        <v>6097</v>
      </c>
      <c r="I1839" s="18"/>
      <c r="J1839" s="18"/>
      <c r="K1839" s="18" t="s">
        <v>6098</v>
      </c>
      <c r="L1839" s="18" t="s">
        <v>6099</v>
      </c>
      <c r="M1839" s="18" t="s">
        <v>6116</v>
      </c>
      <c r="N1839" s="16"/>
      <c r="O1839" s="16">
        <v>8</v>
      </c>
      <c r="P1839" s="16">
        <v>21</v>
      </c>
      <c r="Q1839" s="16">
        <v>33</v>
      </c>
      <c r="R1839" s="16">
        <v>38</v>
      </c>
      <c r="S1839" s="16"/>
      <c r="T1839" s="18" t="s">
        <v>6023</v>
      </c>
      <c r="U1839" s="283" t="e">
        <v>#N/A</v>
      </c>
      <c r="V1839" s="18" t="s">
        <v>6117</v>
      </c>
      <c r="W1839" s="18">
        <v>1</v>
      </c>
      <c r="X1839" s="18">
        <v>1</v>
      </c>
      <c r="Y1839" s="18">
        <v>1</v>
      </c>
      <c r="Z1839" s="18">
        <v>1</v>
      </c>
      <c r="AA1839" s="18">
        <v>1</v>
      </c>
      <c r="AB1839" s="18">
        <v>1</v>
      </c>
      <c r="AC1839" s="316">
        <v>1</v>
      </c>
      <c r="AD1839" s="316">
        <v>1</v>
      </c>
      <c r="AE1839" s="302">
        <v>1</v>
      </c>
      <c r="AF1839" s="259"/>
      <c r="AG1839" s="259">
        <v>0</v>
      </c>
      <c r="AH1839" s="259">
        <v>7.8E-2</v>
      </c>
      <c r="AI1839" s="259">
        <v>0.14499999999999999</v>
      </c>
      <c r="AJ1839" s="259">
        <v>0.14499999999999999</v>
      </c>
      <c r="AK1839" s="260">
        <v>0.14499999999999999</v>
      </c>
      <c r="AL1839" s="260"/>
      <c r="AM1839" s="259">
        <v>0.14499999999999999</v>
      </c>
      <c r="AN1839" s="18" t="s">
        <v>2172</v>
      </c>
      <c r="AO1839" s="18" t="s">
        <v>2236</v>
      </c>
      <c r="AP1839" s="18"/>
    </row>
    <row r="1840" spans="1:42" x14ac:dyDescent="0.3">
      <c r="A1840" s="18" t="s">
        <v>1463</v>
      </c>
      <c r="B1840" s="18" t="s">
        <v>5664</v>
      </c>
      <c r="C1840" s="18" t="s">
        <v>1466</v>
      </c>
      <c r="D1840" s="18" t="s">
        <v>5940</v>
      </c>
      <c r="E1840" s="18" t="s">
        <v>1467</v>
      </c>
      <c r="F1840" s="18" t="s">
        <v>5941</v>
      </c>
      <c r="G1840" s="18" t="s">
        <v>6096</v>
      </c>
      <c r="H1840" s="157" t="s">
        <v>6097</v>
      </c>
      <c r="I1840" s="18"/>
      <c r="J1840" s="18"/>
      <c r="K1840" s="18" t="s">
        <v>6098</v>
      </c>
      <c r="L1840" s="18" t="s">
        <v>6099</v>
      </c>
      <c r="M1840" s="18" t="s">
        <v>6118</v>
      </c>
      <c r="N1840" s="16"/>
      <c r="O1840" s="16">
        <v>16</v>
      </c>
      <c r="P1840" s="16">
        <v>27</v>
      </c>
      <c r="Q1840" s="16">
        <v>43</v>
      </c>
      <c r="R1840" s="16">
        <v>79</v>
      </c>
      <c r="S1840" s="16">
        <v>100</v>
      </c>
      <c r="T1840" s="18" t="s">
        <v>6023</v>
      </c>
      <c r="U1840" s="283" t="e">
        <v>#N/A</v>
      </c>
      <c r="V1840" s="18" t="s">
        <v>6119</v>
      </c>
      <c r="W1840" s="18">
        <v>1</v>
      </c>
      <c r="X1840" s="18">
        <v>1</v>
      </c>
      <c r="Y1840" s="18">
        <v>1</v>
      </c>
      <c r="Z1840" s="18">
        <v>1</v>
      </c>
      <c r="AA1840" s="18">
        <v>1</v>
      </c>
      <c r="AB1840" s="18">
        <v>1</v>
      </c>
      <c r="AC1840" s="316">
        <v>1</v>
      </c>
      <c r="AD1840" s="316">
        <v>1</v>
      </c>
      <c r="AE1840" s="302">
        <v>1</v>
      </c>
      <c r="AF1840" s="259"/>
      <c r="AG1840" s="259">
        <v>0</v>
      </c>
      <c r="AH1840" s="259">
        <v>1.7</v>
      </c>
      <c r="AI1840" s="259">
        <v>7.3</v>
      </c>
      <c r="AJ1840" s="259">
        <v>7.3</v>
      </c>
      <c r="AK1840" s="260">
        <v>5.7</v>
      </c>
      <c r="AL1840" s="260">
        <v>5.7</v>
      </c>
      <c r="AM1840" s="259">
        <v>11.4</v>
      </c>
      <c r="AN1840" s="18" t="s">
        <v>2172</v>
      </c>
      <c r="AO1840" s="18" t="s">
        <v>2236</v>
      </c>
      <c r="AP1840" s="18"/>
    </row>
    <row r="1841" spans="1:42" x14ac:dyDescent="0.3">
      <c r="A1841" s="18" t="s">
        <v>1463</v>
      </c>
      <c r="B1841" s="18" t="s">
        <v>5664</v>
      </c>
      <c r="C1841" s="18" t="s">
        <v>1466</v>
      </c>
      <c r="D1841" s="18" t="s">
        <v>5940</v>
      </c>
      <c r="E1841" s="18" t="s">
        <v>1467</v>
      </c>
      <c r="F1841" s="18" t="s">
        <v>5941</v>
      </c>
      <c r="G1841" s="18" t="s">
        <v>6096</v>
      </c>
      <c r="H1841" s="157" t="s">
        <v>6097</v>
      </c>
      <c r="I1841" s="18"/>
      <c r="J1841" s="18"/>
      <c r="K1841" s="18" t="s">
        <v>6098</v>
      </c>
      <c r="L1841" s="18" t="s">
        <v>6099</v>
      </c>
      <c r="M1841" s="18" t="s">
        <v>6120</v>
      </c>
      <c r="N1841" s="16"/>
      <c r="O1841" s="16">
        <v>12</v>
      </c>
      <c r="P1841" s="16">
        <v>12</v>
      </c>
      <c r="Q1841" s="16">
        <v>12</v>
      </c>
      <c r="R1841" s="16">
        <v>12</v>
      </c>
      <c r="S1841" s="16">
        <v>12</v>
      </c>
      <c r="T1841" s="18" t="s">
        <v>6023</v>
      </c>
      <c r="U1841" s="283" t="e">
        <v>#N/A</v>
      </c>
      <c r="V1841" s="18" t="s">
        <v>6121</v>
      </c>
      <c r="W1841" s="18">
        <v>1</v>
      </c>
      <c r="X1841" s="18">
        <v>1</v>
      </c>
      <c r="Y1841" s="18">
        <v>1</v>
      </c>
      <c r="Z1841" s="18">
        <v>1</v>
      </c>
      <c r="AA1841" s="18">
        <v>1</v>
      </c>
      <c r="AB1841" s="18">
        <v>1</v>
      </c>
      <c r="AC1841" s="316">
        <v>1</v>
      </c>
      <c r="AD1841" s="316">
        <v>1</v>
      </c>
      <c r="AE1841" s="302">
        <v>1</v>
      </c>
      <c r="AF1841" s="259"/>
      <c r="AG1841" s="259">
        <v>0</v>
      </c>
      <c r="AH1841" s="259">
        <v>0.84</v>
      </c>
      <c r="AI1841" s="259">
        <v>0.84</v>
      </c>
      <c r="AJ1841" s="259">
        <v>0.84</v>
      </c>
      <c r="AK1841" s="260">
        <v>0.84</v>
      </c>
      <c r="AL1841" s="260">
        <v>0.84</v>
      </c>
      <c r="AM1841" s="259">
        <v>1.68</v>
      </c>
      <c r="AN1841" s="18" t="s">
        <v>2172</v>
      </c>
      <c r="AO1841" s="18" t="s">
        <v>2236</v>
      </c>
      <c r="AP1841" s="18"/>
    </row>
    <row r="1842" spans="1:42" x14ac:dyDescent="0.3">
      <c r="A1842" s="18" t="s">
        <v>1463</v>
      </c>
      <c r="B1842" s="18" t="s">
        <v>5664</v>
      </c>
      <c r="C1842" s="18" t="s">
        <v>1466</v>
      </c>
      <c r="D1842" s="18" t="s">
        <v>5940</v>
      </c>
      <c r="E1842" s="18" t="s">
        <v>1467</v>
      </c>
      <c r="F1842" s="18" t="s">
        <v>5941</v>
      </c>
      <c r="G1842" s="18" t="s">
        <v>6096</v>
      </c>
      <c r="H1842" s="157" t="s">
        <v>6097</v>
      </c>
      <c r="I1842" s="18"/>
      <c r="J1842" s="18"/>
      <c r="K1842" s="18" t="s">
        <v>6122</v>
      </c>
      <c r="L1842" s="18" t="s">
        <v>6123</v>
      </c>
      <c r="M1842" s="18" t="s">
        <v>6124</v>
      </c>
      <c r="N1842" s="16"/>
      <c r="O1842" s="16">
        <v>24</v>
      </c>
      <c r="P1842" s="16">
        <v>64</v>
      </c>
      <c r="Q1842" s="16">
        <v>84</v>
      </c>
      <c r="R1842" s="16">
        <v>100</v>
      </c>
      <c r="S1842" s="16"/>
      <c r="T1842" s="18" t="s">
        <v>6023</v>
      </c>
      <c r="U1842" s="283" t="e">
        <v>#N/A</v>
      </c>
      <c r="V1842" s="18" t="s">
        <v>6125</v>
      </c>
      <c r="W1842" s="18">
        <v>1</v>
      </c>
      <c r="X1842" s="18">
        <v>1</v>
      </c>
      <c r="Y1842" s="18">
        <v>1</v>
      </c>
      <c r="Z1842" s="18">
        <v>1</v>
      </c>
      <c r="AA1842" s="18">
        <v>1</v>
      </c>
      <c r="AB1842" s="18">
        <v>1</v>
      </c>
      <c r="AC1842" s="316">
        <v>1</v>
      </c>
      <c r="AD1842" s="316">
        <v>1</v>
      </c>
      <c r="AE1842" s="302">
        <v>1</v>
      </c>
      <c r="AF1842" s="259"/>
      <c r="AG1842" s="259">
        <v>0</v>
      </c>
      <c r="AH1842" s="259">
        <v>0.61499999999999999</v>
      </c>
      <c r="AI1842" s="259">
        <v>0.87</v>
      </c>
      <c r="AJ1842" s="259">
        <v>0.87</v>
      </c>
      <c r="AK1842" s="260">
        <v>0.15</v>
      </c>
      <c r="AL1842" s="260">
        <v>0.15</v>
      </c>
      <c r="AM1842" s="259">
        <v>0.3</v>
      </c>
      <c r="AN1842" s="18" t="s">
        <v>2172</v>
      </c>
      <c r="AO1842" s="18" t="s">
        <v>2236</v>
      </c>
      <c r="AP1842" s="18"/>
    </row>
    <row r="1843" spans="1:42" x14ac:dyDescent="0.3">
      <c r="A1843" s="18" t="s">
        <v>1463</v>
      </c>
      <c r="B1843" s="18" t="s">
        <v>5664</v>
      </c>
      <c r="C1843" s="18" t="s">
        <v>1466</v>
      </c>
      <c r="D1843" s="18" t="s">
        <v>5940</v>
      </c>
      <c r="E1843" s="18" t="s">
        <v>1467</v>
      </c>
      <c r="F1843" s="18" t="s">
        <v>5941</v>
      </c>
      <c r="G1843" s="18" t="s">
        <v>6096</v>
      </c>
      <c r="H1843" s="157" t="s">
        <v>6097</v>
      </c>
      <c r="I1843" s="18"/>
      <c r="J1843" s="18"/>
      <c r="K1843" s="18" t="s">
        <v>6126</v>
      </c>
      <c r="L1843" s="18" t="s">
        <v>6127</v>
      </c>
      <c r="M1843" s="18" t="s">
        <v>6128</v>
      </c>
      <c r="N1843" s="16"/>
      <c r="O1843" s="16">
        <v>60</v>
      </c>
      <c r="P1843" s="16">
        <v>160</v>
      </c>
      <c r="Q1843" s="16">
        <v>250</v>
      </c>
      <c r="R1843" s="16">
        <v>273</v>
      </c>
      <c r="S1843" s="16">
        <v>273</v>
      </c>
      <c r="T1843" s="18" t="s">
        <v>6023</v>
      </c>
      <c r="U1843" s="283" t="e">
        <v>#N/A</v>
      </c>
      <c r="V1843" s="18" t="s">
        <v>6129</v>
      </c>
      <c r="W1843" s="18">
        <v>1</v>
      </c>
      <c r="X1843" s="18">
        <v>1</v>
      </c>
      <c r="Y1843" s="18">
        <v>1</v>
      </c>
      <c r="Z1843" s="18">
        <v>1</v>
      </c>
      <c r="AA1843" s="18">
        <v>1</v>
      </c>
      <c r="AB1843" s="18">
        <v>1</v>
      </c>
      <c r="AC1843" s="316">
        <v>1</v>
      </c>
      <c r="AD1843" s="316">
        <v>1</v>
      </c>
      <c r="AE1843" s="302">
        <v>1</v>
      </c>
      <c r="AF1843" s="259"/>
      <c r="AG1843" s="259">
        <v>0</v>
      </c>
      <c r="AH1843" s="259">
        <v>5.1999999999999998E-2</v>
      </c>
      <c r="AI1843" s="259">
        <v>0.66400000000000003</v>
      </c>
      <c r="AJ1843" s="259">
        <v>2.9129999999999998</v>
      </c>
      <c r="AK1843" s="260">
        <v>3.718</v>
      </c>
      <c r="AL1843" s="260">
        <v>4.5</v>
      </c>
      <c r="AM1843" s="259">
        <v>8.218</v>
      </c>
      <c r="AN1843" s="18" t="s">
        <v>2172</v>
      </c>
      <c r="AO1843" s="18" t="s">
        <v>2236</v>
      </c>
      <c r="AP1843" s="18"/>
    </row>
    <row r="1844" spans="1:42" x14ac:dyDescent="0.3">
      <c r="A1844" s="18" t="s">
        <v>1463</v>
      </c>
      <c r="B1844" s="18" t="s">
        <v>5664</v>
      </c>
      <c r="C1844" s="18" t="s">
        <v>1466</v>
      </c>
      <c r="D1844" s="18" t="s">
        <v>5940</v>
      </c>
      <c r="E1844" s="18" t="s">
        <v>1467</v>
      </c>
      <c r="F1844" s="18" t="s">
        <v>5941</v>
      </c>
      <c r="G1844" s="18" t="s">
        <v>6096</v>
      </c>
      <c r="H1844" s="157" t="s">
        <v>6097</v>
      </c>
      <c r="I1844" s="18"/>
      <c r="J1844" s="18"/>
      <c r="K1844" s="18" t="s">
        <v>6130</v>
      </c>
      <c r="L1844" s="18" t="s">
        <v>6131</v>
      </c>
      <c r="M1844" s="18" t="s">
        <v>6132</v>
      </c>
      <c r="N1844" s="16"/>
      <c r="O1844" s="16">
        <v>155</v>
      </c>
      <c r="P1844" s="16">
        <v>100</v>
      </c>
      <c r="Q1844" s="16">
        <v>90</v>
      </c>
      <c r="R1844" s="16">
        <v>23</v>
      </c>
      <c r="S1844" s="16"/>
      <c r="T1844" s="18" t="s">
        <v>6023</v>
      </c>
      <c r="U1844" s="283" t="e">
        <v>#N/A</v>
      </c>
      <c r="V1844" s="18" t="s">
        <v>6133</v>
      </c>
      <c r="W1844" s="18">
        <v>1</v>
      </c>
      <c r="X1844" s="18">
        <v>1</v>
      </c>
      <c r="Y1844" s="18">
        <v>1</v>
      </c>
      <c r="Z1844" s="18">
        <v>1</v>
      </c>
      <c r="AA1844" s="18">
        <v>1</v>
      </c>
      <c r="AB1844" s="18">
        <v>1</v>
      </c>
      <c r="AC1844" s="316">
        <v>1</v>
      </c>
      <c r="AD1844" s="316">
        <v>1</v>
      </c>
      <c r="AE1844" s="302">
        <v>1</v>
      </c>
      <c r="AF1844" s="259"/>
      <c r="AG1844" s="259">
        <v>0</v>
      </c>
      <c r="AH1844" s="259">
        <v>0.13400000000000001</v>
      </c>
      <c r="AI1844" s="259">
        <v>0.127</v>
      </c>
      <c r="AJ1844" s="259">
        <v>0.114</v>
      </c>
      <c r="AK1844" s="260">
        <v>6.4000000000000001E-2</v>
      </c>
      <c r="AL1844" s="260">
        <v>6.4000000000000001E-2</v>
      </c>
      <c r="AM1844" s="259">
        <v>0.128</v>
      </c>
      <c r="AN1844" s="18" t="s">
        <v>2172</v>
      </c>
      <c r="AO1844" s="18" t="s">
        <v>2236</v>
      </c>
      <c r="AP1844" s="18"/>
    </row>
    <row r="1845" spans="1:42" x14ac:dyDescent="0.3">
      <c r="A1845" s="18" t="s">
        <v>1463</v>
      </c>
      <c r="B1845" s="18" t="s">
        <v>5664</v>
      </c>
      <c r="C1845" s="18" t="s">
        <v>1466</v>
      </c>
      <c r="D1845" s="18" t="s">
        <v>5940</v>
      </c>
      <c r="E1845" s="18" t="s">
        <v>1467</v>
      </c>
      <c r="F1845" s="18" t="s">
        <v>5941</v>
      </c>
      <c r="G1845" s="18" t="s">
        <v>6096</v>
      </c>
      <c r="H1845" s="157" t="s">
        <v>6097</v>
      </c>
      <c r="I1845" s="18"/>
      <c r="J1845" s="18"/>
      <c r="K1845" s="18" t="s">
        <v>6134</v>
      </c>
      <c r="L1845" s="18" t="s">
        <v>6135</v>
      </c>
      <c r="M1845" s="18" t="s">
        <v>6136</v>
      </c>
      <c r="N1845" s="16"/>
      <c r="O1845" s="16">
        <v>100</v>
      </c>
      <c r="P1845" s="16">
        <v>100</v>
      </c>
      <c r="Q1845" s="16">
        <v>100</v>
      </c>
      <c r="R1845" s="16">
        <v>100</v>
      </c>
      <c r="S1845" s="16">
        <v>100</v>
      </c>
      <c r="T1845" s="18" t="s">
        <v>6023</v>
      </c>
      <c r="U1845" s="283" t="e">
        <v>#N/A</v>
      </c>
      <c r="V1845" s="18" t="s">
        <v>6137</v>
      </c>
      <c r="W1845" s="18">
        <v>1</v>
      </c>
      <c r="X1845" s="18">
        <v>1</v>
      </c>
      <c r="Y1845" s="18">
        <v>1</v>
      </c>
      <c r="Z1845" s="18">
        <v>1</v>
      </c>
      <c r="AA1845" s="18">
        <v>1</v>
      </c>
      <c r="AB1845" s="18">
        <v>1</v>
      </c>
      <c r="AC1845" s="316">
        <v>1</v>
      </c>
      <c r="AD1845" s="316">
        <v>1</v>
      </c>
      <c r="AE1845" s="302">
        <v>1</v>
      </c>
      <c r="AF1845" s="259"/>
      <c r="AG1845" s="259">
        <v>0</v>
      </c>
      <c r="AH1845" s="259">
        <v>3.4</v>
      </c>
      <c r="AI1845" s="259">
        <v>3.4</v>
      </c>
      <c r="AJ1845" s="259">
        <v>3.4</v>
      </c>
      <c r="AK1845" s="260">
        <v>3.4</v>
      </c>
      <c r="AL1845" s="260">
        <v>3.4</v>
      </c>
      <c r="AM1845" s="259">
        <v>6.8</v>
      </c>
      <c r="AN1845" s="18" t="s">
        <v>2172</v>
      </c>
      <c r="AO1845" s="18" t="s">
        <v>2236</v>
      </c>
      <c r="AP1845" s="18"/>
    </row>
    <row r="1846" spans="1:42" x14ac:dyDescent="0.3">
      <c r="A1846" s="18" t="s">
        <v>1463</v>
      </c>
      <c r="B1846" s="18" t="s">
        <v>5664</v>
      </c>
      <c r="C1846" s="18" t="s">
        <v>1466</v>
      </c>
      <c r="D1846" s="18" t="s">
        <v>5940</v>
      </c>
      <c r="E1846" s="18" t="s">
        <v>1467</v>
      </c>
      <c r="F1846" s="18" t="s">
        <v>5941</v>
      </c>
      <c r="G1846" s="18" t="s">
        <v>6096</v>
      </c>
      <c r="H1846" s="157" t="s">
        <v>6097</v>
      </c>
      <c r="I1846" s="18"/>
      <c r="J1846" s="18"/>
      <c r="K1846" s="18" t="s">
        <v>6134</v>
      </c>
      <c r="L1846" s="18" t="s">
        <v>6135</v>
      </c>
      <c r="M1846" s="18" t="s">
        <v>6138</v>
      </c>
      <c r="N1846" s="16"/>
      <c r="O1846" s="16">
        <v>12</v>
      </c>
      <c r="P1846" s="16">
        <v>12</v>
      </c>
      <c r="Q1846" s="16">
        <v>12</v>
      </c>
      <c r="R1846" s="16"/>
      <c r="S1846" s="16"/>
      <c r="T1846" s="18" t="s">
        <v>6023</v>
      </c>
      <c r="U1846" s="283" t="e">
        <v>#N/A</v>
      </c>
      <c r="V1846" s="18" t="s">
        <v>6139</v>
      </c>
      <c r="W1846" s="18">
        <v>1</v>
      </c>
      <c r="X1846" s="18">
        <v>1</v>
      </c>
      <c r="Y1846" s="18">
        <v>1</v>
      </c>
      <c r="Z1846" s="18">
        <v>1</v>
      </c>
      <c r="AA1846" s="18">
        <v>1</v>
      </c>
      <c r="AB1846" s="18">
        <v>1</v>
      </c>
      <c r="AC1846" s="316">
        <v>1</v>
      </c>
      <c r="AD1846" s="316">
        <v>1</v>
      </c>
      <c r="AE1846" s="302">
        <v>1</v>
      </c>
      <c r="AF1846" s="259"/>
      <c r="AG1846" s="259">
        <v>0</v>
      </c>
      <c r="AH1846" s="259">
        <v>0.21</v>
      </c>
      <c r="AI1846" s="259">
        <v>0.21</v>
      </c>
      <c r="AJ1846" s="259">
        <v>0.21</v>
      </c>
      <c r="AK1846" s="260"/>
      <c r="AL1846" s="260"/>
      <c r="AM1846" s="259">
        <v>0</v>
      </c>
      <c r="AN1846" s="18" t="s">
        <v>2172</v>
      </c>
      <c r="AO1846" s="18" t="s">
        <v>2236</v>
      </c>
      <c r="AP1846" s="18"/>
    </row>
    <row r="1847" spans="1:42" x14ac:dyDescent="0.3">
      <c r="A1847" s="18" t="s">
        <v>1463</v>
      </c>
      <c r="B1847" s="18" t="s">
        <v>5664</v>
      </c>
      <c r="C1847" s="18" t="s">
        <v>1466</v>
      </c>
      <c r="D1847" s="18" t="s">
        <v>5940</v>
      </c>
      <c r="E1847" s="18" t="s">
        <v>1467</v>
      </c>
      <c r="F1847" s="18" t="s">
        <v>5941</v>
      </c>
      <c r="G1847" s="18" t="s">
        <v>6096</v>
      </c>
      <c r="H1847" s="157" t="s">
        <v>6097</v>
      </c>
      <c r="I1847" s="18"/>
      <c r="J1847" s="18"/>
      <c r="K1847" s="18">
        <v>14330410</v>
      </c>
      <c r="L1847" s="18" t="s">
        <v>6140</v>
      </c>
      <c r="M1847" s="18" t="s">
        <v>6141</v>
      </c>
      <c r="N1847" s="16"/>
      <c r="O1847" s="16"/>
      <c r="P1847" s="16">
        <v>5</v>
      </c>
      <c r="Q1847" s="16">
        <v>25</v>
      </c>
      <c r="R1847" s="16">
        <v>50</v>
      </c>
      <c r="S1847" s="16">
        <v>80</v>
      </c>
      <c r="T1847" s="18" t="s">
        <v>5676</v>
      </c>
      <c r="U1847" s="283" t="s">
        <v>5735</v>
      </c>
      <c r="V1847" s="18" t="s">
        <v>6142</v>
      </c>
      <c r="W1847" s="18">
        <v>1</v>
      </c>
      <c r="X1847" s="18">
        <v>1</v>
      </c>
      <c r="Y1847" s="18">
        <v>1</v>
      </c>
      <c r="Z1847" s="18">
        <v>1</v>
      </c>
      <c r="AA1847" s="18">
        <v>1</v>
      </c>
      <c r="AB1847" s="18">
        <v>1</v>
      </c>
      <c r="AC1847" s="316">
        <v>1</v>
      </c>
      <c r="AD1847" s="316">
        <v>1</v>
      </c>
      <c r="AE1847" s="302">
        <v>1</v>
      </c>
      <c r="AF1847" s="259"/>
      <c r="AG1847" s="259">
        <v>0</v>
      </c>
      <c r="AH1847" s="259"/>
      <c r="AI1847" s="259">
        <v>0.45</v>
      </c>
      <c r="AJ1847" s="259">
        <v>2</v>
      </c>
      <c r="AK1847" s="260">
        <v>4</v>
      </c>
      <c r="AL1847" s="260">
        <v>7.2</v>
      </c>
      <c r="AM1847" s="259">
        <v>11.2</v>
      </c>
      <c r="AN1847" s="18" t="s">
        <v>5676</v>
      </c>
      <c r="AO1847" s="18" t="s">
        <v>5735</v>
      </c>
      <c r="AP1847" s="18"/>
    </row>
    <row r="1848" spans="1:42" x14ac:dyDescent="0.3">
      <c r="A1848" s="18" t="s">
        <v>1463</v>
      </c>
      <c r="B1848" s="18" t="s">
        <v>5664</v>
      </c>
      <c r="C1848" s="18" t="s">
        <v>1466</v>
      </c>
      <c r="D1848" s="18" t="s">
        <v>5940</v>
      </c>
      <c r="E1848" s="18" t="s">
        <v>1467</v>
      </c>
      <c r="F1848" s="18" t="s">
        <v>5941</v>
      </c>
      <c r="G1848" s="18" t="s">
        <v>6143</v>
      </c>
      <c r="H1848" s="157" t="s">
        <v>6144</v>
      </c>
      <c r="I1848" s="18"/>
      <c r="J1848" s="18"/>
      <c r="K1848" s="18" t="s">
        <v>6145</v>
      </c>
      <c r="L1848" s="18" t="s">
        <v>6146</v>
      </c>
      <c r="M1848" s="18" t="s">
        <v>6147</v>
      </c>
      <c r="N1848" s="16"/>
      <c r="O1848" s="16">
        <v>100</v>
      </c>
      <c r="P1848" s="16">
        <v>500</v>
      </c>
      <c r="Q1848" s="16">
        <v>2500</v>
      </c>
      <c r="R1848" s="16">
        <v>2500</v>
      </c>
      <c r="S1848" s="16">
        <v>2500</v>
      </c>
      <c r="T1848" s="18" t="s">
        <v>2172</v>
      </c>
      <c r="U1848" s="283" t="s">
        <v>2236</v>
      </c>
      <c r="V1848" s="18" t="s">
        <v>6148</v>
      </c>
      <c r="W1848" s="18">
        <v>1</v>
      </c>
      <c r="X1848" s="18">
        <v>1</v>
      </c>
      <c r="Y1848" s="18">
        <v>0</v>
      </c>
      <c r="Z1848" s="18">
        <v>1</v>
      </c>
      <c r="AA1848" s="18">
        <v>1</v>
      </c>
      <c r="AB1848" s="18">
        <v>1</v>
      </c>
      <c r="AC1848" s="316">
        <v>1</v>
      </c>
      <c r="AD1848" s="316">
        <v>1</v>
      </c>
      <c r="AE1848" s="302">
        <v>0.875</v>
      </c>
      <c r="AF1848" s="259"/>
      <c r="AG1848" s="259">
        <v>0</v>
      </c>
      <c r="AH1848" s="259">
        <v>0.63500000000000001</v>
      </c>
      <c r="AI1848" s="259">
        <v>5.09</v>
      </c>
      <c r="AJ1848" s="259">
        <v>5.0999999999999996</v>
      </c>
      <c r="AK1848" s="260">
        <v>5</v>
      </c>
      <c r="AL1848" s="260">
        <v>5</v>
      </c>
      <c r="AM1848" s="259">
        <v>10</v>
      </c>
      <c r="AN1848" s="18" t="s">
        <v>2234</v>
      </c>
      <c r="AO1848" s="18" t="s">
        <v>2236</v>
      </c>
      <c r="AP1848" s="18"/>
    </row>
    <row r="1849" spans="1:42" x14ac:dyDescent="0.3">
      <c r="A1849" s="18" t="s">
        <v>1463</v>
      </c>
      <c r="B1849" s="18" t="s">
        <v>5664</v>
      </c>
      <c r="C1849" s="18" t="s">
        <v>1466</v>
      </c>
      <c r="D1849" s="18" t="s">
        <v>5940</v>
      </c>
      <c r="E1849" s="18" t="s">
        <v>1467</v>
      </c>
      <c r="F1849" s="18" t="s">
        <v>5941</v>
      </c>
      <c r="G1849" s="18" t="s">
        <v>6143</v>
      </c>
      <c r="H1849" s="157" t="s">
        <v>6144</v>
      </c>
      <c r="I1849" s="18"/>
      <c r="J1849" s="18"/>
      <c r="K1849" s="18" t="s">
        <v>6145</v>
      </c>
      <c r="L1849" s="18" t="s">
        <v>6146</v>
      </c>
      <c r="M1849" s="18" t="s">
        <v>6149</v>
      </c>
      <c r="N1849" s="16"/>
      <c r="O1849" s="16">
        <v>2</v>
      </c>
      <c r="P1849" s="16">
        <v>10</v>
      </c>
      <c r="Q1849" s="16">
        <v>50</v>
      </c>
      <c r="R1849" s="16">
        <v>50</v>
      </c>
      <c r="S1849" s="16">
        <v>50</v>
      </c>
      <c r="T1849" s="18" t="s">
        <v>2172</v>
      </c>
      <c r="U1849" s="283" t="s">
        <v>2236</v>
      </c>
      <c r="V1849" s="18" t="s">
        <v>6150</v>
      </c>
      <c r="W1849" s="18">
        <v>1</v>
      </c>
      <c r="X1849" s="18">
        <v>1</v>
      </c>
      <c r="Y1849" s="18">
        <v>0</v>
      </c>
      <c r="Z1849" s="18">
        <v>1</v>
      </c>
      <c r="AA1849" s="18">
        <v>1</v>
      </c>
      <c r="AB1849" s="18">
        <v>1</v>
      </c>
      <c r="AC1849" s="316">
        <v>1</v>
      </c>
      <c r="AD1849" s="316">
        <v>1</v>
      </c>
      <c r="AE1849" s="302">
        <v>0.875</v>
      </c>
      <c r="AF1849" s="259"/>
      <c r="AG1849" s="259">
        <v>0</v>
      </c>
      <c r="AH1849" s="259">
        <v>0.56499999999999995</v>
      </c>
      <c r="AI1849" s="259">
        <v>3.5</v>
      </c>
      <c r="AJ1849" s="259">
        <v>4.4000000000000004</v>
      </c>
      <c r="AK1849" s="260">
        <v>4.5</v>
      </c>
      <c r="AL1849" s="260">
        <v>4.5</v>
      </c>
      <c r="AM1849" s="259">
        <v>9</v>
      </c>
      <c r="AN1849" s="18" t="s">
        <v>2234</v>
      </c>
      <c r="AO1849" s="18" t="s">
        <v>2236</v>
      </c>
      <c r="AP1849" s="18"/>
    </row>
    <row r="1850" spans="1:42" x14ac:dyDescent="0.3">
      <c r="A1850" s="18" t="s">
        <v>1463</v>
      </c>
      <c r="B1850" s="18" t="s">
        <v>5664</v>
      </c>
      <c r="C1850" s="18" t="s">
        <v>1466</v>
      </c>
      <c r="D1850" s="18" t="s">
        <v>5940</v>
      </c>
      <c r="E1850" s="18" t="s">
        <v>1467</v>
      </c>
      <c r="F1850" s="18" t="s">
        <v>5941</v>
      </c>
      <c r="G1850" s="18" t="s">
        <v>6151</v>
      </c>
      <c r="H1850" s="157" t="s">
        <v>6152</v>
      </c>
      <c r="I1850" s="18"/>
      <c r="J1850" s="18"/>
      <c r="K1850" s="18">
        <v>14330603</v>
      </c>
      <c r="L1850" s="18" t="s">
        <v>6153</v>
      </c>
      <c r="M1850" s="18" t="s">
        <v>6154</v>
      </c>
      <c r="N1850" s="16"/>
      <c r="O1850" s="16"/>
      <c r="P1850" s="16">
        <v>1</v>
      </c>
      <c r="Q1850" s="16"/>
      <c r="R1850" s="16"/>
      <c r="S1850" s="16"/>
      <c r="T1850" s="18" t="s">
        <v>2172</v>
      </c>
      <c r="U1850" s="283" t="s">
        <v>2236</v>
      </c>
      <c r="V1850" s="18" t="s">
        <v>6155</v>
      </c>
      <c r="W1850" s="18">
        <v>1</v>
      </c>
      <c r="X1850" s="18">
        <v>1</v>
      </c>
      <c r="Y1850" s="18">
        <v>1</v>
      </c>
      <c r="Z1850" s="18">
        <v>1</v>
      </c>
      <c r="AA1850" s="18">
        <v>1</v>
      </c>
      <c r="AB1850" s="18">
        <v>1</v>
      </c>
      <c r="AC1850" s="316">
        <v>1</v>
      </c>
      <c r="AD1850" s="316">
        <v>1</v>
      </c>
      <c r="AE1850" s="302">
        <v>1</v>
      </c>
      <c r="AF1850" s="259"/>
      <c r="AG1850" s="259">
        <v>0</v>
      </c>
      <c r="AH1850" s="259"/>
      <c r="AI1850" s="259">
        <v>1</v>
      </c>
      <c r="AJ1850" s="259"/>
      <c r="AK1850" s="260">
        <v>2.5</v>
      </c>
      <c r="AL1850" s="260"/>
      <c r="AM1850" s="259">
        <v>0</v>
      </c>
      <c r="AN1850" s="18" t="s">
        <v>2234</v>
      </c>
      <c r="AO1850" s="18" t="s">
        <v>2236</v>
      </c>
      <c r="AP1850" s="18"/>
    </row>
    <row r="1851" spans="1:42" x14ac:dyDescent="0.3">
      <c r="A1851" s="18" t="s">
        <v>1463</v>
      </c>
      <c r="B1851" s="18" t="s">
        <v>5664</v>
      </c>
      <c r="C1851" s="18" t="s">
        <v>1466</v>
      </c>
      <c r="D1851" s="18" t="s">
        <v>5940</v>
      </c>
      <c r="E1851" s="18" t="s">
        <v>1467</v>
      </c>
      <c r="F1851" s="18" t="s">
        <v>5941</v>
      </c>
      <c r="G1851" s="18" t="s">
        <v>6151</v>
      </c>
      <c r="H1851" s="157" t="s">
        <v>6152</v>
      </c>
      <c r="I1851" s="18"/>
      <c r="J1851" s="18"/>
      <c r="K1851" s="18">
        <v>14330604</v>
      </c>
      <c r="L1851" s="18" t="s">
        <v>6156</v>
      </c>
      <c r="M1851" s="18" t="s">
        <v>6157</v>
      </c>
      <c r="N1851" s="223"/>
      <c r="O1851" s="16">
        <v>60</v>
      </c>
      <c r="P1851" s="16">
        <v>60</v>
      </c>
      <c r="Q1851" s="16">
        <v>60</v>
      </c>
      <c r="R1851" s="16">
        <v>60</v>
      </c>
      <c r="S1851" s="16">
        <v>60</v>
      </c>
      <c r="T1851" s="18" t="s">
        <v>2172</v>
      </c>
      <c r="U1851" s="283" t="s">
        <v>2236</v>
      </c>
      <c r="V1851" s="18" t="s">
        <v>6158</v>
      </c>
      <c r="W1851" s="18">
        <v>1</v>
      </c>
      <c r="X1851" s="18">
        <v>1</v>
      </c>
      <c r="Y1851" s="18">
        <v>0</v>
      </c>
      <c r="Z1851" s="18">
        <v>1</v>
      </c>
      <c r="AA1851" s="18">
        <v>1</v>
      </c>
      <c r="AB1851" s="18">
        <v>0</v>
      </c>
      <c r="AC1851" s="316">
        <v>1</v>
      </c>
      <c r="AD1851" s="316">
        <v>1</v>
      </c>
      <c r="AE1851" s="302">
        <v>0.75</v>
      </c>
      <c r="AF1851" s="259"/>
      <c r="AG1851" s="259">
        <v>0</v>
      </c>
      <c r="AH1851" s="259">
        <v>0.12</v>
      </c>
      <c r="AI1851" s="259">
        <v>0.12</v>
      </c>
      <c r="AJ1851" s="259">
        <v>0.12</v>
      </c>
      <c r="AK1851" s="260">
        <v>0.12</v>
      </c>
      <c r="AL1851" s="260">
        <v>0.12</v>
      </c>
      <c r="AM1851" s="259">
        <v>0.24</v>
      </c>
      <c r="AN1851" s="18" t="s">
        <v>2234</v>
      </c>
      <c r="AO1851" s="18" t="s">
        <v>2236</v>
      </c>
      <c r="AP1851" s="18"/>
    </row>
    <row r="1852" spans="1:42" x14ac:dyDescent="0.3">
      <c r="A1852" s="18" t="s">
        <v>1463</v>
      </c>
      <c r="B1852" s="18" t="s">
        <v>5664</v>
      </c>
      <c r="C1852" s="18" t="s">
        <v>1466</v>
      </c>
      <c r="D1852" s="18" t="s">
        <v>5940</v>
      </c>
      <c r="E1852" s="18" t="s">
        <v>1467</v>
      </c>
      <c r="F1852" s="18" t="s">
        <v>5941</v>
      </c>
      <c r="G1852" s="18" t="s">
        <v>6151</v>
      </c>
      <c r="H1852" s="157" t="s">
        <v>6152</v>
      </c>
      <c r="I1852" s="18"/>
      <c r="J1852" s="18"/>
      <c r="K1852" s="18">
        <v>14330604</v>
      </c>
      <c r="L1852" s="18" t="s">
        <v>6156</v>
      </c>
      <c r="M1852" s="18" t="s">
        <v>6159</v>
      </c>
      <c r="N1852" s="223"/>
      <c r="O1852" s="16">
        <v>70</v>
      </c>
      <c r="P1852" s="16">
        <v>70</v>
      </c>
      <c r="Q1852" s="16">
        <v>70</v>
      </c>
      <c r="R1852" s="16">
        <v>70</v>
      </c>
      <c r="S1852" s="16">
        <v>70</v>
      </c>
      <c r="T1852" s="18" t="s">
        <v>2172</v>
      </c>
      <c r="U1852" s="283" t="s">
        <v>2236</v>
      </c>
      <c r="V1852" s="18" t="s">
        <v>6160</v>
      </c>
      <c r="W1852" s="18">
        <v>1</v>
      </c>
      <c r="X1852" s="18">
        <v>1</v>
      </c>
      <c r="Y1852" s="18">
        <v>1</v>
      </c>
      <c r="Z1852" s="18">
        <v>1</v>
      </c>
      <c r="AA1852" s="18">
        <v>1</v>
      </c>
      <c r="AB1852" s="18">
        <v>1</v>
      </c>
      <c r="AC1852" s="316">
        <v>1</v>
      </c>
      <c r="AD1852" s="316">
        <v>1</v>
      </c>
      <c r="AE1852" s="302">
        <v>1</v>
      </c>
      <c r="AF1852" s="259"/>
      <c r="AG1852" s="259">
        <v>0</v>
      </c>
      <c r="AH1852" s="259">
        <v>0.05</v>
      </c>
      <c r="AI1852" s="259">
        <v>0.05</v>
      </c>
      <c r="AJ1852" s="259">
        <v>0.05</v>
      </c>
      <c r="AK1852" s="260">
        <v>0.05</v>
      </c>
      <c r="AL1852" s="260">
        <v>0.05</v>
      </c>
      <c r="AM1852" s="259">
        <v>0.1</v>
      </c>
      <c r="AN1852" s="18" t="s">
        <v>2234</v>
      </c>
      <c r="AO1852" s="18" t="s">
        <v>2236</v>
      </c>
      <c r="AP1852" s="18"/>
    </row>
    <row r="1853" spans="1:42" x14ac:dyDescent="0.3">
      <c r="A1853" s="18" t="s">
        <v>1463</v>
      </c>
      <c r="B1853" s="18" t="s">
        <v>5664</v>
      </c>
      <c r="C1853" s="18" t="s">
        <v>1466</v>
      </c>
      <c r="D1853" s="18" t="s">
        <v>5940</v>
      </c>
      <c r="E1853" s="18" t="s">
        <v>1467</v>
      </c>
      <c r="F1853" s="18" t="s">
        <v>5941</v>
      </c>
      <c r="G1853" s="18" t="s">
        <v>6151</v>
      </c>
      <c r="H1853" s="157" t="s">
        <v>6152</v>
      </c>
      <c r="I1853" s="18"/>
      <c r="J1853" s="18"/>
      <c r="K1853" s="18">
        <v>14330604</v>
      </c>
      <c r="L1853" s="18" t="s">
        <v>6156</v>
      </c>
      <c r="M1853" s="18" t="s">
        <v>6161</v>
      </c>
      <c r="N1853" s="223"/>
      <c r="O1853" s="16">
        <v>100</v>
      </c>
      <c r="P1853" s="16">
        <v>100</v>
      </c>
      <c r="Q1853" s="16">
        <v>100</v>
      </c>
      <c r="R1853" s="16">
        <v>100</v>
      </c>
      <c r="S1853" s="16">
        <v>100</v>
      </c>
      <c r="T1853" s="18" t="s">
        <v>2172</v>
      </c>
      <c r="U1853" s="283" t="s">
        <v>2236</v>
      </c>
      <c r="V1853" s="18" t="s">
        <v>6162</v>
      </c>
      <c r="W1853" s="18">
        <v>1</v>
      </c>
      <c r="X1853" s="18">
        <v>1</v>
      </c>
      <c r="Y1853" s="18">
        <v>0</v>
      </c>
      <c r="Z1853" s="18">
        <v>1</v>
      </c>
      <c r="AA1853" s="18">
        <v>1</v>
      </c>
      <c r="AB1853" s="18">
        <v>1</v>
      </c>
      <c r="AC1853" s="316">
        <v>1</v>
      </c>
      <c r="AD1853" s="316">
        <v>1</v>
      </c>
      <c r="AE1853" s="302">
        <v>0.875</v>
      </c>
      <c r="AF1853" s="259"/>
      <c r="AG1853" s="259">
        <v>0</v>
      </c>
      <c r="AH1853" s="259">
        <v>0.03</v>
      </c>
      <c r="AI1853" s="259">
        <v>0.03</v>
      </c>
      <c r="AJ1853" s="259">
        <v>0.03</v>
      </c>
      <c r="AK1853" s="260">
        <v>0.03</v>
      </c>
      <c r="AL1853" s="260">
        <v>0.03</v>
      </c>
      <c r="AM1853" s="259">
        <v>0.06</v>
      </c>
      <c r="AN1853" s="18" t="s">
        <v>2234</v>
      </c>
      <c r="AO1853" s="18" t="s">
        <v>2236</v>
      </c>
      <c r="AP1853" s="18"/>
    </row>
    <row r="1854" spans="1:42" x14ac:dyDescent="0.3">
      <c r="A1854" s="18" t="s">
        <v>1463</v>
      </c>
      <c r="B1854" s="18" t="s">
        <v>5664</v>
      </c>
      <c r="C1854" s="18" t="s">
        <v>1466</v>
      </c>
      <c r="D1854" s="18" t="s">
        <v>5940</v>
      </c>
      <c r="E1854" s="18" t="s">
        <v>1467</v>
      </c>
      <c r="F1854" s="18" t="s">
        <v>5941</v>
      </c>
      <c r="G1854" s="18" t="s">
        <v>6151</v>
      </c>
      <c r="H1854" s="157" t="s">
        <v>6152</v>
      </c>
      <c r="I1854" s="18"/>
      <c r="J1854" s="18"/>
      <c r="K1854" s="18">
        <v>14330604</v>
      </c>
      <c r="L1854" s="18" t="s">
        <v>6156</v>
      </c>
      <c r="M1854" s="18" t="s">
        <v>6163</v>
      </c>
      <c r="N1854" s="223"/>
      <c r="O1854" s="16">
        <v>100</v>
      </c>
      <c r="P1854" s="16">
        <v>100</v>
      </c>
      <c r="Q1854" s="16">
        <v>100</v>
      </c>
      <c r="R1854" s="16">
        <v>100</v>
      </c>
      <c r="S1854" s="16">
        <v>100</v>
      </c>
      <c r="T1854" s="18" t="s">
        <v>2172</v>
      </c>
      <c r="U1854" s="283" t="s">
        <v>2236</v>
      </c>
      <c r="V1854" s="18" t="s">
        <v>6164</v>
      </c>
      <c r="W1854" s="18">
        <v>1</v>
      </c>
      <c r="X1854" s="18">
        <v>1</v>
      </c>
      <c r="Y1854" s="18">
        <v>0</v>
      </c>
      <c r="Z1854" s="18">
        <v>1</v>
      </c>
      <c r="AA1854" s="18">
        <v>1</v>
      </c>
      <c r="AB1854" s="18">
        <v>1</v>
      </c>
      <c r="AC1854" s="316">
        <v>1</v>
      </c>
      <c r="AD1854" s="316">
        <v>1</v>
      </c>
      <c r="AE1854" s="302">
        <v>0.875</v>
      </c>
      <c r="AF1854" s="259"/>
      <c r="AG1854" s="259">
        <v>0</v>
      </c>
      <c r="AH1854" s="259">
        <v>0.05</v>
      </c>
      <c r="AI1854" s="259">
        <v>0.05</v>
      </c>
      <c r="AJ1854" s="259">
        <v>0.05</v>
      </c>
      <c r="AK1854" s="260">
        <v>0.05</v>
      </c>
      <c r="AL1854" s="260">
        <v>0.05</v>
      </c>
      <c r="AM1854" s="259">
        <v>0.1</v>
      </c>
      <c r="AN1854" s="18" t="s">
        <v>2234</v>
      </c>
      <c r="AO1854" s="18" t="s">
        <v>2236</v>
      </c>
      <c r="AP1854" s="18"/>
    </row>
    <row r="1855" spans="1:42" x14ac:dyDescent="0.3">
      <c r="A1855" s="18" t="s">
        <v>1463</v>
      </c>
      <c r="B1855" s="18" t="s">
        <v>5664</v>
      </c>
      <c r="C1855" s="18" t="s">
        <v>1466</v>
      </c>
      <c r="D1855" s="18" t="s">
        <v>5940</v>
      </c>
      <c r="E1855" s="18" t="s">
        <v>1467</v>
      </c>
      <c r="F1855" s="18" t="s">
        <v>5941</v>
      </c>
      <c r="G1855" s="18" t="s">
        <v>6151</v>
      </c>
      <c r="H1855" s="157" t="s">
        <v>6152</v>
      </c>
      <c r="I1855" s="18"/>
      <c r="J1855" s="18"/>
      <c r="K1855" s="18">
        <v>14330605</v>
      </c>
      <c r="L1855" s="18" t="s">
        <v>6165</v>
      </c>
      <c r="M1855" s="18" t="s">
        <v>6166</v>
      </c>
      <c r="N1855" s="223"/>
      <c r="O1855" s="16"/>
      <c r="P1855" s="16">
        <v>1</v>
      </c>
      <c r="Q1855" s="16"/>
      <c r="R1855" s="16"/>
      <c r="S1855" s="16"/>
      <c r="T1855" s="18" t="s">
        <v>2172</v>
      </c>
      <c r="U1855" s="283" t="s">
        <v>2236</v>
      </c>
      <c r="V1855" s="18" t="s">
        <v>6167</v>
      </c>
      <c r="W1855" s="18">
        <v>1</v>
      </c>
      <c r="X1855" s="18">
        <v>1</v>
      </c>
      <c r="Y1855" s="18">
        <v>1</v>
      </c>
      <c r="Z1855" s="18">
        <v>1</v>
      </c>
      <c r="AA1855" s="18">
        <v>1</v>
      </c>
      <c r="AB1855" s="18">
        <v>1</v>
      </c>
      <c r="AC1855" s="316">
        <v>1</v>
      </c>
      <c r="AD1855" s="316">
        <v>1</v>
      </c>
      <c r="AE1855" s="302">
        <v>1</v>
      </c>
      <c r="AF1855" s="259"/>
      <c r="AG1855" s="259">
        <v>0</v>
      </c>
      <c r="AH1855" s="259"/>
      <c r="AI1855" s="259">
        <v>0.05</v>
      </c>
      <c r="AJ1855" s="259"/>
      <c r="AK1855" s="260"/>
      <c r="AL1855" s="260"/>
      <c r="AM1855" s="259">
        <v>0</v>
      </c>
      <c r="AN1855" s="18" t="s">
        <v>2234</v>
      </c>
      <c r="AO1855" s="18" t="s">
        <v>2236</v>
      </c>
      <c r="AP1855" s="18"/>
    </row>
    <row r="1856" spans="1:42" x14ac:dyDescent="0.3">
      <c r="A1856" s="18" t="s">
        <v>1463</v>
      </c>
      <c r="B1856" s="18" t="s">
        <v>5664</v>
      </c>
      <c r="C1856" s="18" t="s">
        <v>1466</v>
      </c>
      <c r="D1856" s="18" t="s">
        <v>5940</v>
      </c>
      <c r="E1856" s="18" t="s">
        <v>1467</v>
      </c>
      <c r="F1856" s="18" t="s">
        <v>5941</v>
      </c>
      <c r="G1856" s="18" t="s">
        <v>6151</v>
      </c>
      <c r="H1856" s="157" t="s">
        <v>6152</v>
      </c>
      <c r="I1856" s="18"/>
      <c r="J1856" s="18"/>
      <c r="K1856" s="18">
        <v>14330607</v>
      </c>
      <c r="L1856" s="18" t="s">
        <v>6168</v>
      </c>
      <c r="M1856" s="18" t="s">
        <v>6169</v>
      </c>
      <c r="N1856" s="223"/>
      <c r="O1856" s="16">
        <v>50</v>
      </c>
      <c r="P1856" s="16">
        <v>50</v>
      </c>
      <c r="Q1856" s="16">
        <v>50</v>
      </c>
      <c r="R1856" s="16">
        <v>50</v>
      </c>
      <c r="S1856" s="16">
        <v>50</v>
      </c>
      <c r="T1856" s="18" t="s">
        <v>2172</v>
      </c>
      <c r="U1856" s="283" t="s">
        <v>2236</v>
      </c>
      <c r="V1856" s="18" t="s">
        <v>6170</v>
      </c>
      <c r="W1856" s="18">
        <v>1</v>
      </c>
      <c r="X1856" s="18">
        <v>1</v>
      </c>
      <c r="Y1856" s="18">
        <v>0</v>
      </c>
      <c r="Z1856" s="18">
        <v>1</v>
      </c>
      <c r="AA1856" s="18">
        <v>1</v>
      </c>
      <c r="AB1856" s="18">
        <v>0</v>
      </c>
      <c r="AC1856" s="316">
        <v>1</v>
      </c>
      <c r="AD1856" s="316">
        <v>1</v>
      </c>
      <c r="AE1856" s="302">
        <v>0.75</v>
      </c>
      <c r="AF1856" s="259"/>
      <c r="AG1856" s="259">
        <v>0</v>
      </c>
      <c r="AH1856" s="259">
        <v>7.0000000000000007E-2</v>
      </c>
      <c r="AI1856" s="259">
        <v>7.3999999999999996E-2</v>
      </c>
      <c r="AJ1856" s="259">
        <v>7.0000000000000007E-2</v>
      </c>
      <c r="AK1856" s="260">
        <v>0.1</v>
      </c>
      <c r="AL1856" s="260">
        <v>7.3999999999999996E-2</v>
      </c>
      <c r="AM1856" s="259">
        <v>0.14400000000000002</v>
      </c>
      <c r="AN1856" s="18" t="s">
        <v>2234</v>
      </c>
      <c r="AO1856" s="18" t="s">
        <v>2236</v>
      </c>
      <c r="AP1856" s="18"/>
    </row>
    <row r="1857" spans="1:42" x14ac:dyDescent="0.3">
      <c r="A1857" s="18" t="s">
        <v>1463</v>
      </c>
      <c r="B1857" s="18" t="s">
        <v>5664</v>
      </c>
      <c r="C1857" s="18" t="s">
        <v>1466</v>
      </c>
      <c r="D1857" s="18" t="s">
        <v>5940</v>
      </c>
      <c r="E1857" s="18" t="s">
        <v>1467</v>
      </c>
      <c r="F1857" s="18" t="s">
        <v>5941</v>
      </c>
      <c r="G1857" s="18" t="s">
        <v>6151</v>
      </c>
      <c r="H1857" s="157" t="s">
        <v>6152</v>
      </c>
      <c r="I1857" s="18"/>
      <c r="J1857" s="18"/>
      <c r="K1857" s="18">
        <v>14330608</v>
      </c>
      <c r="L1857" s="18" t="s">
        <v>6171</v>
      </c>
      <c r="M1857" s="18" t="s">
        <v>6172</v>
      </c>
      <c r="N1857" s="223"/>
      <c r="O1857" s="16">
        <v>2</v>
      </c>
      <c r="P1857" s="16">
        <v>2</v>
      </c>
      <c r="Q1857" s="16">
        <v>2</v>
      </c>
      <c r="R1857" s="16">
        <v>2</v>
      </c>
      <c r="S1857" s="16">
        <v>2</v>
      </c>
      <c r="T1857" s="18" t="s">
        <v>5829</v>
      </c>
      <c r="U1857" s="283" t="s">
        <v>5839</v>
      </c>
      <c r="V1857" s="18" t="s">
        <v>6173</v>
      </c>
      <c r="W1857" s="18">
        <v>1</v>
      </c>
      <c r="X1857" s="18">
        <v>1</v>
      </c>
      <c r="Y1857" s="18">
        <v>1</v>
      </c>
      <c r="Z1857" s="18">
        <v>1</v>
      </c>
      <c r="AA1857" s="18">
        <v>1</v>
      </c>
      <c r="AB1857" s="18">
        <v>1</v>
      </c>
      <c r="AC1857" s="316">
        <v>1</v>
      </c>
      <c r="AD1857" s="316">
        <v>1</v>
      </c>
      <c r="AE1857" s="302">
        <v>1</v>
      </c>
      <c r="AF1857" s="259"/>
      <c r="AG1857" s="259">
        <v>0</v>
      </c>
      <c r="AH1857" s="259">
        <v>0.5</v>
      </c>
      <c r="AI1857" s="259">
        <v>0.5</v>
      </c>
      <c r="AJ1857" s="259">
        <v>0.5</v>
      </c>
      <c r="AK1857" s="260">
        <v>0.5</v>
      </c>
      <c r="AL1857" s="260">
        <v>0.5</v>
      </c>
      <c r="AM1857" s="259">
        <v>1</v>
      </c>
      <c r="AN1857" s="18" t="s">
        <v>5829</v>
      </c>
      <c r="AO1857" s="283" t="s">
        <v>5830</v>
      </c>
      <c r="AP1857" s="18"/>
    </row>
    <row r="1858" spans="1:42" s="10" customFormat="1" x14ac:dyDescent="0.3">
      <c r="A1858" s="18" t="s">
        <v>1463</v>
      </c>
      <c r="B1858" s="18" t="s">
        <v>5664</v>
      </c>
      <c r="C1858" s="18" t="s">
        <v>1466</v>
      </c>
      <c r="D1858" s="18" t="s">
        <v>5940</v>
      </c>
      <c r="E1858" s="18" t="s">
        <v>1467</v>
      </c>
      <c r="F1858" s="18" t="s">
        <v>5941</v>
      </c>
      <c r="G1858" s="18" t="s">
        <v>6151</v>
      </c>
      <c r="H1858" s="157" t="s">
        <v>6152</v>
      </c>
      <c r="I1858" s="18"/>
      <c r="J1858" s="18"/>
      <c r="K1858" s="18">
        <v>14330608</v>
      </c>
      <c r="L1858" s="18" t="s">
        <v>6171</v>
      </c>
      <c r="M1858" s="18" t="s">
        <v>6174</v>
      </c>
      <c r="N1858" s="267">
        <v>0.4</v>
      </c>
      <c r="O1858" s="16">
        <v>45</v>
      </c>
      <c r="P1858" s="16">
        <v>50</v>
      </c>
      <c r="Q1858" s="16">
        <v>55</v>
      </c>
      <c r="R1858" s="16">
        <v>65</v>
      </c>
      <c r="S1858" s="16">
        <v>70</v>
      </c>
      <c r="T1858" s="18" t="s">
        <v>5829</v>
      </c>
      <c r="U1858" s="283" t="s">
        <v>5839</v>
      </c>
      <c r="V1858" s="18" t="s">
        <v>6175</v>
      </c>
      <c r="W1858" s="18">
        <v>1</v>
      </c>
      <c r="X1858" s="18">
        <v>1</v>
      </c>
      <c r="Y1858" s="18">
        <v>0</v>
      </c>
      <c r="Z1858" s="18">
        <v>1</v>
      </c>
      <c r="AA1858" s="18">
        <v>1</v>
      </c>
      <c r="AB1858" s="18">
        <v>0</v>
      </c>
      <c r="AC1858" s="316">
        <v>1</v>
      </c>
      <c r="AD1858" s="316">
        <v>1</v>
      </c>
      <c r="AE1858" s="302">
        <v>0.75</v>
      </c>
      <c r="AF1858" s="259"/>
      <c r="AG1858" s="259">
        <v>0</v>
      </c>
      <c r="AH1858" s="259">
        <v>0.1</v>
      </c>
      <c r="AI1858" s="259">
        <v>0.1</v>
      </c>
      <c r="AJ1858" s="259">
        <v>0.1</v>
      </c>
      <c r="AK1858" s="260">
        <v>0.1</v>
      </c>
      <c r="AL1858" s="260">
        <v>0.1</v>
      </c>
      <c r="AM1858" s="259">
        <v>0.1</v>
      </c>
      <c r="AN1858" s="18" t="s">
        <v>5829</v>
      </c>
      <c r="AO1858" s="283" t="s">
        <v>5830</v>
      </c>
      <c r="AP1858" s="18"/>
    </row>
    <row r="1859" spans="1:42" s="10" customFormat="1" x14ac:dyDescent="0.3">
      <c r="A1859" s="18" t="s">
        <v>1463</v>
      </c>
      <c r="B1859" s="18" t="s">
        <v>5664</v>
      </c>
      <c r="C1859" s="18" t="s">
        <v>1466</v>
      </c>
      <c r="D1859" s="18" t="s">
        <v>5940</v>
      </c>
      <c r="E1859" s="18" t="s">
        <v>1467</v>
      </c>
      <c r="F1859" s="18" t="s">
        <v>5941</v>
      </c>
      <c r="G1859" s="18" t="s">
        <v>6151</v>
      </c>
      <c r="H1859" s="157" t="s">
        <v>6152</v>
      </c>
      <c r="I1859" s="18"/>
      <c r="J1859" s="18"/>
      <c r="K1859" s="18">
        <v>14330609</v>
      </c>
      <c r="L1859" s="18" t="s">
        <v>6176</v>
      </c>
      <c r="M1859" s="18" t="s">
        <v>6177</v>
      </c>
      <c r="N1859" s="223"/>
      <c r="O1859" s="16">
        <v>15</v>
      </c>
      <c r="P1859" s="16">
        <v>20</v>
      </c>
      <c r="Q1859" s="16">
        <v>35</v>
      </c>
      <c r="R1859" s="16">
        <v>55</v>
      </c>
      <c r="S1859" s="16">
        <v>80</v>
      </c>
      <c r="T1859" s="18" t="s">
        <v>5829</v>
      </c>
      <c r="U1859" s="283" t="s">
        <v>5839</v>
      </c>
      <c r="V1859" s="18" t="s">
        <v>6178</v>
      </c>
      <c r="W1859" s="18">
        <v>1</v>
      </c>
      <c r="X1859" s="18">
        <v>1</v>
      </c>
      <c r="Y1859" s="18">
        <v>0</v>
      </c>
      <c r="Z1859" s="18">
        <v>1</v>
      </c>
      <c r="AA1859" s="18">
        <v>1</v>
      </c>
      <c r="AB1859" s="18">
        <v>0</v>
      </c>
      <c r="AC1859" s="316">
        <v>1</v>
      </c>
      <c r="AD1859" s="316">
        <v>1</v>
      </c>
      <c r="AE1859" s="302">
        <v>0.75</v>
      </c>
      <c r="AF1859" s="259"/>
      <c r="AG1859" s="259">
        <v>0</v>
      </c>
      <c r="AH1859" s="259">
        <v>1</v>
      </c>
      <c r="AI1859" s="259">
        <v>1</v>
      </c>
      <c r="AJ1859" s="259">
        <v>1</v>
      </c>
      <c r="AK1859" s="260">
        <v>1</v>
      </c>
      <c r="AL1859" s="260">
        <v>1</v>
      </c>
      <c r="AM1859" s="259">
        <v>1</v>
      </c>
      <c r="AN1859" s="18" t="s">
        <v>5829</v>
      </c>
      <c r="AO1859" s="283" t="s">
        <v>5830</v>
      </c>
      <c r="AP1859" s="18"/>
    </row>
    <row r="1860" spans="1:42" x14ac:dyDescent="0.3">
      <c r="A1860" s="18" t="s">
        <v>1463</v>
      </c>
      <c r="B1860" s="18" t="s">
        <v>5664</v>
      </c>
      <c r="C1860" s="18" t="s">
        <v>1466</v>
      </c>
      <c r="D1860" s="18" t="s">
        <v>5940</v>
      </c>
      <c r="E1860" s="18" t="s">
        <v>1467</v>
      </c>
      <c r="F1860" s="18" t="s">
        <v>5941</v>
      </c>
      <c r="G1860" s="18" t="s">
        <v>6151</v>
      </c>
      <c r="H1860" s="157" t="s">
        <v>6152</v>
      </c>
      <c r="I1860" s="18"/>
      <c r="J1860" s="18"/>
      <c r="K1860" s="18">
        <v>14330610</v>
      </c>
      <c r="L1860" s="18" t="s">
        <v>6179</v>
      </c>
      <c r="M1860" s="18" t="s">
        <v>6180</v>
      </c>
      <c r="N1860" s="223"/>
      <c r="O1860" s="16">
        <v>1</v>
      </c>
      <c r="P1860" s="16">
        <v>1</v>
      </c>
      <c r="Q1860" s="16">
        <v>1</v>
      </c>
      <c r="R1860" s="16">
        <v>1</v>
      </c>
      <c r="S1860" s="16">
        <v>1</v>
      </c>
      <c r="T1860" s="18" t="s">
        <v>6181</v>
      </c>
      <c r="U1860" s="283" t="e">
        <v>#N/A</v>
      </c>
      <c r="V1860" s="18" t="s">
        <v>6182</v>
      </c>
      <c r="W1860" s="18">
        <v>1</v>
      </c>
      <c r="X1860" s="18">
        <v>1</v>
      </c>
      <c r="Y1860" s="18">
        <v>0</v>
      </c>
      <c r="Z1860" s="18">
        <v>1</v>
      </c>
      <c r="AA1860" s="18">
        <v>1</v>
      </c>
      <c r="AB1860" s="18">
        <v>0</v>
      </c>
      <c r="AC1860" s="316">
        <v>1</v>
      </c>
      <c r="AD1860" s="316">
        <v>1</v>
      </c>
      <c r="AE1860" s="302">
        <v>0.75</v>
      </c>
      <c r="AF1860" s="259"/>
      <c r="AG1860" s="259">
        <v>0</v>
      </c>
      <c r="AH1860" s="259"/>
      <c r="AI1860" s="259"/>
      <c r="AJ1860" s="259"/>
      <c r="AK1860" s="260"/>
      <c r="AL1860" s="260"/>
      <c r="AM1860" s="259">
        <v>0</v>
      </c>
      <c r="AN1860" s="18" t="s">
        <v>2234</v>
      </c>
      <c r="AO1860" s="18" t="s">
        <v>2236</v>
      </c>
      <c r="AP1860" s="18"/>
    </row>
    <row r="1861" spans="1:42" x14ac:dyDescent="0.3">
      <c r="A1861" s="18" t="s">
        <v>1463</v>
      </c>
      <c r="B1861" s="18" t="s">
        <v>5664</v>
      </c>
      <c r="C1861" s="18" t="s">
        <v>1466</v>
      </c>
      <c r="D1861" s="18" t="s">
        <v>5940</v>
      </c>
      <c r="E1861" s="18" t="s">
        <v>1467</v>
      </c>
      <c r="F1861" s="18" t="s">
        <v>5941</v>
      </c>
      <c r="G1861" s="18" t="s">
        <v>6183</v>
      </c>
      <c r="H1861" s="157" t="s">
        <v>6184</v>
      </c>
      <c r="I1861" s="18" t="s">
        <v>6185</v>
      </c>
      <c r="J1861" s="18" t="s">
        <v>6186</v>
      </c>
      <c r="K1861" s="18" t="s">
        <v>6187</v>
      </c>
      <c r="L1861" s="18" t="s">
        <v>6188</v>
      </c>
      <c r="M1861" s="18" t="s">
        <v>6189</v>
      </c>
      <c r="N1861" s="16"/>
      <c r="O1861" s="16">
        <v>2</v>
      </c>
      <c r="P1861" s="16">
        <v>2</v>
      </c>
      <c r="Q1861" s="16">
        <v>2</v>
      </c>
      <c r="R1861" s="16">
        <v>2</v>
      </c>
      <c r="S1861" s="16">
        <v>2</v>
      </c>
      <c r="T1861" s="18" t="s">
        <v>6190</v>
      </c>
      <c r="U1861" s="283" t="e">
        <v>#N/A</v>
      </c>
      <c r="V1861" s="18" t="s">
        <v>6191</v>
      </c>
      <c r="W1861" s="18">
        <v>1</v>
      </c>
      <c r="X1861" s="18">
        <v>1</v>
      </c>
      <c r="Y1861" s="18">
        <v>1</v>
      </c>
      <c r="Z1861" s="18">
        <v>1</v>
      </c>
      <c r="AA1861" s="18">
        <v>1</v>
      </c>
      <c r="AB1861" s="18">
        <v>0</v>
      </c>
      <c r="AC1861" s="316">
        <v>1</v>
      </c>
      <c r="AD1861" s="316">
        <v>1</v>
      </c>
      <c r="AE1861" s="302">
        <v>0.875</v>
      </c>
      <c r="AF1861" s="259"/>
      <c r="AG1861" s="259">
        <v>0</v>
      </c>
      <c r="AH1861" s="259"/>
      <c r="AI1861" s="259">
        <v>0.3</v>
      </c>
      <c r="AJ1861" s="259">
        <v>0.3</v>
      </c>
      <c r="AK1861" s="260">
        <v>0.3</v>
      </c>
      <c r="AL1861" s="260">
        <v>0.3</v>
      </c>
      <c r="AM1861" s="259">
        <v>0.6</v>
      </c>
      <c r="AN1861" s="18" t="s">
        <v>2234</v>
      </c>
      <c r="AO1861" s="18" t="s">
        <v>2236</v>
      </c>
      <c r="AP1861" s="18"/>
    </row>
    <row r="1862" spans="1:42" x14ac:dyDescent="0.3">
      <c r="A1862" s="18" t="s">
        <v>1463</v>
      </c>
      <c r="B1862" s="18" t="s">
        <v>5664</v>
      </c>
      <c r="C1862" s="18" t="s">
        <v>1466</v>
      </c>
      <c r="D1862" s="18" t="s">
        <v>5940</v>
      </c>
      <c r="E1862" s="18" t="s">
        <v>1467</v>
      </c>
      <c r="F1862" s="18" t="s">
        <v>5941</v>
      </c>
      <c r="G1862" s="18" t="s">
        <v>6183</v>
      </c>
      <c r="H1862" s="157" t="s">
        <v>6184</v>
      </c>
      <c r="I1862" s="18" t="s">
        <v>6185</v>
      </c>
      <c r="J1862" s="18" t="s">
        <v>6186</v>
      </c>
      <c r="K1862" s="18" t="s">
        <v>6187</v>
      </c>
      <c r="L1862" s="18" t="s">
        <v>6188</v>
      </c>
      <c r="M1862" s="18" t="s">
        <v>6192</v>
      </c>
      <c r="N1862" s="16"/>
      <c r="O1862" s="16">
        <v>100</v>
      </c>
      <c r="P1862" s="16">
        <v>100</v>
      </c>
      <c r="Q1862" s="16">
        <v>100</v>
      </c>
      <c r="R1862" s="16">
        <v>100</v>
      </c>
      <c r="S1862" s="16">
        <v>100</v>
      </c>
      <c r="T1862" s="18" t="s">
        <v>6190</v>
      </c>
      <c r="U1862" s="283" t="e">
        <v>#N/A</v>
      </c>
      <c r="V1862" s="18" t="s">
        <v>6193</v>
      </c>
      <c r="W1862" s="18">
        <v>1</v>
      </c>
      <c r="X1862" s="18">
        <v>1</v>
      </c>
      <c r="Y1862" s="18">
        <v>1</v>
      </c>
      <c r="Z1862" s="18">
        <v>1</v>
      </c>
      <c r="AA1862" s="18">
        <v>1</v>
      </c>
      <c r="AB1862" s="18">
        <v>0</v>
      </c>
      <c r="AC1862" s="316">
        <v>1</v>
      </c>
      <c r="AD1862" s="316">
        <v>1</v>
      </c>
      <c r="AE1862" s="302">
        <v>0.875</v>
      </c>
      <c r="AF1862" s="259"/>
      <c r="AG1862" s="259">
        <v>0</v>
      </c>
      <c r="AH1862" s="259"/>
      <c r="AI1862" s="259"/>
      <c r="AJ1862" s="259"/>
      <c r="AK1862" s="260"/>
      <c r="AL1862" s="260"/>
      <c r="AM1862" s="259">
        <v>0</v>
      </c>
      <c r="AN1862" s="18" t="s">
        <v>6194</v>
      </c>
      <c r="AO1862" s="18" t="s">
        <v>729</v>
      </c>
      <c r="AP1862" s="18"/>
    </row>
    <row r="1863" spans="1:42" x14ac:dyDescent="0.3">
      <c r="A1863" s="18" t="s">
        <v>1463</v>
      </c>
      <c r="B1863" s="18" t="s">
        <v>5664</v>
      </c>
      <c r="C1863" s="18" t="s">
        <v>1466</v>
      </c>
      <c r="D1863" s="18" t="s">
        <v>5940</v>
      </c>
      <c r="E1863" s="18" t="s">
        <v>1467</v>
      </c>
      <c r="F1863" s="18" t="s">
        <v>5941</v>
      </c>
      <c r="G1863" s="18" t="s">
        <v>6183</v>
      </c>
      <c r="H1863" s="157" t="s">
        <v>6184</v>
      </c>
      <c r="I1863" s="18" t="s">
        <v>6195</v>
      </c>
      <c r="J1863" s="18" t="s">
        <v>6196</v>
      </c>
      <c r="K1863" s="18" t="s">
        <v>6197</v>
      </c>
      <c r="L1863" s="18" t="s">
        <v>6198</v>
      </c>
      <c r="M1863" s="18" t="s">
        <v>6199</v>
      </c>
      <c r="N1863" s="16">
        <v>0</v>
      </c>
      <c r="O1863" s="16">
        <v>0</v>
      </c>
      <c r="P1863" s="16">
        <v>1</v>
      </c>
      <c r="Q1863" s="16">
        <v>0</v>
      </c>
      <c r="R1863" s="16">
        <v>0</v>
      </c>
      <c r="S1863" s="16">
        <v>0</v>
      </c>
      <c r="T1863" s="18" t="s">
        <v>2172</v>
      </c>
      <c r="U1863" s="283" t="s">
        <v>2236</v>
      </c>
      <c r="V1863" s="18" t="s">
        <v>6200</v>
      </c>
      <c r="W1863" s="18">
        <v>1</v>
      </c>
      <c r="X1863" s="18">
        <v>1</v>
      </c>
      <c r="Y1863" s="18">
        <v>0</v>
      </c>
      <c r="Z1863" s="18">
        <v>1</v>
      </c>
      <c r="AA1863" s="18">
        <v>1</v>
      </c>
      <c r="AB1863" s="18">
        <v>1</v>
      </c>
      <c r="AC1863" s="316">
        <v>1</v>
      </c>
      <c r="AD1863" s="316">
        <v>1</v>
      </c>
      <c r="AE1863" s="302">
        <v>0.875</v>
      </c>
      <c r="AF1863" s="259"/>
      <c r="AG1863" s="259">
        <v>0</v>
      </c>
      <c r="AH1863" s="259">
        <v>0</v>
      </c>
      <c r="AI1863" s="259">
        <v>0.15</v>
      </c>
      <c r="AJ1863" s="259"/>
      <c r="AK1863" s="260">
        <v>1</v>
      </c>
      <c r="AL1863" s="260">
        <v>0</v>
      </c>
      <c r="AM1863" s="259">
        <v>0</v>
      </c>
      <c r="AN1863" s="18" t="s">
        <v>2172</v>
      </c>
      <c r="AO1863" s="18" t="s">
        <v>2236</v>
      </c>
      <c r="AP1863" s="18" t="s">
        <v>119</v>
      </c>
    </row>
    <row r="1864" spans="1:42" x14ac:dyDescent="0.3">
      <c r="A1864" s="18" t="s">
        <v>1463</v>
      </c>
      <c r="B1864" s="18" t="s">
        <v>5664</v>
      </c>
      <c r="C1864" s="18" t="s">
        <v>1466</v>
      </c>
      <c r="D1864" s="18" t="s">
        <v>5940</v>
      </c>
      <c r="E1864" s="18" t="s">
        <v>1467</v>
      </c>
      <c r="F1864" s="18" t="s">
        <v>5941</v>
      </c>
      <c r="G1864" s="18" t="s">
        <v>6183</v>
      </c>
      <c r="H1864" s="157" t="s">
        <v>6184</v>
      </c>
      <c r="I1864" s="18" t="s">
        <v>6195</v>
      </c>
      <c r="J1864" s="18" t="s">
        <v>6196</v>
      </c>
      <c r="K1864" s="18" t="s">
        <v>6197</v>
      </c>
      <c r="L1864" s="18" t="s">
        <v>6198</v>
      </c>
      <c r="M1864" s="18" t="s">
        <v>6201</v>
      </c>
      <c r="N1864" s="16"/>
      <c r="O1864" s="16"/>
      <c r="P1864" s="16">
        <v>1</v>
      </c>
      <c r="Q1864" s="16">
        <v>1</v>
      </c>
      <c r="R1864" s="16">
        <v>1</v>
      </c>
      <c r="S1864" s="16">
        <v>1</v>
      </c>
      <c r="T1864" s="18" t="s">
        <v>2234</v>
      </c>
      <c r="U1864" s="283" t="s">
        <v>2236</v>
      </c>
      <c r="V1864" s="18" t="s">
        <v>6202</v>
      </c>
      <c r="W1864" s="18">
        <v>1</v>
      </c>
      <c r="X1864" s="18">
        <v>1</v>
      </c>
      <c r="Y1864" s="18">
        <v>0</v>
      </c>
      <c r="Z1864" s="18">
        <v>1</v>
      </c>
      <c r="AA1864" s="18">
        <v>1</v>
      </c>
      <c r="AB1864" s="18">
        <v>1</v>
      </c>
      <c r="AC1864" s="316">
        <v>1</v>
      </c>
      <c r="AD1864" s="316">
        <v>1</v>
      </c>
      <c r="AE1864" s="302">
        <v>0.875</v>
      </c>
      <c r="AF1864" s="259"/>
      <c r="AG1864" s="259">
        <v>0</v>
      </c>
      <c r="AH1864" s="259">
        <v>0</v>
      </c>
      <c r="AI1864" s="259">
        <v>2.2999999999999998</v>
      </c>
      <c r="AJ1864" s="259">
        <v>2.2999999999999998</v>
      </c>
      <c r="AK1864" s="260">
        <v>1.3</v>
      </c>
      <c r="AL1864" s="260">
        <v>2.2999999999999998</v>
      </c>
      <c r="AM1864" s="259">
        <v>4.5999999999999996</v>
      </c>
      <c r="AN1864" s="18" t="s">
        <v>2172</v>
      </c>
      <c r="AO1864" s="18" t="s">
        <v>2236</v>
      </c>
      <c r="AP1864" s="18" t="s">
        <v>5676</v>
      </c>
    </row>
    <row r="1865" spans="1:42" hidden="1" x14ac:dyDescent="0.3">
      <c r="A1865" s="18" t="s">
        <v>1463</v>
      </c>
      <c r="B1865" s="18" t="s">
        <v>5664</v>
      </c>
      <c r="C1865" s="18" t="s">
        <v>1466</v>
      </c>
      <c r="D1865" s="18" t="s">
        <v>5940</v>
      </c>
      <c r="E1865" s="18" t="s">
        <v>1467</v>
      </c>
      <c r="F1865" s="18" t="s">
        <v>5941</v>
      </c>
      <c r="G1865" s="18" t="s">
        <v>6183</v>
      </c>
      <c r="H1865" s="157" t="s">
        <v>6184</v>
      </c>
      <c r="I1865" s="18" t="s">
        <v>6195</v>
      </c>
      <c r="J1865" s="18" t="s">
        <v>6196</v>
      </c>
      <c r="K1865" s="18" t="s">
        <v>6197</v>
      </c>
      <c r="L1865" s="18" t="s">
        <v>6198</v>
      </c>
      <c r="M1865" s="18" t="s">
        <v>6203</v>
      </c>
      <c r="N1865" s="16"/>
      <c r="O1865" s="16"/>
      <c r="P1865" s="16">
        <v>1</v>
      </c>
      <c r="Q1865" s="16"/>
      <c r="R1865" s="16"/>
      <c r="S1865" s="16"/>
      <c r="T1865" s="18" t="s">
        <v>2234</v>
      </c>
      <c r="U1865" s="283" t="s">
        <v>2236</v>
      </c>
      <c r="V1865" s="18" t="s">
        <v>6204</v>
      </c>
      <c r="W1865" s="18">
        <v>1</v>
      </c>
      <c r="X1865" s="18">
        <v>0</v>
      </c>
      <c r="Y1865" s="18">
        <v>0</v>
      </c>
      <c r="Z1865" s="18">
        <v>1</v>
      </c>
      <c r="AA1865" s="18">
        <v>1</v>
      </c>
      <c r="AB1865" s="18">
        <v>0</v>
      </c>
      <c r="AC1865" s="316">
        <v>1</v>
      </c>
      <c r="AD1865" s="316">
        <v>1</v>
      </c>
      <c r="AE1865" s="302">
        <v>0.625</v>
      </c>
      <c r="AF1865" s="259"/>
      <c r="AG1865" s="259">
        <v>0</v>
      </c>
      <c r="AH1865" s="259">
        <v>1</v>
      </c>
      <c r="AI1865" s="259">
        <v>1</v>
      </c>
      <c r="AJ1865" s="259">
        <v>1</v>
      </c>
      <c r="AK1865" s="260">
        <v>0.2</v>
      </c>
      <c r="AL1865" s="260">
        <v>1</v>
      </c>
      <c r="AM1865" s="259">
        <v>2</v>
      </c>
      <c r="AN1865" s="18" t="s">
        <v>2234</v>
      </c>
      <c r="AO1865" s="18" t="s">
        <v>2236</v>
      </c>
      <c r="AP1865" s="18"/>
    </row>
    <row r="1866" spans="1:42" hidden="1" x14ac:dyDescent="0.3">
      <c r="A1866" s="18" t="s">
        <v>1463</v>
      </c>
      <c r="B1866" s="18" t="s">
        <v>5664</v>
      </c>
      <c r="C1866" s="18" t="s">
        <v>1466</v>
      </c>
      <c r="D1866" s="18" t="s">
        <v>5940</v>
      </c>
      <c r="E1866" s="18" t="s">
        <v>1467</v>
      </c>
      <c r="F1866" s="18" t="s">
        <v>5941</v>
      </c>
      <c r="G1866" s="18" t="s">
        <v>6183</v>
      </c>
      <c r="H1866" s="157" t="s">
        <v>6184</v>
      </c>
      <c r="I1866" s="18" t="s">
        <v>6195</v>
      </c>
      <c r="J1866" s="18" t="s">
        <v>6196</v>
      </c>
      <c r="K1866" s="18" t="s">
        <v>6205</v>
      </c>
      <c r="L1866" s="18" t="s">
        <v>6206</v>
      </c>
      <c r="M1866" s="18" t="s">
        <v>6207</v>
      </c>
      <c r="N1866" s="223"/>
      <c r="O1866" s="16"/>
      <c r="P1866" s="16">
        <v>50</v>
      </c>
      <c r="Q1866" s="16">
        <v>50</v>
      </c>
      <c r="R1866" s="16"/>
      <c r="S1866" s="16"/>
      <c r="T1866" s="18" t="s">
        <v>2234</v>
      </c>
      <c r="U1866" s="283" t="s">
        <v>2236</v>
      </c>
      <c r="V1866" s="18" t="s">
        <v>6208</v>
      </c>
      <c r="W1866" s="18">
        <v>1</v>
      </c>
      <c r="X1866" s="18">
        <v>0</v>
      </c>
      <c r="Y1866" s="18">
        <v>0</v>
      </c>
      <c r="Z1866" s="18">
        <v>1</v>
      </c>
      <c r="AA1866" s="18">
        <v>1</v>
      </c>
      <c r="AB1866" s="18">
        <v>0</v>
      </c>
      <c r="AC1866" s="316">
        <v>1</v>
      </c>
      <c r="AD1866" s="316">
        <v>1</v>
      </c>
      <c r="AE1866" s="302">
        <v>0.625</v>
      </c>
      <c r="AF1866" s="259"/>
      <c r="AG1866" s="259">
        <v>0</v>
      </c>
      <c r="AH1866" s="259"/>
      <c r="AI1866" s="259">
        <v>1.1499999999999999</v>
      </c>
      <c r="AJ1866" s="259">
        <v>1.1499999999999999</v>
      </c>
      <c r="AK1866" s="260">
        <v>1.01</v>
      </c>
      <c r="AL1866" s="260"/>
      <c r="AM1866" s="259">
        <v>0</v>
      </c>
      <c r="AN1866" s="18" t="s">
        <v>2234</v>
      </c>
      <c r="AO1866" s="18" t="s">
        <v>2236</v>
      </c>
      <c r="AP1866" s="18"/>
    </row>
    <row r="1867" spans="1:42" x14ac:dyDescent="0.3">
      <c r="A1867" s="18" t="s">
        <v>1463</v>
      </c>
      <c r="B1867" s="18" t="s">
        <v>5664</v>
      </c>
      <c r="C1867" s="18" t="s">
        <v>1468</v>
      </c>
      <c r="D1867" s="18" t="s">
        <v>6209</v>
      </c>
      <c r="E1867" s="18" t="s">
        <v>1469</v>
      </c>
      <c r="F1867" s="18" t="s">
        <v>6210</v>
      </c>
      <c r="G1867" s="18" t="s">
        <v>6211</v>
      </c>
      <c r="H1867" s="157" t="s">
        <v>6212</v>
      </c>
      <c r="I1867" s="18" t="s">
        <v>6213</v>
      </c>
      <c r="J1867" s="18" t="s">
        <v>6214</v>
      </c>
      <c r="K1867" s="18" t="s">
        <v>6215</v>
      </c>
      <c r="L1867" s="18" t="s">
        <v>6216</v>
      </c>
      <c r="M1867" s="18" t="s">
        <v>6217</v>
      </c>
      <c r="N1867" s="16"/>
      <c r="O1867" s="16"/>
      <c r="P1867" s="16">
        <v>156</v>
      </c>
      <c r="Q1867" s="16"/>
      <c r="R1867" s="16"/>
      <c r="S1867" s="16"/>
      <c r="T1867" s="18" t="s">
        <v>280</v>
      </c>
      <c r="U1867" s="283" t="s">
        <v>1151</v>
      </c>
      <c r="V1867" s="18" t="s">
        <v>6218</v>
      </c>
      <c r="W1867" s="18">
        <v>1</v>
      </c>
      <c r="X1867" s="18">
        <v>1</v>
      </c>
      <c r="Y1867" s="18">
        <v>1</v>
      </c>
      <c r="Z1867" s="18">
        <v>1</v>
      </c>
      <c r="AA1867" s="18">
        <v>1</v>
      </c>
      <c r="AB1867" s="18">
        <v>1</v>
      </c>
      <c r="AC1867" s="316">
        <v>1</v>
      </c>
      <c r="AD1867" s="316">
        <v>1</v>
      </c>
      <c r="AE1867" s="302">
        <v>1</v>
      </c>
      <c r="AF1867" s="259"/>
      <c r="AG1867" s="259">
        <v>0</v>
      </c>
      <c r="AH1867" s="259"/>
      <c r="AI1867" s="259">
        <v>1.1499999999999999</v>
      </c>
      <c r="AJ1867" s="259"/>
      <c r="AK1867" s="260">
        <v>1</v>
      </c>
      <c r="AL1867" s="260"/>
      <c r="AM1867" s="259">
        <v>0</v>
      </c>
      <c r="AN1867" s="18" t="s">
        <v>280</v>
      </c>
      <c r="AO1867" s="18" t="s">
        <v>1151</v>
      </c>
      <c r="AP1867" s="18"/>
    </row>
    <row r="1868" spans="1:42" x14ac:dyDescent="0.3">
      <c r="A1868" s="18" t="s">
        <v>1463</v>
      </c>
      <c r="B1868" s="18" t="s">
        <v>5664</v>
      </c>
      <c r="C1868" s="18" t="s">
        <v>1468</v>
      </c>
      <c r="D1868" s="18" t="s">
        <v>6209</v>
      </c>
      <c r="E1868" s="18" t="s">
        <v>1469</v>
      </c>
      <c r="F1868" s="18" t="s">
        <v>6210</v>
      </c>
      <c r="G1868" s="18" t="s">
        <v>6211</v>
      </c>
      <c r="H1868" s="157" t="s">
        <v>6212</v>
      </c>
      <c r="I1868" s="18" t="s">
        <v>6213</v>
      </c>
      <c r="J1868" s="18" t="s">
        <v>6214</v>
      </c>
      <c r="K1868" s="18" t="s">
        <v>6219</v>
      </c>
      <c r="L1868" s="18" t="s">
        <v>6220</v>
      </c>
      <c r="M1868" s="18" t="s">
        <v>6221</v>
      </c>
      <c r="N1868" s="16">
        <v>0</v>
      </c>
      <c r="O1868" s="16">
        <v>0</v>
      </c>
      <c r="P1868" s="16">
        <v>146</v>
      </c>
      <c r="Q1868" s="16">
        <v>146</v>
      </c>
      <c r="R1868" s="16">
        <v>146</v>
      </c>
      <c r="S1868" s="16">
        <v>146</v>
      </c>
      <c r="T1868" s="18" t="s">
        <v>6222</v>
      </c>
      <c r="U1868" s="283" t="e">
        <v>#N/A</v>
      </c>
      <c r="V1868" s="18" t="s">
        <v>6223</v>
      </c>
      <c r="W1868" s="18">
        <v>1</v>
      </c>
      <c r="X1868" s="18">
        <v>1</v>
      </c>
      <c r="Y1868" s="18">
        <v>1</v>
      </c>
      <c r="Z1868" s="18">
        <v>1</v>
      </c>
      <c r="AA1868" s="18">
        <v>1</v>
      </c>
      <c r="AB1868" s="18">
        <v>1</v>
      </c>
      <c r="AC1868" s="316">
        <v>1</v>
      </c>
      <c r="AD1868" s="316">
        <v>1</v>
      </c>
      <c r="AE1868" s="302">
        <v>1</v>
      </c>
      <c r="AF1868" s="259"/>
      <c r="AG1868" s="259">
        <v>0</v>
      </c>
      <c r="AH1868" s="259">
        <v>0</v>
      </c>
      <c r="AI1868" s="259">
        <v>0.17499999999999999</v>
      </c>
      <c r="AJ1868" s="259">
        <v>0.17499999999999999</v>
      </c>
      <c r="AK1868" s="260">
        <v>0.77</v>
      </c>
      <c r="AL1868" s="260">
        <v>0.17499999999999999</v>
      </c>
      <c r="AM1868" s="259">
        <v>0.35</v>
      </c>
      <c r="AN1868" s="18" t="s">
        <v>255</v>
      </c>
      <c r="AO1868" s="18" t="s">
        <v>1045</v>
      </c>
      <c r="AP1868" s="18" t="s">
        <v>6224</v>
      </c>
    </row>
    <row r="1869" spans="1:42" x14ac:dyDescent="0.3">
      <c r="A1869" s="18" t="s">
        <v>1463</v>
      </c>
      <c r="B1869" s="18" t="s">
        <v>5664</v>
      </c>
      <c r="C1869" s="18" t="s">
        <v>1468</v>
      </c>
      <c r="D1869" s="18" t="s">
        <v>6209</v>
      </c>
      <c r="E1869" s="18" t="s">
        <v>1469</v>
      </c>
      <c r="F1869" s="18" t="s">
        <v>6210</v>
      </c>
      <c r="G1869" s="18" t="s">
        <v>6211</v>
      </c>
      <c r="H1869" s="157" t="s">
        <v>6212</v>
      </c>
      <c r="I1869" s="18" t="s">
        <v>6213</v>
      </c>
      <c r="J1869" s="18" t="s">
        <v>6214</v>
      </c>
      <c r="K1869" s="18" t="s">
        <v>6225</v>
      </c>
      <c r="L1869" s="18" t="s">
        <v>6226</v>
      </c>
      <c r="M1869" s="18" t="s">
        <v>6227</v>
      </c>
      <c r="N1869" s="16">
        <v>75</v>
      </c>
      <c r="O1869" s="16">
        <v>92</v>
      </c>
      <c r="P1869" s="16">
        <v>95</v>
      </c>
      <c r="Q1869" s="16">
        <v>95</v>
      </c>
      <c r="R1869" s="16">
        <v>95</v>
      </c>
      <c r="S1869" s="16">
        <v>95</v>
      </c>
      <c r="T1869" s="18" t="s">
        <v>6228</v>
      </c>
      <c r="U1869" s="283" t="e">
        <v>#N/A</v>
      </c>
      <c r="V1869" s="18" t="s">
        <v>6229</v>
      </c>
      <c r="W1869" s="18">
        <v>1</v>
      </c>
      <c r="X1869" s="18">
        <v>1</v>
      </c>
      <c r="Y1869" s="18">
        <v>1</v>
      </c>
      <c r="Z1869" s="18">
        <v>1</v>
      </c>
      <c r="AA1869" s="18">
        <v>1</v>
      </c>
      <c r="AB1869" s="18">
        <v>1</v>
      </c>
      <c r="AC1869" s="316">
        <v>1</v>
      </c>
      <c r="AD1869" s="316">
        <v>1</v>
      </c>
      <c r="AE1869" s="302">
        <v>1</v>
      </c>
      <c r="AF1869" s="259"/>
      <c r="AG1869" s="259">
        <v>0</v>
      </c>
      <c r="AH1869" s="259">
        <v>0.89800000000000002</v>
      </c>
      <c r="AI1869" s="259">
        <v>0.59799999999999998</v>
      </c>
      <c r="AJ1869" s="259">
        <v>0.40799999999999997</v>
      </c>
      <c r="AK1869" s="260">
        <v>0.36</v>
      </c>
      <c r="AL1869" s="260">
        <v>0.36</v>
      </c>
      <c r="AM1869" s="259">
        <v>0.72</v>
      </c>
      <c r="AN1869" s="18" t="s">
        <v>280</v>
      </c>
      <c r="AO1869" s="18" t="s">
        <v>1151</v>
      </c>
      <c r="AP1869" s="18"/>
    </row>
    <row r="1870" spans="1:42" x14ac:dyDescent="0.3">
      <c r="A1870" s="18" t="s">
        <v>1463</v>
      </c>
      <c r="B1870" s="18" t="s">
        <v>5664</v>
      </c>
      <c r="C1870" s="18" t="s">
        <v>1468</v>
      </c>
      <c r="D1870" s="18" t="s">
        <v>6209</v>
      </c>
      <c r="E1870" s="18" t="s">
        <v>1469</v>
      </c>
      <c r="F1870" s="18" t="s">
        <v>6210</v>
      </c>
      <c r="G1870" s="18" t="s">
        <v>6211</v>
      </c>
      <c r="H1870" s="157" t="s">
        <v>6212</v>
      </c>
      <c r="I1870" s="18" t="s">
        <v>6213</v>
      </c>
      <c r="J1870" s="18" t="s">
        <v>6214</v>
      </c>
      <c r="K1870" s="18" t="s">
        <v>6230</v>
      </c>
      <c r="L1870" s="18" t="s">
        <v>6220</v>
      </c>
      <c r="M1870" s="18" t="s">
        <v>6231</v>
      </c>
      <c r="N1870" s="16">
        <v>0</v>
      </c>
      <c r="O1870" s="16">
        <v>0</v>
      </c>
      <c r="P1870" s="16">
        <v>146</v>
      </c>
      <c r="Q1870" s="16">
        <v>146</v>
      </c>
      <c r="R1870" s="16">
        <v>146</v>
      </c>
      <c r="S1870" s="16">
        <v>146</v>
      </c>
      <c r="T1870" s="18" t="s">
        <v>6232</v>
      </c>
      <c r="U1870" s="283" t="e">
        <v>#N/A</v>
      </c>
      <c r="V1870" s="18" t="s">
        <v>6233</v>
      </c>
      <c r="W1870" s="18">
        <v>1</v>
      </c>
      <c r="X1870" s="18">
        <v>1</v>
      </c>
      <c r="Y1870" s="18">
        <v>1</v>
      </c>
      <c r="Z1870" s="18">
        <v>1</v>
      </c>
      <c r="AA1870" s="18">
        <v>1</v>
      </c>
      <c r="AB1870" s="18">
        <v>1</v>
      </c>
      <c r="AC1870" s="316">
        <v>1</v>
      </c>
      <c r="AD1870" s="316">
        <v>1</v>
      </c>
      <c r="AE1870" s="302">
        <v>1</v>
      </c>
      <c r="AF1870" s="259"/>
      <c r="AG1870" s="259">
        <v>0</v>
      </c>
      <c r="AH1870" s="259">
        <v>0.2</v>
      </c>
      <c r="AI1870" s="259">
        <v>0.2</v>
      </c>
      <c r="AJ1870" s="259">
        <v>0.2</v>
      </c>
      <c r="AK1870" s="260">
        <v>0.2</v>
      </c>
      <c r="AL1870" s="260">
        <v>0.2</v>
      </c>
      <c r="AM1870" s="259">
        <v>0.4</v>
      </c>
      <c r="AN1870" s="18" t="s">
        <v>280</v>
      </c>
      <c r="AO1870" s="18" t="s">
        <v>1151</v>
      </c>
      <c r="AP1870" s="18"/>
    </row>
    <row r="1871" spans="1:42" x14ac:dyDescent="0.3">
      <c r="A1871" s="18" t="s">
        <v>1463</v>
      </c>
      <c r="B1871" s="18" t="s">
        <v>5664</v>
      </c>
      <c r="C1871" s="18" t="s">
        <v>1468</v>
      </c>
      <c r="D1871" s="18" t="s">
        <v>6209</v>
      </c>
      <c r="E1871" s="18" t="s">
        <v>1469</v>
      </c>
      <c r="F1871" s="18" t="s">
        <v>6210</v>
      </c>
      <c r="G1871" s="18" t="s">
        <v>6211</v>
      </c>
      <c r="H1871" s="157" t="s">
        <v>6212</v>
      </c>
      <c r="I1871" s="18" t="s">
        <v>6213</v>
      </c>
      <c r="J1871" s="18" t="s">
        <v>6214</v>
      </c>
      <c r="K1871" s="18" t="s">
        <v>6234</v>
      </c>
      <c r="L1871" s="18" t="s">
        <v>6235</v>
      </c>
      <c r="M1871" s="18" t="s">
        <v>6236</v>
      </c>
      <c r="N1871" s="16"/>
      <c r="O1871" s="16">
        <v>1</v>
      </c>
      <c r="P1871" s="16">
        <v>1</v>
      </c>
      <c r="Q1871" s="16">
        <v>1</v>
      </c>
      <c r="R1871" s="16">
        <v>1</v>
      </c>
      <c r="S1871" s="16">
        <v>1</v>
      </c>
      <c r="T1871" s="18" t="s">
        <v>1132</v>
      </c>
      <c r="U1871" s="283" t="s">
        <v>3739</v>
      </c>
      <c r="V1871" s="18" t="s">
        <v>6237</v>
      </c>
      <c r="W1871" s="18">
        <v>1</v>
      </c>
      <c r="X1871" s="18">
        <v>1</v>
      </c>
      <c r="Y1871" s="18">
        <v>1</v>
      </c>
      <c r="Z1871" s="18">
        <v>1</v>
      </c>
      <c r="AA1871" s="18">
        <v>1</v>
      </c>
      <c r="AB1871" s="18">
        <v>1</v>
      </c>
      <c r="AC1871" s="316">
        <v>1</v>
      </c>
      <c r="AD1871" s="316">
        <v>1</v>
      </c>
      <c r="AE1871" s="302">
        <v>1</v>
      </c>
      <c r="AF1871" s="259"/>
      <c r="AG1871" s="259">
        <v>0</v>
      </c>
      <c r="AH1871" s="259">
        <v>2</v>
      </c>
      <c r="AI1871" s="259">
        <v>3.2</v>
      </c>
      <c r="AJ1871" s="259">
        <v>4</v>
      </c>
      <c r="AK1871" s="260">
        <v>0.1</v>
      </c>
      <c r="AL1871" s="260">
        <v>5.6</v>
      </c>
      <c r="AM1871" s="259">
        <v>10.399999999999999</v>
      </c>
      <c r="AN1871" s="18" t="s">
        <v>1132</v>
      </c>
      <c r="AO1871" s="18" t="s">
        <v>1134</v>
      </c>
      <c r="AP1871" s="18"/>
    </row>
    <row r="1872" spans="1:42" x14ac:dyDescent="0.3">
      <c r="A1872" s="18" t="s">
        <v>1463</v>
      </c>
      <c r="B1872" s="18" t="s">
        <v>5664</v>
      </c>
      <c r="C1872" s="18" t="s">
        <v>1468</v>
      </c>
      <c r="D1872" s="18" t="s">
        <v>6209</v>
      </c>
      <c r="E1872" s="18" t="s">
        <v>1469</v>
      </c>
      <c r="F1872" s="18" t="s">
        <v>6210</v>
      </c>
      <c r="G1872" s="18" t="s">
        <v>6238</v>
      </c>
      <c r="H1872" s="157" t="s">
        <v>6239</v>
      </c>
      <c r="I1872" s="18"/>
      <c r="J1872" s="18"/>
      <c r="K1872" s="18">
        <v>14440201</v>
      </c>
      <c r="L1872" s="18" t="s">
        <v>6240</v>
      </c>
      <c r="M1872" s="18" t="s">
        <v>6241</v>
      </c>
      <c r="N1872" s="16">
        <v>0</v>
      </c>
      <c r="O1872" s="16">
        <v>1</v>
      </c>
      <c r="P1872" s="16">
        <v>1</v>
      </c>
      <c r="Q1872" s="16">
        <v>1</v>
      </c>
      <c r="R1872" s="16">
        <v>1</v>
      </c>
      <c r="S1872" s="16">
        <v>1</v>
      </c>
      <c r="T1872" s="18" t="s">
        <v>6242</v>
      </c>
      <c r="U1872" s="283" t="e">
        <v>#N/A</v>
      </c>
      <c r="V1872" s="18" t="s">
        <v>6243</v>
      </c>
      <c r="W1872" s="18">
        <v>1</v>
      </c>
      <c r="X1872" s="18">
        <v>1</v>
      </c>
      <c r="Y1872" s="18">
        <v>1</v>
      </c>
      <c r="Z1872" s="18">
        <v>1</v>
      </c>
      <c r="AA1872" s="18">
        <v>1</v>
      </c>
      <c r="AB1872" s="18">
        <v>1</v>
      </c>
      <c r="AC1872" s="316">
        <v>1</v>
      </c>
      <c r="AD1872" s="316">
        <v>1</v>
      </c>
      <c r="AE1872" s="302">
        <v>1</v>
      </c>
      <c r="AF1872" s="259"/>
      <c r="AG1872" s="259">
        <v>0</v>
      </c>
      <c r="AH1872" s="259">
        <v>0.4</v>
      </c>
      <c r="AI1872" s="259">
        <v>0.4</v>
      </c>
      <c r="AJ1872" s="259">
        <v>0.4</v>
      </c>
      <c r="AK1872" s="260">
        <v>0.4</v>
      </c>
      <c r="AL1872" s="260">
        <v>0.4</v>
      </c>
      <c r="AM1872" s="259">
        <v>0.8</v>
      </c>
      <c r="AN1872" s="18" t="s">
        <v>921</v>
      </c>
      <c r="AO1872" s="18" t="s">
        <v>880</v>
      </c>
      <c r="AP1872" s="18" t="s">
        <v>831</v>
      </c>
    </row>
    <row r="1873" spans="1:42" x14ac:dyDescent="0.3">
      <c r="A1873" s="18" t="s">
        <v>1463</v>
      </c>
      <c r="B1873" s="18" t="s">
        <v>5664</v>
      </c>
      <c r="C1873" s="18" t="s">
        <v>1468</v>
      </c>
      <c r="D1873" s="18" t="s">
        <v>6209</v>
      </c>
      <c r="E1873" s="18" t="s">
        <v>1469</v>
      </c>
      <c r="F1873" s="18" t="s">
        <v>6210</v>
      </c>
      <c r="G1873" s="18" t="s">
        <v>6244</v>
      </c>
      <c r="H1873" s="157" t="s">
        <v>6245</v>
      </c>
      <c r="I1873" s="18"/>
      <c r="J1873" s="18"/>
      <c r="K1873" s="18" t="s">
        <v>6246</v>
      </c>
      <c r="L1873" s="18" t="s">
        <v>6247</v>
      </c>
      <c r="M1873" s="18" t="s">
        <v>6248</v>
      </c>
      <c r="N1873" s="16">
        <v>5933</v>
      </c>
      <c r="O1873" s="16">
        <v>2000</v>
      </c>
      <c r="P1873" s="16">
        <v>2067</v>
      </c>
      <c r="Q1873" s="16"/>
      <c r="R1873" s="16"/>
      <c r="S1873" s="16"/>
      <c r="T1873" s="18" t="s">
        <v>6249</v>
      </c>
      <c r="U1873" s="283" t="e">
        <v>#N/A</v>
      </c>
      <c r="V1873" s="18" t="s">
        <v>6250</v>
      </c>
      <c r="W1873" s="18">
        <v>1</v>
      </c>
      <c r="X1873" s="18">
        <v>1</v>
      </c>
      <c r="Y1873" s="18">
        <v>1</v>
      </c>
      <c r="Z1873" s="18">
        <v>1</v>
      </c>
      <c r="AA1873" s="18">
        <v>1</v>
      </c>
      <c r="AB1873" s="18">
        <v>1</v>
      </c>
      <c r="AC1873" s="316">
        <v>1</v>
      </c>
      <c r="AD1873" s="316">
        <v>1</v>
      </c>
      <c r="AE1873" s="302">
        <v>1</v>
      </c>
      <c r="AF1873" s="259"/>
      <c r="AG1873" s="259">
        <v>0</v>
      </c>
      <c r="AH1873" s="259">
        <v>0</v>
      </c>
      <c r="AI1873" s="259">
        <v>14.3</v>
      </c>
      <c r="AJ1873" s="259">
        <v>14.7</v>
      </c>
      <c r="AK1873" s="260">
        <v>0</v>
      </c>
      <c r="AL1873" s="260">
        <v>0</v>
      </c>
      <c r="AM1873" s="259">
        <v>0</v>
      </c>
      <c r="AN1873" s="18" t="s">
        <v>280</v>
      </c>
      <c r="AO1873" s="18" t="s">
        <v>1151</v>
      </c>
      <c r="AP1873" s="18" t="s">
        <v>5676</v>
      </c>
    </row>
    <row r="1874" spans="1:42" x14ac:dyDescent="0.3">
      <c r="A1874" s="18" t="s">
        <v>1463</v>
      </c>
      <c r="B1874" s="18" t="s">
        <v>5664</v>
      </c>
      <c r="C1874" s="18" t="s">
        <v>1468</v>
      </c>
      <c r="D1874" s="18" t="s">
        <v>6209</v>
      </c>
      <c r="E1874" s="18" t="s">
        <v>1469</v>
      </c>
      <c r="F1874" s="18" t="s">
        <v>6210</v>
      </c>
      <c r="G1874" s="18" t="s">
        <v>6244</v>
      </c>
      <c r="H1874" s="157" t="s">
        <v>6245</v>
      </c>
      <c r="I1874" s="18"/>
      <c r="J1874" s="18"/>
      <c r="K1874" s="18" t="s">
        <v>6246</v>
      </c>
      <c r="L1874" s="18" t="s">
        <v>6247</v>
      </c>
      <c r="M1874" s="18" t="s">
        <v>6251</v>
      </c>
      <c r="N1874" s="16">
        <v>59.3</v>
      </c>
      <c r="O1874" s="16">
        <v>79.3</v>
      </c>
      <c r="P1874" s="16">
        <v>100</v>
      </c>
      <c r="Q1874" s="16"/>
      <c r="R1874" s="16"/>
      <c r="S1874" s="16"/>
      <c r="T1874" s="18" t="s">
        <v>280</v>
      </c>
      <c r="U1874" s="283" t="s">
        <v>1151</v>
      </c>
      <c r="V1874" s="18" t="s">
        <v>6252</v>
      </c>
      <c r="W1874" s="18">
        <v>1</v>
      </c>
      <c r="X1874" s="18">
        <v>1</v>
      </c>
      <c r="Y1874" s="18">
        <v>1</v>
      </c>
      <c r="Z1874" s="18">
        <v>1</v>
      </c>
      <c r="AA1874" s="18">
        <v>1</v>
      </c>
      <c r="AB1874" s="18">
        <v>1</v>
      </c>
      <c r="AC1874" s="316">
        <v>1</v>
      </c>
      <c r="AD1874" s="316">
        <v>1</v>
      </c>
      <c r="AE1874" s="302">
        <v>1</v>
      </c>
      <c r="AF1874" s="259"/>
      <c r="AG1874" s="259">
        <v>0</v>
      </c>
      <c r="AH1874" s="259">
        <v>0</v>
      </c>
      <c r="AI1874" s="259">
        <v>0</v>
      </c>
      <c r="AJ1874" s="259">
        <v>0</v>
      </c>
      <c r="AK1874" s="260">
        <v>0</v>
      </c>
      <c r="AL1874" s="260">
        <v>0</v>
      </c>
      <c r="AM1874" s="259">
        <v>0</v>
      </c>
      <c r="AN1874" s="18" t="s">
        <v>5698</v>
      </c>
      <c r="AO1874" s="18" t="s">
        <v>2019</v>
      </c>
      <c r="AP1874" s="18" t="s">
        <v>6253</v>
      </c>
    </row>
    <row r="1875" spans="1:42" x14ac:dyDescent="0.3">
      <c r="A1875" s="18" t="s">
        <v>1463</v>
      </c>
      <c r="B1875" s="18" t="s">
        <v>5664</v>
      </c>
      <c r="C1875" s="18" t="s">
        <v>1468</v>
      </c>
      <c r="D1875" s="18" t="s">
        <v>6209</v>
      </c>
      <c r="E1875" s="18" t="s">
        <v>1469</v>
      </c>
      <c r="F1875" s="18" t="s">
        <v>6210</v>
      </c>
      <c r="G1875" s="18" t="s">
        <v>6244</v>
      </c>
      <c r="H1875" s="157" t="s">
        <v>6245</v>
      </c>
      <c r="I1875" s="18"/>
      <c r="J1875" s="18"/>
      <c r="K1875" s="18" t="s">
        <v>6246</v>
      </c>
      <c r="L1875" s="18" t="s">
        <v>6247</v>
      </c>
      <c r="M1875" s="18" t="s">
        <v>6254</v>
      </c>
      <c r="N1875" s="16" t="s">
        <v>271</v>
      </c>
      <c r="O1875" s="16">
        <v>0</v>
      </c>
      <c r="P1875" s="16">
        <v>2500</v>
      </c>
      <c r="Q1875" s="16">
        <v>2500</v>
      </c>
      <c r="R1875" s="16">
        <v>2500</v>
      </c>
      <c r="S1875" s="16">
        <v>2500</v>
      </c>
      <c r="T1875" s="18" t="s">
        <v>6255</v>
      </c>
      <c r="U1875" s="283" t="e">
        <v>#N/A</v>
      </c>
      <c r="V1875" s="18" t="s">
        <v>6256</v>
      </c>
      <c r="W1875" s="18">
        <v>1</v>
      </c>
      <c r="X1875" s="18">
        <v>1</v>
      </c>
      <c r="Y1875" s="18">
        <v>1</v>
      </c>
      <c r="Z1875" s="18">
        <v>1</v>
      </c>
      <c r="AA1875" s="18">
        <v>1</v>
      </c>
      <c r="AB1875" s="18">
        <v>1</v>
      </c>
      <c r="AC1875" s="316">
        <v>1</v>
      </c>
      <c r="AD1875" s="316">
        <v>1</v>
      </c>
      <c r="AE1875" s="302">
        <v>1</v>
      </c>
      <c r="AF1875" s="259"/>
      <c r="AG1875" s="259">
        <v>0</v>
      </c>
      <c r="AH1875" s="259"/>
      <c r="AI1875" s="259">
        <v>0.85</v>
      </c>
      <c r="AJ1875" s="259">
        <v>0.85</v>
      </c>
      <c r="AK1875" s="260">
        <v>2</v>
      </c>
      <c r="AL1875" s="260">
        <v>0.85</v>
      </c>
      <c r="AM1875" s="259">
        <v>1.7</v>
      </c>
      <c r="AN1875" s="18" t="s">
        <v>280</v>
      </c>
      <c r="AO1875" s="18" t="s">
        <v>1151</v>
      </c>
      <c r="AP1875" s="18"/>
    </row>
    <row r="1876" spans="1:42" x14ac:dyDescent="0.3">
      <c r="A1876" s="18" t="s">
        <v>1463</v>
      </c>
      <c r="B1876" s="18" t="s">
        <v>5664</v>
      </c>
      <c r="C1876" s="18" t="s">
        <v>1468</v>
      </c>
      <c r="D1876" s="18" t="s">
        <v>6209</v>
      </c>
      <c r="E1876" s="18" t="s">
        <v>1469</v>
      </c>
      <c r="F1876" s="18" t="s">
        <v>6210</v>
      </c>
      <c r="G1876" s="18" t="s">
        <v>6244</v>
      </c>
      <c r="H1876" s="157" t="s">
        <v>6245</v>
      </c>
      <c r="I1876" s="18"/>
      <c r="J1876" s="18"/>
      <c r="K1876" s="18" t="s">
        <v>6246</v>
      </c>
      <c r="L1876" s="18" t="s">
        <v>6247</v>
      </c>
      <c r="M1876" s="18" t="s">
        <v>6257</v>
      </c>
      <c r="N1876" s="16"/>
      <c r="O1876" s="16"/>
      <c r="P1876" s="16">
        <v>2500</v>
      </c>
      <c r="Q1876" s="16">
        <v>2500</v>
      </c>
      <c r="R1876" s="16">
        <v>2500</v>
      </c>
      <c r="S1876" s="16">
        <v>2500</v>
      </c>
      <c r="T1876" s="18" t="s">
        <v>280</v>
      </c>
      <c r="U1876" s="283" t="s">
        <v>1151</v>
      </c>
      <c r="V1876" s="18" t="s">
        <v>6258</v>
      </c>
      <c r="W1876" s="18">
        <v>1</v>
      </c>
      <c r="X1876" s="18">
        <v>1</v>
      </c>
      <c r="Y1876" s="18">
        <v>1</v>
      </c>
      <c r="Z1876" s="18">
        <v>1</v>
      </c>
      <c r="AA1876" s="18">
        <v>1</v>
      </c>
      <c r="AB1876" s="18">
        <v>1</v>
      </c>
      <c r="AC1876" s="316">
        <v>1</v>
      </c>
      <c r="AD1876" s="316">
        <v>1</v>
      </c>
      <c r="AE1876" s="302">
        <v>1</v>
      </c>
      <c r="AF1876" s="259"/>
      <c r="AG1876" s="259">
        <v>0</v>
      </c>
      <c r="AH1876" s="259"/>
      <c r="AI1876" s="259"/>
      <c r="AJ1876" s="259"/>
      <c r="AK1876" s="260"/>
      <c r="AL1876" s="260"/>
      <c r="AM1876" s="259">
        <v>0</v>
      </c>
      <c r="AN1876" s="18" t="s">
        <v>280</v>
      </c>
      <c r="AO1876" s="18" t="s">
        <v>1151</v>
      </c>
      <c r="AP1876" s="18"/>
    </row>
    <row r="1877" spans="1:42" x14ac:dyDescent="0.3">
      <c r="A1877" s="18" t="s">
        <v>1463</v>
      </c>
      <c r="B1877" s="18" t="s">
        <v>5664</v>
      </c>
      <c r="C1877" s="18" t="s">
        <v>1468</v>
      </c>
      <c r="D1877" s="18" t="s">
        <v>6209</v>
      </c>
      <c r="E1877" s="18" t="s">
        <v>1469</v>
      </c>
      <c r="F1877" s="18" t="s">
        <v>6210</v>
      </c>
      <c r="G1877" s="18" t="s">
        <v>6244</v>
      </c>
      <c r="H1877" s="157" t="s">
        <v>6245</v>
      </c>
      <c r="I1877" s="18"/>
      <c r="J1877" s="18"/>
      <c r="K1877" s="18" t="s">
        <v>6246</v>
      </c>
      <c r="L1877" s="18" t="s">
        <v>6247</v>
      </c>
      <c r="M1877" s="18" t="s">
        <v>6259</v>
      </c>
      <c r="N1877" s="16"/>
      <c r="O1877" s="16"/>
      <c r="P1877" s="16">
        <v>2500</v>
      </c>
      <c r="Q1877" s="16">
        <v>2500</v>
      </c>
      <c r="R1877" s="16">
        <v>2500</v>
      </c>
      <c r="S1877" s="16">
        <v>2500</v>
      </c>
      <c r="T1877" s="18" t="s">
        <v>280</v>
      </c>
      <c r="U1877" s="283" t="s">
        <v>1151</v>
      </c>
      <c r="V1877" s="18" t="s">
        <v>6260</v>
      </c>
      <c r="W1877" s="18">
        <v>1</v>
      </c>
      <c r="X1877" s="18">
        <v>1</v>
      </c>
      <c r="Y1877" s="18">
        <v>1</v>
      </c>
      <c r="Z1877" s="18">
        <v>1</v>
      </c>
      <c r="AA1877" s="18">
        <v>1</v>
      </c>
      <c r="AB1877" s="18">
        <v>1</v>
      </c>
      <c r="AC1877" s="316">
        <v>1</v>
      </c>
      <c r="AD1877" s="316">
        <v>1</v>
      </c>
      <c r="AE1877" s="302">
        <v>1</v>
      </c>
      <c r="AF1877" s="259"/>
      <c r="AG1877" s="259">
        <v>0</v>
      </c>
      <c r="AH1877" s="259"/>
      <c r="AI1877" s="259">
        <v>22</v>
      </c>
      <c r="AJ1877" s="259">
        <v>22</v>
      </c>
      <c r="AK1877" s="260">
        <v>10</v>
      </c>
      <c r="AL1877" s="260">
        <v>22</v>
      </c>
      <c r="AM1877" s="259">
        <v>44</v>
      </c>
      <c r="AN1877" s="18" t="s">
        <v>280</v>
      </c>
      <c r="AO1877" s="18" t="s">
        <v>1151</v>
      </c>
      <c r="AP1877" s="18"/>
    </row>
    <row r="1878" spans="1:42" x14ac:dyDescent="0.3">
      <c r="A1878" s="18" t="s">
        <v>1463</v>
      </c>
      <c r="B1878" s="18" t="s">
        <v>5664</v>
      </c>
      <c r="C1878" s="18" t="s">
        <v>1468</v>
      </c>
      <c r="D1878" s="18" t="s">
        <v>6209</v>
      </c>
      <c r="E1878" s="18" t="s">
        <v>1469</v>
      </c>
      <c r="F1878" s="18" t="s">
        <v>6210</v>
      </c>
      <c r="G1878" s="18" t="s">
        <v>6244</v>
      </c>
      <c r="H1878" s="157" t="s">
        <v>6245</v>
      </c>
      <c r="I1878" s="18"/>
      <c r="J1878" s="18"/>
      <c r="K1878" s="18" t="s">
        <v>6246</v>
      </c>
      <c r="L1878" s="18" t="s">
        <v>6247</v>
      </c>
      <c r="M1878" s="18" t="s">
        <v>6261</v>
      </c>
      <c r="N1878" s="16"/>
      <c r="O1878" s="16">
        <v>8</v>
      </c>
      <c r="P1878" s="16">
        <v>8</v>
      </c>
      <c r="Q1878" s="16">
        <v>8</v>
      </c>
      <c r="R1878" s="16">
        <v>8</v>
      </c>
      <c r="S1878" s="16">
        <v>8</v>
      </c>
      <c r="T1878" s="18" t="s">
        <v>280</v>
      </c>
      <c r="U1878" s="283" t="s">
        <v>1151</v>
      </c>
      <c r="V1878" s="18" t="s">
        <v>6262</v>
      </c>
      <c r="W1878" s="18">
        <v>1</v>
      </c>
      <c r="X1878" s="18">
        <v>1</v>
      </c>
      <c r="Y1878" s="18">
        <v>1</v>
      </c>
      <c r="Z1878" s="18">
        <v>1</v>
      </c>
      <c r="AA1878" s="18">
        <v>1</v>
      </c>
      <c r="AB1878" s="18">
        <v>1</v>
      </c>
      <c r="AC1878" s="316">
        <v>1</v>
      </c>
      <c r="AD1878" s="316">
        <v>1</v>
      </c>
      <c r="AE1878" s="302">
        <v>1</v>
      </c>
      <c r="AF1878" s="259"/>
      <c r="AG1878" s="259">
        <v>0</v>
      </c>
      <c r="AH1878" s="259">
        <v>0.2</v>
      </c>
      <c r="AI1878" s="259">
        <v>0.2</v>
      </c>
      <c r="AJ1878" s="259">
        <v>0.2</v>
      </c>
      <c r="AK1878" s="260">
        <v>0.2</v>
      </c>
      <c r="AL1878" s="260">
        <v>0.2</v>
      </c>
      <c r="AM1878" s="259">
        <v>0.4</v>
      </c>
      <c r="AN1878" s="18" t="s">
        <v>280</v>
      </c>
      <c r="AO1878" s="18" t="s">
        <v>1151</v>
      </c>
      <c r="AP1878" s="18"/>
    </row>
    <row r="1879" spans="1:42" x14ac:dyDescent="0.3">
      <c r="A1879" s="18" t="s">
        <v>1463</v>
      </c>
      <c r="B1879" s="18" t="s">
        <v>5664</v>
      </c>
      <c r="C1879" s="18" t="s">
        <v>1468</v>
      </c>
      <c r="D1879" s="18" t="s">
        <v>6209</v>
      </c>
      <c r="E1879" s="18" t="s">
        <v>1469</v>
      </c>
      <c r="F1879" s="18" t="s">
        <v>6210</v>
      </c>
      <c r="G1879" s="18" t="s">
        <v>6244</v>
      </c>
      <c r="H1879" s="157" t="s">
        <v>6245</v>
      </c>
      <c r="I1879" s="18"/>
      <c r="J1879" s="18"/>
      <c r="K1879" s="18" t="s">
        <v>6263</v>
      </c>
      <c r="L1879" s="223" t="s">
        <v>6264</v>
      </c>
      <c r="M1879" s="223" t="s">
        <v>6265</v>
      </c>
      <c r="N1879" s="16"/>
      <c r="O1879" s="16">
        <v>1</v>
      </c>
      <c r="P1879" s="16">
        <v>4</v>
      </c>
      <c r="Q1879" s="16">
        <v>4</v>
      </c>
      <c r="R1879" s="16">
        <v>4</v>
      </c>
      <c r="S1879" s="16">
        <v>4</v>
      </c>
      <c r="T1879" s="18" t="s">
        <v>280</v>
      </c>
      <c r="U1879" s="283" t="s">
        <v>1151</v>
      </c>
      <c r="V1879" s="18" t="s">
        <v>6266</v>
      </c>
      <c r="W1879" s="18">
        <v>1</v>
      </c>
      <c r="X1879" s="18">
        <v>1</v>
      </c>
      <c r="Y1879" s="18">
        <v>1</v>
      </c>
      <c r="Z1879" s="18">
        <v>1</v>
      </c>
      <c r="AA1879" s="18">
        <v>1</v>
      </c>
      <c r="AB1879" s="18">
        <v>1</v>
      </c>
      <c r="AC1879" s="316">
        <v>1</v>
      </c>
      <c r="AD1879" s="316">
        <v>1</v>
      </c>
      <c r="AE1879" s="302">
        <v>1</v>
      </c>
      <c r="AF1879" s="259"/>
      <c r="AG1879" s="259">
        <v>0</v>
      </c>
      <c r="AH1879" s="259">
        <v>0.2</v>
      </c>
      <c r="AI1879" s="259">
        <v>0.2</v>
      </c>
      <c r="AJ1879" s="259">
        <v>0.2</v>
      </c>
      <c r="AK1879" s="260">
        <v>0.2</v>
      </c>
      <c r="AL1879" s="260">
        <v>0.2</v>
      </c>
      <c r="AM1879" s="259">
        <v>0.4</v>
      </c>
      <c r="AN1879" s="18" t="s">
        <v>280</v>
      </c>
      <c r="AO1879" s="18" t="s">
        <v>1151</v>
      </c>
      <c r="AP1879" s="18"/>
    </row>
    <row r="1880" spans="1:42" x14ac:dyDescent="0.3">
      <c r="A1880" s="18" t="s">
        <v>1463</v>
      </c>
      <c r="B1880" s="18" t="s">
        <v>5664</v>
      </c>
      <c r="C1880" s="18" t="s">
        <v>1468</v>
      </c>
      <c r="D1880" s="18" t="s">
        <v>6209</v>
      </c>
      <c r="E1880" s="18" t="s">
        <v>1469</v>
      </c>
      <c r="F1880" s="18" t="s">
        <v>6210</v>
      </c>
      <c r="G1880" s="18" t="s">
        <v>6244</v>
      </c>
      <c r="H1880" s="157" t="s">
        <v>6245</v>
      </c>
      <c r="I1880" s="18"/>
      <c r="J1880" s="18"/>
      <c r="K1880" s="18" t="s">
        <v>6267</v>
      </c>
      <c r="L1880" s="223" t="s">
        <v>6268</v>
      </c>
      <c r="M1880" s="223" t="s">
        <v>6269</v>
      </c>
      <c r="N1880" s="16"/>
      <c r="O1880" s="16">
        <v>3</v>
      </c>
      <c r="P1880" s="16">
        <v>3</v>
      </c>
      <c r="Q1880" s="16">
        <v>3</v>
      </c>
      <c r="R1880" s="16">
        <v>3</v>
      </c>
      <c r="S1880" s="16">
        <v>3</v>
      </c>
      <c r="T1880" s="18" t="s">
        <v>2250</v>
      </c>
      <c r="U1880" s="283" t="e">
        <v>#N/A</v>
      </c>
      <c r="V1880" s="18" t="s">
        <v>6270</v>
      </c>
      <c r="W1880" s="18">
        <v>1</v>
      </c>
      <c r="X1880" s="18">
        <v>1</v>
      </c>
      <c r="Y1880" s="18">
        <v>1</v>
      </c>
      <c r="Z1880" s="18">
        <v>1</v>
      </c>
      <c r="AA1880" s="18">
        <v>1</v>
      </c>
      <c r="AB1880" s="18">
        <v>1</v>
      </c>
      <c r="AC1880" s="316">
        <v>1</v>
      </c>
      <c r="AD1880" s="316">
        <v>1</v>
      </c>
      <c r="AE1880" s="302">
        <v>1</v>
      </c>
      <c r="AF1880" s="259"/>
      <c r="AG1880" s="259">
        <v>0</v>
      </c>
      <c r="AH1880" s="259">
        <v>3</v>
      </c>
      <c r="AI1880" s="259">
        <v>3</v>
      </c>
      <c r="AJ1880" s="259">
        <v>3</v>
      </c>
      <c r="AK1880" s="260">
        <v>3</v>
      </c>
      <c r="AL1880" s="260">
        <v>3</v>
      </c>
      <c r="AM1880" s="259">
        <v>6</v>
      </c>
      <c r="AN1880" s="18" t="s">
        <v>2250</v>
      </c>
      <c r="AO1880" s="18" t="s">
        <v>6271</v>
      </c>
      <c r="AP1880" s="18"/>
    </row>
    <row r="1881" spans="1:42" x14ac:dyDescent="0.3">
      <c r="A1881" s="18" t="s">
        <v>1463</v>
      </c>
      <c r="B1881" s="18" t="s">
        <v>5664</v>
      </c>
      <c r="C1881" s="18" t="s">
        <v>1468</v>
      </c>
      <c r="D1881" s="18" t="s">
        <v>6209</v>
      </c>
      <c r="E1881" s="18" t="s">
        <v>1469</v>
      </c>
      <c r="F1881" s="18" t="s">
        <v>6210</v>
      </c>
      <c r="G1881" s="18" t="s">
        <v>6244</v>
      </c>
      <c r="H1881" s="157" t="s">
        <v>6245</v>
      </c>
      <c r="I1881" s="18"/>
      <c r="J1881" s="18"/>
      <c r="K1881" s="18" t="s">
        <v>6267</v>
      </c>
      <c r="L1881" s="223" t="s">
        <v>6268</v>
      </c>
      <c r="M1881" s="223" t="s">
        <v>6272</v>
      </c>
      <c r="N1881" s="38">
        <v>0.3</v>
      </c>
      <c r="O1881" s="38">
        <v>0.1</v>
      </c>
      <c r="P1881" s="38">
        <v>0.13</v>
      </c>
      <c r="Q1881" s="38">
        <v>0.15</v>
      </c>
      <c r="R1881" s="38">
        <v>0.2</v>
      </c>
      <c r="S1881" s="38">
        <v>0.25</v>
      </c>
      <c r="T1881" s="18" t="s">
        <v>2250</v>
      </c>
      <c r="U1881" s="283" t="e">
        <v>#N/A</v>
      </c>
      <c r="V1881" s="18" t="s">
        <v>6273</v>
      </c>
      <c r="W1881" s="18">
        <v>1</v>
      </c>
      <c r="X1881" s="18">
        <v>1</v>
      </c>
      <c r="Y1881" s="18">
        <v>1</v>
      </c>
      <c r="Z1881" s="18">
        <v>1</v>
      </c>
      <c r="AA1881" s="18">
        <v>1</v>
      </c>
      <c r="AB1881" s="18">
        <v>1</v>
      </c>
      <c r="AC1881" s="316">
        <v>1</v>
      </c>
      <c r="AD1881" s="316">
        <v>1</v>
      </c>
      <c r="AE1881" s="302">
        <v>1</v>
      </c>
      <c r="AF1881" s="259"/>
      <c r="AG1881" s="259">
        <v>0</v>
      </c>
      <c r="AH1881" s="259">
        <v>4</v>
      </c>
      <c r="AI1881" s="259">
        <v>4</v>
      </c>
      <c r="AJ1881" s="259">
        <v>4</v>
      </c>
      <c r="AK1881" s="260">
        <v>4</v>
      </c>
      <c r="AL1881" s="260">
        <v>4</v>
      </c>
      <c r="AM1881" s="259">
        <v>8</v>
      </c>
      <c r="AN1881" s="18" t="s">
        <v>2250</v>
      </c>
      <c r="AO1881" s="18" t="s">
        <v>6271</v>
      </c>
      <c r="AP1881" s="18"/>
    </row>
    <row r="1882" spans="1:42" x14ac:dyDescent="0.3">
      <c r="A1882" s="18" t="s">
        <v>1463</v>
      </c>
      <c r="B1882" s="18" t="s">
        <v>5664</v>
      </c>
      <c r="C1882" s="18" t="s">
        <v>1468</v>
      </c>
      <c r="D1882" s="18" t="s">
        <v>6209</v>
      </c>
      <c r="E1882" s="18" t="s">
        <v>1469</v>
      </c>
      <c r="F1882" s="18" t="s">
        <v>6210</v>
      </c>
      <c r="G1882" s="18" t="s">
        <v>6244</v>
      </c>
      <c r="H1882" s="157" t="s">
        <v>6245</v>
      </c>
      <c r="I1882" s="18"/>
      <c r="J1882" s="18"/>
      <c r="K1882" s="18" t="s">
        <v>6267</v>
      </c>
      <c r="L1882" s="223" t="s">
        <v>6268</v>
      </c>
      <c r="M1882" s="223" t="s">
        <v>6274</v>
      </c>
      <c r="N1882" s="16"/>
      <c r="O1882" s="16"/>
      <c r="P1882" s="16">
        <v>1</v>
      </c>
      <c r="Q1882" s="16"/>
      <c r="R1882" s="16"/>
      <c r="S1882" s="16"/>
      <c r="T1882" s="18" t="s">
        <v>2250</v>
      </c>
      <c r="U1882" s="283" t="e">
        <v>#N/A</v>
      </c>
      <c r="V1882" s="18" t="s">
        <v>6275</v>
      </c>
      <c r="W1882" s="18">
        <v>1</v>
      </c>
      <c r="X1882" s="18">
        <v>1</v>
      </c>
      <c r="Y1882" s="18">
        <v>1</v>
      </c>
      <c r="Z1882" s="18">
        <v>1</v>
      </c>
      <c r="AA1882" s="18">
        <v>1</v>
      </c>
      <c r="AB1882" s="18">
        <v>1</v>
      </c>
      <c r="AC1882" s="316">
        <v>1</v>
      </c>
      <c r="AD1882" s="316">
        <v>1</v>
      </c>
      <c r="AE1882" s="302">
        <v>1</v>
      </c>
      <c r="AF1882" s="259"/>
      <c r="AG1882" s="259">
        <v>0</v>
      </c>
      <c r="AH1882" s="259"/>
      <c r="AI1882" s="259">
        <v>0.11700000000000001</v>
      </c>
      <c r="AJ1882" s="259"/>
      <c r="AK1882" s="260"/>
      <c r="AL1882" s="260"/>
      <c r="AM1882" s="259">
        <v>0</v>
      </c>
      <c r="AN1882" s="18" t="s">
        <v>2250</v>
      </c>
      <c r="AO1882" s="18" t="s">
        <v>6271</v>
      </c>
      <c r="AP1882" s="18"/>
    </row>
    <row r="1883" spans="1:42" x14ac:dyDescent="0.3">
      <c r="A1883" s="18" t="s">
        <v>1463</v>
      </c>
      <c r="B1883" s="18" t="s">
        <v>5664</v>
      </c>
      <c r="C1883" s="18" t="s">
        <v>1468</v>
      </c>
      <c r="D1883" s="18" t="s">
        <v>6209</v>
      </c>
      <c r="E1883" s="18" t="s">
        <v>1469</v>
      </c>
      <c r="F1883" s="18" t="s">
        <v>6210</v>
      </c>
      <c r="G1883" s="18" t="s">
        <v>6244</v>
      </c>
      <c r="H1883" s="157" t="s">
        <v>6245</v>
      </c>
      <c r="I1883" s="18"/>
      <c r="J1883" s="18"/>
      <c r="K1883" s="18" t="s">
        <v>6276</v>
      </c>
      <c r="L1883" s="223" t="s">
        <v>6277</v>
      </c>
      <c r="M1883" s="223" t="s">
        <v>6278</v>
      </c>
      <c r="N1883" s="16">
        <v>8</v>
      </c>
      <c r="O1883" s="16">
        <v>8</v>
      </c>
      <c r="P1883" s="16">
        <v>8</v>
      </c>
      <c r="Q1883" s="16">
        <v>8</v>
      </c>
      <c r="R1883" s="16">
        <v>8</v>
      </c>
      <c r="S1883" s="16">
        <v>8</v>
      </c>
      <c r="T1883" s="18" t="s">
        <v>280</v>
      </c>
      <c r="U1883" s="283" t="s">
        <v>1151</v>
      </c>
      <c r="V1883" s="18" t="s">
        <v>6279</v>
      </c>
      <c r="W1883" s="18">
        <v>1</v>
      </c>
      <c r="X1883" s="18">
        <v>1</v>
      </c>
      <c r="Y1883" s="18">
        <v>1</v>
      </c>
      <c r="Z1883" s="18">
        <v>1</v>
      </c>
      <c r="AA1883" s="18">
        <v>1</v>
      </c>
      <c r="AB1883" s="18">
        <v>1</v>
      </c>
      <c r="AC1883" s="316">
        <v>1</v>
      </c>
      <c r="AD1883" s="316">
        <v>1</v>
      </c>
      <c r="AE1883" s="302">
        <v>1</v>
      </c>
      <c r="AF1883" s="259"/>
      <c r="AG1883" s="259">
        <v>0</v>
      </c>
      <c r="AH1883" s="259">
        <v>0.4</v>
      </c>
      <c r="AI1883" s="259">
        <v>0.4</v>
      </c>
      <c r="AJ1883" s="259">
        <v>0.4</v>
      </c>
      <c r="AK1883" s="260">
        <v>0.4</v>
      </c>
      <c r="AL1883" s="260">
        <v>0.4</v>
      </c>
      <c r="AM1883" s="259">
        <v>0.8</v>
      </c>
      <c r="AN1883" s="18" t="s">
        <v>280</v>
      </c>
      <c r="AO1883" s="18" t="s">
        <v>1151</v>
      </c>
      <c r="AP1883" s="18"/>
    </row>
    <row r="1884" spans="1:42" x14ac:dyDescent="0.3">
      <c r="A1884" s="18" t="s">
        <v>1463</v>
      </c>
      <c r="B1884" s="18" t="s">
        <v>5664</v>
      </c>
      <c r="C1884" s="18" t="s">
        <v>1468</v>
      </c>
      <c r="D1884" s="18" t="s">
        <v>6209</v>
      </c>
      <c r="E1884" s="18" t="s">
        <v>1469</v>
      </c>
      <c r="F1884" s="18" t="s">
        <v>6210</v>
      </c>
      <c r="G1884" s="18" t="s">
        <v>6244</v>
      </c>
      <c r="H1884" s="157" t="s">
        <v>6245</v>
      </c>
      <c r="I1884" s="18"/>
      <c r="J1884" s="18"/>
      <c r="K1884" s="18" t="s">
        <v>6276</v>
      </c>
      <c r="L1884" s="223" t="s">
        <v>6277</v>
      </c>
      <c r="M1884" s="223" t="s">
        <v>6280</v>
      </c>
      <c r="N1884" s="16"/>
      <c r="O1884" s="16"/>
      <c r="P1884" s="16">
        <v>2500</v>
      </c>
      <c r="Q1884" s="16">
        <v>2500</v>
      </c>
      <c r="R1884" s="16">
        <v>2500</v>
      </c>
      <c r="S1884" s="16">
        <v>2500</v>
      </c>
      <c r="T1884" s="18" t="s">
        <v>280</v>
      </c>
      <c r="U1884" s="283" t="s">
        <v>1151</v>
      </c>
      <c r="V1884" s="18" t="s">
        <v>6281</v>
      </c>
      <c r="W1884" s="18">
        <v>1</v>
      </c>
      <c r="X1884" s="18">
        <v>1</v>
      </c>
      <c r="Y1884" s="18">
        <v>1</v>
      </c>
      <c r="Z1884" s="18">
        <v>1</v>
      </c>
      <c r="AA1884" s="18">
        <v>1</v>
      </c>
      <c r="AB1884" s="18">
        <v>1</v>
      </c>
      <c r="AC1884" s="316">
        <v>1</v>
      </c>
      <c r="AD1884" s="316">
        <v>1</v>
      </c>
      <c r="AE1884" s="302">
        <v>1</v>
      </c>
      <c r="AF1884" s="259"/>
      <c r="AG1884" s="259">
        <v>0</v>
      </c>
      <c r="AH1884" s="259"/>
      <c r="AI1884" s="259">
        <v>3.1080000000000001</v>
      </c>
      <c r="AJ1884" s="259">
        <v>3.1080000000000001</v>
      </c>
      <c r="AK1884" s="260">
        <v>3.1080000000000001</v>
      </c>
      <c r="AL1884" s="260">
        <v>3.1080000000000001</v>
      </c>
      <c r="AM1884" s="259">
        <v>6.2160000000000002</v>
      </c>
      <c r="AN1884" s="18" t="s">
        <v>280</v>
      </c>
      <c r="AO1884" s="18" t="s">
        <v>1151</v>
      </c>
      <c r="AP1884" s="18"/>
    </row>
    <row r="1885" spans="1:42" x14ac:dyDescent="0.3">
      <c r="A1885" s="18" t="s">
        <v>1463</v>
      </c>
      <c r="B1885" s="18" t="s">
        <v>5664</v>
      </c>
      <c r="C1885" s="18" t="s">
        <v>1468</v>
      </c>
      <c r="D1885" s="18" t="s">
        <v>6209</v>
      </c>
      <c r="E1885" s="18" t="s">
        <v>1469</v>
      </c>
      <c r="F1885" s="18" t="s">
        <v>6210</v>
      </c>
      <c r="G1885" s="18" t="s">
        <v>6244</v>
      </c>
      <c r="H1885" s="157" t="s">
        <v>6245</v>
      </c>
      <c r="I1885" s="18"/>
      <c r="J1885" s="18"/>
      <c r="K1885" s="18" t="s">
        <v>6276</v>
      </c>
      <c r="L1885" s="223" t="s">
        <v>6277</v>
      </c>
      <c r="M1885" s="223" t="s">
        <v>6282</v>
      </c>
      <c r="N1885" s="16"/>
      <c r="O1885" s="16">
        <v>4</v>
      </c>
      <c r="P1885" s="16">
        <v>4</v>
      </c>
      <c r="Q1885" s="16">
        <v>4</v>
      </c>
      <c r="R1885" s="16">
        <v>4</v>
      </c>
      <c r="S1885" s="16">
        <v>4</v>
      </c>
      <c r="T1885" s="18" t="s">
        <v>6283</v>
      </c>
      <c r="U1885" s="283" t="e">
        <v>#N/A</v>
      </c>
      <c r="V1885" s="18" t="s">
        <v>6284</v>
      </c>
      <c r="W1885" s="18">
        <v>1</v>
      </c>
      <c r="X1885" s="18">
        <v>1</v>
      </c>
      <c r="Y1885" s="18">
        <v>1</v>
      </c>
      <c r="Z1885" s="18">
        <v>1</v>
      </c>
      <c r="AA1885" s="18">
        <v>1</v>
      </c>
      <c r="AB1885" s="18">
        <v>1</v>
      </c>
      <c r="AC1885" s="316">
        <v>1</v>
      </c>
      <c r="AD1885" s="316">
        <v>1</v>
      </c>
      <c r="AE1885" s="302">
        <v>1</v>
      </c>
      <c r="AF1885" s="259"/>
      <c r="AG1885" s="259">
        <v>0</v>
      </c>
      <c r="AH1885" s="259">
        <v>3</v>
      </c>
      <c r="AI1885" s="259">
        <v>3</v>
      </c>
      <c r="AJ1885" s="259">
        <v>3</v>
      </c>
      <c r="AK1885" s="260">
        <v>3</v>
      </c>
      <c r="AL1885" s="260">
        <v>3</v>
      </c>
      <c r="AM1885" s="259">
        <v>6</v>
      </c>
      <c r="AN1885" s="18" t="s">
        <v>280</v>
      </c>
      <c r="AO1885" s="18" t="s">
        <v>1151</v>
      </c>
      <c r="AP1885" s="18"/>
    </row>
    <row r="1886" spans="1:42" x14ac:dyDescent="0.3">
      <c r="A1886" s="18" t="s">
        <v>1463</v>
      </c>
      <c r="B1886" s="18" t="s">
        <v>5664</v>
      </c>
      <c r="C1886" s="18" t="s">
        <v>1468</v>
      </c>
      <c r="D1886" s="18" t="s">
        <v>6209</v>
      </c>
      <c r="E1886" s="18" t="s">
        <v>1469</v>
      </c>
      <c r="F1886" s="18" t="s">
        <v>6210</v>
      </c>
      <c r="G1886" s="18" t="s">
        <v>6244</v>
      </c>
      <c r="H1886" s="157" t="s">
        <v>6245</v>
      </c>
      <c r="I1886" s="18"/>
      <c r="J1886" s="18"/>
      <c r="K1886" s="18" t="s">
        <v>6276</v>
      </c>
      <c r="L1886" s="223" t="s">
        <v>6277</v>
      </c>
      <c r="M1886" s="223" t="s">
        <v>6285</v>
      </c>
      <c r="N1886" s="16"/>
      <c r="O1886" s="16">
        <v>1</v>
      </c>
      <c r="P1886" s="16">
        <v>1</v>
      </c>
      <c r="Q1886" s="16">
        <v>1</v>
      </c>
      <c r="R1886" s="16">
        <v>1</v>
      </c>
      <c r="S1886" s="16">
        <v>1</v>
      </c>
      <c r="T1886" s="18" t="s">
        <v>280</v>
      </c>
      <c r="U1886" s="283" t="s">
        <v>1151</v>
      </c>
      <c r="V1886" s="18" t="s">
        <v>6286</v>
      </c>
      <c r="W1886" s="18">
        <v>1</v>
      </c>
      <c r="X1886" s="18">
        <v>1</v>
      </c>
      <c r="Y1886" s="18">
        <v>1</v>
      </c>
      <c r="Z1886" s="18">
        <v>1</v>
      </c>
      <c r="AA1886" s="18">
        <v>1</v>
      </c>
      <c r="AB1886" s="18">
        <v>1</v>
      </c>
      <c r="AC1886" s="316">
        <v>1</v>
      </c>
      <c r="AD1886" s="316">
        <v>1</v>
      </c>
      <c r="AE1886" s="302">
        <v>1</v>
      </c>
      <c r="AF1886" s="259"/>
      <c r="AG1886" s="259">
        <v>0</v>
      </c>
      <c r="AH1886" s="259">
        <v>1</v>
      </c>
      <c r="AI1886" s="259">
        <v>1</v>
      </c>
      <c r="AJ1886" s="259">
        <v>1</v>
      </c>
      <c r="AK1886" s="260">
        <v>1</v>
      </c>
      <c r="AL1886" s="260">
        <v>1</v>
      </c>
      <c r="AM1886" s="259">
        <v>2</v>
      </c>
      <c r="AN1886" s="18" t="s">
        <v>280</v>
      </c>
      <c r="AO1886" s="18" t="s">
        <v>1151</v>
      </c>
      <c r="AP1886" s="18"/>
    </row>
    <row r="1887" spans="1:42" x14ac:dyDescent="0.3">
      <c r="A1887" s="18" t="s">
        <v>1463</v>
      </c>
      <c r="B1887" s="18" t="s">
        <v>5664</v>
      </c>
      <c r="C1887" s="18" t="s">
        <v>1468</v>
      </c>
      <c r="D1887" s="18" t="s">
        <v>6209</v>
      </c>
      <c r="E1887" s="18" t="s">
        <v>1469</v>
      </c>
      <c r="F1887" s="18" t="s">
        <v>6210</v>
      </c>
      <c r="G1887" s="18" t="s">
        <v>6244</v>
      </c>
      <c r="H1887" s="157" t="s">
        <v>6245</v>
      </c>
      <c r="I1887" s="18"/>
      <c r="J1887" s="18"/>
      <c r="K1887" s="18" t="s">
        <v>6276</v>
      </c>
      <c r="L1887" s="223" t="s">
        <v>6277</v>
      </c>
      <c r="M1887" s="223" t="s">
        <v>6287</v>
      </c>
      <c r="N1887" s="16"/>
      <c r="O1887" s="16">
        <v>4</v>
      </c>
      <c r="P1887" s="16">
        <v>4</v>
      </c>
      <c r="Q1887" s="16">
        <v>4</v>
      </c>
      <c r="R1887" s="16">
        <v>4</v>
      </c>
      <c r="S1887" s="16">
        <v>4</v>
      </c>
      <c r="T1887" s="18" t="s">
        <v>280</v>
      </c>
      <c r="U1887" s="283" t="s">
        <v>1151</v>
      </c>
      <c r="V1887" s="18" t="s">
        <v>6288</v>
      </c>
      <c r="W1887" s="18">
        <v>1</v>
      </c>
      <c r="X1887" s="18">
        <v>1</v>
      </c>
      <c r="Y1887" s="18">
        <v>1</v>
      </c>
      <c r="Z1887" s="18">
        <v>1</v>
      </c>
      <c r="AA1887" s="18">
        <v>1</v>
      </c>
      <c r="AB1887" s="18">
        <v>1</v>
      </c>
      <c r="AC1887" s="316">
        <v>1</v>
      </c>
      <c r="AD1887" s="316">
        <v>1</v>
      </c>
      <c r="AE1887" s="302">
        <v>1</v>
      </c>
      <c r="AF1887" s="259"/>
      <c r="AG1887" s="259">
        <v>0</v>
      </c>
      <c r="AH1887" s="259">
        <v>0.2</v>
      </c>
      <c r="AI1887" s="259">
        <v>0.2</v>
      </c>
      <c r="AJ1887" s="259">
        <v>0.2</v>
      </c>
      <c r="AK1887" s="260">
        <v>0.2</v>
      </c>
      <c r="AL1887" s="260">
        <v>0.2</v>
      </c>
      <c r="AM1887" s="259">
        <v>0.4</v>
      </c>
      <c r="AN1887" s="18" t="s">
        <v>280</v>
      </c>
      <c r="AO1887" s="18" t="s">
        <v>1151</v>
      </c>
      <c r="AP1887" s="18"/>
    </row>
    <row r="1888" spans="1:42" x14ac:dyDescent="0.3">
      <c r="A1888" s="18" t="s">
        <v>1463</v>
      </c>
      <c r="B1888" s="18" t="s">
        <v>5664</v>
      </c>
      <c r="C1888" s="18" t="s">
        <v>1468</v>
      </c>
      <c r="D1888" s="18" t="s">
        <v>6209</v>
      </c>
      <c r="E1888" s="18" t="s">
        <v>1469</v>
      </c>
      <c r="F1888" s="18" t="s">
        <v>6210</v>
      </c>
      <c r="G1888" s="18" t="s">
        <v>6244</v>
      </c>
      <c r="H1888" s="157" t="s">
        <v>6245</v>
      </c>
      <c r="I1888" s="18"/>
      <c r="J1888" s="18"/>
      <c r="K1888" s="18" t="s">
        <v>6276</v>
      </c>
      <c r="L1888" s="223" t="s">
        <v>6277</v>
      </c>
      <c r="M1888" s="223" t="s">
        <v>6289</v>
      </c>
      <c r="N1888" s="16"/>
      <c r="O1888" s="16">
        <v>4</v>
      </c>
      <c r="P1888" s="16">
        <v>4</v>
      </c>
      <c r="Q1888" s="16">
        <v>4</v>
      </c>
      <c r="R1888" s="16">
        <v>4</v>
      </c>
      <c r="S1888" s="16">
        <v>4</v>
      </c>
      <c r="T1888" s="18" t="s">
        <v>280</v>
      </c>
      <c r="U1888" s="283" t="s">
        <v>1151</v>
      </c>
      <c r="V1888" s="18" t="s">
        <v>6290</v>
      </c>
      <c r="W1888" s="18">
        <v>1</v>
      </c>
      <c r="X1888" s="18">
        <v>1</v>
      </c>
      <c r="Y1888" s="18">
        <v>1</v>
      </c>
      <c r="Z1888" s="18">
        <v>1</v>
      </c>
      <c r="AA1888" s="18">
        <v>1</v>
      </c>
      <c r="AB1888" s="18">
        <v>1</v>
      </c>
      <c r="AC1888" s="316">
        <v>1</v>
      </c>
      <c r="AD1888" s="316">
        <v>1</v>
      </c>
      <c r="AE1888" s="302">
        <v>1</v>
      </c>
      <c r="AF1888" s="259"/>
      <c r="AG1888" s="259">
        <v>0</v>
      </c>
      <c r="AH1888" s="259">
        <v>0.1</v>
      </c>
      <c r="AI1888" s="259">
        <v>0.1</v>
      </c>
      <c r="AJ1888" s="259">
        <v>0.1</v>
      </c>
      <c r="AK1888" s="260">
        <v>0.5</v>
      </c>
      <c r="AL1888" s="260">
        <v>0.1</v>
      </c>
      <c r="AM1888" s="259">
        <v>0.2</v>
      </c>
      <c r="AN1888" s="18" t="s">
        <v>280</v>
      </c>
      <c r="AO1888" s="18" t="s">
        <v>1151</v>
      </c>
      <c r="AP1888" s="18"/>
    </row>
    <row r="1889" spans="1:42" x14ac:dyDescent="0.3">
      <c r="A1889" s="18" t="s">
        <v>1463</v>
      </c>
      <c r="B1889" s="18" t="s">
        <v>5664</v>
      </c>
      <c r="C1889" s="18" t="s">
        <v>1468</v>
      </c>
      <c r="D1889" s="18" t="s">
        <v>6209</v>
      </c>
      <c r="E1889" s="18" t="s">
        <v>1469</v>
      </c>
      <c r="F1889" s="18" t="s">
        <v>6210</v>
      </c>
      <c r="G1889" s="18" t="s">
        <v>6244</v>
      </c>
      <c r="H1889" s="157" t="s">
        <v>6245</v>
      </c>
      <c r="I1889" s="18"/>
      <c r="J1889" s="18"/>
      <c r="K1889" s="18" t="s">
        <v>6276</v>
      </c>
      <c r="L1889" s="223" t="s">
        <v>6277</v>
      </c>
      <c r="M1889" s="223" t="s">
        <v>6291</v>
      </c>
      <c r="N1889" s="16"/>
      <c r="O1889" s="16">
        <v>4</v>
      </c>
      <c r="P1889" s="16">
        <v>4</v>
      </c>
      <c r="Q1889" s="16">
        <v>4</v>
      </c>
      <c r="R1889" s="16">
        <v>4</v>
      </c>
      <c r="S1889" s="16">
        <v>4</v>
      </c>
      <c r="T1889" s="18" t="s">
        <v>280</v>
      </c>
      <c r="U1889" s="283" t="s">
        <v>1151</v>
      </c>
      <c r="V1889" s="18" t="s">
        <v>6292</v>
      </c>
      <c r="W1889" s="18">
        <v>1</v>
      </c>
      <c r="X1889" s="18">
        <v>1</v>
      </c>
      <c r="Y1889" s="18">
        <v>1</v>
      </c>
      <c r="Z1889" s="18">
        <v>1</v>
      </c>
      <c r="AA1889" s="18">
        <v>1</v>
      </c>
      <c r="AB1889" s="18">
        <v>1</v>
      </c>
      <c r="AC1889" s="316">
        <v>1</v>
      </c>
      <c r="AD1889" s="316">
        <v>1</v>
      </c>
      <c r="AE1889" s="302">
        <v>1</v>
      </c>
      <c r="AF1889" s="259"/>
      <c r="AG1889" s="259">
        <v>0</v>
      </c>
      <c r="AH1889" s="259">
        <v>0.1</v>
      </c>
      <c r="AI1889" s="259">
        <v>0.1</v>
      </c>
      <c r="AJ1889" s="259">
        <v>0.1</v>
      </c>
      <c r="AK1889" s="260">
        <v>0.5</v>
      </c>
      <c r="AL1889" s="260">
        <v>0.1</v>
      </c>
      <c r="AM1889" s="259">
        <v>0.2</v>
      </c>
      <c r="AN1889" s="18" t="s">
        <v>280</v>
      </c>
      <c r="AO1889" s="18" t="s">
        <v>1151</v>
      </c>
      <c r="AP1889" s="18"/>
    </row>
    <row r="1890" spans="1:42" x14ac:dyDescent="0.3">
      <c r="A1890" s="18" t="s">
        <v>1463</v>
      </c>
      <c r="B1890" s="18" t="s">
        <v>5664</v>
      </c>
      <c r="C1890" s="18" t="s">
        <v>1468</v>
      </c>
      <c r="D1890" s="18" t="s">
        <v>6209</v>
      </c>
      <c r="E1890" s="18" t="s">
        <v>1469</v>
      </c>
      <c r="F1890" s="18" t="s">
        <v>6210</v>
      </c>
      <c r="G1890" s="18" t="s">
        <v>6293</v>
      </c>
      <c r="H1890" s="157" t="s">
        <v>6294</v>
      </c>
      <c r="I1890" s="18" t="s">
        <v>6295</v>
      </c>
      <c r="J1890" s="18" t="s">
        <v>6296</v>
      </c>
      <c r="K1890" s="18" t="s">
        <v>6297</v>
      </c>
      <c r="L1890" s="18" t="s">
        <v>6298</v>
      </c>
      <c r="M1890" s="18" t="s">
        <v>6299</v>
      </c>
      <c r="N1890" s="16"/>
      <c r="O1890" s="16">
        <v>20</v>
      </c>
      <c r="P1890" s="16">
        <v>30</v>
      </c>
      <c r="Q1890" s="16">
        <v>45</v>
      </c>
      <c r="R1890" s="16">
        <v>50</v>
      </c>
      <c r="S1890" s="16">
        <v>55</v>
      </c>
      <c r="T1890" s="18" t="s">
        <v>6300</v>
      </c>
      <c r="U1890" s="283" t="s">
        <v>6301</v>
      </c>
      <c r="V1890" s="18" t="s">
        <v>6302</v>
      </c>
      <c r="W1890" s="18">
        <v>1</v>
      </c>
      <c r="X1890" s="18">
        <v>1</v>
      </c>
      <c r="Y1890" s="18">
        <v>1</v>
      </c>
      <c r="Z1890" s="18">
        <v>1</v>
      </c>
      <c r="AA1890" s="18">
        <v>1</v>
      </c>
      <c r="AB1890" s="18">
        <v>1</v>
      </c>
      <c r="AC1890" s="316">
        <v>1</v>
      </c>
      <c r="AD1890" s="316">
        <v>1</v>
      </c>
      <c r="AE1890" s="302">
        <v>1</v>
      </c>
      <c r="AF1890" s="259"/>
      <c r="AG1890" s="259">
        <v>0</v>
      </c>
      <c r="AH1890" s="259">
        <v>0.7</v>
      </c>
      <c r="AI1890" s="259">
        <v>0.7</v>
      </c>
      <c r="AJ1890" s="259">
        <v>0.7</v>
      </c>
      <c r="AK1890" s="260">
        <v>0.9</v>
      </c>
      <c r="AL1890" s="260">
        <v>0</v>
      </c>
      <c r="AM1890" s="259">
        <v>0.7</v>
      </c>
      <c r="AN1890" s="18" t="s">
        <v>6300</v>
      </c>
      <c r="AO1890" s="18" t="s">
        <v>6301</v>
      </c>
      <c r="AP1890" s="18" t="s">
        <v>6303</v>
      </c>
    </row>
    <row r="1891" spans="1:42" x14ac:dyDescent="0.3">
      <c r="A1891" s="18" t="s">
        <v>1463</v>
      </c>
      <c r="B1891" s="18" t="s">
        <v>5664</v>
      </c>
      <c r="C1891" s="18" t="s">
        <v>1468</v>
      </c>
      <c r="D1891" s="18" t="s">
        <v>6209</v>
      </c>
      <c r="E1891" s="18" t="s">
        <v>1469</v>
      </c>
      <c r="F1891" s="18" t="s">
        <v>6210</v>
      </c>
      <c r="G1891" s="18" t="s">
        <v>6293</v>
      </c>
      <c r="H1891" s="157" t="s">
        <v>6294</v>
      </c>
      <c r="I1891" s="18" t="s">
        <v>6295</v>
      </c>
      <c r="J1891" s="18" t="s">
        <v>6296</v>
      </c>
      <c r="K1891" s="18" t="s">
        <v>6297</v>
      </c>
      <c r="L1891" s="18" t="s">
        <v>6298</v>
      </c>
      <c r="M1891" s="268" t="s">
        <v>6304</v>
      </c>
      <c r="N1891" s="16" t="s">
        <v>271</v>
      </c>
      <c r="O1891" s="16">
        <v>10</v>
      </c>
      <c r="P1891" s="16">
        <v>10</v>
      </c>
      <c r="Q1891" s="16">
        <v>40</v>
      </c>
      <c r="R1891" s="16">
        <v>60</v>
      </c>
      <c r="S1891" s="16"/>
      <c r="T1891" s="18" t="s">
        <v>6300</v>
      </c>
      <c r="U1891" s="283" t="s">
        <v>6301</v>
      </c>
      <c r="V1891" s="18" t="s">
        <v>6305</v>
      </c>
      <c r="W1891" s="18">
        <v>1</v>
      </c>
      <c r="X1891" s="18">
        <v>1</v>
      </c>
      <c r="Y1891" s="18">
        <v>1</v>
      </c>
      <c r="Z1891" s="18">
        <v>1</v>
      </c>
      <c r="AA1891" s="18">
        <v>1</v>
      </c>
      <c r="AB1891" s="18">
        <v>1</v>
      </c>
      <c r="AC1891" s="316">
        <v>1</v>
      </c>
      <c r="AD1891" s="316">
        <v>1</v>
      </c>
      <c r="AE1891" s="302">
        <v>1</v>
      </c>
      <c r="AF1891" s="259"/>
      <c r="AG1891" s="259">
        <v>0</v>
      </c>
      <c r="AH1891" s="259">
        <v>0.23</v>
      </c>
      <c r="AI1891" s="259">
        <v>0.23</v>
      </c>
      <c r="AJ1891" s="259">
        <v>0.23</v>
      </c>
      <c r="AK1891" s="260">
        <v>0.23</v>
      </c>
      <c r="AL1891" s="260">
        <v>0.23</v>
      </c>
      <c r="AM1891" s="259">
        <v>0.46</v>
      </c>
      <c r="AN1891" s="18" t="s">
        <v>6300</v>
      </c>
      <c r="AO1891" s="18" t="s">
        <v>6301</v>
      </c>
      <c r="AP1891" s="18" t="s">
        <v>6306</v>
      </c>
    </row>
    <row r="1892" spans="1:42" x14ac:dyDescent="0.3">
      <c r="A1892" s="18" t="s">
        <v>1463</v>
      </c>
      <c r="B1892" s="18" t="s">
        <v>5664</v>
      </c>
      <c r="C1892" s="18" t="s">
        <v>1468</v>
      </c>
      <c r="D1892" s="18" t="s">
        <v>6209</v>
      </c>
      <c r="E1892" s="18" t="s">
        <v>1469</v>
      </c>
      <c r="F1892" s="18" t="s">
        <v>6210</v>
      </c>
      <c r="G1892" s="18" t="s">
        <v>6293</v>
      </c>
      <c r="H1892" s="157" t="s">
        <v>6294</v>
      </c>
      <c r="I1892" s="18" t="s">
        <v>6295</v>
      </c>
      <c r="J1892" s="18" t="s">
        <v>6296</v>
      </c>
      <c r="K1892" s="18" t="s">
        <v>6307</v>
      </c>
      <c r="L1892" s="18" t="s">
        <v>6308</v>
      </c>
      <c r="M1892" s="18" t="s">
        <v>6309</v>
      </c>
      <c r="N1892" s="16"/>
      <c r="O1892" s="16">
        <v>50</v>
      </c>
      <c r="P1892" s="16">
        <v>50</v>
      </c>
      <c r="Q1892" s="16">
        <v>50</v>
      </c>
      <c r="R1892" s="16"/>
      <c r="S1892" s="16"/>
      <c r="T1892" s="18" t="s">
        <v>6300</v>
      </c>
      <c r="U1892" s="283" t="s">
        <v>6301</v>
      </c>
      <c r="V1892" s="18" t="s">
        <v>6310</v>
      </c>
      <c r="W1892" s="18">
        <v>1</v>
      </c>
      <c r="X1892" s="18">
        <v>1</v>
      </c>
      <c r="Y1892" s="18">
        <v>1</v>
      </c>
      <c r="Z1892" s="18">
        <v>1</v>
      </c>
      <c r="AA1892" s="18">
        <v>1</v>
      </c>
      <c r="AB1892" s="18">
        <v>1</v>
      </c>
      <c r="AC1892" s="316">
        <v>1</v>
      </c>
      <c r="AD1892" s="316">
        <v>1</v>
      </c>
      <c r="AE1892" s="302">
        <v>1</v>
      </c>
      <c r="AF1892" s="259"/>
      <c r="AG1892" s="259">
        <v>0</v>
      </c>
      <c r="AH1892" s="259">
        <v>0.7</v>
      </c>
      <c r="AI1892" s="259">
        <v>0.7</v>
      </c>
      <c r="AJ1892" s="259">
        <v>0.7</v>
      </c>
      <c r="AK1892" s="260">
        <v>0.7</v>
      </c>
      <c r="AL1892" s="260">
        <v>0.7</v>
      </c>
      <c r="AM1892" s="259">
        <v>1.4</v>
      </c>
      <c r="AN1892" s="18" t="s">
        <v>6300</v>
      </c>
      <c r="AO1892" s="18" t="s">
        <v>6301</v>
      </c>
      <c r="AP1892" s="18"/>
    </row>
    <row r="1893" spans="1:42" x14ac:dyDescent="0.3">
      <c r="A1893" s="18" t="s">
        <v>1463</v>
      </c>
      <c r="B1893" s="18" t="s">
        <v>5664</v>
      </c>
      <c r="C1893" s="18" t="s">
        <v>1468</v>
      </c>
      <c r="D1893" s="18" t="s">
        <v>6209</v>
      </c>
      <c r="E1893" s="18" t="s">
        <v>1469</v>
      </c>
      <c r="F1893" s="18" t="s">
        <v>6210</v>
      </c>
      <c r="G1893" s="18" t="s">
        <v>6293</v>
      </c>
      <c r="H1893" s="157" t="s">
        <v>6294</v>
      </c>
      <c r="I1893" s="18" t="s">
        <v>6295</v>
      </c>
      <c r="J1893" s="18" t="s">
        <v>6296</v>
      </c>
      <c r="K1893" s="18" t="s">
        <v>6311</v>
      </c>
      <c r="L1893" s="18" t="s">
        <v>6312</v>
      </c>
      <c r="M1893" s="18" t="s">
        <v>6313</v>
      </c>
      <c r="N1893" s="16"/>
      <c r="O1893" s="16">
        <v>6</v>
      </c>
      <c r="P1893" s="16">
        <v>6</v>
      </c>
      <c r="Q1893" s="16">
        <v>6</v>
      </c>
      <c r="R1893" s="16">
        <v>6</v>
      </c>
      <c r="S1893" s="16">
        <v>6</v>
      </c>
      <c r="T1893" s="18" t="s">
        <v>6300</v>
      </c>
      <c r="U1893" s="283" t="s">
        <v>6301</v>
      </c>
      <c r="V1893" s="18" t="s">
        <v>6314</v>
      </c>
      <c r="W1893" s="18">
        <v>1</v>
      </c>
      <c r="X1893" s="18">
        <v>1</v>
      </c>
      <c r="Y1893" s="18">
        <v>1</v>
      </c>
      <c r="Z1893" s="18">
        <v>1</v>
      </c>
      <c r="AA1893" s="18">
        <v>1</v>
      </c>
      <c r="AB1893" s="18">
        <v>1</v>
      </c>
      <c r="AC1893" s="316">
        <v>1</v>
      </c>
      <c r="AD1893" s="316">
        <v>1</v>
      </c>
      <c r="AE1893" s="302">
        <v>1</v>
      </c>
      <c r="AF1893" s="259"/>
      <c r="AG1893" s="259">
        <v>0</v>
      </c>
      <c r="AH1893" s="259">
        <v>0.04</v>
      </c>
      <c r="AI1893" s="259">
        <v>0.04</v>
      </c>
      <c r="AJ1893" s="259">
        <v>0.04</v>
      </c>
      <c r="AK1893" s="260">
        <v>0.1</v>
      </c>
      <c r="AL1893" s="260">
        <v>0.04</v>
      </c>
      <c r="AM1893" s="259">
        <v>0.08</v>
      </c>
      <c r="AN1893" s="18" t="s">
        <v>6300</v>
      </c>
      <c r="AO1893" s="18" t="s">
        <v>6301</v>
      </c>
      <c r="AP1893" s="18"/>
    </row>
    <row r="1894" spans="1:42" x14ac:dyDescent="0.3">
      <c r="A1894" s="18" t="s">
        <v>1463</v>
      </c>
      <c r="B1894" s="18" t="s">
        <v>5664</v>
      </c>
      <c r="C1894" s="18" t="s">
        <v>1468</v>
      </c>
      <c r="D1894" s="18" t="s">
        <v>6209</v>
      </c>
      <c r="E1894" s="18" t="s">
        <v>1469</v>
      </c>
      <c r="F1894" s="18" t="s">
        <v>6210</v>
      </c>
      <c r="G1894" s="18" t="s">
        <v>6293</v>
      </c>
      <c r="H1894" s="157" t="s">
        <v>6294</v>
      </c>
      <c r="I1894" s="18" t="s">
        <v>6295</v>
      </c>
      <c r="J1894" s="18" t="s">
        <v>6296</v>
      </c>
      <c r="K1894" s="18" t="s">
        <v>6315</v>
      </c>
      <c r="L1894" s="18" t="s">
        <v>6316</v>
      </c>
      <c r="M1894" s="18" t="s">
        <v>6317</v>
      </c>
      <c r="N1894" s="16"/>
      <c r="O1894" s="16">
        <v>1</v>
      </c>
      <c r="P1894" s="16">
        <v>1</v>
      </c>
      <c r="Q1894" s="16">
        <v>1</v>
      </c>
      <c r="R1894" s="16">
        <v>1</v>
      </c>
      <c r="S1894" s="16">
        <v>1</v>
      </c>
      <c r="T1894" s="18" t="s">
        <v>6300</v>
      </c>
      <c r="U1894" s="283" t="s">
        <v>6301</v>
      </c>
      <c r="V1894" s="18" t="s">
        <v>6318</v>
      </c>
      <c r="W1894" s="18">
        <v>1</v>
      </c>
      <c r="X1894" s="18">
        <v>1</v>
      </c>
      <c r="Y1894" s="18">
        <v>1</v>
      </c>
      <c r="Z1894" s="18">
        <v>1</v>
      </c>
      <c r="AA1894" s="18">
        <v>1</v>
      </c>
      <c r="AB1894" s="18">
        <v>1</v>
      </c>
      <c r="AC1894" s="316">
        <v>1</v>
      </c>
      <c r="AD1894" s="316">
        <v>1</v>
      </c>
      <c r="AE1894" s="302">
        <v>1</v>
      </c>
      <c r="AF1894" s="259"/>
      <c r="AG1894" s="259">
        <v>0</v>
      </c>
      <c r="AH1894" s="259">
        <v>0.16</v>
      </c>
      <c r="AI1894" s="259">
        <v>0.16</v>
      </c>
      <c r="AJ1894" s="259">
        <v>0.16</v>
      </c>
      <c r="AK1894" s="260">
        <v>0.16</v>
      </c>
      <c r="AL1894" s="260">
        <v>0.16</v>
      </c>
      <c r="AM1894" s="259">
        <v>0.32</v>
      </c>
      <c r="AN1894" s="18" t="s">
        <v>6300</v>
      </c>
      <c r="AO1894" s="18" t="s">
        <v>6301</v>
      </c>
      <c r="AP1894" s="18"/>
    </row>
    <row r="1895" spans="1:42" x14ac:dyDescent="0.3">
      <c r="A1895" s="18" t="s">
        <v>1463</v>
      </c>
      <c r="B1895" s="18" t="s">
        <v>5664</v>
      </c>
      <c r="C1895" s="18" t="s">
        <v>1468</v>
      </c>
      <c r="D1895" s="18" t="s">
        <v>6209</v>
      </c>
      <c r="E1895" s="18" t="s">
        <v>1469</v>
      </c>
      <c r="F1895" s="18" t="s">
        <v>6210</v>
      </c>
      <c r="G1895" s="18" t="s">
        <v>6293</v>
      </c>
      <c r="H1895" s="157" t="s">
        <v>6294</v>
      </c>
      <c r="I1895" s="18" t="s">
        <v>6295</v>
      </c>
      <c r="J1895" s="18" t="s">
        <v>6296</v>
      </c>
      <c r="K1895" s="18" t="s">
        <v>6315</v>
      </c>
      <c r="L1895" s="18" t="s">
        <v>6316</v>
      </c>
      <c r="M1895" s="18" t="s">
        <v>6319</v>
      </c>
      <c r="N1895" s="16"/>
      <c r="O1895" s="16"/>
      <c r="P1895" s="16">
        <v>1</v>
      </c>
      <c r="Q1895" s="16"/>
      <c r="R1895" s="16"/>
      <c r="S1895" s="16"/>
      <c r="T1895" s="18" t="s">
        <v>6300</v>
      </c>
      <c r="U1895" s="283" t="s">
        <v>6301</v>
      </c>
      <c r="V1895" s="18" t="s">
        <v>6320</v>
      </c>
      <c r="W1895" s="18">
        <v>1</v>
      </c>
      <c r="X1895" s="18">
        <v>1</v>
      </c>
      <c r="Y1895" s="18">
        <v>1</v>
      </c>
      <c r="Z1895" s="18">
        <v>1</v>
      </c>
      <c r="AA1895" s="18">
        <v>1</v>
      </c>
      <c r="AB1895" s="18">
        <v>1</v>
      </c>
      <c r="AC1895" s="316">
        <v>1</v>
      </c>
      <c r="AD1895" s="316">
        <v>1</v>
      </c>
      <c r="AE1895" s="302">
        <v>1</v>
      </c>
      <c r="AF1895" s="259"/>
      <c r="AG1895" s="259">
        <v>0</v>
      </c>
      <c r="AH1895" s="259">
        <v>0.15</v>
      </c>
      <c r="AI1895" s="259">
        <v>0.15</v>
      </c>
      <c r="AJ1895" s="259">
        <v>0.15</v>
      </c>
      <c r="AK1895" s="260">
        <v>0.15</v>
      </c>
      <c r="AL1895" s="260">
        <v>0.15</v>
      </c>
      <c r="AM1895" s="259">
        <v>0.3</v>
      </c>
      <c r="AN1895" s="18" t="s">
        <v>6300</v>
      </c>
      <c r="AO1895" s="18" t="s">
        <v>6301</v>
      </c>
      <c r="AP1895" s="18"/>
    </row>
    <row r="1896" spans="1:42" x14ac:dyDescent="0.3">
      <c r="A1896" s="18" t="s">
        <v>1463</v>
      </c>
      <c r="B1896" s="18" t="s">
        <v>5664</v>
      </c>
      <c r="C1896" s="18" t="s">
        <v>1468</v>
      </c>
      <c r="D1896" s="18" t="s">
        <v>6209</v>
      </c>
      <c r="E1896" s="18" t="s">
        <v>1469</v>
      </c>
      <c r="F1896" s="18" t="s">
        <v>6210</v>
      </c>
      <c r="G1896" s="18" t="s">
        <v>6293</v>
      </c>
      <c r="H1896" s="157" t="s">
        <v>6294</v>
      </c>
      <c r="I1896" s="18" t="s">
        <v>6295</v>
      </c>
      <c r="J1896" s="18" t="s">
        <v>6296</v>
      </c>
      <c r="K1896" s="18" t="s">
        <v>6315</v>
      </c>
      <c r="L1896" s="18" t="s">
        <v>6316</v>
      </c>
      <c r="M1896" s="18" t="s">
        <v>6321</v>
      </c>
      <c r="N1896" s="16"/>
      <c r="O1896" s="16">
        <v>1</v>
      </c>
      <c r="P1896" s="16">
        <v>1</v>
      </c>
      <c r="Q1896" s="16">
        <v>1</v>
      </c>
      <c r="R1896" s="16">
        <v>1</v>
      </c>
      <c r="S1896" s="16">
        <v>1</v>
      </c>
      <c r="T1896" s="18" t="s">
        <v>6300</v>
      </c>
      <c r="U1896" s="283" t="s">
        <v>6301</v>
      </c>
      <c r="V1896" s="18" t="s">
        <v>6322</v>
      </c>
      <c r="W1896" s="18">
        <v>1</v>
      </c>
      <c r="X1896" s="18">
        <v>1</v>
      </c>
      <c r="Y1896" s="18">
        <v>1</v>
      </c>
      <c r="Z1896" s="18">
        <v>1</v>
      </c>
      <c r="AA1896" s="18">
        <v>1</v>
      </c>
      <c r="AB1896" s="18">
        <v>1</v>
      </c>
      <c r="AC1896" s="316">
        <v>1</v>
      </c>
      <c r="AD1896" s="316">
        <v>1</v>
      </c>
      <c r="AE1896" s="302">
        <v>1</v>
      </c>
      <c r="AF1896" s="259"/>
      <c r="AG1896" s="259">
        <v>0</v>
      </c>
      <c r="AH1896" s="259">
        <v>0.04</v>
      </c>
      <c r="AI1896" s="259">
        <v>0.04</v>
      </c>
      <c r="AJ1896" s="259">
        <v>0.04</v>
      </c>
      <c r="AK1896" s="260">
        <v>0.1</v>
      </c>
      <c r="AL1896" s="260">
        <v>0.04</v>
      </c>
      <c r="AM1896" s="259">
        <v>0.08</v>
      </c>
      <c r="AN1896" s="18" t="s">
        <v>6300</v>
      </c>
      <c r="AO1896" s="18" t="s">
        <v>6301</v>
      </c>
      <c r="AP1896" s="18"/>
    </row>
    <row r="1897" spans="1:42" x14ac:dyDescent="0.3">
      <c r="A1897" s="18" t="s">
        <v>1463</v>
      </c>
      <c r="B1897" s="18" t="s">
        <v>5664</v>
      </c>
      <c r="C1897" s="18" t="s">
        <v>1468</v>
      </c>
      <c r="D1897" s="18" t="s">
        <v>6209</v>
      </c>
      <c r="E1897" s="18" t="s">
        <v>1469</v>
      </c>
      <c r="F1897" s="18" t="s">
        <v>6210</v>
      </c>
      <c r="G1897" s="18" t="s">
        <v>6293</v>
      </c>
      <c r="H1897" s="157" t="s">
        <v>6294</v>
      </c>
      <c r="I1897" s="18" t="s">
        <v>6295</v>
      </c>
      <c r="J1897" s="18" t="s">
        <v>6296</v>
      </c>
      <c r="K1897" s="18" t="s">
        <v>6323</v>
      </c>
      <c r="L1897" s="18" t="s">
        <v>6324</v>
      </c>
      <c r="M1897" s="18" t="s">
        <v>6325</v>
      </c>
      <c r="N1897" s="223"/>
      <c r="O1897" s="16"/>
      <c r="P1897" s="16">
        <v>1</v>
      </c>
      <c r="Q1897" s="16">
        <v>1</v>
      </c>
      <c r="R1897" s="16">
        <v>1</v>
      </c>
      <c r="S1897" s="16"/>
      <c r="T1897" s="18" t="s">
        <v>6300</v>
      </c>
      <c r="U1897" s="283" t="s">
        <v>6301</v>
      </c>
      <c r="V1897" s="18" t="s">
        <v>6326</v>
      </c>
      <c r="W1897" s="18">
        <v>1</v>
      </c>
      <c r="X1897" s="18">
        <v>1</v>
      </c>
      <c r="Y1897" s="18">
        <v>1</v>
      </c>
      <c r="Z1897" s="18">
        <v>1</v>
      </c>
      <c r="AA1897" s="18">
        <v>1</v>
      </c>
      <c r="AB1897" s="18">
        <v>1</v>
      </c>
      <c r="AC1897" s="316">
        <v>1</v>
      </c>
      <c r="AD1897" s="316">
        <v>1</v>
      </c>
      <c r="AE1897" s="302">
        <v>1</v>
      </c>
      <c r="AF1897" s="259"/>
      <c r="AG1897" s="259">
        <v>0</v>
      </c>
      <c r="AH1897" s="259"/>
      <c r="AI1897" s="259">
        <v>0.5</v>
      </c>
      <c r="AJ1897" s="259">
        <v>0.5</v>
      </c>
      <c r="AK1897" s="260">
        <v>0.5</v>
      </c>
      <c r="AL1897" s="260">
        <v>0.5</v>
      </c>
      <c r="AM1897" s="259">
        <v>1</v>
      </c>
      <c r="AN1897" s="18" t="s">
        <v>6300</v>
      </c>
      <c r="AO1897" s="18" t="s">
        <v>6301</v>
      </c>
      <c r="AP1897" s="18"/>
    </row>
    <row r="1898" spans="1:42" x14ac:dyDescent="0.3">
      <c r="A1898" s="18" t="s">
        <v>1463</v>
      </c>
      <c r="B1898" s="18" t="s">
        <v>5664</v>
      </c>
      <c r="C1898" s="18" t="s">
        <v>1468</v>
      </c>
      <c r="D1898" s="18" t="s">
        <v>6209</v>
      </c>
      <c r="E1898" s="18" t="s">
        <v>1469</v>
      </c>
      <c r="F1898" s="18" t="s">
        <v>6210</v>
      </c>
      <c r="G1898" s="18" t="s">
        <v>6293</v>
      </c>
      <c r="H1898" s="157" t="s">
        <v>6294</v>
      </c>
      <c r="I1898" s="18" t="s">
        <v>6295</v>
      </c>
      <c r="J1898" s="18" t="s">
        <v>6296</v>
      </c>
      <c r="K1898" s="18" t="s">
        <v>6327</v>
      </c>
      <c r="L1898" s="18" t="s">
        <v>6328</v>
      </c>
      <c r="M1898" s="18" t="s">
        <v>6329</v>
      </c>
      <c r="N1898" s="223"/>
      <c r="O1898" s="16">
        <v>1</v>
      </c>
      <c r="P1898" s="16">
        <v>1</v>
      </c>
      <c r="Q1898" s="16">
        <v>1</v>
      </c>
      <c r="R1898" s="16">
        <v>1</v>
      </c>
      <c r="S1898" s="16">
        <v>1</v>
      </c>
      <c r="T1898" s="18" t="s">
        <v>6300</v>
      </c>
      <c r="U1898" s="283" t="s">
        <v>6301</v>
      </c>
      <c r="V1898" s="18" t="s">
        <v>6330</v>
      </c>
      <c r="W1898" s="18">
        <v>1</v>
      </c>
      <c r="X1898" s="18">
        <v>1</v>
      </c>
      <c r="Y1898" s="18">
        <v>1</v>
      </c>
      <c r="Z1898" s="18">
        <v>1</v>
      </c>
      <c r="AA1898" s="18">
        <v>1</v>
      </c>
      <c r="AB1898" s="18">
        <v>1</v>
      </c>
      <c r="AC1898" s="316">
        <v>1</v>
      </c>
      <c r="AD1898" s="316">
        <v>1</v>
      </c>
      <c r="AE1898" s="302">
        <v>1</v>
      </c>
      <c r="AF1898" s="259"/>
      <c r="AG1898" s="259">
        <v>0</v>
      </c>
      <c r="AH1898" s="259">
        <v>0.02</v>
      </c>
      <c r="AI1898" s="259">
        <v>0.02</v>
      </c>
      <c r="AJ1898" s="259">
        <v>0.02</v>
      </c>
      <c r="AK1898" s="260">
        <v>0.1</v>
      </c>
      <c r="AL1898" s="260">
        <v>0.02</v>
      </c>
      <c r="AM1898" s="259">
        <v>0.04</v>
      </c>
      <c r="AN1898" s="18" t="s">
        <v>6300</v>
      </c>
      <c r="AO1898" s="18" t="s">
        <v>6301</v>
      </c>
      <c r="AP1898" s="18"/>
    </row>
    <row r="1899" spans="1:42" x14ac:dyDescent="0.3">
      <c r="A1899" s="18" t="s">
        <v>1463</v>
      </c>
      <c r="B1899" s="18" t="s">
        <v>5664</v>
      </c>
      <c r="C1899" s="18" t="s">
        <v>1468</v>
      </c>
      <c r="D1899" s="18" t="s">
        <v>6209</v>
      </c>
      <c r="E1899" s="18" t="s">
        <v>1469</v>
      </c>
      <c r="F1899" s="18" t="s">
        <v>6210</v>
      </c>
      <c r="G1899" s="18" t="s">
        <v>6293</v>
      </c>
      <c r="H1899" s="157" t="s">
        <v>6294</v>
      </c>
      <c r="I1899" s="18" t="s">
        <v>6295</v>
      </c>
      <c r="J1899" s="18" t="s">
        <v>6296</v>
      </c>
      <c r="K1899" s="18" t="s">
        <v>6331</v>
      </c>
      <c r="L1899" s="18" t="s">
        <v>6332</v>
      </c>
      <c r="M1899" s="18" t="s">
        <v>6333</v>
      </c>
      <c r="N1899" s="223"/>
      <c r="O1899" s="16">
        <v>40</v>
      </c>
      <c r="P1899" s="16">
        <v>40</v>
      </c>
      <c r="Q1899" s="16">
        <v>40</v>
      </c>
      <c r="R1899" s="16">
        <v>40</v>
      </c>
      <c r="S1899" s="16">
        <v>40</v>
      </c>
      <c r="T1899" s="18" t="s">
        <v>6300</v>
      </c>
      <c r="U1899" s="283" t="s">
        <v>6301</v>
      </c>
      <c r="V1899" s="18" t="s">
        <v>6334</v>
      </c>
      <c r="W1899" s="18">
        <v>1</v>
      </c>
      <c r="X1899" s="18">
        <v>1</v>
      </c>
      <c r="Y1899" s="18">
        <v>1</v>
      </c>
      <c r="Z1899" s="18">
        <v>1</v>
      </c>
      <c r="AA1899" s="18">
        <v>1</v>
      </c>
      <c r="AB1899" s="18">
        <v>1</v>
      </c>
      <c r="AC1899" s="316">
        <v>1</v>
      </c>
      <c r="AD1899" s="316">
        <v>1</v>
      </c>
      <c r="AE1899" s="302">
        <v>1</v>
      </c>
      <c r="AF1899" s="259"/>
      <c r="AG1899" s="259">
        <v>0</v>
      </c>
      <c r="AH1899" s="259">
        <v>0.25</v>
      </c>
      <c r="AI1899" s="259">
        <v>0.25</v>
      </c>
      <c r="AJ1899" s="259">
        <v>0.25</v>
      </c>
      <c r="AK1899" s="260">
        <v>0.25</v>
      </c>
      <c r="AL1899" s="260">
        <v>0.25</v>
      </c>
      <c r="AM1899" s="259">
        <v>0.5</v>
      </c>
      <c r="AN1899" s="18" t="s">
        <v>6300</v>
      </c>
      <c r="AO1899" s="18" t="s">
        <v>6301</v>
      </c>
      <c r="AP1899" s="18"/>
    </row>
    <row r="1900" spans="1:42" x14ac:dyDescent="0.3">
      <c r="A1900" s="18" t="s">
        <v>1463</v>
      </c>
      <c r="B1900" s="18" t="s">
        <v>5664</v>
      </c>
      <c r="C1900" s="18" t="s">
        <v>1468</v>
      </c>
      <c r="D1900" s="18" t="s">
        <v>6209</v>
      </c>
      <c r="E1900" s="18" t="s">
        <v>1469</v>
      </c>
      <c r="F1900" s="18" t="s">
        <v>6210</v>
      </c>
      <c r="G1900" s="18" t="s">
        <v>6293</v>
      </c>
      <c r="H1900" s="157" t="s">
        <v>6294</v>
      </c>
      <c r="I1900" s="18" t="s">
        <v>6295</v>
      </c>
      <c r="J1900" s="18" t="s">
        <v>6296</v>
      </c>
      <c r="K1900" s="18" t="s">
        <v>6335</v>
      </c>
      <c r="L1900" s="18" t="s">
        <v>6336</v>
      </c>
      <c r="M1900" s="18" t="s">
        <v>6337</v>
      </c>
      <c r="N1900" s="223"/>
      <c r="O1900" s="16"/>
      <c r="P1900" s="16">
        <v>1</v>
      </c>
      <c r="Q1900" s="16"/>
      <c r="R1900" s="16"/>
      <c r="S1900" s="16"/>
      <c r="T1900" s="18" t="s">
        <v>6300</v>
      </c>
      <c r="U1900" s="283" t="s">
        <v>6301</v>
      </c>
      <c r="V1900" s="18" t="s">
        <v>6338</v>
      </c>
      <c r="W1900" s="18">
        <v>1</v>
      </c>
      <c r="X1900" s="18">
        <v>1</v>
      </c>
      <c r="Y1900" s="18">
        <v>1</v>
      </c>
      <c r="Z1900" s="18">
        <v>1</v>
      </c>
      <c r="AA1900" s="18">
        <v>1</v>
      </c>
      <c r="AB1900" s="18">
        <v>1</v>
      </c>
      <c r="AC1900" s="316">
        <v>1</v>
      </c>
      <c r="AD1900" s="316">
        <v>1</v>
      </c>
      <c r="AE1900" s="302">
        <v>1</v>
      </c>
      <c r="AF1900" s="259"/>
      <c r="AG1900" s="259">
        <v>0</v>
      </c>
      <c r="AH1900" s="259"/>
      <c r="AI1900" s="259">
        <v>4.5</v>
      </c>
      <c r="AJ1900" s="259"/>
      <c r="AK1900" s="260">
        <v>2</v>
      </c>
      <c r="AL1900" s="260">
        <v>0.8</v>
      </c>
      <c r="AM1900" s="259">
        <v>1.6</v>
      </c>
      <c r="AN1900" s="18" t="s">
        <v>6300</v>
      </c>
      <c r="AO1900" s="18" t="s">
        <v>6301</v>
      </c>
      <c r="AP1900" s="18"/>
    </row>
    <row r="1901" spans="1:42" x14ac:dyDescent="0.3">
      <c r="A1901" s="18" t="s">
        <v>1463</v>
      </c>
      <c r="B1901" s="18" t="s">
        <v>5664</v>
      </c>
      <c r="C1901" s="18" t="s">
        <v>1468</v>
      </c>
      <c r="D1901" s="18" t="s">
        <v>6209</v>
      </c>
      <c r="E1901" s="18" t="s">
        <v>1469</v>
      </c>
      <c r="F1901" s="18" t="s">
        <v>6210</v>
      </c>
      <c r="G1901" s="18" t="s">
        <v>6293</v>
      </c>
      <c r="H1901" s="157" t="s">
        <v>6294</v>
      </c>
      <c r="I1901" s="18" t="s">
        <v>6295</v>
      </c>
      <c r="J1901" s="18" t="s">
        <v>6296</v>
      </c>
      <c r="K1901" s="18" t="s">
        <v>6339</v>
      </c>
      <c r="L1901" s="18" t="s">
        <v>6340</v>
      </c>
      <c r="M1901" s="18" t="s">
        <v>6341</v>
      </c>
      <c r="N1901" s="223"/>
      <c r="O1901" s="16">
        <v>4</v>
      </c>
      <c r="P1901" s="16">
        <v>4</v>
      </c>
      <c r="Q1901" s="16">
        <v>4</v>
      </c>
      <c r="R1901" s="16">
        <v>4</v>
      </c>
      <c r="S1901" s="16">
        <v>4</v>
      </c>
      <c r="T1901" s="18" t="s">
        <v>6300</v>
      </c>
      <c r="U1901" s="283" t="s">
        <v>6301</v>
      </c>
      <c r="V1901" s="18" t="s">
        <v>6342</v>
      </c>
      <c r="W1901" s="18">
        <v>1</v>
      </c>
      <c r="X1901" s="18">
        <v>1</v>
      </c>
      <c r="Y1901" s="18">
        <v>1</v>
      </c>
      <c r="Z1901" s="18">
        <v>1</v>
      </c>
      <c r="AA1901" s="18">
        <v>1</v>
      </c>
      <c r="AB1901" s="18">
        <v>1</v>
      </c>
      <c r="AC1901" s="316">
        <v>1</v>
      </c>
      <c r="AD1901" s="316">
        <v>1</v>
      </c>
      <c r="AE1901" s="302">
        <v>1</v>
      </c>
      <c r="AF1901" s="259"/>
      <c r="AG1901" s="259">
        <v>0</v>
      </c>
      <c r="AH1901" s="259">
        <v>3.5000000000000003E-2</v>
      </c>
      <c r="AI1901" s="259">
        <v>3.5000000000000003E-2</v>
      </c>
      <c r="AJ1901" s="259">
        <v>3.5000000000000003E-2</v>
      </c>
      <c r="AK1901" s="260">
        <v>3.5000000000000003E-2</v>
      </c>
      <c r="AL1901" s="260">
        <v>3.5000000000000003E-2</v>
      </c>
      <c r="AM1901" s="259">
        <v>7.0000000000000007E-2</v>
      </c>
      <c r="AN1901" s="18" t="s">
        <v>6300</v>
      </c>
      <c r="AO1901" s="18" t="s">
        <v>6301</v>
      </c>
      <c r="AP1901" s="18"/>
    </row>
    <row r="1902" spans="1:42" x14ac:dyDescent="0.3">
      <c r="A1902" s="18" t="s">
        <v>1463</v>
      </c>
      <c r="B1902" s="18" t="s">
        <v>5664</v>
      </c>
      <c r="C1902" s="18">
        <v>145</v>
      </c>
      <c r="D1902" s="18" t="s">
        <v>6343</v>
      </c>
      <c r="E1902" s="18">
        <v>1455</v>
      </c>
      <c r="F1902" s="18" t="s">
        <v>6344</v>
      </c>
      <c r="G1902" s="18" t="s">
        <v>6345</v>
      </c>
      <c r="H1902" s="157" t="s">
        <v>6346</v>
      </c>
      <c r="I1902" s="18" t="s">
        <v>6347</v>
      </c>
      <c r="J1902" s="18" t="s">
        <v>6348</v>
      </c>
      <c r="K1902" s="18" t="s">
        <v>6349</v>
      </c>
      <c r="L1902" s="18" t="s">
        <v>6350</v>
      </c>
      <c r="M1902" s="18" t="s">
        <v>6351</v>
      </c>
      <c r="N1902" s="16">
        <v>2</v>
      </c>
      <c r="O1902" s="16">
        <v>4</v>
      </c>
      <c r="P1902" s="16">
        <v>6</v>
      </c>
      <c r="Q1902" s="16">
        <v>6</v>
      </c>
      <c r="R1902" s="16">
        <v>3</v>
      </c>
      <c r="S1902" s="16">
        <v>3</v>
      </c>
      <c r="T1902" s="18" t="s">
        <v>2234</v>
      </c>
      <c r="U1902" s="283" t="s">
        <v>2236</v>
      </c>
      <c r="V1902" s="18" t="s">
        <v>6352</v>
      </c>
      <c r="W1902" s="18">
        <v>1</v>
      </c>
      <c r="X1902" s="18">
        <v>1</v>
      </c>
      <c r="Y1902" s="18">
        <v>1</v>
      </c>
      <c r="Z1902" s="18">
        <v>1</v>
      </c>
      <c r="AA1902" s="18">
        <v>1</v>
      </c>
      <c r="AB1902" s="18">
        <v>1</v>
      </c>
      <c r="AC1902" s="316">
        <v>1</v>
      </c>
      <c r="AD1902" s="316">
        <v>1</v>
      </c>
      <c r="AE1902" s="302">
        <v>1</v>
      </c>
      <c r="AF1902" s="259"/>
      <c r="AG1902" s="259">
        <v>0</v>
      </c>
      <c r="AH1902" s="259">
        <v>2</v>
      </c>
      <c r="AI1902" s="259">
        <v>5</v>
      </c>
      <c r="AJ1902" s="259">
        <v>7</v>
      </c>
      <c r="AK1902" s="260"/>
      <c r="AL1902" s="260" t="s">
        <v>6353</v>
      </c>
      <c r="AM1902" s="259">
        <v>7.5</v>
      </c>
      <c r="AN1902" s="18" t="s">
        <v>2234</v>
      </c>
      <c r="AO1902" s="18" t="s">
        <v>2236</v>
      </c>
      <c r="AP1902" s="18" t="s">
        <v>2172</v>
      </c>
    </row>
    <row r="1903" spans="1:42" x14ac:dyDescent="0.3">
      <c r="A1903" s="18" t="s">
        <v>1463</v>
      </c>
      <c r="B1903" s="18" t="s">
        <v>5664</v>
      </c>
      <c r="C1903" s="18">
        <v>145</v>
      </c>
      <c r="D1903" s="18" t="s">
        <v>6343</v>
      </c>
      <c r="E1903" s="18">
        <v>1455</v>
      </c>
      <c r="F1903" s="18" t="s">
        <v>6344</v>
      </c>
      <c r="G1903" s="18" t="s">
        <v>6345</v>
      </c>
      <c r="H1903" s="157" t="s">
        <v>6346</v>
      </c>
      <c r="I1903" s="18" t="s">
        <v>6347</v>
      </c>
      <c r="J1903" s="18" t="s">
        <v>6348</v>
      </c>
      <c r="K1903" s="18" t="s">
        <v>6349</v>
      </c>
      <c r="L1903" s="18" t="s">
        <v>6350</v>
      </c>
      <c r="M1903" s="18" t="s">
        <v>6354</v>
      </c>
      <c r="N1903" s="38">
        <v>0.2</v>
      </c>
      <c r="O1903" s="38">
        <v>0.28000000000000003</v>
      </c>
      <c r="P1903" s="38">
        <v>0.46</v>
      </c>
      <c r="Q1903" s="38">
        <v>0.64</v>
      </c>
      <c r="R1903" s="38">
        <v>0.82</v>
      </c>
      <c r="S1903" s="38">
        <v>1</v>
      </c>
      <c r="T1903" s="18" t="s">
        <v>5696</v>
      </c>
      <c r="U1903" s="283" t="e">
        <v>#N/A</v>
      </c>
      <c r="V1903" s="18" t="s">
        <v>6355</v>
      </c>
      <c r="W1903" s="18">
        <v>1</v>
      </c>
      <c r="X1903" s="18">
        <v>1</v>
      </c>
      <c r="Y1903" s="18">
        <v>1</v>
      </c>
      <c r="Z1903" s="18">
        <v>1</v>
      </c>
      <c r="AA1903" s="18">
        <v>1</v>
      </c>
      <c r="AB1903" s="18">
        <v>1</v>
      </c>
      <c r="AC1903" s="316">
        <v>1</v>
      </c>
      <c r="AD1903" s="316">
        <v>1</v>
      </c>
      <c r="AE1903" s="302">
        <v>1</v>
      </c>
      <c r="AF1903" s="259"/>
      <c r="AG1903" s="259">
        <v>0</v>
      </c>
      <c r="AH1903" s="259">
        <v>10</v>
      </c>
      <c r="AI1903" s="259">
        <v>15</v>
      </c>
      <c r="AJ1903" s="259">
        <v>15</v>
      </c>
      <c r="AK1903" s="260">
        <v>7.5</v>
      </c>
      <c r="AL1903" s="260">
        <v>7.5</v>
      </c>
      <c r="AM1903" s="259">
        <v>15</v>
      </c>
      <c r="AN1903" s="18" t="s">
        <v>5696</v>
      </c>
      <c r="AO1903" s="18" t="s">
        <v>2236</v>
      </c>
      <c r="AP1903" s="18"/>
    </row>
    <row r="1904" spans="1:42" x14ac:dyDescent="0.3">
      <c r="A1904" s="18" t="s">
        <v>1463</v>
      </c>
      <c r="B1904" s="18" t="s">
        <v>5664</v>
      </c>
      <c r="C1904" s="18">
        <v>145</v>
      </c>
      <c r="D1904" s="18" t="s">
        <v>6343</v>
      </c>
      <c r="E1904" s="18">
        <v>1455</v>
      </c>
      <c r="F1904" s="18" t="s">
        <v>6344</v>
      </c>
      <c r="G1904" s="18" t="s">
        <v>6345</v>
      </c>
      <c r="H1904" s="157" t="s">
        <v>6346</v>
      </c>
      <c r="I1904" s="18" t="s">
        <v>6356</v>
      </c>
      <c r="J1904" s="18" t="s">
        <v>6357</v>
      </c>
      <c r="K1904" s="18" t="s">
        <v>6358</v>
      </c>
      <c r="L1904" s="18" t="s">
        <v>6359</v>
      </c>
      <c r="M1904" s="18" t="s">
        <v>6360</v>
      </c>
      <c r="N1904" s="16">
        <v>2500</v>
      </c>
      <c r="O1904" s="16">
        <v>500</v>
      </c>
      <c r="P1904" s="16">
        <v>500</v>
      </c>
      <c r="Q1904" s="16">
        <v>500</v>
      </c>
      <c r="R1904" s="16">
        <v>500</v>
      </c>
      <c r="S1904" s="16">
        <v>500</v>
      </c>
      <c r="T1904" s="18" t="s">
        <v>6361</v>
      </c>
      <c r="U1904" s="283" t="e">
        <v>#N/A</v>
      </c>
      <c r="V1904" s="18" t="s">
        <v>6362</v>
      </c>
      <c r="W1904" s="18">
        <v>1</v>
      </c>
      <c r="X1904" s="18">
        <v>1</v>
      </c>
      <c r="Y1904" s="18">
        <v>0</v>
      </c>
      <c r="Z1904" s="18">
        <v>1</v>
      </c>
      <c r="AA1904" s="18">
        <v>1</v>
      </c>
      <c r="AB1904" s="18">
        <v>1</v>
      </c>
      <c r="AC1904" s="316">
        <v>1</v>
      </c>
      <c r="AD1904" s="316">
        <v>1</v>
      </c>
      <c r="AE1904" s="302">
        <v>0.875</v>
      </c>
      <c r="AF1904" s="259"/>
      <c r="AG1904" s="259">
        <v>0</v>
      </c>
      <c r="AH1904" s="259">
        <v>0.39</v>
      </c>
      <c r="AI1904" s="259">
        <v>0.39</v>
      </c>
      <c r="AJ1904" s="259">
        <v>0.39</v>
      </c>
      <c r="AK1904" s="260">
        <v>1</v>
      </c>
      <c r="AL1904" s="260">
        <v>0.39</v>
      </c>
      <c r="AM1904" s="259">
        <v>0.78</v>
      </c>
      <c r="AN1904" s="18" t="s">
        <v>2172</v>
      </c>
      <c r="AO1904" s="18" t="s">
        <v>2236</v>
      </c>
      <c r="AP1904" s="18" t="s">
        <v>2074</v>
      </c>
    </row>
    <row r="1905" spans="1:42" x14ac:dyDescent="0.3">
      <c r="A1905" s="18" t="s">
        <v>1463</v>
      </c>
      <c r="B1905" s="18" t="s">
        <v>5664</v>
      </c>
      <c r="C1905" s="18">
        <v>145</v>
      </c>
      <c r="D1905" s="18" t="s">
        <v>6343</v>
      </c>
      <c r="E1905" s="18">
        <v>1455</v>
      </c>
      <c r="F1905" s="18" t="s">
        <v>6344</v>
      </c>
      <c r="G1905" s="18" t="s">
        <v>6345</v>
      </c>
      <c r="H1905" s="157" t="s">
        <v>6346</v>
      </c>
      <c r="I1905" s="18" t="s">
        <v>6356</v>
      </c>
      <c r="J1905" s="18" t="s">
        <v>6357</v>
      </c>
      <c r="K1905" s="18" t="s">
        <v>6358</v>
      </c>
      <c r="L1905" s="18" t="s">
        <v>6359</v>
      </c>
      <c r="M1905" s="18" t="s">
        <v>6363</v>
      </c>
      <c r="N1905" s="16">
        <v>2000</v>
      </c>
      <c r="O1905" s="16">
        <v>400</v>
      </c>
      <c r="P1905" s="16">
        <v>400</v>
      </c>
      <c r="Q1905" s="16">
        <v>400</v>
      </c>
      <c r="R1905" s="16">
        <v>400</v>
      </c>
      <c r="S1905" s="16">
        <v>400</v>
      </c>
      <c r="T1905" s="18" t="s">
        <v>6364</v>
      </c>
      <c r="U1905" s="283" t="e">
        <v>#N/A</v>
      </c>
      <c r="V1905" s="18" t="s">
        <v>6365</v>
      </c>
      <c r="W1905" s="18">
        <v>1</v>
      </c>
      <c r="X1905" s="18">
        <v>1</v>
      </c>
      <c r="Y1905" s="18">
        <v>0</v>
      </c>
      <c r="Z1905" s="18">
        <v>1</v>
      </c>
      <c r="AA1905" s="18">
        <v>1</v>
      </c>
      <c r="AB1905" s="18">
        <v>1</v>
      </c>
      <c r="AC1905" s="316">
        <v>1</v>
      </c>
      <c r="AD1905" s="316">
        <v>1</v>
      </c>
      <c r="AE1905" s="302">
        <v>0.875</v>
      </c>
      <c r="AF1905" s="259"/>
      <c r="AG1905" s="259">
        <v>0</v>
      </c>
      <c r="AH1905" s="259">
        <v>14</v>
      </c>
      <c r="AI1905" s="259">
        <v>0.14000000000000001</v>
      </c>
      <c r="AJ1905" s="259">
        <v>0.14000000000000001</v>
      </c>
      <c r="AK1905" s="260">
        <v>0.5</v>
      </c>
      <c r="AL1905" s="260">
        <v>0.14000000000000001</v>
      </c>
      <c r="AM1905" s="259">
        <v>0.28000000000000003</v>
      </c>
      <c r="AN1905" s="18" t="s">
        <v>2074</v>
      </c>
      <c r="AO1905" s="18" t="s">
        <v>2075</v>
      </c>
      <c r="AP1905" s="18"/>
    </row>
    <row r="1906" spans="1:42" x14ac:dyDescent="0.3">
      <c r="A1906" s="18" t="s">
        <v>1463</v>
      </c>
      <c r="B1906" s="18" t="s">
        <v>5664</v>
      </c>
      <c r="C1906" s="18">
        <v>145</v>
      </c>
      <c r="D1906" s="18" t="s">
        <v>6343</v>
      </c>
      <c r="E1906" s="18">
        <v>1455</v>
      </c>
      <c r="F1906" s="18" t="s">
        <v>6344</v>
      </c>
      <c r="G1906" s="18" t="s">
        <v>6345</v>
      </c>
      <c r="H1906" s="157" t="s">
        <v>6346</v>
      </c>
      <c r="I1906" s="18" t="s">
        <v>6366</v>
      </c>
      <c r="J1906" s="18" t="s">
        <v>6367</v>
      </c>
      <c r="K1906" s="18" t="s">
        <v>6368</v>
      </c>
      <c r="L1906" s="18" t="s">
        <v>6369</v>
      </c>
      <c r="M1906" s="18" t="s">
        <v>6370</v>
      </c>
      <c r="N1906" s="10"/>
      <c r="O1906" s="10">
        <v>30</v>
      </c>
      <c r="P1906" s="10">
        <v>40</v>
      </c>
      <c r="Q1906" s="10">
        <v>50</v>
      </c>
      <c r="R1906" s="10">
        <v>60</v>
      </c>
      <c r="S1906" s="10">
        <v>70</v>
      </c>
      <c r="T1906" s="10" t="s">
        <v>6371</v>
      </c>
      <c r="U1906" s="283" t="e">
        <v>#N/A</v>
      </c>
      <c r="V1906" s="18" t="s">
        <v>6372</v>
      </c>
      <c r="W1906" s="18">
        <v>1</v>
      </c>
      <c r="X1906" s="18">
        <v>1</v>
      </c>
      <c r="Y1906" s="18">
        <v>1</v>
      </c>
      <c r="Z1906" s="18">
        <v>1</v>
      </c>
      <c r="AA1906" s="18">
        <v>1</v>
      </c>
      <c r="AB1906" s="18">
        <v>1</v>
      </c>
      <c r="AC1906" s="316">
        <v>1</v>
      </c>
      <c r="AD1906" s="316">
        <v>1</v>
      </c>
      <c r="AE1906" s="302">
        <v>1</v>
      </c>
      <c r="AF1906" s="10"/>
      <c r="AG1906" s="259">
        <v>0</v>
      </c>
      <c r="AH1906" s="10">
        <v>22</v>
      </c>
      <c r="AI1906" s="10">
        <v>22</v>
      </c>
      <c r="AJ1906" s="10">
        <v>22</v>
      </c>
      <c r="AK1906" s="269">
        <v>22</v>
      </c>
      <c r="AL1906" s="269">
        <v>22</v>
      </c>
      <c r="AM1906" s="259">
        <v>44</v>
      </c>
      <c r="AN1906" s="10" t="s">
        <v>6373</v>
      </c>
      <c r="AO1906" s="18" t="s">
        <v>6271</v>
      </c>
      <c r="AP1906" s="10"/>
    </row>
    <row r="1907" spans="1:42" x14ac:dyDescent="0.3">
      <c r="A1907" s="18" t="s">
        <v>1463</v>
      </c>
      <c r="B1907" s="18" t="s">
        <v>5664</v>
      </c>
      <c r="C1907" s="18">
        <v>145</v>
      </c>
      <c r="D1907" s="18" t="s">
        <v>6343</v>
      </c>
      <c r="E1907" s="18">
        <v>1455</v>
      </c>
      <c r="F1907" s="18" t="s">
        <v>6344</v>
      </c>
      <c r="G1907" s="18" t="s">
        <v>6374</v>
      </c>
      <c r="H1907" s="157" t="s">
        <v>6375</v>
      </c>
      <c r="I1907" s="18" t="s">
        <v>6376</v>
      </c>
      <c r="J1907" s="18" t="s">
        <v>6377</v>
      </c>
      <c r="K1907" s="18" t="s">
        <v>6378</v>
      </c>
      <c r="L1907" s="18" t="s">
        <v>6379</v>
      </c>
      <c r="M1907" s="18" t="s">
        <v>6380</v>
      </c>
      <c r="N1907" s="16">
        <v>102</v>
      </c>
      <c r="O1907" s="16">
        <v>100</v>
      </c>
      <c r="P1907" s="16">
        <v>105</v>
      </c>
      <c r="Q1907" s="16">
        <v>115</v>
      </c>
      <c r="R1907" s="16">
        <v>120</v>
      </c>
      <c r="S1907" s="16">
        <v>122</v>
      </c>
      <c r="T1907" s="18" t="s">
        <v>6381</v>
      </c>
      <c r="U1907" s="283" t="e">
        <v>#N/A</v>
      </c>
      <c r="V1907" s="18" t="s">
        <v>6382</v>
      </c>
      <c r="W1907" s="18">
        <v>1</v>
      </c>
      <c r="X1907" s="18">
        <v>1</v>
      </c>
      <c r="Y1907" s="18">
        <v>1</v>
      </c>
      <c r="Z1907" s="18">
        <v>1</v>
      </c>
      <c r="AA1907" s="18">
        <v>1</v>
      </c>
      <c r="AB1907" s="18">
        <v>1</v>
      </c>
      <c r="AC1907" s="316">
        <v>1</v>
      </c>
      <c r="AD1907" s="316">
        <v>1</v>
      </c>
      <c r="AE1907" s="302">
        <v>1</v>
      </c>
      <c r="AF1907" s="259"/>
      <c r="AG1907" s="259">
        <v>0</v>
      </c>
      <c r="AH1907" s="259">
        <v>0.39</v>
      </c>
      <c r="AI1907" s="259">
        <v>0.39</v>
      </c>
      <c r="AJ1907" s="259">
        <v>0.39</v>
      </c>
      <c r="AK1907" s="260">
        <v>0.39</v>
      </c>
      <c r="AL1907" s="260">
        <v>0.39</v>
      </c>
      <c r="AM1907" s="259">
        <v>0.78</v>
      </c>
      <c r="AN1907" s="18" t="s">
        <v>4115</v>
      </c>
      <c r="AO1907" s="18" t="s">
        <v>4116</v>
      </c>
      <c r="AP1907" s="18" t="s">
        <v>2172</v>
      </c>
    </row>
    <row r="1908" spans="1:42" x14ac:dyDescent="0.3">
      <c r="A1908" s="18" t="s">
        <v>1463</v>
      </c>
      <c r="B1908" s="18" t="s">
        <v>5664</v>
      </c>
      <c r="C1908" s="18">
        <v>145</v>
      </c>
      <c r="D1908" s="18" t="s">
        <v>6343</v>
      </c>
      <c r="E1908" s="18">
        <v>1455</v>
      </c>
      <c r="F1908" s="18" t="s">
        <v>6344</v>
      </c>
      <c r="G1908" s="18" t="s">
        <v>6374</v>
      </c>
      <c r="H1908" s="157" t="s">
        <v>6375</v>
      </c>
      <c r="I1908" s="18" t="s">
        <v>6376</v>
      </c>
      <c r="J1908" s="18" t="s">
        <v>6377</v>
      </c>
      <c r="K1908" s="18" t="s">
        <v>6383</v>
      </c>
      <c r="L1908" s="18" t="s">
        <v>6384</v>
      </c>
      <c r="M1908" s="18" t="s">
        <v>6385</v>
      </c>
      <c r="N1908" s="16" t="s">
        <v>271</v>
      </c>
      <c r="O1908" s="16">
        <v>20</v>
      </c>
      <c r="P1908" s="16">
        <v>30</v>
      </c>
      <c r="Q1908" s="16">
        <v>40</v>
      </c>
      <c r="R1908" s="16">
        <v>60</v>
      </c>
      <c r="S1908" s="16">
        <v>70</v>
      </c>
      <c r="T1908" s="18" t="s">
        <v>2074</v>
      </c>
      <c r="U1908" s="283" t="s">
        <v>2075</v>
      </c>
      <c r="V1908" s="18" t="s">
        <v>6386</v>
      </c>
      <c r="W1908" s="18">
        <v>1</v>
      </c>
      <c r="X1908" s="18">
        <v>1</v>
      </c>
      <c r="Y1908" s="18">
        <v>1</v>
      </c>
      <c r="Z1908" s="18">
        <v>1</v>
      </c>
      <c r="AA1908" s="18">
        <v>1</v>
      </c>
      <c r="AB1908" s="18">
        <v>1</v>
      </c>
      <c r="AC1908" s="316">
        <v>1</v>
      </c>
      <c r="AD1908" s="316">
        <v>1</v>
      </c>
      <c r="AE1908" s="302">
        <v>1</v>
      </c>
      <c r="AF1908" s="259"/>
      <c r="AG1908" s="259">
        <v>0</v>
      </c>
      <c r="AH1908" s="259">
        <v>8.1</v>
      </c>
      <c r="AI1908" s="259">
        <v>4.8470000000000004</v>
      </c>
      <c r="AJ1908" s="259">
        <v>8.4770000000000003</v>
      </c>
      <c r="AK1908" s="260">
        <v>0</v>
      </c>
      <c r="AL1908" s="260">
        <v>0</v>
      </c>
      <c r="AM1908" s="259">
        <v>17.265999999999998</v>
      </c>
      <c r="AN1908" s="18" t="s">
        <v>2074</v>
      </c>
      <c r="AO1908" s="18" t="s">
        <v>2075</v>
      </c>
      <c r="AP1908" s="18" t="s">
        <v>119</v>
      </c>
    </row>
    <row r="1909" spans="1:42" s="294" customFormat="1" x14ac:dyDescent="0.3">
      <c r="A1909" s="97" t="s">
        <v>1463</v>
      </c>
      <c r="B1909" s="97" t="s">
        <v>5664</v>
      </c>
      <c r="C1909" s="97">
        <v>145</v>
      </c>
      <c r="D1909" s="97" t="s">
        <v>6343</v>
      </c>
      <c r="E1909" s="97">
        <v>1455</v>
      </c>
      <c r="F1909" s="97" t="s">
        <v>6344</v>
      </c>
      <c r="G1909" s="97" t="s">
        <v>6387</v>
      </c>
      <c r="H1909" s="270" t="s">
        <v>6388</v>
      </c>
      <c r="I1909" s="97" t="s">
        <v>6389</v>
      </c>
      <c r="J1909" s="97" t="s">
        <v>6390</v>
      </c>
      <c r="K1909" s="97" t="s">
        <v>6391</v>
      </c>
      <c r="L1909" s="97" t="s">
        <v>6392</v>
      </c>
      <c r="M1909" s="97" t="s">
        <v>6393</v>
      </c>
      <c r="N1909" s="104">
        <v>0</v>
      </c>
      <c r="O1909" s="104">
        <v>48</v>
      </c>
      <c r="P1909" s="104">
        <v>38</v>
      </c>
      <c r="Q1909" s="104">
        <v>18</v>
      </c>
      <c r="R1909" s="104">
        <v>8</v>
      </c>
      <c r="S1909" s="104">
        <v>4</v>
      </c>
      <c r="T1909" s="97" t="s">
        <v>6373</v>
      </c>
      <c r="U1909" s="294" t="e">
        <v>#N/A</v>
      </c>
      <c r="V1909" s="271" t="s">
        <v>6394</v>
      </c>
      <c r="W1909" s="271">
        <v>1</v>
      </c>
      <c r="X1909" s="271">
        <v>1</v>
      </c>
      <c r="Y1909" s="271">
        <v>1</v>
      </c>
      <c r="Z1909" s="271">
        <v>1</v>
      </c>
      <c r="AA1909" s="271">
        <v>1</v>
      </c>
      <c r="AB1909" s="271">
        <v>1</v>
      </c>
      <c r="AC1909" s="352">
        <v>1</v>
      </c>
      <c r="AD1909" s="352">
        <v>1</v>
      </c>
      <c r="AE1909" s="297">
        <v>1</v>
      </c>
      <c r="AF1909" s="272"/>
      <c r="AG1909" s="272">
        <v>0</v>
      </c>
      <c r="AH1909" s="272">
        <v>0.28000000000000003</v>
      </c>
      <c r="AI1909" s="272">
        <v>0.28999999999999998</v>
      </c>
      <c r="AJ1909" s="272">
        <v>0.28999999999999998</v>
      </c>
      <c r="AK1909" s="273">
        <v>0.28999999999999998</v>
      </c>
      <c r="AL1909" s="273">
        <v>0.28999999999999998</v>
      </c>
      <c r="AM1909" s="272">
        <v>0.57999999999999996</v>
      </c>
      <c r="AN1909" s="97" t="s">
        <v>2074</v>
      </c>
      <c r="AO1909" s="97" t="s">
        <v>2075</v>
      </c>
      <c r="AP1909" s="97" t="s">
        <v>6395</v>
      </c>
    </row>
    <row r="1910" spans="1:42" x14ac:dyDescent="0.3">
      <c r="A1910" s="18" t="s">
        <v>1463</v>
      </c>
      <c r="B1910" s="18" t="s">
        <v>5664</v>
      </c>
      <c r="C1910" s="18">
        <v>145</v>
      </c>
      <c r="D1910" s="18" t="s">
        <v>6343</v>
      </c>
      <c r="E1910" s="18">
        <v>1455</v>
      </c>
      <c r="F1910" s="18" t="s">
        <v>6344</v>
      </c>
      <c r="G1910" s="18" t="s">
        <v>6387</v>
      </c>
      <c r="H1910" s="157" t="s">
        <v>6388</v>
      </c>
      <c r="I1910" s="18" t="s">
        <v>6389</v>
      </c>
      <c r="J1910" s="18" t="s">
        <v>6390</v>
      </c>
      <c r="K1910" s="18" t="s">
        <v>6396</v>
      </c>
      <c r="L1910" s="18" t="s">
        <v>6397</v>
      </c>
      <c r="M1910" s="18" t="s">
        <v>6398</v>
      </c>
      <c r="N1910" s="16"/>
      <c r="O1910" s="16">
        <v>100</v>
      </c>
      <c r="P1910" s="16">
        <v>100</v>
      </c>
      <c r="Q1910" s="16">
        <v>100</v>
      </c>
      <c r="R1910" s="16">
        <v>100</v>
      </c>
      <c r="S1910" s="16">
        <v>100</v>
      </c>
      <c r="T1910" s="18" t="s">
        <v>6371</v>
      </c>
      <c r="U1910" s="283" t="e">
        <v>#N/A</v>
      </c>
      <c r="V1910" s="18" t="s">
        <v>6399</v>
      </c>
      <c r="W1910" s="18">
        <v>1</v>
      </c>
      <c r="X1910" s="18">
        <v>1</v>
      </c>
      <c r="Y1910" s="18">
        <v>0</v>
      </c>
      <c r="Z1910" s="18">
        <v>1</v>
      </c>
      <c r="AA1910" s="18">
        <v>1</v>
      </c>
      <c r="AB1910" s="18">
        <v>0</v>
      </c>
      <c r="AC1910" s="316">
        <v>1</v>
      </c>
      <c r="AD1910" s="316">
        <v>1</v>
      </c>
      <c r="AE1910" s="302">
        <v>0.75</v>
      </c>
      <c r="AF1910" s="259"/>
      <c r="AG1910" s="259">
        <v>0</v>
      </c>
      <c r="AH1910" s="259">
        <v>0.1</v>
      </c>
      <c r="AI1910" s="259">
        <v>0.1</v>
      </c>
      <c r="AJ1910" s="259">
        <v>0.1</v>
      </c>
      <c r="AK1910" s="260">
        <v>0.1</v>
      </c>
      <c r="AL1910" s="260">
        <v>0.1</v>
      </c>
      <c r="AM1910" s="259">
        <v>0.2</v>
      </c>
      <c r="AN1910" s="18" t="s">
        <v>6373</v>
      </c>
      <c r="AO1910" s="18" t="s">
        <v>6271</v>
      </c>
      <c r="AP1910" s="18"/>
    </row>
    <row r="1911" spans="1:42" x14ac:dyDescent="0.3">
      <c r="A1911" s="18" t="s">
        <v>1463</v>
      </c>
      <c r="B1911" s="18" t="s">
        <v>5664</v>
      </c>
      <c r="C1911" s="18">
        <v>145</v>
      </c>
      <c r="D1911" s="18" t="s">
        <v>6343</v>
      </c>
      <c r="E1911" s="18">
        <v>1455</v>
      </c>
      <c r="F1911" s="18" t="s">
        <v>6344</v>
      </c>
      <c r="G1911" s="18" t="s">
        <v>6387</v>
      </c>
      <c r="H1911" s="157" t="s">
        <v>6388</v>
      </c>
      <c r="I1911" s="18" t="s">
        <v>6389</v>
      </c>
      <c r="J1911" s="18" t="s">
        <v>6390</v>
      </c>
      <c r="K1911" s="18" t="s">
        <v>6400</v>
      </c>
      <c r="L1911" s="18" t="s">
        <v>6401</v>
      </c>
      <c r="M1911" s="18" t="s">
        <v>6402</v>
      </c>
      <c r="N1911" s="16" t="s">
        <v>271</v>
      </c>
      <c r="O1911" s="16">
        <v>5</v>
      </c>
      <c r="P1911" s="16">
        <v>5</v>
      </c>
      <c r="Q1911" s="16">
        <v>5</v>
      </c>
      <c r="R1911" s="16">
        <v>5</v>
      </c>
      <c r="S1911" s="16"/>
      <c r="T1911" s="18" t="s">
        <v>1446</v>
      </c>
      <c r="U1911" s="283" t="s">
        <v>3715</v>
      </c>
      <c r="V1911" s="265" t="s">
        <v>6403</v>
      </c>
      <c r="W1911" s="265">
        <v>1</v>
      </c>
      <c r="X1911" s="265">
        <v>1</v>
      </c>
      <c r="Y1911" s="265">
        <v>1</v>
      </c>
      <c r="Z1911" s="265">
        <v>1</v>
      </c>
      <c r="AA1911" s="265">
        <v>1</v>
      </c>
      <c r="AB1911" s="265">
        <v>1</v>
      </c>
      <c r="AC1911" s="316">
        <v>1</v>
      </c>
      <c r="AD1911" s="316">
        <v>1</v>
      </c>
      <c r="AE1911" s="302">
        <v>1</v>
      </c>
      <c r="AF1911" s="259"/>
      <c r="AG1911" s="259">
        <v>0</v>
      </c>
      <c r="AH1911" s="259">
        <v>0.2</v>
      </c>
      <c r="AI1911" s="259">
        <v>0.2</v>
      </c>
      <c r="AJ1911" s="259">
        <v>0.2</v>
      </c>
      <c r="AK1911" s="260">
        <v>0</v>
      </c>
      <c r="AL1911" s="260">
        <v>0</v>
      </c>
      <c r="AM1911" s="259">
        <v>0.4</v>
      </c>
      <c r="AN1911" s="18" t="s">
        <v>1446</v>
      </c>
      <c r="AO1911" s="18" t="s">
        <v>3715</v>
      </c>
      <c r="AP1911" s="18" t="s">
        <v>5698</v>
      </c>
    </row>
    <row r="1912" spans="1:42" x14ac:dyDescent="0.3">
      <c r="A1912" s="18" t="s">
        <v>1463</v>
      </c>
      <c r="B1912" s="18" t="s">
        <v>5664</v>
      </c>
      <c r="C1912" s="18">
        <v>145</v>
      </c>
      <c r="D1912" s="18" t="s">
        <v>6343</v>
      </c>
      <c r="E1912" s="18">
        <v>1455</v>
      </c>
      <c r="F1912" s="18" t="s">
        <v>6344</v>
      </c>
      <c r="G1912" s="18" t="s">
        <v>6387</v>
      </c>
      <c r="H1912" s="157" t="s">
        <v>6388</v>
      </c>
      <c r="I1912" s="18" t="s">
        <v>6389</v>
      </c>
      <c r="J1912" s="18" t="s">
        <v>6390</v>
      </c>
      <c r="K1912" s="18" t="s">
        <v>6404</v>
      </c>
      <c r="L1912" s="18" t="s">
        <v>6405</v>
      </c>
      <c r="M1912" s="18" t="s">
        <v>6406</v>
      </c>
      <c r="N1912" s="16">
        <v>1</v>
      </c>
      <c r="O1912" s="16">
        <v>1</v>
      </c>
      <c r="P1912" s="16">
        <v>1</v>
      </c>
      <c r="Q1912" s="16">
        <v>1</v>
      </c>
      <c r="R1912" s="16">
        <v>1</v>
      </c>
      <c r="S1912" s="16">
        <v>1</v>
      </c>
      <c r="T1912" s="18" t="s">
        <v>2074</v>
      </c>
      <c r="U1912" s="283" t="s">
        <v>2075</v>
      </c>
      <c r="V1912" s="18" t="s">
        <v>6407</v>
      </c>
      <c r="W1912" s="18">
        <v>1</v>
      </c>
      <c r="X1912" s="18">
        <v>1</v>
      </c>
      <c r="Y1912" s="18">
        <v>1</v>
      </c>
      <c r="Z1912" s="18">
        <v>1</v>
      </c>
      <c r="AA1912" s="18">
        <v>1</v>
      </c>
      <c r="AB1912" s="18">
        <v>1</v>
      </c>
      <c r="AC1912" s="316">
        <v>1</v>
      </c>
      <c r="AD1912" s="316">
        <v>1</v>
      </c>
      <c r="AE1912" s="302">
        <v>1</v>
      </c>
      <c r="AF1912" s="259"/>
      <c r="AG1912" s="259">
        <v>0</v>
      </c>
      <c r="AH1912" s="259">
        <v>0.2</v>
      </c>
      <c r="AI1912" s="259">
        <v>0.2</v>
      </c>
      <c r="AJ1912" s="259">
        <v>0.2</v>
      </c>
      <c r="AK1912" s="260">
        <v>0.2</v>
      </c>
      <c r="AL1912" s="260">
        <v>0.2</v>
      </c>
      <c r="AM1912" s="259">
        <v>0.4</v>
      </c>
      <c r="AN1912" s="18" t="s">
        <v>2074</v>
      </c>
      <c r="AO1912" s="18" t="s">
        <v>2075</v>
      </c>
      <c r="AP1912" s="18" t="s">
        <v>4115</v>
      </c>
    </row>
    <row r="1913" spans="1:42" x14ac:dyDescent="0.3">
      <c r="A1913" s="18" t="s">
        <v>1463</v>
      </c>
      <c r="B1913" s="18" t="s">
        <v>5664</v>
      </c>
      <c r="C1913" s="18">
        <v>145</v>
      </c>
      <c r="D1913" s="18" t="s">
        <v>6343</v>
      </c>
      <c r="E1913" s="18">
        <v>1455</v>
      </c>
      <c r="F1913" s="18" t="s">
        <v>6344</v>
      </c>
      <c r="G1913" s="18" t="s">
        <v>6387</v>
      </c>
      <c r="H1913" s="157" t="s">
        <v>6388</v>
      </c>
      <c r="I1913" s="18" t="s">
        <v>6389</v>
      </c>
      <c r="J1913" s="18" t="s">
        <v>6390</v>
      </c>
      <c r="K1913" s="18" t="s">
        <v>6408</v>
      </c>
      <c r="L1913" s="18" t="s">
        <v>6409</v>
      </c>
      <c r="M1913" s="18" t="s">
        <v>6410</v>
      </c>
      <c r="N1913" s="16" t="s">
        <v>271</v>
      </c>
      <c r="O1913" s="16">
        <v>10</v>
      </c>
      <c r="P1913" s="16">
        <v>20</v>
      </c>
      <c r="Q1913" s="16">
        <v>30</v>
      </c>
      <c r="R1913" s="16">
        <v>40</v>
      </c>
      <c r="S1913" s="16">
        <v>50</v>
      </c>
      <c r="T1913" s="18" t="s">
        <v>6411</v>
      </c>
      <c r="U1913" s="283" t="e">
        <v>#N/A</v>
      </c>
      <c r="V1913" s="18" t="s">
        <v>6407</v>
      </c>
      <c r="W1913" s="18">
        <v>1</v>
      </c>
      <c r="X1913" s="18">
        <v>1</v>
      </c>
      <c r="Y1913" s="18">
        <v>1</v>
      </c>
      <c r="Z1913" s="18">
        <v>1</v>
      </c>
      <c r="AA1913" s="18">
        <v>1</v>
      </c>
      <c r="AB1913" s="18">
        <v>1</v>
      </c>
      <c r="AC1913" s="316">
        <v>1</v>
      </c>
      <c r="AD1913" s="316">
        <v>1</v>
      </c>
      <c r="AE1913" s="302">
        <v>1</v>
      </c>
      <c r="AF1913" s="259"/>
      <c r="AG1913" s="259">
        <v>0</v>
      </c>
      <c r="AH1913" s="259">
        <v>0.2</v>
      </c>
      <c r="AI1913" s="259">
        <v>0.2</v>
      </c>
      <c r="AJ1913" s="259">
        <v>0.2</v>
      </c>
      <c r="AK1913" s="260">
        <v>0.2</v>
      </c>
      <c r="AL1913" s="260">
        <v>0.2</v>
      </c>
      <c r="AM1913" s="259">
        <v>0.4</v>
      </c>
      <c r="AN1913" s="18" t="s">
        <v>4115</v>
      </c>
      <c r="AO1913" s="18" t="s">
        <v>4116</v>
      </c>
      <c r="AP1913" s="18"/>
    </row>
    <row r="1914" spans="1:42" x14ac:dyDescent="0.3">
      <c r="A1914" s="18" t="s">
        <v>1463</v>
      </c>
      <c r="B1914" s="18" t="s">
        <v>5664</v>
      </c>
      <c r="C1914" s="18">
        <v>145</v>
      </c>
      <c r="D1914" s="18" t="s">
        <v>6343</v>
      </c>
      <c r="E1914" s="18">
        <v>1455</v>
      </c>
      <c r="F1914" s="18" t="s">
        <v>6344</v>
      </c>
      <c r="G1914" s="18" t="s">
        <v>6387</v>
      </c>
      <c r="H1914" s="157" t="s">
        <v>6388</v>
      </c>
      <c r="I1914" s="18" t="s">
        <v>6412</v>
      </c>
      <c r="J1914" s="18" t="s">
        <v>6413</v>
      </c>
      <c r="K1914" s="18" t="s">
        <v>6414</v>
      </c>
      <c r="L1914" s="18" t="s">
        <v>6415</v>
      </c>
      <c r="M1914" s="18" t="s">
        <v>6416</v>
      </c>
      <c r="N1914" s="16" t="s">
        <v>271</v>
      </c>
      <c r="O1914" s="16">
        <v>3</v>
      </c>
      <c r="P1914" s="16">
        <v>5</v>
      </c>
      <c r="Q1914" s="16">
        <v>7</v>
      </c>
      <c r="R1914" s="16">
        <v>10</v>
      </c>
      <c r="S1914" s="16">
        <v>13</v>
      </c>
      <c r="T1914" s="18" t="s">
        <v>6417</v>
      </c>
      <c r="U1914" s="283" t="e">
        <v>#N/A</v>
      </c>
      <c r="V1914" s="18" t="s">
        <v>6413</v>
      </c>
      <c r="W1914" s="18">
        <v>1</v>
      </c>
      <c r="X1914" s="18">
        <v>1</v>
      </c>
      <c r="Y1914" s="18">
        <v>0</v>
      </c>
      <c r="Z1914" s="18">
        <v>1</v>
      </c>
      <c r="AA1914" s="18">
        <v>1</v>
      </c>
      <c r="AB1914" s="18">
        <v>0</v>
      </c>
      <c r="AC1914" s="316">
        <v>1</v>
      </c>
      <c r="AD1914" s="316">
        <v>1</v>
      </c>
      <c r="AE1914" s="302">
        <v>0.75</v>
      </c>
      <c r="AF1914" s="259"/>
      <c r="AG1914" s="259">
        <v>0</v>
      </c>
      <c r="AH1914" s="259">
        <v>4.1500000000000004</v>
      </c>
      <c r="AI1914" s="259">
        <v>4.3499999999999996</v>
      </c>
      <c r="AJ1914" s="259">
        <v>4.5599999999999996</v>
      </c>
      <c r="AK1914" s="260">
        <v>4.75</v>
      </c>
      <c r="AL1914" s="260">
        <v>5</v>
      </c>
      <c r="AM1914" s="259">
        <v>9.75</v>
      </c>
      <c r="AN1914" s="18" t="s">
        <v>239</v>
      </c>
      <c r="AO1914" s="18" t="s">
        <v>241</v>
      </c>
      <c r="AP1914" s="18" t="s">
        <v>119</v>
      </c>
    </row>
    <row r="1915" spans="1:42" x14ac:dyDescent="0.3">
      <c r="A1915" s="18" t="s">
        <v>1463</v>
      </c>
      <c r="B1915" s="18" t="s">
        <v>5664</v>
      </c>
      <c r="C1915" s="18">
        <v>145</v>
      </c>
      <c r="D1915" s="18" t="s">
        <v>6343</v>
      </c>
      <c r="E1915" s="18">
        <v>1455</v>
      </c>
      <c r="F1915" s="18" t="s">
        <v>6344</v>
      </c>
      <c r="G1915" s="18" t="s">
        <v>6387</v>
      </c>
      <c r="H1915" s="157" t="s">
        <v>6388</v>
      </c>
      <c r="I1915" s="18" t="s">
        <v>6412</v>
      </c>
      <c r="J1915" s="18" t="s">
        <v>6413</v>
      </c>
      <c r="K1915" s="18" t="s">
        <v>6418</v>
      </c>
      <c r="L1915" s="18" t="s">
        <v>6419</v>
      </c>
      <c r="M1915" s="18" t="s">
        <v>6420</v>
      </c>
      <c r="N1915" s="16"/>
      <c r="O1915" s="16">
        <v>2</v>
      </c>
      <c r="P1915" s="16">
        <v>2</v>
      </c>
      <c r="Q1915" s="16">
        <v>2</v>
      </c>
      <c r="R1915" s="16">
        <v>2</v>
      </c>
      <c r="S1915" s="16">
        <v>2</v>
      </c>
      <c r="T1915" s="18" t="s">
        <v>2250</v>
      </c>
      <c r="U1915" s="283" t="e">
        <v>#N/A</v>
      </c>
      <c r="V1915" s="18" t="s">
        <v>6421</v>
      </c>
      <c r="W1915" s="18">
        <v>1</v>
      </c>
      <c r="X1915" s="18">
        <v>1</v>
      </c>
      <c r="Y1915" s="18">
        <v>1</v>
      </c>
      <c r="Z1915" s="18">
        <v>1</v>
      </c>
      <c r="AA1915" s="18">
        <v>1</v>
      </c>
      <c r="AB1915" s="18">
        <v>1</v>
      </c>
      <c r="AC1915" s="316">
        <v>1</v>
      </c>
      <c r="AD1915" s="316">
        <v>1</v>
      </c>
      <c r="AE1915" s="302">
        <v>1</v>
      </c>
      <c r="AF1915" s="259"/>
      <c r="AG1915" s="259">
        <v>0</v>
      </c>
      <c r="AH1915" s="259">
        <v>4.1500000000000004</v>
      </c>
      <c r="AI1915" s="259">
        <v>4.3499999999999996</v>
      </c>
      <c r="AJ1915" s="259">
        <v>4.5599999999999996</v>
      </c>
      <c r="AK1915" s="260">
        <v>4.7</v>
      </c>
      <c r="AL1915" s="260">
        <v>5.0119999999999996</v>
      </c>
      <c r="AM1915" s="259">
        <v>9.7119999999999997</v>
      </c>
      <c r="AN1915" s="18" t="s">
        <v>2250</v>
      </c>
      <c r="AO1915" s="18" t="s">
        <v>6271</v>
      </c>
      <c r="AP1915" s="18"/>
    </row>
    <row r="1916" spans="1:42" x14ac:dyDescent="0.3">
      <c r="A1916" s="18" t="s">
        <v>1463</v>
      </c>
      <c r="B1916" s="18" t="s">
        <v>5664</v>
      </c>
      <c r="C1916" s="18">
        <v>145</v>
      </c>
      <c r="D1916" s="18" t="s">
        <v>6343</v>
      </c>
      <c r="E1916" s="18">
        <v>1455</v>
      </c>
      <c r="F1916" s="18" t="s">
        <v>6344</v>
      </c>
      <c r="G1916" s="18" t="s">
        <v>6387</v>
      </c>
      <c r="H1916" s="157" t="s">
        <v>6388</v>
      </c>
      <c r="I1916" s="18" t="s">
        <v>6412</v>
      </c>
      <c r="J1916" s="18" t="s">
        <v>6413</v>
      </c>
      <c r="K1916" s="18" t="s">
        <v>6422</v>
      </c>
      <c r="L1916" s="18" t="s">
        <v>6423</v>
      </c>
      <c r="M1916" s="18" t="s">
        <v>6424</v>
      </c>
      <c r="N1916" s="16"/>
      <c r="O1916" s="16">
        <v>4</v>
      </c>
      <c r="P1916" s="16">
        <v>4</v>
      </c>
      <c r="Q1916" s="16">
        <v>4</v>
      </c>
      <c r="R1916" s="16">
        <v>4</v>
      </c>
      <c r="S1916" s="16">
        <v>4</v>
      </c>
      <c r="T1916" s="18" t="s">
        <v>2250</v>
      </c>
      <c r="U1916" s="283" t="e">
        <v>#N/A</v>
      </c>
      <c r="V1916" s="18" t="s">
        <v>6425</v>
      </c>
      <c r="W1916" s="18">
        <v>1</v>
      </c>
      <c r="X1916" s="18">
        <v>1</v>
      </c>
      <c r="Y1916" s="18">
        <v>1</v>
      </c>
      <c r="Z1916" s="18">
        <v>1</v>
      </c>
      <c r="AA1916" s="18">
        <v>1</v>
      </c>
      <c r="AB1916" s="18">
        <v>1</v>
      </c>
      <c r="AC1916" s="316">
        <v>1</v>
      </c>
      <c r="AD1916" s="316">
        <v>1</v>
      </c>
      <c r="AE1916" s="302">
        <v>1</v>
      </c>
      <c r="AF1916" s="259"/>
      <c r="AG1916" s="259">
        <v>0</v>
      </c>
      <c r="AH1916" s="259">
        <v>0.25</v>
      </c>
      <c r="AI1916" s="259">
        <v>0.26</v>
      </c>
      <c r="AJ1916" s="259">
        <v>0.27</v>
      </c>
      <c r="AK1916" s="260">
        <v>0.28000000000000003</v>
      </c>
      <c r="AL1916" s="260">
        <v>0.3</v>
      </c>
      <c r="AM1916" s="259">
        <v>0.58000000000000007</v>
      </c>
      <c r="AN1916" s="18" t="s">
        <v>2250</v>
      </c>
      <c r="AO1916" s="18" t="s">
        <v>6271</v>
      </c>
      <c r="AP1916" s="18"/>
    </row>
    <row r="1917" spans="1:42" x14ac:dyDescent="0.3">
      <c r="A1917" s="18" t="s">
        <v>1463</v>
      </c>
      <c r="B1917" s="18" t="s">
        <v>5664</v>
      </c>
      <c r="C1917" s="18">
        <v>145</v>
      </c>
      <c r="D1917" s="18" t="s">
        <v>6343</v>
      </c>
      <c r="E1917" s="18">
        <v>1455</v>
      </c>
      <c r="F1917" s="18" t="s">
        <v>6344</v>
      </c>
      <c r="G1917" s="18" t="s">
        <v>6387</v>
      </c>
      <c r="H1917" s="157" t="s">
        <v>6388</v>
      </c>
      <c r="I1917" s="18" t="s">
        <v>6412</v>
      </c>
      <c r="J1917" s="18" t="s">
        <v>6413</v>
      </c>
      <c r="K1917" s="18" t="s">
        <v>6426</v>
      </c>
      <c r="L1917" s="18" t="s">
        <v>6427</v>
      </c>
      <c r="M1917" s="18" t="s">
        <v>6428</v>
      </c>
      <c r="N1917" s="16"/>
      <c r="O1917" s="16">
        <v>4</v>
      </c>
      <c r="P1917" s="16">
        <v>4</v>
      </c>
      <c r="Q1917" s="16">
        <v>4</v>
      </c>
      <c r="R1917" s="16">
        <v>4</v>
      </c>
      <c r="S1917" s="16">
        <v>4</v>
      </c>
      <c r="T1917" s="18" t="s">
        <v>2250</v>
      </c>
      <c r="U1917" s="283" t="e">
        <v>#N/A</v>
      </c>
      <c r="V1917" s="18" t="s">
        <v>6429</v>
      </c>
      <c r="W1917" s="18">
        <v>1</v>
      </c>
      <c r="X1917" s="18">
        <v>1</v>
      </c>
      <c r="Y1917" s="18">
        <v>1</v>
      </c>
      <c r="Z1917" s="18">
        <v>1</v>
      </c>
      <c r="AA1917" s="18">
        <v>1</v>
      </c>
      <c r="AB1917" s="18">
        <v>1</v>
      </c>
      <c r="AC1917" s="316">
        <v>1</v>
      </c>
      <c r="AD1917" s="316">
        <v>1</v>
      </c>
      <c r="AE1917" s="302">
        <v>1</v>
      </c>
      <c r="AF1917" s="259"/>
      <c r="AG1917" s="259">
        <v>0</v>
      </c>
      <c r="AH1917" s="259">
        <v>0.25</v>
      </c>
      <c r="AI1917" s="259">
        <v>0.3</v>
      </c>
      <c r="AJ1917" s="259">
        <v>0.35</v>
      </c>
      <c r="AK1917" s="260">
        <v>0.4</v>
      </c>
      <c r="AL1917" s="260">
        <v>0.45</v>
      </c>
      <c r="AM1917" s="259">
        <v>0.85000000000000009</v>
      </c>
      <c r="AN1917" s="18" t="s">
        <v>2250</v>
      </c>
      <c r="AO1917" s="18" t="s">
        <v>6271</v>
      </c>
      <c r="AP1917" s="18"/>
    </row>
    <row r="1918" spans="1:42" x14ac:dyDescent="0.3">
      <c r="A1918" s="18" t="s">
        <v>1463</v>
      </c>
      <c r="B1918" s="18" t="s">
        <v>5664</v>
      </c>
      <c r="C1918" s="18">
        <v>145</v>
      </c>
      <c r="D1918" s="18" t="s">
        <v>6343</v>
      </c>
      <c r="E1918" s="18">
        <v>1455</v>
      </c>
      <c r="F1918" s="18" t="s">
        <v>6344</v>
      </c>
      <c r="G1918" s="18" t="s">
        <v>6387</v>
      </c>
      <c r="H1918" s="157" t="s">
        <v>6388</v>
      </c>
      <c r="I1918" s="18" t="s">
        <v>6412</v>
      </c>
      <c r="J1918" s="18" t="s">
        <v>6413</v>
      </c>
      <c r="K1918" s="18" t="s">
        <v>6430</v>
      </c>
      <c r="L1918" s="18" t="s">
        <v>6431</v>
      </c>
      <c r="M1918" s="18" t="s">
        <v>6432</v>
      </c>
      <c r="N1918" s="16"/>
      <c r="O1918" s="16">
        <v>1</v>
      </c>
      <c r="P1918" s="16"/>
      <c r="Q1918" s="16"/>
      <c r="R1918" s="16"/>
      <c r="S1918" s="16"/>
      <c r="T1918" s="18" t="s">
        <v>2250</v>
      </c>
      <c r="U1918" s="283" t="e">
        <v>#N/A</v>
      </c>
      <c r="V1918" s="18" t="s">
        <v>6433</v>
      </c>
      <c r="W1918" s="18">
        <v>1</v>
      </c>
      <c r="X1918" s="18">
        <v>1</v>
      </c>
      <c r="Y1918" s="18">
        <v>1</v>
      </c>
      <c r="Z1918" s="18">
        <v>1</v>
      </c>
      <c r="AA1918" s="18">
        <v>1</v>
      </c>
      <c r="AB1918" s="18">
        <v>1</v>
      </c>
      <c r="AC1918" s="316">
        <v>1</v>
      </c>
      <c r="AD1918" s="316">
        <v>1</v>
      </c>
      <c r="AE1918" s="302">
        <v>1</v>
      </c>
      <c r="AF1918" s="259"/>
      <c r="AG1918" s="259">
        <v>0</v>
      </c>
      <c r="AH1918" s="259">
        <v>0.06</v>
      </c>
      <c r="AI1918" s="259"/>
      <c r="AJ1918" s="259"/>
      <c r="AK1918" s="260">
        <v>0.5</v>
      </c>
      <c r="AL1918" s="260"/>
      <c r="AM1918" s="259">
        <v>0</v>
      </c>
      <c r="AN1918" s="18" t="s">
        <v>2250</v>
      </c>
      <c r="AO1918" s="18" t="s">
        <v>6271</v>
      </c>
      <c r="AP1918" s="18"/>
    </row>
    <row r="1919" spans="1:42" x14ac:dyDescent="0.3">
      <c r="A1919" s="18" t="s">
        <v>1463</v>
      </c>
      <c r="B1919" s="18" t="s">
        <v>5664</v>
      </c>
      <c r="C1919" s="18">
        <v>145</v>
      </c>
      <c r="D1919" s="18" t="s">
        <v>6343</v>
      </c>
      <c r="E1919" s="18">
        <v>1455</v>
      </c>
      <c r="F1919" s="18" t="s">
        <v>6344</v>
      </c>
      <c r="G1919" s="18" t="s">
        <v>6387</v>
      </c>
      <c r="H1919" s="157" t="s">
        <v>6388</v>
      </c>
      <c r="I1919" s="18" t="s">
        <v>6412</v>
      </c>
      <c r="J1919" s="18" t="s">
        <v>6413</v>
      </c>
      <c r="K1919" s="18" t="s">
        <v>6430</v>
      </c>
      <c r="L1919" s="18" t="s">
        <v>6431</v>
      </c>
      <c r="M1919" s="18" t="s">
        <v>6434</v>
      </c>
      <c r="N1919" s="16"/>
      <c r="O1919" s="16">
        <v>4</v>
      </c>
      <c r="P1919" s="16">
        <v>4</v>
      </c>
      <c r="Q1919" s="16">
        <v>4</v>
      </c>
      <c r="R1919" s="16">
        <v>4</v>
      </c>
      <c r="S1919" s="16">
        <v>4</v>
      </c>
      <c r="T1919" s="18" t="s">
        <v>2250</v>
      </c>
      <c r="U1919" s="283" t="e">
        <v>#N/A</v>
      </c>
      <c r="V1919" s="18" t="s">
        <v>6435</v>
      </c>
      <c r="W1919" s="18">
        <v>1</v>
      </c>
      <c r="X1919" s="18">
        <v>1</v>
      </c>
      <c r="Y1919" s="18">
        <v>0</v>
      </c>
      <c r="Z1919" s="18">
        <v>1</v>
      </c>
      <c r="AA1919" s="18">
        <v>1</v>
      </c>
      <c r="AB1919" s="18">
        <v>1</v>
      </c>
      <c r="AC1919" s="316">
        <v>1</v>
      </c>
      <c r="AD1919" s="316">
        <v>1</v>
      </c>
      <c r="AE1919" s="302">
        <v>0.875</v>
      </c>
      <c r="AF1919" s="259"/>
      <c r="AG1919" s="259">
        <v>0</v>
      </c>
      <c r="AH1919" s="259">
        <v>0.05</v>
      </c>
      <c r="AI1919" s="259">
        <v>0.05</v>
      </c>
      <c r="AJ1919" s="259">
        <v>0.05</v>
      </c>
      <c r="AK1919" s="260">
        <v>0.32</v>
      </c>
      <c r="AL1919" s="260">
        <v>0.05</v>
      </c>
      <c r="AM1919" s="259">
        <v>0.1</v>
      </c>
      <c r="AN1919" s="18" t="s">
        <v>2250</v>
      </c>
      <c r="AO1919" s="18" t="s">
        <v>6271</v>
      </c>
      <c r="AP1919" s="18"/>
    </row>
    <row r="1920" spans="1:42" x14ac:dyDescent="0.3">
      <c r="A1920" s="18" t="s">
        <v>1463</v>
      </c>
      <c r="B1920" s="18" t="s">
        <v>5664</v>
      </c>
      <c r="C1920" s="18">
        <v>145</v>
      </c>
      <c r="D1920" s="18" t="s">
        <v>6343</v>
      </c>
      <c r="E1920" s="18">
        <v>1455</v>
      </c>
      <c r="F1920" s="18" t="s">
        <v>6344</v>
      </c>
      <c r="G1920" s="18" t="s">
        <v>6387</v>
      </c>
      <c r="H1920" s="157" t="s">
        <v>6388</v>
      </c>
      <c r="I1920" s="18" t="s">
        <v>6412</v>
      </c>
      <c r="J1920" s="18" t="s">
        <v>6413</v>
      </c>
      <c r="K1920" s="18" t="s">
        <v>6430</v>
      </c>
      <c r="L1920" s="18" t="s">
        <v>6431</v>
      </c>
      <c r="M1920" s="18" t="s">
        <v>6436</v>
      </c>
      <c r="N1920" s="16"/>
      <c r="O1920" s="16">
        <v>1</v>
      </c>
      <c r="P1920" s="16">
        <v>1</v>
      </c>
      <c r="Q1920" s="16">
        <v>1</v>
      </c>
      <c r="R1920" s="16">
        <v>1</v>
      </c>
      <c r="S1920" s="16">
        <v>1</v>
      </c>
      <c r="T1920" s="18" t="s">
        <v>2250</v>
      </c>
      <c r="U1920" s="283" t="e">
        <v>#N/A</v>
      </c>
      <c r="V1920" s="18" t="s">
        <v>6437</v>
      </c>
      <c r="W1920" s="18">
        <v>1</v>
      </c>
      <c r="X1920" s="18">
        <v>1</v>
      </c>
      <c r="Y1920" s="18">
        <v>1</v>
      </c>
      <c r="Z1920" s="18">
        <v>1</v>
      </c>
      <c r="AA1920" s="18">
        <v>1</v>
      </c>
      <c r="AB1920" s="18">
        <v>1</v>
      </c>
      <c r="AC1920" s="316">
        <v>1</v>
      </c>
      <c r="AD1920" s="316">
        <v>1</v>
      </c>
      <c r="AE1920" s="302">
        <v>1</v>
      </c>
      <c r="AF1920" s="259"/>
      <c r="AG1920" s="259">
        <v>0</v>
      </c>
      <c r="AH1920" s="259">
        <v>0.5</v>
      </c>
      <c r="AI1920" s="259">
        <v>0.3</v>
      </c>
      <c r="AJ1920" s="259">
        <v>0.27</v>
      </c>
      <c r="AK1920" s="260">
        <v>0.27</v>
      </c>
      <c r="AL1920" s="260">
        <v>0.27</v>
      </c>
      <c r="AM1920" s="259">
        <v>0.54</v>
      </c>
      <c r="AN1920" s="18" t="s">
        <v>2250</v>
      </c>
      <c r="AO1920" s="18" t="s">
        <v>6271</v>
      </c>
      <c r="AP1920" s="18"/>
    </row>
    <row r="1921" spans="1:42" s="293" customFormat="1" hidden="1" x14ac:dyDescent="0.3">
      <c r="A1921" s="50" t="s">
        <v>1454</v>
      </c>
      <c r="B1921" s="51" t="s">
        <v>6438</v>
      </c>
      <c r="C1921" s="50" t="s">
        <v>6439</v>
      </c>
      <c r="D1921" s="51" t="s">
        <v>1491</v>
      </c>
      <c r="E1921" s="50" t="s">
        <v>6439</v>
      </c>
      <c r="F1921" s="51" t="s">
        <v>1493</v>
      </c>
      <c r="G1921" s="50" t="s">
        <v>6439</v>
      </c>
      <c r="H1921" s="51" t="s">
        <v>1491</v>
      </c>
      <c r="I1921" s="51"/>
      <c r="J1921" s="51"/>
      <c r="K1921" s="50" t="s">
        <v>6439</v>
      </c>
      <c r="L1921" s="51" t="s">
        <v>1491</v>
      </c>
      <c r="M1921" s="60" t="s">
        <v>271</v>
      </c>
      <c r="N1921" s="60" t="s">
        <v>271</v>
      </c>
      <c r="O1921" s="60" t="s">
        <v>271</v>
      </c>
      <c r="P1921" s="60" t="s">
        <v>271</v>
      </c>
      <c r="Q1921" s="60" t="s">
        <v>271</v>
      </c>
      <c r="R1921" s="60" t="s">
        <v>271</v>
      </c>
      <c r="S1921" s="60" t="s">
        <v>271</v>
      </c>
      <c r="T1921" s="60" t="s">
        <v>271</v>
      </c>
      <c r="U1921" s="60" t="s">
        <v>271</v>
      </c>
      <c r="V1921" s="51" t="s">
        <v>1489</v>
      </c>
      <c r="W1921" s="291"/>
      <c r="X1921" s="291"/>
      <c r="Y1921" s="291"/>
      <c r="Z1921" s="291"/>
      <c r="AA1921" s="291"/>
      <c r="AB1921" s="291"/>
      <c r="AC1921" s="291"/>
      <c r="AD1921" s="291"/>
      <c r="AE1921" s="292"/>
      <c r="AF1921" s="56"/>
      <c r="AG1921" s="292"/>
      <c r="AH1921" s="56"/>
      <c r="AI1921" s="56"/>
      <c r="AJ1921" s="56"/>
      <c r="AK1921" s="57">
        <v>4.5999999999999996</v>
      </c>
      <c r="AL1921" s="57">
        <v>4.5999999999999996</v>
      </c>
      <c r="AM1921" s="56">
        <f>SUM(AK1921:AL1921)</f>
        <v>9.1999999999999993</v>
      </c>
      <c r="AN1921" s="52"/>
      <c r="AO1921" s="52"/>
      <c r="AP1921" s="51"/>
    </row>
    <row r="1922" spans="1:42" s="293" customFormat="1" hidden="1" x14ac:dyDescent="0.3">
      <c r="A1922" s="50" t="s">
        <v>1454</v>
      </c>
      <c r="B1922" s="51" t="s">
        <v>6438</v>
      </c>
      <c r="C1922" s="50" t="s">
        <v>6439</v>
      </c>
      <c r="D1922" s="51" t="s">
        <v>1491</v>
      </c>
      <c r="E1922" s="50" t="s">
        <v>6439</v>
      </c>
      <c r="F1922" s="51" t="s">
        <v>1493</v>
      </c>
      <c r="G1922" s="50" t="s">
        <v>6439</v>
      </c>
      <c r="H1922" s="51" t="s">
        <v>1491</v>
      </c>
      <c r="I1922" s="51"/>
      <c r="J1922" s="51"/>
      <c r="K1922" s="50" t="s">
        <v>6439</v>
      </c>
      <c r="L1922" s="51" t="s">
        <v>1491</v>
      </c>
      <c r="M1922" s="60" t="s">
        <v>271</v>
      </c>
      <c r="N1922" s="60" t="s">
        <v>271</v>
      </c>
      <c r="O1922" s="60" t="s">
        <v>271</v>
      </c>
      <c r="P1922" s="60" t="s">
        <v>271</v>
      </c>
      <c r="Q1922" s="60" t="s">
        <v>271</v>
      </c>
      <c r="R1922" s="60" t="s">
        <v>271</v>
      </c>
      <c r="S1922" s="60" t="s">
        <v>271</v>
      </c>
      <c r="T1922" s="60" t="s">
        <v>271</v>
      </c>
      <c r="U1922" s="60" t="s">
        <v>271</v>
      </c>
      <c r="V1922" s="51" t="s">
        <v>1490</v>
      </c>
      <c r="W1922" s="291"/>
      <c r="X1922" s="291"/>
      <c r="Y1922" s="291"/>
      <c r="Z1922" s="291"/>
      <c r="AA1922" s="291"/>
      <c r="AB1922" s="291"/>
      <c r="AC1922" s="291"/>
      <c r="AD1922" s="291"/>
      <c r="AE1922" s="292"/>
      <c r="AF1922" s="56"/>
      <c r="AG1922" s="292"/>
      <c r="AH1922" s="56"/>
      <c r="AI1922" s="56"/>
      <c r="AJ1922" s="56"/>
      <c r="AK1922" s="57">
        <v>1.8399999999999999</v>
      </c>
      <c r="AL1922" s="57">
        <v>1.8399999999999999</v>
      </c>
      <c r="AM1922" s="56">
        <f>SUM(AK1922:AL1922)</f>
        <v>3.6799999999999997</v>
      </c>
      <c r="AN1922" s="52"/>
      <c r="AO1922" s="52"/>
      <c r="AP1922" s="51"/>
    </row>
    <row r="1923" spans="1:42" s="293" customFormat="1" hidden="1" x14ac:dyDescent="0.3">
      <c r="A1923" s="50" t="s">
        <v>1454</v>
      </c>
      <c r="B1923" s="51" t="s">
        <v>6438</v>
      </c>
      <c r="C1923" s="50" t="s">
        <v>6439</v>
      </c>
      <c r="D1923" s="51" t="s">
        <v>1491</v>
      </c>
      <c r="E1923" s="50" t="s">
        <v>6439</v>
      </c>
      <c r="F1923" s="51" t="s">
        <v>1493</v>
      </c>
      <c r="G1923" s="50" t="s">
        <v>6439</v>
      </c>
      <c r="H1923" s="51" t="s">
        <v>1491</v>
      </c>
      <c r="I1923" s="51"/>
      <c r="J1923" s="51"/>
      <c r="K1923" s="50" t="s">
        <v>6439</v>
      </c>
      <c r="L1923" s="51" t="s">
        <v>1491</v>
      </c>
      <c r="M1923" s="60" t="s">
        <v>271</v>
      </c>
      <c r="N1923" s="60" t="s">
        <v>271</v>
      </c>
      <c r="O1923" s="60" t="s">
        <v>271</v>
      </c>
      <c r="P1923" s="60" t="s">
        <v>271</v>
      </c>
      <c r="Q1923" s="60" t="s">
        <v>271</v>
      </c>
      <c r="R1923" s="60" t="s">
        <v>271</v>
      </c>
      <c r="S1923" s="60" t="s">
        <v>271</v>
      </c>
      <c r="T1923" s="60" t="s">
        <v>271</v>
      </c>
      <c r="U1923" s="60" t="s">
        <v>271</v>
      </c>
      <c r="V1923" s="51" t="s">
        <v>1495</v>
      </c>
      <c r="W1923" s="291"/>
      <c r="X1923" s="291"/>
      <c r="Y1923" s="291"/>
      <c r="Z1923" s="291"/>
      <c r="AA1923" s="291"/>
      <c r="AB1923" s="291"/>
      <c r="AC1923" s="291"/>
      <c r="AD1923" s="291"/>
      <c r="AE1923" s="292"/>
      <c r="AF1923" s="56"/>
      <c r="AG1923" s="292"/>
      <c r="AH1923" s="56"/>
      <c r="AI1923" s="56"/>
      <c r="AJ1923" s="56"/>
      <c r="AK1923" s="57">
        <v>147.68073173499999</v>
      </c>
      <c r="AL1923" s="57">
        <v>53.648878082000003</v>
      </c>
      <c r="AM1923" s="56">
        <f>SUM(AK1923:AL1923)</f>
        <v>201.32960981700001</v>
      </c>
      <c r="AN1923" s="52"/>
      <c r="AO1923" s="52"/>
      <c r="AP1923" s="51"/>
    </row>
    <row r="1924" spans="1:42" s="18" customFormat="1" x14ac:dyDescent="0.3">
      <c r="A1924" s="18" t="s">
        <v>1454</v>
      </c>
      <c r="B1924" s="18" t="s">
        <v>6438</v>
      </c>
      <c r="C1924" s="18">
        <v>101</v>
      </c>
      <c r="D1924" s="283" t="s">
        <v>6440</v>
      </c>
      <c r="E1924" s="18" t="s">
        <v>6441</v>
      </c>
      <c r="F1924" s="18" t="s">
        <v>6442</v>
      </c>
      <c r="G1924" s="156" t="s">
        <v>6443</v>
      </c>
      <c r="H1924" s="18" t="s">
        <v>6444</v>
      </c>
      <c r="K1924" s="156" t="s">
        <v>6445</v>
      </c>
      <c r="L1924" s="18" t="s">
        <v>6446</v>
      </c>
      <c r="M1924" s="18" t="s">
        <v>6447</v>
      </c>
      <c r="N1924" s="16">
        <v>0</v>
      </c>
      <c r="O1924" s="16">
        <v>10000</v>
      </c>
      <c r="P1924" s="16">
        <v>20000</v>
      </c>
      <c r="Q1924" s="16">
        <v>30000</v>
      </c>
      <c r="R1924" s="16">
        <v>50000</v>
      </c>
      <c r="S1924" s="16">
        <v>100000</v>
      </c>
      <c r="T1924" s="18" t="s">
        <v>570</v>
      </c>
      <c r="U1924" s="283" t="s">
        <v>2875</v>
      </c>
      <c r="V1924" s="18" t="s">
        <v>6448</v>
      </c>
      <c r="W1924" s="18">
        <v>1</v>
      </c>
      <c r="X1924" s="18">
        <v>0</v>
      </c>
      <c r="Y1924" s="18">
        <v>1</v>
      </c>
      <c r="Z1924" s="18">
        <v>1</v>
      </c>
      <c r="AA1924" s="18">
        <v>1</v>
      </c>
      <c r="AB1924" s="18">
        <v>1</v>
      </c>
      <c r="AC1924" s="316">
        <v>0</v>
      </c>
      <c r="AD1924" s="316">
        <v>1</v>
      </c>
      <c r="AE1924" s="302">
        <f t="shared" ref="AE1924:AE1987" si="109">SUM(W1924:AD1924)/8</f>
        <v>0.75</v>
      </c>
      <c r="AF1924" s="176">
        <v>0</v>
      </c>
      <c r="AG1924" s="17">
        <v>1</v>
      </c>
      <c r="AH1924" s="176">
        <v>0</v>
      </c>
      <c r="AI1924" s="176">
        <v>0</v>
      </c>
      <c r="AJ1924" s="176">
        <v>0</v>
      </c>
      <c r="AK1924" s="177"/>
      <c r="AL1924" s="177">
        <v>0</v>
      </c>
      <c r="AM1924" s="17">
        <f t="shared" ref="AM1924:AM1987" si="110">SUM(AK1924:AL1924)</f>
        <v>0</v>
      </c>
      <c r="AN1924" s="18" t="s">
        <v>265</v>
      </c>
      <c r="AO1924" s="18" t="s">
        <v>350</v>
      </c>
      <c r="AP1924" s="18" t="s">
        <v>6449</v>
      </c>
    </row>
    <row r="1925" spans="1:42" s="18" customFormat="1" hidden="1" x14ac:dyDescent="0.3">
      <c r="A1925" s="18" t="s">
        <v>1454</v>
      </c>
      <c r="B1925" s="18" t="s">
        <v>6438</v>
      </c>
      <c r="C1925" s="18">
        <v>101</v>
      </c>
      <c r="D1925" s="283" t="s">
        <v>6440</v>
      </c>
      <c r="E1925" s="18" t="s">
        <v>6441</v>
      </c>
      <c r="F1925" s="18" t="s">
        <v>6442</v>
      </c>
      <c r="G1925" s="156" t="s">
        <v>6443</v>
      </c>
      <c r="H1925" s="18" t="s">
        <v>6444</v>
      </c>
      <c r="K1925" s="156" t="s">
        <v>6445</v>
      </c>
      <c r="L1925" s="18" t="s">
        <v>6446</v>
      </c>
      <c r="M1925" s="18" t="s">
        <v>6447</v>
      </c>
      <c r="N1925" s="16"/>
      <c r="O1925" s="16"/>
      <c r="P1925" s="16"/>
      <c r="Q1925" s="16"/>
      <c r="R1925" s="16"/>
      <c r="S1925" s="16"/>
      <c r="T1925" s="18" t="s">
        <v>570</v>
      </c>
      <c r="U1925" s="283" t="s">
        <v>2875</v>
      </c>
      <c r="V1925" s="18" t="s">
        <v>6450</v>
      </c>
      <c r="W1925" s="18">
        <v>1</v>
      </c>
      <c r="X1925" s="18">
        <v>0</v>
      </c>
      <c r="Y1925" s="18">
        <v>0</v>
      </c>
      <c r="Z1925" s="18">
        <v>1</v>
      </c>
      <c r="AA1925" s="18">
        <v>0</v>
      </c>
      <c r="AB1925" s="18">
        <v>0</v>
      </c>
      <c r="AC1925" s="316">
        <v>1</v>
      </c>
      <c r="AD1925" s="316">
        <v>1</v>
      </c>
      <c r="AE1925" s="302">
        <f t="shared" si="109"/>
        <v>0.5</v>
      </c>
      <c r="AF1925" s="176"/>
      <c r="AG1925" s="17">
        <v>0</v>
      </c>
      <c r="AH1925" s="176">
        <v>0</v>
      </c>
      <c r="AI1925" s="176">
        <v>0</v>
      </c>
      <c r="AJ1925" s="176">
        <v>0</v>
      </c>
      <c r="AK1925" s="177">
        <v>0</v>
      </c>
      <c r="AL1925" s="177">
        <v>0</v>
      </c>
      <c r="AM1925" s="17">
        <f t="shared" si="110"/>
        <v>0</v>
      </c>
      <c r="AN1925" s="18" t="s">
        <v>265</v>
      </c>
      <c r="AO1925" s="18" t="s">
        <v>350</v>
      </c>
      <c r="AP1925" s="18" t="s">
        <v>877</v>
      </c>
    </row>
    <row r="1926" spans="1:42" s="18" customFormat="1" hidden="1" x14ac:dyDescent="0.3">
      <c r="A1926" s="18" t="s">
        <v>1454</v>
      </c>
      <c r="B1926" s="18" t="s">
        <v>6438</v>
      </c>
      <c r="C1926" s="18">
        <v>101</v>
      </c>
      <c r="D1926" s="283" t="s">
        <v>6440</v>
      </c>
      <c r="E1926" s="18" t="s">
        <v>6441</v>
      </c>
      <c r="F1926" s="18" t="s">
        <v>6442</v>
      </c>
      <c r="G1926" s="156" t="s">
        <v>6443</v>
      </c>
      <c r="H1926" s="18" t="s">
        <v>6444</v>
      </c>
      <c r="K1926" s="156" t="s">
        <v>6445</v>
      </c>
      <c r="L1926" s="18" t="s">
        <v>6446</v>
      </c>
      <c r="M1926" s="18" t="s">
        <v>6447</v>
      </c>
      <c r="N1926" s="16"/>
      <c r="O1926" s="16"/>
      <c r="P1926" s="16"/>
      <c r="Q1926" s="16"/>
      <c r="R1926" s="16"/>
      <c r="S1926" s="16"/>
      <c r="T1926" s="18" t="s">
        <v>570</v>
      </c>
      <c r="U1926" s="283" t="s">
        <v>2875</v>
      </c>
      <c r="V1926" s="18" t="s">
        <v>6451</v>
      </c>
      <c r="W1926" s="18">
        <v>1</v>
      </c>
      <c r="X1926" s="18">
        <v>0</v>
      </c>
      <c r="Y1926" s="18">
        <v>0</v>
      </c>
      <c r="Z1926" s="18">
        <v>1</v>
      </c>
      <c r="AA1926" s="18">
        <v>0</v>
      </c>
      <c r="AB1926" s="18">
        <v>0</v>
      </c>
      <c r="AC1926" s="316">
        <v>1</v>
      </c>
      <c r="AD1926" s="316">
        <v>1</v>
      </c>
      <c r="AE1926" s="302">
        <f t="shared" si="109"/>
        <v>0.5</v>
      </c>
      <c r="AF1926" s="176"/>
      <c r="AG1926" s="17">
        <v>0</v>
      </c>
      <c r="AH1926" s="176">
        <v>0</v>
      </c>
      <c r="AI1926" s="176">
        <v>0</v>
      </c>
      <c r="AJ1926" s="176">
        <v>0</v>
      </c>
      <c r="AK1926" s="177">
        <v>0</v>
      </c>
      <c r="AL1926" s="177">
        <v>0</v>
      </c>
      <c r="AM1926" s="17">
        <f t="shared" si="110"/>
        <v>0</v>
      </c>
      <c r="AN1926" s="18" t="s">
        <v>879</v>
      </c>
      <c r="AO1926" s="18" t="s">
        <v>880</v>
      </c>
      <c r="AP1926" s="18" t="s">
        <v>6452</v>
      </c>
    </row>
    <row r="1927" spans="1:42" s="18" customFormat="1" x14ac:dyDescent="0.3">
      <c r="A1927" s="18" t="s">
        <v>1454</v>
      </c>
      <c r="B1927" s="18" t="s">
        <v>6438</v>
      </c>
      <c r="C1927" s="18">
        <v>101</v>
      </c>
      <c r="D1927" s="283" t="s">
        <v>6440</v>
      </c>
      <c r="E1927" s="18" t="s">
        <v>6441</v>
      </c>
      <c r="F1927" s="18" t="s">
        <v>6442</v>
      </c>
      <c r="G1927" s="156" t="s">
        <v>6443</v>
      </c>
      <c r="H1927" s="18" t="s">
        <v>6444</v>
      </c>
      <c r="K1927" s="156" t="s">
        <v>6445</v>
      </c>
      <c r="L1927" s="18" t="s">
        <v>6446</v>
      </c>
      <c r="M1927" s="18" t="s">
        <v>6447</v>
      </c>
      <c r="N1927" s="16"/>
      <c r="O1927" s="16"/>
      <c r="P1927" s="16"/>
      <c r="Q1927" s="16"/>
      <c r="R1927" s="16"/>
      <c r="S1927" s="16"/>
      <c r="T1927" s="18" t="s">
        <v>570</v>
      </c>
      <c r="U1927" s="283" t="s">
        <v>2875</v>
      </c>
      <c r="V1927" s="18" t="s">
        <v>6453</v>
      </c>
      <c r="W1927" s="18">
        <v>1</v>
      </c>
      <c r="X1927" s="18">
        <v>1</v>
      </c>
      <c r="Y1927" s="18">
        <v>0</v>
      </c>
      <c r="Z1927" s="18">
        <v>1</v>
      </c>
      <c r="AA1927" s="18">
        <v>1</v>
      </c>
      <c r="AB1927" s="18">
        <v>1</v>
      </c>
      <c r="AC1927" s="316">
        <v>1</v>
      </c>
      <c r="AD1927" s="316">
        <v>1</v>
      </c>
      <c r="AE1927" s="302">
        <f t="shared" si="109"/>
        <v>0.875</v>
      </c>
      <c r="AF1927" s="176"/>
      <c r="AG1927" s="17">
        <v>0</v>
      </c>
      <c r="AH1927" s="176">
        <v>0</v>
      </c>
      <c r="AI1927" s="176">
        <v>0</v>
      </c>
      <c r="AJ1927" s="176">
        <v>3</v>
      </c>
      <c r="AK1927" s="177">
        <v>3</v>
      </c>
      <c r="AL1927" s="177">
        <v>3</v>
      </c>
      <c r="AM1927" s="17">
        <f t="shared" si="110"/>
        <v>6</v>
      </c>
      <c r="AN1927" s="18" t="s">
        <v>879</v>
      </c>
      <c r="AO1927" s="18" t="s">
        <v>880</v>
      </c>
      <c r="AP1927" s="18" t="s">
        <v>265</v>
      </c>
    </row>
    <row r="1928" spans="1:42" s="18" customFormat="1" x14ac:dyDescent="0.3">
      <c r="A1928" s="18" t="s">
        <v>1454</v>
      </c>
      <c r="B1928" s="18" t="s">
        <v>6438</v>
      </c>
      <c r="C1928" s="18">
        <v>101</v>
      </c>
      <c r="D1928" s="283" t="s">
        <v>6440</v>
      </c>
      <c r="E1928" s="18" t="s">
        <v>6441</v>
      </c>
      <c r="F1928" s="18" t="s">
        <v>6442</v>
      </c>
      <c r="G1928" s="156" t="s">
        <v>6443</v>
      </c>
      <c r="H1928" s="18" t="s">
        <v>6444</v>
      </c>
      <c r="K1928" s="156" t="s">
        <v>6445</v>
      </c>
      <c r="L1928" s="18" t="s">
        <v>6446</v>
      </c>
      <c r="M1928" s="18" t="s">
        <v>6447</v>
      </c>
      <c r="N1928" s="16"/>
      <c r="O1928" s="16"/>
      <c r="P1928" s="16"/>
      <c r="Q1928" s="16"/>
      <c r="R1928" s="16"/>
      <c r="S1928" s="16"/>
      <c r="T1928" s="18" t="s">
        <v>570</v>
      </c>
      <c r="U1928" s="283" t="s">
        <v>2875</v>
      </c>
      <c r="V1928" s="18" t="s">
        <v>6454</v>
      </c>
      <c r="W1928" s="18">
        <v>1</v>
      </c>
      <c r="X1928" s="18">
        <v>1</v>
      </c>
      <c r="Y1928" s="18">
        <v>1</v>
      </c>
      <c r="Z1928" s="18">
        <v>1</v>
      </c>
      <c r="AA1928" s="18">
        <v>0</v>
      </c>
      <c r="AB1928" s="18">
        <v>1</v>
      </c>
      <c r="AC1928" s="316">
        <v>1</v>
      </c>
      <c r="AD1928" s="316">
        <v>1</v>
      </c>
      <c r="AE1928" s="302">
        <f t="shared" si="109"/>
        <v>0.875</v>
      </c>
      <c r="AF1928" s="176"/>
      <c r="AG1928" s="17">
        <v>0</v>
      </c>
      <c r="AH1928" s="176">
        <v>0</v>
      </c>
      <c r="AI1928" s="176">
        <v>0</v>
      </c>
      <c r="AJ1928" s="176">
        <v>0</v>
      </c>
      <c r="AK1928" s="177">
        <v>0.53</v>
      </c>
      <c r="AL1928" s="177">
        <v>0.2</v>
      </c>
      <c r="AM1928" s="17">
        <f t="shared" si="110"/>
        <v>0.73</v>
      </c>
      <c r="AN1928" s="18" t="s">
        <v>879</v>
      </c>
      <c r="AO1928" s="18" t="s">
        <v>880</v>
      </c>
      <c r="AP1928" s="18" t="s">
        <v>6455</v>
      </c>
    </row>
    <row r="1929" spans="1:42" s="18" customFormat="1" hidden="1" x14ac:dyDescent="0.3">
      <c r="A1929" s="18" t="s">
        <v>1454</v>
      </c>
      <c r="B1929" s="18" t="s">
        <v>6438</v>
      </c>
      <c r="C1929" s="18">
        <v>101</v>
      </c>
      <c r="D1929" s="283" t="s">
        <v>6440</v>
      </c>
      <c r="E1929" s="18" t="s">
        <v>6441</v>
      </c>
      <c r="F1929" s="18" t="s">
        <v>6442</v>
      </c>
      <c r="G1929" s="156" t="s">
        <v>6443</v>
      </c>
      <c r="H1929" s="18" t="s">
        <v>6444</v>
      </c>
      <c r="K1929" s="156" t="s">
        <v>6445</v>
      </c>
      <c r="L1929" s="18" t="s">
        <v>6446</v>
      </c>
      <c r="M1929" s="18" t="s">
        <v>6447</v>
      </c>
      <c r="N1929" s="16"/>
      <c r="O1929" s="16"/>
      <c r="P1929" s="16"/>
      <c r="Q1929" s="16"/>
      <c r="R1929" s="16"/>
      <c r="S1929" s="16"/>
      <c r="T1929" s="18" t="s">
        <v>570</v>
      </c>
      <c r="U1929" s="283" t="s">
        <v>2875</v>
      </c>
      <c r="V1929" s="18" t="s">
        <v>6456</v>
      </c>
      <c r="W1929" s="18">
        <v>0</v>
      </c>
      <c r="X1929" s="18">
        <v>0</v>
      </c>
      <c r="Y1929" s="18">
        <v>0</v>
      </c>
      <c r="Z1929" s="18">
        <v>1</v>
      </c>
      <c r="AA1929" s="18">
        <v>0</v>
      </c>
      <c r="AB1929" s="18">
        <v>1</v>
      </c>
      <c r="AC1929" s="316">
        <v>0</v>
      </c>
      <c r="AD1929" s="316">
        <v>1</v>
      </c>
      <c r="AE1929" s="302">
        <f t="shared" si="109"/>
        <v>0.375</v>
      </c>
      <c r="AF1929" s="176"/>
      <c r="AG1929" s="17">
        <v>0</v>
      </c>
      <c r="AH1929" s="176">
        <v>0</v>
      </c>
      <c r="AI1929" s="176">
        <v>0</v>
      </c>
      <c r="AJ1929" s="176">
        <v>0</v>
      </c>
      <c r="AK1929" s="177">
        <v>0</v>
      </c>
      <c r="AL1929" s="177">
        <v>0</v>
      </c>
      <c r="AM1929" s="17">
        <f t="shared" si="110"/>
        <v>0</v>
      </c>
      <c r="AN1929" s="18" t="s">
        <v>879</v>
      </c>
      <c r="AO1929" s="18" t="s">
        <v>880</v>
      </c>
      <c r="AP1929" s="18" t="s">
        <v>6455</v>
      </c>
    </row>
    <row r="1930" spans="1:42" s="18" customFormat="1" hidden="1" x14ac:dyDescent="0.3">
      <c r="A1930" s="18" t="s">
        <v>1454</v>
      </c>
      <c r="B1930" s="18" t="s">
        <v>6438</v>
      </c>
      <c r="C1930" s="18">
        <v>101</v>
      </c>
      <c r="D1930" s="283" t="s">
        <v>6440</v>
      </c>
      <c r="E1930" s="18" t="s">
        <v>6441</v>
      </c>
      <c r="F1930" s="18" t="s">
        <v>6442</v>
      </c>
      <c r="G1930" s="156" t="s">
        <v>6443</v>
      </c>
      <c r="H1930" s="18" t="s">
        <v>6444</v>
      </c>
      <c r="K1930" s="156" t="s">
        <v>6445</v>
      </c>
      <c r="L1930" s="18" t="s">
        <v>6446</v>
      </c>
      <c r="M1930" s="18" t="s">
        <v>6447</v>
      </c>
      <c r="N1930" s="16"/>
      <c r="O1930" s="16"/>
      <c r="P1930" s="16"/>
      <c r="Q1930" s="16"/>
      <c r="R1930" s="16"/>
      <c r="S1930" s="16"/>
      <c r="T1930" s="18" t="s">
        <v>570</v>
      </c>
      <c r="U1930" s="283" t="s">
        <v>2875</v>
      </c>
      <c r="V1930" s="18" t="s">
        <v>6457</v>
      </c>
      <c r="W1930" s="18">
        <v>0</v>
      </c>
      <c r="X1930" s="18">
        <v>0</v>
      </c>
      <c r="Y1930" s="18">
        <v>0</v>
      </c>
      <c r="Z1930" s="18">
        <v>1</v>
      </c>
      <c r="AA1930" s="18">
        <v>0</v>
      </c>
      <c r="AB1930" s="18">
        <v>1</v>
      </c>
      <c r="AC1930" s="316">
        <v>0</v>
      </c>
      <c r="AD1930" s="316">
        <v>1</v>
      </c>
      <c r="AE1930" s="302">
        <f t="shared" si="109"/>
        <v>0.375</v>
      </c>
      <c r="AF1930" s="176"/>
      <c r="AG1930" s="17">
        <v>0</v>
      </c>
      <c r="AH1930" s="176">
        <v>0</v>
      </c>
      <c r="AI1930" s="176">
        <v>0</v>
      </c>
      <c r="AJ1930" s="176">
        <v>0</v>
      </c>
      <c r="AK1930" s="177">
        <v>0</v>
      </c>
      <c r="AL1930" s="177">
        <v>0</v>
      </c>
      <c r="AM1930" s="17">
        <f t="shared" si="110"/>
        <v>0</v>
      </c>
      <c r="AN1930" s="18" t="s">
        <v>879</v>
      </c>
      <c r="AO1930" s="18" t="s">
        <v>880</v>
      </c>
      <c r="AP1930" s="18" t="s">
        <v>265</v>
      </c>
    </row>
    <row r="1931" spans="1:42" s="18" customFormat="1" hidden="1" x14ac:dyDescent="0.3">
      <c r="A1931" s="18" t="s">
        <v>1454</v>
      </c>
      <c r="B1931" s="18" t="s">
        <v>6438</v>
      </c>
      <c r="C1931" s="18">
        <v>101</v>
      </c>
      <c r="D1931" s="283" t="s">
        <v>6440</v>
      </c>
      <c r="E1931" s="18" t="s">
        <v>6441</v>
      </c>
      <c r="F1931" s="18" t="s">
        <v>6442</v>
      </c>
      <c r="G1931" s="156" t="s">
        <v>6443</v>
      </c>
      <c r="H1931" s="18" t="s">
        <v>6444</v>
      </c>
      <c r="K1931" s="156" t="s">
        <v>6445</v>
      </c>
      <c r="L1931" s="18" t="s">
        <v>6446</v>
      </c>
      <c r="M1931" s="18" t="s">
        <v>6447</v>
      </c>
      <c r="N1931" s="16"/>
      <c r="O1931" s="16"/>
      <c r="P1931" s="16"/>
      <c r="Q1931" s="16"/>
      <c r="R1931" s="16"/>
      <c r="S1931" s="16"/>
      <c r="T1931" s="18" t="s">
        <v>570</v>
      </c>
      <c r="U1931" s="283" t="s">
        <v>2875</v>
      </c>
      <c r="V1931" s="18" t="s">
        <v>6458</v>
      </c>
      <c r="W1931" s="18">
        <v>0</v>
      </c>
      <c r="X1931" s="18">
        <v>0</v>
      </c>
      <c r="Y1931" s="18">
        <v>0</v>
      </c>
      <c r="Z1931" s="18">
        <v>1</v>
      </c>
      <c r="AA1931" s="18">
        <v>0</v>
      </c>
      <c r="AB1931" s="18">
        <v>1</v>
      </c>
      <c r="AC1931" s="316">
        <v>1</v>
      </c>
      <c r="AD1931" s="316">
        <v>1</v>
      </c>
      <c r="AE1931" s="302">
        <f t="shared" si="109"/>
        <v>0.5</v>
      </c>
      <c r="AF1931" s="176"/>
      <c r="AG1931" s="17">
        <v>0</v>
      </c>
      <c r="AH1931" s="176">
        <v>0</v>
      </c>
      <c r="AI1931" s="176">
        <v>0</v>
      </c>
      <c r="AJ1931" s="176">
        <v>0</v>
      </c>
      <c r="AK1931" s="177">
        <v>0</v>
      </c>
      <c r="AL1931" s="177">
        <v>0</v>
      </c>
      <c r="AM1931" s="17">
        <f t="shared" si="110"/>
        <v>0</v>
      </c>
      <c r="AN1931" s="18" t="s">
        <v>407</v>
      </c>
      <c r="AO1931" s="18" t="s">
        <v>409</v>
      </c>
      <c r="AP1931" s="18" t="s">
        <v>6459</v>
      </c>
    </row>
    <row r="1932" spans="1:42" s="18" customFormat="1" hidden="1" x14ac:dyDescent="0.3">
      <c r="A1932" s="18" t="s">
        <v>1454</v>
      </c>
      <c r="B1932" s="18" t="s">
        <v>6438</v>
      </c>
      <c r="C1932" s="18">
        <v>101</v>
      </c>
      <c r="D1932" s="283" t="s">
        <v>6440</v>
      </c>
      <c r="E1932" s="18" t="s">
        <v>6441</v>
      </c>
      <c r="F1932" s="18" t="s">
        <v>6442</v>
      </c>
      <c r="G1932" s="156" t="s">
        <v>6443</v>
      </c>
      <c r="H1932" s="18" t="s">
        <v>6444</v>
      </c>
      <c r="K1932" s="156" t="s">
        <v>6445</v>
      </c>
      <c r="L1932" s="18" t="s">
        <v>6446</v>
      </c>
      <c r="M1932" s="18" t="s">
        <v>6447</v>
      </c>
      <c r="N1932" s="16"/>
      <c r="O1932" s="16"/>
      <c r="P1932" s="16"/>
      <c r="Q1932" s="16"/>
      <c r="R1932" s="16"/>
      <c r="S1932" s="16"/>
      <c r="T1932" s="18" t="s">
        <v>570</v>
      </c>
      <c r="U1932" s="283" t="s">
        <v>2875</v>
      </c>
      <c r="V1932" s="18" t="s">
        <v>6460</v>
      </c>
      <c r="W1932" s="18">
        <v>0</v>
      </c>
      <c r="X1932" s="18">
        <v>1</v>
      </c>
      <c r="Y1932" s="18">
        <v>0</v>
      </c>
      <c r="Z1932" s="18">
        <v>0</v>
      </c>
      <c r="AA1932" s="18">
        <v>1</v>
      </c>
      <c r="AB1932" s="18">
        <v>1</v>
      </c>
      <c r="AC1932" s="316">
        <v>1</v>
      </c>
      <c r="AD1932" s="316">
        <v>1</v>
      </c>
      <c r="AE1932" s="302">
        <f t="shared" si="109"/>
        <v>0.625</v>
      </c>
      <c r="AF1932" s="176"/>
      <c r="AG1932" s="17">
        <v>0</v>
      </c>
      <c r="AH1932" s="176">
        <v>0</v>
      </c>
      <c r="AI1932" s="176">
        <v>0.08</v>
      </c>
      <c r="AJ1932" s="176">
        <v>0.08</v>
      </c>
      <c r="AK1932" s="177">
        <v>1</v>
      </c>
      <c r="AL1932" s="177">
        <v>1</v>
      </c>
      <c r="AM1932" s="17">
        <f t="shared" si="110"/>
        <v>2</v>
      </c>
      <c r="AN1932" s="18" t="s">
        <v>869</v>
      </c>
      <c r="AO1932" s="18" t="s">
        <v>871</v>
      </c>
      <c r="AP1932" s="18" t="s">
        <v>6459</v>
      </c>
    </row>
    <row r="1933" spans="1:42" s="18" customFormat="1" x14ac:dyDescent="0.3">
      <c r="A1933" s="18" t="s">
        <v>1454</v>
      </c>
      <c r="B1933" s="18" t="s">
        <v>6438</v>
      </c>
      <c r="C1933" s="18">
        <v>101</v>
      </c>
      <c r="D1933" s="283" t="s">
        <v>6440</v>
      </c>
      <c r="E1933" s="18" t="s">
        <v>6441</v>
      </c>
      <c r="F1933" s="18" t="s">
        <v>6442</v>
      </c>
      <c r="G1933" s="156" t="s">
        <v>6443</v>
      </c>
      <c r="H1933" s="18" t="s">
        <v>6444</v>
      </c>
      <c r="K1933" s="156" t="s">
        <v>6445</v>
      </c>
      <c r="L1933" s="18" t="s">
        <v>6446</v>
      </c>
      <c r="M1933" s="18" t="s">
        <v>6447</v>
      </c>
      <c r="N1933" s="16"/>
      <c r="O1933" s="16"/>
      <c r="P1933" s="16"/>
      <c r="Q1933" s="16"/>
      <c r="R1933" s="16"/>
      <c r="S1933" s="16"/>
      <c r="T1933" s="18" t="s">
        <v>570</v>
      </c>
      <c r="U1933" s="283" t="s">
        <v>2875</v>
      </c>
      <c r="V1933" s="18" t="s">
        <v>6461</v>
      </c>
      <c r="W1933" s="18">
        <v>1</v>
      </c>
      <c r="X1933" s="18">
        <v>1</v>
      </c>
      <c r="Y1933" s="18">
        <v>1</v>
      </c>
      <c r="Z1933" s="18">
        <v>1</v>
      </c>
      <c r="AA1933" s="18">
        <v>1</v>
      </c>
      <c r="AB1933" s="18">
        <v>1</v>
      </c>
      <c r="AC1933" s="316">
        <v>1</v>
      </c>
      <c r="AD1933" s="316">
        <v>1</v>
      </c>
      <c r="AE1933" s="302">
        <f t="shared" si="109"/>
        <v>1</v>
      </c>
      <c r="AF1933" s="176"/>
      <c r="AG1933" s="17">
        <v>0</v>
      </c>
      <c r="AH1933" s="176">
        <v>0</v>
      </c>
      <c r="AI1933" s="176">
        <v>2</v>
      </c>
      <c r="AJ1933" s="176">
        <v>2</v>
      </c>
      <c r="AK1933" s="177">
        <v>2</v>
      </c>
      <c r="AL1933" s="177">
        <v>2</v>
      </c>
      <c r="AM1933" s="17">
        <f t="shared" si="110"/>
        <v>4</v>
      </c>
      <c r="AN1933" s="18" t="s">
        <v>2514</v>
      </c>
      <c r="AO1933" s="18" t="s">
        <v>2515</v>
      </c>
      <c r="AP1933" s="18" t="s">
        <v>6462</v>
      </c>
    </row>
    <row r="1934" spans="1:42" s="18" customFormat="1" x14ac:dyDescent="0.3">
      <c r="A1934" s="18" t="s">
        <v>1454</v>
      </c>
      <c r="B1934" s="18" t="s">
        <v>6438</v>
      </c>
      <c r="C1934" s="18">
        <v>101</v>
      </c>
      <c r="D1934" s="283" t="s">
        <v>6440</v>
      </c>
      <c r="E1934" s="18" t="s">
        <v>6441</v>
      </c>
      <c r="F1934" s="18" t="s">
        <v>6442</v>
      </c>
      <c r="G1934" s="156" t="s">
        <v>6443</v>
      </c>
      <c r="H1934" s="18" t="s">
        <v>6444</v>
      </c>
      <c r="K1934" s="156" t="s">
        <v>6445</v>
      </c>
      <c r="L1934" s="18" t="s">
        <v>6446</v>
      </c>
      <c r="M1934" s="18" t="s">
        <v>6447</v>
      </c>
      <c r="N1934" s="16"/>
      <c r="O1934" s="16"/>
      <c r="P1934" s="16"/>
      <c r="Q1934" s="16"/>
      <c r="R1934" s="16"/>
      <c r="S1934" s="16"/>
      <c r="T1934" s="18" t="s">
        <v>570</v>
      </c>
      <c r="U1934" s="283" t="s">
        <v>2875</v>
      </c>
      <c r="V1934" s="18" t="s">
        <v>6463</v>
      </c>
      <c r="W1934" s="18">
        <v>0</v>
      </c>
      <c r="X1934" s="18">
        <v>1</v>
      </c>
      <c r="Y1934" s="18">
        <v>1</v>
      </c>
      <c r="Z1934" s="18">
        <v>1</v>
      </c>
      <c r="AA1934" s="18">
        <v>1</v>
      </c>
      <c r="AB1934" s="18">
        <v>1</v>
      </c>
      <c r="AC1934" s="316">
        <v>1</v>
      </c>
      <c r="AD1934" s="316">
        <v>0</v>
      </c>
      <c r="AE1934" s="302">
        <f t="shared" si="109"/>
        <v>0.75</v>
      </c>
      <c r="AF1934" s="176"/>
      <c r="AG1934" s="17">
        <v>0</v>
      </c>
      <c r="AH1934" s="176">
        <v>0</v>
      </c>
      <c r="AI1934" s="176">
        <v>4.5999999999999996</v>
      </c>
      <c r="AJ1934" s="176">
        <v>4.5999999999999996</v>
      </c>
      <c r="AK1934" s="177">
        <v>5</v>
      </c>
      <c r="AL1934" s="177">
        <v>5</v>
      </c>
      <c r="AM1934" s="17">
        <f t="shared" si="110"/>
        <v>10</v>
      </c>
      <c r="AN1934" s="18" t="s">
        <v>2514</v>
      </c>
      <c r="AO1934" s="18" t="s">
        <v>2515</v>
      </c>
      <c r="AP1934" s="18" t="s">
        <v>6462</v>
      </c>
    </row>
    <row r="1935" spans="1:42" s="18" customFormat="1" hidden="1" x14ac:dyDescent="0.3">
      <c r="A1935" s="18" t="s">
        <v>1454</v>
      </c>
      <c r="B1935" s="18" t="s">
        <v>6438</v>
      </c>
      <c r="C1935" s="18">
        <v>101</v>
      </c>
      <c r="D1935" s="283" t="s">
        <v>6440</v>
      </c>
      <c r="E1935" s="18" t="s">
        <v>6441</v>
      </c>
      <c r="F1935" s="18" t="s">
        <v>6442</v>
      </c>
      <c r="G1935" s="156" t="s">
        <v>6443</v>
      </c>
      <c r="H1935" s="18" t="s">
        <v>6444</v>
      </c>
      <c r="K1935" s="156" t="s">
        <v>6445</v>
      </c>
      <c r="L1935" s="18" t="s">
        <v>6446</v>
      </c>
      <c r="M1935" s="18" t="s">
        <v>6447</v>
      </c>
      <c r="N1935" s="16"/>
      <c r="O1935" s="16"/>
      <c r="P1935" s="16"/>
      <c r="Q1935" s="16"/>
      <c r="R1935" s="16"/>
      <c r="S1935" s="16"/>
      <c r="T1935" s="18" t="s">
        <v>570</v>
      </c>
      <c r="U1935" s="283" t="s">
        <v>2875</v>
      </c>
      <c r="V1935" s="18" t="s">
        <v>6464</v>
      </c>
      <c r="W1935" s="18">
        <v>0</v>
      </c>
      <c r="X1935" s="18">
        <v>0</v>
      </c>
      <c r="Y1935" s="18">
        <v>0</v>
      </c>
      <c r="Z1935" s="18">
        <v>1</v>
      </c>
      <c r="AA1935" s="18">
        <v>1</v>
      </c>
      <c r="AB1935" s="18">
        <v>1</v>
      </c>
      <c r="AC1935" s="316">
        <v>0</v>
      </c>
      <c r="AD1935" s="316">
        <v>0</v>
      </c>
      <c r="AE1935" s="302">
        <f t="shared" si="109"/>
        <v>0.375</v>
      </c>
      <c r="AF1935" s="176"/>
      <c r="AG1935" s="17">
        <v>0</v>
      </c>
      <c r="AH1935" s="176">
        <v>0</v>
      </c>
      <c r="AI1935" s="176">
        <v>0.5</v>
      </c>
      <c r="AJ1935" s="176">
        <v>0.3</v>
      </c>
      <c r="AK1935" s="177"/>
      <c r="AL1935" s="177">
        <v>0</v>
      </c>
      <c r="AM1935" s="17">
        <f t="shared" si="110"/>
        <v>0</v>
      </c>
      <c r="AN1935" s="18" t="s">
        <v>2514</v>
      </c>
      <c r="AO1935" s="18" t="s">
        <v>2515</v>
      </c>
      <c r="AP1935" s="18" t="s">
        <v>6462</v>
      </c>
    </row>
    <row r="1936" spans="1:42" s="18" customFormat="1" x14ac:dyDescent="0.3">
      <c r="A1936" s="18" t="s">
        <v>1454</v>
      </c>
      <c r="B1936" s="18" t="s">
        <v>6438</v>
      </c>
      <c r="C1936" s="18">
        <v>101</v>
      </c>
      <c r="D1936" s="283" t="s">
        <v>6440</v>
      </c>
      <c r="E1936" s="18" t="s">
        <v>6441</v>
      </c>
      <c r="F1936" s="18" t="s">
        <v>6442</v>
      </c>
      <c r="G1936" s="156" t="s">
        <v>6443</v>
      </c>
      <c r="H1936" s="18" t="s">
        <v>6444</v>
      </c>
      <c r="K1936" s="156" t="s">
        <v>6445</v>
      </c>
      <c r="L1936" s="18" t="s">
        <v>6446</v>
      </c>
      <c r="M1936" s="18" t="s">
        <v>6447</v>
      </c>
      <c r="N1936" s="16"/>
      <c r="O1936" s="16"/>
      <c r="P1936" s="16"/>
      <c r="Q1936" s="16"/>
      <c r="R1936" s="16"/>
      <c r="S1936" s="16"/>
      <c r="T1936" s="18" t="s">
        <v>570</v>
      </c>
      <c r="U1936" s="283" t="s">
        <v>2875</v>
      </c>
      <c r="V1936" s="18" t="s">
        <v>6465</v>
      </c>
      <c r="W1936" s="18">
        <v>1</v>
      </c>
      <c r="X1936" s="18">
        <v>1</v>
      </c>
      <c r="Y1936" s="18">
        <v>1</v>
      </c>
      <c r="Z1936" s="18">
        <v>1</v>
      </c>
      <c r="AA1936" s="18">
        <v>1</v>
      </c>
      <c r="AB1936" s="18">
        <v>1</v>
      </c>
      <c r="AC1936" s="316">
        <v>1</v>
      </c>
      <c r="AD1936" s="316">
        <v>1</v>
      </c>
      <c r="AE1936" s="302">
        <f t="shared" si="109"/>
        <v>1</v>
      </c>
      <c r="AF1936" s="176"/>
      <c r="AG1936" s="17">
        <v>0</v>
      </c>
      <c r="AH1936" s="176">
        <v>0</v>
      </c>
      <c r="AI1936" s="176">
        <v>0</v>
      </c>
      <c r="AJ1936" s="176">
        <v>0</v>
      </c>
      <c r="AK1936" s="177">
        <v>0</v>
      </c>
      <c r="AL1936" s="177">
        <v>0</v>
      </c>
      <c r="AM1936" s="17">
        <f t="shared" si="110"/>
        <v>0</v>
      </c>
      <c r="AN1936" s="18" t="s">
        <v>2514</v>
      </c>
      <c r="AO1936" s="18" t="s">
        <v>2515</v>
      </c>
      <c r="AP1936" s="18" t="s">
        <v>6466</v>
      </c>
    </row>
    <row r="1937" spans="1:42" s="18" customFormat="1" x14ac:dyDescent="0.3">
      <c r="A1937" s="18" t="s">
        <v>1454</v>
      </c>
      <c r="B1937" s="18" t="s">
        <v>6438</v>
      </c>
      <c r="C1937" s="18">
        <v>101</v>
      </c>
      <c r="D1937" s="283" t="s">
        <v>6440</v>
      </c>
      <c r="E1937" s="18" t="s">
        <v>6441</v>
      </c>
      <c r="F1937" s="18" t="s">
        <v>6442</v>
      </c>
      <c r="G1937" s="156" t="s">
        <v>6443</v>
      </c>
      <c r="H1937" s="18" t="s">
        <v>6444</v>
      </c>
      <c r="K1937" s="156" t="s">
        <v>6445</v>
      </c>
      <c r="L1937" s="18" t="s">
        <v>6446</v>
      </c>
      <c r="M1937" s="18" t="s">
        <v>6447</v>
      </c>
      <c r="N1937" s="16"/>
      <c r="O1937" s="16"/>
      <c r="P1937" s="16"/>
      <c r="Q1937" s="16"/>
      <c r="R1937" s="16"/>
      <c r="S1937" s="16"/>
      <c r="T1937" s="18" t="s">
        <v>570</v>
      </c>
      <c r="U1937" s="283" t="s">
        <v>2875</v>
      </c>
      <c r="V1937" s="18" t="s">
        <v>6467</v>
      </c>
      <c r="W1937" s="18">
        <v>1</v>
      </c>
      <c r="X1937" s="18">
        <v>1</v>
      </c>
      <c r="Y1937" s="18">
        <v>1</v>
      </c>
      <c r="Z1937" s="18">
        <v>1</v>
      </c>
      <c r="AA1937" s="18">
        <v>1</v>
      </c>
      <c r="AB1937" s="18">
        <v>1</v>
      </c>
      <c r="AC1937" s="316">
        <v>1</v>
      </c>
      <c r="AD1937" s="316">
        <v>1</v>
      </c>
      <c r="AE1937" s="302">
        <f t="shared" si="109"/>
        <v>1</v>
      </c>
      <c r="AF1937" s="176"/>
      <c r="AG1937" s="17">
        <v>0</v>
      </c>
      <c r="AH1937" s="176">
        <v>0</v>
      </c>
      <c r="AI1937" s="176">
        <v>0.5</v>
      </c>
      <c r="AJ1937" s="176">
        <v>0.5</v>
      </c>
      <c r="AK1937" s="177">
        <v>1</v>
      </c>
      <c r="AL1937" s="177">
        <v>2</v>
      </c>
      <c r="AM1937" s="17">
        <f t="shared" si="110"/>
        <v>3</v>
      </c>
      <c r="AN1937" s="18" t="s">
        <v>2514</v>
      </c>
      <c r="AO1937" s="18" t="s">
        <v>2515</v>
      </c>
      <c r="AP1937" s="18" t="s">
        <v>6466</v>
      </c>
    </row>
    <row r="1938" spans="1:42" s="18" customFormat="1" hidden="1" x14ac:dyDescent="0.3">
      <c r="A1938" s="18" t="s">
        <v>1454</v>
      </c>
      <c r="B1938" s="18" t="s">
        <v>6438</v>
      </c>
      <c r="C1938" s="18">
        <v>101</v>
      </c>
      <c r="D1938" s="283" t="s">
        <v>6440</v>
      </c>
      <c r="E1938" s="18" t="s">
        <v>6441</v>
      </c>
      <c r="F1938" s="18" t="s">
        <v>6442</v>
      </c>
      <c r="G1938" s="156" t="s">
        <v>6443</v>
      </c>
      <c r="H1938" s="18" t="s">
        <v>6444</v>
      </c>
      <c r="K1938" s="156" t="s">
        <v>6445</v>
      </c>
      <c r="L1938" s="18" t="s">
        <v>6446</v>
      </c>
      <c r="M1938" s="18" t="s">
        <v>6447</v>
      </c>
      <c r="N1938" s="16"/>
      <c r="O1938" s="16"/>
      <c r="P1938" s="16"/>
      <c r="Q1938" s="16"/>
      <c r="R1938" s="16"/>
      <c r="S1938" s="16"/>
      <c r="T1938" s="18" t="s">
        <v>570</v>
      </c>
      <c r="U1938" s="283" t="s">
        <v>2875</v>
      </c>
      <c r="V1938" s="18" t="s">
        <v>6468</v>
      </c>
      <c r="W1938" s="18">
        <v>0</v>
      </c>
      <c r="X1938" s="18">
        <v>0</v>
      </c>
      <c r="Y1938" s="18">
        <v>0</v>
      </c>
      <c r="Z1938" s="18">
        <v>1</v>
      </c>
      <c r="AA1938" s="18">
        <v>1</v>
      </c>
      <c r="AB1938" s="18">
        <v>0</v>
      </c>
      <c r="AC1938" s="316">
        <v>0</v>
      </c>
      <c r="AD1938" s="316">
        <v>0</v>
      </c>
      <c r="AE1938" s="302">
        <f t="shared" si="109"/>
        <v>0.25</v>
      </c>
      <c r="AF1938" s="176"/>
      <c r="AG1938" s="17">
        <v>0</v>
      </c>
      <c r="AH1938" s="176">
        <v>0</v>
      </c>
      <c r="AI1938" s="176">
        <v>0</v>
      </c>
      <c r="AJ1938" s="176">
        <v>0</v>
      </c>
      <c r="AK1938" s="177">
        <v>0</v>
      </c>
      <c r="AL1938" s="177">
        <v>0</v>
      </c>
      <c r="AM1938" s="17">
        <f t="shared" si="110"/>
        <v>0</v>
      </c>
      <c r="AN1938" s="18" t="s">
        <v>771</v>
      </c>
      <c r="AO1938" s="18" t="s">
        <v>773</v>
      </c>
      <c r="AP1938" s="18" t="s">
        <v>6455</v>
      </c>
    </row>
    <row r="1939" spans="1:42" s="18" customFormat="1" hidden="1" x14ac:dyDescent="0.3">
      <c r="A1939" s="18" t="s">
        <v>1454</v>
      </c>
      <c r="B1939" s="18" t="s">
        <v>6438</v>
      </c>
      <c r="C1939" s="18">
        <v>101</v>
      </c>
      <c r="D1939" s="283" t="s">
        <v>6440</v>
      </c>
      <c r="E1939" s="18" t="s">
        <v>6441</v>
      </c>
      <c r="F1939" s="18" t="s">
        <v>6442</v>
      </c>
      <c r="G1939" s="156" t="s">
        <v>6443</v>
      </c>
      <c r="H1939" s="18" t="s">
        <v>6444</v>
      </c>
      <c r="K1939" s="156" t="s">
        <v>6445</v>
      </c>
      <c r="L1939" s="18" t="s">
        <v>6446</v>
      </c>
      <c r="M1939" s="18" t="s">
        <v>6447</v>
      </c>
      <c r="N1939" s="16"/>
      <c r="O1939" s="16"/>
      <c r="P1939" s="16"/>
      <c r="Q1939" s="16"/>
      <c r="R1939" s="16"/>
      <c r="S1939" s="16"/>
      <c r="T1939" s="18" t="s">
        <v>570</v>
      </c>
      <c r="U1939" s="283" t="s">
        <v>2875</v>
      </c>
      <c r="V1939" s="18" t="s">
        <v>6469</v>
      </c>
      <c r="W1939" s="18">
        <v>0</v>
      </c>
      <c r="X1939" s="18">
        <v>0</v>
      </c>
      <c r="Y1939" s="18">
        <v>0</v>
      </c>
      <c r="Z1939" s="18">
        <v>1</v>
      </c>
      <c r="AA1939" s="18">
        <v>0</v>
      </c>
      <c r="AB1939" s="18">
        <v>0</v>
      </c>
      <c r="AC1939" s="316">
        <v>1</v>
      </c>
      <c r="AD1939" s="316">
        <v>0</v>
      </c>
      <c r="AE1939" s="302">
        <f t="shared" si="109"/>
        <v>0.25</v>
      </c>
      <c r="AF1939" s="176"/>
      <c r="AG1939" s="17">
        <v>0</v>
      </c>
      <c r="AH1939" s="176">
        <v>0</v>
      </c>
      <c r="AI1939" s="176">
        <v>0</v>
      </c>
      <c r="AJ1939" s="176">
        <v>0</v>
      </c>
      <c r="AK1939" s="177">
        <v>0</v>
      </c>
      <c r="AL1939" s="177">
        <v>0</v>
      </c>
      <c r="AM1939" s="17">
        <f t="shared" si="110"/>
        <v>0</v>
      </c>
      <c r="AN1939" s="18" t="s">
        <v>771</v>
      </c>
      <c r="AO1939" s="18" t="s">
        <v>773</v>
      </c>
      <c r="AP1939" s="18" t="s">
        <v>119</v>
      </c>
    </row>
    <row r="1940" spans="1:42" s="18" customFormat="1" hidden="1" x14ac:dyDescent="0.3">
      <c r="A1940" s="18" t="s">
        <v>1454</v>
      </c>
      <c r="B1940" s="18" t="s">
        <v>6438</v>
      </c>
      <c r="C1940" s="18">
        <v>101</v>
      </c>
      <c r="D1940" s="283" t="s">
        <v>6440</v>
      </c>
      <c r="E1940" s="18" t="s">
        <v>6441</v>
      </c>
      <c r="F1940" s="18" t="s">
        <v>6442</v>
      </c>
      <c r="G1940" s="156" t="s">
        <v>6443</v>
      </c>
      <c r="H1940" s="18" t="s">
        <v>6444</v>
      </c>
      <c r="K1940" s="156" t="s">
        <v>6445</v>
      </c>
      <c r="L1940" s="18" t="s">
        <v>6446</v>
      </c>
      <c r="M1940" s="18" t="s">
        <v>6447</v>
      </c>
      <c r="N1940" s="16"/>
      <c r="O1940" s="16"/>
      <c r="P1940" s="16"/>
      <c r="Q1940" s="16"/>
      <c r="R1940" s="16"/>
      <c r="S1940" s="16"/>
      <c r="T1940" s="18" t="s">
        <v>570</v>
      </c>
      <c r="U1940" s="283" t="s">
        <v>2875</v>
      </c>
      <c r="V1940" s="18" t="s">
        <v>6470</v>
      </c>
      <c r="W1940" s="18">
        <v>0</v>
      </c>
      <c r="X1940" s="18">
        <v>0</v>
      </c>
      <c r="Y1940" s="18">
        <v>0</v>
      </c>
      <c r="Z1940" s="18">
        <v>1</v>
      </c>
      <c r="AA1940" s="18">
        <v>0</v>
      </c>
      <c r="AB1940" s="18">
        <v>0</v>
      </c>
      <c r="AC1940" s="316">
        <v>1</v>
      </c>
      <c r="AD1940" s="316">
        <v>0</v>
      </c>
      <c r="AE1940" s="302">
        <f t="shared" si="109"/>
        <v>0.25</v>
      </c>
      <c r="AF1940" s="176"/>
      <c r="AG1940" s="17">
        <v>0</v>
      </c>
      <c r="AH1940" s="176">
        <v>0</v>
      </c>
      <c r="AI1940" s="176">
        <v>0</v>
      </c>
      <c r="AJ1940" s="176">
        <v>0</v>
      </c>
      <c r="AK1940" s="177">
        <v>0</v>
      </c>
      <c r="AL1940" s="177">
        <v>0</v>
      </c>
      <c r="AM1940" s="17">
        <f t="shared" si="110"/>
        <v>0</v>
      </c>
      <c r="AN1940" s="18" t="s">
        <v>771</v>
      </c>
      <c r="AO1940" s="18" t="s">
        <v>773</v>
      </c>
      <c r="AP1940" s="18" t="s">
        <v>119</v>
      </c>
    </row>
    <row r="1941" spans="1:42" s="18" customFormat="1" hidden="1" x14ac:dyDescent="0.3">
      <c r="A1941" s="18" t="s">
        <v>1454</v>
      </c>
      <c r="B1941" s="18" t="s">
        <v>6438</v>
      </c>
      <c r="C1941" s="18">
        <v>101</v>
      </c>
      <c r="D1941" s="283" t="s">
        <v>6440</v>
      </c>
      <c r="E1941" s="18" t="s">
        <v>6441</v>
      </c>
      <c r="F1941" s="18" t="s">
        <v>6442</v>
      </c>
      <c r="G1941" s="156" t="s">
        <v>6443</v>
      </c>
      <c r="H1941" s="18" t="s">
        <v>6444</v>
      </c>
      <c r="K1941" s="156" t="s">
        <v>6445</v>
      </c>
      <c r="L1941" s="18" t="s">
        <v>6446</v>
      </c>
      <c r="M1941" s="18" t="s">
        <v>6447</v>
      </c>
      <c r="N1941" s="16"/>
      <c r="O1941" s="16"/>
      <c r="P1941" s="16"/>
      <c r="Q1941" s="16"/>
      <c r="R1941" s="16"/>
      <c r="S1941" s="16"/>
      <c r="T1941" s="18" t="s">
        <v>570</v>
      </c>
      <c r="U1941" s="283" t="s">
        <v>2875</v>
      </c>
      <c r="V1941" s="18" t="s">
        <v>6471</v>
      </c>
      <c r="W1941" s="18">
        <v>0</v>
      </c>
      <c r="X1941" s="18">
        <v>0</v>
      </c>
      <c r="Y1941" s="18">
        <v>0</v>
      </c>
      <c r="Z1941" s="18">
        <v>1</v>
      </c>
      <c r="AA1941" s="18">
        <v>0</v>
      </c>
      <c r="AB1941" s="18">
        <v>0</v>
      </c>
      <c r="AC1941" s="316">
        <v>1</v>
      </c>
      <c r="AD1941" s="316">
        <v>0</v>
      </c>
      <c r="AE1941" s="302">
        <f t="shared" si="109"/>
        <v>0.25</v>
      </c>
      <c r="AF1941" s="176"/>
      <c r="AG1941" s="17">
        <v>0</v>
      </c>
      <c r="AH1941" s="176">
        <v>0</v>
      </c>
      <c r="AI1941" s="176">
        <v>0</v>
      </c>
      <c r="AJ1941" s="176">
        <v>0</v>
      </c>
      <c r="AK1941" s="177">
        <v>0</v>
      </c>
      <c r="AL1941" s="177">
        <v>0</v>
      </c>
      <c r="AM1941" s="17">
        <f t="shared" si="110"/>
        <v>0</v>
      </c>
      <c r="AN1941" s="18" t="s">
        <v>771</v>
      </c>
      <c r="AO1941" s="18" t="s">
        <v>773</v>
      </c>
      <c r="AP1941" s="18" t="s">
        <v>119</v>
      </c>
    </row>
    <row r="1942" spans="1:42" s="18" customFormat="1" hidden="1" x14ac:dyDescent="0.3">
      <c r="A1942" s="18" t="s">
        <v>1454</v>
      </c>
      <c r="B1942" s="18" t="s">
        <v>6438</v>
      </c>
      <c r="C1942" s="18">
        <v>101</v>
      </c>
      <c r="D1942" s="283" t="s">
        <v>6440</v>
      </c>
      <c r="E1942" s="18" t="s">
        <v>6441</v>
      </c>
      <c r="F1942" s="18" t="s">
        <v>6442</v>
      </c>
      <c r="G1942" s="156" t="s">
        <v>6443</v>
      </c>
      <c r="H1942" s="18" t="s">
        <v>6444</v>
      </c>
      <c r="K1942" s="156" t="s">
        <v>6445</v>
      </c>
      <c r="L1942" s="18" t="s">
        <v>6446</v>
      </c>
      <c r="M1942" s="18" t="s">
        <v>6447</v>
      </c>
      <c r="N1942" s="16"/>
      <c r="O1942" s="16"/>
      <c r="P1942" s="16"/>
      <c r="Q1942" s="16"/>
      <c r="R1942" s="16"/>
      <c r="S1942" s="16"/>
      <c r="T1942" s="18" t="s">
        <v>570</v>
      </c>
      <c r="U1942" s="283" t="s">
        <v>2875</v>
      </c>
      <c r="V1942" s="18" t="s">
        <v>6472</v>
      </c>
      <c r="W1942" s="18">
        <v>0</v>
      </c>
      <c r="X1942" s="18">
        <v>0</v>
      </c>
      <c r="Y1942" s="18">
        <v>1</v>
      </c>
      <c r="Z1942" s="18">
        <v>1</v>
      </c>
      <c r="AA1942" s="18">
        <v>0</v>
      </c>
      <c r="AB1942" s="18">
        <v>0</v>
      </c>
      <c r="AC1942" s="316">
        <v>0</v>
      </c>
      <c r="AD1942" s="316">
        <v>0</v>
      </c>
      <c r="AE1942" s="302">
        <f t="shared" si="109"/>
        <v>0.25</v>
      </c>
      <c r="AF1942" s="176"/>
      <c r="AG1942" s="17">
        <v>0</v>
      </c>
      <c r="AH1942" s="176">
        <v>0</v>
      </c>
      <c r="AI1942" s="176">
        <v>0</v>
      </c>
      <c r="AJ1942" s="176">
        <v>0</v>
      </c>
      <c r="AK1942" s="177">
        <v>0</v>
      </c>
      <c r="AL1942" s="177">
        <v>0</v>
      </c>
      <c r="AM1942" s="17">
        <f t="shared" si="110"/>
        <v>0</v>
      </c>
      <c r="AN1942" s="18" t="s">
        <v>771</v>
      </c>
      <c r="AO1942" s="18" t="s">
        <v>773</v>
      </c>
      <c r="AP1942" s="18" t="s">
        <v>119</v>
      </c>
    </row>
    <row r="1943" spans="1:42" s="18" customFormat="1" hidden="1" x14ac:dyDescent="0.3">
      <c r="A1943" s="18" t="s">
        <v>1454</v>
      </c>
      <c r="B1943" s="18" t="s">
        <v>6438</v>
      </c>
      <c r="C1943" s="18">
        <v>101</v>
      </c>
      <c r="D1943" s="283" t="s">
        <v>6440</v>
      </c>
      <c r="E1943" s="18" t="s">
        <v>6441</v>
      </c>
      <c r="F1943" s="18" t="s">
        <v>6442</v>
      </c>
      <c r="G1943" s="156" t="s">
        <v>6443</v>
      </c>
      <c r="H1943" s="18" t="s">
        <v>6444</v>
      </c>
      <c r="K1943" s="156" t="s">
        <v>6445</v>
      </c>
      <c r="L1943" s="18" t="s">
        <v>6446</v>
      </c>
      <c r="M1943" s="18" t="s">
        <v>6447</v>
      </c>
      <c r="N1943" s="16"/>
      <c r="O1943" s="16"/>
      <c r="P1943" s="16"/>
      <c r="Q1943" s="16"/>
      <c r="R1943" s="16"/>
      <c r="S1943" s="16"/>
      <c r="T1943" s="18" t="s">
        <v>570</v>
      </c>
      <c r="U1943" s="283" t="s">
        <v>2875</v>
      </c>
      <c r="V1943" s="18" t="s">
        <v>6473</v>
      </c>
      <c r="W1943" s="18">
        <v>0</v>
      </c>
      <c r="X1943" s="18">
        <v>0</v>
      </c>
      <c r="Y1943" s="18">
        <v>0</v>
      </c>
      <c r="Z1943" s="18">
        <v>1</v>
      </c>
      <c r="AA1943" s="18">
        <v>0</v>
      </c>
      <c r="AB1943" s="18">
        <v>0</v>
      </c>
      <c r="AC1943" s="316">
        <v>1</v>
      </c>
      <c r="AD1943" s="316">
        <v>0</v>
      </c>
      <c r="AE1943" s="302">
        <f t="shared" si="109"/>
        <v>0.25</v>
      </c>
      <c r="AF1943" s="176"/>
      <c r="AG1943" s="17">
        <v>0</v>
      </c>
      <c r="AH1943" s="176">
        <v>0</v>
      </c>
      <c r="AI1943" s="176">
        <v>0</v>
      </c>
      <c r="AJ1943" s="176">
        <v>0</v>
      </c>
      <c r="AK1943" s="177">
        <v>0</v>
      </c>
      <c r="AL1943" s="177">
        <v>0</v>
      </c>
      <c r="AM1943" s="17">
        <f t="shared" si="110"/>
        <v>0</v>
      </c>
      <c r="AN1943" s="18" t="s">
        <v>771</v>
      </c>
      <c r="AO1943" s="18" t="s">
        <v>773</v>
      </c>
      <c r="AP1943" s="18" t="s">
        <v>119</v>
      </c>
    </row>
    <row r="1944" spans="1:42" s="18" customFormat="1" hidden="1" x14ac:dyDescent="0.3">
      <c r="A1944" s="18" t="s">
        <v>1454</v>
      </c>
      <c r="B1944" s="18" t="s">
        <v>6438</v>
      </c>
      <c r="C1944" s="18">
        <v>101</v>
      </c>
      <c r="D1944" s="283" t="s">
        <v>6440</v>
      </c>
      <c r="E1944" s="18" t="s">
        <v>6441</v>
      </c>
      <c r="F1944" s="18" t="s">
        <v>6442</v>
      </c>
      <c r="G1944" s="156" t="s">
        <v>6443</v>
      </c>
      <c r="H1944" s="18" t="s">
        <v>6444</v>
      </c>
      <c r="K1944" s="156" t="s">
        <v>6445</v>
      </c>
      <c r="L1944" s="18" t="s">
        <v>6446</v>
      </c>
      <c r="M1944" s="18" t="s">
        <v>6447</v>
      </c>
      <c r="N1944" s="16"/>
      <c r="O1944" s="16"/>
      <c r="P1944" s="16"/>
      <c r="Q1944" s="16"/>
      <c r="R1944" s="16"/>
      <c r="S1944" s="16"/>
      <c r="T1944" s="18" t="s">
        <v>570</v>
      </c>
      <c r="U1944" s="283" t="s">
        <v>2875</v>
      </c>
      <c r="V1944" s="18" t="s">
        <v>6474</v>
      </c>
      <c r="W1944" s="18">
        <v>0</v>
      </c>
      <c r="X1944" s="18">
        <v>0</v>
      </c>
      <c r="Y1944" s="18">
        <v>0</v>
      </c>
      <c r="Z1944" s="18">
        <v>1</v>
      </c>
      <c r="AA1944" s="18">
        <v>0</v>
      </c>
      <c r="AB1944" s="18">
        <v>0</v>
      </c>
      <c r="AC1944" s="316">
        <v>0</v>
      </c>
      <c r="AD1944" s="316">
        <v>0</v>
      </c>
      <c r="AE1944" s="302">
        <f t="shared" si="109"/>
        <v>0.125</v>
      </c>
      <c r="AF1944" s="176"/>
      <c r="AG1944" s="17">
        <v>0</v>
      </c>
      <c r="AH1944" s="176">
        <v>0</v>
      </c>
      <c r="AI1944" s="176">
        <v>0</v>
      </c>
      <c r="AJ1944" s="176">
        <v>0</v>
      </c>
      <c r="AK1944" s="177">
        <v>0</v>
      </c>
      <c r="AL1944" s="177">
        <v>0</v>
      </c>
      <c r="AM1944" s="17">
        <f t="shared" si="110"/>
        <v>0</v>
      </c>
      <c r="AN1944" s="18" t="s">
        <v>771</v>
      </c>
      <c r="AO1944" s="18" t="s">
        <v>773</v>
      </c>
      <c r="AP1944" s="18" t="s">
        <v>2514</v>
      </c>
    </row>
    <row r="1945" spans="1:42" s="18" customFormat="1" hidden="1" x14ac:dyDescent="0.3">
      <c r="A1945" s="18" t="s">
        <v>1454</v>
      </c>
      <c r="B1945" s="18" t="s">
        <v>6438</v>
      </c>
      <c r="C1945" s="18">
        <v>101</v>
      </c>
      <c r="D1945" s="283" t="s">
        <v>6440</v>
      </c>
      <c r="E1945" s="18" t="s">
        <v>6441</v>
      </c>
      <c r="F1945" s="18" t="s">
        <v>6442</v>
      </c>
      <c r="G1945" s="156" t="s">
        <v>6443</v>
      </c>
      <c r="H1945" s="18" t="s">
        <v>6444</v>
      </c>
      <c r="K1945" s="156" t="s">
        <v>6445</v>
      </c>
      <c r="L1945" s="18" t="s">
        <v>6446</v>
      </c>
      <c r="M1945" s="18" t="s">
        <v>6447</v>
      </c>
      <c r="N1945" s="16"/>
      <c r="O1945" s="16"/>
      <c r="P1945" s="16"/>
      <c r="Q1945" s="16"/>
      <c r="R1945" s="16"/>
      <c r="S1945" s="16"/>
      <c r="T1945" s="18" t="s">
        <v>570</v>
      </c>
      <c r="U1945" s="283" t="s">
        <v>2875</v>
      </c>
      <c r="V1945" s="18" t="s">
        <v>6475</v>
      </c>
      <c r="W1945" s="18">
        <v>0</v>
      </c>
      <c r="X1945" s="18">
        <v>0</v>
      </c>
      <c r="Y1945" s="18">
        <v>0</v>
      </c>
      <c r="Z1945" s="18">
        <v>1</v>
      </c>
      <c r="AA1945" s="18">
        <v>0</v>
      </c>
      <c r="AB1945" s="18">
        <v>0</v>
      </c>
      <c r="AC1945" s="316">
        <v>0</v>
      </c>
      <c r="AD1945" s="316">
        <v>0</v>
      </c>
      <c r="AE1945" s="302">
        <f t="shared" si="109"/>
        <v>0.125</v>
      </c>
      <c r="AF1945" s="176"/>
      <c r="AG1945" s="17">
        <v>0</v>
      </c>
      <c r="AH1945" s="176">
        <v>0</v>
      </c>
      <c r="AI1945" s="176">
        <v>0</v>
      </c>
      <c r="AJ1945" s="176">
        <v>0</v>
      </c>
      <c r="AK1945" s="177">
        <v>0</v>
      </c>
      <c r="AL1945" s="177">
        <v>0</v>
      </c>
      <c r="AM1945" s="17">
        <f t="shared" si="110"/>
        <v>0</v>
      </c>
      <c r="AN1945" s="18" t="s">
        <v>771</v>
      </c>
      <c r="AO1945" s="18" t="s">
        <v>773</v>
      </c>
      <c r="AP1945" s="18" t="s">
        <v>119</v>
      </c>
    </row>
    <row r="1946" spans="1:42" s="18" customFormat="1" hidden="1" x14ac:dyDescent="0.3">
      <c r="A1946" s="18" t="s">
        <v>1454</v>
      </c>
      <c r="B1946" s="18" t="s">
        <v>6438</v>
      </c>
      <c r="C1946" s="18">
        <v>101</v>
      </c>
      <c r="D1946" s="283" t="s">
        <v>6440</v>
      </c>
      <c r="E1946" s="18" t="s">
        <v>6441</v>
      </c>
      <c r="F1946" s="18" t="s">
        <v>6442</v>
      </c>
      <c r="G1946" s="156" t="s">
        <v>6443</v>
      </c>
      <c r="H1946" s="18" t="s">
        <v>6444</v>
      </c>
      <c r="K1946" s="156" t="s">
        <v>6445</v>
      </c>
      <c r="L1946" s="18" t="s">
        <v>6446</v>
      </c>
      <c r="M1946" s="18" t="s">
        <v>6447</v>
      </c>
      <c r="N1946" s="16"/>
      <c r="O1946" s="16"/>
      <c r="P1946" s="16"/>
      <c r="Q1946" s="16"/>
      <c r="R1946" s="16"/>
      <c r="S1946" s="16"/>
      <c r="T1946" s="18" t="s">
        <v>570</v>
      </c>
      <c r="U1946" s="283" t="s">
        <v>2875</v>
      </c>
      <c r="V1946" s="18" t="s">
        <v>6476</v>
      </c>
      <c r="W1946" s="18">
        <v>0</v>
      </c>
      <c r="X1946" s="18">
        <v>0</v>
      </c>
      <c r="Y1946" s="18">
        <v>0</v>
      </c>
      <c r="Z1946" s="18">
        <v>1</v>
      </c>
      <c r="AA1946" s="18">
        <v>0</v>
      </c>
      <c r="AB1946" s="18">
        <v>0</v>
      </c>
      <c r="AC1946" s="316">
        <v>0</v>
      </c>
      <c r="AD1946" s="316">
        <v>0</v>
      </c>
      <c r="AE1946" s="302">
        <f t="shared" si="109"/>
        <v>0.125</v>
      </c>
      <c r="AF1946" s="176"/>
      <c r="AG1946" s="17">
        <v>0</v>
      </c>
      <c r="AH1946" s="176">
        <v>0</v>
      </c>
      <c r="AI1946" s="176">
        <v>0</v>
      </c>
      <c r="AJ1946" s="176">
        <v>0</v>
      </c>
      <c r="AK1946" s="177">
        <v>0</v>
      </c>
      <c r="AL1946" s="177">
        <v>0</v>
      </c>
      <c r="AM1946" s="17">
        <f t="shared" si="110"/>
        <v>0</v>
      </c>
      <c r="AN1946" s="18" t="s">
        <v>771</v>
      </c>
      <c r="AO1946" s="18" t="s">
        <v>773</v>
      </c>
      <c r="AP1946" s="18" t="s">
        <v>2514</v>
      </c>
    </row>
    <row r="1947" spans="1:42" s="18" customFormat="1" hidden="1" x14ac:dyDescent="0.3">
      <c r="A1947" s="18" t="s">
        <v>1454</v>
      </c>
      <c r="B1947" s="18" t="s">
        <v>6438</v>
      </c>
      <c r="C1947" s="18">
        <v>101</v>
      </c>
      <c r="D1947" s="283" t="s">
        <v>6440</v>
      </c>
      <c r="E1947" s="18" t="s">
        <v>6441</v>
      </c>
      <c r="F1947" s="18" t="s">
        <v>6442</v>
      </c>
      <c r="G1947" s="156" t="s">
        <v>6443</v>
      </c>
      <c r="H1947" s="18" t="s">
        <v>6444</v>
      </c>
      <c r="K1947" s="156" t="s">
        <v>6445</v>
      </c>
      <c r="L1947" s="18" t="s">
        <v>6446</v>
      </c>
      <c r="M1947" s="18" t="s">
        <v>6447</v>
      </c>
      <c r="N1947" s="16"/>
      <c r="O1947" s="16"/>
      <c r="P1947" s="16"/>
      <c r="Q1947" s="16"/>
      <c r="R1947" s="16"/>
      <c r="S1947" s="16"/>
      <c r="T1947" s="18" t="s">
        <v>570</v>
      </c>
      <c r="U1947" s="283" t="s">
        <v>2875</v>
      </c>
      <c r="V1947" s="18" t="s">
        <v>6477</v>
      </c>
      <c r="W1947" s="18">
        <v>0</v>
      </c>
      <c r="X1947" s="18">
        <v>0</v>
      </c>
      <c r="Y1947" s="18">
        <v>0</v>
      </c>
      <c r="Z1947" s="18">
        <v>1</v>
      </c>
      <c r="AA1947" s="18">
        <v>0</v>
      </c>
      <c r="AB1947" s="18">
        <v>0</v>
      </c>
      <c r="AC1947" s="316">
        <v>0</v>
      </c>
      <c r="AD1947" s="316">
        <v>0</v>
      </c>
      <c r="AE1947" s="302">
        <f t="shared" si="109"/>
        <v>0.125</v>
      </c>
      <c r="AF1947" s="176"/>
      <c r="AG1947" s="17">
        <v>0</v>
      </c>
      <c r="AH1947" s="176">
        <v>0</v>
      </c>
      <c r="AI1947" s="176">
        <v>0</v>
      </c>
      <c r="AJ1947" s="176">
        <v>0</v>
      </c>
      <c r="AK1947" s="177">
        <v>0</v>
      </c>
      <c r="AL1947" s="177">
        <v>0</v>
      </c>
      <c r="AM1947" s="17">
        <f t="shared" si="110"/>
        <v>0</v>
      </c>
      <c r="AN1947" s="18" t="s">
        <v>771</v>
      </c>
      <c r="AO1947" s="18" t="s">
        <v>773</v>
      </c>
      <c r="AP1947" s="18" t="s">
        <v>119</v>
      </c>
    </row>
    <row r="1948" spans="1:42" s="18" customFormat="1" hidden="1" x14ac:dyDescent="0.3">
      <c r="A1948" s="18" t="s">
        <v>1454</v>
      </c>
      <c r="B1948" s="18" t="s">
        <v>6438</v>
      </c>
      <c r="C1948" s="18">
        <v>101</v>
      </c>
      <c r="D1948" s="283" t="s">
        <v>6440</v>
      </c>
      <c r="E1948" s="18" t="s">
        <v>6441</v>
      </c>
      <c r="F1948" s="18" t="s">
        <v>6442</v>
      </c>
      <c r="G1948" s="156" t="s">
        <v>6443</v>
      </c>
      <c r="H1948" s="18" t="s">
        <v>6444</v>
      </c>
      <c r="K1948" s="156" t="s">
        <v>6445</v>
      </c>
      <c r="L1948" s="18" t="s">
        <v>6446</v>
      </c>
      <c r="M1948" s="18" t="s">
        <v>6447</v>
      </c>
      <c r="N1948" s="16"/>
      <c r="O1948" s="16"/>
      <c r="P1948" s="16"/>
      <c r="Q1948" s="16"/>
      <c r="R1948" s="16"/>
      <c r="S1948" s="16"/>
      <c r="T1948" s="18" t="s">
        <v>570</v>
      </c>
      <c r="U1948" s="283" t="s">
        <v>2875</v>
      </c>
      <c r="V1948" s="18" t="s">
        <v>6478</v>
      </c>
      <c r="W1948" s="18">
        <v>0</v>
      </c>
      <c r="X1948" s="18">
        <v>0</v>
      </c>
      <c r="Y1948" s="18">
        <v>0</v>
      </c>
      <c r="Z1948" s="18">
        <v>1</v>
      </c>
      <c r="AA1948" s="18">
        <v>0</v>
      </c>
      <c r="AB1948" s="18">
        <v>0</v>
      </c>
      <c r="AC1948" s="316">
        <v>0</v>
      </c>
      <c r="AD1948" s="316">
        <v>0</v>
      </c>
      <c r="AE1948" s="302">
        <f t="shared" si="109"/>
        <v>0.125</v>
      </c>
      <c r="AF1948" s="176"/>
      <c r="AG1948" s="17">
        <v>0</v>
      </c>
      <c r="AH1948" s="176">
        <v>0</v>
      </c>
      <c r="AI1948" s="176">
        <v>0</v>
      </c>
      <c r="AJ1948" s="176">
        <v>0</v>
      </c>
      <c r="AK1948" s="177">
        <v>0</v>
      </c>
      <c r="AL1948" s="177">
        <v>0</v>
      </c>
      <c r="AM1948" s="17">
        <f t="shared" si="110"/>
        <v>0</v>
      </c>
      <c r="AN1948" s="18" t="s">
        <v>771</v>
      </c>
      <c r="AO1948" s="18" t="s">
        <v>773</v>
      </c>
      <c r="AP1948" s="18" t="s">
        <v>119</v>
      </c>
    </row>
    <row r="1949" spans="1:42" s="18" customFormat="1" hidden="1" x14ac:dyDescent="0.3">
      <c r="A1949" s="18" t="s">
        <v>1454</v>
      </c>
      <c r="B1949" s="18" t="s">
        <v>6438</v>
      </c>
      <c r="C1949" s="18">
        <v>101</v>
      </c>
      <c r="D1949" s="283" t="s">
        <v>6440</v>
      </c>
      <c r="E1949" s="18" t="s">
        <v>6441</v>
      </c>
      <c r="F1949" s="18" t="s">
        <v>6442</v>
      </c>
      <c r="G1949" s="156" t="s">
        <v>6443</v>
      </c>
      <c r="H1949" s="18" t="s">
        <v>6444</v>
      </c>
      <c r="K1949" s="156" t="s">
        <v>6445</v>
      </c>
      <c r="L1949" s="18" t="s">
        <v>6446</v>
      </c>
      <c r="M1949" s="18" t="s">
        <v>6447</v>
      </c>
      <c r="N1949" s="16"/>
      <c r="O1949" s="16"/>
      <c r="P1949" s="16"/>
      <c r="Q1949" s="16"/>
      <c r="R1949" s="16"/>
      <c r="S1949" s="16"/>
      <c r="T1949" s="18" t="s">
        <v>570</v>
      </c>
      <c r="U1949" s="283" t="s">
        <v>2875</v>
      </c>
      <c r="V1949" s="18" t="s">
        <v>6479</v>
      </c>
      <c r="W1949" s="18">
        <v>0</v>
      </c>
      <c r="X1949" s="18">
        <v>0</v>
      </c>
      <c r="Y1949" s="18">
        <v>0</v>
      </c>
      <c r="Z1949" s="18">
        <v>1</v>
      </c>
      <c r="AA1949" s="18">
        <v>0</v>
      </c>
      <c r="AB1949" s="18">
        <v>0</v>
      </c>
      <c r="AC1949" s="316">
        <v>0</v>
      </c>
      <c r="AD1949" s="316">
        <v>0</v>
      </c>
      <c r="AE1949" s="302">
        <f t="shared" si="109"/>
        <v>0.125</v>
      </c>
      <c r="AF1949" s="176"/>
      <c r="AG1949" s="17">
        <v>0</v>
      </c>
      <c r="AH1949" s="176">
        <v>0</v>
      </c>
      <c r="AI1949" s="176">
        <v>0</v>
      </c>
      <c r="AJ1949" s="176">
        <v>0</v>
      </c>
      <c r="AK1949" s="177">
        <v>0</v>
      </c>
      <c r="AL1949" s="177">
        <v>0</v>
      </c>
      <c r="AM1949" s="17">
        <f t="shared" si="110"/>
        <v>0</v>
      </c>
      <c r="AN1949" s="18" t="s">
        <v>771</v>
      </c>
      <c r="AO1949" s="18" t="s">
        <v>773</v>
      </c>
      <c r="AP1949" s="18" t="s">
        <v>119</v>
      </c>
    </row>
    <row r="1950" spans="1:42" s="18" customFormat="1" x14ac:dyDescent="0.3">
      <c r="A1950" s="18" t="s">
        <v>1454</v>
      </c>
      <c r="B1950" s="18" t="s">
        <v>6438</v>
      </c>
      <c r="C1950" s="18">
        <v>101</v>
      </c>
      <c r="D1950" s="283" t="s">
        <v>6440</v>
      </c>
      <c r="E1950" s="18" t="s">
        <v>6441</v>
      </c>
      <c r="F1950" s="18" t="s">
        <v>6442</v>
      </c>
      <c r="G1950" s="156" t="s">
        <v>6480</v>
      </c>
      <c r="H1950" s="18" t="s">
        <v>6481</v>
      </c>
      <c r="K1950" s="156" t="s">
        <v>6482</v>
      </c>
      <c r="L1950" s="18" t="s">
        <v>6483</v>
      </c>
      <c r="M1950" s="18" t="s">
        <v>6484</v>
      </c>
      <c r="N1950" s="16"/>
      <c r="O1950" s="16"/>
      <c r="P1950" s="16"/>
      <c r="Q1950" s="16"/>
      <c r="R1950" s="16"/>
      <c r="S1950" s="16"/>
      <c r="T1950" s="18" t="s">
        <v>6485</v>
      </c>
      <c r="U1950" s="283" t="e">
        <v>#N/A</v>
      </c>
      <c r="V1950" s="18" t="s">
        <v>6486</v>
      </c>
      <c r="W1950" s="18">
        <v>1</v>
      </c>
      <c r="X1950" s="18">
        <v>1</v>
      </c>
      <c r="Y1950" s="18">
        <v>1</v>
      </c>
      <c r="Z1950" s="18">
        <v>1</v>
      </c>
      <c r="AA1950" s="18">
        <v>0</v>
      </c>
      <c r="AB1950" s="18">
        <v>1</v>
      </c>
      <c r="AC1950" s="316">
        <v>1</v>
      </c>
      <c r="AD1950" s="316">
        <v>1</v>
      </c>
      <c r="AE1950" s="302">
        <f t="shared" si="109"/>
        <v>0.875</v>
      </c>
      <c r="AF1950" s="176"/>
      <c r="AG1950" s="17">
        <v>0</v>
      </c>
      <c r="AH1950" s="176">
        <v>0</v>
      </c>
      <c r="AI1950" s="176">
        <v>0</v>
      </c>
      <c r="AJ1950" s="176">
        <v>0</v>
      </c>
      <c r="AK1950" s="177"/>
      <c r="AL1950" s="177">
        <v>0.1</v>
      </c>
      <c r="AM1950" s="17">
        <f t="shared" si="110"/>
        <v>0.1</v>
      </c>
      <c r="AN1950" s="18" t="s">
        <v>771</v>
      </c>
      <c r="AO1950" s="18" t="s">
        <v>773</v>
      </c>
      <c r="AP1950" s="18" t="s">
        <v>2514</v>
      </c>
    </row>
    <row r="1951" spans="1:42" s="18" customFormat="1" hidden="1" x14ac:dyDescent="0.3">
      <c r="A1951" s="18" t="s">
        <v>1454</v>
      </c>
      <c r="B1951" s="18" t="s">
        <v>6438</v>
      </c>
      <c r="C1951" s="18">
        <v>101</v>
      </c>
      <c r="D1951" s="283" t="s">
        <v>6440</v>
      </c>
      <c r="E1951" s="18" t="s">
        <v>6441</v>
      </c>
      <c r="F1951" s="18" t="s">
        <v>6442</v>
      </c>
      <c r="G1951" s="156" t="s">
        <v>6480</v>
      </c>
      <c r="H1951" s="18" t="s">
        <v>6481</v>
      </c>
      <c r="K1951" s="156" t="s">
        <v>6482</v>
      </c>
      <c r="L1951" s="18" t="s">
        <v>6483</v>
      </c>
      <c r="M1951" s="18" t="s">
        <v>6484</v>
      </c>
      <c r="N1951" s="16"/>
      <c r="O1951" s="16"/>
      <c r="P1951" s="16"/>
      <c r="Q1951" s="16"/>
      <c r="R1951" s="16"/>
      <c r="S1951" s="16"/>
      <c r="T1951" s="18" t="s">
        <v>6485</v>
      </c>
      <c r="U1951" s="283" t="e">
        <v>#N/A</v>
      </c>
      <c r="V1951" s="18" t="s">
        <v>6487</v>
      </c>
      <c r="W1951" s="18">
        <v>1</v>
      </c>
      <c r="X1951" s="18">
        <v>0</v>
      </c>
      <c r="Y1951" s="18">
        <v>0</v>
      </c>
      <c r="Z1951" s="18">
        <v>0</v>
      </c>
      <c r="AA1951" s="18">
        <v>0</v>
      </c>
      <c r="AB1951" s="18">
        <v>0</v>
      </c>
      <c r="AC1951" s="316">
        <v>1</v>
      </c>
      <c r="AD1951" s="316">
        <v>0</v>
      </c>
      <c r="AE1951" s="302">
        <f t="shared" si="109"/>
        <v>0.25</v>
      </c>
      <c r="AF1951" s="176"/>
      <c r="AG1951" s="17">
        <v>0</v>
      </c>
      <c r="AH1951" s="176">
        <v>0</v>
      </c>
      <c r="AI1951" s="176">
        <v>0</v>
      </c>
      <c r="AJ1951" s="176">
        <v>0</v>
      </c>
      <c r="AK1951" s="177">
        <v>0</v>
      </c>
      <c r="AL1951" s="177">
        <v>0</v>
      </c>
      <c r="AM1951" s="17">
        <f t="shared" si="110"/>
        <v>0</v>
      </c>
      <c r="AN1951" s="18" t="s">
        <v>869</v>
      </c>
      <c r="AO1951" s="18" t="s">
        <v>871</v>
      </c>
      <c r="AP1951" s="18" t="s">
        <v>6488</v>
      </c>
    </row>
    <row r="1952" spans="1:42" s="18" customFormat="1" hidden="1" x14ac:dyDescent="0.3">
      <c r="A1952" s="18" t="s">
        <v>1454</v>
      </c>
      <c r="B1952" s="18" t="s">
        <v>6438</v>
      </c>
      <c r="C1952" s="18">
        <v>101</v>
      </c>
      <c r="D1952" s="283" t="s">
        <v>6440</v>
      </c>
      <c r="E1952" s="18" t="s">
        <v>6441</v>
      </c>
      <c r="F1952" s="18" t="s">
        <v>6442</v>
      </c>
      <c r="G1952" s="156" t="s">
        <v>6480</v>
      </c>
      <c r="H1952" s="18" t="s">
        <v>6481</v>
      </c>
      <c r="K1952" s="156" t="s">
        <v>6482</v>
      </c>
      <c r="L1952" s="18" t="s">
        <v>6483</v>
      </c>
      <c r="M1952" s="18" t="s">
        <v>6484</v>
      </c>
      <c r="N1952" s="16"/>
      <c r="O1952" s="16"/>
      <c r="P1952" s="16"/>
      <c r="Q1952" s="16"/>
      <c r="R1952" s="16"/>
      <c r="S1952" s="16"/>
      <c r="T1952" s="18" t="s">
        <v>6485</v>
      </c>
      <c r="U1952" s="283" t="e">
        <v>#N/A</v>
      </c>
      <c r="V1952" s="18" t="s">
        <v>6489</v>
      </c>
      <c r="W1952" s="18">
        <v>0</v>
      </c>
      <c r="X1952" s="18">
        <v>0</v>
      </c>
      <c r="Y1952" s="18">
        <v>1</v>
      </c>
      <c r="Z1952" s="18">
        <v>1</v>
      </c>
      <c r="AA1952" s="18">
        <v>0</v>
      </c>
      <c r="AB1952" s="18">
        <v>1</v>
      </c>
      <c r="AC1952" s="316">
        <v>1</v>
      </c>
      <c r="AD1952" s="316">
        <v>0</v>
      </c>
      <c r="AE1952" s="302">
        <f t="shared" si="109"/>
        <v>0.5</v>
      </c>
      <c r="AF1952" s="176"/>
      <c r="AG1952" s="17">
        <v>0</v>
      </c>
      <c r="AH1952" s="176">
        <v>0</v>
      </c>
      <c r="AI1952" s="176">
        <v>0</v>
      </c>
      <c r="AJ1952" s="176">
        <v>0</v>
      </c>
      <c r="AK1952" s="177">
        <v>0</v>
      </c>
      <c r="AL1952" s="177">
        <v>0</v>
      </c>
      <c r="AM1952" s="17">
        <f t="shared" si="110"/>
        <v>0</v>
      </c>
      <c r="AN1952" s="18" t="s">
        <v>869</v>
      </c>
      <c r="AO1952" s="18" t="s">
        <v>871</v>
      </c>
      <c r="AP1952" s="18" t="s">
        <v>6488</v>
      </c>
    </row>
    <row r="1953" spans="1:42" s="18" customFormat="1" hidden="1" x14ac:dyDescent="0.3">
      <c r="A1953" s="18" t="s">
        <v>1454</v>
      </c>
      <c r="B1953" s="18" t="s">
        <v>6438</v>
      </c>
      <c r="C1953" s="18">
        <v>101</v>
      </c>
      <c r="D1953" s="283" t="s">
        <v>6440</v>
      </c>
      <c r="E1953" s="18" t="s">
        <v>6441</v>
      </c>
      <c r="F1953" s="18" t="s">
        <v>6442</v>
      </c>
      <c r="G1953" s="156" t="s">
        <v>6480</v>
      </c>
      <c r="H1953" s="18" t="s">
        <v>6481</v>
      </c>
      <c r="K1953" s="156" t="s">
        <v>6482</v>
      </c>
      <c r="L1953" s="18" t="s">
        <v>6483</v>
      </c>
      <c r="M1953" s="18" t="s">
        <v>6484</v>
      </c>
      <c r="N1953" s="16"/>
      <c r="O1953" s="16"/>
      <c r="P1953" s="16"/>
      <c r="Q1953" s="16"/>
      <c r="R1953" s="16"/>
      <c r="S1953" s="16"/>
      <c r="T1953" s="18" t="s">
        <v>6485</v>
      </c>
      <c r="U1953" s="283" t="e">
        <v>#N/A</v>
      </c>
      <c r="V1953" s="18" t="s">
        <v>6490</v>
      </c>
      <c r="W1953" s="18">
        <v>0</v>
      </c>
      <c r="X1953" s="18">
        <v>0</v>
      </c>
      <c r="Y1953" s="18">
        <v>0</v>
      </c>
      <c r="Z1953" s="18">
        <v>1</v>
      </c>
      <c r="AA1953" s="18">
        <v>0</v>
      </c>
      <c r="AB1953" s="18">
        <v>0</v>
      </c>
      <c r="AC1953" s="316">
        <v>1</v>
      </c>
      <c r="AD1953" s="316">
        <v>0</v>
      </c>
      <c r="AE1953" s="302">
        <f t="shared" si="109"/>
        <v>0.25</v>
      </c>
      <c r="AF1953" s="176"/>
      <c r="AG1953" s="17">
        <v>0</v>
      </c>
      <c r="AH1953" s="176">
        <v>0</v>
      </c>
      <c r="AI1953" s="176">
        <v>0</v>
      </c>
      <c r="AJ1953" s="176">
        <v>0</v>
      </c>
      <c r="AK1953" s="177">
        <v>0</v>
      </c>
      <c r="AL1953" s="177">
        <v>0</v>
      </c>
      <c r="AM1953" s="17">
        <f t="shared" si="110"/>
        <v>0</v>
      </c>
      <c r="AN1953" s="18" t="s">
        <v>771</v>
      </c>
      <c r="AO1953" s="18" t="s">
        <v>773</v>
      </c>
      <c r="AP1953" s="18" t="s">
        <v>6491</v>
      </c>
    </row>
    <row r="1954" spans="1:42" s="18" customFormat="1" hidden="1" x14ac:dyDescent="0.3">
      <c r="A1954" s="18" t="s">
        <v>1454</v>
      </c>
      <c r="B1954" s="18" t="s">
        <v>6438</v>
      </c>
      <c r="C1954" s="18">
        <v>101</v>
      </c>
      <c r="D1954" s="283" t="s">
        <v>6440</v>
      </c>
      <c r="E1954" s="18" t="s">
        <v>6441</v>
      </c>
      <c r="F1954" s="18" t="s">
        <v>6442</v>
      </c>
      <c r="G1954" s="156" t="s">
        <v>6480</v>
      </c>
      <c r="H1954" s="18" t="s">
        <v>6481</v>
      </c>
      <c r="K1954" s="156" t="s">
        <v>6482</v>
      </c>
      <c r="L1954" s="18" t="s">
        <v>6483</v>
      </c>
      <c r="M1954" s="18" t="s">
        <v>6484</v>
      </c>
      <c r="N1954" s="16"/>
      <c r="O1954" s="16"/>
      <c r="P1954" s="16"/>
      <c r="Q1954" s="16"/>
      <c r="R1954" s="16"/>
      <c r="S1954" s="16"/>
      <c r="T1954" s="18" t="s">
        <v>6485</v>
      </c>
      <c r="U1954" s="283" t="e">
        <v>#N/A</v>
      </c>
      <c r="V1954" s="18" t="s">
        <v>6492</v>
      </c>
      <c r="W1954" s="18">
        <v>0</v>
      </c>
      <c r="X1954" s="18">
        <v>0</v>
      </c>
      <c r="Y1954" s="18">
        <v>0</v>
      </c>
      <c r="Z1954" s="18">
        <v>1</v>
      </c>
      <c r="AA1954" s="18">
        <v>0</v>
      </c>
      <c r="AB1954" s="18">
        <v>0</v>
      </c>
      <c r="AC1954" s="316">
        <v>1</v>
      </c>
      <c r="AD1954" s="316">
        <v>0</v>
      </c>
      <c r="AE1954" s="302">
        <f t="shared" si="109"/>
        <v>0.25</v>
      </c>
      <c r="AF1954" s="176"/>
      <c r="AG1954" s="17">
        <v>0</v>
      </c>
      <c r="AH1954" s="176">
        <v>0</v>
      </c>
      <c r="AI1954" s="176">
        <v>0</v>
      </c>
      <c r="AJ1954" s="176">
        <v>0</v>
      </c>
      <c r="AK1954" s="177">
        <v>0</v>
      </c>
      <c r="AL1954" s="177">
        <v>0</v>
      </c>
      <c r="AM1954" s="17">
        <f t="shared" si="110"/>
        <v>0</v>
      </c>
      <c r="AN1954" s="18" t="s">
        <v>771</v>
      </c>
      <c r="AO1954" s="18" t="s">
        <v>773</v>
      </c>
      <c r="AP1954" s="18" t="s">
        <v>6493</v>
      </c>
    </row>
    <row r="1955" spans="1:42" s="18" customFormat="1" hidden="1" x14ac:dyDescent="0.3">
      <c r="A1955" s="18" t="s">
        <v>1454</v>
      </c>
      <c r="B1955" s="18" t="s">
        <v>6438</v>
      </c>
      <c r="C1955" s="18">
        <v>101</v>
      </c>
      <c r="D1955" s="283" t="s">
        <v>6440</v>
      </c>
      <c r="E1955" s="18" t="s">
        <v>6441</v>
      </c>
      <c r="F1955" s="18" t="s">
        <v>6442</v>
      </c>
      <c r="G1955" s="156" t="s">
        <v>6480</v>
      </c>
      <c r="H1955" s="18" t="s">
        <v>6481</v>
      </c>
      <c r="K1955" s="156" t="s">
        <v>6482</v>
      </c>
      <c r="L1955" s="18" t="s">
        <v>6483</v>
      </c>
      <c r="M1955" s="18" t="s">
        <v>6494</v>
      </c>
      <c r="N1955" s="16"/>
      <c r="O1955" s="16"/>
      <c r="P1955" s="16"/>
      <c r="Q1955" s="16"/>
      <c r="R1955" s="16"/>
      <c r="S1955" s="16"/>
      <c r="T1955" s="18" t="s">
        <v>6485</v>
      </c>
      <c r="U1955" s="283" t="e">
        <v>#N/A</v>
      </c>
      <c r="V1955" s="18" t="s">
        <v>6495</v>
      </c>
      <c r="W1955" s="18">
        <v>0</v>
      </c>
      <c r="X1955" s="18">
        <v>0</v>
      </c>
      <c r="Y1955" s="18">
        <v>0</v>
      </c>
      <c r="Z1955" s="18">
        <v>1</v>
      </c>
      <c r="AA1955" s="18">
        <v>0</v>
      </c>
      <c r="AB1955" s="18">
        <v>0</v>
      </c>
      <c r="AC1955" s="316">
        <v>1</v>
      </c>
      <c r="AD1955" s="316">
        <v>0</v>
      </c>
      <c r="AE1955" s="302">
        <f t="shared" si="109"/>
        <v>0.25</v>
      </c>
      <c r="AF1955" s="176"/>
      <c r="AG1955" s="17">
        <v>0</v>
      </c>
      <c r="AH1955" s="176">
        <v>0</v>
      </c>
      <c r="AI1955" s="176">
        <v>0</v>
      </c>
      <c r="AJ1955" s="176">
        <v>0</v>
      </c>
      <c r="AK1955" s="177">
        <v>0</v>
      </c>
      <c r="AL1955" s="177">
        <v>0</v>
      </c>
      <c r="AM1955" s="17">
        <f t="shared" si="110"/>
        <v>0</v>
      </c>
      <c r="AN1955" s="18" t="s">
        <v>771</v>
      </c>
      <c r="AO1955" s="18" t="s">
        <v>773</v>
      </c>
      <c r="AP1955" s="18" t="s">
        <v>119</v>
      </c>
    </row>
    <row r="1956" spans="1:42" s="18" customFormat="1" hidden="1" x14ac:dyDescent="0.3">
      <c r="A1956" s="18" t="s">
        <v>1454</v>
      </c>
      <c r="B1956" s="18" t="s">
        <v>6438</v>
      </c>
      <c r="C1956" s="18">
        <v>101</v>
      </c>
      <c r="D1956" s="283" t="s">
        <v>6440</v>
      </c>
      <c r="E1956" s="18" t="s">
        <v>6441</v>
      </c>
      <c r="F1956" s="18" t="s">
        <v>6442</v>
      </c>
      <c r="G1956" s="156" t="s">
        <v>6480</v>
      </c>
      <c r="H1956" s="18" t="s">
        <v>6481</v>
      </c>
      <c r="K1956" s="156" t="s">
        <v>6482</v>
      </c>
      <c r="L1956" s="18" t="s">
        <v>6483</v>
      </c>
      <c r="M1956" s="18" t="s">
        <v>6494</v>
      </c>
      <c r="N1956" s="16"/>
      <c r="O1956" s="16"/>
      <c r="P1956" s="16"/>
      <c r="Q1956" s="16"/>
      <c r="R1956" s="16"/>
      <c r="S1956" s="16"/>
      <c r="T1956" s="18" t="s">
        <v>6485</v>
      </c>
      <c r="U1956" s="283" t="e">
        <v>#N/A</v>
      </c>
      <c r="V1956" s="18" t="s">
        <v>6496</v>
      </c>
      <c r="W1956" s="18">
        <v>0</v>
      </c>
      <c r="X1956" s="18">
        <v>0</v>
      </c>
      <c r="Y1956" s="18">
        <v>0</v>
      </c>
      <c r="Z1956" s="18">
        <v>1</v>
      </c>
      <c r="AA1956" s="18">
        <v>0</v>
      </c>
      <c r="AB1956" s="18">
        <v>0</v>
      </c>
      <c r="AC1956" s="316">
        <v>1</v>
      </c>
      <c r="AD1956" s="316">
        <v>0</v>
      </c>
      <c r="AE1956" s="302">
        <f t="shared" si="109"/>
        <v>0.25</v>
      </c>
      <c r="AF1956" s="176"/>
      <c r="AG1956" s="17">
        <v>0</v>
      </c>
      <c r="AH1956" s="176">
        <v>0</v>
      </c>
      <c r="AI1956" s="176">
        <v>0</v>
      </c>
      <c r="AJ1956" s="176">
        <v>0</v>
      </c>
      <c r="AK1956" s="177">
        <v>0</v>
      </c>
      <c r="AL1956" s="177">
        <v>0</v>
      </c>
      <c r="AM1956" s="17">
        <f t="shared" si="110"/>
        <v>0</v>
      </c>
      <c r="AN1956" s="18" t="s">
        <v>771</v>
      </c>
      <c r="AO1956" s="18" t="s">
        <v>773</v>
      </c>
      <c r="AP1956" s="18" t="s">
        <v>119</v>
      </c>
    </row>
    <row r="1957" spans="1:42" s="18" customFormat="1" x14ac:dyDescent="0.3">
      <c r="A1957" s="18" t="s">
        <v>1454</v>
      </c>
      <c r="B1957" s="18" t="s">
        <v>6438</v>
      </c>
      <c r="C1957" s="18">
        <v>101</v>
      </c>
      <c r="D1957" s="283" t="s">
        <v>6440</v>
      </c>
      <c r="E1957" s="18" t="s">
        <v>6441</v>
      </c>
      <c r="F1957" s="18" t="s">
        <v>6442</v>
      </c>
      <c r="G1957" s="156" t="s">
        <v>6497</v>
      </c>
      <c r="H1957" s="18" t="s">
        <v>6498</v>
      </c>
      <c r="K1957" s="156" t="s">
        <v>6499</v>
      </c>
      <c r="L1957" s="18" t="s">
        <v>6500</v>
      </c>
      <c r="M1957" s="18" t="s">
        <v>6501</v>
      </c>
      <c r="N1957" s="16">
        <v>3</v>
      </c>
      <c r="O1957" s="16">
        <v>3</v>
      </c>
      <c r="P1957" s="16">
        <v>3</v>
      </c>
      <c r="Q1957" s="16">
        <v>3</v>
      </c>
      <c r="R1957" s="16">
        <v>3</v>
      </c>
      <c r="S1957" s="16">
        <v>3</v>
      </c>
      <c r="T1957" s="18" t="s">
        <v>570</v>
      </c>
      <c r="U1957" s="283" t="s">
        <v>2875</v>
      </c>
      <c r="V1957" s="18" t="s">
        <v>6502</v>
      </c>
      <c r="W1957" s="18">
        <v>1</v>
      </c>
      <c r="X1957" s="18">
        <v>1</v>
      </c>
      <c r="Y1957" s="18">
        <v>0</v>
      </c>
      <c r="Z1957" s="18">
        <v>1</v>
      </c>
      <c r="AA1957" s="18">
        <v>1</v>
      </c>
      <c r="AB1957" s="18">
        <v>1</v>
      </c>
      <c r="AC1957" s="316">
        <v>1</v>
      </c>
      <c r="AD1957" s="316">
        <v>1</v>
      </c>
      <c r="AE1957" s="302">
        <f t="shared" si="109"/>
        <v>0.875</v>
      </c>
      <c r="AF1957" s="176"/>
      <c r="AG1957" s="17">
        <v>0</v>
      </c>
      <c r="AH1957" s="176">
        <v>0</v>
      </c>
      <c r="AI1957" s="176">
        <v>0</v>
      </c>
      <c r="AJ1957" s="176">
        <v>0</v>
      </c>
      <c r="AK1957" s="177">
        <v>2</v>
      </c>
      <c r="AL1957" s="177">
        <v>1</v>
      </c>
      <c r="AM1957" s="17">
        <f t="shared" si="110"/>
        <v>3</v>
      </c>
      <c r="AN1957" s="18" t="s">
        <v>570</v>
      </c>
      <c r="AO1957" s="18" t="s">
        <v>2875</v>
      </c>
      <c r="AP1957" s="18" t="s">
        <v>6503</v>
      </c>
    </row>
    <row r="1958" spans="1:42" s="18" customFormat="1" x14ac:dyDescent="0.3">
      <c r="A1958" s="18" t="s">
        <v>1454</v>
      </c>
      <c r="B1958" s="18" t="s">
        <v>6438</v>
      </c>
      <c r="C1958" s="18">
        <v>101</v>
      </c>
      <c r="D1958" s="283" t="s">
        <v>6440</v>
      </c>
      <c r="E1958" s="18" t="s">
        <v>6441</v>
      </c>
      <c r="F1958" s="18" t="s">
        <v>6442</v>
      </c>
      <c r="G1958" s="156" t="s">
        <v>6497</v>
      </c>
      <c r="H1958" s="18" t="s">
        <v>6498</v>
      </c>
      <c r="K1958" s="156" t="s">
        <v>6499</v>
      </c>
      <c r="L1958" s="18" t="s">
        <v>6500</v>
      </c>
      <c r="M1958" s="18" t="s">
        <v>6501</v>
      </c>
      <c r="N1958" s="16"/>
      <c r="O1958" s="16"/>
      <c r="P1958" s="16"/>
      <c r="Q1958" s="16"/>
      <c r="R1958" s="16"/>
      <c r="S1958" s="16"/>
      <c r="T1958" s="18" t="s">
        <v>570</v>
      </c>
      <c r="U1958" s="283" t="s">
        <v>2875</v>
      </c>
      <c r="V1958" s="18" t="s">
        <v>6504</v>
      </c>
      <c r="W1958" s="18">
        <v>1</v>
      </c>
      <c r="X1958" s="18">
        <v>1</v>
      </c>
      <c r="Y1958" s="18">
        <v>0</v>
      </c>
      <c r="Z1958" s="18">
        <v>1</v>
      </c>
      <c r="AA1958" s="18">
        <v>1</v>
      </c>
      <c r="AB1958" s="18">
        <v>1</v>
      </c>
      <c r="AC1958" s="316">
        <v>1</v>
      </c>
      <c r="AD1958" s="316">
        <v>1</v>
      </c>
      <c r="AE1958" s="302">
        <f t="shared" si="109"/>
        <v>0.875</v>
      </c>
      <c r="AF1958" s="176"/>
      <c r="AG1958" s="17">
        <v>0</v>
      </c>
      <c r="AH1958" s="176">
        <v>0</v>
      </c>
      <c r="AI1958" s="176">
        <v>0</v>
      </c>
      <c r="AJ1958" s="176">
        <v>0</v>
      </c>
      <c r="AK1958" s="177">
        <v>0.2</v>
      </c>
      <c r="AL1958" s="177">
        <v>0.2</v>
      </c>
      <c r="AM1958" s="17">
        <f t="shared" si="110"/>
        <v>0.4</v>
      </c>
      <c r="AN1958" s="18" t="s">
        <v>570</v>
      </c>
      <c r="AO1958" s="18" t="s">
        <v>2875</v>
      </c>
      <c r="AP1958" s="18" t="s">
        <v>6503</v>
      </c>
    </row>
    <row r="1959" spans="1:42" s="18" customFormat="1" x14ac:dyDescent="0.3">
      <c r="A1959" s="18" t="s">
        <v>1454</v>
      </c>
      <c r="B1959" s="18" t="s">
        <v>6438</v>
      </c>
      <c r="C1959" s="18">
        <v>101</v>
      </c>
      <c r="D1959" s="283" t="s">
        <v>6440</v>
      </c>
      <c r="E1959" s="18" t="s">
        <v>6441</v>
      </c>
      <c r="F1959" s="18" t="s">
        <v>6442</v>
      </c>
      <c r="G1959" s="156" t="s">
        <v>6497</v>
      </c>
      <c r="H1959" s="18" t="s">
        <v>6498</v>
      </c>
      <c r="K1959" s="156" t="s">
        <v>6499</v>
      </c>
      <c r="L1959" s="18" t="s">
        <v>6500</v>
      </c>
      <c r="M1959" s="18" t="s">
        <v>6501</v>
      </c>
      <c r="N1959" s="16"/>
      <c r="O1959" s="16"/>
      <c r="P1959" s="16"/>
      <c r="Q1959" s="16"/>
      <c r="R1959" s="16"/>
      <c r="S1959" s="16"/>
      <c r="T1959" s="18" t="s">
        <v>570</v>
      </c>
      <c r="U1959" s="283" t="s">
        <v>2875</v>
      </c>
      <c r="V1959" s="18" t="s">
        <v>6505</v>
      </c>
      <c r="W1959" s="18">
        <v>1</v>
      </c>
      <c r="X1959" s="18">
        <v>1</v>
      </c>
      <c r="Y1959" s="18">
        <v>0</v>
      </c>
      <c r="Z1959" s="18">
        <v>1</v>
      </c>
      <c r="AA1959" s="18">
        <v>1</v>
      </c>
      <c r="AB1959" s="18">
        <v>1</v>
      </c>
      <c r="AC1959" s="316">
        <v>1</v>
      </c>
      <c r="AD1959" s="316">
        <v>1</v>
      </c>
      <c r="AE1959" s="302">
        <f t="shared" si="109"/>
        <v>0.875</v>
      </c>
      <c r="AF1959" s="176"/>
      <c r="AG1959" s="17">
        <v>0</v>
      </c>
      <c r="AH1959" s="176">
        <v>0</v>
      </c>
      <c r="AI1959" s="176">
        <v>0</v>
      </c>
      <c r="AJ1959" s="176">
        <v>0</v>
      </c>
      <c r="AK1959" s="177">
        <v>1</v>
      </c>
      <c r="AL1959" s="177">
        <v>1</v>
      </c>
      <c r="AM1959" s="17">
        <f t="shared" si="110"/>
        <v>2</v>
      </c>
      <c r="AN1959" s="18" t="s">
        <v>1446</v>
      </c>
      <c r="AO1959" s="18" t="s">
        <v>3715</v>
      </c>
      <c r="AP1959" s="18" t="s">
        <v>6503</v>
      </c>
    </row>
    <row r="1960" spans="1:42" s="18" customFormat="1" x14ac:dyDescent="0.3">
      <c r="A1960" s="18" t="s">
        <v>1454</v>
      </c>
      <c r="B1960" s="18" t="s">
        <v>6438</v>
      </c>
      <c r="C1960" s="18">
        <v>101</v>
      </c>
      <c r="D1960" s="283" t="s">
        <v>6440</v>
      </c>
      <c r="E1960" s="18" t="s">
        <v>6441</v>
      </c>
      <c r="F1960" s="18" t="s">
        <v>6442</v>
      </c>
      <c r="G1960" s="156" t="s">
        <v>6497</v>
      </c>
      <c r="H1960" s="18" t="s">
        <v>6498</v>
      </c>
      <c r="K1960" s="156" t="s">
        <v>6506</v>
      </c>
      <c r="L1960" s="18" t="s">
        <v>6507</v>
      </c>
      <c r="M1960" s="18" t="s">
        <v>6508</v>
      </c>
      <c r="N1960" s="16">
        <v>0</v>
      </c>
      <c r="O1960" s="16">
        <v>15</v>
      </c>
      <c r="P1960" s="16">
        <v>30</v>
      </c>
      <c r="Q1960" s="16">
        <v>60</v>
      </c>
      <c r="R1960" s="16">
        <v>80</v>
      </c>
      <c r="S1960" s="16">
        <v>100</v>
      </c>
      <c r="T1960" s="18" t="s">
        <v>570</v>
      </c>
      <c r="U1960" s="283" t="s">
        <v>2875</v>
      </c>
      <c r="V1960" s="18" t="s">
        <v>6509</v>
      </c>
      <c r="W1960" s="18">
        <v>1</v>
      </c>
      <c r="X1960" s="18">
        <v>0</v>
      </c>
      <c r="Y1960" s="18">
        <v>0</v>
      </c>
      <c r="Z1960" s="18">
        <v>1</v>
      </c>
      <c r="AA1960" s="18">
        <v>1</v>
      </c>
      <c r="AB1960" s="18">
        <v>1</v>
      </c>
      <c r="AC1960" s="316">
        <v>1</v>
      </c>
      <c r="AD1960" s="316">
        <v>1</v>
      </c>
      <c r="AE1960" s="302">
        <f t="shared" si="109"/>
        <v>0.75</v>
      </c>
      <c r="AF1960" s="176"/>
      <c r="AG1960" s="17">
        <v>0</v>
      </c>
      <c r="AH1960" s="176">
        <v>0</v>
      </c>
      <c r="AI1960" s="176">
        <v>0.4</v>
      </c>
      <c r="AJ1960" s="176">
        <v>0.3</v>
      </c>
      <c r="AK1960" s="177">
        <v>0.55000000000000004</v>
      </c>
      <c r="AL1960" s="177">
        <v>0.1</v>
      </c>
      <c r="AM1960" s="17">
        <f t="shared" si="110"/>
        <v>0.65</v>
      </c>
      <c r="AN1960" s="18" t="s">
        <v>570</v>
      </c>
      <c r="AO1960" s="18" t="s">
        <v>2875</v>
      </c>
      <c r="AP1960" s="18" t="s">
        <v>6510</v>
      </c>
    </row>
    <row r="1961" spans="1:42" s="18" customFormat="1" hidden="1" x14ac:dyDescent="0.3">
      <c r="A1961" s="18" t="s">
        <v>1454</v>
      </c>
      <c r="B1961" s="18" t="s">
        <v>6438</v>
      </c>
      <c r="C1961" s="18">
        <v>101</v>
      </c>
      <c r="D1961" s="283" t="s">
        <v>6440</v>
      </c>
      <c r="E1961" s="18" t="s">
        <v>6441</v>
      </c>
      <c r="F1961" s="18" t="s">
        <v>6442</v>
      </c>
      <c r="G1961" s="156" t="s">
        <v>6497</v>
      </c>
      <c r="H1961" s="18" t="s">
        <v>6498</v>
      </c>
      <c r="K1961" s="156" t="s">
        <v>6506</v>
      </c>
      <c r="L1961" s="18" t="s">
        <v>6507</v>
      </c>
      <c r="M1961" s="18" t="s">
        <v>6508</v>
      </c>
      <c r="N1961" s="16"/>
      <c r="O1961" s="16"/>
      <c r="P1961" s="16"/>
      <c r="Q1961" s="16"/>
      <c r="R1961" s="16"/>
      <c r="S1961" s="16"/>
      <c r="T1961" s="18" t="s">
        <v>570</v>
      </c>
      <c r="U1961" s="283" t="s">
        <v>2875</v>
      </c>
      <c r="V1961" s="18" t="s">
        <v>6511</v>
      </c>
      <c r="W1961" s="18">
        <v>1</v>
      </c>
      <c r="X1961" s="18">
        <v>0</v>
      </c>
      <c r="Y1961" s="18">
        <v>0</v>
      </c>
      <c r="Z1961" s="18">
        <v>1</v>
      </c>
      <c r="AA1961" s="18">
        <v>1</v>
      </c>
      <c r="AB1961" s="18">
        <v>0</v>
      </c>
      <c r="AC1961" s="316">
        <v>1</v>
      </c>
      <c r="AD1961" s="316">
        <v>1</v>
      </c>
      <c r="AE1961" s="302">
        <f t="shared" si="109"/>
        <v>0.625</v>
      </c>
      <c r="AF1961" s="176"/>
      <c r="AG1961" s="17">
        <v>0</v>
      </c>
      <c r="AH1961" s="176">
        <v>1.5</v>
      </c>
      <c r="AI1961" s="176">
        <v>1.5</v>
      </c>
      <c r="AJ1961" s="176">
        <v>1.5</v>
      </c>
      <c r="AK1961" s="177">
        <v>1.5</v>
      </c>
      <c r="AL1961" s="177">
        <v>1.1499999999999999</v>
      </c>
      <c r="AM1961" s="17">
        <f t="shared" si="110"/>
        <v>2.65</v>
      </c>
      <c r="AN1961" s="18" t="s">
        <v>869</v>
      </c>
      <c r="AO1961" s="18" t="s">
        <v>871</v>
      </c>
      <c r="AP1961" s="18" t="s">
        <v>6512</v>
      </c>
    </row>
    <row r="1962" spans="1:42" s="18" customFormat="1" hidden="1" x14ac:dyDescent="0.3">
      <c r="A1962" s="18" t="s">
        <v>1454</v>
      </c>
      <c r="B1962" s="18" t="s">
        <v>6438</v>
      </c>
      <c r="C1962" s="18">
        <v>101</v>
      </c>
      <c r="D1962" s="283" t="s">
        <v>6440</v>
      </c>
      <c r="E1962" s="18" t="s">
        <v>6441</v>
      </c>
      <c r="F1962" s="18" t="s">
        <v>6442</v>
      </c>
      <c r="G1962" s="156" t="s">
        <v>6513</v>
      </c>
      <c r="H1962" s="18" t="s">
        <v>6514</v>
      </c>
      <c r="K1962" s="156" t="s">
        <v>6515</v>
      </c>
      <c r="L1962" s="18" t="s">
        <v>6516</v>
      </c>
      <c r="M1962" s="18" t="s">
        <v>6517</v>
      </c>
      <c r="N1962" s="16">
        <v>0</v>
      </c>
      <c r="O1962" s="16">
        <v>4</v>
      </c>
      <c r="P1962" s="16">
        <v>7</v>
      </c>
      <c r="Q1962" s="16">
        <v>10</v>
      </c>
      <c r="R1962" s="16">
        <v>15</v>
      </c>
      <c r="S1962" s="16">
        <v>0</v>
      </c>
      <c r="T1962" s="18" t="s">
        <v>570</v>
      </c>
      <c r="U1962" s="283" t="s">
        <v>2875</v>
      </c>
      <c r="V1962" s="18" t="s">
        <v>6518</v>
      </c>
      <c r="W1962" s="18">
        <v>1</v>
      </c>
      <c r="X1962" s="18">
        <v>0</v>
      </c>
      <c r="Y1962" s="18">
        <v>0</v>
      </c>
      <c r="Z1962" s="18">
        <v>1</v>
      </c>
      <c r="AA1962" s="18">
        <v>0</v>
      </c>
      <c r="AB1962" s="18">
        <v>0</v>
      </c>
      <c r="AC1962" s="316">
        <v>1</v>
      </c>
      <c r="AD1962" s="316">
        <v>0</v>
      </c>
      <c r="AE1962" s="302">
        <f t="shared" si="109"/>
        <v>0.375</v>
      </c>
      <c r="AF1962" s="176"/>
      <c r="AG1962" s="17">
        <v>0</v>
      </c>
      <c r="AH1962" s="176">
        <v>0</v>
      </c>
      <c r="AI1962" s="176">
        <v>3.7</v>
      </c>
      <c r="AJ1962" s="176">
        <v>0</v>
      </c>
      <c r="AK1962" s="177">
        <v>0</v>
      </c>
      <c r="AL1962" s="177">
        <v>0</v>
      </c>
      <c r="AM1962" s="17">
        <f t="shared" si="110"/>
        <v>0</v>
      </c>
      <c r="AN1962" s="18" t="s">
        <v>63</v>
      </c>
      <c r="AO1962" s="18" t="s">
        <v>2510</v>
      </c>
      <c r="AP1962" s="18" t="s">
        <v>6519</v>
      </c>
    </row>
    <row r="1963" spans="1:42" s="18" customFormat="1" x14ac:dyDescent="0.3">
      <c r="A1963" s="18" t="s">
        <v>1454</v>
      </c>
      <c r="B1963" s="18" t="s">
        <v>6438</v>
      </c>
      <c r="C1963" s="18">
        <v>101</v>
      </c>
      <c r="D1963" s="283" t="s">
        <v>6440</v>
      </c>
      <c r="E1963" s="18" t="s">
        <v>6441</v>
      </c>
      <c r="F1963" s="18" t="s">
        <v>6442</v>
      </c>
      <c r="G1963" s="156" t="s">
        <v>6513</v>
      </c>
      <c r="H1963" s="18" t="s">
        <v>6514</v>
      </c>
      <c r="K1963" s="156" t="s">
        <v>6515</v>
      </c>
      <c r="L1963" s="18" t="s">
        <v>6516</v>
      </c>
      <c r="M1963" s="18" t="s">
        <v>6517</v>
      </c>
      <c r="N1963" s="16"/>
      <c r="O1963" s="16"/>
      <c r="P1963" s="16"/>
      <c r="Q1963" s="16"/>
      <c r="R1963" s="16"/>
      <c r="S1963" s="16"/>
      <c r="T1963" s="18" t="s">
        <v>570</v>
      </c>
      <c r="U1963" s="283" t="s">
        <v>2875</v>
      </c>
      <c r="V1963" s="18" t="s">
        <v>6520</v>
      </c>
      <c r="W1963" s="18">
        <v>1</v>
      </c>
      <c r="X1963" s="18">
        <v>1</v>
      </c>
      <c r="Y1963" s="18">
        <v>1</v>
      </c>
      <c r="Z1963" s="18">
        <v>1</v>
      </c>
      <c r="AA1963" s="18">
        <v>1</v>
      </c>
      <c r="AB1963" s="18">
        <v>1</v>
      </c>
      <c r="AC1963" s="316">
        <v>1</v>
      </c>
      <c r="AD1963" s="316">
        <v>1</v>
      </c>
      <c r="AE1963" s="302">
        <f t="shared" si="109"/>
        <v>1</v>
      </c>
      <c r="AF1963" s="176"/>
      <c r="AG1963" s="17">
        <v>0</v>
      </c>
      <c r="AH1963" s="176">
        <v>150</v>
      </c>
      <c r="AI1963" s="176">
        <v>150</v>
      </c>
      <c r="AJ1963" s="176">
        <v>158.33333300000001</v>
      </c>
      <c r="AK1963" s="177">
        <v>10</v>
      </c>
      <c r="AL1963" s="177">
        <v>10</v>
      </c>
      <c r="AM1963" s="17">
        <f t="shared" si="110"/>
        <v>20</v>
      </c>
      <c r="AN1963" s="18" t="s">
        <v>570</v>
      </c>
      <c r="AO1963" s="18" t="s">
        <v>2875</v>
      </c>
      <c r="AP1963" s="18" t="s">
        <v>6521</v>
      </c>
    </row>
    <row r="1964" spans="1:42" s="18" customFormat="1" hidden="1" x14ac:dyDescent="0.3">
      <c r="A1964" s="18" t="s">
        <v>1454</v>
      </c>
      <c r="B1964" s="18" t="s">
        <v>6438</v>
      </c>
      <c r="C1964" s="18">
        <v>101</v>
      </c>
      <c r="D1964" s="283" t="s">
        <v>6440</v>
      </c>
      <c r="E1964" s="18" t="s">
        <v>6441</v>
      </c>
      <c r="F1964" s="18" t="s">
        <v>6442</v>
      </c>
      <c r="G1964" s="156" t="s">
        <v>6513</v>
      </c>
      <c r="H1964" s="18" t="s">
        <v>6514</v>
      </c>
      <c r="K1964" s="156" t="s">
        <v>6515</v>
      </c>
      <c r="L1964" s="18" t="s">
        <v>6516</v>
      </c>
      <c r="M1964" s="18" t="s">
        <v>6522</v>
      </c>
      <c r="N1964" s="16" t="s">
        <v>271</v>
      </c>
      <c r="O1964" s="16">
        <v>0</v>
      </c>
      <c r="P1964" s="16">
        <v>0</v>
      </c>
      <c r="Q1964" s="16">
        <v>0</v>
      </c>
      <c r="R1964" s="16">
        <v>0</v>
      </c>
      <c r="S1964" s="16">
        <v>1</v>
      </c>
      <c r="T1964" s="18" t="s">
        <v>63</v>
      </c>
      <c r="U1964" s="283" t="s">
        <v>2510</v>
      </c>
      <c r="V1964" s="18" t="s">
        <v>6523</v>
      </c>
      <c r="W1964" s="18">
        <v>1</v>
      </c>
      <c r="X1964" s="18">
        <v>1</v>
      </c>
      <c r="Y1964" s="18">
        <v>1</v>
      </c>
      <c r="Z1964" s="18">
        <v>0</v>
      </c>
      <c r="AA1964" s="18">
        <v>0</v>
      </c>
      <c r="AB1964" s="18">
        <v>0</v>
      </c>
      <c r="AC1964" s="316">
        <v>1</v>
      </c>
      <c r="AD1964" s="316">
        <v>0</v>
      </c>
      <c r="AE1964" s="302">
        <f t="shared" si="109"/>
        <v>0.5</v>
      </c>
      <c r="AF1964" s="176"/>
      <c r="AG1964" s="17">
        <v>0</v>
      </c>
      <c r="AH1964" s="176">
        <v>0</v>
      </c>
      <c r="AI1964" s="176">
        <v>0</v>
      </c>
      <c r="AJ1964" s="176">
        <v>0</v>
      </c>
      <c r="AK1964" s="177"/>
      <c r="AL1964" s="177">
        <v>0</v>
      </c>
      <c r="AM1964" s="17">
        <f t="shared" si="110"/>
        <v>0</v>
      </c>
      <c r="AN1964" s="18" t="s">
        <v>63</v>
      </c>
      <c r="AO1964" s="18" t="s">
        <v>2510</v>
      </c>
      <c r="AP1964" s="18" t="s">
        <v>6519</v>
      </c>
    </row>
    <row r="1965" spans="1:42" s="18" customFormat="1" hidden="1" x14ac:dyDescent="0.3">
      <c r="A1965" s="18" t="s">
        <v>1454</v>
      </c>
      <c r="B1965" s="18" t="s">
        <v>6438</v>
      </c>
      <c r="C1965" s="18">
        <v>101</v>
      </c>
      <c r="D1965" s="283" t="s">
        <v>6440</v>
      </c>
      <c r="E1965" s="18" t="s">
        <v>6441</v>
      </c>
      <c r="F1965" s="18" t="s">
        <v>6442</v>
      </c>
      <c r="G1965" s="156" t="s">
        <v>6513</v>
      </c>
      <c r="H1965" s="18" t="s">
        <v>6514</v>
      </c>
      <c r="K1965" s="156" t="s">
        <v>6515</v>
      </c>
      <c r="L1965" s="18" t="s">
        <v>6516</v>
      </c>
      <c r="M1965" s="18" t="s">
        <v>6524</v>
      </c>
      <c r="N1965" s="16" t="s">
        <v>271</v>
      </c>
      <c r="O1965" s="16">
        <v>0</v>
      </c>
      <c r="P1965" s="16">
        <v>0</v>
      </c>
      <c r="Q1965" s="16">
        <v>0</v>
      </c>
      <c r="R1965" s="16">
        <v>0</v>
      </c>
      <c r="S1965" s="16">
        <v>1</v>
      </c>
      <c r="T1965" s="18" t="s">
        <v>63</v>
      </c>
      <c r="U1965" s="283" t="s">
        <v>2510</v>
      </c>
      <c r="V1965" s="18" t="s">
        <v>6525</v>
      </c>
      <c r="W1965" s="18">
        <v>1</v>
      </c>
      <c r="X1965" s="18">
        <v>1</v>
      </c>
      <c r="Y1965" s="18">
        <v>1</v>
      </c>
      <c r="Z1965" s="18">
        <v>0</v>
      </c>
      <c r="AA1965" s="18">
        <v>0</v>
      </c>
      <c r="AB1965" s="18">
        <v>0</v>
      </c>
      <c r="AC1965" s="316">
        <v>1</v>
      </c>
      <c r="AD1965" s="316">
        <v>0</v>
      </c>
      <c r="AE1965" s="302">
        <f t="shared" si="109"/>
        <v>0.5</v>
      </c>
      <c r="AF1965" s="176"/>
      <c r="AG1965" s="17">
        <v>0</v>
      </c>
      <c r="AH1965" s="176">
        <v>0</v>
      </c>
      <c r="AI1965" s="176">
        <v>0</v>
      </c>
      <c r="AJ1965" s="176">
        <v>0</v>
      </c>
      <c r="AK1965" s="177">
        <v>0</v>
      </c>
      <c r="AL1965" s="177">
        <v>0</v>
      </c>
      <c r="AM1965" s="17">
        <f t="shared" si="110"/>
        <v>0</v>
      </c>
      <c r="AN1965" s="18" t="s">
        <v>63</v>
      </c>
      <c r="AO1965" s="18" t="s">
        <v>2510</v>
      </c>
      <c r="AP1965" s="18" t="s">
        <v>6519</v>
      </c>
    </row>
    <row r="1966" spans="1:42" s="18" customFormat="1" hidden="1" x14ac:dyDescent="0.3">
      <c r="A1966" s="18" t="s">
        <v>1454</v>
      </c>
      <c r="B1966" s="18" t="s">
        <v>6438</v>
      </c>
      <c r="C1966" s="18">
        <v>101</v>
      </c>
      <c r="D1966" s="283" t="s">
        <v>6440</v>
      </c>
      <c r="E1966" s="18" t="s">
        <v>6441</v>
      </c>
      <c r="F1966" s="18" t="s">
        <v>6442</v>
      </c>
      <c r="G1966" s="156" t="s">
        <v>6513</v>
      </c>
      <c r="H1966" s="18" t="s">
        <v>6514</v>
      </c>
      <c r="K1966" s="156" t="s">
        <v>6515</v>
      </c>
      <c r="L1966" s="18" t="s">
        <v>6516</v>
      </c>
      <c r="M1966" s="18" t="s">
        <v>6524</v>
      </c>
      <c r="N1966" s="16"/>
      <c r="O1966" s="16"/>
      <c r="P1966" s="16"/>
      <c r="Q1966" s="16"/>
      <c r="R1966" s="16"/>
      <c r="S1966" s="16"/>
      <c r="U1966" s="283" t="e">
        <v>#N/A</v>
      </c>
      <c r="V1966" s="18" t="s">
        <v>6526</v>
      </c>
      <c r="W1966" s="18">
        <v>0</v>
      </c>
      <c r="X1966" s="18">
        <v>0</v>
      </c>
      <c r="Y1966" s="18">
        <v>0</v>
      </c>
      <c r="Z1966" s="18">
        <v>1</v>
      </c>
      <c r="AA1966" s="18">
        <v>0</v>
      </c>
      <c r="AB1966" s="18">
        <v>1</v>
      </c>
      <c r="AC1966" s="316">
        <v>1</v>
      </c>
      <c r="AD1966" s="316">
        <v>0</v>
      </c>
      <c r="AE1966" s="302">
        <f t="shared" si="109"/>
        <v>0.375</v>
      </c>
      <c r="AF1966" s="176"/>
      <c r="AG1966" s="17">
        <v>0</v>
      </c>
      <c r="AH1966" s="176">
        <v>0</v>
      </c>
      <c r="AI1966" s="176">
        <v>0</v>
      </c>
      <c r="AJ1966" s="176">
        <v>0</v>
      </c>
      <c r="AK1966" s="177">
        <v>0</v>
      </c>
      <c r="AL1966" s="177">
        <v>0</v>
      </c>
      <c r="AM1966" s="17">
        <f t="shared" si="110"/>
        <v>0</v>
      </c>
      <c r="AN1966" s="18" t="s">
        <v>63</v>
      </c>
      <c r="AO1966" s="18" t="s">
        <v>2510</v>
      </c>
      <c r="AP1966" s="18" t="s">
        <v>6519</v>
      </c>
    </row>
    <row r="1967" spans="1:42" s="18" customFormat="1" hidden="1" x14ac:dyDescent="0.3">
      <c r="A1967" s="18" t="s">
        <v>1454</v>
      </c>
      <c r="B1967" s="18" t="s">
        <v>6438</v>
      </c>
      <c r="C1967" s="18">
        <v>101</v>
      </c>
      <c r="D1967" s="283" t="s">
        <v>6440</v>
      </c>
      <c r="E1967" s="18" t="s">
        <v>6441</v>
      </c>
      <c r="F1967" s="18" t="s">
        <v>6442</v>
      </c>
      <c r="G1967" s="156" t="s">
        <v>6513</v>
      </c>
      <c r="H1967" s="18" t="s">
        <v>6514</v>
      </c>
      <c r="K1967" s="156" t="s">
        <v>6515</v>
      </c>
      <c r="L1967" s="18" t="s">
        <v>6516</v>
      </c>
      <c r="M1967" s="18" t="s">
        <v>6524</v>
      </c>
      <c r="N1967" s="16"/>
      <c r="O1967" s="16"/>
      <c r="P1967" s="16"/>
      <c r="Q1967" s="16"/>
      <c r="R1967" s="16"/>
      <c r="S1967" s="16"/>
      <c r="U1967" s="283" t="e">
        <v>#N/A</v>
      </c>
      <c r="V1967" s="18" t="s">
        <v>6527</v>
      </c>
      <c r="W1967" s="18">
        <v>1</v>
      </c>
      <c r="X1967" s="18">
        <v>1</v>
      </c>
      <c r="Y1967" s="18">
        <v>0</v>
      </c>
      <c r="Z1967" s="18">
        <v>0</v>
      </c>
      <c r="AA1967" s="18">
        <v>0</v>
      </c>
      <c r="AB1967" s="18">
        <v>1</v>
      </c>
      <c r="AC1967" s="316">
        <v>1</v>
      </c>
      <c r="AD1967" s="316">
        <v>1</v>
      </c>
      <c r="AE1967" s="302">
        <f t="shared" si="109"/>
        <v>0.625</v>
      </c>
      <c r="AF1967" s="176"/>
      <c r="AG1967" s="17">
        <v>0</v>
      </c>
      <c r="AH1967" s="176">
        <v>0</v>
      </c>
      <c r="AI1967" s="176">
        <v>0</v>
      </c>
      <c r="AJ1967" s="176">
        <v>0</v>
      </c>
      <c r="AK1967" s="177">
        <v>0</v>
      </c>
      <c r="AL1967" s="177">
        <v>0</v>
      </c>
      <c r="AM1967" s="17">
        <f t="shared" si="110"/>
        <v>0</v>
      </c>
      <c r="AN1967" s="18" t="s">
        <v>63</v>
      </c>
      <c r="AO1967" s="18" t="s">
        <v>2510</v>
      </c>
      <c r="AP1967" s="18" t="s">
        <v>6519</v>
      </c>
    </row>
    <row r="1968" spans="1:42" s="18" customFormat="1" hidden="1" x14ac:dyDescent="0.3">
      <c r="A1968" s="18" t="s">
        <v>1454</v>
      </c>
      <c r="B1968" s="18" t="s">
        <v>6438</v>
      </c>
      <c r="C1968" s="18">
        <v>101</v>
      </c>
      <c r="D1968" s="283" t="s">
        <v>6440</v>
      </c>
      <c r="E1968" s="18" t="s">
        <v>6441</v>
      </c>
      <c r="F1968" s="18" t="s">
        <v>6442</v>
      </c>
      <c r="G1968" s="156" t="s">
        <v>6513</v>
      </c>
      <c r="H1968" s="18" t="s">
        <v>6514</v>
      </c>
      <c r="K1968" s="156" t="s">
        <v>6515</v>
      </c>
      <c r="L1968" s="18" t="s">
        <v>6516</v>
      </c>
      <c r="M1968" s="18" t="s">
        <v>6524</v>
      </c>
      <c r="N1968" s="16"/>
      <c r="O1968" s="16"/>
      <c r="P1968" s="16"/>
      <c r="Q1968" s="16"/>
      <c r="R1968" s="16"/>
      <c r="S1968" s="16"/>
      <c r="U1968" s="283" t="e">
        <v>#N/A</v>
      </c>
      <c r="V1968" s="18" t="s">
        <v>6528</v>
      </c>
      <c r="W1968" s="18">
        <v>0</v>
      </c>
      <c r="X1968" s="18">
        <v>0</v>
      </c>
      <c r="Y1968" s="18">
        <v>0</v>
      </c>
      <c r="Z1968" s="18">
        <v>1</v>
      </c>
      <c r="AA1968" s="18">
        <v>0</v>
      </c>
      <c r="AB1968" s="18">
        <v>0</v>
      </c>
      <c r="AC1968" s="316">
        <v>0</v>
      </c>
      <c r="AD1968" s="316">
        <v>0</v>
      </c>
      <c r="AE1968" s="302">
        <f t="shared" si="109"/>
        <v>0.125</v>
      </c>
      <c r="AF1968" s="176"/>
      <c r="AG1968" s="17">
        <v>0</v>
      </c>
      <c r="AH1968" s="176">
        <v>0</v>
      </c>
      <c r="AI1968" s="176">
        <v>0.3</v>
      </c>
      <c r="AJ1968" s="176">
        <v>0.2</v>
      </c>
      <c r="AK1968" s="177"/>
      <c r="AL1968" s="177"/>
      <c r="AM1968" s="17">
        <f t="shared" si="110"/>
        <v>0</v>
      </c>
      <c r="AN1968" s="18" t="s">
        <v>771</v>
      </c>
      <c r="AO1968" s="18" t="s">
        <v>773</v>
      </c>
      <c r="AP1968" s="18" t="s">
        <v>6455</v>
      </c>
    </row>
    <row r="1969" spans="1:42" s="18" customFormat="1" hidden="1" x14ac:dyDescent="0.3">
      <c r="A1969" s="18" t="s">
        <v>1454</v>
      </c>
      <c r="B1969" s="18" t="s">
        <v>6438</v>
      </c>
      <c r="C1969" s="18">
        <v>101</v>
      </c>
      <c r="D1969" s="283" t="s">
        <v>6440</v>
      </c>
      <c r="E1969" s="18" t="s">
        <v>6441</v>
      </c>
      <c r="F1969" s="18" t="s">
        <v>6442</v>
      </c>
      <c r="G1969" s="156" t="s">
        <v>6529</v>
      </c>
      <c r="H1969" s="18" t="s">
        <v>6530</v>
      </c>
      <c r="K1969" s="156" t="s">
        <v>6531</v>
      </c>
      <c r="L1969" s="18" t="s">
        <v>6532</v>
      </c>
      <c r="M1969" s="18" t="s">
        <v>6533</v>
      </c>
      <c r="N1969" s="16">
        <v>79.099999999999994</v>
      </c>
      <c r="O1969" s="16">
        <v>83</v>
      </c>
      <c r="P1969" s="16">
        <v>88</v>
      </c>
      <c r="Q1969" s="16">
        <v>94</v>
      </c>
      <c r="R1969" s="16">
        <v>98</v>
      </c>
      <c r="S1969" s="16">
        <v>100</v>
      </c>
      <c r="T1969" s="18" t="s">
        <v>570</v>
      </c>
      <c r="U1969" s="283" t="s">
        <v>2875</v>
      </c>
      <c r="V1969" s="18" t="s">
        <v>6534</v>
      </c>
      <c r="W1969" s="18">
        <v>1</v>
      </c>
      <c r="X1969" s="18">
        <v>1</v>
      </c>
      <c r="Y1969" s="18">
        <v>1</v>
      </c>
      <c r="Z1969" s="18">
        <v>0</v>
      </c>
      <c r="AA1969" s="18">
        <v>0</v>
      </c>
      <c r="AB1969" s="18">
        <v>0</v>
      </c>
      <c r="AC1969" s="316">
        <v>1</v>
      </c>
      <c r="AD1969" s="316">
        <v>1</v>
      </c>
      <c r="AE1969" s="302">
        <f t="shared" si="109"/>
        <v>0.625</v>
      </c>
      <c r="AF1969" s="176"/>
      <c r="AG1969" s="17">
        <v>0</v>
      </c>
      <c r="AH1969" s="176">
        <v>0</v>
      </c>
      <c r="AI1969" s="176">
        <v>0</v>
      </c>
      <c r="AJ1969" s="176">
        <v>0</v>
      </c>
      <c r="AK1969" s="177">
        <v>0</v>
      </c>
      <c r="AL1969" s="177">
        <v>0</v>
      </c>
      <c r="AM1969" s="17">
        <f t="shared" si="110"/>
        <v>0</v>
      </c>
      <c r="AN1969" s="18" t="s">
        <v>407</v>
      </c>
      <c r="AO1969" s="18" t="s">
        <v>409</v>
      </c>
      <c r="AP1969" s="18" t="s">
        <v>3829</v>
      </c>
    </row>
    <row r="1970" spans="1:42" s="18" customFormat="1" hidden="1" x14ac:dyDescent="0.3">
      <c r="A1970" s="18" t="s">
        <v>1454</v>
      </c>
      <c r="B1970" s="18" t="s">
        <v>6438</v>
      </c>
      <c r="C1970" s="18">
        <v>101</v>
      </c>
      <c r="D1970" s="283" t="s">
        <v>6440</v>
      </c>
      <c r="E1970" s="18" t="s">
        <v>6441</v>
      </c>
      <c r="F1970" s="18" t="s">
        <v>6442</v>
      </c>
      <c r="G1970" s="156" t="s">
        <v>6529</v>
      </c>
      <c r="H1970" s="18" t="s">
        <v>6530</v>
      </c>
      <c r="K1970" s="156" t="s">
        <v>6535</v>
      </c>
      <c r="L1970" s="18" t="s">
        <v>6536</v>
      </c>
      <c r="M1970" s="18" t="s">
        <v>6537</v>
      </c>
      <c r="N1970" s="16">
        <v>45</v>
      </c>
      <c r="O1970" s="16">
        <v>50</v>
      </c>
      <c r="P1970" s="16">
        <v>56</v>
      </c>
      <c r="Q1970" s="16">
        <v>64</v>
      </c>
      <c r="R1970" s="16">
        <v>70</v>
      </c>
      <c r="S1970" s="16">
        <v>75</v>
      </c>
      <c r="T1970" s="18" t="s">
        <v>570</v>
      </c>
      <c r="U1970" s="283" t="s">
        <v>2875</v>
      </c>
      <c r="V1970" s="18" t="s">
        <v>6538</v>
      </c>
      <c r="W1970" s="18">
        <v>1</v>
      </c>
      <c r="X1970" s="18">
        <v>1</v>
      </c>
      <c r="Y1970" s="18">
        <v>0</v>
      </c>
      <c r="Z1970" s="18">
        <v>0</v>
      </c>
      <c r="AA1970" s="18">
        <v>0</v>
      </c>
      <c r="AB1970" s="18">
        <v>0</v>
      </c>
      <c r="AC1970" s="316">
        <v>1</v>
      </c>
      <c r="AD1970" s="316">
        <v>1</v>
      </c>
      <c r="AE1970" s="302">
        <f t="shared" si="109"/>
        <v>0.5</v>
      </c>
      <c r="AF1970" s="176"/>
      <c r="AG1970" s="17">
        <v>0</v>
      </c>
      <c r="AH1970" s="176">
        <v>0</v>
      </c>
      <c r="AI1970" s="176">
        <v>0</v>
      </c>
      <c r="AJ1970" s="176">
        <v>0</v>
      </c>
      <c r="AK1970" s="177">
        <v>0</v>
      </c>
      <c r="AL1970" s="177">
        <v>0</v>
      </c>
      <c r="AM1970" s="17">
        <f t="shared" si="110"/>
        <v>0</v>
      </c>
      <c r="AN1970" s="18" t="s">
        <v>407</v>
      </c>
      <c r="AO1970" s="18" t="s">
        <v>409</v>
      </c>
      <c r="AP1970" s="18" t="s">
        <v>6519</v>
      </c>
    </row>
    <row r="1971" spans="1:42" s="18" customFormat="1" hidden="1" x14ac:dyDescent="0.3">
      <c r="A1971" s="18" t="s">
        <v>1454</v>
      </c>
      <c r="B1971" s="18" t="s">
        <v>6438</v>
      </c>
      <c r="C1971" s="18">
        <v>101</v>
      </c>
      <c r="D1971" s="283" t="s">
        <v>6440</v>
      </c>
      <c r="E1971" s="18" t="s">
        <v>6441</v>
      </c>
      <c r="F1971" s="18" t="s">
        <v>6442</v>
      </c>
      <c r="G1971" s="156" t="s">
        <v>6529</v>
      </c>
      <c r="H1971" s="18" t="s">
        <v>6530</v>
      </c>
      <c r="K1971" s="156" t="s">
        <v>6535</v>
      </c>
      <c r="L1971" s="18" t="s">
        <v>6536</v>
      </c>
      <c r="M1971" s="18" t="s">
        <v>6537</v>
      </c>
      <c r="N1971" s="16"/>
      <c r="O1971" s="16"/>
      <c r="P1971" s="16"/>
      <c r="Q1971" s="16"/>
      <c r="R1971" s="16"/>
      <c r="S1971" s="16"/>
      <c r="U1971" s="283" t="e">
        <v>#N/A</v>
      </c>
      <c r="V1971" s="18" t="s">
        <v>6539</v>
      </c>
      <c r="W1971" s="18">
        <v>0</v>
      </c>
      <c r="X1971" s="18">
        <v>0</v>
      </c>
      <c r="Y1971" s="18">
        <v>0</v>
      </c>
      <c r="Z1971" s="18">
        <v>0</v>
      </c>
      <c r="AA1971" s="18">
        <v>0</v>
      </c>
      <c r="AB1971" s="18">
        <v>0</v>
      </c>
      <c r="AC1971" s="316">
        <v>0</v>
      </c>
      <c r="AD1971" s="316">
        <v>0</v>
      </c>
      <c r="AE1971" s="302">
        <f t="shared" si="109"/>
        <v>0</v>
      </c>
      <c r="AF1971" s="176"/>
      <c r="AG1971" s="17">
        <v>0</v>
      </c>
      <c r="AH1971" s="176">
        <v>0</v>
      </c>
      <c r="AI1971" s="176">
        <v>0</v>
      </c>
      <c r="AJ1971" s="176">
        <v>0</v>
      </c>
      <c r="AK1971" s="177">
        <v>0</v>
      </c>
      <c r="AL1971" s="177">
        <v>0</v>
      </c>
      <c r="AM1971" s="17">
        <f t="shared" si="110"/>
        <v>0</v>
      </c>
      <c r="AN1971" s="18" t="s">
        <v>407</v>
      </c>
      <c r="AO1971" s="18" t="s">
        <v>409</v>
      </c>
      <c r="AP1971" s="18" t="s">
        <v>6519</v>
      </c>
    </row>
    <row r="1972" spans="1:42" s="18" customFormat="1" x14ac:dyDescent="0.3">
      <c r="A1972" s="18" t="s">
        <v>1454</v>
      </c>
      <c r="B1972" s="18" t="s">
        <v>6438</v>
      </c>
      <c r="C1972" s="18">
        <v>101</v>
      </c>
      <c r="D1972" s="283" t="s">
        <v>6440</v>
      </c>
      <c r="E1972" s="18" t="s">
        <v>6441</v>
      </c>
      <c r="F1972" s="18" t="s">
        <v>6442</v>
      </c>
      <c r="G1972" s="156" t="s">
        <v>6529</v>
      </c>
      <c r="H1972" s="18" t="s">
        <v>6530</v>
      </c>
      <c r="K1972" s="156" t="s">
        <v>6535</v>
      </c>
      <c r="L1972" s="18" t="s">
        <v>6536</v>
      </c>
      <c r="M1972" s="18" t="s">
        <v>6537</v>
      </c>
      <c r="N1972" s="16"/>
      <c r="O1972" s="16"/>
      <c r="P1972" s="16"/>
      <c r="Q1972" s="16"/>
      <c r="R1972" s="16"/>
      <c r="S1972" s="16"/>
      <c r="U1972" s="283" t="e">
        <v>#N/A</v>
      </c>
      <c r="V1972" s="18" t="s">
        <v>6540</v>
      </c>
      <c r="W1972" s="18">
        <v>1</v>
      </c>
      <c r="X1972" s="18">
        <v>1</v>
      </c>
      <c r="Y1972" s="18">
        <v>1</v>
      </c>
      <c r="Z1972" s="18">
        <v>1</v>
      </c>
      <c r="AA1972" s="18">
        <v>0</v>
      </c>
      <c r="AB1972" s="18">
        <v>1</v>
      </c>
      <c r="AC1972" s="316">
        <v>1</v>
      </c>
      <c r="AD1972" s="316">
        <v>1</v>
      </c>
      <c r="AE1972" s="302">
        <f t="shared" si="109"/>
        <v>0.875</v>
      </c>
      <c r="AF1972" s="176"/>
      <c r="AG1972" s="17">
        <v>0</v>
      </c>
      <c r="AH1972" s="176">
        <v>0</v>
      </c>
      <c r="AI1972" s="176">
        <v>0</v>
      </c>
      <c r="AJ1972" s="176">
        <v>0</v>
      </c>
      <c r="AK1972" s="177">
        <v>0</v>
      </c>
      <c r="AL1972" s="177">
        <v>0</v>
      </c>
      <c r="AM1972" s="17">
        <f t="shared" si="110"/>
        <v>0</v>
      </c>
      <c r="AN1972" s="18" t="s">
        <v>407</v>
      </c>
      <c r="AO1972" s="18" t="s">
        <v>409</v>
      </c>
      <c r="AP1972" s="18" t="s">
        <v>6519</v>
      </c>
    </row>
    <row r="1973" spans="1:42" s="18" customFormat="1" hidden="1" x14ac:dyDescent="0.3">
      <c r="A1973" s="18" t="s">
        <v>1454</v>
      </c>
      <c r="B1973" s="18" t="s">
        <v>6438</v>
      </c>
      <c r="C1973" s="18">
        <v>101</v>
      </c>
      <c r="D1973" s="283" t="s">
        <v>6440</v>
      </c>
      <c r="E1973" s="18" t="s">
        <v>6441</v>
      </c>
      <c r="F1973" s="18" t="s">
        <v>6442</v>
      </c>
      <c r="G1973" s="156" t="s">
        <v>6529</v>
      </c>
      <c r="H1973" s="18" t="s">
        <v>6530</v>
      </c>
      <c r="K1973" s="156" t="s">
        <v>6535</v>
      </c>
      <c r="L1973" s="18" t="s">
        <v>6536</v>
      </c>
      <c r="M1973" s="18" t="s">
        <v>6537</v>
      </c>
      <c r="N1973" s="16"/>
      <c r="O1973" s="16"/>
      <c r="P1973" s="16"/>
      <c r="Q1973" s="16"/>
      <c r="R1973" s="16"/>
      <c r="S1973" s="16"/>
      <c r="U1973" s="283" t="e">
        <v>#N/A</v>
      </c>
      <c r="V1973" s="18" t="s">
        <v>6541</v>
      </c>
      <c r="W1973" s="18">
        <v>1</v>
      </c>
      <c r="X1973" s="18">
        <v>0</v>
      </c>
      <c r="Y1973" s="18">
        <v>1</v>
      </c>
      <c r="Z1973" s="18">
        <v>0</v>
      </c>
      <c r="AA1973" s="18">
        <v>0</v>
      </c>
      <c r="AB1973" s="18">
        <v>1</v>
      </c>
      <c r="AC1973" s="316">
        <v>1</v>
      </c>
      <c r="AD1973" s="316">
        <v>1</v>
      </c>
      <c r="AE1973" s="302">
        <f t="shared" si="109"/>
        <v>0.625</v>
      </c>
      <c r="AF1973" s="176"/>
      <c r="AG1973" s="17">
        <v>0</v>
      </c>
      <c r="AH1973" s="176">
        <v>0</v>
      </c>
      <c r="AI1973" s="176">
        <v>0</v>
      </c>
      <c r="AJ1973" s="176">
        <v>0</v>
      </c>
      <c r="AK1973" s="177">
        <v>0</v>
      </c>
      <c r="AL1973" s="177">
        <v>0</v>
      </c>
      <c r="AM1973" s="17">
        <f t="shared" si="110"/>
        <v>0</v>
      </c>
      <c r="AN1973" s="18" t="s">
        <v>407</v>
      </c>
      <c r="AO1973" s="18" t="s">
        <v>409</v>
      </c>
      <c r="AP1973" s="18" t="s">
        <v>6519</v>
      </c>
    </row>
    <row r="1974" spans="1:42" s="18" customFormat="1" hidden="1" x14ac:dyDescent="0.3">
      <c r="A1974" s="18" t="s">
        <v>1454</v>
      </c>
      <c r="B1974" s="18" t="s">
        <v>6438</v>
      </c>
      <c r="C1974" s="18">
        <v>101</v>
      </c>
      <c r="D1974" s="283" t="s">
        <v>6440</v>
      </c>
      <c r="E1974" s="18" t="s">
        <v>6441</v>
      </c>
      <c r="F1974" s="18" t="s">
        <v>6442</v>
      </c>
      <c r="G1974" s="156" t="s">
        <v>6529</v>
      </c>
      <c r="H1974" s="18" t="s">
        <v>6530</v>
      </c>
      <c r="K1974" s="156" t="s">
        <v>6535</v>
      </c>
      <c r="L1974" s="18" t="s">
        <v>6536</v>
      </c>
      <c r="M1974" s="18" t="s">
        <v>6537</v>
      </c>
      <c r="N1974" s="16"/>
      <c r="O1974" s="16"/>
      <c r="P1974" s="16"/>
      <c r="Q1974" s="16"/>
      <c r="R1974" s="16"/>
      <c r="S1974" s="16"/>
      <c r="U1974" s="283" t="e">
        <v>#N/A</v>
      </c>
      <c r="V1974" s="18" t="s">
        <v>6542</v>
      </c>
      <c r="W1974" s="18">
        <v>0</v>
      </c>
      <c r="X1974" s="18">
        <v>0</v>
      </c>
      <c r="Y1974" s="18">
        <v>0</v>
      </c>
      <c r="Z1974" s="18">
        <v>1</v>
      </c>
      <c r="AA1974" s="18">
        <v>0</v>
      </c>
      <c r="AB1974" s="18">
        <v>1</v>
      </c>
      <c r="AC1974" s="316">
        <v>0</v>
      </c>
      <c r="AD1974" s="316">
        <v>0</v>
      </c>
      <c r="AE1974" s="302">
        <f t="shared" si="109"/>
        <v>0.25</v>
      </c>
      <c r="AF1974" s="176"/>
      <c r="AG1974" s="17">
        <v>0</v>
      </c>
      <c r="AH1974" s="176">
        <v>0</v>
      </c>
      <c r="AI1974" s="176">
        <v>2</v>
      </c>
      <c r="AJ1974" s="176">
        <v>0</v>
      </c>
      <c r="AK1974" s="177">
        <v>0</v>
      </c>
      <c r="AL1974" s="177">
        <v>0</v>
      </c>
      <c r="AM1974" s="17">
        <f t="shared" si="110"/>
        <v>0</v>
      </c>
      <c r="AN1974" s="18" t="s">
        <v>2514</v>
      </c>
      <c r="AO1974" s="18" t="s">
        <v>2515</v>
      </c>
      <c r="AP1974" s="18" t="s">
        <v>6543</v>
      </c>
    </row>
    <row r="1975" spans="1:42" s="18" customFormat="1" x14ac:dyDescent="0.3">
      <c r="A1975" s="18" t="s">
        <v>1454</v>
      </c>
      <c r="B1975" s="18" t="s">
        <v>6438</v>
      </c>
      <c r="C1975" s="18">
        <v>101</v>
      </c>
      <c r="D1975" s="283" t="s">
        <v>6440</v>
      </c>
      <c r="E1975" s="18" t="s">
        <v>6441</v>
      </c>
      <c r="F1975" s="18" t="s">
        <v>6442</v>
      </c>
      <c r="G1975" s="156" t="s">
        <v>6529</v>
      </c>
      <c r="H1975" s="18" t="s">
        <v>6530</v>
      </c>
      <c r="K1975" s="156" t="s">
        <v>6535</v>
      </c>
      <c r="L1975" s="18" t="s">
        <v>6536</v>
      </c>
      <c r="M1975" s="18" t="s">
        <v>6537</v>
      </c>
      <c r="N1975" s="16"/>
      <c r="O1975" s="16"/>
      <c r="P1975" s="16"/>
      <c r="Q1975" s="16"/>
      <c r="R1975" s="16"/>
      <c r="S1975" s="16"/>
      <c r="U1975" s="283" t="e">
        <v>#N/A</v>
      </c>
      <c r="V1975" s="18" t="s">
        <v>6544</v>
      </c>
      <c r="W1975" s="18">
        <v>1</v>
      </c>
      <c r="X1975" s="18">
        <v>0</v>
      </c>
      <c r="Y1975" s="18">
        <v>1</v>
      </c>
      <c r="Z1975" s="18">
        <v>1</v>
      </c>
      <c r="AA1975" s="18">
        <v>0</v>
      </c>
      <c r="AB1975" s="18">
        <v>1</v>
      </c>
      <c r="AC1975" s="316">
        <v>1</v>
      </c>
      <c r="AD1975" s="316">
        <v>1</v>
      </c>
      <c r="AE1975" s="302">
        <f t="shared" si="109"/>
        <v>0.75</v>
      </c>
      <c r="AF1975" s="176"/>
      <c r="AG1975" s="17">
        <v>0</v>
      </c>
      <c r="AH1975" s="176">
        <v>20</v>
      </c>
      <c r="AI1975" s="176">
        <v>20</v>
      </c>
      <c r="AJ1975" s="176">
        <v>20</v>
      </c>
      <c r="AK1975" s="177">
        <v>5</v>
      </c>
      <c r="AL1975" s="177">
        <v>5</v>
      </c>
      <c r="AM1975" s="17">
        <f t="shared" si="110"/>
        <v>10</v>
      </c>
      <c r="AN1975" s="18" t="s">
        <v>2571</v>
      </c>
      <c r="AO1975" s="18" t="s">
        <v>2573</v>
      </c>
      <c r="AP1975" s="18" t="s">
        <v>6545</v>
      </c>
    </row>
    <row r="1976" spans="1:42" s="18" customFormat="1" hidden="1" x14ac:dyDescent="0.3">
      <c r="A1976" s="18" t="s">
        <v>1454</v>
      </c>
      <c r="B1976" s="18" t="s">
        <v>6438</v>
      </c>
      <c r="C1976" s="18">
        <v>101</v>
      </c>
      <c r="D1976" s="283" t="s">
        <v>6440</v>
      </c>
      <c r="E1976" s="18" t="s">
        <v>6441</v>
      </c>
      <c r="F1976" s="18" t="s">
        <v>6442</v>
      </c>
      <c r="G1976" s="156" t="s">
        <v>6529</v>
      </c>
      <c r="H1976" s="18" t="s">
        <v>6530</v>
      </c>
      <c r="K1976" s="156" t="s">
        <v>6535</v>
      </c>
      <c r="L1976" s="18" t="s">
        <v>6536</v>
      </c>
      <c r="M1976" s="18" t="s">
        <v>6537</v>
      </c>
      <c r="N1976" s="16"/>
      <c r="O1976" s="16"/>
      <c r="P1976" s="16"/>
      <c r="Q1976" s="16"/>
      <c r="R1976" s="16"/>
      <c r="S1976" s="16"/>
      <c r="U1976" s="283" t="e">
        <v>#N/A</v>
      </c>
      <c r="V1976" s="18" t="s">
        <v>6546</v>
      </c>
      <c r="W1976" s="18">
        <v>0</v>
      </c>
      <c r="X1976" s="18">
        <v>0</v>
      </c>
      <c r="Y1976" s="18">
        <v>0</v>
      </c>
      <c r="Z1976" s="18">
        <v>1</v>
      </c>
      <c r="AA1976" s="18">
        <v>1</v>
      </c>
      <c r="AB1976" s="18">
        <v>1</v>
      </c>
      <c r="AC1976" s="316">
        <v>1</v>
      </c>
      <c r="AD1976" s="316">
        <v>1</v>
      </c>
      <c r="AE1976" s="302">
        <f t="shared" si="109"/>
        <v>0.625</v>
      </c>
      <c r="AF1976" s="176"/>
      <c r="AG1976" s="17">
        <v>0</v>
      </c>
      <c r="AH1976" s="176">
        <v>0</v>
      </c>
      <c r="AI1976" s="176">
        <v>1</v>
      </c>
      <c r="AJ1976" s="176">
        <v>1</v>
      </c>
      <c r="AK1976" s="177">
        <v>1</v>
      </c>
      <c r="AL1976" s="177">
        <v>1</v>
      </c>
      <c r="AM1976" s="17">
        <f t="shared" si="110"/>
        <v>2</v>
      </c>
      <c r="AN1976" s="18" t="s">
        <v>2514</v>
      </c>
      <c r="AO1976" s="18" t="s">
        <v>2515</v>
      </c>
      <c r="AP1976" s="18" t="s">
        <v>6547</v>
      </c>
    </row>
    <row r="1977" spans="1:42" s="18" customFormat="1" x14ac:dyDescent="0.3">
      <c r="A1977" s="18" t="s">
        <v>1454</v>
      </c>
      <c r="B1977" s="18" t="s">
        <v>6438</v>
      </c>
      <c r="C1977" s="18">
        <v>101</v>
      </c>
      <c r="D1977" s="283" t="s">
        <v>6440</v>
      </c>
      <c r="E1977" s="18" t="s">
        <v>6441</v>
      </c>
      <c r="F1977" s="18" t="s">
        <v>6442</v>
      </c>
      <c r="G1977" s="156" t="s">
        <v>6529</v>
      </c>
      <c r="H1977" s="18" t="s">
        <v>6530</v>
      </c>
      <c r="K1977" s="156" t="s">
        <v>6535</v>
      </c>
      <c r="L1977" s="18" t="s">
        <v>6536</v>
      </c>
      <c r="M1977" s="18" t="s">
        <v>6537</v>
      </c>
      <c r="N1977" s="16"/>
      <c r="O1977" s="16"/>
      <c r="P1977" s="16"/>
      <c r="Q1977" s="16"/>
      <c r="R1977" s="16"/>
      <c r="S1977" s="16"/>
      <c r="U1977" s="283" t="e">
        <v>#N/A</v>
      </c>
      <c r="V1977" s="18" t="s">
        <v>6548</v>
      </c>
      <c r="W1977" s="18">
        <v>1</v>
      </c>
      <c r="X1977" s="18">
        <v>0</v>
      </c>
      <c r="Y1977" s="18">
        <v>1</v>
      </c>
      <c r="Z1977" s="18">
        <v>1</v>
      </c>
      <c r="AA1977" s="18">
        <v>0</v>
      </c>
      <c r="AB1977" s="18">
        <v>1</v>
      </c>
      <c r="AC1977" s="316">
        <v>1</v>
      </c>
      <c r="AD1977" s="316">
        <v>1</v>
      </c>
      <c r="AE1977" s="302">
        <f t="shared" si="109"/>
        <v>0.75</v>
      </c>
      <c r="AF1977" s="176"/>
      <c r="AG1977" s="17">
        <v>0</v>
      </c>
      <c r="AH1977" s="176">
        <v>0</v>
      </c>
      <c r="AI1977" s="176">
        <v>0</v>
      </c>
      <c r="AJ1977" s="176">
        <v>0</v>
      </c>
      <c r="AK1977" s="177">
        <v>1</v>
      </c>
      <c r="AL1977" s="177">
        <v>0.5</v>
      </c>
      <c r="AM1977" s="17">
        <f t="shared" si="110"/>
        <v>1.5</v>
      </c>
      <c r="AN1977" s="18" t="s">
        <v>2514</v>
      </c>
      <c r="AO1977" s="18" t="s">
        <v>2515</v>
      </c>
      <c r="AP1977" s="18" t="s">
        <v>6547</v>
      </c>
    </row>
    <row r="1978" spans="1:42" s="18" customFormat="1" x14ac:dyDescent="0.3">
      <c r="A1978" s="18" t="s">
        <v>1454</v>
      </c>
      <c r="B1978" s="18" t="s">
        <v>6438</v>
      </c>
      <c r="C1978" s="18">
        <v>101</v>
      </c>
      <c r="D1978" s="283" t="s">
        <v>6440</v>
      </c>
      <c r="E1978" s="18" t="s">
        <v>6441</v>
      </c>
      <c r="F1978" s="18" t="s">
        <v>6442</v>
      </c>
      <c r="G1978" s="156" t="s">
        <v>6549</v>
      </c>
      <c r="H1978" s="18" t="s">
        <v>6550</v>
      </c>
      <c r="K1978" s="156" t="s">
        <v>6551</v>
      </c>
      <c r="L1978" s="18" t="s">
        <v>6552</v>
      </c>
      <c r="M1978" s="18" t="s">
        <v>6553</v>
      </c>
      <c r="N1978" s="16">
        <v>14</v>
      </c>
      <c r="O1978" s="16">
        <v>22</v>
      </c>
      <c r="P1978" s="16">
        <v>36</v>
      </c>
      <c r="Q1978" s="16">
        <v>44</v>
      </c>
      <c r="R1978" s="16">
        <v>50</v>
      </c>
      <c r="S1978" s="16">
        <v>60</v>
      </c>
      <c r="T1978" s="18" t="s">
        <v>570</v>
      </c>
      <c r="U1978" s="283" t="s">
        <v>2875</v>
      </c>
      <c r="V1978" s="18" t="s">
        <v>6554</v>
      </c>
      <c r="W1978" s="18">
        <v>1</v>
      </c>
      <c r="X1978" s="18">
        <v>0</v>
      </c>
      <c r="Y1978" s="18">
        <v>0</v>
      </c>
      <c r="Z1978" s="18">
        <v>1</v>
      </c>
      <c r="AA1978" s="18">
        <v>1</v>
      </c>
      <c r="AB1978" s="18">
        <v>1</v>
      </c>
      <c r="AC1978" s="316">
        <v>1</v>
      </c>
      <c r="AD1978" s="316">
        <v>1</v>
      </c>
      <c r="AE1978" s="302">
        <f t="shared" si="109"/>
        <v>0.75</v>
      </c>
      <c r="AF1978" s="176"/>
      <c r="AG1978" s="17">
        <v>0</v>
      </c>
      <c r="AH1978" s="176">
        <v>11</v>
      </c>
      <c r="AI1978" s="176">
        <v>22</v>
      </c>
      <c r="AJ1978" s="176">
        <v>25</v>
      </c>
      <c r="AK1978" s="177">
        <v>26.5</v>
      </c>
      <c r="AL1978" s="177">
        <v>50</v>
      </c>
      <c r="AM1978" s="17">
        <f t="shared" si="110"/>
        <v>76.5</v>
      </c>
      <c r="AN1978" s="18" t="s">
        <v>570</v>
      </c>
      <c r="AO1978" s="18" t="s">
        <v>2875</v>
      </c>
      <c r="AP1978" s="18" t="s">
        <v>6555</v>
      </c>
    </row>
    <row r="1979" spans="1:42" s="18" customFormat="1" x14ac:dyDescent="0.3">
      <c r="A1979" s="18" t="s">
        <v>1454</v>
      </c>
      <c r="B1979" s="18" t="s">
        <v>6438</v>
      </c>
      <c r="C1979" s="18">
        <v>101</v>
      </c>
      <c r="D1979" s="283" t="s">
        <v>6440</v>
      </c>
      <c r="E1979" s="18" t="s">
        <v>6441</v>
      </c>
      <c r="F1979" s="18" t="s">
        <v>6442</v>
      </c>
      <c r="G1979" s="156" t="s">
        <v>6549</v>
      </c>
      <c r="H1979" s="18" t="s">
        <v>6550</v>
      </c>
      <c r="K1979" s="156" t="s">
        <v>6551</v>
      </c>
      <c r="L1979" s="18" t="s">
        <v>6552</v>
      </c>
      <c r="M1979" s="18" t="s">
        <v>6553</v>
      </c>
      <c r="N1979" s="16"/>
      <c r="O1979" s="16"/>
      <c r="P1979" s="16"/>
      <c r="Q1979" s="16"/>
      <c r="R1979" s="16"/>
      <c r="S1979" s="16"/>
      <c r="T1979" s="18" t="s">
        <v>570</v>
      </c>
      <c r="U1979" s="283" t="s">
        <v>2875</v>
      </c>
      <c r="V1979" s="18" t="s">
        <v>6556</v>
      </c>
      <c r="W1979" s="18">
        <v>1</v>
      </c>
      <c r="X1979" s="18">
        <v>0</v>
      </c>
      <c r="Y1979" s="18">
        <v>0</v>
      </c>
      <c r="Z1979" s="18">
        <v>1</v>
      </c>
      <c r="AA1979" s="18">
        <v>1</v>
      </c>
      <c r="AB1979" s="18">
        <v>1</v>
      </c>
      <c r="AC1979" s="316">
        <v>1</v>
      </c>
      <c r="AD1979" s="316">
        <v>1</v>
      </c>
      <c r="AE1979" s="302">
        <f t="shared" si="109"/>
        <v>0.75</v>
      </c>
      <c r="AF1979" s="176"/>
      <c r="AG1979" s="17">
        <v>0</v>
      </c>
      <c r="AH1979" s="176">
        <v>0</v>
      </c>
      <c r="AI1979" s="176">
        <v>0</v>
      </c>
      <c r="AJ1979" s="176">
        <v>0</v>
      </c>
      <c r="AK1979" s="177">
        <v>1</v>
      </c>
      <c r="AL1979" s="177">
        <v>2</v>
      </c>
      <c r="AM1979" s="17">
        <f t="shared" si="110"/>
        <v>3</v>
      </c>
      <c r="AN1979" s="18" t="s">
        <v>570</v>
      </c>
      <c r="AO1979" s="18" t="s">
        <v>2875</v>
      </c>
      <c r="AP1979" s="18" t="s">
        <v>6555</v>
      </c>
    </row>
    <row r="1980" spans="1:42" s="18" customFormat="1" x14ac:dyDescent="0.3">
      <c r="A1980" s="18" t="s">
        <v>1454</v>
      </c>
      <c r="B1980" s="18" t="s">
        <v>6438</v>
      </c>
      <c r="C1980" s="18">
        <v>101</v>
      </c>
      <c r="D1980" s="283" t="s">
        <v>6440</v>
      </c>
      <c r="E1980" s="18" t="s">
        <v>6557</v>
      </c>
      <c r="F1980" s="18" t="s">
        <v>6558</v>
      </c>
      <c r="G1980" s="156" t="s">
        <v>6559</v>
      </c>
      <c r="H1980" s="18" t="s">
        <v>6560</v>
      </c>
      <c r="K1980" s="156" t="s">
        <v>6561</v>
      </c>
      <c r="L1980" s="18" t="s">
        <v>6562</v>
      </c>
      <c r="M1980" s="18" t="s">
        <v>6563</v>
      </c>
      <c r="N1980" s="16">
        <v>0</v>
      </c>
      <c r="O1980" s="16">
        <v>3</v>
      </c>
      <c r="P1980" s="16">
        <v>5</v>
      </c>
      <c r="Q1980" s="16">
        <v>9</v>
      </c>
      <c r="R1980" s="16">
        <v>13</v>
      </c>
      <c r="S1980" s="16">
        <v>15</v>
      </c>
      <c r="T1980" s="18" t="s">
        <v>570</v>
      </c>
      <c r="U1980" s="283" t="s">
        <v>2875</v>
      </c>
      <c r="V1980" s="18" t="s">
        <v>6564</v>
      </c>
      <c r="W1980" s="18">
        <v>1</v>
      </c>
      <c r="X1980" s="18">
        <v>0</v>
      </c>
      <c r="Y1980" s="18">
        <v>0</v>
      </c>
      <c r="Z1980" s="18">
        <v>1</v>
      </c>
      <c r="AA1980" s="18">
        <v>1</v>
      </c>
      <c r="AB1980" s="18">
        <v>1</v>
      </c>
      <c r="AC1980" s="316">
        <v>1</v>
      </c>
      <c r="AD1980" s="316">
        <v>1</v>
      </c>
      <c r="AE1980" s="302">
        <f t="shared" si="109"/>
        <v>0.75</v>
      </c>
      <c r="AF1980" s="176"/>
      <c r="AG1980" s="17">
        <v>0</v>
      </c>
      <c r="AH1980" s="176">
        <v>0</v>
      </c>
      <c r="AI1980" s="176">
        <v>0</v>
      </c>
      <c r="AJ1980" s="176">
        <v>0.3</v>
      </c>
      <c r="AK1980" s="177">
        <v>0</v>
      </c>
      <c r="AL1980" s="177">
        <v>0</v>
      </c>
      <c r="AM1980" s="17">
        <f t="shared" si="110"/>
        <v>0</v>
      </c>
      <c r="AN1980" s="18" t="s">
        <v>570</v>
      </c>
      <c r="AO1980" s="18" t="s">
        <v>2875</v>
      </c>
      <c r="AP1980" s="18" t="s">
        <v>6565</v>
      </c>
    </row>
    <row r="1981" spans="1:42" s="18" customFormat="1" hidden="1" x14ac:dyDescent="0.3">
      <c r="A1981" s="18" t="s">
        <v>1454</v>
      </c>
      <c r="B1981" s="18" t="s">
        <v>6438</v>
      </c>
      <c r="C1981" s="18">
        <v>101</v>
      </c>
      <c r="D1981" s="283" t="s">
        <v>6440</v>
      </c>
      <c r="E1981" s="18" t="s">
        <v>6557</v>
      </c>
      <c r="F1981" s="18" t="s">
        <v>6558</v>
      </c>
      <c r="G1981" s="156" t="s">
        <v>6559</v>
      </c>
      <c r="H1981" s="18" t="s">
        <v>6560</v>
      </c>
      <c r="K1981" s="156" t="s">
        <v>6561</v>
      </c>
      <c r="L1981" s="18" t="s">
        <v>6566</v>
      </c>
      <c r="M1981" s="18" t="s">
        <v>6567</v>
      </c>
      <c r="N1981" s="16">
        <v>8021</v>
      </c>
      <c r="O1981" s="16">
        <v>8221</v>
      </c>
      <c r="P1981" s="16">
        <v>8421</v>
      </c>
      <c r="Q1981" s="16">
        <v>8621</v>
      </c>
      <c r="R1981" s="16">
        <v>8821</v>
      </c>
      <c r="S1981" s="16">
        <v>9021</v>
      </c>
      <c r="T1981" s="18" t="s">
        <v>570</v>
      </c>
      <c r="U1981" s="283" t="s">
        <v>2875</v>
      </c>
      <c r="V1981" s="18" t="s">
        <v>6568</v>
      </c>
      <c r="W1981" s="18">
        <v>1</v>
      </c>
      <c r="X1981" s="18">
        <v>0</v>
      </c>
      <c r="Y1981" s="18">
        <v>0</v>
      </c>
      <c r="Z1981" s="18">
        <v>1</v>
      </c>
      <c r="AA1981" s="18">
        <v>0</v>
      </c>
      <c r="AB1981" s="18">
        <v>0</v>
      </c>
      <c r="AC1981" s="316">
        <v>1</v>
      </c>
      <c r="AD1981" s="316">
        <v>1</v>
      </c>
      <c r="AE1981" s="302">
        <f t="shared" si="109"/>
        <v>0.5</v>
      </c>
      <c r="AF1981" s="176"/>
      <c r="AG1981" s="17">
        <v>0</v>
      </c>
      <c r="AH1981" s="176">
        <v>0</v>
      </c>
      <c r="AI1981" s="176">
        <v>0</v>
      </c>
      <c r="AJ1981" s="176">
        <v>0</v>
      </c>
      <c r="AK1981" s="177">
        <v>0</v>
      </c>
      <c r="AL1981" s="177">
        <v>0</v>
      </c>
      <c r="AM1981" s="17">
        <f t="shared" si="110"/>
        <v>0</v>
      </c>
      <c r="AN1981" s="18" t="s">
        <v>570</v>
      </c>
      <c r="AO1981" s="18" t="s">
        <v>2875</v>
      </c>
      <c r="AP1981" s="18" t="s">
        <v>6569</v>
      </c>
    </row>
    <row r="1982" spans="1:42" s="18" customFormat="1" x14ac:dyDescent="0.3">
      <c r="A1982" s="18" t="s">
        <v>1454</v>
      </c>
      <c r="B1982" s="18" t="s">
        <v>6438</v>
      </c>
      <c r="C1982" s="18">
        <v>101</v>
      </c>
      <c r="D1982" s="283" t="s">
        <v>6440</v>
      </c>
      <c r="E1982" s="18" t="s">
        <v>6557</v>
      </c>
      <c r="F1982" s="18" t="s">
        <v>6558</v>
      </c>
      <c r="G1982" s="156" t="s">
        <v>6559</v>
      </c>
      <c r="H1982" s="18" t="s">
        <v>6560</v>
      </c>
      <c r="K1982" s="156" t="s">
        <v>6561</v>
      </c>
      <c r="L1982" s="18" t="s">
        <v>6566</v>
      </c>
      <c r="M1982" s="18" t="s">
        <v>6570</v>
      </c>
      <c r="N1982" s="16">
        <v>80</v>
      </c>
      <c r="O1982" s="16">
        <v>73</v>
      </c>
      <c r="P1982" s="16">
        <v>66</v>
      </c>
      <c r="Q1982" s="16">
        <v>59</v>
      </c>
      <c r="R1982" s="16">
        <v>52</v>
      </c>
      <c r="S1982" s="16">
        <v>45</v>
      </c>
      <c r="T1982" s="18" t="s">
        <v>570</v>
      </c>
      <c r="U1982" s="283" t="s">
        <v>2875</v>
      </c>
      <c r="V1982" s="18" t="s">
        <v>6571</v>
      </c>
      <c r="W1982" s="18">
        <v>1</v>
      </c>
      <c r="X1982" s="18">
        <v>0</v>
      </c>
      <c r="Y1982" s="18">
        <v>1</v>
      </c>
      <c r="Z1982" s="18">
        <v>1</v>
      </c>
      <c r="AA1982" s="18">
        <v>1</v>
      </c>
      <c r="AB1982" s="18">
        <v>0</v>
      </c>
      <c r="AC1982" s="316">
        <v>1</v>
      </c>
      <c r="AD1982" s="316">
        <v>1</v>
      </c>
      <c r="AE1982" s="302">
        <f t="shared" si="109"/>
        <v>0.75</v>
      </c>
      <c r="AF1982" s="176"/>
      <c r="AG1982" s="17">
        <v>0</v>
      </c>
      <c r="AH1982" s="176">
        <v>1</v>
      </c>
      <c r="AI1982" s="176">
        <v>1</v>
      </c>
      <c r="AJ1982" s="176">
        <v>1</v>
      </c>
      <c r="AK1982" s="177"/>
      <c r="AL1982" s="177"/>
      <c r="AM1982" s="17">
        <f t="shared" si="110"/>
        <v>0</v>
      </c>
      <c r="AN1982" s="18" t="s">
        <v>570</v>
      </c>
      <c r="AO1982" s="18" t="s">
        <v>2875</v>
      </c>
      <c r="AP1982" s="18" t="s">
        <v>6572</v>
      </c>
    </row>
    <row r="1983" spans="1:42" s="18" customFormat="1" x14ac:dyDescent="0.3">
      <c r="A1983" s="18" t="s">
        <v>1454</v>
      </c>
      <c r="B1983" s="18" t="s">
        <v>6438</v>
      </c>
      <c r="C1983" s="18">
        <v>101</v>
      </c>
      <c r="D1983" s="283" t="s">
        <v>6440</v>
      </c>
      <c r="E1983" s="18" t="s">
        <v>6557</v>
      </c>
      <c r="F1983" s="18" t="s">
        <v>6558</v>
      </c>
      <c r="G1983" s="156" t="s">
        <v>6559</v>
      </c>
      <c r="H1983" s="18" t="s">
        <v>6560</v>
      </c>
      <c r="K1983" s="156" t="s">
        <v>6561</v>
      </c>
      <c r="L1983" s="18" t="s">
        <v>6566</v>
      </c>
      <c r="M1983" s="18" t="s">
        <v>6570</v>
      </c>
      <c r="N1983" s="16"/>
      <c r="O1983" s="16"/>
      <c r="P1983" s="16"/>
      <c r="Q1983" s="16"/>
      <c r="R1983" s="16"/>
      <c r="S1983" s="16"/>
      <c r="U1983" s="283" t="e">
        <v>#N/A</v>
      </c>
      <c r="V1983" s="18" t="s">
        <v>6573</v>
      </c>
      <c r="W1983" s="18">
        <v>1</v>
      </c>
      <c r="X1983" s="18">
        <v>1</v>
      </c>
      <c r="Y1983" s="18">
        <v>0</v>
      </c>
      <c r="Z1983" s="18">
        <v>1</v>
      </c>
      <c r="AA1983" s="18">
        <v>1</v>
      </c>
      <c r="AB1983" s="18">
        <v>1</v>
      </c>
      <c r="AC1983" s="316">
        <v>0</v>
      </c>
      <c r="AD1983" s="316">
        <v>1</v>
      </c>
      <c r="AE1983" s="302">
        <f t="shared" si="109"/>
        <v>0.75</v>
      </c>
      <c r="AF1983" s="176"/>
      <c r="AG1983" s="17">
        <v>0</v>
      </c>
      <c r="AH1983" s="176">
        <v>0</v>
      </c>
      <c r="AI1983" s="176">
        <v>1</v>
      </c>
      <c r="AJ1983" s="176">
        <v>0</v>
      </c>
      <c r="AK1983" s="177">
        <v>2</v>
      </c>
      <c r="AL1983" s="177">
        <v>2</v>
      </c>
      <c r="AM1983" s="17">
        <f t="shared" si="110"/>
        <v>4</v>
      </c>
      <c r="AN1983" s="18" t="s">
        <v>570</v>
      </c>
      <c r="AO1983" s="18" t="s">
        <v>2875</v>
      </c>
      <c r="AP1983" s="18" t="s">
        <v>6572</v>
      </c>
    </row>
    <row r="1984" spans="1:42" s="18" customFormat="1" hidden="1" x14ac:dyDescent="0.3">
      <c r="A1984" s="18" t="s">
        <v>1454</v>
      </c>
      <c r="B1984" s="18" t="s">
        <v>6438</v>
      </c>
      <c r="C1984" s="18">
        <v>101</v>
      </c>
      <c r="D1984" s="283" t="s">
        <v>6440</v>
      </c>
      <c r="E1984" s="18" t="s">
        <v>6557</v>
      </c>
      <c r="F1984" s="18" t="s">
        <v>6558</v>
      </c>
      <c r="G1984" s="156" t="s">
        <v>6559</v>
      </c>
      <c r="H1984" s="18" t="s">
        <v>6560</v>
      </c>
      <c r="K1984" s="156" t="s">
        <v>6561</v>
      </c>
      <c r="L1984" s="18" t="s">
        <v>6566</v>
      </c>
      <c r="M1984" s="18" t="s">
        <v>6570</v>
      </c>
      <c r="N1984" s="16"/>
      <c r="O1984" s="16"/>
      <c r="P1984" s="16"/>
      <c r="Q1984" s="16"/>
      <c r="R1984" s="16"/>
      <c r="S1984" s="16"/>
      <c r="U1984" s="283" t="e">
        <v>#N/A</v>
      </c>
      <c r="V1984" s="18" t="s">
        <v>6574</v>
      </c>
      <c r="W1984" s="18">
        <v>0</v>
      </c>
      <c r="X1984" s="18">
        <v>1</v>
      </c>
      <c r="Y1984" s="18">
        <v>0</v>
      </c>
      <c r="Z1984" s="18">
        <v>1</v>
      </c>
      <c r="AA1984" s="18">
        <v>0</v>
      </c>
      <c r="AB1984" s="18">
        <v>0</v>
      </c>
      <c r="AC1984" s="316">
        <v>1</v>
      </c>
      <c r="AD1984" s="316">
        <v>0</v>
      </c>
      <c r="AE1984" s="302">
        <f t="shared" si="109"/>
        <v>0.375</v>
      </c>
      <c r="AF1984" s="176"/>
      <c r="AG1984" s="17">
        <v>0</v>
      </c>
      <c r="AH1984" s="176">
        <v>0</v>
      </c>
      <c r="AI1984" s="176">
        <v>0</v>
      </c>
      <c r="AJ1984" s="176">
        <v>0</v>
      </c>
      <c r="AK1984" s="177">
        <v>0</v>
      </c>
      <c r="AL1984" s="177">
        <v>0</v>
      </c>
      <c r="AM1984" s="17">
        <f t="shared" si="110"/>
        <v>0</v>
      </c>
      <c r="AN1984" s="18" t="s">
        <v>570</v>
      </c>
      <c r="AO1984" s="18" t="s">
        <v>2875</v>
      </c>
      <c r="AP1984" s="18" t="s">
        <v>6575</v>
      </c>
    </row>
    <row r="1985" spans="1:42" s="18" customFormat="1" x14ac:dyDescent="0.3">
      <c r="A1985" s="18" t="s">
        <v>1454</v>
      </c>
      <c r="B1985" s="18" t="s">
        <v>6438</v>
      </c>
      <c r="C1985" s="18">
        <v>101</v>
      </c>
      <c r="D1985" s="283" t="s">
        <v>6440</v>
      </c>
      <c r="E1985" s="18" t="s">
        <v>6557</v>
      </c>
      <c r="F1985" s="18" t="s">
        <v>6558</v>
      </c>
      <c r="G1985" s="156" t="s">
        <v>6559</v>
      </c>
      <c r="H1985" s="18" t="s">
        <v>6560</v>
      </c>
      <c r="K1985" s="156" t="s">
        <v>6561</v>
      </c>
      <c r="L1985" s="18" t="s">
        <v>6566</v>
      </c>
      <c r="M1985" s="18" t="s">
        <v>6570</v>
      </c>
      <c r="N1985" s="16"/>
      <c r="O1985" s="16"/>
      <c r="P1985" s="16"/>
      <c r="Q1985" s="16"/>
      <c r="R1985" s="16"/>
      <c r="S1985" s="16"/>
      <c r="U1985" s="283" t="e">
        <v>#N/A</v>
      </c>
      <c r="V1985" s="18" t="s">
        <v>6576</v>
      </c>
      <c r="W1985" s="18">
        <v>1</v>
      </c>
      <c r="X1985" s="18">
        <v>1</v>
      </c>
      <c r="Y1985" s="18">
        <v>1</v>
      </c>
      <c r="Z1985" s="18">
        <v>1</v>
      </c>
      <c r="AA1985" s="18">
        <v>1</v>
      </c>
      <c r="AB1985" s="18">
        <v>1</v>
      </c>
      <c r="AC1985" s="316">
        <v>1</v>
      </c>
      <c r="AD1985" s="316">
        <v>1</v>
      </c>
      <c r="AE1985" s="302">
        <f t="shared" si="109"/>
        <v>1</v>
      </c>
      <c r="AF1985" s="176"/>
      <c r="AG1985" s="17">
        <v>0</v>
      </c>
      <c r="AH1985" s="176">
        <v>0</v>
      </c>
      <c r="AI1985" s="176">
        <v>0</v>
      </c>
      <c r="AJ1985" s="176">
        <v>2</v>
      </c>
      <c r="AK1985" s="177">
        <v>5</v>
      </c>
      <c r="AL1985" s="177">
        <v>4</v>
      </c>
      <c r="AM1985" s="17">
        <f t="shared" si="110"/>
        <v>9</v>
      </c>
      <c r="AN1985" s="18" t="s">
        <v>570</v>
      </c>
      <c r="AO1985" s="18" t="s">
        <v>2875</v>
      </c>
      <c r="AP1985" s="18" t="s">
        <v>6577</v>
      </c>
    </row>
    <row r="1986" spans="1:42" s="18" customFormat="1" x14ac:dyDescent="0.3">
      <c r="A1986" s="18" t="s">
        <v>1454</v>
      </c>
      <c r="B1986" s="18" t="s">
        <v>6438</v>
      </c>
      <c r="C1986" s="18">
        <v>101</v>
      </c>
      <c r="D1986" s="283" t="s">
        <v>6440</v>
      </c>
      <c r="E1986" s="18" t="s">
        <v>6557</v>
      </c>
      <c r="F1986" s="18" t="s">
        <v>6558</v>
      </c>
      <c r="G1986" s="156" t="s">
        <v>6559</v>
      </c>
      <c r="H1986" s="18" t="s">
        <v>6560</v>
      </c>
      <c r="K1986" s="156" t="s">
        <v>6561</v>
      </c>
      <c r="L1986" s="18" t="s">
        <v>6566</v>
      </c>
      <c r="M1986" s="18" t="s">
        <v>6570</v>
      </c>
      <c r="N1986" s="16"/>
      <c r="O1986" s="16"/>
      <c r="P1986" s="16"/>
      <c r="Q1986" s="16"/>
      <c r="R1986" s="16"/>
      <c r="S1986" s="16"/>
      <c r="U1986" s="283" t="e">
        <v>#N/A</v>
      </c>
      <c r="V1986" s="18" t="s">
        <v>6578</v>
      </c>
      <c r="W1986" s="18">
        <v>1</v>
      </c>
      <c r="X1986" s="18">
        <v>1</v>
      </c>
      <c r="Y1986" s="18">
        <v>1</v>
      </c>
      <c r="Z1986" s="18">
        <v>0</v>
      </c>
      <c r="AA1986" s="18">
        <v>1</v>
      </c>
      <c r="AB1986" s="18">
        <v>1</v>
      </c>
      <c r="AC1986" s="316">
        <v>1</v>
      </c>
      <c r="AD1986" s="316">
        <v>1</v>
      </c>
      <c r="AE1986" s="302">
        <f t="shared" si="109"/>
        <v>0.875</v>
      </c>
      <c r="AF1986" s="176"/>
      <c r="AG1986" s="17">
        <v>0</v>
      </c>
      <c r="AH1986" s="176">
        <v>0</v>
      </c>
      <c r="AI1986" s="176">
        <v>0</v>
      </c>
      <c r="AJ1986" s="176">
        <v>0</v>
      </c>
      <c r="AK1986" s="177">
        <v>30</v>
      </c>
      <c r="AL1986" s="177">
        <v>44</v>
      </c>
      <c r="AM1986" s="17">
        <f t="shared" si="110"/>
        <v>74</v>
      </c>
      <c r="AN1986" s="18" t="s">
        <v>570</v>
      </c>
      <c r="AO1986" s="18" t="s">
        <v>2875</v>
      </c>
      <c r="AP1986" s="18" t="s">
        <v>6575</v>
      </c>
    </row>
    <row r="1987" spans="1:42" s="18" customFormat="1" hidden="1" x14ac:dyDescent="0.3">
      <c r="A1987" s="18" t="s">
        <v>1454</v>
      </c>
      <c r="B1987" s="18" t="s">
        <v>6438</v>
      </c>
      <c r="C1987" s="18">
        <v>101</v>
      </c>
      <c r="D1987" s="283" t="s">
        <v>6440</v>
      </c>
      <c r="E1987" s="18" t="s">
        <v>6557</v>
      </c>
      <c r="F1987" s="18" t="s">
        <v>6558</v>
      </c>
      <c r="G1987" s="156" t="s">
        <v>6559</v>
      </c>
      <c r="H1987" s="18" t="s">
        <v>6560</v>
      </c>
      <c r="K1987" s="156" t="s">
        <v>6561</v>
      </c>
      <c r="L1987" s="18" t="s">
        <v>6566</v>
      </c>
      <c r="M1987" s="18" t="s">
        <v>6570</v>
      </c>
      <c r="N1987" s="16"/>
      <c r="O1987" s="16"/>
      <c r="P1987" s="16"/>
      <c r="Q1987" s="16"/>
      <c r="R1987" s="16"/>
      <c r="S1987" s="16"/>
      <c r="U1987" s="283" t="e">
        <v>#N/A</v>
      </c>
      <c r="V1987" s="18" t="s">
        <v>6579</v>
      </c>
      <c r="W1987" s="18">
        <v>0</v>
      </c>
      <c r="X1987" s="18">
        <v>1</v>
      </c>
      <c r="Y1987" s="18">
        <v>0</v>
      </c>
      <c r="Z1987" s="18">
        <v>1</v>
      </c>
      <c r="AA1987" s="18">
        <v>0</v>
      </c>
      <c r="AB1987" s="18">
        <v>0</v>
      </c>
      <c r="AC1987" s="316">
        <v>1</v>
      </c>
      <c r="AD1987" s="316">
        <v>1</v>
      </c>
      <c r="AE1987" s="302">
        <f t="shared" si="109"/>
        <v>0.5</v>
      </c>
      <c r="AF1987" s="176"/>
      <c r="AG1987" s="17">
        <v>0</v>
      </c>
      <c r="AH1987" s="176">
        <v>0</v>
      </c>
      <c r="AI1987" s="176">
        <v>5</v>
      </c>
      <c r="AJ1987" s="176">
        <v>0</v>
      </c>
      <c r="AK1987" s="177">
        <v>0</v>
      </c>
      <c r="AL1987" s="177">
        <v>0</v>
      </c>
      <c r="AM1987" s="17">
        <f t="shared" si="110"/>
        <v>0</v>
      </c>
      <c r="AN1987" s="18" t="s">
        <v>2514</v>
      </c>
      <c r="AO1987" s="18" t="s">
        <v>2515</v>
      </c>
      <c r="AP1987" s="18" t="s">
        <v>6580</v>
      </c>
    </row>
    <row r="1988" spans="1:42" s="18" customFormat="1" hidden="1" x14ac:dyDescent="0.3">
      <c r="A1988" s="18" t="s">
        <v>1454</v>
      </c>
      <c r="B1988" s="18" t="s">
        <v>6438</v>
      </c>
      <c r="C1988" s="18">
        <v>101</v>
      </c>
      <c r="D1988" s="283" t="s">
        <v>6440</v>
      </c>
      <c r="E1988" s="18" t="s">
        <v>6557</v>
      </c>
      <c r="F1988" s="18" t="s">
        <v>6558</v>
      </c>
      <c r="G1988" s="156" t="s">
        <v>6581</v>
      </c>
      <c r="H1988" s="18" t="s">
        <v>6582</v>
      </c>
      <c r="K1988" s="156" t="s">
        <v>6583</v>
      </c>
      <c r="L1988" s="18" t="s">
        <v>6584</v>
      </c>
      <c r="M1988" s="18" t="s">
        <v>6585</v>
      </c>
      <c r="N1988" s="16">
        <v>18</v>
      </c>
      <c r="O1988" s="16">
        <v>25</v>
      </c>
      <c r="P1988" s="16">
        <v>31</v>
      </c>
      <c r="Q1988" s="16">
        <v>37</v>
      </c>
      <c r="R1988" s="16">
        <v>43</v>
      </c>
      <c r="S1988" s="16">
        <v>50</v>
      </c>
      <c r="T1988" s="18" t="s">
        <v>570</v>
      </c>
      <c r="U1988" s="283" t="s">
        <v>2875</v>
      </c>
      <c r="V1988" s="18" t="s">
        <v>6586</v>
      </c>
      <c r="W1988" s="18">
        <v>0</v>
      </c>
      <c r="X1988" s="18">
        <v>0</v>
      </c>
      <c r="Y1988" s="18">
        <v>0</v>
      </c>
      <c r="Z1988" s="18">
        <v>0</v>
      </c>
      <c r="AA1988" s="18">
        <v>0</v>
      </c>
      <c r="AB1988" s="18">
        <v>0</v>
      </c>
      <c r="AC1988" s="316">
        <v>0</v>
      </c>
      <c r="AD1988" s="316">
        <v>0</v>
      </c>
      <c r="AE1988" s="302">
        <f t="shared" ref="AE1988:AE2051" si="111">SUM(W1988:AD1988)/8</f>
        <v>0</v>
      </c>
      <c r="AF1988" s="176"/>
      <c r="AG1988" s="17">
        <v>0</v>
      </c>
      <c r="AH1988" s="176">
        <v>0</v>
      </c>
      <c r="AI1988" s="176">
        <v>0.4</v>
      </c>
      <c r="AJ1988" s="176">
        <v>0</v>
      </c>
      <c r="AK1988" s="177"/>
      <c r="AL1988" s="177"/>
      <c r="AM1988" s="17">
        <f t="shared" ref="AM1988:AM2051" si="112">SUM(AK1988:AL1988)</f>
        <v>0</v>
      </c>
      <c r="AN1988" s="18" t="s">
        <v>63</v>
      </c>
      <c r="AO1988" s="18" t="s">
        <v>2510</v>
      </c>
      <c r="AP1988" s="18" t="s">
        <v>6587</v>
      </c>
    </row>
    <row r="1989" spans="1:42" s="18" customFormat="1" x14ac:dyDescent="0.3">
      <c r="A1989" s="18" t="s">
        <v>1454</v>
      </c>
      <c r="B1989" s="18" t="s">
        <v>6438</v>
      </c>
      <c r="C1989" s="18">
        <v>101</v>
      </c>
      <c r="D1989" s="283" t="s">
        <v>6440</v>
      </c>
      <c r="E1989" s="18" t="s">
        <v>6557</v>
      </c>
      <c r="F1989" s="18" t="s">
        <v>6558</v>
      </c>
      <c r="G1989" s="156" t="s">
        <v>6581</v>
      </c>
      <c r="H1989" s="18" t="s">
        <v>6582</v>
      </c>
      <c r="K1989" s="156" t="s">
        <v>6583</v>
      </c>
      <c r="L1989" s="18" t="s">
        <v>6584</v>
      </c>
      <c r="M1989" s="18" t="s">
        <v>6585</v>
      </c>
      <c r="N1989" s="16"/>
      <c r="O1989" s="16"/>
      <c r="P1989" s="16"/>
      <c r="Q1989" s="16"/>
      <c r="R1989" s="16"/>
      <c r="S1989" s="16"/>
      <c r="U1989" s="283" t="e">
        <v>#N/A</v>
      </c>
      <c r="V1989" s="18" t="s">
        <v>6588</v>
      </c>
      <c r="W1989" s="18">
        <v>1</v>
      </c>
      <c r="X1989" s="18">
        <v>1</v>
      </c>
      <c r="Y1989" s="18">
        <v>0</v>
      </c>
      <c r="Z1989" s="18">
        <v>0</v>
      </c>
      <c r="AA1989" s="18">
        <v>1</v>
      </c>
      <c r="AB1989" s="18">
        <v>1</v>
      </c>
      <c r="AC1989" s="316">
        <v>1</v>
      </c>
      <c r="AD1989" s="316">
        <v>1</v>
      </c>
      <c r="AE1989" s="302">
        <f t="shared" si="111"/>
        <v>0.75</v>
      </c>
      <c r="AF1989" s="176"/>
      <c r="AG1989" s="17">
        <v>0</v>
      </c>
      <c r="AH1989" s="176">
        <v>0</v>
      </c>
      <c r="AI1989" s="176">
        <v>0.2</v>
      </c>
      <c r="AJ1989" s="176">
        <v>0.2</v>
      </c>
      <c r="AK1989" s="177">
        <v>1</v>
      </c>
      <c r="AL1989" s="177">
        <v>1</v>
      </c>
      <c r="AM1989" s="17">
        <f t="shared" si="112"/>
        <v>2</v>
      </c>
      <c r="AN1989" s="18" t="s">
        <v>63</v>
      </c>
      <c r="AO1989" s="18" t="s">
        <v>2510</v>
      </c>
      <c r="AP1989" s="18" t="s">
        <v>6589</v>
      </c>
    </row>
    <row r="1990" spans="1:42" s="18" customFormat="1" hidden="1" x14ac:dyDescent="0.3">
      <c r="A1990" s="18" t="s">
        <v>1454</v>
      </c>
      <c r="B1990" s="18" t="s">
        <v>6438</v>
      </c>
      <c r="C1990" s="18">
        <v>101</v>
      </c>
      <c r="D1990" s="283" t="s">
        <v>6440</v>
      </c>
      <c r="E1990" s="18" t="s">
        <v>6557</v>
      </c>
      <c r="F1990" s="18" t="s">
        <v>6558</v>
      </c>
      <c r="G1990" s="156" t="s">
        <v>6581</v>
      </c>
      <c r="H1990" s="18" t="s">
        <v>6582</v>
      </c>
      <c r="K1990" s="156" t="s">
        <v>6583</v>
      </c>
      <c r="L1990" s="18" t="s">
        <v>6584</v>
      </c>
      <c r="M1990" s="18" t="s">
        <v>6585</v>
      </c>
      <c r="N1990" s="16"/>
      <c r="O1990" s="16"/>
      <c r="P1990" s="16"/>
      <c r="Q1990" s="16"/>
      <c r="R1990" s="16"/>
      <c r="S1990" s="16"/>
      <c r="U1990" s="283" t="e">
        <v>#N/A</v>
      </c>
      <c r="V1990" s="18" t="s">
        <v>6590</v>
      </c>
      <c r="W1990" s="18">
        <v>0</v>
      </c>
      <c r="X1990" s="18">
        <v>0</v>
      </c>
      <c r="Y1990" s="18">
        <v>0</v>
      </c>
      <c r="Z1990" s="18">
        <v>1</v>
      </c>
      <c r="AA1990" s="18">
        <v>1</v>
      </c>
      <c r="AB1990" s="18">
        <v>0</v>
      </c>
      <c r="AC1990" s="316">
        <v>0</v>
      </c>
      <c r="AD1990" s="316">
        <v>1</v>
      </c>
      <c r="AE1990" s="302">
        <f t="shared" si="111"/>
        <v>0.375</v>
      </c>
      <c r="AF1990" s="176"/>
      <c r="AG1990" s="17">
        <v>0</v>
      </c>
      <c r="AH1990" s="176">
        <v>0</v>
      </c>
      <c r="AI1990" s="176">
        <v>0.6</v>
      </c>
      <c r="AJ1990" s="176">
        <v>0.6</v>
      </c>
      <c r="AK1990" s="177"/>
      <c r="AL1990" s="177"/>
      <c r="AM1990" s="17">
        <f t="shared" si="112"/>
        <v>0</v>
      </c>
      <c r="AN1990" s="18" t="s">
        <v>570</v>
      </c>
      <c r="AO1990" s="18" t="s">
        <v>2875</v>
      </c>
      <c r="AP1990" s="18" t="s">
        <v>6591</v>
      </c>
    </row>
    <row r="1991" spans="1:42" s="18" customFormat="1" hidden="1" x14ac:dyDescent="0.3">
      <c r="A1991" s="18" t="s">
        <v>1454</v>
      </c>
      <c r="B1991" s="18" t="s">
        <v>6438</v>
      </c>
      <c r="C1991" s="18">
        <v>101</v>
      </c>
      <c r="D1991" s="283" t="s">
        <v>6440</v>
      </c>
      <c r="E1991" s="18" t="s">
        <v>6557</v>
      </c>
      <c r="F1991" s="18" t="s">
        <v>6558</v>
      </c>
      <c r="G1991" s="156" t="s">
        <v>6581</v>
      </c>
      <c r="H1991" s="18" t="s">
        <v>6582</v>
      </c>
      <c r="K1991" s="156" t="s">
        <v>6583</v>
      </c>
      <c r="L1991" s="18" t="s">
        <v>6584</v>
      </c>
      <c r="M1991" s="18" t="s">
        <v>6585</v>
      </c>
      <c r="N1991" s="16"/>
      <c r="O1991" s="16"/>
      <c r="P1991" s="16"/>
      <c r="Q1991" s="16"/>
      <c r="R1991" s="16"/>
      <c r="S1991" s="16"/>
      <c r="U1991" s="283" t="e">
        <v>#N/A</v>
      </c>
      <c r="V1991" s="18" t="s">
        <v>6592</v>
      </c>
      <c r="W1991" s="18">
        <v>0</v>
      </c>
      <c r="X1991" s="18">
        <v>0</v>
      </c>
      <c r="Y1991" s="18">
        <v>1</v>
      </c>
      <c r="Z1991" s="18">
        <v>1</v>
      </c>
      <c r="AA1991" s="18">
        <v>0</v>
      </c>
      <c r="AB1991" s="18">
        <v>0</v>
      </c>
      <c r="AC1991" s="316">
        <v>0</v>
      </c>
      <c r="AD1991" s="316">
        <v>1</v>
      </c>
      <c r="AE1991" s="302">
        <f t="shared" si="111"/>
        <v>0.375</v>
      </c>
      <c r="AF1991" s="176"/>
      <c r="AG1991" s="17">
        <v>0</v>
      </c>
      <c r="AH1991" s="176">
        <v>0</v>
      </c>
      <c r="AI1991" s="176">
        <v>0</v>
      </c>
      <c r="AJ1991" s="176">
        <v>0</v>
      </c>
      <c r="AK1991" s="177">
        <v>0</v>
      </c>
      <c r="AL1991" s="177">
        <v>0</v>
      </c>
      <c r="AM1991" s="17">
        <f t="shared" si="112"/>
        <v>0</v>
      </c>
      <c r="AN1991" s="18" t="s">
        <v>570</v>
      </c>
      <c r="AO1991" s="18" t="s">
        <v>2875</v>
      </c>
      <c r="AP1991" s="18" t="s">
        <v>6591</v>
      </c>
    </row>
    <row r="1992" spans="1:42" s="18" customFormat="1" hidden="1" x14ac:dyDescent="0.3">
      <c r="A1992" s="18" t="s">
        <v>1454</v>
      </c>
      <c r="B1992" s="18" t="s">
        <v>6438</v>
      </c>
      <c r="C1992" s="18">
        <v>101</v>
      </c>
      <c r="D1992" s="283" t="s">
        <v>6440</v>
      </c>
      <c r="E1992" s="18" t="s">
        <v>6557</v>
      </c>
      <c r="F1992" s="18" t="s">
        <v>6558</v>
      </c>
      <c r="G1992" s="156" t="s">
        <v>6581</v>
      </c>
      <c r="H1992" s="18" t="s">
        <v>6582</v>
      </c>
      <c r="K1992" s="156" t="s">
        <v>6583</v>
      </c>
      <c r="L1992" s="18" t="s">
        <v>6584</v>
      </c>
      <c r="M1992" s="18" t="s">
        <v>6585</v>
      </c>
      <c r="N1992" s="16"/>
      <c r="O1992" s="16"/>
      <c r="P1992" s="16"/>
      <c r="Q1992" s="16"/>
      <c r="R1992" s="16"/>
      <c r="S1992" s="16"/>
      <c r="U1992" s="283" t="e">
        <v>#N/A</v>
      </c>
      <c r="V1992" s="18" t="s">
        <v>6593</v>
      </c>
      <c r="W1992" s="18">
        <v>1</v>
      </c>
      <c r="X1992" s="18">
        <v>0</v>
      </c>
      <c r="Y1992" s="18">
        <v>0</v>
      </c>
      <c r="Z1992" s="18">
        <v>0</v>
      </c>
      <c r="AA1992" s="18">
        <v>1</v>
      </c>
      <c r="AB1992" s="18">
        <v>0</v>
      </c>
      <c r="AC1992" s="316">
        <v>1</v>
      </c>
      <c r="AD1992" s="316">
        <v>1</v>
      </c>
      <c r="AE1992" s="302">
        <f t="shared" si="111"/>
        <v>0.5</v>
      </c>
      <c r="AF1992" s="176"/>
      <c r="AG1992" s="17">
        <v>0</v>
      </c>
      <c r="AH1992" s="176">
        <v>0</v>
      </c>
      <c r="AI1992" s="176">
        <v>0</v>
      </c>
      <c r="AJ1992" s="176">
        <v>0</v>
      </c>
      <c r="AK1992" s="177">
        <v>0</v>
      </c>
      <c r="AL1992" s="177">
        <v>0</v>
      </c>
      <c r="AM1992" s="17">
        <f t="shared" si="112"/>
        <v>0</v>
      </c>
      <c r="AN1992" s="18" t="s">
        <v>570</v>
      </c>
      <c r="AO1992" s="18" t="s">
        <v>2875</v>
      </c>
      <c r="AP1992" s="18" t="s">
        <v>6591</v>
      </c>
    </row>
    <row r="1993" spans="1:42" s="18" customFormat="1" x14ac:dyDescent="0.3">
      <c r="A1993" s="18" t="s">
        <v>1454</v>
      </c>
      <c r="B1993" s="18" t="s">
        <v>6438</v>
      </c>
      <c r="C1993" s="18">
        <v>101</v>
      </c>
      <c r="D1993" s="283" t="s">
        <v>6440</v>
      </c>
      <c r="E1993" s="18" t="s">
        <v>6557</v>
      </c>
      <c r="F1993" s="18" t="s">
        <v>6558</v>
      </c>
      <c r="G1993" s="156" t="s">
        <v>6581</v>
      </c>
      <c r="H1993" s="18" t="s">
        <v>6582</v>
      </c>
      <c r="K1993" s="156" t="s">
        <v>6583</v>
      </c>
      <c r="L1993" s="18" t="s">
        <v>6584</v>
      </c>
      <c r="M1993" s="18" t="s">
        <v>6585</v>
      </c>
      <c r="N1993" s="16"/>
      <c r="O1993" s="16"/>
      <c r="P1993" s="16"/>
      <c r="Q1993" s="16"/>
      <c r="R1993" s="16"/>
      <c r="S1993" s="16"/>
      <c r="U1993" s="283" t="e">
        <v>#N/A</v>
      </c>
      <c r="V1993" s="18" t="s">
        <v>6594</v>
      </c>
      <c r="W1993" s="18">
        <v>1</v>
      </c>
      <c r="X1993" s="18">
        <v>1</v>
      </c>
      <c r="Y1993" s="18">
        <v>0</v>
      </c>
      <c r="Z1993" s="18">
        <v>1</v>
      </c>
      <c r="AA1993" s="18">
        <v>1</v>
      </c>
      <c r="AB1993" s="18">
        <v>1</v>
      </c>
      <c r="AC1993" s="316">
        <v>1</v>
      </c>
      <c r="AD1993" s="316">
        <v>1</v>
      </c>
      <c r="AE1993" s="302">
        <f t="shared" si="111"/>
        <v>0.875</v>
      </c>
      <c r="AF1993" s="176"/>
      <c r="AG1993" s="17">
        <v>0</v>
      </c>
      <c r="AH1993" s="176">
        <v>0</v>
      </c>
      <c r="AI1993" s="176">
        <v>0</v>
      </c>
      <c r="AJ1993" s="176">
        <v>0</v>
      </c>
      <c r="AK1993" s="177">
        <v>1</v>
      </c>
      <c r="AL1993" s="177">
        <v>1</v>
      </c>
      <c r="AM1993" s="17">
        <f t="shared" si="112"/>
        <v>2</v>
      </c>
      <c r="AN1993" s="18" t="s">
        <v>570</v>
      </c>
      <c r="AO1993" s="18" t="s">
        <v>2875</v>
      </c>
      <c r="AP1993" s="18" t="s">
        <v>6591</v>
      </c>
    </row>
    <row r="1994" spans="1:42" s="18" customFormat="1" hidden="1" x14ac:dyDescent="0.3">
      <c r="A1994" s="18" t="s">
        <v>1454</v>
      </c>
      <c r="B1994" s="18" t="s">
        <v>6438</v>
      </c>
      <c r="C1994" s="18">
        <v>101</v>
      </c>
      <c r="D1994" s="283" t="s">
        <v>6440</v>
      </c>
      <c r="E1994" s="18" t="s">
        <v>6557</v>
      </c>
      <c r="F1994" s="18" t="s">
        <v>6558</v>
      </c>
      <c r="G1994" s="156" t="s">
        <v>6581</v>
      </c>
      <c r="H1994" s="18" t="s">
        <v>6582</v>
      </c>
      <c r="K1994" s="156" t="s">
        <v>6583</v>
      </c>
      <c r="L1994" s="18" t="s">
        <v>6584</v>
      </c>
      <c r="M1994" s="18" t="s">
        <v>6585</v>
      </c>
      <c r="N1994" s="16"/>
      <c r="O1994" s="16"/>
      <c r="P1994" s="16"/>
      <c r="Q1994" s="16"/>
      <c r="R1994" s="16"/>
      <c r="S1994" s="16"/>
      <c r="U1994" s="283" t="e">
        <v>#N/A</v>
      </c>
      <c r="V1994" s="18" t="s">
        <v>6595</v>
      </c>
      <c r="W1994" s="18">
        <v>1</v>
      </c>
      <c r="X1994" s="18">
        <v>1</v>
      </c>
      <c r="Y1994" s="18">
        <v>0</v>
      </c>
      <c r="Z1994" s="18">
        <v>1</v>
      </c>
      <c r="AA1994" s="18">
        <v>0</v>
      </c>
      <c r="AB1994" s="18">
        <v>1</v>
      </c>
      <c r="AC1994" s="316">
        <v>0</v>
      </c>
      <c r="AD1994" s="316">
        <v>1</v>
      </c>
      <c r="AE1994" s="302">
        <f t="shared" si="111"/>
        <v>0.625</v>
      </c>
      <c r="AF1994" s="176"/>
      <c r="AG1994" s="17">
        <v>0</v>
      </c>
      <c r="AH1994" s="176">
        <v>0</v>
      </c>
      <c r="AI1994" s="176">
        <v>0</v>
      </c>
      <c r="AJ1994" s="176">
        <v>0</v>
      </c>
      <c r="AK1994" s="177">
        <v>0</v>
      </c>
      <c r="AL1994" s="177">
        <v>0</v>
      </c>
      <c r="AM1994" s="17">
        <f t="shared" si="112"/>
        <v>0</v>
      </c>
      <c r="AN1994" s="18" t="s">
        <v>570</v>
      </c>
      <c r="AO1994" s="18" t="s">
        <v>2875</v>
      </c>
      <c r="AP1994" s="18" t="s">
        <v>6596</v>
      </c>
    </row>
    <row r="1995" spans="1:42" s="18" customFormat="1" x14ac:dyDescent="0.3">
      <c r="A1995" s="18" t="s">
        <v>1454</v>
      </c>
      <c r="B1995" s="18" t="s">
        <v>6438</v>
      </c>
      <c r="C1995" s="18">
        <v>101</v>
      </c>
      <c r="D1995" s="283" t="s">
        <v>6440</v>
      </c>
      <c r="E1995" s="18" t="s">
        <v>6557</v>
      </c>
      <c r="F1995" s="18" t="s">
        <v>6558</v>
      </c>
      <c r="G1995" s="156" t="s">
        <v>6581</v>
      </c>
      <c r="H1995" s="18" t="s">
        <v>6582</v>
      </c>
      <c r="K1995" s="156" t="s">
        <v>6583</v>
      </c>
      <c r="L1995" s="18" t="s">
        <v>6584</v>
      </c>
      <c r="M1995" s="18" t="s">
        <v>6585</v>
      </c>
      <c r="N1995" s="16"/>
      <c r="O1995" s="16"/>
      <c r="P1995" s="16"/>
      <c r="Q1995" s="16"/>
      <c r="R1995" s="16"/>
      <c r="S1995" s="16"/>
      <c r="U1995" s="283" t="e">
        <v>#N/A</v>
      </c>
      <c r="V1995" s="18" t="s">
        <v>6597</v>
      </c>
      <c r="W1995" s="18">
        <v>1</v>
      </c>
      <c r="X1995" s="18">
        <v>0</v>
      </c>
      <c r="Y1995" s="18">
        <v>1</v>
      </c>
      <c r="Z1995" s="18">
        <v>1</v>
      </c>
      <c r="AA1995" s="18">
        <v>1</v>
      </c>
      <c r="AB1995" s="18">
        <v>1</v>
      </c>
      <c r="AC1995" s="316">
        <v>0</v>
      </c>
      <c r="AD1995" s="316">
        <v>1</v>
      </c>
      <c r="AE1995" s="302">
        <f t="shared" si="111"/>
        <v>0.75</v>
      </c>
      <c r="AF1995" s="176"/>
      <c r="AG1995" s="17">
        <v>0</v>
      </c>
      <c r="AH1995" s="176">
        <v>0.1</v>
      </c>
      <c r="AI1995" s="176">
        <v>0.1</v>
      </c>
      <c r="AJ1995" s="176">
        <v>0.1</v>
      </c>
      <c r="AK1995" s="177">
        <v>0.1</v>
      </c>
      <c r="AL1995" s="177">
        <v>0.1</v>
      </c>
      <c r="AM1995" s="17">
        <f t="shared" si="112"/>
        <v>0.2</v>
      </c>
      <c r="AN1995" s="18" t="s">
        <v>570</v>
      </c>
      <c r="AO1995" s="18" t="s">
        <v>2875</v>
      </c>
      <c r="AP1995" s="18" t="s">
        <v>6598</v>
      </c>
    </row>
    <row r="1996" spans="1:42" s="18" customFormat="1" hidden="1" x14ac:dyDescent="0.3">
      <c r="A1996" s="18" t="s">
        <v>1454</v>
      </c>
      <c r="B1996" s="18" t="s">
        <v>6438</v>
      </c>
      <c r="C1996" s="18">
        <v>101</v>
      </c>
      <c r="D1996" s="283" t="s">
        <v>6440</v>
      </c>
      <c r="E1996" s="18" t="s">
        <v>6557</v>
      </c>
      <c r="F1996" s="18" t="s">
        <v>6558</v>
      </c>
      <c r="G1996" s="156" t="s">
        <v>6581</v>
      </c>
      <c r="H1996" s="18" t="s">
        <v>6582</v>
      </c>
      <c r="K1996" s="156" t="s">
        <v>6583</v>
      </c>
      <c r="L1996" s="18" t="s">
        <v>6584</v>
      </c>
      <c r="M1996" s="18" t="s">
        <v>6585</v>
      </c>
      <c r="N1996" s="16"/>
      <c r="O1996" s="16"/>
      <c r="P1996" s="16"/>
      <c r="Q1996" s="16"/>
      <c r="R1996" s="16"/>
      <c r="S1996" s="16"/>
      <c r="U1996" s="283" t="e">
        <v>#N/A</v>
      </c>
      <c r="V1996" s="18" t="s">
        <v>6599</v>
      </c>
      <c r="W1996" s="18">
        <v>0</v>
      </c>
      <c r="X1996" s="18">
        <v>0</v>
      </c>
      <c r="Y1996" s="18">
        <v>0</v>
      </c>
      <c r="Z1996" s="18">
        <v>1</v>
      </c>
      <c r="AA1996" s="18">
        <v>0</v>
      </c>
      <c r="AB1996" s="18">
        <v>0</v>
      </c>
      <c r="AC1996" s="316">
        <v>0</v>
      </c>
      <c r="AD1996" s="316">
        <v>1</v>
      </c>
      <c r="AE1996" s="302">
        <f t="shared" si="111"/>
        <v>0.25</v>
      </c>
      <c r="AF1996" s="176"/>
      <c r="AG1996" s="17">
        <v>0</v>
      </c>
      <c r="AH1996" s="176">
        <v>0</v>
      </c>
      <c r="AI1996" s="176">
        <v>0</v>
      </c>
      <c r="AJ1996" s="176">
        <v>0</v>
      </c>
      <c r="AK1996" s="177"/>
      <c r="AL1996" s="177">
        <v>0</v>
      </c>
      <c r="AM1996" s="17">
        <f t="shared" si="112"/>
        <v>0</v>
      </c>
      <c r="AN1996" s="18" t="s">
        <v>63</v>
      </c>
      <c r="AO1996" s="18" t="s">
        <v>2510</v>
      </c>
      <c r="AP1996" s="18" t="s">
        <v>6600</v>
      </c>
    </row>
    <row r="1997" spans="1:42" s="18" customFormat="1" hidden="1" x14ac:dyDescent="0.3">
      <c r="A1997" s="18" t="s">
        <v>1454</v>
      </c>
      <c r="B1997" s="18" t="s">
        <v>6438</v>
      </c>
      <c r="C1997" s="18">
        <v>101</v>
      </c>
      <c r="D1997" s="283" t="s">
        <v>6440</v>
      </c>
      <c r="E1997" s="18" t="s">
        <v>6557</v>
      </c>
      <c r="F1997" s="18" t="s">
        <v>6558</v>
      </c>
      <c r="G1997" s="156" t="s">
        <v>6581</v>
      </c>
      <c r="H1997" s="18" t="s">
        <v>6582</v>
      </c>
      <c r="K1997" s="156" t="s">
        <v>6583</v>
      </c>
      <c r="L1997" s="18" t="s">
        <v>6584</v>
      </c>
      <c r="M1997" s="18" t="s">
        <v>6585</v>
      </c>
      <c r="N1997" s="16"/>
      <c r="O1997" s="16"/>
      <c r="P1997" s="16"/>
      <c r="Q1997" s="16"/>
      <c r="R1997" s="16"/>
      <c r="S1997" s="16"/>
      <c r="U1997" s="283" t="e">
        <v>#N/A</v>
      </c>
      <c r="V1997" s="18" t="s">
        <v>6601</v>
      </c>
      <c r="W1997" s="18">
        <v>1</v>
      </c>
      <c r="X1997" s="18">
        <v>0</v>
      </c>
      <c r="Y1997" s="18">
        <v>0</v>
      </c>
      <c r="Z1997" s="18">
        <v>0</v>
      </c>
      <c r="AA1997" s="18">
        <v>0</v>
      </c>
      <c r="AB1997" s="18">
        <v>0</v>
      </c>
      <c r="AC1997" s="316">
        <v>0</v>
      </c>
      <c r="AD1997" s="316">
        <v>1</v>
      </c>
      <c r="AE1997" s="302">
        <f t="shared" si="111"/>
        <v>0.25</v>
      </c>
      <c r="AF1997" s="176"/>
      <c r="AG1997" s="17">
        <v>0</v>
      </c>
      <c r="AH1997" s="176">
        <v>0</v>
      </c>
      <c r="AI1997" s="176">
        <v>0</v>
      </c>
      <c r="AJ1997" s="176">
        <v>0</v>
      </c>
      <c r="AK1997" s="177">
        <v>0</v>
      </c>
      <c r="AL1997" s="177">
        <v>0</v>
      </c>
      <c r="AM1997" s="17">
        <f t="shared" si="112"/>
        <v>0</v>
      </c>
      <c r="AN1997" s="18" t="s">
        <v>63</v>
      </c>
      <c r="AO1997" s="18" t="s">
        <v>2510</v>
      </c>
      <c r="AP1997" s="18" t="s">
        <v>6602</v>
      </c>
    </row>
    <row r="1998" spans="1:42" s="18" customFormat="1" hidden="1" x14ac:dyDescent="0.3">
      <c r="A1998" s="18" t="s">
        <v>1454</v>
      </c>
      <c r="B1998" s="18" t="s">
        <v>6438</v>
      </c>
      <c r="C1998" s="18">
        <v>101</v>
      </c>
      <c r="D1998" s="283" t="s">
        <v>6440</v>
      </c>
      <c r="E1998" s="18" t="s">
        <v>6557</v>
      </c>
      <c r="F1998" s="18" t="s">
        <v>6558</v>
      </c>
      <c r="G1998" s="156" t="s">
        <v>6581</v>
      </c>
      <c r="H1998" s="18" t="s">
        <v>6582</v>
      </c>
      <c r="K1998" s="156" t="s">
        <v>6583</v>
      </c>
      <c r="L1998" s="18" t="s">
        <v>6584</v>
      </c>
      <c r="M1998" s="18" t="s">
        <v>6585</v>
      </c>
      <c r="N1998" s="16"/>
      <c r="O1998" s="16"/>
      <c r="P1998" s="16"/>
      <c r="Q1998" s="16"/>
      <c r="R1998" s="16"/>
      <c r="S1998" s="16"/>
      <c r="U1998" s="283" t="e">
        <v>#N/A</v>
      </c>
      <c r="V1998" s="18" t="s">
        <v>6603</v>
      </c>
      <c r="W1998" s="18">
        <v>1</v>
      </c>
      <c r="X1998" s="18">
        <v>0</v>
      </c>
      <c r="Y1998" s="18">
        <v>0</v>
      </c>
      <c r="Z1998" s="18">
        <v>1</v>
      </c>
      <c r="AA1998" s="18">
        <v>0</v>
      </c>
      <c r="AB1998" s="18">
        <v>1</v>
      </c>
      <c r="AC1998" s="316">
        <v>0</v>
      </c>
      <c r="AD1998" s="316">
        <v>1</v>
      </c>
      <c r="AE1998" s="302">
        <f t="shared" si="111"/>
        <v>0.5</v>
      </c>
      <c r="AF1998" s="176"/>
      <c r="AG1998" s="17">
        <v>0</v>
      </c>
      <c r="AH1998" s="176">
        <v>0</v>
      </c>
      <c r="AI1998" s="176">
        <v>0</v>
      </c>
      <c r="AJ1998" s="176">
        <v>0</v>
      </c>
      <c r="AK1998" s="177"/>
      <c r="AL1998" s="177"/>
      <c r="AM1998" s="17">
        <f t="shared" si="112"/>
        <v>0</v>
      </c>
      <c r="AN1998" s="18" t="s">
        <v>63</v>
      </c>
      <c r="AO1998" s="18" t="s">
        <v>2510</v>
      </c>
      <c r="AP1998" s="18" t="s">
        <v>6604</v>
      </c>
    </row>
    <row r="1999" spans="1:42" s="18" customFormat="1" hidden="1" x14ac:dyDescent="0.3">
      <c r="A1999" s="18" t="s">
        <v>1454</v>
      </c>
      <c r="B1999" s="18" t="s">
        <v>6438</v>
      </c>
      <c r="C1999" s="18">
        <v>101</v>
      </c>
      <c r="D1999" s="283" t="s">
        <v>6440</v>
      </c>
      <c r="E1999" s="18" t="s">
        <v>6557</v>
      </c>
      <c r="F1999" s="18" t="s">
        <v>6558</v>
      </c>
      <c r="G1999" s="156" t="s">
        <v>6581</v>
      </c>
      <c r="H1999" s="18" t="s">
        <v>6582</v>
      </c>
      <c r="K1999" s="156" t="s">
        <v>6583</v>
      </c>
      <c r="L1999" s="18" t="s">
        <v>6584</v>
      </c>
      <c r="M1999" s="18" t="s">
        <v>6585</v>
      </c>
      <c r="N1999" s="16"/>
      <c r="O1999" s="16"/>
      <c r="P1999" s="16"/>
      <c r="Q1999" s="16"/>
      <c r="R1999" s="16"/>
      <c r="S1999" s="16"/>
      <c r="U1999" s="283" t="e">
        <v>#N/A</v>
      </c>
      <c r="V1999" s="18" t="s">
        <v>6605</v>
      </c>
      <c r="W1999" s="18">
        <v>1</v>
      </c>
      <c r="X1999" s="18">
        <v>1</v>
      </c>
      <c r="Y1999" s="18">
        <v>0</v>
      </c>
      <c r="Z1999" s="18">
        <v>1</v>
      </c>
      <c r="AA1999" s="18">
        <v>1</v>
      </c>
      <c r="AB1999" s="18">
        <v>0</v>
      </c>
      <c r="AC1999" s="316">
        <v>0</v>
      </c>
      <c r="AD1999" s="316">
        <v>1</v>
      </c>
      <c r="AE1999" s="302">
        <f t="shared" si="111"/>
        <v>0.625</v>
      </c>
      <c r="AF1999" s="176"/>
      <c r="AG1999" s="17">
        <v>0</v>
      </c>
      <c r="AH1999" s="176">
        <v>0</v>
      </c>
      <c r="AI1999" s="176">
        <v>0</v>
      </c>
      <c r="AJ1999" s="176">
        <v>0</v>
      </c>
      <c r="AK1999" s="177">
        <v>0</v>
      </c>
      <c r="AL1999" s="177">
        <v>0</v>
      </c>
      <c r="AM1999" s="17">
        <f t="shared" si="112"/>
        <v>0</v>
      </c>
      <c r="AN1999" s="18" t="s">
        <v>63</v>
      </c>
      <c r="AO1999" s="18" t="s">
        <v>2510</v>
      </c>
      <c r="AP1999" s="18" t="s">
        <v>6606</v>
      </c>
    </row>
    <row r="2000" spans="1:42" s="18" customFormat="1" hidden="1" x14ac:dyDescent="0.3">
      <c r="A2000" s="18" t="s">
        <v>1454</v>
      </c>
      <c r="B2000" s="18" t="s">
        <v>6438</v>
      </c>
      <c r="C2000" s="18">
        <v>101</v>
      </c>
      <c r="D2000" s="283" t="s">
        <v>6440</v>
      </c>
      <c r="E2000" s="18" t="s">
        <v>6557</v>
      </c>
      <c r="F2000" s="18" t="s">
        <v>6558</v>
      </c>
      <c r="G2000" s="156" t="s">
        <v>6581</v>
      </c>
      <c r="H2000" s="18" t="s">
        <v>6582</v>
      </c>
      <c r="K2000" s="156" t="s">
        <v>6583</v>
      </c>
      <c r="L2000" s="18" t="s">
        <v>6584</v>
      </c>
      <c r="M2000" s="18" t="s">
        <v>6585</v>
      </c>
      <c r="N2000" s="16"/>
      <c r="O2000" s="16"/>
      <c r="P2000" s="16"/>
      <c r="Q2000" s="16"/>
      <c r="R2000" s="16"/>
      <c r="S2000" s="16"/>
      <c r="U2000" s="283" t="e">
        <v>#N/A</v>
      </c>
      <c r="V2000" s="18" t="s">
        <v>6607</v>
      </c>
      <c r="W2000" s="18">
        <v>1</v>
      </c>
      <c r="X2000" s="18">
        <v>1</v>
      </c>
      <c r="Y2000" s="18">
        <v>0</v>
      </c>
      <c r="Z2000" s="18">
        <v>1</v>
      </c>
      <c r="AA2000" s="18">
        <v>1</v>
      </c>
      <c r="AB2000" s="18">
        <v>0</v>
      </c>
      <c r="AC2000" s="316">
        <v>0</v>
      </c>
      <c r="AD2000" s="316">
        <v>1</v>
      </c>
      <c r="AE2000" s="302">
        <f t="shared" si="111"/>
        <v>0.625</v>
      </c>
      <c r="AF2000" s="176"/>
      <c r="AG2000" s="17">
        <v>0</v>
      </c>
      <c r="AH2000" s="176">
        <v>0.8</v>
      </c>
      <c r="AI2000" s="176">
        <v>0.8</v>
      </c>
      <c r="AJ2000" s="176">
        <v>1</v>
      </c>
      <c r="AK2000" s="177">
        <v>0.45</v>
      </c>
      <c r="AL2000" s="177">
        <v>0.45</v>
      </c>
      <c r="AM2000" s="17">
        <f t="shared" si="112"/>
        <v>0.9</v>
      </c>
      <c r="AN2000" s="18" t="s">
        <v>63</v>
      </c>
      <c r="AO2000" s="18" t="s">
        <v>2510</v>
      </c>
      <c r="AP2000" s="18" t="s">
        <v>6608</v>
      </c>
    </row>
    <row r="2001" spans="1:42" s="18" customFormat="1" hidden="1" x14ac:dyDescent="0.3">
      <c r="A2001" s="18" t="s">
        <v>1454</v>
      </c>
      <c r="B2001" s="18" t="s">
        <v>6438</v>
      </c>
      <c r="C2001" s="18">
        <v>101</v>
      </c>
      <c r="D2001" s="283" t="s">
        <v>6440</v>
      </c>
      <c r="E2001" s="18" t="s">
        <v>6557</v>
      </c>
      <c r="F2001" s="18" t="s">
        <v>6558</v>
      </c>
      <c r="G2001" s="156" t="s">
        <v>6581</v>
      </c>
      <c r="H2001" s="18" t="s">
        <v>6582</v>
      </c>
      <c r="K2001" s="156" t="s">
        <v>6583</v>
      </c>
      <c r="L2001" s="18" t="s">
        <v>6584</v>
      </c>
      <c r="M2001" s="18" t="s">
        <v>6585</v>
      </c>
      <c r="N2001" s="16"/>
      <c r="O2001" s="16"/>
      <c r="P2001" s="16"/>
      <c r="Q2001" s="16"/>
      <c r="R2001" s="16"/>
      <c r="S2001" s="16"/>
      <c r="U2001" s="283" t="e">
        <v>#N/A</v>
      </c>
      <c r="V2001" s="18" t="s">
        <v>6609</v>
      </c>
      <c r="W2001" s="18">
        <v>1</v>
      </c>
      <c r="X2001" s="18">
        <v>0</v>
      </c>
      <c r="Y2001" s="18">
        <v>0</v>
      </c>
      <c r="Z2001" s="18">
        <v>1</v>
      </c>
      <c r="AA2001" s="18">
        <v>0</v>
      </c>
      <c r="AB2001" s="18">
        <v>0</v>
      </c>
      <c r="AC2001" s="316">
        <v>0</v>
      </c>
      <c r="AD2001" s="316">
        <v>1</v>
      </c>
      <c r="AE2001" s="302">
        <f t="shared" si="111"/>
        <v>0.375</v>
      </c>
      <c r="AF2001" s="176"/>
      <c r="AG2001" s="17">
        <v>0</v>
      </c>
      <c r="AH2001" s="176">
        <v>0</v>
      </c>
      <c r="AI2001" s="176">
        <v>0</v>
      </c>
      <c r="AJ2001" s="176">
        <v>0</v>
      </c>
      <c r="AK2001" s="177">
        <v>0</v>
      </c>
      <c r="AL2001" s="177">
        <v>0</v>
      </c>
      <c r="AM2001" s="17">
        <f t="shared" si="112"/>
        <v>0</v>
      </c>
      <c r="AN2001" s="18" t="s">
        <v>63</v>
      </c>
      <c r="AO2001" s="18" t="s">
        <v>2510</v>
      </c>
      <c r="AP2001" s="18" t="s">
        <v>6519</v>
      </c>
    </row>
    <row r="2002" spans="1:42" s="18" customFormat="1" hidden="1" x14ac:dyDescent="0.3">
      <c r="A2002" s="18" t="s">
        <v>1454</v>
      </c>
      <c r="B2002" s="18" t="s">
        <v>6438</v>
      </c>
      <c r="C2002" s="18">
        <v>101</v>
      </c>
      <c r="D2002" s="283" t="s">
        <v>6440</v>
      </c>
      <c r="E2002" s="18" t="s">
        <v>6557</v>
      </c>
      <c r="F2002" s="18" t="s">
        <v>6558</v>
      </c>
      <c r="G2002" s="156" t="s">
        <v>6581</v>
      </c>
      <c r="H2002" s="18" t="s">
        <v>6582</v>
      </c>
      <c r="K2002" s="156" t="s">
        <v>6583</v>
      </c>
      <c r="L2002" s="18" t="s">
        <v>6584</v>
      </c>
      <c r="M2002" s="18" t="s">
        <v>6585</v>
      </c>
      <c r="N2002" s="16"/>
      <c r="O2002" s="16"/>
      <c r="P2002" s="16"/>
      <c r="Q2002" s="16"/>
      <c r="R2002" s="16"/>
      <c r="S2002" s="16"/>
      <c r="U2002" s="283" t="e">
        <v>#N/A</v>
      </c>
      <c r="V2002" s="18" t="s">
        <v>6610</v>
      </c>
      <c r="W2002" s="18">
        <v>0</v>
      </c>
      <c r="X2002" s="18">
        <v>1</v>
      </c>
      <c r="Y2002" s="18">
        <v>0</v>
      </c>
      <c r="Z2002" s="18">
        <v>0</v>
      </c>
      <c r="AA2002" s="18">
        <v>1</v>
      </c>
      <c r="AB2002" s="18">
        <v>1</v>
      </c>
      <c r="AC2002" s="316">
        <v>1</v>
      </c>
      <c r="AD2002" s="316">
        <v>1</v>
      </c>
      <c r="AE2002" s="302">
        <f t="shared" si="111"/>
        <v>0.625</v>
      </c>
      <c r="AF2002" s="176"/>
      <c r="AG2002" s="17">
        <v>0</v>
      </c>
      <c r="AH2002" s="176">
        <v>0</v>
      </c>
      <c r="AI2002" s="176">
        <v>0.5</v>
      </c>
      <c r="AJ2002" s="176">
        <v>1.5</v>
      </c>
      <c r="AK2002" s="177"/>
      <c r="AL2002" s="177"/>
      <c r="AM2002" s="17">
        <f t="shared" si="112"/>
        <v>0</v>
      </c>
      <c r="AN2002" s="18" t="s">
        <v>63</v>
      </c>
      <c r="AO2002" s="18" t="s">
        <v>2510</v>
      </c>
      <c r="AP2002" s="18" t="s">
        <v>6611</v>
      </c>
    </row>
    <row r="2003" spans="1:42" s="18" customFormat="1" hidden="1" x14ac:dyDescent="0.3">
      <c r="A2003" s="18" t="s">
        <v>1454</v>
      </c>
      <c r="B2003" s="18" t="s">
        <v>6438</v>
      </c>
      <c r="C2003" s="18">
        <v>101</v>
      </c>
      <c r="D2003" s="283" t="s">
        <v>6440</v>
      </c>
      <c r="E2003" s="18" t="s">
        <v>6557</v>
      </c>
      <c r="F2003" s="18" t="s">
        <v>6558</v>
      </c>
      <c r="G2003" s="156" t="s">
        <v>6581</v>
      </c>
      <c r="H2003" s="18" t="s">
        <v>6582</v>
      </c>
      <c r="K2003" s="156" t="s">
        <v>6583</v>
      </c>
      <c r="L2003" s="18" t="s">
        <v>6584</v>
      </c>
      <c r="M2003" s="18" t="s">
        <v>6585</v>
      </c>
      <c r="N2003" s="16"/>
      <c r="O2003" s="16"/>
      <c r="P2003" s="16"/>
      <c r="Q2003" s="16"/>
      <c r="R2003" s="16"/>
      <c r="S2003" s="16"/>
      <c r="U2003" s="283" t="e">
        <v>#N/A</v>
      </c>
      <c r="V2003" s="18" t="s">
        <v>6612</v>
      </c>
      <c r="W2003" s="18">
        <v>0</v>
      </c>
      <c r="X2003" s="18">
        <v>0</v>
      </c>
      <c r="Y2003" s="18">
        <v>0</v>
      </c>
      <c r="Z2003" s="18">
        <v>1</v>
      </c>
      <c r="AA2003" s="18">
        <v>0</v>
      </c>
      <c r="AB2003" s="18">
        <v>0</v>
      </c>
      <c r="AC2003" s="316">
        <v>0</v>
      </c>
      <c r="AD2003" s="316">
        <v>1</v>
      </c>
      <c r="AE2003" s="302">
        <f t="shared" si="111"/>
        <v>0.25</v>
      </c>
      <c r="AF2003" s="176"/>
      <c r="AG2003" s="17">
        <v>0</v>
      </c>
      <c r="AH2003" s="176">
        <v>0</v>
      </c>
      <c r="AI2003" s="176">
        <v>2</v>
      </c>
      <c r="AJ2003" s="176">
        <v>2</v>
      </c>
      <c r="AK2003" s="177"/>
      <c r="AL2003" s="177"/>
      <c r="AM2003" s="17">
        <f t="shared" si="112"/>
        <v>0</v>
      </c>
      <c r="AN2003" s="18" t="s">
        <v>63</v>
      </c>
      <c r="AO2003" s="18" t="s">
        <v>2510</v>
      </c>
      <c r="AP2003" s="18" t="s">
        <v>119</v>
      </c>
    </row>
    <row r="2004" spans="1:42" s="18" customFormat="1" hidden="1" x14ac:dyDescent="0.3">
      <c r="A2004" s="18" t="s">
        <v>1454</v>
      </c>
      <c r="B2004" s="18" t="s">
        <v>6438</v>
      </c>
      <c r="C2004" s="18">
        <v>101</v>
      </c>
      <c r="D2004" s="283" t="s">
        <v>6440</v>
      </c>
      <c r="E2004" s="18" t="s">
        <v>6557</v>
      </c>
      <c r="F2004" s="18" t="s">
        <v>6558</v>
      </c>
      <c r="G2004" s="156" t="s">
        <v>6581</v>
      </c>
      <c r="H2004" s="18" t="s">
        <v>6582</v>
      </c>
      <c r="K2004" s="156" t="s">
        <v>6583</v>
      </c>
      <c r="L2004" s="18" t="s">
        <v>6584</v>
      </c>
      <c r="M2004" s="18" t="s">
        <v>6585</v>
      </c>
      <c r="N2004" s="16"/>
      <c r="O2004" s="16"/>
      <c r="P2004" s="16"/>
      <c r="Q2004" s="16"/>
      <c r="R2004" s="16"/>
      <c r="S2004" s="16"/>
      <c r="U2004" s="283" t="e">
        <v>#N/A</v>
      </c>
      <c r="V2004" s="18" t="s">
        <v>6613</v>
      </c>
      <c r="W2004" s="18">
        <v>1</v>
      </c>
      <c r="X2004" s="18">
        <v>1</v>
      </c>
      <c r="Y2004" s="18">
        <v>0</v>
      </c>
      <c r="Z2004" s="18">
        <v>1</v>
      </c>
      <c r="AA2004" s="18">
        <v>1</v>
      </c>
      <c r="AB2004" s="18">
        <v>0</v>
      </c>
      <c r="AC2004" s="316">
        <v>0</v>
      </c>
      <c r="AD2004" s="316">
        <v>1</v>
      </c>
      <c r="AE2004" s="302">
        <f t="shared" si="111"/>
        <v>0.625</v>
      </c>
      <c r="AF2004" s="176"/>
      <c r="AG2004" s="17">
        <v>0</v>
      </c>
      <c r="AH2004" s="176">
        <v>0</v>
      </c>
      <c r="AI2004" s="176">
        <v>0</v>
      </c>
      <c r="AJ2004" s="176">
        <v>0</v>
      </c>
      <c r="AK2004" s="177">
        <v>0.1</v>
      </c>
      <c r="AL2004" s="177">
        <v>0</v>
      </c>
      <c r="AM2004" s="17">
        <f t="shared" si="112"/>
        <v>0.1</v>
      </c>
      <c r="AN2004" s="18" t="s">
        <v>63</v>
      </c>
      <c r="AO2004" s="18" t="s">
        <v>2510</v>
      </c>
      <c r="AP2004" s="18" t="s">
        <v>119</v>
      </c>
    </row>
    <row r="2005" spans="1:42" s="18" customFormat="1" hidden="1" x14ac:dyDescent="0.3">
      <c r="A2005" s="18" t="s">
        <v>1454</v>
      </c>
      <c r="B2005" s="18" t="s">
        <v>6438</v>
      </c>
      <c r="C2005" s="18">
        <v>101</v>
      </c>
      <c r="D2005" s="283" t="s">
        <v>6440</v>
      </c>
      <c r="E2005" s="18" t="s">
        <v>6557</v>
      </c>
      <c r="F2005" s="18" t="s">
        <v>6558</v>
      </c>
      <c r="G2005" s="156" t="s">
        <v>6581</v>
      </c>
      <c r="H2005" s="18" t="s">
        <v>6582</v>
      </c>
      <c r="K2005" s="156" t="s">
        <v>6583</v>
      </c>
      <c r="L2005" s="18" t="s">
        <v>6584</v>
      </c>
      <c r="M2005" s="18" t="s">
        <v>6585</v>
      </c>
      <c r="N2005" s="16"/>
      <c r="O2005" s="16"/>
      <c r="P2005" s="16"/>
      <c r="Q2005" s="16"/>
      <c r="R2005" s="16"/>
      <c r="S2005" s="16"/>
      <c r="U2005" s="283" t="e">
        <v>#N/A</v>
      </c>
      <c r="V2005" s="18" t="s">
        <v>6614</v>
      </c>
      <c r="W2005" s="18">
        <v>0</v>
      </c>
      <c r="X2005" s="18">
        <v>0</v>
      </c>
      <c r="Y2005" s="18">
        <v>0</v>
      </c>
      <c r="Z2005" s="18">
        <v>2</v>
      </c>
      <c r="AA2005" s="18">
        <v>0</v>
      </c>
      <c r="AB2005" s="18">
        <v>0</v>
      </c>
      <c r="AC2005" s="316">
        <v>1</v>
      </c>
      <c r="AD2005" s="316">
        <v>1</v>
      </c>
      <c r="AE2005" s="302">
        <f t="shared" si="111"/>
        <v>0.5</v>
      </c>
      <c r="AF2005" s="176"/>
      <c r="AG2005" s="17">
        <v>0</v>
      </c>
      <c r="AH2005" s="176">
        <v>0</v>
      </c>
      <c r="AI2005" s="176">
        <v>0</v>
      </c>
      <c r="AJ2005" s="176">
        <v>0</v>
      </c>
      <c r="AK2005" s="177">
        <v>0</v>
      </c>
      <c r="AL2005" s="177">
        <v>0</v>
      </c>
      <c r="AM2005" s="17">
        <f t="shared" si="112"/>
        <v>0</v>
      </c>
      <c r="AN2005" s="18" t="s">
        <v>771</v>
      </c>
      <c r="AO2005" s="18" t="s">
        <v>773</v>
      </c>
      <c r="AP2005" s="18" t="s">
        <v>119</v>
      </c>
    </row>
    <row r="2006" spans="1:42" s="18" customFormat="1" hidden="1" x14ac:dyDescent="0.3">
      <c r="A2006" s="18" t="s">
        <v>1454</v>
      </c>
      <c r="B2006" s="18" t="s">
        <v>6438</v>
      </c>
      <c r="C2006" s="18">
        <v>101</v>
      </c>
      <c r="D2006" s="283" t="s">
        <v>6440</v>
      </c>
      <c r="E2006" s="18" t="s">
        <v>6557</v>
      </c>
      <c r="F2006" s="18" t="s">
        <v>6558</v>
      </c>
      <c r="G2006" s="156" t="s">
        <v>6581</v>
      </c>
      <c r="H2006" s="18" t="s">
        <v>6582</v>
      </c>
      <c r="K2006" s="156" t="s">
        <v>6583</v>
      </c>
      <c r="L2006" s="18" t="s">
        <v>6584</v>
      </c>
      <c r="M2006" s="18" t="s">
        <v>6585</v>
      </c>
      <c r="N2006" s="16"/>
      <c r="O2006" s="16"/>
      <c r="P2006" s="16"/>
      <c r="Q2006" s="16"/>
      <c r="R2006" s="16"/>
      <c r="S2006" s="16"/>
      <c r="U2006" s="283" t="e">
        <v>#N/A</v>
      </c>
      <c r="V2006" s="18" t="s">
        <v>6615</v>
      </c>
      <c r="W2006" s="18">
        <v>0</v>
      </c>
      <c r="X2006" s="18">
        <v>0</v>
      </c>
      <c r="Y2006" s="18">
        <v>0</v>
      </c>
      <c r="Z2006" s="18">
        <v>1</v>
      </c>
      <c r="AA2006" s="18">
        <v>0</v>
      </c>
      <c r="AB2006" s="18">
        <v>0</v>
      </c>
      <c r="AC2006" s="316">
        <v>0</v>
      </c>
      <c r="AD2006" s="316">
        <v>1</v>
      </c>
      <c r="AE2006" s="302">
        <f t="shared" si="111"/>
        <v>0.25</v>
      </c>
      <c r="AF2006" s="176"/>
      <c r="AG2006" s="17">
        <v>0</v>
      </c>
      <c r="AH2006" s="176">
        <v>0</v>
      </c>
      <c r="AI2006" s="176">
        <v>0</v>
      </c>
      <c r="AJ2006" s="176">
        <v>0</v>
      </c>
      <c r="AK2006" s="177">
        <v>0</v>
      </c>
      <c r="AL2006" s="177">
        <v>0</v>
      </c>
      <c r="AM2006" s="17">
        <f t="shared" si="112"/>
        <v>0</v>
      </c>
      <c r="AN2006" s="18" t="s">
        <v>771</v>
      </c>
      <c r="AO2006" s="18" t="s">
        <v>773</v>
      </c>
      <c r="AP2006" s="18" t="s">
        <v>119</v>
      </c>
    </row>
    <row r="2007" spans="1:42" s="18" customFormat="1" hidden="1" x14ac:dyDescent="0.3">
      <c r="A2007" s="18" t="s">
        <v>1454</v>
      </c>
      <c r="B2007" s="18" t="s">
        <v>6438</v>
      </c>
      <c r="C2007" s="18">
        <v>101</v>
      </c>
      <c r="D2007" s="283" t="s">
        <v>6440</v>
      </c>
      <c r="E2007" s="18" t="s">
        <v>6557</v>
      </c>
      <c r="F2007" s="18" t="s">
        <v>6558</v>
      </c>
      <c r="G2007" s="156" t="s">
        <v>6581</v>
      </c>
      <c r="H2007" s="18" t="s">
        <v>6582</v>
      </c>
      <c r="K2007" s="156" t="s">
        <v>6583</v>
      </c>
      <c r="L2007" s="18" t="s">
        <v>6584</v>
      </c>
      <c r="M2007" s="18" t="s">
        <v>6585</v>
      </c>
      <c r="N2007" s="16"/>
      <c r="O2007" s="16"/>
      <c r="P2007" s="16"/>
      <c r="Q2007" s="16"/>
      <c r="R2007" s="16"/>
      <c r="S2007" s="16"/>
      <c r="U2007" s="283" t="e">
        <v>#N/A</v>
      </c>
      <c r="V2007" s="18" t="s">
        <v>6616</v>
      </c>
      <c r="W2007" s="18">
        <v>0</v>
      </c>
      <c r="X2007" s="18">
        <v>0</v>
      </c>
      <c r="Y2007" s="18">
        <v>0</v>
      </c>
      <c r="Z2007" s="18">
        <v>1</v>
      </c>
      <c r="AA2007" s="18">
        <v>0</v>
      </c>
      <c r="AB2007" s="18">
        <v>0</v>
      </c>
      <c r="AC2007" s="316">
        <v>0</v>
      </c>
      <c r="AD2007" s="316">
        <v>1</v>
      </c>
      <c r="AE2007" s="302">
        <f t="shared" si="111"/>
        <v>0.25</v>
      </c>
      <c r="AF2007" s="176"/>
      <c r="AG2007" s="17">
        <v>0</v>
      </c>
      <c r="AH2007" s="176">
        <v>0</v>
      </c>
      <c r="AI2007" s="176">
        <v>0</v>
      </c>
      <c r="AJ2007" s="176">
        <v>0</v>
      </c>
      <c r="AK2007" s="177">
        <v>0</v>
      </c>
      <c r="AL2007" s="177">
        <v>0</v>
      </c>
      <c r="AM2007" s="17">
        <f t="shared" si="112"/>
        <v>0</v>
      </c>
      <c r="AN2007" s="18" t="s">
        <v>771</v>
      </c>
      <c r="AO2007" s="18" t="s">
        <v>773</v>
      </c>
      <c r="AP2007" s="18" t="s">
        <v>119</v>
      </c>
    </row>
    <row r="2008" spans="1:42" s="18" customFormat="1" hidden="1" x14ac:dyDescent="0.3">
      <c r="A2008" s="18" t="s">
        <v>1454</v>
      </c>
      <c r="B2008" s="18" t="s">
        <v>6438</v>
      </c>
      <c r="C2008" s="18">
        <v>101</v>
      </c>
      <c r="D2008" s="283" t="s">
        <v>6440</v>
      </c>
      <c r="E2008" s="18" t="s">
        <v>6557</v>
      </c>
      <c r="F2008" s="18" t="s">
        <v>6558</v>
      </c>
      <c r="G2008" s="156" t="s">
        <v>6581</v>
      </c>
      <c r="H2008" s="18" t="s">
        <v>6582</v>
      </c>
      <c r="K2008" s="156" t="s">
        <v>6583</v>
      </c>
      <c r="L2008" s="18" t="s">
        <v>6584</v>
      </c>
      <c r="M2008" s="18" t="s">
        <v>6585</v>
      </c>
      <c r="N2008" s="16"/>
      <c r="O2008" s="16"/>
      <c r="P2008" s="16"/>
      <c r="Q2008" s="16"/>
      <c r="R2008" s="16"/>
      <c r="S2008" s="16"/>
      <c r="U2008" s="283" t="e">
        <v>#N/A</v>
      </c>
      <c r="V2008" s="18" t="s">
        <v>6617</v>
      </c>
      <c r="W2008" s="18">
        <v>0</v>
      </c>
      <c r="X2008" s="18">
        <v>1</v>
      </c>
      <c r="Y2008" s="18">
        <v>0</v>
      </c>
      <c r="Z2008" s="18">
        <v>1</v>
      </c>
      <c r="AA2008" s="18">
        <v>0</v>
      </c>
      <c r="AB2008" s="18">
        <v>0</v>
      </c>
      <c r="AC2008" s="316">
        <v>0</v>
      </c>
      <c r="AD2008" s="316">
        <v>1</v>
      </c>
      <c r="AE2008" s="302">
        <f t="shared" si="111"/>
        <v>0.375</v>
      </c>
      <c r="AF2008" s="176"/>
      <c r="AG2008" s="17">
        <v>0</v>
      </c>
      <c r="AH2008" s="176">
        <v>0</v>
      </c>
      <c r="AI2008" s="176">
        <v>0</v>
      </c>
      <c r="AJ2008" s="176">
        <v>0</v>
      </c>
      <c r="AK2008" s="177">
        <v>0</v>
      </c>
      <c r="AL2008" s="177">
        <v>0</v>
      </c>
      <c r="AM2008" s="17">
        <f t="shared" si="112"/>
        <v>0</v>
      </c>
      <c r="AN2008" s="18" t="s">
        <v>771</v>
      </c>
      <c r="AO2008" s="18" t="s">
        <v>773</v>
      </c>
      <c r="AP2008" s="18" t="s">
        <v>6618</v>
      </c>
    </row>
    <row r="2009" spans="1:42" s="18" customFormat="1" x14ac:dyDescent="0.3">
      <c r="A2009" s="18" t="s">
        <v>1454</v>
      </c>
      <c r="B2009" s="18" t="s">
        <v>6438</v>
      </c>
      <c r="C2009" s="18">
        <v>101</v>
      </c>
      <c r="D2009" s="283" t="s">
        <v>6440</v>
      </c>
      <c r="E2009" s="18" t="s">
        <v>6557</v>
      </c>
      <c r="F2009" s="18" t="s">
        <v>6558</v>
      </c>
      <c r="G2009" s="156" t="s">
        <v>6619</v>
      </c>
      <c r="H2009" s="157" t="s">
        <v>6620</v>
      </c>
      <c r="K2009" s="156" t="s">
        <v>6621</v>
      </c>
      <c r="L2009" s="18" t="s">
        <v>6622</v>
      </c>
      <c r="M2009" s="18" t="s">
        <v>6623</v>
      </c>
      <c r="N2009" s="16">
        <v>0</v>
      </c>
      <c r="O2009" s="16">
        <v>300</v>
      </c>
      <c r="P2009" s="16">
        <v>300</v>
      </c>
      <c r="Q2009" s="16">
        <v>500</v>
      </c>
      <c r="R2009" s="16">
        <v>300</v>
      </c>
      <c r="S2009" s="16">
        <v>100</v>
      </c>
      <c r="T2009" s="18" t="s">
        <v>570</v>
      </c>
      <c r="U2009" s="283" t="s">
        <v>2875</v>
      </c>
      <c r="V2009" s="18" t="s">
        <v>6624</v>
      </c>
      <c r="W2009" s="18">
        <v>1</v>
      </c>
      <c r="X2009" s="18">
        <v>1</v>
      </c>
      <c r="Y2009" s="18">
        <v>0</v>
      </c>
      <c r="Z2009" s="18">
        <v>1</v>
      </c>
      <c r="AA2009" s="18">
        <v>1</v>
      </c>
      <c r="AB2009" s="18">
        <v>1</v>
      </c>
      <c r="AC2009" s="316">
        <v>0</v>
      </c>
      <c r="AD2009" s="316">
        <v>1</v>
      </c>
      <c r="AE2009" s="302">
        <f t="shared" si="111"/>
        <v>0.75</v>
      </c>
      <c r="AF2009" s="176"/>
      <c r="AG2009" s="17">
        <v>0</v>
      </c>
      <c r="AH2009" s="176">
        <v>0</v>
      </c>
      <c r="AI2009" s="176">
        <v>0.5</v>
      </c>
      <c r="AJ2009" s="176">
        <v>0.1</v>
      </c>
      <c r="AK2009" s="177"/>
      <c r="AL2009" s="177"/>
      <c r="AM2009" s="17">
        <f t="shared" si="112"/>
        <v>0</v>
      </c>
      <c r="AN2009" s="18" t="s">
        <v>921</v>
      </c>
      <c r="AO2009" s="18" t="s">
        <v>880</v>
      </c>
      <c r="AP2009" s="18" t="s">
        <v>831</v>
      </c>
    </row>
    <row r="2010" spans="1:42" s="18" customFormat="1" x14ac:dyDescent="0.3">
      <c r="A2010" s="18" t="s">
        <v>1454</v>
      </c>
      <c r="B2010" s="18" t="s">
        <v>6438</v>
      </c>
      <c r="C2010" s="18">
        <v>101</v>
      </c>
      <c r="D2010" s="283" t="s">
        <v>6440</v>
      </c>
      <c r="E2010" s="18" t="s">
        <v>6557</v>
      </c>
      <c r="F2010" s="18" t="s">
        <v>6558</v>
      </c>
      <c r="G2010" s="156" t="s">
        <v>6619</v>
      </c>
      <c r="H2010" s="157" t="s">
        <v>6620</v>
      </c>
      <c r="K2010" s="156" t="s">
        <v>6625</v>
      </c>
      <c r="L2010" s="18" t="s">
        <v>6626</v>
      </c>
      <c r="M2010" s="18" t="s">
        <v>6627</v>
      </c>
      <c r="N2010" s="16">
        <v>1100</v>
      </c>
      <c r="O2010" s="16">
        <v>2300</v>
      </c>
      <c r="P2010" s="16">
        <v>3500</v>
      </c>
      <c r="Q2010" s="16">
        <v>4700</v>
      </c>
      <c r="R2010" s="16">
        <v>5900</v>
      </c>
      <c r="S2010" s="16">
        <v>7100</v>
      </c>
      <c r="T2010" s="18" t="s">
        <v>570</v>
      </c>
      <c r="U2010" s="283" t="s">
        <v>2875</v>
      </c>
      <c r="V2010" s="18" t="s">
        <v>6628</v>
      </c>
      <c r="W2010" s="18">
        <v>1</v>
      </c>
      <c r="X2010" s="18">
        <v>1</v>
      </c>
      <c r="Y2010" s="18">
        <v>0</v>
      </c>
      <c r="Z2010" s="18">
        <v>1</v>
      </c>
      <c r="AA2010" s="18">
        <v>1</v>
      </c>
      <c r="AB2010" s="18">
        <v>0</v>
      </c>
      <c r="AC2010" s="316">
        <v>1</v>
      </c>
      <c r="AD2010" s="316">
        <v>1</v>
      </c>
      <c r="AE2010" s="302">
        <f t="shared" si="111"/>
        <v>0.75</v>
      </c>
      <c r="AF2010" s="176"/>
      <c r="AG2010" s="17">
        <v>0</v>
      </c>
      <c r="AH2010" s="176">
        <v>0</v>
      </c>
      <c r="AI2010" s="176">
        <v>0.1</v>
      </c>
      <c r="AJ2010" s="176">
        <v>0.1</v>
      </c>
      <c r="AK2010" s="177"/>
      <c r="AL2010" s="177"/>
      <c r="AM2010" s="17">
        <f t="shared" si="112"/>
        <v>0</v>
      </c>
      <c r="AN2010" s="18" t="s">
        <v>921</v>
      </c>
      <c r="AO2010" s="18" t="s">
        <v>880</v>
      </c>
      <c r="AP2010" s="18" t="s">
        <v>119</v>
      </c>
    </row>
    <row r="2011" spans="1:42" s="18" customFormat="1" x14ac:dyDescent="0.3">
      <c r="A2011" s="18" t="s">
        <v>1454</v>
      </c>
      <c r="B2011" s="18" t="s">
        <v>6438</v>
      </c>
      <c r="C2011" s="18">
        <v>101</v>
      </c>
      <c r="D2011" s="283" t="s">
        <v>6440</v>
      </c>
      <c r="E2011" s="18" t="s">
        <v>6557</v>
      </c>
      <c r="F2011" s="18" t="s">
        <v>6558</v>
      </c>
      <c r="G2011" s="156" t="s">
        <v>6619</v>
      </c>
      <c r="H2011" s="157" t="s">
        <v>6620</v>
      </c>
      <c r="K2011" s="156" t="s">
        <v>6625</v>
      </c>
      <c r="L2011" s="18" t="s">
        <v>6626</v>
      </c>
      <c r="M2011" s="18" t="s">
        <v>6627</v>
      </c>
      <c r="N2011" s="16"/>
      <c r="O2011" s="16"/>
      <c r="P2011" s="16"/>
      <c r="Q2011" s="16"/>
      <c r="R2011" s="16"/>
      <c r="S2011" s="16"/>
      <c r="U2011" s="283" t="e">
        <v>#N/A</v>
      </c>
      <c r="V2011" s="18" t="s">
        <v>6629</v>
      </c>
      <c r="W2011" s="18">
        <v>1</v>
      </c>
      <c r="X2011" s="18">
        <v>1</v>
      </c>
      <c r="Y2011" s="18">
        <v>1</v>
      </c>
      <c r="Z2011" s="18">
        <v>0</v>
      </c>
      <c r="AA2011" s="18">
        <v>1</v>
      </c>
      <c r="AB2011" s="18">
        <v>1</v>
      </c>
      <c r="AC2011" s="316">
        <v>1</v>
      </c>
      <c r="AD2011" s="316">
        <v>1</v>
      </c>
      <c r="AE2011" s="302">
        <f t="shared" si="111"/>
        <v>0.875</v>
      </c>
      <c r="AF2011" s="176"/>
      <c r="AG2011" s="17">
        <v>0</v>
      </c>
      <c r="AH2011" s="176">
        <v>0.1</v>
      </c>
      <c r="AI2011" s="176">
        <v>0.2</v>
      </c>
      <c r="AJ2011" s="176">
        <v>0.2</v>
      </c>
      <c r="AK2011" s="177"/>
      <c r="AL2011" s="177">
        <v>0.1</v>
      </c>
      <c r="AM2011" s="17">
        <f t="shared" si="112"/>
        <v>0.1</v>
      </c>
      <c r="AN2011" s="18" t="s">
        <v>921</v>
      </c>
      <c r="AO2011" s="18" t="s">
        <v>880</v>
      </c>
      <c r="AP2011" s="18" t="s">
        <v>119</v>
      </c>
    </row>
    <row r="2012" spans="1:42" s="18" customFormat="1" x14ac:dyDescent="0.3">
      <c r="A2012" s="18" t="s">
        <v>1454</v>
      </c>
      <c r="B2012" s="18" t="s">
        <v>6438</v>
      </c>
      <c r="C2012" s="18">
        <v>101</v>
      </c>
      <c r="D2012" s="283" t="s">
        <v>6440</v>
      </c>
      <c r="E2012" s="18" t="s">
        <v>6557</v>
      </c>
      <c r="F2012" s="18" t="s">
        <v>6558</v>
      </c>
      <c r="G2012" s="156" t="s">
        <v>6619</v>
      </c>
      <c r="H2012" s="157" t="s">
        <v>6620</v>
      </c>
      <c r="K2012" s="156" t="s">
        <v>6625</v>
      </c>
      <c r="L2012" s="18" t="s">
        <v>6626</v>
      </c>
      <c r="M2012" s="18" t="s">
        <v>6627</v>
      </c>
      <c r="N2012" s="16"/>
      <c r="O2012" s="16"/>
      <c r="P2012" s="16"/>
      <c r="Q2012" s="16"/>
      <c r="R2012" s="16"/>
      <c r="S2012" s="16"/>
      <c r="U2012" s="283" t="e">
        <v>#N/A</v>
      </c>
      <c r="V2012" s="18" t="s">
        <v>6630</v>
      </c>
      <c r="W2012" s="18">
        <v>1</v>
      </c>
      <c r="X2012" s="18">
        <v>0</v>
      </c>
      <c r="Y2012" s="18">
        <v>0</v>
      </c>
      <c r="Z2012" s="18">
        <v>1</v>
      </c>
      <c r="AA2012" s="18">
        <v>1</v>
      </c>
      <c r="AB2012" s="18">
        <v>1</v>
      </c>
      <c r="AC2012" s="316">
        <v>1</v>
      </c>
      <c r="AD2012" s="316">
        <v>1</v>
      </c>
      <c r="AE2012" s="302">
        <f t="shared" si="111"/>
        <v>0.75</v>
      </c>
      <c r="AF2012" s="176"/>
      <c r="AG2012" s="17">
        <v>0</v>
      </c>
      <c r="AH2012" s="176">
        <v>0</v>
      </c>
      <c r="AI2012" s="176">
        <v>0</v>
      </c>
      <c r="AJ2012" s="176">
        <v>0</v>
      </c>
      <c r="AK2012" s="177">
        <v>3</v>
      </c>
      <c r="AL2012" s="177">
        <v>2</v>
      </c>
      <c r="AM2012" s="17">
        <f t="shared" si="112"/>
        <v>5</v>
      </c>
      <c r="AN2012" s="18" t="s">
        <v>570</v>
      </c>
      <c r="AO2012" s="18" t="s">
        <v>2875</v>
      </c>
      <c r="AP2012" s="18" t="s">
        <v>921</v>
      </c>
    </row>
    <row r="2013" spans="1:42" s="18" customFormat="1" hidden="1" x14ac:dyDescent="0.3">
      <c r="A2013" s="18" t="s">
        <v>1454</v>
      </c>
      <c r="B2013" s="18" t="s">
        <v>6438</v>
      </c>
      <c r="C2013" s="18">
        <v>101</v>
      </c>
      <c r="D2013" s="283" t="s">
        <v>6440</v>
      </c>
      <c r="E2013" s="18" t="s">
        <v>6557</v>
      </c>
      <c r="F2013" s="18" t="s">
        <v>6558</v>
      </c>
      <c r="G2013" s="156" t="s">
        <v>6619</v>
      </c>
      <c r="H2013" s="157" t="s">
        <v>6620</v>
      </c>
      <c r="K2013" s="156" t="s">
        <v>6625</v>
      </c>
      <c r="L2013" s="18" t="s">
        <v>6626</v>
      </c>
      <c r="M2013" s="18" t="s">
        <v>6627</v>
      </c>
      <c r="N2013" s="16"/>
      <c r="O2013" s="16"/>
      <c r="P2013" s="16"/>
      <c r="Q2013" s="16"/>
      <c r="R2013" s="16"/>
      <c r="S2013" s="16"/>
      <c r="U2013" s="283" t="e">
        <v>#N/A</v>
      </c>
      <c r="V2013" s="18" t="s">
        <v>6631</v>
      </c>
      <c r="W2013" s="18">
        <v>1</v>
      </c>
      <c r="X2013" s="18">
        <v>1</v>
      </c>
      <c r="Y2013" s="18">
        <v>0</v>
      </c>
      <c r="Z2013" s="18">
        <v>0</v>
      </c>
      <c r="AA2013" s="18">
        <v>1</v>
      </c>
      <c r="AB2013" s="18">
        <v>1</v>
      </c>
      <c r="AC2013" s="316">
        <v>0</v>
      </c>
      <c r="AD2013" s="316">
        <v>1</v>
      </c>
      <c r="AE2013" s="302">
        <f t="shared" si="111"/>
        <v>0.625</v>
      </c>
      <c r="AF2013" s="176"/>
      <c r="AG2013" s="17">
        <v>0</v>
      </c>
      <c r="AH2013" s="176">
        <v>152.91920129850541</v>
      </c>
      <c r="AI2013" s="176">
        <v>152.91920129850541</v>
      </c>
      <c r="AJ2013" s="176">
        <v>177.66447529360846</v>
      </c>
      <c r="AK2013" s="177">
        <v>0</v>
      </c>
      <c r="AL2013" s="177">
        <v>0</v>
      </c>
      <c r="AM2013" s="17">
        <f t="shared" si="112"/>
        <v>0</v>
      </c>
      <c r="AN2013" s="18" t="s">
        <v>570</v>
      </c>
      <c r="AO2013" s="18" t="s">
        <v>2875</v>
      </c>
      <c r="AP2013" s="18" t="s">
        <v>921</v>
      </c>
    </row>
    <row r="2014" spans="1:42" s="18" customFormat="1" x14ac:dyDescent="0.3">
      <c r="A2014" s="18" t="s">
        <v>1454</v>
      </c>
      <c r="B2014" s="18" t="s">
        <v>6438</v>
      </c>
      <c r="C2014" s="18">
        <v>101</v>
      </c>
      <c r="D2014" s="283" t="s">
        <v>6440</v>
      </c>
      <c r="E2014" s="18" t="s">
        <v>6557</v>
      </c>
      <c r="F2014" s="18" t="s">
        <v>6558</v>
      </c>
      <c r="G2014" s="156" t="s">
        <v>6619</v>
      </c>
      <c r="H2014" s="157" t="s">
        <v>6620</v>
      </c>
      <c r="K2014" s="156" t="s">
        <v>6625</v>
      </c>
      <c r="L2014" s="18" t="s">
        <v>6626</v>
      </c>
      <c r="M2014" s="18" t="s">
        <v>6627</v>
      </c>
      <c r="N2014" s="16"/>
      <c r="O2014" s="16"/>
      <c r="P2014" s="16"/>
      <c r="Q2014" s="16"/>
      <c r="R2014" s="16"/>
      <c r="S2014" s="16"/>
      <c r="U2014" s="283" t="e">
        <v>#N/A</v>
      </c>
      <c r="V2014" s="18" t="s">
        <v>6632</v>
      </c>
      <c r="W2014" s="18">
        <v>1</v>
      </c>
      <c r="X2014" s="18">
        <v>1</v>
      </c>
      <c r="Y2014" s="18">
        <v>0</v>
      </c>
      <c r="Z2014" s="18">
        <v>0</v>
      </c>
      <c r="AA2014" s="18">
        <v>1</v>
      </c>
      <c r="AB2014" s="18">
        <v>1</v>
      </c>
      <c r="AC2014" s="316">
        <v>1</v>
      </c>
      <c r="AD2014" s="316">
        <v>1</v>
      </c>
      <c r="AE2014" s="302">
        <f t="shared" si="111"/>
        <v>0.75</v>
      </c>
      <c r="AF2014" s="176"/>
      <c r="AG2014" s="17">
        <v>0</v>
      </c>
      <c r="AH2014" s="176">
        <v>0</v>
      </c>
      <c r="AI2014" s="176">
        <v>1</v>
      </c>
      <c r="AJ2014" s="176">
        <v>0.2</v>
      </c>
      <c r="AK2014" s="177"/>
      <c r="AL2014" s="177"/>
      <c r="AM2014" s="17">
        <f t="shared" si="112"/>
        <v>0</v>
      </c>
      <c r="AN2014" s="18" t="s">
        <v>570</v>
      </c>
      <c r="AO2014" s="18" t="s">
        <v>2875</v>
      </c>
      <c r="AP2014" s="18" t="s">
        <v>921</v>
      </c>
    </row>
    <row r="2015" spans="1:42" s="18" customFormat="1" x14ac:dyDescent="0.3">
      <c r="A2015" s="18" t="s">
        <v>1454</v>
      </c>
      <c r="B2015" s="18" t="s">
        <v>6438</v>
      </c>
      <c r="C2015" s="18">
        <v>101</v>
      </c>
      <c r="D2015" s="283" t="s">
        <v>6440</v>
      </c>
      <c r="E2015" s="18" t="s">
        <v>6557</v>
      </c>
      <c r="F2015" s="18" t="s">
        <v>6558</v>
      </c>
      <c r="G2015" s="156" t="s">
        <v>6619</v>
      </c>
      <c r="H2015" s="157" t="s">
        <v>6620</v>
      </c>
      <c r="K2015" s="156" t="s">
        <v>6625</v>
      </c>
      <c r="L2015" s="18" t="s">
        <v>6626</v>
      </c>
      <c r="M2015" s="18" t="s">
        <v>6627</v>
      </c>
      <c r="N2015" s="16"/>
      <c r="O2015" s="16"/>
      <c r="P2015" s="16"/>
      <c r="Q2015" s="16"/>
      <c r="R2015" s="16"/>
      <c r="S2015" s="16"/>
      <c r="U2015" s="283" t="e">
        <v>#N/A</v>
      </c>
      <c r="V2015" s="18" t="s">
        <v>6633</v>
      </c>
      <c r="W2015" s="18">
        <v>1</v>
      </c>
      <c r="X2015" s="18">
        <v>1</v>
      </c>
      <c r="Y2015" s="18">
        <v>0</v>
      </c>
      <c r="Z2015" s="18">
        <v>1</v>
      </c>
      <c r="AA2015" s="18">
        <v>1</v>
      </c>
      <c r="AB2015" s="18">
        <v>1</v>
      </c>
      <c r="AC2015" s="316">
        <v>0</v>
      </c>
      <c r="AD2015" s="316">
        <v>1</v>
      </c>
      <c r="AE2015" s="302">
        <f t="shared" si="111"/>
        <v>0.75</v>
      </c>
      <c r="AF2015" s="176"/>
      <c r="AG2015" s="17">
        <v>0</v>
      </c>
      <c r="AH2015" s="176">
        <v>0</v>
      </c>
      <c r="AI2015" s="176">
        <v>0.3</v>
      </c>
      <c r="AJ2015" s="176">
        <v>0</v>
      </c>
      <c r="AK2015" s="177">
        <v>0</v>
      </c>
      <c r="AL2015" s="177"/>
      <c r="AM2015" s="17">
        <f t="shared" si="112"/>
        <v>0</v>
      </c>
      <c r="AN2015" s="18" t="s">
        <v>570</v>
      </c>
      <c r="AO2015" s="18" t="s">
        <v>2875</v>
      </c>
      <c r="AP2015" s="18" t="s">
        <v>6634</v>
      </c>
    </row>
    <row r="2016" spans="1:42" s="18" customFormat="1" hidden="1" x14ac:dyDescent="0.3">
      <c r="A2016" s="18" t="s">
        <v>1454</v>
      </c>
      <c r="B2016" s="18" t="s">
        <v>6438</v>
      </c>
      <c r="C2016" s="18">
        <v>101</v>
      </c>
      <c r="D2016" s="283" t="s">
        <v>6440</v>
      </c>
      <c r="E2016" s="18" t="s">
        <v>6557</v>
      </c>
      <c r="F2016" s="18" t="s">
        <v>6558</v>
      </c>
      <c r="G2016" s="156" t="s">
        <v>6619</v>
      </c>
      <c r="H2016" s="157" t="s">
        <v>6620</v>
      </c>
      <c r="K2016" s="156" t="s">
        <v>6625</v>
      </c>
      <c r="L2016" s="18" t="s">
        <v>6626</v>
      </c>
      <c r="M2016" s="18" t="s">
        <v>6627</v>
      </c>
      <c r="N2016" s="16"/>
      <c r="O2016" s="16"/>
      <c r="P2016" s="16"/>
      <c r="Q2016" s="16"/>
      <c r="R2016" s="16"/>
      <c r="S2016" s="16"/>
      <c r="U2016" s="283" t="e">
        <v>#N/A</v>
      </c>
      <c r="V2016" s="18" t="s">
        <v>6635</v>
      </c>
      <c r="W2016" s="18">
        <v>1</v>
      </c>
      <c r="X2016" s="18">
        <v>0</v>
      </c>
      <c r="Y2016" s="18">
        <v>0</v>
      </c>
      <c r="Z2016" s="18">
        <v>1</v>
      </c>
      <c r="AA2016" s="18">
        <v>1</v>
      </c>
      <c r="AB2016" s="18">
        <v>1</v>
      </c>
      <c r="AC2016" s="316">
        <v>0</v>
      </c>
      <c r="AD2016" s="316">
        <v>1</v>
      </c>
      <c r="AE2016" s="302">
        <f t="shared" si="111"/>
        <v>0.625</v>
      </c>
      <c r="AF2016" s="176"/>
      <c r="AG2016" s="17">
        <v>0</v>
      </c>
      <c r="AH2016" s="176">
        <v>0</v>
      </c>
      <c r="AI2016" s="176">
        <v>0</v>
      </c>
      <c r="AJ2016" s="176">
        <v>0.2</v>
      </c>
      <c r="AK2016" s="177">
        <v>0</v>
      </c>
      <c r="AL2016" s="177">
        <v>0</v>
      </c>
      <c r="AM2016" s="17">
        <f t="shared" si="112"/>
        <v>0</v>
      </c>
      <c r="AN2016" s="18" t="s">
        <v>570</v>
      </c>
      <c r="AO2016" s="18" t="s">
        <v>2875</v>
      </c>
      <c r="AP2016" s="18" t="s">
        <v>6636</v>
      </c>
    </row>
    <row r="2017" spans="1:42" s="18" customFormat="1" x14ac:dyDescent="0.3">
      <c r="A2017" s="18" t="s">
        <v>1454</v>
      </c>
      <c r="B2017" s="18" t="s">
        <v>6438</v>
      </c>
      <c r="C2017" s="18">
        <v>101</v>
      </c>
      <c r="D2017" s="283" t="s">
        <v>6440</v>
      </c>
      <c r="E2017" s="18" t="s">
        <v>6557</v>
      </c>
      <c r="F2017" s="18" t="s">
        <v>6558</v>
      </c>
      <c r="G2017" s="156" t="s">
        <v>6619</v>
      </c>
      <c r="H2017" s="157" t="s">
        <v>6620</v>
      </c>
      <c r="K2017" s="156" t="s">
        <v>6625</v>
      </c>
      <c r="L2017" s="18" t="s">
        <v>6626</v>
      </c>
      <c r="M2017" s="18" t="s">
        <v>6627</v>
      </c>
      <c r="N2017" s="16"/>
      <c r="O2017" s="16"/>
      <c r="P2017" s="16"/>
      <c r="Q2017" s="16"/>
      <c r="R2017" s="16"/>
      <c r="S2017" s="16"/>
      <c r="U2017" s="283" t="e">
        <v>#N/A</v>
      </c>
      <c r="V2017" s="18" t="s">
        <v>6637</v>
      </c>
      <c r="W2017" s="18">
        <v>1</v>
      </c>
      <c r="X2017" s="18">
        <v>1</v>
      </c>
      <c r="Y2017" s="18">
        <v>0</v>
      </c>
      <c r="Z2017" s="18">
        <v>1</v>
      </c>
      <c r="AA2017" s="18">
        <v>1</v>
      </c>
      <c r="AB2017" s="18">
        <v>1</v>
      </c>
      <c r="AC2017" s="316">
        <v>0</v>
      </c>
      <c r="AD2017" s="316">
        <v>1</v>
      </c>
      <c r="AE2017" s="302">
        <f t="shared" si="111"/>
        <v>0.75</v>
      </c>
      <c r="AF2017" s="176"/>
      <c r="AG2017" s="17">
        <v>0</v>
      </c>
      <c r="AH2017" s="176">
        <v>90</v>
      </c>
      <c r="AI2017" s="176">
        <v>90</v>
      </c>
      <c r="AJ2017" s="176">
        <v>90</v>
      </c>
      <c r="AK2017" s="177">
        <v>50</v>
      </c>
      <c r="AL2017" s="177">
        <v>50</v>
      </c>
      <c r="AM2017" s="17">
        <f t="shared" si="112"/>
        <v>100</v>
      </c>
      <c r="AN2017" s="18" t="s">
        <v>921</v>
      </c>
      <c r="AO2017" s="18" t="s">
        <v>880</v>
      </c>
      <c r="AP2017" s="18" t="s">
        <v>119</v>
      </c>
    </row>
    <row r="2018" spans="1:42" s="18" customFormat="1" hidden="1" x14ac:dyDescent="0.3">
      <c r="A2018" s="18" t="s">
        <v>1454</v>
      </c>
      <c r="B2018" s="18" t="s">
        <v>6438</v>
      </c>
      <c r="C2018" s="18">
        <v>101</v>
      </c>
      <c r="D2018" s="283" t="s">
        <v>6440</v>
      </c>
      <c r="E2018" s="18" t="s">
        <v>6557</v>
      </c>
      <c r="F2018" s="18" t="s">
        <v>6558</v>
      </c>
      <c r="G2018" s="156" t="s">
        <v>6638</v>
      </c>
      <c r="H2018" s="18" t="s">
        <v>6639</v>
      </c>
      <c r="K2018" s="156" t="s">
        <v>6640</v>
      </c>
      <c r="L2018" s="18" t="s">
        <v>6641</v>
      </c>
      <c r="M2018" s="18" t="s">
        <v>6642</v>
      </c>
      <c r="N2018" s="16">
        <v>0</v>
      </c>
      <c r="O2018" s="16">
        <v>0</v>
      </c>
      <c r="P2018" s="16">
        <v>2</v>
      </c>
      <c r="Q2018" s="16">
        <v>7</v>
      </c>
      <c r="R2018" s="16">
        <v>15</v>
      </c>
      <c r="S2018" s="16">
        <v>20</v>
      </c>
      <c r="T2018" s="18" t="s">
        <v>570</v>
      </c>
      <c r="U2018" s="283" t="s">
        <v>2875</v>
      </c>
      <c r="V2018" s="18" t="s">
        <v>6643</v>
      </c>
      <c r="W2018" s="18">
        <v>1</v>
      </c>
      <c r="X2018" s="18">
        <v>1</v>
      </c>
      <c r="Y2018" s="18">
        <v>1</v>
      </c>
      <c r="Z2018" s="18">
        <v>1</v>
      </c>
      <c r="AA2018" s="18">
        <v>0</v>
      </c>
      <c r="AB2018" s="18">
        <v>0</v>
      </c>
      <c r="AC2018" s="316">
        <v>0</v>
      </c>
      <c r="AD2018" s="316">
        <v>1</v>
      </c>
      <c r="AE2018" s="302">
        <f t="shared" si="111"/>
        <v>0.625</v>
      </c>
      <c r="AF2018" s="176"/>
      <c r="AG2018" s="17">
        <v>0</v>
      </c>
      <c r="AH2018" s="176">
        <v>0</v>
      </c>
      <c r="AI2018" s="176">
        <v>0</v>
      </c>
      <c r="AJ2018" s="176">
        <v>0</v>
      </c>
      <c r="AK2018" s="177">
        <v>0</v>
      </c>
      <c r="AL2018" s="177">
        <v>0</v>
      </c>
      <c r="AM2018" s="17">
        <f t="shared" si="112"/>
        <v>0</v>
      </c>
      <c r="AN2018" s="18" t="s">
        <v>570</v>
      </c>
      <c r="AO2018" s="18" t="s">
        <v>2875</v>
      </c>
      <c r="AP2018" s="18" t="s">
        <v>6596</v>
      </c>
    </row>
    <row r="2019" spans="1:42" s="18" customFormat="1" hidden="1" x14ac:dyDescent="0.3">
      <c r="A2019" s="18" t="s">
        <v>1454</v>
      </c>
      <c r="B2019" s="18" t="s">
        <v>6438</v>
      </c>
      <c r="C2019" s="18">
        <v>101</v>
      </c>
      <c r="D2019" s="283" t="s">
        <v>6440</v>
      </c>
      <c r="E2019" s="18" t="s">
        <v>6557</v>
      </c>
      <c r="F2019" s="18" t="s">
        <v>6558</v>
      </c>
      <c r="G2019" s="156" t="s">
        <v>6638</v>
      </c>
      <c r="H2019" s="18" t="s">
        <v>6639</v>
      </c>
      <c r="K2019" s="156" t="s">
        <v>6640</v>
      </c>
      <c r="L2019" s="18" t="s">
        <v>6641</v>
      </c>
      <c r="M2019" s="18" t="s">
        <v>6644</v>
      </c>
      <c r="N2019" s="16">
        <v>1100</v>
      </c>
      <c r="O2019" s="16">
        <v>1100</v>
      </c>
      <c r="P2019" s="16">
        <v>2300</v>
      </c>
      <c r="Q2019" s="16">
        <v>3500</v>
      </c>
      <c r="R2019" s="16">
        <v>4700</v>
      </c>
      <c r="S2019" s="16">
        <v>5900</v>
      </c>
      <c r="T2019" s="18" t="s">
        <v>570</v>
      </c>
      <c r="U2019" s="283" t="s">
        <v>2875</v>
      </c>
      <c r="V2019" s="18" t="s">
        <v>6645</v>
      </c>
      <c r="W2019" s="18">
        <v>1</v>
      </c>
      <c r="X2019" s="18">
        <v>1</v>
      </c>
      <c r="Y2019" s="18">
        <v>0</v>
      </c>
      <c r="Z2019" s="18">
        <v>0</v>
      </c>
      <c r="AA2019" s="18">
        <v>1</v>
      </c>
      <c r="AB2019" s="18">
        <v>0</v>
      </c>
      <c r="AC2019" s="316">
        <v>1</v>
      </c>
      <c r="AD2019" s="316">
        <v>1</v>
      </c>
      <c r="AE2019" s="302">
        <f t="shared" si="111"/>
        <v>0.625</v>
      </c>
      <c r="AF2019" s="176"/>
      <c r="AG2019" s="17">
        <v>0</v>
      </c>
      <c r="AH2019" s="176">
        <v>0</v>
      </c>
      <c r="AI2019" s="176">
        <v>0</v>
      </c>
      <c r="AJ2019" s="176">
        <v>0</v>
      </c>
      <c r="AK2019" s="177"/>
      <c r="AL2019" s="177"/>
      <c r="AM2019" s="17">
        <f t="shared" si="112"/>
        <v>0</v>
      </c>
      <c r="AN2019" s="18" t="s">
        <v>570</v>
      </c>
      <c r="AO2019" s="18" t="s">
        <v>2875</v>
      </c>
      <c r="AP2019" s="18" t="s">
        <v>6646</v>
      </c>
    </row>
    <row r="2020" spans="1:42" s="18" customFormat="1" hidden="1" x14ac:dyDescent="0.3">
      <c r="A2020" s="18" t="s">
        <v>1454</v>
      </c>
      <c r="B2020" s="18" t="s">
        <v>6438</v>
      </c>
      <c r="C2020" s="18">
        <v>101</v>
      </c>
      <c r="D2020" s="283" t="s">
        <v>6440</v>
      </c>
      <c r="E2020" s="18" t="s">
        <v>6557</v>
      </c>
      <c r="F2020" s="18" t="s">
        <v>6558</v>
      </c>
      <c r="G2020" s="156" t="s">
        <v>6638</v>
      </c>
      <c r="H2020" s="18" t="s">
        <v>6639</v>
      </c>
      <c r="K2020" s="156" t="s">
        <v>6640</v>
      </c>
      <c r="L2020" s="18" t="s">
        <v>6641</v>
      </c>
      <c r="M2020" s="18" t="s">
        <v>6644</v>
      </c>
      <c r="N2020" s="16"/>
      <c r="O2020" s="16"/>
      <c r="P2020" s="16"/>
      <c r="Q2020" s="16"/>
      <c r="R2020" s="16"/>
      <c r="S2020" s="16"/>
      <c r="U2020" s="283" t="e">
        <v>#N/A</v>
      </c>
      <c r="V2020" s="18" t="s">
        <v>6647</v>
      </c>
      <c r="W2020" s="18">
        <v>0</v>
      </c>
      <c r="X2020" s="18">
        <v>1</v>
      </c>
      <c r="Y2020" s="18">
        <v>0</v>
      </c>
      <c r="Z2020" s="18">
        <v>1</v>
      </c>
      <c r="AA2020" s="18">
        <v>0</v>
      </c>
      <c r="AB2020" s="18">
        <v>0</v>
      </c>
      <c r="AC2020" s="316">
        <v>1</v>
      </c>
      <c r="AD2020" s="316">
        <v>1</v>
      </c>
      <c r="AE2020" s="302">
        <f t="shared" si="111"/>
        <v>0.5</v>
      </c>
      <c r="AF2020" s="176"/>
      <c r="AG2020" s="17">
        <v>0</v>
      </c>
      <c r="AH2020" s="176">
        <v>0</v>
      </c>
      <c r="AI2020" s="176">
        <v>0</v>
      </c>
      <c r="AJ2020" s="176">
        <v>0</v>
      </c>
      <c r="AK2020" s="177">
        <v>0</v>
      </c>
      <c r="AL2020" s="177">
        <v>0</v>
      </c>
      <c r="AM2020" s="17">
        <f t="shared" si="112"/>
        <v>0</v>
      </c>
      <c r="AN2020" s="18" t="s">
        <v>570</v>
      </c>
      <c r="AO2020" s="18" t="s">
        <v>2875</v>
      </c>
      <c r="AP2020" s="18" t="s">
        <v>6648</v>
      </c>
    </row>
    <row r="2021" spans="1:42" s="18" customFormat="1" hidden="1" x14ac:dyDescent="0.3">
      <c r="A2021" s="18" t="s">
        <v>1454</v>
      </c>
      <c r="B2021" s="18" t="s">
        <v>6438</v>
      </c>
      <c r="C2021" s="18">
        <v>101</v>
      </c>
      <c r="D2021" s="283" t="s">
        <v>6440</v>
      </c>
      <c r="E2021" s="18" t="s">
        <v>6557</v>
      </c>
      <c r="F2021" s="18" t="s">
        <v>6558</v>
      </c>
      <c r="G2021" s="156" t="s">
        <v>6638</v>
      </c>
      <c r="H2021" s="18" t="s">
        <v>6639</v>
      </c>
      <c r="K2021" s="156" t="s">
        <v>6640</v>
      </c>
      <c r="L2021" s="18" t="s">
        <v>6641</v>
      </c>
      <c r="M2021" s="18" t="s">
        <v>6644</v>
      </c>
      <c r="N2021" s="16"/>
      <c r="O2021" s="16"/>
      <c r="P2021" s="16"/>
      <c r="Q2021" s="16"/>
      <c r="R2021" s="16"/>
      <c r="S2021" s="16"/>
      <c r="U2021" s="283" t="e">
        <v>#N/A</v>
      </c>
      <c r="V2021" s="18" t="s">
        <v>6649</v>
      </c>
      <c r="W2021" s="18">
        <v>1</v>
      </c>
      <c r="X2021" s="18">
        <v>0</v>
      </c>
      <c r="Y2021" s="18">
        <v>1</v>
      </c>
      <c r="Z2021" s="18">
        <v>0</v>
      </c>
      <c r="AA2021" s="18">
        <v>1</v>
      </c>
      <c r="AB2021" s="18">
        <v>1</v>
      </c>
      <c r="AC2021" s="316">
        <v>0</v>
      </c>
      <c r="AD2021" s="316">
        <v>1</v>
      </c>
      <c r="AE2021" s="302">
        <f t="shared" si="111"/>
        <v>0.625</v>
      </c>
      <c r="AF2021" s="176"/>
      <c r="AG2021" s="17">
        <v>0</v>
      </c>
      <c r="AH2021" s="176">
        <v>0.1</v>
      </c>
      <c r="AI2021" s="176">
        <v>0.1</v>
      </c>
      <c r="AJ2021" s="176">
        <v>0.1</v>
      </c>
      <c r="AK2021" s="177"/>
      <c r="AL2021" s="177"/>
      <c r="AM2021" s="17">
        <f t="shared" si="112"/>
        <v>0</v>
      </c>
      <c r="AN2021" s="18" t="s">
        <v>570</v>
      </c>
      <c r="AO2021" s="18" t="s">
        <v>2875</v>
      </c>
      <c r="AP2021" s="18" t="s">
        <v>6646</v>
      </c>
    </row>
    <row r="2022" spans="1:42" s="18" customFormat="1" x14ac:dyDescent="0.3">
      <c r="A2022" s="18" t="s">
        <v>1454</v>
      </c>
      <c r="B2022" s="18" t="s">
        <v>6438</v>
      </c>
      <c r="C2022" s="18">
        <v>101</v>
      </c>
      <c r="D2022" s="283" t="s">
        <v>6440</v>
      </c>
      <c r="E2022" s="18" t="s">
        <v>6557</v>
      </c>
      <c r="F2022" s="18" t="s">
        <v>6558</v>
      </c>
      <c r="G2022" s="156" t="s">
        <v>6638</v>
      </c>
      <c r="H2022" s="18" t="s">
        <v>6639</v>
      </c>
      <c r="K2022" s="156" t="s">
        <v>6640</v>
      </c>
      <c r="L2022" s="18" t="s">
        <v>6641</v>
      </c>
      <c r="M2022" s="18" t="s">
        <v>6644</v>
      </c>
      <c r="N2022" s="16"/>
      <c r="O2022" s="16"/>
      <c r="P2022" s="16"/>
      <c r="Q2022" s="16"/>
      <c r="R2022" s="16"/>
      <c r="S2022" s="16"/>
      <c r="U2022" s="283" t="e">
        <v>#N/A</v>
      </c>
      <c r="V2022" s="18" t="s">
        <v>6650</v>
      </c>
      <c r="W2022" s="18">
        <v>1</v>
      </c>
      <c r="X2022" s="18">
        <v>0</v>
      </c>
      <c r="Y2022" s="18">
        <v>1</v>
      </c>
      <c r="Z2022" s="18">
        <v>0</v>
      </c>
      <c r="AA2022" s="18">
        <v>1</v>
      </c>
      <c r="AB2022" s="18">
        <v>1</v>
      </c>
      <c r="AC2022" s="316">
        <v>1</v>
      </c>
      <c r="AD2022" s="316">
        <v>1</v>
      </c>
      <c r="AE2022" s="302">
        <f t="shared" si="111"/>
        <v>0.75</v>
      </c>
      <c r="AF2022" s="176"/>
      <c r="AG2022" s="17">
        <v>0</v>
      </c>
      <c r="AH2022" s="176">
        <v>0</v>
      </c>
      <c r="AI2022" s="176">
        <v>0</v>
      </c>
      <c r="AJ2022" s="176">
        <v>0</v>
      </c>
      <c r="AK2022" s="177">
        <v>23.45</v>
      </c>
      <c r="AL2022" s="177">
        <v>53.5</v>
      </c>
      <c r="AM2022" s="17">
        <f t="shared" si="112"/>
        <v>76.95</v>
      </c>
      <c r="AN2022" s="18" t="s">
        <v>570</v>
      </c>
      <c r="AO2022" s="18" t="s">
        <v>2875</v>
      </c>
      <c r="AP2022" s="18" t="s">
        <v>6651</v>
      </c>
    </row>
    <row r="2023" spans="1:42" s="18" customFormat="1" hidden="1" x14ac:dyDescent="0.3">
      <c r="A2023" s="18" t="s">
        <v>1454</v>
      </c>
      <c r="B2023" s="18" t="s">
        <v>6438</v>
      </c>
      <c r="C2023" s="18">
        <v>101</v>
      </c>
      <c r="D2023" s="283" t="s">
        <v>6440</v>
      </c>
      <c r="E2023" s="18" t="s">
        <v>6557</v>
      </c>
      <c r="F2023" s="18" t="s">
        <v>6558</v>
      </c>
      <c r="G2023" s="156" t="s">
        <v>6638</v>
      </c>
      <c r="H2023" s="18" t="s">
        <v>6639</v>
      </c>
      <c r="K2023" s="156" t="s">
        <v>6640</v>
      </c>
      <c r="L2023" s="18" t="s">
        <v>6641</v>
      </c>
      <c r="M2023" s="18" t="s">
        <v>6644</v>
      </c>
      <c r="N2023" s="16"/>
      <c r="O2023" s="16"/>
      <c r="P2023" s="16"/>
      <c r="Q2023" s="16"/>
      <c r="R2023" s="16"/>
      <c r="S2023" s="16"/>
      <c r="U2023" s="283" t="e">
        <v>#N/A</v>
      </c>
      <c r="V2023" s="18" t="s">
        <v>6652</v>
      </c>
      <c r="W2023" s="18">
        <v>1</v>
      </c>
      <c r="X2023" s="18">
        <v>0</v>
      </c>
      <c r="Y2023" s="18">
        <v>1</v>
      </c>
      <c r="Z2023" s="18">
        <v>0</v>
      </c>
      <c r="AA2023" s="18">
        <v>0</v>
      </c>
      <c r="AB2023" s="18">
        <v>0</v>
      </c>
      <c r="AC2023" s="316">
        <v>1</v>
      </c>
      <c r="AD2023" s="316">
        <v>1</v>
      </c>
      <c r="AE2023" s="302">
        <f t="shared" si="111"/>
        <v>0.5</v>
      </c>
      <c r="AF2023" s="176"/>
      <c r="AG2023" s="17">
        <v>0</v>
      </c>
      <c r="AH2023" s="176">
        <v>0.5</v>
      </c>
      <c r="AI2023" s="176">
        <v>0.5</v>
      </c>
      <c r="AJ2023" s="176">
        <v>0.5</v>
      </c>
      <c r="AK2023" s="177"/>
      <c r="AL2023" s="177"/>
      <c r="AM2023" s="17">
        <f t="shared" si="112"/>
        <v>0</v>
      </c>
      <c r="AN2023" s="18" t="s">
        <v>570</v>
      </c>
      <c r="AO2023" s="18" t="s">
        <v>2875</v>
      </c>
      <c r="AP2023" s="18" t="s">
        <v>6651</v>
      </c>
    </row>
    <row r="2024" spans="1:42" s="18" customFormat="1" hidden="1" x14ac:dyDescent="0.3">
      <c r="A2024" s="18" t="s">
        <v>1454</v>
      </c>
      <c r="B2024" s="18" t="s">
        <v>6438</v>
      </c>
      <c r="C2024" s="18">
        <v>101</v>
      </c>
      <c r="D2024" s="283" t="s">
        <v>6440</v>
      </c>
      <c r="E2024" s="18" t="s">
        <v>6557</v>
      </c>
      <c r="F2024" s="18" t="s">
        <v>6558</v>
      </c>
      <c r="G2024" s="156" t="s">
        <v>6653</v>
      </c>
      <c r="H2024" s="18" t="s">
        <v>6654</v>
      </c>
      <c r="K2024" s="156" t="s">
        <v>6655</v>
      </c>
      <c r="L2024" s="18" t="s">
        <v>6656</v>
      </c>
      <c r="M2024" s="18" t="s">
        <v>6657</v>
      </c>
      <c r="N2024" s="16">
        <v>0</v>
      </c>
      <c r="O2024" s="16">
        <v>3</v>
      </c>
      <c r="P2024" s="16">
        <v>8</v>
      </c>
      <c r="Q2024" s="16">
        <v>15</v>
      </c>
      <c r="R2024" s="16">
        <v>21</v>
      </c>
      <c r="S2024" s="16">
        <v>25</v>
      </c>
      <c r="T2024" s="18" t="s">
        <v>570</v>
      </c>
      <c r="U2024" s="283" t="s">
        <v>2875</v>
      </c>
      <c r="V2024" s="18" t="s">
        <v>6658</v>
      </c>
      <c r="W2024" s="18">
        <v>1</v>
      </c>
      <c r="X2024" s="18">
        <v>0</v>
      </c>
      <c r="Y2024" s="18">
        <v>1</v>
      </c>
      <c r="Z2024" s="18">
        <v>0</v>
      </c>
      <c r="AA2024" s="18">
        <v>0</v>
      </c>
      <c r="AB2024" s="18">
        <v>0</v>
      </c>
      <c r="AC2024" s="316">
        <v>0</v>
      </c>
      <c r="AD2024" s="316">
        <v>0</v>
      </c>
      <c r="AE2024" s="302">
        <f t="shared" si="111"/>
        <v>0.25</v>
      </c>
      <c r="AF2024" s="176"/>
      <c r="AG2024" s="17">
        <v>0</v>
      </c>
      <c r="AH2024" s="176">
        <v>0</v>
      </c>
      <c r="AI2024" s="176">
        <v>3</v>
      </c>
      <c r="AJ2024" s="176">
        <v>1</v>
      </c>
      <c r="AK2024" s="177">
        <v>0</v>
      </c>
      <c r="AL2024" s="177">
        <v>0</v>
      </c>
      <c r="AM2024" s="17">
        <f t="shared" si="112"/>
        <v>0</v>
      </c>
      <c r="AN2024" s="18" t="s">
        <v>570</v>
      </c>
      <c r="AO2024" s="18" t="s">
        <v>2875</v>
      </c>
      <c r="AP2024" s="18" t="s">
        <v>6565</v>
      </c>
    </row>
    <row r="2025" spans="1:42" s="18" customFormat="1" x14ac:dyDescent="0.3">
      <c r="A2025" s="18" t="s">
        <v>1454</v>
      </c>
      <c r="B2025" s="18" t="s">
        <v>6438</v>
      </c>
      <c r="C2025" s="18">
        <v>101</v>
      </c>
      <c r="D2025" s="283" t="s">
        <v>6440</v>
      </c>
      <c r="E2025" s="18" t="s">
        <v>6557</v>
      </c>
      <c r="F2025" s="18" t="s">
        <v>6558</v>
      </c>
      <c r="G2025" s="156" t="s">
        <v>6653</v>
      </c>
      <c r="H2025" s="18" t="s">
        <v>6654</v>
      </c>
      <c r="K2025" s="156" t="s">
        <v>6655</v>
      </c>
      <c r="L2025" s="18" t="s">
        <v>6659</v>
      </c>
      <c r="M2025" s="18" t="s">
        <v>6660</v>
      </c>
      <c r="N2025" s="16">
        <v>0</v>
      </c>
      <c r="O2025" s="16">
        <v>0</v>
      </c>
      <c r="P2025" s="16">
        <v>2</v>
      </c>
      <c r="Q2025" s="16">
        <v>5</v>
      </c>
      <c r="R2025" s="16">
        <v>10</v>
      </c>
      <c r="S2025" s="16">
        <v>15</v>
      </c>
      <c r="T2025" s="18" t="s">
        <v>570</v>
      </c>
      <c r="U2025" s="283" t="s">
        <v>2875</v>
      </c>
      <c r="V2025" s="18" t="s">
        <v>6661</v>
      </c>
      <c r="W2025" s="18">
        <v>1</v>
      </c>
      <c r="X2025" s="18">
        <v>1</v>
      </c>
      <c r="Y2025" s="18">
        <v>0</v>
      </c>
      <c r="Z2025" s="18">
        <v>1</v>
      </c>
      <c r="AA2025" s="18">
        <v>1</v>
      </c>
      <c r="AB2025" s="18">
        <v>1</v>
      </c>
      <c r="AC2025" s="316">
        <v>1</v>
      </c>
      <c r="AD2025" s="316">
        <v>1</v>
      </c>
      <c r="AE2025" s="302">
        <f t="shared" si="111"/>
        <v>0.875</v>
      </c>
      <c r="AF2025" s="176"/>
      <c r="AG2025" s="17">
        <v>0</v>
      </c>
      <c r="AH2025" s="176">
        <v>0</v>
      </c>
      <c r="AI2025" s="176">
        <v>0</v>
      </c>
      <c r="AJ2025" s="176">
        <v>3</v>
      </c>
      <c r="AK2025" s="177">
        <v>12</v>
      </c>
      <c r="AL2025" s="177">
        <v>10</v>
      </c>
      <c r="AM2025" s="17">
        <f t="shared" si="112"/>
        <v>22</v>
      </c>
      <c r="AN2025" s="18" t="s">
        <v>570</v>
      </c>
      <c r="AO2025" s="18" t="s">
        <v>2875</v>
      </c>
      <c r="AP2025" s="18" t="s">
        <v>6565</v>
      </c>
    </row>
    <row r="2026" spans="1:42" s="18" customFormat="1" hidden="1" x14ac:dyDescent="0.3">
      <c r="A2026" s="18" t="s">
        <v>1454</v>
      </c>
      <c r="B2026" s="18" t="s">
        <v>6438</v>
      </c>
      <c r="C2026" s="18">
        <v>101</v>
      </c>
      <c r="D2026" s="283" t="s">
        <v>6440</v>
      </c>
      <c r="E2026" s="18" t="s">
        <v>6557</v>
      </c>
      <c r="F2026" s="18" t="s">
        <v>6558</v>
      </c>
      <c r="G2026" s="156" t="s">
        <v>6653</v>
      </c>
      <c r="H2026" s="18" t="s">
        <v>6654</v>
      </c>
      <c r="K2026" s="156" t="s">
        <v>6655</v>
      </c>
      <c r="L2026" s="18" t="s">
        <v>6659</v>
      </c>
      <c r="M2026" s="18" t="s">
        <v>6660</v>
      </c>
      <c r="N2026" s="16"/>
      <c r="O2026" s="16"/>
      <c r="P2026" s="16"/>
      <c r="Q2026" s="16"/>
      <c r="R2026" s="16"/>
      <c r="S2026" s="16"/>
      <c r="U2026" s="283" t="e">
        <v>#N/A</v>
      </c>
      <c r="V2026" s="18" t="s">
        <v>6662</v>
      </c>
      <c r="W2026" s="18">
        <v>0</v>
      </c>
      <c r="X2026" s="18">
        <v>0</v>
      </c>
      <c r="Y2026" s="18">
        <v>0</v>
      </c>
      <c r="Z2026" s="18">
        <v>1</v>
      </c>
      <c r="AA2026" s="18">
        <v>1</v>
      </c>
      <c r="AB2026" s="18">
        <v>0</v>
      </c>
      <c r="AC2026" s="316">
        <v>1</v>
      </c>
      <c r="AD2026" s="316">
        <v>1</v>
      </c>
      <c r="AE2026" s="302">
        <f t="shared" si="111"/>
        <v>0.5</v>
      </c>
      <c r="AF2026" s="176"/>
      <c r="AG2026" s="17">
        <v>0</v>
      </c>
      <c r="AH2026" s="176">
        <v>0</v>
      </c>
      <c r="AI2026" s="176">
        <v>0.08</v>
      </c>
      <c r="AJ2026" s="176">
        <v>0.15</v>
      </c>
      <c r="AK2026" s="177"/>
      <c r="AL2026" s="177"/>
      <c r="AM2026" s="17">
        <f t="shared" si="112"/>
        <v>0</v>
      </c>
      <c r="AN2026" s="18" t="s">
        <v>570</v>
      </c>
      <c r="AO2026" s="18" t="s">
        <v>2875</v>
      </c>
      <c r="AP2026" s="18" t="s">
        <v>6577</v>
      </c>
    </row>
    <row r="2027" spans="1:42" s="18" customFormat="1" hidden="1" x14ac:dyDescent="0.3">
      <c r="A2027" s="18" t="s">
        <v>1454</v>
      </c>
      <c r="B2027" s="18" t="s">
        <v>6438</v>
      </c>
      <c r="C2027" s="18">
        <v>101</v>
      </c>
      <c r="D2027" s="283" t="s">
        <v>6440</v>
      </c>
      <c r="E2027" s="18" t="s">
        <v>6557</v>
      </c>
      <c r="F2027" s="18" t="s">
        <v>6558</v>
      </c>
      <c r="G2027" s="156" t="s">
        <v>6653</v>
      </c>
      <c r="H2027" s="18" t="s">
        <v>6654</v>
      </c>
      <c r="K2027" s="156" t="s">
        <v>6655</v>
      </c>
      <c r="L2027" s="18" t="s">
        <v>6659</v>
      </c>
      <c r="M2027" s="18" t="s">
        <v>6660</v>
      </c>
      <c r="N2027" s="16"/>
      <c r="O2027" s="16"/>
      <c r="P2027" s="16"/>
      <c r="Q2027" s="16"/>
      <c r="R2027" s="16"/>
      <c r="S2027" s="16"/>
      <c r="U2027" s="283" t="e">
        <v>#N/A</v>
      </c>
      <c r="V2027" s="18" t="s">
        <v>6663</v>
      </c>
      <c r="W2027" s="18">
        <v>0</v>
      </c>
      <c r="X2027" s="18">
        <v>0</v>
      </c>
      <c r="Y2027" s="18" t="s">
        <v>6664</v>
      </c>
      <c r="Z2027" s="18">
        <v>1</v>
      </c>
      <c r="AA2027" s="18">
        <v>0</v>
      </c>
      <c r="AB2027" s="18">
        <v>0</v>
      </c>
      <c r="AC2027" s="316">
        <v>0</v>
      </c>
      <c r="AD2027" s="316">
        <v>0</v>
      </c>
      <c r="AE2027" s="302">
        <f t="shared" si="111"/>
        <v>0.125</v>
      </c>
      <c r="AF2027" s="176"/>
      <c r="AG2027" s="17">
        <v>0</v>
      </c>
      <c r="AH2027" s="176">
        <v>0</v>
      </c>
      <c r="AI2027" s="176">
        <v>0.08</v>
      </c>
      <c r="AJ2027" s="176">
        <v>0.15</v>
      </c>
      <c r="AK2027" s="177"/>
      <c r="AL2027" s="177"/>
      <c r="AM2027" s="17">
        <f t="shared" si="112"/>
        <v>0</v>
      </c>
      <c r="AN2027" s="18" t="s">
        <v>570</v>
      </c>
      <c r="AO2027" s="18" t="s">
        <v>2875</v>
      </c>
      <c r="AP2027" s="18" t="s">
        <v>6577</v>
      </c>
    </row>
    <row r="2028" spans="1:42" s="18" customFormat="1" x14ac:dyDescent="0.3">
      <c r="A2028" s="18" t="s">
        <v>1454</v>
      </c>
      <c r="B2028" s="18" t="s">
        <v>6438</v>
      </c>
      <c r="C2028" s="18">
        <v>101</v>
      </c>
      <c r="D2028" s="283" t="s">
        <v>6440</v>
      </c>
      <c r="E2028" s="18" t="s">
        <v>6557</v>
      </c>
      <c r="F2028" s="18" t="s">
        <v>6558</v>
      </c>
      <c r="G2028" s="156" t="s">
        <v>6653</v>
      </c>
      <c r="H2028" s="18" t="s">
        <v>6654</v>
      </c>
      <c r="K2028" s="156" t="s">
        <v>6655</v>
      </c>
      <c r="L2028" s="18" t="s">
        <v>6659</v>
      </c>
      <c r="M2028" s="18" t="s">
        <v>6660</v>
      </c>
      <c r="N2028" s="16"/>
      <c r="O2028" s="16"/>
      <c r="P2028" s="16"/>
      <c r="Q2028" s="16"/>
      <c r="R2028" s="16"/>
      <c r="S2028" s="16"/>
      <c r="U2028" s="283" t="e">
        <v>#N/A</v>
      </c>
      <c r="V2028" s="18" t="s">
        <v>6665</v>
      </c>
      <c r="W2028" s="18">
        <v>1</v>
      </c>
      <c r="X2028" s="18">
        <v>1</v>
      </c>
      <c r="Y2028" s="18">
        <v>1</v>
      </c>
      <c r="Z2028" s="18">
        <v>1</v>
      </c>
      <c r="AA2028" s="18">
        <v>1</v>
      </c>
      <c r="AB2028" s="18">
        <v>1</v>
      </c>
      <c r="AC2028" s="316">
        <v>1</v>
      </c>
      <c r="AD2028" s="316">
        <v>1</v>
      </c>
      <c r="AE2028" s="302">
        <f t="shared" si="111"/>
        <v>1</v>
      </c>
      <c r="AF2028" s="176"/>
      <c r="AG2028" s="17">
        <v>0</v>
      </c>
      <c r="AH2028" s="176">
        <v>0</v>
      </c>
      <c r="AI2028" s="176">
        <v>0.1</v>
      </c>
      <c r="AJ2028" s="176">
        <v>0.15</v>
      </c>
      <c r="AK2028" s="177">
        <v>10</v>
      </c>
      <c r="AL2028" s="177">
        <v>15</v>
      </c>
      <c r="AM2028" s="17">
        <f t="shared" si="112"/>
        <v>25</v>
      </c>
      <c r="AN2028" s="18" t="s">
        <v>570</v>
      </c>
      <c r="AO2028" s="18" t="s">
        <v>2875</v>
      </c>
      <c r="AP2028" s="18" t="s">
        <v>6565</v>
      </c>
    </row>
    <row r="2029" spans="1:42" s="18" customFormat="1" hidden="1" x14ac:dyDescent="0.3">
      <c r="A2029" s="18" t="s">
        <v>1454</v>
      </c>
      <c r="B2029" s="18" t="s">
        <v>6438</v>
      </c>
      <c r="C2029" s="18">
        <v>101</v>
      </c>
      <c r="D2029" s="283" t="s">
        <v>6440</v>
      </c>
      <c r="E2029" s="18" t="s">
        <v>6557</v>
      </c>
      <c r="F2029" s="18" t="s">
        <v>6558</v>
      </c>
      <c r="G2029" s="156" t="s">
        <v>6653</v>
      </c>
      <c r="H2029" s="18" t="s">
        <v>6654</v>
      </c>
      <c r="K2029" s="156" t="s">
        <v>6655</v>
      </c>
      <c r="L2029" s="18" t="s">
        <v>6659</v>
      </c>
      <c r="M2029" s="18" t="s">
        <v>6660</v>
      </c>
      <c r="N2029" s="16"/>
      <c r="O2029" s="16"/>
      <c r="P2029" s="16"/>
      <c r="Q2029" s="16"/>
      <c r="R2029" s="16"/>
      <c r="S2029" s="16"/>
      <c r="U2029" s="283" t="e">
        <v>#N/A</v>
      </c>
      <c r="V2029" s="18" t="s">
        <v>6666</v>
      </c>
      <c r="W2029" s="18">
        <v>1</v>
      </c>
      <c r="X2029" s="18">
        <v>0</v>
      </c>
      <c r="Y2029" s="18">
        <v>1</v>
      </c>
      <c r="Z2029" s="18">
        <v>0</v>
      </c>
      <c r="AA2029" s="18">
        <v>1</v>
      </c>
      <c r="AB2029" s="18">
        <v>1</v>
      </c>
      <c r="AC2029" s="316">
        <v>0</v>
      </c>
      <c r="AD2029" s="316">
        <v>1</v>
      </c>
      <c r="AE2029" s="302">
        <f t="shared" si="111"/>
        <v>0.625</v>
      </c>
      <c r="AF2029" s="176"/>
      <c r="AG2029" s="17">
        <v>0</v>
      </c>
      <c r="AH2029" s="176">
        <v>60</v>
      </c>
      <c r="AI2029" s="176">
        <v>38.392907402469518</v>
      </c>
      <c r="AJ2029" s="176">
        <v>60.05</v>
      </c>
      <c r="AK2029" s="177"/>
      <c r="AL2029" s="177"/>
      <c r="AM2029" s="17">
        <f t="shared" si="112"/>
        <v>0</v>
      </c>
      <c r="AN2029" s="18" t="s">
        <v>570</v>
      </c>
      <c r="AO2029" s="18" t="s">
        <v>2875</v>
      </c>
      <c r="AP2029" s="18" t="s">
        <v>6577</v>
      </c>
    </row>
    <row r="2030" spans="1:42" s="18" customFormat="1" hidden="1" x14ac:dyDescent="0.3">
      <c r="A2030" s="18" t="s">
        <v>1454</v>
      </c>
      <c r="B2030" s="18" t="s">
        <v>6438</v>
      </c>
      <c r="C2030" s="18">
        <v>101</v>
      </c>
      <c r="D2030" s="283" t="s">
        <v>6440</v>
      </c>
      <c r="E2030" s="18" t="s">
        <v>6557</v>
      </c>
      <c r="F2030" s="18" t="s">
        <v>6558</v>
      </c>
      <c r="G2030" s="156" t="s">
        <v>6653</v>
      </c>
      <c r="H2030" s="18" t="s">
        <v>6654</v>
      </c>
      <c r="K2030" s="156" t="s">
        <v>6655</v>
      </c>
      <c r="L2030" s="18" t="s">
        <v>6659</v>
      </c>
      <c r="M2030" s="18" t="s">
        <v>6660</v>
      </c>
      <c r="N2030" s="16"/>
      <c r="O2030" s="16"/>
      <c r="P2030" s="16"/>
      <c r="Q2030" s="16"/>
      <c r="R2030" s="16"/>
      <c r="S2030" s="16"/>
      <c r="U2030" s="283" t="e">
        <v>#N/A</v>
      </c>
      <c r="V2030" s="18" t="s">
        <v>6667</v>
      </c>
      <c r="W2030" s="18">
        <v>0</v>
      </c>
      <c r="X2030" s="18">
        <v>0</v>
      </c>
      <c r="Y2030" s="18">
        <v>0</v>
      </c>
      <c r="Z2030" s="18">
        <v>1</v>
      </c>
      <c r="AA2030" s="18">
        <v>0</v>
      </c>
      <c r="AB2030" s="18">
        <v>1</v>
      </c>
      <c r="AC2030" s="316">
        <v>1</v>
      </c>
      <c r="AD2030" s="316">
        <v>1</v>
      </c>
      <c r="AE2030" s="302">
        <f t="shared" si="111"/>
        <v>0.5</v>
      </c>
      <c r="AF2030" s="176"/>
      <c r="AG2030" s="17">
        <v>0</v>
      </c>
      <c r="AH2030" s="176">
        <v>0</v>
      </c>
      <c r="AI2030" s="176">
        <v>0</v>
      </c>
      <c r="AJ2030" s="176">
        <v>0</v>
      </c>
      <c r="AK2030" s="177">
        <v>0</v>
      </c>
      <c r="AL2030" s="177">
        <v>0</v>
      </c>
      <c r="AM2030" s="17">
        <f t="shared" si="112"/>
        <v>0</v>
      </c>
      <c r="AN2030" s="18" t="s">
        <v>1035</v>
      </c>
      <c r="AO2030" s="18" t="s">
        <v>1037</v>
      </c>
      <c r="AP2030" s="18" t="s">
        <v>6668</v>
      </c>
    </row>
    <row r="2031" spans="1:42" s="18" customFormat="1" hidden="1" x14ac:dyDescent="0.3">
      <c r="A2031" s="18" t="s">
        <v>1454</v>
      </c>
      <c r="B2031" s="18" t="s">
        <v>6438</v>
      </c>
      <c r="C2031" s="18">
        <v>101</v>
      </c>
      <c r="D2031" s="283" t="s">
        <v>6440</v>
      </c>
      <c r="E2031" s="18" t="s">
        <v>6557</v>
      </c>
      <c r="F2031" s="18" t="s">
        <v>6558</v>
      </c>
      <c r="G2031" s="156" t="s">
        <v>6669</v>
      </c>
      <c r="H2031" s="18" t="s">
        <v>6670</v>
      </c>
      <c r="K2031" s="156" t="s">
        <v>6671</v>
      </c>
      <c r="L2031" s="18" t="s">
        <v>6672</v>
      </c>
      <c r="M2031" s="18" t="s">
        <v>6673</v>
      </c>
      <c r="N2031" s="16">
        <v>10000</v>
      </c>
      <c r="O2031" s="16">
        <v>16000</v>
      </c>
      <c r="P2031" s="16">
        <v>32000</v>
      </c>
      <c r="Q2031" s="16">
        <v>38000</v>
      </c>
      <c r="R2031" s="16">
        <v>42000</v>
      </c>
      <c r="S2031" s="16">
        <v>48000</v>
      </c>
      <c r="T2031" s="18" t="s">
        <v>570</v>
      </c>
      <c r="U2031" s="283" t="s">
        <v>2875</v>
      </c>
      <c r="V2031" s="18" t="s">
        <v>6674</v>
      </c>
      <c r="W2031" s="18">
        <v>0</v>
      </c>
      <c r="X2031" s="18">
        <v>0</v>
      </c>
      <c r="Y2031" s="18">
        <v>0</v>
      </c>
      <c r="Z2031" s="18">
        <v>1</v>
      </c>
      <c r="AA2031" s="18">
        <v>0</v>
      </c>
      <c r="AB2031" s="18">
        <v>0</v>
      </c>
      <c r="AC2031" s="316">
        <v>0</v>
      </c>
      <c r="AD2031" s="316">
        <v>0</v>
      </c>
      <c r="AE2031" s="302">
        <f t="shared" si="111"/>
        <v>0.125</v>
      </c>
      <c r="AF2031" s="176"/>
      <c r="AG2031" s="17">
        <v>0</v>
      </c>
      <c r="AH2031" s="176">
        <v>0</v>
      </c>
      <c r="AI2031" s="176">
        <v>0.5</v>
      </c>
      <c r="AJ2031" s="176">
        <v>0</v>
      </c>
      <c r="AK2031" s="177">
        <v>0</v>
      </c>
      <c r="AL2031" s="177">
        <v>0</v>
      </c>
      <c r="AM2031" s="17">
        <f t="shared" si="112"/>
        <v>0</v>
      </c>
      <c r="AN2031" s="18" t="s">
        <v>570</v>
      </c>
      <c r="AO2031" s="18" t="s">
        <v>2875</v>
      </c>
      <c r="AP2031" s="18" t="s">
        <v>6675</v>
      </c>
    </row>
    <row r="2032" spans="1:42" s="18" customFormat="1" x14ac:dyDescent="0.3">
      <c r="A2032" s="18" t="s">
        <v>1454</v>
      </c>
      <c r="B2032" s="18" t="s">
        <v>6438</v>
      </c>
      <c r="C2032" s="18">
        <v>101</v>
      </c>
      <c r="D2032" s="283" t="s">
        <v>6440</v>
      </c>
      <c r="E2032" s="18" t="s">
        <v>6557</v>
      </c>
      <c r="F2032" s="18" t="s">
        <v>6558</v>
      </c>
      <c r="G2032" s="156" t="s">
        <v>6669</v>
      </c>
      <c r="H2032" s="18" t="s">
        <v>6670</v>
      </c>
      <c r="K2032" s="156" t="s">
        <v>6671</v>
      </c>
      <c r="L2032" s="18" t="s">
        <v>6672</v>
      </c>
      <c r="M2032" s="18" t="s">
        <v>6673</v>
      </c>
      <c r="N2032" s="16"/>
      <c r="O2032" s="16"/>
      <c r="P2032" s="16"/>
      <c r="Q2032" s="16"/>
      <c r="R2032" s="16"/>
      <c r="S2032" s="16"/>
      <c r="U2032" s="283" t="e">
        <v>#N/A</v>
      </c>
      <c r="V2032" s="18" t="s">
        <v>6676</v>
      </c>
      <c r="W2032" s="18">
        <v>1</v>
      </c>
      <c r="X2032" s="18">
        <v>1</v>
      </c>
      <c r="Y2032" s="18">
        <v>1</v>
      </c>
      <c r="Z2032" s="18">
        <v>1</v>
      </c>
      <c r="AA2032" s="18">
        <v>1</v>
      </c>
      <c r="AB2032" s="18">
        <v>1</v>
      </c>
      <c r="AC2032" s="316">
        <v>1</v>
      </c>
      <c r="AD2032" s="316">
        <v>1</v>
      </c>
      <c r="AE2032" s="302">
        <f t="shared" si="111"/>
        <v>1</v>
      </c>
      <c r="AF2032" s="176"/>
      <c r="AG2032" s="17">
        <v>0</v>
      </c>
      <c r="AH2032" s="176">
        <v>10</v>
      </c>
      <c r="AI2032" s="176">
        <v>0</v>
      </c>
      <c r="AJ2032" s="176">
        <v>30</v>
      </c>
      <c r="AK2032" s="177">
        <v>5</v>
      </c>
      <c r="AL2032" s="177">
        <v>5</v>
      </c>
      <c r="AM2032" s="17">
        <f t="shared" si="112"/>
        <v>10</v>
      </c>
      <c r="AN2032" s="18" t="s">
        <v>570</v>
      </c>
      <c r="AO2032" s="18" t="s">
        <v>2875</v>
      </c>
      <c r="AP2032" s="18" t="s">
        <v>6675</v>
      </c>
    </row>
    <row r="2033" spans="1:42" s="18" customFormat="1" x14ac:dyDescent="0.3">
      <c r="A2033" s="18" t="s">
        <v>1454</v>
      </c>
      <c r="B2033" s="18" t="s">
        <v>6438</v>
      </c>
      <c r="C2033" s="18">
        <v>101</v>
      </c>
      <c r="D2033" s="283" t="s">
        <v>6440</v>
      </c>
      <c r="E2033" s="18" t="s">
        <v>6557</v>
      </c>
      <c r="F2033" s="18" t="s">
        <v>6558</v>
      </c>
      <c r="G2033" s="156" t="s">
        <v>6677</v>
      </c>
      <c r="H2033" s="18" t="s">
        <v>6678</v>
      </c>
      <c r="K2033" s="156" t="s">
        <v>6679</v>
      </c>
      <c r="L2033" s="18" t="s">
        <v>6680</v>
      </c>
      <c r="M2033" s="18" t="s">
        <v>6681</v>
      </c>
      <c r="N2033" s="16">
        <v>200</v>
      </c>
      <c r="O2033" s="16">
        <v>220</v>
      </c>
      <c r="P2033" s="16">
        <v>240</v>
      </c>
      <c r="Q2033" s="16">
        <v>260</v>
      </c>
      <c r="R2033" s="16">
        <v>280</v>
      </c>
      <c r="S2033" s="16">
        <v>300</v>
      </c>
      <c r="T2033" s="18" t="s">
        <v>570</v>
      </c>
      <c r="U2033" s="283" t="s">
        <v>2875</v>
      </c>
      <c r="V2033" s="18" t="s">
        <v>6682</v>
      </c>
      <c r="W2033" s="18">
        <v>1</v>
      </c>
      <c r="X2033" s="18">
        <v>1</v>
      </c>
      <c r="Y2033" s="18">
        <v>1</v>
      </c>
      <c r="Z2033" s="18">
        <v>1</v>
      </c>
      <c r="AA2033" s="18">
        <v>0</v>
      </c>
      <c r="AB2033" s="18">
        <v>1</v>
      </c>
      <c r="AC2033" s="316">
        <v>1</v>
      </c>
      <c r="AD2033" s="316">
        <v>1</v>
      </c>
      <c r="AE2033" s="302">
        <f t="shared" si="111"/>
        <v>0.875</v>
      </c>
      <c r="AF2033" s="176"/>
      <c r="AG2033" s="17">
        <v>0</v>
      </c>
      <c r="AH2033" s="176">
        <v>0</v>
      </c>
      <c r="AI2033" s="176">
        <v>10</v>
      </c>
      <c r="AJ2033" s="176">
        <v>0</v>
      </c>
      <c r="AK2033" s="177">
        <v>15</v>
      </c>
      <c r="AL2033" s="177">
        <v>20</v>
      </c>
      <c r="AM2033" s="17">
        <f t="shared" si="112"/>
        <v>35</v>
      </c>
      <c r="AN2033" s="18" t="s">
        <v>570</v>
      </c>
      <c r="AO2033" s="18" t="s">
        <v>2875</v>
      </c>
      <c r="AP2033" s="18" t="s">
        <v>6675</v>
      </c>
    </row>
    <row r="2034" spans="1:42" s="18" customFormat="1" hidden="1" x14ac:dyDescent="0.3">
      <c r="A2034" s="18" t="s">
        <v>1454</v>
      </c>
      <c r="B2034" s="18" t="s">
        <v>6438</v>
      </c>
      <c r="C2034" s="18">
        <v>101</v>
      </c>
      <c r="D2034" s="283" t="s">
        <v>6440</v>
      </c>
      <c r="E2034" s="18" t="s">
        <v>6557</v>
      </c>
      <c r="F2034" s="18" t="s">
        <v>6558</v>
      </c>
      <c r="G2034" s="156" t="s">
        <v>6677</v>
      </c>
      <c r="H2034" s="18" t="s">
        <v>6678</v>
      </c>
      <c r="K2034" s="156" t="s">
        <v>6679</v>
      </c>
      <c r="L2034" s="18" t="s">
        <v>6680</v>
      </c>
      <c r="M2034" s="18" t="s">
        <v>6683</v>
      </c>
      <c r="N2034" s="16">
        <v>3</v>
      </c>
      <c r="O2034" s="16">
        <v>5</v>
      </c>
      <c r="P2034" s="16">
        <v>7</v>
      </c>
      <c r="Q2034" s="16">
        <v>9</v>
      </c>
      <c r="R2034" s="16">
        <v>11</v>
      </c>
      <c r="S2034" s="16">
        <v>13</v>
      </c>
      <c r="T2034" s="18" t="s">
        <v>570</v>
      </c>
      <c r="U2034" s="283" t="s">
        <v>2875</v>
      </c>
      <c r="V2034" s="18" t="s">
        <v>6684</v>
      </c>
      <c r="W2034" s="18">
        <v>0</v>
      </c>
      <c r="X2034" s="18">
        <v>0</v>
      </c>
      <c r="Y2034" s="18">
        <v>0</v>
      </c>
      <c r="Z2034" s="18">
        <v>1</v>
      </c>
      <c r="AA2034" s="18">
        <v>1</v>
      </c>
      <c r="AB2034" s="18">
        <v>1</v>
      </c>
      <c r="AC2034" s="316">
        <v>0</v>
      </c>
      <c r="AD2034" s="316">
        <v>0</v>
      </c>
      <c r="AE2034" s="302">
        <f t="shared" si="111"/>
        <v>0.375</v>
      </c>
      <c r="AF2034" s="176"/>
      <c r="AG2034" s="17">
        <v>0</v>
      </c>
      <c r="AH2034" s="176">
        <v>58</v>
      </c>
      <c r="AI2034" s="176">
        <v>27.343945649512499</v>
      </c>
      <c r="AJ2034" s="176">
        <v>41</v>
      </c>
      <c r="AK2034" s="177"/>
      <c r="AL2034" s="177"/>
      <c r="AM2034" s="17">
        <f t="shared" si="112"/>
        <v>0</v>
      </c>
      <c r="AN2034" s="18" t="s">
        <v>570</v>
      </c>
      <c r="AO2034" s="18" t="s">
        <v>2875</v>
      </c>
      <c r="AP2034" s="18" t="s">
        <v>6577</v>
      </c>
    </row>
    <row r="2035" spans="1:42" s="18" customFormat="1" hidden="1" x14ac:dyDescent="0.3">
      <c r="A2035" s="18" t="s">
        <v>1454</v>
      </c>
      <c r="B2035" s="18" t="s">
        <v>6438</v>
      </c>
      <c r="C2035" s="18">
        <v>101</v>
      </c>
      <c r="D2035" s="283" t="s">
        <v>6440</v>
      </c>
      <c r="E2035" s="18" t="s">
        <v>6557</v>
      </c>
      <c r="F2035" s="18" t="s">
        <v>6558</v>
      </c>
      <c r="G2035" s="156" t="s">
        <v>6677</v>
      </c>
      <c r="H2035" s="18" t="s">
        <v>6678</v>
      </c>
      <c r="K2035" s="156" t="s">
        <v>6679</v>
      </c>
      <c r="L2035" s="18" t="s">
        <v>6680</v>
      </c>
      <c r="M2035" s="18" t="s">
        <v>6685</v>
      </c>
      <c r="N2035" s="16" t="s">
        <v>6686</v>
      </c>
      <c r="O2035" s="16">
        <v>208</v>
      </c>
      <c r="P2035" s="16">
        <v>205</v>
      </c>
      <c r="Q2035" s="16">
        <v>202</v>
      </c>
      <c r="R2035" s="16">
        <v>199</v>
      </c>
      <c r="S2035" s="16">
        <v>196</v>
      </c>
      <c r="T2035" s="18" t="s">
        <v>570</v>
      </c>
      <c r="U2035" s="283" t="s">
        <v>2875</v>
      </c>
      <c r="V2035" s="18" t="s">
        <v>6687</v>
      </c>
      <c r="W2035" s="18">
        <v>1</v>
      </c>
      <c r="X2035" s="18">
        <v>1</v>
      </c>
      <c r="Y2035" s="18">
        <v>0</v>
      </c>
      <c r="Z2035" s="18">
        <v>1</v>
      </c>
      <c r="AA2035" s="18">
        <v>0</v>
      </c>
      <c r="AB2035" s="18">
        <v>0</v>
      </c>
      <c r="AC2035" s="316">
        <v>1</v>
      </c>
      <c r="AD2035" s="316">
        <v>1</v>
      </c>
      <c r="AE2035" s="302">
        <f t="shared" si="111"/>
        <v>0.625</v>
      </c>
      <c r="AF2035" s="176"/>
      <c r="AG2035" s="17">
        <v>0</v>
      </c>
      <c r="AH2035" s="176">
        <v>0</v>
      </c>
      <c r="AI2035" s="176">
        <v>5.6</v>
      </c>
      <c r="AJ2035" s="176">
        <v>4.2</v>
      </c>
      <c r="AK2035" s="177">
        <v>0</v>
      </c>
      <c r="AL2035" s="177"/>
      <c r="AM2035" s="17">
        <f t="shared" si="112"/>
        <v>0</v>
      </c>
      <c r="AN2035" s="18" t="s">
        <v>570</v>
      </c>
      <c r="AO2035" s="18" t="s">
        <v>2875</v>
      </c>
      <c r="AP2035" s="18" t="s">
        <v>6577</v>
      </c>
    </row>
    <row r="2036" spans="1:42" s="18" customFormat="1" hidden="1" x14ac:dyDescent="0.3">
      <c r="A2036" s="18" t="s">
        <v>1454</v>
      </c>
      <c r="B2036" s="18" t="s">
        <v>6438</v>
      </c>
      <c r="C2036" s="18">
        <v>101</v>
      </c>
      <c r="D2036" s="283" t="s">
        <v>6440</v>
      </c>
      <c r="E2036" s="18" t="s">
        <v>6557</v>
      </c>
      <c r="F2036" s="18" t="s">
        <v>6558</v>
      </c>
      <c r="G2036" s="156" t="s">
        <v>6677</v>
      </c>
      <c r="H2036" s="18" t="s">
        <v>6678</v>
      </c>
      <c r="K2036" s="156" t="s">
        <v>6679</v>
      </c>
      <c r="L2036" s="18" t="s">
        <v>6680</v>
      </c>
      <c r="M2036" s="18" t="s">
        <v>6685</v>
      </c>
      <c r="N2036" s="16"/>
      <c r="O2036" s="16"/>
      <c r="P2036" s="16"/>
      <c r="Q2036" s="16"/>
      <c r="R2036" s="16"/>
      <c r="S2036" s="16"/>
      <c r="U2036" s="283" t="e">
        <v>#N/A</v>
      </c>
      <c r="V2036" s="18" t="s">
        <v>6688</v>
      </c>
      <c r="W2036" s="18">
        <v>1</v>
      </c>
      <c r="X2036" s="18">
        <v>0</v>
      </c>
      <c r="Y2036" s="18">
        <v>0</v>
      </c>
      <c r="Z2036" s="18">
        <v>0</v>
      </c>
      <c r="AA2036" s="18">
        <v>0</v>
      </c>
      <c r="AB2036" s="18">
        <v>0</v>
      </c>
      <c r="AC2036" s="316">
        <v>1</v>
      </c>
      <c r="AD2036" s="316">
        <v>0</v>
      </c>
      <c r="AE2036" s="302">
        <f t="shared" si="111"/>
        <v>0.25</v>
      </c>
      <c r="AF2036" s="176"/>
      <c r="AG2036" s="17">
        <v>0</v>
      </c>
      <c r="AH2036" s="176">
        <v>25</v>
      </c>
      <c r="AI2036" s="176">
        <v>0</v>
      </c>
      <c r="AJ2036" s="176">
        <v>25</v>
      </c>
      <c r="AK2036" s="177">
        <v>0</v>
      </c>
      <c r="AL2036" s="177">
        <v>0</v>
      </c>
      <c r="AM2036" s="17">
        <f t="shared" si="112"/>
        <v>0</v>
      </c>
      <c r="AN2036" s="18" t="s">
        <v>63</v>
      </c>
      <c r="AO2036" s="18" t="s">
        <v>2510</v>
      </c>
      <c r="AP2036" s="18" t="s">
        <v>6689</v>
      </c>
    </row>
    <row r="2037" spans="1:42" s="18" customFormat="1" hidden="1" x14ac:dyDescent="0.3">
      <c r="A2037" s="18" t="s">
        <v>1454</v>
      </c>
      <c r="B2037" s="18" t="s">
        <v>6438</v>
      </c>
      <c r="C2037" s="18">
        <v>101</v>
      </c>
      <c r="D2037" s="283" t="s">
        <v>6440</v>
      </c>
      <c r="E2037" s="18" t="s">
        <v>6557</v>
      </c>
      <c r="F2037" s="18" t="s">
        <v>6558</v>
      </c>
      <c r="G2037" s="156" t="s">
        <v>6677</v>
      </c>
      <c r="H2037" s="18" t="s">
        <v>6678</v>
      </c>
      <c r="K2037" s="156" t="s">
        <v>6679</v>
      </c>
      <c r="L2037" s="18" t="s">
        <v>6680</v>
      </c>
      <c r="M2037" s="18" t="s">
        <v>6685</v>
      </c>
      <c r="N2037" s="16"/>
      <c r="O2037" s="16"/>
      <c r="P2037" s="16"/>
      <c r="Q2037" s="16"/>
      <c r="R2037" s="16"/>
      <c r="S2037" s="16"/>
      <c r="U2037" s="283" t="e">
        <v>#N/A</v>
      </c>
      <c r="V2037" s="18" t="s">
        <v>6690</v>
      </c>
      <c r="W2037" s="18">
        <v>1</v>
      </c>
      <c r="X2037" s="18">
        <v>1</v>
      </c>
      <c r="Y2037" s="18">
        <v>0</v>
      </c>
      <c r="Z2037" s="18">
        <v>1</v>
      </c>
      <c r="AA2037" s="18">
        <v>1</v>
      </c>
      <c r="AB2037" s="18">
        <v>0</v>
      </c>
      <c r="AC2037" s="316">
        <v>0</v>
      </c>
      <c r="AD2037" s="316">
        <v>1</v>
      </c>
      <c r="AE2037" s="302">
        <f t="shared" si="111"/>
        <v>0.625</v>
      </c>
      <c r="AF2037" s="176"/>
      <c r="AG2037" s="17">
        <v>0</v>
      </c>
      <c r="AH2037" s="176">
        <v>0</v>
      </c>
      <c r="AI2037" s="176">
        <v>0</v>
      </c>
      <c r="AJ2037" s="176">
        <v>0</v>
      </c>
      <c r="AK2037" s="177">
        <v>0</v>
      </c>
      <c r="AL2037" s="177">
        <v>0</v>
      </c>
      <c r="AM2037" s="17">
        <f t="shared" si="112"/>
        <v>0</v>
      </c>
      <c r="AN2037" s="18" t="s">
        <v>63</v>
      </c>
      <c r="AO2037" s="18" t="s">
        <v>2510</v>
      </c>
      <c r="AP2037" s="18" t="s">
        <v>3829</v>
      </c>
    </row>
    <row r="2038" spans="1:42" s="18" customFormat="1" hidden="1" x14ac:dyDescent="0.3">
      <c r="A2038" s="18" t="s">
        <v>1454</v>
      </c>
      <c r="B2038" s="18" t="s">
        <v>6438</v>
      </c>
      <c r="C2038" s="18">
        <v>101</v>
      </c>
      <c r="D2038" s="283" t="s">
        <v>6440</v>
      </c>
      <c r="E2038" s="18" t="s">
        <v>6557</v>
      </c>
      <c r="F2038" s="18" t="s">
        <v>6558</v>
      </c>
      <c r="G2038" s="156" t="s">
        <v>6677</v>
      </c>
      <c r="H2038" s="18" t="s">
        <v>6678</v>
      </c>
      <c r="K2038" s="156" t="s">
        <v>6679</v>
      </c>
      <c r="L2038" s="18" t="s">
        <v>6680</v>
      </c>
      <c r="M2038" s="18" t="s">
        <v>6685</v>
      </c>
      <c r="N2038" s="16"/>
      <c r="O2038" s="16"/>
      <c r="P2038" s="16"/>
      <c r="Q2038" s="16"/>
      <c r="R2038" s="16"/>
      <c r="S2038" s="16"/>
      <c r="U2038" s="283" t="e">
        <v>#N/A</v>
      </c>
      <c r="V2038" s="18" t="s">
        <v>6691</v>
      </c>
      <c r="W2038" s="18">
        <v>0</v>
      </c>
      <c r="X2038" s="18">
        <v>0</v>
      </c>
      <c r="Y2038" s="18">
        <v>0</v>
      </c>
      <c r="Z2038" s="18">
        <v>1</v>
      </c>
      <c r="AA2038" s="18">
        <v>0</v>
      </c>
      <c r="AB2038" s="18">
        <v>0</v>
      </c>
      <c r="AC2038" s="316">
        <v>0</v>
      </c>
      <c r="AD2038" s="316">
        <v>1</v>
      </c>
      <c r="AE2038" s="302">
        <f t="shared" si="111"/>
        <v>0.25</v>
      </c>
      <c r="AF2038" s="176"/>
      <c r="AG2038" s="17">
        <v>0</v>
      </c>
      <c r="AH2038" s="176">
        <v>0</v>
      </c>
      <c r="AI2038" s="176">
        <v>0</v>
      </c>
      <c r="AJ2038" s="176">
        <v>1.5</v>
      </c>
      <c r="AK2038" s="177">
        <v>0</v>
      </c>
      <c r="AL2038" s="177">
        <v>0</v>
      </c>
      <c r="AM2038" s="17">
        <f t="shared" si="112"/>
        <v>0</v>
      </c>
      <c r="AN2038" s="18" t="s">
        <v>63</v>
      </c>
      <c r="AO2038" s="18" t="s">
        <v>2510</v>
      </c>
      <c r="AP2038" s="18" t="s">
        <v>119</v>
      </c>
    </row>
    <row r="2039" spans="1:42" s="18" customFormat="1" hidden="1" x14ac:dyDescent="0.3">
      <c r="A2039" s="18" t="s">
        <v>1454</v>
      </c>
      <c r="B2039" s="18" t="s">
        <v>6438</v>
      </c>
      <c r="C2039" s="18">
        <v>101</v>
      </c>
      <c r="D2039" s="283" t="s">
        <v>6440</v>
      </c>
      <c r="E2039" s="18" t="s">
        <v>6692</v>
      </c>
      <c r="F2039" s="18" t="s">
        <v>6693</v>
      </c>
      <c r="G2039" s="156" t="s">
        <v>6694</v>
      </c>
      <c r="H2039" s="18" t="s">
        <v>6695</v>
      </c>
      <c r="K2039" s="156" t="s">
        <v>6696</v>
      </c>
      <c r="L2039" s="18" t="s">
        <v>6697</v>
      </c>
      <c r="M2039" s="18" t="s">
        <v>6698</v>
      </c>
      <c r="N2039" s="16">
        <v>10.9</v>
      </c>
      <c r="O2039" s="16">
        <v>11.02</v>
      </c>
      <c r="P2039" s="16">
        <v>11.14</v>
      </c>
      <c r="Q2039" s="16">
        <v>11.26</v>
      </c>
      <c r="R2039" s="16">
        <v>11.38</v>
      </c>
      <c r="S2039" s="16">
        <v>11.5</v>
      </c>
      <c r="T2039" s="18" t="s">
        <v>570</v>
      </c>
      <c r="U2039" s="283" t="s">
        <v>2875</v>
      </c>
      <c r="V2039" s="18" t="s">
        <v>6699</v>
      </c>
      <c r="W2039" s="18">
        <v>1</v>
      </c>
      <c r="X2039" s="18">
        <v>0</v>
      </c>
      <c r="Y2039" s="18">
        <v>0</v>
      </c>
      <c r="Z2039" s="18">
        <v>1</v>
      </c>
      <c r="AA2039" s="18">
        <v>1</v>
      </c>
      <c r="AB2039" s="18">
        <v>1</v>
      </c>
      <c r="AC2039" s="316">
        <v>1</v>
      </c>
      <c r="AD2039" s="316">
        <v>0</v>
      </c>
      <c r="AE2039" s="302">
        <f t="shared" si="111"/>
        <v>0.625</v>
      </c>
      <c r="AF2039" s="176"/>
      <c r="AG2039" s="17">
        <v>0</v>
      </c>
      <c r="AH2039" s="176">
        <v>0</v>
      </c>
      <c r="AI2039" s="176">
        <v>1</v>
      </c>
      <c r="AJ2039" s="176">
        <v>1</v>
      </c>
      <c r="AK2039" s="177"/>
      <c r="AL2039" s="177">
        <v>0</v>
      </c>
      <c r="AM2039" s="17">
        <f t="shared" si="112"/>
        <v>0</v>
      </c>
      <c r="AN2039" s="18" t="s">
        <v>570</v>
      </c>
      <c r="AO2039" s="18" t="s">
        <v>2875</v>
      </c>
      <c r="AP2039" s="18" t="s">
        <v>6700</v>
      </c>
    </row>
    <row r="2040" spans="1:42" s="18" customFormat="1" hidden="1" x14ac:dyDescent="0.3">
      <c r="A2040" s="18" t="s">
        <v>1454</v>
      </c>
      <c r="B2040" s="18" t="s">
        <v>6438</v>
      </c>
      <c r="C2040" s="18">
        <v>101</v>
      </c>
      <c r="D2040" s="283" t="s">
        <v>6440</v>
      </c>
      <c r="E2040" s="18" t="s">
        <v>6692</v>
      </c>
      <c r="F2040" s="18" t="s">
        <v>6693</v>
      </c>
      <c r="G2040" s="156" t="s">
        <v>6694</v>
      </c>
      <c r="H2040" s="18" t="s">
        <v>6695</v>
      </c>
      <c r="K2040" s="156" t="s">
        <v>6696</v>
      </c>
      <c r="L2040" s="18" t="s">
        <v>6697</v>
      </c>
      <c r="M2040" s="18" t="s">
        <v>6701</v>
      </c>
      <c r="N2040" s="16">
        <v>9.1</v>
      </c>
      <c r="O2040" s="16">
        <v>10.28</v>
      </c>
      <c r="P2040" s="16">
        <v>11.64</v>
      </c>
      <c r="Q2040" s="16">
        <v>12.64</v>
      </c>
      <c r="R2040" s="16">
        <v>13.82</v>
      </c>
      <c r="S2040" s="16">
        <v>15</v>
      </c>
      <c r="T2040" s="18" t="s">
        <v>570</v>
      </c>
      <c r="U2040" s="283" t="s">
        <v>2875</v>
      </c>
      <c r="V2040" s="18" t="s">
        <v>6702</v>
      </c>
      <c r="W2040" s="18">
        <v>1</v>
      </c>
      <c r="X2040" s="18">
        <v>0</v>
      </c>
      <c r="Y2040" s="18">
        <v>0</v>
      </c>
      <c r="Z2040" s="18">
        <v>0</v>
      </c>
      <c r="AA2040" s="18">
        <v>0</v>
      </c>
      <c r="AB2040" s="18">
        <v>1</v>
      </c>
      <c r="AC2040" s="316">
        <v>0</v>
      </c>
      <c r="AD2040" s="316">
        <v>1</v>
      </c>
      <c r="AE2040" s="302">
        <f t="shared" si="111"/>
        <v>0.375</v>
      </c>
      <c r="AF2040" s="176"/>
      <c r="AG2040" s="17">
        <v>0</v>
      </c>
      <c r="AH2040" s="176">
        <v>0</v>
      </c>
      <c r="AI2040" s="176">
        <v>0.5</v>
      </c>
      <c r="AJ2040" s="176">
        <v>0.6</v>
      </c>
      <c r="AK2040" s="177"/>
      <c r="AL2040" s="177">
        <v>0</v>
      </c>
      <c r="AM2040" s="17">
        <f t="shared" si="112"/>
        <v>0</v>
      </c>
      <c r="AN2040" s="18" t="s">
        <v>570</v>
      </c>
      <c r="AO2040" s="18" t="s">
        <v>2875</v>
      </c>
      <c r="AP2040" s="18" t="s">
        <v>6703</v>
      </c>
    </row>
    <row r="2041" spans="1:42" s="18" customFormat="1" hidden="1" x14ac:dyDescent="0.3">
      <c r="A2041" s="18" t="s">
        <v>1454</v>
      </c>
      <c r="B2041" s="18" t="s">
        <v>6438</v>
      </c>
      <c r="C2041" s="18">
        <v>101</v>
      </c>
      <c r="D2041" s="283" t="s">
        <v>6440</v>
      </c>
      <c r="E2041" s="18" t="s">
        <v>6692</v>
      </c>
      <c r="F2041" s="18" t="s">
        <v>6693</v>
      </c>
      <c r="G2041" s="156" t="s">
        <v>6694</v>
      </c>
      <c r="H2041" s="18" t="s">
        <v>6695</v>
      </c>
      <c r="K2041" s="156" t="s">
        <v>6696</v>
      </c>
      <c r="L2041" s="18" t="s">
        <v>6697</v>
      </c>
      <c r="M2041" s="18" t="s">
        <v>6704</v>
      </c>
      <c r="N2041" s="16">
        <v>1.39</v>
      </c>
      <c r="O2041" s="16">
        <v>1.34</v>
      </c>
      <c r="P2041" s="16">
        <v>1.3</v>
      </c>
      <c r="Q2041" s="16">
        <v>1.21</v>
      </c>
      <c r="R2041" s="16">
        <v>1.08</v>
      </c>
      <c r="S2041" s="16">
        <v>1</v>
      </c>
      <c r="T2041" s="18" t="s">
        <v>570</v>
      </c>
      <c r="U2041" s="283" t="s">
        <v>2875</v>
      </c>
      <c r="V2041" s="18" t="s">
        <v>6705</v>
      </c>
      <c r="W2041" s="18">
        <v>1</v>
      </c>
      <c r="X2041" s="18">
        <v>0</v>
      </c>
      <c r="Y2041" s="18">
        <v>0</v>
      </c>
      <c r="Z2041" s="18">
        <v>1</v>
      </c>
      <c r="AA2041" s="18">
        <v>1</v>
      </c>
      <c r="AB2041" s="18">
        <v>1</v>
      </c>
      <c r="AC2041" s="316">
        <v>0</v>
      </c>
      <c r="AD2041" s="316">
        <v>1</v>
      </c>
      <c r="AE2041" s="302">
        <f t="shared" si="111"/>
        <v>0.625</v>
      </c>
      <c r="AF2041" s="176"/>
      <c r="AG2041" s="17">
        <v>0</v>
      </c>
      <c r="AH2041" s="176">
        <v>0</v>
      </c>
      <c r="AI2041" s="176">
        <v>0.12</v>
      </c>
      <c r="AJ2041" s="176">
        <v>0.12</v>
      </c>
      <c r="AK2041" s="177">
        <v>0.12</v>
      </c>
      <c r="AL2041" s="177">
        <v>0.12</v>
      </c>
      <c r="AM2041" s="17">
        <f t="shared" si="112"/>
        <v>0.24</v>
      </c>
      <c r="AN2041" s="18" t="s">
        <v>407</v>
      </c>
      <c r="AO2041" s="18" t="s">
        <v>409</v>
      </c>
      <c r="AP2041" s="18" t="s">
        <v>119</v>
      </c>
    </row>
    <row r="2042" spans="1:42" s="18" customFormat="1" hidden="1" x14ac:dyDescent="0.3">
      <c r="A2042" s="18" t="s">
        <v>1454</v>
      </c>
      <c r="B2042" s="18" t="s">
        <v>6438</v>
      </c>
      <c r="C2042" s="18">
        <v>101</v>
      </c>
      <c r="D2042" s="283" t="s">
        <v>6440</v>
      </c>
      <c r="E2042" s="18" t="s">
        <v>6692</v>
      </c>
      <c r="F2042" s="18" t="s">
        <v>6693</v>
      </c>
      <c r="G2042" s="156" t="s">
        <v>6694</v>
      </c>
      <c r="H2042" s="18" t="s">
        <v>6695</v>
      </c>
      <c r="K2042" s="156" t="s">
        <v>6696</v>
      </c>
      <c r="L2042" s="18" t="s">
        <v>6697</v>
      </c>
      <c r="M2042" s="18" t="s">
        <v>6704</v>
      </c>
      <c r="N2042" s="16"/>
      <c r="O2042" s="16"/>
      <c r="P2042" s="16"/>
      <c r="Q2042" s="16"/>
      <c r="R2042" s="16"/>
      <c r="S2042" s="16"/>
      <c r="U2042" s="283" t="e">
        <v>#N/A</v>
      </c>
      <c r="V2042" s="18" t="s">
        <v>6706</v>
      </c>
      <c r="W2042" s="18">
        <v>1</v>
      </c>
      <c r="X2042" s="18">
        <v>1</v>
      </c>
      <c r="Y2042" s="18">
        <v>0</v>
      </c>
      <c r="Z2042" s="18">
        <v>1</v>
      </c>
      <c r="AA2042" s="18">
        <v>1</v>
      </c>
      <c r="AB2042" s="18">
        <v>1</v>
      </c>
      <c r="AC2042" s="316">
        <v>0</v>
      </c>
      <c r="AD2042" s="316">
        <v>0</v>
      </c>
      <c r="AE2042" s="302">
        <f t="shared" si="111"/>
        <v>0.625</v>
      </c>
      <c r="AF2042" s="176"/>
      <c r="AG2042" s="17">
        <v>0</v>
      </c>
      <c r="AH2042" s="176">
        <v>0</v>
      </c>
      <c r="AI2042" s="176">
        <v>0.6</v>
      </c>
      <c r="AJ2042" s="176">
        <v>0.6</v>
      </c>
      <c r="AK2042" s="177">
        <v>0.6</v>
      </c>
      <c r="AL2042" s="177">
        <v>0.6</v>
      </c>
      <c r="AM2042" s="17">
        <f t="shared" si="112"/>
        <v>1.2</v>
      </c>
      <c r="AN2042" s="18" t="s">
        <v>407</v>
      </c>
      <c r="AO2042" s="18" t="s">
        <v>409</v>
      </c>
      <c r="AP2042" s="18" t="s">
        <v>119</v>
      </c>
    </row>
    <row r="2043" spans="1:42" s="18" customFormat="1" hidden="1" x14ac:dyDescent="0.3">
      <c r="A2043" s="18" t="s">
        <v>1454</v>
      </c>
      <c r="B2043" s="18" t="s">
        <v>6438</v>
      </c>
      <c r="C2043" s="18">
        <v>101</v>
      </c>
      <c r="D2043" s="283" t="s">
        <v>6440</v>
      </c>
      <c r="E2043" s="18" t="s">
        <v>6692</v>
      </c>
      <c r="F2043" s="18" t="s">
        <v>6693</v>
      </c>
      <c r="G2043" s="156" t="s">
        <v>6707</v>
      </c>
      <c r="H2043" s="18" t="s">
        <v>6708</v>
      </c>
      <c r="K2043" s="156" t="s">
        <v>6709</v>
      </c>
      <c r="L2043" s="18" t="s">
        <v>6710</v>
      </c>
      <c r="M2043" s="18" t="s">
        <v>6711</v>
      </c>
      <c r="N2043" s="16">
        <v>3</v>
      </c>
      <c r="O2043" s="16">
        <v>5</v>
      </c>
      <c r="P2043" s="16">
        <v>8</v>
      </c>
      <c r="Q2043" s="16">
        <v>10</v>
      </c>
      <c r="R2043" s="16">
        <v>13</v>
      </c>
      <c r="S2043" s="16">
        <v>16</v>
      </c>
      <c r="T2043" s="18" t="s">
        <v>570</v>
      </c>
      <c r="U2043" s="283" t="s">
        <v>2875</v>
      </c>
      <c r="V2043" s="18" t="s">
        <v>6712</v>
      </c>
      <c r="W2043" s="18">
        <v>0</v>
      </c>
      <c r="X2043" s="18">
        <v>0</v>
      </c>
      <c r="Y2043" s="18">
        <v>0</v>
      </c>
      <c r="Z2043" s="18">
        <v>1</v>
      </c>
      <c r="AA2043" s="18">
        <v>1</v>
      </c>
      <c r="AB2043" s="18">
        <v>1</v>
      </c>
      <c r="AC2043" s="316">
        <v>1</v>
      </c>
      <c r="AD2043" s="316">
        <v>1</v>
      </c>
      <c r="AE2043" s="302">
        <f t="shared" si="111"/>
        <v>0.625</v>
      </c>
      <c r="AF2043" s="176"/>
      <c r="AG2043" s="17">
        <v>0</v>
      </c>
      <c r="AH2043" s="176">
        <v>0</v>
      </c>
      <c r="AI2043" s="176">
        <v>0.2</v>
      </c>
      <c r="AJ2043" s="176">
        <v>0.2</v>
      </c>
      <c r="AK2043" s="177">
        <v>0.2</v>
      </c>
      <c r="AL2043" s="177">
        <v>0.2</v>
      </c>
      <c r="AM2043" s="17">
        <f t="shared" si="112"/>
        <v>0.4</v>
      </c>
      <c r="AN2043" s="18" t="s">
        <v>2514</v>
      </c>
      <c r="AO2043" s="18" t="s">
        <v>2515</v>
      </c>
      <c r="AP2043" s="18" t="s">
        <v>119</v>
      </c>
    </row>
    <row r="2044" spans="1:42" s="18" customFormat="1" x14ac:dyDescent="0.3">
      <c r="A2044" s="18" t="s">
        <v>1454</v>
      </c>
      <c r="B2044" s="18" t="s">
        <v>6438</v>
      </c>
      <c r="C2044" s="18">
        <v>101</v>
      </c>
      <c r="D2044" s="283" t="s">
        <v>6440</v>
      </c>
      <c r="E2044" s="18" t="s">
        <v>6692</v>
      </c>
      <c r="F2044" s="18" t="s">
        <v>6693</v>
      </c>
      <c r="G2044" s="156" t="s">
        <v>6707</v>
      </c>
      <c r="H2044" s="18" t="s">
        <v>6708</v>
      </c>
      <c r="K2044" s="156" t="s">
        <v>6709</v>
      </c>
      <c r="L2044" s="18" t="s">
        <v>6710</v>
      </c>
      <c r="M2044" s="18" t="s">
        <v>6711</v>
      </c>
      <c r="N2044" s="16"/>
      <c r="O2044" s="16"/>
      <c r="P2044" s="16"/>
      <c r="Q2044" s="16"/>
      <c r="R2044" s="16"/>
      <c r="S2044" s="16"/>
      <c r="U2044" s="283" t="e">
        <v>#N/A</v>
      </c>
      <c r="V2044" s="18" t="s">
        <v>6713</v>
      </c>
      <c r="W2044" s="18">
        <v>1</v>
      </c>
      <c r="X2044" s="18">
        <v>1</v>
      </c>
      <c r="Y2044" s="18">
        <v>0</v>
      </c>
      <c r="Z2044" s="18">
        <v>1</v>
      </c>
      <c r="AA2044" s="18">
        <v>0</v>
      </c>
      <c r="AB2044" s="18">
        <v>1</v>
      </c>
      <c r="AC2044" s="316">
        <v>1</v>
      </c>
      <c r="AD2044" s="316">
        <v>1</v>
      </c>
      <c r="AE2044" s="302">
        <f t="shared" si="111"/>
        <v>0.75</v>
      </c>
      <c r="AF2044" s="176"/>
      <c r="AG2044" s="17">
        <v>0</v>
      </c>
      <c r="AH2044" s="176">
        <v>0</v>
      </c>
      <c r="AI2044" s="176">
        <v>0</v>
      </c>
      <c r="AJ2044" s="176">
        <v>0</v>
      </c>
      <c r="AK2044" s="177">
        <v>10</v>
      </c>
      <c r="AL2044" s="177">
        <v>12</v>
      </c>
      <c r="AM2044" s="17">
        <f t="shared" si="112"/>
        <v>22</v>
      </c>
      <c r="AN2044" s="18" t="s">
        <v>570</v>
      </c>
      <c r="AO2044" s="18" t="s">
        <v>2875</v>
      </c>
      <c r="AP2044" s="18" t="s">
        <v>6714</v>
      </c>
    </row>
    <row r="2045" spans="1:42" s="18" customFormat="1" hidden="1" x14ac:dyDescent="0.3">
      <c r="A2045" s="18" t="s">
        <v>1454</v>
      </c>
      <c r="B2045" s="18" t="s">
        <v>6438</v>
      </c>
      <c r="C2045" s="18">
        <v>101</v>
      </c>
      <c r="D2045" s="283" t="s">
        <v>6440</v>
      </c>
      <c r="E2045" s="18" t="s">
        <v>6692</v>
      </c>
      <c r="F2045" s="18" t="s">
        <v>6693</v>
      </c>
      <c r="G2045" s="156" t="s">
        <v>6707</v>
      </c>
      <c r="H2045" s="18" t="s">
        <v>6708</v>
      </c>
      <c r="K2045" s="156" t="s">
        <v>6709</v>
      </c>
      <c r="L2045" s="18" t="s">
        <v>6710</v>
      </c>
      <c r="M2045" s="18" t="s">
        <v>6711</v>
      </c>
      <c r="N2045" s="16"/>
      <c r="O2045" s="16"/>
      <c r="P2045" s="16"/>
      <c r="Q2045" s="16"/>
      <c r="R2045" s="16"/>
      <c r="S2045" s="16"/>
      <c r="U2045" s="283" t="e">
        <v>#N/A</v>
      </c>
      <c r="V2045" s="18" t="s">
        <v>6715</v>
      </c>
      <c r="W2045" s="18">
        <v>0</v>
      </c>
      <c r="X2045" s="18">
        <v>0</v>
      </c>
      <c r="Y2045" s="18">
        <v>0</v>
      </c>
      <c r="Z2045" s="18">
        <v>1</v>
      </c>
      <c r="AA2045" s="18">
        <v>1</v>
      </c>
      <c r="AB2045" s="18">
        <v>1</v>
      </c>
      <c r="AC2045" s="316">
        <v>0</v>
      </c>
      <c r="AD2045" s="316">
        <v>1</v>
      </c>
      <c r="AE2045" s="302">
        <f t="shared" si="111"/>
        <v>0.5</v>
      </c>
      <c r="AF2045" s="176"/>
      <c r="AG2045" s="17">
        <v>0</v>
      </c>
      <c r="AH2045" s="176">
        <v>0.1</v>
      </c>
      <c r="AI2045" s="176">
        <v>0.5</v>
      </c>
      <c r="AJ2045" s="176">
        <v>0</v>
      </c>
      <c r="AK2045" s="177">
        <v>0</v>
      </c>
      <c r="AL2045" s="177">
        <v>0</v>
      </c>
      <c r="AM2045" s="17">
        <f t="shared" si="112"/>
        <v>0</v>
      </c>
      <c r="AN2045" s="18" t="s">
        <v>570</v>
      </c>
      <c r="AO2045" s="18" t="s">
        <v>2875</v>
      </c>
      <c r="AP2045" s="18" t="s">
        <v>6565</v>
      </c>
    </row>
    <row r="2046" spans="1:42" s="18" customFormat="1" hidden="1" x14ac:dyDescent="0.3">
      <c r="A2046" s="18" t="s">
        <v>1454</v>
      </c>
      <c r="B2046" s="18" t="s">
        <v>6438</v>
      </c>
      <c r="C2046" s="18">
        <v>101</v>
      </c>
      <c r="D2046" s="283" t="s">
        <v>6440</v>
      </c>
      <c r="E2046" s="18" t="s">
        <v>6692</v>
      </c>
      <c r="F2046" s="18" t="s">
        <v>6693</v>
      </c>
      <c r="G2046" s="156" t="s">
        <v>6707</v>
      </c>
      <c r="H2046" s="18" t="s">
        <v>6708</v>
      </c>
      <c r="K2046" s="156" t="s">
        <v>6709</v>
      </c>
      <c r="L2046" s="18" t="s">
        <v>6710</v>
      </c>
      <c r="M2046" s="18" t="s">
        <v>6711</v>
      </c>
      <c r="N2046" s="16"/>
      <c r="O2046" s="16"/>
      <c r="P2046" s="16"/>
      <c r="Q2046" s="16"/>
      <c r="R2046" s="16"/>
      <c r="S2046" s="16"/>
      <c r="U2046" s="283" t="e">
        <v>#N/A</v>
      </c>
      <c r="V2046" s="18" t="s">
        <v>6716</v>
      </c>
      <c r="W2046" s="18">
        <v>0</v>
      </c>
      <c r="X2046" s="18">
        <v>0</v>
      </c>
      <c r="Y2046" s="18">
        <v>0</v>
      </c>
      <c r="Z2046" s="18">
        <v>1</v>
      </c>
      <c r="AA2046" s="18">
        <v>0</v>
      </c>
      <c r="AB2046" s="18">
        <v>1</v>
      </c>
      <c r="AC2046" s="316">
        <v>1</v>
      </c>
      <c r="AD2046" s="316">
        <v>0</v>
      </c>
      <c r="AE2046" s="302">
        <f t="shared" si="111"/>
        <v>0.375</v>
      </c>
      <c r="AF2046" s="176"/>
      <c r="AG2046" s="17">
        <v>0</v>
      </c>
      <c r="AH2046" s="176">
        <v>0</v>
      </c>
      <c r="AI2046" s="176">
        <v>0</v>
      </c>
      <c r="AJ2046" s="176">
        <v>0</v>
      </c>
      <c r="AK2046" s="177">
        <v>0</v>
      </c>
      <c r="AL2046" s="177">
        <v>0</v>
      </c>
      <c r="AM2046" s="17">
        <f t="shared" si="112"/>
        <v>0</v>
      </c>
      <c r="AN2046" s="18" t="s">
        <v>570</v>
      </c>
      <c r="AO2046" s="18" t="s">
        <v>2875</v>
      </c>
      <c r="AP2046" s="18" t="s">
        <v>6717</v>
      </c>
    </row>
    <row r="2047" spans="1:42" s="18" customFormat="1" x14ac:dyDescent="0.3">
      <c r="A2047" s="18" t="s">
        <v>1454</v>
      </c>
      <c r="B2047" s="18" t="s">
        <v>6438</v>
      </c>
      <c r="C2047" s="18">
        <v>101</v>
      </c>
      <c r="D2047" s="283" t="s">
        <v>6440</v>
      </c>
      <c r="E2047" s="18" t="s">
        <v>6692</v>
      </c>
      <c r="F2047" s="18" t="s">
        <v>6693</v>
      </c>
      <c r="G2047" s="156" t="s">
        <v>6707</v>
      </c>
      <c r="H2047" s="18" t="s">
        <v>6708</v>
      </c>
      <c r="K2047" s="156" t="s">
        <v>6709</v>
      </c>
      <c r="L2047" s="18" t="s">
        <v>6710</v>
      </c>
      <c r="M2047" s="18" t="s">
        <v>6711</v>
      </c>
      <c r="N2047" s="16"/>
      <c r="O2047" s="16"/>
      <c r="P2047" s="16"/>
      <c r="Q2047" s="16"/>
      <c r="R2047" s="16"/>
      <c r="S2047" s="16"/>
      <c r="U2047" s="283" t="e">
        <v>#N/A</v>
      </c>
      <c r="V2047" s="18" t="s">
        <v>6718</v>
      </c>
      <c r="W2047" s="18">
        <v>1</v>
      </c>
      <c r="X2047" s="18">
        <v>1</v>
      </c>
      <c r="Y2047" s="18">
        <v>1</v>
      </c>
      <c r="Z2047" s="18">
        <v>1</v>
      </c>
      <c r="AA2047" s="18">
        <v>1</v>
      </c>
      <c r="AB2047" s="18">
        <v>1</v>
      </c>
      <c r="AC2047" s="316">
        <v>1</v>
      </c>
      <c r="AD2047" s="316">
        <v>1</v>
      </c>
      <c r="AE2047" s="302">
        <f t="shared" si="111"/>
        <v>1</v>
      </c>
      <c r="AF2047" s="176"/>
      <c r="AG2047" s="17">
        <v>0</v>
      </c>
      <c r="AH2047" s="176">
        <v>0</v>
      </c>
      <c r="AI2047" s="176">
        <v>0.25</v>
      </c>
      <c r="AJ2047" s="176">
        <v>0.25</v>
      </c>
      <c r="AK2047" s="177">
        <v>0.25</v>
      </c>
      <c r="AL2047" s="177">
        <v>0.25</v>
      </c>
      <c r="AM2047" s="17">
        <f t="shared" si="112"/>
        <v>0.5</v>
      </c>
      <c r="AN2047" s="18" t="s">
        <v>407</v>
      </c>
      <c r="AO2047" s="18" t="s">
        <v>409</v>
      </c>
      <c r="AP2047" s="18" t="s">
        <v>119</v>
      </c>
    </row>
    <row r="2048" spans="1:42" s="18" customFormat="1" hidden="1" x14ac:dyDescent="0.3">
      <c r="A2048" s="18" t="s">
        <v>1454</v>
      </c>
      <c r="B2048" s="18" t="s">
        <v>6438</v>
      </c>
      <c r="C2048" s="18">
        <v>101</v>
      </c>
      <c r="D2048" s="283" t="s">
        <v>6440</v>
      </c>
      <c r="E2048" s="18" t="s">
        <v>6692</v>
      </c>
      <c r="F2048" s="18" t="s">
        <v>6693</v>
      </c>
      <c r="G2048" s="156" t="s">
        <v>6707</v>
      </c>
      <c r="H2048" s="18" t="s">
        <v>6708</v>
      </c>
      <c r="K2048" s="156" t="s">
        <v>6709</v>
      </c>
      <c r="L2048" s="18" t="s">
        <v>6710</v>
      </c>
      <c r="M2048" s="18" t="s">
        <v>6711</v>
      </c>
      <c r="N2048" s="16"/>
      <c r="O2048" s="16"/>
      <c r="P2048" s="16"/>
      <c r="Q2048" s="16"/>
      <c r="R2048" s="16"/>
      <c r="S2048" s="16"/>
      <c r="U2048" s="283" t="e">
        <v>#N/A</v>
      </c>
      <c r="V2048" s="18" t="s">
        <v>6719</v>
      </c>
      <c r="W2048" s="18">
        <v>0</v>
      </c>
      <c r="X2048" s="18">
        <v>0</v>
      </c>
      <c r="Y2048" s="18">
        <v>0</v>
      </c>
      <c r="Z2048" s="18">
        <v>1</v>
      </c>
      <c r="AA2048" s="18">
        <v>0</v>
      </c>
      <c r="AB2048" s="18">
        <v>0</v>
      </c>
      <c r="AC2048" s="316">
        <v>1</v>
      </c>
      <c r="AD2048" s="316">
        <v>1</v>
      </c>
      <c r="AE2048" s="302">
        <f t="shared" si="111"/>
        <v>0.375</v>
      </c>
      <c r="AF2048" s="176"/>
      <c r="AG2048" s="17">
        <v>0</v>
      </c>
      <c r="AH2048" s="176">
        <v>0</v>
      </c>
      <c r="AI2048" s="176">
        <v>0</v>
      </c>
      <c r="AJ2048" s="176">
        <v>0</v>
      </c>
      <c r="AK2048" s="177">
        <v>0</v>
      </c>
      <c r="AL2048" s="177">
        <v>0</v>
      </c>
      <c r="AM2048" s="17">
        <f t="shared" si="112"/>
        <v>0</v>
      </c>
      <c r="AN2048" s="18" t="s">
        <v>2514</v>
      </c>
      <c r="AO2048" s="18" t="s">
        <v>2515</v>
      </c>
      <c r="AP2048" s="18" t="s">
        <v>6543</v>
      </c>
    </row>
    <row r="2049" spans="1:42" s="18" customFormat="1" x14ac:dyDescent="0.3">
      <c r="A2049" s="18" t="s">
        <v>1454</v>
      </c>
      <c r="B2049" s="18" t="s">
        <v>6438</v>
      </c>
      <c r="C2049" s="18">
        <v>101</v>
      </c>
      <c r="D2049" s="283" t="s">
        <v>6440</v>
      </c>
      <c r="E2049" s="18" t="s">
        <v>6692</v>
      </c>
      <c r="F2049" s="18" t="s">
        <v>6693</v>
      </c>
      <c r="G2049" s="156" t="s">
        <v>6707</v>
      </c>
      <c r="H2049" s="18" t="s">
        <v>6708</v>
      </c>
      <c r="K2049" s="156" t="s">
        <v>6709</v>
      </c>
      <c r="L2049" s="18" t="s">
        <v>6710</v>
      </c>
      <c r="M2049" s="18" t="s">
        <v>6711</v>
      </c>
      <c r="N2049" s="16"/>
      <c r="O2049" s="16"/>
      <c r="P2049" s="16"/>
      <c r="Q2049" s="16"/>
      <c r="R2049" s="16"/>
      <c r="S2049" s="16"/>
      <c r="U2049" s="283" t="e">
        <v>#N/A</v>
      </c>
      <c r="V2049" s="18" t="s">
        <v>6720</v>
      </c>
      <c r="W2049" s="18">
        <v>1</v>
      </c>
      <c r="X2049" s="18">
        <v>1</v>
      </c>
      <c r="Y2049" s="18">
        <v>1</v>
      </c>
      <c r="Z2049" s="18">
        <v>1</v>
      </c>
      <c r="AA2049" s="18">
        <v>1</v>
      </c>
      <c r="AB2049" s="18">
        <v>1</v>
      </c>
      <c r="AC2049" s="316">
        <v>1</v>
      </c>
      <c r="AD2049" s="316">
        <v>1</v>
      </c>
      <c r="AE2049" s="302">
        <f t="shared" si="111"/>
        <v>1</v>
      </c>
      <c r="AF2049" s="176"/>
      <c r="AG2049" s="17">
        <v>0</v>
      </c>
      <c r="AH2049" s="176">
        <v>0</v>
      </c>
      <c r="AI2049" s="176">
        <v>1</v>
      </c>
      <c r="AJ2049" s="176">
        <v>1.2</v>
      </c>
      <c r="AK2049" s="177"/>
      <c r="AL2049" s="177">
        <v>10</v>
      </c>
      <c r="AM2049" s="17">
        <f t="shared" si="112"/>
        <v>10</v>
      </c>
      <c r="AN2049" s="18" t="s">
        <v>407</v>
      </c>
      <c r="AO2049" s="18" t="s">
        <v>409</v>
      </c>
      <c r="AP2049" s="18" t="s">
        <v>119</v>
      </c>
    </row>
    <row r="2050" spans="1:42" s="18" customFormat="1" hidden="1" x14ac:dyDescent="0.3">
      <c r="A2050" s="18" t="s">
        <v>1454</v>
      </c>
      <c r="B2050" s="18" t="s">
        <v>6438</v>
      </c>
      <c r="C2050" s="18">
        <v>101</v>
      </c>
      <c r="D2050" s="283" t="s">
        <v>6440</v>
      </c>
      <c r="E2050" s="18" t="s">
        <v>6692</v>
      </c>
      <c r="F2050" s="18" t="s">
        <v>6693</v>
      </c>
      <c r="G2050" s="156" t="s">
        <v>6707</v>
      </c>
      <c r="H2050" s="18" t="s">
        <v>6708</v>
      </c>
      <c r="K2050" s="156" t="s">
        <v>6709</v>
      </c>
      <c r="L2050" s="18" t="s">
        <v>6710</v>
      </c>
      <c r="M2050" s="18" t="s">
        <v>6711</v>
      </c>
      <c r="N2050" s="16"/>
      <c r="O2050" s="16"/>
      <c r="P2050" s="16"/>
      <c r="Q2050" s="16"/>
      <c r="R2050" s="16"/>
      <c r="S2050" s="16"/>
      <c r="U2050" s="283" t="e">
        <v>#N/A</v>
      </c>
      <c r="V2050" s="18" t="s">
        <v>6721</v>
      </c>
      <c r="W2050" s="18">
        <v>0</v>
      </c>
      <c r="X2050" s="18">
        <v>0</v>
      </c>
      <c r="Y2050" s="18">
        <v>1</v>
      </c>
      <c r="Z2050" s="18">
        <v>1</v>
      </c>
      <c r="AA2050" s="18">
        <v>1</v>
      </c>
      <c r="AB2050" s="18">
        <v>1</v>
      </c>
      <c r="AC2050" s="316">
        <v>0</v>
      </c>
      <c r="AD2050" s="316">
        <v>1</v>
      </c>
      <c r="AE2050" s="302">
        <f t="shared" si="111"/>
        <v>0.625</v>
      </c>
      <c r="AF2050" s="176"/>
      <c r="AG2050" s="17">
        <v>0</v>
      </c>
      <c r="AH2050" s="176">
        <v>0</v>
      </c>
      <c r="AI2050" s="176">
        <v>0.6</v>
      </c>
      <c r="AJ2050" s="176">
        <v>0.7</v>
      </c>
      <c r="AK2050" s="177">
        <v>0.8</v>
      </c>
      <c r="AL2050" s="177">
        <v>0.9</v>
      </c>
      <c r="AM2050" s="17">
        <f t="shared" si="112"/>
        <v>1.7000000000000002</v>
      </c>
      <c r="AN2050" s="18" t="s">
        <v>1035</v>
      </c>
      <c r="AO2050" s="18" t="s">
        <v>1037</v>
      </c>
      <c r="AP2050" s="18" t="s">
        <v>6543</v>
      </c>
    </row>
    <row r="2051" spans="1:42" s="18" customFormat="1" hidden="1" x14ac:dyDescent="0.3">
      <c r="A2051" s="18" t="s">
        <v>1454</v>
      </c>
      <c r="B2051" s="18" t="s">
        <v>6438</v>
      </c>
      <c r="C2051" s="18">
        <v>101</v>
      </c>
      <c r="D2051" s="283" t="s">
        <v>6440</v>
      </c>
      <c r="E2051" s="18" t="s">
        <v>6692</v>
      </c>
      <c r="F2051" s="18" t="s">
        <v>6693</v>
      </c>
      <c r="G2051" s="156" t="s">
        <v>6707</v>
      </c>
      <c r="H2051" s="18" t="s">
        <v>6708</v>
      </c>
      <c r="K2051" s="156" t="s">
        <v>6709</v>
      </c>
      <c r="L2051" s="18" t="s">
        <v>6710</v>
      </c>
      <c r="M2051" s="18" t="s">
        <v>6711</v>
      </c>
      <c r="N2051" s="16"/>
      <c r="O2051" s="16"/>
      <c r="P2051" s="16"/>
      <c r="Q2051" s="16"/>
      <c r="R2051" s="16"/>
      <c r="S2051" s="16"/>
      <c r="U2051" s="283" t="e">
        <v>#N/A</v>
      </c>
      <c r="V2051" s="18" t="s">
        <v>6722</v>
      </c>
      <c r="W2051" s="18">
        <v>0</v>
      </c>
      <c r="X2051" s="18">
        <v>0</v>
      </c>
      <c r="Y2051" s="18">
        <v>0</v>
      </c>
      <c r="Z2051" s="18">
        <v>1</v>
      </c>
      <c r="AA2051" s="18">
        <v>1</v>
      </c>
      <c r="AB2051" s="18">
        <v>1</v>
      </c>
      <c r="AC2051" s="316">
        <v>0</v>
      </c>
      <c r="AD2051" s="316">
        <v>1</v>
      </c>
      <c r="AE2051" s="302">
        <f t="shared" si="111"/>
        <v>0.5</v>
      </c>
      <c r="AF2051" s="176"/>
      <c r="AG2051" s="17">
        <v>0</v>
      </c>
      <c r="AH2051" s="176">
        <v>0</v>
      </c>
      <c r="AI2051" s="176">
        <v>0.3</v>
      </c>
      <c r="AJ2051" s="176">
        <v>0</v>
      </c>
      <c r="AK2051" s="177">
        <v>0</v>
      </c>
      <c r="AL2051" s="177">
        <v>0</v>
      </c>
      <c r="AM2051" s="17">
        <f t="shared" si="112"/>
        <v>0</v>
      </c>
      <c r="AN2051" s="18" t="s">
        <v>63</v>
      </c>
      <c r="AO2051" s="18" t="s">
        <v>2510</v>
      </c>
      <c r="AP2051" s="18" t="s">
        <v>6689</v>
      </c>
    </row>
    <row r="2052" spans="1:42" s="18" customFormat="1" hidden="1" x14ac:dyDescent="0.3">
      <c r="A2052" s="18" t="s">
        <v>1454</v>
      </c>
      <c r="B2052" s="18" t="s">
        <v>6438</v>
      </c>
      <c r="C2052" s="18">
        <v>101</v>
      </c>
      <c r="D2052" s="283" t="s">
        <v>6440</v>
      </c>
      <c r="E2052" s="18" t="s">
        <v>6692</v>
      </c>
      <c r="F2052" s="18" t="s">
        <v>6693</v>
      </c>
      <c r="G2052" s="156" t="s">
        <v>6723</v>
      </c>
      <c r="H2052" s="18" t="s">
        <v>6724</v>
      </c>
      <c r="K2052" s="156" t="s">
        <v>6725</v>
      </c>
      <c r="L2052" s="18" t="s">
        <v>6726</v>
      </c>
      <c r="M2052" s="18" t="s">
        <v>6727</v>
      </c>
      <c r="N2052" s="16" t="s">
        <v>6728</v>
      </c>
      <c r="O2052" s="16">
        <v>63</v>
      </c>
      <c r="P2052" s="16">
        <v>60</v>
      </c>
      <c r="Q2052" s="16">
        <v>57</v>
      </c>
      <c r="R2052" s="16">
        <v>55</v>
      </c>
      <c r="S2052" s="16">
        <v>52</v>
      </c>
      <c r="T2052" s="18" t="s">
        <v>570</v>
      </c>
      <c r="U2052" s="283" t="s">
        <v>2875</v>
      </c>
      <c r="V2052" s="18" t="s">
        <v>6729</v>
      </c>
      <c r="W2052" s="18">
        <v>1</v>
      </c>
      <c r="X2052" s="18">
        <v>0</v>
      </c>
      <c r="Y2052" s="18">
        <v>1</v>
      </c>
      <c r="Z2052" s="18">
        <v>1</v>
      </c>
      <c r="AA2052" s="18">
        <v>0</v>
      </c>
      <c r="AB2052" s="18">
        <v>0</v>
      </c>
      <c r="AC2052" s="316">
        <v>1</v>
      </c>
      <c r="AD2052" s="316">
        <v>1</v>
      </c>
      <c r="AE2052" s="302">
        <f t="shared" ref="AE2052:AE2114" si="113">SUM(W2052:AD2052)/8</f>
        <v>0.625</v>
      </c>
      <c r="AF2052" s="176"/>
      <c r="AG2052" s="17">
        <v>0</v>
      </c>
      <c r="AH2052" s="176">
        <v>0</v>
      </c>
      <c r="AI2052" s="176">
        <v>3.7</v>
      </c>
      <c r="AJ2052" s="176">
        <v>3.44</v>
      </c>
      <c r="AK2052" s="177"/>
      <c r="AL2052" s="177"/>
      <c r="AM2052" s="17">
        <f t="shared" ref="AM2052:AM2114" si="114">SUM(AK2052:AL2052)</f>
        <v>0</v>
      </c>
      <c r="AN2052" s="18" t="s">
        <v>63</v>
      </c>
      <c r="AO2052" s="18" t="s">
        <v>2510</v>
      </c>
      <c r="AP2052" s="18" t="s">
        <v>6689</v>
      </c>
    </row>
    <row r="2053" spans="1:42" s="18" customFormat="1" hidden="1" x14ac:dyDescent="0.3">
      <c r="A2053" s="18" t="s">
        <v>1454</v>
      </c>
      <c r="B2053" s="18" t="s">
        <v>6438</v>
      </c>
      <c r="C2053" s="18">
        <v>101</v>
      </c>
      <c r="D2053" s="283" t="s">
        <v>6440</v>
      </c>
      <c r="E2053" s="18" t="s">
        <v>6692</v>
      </c>
      <c r="F2053" s="18" t="s">
        <v>6693</v>
      </c>
      <c r="G2053" s="156" t="s">
        <v>6723</v>
      </c>
      <c r="H2053" s="18" t="s">
        <v>6724</v>
      </c>
      <c r="K2053" s="156" t="s">
        <v>6725</v>
      </c>
      <c r="L2053" s="18" t="s">
        <v>6726</v>
      </c>
      <c r="M2053" s="18" t="s">
        <v>6730</v>
      </c>
      <c r="N2053" s="16">
        <v>30</v>
      </c>
      <c r="O2053" s="16">
        <v>35</v>
      </c>
      <c r="P2053" s="16">
        <v>40</v>
      </c>
      <c r="Q2053" s="16">
        <v>45</v>
      </c>
      <c r="R2053" s="16">
        <v>50</v>
      </c>
      <c r="S2053" s="16">
        <v>55</v>
      </c>
      <c r="T2053" s="18" t="s">
        <v>570</v>
      </c>
      <c r="U2053" s="283" t="s">
        <v>2875</v>
      </c>
      <c r="V2053" s="18" t="s">
        <v>6731</v>
      </c>
      <c r="W2053" s="18">
        <v>1</v>
      </c>
      <c r="X2053" s="18">
        <v>1</v>
      </c>
      <c r="Y2053" s="18">
        <v>0</v>
      </c>
      <c r="Z2053" s="18">
        <v>1</v>
      </c>
      <c r="AA2053" s="18">
        <v>0</v>
      </c>
      <c r="AB2053" s="18">
        <v>1</v>
      </c>
      <c r="AC2053" s="316">
        <v>0</v>
      </c>
      <c r="AD2053" s="316">
        <v>1</v>
      </c>
      <c r="AE2053" s="302">
        <f t="shared" si="113"/>
        <v>0.625</v>
      </c>
      <c r="AF2053" s="176"/>
      <c r="AG2053" s="17">
        <v>0</v>
      </c>
      <c r="AH2053" s="176">
        <v>1</v>
      </c>
      <c r="AI2053" s="176">
        <v>2</v>
      </c>
      <c r="AJ2053" s="176">
        <v>2.7</v>
      </c>
      <c r="AK2053" s="177">
        <v>1</v>
      </c>
      <c r="AL2053" s="177">
        <v>2</v>
      </c>
      <c r="AM2053" s="17">
        <f t="shared" si="114"/>
        <v>3</v>
      </c>
      <c r="AN2053" s="18" t="s">
        <v>570</v>
      </c>
      <c r="AO2053" s="18" t="s">
        <v>2875</v>
      </c>
      <c r="AP2053" s="18" t="s">
        <v>6732</v>
      </c>
    </row>
    <row r="2054" spans="1:42" s="18" customFormat="1" hidden="1" x14ac:dyDescent="0.3">
      <c r="A2054" s="18" t="s">
        <v>1454</v>
      </c>
      <c r="B2054" s="18" t="s">
        <v>6438</v>
      </c>
      <c r="C2054" s="18">
        <v>101</v>
      </c>
      <c r="D2054" s="283" t="s">
        <v>6440</v>
      </c>
      <c r="E2054" s="18" t="s">
        <v>6692</v>
      </c>
      <c r="F2054" s="18" t="s">
        <v>6693</v>
      </c>
      <c r="G2054" s="156" t="s">
        <v>6723</v>
      </c>
      <c r="H2054" s="18" t="s">
        <v>6724</v>
      </c>
      <c r="K2054" s="156" t="s">
        <v>6725</v>
      </c>
      <c r="L2054" s="18" t="s">
        <v>6726</v>
      </c>
      <c r="M2054" s="18" t="s">
        <v>6733</v>
      </c>
      <c r="N2054" s="16">
        <v>18</v>
      </c>
      <c r="O2054" s="16">
        <v>25</v>
      </c>
      <c r="P2054" s="16">
        <v>31</v>
      </c>
      <c r="Q2054" s="16">
        <v>37</v>
      </c>
      <c r="R2054" s="16">
        <v>43</v>
      </c>
      <c r="S2054" s="16">
        <v>50</v>
      </c>
      <c r="T2054" s="18" t="s">
        <v>570</v>
      </c>
      <c r="U2054" s="283" t="s">
        <v>2875</v>
      </c>
      <c r="V2054" s="18" t="s">
        <v>6734</v>
      </c>
      <c r="W2054" s="18">
        <v>0</v>
      </c>
      <c r="X2054" s="18">
        <v>0</v>
      </c>
      <c r="Y2054" s="18">
        <v>0</v>
      </c>
      <c r="Z2054" s="18">
        <v>1</v>
      </c>
      <c r="AA2054" s="18">
        <v>1</v>
      </c>
      <c r="AB2054" s="18">
        <v>1</v>
      </c>
      <c r="AC2054" s="316">
        <v>1</v>
      </c>
      <c r="AD2054" s="316">
        <v>1</v>
      </c>
      <c r="AE2054" s="302">
        <f t="shared" si="113"/>
        <v>0.625</v>
      </c>
      <c r="AF2054" s="176"/>
      <c r="AG2054" s="17">
        <v>0</v>
      </c>
      <c r="AH2054" s="176">
        <v>0</v>
      </c>
      <c r="AI2054" s="176">
        <v>2.2999999999999998</v>
      </c>
      <c r="AJ2054" s="176">
        <v>0.5</v>
      </c>
      <c r="AK2054" s="177"/>
      <c r="AL2054" s="177"/>
      <c r="AM2054" s="17">
        <f t="shared" si="114"/>
        <v>0</v>
      </c>
      <c r="AN2054" s="18" t="s">
        <v>570</v>
      </c>
      <c r="AO2054" s="18" t="s">
        <v>2875</v>
      </c>
      <c r="AP2054" s="18" t="s">
        <v>6735</v>
      </c>
    </row>
    <row r="2055" spans="1:42" s="18" customFormat="1" hidden="1" x14ac:dyDescent="0.3">
      <c r="A2055" s="18" t="s">
        <v>1454</v>
      </c>
      <c r="B2055" s="18" t="s">
        <v>6438</v>
      </c>
      <c r="C2055" s="18">
        <v>101</v>
      </c>
      <c r="D2055" s="283" t="s">
        <v>6440</v>
      </c>
      <c r="E2055" s="18" t="s">
        <v>6692</v>
      </c>
      <c r="F2055" s="18" t="s">
        <v>6693</v>
      </c>
      <c r="G2055" s="156" t="s">
        <v>6723</v>
      </c>
      <c r="H2055" s="18" t="s">
        <v>6724</v>
      </c>
      <c r="K2055" s="156" t="s">
        <v>6725</v>
      </c>
      <c r="L2055" s="18" t="s">
        <v>6726</v>
      </c>
      <c r="M2055" s="18" t="s">
        <v>6733</v>
      </c>
      <c r="N2055" s="16"/>
      <c r="O2055" s="16"/>
      <c r="P2055" s="16"/>
      <c r="Q2055" s="16"/>
      <c r="R2055" s="16"/>
      <c r="S2055" s="16"/>
      <c r="U2055" s="283" t="e">
        <v>#N/A</v>
      </c>
      <c r="V2055" s="18" t="s">
        <v>6736</v>
      </c>
      <c r="W2055" s="18">
        <v>0</v>
      </c>
      <c r="X2055" s="18">
        <v>0</v>
      </c>
      <c r="Y2055" s="18">
        <v>0</v>
      </c>
      <c r="Z2055" s="18">
        <v>0</v>
      </c>
      <c r="AA2055" s="18">
        <v>1</v>
      </c>
      <c r="AB2055" s="18">
        <v>1</v>
      </c>
      <c r="AC2055" s="316">
        <v>0</v>
      </c>
      <c r="AD2055" s="316">
        <v>1</v>
      </c>
      <c r="AE2055" s="302">
        <f t="shared" si="113"/>
        <v>0.375</v>
      </c>
      <c r="AF2055" s="176"/>
      <c r="AG2055" s="17">
        <v>0</v>
      </c>
      <c r="AH2055" s="176">
        <v>0</v>
      </c>
      <c r="AI2055" s="176">
        <v>1.8</v>
      </c>
      <c r="AJ2055" s="176">
        <v>0.35</v>
      </c>
      <c r="AK2055" s="177"/>
      <c r="AL2055" s="177"/>
      <c r="AM2055" s="17">
        <f t="shared" si="114"/>
        <v>0</v>
      </c>
      <c r="AN2055" s="18" t="s">
        <v>570</v>
      </c>
      <c r="AO2055" s="18" t="s">
        <v>2875</v>
      </c>
      <c r="AP2055" s="18" t="s">
        <v>6735</v>
      </c>
    </row>
    <row r="2056" spans="1:42" s="18" customFormat="1" hidden="1" x14ac:dyDescent="0.3">
      <c r="A2056" s="18" t="s">
        <v>1454</v>
      </c>
      <c r="B2056" s="18" t="s">
        <v>6438</v>
      </c>
      <c r="C2056" s="18">
        <v>101</v>
      </c>
      <c r="D2056" s="283" t="s">
        <v>6440</v>
      </c>
      <c r="E2056" s="18" t="s">
        <v>6692</v>
      </c>
      <c r="F2056" s="18" t="s">
        <v>6693</v>
      </c>
      <c r="G2056" s="156" t="s">
        <v>6723</v>
      </c>
      <c r="H2056" s="18" t="s">
        <v>6724</v>
      </c>
      <c r="K2056" s="156" t="s">
        <v>6725</v>
      </c>
      <c r="L2056" s="18" t="s">
        <v>6726</v>
      </c>
      <c r="M2056" s="18" t="s">
        <v>6733</v>
      </c>
      <c r="N2056" s="16"/>
      <c r="O2056" s="16"/>
      <c r="P2056" s="16"/>
      <c r="Q2056" s="16"/>
      <c r="R2056" s="16"/>
      <c r="S2056" s="16"/>
      <c r="U2056" s="283" t="e">
        <v>#N/A</v>
      </c>
      <c r="V2056" s="18" t="s">
        <v>6737</v>
      </c>
      <c r="W2056" s="18">
        <v>0</v>
      </c>
      <c r="X2056" s="18">
        <v>0</v>
      </c>
      <c r="Y2056" s="18">
        <v>0</v>
      </c>
      <c r="Z2056" s="18">
        <v>1</v>
      </c>
      <c r="AA2056" s="18">
        <v>1</v>
      </c>
      <c r="AB2056" s="18">
        <v>0</v>
      </c>
      <c r="AC2056" s="316">
        <v>1</v>
      </c>
      <c r="AD2056" s="316">
        <v>1</v>
      </c>
      <c r="AE2056" s="302">
        <f t="shared" si="113"/>
        <v>0.5</v>
      </c>
      <c r="AF2056" s="176"/>
      <c r="AG2056" s="17">
        <v>0</v>
      </c>
      <c r="AH2056" s="176">
        <v>0</v>
      </c>
      <c r="AI2056" s="176">
        <v>0</v>
      </c>
      <c r="AJ2056" s="176">
        <v>0</v>
      </c>
      <c r="AK2056" s="177"/>
      <c r="AL2056" s="177">
        <v>0</v>
      </c>
      <c r="AM2056" s="17">
        <f t="shared" si="114"/>
        <v>0</v>
      </c>
      <c r="AN2056" s="18" t="s">
        <v>63</v>
      </c>
      <c r="AO2056" s="18" t="s">
        <v>2510</v>
      </c>
      <c r="AP2056" s="18" t="s">
        <v>6611</v>
      </c>
    </row>
    <row r="2057" spans="1:42" s="18" customFormat="1" hidden="1" x14ac:dyDescent="0.3">
      <c r="A2057" s="18" t="s">
        <v>1454</v>
      </c>
      <c r="B2057" s="18" t="s">
        <v>6438</v>
      </c>
      <c r="C2057" s="18">
        <v>101</v>
      </c>
      <c r="D2057" s="283" t="s">
        <v>6440</v>
      </c>
      <c r="E2057" s="18" t="s">
        <v>6692</v>
      </c>
      <c r="F2057" s="18" t="s">
        <v>6693</v>
      </c>
      <c r="G2057" s="156" t="s">
        <v>6738</v>
      </c>
      <c r="H2057" s="18" t="s">
        <v>6739</v>
      </c>
      <c r="K2057" s="156" t="s">
        <v>6740</v>
      </c>
      <c r="L2057" s="18" t="s">
        <v>6741</v>
      </c>
      <c r="M2057" s="18" t="s">
        <v>6742</v>
      </c>
      <c r="N2057" s="16">
        <v>14</v>
      </c>
      <c r="O2057" s="16">
        <v>32</v>
      </c>
      <c r="P2057" s="16">
        <v>41</v>
      </c>
      <c r="Q2057" s="16">
        <v>53</v>
      </c>
      <c r="R2057" s="16">
        <v>67</v>
      </c>
      <c r="S2057" s="16">
        <v>82</v>
      </c>
      <c r="T2057" s="18" t="s">
        <v>570</v>
      </c>
      <c r="U2057" s="283" t="s">
        <v>2875</v>
      </c>
      <c r="V2057" s="18" t="s">
        <v>6743</v>
      </c>
      <c r="W2057" s="18">
        <v>0</v>
      </c>
      <c r="X2057" s="18">
        <v>0</v>
      </c>
      <c r="Y2057" s="18">
        <v>0</v>
      </c>
      <c r="Z2057" s="18">
        <v>0</v>
      </c>
      <c r="AA2057" s="18">
        <v>1</v>
      </c>
      <c r="AB2057" s="18">
        <v>1</v>
      </c>
      <c r="AC2057" s="316">
        <v>1</v>
      </c>
      <c r="AD2057" s="316">
        <v>1</v>
      </c>
      <c r="AE2057" s="302">
        <f t="shared" si="113"/>
        <v>0.5</v>
      </c>
      <c r="AF2057" s="176"/>
      <c r="AG2057" s="17">
        <v>0</v>
      </c>
      <c r="AH2057" s="176">
        <v>0</v>
      </c>
      <c r="AI2057" s="176">
        <v>0.4</v>
      </c>
      <c r="AJ2057" s="176">
        <v>0.4</v>
      </c>
      <c r="AK2057" s="177"/>
      <c r="AL2057" s="177"/>
      <c r="AM2057" s="17">
        <f t="shared" si="114"/>
        <v>0</v>
      </c>
      <c r="AN2057" s="18" t="s">
        <v>63</v>
      </c>
      <c r="AO2057" s="18" t="s">
        <v>2510</v>
      </c>
      <c r="AP2057" s="18" t="s">
        <v>6744</v>
      </c>
    </row>
    <row r="2058" spans="1:42" s="18" customFormat="1" hidden="1" x14ac:dyDescent="0.3">
      <c r="A2058" s="18" t="s">
        <v>1454</v>
      </c>
      <c r="B2058" s="18" t="s">
        <v>6438</v>
      </c>
      <c r="C2058" s="18">
        <v>101</v>
      </c>
      <c r="D2058" s="283" t="s">
        <v>6440</v>
      </c>
      <c r="E2058" s="18" t="s">
        <v>6692</v>
      </c>
      <c r="F2058" s="18" t="s">
        <v>6693</v>
      </c>
      <c r="G2058" s="156" t="s">
        <v>6738</v>
      </c>
      <c r="H2058" s="18" t="s">
        <v>6739</v>
      </c>
      <c r="K2058" s="156" t="s">
        <v>6745</v>
      </c>
      <c r="L2058" s="18" t="s">
        <v>6746</v>
      </c>
      <c r="M2058" s="18" t="s">
        <v>6747</v>
      </c>
      <c r="N2058" s="16">
        <v>0</v>
      </c>
      <c r="O2058" s="16">
        <v>10</v>
      </c>
      <c r="P2058" s="16">
        <v>20</v>
      </c>
      <c r="Q2058" s="16">
        <v>30</v>
      </c>
      <c r="R2058" s="16">
        <v>40</v>
      </c>
      <c r="S2058" s="16">
        <v>50</v>
      </c>
      <c r="T2058" s="18" t="s">
        <v>570</v>
      </c>
      <c r="U2058" s="283" t="s">
        <v>2875</v>
      </c>
      <c r="V2058" s="18" t="s">
        <v>6748</v>
      </c>
      <c r="W2058" s="18">
        <v>0</v>
      </c>
      <c r="X2058" s="18">
        <v>0</v>
      </c>
      <c r="Y2058" s="18">
        <v>0</v>
      </c>
      <c r="Z2058" s="18">
        <v>0</v>
      </c>
      <c r="AA2058" s="18">
        <v>1</v>
      </c>
      <c r="AB2058" s="18">
        <v>1</v>
      </c>
      <c r="AC2058" s="316">
        <v>1</v>
      </c>
      <c r="AD2058" s="316">
        <v>1</v>
      </c>
      <c r="AE2058" s="302">
        <f t="shared" si="113"/>
        <v>0.5</v>
      </c>
      <c r="AF2058" s="176"/>
      <c r="AG2058" s="17">
        <v>0</v>
      </c>
      <c r="AH2058" s="176">
        <v>0</v>
      </c>
      <c r="AI2058" s="176">
        <v>0.6</v>
      </c>
      <c r="AJ2058" s="176">
        <v>0.7</v>
      </c>
      <c r="AK2058" s="177"/>
      <c r="AL2058" s="177"/>
      <c r="AM2058" s="17">
        <f t="shared" si="114"/>
        <v>0</v>
      </c>
      <c r="AN2058" s="18" t="s">
        <v>63</v>
      </c>
      <c r="AO2058" s="18" t="s">
        <v>2510</v>
      </c>
      <c r="AP2058" s="18" t="s">
        <v>3829</v>
      </c>
    </row>
    <row r="2059" spans="1:42" s="18" customFormat="1" hidden="1" x14ac:dyDescent="0.3">
      <c r="A2059" s="18" t="s">
        <v>1454</v>
      </c>
      <c r="B2059" s="18" t="s">
        <v>6438</v>
      </c>
      <c r="C2059" s="18">
        <v>101</v>
      </c>
      <c r="D2059" s="283" t="s">
        <v>6440</v>
      </c>
      <c r="E2059" s="18" t="s">
        <v>6692</v>
      </c>
      <c r="F2059" s="18" t="s">
        <v>6693</v>
      </c>
      <c r="G2059" s="156" t="s">
        <v>6738</v>
      </c>
      <c r="H2059" s="18" t="s">
        <v>6739</v>
      </c>
      <c r="K2059" s="156" t="s">
        <v>6745</v>
      </c>
      <c r="L2059" s="18" t="s">
        <v>6746</v>
      </c>
      <c r="M2059" s="18" t="s">
        <v>6747</v>
      </c>
      <c r="N2059" s="16"/>
      <c r="O2059" s="16"/>
      <c r="P2059" s="16"/>
      <c r="Q2059" s="16"/>
      <c r="R2059" s="16"/>
      <c r="S2059" s="16"/>
      <c r="U2059" s="283" t="e">
        <v>#N/A</v>
      </c>
      <c r="V2059" s="18" t="s">
        <v>6749</v>
      </c>
      <c r="W2059" s="18">
        <v>0</v>
      </c>
      <c r="X2059" s="18">
        <v>0</v>
      </c>
      <c r="Y2059" s="18">
        <v>0</v>
      </c>
      <c r="Z2059" s="18">
        <v>0</v>
      </c>
      <c r="AA2059" s="18">
        <v>0</v>
      </c>
      <c r="AB2059" s="18">
        <v>0</v>
      </c>
      <c r="AC2059" s="316">
        <v>1</v>
      </c>
      <c r="AD2059" s="316">
        <v>1</v>
      </c>
      <c r="AE2059" s="302">
        <f t="shared" si="113"/>
        <v>0.25</v>
      </c>
      <c r="AF2059" s="176"/>
      <c r="AG2059" s="17">
        <v>0</v>
      </c>
      <c r="AH2059" s="176">
        <v>0</v>
      </c>
      <c r="AI2059" s="176">
        <v>0.2</v>
      </c>
      <c r="AJ2059" s="176">
        <v>0.2</v>
      </c>
      <c r="AK2059" s="177"/>
      <c r="AL2059" s="177"/>
      <c r="AM2059" s="17">
        <f t="shared" si="114"/>
        <v>0</v>
      </c>
      <c r="AN2059" s="18" t="s">
        <v>63</v>
      </c>
      <c r="AO2059" s="18" t="s">
        <v>2510</v>
      </c>
      <c r="AP2059" s="18" t="s">
        <v>119</v>
      </c>
    </row>
    <row r="2060" spans="1:42" s="18" customFormat="1" hidden="1" x14ac:dyDescent="0.3">
      <c r="A2060" s="18" t="s">
        <v>1454</v>
      </c>
      <c r="B2060" s="18" t="s">
        <v>6438</v>
      </c>
      <c r="C2060" s="18">
        <v>101</v>
      </c>
      <c r="D2060" s="283" t="s">
        <v>6440</v>
      </c>
      <c r="E2060" s="18" t="s">
        <v>6692</v>
      </c>
      <c r="F2060" s="18" t="s">
        <v>6693</v>
      </c>
      <c r="G2060" s="156" t="s">
        <v>6750</v>
      </c>
      <c r="H2060" s="18" t="s">
        <v>6751</v>
      </c>
      <c r="K2060" s="156" t="s">
        <v>6752</v>
      </c>
      <c r="L2060" s="18" t="s">
        <v>6753</v>
      </c>
      <c r="N2060" s="16"/>
      <c r="O2060" s="16"/>
      <c r="P2060" s="16"/>
      <c r="Q2060" s="16"/>
      <c r="R2060" s="16"/>
      <c r="S2060" s="16"/>
      <c r="U2060" s="283" t="e">
        <v>#N/A</v>
      </c>
      <c r="V2060" s="18" t="s">
        <v>6754</v>
      </c>
      <c r="W2060" s="18">
        <v>0</v>
      </c>
      <c r="X2060" s="18">
        <v>0</v>
      </c>
      <c r="Y2060" s="18">
        <v>0</v>
      </c>
      <c r="Z2060" s="18">
        <v>1</v>
      </c>
      <c r="AA2060" s="18">
        <v>0</v>
      </c>
      <c r="AB2060" s="18">
        <v>0</v>
      </c>
      <c r="AC2060" s="316">
        <v>0</v>
      </c>
      <c r="AD2060" s="316">
        <v>0</v>
      </c>
      <c r="AE2060" s="302">
        <f t="shared" si="113"/>
        <v>0.125</v>
      </c>
      <c r="AF2060" s="176"/>
      <c r="AG2060" s="17">
        <v>0</v>
      </c>
      <c r="AH2060" s="176">
        <v>0.4</v>
      </c>
      <c r="AI2060" s="176">
        <v>0.6</v>
      </c>
      <c r="AJ2060" s="176">
        <v>0.7</v>
      </c>
      <c r="AK2060" s="177"/>
      <c r="AL2060" s="177"/>
      <c r="AM2060" s="17">
        <f t="shared" si="114"/>
        <v>0</v>
      </c>
      <c r="AN2060" s="18" t="s">
        <v>570</v>
      </c>
      <c r="AO2060" s="18" t="s">
        <v>2875</v>
      </c>
      <c r="AP2060" s="18" t="s">
        <v>119</v>
      </c>
    </row>
    <row r="2061" spans="1:42" s="18" customFormat="1" hidden="1" x14ac:dyDescent="0.3">
      <c r="A2061" s="18" t="s">
        <v>1454</v>
      </c>
      <c r="B2061" s="18" t="s">
        <v>6438</v>
      </c>
      <c r="C2061" s="18">
        <v>101</v>
      </c>
      <c r="D2061" s="283" t="s">
        <v>6440</v>
      </c>
      <c r="E2061" s="18" t="s">
        <v>6692</v>
      </c>
      <c r="F2061" s="18" t="s">
        <v>6693</v>
      </c>
      <c r="G2061" s="156" t="s">
        <v>6750</v>
      </c>
      <c r="H2061" s="18" t="s">
        <v>6751</v>
      </c>
      <c r="K2061" s="156" t="s">
        <v>6752</v>
      </c>
      <c r="L2061" s="18" t="s">
        <v>6753</v>
      </c>
      <c r="N2061" s="16"/>
      <c r="O2061" s="16"/>
      <c r="P2061" s="16"/>
      <c r="Q2061" s="16"/>
      <c r="R2061" s="16"/>
      <c r="S2061" s="16"/>
      <c r="U2061" s="283" t="e">
        <v>#N/A</v>
      </c>
      <c r="V2061" s="18" t="s">
        <v>6755</v>
      </c>
      <c r="W2061" s="18">
        <v>0</v>
      </c>
      <c r="X2061" s="18">
        <v>0</v>
      </c>
      <c r="Y2061" s="18">
        <v>0</v>
      </c>
      <c r="Z2061" s="18">
        <v>1</v>
      </c>
      <c r="AA2061" s="18">
        <v>0</v>
      </c>
      <c r="AB2061" s="18">
        <v>0</v>
      </c>
      <c r="AC2061" s="316">
        <v>1</v>
      </c>
      <c r="AD2061" s="316">
        <v>1</v>
      </c>
      <c r="AE2061" s="302">
        <f t="shared" si="113"/>
        <v>0.375</v>
      </c>
      <c r="AF2061" s="176"/>
      <c r="AG2061" s="17">
        <v>0</v>
      </c>
      <c r="AH2061" s="176">
        <v>0</v>
      </c>
      <c r="AI2061" s="176">
        <v>0.8</v>
      </c>
      <c r="AJ2061" s="176">
        <v>0.8</v>
      </c>
      <c r="AK2061" s="177"/>
      <c r="AL2061" s="177"/>
      <c r="AM2061" s="17">
        <f t="shared" si="114"/>
        <v>0</v>
      </c>
      <c r="AN2061" s="18" t="s">
        <v>570</v>
      </c>
      <c r="AO2061" s="18" t="s">
        <v>2875</v>
      </c>
      <c r="AP2061" s="18" t="s">
        <v>6703</v>
      </c>
    </row>
    <row r="2062" spans="1:42" s="18" customFormat="1" x14ac:dyDescent="0.3">
      <c r="A2062" s="18" t="s">
        <v>1454</v>
      </c>
      <c r="B2062" s="18" t="s">
        <v>6438</v>
      </c>
      <c r="C2062" s="18">
        <v>101</v>
      </c>
      <c r="D2062" s="283" t="s">
        <v>6440</v>
      </c>
      <c r="E2062" s="18" t="s">
        <v>6692</v>
      </c>
      <c r="F2062" s="18" t="s">
        <v>6693</v>
      </c>
      <c r="G2062" s="156" t="s">
        <v>6750</v>
      </c>
      <c r="H2062" s="18" t="s">
        <v>6751</v>
      </c>
      <c r="K2062" s="156" t="s">
        <v>6752</v>
      </c>
      <c r="L2062" s="18" t="s">
        <v>6753</v>
      </c>
      <c r="N2062" s="16"/>
      <c r="O2062" s="16"/>
      <c r="P2062" s="16"/>
      <c r="Q2062" s="16"/>
      <c r="R2062" s="16"/>
      <c r="S2062" s="16"/>
      <c r="U2062" s="283" t="e">
        <v>#N/A</v>
      </c>
      <c r="V2062" s="18" t="s">
        <v>6756</v>
      </c>
      <c r="W2062" s="18">
        <v>1</v>
      </c>
      <c r="X2062" s="18">
        <v>1</v>
      </c>
      <c r="Y2062" s="18">
        <v>0</v>
      </c>
      <c r="Z2062" s="18">
        <v>1</v>
      </c>
      <c r="AA2062" s="18">
        <v>1</v>
      </c>
      <c r="AB2062" s="18">
        <v>1</v>
      </c>
      <c r="AC2062" s="316">
        <v>1</v>
      </c>
      <c r="AD2062" s="316">
        <v>1</v>
      </c>
      <c r="AE2062" s="302">
        <f t="shared" si="113"/>
        <v>0.875</v>
      </c>
      <c r="AF2062" s="176"/>
      <c r="AG2062" s="17">
        <v>0</v>
      </c>
      <c r="AH2062" s="176">
        <v>0.4</v>
      </c>
      <c r="AI2062" s="176">
        <v>0.6</v>
      </c>
      <c r="AJ2062" s="176">
        <v>0.7</v>
      </c>
      <c r="AK2062" s="177">
        <v>5</v>
      </c>
      <c r="AL2062" s="177">
        <v>5</v>
      </c>
      <c r="AM2062" s="17">
        <f t="shared" si="114"/>
        <v>10</v>
      </c>
      <c r="AN2062" s="18" t="s">
        <v>570</v>
      </c>
      <c r="AO2062" s="18" t="s">
        <v>2875</v>
      </c>
      <c r="AP2062" s="18" t="s">
        <v>6565</v>
      </c>
    </row>
    <row r="2063" spans="1:42" s="18" customFormat="1" x14ac:dyDescent="0.3">
      <c r="A2063" s="18" t="s">
        <v>1454</v>
      </c>
      <c r="B2063" s="18" t="s">
        <v>6438</v>
      </c>
      <c r="C2063" s="18">
        <v>101</v>
      </c>
      <c r="D2063" s="283" t="s">
        <v>6440</v>
      </c>
      <c r="E2063" s="18" t="s">
        <v>6692</v>
      </c>
      <c r="F2063" s="18" t="s">
        <v>6693</v>
      </c>
      <c r="G2063" s="156" t="s">
        <v>6750</v>
      </c>
      <c r="H2063" s="18" t="s">
        <v>6751</v>
      </c>
      <c r="I2063" s="156" t="s">
        <v>6757</v>
      </c>
      <c r="J2063" s="18" t="s">
        <v>6758</v>
      </c>
      <c r="K2063" s="156" t="s">
        <v>6759</v>
      </c>
      <c r="L2063" s="18" t="s">
        <v>6760</v>
      </c>
      <c r="M2063" s="18" t="s">
        <v>6761</v>
      </c>
      <c r="N2063" s="16">
        <v>14</v>
      </c>
      <c r="O2063" s="16">
        <v>32</v>
      </c>
      <c r="P2063" s="16">
        <v>41</v>
      </c>
      <c r="Q2063" s="16">
        <v>53</v>
      </c>
      <c r="R2063" s="16">
        <v>67</v>
      </c>
      <c r="S2063" s="16">
        <v>82</v>
      </c>
      <c r="T2063" s="18" t="s">
        <v>570</v>
      </c>
      <c r="U2063" s="283" t="s">
        <v>2875</v>
      </c>
      <c r="V2063" s="18" t="s">
        <v>6762</v>
      </c>
      <c r="W2063" s="18">
        <v>1</v>
      </c>
      <c r="X2063" s="18">
        <v>1</v>
      </c>
      <c r="Y2063" s="18">
        <v>0</v>
      </c>
      <c r="Z2063" s="18">
        <v>1</v>
      </c>
      <c r="AA2063" s="18">
        <v>1</v>
      </c>
      <c r="AB2063" s="18">
        <v>1</v>
      </c>
      <c r="AC2063" s="316">
        <v>1</v>
      </c>
      <c r="AD2063" s="316">
        <v>1</v>
      </c>
      <c r="AE2063" s="302">
        <f t="shared" si="113"/>
        <v>0.875</v>
      </c>
      <c r="AF2063" s="176"/>
      <c r="AG2063" s="17">
        <v>0</v>
      </c>
      <c r="AH2063" s="176">
        <v>0</v>
      </c>
      <c r="AI2063" s="176">
        <v>4</v>
      </c>
      <c r="AJ2063" s="176">
        <v>6</v>
      </c>
      <c r="AK2063" s="177">
        <v>1</v>
      </c>
      <c r="AL2063" s="177">
        <v>1</v>
      </c>
      <c r="AM2063" s="17">
        <f t="shared" si="114"/>
        <v>2</v>
      </c>
      <c r="AN2063" s="18" t="s">
        <v>407</v>
      </c>
      <c r="AO2063" s="18" t="s">
        <v>409</v>
      </c>
      <c r="AP2063" s="18" t="s">
        <v>119</v>
      </c>
    </row>
    <row r="2064" spans="1:42" s="18" customFormat="1" x14ac:dyDescent="0.3">
      <c r="A2064" s="18" t="s">
        <v>1454</v>
      </c>
      <c r="B2064" s="18" t="s">
        <v>6438</v>
      </c>
      <c r="C2064" s="18">
        <v>101</v>
      </c>
      <c r="D2064" s="283" t="s">
        <v>6440</v>
      </c>
      <c r="E2064" s="18" t="s">
        <v>6692</v>
      </c>
      <c r="F2064" s="18" t="s">
        <v>6693</v>
      </c>
      <c r="G2064" s="156" t="s">
        <v>6750</v>
      </c>
      <c r="H2064" s="18" t="s">
        <v>6751</v>
      </c>
      <c r="I2064" s="156" t="s">
        <v>6757</v>
      </c>
      <c r="J2064" s="18" t="s">
        <v>6758</v>
      </c>
      <c r="K2064" s="156" t="s">
        <v>6759</v>
      </c>
      <c r="L2064" s="18" t="s">
        <v>6760</v>
      </c>
      <c r="M2064" s="18" t="s">
        <v>6761</v>
      </c>
      <c r="N2064" s="16"/>
      <c r="O2064" s="16"/>
      <c r="P2064" s="16"/>
      <c r="Q2064" s="16"/>
      <c r="R2064" s="16"/>
      <c r="S2064" s="16"/>
      <c r="U2064" s="283" t="e">
        <v>#N/A</v>
      </c>
      <c r="V2064" s="18" t="s">
        <v>6763</v>
      </c>
      <c r="W2064" s="18">
        <v>1</v>
      </c>
      <c r="X2064" s="18">
        <v>1</v>
      </c>
      <c r="Y2064" s="18">
        <v>0</v>
      </c>
      <c r="Z2064" s="18">
        <v>1</v>
      </c>
      <c r="AA2064" s="18">
        <v>1</v>
      </c>
      <c r="AB2064" s="18">
        <v>1</v>
      </c>
      <c r="AC2064" s="316">
        <v>1</v>
      </c>
      <c r="AD2064" s="316">
        <v>1</v>
      </c>
      <c r="AE2064" s="302">
        <f t="shared" si="113"/>
        <v>0.875</v>
      </c>
      <c r="AF2064" s="176"/>
      <c r="AG2064" s="17">
        <v>0</v>
      </c>
      <c r="AH2064" s="176">
        <v>0</v>
      </c>
      <c r="AI2064" s="176">
        <v>7.0000000000000007E-2</v>
      </c>
      <c r="AJ2064" s="176">
        <v>7.0000000000000007E-2</v>
      </c>
      <c r="AK2064" s="177"/>
      <c r="AL2064" s="177"/>
      <c r="AM2064" s="17">
        <f t="shared" si="114"/>
        <v>0</v>
      </c>
      <c r="AN2064" s="18" t="s">
        <v>407</v>
      </c>
      <c r="AO2064" s="18" t="s">
        <v>409</v>
      </c>
      <c r="AP2064" s="18" t="s">
        <v>119</v>
      </c>
    </row>
    <row r="2065" spans="1:42" s="18" customFormat="1" hidden="1" x14ac:dyDescent="0.3">
      <c r="A2065" s="18" t="s">
        <v>1454</v>
      </c>
      <c r="B2065" s="18" t="s">
        <v>6438</v>
      </c>
      <c r="C2065" s="18">
        <v>101</v>
      </c>
      <c r="D2065" s="283" t="s">
        <v>6440</v>
      </c>
      <c r="E2065" s="18" t="s">
        <v>6692</v>
      </c>
      <c r="F2065" s="18" t="s">
        <v>6693</v>
      </c>
      <c r="G2065" s="156" t="s">
        <v>6750</v>
      </c>
      <c r="H2065" s="18" t="s">
        <v>6751</v>
      </c>
      <c r="I2065" s="156" t="s">
        <v>6757</v>
      </c>
      <c r="J2065" s="18" t="s">
        <v>6758</v>
      </c>
      <c r="K2065" s="156" t="s">
        <v>6759</v>
      </c>
      <c r="L2065" s="18" t="s">
        <v>6760</v>
      </c>
      <c r="M2065" s="18" t="s">
        <v>6761</v>
      </c>
      <c r="N2065" s="16"/>
      <c r="O2065" s="16"/>
      <c r="P2065" s="16"/>
      <c r="Q2065" s="16"/>
      <c r="R2065" s="16"/>
      <c r="S2065" s="16"/>
      <c r="U2065" s="283" t="e">
        <v>#N/A</v>
      </c>
      <c r="V2065" s="18" t="s">
        <v>6764</v>
      </c>
      <c r="W2065" s="18">
        <v>0</v>
      </c>
      <c r="X2065" s="18">
        <v>0</v>
      </c>
      <c r="Y2065" s="18">
        <v>0</v>
      </c>
      <c r="Z2065" s="18">
        <v>1</v>
      </c>
      <c r="AA2065" s="18">
        <v>1</v>
      </c>
      <c r="AB2065" s="18">
        <v>1</v>
      </c>
      <c r="AC2065" s="316">
        <v>1</v>
      </c>
      <c r="AD2065" s="316">
        <v>0</v>
      </c>
      <c r="AE2065" s="302">
        <f t="shared" si="113"/>
        <v>0.5</v>
      </c>
      <c r="AF2065" s="176"/>
      <c r="AG2065" s="17">
        <v>0</v>
      </c>
      <c r="AH2065" s="176">
        <v>0.6</v>
      </c>
      <c r="AI2065" s="176">
        <v>0.65</v>
      </c>
      <c r="AJ2065" s="176">
        <v>0.65</v>
      </c>
      <c r="AK2065" s="177"/>
      <c r="AL2065" s="177"/>
      <c r="AM2065" s="17">
        <f t="shared" si="114"/>
        <v>0</v>
      </c>
      <c r="AN2065" s="18" t="s">
        <v>407</v>
      </c>
      <c r="AO2065" s="18" t="s">
        <v>409</v>
      </c>
      <c r="AP2065" s="18" t="s">
        <v>119</v>
      </c>
    </row>
    <row r="2066" spans="1:42" s="18" customFormat="1" hidden="1" x14ac:dyDescent="0.3">
      <c r="A2066" s="18" t="s">
        <v>1454</v>
      </c>
      <c r="B2066" s="18" t="s">
        <v>6438</v>
      </c>
      <c r="C2066" s="18">
        <v>101</v>
      </c>
      <c r="D2066" s="283" t="s">
        <v>6440</v>
      </c>
      <c r="E2066" s="18" t="s">
        <v>6692</v>
      </c>
      <c r="F2066" s="18" t="s">
        <v>6693</v>
      </c>
      <c r="G2066" s="156" t="s">
        <v>6750</v>
      </c>
      <c r="H2066" s="18" t="s">
        <v>6751</v>
      </c>
      <c r="I2066" s="156" t="s">
        <v>6757</v>
      </c>
      <c r="J2066" s="18" t="s">
        <v>6758</v>
      </c>
      <c r="K2066" s="156" t="s">
        <v>6759</v>
      </c>
      <c r="L2066" s="18" t="s">
        <v>6760</v>
      </c>
      <c r="M2066" s="18" t="s">
        <v>6761</v>
      </c>
      <c r="N2066" s="16"/>
      <c r="O2066" s="16"/>
      <c r="P2066" s="16"/>
      <c r="Q2066" s="16"/>
      <c r="R2066" s="16"/>
      <c r="S2066" s="16"/>
      <c r="U2066" s="283" t="e">
        <v>#N/A</v>
      </c>
      <c r="V2066" s="18" t="s">
        <v>6765</v>
      </c>
      <c r="W2066" s="18">
        <v>0</v>
      </c>
      <c r="X2066" s="18">
        <v>0</v>
      </c>
      <c r="Y2066" s="18">
        <v>0</v>
      </c>
      <c r="Z2066" s="18">
        <v>1</v>
      </c>
      <c r="AA2066" s="18">
        <v>1</v>
      </c>
      <c r="AB2066" s="18">
        <v>1</v>
      </c>
      <c r="AC2066" s="316">
        <v>1</v>
      </c>
      <c r="AD2066" s="316">
        <v>0</v>
      </c>
      <c r="AE2066" s="302">
        <f t="shared" si="113"/>
        <v>0.5</v>
      </c>
      <c r="AF2066" s="176"/>
      <c r="AG2066" s="17">
        <v>0</v>
      </c>
      <c r="AH2066" s="176">
        <v>0.4</v>
      </c>
      <c r="AI2066" s="176">
        <v>0.6</v>
      </c>
      <c r="AJ2066" s="176">
        <v>0.7</v>
      </c>
      <c r="AK2066" s="177"/>
      <c r="AL2066" s="177"/>
      <c r="AM2066" s="17">
        <f t="shared" si="114"/>
        <v>0</v>
      </c>
      <c r="AN2066" s="18" t="s">
        <v>407</v>
      </c>
      <c r="AO2066" s="18" t="s">
        <v>409</v>
      </c>
      <c r="AP2066" s="18" t="s">
        <v>3829</v>
      </c>
    </row>
    <row r="2067" spans="1:42" s="18" customFormat="1" x14ac:dyDescent="0.3">
      <c r="A2067" s="18" t="s">
        <v>1454</v>
      </c>
      <c r="B2067" s="18" t="s">
        <v>6438</v>
      </c>
      <c r="C2067" s="18">
        <v>101</v>
      </c>
      <c r="D2067" s="283" t="s">
        <v>6440</v>
      </c>
      <c r="E2067" s="18" t="s">
        <v>6692</v>
      </c>
      <c r="F2067" s="18" t="s">
        <v>6693</v>
      </c>
      <c r="G2067" s="156" t="s">
        <v>6750</v>
      </c>
      <c r="H2067" s="18" t="s">
        <v>6751</v>
      </c>
      <c r="I2067" s="156" t="s">
        <v>6757</v>
      </c>
      <c r="J2067" s="18" t="s">
        <v>6758</v>
      </c>
      <c r="K2067" s="156" t="s">
        <v>6759</v>
      </c>
      <c r="L2067" s="18" t="s">
        <v>6760</v>
      </c>
      <c r="M2067" s="18" t="s">
        <v>6761</v>
      </c>
      <c r="N2067" s="16"/>
      <c r="O2067" s="16"/>
      <c r="P2067" s="16"/>
      <c r="Q2067" s="16"/>
      <c r="R2067" s="16"/>
      <c r="S2067" s="16"/>
      <c r="U2067" s="283" t="e">
        <v>#N/A</v>
      </c>
      <c r="V2067" s="18" t="s">
        <v>6766</v>
      </c>
      <c r="W2067" s="18">
        <v>1</v>
      </c>
      <c r="X2067" s="18">
        <v>1</v>
      </c>
      <c r="Y2067" s="18">
        <v>0</v>
      </c>
      <c r="Z2067" s="18">
        <v>0</v>
      </c>
      <c r="AA2067" s="18">
        <v>1</v>
      </c>
      <c r="AB2067" s="18">
        <v>1</v>
      </c>
      <c r="AC2067" s="316">
        <v>1</v>
      </c>
      <c r="AD2067" s="316">
        <v>1</v>
      </c>
      <c r="AE2067" s="302">
        <f t="shared" si="113"/>
        <v>0.75</v>
      </c>
      <c r="AF2067" s="176"/>
      <c r="AG2067" s="17">
        <v>0</v>
      </c>
      <c r="AH2067" s="176">
        <v>0</v>
      </c>
      <c r="AI2067" s="176">
        <v>0.6</v>
      </c>
      <c r="AJ2067" s="176">
        <v>4.7</v>
      </c>
      <c r="AK2067" s="177">
        <v>15</v>
      </c>
      <c r="AL2067" s="177">
        <v>20</v>
      </c>
      <c r="AM2067" s="17">
        <f t="shared" si="114"/>
        <v>35</v>
      </c>
      <c r="AN2067" s="18" t="s">
        <v>570</v>
      </c>
      <c r="AO2067" s="18" t="s">
        <v>2875</v>
      </c>
      <c r="AP2067" s="18" t="s">
        <v>3829</v>
      </c>
    </row>
    <row r="2068" spans="1:42" s="18" customFormat="1" hidden="1" x14ac:dyDescent="0.3">
      <c r="A2068" s="18" t="s">
        <v>1454</v>
      </c>
      <c r="B2068" s="18" t="s">
        <v>6438</v>
      </c>
      <c r="C2068" s="18">
        <v>101</v>
      </c>
      <c r="D2068" s="283" t="s">
        <v>6440</v>
      </c>
      <c r="E2068" s="18" t="s">
        <v>6692</v>
      </c>
      <c r="F2068" s="18" t="s">
        <v>6693</v>
      </c>
      <c r="G2068" s="156" t="s">
        <v>6750</v>
      </c>
      <c r="H2068" s="18" t="s">
        <v>6751</v>
      </c>
      <c r="I2068" s="156" t="s">
        <v>6767</v>
      </c>
      <c r="J2068" s="18" t="s">
        <v>6768</v>
      </c>
      <c r="K2068" s="156" t="s">
        <v>6769</v>
      </c>
      <c r="L2068" s="18" t="s">
        <v>6770</v>
      </c>
      <c r="M2068" s="18" t="s">
        <v>6771</v>
      </c>
      <c r="N2068" s="16">
        <v>3</v>
      </c>
      <c r="O2068" s="16">
        <v>2</v>
      </c>
      <c r="P2068" s="16">
        <v>1.6</v>
      </c>
      <c r="Q2068" s="16">
        <v>1.2</v>
      </c>
      <c r="R2068" s="16">
        <v>0.5</v>
      </c>
      <c r="S2068" s="16">
        <v>0.3</v>
      </c>
      <c r="T2068" s="18" t="s">
        <v>570</v>
      </c>
      <c r="U2068" s="283" t="s">
        <v>2875</v>
      </c>
      <c r="V2068" s="18" t="s">
        <v>6772</v>
      </c>
      <c r="W2068" s="18">
        <v>0</v>
      </c>
      <c r="X2068" s="18">
        <v>0</v>
      </c>
      <c r="Y2068" s="18">
        <v>0</v>
      </c>
      <c r="Z2068" s="18">
        <v>0</v>
      </c>
      <c r="AA2068" s="18">
        <v>1</v>
      </c>
      <c r="AB2068" s="18">
        <v>0</v>
      </c>
      <c r="AC2068" s="316">
        <v>0</v>
      </c>
      <c r="AD2068" s="316">
        <v>0</v>
      </c>
      <c r="AE2068" s="302">
        <f t="shared" si="113"/>
        <v>0.125</v>
      </c>
      <c r="AF2068" s="176"/>
      <c r="AG2068" s="17">
        <v>0</v>
      </c>
      <c r="AH2068" s="176">
        <v>2</v>
      </c>
      <c r="AI2068" s="176">
        <v>1.6</v>
      </c>
      <c r="AJ2068" s="176">
        <v>1.2</v>
      </c>
      <c r="AK2068" s="177"/>
      <c r="AL2068" s="177"/>
      <c r="AM2068" s="17">
        <f t="shared" si="114"/>
        <v>0</v>
      </c>
      <c r="AN2068" s="18" t="s">
        <v>3643</v>
      </c>
      <c r="AO2068" s="18" t="s">
        <v>3630</v>
      </c>
      <c r="AP2068" s="18" t="s">
        <v>1167</v>
      </c>
    </row>
    <row r="2069" spans="1:42" s="18" customFormat="1" hidden="1" x14ac:dyDescent="0.3">
      <c r="A2069" s="18" t="s">
        <v>1454</v>
      </c>
      <c r="B2069" s="18" t="s">
        <v>6438</v>
      </c>
      <c r="C2069" s="18">
        <v>101</v>
      </c>
      <c r="D2069" s="283" t="s">
        <v>6440</v>
      </c>
      <c r="E2069" s="18" t="s">
        <v>6692</v>
      </c>
      <c r="F2069" s="18" t="s">
        <v>6693</v>
      </c>
      <c r="G2069" s="156" t="s">
        <v>6750</v>
      </c>
      <c r="H2069" s="18" t="s">
        <v>6751</v>
      </c>
      <c r="I2069" s="156" t="s">
        <v>6767</v>
      </c>
      <c r="J2069" s="18" t="s">
        <v>6768</v>
      </c>
      <c r="K2069" s="156" t="s">
        <v>6769</v>
      </c>
      <c r="L2069" s="18" t="s">
        <v>6770</v>
      </c>
      <c r="N2069" s="16"/>
      <c r="O2069" s="16"/>
      <c r="P2069" s="16"/>
      <c r="Q2069" s="16"/>
      <c r="R2069" s="16"/>
      <c r="S2069" s="16"/>
      <c r="U2069" s="283" t="e">
        <v>#N/A</v>
      </c>
      <c r="V2069" s="18" t="s">
        <v>6773</v>
      </c>
      <c r="W2069" s="18">
        <v>0</v>
      </c>
      <c r="X2069" s="18">
        <v>0</v>
      </c>
      <c r="Y2069" s="18">
        <v>0</v>
      </c>
      <c r="Z2069" s="18">
        <v>0</v>
      </c>
      <c r="AA2069" s="18">
        <v>0</v>
      </c>
      <c r="AB2069" s="18">
        <v>0</v>
      </c>
      <c r="AC2069" s="316">
        <v>0</v>
      </c>
      <c r="AD2069" s="316">
        <v>0</v>
      </c>
      <c r="AE2069" s="302">
        <f t="shared" si="113"/>
        <v>0</v>
      </c>
      <c r="AF2069" s="176"/>
      <c r="AG2069" s="17">
        <v>0</v>
      </c>
      <c r="AH2069" s="176">
        <v>0.7</v>
      </c>
      <c r="AI2069" s="176">
        <v>0.8</v>
      </c>
      <c r="AJ2069" s="176">
        <v>0.7</v>
      </c>
      <c r="AK2069" s="177"/>
      <c r="AL2069" s="177"/>
      <c r="AM2069" s="17">
        <f t="shared" si="114"/>
        <v>0</v>
      </c>
      <c r="AN2069" s="18" t="s">
        <v>1167</v>
      </c>
      <c r="AO2069" s="18" t="s">
        <v>1170</v>
      </c>
      <c r="AP2069" s="18" t="s">
        <v>119</v>
      </c>
    </row>
    <row r="2070" spans="1:42" s="18" customFormat="1" hidden="1" x14ac:dyDescent="0.3">
      <c r="A2070" s="18" t="s">
        <v>1454</v>
      </c>
      <c r="B2070" s="18" t="s">
        <v>6438</v>
      </c>
      <c r="C2070" s="18">
        <v>101</v>
      </c>
      <c r="D2070" s="283" t="s">
        <v>6440</v>
      </c>
      <c r="E2070" s="18" t="s">
        <v>6692</v>
      </c>
      <c r="F2070" s="18" t="s">
        <v>6693</v>
      </c>
      <c r="G2070" s="156" t="s">
        <v>6750</v>
      </c>
      <c r="H2070" s="18" t="s">
        <v>6751</v>
      </c>
      <c r="I2070" s="156" t="s">
        <v>6767</v>
      </c>
      <c r="J2070" s="18" t="s">
        <v>6768</v>
      </c>
      <c r="K2070" s="156" t="s">
        <v>6769</v>
      </c>
      <c r="L2070" s="18" t="s">
        <v>6770</v>
      </c>
      <c r="N2070" s="16"/>
      <c r="O2070" s="16"/>
      <c r="P2070" s="16"/>
      <c r="Q2070" s="16"/>
      <c r="R2070" s="16"/>
      <c r="S2070" s="16"/>
      <c r="U2070" s="283" t="e">
        <v>#N/A</v>
      </c>
      <c r="V2070" s="18" t="s">
        <v>6774</v>
      </c>
      <c r="W2070" s="18">
        <v>0</v>
      </c>
      <c r="X2070" s="18">
        <v>0</v>
      </c>
      <c r="Y2070" s="18">
        <v>0</v>
      </c>
      <c r="Z2070" s="18">
        <v>0</v>
      </c>
      <c r="AA2070" s="18">
        <v>0</v>
      </c>
      <c r="AB2070" s="18">
        <v>0</v>
      </c>
      <c r="AC2070" s="316">
        <v>0</v>
      </c>
      <c r="AD2070" s="316">
        <v>0</v>
      </c>
      <c r="AE2070" s="302">
        <f t="shared" si="113"/>
        <v>0</v>
      </c>
      <c r="AF2070" s="176"/>
      <c r="AG2070" s="17">
        <v>0</v>
      </c>
      <c r="AH2070" s="176">
        <v>8</v>
      </c>
      <c r="AI2070" s="176">
        <v>8</v>
      </c>
      <c r="AJ2070" s="176">
        <v>8</v>
      </c>
      <c r="AK2070" s="177"/>
      <c r="AL2070" s="177"/>
      <c r="AM2070" s="17">
        <f t="shared" si="114"/>
        <v>0</v>
      </c>
      <c r="AN2070" s="18" t="s">
        <v>1167</v>
      </c>
      <c r="AO2070" s="18" t="s">
        <v>1170</v>
      </c>
      <c r="AP2070" s="18" t="s">
        <v>119</v>
      </c>
    </row>
    <row r="2071" spans="1:42" s="18" customFormat="1" hidden="1" x14ac:dyDescent="0.3">
      <c r="A2071" s="18" t="s">
        <v>1454</v>
      </c>
      <c r="B2071" s="18" t="s">
        <v>6438</v>
      </c>
      <c r="C2071" s="18">
        <v>101</v>
      </c>
      <c r="D2071" s="283" t="s">
        <v>6440</v>
      </c>
      <c r="E2071" s="18" t="s">
        <v>6692</v>
      </c>
      <c r="F2071" s="18" t="s">
        <v>6693</v>
      </c>
      <c r="G2071" s="156" t="s">
        <v>6750</v>
      </c>
      <c r="H2071" s="18" t="s">
        <v>6751</v>
      </c>
      <c r="I2071" s="156" t="s">
        <v>6767</v>
      </c>
      <c r="J2071" s="18" t="s">
        <v>6768</v>
      </c>
      <c r="K2071" s="156" t="s">
        <v>6769</v>
      </c>
      <c r="L2071" s="18" t="s">
        <v>6770</v>
      </c>
      <c r="N2071" s="16"/>
      <c r="O2071" s="16"/>
      <c r="P2071" s="16"/>
      <c r="Q2071" s="16"/>
      <c r="R2071" s="16"/>
      <c r="S2071" s="16"/>
      <c r="U2071" s="283" t="e">
        <v>#N/A</v>
      </c>
      <c r="V2071" s="18" t="s">
        <v>6775</v>
      </c>
      <c r="W2071" s="18">
        <v>0</v>
      </c>
      <c r="X2071" s="18">
        <v>0</v>
      </c>
      <c r="Y2071" s="18">
        <v>0</v>
      </c>
      <c r="Z2071" s="18">
        <v>0</v>
      </c>
      <c r="AA2071" s="18">
        <v>0</v>
      </c>
      <c r="AB2071" s="18">
        <v>0</v>
      </c>
      <c r="AC2071" s="316">
        <v>0</v>
      </c>
      <c r="AD2071" s="316">
        <v>0</v>
      </c>
      <c r="AE2071" s="302">
        <f t="shared" si="113"/>
        <v>0</v>
      </c>
      <c r="AF2071" s="176"/>
      <c r="AG2071" s="17">
        <v>0</v>
      </c>
      <c r="AH2071" s="176">
        <v>0.4</v>
      </c>
      <c r="AI2071" s="176">
        <v>0.6</v>
      </c>
      <c r="AJ2071" s="176">
        <v>0.7</v>
      </c>
      <c r="AK2071" s="177"/>
      <c r="AL2071" s="177"/>
      <c r="AM2071" s="17">
        <f t="shared" si="114"/>
        <v>0</v>
      </c>
      <c r="AN2071" s="18" t="s">
        <v>1167</v>
      </c>
      <c r="AO2071" s="18" t="s">
        <v>1170</v>
      </c>
      <c r="AP2071" s="18" t="s">
        <v>3640</v>
      </c>
    </row>
    <row r="2072" spans="1:42" s="18" customFormat="1" hidden="1" x14ac:dyDescent="0.3">
      <c r="A2072" s="18" t="s">
        <v>1454</v>
      </c>
      <c r="B2072" s="18" t="s">
        <v>6438</v>
      </c>
      <c r="C2072" s="18">
        <v>101</v>
      </c>
      <c r="D2072" s="283" t="s">
        <v>6440</v>
      </c>
      <c r="E2072" s="18" t="s">
        <v>6692</v>
      </c>
      <c r="F2072" s="18" t="s">
        <v>6693</v>
      </c>
      <c r="G2072" s="156" t="s">
        <v>6750</v>
      </c>
      <c r="H2072" s="18" t="s">
        <v>6751</v>
      </c>
      <c r="I2072" s="156" t="s">
        <v>6767</v>
      </c>
      <c r="J2072" s="18" t="s">
        <v>6768</v>
      </c>
      <c r="K2072" s="156" t="s">
        <v>6769</v>
      </c>
      <c r="L2072" s="18" t="s">
        <v>6770</v>
      </c>
      <c r="N2072" s="16"/>
      <c r="O2072" s="16"/>
      <c r="P2072" s="16"/>
      <c r="Q2072" s="16"/>
      <c r="R2072" s="16"/>
      <c r="S2072" s="16"/>
      <c r="U2072" s="283" t="e">
        <v>#N/A</v>
      </c>
      <c r="V2072" s="18" t="s">
        <v>6776</v>
      </c>
      <c r="W2072" s="18">
        <v>0</v>
      </c>
      <c r="X2072" s="18">
        <v>0</v>
      </c>
      <c r="Y2072" s="18">
        <v>0</v>
      </c>
      <c r="Z2072" s="18">
        <v>0</v>
      </c>
      <c r="AA2072" s="18">
        <v>0</v>
      </c>
      <c r="AB2072" s="18">
        <v>0</v>
      </c>
      <c r="AC2072" s="316">
        <v>0</v>
      </c>
      <c r="AD2072" s="316">
        <v>0</v>
      </c>
      <c r="AE2072" s="302">
        <f t="shared" si="113"/>
        <v>0</v>
      </c>
      <c r="AF2072" s="176"/>
      <c r="AG2072" s="17">
        <v>0</v>
      </c>
      <c r="AH2072" s="176">
        <v>0.4</v>
      </c>
      <c r="AI2072" s="176">
        <v>0.6</v>
      </c>
      <c r="AJ2072" s="176">
        <v>0.7</v>
      </c>
      <c r="AK2072" s="177"/>
      <c r="AL2072" s="177"/>
      <c r="AM2072" s="17">
        <f t="shared" si="114"/>
        <v>0</v>
      </c>
      <c r="AN2072" s="18" t="s">
        <v>1167</v>
      </c>
      <c r="AO2072" s="18" t="s">
        <v>1170</v>
      </c>
      <c r="AP2072" s="18" t="s">
        <v>119</v>
      </c>
    </row>
    <row r="2073" spans="1:42" s="18" customFormat="1" x14ac:dyDescent="0.3">
      <c r="A2073" s="18" t="s">
        <v>1454</v>
      </c>
      <c r="B2073" s="18" t="s">
        <v>6438</v>
      </c>
      <c r="C2073" s="18">
        <v>101</v>
      </c>
      <c r="D2073" s="283" t="s">
        <v>6440</v>
      </c>
      <c r="E2073" s="18" t="s">
        <v>6692</v>
      </c>
      <c r="F2073" s="18" t="s">
        <v>6693</v>
      </c>
      <c r="G2073" s="156" t="s">
        <v>6777</v>
      </c>
      <c r="H2073" s="18" t="s">
        <v>6778</v>
      </c>
      <c r="K2073" s="156" t="s">
        <v>6779</v>
      </c>
      <c r="L2073" s="18" t="s">
        <v>6780</v>
      </c>
      <c r="M2073" s="18" t="s">
        <v>6781</v>
      </c>
      <c r="N2073" s="16">
        <v>120</v>
      </c>
      <c r="O2073" s="16">
        <v>300</v>
      </c>
      <c r="P2073" s="16">
        <v>600</v>
      </c>
      <c r="Q2073" s="16">
        <v>913</v>
      </c>
      <c r="R2073" s="16">
        <v>1200</v>
      </c>
      <c r="S2073" s="16">
        <v>2000</v>
      </c>
      <c r="T2073" s="18" t="s">
        <v>570</v>
      </c>
      <c r="U2073" s="283" t="s">
        <v>2875</v>
      </c>
      <c r="V2073" s="18" t="s">
        <v>6782</v>
      </c>
      <c r="W2073" s="18">
        <v>1</v>
      </c>
      <c r="X2073" s="18">
        <v>0</v>
      </c>
      <c r="Y2073" s="18">
        <v>0</v>
      </c>
      <c r="Z2073" s="18">
        <v>1</v>
      </c>
      <c r="AA2073" s="18">
        <v>1</v>
      </c>
      <c r="AB2073" s="18">
        <v>1</v>
      </c>
      <c r="AC2073" s="316">
        <v>1</v>
      </c>
      <c r="AD2073" s="316">
        <v>1</v>
      </c>
      <c r="AE2073" s="302">
        <f t="shared" si="113"/>
        <v>0.75</v>
      </c>
      <c r="AF2073" s="176"/>
      <c r="AG2073" s="17">
        <v>0</v>
      </c>
      <c r="AH2073" s="176">
        <v>0.55000000000000004</v>
      </c>
      <c r="AI2073" s="176">
        <v>0.57999999999999996</v>
      </c>
      <c r="AJ2073" s="176">
        <v>0.61</v>
      </c>
      <c r="AK2073" s="177">
        <v>2</v>
      </c>
      <c r="AL2073" s="177">
        <v>3</v>
      </c>
      <c r="AM2073" s="17">
        <f t="shared" si="114"/>
        <v>5</v>
      </c>
      <c r="AN2073" s="18" t="s">
        <v>570</v>
      </c>
      <c r="AO2073" s="18" t="s">
        <v>2875</v>
      </c>
      <c r="AP2073" s="18" t="s">
        <v>119</v>
      </c>
    </row>
    <row r="2074" spans="1:42" s="18" customFormat="1" hidden="1" x14ac:dyDescent="0.3">
      <c r="A2074" s="18" t="s">
        <v>1454</v>
      </c>
      <c r="B2074" s="18" t="s">
        <v>6438</v>
      </c>
      <c r="C2074" s="18">
        <v>101</v>
      </c>
      <c r="D2074" s="283" t="s">
        <v>6440</v>
      </c>
      <c r="E2074" s="18" t="s">
        <v>6692</v>
      </c>
      <c r="F2074" s="18" t="s">
        <v>6693</v>
      </c>
      <c r="G2074" s="156" t="s">
        <v>6777</v>
      </c>
      <c r="H2074" s="18" t="s">
        <v>6778</v>
      </c>
      <c r="K2074" s="156" t="s">
        <v>6783</v>
      </c>
      <c r="L2074" s="18" t="s">
        <v>6784</v>
      </c>
      <c r="M2074" s="18" t="s">
        <v>6785</v>
      </c>
      <c r="N2074" s="16">
        <v>4</v>
      </c>
      <c r="O2074" s="16">
        <v>13</v>
      </c>
      <c r="P2074" s="16">
        <v>19</v>
      </c>
      <c r="Q2074" s="16">
        <v>29</v>
      </c>
      <c r="R2074" s="16">
        <v>40</v>
      </c>
      <c r="S2074" s="16">
        <v>50</v>
      </c>
      <c r="T2074" s="18" t="s">
        <v>570</v>
      </c>
      <c r="U2074" s="283" t="s">
        <v>2875</v>
      </c>
      <c r="V2074" s="18" t="s">
        <v>6786</v>
      </c>
      <c r="W2074" s="18">
        <v>1</v>
      </c>
      <c r="X2074" s="18">
        <v>0</v>
      </c>
      <c r="Y2074" s="18">
        <v>0</v>
      </c>
      <c r="Z2074" s="18">
        <v>1</v>
      </c>
      <c r="AA2074" s="18">
        <v>1</v>
      </c>
      <c r="AB2074" s="18">
        <v>1</v>
      </c>
      <c r="AC2074" s="316">
        <v>0</v>
      </c>
      <c r="AD2074" s="316">
        <v>0</v>
      </c>
      <c r="AE2074" s="302">
        <f t="shared" si="113"/>
        <v>0.5</v>
      </c>
      <c r="AF2074" s="176"/>
      <c r="AG2074" s="17">
        <v>0</v>
      </c>
      <c r="AH2074" s="176">
        <v>3</v>
      </c>
      <c r="AI2074" s="176">
        <v>3</v>
      </c>
      <c r="AJ2074" s="176">
        <v>3</v>
      </c>
      <c r="AK2074" s="177"/>
      <c r="AL2074" s="177"/>
      <c r="AM2074" s="17">
        <f t="shared" si="114"/>
        <v>0</v>
      </c>
      <c r="AN2074" s="18" t="s">
        <v>570</v>
      </c>
      <c r="AO2074" s="18" t="s">
        <v>2875</v>
      </c>
      <c r="AP2074" s="18" t="s">
        <v>119</v>
      </c>
    </row>
    <row r="2075" spans="1:42" s="18" customFormat="1" x14ac:dyDescent="0.3">
      <c r="A2075" s="18" t="s">
        <v>1454</v>
      </c>
      <c r="B2075" s="18" t="s">
        <v>6438</v>
      </c>
      <c r="C2075" s="18">
        <v>101</v>
      </c>
      <c r="D2075" s="283" t="s">
        <v>6440</v>
      </c>
      <c r="E2075" s="18" t="s">
        <v>6692</v>
      </c>
      <c r="F2075" s="18" t="s">
        <v>6693</v>
      </c>
      <c r="G2075" s="156" t="s">
        <v>6787</v>
      </c>
      <c r="H2075" s="18" t="s">
        <v>6788</v>
      </c>
      <c r="K2075" s="156" t="s">
        <v>6789</v>
      </c>
      <c r="L2075" s="18" t="s">
        <v>6790</v>
      </c>
      <c r="M2075" s="18" t="s">
        <v>6791</v>
      </c>
      <c r="N2075" s="16">
        <v>5</v>
      </c>
      <c r="O2075" s="16">
        <v>10</v>
      </c>
      <c r="P2075" s="16">
        <v>16</v>
      </c>
      <c r="Q2075" s="16">
        <v>20</v>
      </c>
      <c r="R2075" s="16">
        <v>26</v>
      </c>
      <c r="S2075" s="16">
        <v>30</v>
      </c>
      <c r="T2075" s="18" t="s">
        <v>570</v>
      </c>
      <c r="U2075" s="283" t="s">
        <v>2875</v>
      </c>
      <c r="V2075" s="18" t="s">
        <v>6792</v>
      </c>
      <c r="W2075" s="18">
        <v>1</v>
      </c>
      <c r="X2075" s="18">
        <v>0</v>
      </c>
      <c r="Y2075" s="18">
        <v>0</v>
      </c>
      <c r="Z2075" s="18">
        <v>1</v>
      </c>
      <c r="AA2075" s="18">
        <v>1</v>
      </c>
      <c r="AB2075" s="18">
        <v>1</v>
      </c>
      <c r="AC2075" s="316">
        <v>1</v>
      </c>
      <c r="AD2075" s="316">
        <v>1</v>
      </c>
      <c r="AE2075" s="302">
        <f t="shared" si="113"/>
        <v>0.75</v>
      </c>
      <c r="AF2075" s="176"/>
      <c r="AG2075" s="17">
        <v>0</v>
      </c>
      <c r="AH2075" s="176">
        <v>5.4363930095484241</v>
      </c>
      <c r="AI2075" s="176">
        <v>5.8</v>
      </c>
      <c r="AJ2075" s="176">
        <v>6.09</v>
      </c>
      <c r="AK2075" s="177">
        <v>1</v>
      </c>
      <c r="AL2075" s="177">
        <v>1</v>
      </c>
      <c r="AM2075" s="17">
        <f t="shared" si="114"/>
        <v>2</v>
      </c>
      <c r="AN2075" s="18" t="s">
        <v>570</v>
      </c>
      <c r="AO2075" s="18" t="s">
        <v>2875</v>
      </c>
      <c r="AP2075" s="18" t="s">
        <v>119</v>
      </c>
    </row>
    <row r="2076" spans="1:42" s="18" customFormat="1" x14ac:dyDescent="0.3">
      <c r="A2076" s="18" t="s">
        <v>1454</v>
      </c>
      <c r="B2076" s="18" t="s">
        <v>6438</v>
      </c>
      <c r="C2076" s="18">
        <v>102</v>
      </c>
      <c r="D2076" s="18" t="s">
        <v>6793</v>
      </c>
      <c r="E2076" s="18" t="s">
        <v>6794</v>
      </c>
      <c r="F2076" s="18" t="s">
        <v>6795</v>
      </c>
      <c r="G2076" s="156" t="s">
        <v>6796</v>
      </c>
      <c r="H2076" s="18" t="s">
        <v>6797</v>
      </c>
      <c r="K2076" s="156" t="s">
        <v>6798</v>
      </c>
      <c r="L2076" s="18" t="s">
        <v>6799</v>
      </c>
      <c r="M2076" s="18" t="s">
        <v>6800</v>
      </c>
      <c r="N2076" s="16">
        <v>0</v>
      </c>
      <c r="O2076" s="16">
        <v>10</v>
      </c>
      <c r="P2076" s="16">
        <v>50</v>
      </c>
      <c r="Q2076" s="16">
        <v>100</v>
      </c>
      <c r="R2076" s="16">
        <v>100</v>
      </c>
      <c r="S2076" s="16">
        <v>100</v>
      </c>
      <c r="T2076" s="18" t="s">
        <v>570</v>
      </c>
      <c r="U2076" s="283" t="s">
        <v>2875</v>
      </c>
      <c r="V2076" s="18" t="s">
        <v>6801</v>
      </c>
      <c r="W2076" s="18">
        <v>1</v>
      </c>
      <c r="X2076" s="18">
        <v>1</v>
      </c>
      <c r="Y2076" s="18">
        <v>0</v>
      </c>
      <c r="Z2076" s="18">
        <v>1</v>
      </c>
      <c r="AA2076" s="18">
        <v>1</v>
      </c>
      <c r="AB2076" s="18">
        <v>1</v>
      </c>
      <c r="AC2076" s="316">
        <v>1</v>
      </c>
      <c r="AD2076" s="316">
        <v>1</v>
      </c>
      <c r="AE2076" s="302">
        <f t="shared" si="113"/>
        <v>0.875</v>
      </c>
      <c r="AF2076" s="176"/>
      <c r="AG2076" s="17">
        <v>0</v>
      </c>
      <c r="AH2076" s="176">
        <v>0</v>
      </c>
      <c r="AI2076" s="176">
        <v>22</v>
      </c>
      <c r="AJ2076" s="176">
        <v>23</v>
      </c>
      <c r="AK2076" s="177">
        <v>30</v>
      </c>
      <c r="AL2076" s="177">
        <v>45</v>
      </c>
      <c r="AM2076" s="17">
        <f t="shared" si="114"/>
        <v>75</v>
      </c>
      <c r="AN2076" s="18" t="s">
        <v>570</v>
      </c>
      <c r="AO2076" s="18" t="s">
        <v>2875</v>
      </c>
      <c r="AP2076" s="18" t="s">
        <v>2514</v>
      </c>
    </row>
    <row r="2077" spans="1:42" s="18" customFormat="1" x14ac:dyDescent="0.3">
      <c r="A2077" s="18" t="s">
        <v>1454</v>
      </c>
      <c r="B2077" s="18" t="s">
        <v>6438</v>
      </c>
      <c r="C2077" s="18">
        <v>102</v>
      </c>
      <c r="D2077" s="18" t="s">
        <v>6793</v>
      </c>
      <c r="E2077" s="18" t="s">
        <v>6794</v>
      </c>
      <c r="F2077" s="18" t="s">
        <v>6795</v>
      </c>
      <c r="G2077" s="156" t="s">
        <v>6796</v>
      </c>
      <c r="H2077" s="18" t="s">
        <v>6797</v>
      </c>
      <c r="K2077" s="156" t="s">
        <v>6798</v>
      </c>
      <c r="L2077" s="18" t="s">
        <v>6799</v>
      </c>
      <c r="M2077" s="18" t="s">
        <v>6800</v>
      </c>
      <c r="N2077" s="16"/>
      <c r="O2077" s="16"/>
      <c r="P2077" s="16"/>
      <c r="Q2077" s="16"/>
      <c r="R2077" s="16"/>
      <c r="S2077" s="16"/>
      <c r="U2077" s="283" t="e">
        <v>#N/A</v>
      </c>
      <c r="V2077" s="18" t="s">
        <v>6802</v>
      </c>
      <c r="W2077" s="18">
        <v>1</v>
      </c>
      <c r="X2077" s="18">
        <v>1</v>
      </c>
      <c r="Y2077" s="18">
        <v>1</v>
      </c>
      <c r="Z2077" s="18">
        <v>1</v>
      </c>
      <c r="AA2077" s="18">
        <v>1</v>
      </c>
      <c r="AB2077" s="18">
        <v>1</v>
      </c>
      <c r="AC2077" s="316">
        <v>1</v>
      </c>
      <c r="AD2077" s="316">
        <v>1</v>
      </c>
      <c r="AE2077" s="302">
        <f t="shared" si="113"/>
        <v>1</v>
      </c>
      <c r="AF2077" s="176"/>
      <c r="AG2077" s="17">
        <v>0</v>
      </c>
      <c r="AH2077" s="176">
        <v>78.031999999999996</v>
      </c>
      <c r="AI2077" s="176">
        <v>18.032</v>
      </c>
      <c r="AJ2077" s="176">
        <v>48.031999999999996</v>
      </c>
      <c r="AK2077" s="177">
        <v>30</v>
      </c>
      <c r="AL2077" s="177">
        <v>30</v>
      </c>
      <c r="AM2077" s="17">
        <f t="shared" si="114"/>
        <v>60</v>
      </c>
      <c r="AN2077" s="18" t="s">
        <v>570</v>
      </c>
      <c r="AO2077" s="18" t="s">
        <v>2875</v>
      </c>
      <c r="AP2077" s="18" t="s">
        <v>2514</v>
      </c>
    </row>
    <row r="2078" spans="1:42" s="18" customFormat="1" x14ac:dyDescent="0.3">
      <c r="A2078" s="18" t="s">
        <v>1454</v>
      </c>
      <c r="B2078" s="18" t="s">
        <v>6438</v>
      </c>
      <c r="C2078" s="18">
        <v>102</v>
      </c>
      <c r="D2078" s="18" t="s">
        <v>6793</v>
      </c>
      <c r="E2078" s="18" t="s">
        <v>6794</v>
      </c>
      <c r="F2078" s="18" t="s">
        <v>6795</v>
      </c>
      <c r="G2078" s="156" t="s">
        <v>6796</v>
      </c>
      <c r="H2078" s="18" t="s">
        <v>6797</v>
      </c>
      <c r="K2078" s="156" t="s">
        <v>6803</v>
      </c>
      <c r="L2078" s="18" t="s">
        <v>6804</v>
      </c>
      <c r="M2078" s="18" t="s">
        <v>6805</v>
      </c>
      <c r="N2078" s="16">
        <v>0</v>
      </c>
      <c r="O2078" s="16">
        <v>10</v>
      </c>
      <c r="P2078" s="16">
        <v>50</v>
      </c>
      <c r="Q2078" s="16">
        <v>100</v>
      </c>
      <c r="R2078" s="16">
        <v>100</v>
      </c>
      <c r="S2078" s="16">
        <v>100</v>
      </c>
      <c r="T2078" s="18" t="s">
        <v>570</v>
      </c>
      <c r="U2078" s="283" t="s">
        <v>2875</v>
      </c>
      <c r="V2078" s="18" t="s">
        <v>6806</v>
      </c>
      <c r="W2078" s="18">
        <v>1</v>
      </c>
      <c r="X2078" s="18">
        <v>1</v>
      </c>
      <c r="Y2078" s="18">
        <v>0</v>
      </c>
      <c r="Z2078" s="18">
        <v>1</v>
      </c>
      <c r="AA2078" s="18">
        <v>0</v>
      </c>
      <c r="AB2078" s="18">
        <v>1</v>
      </c>
      <c r="AC2078" s="316">
        <v>1</v>
      </c>
      <c r="AD2078" s="316">
        <v>1</v>
      </c>
      <c r="AE2078" s="302">
        <f t="shared" si="113"/>
        <v>0.75</v>
      </c>
      <c r="AF2078" s="176"/>
      <c r="AG2078" s="17">
        <v>0</v>
      </c>
      <c r="AH2078" s="176">
        <v>0</v>
      </c>
      <c r="AI2078" s="176">
        <v>0</v>
      </c>
      <c r="AJ2078" s="176">
        <v>1</v>
      </c>
      <c r="AK2078" s="177">
        <v>3</v>
      </c>
      <c r="AL2078" s="177">
        <v>2</v>
      </c>
      <c r="AM2078" s="17">
        <f t="shared" si="114"/>
        <v>5</v>
      </c>
      <c r="AN2078" s="18" t="s">
        <v>570</v>
      </c>
      <c r="AO2078" s="18" t="s">
        <v>2875</v>
      </c>
      <c r="AP2078" s="18" t="s">
        <v>6565</v>
      </c>
    </row>
    <row r="2079" spans="1:42" s="18" customFormat="1" x14ac:dyDescent="0.3">
      <c r="A2079" s="18" t="s">
        <v>1454</v>
      </c>
      <c r="B2079" s="18" t="s">
        <v>6438</v>
      </c>
      <c r="C2079" s="18">
        <v>102</v>
      </c>
      <c r="D2079" s="18" t="s">
        <v>6793</v>
      </c>
      <c r="E2079" s="18" t="s">
        <v>6794</v>
      </c>
      <c r="F2079" s="18" t="s">
        <v>6795</v>
      </c>
      <c r="G2079" s="156" t="s">
        <v>6796</v>
      </c>
      <c r="H2079" s="18" t="s">
        <v>6797</v>
      </c>
      <c r="K2079" s="156" t="s">
        <v>6803</v>
      </c>
      <c r="L2079" s="18" t="s">
        <v>6807</v>
      </c>
      <c r="N2079" s="16"/>
      <c r="O2079" s="16"/>
      <c r="P2079" s="16"/>
      <c r="Q2079" s="16"/>
      <c r="R2079" s="16"/>
      <c r="S2079" s="16"/>
      <c r="U2079" s="283" t="e">
        <v>#N/A</v>
      </c>
      <c r="V2079" s="18" t="s">
        <v>6808</v>
      </c>
      <c r="W2079" s="18">
        <v>1</v>
      </c>
      <c r="X2079" s="18">
        <v>1</v>
      </c>
      <c r="Y2079" s="18">
        <v>0</v>
      </c>
      <c r="Z2079" s="18">
        <v>1</v>
      </c>
      <c r="AA2079" s="18">
        <v>1</v>
      </c>
      <c r="AB2079" s="18">
        <v>1</v>
      </c>
      <c r="AC2079" s="316">
        <v>1</v>
      </c>
      <c r="AD2079" s="316">
        <v>1</v>
      </c>
      <c r="AE2079" s="302">
        <f t="shared" si="113"/>
        <v>0.875</v>
      </c>
      <c r="AF2079" s="176"/>
      <c r="AG2079" s="17">
        <v>0</v>
      </c>
      <c r="AH2079" s="176">
        <v>0.15</v>
      </c>
      <c r="AI2079" s="176">
        <v>0.35</v>
      </c>
      <c r="AJ2079" s="176">
        <v>0.6</v>
      </c>
      <c r="AK2079" s="177">
        <v>1</v>
      </c>
      <c r="AL2079" s="177">
        <v>1</v>
      </c>
      <c r="AM2079" s="17">
        <f t="shared" si="114"/>
        <v>2</v>
      </c>
      <c r="AN2079" s="18" t="s">
        <v>570</v>
      </c>
      <c r="AO2079" s="18" t="s">
        <v>2875</v>
      </c>
      <c r="AP2079" s="18" t="s">
        <v>6565</v>
      </c>
    </row>
    <row r="2080" spans="1:42" s="18" customFormat="1" hidden="1" x14ac:dyDescent="0.3">
      <c r="A2080" s="18" t="s">
        <v>1454</v>
      </c>
      <c r="B2080" s="18" t="s">
        <v>6438</v>
      </c>
      <c r="C2080" s="18">
        <v>102</v>
      </c>
      <c r="D2080" s="18" t="s">
        <v>6793</v>
      </c>
      <c r="E2080" s="18" t="s">
        <v>6794</v>
      </c>
      <c r="F2080" s="18" t="s">
        <v>6795</v>
      </c>
      <c r="G2080" s="156" t="s">
        <v>6796</v>
      </c>
      <c r="H2080" s="18" t="s">
        <v>6797</v>
      </c>
      <c r="K2080" s="156" t="s">
        <v>6809</v>
      </c>
      <c r="L2080" s="18" t="s">
        <v>6810</v>
      </c>
      <c r="M2080" s="18" t="s">
        <v>6811</v>
      </c>
      <c r="N2080" s="16">
        <v>0</v>
      </c>
      <c r="O2080" s="16">
        <v>10</v>
      </c>
      <c r="P2080" s="16">
        <v>50</v>
      </c>
      <c r="Q2080" s="16">
        <v>100</v>
      </c>
      <c r="R2080" s="16">
        <v>100</v>
      </c>
      <c r="S2080" s="16">
        <v>100</v>
      </c>
      <c r="T2080" s="18" t="s">
        <v>570</v>
      </c>
      <c r="U2080" s="283" t="s">
        <v>2875</v>
      </c>
      <c r="V2080" s="18" t="s">
        <v>6812</v>
      </c>
      <c r="W2080" s="18">
        <v>1</v>
      </c>
      <c r="X2080" s="18">
        <v>1</v>
      </c>
      <c r="Y2080" s="18">
        <v>0</v>
      </c>
      <c r="Z2080" s="18">
        <v>1</v>
      </c>
      <c r="AA2080" s="18">
        <v>0</v>
      </c>
      <c r="AB2080" s="18">
        <v>1</v>
      </c>
      <c r="AC2080" s="316">
        <v>0</v>
      </c>
      <c r="AD2080" s="316">
        <v>1</v>
      </c>
      <c r="AE2080" s="302">
        <f t="shared" si="113"/>
        <v>0.625</v>
      </c>
      <c r="AF2080" s="176"/>
      <c r="AG2080" s="17">
        <v>0</v>
      </c>
      <c r="AH2080" s="176">
        <v>0</v>
      </c>
      <c r="AI2080" s="176">
        <v>0.15</v>
      </c>
      <c r="AJ2080" s="176">
        <v>0.15</v>
      </c>
      <c r="AK2080" s="177">
        <v>5</v>
      </c>
      <c r="AL2080" s="177">
        <v>10</v>
      </c>
      <c r="AM2080" s="17">
        <f t="shared" si="114"/>
        <v>15</v>
      </c>
      <c r="AN2080" s="18" t="s">
        <v>570</v>
      </c>
      <c r="AO2080" s="18" t="s">
        <v>2875</v>
      </c>
      <c r="AP2080" s="18" t="s">
        <v>2514</v>
      </c>
    </row>
    <row r="2081" spans="1:42" s="18" customFormat="1" hidden="1" x14ac:dyDescent="0.3">
      <c r="A2081" s="18" t="s">
        <v>1454</v>
      </c>
      <c r="B2081" s="18" t="s">
        <v>6438</v>
      </c>
      <c r="C2081" s="18">
        <v>102</v>
      </c>
      <c r="D2081" s="18" t="s">
        <v>6793</v>
      </c>
      <c r="E2081" s="18" t="s">
        <v>6794</v>
      </c>
      <c r="F2081" s="18" t="s">
        <v>6795</v>
      </c>
      <c r="G2081" s="156" t="s">
        <v>6796</v>
      </c>
      <c r="H2081" s="18" t="s">
        <v>6797</v>
      </c>
      <c r="K2081" s="156" t="s">
        <v>6813</v>
      </c>
      <c r="L2081" s="18" t="s">
        <v>6814</v>
      </c>
      <c r="M2081" s="18" t="s">
        <v>6815</v>
      </c>
      <c r="N2081" s="16">
        <v>0</v>
      </c>
      <c r="O2081" s="16">
        <v>10</v>
      </c>
      <c r="P2081" s="16">
        <v>50</v>
      </c>
      <c r="Q2081" s="16">
        <v>100</v>
      </c>
      <c r="R2081" s="16">
        <v>100</v>
      </c>
      <c r="S2081" s="16">
        <v>100</v>
      </c>
      <c r="T2081" s="18" t="s">
        <v>570</v>
      </c>
      <c r="U2081" s="283" t="s">
        <v>2875</v>
      </c>
      <c r="V2081" s="18" t="s">
        <v>6816</v>
      </c>
      <c r="W2081" s="18">
        <v>0</v>
      </c>
      <c r="X2081" s="18">
        <v>0</v>
      </c>
      <c r="Y2081" s="18">
        <v>0</v>
      </c>
      <c r="Z2081" s="18">
        <v>1</v>
      </c>
      <c r="AA2081" s="18">
        <v>0</v>
      </c>
      <c r="AB2081" s="18">
        <v>0</v>
      </c>
      <c r="AC2081" s="316">
        <v>0</v>
      </c>
      <c r="AD2081" s="316">
        <v>1</v>
      </c>
      <c r="AE2081" s="302">
        <f t="shared" si="113"/>
        <v>0.25</v>
      </c>
      <c r="AF2081" s="176"/>
      <c r="AG2081" s="17">
        <v>0</v>
      </c>
      <c r="AH2081" s="176">
        <v>0</v>
      </c>
      <c r="AI2081" s="176">
        <v>0.3</v>
      </c>
      <c r="AJ2081" s="176">
        <v>0</v>
      </c>
      <c r="AK2081" s="177">
        <v>0</v>
      </c>
      <c r="AL2081" s="177"/>
      <c r="AM2081" s="17">
        <f t="shared" si="114"/>
        <v>0</v>
      </c>
      <c r="AN2081" s="18" t="s">
        <v>570</v>
      </c>
      <c r="AO2081" s="18" t="s">
        <v>2875</v>
      </c>
      <c r="AP2081" s="18" t="s">
        <v>2514</v>
      </c>
    </row>
    <row r="2082" spans="1:42" s="18" customFormat="1" hidden="1" x14ac:dyDescent="0.3">
      <c r="A2082" s="18" t="s">
        <v>1454</v>
      </c>
      <c r="B2082" s="18" t="s">
        <v>6438</v>
      </c>
      <c r="C2082" s="18">
        <v>102</v>
      </c>
      <c r="D2082" s="18" t="s">
        <v>6793</v>
      </c>
      <c r="E2082" s="18" t="s">
        <v>6794</v>
      </c>
      <c r="F2082" s="18" t="s">
        <v>6795</v>
      </c>
      <c r="G2082" s="156" t="s">
        <v>6796</v>
      </c>
      <c r="H2082" s="18" t="s">
        <v>6797</v>
      </c>
      <c r="K2082" s="156" t="s">
        <v>6813</v>
      </c>
      <c r="L2082" s="18" t="s">
        <v>6814</v>
      </c>
      <c r="M2082" s="18" t="s">
        <v>6815</v>
      </c>
      <c r="N2082" s="16"/>
      <c r="O2082" s="16"/>
      <c r="P2082" s="16"/>
      <c r="Q2082" s="16"/>
      <c r="R2082" s="16"/>
      <c r="S2082" s="16"/>
      <c r="U2082" s="283" t="e">
        <v>#N/A</v>
      </c>
      <c r="V2082" s="18" t="s">
        <v>6817</v>
      </c>
      <c r="W2082" s="18">
        <v>0</v>
      </c>
      <c r="X2082" s="18">
        <v>0</v>
      </c>
      <c r="Y2082" s="18">
        <v>0</v>
      </c>
      <c r="Z2082" s="18">
        <v>1</v>
      </c>
      <c r="AA2082" s="18">
        <v>1</v>
      </c>
      <c r="AB2082" s="18">
        <v>0</v>
      </c>
      <c r="AC2082" s="316">
        <v>0</v>
      </c>
      <c r="AD2082" s="316">
        <v>0</v>
      </c>
      <c r="AE2082" s="302">
        <f t="shared" si="113"/>
        <v>0.25</v>
      </c>
      <c r="AF2082" s="176"/>
      <c r="AG2082" s="17">
        <v>0</v>
      </c>
      <c r="AH2082" s="176">
        <v>0</v>
      </c>
      <c r="AI2082" s="176">
        <v>0.5</v>
      </c>
      <c r="AJ2082" s="176">
        <v>0.5</v>
      </c>
      <c r="AK2082" s="177"/>
      <c r="AL2082" s="177"/>
      <c r="AM2082" s="17">
        <f t="shared" si="114"/>
        <v>0</v>
      </c>
      <c r="AN2082" s="18" t="s">
        <v>570</v>
      </c>
      <c r="AO2082" s="18" t="s">
        <v>2875</v>
      </c>
      <c r="AP2082" s="18" t="s">
        <v>6565</v>
      </c>
    </row>
    <row r="2083" spans="1:42" s="18" customFormat="1" x14ac:dyDescent="0.3">
      <c r="A2083" s="18" t="s">
        <v>1454</v>
      </c>
      <c r="B2083" s="18" t="s">
        <v>6438</v>
      </c>
      <c r="C2083" s="18">
        <v>102</v>
      </c>
      <c r="D2083" s="18" t="s">
        <v>6793</v>
      </c>
      <c r="E2083" s="18" t="s">
        <v>6794</v>
      </c>
      <c r="F2083" s="18" t="s">
        <v>6795</v>
      </c>
      <c r="G2083" s="156" t="s">
        <v>6796</v>
      </c>
      <c r="H2083" s="18" t="s">
        <v>6797</v>
      </c>
      <c r="K2083" s="156" t="s">
        <v>6813</v>
      </c>
      <c r="L2083" s="18" t="s">
        <v>6814</v>
      </c>
      <c r="M2083" s="18" t="s">
        <v>6815</v>
      </c>
      <c r="N2083" s="16"/>
      <c r="O2083" s="16"/>
      <c r="P2083" s="16"/>
      <c r="Q2083" s="16"/>
      <c r="R2083" s="16"/>
      <c r="S2083" s="16"/>
      <c r="U2083" s="283" t="e">
        <v>#N/A</v>
      </c>
      <c r="V2083" s="18" t="s">
        <v>6818</v>
      </c>
      <c r="W2083" s="18">
        <v>1</v>
      </c>
      <c r="X2083" s="18">
        <v>1</v>
      </c>
      <c r="Y2083" s="18">
        <v>0</v>
      </c>
      <c r="Z2083" s="18">
        <v>1</v>
      </c>
      <c r="AA2083" s="18">
        <v>0</v>
      </c>
      <c r="AB2083" s="18">
        <v>1</v>
      </c>
      <c r="AC2083" s="316">
        <v>1</v>
      </c>
      <c r="AD2083" s="316">
        <v>1</v>
      </c>
      <c r="AE2083" s="302">
        <f t="shared" si="113"/>
        <v>0.75</v>
      </c>
      <c r="AF2083" s="176"/>
      <c r="AG2083" s="17">
        <v>0</v>
      </c>
      <c r="AH2083" s="176">
        <v>0</v>
      </c>
      <c r="AI2083" s="176">
        <v>0</v>
      </c>
      <c r="AJ2083" s="176">
        <v>0</v>
      </c>
      <c r="AK2083" s="177">
        <v>2</v>
      </c>
      <c r="AL2083" s="177">
        <v>3</v>
      </c>
      <c r="AM2083" s="17">
        <f t="shared" si="114"/>
        <v>5</v>
      </c>
      <c r="AN2083" s="18" t="s">
        <v>570</v>
      </c>
      <c r="AO2083" s="18" t="s">
        <v>2875</v>
      </c>
      <c r="AP2083" s="18" t="s">
        <v>6565</v>
      </c>
    </row>
    <row r="2084" spans="1:42" s="18" customFormat="1" hidden="1" x14ac:dyDescent="0.3">
      <c r="A2084" s="18" t="s">
        <v>1454</v>
      </c>
      <c r="B2084" s="18" t="s">
        <v>6438</v>
      </c>
      <c r="C2084" s="18">
        <v>102</v>
      </c>
      <c r="D2084" s="18" t="s">
        <v>6793</v>
      </c>
      <c r="E2084" s="18" t="s">
        <v>6794</v>
      </c>
      <c r="F2084" s="18" t="s">
        <v>6795</v>
      </c>
      <c r="G2084" s="156" t="s">
        <v>6796</v>
      </c>
      <c r="H2084" s="18" t="s">
        <v>6797</v>
      </c>
      <c r="K2084" s="156" t="s">
        <v>6813</v>
      </c>
      <c r="L2084" s="18" t="s">
        <v>6814</v>
      </c>
      <c r="M2084" s="18" t="s">
        <v>6815</v>
      </c>
      <c r="N2084" s="16"/>
      <c r="O2084" s="16"/>
      <c r="P2084" s="16"/>
      <c r="Q2084" s="16"/>
      <c r="R2084" s="16"/>
      <c r="S2084" s="16"/>
      <c r="U2084" s="283" t="e">
        <v>#N/A</v>
      </c>
      <c r="V2084" s="18" t="s">
        <v>6819</v>
      </c>
      <c r="W2084" s="18">
        <v>0</v>
      </c>
      <c r="X2084" s="18">
        <v>0</v>
      </c>
      <c r="Y2084" s="18">
        <v>0</v>
      </c>
      <c r="Z2084" s="18">
        <v>1</v>
      </c>
      <c r="AA2084" s="18">
        <v>0</v>
      </c>
      <c r="AB2084" s="18">
        <v>1</v>
      </c>
      <c r="AC2084" s="316">
        <v>1</v>
      </c>
      <c r="AD2084" s="316">
        <v>1</v>
      </c>
      <c r="AE2084" s="302">
        <f t="shared" si="113"/>
        <v>0.5</v>
      </c>
      <c r="AF2084" s="176"/>
      <c r="AG2084" s="17">
        <v>0</v>
      </c>
      <c r="AH2084" s="176">
        <v>0.3</v>
      </c>
      <c r="AI2084" s="176">
        <v>0.36</v>
      </c>
      <c r="AJ2084" s="176">
        <v>0.45</v>
      </c>
      <c r="AK2084" s="177"/>
      <c r="AL2084" s="177"/>
      <c r="AM2084" s="17">
        <f t="shared" si="114"/>
        <v>0</v>
      </c>
      <c r="AN2084" s="18" t="s">
        <v>570</v>
      </c>
      <c r="AO2084" s="18" t="s">
        <v>2875</v>
      </c>
      <c r="AP2084" s="18" t="s">
        <v>6565</v>
      </c>
    </row>
    <row r="2085" spans="1:42" s="18" customFormat="1" x14ac:dyDescent="0.3">
      <c r="A2085" s="18" t="s">
        <v>1454</v>
      </c>
      <c r="B2085" s="18" t="s">
        <v>6438</v>
      </c>
      <c r="C2085" s="18">
        <v>102</v>
      </c>
      <c r="D2085" s="18" t="s">
        <v>6793</v>
      </c>
      <c r="E2085" s="18" t="s">
        <v>6794</v>
      </c>
      <c r="F2085" s="18" t="s">
        <v>6795</v>
      </c>
      <c r="G2085" s="156" t="s">
        <v>6796</v>
      </c>
      <c r="H2085" s="18" t="s">
        <v>6797</v>
      </c>
      <c r="K2085" s="156" t="s">
        <v>6813</v>
      </c>
      <c r="L2085" s="18" t="s">
        <v>6814</v>
      </c>
      <c r="M2085" s="18" t="s">
        <v>6815</v>
      </c>
      <c r="N2085" s="16"/>
      <c r="O2085" s="16"/>
      <c r="P2085" s="16"/>
      <c r="Q2085" s="16"/>
      <c r="R2085" s="16"/>
      <c r="S2085" s="16"/>
      <c r="U2085" s="283" t="e">
        <v>#N/A</v>
      </c>
      <c r="V2085" s="18" t="s">
        <v>6820</v>
      </c>
      <c r="W2085" s="18">
        <v>1</v>
      </c>
      <c r="X2085" s="18">
        <v>1</v>
      </c>
      <c r="Y2085" s="18">
        <v>0</v>
      </c>
      <c r="Z2085" s="18">
        <v>1</v>
      </c>
      <c r="AA2085" s="18">
        <v>1</v>
      </c>
      <c r="AB2085" s="18">
        <v>1</v>
      </c>
      <c r="AC2085" s="316">
        <v>1</v>
      </c>
      <c r="AD2085" s="316">
        <v>0</v>
      </c>
      <c r="AE2085" s="302">
        <f t="shared" si="113"/>
        <v>0.75</v>
      </c>
      <c r="AF2085" s="176"/>
      <c r="AG2085" s="17">
        <v>0</v>
      </c>
      <c r="AH2085" s="176">
        <v>0</v>
      </c>
      <c r="AI2085" s="176">
        <v>0.4</v>
      </c>
      <c r="AJ2085" s="176">
        <v>0.4</v>
      </c>
      <c r="AK2085" s="177">
        <v>1</v>
      </c>
      <c r="AL2085" s="177">
        <v>2</v>
      </c>
      <c r="AM2085" s="17">
        <f t="shared" si="114"/>
        <v>3</v>
      </c>
      <c r="AN2085" s="18" t="s">
        <v>570</v>
      </c>
      <c r="AO2085" s="18" t="s">
        <v>2875</v>
      </c>
      <c r="AP2085" s="18" t="s">
        <v>6565</v>
      </c>
    </row>
    <row r="2086" spans="1:42" s="18" customFormat="1" hidden="1" x14ac:dyDescent="0.3">
      <c r="A2086" s="18" t="s">
        <v>1454</v>
      </c>
      <c r="B2086" s="18" t="s">
        <v>6438</v>
      </c>
      <c r="C2086" s="18">
        <v>102</v>
      </c>
      <c r="D2086" s="18" t="s">
        <v>6793</v>
      </c>
      <c r="E2086" s="18" t="s">
        <v>6794</v>
      </c>
      <c r="F2086" s="18" t="s">
        <v>6795</v>
      </c>
      <c r="G2086" s="156" t="s">
        <v>6796</v>
      </c>
      <c r="H2086" s="18" t="s">
        <v>6797</v>
      </c>
      <c r="K2086" s="156" t="s">
        <v>6813</v>
      </c>
      <c r="L2086" s="18" t="s">
        <v>6814</v>
      </c>
      <c r="M2086" s="18" t="s">
        <v>6815</v>
      </c>
      <c r="N2086" s="16"/>
      <c r="O2086" s="16"/>
      <c r="P2086" s="16"/>
      <c r="Q2086" s="16"/>
      <c r="R2086" s="16"/>
      <c r="S2086" s="16"/>
      <c r="U2086" s="283" t="e">
        <v>#N/A</v>
      </c>
      <c r="V2086" s="18" t="s">
        <v>6821</v>
      </c>
      <c r="W2086" s="18">
        <v>1</v>
      </c>
      <c r="X2086" s="18">
        <v>0</v>
      </c>
      <c r="Y2086" s="18">
        <v>0</v>
      </c>
      <c r="Z2086" s="18">
        <v>1</v>
      </c>
      <c r="AA2086" s="18">
        <v>1</v>
      </c>
      <c r="AB2086" s="18">
        <v>0</v>
      </c>
      <c r="AC2086" s="316">
        <v>1</v>
      </c>
      <c r="AD2086" s="316">
        <v>1</v>
      </c>
      <c r="AE2086" s="302">
        <f t="shared" si="113"/>
        <v>0.625</v>
      </c>
      <c r="AF2086" s="176"/>
      <c r="AG2086" s="17">
        <v>0</v>
      </c>
      <c r="AH2086" s="176">
        <v>0</v>
      </c>
      <c r="AI2086" s="176">
        <v>2</v>
      </c>
      <c r="AJ2086" s="176">
        <v>5</v>
      </c>
      <c r="AK2086" s="177"/>
      <c r="AL2086" s="177"/>
      <c r="AM2086" s="17">
        <f t="shared" si="114"/>
        <v>0</v>
      </c>
      <c r="AN2086" s="18" t="s">
        <v>570</v>
      </c>
      <c r="AO2086" s="18" t="s">
        <v>2875</v>
      </c>
      <c r="AP2086" s="18" t="s">
        <v>6565</v>
      </c>
    </row>
    <row r="2087" spans="1:42" s="18" customFormat="1" hidden="1" x14ac:dyDescent="0.3">
      <c r="A2087" s="18" t="s">
        <v>1454</v>
      </c>
      <c r="B2087" s="18" t="s">
        <v>6438</v>
      </c>
      <c r="C2087" s="18">
        <v>102</v>
      </c>
      <c r="D2087" s="18" t="s">
        <v>6793</v>
      </c>
      <c r="E2087" s="18" t="s">
        <v>6794</v>
      </c>
      <c r="F2087" s="18" t="s">
        <v>6795</v>
      </c>
      <c r="G2087" s="156" t="s">
        <v>6822</v>
      </c>
      <c r="H2087" s="18" t="s">
        <v>6823</v>
      </c>
      <c r="K2087" s="156" t="s">
        <v>6824</v>
      </c>
      <c r="L2087" s="18" t="s">
        <v>6825</v>
      </c>
      <c r="M2087" s="18" t="s">
        <v>6826</v>
      </c>
      <c r="N2087" s="16">
        <v>0</v>
      </c>
      <c r="O2087" s="16">
        <v>10</v>
      </c>
      <c r="P2087" s="16">
        <v>50</v>
      </c>
      <c r="Q2087" s="16">
        <v>100</v>
      </c>
      <c r="R2087" s="16">
        <v>100</v>
      </c>
      <c r="S2087" s="16">
        <v>100</v>
      </c>
      <c r="T2087" s="18" t="s">
        <v>570</v>
      </c>
      <c r="U2087" s="283" t="s">
        <v>2875</v>
      </c>
      <c r="V2087" s="18" t="s">
        <v>6827</v>
      </c>
      <c r="W2087" s="18">
        <v>1</v>
      </c>
      <c r="X2087" s="18">
        <v>0</v>
      </c>
      <c r="Y2087" s="18">
        <v>0</v>
      </c>
      <c r="Z2087" s="18">
        <v>0</v>
      </c>
      <c r="AA2087" s="18">
        <v>0</v>
      </c>
      <c r="AB2087" s="18">
        <v>0</v>
      </c>
      <c r="AC2087" s="316">
        <v>1</v>
      </c>
      <c r="AD2087" s="316">
        <v>1</v>
      </c>
      <c r="AE2087" s="302">
        <f t="shared" si="113"/>
        <v>0.375</v>
      </c>
      <c r="AF2087" s="176"/>
      <c r="AG2087" s="17">
        <v>0</v>
      </c>
      <c r="AH2087" s="176">
        <v>0</v>
      </c>
      <c r="AI2087" s="176">
        <v>1.2</v>
      </c>
      <c r="AJ2087" s="176">
        <v>1.3</v>
      </c>
      <c r="AK2087" s="177"/>
      <c r="AL2087" s="177"/>
      <c r="AM2087" s="17">
        <f t="shared" si="114"/>
        <v>0</v>
      </c>
      <c r="AN2087" s="18" t="s">
        <v>2514</v>
      </c>
      <c r="AO2087" s="18" t="s">
        <v>2515</v>
      </c>
      <c r="AP2087" s="18" t="s">
        <v>6828</v>
      </c>
    </row>
    <row r="2088" spans="1:42" s="18" customFormat="1" hidden="1" x14ac:dyDescent="0.3">
      <c r="A2088" s="18" t="s">
        <v>1454</v>
      </c>
      <c r="B2088" s="18" t="s">
        <v>6438</v>
      </c>
      <c r="C2088" s="18">
        <v>102</v>
      </c>
      <c r="D2088" s="18" t="s">
        <v>6793</v>
      </c>
      <c r="E2088" s="18" t="s">
        <v>6794</v>
      </c>
      <c r="F2088" s="18" t="s">
        <v>6795</v>
      </c>
      <c r="G2088" s="156" t="s">
        <v>6822</v>
      </c>
      <c r="H2088" s="18" t="s">
        <v>6823</v>
      </c>
      <c r="K2088" s="156" t="s">
        <v>6829</v>
      </c>
      <c r="L2088" s="18" t="s">
        <v>6830</v>
      </c>
      <c r="M2088" s="18" t="s">
        <v>6831</v>
      </c>
      <c r="N2088" s="16">
        <v>0</v>
      </c>
      <c r="O2088" s="16">
        <v>1</v>
      </c>
      <c r="P2088" s="16">
        <v>1</v>
      </c>
      <c r="Q2088" s="16">
        <v>1</v>
      </c>
      <c r="R2088" s="16">
        <v>2</v>
      </c>
      <c r="S2088" s="16">
        <v>5</v>
      </c>
      <c r="T2088" s="18" t="s">
        <v>570</v>
      </c>
      <c r="U2088" s="283" t="s">
        <v>2875</v>
      </c>
      <c r="V2088" s="18" t="s">
        <v>6832</v>
      </c>
      <c r="W2088" s="18">
        <v>1</v>
      </c>
      <c r="X2088" s="18">
        <v>0</v>
      </c>
      <c r="Y2088" s="18">
        <v>0</v>
      </c>
      <c r="Z2088" s="18">
        <v>0</v>
      </c>
      <c r="AA2088" s="18">
        <v>0</v>
      </c>
      <c r="AB2088" s="18">
        <v>1</v>
      </c>
      <c r="AC2088" s="316">
        <v>1</v>
      </c>
      <c r="AD2088" s="316">
        <v>1</v>
      </c>
      <c r="AE2088" s="302">
        <f t="shared" si="113"/>
        <v>0.5</v>
      </c>
      <c r="AF2088" s="176"/>
      <c r="AG2088" s="17">
        <v>0</v>
      </c>
      <c r="AH2088" s="176">
        <v>0</v>
      </c>
      <c r="AI2088" s="176">
        <v>1.2</v>
      </c>
      <c r="AJ2088" s="176">
        <v>1.3</v>
      </c>
      <c r="AK2088" s="177"/>
      <c r="AL2088" s="177"/>
      <c r="AM2088" s="17">
        <f t="shared" si="114"/>
        <v>0</v>
      </c>
      <c r="AN2088" s="18" t="s">
        <v>2514</v>
      </c>
      <c r="AO2088" s="18" t="s">
        <v>2515</v>
      </c>
      <c r="AP2088" s="18" t="s">
        <v>6833</v>
      </c>
    </row>
    <row r="2089" spans="1:42" s="18" customFormat="1" hidden="1" x14ac:dyDescent="0.3">
      <c r="A2089" s="18" t="s">
        <v>1454</v>
      </c>
      <c r="B2089" s="18" t="s">
        <v>6438</v>
      </c>
      <c r="C2089" s="18">
        <v>102</v>
      </c>
      <c r="D2089" s="18" t="s">
        <v>6793</v>
      </c>
      <c r="E2089" s="18" t="s">
        <v>6794</v>
      </c>
      <c r="F2089" s="18" t="s">
        <v>6795</v>
      </c>
      <c r="G2089" s="156" t="s">
        <v>6822</v>
      </c>
      <c r="H2089" s="18" t="s">
        <v>6823</v>
      </c>
      <c r="K2089" s="156" t="s">
        <v>6829</v>
      </c>
      <c r="L2089" s="18" t="s">
        <v>6830</v>
      </c>
      <c r="M2089" s="18" t="s">
        <v>6831</v>
      </c>
      <c r="N2089" s="16"/>
      <c r="O2089" s="16"/>
      <c r="P2089" s="16"/>
      <c r="Q2089" s="16"/>
      <c r="R2089" s="16"/>
      <c r="S2089" s="16"/>
      <c r="U2089" s="283" t="e">
        <v>#N/A</v>
      </c>
      <c r="V2089" s="18" t="s">
        <v>6834</v>
      </c>
      <c r="W2089" s="18">
        <v>0</v>
      </c>
      <c r="X2089" s="18">
        <v>1</v>
      </c>
      <c r="Y2089" s="18">
        <v>0</v>
      </c>
      <c r="Z2089" s="18">
        <v>0</v>
      </c>
      <c r="AA2089" s="18">
        <v>0</v>
      </c>
      <c r="AB2089" s="18">
        <v>1</v>
      </c>
      <c r="AC2089" s="316">
        <v>1</v>
      </c>
      <c r="AD2089" s="316">
        <v>1</v>
      </c>
      <c r="AE2089" s="302">
        <f t="shared" si="113"/>
        <v>0.5</v>
      </c>
      <c r="AF2089" s="176"/>
      <c r="AG2089" s="17">
        <v>0</v>
      </c>
      <c r="AH2089" s="176">
        <v>0</v>
      </c>
      <c r="AI2089" s="176">
        <v>1.2</v>
      </c>
      <c r="AJ2089" s="176">
        <v>1.3</v>
      </c>
      <c r="AK2089" s="177"/>
      <c r="AL2089" s="177"/>
      <c r="AM2089" s="17">
        <f t="shared" si="114"/>
        <v>0</v>
      </c>
      <c r="AN2089" s="18" t="s">
        <v>2514</v>
      </c>
      <c r="AO2089" s="18" t="s">
        <v>2515</v>
      </c>
      <c r="AP2089" s="18" t="s">
        <v>6835</v>
      </c>
    </row>
    <row r="2090" spans="1:42" s="18" customFormat="1" hidden="1" x14ac:dyDescent="0.3">
      <c r="A2090" s="18" t="s">
        <v>1454</v>
      </c>
      <c r="B2090" s="18" t="s">
        <v>6438</v>
      </c>
      <c r="C2090" s="18">
        <v>102</v>
      </c>
      <c r="D2090" s="18" t="s">
        <v>6793</v>
      </c>
      <c r="E2090" s="18" t="s">
        <v>6794</v>
      </c>
      <c r="F2090" s="18" t="s">
        <v>6795</v>
      </c>
      <c r="G2090" s="156" t="s">
        <v>6822</v>
      </c>
      <c r="H2090" s="18" t="s">
        <v>6823</v>
      </c>
      <c r="K2090" s="156" t="s">
        <v>6829</v>
      </c>
      <c r="L2090" s="18" t="s">
        <v>6830</v>
      </c>
      <c r="M2090" s="18" t="s">
        <v>6831</v>
      </c>
      <c r="N2090" s="16"/>
      <c r="O2090" s="16"/>
      <c r="P2090" s="16"/>
      <c r="Q2090" s="16"/>
      <c r="R2090" s="16"/>
      <c r="S2090" s="16"/>
      <c r="U2090" s="283" t="e">
        <v>#N/A</v>
      </c>
      <c r="V2090" s="18" t="s">
        <v>6836</v>
      </c>
      <c r="W2090" s="18">
        <v>1</v>
      </c>
      <c r="X2090" s="18">
        <v>0</v>
      </c>
      <c r="Y2090" s="18">
        <v>1</v>
      </c>
      <c r="Z2090" s="18">
        <v>1</v>
      </c>
      <c r="AA2090" s="18">
        <v>1</v>
      </c>
      <c r="AB2090" s="18">
        <v>0</v>
      </c>
      <c r="AC2090" s="316">
        <v>1</v>
      </c>
      <c r="AD2090" s="316">
        <v>0</v>
      </c>
      <c r="AE2090" s="302">
        <f t="shared" si="113"/>
        <v>0.625</v>
      </c>
      <c r="AF2090" s="176"/>
      <c r="AG2090" s="17">
        <v>0</v>
      </c>
      <c r="AH2090" s="176">
        <v>0</v>
      </c>
      <c r="AI2090" s="176">
        <v>2.2000000000000002</v>
      </c>
      <c r="AJ2090" s="176">
        <v>2.2999999999999998</v>
      </c>
      <c r="AK2090" s="177">
        <v>0.7</v>
      </c>
      <c r="AL2090" s="177">
        <v>5</v>
      </c>
      <c r="AM2090" s="17">
        <f t="shared" si="114"/>
        <v>5.7</v>
      </c>
      <c r="AN2090" s="18" t="s">
        <v>2514</v>
      </c>
      <c r="AO2090" s="18" t="s">
        <v>2515</v>
      </c>
      <c r="AP2090" s="18" t="s">
        <v>2514</v>
      </c>
    </row>
    <row r="2091" spans="1:42" s="18" customFormat="1" x14ac:dyDescent="0.3">
      <c r="A2091" s="18" t="s">
        <v>1454</v>
      </c>
      <c r="B2091" s="18" t="s">
        <v>6438</v>
      </c>
      <c r="C2091" s="18">
        <v>102</v>
      </c>
      <c r="D2091" s="18" t="s">
        <v>6793</v>
      </c>
      <c r="E2091" s="18" t="s">
        <v>6794</v>
      </c>
      <c r="F2091" s="18" t="s">
        <v>6795</v>
      </c>
      <c r="G2091" s="156" t="s">
        <v>6822</v>
      </c>
      <c r="H2091" s="18" t="s">
        <v>6823</v>
      </c>
      <c r="K2091" s="156" t="s">
        <v>6829</v>
      </c>
      <c r="L2091" s="18" t="s">
        <v>6830</v>
      </c>
      <c r="M2091" s="18" t="s">
        <v>6831</v>
      </c>
      <c r="N2091" s="16"/>
      <c r="O2091" s="16"/>
      <c r="P2091" s="16"/>
      <c r="Q2091" s="16"/>
      <c r="R2091" s="16"/>
      <c r="S2091" s="16"/>
      <c r="U2091" s="283" t="e">
        <v>#N/A</v>
      </c>
      <c r="V2091" s="18" t="s">
        <v>6837</v>
      </c>
      <c r="W2091" s="18">
        <v>1</v>
      </c>
      <c r="X2091" s="18">
        <v>1</v>
      </c>
      <c r="Y2091" s="18">
        <v>0</v>
      </c>
      <c r="Z2091" s="18">
        <v>1</v>
      </c>
      <c r="AA2091" s="18">
        <v>1</v>
      </c>
      <c r="AB2091" s="18">
        <v>0</v>
      </c>
      <c r="AC2091" s="316">
        <v>1</v>
      </c>
      <c r="AD2091" s="316">
        <v>1</v>
      </c>
      <c r="AE2091" s="302">
        <f t="shared" si="113"/>
        <v>0.75</v>
      </c>
      <c r="AF2091" s="176"/>
      <c r="AG2091" s="17">
        <v>0</v>
      </c>
      <c r="AH2091" s="176">
        <v>0</v>
      </c>
      <c r="AI2091" s="176">
        <v>25</v>
      </c>
      <c r="AJ2091" s="176">
        <v>25</v>
      </c>
      <c r="AK2091" s="177">
        <v>10</v>
      </c>
      <c r="AL2091" s="177">
        <v>10</v>
      </c>
      <c r="AM2091" s="17">
        <f t="shared" si="114"/>
        <v>20</v>
      </c>
      <c r="AN2091" s="18" t="s">
        <v>570</v>
      </c>
      <c r="AO2091" s="18" t="s">
        <v>2875</v>
      </c>
      <c r="AP2091" s="18" t="s">
        <v>6565</v>
      </c>
    </row>
    <row r="2092" spans="1:42" s="18" customFormat="1" x14ac:dyDescent="0.3">
      <c r="A2092" s="18" t="s">
        <v>1454</v>
      </c>
      <c r="B2092" s="18" t="s">
        <v>6438</v>
      </c>
      <c r="C2092" s="18">
        <v>103</v>
      </c>
      <c r="D2092" s="18" t="s">
        <v>6838</v>
      </c>
      <c r="E2092" s="18">
        <v>1035</v>
      </c>
      <c r="F2092" s="18" t="s">
        <v>6839</v>
      </c>
      <c r="G2092" s="156" t="s">
        <v>6840</v>
      </c>
      <c r="H2092" s="18" t="s">
        <v>6841</v>
      </c>
      <c r="K2092" s="156" t="s">
        <v>6842</v>
      </c>
      <c r="L2092" s="18" t="s">
        <v>6843</v>
      </c>
      <c r="M2092" s="18" t="s">
        <v>6844</v>
      </c>
      <c r="N2092" s="16">
        <v>48</v>
      </c>
      <c r="O2092" s="16">
        <v>58</v>
      </c>
      <c r="P2092" s="16">
        <v>69.2</v>
      </c>
      <c r="Q2092" s="16">
        <v>80</v>
      </c>
      <c r="R2092" s="16">
        <v>89.8</v>
      </c>
      <c r="S2092" s="16">
        <v>100</v>
      </c>
      <c r="T2092" s="18" t="s">
        <v>570</v>
      </c>
      <c r="U2092" s="283" t="s">
        <v>2875</v>
      </c>
      <c r="V2092" s="18" t="s">
        <v>6845</v>
      </c>
      <c r="W2092" s="18">
        <v>1</v>
      </c>
      <c r="X2092" s="18">
        <v>0</v>
      </c>
      <c r="Y2092" s="18">
        <v>0</v>
      </c>
      <c r="Z2092" s="18">
        <v>1</v>
      </c>
      <c r="AA2092" s="18">
        <v>1</v>
      </c>
      <c r="AB2092" s="18">
        <v>1</v>
      </c>
      <c r="AC2092" s="316">
        <v>1</v>
      </c>
      <c r="AD2092" s="316">
        <v>1</v>
      </c>
      <c r="AE2092" s="302">
        <f t="shared" si="113"/>
        <v>0.75</v>
      </c>
      <c r="AF2092" s="176"/>
      <c r="AG2092" s="17">
        <v>0</v>
      </c>
      <c r="AH2092" s="176">
        <v>0.55000000000000004</v>
      </c>
      <c r="AI2092" s="176">
        <v>0.57999999999999996</v>
      </c>
      <c r="AJ2092" s="176">
        <v>0.61</v>
      </c>
      <c r="AK2092" s="177">
        <v>3</v>
      </c>
      <c r="AL2092" s="177">
        <v>5</v>
      </c>
      <c r="AM2092" s="17">
        <f t="shared" si="114"/>
        <v>8</v>
      </c>
      <c r="AN2092" s="18" t="s">
        <v>570</v>
      </c>
      <c r="AO2092" s="18" t="s">
        <v>2875</v>
      </c>
      <c r="AP2092" s="18" t="s">
        <v>6565</v>
      </c>
    </row>
    <row r="2093" spans="1:42" s="18" customFormat="1" x14ac:dyDescent="0.3">
      <c r="A2093" s="18" t="s">
        <v>1454</v>
      </c>
      <c r="B2093" s="18" t="s">
        <v>6438</v>
      </c>
      <c r="C2093" s="18">
        <v>103</v>
      </c>
      <c r="D2093" s="18" t="s">
        <v>6838</v>
      </c>
      <c r="E2093" s="18">
        <v>1035</v>
      </c>
      <c r="F2093" s="18" t="s">
        <v>6839</v>
      </c>
      <c r="G2093" s="156" t="s">
        <v>6840</v>
      </c>
      <c r="H2093" s="18" t="s">
        <v>6841</v>
      </c>
      <c r="K2093" s="156" t="s">
        <v>6842</v>
      </c>
      <c r="L2093" s="18" t="s">
        <v>6843</v>
      </c>
      <c r="M2093" s="18" t="s">
        <v>6846</v>
      </c>
      <c r="N2093" s="16">
        <v>48</v>
      </c>
      <c r="O2093" s="16">
        <v>58</v>
      </c>
      <c r="P2093" s="16">
        <v>69.2</v>
      </c>
      <c r="Q2093" s="16">
        <v>80</v>
      </c>
      <c r="R2093" s="16">
        <v>89.8</v>
      </c>
      <c r="S2093" s="16">
        <v>100</v>
      </c>
      <c r="T2093" s="18" t="s">
        <v>570</v>
      </c>
      <c r="U2093" s="283" t="s">
        <v>2875</v>
      </c>
      <c r="V2093" s="18" t="s">
        <v>6847</v>
      </c>
      <c r="W2093" s="18">
        <v>1</v>
      </c>
      <c r="X2093" s="18">
        <v>1</v>
      </c>
      <c r="Y2093" s="18">
        <v>0</v>
      </c>
      <c r="Z2093" s="18">
        <v>1</v>
      </c>
      <c r="AA2093" s="18">
        <v>0</v>
      </c>
      <c r="AB2093" s="18">
        <v>1</v>
      </c>
      <c r="AC2093" s="316">
        <v>1</v>
      </c>
      <c r="AD2093" s="316">
        <v>1</v>
      </c>
      <c r="AE2093" s="302">
        <f t="shared" si="113"/>
        <v>0.75</v>
      </c>
      <c r="AF2093" s="176"/>
      <c r="AG2093" s="17">
        <v>0</v>
      </c>
      <c r="AH2093" s="176">
        <v>0.5</v>
      </c>
      <c r="AI2093" s="176">
        <v>0</v>
      </c>
      <c r="AJ2093" s="176">
        <v>0</v>
      </c>
      <c r="AK2093" s="177">
        <v>5</v>
      </c>
      <c r="AL2093" s="177">
        <v>5</v>
      </c>
      <c r="AM2093" s="17">
        <f t="shared" si="114"/>
        <v>10</v>
      </c>
      <c r="AN2093" s="18" t="s">
        <v>570</v>
      </c>
      <c r="AO2093" s="18" t="s">
        <v>2875</v>
      </c>
      <c r="AP2093" s="18" t="s">
        <v>6565</v>
      </c>
    </row>
    <row r="2094" spans="1:42" s="18" customFormat="1" hidden="1" x14ac:dyDescent="0.3">
      <c r="A2094" s="18" t="s">
        <v>1454</v>
      </c>
      <c r="B2094" s="18" t="s">
        <v>6438</v>
      </c>
      <c r="C2094" s="18">
        <v>103</v>
      </c>
      <c r="D2094" s="18" t="s">
        <v>6838</v>
      </c>
      <c r="E2094" s="18">
        <v>1035</v>
      </c>
      <c r="F2094" s="18" t="s">
        <v>6839</v>
      </c>
      <c r="G2094" s="156" t="s">
        <v>6840</v>
      </c>
      <c r="H2094" s="18" t="s">
        <v>6841</v>
      </c>
      <c r="K2094" s="156" t="s">
        <v>6842</v>
      </c>
      <c r="L2094" s="18" t="s">
        <v>6843</v>
      </c>
      <c r="M2094" s="18" t="s">
        <v>6848</v>
      </c>
      <c r="N2094" s="16">
        <v>48</v>
      </c>
      <c r="O2094" s="16">
        <v>58</v>
      </c>
      <c r="P2094" s="16">
        <v>69.2</v>
      </c>
      <c r="Q2094" s="16">
        <v>80</v>
      </c>
      <c r="R2094" s="16">
        <v>89.8</v>
      </c>
      <c r="S2094" s="16">
        <v>100</v>
      </c>
      <c r="T2094" s="18" t="s">
        <v>570</v>
      </c>
      <c r="U2094" s="283" t="s">
        <v>2875</v>
      </c>
      <c r="V2094" s="18" t="s">
        <v>6849</v>
      </c>
      <c r="W2094" s="18">
        <v>0</v>
      </c>
      <c r="X2094" s="18">
        <v>0</v>
      </c>
      <c r="Y2094" s="18">
        <v>0</v>
      </c>
      <c r="Z2094" s="18">
        <v>0</v>
      </c>
      <c r="AA2094" s="18">
        <v>0</v>
      </c>
      <c r="AB2094" s="18">
        <v>0</v>
      </c>
      <c r="AC2094" s="316">
        <v>0</v>
      </c>
      <c r="AD2094" s="316">
        <v>0</v>
      </c>
      <c r="AE2094" s="302">
        <f t="shared" si="113"/>
        <v>0</v>
      </c>
      <c r="AF2094" s="176"/>
      <c r="AG2094" s="17">
        <v>0</v>
      </c>
      <c r="AH2094" s="176">
        <v>0</v>
      </c>
      <c r="AI2094" s="176">
        <v>0.2</v>
      </c>
      <c r="AJ2094" s="176">
        <v>0</v>
      </c>
      <c r="AK2094" s="177">
        <v>0</v>
      </c>
      <c r="AL2094" s="177">
        <v>0</v>
      </c>
      <c r="AM2094" s="17">
        <f t="shared" si="114"/>
        <v>0</v>
      </c>
      <c r="AN2094" s="18" t="s">
        <v>570</v>
      </c>
      <c r="AO2094" s="18" t="s">
        <v>2875</v>
      </c>
      <c r="AP2094" s="18" t="s">
        <v>6565</v>
      </c>
    </row>
    <row r="2095" spans="1:42" s="18" customFormat="1" x14ac:dyDescent="0.3">
      <c r="A2095" s="18" t="s">
        <v>1454</v>
      </c>
      <c r="B2095" s="18" t="s">
        <v>6438</v>
      </c>
      <c r="C2095" s="18">
        <v>103</v>
      </c>
      <c r="D2095" s="18" t="s">
        <v>6838</v>
      </c>
      <c r="E2095" s="18">
        <v>1035</v>
      </c>
      <c r="F2095" s="18" t="s">
        <v>6839</v>
      </c>
      <c r="G2095" s="156" t="s">
        <v>6840</v>
      </c>
      <c r="H2095" s="18" t="s">
        <v>6841</v>
      </c>
      <c r="K2095" s="156" t="s">
        <v>6842</v>
      </c>
      <c r="L2095" s="18" t="s">
        <v>6843</v>
      </c>
      <c r="M2095" s="18" t="s">
        <v>6848</v>
      </c>
      <c r="N2095" s="16"/>
      <c r="O2095" s="16"/>
      <c r="P2095" s="16"/>
      <c r="Q2095" s="16"/>
      <c r="R2095" s="16"/>
      <c r="S2095" s="16"/>
      <c r="U2095" s="283" t="e">
        <v>#N/A</v>
      </c>
      <c r="V2095" s="18" t="s">
        <v>6850</v>
      </c>
      <c r="W2095" s="18">
        <v>1</v>
      </c>
      <c r="X2095" s="18">
        <v>1</v>
      </c>
      <c r="Y2095" s="18">
        <v>0</v>
      </c>
      <c r="Z2095" s="18">
        <v>1</v>
      </c>
      <c r="AA2095" s="18">
        <v>1</v>
      </c>
      <c r="AB2095" s="18">
        <v>1</v>
      </c>
      <c r="AC2095" s="316">
        <v>1</v>
      </c>
      <c r="AD2095" s="316">
        <v>1</v>
      </c>
      <c r="AE2095" s="302">
        <f t="shared" si="113"/>
        <v>0.875</v>
      </c>
      <c r="AF2095" s="176"/>
      <c r="AG2095" s="17">
        <v>0</v>
      </c>
      <c r="AH2095" s="176">
        <v>0</v>
      </c>
      <c r="AI2095" s="176">
        <v>1.2</v>
      </c>
      <c r="AJ2095" s="176">
        <v>1.2</v>
      </c>
      <c r="AK2095" s="177">
        <v>0.2</v>
      </c>
      <c r="AL2095" s="177">
        <v>0.3</v>
      </c>
      <c r="AM2095" s="17">
        <f t="shared" si="114"/>
        <v>0.5</v>
      </c>
      <c r="AN2095" s="18" t="s">
        <v>570</v>
      </c>
      <c r="AO2095" s="18" t="s">
        <v>2875</v>
      </c>
      <c r="AP2095" s="18" t="s">
        <v>6565</v>
      </c>
    </row>
    <row r="2096" spans="1:42" s="18" customFormat="1" hidden="1" x14ac:dyDescent="0.3">
      <c r="A2096" s="18" t="s">
        <v>1454</v>
      </c>
      <c r="B2096" s="18" t="s">
        <v>6438</v>
      </c>
      <c r="C2096" s="18">
        <v>103</v>
      </c>
      <c r="D2096" s="18" t="s">
        <v>6838</v>
      </c>
      <c r="E2096" s="18">
        <v>1035</v>
      </c>
      <c r="F2096" s="18" t="s">
        <v>6839</v>
      </c>
      <c r="G2096" s="156" t="s">
        <v>6840</v>
      </c>
      <c r="H2096" s="18" t="s">
        <v>6841</v>
      </c>
      <c r="K2096" s="156" t="s">
        <v>6842</v>
      </c>
      <c r="L2096" s="18" t="s">
        <v>6843</v>
      </c>
      <c r="M2096" s="18" t="s">
        <v>6848</v>
      </c>
      <c r="N2096" s="16"/>
      <c r="O2096" s="16"/>
      <c r="P2096" s="16"/>
      <c r="Q2096" s="16"/>
      <c r="R2096" s="16"/>
      <c r="S2096" s="16"/>
      <c r="U2096" s="283" t="e">
        <v>#N/A</v>
      </c>
      <c r="V2096" s="18" t="s">
        <v>6851</v>
      </c>
      <c r="W2096" s="18">
        <v>0</v>
      </c>
      <c r="X2096" s="18">
        <v>0</v>
      </c>
      <c r="Y2096" s="18">
        <v>0</v>
      </c>
      <c r="Z2096" s="18">
        <v>0</v>
      </c>
      <c r="AA2096" s="18">
        <v>0</v>
      </c>
      <c r="AB2096" s="18">
        <v>0</v>
      </c>
      <c r="AC2096" s="316">
        <v>0</v>
      </c>
      <c r="AD2096" s="316">
        <v>0</v>
      </c>
      <c r="AE2096" s="302">
        <f t="shared" si="113"/>
        <v>0</v>
      </c>
      <c r="AF2096" s="176"/>
      <c r="AG2096" s="17">
        <v>0</v>
      </c>
      <c r="AH2096" s="176">
        <v>0</v>
      </c>
      <c r="AI2096" s="176">
        <v>0.6</v>
      </c>
      <c r="AJ2096" s="176">
        <v>0.6</v>
      </c>
      <c r="AK2096" s="177"/>
      <c r="AL2096" s="177">
        <v>0</v>
      </c>
      <c r="AM2096" s="17">
        <f t="shared" si="114"/>
        <v>0</v>
      </c>
      <c r="AN2096" s="18" t="s">
        <v>570</v>
      </c>
      <c r="AO2096" s="18" t="s">
        <v>2875</v>
      </c>
      <c r="AP2096" s="18" t="s">
        <v>6565</v>
      </c>
    </row>
    <row r="2097" spans="1:42" s="18" customFormat="1" x14ac:dyDescent="0.3">
      <c r="A2097" s="18" t="s">
        <v>1454</v>
      </c>
      <c r="B2097" s="18" t="s">
        <v>6438</v>
      </c>
      <c r="C2097" s="18">
        <v>103</v>
      </c>
      <c r="D2097" s="18" t="s">
        <v>6838</v>
      </c>
      <c r="E2097" s="18">
        <v>1035</v>
      </c>
      <c r="F2097" s="18" t="s">
        <v>6839</v>
      </c>
      <c r="G2097" s="156" t="s">
        <v>6840</v>
      </c>
      <c r="H2097" s="18" t="s">
        <v>6841</v>
      </c>
      <c r="K2097" s="156" t="s">
        <v>6842</v>
      </c>
      <c r="L2097" s="18" t="s">
        <v>6843</v>
      </c>
      <c r="M2097" s="18" t="s">
        <v>6848</v>
      </c>
      <c r="N2097" s="16"/>
      <c r="O2097" s="16"/>
      <c r="P2097" s="16"/>
      <c r="Q2097" s="16"/>
      <c r="R2097" s="16"/>
      <c r="S2097" s="16"/>
      <c r="U2097" s="283" t="e">
        <v>#N/A</v>
      </c>
      <c r="V2097" s="18" t="s">
        <v>6852</v>
      </c>
      <c r="W2097" s="18">
        <v>1</v>
      </c>
      <c r="X2097" s="18">
        <v>1</v>
      </c>
      <c r="Y2097" s="18">
        <v>0</v>
      </c>
      <c r="Z2097" s="18">
        <v>1</v>
      </c>
      <c r="AA2097" s="18">
        <v>0</v>
      </c>
      <c r="AB2097" s="18">
        <v>1</v>
      </c>
      <c r="AC2097" s="316">
        <v>1</v>
      </c>
      <c r="AD2097" s="316">
        <v>1</v>
      </c>
      <c r="AE2097" s="302">
        <f t="shared" si="113"/>
        <v>0.75</v>
      </c>
      <c r="AF2097" s="176"/>
      <c r="AG2097" s="17">
        <v>0</v>
      </c>
      <c r="AH2097" s="176">
        <v>0</v>
      </c>
      <c r="AI2097" s="176">
        <v>2.5</v>
      </c>
      <c r="AJ2097" s="176">
        <v>2.5</v>
      </c>
      <c r="AK2097" s="177">
        <v>1</v>
      </c>
      <c r="AL2097" s="177">
        <v>3</v>
      </c>
      <c r="AM2097" s="17">
        <f t="shared" si="114"/>
        <v>4</v>
      </c>
      <c r="AN2097" s="18" t="s">
        <v>570</v>
      </c>
      <c r="AO2097" s="18" t="s">
        <v>2875</v>
      </c>
      <c r="AP2097" s="18" t="s">
        <v>6565</v>
      </c>
    </row>
    <row r="2098" spans="1:42" s="18" customFormat="1" x14ac:dyDescent="0.3">
      <c r="A2098" s="18" t="s">
        <v>1454</v>
      </c>
      <c r="B2098" s="18" t="s">
        <v>6438</v>
      </c>
      <c r="C2098" s="18">
        <v>103</v>
      </c>
      <c r="D2098" s="18" t="s">
        <v>6838</v>
      </c>
      <c r="E2098" s="18">
        <v>1035</v>
      </c>
      <c r="F2098" s="18" t="s">
        <v>6839</v>
      </c>
      <c r="G2098" s="156" t="s">
        <v>6840</v>
      </c>
      <c r="H2098" s="18" t="s">
        <v>6841</v>
      </c>
      <c r="K2098" s="156" t="s">
        <v>6842</v>
      </c>
      <c r="L2098" s="18" t="s">
        <v>6843</v>
      </c>
      <c r="M2098" s="18" t="s">
        <v>6848</v>
      </c>
      <c r="N2098" s="16"/>
      <c r="O2098" s="16"/>
      <c r="P2098" s="16"/>
      <c r="Q2098" s="16"/>
      <c r="R2098" s="16"/>
      <c r="S2098" s="16"/>
      <c r="U2098" s="283" t="e">
        <v>#N/A</v>
      </c>
      <c r="V2098" s="18" t="s">
        <v>6853</v>
      </c>
      <c r="W2098" s="18">
        <v>1</v>
      </c>
      <c r="X2098" s="18">
        <v>0</v>
      </c>
      <c r="Y2098" s="18">
        <v>0</v>
      </c>
      <c r="Z2098" s="18">
        <v>1</v>
      </c>
      <c r="AA2098" s="18">
        <v>1</v>
      </c>
      <c r="AB2098" s="18">
        <v>1</v>
      </c>
      <c r="AC2098" s="316">
        <v>1</v>
      </c>
      <c r="AD2098" s="316">
        <v>1</v>
      </c>
      <c r="AE2098" s="302">
        <f t="shared" si="113"/>
        <v>0.75</v>
      </c>
      <c r="AF2098" s="176"/>
      <c r="AG2098" s="17">
        <v>0</v>
      </c>
      <c r="AH2098" s="176">
        <v>0</v>
      </c>
      <c r="AI2098" s="176">
        <v>4</v>
      </c>
      <c r="AJ2098" s="176">
        <v>4</v>
      </c>
      <c r="AK2098" s="177">
        <v>0</v>
      </c>
      <c r="AL2098" s="177">
        <v>0.68</v>
      </c>
      <c r="AM2098" s="17">
        <f t="shared" si="114"/>
        <v>0.68</v>
      </c>
      <c r="AN2098" s="18" t="s">
        <v>570</v>
      </c>
      <c r="AO2098" s="18" t="s">
        <v>2875</v>
      </c>
      <c r="AP2098" s="18" t="s">
        <v>6565</v>
      </c>
    </row>
    <row r="2099" spans="1:42" s="18" customFormat="1" hidden="1" x14ac:dyDescent="0.3">
      <c r="A2099" s="18" t="s">
        <v>1454</v>
      </c>
      <c r="B2099" s="18" t="s">
        <v>6438</v>
      </c>
      <c r="C2099" s="18">
        <v>103</v>
      </c>
      <c r="D2099" s="18" t="s">
        <v>6838</v>
      </c>
      <c r="E2099" s="18">
        <v>1035</v>
      </c>
      <c r="F2099" s="18" t="s">
        <v>6839</v>
      </c>
      <c r="G2099" s="156" t="s">
        <v>6840</v>
      </c>
      <c r="H2099" s="18" t="s">
        <v>6841</v>
      </c>
      <c r="K2099" s="156" t="s">
        <v>6842</v>
      </c>
      <c r="L2099" s="18" t="s">
        <v>6843</v>
      </c>
      <c r="M2099" s="18" t="s">
        <v>6848</v>
      </c>
      <c r="N2099" s="16"/>
      <c r="O2099" s="16"/>
      <c r="P2099" s="16"/>
      <c r="Q2099" s="16"/>
      <c r="R2099" s="16"/>
      <c r="S2099" s="16"/>
      <c r="U2099" s="283" t="e">
        <v>#N/A</v>
      </c>
      <c r="V2099" s="18" t="s">
        <v>6854</v>
      </c>
      <c r="AC2099" s="316">
        <v>0</v>
      </c>
      <c r="AD2099" s="316">
        <v>0</v>
      </c>
      <c r="AE2099" s="302">
        <f t="shared" si="113"/>
        <v>0</v>
      </c>
      <c r="AF2099" s="176"/>
      <c r="AG2099" s="17">
        <v>0</v>
      </c>
      <c r="AH2099" s="176">
        <v>0</v>
      </c>
      <c r="AI2099" s="176">
        <v>0.3</v>
      </c>
      <c r="AJ2099" s="176">
        <v>0</v>
      </c>
      <c r="AK2099" s="177">
        <v>0</v>
      </c>
      <c r="AL2099" s="177">
        <v>0</v>
      </c>
      <c r="AM2099" s="17">
        <f t="shared" si="114"/>
        <v>0</v>
      </c>
      <c r="AN2099" s="18" t="s">
        <v>2514</v>
      </c>
      <c r="AO2099" s="18" t="s">
        <v>2515</v>
      </c>
      <c r="AP2099" s="18" t="s">
        <v>6855</v>
      </c>
    </row>
    <row r="2100" spans="1:42" s="18" customFormat="1" x14ac:dyDescent="0.3">
      <c r="A2100" s="18" t="s">
        <v>1454</v>
      </c>
      <c r="B2100" s="18" t="s">
        <v>6438</v>
      </c>
      <c r="C2100" s="18">
        <v>103</v>
      </c>
      <c r="D2100" s="18" t="s">
        <v>6838</v>
      </c>
      <c r="E2100" s="18">
        <v>1035</v>
      </c>
      <c r="F2100" s="18" t="s">
        <v>6839</v>
      </c>
      <c r="G2100" s="156" t="s">
        <v>6840</v>
      </c>
      <c r="H2100" s="18" t="s">
        <v>6841</v>
      </c>
      <c r="K2100" s="156" t="s">
        <v>6842</v>
      </c>
      <c r="L2100" s="18" t="s">
        <v>6843</v>
      </c>
      <c r="M2100" s="18" t="s">
        <v>6848</v>
      </c>
      <c r="N2100" s="16"/>
      <c r="O2100" s="16"/>
      <c r="P2100" s="16"/>
      <c r="Q2100" s="16"/>
      <c r="R2100" s="16"/>
      <c r="S2100" s="16"/>
      <c r="U2100" s="283" t="e">
        <v>#N/A</v>
      </c>
      <c r="V2100" s="18" t="s">
        <v>6856</v>
      </c>
      <c r="W2100" s="18">
        <v>1</v>
      </c>
      <c r="X2100" s="18">
        <v>1</v>
      </c>
      <c r="Y2100" s="18">
        <v>0</v>
      </c>
      <c r="Z2100" s="18">
        <v>1</v>
      </c>
      <c r="AA2100" s="18">
        <v>0</v>
      </c>
      <c r="AB2100" s="18">
        <v>1</v>
      </c>
      <c r="AC2100" s="316">
        <v>1</v>
      </c>
      <c r="AD2100" s="316">
        <v>1</v>
      </c>
      <c r="AE2100" s="302">
        <f t="shared" si="113"/>
        <v>0.75</v>
      </c>
      <c r="AF2100" s="176"/>
      <c r="AG2100" s="17">
        <v>0</v>
      </c>
      <c r="AH2100" s="176">
        <v>2</v>
      </c>
      <c r="AI2100" s="176">
        <v>0</v>
      </c>
      <c r="AJ2100" s="176">
        <v>0</v>
      </c>
      <c r="AK2100" s="177">
        <v>5</v>
      </c>
      <c r="AL2100" s="177">
        <v>4</v>
      </c>
      <c r="AM2100" s="17">
        <f t="shared" si="114"/>
        <v>9</v>
      </c>
      <c r="AN2100" s="18" t="s">
        <v>2514</v>
      </c>
      <c r="AO2100" s="18" t="s">
        <v>2515</v>
      </c>
      <c r="AP2100" s="18" t="s">
        <v>119</v>
      </c>
    </row>
    <row r="2101" spans="1:42" s="18" customFormat="1" hidden="1" x14ac:dyDescent="0.3">
      <c r="A2101" s="18" t="s">
        <v>1454</v>
      </c>
      <c r="B2101" s="18" t="s">
        <v>6438</v>
      </c>
      <c r="C2101" s="18">
        <v>103</v>
      </c>
      <c r="D2101" s="18" t="s">
        <v>6838</v>
      </c>
      <c r="E2101" s="18">
        <v>1035</v>
      </c>
      <c r="F2101" s="18" t="s">
        <v>6839</v>
      </c>
      <c r="G2101" s="156" t="s">
        <v>6840</v>
      </c>
      <c r="H2101" s="18" t="s">
        <v>6841</v>
      </c>
      <c r="K2101" s="156" t="s">
        <v>6842</v>
      </c>
      <c r="L2101" s="18" t="s">
        <v>6843</v>
      </c>
      <c r="M2101" s="18" t="s">
        <v>6848</v>
      </c>
      <c r="N2101" s="16"/>
      <c r="O2101" s="16"/>
      <c r="P2101" s="16"/>
      <c r="Q2101" s="16"/>
      <c r="R2101" s="16"/>
      <c r="S2101" s="16"/>
      <c r="U2101" s="283" t="e">
        <v>#N/A</v>
      </c>
      <c r="V2101" s="18" t="s">
        <v>6857</v>
      </c>
      <c r="W2101" s="18">
        <v>0</v>
      </c>
      <c r="X2101" s="18">
        <v>0</v>
      </c>
      <c r="Y2101" s="18">
        <v>0</v>
      </c>
      <c r="Z2101" s="18">
        <v>0</v>
      </c>
      <c r="AA2101" s="18">
        <v>0</v>
      </c>
      <c r="AB2101" s="18">
        <v>0</v>
      </c>
      <c r="AC2101" s="316">
        <v>0</v>
      </c>
      <c r="AD2101" s="316">
        <v>0</v>
      </c>
      <c r="AE2101" s="302">
        <f t="shared" si="113"/>
        <v>0</v>
      </c>
      <c r="AF2101" s="176"/>
      <c r="AG2101" s="17">
        <v>0</v>
      </c>
      <c r="AH2101" s="176">
        <v>0</v>
      </c>
      <c r="AI2101" s="176">
        <v>0.5</v>
      </c>
      <c r="AJ2101" s="176">
        <v>0.3</v>
      </c>
      <c r="AK2101" s="177"/>
      <c r="AL2101" s="177">
        <v>0</v>
      </c>
      <c r="AM2101" s="17">
        <f t="shared" si="114"/>
        <v>0</v>
      </c>
      <c r="AN2101" s="18" t="s">
        <v>2514</v>
      </c>
      <c r="AO2101" s="18" t="s">
        <v>2515</v>
      </c>
      <c r="AP2101" s="18" t="s">
        <v>6466</v>
      </c>
    </row>
    <row r="2102" spans="1:42" s="18" customFormat="1" hidden="1" x14ac:dyDescent="0.3">
      <c r="A2102" s="18" t="s">
        <v>1454</v>
      </c>
      <c r="B2102" s="18" t="s">
        <v>6438</v>
      </c>
      <c r="C2102" s="18">
        <v>103</v>
      </c>
      <c r="D2102" s="18" t="s">
        <v>6838</v>
      </c>
      <c r="E2102" s="18">
        <v>1035</v>
      </c>
      <c r="F2102" s="18" t="s">
        <v>6839</v>
      </c>
      <c r="G2102" s="156" t="s">
        <v>6840</v>
      </c>
      <c r="H2102" s="18" t="s">
        <v>6841</v>
      </c>
      <c r="K2102" s="156" t="s">
        <v>6842</v>
      </c>
      <c r="L2102" s="18" t="s">
        <v>6843</v>
      </c>
      <c r="M2102" s="18" t="s">
        <v>6848</v>
      </c>
      <c r="N2102" s="16"/>
      <c r="O2102" s="16"/>
      <c r="P2102" s="16"/>
      <c r="Q2102" s="16"/>
      <c r="R2102" s="16"/>
      <c r="S2102" s="16"/>
      <c r="U2102" s="283" t="e">
        <v>#N/A</v>
      </c>
      <c r="V2102" s="18" t="s">
        <v>6858</v>
      </c>
      <c r="W2102" s="18">
        <v>1</v>
      </c>
      <c r="X2102" s="18">
        <v>0</v>
      </c>
      <c r="Y2102" s="18">
        <v>0</v>
      </c>
      <c r="Z2102" s="18">
        <v>0</v>
      </c>
      <c r="AA2102" s="18">
        <v>0</v>
      </c>
      <c r="AB2102" s="18">
        <v>0</v>
      </c>
      <c r="AC2102" s="316">
        <v>0</v>
      </c>
      <c r="AD2102" s="316">
        <v>1</v>
      </c>
      <c r="AE2102" s="302">
        <f t="shared" si="113"/>
        <v>0.25</v>
      </c>
      <c r="AF2102" s="176"/>
      <c r="AG2102" s="17">
        <v>0</v>
      </c>
      <c r="AH2102" s="176">
        <v>0</v>
      </c>
      <c r="AI2102" s="176">
        <v>0</v>
      </c>
      <c r="AJ2102" s="176">
        <v>0</v>
      </c>
      <c r="AK2102" s="177"/>
      <c r="AL2102" s="177">
        <v>0</v>
      </c>
      <c r="AM2102" s="17">
        <f t="shared" si="114"/>
        <v>0</v>
      </c>
      <c r="AN2102" s="18" t="s">
        <v>2514</v>
      </c>
      <c r="AO2102" s="18" t="s">
        <v>2515</v>
      </c>
      <c r="AP2102" s="18" t="s">
        <v>6855</v>
      </c>
    </row>
    <row r="2103" spans="1:42" s="18" customFormat="1" hidden="1" x14ac:dyDescent="0.3">
      <c r="A2103" s="18" t="s">
        <v>1454</v>
      </c>
      <c r="B2103" s="18" t="s">
        <v>6438</v>
      </c>
      <c r="C2103" s="18">
        <v>103</v>
      </c>
      <c r="D2103" s="18" t="s">
        <v>6838</v>
      </c>
      <c r="E2103" s="18">
        <v>1035</v>
      </c>
      <c r="F2103" s="18" t="s">
        <v>6839</v>
      </c>
      <c r="G2103" s="156" t="s">
        <v>6840</v>
      </c>
      <c r="H2103" s="18" t="s">
        <v>6841</v>
      </c>
      <c r="K2103" s="156" t="s">
        <v>6842</v>
      </c>
      <c r="L2103" s="18" t="s">
        <v>6843</v>
      </c>
      <c r="M2103" s="18" t="s">
        <v>6848</v>
      </c>
      <c r="N2103" s="16"/>
      <c r="O2103" s="16"/>
      <c r="P2103" s="16"/>
      <c r="Q2103" s="16"/>
      <c r="R2103" s="16"/>
      <c r="S2103" s="16"/>
      <c r="U2103" s="283" t="e">
        <v>#N/A</v>
      </c>
      <c r="V2103" s="18" t="s">
        <v>6859</v>
      </c>
      <c r="W2103" s="18">
        <v>0</v>
      </c>
      <c r="X2103" s="18">
        <v>0</v>
      </c>
      <c r="Y2103" s="18">
        <v>0</v>
      </c>
      <c r="Z2103" s="18">
        <v>0</v>
      </c>
      <c r="AA2103" s="18">
        <v>0</v>
      </c>
      <c r="AB2103" s="18">
        <v>0</v>
      </c>
      <c r="AC2103" s="316">
        <v>0</v>
      </c>
      <c r="AD2103" s="316">
        <v>1</v>
      </c>
      <c r="AE2103" s="302">
        <f t="shared" si="113"/>
        <v>0.125</v>
      </c>
      <c r="AF2103" s="176"/>
      <c r="AG2103" s="17">
        <v>0</v>
      </c>
      <c r="AH2103" s="176">
        <v>0</v>
      </c>
      <c r="AI2103" s="176">
        <v>0.4</v>
      </c>
      <c r="AJ2103" s="176">
        <v>0</v>
      </c>
      <c r="AK2103" s="177">
        <v>0</v>
      </c>
      <c r="AL2103" s="177">
        <v>0</v>
      </c>
      <c r="AM2103" s="17">
        <f t="shared" si="114"/>
        <v>0</v>
      </c>
      <c r="AN2103" s="18" t="s">
        <v>3643</v>
      </c>
      <c r="AO2103" s="18" t="s">
        <v>3630</v>
      </c>
      <c r="AP2103" s="18" t="s">
        <v>119</v>
      </c>
    </row>
    <row r="2104" spans="1:42" s="18" customFormat="1" hidden="1" x14ac:dyDescent="0.3">
      <c r="A2104" s="18" t="s">
        <v>1454</v>
      </c>
      <c r="B2104" s="18" t="s">
        <v>6438</v>
      </c>
      <c r="C2104" s="18">
        <v>103</v>
      </c>
      <c r="D2104" s="18" t="s">
        <v>6838</v>
      </c>
      <c r="E2104" s="18">
        <v>1035</v>
      </c>
      <c r="F2104" s="18" t="s">
        <v>6839</v>
      </c>
      <c r="G2104" s="156" t="s">
        <v>6840</v>
      </c>
      <c r="H2104" s="18" t="s">
        <v>6841</v>
      </c>
      <c r="K2104" s="156" t="s">
        <v>6842</v>
      </c>
      <c r="L2104" s="18" t="s">
        <v>6843</v>
      </c>
      <c r="M2104" s="18" t="s">
        <v>6848</v>
      </c>
      <c r="N2104" s="16"/>
      <c r="O2104" s="16"/>
      <c r="P2104" s="16"/>
      <c r="Q2104" s="16"/>
      <c r="R2104" s="16"/>
      <c r="S2104" s="16"/>
      <c r="U2104" s="283" t="e">
        <v>#N/A</v>
      </c>
      <c r="V2104" s="18" t="s">
        <v>6860</v>
      </c>
      <c r="W2104" s="18">
        <v>0</v>
      </c>
      <c r="X2104" s="18">
        <v>0</v>
      </c>
      <c r="Y2104" s="18">
        <v>0</v>
      </c>
      <c r="Z2104" s="18">
        <v>1</v>
      </c>
      <c r="AA2104" s="18">
        <v>0</v>
      </c>
      <c r="AB2104" s="18">
        <v>0</v>
      </c>
      <c r="AC2104" s="316">
        <v>0</v>
      </c>
      <c r="AD2104" s="316">
        <v>1</v>
      </c>
      <c r="AE2104" s="302">
        <f t="shared" si="113"/>
        <v>0.25</v>
      </c>
      <c r="AF2104" s="176"/>
      <c r="AG2104" s="17">
        <v>0</v>
      </c>
      <c r="AH2104" s="176">
        <v>0</v>
      </c>
      <c r="AI2104" s="176">
        <v>5</v>
      </c>
      <c r="AJ2104" s="176">
        <v>5</v>
      </c>
      <c r="AK2104" s="177"/>
      <c r="AL2104" s="177"/>
      <c r="AM2104" s="17">
        <f t="shared" si="114"/>
        <v>0</v>
      </c>
      <c r="AN2104" s="18" t="s">
        <v>3643</v>
      </c>
      <c r="AO2104" s="18" t="s">
        <v>3630</v>
      </c>
      <c r="AP2104" s="18" t="s">
        <v>119</v>
      </c>
    </row>
    <row r="2105" spans="1:42" s="18" customFormat="1" x14ac:dyDescent="0.3">
      <c r="A2105" s="18" t="s">
        <v>1454</v>
      </c>
      <c r="B2105" s="18" t="s">
        <v>6438</v>
      </c>
      <c r="C2105" s="18">
        <v>103</v>
      </c>
      <c r="D2105" s="18" t="s">
        <v>6838</v>
      </c>
      <c r="E2105" s="18">
        <v>1035</v>
      </c>
      <c r="F2105" s="18" t="s">
        <v>6839</v>
      </c>
      <c r="G2105" s="156" t="s">
        <v>6861</v>
      </c>
      <c r="H2105" s="18" t="s">
        <v>6862</v>
      </c>
      <c r="K2105" s="156" t="s">
        <v>6863</v>
      </c>
      <c r="L2105" s="18" t="s">
        <v>6864</v>
      </c>
      <c r="M2105" s="18" t="s">
        <v>6865</v>
      </c>
      <c r="N2105" s="16">
        <v>40</v>
      </c>
      <c r="O2105" s="16">
        <v>56</v>
      </c>
      <c r="P2105" s="16">
        <v>64</v>
      </c>
      <c r="Q2105" s="16">
        <v>75</v>
      </c>
      <c r="R2105" s="16">
        <v>83</v>
      </c>
      <c r="S2105" s="16">
        <v>97</v>
      </c>
      <c r="T2105" s="18" t="s">
        <v>570</v>
      </c>
      <c r="U2105" s="283" t="s">
        <v>2875</v>
      </c>
      <c r="V2105" s="18" t="s">
        <v>6866</v>
      </c>
      <c r="W2105" s="18">
        <v>1</v>
      </c>
      <c r="X2105" s="18">
        <v>0</v>
      </c>
      <c r="Y2105" s="18">
        <v>0</v>
      </c>
      <c r="Z2105" s="18">
        <v>1</v>
      </c>
      <c r="AA2105" s="18">
        <v>1</v>
      </c>
      <c r="AB2105" s="18">
        <v>1</v>
      </c>
      <c r="AC2105" s="316">
        <v>1</v>
      </c>
      <c r="AD2105" s="316">
        <v>1</v>
      </c>
      <c r="AE2105" s="302">
        <f t="shared" si="113"/>
        <v>0.75</v>
      </c>
      <c r="AF2105" s="176"/>
      <c r="AG2105" s="17">
        <v>0</v>
      </c>
      <c r="AH2105" s="176">
        <v>0.2</v>
      </c>
      <c r="AI2105" s="176">
        <v>0.2</v>
      </c>
      <c r="AJ2105" s="176">
        <v>0.2</v>
      </c>
      <c r="AK2105" s="177">
        <v>0.1</v>
      </c>
      <c r="AL2105" s="177">
        <v>2</v>
      </c>
      <c r="AM2105" s="17">
        <f t="shared" si="114"/>
        <v>2.1</v>
      </c>
      <c r="AN2105" s="18" t="s">
        <v>570</v>
      </c>
      <c r="AO2105" s="18" t="s">
        <v>2875</v>
      </c>
      <c r="AP2105" s="18" t="s">
        <v>6565</v>
      </c>
    </row>
    <row r="2106" spans="1:42" s="18" customFormat="1" x14ac:dyDescent="0.3">
      <c r="A2106" s="18" t="s">
        <v>1454</v>
      </c>
      <c r="B2106" s="18" t="s">
        <v>6438</v>
      </c>
      <c r="C2106" s="18">
        <v>103</v>
      </c>
      <c r="D2106" s="18" t="s">
        <v>6838</v>
      </c>
      <c r="E2106" s="18">
        <v>1035</v>
      </c>
      <c r="F2106" s="18" t="s">
        <v>6839</v>
      </c>
      <c r="G2106" s="156" t="s">
        <v>6861</v>
      </c>
      <c r="H2106" s="18" t="s">
        <v>6862</v>
      </c>
      <c r="K2106" s="156" t="s">
        <v>6863</v>
      </c>
      <c r="L2106" s="18" t="s">
        <v>6864</v>
      </c>
      <c r="M2106" s="18" t="s">
        <v>6865</v>
      </c>
      <c r="N2106" s="16"/>
      <c r="O2106" s="16"/>
      <c r="P2106" s="16"/>
      <c r="Q2106" s="16"/>
      <c r="R2106" s="16"/>
      <c r="S2106" s="16"/>
      <c r="U2106" s="283" t="e">
        <v>#N/A</v>
      </c>
      <c r="V2106" s="18" t="s">
        <v>6867</v>
      </c>
      <c r="W2106" s="18">
        <v>1</v>
      </c>
      <c r="X2106" s="18">
        <v>1</v>
      </c>
      <c r="Y2106" s="18">
        <v>0</v>
      </c>
      <c r="Z2106" s="18">
        <v>1</v>
      </c>
      <c r="AA2106" s="18">
        <v>1</v>
      </c>
      <c r="AB2106" s="18">
        <v>1</v>
      </c>
      <c r="AC2106" s="316">
        <v>1</v>
      </c>
      <c r="AD2106" s="316">
        <v>0</v>
      </c>
      <c r="AE2106" s="302">
        <f t="shared" si="113"/>
        <v>0.75</v>
      </c>
      <c r="AF2106" s="176"/>
      <c r="AG2106" s="17">
        <v>0</v>
      </c>
      <c r="AH2106" s="176">
        <v>0.2</v>
      </c>
      <c r="AI2106" s="176">
        <v>0.3</v>
      </c>
      <c r="AJ2106" s="176">
        <v>0.4</v>
      </c>
      <c r="AK2106" s="177">
        <v>1</v>
      </c>
      <c r="AL2106" s="177">
        <v>2</v>
      </c>
      <c r="AM2106" s="17">
        <f t="shared" si="114"/>
        <v>3</v>
      </c>
      <c r="AN2106" s="18" t="s">
        <v>570</v>
      </c>
      <c r="AO2106" s="18" t="s">
        <v>2875</v>
      </c>
      <c r="AP2106" s="18" t="s">
        <v>6565</v>
      </c>
    </row>
    <row r="2107" spans="1:42" s="18" customFormat="1" hidden="1" x14ac:dyDescent="0.3">
      <c r="A2107" s="18" t="s">
        <v>1454</v>
      </c>
      <c r="B2107" s="18" t="s">
        <v>6438</v>
      </c>
      <c r="C2107" s="18">
        <v>103</v>
      </c>
      <c r="D2107" s="18" t="s">
        <v>6838</v>
      </c>
      <c r="E2107" s="18">
        <v>1035</v>
      </c>
      <c r="F2107" s="18" t="s">
        <v>6839</v>
      </c>
      <c r="G2107" s="156" t="s">
        <v>6861</v>
      </c>
      <c r="H2107" s="18" t="s">
        <v>6862</v>
      </c>
      <c r="K2107" s="156" t="s">
        <v>6863</v>
      </c>
      <c r="L2107" s="18" t="s">
        <v>6864</v>
      </c>
      <c r="M2107" s="18" t="s">
        <v>6865</v>
      </c>
      <c r="N2107" s="16"/>
      <c r="O2107" s="16"/>
      <c r="P2107" s="16"/>
      <c r="Q2107" s="16"/>
      <c r="R2107" s="16"/>
      <c r="S2107" s="16"/>
      <c r="U2107" s="283" t="e">
        <v>#N/A</v>
      </c>
      <c r="V2107" s="18" t="s">
        <v>6868</v>
      </c>
      <c r="W2107" s="18">
        <v>1</v>
      </c>
      <c r="X2107" s="18">
        <v>0</v>
      </c>
      <c r="Y2107" s="18">
        <v>0</v>
      </c>
      <c r="Z2107" s="18">
        <v>0</v>
      </c>
      <c r="AA2107" s="18">
        <v>1</v>
      </c>
      <c r="AB2107" s="18">
        <v>1</v>
      </c>
      <c r="AC2107" s="316">
        <v>1</v>
      </c>
      <c r="AD2107" s="316">
        <v>1</v>
      </c>
      <c r="AE2107" s="302">
        <f t="shared" si="113"/>
        <v>0.625</v>
      </c>
      <c r="AF2107" s="176"/>
      <c r="AG2107" s="17">
        <v>0</v>
      </c>
      <c r="AH2107" s="176">
        <v>0.4</v>
      </c>
      <c r="AI2107" s="176">
        <v>0.4</v>
      </c>
      <c r="AJ2107" s="176">
        <v>0.4</v>
      </c>
      <c r="AK2107" s="177">
        <v>2</v>
      </c>
      <c r="AL2107" s="177">
        <v>3</v>
      </c>
      <c r="AM2107" s="17">
        <f t="shared" si="114"/>
        <v>5</v>
      </c>
      <c r="AN2107" s="18" t="s">
        <v>570</v>
      </c>
      <c r="AO2107" s="18" t="s">
        <v>2875</v>
      </c>
      <c r="AP2107" s="18" t="s">
        <v>6565</v>
      </c>
    </row>
    <row r="2108" spans="1:42" s="18" customFormat="1" x14ac:dyDescent="0.3">
      <c r="A2108" s="18" t="s">
        <v>1454</v>
      </c>
      <c r="B2108" s="18" t="s">
        <v>6438</v>
      </c>
      <c r="C2108" s="18">
        <v>103</v>
      </c>
      <c r="D2108" s="18" t="s">
        <v>6838</v>
      </c>
      <c r="E2108" s="18">
        <v>1035</v>
      </c>
      <c r="F2108" s="18" t="s">
        <v>6839</v>
      </c>
      <c r="G2108" s="156" t="s">
        <v>6861</v>
      </c>
      <c r="H2108" s="18" t="s">
        <v>6862</v>
      </c>
      <c r="K2108" s="156" t="s">
        <v>6863</v>
      </c>
      <c r="L2108" s="18" t="s">
        <v>6864</v>
      </c>
      <c r="M2108" s="18" t="s">
        <v>6865</v>
      </c>
      <c r="N2108" s="16"/>
      <c r="O2108" s="16"/>
      <c r="P2108" s="16"/>
      <c r="Q2108" s="16"/>
      <c r="R2108" s="16"/>
      <c r="S2108" s="16"/>
      <c r="U2108" s="283" t="e">
        <v>#N/A</v>
      </c>
      <c r="V2108" s="18" t="s">
        <v>6869</v>
      </c>
      <c r="W2108" s="18">
        <v>1</v>
      </c>
      <c r="X2108" s="18">
        <v>1</v>
      </c>
      <c r="Y2108" s="18">
        <v>0</v>
      </c>
      <c r="Z2108" s="18">
        <v>1</v>
      </c>
      <c r="AA2108" s="18">
        <v>1</v>
      </c>
      <c r="AB2108" s="18">
        <v>1</v>
      </c>
      <c r="AC2108" s="316">
        <v>1</v>
      </c>
      <c r="AD2108" s="316">
        <v>1</v>
      </c>
      <c r="AE2108" s="302">
        <f t="shared" si="113"/>
        <v>0.875</v>
      </c>
      <c r="AF2108" s="176"/>
      <c r="AG2108" s="17">
        <v>0</v>
      </c>
      <c r="AH2108" s="176">
        <v>0.4</v>
      </c>
      <c r="AI2108" s="176">
        <v>0.5</v>
      </c>
      <c r="AJ2108" s="176">
        <v>0.5</v>
      </c>
      <c r="AK2108" s="177">
        <v>3</v>
      </c>
      <c r="AL2108" s="177">
        <v>4</v>
      </c>
      <c r="AM2108" s="17">
        <f t="shared" si="114"/>
        <v>7</v>
      </c>
      <c r="AN2108" s="18" t="s">
        <v>570</v>
      </c>
      <c r="AO2108" s="18" t="s">
        <v>2875</v>
      </c>
      <c r="AP2108" s="18" t="s">
        <v>6565</v>
      </c>
    </row>
    <row r="2109" spans="1:42" s="18" customFormat="1" x14ac:dyDescent="0.3">
      <c r="A2109" s="18" t="s">
        <v>1454</v>
      </c>
      <c r="B2109" s="18" t="s">
        <v>6438</v>
      </c>
      <c r="C2109" s="18">
        <v>103</v>
      </c>
      <c r="D2109" s="18" t="s">
        <v>6838</v>
      </c>
      <c r="E2109" s="18">
        <v>1035</v>
      </c>
      <c r="F2109" s="18" t="s">
        <v>6839</v>
      </c>
      <c r="G2109" s="156" t="s">
        <v>6861</v>
      </c>
      <c r="H2109" s="18" t="s">
        <v>6862</v>
      </c>
      <c r="K2109" s="156" t="s">
        <v>6863</v>
      </c>
      <c r="L2109" s="18" t="s">
        <v>6864</v>
      </c>
      <c r="M2109" s="18" t="s">
        <v>6865</v>
      </c>
      <c r="N2109" s="16"/>
      <c r="O2109" s="16"/>
      <c r="P2109" s="16"/>
      <c r="Q2109" s="16"/>
      <c r="R2109" s="16"/>
      <c r="S2109" s="16"/>
      <c r="U2109" s="283" t="e">
        <v>#N/A</v>
      </c>
      <c r="V2109" s="18" t="s">
        <v>6870</v>
      </c>
      <c r="W2109" s="18">
        <v>1</v>
      </c>
      <c r="X2109" s="18">
        <v>1</v>
      </c>
      <c r="Y2109" s="18">
        <v>0</v>
      </c>
      <c r="Z2109" s="18">
        <v>1</v>
      </c>
      <c r="AA2109" s="18">
        <v>1</v>
      </c>
      <c r="AB2109" s="18">
        <v>1</v>
      </c>
      <c r="AC2109" s="316">
        <v>1</v>
      </c>
      <c r="AD2109" s="316">
        <v>1</v>
      </c>
      <c r="AE2109" s="302">
        <f t="shared" si="113"/>
        <v>0.875</v>
      </c>
      <c r="AF2109" s="176"/>
      <c r="AG2109" s="17">
        <v>0</v>
      </c>
      <c r="AH2109" s="176">
        <v>0</v>
      </c>
      <c r="AI2109" s="176">
        <v>1.2</v>
      </c>
      <c r="AJ2109" s="176">
        <v>0</v>
      </c>
      <c r="AK2109" s="177">
        <v>3</v>
      </c>
      <c r="AL2109" s="177">
        <v>3</v>
      </c>
      <c r="AM2109" s="17">
        <f t="shared" si="114"/>
        <v>6</v>
      </c>
      <c r="AN2109" s="18" t="s">
        <v>570</v>
      </c>
      <c r="AO2109" s="18" t="s">
        <v>2875</v>
      </c>
      <c r="AP2109" s="18" t="s">
        <v>6565</v>
      </c>
    </row>
    <row r="2110" spans="1:42" s="18" customFormat="1" hidden="1" x14ac:dyDescent="0.3">
      <c r="A2110" s="18" t="s">
        <v>1454</v>
      </c>
      <c r="B2110" s="18" t="s">
        <v>6438</v>
      </c>
      <c r="C2110" s="18">
        <v>103</v>
      </c>
      <c r="D2110" s="18" t="s">
        <v>6838</v>
      </c>
      <c r="E2110" s="18">
        <v>1035</v>
      </c>
      <c r="F2110" s="18" t="s">
        <v>6839</v>
      </c>
      <c r="G2110" s="156" t="s">
        <v>6871</v>
      </c>
      <c r="H2110" s="18" t="s">
        <v>6872</v>
      </c>
      <c r="K2110" s="156" t="s">
        <v>6873</v>
      </c>
      <c r="L2110" s="18" t="s">
        <v>6874</v>
      </c>
      <c r="M2110" s="18" t="s">
        <v>6875</v>
      </c>
      <c r="N2110" s="16">
        <v>14</v>
      </c>
      <c r="O2110" s="16">
        <v>22</v>
      </c>
      <c r="P2110" s="16">
        <v>28</v>
      </c>
      <c r="Q2110" s="16">
        <v>34</v>
      </c>
      <c r="R2110" s="16">
        <v>40</v>
      </c>
      <c r="S2110" s="16">
        <v>46</v>
      </c>
      <c r="T2110" s="18" t="s">
        <v>570</v>
      </c>
      <c r="U2110" s="283" t="s">
        <v>2875</v>
      </c>
      <c r="V2110" s="18" t="s">
        <v>6876</v>
      </c>
      <c r="AC2110" s="316">
        <v>0</v>
      </c>
      <c r="AD2110" s="316">
        <v>0</v>
      </c>
      <c r="AE2110" s="302">
        <f t="shared" si="113"/>
        <v>0</v>
      </c>
      <c r="AF2110" s="176"/>
      <c r="AG2110" s="17">
        <v>0</v>
      </c>
      <c r="AH2110" s="176">
        <v>34</v>
      </c>
      <c r="AI2110" s="176">
        <v>34</v>
      </c>
      <c r="AJ2110" s="176">
        <v>0</v>
      </c>
      <c r="AK2110" s="177">
        <v>0</v>
      </c>
      <c r="AL2110" s="177">
        <v>0</v>
      </c>
      <c r="AM2110" s="17">
        <f t="shared" si="114"/>
        <v>0</v>
      </c>
      <c r="AN2110" s="18" t="s">
        <v>570</v>
      </c>
      <c r="AO2110" s="18" t="s">
        <v>2875</v>
      </c>
      <c r="AP2110" s="18" t="s">
        <v>6565</v>
      </c>
    </row>
    <row r="2111" spans="1:42" s="18" customFormat="1" x14ac:dyDescent="0.3">
      <c r="A2111" s="18" t="s">
        <v>1454</v>
      </c>
      <c r="B2111" s="18" t="s">
        <v>6438</v>
      </c>
      <c r="C2111" s="18">
        <v>103</v>
      </c>
      <c r="D2111" s="18" t="s">
        <v>6838</v>
      </c>
      <c r="E2111" s="18">
        <v>1035</v>
      </c>
      <c r="F2111" s="18" t="s">
        <v>6839</v>
      </c>
      <c r="G2111" s="156" t="s">
        <v>6871</v>
      </c>
      <c r="H2111" s="18" t="s">
        <v>6872</v>
      </c>
      <c r="K2111" s="156" t="s">
        <v>6873</v>
      </c>
      <c r="L2111" s="18" t="s">
        <v>6874</v>
      </c>
      <c r="M2111" s="18" t="s">
        <v>6875</v>
      </c>
      <c r="N2111" s="16"/>
      <c r="O2111" s="16"/>
      <c r="P2111" s="16"/>
      <c r="Q2111" s="16"/>
      <c r="R2111" s="16"/>
      <c r="S2111" s="16"/>
      <c r="U2111" s="283" t="e">
        <v>#N/A</v>
      </c>
      <c r="V2111" s="18" t="s">
        <v>6877</v>
      </c>
      <c r="W2111" s="18">
        <v>1</v>
      </c>
      <c r="X2111" s="18">
        <v>0</v>
      </c>
      <c r="Y2111" s="18">
        <v>0</v>
      </c>
      <c r="Z2111" s="18">
        <v>1</v>
      </c>
      <c r="AA2111" s="18">
        <v>1</v>
      </c>
      <c r="AB2111" s="18">
        <v>1</v>
      </c>
      <c r="AC2111" s="316">
        <v>1</v>
      </c>
      <c r="AD2111" s="316">
        <v>1</v>
      </c>
      <c r="AE2111" s="302">
        <f t="shared" si="113"/>
        <v>0.75</v>
      </c>
      <c r="AF2111" s="176"/>
      <c r="AG2111" s="17">
        <v>0</v>
      </c>
      <c r="AH2111" s="176">
        <v>0.2</v>
      </c>
      <c r="AI2111" s="176">
        <v>2</v>
      </c>
      <c r="AJ2111" s="176">
        <v>4</v>
      </c>
      <c r="AK2111" s="177">
        <v>0.2</v>
      </c>
      <c r="AL2111" s="177">
        <v>0.5</v>
      </c>
      <c r="AM2111" s="17">
        <f t="shared" si="114"/>
        <v>0.7</v>
      </c>
      <c r="AN2111" s="18" t="s">
        <v>570</v>
      </c>
      <c r="AO2111" s="18" t="s">
        <v>2875</v>
      </c>
      <c r="AP2111" s="18" t="s">
        <v>6565</v>
      </c>
    </row>
    <row r="2112" spans="1:42" s="10" customFormat="1" x14ac:dyDescent="0.3">
      <c r="A2112" s="18" t="s">
        <v>1454</v>
      </c>
      <c r="B2112" s="18" t="s">
        <v>6438</v>
      </c>
      <c r="C2112" s="18">
        <v>103</v>
      </c>
      <c r="D2112" s="18" t="s">
        <v>6838</v>
      </c>
      <c r="E2112" s="18">
        <v>1035</v>
      </c>
      <c r="F2112" s="18" t="s">
        <v>6839</v>
      </c>
      <c r="G2112" s="156" t="s">
        <v>6871</v>
      </c>
      <c r="H2112" s="18" t="s">
        <v>6872</v>
      </c>
      <c r="K2112" s="156" t="s">
        <v>6873</v>
      </c>
      <c r="L2112" s="18" t="s">
        <v>6874</v>
      </c>
      <c r="M2112" s="18" t="s">
        <v>6875</v>
      </c>
      <c r="N2112" s="16"/>
      <c r="O2112" s="16"/>
      <c r="P2112" s="16"/>
      <c r="Q2112" s="16"/>
      <c r="R2112" s="16"/>
      <c r="S2112" s="16"/>
      <c r="U2112" s="283" t="e">
        <v>#N/A</v>
      </c>
      <c r="V2112" s="10" t="s">
        <v>6878</v>
      </c>
      <c r="W2112" s="10">
        <v>1</v>
      </c>
      <c r="X2112" s="10">
        <v>1</v>
      </c>
      <c r="Y2112" s="10">
        <v>0</v>
      </c>
      <c r="Z2112" s="10">
        <v>1</v>
      </c>
      <c r="AA2112" s="10">
        <v>1</v>
      </c>
      <c r="AB2112" s="10">
        <v>1</v>
      </c>
      <c r="AC2112" s="316">
        <v>1</v>
      </c>
      <c r="AD2112" s="316">
        <v>0</v>
      </c>
      <c r="AE2112" s="302">
        <f t="shared" si="113"/>
        <v>0.75</v>
      </c>
      <c r="AF2112" s="32"/>
      <c r="AG2112" s="17">
        <v>0</v>
      </c>
      <c r="AH2112" s="32">
        <v>1</v>
      </c>
      <c r="AI2112" s="32">
        <v>2</v>
      </c>
      <c r="AJ2112" s="32">
        <v>20</v>
      </c>
      <c r="AK2112" s="214">
        <v>1</v>
      </c>
      <c r="AL2112" s="214">
        <v>0.5</v>
      </c>
      <c r="AM2112" s="17">
        <f t="shared" si="114"/>
        <v>1.5</v>
      </c>
      <c r="AN2112" s="10" t="s">
        <v>570</v>
      </c>
      <c r="AO2112" s="10" t="s">
        <v>2875</v>
      </c>
      <c r="AP2112" s="10" t="s">
        <v>6565</v>
      </c>
    </row>
    <row r="2113" spans="1:42" s="10" customFormat="1" hidden="1" x14ac:dyDescent="0.3">
      <c r="A2113" s="18" t="s">
        <v>1454</v>
      </c>
      <c r="B2113" s="18" t="s">
        <v>6438</v>
      </c>
      <c r="C2113" s="18">
        <v>103</v>
      </c>
      <c r="D2113" s="18" t="s">
        <v>6838</v>
      </c>
      <c r="E2113" s="18">
        <v>1035</v>
      </c>
      <c r="F2113" s="18" t="s">
        <v>6839</v>
      </c>
      <c r="G2113" s="156" t="s">
        <v>6871</v>
      </c>
      <c r="H2113" s="18" t="s">
        <v>6872</v>
      </c>
      <c r="K2113" s="156" t="s">
        <v>6873</v>
      </c>
      <c r="L2113" s="18" t="s">
        <v>6874</v>
      </c>
      <c r="M2113" s="18" t="s">
        <v>6875</v>
      </c>
      <c r="N2113" s="16"/>
      <c r="O2113" s="16"/>
      <c r="P2113" s="16"/>
      <c r="Q2113" s="16"/>
      <c r="R2113" s="16"/>
      <c r="S2113" s="16"/>
      <c r="U2113" s="283" t="e">
        <v>#N/A</v>
      </c>
      <c r="V2113" s="10" t="s">
        <v>6879</v>
      </c>
      <c r="W2113" s="10">
        <v>1</v>
      </c>
      <c r="X2113" s="10">
        <v>0</v>
      </c>
      <c r="Y2113" s="10">
        <v>0</v>
      </c>
      <c r="Z2113" s="10">
        <v>1</v>
      </c>
      <c r="AA2113" s="10">
        <v>1</v>
      </c>
      <c r="AB2113" s="10">
        <v>1</v>
      </c>
      <c r="AC2113" s="316">
        <v>0</v>
      </c>
      <c r="AD2113" s="316">
        <v>1</v>
      </c>
      <c r="AE2113" s="302">
        <f t="shared" si="113"/>
        <v>0.625</v>
      </c>
      <c r="AF2113" s="32"/>
      <c r="AG2113" s="17">
        <v>0</v>
      </c>
      <c r="AH2113" s="32">
        <v>1.6</v>
      </c>
      <c r="AI2113" s="32">
        <v>1.9</v>
      </c>
      <c r="AJ2113" s="32">
        <v>2.2000000000000002</v>
      </c>
      <c r="AK2113" s="214">
        <v>0.5</v>
      </c>
      <c r="AL2113" s="214">
        <v>0.5</v>
      </c>
      <c r="AM2113" s="17">
        <f t="shared" si="114"/>
        <v>1</v>
      </c>
      <c r="AN2113" s="10" t="s">
        <v>570</v>
      </c>
      <c r="AO2113" s="10" t="s">
        <v>2875</v>
      </c>
      <c r="AP2113" s="10" t="s">
        <v>6565</v>
      </c>
    </row>
    <row r="2114" spans="1:42" s="10" customFormat="1" x14ac:dyDescent="0.3">
      <c r="A2114" s="18" t="s">
        <v>1454</v>
      </c>
      <c r="B2114" s="18" t="s">
        <v>6438</v>
      </c>
      <c r="C2114" s="18">
        <v>103</v>
      </c>
      <c r="D2114" s="18" t="s">
        <v>6838</v>
      </c>
      <c r="E2114" s="18">
        <v>1035</v>
      </c>
      <c r="F2114" s="18" t="s">
        <v>6839</v>
      </c>
      <c r="G2114" s="156" t="s">
        <v>6871</v>
      </c>
      <c r="H2114" s="18" t="s">
        <v>6872</v>
      </c>
      <c r="K2114" s="156" t="s">
        <v>6873</v>
      </c>
      <c r="L2114" s="18" t="s">
        <v>6874</v>
      </c>
      <c r="M2114" s="18" t="s">
        <v>6875</v>
      </c>
      <c r="N2114" s="16"/>
      <c r="O2114" s="16"/>
      <c r="P2114" s="16"/>
      <c r="Q2114" s="16"/>
      <c r="R2114" s="16"/>
      <c r="S2114" s="16"/>
      <c r="U2114" s="283" t="e">
        <v>#N/A</v>
      </c>
      <c r="V2114" s="10" t="s">
        <v>6880</v>
      </c>
      <c r="W2114" s="10">
        <v>1</v>
      </c>
      <c r="X2114" s="10">
        <v>0</v>
      </c>
      <c r="Y2114" s="10">
        <v>0</v>
      </c>
      <c r="Z2114" s="10">
        <v>1</v>
      </c>
      <c r="AA2114" s="10">
        <v>1</v>
      </c>
      <c r="AB2114" s="10">
        <v>1</v>
      </c>
      <c r="AC2114" s="316">
        <v>1</v>
      </c>
      <c r="AD2114" s="316">
        <v>1</v>
      </c>
      <c r="AE2114" s="302">
        <f t="shared" si="113"/>
        <v>0.75</v>
      </c>
      <c r="AF2114" s="32"/>
      <c r="AG2114" s="17">
        <v>0</v>
      </c>
      <c r="AH2114" s="32">
        <v>0</v>
      </c>
      <c r="AI2114" s="32">
        <v>0.15</v>
      </c>
      <c r="AJ2114" s="32">
        <v>0.24</v>
      </c>
      <c r="AK2114" s="214">
        <v>3</v>
      </c>
      <c r="AL2114" s="214">
        <v>3</v>
      </c>
      <c r="AM2114" s="17">
        <f t="shared" si="114"/>
        <v>6</v>
      </c>
      <c r="AN2114" s="10" t="s">
        <v>2514</v>
      </c>
      <c r="AO2114" s="10" t="s">
        <v>2515</v>
      </c>
      <c r="AP2114" s="10" t="s">
        <v>280</v>
      </c>
    </row>
    <row r="2115" spans="1:42" s="293" customFormat="1" hidden="1" x14ac:dyDescent="0.3">
      <c r="A2115" s="50" t="s">
        <v>1450</v>
      </c>
      <c r="B2115" s="51" t="s">
        <v>6881</v>
      </c>
      <c r="C2115" s="50" t="s">
        <v>6882</v>
      </c>
      <c r="D2115" s="51" t="s">
        <v>1491</v>
      </c>
      <c r="E2115" s="50" t="s">
        <v>6882</v>
      </c>
      <c r="F2115" s="51" t="s">
        <v>1493</v>
      </c>
      <c r="G2115" s="50" t="s">
        <v>6882</v>
      </c>
      <c r="H2115" s="51" t="s">
        <v>1491</v>
      </c>
      <c r="I2115" s="51"/>
      <c r="J2115" s="51"/>
      <c r="K2115" s="50" t="s">
        <v>6882</v>
      </c>
      <c r="L2115" s="51" t="s">
        <v>1491</v>
      </c>
      <c r="M2115" s="60" t="s">
        <v>271</v>
      </c>
      <c r="N2115" s="60" t="s">
        <v>271</v>
      </c>
      <c r="O2115" s="60" t="s">
        <v>271</v>
      </c>
      <c r="P2115" s="60" t="s">
        <v>271</v>
      </c>
      <c r="Q2115" s="60" t="s">
        <v>271</v>
      </c>
      <c r="R2115" s="60" t="s">
        <v>271</v>
      </c>
      <c r="S2115" s="60" t="s">
        <v>271</v>
      </c>
      <c r="T2115" s="60" t="s">
        <v>271</v>
      </c>
      <c r="U2115" s="60" t="s">
        <v>271</v>
      </c>
      <c r="V2115" s="51" t="s">
        <v>1489</v>
      </c>
      <c r="W2115" s="291"/>
      <c r="X2115" s="291"/>
      <c r="Y2115" s="291"/>
      <c r="Z2115" s="291"/>
      <c r="AA2115" s="291"/>
      <c r="AB2115" s="291"/>
      <c r="AC2115" s="291"/>
      <c r="AD2115" s="291"/>
      <c r="AE2115" s="292"/>
      <c r="AF2115" s="56"/>
      <c r="AG2115" s="292"/>
      <c r="AH2115" s="56"/>
      <c r="AI2115" s="56"/>
      <c r="AJ2115" s="56"/>
      <c r="AK2115" s="57">
        <v>4.2</v>
      </c>
      <c r="AL2115" s="57">
        <v>4.2</v>
      </c>
      <c r="AM2115" s="56">
        <f>SUM(AK2115:AL2115)</f>
        <v>8.4</v>
      </c>
      <c r="AN2115" s="52"/>
      <c r="AO2115" s="52"/>
      <c r="AP2115" s="51"/>
    </row>
    <row r="2116" spans="1:42" s="293" customFormat="1" hidden="1" x14ac:dyDescent="0.3">
      <c r="A2116" s="50" t="s">
        <v>1450</v>
      </c>
      <c r="B2116" s="51" t="s">
        <v>6881</v>
      </c>
      <c r="C2116" s="50" t="s">
        <v>6882</v>
      </c>
      <c r="D2116" s="51" t="s">
        <v>1491</v>
      </c>
      <c r="E2116" s="50" t="s">
        <v>6882</v>
      </c>
      <c r="F2116" s="51" t="s">
        <v>1493</v>
      </c>
      <c r="G2116" s="50" t="s">
        <v>6882</v>
      </c>
      <c r="H2116" s="51" t="s">
        <v>1491</v>
      </c>
      <c r="I2116" s="51"/>
      <c r="J2116" s="51"/>
      <c r="K2116" s="50" t="s">
        <v>6882</v>
      </c>
      <c r="L2116" s="51" t="s">
        <v>1491</v>
      </c>
      <c r="M2116" s="60" t="s">
        <v>271</v>
      </c>
      <c r="N2116" s="60" t="s">
        <v>271</v>
      </c>
      <c r="O2116" s="60" t="s">
        <v>271</v>
      </c>
      <c r="P2116" s="60" t="s">
        <v>271</v>
      </c>
      <c r="Q2116" s="60" t="s">
        <v>271</v>
      </c>
      <c r="R2116" s="60" t="s">
        <v>271</v>
      </c>
      <c r="S2116" s="60" t="s">
        <v>271</v>
      </c>
      <c r="T2116" s="60" t="s">
        <v>271</v>
      </c>
      <c r="U2116" s="60" t="s">
        <v>271</v>
      </c>
      <c r="V2116" s="51" t="s">
        <v>1490</v>
      </c>
      <c r="W2116" s="291"/>
      <c r="X2116" s="291"/>
      <c r="Y2116" s="291"/>
      <c r="Z2116" s="291"/>
      <c r="AA2116" s="291"/>
      <c r="AB2116" s="291"/>
      <c r="AC2116" s="291"/>
      <c r="AD2116" s="291"/>
      <c r="AE2116" s="292"/>
      <c r="AF2116" s="56"/>
      <c r="AG2116" s="292"/>
      <c r="AH2116" s="56"/>
      <c r="AI2116" s="56"/>
      <c r="AJ2116" s="56"/>
      <c r="AK2116" s="57">
        <v>1.6800000000000002</v>
      </c>
      <c r="AL2116" s="57">
        <v>1.6800000000000002</v>
      </c>
      <c r="AM2116" s="56">
        <f>SUM(AK2116:AL2116)</f>
        <v>3.3600000000000003</v>
      </c>
      <c r="AN2116" s="52"/>
      <c r="AO2116" s="52"/>
      <c r="AP2116" s="51"/>
    </row>
    <row r="2117" spans="1:42" s="293" customFormat="1" hidden="1" x14ac:dyDescent="0.3">
      <c r="A2117" s="50" t="s">
        <v>1450</v>
      </c>
      <c r="B2117" s="51" t="s">
        <v>6881</v>
      </c>
      <c r="C2117" s="50" t="s">
        <v>6882</v>
      </c>
      <c r="D2117" s="51" t="s">
        <v>1491</v>
      </c>
      <c r="E2117" s="50" t="s">
        <v>6882</v>
      </c>
      <c r="F2117" s="51" t="s">
        <v>1493</v>
      </c>
      <c r="G2117" s="50" t="s">
        <v>6882</v>
      </c>
      <c r="H2117" s="51" t="s">
        <v>1491</v>
      </c>
      <c r="I2117" s="51"/>
      <c r="J2117" s="51"/>
      <c r="K2117" s="50" t="s">
        <v>6882</v>
      </c>
      <c r="L2117" s="51" t="s">
        <v>1491</v>
      </c>
      <c r="M2117" s="60" t="s">
        <v>271</v>
      </c>
      <c r="N2117" s="60" t="s">
        <v>271</v>
      </c>
      <c r="O2117" s="60" t="s">
        <v>271</v>
      </c>
      <c r="P2117" s="60" t="s">
        <v>271</v>
      </c>
      <c r="Q2117" s="60" t="s">
        <v>271</v>
      </c>
      <c r="R2117" s="60" t="s">
        <v>271</v>
      </c>
      <c r="S2117" s="60" t="s">
        <v>271</v>
      </c>
      <c r="T2117" s="60" t="s">
        <v>271</v>
      </c>
      <c r="U2117" s="60" t="s">
        <v>271</v>
      </c>
      <c r="V2117" s="51" t="s">
        <v>1495</v>
      </c>
      <c r="W2117" s="291"/>
      <c r="X2117" s="291"/>
      <c r="Y2117" s="291"/>
      <c r="Z2117" s="291"/>
      <c r="AA2117" s="291"/>
      <c r="AB2117" s="291"/>
      <c r="AC2117" s="291"/>
      <c r="AD2117" s="291"/>
      <c r="AE2117" s="292"/>
      <c r="AF2117" s="56"/>
      <c r="AG2117" s="292"/>
      <c r="AH2117" s="56"/>
      <c r="AI2117" s="56"/>
      <c r="AJ2117" s="56"/>
      <c r="AK2117" s="57">
        <v>54.553832763000003</v>
      </c>
      <c r="AL2117" s="57">
        <v>47.127999316</v>
      </c>
      <c r="AM2117" s="56">
        <f>SUM(AK2117:AL2117)</f>
        <v>101.681832079</v>
      </c>
      <c r="AN2117" s="52"/>
      <c r="AO2117" s="52"/>
      <c r="AP2117" s="51"/>
    </row>
    <row r="2118" spans="1:42" s="320" customFormat="1" x14ac:dyDescent="0.3">
      <c r="A2118" s="353" t="s">
        <v>1450</v>
      </c>
      <c r="B2118" s="320" t="s">
        <v>6881</v>
      </c>
      <c r="C2118" s="320" t="s">
        <v>6883</v>
      </c>
      <c r="D2118" s="320" t="s">
        <v>6884</v>
      </c>
      <c r="E2118" s="320" t="s">
        <v>6885</v>
      </c>
      <c r="F2118" s="320" t="s">
        <v>6886</v>
      </c>
      <c r="G2118" s="320" t="s">
        <v>6887</v>
      </c>
      <c r="H2118" s="320" t="s">
        <v>6888</v>
      </c>
      <c r="I2118" s="320" t="s">
        <v>6889</v>
      </c>
      <c r="J2118" s="320" t="s">
        <v>6890</v>
      </c>
      <c r="K2118" s="320" t="s">
        <v>6891</v>
      </c>
      <c r="L2118" s="320" t="s">
        <v>6892</v>
      </c>
      <c r="M2118" s="320" t="s">
        <v>6893</v>
      </c>
      <c r="N2118" s="275">
        <v>0</v>
      </c>
      <c r="O2118" s="275">
        <v>0</v>
      </c>
      <c r="P2118" s="275">
        <v>0</v>
      </c>
      <c r="Q2118" s="275">
        <v>1</v>
      </c>
      <c r="R2118" s="275">
        <v>0</v>
      </c>
      <c r="S2118" s="275">
        <v>0</v>
      </c>
      <c r="T2118" s="320" t="s">
        <v>6894</v>
      </c>
      <c r="U2118" s="283" t="s">
        <v>6896</v>
      </c>
      <c r="V2118" s="320" t="s">
        <v>6895</v>
      </c>
      <c r="W2118" s="320">
        <v>1</v>
      </c>
      <c r="X2118" s="320">
        <v>1</v>
      </c>
      <c r="Y2118" s="320">
        <v>1</v>
      </c>
      <c r="Z2118" s="320">
        <v>1</v>
      </c>
      <c r="AA2118" s="320">
        <v>1</v>
      </c>
      <c r="AB2118" s="320">
        <v>0</v>
      </c>
      <c r="AC2118" s="316">
        <v>1</v>
      </c>
      <c r="AD2118" s="316">
        <v>1</v>
      </c>
      <c r="AE2118" s="302">
        <f t="shared" ref="AE2118:AE2181" si="115">SUM(W2118:AD2118)/8</f>
        <v>0.875</v>
      </c>
      <c r="AF2118" s="354"/>
      <c r="AG2118" s="17">
        <v>0</v>
      </c>
      <c r="AH2118" s="354">
        <v>0.3</v>
      </c>
      <c r="AI2118" s="354">
        <v>0.3</v>
      </c>
      <c r="AJ2118" s="354">
        <v>0</v>
      </c>
      <c r="AK2118" s="319">
        <v>0</v>
      </c>
      <c r="AL2118" s="319">
        <v>0</v>
      </c>
      <c r="AM2118" s="17">
        <f t="shared" ref="AM2118:AM2181" si="116">SUM(AK2118:AL2118)</f>
        <v>0</v>
      </c>
      <c r="AN2118" s="320" t="s">
        <v>6894</v>
      </c>
      <c r="AO2118" s="320" t="s">
        <v>6896</v>
      </c>
      <c r="AP2118" s="320" t="s">
        <v>6897</v>
      </c>
    </row>
    <row r="2119" spans="1:42" s="320" customFormat="1" x14ac:dyDescent="0.3">
      <c r="A2119" s="353" t="s">
        <v>1450</v>
      </c>
      <c r="B2119" s="320" t="s">
        <v>6881</v>
      </c>
      <c r="C2119" s="320" t="s">
        <v>6883</v>
      </c>
      <c r="D2119" s="320" t="s">
        <v>6884</v>
      </c>
      <c r="E2119" s="320" t="s">
        <v>6885</v>
      </c>
      <c r="F2119" s="320" t="s">
        <v>6886</v>
      </c>
      <c r="G2119" s="320" t="s">
        <v>6887</v>
      </c>
      <c r="H2119" s="320" t="s">
        <v>6888</v>
      </c>
      <c r="I2119" s="320" t="s">
        <v>6889</v>
      </c>
      <c r="J2119" s="320" t="s">
        <v>6890</v>
      </c>
      <c r="K2119" s="320" t="s">
        <v>6891</v>
      </c>
      <c r="L2119" s="320" t="s">
        <v>6892</v>
      </c>
      <c r="M2119" s="320" t="s">
        <v>6898</v>
      </c>
      <c r="N2119" s="275" t="s">
        <v>271</v>
      </c>
      <c r="O2119" s="275"/>
      <c r="P2119" s="275"/>
      <c r="Q2119" s="275"/>
      <c r="R2119" s="275">
        <v>20</v>
      </c>
      <c r="S2119" s="275">
        <v>40</v>
      </c>
      <c r="T2119" s="320" t="s">
        <v>6894</v>
      </c>
      <c r="U2119" s="283" t="s">
        <v>6896</v>
      </c>
      <c r="V2119" s="320" t="s">
        <v>6899</v>
      </c>
      <c r="W2119" s="320">
        <v>1</v>
      </c>
      <c r="X2119" s="320">
        <v>1</v>
      </c>
      <c r="Y2119" s="320">
        <v>1</v>
      </c>
      <c r="Z2119" s="320">
        <v>1</v>
      </c>
      <c r="AA2119" s="320">
        <v>1</v>
      </c>
      <c r="AB2119" s="320">
        <v>0</v>
      </c>
      <c r="AC2119" s="316">
        <v>1</v>
      </c>
      <c r="AD2119" s="316">
        <v>1</v>
      </c>
      <c r="AE2119" s="302">
        <f t="shared" si="115"/>
        <v>0.875</v>
      </c>
      <c r="AF2119" s="354">
        <v>0</v>
      </c>
      <c r="AG2119" s="17">
        <v>0</v>
      </c>
      <c r="AH2119" s="354">
        <v>0</v>
      </c>
      <c r="AI2119" s="354">
        <v>2</v>
      </c>
      <c r="AJ2119" s="354">
        <v>4</v>
      </c>
      <c r="AK2119" s="319">
        <v>10</v>
      </c>
      <c r="AL2119" s="319">
        <v>10</v>
      </c>
      <c r="AM2119" s="17">
        <f t="shared" si="116"/>
        <v>20</v>
      </c>
      <c r="AN2119" s="320" t="s">
        <v>6900</v>
      </c>
      <c r="AO2119" s="14" t="s">
        <v>6901</v>
      </c>
      <c r="AP2119" s="320" t="s">
        <v>280</v>
      </c>
    </row>
    <row r="2120" spans="1:42" s="320" customFormat="1" x14ac:dyDescent="0.3">
      <c r="A2120" s="353" t="s">
        <v>1450</v>
      </c>
      <c r="B2120" s="320" t="s">
        <v>6881</v>
      </c>
      <c r="C2120" s="320" t="s">
        <v>6883</v>
      </c>
      <c r="D2120" s="320" t="s">
        <v>6884</v>
      </c>
      <c r="E2120" s="320" t="s">
        <v>6885</v>
      </c>
      <c r="F2120" s="320" t="s">
        <v>6886</v>
      </c>
      <c r="G2120" s="320" t="s">
        <v>6887</v>
      </c>
      <c r="H2120" s="320" t="s">
        <v>6888</v>
      </c>
      <c r="I2120" s="320" t="s">
        <v>6889</v>
      </c>
      <c r="J2120" s="320" t="s">
        <v>6890</v>
      </c>
      <c r="K2120" s="320" t="s">
        <v>6891</v>
      </c>
      <c r="L2120" s="320" t="s">
        <v>6892</v>
      </c>
      <c r="M2120" s="320" t="s">
        <v>6902</v>
      </c>
      <c r="N2120" s="275">
        <v>1.4</v>
      </c>
      <c r="O2120" s="275">
        <v>0.51291500000000001</v>
      </c>
      <c r="P2120" s="275">
        <v>0.76900000000000002</v>
      </c>
      <c r="Q2120" s="275">
        <v>1</v>
      </c>
      <c r="R2120" s="275">
        <v>1.2</v>
      </c>
      <c r="S2120" s="275">
        <v>1.44</v>
      </c>
      <c r="T2120" s="320" t="s">
        <v>6903</v>
      </c>
      <c r="U2120" s="283" t="e">
        <v>#N/A</v>
      </c>
      <c r="V2120" s="320" t="s">
        <v>6904</v>
      </c>
      <c r="W2120" s="320">
        <v>1</v>
      </c>
      <c r="X2120" s="320">
        <v>1</v>
      </c>
      <c r="Y2120" s="320">
        <v>0</v>
      </c>
      <c r="Z2120" s="320">
        <v>1</v>
      </c>
      <c r="AA2120" s="320">
        <v>1</v>
      </c>
      <c r="AB2120" s="320">
        <v>1</v>
      </c>
      <c r="AC2120" s="316">
        <v>0</v>
      </c>
      <c r="AD2120" s="316">
        <v>1</v>
      </c>
      <c r="AE2120" s="302">
        <f t="shared" si="115"/>
        <v>0.75</v>
      </c>
      <c r="AF2120" s="354">
        <v>0</v>
      </c>
      <c r="AG2120" s="17">
        <v>0</v>
      </c>
      <c r="AH2120" s="354">
        <v>5</v>
      </c>
      <c r="AI2120" s="354">
        <v>5</v>
      </c>
      <c r="AJ2120" s="354">
        <v>10</v>
      </c>
      <c r="AK2120" s="319">
        <v>10</v>
      </c>
      <c r="AL2120" s="319">
        <v>10</v>
      </c>
      <c r="AM2120" s="17">
        <f t="shared" si="116"/>
        <v>20</v>
      </c>
      <c r="AN2120" s="320" t="s">
        <v>6894</v>
      </c>
      <c r="AO2120" s="14" t="s">
        <v>6896</v>
      </c>
      <c r="AP2120" s="320" t="s">
        <v>6905</v>
      </c>
    </row>
    <row r="2121" spans="1:42" s="320" customFormat="1" x14ac:dyDescent="0.3">
      <c r="A2121" s="353" t="s">
        <v>1450</v>
      </c>
      <c r="B2121" s="320" t="s">
        <v>6881</v>
      </c>
      <c r="C2121" s="320" t="s">
        <v>6883</v>
      </c>
      <c r="D2121" s="320" t="s">
        <v>6884</v>
      </c>
      <c r="E2121" s="320" t="s">
        <v>6885</v>
      </c>
      <c r="F2121" s="320" t="s">
        <v>6886</v>
      </c>
      <c r="G2121" s="320" t="s">
        <v>6887</v>
      </c>
      <c r="H2121" s="320" t="s">
        <v>6888</v>
      </c>
      <c r="I2121" s="320" t="s">
        <v>6889</v>
      </c>
      <c r="J2121" s="320" t="s">
        <v>6890</v>
      </c>
      <c r="K2121" s="320" t="s">
        <v>6891</v>
      </c>
      <c r="L2121" s="320" t="s">
        <v>6892</v>
      </c>
      <c r="M2121" s="320" t="s">
        <v>6906</v>
      </c>
      <c r="N2121" s="275">
        <v>20.100000000000001</v>
      </c>
      <c r="O2121" s="275">
        <v>10</v>
      </c>
      <c r="P2121" s="275">
        <v>14</v>
      </c>
      <c r="Q2121" s="275">
        <v>16</v>
      </c>
      <c r="R2121" s="275">
        <v>18</v>
      </c>
      <c r="S2121" s="275">
        <v>20.100000000000001</v>
      </c>
      <c r="T2121" s="320" t="s">
        <v>6894</v>
      </c>
      <c r="U2121" s="283" t="s">
        <v>6896</v>
      </c>
      <c r="V2121" s="320" t="s">
        <v>6907</v>
      </c>
      <c r="W2121" s="320">
        <v>1</v>
      </c>
      <c r="X2121" s="320">
        <v>1</v>
      </c>
      <c r="Y2121" s="320">
        <v>1</v>
      </c>
      <c r="Z2121" s="320">
        <v>1</v>
      </c>
      <c r="AA2121" s="320">
        <v>1</v>
      </c>
      <c r="AB2121" s="320">
        <v>1</v>
      </c>
      <c r="AC2121" s="316">
        <v>1</v>
      </c>
      <c r="AD2121" s="316">
        <v>1</v>
      </c>
      <c r="AE2121" s="302">
        <f t="shared" si="115"/>
        <v>1</v>
      </c>
      <c r="AF2121" s="23"/>
      <c r="AG2121" s="17">
        <v>0</v>
      </c>
      <c r="AH2121" s="23">
        <v>0</v>
      </c>
      <c r="AI2121" s="354">
        <v>1</v>
      </c>
      <c r="AJ2121" s="354">
        <v>1</v>
      </c>
      <c r="AK2121" s="319">
        <v>1</v>
      </c>
      <c r="AL2121" s="319">
        <v>1</v>
      </c>
      <c r="AM2121" s="17">
        <f t="shared" si="116"/>
        <v>2</v>
      </c>
      <c r="AN2121" s="320" t="s">
        <v>6894</v>
      </c>
      <c r="AO2121" s="14" t="s">
        <v>6896</v>
      </c>
      <c r="AP2121" s="320" t="s">
        <v>6908</v>
      </c>
    </row>
    <row r="2122" spans="1:42" s="320" customFormat="1" x14ac:dyDescent="0.3">
      <c r="A2122" s="353" t="s">
        <v>1450</v>
      </c>
      <c r="B2122" s="320" t="s">
        <v>6881</v>
      </c>
      <c r="C2122" s="320" t="s">
        <v>6883</v>
      </c>
      <c r="D2122" s="320" t="s">
        <v>6884</v>
      </c>
      <c r="E2122" s="320" t="s">
        <v>6885</v>
      </c>
      <c r="F2122" s="320" t="s">
        <v>6886</v>
      </c>
      <c r="G2122" s="320" t="s">
        <v>6887</v>
      </c>
      <c r="H2122" s="320" t="s">
        <v>6888</v>
      </c>
      <c r="I2122" s="320" t="s">
        <v>6889</v>
      </c>
      <c r="J2122" s="320" t="s">
        <v>6890</v>
      </c>
      <c r="K2122" s="320" t="s">
        <v>6891</v>
      </c>
      <c r="L2122" s="320" t="s">
        <v>6892</v>
      </c>
      <c r="M2122" s="320" t="s">
        <v>6909</v>
      </c>
      <c r="N2122" s="275"/>
      <c r="O2122" s="275"/>
      <c r="P2122" s="275"/>
      <c r="Q2122" s="275"/>
      <c r="R2122" s="275">
        <v>3</v>
      </c>
      <c r="S2122" s="275">
        <v>5</v>
      </c>
      <c r="T2122" s="320" t="s">
        <v>6894</v>
      </c>
      <c r="U2122" s="283" t="s">
        <v>6896</v>
      </c>
      <c r="V2122" s="320" t="s">
        <v>6910</v>
      </c>
      <c r="W2122" s="320">
        <v>1</v>
      </c>
      <c r="X2122" s="320">
        <v>1</v>
      </c>
      <c r="Y2122" s="320">
        <v>1</v>
      </c>
      <c r="Z2122" s="320">
        <v>1</v>
      </c>
      <c r="AA2122" s="320">
        <v>1</v>
      </c>
      <c r="AB2122" s="320">
        <v>1</v>
      </c>
      <c r="AC2122" s="316">
        <v>0</v>
      </c>
      <c r="AD2122" s="316">
        <v>1</v>
      </c>
      <c r="AE2122" s="302">
        <f t="shared" si="115"/>
        <v>0.875</v>
      </c>
      <c r="AF2122" s="354"/>
      <c r="AG2122" s="17">
        <v>0</v>
      </c>
      <c r="AH2122" s="354">
        <v>0.5</v>
      </c>
      <c r="AI2122" s="354">
        <v>3</v>
      </c>
      <c r="AJ2122" s="354">
        <v>4</v>
      </c>
      <c r="AK2122" s="319">
        <v>4</v>
      </c>
      <c r="AL2122" s="319">
        <v>6</v>
      </c>
      <c r="AM2122" s="17">
        <f t="shared" si="116"/>
        <v>10</v>
      </c>
      <c r="AN2122" s="320" t="s">
        <v>6894</v>
      </c>
      <c r="AO2122" s="14" t="s">
        <v>6896</v>
      </c>
      <c r="AP2122" s="320" t="s">
        <v>6911</v>
      </c>
    </row>
    <row r="2123" spans="1:42" s="320" customFormat="1" x14ac:dyDescent="0.3">
      <c r="A2123" s="353" t="s">
        <v>1450</v>
      </c>
      <c r="B2123" s="320" t="s">
        <v>6881</v>
      </c>
      <c r="C2123" s="320" t="s">
        <v>6883</v>
      </c>
      <c r="D2123" s="320" t="s">
        <v>6884</v>
      </c>
      <c r="E2123" s="320" t="s">
        <v>6885</v>
      </c>
      <c r="F2123" s="320" t="s">
        <v>6886</v>
      </c>
      <c r="G2123" s="320" t="s">
        <v>6887</v>
      </c>
      <c r="H2123" s="320" t="s">
        <v>6888</v>
      </c>
      <c r="I2123" s="320" t="s">
        <v>6889</v>
      </c>
      <c r="J2123" s="320" t="s">
        <v>6890</v>
      </c>
      <c r="K2123" s="320" t="s">
        <v>6891</v>
      </c>
      <c r="L2123" s="320" t="s">
        <v>6892</v>
      </c>
      <c r="M2123" s="320" t="s">
        <v>6912</v>
      </c>
      <c r="N2123" s="275"/>
      <c r="O2123" s="275"/>
      <c r="P2123" s="275"/>
      <c r="Q2123" s="275"/>
      <c r="R2123" s="275">
        <v>6</v>
      </c>
      <c r="S2123" s="275">
        <v>6</v>
      </c>
      <c r="T2123" s="320" t="s">
        <v>6894</v>
      </c>
      <c r="U2123" s="283" t="s">
        <v>6896</v>
      </c>
      <c r="V2123" s="320" t="s">
        <v>6913</v>
      </c>
      <c r="W2123" s="320">
        <v>1</v>
      </c>
      <c r="X2123" s="320">
        <v>1</v>
      </c>
      <c r="Y2123" s="320">
        <v>0</v>
      </c>
      <c r="Z2123" s="320">
        <v>1</v>
      </c>
      <c r="AA2123" s="320">
        <v>1</v>
      </c>
      <c r="AB2123" s="320">
        <v>1</v>
      </c>
      <c r="AC2123" s="316">
        <v>0</v>
      </c>
      <c r="AD2123" s="316">
        <v>1</v>
      </c>
      <c r="AE2123" s="302">
        <f t="shared" si="115"/>
        <v>0.75</v>
      </c>
      <c r="AF2123" s="23"/>
      <c r="AG2123" s="17">
        <v>0</v>
      </c>
      <c r="AH2123" s="23">
        <v>0</v>
      </c>
      <c r="AI2123" s="354">
        <v>0.35299999999999998</v>
      </c>
      <c r="AJ2123" s="354">
        <v>0.35299999999999998</v>
      </c>
      <c r="AK2123" s="319">
        <v>0.70599999999999996</v>
      </c>
      <c r="AL2123" s="319">
        <v>0.70599999999999996</v>
      </c>
      <c r="AM2123" s="17">
        <f t="shared" si="116"/>
        <v>1.4119999999999999</v>
      </c>
      <c r="AN2123" s="320" t="s">
        <v>1216</v>
      </c>
      <c r="AO2123" s="14" t="s">
        <v>1218</v>
      </c>
      <c r="AP2123" s="320" t="s">
        <v>6914</v>
      </c>
    </row>
    <row r="2124" spans="1:42" s="320" customFormat="1" hidden="1" x14ac:dyDescent="0.3">
      <c r="A2124" s="353" t="s">
        <v>1450</v>
      </c>
      <c r="B2124" s="320" t="s">
        <v>6881</v>
      </c>
      <c r="C2124" s="320" t="s">
        <v>6883</v>
      </c>
      <c r="D2124" s="320" t="s">
        <v>6884</v>
      </c>
      <c r="E2124" s="320" t="s">
        <v>6885</v>
      </c>
      <c r="F2124" s="320" t="s">
        <v>6886</v>
      </c>
      <c r="G2124" s="320" t="s">
        <v>6887</v>
      </c>
      <c r="H2124" s="320" t="s">
        <v>6888</v>
      </c>
      <c r="I2124" s="320" t="s">
        <v>6889</v>
      </c>
      <c r="J2124" s="320" t="s">
        <v>6890</v>
      </c>
      <c r="K2124" s="320" t="s">
        <v>6891</v>
      </c>
      <c r="L2124" s="320" t="s">
        <v>6892</v>
      </c>
      <c r="N2124" s="275"/>
      <c r="O2124" s="275"/>
      <c r="P2124" s="275"/>
      <c r="Q2124" s="275"/>
      <c r="R2124" s="275"/>
      <c r="S2124" s="275"/>
      <c r="T2124" s="320" t="s">
        <v>6894</v>
      </c>
      <c r="U2124" s="283" t="s">
        <v>6896</v>
      </c>
      <c r="V2124" s="320" t="s">
        <v>6915</v>
      </c>
      <c r="W2124" s="320">
        <v>1</v>
      </c>
      <c r="X2124" s="320">
        <v>1</v>
      </c>
      <c r="Y2124" s="320">
        <v>0</v>
      </c>
      <c r="Z2124" s="320">
        <v>1</v>
      </c>
      <c r="AA2124" s="320">
        <v>1</v>
      </c>
      <c r="AB2124" s="320">
        <v>1</v>
      </c>
      <c r="AC2124" s="316">
        <v>0</v>
      </c>
      <c r="AD2124" s="316">
        <v>0</v>
      </c>
      <c r="AE2124" s="302">
        <f t="shared" si="115"/>
        <v>0.625</v>
      </c>
      <c r="AF2124" s="23"/>
      <c r="AG2124" s="17">
        <v>0</v>
      </c>
      <c r="AH2124" s="23">
        <v>0</v>
      </c>
      <c r="AI2124" s="23">
        <v>0</v>
      </c>
      <c r="AJ2124" s="354">
        <v>0</v>
      </c>
      <c r="AK2124" s="319">
        <v>1.83</v>
      </c>
      <c r="AL2124" s="319">
        <v>1.83</v>
      </c>
      <c r="AM2124" s="17">
        <f t="shared" si="116"/>
        <v>3.66</v>
      </c>
      <c r="AN2124" s="277" t="s">
        <v>921</v>
      </c>
      <c r="AO2124" s="14" t="s">
        <v>880</v>
      </c>
      <c r="AP2124" s="320" t="s">
        <v>6916</v>
      </c>
    </row>
    <row r="2125" spans="1:42" s="320" customFormat="1" x14ac:dyDescent="0.3">
      <c r="A2125" s="353" t="s">
        <v>1450</v>
      </c>
      <c r="B2125" s="320" t="s">
        <v>6881</v>
      </c>
      <c r="C2125" s="320" t="s">
        <v>6883</v>
      </c>
      <c r="D2125" s="320" t="s">
        <v>6884</v>
      </c>
      <c r="E2125" s="320" t="s">
        <v>6885</v>
      </c>
      <c r="F2125" s="320" t="s">
        <v>6886</v>
      </c>
      <c r="G2125" s="320" t="s">
        <v>6887</v>
      </c>
      <c r="H2125" s="320" t="s">
        <v>6888</v>
      </c>
      <c r="I2125" s="320" t="s">
        <v>6889</v>
      </c>
      <c r="J2125" s="320" t="s">
        <v>6890</v>
      </c>
      <c r="K2125" s="320" t="s">
        <v>6891</v>
      </c>
      <c r="L2125" s="320" t="s">
        <v>6892</v>
      </c>
      <c r="N2125" s="275"/>
      <c r="O2125" s="275"/>
      <c r="P2125" s="275"/>
      <c r="Q2125" s="275"/>
      <c r="R2125" s="275"/>
      <c r="S2125" s="275"/>
      <c r="T2125" s="320" t="s">
        <v>6894</v>
      </c>
      <c r="U2125" s="283" t="s">
        <v>6896</v>
      </c>
      <c r="V2125" s="320" t="s">
        <v>6917</v>
      </c>
      <c r="W2125" s="320">
        <v>1</v>
      </c>
      <c r="X2125" s="320">
        <v>1</v>
      </c>
      <c r="Y2125" s="320">
        <v>0</v>
      </c>
      <c r="Z2125" s="320">
        <v>1</v>
      </c>
      <c r="AA2125" s="320">
        <v>1</v>
      </c>
      <c r="AB2125" s="320">
        <v>1</v>
      </c>
      <c r="AC2125" s="316">
        <v>0</v>
      </c>
      <c r="AD2125" s="316">
        <v>1</v>
      </c>
      <c r="AE2125" s="302">
        <f t="shared" si="115"/>
        <v>0.75</v>
      </c>
      <c r="AF2125" s="23"/>
      <c r="AG2125" s="17">
        <v>0</v>
      </c>
      <c r="AH2125" s="23">
        <v>0</v>
      </c>
      <c r="AI2125" s="354">
        <v>0.125</v>
      </c>
      <c r="AJ2125" s="354">
        <v>0.125</v>
      </c>
      <c r="AK2125" s="319">
        <v>0.125</v>
      </c>
      <c r="AL2125" s="319">
        <v>0.125</v>
      </c>
      <c r="AM2125" s="17">
        <f t="shared" si="116"/>
        <v>0.25</v>
      </c>
      <c r="AN2125" s="320" t="s">
        <v>1216</v>
      </c>
      <c r="AO2125" s="14" t="s">
        <v>1218</v>
      </c>
      <c r="AP2125" s="320" t="s">
        <v>6918</v>
      </c>
    </row>
    <row r="2126" spans="1:42" s="320" customFormat="1" x14ac:dyDescent="0.3">
      <c r="A2126" s="353" t="s">
        <v>1450</v>
      </c>
      <c r="B2126" s="320" t="s">
        <v>6881</v>
      </c>
      <c r="C2126" s="320" t="s">
        <v>6883</v>
      </c>
      <c r="D2126" s="320" t="s">
        <v>6884</v>
      </c>
      <c r="E2126" s="320" t="s">
        <v>6885</v>
      </c>
      <c r="F2126" s="320" t="s">
        <v>6886</v>
      </c>
      <c r="G2126" s="320" t="s">
        <v>6887</v>
      </c>
      <c r="H2126" s="320" t="s">
        <v>6888</v>
      </c>
      <c r="I2126" s="320" t="s">
        <v>6889</v>
      </c>
      <c r="J2126" s="320" t="s">
        <v>6890</v>
      </c>
      <c r="K2126" s="320" t="s">
        <v>6919</v>
      </c>
      <c r="L2126" s="320" t="s">
        <v>6920</v>
      </c>
      <c r="M2126" s="320" t="s">
        <v>6921</v>
      </c>
      <c r="N2126" s="275" t="s">
        <v>271</v>
      </c>
      <c r="O2126" s="275"/>
      <c r="P2126" s="275"/>
      <c r="Q2126" s="275"/>
      <c r="R2126" s="275">
        <v>10</v>
      </c>
      <c r="S2126" s="275">
        <v>12</v>
      </c>
      <c r="T2126" s="320" t="s">
        <v>6894</v>
      </c>
      <c r="U2126" s="283" t="s">
        <v>6896</v>
      </c>
      <c r="V2126" s="320" t="s">
        <v>6922</v>
      </c>
      <c r="W2126" s="320">
        <v>1</v>
      </c>
      <c r="X2126" s="320">
        <v>1</v>
      </c>
      <c r="Y2126" s="320">
        <v>0</v>
      </c>
      <c r="Z2126" s="320">
        <v>1</v>
      </c>
      <c r="AA2126" s="320">
        <v>1</v>
      </c>
      <c r="AB2126" s="320">
        <v>1</v>
      </c>
      <c r="AC2126" s="316">
        <v>0</v>
      </c>
      <c r="AD2126" s="316">
        <v>1</v>
      </c>
      <c r="AE2126" s="302">
        <f t="shared" si="115"/>
        <v>0.75</v>
      </c>
      <c r="AF2126" s="354"/>
      <c r="AG2126" s="17">
        <v>0</v>
      </c>
      <c r="AH2126" s="354">
        <v>0</v>
      </c>
      <c r="AI2126" s="354">
        <v>3</v>
      </c>
      <c r="AJ2126" s="354">
        <v>3</v>
      </c>
      <c r="AK2126" s="319">
        <v>3</v>
      </c>
      <c r="AL2126" s="319">
        <v>3</v>
      </c>
      <c r="AM2126" s="17">
        <f t="shared" si="116"/>
        <v>6</v>
      </c>
      <c r="AN2126" s="320" t="s">
        <v>6894</v>
      </c>
      <c r="AO2126" s="320" t="s">
        <v>6896</v>
      </c>
      <c r="AP2126" s="320" t="s">
        <v>6923</v>
      </c>
    </row>
    <row r="2127" spans="1:42" s="320" customFormat="1" x14ac:dyDescent="0.3">
      <c r="A2127" s="353" t="s">
        <v>1450</v>
      </c>
      <c r="B2127" s="320" t="s">
        <v>6881</v>
      </c>
      <c r="C2127" s="320" t="s">
        <v>6883</v>
      </c>
      <c r="D2127" s="320" t="s">
        <v>6884</v>
      </c>
      <c r="E2127" s="320" t="s">
        <v>6885</v>
      </c>
      <c r="F2127" s="320" t="s">
        <v>6886</v>
      </c>
      <c r="G2127" s="320" t="s">
        <v>6887</v>
      </c>
      <c r="H2127" s="320" t="s">
        <v>6888</v>
      </c>
      <c r="I2127" s="320" t="s">
        <v>6889</v>
      </c>
      <c r="J2127" s="320" t="s">
        <v>6890</v>
      </c>
      <c r="K2127" s="320" t="s">
        <v>6919</v>
      </c>
      <c r="L2127" s="320" t="s">
        <v>6920</v>
      </c>
      <c r="M2127" s="320" t="s">
        <v>6924</v>
      </c>
      <c r="N2127" s="275" t="s">
        <v>119</v>
      </c>
      <c r="O2127" s="275">
        <v>4</v>
      </c>
      <c r="P2127" s="275">
        <v>4</v>
      </c>
      <c r="Q2127" s="275">
        <v>4</v>
      </c>
      <c r="R2127" s="275">
        <v>4</v>
      </c>
      <c r="S2127" s="275">
        <v>4</v>
      </c>
      <c r="T2127" s="320" t="s">
        <v>6894</v>
      </c>
      <c r="U2127" s="283" t="s">
        <v>6896</v>
      </c>
      <c r="V2127" s="320" t="s">
        <v>6925</v>
      </c>
      <c r="W2127" s="320">
        <v>1</v>
      </c>
      <c r="X2127" s="320">
        <v>1</v>
      </c>
      <c r="Y2127" s="320">
        <v>0</v>
      </c>
      <c r="Z2127" s="320">
        <v>1</v>
      </c>
      <c r="AA2127" s="320">
        <v>1</v>
      </c>
      <c r="AB2127" s="320">
        <v>1</v>
      </c>
      <c r="AC2127" s="316">
        <v>0</v>
      </c>
      <c r="AD2127" s="316">
        <v>1</v>
      </c>
      <c r="AE2127" s="302">
        <f t="shared" si="115"/>
        <v>0.75</v>
      </c>
      <c r="AF2127" s="354"/>
      <c r="AG2127" s="17">
        <v>0</v>
      </c>
      <c r="AH2127" s="354">
        <v>0.5</v>
      </c>
      <c r="AI2127" s="354">
        <v>0.25</v>
      </c>
      <c r="AJ2127" s="354">
        <v>0.25</v>
      </c>
      <c r="AK2127" s="319">
        <v>1</v>
      </c>
      <c r="AL2127" s="319">
        <v>1</v>
      </c>
      <c r="AM2127" s="17">
        <f t="shared" si="116"/>
        <v>2</v>
      </c>
      <c r="AN2127" s="320" t="s">
        <v>6894</v>
      </c>
      <c r="AO2127" s="320" t="s">
        <v>6896</v>
      </c>
      <c r="AP2127" s="320" t="s">
        <v>6926</v>
      </c>
    </row>
    <row r="2128" spans="1:42" s="320" customFormat="1" x14ac:dyDescent="0.3">
      <c r="A2128" s="353" t="s">
        <v>1450</v>
      </c>
      <c r="B2128" s="320" t="s">
        <v>6881</v>
      </c>
      <c r="C2128" s="320" t="s">
        <v>6883</v>
      </c>
      <c r="D2128" s="320" t="s">
        <v>6884</v>
      </c>
      <c r="E2128" s="320" t="s">
        <v>6885</v>
      </c>
      <c r="F2128" s="320" t="s">
        <v>6886</v>
      </c>
      <c r="G2128" s="320" t="s">
        <v>6887</v>
      </c>
      <c r="H2128" s="320" t="s">
        <v>6888</v>
      </c>
      <c r="I2128" s="320" t="s">
        <v>6889</v>
      </c>
      <c r="J2128" s="320" t="s">
        <v>6890</v>
      </c>
      <c r="K2128" s="320" t="s">
        <v>6919</v>
      </c>
      <c r="L2128" s="320" t="s">
        <v>6920</v>
      </c>
      <c r="M2128" s="320" t="s">
        <v>6927</v>
      </c>
      <c r="N2128" s="275" t="s">
        <v>119</v>
      </c>
      <c r="O2128" s="275">
        <v>4</v>
      </c>
      <c r="P2128" s="275">
        <v>4</v>
      </c>
      <c r="Q2128" s="275">
        <v>4</v>
      </c>
      <c r="R2128" s="275">
        <v>4</v>
      </c>
      <c r="S2128" s="275">
        <v>4</v>
      </c>
      <c r="T2128" s="320" t="s">
        <v>6894</v>
      </c>
      <c r="U2128" s="283" t="s">
        <v>6896</v>
      </c>
      <c r="V2128" s="320" t="s">
        <v>6928</v>
      </c>
      <c r="W2128" s="320">
        <v>1</v>
      </c>
      <c r="X2128" s="320">
        <v>1</v>
      </c>
      <c r="Y2128" s="320">
        <v>0</v>
      </c>
      <c r="Z2128" s="320">
        <v>1</v>
      </c>
      <c r="AA2128" s="320">
        <v>1</v>
      </c>
      <c r="AB2128" s="320">
        <v>1</v>
      </c>
      <c r="AC2128" s="316">
        <v>0</v>
      </c>
      <c r="AD2128" s="316">
        <v>1</v>
      </c>
      <c r="AE2128" s="302">
        <f t="shared" si="115"/>
        <v>0.75</v>
      </c>
      <c r="AF2128" s="354"/>
      <c r="AG2128" s="17">
        <v>0</v>
      </c>
      <c r="AH2128" s="354">
        <v>0.1</v>
      </c>
      <c r="AI2128" s="354">
        <v>0.1</v>
      </c>
      <c r="AJ2128" s="354">
        <v>0.1</v>
      </c>
      <c r="AK2128" s="319">
        <v>0.5</v>
      </c>
      <c r="AL2128" s="319">
        <v>0.3</v>
      </c>
      <c r="AM2128" s="17">
        <f t="shared" si="116"/>
        <v>0.8</v>
      </c>
      <c r="AN2128" s="320" t="s">
        <v>1576</v>
      </c>
      <c r="AO2128" s="320" t="s">
        <v>241</v>
      </c>
      <c r="AP2128" s="320" t="s">
        <v>6929</v>
      </c>
    </row>
    <row r="2129" spans="1:42" s="320" customFormat="1" hidden="1" x14ac:dyDescent="0.3">
      <c r="A2129" s="353" t="s">
        <v>1450</v>
      </c>
      <c r="B2129" s="320" t="s">
        <v>6881</v>
      </c>
      <c r="C2129" s="320" t="s">
        <v>6883</v>
      </c>
      <c r="D2129" s="320" t="s">
        <v>6884</v>
      </c>
      <c r="E2129" s="320" t="s">
        <v>6885</v>
      </c>
      <c r="F2129" s="320" t="s">
        <v>6886</v>
      </c>
      <c r="G2129" s="320" t="s">
        <v>6887</v>
      </c>
      <c r="H2129" s="320" t="s">
        <v>6888</v>
      </c>
      <c r="I2129" s="320" t="s">
        <v>6889</v>
      </c>
      <c r="J2129" s="320" t="s">
        <v>6890</v>
      </c>
      <c r="K2129" s="320" t="s">
        <v>6919</v>
      </c>
      <c r="L2129" s="320" t="s">
        <v>6920</v>
      </c>
      <c r="N2129" s="275"/>
      <c r="O2129" s="275"/>
      <c r="P2129" s="275"/>
      <c r="Q2129" s="275"/>
      <c r="R2129" s="275"/>
      <c r="S2129" s="275"/>
      <c r="U2129" s="283" t="e">
        <v>#N/A</v>
      </c>
      <c r="V2129" s="320" t="s">
        <v>6930</v>
      </c>
      <c r="W2129" s="320">
        <v>1</v>
      </c>
      <c r="X2129" s="320">
        <v>0</v>
      </c>
      <c r="Y2129" s="320">
        <v>0</v>
      </c>
      <c r="Z2129" s="320">
        <v>1</v>
      </c>
      <c r="AA2129" s="320">
        <v>0</v>
      </c>
      <c r="AB2129" s="320">
        <v>0</v>
      </c>
      <c r="AC2129" s="316">
        <v>0</v>
      </c>
      <c r="AD2129" s="316">
        <v>0</v>
      </c>
      <c r="AE2129" s="302">
        <f t="shared" si="115"/>
        <v>0.25</v>
      </c>
      <c r="AF2129" s="354"/>
      <c r="AG2129" s="17">
        <v>0</v>
      </c>
      <c r="AH2129" s="354">
        <v>424.0087606083672</v>
      </c>
      <c r="AI2129" s="354">
        <v>332.35243491812423</v>
      </c>
      <c r="AJ2129" s="354">
        <v>372.5233891594246</v>
      </c>
      <c r="AK2129" s="319"/>
      <c r="AL2129" s="319"/>
      <c r="AM2129" s="17">
        <f t="shared" si="116"/>
        <v>0</v>
      </c>
      <c r="AN2129" s="277" t="s">
        <v>921</v>
      </c>
      <c r="AO2129" s="14" t="s">
        <v>880</v>
      </c>
      <c r="AP2129" s="320" t="s">
        <v>6931</v>
      </c>
    </row>
    <row r="2130" spans="1:42" s="320" customFormat="1" x14ac:dyDescent="0.3">
      <c r="A2130" s="353" t="s">
        <v>1450</v>
      </c>
      <c r="B2130" s="320" t="s">
        <v>6881</v>
      </c>
      <c r="C2130" s="320" t="s">
        <v>6883</v>
      </c>
      <c r="D2130" s="320" t="s">
        <v>6884</v>
      </c>
      <c r="E2130" s="320" t="s">
        <v>6885</v>
      </c>
      <c r="F2130" s="320" t="s">
        <v>6886</v>
      </c>
      <c r="G2130" s="320" t="s">
        <v>6887</v>
      </c>
      <c r="H2130" s="320" t="s">
        <v>6888</v>
      </c>
      <c r="I2130" s="320" t="s">
        <v>6889</v>
      </c>
      <c r="J2130" s="320" t="s">
        <v>6890</v>
      </c>
      <c r="K2130" s="320" t="s">
        <v>6932</v>
      </c>
      <c r="L2130" s="320" t="s">
        <v>6933</v>
      </c>
      <c r="M2130" s="320" t="s">
        <v>6934</v>
      </c>
      <c r="N2130" s="275">
        <v>40</v>
      </c>
      <c r="O2130" s="275">
        <v>50</v>
      </c>
      <c r="P2130" s="275">
        <v>60</v>
      </c>
      <c r="Q2130" s="275">
        <v>60</v>
      </c>
      <c r="R2130" s="275">
        <v>70</v>
      </c>
      <c r="S2130" s="275">
        <v>80</v>
      </c>
      <c r="T2130" s="320" t="s">
        <v>6894</v>
      </c>
      <c r="U2130" s="283" t="s">
        <v>6896</v>
      </c>
      <c r="V2130" s="320" t="s">
        <v>6935</v>
      </c>
      <c r="W2130" s="320">
        <v>1</v>
      </c>
      <c r="X2130" s="320">
        <v>1</v>
      </c>
      <c r="Y2130" s="320">
        <v>0</v>
      </c>
      <c r="Z2130" s="320">
        <v>1</v>
      </c>
      <c r="AA2130" s="320">
        <v>1</v>
      </c>
      <c r="AB2130" s="320">
        <v>1</v>
      </c>
      <c r="AC2130" s="316">
        <v>0</v>
      </c>
      <c r="AD2130" s="316">
        <v>1</v>
      </c>
      <c r="AE2130" s="302">
        <f t="shared" si="115"/>
        <v>0.75</v>
      </c>
      <c r="AF2130" s="354"/>
      <c r="AG2130" s="17">
        <v>0</v>
      </c>
      <c r="AH2130" s="354">
        <v>0.5</v>
      </c>
      <c r="AI2130" s="354">
        <v>0.5</v>
      </c>
      <c r="AJ2130" s="354">
        <v>0.5</v>
      </c>
      <c r="AK2130" s="319">
        <v>2</v>
      </c>
      <c r="AL2130" s="319">
        <v>2</v>
      </c>
      <c r="AM2130" s="17">
        <f t="shared" si="116"/>
        <v>4</v>
      </c>
      <c r="AN2130" s="320" t="s">
        <v>1576</v>
      </c>
      <c r="AO2130" s="320" t="s">
        <v>241</v>
      </c>
      <c r="AP2130" s="320" t="s">
        <v>6936</v>
      </c>
    </row>
    <row r="2131" spans="1:42" s="320" customFormat="1" hidden="1" x14ac:dyDescent="0.3">
      <c r="A2131" s="353" t="s">
        <v>1450</v>
      </c>
      <c r="B2131" s="320" t="s">
        <v>6881</v>
      </c>
      <c r="C2131" s="320" t="s">
        <v>6883</v>
      </c>
      <c r="D2131" s="320" t="s">
        <v>6884</v>
      </c>
      <c r="E2131" s="320" t="s">
        <v>6885</v>
      </c>
      <c r="F2131" s="320" t="s">
        <v>6886</v>
      </c>
      <c r="G2131" s="320" t="s">
        <v>6887</v>
      </c>
      <c r="H2131" s="320" t="s">
        <v>6888</v>
      </c>
      <c r="I2131" s="320" t="s">
        <v>6889</v>
      </c>
      <c r="J2131" s="320" t="s">
        <v>6890</v>
      </c>
      <c r="K2131" s="320" t="s">
        <v>6932</v>
      </c>
      <c r="L2131" s="320" t="s">
        <v>6933</v>
      </c>
      <c r="N2131" s="275"/>
      <c r="O2131" s="275"/>
      <c r="P2131" s="275"/>
      <c r="Q2131" s="275"/>
      <c r="R2131" s="275"/>
      <c r="S2131" s="275"/>
      <c r="U2131" s="283" t="e">
        <v>#N/A</v>
      </c>
      <c r="V2131" s="320" t="s">
        <v>6937</v>
      </c>
      <c r="W2131" s="320">
        <v>0</v>
      </c>
      <c r="X2131" s="320">
        <v>0</v>
      </c>
      <c r="Y2131" s="320">
        <v>0</v>
      </c>
      <c r="Z2131" s="320">
        <v>1</v>
      </c>
      <c r="AA2131" s="320">
        <v>1</v>
      </c>
      <c r="AB2131" s="320">
        <v>0</v>
      </c>
      <c r="AC2131" s="316">
        <v>1</v>
      </c>
      <c r="AD2131" s="316">
        <v>0</v>
      </c>
      <c r="AE2131" s="302">
        <f t="shared" si="115"/>
        <v>0.375</v>
      </c>
      <c r="AF2131" s="354"/>
      <c r="AG2131" s="17">
        <v>0</v>
      </c>
      <c r="AH2131" s="354">
        <v>0</v>
      </c>
      <c r="AI2131" s="354">
        <v>0.1</v>
      </c>
      <c r="AJ2131" s="354">
        <v>0.1</v>
      </c>
      <c r="AK2131" s="153"/>
      <c r="AL2131" s="153"/>
      <c r="AM2131" s="17">
        <f t="shared" si="116"/>
        <v>0</v>
      </c>
      <c r="AN2131" s="320" t="s">
        <v>6900</v>
      </c>
      <c r="AO2131" s="14" t="s">
        <v>6901</v>
      </c>
      <c r="AP2131" s="320" t="s">
        <v>6938</v>
      </c>
    </row>
    <row r="2132" spans="1:42" s="320" customFormat="1" x14ac:dyDescent="0.3">
      <c r="A2132" s="353" t="s">
        <v>1450</v>
      </c>
      <c r="B2132" s="320" t="s">
        <v>6881</v>
      </c>
      <c r="C2132" s="320" t="s">
        <v>6883</v>
      </c>
      <c r="D2132" s="320" t="s">
        <v>6884</v>
      </c>
      <c r="E2132" s="320" t="s">
        <v>6885</v>
      </c>
      <c r="F2132" s="320" t="s">
        <v>6886</v>
      </c>
      <c r="G2132" s="320" t="s">
        <v>6887</v>
      </c>
      <c r="H2132" s="320" t="s">
        <v>6888</v>
      </c>
      <c r="I2132" s="320" t="s">
        <v>6889</v>
      </c>
      <c r="J2132" s="320" t="s">
        <v>6890</v>
      </c>
      <c r="K2132" s="320" t="s">
        <v>6932</v>
      </c>
      <c r="L2132" s="320" t="s">
        <v>6933</v>
      </c>
      <c r="N2132" s="275"/>
      <c r="O2132" s="275"/>
      <c r="P2132" s="275"/>
      <c r="Q2132" s="275"/>
      <c r="R2132" s="275"/>
      <c r="S2132" s="275"/>
      <c r="U2132" s="283" t="e">
        <v>#N/A</v>
      </c>
      <c r="V2132" s="320" t="s">
        <v>6939</v>
      </c>
      <c r="W2132" s="320">
        <v>1</v>
      </c>
      <c r="X2132" s="320">
        <v>1</v>
      </c>
      <c r="Y2132" s="320">
        <v>0</v>
      </c>
      <c r="Z2132" s="320">
        <v>1</v>
      </c>
      <c r="AA2132" s="320">
        <v>1</v>
      </c>
      <c r="AB2132" s="320">
        <v>1</v>
      </c>
      <c r="AC2132" s="316">
        <v>0</v>
      </c>
      <c r="AD2132" s="316">
        <v>1</v>
      </c>
      <c r="AE2132" s="302">
        <f t="shared" si="115"/>
        <v>0.75</v>
      </c>
      <c r="AF2132" s="354"/>
      <c r="AG2132" s="17">
        <v>0</v>
      </c>
      <c r="AH2132" s="354">
        <v>1</v>
      </c>
      <c r="AI2132" s="354">
        <v>1</v>
      </c>
      <c r="AJ2132" s="354">
        <v>1</v>
      </c>
      <c r="AK2132" s="319">
        <v>0.9</v>
      </c>
      <c r="AL2132" s="319">
        <v>1.1000000000000001</v>
      </c>
      <c r="AM2132" s="17">
        <f t="shared" si="116"/>
        <v>2</v>
      </c>
      <c r="AN2132" s="320" t="s">
        <v>869</v>
      </c>
      <c r="AO2132" s="14" t="s">
        <v>871</v>
      </c>
      <c r="AP2132" s="320" t="s">
        <v>6940</v>
      </c>
    </row>
    <row r="2133" spans="1:42" s="320" customFormat="1" x14ac:dyDescent="0.3">
      <c r="A2133" s="353" t="s">
        <v>1450</v>
      </c>
      <c r="B2133" s="320" t="s">
        <v>6881</v>
      </c>
      <c r="C2133" s="320" t="s">
        <v>6883</v>
      </c>
      <c r="D2133" s="320" t="s">
        <v>6884</v>
      </c>
      <c r="E2133" s="320" t="s">
        <v>6885</v>
      </c>
      <c r="F2133" s="320" t="s">
        <v>6886</v>
      </c>
      <c r="G2133" s="320" t="s">
        <v>6887</v>
      </c>
      <c r="H2133" s="320" t="s">
        <v>6888</v>
      </c>
      <c r="I2133" s="320" t="s">
        <v>6889</v>
      </c>
      <c r="J2133" s="320" t="s">
        <v>6890</v>
      </c>
      <c r="K2133" s="320" t="s">
        <v>6932</v>
      </c>
      <c r="L2133" s="320" t="s">
        <v>6933</v>
      </c>
      <c r="N2133" s="275"/>
      <c r="O2133" s="275"/>
      <c r="P2133" s="275"/>
      <c r="Q2133" s="275"/>
      <c r="R2133" s="275"/>
      <c r="S2133" s="275"/>
      <c r="U2133" s="283" t="e">
        <v>#N/A</v>
      </c>
      <c r="V2133" s="320" t="s">
        <v>6941</v>
      </c>
      <c r="W2133" s="320">
        <v>1</v>
      </c>
      <c r="X2133" s="320">
        <v>1</v>
      </c>
      <c r="Y2133" s="320">
        <v>0</v>
      </c>
      <c r="Z2133" s="320">
        <v>1</v>
      </c>
      <c r="AA2133" s="320">
        <v>1</v>
      </c>
      <c r="AB2133" s="320">
        <v>1</v>
      </c>
      <c r="AC2133" s="316">
        <v>0</v>
      </c>
      <c r="AD2133" s="316">
        <v>1</v>
      </c>
      <c r="AE2133" s="302">
        <f t="shared" si="115"/>
        <v>0.75</v>
      </c>
      <c r="AF2133" s="354"/>
      <c r="AG2133" s="17">
        <v>0</v>
      </c>
      <c r="AH2133" s="354">
        <v>2.7</v>
      </c>
      <c r="AI2133" s="354">
        <v>3.1</v>
      </c>
      <c r="AJ2133" s="354">
        <v>3.5</v>
      </c>
      <c r="AK2133" s="319">
        <v>3</v>
      </c>
      <c r="AL2133" s="319">
        <v>3.5</v>
      </c>
      <c r="AM2133" s="17">
        <f t="shared" si="116"/>
        <v>6.5</v>
      </c>
      <c r="AN2133" s="320" t="s">
        <v>6894</v>
      </c>
      <c r="AO2133" s="320" t="s">
        <v>6896</v>
      </c>
      <c r="AP2133" s="320" t="s">
        <v>6942</v>
      </c>
    </row>
    <row r="2134" spans="1:42" s="320" customFormat="1" x14ac:dyDescent="0.3">
      <c r="A2134" s="353" t="s">
        <v>1450</v>
      </c>
      <c r="B2134" s="320" t="s">
        <v>6881</v>
      </c>
      <c r="C2134" s="320" t="s">
        <v>6883</v>
      </c>
      <c r="D2134" s="320" t="s">
        <v>6884</v>
      </c>
      <c r="E2134" s="320" t="s">
        <v>6885</v>
      </c>
      <c r="F2134" s="320" t="s">
        <v>6886</v>
      </c>
      <c r="G2134" s="320" t="s">
        <v>6887</v>
      </c>
      <c r="H2134" s="320" t="s">
        <v>6888</v>
      </c>
      <c r="I2134" s="320" t="s">
        <v>6889</v>
      </c>
      <c r="J2134" s="320" t="s">
        <v>6890</v>
      </c>
      <c r="K2134" s="320" t="s">
        <v>6943</v>
      </c>
      <c r="L2134" s="320" t="s">
        <v>6944</v>
      </c>
      <c r="M2134" s="320" t="s">
        <v>6945</v>
      </c>
      <c r="N2134" s="275">
        <v>4</v>
      </c>
      <c r="O2134" s="275">
        <v>6</v>
      </c>
      <c r="P2134" s="275">
        <v>6</v>
      </c>
      <c r="Q2134" s="275">
        <v>6</v>
      </c>
      <c r="R2134" s="275">
        <v>6</v>
      </c>
      <c r="S2134" s="275">
        <v>6</v>
      </c>
      <c r="T2134" s="320" t="s">
        <v>6894</v>
      </c>
      <c r="U2134" s="283" t="s">
        <v>6896</v>
      </c>
      <c r="V2134" s="320" t="s">
        <v>6946</v>
      </c>
      <c r="W2134" s="320">
        <v>1</v>
      </c>
      <c r="X2134" s="320">
        <v>1</v>
      </c>
      <c r="Y2134" s="320">
        <v>0</v>
      </c>
      <c r="Z2134" s="320">
        <v>1</v>
      </c>
      <c r="AA2134" s="320">
        <v>1</v>
      </c>
      <c r="AB2134" s="320">
        <v>1</v>
      </c>
      <c r="AC2134" s="316">
        <v>1</v>
      </c>
      <c r="AD2134" s="316">
        <v>0</v>
      </c>
      <c r="AE2134" s="302">
        <f t="shared" si="115"/>
        <v>0.75</v>
      </c>
      <c r="AF2134" s="354"/>
      <c r="AG2134" s="17">
        <v>0</v>
      </c>
      <c r="AH2134" s="354">
        <v>1.5</v>
      </c>
      <c r="AI2134" s="354">
        <v>1.5</v>
      </c>
      <c r="AJ2134" s="354">
        <v>1.5</v>
      </c>
      <c r="AK2134" s="319">
        <v>5</v>
      </c>
      <c r="AL2134" s="319">
        <v>5</v>
      </c>
      <c r="AM2134" s="17">
        <f t="shared" si="116"/>
        <v>10</v>
      </c>
      <c r="AN2134" s="320" t="s">
        <v>6894</v>
      </c>
      <c r="AO2134" s="320" t="s">
        <v>6896</v>
      </c>
      <c r="AP2134" s="320" t="s">
        <v>6947</v>
      </c>
    </row>
    <row r="2135" spans="1:42" s="320" customFormat="1" x14ac:dyDescent="0.3">
      <c r="A2135" s="353" t="s">
        <v>1450</v>
      </c>
      <c r="B2135" s="320" t="s">
        <v>6881</v>
      </c>
      <c r="C2135" s="320" t="s">
        <v>6883</v>
      </c>
      <c r="D2135" s="320" t="s">
        <v>6884</v>
      </c>
      <c r="E2135" s="320" t="s">
        <v>6885</v>
      </c>
      <c r="F2135" s="320" t="s">
        <v>6886</v>
      </c>
      <c r="G2135" s="320" t="s">
        <v>6887</v>
      </c>
      <c r="H2135" s="320" t="s">
        <v>6888</v>
      </c>
      <c r="I2135" s="320" t="s">
        <v>6889</v>
      </c>
      <c r="J2135" s="320" t="s">
        <v>6890</v>
      </c>
      <c r="K2135" s="320" t="s">
        <v>6943</v>
      </c>
      <c r="L2135" s="320" t="s">
        <v>6944</v>
      </c>
      <c r="M2135" s="320" t="s">
        <v>6948</v>
      </c>
      <c r="N2135" s="281">
        <v>434000</v>
      </c>
      <c r="O2135" s="281">
        <v>372304</v>
      </c>
      <c r="P2135" s="281">
        <v>496886</v>
      </c>
      <c r="Q2135" s="281">
        <v>531668</v>
      </c>
      <c r="R2135" s="281">
        <v>568885</v>
      </c>
      <c r="S2135" s="281">
        <v>651317</v>
      </c>
      <c r="T2135" s="320" t="s">
        <v>6903</v>
      </c>
      <c r="U2135" s="283" t="e">
        <v>#N/A</v>
      </c>
      <c r="V2135" s="320" t="s">
        <v>6946</v>
      </c>
      <c r="W2135" s="320">
        <v>1</v>
      </c>
      <c r="X2135" s="320">
        <v>1</v>
      </c>
      <c r="Y2135" s="320">
        <v>0</v>
      </c>
      <c r="Z2135" s="320">
        <v>1</v>
      </c>
      <c r="AA2135" s="320">
        <v>1</v>
      </c>
      <c r="AB2135" s="320">
        <v>1</v>
      </c>
      <c r="AC2135" s="316">
        <v>1</v>
      </c>
      <c r="AD2135" s="316">
        <v>0</v>
      </c>
      <c r="AE2135" s="302">
        <f t="shared" si="115"/>
        <v>0.75</v>
      </c>
      <c r="AF2135" s="354"/>
      <c r="AG2135" s="17">
        <v>0</v>
      </c>
      <c r="AH2135" s="354">
        <v>0.01</v>
      </c>
      <c r="AI2135" s="354">
        <v>0.01</v>
      </c>
      <c r="AJ2135" s="354">
        <v>0.01</v>
      </c>
      <c r="AK2135" s="319">
        <v>0.01</v>
      </c>
      <c r="AL2135" s="319">
        <v>0.01</v>
      </c>
      <c r="AM2135" s="17">
        <f t="shared" si="116"/>
        <v>0.02</v>
      </c>
      <c r="AN2135" s="320" t="s">
        <v>2571</v>
      </c>
      <c r="AO2135" s="14" t="s">
        <v>2573</v>
      </c>
      <c r="AP2135" s="320" t="s">
        <v>6949</v>
      </c>
    </row>
    <row r="2136" spans="1:42" s="320" customFormat="1" x14ac:dyDescent="0.3">
      <c r="A2136" s="353" t="s">
        <v>1450</v>
      </c>
      <c r="B2136" s="320" t="s">
        <v>6881</v>
      </c>
      <c r="C2136" s="320" t="s">
        <v>6883</v>
      </c>
      <c r="D2136" s="320" t="s">
        <v>6884</v>
      </c>
      <c r="E2136" s="320" t="s">
        <v>6885</v>
      </c>
      <c r="F2136" s="320" t="s">
        <v>6886</v>
      </c>
      <c r="G2136" s="320" t="s">
        <v>6887</v>
      </c>
      <c r="H2136" s="320" t="s">
        <v>6888</v>
      </c>
      <c r="I2136" s="320" t="s">
        <v>6889</v>
      </c>
      <c r="J2136" s="320" t="s">
        <v>6890</v>
      </c>
      <c r="K2136" s="320" t="s">
        <v>6943</v>
      </c>
      <c r="L2136" s="320" t="s">
        <v>6944</v>
      </c>
      <c r="N2136" s="275"/>
      <c r="O2136" s="275"/>
      <c r="P2136" s="275"/>
      <c r="Q2136" s="275"/>
      <c r="R2136" s="275"/>
      <c r="S2136" s="275"/>
      <c r="U2136" s="283" t="e">
        <v>#N/A</v>
      </c>
      <c r="V2136" s="320" t="s">
        <v>6950</v>
      </c>
      <c r="W2136" s="320">
        <v>1</v>
      </c>
      <c r="X2136" s="320">
        <v>0</v>
      </c>
      <c r="Y2136" s="320">
        <v>1</v>
      </c>
      <c r="Z2136" s="320">
        <v>1</v>
      </c>
      <c r="AA2136" s="320">
        <v>1</v>
      </c>
      <c r="AB2136" s="320">
        <v>0</v>
      </c>
      <c r="AC2136" s="316">
        <v>1</v>
      </c>
      <c r="AD2136" s="316">
        <v>1</v>
      </c>
      <c r="AE2136" s="302">
        <f t="shared" si="115"/>
        <v>0.75</v>
      </c>
      <c r="AF2136" s="354"/>
      <c r="AG2136" s="17">
        <v>0</v>
      </c>
      <c r="AH2136" s="354">
        <v>0.01</v>
      </c>
      <c r="AI2136" s="354">
        <v>0.01</v>
      </c>
      <c r="AJ2136" s="354">
        <v>0.01</v>
      </c>
      <c r="AK2136" s="319">
        <v>0.01</v>
      </c>
      <c r="AL2136" s="319">
        <v>0.01</v>
      </c>
      <c r="AM2136" s="17">
        <f t="shared" si="116"/>
        <v>0.02</v>
      </c>
      <c r="AN2136" s="277" t="s">
        <v>2571</v>
      </c>
      <c r="AO2136" s="14" t="s">
        <v>2573</v>
      </c>
      <c r="AP2136" s="320" t="s">
        <v>6951</v>
      </c>
    </row>
    <row r="2137" spans="1:42" s="320" customFormat="1" x14ac:dyDescent="0.3">
      <c r="A2137" s="353" t="s">
        <v>1450</v>
      </c>
      <c r="B2137" s="320" t="s">
        <v>6881</v>
      </c>
      <c r="C2137" s="320" t="s">
        <v>6883</v>
      </c>
      <c r="D2137" s="320" t="s">
        <v>6884</v>
      </c>
      <c r="E2137" s="320" t="s">
        <v>6885</v>
      </c>
      <c r="F2137" s="320" t="s">
        <v>6886</v>
      </c>
      <c r="G2137" s="320" t="s">
        <v>6887</v>
      </c>
      <c r="H2137" s="320" t="s">
        <v>6888</v>
      </c>
      <c r="I2137" s="320" t="s">
        <v>6889</v>
      </c>
      <c r="J2137" s="320" t="s">
        <v>6890</v>
      </c>
      <c r="K2137" s="320" t="s">
        <v>6943</v>
      </c>
      <c r="L2137" s="320" t="s">
        <v>6944</v>
      </c>
      <c r="N2137" s="275"/>
      <c r="O2137" s="275"/>
      <c r="P2137" s="275"/>
      <c r="Q2137" s="275"/>
      <c r="R2137" s="275"/>
      <c r="S2137" s="275"/>
      <c r="U2137" s="283" t="e">
        <v>#N/A</v>
      </c>
      <c r="V2137" s="320" t="s">
        <v>6952</v>
      </c>
      <c r="W2137" s="320">
        <v>1</v>
      </c>
      <c r="X2137" s="320">
        <v>1</v>
      </c>
      <c r="Y2137" s="320">
        <v>1</v>
      </c>
      <c r="Z2137" s="320">
        <v>1</v>
      </c>
      <c r="AA2137" s="320">
        <v>1</v>
      </c>
      <c r="AB2137" s="320">
        <v>1</v>
      </c>
      <c r="AC2137" s="316">
        <v>1</v>
      </c>
      <c r="AD2137" s="316">
        <v>1</v>
      </c>
      <c r="AE2137" s="302">
        <f t="shared" si="115"/>
        <v>1</v>
      </c>
      <c r="AF2137" s="354"/>
      <c r="AG2137" s="17">
        <v>0</v>
      </c>
      <c r="AH2137" s="354">
        <v>0.3</v>
      </c>
      <c r="AI2137" s="354">
        <v>0.3</v>
      </c>
      <c r="AJ2137" s="354">
        <v>0.31</v>
      </c>
      <c r="AK2137" s="319">
        <v>0.34</v>
      </c>
      <c r="AL2137" s="319">
        <v>0.34</v>
      </c>
      <c r="AM2137" s="17">
        <f t="shared" si="116"/>
        <v>0.68</v>
      </c>
      <c r="AN2137" s="320" t="s">
        <v>6900</v>
      </c>
      <c r="AO2137" s="14" t="s">
        <v>6901</v>
      </c>
      <c r="AP2137" s="320" t="s">
        <v>6953</v>
      </c>
    </row>
    <row r="2138" spans="1:42" s="320" customFormat="1" x14ac:dyDescent="0.3">
      <c r="A2138" s="353" t="s">
        <v>1450</v>
      </c>
      <c r="B2138" s="320" t="s">
        <v>6881</v>
      </c>
      <c r="C2138" s="320" t="s">
        <v>6883</v>
      </c>
      <c r="D2138" s="320" t="s">
        <v>6884</v>
      </c>
      <c r="E2138" s="320" t="s">
        <v>6885</v>
      </c>
      <c r="F2138" s="320" t="s">
        <v>6886</v>
      </c>
      <c r="G2138" s="320" t="s">
        <v>6887</v>
      </c>
      <c r="H2138" s="320" t="s">
        <v>6888</v>
      </c>
      <c r="I2138" s="320" t="s">
        <v>6889</v>
      </c>
      <c r="J2138" s="320" t="s">
        <v>6890</v>
      </c>
      <c r="K2138" s="320" t="s">
        <v>6943</v>
      </c>
      <c r="L2138" s="320" t="s">
        <v>6944</v>
      </c>
      <c r="N2138" s="275"/>
      <c r="O2138" s="275"/>
      <c r="P2138" s="275"/>
      <c r="Q2138" s="275"/>
      <c r="R2138" s="275"/>
      <c r="S2138" s="275"/>
      <c r="U2138" s="283" t="e">
        <v>#N/A</v>
      </c>
      <c r="V2138" s="320" t="s">
        <v>6954</v>
      </c>
      <c r="W2138" s="320">
        <v>1</v>
      </c>
      <c r="X2138" s="320">
        <v>1</v>
      </c>
      <c r="Y2138" s="320">
        <v>0</v>
      </c>
      <c r="Z2138" s="320">
        <v>1</v>
      </c>
      <c r="AA2138" s="320">
        <v>1</v>
      </c>
      <c r="AB2138" s="320">
        <v>1</v>
      </c>
      <c r="AC2138" s="316">
        <v>0</v>
      </c>
      <c r="AD2138" s="316">
        <v>1</v>
      </c>
      <c r="AE2138" s="302">
        <f t="shared" si="115"/>
        <v>0.75</v>
      </c>
      <c r="AF2138" s="354"/>
      <c r="AG2138" s="17">
        <v>0</v>
      </c>
      <c r="AH2138" s="354">
        <v>0.02</v>
      </c>
      <c r="AI2138" s="354">
        <v>0.02</v>
      </c>
      <c r="AJ2138" s="354">
        <v>0.02</v>
      </c>
      <c r="AK2138" s="319">
        <v>0.02</v>
      </c>
      <c r="AL2138" s="319">
        <v>0.02</v>
      </c>
      <c r="AM2138" s="17">
        <f t="shared" si="116"/>
        <v>0.04</v>
      </c>
      <c r="AN2138" s="320" t="s">
        <v>2571</v>
      </c>
      <c r="AO2138" s="14" t="s">
        <v>2573</v>
      </c>
      <c r="AP2138" s="320" t="s">
        <v>6949</v>
      </c>
    </row>
    <row r="2139" spans="1:42" s="320" customFormat="1" x14ac:dyDescent="0.3">
      <c r="A2139" s="353" t="s">
        <v>1450</v>
      </c>
      <c r="B2139" s="320" t="s">
        <v>6881</v>
      </c>
      <c r="C2139" s="320" t="s">
        <v>6883</v>
      </c>
      <c r="D2139" s="320" t="s">
        <v>6884</v>
      </c>
      <c r="E2139" s="320" t="s">
        <v>6885</v>
      </c>
      <c r="F2139" s="320" t="s">
        <v>6886</v>
      </c>
      <c r="G2139" s="320" t="s">
        <v>6887</v>
      </c>
      <c r="H2139" s="320" t="s">
        <v>6888</v>
      </c>
      <c r="I2139" s="320" t="s">
        <v>6889</v>
      </c>
      <c r="J2139" s="320" t="s">
        <v>6890</v>
      </c>
      <c r="K2139" s="320" t="s">
        <v>6943</v>
      </c>
      <c r="L2139" s="320" t="s">
        <v>6944</v>
      </c>
      <c r="N2139" s="275"/>
      <c r="O2139" s="275"/>
      <c r="P2139" s="275"/>
      <c r="Q2139" s="275"/>
      <c r="R2139" s="275"/>
      <c r="S2139" s="275"/>
      <c r="U2139" s="283" t="e">
        <v>#N/A</v>
      </c>
      <c r="V2139" s="320" t="s">
        <v>6955</v>
      </c>
      <c r="W2139" s="320">
        <v>1</v>
      </c>
      <c r="X2139" s="320">
        <v>1</v>
      </c>
      <c r="Y2139" s="320">
        <v>0</v>
      </c>
      <c r="Z2139" s="320">
        <v>1</v>
      </c>
      <c r="AA2139" s="320">
        <v>1</v>
      </c>
      <c r="AB2139" s="320">
        <v>1</v>
      </c>
      <c r="AC2139" s="316">
        <v>0</v>
      </c>
      <c r="AD2139" s="316">
        <v>1</v>
      </c>
      <c r="AE2139" s="302">
        <f t="shared" si="115"/>
        <v>0.75</v>
      </c>
      <c r="AF2139" s="354"/>
      <c r="AG2139" s="17">
        <v>0</v>
      </c>
      <c r="AH2139" s="354">
        <v>6.0000000000000001E-3</v>
      </c>
      <c r="AI2139" s="354">
        <v>6.0000000000000001E-3</v>
      </c>
      <c r="AJ2139" s="354">
        <v>6.0000000000000001E-3</v>
      </c>
      <c r="AK2139" s="319">
        <v>6.0000000000000001E-3</v>
      </c>
      <c r="AL2139" s="319">
        <v>6.0000000000000001E-3</v>
      </c>
      <c r="AM2139" s="17">
        <f t="shared" si="116"/>
        <v>1.2E-2</v>
      </c>
      <c r="AN2139" s="320" t="s">
        <v>2571</v>
      </c>
      <c r="AO2139" s="14" t="s">
        <v>2573</v>
      </c>
      <c r="AP2139" s="320" t="s">
        <v>6956</v>
      </c>
    </row>
    <row r="2140" spans="1:42" s="320" customFormat="1" x14ac:dyDescent="0.3">
      <c r="A2140" s="353" t="s">
        <v>1450</v>
      </c>
      <c r="B2140" s="320" t="s">
        <v>6881</v>
      </c>
      <c r="C2140" s="320" t="s">
        <v>6883</v>
      </c>
      <c r="D2140" s="320" t="s">
        <v>6884</v>
      </c>
      <c r="E2140" s="320" t="s">
        <v>6885</v>
      </c>
      <c r="F2140" s="320" t="s">
        <v>6886</v>
      </c>
      <c r="G2140" s="320" t="s">
        <v>6887</v>
      </c>
      <c r="H2140" s="320" t="s">
        <v>6888</v>
      </c>
      <c r="I2140" s="320" t="s">
        <v>6889</v>
      </c>
      <c r="J2140" s="320" t="s">
        <v>6890</v>
      </c>
      <c r="K2140" s="320" t="s">
        <v>6943</v>
      </c>
      <c r="L2140" s="320" t="s">
        <v>6944</v>
      </c>
      <c r="N2140" s="275"/>
      <c r="O2140" s="275"/>
      <c r="P2140" s="275"/>
      <c r="Q2140" s="275"/>
      <c r="R2140" s="275"/>
      <c r="S2140" s="275"/>
      <c r="U2140" s="283" t="e">
        <v>#N/A</v>
      </c>
      <c r="V2140" s="320" t="s">
        <v>6957</v>
      </c>
      <c r="W2140" s="320">
        <v>1</v>
      </c>
      <c r="X2140" s="320">
        <v>1</v>
      </c>
      <c r="Y2140" s="320">
        <v>0</v>
      </c>
      <c r="Z2140" s="320">
        <v>1</v>
      </c>
      <c r="AA2140" s="320">
        <v>1</v>
      </c>
      <c r="AB2140" s="320">
        <v>1</v>
      </c>
      <c r="AC2140" s="316">
        <v>1</v>
      </c>
      <c r="AD2140" s="316">
        <v>0</v>
      </c>
      <c r="AE2140" s="302">
        <f t="shared" si="115"/>
        <v>0.75</v>
      </c>
      <c r="AF2140" s="354"/>
      <c r="AG2140" s="17">
        <v>0</v>
      </c>
      <c r="AH2140" s="354">
        <v>0.02</v>
      </c>
      <c r="AI2140" s="354">
        <v>0.02</v>
      </c>
      <c r="AJ2140" s="354">
        <v>0.02</v>
      </c>
      <c r="AK2140" s="319">
        <v>0.02</v>
      </c>
      <c r="AL2140" s="319">
        <v>0.02</v>
      </c>
      <c r="AM2140" s="17">
        <f t="shared" si="116"/>
        <v>0.04</v>
      </c>
      <c r="AN2140" s="320" t="s">
        <v>2571</v>
      </c>
      <c r="AO2140" s="14" t="s">
        <v>2573</v>
      </c>
      <c r="AP2140" s="320" t="s">
        <v>6956</v>
      </c>
    </row>
    <row r="2141" spans="1:42" s="320" customFormat="1" x14ac:dyDescent="0.3">
      <c r="A2141" s="353" t="s">
        <v>1450</v>
      </c>
      <c r="B2141" s="320" t="s">
        <v>6881</v>
      </c>
      <c r="C2141" s="320" t="s">
        <v>6883</v>
      </c>
      <c r="D2141" s="320" t="s">
        <v>6884</v>
      </c>
      <c r="E2141" s="320" t="s">
        <v>6885</v>
      </c>
      <c r="F2141" s="320" t="s">
        <v>6886</v>
      </c>
      <c r="G2141" s="320" t="s">
        <v>6887</v>
      </c>
      <c r="H2141" s="320" t="s">
        <v>6888</v>
      </c>
      <c r="I2141" s="320" t="s">
        <v>6889</v>
      </c>
      <c r="J2141" s="320" t="s">
        <v>6890</v>
      </c>
      <c r="K2141" s="320" t="s">
        <v>6943</v>
      </c>
      <c r="L2141" s="320" t="s">
        <v>6944</v>
      </c>
      <c r="N2141" s="275"/>
      <c r="O2141" s="275"/>
      <c r="P2141" s="275"/>
      <c r="Q2141" s="275"/>
      <c r="R2141" s="275"/>
      <c r="S2141" s="275"/>
      <c r="U2141" s="283" t="e">
        <v>#N/A</v>
      </c>
      <c r="V2141" s="320" t="s">
        <v>6958</v>
      </c>
      <c r="W2141" s="320">
        <v>1</v>
      </c>
      <c r="X2141" s="320">
        <v>1</v>
      </c>
      <c r="Y2141" s="320">
        <v>0</v>
      </c>
      <c r="Z2141" s="320">
        <v>1</v>
      </c>
      <c r="AA2141" s="320">
        <v>1</v>
      </c>
      <c r="AB2141" s="320">
        <v>1</v>
      </c>
      <c r="AC2141" s="316">
        <v>1</v>
      </c>
      <c r="AD2141" s="316">
        <v>0</v>
      </c>
      <c r="AE2141" s="302">
        <f t="shared" si="115"/>
        <v>0.75</v>
      </c>
      <c r="AF2141" s="354"/>
      <c r="AG2141" s="17">
        <v>0</v>
      </c>
      <c r="AH2141" s="354">
        <v>0.01</v>
      </c>
      <c r="AI2141" s="354">
        <v>0.01</v>
      </c>
      <c r="AJ2141" s="354">
        <v>0.01</v>
      </c>
      <c r="AK2141" s="319">
        <v>0.01</v>
      </c>
      <c r="AL2141" s="319">
        <v>0.01</v>
      </c>
      <c r="AM2141" s="17">
        <f t="shared" si="116"/>
        <v>0.02</v>
      </c>
      <c r="AN2141" s="320" t="s">
        <v>2571</v>
      </c>
      <c r="AO2141" s="14" t="s">
        <v>2573</v>
      </c>
      <c r="AP2141" s="320" t="s">
        <v>6959</v>
      </c>
    </row>
    <row r="2142" spans="1:42" s="320" customFormat="1" x14ac:dyDescent="0.3">
      <c r="A2142" s="353" t="s">
        <v>1450</v>
      </c>
      <c r="B2142" s="320" t="s">
        <v>6881</v>
      </c>
      <c r="C2142" s="320" t="s">
        <v>6883</v>
      </c>
      <c r="D2142" s="320" t="s">
        <v>6884</v>
      </c>
      <c r="E2142" s="320" t="s">
        <v>6885</v>
      </c>
      <c r="F2142" s="320" t="s">
        <v>6886</v>
      </c>
      <c r="G2142" s="320" t="s">
        <v>6887</v>
      </c>
      <c r="H2142" s="320" t="s">
        <v>6888</v>
      </c>
      <c r="I2142" s="320" t="s">
        <v>6889</v>
      </c>
      <c r="J2142" s="320" t="s">
        <v>6890</v>
      </c>
      <c r="K2142" s="320" t="s">
        <v>6943</v>
      </c>
      <c r="L2142" s="320" t="s">
        <v>6944</v>
      </c>
      <c r="N2142" s="275"/>
      <c r="O2142" s="275"/>
      <c r="P2142" s="275"/>
      <c r="Q2142" s="275"/>
      <c r="R2142" s="275"/>
      <c r="S2142" s="275"/>
      <c r="U2142" s="283" t="e">
        <v>#N/A</v>
      </c>
      <c r="V2142" s="320" t="s">
        <v>6960</v>
      </c>
      <c r="W2142" s="320">
        <v>1</v>
      </c>
      <c r="X2142" s="320">
        <v>1</v>
      </c>
      <c r="Y2142" s="320">
        <v>0</v>
      </c>
      <c r="Z2142" s="320">
        <v>1</v>
      </c>
      <c r="AA2142" s="320">
        <v>1</v>
      </c>
      <c r="AB2142" s="320">
        <v>1</v>
      </c>
      <c r="AC2142" s="316">
        <v>1</v>
      </c>
      <c r="AD2142" s="316">
        <v>0</v>
      </c>
      <c r="AE2142" s="302">
        <f t="shared" si="115"/>
        <v>0.75</v>
      </c>
      <c r="AF2142" s="354"/>
      <c r="AG2142" s="17">
        <v>0</v>
      </c>
      <c r="AH2142" s="354">
        <v>6.0000000000000001E-3</v>
      </c>
      <c r="AI2142" s="354">
        <v>6.0000000000000001E-3</v>
      </c>
      <c r="AJ2142" s="354">
        <v>6.0000000000000001E-3</v>
      </c>
      <c r="AK2142" s="319">
        <v>6.0000000000000001E-3</v>
      </c>
      <c r="AL2142" s="319">
        <v>6.0000000000000001E-3</v>
      </c>
      <c r="AM2142" s="17">
        <f t="shared" si="116"/>
        <v>1.2E-2</v>
      </c>
      <c r="AN2142" s="320" t="s">
        <v>2571</v>
      </c>
      <c r="AO2142" s="14" t="s">
        <v>2573</v>
      </c>
      <c r="AP2142" s="320" t="s">
        <v>6959</v>
      </c>
    </row>
    <row r="2143" spans="1:42" s="320" customFormat="1" x14ac:dyDescent="0.3">
      <c r="A2143" s="353" t="s">
        <v>1450</v>
      </c>
      <c r="B2143" s="320" t="s">
        <v>6881</v>
      </c>
      <c r="C2143" s="320" t="s">
        <v>6883</v>
      </c>
      <c r="D2143" s="320" t="s">
        <v>6884</v>
      </c>
      <c r="E2143" s="320" t="s">
        <v>6885</v>
      </c>
      <c r="F2143" s="320" t="s">
        <v>6886</v>
      </c>
      <c r="G2143" s="320" t="s">
        <v>6887</v>
      </c>
      <c r="H2143" s="320" t="s">
        <v>6888</v>
      </c>
      <c r="I2143" s="320" t="s">
        <v>6889</v>
      </c>
      <c r="J2143" s="320" t="s">
        <v>6890</v>
      </c>
      <c r="K2143" s="320" t="s">
        <v>6943</v>
      </c>
      <c r="L2143" s="320" t="s">
        <v>6944</v>
      </c>
      <c r="N2143" s="275"/>
      <c r="O2143" s="275"/>
      <c r="P2143" s="275"/>
      <c r="Q2143" s="275"/>
      <c r="R2143" s="275"/>
      <c r="S2143" s="275"/>
      <c r="U2143" s="283" t="e">
        <v>#N/A</v>
      </c>
      <c r="V2143" s="320" t="s">
        <v>6961</v>
      </c>
      <c r="W2143" s="320">
        <v>1</v>
      </c>
      <c r="X2143" s="320">
        <v>0</v>
      </c>
      <c r="Y2143" s="320">
        <v>1</v>
      </c>
      <c r="Z2143" s="320">
        <v>1</v>
      </c>
      <c r="AA2143" s="320">
        <v>1</v>
      </c>
      <c r="AB2143" s="320">
        <v>0</v>
      </c>
      <c r="AC2143" s="316">
        <v>1</v>
      </c>
      <c r="AD2143" s="316">
        <v>1</v>
      </c>
      <c r="AE2143" s="302">
        <f t="shared" si="115"/>
        <v>0.75</v>
      </c>
      <c r="AF2143" s="354"/>
      <c r="AG2143" s="17">
        <v>0</v>
      </c>
      <c r="AH2143" s="354">
        <v>0</v>
      </c>
      <c r="AI2143" s="354">
        <v>0.1</v>
      </c>
      <c r="AJ2143" s="354">
        <v>0.1</v>
      </c>
      <c r="AK2143" s="319">
        <v>0.1</v>
      </c>
      <c r="AL2143" s="319">
        <v>0.1</v>
      </c>
      <c r="AM2143" s="17">
        <f t="shared" si="116"/>
        <v>0.2</v>
      </c>
      <c r="AN2143" s="320" t="s">
        <v>6894</v>
      </c>
      <c r="AO2143" s="14" t="s">
        <v>6896</v>
      </c>
      <c r="AP2143" s="320" t="s">
        <v>6962</v>
      </c>
    </row>
    <row r="2144" spans="1:42" s="320" customFormat="1" hidden="1" x14ac:dyDescent="0.3">
      <c r="A2144" s="353" t="s">
        <v>1450</v>
      </c>
      <c r="B2144" s="320" t="s">
        <v>6881</v>
      </c>
      <c r="C2144" s="320" t="s">
        <v>6883</v>
      </c>
      <c r="D2144" s="320" t="s">
        <v>6884</v>
      </c>
      <c r="E2144" s="320" t="s">
        <v>6885</v>
      </c>
      <c r="F2144" s="320" t="s">
        <v>6886</v>
      </c>
      <c r="G2144" s="320" t="s">
        <v>6887</v>
      </c>
      <c r="H2144" s="320" t="s">
        <v>6888</v>
      </c>
      <c r="I2144" s="320" t="s">
        <v>6963</v>
      </c>
      <c r="J2144" s="320" t="s">
        <v>6964</v>
      </c>
      <c r="K2144" s="320" t="s">
        <v>6965</v>
      </c>
      <c r="L2144" s="320" t="s">
        <v>6966</v>
      </c>
      <c r="M2144" s="320" t="s">
        <v>6967</v>
      </c>
      <c r="N2144" s="275">
        <v>0</v>
      </c>
      <c r="O2144" s="275">
        <v>2</v>
      </c>
      <c r="P2144" s="275">
        <v>4</v>
      </c>
      <c r="Q2144" s="275">
        <v>6</v>
      </c>
      <c r="R2144" s="275">
        <v>14</v>
      </c>
      <c r="S2144" s="275">
        <v>15</v>
      </c>
      <c r="T2144" s="320" t="s">
        <v>6894</v>
      </c>
      <c r="U2144" s="283" t="s">
        <v>6896</v>
      </c>
      <c r="AC2144" s="316">
        <v>0</v>
      </c>
      <c r="AD2144" s="316">
        <v>0</v>
      </c>
      <c r="AE2144" s="302">
        <f t="shared" si="115"/>
        <v>0</v>
      </c>
      <c r="AF2144" s="278"/>
      <c r="AG2144" s="17">
        <v>0</v>
      </c>
      <c r="AH2144" s="278"/>
      <c r="AI2144" s="278"/>
      <c r="AJ2144" s="278"/>
      <c r="AK2144" s="279"/>
      <c r="AL2144" s="279"/>
      <c r="AM2144" s="17">
        <f t="shared" si="116"/>
        <v>0</v>
      </c>
      <c r="AO2144" s="14"/>
    </row>
    <row r="2145" spans="1:42" s="320" customFormat="1" hidden="1" x14ac:dyDescent="0.3">
      <c r="A2145" s="353" t="s">
        <v>1450</v>
      </c>
      <c r="B2145" s="320" t="s">
        <v>6881</v>
      </c>
      <c r="C2145" s="320" t="s">
        <v>6883</v>
      </c>
      <c r="D2145" s="320" t="s">
        <v>6884</v>
      </c>
      <c r="E2145" s="320" t="s">
        <v>6885</v>
      </c>
      <c r="F2145" s="320" t="s">
        <v>6886</v>
      </c>
      <c r="G2145" s="320" t="s">
        <v>6887</v>
      </c>
      <c r="H2145" s="320" t="s">
        <v>6888</v>
      </c>
      <c r="I2145" s="320" t="s">
        <v>6963</v>
      </c>
      <c r="J2145" s="320" t="s">
        <v>6964</v>
      </c>
      <c r="K2145" s="320" t="s">
        <v>6965</v>
      </c>
      <c r="L2145" s="320" t="s">
        <v>6966</v>
      </c>
      <c r="M2145" s="320" t="s">
        <v>6968</v>
      </c>
      <c r="N2145" s="275" t="s">
        <v>271</v>
      </c>
      <c r="O2145" s="275" t="s">
        <v>271</v>
      </c>
      <c r="P2145" s="275">
        <v>2</v>
      </c>
      <c r="Q2145" s="275">
        <v>1</v>
      </c>
      <c r="R2145" s="275">
        <v>2</v>
      </c>
      <c r="S2145" s="275">
        <v>1</v>
      </c>
      <c r="T2145" s="320" t="s">
        <v>6894</v>
      </c>
      <c r="U2145" s="283" t="s">
        <v>6896</v>
      </c>
      <c r="AC2145" s="316">
        <v>0</v>
      </c>
      <c r="AD2145" s="316">
        <v>0</v>
      </c>
      <c r="AE2145" s="302">
        <f t="shared" si="115"/>
        <v>0</v>
      </c>
      <c r="AF2145" s="278"/>
      <c r="AG2145" s="17">
        <v>0</v>
      </c>
      <c r="AH2145" s="278"/>
      <c r="AI2145" s="278"/>
      <c r="AJ2145" s="278"/>
      <c r="AK2145" s="279"/>
      <c r="AL2145" s="279"/>
      <c r="AM2145" s="17">
        <f t="shared" si="116"/>
        <v>0</v>
      </c>
      <c r="AO2145" s="14"/>
    </row>
    <row r="2146" spans="1:42" s="320" customFormat="1" x14ac:dyDescent="0.3">
      <c r="A2146" s="353" t="s">
        <v>1450</v>
      </c>
      <c r="B2146" s="320" t="s">
        <v>6881</v>
      </c>
      <c r="C2146" s="320" t="s">
        <v>6883</v>
      </c>
      <c r="D2146" s="320" t="s">
        <v>6884</v>
      </c>
      <c r="E2146" s="320" t="s">
        <v>6885</v>
      </c>
      <c r="F2146" s="320" t="s">
        <v>6886</v>
      </c>
      <c r="G2146" s="320" t="s">
        <v>6887</v>
      </c>
      <c r="H2146" s="320" t="s">
        <v>6888</v>
      </c>
      <c r="I2146" s="320" t="s">
        <v>6963</v>
      </c>
      <c r="J2146" s="320" t="s">
        <v>6964</v>
      </c>
      <c r="K2146" s="320" t="s">
        <v>6969</v>
      </c>
      <c r="L2146" s="320" t="s">
        <v>6970</v>
      </c>
      <c r="M2146" s="320" t="s">
        <v>6971</v>
      </c>
      <c r="N2146" s="275">
        <v>3</v>
      </c>
      <c r="O2146" s="275">
        <v>7</v>
      </c>
      <c r="P2146" s="275">
        <v>7</v>
      </c>
      <c r="Q2146" s="275">
        <v>7</v>
      </c>
      <c r="R2146" s="275">
        <v>9</v>
      </c>
      <c r="S2146" s="275">
        <v>9</v>
      </c>
      <c r="T2146" s="320" t="s">
        <v>6894</v>
      </c>
      <c r="U2146" s="283" t="s">
        <v>6896</v>
      </c>
      <c r="V2146" s="320" t="s">
        <v>6972</v>
      </c>
      <c r="W2146" s="320">
        <v>1</v>
      </c>
      <c r="X2146" s="320">
        <v>1</v>
      </c>
      <c r="Y2146" s="320">
        <v>0</v>
      </c>
      <c r="Z2146" s="320">
        <v>1</v>
      </c>
      <c r="AA2146" s="320">
        <v>1</v>
      </c>
      <c r="AB2146" s="320">
        <v>1</v>
      </c>
      <c r="AC2146" s="316">
        <v>0</v>
      </c>
      <c r="AD2146" s="316">
        <v>1</v>
      </c>
      <c r="AE2146" s="302">
        <f t="shared" si="115"/>
        <v>0.75</v>
      </c>
      <c r="AF2146" s="354"/>
      <c r="AG2146" s="17">
        <v>0</v>
      </c>
      <c r="AH2146" s="354">
        <v>4.4400000000000004</v>
      </c>
      <c r="AI2146" s="354">
        <v>4.92</v>
      </c>
      <c r="AJ2146" s="354">
        <v>6.4</v>
      </c>
      <c r="AK2146" s="319">
        <v>7.88</v>
      </c>
      <c r="AL2146" s="319">
        <v>7.88</v>
      </c>
      <c r="AM2146" s="17">
        <f t="shared" si="116"/>
        <v>15.76</v>
      </c>
      <c r="AN2146" s="320" t="s">
        <v>6894</v>
      </c>
      <c r="AO2146" s="320" t="s">
        <v>6896</v>
      </c>
      <c r="AP2146" s="320" t="s">
        <v>6973</v>
      </c>
    </row>
    <row r="2147" spans="1:42" s="320" customFormat="1" hidden="1" x14ac:dyDescent="0.3">
      <c r="A2147" s="353" t="s">
        <v>1450</v>
      </c>
      <c r="B2147" s="320" t="s">
        <v>6881</v>
      </c>
      <c r="C2147" s="320" t="s">
        <v>6883</v>
      </c>
      <c r="D2147" s="320" t="s">
        <v>6884</v>
      </c>
      <c r="E2147" s="320" t="s">
        <v>6885</v>
      </c>
      <c r="F2147" s="320" t="s">
        <v>6886</v>
      </c>
      <c r="G2147" s="320" t="s">
        <v>6887</v>
      </c>
      <c r="H2147" s="320" t="s">
        <v>6888</v>
      </c>
      <c r="I2147" s="320" t="s">
        <v>6963</v>
      </c>
      <c r="J2147" s="320" t="s">
        <v>6964</v>
      </c>
      <c r="K2147" s="320" t="s">
        <v>6969</v>
      </c>
      <c r="L2147" s="320" t="s">
        <v>6970</v>
      </c>
      <c r="N2147" s="275"/>
      <c r="O2147" s="275"/>
      <c r="P2147" s="275"/>
      <c r="Q2147" s="275"/>
      <c r="R2147" s="275"/>
      <c r="S2147" s="275"/>
      <c r="U2147" s="283" t="e">
        <v>#N/A</v>
      </c>
      <c r="V2147" s="320" t="s">
        <v>6974</v>
      </c>
      <c r="W2147" s="320">
        <v>1</v>
      </c>
      <c r="X2147" s="320">
        <v>0</v>
      </c>
      <c r="Y2147" s="320">
        <v>0</v>
      </c>
      <c r="Z2147" s="320">
        <v>1</v>
      </c>
      <c r="AA2147" s="320">
        <v>1</v>
      </c>
      <c r="AB2147" s="320">
        <v>0</v>
      </c>
      <c r="AC2147" s="316">
        <v>0</v>
      </c>
      <c r="AD2147" s="316">
        <v>1</v>
      </c>
      <c r="AE2147" s="302">
        <f t="shared" si="115"/>
        <v>0.5</v>
      </c>
      <c r="AF2147" s="354"/>
      <c r="AG2147" s="17">
        <v>0</v>
      </c>
      <c r="AH2147" s="354">
        <v>0</v>
      </c>
      <c r="AI2147" s="354">
        <v>0.01</v>
      </c>
      <c r="AJ2147" s="23">
        <v>0</v>
      </c>
      <c r="AK2147" s="153">
        <v>0</v>
      </c>
      <c r="AL2147" s="153">
        <v>0</v>
      </c>
      <c r="AM2147" s="17">
        <f t="shared" si="116"/>
        <v>0</v>
      </c>
      <c r="AN2147" s="320" t="s">
        <v>6894</v>
      </c>
      <c r="AO2147" s="14" t="s">
        <v>6896</v>
      </c>
      <c r="AP2147" s="320" t="s">
        <v>6975</v>
      </c>
    </row>
    <row r="2148" spans="1:42" s="320" customFormat="1" x14ac:dyDescent="0.3">
      <c r="A2148" s="353" t="s">
        <v>1450</v>
      </c>
      <c r="B2148" s="320" t="s">
        <v>6881</v>
      </c>
      <c r="C2148" s="320" t="s">
        <v>6883</v>
      </c>
      <c r="D2148" s="320" t="s">
        <v>6884</v>
      </c>
      <c r="E2148" s="320" t="s">
        <v>6885</v>
      </c>
      <c r="F2148" s="320" t="s">
        <v>6886</v>
      </c>
      <c r="G2148" s="320" t="s">
        <v>6887</v>
      </c>
      <c r="H2148" s="320" t="s">
        <v>6888</v>
      </c>
      <c r="I2148" s="320" t="s">
        <v>6963</v>
      </c>
      <c r="J2148" s="320" t="s">
        <v>6964</v>
      </c>
      <c r="K2148" s="320" t="s">
        <v>6976</v>
      </c>
      <c r="L2148" s="320" t="s">
        <v>6977</v>
      </c>
      <c r="M2148" s="320" t="s">
        <v>6978</v>
      </c>
      <c r="N2148" s="275">
        <v>1</v>
      </c>
      <c r="O2148" s="275">
        <v>1</v>
      </c>
      <c r="P2148" s="275">
        <v>1</v>
      </c>
      <c r="Q2148" s="275">
        <v>2</v>
      </c>
      <c r="R2148" s="275">
        <v>2</v>
      </c>
      <c r="S2148" s="275">
        <v>2</v>
      </c>
      <c r="T2148" s="320" t="s">
        <v>6903</v>
      </c>
      <c r="U2148" s="283" t="e">
        <v>#N/A</v>
      </c>
      <c r="W2148" s="320">
        <v>1</v>
      </c>
      <c r="X2148" s="320">
        <v>1</v>
      </c>
      <c r="Y2148" s="320">
        <v>0</v>
      </c>
      <c r="Z2148" s="320">
        <v>1</v>
      </c>
      <c r="AA2148" s="320">
        <v>1</v>
      </c>
      <c r="AB2148" s="320">
        <v>0</v>
      </c>
      <c r="AC2148" s="316">
        <v>1</v>
      </c>
      <c r="AD2148" s="316">
        <v>1</v>
      </c>
      <c r="AE2148" s="302">
        <f t="shared" si="115"/>
        <v>0.75</v>
      </c>
      <c r="AF2148" s="278"/>
      <c r="AG2148" s="17">
        <v>0</v>
      </c>
      <c r="AH2148" s="278"/>
      <c r="AI2148" s="278"/>
      <c r="AJ2148" s="23"/>
      <c r="AK2148" s="153">
        <v>2.5</v>
      </c>
      <c r="AL2148" s="153">
        <v>2.5</v>
      </c>
      <c r="AM2148" s="17">
        <f t="shared" si="116"/>
        <v>5</v>
      </c>
      <c r="AO2148" s="14"/>
    </row>
    <row r="2149" spans="1:42" s="320" customFormat="1" hidden="1" x14ac:dyDescent="0.3">
      <c r="A2149" s="353" t="s">
        <v>1450</v>
      </c>
      <c r="B2149" s="320" t="s">
        <v>6881</v>
      </c>
      <c r="C2149" s="320" t="s">
        <v>6883</v>
      </c>
      <c r="D2149" s="320" t="s">
        <v>6884</v>
      </c>
      <c r="E2149" s="320" t="s">
        <v>6885</v>
      </c>
      <c r="F2149" s="320" t="s">
        <v>6886</v>
      </c>
      <c r="G2149" s="320" t="s">
        <v>6887</v>
      </c>
      <c r="H2149" s="320" t="s">
        <v>6888</v>
      </c>
      <c r="I2149" s="320" t="s">
        <v>6963</v>
      </c>
      <c r="J2149" s="320" t="s">
        <v>6964</v>
      </c>
      <c r="K2149" s="320" t="s">
        <v>6979</v>
      </c>
      <c r="L2149" s="320" t="s">
        <v>6980</v>
      </c>
      <c r="M2149" s="320" t="s">
        <v>6981</v>
      </c>
      <c r="N2149" s="275">
        <v>0</v>
      </c>
      <c r="O2149" s="275">
        <v>0</v>
      </c>
      <c r="P2149" s="275">
        <v>0</v>
      </c>
      <c r="Q2149" s="275">
        <v>0</v>
      </c>
      <c r="R2149" s="275">
        <v>60</v>
      </c>
      <c r="S2149" s="275">
        <v>100</v>
      </c>
      <c r="T2149" s="320" t="s">
        <v>6894</v>
      </c>
      <c r="U2149" s="283" t="s">
        <v>6896</v>
      </c>
      <c r="AC2149" s="316">
        <v>0</v>
      </c>
      <c r="AD2149" s="316">
        <v>0</v>
      </c>
      <c r="AE2149" s="302">
        <f t="shared" si="115"/>
        <v>0</v>
      </c>
      <c r="AF2149" s="278"/>
      <c r="AG2149" s="17">
        <v>0</v>
      </c>
      <c r="AH2149" s="278"/>
      <c r="AI2149" s="278"/>
      <c r="AJ2149" s="278"/>
      <c r="AK2149" s="279"/>
      <c r="AL2149" s="279"/>
      <c r="AM2149" s="17">
        <f t="shared" si="116"/>
        <v>0</v>
      </c>
    </row>
    <row r="2150" spans="1:42" s="320" customFormat="1" hidden="1" x14ac:dyDescent="0.3">
      <c r="A2150" s="353" t="s">
        <v>1450</v>
      </c>
      <c r="B2150" s="320" t="s">
        <v>6881</v>
      </c>
      <c r="C2150" s="320" t="s">
        <v>6883</v>
      </c>
      <c r="D2150" s="320" t="s">
        <v>6884</v>
      </c>
      <c r="E2150" s="320" t="s">
        <v>6885</v>
      </c>
      <c r="F2150" s="320" t="s">
        <v>6886</v>
      </c>
      <c r="G2150" s="320" t="s">
        <v>6887</v>
      </c>
      <c r="H2150" s="320" t="s">
        <v>6888</v>
      </c>
      <c r="I2150" s="320" t="s">
        <v>6982</v>
      </c>
      <c r="J2150" s="320" t="s">
        <v>6983</v>
      </c>
      <c r="K2150" s="320" t="s">
        <v>6984</v>
      </c>
      <c r="L2150" s="320" t="s">
        <v>6985</v>
      </c>
      <c r="M2150" s="320" t="s">
        <v>6986</v>
      </c>
      <c r="N2150" s="275">
        <v>0</v>
      </c>
      <c r="O2150" s="275">
        <v>0</v>
      </c>
      <c r="P2150" s="275">
        <v>0</v>
      </c>
      <c r="Q2150" s="275" t="s">
        <v>271</v>
      </c>
      <c r="R2150" s="275" t="s">
        <v>271</v>
      </c>
      <c r="S2150" s="275">
        <v>1</v>
      </c>
      <c r="T2150" s="320" t="s">
        <v>6894</v>
      </c>
      <c r="U2150" s="283" t="s">
        <v>6896</v>
      </c>
      <c r="AC2150" s="316">
        <v>0</v>
      </c>
      <c r="AD2150" s="316">
        <v>0</v>
      </c>
      <c r="AE2150" s="302">
        <f t="shared" si="115"/>
        <v>0</v>
      </c>
      <c r="AF2150" s="278"/>
      <c r="AG2150" s="17">
        <v>0</v>
      </c>
      <c r="AH2150" s="278"/>
      <c r="AI2150" s="278"/>
      <c r="AJ2150" s="278"/>
      <c r="AK2150" s="279"/>
      <c r="AL2150" s="279">
        <v>2</v>
      </c>
      <c r="AM2150" s="17">
        <f t="shared" si="116"/>
        <v>2</v>
      </c>
    </row>
    <row r="2151" spans="1:42" s="320" customFormat="1" hidden="1" x14ac:dyDescent="0.3">
      <c r="A2151" s="353" t="s">
        <v>1450</v>
      </c>
      <c r="B2151" s="320" t="s">
        <v>6881</v>
      </c>
      <c r="C2151" s="320" t="s">
        <v>6883</v>
      </c>
      <c r="D2151" s="320" t="s">
        <v>6884</v>
      </c>
      <c r="E2151" s="320" t="s">
        <v>6885</v>
      </c>
      <c r="F2151" s="320" t="s">
        <v>6886</v>
      </c>
      <c r="G2151" s="320" t="s">
        <v>6987</v>
      </c>
      <c r="H2151" s="320" t="s">
        <v>6988</v>
      </c>
      <c r="I2151" s="320" t="s">
        <v>271</v>
      </c>
      <c r="J2151" s="320" t="s">
        <v>271</v>
      </c>
      <c r="K2151" s="320" t="s">
        <v>6989</v>
      </c>
      <c r="L2151" s="320" t="s">
        <v>6990</v>
      </c>
      <c r="M2151" s="320" t="s">
        <v>6991</v>
      </c>
      <c r="N2151" s="275">
        <v>0</v>
      </c>
      <c r="O2151" s="275">
        <v>0</v>
      </c>
      <c r="P2151" s="275">
        <v>1</v>
      </c>
      <c r="Q2151" s="275">
        <v>1</v>
      </c>
      <c r="R2151" s="275">
        <v>1</v>
      </c>
      <c r="S2151" s="275">
        <v>2</v>
      </c>
      <c r="T2151" s="320" t="s">
        <v>63</v>
      </c>
      <c r="U2151" s="283" t="s">
        <v>2510</v>
      </c>
      <c r="V2151" s="320" t="s">
        <v>6992</v>
      </c>
      <c r="W2151" s="320">
        <v>1</v>
      </c>
      <c r="X2151" s="320">
        <v>1</v>
      </c>
      <c r="Y2151" s="320">
        <v>0</v>
      </c>
      <c r="Z2151" s="320">
        <v>0</v>
      </c>
      <c r="AA2151" s="320">
        <v>0</v>
      </c>
      <c r="AB2151" s="320">
        <v>1</v>
      </c>
      <c r="AC2151" s="316">
        <v>0</v>
      </c>
      <c r="AD2151" s="316">
        <v>0</v>
      </c>
      <c r="AE2151" s="302">
        <f t="shared" si="115"/>
        <v>0.375</v>
      </c>
      <c r="AF2151" s="354"/>
      <c r="AG2151" s="17">
        <v>0</v>
      </c>
      <c r="AH2151" s="354">
        <v>0</v>
      </c>
      <c r="AI2151" s="354">
        <v>35</v>
      </c>
      <c r="AJ2151" s="354">
        <v>35</v>
      </c>
      <c r="AK2151" s="319"/>
      <c r="AL2151" s="319"/>
      <c r="AM2151" s="17">
        <f t="shared" si="116"/>
        <v>0</v>
      </c>
      <c r="AN2151" s="320" t="s">
        <v>2520</v>
      </c>
      <c r="AO2151" s="320" t="s">
        <v>2510</v>
      </c>
      <c r="AP2151" s="320" t="s">
        <v>63</v>
      </c>
    </row>
    <row r="2152" spans="1:42" s="320" customFormat="1" hidden="1" x14ac:dyDescent="0.3">
      <c r="A2152" s="353" t="s">
        <v>1450</v>
      </c>
      <c r="B2152" s="320" t="s">
        <v>6881</v>
      </c>
      <c r="C2152" s="320" t="s">
        <v>6883</v>
      </c>
      <c r="D2152" s="320" t="s">
        <v>6884</v>
      </c>
      <c r="E2152" s="320" t="s">
        <v>6885</v>
      </c>
      <c r="F2152" s="320" t="s">
        <v>6886</v>
      </c>
      <c r="G2152" s="320" t="s">
        <v>6987</v>
      </c>
      <c r="H2152" s="320" t="s">
        <v>6988</v>
      </c>
      <c r="I2152" s="320" t="s">
        <v>271</v>
      </c>
      <c r="J2152" s="320" t="s">
        <v>271</v>
      </c>
      <c r="K2152" s="320" t="s">
        <v>6993</v>
      </c>
      <c r="L2152" s="320" t="s">
        <v>6994</v>
      </c>
      <c r="M2152" s="320" t="s">
        <v>6995</v>
      </c>
      <c r="N2152" s="275">
        <v>14</v>
      </c>
      <c r="O2152" s="275">
        <v>14</v>
      </c>
      <c r="P2152" s="275">
        <v>15</v>
      </c>
      <c r="Q2152" s="275">
        <v>15</v>
      </c>
      <c r="R2152" s="275">
        <v>17</v>
      </c>
      <c r="S2152" s="275">
        <v>17</v>
      </c>
      <c r="T2152" s="320" t="s">
        <v>2518</v>
      </c>
      <c r="U2152" s="283" t="e">
        <v>#N/A</v>
      </c>
      <c r="AC2152" s="316">
        <v>0</v>
      </c>
      <c r="AD2152" s="316">
        <v>0</v>
      </c>
      <c r="AE2152" s="302">
        <f t="shared" si="115"/>
        <v>0</v>
      </c>
      <c r="AF2152" s="278"/>
      <c r="AG2152" s="17">
        <v>0</v>
      </c>
      <c r="AH2152" s="278"/>
      <c r="AI2152" s="278"/>
      <c r="AJ2152" s="278"/>
      <c r="AK2152" s="279"/>
      <c r="AL2152" s="279"/>
      <c r="AM2152" s="17">
        <f t="shared" si="116"/>
        <v>0</v>
      </c>
    </row>
    <row r="2153" spans="1:42" s="320" customFormat="1" hidden="1" x14ac:dyDescent="0.3">
      <c r="A2153" s="353" t="s">
        <v>1450</v>
      </c>
      <c r="B2153" s="320" t="s">
        <v>6881</v>
      </c>
      <c r="C2153" s="320" t="s">
        <v>6883</v>
      </c>
      <c r="D2153" s="320" t="s">
        <v>6884</v>
      </c>
      <c r="E2153" s="320" t="s">
        <v>6885</v>
      </c>
      <c r="F2153" s="320" t="s">
        <v>6886</v>
      </c>
      <c r="G2153" s="320" t="s">
        <v>6987</v>
      </c>
      <c r="H2153" s="320" t="s">
        <v>6988</v>
      </c>
      <c r="I2153" s="320" t="s">
        <v>271</v>
      </c>
      <c r="J2153" s="320" t="s">
        <v>271</v>
      </c>
      <c r="K2153" s="320" t="s">
        <v>6993</v>
      </c>
      <c r="L2153" s="320" t="s">
        <v>6994</v>
      </c>
      <c r="M2153" s="320" t="s">
        <v>6996</v>
      </c>
      <c r="N2153" s="275">
        <v>6</v>
      </c>
      <c r="O2153" s="275">
        <v>8</v>
      </c>
      <c r="P2153" s="275">
        <v>10</v>
      </c>
      <c r="Q2153" s="275">
        <v>12</v>
      </c>
      <c r="R2153" s="275">
        <v>14</v>
      </c>
      <c r="S2153" s="275">
        <v>15</v>
      </c>
      <c r="T2153" s="320" t="s">
        <v>2518</v>
      </c>
      <c r="U2153" s="283" t="e">
        <v>#N/A</v>
      </c>
      <c r="AC2153" s="316">
        <v>0</v>
      </c>
      <c r="AD2153" s="316">
        <v>0</v>
      </c>
      <c r="AE2153" s="302">
        <f t="shared" si="115"/>
        <v>0</v>
      </c>
      <c r="AF2153" s="278"/>
      <c r="AG2153" s="17">
        <v>0</v>
      </c>
      <c r="AH2153" s="278"/>
      <c r="AI2153" s="278"/>
      <c r="AJ2153" s="278"/>
      <c r="AK2153" s="279"/>
      <c r="AL2153" s="279"/>
      <c r="AM2153" s="17">
        <f t="shared" si="116"/>
        <v>0</v>
      </c>
    </row>
    <row r="2154" spans="1:42" s="320" customFormat="1" hidden="1" x14ac:dyDescent="0.3">
      <c r="A2154" s="353" t="s">
        <v>1450</v>
      </c>
      <c r="B2154" s="320" t="s">
        <v>6881</v>
      </c>
      <c r="C2154" s="320" t="s">
        <v>6883</v>
      </c>
      <c r="D2154" s="320" t="s">
        <v>6884</v>
      </c>
      <c r="E2154" s="320" t="s">
        <v>6885</v>
      </c>
      <c r="F2154" s="320" t="s">
        <v>6886</v>
      </c>
      <c r="G2154" s="320" t="s">
        <v>6987</v>
      </c>
      <c r="H2154" s="320" t="s">
        <v>6988</v>
      </c>
      <c r="I2154" s="320" t="s">
        <v>271</v>
      </c>
      <c r="J2154" s="320" t="s">
        <v>271</v>
      </c>
      <c r="K2154" s="320" t="s">
        <v>6997</v>
      </c>
      <c r="L2154" s="320" t="s">
        <v>6998</v>
      </c>
      <c r="M2154" s="320" t="s">
        <v>6999</v>
      </c>
      <c r="N2154" s="275">
        <v>0.95</v>
      </c>
      <c r="O2154" s="275">
        <v>0.89</v>
      </c>
      <c r="P2154" s="275">
        <v>1.01</v>
      </c>
      <c r="Q2154" s="275">
        <v>1.04</v>
      </c>
      <c r="R2154" s="275">
        <v>1.07</v>
      </c>
      <c r="S2154" s="275">
        <v>1.1000000000000001</v>
      </c>
      <c r="T2154" s="320" t="s">
        <v>6903</v>
      </c>
      <c r="U2154" s="283" t="e">
        <v>#N/A</v>
      </c>
      <c r="AC2154" s="316">
        <v>0</v>
      </c>
      <c r="AD2154" s="316">
        <v>0</v>
      </c>
      <c r="AE2154" s="302">
        <f t="shared" si="115"/>
        <v>0</v>
      </c>
      <c r="AF2154" s="278"/>
      <c r="AG2154" s="17">
        <v>0</v>
      </c>
      <c r="AH2154" s="278"/>
      <c r="AI2154" s="278"/>
      <c r="AJ2154" s="278"/>
      <c r="AK2154" s="279"/>
      <c r="AL2154" s="279"/>
      <c r="AM2154" s="17">
        <f t="shared" si="116"/>
        <v>0</v>
      </c>
    </row>
    <row r="2155" spans="1:42" s="320" customFormat="1" x14ac:dyDescent="0.3">
      <c r="A2155" s="353" t="s">
        <v>1450</v>
      </c>
      <c r="B2155" s="320" t="s">
        <v>6881</v>
      </c>
      <c r="C2155" s="320" t="s">
        <v>6883</v>
      </c>
      <c r="D2155" s="320" t="s">
        <v>6884</v>
      </c>
      <c r="E2155" s="320" t="s">
        <v>6885</v>
      </c>
      <c r="F2155" s="320" t="s">
        <v>6886</v>
      </c>
      <c r="G2155" s="320" t="s">
        <v>7000</v>
      </c>
      <c r="H2155" s="320" t="s">
        <v>7001</v>
      </c>
      <c r="I2155" s="320" t="s">
        <v>271</v>
      </c>
      <c r="J2155" s="320" t="s">
        <v>271</v>
      </c>
      <c r="K2155" s="320" t="s">
        <v>7002</v>
      </c>
      <c r="L2155" s="320" t="s">
        <v>7003</v>
      </c>
      <c r="M2155" s="320" t="s">
        <v>7004</v>
      </c>
      <c r="N2155" s="275">
        <v>0</v>
      </c>
      <c r="O2155" s="275">
        <v>0</v>
      </c>
      <c r="P2155" s="275">
        <v>0</v>
      </c>
      <c r="Q2155" s="275">
        <v>0</v>
      </c>
      <c r="R2155" s="275">
        <v>0</v>
      </c>
      <c r="S2155" s="275">
        <v>1</v>
      </c>
      <c r="T2155" s="320" t="s">
        <v>7005</v>
      </c>
      <c r="U2155" s="283" t="e">
        <v>#N/A</v>
      </c>
      <c r="V2155" s="320" t="s">
        <v>7006</v>
      </c>
      <c r="W2155" s="320">
        <v>1</v>
      </c>
      <c r="X2155" s="320">
        <v>1</v>
      </c>
      <c r="Y2155" s="320">
        <v>1</v>
      </c>
      <c r="Z2155" s="320">
        <v>1</v>
      </c>
      <c r="AA2155" s="320">
        <v>1</v>
      </c>
      <c r="AB2155" s="320">
        <v>1</v>
      </c>
      <c r="AC2155" s="316">
        <v>0</v>
      </c>
      <c r="AD2155" s="316">
        <v>0</v>
      </c>
      <c r="AE2155" s="302">
        <f t="shared" si="115"/>
        <v>0.75</v>
      </c>
      <c r="AF2155" s="23"/>
      <c r="AG2155" s="17">
        <v>0</v>
      </c>
      <c r="AH2155" s="23">
        <v>0</v>
      </c>
      <c r="AI2155" s="354">
        <v>0</v>
      </c>
      <c r="AJ2155" s="354">
        <v>0.2</v>
      </c>
      <c r="AK2155" s="153">
        <v>0</v>
      </c>
      <c r="AL2155" s="153">
        <v>0.2</v>
      </c>
      <c r="AM2155" s="17">
        <f t="shared" si="116"/>
        <v>0.2</v>
      </c>
      <c r="AN2155" s="320" t="s">
        <v>6900</v>
      </c>
      <c r="AO2155" s="14" t="s">
        <v>6901</v>
      </c>
      <c r="AP2155" s="320" t="s">
        <v>7007</v>
      </c>
    </row>
    <row r="2156" spans="1:42" s="320" customFormat="1" x14ac:dyDescent="0.3">
      <c r="A2156" s="353" t="s">
        <v>1450</v>
      </c>
      <c r="B2156" s="320" t="s">
        <v>6881</v>
      </c>
      <c r="C2156" s="320" t="s">
        <v>6883</v>
      </c>
      <c r="D2156" s="320" t="s">
        <v>6884</v>
      </c>
      <c r="E2156" s="320" t="s">
        <v>6885</v>
      </c>
      <c r="F2156" s="320" t="s">
        <v>6886</v>
      </c>
      <c r="G2156" s="320" t="s">
        <v>7008</v>
      </c>
      <c r="H2156" s="320" t="s">
        <v>7009</v>
      </c>
      <c r="I2156" s="320" t="s">
        <v>7010</v>
      </c>
      <c r="J2156" s="320" t="s">
        <v>7011</v>
      </c>
      <c r="K2156" s="320" t="s">
        <v>7012</v>
      </c>
      <c r="L2156" s="320" t="s">
        <v>7013</v>
      </c>
      <c r="M2156" s="320" t="s">
        <v>7014</v>
      </c>
      <c r="N2156" s="275" t="s">
        <v>119</v>
      </c>
      <c r="O2156" s="275">
        <v>30</v>
      </c>
      <c r="P2156" s="275">
        <v>90</v>
      </c>
      <c r="Q2156" s="275">
        <v>200</v>
      </c>
      <c r="R2156" s="275">
        <v>250</v>
      </c>
      <c r="S2156" s="275">
        <v>500</v>
      </c>
      <c r="T2156" s="320" t="s">
        <v>1233</v>
      </c>
      <c r="U2156" s="283" t="s">
        <v>1650</v>
      </c>
      <c r="V2156" s="320" t="s">
        <v>7015</v>
      </c>
      <c r="W2156" s="320">
        <v>1</v>
      </c>
      <c r="X2156" s="320">
        <v>1</v>
      </c>
      <c r="Y2156" s="320">
        <v>0</v>
      </c>
      <c r="Z2156" s="320">
        <v>1</v>
      </c>
      <c r="AA2156" s="320">
        <v>1</v>
      </c>
      <c r="AB2156" s="320">
        <v>1</v>
      </c>
      <c r="AC2156" s="316">
        <v>0</v>
      </c>
      <c r="AD2156" s="316">
        <v>1</v>
      </c>
      <c r="AE2156" s="302">
        <f t="shared" si="115"/>
        <v>0.75</v>
      </c>
      <c r="AF2156" s="354"/>
      <c r="AG2156" s="17">
        <v>0</v>
      </c>
      <c r="AH2156" s="354">
        <v>0.05</v>
      </c>
      <c r="AI2156" s="354">
        <v>1.1599999999999999</v>
      </c>
      <c r="AJ2156" s="354">
        <v>1.33</v>
      </c>
      <c r="AK2156" s="319">
        <v>1.41</v>
      </c>
      <c r="AL2156" s="319">
        <v>1.83</v>
      </c>
      <c r="AM2156" s="17">
        <f t="shared" si="116"/>
        <v>3.24</v>
      </c>
      <c r="AN2156" s="320" t="s">
        <v>1233</v>
      </c>
      <c r="AO2156" s="320" t="s">
        <v>1650</v>
      </c>
      <c r="AP2156" s="320" t="s">
        <v>7016</v>
      </c>
    </row>
    <row r="2157" spans="1:42" s="320" customFormat="1" hidden="1" x14ac:dyDescent="0.3">
      <c r="A2157" s="353" t="s">
        <v>1450</v>
      </c>
      <c r="B2157" s="320" t="s">
        <v>6881</v>
      </c>
      <c r="C2157" s="320" t="s">
        <v>6883</v>
      </c>
      <c r="D2157" s="320" t="s">
        <v>6884</v>
      </c>
      <c r="E2157" s="320" t="s">
        <v>6885</v>
      </c>
      <c r="F2157" s="320" t="s">
        <v>6886</v>
      </c>
      <c r="G2157" s="320" t="s">
        <v>7008</v>
      </c>
      <c r="H2157" s="320" t="s">
        <v>7009</v>
      </c>
      <c r="I2157" s="320" t="s">
        <v>7017</v>
      </c>
      <c r="J2157" s="320" t="s">
        <v>7018</v>
      </c>
      <c r="K2157" s="320" t="s">
        <v>7019</v>
      </c>
      <c r="L2157" s="320" t="s">
        <v>7020</v>
      </c>
      <c r="M2157" s="320" t="s">
        <v>7021</v>
      </c>
      <c r="N2157" s="275" t="s">
        <v>7022</v>
      </c>
      <c r="O2157" s="275" t="s">
        <v>271</v>
      </c>
      <c r="P2157" s="275" t="s">
        <v>4939</v>
      </c>
      <c r="Q2157" s="275" t="s">
        <v>4939</v>
      </c>
      <c r="R2157" s="275" t="s">
        <v>4939</v>
      </c>
      <c r="S2157" s="275" t="s">
        <v>4939</v>
      </c>
      <c r="T2157" s="320" t="s">
        <v>7023</v>
      </c>
      <c r="U2157" s="283" t="e">
        <v>#N/A</v>
      </c>
      <c r="AC2157" s="316">
        <v>0</v>
      </c>
      <c r="AD2157" s="316">
        <v>0</v>
      </c>
      <c r="AE2157" s="302">
        <f t="shared" si="115"/>
        <v>0</v>
      </c>
      <c r="AF2157" s="278"/>
      <c r="AG2157" s="17">
        <v>0</v>
      </c>
      <c r="AH2157" s="278"/>
      <c r="AI2157" s="278"/>
      <c r="AJ2157" s="278"/>
      <c r="AK2157" s="279"/>
      <c r="AL2157" s="279"/>
      <c r="AM2157" s="17">
        <f t="shared" si="116"/>
        <v>0</v>
      </c>
    </row>
    <row r="2158" spans="1:42" s="320" customFormat="1" hidden="1" x14ac:dyDescent="0.3">
      <c r="A2158" s="353" t="s">
        <v>1450</v>
      </c>
      <c r="B2158" s="320" t="s">
        <v>6881</v>
      </c>
      <c r="C2158" s="320" t="s">
        <v>6883</v>
      </c>
      <c r="D2158" s="320" t="s">
        <v>6884</v>
      </c>
      <c r="E2158" s="320" t="s">
        <v>6885</v>
      </c>
      <c r="F2158" s="320" t="s">
        <v>6886</v>
      </c>
      <c r="G2158" s="320" t="s">
        <v>7008</v>
      </c>
      <c r="H2158" s="320" t="s">
        <v>7009</v>
      </c>
      <c r="I2158" s="320" t="s">
        <v>7017</v>
      </c>
      <c r="J2158" s="320" t="s">
        <v>7018</v>
      </c>
      <c r="K2158" s="320" t="s">
        <v>7019</v>
      </c>
      <c r="L2158" s="320" t="s">
        <v>7020</v>
      </c>
      <c r="M2158" s="320" t="s">
        <v>7024</v>
      </c>
      <c r="N2158" s="275" t="s">
        <v>7022</v>
      </c>
      <c r="O2158" s="275" t="s">
        <v>271</v>
      </c>
      <c r="P2158" s="275" t="s">
        <v>271</v>
      </c>
      <c r="Q2158" s="275">
        <v>50</v>
      </c>
      <c r="R2158" s="275">
        <v>50</v>
      </c>
      <c r="S2158" s="275">
        <v>70</v>
      </c>
      <c r="T2158" s="320" t="s">
        <v>7023</v>
      </c>
      <c r="U2158" s="283" t="e">
        <v>#N/A</v>
      </c>
      <c r="AC2158" s="316">
        <v>0</v>
      </c>
      <c r="AD2158" s="316">
        <v>0</v>
      </c>
      <c r="AE2158" s="302">
        <f t="shared" si="115"/>
        <v>0</v>
      </c>
      <c r="AF2158" s="278"/>
      <c r="AG2158" s="17">
        <v>0</v>
      </c>
      <c r="AH2158" s="278"/>
      <c r="AI2158" s="278"/>
      <c r="AJ2158" s="278"/>
      <c r="AK2158" s="279"/>
      <c r="AL2158" s="279"/>
      <c r="AM2158" s="17">
        <f t="shared" si="116"/>
        <v>0</v>
      </c>
    </row>
    <row r="2159" spans="1:42" s="320" customFormat="1" hidden="1" x14ac:dyDescent="0.3">
      <c r="A2159" s="353" t="s">
        <v>1450</v>
      </c>
      <c r="B2159" s="320" t="s">
        <v>6881</v>
      </c>
      <c r="C2159" s="320" t="s">
        <v>6883</v>
      </c>
      <c r="D2159" s="320" t="s">
        <v>6884</v>
      </c>
      <c r="E2159" s="320" t="s">
        <v>6885</v>
      </c>
      <c r="F2159" s="320" t="s">
        <v>6886</v>
      </c>
      <c r="G2159" s="320" t="s">
        <v>7008</v>
      </c>
      <c r="H2159" s="320" t="s">
        <v>7009</v>
      </c>
      <c r="I2159" s="320" t="s">
        <v>7017</v>
      </c>
      <c r="J2159" s="320" t="s">
        <v>7018</v>
      </c>
      <c r="K2159" s="320" t="s">
        <v>7025</v>
      </c>
      <c r="L2159" s="320" t="s">
        <v>7026</v>
      </c>
      <c r="M2159" s="320" t="s">
        <v>7027</v>
      </c>
      <c r="N2159" s="275">
        <v>106</v>
      </c>
      <c r="O2159" s="275">
        <v>105</v>
      </c>
      <c r="P2159" s="275">
        <v>104</v>
      </c>
      <c r="Q2159" s="275">
        <v>103</v>
      </c>
      <c r="R2159" s="275">
        <v>101</v>
      </c>
      <c r="S2159" s="275">
        <v>100</v>
      </c>
      <c r="U2159" s="283" t="e">
        <v>#N/A</v>
      </c>
      <c r="AC2159" s="316">
        <v>0</v>
      </c>
      <c r="AD2159" s="316">
        <v>0</v>
      </c>
      <c r="AE2159" s="302">
        <f t="shared" si="115"/>
        <v>0</v>
      </c>
      <c r="AF2159" s="278"/>
      <c r="AG2159" s="17">
        <v>0</v>
      </c>
      <c r="AH2159" s="278"/>
      <c r="AI2159" s="278"/>
      <c r="AJ2159" s="278"/>
      <c r="AK2159" s="279"/>
      <c r="AL2159" s="279"/>
      <c r="AM2159" s="17">
        <f t="shared" si="116"/>
        <v>0</v>
      </c>
    </row>
    <row r="2160" spans="1:42" s="320" customFormat="1" hidden="1" x14ac:dyDescent="0.3">
      <c r="A2160" s="353" t="s">
        <v>1450</v>
      </c>
      <c r="B2160" s="320" t="s">
        <v>6881</v>
      </c>
      <c r="C2160" s="320" t="s">
        <v>7028</v>
      </c>
      <c r="D2160" s="320" t="s">
        <v>7029</v>
      </c>
      <c r="E2160" s="320" t="s">
        <v>7030</v>
      </c>
      <c r="F2160" s="320" t="s">
        <v>7031</v>
      </c>
      <c r="G2160" s="320" t="s">
        <v>7032</v>
      </c>
      <c r="H2160" s="320" t="s">
        <v>7033</v>
      </c>
      <c r="I2160" s="320" t="s">
        <v>7034</v>
      </c>
      <c r="J2160" s="320" t="s">
        <v>7035</v>
      </c>
      <c r="K2160" s="320" t="s">
        <v>7036</v>
      </c>
      <c r="L2160" s="320" t="s">
        <v>7037</v>
      </c>
      <c r="M2160" s="320" t="s">
        <v>7038</v>
      </c>
      <c r="N2160" s="275">
        <v>0</v>
      </c>
      <c r="O2160" s="275">
        <v>20</v>
      </c>
      <c r="P2160" s="275">
        <v>40</v>
      </c>
      <c r="Q2160" s="275">
        <v>40</v>
      </c>
      <c r="R2160" s="275">
        <v>40</v>
      </c>
      <c r="S2160" s="275">
        <v>50</v>
      </c>
      <c r="T2160" s="320" t="s">
        <v>63</v>
      </c>
      <c r="U2160" s="283" t="s">
        <v>2510</v>
      </c>
      <c r="AC2160" s="316">
        <v>0</v>
      </c>
      <c r="AD2160" s="316">
        <v>0</v>
      </c>
      <c r="AE2160" s="302">
        <f t="shared" si="115"/>
        <v>0</v>
      </c>
      <c r="AF2160" s="278"/>
      <c r="AG2160" s="17">
        <v>0</v>
      </c>
      <c r="AH2160" s="278"/>
      <c r="AI2160" s="278"/>
      <c r="AJ2160" s="278"/>
      <c r="AK2160" s="279"/>
      <c r="AL2160" s="279"/>
      <c r="AM2160" s="17">
        <f t="shared" si="116"/>
        <v>0</v>
      </c>
    </row>
    <row r="2161" spans="1:42" s="320" customFormat="1" hidden="1" x14ac:dyDescent="0.3">
      <c r="A2161" s="353" t="s">
        <v>1450</v>
      </c>
      <c r="B2161" s="320" t="s">
        <v>6881</v>
      </c>
      <c r="C2161" s="320" t="s">
        <v>7028</v>
      </c>
      <c r="D2161" s="320" t="s">
        <v>7029</v>
      </c>
      <c r="E2161" s="320" t="s">
        <v>7030</v>
      </c>
      <c r="F2161" s="320" t="s">
        <v>7031</v>
      </c>
      <c r="G2161" s="320" t="s">
        <v>7032</v>
      </c>
      <c r="H2161" s="320" t="s">
        <v>7033</v>
      </c>
      <c r="I2161" s="320" t="s">
        <v>7039</v>
      </c>
      <c r="J2161" s="320" t="s">
        <v>7040</v>
      </c>
      <c r="K2161" s="320" t="s">
        <v>7041</v>
      </c>
      <c r="L2161" s="320" t="s">
        <v>7042</v>
      </c>
      <c r="M2161" s="320" t="s">
        <v>7043</v>
      </c>
      <c r="N2161" s="275">
        <v>0</v>
      </c>
      <c r="O2161" s="275">
        <v>20</v>
      </c>
      <c r="P2161" s="275">
        <v>50</v>
      </c>
      <c r="Q2161" s="275">
        <v>100</v>
      </c>
      <c r="R2161" s="275">
        <v>100</v>
      </c>
      <c r="S2161" s="275">
        <v>100</v>
      </c>
      <c r="T2161" s="320" t="s">
        <v>2528</v>
      </c>
      <c r="U2161" s="283" t="s">
        <v>2530</v>
      </c>
      <c r="AC2161" s="316">
        <v>0</v>
      </c>
      <c r="AD2161" s="316">
        <v>0</v>
      </c>
      <c r="AE2161" s="302">
        <f t="shared" si="115"/>
        <v>0</v>
      </c>
      <c r="AF2161" s="278"/>
      <c r="AG2161" s="17">
        <v>0</v>
      </c>
      <c r="AH2161" s="278"/>
      <c r="AI2161" s="278"/>
      <c r="AJ2161" s="278"/>
      <c r="AK2161" s="279"/>
      <c r="AL2161" s="279"/>
      <c r="AM2161" s="17">
        <f t="shared" si="116"/>
        <v>0</v>
      </c>
    </row>
    <row r="2162" spans="1:42" s="320" customFormat="1" hidden="1" x14ac:dyDescent="0.3">
      <c r="A2162" s="353" t="s">
        <v>1450</v>
      </c>
      <c r="B2162" s="320" t="s">
        <v>6881</v>
      </c>
      <c r="C2162" s="320" t="s">
        <v>7028</v>
      </c>
      <c r="D2162" s="320" t="s">
        <v>7029</v>
      </c>
      <c r="E2162" s="320" t="s">
        <v>7030</v>
      </c>
      <c r="F2162" s="320" t="s">
        <v>7031</v>
      </c>
      <c r="G2162" s="320" t="s">
        <v>7032</v>
      </c>
      <c r="H2162" s="320" t="s">
        <v>7033</v>
      </c>
      <c r="I2162" s="320" t="s">
        <v>7044</v>
      </c>
      <c r="J2162" s="320" t="s">
        <v>7045</v>
      </c>
      <c r="K2162" s="320" t="s">
        <v>7046</v>
      </c>
      <c r="L2162" s="320" t="s">
        <v>7047</v>
      </c>
      <c r="M2162" s="320" t="s">
        <v>7048</v>
      </c>
      <c r="N2162" s="275">
        <v>0</v>
      </c>
      <c r="O2162" s="275">
        <v>20</v>
      </c>
      <c r="P2162" s="275">
        <v>40</v>
      </c>
      <c r="Q2162" s="275">
        <v>60</v>
      </c>
      <c r="R2162" s="275">
        <v>80</v>
      </c>
      <c r="S2162" s="275">
        <v>100</v>
      </c>
      <c r="T2162" s="320" t="s">
        <v>63</v>
      </c>
      <c r="U2162" s="283" t="s">
        <v>2510</v>
      </c>
      <c r="V2162" s="320" t="s">
        <v>7049</v>
      </c>
      <c r="W2162" s="320">
        <v>1</v>
      </c>
      <c r="X2162" s="320">
        <v>1</v>
      </c>
      <c r="Y2162" s="320">
        <v>0</v>
      </c>
      <c r="Z2162" s="320">
        <v>0</v>
      </c>
      <c r="AA2162" s="320">
        <v>0</v>
      </c>
      <c r="AB2162" s="320">
        <v>1</v>
      </c>
      <c r="AC2162" s="316">
        <v>0</v>
      </c>
      <c r="AD2162" s="316">
        <v>1</v>
      </c>
      <c r="AE2162" s="302">
        <f t="shared" si="115"/>
        <v>0.5</v>
      </c>
      <c r="AF2162" s="354"/>
      <c r="AG2162" s="17">
        <v>0</v>
      </c>
      <c r="AH2162" s="354">
        <v>0</v>
      </c>
      <c r="AI2162" s="354">
        <v>2</v>
      </c>
      <c r="AJ2162" s="354">
        <v>12</v>
      </c>
      <c r="AK2162" s="319"/>
      <c r="AL2162" s="319"/>
      <c r="AM2162" s="17">
        <f t="shared" si="116"/>
        <v>0</v>
      </c>
      <c r="AN2162" s="320" t="s">
        <v>2520</v>
      </c>
      <c r="AO2162" s="320" t="s">
        <v>2510</v>
      </c>
      <c r="AP2162" s="320" t="s">
        <v>7050</v>
      </c>
    </row>
    <row r="2163" spans="1:42" s="320" customFormat="1" x14ac:dyDescent="0.3">
      <c r="A2163" s="353" t="s">
        <v>1450</v>
      </c>
      <c r="B2163" s="320" t="s">
        <v>6881</v>
      </c>
      <c r="C2163" s="320" t="s">
        <v>7028</v>
      </c>
      <c r="D2163" s="320" t="s">
        <v>7029</v>
      </c>
      <c r="E2163" s="320" t="s">
        <v>7030</v>
      </c>
      <c r="F2163" s="320" t="s">
        <v>7031</v>
      </c>
      <c r="G2163" s="320" t="s">
        <v>7032</v>
      </c>
      <c r="H2163" s="320" t="s">
        <v>7033</v>
      </c>
      <c r="I2163" s="320" t="s">
        <v>7044</v>
      </c>
      <c r="J2163" s="320" t="s">
        <v>7045</v>
      </c>
      <c r="K2163" s="320" t="s">
        <v>7046</v>
      </c>
      <c r="L2163" s="320" t="s">
        <v>7047</v>
      </c>
      <c r="M2163" s="320" t="s">
        <v>7051</v>
      </c>
      <c r="N2163" s="275"/>
      <c r="O2163" s="275"/>
      <c r="P2163" s="275"/>
      <c r="Q2163" s="275">
        <v>2</v>
      </c>
      <c r="R2163" s="275">
        <v>2</v>
      </c>
      <c r="S2163" s="275">
        <v>4</v>
      </c>
      <c r="U2163" s="283" t="e">
        <v>#N/A</v>
      </c>
      <c r="V2163" s="320" t="s">
        <v>7052</v>
      </c>
      <c r="W2163" s="320">
        <v>1</v>
      </c>
      <c r="X2163" s="320">
        <v>1</v>
      </c>
      <c r="Y2163" s="320">
        <v>1</v>
      </c>
      <c r="Z2163" s="320">
        <v>1</v>
      </c>
      <c r="AA2163" s="320">
        <v>0</v>
      </c>
      <c r="AB2163" s="320">
        <v>1</v>
      </c>
      <c r="AC2163" s="316">
        <v>1</v>
      </c>
      <c r="AD2163" s="316">
        <v>1</v>
      </c>
      <c r="AE2163" s="302">
        <f t="shared" si="115"/>
        <v>0.875</v>
      </c>
      <c r="AF2163" s="354"/>
      <c r="AG2163" s="17">
        <v>0</v>
      </c>
      <c r="AH2163" s="354" t="s">
        <v>271</v>
      </c>
      <c r="AI2163" s="354" t="s">
        <v>271</v>
      </c>
      <c r="AJ2163" s="354">
        <v>0.2</v>
      </c>
      <c r="AK2163" s="319">
        <v>0.2</v>
      </c>
      <c r="AL2163" s="319">
        <v>0.04</v>
      </c>
      <c r="AM2163" s="17">
        <f t="shared" si="116"/>
        <v>0.24000000000000002</v>
      </c>
      <c r="AN2163" s="320" t="s">
        <v>1216</v>
      </c>
      <c r="AO2163" s="14" t="s">
        <v>1218</v>
      </c>
      <c r="AP2163" s="320" t="s">
        <v>7053</v>
      </c>
    </row>
    <row r="2164" spans="1:42" s="320" customFormat="1" x14ac:dyDescent="0.3">
      <c r="A2164" s="353" t="s">
        <v>1450</v>
      </c>
      <c r="B2164" s="320" t="s">
        <v>6881</v>
      </c>
      <c r="C2164" s="320" t="s">
        <v>7028</v>
      </c>
      <c r="D2164" s="320" t="s">
        <v>7029</v>
      </c>
      <c r="E2164" s="320" t="s">
        <v>7030</v>
      </c>
      <c r="F2164" s="320" t="s">
        <v>7031</v>
      </c>
      <c r="G2164" s="320" t="s">
        <v>7032</v>
      </c>
      <c r="H2164" s="320" t="s">
        <v>7033</v>
      </c>
      <c r="I2164" s="320" t="s">
        <v>7054</v>
      </c>
      <c r="J2164" s="320" t="s">
        <v>7055</v>
      </c>
      <c r="K2164" s="320" t="s">
        <v>7056</v>
      </c>
      <c r="L2164" s="320" t="s">
        <v>7057</v>
      </c>
      <c r="M2164" s="320" t="s">
        <v>7058</v>
      </c>
      <c r="N2164" s="275">
        <v>765</v>
      </c>
      <c r="O2164" s="275">
        <v>810</v>
      </c>
      <c r="P2164" s="275">
        <v>840</v>
      </c>
      <c r="Q2164" s="275">
        <v>870</v>
      </c>
      <c r="R2164" s="275">
        <f>Q2164+200</f>
        <v>1070</v>
      </c>
      <c r="S2164" s="275">
        <v>1375</v>
      </c>
      <c r="T2164" s="320" t="s">
        <v>2528</v>
      </c>
      <c r="U2164" s="283" t="s">
        <v>2530</v>
      </c>
      <c r="V2164" s="320" t="s">
        <v>7059</v>
      </c>
      <c r="W2164" s="320">
        <v>1</v>
      </c>
      <c r="X2164" s="320">
        <v>1</v>
      </c>
      <c r="Y2164" s="320">
        <v>1</v>
      </c>
      <c r="Z2164" s="320">
        <v>0</v>
      </c>
      <c r="AA2164" s="320">
        <v>1</v>
      </c>
      <c r="AB2164" s="320">
        <v>1</v>
      </c>
      <c r="AC2164" s="316">
        <v>0</v>
      </c>
      <c r="AD2164" s="316">
        <v>1</v>
      </c>
      <c r="AE2164" s="302">
        <f t="shared" si="115"/>
        <v>0.75</v>
      </c>
      <c r="AF2164" s="354"/>
      <c r="AG2164" s="17">
        <v>0</v>
      </c>
      <c r="AH2164" s="354">
        <v>0</v>
      </c>
      <c r="AI2164" s="354">
        <v>37</v>
      </c>
      <c r="AJ2164" s="354">
        <v>37</v>
      </c>
      <c r="AK2164" s="319">
        <v>0</v>
      </c>
      <c r="AL2164" s="319">
        <v>0</v>
      </c>
      <c r="AM2164" s="17">
        <f t="shared" si="116"/>
        <v>0</v>
      </c>
      <c r="AN2164" s="320" t="s">
        <v>2528</v>
      </c>
      <c r="AO2164" s="14" t="s">
        <v>2530</v>
      </c>
      <c r="AP2164" s="320" t="s">
        <v>7060</v>
      </c>
    </row>
    <row r="2165" spans="1:42" s="320" customFormat="1" hidden="1" x14ac:dyDescent="0.3">
      <c r="A2165" s="353" t="s">
        <v>1450</v>
      </c>
      <c r="B2165" s="320" t="s">
        <v>6881</v>
      </c>
      <c r="C2165" s="320" t="s">
        <v>7028</v>
      </c>
      <c r="D2165" s="320" t="s">
        <v>7029</v>
      </c>
      <c r="E2165" s="320" t="s">
        <v>7030</v>
      </c>
      <c r="F2165" s="320" t="s">
        <v>7031</v>
      </c>
      <c r="G2165" s="320" t="s">
        <v>7032</v>
      </c>
      <c r="H2165" s="320" t="s">
        <v>7033</v>
      </c>
      <c r="I2165" s="320" t="s">
        <v>7061</v>
      </c>
      <c r="J2165" s="320" t="s">
        <v>7062</v>
      </c>
      <c r="K2165" s="320" t="s">
        <v>7063</v>
      </c>
      <c r="L2165" s="320" t="s">
        <v>7064</v>
      </c>
      <c r="M2165" s="320" t="s">
        <v>7065</v>
      </c>
      <c r="N2165" s="275">
        <v>5</v>
      </c>
      <c r="O2165" s="275">
        <v>0</v>
      </c>
      <c r="P2165" s="275">
        <v>0</v>
      </c>
      <c r="Q2165" s="275">
        <v>5</v>
      </c>
      <c r="R2165" s="275">
        <v>7</v>
      </c>
      <c r="S2165" s="275">
        <v>10</v>
      </c>
      <c r="T2165" s="320" t="s">
        <v>6903</v>
      </c>
      <c r="U2165" s="283" t="e">
        <v>#N/A</v>
      </c>
      <c r="AC2165" s="316">
        <v>0</v>
      </c>
      <c r="AD2165" s="316">
        <v>0</v>
      </c>
      <c r="AE2165" s="302">
        <f t="shared" si="115"/>
        <v>0</v>
      </c>
      <c r="AF2165" s="278"/>
      <c r="AG2165" s="17">
        <v>0</v>
      </c>
      <c r="AH2165" s="278"/>
      <c r="AI2165" s="278"/>
      <c r="AJ2165" s="278"/>
      <c r="AK2165" s="279"/>
      <c r="AL2165" s="279"/>
      <c r="AM2165" s="17">
        <f t="shared" si="116"/>
        <v>0</v>
      </c>
    </row>
    <row r="2166" spans="1:42" s="320" customFormat="1" x14ac:dyDescent="0.3">
      <c r="A2166" s="353" t="s">
        <v>1450</v>
      </c>
      <c r="B2166" s="320" t="s">
        <v>6881</v>
      </c>
      <c r="C2166" s="320" t="s">
        <v>7028</v>
      </c>
      <c r="D2166" s="320" t="s">
        <v>7029</v>
      </c>
      <c r="E2166" s="320" t="s">
        <v>7030</v>
      </c>
      <c r="F2166" s="320" t="s">
        <v>7031</v>
      </c>
      <c r="G2166" s="320" t="s">
        <v>7032</v>
      </c>
      <c r="H2166" s="320" t="s">
        <v>7033</v>
      </c>
      <c r="I2166" s="320" t="s">
        <v>7066</v>
      </c>
      <c r="J2166" s="320" t="s">
        <v>7067</v>
      </c>
      <c r="K2166" s="320" t="s">
        <v>7068</v>
      </c>
      <c r="L2166" s="320" t="s">
        <v>7069</v>
      </c>
      <c r="M2166" s="320" t="s">
        <v>7070</v>
      </c>
      <c r="N2166" s="275">
        <v>2000</v>
      </c>
      <c r="O2166" s="275">
        <v>2100</v>
      </c>
      <c r="P2166" s="275">
        <v>2100</v>
      </c>
      <c r="Q2166" s="275">
        <v>2200</v>
      </c>
      <c r="R2166" s="275">
        <v>2200</v>
      </c>
      <c r="S2166" s="275">
        <v>2300</v>
      </c>
      <c r="T2166" s="320" t="s">
        <v>7071</v>
      </c>
      <c r="U2166" s="283" t="e">
        <v>#N/A</v>
      </c>
      <c r="V2166" s="320" t="s">
        <v>7072</v>
      </c>
      <c r="W2166" s="320">
        <v>1</v>
      </c>
      <c r="X2166" s="320">
        <v>1</v>
      </c>
      <c r="Y2166" s="320">
        <v>1</v>
      </c>
      <c r="Z2166" s="320">
        <v>1</v>
      </c>
      <c r="AA2166" s="320">
        <v>1</v>
      </c>
      <c r="AB2166" s="320">
        <v>1</v>
      </c>
      <c r="AC2166" s="316">
        <v>0</v>
      </c>
      <c r="AD2166" s="316">
        <v>1</v>
      </c>
      <c r="AE2166" s="302">
        <f t="shared" si="115"/>
        <v>0.875</v>
      </c>
      <c r="AF2166" s="354"/>
      <c r="AG2166" s="17">
        <v>0</v>
      </c>
      <c r="AH2166" s="354">
        <v>2</v>
      </c>
      <c r="AI2166" s="354">
        <v>2.1</v>
      </c>
      <c r="AJ2166" s="354">
        <v>2.2000000000000002</v>
      </c>
      <c r="AK2166" s="319">
        <v>2.2000000000000002</v>
      </c>
      <c r="AL2166" s="319">
        <v>2.2999999999999998</v>
      </c>
      <c r="AM2166" s="17">
        <f t="shared" si="116"/>
        <v>4.5</v>
      </c>
      <c r="AN2166" s="320" t="s">
        <v>7073</v>
      </c>
      <c r="AO2166" s="320" t="s">
        <v>6901</v>
      </c>
      <c r="AP2166" s="320" t="s">
        <v>7074</v>
      </c>
    </row>
    <row r="2167" spans="1:42" s="320" customFormat="1" hidden="1" x14ac:dyDescent="0.3">
      <c r="A2167" s="353" t="s">
        <v>1450</v>
      </c>
      <c r="B2167" s="320" t="s">
        <v>6881</v>
      </c>
      <c r="C2167" s="320" t="s">
        <v>7028</v>
      </c>
      <c r="D2167" s="320" t="s">
        <v>7029</v>
      </c>
      <c r="E2167" s="320" t="s">
        <v>7030</v>
      </c>
      <c r="F2167" s="320" t="s">
        <v>7031</v>
      </c>
      <c r="G2167" s="320" t="s">
        <v>7032</v>
      </c>
      <c r="H2167" s="320" t="s">
        <v>7033</v>
      </c>
      <c r="I2167" s="320" t="s">
        <v>7075</v>
      </c>
      <c r="J2167" s="320" t="s">
        <v>7076</v>
      </c>
      <c r="K2167" s="320" t="s">
        <v>7077</v>
      </c>
      <c r="L2167" s="320" t="s">
        <v>7078</v>
      </c>
      <c r="M2167" s="320" t="s">
        <v>7079</v>
      </c>
      <c r="N2167" s="275"/>
      <c r="O2167" s="275">
        <v>2</v>
      </c>
      <c r="P2167" s="275">
        <v>3</v>
      </c>
      <c r="Q2167" s="275">
        <v>3</v>
      </c>
      <c r="R2167" s="275">
        <v>4</v>
      </c>
      <c r="S2167" s="275">
        <v>4</v>
      </c>
      <c r="T2167" s="320" t="s">
        <v>63</v>
      </c>
      <c r="U2167" s="283" t="s">
        <v>2510</v>
      </c>
      <c r="V2167" s="320" t="s">
        <v>7080</v>
      </c>
      <c r="W2167" s="320">
        <v>1</v>
      </c>
      <c r="X2167" s="320">
        <v>1</v>
      </c>
      <c r="Y2167" s="320">
        <v>1</v>
      </c>
      <c r="Z2167" s="320">
        <v>0</v>
      </c>
      <c r="AA2167" s="320">
        <v>0</v>
      </c>
      <c r="AB2167" s="320">
        <v>0</v>
      </c>
      <c r="AC2167" s="316">
        <v>0</v>
      </c>
      <c r="AD2167" s="316">
        <v>1</v>
      </c>
      <c r="AE2167" s="302">
        <f t="shared" si="115"/>
        <v>0.5</v>
      </c>
      <c r="AF2167" s="354"/>
      <c r="AG2167" s="17">
        <v>0</v>
      </c>
      <c r="AH2167" s="354">
        <v>0</v>
      </c>
      <c r="AI2167" s="354">
        <v>4</v>
      </c>
      <c r="AJ2167" s="354">
        <v>6</v>
      </c>
      <c r="AK2167" s="319"/>
      <c r="AL2167" s="319"/>
      <c r="AM2167" s="17">
        <f t="shared" si="116"/>
        <v>0</v>
      </c>
      <c r="AN2167" s="320" t="s">
        <v>63</v>
      </c>
      <c r="AO2167" s="320" t="s">
        <v>2510</v>
      </c>
      <c r="AP2167" s="320" t="s">
        <v>7081</v>
      </c>
    </row>
    <row r="2168" spans="1:42" s="320" customFormat="1" hidden="1" x14ac:dyDescent="0.3">
      <c r="A2168" s="353" t="s">
        <v>1450</v>
      </c>
      <c r="B2168" s="320" t="s">
        <v>6881</v>
      </c>
      <c r="C2168" s="320" t="s">
        <v>7028</v>
      </c>
      <c r="D2168" s="320" t="s">
        <v>7029</v>
      </c>
      <c r="E2168" s="320" t="s">
        <v>7030</v>
      </c>
      <c r="F2168" s="320" t="s">
        <v>7031</v>
      </c>
      <c r="G2168" s="320" t="s">
        <v>7032</v>
      </c>
      <c r="H2168" s="320" t="s">
        <v>7033</v>
      </c>
      <c r="I2168" s="320" t="s">
        <v>7075</v>
      </c>
      <c r="J2168" s="320" t="s">
        <v>7076</v>
      </c>
      <c r="K2168" s="320" t="s">
        <v>7077</v>
      </c>
      <c r="L2168" s="320" t="s">
        <v>7078</v>
      </c>
      <c r="M2168" s="320" t="s">
        <v>7082</v>
      </c>
      <c r="N2168" s="189">
        <v>2</v>
      </c>
      <c r="O2168" s="189">
        <v>3</v>
      </c>
      <c r="P2168" s="189">
        <v>4</v>
      </c>
      <c r="Q2168" s="189">
        <v>5</v>
      </c>
      <c r="R2168" s="189">
        <v>6</v>
      </c>
      <c r="S2168" s="189">
        <v>7</v>
      </c>
      <c r="T2168" s="320" t="s">
        <v>6903</v>
      </c>
      <c r="U2168" s="283" t="e">
        <v>#N/A</v>
      </c>
      <c r="AC2168" s="316">
        <v>0</v>
      </c>
      <c r="AD2168" s="316">
        <v>0</v>
      </c>
      <c r="AE2168" s="302">
        <f t="shared" si="115"/>
        <v>0</v>
      </c>
      <c r="AF2168" s="278"/>
      <c r="AG2168" s="17">
        <v>0</v>
      </c>
      <c r="AH2168" s="278"/>
      <c r="AI2168" s="278"/>
      <c r="AJ2168" s="278"/>
      <c r="AK2168" s="279"/>
      <c r="AL2168" s="279"/>
      <c r="AM2168" s="17">
        <f t="shared" si="116"/>
        <v>0</v>
      </c>
    </row>
    <row r="2169" spans="1:42" s="320" customFormat="1" x14ac:dyDescent="0.3">
      <c r="A2169" s="353" t="s">
        <v>1450</v>
      </c>
      <c r="B2169" s="320" t="s">
        <v>6881</v>
      </c>
      <c r="C2169" s="320" t="s">
        <v>7028</v>
      </c>
      <c r="D2169" s="320" t="s">
        <v>7029</v>
      </c>
      <c r="E2169" s="320" t="s">
        <v>7030</v>
      </c>
      <c r="F2169" s="320" t="s">
        <v>7031</v>
      </c>
      <c r="G2169" s="320" t="s">
        <v>7032</v>
      </c>
      <c r="H2169" s="320" t="s">
        <v>7033</v>
      </c>
      <c r="I2169" s="320" t="s">
        <v>7083</v>
      </c>
      <c r="J2169" s="320" t="s">
        <v>7084</v>
      </c>
      <c r="K2169" s="320" t="s">
        <v>7085</v>
      </c>
      <c r="L2169" s="320" t="s">
        <v>7086</v>
      </c>
      <c r="M2169" s="320" t="s">
        <v>7087</v>
      </c>
      <c r="N2169" s="275" t="s">
        <v>271</v>
      </c>
      <c r="O2169" s="275" t="s">
        <v>271</v>
      </c>
      <c r="P2169" s="275" t="s">
        <v>271</v>
      </c>
      <c r="Q2169" s="275" t="s">
        <v>271</v>
      </c>
      <c r="R2169" s="275" t="s">
        <v>271</v>
      </c>
      <c r="S2169" s="275">
        <v>114</v>
      </c>
      <c r="T2169" s="320" t="s">
        <v>2528</v>
      </c>
      <c r="U2169" s="283" t="s">
        <v>2530</v>
      </c>
      <c r="V2169" s="320" t="s">
        <v>7088</v>
      </c>
      <c r="W2169" s="320">
        <v>1</v>
      </c>
      <c r="X2169" s="320">
        <v>1</v>
      </c>
      <c r="Y2169" s="320">
        <v>1</v>
      </c>
      <c r="Z2169" s="320">
        <v>0</v>
      </c>
      <c r="AA2169" s="320">
        <v>1</v>
      </c>
      <c r="AB2169" s="320">
        <v>1</v>
      </c>
      <c r="AC2169" s="316">
        <v>0</v>
      </c>
      <c r="AD2169" s="316">
        <v>1</v>
      </c>
      <c r="AE2169" s="302">
        <f t="shared" si="115"/>
        <v>0.75</v>
      </c>
      <c r="AF2169" s="354"/>
      <c r="AG2169" s="17">
        <v>0</v>
      </c>
      <c r="AH2169" s="354">
        <v>0</v>
      </c>
      <c r="AI2169" s="354">
        <v>0</v>
      </c>
      <c r="AJ2169" s="354">
        <v>25.9</v>
      </c>
      <c r="AK2169" s="319">
        <v>5</v>
      </c>
      <c r="AL2169" s="319">
        <v>50</v>
      </c>
      <c r="AM2169" s="17">
        <f t="shared" si="116"/>
        <v>55</v>
      </c>
      <c r="AN2169" s="320" t="s">
        <v>2528</v>
      </c>
      <c r="AO2169" s="320" t="s">
        <v>2530</v>
      </c>
      <c r="AP2169" s="320" t="s">
        <v>75</v>
      </c>
    </row>
    <row r="2170" spans="1:42" s="320" customFormat="1" x14ac:dyDescent="0.3">
      <c r="A2170" s="353" t="s">
        <v>1450</v>
      </c>
      <c r="B2170" s="320" t="s">
        <v>6881</v>
      </c>
      <c r="C2170" s="320" t="s">
        <v>7028</v>
      </c>
      <c r="D2170" s="320" t="s">
        <v>7029</v>
      </c>
      <c r="E2170" s="320" t="s">
        <v>7030</v>
      </c>
      <c r="F2170" s="320" t="s">
        <v>7031</v>
      </c>
      <c r="G2170" s="320" t="s">
        <v>7032</v>
      </c>
      <c r="H2170" s="320" t="s">
        <v>7033</v>
      </c>
      <c r="I2170" s="320" t="s">
        <v>7083</v>
      </c>
      <c r="J2170" s="320" t="s">
        <v>7084</v>
      </c>
      <c r="K2170" s="320" t="s">
        <v>7085</v>
      </c>
      <c r="L2170" s="320" t="s">
        <v>7086</v>
      </c>
      <c r="N2170" s="275" t="s">
        <v>271</v>
      </c>
      <c r="O2170" s="275" t="s">
        <v>271</v>
      </c>
      <c r="P2170" s="275" t="s">
        <v>271</v>
      </c>
      <c r="Q2170" s="275" t="s">
        <v>271</v>
      </c>
      <c r="R2170" s="275" t="s">
        <v>271</v>
      </c>
      <c r="S2170" s="275">
        <v>10</v>
      </c>
      <c r="T2170" s="320" t="s">
        <v>2528</v>
      </c>
      <c r="U2170" s="283" t="s">
        <v>2530</v>
      </c>
      <c r="V2170" s="320" t="s">
        <v>7089</v>
      </c>
      <c r="W2170" s="320">
        <v>1</v>
      </c>
      <c r="X2170" s="320">
        <v>1</v>
      </c>
      <c r="Y2170" s="320">
        <v>1</v>
      </c>
      <c r="Z2170" s="320">
        <v>0</v>
      </c>
      <c r="AA2170" s="320">
        <v>1</v>
      </c>
      <c r="AB2170" s="320">
        <v>1</v>
      </c>
      <c r="AC2170" s="316">
        <v>0</v>
      </c>
      <c r="AD2170" s="316">
        <v>1</v>
      </c>
      <c r="AE2170" s="302">
        <f t="shared" si="115"/>
        <v>0.75</v>
      </c>
      <c r="AF2170" s="354"/>
      <c r="AG2170" s="17">
        <v>0</v>
      </c>
      <c r="AH2170" s="354">
        <v>0</v>
      </c>
      <c r="AI2170" s="354">
        <v>0</v>
      </c>
      <c r="AJ2170" s="354">
        <v>29.6</v>
      </c>
      <c r="AK2170" s="319"/>
      <c r="AL2170" s="319"/>
      <c r="AM2170" s="17">
        <f t="shared" si="116"/>
        <v>0</v>
      </c>
      <c r="AN2170" s="320" t="s">
        <v>2528</v>
      </c>
      <c r="AO2170" s="320" t="s">
        <v>2530</v>
      </c>
      <c r="AP2170" s="320" t="s">
        <v>7090</v>
      </c>
    </row>
    <row r="2171" spans="1:42" s="320" customFormat="1" hidden="1" x14ac:dyDescent="0.3">
      <c r="A2171" s="353" t="s">
        <v>1450</v>
      </c>
      <c r="B2171" s="320" t="s">
        <v>6881</v>
      </c>
      <c r="C2171" s="320" t="s">
        <v>7028</v>
      </c>
      <c r="D2171" s="320" t="s">
        <v>7029</v>
      </c>
      <c r="E2171" s="320" t="s">
        <v>7030</v>
      </c>
      <c r="F2171" s="320" t="s">
        <v>7031</v>
      </c>
      <c r="G2171" s="320" t="s">
        <v>7032</v>
      </c>
      <c r="H2171" s="320" t="s">
        <v>7033</v>
      </c>
      <c r="I2171" s="320" t="s">
        <v>7083</v>
      </c>
      <c r="J2171" s="320" t="s">
        <v>7084</v>
      </c>
      <c r="K2171" s="320" t="s">
        <v>7085</v>
      </c>
      <c r="L2171" s="320" t="s">
        <v>7086</v>
      </c>
      <c r="N2171" s="275" t="s">
        <v>271</v>
      </c>
      <c r="O2171" s="275" t="s">
        <v>271</v>
      </c>
      <c r="P2171" s="275" t="s">
        <v>271</v>
      </c>
      <c r="Q2171" s="275" t="s">
        <v>271</v>
      </c>
      <c r="R2171" s="275" t="s">
        <v>271</v>
      </c>
      <c r="S2171" s="275">
        <v>37</v>
      </c>
      <c r="T2171" s="320" t="s">
        <v>2528</v>
      </c>
      <c r="U2171" s="283" t="s">
        <v>2530</v>
      </c>
      <c r="AC2171" s="316">
        <v>0</v>
      </c>
      <c r="AD2171" s="316">
        <v>0</v>
      </c>
      <c r="AE2171" s="302">
        <f t="shared" si="115"/>
        <v>0</v>
      </c>
      <c r="AF2171" s="278"/>
      <c r="AG2171" s="17">
        <v>0</v>
      </c>
      <c r="AH2171" s="278"/>
      <c r="AI2171" s="278"/>
      <c r="AJ2171" s="278"/>
      <c r="AK2171" s="279"/>
      <c r="AL2171" s="279"/>
      <c r="AM2171" s="17">
        <f t="shared" si="116"/>
        <v>0</v>
      </c>
    </row>
    <row r="2172" spans="1:42" s="320" customFormat="1" hidden="1" x14ac:dyDescent="0.3">
      <c r="A2172" s="353" t="s">
        <v>1450</v>
      </c>
      <c r="B2172" s="320" t="s">
        <v>6881</v>
      </c>
      <c r="C2172" s="320" t="s">
        <v>7028</v>
      </c>
      <c r="D2172" s="320" t="s">
        <v>7029</v>
      </c>
      <c r="E2172" s="320" t="s">
        <v>7030</v>
      </c>
      <c r="F2172" s="320" t="s">
        <v>7031</v>
      </c>
      <c r="G2172" s="320" t="s">
        <v>7032</v>
      </c>
      <c r="H2172" s="320" t="s">
        <v>7033</v>
      </c>
      <c r="I2172" s="320" t="s">
        <v>7083</v>
      </c>
      <c r="J2172" s="320" t="s">
        <v>7084</v>
      </c>
      <c r="K2172" s="320" t="s">
        <v>7085</v>
      </c>
      <c r="L2172" s="320" t="s">
        <v>7086</v>
      </c>
      <c r="N2172" s="275" t="s">
        <v>271</v>
      </c>
      <c r="O2172" s="275" t="s">
        <v>271</v>
      </c>
      <c r="P2172" s="275" t="s">
        <v>271</v>
      </c>
      <c r="Q2172" s="275" t="s">
        <v>271</v>
      </c>
      <c r="R2172" s="275" t="s">
        <v>271</v>
      </c>
      <c r="S2172" s="275">
        <v>40</v>
      </c>
      <c r="T2172" s="320" t="s">
        <v>2528</v>
      </c>
      <c r="U2172" s="283" t="s">
        <v>2530</v>
      </c>
      <c r="AC2172" s="316">
        <v>0</v>
      </c>
      <c r="AD2172" s="316">
        <v>0</v>
      </c>
      <c r="AE2172" s="302">
        <f t="shared" si="115"/>
        <v>0</v>
      </c>
      <c r="AF2172" s="278"/>
      <c r="AG2172" s="17">
        <v>0</v>
      </c>
      <c r="AH2172" s="278"/>
      <c r="AI2172" s="278"/>
      <c r="AJ2172" s="278"/>
      <c r="AK2172" s="279"/>
      <c r="AL2172" s="279"/>
      <c r="AM2172" s="17">
        <f t="shared" si="116"/>
        <v>0</v>
      </c>
    </row>
    <row r="2173" spans="1:42" s="320" customFormat="1" hidden="1" x14ac:dyDescent="0.3">
      <c r="A2173" s="353" t="s">
        <v>1450</v>
      </c>
      <c r="B2173" s="320" t="s">
        <v>6881</v>
      </c>
      <c r="C2173" s="320" t="s">
        <v>7028</v>
      </c>
      <c r="D2173" s="320" t="s">
        <v>7029</v>
      </c>
      <c r="E2173" s="320" t="s">
        <v>7030</v>
      </c>
      <c r="F2173" s="320" t="s">
        <v>7031</v>
      </c>
      <c r="G2173" s="320" t="s">
        <v>7032</v>
      </c>
      <c r="H2173" s="320" t="s">
        <v>7033</v>
      </c>
      <c r="I2173" s="320" t="s">
        <v>7083</v>
      </c>
      <c r="J2173" s="320" t="s">
        <v>7084</v>
      </c>
      <c r="K2173" s="320" t="s">
        <v>7085</v>
      </c>
      <c r="L2173" s="320" t="s">
        <v>7086</v>
      </c>
      <c r="N2173" s="275" t="s">
        <v>271</v>
      </c>
      <c r="O2173" s="275" t="s">
        <v>271</v>
      </c>
      <c r="P2173" s="275" t="s">
        <v>271</v>
      </c>
      <c r="Q2173" s="275" t="s">
        <v>271</v>
      </c>
      <c r="R2173" s="275" t="s">
        <v>271</v>
      </c>
      <c r="S2173" s="275">
        <v>12</v>
      </c>
      <c r="T2173" s="320" t="s">
        <v>2528</v>
      </c>
      <c r="U2173" s="283" t="s">
        <v>2530</v>
      </c>
      <c r="AC2173" s="316">
        <v>0</v>
      </c>
      <c r="AD2173" s="316">
        <v>0</v>
      </c>
      <c r="AE2173" s="302">
        <f t="shared" si="115"/>
        <v>0</v>
      </c>
      <c r="AF2173" s="278"/>
      <c r="AG2173" s="17">
        <v>0</v>
      </c>
      <c r="AH2173" s="278"/>
      <c r="AI2173" s="278"/>
      <c r="AJ2173" s="278"/>
      <c r="AK2173" s="279"/>
      <c r="AL2173" s="279"/>
      <c r="AM2173" s="17">
        <f t="shared" si="116"/>
        <v>0</v>
      </c>
    </row>
    <row r="2174" spans="1:42" s="320" customFormat="1" x14ac:dyDescent="0.3">
      <c r="A2174" s="353" t="s">
        <v>1450</v>
      </c>
      <c r="B2174" s="320" t="s">
        <v>6881</v>
      </c>
      <c r="C2174" s="320" t="s">
        <v>7028</v>
      </c>
      <c r="D2174" s="320" t="s">
        <v>7029</v>
      </c>
      <c r="E2174" s="320" t="s">
        <v>7030</v>
      </c>
      <c r="F2174" s="320" t="s">
        <v>7031</v>
      </c>
      <c r="G2174" s="320" t="s">
        <v>7091</v>
      </c>
      <c r="H2174" s="320" t="s">
        <v>7092</v>
      </c>
      <c r="I2174" s="320" t="s">
        <v>7093</v>
      </c>
      <c r="J2174" s="320" t="s">
        <v>7094</v>
      </c>
      <c r="K2174" s="320" t="s">
        <v>7095</v>
      </c>
      <c r="L2174" s="320" t="s">
        <v>7096</v>
      </c>
      <c r="M2174" s="320" t="s">
        <v>7097</v>
      </c>
      <c r="N2174" s="275">
        <v>1097</v>
      </c>
      <c r="O2174" s="275">
        <v>1117</v>
      </c>
      <c r="P2174" s="275">
        <v>1137</v>
      </c>
      <c r="Q2174" s="275">
        <v>1157</v>
      </c>
      <c r="R2174" s="275">
        <v>1177</v>
      </c>
      <c r="S2174" s="275">
        <v>1197</v>
      </c>
      <c r="T2174" s="320" t="s">
        <v>6903</v>
      </c>
      <c r="U2174" s="283" t="e">
        <v>#N/A</v>
      </c>
      <c r="V2174" s="320" t="s">
        <v>7098</v>
      </c>
      <c r="W2174" s="320">
        <v>1</v>
      </c>
      <c r="X2174" s="320">
        <v>1</v>
      </c>
      <c r="Y2174" s="320">
        <v>0</v>
      </c>
      <c r="Z2174" s="320">
        <v>1</v>
      </c>
      <c r="AA2174" s="320">
        <v>1</v>
      </c>
      <c r="AB2174" s="320">
        <v>1</v>
      </c>
      <c r="AC2174" s="316">
        <v>0</v>
      </c>
      <c r="AD2174" s="316">
        <v>1</v>
      </c>
      <c r="AE2174" s="302">
        <f t="shared" si="115"/>
        <v>0.75</v>
      </c>
      <c r="AF2174" s="354"/>
      <c r="AG2174" s="17">
        <v>0</v>
      </c>
      <c r="AH2174" s="354">
        <v>5</v>
      </c>
      <c r="AI2174" s="354">
        <v>3</v>
      </c>
      <c r="AJ2174" s="23">
        <v>0</v>
      </c>
      <c r="AK2174" s="319">
        <v>3</v>
      </c>
      <c r="AL2174" s="153">
        <v>0</v>
      </c>
      <c r="AM2174" s="17">
        <f t="shared" si="116"/>
        <v>3</v>
      </c>
      <c r="AN2174" s="320" t="s">
        <v>6900</v>
      </c>
      <c r="AO2174" s="14" t="s">
        <v>6901</v>
      </c>
      <c r="AP2174" s="320" t="s">
        <v>7099</v>
      </c>
    </row>
    <row r="2175" spans="1:42" s="320" customFormat="1" x14ac:dyDescent="0.3">
      <c r="A2175" s="353" t="s">
        <v>1450</v>
      </c>
      <c r="B2175" s="320" t="s">
        <v>6881</v>
      </c>
      <c r="C2175" s="320" t="s">
        <v>7028</v>
      </c>
      <c r="D2175" s="320" t="s">
        <v>7029</v>
      </c>
      <c r="E2175" s="320" t="s">
        <v>7030</v>
      </c>
      <c r="F2175" s="320" t="s">
        <v>7031</v>
      </c>
      <c r="G2175" s="320" t="s">
        <v>7091</v>
      </c>
      <c r="H2175" s="320" t="s">
        <v>7092</v>
      </c>
      <c r="I2175" s="320" t="s">
        <v>7093</v>
      </c>
      <c r="J2175" s="320" t="s">
        <v>7094</v>
      </c>
      <c r="K2175" s="320" t="s">
        <v>7095</v>
      </c>
      <c r="L2175" s="320" t="s">
        <v>7096</v>
      </c>
      <c r="N2175" s="275"/>
      <c r="O2175" s="275"/>
      <c r="P2175" s="275"/>
      <c r="Q2175" s="275"/>
      <c r="R2175" s="275"/>
      <c r="S2175" s="275"/>
      <c r="U2175" s="283" t="e">
        <v>#N/A</v>
      </c>
      <c r="V2175" s="320" t="s">
        <v>7100</v>
      </c>
      <c r="W2175" s="320">
        <v>1</v>
      </c>
      <c r="X2175" s="320">
        <v>1</v>
      </c>
      <c r="Y2175" s="320">
        <v>0</v>
      </c>
      <c r="Z2175" s="320">
        <v>1</v>
      </c>
      <c r="AA2175" s="320">
        <v>1</v>
      </c>
      <c r="AB2175" s="320">
        <v>1</v>
      </c>
      <c r="AC2175" s="316">
        <v>0</v>
      </c>
      <c r="AD2175" s="316">
        <v>1</v>
      </c>
      <c r="AE2175" s="302">
        <f t="shared" si="115"/>
        <v>0.75</v>
      </c>
      <c r="AF2175" s="354"/>
      <c r="AG2175" s="17">
        <v>0</v>
      </c>
      <c r="AH2175" s="354">
        <v>0</v>
      </c>
      <c r="AI2175" s="354">
        <v>3</v>
      </c>
      <c r="AJ2175" s="23">
        <v>0</v>
      </c>
      <c r="AK2175" s="319">
        <v>1</v>
      </c>
      <c r="AL2175" s="319">
        <v>0</v>
      </c>
      <c r="AM2175" s="17">
        <f t="shared" si="116"/>
        <v>1</v>
      </c>
      <c r="AN2175" s="320" t="s">
        <v>7101</v>
      </c>
      <c r="AO2175" s="14" t="s">
        <v>6901</v>
      </c>
      <c r="AP2175" s="320" t="s">
        <v>7102</v>
      </c>
    </row>
    <row r="2176" spans="1:42" s="320" customFormat="1" x14ac:dyDescent="0.3">
      <c r="A2176" s="353" t="s">
        <v>1450</v>
      </c>
      <c r="B2176" s="320" t="s">
        <v>6881</v>
      </c>
      <c r="C2176" s="320" t="s">
        <v>7028</v>
      </c>
      <c r="D2176" s="320" t="s">
        <v>7029</v>
      </c>
      <c r="E2176" s="320" t="s">
        <v>7030</v>
      </c>
      <c r="F2176" s="320" t="s">
        <v>7031</v>
      </c>
      <c r="G2176" s="320" t="s">
        <v>7091</v>
      </c>
      <c r="H2176" s="320" t="s">
        <v>7092</v>
      </c>
      <c r="I2176" s="320" t="s">
        <v>7093</v>
      </c>
      <c r="J2176" s="320" t="s">
        <v>7094</v>
      </c>
      <c r="K2176" s="320" t="s">
        <v>7095</v>
      </c>
      <c r="L2176" s="320" t="s">
        <v>7096</v>
      </c>
      <c r="N2176" s="275"/>
      <c r="O2176" s="275"/>
      <c r="P2176" s="275"/>
      <c r="Q2176" s="275"/>
      <c r="R2176" s="275"/>
      <c r="S2176" s="275"/>
      <c r="U2176" s="283" t="e">
        <v>#N/A</v>
      </c>
      <c r="V2176" s="320" t="s">
        <v>7103</v>
      </c>
      <c r="W2176" s="320">
        <v>1</v>
      </c>
      <c r="X2176" s="320">
        <v>1</v>
      </c>
      <c r="Y2176" s="320">
        <v>1</v>
      </c>
      <c r="Z2176" s="320">
        <v>1</v>
      </c>
      <c r="AA2176" s="320">
        <v>1</v>
      </c>
      <c r="AB2176" s="320">
        <v>1</v>
      </c>
      <c r="AC2176" s="316">
        <v>0</v>
      </c>
      <c r="AD2176" s="316">
        <v>1</v>
      </c>
      <c r="AE2176" s="302">
        <f t="shared" si="115"/>
        <v>0.875</v>
      </c>
      <c r="AF2176" s="354"/>
      <c r="AG2176" s="17">
        <v>0</v>
      </c>
      <c r="AH2176" s="354">
        <v>0</v>
      </c>
      <c r="AI2176" s="354">
        <v>1</v>
      </c>
      <c r="AJ2176" s="354">
        <v>3</v>
      </c>
      <c r="AK2176" s="319">
        <v>6</v>
      </c>
      <c r="AL2176" s="319">
        <v>6</v>
      </c>
      <c r="AM2176" s="17">
        <f t="shared" si="116"/>
        <v>12</v>
      </c>
      <c r="AN2176" s="320" t="s">
        <v>239</v>
      </c>
      <c r="AO2176" s="14" t="s">
        <v>241</v>
      </c>
      <c r="AP2176" s="320" t="s">
        <v>7104</v>
      </c>
    </row>
    <row r="2177" spans="1:42" s="320" customFormat="1" hidden="1" x14ac:dyDescent="0.3">
      <c r="A2177" s="353" t="s">
        <v>1450</v>
      </c>
      <c r="B2177" s="320" t="s">
        <v>6881</v>
      </c>
      <c r="C2177" s="320" t="s">
        <v>7028</v>
      </c>
      <c r="D2177" s="320" t="s">
        <v>7029</v>
      </c>
      <c r="E2177" s="320" t="s">
        <v>7030</v>
      </c>
      <c r="F2177" s="320" t="s">
        <v>7031</v>
      </c>
      <c r="G2177" s="320" t="s">
        <v>7091</v>
      </c>
      <c r="H2177" s="320" t="s">
        <v>7092</v>
      </c>
      <c r="I2177" s="320" t="s">
        <v>7105</v>
      </c>
      <c r="J2177" s="320" t="s">
        <v>7106</v>
      </c>
      <c r="K2177" s="320" t="s">
        <v>7107</v>
      </c>
      <c r="L2177" s="320" t="s">
        <v>7108</v>
      </c>
      <c r="M2177" s="320" t="s">
        <v>7109</v>
      </c>
      <c r="N2177" s="275">
        <v>4</v>
      </c>
      <c r="O2177" s="275">
        <v>5</v>
      </c>
      <c r="P2177" s="275">
        <v>6</v>
      </c>
      <c r="Q2177" s="275">
        <v>7</v>
      </c>
      <c r="R2177" s="275">
        <v>8</v>
      </c>
      <c r="S2177" s="275">
        <v>9</v>
      </c>
      <c r="T2177" s="320" t="s">
        <v>6894</v>
      </c>
      <c r="U2177" s="283" t="s">
        <v>6896</v>
      </c>
      <c r="AC2177" s="316">
        <v>0</v>
      </c>
      <c r="AD2177" s="316">
        <v>0</v>
      </c>
      <c r="AE2177" s="302">
        <f t="shared" si="115"/>
        <v>0</v>
      </c>
      <c r="AF2177" s="278"/>
      <c r="AG2177" s="17">
        <v>0</v>
      </c>
      <c r="AH2177" s="278"/>
      <c r="AI2177" s="278"/>
      <c r="AJ2177" s="278"/>
      <c r="AK2177" s="279"/>
      <c r="AL2177" s="279"/>
      <c r="AM2177" s="17">
        <f t="shared" si="116"/>
        <v>0</v>
      </c>
    </row>
    <row r="2178" spans="1:42" s="320" customFormat="1" hidden="1" x14ac:dyDescent="0.3">
      <c r="A2178" s="353" t="s">
        <v>1450</v>
      </c>
      <c r="B2178" s="320" t="s">
        <v>6881</v>
      </c>
      <c r="C2178" s="320" t="s">
        <v>7028</v>
      </c>
      <c r="D2178" s="320" t="s">
        <v>7029</v>
      </c>
      <c r="E2178" s="320" t="s">
        <v>7030</v>
      </c>
      <c r="F2178" s="320" t="s">
        <v>7031</v>
      </c>
      <c r="G2178" s="320" t="s">
        <v>7091</v>
      </c>
      <c r="H2178" s="320" t="s">
        <v>7092</v>
      </c>
      <c r="I2178" s="320" t="s">
        <v>7110</v>
      </c>
      <c r="J2178" s="320" t="s">
        <v>7111</v>
      </c>
      <c r="K2178" s="320" t="s">
        <v>7112</v>
      </c>
      <c r="L2178" s="320" t="s">
        <v>7113</v>
      </c>
      <c r="M2178" s="320" t="s">
        <v>7114</v>
      </c>
      <c r="N2178" s="275">
        <v>0</v>
      </c>
      <c r="O2178" s="275">
        <v>0</v>
      </c>
      <c r="P2178" s="275">
        <v>10</v>
      </c>
      <c r="Q2178" s="275">
        <v>15</v>
      </c>
      <c r="R2178" s="275">
        <v>20</v>
      </c>
      <c r="S2178" s="275">
        <v>25</v>
      </c>
      <c r="T2178" s="320" t="s">
        <v>6903</v>
      </c>
      <c r="U2178" s="283" t="e">
        <v>#N/A</v>
      </c>
      <c r="AC2178" s="316">
        <v>0</v>
      </c>
      <c r="AD2178" s="316">
        <v>0</v>
      </c>
      <c r="AE2178" s="302">
        <f t="shared" si="115"/>
        <v>0</v>
      </c>
      <c r="AF2178" s="278"/>
      <c r="AG2178" s="17">
        <v>0</v>
      </c>
      <c r="AH2178" s="278"/>
      <c r="AI2178" s="278"/>
      <c r="AJ2178" s="278"/>
      <c r="AK2178" s="279"/>
      <c r="AL2178" s="279"/>
      <c r="AM2178" s="17">
        <f t="shared" si="116"/>
        <v>0</v>
      </c>
    </row>
    <row r="2179" spans="1:42" s="320" customFormat="1" x14ac:dyDescent="0.3">
      <c r="A2179" s="353" t="s">
        <v>1450</v>
      </c>
      <c r="B2179" s="320" t="s">
        <v>6881</v>
      </c>
      <c r="C2179" s="320" t="s">
        <v>7028</v>
      </c>
      <c r="D2179" s="320" t="s">
        <v>7029</v>
      </c>
      <c r="E2179" s="320" t="s">
        <v>7030</v>
      </c>
      <c r="F2179" s="320" t="s">
        <v>7031</v>
      </c>
      <c r="G2179" s="320" t="s">
        <v>7115</v>
      </c>
      <c r="H2179" s="320" t="s">
        <v>7116</v>
      </c>
      <c r="I2179" s="320" t="s">
        <v>271</v>
      </c>
      <c r="J2179" s="320" t="s">
        <v>271</v>
      </c>
      <c r="K2179" s="320" t="s">
        <v>7117</v>
      </c>
      <c r="L2179" s="320" t="s">
        <v>7118</v>
      </c>
      <c r="M2179" s="184" t="s">
        <v>7119</v>
      </c>
      <c r="N2179" s="355">
        <v>950</v>
      </c>
      <c r="O2179" s="355">
        <v>1065</v>
      </c>
      <c r="P2179" s="355">
        <v>1096.95</v>
      </c>
      <c r="Q2179" s="355">
        <v>1129.8585</v>
      </c>
      <c r="R2179" s="355">
        <v>1163.7542550000001</v>
      </c>
      <c r="S2179" s="355">
        <v>1198.6668826500002</v>
      </c>
      <c r="T2179" s="184" t="s">
        <v>7071</v>
      </c>
      <c r="U2179" s="283" t="e">
        <v>#N/A</v>
      </c>
      <c r="V2179" s="320" t="s">
        <v>7120</v>
      </c>
      <c r="W2179" s="320">
        <v>1</v>
      </c>
      <c r="X2179" s="320">
        <v>0</v>
      </c>
      <c r="Y2179" s="320">
        <v>1</v>
      </c>
      <c r="Z2179" s="320">
        <v>1</v>
      </c>
      <c r="AA2179" s="320">
        <v>1</v>
      </c>
      <c r="AB2179" s="320">
        <v>1</v>
      </c>
      <c r="AC2179" s="316">
        <v>1</v>
      </c>
      <c r="AD2179" s="316">
        <v>1</v>
      </c>
      <c r="AE2179" s="302">
        <f t="shared" si="115"/>
        <v>0.875</v>
      </c>
      <c r="AF2179" s="354">
        <v>1</v>
      </c>
      <c r="AG2179" s="17">
        <v>0</v>
      </c>
      <c r="AH2179" s="354">
        <v>0</v>
      </c>
      <c r="AI2179" s="354">
        <v>0</v>
      </c>
      <c r="AJ2179" s="354">
        <v>1</v>
      </c>
      <c r="AK2179" s="319">
        <v>0.75</v>
      </c>
      <c r="AL2179" s="319">
        <v>1.375</v>
      </c>
      <c r="AM2179" s="17">
        <f t="shared" si="116"/>
        <v>2.125</v>
      </c>
      <c r="AN2179" s="320" t="s">
        <v>6900</v>
      </c>
      <c r="AO2179" s="14" t="s">
        <v>6901</v>
      </c>
      <c r="AP2179" s="320" t="s">
        <v>7121</v>
      </c>
    </row>
    <row r="2180" spans="1:42" s="320" customFormat="1" hidden="1" x14ac:dyDescent="0.3">
      <c r="A2180" s="353" t="s">
        <v>1450</v>
      </c>
      <c r="B2180" s="320" t="s">
        <v>6881</v>
      </c>
      <c r="C2180" s="320" t="s">
        <v>7028</v>
      </c>
      <c r="D2180" s="320" t="s">
        <v>7029</v>
      </c>
      <c r="E2180" s="320" t="s">
        <v>7030</v>
      </c>
      <c r="F2180" s="320" t="s">
        <v>7031</v>
      </c>
      <c r="G2180" s="320" t="s">
        <v>7122</v>
      </c>
      <c r="H2180" s="320" t="s">
        <v>7123</v>
      </c>
      <c r="I2180" s="320" t="s">
        <v>7124</v>
      </c>
      <c r="J2180" s="320" t="s">
        <v>7125</v>
      </c>
      <c r="K2180" s="320" t="s">
        <v>7126</v>
      </c>
      <c r="L2180" s="320" t="s">
        <v>7127</v>
      </c>
      <c r="M2180" s="320" t="s">
        <v>7128</v>
      </c>
      <c r="N2180" s="275">
        <v>0</v>
      </c>
      <c r="O2180" s="275">
        <v>0</v>
      </c>
      <c r="P2180" s="275">
        <v>0</v>
      </c>
      <c r="Q2180" s="275">
        <v>0</v>
      </c>
      <c r="R2180" s="275">
        <v>2</v>
      </c>
      <c r="S2180" s="275">
        <v>4</v>
      </c>
      <c r="T2180" s="320" t="s">
        <v>2072</v>
      </c>
      <c r="U2180" s="283" t="e">
        <v>#N/A</v>
      </c>
      <c r="AC2180" s="316">
        <v>0</v>
      </c>
      <c r="AD2180" s="316">
        <v>0</v>
      </c>
      <c r="AE2180" s="302">
        <f t="shared" si="115"/>
        <v>0</v>
      </c>
      <c r="AF2180" s="278"/>
      <c r="AG2180" s="17">
        <v>0</v>
      </c>
      <c r="AH2180" s="278"/>
      <c r="AI2180" s="278"/>
      <c r="AJ2180" s="278"/>
      <c r="AK2180" s="279"/>
      <c r="AL2180" s="279"/>
      <c r="AM2180" s="17">
        <f t="shared" si="116"/>
        <v>0</v>
      </c>
    </row>
    <row r="2181" spans="1:42" s="320" customFormat="1" hidden="1" x14ac:dyDescent="0.3">
      <c r="A2181" s="353" t="s">
        <v>1450</v>
      </c>
      <c r="B2181" s="320" t="s">
        <v>6881</v>
      </c>
      <c r="C2181" s="320" t="s">
        <v>7028</v>
      </c>
      <c r="D2181" s="320" t="s">
        <v>7029</v>
      </c>
      <c r="E2181" s="320" t="s">
        <v>7030</v>
      </c>
      <c r="F2181" s="320" t="s">
        <v>7031</v>
      </c>
      <c r="G2181" s="320" t="s">
        <v>7122</v>
      </c>
      <c r="H2181" s="320" t="s">
        <v>7123</v>
      </c>
      <c r="I2181" s="320" t="s">
        <v>7129</v>
      </c>
      <c r="J2181" s="320" t="s">
        <v>7130</v>
      </c>
      <c r="K2181" s="320" t="s">
        <v>7131</v>
      </c>
      <c r="L2181" s="320" t="s">
        <v>7132</v>
      </c>
      <c r="M2181" s="320" t="s">
        <v>7133</v>
      </c>
      <c r="N2181" s="275" t="s">
        <v>271</v>
      </c>
      <c r="O2181" s="275">
        <v>30</v>
      </c>
      <c r="P2181" s="275">
        <v>40</v>
      </c>
      <c r="Q2181" s="275">
        <v>50</v>
      </c>
      <c r="R2181" s="275">
        <v>60</v>
      </c>
      <c r="S2181" s="275">
        <v>70</v>
      </c>
      <c r="T2181" s="320" t="s">
        <v>6894</v>
      </c>
      <c r="U2181" s="283" t="s">
        <v>6896</v>
      </c>
      <c r="AC2181" s="316">
        <v>0</v>
      </c>
      <c r="AD2181" s="316">
        <v>0</v>
      </c>
      <c r="AE2181" s="302">
        <f t="shared" si="115"/>
        <v>0</v>
      </c>
      <c r="AF2181" s="278"/>
      <c r="AG2181" s="17">
        <v>0</v>
      </c>
      <c r="AH2181" s="278"/>
      <c r="AI2181" s="278"/>
      <c r="AJ2181" s="278"/>
      <c r="AK2181" s="279"/>
      <c r="AL2181" s="279"/>
      <c r="AM2181" s="17">
        <f t="shared" si="116"/>
        <v>0</v>
      </c>
    </row>
    <row r="2182" spans="1:42" s="320" customFormat="1" x14ac:dyDescent="0.3">
      <c r="A2182" s="353" t="s">
        <v>1450</v>
      </c>
      <c r="B2182" s="320" t="s">
        <v>6881</v>
      </c>
      <c r="C2182" s="320" t="s">
        <v>7028</v>
      </c>
      <c r="D2182" s="320" t="s">
        <v>7029</v>
      </c>
      <c r="E2182" s="320" t="s">
        <v>7030</v>
      </c>
      <c r="F2182" s="320" t="s">
        <v>7031</v>
      </c>
      <c r="G2182" s="320" t="s">
        <v>7122</v>
      </c>
      <c r="H2182" s="320" t="s">
        <v>7123</v>
      </c>
      <c r="I2182" s="320" t="s">
        <v>7129</v>
      </c>
      <c r="J2182" s="320" t="s">
        <v>7130</v>
      </c>
      <c r="K2182" s="320" t="s">
        <v>7131</v>
      </c>
      <c r="L2182" s="320" t="s">
        <v>7132</v>
      </c>
      <c r="M2182" s="320" t="s">
        <v>7134</v>
      </c>
      <c r="N2182" s="275" t="s">
        <v>271</v>
      </c>
      <c r="O2182" s="275" t="s">
        <v>271</v>
      </c>
      <c r="P2182" s="275">
        <v>1</v>
      </c>
      <c r="Q2182" s="275">
        <v>1</v>
      </c>
      <c r="R2182" s="275">
        <v>1</v>
      </c>
      <c r="S2182" s="275">
        <v>1</v>
      </c>
      <c r="T2182" s="320" t="s">
        <v>6903</v>
      </c>
      <c r="U2182" s="283" t="e">
        <v>#N/A</v>
      </c>
      <c r="V2182" s="320" t="s">
        <v>7135</v>
      </c>
      <c r="W2182" s="320">
        <v>1</v>
      </c>
      <c r="X2182" s="320">
        <v>1</v>
      </c>
      <c r="Y2182" s="320">
        <v>0</v>
      </c>
      <c r="Z2182" s="320">
        <v>1</v>
      </c>
      <c r="AA2182" s="320">
        <v>1</v>
      </c>
      <c r="AB2182" s="320">
        <v>1</v>
      </c>
      <c r="AC2182" s="316">
        <v>0</v>
      </c>
      <c r="AD2182" s="316">
        <v>1</v>
      </c>
      <c r="AE2182" s="302">
        <f t="shared" ref="AE2182:AE2245" si="117">SUM(W2182:AD2182)/8</f>
        <v>0.75</v>
      </c>
      <c r="AF2182" s="23"/>
      <c r="AG2182" s="17">
        <v>0</v>
      </c>
      <c r="AH2182" s="23">
        <v>0</v>
      </c>
      <c r="AI2182" s="354">
        <v>0.54</v>
      </c>
      <c r="AJ2182" s="354">
        <v>0.54</v>
      </c>
      <c r="AK2182" s="319">
        <v>0.54</v>
      </c>
      <c r="AL2182" s="319">
        <v>0.54</v>
      </c>
      <c r="AM2182" s="17">
        <f t="shared" ref="AM2182:AM2245" si="118">SUM(AK2182:AL2182)</f>
        <v>1.08</v>
      </c>
      <c r="AN2182" s="320" t="s">
        <v>7136</v>
      </c>
      <c r="AO2182" s="14" t="s">
        <v>3881</v>
      </c>
      <c r="AP2182" s="320" t="s">
        <v>1233</v>
      </c>
    </row>
    <row r="2183" spans="1:42" s="320" customFormat="1" x14ac:dyDescent="0.3">
      <c r="A2183" s="353" t="s">
        <v>1450</v>
      </c>
      <c r="B2183" s="320" t="s">
        <v>6881</v>
      </c>
      <c r="C2183" s="320" t="s">
        <v>7028</v>
      </c>
      <c r="D2183" s="320" t="s">
        <v>7029</v>
      </c>
      <c r="E2183" s="320" t="s">
        <v>7030</v>
      </c>
      <c r="F2183" s="320" t="s">
        <v>7031</v>
      </c>
      <c r="G2183" s="320" t="s">
        <v>7122</v>
      </c>
      <c r="H2183" s="320" t="s">
        <v>7123</v>
      </c>
      <c r="I2183" s="320" t="s">
        <v>7129</v>
      </c>
      <c r="J2183" s="320" t="s">
        <v>7130</v>
      </c>
      <c r="K2183" s="320" t="s">
        <v>7131</v>
      </c>
      <c r="L2183" s="320" t="s">
        <v>7132</v>
      </c>
      <c r="N2183" s="275"/>
      <c r="O2183" s="275"/>
      <c r="P2183" s="275"/>
      <c r="Q2183" s="275"/>
      <c r="R2183" s="275"/>
      <c r="S2183" s="275"/>
      <c r="U2183" s="283" t="e">
        <v>#N/A</v>
      </c>
      <c r="V2183" s="320" t="s">
        <v>7137</v>
      </c>
      <c r="W2183" s="320">
        <v>1</v>
      </c>
      <c r="X2183" s="320">
        <v>1</v>
      </c>
      <c r="Y2183" s="320">
        <v>0</v>
      </c>
      <c r="Z2183" s="320">
        <v>1</v>
      </c>
      <c r="AA2183" s="320">
        <v>1</v>
      </c>
      <c r="AB2183" s="320">
        <v>1</v>
      </c>
      <c r="AC2183" s="316">
        <v>0</v>
      </c>
      <c r="AD2183" s="316">
        <v>1</v>
      </c>
      <c r="AE2183" s="302">
        <f t="shared" si="117"/>
        <v>0.75</v>
      </c>
      <c r="AF2183" s="354"/>
      <c r="AG2183" s="17">
        <v>0</v>
      </c>
      <c r="AH2183" s="354">
        <v>38.33</v>
      </c>
      <c r="AI2183" s="354">
        <v>0.98</v>
      </c>
      <c r="AJ2183" s="354">
        <v>0.98</v>
      </c>
      <c r="AK2183" s="319">
        <v>0.98</v>
      </c>
      <c r="AL2183" s="319">
        <v>0.49</v>
      </c>
      <c r="AM2183" s="17">
        <f t="shared" si="118"/>
        <v>1.47</v>
      </c>
      <c r="AN2183" s="320" t="s">
        <v>7136</v>
      </c>
      <c r="AO2183" s="14" t="s">
        <v>3881</v>
      </c>
      <c r="AP2183" s="320" t="s">
        <v>7138</v>
      </c>
    </row>
    <row r="2184" spans="1:42" s="320" customFormat="1" x14ac:dyDescent="0.3">
      <c r="A2184" s="353" t="s">
        <v>1450</v>
      </c>
      <c r="B2184" s="320" t="s">
        <v>6881</v>
      </c>
      <c r="C2184" s="320" t="s">
        <v>7028</v>
      </c>
      <c r="D2184" s="320" t="s">
        <v>7029</v>
      </c>
      <c r="E2184" s="320" t="s">
        <v>7030</v>
      </c>
      <c r="F2184" s="320" t="s">
        <v>7031</v>
      </c>
      <c r="G2184" s="320" t="s">
        <v>7139</v>
      </c>
      <c r="H2184" s="320" t="s">
        <v>7140</v>
      </c>
      <c r="I2184" s="320" t="s">
        <v>271</v>
      </c>
      <c r="J2184" s="320" t="s">
        <v>271</v>
      </c>
      <c r="K2184" s="320" t="s">
        <v>7141</v>
      </c>
      <c r="L2184" s="320" t="s">
        <v>7142</v>
      </c>
      <c r="M2184" s="320" t="s">
        <v>7143</v>
      </c>
      <c r="N2184" s="275">
        <v>0</v>
      </c>
      <c r="O2184" s="275">
        <v>1</v>
      </c>
      <c r="P2184" s="275">
        <v>1</v>
      </c>
      <c r="Q2184" s="275">
        <v>2</v>
      </c>
      <c r="R2184" s="275">
        <v>3</v>
      </c>
      <c r="S2184" s="275">
        <v>3</v>
      </c>
      <c r="T2184" s="320" t="s">
        <v>407</v>
      </c>
      <c r="U2184" s="283" t="s">
        <v>409</v>
      </c>
      <c r="V2184" s="320" t="s">
        <v>7144</v>
      </c>
      <c r="W2184" s="320">
        <v>1</v>
      </c>
      <c r="X2184" s="320">
        <v>1</v>
      </c>
      <c r="Y2184" s="320">
        <v>1</v>
      </c>
      <c r="Z2184" s="320">
        <v>1</v>
      </c>
      <c r="AA2184" s="320">
        <v>1</v>
      </c>
      <c r="AB2184" s="320">
        <v>1</v>
      </c>
      <c r="AC2184" s="316">
        <v>0</v>
      </c>
      <c r="AD2184" s="316">
        <v>0</v>
      </c>
      <c r="AE2184" s="302">
        <f t="shared" si="117"/>
        <v>0.75</v>
      </c>
      <c r="AF2184" s="354">
        <v>1</v>
      </c>
      <c r="AG2184" s="17">
        <v>0</v>
      </c>
      <c r="AH2184" s="354">
        <v>0.01</v>
      </c>
      <c r="AI2184" s="354">
        <v>0.02</v>
      </c>
      <c r="AJ2184" s="354">
        <v>0.02</v>
      </c>
      <c r="AK2184" s="319">
        <v>0.02</v>
      </c>
      <c r="AL2184" s="319">
        <v>0.03</v>
      </c>
      <c r="AM2184" s="17">
        <f t="shared" si="118"/>
        <v>0.05</v>
      </c>
      <c r="AN2184" s="320" t="s">
        <v>407</v>
      </c>
      <c r="AO2184" s="320" t="s">
        <v>409</v>
      </c>
      <c r="AP2184" s="320" t="s">
        <v>63</v>
      </c>
    </row>
    <row r="2185" spans="1:42" s="320" customFormat="1" x14ac:dyDescent="0.3">
      <c r="A2185" s="353" t="s">
        <v>1450</v>
      </c>
      <c r="B2185" s="320" t="s">
        <v>6881</v>
      </c>
      <c r="C2185" s="320" t="s">
        <v>7028</v>
      </c>
      <c r="D2185" s="320" t="s">
        <v>7029</v>
      </c>
      <c r="E2185" s="320" t="s">
        <v>7030</v>
      </c>
      <c r="F2185" s="320" t="s">
        <v>7031</v>
      </c>
      <c r="G2185" s="320" t="s">
        <v>7145</v>
      </c>
      <c r="H2185" s="320" t="s">
        <v>7146</v>
      </c>
      <c r="I2185" s="320" t="s">
        <v>271</v>
      </c>
      <c r="J2185" s="320" t="s">
        <v>271</v>
      </c>
      <c r="K2185" s="320" t="s">
        <v>7147</v>
      </c>
      <c r="L2185" s="320" t="s">
        <v>7148</v>
      </c>
      <c r="M2185" s="320" t="s">
        <v>7149</v>
      </c>
      <c r="N2185" s="275">
        <v>0</v>
      </c>
      <c r="O2185" s="275" t="s">
        <v>271</v>
      </c>
      <c r="P2185" s="275">
        <v>1</v>
      </c>
      <c r="Q2185" s="275" t="s">
        <v>271</v>
      </c>
      <c r="R2185" s="275" t="s">
        <v>271</v>
      </c>
      <c r="S2185" s="275">
        <v>1</v>
      </c>
      <c r="T2185" s="320" t="s">
        <v>6903</v>
      </c>
      <c r="U2185" s="283" t="e">
        <v>#N/A</v>
      </c>
      <c r="V2185" s="320" t="s">
        <v>7150</v>
      </c>
      <c r="W2185" s="320">
        <v>1</v>
      </c>
      <c r="X2185" s="320">
        <v>1</v>
      </c>
      <c r="Y2185" s="320">
        <v>1</v>
      </c>
      <c r="Z2185" s="320">
        <v>1</v>
      </c>
      <c r="AA2185" s="320">
        <v>0</v>
      </c>
      <c r="AB2185" s="320">
        <v>1</v>
      </c>
      <c r="AC2185" s="316">
        <v>1</v>
      </c>
      <c r="AD2185" s="316">
        <v>1</v>
      </c>
      <c r="AE2185" s="302">
        <f t="shared" si="117"/>
        <v>0.875</v>
      </c>
      <c r="AF2185" s="354"/>
      <c r="AG2185" s="17">
        <v>0</v>
      </c>
      <c r="AH2185" s="354">
        <v>0</v>
      </c>
      <c r="AI2185" s="354">
        <v>0</v>
      </c>
      <c r="AJ2185" s="354">
        <v>0</v>
      </c>
      <c r="AK2185" s="319">
        <v>0</v>
      </c>
      <c r="AL2185" s="319">
        <v>0</v>
      </c>
      <c r="AM2185" s="17">
        <f t="shared" si="118"/>
        <v>0</v>
      </c>
      <c r="AN2185" s="320" t="s">
        <v>6900</v>
      </c>
      <c r="AO2185" s="320" t="s">
        <v>6901</v>
      </c>
      <c r="AP2185" s="320" t="s">
        <v>7151</v>
      </c>
    </row>
    <row r="2186" spans="1:42" s="320" customFormat="1" hidden="1" x14ac:dyDescent="0.3">
      <c r="A2186" s="353" t="s">
        <v>1450</v>
      </c>
      <c r="B2186" s="320" t="s">
        <v>6881</v>
      </c>
      <c r="C2186" s="320" t="s">
        <v>7028</v>
      </c>
      <c r="D2186" s="320" t="s">
        <v>7029</v>
      </c>
      <c r="E2186" s="320" t="s">
        <v>7030</v>
      </c>
      <c r="F2186" s="320" t="s">
        <v>7031</v>
      </c>
      <c r="G2186" s="320" t="s">
        <v>7145</v>
      </c>
      <c r="H2186" s="320" t="s">
        <v>7146</v>
      </c>
      <c r="I2186" s="320" t="s">
        <v>271</v>
      </c>
      <c r="J2186" s="320" t="s">
        <v>271</v>
      </c>
      <c r="K2186" s="320" t="s">
        <v>7147</v>
      </c>
      <c r="L2186" s="320" t="s">
        <v>7148</v>
      </c>
      <c r="M2186" s="320" t="s">
        <v>7152</v>
      </c>
      <c r="N2186" s="275" t="s">
        <v>271</v>
      </c>
      <c r="O2186" s="275" t="s">
        <v>271</v>
      </c>
      <c r="P2186" s="275">
        <v>1</v>
      </c>
      <c r="Q2186" s="275" t="s">
        <v>271</v>
      </c>
      <c r="R2186" s="275">
        <v>1</v>
      </c>
      <c r="S2186" s="275">
        <v>1</v>
      </c>
      <c r="T2186" s="283" t="s">
        <v>265</v>
      </c>
      <c r="U2186" s="283" t="s">
        <v>350</v>
      </c>
      <c r="AC2186" s="316">
        <v>0</v>
      </c>
      <c r="AD2186" s="316">
        <v>0</v>
      </c>
      <c r="AE2186" s="302">
        <f t="shared" si="117"/>
        <v>0</v>
      </c>
      <c r="AF2186" s="278"/>
      <c r="AG2186" s="17">
        <v>0</v>
      </c>
      <c r="AH2186" s="278"/>
      <c r="AI2186" s="278"/>
      <c r="AJ2186" s="278"/>
      <c r="AK2186" s="279"/>
      <c r="AL2186" s="279"/>
      <c r="AM2186" s="17">
        <f t="shared" si="118"/>
        <v>0</v>
      </c>
    </row>
    <row r="2187" spans="1:42" s="320" customFormat="1" x14ac:dyDescent="0.3">
      <c r="A2187" s="353" t="s">
        <v>1450</v>
      </c>
      <c r="B2187" s="320" t="s">
        <v>6881</v>
      </c>
      <c r="C2187" s="320" t="s">
        <v>7028</v>
      </c>
      <c r="D2187" s="320" t="s">
        <v>7029</v>
      </c>
      <c r="E2187" s="320" t="s">
        <v>7153</v>
      </c>
      <c r="F2187" s="320" t="s">
        <v>7154</v>
      </c>
      <c r="G2187" s="320" t="s">
        <v>7155</v>
      </c>
      <c r="H2187" s="320" t="s">
        <v>7156</v>
      </c>
      <c r="I2187" s="320" t="s">
        <v>271</v>
      </c>
      <c r="J2187" s="320" t="s">
        <v>271</v>
      </c>
      <c r="K2187" s="320" t="s">
        <v>7157</v>
      </c>
      <c r="L2187" s="320" t="s">
        <v>7158</v>
      </c>
      <c r="M2187" s="320" t="s">
        <v>7159</v>
      </c>
      <c r="N2187" s="275">
        <v>2</v>
      </c>
      <c r="O2187" s="275">
        <v>4</v>
      </c>
      <c r="P2187" s="275">
        <v>6</v>
      </c>
      <c r="Q2187" s="275">
        <v>8</v>
      </c>
      <c r="R2187" s="275">
        <v>9</v>
      </c>
      <c r="S2187" s="275">
        <v>10</v>
      </c>
      <c r="T2187" s="320" t="s">
        <v>6903</v>
      </c>
      <c r="U2187" s="283" t="e">
        <v>#N/A</v>
      </c>
      <c r="V2187" s="320" t="s">
        <v>7160</v>
      </c>
      <c r="W2187" s="320">
        <v>1</v>
      </c>
      <c r="X2187" s="320">
        <v>1</v>
      </c>
      <c r="Y2187" s="320">
        <v>1</v>
      </c>
      <c r="Z2187" s="320">
        <v>1</v>
      </c>
      <c r="AA2187" s="320">
        <v>1</v>
      </c>
      <c r="AB2187" s="320">
        <v>1</v>
      </c>
      <c r="AC2187" s="316">
        <v>0</v>
      </c>
      <c r="AD2187" s="316">
        <v>1</v>
      </c>
      <c r="AE2187" s="302">
        <f t="shared" si="117"/>
        <v>0.875</v>
      </c>
      <c r="AF2187" s="354"/>
      <c r="AG2187" s="17">
        <v>0</v>
      </c>
      <c r="AH2187" s="354">
        <v>2</v>
      </c>
      <c r="AI2187" s="354">
        <v>2</v>
      </c>
      <c r="AJ2187" s="354">
        <v>2</v>
      </c>
      <c r="AK2187" s="319">
        <v>13</v>
      </c>
      <c r="AL2187" s="319">
        <v>24</v>
      </c>
      <c r="AM2187" s="17">
        <f t="shared" si="118"/>
        <v>37</v>
      </c>
      <c r="AN2187" s="320" t="s">
        <v>6900</v>
      </c>
      <c r="AO2187" s="320" t="s">
        <v>6901</v>
      </c>
      <c r="AP2187" s="320" t="s">
        <v>7161</v>
      </c>
    </row>
    <row r="2188" spans="1:42" s="320" customFormat="1" x14ac:dyDescent="0.3">
      <c r="A2188" s="353" t="s">
        <v>1450</v>
      </c>
      <c r="B2188" s="320" t="s">
        <v>6881</v>
      </c>
      <c r="C2188" s="320" t="s">
        <v>7028</v>
      </c>
      <c r="D2188" s="320" t="s">
        <v>7029</v>
      </c>
      <c r="E2188" s="320" t="s">
        <v>7153</v>
      </c>
      <c r="F2188" s="320" t="s">
        <v>7154</v>
      </c>
      <c r="G2188" s="320" t="s">
        <v>7155</v>
      </c>
      <c r="H2188" s="320" t="s">
        <v>7156</v>
      </c>
      <c r="I2188" s="320" t="s">
        <v>271</v>
      </c>
      <c r="J2188" s="320" t="s">
        <v>271</v>
      </c>
      <c r="K2188" s="320" t="s">
        <v>7157</v>
      </c>
      <c r="L2188" s="320" t="s">
        <v>7158</v>
      </c>
      <c r="N2188" s="275"/>
      <c r="O2188" s="275"/>
      <c r="P2188" s="275"/>
      <c r="Q2188" s="275"/>
      <c r="R2188" s="275"/>
      <c r="S2188" s="275"/>
      <c r="U2188" s="283" t="e">
        <v>#N/A</v>
      </c>
      <c r="V2188" s="320" t="s">
        <v>7162</v>
      </c>
      <c r="W2188" s="320">
        <v>1</v>
      </c>
      <c r="X2188" s="320">
        <v>1</v>
      </c>
      <c r="Y2188" s="320">
        <v>1</v>
      </c>
      <c r="Z2188" s="320">
        <v>1</v>
      </c>
      <c r="AA2188" s="320">
        <v>1</v>
      </c>
      <c r="AB2188" s="320">
        <v>1</v>
      </c>
      <c r="AC2188" s="316">
        <v>0</v>
      </c>
      <c r="AD2188" s="316">
        <v>1</v>
      </c>
      <c r="AE2188" s="302">
        <f t="shared" si="117"/>
        <v>0.875</v>
      </c>
      <c r="AF2188" s="354"/>
      <c r="AG2188" s="17">
        <v>0</v>
      </c>
      <c r="AH2188" s="354">
        <v>1.25</v>
      </c>
      <c r="AI2188" s="354">
        <v>2.5</v>
      </c>
      <c r="AJ2188" s="354">
        <v>3.75</v>
      </c>
      <c r="AK2188" s="319">
        <v>4</v>
      </c>
      <c r="AL2188" s="319">
        <v>4.25</v>
      </c>
      <c r="AM2188" s="17">
        <f t="shared" si="118"/>
        <v>8.25</v>
      </c>
      <c r="AN2188" s="320" t="s">
        <v>7073</v>
      </c>
      <c r="AO2188" s="14" t="s">
        <v>6901</v>
      </c>
      <c r="AP2188" s="320" t="s">
        <v>6900</v>
      </c>
    </row>
    <row r="2189" spans="1:42" s="320" customFormat="1" hidden="1" x14ac:dyDescent="0.3">
      <c r="A2189" s="353" t="s">
        <v>1450</v>
      </c>
      <c r="B2189" s="320" t="s">
        <v>6881</v>
      </c>
      <c r="C2189" s="320" t="s">
        <v>7028</v>
      </c>
      <c r="D2189" s="320" t="s">
        <v>7029</v>
      </c>
      <c r="E2189" s="320" t="s">
        <v>7153</v>
      </c>
      <c r="F2189" s="320" t="s">
        <v>7154</v>
      </c>
      <c r="G2189" s="320" t="s">
        <v>7155</v>
      </c>
      <c r="H2189" s="320" t="s">
        <v>7156</v>
      </c>
      <c r="I2189" s="320" t="s">
        <v>271</v>
      </c>
      <c r="J2189" s="320" t="s">
        <v>271</v>
      </c>
      <c r="K2189" s="320" t="s">
        <v>7157</v>
      </c>
      <c r="L2189" s="320" t="s">
        <v>7158</v>
      </c>
      <c r="N2189" s="275"/>
      <c r="O2189" s="275"/>
      <c r="P2189" s="275"/>
      <c r="Q2189" s="275"/>
      <c r="R2189" s="275"/>
      <c r="S2189" s="275"/>
      <c r="U2189" s="283" t="e">
        <v>#N/A</v>
      </c>
      <c r="AC2189" s="316">
        <v>0</v>
      </c>
      <c r="AD2189" s="316">
        <v>0</v>
      </c>
      <c r="AE2189" s="302">
        <f t="shared" si="117"/>
        <v>0</v>
      </c>
      <c r="AF2189" s="278"/>
      <c r="AG2189" s="17">
        <v>0</v>
      </c>
      <c r="AH2189" s="278"/>
      <c r="AI2189" s="278"/>
      <c r="AJ2189" s="278"/>
      <c r="AK2189" s="279"/>
      <c r="AL2189" s="279"/>
      <c r="AM2189" s="17">
        <f t="shared" si="118"/>
        <v>0</v>
      </c>
      <c r="AO2189" s="14"/>
    </row>
    <row r="2190" spans="1:42" s="320" customFormat="1" x14ac:dyDescent="0.3">
      <c r="A2190" s="353" t="s">
        <v>1450</v>
      </c>
      <c r="B2190" s="320" t="s">
        <v>6881</v>
      </c>
      <c r="C2190" s="320" t="s">
        <v>7028</v>
      </c>
      <c r="D2190" s="320" t="s">
        <v>7029</v>
      </c>
      <c r="E2190" s="320" t="s">
        <v>7153</v>
      </c>
      <c r="F2190" s="320" t="s">
        <v>7154</v>
      </c>
      <c r="G2190" s="320" t="s">
        <v>7155</v>
      </c>
      <c r="H2190" s="320" t="s">
        <v>7156</v>
      </c>
      <c r="I2190" s="320" t="s">
        <v>271</v>
      </c>
      <c r="J2190" s="320" t="s">
        <v>271</v>
      </c>
      <c r="K2190" s="320" t="s">
        <v>7157</v>
      </c>
      <c r="L2190" s="320" t="s">
        <v>7158</v>
      </c>
      <c r="N2190" s="275"/>
      <c r="O2190" s="275"/>
      <c r="P2190" s="275"/>
      <c r="Q2190" s="275"/>
      <c r="R2190" s="275"/>
      <c r="S2190" s="275"/>
      <c r="U2190" s="283" t="e">
        <v>#N/A</v>
      </c>
      <c r="V2190" s="320" t="s">
        <v>7163</v>
      </c>
      <c r="W2190" s="320">
        <v>1</v>
      </c>
      <c r="X2190" s="320">
        <v>1</v>
      </c>
      <c r="Y2190" s="320">
        <v>1</v>
      </c>
      <c r="Z2190" s="320">
        <v>1</v>
      </c>
      <c r="AA2190" s="320">
        <v>1</v>
      </c>
      <c r="AB2190" s="320">
        <v>1</v>
      </c>
      <c r="AC2190" s="316">
        <v>0</v>
      </c>
      <c r="AD2190" s="316">
        <v>1</v>
      </c>
      <c r="AE2190" s="302">
        <f t="shared" si="117"/>
        <v>0.875</v>
      </c>
      <c r="AF2190" s="354"/>
      <c r="AG2190" s="17">
        <v>0</v>
      </c>
      <c r="AH2190" s="354">
        <v>21</v>
      </c>
      <c r="AI2190" s="354">
        <v>18</v>
      </c>
      <c r="AJ2190" s="354">
        <v>18</v>
      </c>
      <c r="AK2190" s="319">
        <v>13</v>
      </c>
      <c r="AL2190" s="319">
        <v>31</v>
      </c>
      <c r="AM2190" s="17">
        <f t="shared" si="118"/>
        <v>44</v>
      </c>
      <c r="AN2190" s="320" t="s">
        <v>6900</v>
      </c>
      <c r="AO2190" s="14" t="s">
        <v>6901</v>
      </c>
      <c r="AP2190" s="320" t="s">
        <v>6938</v>
      </c>
    </row>
    <row r="2191" spans="1:42" s="320" customFormat="1" hidden="1" x14ac:dyDescent="0.3">
      <c r="A2191" s="353" t="s">
        <v>1450</v>
      </c>
      <c r="B2191" s="320" t="s">
        <v>6881</v>
      </c>
      <c r="C2191" s="320" t="s">
        <v>7028</v>
      </c>
      <c r="D2191" s="320" t="s">
        <v>7029</v>
      </c>
      <c r="E2191" s="320" t="s">
        <v>7153</v>
      </c>
      <c r="F2191" s="320" t="s">
        <v>7154</v>
      </c>
      <c r="G2191" s="320" t="s">
        <v>7164</v>
      </c>
      <c r="H2191" s="320" t="s">
        <v>7165</v>
      </c>
      <c r="I2191" s="320" t="s">
        <v>271</v>
      </c>
      <c r="J2191" s="320" t="s">
        <v>271</v>
      </c>
      <c r="K2191" s="320" t="s">
        <v>7166</v>
      </c>
      <c r="L2191" s="320" t="s">
        <v>7158</v>
      </c>
      <c r="M2191" s="320" t="s">
        <v>7167</v>
      </c>
      <c r="N2191" s="275" t="s">
        <v>271</v>
      </c>
      <c r="O2191" s="275" t="s">
        <v>271</v>
      </c>
      <c r="P2191" s="275" t="s">
        <v>271</v>
      </c>
      <c r="Q2191" s="275" t="s">
        <v>271</v>
      </c>
      <c r="R2191" s="275">
        <v>1</v>
      </c>
      <c r="S2191" s="275">
        <v>1</v>
      </c>
      <c r="T2191" s="320" t="s">
        <v>6903</v>
      </c>
      <c r="U2191" s="283" t="e">
        <v>#N/A</v>
      </c>
      <c r="AC2191" s="316">
        <v>0</v>
      </c>
      <c r="AD2191" s="316">
        <v>0</v>
      </c>
      <c r="AE2191" s="302">
        <f t="shared" si="117"/>
        <v>0</v>
      </c>
      <c r="AF2191" s="278"/>
      <c r="AG2191" s="17">
        <v>0</v>
      </c>
      <c r="AH2191" s="278"/>
      <c r="AI2191" s="278"/>
      <c r="AJ2191" s="278"/>
      <c r="AK2191" s="279"/>
      <c r="AL2191" s="279"/>
      <c r="AM2191" s="17">
        <f t="shared" si="118"/>
        <v>0</v>
      </c>
    </row>
    <row r="2192" spans="1:42" s="320" customFormat="1" x14ac:dyDescent="0.3">
      <c r="A2192" s="353" t="s">
        <v>1450</v>
      </c>
      <c r="B2192" s="320" t="s">
        <v>6881</v>
      </c>
      <c r="C2192" s="320" t="s">
        <v>7028</v>
      </c>
      <c r="D2192" s="320" t="s">
        <v>7029</v>
      </c>
      <c r="E2192" s="320" t="s">
        <v>7153</v>
      </c>
      <c r="F2192" s="320" t="s">
        <v>7154</v>
      </c>
      <c r="G2192" s="320" t="s">
        <v>7168</v>
      </c>
      <c r="H2192" s="320" t="s">
        <v>7169</v>
      </c>
      <c r="I2192" s="320" t="s">
        <v>271</v>
      </c>
      <c r="J2192" s="320" t="s">
        <v>271</v>
      </c>
      <c r="K2192" s="320" t="s">
        <v>7170</v>
      </c>
      <c r="L2192" s="320" t="s">
        <v>7171</v>
      </c>
      <c r="M2192" s="320" t="s">
        <v>7172</v>
      </c>
      <c r="N2192" s="275">
        <v>0</v>
      </c>
      <c r="O2192" s="275">
        <v>0</v>
      </c>
      <c r="P2192" s="275">
        <v>0</v>
      </c>
      <c r="Q2192" s="275">
        <v>1</v>
      </c>
      <c r="R2192" s="275">
        <v>1</v>
      </c>
      <c r="S2192" s="275">
        <v>2</v>
      </c>
      <c r="T2192" s="320" t="s">
        <v>6903</v>
      </c>
      <c r="U2192" s="283" t="e">
        <v>#N/A</v>
      </c>
      <c r="V2192" s="320" t="s">
        <v>7173</v>
      </c>
      <c r="W2192" s="320">
        <v>1</v>
      </c>
      <c r="X2192" s="320">
        <v>1</v>
      </c>
      <c r="Y2192" s="320">
        <v>1</v>
      </c>
      <c r="Z2192" s="320">
        <v>1</v>
      </c>
      <c r="AA2192" s="320">
        <v>1</v>
      </c>
      <c r="AB2192" s="320">
        <v>1</v>
      </c>
      <c r="AC2192" s="316">
        <v>0</v>
      </c>
      <c r="AD2192" s="316">
        <v>1</v>
      </c>
      <c r="AE2192" s="302">
        <f t="shared" si="117"/>
        <v>0.875</v>
      </c>
      <c r="AF2192" s="354"/>
      <c r="AG2192" s="17">
        <v>0</v>
      </c>
      <c r="AH2192" s="354">
        <v>0</v>
      </c>
      <c r="AI2192" s="354">
        <v>0</v>
      </c>
      <c r="AJ2192" s="354">
        <v>0</v>
      </c>
      <c r="AK2192" s="319">
        <v>5</v>
      </c>
      <c r="AL2192" s="319">
        <v>5</v>
      </c>
      <c r="AM2192" s="17">
        <f t="shared" si="118"/>
        <v>10</v>
      </c>
      <c r="AN2192" s="320" t="s">
        <v>6900</v>
      </c>
      <c r="AO2192" s="320" t="s">
        <v>6901</v>
      </c>
      <c r="AP2192" s="320" t="s">
        <v>6938</v>
      </c>
    </row>
    <row r="2193" spans="1:42" s="320" customFormat="1" hidden="1" x14ac:dyDescent="0.3">
      <c r="A2193" s="353" t="s">
        <v>1450</v>
      </c>
      <c r="B2193" s="320" t="s">
        <v>6881</v>
      </c>
      <c r="C2193" s="320" t="s">
        <v>7028</v>
      </c>
      <c r="D2193" s="320" t="s">
        <v>7029</v>
      </c>
      <c r="E2193" s="320" t="s">
        <v>7153</v>
      </c>
      <c r="F2193" s="320" t="s">
        <v>7154</v>
      </c>
      <c r="G2193" s="320" t="s">
        <v>7174</v>
      </c>
      <c r="H2193" s="320" t="s">
        <v>7175</v>
      </c>
      <c r="I2193" s="320" t="s">
        <v>271</v>
      </c>
      <c r="J2193" s="320" t="s">
        <v>271</v>
      </c>
      <c r="K2193" s="320" t="s">
        <v>7176</v>
      </c>
      <c r="L2193" s="320" t="s">
        <v>7177</v>
      </c>
      <c r="M2193" s="320" t="s">
        <v>7178</v>
      </c>
      <c r="N2193" s="275">
        <v>3000</v>
      </c>
      <c r="O2193" s="275">
        <v>3500</v>
      </c>
      <c r="P2193" s="275">
        <v>4000</v>
      </c>
      <c r="Q2193" s="275">
        <v>1000</v>
      </c>
      <c r="R2193" s="275">
        <v>1500</v>
      </c>
      <c r="S2193" s="275">
        <v>1700</v>
      </c>
      <c r="T2193" s="320" t="s">
        <v>6903</v>
      </c>
      <c r="U2193" s="283" t="e">
        <v>#N/A</v>
      </c>
      <c r="AC2193" s="316">
        <v>0</v>
      </c>
      <c r="AD2193" s="316">
        <v>0</v>
      </c>
      <c r="AE2193" s="302">
        <f t="shared" si="117"/>
        <v>0</v>
      </c>
      <c r="AF2193" s="278"/>
      <c r="AG2193" s="17">
        <v>0</v>
      </c>
      <c r="AH2193" s="278"/>
      <c r="AI2193" s="278"/>
      <c r="AJ2193" s="278"/>
      <c r="AK2193" s="153"/>
      <c r="AL2193" s="153"/>
      <c r="AM2193" s="17">
        <f t="shared" si="118"/>
        <v>0</v>
      </c>
      <c r="AO2193" s="14"/>
    </row>
    <row r="2194" spans="1:42" s="320" customFormat="1" hidden="1" x14ac:dyDescent="0.3">
      <c r="A2194" s="353" t="s">
        <v>1450</v>
      </c>
      <c r="B2194" s="320" t="s">
        <v>6881</v>
      </c>
      <c r="C2194" s="320" t="s">
        <v>7028</v>
      </c>
      <c r="D2194" s="320" t="s">
        <v>7029</v>
      </c>
      <c r="E2194" s="320" t="s">
        <v>7153</v>
      </c>
      <c r="F2194" s="320" t="s">
        <v>7154</v>
      </c>
      <c r="G2194" s="320" t="s">
        <v>7174</v>
      </c>
      <c r="H2194" s="320" t="s">
        <v>7175</v>
      </c>
      <c r="I2194" s="320" t="s">
        <v>271</v>
      </c>
      <c r="J2194" s="320" t="s">
        <v>271</v>
      </c>
      <c r="K2194" s="320" t="s">
        <v>7176</v>
      </c>
      <c r="L2194" s="320" t="s">
        <v>7177</v>
      </c>
      <c r="M2194" s="320" t="s">
        <v>7179</v>
      </c>
      <c r="N2194" s="275">
        <v>91</v>
      </c>
      <c r="O2194" s="275">
        <v>121</v>
      </c>
      <c r="P2194" s="275">
        <v>160</v>
      </c>
      <c r="Q2194" s="275">
        <v>50</v>
      </c>
      <c r="R2194" s="275">
        <v>100</v>
      </c>
      <c r="S2194" s="275">
        <v>150</v>
      </c>
      <c r="T2194" s="320" t="s">
        <v>6894</v>
      </c>
      <c r="U2194" s="283" t="s">
        <v>6896</v>
      </c>
      <c r="AC2194" s="316">
        <v>0</v>
      </c>
      <c r="AD2194" s="316">
        <v>0</v>
      </c>
      <c r="AE2194" s="302">
        <f t="shared" si="117"/>
        <v>0</v>
      </c>
      <c r="AF2194" s="278"/>
      <c r="AG2194" s="17">
        <v>0</v>
      </c>
      <c r="AH2194" s="278"/>
      <c r="AI2194" s="278"/>
      <c r="AJ2194" s="278"/>
      <c r="AK2194" s="279"/>
      <c r="AL2194" s="279"/>
      <c r="AM2194" s="17">
        <f t="shared" si="118"/>
        <v>0</v>
      </c>
    </row>
    <row r="2195" spans="1:42" s="320" customFormat="1" hidden="1" x14ac:dyDescent="0.3">
      <c r="A2195" s="353" t="s">
        <v>1450</v>
      </c>
      <c r="B2195" s="320" t="s">
        <v>6881</v>
      </c>
      <c r="C2195" s="320" t="s">
        <v>7028</v>
      </c>
      <c r="D2195" s="320" t="s">
        <v>7029</v>
      </c>
      <c r="E2195" s="320" t="s">
        <v>7153</v>
      </c>
      <c r="F2195" s="320" t="s">
        <v>7154</v>
      </c>
      <c r="G2195" s="320" t="s">
        <v>7174</v>
      </c>
      <c r="H2195" s="320" t="s">
        <v>7175</v>
      </c>
      <c r="I2195" s="320" t="s">
        <v>271</v>
      </c>
      <c r="J2195" s="320" t="s">
        <v>271</v>
      </c>
      <c r="K2195" s="320" t="s">
        <v>7176</v>
      </c>
      <c r="L2195" s="320" t="s">
        <v>7177</v>
      </c>
      <c r="M2195" s="320" t="s">
        <v>7180</v>
      </c>
      <c r="N2195" s="275">
        <v>30</v>
      </c>
      <c r="O2195" s="275">
        <v>35</v>
      </c>
      <c r="P2195" s="275">
        <v>40</v>
      </c>
      <c r="Q2195" s="275">
        <v>45</v>
      </c>
      <c r="R2195" s="275">
        <v>48</v>
      </c>
      <c r="S2195" s="275">
        <v>50</v>
      </c>
      <c r="T2195" s="320" t="s">
        <v>6894</v>
      </c>
      <c r="U2195" s="283" t="s">
        <v>6896</v>
      </c>
      <c r="AC2195" s="316">
        <v>0</v>
      </c>
      <c r="AD2195" s="316">
        <v>0</v>
      </c>
      <c r="AE2195" s="302">
        <f t="shared" si="117"/>
        <v>0</v>
      </c>
      <c r="AF2195" s="278"/>
      <c r="AG2195" s="17">
        <v>0</v>
      </c>
      <c r="AH2195" s="278"/>
      <c r="AI2195" s="278"/>
      <c r="AJ2195" s="278"/>
      <c r="AK2195" s="279"/>
      <c r="AL2195" s="279"/>
      <c r="AM2195" s="17">
        <f t="shared" si="118"/>
        <v>0</v>
      </c>
    </row>
    <row r="2196" spans="1:42" s="320" customFormat="1" hidden="1" x14ac:dyDescent="0.3">
      <c r="A2196" s="353" t="s">
        <v>1450</v>
      </c>
      <c r="B2196" s="320" t="s">
        <v>6881</v>
      </c>
      <c r="C2196" s="320" t="s">
        <v>7028</v>
      </c>
      <c r="D2196" s="320" t="s">
        <v>7029</v>
      </c>
      <c r="E2196" s="320" t="s">
        <v>7153</v>
      </c>
      <c r="F2196" s="320" t="s">
        <v>7154</v>
      </c>
      <c r="G2196" s="320" t="s">
        <v>7181</v>
      </c>
      <c r="H2196" s="320" t="s">
        <v>7182</v>
      </c>
      <c r="I2196" s="320" t="s">
        <v>271</v>
      </c>
      <c r="J2196" s="320" t="s">
        <v>271</v>
      </c>
      <c r="K2196" s="320" t="s">
        <v>7183</v>
      </c>
      <c r="L2196" s="320" t="s">
        <v>7184</v>
      </c>
      <c r="M2196" s="320" t="s">
        <v>7185</v>
      </c>
      <c r="N2196" s="275">
        <v>0</v>
      </c>
      <c r="O2196" s="275">
        <v>2</v>
      </c>
      <c r="P2196" s="275">
        <v>4</v>
      </c>
      <c r="Q2196" s="275">
        <v>6</v>
      </c>
      <c r="R2196" s="275">
        <v>8</v>
      </c>
      <c r="S2196" s="275">
        <v>10</v>
      </c>
      <c r="T2196" s="320" t="s">
        <v>7186</v>
      </c>
      <c r="U2196" s="283" t="e">
        <v>#N/A</v>
      </c>
      <c r="AC2196" s="316">
        <v>0</v>
      </c>
      <c r="AD2196" s="316">
        <v>0</v>
      </c>
      <c r="AE2196" s="302">
        <f t="shared" si="117"/>
        <v>0</v>
      </c>
      <c r="AF2196" s="278"/>
      <c r="AG2196" s="17">
        <v>0</v>
      </c>
      <c r="AH2196" s="278"/>
      <c r="AI2196" s="278"/>
      <c r="AJ2196" s="278"/>
      <c r="AK2196" s="279"/>
      <c r="AL2196" s="279"/>
      <c r="AM2196" s="17">
        <f t="shared" si="118"/>
        <v>0</v>
      </c>
    </row>
    <row r="2197" spans="1:42" s="320" customFormat="1" hidden="1" x14ac:dyDescent="0.3">
      <c r="A2197" s="353" t="s">
        <v>1450</v>
      </c>
      <c r="B2197" s="320" t="s">
        <v>6881</v>
      </c>
      <c r="C2197" s="320" t="s">
        <v>7028</v>
      </c>
      <c r="D2197" s="320" t="s">
        <v>7029</v>
      </c>
      <c r="E2197" s="320" t="s">
        <v>7153</v>
      </c>
      <c r="F2197" s="320" t="s">
        <v>7154</v>
      </c>
      <c r="G2197" s="320" t="s">
        <v>7181</v>
      </c>
      <c r="H2197" s="320" t="s">
        <v>7182</v>
      </c>
      <c r="I2197" s="320" t="s">
        <v>271</v>
      </c>
      <c r="J2197" s="320" t="s">
        <v>271</v>
      </c>
      <c r="K2197" s="320" t="s">
        <v>7183</v>
      </c>
      <c r="L2197" s="320" t="s">
        <v>7184</v>
      </c>
      <c r="M2197" s="320" t="s">
        <v>7187</v>
      </c>
      <c r="N2197" s="275">
        <v>73</v>
      </c>
      <c r="O2197" s="275">
        <v>74</v>
      </c>
      <c r="P2197" s="275">
        <v>75</v>
      </c>
      <c r="Q2197" s="275">
        <v>76</v>
      </c>
      <c r="R2197" s="275">
        <v>77</v>
      </c>
      <c r="S2197" s="275">
        <v>78</v>
      </c>
      <c r="T2197" s="320" t="s">
        <v>6903</v>
      </c>
      <c r="U2197" s="283" t="e">
        <v>#N/A</v>
      </c>
      <c r="AC2197" s="316">
        <v>0</v>
      </c>
      <c r="AD2197" s="316">
        <v>0</v>
      </c>
      <c r="AE2197" s="302">
        <f t="shared" si="117"/>
        <v>0</v>
      </c>
      <c r="AF2197" s="278"/>
      <c r="AG2197" s="17">
        <v>0</v>
      </c>
      <c r="AH2197" s="278"/>
      <c r="AI2197" s="278"/>
      <c r="AJ2197" s="278"/>
      <c r="AK2197" s="279"/>
      <c r="AL2197" s="279"/>
      <c r="AM2197" s="17">
        <f t="shared" si="118"/>
        <v>0</v>
      </c>
    </row>
    <row r="2198" spans="1:42" s="320" customFormat="1" hidden="1" x14ac:dyDescent="0.3">
      <c r="A2198" s="353" t="s">
        <v>1450</v>
      </c>
      <c r="B2198" s="320" t="s">
        <v>6881</v>
      </c>
      <c r="C2198" s="320" t="s">
        <v>7028</v>
      </c>
      <c r="D2198" s="320" t="s">
        <v>7029</v>
      </c>
      <c r="E2198" s="320" t="s">
        <v>7153</v>
      </c>
      <c r="F2198" s="320" t="s">
        <v>7154</v>
      </c>
      <c r="G2198" s="320" t="s">
        <v>7181</v>
      </c>
      <c r="H2198" s="320" t="s">
        <v>7182</v>
      </c>
      <c r="I2198" s="320" t="s">
        <v>271</v>
      </c>
      <c r="J2198" s="320" t="s">
        <v>271</v>
      </c>
      <c r="K2198" s="320" t="s">
        <v>7183</v>
      </c>
      <c r="L2198" s="320" t="s">
        <v>7184</v>
      </c>
      <c r="M2198" s="320" t="s">
        <v>7188</v>
      </c>
      <c r="N2198" s="275">
        <v>8.8000000000000007</v>
      </c>
      <c r="O2198" s="275">
        <v>9.8000000000000007</v>
      </c>
      <c r="P2198" s="275">
        <v>10.8</v>
      </c>
      <c r="Q2198" s="275">
        <v>11.8</v>
      </c>
      <c r="R2198" s="275">
        <v>12.8</v>
      </c>
      <c r="S2198" s="275">
        <v>13.8</v>
      </c>
      <c r="T2198" s="320" t="s">
        <v>6894</v>
      </c>
      <c r="U2198" s="283" t="s">
        <v>6896</v>
      </c>
      <c r="AC2198" s="316">
        <v>0</v>
      </c>
      <c r="AD2198" s="316">
        <v>0</v>
      </c>
      <c r="AE2198" s="302">
        <f t="shared" si="117"/>
        <v>0</v>
      </c>
      <c r="AF2198" s="278"/>
      <c r="AG2198" s="17">
        <v>0</v>
      </c>
      <c r="AH2198" s="278"/>
      <c r="AI2198" s="278"/>
      <c r="AJ2198" s="278"/>
      <c r="AK2198" s="279"/>
      <c r="AL2198" s="279"/>
      <c r="AM2198" s="17">
        <f t="shared" si="118"/>
        <v>0</v>
      </c>
    </row>
    <row r="2199" spans="1:42" s="320" customFormat="1" hidden="1" x14ac:dyDescent="0.3">
      <c r="A2199" s="353" t="s">
        <v>1450</v>
      </c>
      <c r="B2199" s="320" t="s">
        <v>6881</v>
      </c>
      <c r="C2199" s="320" t="s">
        <v>7028</v>
      </c>
      <c r="D2199" s="320" t="s">
        <v>7029</v>
      </c>
      <c r="E2199" s="320" t="s">
        <v>7153</v>
      </c>
      <c r="F2199" s="320" t="s">
        <v>7154</v>
      </c>
      <c r="G2199" s="320" t="s">
        <v>7189</v>
      </c>
      <c r="H2199" s="320" t="s">
        <v>7190</v>
      </c>
      <c r="I2199" s="320" t="s">
        <v>271</v>
      </c>
      <c r="J2199" s="320" t="s">
        <v>271</v>
      </c>
      <c r="K2199" s="320" t="s">
        <v>7191</v>
      </c>
      <c r="L2199" s="320" t="s">
        <v>7192</v>
      </c>
      <c r="M2199" s="320" t="s">
        <v>7193</v>
      </c>
      <c r="N2199" s="275" t="s">
        <v>4939</v>
      </c>
      <c r="O2199" s="275" t="s">
        <v>4939</v>
      </c>
      <c r="P2199" s="275" t="s">
        <v>4939</v>
      </c>
      <c r="Q2199" s="275" t="s">
        <v>4939</v>
      </c>
      <c r="R2199" s="275" t="s">
        <v>4939</v>
      </c>
      <c r="S2199" s="275" t="s">
        <v>4939</v>
      </c>
      <c r="T2199" s="320" t="s">
        <v>7194</v>
      </c>
      <c r="U2199" s="283" t="s">
        <v>7396</v>
      </c>
      <c r="AC2199" s="316">
        <v>0</v>
      </c>
      <c r="AD2199" s="316">
        <v>0</v>
      </c>
      <c r="AE2199" s="302">
        <f t="shared" si="117"/>
        <v>0</v>
      </c>
      <c r="AF2199" s="278"/>
      <c r="AG2199" s="17">
        <v>0</v>
      </c>
      <c r="AH2199" s="278"/>
      <c r="AI2199" s="278"/>
      <c r="AJ2199" s="278"/>
      <c r="AK2199" s="279"/>
      <c r="AL2199" s="279"/>
      <c r="AM2199" s="17">
        <f t="shared" si="118"/>
        <v>0</v>
      </c>
    </row>
    <row r="2200" spans="1:42" s="320" customFormat="1" hidden="1" x14ac:dyDescent="0.3">
      <c r="A2200" s="353" t="s">
        <v>1450</v>
      </c>
      <c r="B2200" s="320" t="s">
        <v>6881</v>
      </c>
      <c r="C2200" s="320" t="s">
        <v>7028</v>
      </c>
      <c r="D2200" s="320" t="s">
        <v>7029</v>
      </c>
      <c r="E2200" s="320" t="s">
        <v>7153</v>
      </c>
      <c r="F2200" s="320" t="s">
        <v>7154</v>
      </c>
      <c r="G2200" s="320" t="s">
        <v>7189</v>
      </c>
      <c r="H2200" s="320" t="s">
        <v>7190</v>
      </c>
      <c r="I2200" s="320" t="s">
        <v>271</v>
      </c>
      <c r="J2200" s="320" t="s">
        <v>271</v>
      </c>
      <c r="K2200" s="320" t="s">
        <v>7191</v>
      </c>
      <c r="L2200" s="320" t="s">
        <v>7192</v>
      </c>
      <c r="M2200" s="320" t="s">
        <v>7195</v>
      </c>
      <c r="N2200" s="275">
        <v>1</v>
      </c>
      <c r="O2200" s="275">
        <v>1</v>
      </c>
      <c r="P2200" s="275">
        <v>1</v>
      </c>
      <c r="Q2200" s="275">
        <v>1</v>
      </c>
      <c r="R2200" s="275">
        <v>1</v>
      </c>
      <c r="S2200" s="275">
        <v>1</v>
      </c>
      <c r="T2200" s="320" t="s">
        <v>7071</v>
      </c>
      <c r="U2200" s="283" t="e">
        <v>#N/A</v>
      </c>
      <c r="AC2200" s="316">
        <v>0</v>
      </c>
      <c r="AD2200" s="316">
        <v>0</v>
      </c>
      <c r="AE2200" s="302">
        <f t="shared" si="117"/>
        <v>0</v>
      </c>
      <c r="AF2200" s="278"/>
      <c r="AG2200" s="17">
        <v>0</v>
      </c>
      <c r="AH2200" s="278"/>
      <c r="AI2200" s="278"/>
      <c r="AJ2200" s="278"/>
      <c r="AK2200" s="279"/>
      <c r="AL2200" s="279"/>
      <c r="AM2200" s="17">
        <f t="shared" si="118"/>
        <v>0</v>
      </c>
    </row>
    <row r="2201" spans="1:42" s="320" customFormat="1" hidden="1" x14ac:dyDescent="0.3">
      <c r="A2201" s="353" t="s">
        <v>1450</v>
      </c>
      <c r="B2201" s="320" t="s">
        <v>6881</v>
      </c>
      <c r="C2201" s="320" t="s">
        <v>7028</v>
      </c>
      <c r="D2201" s="320" t="s">
        <v>7029</v>
      </c>
      <c r="E2201" s="320" t="s">
        <v>7153</v>
      </c>
      <c r="F2201" s="320" t="s">
        <v>7154</v>
      </c>
      <c r="G2201" s="320" t="s">
        <v>7189</v>
      </c>
      <c r="H2201" s="320" t="s">
        <v>7190</v>
      </c>
      <c r="I2201" s="320" t="s">
        <v>271</v>
      </c>
      <c r="J2201" s="320" t="s">
        <v>271</v>
      </c>
      <c r="K2201" s="320" t="s">
        <v>7196</v>
      </c>
      <c r="L2201" s="320" t="s">
        <v>7197</v>
      </c>
      <c r="M2201" s="320" t="s">
        <v>7198</v>
      </c>
      <c r="N2201" s="275">
        <v>30</v>
      </c>
      <c r="O2201" s="275">
        <v>35</v>
      </c>
      <c r="P2201" s="275">
        <v>40</v>
      </c>
      <c r="Q2201" s="275">
        <v>45</v>
      </c>
      <c r="R2201" s="275">
        <v>48</v>
      </c>
      <c r="S2201" s="275">
        <v>50</v>
      </c>
      <c r="T2201" s="320" t="s">
        <v>7199</v>
      </c>
      <c r="U2201" s="283" t="e">
        <v>#N/A</v>
      </c>
      <c r="AC2201" s="316">
        <v>0</v>
      </c>
      <c r="AD2201" s="316">
        <v>0</v>
      </c>
      <c r="AE2201" s="302">
        <f t="shared" si="117"/>
        <v>0</v>
      </c>
      <c r="AF2201" s="278"/>
      <c r="AG2201" s="17">
        <v>0</v>
      </c>
      <c r="AH2201" s="278"/>
      <c r="AI2201" s="278"/>
      <c r="AJ2201" s="278"/>
      <c r="AK2201" s="279"/>
      <c r="AL2201" s="279"/>
      <c r="AM2201" s="17">
        <f t="shared" si="118"/>
        <v>0</v>
      </c>
    </row>
    <row r="2202" spans="1:42" s="320" customFormat="1" x14ac:dyDescent="0.3">
      <c r="A2202" s="353" t="s">
        <v>1450</v>
      </c>
      <c r="B2202" s="320" t="s">
        <v>6881</v>
      </c>
      <c r="C2202" s="320" t="s">
        <v>7028</v>
      </c>
      <c r="D2202" s="320" t="s">
        <v>7029</v>
      </c>
      <c r="E2202" s="320" t="s">
        <v>7153</v>
      </c>
      <c r="F2202" s="320" t="s">
        <v>7154</v>
      </c>
      <c r="G2202" s="320" t="s">
        <v>7189</v>
      </c>
      <c r="H2202" s="320" t="s">
        <v>7190</v>
      </c>
      <c r="I2202" s="320" t="s">
        <v>271</v>
      </c>
      <c r="J2202" s="320" t="s">
        <v>271</v>
      </c>
      <c r="K2202" s="320" t="s">
        <v>7200</v>
      </c>
      <c r="L2202" s="320" t="s">
        <v>7201</v>
      </c>
      <c r="M2202" s="320" t="s">
        <v>7202</v>
      </c>
      <c r="N2202" s="275" t="s">
        <v>271</v>
      </c>
      <c r="O2202" s="275">
        <v>5</v>
      </c>
      <c r="P2202" s="275">
        <v>5</v>
      </c>
      <c r="Q2202" s="275">
        <v>5</v>
      </c>
      <c r="R2202" s="275">
        <v>5</v>
      </c>
      <c r="S2202" s="275">
        <v>5</v>
      </c>
      <c r="T2202" s="320" t="s">
        <v>7071</v>
      </c>
      <c r="U2202" s="283" t="e">
        <v>#N/A</v>
      </c>
      <c r="V2202" s="320" t="s">
        <v>7203</v>
      </c>
      <c r="W2202" s="320">
        <v>1</v>
      </c>
      <c r="X2202" s="320">
        <v>1</v>
      </c>
      <c r="Y2202" s="320">
        <v>1</v>
      </c>
      <c r="Z2202" s="320">
        <v>1</v>
      </c>
      <c r="AA2202" s="320">
        <v>1</v>
      </c>
      <c r="AB2202" s="320">
        <v>1</v>
      </c>
      <c r="AC2202" s="316">
        <v>0</v>
      </c>
      <c r="AD2202" s="316">
        <v>1</v>
      </c>
      <c r="AE2202" s="302">
        <f t="shared" si="117"/>
        <v>0.875</v>
      </c>
      <c r="AF2202" s="354"/>
      <c r="AG2202" s="17">
        <v>0</v>
      </c>
      <c r="AH2202" s="354">
        <v>1</v>
      </c>
      <c r="AI2202" s="354">
        <v>1</v>
      </c>
      <c r="AJ2202" s="354">
        <v>1</v>
      </c>
      <c r="AK2202" s="319">
        <v>1</v>
      </c>
      <c r="AL2202" s="319">
        <v>1</v>
      </c>
      <c r="AM2202" s="17">
        <f t="shared" si="118"/>
        <v>2</v>
      </c>
      <c r="AN2202" s="320" t="s">
        <v>7073</v>
      </c>
      <c r="AO2202" s="14" t="s">
        <v>6901</v>
      </c>
      <c r="AP2202" s="320" t="s">
        <v>7204</v>
      </c>
    </row>
    <row r="2203" spans="1:42" s="320" customFormat="1" hidden="1" x14ac:dyDescent="0.3">
      <c r="A2203" s="353" t="s">
        <v>1450</v>
      </c>
      <c r="B2203" s="320" t="s">
        <v>6881</v>
      </c>
      <c r="C2203" s="320" t="s">
        <v>7028</v>
      </c>
      <c r="D2203" s="320" t="s">
        <v>7029</v>
      </c>
      <c r="E2203" s="320" t="s">
        <v>7153</v>
      </c>
      <c r="F2203" s="320" t="s">
        <v>7154</v>
      </c>
      <c r="G2203" s="320" t="s">
        <v>7189</v>
      </c>
      <c r="H2203" s="320" t="s">
        <v>7190</v>
      </c>
      <c r="I2203" s="320" t="s">
        <v>271</v>
      </c>
      <c r="J2203" s="320" t="s">
        <v>271</v>
      </c>
      <c r="K2203" s="320" t="s">
        <v>7200</v>
      </c>
      <c r="L2203" s="320" t="s">
        <v>7201</v>
      </c>
      <c r="M2203" s="320" t="s">
        <v>7205</v>
      </c>
      <c r="N2203" s="275">
        <v>0</v>
      </c>
      <c r="O2203" s="275">
        <v>60</v>
      </c>
      <c r="P2203" s="275">
        <v>101</v>
      </c>
      <c r="Q2203" s="275">
        <v>130</v>
      </c>
      <c r="R2203" s="275">
        <v>300</v>
      </c>
      <c r="S2203" s="275">
        <v>350</v>
      </c>
      <c r="T2203" s="320" t="s">
        <v>7071</v>
      </c>
      <c r="U2203" s="283" t="e">
        <v>#N/A</v>
      </c>
      <c r="V2203" s="320" t="s">
        <v>7206</v>
      </c>
      <c r="W2203" s="320">
        <v>1</v>
      </c>
      <c r="X2203" s="320">
        <v>1</v>
      </c>
      <c r="Y2203" s="320">
        <v>0</v>
      </c>
      <c r="Z2203" s="320">
        <v>1</v>
      </c>
      <c r="AA2203" s="320">
        <v>1</v>
      </c>
      <c r="AB2203" s="320">
        <v>0</v>
      </c>
      <c r="AC2203" s="316">
        <v>0</v>
      </c>
      <c r="AD2203" s="316">
        <v>1</v>
      </c>
      <c r="AE2203" s="302">
        <f t="shared" si="117"/>
        <v>0.625</v>
      </c>
      <c r="AF2203" s="354"/>
      <c r="AG2203" s="17">
        <v>0</v>
      </c>
      <c r="AH2203" s="354">
        <v>0</v>
      </c>
      <c r="AI2203" s="354">
        <v>2.5</v>
      </c>
      <c r="AJ2203" s="23">
        <v>0</v>
      </c>
      <c r="AK2203" s="153">
        <v>0</v>
      </c>
      <c r="AL2203" s="153">
        <v>0</v>
      </c>
      <c r="AM2203" s="17">
        <f t="shared" si="118"/>
        <v>0</v>
      </c>
      <c r="AN2203" s="320" t="s">
        <v>7073</v>
      </c>
      <c r="AO2203" s="14" t="s">
        <v>6901</v>
      </c>
      <c r="AP2203" s="320" t="s">
        <v>6956</v>
      </c>
    </row>
    <row r="2204" spans="1:42" s="320" customFormat="1" x14ac:dyDescent="0.3">
      <c r="A2204" s="353" t="s">
        <v>1450</v>
      </c>
      <c r="B2204" s="320" t="s">
        <v>6881</v>
      </c>
      <c r="C2204" s="320" t="s">
        <v>7028</v>
      </c>
      <c r="D2204" s="320" t="s">
        <v>7029</v>
      </c>
      <c r="E2204" s="320" t="s">
        <v>7153</v>
      </c>
      <c r="F2204" s="320" t="s">
        <v>7154</v>
      </c>
      <c r="G2204" s="320" t="s">
        <v>7189</v>
      </c>
      <c r="H2204" s="320" t="s">
        <v>7190</v>
      </c>
      <c r="I2204" s="320" t="s">
        <v>271</v>
      </c>
      <c r="J2204" s="320" t="s">
        <v>271</v>
      </c>
      <c r="K2204" s="320" t="s">
        <v>7200</v>
      </c>
      <c r="L2204" s="320" t="s">
        <v>7201</v>
      </c>
      <c r="N2204" s="275"/>
      <c r="O2204" s="275"/>
      <c r="P2204" s="275"/>
      <c r="Q2204" s="275"/>
      <c r="R2204" s="275"/>
      <c r="S2204" s="275"/>
      <c r="T2204" s="320" t="s">
        <v>7071</v>
      </c>
      <c r="U2204" s="283" t="e">
        <v>#N/A</v>
      </c>
      <c r="V2204" s="320" t="s">
        <v>7207</v>
      </c>
      <c r="W2204" s="320">
        <v>1</v>
      </c>
      <c r="X2204" s="320">
        <v>1</v>
      </c>
      <c r="Y2204" s="320">
        <v>1</v>
      </c>
      <c r="Z2204" s="320">
        <v>1</v>
      </c>
      <c r="AA2204" s="320">
        <v>0</v>
      </c>
      <c r="AB2204" s="320">
        <v>1</v>
      </c>
      <c r="AC2204" s="316">
        <v>1</v>
      </c>
      <c r="AD2204" s="316">
        <v>0</v>
      </c>
      <c r="AE2204" s="302">
        <f t="shared" si="117"/>
        <v>0.75</v>
      </c>
      <c r="AF2204" s="354"/>
      <c r="AG2204" s="17">
        <v>0</v>
      </c>
      <c r="AH2204" s="354">
        <v>5.0000000000000001E-3</v>
      </c>
      <c r="AI2204" s="354">
        <v>5.0000000000000001E-3</v>
      </c>
      <c r="AJ2204" s="354">
        <v>5.0000000000000001E-3</v>
      </c>
      <c r="AK2204" s="319">
        <v>5.0000000000000001E-3</v>
      </c>
      <c r="AL2204" s="319">
        <v>5.0000000000000001E-3</v>
      </c>
      <c r="AM2204" s="17">
        <f t="shared" si="118"/>
        <v>0.01</v>
      </c>
      <c r="AN2204" s="320" t="s">
        <v>7073</v>
      </c>
      <c r="AO2204" s="14" t="s">
        <v>6901</v>
      </c>
      <c r="AP2204" s="320" t="s">
        <v>6956</v>
      </c>
    </row>
    <row r="2205" spans="1:42" s="320" customFormat="1" x14ac:dyDescent="0.3">
      <c r="A2205" s="353" t="s">
        <v>1450</v>
      </c>
      <c r="B2205" s="320" t="s">
        <v>6881</v>
      </c>
      <c r="C2205" s="320" t="s">
        <v>7028</v>
      </c>
      <c r="D2205" s="320" t="s">
        <v>7029</v>
      </c>
      <c r="E2205" s="320" t="s">
        <v>7153</v>
      </c>
      <c r="F2205" s="320" t="s">
        <v>7154</v>
      </c>
      <c r="G2205" s="320" t="s">
        <v>7189</v>
      </c>
      <c r="H2205" s="320" t="s">
        <v>7190</v>
      </c>
      <c r="I2205" s="320" t="s">
        <v>271</v>
      </c>
      <c r="J2205" s="320" t="s">
        <v>271</v>
      </c>
      <c r="K2205" s="320" t="s">
        <v>7200</v>
      </c>
      <c r="L2205" s="320" t="s">
        <v>7201</v>
      </c>
      <c r="N2205" s="275"/>
      <c r="O2205" s="275"/>
      <c r="P2205" s="275"/>
      <c r="Q2205" s="275"/>
      <c r="R2205" s="275"/>
      <c r="S2205" s="275"/>
      <c r="T2205" s="320" t="s">
        <v>7071</v>
      </c>
      <c r="U2205" s="283" t="e">
        <v>#N/A</v>
      </c>
      <c r="V2205" s="320" t="s">
        <v>7208</v>
      </c>
      <c r="W2205" s="320">
        <v>1</v>
      </c>
      <c r="X2205" s="320">
        <v>1</v>
      </c>
      <c r="Y2205" s="320">
        <v>1</v>
      </c>
      <c r="Z2205" s="320">
        <v>1</v>
      </c>
      <c r="AA2205" s="320">
        <v>1</v>
      </c>
      <c r="AB2205" s="320">
        <v>0</v>
      </c>
      <c r="AC2205" s="316">
        <v>1</v>
      </c>
      <c r="AD2205" s="316">
        <v>1</v>
      </c>
      <c r="AE2205" s="302">
        <f t="shared" si="117"/>
        <v>0.875</v>
      </c>
      <c r="AF2205" s="354"/>
      <c r="AG2205" s="17">
        <v>0</v>
      </c>
      <c r="AH2205" s="354">
        <v>4.2</v>
      </c>
      <c r="AI2205" s="354">
        <v>4.2</v>
      </c>
      <c r="AJ2205" s="354">
        <v>4.2</v>
      </c>
      <c r="AK2205" s="319">
        <v>94.2</v>
      </c>
      <c r="AL2205" s="319">
        <v>94.2</v>
      </c>
      <c r="AM2205" s="17">
        <f t="shared" si="118"/>
        <v>188.4</v>
      </c>
      <c r="AN2205" s="320" t="s">
        <v>7073</v>
      </c>
      <c r="AO2205" s="320" t="s">
        <v>6901</v>
      </c>
      <c r="AP2205" s="320" t="s">
        <v>280</v>
      </c>
    </row>
    <row r="2206" spans="1:42" s="320" customFormat="1" x14ac:dyDescent="0.3">
      <c r="A2206" s="353" t="s">
        <v>1450</v>
      </c>
      <c r="B2206" s="320" t="s">
        <v>6881</v>
      </c>
      <c r="C2206" s="320" t="s">
        <v>7028</v>
      </c>
      <c r="D2206" s="320" t="s">
        <v>7029</v>
      </c>
      <c r="E2206" s="320" t="s">
        <v>7153</v>
      </c>
      <c r="F2206" s="320" t="s">
        <v>7154</v>
      </c>
      <c r="G2206" s="320" t="s">
        <v>7189</v>
      </c>
      <c r="H2206" s="320" t="s">
        <v>7190</v>
      </c>
      <c r="I2206" s="320" t="s">
        <v>271</v>
      </c>
      <c r="J2206" s="320" t="s">
        <v>271</v>
      </c>
      <c r="K2206" s="320" t="s">
        <v>7200</v>
      </c>
      <c r="L2206" s="320" t="s">
        <v>7201</v>
      </c>
      <c r="N2206" s="275"/>
      <c r="O2206" s="275"/>
      <c r="P2206" s="275"/>
      <c r="Q2206" s="275"/>
      <c r="R2206" s="275"/>
      <c r="S2206" s="275"/>
      <c r="T2206" s="320" t="s">
        <v>7071</v>
      </c>
      <c r="U2206" s="283" t="e">
        <v>#N/A</v>
      </c>
      <c r="V2206" s="320" t="s">
        <v>7209</v>
      </c>
      <c r="W2206" s="320">
        <v>1</v>
      </c>
      <c r="X2206" s="320">
        <v>1</v>
      </c>
      <c r="Y2206" s="320">
        <v>1</v>
      </c>
      <c r="Z2206" s="320">
        <v>1</v>
      </c>
      <c r="AA2206" s="320">
        <v>1</v>
      </c>
      <c r="AB2206" s="320">
        <v>1</v>
      </c>
      <c r="AC2206" s="316">
        <v>1</v>
      </c>
      <c r="AD2206" s="316">
        <v>0</v>
      </c>
      <c r="AE2206" s="302">
        <f t="shared" si="117"/>
        <v>0.875</v>
      </c>
      <c r="AF2206" s="354"/>
      <c r="AG2206" s="17">
        <v>0</v>
      </c>
      <c r="AH2206" s="354">
        <v>0</v>
      </c>
      <c r="AI2206" s="354">
        <v>0</v>
      </c>
      <c r="AJ2206" s="354">
        <v>0</v>
      </c>
      <c r="AK2206" s="319">
        <v>0</v>
      </c>
      <c r="AL2206" s="319">
        <v>0</v>
      </c>
      <c r="AM2206" s="17">
        <f t="shared" si="118"/>
        <v>0</v>
      </c>
      <c r="AN2206" s="320" t="s">
        <v>7073</v>
      </c>
      <c r="AO2206" s="320" t="s">
        <v>6901</v>
      </c>
      <c r="AP2206" s="320" t="s">
        <v>7210</v>
      </c>
    </row>
    <row r="2207" spans="1:42" s="320" customFormat="1" x14ac:dyDescent="0.3">
      <c r="A2207" s="353" t="s">
        <v>1450</v>
      </c>
      <c r="B2207" s="320" t="s">
        <v>6881</v>
      </c>
      <c r="C2207" s="320" t="s">
        <v>7028</v>
      </c>
      <c r="D2207" s="320" t="s">
        <v>7029</v>
      </c>
      <c r="E2207" s="320" t="s">
        <v>7153</v>
      </c>
      <c r="F2207" s="320" t="s">
        <v>7154</v>
      </c>
      <c r="G2207" s="320" t="s">
        <v>7189</v>
      </c>
      <c r="H2207" s="320" t="s">
        <v>7190</v>
      </c>
      <c r="I2207" s="320" t="s">
        <v>271</v>
      </c>
      <c r="J2207" s="320" t="s">
        <v>271</v>
      </c>
      <c r="K2207" s="320" t="s">
        <v>7200</v>
      </c>
      <c r="L2207" s="320" t="s">
        <v>7201</v>
      </c>
      <c r="N2207" s="275"/>
      <c r="O2207" s="275"/>
      <c r="P2207" s="275"/>
      <c r="Q2207" s="275"/>
      <c r="R2207" s="275"/>
      <c r="S2207" s="275"/>
      <c r="T2207" s="320" t="s">
        <v>7071</v>
      </c>
      <c r="U2207" s="283" t="e">
        <v>#N/A</v>
      </c>
      <c r="V2207" s="320" t="s">
        <v>7211</v>
      </c>
      <c r="W2207" s="320">
        <v>1</v>
      </c>
      <c r="X2207" s="320">
        <v>1</v>
      </c>
      <c r="Y2207" s="320">
        <v>1</v>
      </c>
      <c r="Z2207" s="320">
        <v>1</v>
      </c>
      <c r="AA2207" s="320">
        <v>1</v>
      </c>
      <c r="AB2207" s="320">
        <v>0</v>
      </c>
      <c r="AC2207" s="316">
        <v>1</v>
      </c>
      <c r="AD2207" s="316">
        <v>1</v>
      </c>
      <c r="AE2207" s="302">
        <f t="shared" si="117"/>
        <v>0.875</v>
      </c>
      <c r="AF2207" s="354"/>
      <c r="AG2207" s="17">
        <v>0</v>
      </c>
      <c r="AH2207" s="354">
        <v>1.2</v>
      </c>
      <c r="AI2207" s="354">
        <v>1.6</v>
      </c>
      <c r="AJ2207" s="354">
        <v>2</v>
      </c>
      <c r="AK2207" s="319">
        <v>4</v>
      </c>
      <c r="AL2207" s="319">
        <v>4</v>
      </c>
      <c r="AM2207" s="17">
        <f t="shared" si="118"/>
        <v>8</v>
      </c>
      <c r="AN2207" s="320" t="s">
        <v>7073</v>
      </c>
      <c r="AO2207" s="320" t="s">
        <v>6901</v>
      </c>
      <c r="AP2207" s="320" t="s">
        <v>6900</v>
      </c>
    </row>
    <row r="2208" spans="1:42" s="320" customFormat="1" x14ac:dyDescent="0.3">
      <c r="A2208" s="353" t="s">
        <v>1450</v>
      </c>
      <c r="B2208" s="320" t="s">
        <v>6881</v>
      </c>
      <c r="C2208" s="320" t="s">
        <v>7028</v>
      </c>
      <c r="D2208" s="320" t="s">
        <v>7029</v>
      </c>
      <c r="E2208" s="320" t="s">
        <v>7153</v>
      </c>
      <c r="F2208" s="320" t="s">
        <v>7154</v>
      </c>
      <c r="G2208" s="320" t="s">
        <v>7189</v>
      </c>
      <c r="H2208" s="320" t="s">
        <v>7190</v>
      </c>
      <c r="I2208" s="320" t="s">
        <v>271</v>
      </c>
      <c r="J2208" s="320" t="s">
        <v>271</v>
      </c>
      <c r="K2208" s="320" t="s">
        <v>7200</v>
      </c>
      <c r="L2208" s="320" t="s">
        <v>7201</v>
      </c>
      <c r="N2208" s="275"/>
      <c r="O2208" s="275"/>
      <c r="P2208" s="275"/>
      <c r="Q2208" s="275"/>
      <c r="R2208" s="275"/>
      <c r="S2208" s="275"/>
      <c r="T2208" s="320" t="s">
        <v>7071</v>
      </c>
      <c r="U2208" s="283" t="e">
        <v>#N/A</v>
      </c>
      <c r="V2208" s="320" t="s">
        <v>7212</v>
      </c>
      <c r="W2208" s="320">
        <v>1</v>
      </c>
      <c r="X2208" s="320">
        <v>1</v>
      </c>
      <c r="Y2208" s="320">
        <v>1</v>
      </c>
      <c r="Z2208" s="320">
        <v>1</v>
      </c>
      <c r="AA2208" s="320">
        <v>1</v>
      </c>
      <c r="AB2208" s="320">
        <v>0</v>
      </c>
      <c r="AC2208" s="316">
        <v>1</v>
      </c>
      <c r="AD2208" s="316">
        <v>1</v>
      </c>
      <c r="AE2208" s="302">
        <f t="shared" si="117"/>
        <v>0.875</v>
      </c>
      <c r="AF2208" s="23"/>
      <c r="AG2208" s="17">
        <v>0</v>
      </c>
      <c r="AH2208" s="23">
        <v>0</v>
      </c>
      <c r="AI2208" s="23">
        <v>0</v>
      </c>
      <c r="AJ2208" s="23">
        <v>0</v>
      </c>
      <c r="AK2208" s="153">
        <v>0</v>
      </c>
      <c r="AL2208" s="153">
        <v>0</v>
      </c>
      <c r="AM2208" s="17">
        <f t="shared" si="118"/>
        <v>0</v>
      </c>
      <c r="AN2208" s="320" t="s">
        <v>7073</v>
      </c>
      <c r="AO2208" s="14" t="s">
        <v>6901</v>
      </c>
      <c r="AP2208" s="320" t="s">
        <v>119</v>
      </c>
    </row>
    <row r="2209" spans="1:42" s="320" customFormat="1" x14ac:dyDescent="0.3">
      <c r="A2209" s="353" t="s">
        <v>1450</v>
      </c>
      <c r="B2209" s="320" t="s">
        <v>6881</v>
      </c>
      <c r="C2209" s="320" t="s">
        <v>7028</v>
      </c>
      <c r="D2209" s="320" t="s">
        <v>7029</v>
      </c>
      <c r="E2209" s="320" t="s">
        <v>7153</v>
      </c>
      <c r="F2209" s="320" t="s">
        <v>7154</v>
      </c>
      <c r="G2209" s="320" t="s">
        <v>7213</v>
      </c>
      <c r="H2209" s="320" t="s">
        <v>7214</v>
      </c>
      <c r="I2209" s="320" t="s">
        <v>271</v>
      </c>
      <c r="J2209" s="320" t="s">
        <v>271</v>
      </c>
      <c r="K2209" s="320" t="s">
        <v>7215</v>
      </c>
      <c r="L2209" s="320" t="s">
        <v>7216</v>
      </c>
      <c r="M2209" s="320" t="s">
        <v>7216</v>
      </c>
      <c r="N2209" s="280">
        <v>0.1</v>
      </c>
      <c r="O2209" s="280">
        <v>0.1</v>
      </c>
      <c r="P2209" s="280">
        <v>0.2</v>
      </c>
      <c r="Q2209" s="281">
        <v>30</v>
      </c>
      <c r="R2209" s="275">
        <v>60</v>
      </c>
      <c r="S2209" s="275">
        <v>100</v>
      </c>
      <c r="T2209" s="320" t="s">
        <v>6903</v>
      </c>
      <c r="U2209" s="283" t="e">
        <v>#N/A</v>
      </c>
      <c r="V2209" s="320" t="s">
        <v>7217</v>
      </c>
      <c r="W2209" s="320">
        <v>1</v>
      </c>
      <c r="X2209" s="320">
        <v>1</v>
      </c>
      <c r="Y2209" s="320">
        <v>0</v>
      </c>
      <c r="Z2209" s="320">
        <v>1</v>
      </c>
      <c r="AA2209" s="320">
        <v>1</v>
      </c>
      <c r="AB2209" s="320">
        <v>1</v>
      </c>
      <c r="AC2209" s="316">
        <v>0</v>
      </c>
      <c r="AD2209" s="316">
        <v>1</v>
      </c>
      <c r="AE2209" s="302">
        <f t="shared" si="117"/>
        <v>0.75</v>
      </c>
      <c r="AF2209" s="354"/>
      <c r="AG2209" s="17">
        <v>0</v>
      </c>
      <c r="AH2209" s="354">
        <v>4</v>
      </c>
      <c r="AI2209" s="354">
        <v>20</v>
      </c>
      <c r="AJ2209" s="354">
        <v>16</v>
      </c>
      <c r="AK2209" s="319">
        <v>2</v>
      </c>
      <c r="AL2209" s="319">
        <v>2</v>
      </c>
      <c r="AM2209" s="17">
        <f t="shared" si="118"/>
        <v>4</v>
      </c>
      <c r="AN2209" s="320" t="s">
        <v>6900</v>
      </c>
      <c r="AO2209" s="14" t="s">
        <v>6901</v>
      </c>
      <c r="AP2209" s="320" t="s">
        <v>7218</v>
      </c>
    </row>
    <row r="2210" spans="1:42" s="320" customFormat="1" hidden="1" x14ac:dyDescent="0.3">
      <c r="A2210" s="353" t="s">
        <v>1450</v>
      </c>
      <c r="B2210" s="320" t="s">
        <v>6881</v>
      </c>
      <c r="C2210" s="320" t="s">
        <v>7028</v>
      </c>
      <c r="D2210" s="320" t="s">
        <v>7029</v>
      </c>
      <c r="E2210" s="320" t="s">
        <v>7153</v>
      </c>
      <c r="F2210" s="320" t="s">
        <v>7154</v>
      </c>
      <c r="G2210" s="320" t="s">
        <v>7213</v>
      </c>
      <c r="H2210" s="320" t="s">
        <v>7214</v>
      </c>
      <c r="I2210" s="320" t="s">
        <v>271</v>
      </c>
      <c r="J2210" s="320" t="s">
        <v>271</v>
      </c>
      <c r="K2210" s="320" t="s">
        <v>7215</v>
      </c>
      <c r="L2210" s="320" t="s">
        <v>7216</v>
      </c>
      <c r="N2210" s="280"/>
      <c r="O2210" s="280"/>
      <c r="P2210" s="280"/>
      <c r="Q2210" s="281"/>
      <c r="R2210" s="275"/>
      <c r="S2210" s="275"/>
      <c r="T2210" s="320" t="s">
        <v>6903</v>
      </c>
      <c r="U2210" s="283" t="e">
        <v>#N/A</v>
      </c>
      <c r="V2210" s="320" t="s">
        <v>7219</v>
      </c>
      <c r="W2210" s="320">
        <v>1</v>
      </c>
      <c r="X2210" s="320">
        <v>1</v>
      </c>
      <c r="Y2210" s="320">
        <v>0</v>
      </c>
      <c r="Z2210" s="320">
        <v>1</v>
      </c>
      <c r="AA2210" s="320">
        <v>1</v>
      </c>
      <c r="AB2210" s="320">
        <v>0</v>
      </c>
      <c r="AC2210" s="316">
        <v>1</v>
      </c>
      <c r="AD2210" s="316">
        <v>0</v>
      </c>
      <c r="AE2210" s="302">
        <f t="shared" si="117"/>
        <v>0.625</v>
      </c>
      <c r="AF2210" s="23"/>
      <c r="AG2210" s="17">
        <v>0</v>
      </c>
      <c r="AH2210" s="23">
        <v>0</v>
      </c>
      <c r="AI2210" s="23">
        <v>0</v>
      </c>
      <c r="AJ2210" s="23">
        <v>0</v>
      </c>
      <c r="AK2210" s="153">
        <v>0</v>
      </c>
      <c r="AL2210" s="153">
        <v>0</v>
      </c>
      <c r="AM2210" s="17">
        <f t="shared" si="118"/>
        <v>0</v>
      </c>
      <c r="AN2210" s="320" t="s">
        <v>6900</v>
      </c>
      <c r="AO2210" s="14" t="s">
        <v>6901</v>
      </c>
      <c r="AP2210" s="320" t="s">
        <v>119</v>
      </c>
    </row>
    <row r="2211" spans="1:42" s="320" customFormat="1" x14ac:dyDescent="0.3">
      <c r="A2211" s="353" t="s">
        <v>1450</v>
      </c>
      <c r="B2211" s="320" t="s">
        <v>6881</v>
      </c>
      <c r="C2211" s="320" t="s">
        <v>7028</v>
      </c>
      <c r="D2211" s="320" t="s">
        <v>7029</v>
      </c>
      <c r="E2211" s="320" t="s">
        <v>7153</v>
      </c>
      <c r="F2211" s="320" t="s">
        <v>7154</v>
      </c>
      <c r="G2211" s="320" t="s">
        <v>7213</v>
      </c>
      <c r="H2211" s="320" t="s">
        <v>7214</v>
      </c>
      <c r="I2211" s="320" t="s">
        <v>271</v>
      </c>
      <c r="J2211" s="320" t="s">
        <v>271</v>
      </c>
      <c r="K2211" s="320" t="s">
        <v>7220</v>
      </c>
      <c r="L2211" s="320" t="s">
        <v>7221</v>
      </c>
      <c r="M2211" s="320" t="s">
        <v>7222</v>
      </c>
      <c r="N2211" s="275">
        <v>3</v>
      </c>
      <c r="O2211" s="275">
        <v>3</v>
      </c>
      <c r="P2211" s="275">
        <v>3</v>
      </c>
      <c r="Q2211" s="275">
        <v>3</v>
      </c>
      <c r="R2211" s="275">
        <v>3</v>
      </c>
      <c r="S2211" s="275">
        <v>4</v>
      </c>
      <c r="T2211" s="320" t="s">
        <v>6903</v>
      </c>
      <c r="U2211" s="283" t="e">
        <v>#N/A</v>
      </c>
      <c r="V2211" s="320" t="s">
        <v>7223</v>
      </c>
      <c r="W2211" s="320">
        <v>1</v>
      </c>
      <c r="X2211" s="320">
        <v>1</v>
      </c>
      <c r="Y2211" s="320">
        <v>1</v>
      </c>
      <c r="Z2211" s="320">
        <v>1</v>
      </c>
      <c r="AA2211" s="320">
        <v>0</v>
      </c>
      <c r="AB2211" s="320">
        <v>1</v>
      </c>
      <c r="AC2211" s="316"/>
      <c r="AD2211" s="316">
        <v>1</v>
      </c>
      <c r="AE2211" s="302">
        <f t="shared" si="117"/>
        <v>0.75</v>
      </c>
      <c r="AF2211" s="23"/>
      <c r="AG2211" s="17">
        <v>0</v>
      </c>
      <c r="AH2211" s="23">
        <v>0</v>
      </c>
      <c r="AI2211" s="354">
        <v>0.5</v>
      </c>
      <c r="AJ2211" s="354">
        <v>0.75</v>
      </c>
      <c r="AK2211" s="319">
        <v>7</v>
      </c>
      <c r="AL2211" s="319">
        <v>7</v>
      </c>
      <c r="AM2211" s="17">
        <f t="shared" si="118"/>
        <v>14</v>
      </c>
      <c r="AN2211" s="320" t="s">
        <v>6900</v>
      </c>
      <c r="AO2211" s="14" t="s">
        <v>6901</v>
      </c>
      <c r="AP2211" s="320" t="s">
        <v>7224</v>
      </c>
    </row>
    <row r="2212" spans="1:42" s="320" customFormat="1" x14ac:dyDescent="0.3">
      <c r="A2212" s="353" t="s">
        <v>1450</v>
      </c>
      <c r="B2212" s="320" t="s">
        <v>6881</v>
      </c>
      <c r="C2212" s="320" t="s">
        <v>7028</v>
      </c>
      <c r="D2212" s="320" t="s">
        <v>7029</v>
      </c>
      <c r="E2212" s="320" t="s">
        <v>7153</v>
      </c>
      <c r="F2212" s="320" t="s">
        <v>7154</v>
      </c>
      <c r="G2212" s="320" t="s">
        <v>7213</v>
      </c>
      <c r="H2212" s="320" t="s">
        <v>7214</v>
      </c>
      <c r="I2212" s="320" t="s">
        <v>271</v>
      </c>
      <c r="J2212" s="320" t="s">
        <v>271</v>
      </c>
      <c r="K2212" s="320" t="s">
        <v>7220</v>
      </c>
      <c r="L2212" s="320" t="s">
        <v>7221</v>
      </c>
      <c r="N2212" s="275"/>
      <c r="O2212" s="275"/>
      <c r="P2212" s="275"/>
      <c r="Q2212" s="275"/>
      <c r="R2212" s="275"/>
      <c r="S2212" s="275"/>
      <c r="T2212" s="320" t="s">
        <v>6903</v>
      </c>
      <c r="U2212" s="283" t="e">
        <v>#N/A</v>
      </c>
      <c r="V2212" s="320" t="s">
        <v>7225</v>
      </c>
      <c r="W2212" s="320">
        <v>1</v>
      </c>
      <c r="X2212" s="320">
        <v>1</v>
      </c>
      <c r="Y2212" s="320">
        <v>1</v>
      </c>
      <c r="Z2212" s="320">
        <v>1</v>
      </c>
      <c r="AA2212" s="320">
        <v>1</v>
      </c>
      <c r="AB2212" s="320">
        <v>1</v>
      </c>
      <c r="AC2212" s="316">
        <v>0</v>
      </c>
      <c r="AD2212" s="316">
        <v>1</v>
      </c>
      <c r="AE2212" s="302">
        <f t="shared" si="117"/>
        <v>0.875</v>
      </c>
      <c r="AF2212" s="354"/>
      <c r="AG2212" s="17">
        <v>0</v>
      </c>
      <c r="AH2212" s="354">
        <v>13</v>
      </c>
      <c r="AI2212" s="354">
        <v>15</v>
      </c>
      <c r="AJ2212" s="354">
        <v>18</v>
      </c>
      <c r="AK2212" s="319">
        <v>13</v>
      </c>
      <c r="AL2212" s="319">
        <v>27</v>
      </c>
      <c r="AM2212" s="17">
        <f t="shared" si="118"/>
        <v>40</v>
      </c>
      <c r="AN2212" s="320" t="s">
        <v>7226</v>
      </c>
      <c r="AO2212" s="14" t="s">
        <v>6901</v>
      </c>
      <c r="AP2212" s="320" t="s">
        <v>6900</v>
      </c>
    </row>
    <row r="2213" spans="1:42" s="320" customFormat="1" x14ac:dyDescent="0.3">
      <c r="A2213" s="353" t="s">
        <v>1450</v>
      </c>
      <c r="B2213" s="320" t="s">
        <v>6881</v>
      </c>
      <c r="C2213" s="320" t="s">
        <v>7028</v>
      </c>
      <c r="D2213" s="320" t="s">
        <v>7029</v>
      </c>
      <c r="E2213" s="320" t="s">
        <v>7153</v>
      </c>
      <c r="F2213" s="320" t="s">
        <v>7154</v>
      </c>
      <c r="G2213" s="320" t="s">
        <v>7213</v>
      </c>
      <c r="H2213" s="320" t="s">
        <v>7214</v>
      </c>
      <c r="I2213" s="320" t="s">
        <v>271</v>
      </c>
      <c r="J2213" s="320" t="s">
        <v>271</v>
      </c>
      <c r="K2213" s="320" t="s">
        <v>7220</v>
      </c>
      <c r="L2213" s="320" t="s">
        <v>7221</v>
      </c>
      <c r="M2213" s="320" t="s">
        <v>7227</v>
      </c>
      <c r="N2213" s="275">
        <v>55000</v>
      </c>
      <c r="O2213" s="275">
        <v>60000</v>
      </c>
      <c r="P2213" s="275">
        <v>80000</v>
      </c>
      <c r="Q2213" s="275">
        <v>110000</v>
      </c>
      <c r="R2213" s="275">
        <v>150000</v>
      </c>
      <c r="S2213" s="275">
        <v>200000</v>
      </c>
      <c r="T2213" s="320" t="s">
        <v>6903</v>
      </c>
      <c r="U2213" s="283" t="e">
        <v>#N/A</v>
      </c>
      <c r="V2213" s="320" t="s">
        <v>7228</v>
      </c>
      <c r="W2213" s="320">
        <v>1</v>
      </c>
      <c r="X2213" s="320">
        <v>1</v>
      </c>
      <c r="Y2213" s="320">
        <v>1</v>
      </c>
      <c r="Z2213" s="320">
        <v>1</v>
      </c>
      <c r="AA2213" s="320">
        <v>0</v>
      </c>
      <c r="AB2213" s="320">
        <v>1</v>
      </c>
      <c r="AC2213" s="316">
        <v>1</v>
      </c>
      <c r="AD2213" s="316">
        <v>1</v>
      </c>
      <c r="AE2213" s="302">
        <f t="shared" si="117"/>
        <v>0.875</v>
      </c>
      <c r="AF2213" s="354"/>
      <c r="AG2213" s="17">
        <v>0</v>
      </c>
      <c r="AH2213" s="354">
        <v>1.2</v>
      </c>
      <c r="AI2213" s="354">
        <v>1.66</v>
      </c>
      <c r="AJ2213" s="354">
        <v>1.66</v>
      </c>
      <c r="AK2213" s="319">
        <v>17</v>
      </c>
      <c r="AL2213" s="319">
        <v>8.1935044707640259</v>
      </c>
      <c r="AM2213" s="17">
        <f t="shared" si="118"/>
        <v>25.193504470764026</v>
      </c>
      <c r="AN2213" s="320" t="s">
        <v>6900</v>
      </c>
      <c r="AO2213" s="14" t="s">
        <v>6901</v>
      </c>
      <c r="AP2213" s="320" t="s">
        <v>6938</v>
      </c>
    </row>
    <row r="2214" spans="1:42" s="320" customFormat="1" x14ac:dyDescent="0.3">
      <c r="A2214" s="353" t="s">
        <v>1450</v>
      </c>
      <c r="B2214" s="320" t="s">
        <v>6881</v>
      </c>
      <c r="C2214" s="320" t="s">
        <v>7028</v>
      </c>
      <c r="D2214" s="320" t="s">
        <v>7029</v>
      </c>
      <c r="E2214" s="320" t="s">
        <v>7153</v>
      </c>
      <c r="F2214" s="320" t="s">
        <v>7154</v>
      </c>
      <c r="G2214" s="320" t="s">
        <v>7213</v>
      </c>
      <c r="H2214" s="320" t="s">
        <v>7214</v>
      </c>
      <c r="I2214" s="320" t="s">
        <v>271</v>
      </c>
      <c r="J2214" s="320" t="s">
        <v>271</v>
      </c>
      <c r="K2214" s="320" t="s">
        <v>7220</v>
      </c>
      <c r="L2214" s="320" t="s">
        <v>7221</v>
      </c>
      <c r="N2214" s="275"/>
      <c r="O2214" s="275"/>
      <c r="P2214" s="275"/>
      <c r="Q2214" s="275"/>
      <c r="R2214" s="275"/>
      <c r="S2214" s="275"/>
      <c r="T2214" s="320" t="s">
        <v>6903</v>
      </c>
      <c r="U2214" s="283" t="e">
        <v>#N/A</v>
      </c>
      <c r="V2214" s="320" t="s">
        <v>7229</v>
      </c>
      <c r="W2214" s="320">
        <v>1</v>
      </c>
      <c r="X2214" s="320">
        <v>1</v>
      </c>
      <c r="Y2214" s="320">
        <v>0</v>
      </c>
      <c r="Z2214" s="320">
        <v>1</v>
      </c>
      <c r="AA2214" s="320">
        <v>1</v>
      </c>
      <c r="AB2214" s="320">
        <v>1</v>
      </c>
      <c r="AC2214" s="316">
        <v>0</v>
      </c>
      <c r="AD2214" s="316">
        <v>1</v>
      </c>
      <c r="AE2214" s="302">
        <f t="shared" si="117"/>
        <v>0.75</v>
      </c>
      <c r="AF2214" s="354"/>
      <c r="AG2214" s="17">
        <v>0</v>
      </c>
      <c r="AH2214" s="354">
        <v>0.5</v>
      </c>
      <c r="AI2214" s="354">
        <v>0.5</v>
      </c>
      <c r="AJ2214" s="354">
        <v>0.5</v>
      </c>
      <c r="AK2214" s="319">
        <v>0.5</v>
      </c>
      <c r="AL2214" s="319">
        <v>0.5</v>
      </c>
      <c r="AM2214" s="17">
        <f t="shared" si="118"/>
        <v>1</v>
      </c>
      <c r="AN2214" s="320" t="s">
        <v>6900</v>
      </c>
      <c r="AO2214" s="14" t="s">
        <v>6901</v>
      </c>
      <c r="AP2214" s="320" t="s">
        <v>7218</v>
      </c>
    </row>
    <row r="2215" spans="1:42" s="320" customFormat="1" x14ac:dyDescent="0.3">
      <c r="A2215" s="353" t="s">
        <v>1450</v>
      </c>
      <c r="B2215" s="320" t="s">
        <v>6881</v>
      </c>
      <c r="C2215" s="320" t="s">
        <v>7028</v>
      </c>
      <c r="D2215" s="320" t="s">
        <v>7029</v>
      </c>
      <c r="E2215" s="320" t="s">
        <v>7153</v>
      </c>
      <c r="F2215" s="320" t="s">
        <v>7154</v>
      </c>
      <c r="G2215" s="320" t="s">
        <v>7213</v>
      </c>
      <c r="H2215" s="320" t="s">
        <v>7214</v>
      </c>
      <c r="I2215" s="320" t="s">
        <v>271</v>
      </c>
      <c r="J2215" s="320" t="s">
        <v>271</v>
      </c>
      <c r="K2215" s="320" t="s">
        <v>7220</v>
      </c>
      <c r="L2215" s="320" t="s">
        <v>7221</v>
      </c>
      <c r="N2215" s="275"/>
      <c r="O2215" s="275"/>
      <c r="P2215" s="275"/>
      <c r="Q2215" s="275"/>
      <c r="R2215" s="275"/>
      <c r="S2215" s="275"/>
      <c r="T2215" s="320" t="s">
        <v>6903</v>
      </c>
      <c r="U2215" s="283" t="e">
        <v>#N/A</v>
      </c>
      <c r="V2215" s="320" t="s">
        <v>7230</v>
      </c>
      <c r="W2215" s="320">
        <v>1</v>
      </c>
      <c r="Y2215" s="320">
        <v>1</v>
      </c>
      <c r="Z2215" s="320">
        <v>1</v>
      </c>
      <c r="AA2215" s="320">
        <v>1</v>
      </c>
      <c r="AC2215" s="316">
        <v>1</v>
      </c>
      <c r="AD2215" s="316">
        <v>1</v>
      </c>
      <c r="AE2215" s="302">
        <f t="shared" si="117"/>
        <v>0.75</v>
      </c>
      <c r="AF2215" s="354"/>
      <c r="AG2215" s="17">
        <v>0</v>
      </c>
      <c r="AH2215" s="354">
        <v>0.5</v>
      </c>
      <c r="AI2215" s="354">
        <v>0.6</v>
      </c>
      <c r="AJ2215" s="354">
        <v>0.6</v>
      </c>
      <c r="AK2215" s="319">
        <v>1</v>
      </c>
      <c r="AL2215" s="319">
        <v>0.6</v>
      </c>
      <c r="AM2215" s="17">
        <f t="shared" si="118"/>
        <v>1.6</v>
      </c>
      <c r="AN2215" s="320" t="s">
        <v>6900</v>
      </c>
      <c r="AO2215" s="14" t="s">
        <v>6901</v>
      </c>
      <c r="AP2215" s="320" t="s">
        <v>3829</v>
      </c>
    </row>
    <row r="2216" spans="1:42" s="320" customFormat="1" x14ac:dyDescent="0.3">
      <c r="A2216" s="353" t="s">
        <v>1450</v>
      </c>
      <c r="B2216" s="320" t="s">
        <v>6881</v>
      </c>
      <c r="C2216" s="320" t="s">
        <v>7028</v>
      </c>
      <c r="D2216" s="320" t="s">
        <v>7029</v>
      </c>
      <c r="E2216" s="320" t="s">
        <v>7153</v>
      </c>
      <c r="F2216" s="320" t="s">
        <v>7154</v>
      </c>
      <c r="G2216" s="320" t="s">
        <v>7213</v>
      </c>
      <c r="H2216" s="320" t="s">
        <v>7214</v>
      </c>
      <c r="I2216" s="320" t="s">
        <v>271</v>
      </c>
      <c r="J2216" s="320" t="s">
        <v>271</v>
      </c>
      <c r="K2216" s="320" t="s">
        <v>7220</v>
      </c>
      <c r="L2216" s="320" t="s">
        <v>7221</v>
      </c>
      <c r="N2216" s="275"/>
      <c r="O2216" s="275"/>
      <c r="P2216" s="275"/>
      <c r="Q2216" s="275"/>
      <c r="R2216" s="275"/>
      <c r="S2216" s="275"/>
      <c r="T2216" s="320" t="s">
        <v>6903</v>
      </c>
      <c r="U2216" s="283" t="e">
        <v>#N/A</v>
      </c>
      <c r="V2216" s="320" t="s">
        <v>7231</v>
      </c>
      <c r="W2216" s="320">
        <v>1</v>
      </c>
      <c r="X2216" s="320">
        <v>1</v>
      </c>
      <c r="Y2216" s="320">
        <v>1</v>
      </c>
      <c r="Z2216" s="320">
        <v>0</v>
      </c>
      <c r="AA2216" s="320">
        <v>0</v>
      </c>
      <c r="AB2216" s="320">
        <v>1</v>
      </c>
      <c r="AC2216" s="316">
        <v>1</v>
      </c>
      <c r="AD2216" s="316">
        <v>1</v>
      </c>
      <c r="AE2216" s="302">
        <f t="shared" si="117"/>
        <v>0.75</v>
      </c>
      <c r="AF2216" s="354"/>
      <c r="AG2216" s="17">
        <v>0</v>
      </c>
      <c r="AH2216" s="354">
        <v>2.5</v>
      </c>
      <c r="AI2216" s="354">
        <v>3</v>
      </c>
      <c r="AJ2216" s="354">
        <v>3</v>
      </c>
      <c r="AK2216" s="319">
        <v>3</v>
      </c>
      <c r="AL2216" s="319">
        <v>3</v>
      </c>
      <c r="AM2216" s="17">
        <f t="shared" si="118"/>
        <v>6</v>
      </c>
      <c r="AN2216" s="320" t="s">
        <v>7226</v>
      </c>
      <c r="AO2216" s="14" t="s">
        <v>6901</v>
      </c>
      <c r="AP2216" s="320" t="s">
        <v>6900</v>
      </c>
    </row>
    <row r="2217" spans="1:42" s="320" customFormat="1" x14ac:dyDescent="0.3">
      <c r="A2217" s="353" t="s">
        <v>1450</v>
      </c>
      <c r="B2217" s="320" t="s">
        <v>6881</v>
      </c>
      <c r="C2217" s="320" t="s">
        <v>7028</v>
      </c>
      <c r="D2217" s="320" t="s">
        <v>7029</v>
      </c>
      <c r="E2217" s="320" t="s">
        <v>7153</v>
      </c>
      <c r="F2217" s="320" t="s">
        <v>7154</v>
      </c>
      <c r="G2217" s="320" t="s">
        <v>7213</v>
      </c>
      <c r="H2217" s="320" t="s">
        <v>7214</v>
      </c>
      <c r="I2217" s="320" t="s">
        <v>271</v>
      </c>
      <c r="J2217" s="320" t="s">
        <v>271</v>
      </c>
      <c r="K2217" s="320" t="s">
        <v>7232</v>
      </c>
      <c r="L2217" s="320" t="s">
        <v>7233</v>
      </c>
      <c r="M2217" s="320" t="s">
        <v>7234</v>
      </c>
      <c r="N2217" s="275">
        <v>0</v>
      </c>
      <c r="O2217" s="275"/>
      <c r="P2217" s="275">
        <v>1</v>
      </c>
      <c r="Q2217" s="275"/>
      <c r="R2217" s="275"/>
      <c r="S2217" s="275">
        <v>1</v>
      </c>
      <c r="T2217" s="320" t="s">
        <v>6903</v>
      </c>
      <c r="U2217" s="283" t="e">
        <v>#N/A</v>
      </c>
      <c r="V2217" s="320" t="s">
        <v>7235</v>
      </c>
      <c r="W2217" s="320">
        <v>1</v>
      </c>
      <c r="X2217" s="320">
        <v>1</v>
      </c>
      <c r="Y2217" s="320">
        <v>1</v>
      </c>
      <c r="Z2217" s="320">
        <v>1</v>
      </c>
      <c r="AA2217" s="320">
        <v>1</v>
      </c>
      <c r="AB2217" s="320">
        <v>1</v>
      </c>
      <c r="AC2217" s="316">
        <v>1</v>
      </c>
      <c r="AD2217" s="316">
        <v>1</v>
      </c>
      <c r="AE2217" s="302">
        <f t="shared" si="117"/>
        <v>1</v>
      </c>
      <c r="AF2217" s="354"/>
      <c r="AG2217" s="17">
        <v>0</v>
      </c>
      <c r="AH2217" s="354">
        <v>0.8</v>
      </c>
      <c r="AI2217" s="354">
        <v>0.8</v>
      </c>
      <c r="AJ2217" s="354">
        <v>0.88</v>
      </c>
      <c r="AK2217" s="319">
        <v>0.88</v>
      </c>
      <c r="AL2217" s="319">
        <v>1.1499999999999999</v>
      </c>
      <c r="AM2217" s="17">
        <f t="shared" si="118"/>
        <v>2.0299999999999998</v>
      </c>
      <c r="AN2217" s="320" t="s">
        <v>6900</v>
      </c>
      <c r="AO2217" s="14" t="s">
        <v>6901</v>
      </c>
      <c r="AP2217" s="320" t="s">
        <v>7224</v>
      </c>
    </row>
    <row r="2218" spans="1:42" s="320" customFormat="1" hidden="1" x14ac:dyDescent="0.3">
      <c r="A2218" s="353" t="s">
        <v>1450</v>
      </c>
      <c r="B2218" s="320" t="s">
        <v>6881</v>
      </c>
      <c r="C2218" s="320" t="s">
        <v>7028</v>
      </c>
      <c r="D2218" s="320" t="s">
        <v>7029</v>
      </c>
      <c r="E2218" s="320" t="s">
        <v>7153</v>
      </c>
      <c r="F2218" s="320" t="s">
        <v>7154</v>
      </c>
      <c r="G2218" s="320" t="s">
        <v>7213</v>
      </c>
      <c r="H2218" s="320" t="s">
        <v>7214</v>
      </c>
      <c r="I2218" s="320" t="s">
        <v>271</v>
      </c>
      <c r="J2218" s="320" t="s">
        <v>271</v>
      </c>
      <c r="K2218" s="320" t="s">
        <v>7236</v>
      </c>
      <c r="L2218" s="320" t="s">
        <v>7237</v>
      </c>
      <c r="M2218" s="320" t="s">
        <v>7238</v>
      </c>
      <c r="N2218" s="275">
        <v>10</v>
      </c>
      <c r="O2218" s="275">
        <v>10</v>
      </c>
      <c r="P2218" s="275">
        <v>10</v>
      </c>
      <c r="Q2218" s="275">
        <v>10</v>
      </c>
      <c r="R2218" s="275">
        <v>12</v>
      </c>
      <c r="S2218" s="275">
        <v>15</v>
      </c>
      <c r="T2218" s="320" t="s">
        <v>7071</v>
      </c>
      <c r="U2218" s="283" t="e">
        <v>#N/A</v>
      </c>
      <c r="V2218" s="320" t="s">
        <v>7239</v>
      </c>
      <c r="W2218" s="320">
        <v>1</v>
      </c>
      <c r="X2218" s="320">
        <v>0</v>
      </c>
      <c r="Y2218" s="320">
        <v>0</v>
      </c>
      <c r="Z2218" s="320">
        <v>1</v>
      </c>
      <c r="AA2218" s="320">
        <v>1</v>
      </c>
      <c r="AB2218" s="320">
        <v>0</v>
      </c>
      <c r="AC2218" s="316">
        <v>1</v>
      </c>
      <c r="AD2218" s="316">
        <v>1</v>
      </c>
      <c r="AE2218" s="302">
        <f t="shared" si="117"/>
        <v>0.625</v>
      </c>
      <c r="AF2218" s="354"/>
      <c r="AG2218" s="17">
        <v>0</v>
      </c>
      <c r="AH2218" s="354">
        <v>0.2</v>
      </c>
      <c r="AI2218" s="354">
        <v>0.2</v>
      </c>
      <c r="AJ2218" s="354">
        <v>0.5</v>
      </c>
      <c r="AK2218" s="319">
        <v>0.7</v>
      </c>
      <c r="AL2218" s="319">
        <v>1</v>
      </c>
      <c r="AM2218" s="17">
        <f t="shared" si="118"/>
        <v>1.7</v>
      </c>
      <c r="AN2218" s="320" t="s">
        <v>6900</v>
      </c>
      <c r="AO2218" s="14" t="s">
        <v>6901</v>
      </c>
      <c r="AP2218" s="320" t="s">
        <v>7204</v>
      </c>
    </row>
    <row r="2219" spans="1:42" s="320" customFormat="1" x14ac:dyDescent="0.3">
      <c r="A2219" s="353" t="s">
        <v>1450</v>
      </c>
      <c r="B2219" s="320" t="s">
        <v>6881</v>
      </c>
      <c r="C2219" s="320" t="s">
        <v>7028</v>
      </c>
      <c r="D2219" s="320" t="s">
        <v>7029</v>
      </c>
      <c r="E2219" s="320" t="s">
        <v>7153</v>
      </c>
      <c r="F2219" s="320" t="s">
        <v>7154</v>
      </c>
      <c r="G2219" s="320" t="s">
        <v>7213</v>
      </c>
      <c r="H2219" s="320" t="s">
        <v>7214</v>
      </c>
      <c r="I2219" s="320" t="s">
        <v>271</v>
      </c>
      <c r="J2219" s="320" t="s">
        <v>271</v>
      </c>
      <c r="K2219" s="320" t="s">
        <v>7236</v>
      </c>
      <c r="L2219" s="320" t="s">
        <v>7237</v>
      </c>
      <c r="N2219" s="275"/>
      <c r="O2219" s="275"/>
      <c r="P2219" s="275"/>
      <c r="Q2219" s="275"/>
      <c r="R2219" s="275"/>
      <c r="S2219" s="275"/>
      <c r="T2219" s="320" t="s">
        <v>7071</v>
      </c>
      <c r="U2219" s="283" t="e">
        <v>#N/A</v>
      </c>
      <c r="V2219" s="320" t="s">
        <v>7240</v>
      </c>
      <c r="W2219" s="320">
        <v>1</v>
      </c>
      <c r="X2219" s="320">
        <v>1</v>
      </c>
      <c r="Y2219" s="320">
        <v>0</v>
      </c>
      <c r="Z2219" s="320">
        <v>1</v>
      </c>
      <c r="AA2219" s="320">
        <v>1</v>
      </c>
      <c r="AB2219" s="320">
        <v>1</v>
      </c>
      <c r="AC2219" s="316">
        <v>0</v>
      </c>
      <c r="AD2219" s="316">
        <v>1</v>
      </c>
      <c r="AE2219" s="302">
        <f t="shared" si="117"/>
        <v>0.75</v>
      </c>
      <c r="AF2219" s="354"/>
      <c r="AG2219" s="17">
        <v>0</v>
      </c>
      <c r="AH2219" s="354">
        <v>0.5</v>
      </c>
      <c r="AI2219" s="354">
        <v>0.5</v>
      </c>
      <c r="AJ2219" s="354">
        <v>0.5</v>
      </c>
      <c r="AK2219" s="319">
        <v>0.5</v>
      </c>
      <c r="AL2219" s="319">
        <v>0.5</v>
      </c>
      <c r="AM2219" s="17">
        <f t="shared" si="118"/>
        <v>1</v>
      </c>
      <c r="AN2219" s="320" t="s">
        <v>7226</v>
      </c>
      <c r="AO2219" s="14" t="s">
        <v>6901</v>
      </c>
      <c r="AP2219" s="320" t="s">
        <v>7241</v>
      </c>
    </row>
    <row r="2220" spans="1:42" s="320" customFormat="1" x14ac:dyDescent="0.3">
      <c r="A2220" s="353" t="s">
        <v>1450</v>
      </c>
      <c r="B2220" s="320" t="s">
        <v>6881</v>
      </c>
      <c r="C2220" s="320" t="s">
        <v>7028</v>
      </c>
      <c r="D2220" s="320" t="s">
        <v>7029</v>
      </c>
      <c r="E2220" s="320" t="s">
        <v>7153</v>
      </c>
      <c r="F2220" s="320" t="s">
        <v>7154</v>
      </c>
      <c r="G2220" s="320" t="s">
        <v>7242</v>
      </c>
      <c r="H2220" s="320" t="s">
        <v>7243</v>
      </c>
      <c r="I2220" s="320" t="s">
        <v>271</v>
      </c>
      <c r="J2220" s="320" t="s">
        <v>271</v>
      </c>
      <c r="K2220" s="320" t="s">
        <v>7244</v>
      </c>
      <c r="L2220" s="320" t="s">
        <v>7245</v>
      </c>
      <c r="M2220" s="320" t="s">
        <v>7246</v>
      </c>
      <c r="N2220" s="355">
        <v>4000</v>
      </c>
      <c r="O2220" s="356">
        <v>3809.5238095238092</v>
      </c>
      <c r="P2220" s="356">
        <v>3628.1179138321991</v>
      </c>
      <c r="Q2220" s="356">
        <v>3455.3503941259037</v>
      </c>
      <c r="R2220" s="356">
        <v>3290.809899167527</v>
      </c>
      <c r="S2220" s="356">
        <v>3134.1046658738351</v>
      </c>
      <c r="T2220" s="184" t="s">
        <v>6903</v>
      </c>
      <c r="U2220" s="283" t="e">
        <v>#N/A</v>
      </c>
      <c r="V2220" s="320" t="s">
        <v>7247</v>
      </c>
      <c r="W2220" s="320">
        <v>1</v>
      </c>
      <c r="X2220" s="320">
        <v>1</v>
      </c>
      <c r="Y2220" s="320">
        <v>0</v>
      </c>
      <c r="Z2220" s="320">
        <v>1</v>
      </c>
      <c r="AA2220" s="320">
        <v>1</v>
      </c>
      <c r="AB2220" s="320">
        <v>0</v>
      </c>
      <c r="AC2220" s="316">
        <v>1</v>
      </c>
      <c r="AD2220" s="316">
        <v>1</v>
      </c>
      <c r="AE2220" s="302">
        <f t="shared" si="117"/>
        <v>0.75</v>
      </c>
      <c r="AF2220" s="354"/>
      <c r="AG2220" s="17">
        <v>0</v>
      </c>
      <c r="AH2220" s="354">
        <v>5</v>
      </c>
      <c r="AI2220" s="354">
        <v>1</v>
      </c>
      <c r="AJ2220" s="354">
        <v>1</v>
      </c>
      <c r="AK2220" s="319">
        <v>1</v>
      </c>
      <c r="AL2220" s="319">
        <v>1</v>
      </c>
      <c r="AM2220" s="17">
        <f t="shared" si="118"/>
        <v>2</v>
      </c>
      <c r="AN2220" s="320" t="s">
        <v>7226</v>
      </c>
      <c r="AO2220" s="14" t="s">
        <v>6901</v>
      </c>
      <c r="AP2220" s="320" t="s">
        <v>7071</v>
      </c>
    </row>
    <row r="2221" spans="1:42" s="320" customFormat="1" x14ac:dyDescent="0.3">
      <c r="A2221" s="353" t="s">
        <v>1450</v>
      </c>
      <c r="B2221" s="320" t="s">
        <v>6881</v>
      </c>
      <c r="C2221" s="320" t="s">
        <v>7028</v>
      </c>
      <c r="D2221" s="320" t="s">
        <v>7029</v>
      </c>
      <c r="E2221" s="320" t="s">
        <v>7153</v>
      </c>
      <c r="F2221" s="320" t="s">
        <v>7154</v>
      </c>
      <c r="G2221" s="320" t="s">
        <v>7248</v>
      </c>
      <c r="H2221" s="320" t="s">
        <v>7249</v>
      </c>
      <c r="I2221" s="320" t="s">
        <v>271</v>
      </c>
      <c r="J2221" s="320" t="s">
        <v>271</v>
      </c>
      <c r="K2221" s="320" t="s">
        <v>7250</v>
      </c>
      <c r="L2221" s="320" t="s">
        <v>7251</v>
      </c>
      <c r="M2221" s="320" t="s">
        <v>7252</v>
      </c>
      <c r="N2221" s="275">
        <v>30</v>
      </c>
      <c r="O2221" s="275">
        <v>29</v>
      </c>
      <c r="P2221" s="275">
        <v>28</v>
      </c>
      <c r="Q2221" s="275">
        <v>27</v>
      </c>
      <c r="R2221" s="275">
        <v>26</v>
      </c>
      <c r="S2221" s="275">
        <v>20</v>
      </c>
      <c r="T2221" s="320" t="s">
        <v>7253</v>
      </c>
      <c r="U2221" s="283" t="e">
        <v>#N/A</v>
      </c>
      <c r="V2221" s="320" t="s">
        <v>7254</v>
      </c>
      <c r="W2221" s="320">
        <v>1</v>
      </c>
      <c r="X2221" s="320">
        <v>1</v>
      </c>
      <c r="Y2221" s="320">
        <v>0</v>
      </c>
      <c r="Z2221" s="320">
        <v>1</v>
      </c>
      <c r="AA2221" s="320">
        <v>1</v>
      </c>
      <c r="AB2221" s="320">
        <v>1</v>
      </c>
      <c r="AC2221" s="316">
        <v>0</v>
      </c>
      <c r="AD2221" s="316">
        <v>1</v>
      </c>
      <c r="AE2221" s="302">
        <f t="shared" si="117"/>
        <v>0.75</v>
      </c>
      <c r="AF2221" s="354"/>
      <c r="AG2221" s="17">
        <v>0</v>
      </c>
      <c r="AH2221" s="354">
        <v>3.6</v>
      </c>
      <c r="AI2221" s="354">
        <v>3.6</v>
      </c>
      <c r="AJ2221" s="354">
        <v>3.6</v>
      </c>
      <c r="AK2221" s="319">
        <v>5.6</v>
      </c>
      <c r="AL2221" s="319">
        <v>5.6</v>
      </c>
      <c r="AM2221" s="17">
        <f t="shared" si="118"/>
        <v>11.2</v>
      </c>
      <c r="AN2221" s="320" t="s">
        <v>7073</v>
      </c>
      <c r="AO2221" s="14" t="s">
        <v>6901</v>
      </c>
      <c r="AP2221" s="320" t="s">
        <v>280</v>
      </c>
    </row>
    <row r="2222" spans="1:42" s="320" customFormat="1" x14ac:dyDescent="0.3">
      <c r="A2222" s="353" t="s">
        <v>1450</v>
      </c>
      <c r="B2222" s="320" t="s">
        <v>6881</v>
      </c>
      <c r="C2222" s="320" t="s">
        <v>7255</v>
      </c>
      <c r="D2222" s="320" t="s">
        <v>7256</v>
      </c>
      <c r="E2222" s="320" t="s">
        <v>7257</v>
      </c>
      <c r="F2222" s="320" t="s">
        <v>7258</v>
      </c>
      <c r="G2222" s="320" t="s">
        <v>7259</v>
      </c>
      <c r="H2222" s="320" t="s">
        <v>7260</v>
      </c>
      <c r="I2222" s="320" t="s">
        <v>271</v>
      </c>
      <c r="J2222" s="320" t="s">
        <v>271</v>
      </c>
      <c r="K2222" s="320" t="s">
        <v>7261</v>
      </c>
      <c r="L2222" s="320" t="s">
        <v>7262</v>
      </c>
      <c r="M2222" s="320" t="s">
        <v>7263</v>
      </c>
      <c r="N2222" s="275" t="s">
        <v>271</v>
      </c>
      <c r="O2222" s="275" t="s">
        <v>271</v>
      </c>
      <c r="P2222" s="275">
        <v>0</v>
      </c>
      <c r="Q2222" s="275">
        <v>1</v>
      </c>
      <c r="R2222" s="275">
        <v>1</v>
      </c>
      <c r="S2222" s="275">
        <v>1</v>
      </c>
      <c r="T2222" s="320" t="s">
        <v>6903</v>
      </c>
      <c r="U2222" s="283" t="e">
        <v>#N/A</v>
      </c>
      <c r="V2222" s="320" t="s">
        <v>7264</v>
      </c>
      <c r="W2222" s="320">
        <v>1</v>
      </c>
      <c r="X2222" s="320">
        <v>1</v>
      </c>
      <c r="Y2222" s="320">
        <v>0</v>
      </c>
      <c r="Z2222" s="320">
        <v>1</v>
      </c>
      <c r="AA2222" s="320">
        <v>1</v>
      </c>
      <c r="AB2222" s="320">
        <v>1</v>
      </c>
      <c r="AC2222" s="316">
        <v>0</v>
      </c>
      <c r="AD2222" s="316">
        <v>1</v>
      </c>
      <c r="AE2222" s="302">
        <f t="shared" si="117"/>
        <v>0.75</v>
      </c>
      <c r="AF2222" s="354"/>
      <c r="AG2222" s="17">
        <v>0</v>
      </c>
      <c r="AH2222" s="354">
        <v>0.02</v>
      </c>
      <c r="AI2222" s="354">
        <v>0.02</v>
      </c>
      <c r="AJ2222" s="354">
        <v>0.02</v>
      </c>
      <c r="AK2222" s="319">
        <v>0.02</v>
      </c>
      <c r="AL2222" s="319">
        <v>0.02</v>
      </c>
      <c r="AM2222" s="17">
        <f t="shared" si="118"/>
        <v>0.04</v>
      </c>
      <c r="AN2222" s="320" t="s">
        <v>7101</v>
      </c>
      <c r="AO2222" s="14" t="s">
        <v>6901</v>
      </c>
      <c r="AP2222" s="320" t="s">
        <v>7102</v>
      </c>
    </row>
    <row r="2223" spans="1:42" s="320" customFormat="1" x14ac:dyDescent="0.3">
      <c r="A2223" s="353" t="s">
        <v>1450</v>
      </c>
      <c r="B2223" s="320" t="s">
        <v>6881</v>
      </c>
      <c r="C2223" s="320" t="s">
        <v>7255</v>
      </c>
      <c r="D2223" s="320" t="s">
        <v>7256</v>
      </c>
      <c r="E2223" s="320" t="s">
        <v>7257</v>
      </c>
      <c r="F2223" s="320" t="s">
        <v>7258</v>
      </c>
      <c r="G2223" s="320" t="s">
        <v>7259</v>
      </c>
      <c r="H2223" s="320" t="s">
        <v>7260</v>
      </c>
      <c r="I2223" s="320" t="s">
        <v>271</v>
      </c>
      <c r="J2223" s="320" t="s">
        <v>271</v>
      </c>
      <c r="K2223" s="320" t="s">
        <v>7261</v>
      </c>
      <c r="L2223" s="320" t="s">
        <v>7262</v>
      </c>
      <c r="N2223" s="275"/>
      <c r="O2223" s="275"/>
      <c r="P2223" s="275"/>
      <c r="Q2223" s="275"/>
      <c r="R2223" s="275"/>
      <c r="S2223" s="275"/>
      <c r="T2223" s="320" t="s">
        <v>6903</v>
      </c>
      <c r="U2223" s="283" t="e">
        <v>#N/A</v>
      </c>
      <c r="V2223" s="320" t="s">
        <v>7265</v>
      </c>
      <c r="W2223" s="320">
        <v>1</v>
      </c>
      <c r="X2223" s="320">
        <v>1</v>
      </c>
      <c r="Y2223" s="320">
        <v>0</v>
      </c>
      <c r="Z2223" s="320">
        <v>1</v>
      </c>
      <c r="AA2223" s="320">
        <v>1</v>
      </c>
      <c r="AB2223" s="320">
        <v>1</v>
      </c>
      <c r="AC2223" s="316">
        <v>1</v>
      </c>
      <c r="AD2223" s="316">
        <v>1</v>
      </c>
      <c r="AE2223" s="302">
        <f t="shared" si="117"/>
        <v>0.875</v>
      </c>
      <c r="AF2223" s="354"/>
      <c r="AG2223" s="17">
        <v>0</v>
      </c>
      <c r="AH2223" s="354">
        <v>0</v>
      </c>
      <c r="AI2223" s="354">
        <v>5</v>
      </c>
      <c r="AJ2223" s="354">
        <v>5</v>
      </c>
      <c r="AK2223" s="319">
        <v>5</v>
      </c>
      <c r="AL2223" s="319">
        <v>5</v>
      </c>
      <c r="AM2223" s="17">
        <f t="shared" si="118"/>
        <v>10</v>
      </c>
      <c r="AN2223" s="320" t="s">
        <v>6900</v>
      </c>
      <c r="AO2223" s="14" t="s">
        <v>6901</v>
      </c>
      <c r="AP2223" s="320" t="s">
        <v>723</v>
      </c>
    </row>
    <row r="2224" spans="1:42" s="320" customFormat="1" x14ac:dyDescent="0.3">
      <c r="A2224" s="353" t="s">
        <v>1450</v>
      </c>
      <c r="B2224" s="320" t="s">
        <v>6881</v>
      </c>
      <c r="C2224" s="320" t="s">
        <v>7255</v>
      </c>
      <c r="D2224" s="320" t="s">
        <v>7256</v>
      </c>
      <c r="E2224" s="320" t="s">
        <v>7257</v>
      </c>
      <c r="F2224" s="320" t="s">
        <v>7258</v>
      </c>
      <c r="G2224" s="320" t="s">
        <v>7259</v>
      </c>
      <c r="H2224" s="320" t="s">
        <v>7260</v>
      </c>
      <c r="I2224" s="320" t="s">
        <v>271</v>
      </c>
      <c r="J2224" s="320" t="s">
        <v>271</v>
      </c>
      <c r="K2224" s="320" t="s">
        <v>7261</v>
      </c>
      <c r="L2224" s="320" t="s">
        <v>7262</v>
      </c>
      <c r="N2224" s="275"/>
      <c r="O2224" s="275"/>
      <c r="P2224" s="275"/>
      <c r="Q2224" s="275"/>
      <c r="R2224" s="275"/>
      <c r="S2224" s="275"/>
      <c r="T2224" s="320" t="s">
        <v>6903</v>
      </c>
      <c r="U2224" s="283" t="e">
        <v>#N/A</v>
      </c>
      <c r="V2224" s="320" t="s">
        <v>7266</v>
      </c>
      <c r="W2224" s="320">
        <v>1</v>
      </c>
      <c r="X2224" s="320">
        <v>1</v>
      </c>
      <c r="Y2224" s="320">
        <v>0</v>
      </c>
      <c r="Z2224" s="320">
        <v>1</v>
      </c>
      <c r="AA2224" s="320">
        <v>1</v>
      </c>
      <c r="AB2224" s="320">
        <v>1</v>
      </c>
      <c r="AC2224" s="316">
        <v>1</v>
      </c>
      <c r="AD2224" s="316">
        <v>1</v>
      </c>
      <c r="AE2224" s="302">
        <f t="shared" si="117"/>
        <v>0.875</v>
      </c>
      <c r="AF2224" s="354"/>
      <c r="AG2224" s="17">
        <v>0</v>
      </c>
      <c r="AH2224" s="354">
        <v>0</v>
      </c>
      <c r="AI2224" s="354">
        <v>0</v>
      </c>
      <c r="AJ2224" s="354">
        <v>0.1</v>
      </c>
      <c r="AK2224" s="319">
        <v>0.1</v>
      </c>
      <c r="AL2224" s="319">
        <v>0.1</v>
      </c>
      <c r="AM2224" s="17">
        <f t="shared" si="118"/>
        <v>0.2</v>
      </c>
      <c r="AN2224" s="320" t="s">
        <v>6900</v>
      </c>
      <c r="AO2224" s="14" t="s">
        <v>6901</v>
      </c>
      <c r="AP2224" s="320" t="s">
        <v>723</v>
      </c>
    </row>
    <row r="2225" spans="1:42" s="320" customFormat="1" x14ac:dyDescent="0.3">
      <c r="A2225" s="353" t="s">
        <v>1450</v>
      </c>
      <c r="B2225" s="320" t="s">
        <v>6881</v>
      </c>
      <c r="C2225" s="320" t="s">
        <v>7255</v>
      </c>
      <c r="D2225" s="320" t="s">
        <v>7256</v>
      </c>
      <c r="E2225" s="320" t="s">
        <v>7257</v>
      </c>
      <c r="F2225" s="320" t="s">
        <v>7258</v>
      </c>
      <c r="G2225" s="320" t="s">
        <v>7259</v>
      </c>
      <c r="H2225" s="320" t="s">
        <v>7260</v>
      </c>
      <c r="I2225" s="320" t="s">
        <v>271</v>
      </c>
      <c r="J2225" s="320" t="s">
        <v>271</v>
      </c>
      <c r="K2225" s="320" t="s">
        <v>7261</v>
      </c>
      <c r="L2225" s="320" t="s">
        <v>7262</v>
      </c>
      <c r="N2225" s="275"/>
      <c r="O2225" s="275"/>
      <c r="P2225" s="275"/>
      <c r="Q2225" s="275"/>
      <c r="R2225" s="275"/>
      <c r="S2225" s="275"/>
      <c r="T2225" s="320" t="s">
        <v>6903</v>
      </c>
      <c r="U2225" s="283" t="e">
        <v>#N/A</v>
      </c>
      <c r="V2225" s="320" t="s">
        <v>7267</v>
      </c>
      <c r="W2225" s="320">
        <v>1</v>
      </c>
      <c r="X2225" s="320">
        <v>1</v>
      </c>
      <c r="Y2225" s="320">
        <v>0</v>
      </c>
      <c r="Z2225" s="320">
        <v>1</v>
      </c>
      <c r="AA2225" s="320">
        <v>1</v>
      </c>
      <c r="AB2225" s="320">
        <v>1</v>
      </c>
      <c r="AC2225" s="316">
        <v>1</v>
      </c>
      <c r="AD2225" s="316">
        <v>0</v>
      </c>
      <c r="AE2225" s="302">
        <f t="shared" si="117"/>
        <v>0.75</v>
      </c>
      <c r="AF2225" s="354"/>
      <c r="AG2225" s="17">
        <v>0</v>
      </c>
      <c r="AH2225" s="354">
        <v>0</v>
      </c>
      <c r="AI2225" s="354">
        <v>0.1</v>
      </c>
      <c r="AJ2225" s="354">
        <v>0.1</v>
      </c>
      <c r="AK2225" s="319">
        <v>0.1</v>
      </c>
      <c r="AL2225" s="319">
        <v>0.1</v>
      </c>
      <c r="AM2225" s="17">
        <f t="shared" si="118"/>
        <v>0.2</v>
      </c>
      <c r="AN2225" s="320" t="s">
        <v>7101</v>
      </c>
      <c r="AO2225" s="14" t="s">
        <v>6901</v>
      </c>
      <c r="AP2225" s="320" t="s">
        <v>723</v>
      </c>
    </row>
    <row r="2226" spans="1:42" s="320" customFormat="1" x14ac:dyDescent="0.3">
      <c r="A2226" s="353" t="s">
        <v>1450</v>
      </c>
      <c r="B2226" s="320" t="s">
        <v>6881</v>
      </c>
      <c r="C2226" s="320" t="s">
        <v>7255</v>
      </c>
      <c r="D2226" s="320" t="s">
        <v>7256</v>
      </c>
      <c r="E2226" s="320" t="s">
        <v>7257</v>
      </c>
      <c r="F2226" s="320" t="s">
        <v>7258</v>
      </c>
      <c r="G2226" s="320" t="s">
        <v>7259</v>
      </c>
      <c r="H2226" s="320" t="s">
        <v>7260</v>
      </c>
      <c r="I2226" s="320" t="s">
        <v>271</v>
      </c>
      <c r="J2226" s="320" t="s">
        <v>271</v>
      </c>
      <c r="K2226" s="320" t="s">
        <v>7261</v>
      </c>
      <c r="L2226" s="320" t="s">
        <v>7262</v>
      </c>
      <c r="N2226" s="275"/>
      <c r="O2226" s="275"/>
      <c r="P2226" s="275"/>
      <c r="Q2226" s="275"/>
      <c r="R2226" s="275"/>
      <c r="S2226" s="275"/>
      <c r="T2226" s="320" t="s">
        <v>6903</v>
      </c>
      <c r="U2226" s="283" t="e">
        <v>#N/A</v>
      </c>
      <c r="V2226" s="320" t="s">
        <v>7268</v>
      </c>
      <c r="W2226" s="320">
        <v>1</v>
      </c>
      <c r="X2226" s="320">
        <v>1</v>
      </c>
      <c r="Y2226" s="320">
        <v>0</v>
      </c>
      <c r="Z2226" s="320">
        <v>1</v>
      </c>
      <c r="AA2226" s="320">
        <v>1</v>
      </c>
      <c r="AB2226" s="320">
        <v>1</v>
      </c>
      <c r="AC2226" s="316">
        <v>0</v>
      </c>
      <c r="AD2226" s="316">
        <v>1</v>
      </c>
      <c r="AE2226" s="302">
        <f t="shared" si="117"/>
        <v>0.75</v>
      </c>
      <c r="AF2226" s="354"/>
      <c r="AG2226" s="17">
        <v>0</v>
      </c>
      <c r="AH2226" s="354">
        <v>0</v>
      </c>
      <c r="AI2226" s="354">
        <v>0.5</v>
      </c>
      <c r="AJ2226" s="354">
        <v>0.5</v>
      </c>
      <c r="AK2226" s="319">
        <v>0</v>
      </c>
      <c r="AL2226" s="319">
        <v>0</v>
      </c>
      <c r="AM2226" s="17">
        <f t="shared" si="118"/>
        <v>0</v>
      </c>
      <c r="AN2226" s="320" t="s">
        <v>7101</v>
      </c>
      <c r="AO2226" s="14" t="s">
        <v>6901</v>
      </c>
      <c r="AP2226" s="320" t="s">
        <v>723</v>
      </c>
    </row>
    <row r="2227" spans="1:42" s="320" customFormat="1" hidden="1" x14ac:dyDescent="0.3">
      <c r="A2227" s="353" t="s">
        <v>1450</v>
      </c>
      <c r="B2227" s="320" t="s">
        <v>6881</v>
      </c>
      <c r="C2227" s="320" t="s">
        <v>7255</v>
      </c>
      <c r="D2227" s="320" t="s">
        <v>7256</v>
      </c>
      <c r="E2227" s="320" t="s">
        <v>7257</v>
      </c>
      <c r="F2227" s="320" t="s">
        <v>7258</v>
      </c>
      <c r="G2227" s="320" t="s">
        <v>7259</v>
      </c>
      <c r="H2227" s="320" t="s">
        <v>7260</v>
      </c>
      <c r="I2227" s="320" t="s">
        <v>271</v>
      </c>
      <c r="J2227" s="320" t="s">
        <v>271</v>
      </c>
      <c r="K2227" s="320" t="s">
        <v>7261</v>
      </c>
      <c r="L2227" s="320" t="s">
        <v>7262</v>
      </c>
      <c r="N2227" s="275"/>
      <c r="O2227" s="275"/>
      <c r="P2227" s="275"/>
      <c r="Q2227" s="275"/>
      <c r="R2227" s="275"/>
      <c r="S2227" s="275"/>
      <c r="T2227" s="320" t="s">
        <v>6903</v>
      </c>
      <c r="U2227" s="283" t="e">
        <v>#N/A</v>
      </c>
      <c r="V2227" s="320" t="s">
        <v>7269</v>
      </c>
      <c r="W2227" s="320">
        <v>1</v>
      </c>
      <c r="X2227" s="320">
        <v>1</v>
      </c>
      <c r="Y2227" s="320">
        <v>0</v>
      </c>
      <c r="Z2227" s="320">
        <v>1</v>
      </c>
      <c r="AA2227" s="320">
        <v>1</v>
      </c>
      <c r="AB2227" s="320">
        <v>1</v>
      </c>
      <c r="AC2227" s="316">
        <v>0</v>
      </c>
      <c r="AD2227" s="316">
        <v>0</v>
      </c>
      <c r="AE2227" s="302">
        <f t="shared" si="117"/>
        <v>0.625</v>
      </c>
      <c r="AF2227" s="354"/>
      <c r="AG2227" s="17">
        <v>0</v>
      </c>
      <c r="AH2227" s="354">
        <v>0</v>
      </c>
      <c r="AI2227" s="354">
        <v>0.1</v>
      </c>
      <c r="AJ2227" s="354">
        <v>1</v>
      </c>
      <c r="AK2227" s="319">
        <v>3</v>
      </c>
      <c r="AL2227" s="319">
        <v>1</v>
      </c>
      <c r="AM2227" s="17">
        <f t="shared" si="118"/>
        <v>4</v>
      </c>
      <c r="AN2227" s="320" t="s">
        <v>6900</v>
      </c>
      <c r="AO2227" s="14" t="s">
        <v>6901</v>
      </c>
      <c r="AP2227" s="320" t="s">
        <v>7270</v>
      </c>
    </row>
    <row r="2228" spans="1:42" s="320" customFormat="1" hidden="1" x14ac:dyDescent="0.3">
      <c r="A2228" s="353" t="s">
        <v>1450</v>
      </c>
      <c r="B2228" s="320" t="s">
        <v>6881</v>
      </c>
      <c r="C2228" s="320" t="s">
        <v>7255</v>
      </c>
      <c r="D2228" s="320" t="s">
        <v>7256</v>
      </c>
      <c r="E2228" s="320" t="s">
        <v>7257</v>
      </c>
      <c r="F2228" s="320" t="s">
        <v>7258</v>
      </c>
      <c r="G2228" s="320" t="s">
        <v>7259</v>
      </c>
      <c r="H2228" s="320" t="s">
        <v>7260</v>
      </c>
      <c r="I2228" s="320" t="s">
        <v>271</v>
      </c>
      <c r="J2228" s="320" t="s">
        <v>271</v>
      </c>
      <c r="K2228" s="320" t="s">
        <v>7261</v>
      </c>
      <c r="L2228" s="320" t="s">
        <v>7262</v>
      </c>
      <c r="N2228" s="275"/>
      <c r="O2228" s="275"/>
      <c r="P2228" s="275"/>
      <c r="Q2228" s="275"/>
      <c r="R2228" s="275"/>
      <c r="S2228" s="275"/>
      <c r="T2228" s="320" t="s">
        <v>6903</v>
      </c>
      <c r="U2228" s="283" t="e">
        <v>#N/A</v>
      </c>
      <c r="V2228" s="320" t="s">
        <v>7271</v>
      </c>
      <c r="W2228" s="320">
        <v>1</v>
      </c>
      <c r="X2228" s="320">
        <v>1</v>
      </c>
      <c r="Y2228" s="320">
        <v>0</v>
      </c>
      <c r="Z2228" s="320">
        <v>1</v>
      </c>
      <c r="AA2228" s="320">
        <v>1</v>
      </c>
      <c r="AB2228" s="320">
        <v>1</v>
      </c>
      <c r="AC2228" s="316">
        <v>0</v>
      </c>
      <c r="AD2228" s="316">
        <v>0</v>
      </c>
      <c r="AE2228" s="302">
        <f t="shared" si="117"/>
        <v>0.625</v>
      </c>
      <c r="AF2228" s="354"/>
      <c r="AG2228" s="17">
        <v>0</v>
      </c>
      <c r="AH2228" s="354">
        <v>0.05</v>
      </c>
      <c r="AI2228" s="354">
        <v>0.05</v>
      </c>
      <c r="AJ2228" s="354">
        <v>0.05</v>
      </c>
      <c r="AK2228" s="319">
        <v>0.05</v>
      </c>
      <c r="AL2228" s="319">
        <v>0.05</v>
      </c>
      <c r="AM2228" s="17">
        <f t="shared" si="118"/>
        <v>0.1</v>
      </c>
      <c r="AN2228" s="320" t="s">
        <v>723</v>
      </c>
      <c r="AO2228" s="14" t="s">
        <v>729</v>
      </c>
      <c r="AP2228" s="320" t="s">
        <v>7270</v>
      </c>
    </row>
    <row r="2229" spans="1:42" s="320" customFormat="1" x14ac:dyDescent="0.3">
      <c r="A2229" s="353" t="s">
        <v>1450</v>
      </c>
      <c r="B2229" s="320" t="s">
        <v>6881</v>
      </c>
      <c r="C2229" s="320" t="s">
        <v>7255</v>
      </c>
      <c r="D2229" s="320" t="s">
        <v>7256</v>
      </c>
      <c r="E2229" s="320" t="s">
        <v>7257</v>
      </c>
      <c r="F2229" s="320" t="s">
        <v>7258</v>
      </c>
      <c r="G2229" s="320" t="s">
        <v>7259</v>
      </c>
      <c r="H2229" s="320" t="s">
        <v>7260</v>
      </c>
      <c r="I2229" s="320" t="s">
        <v>271</v>
      </c>
      <c r="J2229" s="320" t="s">
        <v>271</v>
      </c>
      <c r="K2229" s="320" t="s">
        <v>7261</v>
      </c>
      <c r="L2229" s="320" t="s">
        <v>7262</v>
      </c>
      <c r="N2229" s="275"/>
      <c r="O2229" s="275"/>
      <c r="P2229" s="275"/>
      <c r="Q2229" s="275"/>
      <c r="R2229" s="275"/>
      <c r="S2229" s="275"/>
      <c r="T2229" s="320" t="s">
        <v>6903</v>
      </c>
      <c r="U2229" s="283" t="e">
        <v>#N/A</v>
      </c>
      <c r="V2229" s="320" t="s">
        <v>7272</v>
      </c>
      <c r="W2229" s="320">
        <v>1</v>
      </c>
      <c r="X2229" s="320">
        <v>1</v>
      </c>
      <c r="Y2229" s="320">
        <v>0</v>
      </c>
      <c r="Z2229" s="320">
        <v>1</v>
      </c>
      <c r="AA2229" s="320">
        <v>1</v>
      </c>
      <c r="AB2229" s="320">
        <v>1</v>
      </c>
      <c r="AC2229" s="316">
        <v>0</v>
      </c>
      <c r="AD2229" s="316">
        <v>1</v>
      </c>
      <c r="AE2229" s="302">
        <f t="shared" si="117"/>
        <v>0.75</v>
      </c>
      <c r="AF2229" s="354"/>
      <c r="AG2229" s="17">
        <v>0</v>
      </c>
      <c r="AH2229" s="354">
        <v>0.2</v>
      </c>
      <c r="AI2229" s="354">
        <v>1</v>
      </c>
      <c r="AJ2229" s="354">
        <v>1</v>
      </c>
      <c r="AK2229" s="319">
        <v>1</v>
      </c>
      <c r="AL2229" s="319">
        <v>1</v>
      </c>
      <c r="AM2229" s="17">
        <f t="shared" si="118"/>
        <v>2</v>
      </c>
      <c r="AN2229" s="320" t="s">
        <v>6900</v>
      </c>
      <c r="AO2229" s="14" t="s">
        <v>6901</v>
      </c>
      <c r="AP2229" s="320" t="s">
        <v>723</v>
      </c>
    </row>
    <row r="2230" spans="1:42" s="320" customFormat="1" hidden="1" x14ac:dyDescent="0.3">
      <c r="A2230" s="353" t="s">
        <v>1450</v>
      </c>
      <c r="B2230" s="320" t="s">
        <v>6881</v>
      </c>
      <c r="C2230" s="320" t="s">
        <v>7255</v>
      </c>
      <c r="D2230" s="320" t="s">
        <v>7256</v>
      </c>
      <c r="E2230" s="320" t="s">
        <v>7257</v>
      </c>
      <c r="F2230" s="320" t="s">
        <v>7258</v>
      </c>
      <c r="G2230" s="320" t="s">
        <v>7259</v>
      </c>
      <c r="H2230" s="320" t="s">
        <v>7260</v>
      </c>
      <c r="I2230" s="320" t="s">
        <v>271</v>
      </c>
      <c r="J2230" s="320" t="s">
        <v>271</v>
      </c>
      <c r="K2230" s="320" t="s">
        <v>7261</v>
      </c>
      <c r="L2230" s="320" t="s">
        <v>7262</v>
      </c>
      <c r="N2230" s="275"/>
      <c r="O2230" s="275"/>
      <c r="P2230" s="275"/>
      <c r="Q2230" s="275"/>
      <c r="R2230" s="275"/>
      <c r="S2230" s="275"/>
      <c r="T2230" s="320" t="s">
        <v>6903</v>
      </c>
      <c r="U2230" s="283" t="e">
        <v>#N/A</v>
      </c>
      <c r="V2230" s="320" t="s">
        <v>7273</v>
      </c>
      <c r="W2230" s="320">
        <v>1</v>
      </c>
      <c r="X2230" s="320">
        <v>0</v>
      </c>
      <c r="Y2230" s="320">
        <v>0</v>
      </c>
      <c r="Z2230" s="320">
        <v>1</v>
      </c>
      <c r="AA2230" s="320">
        <v>1</v>
      </c>
      <c r="AB2230" s="320">
        <v>1</v>
      </c>
      <c r="AC2230" s="316">
        <v>0</v>
      </c>
      <c r="AD2230" s="316">
        <v>1</v>
      </c>
      <c r="AE2230" s="302">
        <f t="shared" si="117"/>
        <v>0.625</v>
      </c>
      <c r="AF2230" s="354"/>
      <c r="AG2230" s="17">
        <v>0</v>
      </c>
      <c r="AH2230" s="354">
        <v>0</v>
      </c>
      <c r="AI2230" s="354">
        <v>0.59</v>
      </c>
      <c r="AJ2230" s="354">
        <v>0.59</v>
      </c>
      <c r="AK2230" s="319">
        <v>0.59</v>
      </c>
      <c r="AL2230" s="319">
        <v>0.59</v>
      </c>
      <c r="AM2230" s="17">
        <f t="shared" si="118"/>
        <v>1.18</v>
      </c>
      <c r="AN2230" s="320" t="s">
        <v>6900</v>
      </c>
      <c r="AO2230" s="14" t="s">
        <v>6901</v>
      </c>
      <c r="AP2230" s="320" t="s">
        <v>7270</v>
      </c>
    </row>
    <row r="2231" spans="1:42" s="320" customFormat="1" x14ac:dyDescent="0.3">
      <c r="A2231" s="353" t="s">
        <v>1450</v>
      </c>
      <c r="B2231" s="320" t="s">
        <v>6881</v>
      </c>
      <c r="C2231" s="320" t="s">
        <v>7255</v>
      </c>
      <c r="D2231" s="320" t="s">
        <v>7256</v>
      </c>
      <c r="E2231" s="320" t="s">
        <v>7257</v>
      </c>
      <c r="F2231" s="320" t="s">
        <v>7258</v>
      </c>
      <c r="G2231" s="320" t="s">
        <v>7259</v>
      </c>
      <c r="H2231" s="320" t="s">
        <v>7260</v>
      </c>
      <c r="I2231" s="320" t="s">
        <v>271</v>
      </c>
      <c r="J2231" s="320" t="s">
        <v>271</v>
      </c>
      <c r="K2231" s="320" t="s">
        <v>7261</v>
      </c>
      <c r="L2231" s="320" t="s">
        <v>7262</v>
      </c>
      <c r="N2231" s="275"/>
      <c r="O2231" s="275"/>
      <c r="P2231" s="275"/>
      <c r="Q2231" s="275"/>
      <c r="R2231" s="275"/>
      <c r="S2231" s="275"/>
      <c r="T2231" s="320" t="s">
        <v>6903</v>
      </c>
      <c r="U2231" s="283" t="e">
        <v>#N/A</v>
      </c>
      <c r="V2231" s="320" t="s">
        <v>7274</v>
      </c>
      <c r="W2231" s="320">
        <v>1</v>
      </c>
      <c r="X2231" s="320">
        <v>1</v>
      </c>
      <c r="Y2231" s="320">
        <v>0</v>
      </c>
      <c r="Z2231" s="320">
        <v>1</v>
      </c>
      <c r="AA2231" s="320">
        <v>1</v>
      </c>
      <c r="AB2231" s="320">
        <v>1</v>
      </c>
      <c r="AC2231" s="316">
        <v>0</v>
      </c>
      <c r="AD2231" s="316">
        <v>1</v>
      </c>
      <c r="AE2231" s="302">
        <f t="shared" si="117"/>
        <v>0.75</v>
      </c>
      <c r="AF2231" s="354"/>
      <c r="AG2231" s="17">
        <v>0</v>
      </c>
      <c r="AH2231" s="354">
        <v>0</v>
      </c>
      <c r="AI2231" s="354">
        <v>0.05</v>
      </c>
      <c r="AJ2231" s="354">
        <v>0.15</v>
      </c>
      <c r="AK2231" s="319">
        <v>0.15</v>
      </c>
      <c r="AL2231" s="319">
        <v>0.15</v>
      </c>
      <c r="AM2231" s="17">
        <f t="shared" si="118"/>
        <v>0.3</v>
      </c>
      <c r="AN2231" s="320" t="s">
        <v>6900</v>
      </c>
      <c r="AO2231" s="14" t="s">
        <v>6901</v>
      </c>
      <c r="AP2231" s="320" t="s">
        <v>7275</v>
      </c>
    </row>
    <row r="2232" spans="1:42" s="320" customFormat="1" x14ac:dyDescent="0.3">
      <c r="A2232" s="353" t="s">
        <v>1450</v>
      </c>
      <c r="B2232" s="320" t="s">
        <v>6881</v>
      </c>
      <c r="C2232" s="320" t="s">
        <v>7255</v>
      </c>
      <c r="D2232" s="320" t="s">
        <v>7256</v>
      </c>
      <c r="E2232" s="320" t="s">
        <v>7257</v>
      </c>
      <c r="F2232" s="320" t="s">
        <v>7258</v>
      </c>
      <c r="G2232" s="320" t="s">
        <v>7259</v>
      </c>
      <c r="H2232" s="320" t="s">
        <v>7260</v>
      </c>
      <c r="I2232" s="320" t="s">
        <v>271</v>
      </c>
      <c r="J2232" s="320" t="s">
        <v>271</v>
      </c>
      <c r="K2232" s="320" t="s">
        <v>7261</v>
      </c>
      <c r="L2232" s="320" t="s">
        <v>7262</v>
      </c>
      <c r="N2232" s="275"/>
      <c r="O2232" s="275"/>
      <c r="P2232" s="275"/>
      <c r="Q2232" s="275"/>
      <c r="R2232" s="275"/>
      <c r="S2232" s="275"/>
      <c r="T2232" s="320" t="s">
        <v>6903</v>
      </c>
      <c r="U2232" s="283" t="e">
        <v>#N/A</v>
      </c>
      <c r="V2232" s="320" t="s">
        <v>7276</v>
      </c>
      <c r="W2232" s="320">
        <v>1</v>
      </c>
      <c r="X2232" s="320">
        <v>1</v>
      </c>
      <c r="Y2232" s="320">
        <v>0</v>
      </c>
      <c r="Z2232" s="320">
        <v>1</v>
      </c>
      <c r="AA2232" s="320">
        <v>1</v>
      </c>
      <c r="AB2232" s="320">
        <v>1</v>
      </c>
      <c r="AC2232" s="316">
        <v>0</v>
      </c>
      <c r="AD2232" s="316">
        <v>1</v>
      </c>
      <c r="AE2232" s="302">
        <f t="shared" si="117"/>
        <v>0.75</v>
      </c>
      <c r="AF2232" s="23"/>
      <c r="AG2232" s="17">
        <v>0</v>
      </c>
      <c r="AH2232" s="23">
        <v>0</v>
      </c>
      <c r="AI2232" s="23">
        <v>0</v>
      </c>
      <c r="AJ2232" s="23">
        <v>0</v>
      </c>
      <c r="AK2232" s="153">
        <v>0</v>
      </c>
      <c r="AL2232" s="153">
        <v>0</v>
      </c>
      <c r="AM2232" s="17">
        <f t="shared" si="118"/>
        <v>0</v>
      </c>
      <c r="AN2232" s="320" t="s">
        <v>6900</v>
      </c>
      <c r="AO2232" s="14" t="s">
        <v>6901</v>
      </c>
      <c r="AP2232" s="320" t="s">
        <v>723</v>
      </c>
    </row>
    <row r="2233" spans="1:42" s="320" customFormat="1" x14ac:dyDescent="0.3">
      <c r="A2233" s="353" t="s">
        <v>1450</v>
      </c>
      <c r="B2233" s="320" t="s">
        <v>6881</v>
      </c>
      <c r="C2233" s="320" t="s">
        <v>7255</v>
      </c>
      <c r="D2233" s="320" t="s">
        <v>7256</v>
      </c>
      <c r="E2233" s="320" t="s">
        <v>7257</v>
      </c>
      <c r="F2233" s="320" t="s">
        <v>7258</v>
      </c>
      <c r="G2233" s="320" t="s">
        <v>7259</v>
      </c>
      <c r="H2233" s="320" t="s">
        <v>7260</v>
      </c>
      <c r="I2233" s="320" t="s">
        <v>271</v>
      </c>
      <c r="J2233" s="320" t="s">
        <v>271</v>
      </c>
      <c r="K2233" s="320" t="s">
        <v>7261</v>
      </c>
      <c r="L2233" s="320" t="s">
        <v>7262</v>
      </c>
      <c r="N2233" s="275"/>
      <c r="O2233" s="275"/>
      <c r="P2233" s="275"/>
      <c r="Q2233" s="275"/>
      <c r="R2233" s="275"/>
      <c r="S2233" s="275"/>
      <c r="T2233" s="320" t="s">
        <v>6903</v>
      </c>
      <c r="U2233" s="283" t="e">
        <v>#N/A</v>
      </c>
      <c r="V2233" s="320" t="s">
        <v>7277</v>
      </c>
      <c r="W2233" s="320">
        <v>1</v>
      </c>
      <c r="X2233" s="320">
        <v>1</v>
      </c>
      <c r="Y2233" s="320">
        <v>0</v>
      </c>
      <c r="Z2233" s="320">
        <v>1</v>
      </c>
      <c r="AA2233" s="320">
        <v>1</v>
      </c>
      <c r="AB2233" s="320">
        <v>1</v>
      </c>
      <c r="AC2233" s="316">
        <v>0</v>
      </c>
      <c r="AD2233" s="316">
        <v>1</v>
      </c>
      <c r="AE2233" s="302">
        <f t="shared" si="117"/>
        <v>0.75</v>
      </c>
      <c r="AF2233" s="23"/>
      <c r="AG2233" s="17">
        <v>0</v>
      </c>
      <c r="AH2233" s="23">
        <v>0</v>
      </c>
      <c r="AI2233" s="23">
        <v>0</v>
      </c>
      <c r="AJ2233" s="23">
        <v>0</v>
      </c>
      <c r="AK2233" s="153">
        <v>0</v>
      </c>
      <c r="AL2233" s="153">
        <v>0</v>
      </c>
      <c r="AM2233" s="17">
        <f t="shared" si="118"/>
        <v>0</v>
      </c>
      <c r="AN2233" s="320" t="s">
        <v>6900</v>
      </c>
      <c r="AO2233" s="14" t="s">
        <v>6901</v>
      </c>
      <c r="AP2233" s="320" t="s">
        <v>119</v>
      </c>
    </row>
    <row r="2234" spans="1:42" s="320" customFormat="1" x14ac:dyDescent="0.3">
      <c r="A2234" s="353" t="s">
        <v>1450</v>
      </c>
      <c r="B2234" s="320" t="s">
        <v>6881</v>
      </c>
      <c r="C2234" s="320" t="s">
        <v>7255</v>
      </c>
      <c r="D2234" s="320" t="s">
        <v>7256</v>
      </c>
      <c r="E2234" s="320" t="s">
        <v>7257</v>
      </c>
      <c r="F2234" s="320" t="s">
        <v>7258</v>
      </c>
      <c r="G2234" s="320" t="s">
        <v>7278</v>
      </c>
      <c r="H2234" s="320" t="s">
        <v>7279</v>
      </c>
      <c r="I2234" s="320" t="s">
        <v>7280</v>
      </c>
      <c r="J2234" s="320" t="s">
        <v>7281</v>
      </c>
      <c r="K2234" s="320" t="s">
        <v>7282</v>
      </c>
      <c r="L2234" s="320" t="s">
        <v>7283</v>
      </c>
      <c r="M2234" s="320" t="s">
        <v>7284</v>
      </c>
      <c r="N2234" s="275">
        <v>10</v>
      </c>
      <c r="O2234" s="275">
        <v>30</v>
      </c>
      <c r="P2234" s="275">
        <v>35</v>
      </c>
      <c r="Q2234" s="275">
        <v>40</v>
      </c>
      <c r="R2234" s="275">
        <v>60</v>
      </c>
      <c r="S2234" s="275">
        <v>100</v>
      </c>
      <c r="T2234" s="320" t="s">
        <v>7285</v>
      </c>
      <c r="U2234" s="283" t="e">
        <v>#N/A</v>
      </c>
      <c r="W2234" s="320">
        <v>1</v>
      </c>
      <c r="X2234" s="320">
        <v>1</v>
      </c>
      <c r="Y2234" s="320">
        <v>0</v>
      </c>
      <c r="Z2234" s="320">
        <v>1</v>
      </c>
      <c r="AA2234" s="320">
        <v>1</v>
      </c>
      <c r="AB2234" s="320">
        <v>1</v>
      </c>
      <c r="AC2234" s="316">
        <v>0</v>
      </c>
      <c r="AD2234" s="316">
        <v>1</v>
      </c>
      <c r="AE2234" s="302">
        <f t="shared" si="117"/>
        <v>0.75</v>
      </c>
      <c r="AF2234" s="278"/>
      <c r="AG2234" s="17">
        <v>0</v>
      </c>
      <c r="AH2234" s="278"/>
      <c r="AI2234" s="278"/>
      <c r="AJ2234" s="278"/>
      <c r="AK2234" s="279">
        <v>15</v>
      </c>
      <c r="AL2234" s="279"/>
      <c r="AM2234" s="17">
        <f t="shared" si="118"/>
        <v>15</v>
      </c>
    </row>
    <row r="2235" spans="1:42" s="320" customFormat="1" x14ac:dyDescent="0.3">
      <c r="A2235" s="353" t="s">
        <v>1450</v>
      </c>
      <c r="B2235" s="320" t="s">
        <v>6881</v>
      </c>
      <c r="C2235" s="320" t="s">
        <v>7255</v>
      </c>
      <c r="D2235" s="320" t="s">
        <v>7256</v>
      </c>
      <c r="E2235" s="320" t="s">
        <v>7257</v>
      </c>
      <c r="F2235" s="320" t="s">
        <v>7258</v>
      </c>
      <c r="G2235" s="320" t="s">
        <v>7278</v>
      </c>
      <c r="H2235" s="320" t="s">
        <v>7279</v>
      </c>
      <c r="I2235" s="320" t="s">
        <v>7280</v>
      </c>
      <c r="J2235" s="320" t="s">
        <v>7281</v>
      </c>
      <c r="K2235" s="320" t="s">
        <v>7286</v>
      </c>
      <c r="L2235" s="320" t="s">
        <v>7287</v>
      </c>
      <c r="M2235" s="320" t="s">
        <v>7288</v>
      </c>
      <c r="N2235" s="275">
        <v>380</v>
      </c>
      <c r="O2235" s="275">
        <v>380</v>
      </c>
      <c r="P2235" s="275">
        <v>400</v>
      </c>
      <c r="Q2235" s="275">
        <v>500</v>
      </c>
      <c r="R2235" s="275">
        <v>500</v>
      </c>
      <c r="S2235" s="275">
        <v>500</v>
      </c>
      <c r="T2235" s="320" t="s">
        <v>7289</v>
      </c>
      <c r="U2235" s="283" t="e">
        <v>#N/A</v>
      </c>
      <c r="V2235" s="320" t="s">
        <v>7290</v>
      </c>
      <c r="W2235" s="320">
        <v>1</v>
      </c>
      <c r="X2235" s="320">
        <v>1</v>
      </c>
      <c r="Y2235" s="320">
        <v>0</v>
      </c>
      <c r="Z2235" s="320">
        <v>1</v>
      </c>
      <c r="AA2235" s="320">
        <v>1</v>
      </c>
      <c r="AB2235" s="320">
        <v>1</v>
      </c>
      <c r="AC2235" s="316">
        <v>0</v>
      </c>
      <c r="AD2235" s="316">
        <v>1</v>
      </c>
      <c r="AE2235" s="302">
        <f t="shared" si="117"/>
        <v>0.75</v>
      </c>
      <c r="AF2235" s="354"/>
      <c r="AG2235" s="17">
        <v>0</v>
      </c>
      <c r="AH2235" s="354">
        <v>0.02</v>
      </c>
      <c r="AI2235" s="354">
        <v>0.02</v>
      </c>
      <c r="AJ2235" s="354">
        <v>0.02</v>
      </c>
      <c r="AK2235" s="319">
        <v>0.02</v>
      </c>
      <c r="AL2235" s="319">
        <v>0.02</v>
      </c>
      <c r="AM2235" s="17">
        <f t="shared" si="118"/>
        <v>0.04</v>
      </c>
      <c r="AN2235" s="320" t="s">
        <v>7101</v>
      </c>
      <c r="AO2235" s="14" t="s">
        <v>6901</v>
      </c>
      <c r="AP2235" s="320" t="s">
        <v>7102</v>
      </c>
    </row>
    <row r="2236" spans="1:42" s="320" customFormat="1" hidden="1" x14ac:dyDescent="0.3">
      <c r="A2236" s="353" t="s">
        <v>1450</v>
      </c>
      <c r="B2236" s="320" t="s">
        <v>6881</v>
      </c>
      <c r="C2236" s="320" t="s">
        <v>7255</v>
      </c>
      <c r="D2236" s="320" t="s">
        <v>7256</v>
      </c>
      <c r="E2236" s="320" t="s">
        <v>7257</v>
      </c>
      <c r="F2236" s="320" t="s">
        <v>7258</v>
      </c>
      <c r="G2236" s="320" t="s">
        <v>7278</v>
      </c>
      <c r="H2236" s="320" t="s">
        <v>7279</v>
      </c>
      <c r="I2236" s="320" t="s">
        <v>7280</v>
      </c>
      <c r="J2236" s="320" t="s">
        <v>7281</v>
      </c>
      <c r="K2236" s="320" t="s">
        <v>7291</v>
      </c>
      <c r="L2236" s="320" t="s">
        <v>7292</v>
      </c>
      <c r="M2236" s="320" t="s">
        <v>7293</v>
      </c>
      <c r="N2236" s="275">
        <v>5</v>
      </c>
      <c r="O2236" s="275">
        <v>5</v>
      </c>
      <c r="P2236" s="275">
        <v>10</v>
      </c>
      <c r="Q2236" s="275">
        <v>20</v>
      </c>
      <c r="R2236" s="275">
        <v>50</v>
      </c>
      <c r="S2236" s="275">
        <v>100</v>
      </c>
      <c r="T2236" s="320" t="s">
        <v>7294</v>
      </c>
      <c r="U2236" s="283" t="e">
        <v>#N/A</v>
      </c>
      <c r="V2236" s="320" t="s">
        <v>7295</v>
      </c>
      <c r="W2236" s="320">
        <v>1</v>
      </c>
      <c r="X2236" s="320">
        <v>1</v>
      </c>
      <c r="Y2236" s="320">
        <v>0</v>
      </c>
      <c r="Z2236" s="320">
        <v>1</v>
      </c>
      <c r="AA2236" s="320">
        <v>1</v>
      </c>
      <c r="AB2236" s="320">
        <v>0</v>
      </c>
      <c r="AC2236" s="316">
        <v>0</v>
      </c>
      <c r="AD2236" s="316">
        <v>1</v>
      </c>
      <c r="AE2236" s="302">
        <f t="shared" si="117"/>
        <v>0.625</v>
      </c>
      <c r="AF2236" s="354"/>
      <c r="AG2236" s="17">
        <v>0</v>
      </c>
      <c r="AH2236" s="354">
        <v>0.5</v>
      </c>
      <c r="AI2236" s="354">
        <v>0.5</v>
      </c>
      <c r="AJ2236" s="354">
        <v>0.5</v>
      </c>
      <c r="AK2236" s="319">
        <v>6.6608989242580492</v>
      </c>
      <c r="AL2236" s="319">
        <v>12.549999999999955</v>
      </c>
      <c r="AM2236" s="17">
        <f t="shared" si="118"/>
        <v>19.210898924258004</v>
      </c>
      <c r="AN2236" s="320" t="s">
        <v>6900</v>
      </c>
      <c r="AO2236" s="14" t="s">
        <v>6901</v>
      </c>
      <c r="AP2236" s="320" t="s">
        <v>723</v>
      </c>
    </row>
    <row r="2237" spans="1:42" s="320" customFormat="1" hidden="1" x14ac:dyDescent="0.3">
      <c r="A2237" s="353" t="s">
        <v>1450</v>
      </c>
      <c r="B2237" s="320" t="s">
        <v>6881</v>
      </c>
      <c r="C2237" s="320" t="s">
        <v>7255</v>
      </c>
      <c r="D2237" s="320" t="s">
        <v>7256</v>
      </c>
      <c r="E2237" s="320" t="s">
        <v>7257</v>
      </c>
      <c r="F2237" s="320" t="s">
        <v>7258</v>
      </c>
      <c r="G2237" s="320" t="s">
        <v>7278</v>
      </c>
      <c r="H2237" s="320" t="s">
        <v>7279</v>
      </c>
      <c r="I2237" s="320" t="s">
        <v>7280</v>
      </c>
      <c r="J2237" s="320" t="s">
        <v>7281</v>
      </c>
      <c r="K2237" s="320" t="s">
        <v>7296</v>
      </c>
      <c r="L2237" s="320" t="s">
        <v>7297</v>
      </c>
      <c r="M2237" s="320" t="s">
        <v>7298</v>
      </c>
      <c r="N2237" s="275">
        <v>240</v>
      </c>
      <c r="O2237" s="275">
        <v>240</v>
      </c>
      <c r="P2237" s="275">
        <v>250</v>
      </c>
      <c r="Q2237" s="275">
        <v>300</v>
      </c>
      <c r="R2237" s="275">
        <v>300</v>
      </c>
      <c r="S2237" s="275">
        <v>300</v>
      </c>
      <c r="T2237" s="320" t="s">
        <v>7294</v>
      </c>
      <c r="U2237" s="283" t="e">
        <v>#N/A</v>
      </c>
      <c r="V2237" s="320" t="s">
        <v>7299</v>
      </c>
      <c r="W2237" s="320">
        <v>1</v>
      </c>
      <c r="X2237" s="320">
        <v>1</v>
      </c>
      <c r="Y2237" s="320">
        <v>0</v>
      </c>
      <c r="Z2237" s="320">
        <v>1</v>
      </c>
      <c r="AA2237" s="320">
        <v>1</v>
      </c>
      <c r="AB2237" s="320">
        <v>0</v>
      </c>
      <c r="AC2237" s="316">
        <v>0</v>
      </c>
      <c r="AD2237" s="316">
        <v>1</v>
      </c>
      <c r="AE2237" s="302">
        <f t="shared" si="117"/>
        <v>0.625</v>
      </c>
      <c r="AF2237" s="354"/>
      <c r="AG2237" s="17">
        <v>0</v>
      </c>
      <c r="AH2237" s="354">
        <v>0</v>
      </c>
      <c r="AI2237" s="354">
        <v>0</v>
      </c>
      <c r="AJ2237" s="354">
        <v>0</v>
      </c>
      <c r="AK2237" s="319">
        <v>0</v>
      </c>
      <c r="AL2237" s="319">
        <v>0</v>
      </c>
      <c r="AM2237" s="17">
        <f t="shared" si="118"/>
        <v>0</v>
      </c>
      <c r="AN2237" s="320" t="s">
        <v>6900</v>
      </c>
      <c r="AO2237" s="14" t="s">
        <v>6901</v>
      </c>
      <c r="AP2237" s="320" t="s">
        <v>7300</v>
      </c>
    </row>
    <row r="2238" spans="1:42" s="320" customFormat="1" hidden="1" x14ac:dyDescent="0.3">
      <c r="A2238" s="353" t="s">
        <v>1450</v>
      </c>
      <c r="B2238" s="320" t="s">
        <v>6881</v>
      </c>
      <c r="C2238" s="320" t="s">
        <v>7255</v>
      </c>
      <c r="D2238" s="320" t="s">
        <v>7256</v>
      </c>
      <c r="E2238" s="320" t="s">
        <v>7257</v>
      </c>
      <c r="F2238" s="320" t="s">
        <v>7258</v>
      </c>
      <c r="G2238" s="320" t="s">
        <v>7278</v>
      </c>
      <c r="H2238" s="320" t="s">
        <v>7279</v>
      </c>
      <c r="I2238" s="320" t="s">
        <v>7280</v>
      </c>
      <c r="J2238" s="320" t="s">
        <v>7281</v>
      </c>
      <c r="K2238" s="320" t="s">
        <v>7296</v>
      </c>
      <c r="L2238" s="320" t="s">
        <v>7297</v>
      </c>
      <c r="N2238" s="275"/>
      <c r="O2238" s="275"/>
      <c r="P2238" s="275"/>
      <c r="Q2238" s="275"/>
      <c r="R2238" s="275"/>
      <c r="S2238" s="275"/>
      <c r="T2238" s="320" t="s">
        <v>7301</v>
      </c>
      <c r="U2238" s="283" t="e">
        <v>#N/A</v>
      </c>
      <c r="V2238" s="320" t="s">
        <v>7302</v>
      </c>
      <c r="W2238" s="320">
        <v>1</v>
      </c>
      <c r="X2238" s="320">
        <v>1</v>
      </c>
      <c r="Y2238" s="320">
        <v>0</v>
      </c>
      <c r="Z2238" s="320">
        <v>1</v>
      </c>
      <c r="AA2238" s="320">
        <v>1</v>
      </c>
      <c r="AB2238" s="320">
        <v>0</v>
      </c>
      <c r="AC2238" s="316">
        <v>0</v>
      </c>
      <c r="AD2238" s="316">
        <v>1</v>
      </c>
      <c r="AE2238" s="302">
        <f t="shared" si="117"/>
        <v>0.625</v>
      </c>
      <c r="AF2238" s="354"/>
      <c r="AG2238" s="17">
        <v>0</v>
      </c>
      <c r="AH2238" s="354">
        <v>0.5</v>
      </c>
      <c r="AI2238" s="354">
        <v>0.5</v>
      </c>
      <c r="AJ2238" s="354">
        <v>0.5</v>
      </c>
      <c r="AK2238" s="319">
        <v>0.5</v>
      </c>
      <c r="AL2238" s="319">
        <v>0.5</v>
      </c>
      <c r="AM2238" s="17">
        <f t="shared" si="118"/>
        <v>1</v>
      </c>
      <c r="AN2238" s="320" t="s">
        <v>7303</v>
      </c>
      <c r="AO2238" s="14" t="s">
        <v>6901</v>
      </c>
      <c r="AP2238" s="320" t="s">
        <v>7102</v>
      </c>
    </row>
    <row r="2239" spans="1:42" s="320" customFormat="1" x14ac:dyDescent="0.3">
      <c r="A2239" s="353" t="s">
        <v>1450</v>
      </c>
      <c r="B2239" s="320" t="s">
        <v>6881</v>
      </c>
      <c r="C2239" s="320" t="s">
        <v>7255</v>
      </c>
      <c r="D2239" s="320" t="s">
        <v>7256</v>
      </c>
      <c r="E2239" s="320" t="s">
        <v>7257</v>
      </c>
      <c r="F2239" s="320" t="s">
        <v>7258</v>
      </c>
      <c r="G2239" s="320" t="s">
        <v>7278</v>
      </c>
      <c r="H2239" s="320" t="s">
        <v>7279</v>
      </c>
      <c r="I2239" s="320" t="s">
        <v>7280</v>
      </c>
      <c r="J2239" s="320" t="s">
        <v>7281</v>
      </c>
      <c r="K2239" s="320" t="s">
        <v>7296</v>
      </c>
      <c r="L2239" s="320" t="s">
        <v>7297</v>
      </c>
      <c r="N2239" s="275"/>
      <c r="O2239" s="275"/>
      <c r="P2239" s="275"/>
      <c r="Q2239" s="275"/>
      <c r="R2239" s="275"/>
      <c r="S2239" s="275"/>
      <c r="T2239" s="320" t="s">
        <v>7301</v>
      </c>
      <c r="U2239" s="283" t="e">
        <v>#N/A</v>
      </c>
      <c r="V2239" s="320" t="s">
        <v>7304</v>
      </c>
      <c r="W2239" s="320">
        <v>1</v>
      </c>
      <c r="X2239" s="320">
        <v>1</v>
      </c>
      <c r="Y2239" s="320">
        <v>0</v>
      </c>
      <c r="Z2239" s="320">
        <v>1</v>
      </c>
      <c r="AA2239" s="320">
        <v>1</v>
      </c>
      <c r="AB2239" s="320">
        <v>1</v>
      </c>
      <c r="AC2239" s="316">
        <v>0</v>
      </c>
      <c r="AD2239" s="316">
        <v>1</v>
      </c>
      <c r="AE2239" s="302">
        <f t="shared" si="117"/>
        <v>0.75</v>
      </c>
      <c r="AF2239" s="354"/>
      <c r="AG2239" s="17">
        <v>0</v>
      </c>
      <c r="AH2239" s="354">
        <v>0</v>
      </c>
      <c r="AI2239" s="354">
        <v>0.3</v>
      </c>
      <c r="AJ2239" s="23">
        <v>0</v>
      </c>
      <c r="AK2239" s="153">
        <v>0</v>
      </c>
      <c r="AL2239" s="153">
        <v>0</v>
      </c>
      <c r="AM2239" s="17">
        <f t="shared" si="118"/>
        <v>0</v>
      </c>
      <c r="AN2239" s="320" t="s">
        <v>7303</v>
      </c>
      <c r="AO2239" s="14" t="s">
        <v>6901</v>
      </c>
      <c r="AP2239" s="320" t="s">
        <v>7305</v>
      </c>
    </row>
    <row r="2240" spans="1:42" s="320" customFormat="1" hidden="1" x14ac:dyDescent="0.3">
      <c r="A2240" s="353" t="s">
        <v>1450</v>
      </c>
      <c r="B2240" s="320" t="s">
        <v>6881</v>
      </c>
      <c r="C2240" s="320" t="s">
        <v>7255</v>
      </c>
      <c r="D2240" s="320" t="s">
        <v>7256</v>
      </c>
      <c r="E2240" s="320" t="s">
        <v>7257</v>
      </c>
      <c r="F2240" s="320" t="s">
        <v>7258</v>
      </c>
      <c r="G2240" s="320" t="s">
        <v>7278</v>
      </c>
      <c r="H2240" s="320" t="s">
        <v>7279</v>
      </c>
      <c r="I2240" s="320" t="s">
        <v>7306</v>
      </c>
      <c r="J2240" s="320" t="s">
        <v>7307</v>
      </c>
      <c r="K2240" s="320" t="s">
        <v>7308</v>
      </c>
      <c r="L2240" s="320" t="s">
        <v>7309</v>
      </c>
      <c r="N2240" s="275"/>
      <c r="O2240" s="275"/>
      <c r="P2240" s="275"/>
      <c r="Q2240" s="275"/>
      <c r="R2240" s="275"/>
      <c r="S2240" s="275"/>
      <c r="U2240" s="283" t="e">
        <v>#N/A</v>
      </c>
      <c r="AC2240" s="316">
        <v>0</v>
      </c>
      <c r="AD2240" s="316">
        <v>0</v>
      </c>
      <c r="AE2240" s="302">
        <f t="shared" si="117"/>
        <v>0</v>
      </c>
      <c r="AF2240" s="278"/>
      <c r="AG2240" s="17">
        <v>0</v>
      </c>
      <c r="AH2240" s="278"/>
      <c r="AI2240" s="278"/>
      <c r="AJ2240" s="278"/>
      <c r="AK2240" s="279"/>
      <c r="AL2240" s="279"/>
      <c r="AM2240" s="17">
        <f t="shared" si="118"/>
        <v>0</v>
      </c>
    </row>
    <row r="2241" spans="1:42" s="320" customFormat="1" hidden="1" x14ac:dyDescent="0.3">
      <c r="A2241" s="353" t="s">
        <v>1450</v>
      </c>
      <c r="B2241" s="320" t="s">
        <v>6881</v>
      </c>
      <c r="C2241" s="320" t="s">
        <v>7255</v>
      </c>
      <c r="D2241" s="320" t="s">
        <v>7256</v>
      </c>
      <c r="E2241" s="320" t="s">
        <v>7257</v>
      </c>
      <c r="F2241" s="320" t="s">
        <v>7258</v>
      </c>
      <c r="G2241" s="320" t="s">
        <v>7310</v>
      </c>
      <c r="H2241" s="320" t="s">
        <v>7311</v>
      </c>
      <c r="I2241" s="320" t="s">
        <v>271</v>
      </c>
      <c r="J2241" s="320" t="s">
        <v>271</v>
      </c>
      <c r="K2241" s="320" t="s">
        <v>7312</v>
      </c>
      <c r="L2241" s="320" t="s">
        <v>7313</v>
      </c>
      <c r="M2241" s="320" t="s">
        <v>7314</v>
      </c>
      <c r="N2241" s="275">
        <v>0</v>
      </c>
      <c r="O2241" s="275">
        <v>0</v>
      </c>
      <c r="P2241" s="275">
        <v>1</v>
      </c>
      <c r="Q2241" s="275">
        <v>1</v>
      </c>
      <c r="R2241" s="275">
        <v>2</v>
      </c>
      <c r="S2241" s="275">
        <v>3</v>
      </c>
      <c r="T2241" s="320" t="s">
        <v>7315</v>
      </c>
      <c r="U2241" s="283" t="e">
        <v>#N/A</v>
      </c>
      <c r="AC2241" s="316">
        <v>0</v>
      </c>
      <c r="AD2241" s="316">
        <v>0</v>
      </c>
      <c r="AE2241" s="302">
        <f t="shared" si="117"/>
        <v>0</v>
      </c>
      <c r="AF2241" s="278"/>
      <c r="AG2241" s="17">
        <v>0</v>
      </c>
      <c r="AH2241" s="278"/>
      <c r="AI2241" s="278"/>
      <c r="AJ2241" s="278"/>
      <c r="AK2241" s="279"/>
      <c r="AL2241" s="279"/>
      <c r="AM2241" s="17">
        <f t="shared" si="118"/>
        <v>0</v>
      </c>
    </row>
    <row r="2242" spans="1:42" s="320" customFormat="1" hidden="1" x14ac:dyDescent="0.3">
      <c r="A2242" s="353" t="s">
        <v>1450</v>
      </c>
      <c r="B2242" s="320" t="s">
        <v>6881</v>
      </c>
      <c r="C2242" s="320" t="s">
        <v>7255</v>
      </c>
      <c r="D2242" s="320" t="s">
        <v>7256</v>
      </c>
      <c r="E2242" s="320" t="s">
        <v>7257</v>
      </c>
      <c r="F2242" s="320" t="s">
        <v>7258</v>
      </c>
      <c r="G2242" s="320" t="s">
        <v>7310</v>
      </c>
      <c r="H2242" s="320" t="s">
        <v>7311</v>
      </c>
      <c r="I2242" s="320" t="s">
        <v>271</v>
      </c>
      <c r="J2242" s="320" t="s">
        <v>271</v>
      </c>
      <c r="K2242" s="320" t="s">
        <v>7312</v>
      </c>
      <c r="L2242" s="320" t="s">
        <v>7316</v>
      </c>
      <c r="M2242" s="320" t="s">
        <v>7317</v>
      </c>
      <c r="N2242" s="275">
        <v>0</v>
      </c>
      <c r="O2242" s="275" t="s">
        <v>271</v>
      </c>
      <c r="P2242" s="275">
        <v>0</v>
      </c>
      <c r="Q2242" s="275">
        <v>0</v>
      </c>
      <c r="R2242" s="275">
        <v>2</v>
      </c>
      <c r="S2242" s="275">
        <v>4</v>
      </c>
      <c r="T2242" s="320" t="s">
        <v>7318</v>
      </c>
      <c r="U2242" s="283" t="e">
        <v>#N/A</v>
      </c>
      <c r="AC2242" s="316">
        <v>0</v>
      </c>
      <c r="AD2242" s="316">
        <v>0</v>
      </c>
      <c r="AE2242" s="302">
        <f t="shared" si="117"/>
        <v>0</v>
      </c>
      <c r="AF2242" s="278"/>
      <c r="AG2242" s="17">
        <v>0</v>
      </c>
      <c r="AH2242" s="278"/>
      <c r="AI2242" s="278"/>
      <c r="AJ2242" s="278"/>
      <c r="AK2242" s="279"/>
      <c r="AL2242" s="279"/>
      <c r="AM2242" s="17">
        <f t="shared" si="118"/>
        <v>0</v>
      </c>
    </row>
    <row r="2243" spans="1:42" s="320" customFormat="1" hidden="1" x14ac:dyDescent="0.3">
      <c r="A2243" s="353" t="s">
        <v>1450</v>
      </c>
      <c r="B2243" s="320" t="s">
        <v>6881</v>
      </c>
      <c r="C2243" s="320" t="s">
        <v>7255</v>
      </c>
      <c r="D2243" s="320" t="s">
        <v>7256</v>
      </c>
      <c r="E2243" s="320" t="s">
        <v>7257</v>
      </c>
      <c r="F2243" s="320" t="s">
        <v>7258</v>
      </c>
      <c r="G2243" s="320" t="s">
        <v>7319</v>
      </c>
      <c r="H2243" s="320" t="s">
        <v>7320</v>
      </c>
      <c r="I2243" s="320" t="s">
        <v>271</v>
      </c>
      <c r="J2243" s="320" t="s">
        <v>271</v>
      </c>
      <c r="K2243" s="320" t="s">
        <v>7321</v>
      </c>
      <c r="L2243" s="320" t="s">
        <v>7322</v>
      </c>
      <c r="M2243" s="320" t="s">
        <v>7323</v>
      </c>
      <c r="N2243" s="275">
        <v>0</v>
      </c>
      <c r="O2243" s="275">
        <v>2</v>
      </c>
      <c r="P2243" s="275">
        <v>4</v>
      </c>
      <c r="Q2243" s="275">
        <v>6</v>
      </c>
      <c r="R2243" s="275">
        <v>8</v>
      </c>
      <c r="S2243" s="275">
        <v>10</v>
      </c>
      <c r="T2243" s="320" t="s">
        <v>7324</v>
      </c>
      <c r="U2243" s="283" t="e">
        <v>#N/A</v>
      </c>
      <c r="AC2243" s="316">
        <v>0</v>
      </c>
      <c r="AD2243" s="316">
        <v>0</v>
      </c>
      <c r="AE2243" s="302">
        <f t="shared" si="117"/>
        <v>0</v>
      </c>
      <c r="AF2243" s="278"/>
      <c r="AG2243" s="17">
        <v>0</v>
      </c>
      <c r="AH2243" s="278"/>
      <c r="AI2243" s="278"/>
      <c r="AJ2243" s="278"/>
      <c r="AK2243" s="279"/>
      <c r="AL2243" s="279"/>
      <c r="AM2243" s="17">
        <f t="shared" si="118"/>
        <v>0</v>
      </c>
    </row>
    <row r="2244" spans="1:42" s="320" customFormat="1" hidden="1" x14ac:dyDescent="0.3">
      <c r="A2244" s="353" t="s">
        <v>1450</v>
      </c>
      <c r="B2244" s="320" t="s">
        <v>6881</v>
      </c>
      <c r="C2244" s="320" t="s">
        <v>7255</v>
      </c>
      <c r="D2244" s="320" t="s">
        <v>7256</v>
      </c>
      <c r="E2244" s="320" t="s">
        <v>7257</v>
      </c>
      <c r="F2244" s="320" t="s">
        <v>7258</v>
      </c>
      <c r="G2244" s="320" t="s">
        <v>7319</v>
      </c>
      <c r="H2244" s="320" t="s">
        <v>7320</v>
      </c>
      <c r="I2244" s="320" t="s">
        <v>271</v>
      </c>
      <c r="J2244" s="320" t="s">
        <v>271</v>
      </c>
      <c r="K2244" s="320" t="s">
        <v>7325</v>
      </c>
      <c r="L2244" s="320" t="s">
        <v>7326</v>
      </c>
      <c r="M2244" s="320" t="s">
        <v>7327</v>
      </c>
      <c r="N2244" s="275">
        <v>35</v>
      </c>
      <c r="O2244" s="275">
        <v>40</v>
      </c>
      <c r="P2244" s="275">
        <v>45</v>
      </c>
      <c r="Q2244" s="275">
        <v>48</v>
      </c>
      <c r="R2244" s="275">
        <v>50</v>
      </c>
      <c r="S2244" s="275">
        <v>50</v>
      </c>
      <c r="T2244" s="320" t="s">
        <v>5135</v>
      </c>
      <c r="U2244" s="283" t="e">
        <v>#N/A</v>
      </c>
      <c r="AC2244" s="316">
        <v>0</v>
      </c>
      <c r="AD2244" s="316">
        <v>0</v>
      </c>
      <c r="AE2244" s="302">
        <f t="shared" si="117"/>
        <v>0</v>
      </c>
      <c r="AF2244" s="278"/>
      <c r="AG2244" s="17">
        <v>0</v>
      </c>
      <c r="AH2244" s="278"/>
      <c r="AI2244" s="278"/>
      <c r="AJ2244" s="278"/>
      <c r="AK2244" s="279"/>
      <c r="AL2244" s="279"/>
      <c r="AM2244" s="17">
        <f t="shared" si="118"/>
        <v>0</v>
      </c>
    </row>
    <row r="2245" spans="1:42" s="320" customFormat="1" hidden="1" x14ac:dyDescent="0.3">
      <c r="A2245" s="353" t="s">
        <v>1450</v>
      </c>
      <c r="B2245" s="320" t="s">
        <v>6881</v>
      </c>
      <c r="C2245" s="320" t="s">
        <v>7255</v>
      </c>
      <c r="D2245" s="320" t="s">
        <v>7256</v>
      </c>
      <c r="E2245" s="320" t="s">
        <v>7257</v>
      </c>
      <c r="F2245" s="320" t="s">
        <v>7258</v>
      </c>
      <c r="G2245" s="320" t="s">
        <v>7319</v>
      </c>
      <c r="H2245" s="320" t="s">
        <v>7320</v>
      </c>
      <c r="I2245" s="320" t="s">
        <v>271</v>
      </c>
      <c r="J2245" s="320" t="s">
        <v>271</v>
      </c>
      <c r="K2245" s="320" t="s">
        <v>7325</v>
      </c>
      <c r="L2245" s="320" t="s">
        <v>7326</v>
      </c>
      <c r="N2245" s="275"/>
      <c r="O2245" s="275"/>
      <c r="P2245" s="275"/>
      <c r="Q2245" s="275"/>
      <c r="R2245" s="275"/>
      <c r="S2245" s="275"/>
      <c r="T2245" s="320" t="s">
        <v>7071</v>
      </c>
      <c r="U2245" s="283" t="e">
        <v>#N/A</v>
      </c>
      <c r="V2245" s="320" t="s">
        <v>7328</v>
      </c>
      <c r="W2245" s="320">
        <v>1</v>
      </c>
      <c r="X2245" s="320">
        <v>1</v>
      </c>
      <c r="Y2245" s="320">
        <v>0</v>
      </c>
      <c r="Z2245" s="320">
        <v>1</v>
      </c>
      <c r="AA2245" s="320">
        <v>1</v>
      </c>
      <c r="AB2245" s="320">
        <v>0</v>
      </c>
      <c r="AC2245" s="316">
        <v>0</v>
      </c>
      <c r="AD2245" s="316">
        <v>1</v>
      </c>
      <c r="AE2245" s="302">
        <f t="shared" si="117"/>
        <v>0.625</v>
      </c>
      <c r="AF2245" s="354"/>
      <c r="AG2245" s="17">
        <v>0</v>
      </c>
      <c r="AH2245" s="354">
        <v>0.2</v>
      </c>
      <c r="AI2245" s="354">
        <v>0.2</v>
      </c>
      <c r="AJ2245" s="354">
        <v>0.2</v>
      </c>
      <c r="AK2245" s="319">
        <v>0.2</v>
      </c>
      <c r="AL2245" s="319">
        <v>0.2</v>
      </c>
      <c r="AM2245" s="17">
        <f t="shared" si="118"/>
        <v>0.4</v>
      </c>
      <c r="AN2245" s="320" t="s">
        <v>869</v>
      </c>
      <c r="AO2245" s="14" t="s">
        <v>871</v>
      </c>
      <c r="AP2245" s="320" t="s">
        <v>7329</v>
      </c>
    </row>
    <row r="2246" spans="1:42" s="320" customFormat="1" x14ac:dyDescent="0.3">
      <c r="A2246" s="353" t="s">
        <v>1450</v>
      </c>
      <c r="B2246" s="320" t="s">
        <v>6881</v>
      </c>
      <c r="C2246" s="320" t="s">
        <v>7255</v>
      </c>
      <c r="D2246" s="320" t="s">
        <v>7256</v>
      </c>
      <c r="E2246" s="320" t="s">
        <v>7257</v>
      </c>
      <c r="F2246" s="320" t="s">
        <v>7258</v>
      </c>
      <c r="G2246" s="320" t="s">
        <v>7330</v>
      </c>
      <c r="H2246" s="320" t="s">
        <v>7331</v>
      </c>
      <c r="I2246" s="320" t="s">
        <v>271</v>
      </c>
      <c r="J2246" s="320" t="s">
        <v>271</v>
      </c>
      <c r="K2246" s="320" t="s">
        <v>7332</v>
      </c>
      <c r="L2246" s="320" t="s">
        <v>7333</v>
      </c>
      <c r="M2246" s="320" t="s">
        <v>7334</v>
      </c>
      <c r="N2246" s="275">
        <v>0</v>
      </c>
      <c r="O2246" s="275" t="s">
        <v>271</v>
      </c>
      <c r="P2246" s="275" t="s">
        <v>271</v>
      </c>
      <c r="Q2246" s="275">
        <v>0</v>
      </c>
      <c r="R2246" s="275" t="s">
        <v>271</v>
      </c>
      <c r="S2246" s="275" t="s">
        <v>271</v>
      </c>
      <c r="T2246" s="320" t="s">
        <v>6903</v>
      </c>
      <c r="U2246" s="283" t="e">
        <v>#N/A</v>
      </c>
      <c r="V2246" s="320" t="s">
        <v>7335</v>
      </c>
      <c r="W2246" s="320">
        <v>1</v>
      </c>
      <c r="X2246" s="320">
        <v>1</v>
      </c>
      <c r="Y2246" s="320">
        <v>1</v>
      </c>
      <c r="Z2246" s="320">
        <v>1</v>
      </c>
      <c r="AA2246" s="320">
        <v>1</v>
      </c>
      <c r="AB2246" s="320">
        <v>1</v>
      </c>
      <c r="AC2246" s="316">
        <v>0</v>
      </c>
      <c r="AD2246" s="316">
        <v>0</v>
      </c>
      <c r="AE2246" s="302">
        <f t="shared" ref="AE2246:AE2261" si="119">SUM(W2246:AD2246)/8</f>
        <v>0.75</v>
      </c>
      <c r="AF2246" s="354"/>
      <c r="AG2246" s="17">
        <v>0</v>
      </c>
      <c r="AH2246" s="354">
        <v>0.05</v>
      </c>
      <c r="AI2246" s="354">
        <v>0.05</v>
      </c>
      <c r="AJ2246" s="354">
        <v>0.05</v>
      </c>
      <c r="AK2246" s="319">
        <v>0.05</v>
      </c>
      <c r="AL2246" s="319">
        <v>0.05</v>
      </c>
      <c r="AM2246" s="17">
        <f t="shared" ref="AM2246:AM2261" si="120">SUM(AK2246:AL2246)</f>
        <v>0.1</v>
      </c>
      <c r="AN2246" s="320" t="s">
        <v>869</v>
      </c>
      <c r="AO2246" s="14" t="s">
        <v>871</v>
      </c>
      <c r="AP2246" s="320" t="s">
        <v>7336</v>
      </c>
    </row>
    <row r="2247" spans="1:42" s="320" customFormat="1" hidden="1" x14ac:dyDescent="0.3">
      <c r="A2247" s="353" t="s">
        <v>1450</v>
      </c>
      <c r="B2247" s="320" t="s">
        <v>6881</v>
      </c>
      <c r="C2247" s="320" t="s">
        <v>7255</v>
      </c>
      <c r="D2247" s="320" t="s">
        <v>7256</v>
      </c>
      <c r="E2247" s="320" t="s">
        <v>7257</v>
      </c>
      <c r="F2247" s="320" t="s">
        <v>7258</v>
      </c>
      <c r="G2247" s="320" t="s">
        <v>7337</v>
      </c>
      <c r="H2247" s="320" t="s">
        <v>7338</v>
      </c>
      <c r="I2247" s="320" t="s">
        <v>271</v>
      </c>
      <c r="J2247" s="320" t="s">
        <v>271</v>
      </c>
      <c r="K2247" s="320" t="s">
        <v>7339</v>
      </c>
      <c r="L2247" s="320" t="s">
        <v>7340</v>
      </c>
      <c r="M2247" s="320" t="s">
        <v>7341</v>
      </c>
      <c r="N2247" s="275"/>
      <c r="O2247" s="275"/>
      <c r="P2247" s="275"/>
      <c r="Q2247" s="275"/>
      <c r="R2247" s="275"/>
      <c r="S2247" s="275"/>
      <c r="T2247" s="320" t="s">
        <v>7342</v>
      </c>
      <c r="U2247" s="283" t="e">
        <v>#N/A</v>
      </c>
      <c r="V2247" s="320" t="s">
        <v>7343</v>
      </c>
      <c r="W2247" s="320">
        <v>1</v>
      </c>
      <c r="X2247" s="320">
        <v>1</v>
      </c>
      <c r="Y2247" s="320">
        <v>0</v>
      </c>
      <c r="Z2247" s="320">
        <v>1</v>
      </c>
      <c r="AA2247" s="320">
        <v>1</v>
      </c>
      <c r="AC2247" s="316">
        <v>0</v>
      </c>
      <c r="AD2247" s="316">
        <v>1</v>
      </c>
      <c r="AE2247" s="302">
        <f t="shared" si="119"/>
        <v>0.625</v>
      </c>
      <c r="AF2247" s="23"/>
      <c r="AG2247" s="17">
        <v>0</v>
      </c>
      <c r="AH2247" s="23">
        <v>0</v>
      </c>
      <c r="AI2247" s="23">
        <v>0</v>
      </c>
      <c r="AJ2247" s="354">
        <v>0.2</v>
      </c>
      <c r="AK2247" s="319">
        <v>0.7</v>
      </c>
      <c r="AL2247" s="319">
        <v>0.7</v>
      </c>
      <c r="AM2247" s="17">
        <f t="shared" si="120"/>
        <v>1.4</v>
      </c>
      <c r="AN2247" s="320" t="s">
        <v>6900</v>
      </c>
      <c r="AO2247" s="14" t="s">
        <v>6901</v>
      </c>
      <c r="AP2247" s="320" t="s">
        <v>6894</v>
      </c>
    </row>
    <row r="2248" spans="1:42" s="320" customFormat="1" x14ac:dyDescent="0.3">
      <c r="A2248" s="353" t="s">
        <v>1450</v>
      </c>
      <c r="B2248" s="320" t="s">
        <v>6881</v>
      </c>
      <c r="C2248" s="320" t="s">
        <v>7255</v>
      </c>
      <c r="D2248" s="320" t="s">
        <v>7256</v>
      </c>
      <c r="E2248" s="320" t="s">
        <v>7257</v>
      </c>
      <c r="F2248" s="320" t="s">
        <v>7258</v>
      </c>
      <c r="G2248" s="320" t="s">
        <v>7337</v>
      </c>
      <c r="H2248" s="320" t="s">
        <v>7338</v>
      </c>
      <c r="I2248" s="320" t="s">
        <v>271</v>
      </c>
      <c r="J2248" s="320" t="s">
        <v>271</v>
      </c>
      <c r="K2248" s="320" t="s">
        <v>7339</v>
      </c>
      <c r="L2248" s="320" t="s">
        <v>7340</v>
      </c>
      <c r="M2248" s="320" t="s">
        <v>7344</v>
      </c>
      <c r="N2248" s="275"/>
      <c r="O2248" s="275"/>
      <c r="P2248" s="275"/>
      <c r="Q2248" s="275"/>
      <c r="R2248" s="275"/>
      <c r="S2248" s="275"/>
      <c r="T2248" s="320" t="s">
        <v>6903</v>
      </c>
      <c r="U2248" s="283" t="e">
        <v>#N/A</v>
      </c>
      <c r="V2248" s="320" t="s">
        <v>7345</v>
      </c>
      <c r="W2248" s="320">
        <v>1</v>
      </c>
      <c r="X2248" s="320">
        <v>1</v>
      </c>
      <c r="Y2248" s="320">
        <v>1</v>
      </c>
      <c r="Z2248" s="320">
        <v>1</v>
      </c>
      <c r="AA2248" s="320">
        <v>1</v>
      </c>
      <c r="AB2248" s="320">
        <v>1</v>
      </c>
      <c r="AC2248" s="316">
        <v>0</v>
      </c>
      <c r="AD2248" s="316">
        <v>1</v>
      </c>
      <c r="AE2248" s="302">
        <f t="shared" si="119"/>
        <v>0.875</v>
      </c>
      <c r="AF2248" s="23"/>
      <c r="AG2248" s="17">
        <v>0</v>
      </c>
      <c r="AH2248" s="23">
        <v>0</v>
      </c>
      <c r="AI2248" s="354">
        <v>0.05</v>
      </c>
      <c r="AJ2248" s="354">
        <v>0.05</v>
      </c>
      <c r="AK2248" s="319">
        <v>2</v>
      </c>
      <c r="AL2248" s="319">
        <v>0.8</v>
      </c>
      <c r="AM2248" s="17">
        <f t="shared" si="120"/>
        <v>2.8</v>
      </c>
      <c r="AN2248" s="320" t="s">
        <v>6900</v>
      </c>
      <c r="AO2248" s="14" t="s">
        <v>6901</v>
      </c>
      <c r="AP2248" s="320" t="s">
        <v>7346</v>
      </c>
    </row>
    <row r="2249" spans="1:42" s="320" customFormat="1" hidden="1" x14ac:dyDescent="0.3">
      <c r="A2249" s="353" t="s">
        <v>1450</v>
      </c>
      <c r="B2249" s="320" t="s">
        <v>6881</v>
      </c>
      <c r="C2249" s="320" t="s">
        <v>7255</v>
      </c>
      <c r="D2249" s="320" t="s">
        <v>7256</v>
      </c>
      <c r="E2249" s="320" t="s">
        <v>7257</v>
      </c>
      <c r="F2249" s="320" t="s">
        <v>7258</v>
      </c>
      <c r="G2249" s="320" t="s">
        <v>7337</v>
      </c>
      <c r="H2249" s="320" t="s">
        <v>7338</v>
      </c>
      <c r="I2249" s="320" t="s">
        <v>271</v>
      </c>
      <c r="J2249" s="320" t="s">
        <v>271</v>
      </c>
      <c r="K2249" s="320" t="s">
        <v>7339</v>
      </c>
      <c r="L2249" s="320" t="s">
        <v>7340</v>
      </c>
      <c r="N2249" s="275"/>
      <c r="O2249" s="275"/>
      <c r="P2249" s="275"/>
      <c r="Q2249" s="275"/>
      <c r="R2249" s="275"/>
      <c r="S2249" s="275"/>
      <c r="U2249" s="283" t="e">
        <v>#N/A</v>
      </c>
      <c r="V2249" s="320" t="s">
        <v>7347</v>
      </c>
      <c r="W2249" s="320">
        <v>1</v>
      </c>
      <c r="X2249" s="320">
        <v>1</v>
      </c>
      <c r="Y2249" s="320">
        <v>0</v>
      </c>
      <c r="Z2249" s="320">
        <v>1</v>
      </c>
      <c r="AA2249" s="320">
        <v>1</v>
      </c>
      <c r="AB2249" s="320">
        <v>0</v>
      </c>
      <c r="AC2249" s="316">
        <v>0</v>
      </c>
      <c r="AD2249" s="316">
        <v>1</v>
      </c>
      <c r="AE2249" s="302">
        <f t="shared" si="119"/>
        <v>0.625</v>
      </c>
      <c r="AF2249" s="354"/>
      <c r="AG2249" s="17">
        <v>0</v>
      </c>
      <c r="AH2249" s="354">
        <v>0.35</v>
      </c>
      <c r="AI2249" s="354">
        <v>0.6</v>
      </c>
      <c r="AJ2249" s="354">
        <v>0.35</v>
      </c>
      <c r="AK2249" s="319">
        <v>0.95</v>
      </c>
      <c r="AL2249" s="319">
        <v>0.35</v>
      </c>
      <c r="AM2249" s="17">
        <f t="shared" si="120"/>
        <v>1.2999999999999998</v>
      </c>
      <c r="AN2249" s="320" t="s">
        <v>6900</v>
      </c>
      <c r="AO2249" s="14" t="s">
        <v>6901</v>
      </c>
      <c r="AP2249" s="320" t="s">
        <v>7348</v>
      </c>
    </row>
    <row r="2250" spans="1:42" s="320" customFormat="1" x14ac:dyDescent="0.3">
      <c r="A2250" s="353" t="s">
        <v>1450</v>
      </c>
      <c r="B2250" s="320" t="s">
        <v>6881</v>
      </c>
      <c r="C2250" s="320" t="s">
        <v>7255</v>
      </c>
      <c r="D2250" s="320" t="s">
        <v>7256</v>
      </c>
      <c r="E2250" s="320" t="s">
        <v>7257</v>
      </c>
      <c r="F2250" s="320" t="s">
        <v>7258</v>
      </c>
      <c r="G2250" s="320" t="s">
        <v>7337</v>
      </c>
      <c r="H2250" s="320" t="s">
        <v>7338</v>
      </c>
      <c r="I2250" s="320" t="s">
        <v>271</v>
      </c>
      <c r="J2250" s="320" t="s">
        <v>271</v>
      </c>
      <c r="K2250" s="320" t="s">
        <v>7339</v>
      </c>
      <c r="L2250" s="320" t="s">
        <v>7340</v>
      </c>
      <c r="N2250" s="275"/>
      <c r="O2250" s="275"/>
      <c r="P2250" s="275"/>
      <c r="Q2250" s="275"/>
      <c r="R2250" s="275"/>
      <c r="S2250" s="275"/>
      <c r="U2250" s="283" t="e">
        <v>#N/A</v>
      </c>
      <c r="V2250" s="320" t="s">
        <v>7349</v>
      </c>
      <c r="W2250" s="320">
        <v>1</v>
      </c>
      <c r="X2250" s="320">
        <v>1</v>
      </c>
      <c r="Y2250" s="320">
        <v>0</v>
      </c>
      <c r="Z2250" s="320">
        <v>1</v>
      </c>
      <c r="AA2250" s="320">
        <v>1</v>
      </c>
      <c r="AB2250" s="320">
        <v>1</v>
      </c>
      <c r="AC2250" s="316">
        <v>0</v>
      </c>
      <c r="AD2250" s="316">
        <v>1</v>
      </c>
      <c r="AE2250" s="302">
        <f t="shared" si="119"/>
        <v>0.75</v>
      </c>
      <c r="AF2250" s="23"/>
      <c r="AG2250" s="17">
        <v>0</v>
      </c>
      <c r="AH2250" s="23">
        <v>0</v>
      </c>
      <c r="AI2250" s="23">
        <v>0</v>
      </c>
      <c r="AJ2250" s="354">
        <v>0.2</v>
      </c>
      <c r="AK2250" s="319">
        <v>0.7</v>
      </c>
      <c r="AL2250" s="319">
        <v>0.7</v>
      </c>
      <c r="AM2250" s="17">
        <f t="shared" si="120"/>
        <v>1.4</v>
      </c>
      <c r="AN2250" s="320" t="s">
        <v>6900</v>
      </c>
      <c r="AO2250" s="14" t="s">
        <v>6901</v>
      </c>
      <c r="AP2250" s="320" t="s">
        <v>7350</v>
      </c>
    </row>
    <row r="2251" spans="1:42" s="320" customFormat="1" x14ac:dyDescent="0.3">
      <c r="A2251" s="353" t="s">
        <v>1450</v>
      </c>
      <c r="B2251" s="320" t="s">
        <v>6881</v>
      </c>
      <c r="C2251" s="320" t="s">
        <v>7255</v>
      </c>
      <c r="D2251" s="320" t="s">
        <v>7256</v>
      </c>
      <c r="E2251" s="320" t="s">
        <v>7351</v>
      </c>
      <c r="F2251" s="320" t="s">
        <v>7352</v>
      </c>
      <c r="G2251" s="320" t="s">
        <v>7353</v>
      </c>
      <c r="H2251" s="320" t="s">
        <v>7354</v>
      </c>
      <c r="I2251" s="320" t="s">
        <v>271</v>
      </c>
      <c r="J2251" s="320" t="s">
        <v>271</v>
      </c>
      <c r="K2251" s="320" t="s">
        <v>7355</v>
      </c>
      <c r="L2251" s="320" t="s">
        <v>7356</v>
      </c>
      <c r="M2251" s="320" t="s">
        <v>7357</v>
      </c>
      <c r="N2251" s="275">
        <v>5</v>
      </c>
      <c r="O2251" s="275">
        <v>5</v>
      </c>
      <c r="P2251" s="275">
        <v>5</v>
      </c>
      <c r="Q2251" s="275">
        <v>20</v>
      </c>
      <c r="R2251" s="275">
        <v>50</v>
      </c>
      <c r="S2251" s="275">
        <v>70</v>
      </c>
      <c r="T2251" s="320" t="s">
        <v>6903</v>
      </c>
      <c r="U2251" s="283" t="e">
        <v>#N/A</v>
      </c>
      <c r="V2251" s="320" t="s">
        <v>7358</v>
      </c>
      <c r="W2251" s="320">
        <v>1</v>
      </c>
      <c r="X2251" s="320">
        <v>1</v>
      </c>
      <c r="Y2251" s="320">
        <v>0</v>
      </c>
      <c r="Z2251" s="320">
        <v>1</v>
      </c>
      <c r="AA2251" s="320">
        <v>1</v>
      </c>
      <c r="AB2251" s="320">
        <v>1</v>
      </c>
      <c r="AC2251" s="316">
        <v>1</v>
      </c>
      <c r="AD2251" s="316">
        <v>1</v>
      </c>
      <c r="AE2251" s="302">
        <f t="shared" si="119"/>
        <v>0.875</v>
      </c>
      <c r="AF2251" s="354"/>
      <c r="AG2251" s="17">
        <v>0</v>
      </c>
      <c r="AH2251" s="354">
        <v>1.2999999999999999E-2</v>
      </c>
      <c r="AI2251" s="354">
        <v>2.5000000000000001E-2</v>
      </c>
      <c r="AJ2251" s="23">
        <v>0</v>
      </c>
      <c r="AK2251" s="153">
        <v>0</v>
      </c>
      <c r="AL2251" s="153">
        <v>0</v>
      </c>
      <c r="AM2251" s="17">
        <f t="shared" si="120"/>
        <v>0</v>
      </c>
      <c r="AN2251" s="320" t="s">
        <v>6900</v>
      </c>
      <c r="AO2251" s="14" t="s">
        <v>6901</v>
      </c>
      <c r="AP2251" s="320" t="s">
        <v>7359</v>
      </c>
    </row>
    <row r="2252" spans="1:42" s="320" customFormat="1" x14ac:dyDescent="0.3">
      <c r="A2252" s="353" t="s">
        <v>1450</v>
      </c>
      <c r="B2252" s="320" t="s">
        <v>6881</v>
      </c>
      <c r="C2252" s="320" t="s">
        <v>7255</v>
      </c>
      <c r="D2252" s="320" t="s">
        <v>7256</v>
      </c>
      <c r="E2252" s="320" t="s">
        <v>7351</v>
      </c>
      <c r="F2252" s="320" t="s">
        <v>7352</v>
      </c>
      <c r="G2252" s="320" t="s">
        <v>7353</v>
      </c>
      <c r="H2252" s="320" t="s">
        <v>7354</v>
      </c>
      <c r="I2252" s="320" t="s">
        <v>271</v>
      </c>
      <c r="J2252" s="320" t="s">
        <v>271</v>
      </c>
      <c r="K2252" s="320" t="s">
        <v>7355</v>
      </c>
      <c r="L2252" s="320" t="s">
        <v>7356</v>
      </c>
      <c r="M2252" s="320" t="s">
        <v>7360</v>
      </c>
      <c r="N2252" s="275">
        <v>0</v>
      </c>
      <c r="O2252" s="275">
        <v>0</v>
      </c>
      <c r="P2252" s="275">
        <v>1</v>
      </c>
      <c r="Q2252" s="275">
        <v>2</v>
      </c>
      <c r="R2252" s="275">
        <v>1</v>
      </c>
      <c r="S2252" s="275">
        <v>1</v>
      </c>
      <c r="T2252" s="320" t="s">
        <v>7361</v>
      </c>
      <c r="U2252" s="283" t="e">
        <v>#N/A</v>
      </c>
      <c r="V2252" s="320" t="s">
        <v>7362</v>
      </c>
      <c r="W2252" s="320">
        <v>1</v>
      </c>
      <c r="X2252" s="320">
        <v>1</v>
      </c>
      <c r="Y2252" s="320">
        <v>0</v>
      </c>
      <c r="Z2252" s="320">
        <v>1</v>
      </c>
      <c r="AA2252" s="320">
        <v>1</v>
      </c>
      <c r="AB2252" s="320">
        <v>1</v>
      </c>
      <c r="AC2252" s="316">
        <v>1</v>
      </c>
      <c r="AD2252" s="316">
        <v>1</v>
      </c>
      <c r="AE2252" s="302">
        <f t="shared" si="119"/>
        <v>0.875</v>
      </c>
      <c r="AF2252" s="354"/>
      <c r="AG2252" s="17">
        <v>0</v>
      </c>
      <c r="AH2252" s="354">
        <v>0.5</v>
      </c>
      <c r="AI2252" s="354">
        <v>1</v>
      </c>
      <c r="AJ2252" s="354">
        <v>1</v>
      </c>
      <c r="AK2252" s="319">
        <v>2</v>
      </c>
      <c r="AL2252" s="319">
        <v>2.5</v>
      </c>
      <c r="AM2252" s="17">
        <f t="shared" si="120"/>
        <v>4.5</v>
      </c>
      <c r="AN2252" s="320" t="s">
        <v>6900</v>
      </c>
      <c r="AO2252" s="320" t="s">
        <v>6901</v>
      </c>
      <c r="AP2252" s="320" t="s">
        <v>5104</v>
      </c>
    </row>
    <row r="2253" spans="1:42" s="320" customFormat="1" hidden="1" x14ac:dyDescent="0.3">
      <c r="A2253" s="353" t="s">
        <v>1450</v>
      </c>
      <c r="B2253" s="320" t="s">
        <v>6881</v>
      </c>
      <c r="C2253" s="320" t="s">
        <v>7255</v>
      </c>
      <c r="D2253" s="320" t="s">
        <v>7256</v>
      </c>
      <c r="E2253" s="320" t="s">
        <v>7351</v>
      </c>
      <c r="F2253" s="320" t="s">
        <v>7352</v>
      </c>
      <c r="G2253" s="320" t="s">
        <v>7363</v>
      </c>
      <c r="H2253" s="320" t="s">
        <v>7364</v>
      </c>
      <c r="I2253" s="320" t="s">
        <v>271</v>
      </c>
      <c r="J2253" s="320" t="s">
        <v>271</v>
      </c>
      <c r="K2253" s="320" t="s">
        <v>7365</v>
      </c>
      <c r="L2253" s="320" t="s">
        <v>7366</v>
      </c>
      <c r="M2253" s="320" t="s">
        <v>7367</v>
      </c>
      <c r="N2253" s="275">
        <v>0</v>
      </c>
      <c r="O2253" s="275">
        <v>0</v>
      </c>
      <c r="P2253" s="275">
        <v>0</v>
      </c>
      <c r="Q2253" s="275">
        <v>0</v>
      </c>
      <c r="R2253" s="275">
        <v>1</v>
      </c>
      <c r="S2253" s="275">
        <v>0</v>
      </c>
      <c r="T2253" s="320" t="s">
        <v>7368</v>
      </c>
      <c r="U2253" s="283" t="e">
        <v>#N/A</v>
      </c>
      <c r="V2253" s="320" t="s">
        <v>7367</v>
      </c>
      <c r="W2253" s="320">
        <v>1</v>
      </c>
      <c r="X2253" s="320">
        <v>1</v>
      </c>
      <c r="Y2253" s="320">
        <v>0</v>
      </c>
      <c r="Z2253" s="320">
        <v>0</v>
      </c>
      <c r="AA2253" s="320">
        <v>0</v>
      </c>
      <c r="AB2253" s="320">
        <v>1</v>
      </c>
      <c r="AC2253" s="316">
        <v>0</v>
      </c>
      <c r="AD2253" s="316">
        <v>1</v>
      </c>
      <c r="AE2253" s="302">
        <f t="shared" si="119"/>
        <v>0.5</v>
      </c>
      <c r="AF2253" s="23"/>
      <c r="AG2253" s="17">
        <v>0</v>
      </c>
      <c r="AH2253" s="23">
        <v>0</v>
      </c>
      <c r="AI2253" s="354">
        <v>0.5</v>
      </c>
      <c r="AJ2253" s="23">
        <v>0</v>
      </c>
      <c r="AK2253" s="153">
        <v>0</v>
      </c>
      <c r="AL2253" s="153">
        <v>0</v>
      </c>
      <c r="AM2253" s="17">
        <f t="shared" si="120"/>
        <v>0</v>
      </c>
      <c r="AN2253" s="320" t="s">
        <v>6900</v>
      </c>
      <c r="AO2253" s="14" t="s">
        <v>6901</v>
      </c>
      <c r="AP2253" s="320" t="s">
        <v>921</v>
      </c>
    </row>
    <row r="2254" spans="1:42" s="320" customFormat="1" x14ac:dyDescent="0.3">
      <c r="A2254" s="353" t="s">
        <v>1450</v>
      </c>
      <c r="B2254" s="320" t="s">
        <v>6881</v>
      </c>
      <c r="C2254" s="320" t="s">
        <v>7255</v>
      </c>
      <c r="D2254" s="320" t="s">
        <v>7256</v>
      </c>
      <c r="E2254" s="320" t="s">
        <v>7351</v>
      </c>
      <c r="F2254" s="320" t="s">
        <v>7352</v>
      </c>
      <c r="G2254" s="320" t="s">
        <v>7369</v>
      </c>
      <c r="H2254" s="320" t="s">
        <v>7370</v>
      </c>
      <c r="I2254" s="320" t="s">
        <v>271</v>
      </c>
      <c r="J2254" s="320" t="s">
        <v>271</v>
      </c>
      <c r="K2254" s="320" t="s">
        <v>7371</v>
      </c>
      <c r="L2254" s="320" t="s">
        <v>7372</v>
      </c>
      <c r="M2254" s="320" t="s">
        <v>7373</v>
      </c>
      <c r="N2254" s="275">
        <v>0</v>
      </c>
      <c r="O2254" s="275">
        <v>0</v>
      </c>
      <c r="P2254" s="275">
        <v>0</v>
      </c>
      <c r="Q2254" s="275">
        <v>1</v>
      </c>
      <c r="R2254" s="275">
        <v>1</v>
      </c>
      <c r="S2254" s="275">
        <v>1</v>
      </c>
      <c r="T2254" s="320" t="s">
        <v>7374</v>
      </c>
      <c r="U2254" s="283" t="e">
        <v>#N/A</v>
      </c>
      <c r="V2254" s="320" t="s">
        <v>7375</v>
      </c>
      <c r="W2254" s="320">
        <v>1</v>
      </c>
      <c r="X2254" s="320">
        <v>1</v>
      </c>
      <c r="Y2254" s="320">
        <v>0</v>
      </c>
      <c r="Z2254" s="320">
        <v>1</v>
      </c>
      <c r="AA2254" s="320">
        <v>1</v>
      </c>
      <c r="AB2254" s="320">
        <v>1</v>
      </c>
      <c r="AC2254" s="316">
        <v>0</v>
      </c>
      <c r="AD2254" s="316">
        <v>1</v>
      </c>
      <c r="AE2254" s="302">
        <f t="shared" si="119"/>
        <v>0.75</v>
      </c>
      <c r="AF2254" s="354"/>
      <c r="AG2254" s="17">
        <v>0</v>
      </c>
      <c r="AH2254" s="354">
        <v>0.4</v>
      </c>
      <c r="AI2254" s="354">
        <v>0.5</v>
      </c>
      <c r="AJ2254" s="354">
        <v>0.5</v>
      </c>
      <c r="AK2254" s="319">
        <v>0</v>
      </c>
      <c r="AL2254" s="319">
        <v>0</v>
      </c>
      <c r="AM2254" s="17">
        <f t="shared" si="120"/>
        <v>0</v>
      </c>
      <c r="AN2254" s="320" t="s">
        <v>6900</v>
      </c>
      <c r="AO2254" s="320" t="s">
        <v>6901</v>
      </c>
      <c r="AP2254" s="320" t="s">
        <v>6894</v>
      </c>
    </row>
    <row r="2255" spans="1:42" s="320" customFormat="1" x14ac:dyDescent="0.3">
      <c r="A2255" s="353" t="s">
        <v>1450</v>
      </c>
      <c r="B2255" s="320" t="s">
        <v>6881</v>
      </c>
      <c r="C2255" s="320" t="s">
        <v>7255</v>
      </c>
      <c r="D2255" s="320" t="s">
        <v>7256</v>
      </c>
      <c r="E2255" s="320" t="s">
        <v>7351</v>
      </c>
      <c r="F2255" s="320" t="s">
        <v>7352</v>
      </c>
      <c r="G2255" s="320" t="s">
        <v>7369</v>
      </c>
      <c r="H2255" s="320" t="s">
        <v>7370</v>
      </c>
      <c r="I2255" s="320" t="s">
        <v>271</v>
      </c>
      <c r="J2255" s="320" t="s">
        <v>271</v>
      </c>
      <c r="K2255" s="320" t="s">
        <v>7371</v>
      </c>
      <c r="L2255" s="320" t="s">
        <v>7372</v>
      </c>
      <c r="N2255" s="275"/>
      <c r="O2255" s="275"/>
      <c r="P2255" s="275"/>
      <c r="Q2255" s="275"/>
      <c r="R2255" s="275"/>
      <c r="S2255" s="275"/>
      <c r="T2255" s="320" t="s">
        <v>6894</v>
      </c>
      <c r="U2255" s="283" t="s">
        <v>6896</v>
      </c>
      <c r="V2255" s="320" t="s">
        <v>7376</v>
      </c>
      <c r="W2255" s="320">
        <v>1</v>
      </c>
      <c r="X2255" s="320">
        <v>1</v>
      </c>
      <c r="Y2255" s="320">
        <v>0</v>
      </c>
      <c r="Z2255" s="320">
        <v>1</v>
      </c>
      <c r="AA2255" s="320">
        <v>1</v>
      </c>
      <c r="AB2255" s="320">
        <v>1</v>
      </c>
      <c r="AC2255" s="316">
        <v>1</v>
      </c>
      <c r="AD2255" s="316">
        <v>1</v>
      </c>
      <c r="AE2255" s="302">
        <f t="shared" si="119"/>
        <v>0.875</v>
      </c>
      <c r="AF2255" s="354"/>
      <c r="AG2255" s="17">
        <v>0</v>
      </c>
      <c r="AH2255" s="354">
        <v>0.03</v>
      </c>
      <c r="AI2255" s="354">
        <v>0.03</v>
      </c>
      <c r="AJ2255" s="354">
        <v>0.03</v>
      </c>
      <c r="AK2255" s="319">
        <v>0.03</v>
      </c>
      <c r="AL2255" s="319">
        <v>0.03</v>
      </c>
      <c r="AM2255" s="17">
        <f t="shared" si="120"/>
        <v>0.06</v>
      </c>
      <c r="AN2255" s="320" t="s">
        <v>6900</v>
      </c>
      <c r="AO2255" s="14" t="s">
        <v>6901</v>
      </c>
      <c r="AP2255" s="320" t="s">
        <v>7377</v>
      </c>
    </row>
    <row r="2256" spans="1:42" s="320" customFormat="1" x14ac:dyDescent="0.3">
      <c r="A2256" s="353" t="s">
        <v>1450</v>
      </c>
      <c r="B2256" s="320" t="s">
        <v>6881</v>
      </c>
      <c r="C2256" s="320" t="s">
        <v>7255</v>
      </c>
      <c r="D2256" s="320" t="s">
        <v>7256</v>
      </c>
      <c r="E2256" s="320" t="s">
        <v>7351</v>
      </c>
      <c r="F2256" s="320" t="s">
        <v>7352</v>
      </c>
      <c r="G2256" s="320" t="s">
        <v>7378</v>
      </c>
      <c r="H2256" s="320" t="s">
        <v>7379</v>
      </c>
      <c r="I2256" s="320" t="s">
        <v>271</v>
      </c>
      <c r="J2256" s="320" t="s">
        <v>271</v>
      </c>
      <c r="K2256" s="320" t="s">
        <v>7380</v>
      </c>
      <c r="L2256" s="320" t="s">
        <v>7381</v>
      </c>
      <c r="M2256" s="320" t="s">
        <v>7382</v>
      </c>
      <c r="N2256" s="275">
        <v>370</v>
      </c>
      <c r="O2256" s="275">
        <v>450</v>
      </c>
      <c r="P2256" s="275">
        <v>500</v>
      </c>
      <c r="Q2256" s="275">
        <v>500</v>
      </c>
      <c r="R2256" s="275">
        <v>500</v>
      </c>
      <c r="S2256" s="275">
        <v>500</v>
      </c>
      <c r="T2256" s="320" t="s">
        <v>6894</v>
      </c>
      <c r="U2256" s="283" t="s">
        <v>6896</v>
      </c>
      <c r="V2256" s="320" t="s">
        <v>7383</v>
      </c>
      <c r="W2256" s="320">
        <v>1</v>
      </c>
      <c r="X2256" s="320">
        <v>1</v>
      </c>
      <c r="Y2256" s="320">
        <v>0</v>
      </c>
      <c r="Z2256" s="320">
        <v>1</v>
      </c>
      <c r="AA2256" s="320">
        <v>1</v>
      </c>
      <c r="AB2256" s="320">
        <v>1</v>
      </c>
      <c r="AC2256" s="316">
        <v>0</v>
      </c>
      <c r="AD2256" s="316">
        <v>1</v>
      </c>
      <c r="AE2256" s="302">
        <f t="shared" si="119"/>
        <v>0.75</v>
      </c>
      <c r="AF2256" s="354"/>
      <c r="AG2256" s="17">
        <v>0</v>
      </c>
      <c r="AH2256" s="354">
        <v>0</v>
      </c>
      <c r="AI2256" s="354">
        <v>0.5</v>
      </c>
      <c r="AJ2256" s="354">
        <v>0.5</v>
      </c>
      <c r="AK2256" s="319">
        <v>0.5</v>
      </c>
      <c r="AL2256" s="319">
        <v>0.5</v>
      </c>
      <c r="AM2256" s="17">
        <f t="shared" si="120"/>
        <v>1</v>
      </c>
      <c r="AN2256" s="320" t="s">
        <v>6894</v>
      </c>
      <c r="AO2256" s="14" t="s">
        <v>6896</v>
      </c>
      <c r="AP2256" s="320" t="s">
        <v>7384</v>
      </c>
    </row>
    <row r="2257" spans="1:42" s="320" customFormat="1" x14ac:dyDescent="0.3">
      <c r="A2257" s="353" t="s">
        <v>1450</v>
      </c>
      <c r="B2257" s="320" t="s">
        <v>6881</v>
      </c>
      <c r="C2257" s="320" t="s">
        <v>7255</v>
      </c>
      <c r="D2257" s="320" t="s">
        <v>7256</v>
      </c>
      <c r="E2257" s="320" t="s">
        <v>7351</v>
      </c>
      <c r="F2257" s="320" t="s">
        <v>7352</v>
      </c>
      <c r="G2257" s="320" t="s">
        <v>7378</v>
      </c>
      <c r="H2257" s="320" t="s">
        <v>7379</v>
      </c>
      <c r="I2257" s="320" t="s">
        <v>271</v>
      </c>
      <c r="J2257" s="320" t="s">
        <v>271</v>
      </c>
      <c r="K2257" s="320" t="s">
        <v>7380</v>
      </c>
      <c r="L2257" s="320" t="s">
        <v>7381</v>
      </c>
      <c r="M2257" s="320" t="s">
        <v>7385</v>
      </c>
      <c r="N2257" s="275">
        <v>300</v>
      </c>
      <c r="O2257" s="275">
        <v>500</v>
      </c>
      <c r="P2257" s="275">
        <v>550</v>
      </c>
      <c r="Q2257" s="275">
        <v>600</v>
      </c>
      <c r="R2257" s="275">
        <v>620</v>
      </c>
      <c r="S2257" s="275">
        <v>640</v>
      </c>
      <c r="T2257" s="320" t="s">
        <v>6894</v>
      </c>
      <c r="U2257" s="283" t="s">
        <v>6896</v>
      </c>
      <c r="V2257" s="320" t="s">
        <v>7386</v>
      </c>
      <c r="W2257" s="320">
        <v>1</v>
      </c>
      <c r="X2257" s="320">
        <v>1</v>
      </c>
      <c r="Y2257" s="320">
        <v>0</v>
      </c>
      <c r="Z2257" s="320">
        <v>1</v>
      </c>
      <c r="AA2257" s="320">
        <v>1</v>
      </c>
      <c r="AB2257" s="320">
        <v>1</v>
      </c>
      <c r="AC2257" s="316">
        <v>0</v>
      </c>
      <c r="AD2257" s="316">
        <v>1</v>
      </c>
      <c r="AE2257" s="302">
        <f t="shared" si="119"/>
        <v>0.75</v>
      </c>
      <c r="AF2257" s="354"/>
      <c r="AG2257" s="17">
        <v>0</v>
      </c>
      <c r="AH2257" s="354">
        <v>0</v>
      </c>
      <c r="AI2257" s="354">
        <v>0.5</v>
      </c>
      <c r="AJ2257" s="354">
        <v>0.5</v>
      </c>
      <c r="AK2257" s="319">
        <v>0.5</v>
      </c>
      <c r="AL2257" s="319">
        <v>0.5</v>
      </c>
      <c r="AM2257" s="17">
        <f t="shared" si="120"/>
        <v>1</v>
      </c>
      <c r="AN2257" s="320" t="s">
        <v>6894</v>
      </c>
      <c r="AO2257" s="14" t="s">
        <v>6896</v>
      </c>
      <c r="AP2257" s="320" t="s">
        <v>7387</v>
      </c>
    </row>
    <row r="2258" spans="1:42" s="320" customFormat="1" x14ac:dyDescent="0.3">
      <c r="A2258" s="353" t="s">
        <v>1450</v>
      </c>
      <c r="B2258" s="320" t="s">
        <v>6881</v>
      </c>
      <c r="C2258" s="320" t="s">
        <v>7255</v>
      </c>
      <c r="D2258" s="320" t="s">
        <v>7256</v>
      </c>
      <c r="E2258" s="320" t="s">
        <v>7351</v>
      </c>
      <c r="F2258" s="320" t="s">
        <v>7352</v>
      </c>
      <c r="G2258" s="320" t="s">
        <v>7378</v>
      </c>
      <c r="H2258" s="320" t="s">
        <v>7379</v>
      </c>
      <c r="I2258" s="320" t="s">
        <v>271</v>
      </c>
      <c r="J2258" s="320" t="s">
        <v>271</v>
      </c>
      <c r="K2258" s="320" t="s">
        <v>7380</v>
      </c>
      <c r="L2258" s="320" t="s">
        <v>7381</v>
      </c>
      <c r="M2258" s="320" t="s">
        <v>7388</v>
      </c>
      <c r="N2258" s="275">
        <v>1000</v>
      </c>
      <c r="O2258" s="275">
        <v>3000</v>
      </c>
      <c r="P2258" s="275">
        <v>3300</v>
      </c>
      <c r="Q2258" s="275">
        <v>3600</v>
      </c>
      <c r="R2258" s="275">
        <v>3900</v>
      </c>
      <c r="S2258" s="275">
        <v>4200</v>
      </c>
      <c r="T2258" s="320" t="s">
        <v>6894</v>
      </c>
      <c r="U2258" s="283" t="s">
        <v>6896</v>
      </c>
      <c r="V2258" s="320" t="s">
        <v>7389</v>
      </c>
      <c r="W2258" s="320">
        <v>1</v>
      </c>
      <c r="X2258" s="320">
        <v>1</v>
      </c>
      <c r="Y2258" s="320">
        <v>0</v>
      </c>
      <c r="Z2258" s="320">
        <v>1</v>
      </c>
      <c r="AA2258" s="320">
        <v>1</v>
      </c>
      <c r="AB2258" s="320">
        <v>1</v>
      </c>
      <c r="AC2258" s="316">
        <v>0</v>
      </c>
      <c r="AD2258" s="316">
        <v>1</v>
      </c>
      <c r="AE2258" s="302">
        <f t="shared" si="119"/>
        <v>0.75</v>
      </c>
      <c r="AF2258" s="354"/>
      <c r="AG2258" s="17">
        <v>0</v>
      </c>
      <c r="AH2258" s="354">
        <v>1</v>
      </c>
      <c r="AI2258" s="354">
        <v>0.5</v>
      </c>
      <c r="AJ2258" s="354">
        <v>0.5</v>
      </c>
      <c r="AK2258" s="319">
        <v>0.5</v>
      </c>
      <c r="AL2258" s="319">
        <v>0.5</v>
      </c>
      <c r="AM2258" s="17">
        <f t="shared" si="120"/>
        <v>1</v>
      </c>
      <c r="AN2258" s="320" t="s">
        <v>6894</v>
      </c>
      <c r="AO2258" s="14" t="s">
        <v>6896</v>
      </c>
      <c r="AP2258" s="320" t="s">
        <v>7390</v>
      </c>
    </row>
    <row r="2259" spans="1:42" s="320" customFormat="1" x14ac:dyDescent="0.3">
      <c r="A2259" s="353" t="s">
        <v>1450</v>
      </c>
      <c r="B2259" s="320" t="s">
        <v>6881</v>
      </c>
      <c r="C2259" s="320" t="s">
        <v>7255</v>
      </c>
      <c r="D2259" s="320" t="s">
        <v>7256</v>
      </c>
      <c r="E2259" s="320" t="s">
        <v>7351</v>
      </c>
      <c r="F2259" s="320" t="s">
        <v>7352</v>
      </c>
      <c r="G2259" s="320" t="s">
        <v>7378</v>
      </c>
      <c r="H2259" s="320" t="s">
        <v>7379</v>
      </c>
      <c r="I2259" s="320" t="s">
        <v>271</v>
      </c>
      <c r="J2259" s="320" t="s">
        <v>271</v>
      </c>
      <c r="K2259" s="320" t="s">
        <v>7380</v>
      </c>
      <c r="L2259" s="320" t="s">
        <v>7381</v>
      </c>
      <c r="N2259" s="275"/>
      <c r="O2259" s="275"/>
      <c r="P2259" s="275"/>
      <c r="Q2259" s="275"/>
      <c r="R2259" s="275"/>
      <c r="S2259" s="275"/>
      <c r="T2259" s="320" t="s">
        <v>6894</v>
      </c>
      <c r="U2259" s="283" t="s">
        <v>6896</v>
      </c>
      <c r="V2259" s="320" t="s">
        <v>7391</v>
      </c>
      <c r="W2259" s="320">
        <v>1</v>
      </c>
      <c r="X2259" s="320">
        <v>1</v>
      </c>
      <c r="Y2259" s="320">
        <v>0</v>
      </c>
      <c r="Z2259" s="320">
        <v>1</v>
      </c>
      <c r="AA2259" s="320">
        <v>1</v>
      </c>
      <c r="AB2259" s="320">
        <v>1</v>
      </c>
      <c r="AC2259" s="316">
        <v>0</v>
      </c>
      <c r="AD2259" s="316">
        <v>1</v>
      </c>
      <c r="AE2259" s="302">
        <f t="shared" si="119"/>
        <v>0.75</v>
      </c>
      <c r="AF2259" s="354"/>
      <c r="AG2259" s="17">
        <v>0</v>
      </c>
      <c r="AH2259" s="354">
        <v>0.2</v>
      </c>
      <c r="AI2259" s="354">
        <v>2</v>
      </c>
      <c r="AJ2259" s="354">
        <v>2</v>
      </c>
      <c r="AK2259" s="319">
        <v>2</v>
      </c>
      <c r="AL2259" s="319">
        <v>2</v>
      </c>
      <c r="AM2259" s="17">
        <f t="shared" si="120"/>
        <v>4</v>
      </c>
      <c r="AN2259" s="320" t="s">
        <v>6900</v>
      </c>
      <c r="AO2259" s="14" t="s">
        <v>6901</v>
      </c>
      <c r="AP2259" s="320" t="s">
        <v>6914</v>
      </c>
    </row>
    <row r="2260" spans="1:42" s="320" customFormat="1" x14ac:dyDescent="0.3">
      <c r="A2260" s="353" t="s">
        <v>1450</v>
      </c>
      <c r="B2260" s="320" t="s">
        <v>6881</v>
      </c>
      <c r="C2260" s="320" t="s">
        <v>7255</v>
      </c>
      <c r="D2260" s="320" t="s">
        <v>7256</v>
      </c>
      <c r="E2260" s="320" t="s">
        <v>7351</v>
      </c>
      <c r="F2260" s="320" t="s">
        <v>7352</v>
      </c>
      <c r="G2260" s="320" t="s">
        <v>7378</v>
      </c>
      <c r="H2260" s="320" t="s">
        <v>7379</v>
      </c>
      <c r="I2260" s="320" t="s">
        <v>271</v>
      </c>
      <c r="J2260" s="320" t="s">
        <v>271</v>
      </c>
      <c r="K2260" s="320" t="s">
        <v>7380</v>
      </c>
      <c r="L2260" s="320" t="s">
        <v>7381</v>
      </c>
      <c r="N2260" s="275"/>
      <c r="O2260" s="275"/>
      <c r="P2260" s="275"/>
      <c r="Q2260" s="275"/>
      <c r="R2260" s="275"/>
      <c r="S2260" s="275"/>
      <c r="T2260" s="320" t="s">
        <v>6894</v>
      </c>
      <c r="U2260" s="283" t="s">
        <v>6896</v>
      </c>
      <c r="V2260" s="320" t="s">
        <v>7392</v>
      </c>
      <c r="W2260" s="320">
        <v>1</v>
      </c>
      <c r="X2260" s="320">
        <v>1</v>
      </c>
      <c r="Y2260" s="320">
        <v>1</v>
      </c>
      <c r="Z2260" s="320">
        <v>1</v>
      </c>
      <c r="AA2260" s="320">
        <v>1</v>
      </c>
      <c r="AB2260" s="320">
        <v>1</v>
      </c>
      <c r="AC2260" s="316">
        <v>1</v>
      </c>
      <c r="AD2260" s="316">
        <v>1</v>
      </c>
      <c r="AE2260" s="302">
        <f t="shared" si="119"/>
        <v>1</v>
      </c>
      <c r="AF2260" s="354"/>
      <c r="AG2260" s="17">
        <v>0</v>
      </c>
      <c r="AH2260" s="354">
        <v>0</v>
      </c>
      <c r="AI2260" s="354">
        <v>0.5</v>
      </c>
      <c r="AJ2260" s="354">
        <v>1</v>
      </c>
      <c r="AK2260" s="319">
        <v>1.5</v>
      </c>
      <c r="AL2260" s="319">
        <v>2</v>
      </c>
      <c r="AM2260" s="17">
        <f t="shared" si="120"/>
        <v>3.5</v>
      </c>
      <c r="AN2260" s="320" t="s">
        <v>255</v>
      </c>
      <c r="AO2260" s="14" t="s">
        <v>1045</v>
      </c>
      <c r="AP2260" s="320" t="s">
        <v>7241</v>
      </c>
    </row>
    <row r="2261" spans="1:42" s="320" customFormat="1" x14ac:dyDescent="0.3">
      <c r="A2261" s="353" t="s">
        <v>1450</v>
      </c>
      <c r="B2261" s="320" t="s">
        <v>6881</v>
      </c>
      <c r="C2261" s="320" t="s">
        <v>7255</v>
      </c>
      <c r="D2261" s="320" t="s">
        <v>7256</v>
      </c>
      <c r="E2261" s="320" t="s">
        <v>7351</v>
      </c>
      <c r="F2261" s="320" t="s">
        <v>7352</v>
      </c>
      <c r="G2261" s="320" t="s">
        <v>7378</v>
      </c>
      <c r="H2261" s="320" t="s">
        <v>7379</v>
      </c>
      <c r="I2261" s="320" t="s">
        <v>271</v>
      </c>
      <c r="J2261" s="320" t="s">
        <v>271</v>
      </c>
      <c r="K2261" s="320" t="s">
        <v>7380</v>
      </c>
      <c r="L2261" s="320" t="s">
        <v>7381</v>
      </c>
      <c r="N2261" s="275"/>
      <c r="O2261" s="275"/>
      <c r="P2261" s="275"/>
      <c r="Q2261" s="275"/>
      <c r="R2261" s="275"/>
      <c r="S2261" s="275"/>
      <c r="T2261" s="320" t="s">
        <v>6894</v>
      </c>
      <c r="U2261" s="283" t="s">
        <v>6896</v>
      </c>
      <c r="V2261" s="320" t="s">
        <v>7393</v>
      </c>
      <c r="W2261" s="320">
        <v>1</v>
      </c>
      <c r="X2261" s="320">
        <v>1</v>
      </c>
      <c r="Y2261" s="320">
        <v>0</v>
      </c>
      <c r="Z2261" s="320">
        <v>1</v>
      </c>
      <c r="AA2261" s="320">
        <v>1</v>
      </c>
      <c r="AB2261" s="320">
        <v>0</v>
      </c>
      <c r="AC2261" s="316">
        <v>1</v>
      </c>
      <c r="AD2261" s="316">
        <v>1</v>
      </c>
      <c r="AE2261" s="302">
        <f t="shared" si="119"/>
        <v>0.75</v>
      </c>
      <c r="AF2261" s="354"/>
      <c r="AG2261" s="17">
        <v>0</v>
      </c>
      <c r="AH2261" s="354">
        <v>0.1</v>
      </c>
      <c r="AI2261" s="354">
        <v>0.1</v>
      </c>
      <c r="AJ2261" s="354">
        <v>0.1</v>
      </c>
      <c r="AK2261" s="319">
        <v>0.1</v>
      </c>
      <c r="AL2261" s="319">
        <v>0.1</v>
      </c>
      <c r="AM2261" s="17">
        <f t="shared" si="120"/>
        <v>0.2</v>
      </c>
      <c r="AN2261" s="320" t="s">
        <v>6900</v>
      </c>
      <c r="AO2261" s="14" t="s">
        <v>6901</v>
      </c>
      <c r="AP2261" s="320" t="s">
        <v>7394</v>
      </c>
    </row>
    <row r="2262" spans="1:42" s="53" customFormat="1" ht="15" hidden="1" customHeight="1" x14ac:dyDescent="0.3">
      <c r="A2262" s="50" t="s">
        <v>7397</v>
      </c>
      <c r="B2262" s="51" t="s">
        <v>7398</v>
      </c>
      <c r="C2262" s="50" t="s">
        <v>7399</v>
      </c>
      <c r="D2262" s="51" t="s">
        <v>1491</v>
      </c>
      <c r="E2262" s="50" t="s">
        <v>7399</v>
      </c>
      <c r="F2262" s="51" t="s">
        <v>1493</v>
      </c>
      <c r="G2262" s="50" t="s">
        <v>7399</v>
      </c>
      <c r="H2262" s="51" t="s">
        <v>1491</v>
      </c>
      <c r="I2262" s="51"/>
      <c r="J2262" s="51"/>
      <c r="K2262" s="50" t="s">
        <v>7399</v>
      </c>
      <c r="L2262" s="51" t="s">
        <v>1491</v>
      </c>
      <c r="M2262" s="60" t="s">
        <v>271</v>
      </c>
      <c r="N2262" s="60" t="s">
        <v>271</v>
      </c>
      <c r="O2262" s="60" t="s">
        <v>271</v>
      </c>
      <c r="P2262" s="60" t="s">
        <v>271</v>
      </c>
      <c r="Q2262" s="60" t="s">
        <v>271</v>
      </c>
      <c r="R2262" s="60" t="s">
        <v>271</v>
      </c>
      <c r="S2262" s="60" t="s">
        <v>271</v>
      </c>
      <c r="T2262" s="60" t="s">
        <v>271</v>
      </c>
      <c r="U2262" s="60" t="s">
        <v>271</v>
      </c>
      <c r="V2262" s="51" t="s">
        <v>1489</v>
      </c>
      <c r="W2262" s="54"/>
      <c r="X2262" s="54"/>
      <c r="Y2262" s="54"/>
      <c r="Z2262" s="54"/>
      <c r="AA2262" s="54"/>
      <c r="AB2262" s="54"/>
      <c r="AC2262" s="54"/>
      <c r="AD2262" s="54"/>
      <c r="AE2262" s="55"/>
      <c r="AF2262" s="56"/>
      <c r="AG2262" s="55"/>
      <c r="AH2262" s="56"/>
      <c r="AI2262" s="56"/>
      <c r="AJ2262" s="56"/>
      <c r="AK2262" s="57">
        <v>257.62</v>
      </c>
      <c r="AL2262" s="57">
        <v>257.62</v>
      </c>
      <c r="AM2262" s="56">
        <f>SUM(AK2262:AL2262)</f>
        <v>515.24</v>
      </c>
      <c r="AN2262" s="52"/>
      <c r="AO2262" s="52"/>
      <c r="AP2262" s="51"/>
    </row>
    <row r="2263" spans="1:42" s="53" customFormat="1" ht="15" hidden="1" customHeight="1" x14ac:dyDescent="0.3">
      <c r="A2263" s="50" t="s">
        <v>7397</v>
      </c>
      <c r="B2263" s="51" t="s">
        <v>7398</v>
      </c>
      <c r="C2263" s="50" t="s">
        <v>7399</v>
      </c>
      <c r="D2263" s="51" t="s">
        <v>1491</v>
      </c>
      <c r="E2263" s="50" t="s">
        <v>7399</v>
      </c>
      <c r="F2263" s="51" t="s">
        <v>1493</v>
      </c>
      <c r="G2263" s="50" t="s">
        <v>7399</v>
      </c>
      <c r="H2263" s="51" t="s">
        <v>1491</v>
      </c>
      <c r="I2263" s="51"/>
      <c r="J2263" s="51"/>
      <c r="K2263" s="50" t="s">
        <v>7399</v>
      </c>
      <c r="L2263" s="51" t="s">
        <v>1491</v>
      </c>
      <c r="M2263" s="60" t="s">
        <v>271</v>
      </c>
      <c r="N2263" s="60" t="s">
        <v>271</v>
      </c>
      <c r="O2263" s="60" t="s">
        <v>271</v>
      </c>
      <c r="P2263" s="60" t="s">
        <v>271</v>
      </c>
      <c r="Q2263" s="60" t="s">
        <v>271</v>
      </c>
      <c r="R2263" s="60" t="s">
        <v>271</v>
      </c>
      <c r="S2263" s="60" t="s">
        <v>271</v>
      </c>
      <c r="T2263" s="60" t="s">
        <v>271</v>
      </c>
      <c r="U2263" s="60" t="s">
        <v>271</v>
      </c>
      <c r="V2263" s="51" t="s">
        <v>1490</v>
      </c>
      <c r="W2263" s="54"/>
      <c r="X2263" s="54"/>
      <c r="Y2263" s="54"/>
      <c r="Z2263" s="54"/>
      <c r="AA2263" s="54"/>
      <c r="AB2263" s="54"/>
      <c r="AC2263" s="54"/>
      <c r="AD2263" s="54"/>
      <c r="AE2263" s="55"/>
      <c r="AF2263" s="56"/>
      <c r="AG2263" s="55"/>
      <c r="AH2263" s="56"/>
      <c r="AI2263" s="56"/>
      <c r="AJ2263" s="56"/>
      <c r="AK2263" s="57">
        <v>103.048</v>
      </c>
      <c r="AL2263" s="57">
        <v>103.048</v>
      </c>
      <c r="AM2263" s="56">
        <f>SUM(AK2263:AL2263)</f>
        <v>206.096</v>
      </c>
      <c r="AN2263" s="52"/>
      <c r="AO2263" s="52"/>
      <c r="AP2263" s="51"/>
    </row>
    <row r="2264" spans="1:42" s="53" customFormat="1" ht="15" hidden="1" customHeight="1" x14ac:dyDescent="0.3">
      <c r="A2264" s="50" t="s">
        <v>7397</v>
      </c>
      <c r="B2264" s="51" t="s">
        <v>7398</v>
      </c>
      <c r="C2264" s="50" t="s">
        <v>7399</v>
      </c>
      <c r="D2264" s="51" t="s">
        <v>1491</v>
      </c>
      <c r="E2264" s="50" t="s">
        <v>7399</v>
      </c>
      <c r="F2264" s="51" t="s">
        <v>1493</v>
      </c>
      <c r="G2264" s="50" t="s">
        <v>7399</v>
      </c>
      <c r="H2264" s="51" t="s">
        <v>1491</v>
      </c>
      <c r="I2264" s="51"/>
      <c r="J2264" s="51"/>
      <c r="K2264" s="50" t="s">
        <v>7399</v>
      </c>
      <c r="L2264" s="51" t="s">
        <v>1491</v>
      </c>
      <c r="M2264" s="60" t="s">
        <v>271</v>
      </c>
      <c r="N2264" s="60" t="s">
        <v>271</v>
      </c>
      <c r="O2264" s="60" t="s">
        <v>271</v>
      </c>
      <c r="P2264" s="60" t="s">
        <v>271</v>
      </c>
      <c r="Q2264" s="60" t="s">
        <v>271</v>
      </c>
      <c r="R2264" s="60" t="s">
        <v>271</v>
      </c>
      <c r="S2264" s="60" t="s">
        <v>271</v>
      </c>
      <c r="T2264" s="60" t="s">
        <v>271</v>
      </c>
      <c r="U2264" s="60" t="s">
        <v>271</v>
      </c>
      <c r="V2264" s="51" t="s">
        <v>1495</v>
      </c>
      <c r="W2264" s="54"/>
      <c r="X2264" s="54"/>
      <c r="Y2264" s="54"/>
      <c r="Z2264" s="54"/>
      <c r="AA2264" s="54"/>
      <c r="AB2264" s="54"/>
      <c r="AC2264" s="54"/>
      <c r="AD2264" s="54"/>
      <c r="AE2264" s="55"/>
      <c r="AF2264" s="56"/>
      <c r="AG2264" s="55"/>
      <c r="AH2264" s="56"/>
      <c r="AI2264" s="56"/>
      <c r="AJ2264" s="56"/>
      <c r="AK2264" s="57">
        <v>120.43013853879998</v>
      </c>
      <c r="AL2264" s="57">
        <v>80.261654192999998</v>
      </c>
      <c r="AM2264" s="56">
        <f>SUM(AK2264:AL2264)</f>
        <v>200.69179273179998</v>
      </c>
      <c r="AN2264" s="52"/>
      <c r="AO2264" s="52"/>
      <c r="AP2264" s="51"/>
    </row>
    <row r="2265" spans="1:42" s="18" customFormat="1" ht="15" customHeight="1" x14ac:dyDescent="0.3">
      <c r="A2265" s="207" t="s">
        <v>7397</v>
      </c>
      <c r="B2265" s="18" t="s">
        <v>7398</v>
      </c>
      <c r="C2265" s="207" t="s">
        <v>7400</v>
      </c>
      <c r="D2265" s="18" t="s">
        <v>7401</v>
      </c>
      <c r="E2265" s="207" t="s">
        <v>7402</v>
      </c>
      <c r="F2265" s="18" t="s">
        <v>7403</v>
      </c>
      <c r="G2265" s="207" t="s">
        <v>7404</v>
      </c>
      <c r="H2265" s="18" t="s">
        <v>7405</v>
      </c>
      <c r="I2265" s="156" t="s">
        <v>7406</v>
      </c>
      <c r="J2265" s="18" t="s">
        <v>7407</v>
      </c>
      <c r="K2265" s="156" t="s">
        <v>7408</v>
      </c>
      <c r="L2265" s="18" t="s">
        <v>7409</v>
      </c>
      <c r="M2265" s="18" t="s">
        <v>7410</v>
      </c>
      <c r="N2265" s="16">
        <v>94.5</v>
      </c>
      <c r="O2265" s="16">
        <v>50</v>
      </c>
      <c r="P2265" s="16">
        <v>60</v>
      </c>
      <c r="Q2265" s="16">
        <v>75</v>
      </c>
      <c r="R2265" s="16">
        <v>80</v>
      </c>
      <c r="S2265" s="16">
        <v>85</v>
      </c>
      <c r="T2265" s="18" t="s">
        <v>831</v>
      </c>
      <c r="U2265" t="str">
        <f>VLOOKUP(T2265,[8]Votes!$A$1:$E$234,3,FALSE)</f>
        <v>108 National Planning Authority</v>
      </c>
      <c r="V2265" s="18" t="s">
        <v>7411</v>
      </c>
      <c r="W2265" s="48">
        <v>1</v>
      </c>
      <c r="X2265" s="48">
        <v>1</v>
      </c>
      <c r="Y2265" s="48">
        <v>0</v>
      </c>
      <c r="Z2265" s="48">
        <v>1</v>
      </c>
      <c r="AA2265" s="48">
        <v>1</v>
      </c>
      <c r="AB2265" s="48">
        <v>0</v>
      </c>
      <c r="AC2265" s="150">
        <v>1</v>
      </c>
      <c r="AD2265" s="150">
        <v>1</v>
      </c>
      <c r="AE2265" s="49">
        <f t="shared" ref="AE2265:AE2328" si="121">SUM(W2265:AD2265)/8</f>
        <v>0.75</v>
      </c>
      <c r="AF2265" s="255"/>
      <c r="AG2265" s="17">
        <v>0</v>
      </c>
      <c r="AH2265" s="255">
        <v>0.72499999999999998</v>
      </c>
      <c r="AI2265" s="255">
        <v>7.25</v>
      </c>
      <c r="AJ2265" s="255">
        <v>1.5225</v>
      </c>
      <c r="AK2265" s="256">
        <v>1.5225</v>
      </c>
      <c r="AL2265" s="256">
        <v>1.5225</v>
      </c>
      <c r="AM2265" s="17">
        <f t="shared" ref="AM2265:AM2328" si="122">SUM(AK2265:AL2265)</f>
        <v>3.0449999999999999</v>
      </c>
      <c r="AN2265" t="s">
        <v>831</v>
      </c>
      <c r="AO2265" s="18" t="s">
        <v>834</v>
      </c>
      <c r="AP2265" s="18" t="s">
        <v>982</v>
      </c>
    </row>
    <row r="2266" spans="1:42" s="18" customFormat="1" ht="15" customHeight="1" x14ac:dyDescent="0.3">
      <c r="A2266" s="207" t="s">
        <v>7397</v>
      </c>
      <c r="B2266" s="18" t="s">
        <v>7398</v>
      </c>
      <c r="C2266" s="207" t="s">
        <v>7400</v>
      </c>
      <c r="D2266" s="18" t="s">
        <v>7401</v>
      </c>
      <c r="E2266" s="207" t="s">
        <v>7402</v>
      </c>
      <c r="F2266" s="18" t="s">
        <v>7403</v>
      </c>
      <c r="G2266" s="207" t="s">
        <v>7404</v>
      </c>
      <c r="H2266" s="18" t="s">
        <v>7405</v>
      </c>
      <c r="I2266" s="156" t="s">
        <v>7406</v>
      </c>
      <c r="J2266" s="18" t="s">
        <v>7407</v>
      </c>
      <c r="K2266" s="156" t="s">
        <v>7408</v>
      </c>
      <c r="L2266" s="18" t="s">
        <v>7409</v>
      </c>
      <c r="M2266" s="18" t="s">
        <v>7412</v>
      </c>
      <c r="N2266" s="16">
        <v>60</v>
      </c>
      <c r="O2266" s="16">
        <v>70</v>
      </c>
      <c r="P2266" s="16">
        <v>85</v>
      </c>
      <c r="Q2266" s="16">
        <v>90</v>
      </c>
      <c r="R2266" s="16">
        <v>95</v>
      </c>
      <c r="S2266" s="16">
        <v>100</v>
      </c>
      <c r="T2266" s="18" t="s">
        <v>831</v>
      </c>
      <c r="U2266" t="str">
        <f>VLOOKUP(T2266,[8]Votes!$A$1:$E$234,3,FALSE)</f>
        <v>108 National Planning Authority</v>
      </c>
      <c r="V2266" s="18" t="s">
        <v>7413</v>
      </c>
      <c r="W2266" s="48">
        <v>1</v>
      </c>
      <c r="X2266" s="48">
        <v>1</v>
      </c>
      <c r="Y2266" s="48">
        <v>0</v>
      </c>
      <c r="Z2266" s="48">
        <v>1</v>
      </c>
      <c r="AA2266" s="48">
        <v>1</v>
      </c>
      <c r="AB2266" s="48">
        <v>0</v>
      </c>
      <c r="AC2266" s="150">
        <v>1</v>
      </c>
      <c r="AD2266" s="150">
        <v>1</v>
      </c>
      <c r="AE2266" s="49">
        <f t="shared" si="121"/>
        <v>0.75</v>
      </c>
      <c r="AF2266" s="255"/>
      <c r="AG2266" s="17">
        <v>0</v>
      </c>
      <c r="AH2266" s="255">
        <v>0.28999999999999998</v>
      </c>
      <c r="AI2266" s="255">
        <v>2.1749999999999998</v>
      </c>
      <c r="AJ2266" s="255">
        <v>0.36249999999999999</v>
      </c>
      <c r="AK2266" s="256">
        <v>0.36249999999999999</v>
      </c>
      <c r="AL2266" s="256">
        <v>0.36249999999999999</v>
      </c>
      <c r="AM2266" s="17">
        <f t="shared" si="122"/>
        <v>0.72499999999999998</v>
      </c>
      <c r="AN2266" t="s">
        <v>831</v>
      </c>
      <c r="AO2266" s="18" t="s">
        <v>834</v>
      </c>
      <c r="AP2266" s="18" t="s">
        <v>982</v>
      </c>
    </row>
    <row r="2267" spans="1:42" s="18" customFormat="1" ht="15" customHeight="1" x14ac:dyDescent="0.3">
      <c r="A2267" s="207" t="s">
        <v>7397</v>
      </c>
      <c r="B2267" s="18" t="s">
        <v>7398</v>
      </c>
      <c r="C2267" s="207" t="s">
        <v>7400</v>
      </c>
      <c r="D2267" s="18" t="s">
        <v>7401</v>
      </c>
      <c r="E2267" s="207" t="s">
        <v>7402</v>
      </c>
      <c r="F2267" s="18" t="s">
        <v>7403</v>
      </c>
      <c r="G2267" s="207" t="s">
        <v>7404</v>
      </c>
      <c r="H2267" s="18" t="s">
        <v>7405</v>
      </c>
      <c r="I2267" s="156" t="s">
        <v>7406</v>
      </c>
      <c r="J2267" s="18" t="s">
        <v>7407</v>
      </c>
      <c r="K2267" s="156" t="s">
        <v>7414</v>
      </c>
      <c r="L2267" s="18" t="s">
        <v>7415</v>
      </c>
      <c r="M2267" s="18" t="s">
        <v>7416</v>
      </c>
      <c r="N2267" s="16">
        <v>0</v>
      </c>
      <c r="O2267" s="16">
        <v>70</v>
      </c>
      <c r="P2267" s="16">
        <v>80</v>
      </c>
      <c r="Q2267" s="16">
        <v>90</v>
      </c>
      <c r="R2267" s="16">
        <v>95</v>
      </c>
      <c r="S2267" s="16">
        <v>100</v>
      </c>
      <c r="T2267" s="18" t="s">
        <v>831</v>
      </c>
      <c r="U2267" t="str">
        <f>VLOOKUP(T2267,[8]Votes!$A$1:$E$234,3,FALSE)</f>
        <v>108 National Planning Authority</v>
      </c>
      <c r="V2267" s="18" t="s">
        <v>7417</v>
      </c>
      <c r="W2267" s="48">
        <v>1</v>
      </c>
      <c r="X2267" s="48">
        <v>1</v>
      </c>
      <c r="Y2267" s="48">
        <v>0</v>
      </c>
      <c r="Z2267" s="48">
        <v>1</v>
      </c>
      <c r="AA2267" s="48">
        <v>1</v>
      </c>
      <c r="AB2267" s="48">
        <v>0</v>
      </c>
      <c r="AC2267" s="150">
        <v>1</v>
      </c>
      <c r="AD2267" s="150">
        <v>1</v>
      </c>
      <c r="AE2267" s="49">
        <f t="shared" si="121"/>
        <v>0.75</v>
      </c>
      <c r="AF2267" s="255"/>
      <c r="AG2267" s="17">
        <v>0</v>
      </c>
      <c r="AH2267" s="255">
        <v>1.0149999999999999</v>
      </c>
      <c r="AI2267" s="255">
        <v>1.0149999999999999</v>
      </c>
      <c r="AJ2267" s="255">
        <v>1.0149999999999999</v>
      </c>
      <c r="AK2267" s="256">
        <v>1.0149999999999999</v>
      </c>
      <c r="AL2267" s="256">
        <v>1.0149999999999999</v>
      </c>
      <c r="AM2267" s="17">
        <f t="shared" si="122"/>
        <v>2.0299999999999998</v>
      </c>
      <c r="AN2267" s="18" t="s">
        <v>831</v>
      </c>
      <c r="AO2267" s="18" t="s">
        <v>834</v>
      </c>
    </row>
    <row r="2268" spans="1:42" s="18" customFormat="1" ht="15" customHeight="1" x14ac:dyDescent="0.3">
      <c r="A2268" s="207" t="s">
        <v>7397</v>
      </c>
      <c r="B2268" s="18" t="s">
        <v>7398</v>
      </c>
      <c r="C2268" s="207" t="s">
        <v>7400</v>
      </c>
      <c r="D2268" s="18" t="s">
        <v>7401</v>
      </c>
      <c r="E2268" s="207" t="s">
        <v>7402</v>
      </c>
      <c r="F2268" s="18" t="s">
        <v>7403</v>
      </c>
      <c r="G2268" s="207" t="s">
        <v>7404</v>
      </c>
      <c r="H2268" s="18" t="s">
        <v>7405</v>
      </c>
      <c r="I2268" s="156" t="s">
        <v>7406</v>
      </c>
      <c r="J2268" s="18" t="s">
        <v>7407</v>
      </c>
      <c r="K2268" s="156" t="s">
        <v>7414</v>
      </c>
      <c r="L2268" s="18" t="s">
        <v>7415</v>
      </c>
      <c r="M2268" s="18" t="s">
        <v>7418</v>
      </c>
      <c r="N2268" s="16">
        <v>0</v>
      </c>
      <c r="O2268" s="16">
        <v>50</v>
      </c>
      <c r="P2268" s="16">
        <v>70</v>
      </c>
      <c r="Q2268" s="16">
        <v>80</v>
      </c>
      <c r="R2268" s="16">
        <v>90</v>
      </c>
      <c r="S2268" s="16">
        <v>100</v>
      </c>
      <c r="T2268" s="18" t="s">
        <v>831</v>
      </c>
      <c r="U2268" t="str">
        <f>VLOOKUP(T2268,[8]Votes!$A$1:$E$234,3,FALSE)</f>
        <v>108 National Planning Authority</v>
      </c>
      <c r="V2268" s="18" t="s">
        <v>7419</v>
      </c>
      <c r="W2268" s="48">
        <v>1</v>
      </c>
      <c r="X2268" s="48">
        <v>1</v>
      </c>
      <c r="Y2268" s="48">
        <v>0</v>
      </c>
      <c r="Z2268" s="48">
        <v>1</v>
      </c>
      <c r="AA2268" s="48">
        <v>1</v>
      </c>
      <c r="AB2268" s="48">
        <v>0</v>
      </c>
      <c r="AC2268" s="150">
        <v>1</v>
      </c>
      <c r="AD2268" s="150">
        <v>1</v>
      </c>
      <c r="AE2268" s="49">
        <f t="shared" si="121"/>
        <v>0.75</v>
      </c>
      <c r="AF2268" s="255"/>
      <c r="AG2268" s="17">
        <v>0</v>
      </c>
      <c r="AH2268" s="255">
        <v>0.36249999999999999</v>
      </c>
      <c r="AI2268" s="255">
        <v>1.0874999999999999</v>
      </c>
      <c r="AJ2268" s="255">
        <v>1.0874999999999999</v>
      </c>
      <c r="AK2268" s="256">
        <v>1.0874999999999999</v>
      </c>
      <c r="AL2268" s="256">
        <v>1.0874999999999999</v>
      </c>
      <c r="AM2268" s="17">
        <f t="shared" si="122"/>
        <v>2.1749999999999998</v>
      </c>
      <c r="AN2268" s="18" t="s">
        <v>831</v>
      </c>
      <c r="AO2268" s="18" t="s">
        <v>834</v>
      </c>
    </row>
    <row r="2269" spans="1:42" s="18" customFormat="1" ht="15" hidden="1" customHeight="1" x14ac:dyDescent="0.3">
      <c r="A2269" s="207" t="s">
        <v>7397</v>
      </c>
      <c r="B2269" s="18" t="s">
        <v>7398</v>
      </c>
      <c r="C2269" s="207" t="s">
        <v>7400</v>
      </c>
      <c r="D2269" s="18" t="s">
        <v>7401</v>
      </c>
      <c r="E2269" s="207" t="s">
        <v>7402</v>
      </c>
      <c r="F2269" s="18" t="s">
        <v>7403</v>
      </c>
      <c r="G2269" s="207" t="s">
        <v>7404</v>
      </c>
      <c r="H2269" s="18" t="s">
        <v>7405</v>
      </c>
      <c r="I2269" s="156" t="s">
        <v>7406</v>
      </c>
      <c r="J2269" s="18" t="s">
        <v>7407</v>
      </c>
      <c r="K2269" s="156" t="s">
        <v>7420</v>
      </c>
      <c r="L2269" s="18" t="s">
        <v>7421</v>
      </c>
      <c r="M2269" s="18" t="s">
        <v>7422</v>
      </c>
      <c r="N2269" s="16">
        <v>0</v>
      </c>
      <c r="O2269" s="16">
        <v>0</v>
      </c>
      <c r="P2269" s="16">
        <v>0</v>
      </c>
      <c r="Q2269" s="16">
        <v>30</v>
      </c>
      <c r="R2269" s="16">
        <v>60</v>
      </c>
      <c r="S2269" s="16">
        <v>100</v>
      </c>
      <c r="T2269" s="18" t="s">
        <v>831</v>
      </c>
      <c r="U2269" t="str">
        <f>VLOOKUP(T2269,[8]Votes!$A$1:$E$234,3,FALSE)</f>
        <v>108 National Planning Authority</v>
      </c>
      <c r="V2269" s="18" t="s">
        <v>7423</v>
      </c>
      <c r="W2269" s="48">
        <v>1</v>
      </c>
      <c r="X2269" s="48">
        <v>1</v>
      </c>
      <c r="Y2269" s="48">
        <v>0</v>
      </c>
      <c r="Z2269" s="48">
        <v>1</v>
      </c>
      <c r="AA2269" s="48">
        <v>1</v>
      </c>
      <c r="AB2269" s="48">
        <v>0</v>
      </c>
      <c r="AC2269" s="150">
        <v>0</v>
      </c>
      <c r="AD2269" s="150">
        <v>1</v>
      </c>
      <c r="AE2269" s="49">
        <f t="shared" si="121"/>
        <v>0.625</v>
      </c>
      <c r="AF2269" s="255"/>
      <c r="AG2269" s="17">
        <v>0</v>
      </c>
      <c r="AH2269" s="255">
        <v>0</v>
      </c>
      <c r="AI2269" s="255">
        <v>0</v>
      </c>
      <c r="AJ2269" s="255">
        <v>120.65388412681423</v>
      </c>
      <c r="AK2269" s="256">
        <v>32</v>
      </c>
      <c r="AL2269" s="256">
        <v>50</v>
      </c>
      <c r="AM2269" s="17">
        <f t="shared" si="122"/>
        <v>82</v>
      </c>
      <c r="AN2269" s="18" t="s">
        <v>831</v>
      </c>
      <c r="AO2269" s="18" t="s">
        <v>834</v>
      </c>
      <c r="AP2269" s="228"/>
    </row>
    <row r="2270" spans="1:42" s="18" customFormat="1" ht="15" customHeight="1" x14ac:dyDescent="0.3">
      <c r="A2270" s="207" t="s">
        <v>7397</v>
      </c>
      <c r="B2270" s="18" t="s">
        <v>7398</v>
      </c>
      <c r="C2270" s="207" t="s">
        <v>7400</v>
      </c>
      <c r="D2270" s="18" t="s">
        <v>7401</v>
      </c>
      <c r="E2270" s="207" t="s">
        <v>7402</v>
      </c>
      <c r="F2270" s="18" t="s">
        <v>7403</v>
      </c>
      <c r="G2270" s="207" t="s">
        <v>7404</v>
      </c>
      <c r="H2270" s="18" t="s">
        <v>7405</v>
      </c>
      <c r="I2270" s="156" t="s">
        <v>7406</v>
      </c>
      <c r="J2270" s="18" t="s">
        <v>7407</v>
      </c>
      <c r="K2270" s="156" t="s">
        <v>7424</v>
      </c>
      <c r="L2270" s="18" t="s">
        <v>7425</v>
      </c>
      <c r="M2270" s="18" t="s">
        <v>7426</v>
      </c>
      <c r="N2270" s="16">
        <v>0</v>
      </c>
      <c r="O2270" s="16">
        <v>0</v>
      </c>
      <c r="P2270" s="16">
        <v>0</v>
      </c>
      <c r="Q2270" s="16">
        <v>0</v>
      </c>
      <c r="R2270" s="16">
        <v>0</v>
      </c>
      <c r="S2270" s="16">
        <v>1</v>
      </c>
      <c r="T2270" s="18" t="s">
        <v>831</v>
      </c>
      <c r="U2270" t="str">
        <f>VLOOKUP(T2270,[8]Votes!$A$1:$E$234,3,FALSE)</f>
        <v>108 National Planning Authority</v>
      </c>
      <c r="V2270" s="18" t="s">
        <v>7427</v>
      </c>
      <c r="W2270" s="48">
        <v>1</v>
      </c>
      <c r="X2270" s="48">
        <v>1</v>
      </c>
      <c r="Y2270" s="48">
        <v>1</v>
      </c>
      <c r="Z2270" s="48">
        <v>1</v>
      </c>
      <c r="AA2270" s="48">
        <v>1</v>
      </c>
      <c r="AB2270" s="48">
        <v>1</v>
      </c>
      <c r="AC2270" s="150">
        <v>1</v>
      </c>
      <c r="AD2270" s="150">
        <v>1</v>
      </c>
      <c r="AE2270" s="49">
        <f t="shared" si="121"/>
        <v>1</v>
      </c>
      <c r="AF2270" s="255"/>
      <c r="AG2270" s="17">
        <v>0</v>
      </c>
      <c r="AH2270" s="255">
        <v>0</v>
      </c>
      <c r="AI2270" s="255">
        <v>0</v>
      </c>
      <c r="AJ2270" s="255">
        <v>4.3499999999999996</v>
      </c>
      <c r="AK2270" s="256">
        <v>4.3499999999999996</v>
      </c>
      <c r="AL2270" s="256">
        <v>4.3499999999999996</v>
      </c>
      <c r="AM2270" s="17">
        <f t="shared" si="122"/>
        <v>8.6999999999999993</v>
      </c>
      <c r="AN2270" s="18" t="s">
        <v>831</v>
      </c>
      <c r="AO2270" s="18" t="s">
        <v>834</v>
      </c>
      <c r="AP2270" s="18" t="s">
        <v>982</v>
      </c>
    </row>
    <row r="2271" spans="1:42" s="18" customFormat="1" ht="15" customHeight="1" x14ac:dyDescent="0.3">
      <c r="A2271" s="207" t="s">
        <v>7397</v>
      </c>
      <c r="B2271" s="18" t="s">
        <v>7398</v>
      </c>
      <c r="C2271" s="207" t="s">
        <v>7400</v>
      </c>
      <c r="D2271" s="18" t="s">
        <v>7401</v>
      </c>
      <c r="E2271" s="207" t="s">
        <v>7402</v>
      </c>
      <c r="F2271" s="18" t="s">
        <v>7403</v>
      </c>
      <c r="G2271" s="207" t="s">
        <v>7404</v>
      </c>
      <c r="H2271" s="18" t="s">
        <v>7405</v>
      </c>
      <c r="I2271" s="156" t="s">
        <v>7406</v>
      </c>
      <c r="J2271" s="18" t="s">
        <v>7407</v>
      </c>
      <c r="K2271" s="156" t="s">
        <v>7428</v>
      </c>
      <c r="L2271" s="18" t="s">
        <v>7429</v>
      </c>
      <c r="M2271" s="18" t="s">
        <v>7430</v>
      </c>
      <c r="N2271" s="16">
        <v>0</v>
      </c>
      <c r="O2271" s="16">
        <v>1</v>
      </c>
      <c r="P2271" s="16">
        <v>0</v>
      </c>
      <c r="Q2271" s="16">
        <v>0</v>
      </c>
      <c r="R2271" s="16">
        <v>0</v>
      </c>
      <c r="S2271" s="16">
        <v>0</v>
      </c>
      <c r="T2271" s="18" t="s">
        <v>921</v>
      </c>
      <c r="U2271" t="str">
        <f>VLOOKUP(T2271,[8]Votes!$A$1:$E$234,3,FALSE)</f>
        <v>008 Ministry of Finance, Planning &amp; Economic Dev.</v>
      </c>
      <c r="V2271" s="18" t="s">
        <v>7431</v>
      </c>
      <c r="W2271" s="48">
        <v>1</v>
      </c>
      <c r="X2271" s="48">
        <v>1</v>
      </c>
      <c r="Y2271" s="48">
        <v>0</v>
      </c>
      <c r="Z2271" s="48">
        <v>1</v>
      </c>
      <c r="AA2271" s="48">
        <v>1</v>
      </c>
      <c r="AB2271" s="48">
        <v>0</v>
      </c>
      <c r="AC2271" s="150">
        <v>1</v>
      </c>
      <c r="AD2271" s="150">
        <v>1</v>
      </c>
      <c r="AE2271" s="49">
        <f t="shared" si="121"/>
        <v>0.75</v>
      </c>
      <c r="AF2271" s="255"/>
      <c r="AG2271" s="17">
        <v>0</v>
      </c>
      <c r="AH2271" s="255">
        <v>0</v>
      </c>
      <c r="AI2271" s="255">
        <v>0.14499999999999999</v>
      </c>
      <c r="AJ2271" s="255">
        <v>0</v>
      </c>
      <c r="AK2271" s="256">
        <v>0</v>
      </c>
      <c r="AL2271" s="256">
        <v>0.2</v>
      </c>
      <c r="AM2271" s="17">
        <f t="shared" si="122"/>
        <v>0.2</v>
      </c>
      <c r="AN2271" s="18" t="s">
        <v>921</v>
      </c>
      <c r="AO2271" s="18" t="s">
        <v>880</v>
      </c>
    </row>
    <row r="2272" spans="1:42" s="18" customFormat="1" ht="15" customHeight="1" x14ac:dyDescent="0.3">
      <c r="A2272" s="207" t="s">
        <v>7397</v>
      </c>
      <c r="B2272" s="18" t="s">
        <v>7398</v>
      </c>
      <c r="C2272" s="207" t="s">
        <v>7400</v>
      </c>
      <c r="D2272" s="18" t="s">
        <v>7401</v>
      </c>
      <c r="E2272" s="207" t="s">
        <v>7402</v>
      </c>
      <c r="F2272" s="18" t="s">
        <v>7403</v>
      </c>
      <c r="G2272" s="207" t="s">
        <v>7404</v>
      </c>
      <c r="H2272" s="18" t="s">
        <v>7405</v>
      </c>
      <c r="I2272" s="156" t="s">
        <v>7406</v>
      </c>
      <c r="J2272" s="18" t="s">
        <v>7407</v>
      </c>
      <c r="K2272" s="156" t="s">
        <v>7432</v>
      </c>
      <c r="L2272" s="18" t="s">
        <v>7433</v>
      </c>
      <c r="M2272" s="18" t="s">
        <v>7434</v>
      </c>
      <c r="N2272" s="16">
        <v>0</v>
      </c>
      <c r="O2272" s="16">
        <v>1</v>
      </c>
      <c r="P2272" s="16">
        <v>0</v>
      </c>
      <c r="Q2272" s="16">
        <v>0</v>
      </c>
      <c r="R2272" s="16">
        <v>0</v>
      </c>
      <c r="S2272" s="16">
        <v>0</v>
      </c>
      <c r="T2272" s="18" t="s">
        <v>921</v>
      </c>
      <c r="U2272" t="str">
        <f>VLOOKUP(T2272,[8]Votes!$A$1:$E$234,3,FALSE)</f>
        <v>008 Ministry of Finance, Planning &amp; Economic Dev.</v>
      </c>
      <c r="V2272" s="18" t="s">
        <v>7435</v>
      </c>
      <c r="W2272" s="48">
        <v>1</v>
      </c>
      <c r="X2272" s="48">
        <v>1</v>
      </c>
      <c r="Y2272" s="48">
        <v>0</v>
      </c>
      <c r="Z2272" s="48">
        <v>1</v>
      </c>
      <c r="AA2272" s="48">
        <v>1</v>
      </c>
      <c r="AB2272" s="48">
        <v>0</v>
      </c>
      <c r="AC2272" s="150">
        <v>1</v>
      </c>
      <c r="AD2272" s="150">
        <v>1</v>
      </c>
      <c r="AE2272" s="49">
        <f t="shared" si="121"/>
        <v>0.75</v>
      </c>
      <c r="AF2272" s="255"/>
      <c r="AG2272" s="17">
        <v>0</v>
      </c>
      <c r="AH2272" s="255">
        <v>0</v>
      </c>
      <c r="AI2272" s="255">
        <v>0.14499999999999999</v>
      </c>
      <c r="AJ2272" s="255">
        <v>0</v>
      </c>
      <c r="AK2272" s="256">
        <v>0</v>
      </c>
      <c r="AL2272" s="256">
        <v>0</v>
      </c>
      <c r="AM2272" s="17">
        <f t="shared" si="122"/>
        <v>0</v>
      </c>
      <c r="AN2272" s="18" t="s">
        <v>921</v>
      </c>
      <c r="AO2272" s="18" t="s">
        <v>880</v>
      </c>
    </row>
    <row r="2273" spans="1:41" s="18" customFormat="1" ht="15" customHeight="1" x14ac:dyDescent="0.3">
      <c r="A2273" s="207" t="s">
        <v>7397</v>
      </c>
      <c r="B2273" s="18" t="s">
        <v>7398</v>
      </c>
      <c r="C2273" s="207" t="s">
        <v>7400</v>
      </c>
      <c r="D2273" s="18" t="s">
        <v>7401</v>
      </c>
      <c r="E2273" s="207" t="s">
        <v>7402</v>
      </c>
      <c r="F2273" s="18" t="s">
        <v>7403</v>
      </c>
      <c r="G2273" s="207" t="s">
        <v>7404</v>
      </c>
      <c r="H2273" s="18" t="s">
        <v>7405</v>
      </c>
      <c r="I2273" s="156" t="s">
        <v>7406</v>
      </c>
      <c r="J2273" s="18" t="s">
        <v>7407</v>
      </c>
      <c r="K2273" s="156" t="s">
        <v>7436</v>
      </c>
      <c r="L2273" s="18" t="s">
        <v>7437</v>
      </c>
      <c r="M2273" s="18" t="s">
        <v>7438</v>
      </c>
      <c r="N2273" s="16">
        <v>50</v>
      </c>
      <c r="O2273" s="16">
        <v>60</v>
      </c>
      <c r="P2273" s="16">
        <v>79</v>
      </c>
      <c r="Q2273" s="16">
        <v>85</v>
      </c>
      <c r="R2273" s="16">
        <v>90</v>
      </c>
      <c r="S2273" s="16">
        <v>95</v>
      </c>
      <c r="T2273" s="18" t="s">
        <v>1563</v>
      </c>
      <c r="U2273" t="str">
        <f>VLOOKUP(T2273,[8]Votes!$A$1:$E$234,3,FALSE)</f>
        <v>124 Equal Opportunities Commission</v>
      </c>
      <c r="V2273" s="18" t="s">
        <v>7439</v>
      </c>
      <c r="W2273" s="48">
        <v>1</v>
      </c>
      <c r="X2273" s="48">
        <v>1</v>
      </c>
      <c r="Y2273" s="48">
        <v>0</v>
      </c>
      <c r="Z2273" s="48">
        <v>1</v>
      </c>
      <c r="AA2273" s="48">
        <v>1</v>
      </c>
      <c r="AB2273" s="48">
        <v>0</v>
      </c>
      <c r="AC2273" s="150">
        <v>1</v>
      </c>
      <c r="AD2273" s="150">
        <v>1</v>
      </c>
      <c r="AE2273" s="49">
        <f t="shared" si="121"/>
        <v>0.75</v>
      </c>
      <c r="AF2273" s="357"/>
      <c r="AG2273" s="17">
        <v>0</v>
      </c>
      <c r="AH2273" s="357">
        <v>1.885</v>
      </c>
      <c r="AI2273" s="357">
        <v>2.0299999999999998</v>
      </c>
      <c r="AJ2273" s="357">
        <v>2.3199999999999998</v>
      </c>
      <c r="AK2273" s="358">
        <v>2.1749999999999998</v>
      </c>
      <c r="AL2273" s="358">
        <v>2.0299999999999998</v>
      </c>
      <c r="AM2273" s="17">
        <f t="shared" si="122"/>
        <v>4.2050000000000001</v>
      </c>
      <c r="AN2273" s="18" t="s">
        <v>1563</v>
      </c>
      <c r="AO2273" s="18" t="s">
        <v>1565</v>
      </c>
    </row>
    <row r="2274" spans="1:41" s="18" customFormat="1" ht="15" hidden="1" customHeight="1" x14ac:dyDescent="0.3">
      <c r="A2274" s="207" t="s">
        <v>7397</v>
      </c>
      <c r="B2274" s="18" t="s">
        <v>7398</v>
      </c>
      <c r="C2274" s="207" t="s">
        <v>7400</v>
      </c>
      <c r="D2274" s="18" t="s">
        <v>7401</v>
      </c>
      <c r="E2274" s="207" t="s">
        <v>7402</v>
      </c>
      <c r="F2274" s="18" t="s">
        <v>7403</v>
      </c>
      <c r="G2274" s="207" t="s">
        <v>7404</v>
      </c>
      <c r="H2274" s="18" t="s">
        <v>7405</v>
      </c>
      <c r="I2274" s="156" t="s">
        <v>7406</v>
      </c>
      <c r="J2274" s="18" t="s">
        <v>7407</v>
      </c>
      <c r="K2274" s="156" t="s">
        <v>7436</v>
      </c>
      <c r="L2274" s="18" t="s">
        <v>7437</v>
      </c>
      <c r="M2274" s="18" t="s">
        <v>7440</v>
      </c>
      <c r="N2274" s="16">
        <v>40</v>
      </c>
      <c r="O2274" s="16">
        <v>70</v>
      </c>
      <c r="P2274" s="16">
        <v>80</v>
      </c>
      <c r="Q2274" s="16">
        <v>85</v>
      </c>
      <c r="R2274" s="16">
        <v>90</v>
      </c>
      <c r="S2274" s="16">
        <v>100</v>
      </c>
      <c r="T2274" s="18" t="s">
        <v>1563</v>
      </c>
      <c r="U2274" t="str">
        <f>VLOOKUP(T2274,[8]Votes!$A$1:$E$234,3,FALSE)</f>
        <v>124 Equal Opportunities Commission</v>
      </c>
      <c r="W2274" s="48"/>
      <c r="X2274" s="48"/>
      <c r="Y2274" s="48"/>
      <c r="Z2274" s="48"/>
      <c r="AA2274" s="48"/>
      <c r="AB2274" s="48"/>
      <c r="AC2274" s="150">
        <v>0</v>
      </c>
      <c r="AD2274" s="150">
        <v>0</v>
      </c>
      <c r="AE2274" s="49">
        <f t="shared" si="121"/>
        <v>0</v>
      </c>
      <c r="AF2274" s="17"/>
      <c r="AG2274" s="17">
        <v>0</v>
      </c>
      <c r="AH2274" s="17"/>
      <c r="AI2274" s="17"/>
      <c r="AJ2274" s="17"/>
      <c r="AK2274" s="154"/>
      <c r="AL2274" s="154"/>
      <c r="AM2274" s="17">
        <f t="shared" si="122"/>
        <v>0</v>
      </c>
    </row>
    <row r="2275" spans="1:41" s="18" customFormat="1" ht="15" customHeight="1" x14ac:dyDescent="0.3">
      <c r="A2275" s="207" t="s">
        <v>7397</v>
      </c>
      <c r="B2275" s="18" t="s">
        <v>7398</v>
      </c>
      <c r="C2275" s="207" t="s">
        <v>7400</v>
      </c>
      <c r="D2275" s="18" t="s">
        <v>7401</v>
      </c>
      <c r="E2275" s="207" t="s">
        <v>7402</v>
      </c>
      <c r="F2275" s="18" t="s">
        <v>7403</v>
      </c>
      <c r="G2275" s="207" t="s">
        <v>7404</v>
      </c>
      <c r="H2275" s="18" t="s">
        <v>7405</v>
      </c>
      <c r="I2275" s="156" t="s">
        <v>7441</v>
      </c>
      <c r="J2275" s="18" t="s">
        <v>7442</v>
      </c>
      <c r="K2275" s="156" t="s">
        <v>7443</v>
      </c>
      <c r="L2275" s="18" t="s">
        <v>7444</v>
      </c>
      <c r="M2275" s="18" t="s">
        <v>7445</v>
      </c>
      <c r="N2275" s="16">
        <v>0</v>
      </c>
      <c r="O2275" s="16">
        <v>0</v>
      </c>
      <c r="P2275" s="16">
        <v>0</v>
      </c>
      <c r="Q2275" s="16">
        <v>20</v>
      </c>
      <c r="R2275" s="16">
        <v>50</v>
      </c>
      <c r="S2275" s="16">
        <v>70</v>
      </c>
      <c r="T2275" s="18" t="s">
        <v>831</v>
      </c>
      <c r="U2275" t="str">
        <f>VLOOKUP(T2275,[8]Votes!$A$1:$E$234,3,FALSE)</f>
        <v>108 National Planning Authority</v>
      </c>
      <c r="V2275" s="18" t="s">
        <v>7446</v>
      </c>
      <c r="W2275" s="48">
        <v>1</v>
      </c>
      <c r="X2275" s="48">
        <v>0</v>
      </c>
      <c r="Y2275" s="48">
        <v>0</v>
      </c>
      <c r="Z2275" s="48">
        <v>1</v>
      </c>
      <c r="AA2275" s="48">
        <v>1</v>
      </c>
      <c r="AB2275" s="48">
        <v>1</v>
      </c>
      <c r="AC2275" s="150">
        <v>1</v>
      </c>
      <c r="AD2275" s="150">
        <v>1</v>
      </c>
      <c r="AE2275" s="49">
        <f t="shared" si="121"/>
        <v>0.75</v>
      </c>
      <c r="AF2275" s="255"/>
      <c r="AG2275" s="17">
        <v>0</v>
      </c>
      <c r="AH2275" s="255">
        <v>0.72499999999999998</v>
      </c>
      <c r="AI2275" s="255">
        <v>0.435</v>
      </c>
      <c r="AJ2275" s="255">
        <v>0.14499999999999999</v>
      </c>
      <c r="AK2275" s="256">
        <v>0.14499999999999999</v>
      </c>
      <c r="AL2275" s="256">
        <v>0.28999999999999998</v>
      </c>
      <c r="AM2275" s="17">
        <f t="shared" si="122"/>
        <v>0.43499999999999994</v>
      </c>
      <c r="AN2275" s="18" t="s">
        <v>831</v>
      </c>
      <c r="AO2275" s="18" t="s">
        <v>834</v>
      </c>
    </row>
    <row r="2276" spans="1:41" s="18" customFormat="1" ht="15" hidden="1" customHeight="1" x14ac:dyDescent="0.3">
      <c r="A2276" s="207" t="s">
        <v>7397</v>
      </c>
      <c r="B2276" s="18" t="s">
        <v>7398</v>
      </c>
      <c r="C2276" s="207" t="s">
        <v>7400</v>
      </c>
      <c r="D2276" s="18" t="s">
        <v>7401</v>
      </c>
      <c r="E2276" s="207" t="s">
        <v>7402</v>
      </c>
      <c r="F2276" s="18" t="s">
        <v>7403</v>
      </c>
      <c r="G2276" s="207" t="s">
        <v>7404</v>
      </c>
      <c r="H2276" s="18" t="s">
        <v>7405</v>
      </c>
      <c r="I2276" s="156" t="s">
        <v>7441</v>
      </c>
      <c r="J2276" s="18" t="s">
        <v>7442</v>
      </c>
      <c r="K2276" s="156" t="s">
        <v>7443</v>
      </c>
      <c r="L2276" s="18" t="s">
        <v>7444</v>
      </c>
      <c r="M2276" s="18" t="s">
        <v>7447</v>
      </c>
      <c r="N2276" s="16">
        <v>0</v>
      </c>
      <c r="O2276" s="16"/>
      <c r="P2276" s="16"/>
      <c r="Q2276" s="16"/>
      <c r="R2276" s="16"/>
      <c r="S2276" s="16"/>
      <c r="T2276" s="18" t="s">
        <v>572</v>
      </c>
      <c r="U2276" t="e">
        <f>VLOOKUP(T2276,[8]Votes!$A$1:$E$234,3,FALSE)</f>
        <v>#N/A</v>
      </c>
      <c r="V2276" s="18" t="s">
        <v>7448</v>
      </c>
      <c r="W2276" s="48">
        <v>1</v>
      </c>
      <c r="X2276" s="48">
        <v>0</v>
      </c>
      <c r="Y2276" s="48">
        <v>0</v>
      </c>
      <c r="Z2276" s="48">
        <v>1</v>
      </c>
      <c r="AA2276" s="48">
        <v>1</v>
      </c>
      <c r="AB2276" s="48">
        <v>0</v>
      </c>
      <c r="AC2276" s="150">
        <v>1</v>
      </c>
      <c r="AD2276" s="150">
        <v>1</v>
      </c>
      <c r="AE2276" s="49">
        <f t="shared" si="121"/>
        <v>0.625</v>
      </c>
      <c r="AF2276" s="255"/>
      <c r="AG2276" s="17">
        <v>0</v>
      </c>
      <c r="AH2276" s="255">
        <v>0</v>
      </c>
      <c r="AI2276" s="255">
        <v>1.45</v>
      </c>
      <c r="AJ2276" s="255">
        <v>1.45</v>
      </c>
      <c r="AK2276" s="256">
        <v>1.45</v>
      </c>
      <c r="AL2276" s="256">
        <v>1.45</v>
      </c>
      <c r="AM2276" s="17">
        <f t="shared" si="122"/>
        <v>2.9</v>
      </c>
      <c r="AN2276" s="18" t="s">
        <v>570</v>
      </c>
      <c r="AO2276" s="18" t="s">
        <v>2875</v>
      </c>
    </row>
    <row r="2277" spans="1:41" s="18" customFormat="1" ht="15" customHeight="1" x14ac:dyDescent="0.3">
      <c r="A2277" s="207" t="s">
        <v>7397</v>
      </c>
      <c r="B2277" s="18" t="s">
        <v>7398</v>
      </c>
      <c r="C2277" s="207" t="s">
        <v>7400</v>
      </c>
      <c r="D2277" s="18" t="s">
        <v>7401</v>
      </c>
      <c r="E2277" s="207" t="s">
        <v>7402</v>
      </c>
      <c r="F2277" s="18" t="s">
        <v>7403</v>
      </c>
      <c r="G2277" s="207" t="s">
        <v>7404</v>
      </c>
      <c r="H2277" s="18" t="s">
        <v>7405</v>
      </c>
      <c r="I2277" s="156" t="s">
        <v>7441</v>
      </c>
      <c r="J2277" s="18" t="s">
        <v>7442</v>
      </c>
      <c r="K2277" s="156" t="s">
        <v>7443</v>
      </c>
      <c r="L2277" s="18" t="s">
        <v>7444</v>
      </c>
      <c r="M2277" s="18" t="s">
        <v>7449</v>
      </c>
      <c r="N2277" s="16">
        <v>0</v>
      </c>
      <c r="O2277" s="16">
        <v>0</v>
      </c>
      <c r="P2277" s="16">
        <v>40</v>
      </c>
      <c r="Q2277" s="16">
        <v>60</v>
      </c>
      <c r="R2277" s="16">
        <v>100</v>
      </c>
      <c r="S2277" s="16">
        <v>100</v>
      </c>
      <c r="T2277" s="18" t="s">
        <v>831</v>
      </c>
      <c r="U2277" t="str">
        <f>VLOOKUP(T2277,[8]Votes!$A$1:$E$234,3,FALSE)</f>
        <v>108 National Planning Authority</v>
      </c>
      <c r="V2277" s="18" t="s">
        <v>7450</v>
      </c>
      <c r="W2277" s="48">
        <v>1</v>
      </c>
      <c r="X2277" s="48">
        <v>0</v>
      </c>
      <c r="Y2277" s="48">
        <v>0</v>
      </c>
      <c r="Z2277" s="48">
        <v>1</v>
      </c>
      <c r="AA2277" s="48">
        <v>1</v>
      </c>
      <c r="AB2277" s="48">
        <v>1</v>
      </c>
      <c r="AC2277" s="150">
        <v>1</v>
      </c>
      <c r="AD2277" s="150">
        <v>1</v>
      </c>
      <c r="AE2277" s="49">
        <f t="shared" si="121"/>
        <v>0.75</v>
      </c>
      <c r="AF2277" s="255"/>
      <c r="AG2277" s="17">
        <v>0</v>
      </c>
      <c r="AH2277" s="255">
        <v>0</v>
      </c>
      <c r="AI2277" s="255">
        <v>1.1599999999999999</v>
      </c>
      <c r="AJ2277" s="255">
        <v>0.28999999999999998</v>
      </c>
      <c r="AK2277" s="256">
        <v>0.28999999999999998</v>
      </c>
      <c r="AL2277" s="256">
        <v>0.435</v>
      </c>
      <c r="AM2277" s="17">
        <f t="shared" si="122"/>
        <v>0.72499999999999998</v>
      </c>
      <c r="AN2277" s="18" t="s">
        <v>831</v>
      </c>
      <c r="AO2277" s="18" t="s">
        <v>834</v>
      </c>
    </row>
    <row r="2278" spans="1:41" s="18" customFormat="1" ht="15" customHeight="1" x14ac:dyDescent="0.3">
      <c r="A2278" s="207" t="s">
        <v>7397</v>
      </c>
      <c r="B2278" s="18" t="s">
        <v>7398</v>
      </c>
      <c r="C2278" s="207" t="s">
        <v>7400</v>
      </c>
      <c r="D2278" s="18" t="s">
        <v>7401</v>
      </c>
      <c r="E2278" s="207" t="s">
        <v>7402</v>
      </c>
      <c r="F2278" s="18" t="s">
        <v>7403</v>
      </c>
      <c r="G2278" s="207" t="s">
        <v>7404</v>
      </c>
      <c r="H2278" s="18" t="s">
        <v>7405</v>
      </c>
      <c r="I2278" s="156" t="s">
        <v>7441</v>
      </c>
      <c r="J2278" s="18" t="s">
        <v>7442</v>
      </c>
      <c r="K2278" s="156" t="s">
        <v>7443</v>
      </c>
      <c r="L2278" s="18" t="s">
        <v>7444</v>
      </c>
      <c r="M2278" s="18" t="s">
        <v>7451</v>
      </c>
      <c r="N2278" s="16">
        <v>0</v>
      </c>
      <c r="O2278" s="16">
        <v>200</v>
      </c>
      <c r="P2278" s="16">
        <v>200</v>
      </c>
      <c r="Q2278" s="16">
        <v>200</v>
      </c>
      <c r="R2278" s="16">
        <v>200</v>
      </c>
      <c r="S2278" s="16">
        <v>200</v>
      </c>
      <c r="T2278" s="18" t="s">
        <v>572</v>
      </c>
      <c r="U2278" t="e">
        <f>VLOOKUP(T2278,[8]Votes!$A$1:$E$234,3,FALSE)</f>
        <v>#N/A</v>
      </c>
      <c r="V2278" s="18" t="s">
        <v>7452</v>
      </c>
      <c r="W2278" s="48">
        <v>1</v>
      </c>
      <c r="X2278" s="48">
        <v>0</v>
      </c>
      <c r="Y2278" s="48">
        <v>0</v>
      </c>
      <c r="Z2278" s="48">
        <v>1</v>
      </c>
      <c r="AA2278" s="48">
        <v>1</v>
      </c>
      <c r="AB2278" s="48">
        <v>1</v>
      </c>
      <c r="AC2278" s="150">
        <v>1</v>
      </c>
      <c r="AD2278" s="150">
        <v>1</v>
      </c>
      <c r="AE2278" s="49">
        <f t="shared" si="121"/>
        <v>0.75</v>
      </c>
      <c r="AF2278" s="255"/>
      <c r="AG2278" s="17">
        <v>0</v>
      </c>
      <c r="AH2278" s="255">
        <v>0</v>
      </c>
      <c r="AI2278" s="255">
        <v>4.3499999999999996</v>
      </c>
      <c r="AJ2278" s="255">
        <v>1.1599999999999999</v>
      </c>
      <c r="AK2278" s="256">
        <v>1.45</v>
      </c>
      <c r="AL2278" s="256">
        <v>1.74</v>
      </c>
      <c r="AM2278" s="17">
        <f t="shared" si="122"/>
        <v>3.19</v>
      </c>
      <c r="AN2278" s="18" t="s">
        <v>831</v>
      </c>
      <c r="AO2278" s="18" t="s">
        <v>834</v>
      </c>
    </row>
    <row r="2279" spans="1:41" s="18" customFormat="1" ht="15" customHeight="1" x14ac:dyDescent="0.3">
      <c r="A2279" s="207" t="s">
        <v>7397</v>
      </c>
      <c r="B2279" s="18" t="s">
        <v>7398</v>
      </c>
      <c r="C2279" s="207" t="s">
        <v>7400</v>
      </c>
      <c r="D2279" s="18" t="s">
        <v>7401</v>
      </c>
      <c r="E2279" s="207" t="s">
        <v>7402</v>
      </c>
      <c r="F2279" s="18" t="s">
        <v>7403</v>
      </c>
      <c r="G2279" s="207" t="s">
        <v>7404</v>
      </c>
      <c r="H2279" s="18" t="s">
        <v>7405</v>
      </c>
      <c r="I2279" s="156" t="s">
        <v>7441</v>
      </c>
      <c r="J2279" s="18" t="s">
        <v>7442</v>
      </c>
      <c r="K2279" s="156" t="s">
        <v>7443</v>
      </c>
      <c r="L2279" s="18" t="s">
        <v>7444</v>
      </c>
      <c r="M2279" s="18" t="s">
        <v>7453</v>
      </c>
      <c r="N2279" s="16">
        <v>0</v>
      </c>
      <c r="O2279" s="16">
        <v>40</v>
      </c>
      <c r="P2279" s="16">
        <v>55</v>
      </c>
      <c r="Q2279" s="16">
        <v>70</v>
      </c>
      <c r="R2279" s="16">
        <v>90</v>
      </c>
      <c r="S2279" s="16">
        <v>120</v>
      </c>
      <c r="T2279" s="18" t="s">
        <v>831</v>
      </c>
      <c r="U2279" t="str">
        <f>VLOOKUP(T2279,[8]Votes!$A$1:$E$234,3,FALSE)</f>
        <v>108 National Planning Authority</v>
      </c>
      <c r="V2279" s="18" t="s">
        <v>7454</v>
      </c>
      <c r="W2279" s="48">
        <v>1</v>
      </c>
      <c r="X2279" s="48">
        <v>0</v>
      </c>
      <c r="Y2279" s="48">
        <v>0</v>
      </c>
      <c r="Z2279" s="48">
        <v>1</v>
      </c>
      <c r="AA2279" s="48">
        <v>1</v>
      </c>
      <c r="AB2279" s="48">
        <v>1</v>
      </c>
      <c r="AC2279" s="150">
        <v>1</v>
      </c>
      <c r="AD2279" s="150">
        <v>1</v>
      </c>
      <c r="AE2279" s="49">
        <f t="shared" si="121"/>
        <v>0.75</v>
      </c>
      <c r="AF2279" s="255"/>
      <c r="AG2279" s="17">
        <v>0</v>
      </c>
      <c r="AH2279" s="255">
        <v>0.59449999999999992</v>
      </c>
      <c r="AI2279" s="255">
        <v>6.2349999999999994</v>
      </c>
      <c r="AJ2279" s="255">
        <v>2.1749999999999998</v>
      </c>
      <c r="AK2279" s="256">
        <v>2.61</v>
      </c>
      <c r="AL2279" s="256">
        <v>4.4950000000000001</v>
      </c>
      <c r="AM2279" s="17">
        <f t="shared" si="122"/>
        <v>7.1050000000000004</v>
      </c>
      <c r="AN2279" s="18" t="s">
        <v>831</v>
      </c>
      <c r="AO2279" s="18" t="s">
        <v>834</v>
      </c>
    </row>
    <row r="2280" spans="1:41" s="18" customFormat="1" ht="15" hidden="1" customHeight="1" x14ac:dyDescent="0.3">
      <c r="A2280" s="207" t="s">
        <v>7397</v>
      </c>
      <c r="B2280" s="18" t="s">
        <v>7398</v>
      </c>
      <c r="C2280" s="207" t="s">
        <v>7400</v>
      </c>
      <c r="D2280" s="18" t="s">
        <v>7401</v>
      </c>
      <c r="E2280" s="207" t="s">
        <v>7402</v>
      </c>
      <c r="F2280" s="18" t="s">
        <v>7403</v>
      </c>
      <c r="G2280" s="207" t="s">
        <v>7404</v>
      </c>
      <c r="H2280" s="18" t="s">
        <v>7405</v>
      </c>
      <c r="I2280" s="156" t="s">
        <v>7441</v>
      </c>
      <c r="J2280" s="18" t="s">
        <v>7442</v>
      </c>
      <c r="K2280" s="156" t="s">
        <v>7443</v>
      </c>
      <c r="L2280" s="18" t="s">
        <v>7444</v>
      </c>
      <c r="M2280" s="18" t="s">
        <v>7455</v>
      </c>
      <c r="N2280" s="16">
        <v>0</v>
      </c>
      <c r="O2280" s="16">
        <v>0</v>
      </c>
      <c r="P2280" s="16">
        <v>30</v>
      </c>
      <c r="Q2280" s="16">
        <v>50</v>
      </c>
      <c r="R2280" s="16">
        <v>80</v>
      </c>
      <c r="S2280" s="16">
        <v>100</v>
      </c>
      <c r="T2280" s="18" t="s">
        <v>831</v>
      </c>
      <c r="U2280" t="str">
        <f>VLOOKUP(T2280,[8]Votes!$A$1:$E$234,3,FALSE)</f>
        <v>108 National Planning Authority</v>
      </c>
      <c r="W2280" s="48"/>
      <c r="X2280" s="48"/>
      <c r="Y2280" s="48"/>
      <c r="Z2280" s="48"/>
      <c r="AA2280" s="48"/>
      <c r="AB2280" s="48"/>
      <c r="AC2280" s="150">
        <v>0</v>
      </c>
      <c r="AD2280" s="150">
        <v>0</v>
      </c>
      <c r="AE2280" s="49">
        <f t="shared" si="121"/>
        <v>0</v>
      </c>
      <c r="AF2280" s="17"/>
      <c r="AG2280" s="17">
        <v>0</v>
      </c>
      <c r="AH2280" s="17"/>
      <c r="AI2280" s="17"/>
      <c r="AJ2280" s="17"/>
      <c r="AK2280" s="154"/>
      <c r="AL2280" s="154"/>
      <c r="AM2280" s="17">
        <f t="shared" si="122"/>
        <v>0</v>
      </c>
    </row>
    <row r="2281" spans="1:41" s="18" customFormat="1" ht="15" hidden="1" customHeight="1" x14ac:dyDescent="0.3">
      <c r="A2281" s="207" t="s">
        <v>7397</v>
      </c>
      <c r="B2281" s="18" t="s">
        <v>7398</v>
      </c>
      <c r="C2281" s="207" t="s">
        <v>7400</v>
      </c>
      <c r="D2281" s="18" t="s">
        <v>7401</v>
      </c>
      <c r="E2281" s="207" t="s">
        <v>7402</v>
      </c>
      <c r="F2281" s="18" t="s">
        <v>7403</v>
      </c>
      <c r="G2281" s="207" t="s">
        <v>7404</v>
      </c>
      <c r="H2281" s="18" t="s">
        <v>7405</v>
      </c>
      <c r="I2281" s="156" t="s">
        <v>7441</v>
      </c>
      <c r="J2281" s="18" t="s">
        <v>7442</v>
      </c>
      <c r="K2281" s="156" t="s">
        <v>7443</v>
      </c>
      <c r="L2281" s="18" t="s">
        <v>7444</v>
      </c>
      <c r="M2281" s="18" t="s">
        <v>7456</v>
      </c>
      <c r="N2281" s="16">
        <v>0</v>
      </c>
      <c r="O2281" s="16">
        <v>40</v>
      </c>
      <c r="P2281" s="16">
        <v>55</v>
      </c>
      <c r="Q2281" s="16">
        <v>70</v>
      </c>
      <c r="R2281" s="16">
        <v>85</v>
      </c>
      <c r="S2281" s="16">
        <v>100</v>
      </c>
      <c r="T2281" s="18" t="s">
        <v>831</v>
      </c>
      <c r="U2281" t="str">
        <f>VLOOKUP(T2281,[8]Votes!$A$1:$E$234,3,FALSE)</f>
        <v>108 National Planning Authority</v>
      </c>
      <c r="W2281" s="48"/>
      <c r="X2281" s="48"/>
      <c r="Y2281" s="48"/>
      <c r="Z2281" s="48"/>
      <c r="AA2281" s="48"/>
      <c r="AB2281" s="48"/>
      <c r="AC2281" s="150">
        <v>0</v>
      </c>
      <c r="AD2281" s="150">
        <v>0</v>
      </c>
      <c r="AE2281" s="49">
        <f t="shared" si="121"/>
        <v>0</v>
      </c>
      <c r="AF2281" s="17"/>
      <c r="AG2281" s="17">
        <v>0</v>
      </c>
      <c r="AH2281" s="17"/>
      <c r="AI2281" s="17"/>
      <c r="AJ2281" s="17"/>
      <c r="AK2281" s="154"/>
      <c r="AL2281" s="154"/>
      <c r="AM2281" s="17">
        <f t="shared" si="122"/>
        <v>0</v>
      </c>
    </row>
    <row r="2282" spans="1:41" s="18" customFormat="1" ht="15" hidden="1" customHeight="1" x14ac:dyDescent="0.3">
      <c r="A2282" s="207" t="s">
        <v>7397</v>
      </c>
      <c r="B2282" s="18" t="s">
        <v>7398</v>
      </c>
      <c r="C2282" s="207" t="s">
        <v>7400</v>
      </c>
      <c r="D2282" s="18" t="s">
        <v>7401</v>
      </c>
      <c r="E2282" s="207" t="s">
        <v>7402</v>
      </c>
      <c r="F2282" s="18" t="s">
        <v>7403</v>
      </c>
      <c r="G2282" s="207" t="s">
        <v>7404</v>
      </c>
      <c r="H2282" s="18" t="s">
        <v>7405</v>
      </c>
      <c r="I2282" s="156" t="s">
        <v>7441</v>
      </c>
      <c r="J2282" s="18" t="s">
        <v>7442</v>
      </c>
      <c r="K2282" s="156" t="s">
        <v>7443</v>
      </c>
      <c r="L2282" s="18" t="s">
        <v>7444</v>
      </c>
      <c r="M2282" s="18" t="s">
        <v>7457</v>
      </c>
      <c r="N2282" s="16">
        <v>0</v>
      </c>
      <c r="O2282" s="16">
        <v>20</v>
      </c>
      <c r="P2282" s="16">
        <v>25</v>
      </c>
      <c r="Q2282" s="16">
        <v>30</v>
      </c>
      <c r="R2282" s="16">
        <v>35</v>
      </c>
      <c r="S2282" s="16">
        <v>40</v>
      </c>
      <c r="T2282" s="18" t="s">
        <v>831</v>
      </c>
      <c r="U2282" t="str">
        <f>VLOOKUP(T2282,[8]Votes!$A$1:$E$234,3,FALSE)</f>
        <v>108 National Planning Authority</v>
      </c>
      <c r="W2282" s="48"/>
      <c r="X2282" s="48"/>
      <c r="Y2282" s="48"/>
      <c r="Z2282" s="48"/>
      <c r="AA2282" s="48"/>
      <c r="AB2282" s="48"/>
      <c r="AC2282" s="150">
        <v>0</v>
      </c>
      <c r="AD2282" s="150">
        <v>0</v>
      </c>
      <c r="AE2282" s="49">
        <f t="shared" si="121"/>
        <v>0</v>
      </c>
      <c r="AF2282" s="17"/>
      <c r="AG2282" s="17">
        <v>0</v>
      </c>
      <c r="AH2282" s="17"/>
      <c r="AI2282" s="17"/>
      <c r="AJ2282" s="17"/>
      <c r="AK2282" s="154"/>
      <c r="AL2282" s="154"/>
      <c r="AM2282" s="17">
        <f t="shared" si="122"/>
        <v>0</v>
      </c>
    </row>
    <row r="2283" spans="1:41" s="18" customFormat="1" ht="15" hidden="1" customHeight="1" x14ac:dyDescent="0.3">
      <c r="A2283" s="207" t="s">
        <v>7397</v>
      </c>
      <c r="B2283" s="18" t="s">
        <v>7398</v>
      </c>
      <c r="C2283" s="207" t="s">
        <v>7400</v>
      </c>
      <c r="D2283" s="18" t="s">
        <v>7401</v>
      </c>
      <c r="E2283" s="207" t="s">
        <v>7402</v>
      </c>
      <c r="F2283" s="18" t="s">
        <v>7403</v>
      </c>
      <c r="G2283" s="207" t="s">
        <v>7404</v>
      </c>
      <c r="H2283" s="18" t="s">
        <v>7405</v>
      </c>
      <c r="I2283" s="156" t="s">
        <v>7441</v>
      </c>
      <c r="J2283" s="18" t="s">
        <v>7442</v>
      </c>
      <c r="K2283" s="156" t="s">
        <v>7443</v>
      </c>
      <c r="L2283" s="18" t="s">
        <v>7444</v>
      </c>
      <c r="M2283" s="18" t="s">
        <v>7458</v>
      </c>
      <c r="N2283" s="16">
        <v>0</v>
      </c>
      <c r="O2283" s="16">
        <v>65</v>
      </c>
      <c r="P2283" s="16">
        <v>60</v>
      </c>
      <c r="Q2283" s="16">
        <v>50</v>
      </c>
      <c r="R2283" s="16">
        <v>50</v>
      </c>
      <c r="S2283" s="16">
        <v>50</v>
      </c>
      <c r="T2283" s="18" t="s">
        <v>831</v>
      </c>
      <c r="U2283" t="str">
        <f>VLOOKUP(T2283,[8]Votes!$A$1:$E$234,3,FALSE)</f>
        <v>108 National Planning Authority</v>
      </c>
      <c r="W2283" s="48"/>
      <c r="X2283" s="48"/>
      <c r="Y2283" s="48"/>
      <c r="Z2283" s="48"/>
      <c r="AA2283" s="48"/>
      <c r="AB2283" s="48"/>
      <c r="AC2283" s="150">
        <v>0</v>
      </c>
      <c r="AD2283" s="150">
        <v>0</v>
      </c>
      <c r="AE2283" s="49">
        <f t="shared" si="121"/>
        <v>0</v>
      </c>
      <c r="AF2283" s="17"/>
      <c r="AG2283" s="17">
        <v>0</v>
      </c>
      <c r="AH2283" s="17"/>
      <c r="AI2283" s="17"/>
      <c r="AJ2283" s="17"/>
      <c r="AK2283" s="154"/>
      <c r="AL2283" s="154"/>
      <c r="AM2283" s="17">
        <f t="shared" si="122"/>
        <v>0</v>
      </c>
    </row>
    <row r="2284" spans="1:41" s="18" customFormat="1" ht="15" hidden="1" customHeight="1" x14ac:dyDescent="0.3">
      <c r="A2284" s="207" t="s">
        <v>7397</v>
      </c>
      <c r="B2284" s="18" t="s">
        <v>7398</v>
      </c>
      <c r="C2284" s="207" t="s">
        <v>7400</v>
      </c>
      <c r="D2284" s="18" t="s">
        <v>7401</v>
      </c>
      <c r="E2284" s="207" t="s">
        <v>7402</v>
      </c>
      <c r="F2284" s="18" t="s">
        <v>7403</v>
      </c>
      <c r="G2284" s="207" t="s">
        <v>7404</v>
      </c>
      <c r="H2284" s="18" t="s">
        <v>7405</v>
      </c>
      <c r="I2284" s="156" t="s">
        <v>7441</v>
      </c>
      <c r="J2284" s="18" t="s">
        <v>7442</v>
      </c>
      <c r="K2284" s="156" t="s">
        <v>7443</v>
      </c>
      <c r="L2284" s="18" t="s">
        <v>7444</v>
      </c>
      <c r="N2284" s="16"/>
      <c r="O2284" s="16"/>
      <c r="P2284" s="16"/>
      <c r="Q2284" s="16"/>
      <c r="R2284" s="16"/>
      <c r="S2284" s="16"/>
      <c r="U2284" t="e">
        <f>VLOOKUP(T2284,[8]Votes!$A$1:$E$234,3,FALSE)</f>
        <v>#N/A</v>
      </c>
      <c r="W2284" s="48"/>
      <c r="X2284" s="48"/>
      <c r="Y2284" s="48"/>
      <c r="Z2284" s="48"/>
      <c r="AA2284" s="48"/>
      <c r="AB2284" s="48"/>
      <c r="AC2284" s="150">
        <v>0</v>
      </c>
      <c r="AD2284" s="150">
        <v>0</v>
      </c>
      <c r="AE2284" s="49">
        <f t="shared" si="121"/>
        <v>0</v>
      </c>
      <c r="AF2284" s="17"/>
      <c r="AG2284" s="17">
        <v>0</v>
      </c>
      <c r="AH2284" s="17"/>
      <c r="AI2284" s="17"/>
      <c r="AJ2284" s="17"/>
      <c r="AK2284" s="154"/>
      <c r="AL2284" s="154"/>
      <c r="AM2284" s="17">
        <f t="shared" si="122"/>
        <v>0</v>
      </c>
    </row>
    <row r="2285" spans="1:41" s="18" customFormat="1" hidden="1" x14ac:dyDescent="0.3">
      <c r="A2285" s="207" t="s">
        <v>7397</v>
      </c>
      <c r="B2285" s="18" t="s">
        <v>7398</v>
      </c>
      <c r="C2285" s="207" t="s">
        <v>7400</v>
      </c>
      <c r="D2285" s="18" t="s">
        <v>7401</v>
      </c>
      <c r="E2285" s="207" t="s">
        <v>7402</v>
      </c>
      <c r="F2285" s="18" t="s">
        <v>7403</v>
      </c>
      <c r="G2285" s="207" t="s">
        <v>7404</v>
      </c>
      <c r="H2285" s="18" t="s">
        <v>7405</v>
      </c>
      <c r="I2285" s="156" t="s">
        <v>7459</v>
      </c>
      <c r="J2285" s="18" t="s">
        <v>7460</v>
      </c>
      <c r="K2285" s="156" t="s">
        <v>7461</v>
      </c>
      <c r="L2285" s="18" t="s">
        <v>7462</v>
      </c>
      <c r="M2285" s="18" t="s">
        <v>7463</v>
      </c>
      <c r="N2285" s="16">
        <v>0</v>
      </c>
      <c r="O2285" s="16">
        <v>0</v>
      </c>
      <c r="P2285" s="16">
        <v>0</v>
      </c>
      <c r="Q2285" s="16">
        <v>0</v>
      </c>
      <c r="R2285" s="16">
        <v>0</v>
      </c>
      <c r="S2285" s="16">
        <v>1</v>
      </c>
      <c r="T2285" s="18" t="s">
        <v>831</v>
      </c>
      <c r="U2285" t="str">
        <f>VLOOKUP(T2285,[8]Votes!$A$1:$E$234,3,FALSE)</f>
        <v>108 National Planning Authority</v>
      </c>
      <c r="V2285" s="18" t="s">
        <v>7464</v>
      </c>
      <c r="W2285" s="48">
        <v>0</v>
      </c>
      <c r="X2285" s="48">
        <v>0</v>
      </c>
      <c r="Y2285" s="48">
        <v>0</v>
      </c>
      <c r="Z2285" s="48">
        <v>1</v>
      </c>
      <c r="AA2285" s="48">
        <v>1</v>
      </c>
      <c r="AB2285" s="48">
        <v>0</v>
      </c>
      <c r="AC2285" s="150">
        <v>1</v>
      </c>
      <c r="AD2285" s="150">
        <v>1</v>
      </c>
      <c r="AE2285" s="49">
        <f t="shared" si="121"/>
        <v>0.5</v>
      </c>
      <c r="AF2285" s="255"/>
      <c r="AG2285" s="17">
        <v>0</v>
      </c>
      <c r="AH2285" s="255">
        <v>0</v>
      </c>
      <c r="AI2285" s="255">
        <v>0</v>
      </c>
      <c r="AJ2285" s="255">
        <v>0.72499999999999998</v>
      </c>
      <c r="AK2285" s="256">
        <v>0</v>
      </c>
      <c r="AL2285" s="256">
        <v>0</v>
      </c>
      <c r="AM2285" s="17">
        <f t="shared" si="122"/>
        <v>0</v>
      </c>
      <c r="AN2285" s="18" t="s">
        <v>831</v>
      </c>
      <c r="AO2285" s="18" t="s">
        <v>834</v>
      </c>
    </row>
    <row r="2286" spans="1:41" s="18" customFormat="1" ht="15" customHeight="1" x14ac:dyDescent="0.3">
      <c r="A2286" s="207" t="s">
        <v>7397</v>
      </c>
      <c r="B2286" s="18" t="s">
        <v>7398</v>
      </c>
      <c r="C2286" s="207" t="s">
        <v>7400</v>
      </c>
      <c r="D2286" s="18" t="s">
        <v>7401</v>
      </c>
      <c r="E2286" s="207" t="s">
        <v>7402</v>
      </c>
      <c r="F2286" s="18" t="s">
        <v>7403</v>
      </c>
      <c r="G2286" s="207" t="s">
        <v>7404</v>
      </c>
      <c r="H2286" s="18" t="s">
        <v>7405</v>
      </c>
      <c r="I2286" s="156" t="s">
        <v>7465</v>
      </c>
      <c r="J2286" s="18" t="s">
        <v>7466</v>
      </c>
      <c r="K2286" s="156" t="s">
        <v>7467</v>
      </c>
      <c r="L2286" s="18" t="s">
        <v>7468</v>
      </c>
      <c r="M2286" s="18" t="s">
        <v>7469</v>
      </c>
      <c r="N2286" s="16">
        <v>0</v>
      </c>
      <c r="O2286" s="16">
        <v>4</v>
      </c>
      <c r="P2286" s="16">
        <v>4</v>
      </c>
      <c r="Q2286" s="16">
        <v>4</v>
      </c>
      <c r="R2286" s="16">
        <v>4</v>
      </c>
      <c r="S2286" s="16">
        <v>4</v>
      </c>
      <c r="T2286" s="18" t="s">
        <v>921</v>
      </c>
      <c r="U2286" t="str">
        <f>VLOOKUP(T2286,[8]Votes!$A$1:$E$234,3,FALSE)</f>
        <v>008 Ministry of Finance, Planning &amp; Economic Dev.</v>
      </c>
      <c r="V2286" s="18" t="s">
        <v>7470</v>
      </c>
      <c r="W2286" s="48">
        <v>1</v>
      </c>
      <c r="X2286" s="48">
        <v>1</v>
      </c>
      <c r="Y2286" s="48">
        <v>0</v>
      </c>
      <c r="Z2286" s="48">
        <v>1</v>
      </c>
      <c r="AA2286" s="48">
        <v>1</v>
      </c>
      <c r="AB2286" s="48">
        <v>0</v>
      </c>
      <c r="AC2286" s="150">
        <v>1</v>
      </c>
      <c r="AD2286" s="150">
        <v>1</v>
      </c>
      <c r="AE2286" s="49">
        <f t="shared" si="121"/>
        <v>0.75</v>
      </c>
      <c r="AF2286" s="255"/>
      <c r="AG2286" s="17">
        <v>0</v>
      </c>
      <c r="AH2286" s="255">
        <v>0</v>
      </c>
      <c r="AI2286" s="255">
        <v>1.595</v>
      </c>
      <c r="AJ2286" s="255">
        <v>1.595</v>
      </c>
      <c r="AK2286" s="256">
        <v>1.595</v>
      </c>
      <c r="AL2286" s="256">
        <v>1.595</v>
      </c>
      <c r="AM2286" s="17">
        <f t="shared" si="122"/>
        <v>3.19</v>
      </c>
      <c r="AN2286" s="18" t="s">
        <v>921</v>
      </c>
      <c r="AO2286" s="18" t="s">
        <v>880</v>
      </c>
    </row>
    <row r="2287" spans="1:41" s="18" customFormat="1" ht="15" hidden="1" customHeight="1" x14ac:dyDescent="0.3">
      <c r="A2287" s="207" t="s">
        <v>7397</v>
      </c>
      <c r="B2287" s="18" t="s">
        <v>7398</v>
      </c>
      <c r="C2287" s="207" t="s">
        <v>7400</v>
      </c>
      <c r="D2287" s="18" t="s">
        <v>7401</v>
      </c>
      <c r="E2287" s="207" t="s">
        <v>7402</v>
      </c>
      <c r="F2287" s="18" t="s">
        <v>7403</v>
      </c>
      <c r="G2287" s="207" t="s">
        <v>7404</v>
      </c>
      <c r="H2287" s="18" t="s">
        <v>7405</v>
      </c>
      <c r="I2287" s="156" t="s">
        <v>7465</v>
      </c>
      <c r="J2287" s="18" t="s">
        <v>7466</v>
      </c>
      <c r="K2287" s="156" t="s">
        <v>7471</v>
      </c>
      <c r="L2287" s="18" t="s">
        <v>7472</v>
      </c>
      <c r="M2287" s="18" t="s">
        <v>7473</v>
      </c>
      <c r="N2287" s="16">
        <v>0</v>
      </c>
      <c r="O2287" s="16">
        <v>15</v>
      </c>
      <c r="P2287" s="16">
        <v>15</v>
      </c>
      <c r="Q2287" s="16">
        <v>15</v>
      </c>
      <c r="R2287" s="16">
        <v>15</v>
      </c>
      <c r="S2287" s="16">
        <v>15</v>
      </c>
      <c r="T2287" s="18" t="s">
        <v>921</v>
      </c>
      <c r="U2287" t="str">
        <f>VLOOKUP(T2287,[8]Votes!$A$1:$E$234,3,FALSE)</f>
        <v>008 Ministry of Finance, Planning &amp; Economic Dev.</v>
      </c>
      <c r="W2287" s="48"/>
      <c r="X2287" s="48"/>
      <c r="Y2287" s="48"/>
      <c r="Z2287" s="48"/>
      <c r="AA2287" s="48"/>
      <c r="AB2287" s="48"/>
      <c r="AC2287" s="150">
        <v>0</v>
      </c>
      <c r="AD2287" s="150">
        <v>0</v>
      </c>
      <c r="AE2287" s="49">
        <f t="shared" si="121"/>
        <v>0</v>
      </c>
      <c r="AF2287" s="17"/>
      <c r="AG2287" s="17">
        <v>0</v>
      </c>
      <c r="AH2287" s="17"/>
      <c r="AI2287" s="17"/>
      <c r="AJ2287" s="17"/>
      <c r="AK2287" s="154"/>
      <c r="AL2287" s="154"/>
      <c r="AM2287" s="17">
        <f t="shared" si="122"/>
        <v>0</v>
      </c>
    </row>
    <row r="2288" spans="1:41" s="18" customFormat="1" ht="15" customHeight="1" x14ac:dyDescent="0.3">
      <c r="A2288" s="207" t="s">
        <v>7397</v>
      </c>
      <c r="B2288" s="18" t="s">
        <v>7398</v>
      </c>
      <c r="C2288" s="207" t="s">
        <v>7400</v>
      </c>
      <c r="D2288" s="18" t="s">
        <v>7401</v>
      </c>
      <c r="E2288" s="207" t="s">
        <v>7402</v>
      </c>
      <c r="F2288" s="18" t="s">
        <v>7403</v>
      </c>
      <c r="G2288" s="207" t="s">
        <v>7404</v>
      </c>
      <c r="H2288" s="18" t="s">
        <v>7405</v>
      </c>
      <c r="I2288" s="156" t="s">
        <v>7474</v>
      </c>
      <c r="J2288" s="18" t="s">
        <v>7475</v>
      </c>
      <c r="K2288" s="359" t="s">
        <v>7476</v>
      </c>
      <c r="L2288" s="18" t="s">
        <v>7477</v>
      </c>
      <c r="M2288" s="18" t="s">
        <v>7478</v>
      </c>
      <c r="N2288" s="16">
        <v>0</v>
      </c>
      <c r="O2288" s="16">
        <v>0</v>
      </c>
      <c r="P2288" s="16">
        <v>0</v>
      </c>
      <c r="Q2288" s="16">
        <v>0</v>
      </c>
      <c r="R2288" s="16">
        <v>0</v>
      </c>
      <c r="S2288" s="16">
        <v>1</v>
      </c>
      <c r="T2288" s="18" t="s">
        <v>921</v>
      </c>
      <c r="U2288" t="str">
        <f>VLOOKUP(T2288,[8]Votes!$A$1:$E$234,3,FALSE)</f>
        <v>008 Ministry of Finance, Planning &amp; Economic Dev.</v>
      </c>
      <c r="V2288" s="18" t="s">
        <v>7479</v>
      </c>
      <c r="W2288" s="48">
        <v>1</v>
      </c>
      <c r="X2288" s="48">
        <v>1</v>
      </c>
      <c r="Y2288" s="48">
        <v>0</v>
      </c>
      <c r="Z2288" s="48">
        <v>1</v>
      </c>
      <c r="AA2288" s="48">
        <v>1</v>
      </c>
      <c r="AB2288" s="48">
        <v>1</v>
      </c>
      <c r="AC2288" s="150">
        <v>0</v>
      </c>
      <c r="AD2288" s="150">
        <v>1</v>
      </c>
      <c r="AE2288" s="49">
        <f t="shared" si="121"/>
        <v>0.75</v>
      </c>
      <c r="AF2288" s="255"/>
      <c r="AG2288" s="17">
        <v>0</v>
      </c>
      <c r="AH2288" s="255">
        <v>1.0149999999999999</v>
      </c>
      <c r="AI2288" s="255">
        <v>1.0149999999999999</v>
      </c>
      <c r="AJ2288" s="255">
        <v>1.0149999999999999</v>
      </c>
      <c r="AK2288" s="256">
        <v>1.0149999999999999</v>
      </c>
      <c r="AL2288" s="256">
        <v>1.0149999999999999</v>
      </c>
      <c r="AM2288" s="17">
        <f t="shared" si="122"/>
        <v>2.0299999999999998</v>
      </c>
      <c r="AN2288" s="18" t="s">
        <v>921</v>
      </c>
      <c r="AO2288" s="18" t="s">
        <v>880</v>
      </c>
    </row>
    <row r="2289" spans="1:42" s="18" customFormat="1" ht="15" customHeight="1" x14ac:dyDescent="0.3">
      <c r="A2289" s="207" t="s">
        <v>7397</v>
      </c>
      <c r="B2289" s="18" t="s">
        <v>7398</v>
      </c>
      <c r="C2289" s="207" t="s">
        <v>7400</v>
      </c>
      <c r="D2289" s="18" t="s">
        <v>7401</v>
      </c>
      <c r="E2289" s="207" t="s">
        <v>7402</v>
      </c>
      <c r="F2289" s="18" t="s">
        <v>7403</v>
      </c>
      <c r="G2289" s="207" t="s">
        <v>7404</v>
      </c>
      <c r="H2289" s="18" t="s">
        <v>7405</v>
      </c>
      <c r="I2289" s="156" t="s">
        <v>7474</v>
      </c>
      <c r="J2289" s="18" t="s">
        <v>7475</v>
      </c>
      <c r="K2289" s="359" t="s">
        <v>7480</v>
      </c>
      <c r="L2289" s="18" t="s">
        <v>7481</v>
      </c>
      <c r="M2289" s="18" t="s">
        <v>7482</v>
      </c>
      <c r="N2289" s="16">
        <v>0</v>
      </c>
      <c r="O2289" s="16">
        <v>30</v>
      </c>
      <c r="P2289" s="16">
        <v>50</v>
      </c>
      <c r="Q2289" s="16">
        <v>60</v>
      </c>
      <c r="R2289" s="16">
        <v>70</v>
      </c>
      <c r="S2289" s="16">
        <v>80</v>
      </c>
      <c r="T2289" s="18" t="s">
        <v>921</v>
      </c>
      <c r="U2289" t="str">
        <f>VLOOKUP(T2289,[8]Votes!$A$1:$E$234,3,FALSE)</f>
        <v>008 Ministry of Finance, Planning &amp; Economic Dev.</v>
      </c>
      <c r="V2289" s="18" t="s">
        <v>7483</v>
      </c>
      <c r="W2289" s="48">
        <v>1</v>
      </c>
      <c r="X2289" s="48">
        <v>1</v>
      </c>
      <c r="Y2289" s="48">
        <v>0</v>
      </c>
      <c r="Z2289" s="48">
        <v>1</v>
      </c>
      <c r="AA2289" s="48">
        <v>1</v>
      </c>
      <c r="AB2289" s="48">
        <v>0</v>
      </c>
      <c r="AC2289" s="150">
        <v>1</v>
      </c>
      <c r="AD2289" s="150">
        <v>1</v>
      </c>
      <c r="AE2289" s="49">
        <f t="shared" si="121"/>
        <v>0.75</v>
      </c>
      <c r="AF2289" s="255"/>
      <c r="AG2289" s="17">
        <v>0</v>
      </c>
      <c r="AH2289" s="255">
        <v>0.10150000000000001</v>
      </c>
      <c r="AI2289" s="255">
        <v>0.10150000000000001</v>
      </c>
      <c r="AJ2289" s="255">
        <v>0.10150000000000001</v>
      </c>
      <c r="AK2289" s="256">
        <v>0.10150000000000001</v>
      </c>
      <c r="AL2289" s="256">
        <v>0.4</v>
      </c>
      <c r="AM2289" s="17">
        <f t="shared" si="122"/>
        <v>0.50150000000000006</v>
      </c>
      <c r="AN2289" s="18" t="s">
        <v>921</v>
      </c>
      <c r="AO2289" s="18" t="s">
        <v>880</v>
      </c>
    </row>
    <row r="2290" spans="1:42" s="18" customFormat="1" ht="15" customHeight="1" x14ac:dyDescent="0.3">
      <c r="A2290" s="207" t="s">
        <v>7397</v>
      </c>
      <c r="B2290" s="18" t="s">
        <v>7398</v>
      </c>
      <c r="C2290" s="207" t="s">
        <v>7400</v>
      </c>
      <c r="D2290" s="18" t="s">
        <v>7401</v>
      </c>
      <c r="E2290" s="207" t="s">
        <v>7402</v>
      </c>
      <c r="F2290" s="18" t="s">
        <v>7403</v>
      </c>
      <c r="G2290" s="207" t="s">
        <v>7404</v>
      </c>
      <c r="H2290" s="18" t="s">
        <v>7405</v>
      </c>
      <c r="I2290" s="156" t="s">
        <v>7474</v>
      </c>
      <c r="J2290" s="18" t="s">
        <v>7475</v>
      </c>
      <c r="K2290" s="359" t="s">
        <v>7484</v>
      </c>
      <c r="L2290" s="18" t="s">
        <v>7485</v>
      </c>
      <c r="M2290" s="18" t="s">
        <v>7486</v>
      </c>
      <c r="N2290" s="16">
        <v>0</v>
      </c>
      <c r="O2290" s="16">
        <v>70</v>
      </c>
      <c r="P2290" s="16">
        <v>85</v>
      </c>
      <c r="Q2290" s="16">
        <v>90</v>
      </c>
      <c r="R2290" s="16">
        <v>95</v>
      </c>
      <c r="S2290" s="16">
        <v>100</v>
      </c>
      <c r="T2290" s="18" t="s">
        <v>831</v>
      </c>
      <c r="U2290" t="str">
        <f>VLOOKUP(T2290,[8]Votes!$A$1:$E$234,3,FALSE)</f>
        <v>108 National Planning Authority</v>
      </c>
      <c r="V2290" s="18" t="s">
        <v>7487</v>
      </c>
      <c r="W2290" s="48">
        <v>1</v>
      </c>
      <c r="X2290" s="48">
        <v>1</v>
      </c>
      <c r="Y2290" s="48">
        <v>0</v>
      </c>
      <c r="Z2290" s="48">
        <v>1</v>
      </c>
      <c r="AA2290" s="48">
        <v>1</v>
      </c>
      <c r="AB2290" s="48">
        <v>0</v>
      </c>
      <c r="AC2290" s="150">
        <v>1</v>
      </c>
      <c r="AD2290" s="150">
        <v>1</v>
      </c>
      <c r="AE2290" s="49">
        <f t="shared" si="121"/>
        <v>0.75</v>
      </c>
      <c r="AF2290" s="255"/>
      <c r="AG2290" s="17">
        <v>0</v>
      </c>
      <c r="AH2290" s="255">
        <v>5.8</v>
      </c>
      <c r="AI2290" s="255">
        <v>5.8</v>
      </c>
      <c r="AJ2290" s="255">
        <v>5.8</v>
      </c>
      <c r="AK2290" s="256">
        <v>5.8</v>
      </c>
      <c r="AL2290" s="256">
        <v>5.8</v>
      </c>
      <c r="AM2290" s="17">
        <f t="shared" si="122"/>
        <v>11.6</v>
      </c>
      <c r="AN2290" s="18" t="s">
        <v>831</v>
      </c>
      <c r="AO2290" s="18" t="s">
        <v>834</v>
      </c>
    </row>
    <row r="2291" spans="1:42" s="18" customFormat="1" ht="15" customHeight="1" x14ac:dyDescent="0.3">
      <c r="A2291" s="207" t="s">
        <v>7397</v>
      </c>
      <c r="B2291" s="18" t="s">
        <v>7398</v>
      </c>
      <c r="C2291" s="207" t="s">
        <v>7400</v>
      </c>
      <c r="D2291" s="18" t="s">
        <v>7401</v>
      </c>
      <c r="E2291" s="207" t="s">
        <v>7402</v>
      </c>
      <c r="F2291" s="18" t="s">
        <v>7403</v>
      </c>
      <c r="G2291" s="208" t="s">
        <v>7488</v>
      </c>
      <c r="H2291" s="18" t="s">
        <v>7489</v>
      </c>
      <c r="I2291" s="156" t="s">
        <v>7490</v>
      </c>
      <c r="J2291" s="18" t="s">
        <v>7491</v>
      </c>
      <c r="K2291" s="156" t="s">
        <v>7492</v>
      </c>
      <c r="L2291" s="18" t="s">
        <v>7493</v>
      </c>
      <c r="M2291" s="18" t="s">
        <v>7494</v>
      </c>
      <c r="N2291" s="16">
        <v>0</v>
      </c>
      <c r="O2291" s="16">
        <v>25</v>
      </c>
      <c r="P2291" s="16">
        <v>50</v>
      </c>
      <c r="Q2291" s="16">
        <v>75</v>
      </c>
      <c r="R2291" s="16">
        <v>100</v>
      </c>
      <c r="S2291" s="16">
        <v>100</v>
      </c>
      <c r="T2291" s="18" t="s">
        <v>7495</v>
      </c>
      <c r="U2291" t="e">
        <f>VLOOKUP(T2291,[8]Votes!$A$1:$E$234,3,FALSE)</f>
        <v>#N/A</v>
      </c>
      <c r="V2291" s="18" t="s">
        <v>7496</v>
      </c>
      <c r="W2291" s="48">
        <v>1</v>
      </c>
      <c r="X2291" s="48">
        <v>1</v>
      </c>
      <c r="Y2291" s="48">
        <v>1</v>
      </c>
      <c r="Z2291" s="48">
        <v>1</v>
      </c>
      <c r="AA2291" s="48">
        <v>1</v>
      </c>
      <c r="AB2291" s="48">
        <v>1</v>
      </c>
      <c r="AC2291" s="150">
        <v>1</v>
      </c>
      <c r="AD2291" s="150">
        <v>1</v>
      </c>
      <c r="AE2291" s="49">
        <f t="shared" si="121"/>
        <v>1</v>
      </c>
      <c r="AF2291" s="255"/>
      <c r="AG2291" s="17">
        <v>0</v>
      </c>
      <c r="AH2291" s="255">
        <v>560</v>
      </c>
      <c r="AI2291" s="255">
        <v>260</v>
      </c>
      <c r="AJ2291" s="255">
        <v>350</v>
      </c>
      <c r="AK2291" s="256">
        <v>0</v>
      </c>
      <c r="AL2291" s="256">
        <v>0</v>
      </c>
      <c r="AM2291" s="17">
        <f t="shared" si="122"/>
        <v>0</v>
      </c>
      <c r="AN2291" s="18" t="s">
        <v>255</v>
      </c>
      <c r="AO2291" s="18" t="s">
        <v>1045</v>
      </c>
      <c r="AP2291" s="18" t="s">
        <v>982</v>
      </c>
    </row>
    <row r="2292" spans="1:42" s="18" customFormat="1" ht="15" customHeight="1" x14ac:dyDescent="0.3">
      <c r="A2292" s="207" t="s">
        <v>7397</v>
      </c>
      <c r="B2292" s="18" t="s">
        <v>7398</v>
      </c>
      <c r="C2292" s="207" t="s">
        <v>7400</v>
      </c>
      <c r="D2292" s="18" t="s">
        <v>7401</v>
      </c>
      <c r="E2292" s="207" t="s">
        <v>7402</v>
      </c>
      <c r="F2292" s="18" t="s">
        <v>7403</v>
      </c>
      <c r="G2292" s="208" t="s">
        <v>7497</v>
      </c>
      <c r="H2292" s="18" t="s">
        <v>7498</v>
      </c>
      <c r="I2292" s="156" t="s">
        <v>7499</v>
      </c>
      <c r="J2292" s="18" t="s">
        <v>7498</v>
      </c>
      <c r="K2292" s="156" t="s">
        <v>7500</v>
      </c>
      <c r="L2292" s="18" t="s">
        <v>7501</v>
      </c>
      <c r="M2292" s="18" t="s">
        <v>7502</v>
      </c>
      <c r="N2292" s="16">
        <v>0</v>
      </c>
      <c r="O2292" s="16">
        <v>0</v>
      </c>
      <c r="P2292" s="16">
        <v>1</v>
      </c>
      <c r="Q2292" s="16">
        <v>0</v>
      </c>
      <c r="R2292" s="16">
        <v>0</v>
      </c>
      <c r="S2292" s="16">
        <v>0</v>
      </c>
      <c r="T2292" s="18" t="s">
        <v>831</v>
      </c>
      <c r="U2292" t="str">
        <f>VLOOKUP(T2292,[8]Votes!$A$1:$E$234,3,FALSE)</f>
        <v>108 National Planning Authority</v>
      </c>
      <c r="V2292" s="18" t="s">
        <v>7503</v>
      </c>
      <c r="W2292" s="48">
        <v>1</v>
      </c>
      <c r="X2292" s="48">
        <v>1</v>
      </c>
      <c r="Y2292" s="48">
        <v>1</v>
      </c>
      <c r="Z2292" s="48">
        <v>1</v>
      </c>
      <c r="AA2292" s="48">
        <v>1</v>
      </c>
      <c r="AB2292" s="48">
        <v>0</v>
      </c>
      <c r="AC2292" s="150">
        <v>1</v>
      </c>
      <c r="AD2292" s="150">
        <v>1</v>
      </c>
      <c r="AE2292" s="49">
        <f t="shared" si="121"/>
        <v>0.875</v>
      </c>
      <c r="AF2292" s="255"/>
      <c r="AG2292" s="17">
        <v>0</v>
      </c>
      <c r="AH2292" s="255">
        <v>1.45</v>
      </c>
      <c r="AI2292" s="255">
        <v>0.72499999999999998</v>
      </c>
      <c r="AJ2292" s="255">
        <v>0</v>
      </c>
      <c r="AK2292" s="256">
        <v>0.2</v>
      </c>
      <c r="AL2292" s="256">
        <v>0.15</v>
      </c>
      <c r="AM2292" s="17">
        <f t="shared" si="122"/>
        <v>0.35</v>
      </c>
      <c r="AN2292" s="18" t="s">
        <v>831</v>
      </c>
      <c r="AO2292" s="18" t="s">
        <v>834</v>
      </c>
    </row>
    <row r="2293" spans="1:42" s="18" customFormat="1" ht="15" hidden="1" customHeight="1" x14ac:dyDescent="0.3">
      <c r="A2293" s="207" t="s">
        <v>7397</v>
      </c>
      <c r="B2293" s="18" t="s">
        <v>7398</v>
      </c>
      <c r="C2293" s="207" t="s">
        <v>7400</v>
      </c>
      <c r="D2293" s="18" t="s">
        <v>7401</v>
      </c>
      <c r="E2293" s="207" t="s">
        <v>7402</v>
      </c>
      <c r="F2293" s="18" t="s">
        <v>7403</v>
      </c>
      <c r="G2293" s="208" t="s">
        <v>7504</v>
      </c>
      <c r="H2293" s="18" t="s">
        <v>7505</v>
      </c>
      <c r="I2293" s="156" t="s">
        <v>7504</v>
      </c>
      <c r="J2293" s="18" t="s">
        <v>7505</v>
      </c>
      <c r="K2293" s="156" t="s">
        <v>7506</v>
      </c>
      <c r="L2293" s="18" t="s">
        <v>7507</v>
      </c>
      <c r="M2293" s="18" t="s">
        <v>7508</v>
      </c>
      <c r="N2293" s="16">
        <v>0</v>
      </c>
      <c r="O2293" s="16">
        <v>50</v>
      </c>
      <c r="P2293" s="16">
        <v>60</v>
      </c>
      <c r="Q2293" s="16">
        <v>75</v>
      </c>
      <c r="R2293" s="16">
        <v>80</v>
      </c>
      <c r="S2293" s="16">
        <v>100</v>
      </c>
      <c r="T2293" s="18" t="s">
        <v>921</v>
      </c>
      <c r="U2293" t="str">
        <f>VLOOKUP(T2293,[8]Votes!$A$1:$E$234,3,FALSE)</f>
        <v>008 Ministry of Finance, Planning &amp; Economic Dev.</v>
      </c>
      <c r="W2293" s="48"/>
      <c r="X2293" s="48"/>
      <c r="Y2293" s="48"/>
      <c r="Z2293" s="48"/>
      <c r="AA2293" s="48"/>
      <c r="AB2293" s="48"/>
      <c r="AC2293" s="150">
        <v>0</v>
      </c>
      <c r="AD2293" s="150">
        <v>0</v>
      </c>
      <c r="AE2293" s="49">
        <f t="shared" si="121"/>
        <v>0</v>
      </c>
      <c r="AF2293" s="17"/>
      <c r="AG2293" s="17">
        <v>0</v>
      </c>
      <c r="AH2293" s="17"/>
      <c r="AI2293" s="17"/>
      <c r="AJ2293" s="17"/>
      <c r="AK2293" s="154"/>
      <c r="AL2293" s="154"/>
      <c r="AM2293" s="17">
        <f t="shared" si="122"/>
        <v>0</v>
      </c>
    </row>
    <row r="2294" spans="1:42" s="18" customFormat="1" ht="15" customHeight="1" x14ac:dyDescent="0.3">
      <c r="A2294" s="207" t="s">
        <v>7397</v>
      </c>
      <c r="B2294" s="18" t="s">
        <v>7398</v>
      </c>
      <c r="C2294" s="207" t="s">
        <v>7400</v>
      </c>
      <c r="D2294" s="18" t="s">
        <v>7401</v>
      </c>
      <c r="E2294" s="207" t="s">
        <v>7402</v>
      </c>
      <c r="F2294" s="18" t="s">
        <v>7403</v>
      </c>
      <c r="G2294" s="208" t="s">
        <v>7504</v>
      </c>
      <c r="H2294" s="18" t="s">
        <v>7505</v>
      </c>
      <c r="I2294" s="156" t="s">
        <v>7509</v>
      </c>
      <c r="J2294" s="18" t="s">
        <v>7510</v>
      </c>
      <c r="K2294" s="156" t="s">
        <v>7511</v>
      </c>
      <c r="L2294" s="18" t="s">
        <v>7512</v>
      </c>
      <c r="M2294" s="18" t="s">
        <v>7513</v>
      </c>
      <c r="N2294" s="16">
        <v>0</v>
      </c>
      <c r="O2294" s="16">
        <v>20</v>
      </c>
      <c r="P2294" s="16">
        <v>40</v>
      </c>
      <c r="Q2294" s="16">
        <v>60</v>
      </c>
      <c r="R2294" s="16">
        <v>80</v>
      </c>
      <c r="S2294" s="16">
        <v>100</v>
      </c>
      <c r="T2294" s="18" t="s">
        <v>1452</v>
      </c>
      <c r="U2294" t="str">
        <f>VLOOKUP(T2294,[8]Votes!$A$1:$E$234,3,FALSE)</f>
        <v>153 Public Procurement and Disposal of Public Assets Authority</v>
      </c>
      <c r="V2294" s="18" t="s">
        <v>7514</v>
      </c>
      <c r="W2294" s="48">
        <v>1</v>
      </c>
      <c r="X2294" s="48">
        <v>1</v>
      </c>
      <c r="Y2294" s="48">
        <v>0</v>
      </c>
      <c r="Z2294" s="48">
        <v>1</v>
      </c>
      <c r="AA2294" s="48">
        <v>1</v>
      </c>
      <c r="AB2294" s="48">
        <v>1</v>
      </c>
      <c r="AC2294" s="150">
        <v>0</v>
      </c>
      <c r="AD2294" s="150">
        <v>1</v>
      </c>
      <c r="AE2294" s="49">
        <f t="shared" si="121"/>
        <v>0.75</v>
      </c>
      <c r="AF2294" s="255"/>
      <c r="AG2294" s="17">
        <v>0</v>
      </c>
      <c r="AH2294" s="255">
        <v>0.28999999999999998</v>
      </c>
      <c r="AI2294" s="255">
        <v>0.36249999999999999</v>
      </c>
      <c r="AJ2294" s="255">
        <v>0.435</v>
      </c>
      <c r="AK2294" s="256">
        <v>0.57999999999999996</v>
      </c>
      <c r="AL2294" s="256">
        <v>0.59</v>
      </c>
      <c r="AM2294" s="17">
        <f t="shared" si="122"/>
        <v>1.17</v>
      </c>
      <c r="AN2294" s="18" t="s">
        <v>1452</v>
      </c>
      <c r="AO2294" s="18" t="s">
        <v>5363</v>
      </c>
    </row>
    <row r="2295" spans="1:42" s="18" customFormat="1" ht="15" hidden="1" customHeight="1" x14ac:dyDescent="0.3">
      <c r="A2295" s="207" t="s">
        <v>7397</v>
      </c>
      <c r="B2295" s="18" t="s">
        <v>7398</v>
      </c>
      <c r="C2295" s="207" t="s">
        <v>7400</v>
      </c>
      <c r="D2295" s="18" t="s">
        <v>7401</v>
      </c>
      <c r="E2295" s="207" t="s">
        <v>7402</v>
      </c>
      <c r="F2295" s="18" t="s">
        <v>7403</v>
      </c>
      <c r="G2295" s="208" t="s">
        <v>7504</v>
      </c>
      <c r="H2295" s="18" t="s">
        <v>7505</v>
      </c>
      <c r="I2295" s="156" t="s">
        <v>7509</v>
      </c>
      <c r="J2295" s="18" t="s">
        <v>7510</v>
      </c>
      <c r="K2295" s="156" t="s">
        <v>7515</v>
      </c>
      <c r="L2295" s="18" t="s">
        <v>7516</v>
      </c>
      <c r="M2295" s="18" t="s">
        <v>7517</v>
      </c>
      <c r="N2295" s="16">
        <v>50</v>
      </c>
      <c r="O2295" s="16">
        <v>60</v>
      </c>
      <c r="P2295" s="16">
        <v>70</v>
      </c>
      <c r="Q2295" s="16">
        <v>80</v>
      </c>
      <c r="R2295" s="16">
        <v>90</v>
      </c>
      <c r="S2295" s="16">
        <v>100</v>
      </c>
      <c r="T2295" s="18" t="s">
        <v>921</v>
      </c>
      <c r="U2295" t="str">
        <f>VLOOKUP(T2295,[8]Votes!$A$1:$E$234,3,FALSE)</f>
        <v>008 Ministry of Finance, Planning &amp; Economic Dev.</v>
      </c>
      <c r="V2295" s="18" t="s">
        <v>7518</v>
      </c>
      <c r="W2295" s="48">
        <v>1</v>
      </c>
      <c r="X2295" s="48">
        <v>0</v>
      </c>
      <c r="Y2295" s="48">
        <v>0</v>
      </c>
      <c r="Z2295" s="48">
        <v>1</v>
      </c>
      <c r="AA2295" s="48">
        <v>1</v>
      </c>
      <c r="AB2295" s="48">
        <v>0</v>
      </c>
      <c r="AC2295" s="150">
        <v>0</v>
      </c>
      <c r="AD2295" s="150">
        <v>1</v>
      </c>
      <c r="AE2295" s="49">
        <f t="shared" si="121"/>
        <v>0.5</v>
      </c>
      <c r="AF2295" s="255"/>
      <c r="AG2295" s="17">
        <v>0</v>
      </c>
      <c r="AH2295" s="255">
        <v>0</v>
      </c>
      <c r="AI2295" s="255">
        <v>0.435</v>
      </c>
      <c r="AJ2295" s="255">
        <v>0.435</v>
      </c>
      <c r="AK2295" s="256">
        <v>0</v>
      </c>
      <c r="AL2295" s="256">
        <v>0</v>
      </c>
      <c r="AM2295" s="17">
        <f t="shared" si="122"/>
        <v>0</v>
      </c>
      <c r="AN2295" s="18" t="s">
        <v>921</v>
      </c>
      <c r="AO2295" s="18" t="s">
        <v>880</v>
      </c>
    </row>
    <row r="2296" spans="1:42" s="18" customFormat="1" ht="15" customHeight="1" x14ac:dyDescent="0.3">
      <c r="A2296" s="207" t="s">
        <v>7397</v>
      </c>
      <c r="B2296" s="18" t="s">
        <v>7398</v>
      </c>
      <c r="C2296" s="207" t="s">
        <v>7400</v>
      </c>
      <c r="D2296" s="18" t="s">
        <v>7401</v>
      </c>
      <c r="E2296" s="207" t="s">
        <v>7402</v>
      </c>
      <c r="F2296" s="18" t="s">
        <v>7403</v>
      </c>
      <c r="G2296" s="208" t="s">
        <v>7504</v>
      </c>
      <c r="H2296" s="18" t="s">
        <v>7505</v>
      </c>
      <c r="I2296" s="156" t="s">
        <v>7509</v>
      </c>
      <c r="J2296" s="18" t="s">
        <v>7510</v>
      </c>
      <c r="K2296" s="156" t="s">
        <v>7515</v>
      </c>
      <c r="L2296" s="18" t="s">
        <v>7516</v>
      </c>
      <c r="M2296" s="18" t="s">
        <v>7519</v>
      </c>
      <c r="N2296" s="16">
        <v>0</v>
      </c>
      <c r="O2296" s="16">
        <v>0</v>
      </c>
      <c r="P2296" s="16">
        <v>10</v>
      </c>
      <c r="Q2296" s="16">
        <v>10</v>
      </c>
      <c r="R2296" s="16">
        <v>0</v>
      </c>
      <c r="S2296" s="16">
        <v>0</v>
      </c>
      <c r="T2296" s="18" t="s">
        <v>831</v>
      </c>
      <c r="U2296" t="str">
        <f>VLOOKUP(T2296,[8]Votes!$A$1:$E$234,3,FALSE)</f>
        <v>108 National Planning Authority</v>
      </c>
      <c r="V2296" s="18" t="s">
        <v>7520</v>
      </c>
      <c r="W2296" s="48">
        <v>1</v>
      </c>
      <c r="X2296" s="48">
        <v>1</v>
      </c>
      <c r="Y2296" s="48">
        <v>1</v>
      </c>
      <c r="Z2296" s="48">
        <v>1</v>
      </c>
      <c r="AA2296" s="48">
        <v>1</v>
      </c>
      <c r="AB2296" s="48">
        <v>1</v>
      </c>
      <c r="AC2296" s="150">
        <v>1</v>
      </c>
      <c r="AD2296" s="150">
        <v>1</v>
      </c>
      <c r="AE2296" s="49">
        <f t="shared" si="121"/>
        <v>1</v>
      </c>
      <c r="AF2296" s="255"/>
      <c r="AG2296" s="17">
        <v>0</v>
      </c>
      <c r="AH2296" s="255">
        <v>0.28999999999999998</v>
      </c>
      <c r="AI2296" s="255">
        <v>1.45</v>
      </c>
      <c r="AJ2296" s="255">
        <v>1.45</v>
      </c>
      <c r="AK2296" s="256">
        <v>5.18</v>
      </c>
      <c r="AL2296" s="256">
        <v>5.45</v>
      </c>
      <c r="AM2296" s="17">
        <f t="shared" si="122"/>
        <v>10.629999999999999</v>
      </c>
      <c r="AN2296" s="18" t="s">
        <v>831</v>
      </c>
      <c r="AO2296" s="18" t="s">
        <v>834</v>
      </c>
      <c r="AP2296" s="18" t="s">
        <v>982</v>
      </c>
    </row>
    <row r="2297" spans="1:42" s="18" customFormat="1" ht="15" customHeight="1" x14ac:dyDescent="0.3">
      <c r="A2297" s="207" t="s">
        <v>7397</v>
      </c>
      <c r="B2297" s="18" t="s">
        <v>7398</v>
      </c>
      <c r="C2297" s="207" t="s">
        <v>7400</v>
      </c>
      <c r="D2297" s="18" t="s">
        <v>7401</v>
      </c>
      <c r="E2297" s="207" t="s">
        <v>7402</v>
      </c>
      <c r="F2297" s="18" t="s">
        <v>7403</v>
      </c>
      <c r="G2297" s="208" t="s">
        <v>7504</v>
      </c>
      <c r="H2297" s="18" t="s">
        <v>7505</v>
      </c>
      <c r="I2297" s="156" t="s">
        <v>7509</v>
      </c>
      <c r="J2297" s="18" t="s">
        <v>7510</v>
      </c>
      <c r="K2297" s="156" t="s">
        <v>7515</v>
      </c>
      <c r="L2297" s="18" t="s">
        <v>7516</v>
      </c>
      <c r="N2297" s="16"/>
      <c r="O2297" s="16"/>
      <c r="P2297" s="16"/>
      <c r="Q2297" s="16"/>
      <c r="R2297" s="16"/>
      <c r="S2297" s="16"/>
      <c r="U2297" t="e">
        <f>VLOOKUP(T2297,[8]Votes!$A$1:$E$234,3,FALSE)</f>
        <v>#N/A</v>
      </c>
      <c r="V2297" s="18" t="s">
        <v>7521</v>
      </c>
      <c r="W2297" s="48">
        <v>1</v>
      </c>
      <c r="X2297" s="48">
        <v>1</v>
      </c>
      <c r="Y2297" s="48">
        <v>0</v>
      </c>
      <c r="Z2297" s="48">
        <v>1</v>
      </c>
      <c r="AA2297" s="48">
        <v>1</v>
      </c>
      <c r="AB2297" s="48">
        <v>1</v>
      </c>
      <c r="AC2297" s="150">
        <v>1</v>
      </c>
      <c r="AD2297" s="150">
        <v>1</v>
      </c>
      <c r="AE2297" s="49">
        <f t="shared" si="121"/>
        <v>0.875</v>
      </c>
      <c r="AF2297" s="255"/>
      <c r="AG2297" s="17">
        <v>0</v>
      </c>
      <c r="AH2297" s="255">
        <v>49.679528222598677</v>
      </c>
      <c r="AI2297" s="255">
        <v>49.679528222598677</v>
      </c>
      <c r="AJ2297" s="255">
        <v>49.679528222598677</v>
      </c>
      <c r="AK2297" s="256">
        <v>0</v>
      </c>
      <c r="AL2297" s="256">
        <v>0</v>
      </c>
      <c r="AM2297" s="17">
        <f t="shared" si="122"/>
        <v>0</v>
      </c>
      <c r="AN2297" s="18" t="s">
        <v>2168</v>
      </c>
      <c r="AO2297" s="18" t="e">
        <v>#N/A</v>
      </c>
      <c r="AP2297" s="18" t="s">
        <v>7522</v>
      </c>
    </row>
    <row r="2298" spans="1:42" s="18" customFormat="1" hidden="1" x14ac:dyDescent="0.3">
      <c r="A2298" s="207" t="s">
        <v>7397</v>
      </c>
      <c r="B2298" s="18" t="s">
        <v>7398</v>
      </c>
      <c r="C2298" s="207" t="s">
        <v>7400</v>
      </c>
      <c r="D2298" s="18" t="s">
        <v>7401</v>
      </c>
      <c r="E2298" s="207" t="s">
        <v>7402</v>
      </c>
      <c r="F2298" s="18" t="s">
        <v>7403</v>
      </c>
      <c r="G2298" s="208" t="s">
        <v>7504</v>
      </c>
      <c r="H2298" s="18" t="s">
        <v>7505</v>
      </c>
      <c r="I2298" s="156" t="s">
        <v>7509</v>
      </c>
      <c r="J2298" s="18" t="s">
        <v>7510</v>
      </c>
      <c r="K2298" s="156" t="s">
        <v>7523</v>
      </c>
      <c r="L2298" s="18" t="s">
        <v>7524</v>
      </c>
      <c r="M2298" s="18" t="s">
        <v>7524</v>
      </c>
      <c r="N2298" s="16">
        <v>0</v>
      </c>
      <c r="O2298" s="16">
        <v>0</v>
      </c>
      <c r="P2298" s="16">
        <v>1</v>
      </c>
      <c r="Q2298" s="16">
        <v>0</v>
      </c>
      <c r="R2298" s="16">
        <v>0</v>
      </c>
      <c r="S2298" s="16">
        <v>0</v>
      </c>
      <c r="T2298" s="18" t="s">
        <v>921</v>
      </c>
      <c r="U2298" t="str">
        <f>VLOOKUP(T2298,[8]Votes!$A$1:$E$234,3,FALSE)</f>
        <v>008 Ministry of Finance, Planning &amp; Economic Dev.</v>
      </c>
      <c r="V2298" s="18" t="s">
        <v>7525</v>
      </c>
      <c r="W2298" s="48">
        <v>1</v>
      </c>
      <c r="X2298" s="48">
        <v>1</v>
      </c>
      <c r="Y2298" s="48">
        <v>0</v>
      </c>
      <c r="Z2298" s="48">
        <v>1</v>
      </c>
      <c r="AA2298" s="48">
        <v>0</v>
      </c>
      <c r="AB2298" s="48">
        <v>1</v>
      </c>
      <c r="AC2298" s="150">
        <v>0</v>
      </c>
      <c r="AD2298" s="150">
        <v>1</v>
      </c>
      <c r="AE2298" s="49">
        <f t="shared" si="121"/>
        <v>0.625</v>
      </c>
      <c r="AF2298" s="255"/>
      <c r="AG2298" s="17">
        <v>1</v>
      </c>
      <c r="AH2298" s="255">
        <v>0</v>
      </c>
      <c r="AI2298" s="255">
        <v>1.2469999999999999</v>
      </c>
      <c r="AJ2298" s="255">
        <v>1.0149999999999999</v>
      </c>
      <c r="AK2298" s="256">
        <v>0</v>
      </c>
      <c r="AL2298" s="256">
        <v>0</v>
      </c>
      <c r="AM2298" s="17">
        <f t="shared" si="122"/>
        <v>0</v>
      </c>
      <c r="AN2298" s="18" t="s">
        <v>921</v>
      </c>
      <c r="AO2298" s="18" t="s">
        <v>880</v>
      </c>
    </row>
    <row r="2299" spans="1:42" s="18" customFormat="1" ht="15" hidden="1" customHeight="1" x14ac:dyDescent="0.3">
      <c r="A2299" s="207" t="s">
        <v>7397</v>
      </c>
      <c r="B2299" s="18" t="s">
        <v>7398</v>
      </c>
      <c r="C2299" s="207" t="s">
        <v>7400</v>
      </c>
      <c r="D2299" s="18" t="s">
        <v>7401</v>
      </c>
      <c r="E2299" s="207" t="s">
        <v>7402</v>
      </c>
      <c r="F2299" s="18" t="s">
        <v>7403</v>
      </c>
      <c r="G2299" s="208" t="s">
        <v>7504</v>
      </c>
      <c r="H2299" s="18" t="s">
        <v>7505</v>
      </c>
      <c r="I2299" s="156" t="s">
        <v>7509</v>
      </c>
      <c r="J2299" s="18" t="s">
        <v>7510</v>
      </c>
      <c r="K2299" s="156" t="s">
        <v>7526</v>
      </c>
      <c r="L2299" s="18" t="s">
        <v>7527</v>
      </c>
      <c r="M2299" s="18" t="s">
        <v>7528</v>
      </c>
      <c r="N2299" s="16">
        <v>0</v>
      </c>
      <c r="O2299" s="16">
        <v>0</v>
      </c>
      <c r="P2299" s="16">
        <v>0</v>
      </c>
      <c r="Q2299" s="16">
        <v>1</v>
      </c>
      <c r="R2299" s="16">
        <v>0</v>
      </c>
      <c r="S2299" s="16">
        <v>0</v>
      </c>
      <c r="T2299" s="18" t="s">
        <v>921</v>
      </c>
      <c r="U2299" t="str">
        <f>VLOOKUP(T2299,[8]Votes!$A$1:$E$234,3,FALSE)</f>
        <v>008 Ministry of Finance, Planning &amp; Economic Dev.</v>
      </c>
      <c r="V2299" s="18" t="s">
        <v>7529</v>
      </c>
      <c r="W2299" s="48">
        <v>1</v>
      </c>
      <c r="X2299" s="48">
        <v>1</v>
      </c>
      <c r="Y2299" s="48">
        <v>0</v>
      </c>
      <c r="Z2299" s="48">
        <v>0</v>
      </c>
      <c r="AA2299" s="48">
        <v>1</v>
      </c>
      <c r="AB2299" s="48">
        <v>0</v>
      </c>
      <c r="AC2299" s="150">
        <v>1</v>
      </c>
      <c r="AD2299" s="150">
        <v>1</v>
      </c>
      <c r="AE2299" s="49">
        <f t="shared" si="121"/>
        <v>0.625</v>
      </c>
      <c r="AF2299" s="255"/>
      <c r="AG2299" s="17">
        <v>1</v>
      </c>
      <c r="AH2299" s="255">
        <v>0</v>
      </c>
      <c r="AI2299" s="255">
        <v>3.19</v>
      </c>
      <c r="AJ2299" s="255">
        <v>3.19</v>
      </c>
      <c r="AK2299" s="256">
        <v>0</v>
      </c>
      <c r="AL2299" s="256">
        <v>0</v>
      </c>
      <c r="AM2299" s="17">
        <f t="shared" si="122"/>
        <v>0</v>
      </c>
      <c r="AN2299" s="18" t="s">
        <v>921</v>
      </c>
      <c r="AO2299" s="18" t="s">
        <v>880</v>
      </c>
    </row>
    <row r="2300" spans="1:42" s="18" customFormat="1" hidden="1" x14ac:dyDescent="0.3">
      <c r="A2300" s="207" t="s">
        <v>7397</v>
      </c>
      <c r="B2300" s="18" t="s">
        <v>7398</v>
      </c>
      <c r="C2300" s="207" t="s">
        <v>7400</v>
      </c>
      <c r="D2300" s="18" t="s">
        <v>7401</v>
      </c>
      <c r="E2300" s="207" t="s">
        <v>7402</v>
      </c>
      <c r="F2300" s="18" t="s">
        <v>7403</v>
      </c>
      <c r="G2300" s="208" t="s">
        <v>7504</v>
      </c>
      <c r="H2300" s="18" t="s">
        <v>7505</v>
      </c>
      <c r="I2300" s="156" t="s">
        <v>7509</v>
      </c>
      <c r="J2300" s="18" t="s">
        <v>7510</v>
      </c>
      <c r="K2300" s="156" t="s">
        <v>7530</v>
      </c>
      <c r="L2300" s="18" t="s">
        <v>7531</v>
      </c>
      <c r="M2300" s="18" t="s">
        <v>7532</v>
      </c>
      <c r="N2300" s="16">
        <v>1</v>
      </c>
      <c r="O2300" s="16">
        <v>0</v>
      </c>
      <c r="P2300" s="16">
        <v>0</v>
      </c>
      <c r="Q2300" s="16">
        <v>1</v>
      </c>
      <c r="R2300" s="16">
        <v>0</v>
      </c>
      <c r="S2300" s="16">
        <v>0</v>
      </c>
      <c r="T2300" s="18" t="s">
        <v>921</v>
      </c>
      <c r="U2300" t="str">
        <f>VLOOKUP(T2300,[8]Votes!$A$1:$E$234,3,FALSE)</f>
        <v>008 Ministry of Finance, Planning &amp; Economic Dev.</v>
      </c>
      <c r="V2300" s="18" t="s">
        <v>7533</v>
      </c>
      <c r="W2300" s="48">
        <v>1</v>
      </c>
      <c r="X2300" s="48">
        <v>1</v>
      </c>
      <c r="Y2300" s="48">
        <v>0</v>
      </c>
      <c r="Z2300" s="48">
        <v>1</v>
      </c>
      <c r="AA2300" s="48">
        <v>0</v>
      </c>
      <c r="AB2300" s="48">
        <v>0</v>
      </c>
      <c r="AC2300" s="150">
        <v>1</v>
      </c>
      <c r="AD2300" s="150">
        <v>1</v>
      </c>
      <c r="AE2300" s="49">
        <f t="shared" si="121"/>
        <v>0.625</v>
      </c>
      <c r="AF2300" s="255"/>
      <c r="AG2300" s="17">
        <v>0</v>
      </c>
      <c r="AH2300" s="255">
        <v>0</v>
      </c>
      <c r="AI2300" s="255">
        <v>0.435</v>
      </c>
      <c r="AJ2300" s="255">
        <v>0.14499999999999999</v>
      </c>
      <c r="AK2300" s="256">
        <v>0.3</v>
      </c>
      <c r="AL2300" s="256">
        <v>0</v>
      </c>
      <c r="AM2300" s="17">
        <f t="shared" si="122"/>
        <v>0.3</v>
      </c>
      <c r="AN2300" s="18" t="s">
        <v>921</v>
      </c>
      <c r="AO2300" s="18" t="s">
        <v>880</v>
      </c>
      <c r="AP2300" s="18" t="s">
        <v>982</v>
      </c>
    </row>
    <row r="2301" spans="1:42" s="18" customFormat="1" hidden="1" x14ac:dyDescent="0.3">
      <c r="A2301" s="207" t="s">
        <v>7397</v>
      </c>
      <c r="B2301" s="18" t="s">
        <v>7398</v>
      </c>
      <c r="C2301" s="207" t="s">
        <v>7400</v>
      </c>
      <c r="D2301" s="18" t="s">
        <v>7401</v>
      </c>
      <c r="E2301" s="207" t="s">
        <v>7402</v>
      </c>
      <c r="F2301" s="18" t="s">
        <v>7403</v>
      </c>
      <c r="G2301" s="208" t="s">
        <v>7504</v>
      </c>
      <c r="H2301" s="18" t="s">
        <v>7505</v>
      </c>
      <c r="I2301" s="156" t="s">
        <v>7509</v>
      </c>
      <c r="J2301" s="18" t="s">
        <v>7510</v>
      </c>
      <c r="K2301" s="156" t="s">
        <v>7534</v>
      </c>
      <c r="L2301" s="18" t="s">
        <v>7535</v>
      </c>
      <c r="M2301" s="18" t="s">
        <v>7536</v>
      </c>
      <c r="N2301" s="16">
        <v>0</v>
      </c>
      <c r="O2301" s="16">
        <v>0</v>
      </c>
      <c r="P2301" s="16">
        <v>12</v>
      </c>
      <c r="Q2301" s="16">
        <v>0</v>
      </c>
      <c r="R2301" s="16">
        <v>12</v>
      </c>
      <c r="S2301" s="16">
        <v>12</v>
      </c>
      <c r="T2301" s="18" t="s">
        <v>1167</v>
      </c>
      <c r="U2301" t="str">
        <f>VLOOKUP(T2301,[8]Votes!$A$1:$E$234,3,FALSE)</f>
        <v>003 Office of the Prime Minister</v>
      </c>
      <c r="V2301" s="18" t="s">
        <v>7537</v>
      </c>
      <c r="W2301" s="48">
        <v>1</v>
      </c>
      <c r="X2301" s="48">
        <v>0</v>
      </c>
      <c r="Y2301" s="48">
        <v>0</v>
      </c>
      <c r="Z2301" s="48">
        <v>1</v>
      </c>
      <c r="AA2301" s="48">
        <v>1</v>
      </c>
      <c r="AB2301" s="48">
        <v>0</v>
      </c>
      <c r="AC2301" s="150">
        <v>0</v>
      </c>
      <c r="AD2301" s="150">
        <v>1</v>
      </c>
      <c r="AE2301" s="49">
        <f t="shared" si="121"/>
        <v>0.5</v>
      </c>
      <c r="AF2301" s="255"/>
      <c r="AG2301" s="17">
        <v>0</v>
      </c>
      <c r="AH2301" s="255">
        <v>0</v>
      </c>
      <c r="AI2301" s="255">
        <v>2.1604999999999999</v>
      </c>
      <c r="AJ2301" s="255">
        <v>2.1604999999999999</v>
      </c>
      <c r="AK2301" s="256">
        <v>4.16</v>
      </c>
      <c r="AL2301" s="256">
        <v>4.16</v>
      </c>
      <c r="AM2301" s="17">
        <f t="shared" si="122"/>
        <v>8.32</v>
      </c>
      <c r="AN2301" s="18" t="s">
        <v>1167</v>
      </c>
      <c r="AO2301" s="18" t="s">
        <v>1170</v>
      </c>
    </row>
    <row r="2302" spans="1:42" s="18" customFormat="1" ht="15" hidden="1" customHeight="1" x14ac:dyDescent="0.3">
      <c r="A2302" s="207" t="s">
        <v>7397</v>
      </c>
      <c r="B2302" s="18" t="s">
        <v>7398</v>
      </c>
      <c r="C2302" s="207" t="s">
        <v>7400</v>
      </c>
      <c r="D2302" s="18" t="s">
        <v>7401</v>
      </c>
      <c r="E2302" s="207" t="s">
        <v>7402</v>
      </c>
      <c r="F2302" s="18" t="s">
        <v>7403</v>
      </c>
      <c r="G2302" s="208" t="s">
        <v>7504</v>
      </c>
      <c r="H2302" s="18" t="s">
        <v>7505</v>
      </c>
      <c r="I2302" s="156" t="s">
        <v>7509</v>
      </c>
      <c r="J2302" s="18" t="s">
        <v>7510</v>
      </c>
      <c r="K2302" s="156" t="s">
        <v>7538</v>
      </c>
      <c r="L2302" s="18" t="s">
        <v>7539</v>
      </c>
      <c r="M2302" s="18" t="s">
        <v>7540</v>
      </c>
      <c r="N2302" s="16">
        <v>0</v>
      </c>
      <c r="O2302" s="16">
        <v>0</v>
      </c>
      <c r="P2302" s="16">
        <v>15</v>
      </c>
      <c r="Q2302" s="16">
        <v>0</v>
      </c>
      <c r="R2302" s="16">
        <v>0</v>
      </c>
      <c r="S2302" s="16">
        <v>0</v>
      </c>
      <c r="T2302" s="18" t="s">
        <v>1167</v>
      </c>
      <c r="U2302" t="str">
        <f>VLOOKUP(T2302,[8]Votes!$A$1:$E$234,3,FALSE)</f>
        <v>003 Office of the Prime Minister</v>
      </c>
      <c r="W2302" s="48"/>
      <c r="X2302" s="48"/>
      <c r="Y2302" s="48"/>
      <c r="Z2302" s="48"/>
      <c r="AA2302" s="48"/>
      <c r="AB2302" s="48"/>
      <c r="AC2302" s="150">
        <v>0</v>
      </c>
      <c r="AD2302" s="150">
        <v>0</v>
      </c>
      <c r="AE2302" s="49">
        <f t="shared" si="121"/>
        <v>0</v>
      </c>
      <c r="AF2302" s="17"/>
      <c r="AG2302" s="17">
        <v>0</v>
      </c>
      <c r="AH2302" s="17"/>
      <c r="AI2302" s="17"/>
      <c r="AJ2302" s="17"/>
      <c r="AK2302" s="154"/>
      <c r="AL2302" s="154"/>
      <c r="AM2302" s="17">
        <f t="shared" si="122"/>
        <v>0</v>
      </c>
    </row>
    <row r="2303" spans="1:42" s="18" customFormat="1" hidden="1" x14ac:dyDescent="0.3">
      <c r="A2303" s="207" t="s">
        <v>7397</v>
      </c>
      <c r="B2303" s="18" t="s">
        <v>7398</v>
      </c>
      <c r="C2303" s="207" t="s">
        <v>7400</v>
      </c>
      <c r="D2303" s="18" t="s">
        <v>7401</v>
      </c>
      <c r="E2303" s="207" t="s">
        <v>7402</v>
      </c>
      <c r="F2303" s="18" t="s">
        <v>7403</v>
      </c>
      <c r="G2303" s="208" t="s">
        <v>7504</v>
      </c>
      <c r="H2303" s="18" t="s">
        <v>7505</v>
      </c>
      <c r="I2303" s="156" t="s">
        <v>7541</v>
      </c>
      <c r="J2303" s="18" t="s">
        <v>7542</v>
      </c>
      <c r="K2303" s="156" t="s">
        <v>7543</v>
      </c>
      <c r="L2303" s="18" t="s">
        <v>7544</v>
      </c>
      <c r="M2303" s="18" t="s">
        <v>7545</v>
      </c>
      <c r="N2303" s="16">
        <v>0</v>
      </c>
      <c r="O2303" s="16">
        <v>0</v>
      </c>
      <c r="P2303" s="16">
        <v>1</v>
      </c>
      <c r="Q2303" s="16">
        <v>0</v>
      </c>
      <c r="R2303" s="16">
        <v>0</v>
      </c>
      <c r="S2303" s="16">
        <v>0</v>
      </c>
      <c r="T2303" s="18" t="s">
        <v>921</v>
      </c>
      <c r="U2303" t="str">
        <f>VLOOKUP(T2303,[8]Votes!$A$1:$E$234,3,FALSE)</f>
        <v>008 Ministry of Finance, Planning &amp; Economic Dev.</v>
      </c>
      <c r="V2303" s="18" t="s">
        <v>7546</v>
      </c>
      <c r="W2303" s="48">
        <v>1</v>
      </c>
      <c r="X2303" s="48">
        <v>0</v>
      </c>
      <c r="Y2303" s="48">
        <v>0</v>
      </c>
      <c r="Z2303" s="48">
        <v>1</v>
      </c>
      <c r="AA2303" s="48">
        <v>1</v>
      </c>
      <c r="AB2303" s="48">
        <v>0</v>
      </c>
      <c r="AC2303" s="150">
        <v>1</v>
      </c>
      <c r="AD2303" s="150">
        <v>1</v>
      </c>
      <c r="AE2303" s="49">
        <f t="shared" si="121"/>
        <v>0.625</v>
      </c>
      <c r="AF2303" s="255"/>
      <c r="AG2303" s="17">
        <v>0</v>
      </c>
      <c r="AH2303" s="255">
        <v>0.2175</v>
      </c>
      <c r="AI2303" s="255">
        <v>0.2175</v>
      </c>
      <c r="AJ2303" s="255">
        <v>0</v>
      </c>
      <c r="AK2303" s="256">
        <v>0.22</v>
      </c>
      <c r="AL2303" s="256">
        <v>0</v>
      </c>
      <c r="AM2303" s="17">
        <f t="shared" si="122"/>
        <v>0.22</v>
      </c>
      <c r="AN2303" s="18" t="s">
        <v>921</v>
      </c>
      <c r="AO2303" s="18" t="s">
        <v>880</v>
      </c>
    </row>
    <row r="2304" spans="1:42" s="18" customFormat="1" hidden="1" x14ac:dyDescent="0.3">
      <c r="A2304" s="207" t="s">
        <v>7397</v>
      </c>
      <c r="B2304" s="18" t="s">
        <v>7398</v>
      </c>
      <c r="C2304" s="207" t="s">
        <v>7400</v>
      </c>
      <c r="D2304" s="18" t="s">
        <v>7401</v>
      </c>
      <c r="E2304" s="207" t="s">
        <v>7402</v>
      </c>
      <c r="F2304" s="18" t="s">
        <v>7403</v>
      </c>
      <c r="G2304" s="208" t="s">
        <v>7504</v>
      </c>
      <c r="H2304" s="18" t="s">
        <v>7505</v>
      </c>
      <c r="I2304" s="156" t="s">
        <v>7547</v>
      </c>
      <c r="J2304" s="18" t="s">
        <v>7548</v>
      </c>
      <c r="K2304" s="156" t="s">
        <v>7549</v>
      </c>
      <c r="L2304" s="18" t="s">
        <v>7550</v>
      </c>
      <c r="M2304" s="18" t="s">
        <v>7551</v>
      </c>
      <c r="N2304" s="16">
        <v>0</v>
      </c>
      <c r="O2304" s="16">
        <v>270</v>
      </c>
      <c r="P2304" s="16">
        <v>280</v>
      </c>
      <c r="Q2304" s="16">
        <v>290</v>
      </c>
      <c r="R2304" s="16">
        <v>300</v>
      </c>
      <c r="S2304" s="16">
        <v>310</v>
      </c>
      <c r="T2304" s="18" t="s">
        <v>921</v>
      </c>
      <c r="U2304" t="str">
        <f>VLOOKUP(T2304,[8]Votes!$A$1:$E$234,3,FALSE)</f>
        <v>008 Ministry of Finance, Planning &amp; Economic Dev.</v>
      </c>
      <c r="V2304" s="18" t="s">
        <v>7552</v>
      </c>
      <c r="W2304" s="48">
        <v>1</v>
      </c>
      <c r="X2304" s="48">
        <v>0</v>
      </c>
      <c r="Y2304" s="48">
        <v>0</v>
      </c>
      <c r="Z2304" s="48">
        <v>1</v>
      </c>
      <c r="AA2304" s="48">
        <v>1</v>
      </c>
      <c r="AB2304" s="48">
        <v>0</v>
      </c>
      <c r="AC2304" s="150">
        <v>1</v>
      </c>
      <c r="AD2304" s="150">
        <v>1</v>
      </c>
      <c r="AE2304" s="49">
        <f t="shared" si="121"/>
        <v>0.625</v>
      </c>
      <c r="AF2304" s="255"/>
      <c r="AG2304" s="17">
        <v>0</v>
      </c>
      <c r="AH2304" s="255">
        <v>0.2175</v>
      </c>
      <c r="AI2304" s="255">
        <v>0.2175</v>
      </c>
      <c r="AJ2304" s="255">
        <v>0.2175</v>
      </c>
      <c r="AK2304" s="256">
        <v>0.2175</v>
      </c>
      <c r="AL2304" s="256">
        <v>0.2175</v>
      </c>
      <c r="AM2304" s="17">
        <f t="shared" si="122"/>
        <v>0.435</v>
      </c>
      <c r="AN2304" s="18" t="s">
        <v>921</v>
      </c>
      <c r="AO2304" s="18" t="s">
        <v>880</v>
      </c>
    </row>
    <row r="2305" spans="1:47" s="18" customFormat="1" hidden="1" x14ac:dyDescent="0.3">
      <c r="A2305" s="207" t="s">
        <v>7397</v>
      </c>
      <c r="B2305" s="18" t="s">
        <v>7398</v>
      </c>
      <c r="C2305" s="207" t="s">
        <v>7400</v>
      </c>
      <c r="D2305" s="18" t="s">
        <v>7401</v>
      </c>
      <c r="E2305" s="207" t="s">
        <v>7402</v>
      </c>
      <c r="F2305" s="18" t="s">
        <v>7403</v>
      </c>
      <c r="G2305" s="208" t="s">
        <v>7504</v>
      </c>
      <c r="H2305" s="18" t="s">
        <v>7505</v>
      </c>
      <c r="I2305" s="156" t="s">
        <v>7553</v>
      </c>
      <c r="J2305" s="18" t="s">
        <v>7554</v>
      </c>
      <c r="K2305" s="156" t="s">
        <v>7555</v>
      </c>
      <c r="L2305" s="18" t="s">
        <v>7556</v>
      </c>
      <c r="M2305" s="18" t="s">
        <v>7557</v>
      </c>
      <c r="N2305" s="16">
        <v>0</v>
      </c>
      <c r="O2305" s="16">
        <v>1</v>
      </c>
      <c r="P2305" s="16">
        <v>1</v>
      </c>
      <c r="Q2305" s="16">
        <v>1</v>
      </c>
      <c r="R2305" s="16">
        <v>1</v>
      </c>
      <c r="S2305" s="16">
        <v>1</v>
      </c>
      <c r="T2305" s="18" t="s">
        <v>921</v>
      </c>
      <c r="U2305" t="str">
        <f>VLOOKUP(T2305,[8]Votes!$A$1:$E$234,3,FALSE)</f>
        <v>008 Ministry of Finance, Planning &amp; Economic Dev.</v>
      </c>
      <c r="V2305" s="18" t="s">
        <v>7558</v>
      </c>
      <c r="W2305" s="48">
        <v>1</v>
      </c>
      <c r="X2305" s="48">
        <v>0</v>
      </c>
      <c r="Y2305" s="48">
        <v>0</v>
      </c>
      <c r="Z2305" s="48">
        <v>1</v>
      </c>
      <c r="AA2305" s="48">
        <v>1</v>
      </c>
      <c r="AB2305" s="48">
        <v>0</v>
      </c>
      <c r="AC2305" s="150">
        <v>1</v>
      </c>
      <c r="AD2305" s="150">
        <v>1</v>
      </c>
      <c r="AE2305" s="49">
        <f t="shared" si="121"/>
        <v>0.625</v>
      </c>
      <c r="AF2305" s="255"/>
      <c r="AG2305" s="17">
        <v>0</v>
      </c>
      <c r="AH2305" s="255">
        <v>0</v>
      </c>
      <c r="AI2305" s="255">
        <v>2.9</v>
      </c>
      <c r="AJ2305" s="255">
        <v>2.1749999999999998</v>
      </c>
      <c r="AK2305" s="256">
        <v>0.45</v>
      </c>
      <c r="AL2305" s="256">
        <v>0.45</v>
      </c>
      <c r="AM2305" s="17">
        <f t="shared" si="122"/>
        <v>0.9</v>
      </c>
      <c r="AN2305" s="18" t="s">
        <v>921</v>
      </c>
      <c r="AO2305" s="18" t="s">
        <v>880</v>
      </c>
    </row>
    <row r="2306" spans="1:47" s="18" customFormat="1" ht="15" customHeight="1" x14ac:dyDescent="0.3">
      <c r="A2306" s="207" t="s">
        <v>7397</v>
      </c>
      <c r="B2306" s="18" t="s">
        <v>7398</v>
      </c>
      <c r="C2306" s="207" t="s">
        <v>7400</v>
      </c>
      <c r="D2306" s="18" t="s">
        <v>7401</v>
      </c>
      <c r="E2306" s="207" t="s">
        <v>7402</v>
      </c>
      <c r="F2306" s="18" t="s">
        <v>7403</v>
      </c>
      <c r="G2306" s="208" t="s">
        <v>7504</v>
      </c>
      <c r="H2306" s="18" t="s">
        <v>7505</v>
      </c>
      <c r="I2306" s="156" t="s">
        <v>7553</v>
      </c>
      <c r="J2306" s="18" t="s">
        <v>7554</v>
      </c>
      <c r="K2306" s="156" t="s">
        <v>7559</v>
      </c>
      <c r="L2306" s="18" t="s">
        <v>7560</v>
      </c>
      <c r="M2306" s="18" t="s">
        <v>7561</v>
      </c>
      <c r="N2306" s="16" t="s">
        <v>7562</v>
      </c>
      <c r="O2306" s="16">
        <v>4</v>
      </c>
      <c r="P2306" s="16">
        <v>4</v>
      </c>
      <c r="Q2306" s="16">
        <v>4</v>
      </c>
      <c r="R2306" s="16">
        <v>4</v>
      </c>
      <c r="S2306" s="16">
        <v>4</v>
      </c>
      <c r="T2306" s="18" t="s">
        <v>1167</v>
      </c>
      <c r="U2306" t="str">
        <f>VLOOKUP(T2306,[8]Votes!$A$1:$E$234,3,FALSE)</f>
        <v>003 Office of the Prime Minister</v>
      </c>
      <c r="V2306" s="18" t="s">
        <v>7563</v>
      </c>
      <c r="W2306" s="48">
        <v>1</v>
      </c>
      <c r="X2306" s="48">
        <v>1</v>
      </c>
      <c r="Y2306" s="48">
        <v>0</v>
      </c>
      <c r="Z2306" s="48">
        <v>1</v>
      </c>
      <c r="AA2306" s="48">
        <v>1</v>
      </c>
      <c r="AB2306" s="48">
        <v>0</v>
      </c>
      <c r="AC2306" s="150">
        <v>1</v>
      </c>
      <c r="AD2306" s="150">
        <v>1</v>
      </c>
      <c r="AE2306" s="49">
        <f t="shared" si="121"/>
        <v>0.75</v>
      </c>
      <c r="AF2306" s="255"/>
      <c r="AG2306" s="17">
        <v>0</v>
      </c>
      <c r="AH2306" s="255">
        <v>0.28999999999999998</v>
      </c>
      <c r="AI2306" s="255">
        <v>0.36249999999999999</v>
      </c>
      <c r="AJ2306" s="255">
        <v>0.435</v>
      </c>
      <c r="AK2306" s="256">
        <v>7.5</v>
      </c>
      <c r="AL2306" s="256">
        <v>7.5</v>
      </c>
      <c r="AM2306" s="17">
        <f t="shared" si="122"/>
        <v>15</v>
      </c>
      <c r="AN2306" s="18" t="s">
        <v>1167</v>
      </c>
      <c r="AO2306" s="18" t="s">
        <v>1170</v>
      </c>
    </row>
    <row r="2307" spans="1:47" s="18" customFormat="1" ht="15" customHeight="1" x14ac:dyDescent="0.3">
      <c r="A2307" s="207" t="s">
        <v>7397</v>
      </c>
      <c r="B2307" s="18" t="s">
        <v>7398</v>
      </c>
      <c r="C2307" s="207" t="s">
        <v>7400</v>
      </c>
      <c r="D2307" s="18" t="s">
        <v>7401</v>
      </c>
      <c r="E2307" s="207" t="s">
        <v>7402</v>
      </c>
      <c r="F2307" s="18" t="s">
        <v>7403</v>
      </c>
      <c r="G2307" s="208" t="s">
        <v>7504</v>
      </c>
      <c r="H2307" s="18" t="s">
        <v>7505</v>
      </c>
      <c r="I2307" s="156" t="s">
        <v>7553</v>
      </c>
      <c r="J2307" s="18" t="s">
        <v>7554</v>
      </c>
      <c r="K2307" s="156" t="s">
        <v>7559</v>
      </c>
      <c r="L2307" s="18" t="s">
        <v>7560</v>
      </c>
      <c r="N2307" s="16"/>
      <c r="O2307" s="16"/>
      <c r="P2307" s="16"/>
      <c r="Q2307" s="16"/>
      <c r="R2307" s="16"/>
      <c r="S2307" s="16"/>
      <c r="T2307" s="18" t="s">
        <v>1167</v>
      </c>
      <c r="U2307" t="str">
        <f>VLOOKUP(T2307,[8]Votes!$A$1:$E$234,3,FALSE)</f>
        <v>003 Office of the Prime Minister</v>
      </c>
      <c r="V2307" s="18" t="s">
        <v>7564</v>
      </c>
      <c r="W2307" s="48">
        <v>1</v>
      </c>
      <c r="X2307" s="48">
        <v>1</v>
      </c>
      <c r="Y2307" s="48">
        <v>0</v>
      </c>
      <c r="Z2307" s="48">
        <v>1</v>
      </c>
      <c r="AA2307" s="48">
        <v>1</v>
      </c>
      <c r="AB2307" s="48">
        <v>0</v>
      </c>
      <c r="AC2307" s="150">
        <v>1</v>
      </c>
      <c r="AD2307" s="150">
        <v>1</v>
      </c>
      <c r="AE2307" s="49">
        <f t="shared" si="121"/>
        <v>0.75</v>
      </c>
      <c r="AF2307" s="255"/>
      <c r="AG2307" s="17">
        <v>0</v>
      </c>
      <c r="AH2307" s="255">
        <v>145</v>
      </c>
      <c r="AI2307" s="255">
        <v>145</v>
      </c>
      <c r="AJ2307" s="255">
        <v>100</v>
      </c>
      <c r="AK2307" s="256">
        <v>10</v>
      </c>
      <c r="AL2307" s="256">
        <v>10</v>
      </c>
      <c r="AM2307" s="17">
        <f t="shared" si="122"/>
        <v>20</v>
      </c>
      <c r="AN2307" s="18" t="s">
        <v>1167</v>
      </c>
      <c r="AO2307" s="18" t="s">
        <v>1170</v>
      </c>
      <c r="AP2307" s="18" t="s">
        <v>2168</v>
      </c>
      <c r="AU2307" s="228"/>
    </row>
    <row r="2308" spans="1:47" s="18" customFormat="1" ht="15" customHeight="1" x14ac:dyDescent="0.3">
      <c r="A2308" s="207" t="s">
        <v>7397</v>
      </c>
      <c r="B2308" s="18" t="s">
        <v>7398</v>
      </c>
      <c r="C2308" s="207" t="s">
        <v>7400</v>
      </c>
      <c r="D2308" s="18" t="s">
        <v>7401</v>
      </c>
      <c r="E2308" s="207" t="s">
        <v>7402</v>
      </c>
      <c r="F2308" s="18" t="s">
        <v>7403</v>
      </c>
      <c r="G2308" s="208" t="s">
        <v>7504</v>
      </c>
      <c r="H2308" s="18" t="s">
        <v>7505</v>
      </c>
      <c r="I2308" s="156" t="s">
        <v>7553</v>
      </c>
      <c r="J2308" s="18" t="s">
        <v>7554</v>
      </c>
      <c r="K2308" s="156" t="s">
        <v>7565</v>
      </c>
      <c r="L2308" s="18" t="s">
        <v>7566</v>
      </c>
      <c r="M2308" s="18" t="s">
        <v>7567</v>
      </c>
      <c r="N2308" s="16" t="s">
        <v>7562</v>
      </c>
      <c r="O2308" s="16">
        <v>4</v>
      </c>
      <c r="P2308" s="16">
        <v>4</v>
      </c>
      <c r="Q2308" s="16">
        <v>4</v>
      </c>
      <c r="R2308" s="16">
        <v>4</v>
      </c>
      <c r="S2308" s="16">
        <v>4</v>
      </c>
      <c r="T2308" s="18" t="s">
        <v>1167</v>
      </c>
      <c r="U2308" t="str">
        <f>VLOOKUP(T2308,[8]Votes!$A$1:$E$234,3,FALSE)</f>
        <v>003 Office of the Prime Minister</v>
      </c>
      <c r="V2308" s="18" t="s">
        <v>7568</v>
      </c>
      <c r="W2308" s="48">
        <v>1</v>
      </c>
      <c r="X2308" s="48">
        <v>1</v>
      </c>
      <c r="Y2308" s="48">
        <v>0</v>
      </c>
      <c r="Z2308" s="48">
        <v>1</v>
      </c>
      <c r="AA2308" s="48">
        <v>1</v>
      </c>
      <c r="AB2308" s="48">
        <v>0</v>
      </c>
      <c r="AC2308" s="150">
        <v>1</v>
      </c>
      <c r="AD2308" s="150">
        <v>1</v>
      </c>
      <c r="AE2308" s="49">
        <f t="shared" si="121"/>
        <v>0.75</v>
      </c>
      <c r="AF2308" s="255"/>
      <c r="AG2308" s="17">
        <v>0</v>
      </c>
      <c r="AH2308" s="255">
        <v>34.799999999999997</v>
      </c>
      <c r="AI2308" s="255">
        <v>34.799999999999997</v>
      </c>
      <c r="AJ2308" s="255">
        <v>34.799999999999997</v>
      </c>
      <c r="AK2308" s="256">
        <v>20</v>
      </c>
      <c r="AL2308" s="256">
        <v>20.100000000000001</v>
      </c>
      <c r="AM2308" s="17">
        <f t="shared" si="122"/>
        <v>40.1</v>
      </c>
      <c r="AN2308" s="18" t="s">
        <v>1167</v>
      </c>
      <c r="AO2308" s="18" t="s">
        <v>1170</v>
      </c>
      <c r="AP2308" s="18" t="s">
        <v>7522</v>
      </c>
    </row>
    <row r="2309" spans="1:47" s="18" customFormat="1" hidden="1" x14ac:dyDescent="0.3">
      <c r="A2309" s="207" t="s">
        <v>7397</v>
      </c>
      <c r="B2309" s="18" t="s">
        <v>7398</v>
      </c>
      <c r="C2309" s="207" t="s">
        <v>7400</v>
      </c>
      <c r="D2309" s="18" t="s">
        <v>7401</v>
      </c>
      <c r="E2309" s="207" t="s">
        <v>7402</v>
      </c>
      <c r="F2309" s="18" t="s">
        <v>7403</v>
      </c>
      <c r="G2309" s="208" t="s">
        <v>7504</v>
      </c>
      <c r="H2309" s="18" t="s">
        <v>7505</v>
      </c>
      <c r="I2309" s="156" t="s">
        <v>7553</v>
      </c>
      <c r="J2309" s="18" t="s">
        <v>7554</v>
      </c>
      <c r="K2309" s="156" t="s">
        <v>7569</v>
      </c>
      <c r="L2309" s="18" t="s">
        <v>7570</v>
      </c>
      <c r="M2309" s="18" t="s">
        <v>7571</v>
      </c>
      <c r="N2309" s="16" t="s">
        <v>7562</v>
      </c>
      <c r="O2309" s="16">
        <v>12</v>
      </c>
      <c r="P2309" s="16">
        <v>12</v>
      </c>
      <c r="Q2309" s="16">
        <v>12</v>
      </c>
      <c r="R2309" s="16">
        <v>12</v>
      </c>
      <c r="S2309" s="16">
        <v>12</v>
      </c>
      <c r="T2309" s="18" t="s">
        <v>1167</v>
      </c>
      <c r="U2309" t="str">
        <f>VLOOKUP(T2309,[8]Votes!$A$1:$E$234,3,FALSE)</f>
        <v>003 Office of the Prime Minister</v>
      </c>
      <c r="V2309" s="18" t="s">
        <v>7572</v>
      </c>
      <c r="W2309" s="48">
        <v>0</v>
      </c>
      <c r="X2309" s="48">
        <v>0</v>
      </c>
      <c r="Y2309" s="48">
        <v>0</v>
      </c>
      <c r="Z2309" s="48">
        <v>1</v>
      </c>
      <c r="AA2309" s="48">
        <v>1</v>
      </c>
      <c r="AB2309" s="48">
        <v>0</v>
      </c>
      <c r="AC2309" s="150">
        <v>1</v>
      </c>
      <c r="AD2309" s="150">
        <v>1</v>
      </c>
      <c r="AE2309" s="49">
        <f t="shared" si="121"/>
        <v>0.5</v>
      </c>
      <c r="AF2309" s="255"/>
      <c r="AG2309" s="17">
        <v>0</v>
      </c>
      <c r="AH2309" s="255">
        <v>1.45</v>
      </c>
      <c r="AI2309" s="255">
        <v>1.45</v>
      </c>
      <c r="AJ2309" s="255">
        <v>1.4789999999999999</v>
      </c>
      <c r="AK2309" s="256">
        <v>5.8</v>
      </c>
      <c r="AL2309" s="256">
        <v>5.8</v>
      </c>
      <c r="AM2309" s="17">
        <f t="shared" si="122"/>
        <v>11.6</v>
      </c>
      <c r="AN2309" s="18" t="s">
        <v>1167</v>
      </c>
      <c r="AO2309" s="18" t="s">
        <v>1170</v>
      </c>
    </row>
    <row r="2310" spans="1:47" s="18" customFormat="1" ht="15" customHeight="1" x14ac:dyDescent="0.3">
      <c r="A2310" s="207" t="s">
        <v>7397</v>
      </c>
      <c r="B2310" s="18" t="s">
        <v>7398</v>
      </c>
      <c r="C2310" s="207" t="s">
        <v>7400</v>
      </c>
      <c r="D2310" s="18" t="s">
        <v>7401</v>
      </c>
      <c r="E2310" s="207" t="s">
        <v>7402</v>
      </c>
      <c r="F2310" s="18" t="s">
        <v>7403</v>
      </c>
      <c r="G2310" s="208" t="s">
        <v>7504</v>
      </c>
      <c r="H2310" s="18" t="s">
        <v>7505</v>
      </c>
      <c r="I2310" s="156" t="s">
        <v>7573</v>
      </c>
      <c r="J2310" s="18" t="s">
        <v>7574</v>
      </c>
      <c r="K2310" s="156" t="s">
        <v>7575</v>
      </c>
      <c r="L2310" s="18" t="s">
        <v>7576</v>
      </c>
      <c r="M2310" s="18" t="s">
        <v>7577</v>
      </c>
      <c r="N2310" s="16">
        <v>0</v>
      </c>
      <c r="O2310" s="16">
        <v>0</v>
      </c>
      <c r="P2310" s="16">
        <v>1</v>
      </c>
      <c r="Q2310" s="16">
        <v>0</v>
      </c>
      <c r="R2310" s="16">
        <v>0</v>
      </c>
      <c r="S2310" s="16">
        <v>0</v>
      </c>
      <c r="T2310" s="18" t="s">
        <v>921</v>
      </c>
      <c r="U2310" t="str">
        <f>VLOOKUP(T2310,[8]Votes!$A$1:$E$234,3,FALSE)</f>
        <v>008 Ministry of Finance, Planning &amp; Economic Dev.</v>
      </c>
      <c r="V2310" s="18" t="s">
        <v>7578</v>
      </c>
      <c r="W2310" s="48">
        <v>1</v>
      </c>
      <c r="X2310" s="48">
        <v>1</v>
      </c>
      <c r="Y2310" s="48">
        <v>0</v>
      </c>
      <c r="Z2310" s="48">
        <v>1</v>
      </c>
      <c r="AA2310" s="48">
        <v>1</v>
      </c>
      <c r="AB2310" s="48">
        <v>0</v>
      </c>
      <c r="AC2310" s="150">
        <v>1</v>
      </c>
      <c r="AD2310" s="150">
        <v>1</v>
      </c>
      <c r="AE2310" s="49">
        <f t="shared" si="121"/>
        <v>0.75</v>
      </c>
      <c r="AF2310" s="255"/>
      <c r="AG2310" s="17">
        <v>0</v>
      </c>
      <c r="AH2310" s="255">
        <v>0</v>
      </c>
      <c r="AI2310" s="255">
        <v>0</v>
      </c>
      <c r="AJ2310" s="255">
        <v>0</v>
      </c>
      <c r="AK2310" s="256">
        <v>0.72499999999999998</v>
      </c>
      <c r="AL2310" s="256">
        <v>0</v>
      </c>
      <c r="AM2310" s="17">
        <f t="shared" si="122"/>
        <v>0.72499999999999998</v>
      </c>
      <c r="AN2310" s="18" t="s">
        <v>921</v>
      </c>
      <c r="AO2310" s="18" t="s">
        <v>880</v>
      </c>
    </row>
    <row r="2311" spans="1:47" s="18" customFormat="1" ht="15" hidden="1" customHeight="1" x14ac:dyDescent="0.3">
      <c r="A2311" s="207" t="s">
        <v>7397</v>
      </c>
      <c r="B2311" s="18" t="s">
        <v>7398</v>
      </c>
      <c r="C2311" s="207" t="s">
        <v>7400</v>
      </c>
      <c r="D2311" s="18" t="s">
        <v>7401</v>
      </c>
      <c r="E2311" s="207" t="s">
        <v>7402</v>
      </c>
      <c r="F2311" s="18" t="s">
        <v>7403</v>
      </c>
      <c r="G2311" s="208" t="s">
        <v>7504</v>
      </c>
      <c r="H2311" s="18" t="s">
        <v>7505</v>
      </c>
      <c r="I2311" s="156" t="s">
        <v>7579</v>
      </c>
      <c r="J2311" s="18" t="s">
        <v>7580</v>
      </c>
      <c r="K2311" s="156" t="s">
        <v>7581</v>
      </c>
      <c r="L2311" s="18" t="s">
        <v>7582</v>
      </c>
      <c r="M2311" s="18" t="s">
        <v>7583</v>
      </c>
      <c r="N2311" s="16">
        <v>0</v>
      </c>
      <c r="O2311" s="16">
        <v>0</v>
      </c>
      <c r="P2311" s="16">
        <v>3</v>
      </c>
      <c r="Q2311" s="16">
        <v>8</v>
      </c>
      <c r="R2311" s="16">
        <v>14</v>
      </c>
      <c r="S2311" s="16">
        <v>18</v>
      </c>
      <c r="T2311" s="18" t="s">
        <v>921</v>
      </c>
      <c r="U2311" t="str">
        <f>VLOOKUP(T2311,[8]Votes!$A$1:$E$234,3,FALSE)</f>
        <v>008 Ministry of Finance, Planning &amp; Economic Dev.</v>
      </c>
      <c r="V2311" s="18" t="s">
        <v>7584</v>
      </c>
      <c r="W2311" s="48">
        <v>1</v>
      </c>
      <c r="X2311" s="48">
        <v>0</v>
      </c>
      <c r="Y2311" s="48">
        <v>0</v>
      </c>
      <c r="Z2311" s="48">
        <v>1</v>
      </c>
      <c r="AA2311" s="48">
        <v>1</v>
      </c>
      <c r="AB2311" s="48">
        <v>0</v>
      </c>
      <c r="AC2311" s="150">
        <v>1</v>
      </c>
      <c r="AD2311" s="150">
        <v>1</v>
      </c>
      <c r="AE2311" s="49">
        <f t="shared" si="121"/>
        <v>0.625</v>
      </c>
      <c r="AF2311" s="255"/>
      <c r="AG2311" s="17">
        <v>0</v>
      </c>
      <c r="AH2311" s="255">
        <v>0</v>
      </c>
      <c r="AI2311" s="255">
        <v>0.14499999999999999</v>
      </c>
      <c r="AJ2311" s="255">
        <v>0</v>
      </c>
      <c r="AK2311" s="256">
        <v>0.25</v>
      </c>
      <c r="AL2311" s="256"/>
      <c r="AM2311" s="17">
        <f t="shared" si="122"/>
        <v>0.25</v>
      </c>
      <c r="AN2311" s="18" t="s">
        <v>921</v>
      </c>
      <c r="AO2311" s="18" t="s">
        <v>880</v>
      </c>
    </row>
    <row r="2312" spans="1:47" s="18" customFormat="1" ht="15" hidden="1" customHeight="1" x14ac:dyDescent="0.3">
      <c r="A2312" s="207" t="s">
        <v>7397</v>
      </c>
      <c r="B2312" s="18" t="s">
        <v>7398</v>
      </c>
      <c r="C2312" s="207" t="s">
        <v>7400</v>
      </c>
      <c r="D2312" s="18" t="s">
        <v>7401</v>
      </c>
      <c r="E2312" s="207" t="s">
        <v>7402</v>
      </c>
      <c r="F2312" s="18" t="s">
        <v>7403</v>
      </c>
      <c r="G2312" s="208" t="s">
        <v>7504</v>
      </c>
      <c r="H2312" s="18" t="s">
        <v>7505</v>
      </c>
      <c r="I2312" s="156" t="s">
        <v>7579</v>
      </c>
      <c r="J2312" s="18" t="s">
        <v>7580</v>
      </c>
      <c r="K2312" s="156" t="s">
        <v>7585</v>
      </c>
      <c r="L2312" s="18" t="s">
        <v>7586</v>
      </c>
      <c r="M2312" s="18" t="s">
        <v>7587</v>
      </c>
      <c r="N2312" s="16">
        <v>0</v>
      </c>
      <c r="O2312" s="16">
        <v>0</v>
      </c>
      <c r="P2312" s="16">
        <v>1</v>
      </c>
      <c r="Q2312" s="16">
        <v>1</v>
      </c>
      <c r="R2312" s="16">
        <v>1</v>
      </c>
      <c r="S2312" s="16">
        <v>1</v>
      </c>
      <c r="T2312" s="18" t="s">
        <v>921</v>
      </c>
      <c r="U2312" t="str">
        <f>VLOOKUP(T2312,[8]Votes!$A$1:$E$234,3,FALSE)</f>
        <v>008 Ministry of Finance, Planning &amp; Economic Dev.</v>
      </c>
      <c r="V2312" s="18" t="s">
        <v>7588</v>
      </c>
      <c r="W2312" s="48">
        <v>1</v>
      </c>
      <c r="X2312" s="48">
        <v>0</v>
      </c>
      <c r="Y2312" s="48">
        <v>0</v>
      </c>
      <c r="Z2312" s="48">
        <v>1</v>
      </c>
      <c r="AA2312" s="48">
        <v>1</v>
      </c>
      <c r="AB2312" s="48">
        <v>0</v>
      </c>
      <c r="AC2312" s="150">
        <v>1</v>
      </c>
      <c r="AD2312" s="150">
        <v>1</v>
      </c>
      <c r="AE2312" s="49">
        <f t="shared" si="121"/>
        <v>0.625</v>
      </c>
      <c r="AF2312" s="255"/>
      <c r="AG2312" s="17">
        <v>0</v>
      </c>
      <c r="AH2312" s="255">
        <v>42.62</v>
      </c>
      <c r="AI2312" s="255">
        <v>62.62</v>
      </c>
      <c r="AJ2312" s="255">
        <v>52.62</v>
      </c>
      <c r="AK2312" s="256">
        <v>27</v>
      </c>
      <c r="AL2312" s="256">
        <v>28</v>
      </c>
      <c r="AM2312" s="17">
        <f t="shared" si="122"/>
        <v>55</v>
      </c>
      <c r="AN2312" s="18" t="s">
        <v>921</v>
      </c>
      <c r="AO2312" s="18" t="s">
        <v>880</v>
      </c>
    </row>
    <row r="2313" spans="1:47" s="18" customFormat="1" ht="15" customHeight="1" x14ac:dyDescent="0.3">
      <c r="A2313" s="207" t="s">
        <v>7397</v>
      </c>
      <c r="B2313" s="18" t="s">
        <v>7398</v>
      </c>
      <c r="C2313" s="208" t="s">
        <v>7589</v>
      </c>
      <c r="D2313" s="18" t="s">
        <v>7590</v>
      </c>
      <c r="E2313" s="208" t="s">
        <v>7591</v>
      </c>
      <c r="F2313" s="18" t="s">
        <v>7592</v>
      </c>
      <c r="G2313" s="156" t="s">
        <v>7593</v>
      </c>
      <c r="H2313" s="18" t="s">
        <v>7594</v>
      </c>
      <c r="I2313" s="156"/>
      <c r="K2313" s="156" t="s">
        <v>7595</v>
      </c>
      <c r="L2313" s="18" t="s">
        <v>7596</v>
      </c>
      <c r="M2313" s="18" t="s">
        <v>7597</v>
      </c>
      <c r="N2313" s="16">
        <v>0</v>
      </c>
      <c r="O2313" s="16">
        <v>0</v>
      </c>
      <c r="P2313" s="16">
        <v>0</v>
      </c>
      <c r="Q2313" s="16">
        <v>0</v>
      </c>
      <c r="R2313" s="16">
        <v>1</v>
      </c>
      <c r="S2313" s="16">
        <v>1</v>
      </c>
      <c r="T2313" s="18" t="s">
        <v>4115</v>
      </c>
      <c r="U2313" t="str">
        <f>VLOOKUP(T2313,[8]Votes!$A$1:$E$234,3,FALSE)</f>
        <v>309 National Identification and Registration Authority (NIRA)</v>
      </c>
      <c r="V2313" s="18" t="s">
        <v>7598</v>
      </c>
      <c r="W2313" s="48">
        <v>1</v>
      </c>
      <c r="X2313" s="48">
        <v>0</v>
      </c>
      <c r="Y2313" s="48">
        <v>0</v>
      </c>
      <c r="Z2313" s="48">
        <v>1</v>
      </c>
      <c r="AA2313" s="48">
        <v>1</v>
      </c>
      <c r="AB2313" s="48">
        <v>1</v>
      </c>
      <c r="AC2313" s="150">
        <v>1</v>
      </c>
      <c r="AD2313" s="150">
        <v>1</v>
      </c>
      <c r="AE2313" s="49">
        <f t="shared" si="121"/>
        <v>0.75</v>
      </c>
      <c r="AF2313" s="255">
        <v>1</v>
      </c>
      <c r="AG2313" s="17">
        <v>0</v>
      </c>
      <c r="AH2313" s="255">
        <v>0</v>
      </c>
      <c r="AI2313" s="255">
        <v>1.45</v>
      </c>
      <c r="AJ2313" s="255">
        <v>0.72499999999999998</v>
      </c>
      <c r="AK2313" s="256">
        <v>7</v>
      </c>
      <c r="AL2313" s="256">
        <v>7</v>
      </c>
      <c r="AM2313" s="17">
        <f t="shared" si="122"/>
        <v>14</v>
      </c>
      <c r="AN2313" s="18" t="s">
        <v>4115</v>
      </c>
      <c r="AO2313" s="18" t="s">
        <v>4116</v>
      </c>
    </row>
    <row r="2314" spans="1:47" s="18" customFormat="1" ht="15" customHeight="1" x14ac:dyDescent="0.3">
      <c r="A2314" s="207" t="s">
        <v>7397</v>
      </c>
      <c r="B2314" s="18" t="s">
        <v>7398</v>
      </c>
      <c r="C2314" s="208" t="s">
        <v>7589</v>
      </c>
      <c r="D2314" s="18" t="s">
        <v>7590</v>
      </c>
      <c r="E2314" s="208" t="s">
        <v>7591</v>
      </c>
      <c r="F2314" s="18" t="s">
        <v>7592</v>
      </c>
      <c r="G2314" s="156" t="s">
        <v>7593</v>
      </c>
      <c r="H2314" s="18" t="s">
        <v>7594</v>
      </c>
      <c r="I2314" s="156"/>
      <c r="K2314" s="156" t="s">
        <v>7595</v>
      </c>
      <c r="L2314" s="18" t="s">
        <v>7596</v>
      </c>
      <c r="N2314" s="16"/>
      <c r="O2314" s="16"/>
      <c r="P2314" s="16"/>
      <c r="Q2314" s="16"/>
      <c r="R2314" s="16"/>
      <c r="S2314" s="16"/>
      <c r="U2314" t="e">
        <f>VLOOKUP(T2314,[8]Votes!$A$1:$E$234,3,FALSE)</f>
        <v>#N/A</v>
      </c>
      <c r="V2314" s="18" t="s">
        <v>7599</v>
      </c>
      <c r="W2314" s="48">
        <v>1</v>
      </c>
      <c r="X2314" s="48">
        <v>0</v>
      </c>
      <c r="Y2314" s="48">
        <v>0</v>
      </c>
      <c r="Z2314" s="48">
        <v>1</v>
      </c>
      <c r="AA2314" s="48">
        <v>1</v>
      </c>
      <c r="AB2314" s="48">
        <v>1</v>
      </c>
      <c r="AC2314" s="150">
        <v>1</v>
      </c>
      <c r="AD2314" s="150">
        <v>1</v>
      </c>
      <c r="AE2314" s="49">
        <f t="shared" si="121"/>
        <v>0.75</v>
      </c>
      <c r="AF2314" s="255"/>
      <c r="AG2314" s="17">
        <v>0</v>
      </c>
      <c r="AH2314" s="255">
        <v>1.45</v>
      </c>
      <c r="AI2314" s="255">
        <v>1.45</v>
      </c>
      <c r="AJ2314" s="255">
        <v>1.45</v>
      </c>
      <c r="AK2314" s="256">
        <v>1.45</v>
      </c>
      <c r="AL2314" s="256">
        <v>1.45</v>
      </c>
      <c r="AM2314" s="17">
        <f t="shared" si="122"/>
        <v>2.9</v>
      </c>
      <c r="AN2314" s="18" t="s">
        <v>1446</v>
      </c>
      <c r="AO2314" s="18" t="s">
        <v>3715</v>
      </c>
      <c r="AP2314" s="18" t="s">
        <v>7600</v>
      </c>
    </row>
    <row r="2315" spans="1:47" s="18" customFormat="1" ht="15" customHeight="1" x14ac:dyDescent="0.3">
      <c r="A2315" s="207" t="s">
        <v>7397</v>
      </c>
      <c r="B2315" s="18" t="s">
        <v>7398</v>
      </c>
      <c r="C2315" s="208" t="s">
        <v>7589</v>
      </c>
      <c r="D2315" s="18" t="s">
        <v>7590</v>
      </c>
      <c r="E2315" s="208" t="s">
        <v>7591</v>
      </c>
      <c r="F2315" s="18" t="s">
        <v>7592</v>
      </c>
      <c r="G2315" s="156" t="s">
        <v>7593</v>
      </c>
      <c r="H2315" s="18" t="s">
        <v>7594</v>
      </c>
      <c r="I2315" s="156"/>
      <c r="K2315" s="156" t="s">
        <v>7601</v>
      </c>
      <c r="L2315" s="18" t="s">
        <v>7602</v>
      </c>
      <c r="M2315" s="18" t="s">
        <v>7603</v>
      </c>
      <c r="N2315" s="16">
        <v>0</v>
      </c>
      <c r="O2315" s="16">
        <v>0</v>
      </c>
      <c r="P2315" s="16">
        <v>1</v>
      </c>
      <c r="Q2315" s="16">
        <v>0</v>
      </c>
      <c r="R2315" s="16">
        <v>0</v>
      </c>
      <c r="S2315" s="16">
        <v>0</v>
      </c>
      <c r="T2315" s="18" t="s">
        <v>1446</v>
      </c>
      <c r="U2315" t="str">
        <f>VLOOKUP(T2315,[8]Votes!$A$1:$E$234,3,FALSE)</f>
        <v>141 Uganda Revenue Authority</v>
      </c>
      <c r="V2315" s="18" t="s">
        <v>7604</v>
      </c>
      <c r="W2315" s="48">
        <v>1</v>
      </c>
      <c r="X2315" s="48">
        <v>1</v>
      </c>
      <c r="Y2315" s="48">
        <v>0</v>
      </c>
      <c r="Z2315" s="48">
        <v>1</v>
      </c>
      <c r="AA2315" s="48">
        <v>1</v>
      </c>
      <c r="AB2315" s="48">
        <v>1</v>
      </c>
      <c r="AC2315" s="150">
        <v>0</v>
      </c>
      <c r="AD2315" s="150">
        <v>1</v>
      </c>
      <c r="AE2315" s="49">
        <f t="shared" si="121"/>
        <v>0.75</v>
      </c>
      <c r="AF2315" s="255"/>
      <c r="AG2315" s="17">
        <v>0</v>
      </c>
      <c r="AH2315" s="255">
        <v>0</v>
      </c>
      <c r="AI2315" s="255">
        <v>5.22</v>
      </c>
      <c r="AJ2315" s="255">
        <v>0</v>
      </c>
      <c r="AK2315" s="256">
        <v>0</v>
      </c>
      <c r="AL2315" s="256">
        <v>0</v>
      </c>
      <c r="AM2315" s="17">
        <f t="shared" si="122"/>
        <v>0</v>
      </c>
      <c r="AN2315" s="18" t="s">
        <v>1446</v>
      </c>
      <c r="AO2315" s="18" t="s">
        <v>3715</v>
      </c>
      <c r="AP2315" s="18" t="s">
        <v>4115</v>
      </c>
    </row>
    <row r="2316" spans="1:47" s="18" customFormat="1" ht="15" hidden="1" customHeight="1" x14ac:dyDescent="0.3">
      <c r="A2316" s="207" t="s">
        <v>7397</v>
      </c>
      <c r="B2316" s="18" t="s">
        <v>7398</v>
      </c>
      <c r="C2316" s="208" t="s">
        <v>7589</v>
      </c>
      <c r="D2316" s="18" t="s">
        <v>7590</v>
      </c>
      <c r="E2316" s="208" t="s">
        <v>7591</v>
      </c>
      <c r="F2316" s="18" t="s">
        <v>7592</v>
      </c>
      <c r="G2316" s="156" t="s">
        <v>7593</v>
      </c>
      <c r="H2316" s="18" t="s">
        <v>7594</v>
      </c>
      <c r="I2316" s="156"/>
      <c r="K2316" s="156" t="s">
        <v>7605</v>
      </c>
      <c r="L2316" s="18" t="s">
        <v>7606</v>
      </c>
      <c r="M2316" s="18" t="s">
        <v>7607</v>
      </c>
      <c r="N2316" s="16">
        <v>0</v>
      </c>
      <c r="O2316" s="16">
        <v>7</v>
      </c>
      <c r="P2316" s="16">
        <v>7</v>
      </c>
      <c r="Q2316" s="16">
        <v>7</v>
      </c>
      <c r="R2316" s="16">
        <v>7</v>
      </c>
      <c r="S2316" s="16">
        <v>7</v>
      </c>
      <c r="T2316" s="18" t="s">
        <v>1446</v>
      </c>
      <c r="U2316" t="str">
        <f>VLOOKUP(T2316,[8]Votes!$A$1:$E$234,3,FALSE)</f>
        <v>141 Uganda Revenue Authority</v>
      </c>
      <c r="V2316" s="18" t="s">
        <v>7608</v>
      </c>
      <c r="W2316" s="48">
        <v>1</v>
      </c>
      <c r="X2316" s="48">
        <v>1</v>
      </c>
      <c r="Y2316" s="48">
        <v>0</v>
      </c>
      <c r="Z2316" s="48">
        <v>1</v>
      </c>
      <c r="AA2316" s="48">
        <v>1</v>
      </c>
      <c r="AB2316" s="48">
        <v>0</v>
      </c>
      <c r="AC2316" s="150">
        <v>0</v>
      </c>
      <c r="AD2316" s="150">
        <v>1</v>
      </c>
      <c r="AE2316" s="49">
        <f t="shared" si="121"/>
        <v>0.625</v>
      </c>
      <c r="AF2316" s="176"/>
      <c r="AG2316" s="17">
        <v>0</v>
      </c>
      <c r="AH2316" s="176">
        <v>2.9</v>
      </c>
      <c r="AI2316" s="176">
        <v>2.9</v>
      </c>
      <c r="AJ2316" s="176">
        <v>2.9</v>
      </c>
      <c r="AK2316" s="177">
        <v>2.9</v>
      </c>
      <c r="AL2316" s="177">
        <v>2.9</v>
      </c>
      <c r="AM2316" s="17">
        <f t="shared" si="122"/>
        <v>5.8</v>
      </c>
      <c r="AN2316" s="18" t="s">
        <v>1446</v>
      </c>
      <c r="AO2316" s="18" t="s">
        <v>3715</v>
      </c>
    </row>
    <row r="2317" spans="1:47" s="18" customFormat="1" ht="15" hidden="1" customHeight="1" x14ac:dyDescent="0.3">
      <c r="A2317" s="207" t="s">
        <v>7397</v>
      </c>
      <c r="B2317" s="18" t="s">
        <v>7398</v>
      </c>
      <c r="C2317" s="208" t="s">
        <v>7589</v>
      </c>
      <c r="D2317" s="18" t="s">
        <v>7590</v>
      </c>
      <c r="E2317" s="208" t="s">
        <v>7591</v>
      </c>
      <c r="F2317" s="18" t="s">
        <v>7592</v>
      </c>
      <c r="G2317" s="156" t="s">
        <v>7593</v>
      </c>
      <c r="H2317" s="18" t="s">
        <v>7594</v>
      </c>
      <c r="I2317" s="156"/>
      <c r="K2317" s="156" t="s">
        <v>7609</v>
      </c>
      <c r="L2317" s="18" t="s">
        <v>7610</v>
      </c>
      <c r="M2317" s="18" t="s">
        <v>7611</v>
      </c>
      <c r="N2317" s="16">
        <v>0</v>
      </c>
      <c r="O2317" s="16">
        <v>0</v>
      </c>
      <c r="P2317" s="16">
        <v>1</v>
      </c>
      <c r="Q2317" s="16">
        <v>0</v>
      </c>
      <c r="R2317" s="16">
        <v>0</v>
      </c>
      <c r="S2317" s="16">
        <v>0</v>
      </c>
      <c r="T2317" s="18" t="s">
        <v>1446</v>
      </c>
      <c r="U2317" t="str">
        <f>VLOOKUP(T2317,[8]Votes!$A$1:$E$234,3,FALSE)</f>
        <v>141 Uganda Revenue Authority</v>
      </c>
      <c r="V2317" s="18" t="s">
        <v>7612</v>
      </c>
      <c r="W2317" s="48"/>
      <c r="X2317" s="48"/>
      <c r="Y2317" s="48"/>
      <c r="Z2317" s="48"/>
      <c r="AA2317" s="48"/>
      <c r="AB2317" s="48"/>
      <c r="AC2317" s="150">
        <v>0</v>
      </c>
      <c r="AD2317" s="150">
        <v>0</v>
      </c>
      <c r="AE2317" s="49">
        <f t="shared" si="121"/>
        <v>0</v>
      </c>
      <c r="AF2317" s="176"/>
      <c r="AG2317" s="17">
        <v>0</v>
      </c>
      <c r="AH2317" s="176">
        <v>0.54</v>
      </c>
      <c r="AI2317" s="176">
        <v>0.28999999999999998</v>
      </c>
      <c r="AJ2317" s="176">
        <v>0.15</v>
      </c>
      <c r="AK2317" s="177">
        <v>0</v>
      </c>
      <c r="AL2317" s="177">
        <v>0</v>
      </c>
      <c r="AM2317" s="17">
        <f t="shared" si="122"/>
        <v>0</v>
      </c>
      <c r="AN2317" s="18" t="s">
        <v>1446</v>
      </c>
      <c r="AO2317" s="18" t="s">
        <v>3715</v>
      </c>
    </row>
    <row r="2318" spans="1:47" s="18" customFormat="1" ht="15" hidden="1" customHeight="1" x14ac:dyDescent="0.3">
      <c r="A2318" s="207" t="s">
        <v>7397</v>
      </c>
      <c r="B2318" s="18" t="s">
        <v>7398</v>
      </c>
      <c r="C2318" s="208" t="s">
        <v>7589</v>
      </c>
      <c r="D2318" s="18" t="s">
        <v>7590</v>
      </c>
      <c r="E2318" s="208" t="s">
        <v>7591</v>
      </c>
      <c r="F2318" s="18" t="s">
        <v>7592</v>
      </c>
      <c r="G2318" s="156" t="s">
        <v>7593</v>
      </c>
      <c r="H2318" s="18" t="s">
        <v>7594</v>
      </c>
      <c r="I2318" s="156"/>
      <c r="K2318" s="156" t="s">
        <v>7609</v>
      </c>
      <c r="L2318" s="18" t="s">
        <v>7610</v>
      </c>
      <c r="M2318" s="18" t="s">
        <v>7613</v>
      </c>
      <c r="N2318" s="16">
        <v>0</v>
      </c>
      <c r="O2318" s="16">
        <v>1</v>
      </c>
      <c r="P2318" s="16">
        <v>0</v>
      </c>
      <c r="Q2318" s="16">
        <v>0</v>
      </c>
      <c r="R2318" s="16">
        <v>0</v>
      </c>
      <c r="S2318" s="16">
        <v>0</v>
      </c>
      <c r="T2318" s="18" t="s">
        <v>1446</v>
      </c>
      <c r="U2318" t="str">
        <f>VLOOKUP(T2318,[8]Votes!$A$1:$E$234,3,FALSE)</f>
        <v>141 Uganda Revenue Authority</v>
      </c>
      <c r="V2318" s="18" t="s">
        <v>7614</v>
      </c>
      <c r="W2318" s="48"/>
      <c r="X2318" s="48"/>
      <c r="Y2318" s="48"/>
      <c r="Z2318" s="48"/>
      <c r="AA2318" s="48"/>
      <c r="AB2318" s="48"/>
      <c r="AC2318" s="150">
        <v>0</v>
      </c>
      <c r="AD2318" s="150">
        <v>0</v>
      </c>
      <c r="AE2318" s="49">
        <f t="shared" si="121"/>
        <v>0</v>
      </c>
      <c r="AF2318" s="176"/>
      <c r="AG2318" s="17">
        <v>0</v>
      </c>
      <c r="AH2318" s="176">
        <v>0.52</v>
      </c>
      <c r="AI2318" s="176">
        <v>0.57999999999999996</v>
      </c>
      <c r="AJ2318" s="176">
        <v>0.42</v>
      </c>
      <c r="AK2318" s="177">
        <v>0</v>
      </c>
      <c r="AL2318" s="177">
        <v>0</v>
      </c>
      <c r="AM2318" s="17">
        <f t="shared" si="122"/>
        <v>0</v>
      </c>
      <c r="AN2318" s="18" t="s">
        <v>1446</v>
      </c>
      <c r="AO2318" s="18" t="s">
        <v>3715</v>
      </c>
    </row>
    <row r="2319" spans="1:47" s="18" customFormat="1" ht="15" hidden="1" customHeight="1" x14ac:dyDescent="0.3">
      <c r="A2319" s="207" t="s">
        <v>7397</v>
      </c>
      <c r="B2319" s="18" t="s">
        <v>7398</v>
      </c>
      <c r="C2319" s="208" t="s">
        <v>7589</v>
      </c>
      <c r="D2319" s="18" t="s">
        <v>7590</v>
      </c>
      <c r="E2319" s="208" t="s">
        <v>7591</v>
      </c>
      <c r="F2319" s="18" t="s">
        <v>7592</v>
      </c>
      <c r="G2319" s="156" t="s">
        <v>7593</v>
      </c>
      <c r="H2319" s="18" t="s">
        <v>7594</v>
      </c>
      <c r="I2319" s="156"/>
      <c r="K2319" s="156" t="s">
        <v>7609</v>
      </c>
      <c r="L2319" s="18" t="s">
        <v>7610</v>
      </c>
      <c r="M2319" s="18" t="s">
        <v>7615</v>
      </c>
      <c r="N2319" s="16">
        <v>0</v>
      </c>
      <c r="O2319" s="16">
        <v>0</v>
      </c>
      <c r="P2319" s="16">
        <v>0</v>
      </c>
      <c r="Q2319" s="16">
        <v>1</v>
      </c>
      <c r="R2319" s="16">
        <v>0</v>
      </c>
      <c r="S2319" s="16">
        <v>0</v>
      </c>
      <c r="T2319" s="18" t="s">
        <v>1446</v>
      </c>
      <c r="U2319" t="str">
        <f>VLOOKUP(T2319,[8]Votes!$A$1:$E$234,3,FALSE)</f>
        <v>141 Uganda Revenue Authority</v>
      </c>
      <c r="V2319" s="18" t="s">
        <v>7616</v>
      </c>
      <c r="W2319" s="48"/>
      <c r="X2319" s="48"/>
      <c r="Y2319" s="48"/>
      <c r="Z2319" s="48"/>
      <c r="AA2319" s="48"/>
      <c r="AB2319" s="48"/>
      <c r="AC2319" s="150">
        <v>0</v>
      </c>
      <c r="AD2319" s="150">
        <v>0</v>
      </c>
      <c r="AE2319" s="49">
        <f t="shared" si="121"/>
        <v>0</v>
      </c>
      <c r="AF2319" s="176"/>
      <c r="AG2319" s="17">
        <v>0</v>
      </c>
      <c r="AH2319" s="176">
        <v>0.25</v>
      </c>
      <c r="AI2319" s="176">
        <v>0.28999999999999998</v>
      </c>
      <c r="AJ2319" s="176">
        <v>0</v>
      </c>
      <c r="AK2319" s="177">
        <v>0</v>
      </c>
      <c r="AL2319" s="177">
        <v>0</v>
      </c>
      <c r="AM2319" s="17">
        <f t="shared" si="122"/>
        <v>0</v>
      </c>
      <c r="AN2319" s="18" t="s">
        <v>1446</v>
      </c>
      <c r="AO2319" s="18" t="s">
        <v>3715</v>
      </c>
    </row>
    <row r="2320" spans="1:47" s="18" customFormat="1" ht="15" hidden="1" customHeight="1" x14ac:dyDescent="0.3">
      <c r="A2320" s="207" t="s">
        <v>7397</v>
      </c>
      <c r="B2320" s="18" t="s">
        <v>7398</v>
      </c>
      <c r="C2320" s="208" t="s">
        <v>7589</v>
      </c>
      <c r="D2320" s="18" t="s">
        <v>7590</v>
      </c>
      <c r="E2320" s="208" t="s">
        <v>7591</v>
      </c>
      <c r="F2320" s="18" t="s">
        <v>7592</v>
      </c>
      <c r="G2320" s="156" t="s">
        <v>7593</v>
      </c>
      <c r="H2320" s="18" t="s">
        <v>7594</v>
      </c>
      <c r="I2320" s="156"/>
      <c r="K2320" s="156" t="s">
        <v>7609</v>
      </c>
      <c r="L2320" s="18" t="s">
        <v>7610</v>
      </c>
      <c r="M2320" s="18" t="s">
        <v>7617</v>
      </c>
      <c r="N2320" s="16">
        <v>0</v>
      </c>
      <c r="O2320" s="16">
        <v>0</v>
      </c>
      <c r="P2320" s="16">
        <v>1</v>
      </c>
      <c r="Q2320" s="16">
        <v>0</v>
      </c>
      <c r="R2320" s="16">
        <v>0</v>
      </c>
      <c r="S2320" s="16">
        <v>0</v>
      </c>
      <c r="T2320" s="18" t="s">
        <v>1446</v>
      </c>
      <c r="U2320" t="str">
        <f>VLOOKUP(T2320,[8]Votes!$A$1:$E$234,3,FALSE)</f>
        <v>141 Uganda Revenue Authority</v>
      </c>
      <c r="V2320" s="18" t="s">
        <v>7618</v>
      </c>
      <c r="W2320" s="48">
        <v>0</v>
      </c>
      <c r="X2320" s="48">
        <v>0</v>
      </c>
      <c r="Y2320" s="48">
        <v>0</v>
      </c>
      <c r="Z2320" s="48">
        <v>1</v>
      </c>
      <c r="AA2320" s="48">
        <v>1</v>
      </c>
      <c r="AB2320" s="48">
        <v>0</v>
      </c>
      <c r="AC2320" s="150">
        <v>0</v>
      </c>
      <c r="AD2320" s="150">
        <v>1</v>
      </c>
      <c r="AE2320" s="49">
        <f t="shared" si="121"/>
        <v>0.375</v>
      </c>
      <c r="AF2320" s="176"/>
      <c r="AG2320" s="17">
        <v>0</v>
      </c>
      <c r="AH2320" s="176">
        <v>0.52</v>
      </c>
      <c r="AI2320" s="176">
        <v>0</v>
      </c>
      <c r="AJ2320" s="176">
        <v>0</v>
      </c>
      <c r="AK2320" s="177">
        <v>0</v>
      </c>
      <c r="AL2320" s="177">
        <v>0</v>
      </c>
      <c r="AM2320" s="17">
        <f t="shared" si="122"/>
        <v>0</v>
      </c>
      <c r="AN2320" s="18" t="s">
        <v>1446</v>
      </c>
      <c r="AO2320" s="18" t="s">
        <v>3715</v>
      </c>
    </row>
    <row r="2321" spans="1:42" s="18" customFormat="1" ht="15" hidden="1" customHeight="1" x14ac:dyDescent="0.3">
      <c r="A2321" s="207" t="s">
        <v>7397</v>
      </c>
      <c r="B2321" s="18" t="s">
        <v>7398</v>
      </c>
      <c r="C2321" s="208" t="s">
        <v>7589</v>
      </c>
      <c r="D2321" s="18" t="s">
        <v>7590</v>
      </c>
      <c r="E2321" s="208" t="s">
        <v>7591</v>
      </c>
      <c r="F2321" s="18" t="s">
        <v>7592</v>
      </c>
      <c r="G2321" s="156" t="s">
        <v>7593</v>
      </c>
      <c r="H2321" s="18" t="s">
        <v>7594</v>
      </c>
      <c r="I2321" s="156"/>
      <c r="K2321" s="156" t="s">
        <v>7609</v>
      </c>
      <c r="L2321" s="18" t="s">
        <v>7610</v>
      </c>
      <c r="M2321" s="18" t="s">
        <v>7619</v>
      </c>
      <c r="N2321" s="16">
        <v>0</v>
      </c>
      <c r="O2321" s="16">
        <v>0</v>
      </c>
      <c r="P2321" s="16">
        <v>1</v>
      </c>
      <c r="Q2321" s="16">
        <v>0</v>
      </c>
      <c r="R2321" s="16">
        <v>0</v>
      </c>
      <c r="S2321" s="16">
        <v>0</v>
      </c>
      <c r="T2321" s="18" t="s">
        <v>1446</v>
      </c>
      <c r="U2321" t="str">
        <f>VLOOKUP(T2321,[8]Votes!$A$1:$E$234,3,FALSE)</f>
        <v>141 Uganda Revenue Authority</v>
      </c>
      <c r="V2321" s="18" t="s">
        <v>7620</v>
      </c>
      <c r="W2321" s="48">
        <v>0</v>
      </c>
      <c r="X2321" s="48">
        <v>0</v>
      </c>
      <c r="Y2321" s="48">
        <v>0</v>
      </c>
      <c r="Z2321" s="48">
        <v>1</v>
      </c>
      <c r="AA2321" s="48">
        <v>1</v>
      </c>
      <c r="AB2321" s="48">
        <v>0</v>
      </c>
      <c r="AC2321" s="150">
        <v>0</v>
      </c>
      <c r="AD2321" s="150">
        <v>1</v>
      </c>
      <c r="AE2321" s="49">
        <f t="shared" si="121"/>
        <v>0.375</v>
      </c>
      <c r="AF2321" s="176"/>
      <c r="AG2321" s="17">
        <v>0</v>
      </c>
      <c r="AH2321" s="176">
        <v>0.49</v>
      </c>
      <c r="AI2321" s="176">
        <v>0</v>
      </c>
      <c r="AJ2321" s="176">
        <v>0</v>
      </c>
      <c r="AK2321" s="177">
        <v>0</v>
      </c>
      <c r="AL2321" s="177">
        <v>0</v>
      </c>
      <c r="AM2321" s="17">
        <f t="shared" si="122"/>
        <v>0</v>
      </c>
      <c r="AN2321" s="18" t="s">
        <v>1446</v>
      </c>
      <c r="AO2321" s="18" t="s">
        <v>3715</v>
      </c>
    </row>
    <row r="2322" spans="1:42" s="18" customFormat="1" ht="15" hidden="1" customHeight="1" x14ac:dyDescent="0.3">
      <c r="A2322" s="207" t="s">
        <v>7397</v>
      </c>
      <c r="B2322" s="18" t="s">
        <v>7398</v>
      </c>
      <c r="C2322" s="208" t="s">
        <v>7589</v>
      </c>
      <c r="D2322" s="18" t="s">
        <v>7590</v>
      </c>
      <c r="E2322" s="208" t="s">
        <v>7591</v>
      </c>
      <c r="F2322" s="18" t="s">
        <v>7592</v>
      </c>
      <c r="G2322" s="156" t="s">
        <v>7593</v>
      </c>
      <c r="H2322" s="18" t="s">
        <v>7594</v>
      </c>
      <c r="I2322" s="156"/>
      <c r="K2322" s="156" t="s">
        <v>7609</v>
      </c>
      <c r="L2322" s="18" t="s">
        <v>7610</v>
      </c>
      <c r="M2322" s="18" t="s">
        <v>7621</v>
      </c>
      <c r="N2322" s="16">
        <v>0</v>
      </c>
      <c r="O2322" s="16">
        <v>0</v>
      </c>
      <c r="P2322" s="16">
        <v>2</v>
      </c>
      <c r="Q2322" s="16">
        <v>2</v>
      </c>
      <c r="R2322" s="16">
        <v>0</v>
      </c>
      <c r="S2322" s="16">
        <v>0</v>
      </c>
      <c r="T2322" s="18" t="s">
        <v>1446</v>
      </c>
      <c r="U2322" t="str">
        <f>VLOOKUP(T2322,[8]Votes!$A$1:$E$234,3,FALSE)</f>
        <v>141 Uganda Revenue Authority</v>
      </c>
      <c r="V2322" s="18" t="s">
        <v>7622</v>
      </c>
      <c r="W2322" s="48">
        <v>1</v>
      </c>
      <c r="X2322" s="48">
        <v>1</v>
      </c>
      <c r="Y2322" s="48">
        <v>0</v>
      </c>
      <c r="Z2322" s="48">
        <v>1</v>
      </c>
      <c r="AA2322" s="48">
        <v>1</v>
      </c>
      <c r="AB2322" s="48">
        <v>0</v>
      </c>
      <c r="AC2322" s="150">
        <v>0</v>
      </c>
      <c r="AD2322" s="150">
        <v>1</v>
      </c>
      <c r="AE2322" s="49">
        <f t="shared" si="121"/>
        <v>0.625</v>
      </c>
      <c r="AF2322" s="176"/>
      <c r="AG2322" s="17">
        <v>0</v>
      </c>
      <c r="AH2322" s="176">
        <v>0.15</v>
      </c>
      <c r="AI2322" s="176">
        <v>0.15</v>
      </c>
      <c r="AJ2322" s="176">
        <v>0.15</v>
      </c>
      <c r="AK2322" s="177">
        <v>0</v>
      </c>
      <c r="AL2322" s="177">
        <v>0</v>
      </c>
      <c r="AM2322" s="17">
        <f t="shared" si="122"/>
        <v>0</v>
      </c>
      <c r="AN2322" s="18" t="s">
        <v>1446</v>
      </c>
      <c r="AO2322" s="18" t="s">
        <v>3715</v>
      </c>
    </row>
    <row r="2323" spans="1:42" s="18" customFormat="1" ht="15" customHeight="1" x14ac:dyDescent="0.3">
      <c r="A2323" s="207" t="s">
        <v>7397</v>
      </c>
      <c r="B2323" s="18" t="s">
        <v>7398</v>
      </c>
      <c r="C2323" s="208" t="s">
        <v>7589</v>
      </c>
      <c r="D2323" s="18" t="s">
        <v>7590</v>
      </c>
      <c r="E2323" s="208" t="s">
        <v>7591</v>
      </c>
      <c r="F2323" s="18" t="s">
        <v>7592</v>
      </c>
      <c r="G2323" s="156" t="s">
        <v>7623</v>
      </c>
      <c r="H2323" s="18" t="s">
        <v>7624</v>
      </c>
      <c r="I2323" s="156"/>
      <c r="K2323" s="156" t="s">
        <v>7625</v>
      </c>
      <c r="L2323" s="18" t="s">
        <v>7626</v>
      </c>
      <c r="M2323" s="18" t="s">
        <v>7627</v>
      </c>
      <c r="N2323" s="16">
        <v>0</v>
      </c>
      <c r="O2323" s="16">
        <v>5</v>
      </c>
      <c r="P2323" s="16">
        <v>5</v>
      </c>
      <c r="Q2323" s="16">
        <v>5</v>
      </c>
      <c r="R2323" s="16">
        <v>5</v>
      </c>
      <c r="S2323" s="16">
        <v>5</v>
      </c>
      <c r="T2323" s="18" t="s">
        <v>921</v>
      </c>
      <c r="U2323" t="str">
        <f>VLOOKUP(T2323,[8]Votes!$A$1:$E$234,3,FALSE)</f>
        <v>008 Ministry of Finance, Planning &amp; Economic Dev.</v>
      </c>
      <c r="V2323" s="18" t="s">
        <v>7628</v>
      </c>
      <c r="W2323" s="48">
        <v>1</v>
      </c>
      <c r="X2323" s="48">
        <v>1</v>
      </c>
      <c r="Y2323" s="48">
        <v>1</v>
      </c>
      <c r="Z2323" s="48">
        <v>1</v>
      </c>
      <c r="AA2323" s="48">
        <v>1</v>
      </c>
      <c r="AB2323" s="48">
        <v>1</v>
      </c>
      <c r="AC2323" s="150">
        <v>1</v>
      </c>
      <c r="AD2323" s="150">
        <v>1</v>
      </c>
      <c r="AE2323" s="49">
        <f t="shared" si="121"/>
        <v>1</v>
      </c>
      <c r="AF2323" s="255"/>
      <c r="AG2323" s="17">
        <v>0</v>
      </c>
      <c r="AH2323" s="255">
        <v>1.45</v>
      </c>
      <c r="AI2323" s="255">
        <v>2.4649999999999999</v>
      </c>
      <c r="AJ2323" s="255">
        <v>2.4649999999999999</v>
      </c>
      <c r="AK2323" s="256">
        <v>2.4649999999999999</v>
      </c>
      <c r="AL2323" s="256">
        <v>2.3199999999999998</v>
      </c>
      <c r="AM2323" s="17">
        <f t="shared" si="122"/>
        <v>4.7850000000000001</v>
      </c>
      <c r="AN2323" s="18" t="s">
        <v>921</v>
      </c>
      <c r="AO2323" s="18" t="s">
        <v>880</v>
      </c>
    </row>
    <row r="2324" spans="1:42" s="18" customFormat="1" ht="15" customHeight="1" x14ac:dyDescent="0.3">
      <c r="A2324" s="207" t="s">
        <v>7397</v>
      </c>
      <c r="B2324" s="18" t="s">
        <v>7398</v>
      </c>
      <c r="C2324" s="208" t="s">
        <v>7589</v>
      </c>
      <c r="D2324" s="18" t="s">
        <v>7590</v>
      </c>
      <c r="E2324" s="208" t="s">
        <v>7591</v>
      </c>
      <c r="F2324" s="18" t="s">
        <v>7592</v>
      </c>
      <c r="G2324" s="156" t="s">
        <v>7623</v>
      </c>
      <c r="H2324" s="18" t="s">
        <v>7624</v>
      </c>
      <c r="I2324" s="156"/>
      <c r="K2324" s="156" t="s">
        <v>7625</v>
      </c>
      <c r="L2324" s="18" t="s">
        <v>7626</v>
      </c>
      <c r="M2324" s="18" t="s">
        <v>7629</v>
      </c>
      <c r="N2324" s="16">
        <v>0</v>
      </c>
      <c r="O2324" s="16">
        <v>1</v>
      </c>
      <c r="P2324" s="16">
        <v>1</v>
      </c>
      <c r="Q2324" s="16">
        <v>1</v>
      </c>
      <c r="R2324" s="16">
        <v>1</v>
      </c>
      <c r="S2324" s="16">
        <v>1</v>
      </c>
      <c r="T2324" s="18" t="s">
        <v>921</v>
      </c>
      <c r="U2324" t="str">
        <f>VLOOKUP(T2324,[8]Votes!$A$1:$E$234,3,FALSE)</f>
        <v>008 Ministry of Finance, Planning &amp; Economic Dev.</v>
      </c>
      <c r="V2324" s="18" t="s">
        <v>7630</v>
      </c>
      <c r="W2324" s="48">
        <v>1</v>
      </c>
      <c r="X2324" s="48">
        <v>1</v>
      </c>
      <c r="Y2324" s="48">
        <v>1</v>
      </c>
      <c r="Z2324" s="48">
        <v>1</v>
      </c>
      <c r="AA2324" s="48">
        <v>1</v>
      </c>
      <c r="AB2324" s="48">
        <v>1</v>
      </c>
      <c r="AC2324" s="150">
        <v>1</v>
      </c>
      <c r="AD2324" s="150">
        <v>1</v>
      </c>
      <c r="AE2324" s="49">
        <f t="shared" si="121"/>
        <v>1</v>
      </c>
      <c r="AF2324" s="176"/>
      <c r="AG2324" s="17">
        <v>0</v>
      </c>
      <c r="AH2324" s="176">
        <v>2.1800000000000002</v>
      </c>
      <c r="AI2324" s="176">
        <v>4.3499999999999996</v>
      </c>
      <c r="AJ2324" s="176">
        <v>4.3499999999999996</v>
      </c>
      <c r="AK2324" s="177">
        <v>4.3499999999999996</v>
      </c>
      <c r="AL2324" s="177">
        <v>4.3499999999999996</v>
      </c>
      <c r="AM2324" s="17">
        <f t="shared" si="122"/>
        <v>8.6999999999999993</v>
      </c>
      <c r="AN2324" s="18" t="s">
        <v>921</v>
      </c>
      <c r="AO2324" s="18" t="s">
        <v>880</v>
      </c>
    </row>
    <row r="2325" spans="1:42" s="18" customFormat="1" ht="15" hidden="1" customHeight="1" x14ac:dyDescent="0.3">
      <c r="A2325" s="207" t="s">
        <v>7397</v>
      </c>
      <c r="B2325" s="18" t="s">
        <v>7398</v>
      </c>
      <c r="C2325" s="208" t="s">
        <v>7589</v>
      </c>
      <c r="D2325" s="18" t="s">
        <v>7590</v>
      </c>
      <c r="E2325" s="208" t="s">
        <v>7591</v>
      </c>
      <c r="F2325" s="18" t="s">
        <v>7592</v>
      </c>
      <c r="G2325" s="156" t="s">
        <v>7623</v>
      </c>
      <c r="H2325" s="18" t="s">
        <v>7624</v>
      </c>
      <c r="I2325" s="156"/>
      <c r="K2325" s="156" t="s">
        <v>7625</v>
      </c>
      <c r="L2325" s="18" t="s">
        <v>7626</v>
      </c>
      <c r="M2325" s="18" t="s">
        <v>7631</v>
      </c>
      <c r="N2325" s="16">
        <v>0</v>
      </c>
      <c r="O2325" s="16">
        <v>1</v>
      </c>
      <c r="P2325" s="16">
        <v>1</v>
      </c>
      <c r="Q2325" s="16">
        <v>1</v>
      </c>
      <c r="R2325" s="16">
        <v>1</v>
      </c>
      <c r="S2325" s="16">
        <v>1</v>
      </c>
      <c r="T2325" s="18" t="s">
        <v>921</v>
      </c>
      <c r="U2325" t="str">
        <f>VLOOKUP(T2325,[8]Votes!$A$1:$E$234,3,FALSE)</f>
        <v>008 Ministry of Finance, Planning &amp; Economic Dev.</v>
      </c>
      <c r="W2325" s="48"/>
      <c r="X2325" s="48"/>
      <c r="Y2325" s="48"/>
      <c r="Z2325" s="48"/>
      <c r="AA2325" s="48"/>
      <c r="AB2325" s="48"/>
      <c r="AC2325" s="150">
        <v>0</v>
      </c>
      <c r="AD2325" s="150">
        <v>0</v>
      </c>
      <c r="AE2325" s="49">
        <f t="shared" si="121"/>
        <v>0</v>
      </c>
      <c r="AF2325" s="17"/>
      <c r="AG2325" s="17">
        <v>0</v>
      </c>
      <c r="AH2325" s="17"/>
      <c r="AI2325" s="17"/>
      <c r="AJ2325" s="17"/>
      <c r="AK2325" s="154"/>
      <c r="AL2325" s="154"/>
      <c r="AM2325" s="17">
        <f t="shared" si="122"/>
        <v>0</v>
      </c>
    </row>
    <row r="2326" spans="1:42" s="18" customFormat="1" ht="15" customHeight="1" x14ac:dyDescent="0.3">
      <c r="A2326" s="207" t="s">
        <v>7397</v>
      </c>
      <c r="B2326" s="18" t="s">
        <v>7398</v>
      </c>
      <c r="C2326" s="208" t="s">
        <v>7589</v>
      </c>
      <c r="D2326" s="18" t="s">
        <v>7590</v>
      </c>
      <c r="E2326" s="208" t="s">
        <v>7591</v>
      </c>
      <c r="F2326" s="18" t="s">
        <v>7592</v>
      </c>
      <c r="G2326" s="156" t="s">
        <v>7623</v>
      </c>
      <c r="H2326" s="18" t="s">
        <v>7624</v>
      </c>
      <c r="I2326" s="156"/>
      <c r="K2326" s="156" t="s">
        <v>7625</v>
      </c>
      <c r="L2326" s="18" t="s">
        <v>7626</v>
      </c>
      <c r="M2326" s="18" t="s">
        <v>7632</v>
      </c>
      <c r="N2326" s="16">
        <v>0</v>
      </c>
      <c r="O2326" s="16">
        <v>0</v>
      </c>
      <c r="P2326" s="16">
        <v>1</v>
      </c>
      <c r="Q2326" s="16">
        <v>0</v>
      </c>
      <c r="R2326" s="16">
        <v>0</v>
      </c>
      <c r="S2326" s="16">
        <v>0</v>
      </c>
      <c r="T2326" s="18" t="s">
        <v>921</v>
      </c>
      <c r="U2326" t="str">
        <f>VLOOKUP(T2326,[8]Votes!$A$1:$E$234,3,FALSE)</f>
        <v>008 Ministry of Finance, Planning &amp; Economic Dev.</v>
      </c>
      <c r="V2326" s="18" t="s">
        <v>7633</v>
      </c>
      <c r="W2326" s="48">
        <v>1</v>
      </c>
      <c r="X2326" s="48">
        <v>1</v>
      </c>
      <c r="Y2326" s="48">
        <v>0</v>
      </c>
      <c r="Z2326" s="48">
        <v>1</v>
      </c>
      <c r="AA2326" s="48">
        <v>1</v>
      </c>
      <c r="AB2326" s="48">
        <v>1</v>
      </c>
      <c r="AC2326" s="150">
        <v>1</v>
      </c>
      <c r="AD2326" s="150">
        <v>1</v>
      </c>
      <c r="AE2326" s="49">
        <f t="shared" si="121"/>
        <v>0.875</v>
      </c>
      <c r="AF2326" s="176"/>
      <c r="AG2326" s="17">
        <v>0</v>
      </c>
      <c r="AH2326" s="176">
        <v>0</v>
      </c>
      <c r="AI2326" s="176">
        <v>0.28999999999999998</v>
      </c>
      <c r="AJ2326" s="176">
        <v>0</v>
      </c>
      <c r="AK2326" s="177">
        <v>0.3</v>
      </c>
      <c r="AL2326" s="177">
        <v>0.2</v>
      </c>
      <c r="AM2326" s="17">
        <f t="shared" si="122"/>
        <v>0.5</v>
      </c>
      <c r="AN2326" s="18" t="s">
        <v>921</v>
      </c>
      <c r="AO2326" s="18" t="s">
        <v>880</v>
      </c>
    </row>
    <row r="2327" spans="1:42" s="18" customFormat="1" ht="15" customHeight="1" x14ac:dyDescent="0.3">
      <c r="A2327" s="207" t="s">
        <v>7397</v>
      </c>
      <c r="B2327" s="18" t="s">
        <v>7398</v>
      </c>
      <c r="C2327" s="208" t="s">
        <v>7589</v>
      </c>
      <c r="D2327" s="18" t="s">
        <v>7590</v>
      </c>
      <c r="E2327" s="208" t="s">
        <v>7591</v>
      </c>
      <c r="F2327" s="18" t="s">
        <v>7592</v>
      </c>
      <c r="G2327" s="156" t="s">
        <v>7623</v>
      </c>
      <c r="H2327" s="18" t="s">
        <v>7624</v>
      </c>
      <c r="I2327" s="156"/>
      <c r="K2327" s="156" t="s">
        <v>7634</v>
      </c>
      <c r="L2327" s="18" t="s">
        <v>7635</v>
      </c>
      <c r="M2327" s="18" t="s">
        <v>7636</v>
      </c>
      <c r="N2327" s="16">
        <v>5</v>
      </c>
      <c r="O2327" s="16">
        <v>2</v>
      </c>
      <c r="P2327" s="16">
        <v>3</v>
      </c>
      <c r="Q2327" s="16">
        <v>3</v>
      </c>
      <c r="R2327" s="16">
        <v>1</v>
      </c>
      <c r="S2327" s="16">
        <v>1</v>
      </c>
      <c r="T2327" s="18" t="s">
        <v>2571</v>
      </c>
      <c r="U2327" t="str">
        <f>VLOOKUP(T2327,[8]Votes!$A$1:$E$234,3,FALSE)</f>
        <v>122 Kampala Capital City Authority</v>
      </c>
      <c r="V2327" s="18" t="s">
        <v>7637</v>
      </c>
      <c r="W2327" s="48">
        <v>1</v>
      </c>
      <c r="X2327" s="48">
        <v>1</v>
      </c>
      <c r="Y2327" s="48">
        <v>1</v>
      </c>
      <c r="Z2327" s="48">
        <v>1</v>
      </c>
      <c r="AA2327" s="48">
        <v>1</v>
      </c>
      <c r="AB2327" s="48">
        <v>1</v>
      </c>
      <c r="AC2327" s="150">
        <v>0</v>
      </c>
      <c r="AD2327" s="150">
        <v>1</v>
      </c>
      <c r="AE2327" s="49">
        <f t="shared" si="121"/>
        <v>0.875</v>
      </c>
      <c r="AF2327" s="176"/>
      <c r="AG2327" s="17">
        <v>0</v>
      </c>
      <c r="AH2327" s="176">
        <v>1.26</v>
      </c>
      <c r="AI2327" s="176">
        <v>0.73</v>
      </c>
      <c r="AJ2327" s="176">
        <v>0.73</v>
      </c>
      <c r="AK2327" s="177">
        <v>1.53</v>
      </c>
      <c r="AL2327" s="177">
        <v>2.73</v>
      </c>
      <c r="AM2327" s="17">
        <f t="shared" si="122"/>
        <v>4.26</v>
      </c>
      <c r="AN2327" s="18" t="s">
        <v>2571</v>
      </c>
      <c r="AO2327" s="18" t="s">
        <v>2573</v>
      </c>
    </row>
    <row r="2328" spans="1:42" s="18" customFormat="1" ht="15" customHeight="1" x14ac:dyDescent="0.3">
      <c r="A2328" s="207" t="s">
        <v>7397</v>
      </c>
      <c r="B2328" s="18" t="s">
        <v>7398</v>
      </c>
      <c r="C2328" s="208" t="s">
        <v>7589</v>
      </c>
      <c r="D2328" s="18" t="s">
        <v>7590</v>
      </c>
      <c r="E2328" s="208" t="s">
        <v>7591</v>
      </c>
      <c r="F2328" s="18" t="s">
        <v>7592</v>
      </c>
      <c r="G2328" s="156" t="s">
        <v>7638</v>
      </c>
      <c r="H2328" s="18" t="s">
        <v>7639</v>
      </c>
      <c r="I2328" s="156"/>
      <c r="K2328" s="156" t="s">
        <v>7640</v>
      </c>
      <c r="L2328" s="18" t="s">
        <v>7641</v>
      </c>
      <c r="M2328" s="18" t="s">
        <v>7642</v>
      </c>
      <c r="N2328" s="16">
        <v>0</v>
      </c>
      <c r="O2328" s="16">
        <v>0</v>
      </c>
      <c r="P2328" s="16">
        <v>1</v>
      </c>
      <c r="Q2328" s="16">
        <v>0</v>
      </c>
      <c r="R2328" s="16">
        <v>0</v>
      </c>
      <c r="S2328" s="16">
        <v>0</v>
      </c>
      <c r="T2328" s="18" t="s">
        <v>921</v>
      </c>
      <c r="U2328" t="str">
        <f>VLOOKUP(T2328,[8]Votes!$A$1:$E$234,3,FALSE)</f>
        <v>008 Ministry of Finance, Planning &amp; Economic Dev.</v>
      </c>
      <c r="V2328" s="18" t="s">
        <v>7643</v>
      </c>
      <c r="W2328" s="48">
        <v>1</v>
      </c>
      <c r="X2328" s="48">
        <v>1</v>
      </c>
      <c r="Y2328" s="48">
        <v>0</v>
      </c>
      <c r="Z2328" s="48">
        <v>0</v>
      </c>
      <c r="AA2328" s="48">
        <v>1</v>
      </c>
      <c r="AB2328" s="48">
        <v>1</v>
      </c>
      <c r="AC2328" s="150">
        <v>1</v>
      </c>
      <c r="AD2328" s="150">
        <v>1</v>
      </c>
      <c r="AE2328" s="49">
        <f t="shared" si="121"/>
        <v>0.75</v>
      </c>
      <c r="AF2328" s="176"/>
      <c r="AG2328" s="17">
        <v>0</v>
      </c>
      <c r="AH2328" s="176">
        <v>2.89</v>
      </c>
      <c r="AI2328" s="176">
        <v>24.36</v>
      </c>
      <c r="AJ2328" s="176">
        <v>26.1</v>
      </c>
      <c r="AK2328" s="177">
        <v>4</v>
      </c>
      <c r="AL2328" s="177">
        <v>4</v>
      </c>
      <c r="AM2328" s="17">
        <f t="shared" si="122"/>
        <v>8</v>
      </c>
      <c r="AN2328" s="18" t="s">
        <v>921</v>
      </c>
      <c r="AO2328" s="18" t="s">
        <v>880</v>
      </c>
    </row>
    <row r="2329" spans="1:42" s="18" customFormat="1" ht="15" hidden="1" customHeight="1" x14ac:dyDescent="0.3">
      <c r="A2329" s="207" t="s">
        <v>7397</v>
      </c>
      <c r="B2329" s="18" t="s">
        <v>7398</v>
      </c>
      <c r="C2329" s="208" t="s">
        <v>7589</v>
      </c>
      <c r="D2329" s="18" t="s">
        <v>7590</v>
      </c>
      <c r="E2329" s="208" t="s">
        <v>7591</v>
      </c>
      <c r="F2329" s="18" t="s">
        <v>7592</v>
      </c>
      <c r="G2329" s="156" t="s">
        <v>7638</v>
      </c>
      <c r="H2329" s="18" t="s">
        <v>7639</v>
      </c>
      <c r="I2329" s="156"/>
      <c r="K2329" s="156" t="s">
        <v>7640</v>
      </c>
      <c r="L2329" s="18" t="s">
        <v>7641</v>
      </c>
      <c r="M2329" s="18" t="s">
        <v>7644</v>
      </c>
      <c r="N2329" s="16">
        <v>0</v>
      </c>
      <c r="O2329" s="16">
        <v>0</v>
      </c>
      <c r="P2329" s="16">
        <v>0</v>
      </c>
      <c r="Q2329" s="16">
        <v>0</v>
      </c>
      <c r="R2329" s="16">
        <v>0</v>
      </c>
      <c r="S2329" s="16">
        <v>0</v>
      </c>
      <c r="T2329" s="18" t="s">
        <v>921</v>
      </c>
      <c r="U2329" t="str">
        <f>VLOOKUP(T2329,[8]Votes!$A$1:$E$234,3,FALSE)</f>
        <v>008 Ministry of Finance, Planning &amp; Economic Dev.</v>
      </c>
      <c r="W2329" s="48"/>
      <c r="X2329" s="48"/>
      <c r="Y2329" s="48"/>
      <c r="Z2329" s="48"/>
      <c r="AA2329" s="48"/>
      <c r="AB2329" s="48"/>
      <c r="AC2329" s="150">
        <v>0</v>
      </c>
      <c r="AD2329" s="150">
        <v>0</v>
      </c>
      <c r="AE2329" s="49">
        <f t="shared" ref="AE2329:AE2392" si="123">SUM(W2329:AD2329)/8</f>
        <v>0</v>
      </c>
      <c r="AF2329" s="17"/>
      <c r="AG2329" s="17">
        <v>0</v>
      </c>
      <c r="AH2329" s="17"/>
      <c r="AI2329" s="17"/>
      <c r="AJ2329" s="17"/>
      <c r="AK2329" s="154"/>
      <c r="AL2329" s="154"/>
      <c r="AM2329" s="17">
        <f t="shared" ref="AM2329:AM2392" si="124">SUM(AK2329:AL2329)</f>
        <v>0</v>
      </c>
    </row>
    <row r="2330" spans="1:42" s="18" customFormat="1" ht="15" hidden="1" customHeight="1" x14ac:dyDescent="0.3">
      <c r="A2330" s="207" t="s">
        <v>7397</v>
      </c>
      <c r="B2330" s="18" t="s">
        <v>7398</v>
      </c>
      <c r="C2330" s="208" t="s">
        <v>7589</v>
      </c>
      <c r="D2330" s="18" t="s">
        <v>7590</v>
      </c>
      <c r="E2330" s="208" t="s">
        <v>7591</v>
      </c>
      <c r="F2330" s="18" t="s">
        <v>7592</v>
      </c>
      <c r="G2330" s="156" t="s">
        <v>7638</v>
      </c>
      <c r="H2330" s="18" t="s">
        <v>7639</v>
      </c>
      <c r="I2330" s="156"/>
      <c r="K2330" s="156" t="s">
        <v>7640</v>
      </c>
      <c r="L2330" s="18" t="s">
        <v>7641</v>
      </c>
      <c r="M2330" s="18" t="s">
        <v>7645</v>
      </c>
      <c r="N2330" s="16">
        <v>0</v>
      </c>
      <c r="O2330" s="16">
        <v>1</v>
      </c>
      <c r="P2330" s="16">
        <v>0</v>
      </c>
      <c r="Q2330" s="16">
        <v>0</v>
      </c>
      <c r="R2330" s="16">
        <v>0</v>
      </c>
      <c r="S2330" s="16">
        <v>0</v>
      </c>
      <c r="T2330" s="18" t="s">
        <v>921</v>
      </c>
      <c r="U2330" t="str">
        <f>VLOOKUP(T2330,[8]Votes!$A$1:$E$234,3,FALSE)</f>
        <v>008 Ministry of Finance, Planning &amp; Economic Dev.</v>
      </c>
      <c r="W2330" s="48"/>
      <c r="X2330" s="48"/>
      <c r="Y2330" s="48"/>
      <c r="Z2330" s="48"/>
      <c r="AA2330" s="48"/>
      <c r="AB2330" s="48"/>
      <c r="AC2330" s="150">
        <v>0</v>
      </c>
      <c r="AD2330" s="150">
        <v>0</v>
      </c>
      <c r="AE2330" s="49">
        <f t="shared" si="123"/>
        <v>0</v>
      </c>
      <c r="AF2330" s="17"/>
      <c r="AG2330" s="17">
        <v>0</v>
      </c>
      <c r="AH2330" s="17"/>
      <c r="AI2330" s="17"/>
      <c r="AJ2330" s="17"/>
      <c r="AK2330" s="154"/>
      <c r="AL2330" s="154"/>
      <c r="AM2330" s="17">
        <f t="shared" si="124"/>
        <v>0</v>
      </c>
    </row>
    <row r="2331" spans="1:42" s="18" customFormat="1" ht="15" hidden="1" customHeight="1" x14ac:dyDescent="0.3">
      <c r="A2331" s="207" t="s">
        <v>7397</v>
      </c>
      <c r="B2331" s="18" t="s">
        <v>7398</v>
      </c>
      <c r="C2331" s="208" t="s">
        <v>7589</v>
      </c>
      <c r="D2331" s="18" t="s">
        <v>7590</v>
      </c>
      <c r="E2331" s="208" t="s">
        <v>7591</v>
      </c>
      <c r="F2331" s="18" t="s">
        <v>7592</v>
      </c>
      <c r="G2331" s="156" t="s">
        <v>7638</v>
      </c>
      <c r="H2331" s="18" t="s">
        <v>7639</v>
      </c>
      <c r="I2331" s="156"/>
      <c r="K2331" s="156" t="s">
        <v>7640</v>
      </c>
      <c r="L2331" s="18" t="s">
        <v>7641</v>
      </c>
      <c r="M2331" s="18" t="s">
        <v>7646</v>
      </c>
      <c r="N2331" s="16">
        <v>0</v>
      </c>
      <c r="O2331" s="16">
        <v>0</v>
      </c>
      <c r="P2331" s="16">
        <v>1</v>
      </c>
      <c r="Q2331" s="16">
        <v>0</v>
      </c>
      <c r="R2331" s="16">
        <v>0</v>
      </c>
      <c r="S2331" s="16">
        <v>0</v>
      </c>
      <c r="T2331" s="18" t="s">
        <v>921</v>
      </c>
      <c r="U2331" t="str">
        <f>VLOOKUP(T2331,[8]Votes!$A$1:$E$234,3,FALSE)</f>
        <v>008 Ministry of Finance, Planning &amp; Economic Dev.</v>
      </c>
      <c r="W2331" s="48"/>
      <c r="X2331" s="48"/>
      <c r="Y2331" s="48"/>
      <c r="Z2331" s="48"/>
      <c r="AA2331" s="48"/>
      <c r="AB2331" s="48"/>
      <c r="AC2331" s="150">
        <v>0</v>
      </c>
      <c r="AD2331" s="150">
        <v>0</v>
      </c>
      <c r="AE2331" s="49">
        <f t="shared" si="123"/>
        <v>0</v>
      </c>
      <c r="AF2331" s="17"/>
      <c r="AG2331" s="17">
        <v>0</v>
      </c>
      <c r="AH2331" s="17"/>
      <c r="AI2331" s="17"/>
      <c r="AJ2331" s="17"/>
      <c r="AK2331" s="154"/>
      <c r="AL2331" s="154"/>
      <c r="AM2331" s="17">
        <f t="shared" si="124"/>
        <v>0</v>
      </c>
    </row>
    <row r="2332" spans="1:42" s="18" customFormat="1" ht="15" hidden="1" customHeight="1" x14ac:dyDescent="0.3">
      <c r="A2332" s="207" t="s">
        <v>7397</v>
      </c>
      <c r="B2332" s="18" t="s">
        <v>7398</v>
      </c>
      <c r="C2332" s="208" t="s">
        <v>7589</v>
      </c>
      <c r="D2332" s="18" t="s">
        <v>7590</v>
      </c>
      <c r="E2332" s="208" t="s">
        <v>7591</v>
      </c>
      <c r="F2332" s="18" t="s">
        <v>7592</v>
      </c>
      <c r="G2332" s="156" t="s">
        <v>7638</v>
      </c>
      <c r="H2332" s="18" t="s">
        <v>7639</v>
      </c>
      <c r="I2332" s="156"/>
      <c r="K2332" s="156" t="s">
        <v>7640</v>
      </c>
      <c r="L2332" s="18" t="s">
        <v>7641</v>
      </c>
      <c r="M2332" s="18" t="s">
        <v>7647</v>
      </c>
      <c r="N2332" s="16">
        <v>0</v>
      </c>
      <c r="O2332" s="16">
        <v>2</v>
      </c>
      <c r="P2332" s="16">
        <v>2</v>
      </c>
      <c r="Q2332" s="16">
        <v>2</v>
      </c>
      <c r="R2332" s="16">
        <v>2</v>
      </c>
      <c r="S2332" s="16">
        <v>2</v>
      </c>
      <c r="T2332" s="18" t="s">
        <v>921</v>
      </c>
      <c r="U2332" t="str">
        <f>VLOOKUP(T2332,[8]Votes!$A$1:$E$234,3,FALSE)</f>
        <v>008 Ministry of Finance, Planning &amp; Economic Dev.</v>
      </c>
      <c r="W2332" s="48"/>
      <c r="X2332" s="48"/>
      <c r="Y2332" s="48"/>
      <c r="Z2332" s="48"/>
      <c r="AA2332" s="48"/>
      <c r="AB2332" s="48"/>
      <c r="AC2332" s="150">
        <v>0</v>
      </c>
      <c r="AD2332" s="150">
        <v>0</v>
      </c>
      <c r="AE2332" s="49">
        <f t="shared" si="123"/>
        <v>0</v>
      </c>
      <c r="AF2332" s="17"/>
      <c r="AG2332" s="17">
        <v>0</v>
      </c>
      <c r="AH2332" s="17"/>
      <c r="AI2332" s="17"/>
      <c r="AJ2332" s="17"/>
      <c r="AK2332" s="154"/>
      <c r="AL2332" s="154"/>
      <c r="AM2332" s="17">
        <f t="shared" si="124"/>
        <v>0</v>
      </c>
    </row>
    <row r="2333" spans="1:42" s="18" customFormat="1" ht="15" customHeight="1" x14ac:dyDescent="0.3">
      <c r="A2333" s="207" t="s">
        <v>7397</v>
      </c>
      <c r="B2333" s="18" t="s">
        <v>7398</v>
      </c>
      <c r="C2333" s="208" t="s">
        <v>7589</v>
      </c>
      <c r="D2333" s="18" t="s">
        <v>7590</v>
      </c>
      <c r="E2333" s="208" t="s">
        <v>7591</v>
      </c>
      <c r="F2333" s="18" t="s">
        <v>7592</v>
      </c>
      <c r="G2333" s="156" t="s">
        <v>7638</v>
      </c>
      <c r="H2333" s="18" t="s">
        <v>7639</v>
      </c>
      <c r="I2333" s="156"/>
      <c r="K2333" s="156" t="s">
        <v>7648</v>
      </c>
      <c r="L2333" s="18" t="s">
        <v>7649</v>
      </c>
      <c r="M2333" s="18" t="s">
        <v>7650</v>
      </c>
      <c r="N2333" s="16">
        <v>0</v>
      </c>
      <c r="O2333" s="16">
        <v>1</v>
      </c>
      <c r="P2333" s="16">
        <v>1</v>
      </c>
      <c r="Q2333" s="16">
        <v>1</v>
      </c>
      <c r="R2333" s="16">
        <v>1</v>
      </c>
      <c r="S2333" s="16">
        <v>1</v>
      </c>
      <c r="T2333" s="18" t="s">
        <v>921</v>
      </c>
      <c r="U2333" t="str">
        <f>VLOOKUP(T2333,[8]Votes!$A$1:$E$234,3,FALSE)</f>
        <v>008 Ministry of Finance, Planning &amp; Economic Dev.</v>
      </c>
      <c r="V2333" s="18" t="s">
        <v>7651</v>
      </c>
      <c r="W2333" s="48">
        <v>1</v>
      </c>
      <c r="X2333" s="48">
        <v>1</v>
      </c>
      <c r="Y2333" s="48">
        <v>0</v>
      </c>
      <c r="Z2333" s="48">
        <v>1</v>
      </c>
      <c r="AA2333" s="48">
        <v>1</v>
      </c>
      <c r="AB2333" s="48">
        <v>1</v>
      </c>
      <c r="AC2333" s="150">
        <v>0</v>
      </c>
      <c r="AD2333" s="150">
        <v>1</v>
      </c>
      <c r="AE2333" s="49">
        <f t="shared" si="123"/>
        <v>0.75</v>
      </c>
      <c r="AF2333" s="176"/>
      <c r="AG2333" s="17">
        <v>0</v>
      </c>
      <c r="AH2333" s="176">
        <v>0.36</v>
      </c>
      <c r="AI2333" s="176">
        <v>0.36</v>
      </c>
      <c r="AJ2333" s="176">
        <v>0.36</v>
      </c>
      <c r="AK2333" s="177">
        <v>1.36</v>
      </c>
      <c r="AL2333" s="177">
        <v>1.4</v>
      </c>
      <c r="AM2333" s="17">
        <f t="shared" si="124"/>
        <v>2.76</v>
      </c>
      <c r="AN2333" s="18" t="s">
        <v>921</v>
      </c>
      <c r="AO2333" s="18" t="s">
        <v>880</v>
      </c>
    </row>
    <row r="2334" spans="1:42" s="18" customFormat="1" ht="15" customHeight="1" x14ac:dyDescent="0.3">
      <c r="A2334" s="207" t="s">
        <v>7397</v>
      </c>
      <c r="B2334" s="18" t="s">
        <v>7398</v>
      </c>
      <c r="C2334" s="208" t="s">
        <v>7589</v>
      </c>
      <c r="D2334" s="18" t="s">
        <v>7590</v>
      </c>
      <c r="E2334" s="208" t="s">
        <v>7591</v>
      </c>
      <c r="F2334" s="18" t="s">
        <v>7592</v>
      </c>
      <c r="G2334" s="156" t="s">
        <v>7638</v>
      </c>
      <c r="H2334" s="18" t="s">
        <v>7639</v>
      </c>
      <c r="I2334" s="156"/>
      <c r="K2334" s="156" t="s">
        <v>7652</v>
      </c>
      <c r="L2334" s="18" t="s">
        <v>7653</v>
      </c>
      <c r="M2334" s="18" t="s">
        <v>7654</v>
      </c>
      <c r="N2334" s="16">
        <v>0</v>
      </c>
      <c r="O2334" s="16">
        <v>0</v>
      </c>
      <c r="P2334" s="16">
        <v>1</v>
      </c>
      <c r="Q2334" s="16">
        <v>0</v>
      </c>
      <c r="R2334" s="16">
        <v>0</v>
      </c>
      <c r="S2334" s="16">
        <v>0</v>
      </c>
      <c r="T2334" s="18" t="s">
        <v>921</v>
      </c>
      <c r="U2334" t="str">
        <f>VLOOKUP(T2334,[8]Votes!$A$1:$E$234,3,FALSE)</f>
        <v>008 Ministry of Finance, Planning &amp; Economic Dev.</v>
      </c>
      <c r="V2334" s="18" t="s">
        <v>7655</v>
      </c>
      <c r="W2334" s="48">
        <v>1</v>
      </c>
      <c r="X2334" s="48">
        <v>1</v>
      </c>
      <c r="Y2334" s="48">
        <v>0</v>
      </c>
      <c r="Z2334" s="48">
        <v>1</v>
      </c>
      <c r="AA2334" s="48">
        <v>1</v>
      </c>
      <c r="AB2334" s="48">
        <v>1</v>
      </c>
      <c r="AC2334" s="150">
        <v>0</v>
      </c>
      <c r="AD2334" s="150">
        <v>1</v>
      </c>
      <c r="AE2334" s="49">
        <f t="shared" si="123"/>
        <v>0.75</v>
      </c>
      <c r="AF2334" s="176"/>
      <c r="AG2334" s="17">
        <v>0</v>
      </c>
      <c r="AH2334" s="176">
        <v>0</v>
      </c>
      <c r="AI2334" s="176">
        <v>0</v>
      </c>
      <c r="AJ2334" s="176">
        <v>0</v>
      </c>
      <c r="AK2334" s="177">
        <v>0.5</v>
      </c>
      <c r="AL2334" s="177">
        <v>0.5</v>
      </c>
      <c r="AM2334" s="17">
        <f t="shared" si="124"/>
        <v>1</v>
      </c>
      <c r="AN2334" s="18" t="s">
        <v>921</v>
      </c>
      <c r="AO2334" s="18" t="s">
        <v>880</v>
      </c>
    </row>
    <row r="2335" spans="1:42" s="18" customFormat="1" ht="15" customHeight="1" x14ac:dyDescent="0.3">
      <c r="A2335" s="207" t="s">
        <v>7397</v>
      </c>
      <c r="B2335" s="18" t="s">
        <v>7398</v>
      </c>
      <c r="C2335" s="208" t="s">
        <v>7589</v>
      </c>
      <c r="D2335" s="18" t="s">
        <v>7590</v>
      </c>
      <c r="E2335" s="208" t="s">
        <v>7591</v>
      </c>
      <c r="F2335" s="18" t="s">
        <v>7592</v>
      </c>
      <c r="G2335" s="156" t="s">
        <v>7638</v>
      </c>
      <c r="H2335" s="18" t="s">
        <v>7639</v>
      </c>
      <c r="I2335" s="156"/>
      <c r="K2335" s="156" t="s">
        <v>7656</v>
      </c>
      <c r="L2335" s="18" t="s">
        <v>7657</v>
      </c>
      <c r="M2335" s="18" t="s">
        <v>7658</v>
      </c>
      <c r="N2335" s="16">
        <v>0</v>
      </c>
      <c r="O2335" s="16">
        <v>0</v>
      </c>
      <c r="P2335" s="16">
        <v>1</v>
      </c>
      <c r="Q2335" s="16">
        <v>0</v>
      </c>
      <c r="R2335" s="16">
        <v>0</v>
      </c>
      <c r="S2335" s="16">
        <v>0</v>
      </c>
      <c r="T2335" s="18" t="s">
        <v>921</v>
      </c>
      <c r="U2335" t="str">
        <f>VLOOKUP(T2335,[8]Votes!$A$1:$E$234,3,FALSE)</f>
        <v>008 Ministry of Finance, Planning &amp; Economic Dev.</v>
      </c>
      <c r="V2335" s="223" t="s">
        <v>7659</v>
      </c>
      <c r="W2335" s="282">
        <v>1</v>
      </c>
      <c r="X2335" s="282">
        <v>1</v>
      </c>
      <c r="Y2335" s="282">
        <v>0</v>
      </c>
      <c r="Z2335" s="282">
        <v>1</v>
      </c>
      <c r="AA2335" s="282">
        <v>1</v>
      </c>
      <c r="AB2335" s="282">
        <v>1</v>
      </c>
      <c r="AC2335" s="150">
        <v>0</v>
      </c>
      <c r="AD2335" s="150">
        <v>1</v>
      </c>
      <c r="AE2335" s="49">
        <f t="shared" si="123"/>
        <v>0.75</v>
      </c>
      <c r="AF2335" s="360"/>
      <c r="AG2335" s="17">
        <v>0</v>
      </c>
      <c r="AH2335" s="360"/>
      <c r="AI2335" s="360"/>
      <c r="AJ2335" s="360"/>
      <c r="AK2335" s="361">
        <v>0.57999999999999996</v>
      </c>
      <c r="AL2335" s="361">
        <v>0.59</v>
      </c>
      <c r="AM2335" s="17">
        <f t="shared" si="124"/>
        <v>1.17</v>
      </c>
      <c r="AN2335" s="162" t="s">
        <v>921</v>
      </c>
      <c r="AO2335" s="162" t="s">
        <v>880</v>
      </c>
      <c r="AP2335" s="223"/>
    </row>
    <row r="2336" spans="1:42" s="18" customFormat="1" hidden="1" x14ac:dyDescent="0.3">
      <c r="A2336" s="207" t="s">
        <v>7397</v>
      </c>
      <c r="B2336" s="18" t="s">
        <v>7398</v>
      </c>
      <c r="C2336" s="208" t="s">
        <v>7589</v>
      </c>
      <c r="D2336" s="18" t="s">
        <v>7590</v>
      </c>
      <c r="E2336" s="208" t="s">
        <v>7591</v>
      </c>
      <c r="F2336" s="18" t="s">
        <v>7592</v>
      </c>
      <c r="G2336" s="156" t="s">
        <v>7638</v>
      </c>
      <c r="H2336" s="18" t="s">
        <v>7639</v>
      </c>
      <c r="I2336" s="156"/>
      <c r="K2336" s="156" t="s">
        <v>7660</v>
      </c>
      <c r="L2336" s="18" t="s">
        <v>7661</v>
      </c>
      <c r="M2336" s="18" t="s">
        <v>7662</v>
      </c>
      <c r="N2336" s="16">
        <v>0</v>
      </c>
      <c r="O2336" s="16">
        <v>0</v>
      </c>
      <c r="P2336" s="16">
        <v>1</v>
      </c>
      <c r="Q2336" s="16">
        <v>0</v>
      </c>
      <c r="R2336" s="16">
        <v>0</v>
      </c>
      <c r="S2336" s="16">
        <v>0</v>
      </c>
      <c r="T2336" s="18" t="s">
        <v>921</v>
      </c>
      <c r="U2336" t="str">
        <f>VLOOKUP(T2336,[8]Votes!$A$1:$E$234,3,FALSE)</f>
        <v>008 Ministry of Finance, Planning &amp; Economic Dev.</v>
      </c>
      <c r="V2336" s="18" t="s">
        <v>7663</v>
      </c>
      <c r="W2336" s="48">
        <v>1</v>
      </c>
      <c r="X2336" s="48">
        <v>0</v>
      </c>
      <c r="Y2336" s="48">
        <v>0</v>
      </c>
      <c r="Z2336" s="48">
        <v>1</v>
      </c>
      <c r="AA2336" s="48">
        <v>1</v>
      </c>
      <c r="AB2336" s="48">
        <v>0</v>
      </c>
      <c r="AC2336" s="150">
        <v>1</v>
      </c>
      <c r="AD2336" s="150">
        <v>1</v>
      </c>
      <c r="AE2336" s="49">
        <f t="shared" si="123"/>
        <v>0.625</v>
      </c>
      <c r="AF2336" s="176"/>
      <c r="AG2336" s="17">
        <v>0</v>
      </c>
      <c r="AH2336" s="176">
        <v>0.77</v>
      </c>
      <c r="AI2336" s="176">
        <v>0.46</v>
      </c>
      <c r="AJ2336" s="176">
        <v>0.13</v>
      </c>
      <c r="AK2336" s="177">
        <v>0.4</v>
      </c>
      <c r="AL2336" s="177">
        <v>0.4</v>
      </c>
      <c r="AM2336" s="17">
        <f t="shared" si="124"/>
        <v>0.8</v>
      </c>
      <c r="AN2336" s="18" t="s">
        <v>921</v>
      </c>
      <c r="AO2336" s="18" t="s">
        <v>880</v>
      </c>
    </row>
    <row r="2337" spans="1:42" s="18" customFormat="1" ht="15" customHeight="1" x14ac:dyDescent="0.3">
      <c r="A2337" s="207" t="s">
        <v>7397</v>
      </c>
      <c r="B2337" s="18" t="s">
        <v>7398</v>
      </c>
      <c r="C2337" s="208" t="s">
        <v>7589</v>
      </c>
      <c r="D2337" s="18" t="s">
        <v>7590</v>
      </c>
      <c r="E2337" s="208" t="s">
        <v>7591</v>
      </c>
      <c r="F2337" s="18" t="s">
        <v>7592</v>
      </c>
      <c r="G2337" s="156" t="s">
        <v>7638</v>
      </c>
      <c r="H2337" s="18" t="s">
        <v>7639</v>
      </c>
      <c r="I2337" s="156"/>
      <c r="K2337" s="156" t="s">
        <v>7664</v>
      </c>
      <c r="L2337" s="18" t="s">
        <v>7665</v>
      </c>
      <c r="M2337" s="18" t="s">
        <v>7666</v>
      </c>
      <c r="N2337" s="16">
        <v>0</v>
      </c>
      <c r="O2337" s="16">
        <v>1</v>
      </c>
      <c r="P2337" s="16">
        <v>0</v>
      </c>
      <c r="Q2337" s="16">
        <v>0</v>
      </c>
      <c r="R2337" s="16">
        <v>0</v>
      </c>
      <c r="S2337" s="16">
        <v>0</v>
      </c>
      <c r="T2337" s="18" t="s">
        <v>921</v>
      </c>
      <c r="U2337" t="str">
        <f>VLOOKUP(T2337,[8]Votes!$A$1:$E$234,3,FALSE)</f>
        <v>008 Ministry of Finance, Planning &amp; Economic Dev.</v>
      </c>
      <c r="V2337" s="18" t="s">
        <v>7667</v>
      </c>
      <c r="W2337" s="48">
        <v>1</v>
      </c>
      <c r="X2337" s="48">
        <v>1</v>
      </c>
      <c r="Y2337" s="48">
        <v>0</v>
      </c>
      <c r="Z2337" s="48">
        <v>1</v>
      </c>
      <c r="AA2337" s="48">
        <v>1</v>
      </c>
      <c r="AB2337" s="48">
        <v>1</v>
      </c>
      <c r="AC2337" s="150">
        <v>0</v>
      </c>
      <c r="AD2337" s="150">
        <v>1</v>
      </c>
      <c r="AE2337" s="49">
        <f t="shared" si="123"/>
        <v>0.75</v>
      </c>
      <c r="AF2337" s="255"/>
      <c r="AG2337" s="17">
        <v>0</v>
      </c>
      <c r="AH2337" s="255">
        <v>0</v>
      </c>
      <c r="AI2337" s="255">
        <v>0.28999999999999998</v>
      </c>
      <c r="AJ2337" s="255">
        <v>0</v>
      </c>
      <c r="AK2337" s="256">
        <v>0</v>
      </c>
      <c r="AL2337" s="256">
        <v>0</v>
      </c>
      <c r="AM2337" s="17">
        <f t="shared" si="124"/>
        <v>0</v>
      </c>
      <c r="AN2337" s="18" t="s">
        <v>921</v>
      </c>
      <c r="AO2337" s="18" t="s">
        <v>880</v>
      </c>
    </row>
    <row r="2338" spans="1:42" s="18" customFormat="1" ht="15" customHeight="1" x14ac:dyDescent="0.3">
      <c r="A2338" s="207" t="s">
        <v>7397</v>
      </c>
      <c r="B2338" s="18" t="s">
        <v>7398</v>
      </c>
      <c r="C2338" s="208" t="s">
        <v>7589</v>
      </c>
      <c r="D2338" s="18" t="s">
        <v>7590</v>
      </c>
      <c r="E2338" s="208" t="s">
        <v>7591</v>
      </c>
      <c r="F2338" s="18" t="s">
        <v>7592</v>
      </c>
      <c r="G2338" s="156" t="s">
        <v>7638</v>
      </c>
      <c r="H2338" s="18" t="s">
        <v>7639</v>
      </c>
      <c r="I2338" s="156"/>
      <c r="K2338" s="156" t="s">
        <v>7664</v>
      </c>
      <c r="L2338" s="18" t="s">
        <v>7665</v>
      </c>
      <c r="N2338" s="16"/>
      <c r="O2338" s="16"/>
      <c r="P2338" s="16"/>
      <c r="Q2338" s="16"/>
      <c r="R2338" s="16"/>
      <c r="S2338" s="16"/>
      <c r="T2338" s="18" t="s">
        <v>921</v>
      </c>
      <c r="U2338" t="str">
        <f>VLOOKUP(T2338,[8]Votes!$A$1:$E$234,3,FALSE)</f>
        <v>008 Ministry of Finance, Planning &amp; Economic Dev.</v>
      </c>
      <c r="V2338" s="18" t="s">
        <v>7668</v>
      </c>
      <c r="W2338" s="48">
        <v>1</v>
      </c>
      <c r="X2338" s="48">
        <v>1</v>
      </c>
      <c r="Y2338" s="48">
        <v>0</v>
      </c>
      <c r="Z2338" s="48">
        <v>1</v>
      </c>
      <c r="AA2338" s="48">
        <v>1</v>
      </c>
      <c r="AB2338" s="48">
        <v>1</v>
      </c>
      <c r="AC2338" s="150"/>
      <c r="AD2338" s="150">
        <v>1</v>
      </c>
      <c r="AE2338" s="49">
        <f t="shared" si="123"/>
        <v>0.75</v>
      </c>
      <c r="AF2338" s="255"/>
      <c r="AG2338" s="17">
        <v>0</v>
      </c>
      <c r="AH2338" s="255">
        <v>0</v>
      </c>
      <c r="AI2338" s="255">
        <v>0.28999999999999998</v>
      </c>
      <c r="AJ2338" s="255">
        <v>0.28999999999999998</v>
      </c>
      <c r="AK2338" s="256">
        <v>0</v>
      </c>
      <c r="AL2338" s="256">
        <v>0</v>
      </c>
      <c r="AM2338" s="17">
        <f t="shared" si="124"/>
        <v>0</v>
      </c>
      <c r="AN2338" s="18" t="s">
        <v>921</v>
      </c>
      <c r="AO2338" s="18" t="s">
        <v>880</v>
      </c>
    </row>
    <row r="2339" spans="1:42" s="18" customFormat="1" ht="15" hidden="1" customHeight="1" x14ac:dyDescent="0.3">
      <c r="A2339" s="207" t="s">
        <v>7397</v>
      </c>
      <c r="B2339" s="18" t="s">
        <v>7398</v>
      </c>
      <c r="C2339" s="208" t="s">
        <v>7589</v>
      </c>
      <c r="D2339" s="18" t="s">
        <v>7590</v>
      </c>
      <c r="E2339" s="208" t="s">
        <v>7591</v>
      </c>
      <c r="F2339" s="18" t="s">
        <v>7592</v>
      </c>
      <c r="G2339" s="156" t="s">
        <v>7638</v>
      </c>
      <c r="H2339" s="18" t="s">
        <v>7639</v>
      </c>
      <c r="I2339" s="156"/>
      <c r="K2339" s="156" t="s">
        <v>7669</v>
      </c>
      <c r="L2339" s="18" t="s">
        <v>7670</v>
      </c>
      <c r="M2339" s="18" t="s">
        <v>7671</v>
      </c>
      <c r="N2339" s="16">
        <v>0</v>
      </c>
      <c r="O2339" s="16">
        <v>0</v>
      </c>
      <c r="P2339" s="16">
        <v>0</v>
      </c>
      <c r="Q2339" s="16">
        <v>1</v>
      </c>
      <c r="R2339" s="16">
        <v>0</v>
      </c>
      <c r="S2339" s="16">
        <v>0</v>
      </c>
      <c r="T2339" s="18" t="s">
        <v>7672</v>
      </c>
      <c r="U2339" t="e">
        <f>VLOOKUP(T2339,[8]Votes!$A$1:$E$234,3,FALSE)</f>
        <v>#N/A</v>
      </c>
      <c r="V2339" s="18" t="s">
        <v>7673</v>
      </c>
      <c r="W2339" s="48">
        <v>1</v>
      </c>
      <c r="X2339" s="48"/>
      <c r="Y2339" s="48">
        <v>0</v>
      </c>
      <c r="Z2339" s="48">
        <v>1</v>
      </c>
      <c r="AA2339" s="48">
        <v>1</v>
      </c>
      <c r="AB2339" s="48">
        <v>1</v>
      </c>
      <c r="AC2339" s="150">
        <v>0</v>
      </c>
      <c r="AD2339" s="150">
        <v>1</v>
      </c>
      <c r="AE2339" s="49">
        <f t="shared" si="123"/>
        <v>0.625</v>
      </c>
      <c r="AF2339" s="255"/>
      <c r="AG2339" s="17">
        <v>0</v>
      </c>
      <c r="AH2339" s="255">
        <v>0</v>
      </c>
      <c r="AI2339" s="255">
        <v>0.72499999999999998</v>
      </c>
      <c r="AJ2339" s="255">
        <v>0.72499999999999998</v>
      </c>
      <c r="AK2339" s="256">
        <v>0.73</v>
      </c>
      <c r="AL2339" s="256">
        <v>1</v>
      </c>
      <c r="AM2339" s="17">
        <f t="shared" si="124"/>
        <v>1.73</v>
      </c>
      <c r="AN2339" s="18" t="s">
        <v>5019</v>
      </c>
      <c r="AO2339" s="18" t="s">
        <v>880</v>
      </c>
      <c r="AP2339" s="18" t="s">
        <v>1191</v>
      </c>
    </row>
    <row r="2340" spans="1:42" s="18" customFormat="1" ht="15" hidden="1" customHeight="1" x14ac:dyDescent="0.3">
      <c r="A2340" s="207" t="s">
        <v>7397</v>
      </c>
      <c r="B2340" s="18" t="s">
        <v>7398</v>
      </c>
      <c r="C2340" s="208" t="s">
        <v>7589</v>
      </c>
      <c r="D2340" s="18" t="s">
        <v>7590</v>
      </c>
      <c r="E2340" s="208" t="s">
        <v>7591</v>
      </c>
      <c r="F2340" s="18" t="s">
        <v>7592</v>
      </c>
      <c r="G2340" s="156" t="s">
        <v>7638</v>
      </c>
      <c r="H2340" s="18" t="s">
        <v>7639</v>
      </c>
      <c r="I2340" s="156"/>
      <c r="K2340" s="156" t="s">
        <v>7669</v>
      </c>
      <c r="L2340" s="18" t="s">
        <v>7670</v>
      </c>
      <c r="M2340" s="18" t="s">
        <v>7674</v>
      </c>
      <c r="N2340" s="16">
        <v>0</v>
      </c>
      <c r="O2340" s="16">
        <v>1</v>
      </c>
      <c r="P2340" s="16">
        <v>1</v>
      </c>
      <c r="Q2340" s="16">
        <v>1</v>
      </c>
      <c r="R2340" s="16">
        <v>1</v>
      </c>
      <c r="S2340" s="16">
        <v>1</v>
      </c>
      <c r="T2340" s="18" t="s">
        <v>921</v>
      </c>
      <c r="U2340" t="str">
        <f>VLOOKUP(T2340,[8]Votes!$A$1:$E$234,3,FALSE)</f>
        <v>008 Ministry of Finance, Planning &amp; Economic Dev.</v>
      </c>
      <c r="W2340" s="48"/>
      <c r="X2340" s="48"/>
      <c r="Y2340" s="48"/>
      <c r="Z2340" s="48"/>
      <c r="AA2340" s="48"/>
      <c r="AB2340" s="48"/>
      <c r="AC2340" s="150">
        <v>0</v>
      </c>
      <c r="AD2340" s="150">
        <v>0</v>
      </c>
      <c r="AE2340" s="49">
        <f t="shared" si="123"/>
        <v>0</v>
      </c>
      <c r="AF2340" s="17"/>
      <c r="AG2340" s="17">
        <v>0</v>
      </c>
      <c r="AH2340" s="17"/>
      <c r="AI2340" s="17"/>
      <c r="AJ2340" s="17"/>
      <c r="AK2340" s="154"/>
      <c r="AL2340" s="154"/>
      <c r="AM2340" s="17">
        <f t="shared" si="124"/>
        <v>0</v>
      </c>
    </row>
    <row r="2341" spans="1:42" s="18" customFormat="1" ht="15" customHeight="1" x14ac:dyDescent="0.3">
      <c r="A2341" s="207" t="s">
        <v>7397</v>
      </c>
      <c r="B2341" s="18" t="s">
        <v>7398</v>
      </c>
      <c r="C2341" s="208" t="s">
        <v>7589</v>
      </c>
      <c r="D2341" s="18" t="s">
        <v>7590</v>
      </c>
      <c r="E2341" s="208" t="s">
        <v>7591</v>
      </c>
      <c r="F2341" s="18" t="s">
        <v>7592</v>
      </c>
      <c r="G2341" s="156" t="s">
        <v>7638</v>
      </c>
      <c r="H2341" s="18" t="s">
        <v>7639</v>
      </c>
      <c r="I2341" s="156"/>
      <c r="K2341" s="156" t="s">
        <v>7675</v>
      </c>
      <c r="L2341" s="18" t="s">
        <v>7676</v>
      </c>
      <c r="M2341" s="18" t="s">
        <v>7677</v>
      </c>
      <c r="N2341" s="16">
        <v>1</v>
      </c>
      <c r="O2341" s="16">
        <v>1</v>
      </c>
      <c r="P2341" s="16">
        <v>1</v>
      </c>
      <c r="Q2341" s="16">
        <v>1</v>
      </c>
      <c r="R2341" s="16">
        <v>1</v>
      </c>
      <c r="S2341" s="16">
        <v>1</v>
      </c>
      <c r="T2341" s="18" t="s">
        <v>2571</v>
      </c>
      <c r="U2341" t="str">
        <f>VLOOKUP(T2341,[8]Votes!$A$1:$E$234,3,FALSE)</f>
        <v>122 Kampala Capital City Authority</v>
      </c>
      <c r="V2341" s="18" t="s">
        <v>7678</v>
      </c>
      <c r="W2341" s="48">
        <v>1</v>
      </c>
      <c r="X2341" s="48">
        <v>1</v>
      </c>
      <c r="Y2341" s="48">
        <v>0</v>
      </c>
      <c r="Z2341" s="48">
        <v>1</v>
      </c>
      <c r="AA2341" s="48">
        <v>1</v>
      </c>
      <c r="AB2341" s="48">
        <v>0</v>
      </c>
      <c r="AC2341" s="150">
        <v>1</v>
      </c>
      <c r="AD2341" s="150">
        <v>1</v>
      </c>
      <c r="AE2341" s="49">
        <f t="shared" si="123"/>
        <v>0.75</v>
      </c>
      <c r="AF2341" s="176"/>
      <c r="AG2341" s="17">
        <v>0</v>
      </c>
      <c r="AH2341" s="176">
        <v>1.49</v>
      </c>
      <c r="AI2341" s="176">
        <v>0.56999999999999995</v>
      </c>
      <c r="AJ2341" s="176">
        <v>0.56000000000000005</v>
      </c>
      <c r="AK2341" s="177">
        <v>0.56000000000000005</v>
      </c>
      <c r="AL2341" s="177">
        <v>1.56</v>
      </c>
      <c r="AM2341" s="17">
        <f t="shared" si="124"/>
        <v>2.12</v>
      </c>
      <c r="AN2341" s="18" t="s">
        <v>2571</v>
      </c>
    </row>
    <row r="2342" spans="1:42" s="18" customFormat="1" ht="15" customHeight="1" x14ac:dyDescent="0.3">
      <c r="A2342" s="207" t="s">
        <v>7397</v>
      </c>
      <c r="B2342" s="18" t="s">
        <v>7398</v>
      </c>
      <c r="C2342" s="208" t="s">
        <v>7589</v>
      </c>
      <c r="D2342" s="18" t="s">
        <v>7590</v>
      </c>
      <c r="E2342" s="208" t="s">
        <v>7591</v>
      </c>
      <c r="F2342" s="18" t="s">
        <v>7592</v>
      </c>
      <c r="G2342" s="156" t="s">
        <v>7638</v>
      </c>
      <c r="H2342" s="18" t="s">
        <v>7639</v>
      </c>
      <c r="I2342" s="156"/>
      <c r="K2342" s="156" t="s">
        <v>7679</v>
      </c>
      <c r="L2342" s="18" t="s">
        <v>7680</v>
      </c>
      <c r="M2342" s="18" t="s">
        <v>7681</v>
      </c>
      <c r="N2342" s="16">
        <v>225.8</v>
      </c>
      <c r="O2342" s="16">
        <v>228</v>
      </c>
      <c r="P2342" s="16">
        <v>230</v>
      </c>
      <c r="Q2342" s="16">
        <v>232</v>
      </c>
      <c r="R2342" s="16">
        <v>234</v>
      </c>
      <c r="S2342" s="16">
        <v>236</v>
      </c>
      <c r="T2342" s="18" t="s">
        <v>1233</v>
      </c>
      <c r="U2342" t="str">
        <f>VLOOKUP(T2342,[8]Votes!$A$1:$E$234,3,FALSE)</f>
        <v>006 Ministry of Foreign Affairs</v>
      </c>
      <c r="V2342" s="18" t="s">
        <v>7682</v>
      </c>
      <c r="W2342" s="48">
        <v>1</v>
      </c>
      <c r="X2342" s="48">
        <v>1</v>
      </c>
      <c r="Y2342" s="48">
        <v>0</v>
      </c>
      <c r="Z2342" s="48">
        <v>1</v>
      </c>
      <c r="AA2342" s="48">
        <v>1</v>
      </c>
      <c r="AB2342" s="48">
        <v>1</v>
      </c>
      <c r="AC2342" s="150">
        <v>0</v>
      </c>
      <c r="AD2342" s="150">
        <v>1</v>
      </c>
      <c r="AE2342" s="49">
        <f t="shared" si="123"/>
        <v>0.75</v>
      </c>
      <c r="AF2342" s="176"/>
      <c r="AG2342" s="17">
        <v>0</v>
      </c>
      <c r="AH2342" s="176"/>
      <c r="AI2342" s="176"/>
      <c r="AJ2342" s="176"/>
      <c r="AK2342" s="177">
        <v>0.5</v>
      </c>
      <c r="AL2342" s="177">
        <v>0.55000000000000004</v>
      </c>
      <c r="AM2342" s="17">
        <f t="shared" si="124"/>
        <v>1.05</v>
      </c>
      <c r="AN2342" s="18" t="s">
        <v>1233</v>
      </c>
      <c r="AO2342" s="18" t="s">
        <v>1650</v>
      </c>
      <c r="AP2342" s="18" t="s">
        <v>7683</v>
      </c>
    </row>
    <row r="2343" spans="1:42" s="18" customFormat="1" ht="15" customHeight="1" x14ac:dyDescent="0.3">
      <c r="A2343" s="207" t="s">
        <v>7397</v>
      </c>
      <c r="B2343" s="18" t="s">
        <v>7398</v>
      </c>
      <c r="C2343" s="208" t="s">
        <v>7589</v>
      </c>
      <c r="D2343" s="18" t="s">
        <v>7590</v>
      </c>
      <c r="E2343" s="208" t="s">
        <v>7591</v>
      </c>
      <c r="F2343" s="18" t="s">
        <v>7592</v>
      </c>
      <c r="G2343" s="156" t="s">
        <v>7684</v>
      </c>
      <c r="H2343" s="18" t="s">
        <v>7685</v>
      </c>
      <c r="K2343" s="156" t="s">
        <v>7686</v>
      </c>
      <c r="L2343" s="18" t="s">
        <v>7687</v>
      </c>
      <c r="M2343" s="18" t="s">
        <v>7688</v>
      </c>
      <c r="N2343" s="16">
        <v>0</v>
      </c>
      <c r="O2343" s="16">
        <v>10</v>
      </c>
      <c r="P2343" s="16">
        <v>12</v>
      </c>
      <c r="Q2343" s="16">
        <v>12</v>
      </c>
      <c r="R2343" s="16">
        <v>12</v>
      </c>
      <c r="S2343" s="16">
        <v>12</v>
      </c>
      <c r="T2343" s="18" t="s">
        <v>1446</v>
      </c>
      <c r="U2343" t="str">
        <f>VLOOKUP(T2343,[8]Votes!$A$1:$E$234,3,FALSE)</f>
        <v>141 Uganda Revenue Authority</v>
      </c>
      <c r="V2343" s="18" t="s">
        <v>7689</v>
      </c>
      <c r="W2343" s="48">
        <v>1</v>
      </c>
      <c r="X2343" s="48">
        <v>1</v>
      </c>
      <c r="Y2343" s="48">
        <v>1</v>
      </c>
      <c r="Z2343" s="48">
        <v>1</v>
      </c>
      <c r="AA2343" s="48">
        <v>1</v>
      </c>
      <c r="AB2343" s="48">
        <v>1</v>
      </c>
      <c r="AC2343" s="150">
        <v>0</v>
      </c>
      <c r="AD2343" s="150">
        <v>1</v>
      </c>
      <c r="AE2343" s="49">
        <f t="shared" si="123"/>
        <v>0.875</v>
      </c>
      <c r="AF2343" s="255"/>
      <c r="AG2343" s="17">
        <v>0</v>
      </c>
      <c r="AH2343" s="255">
        <v>345.87</v>
      </c>
      <c r="AI2343" s="255">
        <v>155.30000000000001</v>
      </c>
      <c r="AJ2343" s="255">
        <v>173.79033792266677</v>
      </c>
      <c r="AK2343" s="256">
        <v>334.01</v>
      </c>
      <c r="AL2343" s="256">
        <v>335</v>
      </c>
      <c r="AM2343" s="17">
        <f t="shared" si="124"/>
        <v>669.01</v>
      </c>
      <c r="AN2343" s="18" t="s">
        <v>1446</v>
      </c>
      <c r="AO2343" s="18" t="s">
        <v>3715</v>
      </c>
    </row>
    <row r="2344" spans="1:42" s="18" customFormat="1" ht="15" customHeight="1" x14ac:dyDescent="0.3">
      <c r="A2344" s="207" t="s">
        <v>7397</v>
      </c>
      <c r="B2344" s="18" t="s">
        <v>7398</v>
      </c>
      <c r="C2344" s="208" t="s">
        <v>7589</v>
      </c>
      <c r="D2344" s="18" t="s">
        <v>7590</v>
      </c>
      <c r="E2344" s="208" t="s">
        <v>7591</v>
      </c>
      <c r="F2344" s="18" t="s">
        <v>7592</v>
      </c>
      <c r="G2344" s="156" t="s">
        <v>7684</v>
      </c>
      <c r="H2344" s="18" t="s">
        <v>7685</v>
      </c>
      <c r="K2344" s="156" t="s">
        <v>7686</v>
      </c>
      <c r="L2344" s="18" t="s">
        <v>7687</v>
      </c>
      <c r="M2344" s="18" t="s">
        <v>7690</v>
      </c>
      <c r="N2344" s="16">
        <v>0</v>
      </c>
      <c r="O2344" s="16">
        <v>10</v>
      </c>
      <c r="P2344" s="16">
        <v>15</v>
      </c>
      <c r="Q2344" s="16">
        <v>15</v>
      </c>
      <c r="R2344" s="16">
        <v>15</v>
      </c>
      <c r="S2344" s="16">
        <v>15</v>
      </c>
      <c r="T2344" s="18" t="s">
        <v>1446</v>
      </c>
      <c r="U2344" t="str">
        <f>VLOOKUP(T2344,[8]Votes!$A$1:$E$234,3,FALSE)</f>
        <v>141 Uganda Revenue Authority</v>
      </c>
      <c r="V2344" s="18" t="s">
        <v>7691</v>
      </c>
      <c r="W2344" s="48">
        <v>1</v>
      </c>
      <c r="X2344" s="48">
        <v>1</v>
      </c>
      <c r="Y2344" s="48">
        <v>0</v>
      </c>
      <c r="Z2344" s="48">
        <v>1</v>
      </c>
      <c r="AA2344" s="48">
        <v>1</v>
      </c>
      <c r="AB2344" s="48">
        <v>0</v>
      </c>
      <c r="AC2344" s="150">
        <v>1</v>
      </c>
      <c r="AD2344" s="150">
        <v>1</v>
      </c>
      <c r="AE2344" s="49">
        <f t="shared" si="123"/>
        <v>0.75</v>
      </c>
      <c r="AF2344" s="176"/>
      <c r="AG2344" s="17">
        <v>0</v>
      </c>
      <c r="AH2344" s="176">
        <v>0</v>
      </c>
      <c r="AI2344" s="176">
        <v>4.3499999999999996</v>
      </c>
      <c r="AJ2344" s="176">
        <v>4.3499999999999996</v>
      </c>
      <c r="AK2344" s="177">
        <v>4.3499999999999996</v>
      </c>
      <c r="AL2344" s="177">
        <v>4.3499999999999996</v>
      </c>
      <c r="AM2344" s="17">
        <f t="shared" si="124"/>
        <v>8.6999999999999993</v>
      </c>
      <c r="AN2344" s="18" t="s">
        <v>1446</v>
      </c>
      <c r="AO2344" s="18" t="s">
        <v>3715</v>
      </c>
    </row>
    <row r="2345" spans="1:42" s="18" customFormat="1" ht="15" hidden="1" customHeight="1" x14ac:dyDescent="0.3">
      <c r="A2345" s="207" t="s">
        <v>7397</v>
      </c>
      <c r="B2345" s="18" t="s">
        <v>7398</v>
      </c>
      <c r="C2345" s="208" t="s">
        <v>7589</v>
      </c>
      <c r="D2345" s="18" t="s">
        <v>7590</v>
      </c>
      <c r="E2345" s="208" t="s">
        <v>7591</v>
      </c>
      <c r="F2345" s="18" t="s">
        <v>7592</v>
      </c>
      <c r="G2345" s="156" t="s">
        <v>7684</v>
      </c>
      <c r="H2345" s="18" t="s">
        <v>7685</v>
      </c>
      <c r="K2345" s="156" t="s">
        <v>7686</v>
      </c>
      <c r="L2345" s="18" t="s">
        <v>7687</v>
      </c>
      <c r="M2345" s="18" t="s">
        <v>7692</v>
      </c>
      <c r="N2345" s="16">
        <v>0</v>
      </c>
      <c r="O2345" s="16">
        <v>17855</v>
      </c>
      <c r="P2345" s="16">
        <v>19819</v>
      </c>
      <c r="Q2345" s="16">
        <v>23003</v>
      </c>
      <c r="R2345" s="16">
        <v>26334</v>
      </c>
      <c r="S2345" s="16">
        <v>30386</v>
      </c>
      <c r="T2345" s="18" t="s">
        <v>1446</v>
      </c>
      <c r="U2345" t="str">
        <f>VLOOKUP(T2345,[8]Votes!$A$1:$E$234,3,FALSE)</f>
        <v>141 Uganda Revenue Authority</v>
      </c>
      <c r="W2345" s="48"/>
      <c r="X2345" s="48"/>
      <c r="Y2345" s="48"/>
      <c r="Z2345" s="48"/>
      <c r="AA2345" s="48"/>
      <c r="AB2345" s="48"/>
      <c r="AC2345" s="150">
        <v>0</v>
      </c>
      <c r="AD2345" s="150">
        <v>0</v>
      </c>
      <c r="AE2345" s="49">
        <f t="shared" si="123"/>
        <v>0</v>
      </c>
      <c r="AF2345" s="17"/>
      <c r="AG2345" s="17">
        <v>0</v>
      </c>
      <c r="AH2345" s="17"/>
      <c r="AI2345" s="17"/>
      <c r="AJ2345" s="17"/>
      <c r="AK2345" s="154"/>
      <c r="AL2345" s="154"/>
      <c r="AM2345" s="17">
        <f t="shared" si="124"/>
        <v>0</v>
      </c>
    </row>
    <row r="2346" spans="1:42" s="18" customFormat="1" ht="15" customHeight="1" x14ac:dyDescent="0.3">
      <c r="A2346" s="207" t="s">
        <v>7397</v>
      </c>
      <c r="B2346" s="18" t="s">
        <v>7398</v>
      </c>
      <c r="C2346" s="208" t="s">
        <v>7589</v>
      </c>
      <c r="D2346" s="18" t="s">
        <v>7590</v>
      </c>
      <c r="E2346" s="208" t="s">
        <v>7591</v>
      </c>
      <c r="F2346" s="18" t="s">
        <v>7592</v>
      </c>
      <c r="G2346" s="156" t="s">
        <v>7684</v>
      </c>
      <c r="H2346" s="18" t="s">
        <v>7685</v>
      </c>
      <c r="K2346" s="156" t="s">
        <v>7686</v>
      </c>
      <c r="L2346" s="18" t="s">
        <v>7687</v>
      </c>
      <c r="M2346" s="18" t="s">
        <v>7693</v>
      </c>
      <c r="N2346" s="16">
        <v>0</v>
      </c>
      <c r="O2346" s="16">
        <v>6</v>
      </c>
      <c r="P2346" s="16">
        <v>7</v>
      </c>
      <c r="Q2346" s="16">
        <v>8</v>
      </c>
      <c r="R2346" s="16">
        <v>9</v>
      </c>
      <c r="S2346" s="16">
        <v>9.5</v>
      </c>
      <c r="T2346" s="18" t="s">
        <v>6300</v>
      </c>
      <c r="U2346" t="str">
        <f>VLOOKUP(T2346,[8]Votes!$A$1:$E$234,3,FALSE)</f>
        <v>147 Local Government Finance Commission</v>
      </c>
      <c r="V2346" s="18" t="s">
        <v>7694</v>
      </c>
      <c r="W2346" s="48">
        <v>1</v>
      </c>
      <c r="X2346" s="48">
        <v>1</v>
      </c>
      <c r="Y2346" s="48">
        <v>0</v>
      </c>
      <c r="Z2346" s="48">
        <v>1</v>
      </c>
      <c r="AA2346" s="48">
        <v>1</v>
      </c>
      <c r="AB2346" s="48">
        <v>0</v>
      </c>
      <c r="AC2346" s="150">
        <v>1</v>
      </c>
      <c r="AD2346" s="150">
        <v>1</v>
      </c>
      <c r="AE2346" s="49">
        <f t="shared" si="123"/>
        <v>0.75</v>
      </c>
      <c r="AF2346" s="176"/>
      <c r="AG2346" s="17">
        <v>0</v>
      </c>
      <c r="AH2346" s="176">
        <v>2.9</v>
      </c>
      <c r="AI2346" s="176">
        <v>2.9</v>
      </c>
      <c r="AJ2346" s="176">
        <v>2.9</v>
      </c>
      <c r="AK2346" s="177">
        <v>3.9</v>
      </c>
      <c r="AL2346" s="177">
        <v>3.9</v>
      </c>
      <c r="AM2346" s="17">
        <f t="shared" si="124"/>
        <v>7.8</v>
      </c>
      <c r="AN2346" s="18" t="s">
        <v>6300</v>
      </c>
      <c r="AO2346" s="18" t="s">
        <v>6301</v>
      </c>
    </row>
    <row r="2347" spans="1:42" s="18" customFormat="1" ht="15" hidden="1" customHeight="1" x14ac:dyDescent="0.3">
      <c r="A2347" s="207" t="s">
        <v>7397</v>
      </c>
      <c r="B2347" s="18" t="s">
        <v>7398</v>
      </c>
      <c r="C2347" s="208" t="s">
        <v>7589</v>
      </c>
      <c r="D2347" s="18" t="s">
        <v>7590</v>
      </c>
      <c r="E2347" s="208" t="s">
        <v>7591</v>
      </c>
      <c r="F2347" s="18" t="s">
        <v>7592</v>
      </c>
      <c r="G2347" s="156" t="s">
        <v>7684</v>
      </c>
      <c r="H2347" s="18" t="s">
        <v>7685</v>
      </c>
      <c r="K2347" s="156" t="s">
        <v>7686</v>
      </c>
      <c r="L2347" s="18" t="s">
        <v>7687</v>
      </c>
      <c r="M2347" s="18" t="s">
        <v>7695</v>
      </c>
      <c r="N2347" s="16">
        <v>0</v>
      </c>
      <c r="O2347" s="16">
        <v>577</v>
      </c>
      <c r="P2347" s="16">
        <v>640</v>
      </c>
      <c r="Q2347" s="16">
        <v>719</v>
      </c>
      <c r="R2347" s="16">
        <v>810</v>
      </c>
      <c r="S2347" s="16">
        <v>913</v>
      </c>
      <c r="T2347" s="18" t="s">
        <v>1446</v>
      </c>
      <c r="U2347" t="str">
        <f>VLOOKUP(T2347,[8]Votes!$A$1:$E$234,3,FALSE)</f>
        <v>141 Uganda Revenue Authority</v>
      </c>
      <c r="W2347" s="48"/>
      <c r="X2347" s="48"/>
      <c r="Y2347" s="48"/>
      <c r="Z2347" s="48"/>
      <c r="AA2347" s="48"/>
      <c r="AB2347" s="48"/>
      <c r="AC2347" s="150">
        <v>0</v>
      </c>
      <c r="AD2347" s="150">
        <v>0</v>
      </c>
      <c r="AE2347" s="49">
        <f t="shared" si="123"/>
        <v>0</v>
      </c>
      <c r="AF2347" s="17"/>
      <c r="AG2347" s="17">
        <v>0</v>
      </c>
      <c r="AH2347" s="17"/>
      <c r="AI2347" s="17"/>
      <c r="AJ2347" s="17"/>
      <c r="AK2347" s="154"/>
      <c r="AL2347" s="154"/>
      <c r="AM2347" s="17">
        <f t="shared" si="124"/>
        <v>0</v>
      </c>
    </row>
    <row r="2348" spans="1:42" s="18" customFormat="1" ht="15" hidden="1" customHeight="1" x14ac:dyDescent="0.3">
      <c r="A2348" s="207" t="s">
        <v>7397</v>
      </c>
      <c r="B2348" s="18" t="s">
        <v>7398</v>
      </c>
      <c r="C2348" s="208" t="s">
        <v>7589</v>
      </c>
      <c r="D2348" s="18" t="s">
        <v>7590</v>
      </c>
      <c r="E2348" s="208" t="s">
        <v>7591</v>
      </c>
      <c r="F2348" s="18" t="s">
        <v>7592</v>
      </c>
      <c r="G2348" s="156" t="s">
        <v>7684</v>
      </c>
      <c r="H2348" s="18" t="s">
        <v>7685</v>
      </c>
      <c r="K2348" s="156" t="s">
        <v>7696</v>
      </c>
      <c r="L2348" s="18" t="s">
        <v>7641</v>
      </c>
      <c r="M2348" s="18" t="s">
        <v>7644</v>
      </c>
      <c r="N2348" s="16">
        <v>1</v>
      </c>
      <c r="O2348" s="16">
        <v>1</v>
      </c>
      <c r="P2348" s="16">
        <v>2</v>
      </c>
      <c r="Q2348" s="16">
        <v>4</v>
      </c>
      <c r="R2348" s="16">
        <v>5</v>
      </c>
      <c r="S2348" s="16">
        <v>6</v>
      </c>
      <c r="T2348" s="18" t="s">
        <v>6300</v>
      </c>
      <c r="U2348" t="str">
        <f>VLOOKUP(T2348,[8]Votes!$A$1:$E$234,3,FALSE)</f>
        <v>147 Local Government Finance Commission</v>
      </c>
      <c r="V2348" s="18" t="s">
        <v>7697</v>
      </c>
      <c r="W2348" s="48">
        <v>1</v>
      </c>
      <c r="X2348" s="48">
        <v>0</v>
      </c>
      <c r="Y2348" s="48">
        <v>0</v>
      </c>
      <c r="Z2348" s="48">
        <v>0</v>
      </c>
      <c r="AA2348" s="48">
        <v>0</v>
      </c>
      <c r="AB2348" s="48">
        <v>0</v>
      </c>
      <c r="AC2348" s="150">
        <v>1</v>
      </c>
      <c r="AD2348" s="150">
        <v>1</v>
      </c>
      <c r="AE2348" s="49">
        <f t="shared" si="123"/>
        <v>0.375</v>
      </c>
      <c r="AF2348" s="255"/>
      <c r="AG2348" s="17">
        <v>0</v>
      </c>
      <c r="AH2348" s="255">
        <v>0</v>
      </c>
      <c r="AI2348" s="255">
        <v>0</v>
      </c>
      <c r="AJ2348" s="255">
        <v>1.45</v>
      </c>
      <c r="AK2348" s="256">
        <v>0</v>
      </c>
      <c r="AL2348" s="256">
        <v>0</v>
      </c>
      <c r="AM2348" s="17">
        <f t="shared" si="124"/>
        <v>0</v>
      </c>
      <c r="AN2348" s="18" t="s">
        <v>6300</v>
      </c>
      <c r="AO2348" s="18" t="s">
        <v>6301</v>
      </c>
    </row>
    <row r="2349" spans="1:42" s="18" customFormat="1" ht="15" customHeight="1" x14ac:dyDescent="0.3">
      <c r="A2349" s="207" t="s">
        <v>7397</v>
      </c>
      <c r="B2349" s="18" t="s">
        <v>7398</v>
      </c>
      <c r="C2349" s="208" t="s">
        <v>7589</v>
      </c>
      <c r="D2349" s="18" t="s">
        <v>7590</v>
      </c>
      <c r="E2349" s="208" t="s">
        <v>7591</v>
      </c>
      <c r="F2349" s="18" t="s">
        <v>7592</v>
      </c>
      <c r="G2349" s="156" t="s">
        <v>7684</v>
      </c>
      <c r="H2349" s="18" t="s">
        <v>7685</v>
      </c>
      <c r="K2349" s="156" t="s">
        <v>7698</v>
      </c>
      <c r="L2349" s="18" t="s">
        <v>7699</v>
      </c>
      <c r="M2349" s="18" t="s">
        <v>7700</v>
      </c>
      <c r="N2349" s="16">
        <v>0</v>
      </c>
      <c r="O2349" s="16">
        <v>20</v>
      </c>
      <c r="P2349" s="16">
        <v>40</v>
      </c>
      <c r="Q2349" s="16">
        <v>60</v>
      </c>
      <c r="R2349" s="16">
        <v>80</v>
      </c>
      <c r="S2349" s="16">
        <v>100</v>
      </c>
      <c r="T2349" s="18" t="s">
        <v>2571</v>
      </c>
      <c r="U2349" t="str">
        <f>VLOOKUP(T2349,[8]Votes!$A$1:$E$234,3,FALSE)</f>
        <v>122 Kampala Capital City Authority</v>
      </c>
      <c r="V2349" s="18" t="s">
        <v>7701</v>
      </c>
      <c r="W2349" s="48">
        <v>1</v>
      </c>
      <c r="X2349" s="48">
        <v>1</v>
      </c>
      <c r="Y2349" s="48">
        <v>1</v>
      </c>
      <c r="Z2349" s="48">
        <v>1</v>
      </c>
      <c r="AA2349" s="48">
        <v>1</v>
      </c>
      <c r="AB2349" s="48">
        <v>1</v>
      </c>
      <c r="AC2349" s="150">
        <v>1</v>
      </c>
      <c r="AD2349" s="150">
        <v>1</v>
      </c>
      <c r="AE2349" s="49">
        <f t="shared" si="123"/>
        <v>1</v>
      </c>
      <c r="AF2349" s="255"/>
      <c r="AG2349" s="17">
        <v>0</v>
      </c>
      <c r="AH2349" s="255">
        <v>3.0014999999999996</v>
      </c>
      <c r="AI2349" s="255">
        <v>3.4944999999999999</v>
      </c>
      <c r="AJ2349" s="255">
        <v>3.7265000000000001</v>
      </c>
      <c r="AK2349" s="256">
        <v>6.4950000000000001</v>
      </c>
      <c r="AL2349" s="256">
        <v>7.2925000000000004</v>
      </c>
      <c r="AM2349" s="17">
        <f t="shared" si="124"/>
        <v>13.787500000000001</v>
      </c>
      <c r="AN2349" s="18" t="s">
        <v>2571</v>
      </c>
      <c r="AO2349" s="18" t="s">
        <v>2573</v>
      </c>
    </row>
    <row r="2350" spans="1:42" s="18" customFormat="1" ht="15" hidden="1" customHeight="1" x14ac:dyDescent="0.3">
      <c r="A2350" s="207" t="s">
        <v>7397</v>
      </c>
      <c r="B2350" s="18" t="s">
        <v>7398</v>
      </c>
      <c r="C2350" s="208" t="s">
        <v>7589</v>
      </c>
      <c r="D2350" s="18" t="s">
        <v>7590</v>
      </c>
      <c r="E2350" s="208" t="s">
        <v>7591</v>
      </c>
      <c r="F2350" s="18" t="s">
        <v>7592</v>
      </c>
      <c r="G2350" s="156" t="s">
        <v>7684</v>
      </c>
      <c r="H2350" s="18" t="s">
        <v>7685</v>
      </c>
      <c r="K2350" s="156" t="s">
        <v>7702</v>
      </c>
      <c r="L2350" s="18" t="s">
        <v>7703</v>
      </c>
      <c r="M2350" s="18" t="s">
        <v>7704</v>
      </c>
      <c r="N2350" s="16">
        <v>0</v>
      </c>
      <c r="O2350" s="16">
        <v>15</v>
      </c>
      <c r="P2350" s="16">
        <v>20</v>
      </c>
      <c r="Q2350" s="16">
        <v>15</v>
      </c>
      <c r="R2350" s="16">
        <v>15</v>
      </c>
      <c r="S2350" s="16">
        <v>15</v>
      </c>
      <c r="T2350" s="18" t="s">
        <v>2571</v>
      </c>
      <c r="U2350" t="str">
        <f>VLOOKUP(T2350,[8]Votes!$A$1:$E$234,3,FALSE)</f>
        <v>122 Kampala Capital City Authority</v>
      </c>
      <c r="W2350" s="48"/>
      <c r="X2350" s="48"/>
      <c r="Y2350" s="48"/>
      <c r="Z2350" s="48"/>
      <c r="AA2350" s="48"/>
      <c r="AB2350" s="48"/>
      <c r="AC2350" s="150">
        <v>0</v>
      </c>
      <c r="AD2350" s="150">
        <v>0</v>
      </c>
      <c r="AE2350" s="49">
        <f t="shared" si="123"/>
        <v>0</v>
      </c>
      <c r="AF2350" s="17"/>
      <c r="AG2350" s="17">
        <v>0</v>
      </c>
      <c r="AH2350" s="17"/>
      <c r="AI2350" s="17"/>
      <c r="AJ2350" s="17"/>
      <c r="AK2350" s="154"/>
      <c r="AL2350" s="154"/>
      <c r="AM2350" s="17">
        <f t="shared" si="124"/>
        <v>0</v>
      </c>
    </row>
    <row r="2351" spans="1:42" s="18" customFormat="1" ht="15" hidden="1" customHeight="1" x14ac:dyDescent="0.3">
      <c r="A2351" s="207" t="s">
        <v>7397</v>
      </c>
      <c r="B2351" s="18" t="s">
        <v>7398</v>
      </c>
      <c r="C2351" s="208" t="s">
        <v>7589</v>
      </c>
      <c r="D2351" s="18" t="s">
        <v>7590</v>
      </c>
      <c r="E2351" s="208" t="s">
        <v>7591</v>
      </c>
      <c r="F2351" s="18" t="s">
        <v>7592</v>
      </c>
      <c r="G2351" s="156" t="s">
        <v>7684</v>
      </c>
      <c r="H2351" s="18" t="s">
        <v>7685</v>
      </c>
      <c r="K2351" s="156" t="s">
        <v>7702</v>
      </c>
      <c r="L2351" s="18" t="s">
        <v>7703</v>
      </c>
      <c r="M2351" s="18" t="s">
        <v>7705</v>
      </c>
      <c r="N2351" s="26">
        <v>165000</v>
      </c>
      <c r="O2351" s="26">
        <v>189750</v>
      </c>
      <c r="P2351" s="26">
        <v>227700</v>
      </c>
      <c r="Q2351" s="26">
        <v>261855</v>
      </c>
      <c r="R2351" s="26">
        <v>301133</v>
      </c>
      <c r="S2351" s="26">
        <v>346303</v>
      </c>
      <c r="T2351" s="18" t="s">
        <v>2571</v>
      </c>
      <c r="U2351" t="str">
        <f>VLOOKUP(T2351,[8]Votes!$A$1:$E$234,3,FALSE)</f>
        <v>122 Kampala Capital City Authority</v>
      </c>
      <c r="W2351" s="48"/>
      <c r="X2351" s="48"/>
      <c r="Y2351" s="48"/>
      <c r="Z2351" s="48"/>
      <c r="AA2351" s="48"/>
      <c r="AB2351" s="48"/>
      <c r="AC2351" s="150">
        <v>0</v>
      </c>
      <c r="AD2351" s="150">
        <v>0</v>
      </c>
      <c r="AE2351" s="49">
        <f t="shared" si="123"/>
        <v>0</v>
      </c>
      <c r="AF2351" s="17"/>
      <c r="AG2351" s="17">
        <v>0</v>
      </c>
      <c r="AH2351" s="17"/>
      <c r="AI2351" s="17"/>
      <c r="AJ2351" s="17"/>
      <c r="AK2351" s="154"/>
      <c r="AL2351" s="154"/>
      <c r="AM2351" s="17">
        <f t="shared" si="124"/>
        <v>0</v>
      </c>
    </row>
    <row r="2352" spans="1:42" s="18" customFormat="1" ht="15" customHeight="1" x14ac:dyDescent="0.3">
      <c r="A2352" s="207" t="s">
        <v>7397</v>
      </c>
      <c r="B2352" s="18" t="s">
        <v>7398</v>
      </c>
      <c r="C2352" s="208" t="s">
        <v>7589</v>
      </c>
      <c r="D2352" s="18" t="s">
        <v>7590</v>
      </c>
      <c r="E2352" s="208" t="s">
        <v>7591</v>
      </c>
      <c r="F2352" s="18" t="s">
        <v>7592</v>
      </c>
      <c r="G2352" s="156" t="s">
        <v>7706</v>
      </c>
      <c r="H2352" s="18" t="s">
        <v>7707</v>
      </c>
      <c r="K2352" s="156" t="s">
        <v>7708</v>
      </c>
      <c r="L2352" s="18" t="s">
        <v>7709</v>
      </c>
      <c r="M2352" s="18" t="s">
        <v>7710</v>
      </c>
      <c r="N2352" s="16">
        <v>0</v>
      </c>
      <c r="O2352" s="16">
        <v>60</v>
      </c>
      <c r="P2352" s="16">
        <v>70</v>
      </c>
      <c r="Q2352" s="16">
        <v>80</v>
      </c>
      <c r="R2352" s="16">
        <v>90</v>
      </c>
      <c r="S2352" s="16">
        <v>100</v>
      </c>
      <c r="T2352" s="18" t="s">
        <v>1446</v>
      </c>
      <c r="U2352" t="str">
        <f>VLOOKUP(T2352,[8]Votes!$A$1:$E$234,3,FALSE)</f>
        <v>141 Uganda Revenue Authority</v>
      </c>
      <c r="V2352" s="18" t="s">
        <v>7711</v>
      </c>
      <c r="W2352" s="48">
        <v>1</v>
      </c>
      <c r="X2352" s="48">
        <v>1</v>
      </c>
      <c r="Y2352" s="48">
        <v>0</v>
      </c>
      <c r="Z2352" s="48">
        <v>1</v>
      </c>
      <c r="AA2352" s="48">
        <v>1</v>
      </c>
      <c r="AB2352" s="48">
        <v>1</v>
      </c>
      <c r="AC2352" s="150">
        <v>0</v>
      </c>
      <c r="AD2352" s="150">
        <v>1</v>
      </c>
      <c r="AE2352" s="49">
        <f t="shared" si="123"/>
        <v>0.75</v>
      </c>
      <c r="AF2352" s="255"/>
      <c r="AG2352" s="17">
        <v>0</v>
      </c>
      <c r="AH2352" s="255">
        <v>23.663999999999998</v>
      </c>
      <c r="AI2352" s="255">
        <v>26.447999999999997</v>
      </c>
      <c r="AJ2352" s="255">
        <v>23.582000000000001</v>
      </c>
      <c r="AK2352" s="256">
        <v>15</v>
      </c>
      <c r="AL2352" s="256">
        <v>16.5</v>
      </c>
      <c r="AM2352" s="17">
        <f t="shared" si="124"/>
        <v>31.5</v>
      </c>
      <c r="AN2352" s="18" t="s">
        <v>1446</v>
      </c>
      <c r="AO2352" s="18" t="s">
        <v>3715</v>
      </c>
    </row>
    <row r="2353" spans="1:41" s="18" customFormat="1" ht="15" customHeight="1" x14ac:dyDescent="0.3">
      <c r="A2353" s="207" t="s">
        <v>7397</v>
      </c>
      <c r="B2353" s="18" t="s">
        <v>7398</v>
      </c>
      <c r="C2353" s="208" t="s">
        <v>7589</v>
      </c>
      <c r="D2353" s="18" t="s">
        <v>7590</v>
      </c>
      <c r="E2353" s="208" t="s">
        <v>7591</v>
      </c>
      <c r="F2353" s="18" t="s">
        <v>7592</v>
      </c>
      <c r="G2353" s="156" t="s">
        <v>7706</v>
      </c>
      <c r="H2353" s="18" t="s">
        <v>7707</v>
      </c>
      <c r="K2353" s="156" t="s">
        <v>7708</v>
      </c>
      <c r="L2353" s="18" t="s">
        <v>7709</v>
      </c>
      <c r="M2353" s="18" t="s">
        <v>7712</v>
      </c>
      <c r="N2353" s="16">
        <v>0</v>
      </c>
      <c r="O2353" s="16">
        <v>1</v>
      </c>
      <c r="P2353" s="16">
        <v>1</v>
      </c>
      <c r="Q2353" s="16">
        <v>1</v>
      </c>
      <c r="R2353" s="16">
        <v>1</v>
      </c>
      <c r="S2353" s="16">
        <v>1</v>
      </c>
      <c r="T2353" s="18" t="s">
        <v>1446</v>
      </c>
      <c r="U2353" t="str">
        <f>VLOOKUP(T2353,[8]Votes!$A$1:$E$234,3,FALSE)</f>
        <v>141 Uganda Revenue Authority</v>
      </c>
      <c r="V2353" s="18" t="s">
        <v>7713</v>
      </c>
      <c r="W2353" s="48">
        <v>1</v>
      </c>
      <c r="X2353" s="48">
        <v>1</v>
      </c>
      <c r="Y2353" s="48">
        <v>0</v>
      </c>
      <c r="Z2353" s="48">
        <v>1</v>
      </c>
      <c r="AA2353" s="48">
        <v>1</v>
      </c>
      <c r="AB2353" s="48">
        <v>0</v>
      </c>
      <c r="AC2353" s="150">
        <v>1</v>
      </c>
      <c r="AD2353" s="150">
        <v>1</v>
      </c>
      <c r="AE2353" s="49">
        <f t="shared" si="123"/>
        <v>0.75</v>
      </c>
      <c r="AF2353" s="255"/>
      <c r="AG2353" s="17">
        <v>0</v>
      </c>
      <c r="AH2353" s="255">
        <v>27.143999999999995</v>
      </c>
      <c r="AI2353" s="255">
        <v>27.84</v>
      </c>
      <c r="AJ2353" s="255">
        <v>20.797999999999998</v>
      </c>
      <c r="AK2353" s="256">
        <v>3.06</v>
      </c>
      <c r="AL2353" s="256">
        <v>3.93</v>
      </c>
      <c r="AM2353" s="17">
        <f t="shared" si="124"/>
        <v>6.99</v>
      </c>
      <c r="AN2353" s="18" t="s">
        <v>1446</v>
      </c>
      <c r="AO2353" s="18" t="s">
        <v>3715</v>
      </c>
    </row>
    <row r="2354" spans="1:41" s="18" customFormat="1" ht="15" hidden="1" customHeight="1" x14ac:dyDescent="0.3">
      <c r="A2354" s="207" t="s">
        <v>7397</v>
      </c>
      <c r="B2354" s="18" t="s">
        <v>7398</v>
      </c>
      <c r="C2354" s="208" t="s">
        <v>7589</v>
      </c>
      <c r="D2354" s="18" t="s">
        <v>7590</v>
      </c>
      <c r="E2354" s="208" t="s">
        <v>7591</v>
      </c>
      <c r="F2354" s="18" t="s">
        <v>7592</v>
      </c>
      <c r="G2354" s="156" t="s">
        <v>7706</v>
      </c>
      <c r="H2354" s="18" t="s">
        <v>7707</v>
      </c>
      <c r="K2354" s="156" t="s">
        <v>7708</v>
      </c>
      <c r="L2354" s="18" t="s">
        <v>7709</v>
      </c>
      <c r="M2354" s="18" t="s">
        <v>7714</v>
      </c>
      <c r="N2354" s="16">
        <v>0</v>
      </c>
      <c r="O2354" s="16">
        <v>30</v>
      </c>
      <c r="P2354" s="16">
        <v>50</v>
      </c>
      <c r="Q2354" s="16">
        <v>70</v>
      </c>
      <c r="R2354" s="16">
        <v>80</v>
      </c>
      <c r="S2354" s="16">
        <v>100</v>
      </c>
      <c r="T2354" s="18" t="s">
        <v>1446</v>
      </c>
      <c r="U2354" t="str">
        <f>VLOOKUP(T2354,[8]Votes!$A$1:$E$234,3,FALSE)</f>
        <v>141 Uganda Revenue Authority</v>
      </c>
      <c r="W2354" s="48"/>
      <c r="X2354" s="48"/>
      <c r="Y2354" s="48"/>
      <c r="Z2354" s="48"/>
      <c r="AA2354" s="48"/>
      <c r="AB2354" s="48"/>
      <c r="AC2354" s="150">
        <v>0</v>
      </c>
      <c r="AD2354" s="150">
        <v>0</v>
      </c>
      <c r="AE2354" s="49">
        <f t="shared" si="123"/>
        <v>0</v>
      </c>
      <c r="AF2354" s="17"/>
      <c r="AG2354" s="17">
        <v>0</v>
      </c>
      <c r="AH2354" s="17"/>
      <c r="AI2354" s="17"/>
      <c r="AJ2354" s="17"/>
      <c r="AK2354" s="154"/>
      <c r="AL2354" s="154"/>
      <c r="AM2354" s="17">
        <f t="shared" si="124"/>
        <v>0</v>
      </c>
    </row>
    <row r="2355" spans="1:41" s="18" customFormat="1" ht="15" hidden="1" customHeight="1" x14ac:dyDescent="0.3">
      <c r="A2355" s="207" t="s">
        <v>7397</v>
      </c>
      <c r="B2355" s="18" t="s">
        <v>7398</v>
      </c>
      <c r="C2355" s="208" t="s">
        <v>7589</v>
      </c>
      <c r="D2355" s="18" t="s">
        <v>7590</v>
      </c>
      <c r="E2355" s="208" t="s">
        <v>7591</v>
      </c>
      <c r="F2355" s="18" t="s">
        <v>7592</v>
      </c>
      <c r="G2355" s="156" t="s">
        <v>7706</v>
      </c>
      <c r="H2355" s="18" t="s">
        <v>7707</v>
      </c>
      <c r="K2355" s="156" t="s">
        <v>7715</v>
      </c>
      <c r="L2355" s="18" t="s">
        <v>7716</v>
      </c>
      <c r="M2355" s="18" t="s">
        <v>7717</v>
      </c>
      <c r="N2355" s="16">
        <v>79.400000000000006</v>
      </c>
      <c r="O2355" s="16">
        <v>100</v>
      </c>
      <c r="P2355" s="16">
        <v>109</v>
      </c>
      <c r="Q2355" s="16">
        <v>112</v>
      </c>
      <c r="R2355" s="16">
        <v>115</v>
      </c>
      <c r="S2355" s="16">
        <v>120</v>
      </c>
      <c r="T2355" s="18" t="s">
        <v>2571</v>
      </c>
      <c r="U2355" t="str">
        <f>VLOOKUP(T2355,[8]Votes!$A$1:$E$234,3,FALSE)</f>
        <v>122 Kampala Capital City Authority</v>
      </c>
      <c r="W2355" s="48"/>
      <c r="X2355" s="48"/>
      <c r="Y2355" s="48"/>
      <c r="Z2355" s="48"/>
      <c r="AA2355" s="48"/>
      <c r="AB2355" s="48"/>
      <c r="AC2355" s="150">
        <v>0</v>
      </c>
      <c r="AD2355" s="150">
        <v>0</v>
      </c>
      <c r="AE2355" s="49">
        <f t="shared" si="123"/>
        <v>0</v>
      </c>
      <c r="AF2355" s="17"/>
      <c r="AG2355" s="17">
        <v>0</v>
      </c>
      <c r="AH2355" s="17"/>
      <c r="AI2355" s="17"/>
      <c r="AJ2355" s="17"/>
      <c r="AK2355" s="154"/>
      <c r="AL2355" s="154"/>
      <c r="AM2355" s="17">
        <f t="shared" si="124"/>
        <v>0</v>
      </c>
    </row>
    <row r="2356" spans="1:41" s="18" customFormat="1" ht="15" hidden="1" customHeight="1" x14ac:dyDescent="0.3">
      <c r="A2356" s="207" t="s">
        <v>7397</v>
      </c>
      <c r="B2356" s="18" t="s">
        <v>7398</v>
      </c>
      <c r="C2356" s="208" t="s">
        <v>7589</v>
      </c>
      <c r="D2356" s="18" t="s">
        <v>7590</v>
      </c>
      <c r="E2356" s="208" t="s">
        <v>7591</v>
      </c>
      <c r="F2356" s="18" t="s">
        <v>7592</v>
      </c>
      <c r="G2356" s="156" t="s">
        <v>7718</v>
      </c>
      <c r="H2356" s="18" t="s">
        <v>7719</v>
      </c>
      <c r="K2356" s="156" t="s">
        <v>7720</v>
      </c>
      <c r="L2356" s="18" t="s">
        <v>7721</v>
      </c>
      <c r="M2356" s="18" t="s">
        <v>7722</v>
      </c>
      <c r="N2356" s="16">
        <v>0</v>
      </c>
      <c r="O2356" s="16">
        <v>1</v>
      </c>
      <c r="P2356" s="16">
        <v>1</v>
      </c>
      <c r="Q2356" s="16">
        <v>1</v>
      </c>
      <c r="R2356" s="16">
        <v>1</v>
      </c>
      <c r="S2356" s="16">
        <v>1</v>
      </c>
      <c r="T2356" s="18" t="s">
        <v>921</v>
      </c>
      <c r="U2356" t="str">
        <f>VLOOKUP(T2356,[8]Votes!$A$1:$E$234,3,FALSE)</f>
        <v>008 Ministry of Finance, Planning &amp; Economic Dev.</v>
      </c>
      <c r="V2356" s="18" t="s">
        <v>7723</v>
      </c>
      <c r="W2356" s="48">
        <v>1</v>
      </c>
      <c r="X2356" s="48">
        <v>1</v>
      </c>
      <c r="Y2356" s="48">
        <v>0</v>
      </c>
      <c r="Z2356" s="48">
        <v>1</v>
      </c>
      <c r="AA2356" s="48">
        <v>1</v>
      </c>
      <c r="AB2356" s="48">
        <v>0</v>
      </c>
      <c r="AC2356" s="150">
        <v>0</v>
      </c>
      <c r="AD2356" s="150">
        <v>1</v>
      </c>
      <c r="AE2356" s="49">
        <f t="shared" si="123"/>
        <v>0.625</v>
      </c>
      <c r="AF2356" s="255"/>
      <c r="AG2356" s="17">
        <v>0</v>
      </c>
      <c r="AH2356" s="255">
        <v>0</v>
      </c>
      <c r="AI2356" s="255">
        <v>1.6384999999999998</v>
      </c>
      <c r="AJ2356" s="255">
        <v>0.72499999999999998</v>
      </c>
      <c r="AK2356" s="256">
        <v>0.72499999999999998</v>
      </c>
      <c r="AL2356" s="256">
        <v>0.72499999999999998</v>
      </c>
      <c r="AM2356" s="17">
        <f t="shared" si="124"/>
        <v>1.45</v>
      </c>
      <c r="AN2356" s="18" t="s">
        <v>921</v>
      </c>
      <c r="AO2356" s="18" t="s">
        <v>880</v>
      </c>
    </row>
    <row r="2357" spans="1:41" s="18" customFormat="1" ht="15" hidden="1" customHeight="1" x14ac:dyDescent="0.3">
      <c r="A2357" s="207" t="s">
        <v>7397</v>
      </c>
      <c r="B2357" s="18" t="s">
        <v>7398</v>
      </c>
      <c r="C2357" s="208" t="s">
        <v>7589</v>
      </c>
      <c r="D2357" s="18" t="s">
        <v>7590</v>
      </c>
      <c r="E2357" s="208" t="s">
        <v>7591</v>
      </c>
      <c r="F2357" s="18" t="s">
        <v>7592</v>
      </c>
      <c r="G2357" s="156" t="s">
        <v>7718</v>
      </c>
      <c r="H2357" s="18" t="s">
        <v>7719</v>
      </c>
      <c r="K2357" s="156" t="s">
        <v>7724</v>
      </c>
      <c r="L2357" s="18" t="s">
        <v>7725</v>
      </c>
      <c r="M2357" s="18" t="s">
        <v>7726</v>
      </c>
      <c r="N2357" s="16">
        <v>0</v>
      </c>
      <c r="O2357" s="16">
        <v>0</v>
      </c>
      <c r="P2357" s="16">
        <v>1</v>
      </c>
      <c r="Q2357" s="16">
        <v>0</v>
      </c>
      <c r="R2357" s="16">
        <v>0</v>
      </c>
      <c r="S2357" s="16">
        <v>0</v>
      </c>
      <c r="T2357" s="18" t="s">
        <v>921</v>
      </c>
      <c r="U2357" t="str">
        <f>VLOOKUP(T2357,[8]Votes!$A$1:$E$234,3,FALSE)</f>
        <v>008 Ministry of Finance, Planning &amp; Economic Dev.</v>
      </c>
      <c r="W2357" s="48"/>
      <c r="X2357" s="48"/>
      <c r="Y2357" s="48"/>
      <c r="Z2357" s="48"/>
      <c r="AA2357" s="48"/>
      <c r="AB2357" s="48"/>
      <c r="AC2357" s="150">
        <v>0</v>
      </c>
      <c r="AD2357" s="150">
        <v>0</v>
      </c>
      <c r="AE2357" s="49">
        <f t="shared" si="123"/>
        <v>0</v>
      </c>
      <c r="AF2357" s="17"/>
      <c r="AG2357" s="17">
        <v>0</v>
      </c>
      <c r="AH2357" s="17"/>
      <c r="AI2357" s="17"/>
      <c r="AJ2357" s="17"/>
      <c r="AK2357" s="154"/>
      <c r="AL2357" s="154"/>
      <c r="AM2357" s="17">
        <f t="shared" si="124"/>
        <v>0</v>
      </c>
    </row>
    <row r="2358" spans="1:41" s="18" customFormat="1" hidden="1" x14ac:dyDescent="0.3">
      <c r="A2358" s="207" t="s">
        <v>7397</v>
      </c>
      <c r="B2358" s="18" t="s">
        <v>7398</v>
      </c>
      <c r="C2358" s="208" t="s">
        <v>7589</v>
      </c>
      <c r="D2358" s="18" t="s">
        <v>7590</v>
      </c>
      <c r="E2358" s="208" t="s">
        <v>7591</v>
      </c>
      <c r="F2358" s="18" t="s">
        <v>7592</v>
      </c>
      <c r="G2358" s="156" t="s">
        <v>7718</v>
      </c>
      <c r="H2358" s="18" t="s">
        <v>7719</v>
      </c>
      <c r="K2358" s="156" t="s">
        <v>7727</v>
      </c>
      <c r="L2358" s="18" t="s">
        <v>7728</v>
      </c>
      <c r="M2358" s="18" t="s">
        <v>7729</v>
      </c>
      <c r="N2358" s="16">
        <v>0</v>
      </c>
      <c r="O2358" s="16">
        <v>0</v>
      </c>
      <c r="P2358" s="16">
        <v>1</v>
      </c>
      <c r="Q2358" s="16">
        <v>0</v>
      </c>
      <c r="R2358" s="16">
        <v>0</v>
      </c>
      <c r="S2358" s="16">
        <v>0</v>
      </c>
      <c r="T2358" s="18" t="s">
        <v>921</v>
      </c>
      <c r="U2358" t="str">
        <f>VLOOKUP(T2358,[8]Votes!$A$1:$E$234,3,FALSE)</f>
        <v>008 Ministry of Finance, Planning &amp; Economic Dev.</v>
      </c>
      <c r="V2358" s="18" t="s">
        <v>7730</v>
      </c>
      <c r="W2358" s="48">
        <v>0</v>
      </c>
      <c r="X2358" s="48">
        <v>0</v>
      </c>
      <c r="Y2358" s="48">
        <v>0</v>
      </c>
      <c r="Z2358" s="48">
        <v>1</v>
      </c>
      <c r="AA2358" s="48">
        <v>1</v>
      </c>
      <c r="AB2358" s="48">
        <v>0</v>
      </c>
      <c r="AC2358" s="150">
        <v>1</v>
      </c>
      <c r="AD2358" s="150">
        <v>1</v>
      </c>
      <c r="AE2358" s="49">
        <f t="shared" si="123"/>
        <v>0.5</v>
      </c>
      <c r="AF2358" s="176"/>
      <c r="AG2358" s="17">
        <v>0</v>
      </c>
      <c r="AH2358" s="176">
        <v>0.9</v>
      </c>
      <c r="AI2358" s="176">
        <v>0.28999999999999998</v>
      </c>
      <c r="AJ2358" s="176">
        <v>0.15</v>
      </c>
      <c r="AK2358" s="177">
        <v>0</v>
      </c>
      <c r="AL2358" s="177">
        <v>0</v>
      </c>
      <c r="AM2358" s="17">
        <f t="shared" si="124"/>
        <v>0</v>
      </c>
      <c r="AN2358" s="18" t="s">
        <v>921</v>
      </c>
      <c r="AO2358" s="18" t="s">
        <v>880</v>
      </c>
    </row>
    <row r="2359" spans="1:41" s="18" customFormat="1" ht="15" customHeight="1" x14ac:dyDescent="0.3">
      <c r="A2359" s="207" t="s">
        <v>7397</v>
      </c>
      <c r="B2359" s="18" t="s">
        <v>7398</v>
      </c>
      <c r="C2359" s="208" t="s">
        <v>7589</v>
      </c>
      <c r="D2359" s="18" t="s">
        <v>7590</v>
      </c>
      <c r="E2359" s="208" t="s">
        <v>7591</v>
      </c>
      <c r="F2359" s="18" t="s">
        <v>7592</v>
      </c>
      <c r="G2359" s="156" t="s">
        <v>7718</v>
      </c>
      <c r="H2359" s="18" t="s">
        <v>7719</v>
      </c>
      <c r="K2359" s="156" t="s">
        <v>7731</v>
      </c>
      <c r="L2359" s="18" t="s">
        <v>7732</v>
      </c>
      <c r="M2359" s="18" t="s">
        <v>7733</v>
      </c>
      <c r="N2359" s="16">
        <v>0</v>
      </c>
      <c r="O2359" s="16">
        <v>1</v>
      </c>
      <c r="P2359" s="16">
        <v>1</v>
      </c>
      <c r="Q2359" s="16">
        <v>1</v>
      </c>
      <c r="R2359" s="16">
        <v>1</v>
      </c>
      <c r="S2359" s="16">
        <v>1</v>
      </c>
      <c r="T2359" s="18" t="s">
        <v>921</v>
      </c>
      <c r="U2359" t="str">
        <f>VLOOKUP(T2359,[8]Votes!$A$1:$E$234,3,FALSE)</f>
        <v>008 Ministry of Finance, Planning &amp; Economic Dev.</v>
      </c>
      <c r="V2359" s="18" t="s">
        <v>7734</v>
      </c>
      <c r="W2359" s="48">
        <v>1</v>
      </c>
      <c r="X2359" s="48">
        <v>1</v>
      </c>
      <c r="Y2359" s="48">
        <v>0</v>
      </c>
      <c r="Z2359" s="48">
        <v>1</v>
      </c>
      <c r="AA2359" s="48">
        <v>1</v>
      </c>
      <c r="AB2359" s="48">
        <v>1</v>
      </c>
      <c r="AC2359" s="150">
        <v>0</v>
      </c>
      <c r="AD2359" s="150">
        <v>1</v>
      </c>
      <c r="AE2359" s="49">
        <f t="shared" si="123"/>
        <v>0.75</v>
      </c>
      <c r="AF2359" s="176"/>
      <c r="AG2359" s="17">
        <v>0</v>
      </c>
      <c r="AH2359" s="176">
        <v>0.42</v>
      </c>
      <c r="AI2359" s="176">
        <v>0.28999999999999998</v>
      </c>
      <c r="AJ2359" s="176">
        <v>0.15</v>
      </c>
      <c r="AK2359" s="177">
        <v>9</v>
      </c>
      <c r="AL2359" s="177">
        <v>9</v>
      </c>
      <c r="AM2359" s="17">
        <f t="shared" si="124"/>
        <v>18</v>
      </c>
      <c r="AN2359" s="18" t="s">
        <v>921</v>
      </c>
      <c r="AO2359" s="18" t="s">
        <v>880</v>
      </c>
    </row>
    <row r="2360" spans="1:41" s="18" customFormat="1" hidden="1" x14ac:dyDescent="0.3">
      <c r="A2360" s="207" t="s">
        <v>7397</v>
      </c>
      <c r="B2360" s="18" t="s">
        <v>7398</v>
      </c>
      <c r="C2360" s="208" t="s">
        <v>7589</v>
      </c>
      <c r="D2360" s="18" t="s">
        <v>7590</v>
      </c>
      <c r="E2360" s="208" t="s">
        <v>7591</v>
      </c>
      <c r="F2360" s="18" t="s">
        <v>7592</v>
      </c>
      <c r="G2360" s="156" t="s">
        <v>7718</v>
      </c>
      <c r="H2360" s="18" t="s">
        <v>7719</v>
      </c>
      <c r="K2360" s="156" t="s">
        <v>7735</v>
      </c>
      <c r="L2360" s="18" t="s">
        <v>7736</v>
      </c>
      <c r="M2360" s="18" t="s">
        <v>7736</v>
      </c>
      <c r="N2360" s="16">
        <v>0</v>
      </c>
      <c r="O2360" s="16">
        <v>0</v>
      </c>
      <c r="P2360" s="16">
        <v>1</v>
      </c>
      <c r="Q2360" s="16">
        <v>0</v>
      </c>
      <c r="R2360" s="16">
        <v>0</v>
      </c>
      <c r="S2360" s="16">
        <v>0</v>
      </c>
      <c r="T2360" s="18" t="s">
        <v>921</v>
      </c>
      <c r="U2360" t="str">
        <f>VLOOKUP(T2360,[8]Votes!$A$1:$E$234,3,FALSE)</f>
        <v>008 Ministry of Finance, Planning &amp; Economic Dev.</v>
      </c>
      <c r="V2360" s="18" t="s">
        <v>7737</v>
      </c>
      <c r="W2360" s="48">
        <v>1</v>
      </c>
      <c r="X2360" s="48">
        <v>0</v>
      </c>
      <c r="Y2360" s="48">
        <v>0</v>
      </c>
      <c r="Z2360" s="48">
        <v>1</v>
      </c>
      <c r="AA2360" s="48">
        <v>1</v>
      </c>
      <c r="AB2360" s="48">
        <v>0</v>
      </c>
      <c r="AC2360" s="150">
        <v>0</v>
      </c>
      <c r="AD2360" s="150">
        <v>1</v>
      </c>
      <c r="AE2360" s="49">
        <f t="shared" si="123"/>
        <v>0.5</v>
      </c>
      <c r="AF2360" s="176"/>
      <c r="AG2360" s="17">
        <v>0</v>
      </c>
      <c r="AH2360" s="176">
        <v>0.28999999999999998</v>
      </c>
      <c r="AI2360" s="176">
        <v>0.33</v>
      </c>
      <c r="AJ2360" s="176">
        <v>0.19</v>
      </c>
      <c r="AK2360" s="177">
        <v>0</v>
      </c>
      <c r="AL2360" s="177">
        <v>0</v>
      </c>
      <c r="AM2360" s="17">
        <f t="shared" si="124"/>
        <v>0</v>
      </c>
      <c r="AN2360" s="18" t="s">
        <v>921</v>
      </c>
      <c r="AO2360" s="18" t="s">
        <v>880</v>
      </c>
    </row>
    <row r="2361" spans="1:41" s="18" customFormat="1" hidden="1" x14ac:dyDescent="0.3">
      <c r="A2361" s="207" t="s">
        <v>7397</v>
      </c>
      <c r="B2361" s="18" t="s">
        <v>7398</v>
      </c>
      <c r="C2361" s="208" t="s">
        <v>7589</v>
      </c>
      <c r="D2361" s="18" t="s">
        <v>7590</v>
      </c>
      <c r="E2361" s="208" t="s">
        <v>7591</v>
      </c>
      <c r="F2361" s="18" t="s">
        <v>7592</v>
      </c>
      <c r="G2361" s="156" t="s">
        <v>7738</v>
      </c>
      <c r="H2361" s="18" t="s">
        <v>7739</v>
      </c>
      <c r="K2361" s="156" t="s">
        <v>7740</v>
      </c>
      <c r="L2361" s="18" t="s">
        <v>7741</v>
      </c>
      <c r="M2361" s="18" t="s">
        <v>7742</v>
      </c>
      <c r="N2361" s="16">
        <v>0</v>
      </c>
      <c r="O2361" s="16">
        <v>70</v>
      </c>
      <c r="P2361" s="16">
        <v>80</v>
      </c>
      <c r="Q2361" s="16">
        <v>90</v>
      </c>
      <c r="R2361" s="16">
        <v>95</v>
      </c>
      <c r="S2361" s="16">
        <v>100</v>
      </c>
      <c r="T2361" s="18" t="s">
        <v>921</v>
      </c>
      <c r="U2361" t="str">
        <f>VLOOKUP(T2361,[8]Votes!$A$1:$E$234,3,FALSE)</f>
        <v>008 Ministry of Finance, Planning &amp; Economic Dev.</v>
      </c>
      <c r="V2361" s="18" t="s">
        <v>7743</v>
      </c>
      <c r="W2361" s="48">
        <v>1</v>
      </c>
      <c r="X2361" s="48">
        <v>1</v>
      </c>
      <c r="Y2361" s="48">
        <v>0</v>
      </c>
      <c r="Z2361" s="48">
        <v>1</v>
      </c>
      <c r="AA2361" s="48">
        <v>1</v>
      </c>
      <c r="AB2361" s="48">
        <v>0</v>
      </c>
      <c r="AC2361" s="150">
        <v>0</v>
      </c>
      <c r="AD2361" s="150">
        <v>1</v>
      </c>
      <c r="AE2361" s="49">
        <f t="shared" si="123"/>
        <v>0.625</v>
      </c>
      <c r="AF2361" s="176"/>
      <c r="AG2361" s="17">
        <v>0</v>
      </c>
      <c r="AH2361" s="176">
        <v>2.3199999999999998</v>
      </c>
      <c r="AI2361" s="176">
        <v>0.73</v>
      </c>
      <c r="AJ2361" s="176">
        <v>0.73</v>
      </c>
      <c r="AK2361" s="177">
        <v>1.8</v>
      </c>
      <c r="AL2361" s="177">
        <v>1.2</v>
      </c>
      <c r="AM2361" s="17">
        <f t="shared" si="124"/>
        <v>3</v>
      </c>
      <c r="AN2361" s="18" t="s">
        <v>921</v>
      </c>
      <c r="AO2361" s="18" t="s">
        <v>880</v>
      </c>
    </row>
    <row r="2362" spans="1:41" s="18" customFormat="1" x14ac:dyDescent="0.3">
      <c r="A2362" s="207" t="s">
        <v>7397</v>
      </c>
      <c r="B2362" s="18" t="s">
        <v>7398</v>
      </c>
      <c r="C2362" s="208" t="s">
        <v>7589</v>
      </c>
      <c r="D2362" s="18" t="s">
        <v>7590</v>
      </c>
      <c r="E2362" s="208" t="s">
        <v>7591</v>
      </c>
      <c r="F2362" s="18" t="s">
        <v>7592</v>
      </c>
      <c r="G2362" s="156" t="s">
        <v>7744</v>
      </c>
      <c r="H2362" s="18" t="s">
        <v>7745</v>
      </c>
      <c r="K2362" s="156" t="s">
        <v>7746</v>
      </c>
      <c r="L2362" s="18" t="s">
        <v>7649</v>
      </c>
      <c r="M2362" s="18" t="s">
        <v>7747</v>
      </c>
      <c r="N2362" s="16">
        <v>0</v>
      </c>
      <c r="O2362" s="16">
        <v>100</v>
      </c>
      <c r="P2362" s="16">
        <v>100</v>
      </c>
      <c r="Q2362" s="16">
        <v>100</v>
      </c>
      <c r="R2362" s="16">
        <v>100</v>
      </c>
      <c r="S2362" s="16">
        <v>100</v>
      </c>
      <c r="T2362" s="18" t="s">
        <v>921</v>
      </c>
      <c r="U2362" t="str">
        <f>VLOOKUP(T2362,[8]Votes!$A$1:$E$234,3,FALSE)</f>
        <v>008 Ministry of Finance, Planning &amp; Economic Dev.</v>
      </c>
      <c r="V2362" s="18" t="s">
        <v>7748</v>
      </c>
      <c r="W2362" s="48">
        <v>1</v>
      </c>
      <c r="X2362" s="48">
        <v>1</v>
      </c>
      <c r="Y2362" s="48">
        <v>0</v>
      </c>
      <c r="Z2362" s="48">
        <v>1</v>
      </c>
      <c r="AA2362" s="48">
        <v>1</v>
      </c>
      <c r="AB2362" s="48">
        <v>1</v>
      </c>
      <c r="AC2362" s="150">
        <v>1</v>
      </c>
      <c r="AD2362" s="150">
        <v>1</v>
      </c>
      <c r="AE2362" s="49">
        <f t="shared" si="123"/>
        <v>0.875</v>
      </c>
      <c r="AF2362" s="176"/>
      <c r="AG2362" s="17">
        <v>0</v>
      </c>
      <c r="AH2362" s="176">
        <v>0.12</v>
      </c>
      <c r="AI2362" s="176">
        <v>0.12</v>
      </c>
      <c r="AJ2362" s="176">
        <v>0.12</v>
      </c>
      <c r="AK2362" s="177">
        <v>0.05</v>
      </c>
      <c r="AL2362" s="177">
        <v>0.05</v>
      </c>
      <c r="AM2362" s="17">
        <f t="shared" si="124"/>
        <v>0.1</v>
      </c>
      <c r="AN2362" s="18" t="s">
        <v>921</v>
      </c>
      <c r="AO2362" s="18" t="s">
        <v>880</v>
      </c>
    </row>
    <row r="2363" spans="1:41" s="18" customFormat="1" ht="15" hidden="1" customHeight="1" x14ac:dyDescent="0.3">
      <c r="A2363" s="207" t="s">
        <v>7397</v>
      </c>
      <c r="B2363" s="18" t="s">
        <v>7398</v>
      </c>
      <c r="C2363" s="208" t="s">
        <v>7589</v>
      </c>
      <c r="D2363" s="18" t="s">
        <v>7590</v>
      </c>
      <c r="E2363" s="208" t="s">
        <v>7591</v>
      </c>
      <c r="F2363" s="18" t="s">
        <v>7592</v>
      </c>
      <c r="G2363" s="156" t="s">
        <v>7744</v>
      </c>
      <c r="H2363" s="18" t="s">
        <v>7745</v>
      </c>
      <c r="K2363" s="156" t="s">
        <v>7746</v>
      </c>
      <c r="L2363" s="18" t="s">
        <v>7649</v>
      </c>
      <c r="M2363" s="18" t="s">
        <v>7749</v>
      </c>
      <c r="N2363" s="16">
        <v>0</v>
      </c>
      <c r="O2363" s="16">
        <v>1</v>
      </c>
      <c r="P2363" s="16">
        <v>1</v>
      </c>
      <c r="Q2363" s="16">
        <v>1</v>
      </c>
      <c r="R2363" s="16">
        <v>1</v>
      </c>
      <c r="S2363" s="16">
        <v>1</v>
      </c>
      <c r="T2363" s="18" t="s">
        <v>921</v>
      </c>
      <c r="U2363" t="str">
        <f>VLOOKUP(T2363,[8]Votes!$A$1:$E$234,3,FALSE)</f>
        <v>008 Ministry of Finance, Planning &amp; Economic Dev.</v>
      </c>
      <c r="V2363" s="18" t="s">
        <v>7750</v>
      </c>
      <c r="W2363" s="48">
        <v>1</v>
      </c>
      <c r="X2363" s="48">
        <v>1</v>
      </c>
      <c r="Y2363" s="48">
        <v>0</v>
      </c>
      <c r="Z2363" s="48">
        <v>1</v>
      </c>
      <c r="AA2363" s="48"/>
      <c r="AB2363" s="48">
        <v>1</v>
      </c>
      <c r="AC2363" s="150">
        <v>0</v>
      </c>
      <c r="AD2363" s="150">
        <v>1</v>
      </c>
      <c r="AE2363" s="49">
        <f t="shared" si="123"/>
        <v>0.625</v>
      </c>
      <c r="AF2363" s="176"/>
      <c r="AG2363" s="17">
        <v>0</v>
      </c>
      <c r="AH2363" s="176">
        <v>7.0000000000000007E-2</v>
      </c>
      <c r="AI2363" s="176">
        <v>7.0000000000000007E-2</v>
      </c>
      <c r="AJ2363" s="176">
        <v>7.0000000000000007E-2</v>
      </c>
      <c r="AK2363" s="177">
        <v>0</v>
      </c>
      <c r="AL2363" s="177">
        <v>0</v>
      </c>
      <c r="AM2363" s="17">
        <f t="shared" si="124"/>
        <v>0</v>
      </c>
      <c r="AN2363" s="18" t="s">
        <v>921</v>
      </c>
      <c r="AO2363" s="18" t="s">
        <v>880</v>
      </c>
    </row>
    <row r="2364" spans="1:41" s="18" customFormat="1" ht="15" hidden="1" customHeight="1" x14ac:dyDescent="0.3">
      <c r="A2364" s="207" t="s">
        <v>7397</v>
      </c>
      <c r="B2364" s="18" t="s">
        <v>7398</v>
      </c>
      <c r="C2364" s="208" t="s">
        <v>7589</v>
      </c>
      <c r="D2364" s="18" t="s">
        <v>7590</v>
      </c>
      <c r="E2364" s="208" t="s">
        <v>7591</v>
      </c>
      <c r="F2364" s="18" t="s">
        <v>7592</v>
      </c>
      <c r="G2364" s="156" t="s">
        <v>7744</v>
      </c>
      <c r="H2364" s="18" t="s">
        <v>7745</v>
      </c>
      <c r="K2364" s="156" t="s">
        <v>7746</v>
      </c>
      <c r="L2364" s="18" t="s">
        <v>7649</v>
      </c>
      <c r="M2364" s="18" t="s">
        <v>7751</v>
      </c>
      <c r="N2364" s="16">
        <v>0</v>
      </c>
      <c r="O2364" s="16">
        <v>0</v>
      </c>
      <c r="P2364" s="16">
        <v>2</v>
      </c>
      <c r="Q2364" s="16">
        <v>2</v>
      </c>
      <c r="R2364" s="16">
        <v>2</v>
      </c>
      <c r="S2364" s="16">
        <v>0</v>
      </c>
      <c r="T2364" s="18" t="s">
        <v>7752</v>
      </c>
      <c r="U2364" t="str">
        <f>VLOOKUP(T2364,[8]Votes!$A$1:$E$234,3,FALSE)</f>
        <v>104 Parliamentary Commission</v>
      </c>
      <c r="V2364" s="18" t="s">
        <v>7753</v>
      </c>
      <c r="W2364" s="48"/>
      <c r="X2364" s="48"/>
      <c r="Y2364" s="48"/>
      <c r="Z2364" s="48"/>
      <c r="AA2364" s="48"/>
      <c r="AB2364" s="48"/>
      <c r="AC2364" s="150">
        <v>0</v>
      </c>
      <c r="AD2364" s="150">
        <v>0</v>
      </c>
      <c r="AE2364" s="49">
        <f t="shared" si="123"/>
        <v>0</v>
      </c>
      <c r="AF2364" s="255"/>
      <c r="AG2364" s="17">
        <v>0</v>
      </c>
      <c r="AH2364" s="255">
        <v>0</v>
      </c>
      <c r="AI2364" s="255">
        <v>0.435</v>
      </c>
      <c r="AJ2364" s="255">
        <v>0.2175</v>
      </c>
      <c r="AK2364" s="256"/>
      <c r="AL2364" s="256">
        <v>0</v>
      </c>
      <c r="AM2364" s="17">
        <f t="shared" si="124"/>
        <v>0</v>
      </c>
      <c r="AN2364" s="18" t="s">
        <v>4195</v>
      </c>
      <c r="AO2364" s="18" t="s">
        <v>4196</v>
      </c>
    </row>
    <row r="2365" spans="1:41" s="18" customFormat="1" ht="15" customHeight="1" x14ac:dyDescent="0.3">
      <c r="A2365" s="207" t="s">
        <v>7397</v>
      </c>
      <c r="B2365" s="18" t="s">
        <v>7398</v>
      </c>
      <c r="C2365" s="208" t="s">
        <v>7589</v>
      </c>
      <c r="D2365" s="18" t="s">
        <v>7590</v>
      </c>
      <c r="E2365" s="208" t="s">
        <v>7591</v>
      </c>
      <c r="F2365" s="18" t="s">
        <v>7592</v>
      </c>
      <c r="G2365" s="156" t="s">
        <v>7744</v>
      </c>
      <c r="H2365" s="18" t="s">
        <v>7745</v>
      </c>
      <c r="K2365" s="156" t="s">
        <v>7754</v>
      </c>
      <c r="L2365" s="18" t="s">
        <v>7755</v>
      </c>
      <c r="M2365" s="18" t="s">
        <v>7756</v>
      </c>
      <c r="N2365" s="16">
        <v>0</v>
      </c>
      <c r="O2365" s="16">
        <v>1</v>
      </c>
      <c r="P2365" s="16">
        <v>1</v>
      </c>
      <c r="Q2365" s="16">
        <v>1</v>
      </c>
      <c r="R2365" s="16">
        <v>1</v>
      </c>
      <c r="S2365" s="16">
        <v>1</v>
      </c>
      <c r="T2365" s="18" t="s">
        <v>921</v>
      </c>
      <c r="U2365" t="str">
        <f>VLOOKUP(T2365,[8]Votes!$A$1:$E$234,3,FALSE)</f>
        <v>008 Ministry of Finance, Planning &amp; Economic Dev.</v>
      </c>
      <c r="V2365" s="18" t="s">
        <v>7757</v>
      </c>
      <c r="W2365" s="48">
        <v>1</v>
      </c>
      <c r="X2365" s="48">
        <v>1</v>
      </c>
      <c r="Y2365" s="48">
        <v>0</v>
      </c>
      <c r="Z2365" s="48">
        <v>1</v>
      </c>
      <c r="AA2365" s="48">
        <v>1</v>
      </c>
      <c r="AB2365" s="48">
        <v>1</v>
      </c>
      <c r="AC2365" s="150">
        <v>0</v>
      </c>
      <c r="AD2365" s="150">
        <v>1</v>
      </c>
      <c r="AE2365" s="49">
        <f t="shared" si="123"/>
        <v>0.75</v>
      </c>
      <c r="AF2365" s="176"/>
      <c r="AG2365" s="17">
        <v>0</v>
      </c>
      <c r="AH2365" s="176">
        <v>1.45</v>
      </c>
      <c r="AI2365" s="176">
        <v>1.31</v>
      </c>
      <c r="AJ2365" s="176">
        <v>1.02</v>
      </c>
      <c r="AK2365" s="177">
        <v>1.02</v>
      </c>
      <c r="AL2365" s="177">
        <v>1.02</v>
      </c>
      <c r="AM2365" s="17">
        <f t="shared" si="124"/>
        <v>2.04</v>
      </c>
      <c r="AN2365" s="18" t="s">
        <v>921</v>
      </c>
      <c r="AO2365" s="18" t="s">
        <v>880</v>
      </c>
    </row>
    <row r="2366" spans="1:41" s="18" customFormat="1" ht="15" customHeight="1" x14ac:dyDescent="0.3">
      <c r="A2366" s="207" t="s">
        <v>7397</v>
      </c>
      <c r="B2366" s="18" t="s">
        <v>7398</v>
      </c>
      <c r="C2366" s="208" t="s">
        <v>7589</v>
      </c>
      <c r="D2366" s="18" t="s">
        <v>7590</v>
      </c>
      <c r="E2366" s="208" t="s">
        <v>7591</v>
      </c>
      <c r="F2366" s="18" t="s">
        <v>7592</v>
      </c>
      <c r="G2366" s="156" t="s">
        <v>7744</v>
      </c>
      <c r="H2366" s="18" t="s">
        <v>7745</v>
      </c>
      <c r="K2366" s="156" t="s">
        <v>7754</v>
      </c>
      <c r="L2366" s="18" t="s">
        <v>7755</v>
      </c>
      <c r="M2366" s="18" t="s">
        <v>7758</v>
      </c>
      <c r="N2366" s="16">
        <v>0</v>
      </c>
      <c r="O2366" s="16">
        <v>0</v>
      </c>
      <c r="P2366" s="16">
        <v>0</v>
      </c>
      <c r="Q2366" s="16">
        <v>0</v>
      </c>
      <c r="R2366" s="16">
        <v>0</v>
      </c>
      <c r="S2366" s="16">
        <v>0</v>
      </c>
      <c r="T2366" s="18" t="s">
        <v>921</v>
      </c>
      <c r="U2366" t="str">
        <f>VLOOKUP(T2366,[8]Votes!$A$1:$E$234,3,FALSE)</f>
        <v>008 Ministry of Finance, Planning &amp; Economic Dev.</v>
      </c>
      <c r="V2366" s="18" t="s">
        <v>7759</v>
      </c>
      <c r="W2366" s="48">
        <v>1</v>
      </c>
      <c r="X2366" s="48">
        <v>1</v>
      </c>
      <c r="Y2366" s="48">
        <v>0</v>
      </c>
      <c r="Z2366" s="48">
        <v>1</v>
      </c>
      <c r="AA2366" s="48">
        <v>1</v>
      </c>
      <c r="AB2366" s="48">
        <v>1</v>
      </c>
      <c r="AC2366" s="150">
        <v>0</v>
      </c>
      <c r="AD2366" s="150">
        <v>1</v>
      </c>
      <c r="AE2366" s="49">
        <f t="shared" si="123"/>
        <v>0.75</v>
      </c>
      <c r="AF2366" s="176"/>
      <c r="AG2366" s="17">
        <v>0</v>
      </c>
      <c r="AH2366" s="176">
        <v>7.0000000000000007E-2</v>
      </c>
      <c r="AI2366" s="176">
        <v>7.0000000000000007E-2</v>
      </c>
      <c r="AJ2366" s="176">
        <v>7.0000000000000007E-2</v>
      </c>
      <c r="AK2366" s="177">
        <v>1</v>
      </c>
      <c r="AL2366" s="177">
        <v>1</v>
      </c>
      <c r="AM2366" s="17">
        <f t="shared" si="124"/>
        <v>2</v>
      </c>
      <c r="AN2366" s="18" t="s">
        <v>921</v>
      </c>
      <c r="AO2366" s="18" t="s">
        <v>880</v>
      </c>
    </row>
    <row r="2367" spans="1:41" s="18" customFormat="1" ht="15" hidden="1" customHeight="1" x14ac:dyDescent="0.3">
      <c r="A2367" s="207" t="s">
        <v>7397</v>
      </c>
      <c r="B2367" s="18" t="s">
        <v>7398</v>
      </c>
      <c r="C2367" s="208" t="s">
        <v>7589</v>
      </c>
      <c r="D2367" s="18" t="s">
        <v>7590</v>
      </c>
      <c r="E2367" s="208" t="s">
        <v>7591</v>
      </c>
      <c r="F2367" s="18" t="s">
        <v>7592</v>
      </c>
      <c r="G2367" s="156" t="s">
        <v>7744</v>
      </c>
      <c r="H2367" s="18" t="s">
        <v>7745</v>
      </c>
      <c r="K2367" s="156" t="s">
        <v>7754</v>
      </c>
      <c r="L2367" s="18" t="s">
        <v>7755</v>
      </c>
      <c r="N2367" s="16"/>
      <c r="O2367" s="16"/>
      <c r="P2367" s="16"/>
      <c r="Q2367" s="16"/>
      <c r="R2367" s="16"/>
      <c r="S2367" s="16"/>
      <c r="T2367" s="18" t="s">
        <v>921</v>
      </c>
      <c r="U2367" t="str">
        <f>VLOOKUP(T2367,[8]Votes!$A$1:$E$234,3,FALSE)</f>
        <v>008 Ministry of Finance, Planning &amp; Economic Dev.</v>
      </c>
      <c r="V2367" s="18" t="s">
        <v>7760</v>
      </c>
      <c r="W2367" s="48">
        <v>1</v>
      </c>
      <c r="X2367" s="48">
        <v>0</v>
      </c>
      <c r="Y2367" s="48">
        <v>0</v>
      </c>
      <c r="Z2367" s="48">
        <v>1</v>
      </c>
      <c r="AA2367" s="48">
        <v>1</v>
      </c>
      <c r="AB2367" s="48">
        <v>1</v>
      </c>
      <c r="AC2367" s="150">
        <v>0</v>
      </c>
      <c r="AD2367" s="150">
        <v>1</v>
      </c>
      <c r="AE2367" s="49">
        <f t="shared" si="123"/>
        <v>0.625</v>
      </c>
      <c r="AF2367" s="176"/>
      <c r="AG2367" s="17">
        <v>0</v>
      </c>
      <c r="AH2367" s="176">
        <v>2.3199999999999998</v>
      </c>
      <c r="AI2367" s="176">
        <v>0.73</v>
      </c>
      <c r="AJ2367" s="176">
        <v>0.73</v>
      </c>
      <c r="AK2367" s="177">
        <v>0.73</v>
      </c>
      <c r="AL2367" s="177">
        <v>0.73</v>
      </c>
      <c r="AM2367" s="17">
        <f t="shared" si="124"/>
        <v>1.46</v>
      </c>
      <c r="AN2367" s="18" t="s">
        <v>921</v>
      </c>
      <c r="AO2367" s="18" t="s">
        <v>880</v>
      </c>
    </row>
    <row r="2368" spans="1:41" s="18" customFormat="1" hidden="1" x14ac:dyDescent="0.3">
      <c r="A2368" s="207" t="s">
        <v>7397</v>
      </c>
      <c r="B2368" s="18" t="s">
        <v>7398</v>
      </c>
      <c r="C2368" s="208" t="s">
        <v>7589</v>
      </c>
      <c r="D2368" s="18" t="s">
        <v>7590</v>
      </c>
      <c r="E2368" s="208" t="s">
        <v>7591</v>
      </c>
      <c r="F2368" s="18" t="s">
        <v>7592</v>
      </c>
      <c r="G2368" s="156" t="s">
        <v>7761</v>
      </c>
      <c r="H2368" s="18" t="s">
        <v>7762</v>
      </c>
      <c r="K2368" s="156" t="s">
        <v>7763</v>
      </c>
      <c r="L2368" s="18" t="s">
        <v>7764</v>
      </c>
      <c r="M2368" s="18" t="s">
        <v>7765</v>
      </c>
      <c r="N2368" s="16">
        <v>0</v>
      </c>
      <c r="O2368" s="16">
        <v>7.5</v>
      </c>
      <c r="P2368" s="16">
        <v>6</v>
      </c>
      <c r="Q2368" s="16" t="s">
        <v>7766</v>
      </c>
      <c r="R2368" s="16">
        <v>3</v>
      </c>
      <c r="S2368" s="16" t="s">
        <v>7767</v>
      </c>
      <c r="T2368" s="18" t="s">
        <v>921</v>
      </c>
      <c r="U2368" t="str">
        <f>VLOOKUP(T2368,[8]Votes!$A$1:$E$234,3,FALSE)</f>
        <v>008 Ministry of Finance, Planning &amp; Economic Dev.</v>
      </c>
      <c r="V2368" s="18" t="s">
        <v>7768</v>
      </c>
      <c r="W2368" s="48">
        <v>1</v>
      </c>
      <c r="X2368" s="48">
        <v>1</v>
      </c>
      <c r="Y2368" s="48">
        <v>0</v>
      </c>
      <c r="Z2368" s="48">
        <v>1</v>
      </c>
      <c r="AA2368" s="48">
        <v>0</v>
      </c>
      <c r="AB2368" s="48">
        <v>0</v>
      </c>
      <c r="AC2368" s="150">
        <v>0</v>
      </c>
      <c r="AD2368" s="150">
        <v>1</v>
      </c>
      <c r="AE2368" s="49">
        <f t="shared" si="123"/>
        <v>0.5</v>
      </c>
      <c r="AF2368" s="176"/>
      <c r="AG2368" s="17">
        <v>0</v>
      </c>
      <c r="AH2368" s="176">
        <v>0</v>
      </c>
      <c r="AI2368" s="176">
        <v>0</v>
      </c>
      <c r="AJ2368" s="176">
        <v>0</v>
      </c>
      <c r="AK2368" s="177">
        <v>0</v>
      </c>
      <c r="AL2368" s="177">
        <v>0</v>
      </c>
      <c r="AM2368" s="17">
        <f t="shared" si="124"/>
        <v>0</v>
      </c>
      <c r="AN2368" s="18" t="s">
        <v>921</v>
      </c>
      <c r="AO2368" s="18" t="s">
        <v>880</v>
      </c>
    </row>
    <row r="2369" spans="1:41" s="18" customFormat="1" ht="15" customHeight="1" x14ac:dyDescent="0.3">
      <c r="A2369" s="207" t="s">
        <v>7397</v>
      </c>
      <c r="B2369" s="18" t="s">
        <v>7398</v>
      </c>
      <c r="C2369" s="208" t="s">
        <v>7589</v>
      </c>
      <c r="D2369" s="18" t="s">
        <v>7590</v>
      </c>
      <c r="E2369" s="208" t="s">
        <v>7591</v>
      </c>
      <c r="F2369" s="18" t="s">
        <v>7592</v>
      </c>
      <c r="G2369" s="156" t="s">
        <v>7769</v>
      </c>
      <c r="H2369" s="18" t="s">
        <v>7770</v>
      </c>
      <c r="K2369" s="156" t="s">
        <v>7771</v>
      </c>
      <c r="L2369" s="18" t="s">
        <v>7772</v>
      </c>
      <c r="M2369" s="18" t="s">
        <v>7773</v>
      </c>
      <c r="N2369" s="16">
        <v>0</v>
      </c>
      <c r="O2369" s="16">
        <v>0</v>
      </c>
      <c r="P2369" s="16">
        <v>1</v>
      </c>
      <c r="Q2369" s="16">
        <v>1</v>
      </c>
      <c r="R2369" s="16">
        <v>1</v>
      </c>
      <c r="S2369" s="16">
        <v>1</v>
      </c>
      <c r="T2369" s="18" t="s">
        <v>921</v>
      </c>
      <c r="U2369" t="str">
        <f>VLOOKUP(T2369,[8]Votes!$A$1:$E$234,3,FALSE)</f>
        <v>008 Ministry of Finance, Planning &amp; Economic Dev.</v>
      </c>
      <c r="V2369" s="18" t="s">
        <v>7774</v>
      </c>
      <c r="W2369" s="48">
        <v>1</v>
      </c>
      <c r="X2369" s="48">
        <v>1</v>
      </c>
      <c r="Y2369" s="48">
        <v>0</v>
      </c>
      <c r="Z2369" s="48">
        <v>1</v>
      </c>
      <c r="AA2369" s="48">
        <v>1</v>
      </c>
      <c r="AB2369" s="48">
        <v>1</v>
      </c>
      <c r="AC2369" s="150">
        <v>1</v>
      </c>
      <c r="AD2369" s="150">
        <v>1</v>
      </c>
      <c r="AE2369" s="49">
        <f t="shared" si="123"/>
        <v>0.875</v>
      </c>
      <c r="AF2369" s="255"/>
      <c r="AG2369" s="17">
        <v>0</v>
      </c>
      <c r="AH2369" s="255">
        <v>2.3199999999999998</v>
      </c>
      <c r="AI2369" s="255">
        <v>1.45</v>
      </c>
      <c r="AJ2369" s="255">
        <v>0.72499999999999998</v>
      </c>
      <c r="AK2369" s="256">
        <v>1</v>
      </c>
      <c r="AL2369" s="256">
        <v>1</v>
      </c>
      <c r="AM2369" s="17">
        <f t="shared" si="124"/>
        <v>2</v>
      </c>
      <c r="AN2369" s="18" t="s">
        <v>921</v>
      </c>
      <c r="AO2369" s="18" t="s">
        <v>880</v>
      </c>
    </row>
    <row r="2370" spans="1:41" s="18" customFormat="1" ht="15" customHeight="1" x14ac:dyDescent="0.3">
      <c r="A2370" s="207" t="s">
        <v>7397</v>
      </c>
      <c r="B2370" s="18" t="s">
        <v>7398</v>
      </c>
      <c r="C2370" s="208" t="s">
        <v>7589</v>
      </c>
      <c r="D2370" s="18" t="s">
        <v>7590</v>
      </c>
      <c r="E2370" s="208" t="s">
        <v>7591</v>
      </c>
      <c r="F2370" s="18" t="s">
        <v>7592</v>
      </c>
      <c r="G2370" s="156" t="s">
        <v>7775</v>
      </c>
      <c r="H2370" s="18" t="s">
        <v>7776</v>
      </c>
      <c r="K2370" s="156" t="s">
        <v>7777</v>
      </c>
      <c r="L2370" s="18" t="s">
        <v>7778</v>
      </c>
      <c r="M2370" s="18" t="s">
        <v>7779</v>
      </c>
      <c r="N2370" s="16">
        <v>0</v>
      </c>
      <c r="O2370" s="16">
        <v>0</v>
      </c>
      <c r="P2370" s="16">
        <v>1</v>
      </c>
      <c r="Q2370" s="16">
        <v>0</v>
      </c>
      <c r="R2370" s="16">
        <v>0</v>
      </c>
      <c r="S2370" s="16">
        <v>0</v>
      </c>
      <c r="T2370" s="18" t="s">
        <v>921</v>
      </c>
      <c r="U2370" t="str">
        <f>VLOOKUP(T2370,[8]Votes!$A$1:$E$234,3,FALSE)</f>
        <v>008 Ministry of Finance, Planning &amp; Economic Dev.</v>
      </c>
      <c r="V2370" s="18" t="s">
        <v>7780</v>
      </c>
      <c r="W2370" s="48">
        <v>1</v>
      </c>
      <c r="X2370" s="48">
        <v>1</v>
      </c>
      <c r="Y2370" s="48">
        <v>0</v>
      </c>
      <c r="Z2370" s="48">
        <v>1</v>
      </c>
      <c r="AA2370" s="48">
        <v>1</v>
      </c>
      <c r="AB2370" s="48">
        <v>0</v>
      </c>
      <c r="AC2370" s="150">
        <v>1</v>
      </c>
      <c r="AD2370" s="150">
        <v>1</v>
      </c>
      <c r="AE2370" s="49">
        <f t="shared" si="123"/>
        <v>0.75</v>
      </c>
      <c r="AF2370" s="255"/>
      <c r="AG2370" s="17">
        <v>0</v>
      </c>
      <c r="AH2370" s="255">
        <v>0</v>
      </c>
      <c r="AI2370" s="255">
        <v>0</v>
      </c>
      <c r="AJ2370" s="255">
        <v>0</v>
      </c>
      <c r="AK2370" s="256">
        <v>0.5</v>
      </c>
      <c r="AL2370" s="256">
        <v>0.5</v>
      </c>
      <c r="AM2370" s="17">
        <f t="shared" si="124"/>
        <v>1</v>
      </c>
      <c r="AN2370" s="18" t="s">
        <v>921</v>
      </c>
      <c r="AO2370" s="18" t="s">
        <v>880</v>
      </c>
    </row>
    <row r="2371" spans="1:41" s="18" customFormat="1" ht="15" hidden="1" customHeight="1" x14ac:dyDescent="0.3">
      <c r="A2371" s="207" t="s">
        <v>7397</v>
      </c>
      <c r="B2371" s="18" t="s">
        <v>7398</v>
      </c>
      <c r="C2371" s="208" t="s">
        <v>7589</v>
      </c>
      <c r="D2371" s="18" t="s">
        <v>7590</v>
      </c>
      <c r="E2371" s="208" t="s">
        <v>7591</v>
      </c>
      <c r="F2371" s="18" t="s">
        <v>7592</v>
      </c>
      <c r="G2371" s="156" t="s">
        <v>7775</v>
      </c>
      <c r="H2371" s="18" t="s">
        <v>7776</v>
      </c>
      <c r="K2371" s="156" t="s">
        <v>7777</v>
      </c>
      <c r="L2371" s="18" t="s">
        <v>7778</v>
      </c>
      <c r="M2371" s="18" t="s">
        <v>7781</v>
      </c>
      <c r="N2371" s="16">
        <v>0</v>
      </c>
      <c r="O2371" s="16">
        <v>0</v>
      </c>
      <c r="P2371" s="16">
        <v>0</v>
      </c>
      <c r="Q2371" s="16">
        <v>40</v>
      </c>
      <c r="R2371" s="16">
        <v>75</v>
      </c>
      <c r="S2371" s="16">
        <v>95</v>
      </c>
      <c r="T2371" s="18" t="s">
        <v>921</v>
      </c>
      <c r="U2371" t="str">
        <f>VLOOKUP(T2371,[8]Votes!$A$1:$E$234,3,FALSE)</f>
        <v>008 Ministry of Finance, Planning &amp; Economic Dev.</v>
      </c>
      <c r="V2371" s="18" t="s">
        <v>7782</v>
      </c>
      <c r="W2371" s="48">
        <v>1</v>
      </c>
      <c r="X2371" s="48">
        <v>0</v>
      </c>
      <c r="Y2371" s="48">
        <v>0</v>
      </c>
      <c r="Z2371" s="48">
        <v>1</v>
      </c>
      <c r="AA2371" s="48">
        <v>1</v>
      </c>
      <c r="AB2371" s="48">
        <v>0</v>
      </c>
      <c r="AC2371" s="150">
        <v>1</v>
      </c>
      <c r="AD2371" s="150">
        <v>1</v>
      </c>
      <c r="AE2371" s="49">
        <f t="shared" si="123"/>
        <v>0.625</v>
      </c>
      <c r="AF2371" s="255"/>
      <c r="AG2371" s="17">
        <v>0</v>
      </c>
      <c r="AH2371" s="255">
        <v>0</v>
      </c>
      <c r="AI2371" s="255">
        <v>0</v>
      </c>
      <c r="AJ2371" s="255">
        <v>0</v>
      </c>
      <c r="AK2371" s="256">
        <v>0.28999999999999998</v>
      </c>
      <c r="AL2371" s="256">
        <v>0.28999999999999998</v>
      </c>
      <c r="AM2371" s="17">
        <f t="shared" si="124"/>
        <v>0.57999999999999996</v>
      </c>
      <c r="AN2371" s="18" t="s">
        <v>921</v>
      </c>
      <c r="AO2371" s="18" t="s">
        <v>880</v>
      </c>
    </row>
    <row r="2372" spans="1:41" s="18" customFormat="1" ht="15" customHeight="1" x14ac:dyDescent="0.3">
      <c r="A2372" s="207" t="s">
        <v>7397</v>
      </c>
      <c r="B2372" s="18" t="s">
        <v>7398</v>
      </c>
      <c r="C2372" s="208" t="s">
        <v>7589</v>
      </c>
      <c r="D2372" s="18" t="s">
        <v>7590</v>
      </c>
      <c r="E2372" s="208" t="s">
        <v>7591</v>
      </c>
      <c r="F2372" s="18" t="s">
        <v>7592</v>
      </c>
      <c r="G2372" s="156" t="s">
        <v>7775</v>
      </c>
      <c r="H2372" s="18" t="s">
        <v>7776</v>
      </c>
      <c r="K2372" s="156" t="s">
        <v>7777</v>
      </c>
      <c r="L2372" s="18" t="s">
        <v>7778</v>
      </c>
      <c r="N2372" s="16"/>
      <c r="O2372" s="16"/>
      <c r="P2372" s="16"/>
      <c r="Q2372" s="16"/>
      <c r="R2372" s="16"/>
      <c r="S2372" s="16"/>
      <c r="T2372" s="18" t="s">
        <v>921</v>
      </c>
      <c r="U2372" t="str">
        <f>VLOOKUP(T2372,[8]Votes!$A$1:$E$234,3,FALSE)</f>
        <v>008 Ministry of Finance, Planning &amp; Economic Dev.</v>
      </c>
      <c r="V2372" s="18" t="s">
        <v>7783</v>
      </c>
      <c r="W2372" s="48">
        <v>1</v>
      </c>
      <c r="X2372" s="48">
        <v>1</v>
      </c>
      <c r="Y2372" s="48">
        <v>0</v>
      </c>
      <c r="Z2372" s="48">
        <v>1</v>
      </c>
      <c r="AA2372" s="48">
        <v>1</v>
      </c>
      <c r="AB2372" s="48">
        <v>0</v>
      </c>
      <c r="AC2372" s="150">
        <v>1</v>
      </c>
      <c r="AD2372" s="150">
        <v>1</v>
      </c>
      <c r="AE2372" s="49">
        <f t="shared" si="123"/>
        <v>0.75</v>
      </c>
      <c r="AF2372" s="255"/>
      <c r="AG2372" s="17">
        <v>0</v>
      </c>
      <c r="AH2372" s="255">
        <v>0</v>
      </c>
      <c r="AI2372" s="255">
        <v>0.435</v>
      </c>
      <c r="AJ2372" s="255">
        <v>0</v>
      </c>
      <c r="AK2372" s="256">
        <v>0.3</v>
      </c>
      <c r="AL2372" s="256">
        <v>0.3</v>
      </c>
      <c r="AM2372" s="17">
        <f t="shared" si="124"/>
        <v>0.6</v>
      </c>
      <c r="AN2372" s="18" t="s">
        <v>921</v>
      </c>
      <c r="AO2372" s="18" t="s">
        <v>880</v>
      </c>
    </row>
    <row r="2373" spans="1:41" s="18" customFormat="1" ht="15" customHeight="1" x14ac:dyDescent="0.3">
      <c r="A2373" s="207" t="s">
        <v>7397</v>
      </c>
      <c r="B2373" s="18" t="s">
        <v>7398</v>
      </c>
      <c r="C2373" s="208" t="s">
        <v>7589</v>
      </c>
      <c r="D2373" s="18" t="s">
        <v>7590</v>
      </c>
      <c r="E2373" s="208" t="s">
        <v>7591</v>
      </c>
      <c r="F2373" s="18" t="s">
        <v>7592</v>
      </c>
      <c r="G2373" s="156" t="s">
        <v>7775</v>
      </c>
      <c r="H2373" s="18" t="s">
        <v>7776</v>
      </c>
      <c r="K2373" s="156" t="s">
        <v>7777</v>
      </c>
      <c r="L2373" s="18" t="s">
        <v>7778</v>
      </c>
      <c r="N2373" s="16"/>
      <c r="O2373" s="16"/>
      <c r="P2373" s="16"/>
      <c r="Q2373" s="16"/>
      <c r="R2373" s="16"/>
      <c r="S2373" s="16"/>
      <c r="T2373" s="18" t="s">
        <v>921</v>
      </c>
      <c r="U2373" t="str">
        <f>VLOOKUP(T2373,[8]Votes!$A$1:$E$234,3,FALSE)</f>
        <v>008 Ministry of Finance, Planning &amp; Economic Dev.</v>
      </c>
      <c r="V2373" s="18" t="s">
        <v>7784</v>
      </c>
      <c r="W2373" s="48">
        <v>1</v>
      </c>
      <c r="X2373" s="48">
        <v>1</v>
      </c>
      <c r="Y2373" s="48">
        <v>0</v>
      </c>
      <c r="Z2373" s="48">
        <v>1</v>
      </c>
      <c r="AA2373" s="48">
        <v>1</v>
      </c>
      <c r="AB2373" s="48">
        <v>0</v>
      </c>
      <c r="AC2373" s="150">
        <v>1</v>
      </c>
      <c r="AD2373" s="150">
        <v>1</v>
      </c>
      <c r="AE2373" s="49">
        <f t="shared" si="123"/>
        <v>0.75</v>
      </c>
      <c r="AF2373" s="255"/>
      <c r="AG2373" s="17">
        <v>0</v>
      </c>
      <c r="AH2373" s="255">
        <v>0</v>
      </c>
      <c r="AI2373" s="255">
        <v>0</v>
      </c>
      <c r="AJ2373" s="255">
        <v>0</v>
      </c>
      <c r="AK2373" s="256">
        <v>0.15</v>
      </c>
      <c r="AL2373" s="256">
        <v>0.15</v>
      </c>
      <c r="AM2373" s="17">
        <f t="shared" si="124"/>
        <v>0.3</v>
      </c>
      <c r="AN2373" s="18" t="s">
        <v>921</v>
      </c>
      <c r="AO2373" s="18" t="s">
        <v>880</v>
      </c>
    </row>
    <row r="2374" spans="1:41" s="18" customFormat="1" ht="15" customHeight="1" x14ac:dyDescent="0.3">
      <c r="A2374" s="207" t="s">
        <v>7397</v>
      </c>
      <c r="B2374" s="18" t="s">
        <v>7398</v>
      </c>
      <c r="C2374" s="208" t="s">
        <v>7589</v>
      </c>
      <c r="D2374" s="18" t="s">
        <v>7590</v>
      </c>
      <c r="E2374" s="208" t="s">
        <v>7591</v>
      </c>
      <c r="F2374" s="18" t="s">
        <v>7592</v>
      </c>
      <c r="G2374" s="156" t="s">
        <v>7775</v>
      </c>
      <c r="H2374" s="18" t="s">
        <v>7776</v>
      </c>
      <c r="K2374" s="156" t="s">
        <v>7777</v>
      </c>
      <c r="L2374" s="18" t="s">
        <v>7778</v>
      </c>
      <c r="N2374" s="16"/>
      <c r="O2374" s="16"/>
      <c r="P2374" s="16"/>
      <c r="Q2374" s="16"/>
      <c r="R2374" s="16"/>
      <c r="S2374" s="16"/>
      <c r="T2374" s="18" t="s">
        <v>921</v>
      </c>
      <c r="U2374" t="str">
        <f>VLOOKUP(T2374,[8]Votes!$A$1:$E$234,3,FALSE)</f>
        <v>008 Ministry of Finance, Planning &amp; Economic Dev.</v>
      </c>
      <c r="V2374" s="18" t="s">
        <v>7785</v>
      </c>
      <c r="W2374" s="48">
        <v>1</v>
      </c>
      <c r="X2374" s="48">
        <v>1</v>
      </c>
      <c r="Y2374" s="48">
        <v>0</v>
      </c>
      <c r="Z2374" s="48">
        <v>1</v>
      </c>
      <c r="AA2374" s="48">
        <v>1</v>
      </c>
      <c r="AB2374" s="48">
        <v>0</v>
      </c>
      <c r="AC2374" s="150">
        <v>1</v>
      </c>
      <c r="AD2374" s="150">
        <v>1</v>
      </c>
      <c r="AE2374" s="49">
        <f t="shared" si="123"/>
        <v>0.75</v>
      </c>
      <c r="AF2374" s="255"/>
      <c r="AG2374" s="17">
        <v>0</v>
      </c>
      <c r="AH2374" s="255">
        <v>0</v>
      </c>
      <c r="AI2374" s="255">
        <v>0</v>
      </c>
      <c r="AJ2374" s="255">
        <v>0</v>
      </c>
      <c r="AK2374" s="256">
        <v>0</v>
      </c>
      <c r="AL2374" s="256">
        <v>0</v>
      </c>
      <c r="AM2374" s="17">
        <f t="shared" si="124"/>
        <v>0</v>
      </c>
      <c r="AN2374" s="18" t="s">
        <v>921</v>
      </c>
      <c r="AO2374" s="18" t="s">
        <v>880</v>
      </c>
    </row>
    <row r="2375" spans="1:41" s="18" customFormat="1" ht="15" customHeight="1" x14ac:dyDescent="0.3">
      <c r="A2375" s="207" t="s">
        <v>7397</v>
      </c>
      <c r="B2375" s="18" t="s">
        <v>7398</v>
      </c>
      <c r="C2375" s="208" t="s">
        <v>7589</v>
      </c>
      <c r="D2375" s="18" t="s">
        <v>7590</v>
      </c>
      <c r="E2375" s="208" t="s">
        <v>7591</v>
      </c>
      <c r="F2375" s="18" t="s">
        <v>7592</v>
      </c>
      <c r="G2375" s="156" t="s">
        <v>7775</v>
      </c>
      <c r="H2375" s="18" t="s">
        <v>7776</v>
      </c>
      <c r="K2375" s="156" t="s">
        <v>7777</v>
      </c>
      <c r="L2375" s="18" t="s">
        <v>7778</v>
      </c>
      <c r="N2375" s="16"/>
      <c r="O2375" s="16"/>
      <c r="P2375" s="16"/>
      <c r="Q2375" s="16"/>
      <c r="R2375" s="16"/>
      <c r="S2375" s="16"/>
      <c r="T2375" s="18" t="s">
        <v>921</v>
      </c>
      <c r="U2375" t="str">
        <f>VLOOKUP(T2375,[8]Votes!$A$1:$E$234,3,FALSE)</f>
        <v>008 Ministry of Finance, Planning &amp; Economic Dev.</v>
      </c>
      <c r="V2375" s="18" t="s">
        <v>7786</v>
      </c>
      <c r="W2375" s="48">
        <v>1</v>
      </c>
      <c r="X2375" s="48">
        <v>1</v>
      </c>
      <c r="Y2375" s="48">
        <v>0</v>
      </c>
      <c r="Z2375" s="48">
        <v>1</v>
      </c>
      <c r="AA2375" s="48">
        <v>1</v>
      </c>
      <c r="AB2375" s="48">
        <v>0</v>
      </c>
      <c r="AC2375" s="150">
        <v>1</v>
      </c>
      <c r="AD2375" s="150">
        <v>1</v>
      </c>
      <c r="AE2375" s="49">
        <f t="shared" si="123"/>
        <v>0.75</v>
      </c>
      <c r="AF2375" s="255"/>
      <c r="AG2375" s="17">
        <v>0</v>
      </c>
      <c r="AH2375" s="255">
        <v>0</v>
      </c>
      <c r="AI2375" s="255">
        <v>0</v>
      </c>
      <c r="AJ2375" s="255">
        <v>0</v>
      </c>
      <c r="AK2375" s="256">
        <v>0.55000000000000004</v>
      </c>
      <c r="AL2375" s="256">
        <v>0.55000000000000004</v>
      </c>
      <c r="AM2375" s="17">
        <f t="shared" si="124"/>
        <v>1.1000000000000001</v>
      </c>
      <c r="AN2375" s="18" t="s">
        <v>921</v>
      </c>
      <c r="AO2375" s="18" t="s">
        <v>880</v>
      </c>
    </row>
    <row r="2376" spans="1:41" s="18" customFormat="1" ht="15" hidden="1" customHeight="1" x14ac:dyDescent="0.3">
      <c r="A2376" s="207" t="s">
        <v>7397</v>
      </c>
      <c r="B2376" s="18" t="s">
        <v>7398</v>
      </c>
      <c r="C2376" s="208" t="s">
        <v>7589</v>
      </c>
      <c r="D2376" s="18" t="s">
        <v>7590</v>
      </c>
      <c r="E2376" s="208" t="s">
        <v>7591</v>
      </c>
      <c r="F2376" s="18" t="s">
        <v>7592</v>
      </c>
      <c r="G2376" s="156" t="s">
        <v>7775</v>
      </c>
      <c r="H2376" s="18" t="s">
        <v>7776</v>
      </c>
      <c r="K2376" s="156" t="s">
        <v>7787</v>
      </c>
      <c r="L2376" s="18" t="s">
        <v>7788</v>
      </c>
      <c r="M2376" s="18" t="s">
        <v>7789</v>
      </c>
      <c r="N2376" s="16">
        <v>0</v>
      </c>
      <c r="O2376" s="16">
        <v>0</v>
      </c>
      <c r="P2376" s="16">
        <v>25</v>
      </c>
      <c r="Q2376" s="16">
        <v>50</v>
      </c>
      <c r="R2376" s="16">
        <v>75</v>
      </c>
      <c r="S2376" s="16">
        <v>100</v>
      </c>
      <c r="T2376" s="18" t="s">
        <v>921</v>
      </c>
      <c r="U2376" t="str">
        <f>VLOOKUP(T2376,[8]Votes!$A$1:$E$234,3,FALSE)</f>
        <v>008 Ministry of Finance, Planning &amp; Economic Dev.</v>
      </c>
      <c r="V2376" s="18" t="s">
        <v>7790</v>
      </c>
      <c r="W2376" s="48">
        <v>1</v>
      </c>
      <c r="X2376" s="48">
        <v>0</v>
      </c>
      <c r="Y2376" s="48">
        <v>0</v>
      </c>
      <c r="Z2376" s="48">
        <v>1</v>
      </c>
      <c r="AA2376" s="48">
        <v>1</v>
      </c>
      <c r="AB2376" s="48">
        <v>0</v>
      </c>
      <c r="AC2376" s="150">
        <v>1</v>
      </c>
      <c r="AD2376" s="150">
        <v>1</v>
      </c>
      <c r="AE2376" s="49">
        <f t="shared" si="123"/>
        <v>0.625</v>
      </c>
      <c r="AF2376" s="176"/>
      <c r="AG2376" s="17">
        <v>0</v>
      </c>
      <c r="AH2376" s="176">
        <v>0</v>
      </c>
      <c r="AI2376" s="176">
        <v>5.76</v>
      </c>
      <c r="AJ2376" s="176">
        <v>5.9</v>
      </c>
      <c r="AK2376" s="177">
        <v>1.5</v>
      </c>
      <c r="AL2376" s="177">
        <v>3.1</v>
      </c>
      <c r="AM2376" s="17">
        <f t="shared" si="124"/>
        <v>4.5999999999999996</v>
      </c>
      <c r="AN2376" s="18" t="s">
        <v>921</v>
      </c>
      <c r="AO2376" s="18" t="s">
        <v>880</v>
      </c>
    </row>
    <row r="2377" spans="1:41" s="18" customFormat="1" ht="15" customHeight="1" x14ac:dyDescent="0.3">
      <c r="A2377" s="207" t="s">
        <v>7397</v>
      </c>
      <c r="B2377" s="18" t="s">
        <v>7398</v>
      </c>
      <c r="C2377" s="208" t="s">
        <v>7589</v>
      </c>
      <c r="D2377" s="18" t="s">
        <v>7590</v>
      </c>
      <c r="E2377" s="208" t="s">
        <v>7591</v>
      </c>
      <c r="F2377" s="18" t="s">
        <v>7592</v>
      </c>
      <c r="G2377" s="156" t="s">
        <v>7791</v>
      </c>
      <c r="H2377" s="18" t="s">
        <v>7792</v>
      </c>
      <c r="K2377" s="156" t="s">
        <v>7793</v>
      </c>
      <c r="L2377" s="18" t="s">
        <v>7794</v>
      </c>
      <c r="M2377" s="18" t="s">
        <v>7795</v>
      </c>
      <c r="N2377" s="16">
        <v>0.111</v>
      </c>
      <c r="O2377" s="16">
        <v>15</v>
      </c>
      <c r="P2377" s="16">
        <v>18</v>
      </c>
      <c r="Q2377" s="16">
        <v>20</v>
      </c>
      <c r="R2377" s="16">
        <v>25</v>
      </c>
      <c r="S2377" s="16">
        <v>30</v>
      </c>
      <c r="T2377" s="18" t="s">
        <v>6300</v>
      </c>
      <c r="U2377" t="str">
        <f>VLOOKUP(T2377,[8]Votes!$A$1:$E$234,3,FALSE)</f>
        <v>147 Local Government Finance Commission</v>
      </c>
      <c r="V2377" s="18" t="s">
        <v>7796</v>
      </c>
      <c r="W2377" s="48">
        <v>1</v>
      </c>
      <c r="X2377" s="48">
        <v>1</v>
      </c>
      <c r="Y2377" s="48">
        <v>0</v>
      </c>
      <c r="Z2377" s="48">
        <v>1</v>
      </c>
      <c r="AA2377" s="48">
        <v>1</v>
      </c>
      <c r="AB2377" s="48">
        <v>0</v>
      </c>
      <c r="AC2377" s="150">
        <v>1</v>
      </c>
      <c r="AD2377" s="150">
        <v>1</v>
      </c>
      <c r="AE2377" s="49">
        <f t="shared" si="123"/>
        <v>0.75</v>
      </c>
      <c r="AF2377" s="255"/>
      <c r="AG2377" s="17">
        <v>0</v>
      </c>
      <c r="AH2377" s="255">
        <v>0</v>
      </c>
      <c r="AI2377" s="255">
        <v>0.72499999999999998</v>
      </c>
      <c r="AJ2377" s="255">
        <v>0.72499999999999998</v>
      </c>
      <c r="AK2377" s="256">
        <v>0.72499999999999998</v>
      </c>
      <c r="AL2377" s="256">
        <v>0.72499999999999998</v>
      </c>
      <c r="AM2377" s="17">
        <f t="shared" si="124"/>
        <v>1.45</v>
      </c>
      <c r="AN2377" s="18" t="s">
        <v>6300</v>
      </c>
      <c r="AO2377" s="18" t="s">
        <v>6301</v>
      </c>
    </row>
    <row r="2378" spans="1:41" s="18" customFormat="1" ht="15" customHeight="1" x14ac:dyDescent="0.3">
      <c r="A2378" s="207" t="s">
        <v>7397</v>
      </c>
      <c r="B2378" s="18" t="s">
        <v>7398</v>
      </c>
      <c r="C2378" s="208" t="s">
        <v>7589</v>
      </c>
      <c r="D2378" s="18" t="s">
        <v>7590</v>
      </c>
      <c r="E2378" s="208" t="s">
        <v>7591</v>
      </c>
      <c r="F2378" s="18" t="s">
        <v>7592</v>
      </c>
      <c r="G2378" s="156" t="s">
        <v>7791</v>
      </c>
      <c r="H2378" s="18" t="s">
        <v>7792</v>
      </c>
      <c r="K2378" s="156" t="s">
        <v>7797</v>
      </c>
      <c r="L2378" s="18" t="s">
        <v>7798</v>
      </c>
      <c r="M2378" s="18" t="s">
        <v>7799</v>
      </c>
      <c r="N2378" s="16">
        <v>0</v>
      </c>
      <c r="O2378" s="16">
        <v>80</v>
      </c>
      <c r="P2378" s="16">
        <v>90</v>
      </c>
      <c r="Q2378" s="16">
        <v>100</v>
      </c>
      <c r="R2378" s="16">
        <v>100</v>
      </c>
      <c r="S2378" s="16">
        <v>100</v>
      </c>
      <c r="T2378" s="18" t="s">
        <v>831</v>
      </c>
      <c r="U2378" t="str">
        <f>VLOOKUP(T2378,[8]Votes!$A$1:$E$234,3,FALSE)</f>
        <v>108 National Planning Authority</v>
      </c>
      <c r="V2378" s="18" t="s">
        <v>7800</v>
      </c>
      <c r="W2378" s="48">
        <v>1</v>
      </c>
      <c r="X2378" s="48">
        <v>1</v>
      </c>
      <c r="Y2378" s="48">
        <v>1</v>
      </c>
      <c r="Z2378" s="48">
        <v>1</v>
      </c>
      <c r="AA2378" s="48">
        <v>1</v>
      </c>
      <c r="AB2378" s="48">
        <v>1</v>
      </c>
      <c r="AC2378" s="150">
        <v>1</v>
      </c>
      <c r="AD2378" s="150">
        <v>1</v>
      </c>
      <c r="AE2378" s="49">
        <f t="shared" si="123"/>
        <v>1</v>
      </c>
      <c r="AF2378" s="255"/>
      <c r="AG2378" s="17">
        <v>0</v>
      </c>
      <c r="AH2378" s="255">
        <v>1.45</v>
      </c>
      <c r="AI2378" s="255">
        <v>1.45</v>
      </c>
      <c r="AJ2378" s="255">
        <v>1.45</v>
      </c>
      <c r="AK2378" s="256">
        <v>3.5</v>
      </c>
      <c r="AL2378" s="256">
        <v>3.5</v>
      </c>
      <c r="AM2378" s="17">
        <f t="shared" si="124"/>
        <v>7</v>
      </c>
      <c r="AN2378" s="18" t="s">
        <v>831</v>
      </c>
      <c r="AO2378" s="18" t="s">
        <v>834</v>
      </c>
    </row>
    <row r="2379" spans="1:41" s="18" customFormat="1" ht="15" hidden="1" customHeight="1" x14ac:dyDescent="0.3">
      <c r="A2379" s="207" t="s">
        <v>7397</v>
      </c>
      <c r="B2379" s="18" t="s">
        <v>7398</v>
      </c>
      <c r="C2379" s="208" t="s">
        <v>7589</v>
      </c>
      <c r="D2379" s="18" t="s">
        <v>7590</v>
      </c>
      <c r="E2379" s="208" t="s">
        <v>7591</v>
      </c>
      <c r="F2379" s="18" t="s">
        <v>7592</v>
      </c>
      <c r="G2379" s="156" t="s">
        <v>7791</v>
      </c>
      <c r="H2379" s="18" t="s">
        <v>7792</v>
      </c>
      <c r="K2379" s="156" t="s">
        <v>7797</v>
      </c>
      <c r="L2379" s="18" t="s">
        <v>7798</v>
      </c>
      <c r="M2379" s="18" t="s">
        <v>7801</v>
      </c>
      <c r="N2379" s="16">
        <v>0</v>
      </c>
      <c r="O2379" s="16">
        <v>65</v>
      </c>
      <c r="P2379" s="16">
        <v>75</v>
      </c>
      <c r="Q2379" s="16">
        <v>80</v>
      </c>
      <c r="R2379" s="16">
        <v>100</v>
      </c>
      <c r="S2379" s="16">
        <v>100</v>
      </c>
      <c r="T2379" s="18" t="s">
        <v>831</v>
      </c>
      <c r="U2379" t="str">
        <f>VLOOKUP(T2379,[8]Votes!$A$1:$E$234,3,FALSE)</f>
        <v>108 National Planning Authority</v>
      </c>
      <c r="W2379" s="48"/>
      <c r="X2379" s="48"/>
      <c r="Y2379" s="48"/>
      <c r="Z2379" s="48"/>
      <c r="AA2379" s="48"/>
      <c r="AB2379" s="48"/>
      <c r="AC2379" s="150">
        <v>0</v>
      </c>
      <c r="AD2379" s="150">
        <v>0</v>
      </c>
      <c r="AE2379" s="49">
        <f t="shared" si="123"/>
        <v>0</v>
      </c>
      <c r="AF2379" s="17"/>
      <c r="AG2379" s="17">
        <v>0</v>
      </c>
      <c r="AH2379" s="17"/>
      <c r="AI2379" s="17"/>
      <c r="AJ2379" s="17"/>
      <c r="AK2379" s="154"/>
      <c r="AL2379" s="154"/>
      <c r="AM2379" s="17">
        <f t="shared" si="124"/>
        <v>0</v>
      </c>
    </row>
    <row r="2380" spans="1:41" s="18" customFormat="1" ht="15" hidden="1" customHeight="1" x14ac:dyDescent="0.3">
      <c r="A2380" s="207" t="s">
        <v>7397</v>
      </c>
      <c r="B2380" s="18" t="s">
        <v>7398</v>
      </c>
      <c r="C2380" s="208" t="s">
        <v>7589</v>
      </c>
      <c r="D2380" s="18" t="s">
        <v>7590</v>
      </c>
      <c r="E2380" s="208" t="s">
        <v>7591</v>
      </c>
      <c r="F2380" s="18" t="s">
        <v>7592</v>
      </c>
      <c r="G2380" s="156" t="s">
        <v>7791</v>
      </c>
      <c r="H2380" s="18" t="s">
        <v>7792</v>
      </c>
      <c r="K2380" s="156" t="s">
        <v>7802</v>
      </c>
      <c r="L2380" s="18" t="s">
        <v>7803</v>
      </c>
      <c r="M2380" s="18" t="s">
        <v>7804</v>
      </c>
      <c r="N2380" s="16">
        <v>0</v>
      </c>
      <c r="O2380" s="16">
        <v>1</v>
      </c>
      <c r="P2380" s="16">
        <v>0</v>
      </c>
      <c r="Q2380" s="16">
        <v>0</v>
      </c>
      <c r="R2380" s="16">
        <v>0</v>
      </c>
      <c r="S2380" s="16">
        <v>0</v>
      </c>
      <c r="T2380" s="18" t="s">
        <v>831</v>
      </c>
      <c r="U2380" t="str">
        <f>VLOOKUP(T2380,[8]Votes!$A$1:$E$234,3,FALSE)</f>
        <v>108 National Planning Authority</v>
      </c>
      <c r="V2380" s="18" t="s">
        <v>7805</v>
      </c>
      <c r="W2380" s="48">
        <v>0</v>
      </c>
      <c r="X2380" s="48">
        <v>0</v>
      </c>
      <c r="Y2380" s="48">
        <v>0</v>
      </c>
      <c r="Z2380" s="48">
        <v>0</v>
      </c>
      <c r="AA2380" s="48">
        <v>0</v>
      </c>
      <c r="AB2380" s="48">
        <v>0</v>
      </c>
      <c r="AC2380" s="150">
        <v>0</v>
      </c>
      <c r="AD2380" s="150">
        <v>0</v>
      </c>
      <c r="AE2380" s="49">
        <f t="shared" si="123"/>
        <v>0</v>
      </c>
      <c r="AF2380" s="255"/>
      <c r="AG2380" s="17">
        <v>0</v>
      </c>
      <c r="AH2380" s="255">
        <v>0</v>
      </c>
      <c r="AI2380" s="255">
        <v>0.435</v>
      </c>
      <c r="AJ2380" s="255">
        <v>0</v>
      </c>
      <c r="AK2380" s="256">
        <v>0</v>
      </c>
      <c r="AL2380" s="256">
        <v>0</v>
      </c>
      <c r="AM2380" s="17">
        <f t="shared" si="124"/>
        <v>0</v>
      </c>
      <c r="AN2380" s="18" t="s">
        <v>831</v>
      </c>
      <c r="AO2380" s="18" t="s">
        <v>834</v>
      </c>
    </row>
    <row r="2381" spans="1:41" s="18" customFormat="1" ht="15" customHeight="1" x14ac:dyDescent="0.3">
      <c r="A2381" s="207" t="s">
        <v>7397</v>
      </c>
      <c r="B2381" s="18" t="s">
        <v>7398</v>
      </c>
      <c r="C2381" s="208" t="s">
        <v>7589</v>
      </c>
      <c r="D2381" s="18" t="s">
        <v>7590</v>
      </c>
      <c r="E2381" s="208" t="s">
        <v>7591</v>
      </c>
      <c r="F2381" s="18" t="s">
        <v>7592</v>
      </c>
      <c r="G2381" s="156" t="s">
        <v>7806</v>
      </c>
      <c r="H2381" s="18" t="s">
        <v>7807</v>
      </c>
      <c r="K2381" s="156" t="s">
        <v>7808</v>
      </c>
      <c r="L2381" s="18" t="s">
        <v>7809</v>
      </c>
      <c r="M2381" s="18" t="s">
        <v>7810</v>
      </c>
      <c r="N2381" s="16">
        <v>58</v>
      </c>
      <c r="O2381" s="16">
        <v>60</v>
      </c>
      <c r="P2381" s="16">
        <v>65</v>
      </c>
      <c r="Q2381" s="16">
        <v>70</v>
      </c>
      <c r="R2381" s="16">
        <v>75</v>
      </c>
      <c r="S2381" s="16">
        <v>80</v>
      </c>
      <c r="T2381" s="18" t="s">
        <v>921</v>
      </c>
      <c r="U2381" t="str">
        <f>VLOOKUP(T2381,[8]Votes!$A$1:$E$234,3,FALSE)</f>
        <v>008 Ministry of Finance, Planning &amp; Economic Dev.</v>
      </c>
      <c r="V2381" s="18" t="s">
        <v>7811</v>
      </c>
      <c r="W2381" s="48">
        <v>1</v>
      </c>
      <c r="X2381" s="48">
        <v>1</v>
      </c>
      <c r="Y2381" s="48">
        <v>0</v>
      </c>
      <c r="Z2381" s="48">
        <v>1</v>
      </c>
      <c r="AA2381" s="48">
        <v>1</v>
      </c>
      <c r="AB2381" s="48">
        <v>1</v>
      </c>
      <c r="AC2381" s="150">
        <v>1</v>
      </c>
      <c r="AD2381" s="150">
        <v>1</v>
      </c>
      <c r="AE2381" s="49">
        <f t="shared" si="123"/>
        <v>0.875</v>
      </c>
      <c r="AF2381" s="176"/>
      <c r="AG2381" s="17">
        <v>0</v>
      </c>
      <c r="AH2381" s="176">
        <v>3.19</v>
      </c>
      <c r="AI2381" s="176">
        <v>1.45</v>
      </c>
      <c r="AJ2381" s="176">
        <v>1.45</v>
      </c>
      <c r="AK2381" s="177">
        <v>52</v>
      </c>
      <c r="AL2381" s="177">
        <v>53</v>
      </c>
      <c r="AM2381" s="17">
        <f t="shared" si="124"/>
        <v>105</v>
      </c>
      <c r="AN2381" s="18" t="s">
        <v>921</v>
      </c>
      <c r="AO2381" s="18" t="s">
        <v>880</v>
      </c>
    </row>
    <row r="2382" spans="1:41" s="18" customFormat="1" ht="15" hidden="1" customHeight="1" x14ac:dyDescent="0.3">
      <c r="A2382" s="207" t="s">
        <v>7397</v>
      </c>
      <c r="B2382" s="18" t="s">
        <v>7398</v>
      </c>
      <c r="C2382" s="208" t="s">
        <v>7589</v>
      </c>
      <c r="D2382" s="18" t="s">
        <v>7590</v>
      </c>
      <c r="E2382" s="208" t="s">
        <v>7591</v>
      </c>
      <c r="F2382" s="18" t="s">
        <v>7592</v>
      </c>
      <c r="G2382" s="156" t="s">
        <v>7806</v>
      </c>
      <c r="H2382" s="18" t="s">
        <v>7807</v>
      </c>
      <c r="K2382" s="156" t="s">
        <v>7808</v>
      </c>
      <c r="L2382" s="18" t="s">
        <v>7809</v>
      </c>
      <c r="M2382" s="18" t="s">
        <v>7812</v>
      </c>
      <c r="N2382" s="16">
        <v>54</v>
      </c>
      <c r="O2382" s="16">
        <v>60</v>
      </c>
      <c r="P2382" s="16">
        <v>70</v>
      </c>
      <c r="Q2382" s="16">
        <v>85</v>
      </c>
      <c r="R2382" s="16">
        <v>90</v>
      </c>
      <c r="S2382" s="16">
        <v>100</v>
      </c>
      <c r="T2382" s="18" t="s">
        <v>831</v>
      </c>
      <c r="U2382" t="str">
        <f>VLOOKUP(T2382,[8]Votes!$A$1:$E$234,3,FALSE)</f>
        <v>108 National Planning Authority</v>
      </c>
      <c r="V2382" s="18" t="s">
        <v>7813</v>
      </c>
      <c r="W2382" s="48">
        <v>1</v>
      </c>
      <c r="X2382" s="48">
        <v>0</v>
      </c>
      <c r="Y2382" s="48">
        <v>0</v>
      </c>
      <c r="Z2382" s="48">
        <v>1</v>
      </c>
      <c r="AA2382" s="48">
        <v>1</v>
      </c>
      <c r="AB2382" s="48">
        <v>0</v>
      </c>
      <c r="AC2382" s="150">
        <v>1</v>
      </c>
      <c r="AD2382" s="150">
        <v>1</v>
      </c>
      <c r="AE2382" s="49">
        <f t="shared" si="123"/>
        <v>0.625</v>
      </c>
      <c r="AF2382" s="176"/>
      <c r="AG2382" s="17">
        <v>0</v>
      </c>
      <c r="AH2382" s="176">
        <v>0</v>
      </c>
      <c r="AI2382" s="176">
        <v>0.28999999999999998</v>
      </c>
      <c r="AJ2382" s="176">
        <v>0.28999999999999998</v>
      </c>
      <c r="AK2382" s="177">
        <v>0.28999999999999998</v>
      </c>
      <c r="AL2382" s="177">
        <v>0.28999999999999998</v>
      </c>
      <c r="AM2382" s="17">
        <f t="shared" si="124"/>
        <v>0.57999999999999996</v>
      </c>
      <c r="AN2382" s="18" t="s">
        <v>831</v>
      </c>
      <c r="AO2382" s="18" t="s">
        <v>834</v>
      </c>
    </row>
    <row r="2383" spans="1:41" s="18" customFormat="1" ht="15" hidden="1" customHeight="1" x14ac:dyDescent="0.3">
      <c r="A2383" s="207" t="s">
        <v>7397</v>
      </c>
      <c r="B2383" s="18" t="s">
        <v>7398</v>
      </c>
      <c r="C2383" s="208" t="s">
        <v>7589</v>
      </c>
      <c r="D2383" s="18" t="s">
        <v>7590</v>
      </c>
      <c r="E2383" s="208" t="s">
        <v>7591</v>
      </c>
      <c r="F2383" s="18" t="s">
        <v>7592</v>
      </c>
      <c r="G2383" s="156" t="s">
        <v>7806</v>
      </c>
      <c r="H2383" s="18" t="s">
        <v>7807</v>
      </c>
      <c r="K2383" s="156" t="s">
        <v>7808</v>
      </c>
      <c r="L2383" s="18" t="s">
        <v>7809</v>
      </c>
      <c r="M2383" s="18" t="s">
        <v>7814</v>
      </c>
      <c r="N2383" s="16">
        <v>53.2</v>
      </c>
      <c r="O2383" s="16">
        <v>55</v>
      </c>
      <c r="P2383" s="16">
        <v>65</v>
      </c>
      <c r="Q2383" s="16">
        <v>75</v>
      </c>
      <c r="R2383" s="16">
        <v>85</v>
      </c>
      <c r="S2383" s="16">
        <v>95</v>
      </c>
      <c r="T2383" s="18" t="s">
        <v>831</v>
      </c>
      <c r="U2383" t="str">
        <f>VLOOKUP(T2383,[8]Votes!$A$1:$E$234,3,FALSE)</f>
        <v>108 National Planning Authority</v>
      </c>
      <c r="W2383" s="48"/>
      <c r="X2383" s="48"/>
      <c r="Y2383" s="48"/>
      <c r="Z2383" s="48"/>
      <c r="AA2383" s="48"/>
      <c r="AB2383" s="48"/>
      <c r="AC2383" s="150">
        <v>0</v>
      </c>
      <c r="AD2383" s="150"/>
      <c r="AE2383" s="49">
        <f t="shared" si="123"/>
        <v>0</v>
      </c>
      <c r="AF2383" s="17"/>
      <c r="AG2383" s="17">
        <v>0</v>
      </c>
      <c r="AH2383" s="17"/>
      <c r="AI2383" s="17"/>
      <c r="AJ2383" s="17"/>
      <c r="AK2383" s="154"/>
      <c r="AL2383" s="154"/>
      <c r="AM2383" s="17">
        <f t="shared" si="124"/>
        <v>0</v>
      </c>
    </row>
    <row r="2384" spans="1:41" s="18" customFormat="1" ht="15" hidden="1" customHeight="1" x14ac:dyDescent="0.3">
      <c r="A2384" s="207" t="s">
        <v>7397</v>
      </c>
      <c r="B2384" s="18" t="s">
        <v>7398</v>
      </c>
      <c r="C2384" s="208" t="s">
        <v>7589</v>
      </c>
      <c r="D2384" s="18" t="s">
        <v>7590</v>
      </c>
      <c r="E2384" s="208" t="s">
        <v>7591</v>
      </c>
      <c r="F2384" s="18" t="s">
        <v>7592</v>
      </c>
      <c r="G2384" s="156" t="s">
        <v>7806</v>
      </c>
      <c r="H2384" s="18" t="s">
        <v>7807</v>
      </c>
      <c r="K2384" s="156" t="s">
        <v>7808</v>
      </c>
      <c r="L2384" s="18" t="s">
        <v>7809</v>
      </c>
      <c r="M2384" s="18" t="s">
        <v>7815</v>
      </c>
      <c r="N2384" s="16">
        <v>62.2</v>
      </c>
      <c r="O2384" s="16">
        <v>65</v>
      </c>
      <c r="P2384" s="16">
        <v>75</v>
      </c>
      <c r="Q2384" s="16">
        <v>80</v>
      </c>
      <c r="R2384" s="16">
        <v>85</v>
      </c>
      <c r="S2384" s="16">
        <v>95</v>
      </c>
      <c r="T2384" s="18" t="s">
        <v>831</v>
      </c>
      <c r="U2384" t="str">
        <f>VLOOKUP(T2384,[8]Votes!$A$1:$E$234,3,FALSE)</f>
        <v>108 National Planning Authority</v>
      </c>
      <c r="W2384" s="48"/>
      <c r="X2384" s="48"/>
      <c r="Y2384" s="48"/>
      <c r="Z2384" s="48"/>
      <c r="AA2384" s="48"/>
      <c r="AB2384" s="48"/>
      <c r="AC2384" s="150">
        <v>0</v>
      </c>
      <c r="AD2384" s="150">
        <v>0</v>
      </c>
      <c r="AE2384" s="49">
        <f t="shared" si="123"/>
        <v>0</v>
      </c>
      <c r="AF2384" s="17"/>
      <c r="AG2384" s="17">
        <v>0</v>
      </c>
      <c r="AH2384" s="17"/>
      <c r="AI2384" s="17"/>
      <c r="AJ2384" s="17"/>
      <c r="AK2384" s="154"/>
      <c r="AL2384" s="154"/>
      <c r="AM2384" s="17">
        <f t="shared" si="124"/>
        <v>0</v>
      </c>
    </row>
    <row r="2385" spans="1:41" s="18" customFormat="1" ht="15" hidden="1" customHeight="1" x14ac:dyDescent="0.3">
      <c r="A2385" s="207" t="s">
        <v>7397</v>
      </c>
      <c r="B2385" s="18" t="s">
        <v>7398</v>
      </c>
      <c r="C2385" s="208" t="s">
        <v>7589</v>
      </c>
      <c r="D2385" s="18" t="s">
        <v>7590</v>
      </c>
      <c r="E2385" s="208" t="s">
        <v>7591</v>
      </c>
      <c r="F2385" s="18" t="s">
        <v>7592</v>
      </c>
      <c r="G2385" s="156" t="s">
        <v>7806</v>
      </c>
      <c r="H2385" s="18" t="s">
        <v>7807</v>
      </c>
      <c r="K2385" s="156" t="s">
        <v>7808</v>
      </c>
      <c r="L2385" s="18" t="s">
        <v>7809</v>
      </c>
      <c r="M2385" s="18" t="s">
        <v>7816</v>
      </c>
      <c r="N2385" s="16">
        <v>0</v>
      </c>
      <c r="O2385" s="16">
        <v>0</v>
      </c>
      <c r="P2385" s="16">
        <v>60</v>
      </c>
      <c r="Q2385" s="16">
        <v>80</v>
      </c>
      <c r="R2385" s="16">
        <v>100</v>
      </c>
      <c r="S2385" s="16">
        <v>100</v>
      </c>
      <c r="T2385" s="18" t="s">
        <v>7752</v>
      </c>
      <c r="U2385" t="str">
        <f>VLOOKUP(T2385,[8]Votes!$A$1:$E$234,3,FALSE)</f>
        <v>104 Parliamentary Commission</v>
      </c>
      <c r="V2385" s="18" t="s">
        <v>7817</v>
      </c>
      <c r="W2385" s="48"/>
      <c r="X2385" s="48"/>
      <c r="Y2385" s="48"/>
      <c r="Z2385" s="48"/>
      <c r="AA2385" s="48"/>
      <c r="AB2385" s="48"/>
      <c r="AC2385" s="150">
        <v>0</v>
      </c>
      <c r="AD2385" s="150">
        <v>0</v>
      </c>
      <c r="AE2385" s="49">
        <f t="shared" si="123"/>
        <v>0</v>
      </c>
      <c r="AF2385" s="176"/>
      <c r="AG2385" s="17">
        <v>0</v>
      </c>
      <c r="AH2385" s="176">
        <v>0</v>
      </c>
      <c r="AI2385" s="176">
        <v>2.3199999999999998</v>
      </c>
      <c r="AJ2385" s="176">
        <v>2.3199999999999998</v>
      </c>
      <c r="AK2385" s="177">
        <v>0</v>
      </c>
      <c r="AL2385" s="177">
        <v>0</v>
      </c>
      <c r="AM2385" s="17">
        <f t="shared" si="124"/>
        <v>0</v>
      </c>
      <c r="AN2385" s="18" t="s">
        <v>4195</v>
      </c>
      <c r="AO2385" s="18" t="s">
        <v>4196</v>
      </c>
    </row>
    <row r="2386" spans="1:41" s="18" customFormat="1" hidden="1" x14ac:dyDescent="0.3">
      <c r="A2386" s="207" t="s">
        <v>7397</v>
      </c>
      <c r="B2386" s="18" t="s">
        <v>7398</v>
      </c>
      <c r="C2386" s="208" t="s">
        <v>7589</v>
      </c>
      <c r="D2386" s="18" t="s">
        <v>7590</v>
      </c>
      <c r="E2386" s="208" t="s">
        <v>7591</v>
      </c>
      <c r="F2386" s="18" t="s">
        <v>7592</v>
      </c>
      <c r="G2386" s="156" t="s">
        <v>7806</v>
      </c>
      <c r="H2386" s="18" t="s">
        <v>7807</v>
      </c>
      <c r="K2386" s="156" t="s">
        <v>7818</v>
      </c>
      <c r="L2386" s="18" t="s">
        <v>7819</v>
      </c>
      <c r="M2386" s="18" t="s">
        <v>7820</v>
      </c>
      <c r="N2386" s="16">
        <v>0</v>
      </c>
      <c r="O2386" s="16">
        <v>0</v>
      </c>
      <c r="P2386" s="16">
        <v>1</v>
      </c>
      <c r="Q2386" s="16">
        <v>0</v>
      </c>
      <c r="R2386" s="16">
        <v>1</v>
      </c>
      <c r="S2386" s="16">
        <v>0</v>
      </c>
      <c r="T2386" s="18" t="s">
        <v>831</v>
      </c>
      <c r="U2386" t="str">
        <f>VLOOKUP(T2386,[8]Votes!$A$1:$E$234,3,FALSE)</f>
        <v>108 National Planning Authority</v>
      </c>
      <c r="V2386" s="18" t="s">
        <v>7821</v>
      </c>
      <c r="W2386" s="48">
        <v>1</v>
      </c>
      <c r="X2386" s="48">
        <v>0</v>
      </c>
      <c r="Y2386" s="48">
        <v>0</v>
      </c>
      <c r="Z2386" s="48">
        <v>1</v>
      </c>
      <c r="AA2386" s="48">
        <v>1</v>
      </c>
      <c r="AB2386" s="48">
        <v>0</v>
      </c>
      <c r="AC2386" s="150">
        <v>0</v>
      </c>
      <c r="AD2386" s="150">
        <v>1</v>
      </c>
      <c r="AE2386" s="49">
        <f t="shared" si="123"/>
        <v>0.5</v>
      </c>
      <c r="AF2386" s="255"/>
      <c r="AG2386" s="17">
        <v>0</v>
      </c>
      <c r="AH2386" s="255">
        <v>0</v>
      </c>
      <c r="AI2386" s="255">
        <v>0.31900000000000001</v>
      </c>
      <c r="AJ2386" s="255">
        <v>0</v>
      </c>
      <c r="AK2386" s="256">
        <v>0</v>
      </c>
      <c r="AL2386" s="256">
        <v>0</v>
      </c>
      <c r="AM2386" s="17">
        <f t="shared" si="124"/>
        <v>0</v>
      </c>
      <c r="AN2386" s="18" t="s">
        <v>831</v>
      </c>
      <c r="AO2386" s="18" t="s">
        <v>834</v>
      </c>
    </row>
    <row r="2387" spans="1:41" s="18" customFormat="1" ht="15" customHeight="1" x14ac:dyDescent="0.3">
      <c r="A2387" s="207" t="s">
        <v>7397</v>
      </c>
      <c r="B2387" s="18" t="s">
        <v>7398</v>
      </c>
      <c r="C2387" s="208" t="s">
        <v>7589</v>
      </c>
      <c r="D2387" s="18" t="s">
        <v>7590</v>
      </c>
      <c r="E2387" s="208" t="s">
        <v>7591</v>
      </c>
      <c r="F2387" s="18" t="s">
        <v>7592</v>
      </c>
      <c r="G2387" s="156" t="s">
        <v>7806</v>
      </c>
      <c r="H2387" s="18" t="s">
        <v>7807</v>
      </c>
      <c r="K2387" s="156" t="s">
        <v>7822</v>
      </c>
      <c r="L2387" s="18" t="s">
        <v>7823</v>
      </c>
      <c r="M2387" s="18" t="s">
        <v>7824</v>
      </c>
      <c r="N2387" s="16">
        <v>1</v>
      </c>
      <c r="O2387" s="16">
        <v>1</v>
      </c>
      <c r="P2387" s="16">
        <v>1</v>
      </c>
      <c r="Q2387" s="16">
        <v>1</v>
      </c>
      <c r="R2387" s="16">
        <v>1</v>
      </c>
      <c r="S2387" s="16">
        <v>1</v>
      </c>
      <c r="T2387" s="18" t="s">
        <v>921</v>
      </c>
      <c r="U2387" t="str">
        <f>VLOOKUP(T2387,[8]Votes!$A$1:$E$234,3,FALSE)</f>
        <v>008 Ministry of Finance, Planning &amp; Economic Dev.</v>
      </c>
      <c r="V2387" s="18" t="s">
        <v>7825</v>
      </c>
      <c r="W2387" s="48">
        <v>1</v>
      </c>
      <c r="X2387" s="48">
        <v>1</v>
      </c>
      <c r="Y2387" s="48">
        <v>0</v>
      </c>
      <c r="Z2387" s="48">
        <v>1</v>
      </c>
      <c r="AA2387" s="48">
        <v>1</v>
      </c>
      <c r="AB2387" s="48">
        <v>0</v>
      </c>
      <c r="AC2387" s="150">
        <v>1</v>
      </c>
      <c r="AD2387" s="150">
        <v>1</v>
      </c>
      <c r="AE2387" s="49">
        <f t="shared" si="123"/>
        <v>0.75</v>
      </c>
      <c r="AF2387" s="255"/>
      <c r="AG2387" s="17">
        <v>0</v>
      </c>
      <c r="AH2387" s="255">
        <v>0.14499999999999999</v>
      </c>
      <c r="AI2387" s="255">
        <v>0.14499999999999999</v>
      </c>
      <c r="AJ2387" s="255">
        <v>0.14499999999999999</v>
      </c>
      <c r="AK2387" s="256">
        <v>0.14499999999999999</v>
      </c>
      <c r="AL2387" s="256">
        <v>0.14499999999999999</v>
      </c>
      <c r="AM2387" s="17">
        <f t="shared" si="124"/>
        <v>0.28999999999999998</v>
      </c>
      <c r="AN2387" s="18" t="s">
        <v>921</v>
      </c>
      <c r="AO2387" s="18" t="s">
        <v>880</v>
      </c>
    </row>
    <row r="2388" spans="1:41" s="18" customFormat="1" ht="15" hidden="1" customHeight="1" x14ac:dyDescent="0.3">
      <c r="A2388" s="207" t="s">
        <v>7397</v>
      </c>
      <c r="B2388" s="18" t="s">
        <v>7398</v>
      </c>
      <c r="C2388" s="208" t="s">
        <v>7589</v>
      </c>
      <c r="D2388" s="18" t="s">
        <v>7590</v>
      </c>
      <c r="E2388" s="208" t="s">
        <v>7591</v>
      </c>
      <c r="F2388" s="18" t="s">
        <v>7592</v>
      </c>
      <c r="G2388" s="156" t="s">
        <v>7806</v>
      </c>
      <c r="H2388" s="18" t="s">
        <v>7807</v>
      </c>
      <c r="K2388" s="156" t="s">
        <v>7826</v>
      </c>
      <c r="L2388" s="18" t="s">
        <v>7827</v>
      </c>
      <c r="M2388" s="18" t="s">
        <v>7828</v>
      </c>
      <c r="N2388" s="16">
        <v>0</v>
      </c>
      <c r="O2388" s="16">
        <v>1</v>
      </c>
      <c r="P2388" s="16">
        <v>1</v>
      </c>
      <c r="Q2388" s="16">
        <v>1</v>
      </c>
      <c r="R2388" s="16">
        <v>1</v>
      </c>
      <c r="S2388" s="16">
        <v>1</v>
      </c>
      <c r="T2388" s="18" t="s">
        <v>921</v>
      </c>
      <c r="U2388" t="str">
        <f>VLOOKUP(T2388,[8]Votes!$A$1:$E$234,3,FALSE)</f>
        <v>008 Ministry of Finance, Planning &amp; Economic Dev.</v>
      </c>
      <c r="V2388" s="18" t="s">
        <v>7829</v>
      </c>
      <c r="W2388" s="48">
        <v>0</v>
      </c>
      <c r="X2388" s="48">
        <v>1</v>
      </c>
      <c r="Y2388" s="48">
        <v>0</v>
      </c>
      <c r="Z2388" s="48">
        <v>1</v>
      </c>
      <c r="AA2388" s="48">
        <v>1</v>
      </c>
      <c r="AB2388" s="48">
        <v>1</v>
      </c>
      <c r="AC2388" s="150">
        <v>0</v>
      </c>
      <c r="AD2388" s="150">
        <v>1</v>
      </c>
      <c r="AE2388" s="49">
        <f t="shared" si="123"/>
        <v>0.625</v>
      </c>
      <c r="AF2388" s="255"/>
      <c r="AG2388" s="17">
        <v>0</v>
      </c>
      <c r="AH2388" s="255">
        <v>0.14499999999999999</v>
      </c>
      <c r="AI2388" s="255">
        <v>0.14499999999999999</v>
      </c>
      <c r="AJ2388" s="255">
        <v>0.14499999999999999</v>
      </c>
      <c r="AK2388" s="256">
        <v>0.14499999999999999</v>
      </c>
      <c r="AL2388" s="256">
        <v>0.14499999999999999</v>
      </c>
      <c r="AM2388" s="17">
        <f t="shared" si="124"/>
        <v>0.28999999999999998</v>
      </c>
      <c r="AN2388" s="18" t="s">
        <v>921</v>
      </c>
      <c r="AO2388" s="18" t="s">
        <v>880</v>
      </c>
    </row>
    <row r="2389" spans="1:41" s="18" customFormat="1" ht="15" hidden="1" customHeight="1" x14ac:dyDescent="0.3">
      <c r="A2389" s="207" t="s">
        <v>7397</v>
      </c>
      <c r="B2389" s="18" t="s">
        <v>7398</v>
      </c>
      <c r="C2389" s="208" t="s">
        <v>7589</v>
      </c>
      <c r="D2389" s="18" t="s">
        <v>7590</v>
      </c>
      <c r="E2389" s="208" t="s">
        <v>7591</v>
      </c>
      <c r="F2389" s="18" t="s">
        <v>7592</v>
      </c>
      <c r="G2389" s="156" t="s">
        <v>7806</v>
      </c>
      <c r="H2389" s="18" t="s">
        <v>7807</v>
      </c>
      <c r="K2389" s="156" t="s">
        <v>7830</v>
      </c>
      <c r="L2389" s="18" t="s">
        <v>7831</v>
      </c>
      <c r="M2389" s="18" t="s">
        <v>7832</v>
      </c>
      <c r="N2389" s="16">
        <v>65</v>
      </c>
      <c r="O2389" s="16">
        <v>70</v>
      </c>
      <c r="P2389" s="16">
        <v>72</v>
      </c>
      <c r="Q2389" s="16">
        <v>72</v>
      </c>
      <c r="R2389" s="16">
        <v>70</v>
      </c>
      <c r="S2389" s="16">
        <v>75</v>
      </c>
      <c r="T2389" s="18" t="s">
        <v>1563</v>
      </c>
      <c r="U2389" t="str">
        <f>VLOOKUP(T2389,[8]Votes!$A$1:$E$234,3,FALSE)</f>
        <v>124 Equal Opportunities Commission</v>
      </c>
      <c r="V2389" s="18" t="s">
        <v>7833</v>
      </c>
      <c r="W2389" s="48">
        <v>1</v>
      </c>
      <c r="X2389" s="48">
        <v>0</v>
      </c>
      <c r="Y2389" s="48">
        <v>0</v>
      </c>
      <c r="Z2389" s="48">
        <v>1</v>
      </c>
      <c r="AA2389" s="48">
        <v>1</v>
      </c>
      <c r="AB2389" s="48">
        <v>0</v>
      </c>
      <c r="AC2389" s="150">
        <v>1</v>
      </c>
      <c r="AD2389" s="150">
        <v>1</v>
      </c>
      <c r="AE2389" s="49">
        <f t="shared" si="123"/>
        <v>0.625</v>
      </c>
      <c r="AF2389" s="357"/>
      <c r="AG2389" s="17">
        <v>0</v>
      </c>
      <c r="AH2389" s="357">
        <v>1.45</v>
      </c>
      <c r="AI2389" s="357">
        <v>1.45</v>
      </c>
      <c r="AJ2389" s="357">
        <v>1.45</v>
      </c>
      <c r="AK2389" s="358">
        <v>1.45</v>
      </c>
      <c r="AL2389" s="358">
        <v>1.45</v>
      </c>
      <c r="AM2389" s="17">
        <f t="shared" si="124"/>
        <v>2.9</v>
      </c>
      <c r="AN2389" s="18" t="s">
        <v>1563</v>
      </c>
      <c r="AO2389" s="18" t="s">
        <v>1565</v>
      </c>
    </row>
    <row r="2390" spans="1:41" s="18" customFormat="1" ht="15" hidden="1" customHeight="1" x14ac:dyDescent="0.3">
      <c r="A2390" s="207" t="s">
        <v>7397</v>
      </c>
      <c r="B2390" s="18" t="s">
        <v>7398</v>
      </c>
      <c r="C2390" s="208" t="s">
        <v>7589</v>
      </c>
      <c r="D2390" s="18" t="s">
        <v>7590</v>
      </c>
      <c r="E2390" s="208" t="s">
        <v>7591</v>
      </c>
      <c r="F2390" s="18" t="s">
        <v>7592</v>
      </c>
      <c r="G2390" s="156" t="s">
        <v>7806</v>
      </c>
      <c r="H2390" s="18" t="s">
        <v>7807</v>
      </c>
      <c r="K2390" s="156" t="s">
        <v>7830</v>
      </c>
      <c r="L2390" s="18" t="s">
        <v>7831</v>
      </c>
      <c r="M2390" s="18" t="s">
        <v>7834</v>
      </c>
      <c r="N2390" s="16">
        <v>65</v>
      </c>
      <c r="O2390" s="16">
        <v>70</v>
      </c>
      <c r="P2390" s="16">
        <v>72</v>
      </c>
      <c r="Q2390" s="16">
        <v>75</v>
      </c>
      <c r="R2390" s="16">
        <v>80</v>
      </c>
      <c r="S2390" s="16">
        <v>85</v>
      </c>
      <c r="T2390" s="18" t="s">
        <v>1563</v>
      </c>
      <c r="U2390" t="str">
        <f>VLOOKUP(T2390,[8]Votes!$A$1:$E$234,3,FALSE)</f>
        <v>124 Equal Opportunities Commission</v>
      </c>
      <c r="W2390" s="48"/>
      <c r="X2390" s="48"/>
      <c r="Y2390" s="48"/>
      <c r="Z2390" s="48"/>
      <c r="AA2390" s="48"/>
      <c r="AB2390" s="48"/>
      <c r="AC2390" s="150">
        <v>0</v>
      </c>
      <c r="AD2390" s="150">
        <v>0</v>
      </c>
      <c r="AE2390" s="49">
        <f t="shared" si="123"/>
        <v>0</v>
      </c>
      <c r="AF2390" s="357"/>
      <c r="AG2390" s="17">
        <v>0</v>
      </c>
      <c r="AH2390" s="357"/>
      <c r="AI2390" s="357"/>
      <c r="AJ2390" s="357"/>
      <c r="AK2390" s="358"/>
      <c r="AL2390" s="358"/>
      <c r="AM2390" s="17">
        <f t="shared" si="124"/>
        <v>0</v>
      </c>
    </row>
    <row r="2391" spans="1:41" s="18" customFormat="1" ht="15" hidden="1" customHeight="1" x14ac:dyDescent="0.3">
      <c r="A2391" s="207" t="s">
        <v>7397</v>
      </c>
      <c r="B2391" s="18" t="s">
        <v>7398</v>
      </c>
      <c r="C2391" s="208" t="s">
        <v>7589</v>
      </c>
      <c r="D2391" s="18" t="s">
        <v>7590</v>
      </c>
      <c r="E2391" s="208" t="s">
        <v>7591</v>
      </c>
      <c r="F2391" s="18" t="s">
        <v>7592</v>
      </c>
      <c r="G2391" s="156" t="s">
        <v>7806</v>
      </c>
      <c r="H2391" s="18" t="s">
        <v>7807</v>
      </c>
      <c r="K2391" s="156" t="s">
        <v>7830</v>
      </c>
      <c r="L2391" s="18" t="s">
        <v>7831</v>
      </c>
      <c r="M2391" s="18" t="s">
        <v>7835</v>
      </c>
      <c r="N2391" s="16">
        <v>40</v>
      </c>
      <c r="O2391" s="16">
        <v>60</v>
      </c>
      <c r="P2391" s="16">
        <v>62</v>
      </c>
      <c r="Q2391" s="16">
        <v>65</v>
      </c>
      <c r="R2391" s="16">
        <v>67</v>
      </c>
      <c r="S2391" s="16">
        <v>70</v>
      </c>
      <c r="T2391" s="18" t="s">
        <v>1563</v>
      </c>
      <c r="U2391" t="str">
        <f>VLOOKUP(T2391,[8]Votes!$A$1:$E$234,3,FALSE)</f>
        <v>124 Equal Opportunities Commission</v>
      </c>
      <c r="W2391" s="48"/>
      <c r="X2391" s="48"/>
      <c r="Y2391" s="48"/>
      <c r="Z2391" s="48"/>
      <c r="AA2391" s="48"/>
      <c r="AB2391" s="48"/>
      <c r="AC2391" s="150">
        <v>0</v>
      </c>
      <c r="AD2391" s="150">
        <v>0</v>
      </c>
      <c r="AE2391" s="49">
        <f t="shared" si="123"/>
        <v>0</v>
      </c>
      <c r="AF2391" s="357"/>
      <c r="AG2391" s="17">
        <v>0</v>
      </c>
      <c r="AH2391" s="357"/>
      <c r="AI2391" s="357"/>
      <c r="AJ2391" s="357"/>
      <c r="AK2391" s="358"/>
      <c r="AL2391" s="358"/>
      <c r="AM2391" s="17">
        <f t="shared" si="124"/>
        <v>0</v>
      </c>
    </row>
    <row r="2392" spans="1:41" s="18" customFormat="1" ht="15" customHeight="1" x14ac:dyDescent="0.3">
      <c r="A2392" s="207" t="s">
        <v>7397</v>
      </c>
      <c r="B2392" s="18" t="s">
        <v>7398</v>
      </c>
      <c r="C2392" s="208" t="s">
        <v>7589</v>
      </c>
      <c r="D2392" s="18" t="s">
        <v>7590</v>
      </c>
      <c r="E2392" s="208" t="s">
        <v>7591</v>
      </c>
      <c r="F2392" s="18" t="s">
        <v>7592</v>
      </c>
      <c r="G2392" s="156" t="s">
        <v>7836</v>
      </c>
      <c r="H2392" s="18" t="s">
        <v>7837</v>
      </c>
      <c r="K2392" s="156" t="s">
        <v>7838</v>
      </c>
      <c r="L2392" s="18" t="s">
        <v>7839</v>
      </c>
      <c r="M2392" s="18" t="s">
        <v>7840</v>
      </c>
      <c r="N2392" s="16">
        <v>0</v>
      </c>
      <c r="O2392" s="16">
        <v>40</v>
      </c>
      <c r="P2392" s="16">
        <v>50</v>
      </c>
      <c r="Q2392" s="16">
        <v>65</v>
      </c>
      <c r="R2392" s="16">
        <v>85</v>
      </c>
      <c r="S2392" s="16">
        <v>100</v>
      </c>
      <c r="T2392" s="18" t="s">
        <v>921</v>
      </c>
      <c r="U2392" t="str">
        <f>VLOOKUP(T2392,[8]Votes!$A$1:$E$234,3,FALSE)</f>
        <v>008 Ministry of Finance, Planning &amp; Economic Dev.</v>
      </c>
      <c r="V2392" s="18" t="s">
        <v>7837</v>
      </c>
      <c r="W2392" s="48">
        <v>1</v>
      </c>
      <c r="X2392" s="48">
        <v>1</v>
      </c>
      <c r="Y2392" s="48">
        <v>0</v>
      </c>
      <c r="Z2392" s="48">
        <v>1</v>
      </c>
      <c r="AA2392" s="48">
        <v>1</v>
      </c>
      <c r="AB2392" s="48">
        <v>1</v>
      </c>
      <c r="AC2392" s="150">
        <v>0</v>
      </c>
      <c r="AD2392" s="150">
        <v>1</v>
      </c>
      <c r="AE2392" s="49">
        <f t="shared" si="123"/>
        <v>0.75</v>
      </c>
      <c r="AF2392" s="255"/>
      <c r="AG2392" s="17">
        <v>0</v>
      </c>
      <c r="AH2392" s="255">
        <v>1.45</v>
      </c>
      <c r="AI2392" s="255">
        <v>1.45</v>
      </c>
      <c r="AJ2392" s="255">
        <v>1.45</v>
      </c>
      <c r="AK2392" s="256">
        <v>3.45</v>
      </c>
      <c r="AL2392" s="256">
        <v>3.5</v>
      </c>
      <c r="AM2392" s="17">
        <f t="shared" si="124"/>
        <v>6.95</v>
      </c>
      <c r="AN2392" s="18" t="s">
        <v>921</v>
      </c>
      <c r="AO2392" s="18" t="s">
        <v>880</v>
      </c>
    </row>
    <row r="2393" spans="1:41" s="18" customFormat="1" ht="15" hidden="1" customHeight="1" x14ac:dyDescent="0.3">
      <c r="A2393" s="207" t="s">
        <v>7397</v>
      </c>
      <c r="B2393" s="18" t="s">
        <v>7398</v>
      </c>
      <c r="C2393" s="208" t="s">
        <v>7589</v>
      </c>
      <c r="D2393" s="18" t="s">
        <v>7590</v>
      </c>
      <c r="E2393" s="208" t="s">
        <v>7591</v>
      </c>
      <c r="F2393" s="18" t="s">
        <v>7592</v>
      </c>
      <c r="G2393" s="156" t="s">
        <v>7836</v>
      </c>
      <c r="H2393" s="18" t="s">
        <v>7837</v>
      </c>
      <c r="K2393" s="156" t="s">
        <v>7838</v>
      </c>
      <c r="L2393" s="18" t="s">
        <v>7839</v>
      </c>
      <c r="M2393" s="18" t="s">
        <v>7841</v>
      </c>
      <c r="N2393" s="16">
        <v>0</v>
      </c>
      <c r="O2393" s="16">
        <v>10</v>
      </c>
      <c r="P2393" s="16">
        <v>24</v>
      </c>
      <c r="Q2393" s="16">
        <v>38</v>
      </c>
      <c r="R2393" s="16">
        <v>52</v>
      </c>
      <c r="S2393" s="16">
        <v>79</v>
      </c>
      <c r="T2393" s="18" t="s">
        <v>921</v>
      </c>
      <c r="U2393" t="str">
        <f>VLOOKUP(T2393,[8]Votes!$A$1:$E$234,3,FALSE)</f>
        <v>008 Ministry of Finance, Planning &amp; Economic Dev.</v>
      </c>
      <c r="W2393" s="48"/>
      <c r="X2393" s="48"/>
      <c r="Y2393" s="48"/>
      <c r="Z2393" s="48"/>
      <c r="AA2393" s="48"/>
      <c r="AB2393" s="48"/>
      <c r="AC2393" s="150">
        <v>0</v>
      </c>
      <c r="AD2393" s="150">
        <v>0</v>
      </c>
      <c r="AE2393" s="49">
        <f t="shared" ref="AE2393:AE2456" si="125">SUM(W2393:AD2393)/8</f>
        <v>0</v>
      </c>
      <c r="AF2393" s="17"/>
      <c r="AG2393" s="17">
        <v>0</v>
      </c>
      <c r="AH2393" s="17"/>
      <c r="AI2393" s="17"/>
      <c r="AJ2393" s="17"/>
      <c r="AK2393" s="154"/>
      <c r="AL2393" s="154"/>
      <c r="AM2393" s="17">
        <f t="shared" ref="AM2393:AM2456" si="126">SUM(AK2393:AL2393)</f>
        <v>0</v>
      </c>
    </row>
    <row r="2394" spans="1:41" s="18" customFormat="1" ht="15" hidden="1" customHeight="1" x14ac:dyDescent="0.3">
      <c r="A2394" s="207" t="s">
        <v>7397</v>
      </c>
      <c r="B2394" s="18" t="s">
        <v>7398</v>
      </c>
      <c r="C2394" s="208" t="s">
        <v>7589</v>
      </c>
      <c r="D2394" s="18" t="s">
        <v>7590</v>
      </c>
      <c r="E2394" s="208" t="s">
        <v>7591</v>
      </c>
      <c r="F2394" s="18" t="s">
        <v>7592</v>
      </c>
      <c r="G2394" s="156" t="s">
        <v>7842</v>
      </c>
      <c r="H2394" s="18" t="s">
        <v>7843</v>
      </c>
      <c r="I2394" s="18" t="s">
        <v>7844</v>
      </c>
      <c r="J2394" s="18" t="s">
        <v>7845</v>
      </c>
      <c r="K2394" s="18" t="s">
        <v>7846</v>
      </c>
      <c r="L2394" s="18" t="s">
        <v>7847</v>
      </c>
      <c r="M2394" s="18" t="s">
        <v>7848</v>
      </c>
      <c r="N2394" s="16">
        <v>0</v>
      </c>
      <c r="O2394" s="16">
        <v>7</v>
      </c>
      <c r="P2394" s="16">
        <v>10</v>
      </c>
      <c r="Q2394" s="16">
        <v>10</v>
      </c>
      <c r="R2394" s="16">
        <v>10</v>
      </c>
      <c r="S2394" s="16">
        <v>10</v>
      </c>
      <c r="T2394" s="18" t="s">
        <v>921</v>
      </c>
      <c r="U2394" t="str">
        <f>VLOOKUP(T2394,[8]Votes!$A$1:$E$234,3,FALSE)</f>
        <v>008 Ministry of Finance, Planning &amp; Economic Dev.</v>
      </c>
      <c r="V2394" s="18" t="s">
        <v>7849</v>
      </c>
      <c r="W2394" s="48">
        <v>1</v>
      </c>
      <c r="X2394" s="48">
        <v>0</v>
      </c>
      <c r="Y2394" s="48">
        <v>0</v>
      </c>
      <c r="Z2394" s="48">
        <v>1</v>
      </c>
      <c r="AA2394" s="48">
        <v>1</v>
      </c>
      <c r="AB2394" s="48">
        <v>0</v>
      </c>
      <c r="AC2394" s="150">
        <v>1</v>
      </c>
      <c r="AD2394" s="150">
        <v>1</v>
      </c>
      <c r="AE2394" s="49">
        <f t="shared" si="125"/>
        <v>0.625</v>
      </c>
      <c r="AF2394" s="255"/>
      <c r="AG2394" s="17">
        <v>0</v>
      </c>
      <c r="AH2394" s="255">
        <v>7.2499999999999995E-2</v>
      </c>
      <c r="AI2394" s="255">
        <v>7.2499999999999995E-2</v>
      </c>
      <c r="AJ2394" s="255">
        <v>7.2499999999999995E-2</v>
      </c>
      <c r="AK2394" s="256">
        <v>0.1</v>
      </c>
      <c r="AL2394" s="256">
        <v>0.3</v>
      </c>
      <c r="AM2394" s="17">
        <f t="shared" si="126"/>
        <v>0.4</v>
      </c>
      <c r="AN2394" s="18" t="s">
        <v>921</v>
      </c>
      <c r="AO2394" s="18" t="s">
        <v>880</v>
      </c>
    </row>
    <row r="2395" spans="1:41" s="18" customFormat="1" ht="15" hidden="1" customHeight="1" x14ac:dyDescent="0.3">
      <c r="A2395" s="207" t="s">
        <v>7397</v>
      </c>
      <c r="B2395" s="18" t="s">
        <v>7398</v>
      </c>
      <c r="C2395" s="208" t="s">
        <v>7589</v>
      </c>
      <c r="D2395" s="18" t="s">
        <v>7590</v>
      </c>
      <c r="E2395" s="208" t="s">
        <v>7591</v>
      </c>
      <c r="F2395" s="18" t="s">
        <v>7592</v>
      </c>
      <c r="G2395" s="156" t="s">
        <v>7842</v>
      </c>
      <c r="H2395" s="18" t="s">
        <v>7843</v>
      </c>
      <c r="I2395" s="18" t="s">
        <v>7844</v>
      </c>
      <c r="J2395" s="18" t="s">
        <v>7845</v>
      </c>
      <c r="K2395" s="18" t="s">
        <v>7846</v>
      </c>
      <c r="L2395" s="18" t="s">
        <v>7847</v>
      </c>
      <c r="M2395" s="18" t="s">
        <v>7850</v>
      </c>
      <c r="N2395" s="16">
        <v>0</v>
      </c>
      <c r="O2395" s="16">
        <v>60</v>
      </c>
      <c r="P2395" s="16">
        <v>80</v>
      </c>
      <c r="Q2395" s="16">
        <v>100</v>
      </c>
      <c r="R2395" s="16">
        <v>100</v>
      </c>
      <c r="S2395" s="16">
        <v>100</v>
      </c>
      <c r="T2395" s="18" t="s">
        <v>7752</v>
      </c>
      <c r="U2395" t="str">
        <f>VLOOKUP(T2395,[8]Votes!$A$1:$E$234,3,FALSE)</f>
        <v>104 Parliamentary Commission</v>
      </c>
      <c r="V2395" s="18" t="s">
        <v>7851</v>
      </c>
      <c r="W2395" s="48"/>
      <c r="X2395" s="48"/>
      <c r="Y2395" s="48"/>
      <c r="Z2395" s="48"/>
      <c r="AA2395" s="48"/>
      <c r="AB2395" s="48"/>
      <c r="AC2395" s="150">
        <v>0</v>
      </c>
      <c r="AD2395" s="150">
        <v>0</v>
      </c>
      <c r="AE2395" s="49">
        <f t="shared" si="125"/>
        <v>0</v>
      </c>
      <c r="AF2395" s="255"/>
      <c r="AG2395" s="17">
        <v>0</v>
      </c>
      <c r="AH2395" s="255">
        <v>1.74</v>
      </c>
      <c r="AI2395" s="255">
        <v>1.74</v>
      </c>
      <c r="AJ2395" s="255">
        <v>2.1749999999999998</v>
      </c>
      <c r="AK2395" s="256">
        <v>0</v>
      </c>
      <c r="AL2395" s="256">
        <v>0</v>
      </c>
      <c r="AM2395" s="17">
        <f t="shared" si="126"/>
        <v>0</v>
      </c>
      <c r="AN2395" s="18" t="s">
        <v>4195</v>
      </c>
      <c r="AO2395" s="18" t="s">
        <v>4196</v>
      </c>
    </row>
    <row r="2396" spans="1:41" s="18" customFormat="1" ht="15" hidden="1" customHeight="1" x14ac:dyDescent="0.3">
      <c r="A2396" s="207" t="s">
        <v>7397</v>
      </c>
      <c r="B2396" s="18" t="s">
        <v>7398</v>
      </c>
      <c r="C2396" s="208" t="s">
        <v>7589</v>
      </c>
      <c r="D2396" s="18" t="s">
        <v>7590</v>
      </c>
      <c r="E2396" s="208" t="s">
        <v>7591</v>
      </c>
      <c r="F2396" s="18" t="s">
        <v>7592</v>
      </c>
      <c r="G2396" s="156" t="s">
        <v>7842</v>
      </c>
      <c r="H2396" s="18" t="s">
        <v>7843</v>
      </c>
      <c r="I2396" s="18" t="s">
        <v>7844</v>
      </c>
      <c r="J2396" s="18" t="s">
        <v>7845</v>
      </c>
      <c r="K2396" s="18" t="s">
        <v>7846</v>
      </c>
      <c r="L2396" s="18" t="s">
        <v>7847</v>
      </c>
      <c r="M2396" s="18" t="s">
        <v>7848</v>
      </c>
      <c r="N2396" s="16">
        <v>0</v>
      </c>
      <c r="O2396" s="16">
        <v>7</v>
      </c>
      <c r="P2396" s="16">
        <v>7</v>
      </c>
      <c r="Q2396" s="16">
        <v>7</v>
      </c>
      <c r="R2396" s="16">
        <v>7</v>
      </c>
      <c r="S2396" s="16">
        <v>7</v>
      </c>
      <c r="T2396" s="18" t="s">
        <v>7852</v>
      </c>
      <c r="U2396" t="str">
        <f>VLOOKUP(T2396,[8]Votes!$A$1:$E$234,3,FALSE)</f>
        <v>131 Auditor General</v>
      </c>
      <c r="V2396" s="18" t="s">
        <v>7853</v>
      </c>
      <c r="W2396" s="48"/>
      <c r="X2396" s="48"/>
      <c r="Y2396" s="48"/>
      <c r="Z2396" s="48"/>
      <c r="AA2396" s="48"/>
      <c r="AB2396" s="48"/>
      <c r="AC2396" s="150">
        <v>0</v>
      </c>
      <c r="AD2396" s="150">
        <v>0</v>
      </c>
      <c r="AE2396" s="49">
        <f t="shared" si="125"/>
        <v>0</v>
      </c>
      <c r="AF2396" s="255"/>
      <c r="AG2396" s="17">
        <v>0</v>
      </c>
      <c r="AH2396" s="255">
        <v>0.435</v>
      </c>
      <c r="AI2396" s="255">
        <v>0.50749999999999995</v>
      </c>
      <c r="AJ2396" s="255">
        <v>0.55099999999999993</v>
      </c>
      <c r="AK2396" s="256">
        <v>0.5</v>
      </c>
      <c r="AL2396" s="256">
        <v>0.52</v>
      </c>
      <c r="AM2396" s="17">
        <f t="shared" si="126"/>
        <v>1.02</v>
      </c>
      <c r="AN2396" s="18" t="s">
        <v>7852</v>
      </c>
      <c r="AO2396" s="18" t="s">
        <v>7854</v>
      </c>
    </row>
    <row r="2397" spans="1:41" s="18" customFormat="1" ht="15" hidden="1" customHeight="1" x14ac:dyDescent="0.3">
      <c r="A2397" s="207" t="s">
        <v>7397</v>
      </c>
      <c r="B2397" s="18" t="s">
        <v>7398</v>
      </c>
      <c r="C2397" s="208" t="s">
        <v>7589</v>
      </c>
      <c r="D2397" s="18" t="s">
        <v>7590</v>
      </c>
      <c r="E2397" s="208" t="s">
        <v>7591</v>
      </c>
      <c r="F2397" s="18" t="s">
        <v>7592</v>
      </c>
      <c r="G2397" s="156" t="s">
        <v>7842</v>
      </c>
      <c r="H2397" s="18" t="s">
        <v>7843</v>
      </c>
      <c r="I2397" s="18" t="s">
        <v>7844</v>
      </c>
      <c r="J2397" s="18" t="s">
        <v>7845</v>
      </c>
      <c r="K2397" s="18" t="s">
        <v>7855</v>
      </c>
      <c r="L2397" s="18" t="s">
        <v>7856</v>
      </c>
      <c r="M2397" s="18" t="s">
        <v>7857</v>
      </c>
      <c r="N2397" s="16">
        <v>0</v>
      </c>
      <c r="O2397" s="16">
        <v>50</v>
      </c>
      <c r="P2397" s="16">
        <v>60</v>
      </c>
      <c r="Q2397" s="16">
        <v>70</v>
      </c>
      <c r="R2397" s="16">
        <v>75</v>
      </c>
      <c r="S2397" s="16">
        <v>85</v>
      </c>
      <c r="T2397" s="18" t="s">
        <v>921</v>
      </c>
      <c r="U2397" t="str">
        <f>VLOOKUP(T2397,[8]Votes!$A$1:$E$234,3,FALSE)</f>
        <v>008 Ministry of Finance, Planning &amp; Economic Dev.</v>
      </c>
      <c r="V2397" s="18" t="s">
        <v>7858</v>
      </c>
      <c r="W2397" s="48"/>
      <c r="X2397" s="48"/>
      <c r="Y2397" s="48"/>
      <c r="Z2397" s="48"/>
      <c r="AA2397" s="48"/>
      <c r="AB2397" s="48"/>
      <c r="AC2397" s="150">
        <v>0</v>
      </c>
      <c r="AD2397" s="150">
        <v>0</v>
      </c>
      <c r="AE2397" s="49">
        <f t="shared" si="125"/>
        <v>0</v>
      </c>
      <c r="AF2397" s="255"/>
      <c r="AG2397" s="17">
        <v>0</v>
      </c>
      <c r="AH2397" s="255">
        <v>2.9</v>
      </c>
      <c r="AI2397" s="255">
        <v>4.3499999999999996</v>
      </c>
      <c r="AJ2397" s="255">
        <v>2.9</v>
      </c>
      <c r="AK2397" s="256">
        <v>0</v>
      </c>
      <c r="AL2397" s="256">
        <v>0</v>
      </c>
      <c r="AM2397" s="17">
        <f t="shared" si="126"/>
        <v>0</v>
      </c>
      <c r="AN2397" s="18" t="s">
        <v>4195</v>
      </c>
      <c r="AO2397" s="18" t="s">
        <v>4196</v>
      </c>
    </row>
    <row r="2398" spans="1:41" s="18" customFormat="1" hidden="1" x14ac:dyDescent="0.3">
      <c r="A2398" s="207" t="s">
        <v>7397</v>
      </c>
      <c r="B2398" s="18" t="s">
        <v>7398</v>
      </c>
      <c r="C2398" s="208" t="s">
        <v>7589</v>
      </c>
      <c r="D2398" s="18" t="s">
        <v>7590</v>
      </c>
      <c r="E2398" s="208" t="s">
        <v>7591</v>
      </c>
      <c r="F2398" s="18" t="s">
        <v>7592</v>
      </c>
      <c r="G2398" s="156" t="s">
        <v>7842</v>
      </c>
      <c r="H2398" s="18" t="s">
        <v>7843</v>
      </c>
      <c r="I2398" s="18" t="s">
        <v>7859</v>
      </c>
      <c r="J2398" s="18" t="s">
        <v>7860</v>
      </c>
      <c r="K2398" s="18" t="s">
        <v>7861</v>
      </c>
      <c r="L2398" s="18" t="s">
        <v>7862</v>
      </c>
      <c r="M2398" s="18" t="s">
        <v>7863</v>
      </c>
      <c r="N2398" s="16">
        <v>0</v>
      </c>
      <c r="O2398" s="16">
        <v>1</v>
      </c>
      <c r="P2398" s="16">
        <v>1</v>
      </c>
      <c r="Q2398" s="16">
        <v>1</v>
      </c>
      <c r="R2398" s="16">
        <v>1</v>
      </c>
      <c r="S2398" s="16">
        <v>1</v>
      </c>
      <c r="T2398" s="18" t="s">
        <v>921</v>
      </c>
      <c r="U2398" t="str">
        <f>VLOOKUP(T2398,[8]Votes!$A$1:$E$234,3,FALSE)</f>
        <v>008 Ministry of Finance, Planning &amp; Economic Dev.</v>
      </c>
      <c r="V2398" s="18" t="s">
        <v>7864</v>
      </c>
      <c r="W2398" s="48">
        <v>1</v>
      </c>
      <c r="X2398" s="48">
        <v>0</v>
      </c>
      <c r="Y2398" s="48">
        <v>0</v>
      </c>
      <c r="Z2398" s="48">
        <v>1</v>
      </c>
      <c r="AA2398" s="48">
        <v>1</v>
      </c>
      <c r="AB2398" s="48">
        <v>0</v>
      </c>
      <c r="AC2398" s="150">
        <v>1</v>
      </c>
      <c r="AD2398" s="150">
        <v>1</v>
      </c>
      <c r="AE2398" s="49">
        <f t="shared" si="125"/>
        <v>0.625</v>
      </c>
      <c r="AF2398" s="255"/>
      <c r="AG2398" s="17">
        <v>0</v>
      </c>
      <c r="AH2398" s="255">
        <v>0.14499999999999999</v>
      </c>
      <c r="AI2398" s="255">
        <v>0</v>
      </c>
      <c r="AJ2398" s="255">
        <v>0</v>
      </c>
      <c r="AK2398" s="256">
        <v>0.1</v>
      </c>
      <c r="AL2398" s="256">
        <v>0.1</v>
      </c>
      <c r="AM2398" s="17">
        <f t="shared" si="126"/>
        <v>0.2</v>
      </c>
      <c r="AN2398" s="18" t="s">
        <v>921</v>
      </c>
      <c r="AO2398" s="18" t="s">
        <v>880</v>
      </c>
    </row>
    <row r="2399" spans="1:41" s="18" customFormat="1" ht="15" hidden="1" customHeight="1" x14ac:dyDescent="0.3">
      <c r="A2399" s="207" t="s">
        <v>7397</v>
      </c>
      <c r="B2399" s="18" t="s">
        <v>7398</v>
      </c>
      <c r="C2399" s="208" t="s">
        <v>7589</v>
      </c>
      <c r="D2399" s="18" t="s">
        <v>7590</v>
      </c>
      <c r="E2399" s="208" t="s">
        <v>7591</v>
      </c>
      <c r="F2399" s="18" t="s">
        <v>7592</v>
      </c>
      <c r="G2399" s="156" t="s">
        <v>7842</v>
      </c>
      <c r="H2399" s="18" t="s">
        <v>7843</v>
      </c>
      <c r="I2399" s="18" t="s">
        <v>7859</v>
      </c>
      <c r="J2399" s="18" t="s">
        <v>7860</v>
      </c>
      <c r="K2399" s="18" t="s">
        <v>7865</v>
      </c>
      <c r="L2399" s="18" t="s">
        <v>7866</v>
      </c>
      <c r="M2399" s="18" t="s">
        <v>7867</v>
      </c>
      <c r="N2399" s="16">
        <v>0</v>
      </c>
      <c r="O2399" s="16">
        <v>50</v>
      </c>
      <c r="P2399" s="16">
        <v>60</v>
      </c>
      <c r="Q2399" s="16">
        <v>70</v>
      </c>
      <c r="R2399" s="16">
        <v>80</v>
      </c>
      <c r="S2399" s="16">
        <v>90</v>
      </c>
      <c r="T2399" s="18" t="s">
        <v>921</v>
      </c>
      <c r="U2399" t="str">
        <f>VLOOKUP(T2399,[8]Votes!$A$1:$E$234,3,FALSE)</f>
        <v>008 Ministry of Finance, Planning &amp; Economic Dev.</v>
      </c>
      <c r="V2399" s="18" t="s">
        <v>7868</v>
      </c>
      <c r="W2399" s="48">
        <v>1</v>
      </c>
      <c r="X2399" s="48">
        <v>0</v>
      </c>
      <c r="Y2399" s="48">
        <v>0</v>
      </c>
      <c r="Z2399" s="48">
        <v>1</v>
      </c>
      <c r="AA2399" s="48">
        <v>1</v>
      </c>
      <c r="AB2399" s="48">
        <v>1</v>
      </c>
      <c r="AC2399" s="150">
        <v>0</v>
      </c>
      <c r="AD2399" s="150">
        <v>1</v>
      </c>
      <c r="AE2399" s="49">
        <f t="shared" si="125"/>
        <v>0.625</v>
      </c>
      <c r="AF2399" s="176"/>
      <c r="AG2399" s="17">
        <v>0</v>
      </c>
      <c r="AH2399" s="176">
        <v>5.22</v>
      </c>
      <c r="AI2399" s="176">
        <v>1.45</v>
      </c>
      <c r="AJ2399" s="176">
        <v>1.45</v>
      </c>
      <c r="AK2399" s="177">
        <v>1.45</v>
      </c>
      <c r="AL2399" s="177">
        <v>1.8</v>
      </c>
      <c r="AM2399" s="17">
        <f t="shared" si="126"/>
        <v>3.25</v>
      </c>
      <c r="AN2399" s="18" t="s">
        <v>921</v>
      </c>
      <c r="AO2399" s="18" t="s">
        <v>880</v>
      </c>
    </row>
    <row r="2400" spans="1:41" s="18" customFormat="1" ht="15" hidden="1" customHeight="1" x14ac:dyDescent="0.3">
      <c r="A2400" s="207" t="s">
        <v>7397</v>
      </c>
      <c r="B2400" s="18" t="s">
        <v>7398</v>
      </c>
      <c r="C2400" s="208" t="s">
        <v>7589</v>
      </c>
      <c r="D2400" s="18" t="s">
        <v>7590</v>
      </c>
      <c r="E2400" s="208" t="s">
        <v>7591</v>
      </c>
      <c r="F2400" s="18" t="s">
        <v>7592</v>
      </c>
      <c r="G2400" s="156" t="s">
        <v>7842</v>
      </c>
      <c r="H2400" s="18" t="s">
        <v>7843</v>
      </c>
      <c r="I2400" s="18" t="s">
        <v>7859</v>
      </c>
      <c r="J2400" s="18" t="s">
        <v>7860</v>
      </c>
      <c r="K2400" s="18" t="s">
        <v>7869</v>
      </c>
      <c r="L2400" s="18" t="s">
        <v>7870</v>
      </c>
      <c r="M2400" s="18" t="s">
        <v>7863</v>
      </c>
      <c r="N2400" s="16">
        <v>0</v>
      </c>
      <c r="O2400" s="16">
        <v>1</v>
      </c>
      <c r="P2400" s="16">
        <v>1</v>
      </c>
      <c r="Q2400" s="16">
        <v>1</v>
      </c>
      <c r="R2400" s="16">
        <v>1</v>
      </c>
      <c r="S2400" s="16">
        <v>1</v>
      </c>
      <c r="T2400" s="18" t="s">
        <v>921</v>
      </c>
      <c r="U2400" t="str">
        <f>VLOOKUP(T2400,[8]Votes!$A$1:$E$234,3,FALSE)</f>
        <v>008 Ministry of Finance, Planning &amp; Economic Dev.</v>
      </c>
      <c r="W2400" s="48"/>
      <c r="X2400" s="48"/>
      <c r="Y2400" s="48"/>
      <c r="Z2400" s="48"/>
      <c r="AA2400" s="48"/>
      <c r="AB2400" s="48"/>
      <c r="AC2400" s="150">
        <v>0</v>
      </c>
      <c r="AD2400" s="150">
        <v>0</v>
      </c>
      <c r="AE2400" s="49">
        <f t="shared" si="125"/>
        <v>0</v>
      </c>
      <c r="AF2400" s="17"/>
      <c r="AG2400" s="17">
        <v>0</v>
      </c>
      <c r="AH2400" s="17"/>
      <c r="AI2400" s="17"/>
      <c r="AJ2400" s="17"/>
      <c r="AK2400" s="154"/>
      <c r="AL2400" s="154"/>
      <c r="AM2400" s="17">
        <f t="shared" si="126"/>
        <v>0</v>
      </c>
    </row>
    <row r="2401" spans="1:42" s="18" customFormat="1" ht="15" customHeight="1" x14ac:dyDescent="0.3">
      <c r="A2401" s="207" t="s">
        <v>7397</v>
      </c>
      <c r="B2401" s="18" t="s">
        <v>7398</v>
      </c>
      <c r="C2401" s="208" t="s">
        <v>7589</v>
      </c>
      <c r="D2401" s="18" t="s">
        <v>7590</v>
      </c>
      <c r="E2401" s="208" t="s">
        <v>7591</v>
      </c>
      <c r="F2401" s="18" t="s">
        <v>7592</v>
      </c>
      <c r="G2401" s="156" t="s">
        <v>7871</v>
      </c>
      <c r="H2401" s="18" t="s">
        <v>7872</v>
      </c>
      <c r="K2401" s="18">
        <v>18221601</v>
      </c>
      <c r="L2401" s="18" t="s">
        <v>7873</v>
      </c>
      <c r="M2401" s="18" t="s">
        <v>7874</v>
      </c>
      <c r="N2401" s="16">
        <v>0</v>
      </c>
      <c r="O2401" s="16">
        <v>0</v>
      </c>
      <c r="P2401" s="16">
        <v>20</v>
      </c>
      <c r="Q2401" s="16">
        <v>35</v>
      </c>
      <c r="R2401" s="16">
        <v>50</v>
      </c>
      <c r="S2401" s="16">
        <v>75</v>
      </c>
      <c r="T2401" s="18" t="s">
        <v>921</v>
      </c>
      <c r="U2401" t="str">
        <f>VLOOKUP(T2401,[8]Votes!$A$1:$E$234,3,FALSE)</f>
        <v>008 Ministry of Finance, Planning &amp; Economic Dev.</v>
      </c>
      <c r="V2401" s="18" t="s">
        <v>7875</v>
      </c>
      <c r="W2401" s="48">
        <v>1</v>
      </c>
      <c r="X2401" s="48">
        <v>1</v>
      </c>
      <c r="Y2401" s="48">
        <v>0</v>
      </c>
      <c r="Z2401" s="48">
        <v>1</v>
      </c>
      <c r="AA2401" s="48">
        <v>1</v>
      </c>
      <c r="AB2401" s="48">
        <v>1</v>
      </c>
      <c r="AC2401" s="150">
        <v>1</v>
      </c>
      <c r="AD2401" s="150">
        <v>1</v>
      </c>
      <c r="AE2401" s="49">
        <f t="shared" si="125"/>
        <v>0.875</v>
      </c>
      <c r="AF2401" s="255"/>
      <c r="AG2401" s="17">
        <v>0</v>
      </c>
      <c r="AH2401" s="255">
        <v>0</v>
      </c>
      <c r="AI2401" s="255">
        <v>0</v>
      </c>
      <c r="AJ2401" s="255">
        <v>0</v>
      </c>
      <c r="AK2401" s="256">
        <v>0</v>
      </c>
      <c r="AL2401" s="256">
        <v>0</v>
      </c>
      <c r="AM2401" s="17">
        <f t="shared" si="126"/>
        <v>0</v>
      </c>
      <c r="AN2401" s="18" t="s">
        <v>921</v>
      </c>
      <c r="AO2401" s="18" t="s">
        <v>880</v>
      </c>
    </row>
    <row r="2402" spans="1:42" s="18" customFormat="1" ht="15" hidden="1" customHeight="1" x14ac:dyDescent="0.3">
      <c r="A2402" s="207" t="s">
        <v>7397</v>
      </c>
      <c r="B2402" s="18" t="s">
        <v>7398</v>
      </c>
      <c r="C2402" s="208" t="s">
        <v>7589</v>
      </c>
      <c r="D2402" s="18" t="s">
        <v>7590</v>
      </c>
      <c r="E2402" s="208" t="s">
        <v>7591</v>
      </c>
      <c r="F2402" s="18" t="s">
        <v>7592</v>
      </c>
      <c r="G2402" s="156" t="s">
        <v>7871</v>
      </c>
      <c r="H2402" s="18" t="s">
        <v>7872</v>
      </c>
      <c r="K2402" s="18">
        <v>18221601</v>
      </c>
      <c r="L2402" s="18" t="s">
        <v>7873</v>
      </c>
      <c r="M2402" s="18" t="s">
        <v>7876</v>
      </c>
      <c r="N2402" s="16">
        <v>0</v>
      </c>
      <c r="O2402" s="16">
        <v>1</v>
      </c>
      <c r="P2402" s="16">
        <v>1</v>
      </c>
      <c r="Q2402" s="16">
        <v>1</v>
      </c>
      <c r="R2402" s="16">
        <v>1</v>
      </c>
      <c r="S2402" s="16">
        <v>1</v>
      </c>
      <c r="T2402" s="18" t="s">
        <v>921</v>
      </c>
      <c r="U2402" t="str">
        <f>VLOOKUP(T2402,[8]Votes!$A$1:$E$234,3,FALSE)</f>
        <v>008 Ministry of Finance, Planning &amp; Economic Dev.</v>
      </c>
      <c r="W2402" s="48"/>
      <c r="X2402" s="48"/>
      <c r="Y2402" s="48"/>
      <c r="Z2402" s="48"/>
      <c r="AA2402" s="48"/>
      <c r="AB2402" s="48"/>
      <c r="AC2402" s="150">
        <v>0</v>
      </c>
      <c r="AD2402" s="150">
        <v>0</v>
      </c>
      <c r="AE2402" s="49">
        <f t="shared" si="125"/>
        <v>0</v>
      </c>
      <c r="AF2402" s="17"/>
      <c r="AG2402" s="17">
        <v>0</v>
      </c>
      <c r="AH2402" s="17"/>
      <c r="AI2402" s="17"/>
      <c r="AJ2402" s="17"/>
      <c r="AK2402" s="154"/>
      <c r="AL2402" s="154"/>
      <c r="AM2402" s="17">
        <f t="shared" si="126"/>
        <v>0</v>
      </c>
    </row>
    <row r="2403" spans="1:42" s="18" customFormat="1" ht="15" hidden="1" customHeight="1" x14ac:dyDescent="0.3">
      <c r="A2403" s="207" t="s">
        <v>7397</v>
      </c>
      <c r="B2403" s="18" t="s">
        <v>7398</v>
      </c>
      <c r="C2403" s="208" t="s">
        <v>7589</v>
      </c>
      <c r="D2403" s="18" t="s">
        <v>7590</v>
      </c>
      <c r="E2403" s="208" t="s">
        <v>7591</v>
      </c>
      <c r="F2403" s="18" t="s">
        <v>7592</v>
      </c>
      <c r="G2403" s="156" t="s">
        <v>7871</v>
      </c>
      <c r="H2403" s="18" t="s">
        <v>7872</v>
      </c>
      <c r="K2403" s="18">
        <v>18221601</v>
      </c>
      <c r="L2403" s="18" t="s">
        <v>7873</v>
      </c>
      <c r="M2403" s="18" t="s">
        <v>7877</v>
      </c>
      <c r="N2403" s="16">
        <v>0</v>
      </c>
      <c r="O2403" s="16">
        <v>0</v>
      </c>
      <c r="P2403" s="16">
        <v>13</v>
      </c>
      <c r="Q2403" s="16">
        <v>0</v>
      </c>
      <c r="R2403" s="16">
        <v>0</v>
      </c>
      <c r="S2403" s="16">
        <v>0</v>
      </c>
      <c r="T2403" s="18" t="s">
        <v>921</v>
      </c>
      <c r="U2403" t="str">
        <f>VLOOKUP(T2403,[8]Votes!$A$1:$E$234,3,FALSE)</f>
        <v>008 Ministry of Finance, Planning &amp; Economic Dev.</v>
      </c>
      <c r="W2403" s="48"/>
      <c r="X2403" s="48"/>
      <c r="Y2403" s="48"/>
      <c r="Z2403" s="48"/>
      <c r="AA2403" s="48"/>
      <c r="AB2403" s="48"/>
      <c r="AC2403" s="150">
        <v>0</v>
      </c>
      <c r="AD2403" s="150">
        <v>0</v>
      </c>
      <c r="AE2403" s="49">
        <f t="shared" si="125"/>
        <v>0</v>
      </c>
      <c r="AF2403" s="17"/>
      <c r="AG2403" s="17">
        <v>0</v>
      </c>
      <c r="AH2403" s="17"/>
      <c r="AI2403" s="17"/>
      <c r="AJ2403" s="17"/>
      <c r="AK2403" s="154"/>
      <c r="AL2403" s="154"/>
      <c r="AM2403" s="17">
        <f t="shared" si="126"/>
        <v>0</v>
      </c>
    </row>
    <row r="2404" spans="1:42" s="18" customFormat="1" ht="15" hidden="1" customHeight="1" x14ac:dyDescent="0.3">
      <c r="A2404" s="207" t="s">
        <v>7397</v>
      </c>
      <c r="B2404" s="18" t="s">
        <v>7398</v>
      </c>
      <c r="C2404" s="208" t="s">
        <v>7589</v>
      </c>
      <c r="D2404" s="18" t="s">
        <v>7590</v>
      </c>
      <c r="E2404" s="208" t="s">
        <v>7591</v>
      </c>
      <c r="F2404" s="18" t="s">
        <v>7592</v>
      </c>
      <c r="G2404" s="156" t="s">
        <v>7871</v>
      </c>
      <c r="H2404" s="18" t="s">
        <v>7872</v>
      </c>
      <c r="K2404" s="18">
        <v>18221601</v>
      </c>
      <c r="L2404" s="18" t="s">
        <v>7873</v>
      </c>
      <c r="M2404" s="18" t="s">
        <v>7878</v>
      </c>
      <c r="N2404" s="16">
        <v>0</v>
      </c>
      <c r="O2404" s="16">
        <v>0</v>
      </c>
      <c r="P2404" s="16">
        <v>0</v>
      </c>
      <c r="Q2404" s="16">
        <v>5</v>
      </c>
      <c r="R2404" s="16">
        <v>0</v>
      </c>
      <c r="S2404" s="16">
        <v>0</v>
      </c>
      <c r="T2404" s="18" t="s">
        <v>921</v>
      </c>
      <c r="U2404" t="str">
        <f>VLOOKUP(T2404,[8]Votes!$A$1:$E$234,3,FALSE)</f>
        <v>008 Ministry of Finance, Planning &amp; Economic Dev.</v>
      </c>
      <c r="W2404" s="48"/>
      <c r="X2404" s="48"/>
      <c r="Y2404" s="48"/>
      <c r="Z2404" s="48"/>
      <c r="AA2404" s="48"/>
      <c r="AB2404" s="48"/>
      <c r="AC2404" s="150">
        <v>0</v>
      </c>
      <c r="AD2404" s="150">
        <v>0</v>
      </c>
      <c r="AE2404" s="49">
        <f t="shared" si="125"/>
        <v>0</v>
      </c>
      <c r="AF2404" s="17"/>
      <c r="AG2404" s="17">
        <v>0</v>
      </c>
      <c r="AH2404" s="17"/>
      <c r="AI2404" s="17"/>
      <c r="AJ2404" s="17"/>
      <c r="AK2404" s="154"/>
      <c r="AL2404" s="154"/>
      <c r="AM2404" s="17">
        <f t="shared" si="126"/>
        <v>0</v>
      </c>
    </row>
    <row r="2405" spans="1:42" s="18" customFormat="1" ht="15" hidden="1" customHeight="1" x14ac:dyDescent="0.3">
      <c r="A2405" s="207" t="s">
        <v>7397</v>
      </c>
      <c r="B2405" s="18" t="s">
        <v>7398</v>
      </c>
      <c r="C2405" s="208" t="s">
        <v>7589</v>
      </c>
      <c r="D2405" s="18" t="s">
        <v>7590</v>
      </c>
      <c r="E2405" s="208" t="s">
        <v>7591</v>
      </c>
      <c r="F2405" s="18" t="s">
        <v>7592</v>
      </c>
      <c r="G2405" s="156" t="s">
        <v>7871</v>
      </c>
      <c r="H2405" s="18" t="s">
        <v>7872</v>
      </c>
      <c r="K2405" s="18">
        <v>18221601</v>
      </c>
      <c r="L2405" s="18" t="s">
        <v>7873</v>
      </c>
      <c r="M2405" s="18" t="s">
        <v>7879</v>
      </c>
      <c r="N2405" s="16">
        <v>0</v>
      </c>
      <c r="O2405" s="16">
        <v>0</v>
      </c>
      <c r="P2405" s="16">
        <v>1</v>
      </c>
      <c r="Q2405" s="16">
        <v>0</v>
      </c>
      <c r="R2405" s="16">
        <v>0</v>
      </c>
      <c r="S2405" s="16">
        <v>0</v>
      </c>
      <c r="T2405" s="18" t="s">
        <v>921</v>
      </c>
      <c r="U2405" t="str">
        <f>VLOOKUP(T2405,[8]Votes!$A$1:$E$234,3,FALSE)</f>
        <v>008 Ministry of Finance, Planning &amp; Economic Dev.</v>
      </c>
      <c r="V2405" s="18" t="s">
        <v>7880</v>
      </c>
      <c r="W2405" s="48">
        <v>1</v>
      </c>
      <c r="X2405" s="48">
        <v>0</v>
      </c>
      <c r="Y2405" s="48">
        <v>0</v>
      </c>
      <c r="Z2405" s="48">
        <v>1</v>
      </c>
      <c r="AA2405" s="48"/>
      <c r="AB2405" s="48">
        <v>1</v>
      </c>
      <c r="AC2405" s="150">
        <v>1</v>
      </c>
      <c r="AD2405" s="150">
        <v>1</v>
      </c>
      <c r="AE2405" s="49">
        <f t="shared" si="125"/>
        <v>0.625</v>
      </c>
      <c r="AF2405" s="255"/>
      <c r="AG2405" s="17">
        <v>0</v>
      </c>
      <c r="AH2405" s="255">
        <v>4.3499999999999996</v>
      </c>
      <c r="AI2405" s="255">
        <v>4.3499999999999996</v>
      </c>
      <c r="AJ2405" s="255">
        <v>2.1749999999999998</v>
      </c>
      <c r="AK2405" s="256">
        <v>2.1800000000000002</v>
      </c>
      <c r="AL2405" s="256">
        <v>4.3499999999999996</v>
      </c>
      <c r="AM2405" s="17">
        <f t="shared" si="126"/>
        <v>6.5299999999999994</v>
      </c>
      <c r="AN2405" s="18" t="s">
        <v>921</v>
      </c>
      <c r="AO2405" s="18" t="s">
        <v>880</v>
      </c>
    </row>
    <row r="2406" spans="1:42" s="18" customFormat="1" ht="15" hidden="1" customHeight="1" x14ac:dyDescent="0.3">
      <c r="A2406" s="207" t="s">
        <v>7397</v>
      </c>
      <c r="B2406" s="18" t="s">
        <v>7398</v>
      </c>
      <c r="C2406" s="208" t="s">
        <v>7589</v>
      </c>
      <c r="D2406" s="18" t="s">
        <v>7590</v>
      </c>
      <c r="E2406" s="208" t="s">
        <v>7591</v>
      </c>
      <c r="F2406" s="18" t="s">
        <v>7592</v>
      </c>
      <c r="G2406" s="156" t="s">
        <v>7871</v>
      </c>
      <c r="H2406" s="18" t="s">
        <v>7872</v>
      </c>
      <c r="K2406" s="18">
        <v>18221601</v>
      </c>
      <c r="L2406" s="18" t="s">
        <v>7873</v>
      </c>
      <c r="M2406" s="18" t="s">
        <v>7881</v>
      </c>
      <c r="N2406" s="16">
        <v>0</v>
      </c>
      <c r="O2406" s="16">
        <v>60</v>
      </c>
      <c r="P2406" s="16">
        <v>70</v>
      </c>
      <c r="Q2406" s="16">
        <v>80</v>
      </c>
      <c r="R2406" s="16">
        <v>85</v>
      </c>
      <c r="S2406" s="16">
        <v>90</v>
      </c>
      <c r="T2406" s="18" t="s">
        <v>921</v>
      </c>
      <c r="U2406" t="str">
        <f>VLOOKUP(T2406,[8]Votes!$A$1:$E$234,3,FALSE)</f>
        <v>008 Ministry of Finance, Planning &amp; Economic Dev.</v>
      </c>
      <c r="W2406" s="48"/>
      <c r="X2406" s="48"/>
      <c r="Y2406" s="48"/>
      <c r="Z2406" s="48"/>
      <c r="AA2406" s="48"/>
      <c r="AB2406" s="48"/>
      <c r="AC2406" s="150">
        <v>0</v>
      </c>
      <c r="AD2406" s="150">
        <v>0</v>
      </c>
      <c r="AE2406" s="49">
        <f t="shared" si="125"/>
        <v>0</v>
      </c>
      <c r="AF2406" s="17"/>
      <c r="AG2406" s="17">
        <v>0</v>
      </c>
      <c r="AH2406" s="17"/>
      <c r="AI2406" s="17"/>
      <c r="AJ2406" s="17"/>
      <c r="AK2406" s="154"/>
      <c r="AL2406" s="154"/>
      <c r="AM2406" s="17">
        <f t="shared" si="126"/>
        <v>0</v>
      </c>
    </row>
    <row r="2407" spans="1:42" s="18" customFormat="1" ht="15" customHeight="1" x14ac:dyDescent="0.3">
      <c r="A2407" s="207" t="s">
        <v>7397</v>
      </c>
      <c r="B2407" s="18" t="s">
        <v>7398</v>
      </c>
      <c r="C2407" s="208" t="s">
        <v>7589</v>
      </c>
      <c r="D2407" s="18" t="s">
        <v>7590</v>
      </c>
      <c r="E2407" s="208" t="s">
        <v>7591</v>
      </c>
      <c r="F2407" s="18" t="s">
        <v>7592</v>
      </c>
      <c r="G2407" s="156" t="s">
        <v>7871</v>
      </c>
      <c r="H2407" s="18" t="s">
        <v>7872</v>
      </c>
      <c r="K2407" s="18">
        <v>18221602</v>
      </c>
      <c r="L2407" s="18" t="s">
        <v>7882</v>
      </c>
      <c r="M2407" s="18" t="s">
        <v>7883</v>
      </c>
      <c r="N2407" s="16">
        <v>0</v>
      </c>
      <c r="O2407" s="16">
        <v>25</v>
      </c>
      <c r="P2407" s="16">
        <v>50</v>
      </c>
      <c r="Q2407" s="16">
        <v>75</v>
      </c>
      <c r="R2407" s="16">
        <v>85</v>
      </c>
      <c r="S2407" s="16">
        <v>100</v>
      </c>
      <c r="T2407" s="18" t="s">
        <v>921</v>
      </c>
      <c r="U2407" t="str">
        <f>VLOOKUP(T2407,[8]Votes!$A$1:$E$234,3,FALSE)</f>
        <v>008 Ministry of Finance, Planning &amp; Economic Dev.</v>
      </c>
      <c r="V2407" s="18" t="s">
        <v>7884</v>
      </c>
      <c r="W2407" s="48">
        <v>1</v>
      </c>
      <c r="X2407" s="48">
        <v>1</v>
      </c>
      <c r="Y2407" s="48">
        <v>0</v>
      </c>
      <c r="Z2407" s="48">
        <v>1</v>
      </c>
      <c r="AA2407" s="48">
        <v>1</v>
      </c>
      <c r="AB2407" s="48">
        <v>1</v>
      </c>
      <c r="AC2407" s="150">
        <v>0</v>
      </c>
      <c r="AD2407" s="150">
        <v>1</v>
      </c>
      <c r="AE2407" s="49">
        <f t="shared" si="125"/>
        <v>0.75</v>
      </c>
      <c r="AF2407" s="176"/>
      <c r="AG2407" s="17">
        <v>0</v>
      </c>
      <c r="AH2407" s="176">
        <v>1.45</v>
      </c>
      <c r="AI2407" s="176">
        <v>6.96</v>
      </c>
      <c r="AJ2407" s="176">
        <v>2.9</v>
      </c>
      <c r="AK2407" s="177">
        <v>2.9</v>
      </c>
      <c r="AL2407" s="177">
        <v>2.9</v>
      </c>
      <c r="AM2407" s="17">
        <f t="shared" si="126"/>
        <v>5.8</v>
      </c>
      <c r="AN2407" s="18" t="s">
        <v>921</v>
      </c>
      <c r="AO2407" s="18" t="s">
        <v>880</v>
      </c>
    </row>
    <row r="2408" spans="1:42" s="18" customFormat="1" ht="15" customHeight="1" x14ac:dyDescent="0.3">
      <c r="A2408" s="207" t="s">
        <v>7397</v>
      </c>
      <c r="B2408" s="18" t="s">
        <v>7398</v>
      </c>
      <c r="C2408" s="208" t="s">
        <v>7589</v>
      </c>
      <c r="D2408" s="18" t="s">
        <v>7590</v>
      </c>
      <c r="E2408" s="208" t="s">
        <v>7591</v>
      </c>
      <c r="F2408" s="18" t="s">
        <v>7592</v>
      </c>
      <c r="G2408" s="156" t="s">
        <v>7871</v>
      </c>
      <c r="H2408" s="18" t="s">
        <v>7872</v>
      </c>
      <c r="K2408" s="18">
        <v>18221603</v>
      </c>
      <c r="L2408" s="18" t="s">
        <v>7885</v>
      </c>
      <c r="M2408" s="18" t="s">
        <v>7886</v>
      </c>
      <c r="N2408" s="16">
        <v>50</v>
      </c>
      <c r="O2408" s="16">
        <v>60</v>
      </c>
      <c r="P2408" s="16">
        <v>65</v>
      </c>
      <c r="Q2408" s="16">
        <v>75</v>
      </c>
      <c r="R2408" s="16">
        <v>90</v>
      </c>
      <c r="S2408" s="16">
        <v>100</v>
      </c>
      <c r="T2408" s="18" t="s">
        <v>921</v>
      </c>
      <c r="U2408" t="str">
        <f>VLOOKUP(T2408,[8]Votes!$A$1:$E$234,3,FALSE)</f>
        <v>008 Ministry of Finance, Planning &amp; Economic Dev.</v>
      </c>
      <c r="V2408" s="18" t="s">
        <v>7887</v>
      </c>
      <c r="W2408" s="48">
        <v>1</v>
      </c>
      <c r="X2408" s="48">
        <v>0</v>
      </c>
      <c r="Y2408" s="48">
        <v>0</v>
      </c>
      <c r="Z2408" s="48">
        <v>1</v>
      </c>
      <c r="AA2408" s="48">
        <v>1</v>
      </c>
      <c r="AB2408" s="48">
        <v>1</v>
      </c>
      <c r="AC2408" s="150">
        <v>1</v>
      </c>
      <c r="AD2408" s="150">
        <v>1</v>
      </c>
      <c r="AE2408" s="49">
        <f t="shared" si="125"/>
        <v>0.75</v>
      </c>
      <c r="AF2408" s="176"/>
      <c r="AG2408" s="17">
        <v>0</v>
      </c>
      <c r="AH2408" s="176">
        <v>1.54</v>
      </c>
      <c r="AI2408" s="176">
        <v>2.19</v>
      </c>
      <c r="AJ2408" s="176">
        <v>2.19</v>
      </c>
      <c r="AK2408" s="177">
        <v>1.73</v>
      </c>
      <c r="AL2408" s="177">
        <v>1.7</v>
      </c>
      <c r="AM2408" s="17">
        <f t="shared" si="126"/>
        <v>3.4299999999999997</v>
      </c>
      <c r="AN2408" s="18" t="s">
        <v>921</v>
      </c>
      <c r="AO2408" s="18" t="s">
        <v>880</v>
      </c>
    </row>
    <row r="2409" spans="1:42" s="18" customFormat="1" ht="15" customHeight="1" x14ac:dyDescent="0.3">
      <c r="A2409" s="207" t="s">
        <v>7397</v>
      </c>
      <c r="B2409" s="18" t="s">
        <v>7398</v>
      </c>
      <c r="C2409" s="208" t="s">
        <v>7589</v>
      </c>
      <c r="D2409" s="18" t="s">
        <v>7590</v>
      </c>
      <c r="E2409" s="208" t="s">
        <v>7591</v>
      </c>
      <c r="F2409" s="18" t="s">
        <v>7592</v>
      </c>
      <c r="G2409" s="156" t="s">
        <v>7871</v>
      </c>
      <c r="H2409" s="18" t="s">
        <v>7872</v>
      </c>
      <c r="K2409" s="18">
        <v>18221603</v>
      </c>
      <c r="L2409" s="18" t="s">
        <v>7885</v>
      </c>
      <c r="N2409" s="16"/>
      <c r="O2409" s="16"/>
      <c r="P2409" s="16"/>
      <c r="Q2409" s="16"/>
      <c r="R2409" s="16"/>
      <c r="S2409" s="16"/>
      <c r="T2409" s="18" t="s">
        <v>921</v>
      </c>
      <c r="U2409" t="str">
        <f>VLOOKUP(T2409,[8]Votes!$A$1:$E$234,3,FALSE)</f>
        <v>008 Ministry of Finance, Planning &amp; Economic Dev.</v>
      </c>
      <c r="V2409" s="18" t="s">
        <v>7888</v>
      </c>
      <c r="W2409" s="48">
        <v>1</v>
      </c>
      <c r="X2409" s="48">
        <v>0</v>
      </c>
      <c r="Y2409" s="48">
        <v>0</v>
      </c>
      <c r="Z2409" s="48">
        <v>1</v>
      </c>
      <c r="AA2409" s="48">
        <v>1</v>
      </c>
      <c r="AB2409" s="48">
        <v>1</v>
      </c>
      <c r="AC2409" s="150">
        <v>1</v>
      </c>
      <c r="AD2409" s="150">
        <v>1</v>
      </c>
      <c r="AE2409" s="49">
        <f t="shared" si="125"/>
        <v>0.75</v>
      </c>
      <c r="AF2409" s="176"/>
      <c r="AG2409" s="17">
        <v>0</v>
      </c>
      <c r="AH2409" s="176">
        <v>34.85</v>
      </c>
      <c r="AI2409" s="176">
        <v>21.23</v>
      </c>
      <c r="AJ2409" s="176">
        <v>1.04</v>
      </c>
      <c r="AK2409" s="177">
        <v>3</v>
      </c>
      <c r="AL2409" s="177">
        <v>3.5</v>
      </c>
      <c r="AM2409" s="17">
        <f t="shared" si="126"/>
        <v>6.5</v>
      </c>
      <c r="AN2409" s="18" t="s">
        <v>921</v>
      </c>
      <c r="AO2409" s="18" t="s">
        <v>880</v>
      </c>
    </row>
    <row r="2410" spans="1:42" s="18" customFormat="1" ht="15" customHeight="1" x14ac:dyDescent="0.3">
      <c r="A2410" s="207" t="s">
        <v>7397</v>
      </c>
      <c r="B2410" s="18" t="s">
        <v>7398</v>
      </c>
      <c r="C2410" s="208" t="s">
        <v>7589</v>
      </c>
      <c r="D2410" s="18" t="s">
        <v>7590</v>
      </c>
      <c r="E2410" s="208" t="s">
        <v>7591</v>
      </c>
      <c r="F2410" s="18" t="s">
        <v>7592</v>
      </c>
      <c r="G2410" s="156" t="s">
        <v>7871</v>
      </c>
      <c r="H2410" s="18" t="s">
        <v>7872</v>
      </c>
      <c r="K2410" s="18">
        <v>18221603</v>
      </c>
      <c r="L2410" s="18" t="s">
        <v>7885</v>
      </c>
      <c r="N2410" s="16"/>
      <c r="O2410" s="16"/>
      <c r="P2410" s="16"/>
      <c r="Q2410" s="16"/>
      <c r="R2410" s="16"/>
      <c r="S2410" s="16"/>
      <c r="T2410" s="18" t="s">
        <v>921</v>
      </c>
      <c r="U2410" t="str">
        <f>VLOOKUP(T2410,[8]Votes!$A$1:$E$234,3,FALSE)</f>
        <v>008 Ministry of Finance, Planning &amp; Economic Dev.</v>
      </c>
      <c r="V2410" s="18" t="s">
        <v>7889</v>
      </c>
      <c r="W2410" s="48">
        <v>1</v>
      </c>
      <c r="X2410" s="48">
        <v>1</v>
      </c>
      <c r="Y2410" s="48">
        <v>0</v>
      </c>
      <c r="Z2410" s="48">
        <v>1</v>
      </c>
      <c r="AA2410" s="48">
        <v>1</v>
      </c>
      <c r="AB2410" s="48">
        <v>0</v>
      </c>
      <c r="AC2410" s="150">
        <v>1</v>
      </c>
      <c r="AD2410" s="150">
        <v>1</v>
      </c>
      <c r="AE2410" s="49">
        <f t="shared" si="125"/>
        <v>0.75</v>
      </c>
      <c r="AF2410" s="176"/>
      <c r="AG2410" s="17">
        <v>0</v>
      </c>
      <c r="AH2410" s="176">
        <v>0</v>
      </c>
      <c r="AI2410" s="176">
        <v>0</v>
      </c>
      <c r="AJ2410" s="176">
        <v>0</v>
      </c>
      <c r="AK2410" s="177">
        <v>11</v>
      </c>
      <c r="AL2410" s="177">
        <v>12</v>
      </c>
      <c r="AM2410" s="17">
        <f t="shared" si="126"/>
        <v>23</v>
      </c>
      <c r="AN2410" s="18" t="s">
        <v>921</v>
      </c>
      <c r="AO2410" s="18" t="s">
        <v>880</v>
      </c>
    </row>
    <row r="2411" spans="1:42" s="18" customFormat="1" ht="15" hidden="1" customHeight="1" x14ac:dyDescent="0.3">
      <c r="A2411" s="207" t="s">
        <v>7397</v>
      </c>
      <c r="B2411" s="18" t="s">
        <v>7398</v>
      </c>
      <c r="C2411" s="208" t="s">
        <v>7589</v>
      </c>
      <c r="D2411" s="18" t="s">
        <v>7590</v>
      </c>
      <c r="E2411" s="208" t="s">
        <v>7591</v>
      </c>
      <c r="F2411" s="18" t="s">
        <v>7592</v>
      </c>
      <c r="G2411" s="156" t="s">
        <v>7871</v>
      </c>
      <c r="H2411" s="18" t="s">
        <v>7872</v>
      </c>
      <c r="K2411" s="18">
        <v>18221604</v>
      </c>
      <c r="L2411" s="18" t="s">
        <v>7890</v>
      </c>
      <c r="M2411" s="18" t="s">
        <v>7891</v>
      </c>
      <c r="N2411" s="16">
        <v>0</v>
      </c>
      <c r="O2411" s="16">
        <v>30</v>
      </c>
      <c r="P2411" s="16">
        <v>69</v>
      </c>
      <c r="Q2411" s="16">
        <v>80</v>
      </c>
      <c r="R2411" s="16">
        <v>85</v>
      </c>
      <c r="S2411" s="16">
        <v>90</v>
      </c>
      <c r="T2411" s="18" t="s">
        <v>921</v>
      </c>
      <c r="U2411" t="str">
        <f>VLOOKUP(T2411,[8]Votes!$A$1:$E$234,3,FALSE)</f>
        <v>008 Ministry of Finance, Planning &amp; Economic Dev.</v>
      </c>
      <c r="W2411" s="48"/>
      <c r="X2411" s="48"/>
      <c r="Y2411" s="48"/>
      <c r="Z2411" s="48"/>
      <c r="AA2411" s="48"/>
      <c r="AB2411" s="48"/>
      <c r="AC2411" s="150">
        <v>0</v>
      </c>
      <c r="AD2411" s="150">
        <v>0</v>
      </c>
      <c r="AE2411" s="49">
        <f t="shared" si="125"/>
        <v>0</v>
      </c>
      <c r="AF2411" s="17"/>
      <c r="AG2411" s="17">
        <v>0</v>
      </c>
      <c r="AH2411" s="17"/>
      <c r="AI2411" s="17"/>
      <c r="AJ2411" s="17"/>
      <c r="AK2411" s="154"/>
      <c r="AL2411" s="154"/>
      <c r="AM2411" s="17">
        <f t="shared" si="126"/>
        <v>0</v>
      </c>
    </row>
    <row r="2412" spans="1:42" s="18" customFormat="1" ht="15" customHeight="1" x14ac:dyDescent="0.3">
      <c r="A2412" s="207" t="s">
        <v>7397</v>
      </c>
      <c r="B2412" s="18" t="s">
        <v>7398</v>
      </c>
      <c r="C2412" s="208" t="s">
        <v>7589</v>
      </c>
      <c r="D2412" s="18" t="s">
        <v>7590</v>
      </c>
      <c r="E2412" s="208" t="s">
        <v>7591</v>
      </c>
      <c r="F2412" s="18" t="s">
        <v>7592</v>
      </c>
      <c r="G2412" s="156" t="s">
        <v>7871</v>
      </c>
      <c r="H2412" s="18" t="s">
        <v>7872</v>
      </c>
      <c r="K2412" s="18">
        <v>18221604</v>
      </c>
      <c r="L2412" s="18" t="s">
        <v>7892</v>
      </c>
      <c r="N2412" s="16"/>
      <c r="O2412" s="16"/>
      <c r="P2412" s="16"/>
      <c r="Q2412" s="16"/>
      <c r="R2412" s="16"/>
      <c r="S2412" s="16"/>
      <c r="T2412" s="18" t="s">
        <v>921</v>
      </c>
      <c r="U2412" t="str">
        <f>VLOOKUP(T2412,[8]Votes!$A$1:$E$234,3,FALSE)</f>
        <v>008 Ministry of Finance, Planning &amp; Economic Dev.</v>
      </c>
      <c r="V2412" s="18" t="s">
        <v>7893</v>
      </c>
      <c r="W2412" s="48">
        <v>1</v>
      </c>
      <c r="X2412" s="48">
        <v>0</v>
      </c>
      <c r="Y2412" s="48">
        <v>0</v>
      </c>
      <c r="Z2412" s="48">
        <v>1</v>
      </c>
      <c r="AA2412" s="48">
        <v>1</v>
      </c>
      <c r="AB2412" s="48">
        <v>1</v>
      </c>
      <c r="AC2412" s="150">
        <v>1</v>
      </c>
      <c r="AD2412" s="150">
        <v>1</v>
      </c>
      <c r="AE2412" s="49">
        <f t="shared" si="125"/>
        <v>0.75</v>
      </c>
      <c r="AF2412" s="255"/>
      <c r="AG2412" s="17">
        <v>0</v>
      </c>
      <c r="AH2412" s="255">
        <v>17.399999999999999</v>
      </c>
      <c r="AI2412" s="255">
        <v>17.399999999999999</v>
      </c>
      <c r="AJ2412" s="255">
        <v>17.399999999999999</v>
      </c>
      <c r="AK2412" s="256">
        <v>17.399999999999999</v>
      </c>
      <c r="AL2412" s="256">
        <v>17.399999999999999</v>
      </c>
      <c r="AM2412" s="17">
        <f t="shared" si="126"/>
        <v>34.799999999999997</v>
      </c>
      <c r="AN2412" s="18" t="s">
        <v>921</v>
      </c>
      <c r="AO2412" s="18" t="s">
        <v>880</v>
      </c>
    </row>
    <row r="2413" spans="1:42" s="18" customFormat="1" ht="15" customHeight="1" x14ac:dyDescent="0.3">
      <c r="A2413" s="207" t="s">
        <v>7397</v>
      </c>
      <c r="B2413" s="18" t="s">
        <v>7398</v>
      </c>
      <c r="C2413" s="208" t="s">
        <v>7589</v>
      </c>
      <c r="D2413" s="18" t="s">
        <v>7590</v>
      </c>
      <c r="E2413" s="208" t="s">
        <v>7591</v>
      </c>
      <c r="F2413" s="18" t="s">
        <v>7592</v>
      </c>
      <c r="G2413" s="156" t="s">
        <v>7894</v>
      </c>
      <c r="H2413" s="18" t="s">
        <v>7895</v>
      </c>
      <c r="K2413" s="18">
        <v>18221701</v>
      </c>
      <c r="L2413" s="18" t="s">
        <v>7896</v>
      </c>
      <c r="M2413" s="18" t="s">
        <v>7897</v>
      </c>
      <c r="N2413" s="16">
        <v>0</v>
      </c>
      <c r="O2413" s="16">
        <v>1</v>
      </c>
      <c r="P2413" s="16">
        <v>1</v>
      </c>
      <c r="Q2413" s="16">
        <v>1</v>
      </c>
      <c r="R2413" s="16">
        <v>1</v>
      </c>
      <c r="S2413" s="16">
        <v>1</v>
      </c>
      <c r="T2413" s="18" t="s">
        <v>921</v>
      </c>
      <c r="U2413" t="str">
        <f>VLOOKUP(T2413,[8]Votes!$A$1:$E$234,3,FALSE)</f>
        <v>008 Ministry of Finance, Planning &amp; Economic Dev.</v>
      </c>
      <c r="V2413" s="18" t="s">
        <v>7898</v>
      </c>
      <c r="W2413" s="48">
        <v>1</v>
      </c>
      <c r="X2413" s="48">
        <v>1</v>
      </c>
      <c r="Y2413" s="48">
        <v>0</v>
      </c>
      <c r="Z2413" s="48">
        <v>1</v>
      </c>
      <c r="AA2413" s="48">
        <v>1</v>
      </c>
      <c r="AB2413" s="48">
        <v>1</v>
      </c>
      <c r="AC2413" s="150">
        <v>0</v>
      </c>
      <c r="AD2413" s="150">
        <v>1</v>
      </c>
      <c r="AE2413" s="49">
        <f t="shared" si="125"/>
        <v>0.75</v>
      </c>
      <c r="AF2413" s="176"/>
      <c r="AG2413" s="17">
        <v>0</v>
      </c>
      <c r="AH2413" s="176">
        <v>0.73</v>
      </c>
      <c r="AI2413" s="176">
        <v>0.73</v>
      </c>
      <c r="AJ2413" s="176">
        <v>0.73</v>
      </c>
      <c r="AK2413" s="177">
        <v>0.73</v>
      </c>
      <c r="AL2413" s="177">
        <v>0.73</v>
      </c>
      <c r="AM2413" s="17">
        <f t="shared" si="126"/>
        <v>1.46</v>
      </c>
      <c r="AN2413" s="18" t="s">
        <v>921</v>
      </c>
      <c r="AO2413" s="18" t="s">
        <v>880</v>
      </c>
    </row>
    <row r="2414" spans="1:42" s="18" customFormat="1" ht="15" customHeight="1" x14ac:dyDescent="0.3">
      <c r="A2414" s="207" t="s">
        <v>7397</v>
      </c>
      <c r="B2414" s="18" t="s">
        <v>7398</v>
      </c>
      <c r="C2414" s="208" t="s">
        <v>7589</v>
      </c>
      <c r="D2414" s="18" t="s">
        <v>7590</v>
      </c>
      <c r="E2414" s="208" t="s">
        <v>7591</v>
      </c>
      <c r="F2414" s="18" t="s">
        <v>7592</v>
      </c>
      <c r="G2414" s="156" t="s">
        <v>7899</v>
      </c>
      <c r="H2414" s="18" t="s">
        <v>7900</v>
      </c>
      <c r="I2414" s="156"/>
      <c r="K2414" s="156" t="s">
        <v>7901</v>
      </c>
      <c r="L2414" s="18" t="s">
        <v>7902</v>
      </c>
      <c r="M2414" s="18" t="s">
        <v>7903</v>
      </c>
      <c r="N2414" s="16">
        <v>0</v>
      </c>
      <c r="O2414" s="16">
        <v>0</v>
      </c>
      <c r="P2414" s="16">
        <v>1</v>
      </c>
      <c r="Q2414" s="16">
        <v>0</v>
      </c>
      <c r="R2414" s="16">
        <v>0</v>
      </c>
      <c r="S2414" s="16">
        <v>0</v>
      </c>
      <c r="T2414" s="18" t="s">
        <v>921</v>
      </c>
      <c r="U2414" t="str">
        <f>VLOOKUP(T2414,[8]Votes!$A$1:$E$234,3,FALSE)</f>
        <v>008 Ministry of Finance, Planning &amp; Economic Dev.</v>
      </c>
      <c r="V2414" s="18" t="s">
        <v>7904</v>
      </c>
      <c r="W2414" s="48">
        <v>1</v>
      </c>
      <c r="X2414" s="48">
        <v>1</v>
      </c>
      <c r="Y2414" s="48">
        <v>0</v>
      </c>
      <c r="Z2414" s="48">
        <v>1</v>
      </c>
      <c r="AA2414" s="48">
        <v>1</v>
      </c>
      <c r="AB2414" s="48">
        <v>0</v>
      </c>
      <c r="AC2414" s="150">
        <v>1</v>
      </c>
      <c r="AD2414" s="150">
        <v>1</v>
      </c>
      <c r="AE2414" s="49">
        <f t="shared" si="125"/>
        <v>0.75</v>
      </c>
      <c r="AF2414" s="176"/>
      <c r="AG2414" s="17">
        <v>0</v>
      </c>
      <c r="AH2414" s="176">
        <v>0.44</v>
      </c>
      <c r="AI2414" s="176">
        <v>0.44</v>
      </c>
      <c r="AJ2414" s="176">
        <v>0</v>
      </c>
      <c r="AK2414" s="177">
        <v>3</v>
      </c>
      <c r="AL2414" s="177">
        <v>3.1</v>
      </c>
      <c r="AM2414" s="17">
        <f t="shared" si="126"/>
        <v>6.1</v>
      </c>
      <c r="AN2414" s="18" t="s">
        <v>921</v>
      </c>
      <c r="AO2414" s="18" t="s">
        <v>880</v>
      </c>
    </row>
    <row r="2415" spans="1:42" s="18" customFormat="1" ht="15" hidden="1" customHeight="1" x14ac:dyDescent="0.3">
      <c r="A2415" s="207" t="s">
        <v>7397</v>
      </c>
      <c r="B2415" s="18" t="s">
        <v>7398</v>
      </c>
      <c r="C2415" s="208" t="s">
        <v>7589</v>
      </c>
      <c r="D2415" s="18" t="s">
        <v>7590</v>
      </c>
      <c r="E2415" s="208" t="s">
        <v>7591</v>
      </c>
      <c r="F2415" s="18" t="s">
        <v>7592</v>
      </c>
      <c r="G2415" s="156" t="s">
        <v>7899</v>
      </c>
      <c r="H2415" s="18" t="s">
        <v>7900</v>
      </c>
      <c r="I2415" s="156"/>
      <c r="K2415" s="156" t="s">
        <v>7901</v>
      </c>
      <c r="L2415" s="18" t="s">
        <v>7902</v>
      </c>
      <c r="M2415" s="18" t="s">
        <v>7905</v>
      </c>
      <c r="N2415" s="16">
        <v>0</v>
      </c>
      <c r="O2415" s="16">
        <v>50</v>
      </c>
      <c r="P2415" s="16">
        <v>70</v>
      </c>
      <c r="Q2415" s="16">
        <v>80</v>
      </c>
      <c r="R2415" s="16">
        <v>90</v>
      </c>
      <c r="S2415" s="16">
        <v>100</v>
      </c>
      <c r="T2415" s="18" t="s">
        <v>921</v>
      </c>
      <c r="U2415" t="str">
        <f>VLOOKUP(T2415,[8]Votes!$A$1:$E$234,3,FALSE)</f>
        <v>008 Ministry of Finance, Planning &amp; Economic Dev.</v>
      </c>
      <c r="W2415" s="48"/>
      <c r="X2415" s="48"/>
      <c r="Y2415" s="48"/>
      <c r="Z2415" s="48"/>
      <c r="AA2415" s="48"/>
      <c r="AB2415" s="48"/>
      <c r="AC2415" s="150">
        <v>0</v>
      </c>
      <c r="AD2415" s="150">
        <v>0</v>
      </c>
      <c r="AE2415" s="49">
        <f t="shared" si="125"/>
        <v>0</v>
      </c>
      <c r="AF2415" s="17"/>
      <c r="AG2415" s="17">
        <v>0</v>
      </c>
      <c r="AH2415" s="17"/>
      <c r="AI2415" s="17"/>
      <c r="AJ2415" s="17"/>
      <c r="AK2415" s="154"/>
      <c r="AL2415" s="154"/>
      <c r="AM2415" s="17">
        <f t="shared" si="126"/>
        <v>0</v>
      </c>
    </row>
    <row r="2416" spans="1:42" s="18" customFormat="1" ht="15" hidden="1" customHeight="1" x14ac:dyDescent="0.3">
      <c r="A2416" s="207" t="s">
        <v>7397</v>
      </c>
      <c r="B2416" s="18" t="s">
        <v>7398</v>
      </c>
      <c r="C2416" s="208" t="s">
        <v>7589</v>
      </c>
      <c r="D2416" s="18" t="s">
        <v>7590</v>
      </c>
      <c r="E2416" s="208" t="s">
        <v>7591</v>
      </c>
      <c r="F2416" s="18" t="s">
        <v>7592</v>
      </c>
      <c r="G2416" s="156" t="s">
        <v>7899</v>
      </c>
      <c r="H2416" s="18" t="s">
        <v>7900</v>
      </c>
      <c r="I2416" s="156"/>
      <c r="K2416" s="156" t="s">
        <v>7906</v>
      </c>
      <c r="L2416" s="18" t="s">
        <v>7907</v>
      </c>
      <c r="M2416" s="18" t="s">
        <v>7908</v>
      </c>
      <c r="N2416" s="16">
        <v>0</v>
      </c>
      <c r="O2416" s="16">
        <v>0</v>
      </c>
      <c r="P2416" s="16">
        <v>0</v>
      </c>
      <c r="Q2416" s="16">
        <v>1</v>
      </c>
      <c r="R2416" s="16">
        <v>0</v>
      </c>
      <c r="S2416" s="16">
        <v>0</v>
      </c>
      <c r="T2416" s="18" t="s">
        <v>921</v>
      </c>
      <c r="U2416" t="str">
        <f>VLOOKUP(T2416,[8]Votes!$A$1:$E$234,3,FALSE)</f>
        <v>008 Ministry of Finance, Planning &amp; Economic Dev.</v>
      </c>
      <c r="V2416" s="18" t="s">
        <v>7909</v>
      </c>
      <c r="W2416" s="48">
        <v>1</v>
      </c>
      <c r="X2416" s="48">
        <v>0</v>
      </c>
      <c r="Y2416" s="48">
        <v>0</v>
      </c>
      <c r="Z2416" s="48">
        <v>1</v>
      </c>
      <c r="AA2416" s="48">
        <v>0</v>
      </c>
      <c r="AB2416" s="48">
        <v>0</v>
      </c>
      <c r="AC2416" s="150">
        <v>0</v>
      </c>
      <c r="AD2416" s="150">
        <v>1</v>
      </c>
      <c r="AE2416" s="49">
        <f t="shared" si="125"/>
        <v>0.375</v>
      </c>
      <c r="AF2416" s="255"/>
      <c r="AG2416" s="17">
        <v>0</v>
      </c>
      <c r="AH2416" s="255">
        <v>0.14499999999999999</v>
      </c>
      <c r="AI2416" s="255">
        <v>0.28999999999999998</v>
      </c>
      <c r="AJ2416" s="255">
        <v>0</v>
      </c>
      <c r="AK2416" s="256">
        <v>0.8</v>
      </c>
      <c r="AL2416" s="256">
        <v>0.7</v>
      </c>
      <c r="AM2416" s="17">
        <f t="shared" si="126"/>
        <v>1.5</v>
      </c>
      <c r="AN2416" s="18" t="s">
        <v>1452</v>
      </c>
      <c r="AO2416" s="18" t="s">
        <v>5363</v>
      </c>
      <c r="AP2416" s="18" t="s">
        <v>1191</v>
      </c>
    </row>
    <row r="2417" spans="1:45" s="18" customFormat="1" ht="15" hidden="1" customHeight="1" x14ac:dyDescent="0.3">
      <c r="A2417" s="207" t="s">
        <v>7397</v>
      </c>
      <c r="B2417" s="18" t="s">
        <v>7398</v>
      </c>
      <c r="C2417" s="208" t="s">
        <v>7589</v>
      </c>
      <c r="D2417" s="18" t="s">
        <v>7590</v>
      </c>
      <c r="E2417" s="208" t="s">
        <v>7591</v>
      </c>
      <c r="F2417" s="18" t="s">
        <v>7592</v>
      </c>
      <c r="G2417" s="156" t="s">
        <v>7899</v>
      </c>
      <c r="H2417" s="18" t="s">
        <v>7900</v>
      </c>
      <c r="I2417" s="156"/>
      <c r="K2417" s="156" t="s">
        <v>7910</v>
      </c>
      <c r="L2417" s="18" t="s">
        <v>7911</v>
      </c>
      <c r="M2417" s="18" t="s">
        <v>7912</v>
      </c>
      <c r="N2417" s="16">
        <v>0</v>
      </c>
      <c r="O2417" s="16">
        <v>0</v>
      </c>
      <c r="P2417" s="16">
        <v>1</v>
      </c>
      <c r="Q2417" s="16">
        <v>0</v>
      </c>
      <c r="R2417" s="16">
        <v>0</v>
      </c>
      <c r="S2417" s="16">
        <v>0</v>
      </c>
      <c r="T2417" s="18" t="s">
        <v>921</v>
      </c>
      <c r="U2417" t="str">
        <f>VLOOKUP(T2417,[8]Votes!$A$1:$E$234,3,FALSE)</f>
        <v>008 Ministry of Finance, Planning &amp; Economic Dev.</v>
      </c>
      <c r="V2417" s="18" t="s">
        <v>7913</v>
      </c>
      <c r="W2417" s="48">
        <v>1</v>
      </c>
      <c r="X2417" s="48">
        <v>0</v>
      </c>
      <c r="Y2417" s="48">
        <v>0</v>
      </c>
      <c r="Z2417" s="48">
        <v>1</v>
      </c>
      <c r="AA2417" s="48">
        <v>0</v>
      </c>
      <c r="AB2417" s="48">
        <v>0</v>
      </c>
      <c r="AC2417" s="150">
        <v>0</v>
      </c>
      <c r="AD2417" s="150">
        <v>1</v>
      </c>
      <c r="AE2417" s="49">
        <f t="shared" si="125"/>
        <v>0.375</v>
      </c>
      <c r="AF2417" s="255"/>
      <c r="AG2417" s="17">
        <v>0</v>
      </c>
      <c r="AH2417" s="255">
        <v>0.79749999999999999</v>
      </c>
      <c r="AI2417" s="255">
        <v>0.68149999999999999</v>
      </c>
      <c r="AJ2417" s="255">
        <v>0.47849999999999998</v>
      </c>
      <c r="AK2417" s="256">
        <v>1.4</v>
      </c>
      <c r="AL2417" s="256">
        <v>1</v>
      </c>
      <c r="AM2417" s="17">
        <f t="shared" si="126"/>
        <v>2.4</v>
      </c>
      <c r="AN2417" s="18" t="s">
        <v>1452</v>
      </c>
      <c r="AO2417" s="18" t="s">
        <v>5363</v>
      </c>
      <c r="AP2417" s="18" t="s">
        <v>1191</v>
      </c>
    </row>
    <row r="2418" spans="1:45" s="18" customFormat="1" ht="15" hidden="1" customHeight="1" x14ac:dyDescent="0.3">
      <c r="A2418" s="207" t="s">
        <v>7397</v>
      </c>
      <c r="B2418" s="18" t="s">
        <v>7398</v>
      </c>
      <c r="C2418" s="208" t="s">
        <v>7589</v>
      </c>
      <c r="D2418" s="18" t="s">
        <v>7590</v>
      </c>
      <c r="E2418" s="208" t="s">
        <v>7591</v>
      </c>
      <c r="F2418" s="18" t="s">
        <v>7592</v>
      </c>
      <c r="G2418" s="156" t="s">
        <v>7899</v>
      </c>
      <c r="H2418" s="18" t="s">
        <v>7900</v>
      </c>
      <c r="I2418" s="156"/>
      <c r="K2418" s="156" t="s">
        <v>7914</v>
      </c>
      <c r="L2418" s="18" t="s">
        <v>7915</v>
      </c>
      <c r="M2418" s="18" t="s">
        <v>7916</v>
      </c>
      <c r="N2418" s="16">
        <v>0</v>
      </c>
      <c r="O2418" s="16">
        <v>0</v>
      </c>
      <c r="P2418" s="16">
        <v>0</v>
      </c>
      <c r="Q2418" s="16">
        <v>1</v>
      </c>
      <c r="R2418" s="16">
        <v>0</v>
      </c>
      <c r="S2418" s="16">
        <v>0</v>
      </c>
      <c r="T2418" s="18" t="s">
        <v>921</v>
      </c>
      <c r="U2418" t="str">
        <f>VLOOKUP(T2418,[8]Votes!$A$1:$E$234,3,FALSE)</f>
        <v>008 Ministry of Finance, Planning &amp; Economic Dev.</v>
      </c>
      <c r="W2418" s="48"/>
      <c r="X2418" s="48"/>
      <c r="Y2418" s="48"/>
      <c r="Z2418" s="48"/>
      <c r="AA2418" s="48"/>
      <c r="AB2418" s="48"/>
      <c r="AC2418" s="150">
        <v>0</v>
      </c>
      <c r="AD2418" s="150">
        <v>0</v>
      </c>
      <c r="AE2418" s="49">
        <f t="shared" si="125"/>
        <v>0</v>
      </c>
      <c r="AF2418" s="17"/>
      <c r="AG2418" s="17">
        <v>0</v>
      </c>
      <c r="AH2418" s="17"/>
      <c r="AI2418" s="17"/>
      <c r="AJ2418" s="17"/>
      <c r="AK2418" s="154"/>
      <c r="AL2418" s="154"/>
      <c r="AM2418" s="17">
        <f t="shared" si="126"/>
        <v>0</v>
      </c>
    </row>
    <row r="2419" spans="1:45" s="18" customFormat="1" ht="15" hidden="1" customHeight="1" x14ac:dyDescent="0.3">
      <c r="A2419" s="207" t="s">
        <v>7397</v>
      </c>
      <c r="B2419" s="18" t="s">
        <v>7398</v>
      </c>
      <c r="C2419" s="208" t="s">
        <v>7589</v>
      </c>
      <c r="D2419" s="18" t="s">
        <v>7590</v>
      </c>
      <c r="E2419" s="208" t="s">
        <v>7591</v>
      </c>
      <c r="F2419" s="18" t="s">
        <v>7592</v>
      </c>
      <c r="G2419" s="156" t="s">
        <v>7899</v>
      </c>
      <c r="H2419" s="18" t="s">
        <v>7900</v>
      </c>
      <c r="I2419" s="156"/>
      <c r="K2419" s="156" t="s">
        <v>7914</v>
      </c>
      <c r="L2419" s="18" t="s">
        <v>7915</v>
      </c>
      <c r="M2419" s="18" t="s">
        <v>7917</v>
      </c>
      <c r="N2419" s="16">
        <v>1</v>
      </c>
      <c r="O2419" s="16">
        <v>1</v>
      </c>
      <c r="P2419" s="16">
        <v>1</v>
      </c>
      <c r="Q2419" s="16">
        <v>1</v>
      </c>
      <c r="R2419" s="16">
        <v>1</v>
      </c>
      <c r="S2419" s="16">
        <v>1</v>
      </c>
      <c r="T2419" s="18" t="s">
        <v>921</v>
      </c>
      <c r="U2419" t="str">
        <f>VLOOKUP(T2419,[8]Votes!$A$1:$E$234,3,FALSE)</f>
        <v>008 Ministry of Finance, Planning &amp; Economic Dev.</v>
      </c>
      <c r="W2419" s="48"/>
      <c r="X2419" s="48"/>
      <c r="Y2419" s="48"/>
      <c r="Z2419" s="48"/>
      <c r="AA2419" s="48"/>
      <c r="AB2419" s="48"/>
      <c r="AC2419" s="150">
        <v>0</v>
      </c>
      <c r="AD2419" s="150">
        <v>0</v>
      </c>
      <c r="AE2419" s="49">
        <f t="shared" si="125"/>
        <v>0</v>
      </c>
      <c r="AF2419" s="17"/>
      <c r="AG2419" s="17">
        <v>0</v>
      </c>
      <c r="AH2419" s="17"/>
      <c r="AI2419" s="17"/>
      <c r="AJ2419" s="17"/>
      <c r="AK2419" s="154"/>
      <c r="AL2419" s="154"/>
      <c r="AM2419" s="17">
        <f t="shared" si="126"/>
        <v>0</v>
      </c>
    </row>
    <row r="2420" spans="1:45" s="18" customFormat="1" ht="15" hidden="1" customHeight="1" x14ac:dyDescent="0.3">
      <c r="A2420" s="207" t="s">
        <v>7397</v>
      </c>
      <c r="B2420" s="18" t="s">
        <v>7398</v>
      </c>
      <c r="C2420" s="208" t="s">
        <v>7589</v>
      </c>
      <c r="D2420" s="18" t="s">
        <v>7590</v>
      </c>
      <c r="E2420" s="208" t="s">
        <v>7591</v>
      </c>
      <c r="F2420" s="18" t="s">
        <v>7592</v>
      </c>
      <c r="G2420" s="156" t="s">
        <v>7899</v>
      </c>
      <c r="H2420" s="18" t="s">
        <v>7900</v>
      </c>
      <c r="I2420" s="156"/>
      <c r="K2420" s="156" t="s">
        <v>7918</v>
      </c>
      <c r="L2420" s="18" t="s">
        <v>7919</v>
      </c>
      <c r="M2420" s="18" t="s">
        <v>7920</v>
      </c>
      <c r="N2420" s="16">
        <v>0</v>
      </c>
      <c r="O2420" s="16">
        <v>0</v>
      </c>
      <c r="P2420" s="16">
        <v>0</v>
      </c>
      <c r="Q2420" s="16">
        <v>1</v>
      </c>
      <c r="R2420" s="16">
        <v>0</v>
      </c>
      <c r="S2420" s="16">
        <v>0</v>
      </c>
      <c r="T2420" s="18" t="s">
        <v>921</v>
      </c>
      <c r="U2420" t="str">
        <f>VLOOKUP(T2420,[8]Votes!$A$1:$E$234,3,FALSE)</f>
        <v>008 Ministry of Finance, Planning &amp; Economic Dev.</v>
      </c>
      <c r="V2420" s="18" t="s">
        <v>7921</v>
      </c>
      <c r="W2420" s="48">
        <v>1</v>
      </c>
      <c r="X2420" s="48">
        <v>0</v>
      </c>
      <c r="Y2420" s="48">
        <v>0</v>
      </c>
      <c r="Z2420" s="48">
        <v>1</v>
      </c>
      <c r="AA2420" s="48">
        <v>0</v>
      </c>
      <c r="AB2420" s="48">
        <v>0</v>
      </c>
      <c r="AC2420" s="150">
        <v>0</v>
      </c>
      <c r="AD2420" s="150">
        <v>1</v>
      </c>
      <c r="AE2420" s="49">
        <f t="shared" si="125"/>
        <v>0.375</v>
      </c>
      <c r="AF2420" s="255"/>
      <c r="AG2420" s="17">
        <v>0</v>
      </c>
      <c r="AH2420" s="255">
        <v>0</v>
      </c>
      <c r="AI2420" s="255">
        <v>0</v>
      </c>
      <c r="AJ2420" s="255">
        <v>0.55099999999999993</v>
      </c>
      <c r="AK2420" s="256">
        <v>0</v>
      </c>
      <c r="AL2420" s="256">
        <v>0</v>
      </c>
      <c r="AM2420" s="17">
        <f t="shared" si="126"/>
        <v>0</v>
      </c>
      <c r="AN2420" s="18" t="s">
        <v>1452</v>
      </c>
      <c r="AO2420" s="18" t="s">
        <v>5363</v>
      </c>
      <c r="AP2420" s="18" t="s">
        <v>1191</v>
      </c>
    </row>
    <row r="2421" spans="1:45" s="18" customFormat="1" ht="15" customHeight="1" x14ac:dyDescent="0.3">
      <c r="A2421" s="207" t="s">
        <v>7397</v>
      </c>
      <c r="B2421" s="18" t="s">
        <v>7398</v>
      </c>
      <c r="C2421" s="208" t="s">
        <v>7589</v>
      </c>
      <c r="D2421" s="18" t="s">
        <v>7590</v>
      </c>
      <c r="E2421" s="208" t="s">
        <v>7591</v>
      </c>
      <c r="F2421" s="18" t="s">
        <v>7592</v>
      </c>
      <c r="G2421" s="156" t="s">
        <v>7922</v>
      </c>
      <c r="H2421" s="18" t="s">
        <v>7923</v>
      </c>
      <c r="K2421" s="18">
        <v>18221901</v>
      </c>
      <c r="L2421" s="18" t="s">
        <v>7924</v>
      </c>
      <c r="M2421" s="18" t="s">
        <v>7925</v>
      </c>
      <c r="N2421" s="16">
        <v>0</v>
      </c>
      <c r="O2421" s="16">
        <v>1</v>
      </c>
      <c r="P2421" s="16">
        <v>1</v>
      </c>
      <c r="Q2421" s="16">
        <v>1</v>
      </c>
      <c r="R2421" s="16">
        <v>1</v>
      </c>
      <c r="S2421" s="16">
        <v>1</v>
      </c>
      <c r="T2421" s="18" t="s">
        <v>921</v>
      </c>
      <c r="U2421" t="str">
        <f>VLOOKUP(T2421,[8]Votes!$A$1:$E$234,3,FALSE)</f>
        <v>008 Ministry of Finance, Planning &amp; Economic Dev.</v>
      </c>
      <c r="V2421" s="18" t="s">
        <v>7926</v>
      </c>
      <c r="W2421" s="48">
        <v>1</v>
      </c>
      <c r="X2421" s="48">
        <v>1</v>
      </c>
      <c r="Y2421" s="48">
        <v>0</v>
      </c>
      <c r="Z2421" s="48">
        <v>1</v>
      </c>
      <c r="AA2421" s="48">
        <v>1</v>
      </c>
      <c r="AB2421" s="48">
        <v>1</v>
      </c>
      <c r="AC2421" s="150">
        <v>0</v>
      </c>
      <c r="AD2421" s="150">
        <v>1</v>
      </c>
      <c r="AE2421" s="49">
        <f t="shared" si="125"/>
        <v>0.75</v>
      </c>
      <c r="AF2421" s="255"/>
      <c r="AG2421" s="17">
        <v>0</v>
      </c>
      <c r="AH2421" s="255">
        <v>2.1749999999999998</v>
      </c>
      <c r="AI2421" s="255">
        <v>2.1749999999999998</v>
      </c>
      <c r="AJ2421" s="255">
        <v>2.3199999999999998</v>
      </c>
      <c r="AK2421" s="256">
        <v>2.4649999999999999</v>
      </c>
      <c r="AL2421" s="256">
        <v>2.61</v>
      </c>
      <c r="AM2421" s="17">
        <f t="shared" si="126"/>
        <v>5.0749999999999993</v>
      </c>
      <c r="AN2421" s="18" t="s">
        <v>921</v>
      </c>
      <c r="AO2421" s="18" t="s">
        <v>880</v>
      </c>
    </row>
    <row r="2422" spans="1:45" s="18" customFormat="1" ht="15" customHeight="1" x14ac:dyDescent="0.3">
      <c r="A2422" s="207" t="s">
        <v>7397</v>
      </c>
      <c r="B2422" s="18" t="s">
        <v>7398</v>
      </c>
      <c r="C2422" s="208" t="s">
        <v>7927</v>
      </c>
      <c r="D2422" s="18" t="s">
        <v>7928</v>
      </c>
      <c r="E2422" s="208" t="s">
        <v>7929</v>
      </c>
      <c r="F2422" s="18" t="s">
        <v>7930</v>
      </c>
      <c r="G2422" s="156" t="s">
        <v>7931</v>
      </c>
      <c r="H2422" s="18" t="s">
        <v>7932</v>
      </c>
      <c r="I2422" s="156"/>
      <c r="K2422" s="156" t="s">
        <v>7933</v>
      </c>
      <c r="L2422" s="18" t="s">
        <v>7934</v>
      </c>
      <c r="M2422" s="18" t="s">
        <v>7935</v>
      </c>
      <c r="N2422" s="16">
        <v>0</v>
      </c>
      <c r="O2422" s="16">
        <v>1</v>
      </c>
      <c r="P2422" s="16">
        <v>1</v>
      </c>
      <c r="Q2422" s="16">
        <v>1</v>
      </c>
      <c r="R2422" s="16">
        <v>1</v>
      </c>
      <c r="S2422" s="16">
        <v>1</v>
      </c>
      <c r="T2422" s="18" t="s">
        <v>2172</v>
      </c>
      <c r="U2422" t="str">
        <f>VLOOKUP(T2422,[8]Votes!$A$1:$E$234,3,FALSE)</f>
        <v>005 Ministry of Public Service</v>
      </c>
      <c r="V2422" s="18" t="s">
        <v>7936</v>
      </c>
      <c r="W2422" s="48">
        <v>1</v>
      </c>
      <c r="X2422" s="48">
        <v>1</v>
      </c>
      <c r="Y2422" s="48">
        <v>0</v>
      </c>
      <c r="Z2422" s="48">
        <v>1</v>
      </c>
      <c r="AA2422" s="48">
        <v>1</v>
      </c>
      <c r="AB2422" s="48">
        <v>1</v>
      </c>
      <c r="AC2422" s="150">
        <v>1</v>
      </c>
      <c r="AD2422" s="150">
        <v>0</v>
      </c>
      <c r="AE2422" s="49">
        <f t="shared" si="125"/>
        <v>0.75</v>
      </c>
      <c r="AF2422" s="255"/>
      <c r="AG2422" s="17">
        <v>0</v>
      </c>
      <c r="AH2422" s="255">
        <v>1.1599999999999999</v>
      </c>
      <c r="AI2422" s="255">
        <v>0.14499999999999999</v>
      </c>
      <c r="AJ2422" s="255">
        <v>0</v>
      </c>
      <c r="AK2422" s="256">
        <v>0</v>
      </c>
      <c r="AL2422" s="256">
        <v>0</v>
      </c>
      <c r="AM2422" s="17">
        <f t="shared" si="126"/>
        <v>0</v>
      </c>
      <c r="AN2422" s="18" t="s">
        <v>2172</v>
      </c>
      <c r="AO2422" s="18" t="s">
        <v>2236</v>
      </c>
    </row>
    <row r="2423" spans="1:45" s="18" customFormat="1" ht="15" customHeight="1" x14ac:dyDescent="0.3">
      <c r="A2423" s="207" t="s">
        <v>7397</v>
      </c>
      <c r="B2423" s="18" t="s">
        <v>7398</v>
      </c>
      <c r="C2423" s="208" t="s">
        <v>7927</v>
      </c>
      <c r="D2423" s="18" t="s">
        <v>7928</v>
      </c>
      <c r="E2423" s="208" t="s">
        <v>7929</v>
      </c>
      <c r="F2423" s="18" t="s">
        <v>7930</v>
      </c>
      <c r="G2423" s="156" t="s">
        <v>7931</v>
      </c>
      <c r="H2423" s="18" t="s">
        <v>7932</v>
      </c>
      <c r="I2423" s="156"/>
      <c r="K2423" s="156" t="s">
        <v>7937</v>
      </c>
      <c r="L2423" s="18" t="s">
        <v>7938</v>
      </c>
      <c r="M2423" s="18" t="s">
        <v>7939</v>
      </c>
      <c r="N2423" s="16">
        <v>0</v>
      </c>
      <c r="O2423" s="16">
        <v>50</v>
      </c>
      <c r="P2423" s="16">
        <v>80</v>
      </c>
      <c r="Q2423" s="16">
        <v>100</v>
      </c>
      <c r="R2423" s="16">
        <v>100</v>
      </c>
      <c r="S2423" s="16">
        <v>100</v>
      </c>
      <c r="T2423" s="18" t="s">
        <v>771</v>
      </c>
      <c r="U2423" t="str">
        <f>VLOOKUP(T2423,[8]Votes!$A$1:$E$234,3,FALSE)</f>
        <v>018 Ministry of Gender, Labour and Social Development</v>
      </c>
      <c r="V2423" s="18" t="s">
        <v>7940</v>
      </c>
      <c r="W2423" s="48">
        <v>1</v>
      </c>
      <c r="X2423" s="48">
        <v>1</v>
      </c>
      <c r="Y2423" s="48">
        <v>1</v>
      </c>
      <c r="Z2423" s="48">
        <v>1</v>
      </c>
      <c r="AA2423" s="48">
        <v>1</v>
      </c>
      <c r="AB2423" s="48">
        <v>1</v>
      </c>
      <c r="AC2423" s="150">
        <v>1</v>
      </c>
      <c r="AD2423" s="150">
        <v>0</v>
      </c>
      <c r="AE2423" s="49">
        <f t="shared" si="125"/>
        <v>0.875</v>
      </c>
      <c r="AF2423" s="255"/>
      <c r="AG2423" s="17">
        <v>0</v>
      </c>
      <c r="AH2423" s="255">
        <v>3.625</v>
      </c>
      <c r="AI2423" s="255">
        <v>2.1749999999999998</v>
      </c>
      <c r="AJ2423" s="255">
        <v>2.1749999999999998</v>
      </c>
      <c r="AK2423" s="256">
        <v>0.14499999999999999</v>
      </c>
      <c r="AL2423" s="256">
        <v>0.14499999999999999</v>
      </c>
      <c r="AM2423" s="17">
        <f t="shared" si="126"/>
        <v>0.28999999999999998</v>
      </c>
      <c r="AN2423" s="18" t="s">
        <v>771</v>
      </c>
      <c r="AO2423" s="18" t="s">
        <v>773</v>
      </c>
      <c r="AP2423" s="18" t="s">
        <v>7941</v>
      </c>
    </row>
    <row r="2424" spans="1:45" s="18" customFormat="1" ht="15" customHeight="1" x14ac:dyDescent="0.3">
      <c r="A2424" s="207" t="s">
        <v>7397</v>
      </c>
      <c r="B2424" s="18" t="s">
        <v>7398</v>
      </c>
      <c r="C2424" s="208" t="s">
        <v>7927</v>
      </c>
      <c r="D2424" s="18" t="s">
        <v>7928</v>
      </c>
      <c r="E2424" s="208" t="s">
        <v>7929</v>
      </c>
      <c r="F2424" s="18" t="s">
        <v>7930</v>
      </c>
      <c r="G2424" s="156" t="s">
        <v>7942</v>
      </c>
      <c r="H2424" s="18" t="s">
        <v>7943</v>
      </c>
      <c r="I2424" s="156"/>
      <c r="K2424" s="156" t="s">
        <v>7944</v>
      </c>
      <c r="L2424" s="18" t="s">
        <v>7945</v>
      </c>
      <c r="M2424" s="18" t="s">
        <v>7946</v>
      </c>
      <c r="N2424" s="16">
        <v>0</v>
      </c>
      <c r="O2424" s="16">
        <v>1</v>
      </c>
      <c r="P2424" s="16">
        <v>1</v>
      </c>
      <c r="Q2424" s="16">
        <v>1</v>
      </c>
      <c r="R2424" s="16">
        <v>1</v>
      </c>
      <c r="S2424" s="16">
        <v>1</v>
      </c>
      <c r="T2424" s="18" t="s">
        <v>1167</v>
      </c>
      <c r="U2424" t="str">
        <f>VLOOKUP(T2424,[8]Votes!$A$1:$E$234,3,FALSE)</f>
        <v>003 Office of the Prime Minister</v>
      </c>
      <c r="V2424" s="18" t="s">
        <v>7947</v>
      </c>
      <c r="W2424" s="48">
        <v>1</v>
      </c>
      <c r="X2424" s="48">
        <v>1</v>
      </c>
      <c r="Y2424" s="48">
        <v>0</v>
      </c>
      <c r="Z2424" s="48">
        <v>1</v>
      </c>
      <c r="AA2424" s="48">
        <v>1</v>
      </c>
      <c r="AB2424" s="48">
        <v>0</v>
      </c>
      <c r="AC2424" s="150">
        <v>1</v>
      </c>
      <c r="AD2424" s="150">
        <v>1</v>
      </c>
      <c r="AE2424" s="49">
        <f t="shared" si="125"/>
        <v>0.75</v>
      </c>
      <c r="AF2424" s="255"/>
      <c r="AG2424" s="17">
        <v>0</v>
      </c>
      <c r="AH2424" s="255">
        <v>10.44</v>
      </c>
      <c r="AI2424" s="255">
        <v>7.82</v>
      </c>
      <c r="AJ2424" s="255">
        <v>7.82</v>
      </c>
      <c r="AK2424" s="256">
        <v>8.82</v>
      </c>
      <c r="AL2424" s="256">
        <v>8.83</v>
      </c>
      <c r="AM2424" s="17">
        <f t="shared" si="126"/>
        <v>17.649999999999999</v>
      </c>
      <c r="AN2424" s="18" t="s">
        <v>1167</v>
      </c>
      <c r="AO2424" s="18" t="s">
        <v>1170</v>
      </c>
    </row>
    <row r="2425" spans="1:45" s="18" customFormat="1" ht="15" customHeight="1" x14ac:dyDescent="0.3">
      <c r="A2425" s="207" t="s">
        <v>7397</v>
      </c>
      <c r="B2425" s="18" t="s">
        <v>7398</v>
      </c>
      <c r="C2425" s="208" t="s">
        <v>7927</v>
      </c>
      <c r="D2425" s="18" t="s">
        <v>7928</v>
      </c>
      <c r="E2425" s="208" t="s">
        <v>7929</v>
      </c>
      <c r="F2425" s="18" t="s">
        <v>7930</v>
      </c>
      <c r="G2425" s="156" t="s">
        <v>7942</v>
      </c>
      <c r="H2425" s="18" t="s">
        <v>7943</v>
      </c>
      <c r="I2425" s="156"/>
      <c r="K2425" s="156" t="s">
        <v>7948</v>
      </c>
      <c r="L2425" s="18" t="s">
        <v>7949</v>
      </c>
      <c r="M2425" s="18" t="s">
        <v>7950</v>
      </c>
      <c r="N2425" s="16">
        <v>0</v>
      </c>
      <c r="O2425" s="16">
        <v>1</v>
      </c>
      <c r="P2425" s="16">
        <v>1</v>
      </c>
      <c r="Q2425" s="16">
        <v>1</v>
      </c>
      <c r="R2425" s="16">
        <v>1</v>
      </c>
      <c r="S2425" s="16">
        <v>1</v>
      </c>
      <c r="T2425" s="18" t="s">
        <v>1167</v>
      </c>
      <c r="U2425" t="str">
        <f>VLOOKUP(T2425,[8]Votes!$A$1:$E$234,3,FALSE)</f>
        <v>003 Office of the Prime Minister</v>
      </c>
      <c r="V2425" s="18" t="s">
        <v>7951</v>
      </c>
      <c r="W2425" s="48">
        <v>1</v>
      </c>
      <c r="X2425" s="48">
        <v>1</v>
      </c>
      <c r="Y2425" s="48">
        <v>0</v>
      </c>
      <c r="Z2425" s="48">
        <v>1</v>
      </c>
      <c r="AA2425" s="48">
        <v>1</v>
      </c>
      <c r="AB2425" s="48">
        <v>0</v>
      </c>
      <c r="AC2425" s="150">
        <v>1</v>
      </c>
      <c r="AD2425" s="150">
        <v>1</v>
      </c>
      <c r="AE2425" s="49">
        <f t="shared" si="125"/>
        <v>0.75</v>
      </c>
      <c r="AF2425" s="176"/>
      <c r="AG2425" s="17">
        <v>0</v>
      </c>
      <c r="AH2425" s="176">
        <v>0</v>
      </c>
      <c r="AI2425" s="176">
        <v>0.15</v>
      </c>
      <c r="AJ2425" s="176">
        <v>0.15</v>
      </c>
      <c r="AK2425" s="177">
        <v>2.15</v>
      </c>
      <c r="AL2425" s="177">
        <v>2.25</v>
      </c>
      <c r="AM2425" s="17">
        <f t="shared" si="126"/>
        <v>4.4000000000000004</v>
      </c>
      <c r="AN2425" s="18" t="s">
        <v>1167</v>
      </c>
      <c r="AO2425" s="18" t="s">
        <v>1170</v>
      </c>
    </row>
    <row r="2426" spans="1:45" s="18" customFormat="1" ht="15" customHeight="1" x14ac:dyDescent="0.3">
      <c r="A2426" s="207" t="s">
        <v>7397</v>
      </c>
      <c r="B2426" s="18" t="s">
        <v>7398</v>
      </c>
      <c r="C2426" s="208" t="s">
        <v>7927</v>
      </c>
      <c r="D2426" s="18" t="s">
        <v>7928</v>
      </c>
      <c r="E2426" s="208" t="s">
        <v>7929</v>
      </c>
      <c r="F2426" s="18" t="s">
        <v>7930</v>
      </c>
      <c r="G2426" s="156" t="s">
        <v>7952</v>
      </c>
      <c r="H2426" s="18" t="s">
        <v>7953</v>
      </c>
      <c r="I2426" s="156"/>
      <c r="K2426" s="156" t="s">
        <v>7954</v>
      </c>
      <c r="L2426" s="18" t="s">
        <v>7955</v>
      </c>
      <c r="M2426" s="18" t="s">
        <v>7956</v>
      </c>
      <c r="N2426" s="16">
        <v>0</v>
      </c>
      <c r="O2426" s="16">
        <v>1</v>
      </c>
      <c r="P2426" s="16">
        <v>1</v>
      </c>
      <c r="Q2426" s="16">
        <v>1</v>
      </c>
      <c r="R2426" s="16">
        <v>1</v>
      </c>
      <c r="S2426" s="16">
        <v>1</v>
      </c>
      <c r="T2426" s="18" t="s">
        <v>1167</v>
      </c>
      <c r="U2426" t="str">
        <f>VLOOKUP(T2426,[8]Votes!$A$1:$E$234,3,FALSE)</f>
        <v>003 Office of the Prime Minister</v>
      </c>
      <c r="V2426" s="18" t="s">
        <v>7957</v>
      </c>
      <c r="W2426" s="48">
        <v>1</v>
      </c>
      <c r="X2426" s="48">
        <v>1</v>
      </c>
      <c r="Y2426" s="48">
        <v>0</v>
      </c>
      <c r="Z2426" s="48">
        <v>1</v>
      </c>
      <c r="AA2426" s="48">
        <v>1</v>
      </c>
      <c r="AB2426" s="48">
        <v>0</v>
      </c>
      <c r="AC2426" s="150">
        <v>1</v>
      </c>
      <c r="AD2426" s="150">
        <v>1</v>
      </c>
      <c r="AE2426" s="49">
        <f t="shared" si="125"/>
        <v>0.75</v>
      </c>
      <c r="AF2426" s="255"/>
      <c r="AG2426" s="17">
        <v>0</v>
      </c>
      <c r="AH2426" s="255">
        <v>0</v>
      </c>
      <c r="AI2426" s="255">
        <v>10.44</v>
      </c>
      <c r="AJ2426" s="255">
        <v>10.44</v>
      </c>
      <c r="AK2426" s="256">
        <v>7.44</v>
      </c>
      <c r="AL2426" s="256">
        <v>7.54</v>
      </c>
      <c r="AM2426" s="17">
        <f t="shared" si="126"/>
        <v>14.98</v>
      </c>
      <c r="AN2426" s="18" t="s">
        <v>1167</v>
      </c>
      <c r="AO2426" s="18" t="s">
        <v>1170</v>
      </c>
      <c r="AP2426" s="18" t="s">
        <v>7958</v>
      </c>
    </row>
    <row r="2427" spans="1:45" s="18" customFormat="1" ht="15" customHeight="1" x14ac:dyDescent="0.3">
      <c r="A2427" s="207" t="s">
        <v>7397</v>
      </c>
      <c r="B2427" s="18" t="s">
        <v>7398</v>
      </c>
      <c r="C2427" s="208" t="s">
        <v>7927</v>
      </c>
      <c r="D2427" s="18" t="s">
        <v>7928</v>
      </c>
      <c r="E2427" s="208" t="s">
        <v>7929</v>
      </c>
      <c r="F2427" s="18" t="s">
        <v>7930</v>
      </c>
      <c r="G2427" s="156" t="s">
        <v>7952</v>
      </c>
      <c r="H2427" s="18" t="s">
        <v>7953</v>
      </c>
      <c r="I2427" s="156"/>
      <c r="K2427" s="156" t="s">
        <v>7954</v>
      </c>
      <c r="L2427" s="18" t="s">
        <v>7955</v>
      </c>
      <c r="N2427" s="16"/>
      <c r="O2427" s="16"/>
      <c r="P2427" s="16"/>
      <c r="Q2427" s="16"/>
      <c r="R2427" s="16"/>
      <c r="S2427" s="16"/>
      <c r="T2427" s="18" t="s">
        <v>1167</v>
      </c>
      <c r="U2427" t="str">
        <f>VLOOKUP(T2427,[8]Votes!$A$1:$E$234,3,FALSE)</f>
        <v>003 Office of the Prime Minister</v>
      </c>
      <c r="V2427" s="18" t="s">
        <v>7959</v>
      </c>
      <c r="W2427" s="48">
        <v>1</v>
      </c>
      <c r="X2427" s="48">
        <v>1</v>
      </c>
      <c r="Y2427" s="48">
        <v>0</v>
      </c>
      <c r="Z2427" s="48">
        <v>1</v>
      </c>
      <c r="AA2427" s="48">
        <v>1</v>
      </c>
      <c r="AB2427" s="48">
        <v>0</v>
      </c>
      <c r="AC2427" s="150">
        <v>1</v>
      </c>
      <c r="AD2427" s="150">
        <v>1</v>
      </c>
      <c r="AE2427" s="49">
        <f t="shared" si="125"/>
        <v>0.75</v>
      </c>
      <c r="AF2427" s="255"/>
      <c r="AG2427" s="17">
        <v>0</v>
      </c>
      <c r="AH2427" s="255">
        <v>0.14499999999999999</v>
      </c>
      <c r="AI2427" s="255">
        <v>0.14499999999999999</v>
      </c>
      <c r="AJ2427" s="255">
        <v>0</v>
      </c>
      <c r="AK2427" s="256">
        <v>2.25</v>
      </c>
      <c r="AL2427" s="256">
        <v>2.35</v>
      </c>
      <c r="AM2427" s="17">
        <f t="shared" si="126"/>
        <v>4.5999999999999996</v>
      </c>
      <c r="AN2427" s="18" t="s">
        <v>1167</v>
      </c>
      <c r="AO2427" s="18" t="s">
        <v>1170</v>
      </c>
    </row>
    <row r="2428" spans="1:45" s="18" customFormat="1" ht="15" customHeight="1" x14ac:dyDescent="0.3">
      <c r="A2428" s="207" t="s">
        <v>7397</v>
      </c>
      <c r="B2428" s="18" t="s">
        <v>7398</v>
      </c>
      <c r="C2428" s="208" t="s">
        <v>7927</v>
      </c>
      <c r="D2428" s="18" t="s">
        <v>7928</v>
      </c>
      <c r="E2428" s="208" t="s">
        <v>7929</v>
      </c>
      <c r="F2428" s="18" t="s">
        <v>7930</v>
      </c>
      <c r="G2428" s="156" t="s">
        <v>7952</v>
      </c>
      <c r="H2428" s="18" t="s">
        <v>7953</v>
      </c>
      <c r="I2428" s="156"/>
      <c r="K2428" s="156" t="s">
        <v>7960</v>
      </c>
      <c r="L2428" s="18" t="s">
        <v>7961</v>
      </c>
      <c r="M2428" s="18" t="s">
        <v>7962</v>
      </c>
      <c r="N2428" s="16">
        <v>0</v>
      </c>
      <c r="O2428" s="16">
        <v>1</v>
      </c>
      <c r="P2428" s="16">
        <v>0</v>
      </c>
      <c r="Q2428" s="16">
        <v>0</v>
      </c>
      <c r="R2428" s="16">
        <v>1</v>
      </c>
      <c r="S2428" s="16">
        <v>0</v>
      </c>
      <c r="T2428" s="18" t="s">
        <v>1167</v>
      </c>
      <c r="U2428" t="str">
        <f>VLOOKUP(T2428,[8]Votes!$A$1:$E$234,3,FALSE)</f>
        <v>003 Office of the Prime Minister</v>
      </c>
      <c r="V2428" s="18" t="s">
        <v>7963</v>
      </c>
      <c r="W2428" s="48">
        <v>1</v>
      </c>
      <c r="X2428" s="48">
        <v>1</v>
      </c>
      <c r="Y2428" s="48">
        <v>0</v>
      </c>
      <c r="Z2428" s="48">
        <v>1</v>
      </c>
      <c r="AA2428" s="48">
        <v>1</v>
      </c>
      <c r="AB2428" s="48">
        <v>0</v>
      </c>
      <c r="AC2428" s="150">
        <v>1</v>
      </c>
      <c r="AD2428" s="150">
        <v>1</v>
      </c>
      <c r="AE2428" s="49">
        <f t="shared" si="125"/>
        <v>0.75</v>
      </c>
      <c r="AF2428" s="255"/>
      <c r="AG2428" s="17">
        <v>0</v>
      </c>
      <c r="AH2428" s="255">
        <v>3.625</v>
      </c>
      <c r="AI2428" s="255">
        <v>3.625</v>
      </c>
      <c r="AJ2428" s="255">
        <v>3.625</v>
      </c>
      <c r="AK2428" s="256">
        <v>6.5</v>
      </c>
      <c r="AL2428" s="256">
        <v>6.5</v>
      </c>
      <c r="AM2428" s="17">
        <f t="shared" si="126"/>
        <v>13</v>
      </c>
      <c r="AN2428" s="18" t="s">
        <v>1167</v>
      </c>
      <c r="AO2428" s="18" t="s">
        <v>1170</v>
      </c>
      <c r="AP2428" s="18" t="s">
        <v>7958</v>
      </c>
    </row>
    <row r="2429" spans="1:45" s="18" customFormat="1" ht="15" hidden="1" customHeight="1" x14ac:dyDescent="0.3">
      <c r="A2429" s="207" t="s">
        <v>7397</v>
      </c>
      <c r="B2429" s="18" t="s">
        <v>7398</v>
      </c>
      <c r="C2429" s="208" t="s">
        <v>7927</v>
      </c>
      <c r="D2429" s="18" t="s">
        <v>7928</v>
      </c>
      <c r="E2429" s="208" t="s">
        <v>7929</v>
      </c>
      <c r="F2429" s="18" t="s">
        <v>7930</v>
      </c>
      <c r="G2429" s="156" t="s">
        <v>7952</v>
      </c>
      <c r="H2429" s="18" t="s">
        <v>7953</v>
      </c>
      <c r="I2429" s="156"/>
      <c r="K2429" s="156" t="s">
        <v>7960</v>
      </c>
      <c r="L2429" s="18" t="s">
        <v>7961</v>
      </c>
      <c r="M2429" s="18" t="s">
        <v>7964</v>
      </c>
      <c r="N2429" s="16">
        <v>0</v>
      </c>
      <c r="O2429" s="16">
        <v>0</v>
      </c>
      <c r="P2429" s="16">
        <v>50</v>
      </c>
      <c r="Q2429" s="16">
        <v>65</v>
      </c>
      <c r="R2429" s="16">
        <v>85</v>
      </c>
      <c r="S2429" s="16">
        <v>100</v>
      </c>
      <c r="T2429" s="18" t="s">
        <v>1167</v>
      </c>
      <c r="U2429" t="str">
        <f>VLOOKUP(T2429,[8]Votes!$A$1:$E$234,3,FALSE)</f>
        <v>003 Office of the Prime Minister</v>
      </c>
      <c r="W2429" s="48"/>
      <c r="X2429" s="48"/>
      <c r="Y2429" s="48"/>
      <c r="Z2429" s="48"/>
      <c r="AA2429" s="48"/>
      <c r="AB2429" s="48"/>
      <c r="AC2429" s="150">
        <v>0</v>
      </c>
      <c r="AD2429" s="150">
        <v>0</v>
      </c>
      <c r="AE2429" s="49">
        <f t="shared" si="125"/>
        <v>0</v>
      </c>
      <c r="AF2429" s="17"/>
      <c r="AG2429" s="17">
        <v>0</v>
      </c>
      <c r="AH2429" s="17"/>
      <c r="AI2429" s="17"/>
      <c r="AJ2429" s="17"/>
      <c r="AK2429" s="154"/>
      <c r="AL2429" s="154"/>
      <c r="AM2429" s="17">
        <f t="shared" si="126"/>
        <v>0</v>
      </c>
    </row>
    <row r="2430" spans="1:45" s="18" customFormat="1" ht="15" customHeight="1" x14ac:dyDescent="0.3">
      <c r="A2430" s="207" t="s">
        <v>7397</v>
      </c>
      <c r="B2430" s="18" t="s">
        <v>7398</v>
      </c>
      <c r="C2430" s="208" t="s">
        <v>7927</v>
      </c>
      <c r="D2430" s="18" t="s">
        <v>7928</v>
      </c>
      <c r="E2430" s="208" t="s">
        <v>7929</v>
      </c>
      <c r="F2430" s="18" t="s">
        <v>7930</v>
      </c>
      <c r="G2430" s="156" t="s">
        <v>7952</v>
      </c>
      <c r="H2430" s="18" t="s">
        <v>7953</v>
      </c>
      <c r="I2430" s="156"/>
      <c r="K2430" s="156" t="s">
        <v>7965</v>
      </c>
      <c r="L2430" s="18" t="s">
        <v>7966</v>
      </c>
      <c r="M2430" s="18" t="s">
        <v>7967</v>
      </c>
      <c r="N2430" s="16">
        <v>0</v>
      </c>
      <c r="O2430" s="16">
        <v>1</v>
      </c>
      <c r="P2430" s="16">
        <v>1</v>
      </c>
      <c r="Q2430" s="16">
        <v>1</v>
      </c>
      <c r="R2430" s="16">
        <v>1</v>
      </c>
      <c r="S2430" s="16">
        <v>1</v>
      </c>
      <c r="T2430" s="18" t="s">
        <v>831</v>
      </c>
      <c r="U2430" t="str">
        <f>VLOOKUP(T2430,[8]Votes!$A$1:$E$234,3,FALSE)</f>
        <v>108 National Planning Authority</v>
      </c>
      <c r="V2430" s="18" t="s">
        <v>7968</v>
      </c>
      <c r="W2430" s="48">
        <v>1</v>
      </c>
      <c r="X2430" s="48">
        <v>1</v>
      </c>
      <c r="Y2430" s="48">
        <v>0</v>
      </c>
      <c r="Z2430" s="48">
        <v>1</v>
      </c>
      <c r="AA2430" s="48">
        <v>1</v>
      </c>
      <c r="AB2430" s="48">
        <v>0</v>
      </c>
      <c r="AC2430" s="150">
        <v>1</v>
      </c>
      <c r="AD2430" s="150">
        <v>1</v>
      </c>
      <c r="AE2430" s="49">
        <f t="shared" si="125"/>
        <v>0.75</v>
      </c>
      <c r="AF2430" s="255"/>
      <c r="AG2430" s="17">
        <v>0</v>
      </c>
      <c r="AH2430" s="255">
        <v>0.14499999999999999</v>
      </c>
      <c r="AI2430" s="255">
        <v>2.1749999999999998</v>
      </c>
      <c r="AJ2430" s="255">
        <v>2.1749999999999998</v>
      </c>
      <c r="AK2430" s="256">
        <v>2.1749999999999998</v>
      </c>
      <c r="AL2430" s="256">
        <v>2.1749999999999998</v>
      </c>
      <c r="AM2430" s="17">
        <f t="shared" si="126"/>
        <v>4.3499999999999996</v>
      </c>
      <c r="AN2430" s="18" t="s">
        <v>831</v>
      </c>
      <c r="AO2430" s="18" t="s">
        <v>834</v>
      </c>
      <c r="AP2430" s="18" t="s">
        <v>982</v>
      </c>
      <c r="AR2430" s="228"/>
    </row>
    <row r="2431" spans="1:45" s="18" customFormat="1" ht="15" customHeight="1" x14ac:dyDescent="0.3">
      <c r="A2431" s="207" t="s">
        <v>7397</v>
      </c>
      <c r="B2431" s="18" t="s">
        <v>7398</v>
      </c>
      <c r="C2431" s="208" t="s">
        <v>7927</v>
      </c>
      <c r="D2431" s="18" t="s">
        <v>7928</v>
      </c>
      <c r="E2431" s="208" t="s">
        <v>7929</v>
      </c>
      <c r="F2431" s="18" t="s">
        <v>7930</v>
      </c>
      <c r="G2431" s="156" t="s">
        <v>7952</v>
      </c>
      <c r="H2431" s="18" t="s">
        <v>7953</v>
      </c>
      <c r="I2431" s="156"/>
      <c r="K2431" s="156" t="s">
        <v>7969</v>
      </c>
      <c r="L2431" s="18" t="s">
        <v>7970</v>
      </c>
      <c r="M2431" s="18" t="s">
        <v>7971</v>
      </c>
      <c r="N2431" s="16">
        <v>18</v>
      </c>
      <c r="O2431" s="16">
        <v>18</v>
      </c>
      <c r="P2431" s="16">
        <v>18</v>
      </c>
      <c r="Q2431" s="16">
        <v>18</v>
      </c>
      <c r="R2431" s="16">
        <v>18</v>
      </c>
      <c r="S2431" s="16">
        <v>18</v>
      </c>
      <c r="T2431" s="18" t="s">
        <v>7972</v>
      </c>
      <c r="U2431" t="e">
        <f>VLOOKUP(T2431,[8]Votes!$A$1:$E$234,3,FALSE)</f>
        <v>#N/A</v>
      </c>
      <c r="V2431" s="18" t="s">
        <v>7973</v>
      </c>
      <c r="W2431" s="48">
        <v>1</v>
      </c>
      <c r="X2431" s="48">
        <v>1</v>
      </c>
      <c r="Y2431" s="48">
        <v>0</v>
      </c>
      <c r="Z2431" s="48">
        <v>1</v>
      </c>
      <c r="AA2431" s="48">
        <v>1</v>
      </c>
      <c r="AB2431" s="48">
        <v>0</v>
      </c>
      <c r="AC2431" s="150">
        <v>1</v>
      </c>
      <c r="AD2431" s="150">
        <v>1</v>
      </c>
      <c r="AE2431" s="49">
        <f t="shared" si="125"/>
        <v>0.75</v>
      </c>
      <c r="AF2431" s="255"/>
      <c r="AG2431" s="17">
        <v>0</v>
      </c>
      <c r="AH2431" s="255">
        <v>131.85722711931891</v>
      </c>
      <c r="AI2431" s="255">
        <v>60.447590960227032</v>
      </c>
      <c r="AJ2431" s="255">
        <v>50.447590960226997</v>
      </c>
      <c r="AK2431" s="256">
        <v>60.447590960227032</v>
      </c>
      <c r="AL2431" s="256">
        <v>88.3</v>
      </c>
      <c r="AM2431" s="17">
        <f t="shared" si="126"/>
        <v>148.74759096022703</v>
      </c>
      <c r="AN2431" s="18" t="s">
        <v>7974</v>
      </c>
      <c r="AO2431" s="18" t="e">
        <v>#N/A</v>
      </c>
    </row>
    <row r="2432" spans="1:45" s="18" customFormat="1" ht="15" customHeight="1" x14ac:dyDescent="0.3">
      <c r="A2432" s="207" t="s">
        <v>7397</v>
      </c>
      <c r="B2432" s="18" t="s">
        <v>7398</v>
      </c>
      <c r="C2432" s="207" t="s">
        <v>7400</v>
      </c>
      <c r="D2432" s="18" t="s">
        <v>7401</v>
      </c>
      <c r="E2432" s="208" t="s">
        <v>7975</v>
      </c>
      <c r="F2432" s="18" t="s">
        <v>7976</v>
      </c>
      <c r="G2432" s="208" t="s">
        <v>7977</v>
      </c>
      <c r="H2432" s="18" t="s">
        <v>7978</v>
      </c>
      <c r="K2432" s="156" t="s">
        <v>7979</v>
      </c>
      <c r="L2432" s="18" t="s">
        <v>7980</v>
      </c>
      <c r="M2432" s="18" t="s">
        <v>7981</v>
      </c>
      <c r="N2432" s="16">
        <v>0</v>
      </c>
      <c r="O2432" s="16">
        <v>1</v>
      </c>
      <c r="P2432" s="16">
        <v>1</v>
      </c>
      <c r="Q2432" s="16">
        <v>1</v>
      </c>
      <c r="R2432" s="16">
        <v>1</v>
      </c>
      <c r="S2432" s="16">
        <v>1</v>
      </c>
      <c r="T2432" s="18" t="s">
        <v>1345</v>
      </c>
      <c r="U2432" t="str">
        <f>VLOOKUP(T2432,[8]Votes!$A$1:$E$234,3,FALSE)</f>
        <v>001 Office of the President</v>
      </c>
      <c r="V2432" s="18" t="s">
        <v>7982</v>
      </c>
      <c r="W2432" s="48">
        <v>1</v>
      </c>
      <c r="X2432" s="48">
        <v>1</v>
      </c>
      <c r="Y2432" s="48">
        <v>0</v>
      </c>
      <c r="Z2432" s="48">
        <v>1</v>
      </c>
      <c r="AA2432" s="48">
        <v>1</v>
      </c>
      <c r="AB2432" s="48">
        <v>0</v>
      </c>
      <c r="AC2432" s="150">
        <v>1</v>
      </c>
      <c r="AD2432" s="150">
        <v>1</v>
      </c>
      <c r="AE2432" s="49">
        <f t="shared" si="125"/>
        <v>0.75</v>
      </c>
      <c r="AF2432" s="255"/>
      <c r="AG2432" s="17">
        <v>0</v>
      </c>
      <c r="AH2432" s="255">
        <v>8.8739999999999988</v>
      </c>
      <c r="AI2432" s="255">
        <v>8.6999999999999993</v>
      </c>
      <c r="AJ2432" s="255">
        <v>8.6999999999999993</v>
      </c>
      <c r="AK2432" s="256">
        <v>8.6999999999999993</v>
      </c>
      <c r="AL2432" s="256">
        <v>8.6999999999999993</v>
      </c>
      <c r="AM2432" s="17">
        <f t="shared" si="126"/>
        <v>17.399999999999999</v>
      </c>
      <c r="AN2432" s="18" t="s">
        <v>1345</v>
      </c>
      <c r="AO2432" s="18" t="s">
        <v>1334</v>
      </c>
      <c r="AS2432" s="228"/>
    </row>
    <row r="2433" spans="1:42" s="18" customFormat="1" ht="15" customHeight="1" x14ac:dyDescent="0.3">
      <c r="A2433" s="207" t="s">
        <v>7397</v>
      </c>
      <c r="B2433" s="18" t="s">
        <v>7398</v>
      </c>
      <c r="C2433" s="207" t="s">
        <v>7400</v>
      </c>
      <c r="D2433" s="18" t="s">
        <v>7401</v>
      </c>
      <c r="E2433" s="208" t="s">
        <v>7975</v>
      </c>
      <c r="F2433" s="18" t="s">
        <v>7976</v>
      </c>
      <c r="G2433" s="208" t="s">
        <v>7977</v>
      </c>
      <c r="H2433" s="18" t="s">
        <v>7978</v>
      </c>
      <c r="K2433" s="156" t="s">
        <v>7983</v>
      </c>
      <c r="L2433" s="18" t="s">
        <v>7984</v>
      </c>
      <c r="M2433" s="18" t="s">
        <v>7985</v>
      </c>
      <c r="N2433" s="16">
        <v>146</v>
      </c>
      <c r="O2433" s="16">
        <v>146</v>
      </c>
      <c r="P2433" s="16">
        <v>146</v>
      </c>
      <c r="Q2433" s="16">
        <v>146</v>
      </c>
      <c r="R2433" s="16">
        <v>146</v>
      </c>
      <c r="S2433" s="16">
        <v>146</v>
      </c>
      <c r="T2433" s="18" t="s">
        <v>1345</v>
      </c>
      <c r="U2433" t="str">
        <f>VLOOKUP(T2433,[8]Votes!$A$1:$E$234,3,FALSE)</f>
        <v>001 Office of the President</v>
      </c>
      <c r="V2433" s="18" t="s">
        <v>7986</v>
      </c>
      <c r="W2433" s="48">
        <v>1</v>
      </c>
      <c r="X2433" s="48">
        <v>1</v>
      </c>
      <c r="Y2433" s="48">
        <v>0</v>
      </c>
      <c r="Z2433" s="48">
        <v>1</v>
      </c>
      <c r="AA2433" s="48">
        <v>1</v>
      </c>
      <c r="AB2433" s="48">
        <v>0</v>
      </c>
      <c r="AC2433" s="150">
        <v>1</v>
      </c>
      <c r="AD2433" s="150">
        <v>1</v>
      </c>
      <c r="AE2433" s="49">
        <f t="shared" si="125"/>
        <v>0.75</v>
      </c>
      <c r="AF2433" s="255"/>
      <c r="AG2433" s="17">
        <v>0</v>
      </c>
      <c r="AH2433" s="255">
        <v>0</v>
      </c>
      <c r="AI2433" s="255">
        <v>41.411999999999999</v>
      </c>
      <c r="AJ2433" s="255">
        <v>62.988</v>
      </c>
      <c r="AK2433" s="256">
        <v>12</v>
      </c>
      <c r="AL2433" s="256">
        <v>12.5</v>
      </c>
      <c r="AM2433" s="17">
        <f t="shared" si="126"/>
        <v>24.5</v>
      </c>
      <c r="AN2433" s="18" t="s">
        <v>1345</v>
      </c>
      <c r="AO2433" s="18" t="s">
        <v>1334</v>
      </c>
      <c r="AP2433" s="18" t="s">
        <v>982</v>
      </c>
    </row>
    <row r="2434" spans="1:42" s="18" customFormat="1" ht="15" customHeight="1" x14ac:dyDescent="0.3">
      <c r="A2434" s="207" t="s">
        <v>7397</v>
      </c>
      <c r="B2434" s="18" t="s">
        <v>7398</v>
      </c>
      <c r="C2434" s="207" t="s">
        <v>7400</v>
      </c>
      <c r="D2434" s="18" t="s">
        <v>7401</v>
      </c>
      <c r="E2434" s="208" t="s">
        <v>7975</v>
      </c>
      <c r="F2434" s="18" t="s">
        <v>7976</v>
      </c>
      <c r="G2434" s="208" t="s">
        <v>7977</v>
      </c>
      <c r="H2434" s="18" t="s">
        <v>7978</v>
      </c>
      <c r="K2434" s="156" t="s">
        <v>7987</v>
      </c>
      <c r="L2434" s="18" t="s">
        <v>7988</v>
      </c>
      <c r="M2434" s="18" t="s">
        <v>7989</v>
      </c>
      <c r="N2434" s="16">
        <v>1</v>
      </c>
      <c r="O2434" s="16">
        <v>1</v>
      </c>
      <c r="P2434" s="16">
        <v>1</v>
      </c>
      <c r="Q2434" s="16">
        <v>1</v>
      </c>
      <c r="R2434" s="16">
        <v>1</v>
      </c>
      <c r="S2434" s="16">
        <v>1</v>
      </c>
      <c r="T2434" s="18" t="s">
        <v>1345</v>
      </c>
      <c r="U2434" t="str">
        <f>VLOOKUP(T2434,[8]Votes!$A$1:$E$234,3,FALSE)</f>
        <v>001 Office of the President</v>
      </c>
      <c r="V2434" s="18" t="s">
        <v>7990</v>
      </c>
      <c r="W2434" s="48">
        <v>1</v>
      </c>
      <c r="X2434" s="48">
        <v>1</v>
      </c>
      <c r="Y2434" s="48">
        <v>0</v>
      </c>
      <c r="Z2434" s="48">
        <v>1</v>
      </c>
      <c r="AA2434" s="48">
        <v>1</v>
      </c>
      <c r="AB2434" s="48">
        <v>0</v>
      </c>
      <c r="AC2434" s="150">
        <v>1</v>
      </c>
      <c r="AD2434" s="150">
        <v>1</v>
      </c>
      <c r="AE2434" s="49">
        <f t="shared" si="125"/>
        <v>0.75</v>
      </c>
      <c r="AF2434" s="255"/>
      <c r="AG2434" s="17">
        <v>0</v>
      </c>
      <c r="AH2434" s="255">
        <v>5.3650000000000002</v>
      </c>
      <c r="AI2434" s="255">
        <v>5.3650000000000002</v>
      </c>
      <c r="AJ2434" s="255">
        <v>5.3650000000000002</v>
      </c>
      <c r="AK2434" s="256">
        <v>5.3650000000000002</v>
      </c>
      <c r="AL2434" s="256">
        <v>5.3650000000000002</v>
      </c>
      <c r="AM2434" s="17">
        <f t="shared" si="126"/>
        <v>10.73</v>
      </c>
      <c r="AN2434" s="18" t="s">
        <v>1345</v>
      </c>
      <c r="AO2434" s="18" t="s">
        <v>1334</v>
      </c>
      <c r="AP2434" s="18" t="s">
        <v>982</v>
      </c>
    </row>
    <row r="2435" spans="1:42" s="18" customFormat="1" ht="15" hidden="1" customHeight="1" x14ac:dyDescent="0.3">
      <c r="A2435" s="207" t="s">
        <v>7397</v>
      </c>
      <c r="B2435" s="18" t="s">
        <v>7398</v>
      </c>
      <c r="C2435" s="207" t="s">
        <v>7400</v>
      </c>
      <c r="D2435" s="18" t="s">
        <v>7401</v>
      </c>
      <c r="E2435" s="208" t="s">
        <v>7975</v>
      </c>
      <c r="F2435" s="18" t="s">
        <v>7976</v>
      </c>
      <c r="G2435" s="208" t="s">
        <v>7977</v>
      </c>
      <c r="H2435" s="18" t="s">
        <v>7978</v>
      </c>
      <c r="K2435" s="156" t="s">
        <v>7991</v>
      </c>
      <c r="L2435" s="18" t="s">
        <v>7992</v>
      </c>
      <c r="M2435" s="18" t="s">
        <v>7993</v>
      </c>
      <c r="N2435" s="16">
        <v>0</v>
      </c>
      <c r="O2435" s="16">
        <v>0</v>
      </c>
      <c r="P2435" s="16">
        <v>1</v>
      </c>
      <c r="Q2435" s="16">
        <v>0</v>
      </c>
      <c r="R2435" s="16">
        <v>0</v>
      </c>
      <c r="S2435" s="16">
        <v>0</v>
      </c>
      <c r="T2435" s="18" t="s">
        <v>1345</v>
      </c>
      <c r="U2435" t="str">
        <f>VLOOKUP(T2435,[8]Votes!$A$1:$E$234,3,FALSE)</f>
        <v>001 Office of the President</v>
      </c>
      <c r="V2435" s="18" t="s">
        <v>7994</v>
      </c>
      <c r="W2435" s="48">
        <v>0</v>
      </c>
      <c r="X2435" s="48">
        <v>0</v>
      </c>
      <c r="Y2435" s="48">
        <v>0</v>
      </c>
      <c r="Z2435" s="48">
        <v>1</v>
      </c>
      <c r="AA2435" s="48">
        <v>0</v>
      </c>
      <c r="AB2435" s="48">
        <v>0</v>
      </c>
      <c r="AC2435" s="150">
        <v>1</v>
      </c>
      <c r="AD2435" s="150">
        <v>1</v>
      </c>
      <c r="AE2435" s="49">
        <f t="shared" si="125"/>
        <v>0.375</v>
      </c>
      <c r="AF2435" s="255"/>
      <c r="AG2435" s="17">
        <v>0</v>
      </c>
      <c r="AH2435" s="255">
        <v>0</v>
      </c>
      <c r="AI2435" s="255">
        <v>0.87</v>
      </c>
      <c r="AJ2435" s="255">
        <v>0</v>
      </c>
      <c r="AK2435" s="256">
        <v>0.3</v>
      </c>
      <c r="AL2435" s="256">
        <v>0.3</v>
      </c>
      <c r="AM2435" s="17">
        <f t="shared" si="126"/>
        <v>0.6</v>
      </c>
      <c r="AN2435" s="18" t="s">
        <v>1345</v>
      </c>
      <c r="AO2435" s="18" t="s">
        <v>1334</v>
      </c>
    </row>
    <row r="2436" spans="1:42" s="18" customFormat="1" hidden="1" x14ac:dyDescent="0.3">
      <c r="A2436" s="207" t="s">
        <v>7397</v>
      </c>
      <c r="B2436" s="18" t="s">
        <v>7398</v>
      </c>
      <c r="C2436" s="207" t="s">
        <v>7400</v>
      </c>
      <c r="D2436" s="18" t="s">
        <v>7401</v>
      </c>
      <c r="E2436" s="208" t="s">
        <v>7975</v>
      </c>
      <c r="F2436" s="18" t="s">
        <v>7976</v>
      </c>
      <c r="G2436" s="208" t="s">
        <v>7977</v>
      </c>
      <c r="H2436" s="18" t="s">
        <v>7978</v>
      </c>
      <c r="K2436" s="156" t="s">
        <v>7995</v>
      </c>
      <c r="L2436" s="18" t="s">
        <v>7996</v>
      </c>
      <c r="M2436" s="18" t="s">
        <v>7997</v>
      </c>
      <c r="N2436" s="16">
        <v>0</v>
      </c>
      <c r="O2436" s="16">
        <v>0</v>
      </c>
      <c r="P2436" s="16">
        <v>1</v>
      </c>
      <c r="Q2436" s="16">
        <v>0</v>
      </c>
      <c r="R2436" s="16">
        <v>0</v>
      </c>
      <c r="S2436" s="16">
        <v>0</v>
      </c>
      <c r="T2436" s="18" t="s">
        <v>1345</v>
      </c>
      <c r="U2436" t="str">
        <f>VLOOKUP(T2436,[8]Votes!$A$1:$E$234,3,FALSE)</f>
        <v>001 Office of the President</v>
      </c>
      <c r="V2436" s="18" t="s">
        <v>7998</v>
      </c>
      <c r="W2436" s="48">
        <v>0</v>
      </c>
      <c r="X2436" s="48">
        <v>0</v>
      </c>
      <c r="Y2436" s="48">
        <v>0</v>
      </c>
      <c r="Z2436" s="48">
        <v>1</v>
      </c>
      <c r="AA2436" s="48">
        <v>1</v>
      </c>
      <c r="AB2436" s="48">
        <v>0</v>
      </c>
      <c r="AC2436" s="150">
        <v>1</v>
      </c>
      <c r="AD2436" s="150">
        <v>1</v>
      </c>
      <c r="AE2436" s="49">
        <f t="shared" si="125"/>
        <v>0.5</v>
      </c>
      <c r="AF2436" s="255"/>
      <c r="AG2436" s="17">
        <v>0</v>
      </c>
      <c r="AH2436" s="255">
        <v>0</v>
      </c>
      <c r="AI2436" s="255">
        <v>1.45</v>
      </c>
      <c r="AJ2436" s="255">
        <v>0</v>
      </c>
      <c r="AK2436" s="256">
        <v>0</v>
      </c>
      <c r="AL2436" s="256">
        <v>0</v>
      </c>
      <c r="AM2436" s="17">
        <f t="shared" si="126"/>
        <v>0</v>
      </c>
      <c r="AN2436" s="18" t="s">
        <v>1345</v>
      </c>
      <c r="AO2436" s="18" t="s">
        <v>1334</v>
      </c>
    </row>
    <row r="2437" spans="1:42" s="18" customFormat="1" ht="15" customHeight="1" x14ac:dyDescent="0.3">
      <c r="A2437" s="207" t="s">
        <v>7397</v>
      </c>
      <c r="B2437" s="18" t="s">
        <v>7398</v>
      </c>
      <c r="C2437" s="208" t="s">
        <v>7927</v>
      </c>
      <c r="D2437" s="18" t="s">
        <v>7928</v>
      </c>
      <c r="E2437" s="156" t="s">
        <v>7999</v>
      </c>
      <c r="F2437" s="18" t="s">
        <v>7976</v>
      </c>
      <c r="G2437" s="156" t="s">
        <v>8000</v>
      </c>
      <c r="H2437" s="18" t="s">
        <v>8001</v>
      </c>
      <c r="I2437" s="156"/>
      <c r="K2437" s="156" t="s">
        <v>8002</v>
      </c>
      <c r="L2437" s="18" t="s">
        <v>8003</v>
      </c>
      <c r="M2437" s="18" t="s">
        <v>8004</v>
      </c>
      <c r="N2437" s="16">
        <v>0</v>
      </c>
      <c r="O2437" s="16">
        <v>0</v>
      </c>
      <c r="P2437" s="16">
        <v>1</v>
      </c>
      <c r="Q2437" s="16">
        <v>1</v>
      </c>
      <c r="R2437" s="16">
        <v>0</v>
      </c>
      <c r="S2437" s="16">
        <v>0</v>
      </c>
      <c r="T2437" s="18" t="s">
        <v>7752</v>
      </c>
      <c r="U2437" t="str">
        <f>VLOOKUP(T2437,[8]Votes!$A$1:$E$234,3,FALSE)</f>
        <v>104 Parliamentary Commission</v>
      </c>
      <c r="V2437" s="18" t="s">
        <v>8005</v>
      </c>
      <c r="W2437" s="48">
        <v>1</v>
      </c>
      <c r="X2437" s="48">
        <v>1</v>
      </c>
      <c r="Y2437" s="48">
        <v>0</v>
      </c>
      <c r="Z2437" s="48">
        <v>1</v>
      </c>
      <c r="AA2437" s="48">
        <v>1</v>
      </c>
      <c r="AB2437" s="48">
        <v>0</v>
      </c>
      <c r="AC2437" s="150">
        <v>1</v>
      </c>
      <c r="AD2437" s="150">
        <v>1</v>
      </c>
      <c r="AE2437" s="49">
        <f t="shared" si="125"/>
        <v>0.75</v>
      </c>
      <c r="AF2437" s="255"/>
      <c r="AG2437" s="17">
        <v>0</v>
      </c>
      <c r="AH2437" s="255">
        <v>0</v>
      </c>
      <c r="AI2437" s="255">
        <v>0.435</v>
      </c>
      <c r="AJ2437" s="255">
        <v>0.14499999999999999</v>
      </c>
      <c r="AK2437" s="256">
        <v>0</v>
      </c>
      <c r="AL2437" s="256">
        <v>0</v>
      </c>
      <c r="AM2437" s="17">
        <f t="shared" si="126"/>
        <v>0</v>
      </c>
      <c r="AN2437" s="18" t="s">
        <v>4195</v>
      </c>
      <c r="AO2437" s="18" t="s">
        <v>4196</v>
      </c>
    </row>
    <row r="2438" spans="1:42" s="18" customFormat="1" ht="15" customHeight="1" x14ac:dyDescent="0.3">
      <c r="A2438" s="207" t="s">
        <v>7397</v>
      </c>
      <c r="B2438" s="18" t="s">
        <v>7398</v>
      </c>
      <c r="C2438" s="208" t="s">
        <v>7927</v>
      </c>
      <c r="D2438" s="18" t="s">
        <v>7928</v>
      </c>
      <c r="E2438" s="156" t="s">
        <v>7999</v>
      </c>
      <c r="F2438" s="18" t="s">
        <v>7976</v>
      </c>
      <c r="G2438" s="156" t="s">
        <v>8006</v>
      </c>
      <c r="H2438" s="18" t="s">
        <v>8007</v>
      </c>
      <c r="K2438" s="156" t="s">
        <v>8008</v>
      </c>
      <c r="L2438" s="18" t="s">
        <v>8009</v>
      </c>
      <c r="M2438" s="18" t="s">
        <v>8010</v>
      </c>
      <c r="N2438" s="16">
        <v>0</v>
      </c>
      <c r="O2438" s="16">
        <v>1</v>
      </c>
      <c r="P2438" s="16">
        <v>0</v>
      </c>
      <c r="Q2438" s="16">
        <v>0</v>
      </c>
      <c r="R2438" s="16">
        <v>0</v>
      </c>
      <c r="S2438" s="16">
        <v>0</v>
      </c>
      <c r="T2438" s="18" t="s">
        <v>831</v>
      </c>
      <c r="U2438" t="str">
        <f>VLOOKUP(T2438,[8]Votes!$A$1:$E$234,3,FALSE)</f>
        <v>108 National Planning Authority</v>
      </c>
      <c r="V2438" s="18" t="s">
        <v>8011</v>
      </c>
      <c r="W2438" s="48">
        <v>1</v>
      </c>
      <c r="X2438" s="48">
        <v>1</v>
      </c>
      <c r="Y2438" s="48">
        <v>0</v>
      </c>
      <c r="Z2438" s="48">
        <v>1</v>
      </c>
      <c r="AA2438" s="48">
        <v>1</v>
      </c>
      <c r="AB2438" s="48">
        <v>0</v>
      </c>
      <c r="AC2438" s="150">
        <v>1</v>
      </c>
      <c r="AD2438" s="150">
        <v>1</v>
      </c>
      <c r="AE2438" s="49">
        <f t="shared" si="125"/>
        <v>0.75</v>
      </c>
      <c r="AF2438" s="255"/>
      <c r="AG2438" s="17">
        <v>0</v>
      </c>
      <c r="AH2438" s="255">
        <v>0</v>
      </c>
      <c r="AI2438" s="255">
        <v>2.9</v>
      </c>
      <c r="AJ2438" s="255">
        <v>2.9</v>
      </c>
      <c r="AK2438" s="256">
        <v>2.9</v>
      </c>
      <c r="AL2438" s="256">
        <v>2.9</v>
      </c>
      <c r="AM2438" s="17">
        <f t="shared" si="126"/>
        <v>5.8</v>
      </c>
      <c r="AN2438" s="18" t="s">
        <v>831</v>
      </c>
      <c r="AO2438" s="18" t="s">
        <v>834</v>
      </c>
      <c r="AP2438" s="18" t="s">
        <v>982</v>
      </c>
    </row>
    <row r="2439" spans="1:42" s="18" customFormat="1" ht="15" hidden="1" customHeight="1" x14ac:dyDescent="0.3">
      <c r="A2439" s="207" t="s">
        <v>7397</v>
      </c>
      <c r="B2439" s="18" t="s">
        <v>7398</v>
      </c>
      <c r="C2439" s="208" t="s">
        <v>7927</v>
      </c>
      <c r="D2439" s="18" t="s">
        <v>7928</v>
      </c>
      <c r="E2439" s="156" t="s">
        <v>7999</v>
      </c>
      <c r="F2439" s="18" t="s">
        <v>7976</v>
      </c>
      <c r="G2439" s="156" t="s">
        <v>8006</v>
      </c>
      <c r="H2439" s="18" t="s">
        <v>8007</v>
      </c>
      <c r="K2439" s="156" t="s">
        <v>8008</v>
      </c>
      <c r="L2439" s="18" t="s">
        <v>8009</v>
      </c>
      <c r="M2439" s="18" t="s">
        <v>8012</v>
      </c>
      <c r="N2439" s="16">
        <v>0</v>
      </c>
      <c r="O2439" s="16">
        <v>0</v>
      </c>
      <c r="P2439" s="16">
        <v>30</v>
      </c>
      <c r="Q2439" s="16">
        <v>50</v>
      </c>
      <c r="R2439" s="16">
        <v>75</v>
      </c>
      <c r="S2439" s="16">
        <v>100</v>
      </c>
      <c r="T2439" s="18" t="s">
        <v>831</v>
      </c>
      <c r="U2439" t="str">
        <f>VLOOKUP(T2439,[8]Votes!$A$1:$E$234,3,FALSE)</f>
        <v>108 National Planning Authority</v>
      </c>
      <c r="W2439" s="48"/>
      <c r="X2439" s="48"/>
      <c r="Y2439" s="48"/>
      <c r="Z2439" s="48"/>
      <c r="AA2439" s="48"/>
      <c r="AB2439" s="48"/>
      <c r="AC2439" s="150">
        <v>0</v>
      </c>
      <c r="AD2439" s="150">
        <v>0</v>
      </c>
      <c r="AE2439" s="49">
        <f t="shared" si="125"/>
        <v>0</v>
      </c>
      <c r="AF2439" s="17"/>
      <c r="AG2439" s="17">
        <v>0</v>
      </c>
      <c r="AH2439" s="17"/>
      <c r="AI2439" s="17"/>
      <c r="AJ2439" s="17"/>
      <c r="AK2439" s="154"/>
      <c r="AL2439" s="154"/>
      <c r="AM2439" s="17">
        <f t="shared" si="126"/>
        <v>0</v>
      </c>
    </row>
    <row r="2440" spans="1:42" s="18" customFormat="1" ht="15" customHeight="1" x14ac:dyDescent="0.3">
      <c r="A2440" s="207" t="s">
        <v>7397</v>
      </c>
      <c r="B2440" s="18" t="s">
        <v>7398</v>
      </c>
      <c r="C2440" s="208" t="s">
        <v>7927</v>
      </c>
      <c r="D2440" s="18" t="s">
        <v>7928</v>
      </c>
      <c r="E2440" s="156" t="s">
        <v>7999</v>
      </c>
      <c r="F2440" s="18" t="s">
        <v>7976</v>
      </c>
      <c r="G2440" s="156" t="s">
        <v>8013</v>
      </c>
      <c r="H2440" s="18" t="s">
        <v>8014</v>
      </c>
      <c r="K2440" s="156" t="s">
        <v>8015</v>
      </c>
      <c r="L2440" s="18" t="s">
        <v>8016</v>
      </c>
      <c r="M2440" s="18" t="s">
        <v>8017</v>
      </c>
      <c r="N2440" s="16">
        <v>0</v>
      </c>
      <c r="O2440" s="16">
        <v>1</v>
      </c>
      <c r="P2440" s="16">
        <v>1</v>
      </c>
      <c r="Q2440" s="16">
        <v>1</v>
      </c>
      <c r="R2440" s="16">
        <v>1</v>
      </c>
      <c r="S2440" s="16">
        <v>1</v>
      </c>
      <c r="T2440" s="10" t="s">
        <v>1345</v>
      </c>
      <c r="U2440" t="str">
        <f>VLOOKUP(T2440,[8]Votes!$A$1:$E$234,3,FALSE)</f>
        <v>001 Office of the President</v>
      </c>
      <c r="V2440" t="s">
        <v>8018</v>
      </c>
      <c r="W2440" s="45">
        <v>1</v>
      </c>
      <c r="X2440" s="45">
        <v>1</v>
      </c>
      <c r="Y2440" s="45">
        <v>0</v>
      </c>
      <c r="Z2440" s="45">
        <v>1</v>
      </c>
      <c r="AA2440" s="45">
        <v>1</v>
      </c>
      <c r="AB2440" s="45">
        <v>0</v>
      </c>
      <c r="AC2440" s="150">
        <v>1</v>
      </c>
      <c r="AD2440" s="150">
        <v>1</v>
      </c>
      <c r="AE2440" s="49">
        <f t="shared" si="125"/>
        <v>0.75</v>
      </c>
      <c r="AF2440" s="362"/>
      <c r="AG2440" s="17">
        <v>0</v>
      </c>
      <c r="AH2440" s="362">
        <v>0</v>
      </c>
      <c r="AI2440" s="362">
        <v>2.1749999999999998</v>
      </c>
      <c r="AJ2440" s="362">
        <v>1.45</v>
      </c>
      <c r="AK2440" s="363">
        <v>1.45</v>
      </c>
      <c r="AL2440" s="363">
        <v>1.45</v>
      </c>
      <c r="AM2440" s="17">
        <f t="shared" si="126"/>
        <v>2.9</v>
      </c>
      <c r="AN2440" s="10" t="s">
        <v>1345</v>
      </c>
      <c r="AO2440" s="18" t="s">
        <v>1334</v>
      </c>
      <c r="AP2440"/>
    </row>
    <row r="2441" spans="1:42" s="18" customFormat="1" ht="15" customHeight="1" x14ac:dyDescent="0.3">
      <c r="A2441" s="207" t="s">
        <v>7397</v>
      </c>
      <c r="B2441" s="18" t="s">
        <v>7398</v>
      </c>
      <c r="C2441" s="208" t="s">
        <v>7927</v>
      </c>
      <c r="D2441" s="18" t="s">
        <v>7928</v>
      </c>
      <c r="E2441" s="156" t="s">
        <v>7999</v>
      </c>
      <c r="F2441" s="18" t="s">
        <v>7976</v>
      </c>
      <c r="G2441" s="156" t="s">
        <v>8013</v>
      </c>
      <c r="H2441" s="18" t="s">
        <v>8014</v>
      </c>
      <c r="I2441" s="156"/>
      <c r="K2441" s="156" t="s">
        <v>8015</v>
      </c>
      <c r="L2441" s="18" t="s">
        <v>8019</v>
      </c>
      <c r="M2441" s="18" t="s">
        <v>8020</v>
      </c>
      <c r="N2441" s="16">
        <v>0</v>
      </c>
      <c r="O2441" s="16">
        <v>0</v>
      </c>
      <c r="P2441" s="16">
        <v>1</v>
      </c>
      <c r="Q2441" s="16">
        <v>1</v>
      </c>
      <c r="R2441" s="16">
        <v>1</v>
      </c>
      <c r="S2441" s="16">
        <v>1</v>
      </c>
      <c r="T2441" s="18" t="s">
        <v>831</v>
      </c>
      <c r="U2441" t="str">
        <f>VLOOKUP(T2441,[8]Votes!$A$1:$E$234,3,FALSE)</f>
        <v>108 National Planning Authority</v>
      </c>
      <c r="V2441" s="18" t="s">
        <v>8021</v>
      </c>
      <c r="W2441" s="48">
        <v>1</v>
      </c>
      <c r="X2441" s="48">
        <v>1</v>
      </c>
      <c r="Y2441" s="48">
        <v>0</v>
      </c>
      <c r="Z2441" s="48">
        <v>1</v>
      </c>
      <c r="AA2441" s="48">
        <v>1</v>
      </c>
      <c r="AB2441" s="48">
        <v>0</v>
      </c>
      <c r="AC2441" s="150">
        <v>1</v>
      </c>
      <c r="AD2441" s="150">
        <v>1</v>
      </c>
      <c r="AE2441" s="49">
        <f t="shared" si="125"/>
        <v>0.75</v>
      </c>
      <c r="AF2441" s="255"/>
      <c r="AG2441" s="17">
        <v>0</v>
      </c>
      <c r="AH2441" s="255">
        <v>6.5249999999999995</v>
      </c>
      <c r="AI2441" s="255">
        <v>6.5249999999999995</v>
      </c>
      <c r="AJ2441" s="255">
        <v>1.74</v>
      </c>
      <c r="AK2441" s="256">
        <v>1.74</v>
      </c>
      <c r="AL2441" s="256">
        <v>1.74</v>
      </c>
      <c r="AM2441" s="17">
        <f t="shared" si="126"/>
        <v>3.48</v>
      </c>
      <c r="AN2441" s="18" t="s">
        <v>831</v>
      </c>
      <c r="AO2441" s="18" t="s">
        <v>834</v>
      </c>
      <c r="AP2441" s="18" t="s">
        <v>982</v>
      </c>
    </row>
    <row r="2442" spans="1:42" s="18" customFormat="1" ht="15" hidden="1" customHeight="1" x14ac:dyDescent="0.3">
      <c r="A2442" s="207" t="s">
        <v>7397</v>
      </c>
      <c r="B2442" s="18" t="s">
        <v>7398</v>
      </c>
      <c r="C2442" s="208" t="s">
        <v>7927</v>
      </c>
      <c r="D2442" s="18" t="s">
        <v>7928</v>
      </c>
      <c r="E2442" s="156" t="s">
        <v>7999</v>
      </c>
      <c r="F2442" s="18" t="s">
        <v>7976</v>
      </c>
      <c r="G2442" s="156" t="s">
        <v>8013</v>
      </c>
      <c r="H2442" s="18" t="s">
        <v>8014</v>
      </c>
      <c r="I2442" s="156"/>
      <c r="K2442" s="156" t="s">
        <v>8015</v>
      </c>
      <c r="L2442" s="18" t="s">
        <v>8019</v>
      </c>
      <c r="M2442" s="18" t="s">
        <v>8022</v>
      </c>
      <c r="N2442" s="16">
        <v>0</v>
      </c>
      <c r="O2442" s="16">
        <v>0</v>
      </c>
      <c r="P2442" s="16">
        <v>1</v>
      </c>
      <c r="Q2442" s="16">
        <v>1</v>
      </c>
      <c r="R2442" s="16">
        <v>1</v>
      </c>
      <c r="S2442" s="16">
        <v>1</v>
      </c>
      <c r="T2442" s="18" t="s">
        <v>831</v>
      </c>
      <c r="U2442" t="str">
        <f>VLOOKUP(T2442,[8]Votes!$A$1:$E$234,3,FALSE)</f>
        <v>108 National Planning Authority</v>
      </c>
      <c r="W2442" s="48"/>
      <c r="X2442" s="48"/>
      <c r="Y2442" s="48"/>
      <c r="Z2442" s="48"/>
      <c r="AA2442" s="48"/>
      <c r="AB2442" s="48"/>
      <c r="AC2442" s="150">
        <v>0</v>
      </c>
      <c r="AD2442" s="150">
        <v>0</v>
      </c>
      <c r="AE2442" s="49">
        <f t="shared" si="125"/>
        <v>0</v>
      </c>
      <c r="AF2442" s="17"/>
      <c r="AG2442" s="17">
        <v>0</v>
      </c>
      <c r="AH2442" s="17"/>
      <c r="AI2442" s="17"/>
      <c r="AJ2442" s="17"/>
      <c r="AK2442" s="154"/>
      <c r="AL2442" s="154"/>
      <c r="AM2442" s="17">
        <f t="shared" si="126"/>
        <v>0</v>
      </c>
    </row>
    <row r="2443" spans="1:42" s="18" customFormat="1" ht="15" hidden="1" customHeight="1" x14ac:dyDescent="0.3">
      <c r="A2443" s="207" t="s">
        <v>7397</v>
      </c>
      <c r="B2443" s="18" t="s">
        <v>7398</v>
      </c>
      <c r="C2443" s="208" t="s">
        <v>7927</v>
      </c>
      <c r="D2443" s="18" t="s">
        <v>7928</v>
      </c>
      <c r="E2443" s="156" t="s">
        <v>7999</v>
      </c>
      <c r="F2443" s="18" t="s">
        <v>7976</v>
      </c>
      <c r="G2443" s="156" t="s">
        <v>8013</v>
      </c>
      <c r="H2443" s="18" t="s">
        <v>8014</v>
      </c>
      <c r="I2443" s="156"/>
      <c r="K2443" s="156" t="s">
        <v>8023</v>
      </c>
      <c r="L2443" s="18" t="s">
        <v>8024</v>
      </c>
      <c r="M2443" s="18" t="s">
        <v>8025</v>
      </c>
      <c r="N2443" s="16">
        <v>1</v>
      </c>
      <c r="O2443" s="16">
        <v>1</v>
      </c>
      <c r="P2443" s="16">
        <v>1</v>
      </c>
      <c r="Q2443" s="16">
        <v>1</v>
      </c>
      <c r="R2443" s="16">
        <v>1</v>
      </c>
      <c r="S2443" s="16">
        <v>1</v>
      </c>
      <c r="T2443" s="18" t="s">
        <v>831</v>
      </c>
      <c r="U2443" t="str">
        <f>VLOOKUP(T2443,[8]Votes!$A$1:$E$234,3,FALSE)</f>
        <v>108 National Planning Authority</v>
      </c>
      <c r="W2443" s="48"/>
      <c r="X2443" s="48"/>
      <c r="Y2443" s="48"/>
      <c r="Z2443" s="48"/>
      <c r="AA2443" s="48"/>
      <c r="AB2443" s="48"/>
      <c r="AC2443" s="150">
        <v>0</v>
      </c>
      <c r="AD2443" s="150">
        <v>0</v>
      </c>
      <c r="AE2443" s="49">
        <f t="shared" si="125"/>
        <v>0</v>
      </c>
      <c r="AF2443" s="17"/>
      <c r="AG2443" s="17">
        <v>0</v>
      </c>
      <c r="AH2443" s="17"/>
      <c r="AI2443" s="17"/>
      <c r="AJ2443" s="17"/>
      <c r="AK2443" s="154"/>
      <c r="AL2443" s="154"/>
      <c r="AM2443" s="17">
        <f t="shared" si="126"/>
        <v>0</v>
      </c>
    </row>
    <row r="2444" spans="1:42" s="18" customFormat="1" ht="15" customHeight="1" x14ac:dyDescent="0.3">
      <c r="A2444" s="207" t="s">
        <v>7397</v>
      </c>
      <c r="B2444" s="18" t="s">
        <v>7398</v>
      </c>
      <c r="C2444" s="208" t="s">
        <v>7927</v>
      </c>
      <c r="D2444" s="18" t="s">
        <v>7928</v>
      </c>
      <c r="E2444" s="156" t="s">
        <v>7999</v>
      </c>
      <c r="F2444" s="18" t="s">
        <v>7976</v>
      </c>
      <c r="G2444" s="156" t="s">
        <v>8013</v>
      </c>
      <c r="H2444" s="18" t="s">
        <v>8014</v>
      </c>
      <c r="I2444" s="156"/>
      <c r="K2444" s="156" t="s">
        <v>8026</v>
      </c>
      <c r="L2444" s="18" t="s">
        <v>8027</v>
      </c>
      <c r="M2444" s="18" t="s">
        <v>8028</v>
      </c>
      <c r="N2444" s="16">
        <v>0</v>
      </c>
      <c r="O2444" s="16">
        <v>1</v>
      </c>
      <c r="P2444" s="16">
        <v>0</v>
      </c>
      <c r="Q2444" s="16">
        <v>0</v>
      </c>
      <c r="R2444" s="16">
        <v>1</v>
      </c>
      <c r="S2444" s="16">
        <v>0</v>
      </c>
      <c r="T2444" s="18" t="s">
        <v>1167</v>
      </c>
      <c r="U2444" t="str">
        <f>VLOOKUP(T2444,[8]Votes!$A$1:$E$234,3,FALSE)</f>
        <v>003 Office of the Prime Minister</v>
      </c>
      <c r="V2444" s="18" t="s">
        <v>8029</v>
      </c>
      <c r="W2444" s="48">
        <v>1</v>
      </c>
      <c r="X2444" s="48">
        <v>1</v>
      </c>
      <c r="Y2444" s="48">
        <v>0</v>
      </c>
      <c r="Z2444" s="48">
        <v>1</v>
      </c>
      <c r="AA2444" s="48">
        <v>1</v>
      </c>
      <c r="AB2444" s="48">
        <v>0</v>
      </c>
      <c r="AC2444" s="150">
        <v>1</v>
      </c>
      <c r="AD2444" s="150">
        <v>1</v>
      </c>
      <c r="AE2444" s="49">
        <f t="shared" si="125"/>
        <v>0.75</v>
      </c>
      <c r="AF2444" s="255"/>
      <c r="AG2444" s="17">
        <v>0</v>
      </c>
      <c r="AH2444" s="255">
        <v>1.45</v>
      </c>
      <c r="AI2444" s="255">
        <v>2.1749999999999998</v>
      </c>
      <c r="AJ2444" s="255">
        <v>0</v>
      </c>
      <c r="AK2444" s="256">
        <v>1.5</v>
      </c>
      <c r="AL2444" s="256">
        <v>1.5</v>
      </c>
      <c r="AM2444" s="17">
        <f t="shared" si="126"/>
        <v>3</v>
      </c>
      <c r="AN2444" s="18" t="s">
        <v>1167</v>
      </c>
      <c r="AO2444" s="18" t="s">
        <v>1170</v>
      </c>
      <c r="AP2444" s="18" t="s">
        <v>831</v>
      </c>
    </row>
    <row r="2445" spans="1:42" s="18" customFormat="1" ht="15" hidden="1" customHeight="1" x14ac:dyDescent="0.3">
      <c r="A2445" s="207" t="s">
        <v>7397</v>
      </c>
      <c r="B2445" s="18" t="s">
        <v>7398</v>
      </c>
      <c r="C2445" s="208" t="s">
        <v>7927</v>
      </c>
      <c r="D2445" s="18" t="s">
        <v>7928</v>
      </c>
      <c r="E2445" s="156" t="s">
        <v>7999</v>
      </c>
      <c r="F2445" s="18" t="s">
        <v>7976</v>
      </c>
      <c r="G2445" s="156" t="s">
        <v>8013</v>
      </c>
      <c r="H2445" s="18" t="s">
        <v>8014</v>
      </c>
      <c r="I2445" s="156"/>
      <c r="K2445" s="156" t="s">
        <v>8026</v>
      </c>
      <c r="L2445" s="18" t="s">
        <v>8027</v>
      </c>
      <c r="M2445" s="18" t="s">
        <v>8030</v>
      </c>
      <c r="N2445" s="16">
        <v>0</v>
      </c>
      <c r="O2445" s="16">
        <v>0</v>
      </c>
      <c r="P2445" s="16">
        <v>30</v>
      </c>
      <c r="Q2445" s="16">
        <v>50</v>
      </c>
      <c r="R2445" s="16">
        <v>70</v>
      </c>
      <c r="S2445" s="16">
        <v>90</v>
      </c>
      <c r="T2445" s="18" t="s">
        <v>1167</v>
      </c>
      <c r="U2445" t="str">
        <f>VLOOKUP(T2445,[8]Votes!$A$1:$E$234,3,FALSE)</f>
        <v>003 Office of the Prime Minister</v>
      </c>
      <c r="W2445" s="48"/>
      <c r="X2445" s="48"/>
      <c r="Y2445" s="48"/>
      <c r="Z2445" s="48"/>
      <c r="AA2445" s="48"/>
      <c r="AB2445" s="48"/>
      <c r="AC2445" s="150">
        <v>0</v>
      </c>
      <c r="AD2445" s="150">
        <v>0</v>
      </c>
      <c r="AE2445" s="49">
        <f t="shared" si="125"/>
        <v>0</v>
      </c>
      <c r="AF2445" s="17"/>
      <c r="AG2445" s="17">
        <v>0</v>
      </c>
      <c r="AH2445" s="17"/>
      <c r="AI2445" s="17"/>
      <c r="AJ2445" s="17"/>
      <c r="AK2445" s="154"/>
      <c r="AL2445" s="154"/>
      <c r="AM2445" s="17">
        <f t="shared" si="126"/>
        <v>0</v>
      </c>
    </row>
    <row r="2446" spans="1:42" s="18" customFormat="1" ht="15" hidden="1" customHeight="1" x14ac:dyDescent="0.3">
      <c r="A2446" s="207" t="s">
        <v>7397</v>
      </c>
      <c r="B2446" s="18" t="s">
        <v>7398</v>
      </c>
      <c r="C2446" s="208" t="s">
        <v>7927</v>
      </c>
      <c r="D2446" s="18" t="s">
        <v>7928</v>
      </c>
      <c r="E2446" s="156" t="s">
        <v>7999</v>
      </c>
      <c r="F2446" s="18" t="s">
        <v>7976</v>
      </c>
      <c r="G2446" s="156" t="s">
        <v>8013</v>
      </c>
      <c r="H2446" s="18" t="s">
        <v>8014</v>
      </c>
      <c r="I2446" s="156"/>
      <c r="K2446" s="156" t="s">
        <v>8031</v>
      </c>
      <c r="L2446" s="18" t="s">
        <v>8032</v>
      </c>
      <c r="M2446" s="18" t="s">
        <v>8033</v>
      </c>
      <c r="N2446" s="16">
        <v>0</v>
      </c>
      <c r="O2446" s="16">
        <v>1</v>
      </c>
      <c r="P2446" s="16">
        <v>1</v>
      </c>
      <c r="Q2446" s="16">
        <v>1</v>
      </c>
      <c r="R2446" s="16">
        <v>1</v>
      </c>
      <c r="S2446" s="16">
        <v>1</v>
      </c>
      <c r="T2446" s="18" t="s">
        <v>1167</v>
      </c>
      <c r="U2446" t="str">
        <f>VLOOKUP(T2446,[8]Votes!$A$1:$E$234,3,FALSE)</f>
        <v>003 Office of the Prime Minister</v>
      </c>
      <c r="W2446" s="48"/>
      <c r="X2446" s="48"/>
      <c r="Y2446" s="48"/>
      <c r="Z2446" s="48"/>
      <c r="AA2446" s="48"/>
      <c r="AB2446" s="48"/>
      <c r="AC2446" s="150">
        <v>0</v>
      </c>
      <c r="AD2446" s="150">
        <v>0</v>
      </c>
      <c r="AE2446" s="49">
        <f t="shared" si="125"/>
        <v>0</v>
      </c>
      <c r="AF2446" s="17"/>
      <c r="AG2446" s="17">
        <v>0</v>
      </c>
      <c r="AH2446" s="17"/>
      <c r="AI2446" s="17"/>
      <c r="AJ2446" s="17"/>
      <c r="AK2446" s="154"/>
      <c r="AL2446" s="154"/>
      <c r="AM2446" s="17">
        <f t="shared" si="126"/>
        <v>0</v>
      </c>
    </row>
    <row r="2447" spans="1:42" s="18" customFormat="1" ht="15" hidden="1" customHeight="1" x14ac:dyDescent="0.3">
      <c r="A2447" s="207" t="s">
        <v>7397</v>
      </c>
      <c r="B2447" s="18" t="s">
        <v>7398</v>
      </c>
      <c r="C2447" s="208" t="s">
        <v>7927</v>
      </c>
      <c r="D2447" s="18" t="s">
        <v>7928</v>
      </c>
      <c r="E2447" s="156" t="s">
        <v>7999</v>
      </c>
      <c r="F2447" s="18" t="s">
        <v>7976</v>
      </c>
      <c r="G2447" s="156" t="s">
        <v>8013</v>
      </c>
      <c r="H2447" s="18" t="s">
        <v>8014</v>
      </c>
      <c r="I2447" s="156"/>
      <c r="K2447" s="156" t="s">
        <v>8034</v>
      </c>
      <c r="L2447" s="18" t="s">
        <v>8035</v>
      </c>
      <c r="M2447" s="18" t="s">
        <v>8036</v>
      </c>
      <c r="N2447" s="16">
        <v>0</v>
      </c>
      <c r="O2447" s="16">
        <v>80</v>
      </c>
      <c r="P2447" s="16">
        <v>80</v>
      </c>
      <c r="Q2447" s="16">
        <v>80</v>
      </c>
      <c r="R2447" s="16">
        <v>80</v>
      </c>
      <c r="S2447" s="16">
        <v>80</v>
      </c>
      <c r="T2447" s="18" t="s">
        <v>921</v>
      </c>
      <c r="U2447" t="str">
        <f>VLOOKUP(T2447,[8]Votes!$A$1:$E$234,3,FALSE)</f>
        <v>008 Ministry of Finance, Planning &amp; Economic Dev.</v>
      </c>
      <c r="W2447" s="48"/>
      <c r="X2447" s="48"/>
      <c r="Y2447" s="48"/>
      <c r="Z2447" s="48"/>
      <c r="AA2447" s="48"/>
      <c r="AB2447" s="48"/>
      <c r="AC2447" s="150">
        <v>0</v>
      </c>
      <c r="AD2447" s="150">
        <v>0</v>
      </c>
      <c r="AE2447" s="49">
        <f t="shared" si="125"/>
        <v>0</v>
      </c>
      <c r="AF2447" s="17"/>
      <c r="AG2447" s="17">
        <v>0</v>
      </c>
      <c r="AH2447" s="17"/>
      <c r="AI2447" s="17"/>
      <c r="AJ2447" s="17"/>
      <c r="AK2447" s="154"/>
      <c r="AL2447" s="154"/>
      <c r="AM2447" s="17">
        <f t="shared" si="126"/>
        <v>0</v>
      </c>
    </row>
    <row r="2448" spans="1:42" s="18" customFormat="1" ht="15" hidden="1" customHeight="1" x14ac:dyDescent="0.3">
      <c r="A2448" s="207" t="s">
        <v>7397</v>
      </c>
      <c r="B2448" s="18" t="s">
        <v>7398</v>
      </c>
      <c r="C2448" s="208" t="s">
        <v>7927</v>
      </c>
      <c r="D2448" s="18" t="s">
        <v>7928</v>
      </c>
      <c r="E2448" s="156" t="s">
        <v>7999</v>
      </c>
      <c r="F2448" s="18" t="s">
        <v>7976</v>
      </c>
      <c r="G2448" s="156" t="s">
        <v>8013</v>
      </c>
      <c r="H2448" s="18" t="s">
        <v>8014</v>
      </c>
      <c r="I2448" s="156"/>
      <c r="K2448" s="156" t="s">
        <v>8034</v>
      </c>
      <c r="L2448" s="18" t="s">
        <v>8035</v>
      </c>
      <c r="M2448" s="18" t="s">
        <v>8037</v>
      </c>
      <c r="N2448" s="16">
        <v>0</v>
      </c>
      <c r="O2448" s="16">
        <v>20</v>
      </c>
      <c r="P2448" s="16">
        <v>40</v>
      </c>
      <c r="Q2448" s="16">
        <v>60</v>
      </c>
      <c r="R2448" s="16">
        <v>80</v>
      </c>
      <c r="S2448" s="16">
        <v>100</v>
      </c>
      <c r="T2448" s="18" t="s">
        <v>921</v>
      </c>
      <c r="U2448" t="str">
        <f>VLOOKUP(T2448,[8]Votes!$A$1:$E$234,3,FALSE)</f>
        <v>008 Ministry of Finance, Planning &amp; Economic Dev.</v>
      </c>
      <c r="W2448" s="48"/>
      <c r="X2448" s="48"/>
      <c r="Y2448" s="48"/>
      <c r="Z2448" s="48"/>
      <c r="AA2448" s="48"/>
      <c r="AB2448" s="48"/>
      <c r="AC2448" s="150">
        <v>0</v>
      </c>
      <c r="AD2448" s="150">
        <v>0</v>
      </c>
      <c r="AE2448" s="49">
        <f t="shared" si="125"/>
        <v>0</v>
      </c>
      <c r="AF2448" s="17"/>
      <c r="AG2448" s="17">
        <v>0</v>
      </c>
      <c r="AH2448" s="17"/>
      <c r="AI2448" s="17"/>
      <c r="AJ2448" s="17"/>
      <c r="AK2448" s="154"/>
      <c r="AL2448" s="154"/>
      <c r="AM2448" s="17">
        <f t="shared" si="126"/>
        <v>0</v>
      </c>
    </row>
    <row r="2449" spans="1:45" s="18" customFormat="1" ht="15" customHeight="1" x14ac:dyDescent="0.3">
      <c r="A2449" s="207" t="s">
        <v>7397</v>
      </c>
      <c r="B2449" s="18" t="s">
        <v>7398</v>
      </c>
      <c r="C2449" s="208" t="s">
        <v>7927</v>
      </c>
      <c r="D2449" s="18" t="s">
        <v>7928</v>
      </c>
      <c r="E2449" s="156" t="s">
        <v>7999</v>
      </c>
      <c r="F2449" s="18" t="s">
        <v>7976</v>
      </c>
      <c r="G2449" s="156" t="s">
        <v>8013</v>
      </c>
      <c r="H2449" s="18" t="s">
        <v>8014</v>
      </c>
      <c r="I2449" s="156"/>
      <c r="K2449" s="156" t="s">
        <v>8038</v>
      </c>
      <c r="L2449" s="18" t="s">
        <v>8039</v>
      </c>
      <c r="M2449" s="18" t="s">
        <v>8040</v>
      </c>
      <c r="N2449" s="16">
        <v>50</v>
      </c>
      <c r="O2449" s="16">
        <v>50</v>
      </c>
      <c r="P2449" s="16">
        <v>75</v>
      </c>
      <c r="Q2449" s="16">
        <v>100</v>
      </c>
      <c r="R2449" s="16">
        <v>110</v>
      </c>
      <c r="S2449" s="16">
        <v>114</v>
      </c>
      <c r="T2449" s="18" t="s">
        <v>1167</v>
      </c>
      <c r="U2449" t="str">
        <f>VLOOKUP(T2449,[8]Votes!$A$1:$E$234,3,FALSE)</f>
        <v>003 Office of the Prime Minister</v>
      </c>
      <c r="V2449" t="s">
        <v>8041</v>
      </c>
      <c r="W2449" s="45">
        <v>1</v>
      </c>
      <c r="X2449" s="45">
        <v>1</v>
      </c>
      <c r="Y2449" s="45">
        <v>0</v>
      </c>
      <c r="Z2449" s="45">
        <v>1</v>
      </c>
      <c r="AA2449" s="45">
        <v>1</v>
      </c>
      <c r="AB2449" s="45">
        <v>0</v>
      </c>
      <c r="AC2449" s="150">
        <v>1</v>
      </c>
      <c r="AD2449" s="150">
        <v>1</v>
      </c>
      <c r="AE2449" s="49">
        <f t="shared" si="125"/>
        <v>0.75</v>
      </c>
      <c r="AF2449" s="362"/>
      <c r="AG2449" s="17">
        <v>0</v>
      </c>
      <c r="AH2449" s="362">
        <v>1.9575</v>
      </c>
      <c r="AI2449" s="362">
        <v>1.9575</v>
      </c>
      <c r="AJ2449" s="362">
        <v>1.9575</v>
      </c>
      <c r="AK2449" s="363">
        <v>5</v>
      </c>
      <c r="AL2449" s="363">
        <v>5</v>
      </c>
      <c r="AM2449" s="17">
        <f t="shared" si="126"/>
        <v>10</v>
      </c>
      <c r="AN2449" t="s">
        <v>1167</v>
      </c>
      <c r="AO2449" s="18" t="s">
        <v>1170</v>
      </c>
      <c r="AP2449" t="s">
        <v>982</v>
      </c>
    </row>
    <row r="2450" spans="1:45" s="18" customFormat="1" ht="15" customHeight="1" x14ac:dyDescent="0.3">
      <c r="A2450" s="207" t="s">
        <v>7397</v>
      </c>
      <c r="B2450" s="18" t="s">
        <v>7398</v>
      </c>
      <c r="C2450" s="208" t="s">
        <v>8042</v>
      </c>
      <c r="D2450" s="18" t="s">
        <v>8043</v>
      </c>
      <c r="E2450" s="156" t="s">
        <v>8044</v>
      </c>
      <c r="F2450" s="18" t="s">
        <v>7976</v>
      </c>
      <c r="G2450" s="156" t="s">
        <v>8045</v>
      </c>
      <c r="H2450" s="18" t="s">
        <v>8046</v>
      </c>
      <c r="I2450" s="156"/>
      <c r="K2450" s="156" t="s">
        <v>8047</v>
      </c>
      <c r="L2450" s="18" t="s">
        <v>8048</v>
      </c>
      <c r="M2450" s="18" t="s">
        <v>8049</v>
      </c>
      <c r="N2450" s="16">
        <v>0</v>
      </c>
      <c r="O2450" s="16">
        <v>1</v>
      </c>
      <c r="P2450" s="16">
        <v>1</v>
      </c>
      <c r="Q2450" s="16">
        <v>1</v>
      </c>
      <c r="R2450" s="16">
        <v>1</v>
      </c>
      <c r="S2450" s="16">
        <v>1</v>
      </c>
      <c r="T2450" s="18" t="s">
        <v>921</v>
      </c>
      <c r="U2450" t="str">
        <f>VLOOKUP(T2450,[8]Votes!$A$1:$E$234,3,FALSE)</f>
        <v>008 Ministry of Finance, Planning &amp; Economic Dev.</v>
      </c>
      <c r="V2450" s="18" t="s">
        <v>8050</v>
      </c>
      <c r="W2450" s="48">
        <v>1</v>
      </c>
      <c r="X2450" s="48">
        <v>0</v>
      </c>
      <c r="Y2450" s="48">
        <v>0</v>
      </c>
      <c r="Z2450" s="48">
        <v>1</v>
      </c>
      <c r="AA2450" s="48">
        <v>1</v>
      </c>
      <c r="AB2450" s="48">
        <v>1</v>
      </c>
      <c r="AC2450" s="150">
        <v>1</v>
      </c>
      <c r="AD2450" s="150">
        <v>1</v>
      </c>
      <c r="AE2450" s="49">
        <f t="shared" si="125"/>
        <v>0.75</v>
      </c>
      <c r="AF2450" s="255"/>
      <c r="AG2450" s="17">
        <v>0</v>
      </c>
      <c r="AH2450" s="255">
        <v>1.45</v>
      </c>
      <c r="AI2450" s="255">
        <v>2.9</v>
      </c>
      <c r="AJ2450" s="255">
        <v>3.48</v>
      </c>
      <c r="AK2450" s="256">
        <v>3.3349999999999995</v>
      </c>
      <c r="AL2450" s="256">
        <v>3.625</v>
      </c>
      <c r="AM2450" s="17">
        <f t="shared" si="126"/>
        <v>6.9599999999999991</v>
      </c>
      <c r="AN2450" s="18" t="s">
        <v>921</v>
      </c>
      <c r="AO2450" s="18" t="s">
        <v>880</v>
      </c>
      <c r="AP2450" s="18" t="s">
        <v>831</v>
      </c>
    </row>
    <row r="2451" spans="1:45" s="18" customFormat="1" ht="15" hidden="1" customHeight="1" x14ac:dyDescent="0.3">
      <c r="A2451" s="207" t="s">
        <v>7397</v>
      </c>
      <c r="B2451" s="18" t="s">
        <v>7398</v>
      </c>
      <c r="C2451" s="208" t="s">
        <v>8042</v>
      </c>
      <c r="D2451" s="18" t="s">
        <v>8043</v>
      </c>
      <c r="E2451" s="156" t="s">
        <v>8044</v>
      </c>
      <c r="F2451" s="18" t="s">
        <v>7976</v>
      </c>
      <c r="G2451" s="156" t="s">
        <v>8045</v>
      </c>
      <c r="H2451" s="18" t="s">
        <v>8046</v>
      </c>
      <c r="I2451" s="156"/>
      <c r="K2451" s="156" t="s">
        <v>8047</v>
      </c>
      <c r="L2451" s="18" t="s">
        <v>8048</v>
      </c>
      <c r="M2451" s="18" t="s">
        <v>8051</v>
      </c>
      <c r="N2451" s="16">
        <v>0</v>
      </c>
      <c r="O2451" s="16">
        <v>28</v>
      </c>
      <c r="P2451" s="16">
        <v>50</v>
      </c>
      <c r="Q2451" s="16">
        <v>75</v>
      </c>
      <c r="R2451" s="16">
        <v>85</v>
      </c>
      <c r="S2451" s="16">
        <v>100</v>
      </c>
      <c r="T2451" s="18" t="s">
        <v>921</v>
      </c>
      <c r="U2451" t="str">
        <f>VLOOKUP(T2451,[8]Votes!$A$1:$E$234,3,FALSE)</f>
        <v>008 Ministry of Finance, Planning &amp; Economic Dev.</v>
      </c>
      <c r="W2451" s="48"/>
      <c r="X2451" s="48"/>
      <c r="Y2451" s="48"/>
      <c r="Z2451" s="48"/>
      <c r="AA2451" s="48"/>
      <c r="AB2451" s="48"/>
      <c r="AC2451" s="150">
        <v>0</v>
      </c>
      <c r="AD2451" s="150">
        <v>0</v>
      </c>
      <c r="AE2451" s="49">
        <f t="shared" si="125"/>
        <v>0</v>
      </c>
      <c r="AF2451" s="17"/>
      <c r="AG2451" s="17">
        <v>0</v>
      </c>
      <c r="AH2451" s="17"/>
      <c r="AI2451" s="17"/>
      <c r="AJ2451" s="17"/>
      <c r="AK2451" s="154"/>
      <c r="AL2451" s="154"/>
      <c r="AM2451" s="17">
        <f t="shared" si="126"/>
        <v>0</v>
      </c>
      <c r="AS2451" s="228"/>
    </row>
    <row r="2452" spans="1:45" s="18" customFormat="1" ht="15" hidden="1" customHeight="1" x14ac:dyDescent="0.3">
      <c r="A2452" s="207" t="s">
        <v>7397</v>
      </c>
      <c r="B2452" s="18" t="s">
        <v>7398</v>
      </c>
      <c r="C2452" s="208" t="s">
        <v>8042</v>
      </c>
      <c r="D2452" s="18" t="s">
        <v>8043</v>
      </c>
      <c r="E2452" s="156" t="s">
        <v>8044</v>
      </c>
      <c r="F2452" s="18" t="s">
        <v>7976</v>
      </c>
      <c r="G2452" s="156" t="s">
        <v>8045</v>
      </c>
      <c r="H2452" s="18" t="s">
        <v>8046</v>
      </c>
      <c r="I2452" s="156"/>
      <c r="K2452" s="156" t="s">
        <v>8047</v>
      </c>
      <c r="L2452" s="18" t="s">
        <v>8048</v>
      </c>
      <c r="M2452" s="18" t="s">
        <v>8052</v>
      </c>
      <c r="N2452" s="16">
        <v>0</v>
      </c>
      <c r="O2452" s="16">
        <v>6</v>
      </c>
      <c r="P2452" s="16">
        <v>18</v>
      </c>
      <c r="Q2452" s="16">
        <v>18</v>
      </c>
      <c r="R2452" s="16">
        <v>18</v>
      </c>
      <c r="S2452" s="16">
        <v>18</v>
      </c>
      <c r="T2452" s="18" t="s">
        <v>921</v>
      </c>
      <c r="U2452" t="str">
        <f>VLOOKUP(T2452,[8]Votes!$A$1:$E$234,3,FALSE)</f>
        <v>008 Ministry of Finance, Planning &amp; Economic Dev.</v>
      </c>
      <c r="W2452" s="48"/>
      <c r="X2452" s="48"/>
      <c r="Y2452" s="48"/>
      <c r="Z2452" s="48"/>
      <c r="AA2452" s="48"/>
      <c r="AB2452" s="48"/>
      <c r="AC2452" s="150">
        <v>0</v>
      </c>
      <c r="AD2452" s="150">
        <v>0</v>
      </c>
      <c r="AE2452" s="49">
        <f t="shared" si="125"/>
        <v>0</v>
      </c>
      <c r="AF2452" s="17"/>
      <c r="AG2452" s="17">
        <v>0</v>
      </c>
      <c r="AH2452" s="17"/>
      <c r="AI2452" s="17"/>
      <c r="AJ2452" s="17"/>
      <c r="AK2452" s="154"/>
      <c r="AL2452" s="154"/>
      <c r="AM2452" s="17">
        <f t="shared" si="126"/>
        <v>0</v>
      </c>
    </row>
    <row r="2453" spans="1:45" s="18" customFormat="1" ht="15" customHeight="1" x14ac:dyDescent="0.3">
      <c r="A2453" s="207" t="s">
        <v>7397</v>
      </c>
      <c r="B2453" s="18" t="s">
        <v>7398</v>
      </c>
      <c r="C2453" s="208" t="s">
        <v>8042</v>
      </c>
      <c r="D2453" s="18" t="s">
        <v>8043</v>
      </c>
      <c r="E2453" s="156" t="s">
        <v>8044</v>
      </c>
      <c r="F2453" s="18" t="s">
        <v>7976</v>
      </c>
      <c r="G2453" s="156" t="s">
        <v>8053</v>
      </c>
      <c r="H2453" s="18" t="s">
        <v>8054</v>
      </c>
      <c r="I2453" s="156"/>
      <c r="K2453" s="156" t="s">
        <v>8055</v>
      </c>
      <c r="L2453" s="18" t="s">
        <v>8056</v>
      </c>
      <c r="M2453" s="18" t="s">
        <v>8057</v>
      </c>
      <c r="N2453" s="16">
        <v>0</v>
      </c>
      <c r="O2453" s="16">
        <v>20</v>
      </c>
      <c r="P2453" s="16">
        <v>40</v>
      </c>
      <c r="Q2453" s="16">
        <v>60</v>
      </c>
      <c r="R2453" s="16">
        <v>80</v>
      </c>
      <c r="S2453" s="16">
        <v>100</v>
      </c>
      <c r="T2453" s="18" t="s">
        <v>921</v>
      </c>
      <c r="U2453" t="str">
        <f>VLOOKUP(T2453,[8]Votes!$A$1:$E$234,3,FALSE)</f>
        <v>008 Ministry of Finance, Planning &amp; Economic Dev.</v>
      </c>
      <c r="V2453" s="18" t="s">
        <v>8058</v>
      </c>
      <c r="W2453" s="48">
        <v>1</v>
      </c>
      <c r="X2453" s="48">
        <v>1</v>
      </c>
      <c r="Y2453" s="48">
        <v>0</v>
      </c>
      <c r="Z2453" s="48">
        <v>1</v>
      </c>
      <c r="AA2453" s="48">
        <v>1</v>
      </c>
      <c r="AB2453" s="48">
        <v>1</v>
      </c>
      <c r="AC2453" s="150">
        <v>1</v>
      </c>
      <c r="AD2453" s="150">
        <v>1</v>
      </c>
      <c r="AE2453" s="49">
        <f t="shared" si="125"/>
        <v>0.875</v>
      </c>
      <c r="AF2453" s="255"/>
      <c r="AG2453" s="17">
        <v>0</v>
      </c>
      <c r="AH2453" s="255">
        <v>1.885</v>
      </c>
      <c r="AI2453" s="255">
        <v>2.1749999999999998</v>
      </c>
      <c r="AJ2453" s="255">
        <v>2.61</v>
      </c>
      <c r="AK2453" s="256">
        <v>1.74</v>
      </c>
      <c r="AL2453" s="256">
        <v>1.45</v>
      </c>
      <c r="AM2453" s="17">
        <f t="shared" si="126"/>
        <v>3.19</v>
      </c>
      <c r="AN2453" s="18" t="s">
        <v>921</v>
      </c>
      <c r="AO2453" s="18" t="s">
        <v>880</v>
      </c>
    </row>
    <row r="2454" spans="1:45" s="18" customFormat="1" ht="15" customHeight="1" x14ac:dyDescent="0.3">
      <c r="A2454" s="207" t="s">
        <v>7397</v>
      </c>
      <c r="B2454" s="18" t="s">
        <v>7398</v>
      </c>
      <c r="C2454" s="208" t="s">
        <v>8042</v>
      </c>
      <c r="D2454" s="18" t="s">
        <v>8043</v>
      </c>
      <c r="E2454" s="156" t="s">
        <v>8044</v>
      </c>
      <c r="F2454" s="18" t="s">
        <v>7976</v>
      </c>
      <c r="G2454" s="156" t="s">
        <v>8053</v>
      </c>
      <c r="H2454" s="18" t="s">
        <v>8054</v>
      </c>
      <c r="I2454" s="156"/>
      <c r="K2454" s="156" t="s">
        <v>8055</v>
      </c>
      <c r="L2454" s="18" t="s">
        <v>8056</v>
      </c>
      <c r="M2454" s="18" t="s">
        <v>8059</v>
      </c>
      <c r="N2454" s="16">
        <v>0</v>
      </c>
      <c r="O2454" s="16">
        <v>5</v>
      </c>
      <c r="P2454" s="16">
        <v>7</v>
      </c>
      <c r="Q2454" s="16">
        <v>8</v>
      </c>
      <c r="R2454" s="16">
        <v>10</v>
      </c>
      <c r="S2454" s="16">
        <v>10</v>
      </c>
      <c r="T2454" s="18" t="s">
        <v>921</v>
      </c>
      <c r="U2454" t="str">
        <f>VLOOKUP(T2454,[8]Votes!$A$1:$E$234,3,FALSE)</f>
        <v>008 Ministry of Finance, Planning &amp; Economic Dev.</v>
      </c>
      <c r="V2454" s="18" t="s">
        <v>8060</v>
      </c>
      <c r="W2454" s="48">
        <v>1</v>
      </c>
      <c r="X2454" s="48">
        <v>1</v>
      </c>
      <c r="Y2454" s="48">
        <v>0</v>
      </c>
      <c r="Z2454" s="48">
        <v>1</v>
      </c>
      <c r="AA2454" s="48">
        <v>1</v>
      </c>
      <c r="AB2454" s="48">
        <v>1</v>
      </c>
      <c r="AC2454" s="150">
        <v>1</v>
      </c>
      <c r="AD2454" s="150">
        <v>1</v>
      </c>
      <c r="AE2454" s="49">
        <f t="shared" si="125"/>
        <v>0.875</v>
      </c>
      <c r="AF2454" s="255"/>
      <c r="AG2454" s="17">
        <v>0</v>
      </c>
      <c r="AH2454" s="255">
        <v>18.096</v>
      </c>
      <c r="AI2454" s="255">
        <v>18.965999999999998</v>
      </c>
      <c r="AJ2454" s="255">
        <v>19.836000000000002</v>
      </c>
      <c r="AK2454" s="256">
        <v>21.227999999999998</v>
      </c>
      <c r="AL2454" s="256">
        <v>23.315999999999999</v>
      </c>
      <c r="AM2454" s="17">
        <f t="shared" si="126"/>
        <v>44.543999999999997</v>
      </c>
      <c r="AN2454" s="18" t="s">
        <v>921</v>
      </c>
      <c r="AO2454" s="18" t="s">
        <v>880</v>
      </c>
    </row>
    <row r="2455" spans="1:45" s="18" customFormat="1" hidden="1" x14ac:dyDescent="0.3">
      <c r="A2455" s="207" t="s">
        <v>7397</v>
      </c>
      <c r="B2455" s="18" t="s">
        <v>7398</v>
      </c>
      <c r="C2455" s="208" t="s">
        <v>8042</v>
      </c>
      <c r="D2455" s="18" t="s">
        <v>8043</v>
      </c>
      <c r="E2455" s="156" t="s">
        <v>8044</v>
      </c>
      <c r="F2455" s="18" t="s">
        <v>7976</v>
      </c>
      <c r="G2455" s="156" t="s">
        <v>8053</v>
      </c>
      <c r="H2455" s="18" t="s">
        <v>8054</v>
      </c>
      <c r="I2455" s="156"/>
      <c r="K2455" s="156" t="s">
        <v>8055</v>
      </c>
      <c r="L2455" s="18" t="s">
        <v>8056</v>
      </c>
      <c r="M2455" s="18" t="s">
        <v>8061</v>
      </c>
      <c r="N2455" s="16" t="s">
        <v>119</v>
      </c>
      <c r="O2455" s="16">
        <v>0</v>
      </c>
      <c r="P2455" s="16">
        <v>0</v>
      </c>
      <c r="Q2455" s="16">
        <v>0</v>
      </c>
      <c r="R2455" s="16">
        <v>1</v>
      </c>
      <c r="S2455" s="16">
        <v>0</v>
      </c>
      <c r="T2455" s="18" t="s">
        <v>7852</v>
      </c>
      <c r="U2455" t="str">
        <f>VLOOKUP(T2455,[8]Votes!$A$1:$E$234,3,FALSE)</f>
        <v>131 Auditor General</v>
      </c>
      <c r="V2455" s="18" t="s">
        <v>8062</v>
      </c>
      <c r="W2455" s="48">
        <v>1</v>
      </c>
      <c r="X2455" s="48">
        <v>0</v>
      </c>
      <c r="Y2455" s="48">
        <v>0</v>
      </c>
      <c r="Z2455" s="48">
        <v>1</v>
      </c>
      <c r="AA2455" s="48">
        <v>0</v>
      </c>
      <c r="AB2455" s="48">
        <v>0</v>
      </c>
      <c r="AC2455" s="150">
        <v>1</v>
      </c>
      <c r="AD2455" s="150">
        <v>1</v>
      </c>
      <c r="AE2455" s="49">
        <f t="shared" si="125"/>
        <v>0.5</v>
      </c>
      <c r="AF2455" s="255"/>
      <c r="AG2455" s="17">
        <v>0</v>
      </c>
      <c r="AH2455" s="255">
        <v>0</v>
      </c>
      <c r="AI2455" s="255">
        <v>2.1749999999999998</v>
      </c>
      <c r="AJ2455" s="255">
        <v>3.24</v>
      </c>
      <c r="AK2455" s="256">
        <v>4</v>
      </c>
      <c r="AL2455" s="256">
        <v>25</v>
      </c>
      <c r="AM2455" s="17">
        <f t="shared" si="126"/>
        <v>29</v>
      </c>
      <c r="AN2455" s="18" t="s">
        <v>7852</v>
      </c>
      <c r="AO2455" s="18" t="s">
        <v>7854</v>
      </c>
    </row>
    <row r="2456" spans="1:45" s="18" customFormat="1" ht="15" customHeight="1" x14ac:dyDescent="0.3">
      <c r="A2456" s="207" t="s">
        <v>7397</v>
      </c>
      <c r="B2456" s="18" t="s">
        <v>7398</v>
      </c>
      <c r="C2456" s="208" t="s">
        <v>8042</v>
      </c>
      <c r="D2456" s="18" t="s">
        <v>8043</v>
      </c>
      <c r="E2456" s="156" t="s">
        <v>8044</v>
      </c>
      <c r="F2456" s="18" t="s">
        <v>7976</v>
      </c>
      <c r="G2456" s="156" t="s">
        <v>8053</v>
      </c>
      <c r="H2456" s="18" t="s">
        <v>8054</v>
      </c>
      <c r="I2456" s="156"/>
      <c r="K2456" s="156" t="s">
        <v>8055</v>
      </c>
      <c r="L2456" s="18" t="s">
        <v>8056</v>
      </c>
      <c r="M2456" s="18" t="s">
        <v>8063</v>
      </c>
      <c r="N2456" s="16">
        <v>0</v>
      </c>
      <c r="O2456" s="16">
        <v>50</v>
      </c>
      <c r="P2456" s="16">
        <v>60</v>
      </c>
      <c r="Q2456" s="16">
        <v>70</v>
      </c>
      <c r="R2456" s="16">
        <v>80</v>
      </c>
      <c r="S2456" s="16">
        <v>100</v>
      </c>
      <c r="T2456" s="18" t="s">
        <v>7852</v>
      </c>
      <c r="U2456" t="str">
        <f>VLOOKUP(T2456,[8]Votes!$A$1:$E$234,3,FALSE)</f>
        <v>131 Auditor General</v>
      </c>
      <c r="V2456" s="18" t="s">
        <v>8064</v>
      </c>
      <c r="W2456" s="48">
        <v>1</v>
      </c>
      <c r="X2456" s="48">
        <v>1</v>
      </c>
      <c r="Y2456" s="48">
        <v>0</v>
      </c>
      <c r="Z2456" s="48">
        <v>1</v>
      </c>
      <c r="AA2456" s="48">
        <v>1</v>
      </c>
      <c r="AB2456" s="48">
        <v>1</v>
      </c>
      <c r="AC2456" s="150">
        <v>1</v>
      </c>
      <c r="AD2456" s="150">
        <v>1</v>
      </c>
      <c r="AE2456" s="49">
        <f t="shared" si="125"/>
        <v>0.875</v>
      </c>
      <c r="AF2456" s="255"/>
      <c r="AG2456" s="17">
        <v>0</v>
      </c>
      <c r="AH2456" s="255">
        <v>18.096</v>
      </c>
      <c r="AI2456" s="255">
        <v>18.965999999999998</v>
      </c>
      <c r="AJ2456" s="255">
        <v>18.835999999999999</v>
      </c>
      <c r="AK2456" s="256">
        <v>4.5</v>
      </c>
      <c r="AL2456" s="256">
        <v>5</v>
      </c>
      <c r="AM2456" s="17">
        <f t="shared" si="126"/>
        <v>9.5</v>
      </c>
      <c r="AN2456" s="18" t="s">
        <v>7852</v>
      </c>
      <c r="AO2456" s="18" t="s">
        <v>7854</v>
      </c>
      <c r="AP2456" s="18" t="s">
        <v>1191</v>
      </c>
    </row>
    <row r="2457" spans="1:45" s="18" customFormat="1" ht="15" customHeight="1" x14ac:dyDescent="0.3">
      <c r="A2457" s="207" t="s">
        <v>7397</v>
      </c>
      <c r="B2457" s="18" t="s">
        <v>7398</v>
      </c>
      <c r="C2457" s="208" t="s">
        <v>8042</v>
      </c>
      <c r="D2457" s="18" t="s">
        <v>8043</v>
      </c>
      <c r="E2457" s="156" t="s">
        <v>8044</v>
      </c>
      <c r="F2457" s="18" t="s">
        <v>7976</v>
      </c>
      <c r="G2457" s="156" t="s">
        <v>8053</v>
      </c>
      <c r="H2457" s="18" t="s">
        <v>8054</v>
      </c>
      <c r="I2457" s="156"/>
      <c r="K2457" s="156" t="s">
        <v>8055</v>
      </c>
      <c r="L2457" s="18" t="s">
        <v>8056</v>
      </c>
      <c r="M2457" s="18" t="s">
        <v>8065</v>
      </c>
      <c r="N2457" s="16">
        <v>0</v>
      </c>
      <c r="O2457" s="16">
        <v>1</v>
      </c>
      <c r="P2457" s="16">
        <v>1</v>
      </c>
      <c r="Q2457" s="16">
        <v>1</v>
      </c>
      <c r="R2457" s="16">
        <v>1</v>
      </c>
      <c r="S2457" s="16">
        <v>1</v>
      </c>
      <c r="T2457" s="18" t="s">
        <v>7852</v>
      </c>
      <c r="U2457" t="str">
        <f>VLOOKUP(T2457,[8]Votes!$A$1:$E$234,3,FALSE)</f>
        <v>131 Auditor General</v>
      </c>
      <c r="V2457" s="18" t="s">
        <v>8066</v>
      </c>
      <c r="W2457" s="48">
        <v>1</v>
      </c>
      <c r="X2457" s="48">
        <v>1</v>
      </c>
      <c r="Y2457" s="48">
        <v>0</v>
      </c>
      <c r="Z2457" s="48">
        <v>1</v>
      </c>
      <c r="AA2457" s="48">
        <v>1</v>
      </c>
      <c r="AB2457" s="48">
        <v>1</v>
      </c>
      <c r="AC2457" s="150">
        <v>1</v>
      </c>
      <c r="AD2457" s="150">
        <v>1</v>
      </c>
      <c r="AE2457" s="49">
        <f t="shared" ref="AE2457:AE2518" si="127">SUM(W2457:AD2457)/8</f>
        <v>0.875</v>
      </c>
      <c r="AF2457" s="255"/>
      <c r="AG2457" s="17">
        <v>0</v>
      </c>
      <c r="AH2457" s="255">
        <v>0.72499999999999998</v>
      </c>
      <c r="AI2457" s="255">
        <v>3.19</v>
      </c>
      <c r="AJ2457" s="255">
        <v>2.1749999999999998</v>
      </c>
      <c r="AK2457" s="256">
        <v>3.19</v>
      </c>
      <c r="AL2457" s="256">
        <v>4.1900000000000004</v>
      </c>
      <c r="AM2457" s="17">
        <f t="shared" ref="AM2457:AM2518" si="128">SUM(AK2457:AL2457)</f>
        <v>7.3800000000000008</v>
      </c>
      <c r="AN2457" s="18" t="s">
        <v>7852</v>
      </c>
      <c r="AO2457" s="18" t="s">
        <v>7854</v>
      </c>
      <c r="AP2457" s="18" t="s">
        <v>1191</v>
      </c>
    </row>
    <row r="2458" spans="1:45" s="18" customFormat="1" ht="15" customHeight="1" x14ac:dyDescent="0.3">
      <c r="A2458" s="207" t="s">
        <v>7397</v>
      </c>
      <c r="B2458" s="18" t="s">
        <v>7398</v>
      </c>
      <c r="C2458" s="208" t="s">
        <v>8042</v>
      </c>
      <c r="D2458" s="18" t="s">
        <v>8043</v>
      </c>
      <c r="E2458" s="156" t="s">
        <v>8044</v>
      </c>
      <c r="F2458" s="18" t="s">
        <v>7976</v>
      </c>
      <c r="G2458" s="156" t="s">
        <v>8053</v>
      </c>
      <c r="H2458" s="18" t="s">
        <v>8054</v>
      </c>
      <c r="I2458" s="156"/>
      <c r="K2458" s="156" t="s">
        <v>8055</v>
      </c>
      <c r="L2458" s="18" t="s">
        <v>8056</v>
      </c>
      <c r="N2458" s="16"/>
      <c r="O2458" s="16"/>
      <c r="P2458" s="16"/>
      <c r="Q2458" s="16"/>
      <c r="R2458" s="16"/>
      <c r="S2458" s="16"/>
      <c r="T2458" s="18" t="s">
        <v>7852</v>
      </c>
      <c r="U2458" t="str">
        <f>VLOOKUP(T2458,[8]Votes!$A$1:$E$234,3,FALSE)</f>
        <v>131 Auditor General</v>
      </c>
      <c r="V2458" s="18" t="s">
        <v>8067</v>
      </c>
      <c r="W2458" s="48">
        <v>1</v>
      </c>
      <c r="X2458" s="48">
        <v>1</v>
      </c>
      <c r="Y2458" s="48">
        <v>0</v>
      </c>
      <c r="Z2458" s="48">
        <v>1</v>
      </c>
      <c r="AA2458" s="48">
        <v>1</v>
      </c>
      <c r="AB2458" s="48">
        <v>1</v>
      </c>
      <c r="AC2458" s="150">
        <v>1</v>
      </c>
      <c r="AD2458" s="150">
        <v>1</v>
      </c>
      <c r="AE2458" s="49">
        <f t="shared" si="127"/>
        <v>0.875</v>
      </c>
      <c r="AF2458" s="255"/>
      <c r="AG2458" s="17">
        <v>0</v>
      </c>
      <c r="AH2458" s="255">
        <v>20</v>
      </c>
      <c r="AI2458" s="255">
        <v>27.83</v>
      </c>
      <c r="AJ2458" s="255">
        <v>24.8</v>
      </c>
      <c r="AK2458" s="256">
        <v>0.75</v>
      </c>
      <c r="AL2458" s="256">
        <v>0.8</v>
      </c>
      <c r="AM2458" s="17">
        <f t="shared" si="128"/>
        <v>1.55</v>
      </c>
      <c r="AN2458" s="18" t="s">
        <v>7852</v>
      </c>
      <c r="AO2458" s="18" t="s">
        <v>7854</v>
      </c>
      <c r="AP2458" s="18" t="s">
        <v>8068</v>
      </c>
    </row>
    <row r="2459" spans="1:45" s="18" customFormat="1" ht="15" customHeight="1" x14ac:dyDescent="0.3">
      <c r="A2459" s="207" t="s">
        <v>7397</v>
      </c>
      <c r="B2459" s="18" t="s">
        <v>7398</v>
      </c>
      <c r="C2459" s="208" t="s">
        <v>8042</v>
      </c>
      <c r="D2459" s="18" t="s">
        <v>8043</v>
      </c>
      <c r="E2459" s="156" t="s">
        <v>8044</v>
      </c>
      <c r="F2459" s="18" t="s">
        <v>7976</v>
      </c>
      <c r="G2459" s="156" t="s">
        <v>8053</v>
      </c>
      <c r="H2459" s="18" t="s">
        <v>8054</v>
      </c>
      <c r="I2459" s="156"/>
      <c r="K2459" s="156" t="s">
        <v>8069</v>
      </c>
      <c r="L2459" s="18" t="s">
        <v>8070</v>
      </c>
      <c r="M2459" s="18" t="s">
        <v>8071</v>
      </c>
      <c r="N2459" s="16">
        <v>0</v>
      </c>
      <c r="O2459" s="16">
        <v>1</v>
      </c>
      <c r="P2459" s="16">
        <v>1</v>
      </c>
      <c r="Q2459" s="16">
        <v>1</v>
      </c>
      <c r="R2459" s="16">
        <v>1</v>
      </c>
      <c r="S2459" s="16">
        <v>1</v>
      </c>
      <c r="T2459" s="18" t="s">
        <v>921</v>
      </c>
      <c r="U2459" t="str">
        <f>VLOOKUP(T2459,[8]Votes!$A$1:$E$234,3,FALSE)</f>
        <v>008 Ministry of Finance, Planning &amp; Economic Dev.</v>
      </c>
      <c r="V2459" s="18" t="s">
        <v>8072</v>
      </c>
      <c r="W2459" s="48">
        <v>1</v>
      </c>
      <c r="X2459" s="48">
        <v>1</v>
      </c>
      <c r="Y2459" s="48">
        <v>0</v>
      </c>
      <c r="Z2459" s="48">
        <v>1</v>
      </c>
      <c r="AA2459" s="48">
        <v>1</v>
      </c>
      <c r="AB2459" s="48">
        <v>1</v>
      </c>
      <c r="AC2459" s="150">
        <v>1</v>
      </c>
      <c r="AD2459" s="150">
        <v>1</v>
      </c>
      <c r="AE2459" s="49">
        <f t="shared" si="127"/>
        <v>0.875</v>
      </c>
      <c r="AF2459" s="255"/>
      <c r="AG2459" s="17">
        <v>0</v>
      </c>
      <c r="AH2459" s="255">
        <v>1.45</v>
      </c>
      <c r="AI2459" s="255">
        <v>1.45</v>
      </c>
      <c r="AJ2459" s="255">
        <v>1.45</v>
      </c>
      <c r="AK2459" s="256">
        <v>1.45</v>
      </c>
      <c r="AL2459" s="256">
        <v>1.45</v>
      </c>
      <c r="AM2459" s="17">
        <f t="shared" si="128"/>
        <v>2.9</v>
      </c>
      <c r="AN2459" s="18" t="s">
        <v>921</v>
      </c>
      <c r="AO2459" s="18" t="s">
        <v>880</v>
      </c>
    </row>
    <row r="2460" spans="1:45" s="18" customFormat="1" ht="15" customHeight="1" x14ac:dyDescent="0.3">
      <c r="A2460" s="207" t="s">
        <v>7397</v>
      </c>
      <c r="B2460" s="18" t="s">
        <v>7398</v>
      </c>
      <c r="C2460" s="208" t="s">
        <v>8042</v>
      </c>
      <c r="D2460" s="18" t="s">
        <v>8043</v>
      </c>
      <c r="E2460" s="156" t="s">
        <v>8044</v>
      </c>
      <c r="F2460" s="18" t="s">
        <v>7976</v>
      </c>
      <c r="G2460" s="156" t="s">
        <v>8053</v>
      </c>
      <c r="H2460" s="18" t="s">
        <v>8054</v>
      </c>
      <c r="I2460" s="156"/>
      <c r="K2460" s="156" t="s">
        <v>8069</v>
      </c>
      <c r="L2460" s="18" t="s">
        <v>8070</v>
      </c>
      <c r="N2460" s="16"/>
      <c r="O2460" s="16"/>
      <c r="P2460" s="16"/>
      <c r="Q2460" s="16"/>
      <c r="R2460" s="16"/>
      <c r="S2460" s="16"/>
      <c r="T2460" s="18" t="s">
        <v>921</v>
      </c>
      <c r="U2460" t="str">
        <f>VLOOKUP(T2460,[8]Votes!$A$1:$E$234,3,FALSE)</f>
        <v>008 Ministry of Finance, Planning &amp; Economic Dev.</v>
      </c>
      <c r="V2460" s="18" t="s">
        <v>8073</v>
      </c>
      <c r="W2460" s="48">
        <v>1</v>
      </c>
      <c r="X2460" s="48">
        <v>1</v>
      </c>
      <c r="Y2460" s="48">
        <v>0</v>
      </c>
      <c r="Z2460" s="48">
        <v>1</v>
      </c>
      <c r="AA2460" s="48">
        <v>1</v>
      </c>
      <c r="AB2460" s="48">
        <v>1</v>
      </c>
      <c r="AC2460" s="150">
        <v>1</v>
      </c>
      <c r="AD2460" s="150">
        <v>1</v>
      </c>
      <c r="AE2460" s="49">
        <f t="shared" si="127"/>
        <v>0.875</v>
      </c>
      <c r="AF2460" s="255"/>
      <c r="AG2460" s="17">
        <v>0</v>
      </c>
      <c r="AH2460" s="255">
        <v>0.72499999999999998</v>
      </c>
      <c r="AI2460" s="255">
        <v>0.72499999999999998</v>
      </c>
      <c r="AJ2460" s="255">
        <v>0.72499999999999998</v>
      </c>
      <c r="AK2460" s="256">
        <v>0.72499999999999998</v>
      </c>
      <c r="AL2460" s="256">
        <v>0.73</v>
      </c>
      <c r="AM2460" s="17">
        <f t="shared" si="128"/>
        <v>1.4550000000000001</v>
      </c>
      <c r="AN2460" s="18" t="s">
        <v>921</v>
      </c>
      <c r="AO2460" s="18" t="s">
        <v>880</v>
      </c>
    </row>
    <row r="2461" spans="1:45" s="18" customFormat="1" ht="15" hidden="1" customHeight="1" x14ac:dyDescent="0.3">
      <c r="A2461" s="207" t="s">
        <v>7397</v>
      </c>
      <c r="B2461" s="18" t="s">
        <v>7398</v>
      </c>
      <c r="C2461" s="208" t="s">
        <v>8042</v>
      </c>
      <c r="D2461" s="18" t="s">
        <v>8043</v>
      </c>
      <c r="E2461" s="156" t="s">
        <v>8044</v>
      </c>
      <c r="F2461" s="18" t="s">
        <v>7976</v>
      </c>
      <c r="G2461" s="156" t="s">
        <v>8053</v>
      </c>
      <c r="H2461" s="18" t="s">
        <v>8054</v>
      </c>
      <c r="I2461" s="156"/>
      <c r="K2461" s="156" t="s">
        <v>8074</v>
      </c>
      <c r="L2461" s="18" t="s">
        <v>8075</v>
      </c>
      <c r="M2461" s="18" t="s">
        <v>8076</v>
      </c>
      <c r="N2461" s="16">
        <v>0</v>
      </c>
      <c r="O2461" s="16">
        <v>0</v>
      </c>
      <c r="P2461" s="16">
        <v>0</v>
      </c>
      <c r="Q2461" s="16">
        <v>0</v>
      </c>
      <c r="R2461" s="16">
        <v>1</v>
      </c>
      <c r="S2461" s="16">
        <v>0</v>
      </c>
      <c r="T2461" s="18" t="s">
        <v>921</v>
      </c>
      <c r="U2461" t="str">
        <f>VLOOKUP(T2461,[8]Votes!$A$1:$E$234,3,FALSE)</f>
        <v>008 Ministry of Finance, Planning &amp; Economic Dev.</v>
      </c>
      <c r="V2461" s="18" t="s">
        <v>8077</v>
      </c>
      <c r="W2461" s="48">
        <v>0</v>
      </c>
      <c r="X2461" s="48">
        <v>0</v>
      </c>
      <c r="Y2461" s="48">
        <v>0</v>
      </c>
      <c r="Z2461" s="48">
        <v>1</v>
      </c>
      <c r="AA2461" s="48">
        <v>1</v>
      </c>
      <c r="AB2461" s="48">
        <v>0</v>
      </c>
      <c r="AC2461" s="150">
        <v>0</v>
      </c>
      <c r="AD2461" s="150">
        <v>1</v>
      </c>
      <c r="AE2461" s="49">
        <f t="shared" si="127"/>
        <v>0.375</v>
      </c>
      <c r="AF2461" s="255"/>
      <c r="AG2461" s="17">
        <v>0</v>
      </c>
      <c r="AH2461" s="255">
        <v>0</v>
      </c>
      <c r="AI2461" s="255">
        <v>0</v>
      </c>
      <c r="AJ2461" s="255">
        <v>0.72499999999999998</v>
      </c>
      <c r="AK2461" s="256">
        <v>0</v>
      </c>
      <c r="AL2461" s="256">
        <v>0</v>
      </c>
      <c r="AM2461" s="17">
        <f t="shared" si="128"/>
        <v>0</v>
      </c>
      <c r="AN2461" s="18" t="s">
        <v>921</v>
      </c>
      <c r="AO2461" s="18" t="s">
        <v>880</v>
      </c>
    </row>
    <row r="2462" spans="1:45" s="18" customFormat="1" ht="15" customHeight="1" x14ac:dyDescent="0.3">
      <c r="A2462" s="207" t="s">
        <v>7397</v>
      </c>
      <c r="B2462" s="18" t="s">
        <v>7398</v>
      </c>
      <c r="C2462" s="208" t="s">
        <v>8042</v>
      </c>
      <c r="D2462" s="18" t="s">
        <v>8043</v>
      </c>
      <c r="E2462" s="156" t="s">
        <v>8044</v>
      </c>
      <c r="F2462" s="18" t="s">
        <v>7976</v>
      </c>
      <c r="G2462" s="156" t="s">
        <v>8053</v>
      </c>
      <c r="H2462" s="18" t="s">
        <v>8054</v>
      </c>
      <c r="I2462" s="156"/>
      <c r="K2462" s="156" t="s">
        <v>8078</v>
      </c>
      <c r="L2462" s="18" t="s">
        <v>8079</v>
      </c>
      <c r="M2462" s="18" t="s">
        <v>8080</v>
      </c>
      <c r="N2462" s="16">
        <v>0</v>
      </c>
      <c r="O2462" s="16">
        <v>0</v>
      </c>
      <c r="P2462" s="16">
        <v>0</v>
      </c>
      <c r="Q2462" s="16">
        <v>1</v>
      </c>
      <c r="R2462" s="16">
        <v>1</v>
      </c>
      <c r="S2462" s="16">
        <v>1</v>
      </c>
      <c r="T2462" s="18" t="s">
        <v>921</v>
      </c>
      <c r="U2462" t="str">
        <f>VLOOKUP(T2462,[8]Votes!$A$1:$E$234,3,FALSE)</f>
        <v>008 Ministry of Finance, Planning &amp; Economic Dev.</v>
      </c>
      <c r="V2462" s="18" t="s">
        <v>8081</v>
      </c>
      <c r="W2462" s="48">
        <v>1</v>
      </c>
      <c r="X2462" s="48">
        <v>1</v>
      </c>
      <c r="Y2462" s="48">
        <v>0</v>
      </c>
      <c r="Z2462" s="48">
        <v>1</v>
      </c>
      <c r="AA2462" s="48">
        <v>1</v>
      </c>
      <c r="AB2462" s="48">
        <v>1</v>
      </c>
      <c r="AC2462" s="150">
        <v>1</v>
      </c>
      <c r="AD2462" s="150">
        <v>1</v>
      </c>
      <c r="AE2462" s="49">
        <f t="shared" si="127"/>
        <v>0.875</v>
      </c>
      <c r="AF2462" s="255"/>
      <c r="AG2462" s="17">
        <v>0</v>
      </c>
      <c r="AH2462" s="255">
        <v>0</v>
      </c>
      <c r="AI2462" s="255">
        <v>0</v>
      </c>
      <c r="AJ2462" s="255">
        <v>0.72499999999999998</v>
      </c>
      <c r="AK2462" s="256">
        <v>0</v>
      </c>
      <c r="AL2462" s="256">
        <v>0.4</v>
      </c>
      <c r="AM2462" s="17">
        <f t="shared" si="128"/>
        <v>0.4</v>
      </c>
      <c r="AN2462" s="18" t="s">
        <v>921</v>
      </c>
      <c r="AO2462" s="18" t="s">
        <v>880</v>
      </c>
    </row>
    <row r="2463" spans="1:45" s="18" customFormat="1" ht="15" hidden="1" customHeight="1" x14ac:dyDescent="0.3">
      <c r="A2463" s="207" t="s">
        <v>7397</v>
      </c>
      <c r="B2463" s="18" t="s">
        <v>7398</v>
      </c>
      <c r="C2463" s="208" t="s">
        <v>7589</v>
      </c>
      <c r="D2463" s="18" t="s">
        <v>7590</v>
      </c>
      <c r="E2463" s="156" t="s">
        <v>8082</v>
      </c>
      <c r="F2463" s="18" t="s">
        <v>7976</v>
      </c>
      <c r="G2463" s="156" t="s">
        <v>8083</v>
      </c>
      <c r="H2463" s="18" t="s">
        <v>8084</v>
      </c>
      <c r="I2463" s="156"/>
      <c r="K2463" s="156" t="s">
        <v>8085</v>
      </c>
      <c r="L2463" s="18" t="s">
        <v>8086</v>
      </c>
      <c r="M2463" s="18" t="s">
        <v>8087</v>
      </c>
      <c r="N2463" s="16">
        <v>0</v>
      </c>
      <c r="O2463" s="16">
        <v>0</v>
      </c>
      <c r="P2463" s="16">
        <v>0</v>
      </c>
      <c r="Q2463" s="16">
        <v>1</v>
      </c>
      <c r="R2463" s="16">
        <v>0</v>
      </c>
      <c r="S2463" s="16">
        <v>0</v>
      </c>
      <c r="T2463" s="18" t="s">
        <v>831</v>
      </c>
      <c r="U2463" t="str">
        <f>VLOOKUP(T2463,[8]Votes!$A$1:$E$234,3,FALSE)</f>
        <v>108 National Planning Authority</v>
      </c>
      <c r="V2463" s="18" t="s">
        <v>8088</v>
      </c>
      <c r="W2463" s="48">
        <v>0</v>
      </c>
      <c r="X2463" s="48">
        <v>0</v>
      </c>
      <c r="Y2463" s="48">
        <v>0</v>
      </c>
      <c r="Z2463" s="48">
        <v>1</v>
      </c>
      <c r="AA2463" s="48">
        <v>0</v>
      </c>
      <c r="AB2463" s="48">
        <v>0</v>
      </c>
      <c r="AC2463" s="150">
        <v>0</v>
      </c>
      <c r="AD2463" s="150">
        <v>1</v>
      </c>
      <c r="AE2463" s="49">
        <f t="shared" si="127"/>
        <v>0.25</v>
      </c>
      <c r="AF2463" s="255"/>
      <c r="AG2463" s="17">
        <v>0</v>
      </c>
      <c r="AH2463" s="255">
        <v>0</v>
      </c>
      <c r="AI2463" s="255">
        <v>0</v>
      </c>
      <c r="AJ2463" s="255">
        <v>1.1599999999999999</v>
      </c>
      <c r="AK2463" s="256">
        <v>0</v>
      </c>
      <c r="AL2463" s="256">
        <v>0</v>
      </c>
      <c r="AM2463" s="17">
        <f t="shared" si="128"/>
        <v>0</v>
      </c>
      <c r="AN2463" s="18" t="s">
        <v>831</v>
      </c>
      <c r="AO2463" s="18" t="s">
        <v>834</v>
      </c>
    </row>
    <row r="2464" spans="1:45" s="18" customFormat="1" hidden="1" x14ac:dyDescent="0.3">
      <c r="A2464" s="207" t="s">
        <v>7397</v>
      </c>
      <c r="B2464" s="18" t="s">
        <v>7398</v>
      </c>
      <c r="C2464" s="208" t="s">
        <v>7589</v>
      </c>
      <c r="D2464" s="18" t="s">
        <v>7590</v>
      </c>
      <c r="E2464" s="156" t="s">
        <v>8082</v>
      </c>
      <c r="F2464" s="18" t="s">
        <v>7976</v>
      </c>
      <c r="G2464" s="156" t="s">
        <v>8083</v>
      </c>
      <c r="H2464" s="18" t="s">
        <v>8084</v>
      </c>
      <c r="I2464" s="156"/>
      <c r="K2464" s="156" t="s">
        <v>8089</v>
      </c>
      <c r="L2464" s="18" t="s">
        <v>8090</v>
      </c>
      <c r="M2464" s="18" t="s">
        <v>8091</v>
      </c>
      <c r="N2464" s="16">
        <v>0</v>
      </c>
      <c r="O2464" s="16">
        <v>1</v>
      </c>
      <c r="P2464" s="16">
        <v>1</v>
      </c>
      <c r="Q2464" s="16">
        <v>1</v>
      </c>
      <c r="R2464" s="16">
        <v>1</v>
      </c>
      <c r="S2464" s="16">
        <v>1</v>
      </c>
      <c r="T2464" s="18" t="s">
        <v>831</v>
      </c>
      <c r="U2464" t="str">
        <f>VLOOKUP(T2464,[8]Votes!$A$1:$E$234,3,FALSE)</f>
        <v>108 National Planning Authority</v>
      </c>
      <c r="V2464" s="18" t="s">
        <v>8092</v>
      </c>
      <c r="W2464" s="48">
        <v>1</v>
      </c>
      <c r="X2464" s="48">
        <v>0</v>
      </c>
      <c r="Y2464" s="48">
        <v>0</v>
      </c>
      <c r="Z2464" s="48">
        <v>1</v>
      </c>
      <c r="AA2464" s="48">
        <v>1</v>
      </c>
      <c r="AB2464" s="48">
        <v>0</v>
      </c>
      <c r="AC2464" s="150">
        <v>0</v>
      </c>
      <c r="AD2464" s="150">
        <v>1</v>
      </c>
      <c r="AE2464" s="49">
        <f t="shared" si="127"/>
        <v>0.5</v>
      </c>
      <c r="AF2464" s="255"/>
      <c r="AG2464" s="17">
        <v>0</v>
      </c>
      <c r="AH2464" s="255">
        <v>0.2175</v>
      </c>
      <c r="AI2464" s="255">
        <v>0.2175</v>
      </c>
      <c r="AJ2464" s="255">
        <v>0.2175</v>
      </c>
      <c r="AK2464" s="256">
        <v>0.2175</v>
      </c>
      <c r="AL2464" s="256">
        <v>0.2175</v>
      </c>
      <c r="AM2464" s="17">
        <f t="shared" si="128"/>
        <v>0.435</v>
      </c>
      <c r="AN2464" s="18" t="s">
        <v>831</v>
      </c>
      <c r="AO2464" s="18" t="s">
        <v>834</v>
      </c>
    </row>
    <row r="2465" spans="1:45" s="18" customFormat="1" ht="15" hidden="1" customHeight="1" x14ac:dyDescent="0.3">
      <c r="A2465" s="207" t="s">
        <v>7397</v>
      </c>
      <c r="B2465" s="18" t="s">
        <v>7398</v>
      </c>
      <c r="C2465" s="207" t="s">
        <v>7400</v>
      </c>
      <c r="D2465" s="18" t="s">
        <v>7401</v>
      </c>
      <c r="E2465" s="208" t="s">
        <v>8093</v>
      </c>
      <c r="F2465" s="18" t="s">
        <v>8094</v>
      </c>
      <c r="G2465" s="156" t="s">
        <v>8095</v>
      </c>
      <c r="H2465" s="18" t="s">
        <v>8096</v>
      </c>
      <c r="I2465" s="156"/>
      <c r="K2465" s="156" t="s">
        <v>8097</v>
      </c>
      <c r="L2465" s="18" t="s">
        <v>8098</v>
      </c>
      <c r="M2465" s="18" t="s">
        <v>8099</v>
      </c>
      <c r="N2465" s="16">
        <v>50</v>
      </c>
      <c r="O2465" s="16">
        <v>100</v>
      </c>
      <c r="P2465" s="16">
        <v>100</v>
      </c>
      <c r="Q2465" s="16">
        <v>100</v>
      </c>
      <c r="R2465" s="16">
        <v>100</v>
      </c>
      <c r="S2465" s="16">
        <v>100</v>
      </c>
      <c r="T2465" s="18" t="s">
        <v>8100</v>
      </c>
      <c r="U2465" t="str">
        <f>VLOOKUP(T2465,[8]Votes!$A$1:$E$234,3,FALSE)</f>
        <v>143 Uganda Bureau of Statistics</v>
      </c>
      <c r="V2465" s="18" t="s">
        <v>8101</v>
      </c>
      <c r="W2465" s="48">
        <v>0</v>
      </c>
      <c r="X2465" s="48">
        <v>1</v>
      </c>
      <c r="Y2465" s="48">
        <v>0</v>
      </c>
      <c r="Z2465" s="48">
        <v>1</v>
      </c>
      <c r="AA2465" s="48">
        <v>1</v>
      </c>
      <c r="AB2465" s="48">
        <v>0</v>
      </c>
      <c r="AC2465" s="150">
        <v>1</v>
      </c>
      <c r="AD2465" s="150">
        <v>1</v>
      </c>
      <c r="AE2465" s="49">
        <f t="shared" si="127"/>
        <v>0.625</v>
      </c>
      <c r="AF2465" s="255"/>
      <c r="AG2465" s="17">
        <v>0</v>
      </c>
      <c r="AH2465" s="255">
        <v>134.63415799216955</v>
      </c>
      <c r="AI2465" s="255">
        <v>288.55</v>
      </c>
      <c r="AJ2465" s="255">
        <v>264.24</v>
      </c>
      <c r="AK2465" s="256">
        <v>228.86</v>
      </c>
      <c r="AL2465" s="256">
        <v>191.02</v>
      </c>
      <c r="AM2465" s="17">
        <f t="shared" si="128"/>
        <v>419.88</v>
      </c>
      <c r="AN2465" s="18" t="s">
        <v>8100</v>
      </c>
      <c r="AO2465" s="18" t="s">
        <v>2019</v>
      </c>
    </row>
    <row r="2466" spans="1:45" s="18" customFormat="1" ht="15" hidden="1" customHeight="1" x14ac:dyDescent="0.3">
      <c r="A2466" s="207" t="s">
        <v>7397</v>
      </c>
      <c r="B2466" s="18" t="s">
        <v>7398</v>
      </c>
      <c r="C2466" s="207" t="s">
        <v>7400</v>
      </c>
      <c r="D2466" s="18" t="s">
        <v>7401</v>
      </c>
      <c r="E2466" s="208" t="s">
        <v>8093</v>
      </c>
      <c r="F2466" s="18" t="s">
        <v>8094</v>
      </c>
      <c r="G2466" s="156" t="s">
        <v>8095</v>
      </c>
      <c r="H2466" s="18" t="s">
        <v>8096</v>
      </c>
      <c r="I2466" s="156"/>
      <c r="K2466" s="156" t="s">
        <v>8102</v>
      </c>
      <c r="L2466" s="18" t="s">
        <v>8103</v>
      </c>
      <c r="M2466" s="18" t="s">
        <v>8104</v>
      </c>
      <c r="N2466" s="16">
        <v>66</v>
      </c>
      <c r="O2466" s="16">
        <v>100</v>
      </c>
      <c r="P2466" s="16">
        <v>100</v>
      </c>
      <c r="Q2466" s="16">
        <v>100</v>
      </c>
      <c r="R2466" s="16">
        <v>100</v>
      </c>
      <c r="S2466" s="16">
        <v>100</v>
      </c>
      <c r="T2466" s="18" t="s">
        <v>8100</v>
      </c>
      <c r="U2466" t="str">
        <f>VLOOKUP(T2466,[8]Votes!$A$1:$E$234,3,FALSE)</f>
        <v>143 Uganda Bureau of Statistics</v>
      </c>
      <c r="W2466" s="48"/>
      <c r="X2466" s="48"/>
      <c r="Y2466" s="48"/>
      <c r="Z2466" s="48"/>
      <c r="AA2466" s="48"/>
      <c r="AB2466" s="48"/>
      <c r="AC2466" s="150">
        <v>0</v>
      </c>
      <c r="AD2466" s="150">
        <v>0</v>
      </c>
      <c r="AE2466" s="49">
        <f t="shared" si="127"/>
        <v>0</v>
      </c>
      <c r="AF2466" s="17"/>
      <c r="AG2466" s="17">
        <v>0</v>
      </c>
      <c r="AH2466" s="17"/>
      <c r="AI2466" s="17"/>
      <c r="AJ2466" s="17"/>
      <c r="AK2466" s="154"/>
      <c r="AL2466" s="154"/>
      <c r="AM2466" s="17">
        <f t="shared" si="128"/>
        <v>0</v>
      </c>
    </row>
    <row r="2467" spans="1:45" s="18" customFormat="1" ht="15" customHeight="1" x14ac:dyDescent="0.3">
      <c r="A2467" s="207" t="s">
        <v>7397</v>
      </c>
      <c r="B2467" s="18" t="s">
        <v>7398</v>
      </c>
      <c r="C2467" s="207" t="s">
        <v>7400</v>
      </c>
      <c r="D2467" s="18" t="s">
        <v>7401</v>
      </c>
      <c r="E2467" s="208" t="s">
        <v>8093</v>
      </c>
      <c r="F2467" s="18" t="s">
        <v>8094</v>
      </c>
      <c r="G2467" s="156" t="s">
        <v>8105</v>
      </c>
      <c r="H2467" s="18" t="s">
        <v>8106</v>
      </c>
      <c r="I2467" s="156"/>
      <c r="K2467" s="156" t="s">
        <v>8107</v>
      </c>
      <c r="L2467" s="18" t="s">
        <v>8108</v>
      </c>
      <c r="M2467" s="18" t="s">
        <v>8109</v>
      </c>
      <c r="N2467" s="16">
        <v>15</v>
      </c>
      <c r="O2467" s="16">
        <v>25</v>
      </c>
      <c r="P2467" s="16">
        <v>35</v>
      </c>
      <c r="Q2467" s="16">
        <v>45</v>
      </c>
      <c r="R2467" s="16">
        <v>55</v>
      </c>
      <c r="S2467" s="16">
        <v>65</v>
      </c>
      <c r="T2467" s="18" t="s">
        <v>8100</v>
      </c>
      <c r="U2467" t="str">
        <f>VLOOKUP(T2467,[8]Votes!$A$1:$E$234,3,FALSE)</f>
        <v>143 Uganda Bureau of Statistics</v>
      </c>
      <c r="V2467" s="18" t="s">
        <v>8110</v>
      </c>
      <c r="W2467" s="48">
        <v>1</v>
      </c>
      <c r="X2467" s="48">
        <v>0</v>
      </c>
      <c r="Y2467" s="48">
        <v>1</v>
      </c>
      <c r="Z2467" s="48">
        <v>1</v>
      </c>
      <c r="AA2467" s="48">
        <v>1</v>
      </c>
      <c r="AB2467" s="48">
        <v>0</v>
      </c>
      <c r="AC2467" s="150">
        <v>1</v>
      </c>
      <c r="AD2467" s="150">
        <v>1</v>
      </c>
      <c r="AE2467" s="49">
        <f t="shared" si="127"/>
        <v>0.75</v>
      </c>
      <c r="AF2467" s="255"/>
      <c r="AG2467" s="17">
        <v>0</v>
      </c>
      <c r="AH2467" s="255">
        <v>4.3499999999999996</v>
      </c>
      <c r="AI2467" s="255">
        <v>33.93</v>
      </c>
      <c r="AJ2467" s="255">
        <v>4.3499999999999996</v>
      </c>
      <c r="AK2467" s="256">
        <v>2.35</v>
      </c>
      <c r="AL2467" s="256">
        <v>3.96</v>
      </c>
      <c r="AM2467" s="17">
        <f t="shared" si="128"/>
        <v>6.3100000000000005</v>
      </c>
      <c r="AN2467" s="18" t="s">
        <v>8100</v>
      </c>
      <c r="AO2467" s="18" t="s">
        <v>2019</v>
      </c>
    </row>
    <row r="2468" spans="1:45" s="18" customFormat="1" ht="15" customHeight="1" x14ac:dyDescent="0.3">
      <c r="A2468" s="207" t="s">
        <v>7397</v>
      </c>
      <c r="B2468" s="18" t="s">
        <v>7398</v>
      </c>
      <c r="C2468" s="207" t="s">
        <v>7400</v>
      </c>
      <c r="D2468" s="18" t="s">
        <v>7401</v>
      </c>
      <c r="E2468" s="208" t="s">
        <v>8093</v>
      </c>
      <c r="F2468" s="18" t="s">
        <v>8094</v>
      </c>
      <c r="G2468" s="156" t="s">
        <v>8105</v>
      </c>
      <c r="H2468" s="18" t="s">
        <v>8106</v>
      </c>
      <c r="I2468" s="156"/>
      <c r="K2468" s="156" t="s">
        <v>8111</v>
      </c>
      <c r="L2468" s="18" t="s">
        <v>8112</v>
      </c>
      <c r="M2468" s="18" t="s">
        <v>8113</v>
      </c>
      <c r="N2468" s="16"/>
      <c r="O2468" s="16">
        <v>1500</v>
      </c>
      <c r="P2468" s="16">
        <v>2000</v>
      </c>
      <c r="Q2468" s="16">
        <v>2300</v>
      </c>
      <c r="R2468" s="16">
        <v>2500</v>
      </c>
      <c r="S2468" s="16">
        <v>3000</v>
      </c>
      <c r="T2468" s="18" t="s">
        <v>8100</v>
      </c>
      <c r="U2468" t="str">
        <f>VLOOKUP(T2468,[8]Votes!$A$1:$E$234,3,FALSE)</f>
        <v>143 Uganda Bureau of Statistics</v>
      </c>
      <c r="V2468" s="18" t="s">
        <v>8114</v>
      </c>
      <c r="W2468" s="48">
        <v>1</v>
      </c>
      <c r="X2468" s="48">
        <v>0</v>
      </c>
      <c r="Y2468" s="48">
        <v>1</v>
      </c>
      <c r="Z2468" s="48">
        <v>1</v>
      </c>
      <c r="AA2468" s="48">
        <v>1</v>
      </c>
      <c r="AB2468" s="48">
        <v>0</v>
      </c>
      <c r="AC2468" s="150">
        <v>1</v>
      </c>
      <c r="AD2468" s="150">
        <v>1</v>
      </c>
      <c r="AE2468" s="49">
        <f t="shared" si="127"/>
        <v>0.75</v>
      </c>
      <c r="AF2468" s="176"/>
      <c r="AG2468" s="17">
        <v>0</v>
      </c>
      <c r="AH2468" s="176">
        <v>0.15</v>
      </c>
      <c r="AI2468" s="176">
        <v>0.15</v>
      </c>
      <c r="AJ2468" s="176">
        <v>0.15</v>
      </c>
      <c r="AK2468" s="177">
        <v>0.15</v>
      </c>
      <c r="AL2468" s="177">
        <v>0.15</v>
      </c>
      <c r="AM2468" s="17">
        <f t="shared" si="128"/>
        <v>0.3</v>
      </c>
      <c r="AN2468" s="18" t="s">
        <v>8100</v>
      </c>
    </row>
    <row r="2469" spans="1:45" s="18" customFormat="1" ht="15" customHeight="1" x14ac:dyDescent="0.3">
      <c r="A2469" s="207" t="s">
        <v>7397</v>
      </c>
      <c r="B2469" s="18" t="s">
        <v>7398</v>
      </c>
      <c r="C2469" s="207" t="s">
        <v>7400</v>
      </c>
      <c r="D2469" s="18" t="s">
        <v>7401</v>
      </c>
      <c r="E2469" s="208" t="s">
        <v>8093</v>
      </c>
      <c r="F2469" s="18" t="s">
        <v>8094</v>
      </c>
      <c r="G2469" s="156" t="s">
        <v>8115</v>
      </c>
      <c r="H2469" s="18" t="s">
        <v>8116</v>
      </c>
      <c r="I2469" s="156"/>
      <c r="K2469" s="156" t="s">
        <v>8117</v>
      </c>
      <c r="L2469" s="18" t="s">
        <v>8118</v>
      </c>
      <c r="M2469" s="18" t="s">
        <v>8119</v>
      </c>
      <c r="N2469" s="16">
        <v>0</v>
      </c>
      <c r="O2469" s="16">
        <v>30</v>
      </c>
      <c r="P2469" s="16">
        <v>30</v>
      </c>
      <c r="Q2469" s="16">
        <v>30</v>
      </c>
      <c r="R2469" s="16">
        <v>30</v>
      </c>
      <c r="S2469" s="16">
        <v>30</v>
      </c>
      <c r="T2469" s="18" t="s">
        <v>8100</v>
      </c>
      <c r="U2469" t="str">
        <f>VLOOKUP(T2469,[8]Votes!$A$1:$E$234,3,FALSE)</f>
        <v>143 Uganda Bureau of Statistics</v>
      </c>
      <c r="V2469" s="18" t="s">
        <v>8120</v>
      </c>
      <c r="W2469" s="48">
        <v>1</v>
      </c>
      <c r="X2469" s="48">
        <v>0</v>
      </c>
      <c r="Y2469" s="48">
        <v>1</v>
      </c>
      <c r="Z2469" s="48">
        <v>1</v>
      </c>
      <c r="AA2469" s="48">
        <v>1</v>
      </c>
      <c r="AB2469" s="48">
        <v>0</v>
      </c>
      <c r="AC2469" s="150">
        <v>1</v>
      </c>
      <c r="AD2469" s="150">
        <v>1</v>
      </c>
      <c r="AE2469" s="49">
        <f t="shared" si="127"/>
        <v>0.75</v>
      </c>
      <c r="AF2469" s="176"/>
      <c r="AG2469" s="17">
        <v>0</v>
      </c>
      <c r="AH2469" s="176">
        <v>0.36</v>
      </c>
      <c r="AI2469" s="176">
        <v>0.36</v>
      </c>
      <c r="AJ2469" s="176">
        <v>0.36</v>
      </c>
      <c r="AK2469" s="177">
        <v>0.36</v>
      </c>
      <c r="AL2469" s="177">
        <v>0.36</v>
      </c>
      <c r="AM2469" s="17">
        <f t="shared" si="128"/>
        <v>0.72</v>
      </c>
      <c r="AN2469" s="18" t="s">
        <v>8100</v>
      </c>
    </row>
    <row r="2470" spans="1:45" s="18" customFormat="1" hidden="1" x14ac:dyDescent="0.3">
      <c r="A2470" s="207" t="s">
        <v>7397</v>
      </c>
      <c r="B2470" s="18" t="s">
        <v>7398</v>
      </c>
      <c r="C2470" s="207" t="s">
        <v>7400</v>
      </c>
      <c r="D2470" s="18" t="s">
        <v>7401</v>
      </c>
      <c r="E2470" s="208" t="s">
        <v>8093</v>
      </c>
      <c r="F2470" s="18" t="s">
        <v>8094</v>
      </c>
      <c r="G2470" s="156" t="s">
        <v>8121</v>
      </c>
      <c r="H2470" s="18" t="s">
        <v>8122</v>
      </c>
      <c r="I2470" s="156"/>
      <c r="K2470" s="156" t="s">
        <v>8123</v>
      </c>
      <c r="L2470" s="18" t="s">
        <v>8124</v>
      </c>
      <c r="M2470" s="18" t="s">
        <v>8125</v>
      </c>
      <c r="N2470" s="16">
        <v>0</v>
      </c>
      <c r="O2470" s="16">
        <v>0</v>
      </c>
      <c r="P2470" s="16">
        <v>1</v>
      </c>
      <c r="Q2470" s="16">
        <v>0</v>
      </c>
      <c r="R2470" s="16">
        <v>0</v>
      </c>
      <c r="S2470" s="16">
        <v>0</v>
      </c>
      <c r="T2470" s="18" t="s">
        <v>8100</v>
      </c>
      <c r="U2470" t="str">
        <f>VLOOKUP(T2470,[8]Votes!$A$1:$E$234,3,FALSE)</f>
        <v>143 Uganda Bureau of Statistics</v>
      </c>
      <c r="V2470" s="18" t="s">
        <v>8126</v>
      </c>
      <c r="W2470" s="48">
        <v>1</v>
      </c>
      <c r="X2470" s="48">
        <v>0</v>
      </c>
      <c r="Y2470" s="48">
        <v>0</v>
      </c>
      <c r="Z2470" s="48">
        <v>1</v>
      </c>
      <c r="AA2470" s="48">
        <v>1</v>
      </c>
      <c r="AB2470" s="48">
        <v>0</v>
      </c>
      <c r="AC2470" s="150">
        <v>1</v>
      </c>
      <c r="AD2470" s="150">
        <v>1</v>
      </c>
      <c r="AE2470" s="49">
        <f t="shared" si="127"/>
        <v>0.625</v>
      </c>
      <c r="AF2470" s="255"/>
      <c r="AG2470" s="17">
        <v>0</v>
      </c>
      <c r="AH2470" s="255">
        <v>7.2499999999999995E-2</v>
      </c>
      <c r="AI2470" s="255">
        <v>2.8999999999999998E-2</v>
      </c>
      <c r="AJ2470" s="255">
        <v>0</v>
      </c>
      <c r="AK2470" s="256">
        <v>0</v>
      </c>
      <c r="AL2470" s="256">
        <v>2.8999999999999998E-2</v>
      </c>
      <c r="AM2470" s="17">
        <f t="shared" si="128"/>
        <v>2.8999999999999998E-2</v>
      </c>
      <c r="AN2470" s="18" t="s">
        <v>8100</v>
      </c>
      <c r="AO2470" s="18" t="s">
        <v>2019</v>
      </c>
    </row>
    <row r="2471" spans="1:45" s="18" customFormat="1" ht="15" hidden="1" customHeight="1" x14ac:dyDescent="0.3">
      <c r="A2471" s="207" t="s">
        <v>7397</v>
      </c>
      <c r="B2471" s="18" t="s">
        <v>7398</v>
      </c>
      <c r="C2471" s="207" t="s">
        <v>7400</v>
      </c>
      <c r="D2471" s="18" t="s">
        <v>7401</v>
      </c>
      <c r="E2471" s="208" t="s">
        <v>8093</v>
      </c>
      <c r="F2471" s="18" t="s">
        <v>8094</v>
      </c>
      <c r="G2471" s="156" t="s">
        <v>8127</v>
      </c>
      <c r="H2471" s="18" t="s">
        <v>8128</v>
      </c>
      <c r="I2471" s="156"/>
      <c r="K2471" s="156" t="s">
        <v>8129</v>
      </c>
      <c r="L2471" s="18" t="s">
        <v>8130</v>
      </c>
      <c r="M2471" s="18" t="s">
        <v>8131</v>
      </c>
      <c r="N2471" s="16">
        <v>60</v>
      </c>
      <c r="O2471" s="16">
        <v>80</v>
      </c>
      <c r="P2471" s="16">
        <v>100</v>
      </c>
      <c r="Q2471" s="16">
        <v>100</v>
      </c>
      <c r="R2471" s="16">
        <v>100</v>
      </c>
      <c r="S2471" s="16">
        <v>100</v>
      </c>
      <c r="T2471" s="18" t="s">
        <v>8100</v>
      </c>
      <c r="U2471" t="str">
        <f>VLOOKUP(T2471,[8]Votes!$A$1:$E$234,3,FALSE)</f>
        <v>143 Uganda Bureau of Statistics</v>
      </c>
      <c r="V2471" s="18" t="s">
        <v>8132</v>
      </c>
      <c r="W2471" s="48">
        <v>1</v>
      </c>
      <c r="X2471" s="48">
        <v>0</v>
      </c>
      <c r="Y2471" s="48">
        <v>1</v>
      </c>
      <c r="Z2471" s="48">
        <v>1</v>
      </c>
      <c r="AA2471" s="48">
        <v>0</v>
      </c>
      <c r="AB2471" s="48">
        <v>0</v>
      </c>
      <c r="AC2471" s="150">
        <v>1</v>
      </c>
      <c r="AD2471" s="150">
        <v>1</v>
      </c>
      <c r="AE2471" s="49">
        <f t="shared" si="127"/>
        <v>0.625</v>
      </c>
      <c r="AF2471" s="255"/>
      <c r="AG2471" s="17">
        <v>0</v>
      </c>
      <c r="AH2471" s="255">
        <v>0.28999999999999998</v>
      </c>
      <c r="AI2471" s="255">
        <v>0.14499999999999999</v>
      </c>
      <c r="AJ2471" s="255">
        <v>0</v>
      </c>
      <c r="AK2471" s="256">
        <v>0</v>
      </c>
      <c r="AL2471" s="256">
        <v>0</v>
      </c>
      <c r="AM2471" s="17">
        <f t="shared" si="128"/>
        <v>0</v>
      </c>
      <c r="AN2471" s="18" t="s">
        <v>8100</v>
      </c>
      <c r="AO2471" s="18" t="s">
        <v>2019</v>
      </c>
    </row>
    <row r="2472" spans="1:45" s="18" customFormat="1" ht="15" hidden="1" customHeight="1" x14ac:dyDescent="0.3">
      <c r="A2472" s="207" t="s">
        <v>7397</v>
      </c>
      <c r="B2472" s="18" t="s">
        <v>7398</v>
      </c>
      <c r="C2472" s="207" t="s">
        <v>7400</v>
      </c>
      <c r="D2472" s="18" t="s">
        <v>7401</v>
      </c>
      <c r="E2472" s="208" t="s">
        <v>8093</v>
      </c>
      <c r="F2472" s="18" t="s">
        <v>8094</v>
      </c>
      <c r="G2472" s="156" t="s">
        <v>8127</v>
      </c>
      <c r="H2472" s="18" t="s">
        <v>8128</v>
      </c>
      <c r="I2472" s="156"/>
      <c r="K2472" s="156" t="s">
        <v>8129</v>
      </c>
      <c r="L2472" s="18" t="s">
        <v>8130</v>
      </c>
      <c r="M2472" s="18" t="s">
        <v>8133</v>
      </c>
      <c r="N2472" s="16">
        <v>0</v>
      </c>
      <c r="O2472" s="16">
        <v>1</v>
      </c>
      <c r="P2472" s="16">
        <v>1</v>
      </c>
      <c r="Q2472" s="16">
        <v>1</v>
      </c>
      <c r="R2472" s="16">
        <v>1</v>
      </c>
      <c r="S2472" s="16">
        <v>1</v>
      </c>
      <c r="T2472" s="18" t="s">
        <v>8100</v>
      </c>
      <c r="U2472" t="str">
        <f>VLOOKUP(T2472,[8]Votes!$A$1:$E$234,3,FALSE)</f>
        <v>143 Uganda Bureau of Statistics</v>
      </c>
      <c r="W2472" s="48"/>
      <c r="X2472" s="48"/>
      <c r="Y2472" s="48"/>
      <c r="Z2472" s="48"/>
      <c r="AA2472" s="48"/>
      <c r="AB2472" s="48"/>
      <c r="AC2472" s="150">
        <v>0</v>
      </c>
      <c r="AD2472" s="150">
        <v>0</v>
      </c>
      <c r="AE2472" s="49">
        <f t="shared" si="127"/>
        <v>0</v>
      </c>
      <c r="AF2472" s="17"/>
      <c r="AG2472" s="17">
        <v>0</v>
      </c>
      <c r="AH2472" s="17"/>
      <c r="AI2472" s="17"/>
      <c r="AJ2472" s="17"/>
      <c r="AK2472" s="154"/>
      <c r="AL2472" s="154"/>
      <c r="AM2472" s="17">
        <f t="shared" si="128"/>
        <v>0</v>
      </c>
    </row>
    <row r="2473" spans="1:45" s="18" customFormat="1" ht="15" hidden="1" customHeight="1" x14ac:dyDescent="0.3">
      <c r="A2473" s="207" t="s">
        <v>7397</v>
      </c>
      <c r="B2473" s="18" t="s">
        <v>7398</v>
      </c>
      <c r="C2473" s="207" t="s">
        <v>7400</v>
      </c>
      <c r="D2473" s="18" t="s">
        <v>7401</v>
      </c>
      <c r="E2473" s="208" t="s">
        <v>8093</v>
      </c>
      <c r="F2473" s="18" t="s">
        <v>8094</v>
      </c>
      <c r="G2473" s="156" t="s">
        <v>8134</v>
      </c>
      <c r="H2473" s="18" t="s">
        <v>8135</v>
      </c>
      <c r="I2473" s="156"/>
      <c r="K2473" s="156" t="s">
        <v>8136</v>
      </c>
      <c r="L2473" s="18" t="s">
        <v>8137</v>
      </c>
      <c r="M2473" s="18" t="s">
        <v>8138</v>
      </c>
      <c r="N2473" s="16">
        <v>31</v>
      </c>
      <c r="O2473" s="16">
        <v>50</v>
      </c>
      <c r="P2473" s="16">
        <v>60</v>
      </c>
      <c r="Q2473" s="16">
        <v>70</v>
      </c>
      <c r="R2473" s="16">
        <v>80</v>
      </c>
      <c r="S2473" s="16">
        <v>90</v>
      </c>
      <c r="T2473" s="18" t="s">
        <v>8100</v>
      </c>
      <c r="U2473" t="str">
        <f>VLOOKUP(T2473,[8]Votes!$A$1:$E$234,3,FALSE)</f>
        <v>143 Uganda Bureau of Statistics</v>
      </c>
      <c r="V2473" s="18" t="s">
        <v>8139</v>
      </c>
      <c r="W2473" s="48">
        <v>1</v>
      </c>
      <c r="X2473" s="48">
        <v>0</v>
      </c>
      <c r="Y2473" s="48">
        <v>0</v>
      </c>
      <c r="Z2473" s="48">
        <v>1</v>
      </c>
      <c r="AA2473" s="48">
        <v>1</v>
      </c>
      <c r="AB2473" s="48">
        <v>0</v>
      </c>
      <c r="AC2473" s="150">
        <v>1</v>
      </c>
      <c r="AD2473" s="150">
        <v>1</v>
      </c>
      <c r="AE2473" s="49">
        <f t="shared" si="127"/>
        <v>0.625</v>
      </c>
      <c r="AF2473" s="255"/>
      <c r="AG2473" s="17">
        <v>0</v>
      </c>
      <c r="AH2473" s="255">
        <v>7.2499999999999995E-2</v>
      </c>
      <c r="AI2473" s="255">
        <v>7.2499999999999995E-2</v>
      </c>
      <c r="AJ2473" s="255">
        <v>7.2499999999999995E-2</v>
      </c>
      <c r="AK2473" s="256">
        <v>7.2499999999999995E-2</v>
      </c>
      <c r="AL2473" s="256">
        <v>7.2499999999999995E-2</v>
      </c>
      <c r="AM2473" s="17">
        <f t="shared" si="128"/>
        <v>0.14499999999999999</v>
      </c>
      <c r="AN2473" s="18" t="s">
        <v>8100</v>
      </c>
      <c r="AO2473" s="18" t="s">
        <v>2019</v>
      </c>
    </row>
    <row r="2474" spans="1:45" s="18" customFormat="1" ht="15" hidden="1" customHeight="1" x14ac:dyDescent="0.3">
      <c r="A2474" s="207" t="s">
        <v>7397</v>
      </c>
      <c r="B2474" s="18" t="s">
        <v>7398</v>
      </c>
      <c r="C2474" s="207" t="s">
        <v>7400</v>
      </c>
      <c r="D2474" s="18" t="s">
        <v>7401</v>
      </c>
      <c r="E2474" s="208" t="s">
        <v>8093</v>
      </c>
      <c r="F2474" s="18" t="s">
        <v>8094</v>
      </c>
      <c r="G2474" s="156" t="s">
        <v>8140</v>
      </c>
      <c r="H2474" s="18" t="s">
        <v>8141</v>
      </c>
      <c r="I2474" s="156"/>
      <c r="K2474" s="156" t="s">
        <v>8142</v>
      </c>
      <c r="L2474" s="18" t="s">
        <v>8143</v>
      </c>
      <c r="M2474" s="18" t="s">
        <v>8144</v>
      </c>
      <c r="N2474" s="16">
        <v>35</v>
      </c>
      <c r="O2474" s="16">
        <v>40</v>
      </c>
      <c r="P2474" s="16">
        <v>60</v>
      </c>
      <c r="Q2474" s="16">
        <v>75</v>
      </c>
      <c r="R2474" s="16">
        <v>80</v>
      </c>
      <c r="S2474" s="16">
        <v>90</v>
      </c>
      <c r="T2474" s="18" t="s">
        <v>8100</v>
      </c>
      <c r="U2474" t="str">
        <f>VLOOKUP(T2474,[8]Votes!$A$1:$E$234,3,FALSE)</f>
        <v>143 Uganda Bureau of Statistics</v>
      </c>
      <c r="V2474" s="18" t="s">
        <v>8145</v>
      </c>
      <c r="W2474" s="48">
        <v>1</v>
      </c>
      <c r="X2474" s="48">
        <v>0</v>
      </c>
      <c r="Y2474" s="48">
        <v>0</v>
      </c>
      <c r="Z2474" s="48">
        <v>1</v>
      </c>
      <c r="AA2474" s="48">
        <v>1</v>
      </c>
      <c r="AB2474" s="48">
        <v>0</v>
      </c>
      <c r="AC2474" s="150">
        <v>1</v>
      </c>
      <c r="AD2474" s="150">
        <v>1</v>
      </c>
      <c r="AE2474" s="49">
        <f t="shared" si="127"/>
        <v>0.625</v>
      </c>
      <c r="AF2474" s="255"/>
      <c r="AG2474" s="17">
        <v>0</v>
      </c>
      <c r="AH2474" s="255">
        <v>0.72499999999999998</v>
      </c>
      <c r="AI2474" s="255">
        <v>0.72499999999999998</v>
      </c>
      <c r="AJ2474" s="255">
        <v>0</v>
      </c>
      <c r="AK2474" s="256">
        <v>0</v>
      </c>
      <c r="AL2474" s="256">
        <v>0</v>
      </c>
      <c r="AM2474" s="17">
        <f t="shared" si="128"/>
        <v>0</v>
      </c>
      <c r="AN2474" s="18" t="s">
        <v>8100</v>
      </c>
      <c r="AO2474" s="18" t="s">
        <v>2019</v>
      </c>
    </row>
    <row r="2475" spans="1:45" s="18" customFormat="1" ht="15" customHeight="1" x14ac:dyDescent="0.3">
      <c r="A2475" s="207" t="s">
        <v>7397</v>
      </c>
      <c r="B2475" s="18" t="s">
        <v>7398</v>
      </c>
      <c r="C2475" s="207" t="s">
        <v>7400</v>
      </c>
      <c r="D2475" s="18" t="s">
        <v>7401</v>
      </c>
      <c r="E2475" s="208" t="s">
        <v>8093</v>
      </c>
      <c r="F2475" s="18" t="s">
        <v>8094</v>
      </c>
      <c r="G2475" s="156" t="s">
        <v>8140</v>
      </c>
      <c r="H2475" s="18" t="s">
        <v>8141</v>
      </c>
      <c r="I2475" s="156"/>
      <c r="K2475" s="156" t="s">
        <v>8146</v>
      </c>
      <c r="L2475" s="18" t="s">
        <v>8147</v>
      </c>
      <c r="M2475" s="18" t="s">
        <v>8148</v>
      </c>
      <c r="N2475" s="16">
        <v>35</v>
      </c>
      <c r="O2475" s="16">
        <v>40</v>
      </c>
      <c r="P2475" s="16">
        <v>60</v>
      </c>
      <c r="Q2475" s="16">
        <v>75</v>
      </c>
      <c r="R2475" s="16">
        <v>80</v>
      </c>
      <c r="S2475" s="16">
        <v>90</v>
      </c>
      <c r="T2475" s="18" t="s">
        <v>8100</v>
      </c>
      <c r="U2475" t="str">
        <f>VLOOKUP(T2475,[8]Votes!$A$1:$E$234,3,FALSE)</f>
        <v>143 Uganda Bureau of Statistics</v>
      </c>
      <c r="V2475" s="18" t="s">
        <v>8149</v>
      </c>
      <c r="W2475" s="48">
        <v>1</v>
      </c>
      <c r="X2475" s="48">
        <v>1</v>
      </c>
      <c r="Y2475" s="48">
        <v>0</v>
      </c>
      <c r="Z2475" s="48">
        <v>1</v>
      </c>
      <c r="AA2475" s="48">
        <v>1</v>
      </c>
      <c r="AB2475" s="48">
        <v>0</v>
      </c>
      <c r="AC2475" s="150">
        <v>1</v>
      </c>
      <c r="AD2475" s="150">
        <v>1</v>
      </c>
      <c r="AE2475" s="49">
        <f t="shared" si="127"/>
        <v>0.75</v>
      </c>
      <c r="AF2475" s="255"/>
      <c r="AG2475" s="17">
        <v>0</v>
      </c>
      <c r="AH2475" s="255">
        <v>0</v>
      </c>
      <c r="AI2475" s="255">
        <v>7.2499999999999995E-2</v>
      </c>
      <c r="AJ2475" s="255">
        <v>0</v>
      </c>
      <c r="AK2475" s="256">
        <v>0.2</v>
      </c>
      <c r="AL2475" s="256">
        <v>0.3</v>
      </c>
      <c r="AM2475" s="17">
        <f t="shared" si="128"/>
        <v>0.5</v>
      </c>
      <c r="AN2475" s="18" t="s">
        <v>8100</v>
      </c>
      <c r="AO2475" s="18" t="s">
        <v>2019</v>
      </c>
    </row>
    <row r="2476" spans="1:45" s="18" customFormat="1" ht="15" customHeight="1" x14ac:dyDescent="0.3">
      <c r="A2476" s="207" t="s">
        <v>7397</v>
      </c>
      <c r="B2476" s="18" t="s">
        <v>7398</v>
      </c>
      <c r="C2476" s="207" t="s">
        <v>7400</v>
      </c>
      <c r="D2476" s="18" t="s">
        <v>7401</v>
      </c>
      <c r="E2476" s="208" t="s">
        <v>8093</v>
      </c>
      <c r="F2476" s="18" t="s">
        <v>8094</v>
      </c>
      <c r="G2476" s="156" t="s">
        <v>8150</v>
      </c>
      <c r="H2476" s="18" t="s">
        <v>8151</v>
      </c>
      <c r="I2476" s="156"/>
      <c r="K2476" s="156" t="s">
        <v>8152</v>
      </c>
      <c r="L2476" s="18" t="s">
        <v>8153</v>
      </c>
      <c r="M2476" s="18" t="s">
        <v>8154</v>
      </c>
      <c r="N2476" s="16">
        <v>20</v>
      </c>
      <c r="O2476" s="16">
        <v>60</v>
      </c>
      <c r="P2476" s="16">
        <v>60</v>
      </c>
      <c r="Q2476" s="16">
        <v>60</v>
      </c>
      <c r="R2476" s="16">
        <v>60</v>
      </c>
      <c r="S2476" s="16">
        <v>60</v>
      </c>
      <c r="T2476" s="18" t="s">
        <v>8100</v>
      </c>
      <c r="U2476" t="str">
        <f>VLOOKUP(T2476,[8]Votes!$A$1:$E$234,3,FALSE)</f>
        <v>143 Uganda Bureau of Statistics</v>
      </c>
      <c r="V2476" s="18" t="s">
        <v>8155</v>
      </c>
      <c r="W2476" s="48">
        <v>1</v>
      </c>
      <c r="X2476" s="48">
        <v>0</v>
      </c>
      <c r="Y2476" s="48">
        <v>1</v>
      </c>
      <c r="Z2476" s="48">
        <v>1</v>
      </c>
      <c r="AA2476" s="48">
        <v>1</v>
      </c>
      <c r="AB2476" s="48">
        <v>0</v>
      </c>
      <c r="AC2476" s="150">
        <v>1</v>
      </c>
      <c r="AD2476" s="150">
        <v>1</v>
      </c>
      <c r="AE2476" s="49">
        <f t="shared" si="127"/>
        <v>0.75</v>
      </c>
      <c r="AF2476" s="255"/>
      <c r="AG2476" s="17">
        <v>0</v>
      </c>
      <c r="AH2476" s="255">
        <v>0.14499999999999999</v>
      </c>
      <c r="AI2476" s="255">
        <v>0.14499999999999999</v>
      </c>
      <c r="AJ2476" s="255">
        <v>0.14499999999999999</v>
      </c>
      <c r="AK2476" s="256">
        <v>0.14499999999999999</v>
      </c>
      <c r="AL2476" s="256">
        <v>0.14499999999999999</v>
      </c>
      <c r="AM2476" s="17">
        <f t="shared" si="128"/>
        <v>0.28999999999999998</v>
      </c>
      <c r="AN2476" s="18" t="s">
        <v>8100</v>
      </c>
      <c r="AO2476" s="18" t="s">
        <v>2019</v>
      </c>
    </row>
    <row r="2477" spans="1:45" s="18" customFormat="1" ht="15" hidden="1" customHeight="1" x14ac:dyDescent="0.3">
      <c r="A2477" s="207" t="s">
        <v>7397</v>
      </c>
      <c r="B2477" s="18" t="s">
        <v>7398</v>
      </c>
      <c r="C2477" s="207" t="s">
        <v>7400</v>
      </c>
      <c r="D2477" s="18" t="s">
        <v>7401</v>
      </c>
      <c r="E2477" s="208" t="s">
        <v>8093</v>
      </c>
      <c r="F2477" s="18" t="s">
        <v>8094</v>
      </c>
      <c r="G2477" s="156" t="s">
        <v>8156</v>
      </c>
      <c r="H2477" s="18" t="s">
        <v>8157</v>
      </c>
      <c r="I2477" s="156"/>
      <c r="K2477" s="156" t="s">
        <v>8158</v>
      </c>
      <c r="L2477" s="18" t="s">
        <v>8159</v>
      </c>
      <c r="M2477" s="18" t="s">
        <v>8160</v>
      </c>
      <c r="N2477" s="16">
        <v>5</v>
      </c>
      <c r="O2477" s="16">
        <v>5</v>
      </c>
      <c r="P2477" s="16">
        <v>5</v>
      </c>
      <c r="Q2477" s="16">
        <v>5</v>
      </c>
      <c r="R2477" s="16">
        <v>5</v>
      </c>
      <c r="S2477" s="16">
        <v>5</v>
      </c>
      <c r="T2477" s="18" t="s">
        <v>8100</v>
      </c>
      <c r="U2477" t="str">
        <f>VLOOKUP(T2477,[8]Votes!$A$1:$E$234,3,FALSE)</f>
        <v>143 Uganda Bureau of Statistics</v>
      </c>
      <c r="V2477" s="18" t="s">
        <v>8161</v>
      </c>
      <c r="W2477" s="48">
        <v>1</v>
      </c>
      <c r="X2477" s="48">
        <v>0</v>
      </c>
      <c r="Y2477" s="48">
        <v>0</v>
      </c>
      <c r="Z2477" s="48">
        <v>1</v>
      </c>
      <c r="AA2477" s="48">
        <v>1</v>
      </c>
      <c r="AB2477" s="48">
        <v>0</v>
      </c>
      <c r="AC2477" s="150">
        <v>1</v>
      </c>
      <c r="AD2477" s="150">
        <v>1</v>
      </c>
      <c r="AE2477" s="49">
        <f t="shared" si="127"/>
        <v>0.625</v>
      </c>
      <c r="AF2477" s="255"/>
      <c r="AG2477" s="17">
        <v>0</v>
      </c>
      <c r="AH2477" s="255">
        <v>0</v>
      </c>
      <c r="AI2477" s="255">
        <v>0</v>
      </c>
      <c r="AJ2477" s="255">
        <v>0</v>
      </c>
      <c r="AK2477" s="256">
        <v>0</v>
      </c>
      <c r="AL2477" s="256">
        <v>7.2499999999999995E-2</v>
      </c>
      <c r="AM2477" s="17">
        <f t="shared" si="128"/>
        <v>7.2499999999999995E-2</v>
      </c>
      <c r="AN2477" s="18" t="s">
        <v>8100</v>
      </c>
      <c r="AO2477" s="18" t="s">
        <v>2019</v>
      </c>
    </row>
    <row r="2478" spans="1:45" s="18" customFormat="1" ht="15" hidden="1" customHeight="1" x14ac:dyDescent="0.3">
      <c r="A2478" s="207" t="s">
        <v>7397</v>
      </c>
      <c r="B2478" s="18" t="s">
        <v>7398</v>
      </c>
      <c r="C2478" s="207" t="s">
        <v>7400</v>
      </c>
      <c r="D2478" s="18" t="s">
        <v>7401</v>
      </c>
      <c r="E2478" s="208" t="s">
        <v>8093</v>
      </c>
      <c r="F2478" s="18" t="s">
        <v>8094</v>
      </c>
      <c r="G2478" s="156" t="s">
        <v>8162</v>
      </c>
      <c r="H2478" s="18" t="s">
        <v>8163</v>
      </c>
      <c r="I2478" s="156"/>
      <c r="K2478" s="156" t="s">
        <v>8164</v>
      </c>
      <c r="L2478" s="18" t="s">
        <v>8165</v>
      </c>
      <c r="M2478" s="18" t="s">
        <v>8166</v>
      </c>
      <c r="N2478" s="16">
        <v>0</v>
      </c>
      <c r="O2478" s="16">
        <v>0</v>
      </c>
      <c r="P2478" s="16">
        <v>0</v>
      </c>
      <c r="Q2478" s="16">
        <v>5</v>
      </c>
      <c r="R2478" s="16">
        <v>10</v>
      </c>
      <c r="S2478" s="16">
        <v>10</v>
      </c>
      <c r="T2478" s="18" t="s">
        <v>8100</v>
      </c>
      <c r="U2478" t="str">
        <f>VLOOKUP(T2478,[8]Votes!$A$1:$E$234,3,FALSE)</f>
        <v>143 Uganda Bureau of Statistics</v>
      </c>
      <c r="V2478" s="18" t="s">
        <v>8167</v>
      </c>
      <c r="W2478" s="48">
        <v>1</v>
      </c>
      <c r="X2478" s="48">
        <v>0</v>
      </c>
      <c r="Y2478" s="48">
        <v>0</v>
      </c>
      <c r="Z2478" s="48">
        <v>1</v>
      </c>
      <c r="AA2478" s="48">
        <v>1</v>
      </c>
      <c r="AB2478" s="48">
        <v>0</v>
      </c>
      <c r="AC2478" s="150">
        <v>1</v>
      </c>
      <c r="AD2478" s="150">
        <v>1</v>
      </c>
      <c r="AE2478" s="49">
        <f t="shared" si="127"/>
        <v>0.625</v>
      </c>
      <c r="AF2478" s="255"/>
      <c r="AG2478" s="17">
        <v>0</v>
      </c>
      <c r="AH2478" s="255">
        <v>0.14499999999999999</v>
      </c>
      <c r="AI2478" s="255">
        <v>0.14499999999999999</v>
      </c>
      <c r="AJ2478" s="255">
        <v>0.14499999999999999</v>
      </c>
      <c r="AK2478" s="256">
        <v>0.14499999999999999</v>
      </c>
      <c r="AL2478" s="256">
        <v>0.14499999999999999</v>
      </c>
      <c r="AM2478" s="17">
        <f t="shared" si="128"/>
        <v>0.28999999999999998</v>
      </c>
      <c r="AN2478" s="18" t="s">
        <v>8100</v>
      </c>
      <c r="AO2478" s="18" t="s">
        <v>2019</v>
      </c>
      <c r="AS2478" s="228"/>
    </row>
    <row r="2479" spans="1:45" s="18" customFormat="1" ht="15" hidden="1" customHeight="1" x14ac:dyDescent="0.3">
      <c r="A2479" s="207" t="s">
        <v>7397</v>
      </c>
      <c r="B2479" s="18" t="s">
        <v>7398</v>
      </c>
      <c r="C2479" s="207" t="s">
        <v>7400</v>
      </c>
      <c r="D2479" s="18" t="s">
        <v>7401</v>
      </c>
      <c r="E2479" s="208" t="s">
        <v>8093</v>
      </c>
      <c r="F2479" s="18" t="s">
        <v>8094</v>
      </c>
      <c r="G2479" s="156" t="s">
        <v>8168</v>
      </c>
      <c r="H2479" s="18" t="s">
        <v>8169</v>
      </c>
      <c r="I2479" s="156" t="s">
        <v>8170</v>
      </c>
      <c r="J2479" s="18" t="s">
        <v>8171</v>
      </c>
      <c r="K2479" s="156" t="s">
        <v>8172</v>
      </c>
      <c r="L2479" s="18" t="s">
        <v>8173</v>
      </c>
      <c r="M2479" s="18" t="s">
        <v>8174</v>
      </c>
      <c r="N2479" s="16">
        <v>39</v>
      </c>
      <c r="O2479" s="16">
        <v>49</v>
      </c>
      <c r="P2479" s="16">
        <v>59</v>
      </c>
      <c r="Q2479" s="16">
        <v>69</v>
      </c>
      <c r="R2479" s="16">
        <v>79</v>
      </c>
      <c r="S2479" s="16">
        <v>89</v>
      </c>
      <c r="T2479" s="18" t="s">
        <v>8100</v>
      </c>
      <c r="U2479" t="str">
        <f>VLOOKUP(T2479,[8]Votes!$A$1:$E$234,3,FALSE)</f>
        <v>143 Uganda Bureau of Statistics</v>
      </c>
      <c r="V2479" s="18" t="s">
        <v>8175</v>
      </c>
      <c r="W2479" s="48">
        <v>1</v>
      </c>
      <c r="X2479" s="48">
        <v>0</v>
      </c>
      <c r="Y2479" s="48">
        <v>0</v>
      </c>
      <c r="Z2479" s="48">
        <v>1</v>
      </c>
      <c r="AA2479" s="48">
        <v>1</v>
      </c>
      <c r="AB2479" s="48">
        <v>0</v>
      </c>
      <c r="AC2479" s="150">
        <v>1</v>
      </c>
      <c r="AD2479" s="150">
        <v>1</v>
      </c>
      <c r="AE2479" s="49">
        <f t="shared" si="127"/>
        <v>0.625</v>
      </c>
      <c r="AF2479" s="255"/>
      <c r="AG2479" s="17">
        <v>0</v>
      </c>
      <c r="AH2479" s="255">
        <v>9.4829999999999988</v>
      </c>
      <c r="AI2479" s="255">
        <v>6.96</v>
      </c>
      <c r="AJ2479" s="255">
        <v>7.8299999999999992</v>
      </c>
      <c r="AK2479" s="256">
        <v>2.83</v>
      </c>
      <c r="AL2479" s="256">
        <v>2.83</v>
      </c>
      <c r="AM2479" s="17">
        <f t="shared" si="128"/>
        <v>5.66</v>
      </c>
      <c r="AN2479" s="18" t="s">
        <v>8100</v>
      </c>
      <c r="AO2479" s="18" t="s">
        <v>2019</v>
      </c>
      <c r="AS2479" s="228"/>
    </row>
    <row r="2480" spans="1:45" s="18" customFormat="1" ht="15" hidden="1" customHeight="1" x14ac:dyDescent="0.3">
      <c r="A2480" s="207" t="s">
        <v>7397</v>
      </c>
      <c r="B2480" s="18" t="s">
        <v>7398</v>
      </c>
      <c r="C2480" s="207" t="s">
        <v>7400</v>
      </c>
      <c r="D2480" s="18" t="s">
        <v>7401</v>
      </c>
      <c r="E2480" s="208" t="s">
        <v>8093</v>
      </c>
      <c r="F2480" s="18" t="s">
        <v>8094</v>
      </c>
      <c r="G2480" s="156" t="s">
        <v>8168</v>
      </c>
      <c r="H2480" s="18" t="s">
        <v>8169</v>
      </c>
      <c r="I2480" s="156" t="s">
        <v>8170</v>
      </c>
      <c r="J2480" s="18" t="s">
        <v>8171</v>
      </c>
      <c r="K2480" s="156" t="s">
        <v>8176</v>
      </c>
      <c r="L2480" s="18" t="s">
        <v>8173</v>
      </c>
      <c r="M2480" s="18" t="s">
        <v>8177</v>
      </c>
      <c r="N2480" s="16">
        <v>1</v>
      </c>
      <c r="O2480" s="16">
        <v>3</v>
      </c>
      <c r="P2480" s="16">
        <v>3</v>
      </c>
      <c r="Q2480" s="16">
        <v>3</v>
      </c>
      <c r="R2480" s="16">
        <v>3</v>
      </c>
      <c r="S2480" s="16">
        <v>3</v>
      </c>
      <c r="T2480" s="18" t="s">
        <v>8100</v>
      </c>
      <c r="U2480" t="str">
        <f>VLOOKUP(T2480,[8]Votes!$A$1:$E$234,3,FALSE)</f>
        <v>143 Uganda Bureau of Statistics</v>
      </c>
      <c r="W2480" s="48"/>
      <c r="X2480" s="48"/>
      <c r="Y2480" s="48"/>
      <c r="Z2480" s="48"/>
      <c r="AA2480" s="48"/>
      <c r="AB2480" s="48"/>
      <c r="AC2480" s="150">
        <v>0</v>
      </c>
      <c r="AD2480" s="150">
        <v>0</v>
      </c>
      <c r="AE2480" s="49">
        <f t="shared" si="127"/>
        <v>0</v>
      </c>
      <c r="AF2480" s="17"/>
      <c r="AG2480" s="17">
        <v>0</v>
      </c>
      <c r="AH2480" s="17"/>
      <c r="AI2480" s="17"/>
      <c r="AJ2480" s="17"/>
      <c r="AK2480" s="154"/>
      <c r="AL2480" s="154"/>
      <c r="AM2480" s="17">
        <f t="shared" si="128"/>
        <v>0</v>
      </c>
    </row>
    <row r="2481" spans="1:41" s="18" customFormat="1" ht="15" customHeight="1" x14ac:dyDescent="0.3">
      <c r="A2481" s="207" t="s">
        <v>7397</v>
      </c>
      <c r="B2481" s="18" t="s">
        <v>7398</v>
      </c>
      <c r="C2481" s="207" t="s">
        <v>7400</v>
      </c>
      <c r="D2481" s="18" t="s">
        <v>7401</v>
      </c>
      <c r="E2481" s="208" t="s">
        <v>8093</v>
      </c>
      <c r="F2481" s="18" t="s">
        <v>8094</v>
      </c>
      <c r="G2481" s="156" t="s">
        <v>8168</v>
      </c>
      <c r="H2481" s="18" t="s">
        <v>8169</v>
      </c>
      <c r="I2481" s="156" t="s">
        <v>8170</v>
      </c>
      <c r="J2481" s="18" t="s">
        <v>8171</v>
      </c>
      <c r="K2481" s="156" t="s">
        <v>8178</v>
      </c>
      <c r="L2481" s="18" t="s">
        <v>8179</v>
      </c>
      <c r="M2481" s="18" t="s">
        <v>8180</v>
      </c>
      <c r="N2481" s="16">
        <v>0</v>
      </c>
      <c r="O2481" s="16">
        <v>1</v>
      </c>
      <c r="P2481" s="16">
        <v>1</v>
      </c>
      <c r="Q2481" s="16">
        <v>1</v>
      </c>
      <c r="R2481" s="16">
        <v>1</v>
      </c>
      <c r="S2481" s="16">
        <v>1</v>
      </c>
      <c r="T2481" s="18" t="s">
        <v>921</v>
      </c>
      <c r="U2481" t="str">
        <f>VLOOKUP(T2481,[8]Votes!$A$1:$E$234,3,FALSE)</f>
        <v>008 Ministry of Finance, Planning &amp; Economic Dev.</v>
      </c>
      <c r="V2481" s="18" t="s">
        <v>8181</v>
      </c>
      <c r="W2481" s="48">
        <v>1</v>
      </c>
      <c r="X2481" s="48">
        <v>1</v>
      </c>
      <c r="Y2481" s="48">
        <v>0</v>
      </c>
      <c r="Z2481" s="48">
        <v>1</v>
      </c>
      <c r="AA2481" s="48">
        <v>1</v>
      </c>
      <c r="AB2481" s="48">
        <v>0</v>
      </c>
      <c r="AC2481" s="150">
        <v>1</v>
      </c>
      <c r="AD2481" s="150">
        <v>1</v>
      </c>
      <c r="AE2481" s="49">
        <f t="shared" si="127"/>
        <v>0.75</v>
      </c>
      <c r="AF2481" s="255"/>
      <c r="AG2481" s="17">
        <v>0</v>
      </c>
      <c r="AH2481" s="255">
        <v>0</v>
      </c>
      <c r="AI2481" s="255">
        <v>0.435</v>
      </c>
      <c r="AJ2481" s="255">
        <v>0.435</v>
      </c>
      <c r="AK2481" s="256">
        <v>0.435</v>
      </c>
      <c r="AL2481" s="256">
        <v>0.435</v>
      </c>
      <c r="AM2481" s="17">
        <f t="shared" si="128"/>
        <v>0.87</v>
      </c>
      <c r="AN2481" s="18" t="s">
        <v>921</v>
      </c>
      <c r="AO2481" s="18" t="s">
        <v>880</v>
      </c>
    </row>
    <row r="2482" spans="1:41" s="18" customFormat="1" ht="15" customHeight="1" x14ac:dyDescent="0.3">
      <c r="A2482" s="207" t="s">
        <v>7397</v>
      </c>
      <c r="B2482" s="18" t="s">
        <v>7398</v>
      </c>
      <c r="C2482" s="207" t="s">
        <v>7400</v>
      </c>
      <c r="D2482" s="18" t="s">
        <v>7401</v>
      </c>
      <c r="E2482" s="208" t="s">
        <v>8093</v>
      </c>
      <c r="F2482" s="18" t="s">
        <v>8094</v>
      </c>
      <c r="G2482" s="156" t="s">
        <v>8168</v>
      </c>
      <c r="H2482" s="18" t="s">
        <v>8169</v>
      </c>
      <c r="I2482" s="156" t="s">
        <v>8170</v>
      </c>
      <c r="J2482" s="18" t="s">
        <v>8171</v>
      </c>
      <c r="K2482" s="156" t="s">
        <v>8182</v>
      </c>
      <c r="L2482" s="18" t="s">
        <v>8183</v>
      </c>
      <c r="M2482" s="18" t="s">
        <v>8184</v>
      </c>
      <c r="N2482" s="16">
        <v>0</v>
      </c>
      <c r="O2482" s="16">
        <v>20</v>
      </c>
      <c r="P2482" s="16">
        <v>40</v>
      </c>
      <c r="Q2482" s="16">
        <v>60</v>
      </c>
      <c r="R2482" s="16">
        <v>80</v>
      </c>
      <c r="S2482" s="16">
        <v>100</v>
      </c>
      <c r="T2482" s="18" t="s">
        <v>5698</v>
      </c>
      <c r="U2482" t="str">
        <f>VLOOKUP(T2482,[8]Votes!$A$1:$E$234,3,FALSE)</f>
        <v>143 Uganda Bureau of Statistics</v>
      </c>
      <c r="V2482" s="18" t="s">
        <v>8185</v>
      </c>
      <c r="W2482" s="48">
        <v>1</v>
      </c>
      <c r="X2482" s="48">
        <v>0</v>
      </c>
      <c r="Y2482" s="48">
        <v>1</v>
      </c>
      <c r="Z2482" s="48">
        <v>1</v>
      </c>
      <c r="AA2482" s="48">
        <v>1</v>
      </c>
      <c r="AB2482" s="48">
        <v>0</v>
      </c>
      <c r="AC2482" s="150">
        <v>1</v>
      </c>
      <c r="AD2482" s="150">
        <v>1</v>
      </c>
      <c r="AE2482" s="49">
        <f t="shared" si="127"/>
        <v>0.75</v>
      </c>
      <c r="AF2482" s="255"/>
      <c r="AG2482" s="17">
        <v>0</v>
      </c>
      <c r="AH2482" s="255">
        <v>9.4829999999999988</v>
      </c>
      <c r="AI2482" s="255">
        <v>6.96</v>
      </c>
      <c r="AJ2482" s="255">
        <v>6.7859999999999987</v>
      </c>
      <c r="AK2482" s="256">
        <v>6.96</v>
      </c>
      <c r="AL2482" s="256">
        <v>7.8299999999999992</v>
      </c>
      <c r="AM2482" s="17">
        <f t="shared" si="128"/>
        <v>14.79</v>
      </c>
      <c r="AN2482" s="18" t="s">
        <v>8100</v>
      </c>
      <c r="AO2482" s="18" t="s">
        <v>2019</v>
      </c>
    </row>
    <row r="2483" spans="1:41" s="18" customFormat="1" ht="15" customHeight="1" x14ac:dyDescent="0.3">
      <c r="A2483" s="207" t="s">
        <v>7397</v>
      </c>
      <c r="B2483" s="18" t="s">
        <v>7398</v>
      </c>
      <c r="C2483" s="207" t="s">
        <v>7400</v>
      </c>
      <c r="D2483" s="18" t="s">
        <v>7401</v>
      </c>
      <c r="E2483" s="208" t="s">
        <v>8093</v>
      </c>
      <c r="F2483" s="18" t="s">
        <v>8094</v>
      </c>
      <c r="G2483" s="156" t="s">
        <v>8168</v>
      </c>
      <c r="H2483" s="18" t="s">
        <v>8169</v>
      </c>
      <c r="I2483" s="156" t="s">
        <v>8186</v>
      </c>
      <c r="J2483" s="18" t="s">
        <v>8187</v>
      </c>
      <c r="K2483" s="156" t="s">
        <v>8188</v>
      </c>
      <c r="L2483" s="18" t="s">
        <v>8189</v>
      </c>
      <c r="M2483" s="18" t="s">
        <v>8190</v>
      </c>
      <c r="N2483" s="16">
        <v>40</v>
      </c>
      <c r="O2483" s="16">
        <v>50</v>
      </c>
      <c r="P2483" s="16">
        <v>60</v>
      </c>
      <c r="Q2483" s="16">
        <v>70</v>
      </c>
      <c r="R2483" s="16">
        <v>80</v>
      </c>
      <c r="S2483" s="16">
        <v>90</v>
      </c>
      <c r="T2483" s="18" t="s">
        <v>8100</v>
      </c>
      <c r="U2483" t="str">
        <f>VLOOKUP(T2483,[8]Votes!$A$1:$E$234,3,FALSE)</f>
        <v>143 Uganda Bureau of Statistics</v>
      </c>
      <c r="V2483" s="18" t="s">
        <v>8191</v>
      </c>
      <c r="W2483" s="48">
        <v>1</v>
      </c>
      <c r="X2483" s="48">
        <v>1</v>
      </c>
      <c r="Y2483" s="48">
        <v>0</v>
      </c>
      <c r="Z2483" s="48">
        <v>1</v>
      </c>
      <c r="AA2483" s="48">
        <v>1</v>
      </c>
      <c r="AB2483" s="48">
        <v>0</v>
      </c>
      <c r="AC2483" s="150">
        <v>1</v>
      </c>
      <c r="AD2483" s="150">
        <v>1</v>
      </c>
      <c r="AE2483" s="49">
        <f t="shared" si="127"/>
        <v>0.75</v>
      </c>
      <c r="AF2483" s="255"/>
      <c r="AG2483" s="17">
        <v>0</v>
      </c>
      <c r="AH2483" s="255">
        <v>5.22</v>
      </c>
      <c r="AI2483" s="255">
        <v>20.88</v>
      </c>
      <c r="AJ2483" s="255">
        <v>18.27</v>
      </c>
      <c r="AK2483" s="256">
        <v>21.8</v>
      </c>
      <c r="AL2483" s="256">
        <v>5.88</v>
      </c>
      <c r="AM2483" s="17">
        <f t="shared" si="128"/>
        <v>27.68</v>
      </c>
      <c r="AN2483" s="18" t="s">
        <v>8100</v>
      </c>
      <c r="AO2483" s="18" t="s">
        <v>2019</v>
      </c>
    </row>
    <row r="2484" spans="1:41" s="18" customFormat="1" ht="15" customHeight="1" x14ac:dyDescent="0.3">
      <c r="A2484" s="207" t="s">
        <v>7397</v>
      </c>
      <c r="B2484" s="18" t="s">
        <v>7398</v>
      </c>
      <c r="C2484" s="207" t="s">
        <v>7400</v>
      </c>
      <c r="D2484" s="18" t="s">
        <v>7401</v>
      </c>
      <c r="E2484" s="208" t="s">
        <v>8093</v>
      </c>
      <c r="F2484" s="18" t="s">
        <v>8094</v>
      </c>
      <c r="G2484" s="156" t="s">
        <v>8168</v>
      </c>
      <c r="H2484" s="18" t="s">
        <v>8169</v>
      </c>
      <c r="I2484" s="156" t="s">
        <v>8186</v>
      </c>
      <c r="J2484" s="18" t="s">
        <v>8187</v>
      </c>
      <c r="K2484" s="156" t="s">
        <v>8192</v>
      </c>
      <c r="L2484" s="18" t="s">
        <v>8193</v>
      </c>
      <c r="M2484" s="18" t="s">
        <v>8194</v>
      </c>
      <c r="N2484" s="16">
        <v>0</v>
      </c>
      <c r="O2484" s="16">
        <v>30</v>
      </c>
      <c r="P2484" s="16">
        <v>65</v>
      </c>
      <c r="Q2484" s="16">
        <v>70</v>
      </c>
      <c r="R2484" s="16">
        <v>85</v>
      </c>
      <c r="S2484" s="16">
        <v>100</v>
      </c>
      <c r="T2484" s="18" t="s">
        <v>4115</v>
      </c>
      <c r="U2484" t="str">
        <f>VLOOKUP(T2484,[8]Votes!$A$1:$E$234,3,FALSE)</f>
        <v>309 National Identification and Registration Authority (NIRA)</v>
      </c>
      <c r="V2484" s="18" t="s">
        <v>8195</v>
      </c>
      <c r="W2484" s="48">
        <v>1</v>
      </c>
      <c r="X2484" s="48">
        <v>0</v>
      </c>
      <c r="Y2484" s="48">
        <v>1</v>
      </c>
      <c r="Z2484" s="48">
        <v>1</v>
      </c>
      <c r="AA2484" s="48">
        <v>1</v>
      </c>
      <c r="AB2484" s="48">
        <v>0</v>
      </c>
      <c r="AC2484" s="150">
        <v>1</v>
      </c>
      <c r="AD2484" s="150">
        <v>1</v>
      </c>
      <c r="AE2484" s="49">
        <f t="shared" si="127"/>
        <v>0.75</v>
      </c>
      <c r="AF2484" s="255"/>
      <c r="AG2484" s="17">
        <v>0</v>
      </c>
      <c r="AH2484" s="255">
        <v>14.442</v>
      </c>
      <c r="AI2484" s="255">
        <v>23.14</v>
      </c>
      <c r="AJ2484" s="255">
        <v>24.36</v>
      </c>
      <c r="AK2484" s="256">
        <v>24.881999999999998</v>
      </c>
      <c r="AL2484" s="256">
        <v>26.447999999999997</v>
      </c>
      <c r="AM2484" s="17">
        <f t="shared" si="128"/>
        <v>51.33</v>
      </c>
      <c r="AN2484" s="18" t="s">
        <v>4115</v>
      </c>
      <c r="AO2484" s="18" t="s">
        <v>4116</v>
      </c>
    </row>
    <row r="2485" spans="1:41" s="18" customFormat="1" ht="15" hidden="1" customHeight="1" x14ac:dyDescent="0.3">
      <c r="A2485" s="207" t="s">
        <v>7397</v>
      </c>
      <c r="B2485" s="18" t="s">
        <v>7398</v>
      </c>
      <c r="C2485" s="207" t="s">
        <v>7400</v>
      </c>
      <c r="D2485" s="18" t="s">
        <v>7401</v>
      </c>
      <c r="E2485" s="208" t="s">
        <v>8196</v>
      </c>
      <c r="F2485" s="18" t="s">
        <v>8197</v>
      </c>
      <c r="G2485" s="156" t="s">
        <v>8198</v>
      </c>
      <c r="H2485" s="18" t="s">
        <v>8199</v>
      </c>
      <c r="I2485" s="156"/>
      <c r="K2485" s="156" t="s">
        <v>8200</v>
      </c>
      <c r="L2485" s="18" t="s">
        <v>8201</v>
      </c>
      <c r="M2485" s="18" t="s">
        <v>8202</v>
      </c>
      <c r="N2485" s="16">
        <v>0</v>
      </c>
      <c r="O2485" s="16">
        <v>0</v>
      </c>
      <c r="P2485" s="16">
        <v>1</v>
      </c>
      <c r="Q2485" s="16">
        <v>1</v>
      </c>
      <c r="R2485" s="16">
        <v>1</v>
      </c>
      <c r="S2485" s="16">
        <v>1</v>
      </c>
      <c r="T2485" s="18" t="s">
        <v>831</v>
      </c>
      <c r="U2485" t="str">
        <f>VLOOKUP(T2485,[8]Votes!$A$1:$E$234,3,FALSE)</f>
        <v>108 National Planning Authority</v>
      </c>
      <c r="V2485" s="18" t="s">
        <v>8203</v>
      </c>
      <c r="W2485" s="48">
        <v>1</v>
      </c>
      <c r="X2485" s="48">
        <v>0</v>
      </c>
      <c r="Y2485" s="48">
        <v>0</v>
      </c>
      <c r="Z2485" s="48">
        <v>1</v>
      </c>
      <c r="AA2485" s="48">
        <v>1</v>
      </c>
      <c r="AB2485" s="48">
        <v>0</v>
      </c>
      <c r="AC2485" s="150">
        <v>1</v>
      </c>
      <c r="AD2485" s="150">
        <v>1</v>
      </c>
      <c r="AE2485" s="49">
        <f t="shared" si="127"/>
        <v>0.625</v>
      </c>
      <c r="AF2485" s="176"/>
      <c r="AG2485" s="17">
        <v>0</v>
      </c>
      <c r="AH2485" s="176">
        <v>0</v>
      </c>
      <c r="AI2485" s="176">
        <v>0.36</v>
      </c>
      <c r="AJ2485" s="176">
        <v>0</v>
      </c>
      <c r="AK2485" s="177">
        <v>0</v>
      </c>
      <c r="AL2485" s="177">
        <v>0.36</v>
      </c>
      <c r="AM2485" s="17">
        <f t="shared" si="128"/>
        <v>0.36</v>
      </c>
      <c r="AN2485" s="18" t="s">
        <v>831</v>
      </c>
      <c r="AO2485" s="18" t="s">
        <v>834</v>
      </c>
    </row>
    <row r="2486" spans="1:41" s="18" customFormat="1" ht="15" hidden="1" customHeight="1" x14ac:dyDescent="0.3">
      <c r="A2486" s="207" t="s">
        <v>7397</v>
      </c>
      <c r="B2486" s="18" t="s">
        <v>7398</v>
      </c>
      <c r="C2486" s="207" t="s">
        <v>7400</v>
      </c>
      <c r="D2486" s="18" t="s">
        <v>7401</v>
      </c>
      <c r="E2486" s="208" t="s">
        <v>8196</v>
      </c>
      <c r="F2486" s="18" t="s">
        <v>8197</v>
      </c>
      <c r="G2486" s="156" t="s">
        <v>8198</v>
      </c>
      <c r="H2486" s="18" t="s">
        <v>8199</v>
      </c>
      <c r="I2486" s="156"/>
      <c r="K2486" s="156" t="s">
        <v>8200</v>
      </c>
      <c r="L2486" s="18" t="s">
        <v>8201</v>
      </c>
      <c r="M2486" s="18" t="s">
        <v>8204</v>
      </c>
      <c r="N2486" s="16">
        <v>0</v>
      </c>
      <c r="O2486" s="16">
        <v>0</v>
      </c>
      <c r="P2486" s="16">
        <v>0</v>
      </c>
      <c r="Q2486" s="16">
        <v>30</v>
      </c>
      <c r="R2486" s="16">
        <v>60</v>
      </c>
      <c r="S2486" s="16">
        <v>75</v>
      </c>
      <c r="T2486" s="18" t="s">
        <v>831</v>
      </c>
      <c r="U2486" t="str">
        <f>VLOOKUP(T2486,[8]Votes!$A$1:$E$234,3,FALSE)</f>
        <v>108 National Planning Authority</v>
      </c>
      <c r="V2486" s="18" t="s">
        <v>8205</v>
      </c>
      <c r="W2486" s="48">
        <v>1</v>
      </c>
      <c r="X2486" s="48">
        <v>0</v>
      </c>
      <c r="Y2486" s="48">
        <v>0</v>
      </c>
      <c r="Z2486" s="48">
        <v>1</v>
      </c>
      <c r="AA2486" s="48">
        <v>1</v>
      </c>
      <c r="AB2486" s="48">
        <v>0</v>
      </c>
      <c r="AC2486" s="150">
        <v>1</v>
      </c>
      <c r="AD2486" s="150">
        <v>1</v>
      </c>
      <c r="AE2486" s="49">
        <f t="shared" si="127"/>
        <v>0.625</v>
      </c>
      <c r="AF2486" s="176"/>
      <c r="AG2486" s="17">
        <v>0</v>
      </c>
      <c r="AH2486" s="176">
        <v>0</v>
      </c>
      <c r="AI2486" s="176">
        <v>0</v>
      </c>
      <c r="AJ2486" s="176">
        <v>0.73</v>
      </c>
      <c r="AK2486" s="177">
        <v>0.73</v>
      </c>
      <c r="AL2486" s="177">
        <v>0.73</v>
      </c>
      <c r="AM2486" s="17">
        <f t="shared" si="128"/>
        <v>1.46</v>
      </c>
      <c r="AN2486" s="18" t="s">
        <v>831</v>
      </c>
      <c r="AO2486" s="18" t="s">
        <v>834</v>
      </c>
    </row>
    <row r="2487" spans="1:41" s="18" customFormat="1" ht="15" hidden="1" customHeight="1" x14ac:dyDescent="0.3">
      <c r="A2487" s="207" t="s">
        <v>7397</v>
      </c>
      <c r="B2487" s="18" t="s">
        <v>7398</v>
      </c>
      <c r="C2487" s="207" t="s">
        <v>7400</v>
      </c>
      <c r="D2487" s="18" t="s">
        <v>7401</v>
      </c>
      <c r="E2487" s="208" t="s">
        <v>8196</v>
      </c>
      <c r="F2487" s="18" t="s">
        <v>8197</v>
      </c>
      <c r="G2487" s="156" t="s">
        <v>8198</v>
      </c>
      <c r="H2487" s="18" t="s">
        <v>8199</v>
      </c>
      <c r="I2487" s="156"/>
      <c r="K2487" s="156" t="s">
        <v>8200</v>
      </c>
      <c r="L2487" s="18" t="s">
        <v>8201</v>
      </c>
      <c r="M2487" s="18" t="s">
        <v>8206</v>
      </c>
      <c r="N2487" s="16">
        <v>0</v>
      </c>
      <c r="O2487" s="16">
        <v>0</v>
      </c>
      <c r="P2487" s="16">
        <v>1</v>
      </c>
      <c r="Q2487" s="16">
        <v>1</v>
      </c>
      <c r="R2487" s="16">
        <v>1</v>
      </c>
      <c r="S2487" s="16">
        <v>1</v>
      </c>
      <c r="T2487" s="18" t="s">
        <v>831</v>
      </c>
      <c r="U2487" t="str">
        <f>VLOOKUP(T2487,[8]Votes!$A$1:$E$234,3,FALSE)</f>
        <v>108 National Planning Authority</v>
      </c>
      <c r="V2487" s="18" t="s">
        <v>8207</v>
      </c>
      <c r="W2487" s="48">
        <v>1</v>
      </c>
      <c r="X2487" s="48">
        <v>0</v>
      </c>
      <c r="Y2487" s="48">
        <v>0</v>
      </c>
      <c r="Z2487" s="48">
        <v>1</v>
      </c>
      <c r="AA2487" s="48">
        <v>1</v>
      </c>
      <c r="AB2487" s="48">
        <v>0</v>
      </c>
      <c r="AC2487" s="150">
        <v>1</v>
      </c>
      <c r="AD2487" s="150">
        <v>1</v>
      </c>
      <c r="AE2487" s="49">
        <f t="shared" si="127"/>
        <v>0.625</v>
      </c>
      <c r="AF2487" s="176"/>
      <c r="AG2487" s="17">
        <v>0</v>
      </c>
      <c r="AH2487" s="176">
        <v>0</v>
      </c>
      <c r="AI2487" s="176">
        <v>1.02</v>
      </c>
      <c r="AJ2487" s="176">
        <v>1.02</v>
      </c>
      <c r="AK2487" s="177">
        <v>1.02</v>
      </c>
      <c r="AL2487" s="177">
        <v>1.02</v>
      </c>
      <c r="AM2487" s="17">
        <f t="shared" si="128"/>
        <v>2.04</v>
      </c>
      <c r="AN2487" s="18" t="s">
        <v>831</v>
      </c>
      <c r="AO2487" s="18" t="s">
        <v>834</v>
      </c>
    </row>
    <row r="2488" spans="1:41" s="18" customFormat="1" ht="15" hidden="1" customHeight="1" x14ac:dyDescent="0.3">
      <c r="A2488" s="207" t="s">
        <v>7397</v>
      </c>
      <c r="B2488" s="18" t="s">
        <v>7398</v>
      </c>
      <c r="C2488" s="207" t="s">
        <v>7400</v>
      </c>
      <c r="D2488" s="18" t="s">
        <v>7401</v>
      </c>
      <c r="E2488" s="208" t="s">
        <v>8196</v>
      </c>
      <c r="F2488" s="18" t="s">
        <v>8197</v>
      </c>
      <c r="G2488" s="156" t="s">
        <v>8208</v>
      </c>
      <c r="H2488" s="18" t="s">
        <v>8209</v>
      </c>
      <c r="I2488" s="156"/>
      <c r="K2488" s="156" t="s">
        <v>8210</v>
      </c>
      <c r="L2488" s="18" t="s">
        <v>8211</v>
      </c>
      <c r="M2488" s="18" t="s">
        <v>8212</v>
      </c>
      <c r="N2488" s="16">
        <v>0</v>
      </c>
      <c r="O2488" s="16">
        <v>0</v>
      </c>
      <c r="P2488" s="16">
        <v>1</v>
      </c>
      <c r="Q2488" s="16">
        <v>0</v>
      </c>
      <c r="R2488" s="16">
        <v>0</v>
      </c>
      <c r="S2488" s="16">
        <v>0</v>
      </c>
      <c r="T2488" s="18" t="s">
        <v>7852</v>
      </c>
      <c r="U2488" t="str">
        <f>VLOOKUP(T2488,[8]Votes!$A$1:$E$234,3,FALSE)</f>
        <v>131 Auditor General</v>
      </c>
      <c r="V2488" s="18" t="s">
        <v>8213</v>
      </c>
      <c r="W2488" s="48">
        <v>1</v>
      </c>
      <c r="X2488" s="48">
        <v>0</v>
      </c>
      <c r="Y2488" s="48">
        <v>0</v>
      </c>
      <c r="Z2488" s="48">
        <v>1</v>
      </c>
      <c r="AA2488" s="48">
        <v>1</v>
      </c>
      <c r="AB2488" s="48">
        <v>0</v>
      </c>
      <c r="AC2488" s="150">
        <v>1</v>
      </c>
      <c r="AD2488" s="150">
        <v>1</v>
      </c>
      <c r="AE2488" s="49">
        <f t="shared" si="127"/>
        <v>0.625</v>
      </c>
      <c r="AF2488" s="255"/>
      <c r="AG2488" s="17">
        <v>1</v>
      </c>
      <c r="AH2488" s="255">
        <v>0.47849999999999998</v>
      </c>
      <c r="AI2488" s="255">
        <v>0.72499999999999998</v>
      </c>
      <c r="AJ2488" s="255">
        <v>0</v>
      </c>
      <c r="AK2488" s="256">
        <v>0.25</v>
      </c>
      <c r="AL2488" s="256">
        <v>0.34799999999999998</v>
      </c>
      <c r="AM2488" s="17">
        <f t="shared" si="128"/>
        <v>0.59799999999999998</v>
      </c>
      <c r="AN2488" s="18" t="s">
        <v>7852</v>
      </c>
      <c r="AO2488" s="18" t="s">
        <v>7854</v>
      </c>
    </row>
    <row r="2489" spans="1:41" s="18" customFormat="1" ht="15" hidden="1" customHeight="1" x14ac:dyDescent="0.3">
      <c r="A2489" s="207" t="s">
        <v>7397</v>
      </c>
      <c r="B2489" s="18" t="s">
        <v>7398</v>
      </c>
      <c r="C2489" s="207" t="s">
        <v>7400</v>
      </c>
      <c r="D2489" s="18" t="s">
        <v>7401</v>
      </c>
      <c r="E2489" s="208" t="s">
        <v>8196</v>
      </c>
      <c r="F2489" s="18" t="s">
        <v>8197</v>
      </c>
      <c r="G2489" s="156" t="s">
        <v>8208</v>
      </c>
      <c r="H2489" s="18" t="s">
        <v>8209</v>
      </c>
      <c r="I2489" s="156"/>
      <c r="K2489" s="156" t="s">
        <v>8210</v>
      </c>
      <c r="L2489" s="18" t="s">
        <v>8211</v>
      </c>
      <c r="M2489" s="18" t="s">
        <v>8214</v>
      </c>
      <c r="N2489" s="16">
        <v>0</v>
      </c>
      <c r="O2489" s="16">
        <v>0</v>
      </c>
      <c r="P2489" s="16">
        <v>0</v>
      </c>
      <c r="Q2489" s="16">
        <v>0.2</v>
      </c>
      <c r="R2489" s="16">
        <v>0.4</v>
      </c>
      <c r="S2489" s="16">
        <v>0.5</v>
      </c>
      <c r="T2489" s="18" t="s">
        <v>7852</v>
      </c>
      <c r="U2489" t="str">
        <f>VLOOKUP(T2489,[8]Votes!$A$1:$E$234,3,FALSE)</f>
        <v>131 Auditor General</v>
      </c>
      <c r="V2489" s="18" t="s">
        <v>8215</v>
      </c>
      <c r="W2489" s="48">
        <v>1</v>
      </c>
      <c r="X2489" s="48">
        <v>0</v>
      </c>
      <c r="Y2489" s="48">
        <v>0</v>
      </c>
      <c r="Z2489" s="48">
        <v>1</v>
      </c>
      <c r="AA2489" s="48">
        <v>1</v>
      </c>
      <c r="AB2489" s="48">
        <v>0</v>
      </c>
      <c r="AC2489" s="150">
        <v>1</v>
      </c>
      <c r="AD2489" s="150">
        <v>1</v>
      </c>
      <c r="AE2489" s="49">
        <f t="shared" si="127"/>
        <v>0.625</v>
      </c>
      <c r="AF2489" s="255"/>
      <c r="AG2489" s="17">
        <v>0</v>
      </c>
      <c r="AH2489" s="255">
        <v>0</v>
      </c>
      <c r="AI2489" s="255">
        <v>0</v>
      </c>
      <c r="AJ2489" s="255">
        <v>0.28999999999999998</v>
      </c>
      <c r="AK2489" s="256">
        <v>0.1</v>
      </c>
      <c r="AL2489" s="256">
        <v>0.15</v>
      </c>
      <c r="AM2489" s="17">
        <f t="shared" si="128"/>
        <v>0.25</v>
      </c>
      <c r="AN2489" s="18" t="s">
        <v>7852</v>
      </c>
      <c r="AO2489" s="18" t="s">
        <v>7854</v>
      </c>
    </row>
    <row r="2490" spans="1:41" s="18" customFormat="1" ht="15" customHeight="1" x14ac:dyDescent="0.3">
      <c r="A2490" s="207" t="s">
        <v>7397</v>
      </c>
      <c r="B2490" s="18" t="s">
        <v>7398</v>
      </c>
      <c r="C2490" s="207" t="s">
        <v>7400</v>
      </c>
      <c r="D2490" s="18" t="s">
        <v>7401</v>
      </c>
      <c r="E2490" s="208" t="s">
        <v>8196</v>
      </c>
      <c r="F2490" s="18" t="s">
        <v>8197</v>
      </c>
      <c r="G2490" s="156" t="s">
        <v>8216</v>
      </c>
      <c r="H2490" s="18" t="s">
        <v>8217</v>
      </c>
      <c r="I2490" s="156"/>
      <c r="K2490" s="156" t="s">
        <v>8218</v>
      </c>
      <c r="L2490" s="18" t="s">
        <v>8219</v>
      </c>
      <c r="M2490" s="18" t="s">
        <v>8220</v>
      </c>
      <c r="N2490" s="16">
        <v>34</v>
      </c>
      <c r="O2490" s="16">
        <v>38</v>
      </c>
      <c r="P2490" s="16">
        <v>40</v>
      </c>
      <c r="Q2490" s="16">
        <v>46</v>
      </c>
      <c r="R2490" s="16">
        <v>50</v>
      </c>
      <c r="S2490" s="16">
        <v>52</v>
      </c>
      <c r="T2490" s="18" t="s">
        <v>7852</v>
      </c>
      <c r="U2490" t="str">
        <f>VLOOKUP(T2490,[8]Votes!$A$1:$E$234,3,FALSE)</f>
        <v>131 Auditor General</v>
      </c>
      <c r="V2490" s="18" t="s">
        <v>8221</v>
      </c>
      <c r="W2490" s="48">
        <v>1</v>
      </c>
      <c r="X2490" s="48">
        <v>1</v>
      </c>
      <c r="Y2490" s="48">
        <v>0</v>
      </c>
      <c r="Z2490" s="48">
        <v>1</v>
      </c>
      <c r="AA2490" s="48">
        <v>1</v>
      </c>
      <c r="AB2490" s="48">
        <v>0</v>
      </c>
      <c r="AC2490" s="150">
        <v>1</v>
      </c>
      <c r="AD2490" s="150">
        <v>1</v>
      </c>
      <c r="AE2490" s="49">
        <f t="shared" si="127"/>
        <v>0.75</v>
      </c>
      <c r="AF2490" s="176"/>
      <c r="AG2490" s="17">
        <v>0</v>
      </c>
      <c r="AH2490" s="176">
        <v>4.8</v>
      </c>
      <c r="AI2490" s="176">
        <v>5.08</v>
      </c>
      <c r="AJ2490" s="176">
        <v>6.5</v>
      </c>
      <c r="AK2490" s="177">
        <v>6.5</v>
      </c>
      <c r="AL2490" s="177">
        <v>7</v>
      </c>
      <c r="AM2490" s="17">
        <f t="shared" si="128"/>
        <v>13.5</v>
      </c>
      <c r="AN2490" s="18" t="s">
        <v>7852</v>
      </c>
      <c r="AO2490" s="18" t="s">
        <v>7854</v>
      </c>
    </row>
    <row r="2491" spans="1:41" s="18" customFormat="1" ht="15" hidden="1" customHeight="1" x14ac:dyDescent="0.3">
      <c r="A2491" s="207" t="s">
        <v>7397</v>
      </c>
      <c r="B2491" s="18" t="s">
        <v>7398</v>
      </c>
      <c r="C2491" s="207" t="s">
        <v>7400</v>
      </c>
      <c r="D2491" s="18" t="s">
        <v>7401</v>
      </c>
      <c r="E2491" s="208" t="s">
        <v>8196</v>
      </c>
      <c r="F2491" s="18" t="s">
        <v>8197</v>
      </c>
      <c r="G2491" s="156" t="s">
        <v>8216</v>
      </c>
      <c r="H2491" s="18" t="s">
        <v>8217</v>
      </c>
      <c r="I2491" s="156"/>
      <c r="K2491" s="156" t="s">
        <v>8222</v>
      </c>
      <c r="L2491" s="18" t="s">
        <v>8219</v>
      </c>
      <c r="M2491" s="18" t="s">
        <v>8223</v>
      </c>
      <c r="N2491" s="16">
        <v>0.5</v>
      </c>
      <c r="O2491" s="16">
        <v>0.5</v>
      </c>
      <c r="P2491" s="16">
        <v>0.55000000000000004</v>
      </c>
      <c r="Q2491" s="16">
        <v>0.6</v>
      </c>
      <c r="R2491" s="16">
        <v>0.6</v>
      </c>
      <c r="S2491" s="16">
        <v>0.7</v>
      </c>
      <c r="T2491" s="18" t="s">
        <v>7852</v>
      </c>
      <c r="U2491" t="str">
        <f>VLOOKUP(T2491,[8]Votes!$A$1:$E$234,3,FALSE)</f>
        <v>131 Auditor General</v>
      </c>
      <c r="W2491" s="48"/>
      <c r="X2491" s="48"/>
      <c r="Y2491" s="48"/>
      <c r="Z2491" s="48"/>
      <c r="AA2491" s="48"/>
      <c r="AB2491" s="48"/>
      <c r="AC2491" s="150">
        <v>0</v>
      </c>
      <c r="AD2491" s="150">
        <v>0</v>
      </c>
      <c r="AE2491" s="49">
        <f t="shared" si="127"/>
        <v>0</v>
      </c>
      <c r="AF2491" s="17"/>
      <c r="AG2491" s="17">
        <v>0</v>
      </c>
      <c r="AH2491" s="17"/>
      <c r="AI2491" s="17"/>
      <c r="AJ2491" s="17"/>
      <c r="AK2491" s="154"/>
      <c r="AL2491" s="154"/>
      <c r="AM2491" s="17">
        <f t="shared" si="128"/>
        <v>0</v>
      </c>
    </row>
    <row r="2492" spans="1:41" s="18" customFormat="1" ht="15" hidden="1" customHeight="1" x14ac:dyDescent="0.3">
      <c r="A2492" s="207" t="s">
        <v>7397</v>
      </c>
      <c r="B2492" s="18" t="s">
        <v>7398</v>
      </c>
      <c r="C2492" s="207" t="s">
        <v>7400</v>
      </c>
      <c r="D2492" s="18" t="s">
        <v>7401</v>
      </c>
      <c r="E2492" s="208" t="s">
        <v>8196</v>
      </c>
      <c r="F2492" s="18" t="s">
        <v>8197</v>
      </c>
      <c r="G2492" s="156" t="s">
        <v>8216</v>
      </c>
      <c r="H2492" s="18" t="s">
        <v>8217</v>
      </c>
      <c r="I2492" s="156"/>
      <c r="K2492" s="156" t="s">
        <v>8222</v>
      </c>
      <c r="L2492" s="18" t="s">
        <v>8224</v>
      </c>
      <c r="M2492" s="18" t="s">
        <v>8225</v>
      </c>
      <c r="N2492" s="16">
        <v>1</v>
      </c>
      <c r="O2492" s="16">
        <v>1</v>
      </c>
      <c r="P2492" s="16">
        <v>1</v>
      </c>
      <c r="Q2492" s="16">
        <v>1</v>
      </c>
      <c r="R2492" s="16">
        <v>1</v>
      </c>
      <c r="S2492" s="16">
        <v>1</v>
      </c>
      <c r="T2492" s="18" t="s">
        <v>1563</v>
      </c>
      <c r="U2492" t="str">
        <f>VLOOKUP(T2492,[8]Votes!$A$1:$E$234,3,FALSE)</f>
        <v>124 Equal Opportunities Commission</v>
      </c>
      <c r="V2492" s="18" t="s">
        <v>8226</v>
      </c>
      <c r="W2492" s="48">
        <v>1</v>
      </c>
      <c r="X2492" s="48">
        <v>0</v>
      </c>
      <c r="Y2492" s="48">
        <v>0</v>
      </c>
      <c r="Z2492" s="48">
        <v>1</v>
      </c>
      <c r="AA2492" s="48">
        <v>1</v>
      </c>
      <c r="AB2492" s="48">
        <v>0</v>
      </c>
      <c r="AC2492" s="150">
        <v>1</v>
      </c>
      <c r="AD2492" s="150">
        <v>1</v>
      </c>
      <c r="AE2492" s="49">
        <f t="shared" si="127"/>
        <v>0.625</v>
      </c>
      <c r="AF2492" s="17"/>
      <c r="AG2492" s="17">
        <v>0</v>
      </c>
      <c r="AH2492" s="17">
        <v>1.99</v>
      </c>
      <c r="AI2492" s="17">
        <v>2</v>
      </c>
      <c r="AJ2492" s="17">
        <v>2.02</v>
      </c>
      <c r="AK2492" s="154">
        <v>2.0099999999999998</v>
      </c>
      <c r="AL2492" s="154">
        <v>2</v>
      </c>
      <c r="AM2492" s="17">
        <f t="shared" si="128"/>
        <v>4.01</v>
      </c>
      <c r="AN2492" s="18" t="s">
        <v>1563</v>
      </c>
    </row>
    <row r="2493" spans="1:41" s="18" customFormat="1" ht="15" hidden="1" customHeight="1" x14ac:dyDescent="0.3">
      <c r="A2493" s="207" t="s">
        <v>7397</v>
      </c>
      <c r="B2493" s="18" t="s">
        <v>7398</v>
      </c>
      <c r="C2493" s="207" t="s">
        <v>7400</v>
      </c>
      <c r="D2493" s="18" t="s">
        <v>7401</v>
      </c>
      <c r="E2493" s="208" t="s">
        <v>8196</v>
      </c>
      <c r="F2493" s="18" t="s">
        <v>8197</v>
      </c>
      <c r="G2493" s="156" t="s">
        <v>8227</v>
      </c>
      <c r="H2493" s="18" t="s">
        <v>8228</v>
      </c>
      <c r="I2493" s="156"/>
      <c r="K2493" s="156" t="s">
        <v>8229</v>
      </c>
      <c r="L2493" s="18" t="s">
        <v>8230</v>
      </c>
      <c r="M2493" s="18" t="s">
        <v>8231</v>
      </c>
      <c r="N2493" s="16">
        <v>0</v>
      </c>
      <c r="O2493" s="16">
        <v>0</v>
      </c>
      <c r="P2493" s="16">
        <v>50</v>
      </c>
      <c r="Q2493" s="16">
        <v>100</v>
      </c>
      <c r="R2493" s="16">
        <v>0</v>
      </c>
      <c r="S2493" s="16">
        <v>0</v>
      </c>
      <c r="T2493" s="18" t="s">
        <v>1345</v>
      </c>
      <c r="U2493" t="str">
        <f>VLOOKUP(T2493,[8]Votes!$A$1:$E$234,3,FALSE)</f>
        <v>001 Office of the President</v>
      </c>
      <c r="V2493" s="18" t="s">
        <v>8232</v>
      </c>
      <c r="W2493" s="48">
        <v>1</v>
      </c>
      <c r="X2493" s="48">
        <v>0</v>
      </c>
      <c r="Y2493" s="48">
        <v>0</v>
      </c>
      <c r="Z2493" s="48">
        <v>1</v>
      </c>
      <c r="AA2493" s="48">
        <v>1</v>
      </c>
      <c r="AB2493" s="48">
        <v>0</v>
      </c>
      <c r="AC2493" s="150">
        <v>1</v>
      </c>
      <c r="AD2493" s="150">
        <v>1</v>
      </c>
      <c r="AE2493" s="49">
        <f t="shared" si="127"/>
        <v>0.625</v>
      </c>
      <c r="AF2493" s="255"/>
      <c r="AG2493" s="17">
        <v>0</v>
      </c>
      <c r="AH2493" s="255">
        <v>0</v>
      </c>
      <c r="AI2493" s="255">
        <v>7.2499999999999995E-2</v>
      </c>
      <c r="AJ2493" s="255">
        <v>0</v>
      </c>
      <c r="AK2493" s="256">
        <v>0</v>
      </c>
      <c r="AL2493" s="256">
        <v>7.2499999999999995E-2</v>
      </c>
      <c r="AM2493" s="17">
        <f t="shared" si="128"/>
        <v>7.2499999999999995E-2</v>
      </c>
      <c r="AN2493" s="18" t="s">
        <v>1345</v>
      </c>
      <c r="AO2493" s="18" t="s">
        <v>1334</v>
      </c>
    </row>
    <row r="2494" spans="1:41" s="18" customFormat="1" ht="15" hidden="1" customHeight="1" x14ac:dyDescent="0.3">
      <c r="A2494" s="207" t="s">
        <v>7397</v>
      </c>
      <c r="B2494" s="18" t="s">
        <v>7398</v>
      </c>
      <c r="C2494" s="207" t="s">
        <v>7400</v>
      </c>
      <c r="D2494" s="18" t="s">
        <v>7401</v>
      </c>
      <c r="E2494" s="208" t="s">
        <v>8196</v>
      </c>
      <c r="F2494" s="18" t="s">
        <v>8197</v>
      </c>
      <c r="G2494" s="156" t="s">
        <v>8227</v>
      </c>
      <c r="H2494" s="18" t="s">
        <v>8228</v>
      </c>
      <c r="I2494" s="156"/>
      <c r="K2494" s="156" t="s">
        <v>8233</v>
      </c>
      <c r="L2494" s="18" t="s">
        <v>8234</v>
      </c>
      <c r="M2494" s="18" t="s">
        <v>8235</v>
      </c>
      <c r="N2494" s="16" t="s">
        <v>7562</v>
      </c>
      <c r="O2494" s="16">
        <v>1</v>
      </c>
      <c r="P2494" s="16" t="s">
        <v>7562</v>
      </c>
      <c r="Q2494" s="16" t="s">
        <v>7562</v>
      </c>
      <c r="R2494" s="16">
        <v>1</v>
      </c>
      <c r="S2494" s="16">
        <v>1</v>
      </c>
      <c r="T2494" s="18" t="s">
        <v>1167</v>
      </c>
      <c r="U2494" t="str">
        <f>VLOOKUP(T2494,[8]Votes!$A$1:$E$234,3,FALSE)</f>
        <v>003 Office of the Prime Minister</v>
      </c>
      <c r="V2494" s="18" t="s">
        <v>8236</v>
      </c>
      <c r="W2494" s="48">
        <v>1</v>
      </c>
      <c r="X2494" s="48">
        <v>0</v>
      </c>
      <c r="Y2494" s="48">
        <v>0</v>
      </c>
      <c r="Z2494" s="48">
        <v>1</v>
      </c>
      <c r="AA2494" s="48">
        <v>1</v>
      </c>
      <c r="AB2494" s="48">
        <v>0</v>
      </c>
      <c r="AC2494" s="150">
        <v>1</v>
      </c>
      <c r="AD2494" s="150">
        <v>1</v>
      </c>
      <c r="AE2494" s="49">
        <f t="shared" si="127"/>
        <v>0.625</v>
      </c>
      <c r="AF2494" s="255"/>
      <c r="AG2494" s="17">
        <v>0</v>
      </c>
      <c r="AH2494" s="255">
        <v>0.14499999999999999</v>
      </c>
      <c r="AI2494" s="255">
        <v>0</v>
      </c>
      <c r="AJ2494" s="255">
        <v>0</v>
      </c>
      <c r="AK2494" s="256">
        <v>1.1499999999999999</v>
      </c>
      <c r="AL2494" s="256">
        <v>1.1499999999999999</v>
      </c>
      <c r="AM2494" s="17">
        <f t="shared" si="128"/>
        <v>2.2999999999999998</v>
      </c>
      <c r="AN2494" s="18" t="s">
        <v>1167</v>
      </c>
      <c r="AO2494" s="18" t="s">
        <v>1170</v>
      </c>
    </row>
    <row r="2495" spans="1:41" s="18" customFormat="1" ht="15" hidden="1" customHeight="1" x14ac:dyDescent="0.3">
      <c r="A2495" s="207" t="s">
        <v>7397</v>
      </c>
      <c r="B2495" s="18" t="s">
        <v>7398</v>
      </c>
      <c r="C2495" s="207" t="s">
        <v>7400</v>
      </c>
      <c r="D2495" s="18" t="s">
        <v>7401</v>
      </c>
      <c r="E2495" s="208" t="s">
        <v>8196</v>
      </c>
      <c r="F2495" s="18" t="s">
        <v>8197</v>
      </c>
      <c r="G2495" s="156" t="s">
        <v>8227</v>
      </c>
      <c r="H2495" s="18" t="s">
        <v>8228</v>
      </c>
      <c r="I2495" s="156"/>
      <c r="K2495" s="156" t="s">
        <v>8237</v>
      </c>
      <c r="L2495" s="18" t="s">
        <v>8234</v>
      </c>
      <c r="M2495" s="18" t="s">
        <v>8238</v>
      </c>
      <c r="N2495" s="16" t="s">
        <v>7562</v>
      </c>
      <c r="O2495" s="16">
        <v>2</v>
      </c>
      <c r="P2495" s="16">
        <v>2</v>
      </c>
      <c r="Q2495" s="16">
        <v>2</v>
      </c>
      <c r="R2495" s="16">
        <v>2</v>
      </c>
      <c r="S2495" s="16">
        <v>2</v>
      </c>
      <c r="T2495" s="18" t="s">
        <v>1167</v>
      </c>
      <c r="U2495" t="str">
        <f>VLOOKUP(T2495,[8]Votes!$A$1:$E$234,3,FALSE)</f>
        <v>003 Office of the Prime Minister</v>
      </c>
      <c r="V2495" s="18" t="s">
        <v>8239</v>
      </c>
      <c r="W2495" s="48">
        <v>1</v>
      </c>
      <c r="X2495" s="48">
        <v>0</v>
      </c>
      <c r="Y2495" s="48">
        <v>0</v>
      </c>
      <c r="Z2495" s="48">
        <v>1</v>
      </c>
      <c r="AA2495" s="48">
        <v>1</v>
      </c>
      <c r="AB2495" s="48">
        <v>0</v>
      </c>
      <c r="AC2495" s="150">
        <v>1</v>
      </c>
      <c r="AD2495" s="150">
        <v>1</v>
      </c>
      <c r="AE2495" s="49">
        <f t="shared" si="127"/>
        <v>0.625</v>
      </c>
      <c r="AF2495" s="255"/>
      <c r="AG2495" s="17">
        <v>0</v>
      </c>
      <c r="AH2495" s="255">
        <v>4.3499999999999997E-2</v>
      </c>
      <c r="AI2495" s="255">
        <v>4.3499999999999997E-2</v>
      </c>
      <c r="AJ2495" s="255">
        <v>4.3499999999999997E-2</v>
      </c>
      <c r="AK2495" s="256">
        <v>5</v>
      </c>
      <c r="AL2495" s="256">
        <v>5</v>
      </c>
      <c r="AM2495" s="17">
        <f t="shared" si="128"/>
        <v>10</v>
      </c>
      <c r="AN2495" s="18" t="s">
        <v>1167</v>
      </c>
      <c r="AO2495" s="18" t="s">
        <v>1170</v>
      </c>
    </row>
    <row r="2496" spans="1:41" s="18" customFormat="1" ht="15" hidden="1" customHeight="1" x14ac:dyDescent="0.3">
      <c r="A2496" s="207" t="s">
        <v>7397</v>
      </c>
      <c r="B2496" s="18" t="s">
        <v>7398</v>
      </c>
      <c r="C2496" s="207" t="s">
        <v>7400</v>
      </c>
      <c r="D2496" s="18" t="s">
        <v>7401</v>
      </c>
      <c r="E2496" s="208" t="s">
        <v>8196</v>
      </c>
      <c r="F2496" s="18" t="s">
        <v>8197</v>
      </c>
      <c r="G2496" s="156" t="s">
        <v>8227</v>
      </c>
      <c r="H2496" s="18" t="s">
        <v>8228</v>
      </c>
      <c r="I2496" s="156"/>
      <c r="K2496" s="156" t="s">
        <v>8240</v>
      </c>
      <c r="L2496" s="18" t="s">
        <v>8241</v>
      </c>
      <c r="M2496" s="18" t="s">
        <v>8242</v>
      </c>
      <c r="N2496" s="16" t="s">
        <v>7562</v>
      </c>
      <c r="O2496" s="16">
        <v>50</v>
      </c>
      <c r="P2496" s="16">
        <v>50</v>
      </c>
      <c r="Q2496" s="16">
        <v>50</v>
      </c>
      <c r="R2496" s="16">
        <v>50</v>
      </c>
      <c r="S2496" s="16">
        <v>50</v>
      </c>
      <c r="T2496" s="18" t="s">
        <v>1167</v>
      </c>
      <c r="U2496" t="str">
        <f>VLOOKUP(T2496,[8]Votes!$A$1:$E$234,3,FALSE)</f>
        <v>003 Office of the Prime Minister</v>
      </c>
      <c r="V2496" s="18" t="s">
        <v>8243</v>
      </c>
      <c r="W2496" s="48">
        <v>1</v>
      </c>
      <c r="X2496" s="48">
        <v>0</v>
      </c>
      <c r="Y2496" s="48">
        <v>0</v>
      </c>
      <c r="Z2496" s="48">
        <v>1</v>
      </c>
      <c r="AA2496" s="48">
        <v>1</v>
      </c>
      <c r="AB2496" s="48">
        <v>0</v>
      </c>
      <c r="AC2496" s="150">
        <v>1</v>
      </c>
      <c r="AD2496" s="150">
        <v>1</v>
      </c>
      <c r="AE2496" s="49">
        <f t="shared" si="127"/>
        <v>0.625</v>
      </c>
      <c r="AF2496" s="176"/>
      <c r="AG2496" s="17">
        <v>0</v>
      </c>
      <c r="AH2496" s="176">
        <v>1.1599999999999999</v>
      </c>
      <c r="AI2496" s="176">
        <v>1.31</v>
      </c>
      <c r="AJ2496" s="176">
        <v>1.45</v>
      </c>
      <c r="AK2496" s="177">
        <v>1.5</v>
      </c>
      <c r="AL2496" s="177">
        <v>1.58</v>
      </c>
      <c r="AM2496" s="17">
        <f t="shared" si="128"/>
        <v>3.08</v>
      </c>
      <c r="AN2496" s="18" t="s">
        <v>1167</v>
      </c>
    </row>
    <row r="2497" spans="1:41" s="18" customFormat="1" ht="15" hidden="1" customHeight="1" x14ac:dyDescent="0.3">
      <c r="A2497" s="207" t="s">
        <v>7397</v>
      </c>
      <c r="B2497" s="18" t="s">
        <v>7398</v>
      </c>
      <c r="C2497" s="207" t="s">
        <v>7400</v>
      </c>
      <c r="D2497" s="18" t="s">
        <v>7401</v>
      </c>
      <c r="E2497" s="208" t="s">
        <v>8196</v>
      </c>
      <c r="F2497" s="18" t="s">
        <v>8197</v>
      </c>
      <c r="G2497" s="156" t="s">
        <v>8227</v>
      </c>
      <c r="H2497" s="18" t="s">
        <v>8228</v>
      </c>
      <c r="I2497" s="156"/>
      <c r="K2497" s="156" t="s">
        <v>8244</v>
      </c>
      <c r="L2497" s="18" t="s">
        <v>8245</v>
      </c>
      <c r="M2497" s="18" t="s">
        <v>8246</v>
      </c>
      <c r="N2497" s="16">
        <v>1</v>
      </c>
      <c r="O2497" s="16">
        <v>1</v>
      </c>
      <c r="P2497" s="16">
        <v>1</v>
      </c>
      <c r="Q2497" s="16">
        <v>1</v>
      </c>
      <c r="R2497" s="16">
        <v>1</v>
      </c>
      <c r="S2497" s="16">
        <v>1</v>
      </c>
      <c r="T2497" s="18" t="s">
        <v>1167</v>
      </c>
      <c r="U2497" t="str">
        <f>VLOOKUP(T2497,[8]Votes!$A$1:$E$234,3,FALSE)</f>
        <v>003 Office of the Prime Minister</v>
      </c>
      <c r="V2497" s="18" t="s">
        <v>8247</v>
      </c>
      <c r="W2497" s="48">
        <v>1</v>
      </c>
      <c r="X2497" s="48">
        <v>0</v>
      </c>
      <c r="Y2497" s="48">
        <v>0</v>
      </c>
      <c r="Z2497" s="48">
        <v>1</v>
      </c>
      <c r="AA2497" s="48">
        <v>1</v>
      </c>
      <c r="AB2497" s="48">
        <v>0</v>
      </c>
      <c r="AC2497" s="150">
        <v>1</v>
      </c>
      <c r="AD2497" s="150">
        <v>1</v>
      </c>
      <c r="AE2497" s="49">
        <f t="shared" si="127"/>
        <v>0.625</v>
      </c>
      <c r="AF2497" s="176"/>
      <c r="AG2497" s="17">
        <v>0</v>
      </c>
      <c r="AH2497" s="176">
        <v>0.28999999999999998</v>
      </c>
      <c r="AI2497" s="176">
        <v>0.28999999999999998</v>
      </c>
      <c r="AJ2497" s="176">
        <v>0.28999999999999998</v>
      </c>
      <c r="AK2497" s="177">
        <v>2</v>
      </c>
      <c r="AL2497" s="177">
        <v>2</v>
      </c>
      <c r="AM2497" s="17">
        <f t="shared" si="128"/>
        <v>4</v>
      </c>
      <c r="AN2497" s="18" t="s">
        <v>1167</v>
      </c>
    </row>
    <row r="2498" spans="1:41" s="18" customFormat="1" ht="15" hidden="1" customHeight="1" x14ac:dyDescent="0.3">
      <c r="A2498" s="207" t="s">
        <v>7397</v>
      </c>
      <c r="B2498" s="18" t="s">
        <v>7398</v>
      </c>
      <c r="C2498" s="207" t="s">
        <v>7400</v>
      </c>
      <c r="D2498" s="18" t="s">
        <v>7401</v>
      </c>
      <c r="E2498" s="208" t="s">
        <v>8196</v>
      </c>
      <c r="F2498" s="18" t="s">
        <v>8197</v>
      </c>
      <c r="G2498" s="156" t="s">
        <v>8227</v>
      </c>
      <c r="H2498" s="18" t="s">
        <v>8228</v>
      </c>
      <c r="I2498" s="156"/>
      <c r="K2498" s="156" t="s">
        <v>8244</v>
      </c>
      <c r="L2498" s="18" t="s">
        <v>8245</v>
      </c>
      <c r="M2498" s="18" t="s">
        <v>8248</v>
      </c>
      <c r="N2498" s="16" t="s">
        <v>7562</v>
      </c>
      <c r="O2498" s="16">
        <v>100</v>
      </c>
      <c r="P2498" s="16">
        <v>100</v>
      </c>
      <c r="Q2498" s="16">
        <v>100</v>
      </c>
      <c r="R2498" s="16">
        <v>100</v>
      </c>
      <c r="S2498" s="16">
        <v>100</v>
      </c>
      <c r="T2498" s="18" t="s">
        <v>1167</v>
      </c>
      <c r="U2498" t="str">
        <f>VLOOKUP(T2498,[8]Votes!$A$1:$E$234,3,FALSE)</f>
        <v>003 Office of the Prime Minister</v>
      </c>
      <c r="W2498" s="48"/>
      <c r="X2498" s="48"/>
      <c r="Y2498" s="48"/>
      <c r="Z2498" s="48"/>
      <c r="AA2498" s="48"/>
      <c r="AB2498" s="48"/>
      <c r="AC2498" s="150">
        <v>0</v>
      </c>
      <c r="AD2498" s="150">
        <v>0</v>
      </c>
      <c r="AE2498" s="49">
        <f t="shared" si="127"/>
        <v>0</v>
      </c>
      <c r="AF2498" s="17"/>
      <c r="AG2498" s="17">
        <v>0</v>
      </c>
      <c r="AH2498" s="17"/>
      <c r="AI2498" s="17"/>
      <c r="AJ2498" s="17"/>
      <c r="AK2498" s="154"/>
      <c r="AL2498" s="154"/>
      <c r="AM2498" s="17">
        <f t="shared" si="128"/>
        <v>0</v>
      </c>
    </row>
    <row r="2499" spans="1:41" s="18" customFormat="1" ht="15" customHeight="1" x14ac:dyDescent="0.3">
      <c r="A2499" s="207" t="s">
        <v>7397</v>
      </c>
      <c r="B2499" s="18" t="s">
        <v>7398</v>
      </c>
      <c r="C2499" s="207" t="s">
        <v>7400</v>
      </c>
      <c r="D2499" s="18" t="s">
        <v>7401</v>
      </c>
      <c r="E2499" s="208" t="s">
        <v>8196</v>
      </c>
      <c r="F2499" s="18" t="s">
        <v>8197</v>
      </c>
      <c r="G2499" s="156" t="s">
        <v>8227</v>
      </c>
      <c r="H2499" s="18" t="s">
        <v>8228</v>
      </c>
      <c r="I2499" s="156"/>
      <c r="K2499" s="156" t="s">
        <v>8249</v>
      </c>
      <c r="L2499" s="18" t="s">
        <v>8250</v>
      </c>
      <c r="M2499" s="18" t="s">
        <v>8251</v>
      </c>
      <c r="N2499" s="16">
        <v>0</v>
      </c>
      <c r="O2499" s="16">
        <v>1</v>
      </c>
      <c r="P2499" s="16">
        <v>1</v>
      </c>
      <c r="Q2499" s="16">
        <v>1</v>
      </c>
      <c r="R2499" s="16">
        <v>1</v>
      </c>
      <c r="S2499" s="16">
        <v>1</v>
      </c>
      <c r="T2499" s="18" t="s">
        <v>1167</v>
      </c>
      <c r="U2499" t="str">
        <f>VLOOKUP(T2499,[8]Votes!$A$1:$E$234,3,FALSE)</f>
        <v>003 Office of the Prime Minister</v>
      </c>
      <c r="V2499" s="18" t="s">
        <v>8252</v>
      </c>
      <c r="W2499" s="48">
        <v>1</v>
      </c>
      <c r="X2499" s="48">
        <v>1</v>
      </c>
      <c r="Y2499" s="48">
        <v>1</v>
      </c>
      <c r="Z2499" s="48">
        <v>1</v>
      </c>
      <c r="AA2499" s="48">
        <v>1</v>
      </c>
      <c r="AB2499" s="48">
        <v>1</v>
      </c>
      <c r="AC2499" s="150">
        <v>1</v>
      </c>
      <c r="AD2499" s="150">
        <v>1</v>
      </c>
      <c r="AE2499" s="49">
        <f t="shared" si="127"/>
        <v>1</v>
      </c>
      <c r="AF2499" s="176"/>
      <c r="AG2499" s="17">
        <v>0</v>
      </c>
      <c r="AH2499" s="176">
        <v>1.1599999999999999</v>
      </c>
      <c r="AI2499" s="176">
        <v>0</v>
      </c>
      <c r="AJ2499" s="176">
        <v>0</v>
      </c>
      <c r="AK2499" s="177">
        <v>3</v>
      </c>
      <c r="AL2499" s="177">
        <v>3</v>
      </c>
      <c r="AM2499" s="17">
        <f t="shared" si="128"/>
        <v>6</v>
      </c>
      <c r="AN2499" s="18" t="s">
        <v>1167</v>
      </c>
    </row>
    <row r="2500" spans="1:41" s="18" customFormat="1" ht="15" hidden="1" customHeight="1" x14ac:dyDescent="0.3">
      <c r="A2500" s="207" t="s">
        <v>7397</v>
      </c>
      <c r="B2500" s="18" t="s">
        <v>7398</v>
      </c>
      <c r="C2500" s="207" t="s">
        <v>7400</v>
      </c>
      <c r="D2500" s="18" t="s">
        <v>7401</v>
      </c>
      <c r="E2500" s="208" t="s">
        <v>8196</v>
      </c>
      <c r="F2500" s="18" t="s">
        <v>8197</v>
      </c>
      <c r="G2500" s="156" t="s">
        <v>8227</v>
      </c>
      <c r="H2500" s="18" t="s">
        <v>8228</v>
      </c>
      <c r="I2500" s="156"/>
      <c r="K2500" s="156" t="s">
        <v>8249</v>
      </c>
      <c r="L2500" s="18" t="s">
        <v>8250</v>
      </c>
      <c r="M2500" s="18" t="s">
        <v>8253</v>
      </c>
      <c r="N2500" s="16"/>
      <c r="O2500" s="16">
        <v>80</v>
      </c>
      <c r="P2500" s="16">
        <v>85</v>
      </c>
      <c r="Q2500" s="16">
        <v>90</v>
      </c>
      <c r="R2500" s="16">
        <v>95</v>
      </c>
      <c r="S2500" s="16">
        <v>100</v>
      </c>
      <c r="T2500" s="18" t="s">
        <v>1167</v>
      </c>
      <c r="U2500" t="str">
        <f>VLOOKUP(T2500,[8]Votes!$A$1:$E$234,3,FALSE)</f>
        <v>003 Office of the Prime Minister</v>
      </c>
      <c r="W2500" s="48"/>
      <c r="X2500" s="48"/>
      <c r="Y2500" s="48"/>
      <c r="Z2500" s="48"/>
      <c r="AA2500" s="48"/>
      <c r="AB2500" s="48"/>
      <c r="AC2500" s="150">
        <v>0</v>
      </c>
      <c r="AD2500" s="150">
        <v>0</v>
      </c>
      <c r="AE2500" s="49">
        <f t="shared" si="127"/>
        <v>0</v>
      </c>
      <c r="AF2500" s="17"/>
      <c r="AG2500" s="17">
        <v>0</v>
      </c>
      <c r="AH2500" s="17"/>
      <c r="AI2500" s="17"/>
      <c r="AJ2500" s="17"/>
      <c r="AK2500" s="154"/>
      <c r="AL2500" s="154"/>
      <c r="AM2500" s="17">
        <f t="shared" si="128"/>
        <v>0</v>
      </c>
    </row>
    <row r="2501" spans="1:41" s="18" customFormat="1" ht="15" hidden="1" customHeight="1" x14ac:dyDescent="0.3">
      <c r="A2501" s="207" t="s">
        <v>7397</v>
      </c>
      <c r="B2501" s="18" t="s">
        <v>7398</v>
      </c>
      <c r="C2501" s="207" t="s">
        <v>7400</v>
      </c>
      <c r="D2501" s="18" t="s">
        <v>7401</v>
      </c>
      <c r="E2501" s="208" t="s">
        <v>8196</v>
      </c>
      <c r="F2501" s="18" t="s">
        <v>8197</v>
      </c>
      <c r="G2501" s="156" t="s">
        <v>8227</v>
      </c>
      <c r="H2501" s="18" t="s">
        <v>8228</v>
      </c>
      <c r="I2501" s="156"/>
      <c r="K2501" s="156" t="s">
        <v>8249</v>
      </c>
      <c r="L2501" s="18" t="s">
        <v>8250</v>
      </c>
      <c r="M2501" s="18" t="s">
        <v>8254</v>
      </c>
      <c r="N2501" s="16">
        <v>0</v>
      </c>
      <c r="O2501" s="16">
        <v>17</v>
      </c>
      <c r="P2501" s="16">
        <v>17</v>
      </c>
      <c r="Q2501" s="16">
        <v>17</v>
      </c>
      <c r="R2501" s="16">
        <v>17</v>
      </c>
      <c r="S2501" s="16">
        <v>17</v>
      </c>
      <c r="T2501" s="18" t="s">
        <v>1167</v>
      </c>
      <c r="U2501" t="str">
        <f>VLOOKUP(T2501,[8]Votes!$A$1:$E$234,3,FALSE)</f>
        <v>003 Office of the Prime Minister</v>
      </c>
      <c r="W2501" s="48"/>
      <c r="X2501" s="48"/>
      <c r="Y2501" s="48"/>
      <c r="Z2501" s="48"/>
      <c r="AA2501" s="48"/>
      <c r="AB2501" s="48"/>
      <c r="AC2501" s="150">
        <v>0</v>
      </c>
      <c r="AD2501" s="150">
        <v>0</v>
      </c>
      <c r="AE2501" s="49">
        <f t="shared" si="127"/>
        <v>0</v>
      </c>
      <c r="AF2501" s="17"/>
      <c r="AG2501" s="17">
        <v>0</v>
      </c>
      <c r="AH2501" s="17"/>
      <c r="AI2501" s="17"/>
      <c r="AJ2501" s="17"/>
      <c r="AK2501" s="154"/>
      <c r="AL2501" s="154"/>
      <c r="AM2501" s="17">
        <f t="shared" si="128"/>
        <v>0</v>
      </c>
    </row>
    <row r="2502" spans="1:41" s="18" customFormat="1" ht="15" customHeight="1" x14ac:dyDescent="0.3">
      <c r="A2502" s="207" t="s">
        <v>7397</v>
      </c>
      <c r="B2502" s="18" t="s">
        <v>7398</v>
      </c>
      <c r="C2502" s="207" t="s">
        <v>7400</v>
      </c>
      <c r="D2502" s="18" t="s">
        <v>7401</v>
      </c>
      <c r="E2502" s="208" t="s">
        <v>8196</v>
      </c>
      <c r="F2502" s="18" t="s">
        <v>8197</v>
      </c>
      <c r="G2502" s="156" t="s">
        <v>8255</v>
      </c>
      <c r="H2502" s="18" t="s">
        <v>8256</v>
      </c>
      <c r="I2502" s="156"/>
      <c r="K2502" s="156" t="s">
        <v>8257</v>
      </c>
      <c r="L2502" s="18" t="s">
        <v>8258</v>
      </c>
      <c r="M2502" s="18" t="s">
        <v>8259</v>
      </c>
      <c r="N2502" s="16">
        <v>0</v>
      </c>
      <c r="O2502" s="16">
        <v>0</v>
      </c>
      <c r="P2502" s="16">
        <v>0</v>
      </c>
      <c r="Q2502" s="16">
        <v>1</v>
      </c>
      <c r="R2502" s="16">
        <v>2</v>
      </c>
      <c r="S2502" s="16">
        <v>3</v>
      </c>
      <c r="T2502" s="18" t="s">
        <v>7852</v>
      </c>
      <c r="U2502" t="str">
        <f>VLOOKUP(T2502,[8]Votes!$A$1:$E$234,3,FALSE)</f>
        <v>131 Auditor General</v>
      </c>
      <c r="V2502" s="18" t="s">
        <v>8260</v>
      </c>
      <c r="W2502" s="48">
        <v>1</v>
      </c>
      <c r="X2502" s="48">
        <v>1</v>
      </c>
      <c r="Y2502" s="48">
        <v>0</v>
      </c>
      <c r="Z2502" s="48">
        <v>1</v>
      </c>
      <c r="AA2502" s="48">
        <v>1</v>
      </c>
      <c r="AB2502" s="48">
        <v>0</v>
      </c>
      <c r="AC2502" s="150">
        <v>1</v>
      </c>
      <c r="AD2502" s="150">
        <v>1</v>
      </c>
      <c r="AE2502" s="49">
        <f t="shared" si="127"/>
        <v>0.75</v>
      </c>
      <c r="AF2502" s="176"/>
      <c r="AG2502" s="17">
        <v>0</v>
      </c>
      <c r="AH2502" s="176">
        <v>0.12</v>
      </c>
      <c r="AI2502" s="176">
        <v>0.19</v>
      </c>
      <c r="AJ2502" s="176">
        <v>0.2</v>
      </c>
      <c r="AK2502" s="177">
        <v>0.22</v>
      </c>
      <c r="AL2502" s="177">
        <v>0.22</v>
      </c>
      <c r="AM2502" s="17">
        <f t="shared" si="128"/>
        <v>0.44</v>
      </c>
      <c r="AN2502" s="18" t="s">
        <v>7852</v>
      </c>
    </row>
    <row r="2503" spans="1:41" s="18" customFormat="1" ht="15" customHeight="1" x14ac:dyDescent="0.3">
      <c r="A2503" s="207" t="s">
        <v>7397</v>
      </c>
      <c r="B2503" s="18" t="s">
        <v>7398</v>
      </c>
      <c r="C2503" s="207" t="s">
        <v>7400</v>
      </c>
      <c r="D2503" s="18" t="s">
        <v>7401</v>
      </c>
      <c r="E2503" s="208" t="s">
        <v>8196</v>
      </c>
      <c r="F2503" s="18" t="s">
        <v>8197</v>
      </c>
      <c r="G2503" s="156" t="s">
        <v>8255</v>
      </c>
      <c r="H2503" s="18" t="s">
        <v>8256</v>
      </c>
      <c r="I2503" s="156"/>
      <c r="K2503" s="156" t="s">
        <v>8257</v>
      </c>
      <c r="L2503" s="18" t="s">
        <v>8258</v>
      </c>
      <c r="M2503" s="18" t="s">
        <v>8261</v>
      </c>
      <c r="N2503" s="16">
        <v>0</v>
      </c>
      <c r="O2503" s="16">
        <v>0</v>
      </c>
      <c r="P2503" s="16">
        <v>2</v>
      </c>
      <c r="Q2503" s="16">
        <v>3</v>
      </c>
      <c r="R2503" s="16">
        <v>4</v>
      </c>
      <c r="S2503" s="16">
        <v>6</v>
      </c>
      <c r="T2503" s="18" t="s">
        <v>7852</v>
      </c>
      <c r="U2503" t="str">
        <f>VLOOKUP(T2503,[8]Votes!$A$1:$E$234,3,FALSE)</f>
        <v>131 Auditor General</v>
      </c>
      <c r="V2503" s="18" t="s">
        <v>8262</v>
      </c>
      <c r="W2503" s="48">
        <v>1</v>
      </c>
      <c r="X2503" s="48">
        <v>1</v>
      </c>
      <c r="Y2503" s="48">
        <v>0</v>
      </c>
      <c r="Z2503" s="48">
        <v>1</v>
      </c>
      <c r="AA2503" s="48">
        <v>1</v>
      </c>
      <c r="AB2503" s="48">
        <v>0</v>
      </c>
      <c r="AC2503" s="150">
        <v>1</v>
      </c>
      <c r="AD2503" s="150">
        <v>1</v>
      </c>
      <c r="AE2503" s="49">
        <f t="shared" si="127"/>
        <v>0.75</v>
      </c>
      <c r="AF2503" s="176"/>
      <c r="AG2503" s="17">
        <v>0</v>
      </c>
      <c r="AH2503" s="176">
        <v>7.0000000000000007E-2</v>
      </c>
      <c r="AI2503" s="176">
        <v>0.09</v>
      </c>
      <c r="AJ2503" s="176">
        <v>0.23</v>
      </c>
      <c r="AK2503" s="177">
        <v>0.17</v>
      </c>
      <c r="AL2503" s="177">
        <v>0.12</v>
      </c>
      <c r="AM2503" s="17">
        <f t="shared" si="128"/>
        <v>0.29000000000000004</v>
      </c>
      <c r="AN2503" s="18" t="s">
        <v>7852</v>
      </c>
    </row>
    <row r="2504" spans="1:41" s="18" customFormat="1" ht="15" customHeight="1" x14ac:dyDescent="0.3">
      <c r="A2504" s="207" t="s">
        <v>7397</v>
      </c>
      <c r="B2504" s="18" t="s">
        <v>7398</v>
      </c>
      <c r="C2504" s="207" t="s">
        <v>7400</v>
      </c>
      <c r="D2504" s="18" t="s">
        <v>7401</v>
      </c>
      <c r="E2504" s="208" t="s">
        <v>8196</v>
      </c>
      <c r="F2504" s="18" t="s">
        <v>8197</v>
      </c>
      <c r="G2504" s="156" t="s">
        <v>8255</v>
      </c>
      <c r="H2504" s="18" t="s">
        <v>8256</v>
      </c>
      <c r="I2504" s="156"/>
      <c r="K2504" s="156" t="s">
        <v>8257</v>
      </c>
      <c r="L2504" s="18" t="s">
        <v>8258</v>
      </c>
      <c r="M2504" s="18" t="s">
        <v>8263</v>
      </c>
      <c r="N2504" s="16">
        <v>0</v>
      </c>
      <c r="O2504" s="16">
        <v>50</v>
      </c>
      <c r="P2504" s="16">
        <v>50</v>
      </c>
      <c r="Q2504" s="16">
        <v>50</v>
      </c>
      <c r="R2504" s="16">
        <v>50</v>
      </c>
      <c r="S2504" s="16">
        <v>50</v>
      </c>
      <c r="T2504" s="18" t="s">
        <v>1446</v>
      </c>
      <c r="U2504" t="str">
        <f>VLOOKUP(T2504,[8]Votes!$A$1:$E$234,3,FALSE)</f>
        <v>141 Uganda Revenue Authority</v>
      </c>
      <c r="V2504" s="18" t="s">
        <v>8264</v>
      </c>
      <c r="W2504" s="48">
        <v>1</v>
      </c>
      <c r="X2504" s="48">
        <v>1</v>
      </c>
      <c r="Y2504" s="48">
        <v>0</v>
      </c>
      <c r="Z2504" s="48">
        <v>1</v>
      </c>
      <c r="AA2504" s="48">
        <v>1</v>
      </c>
      <c r="AB2504" s="48">
        <v>0</v>
      </c>
      <c r="AC2504" s="150">
        <v>1</v>
      </c>
      <c r="AD2504" s="150">
        <v>1</v>
      </c>
      <c r="AE2504" s="49">
        <f t="shared" si="127"/>
        <v>0.75</v>
      </c>
      <c r="AF2504" s="176"/>
      <c r="AG2504" s="17">
        <v>0</v>
      </c>
      <c r="AH2504" s="176">
        <v>0.67</v>
      </c>
      <c r="AI2504" s="176">
        <v>0.67</v>
      </c>
      <c r="AJ2504" s="176">
        <v>0.67</v>
      </c>
      <c r="AK2504" s="177">
        <v>0.67</v>
      </c>
      <c r="AL2504" s="177">
        <v>0.67</v>
      </c>
      <c r="AM2504" s="17">
        <f t="shared" si="128"/>
        <v>1.34</v>
      </c>
      <c r="AN2504" s="18" t="s">
        <v>1446</v>
      </c>
    </row>
    <row r="2505" spans="1:41" s="18" customFormat="1" ht="15" customHeight="1" x14ac:dyDescent="0.3">
      <c r="A2505" s="207" t="s">
        <v>7397</v>
      </c>
      <c r="B2505" s="18" t="s">
        <v>7398</v>
      </c>
      <c r="C2505" s="207" t="s">
        <v>7400</v>
      </c>
      <c r="D2505" s="18" t="s">
        <v>7401</v>
      </c>
      <c r="E2505" s="208" t="s">
        <v>8196</v>
      </c>
      <c r="F2505" s="18" t="s">
        <v>8197</v>
      </c>
      <c r="G2505" s="156" t="s">
        <v>8255</v>
      </c>
      <c r="H2505" s="18" t="s">
        <v>8256</v>
      </c>
      <c r="I2505" s="156"/>
      <c r="K2505" s="156" t="s">
        <v>8257</v>
      </c>
      <c r="L2505" s="18" t="s">
        <v>8258</v>
      </c>
      <c r="N2505" s="16"/>
      <c r="O2505" s="16"/>
      <c r="P2505" s="16"/>
      <c r="Q2505" s="16"/>
      <c r="R2505" s="16"/>
      <c r="S2505" s="16"/>
      <c r="T2505" s="18" t="s">
        <v>921</v>
      </c>
      <c r="U2505" t="str">
        <f>VLOOKUP(T2505,[8]Votes!$A$1:$E$234,3,FALSE)</f>
        <v>008 Ministry of Finance, Planning &amp; Economic Dev.</v>
      </c>
      <c r="V2505" s="18" t="s">
        <v>8265</v>
      </c>
      <c r="W2505" s="48">
        <v>1</v>
      </c>
      <c r="X2505" s="48">
        <v>1</v>
      </c>
      <c r="Y2505" s="48">
        <v>0</v>
      </c>
      <c r="Z2505" s="48">
        <v>1</v>
      </c>
      <c r="AA2505" s="48">
        <v>1</v>
      </c>
      <c r="AB2505" s="48">
        <v>0</v>
      </c>
      <c r="AC2505" s="150">
        <v>1</v>
      </c>
      <c r="AD2505" s="150">
        <v>1</v>
      </c>
      <c r="AE2505" s="49">
        <f t="shared" si="127"/>
        <v>0.75</v>
      </c>
      <c r="AF2505" s="176"/>
      <c r="AG2505" s="17">
        <v>0</v>
      </c>
      <c r="AH2505" s="176">
        <v>0.28999999999999998</v>
      </c>
      <c r="AI2505" s="176">
        <v>0.28999999999999998</v>
      </c>
      <c r="AJ2505" s="176">
        <v>0.28999999999999998</v>
      </c>
      <c r="AK2505" s="177">
        <v>0.28999999999999998</v>
      </c>
      <c r="AL2505" s="177">
        <v>0.28999999999999998</v>
      </c>
      <c r="AM2505" s="17">
        <f t="shared" si="128"/>
        <v>0.57999999999999996</v>
      </c>
      <c r="AN2505" s="18" t="s">
        <v>921</v>
      </c>
    </row>
    <row r="2506" spans="1:41" s="18" customFormat="1" ht="15" hidden="1" customHeight="1" x14ac:dyDescent="0.3">
      <c r="A2506" s="207" t="s">
        <v>7397</v>
      </c>
      <c r="B2506" s="18" t="s">
        <v>7398</v>
      </c>
      <c r="C2506" s="207" t="s">
        <v>7400</v>
      </c>
      <c r="D2506" s="18" t="s">
        <v>7401</v>
      </c>
      <c r="E2506" s="208" t="s">
        <v>8196</v>
      </c>
      <c r="F2506" s="18" t="s">
        <v>8197</v>
      </c>
      <c r="G2506" s="156" t="s">
        <v>8255</v>
      </c>
      <c r="H2506" s="18" t="s">
        <v>8256</v>
      </c>
      <c r="I2506" s="156"/>
      <c r="K2506" s="156" t="s">
        <v>8266</v>
      </c>
      <c r="L2506" s="18" t="s">
        <v>8267</v>
      </c>
      <c r="M2506" s="18" t="s">
        <v>8268</v>
      </c>
      <c r="N2506" s="16">
        <v>0</v>
      </c>
      <c r="O2506" s="16">
        <v>15</v>
      </c>
      <c r="P2506" s="16">
        <v>15</v>
      </c>
      <c r="Q2506" s="16">
        <v>15</v>
      </c>
      <c r="R2506" s="16">
        <v>15</v>
      </c>
      <c r="S2506" s="16">
        <v>15</v>
      </c>
      <c r="T2506" s="18" t="s">
        <v>921</v>
      </c>
      <c r="U2506" t="str">
        <f>VLOOKUP(T2506,[8]Votes!$A$1:$E$234,3,FALSE)</f>
        <v>008 Ministry of Finance, Planning &amp; Economic Dev.</v>
      </c>
      <c r="W2506" s="48"/>
      <c r="X2506" s="48"/>
      <c r="Y2506" s="48"/>
      <c r="Z2506" s="48"/>
      <c r="AA2506" s="48"/>
      <c r="AB2506" s="48"/>
      <c r="AC2506" s="150">
        <v>0</v>
      </c>
      <c r="AD2506" s="150">
        <v>0</v>
      </c>
      <c r="AE2506" s="49">
        <f t="shared" si="127"/>
        <v>0</v>
      </c>
      <c r="AF2506" s="17"/>
      <c r="AG2506" s="17">
        <v>0</v>
      </c>
      <c r="AH2506" s="17"/>
      <c r="AI2506" s="17"/>
      <c r="AJ2506" s="17"/>
      <c r="AK2506" s="154"/>
      <c r="AL2506" s="154"/>
      <c r="AM2506" s="17">
        <f t="shared" si="128"/>
        <v>0</v>
      </c>
    </row>
    <row r="2507" spans="1:41" s="18" customFormat="1" ht="15" hidden="1" customHeight="1" x14ac:dyDescent="0.3">
      <c r="A2507" s="207" t="s">
        <v>7397</v>
      </c>
      <c r="B2507" s="18" t="s">
        <v>7398</v>
      </c>
      <c r="C2507" s="207" t="s">
        <v>7400</v>
      </c>
      <c r="D2507" s="18" t="s">
        <v>7401</v>
      </c>
      <c r="E2507" s="208" t="s">
        <v>8196</v>
      </c>
      <c r="F2507" s="18" t="s">
        <v>8197</v>
      </c>
      <c r="G2507" s="156" t="s">
        <v>8255</v>
      </c>
      <c r="H2507" s="18" t="s">
        <v>8256</v>
      </c>
      <c r="I2507" s="156"/>
      <c r="K2507" s="156" t="s">
        <v>8266</v>
      </c>
      <c r="L2507" s="18" t="s">
        <v>8267</v>
      </c>
      <c r="M2507" s="18" t="s">
        <v>8269</v>
      </c>
      <c r="N2507" s="16">
        <v>0</v>
      </c>
      <c r="O2507" s="16">
        <v>20</v>
      </c>
      <c r="P2507" s="16">
        <v>30</v>
      </c>
      <c r="Q2507" s="16">
        <v>40</v>
      </c>
      <c r="R2507" s="16">
        <v>50</v>
      </c>
      <c r="S2507" s="16">
        <v>60</v>
      </c>
      <c r="T2507" s="18" t="s">
        <v>921</v>
      </c>
      <c r="U2507" t="str">
        <f>VLOOKUP(T2507,[8]Votes!$A$1:$E$234,3,FALSE)</f>
        <v>008 Ministry of Finance, Planning &amp; Economic Dev.</v>
      </c>
      <c r="W2507" s="48"/>
      <c r="X2507" s="48"/>
      <c r="Y2507" s="48"/>
      <c r="Z2507" s="48"/>
      <c r="AA2507" s="48"/>
      <c r="AB2507" s="48"/>
      <c r="AC2507" s="150">
        <v>0</v>
      </c>
      <c r="AD2507" s="150">
        <v>0</v>
      </c>
      <c r="AE2507" s="49">
        <f t="shared" si="127"/>
        <v>0</v>
      </c>
      <c r="AF2507" s="17"/>
      <c r="AG2507" s="17">
        <v>0</v>
      </c>
      <c r="AH2507" s="17"/>
      <c r="AI2507" s="17"/>
      <c r="AJ2507" s="17"/>
      <c r="AK2507" s="154"/>
      <c r="AL2507" s="154"/>
      <c r="AM2507" s="17">
        <f t="shared" si="128"/>
        <v>0</v>
      </c>
    </row>
    <row r="2508" spans="1:41" s="18" customFormat="1" ht="15" hidden="1" customHeight="1" x14ac:dyDescent="0.3">
      <c r="A2508" s="207" t="s">
        <v>7397</v>
      </c>
      <c r="B2508" s="18" t="s">
        <v>7398</v>
      </c>
      <c r="C2508" s="207" t="s">
        <v>7400</v>
      </c>
      <c r="D2508" s="18" t="s">
        <v>7401</v>
      </c>
      <c r="E2508" s="208" t="s">
        <v>8196</v>
      </c>
      <c r="F2508" s="18" t="s">
        <v>8197</v>
      </c>
      <c r="G2508" s="156" t="s">
        <v>8270</v>
      </c>
      <c r="H2508" s="18" t="s">
        <v>8271</v>
      </c>
      <c r="I2508" s="156"/>
      <c r="K2508" s="156" t="s">
        <v>8272</v>
      </c>
      <c r="L2508" s="18" t="s">
        <v>8273</v>
      </c>
      <c r="M2508" s="18" t="s">
        <v>8274</v>
      </c>
      <c r="N2508" s="16">
        <v>1</v>
      </c>
      <c r="O2508" s="16">
        <v>1</v>
      </c>
      <c r="P2508" s="16">
        <v>1</v>
      </c>
      <c r="Q2508" s="16">
        <v>1</v>
      </c>
      <c r="R2508" s="16">
        <v>1</v>
      </c>
      <c r="S2508" s="16">
        <v>1</v>
      </c>
      <c r="T2508" s="18" t="s">
        <v>1167</v>
      </c>
      <c r="U2508" t="str">
        <f>VLOOKUP(T2508,[8]Votes!$A$1:$E$234,3,FALSE)</f>
        <v>003 Office of the Prime Minister</v>
      </c>
      <c r="V2508" s="18" t="s">
        <v>8275</v>
      </c>
      <c r="W2508" s="48">
        <v>1</v>
      </c>
      <c r="X2508" s="48">
        <v>0</v>
      </c>
      <c r="Y2508" s="48">
        <v>0</v>
      </c>
      <c r="Z2508" s="48">
        <v>1</v>
      </c>
      <c r="AA2508" s="48">
        <v>1</v>
      </c>
      <c r="AB2508" s="48">
        <v>0</v>
      </c>
      <c r="AC2508" s="150">
        <v>1</v>
      </c>
      <c r="AD2508" s="150">
        <v>1</v>
      </c>
      <c r="AE2508" s="49">
        <f t="shared" si="127"/>
        <v>0.625</v>
      </c>
      <c r="AF2508" s="176"/>
      <c r="AG2508" s="17">
        <v>0</v>
      </c>
      <c r="AH2508" s="176">
        <v>0</v>
      </c>
      <c r="AI2508" s="176">
        <v>0.15</v>
      </c>
      <c r="AJ2508" s="176">
        <v>0</v>
      </c>
      <c r="AK2508" s="177">
        <v>1.7</v>
      </c>
      <c r="AL2508" s="177">
        <v>1.71</v>
      </c>
      <c r="AM2508" s="17">
        <f t="shared" si="128"/>
        <v>3.41</v>
      </c>
      <c r="AN2508" s="18" t="s">
        <v>1167</v>
      </c>
    </row>
    <row r="2509" spans="1:41" s="18" customFormat="1" ht="15" customHeight="1" x14ac:dyDescent="0.3">
      <c r="A2509" s="207" t="s">
        <v>7397</v>
      </c>
      <c r="B2509" s="18" t="s">
        <v>7398</v>
      </c>
      <c r="C2509" s="207" t="s">
        <v>7400</v>
      </c>
      <c r="D2509" s="18" t="s">
        <v>7401</v>
      </c>
      <c r="E2509" s="208" t="s">
        <v>8196</v>
      </c>
      <c r="F2509" s="18" t="s">
        <v>8197</v>
      </c>
      <c r="G2509" s="156" t="s">
        <v>8270</v>
      </c>
      <c r="H2509" s="18" t="s">
        <v>8271</v>
      </c>
      <c r="I2509" s="156"/>
      <c r="K2509" s="156" t="s">
        <v>8276</v>
      </c>
      <c r="L2509" s="18" t="s">
        <v>8277</v>
      </c>
      <c r="M2509" s="18" t="s">
        <v>8278</v>
      </c>
      <c r="N2509" s="16">
        <v>0</v>
      </c>
      <c r="O2509" s="16">
        <v>5</v>
      </c>
      <c r="P2509" s="16">
        <v>5</v>
      </c>
      <c r="Q2509" s="16">
        <v>5</v>
      </c>
      <c r="R2509" s="16">
        <v>5</v>
      </c>
      <c r="S2509" s="16">
        <v>5</v>
      </c>
      <c r="T2509" s="18" t="s">
        <v>921</v>
      </c>
      <c r="U2509" t="str">
        <f>VLOOKUP(T2509,[8]Votes!$A$1:$E$234,3,FALSE)</f>
        <v>008 Ministry of Finance, Planning &amp; Economic Dev.</v>
      </c>
      <c r="V2509" s="18" t="s">
        <v>8279</v>
      </c>
      <c r="W2509" s="48">
        <v>1</v>
      </c>
      <c r="X2509" s="48">
        <v>0</v>
      </c>
      <c r="Y2509" s="48">
        <v>1</v>
      </c>
      <c r="Z2509" s="48">
        <v>1</v>
      </c>
      <c r="AA2509" s="48">
        <v>1</v>
      </c>
      <c r="AB2509" s="48">
        <v>0</v>
      </c>
      <c r="AC2509" s="150">
        <v>1</v>
      </c>
      <c r="AD2509" s="150">
        <v>1</v>
      </c>
      <c r="AE2509" s="49">
        <f t="shared" si="127"/>
        <v>0.75</v>
      </c>
      <c r="AF2509" s="255"/>
      <c r="AG2509" s="17">
        <v>0</v>
      </c>
      <c r="AH2509" s="255">
        <v>0.10150000000000001</v>
      </c>
      <c r="AI2509" s="255">
        <v>0.10150000000000001</v>
      </c>
      <c r="AJ2509" s="255">
        <v>0.10150000000000001</v>
      </c>
      <c r="AK2509" s="256">
        <v>0.10150000000000001</v>
      </c>
      <c r="AL2509" s="256">
        <v>0.10150000000000001</v>
      </c>
      <c r="AM2509" s="17">
        <f t="shared" si="128"/>
        <v>0.20300000000000001</v>
      </c>
      <c r="AN2509" s="18" t="s">
        <v>921</v>
      </c>
      <c r="AO2509" s="18" t="s">
        <v>880</v>
      </c>
    </row>
    <row r="2510" spans="1:41" s="18" customFormat="1" ht="15" customHeight="1" x14ac:dyDescent="0.3">
      <c r="A2510" s="207" t="s">
        <v>7397</v>
      </c>
      <c r="B2510" s="18" t="s">
        <v>7398</v>
      </c>
      <c r="C2510" s="207" t="s">
        <v>7400</v>
      </c>
      <c r="D2510" s="18" t="s">
        <v>7401</v>
      </c>
      <c r="E2510" s="208" t="s">
        <v>8196</v>
      </c>
      <c r="F2510" s="18" t="s">
        <v>8197</v>
      </c>
      <c r="G2510" s="156" t="s">
        <v>8270</v>
      </c>
      <c r="H2510" s="18" t="s">
        <v>8271</v>
      </c>
      <c r="I2510" s="156"/>
      <c r="K2510" s="156" t="s">
        <v>8276</v>
      </c>
      <c r="L2510" s="18" t="s">
        <v>8277</v>
      </c>
      <c r="N2510" s="16"/>
      <c r="O2510" s="16"/>
      <c r="P2510" s="16"/>
      <c r="Q2510" s="16"/>
      <c r="R2510" s="16"/>
      <c r="S2510" s="16"/>
      <c r="T2510" s="18" t="s">
        <v>921</v>
      </c>
      <c r="U2510" t="str">
        <f>VLOOKUP(T2510,[8]Votes!$A$1:$E$234,3,FALSE)</f>
        <v>008 Ministry of Finance, Planning &amp; Economic Dev.</v>
      </c>
      <c r="V2510" s="18" t="s">
        <v>8280</v>
      </c>
      <c r="W2510" s="48">
        <v>1</v>
      </c>
      <c r="X2510" s="48">
        <v>1</v>
      </c>
      <c r="Y2510" s="48">
        <v>1</v>
      </c>
      <c r="Z2510" s="48">
        <v>1</v>
      </c>
      <c r="AA2510" s="48">
        <v>1</v>
      </c>
      <c r="AB2510" s="48">
        <v>0</v>
      </c>
      <c r="AC2510" s="150">
        <v>1</v>
      </c>
      <c r="AD2510" s="150">
        <v>1</v>
      </c>
      <c r="AE2510" s="49">
        <f t="shared" si="127"/>
        <v>0.875</v>
      </c>
      <c r="AF2510" s="176"/>
      <c r="AG2510" s="17">
        <v>0</v>
      </c>
      <c r="AH2510" s="176">
        <v>0.1</v>
      </c>
      <c r="AI2510" s="176">
        <v>0.1</v>
      </c>
      <c r="AJ2510" s="176">
        <v>0.1</v>
      </c>
      <c r="AK2510" s="177">
        <v>0.2</v>
      </c>
      <c r="AL2510" s="177">
        <v>0.2</v>
      </c>
      <c r="AM2510" s="17">
        <f t="shared" si="128"/>
        <v>0.4</v>
      </c>
      <c r="AN2510" s="18" t="s">
        <v>921</v>
      </c>
      <c r="AO2510" s="18" t="s">
        <v>880</v>
      </c>
    </row>
    <row r="2511" spans="1:41" s="18" customFormat="1" ht="15" customHeight="1" x14ac:dyDescent="0.3">
      <c r="A2511" s="207" t="s">
        <v>7397</v>
      </c>
      <c r="B2511" s="18" t="s">
        <v>7398</v>
      </c>
      <c r="C2511" s="207" t="s">
        <v>7400</v>
      </c>
      <c r="D2511" s="18" t="s">
        <v>7401</v>
      </c>
      <c r="E2511" s="208" t="s">
        <v>8196</v>
      </c>
      <c r="F2511" s="18" t="s">
        <v>8197</v>
      </c>
      <c r="G2511" s="156" t="s">
        <v>8281</v>
      </c>
      <c r="H2511" s="18" t="s">
        <v>8282</v>
      </c>
      <c r="I2511" s="156"/>
      <c r="K2511" s="156" t="s">
        <v>8283</v>
      </c>
      <c r="L2511" s="18" t="s">
        <v>8284</v>
      </c>
      <c r="M2511" s="18" t="s">
        <v>8285</v>
      </c>
      <c r="N2511" s="16">
        <v>20</v>
      </c>
      <c r="O2511" s="16">
        <v>30</v>
      </c>
      <c r="P2511" s="16">
        <v>50</v>
      </c>
      <c r="Q2511" s="16">
        <v>70</v>
      </c>
      <c r="R2511" s="16">
        <v>85</v>
      </c>
      <c r="S2511" s="16">
        <v>100</v>
      </c>
      <c r="T2511" s="18" t="s">
        <v>1167</v>
      </c>
      <c r="U2511" t="str">
        <f>VLOOKUP(T2511,[8]Votes!$A$1:$E$234,3,FALSE)</f>
        <v>003 Office of the Prime Minister</v>
      </c>
      <c r="V2511" s="18" t="s">
        <v>8286</v>
      </c>
      <c r="W2511" s="48">
        <v>1</v>
      </c>
      <c r="X2511" s="48">
        <v>1</v>
      </c>
      <c r="Y2511" s="48">
        <v>0</v>
      </c>
      <c r="Z2511" s="48">
        <v>1</v>
      </c>
      <c r="AA2511" s="48">
        <v>1</v>
      </c>
      <c r="AB2511" s="48">
        <v>0</v>
      </c>
      <c r="AC2511" s="150">
        <v>1</v>
      </c>
      <c r="AD2511" s="150">
        <v>1</v>
      </c>
      <c r="AE2511" s="49">
        <f t="shared" si="127"/>
        <v>0.75</v>
      </c>
      <c r="AF2511" s="255"/>
      <c r="AG2511" s="17">
        <v>0</v>
      </c>
      <c r="AH2511" s="255">
        <v>0.14499999999999999</v>
      </c>
      <c r="AI2511" s="255">
        <v>0.14499999999999999</v>
      </c>
      <c r="AJ2511" s="255">
        <v>0.14499999999999999</v>
      </c>
      <c r="AK2511" s="256">
        <v>2.65</v>
      </c>
      <c r="AL2511" s="256">
        <v>2.65</v>
      </c>
      <c r="AM2511" s="17">
        <f t="shared" si="128"/>
        <v>5.3</v>
      </c>
      <c r="AN2511" s="18" t="s">
        <v>1167</v>
      </c>
      <c r="AO2511" s="18" t="s">
        <v>1170</v>
      </c>
    </row>
    <row r="2512" spans="1:41" s="18" customFormat="1" ht="15" hidden="1" customHeight="1" x14ac:dyDescent="0.3">
      <c r="A2512" s="207" t="s">
        <v>7397</v>
      </c>
      <c r="B2512" s="18" t="s">
        <v>7398</v>
      </c>
      <c r="C2512" s="207" t="s">
        <v>7400</v>
      </c>
      <c r="D2512" s="18" t="s">
        <v>7401</v>
      </c>
      <c r="E2512" s="208" t="s">
        <v>8196</v>
      </c>
      <c r="F2512" s="18" t="s">
        <v>8197</v>
      </c>
      <c r="G2512" s="156" t="s">
        <v>8281</v>
      </c>
      <c r="H2512" s="18" t="s">
        <v>8282</v>
      </c>
      <c r="I2512" s="156"/>
      <c r="K2512" s="156" t="s">
        <v>8283</v>
      </c>
      <c r="L2512" s="18" t="s">
        <v>8284</v>
      </c>
      <c r="M2512" s="18" t="s">
        <v>8287</v>
      </c>
      <c r="N2512" s="16">
        <v>0</v>
      </c>
      <c r="O2512" s="16">
        <v>20</v>
      </c>
      <c r="P2512" s="16">
        <v>40</v>
      </c>
      <c r="Q2512" s="16">
        <v>60</v>
      </c>
      <c r="R2512" s="16">
        <v>80</v>
      </c>
      <c r="S2512" s="16">
        <v>100</v>
      </c>
      <c r="T2512" s="18" t="s">
        <v>2172</v>
      </c>
      <c r="U2512" t="str">
        <f>VLOOKUP(T2512,[8]Votes!$A$1:$E$234,3,FALSE)</f>
        <v>005 Ministry of Public Service</v>
      </c>
      <c r="W2512" s="48"/>
      <c r="X2512" s="48"/>
      <c r="Y2512" s="48"/>
      <c r="Z2512" s="48"/>
      <c r="AA2512" s="48"/>
      <c r="AB2512" s="48"/>
      <c r="AC2512" s="150">
        <v>0</v>
      </c>
      <c r="AD2512" s="150">
        <v>0</v>
      </c>
      <c r="AE2512" s="49">
        <f t="shared" si="127"/>
        <v>0</v>
      </c>
      <c r="AF2512" s="17"/>
      <c r="AG2512" s="17">
        <v>0</v>
      </c>
      <c r="AH2512" s="17"/>
      <c r="AI2512" s="17"/>
      <c r="AJ2512" s="17"/>
      <c r="AK2512" s="154"/>
      <c r="AL2512" s="154"/>
      <c r="AM2512" s="17">
        <f t="shared" si="128"/>
        <v>0</v>
      </c>
    </row>
    <row r="2513" spans="1:42" s="18" customFormat="1" ht="15" customHeight="1" x14ac:dyDescent="0.3">
      <c r="A2513" s="207" t="s">
        <v>7397</v>
      </c>
      <c r="B2513" s="18" t="s">
        <v>7398</v>
      </c>
      <c r="C2513" s="207" t="s">
        <v>7400</v>
      </c>
      <c r="D2513" s="18" t="s">
        <v>7401</v>
      </c>
      <c r="E2513" s="208" t="s">
        <v>8196</v>
      </c>
      <c r="F2513" s="18" t="s">
        <v>8197</v>
      </c>
      <c r="G2513" s="156" t="s">
        <v>8281</v>
      </c>
      <c r="H2513" s="18" t="s">
        <v>8282</v>
      </c>
      <c r="I2513" s="156"/>
      <c r="K2513" s="156" t="s">
        <v>8288</v>
      </c>
      <c r="L2513" s="18" t="s">
        <v>8289</v>
      </c>
      <c r="M2513" s="18" t="s">
        <v>8290</v>
      </c>
      <c r="N2513" s="16">
        <v>0</v>
      </c>
      <c r="O2513" s="16">
        <v>0</v>
      </c>
      <c r="P2513" s="16">
        <v>1</v>
      </c>
      <c r="Q2513" s="16">
        <v>0</v>
      </c>
      <c r="R2513" s="16">
        <v>0</v>
      </c>
      <c r="S2513" s="16">
        <v>0</v>
      </c>
      <c r="T2513" s="18" t="s">
        <v>2172</v>
      </c>
      <c r="U2513" t="str">
        <f>VLOOKUP(T2513,[8]Votes!$A$1:$E$234,3,FALSE)</f>
        <v>005 Ministry of Public Service</v>
      </c>
      <c r="V2513" s="18" t="s">
        <v>8291</v>
      </c>
      <c r="W2513" s="48">
        <v>1</v>
      </c>
      <c r="X2513" s="48">
        <v>0</v>
      </c>
      <c r="Y2513" s="48">
        <v>0</v>
      </c>
      <c r="Z2513" s="48">
        <v>1</v>
      </c>
      <c r="AA2513" s="48">
        <v>1</v>
      </c>
      <c r="AB2513" s="48">
        <v>1</v>
      </c>
      <c r="AC2513" s="150">
        <v>1</v>
      </c>
      <c r="AD2513" s="150">
        <v>1</v>
      </c>
      <c r="AE2513" s="49">
        <f t="shared" si="127"/>
        <v>0.75</v>
      </c>
      <c r="AF2513" s="176"/>
      <c r="AG2513" s="17">
        <v>0</v>
      </c>
      <c r="AH2513" s="176">
        <v>0</v>
      </c>
      <c r="AI2513" s="176">
        <v>0.44</v>
      </c>
      <c r="AJ2513" s="176">
        <v>0</v>
      </c>
      <c r="AK2513" s="177">
        <v>0.75800000000000001</v>
      </c>
      <c r="AL2513" s="177">
        <v>0.49</v>
      </c>
      <c r="AM2513" s="17">
        <f t="shared" si="128"/>
        <v>1.248</v>
      </c>
      <c r="AN2513" s="18" t="s">
        <v>2172</v>
      </c>
    </row>
    <row r="2514" spans="1:42" s="18" customFormat="1" ht="15" hidden="1" customHeight="1" x14ac:dyDescent="0.3">
      <c r="A2514" s="207" t="s">
        <v>7397</v>
      </c>
      <c r="B2514" s="18" t="s">
        <v>7398</v>
      </c>
      <c r="C2514" s="207" t="s">
        <v>7400</v>
      </c>
      <c r="D2514" s="18" t="s">
        <v>7401</v>
      </c>
      <c r="E2514" s="208" t="s">
        <v>8196</v>
      </c>
      <c r="F2514" s="18" t="s">
        <v>8197</v>
      </c>
      <c r="G2514" s="156" t="s">
        <v>8281</v>
      </c>
      <c r="H2514" s="18" t="s">
        <v>8282</v>
      </c>
      <c r="I2514" s="156"/>
      <c r="K2514" s="156" t="s">
        <v>8292</v>
      </c>
      <c r="L2514" s="18" t="s">
        <v>8293</v>
      </c>
      <c r="M2514" s="18" t="s">
        <v>8294</v>
      </c>
      <c r="N2514" s="16">
        <v>0</v>
      </c>
      <c r="O2514" s="16">
        <v>35</v>
      </c>
      <c r="P2514" s="16">
        <v>47</v>
      </c>
      <c r="Q2514" s="16">
        <v>63</v>
      </c>
      <c r="R2514" s="16">
        <v>80</v>
      </c>
      <c r="S2514" s="16">
        <v>100</v>
      </c>
      <c r="T2514" s="18" t="s">
        <v>2172</v>
      </c>
      <c r="U2514" t="str">
        <f>VLOOKUP(T2514,[8]Votes!$A$1:$E$234,3,FALSE)</f>
        <v>005 Ministry of Public Service</v>
      </c>
      <c r="V2514" s="18" t="s">
        <v>8295</v>
      </c>
      <c r="W2514" s="48">
        <v>1</v>
      </c>
      <c r="X2514" s="48">
        <v>0</v>
      </c>
      <c r="Y2514" s="48">
        <v>0</v>
      </c>
      <c r="Z2514" s="48">
        <v>1</v>
      </c>
      <c r="AA2514" s="48">
        <v>0</v>
      </c>
      <c r="AB2514" s="48">
        <v>0</v>
      </c>
      <c r="AC2514" s="150">
        <v>0</v>
      </c>
      <c r="AD2514" s="150">
        <v>1</v>
      </c>
      <c r="AE2514" s="49">
        <f t="shared" si="127"/>
        <v>0.375</v>
      </c>
      <c r="AF2514" s="255"/>
      <c r="AG2514" s="17">
        <v>0</v>
      </c>
      <c r="AH2514" s="255">
        <v>0</v>
      </c>
      <c r="AI2514" s="255">
        <v>61.595999999999997</v>
      </c>
      <c r="AJ2514" s="255">
        <v>20.532</v>
      </c>
      <c r="AK2514" s="256">
        <v>0</v>
      </c>
      <c r="AL2514" s="256">
        <v>0</v>
      </c>
      <c r="AM2514" s="17">
        <f t="shared" si="128"/>
        <v>0</v>
      </c>
      <c r="AN2514" s="18" t="s">
        <v>2172</v>
      </c>
      <c r="AO2514" s="18" t="s">
        <v>2236</v>
      </c>
      <c r="AP2514" s="18" t="s">
        <v>8296</v>
      </c>
    </row>
    <row r="2515" spans="1:42" s="18" customFormat="1" hidden="1" x14ac:dyDescent="0.3">
      <c r="A2515" s="207" t="s">
        <v>7397</v>
      </c>
      <c r="B2515" s="18" t="s">
        <v>7398</v>
      </c>
      <c r="C2515" s="207" t="s">
        <v>7400</v>
      </c>
      <c r="D2515" s="18" t="s">
        <v>7401</v>
      </c>
      <c r="E2515" s="208" t="s">
        <v>8196</v>
      </c>
      <c r="F2515" s="18" t="s">
        <v>8197</v>
      </c>
      <c r="G2515" s="156" t="s">
        <v>8281</v>
      </c>
      <c r="H2515" s="18" t="s">
        <v>8282</v>
      </c>
      <c r="I2515" s="156"/>
      <c r="K2515" s="156" t="s">
        <v>8297</v>
      </c>
      <c r="L2515" s="18" t="s">
        <v>8298</v>
      </c>
      <c r="M2515" s="18" t="s">
        <v>8299</v>
      </c>
      <c r="N2515" s="16">
        <v>2</v>
      </c>
      <c r="O2515" s="16">
        <v>2</v>
      </c>
      <c r="P2515" s="16">
        <v>2</v>
      </c>
      <c r="Q2515" s="16">
        <v>2</v>
      </c>
      <c r="R2515" s="16">
        <v>2</v>
      </c>
      <c r="S2515" s="16">
        <v>2</v>
      </c>
      <c r="T2515" s="18" t="s">
        <v>280</v>
      </c>
      <c r="U2515" t="str">
        <f>VLOOKUP(T2515,[8]Votes!$A$1:$E$234,3,FALSE)</f>
        <v>011 Ministry of Local Government</v>
      </c>
      <c r="V2515" s="18" t="s">
        <v>8300</v>
      </c>
      <c r="W2515" s="48">
        <v>1</v>
      </c>
      <c r="X2515" s="48">
        <v>0</v>
      </c>
      <c r="Y2515" s="48">
        <v>0</v>
      </c>
      <c r="Z2515" s="48">
        <v>1</v>
      </c>
      <c r="AA2515" s="48">
        <v>1</v>
      </c>
      <c r="AB2515" s="48">
        <v>0</v>
      </c>
      <c r="AC2515" s="150">
        <v>1</v>
      </c>
      <c r="AD2515" s="150">
        <v>1</v>
      </c>
      <c r="AE2515" s="49">
        <f t="shared" si="127"/>
        <v>0.625</v>
      </c>
      <c r="AF2515" s="255"/>
      <c r="AG2515" s="17">
        <v>0</v>
      </c>
      <c r="AH2515" s="255">
        <v>2.8999999999999998E-2</v>
      </c>
      <c r="AI2515" s="255">
        <v>2.8999999999999998E-2</v>
      </c>
      <c r="AJ2515" s="255">
        <v>2.8999999999999998E-2</v>
      </c>
      <c r="AK2515" s="256">
        <v>2.8999999999999998E-2</v>
      </c>
      <c r="AL2515" s="256">
        <v>2.8999999999999998E-2</v>
      </c>
      <c r="AM2515" s="17">
        <f t="shared" si="128"/>
        <v>5.7999999999999996E-2</v>
      </c>
      <c r="AN2515" s="18" t="s">
        <v>280</v>
      </c>
      <c r="AO2515" s="18" t="s">
        <v>1151</v>
      </c>
    </row>
    <row r="2516" spans="1:42" s="18" customFormat="1" ht="15" customHeight="1" x14ac:dyDescent="0.3">
      <c r="A2516" s="207" t="s">
        <v>7397</v>
      </c>
      <c r="B2516" s="18" t="s">
        <v>7398</v>
      </c>
      <c r="C2516" s="207" t="s">
        <v>7400</v>
      </c>
      <c r="D2516" s="18" t="s">
        <v>7401</v>
      </c>
      <c r="E2516" s="208" t="s">
        <v>8196</v>
      </c>
      <c r="F2516" s="18" t="s">
        <v>8197</v>
      </c>
      <c r="G2516" s="156" t="s">
        <v>8281</v>
      </c>
      <c r="H2516" s="18" t="s">
        <v>8282</v>
      </c>
      <c r="I2516" s="156"/>
      <c r="K2516" s="156" t="s">
        <v>8301</v>
      </c>
      <c r="L2516" s="18" t="s">
        <v>8302</v>
      </c>
      <c r="M2516" s="18" t="s">
        <v>8303</v>
      </c>
      <c r="N2516" s="16">
        <v>0</v>
      </c>
      <c r="O2516" s="16">
        <v>10</v>
      </c>
      <c r="P2516" s="16">
        <v>10</v>
      </c>
      <c r="Q2516" s="16">
        <v>10</v>
      </c>
      <c r="R2516" s="16">
        <v>10</v>
      </c>
      <c r="S2516" s="16">
        <v>10</v>
      </c>
      <c r="T2516" s="18" t="s">
        <v>1446</v>
      </c>
      <c r="U2516" t="str">
        <f>VLOOKUP(T2516,[8]Votes!$A$1:$E$234,3,FALSE)</f>
        <v>141 Uganda Revenue Authority</v>
      </c>
      <c r="V2516" s="18" t="s">
        <v>8304</v>
      </c>
      <c r="W2516" s="48">
        <v>1</v>
      </c>
      <c r="X2516" s="48">
        <v>1</v>
      </c>
      <c r="Y2516" s="48">
        <v>0</v>
      </c>
      <c r="Z2516" s="48">
        <v>1</v>
      </c>
      <c r="AA2516" s="48">
        <v>1</v>
      </c>
      <c r="AB2516" s="48">
        <v>0</v>
      </c>
      <c r="AC2516" s="150">
        <v>1</v>
      </c>
      <c r="AD2516" s="150">
        <v>1</v>
      </c>
      <c r="AE2516" s="49">
        <f t="shared" si="127"/>
        <v>0.75</v>
      </c>
      <c r="AF2516" s="255"/>
      <c r="AG2516" s="17">
        <v>0</v>
      </c>
      <c r="AH2516" s="255">
        <v>0.1885</v>
      </c>
      <c r="AI2516" s="255">
        <v>0.377</v>
      </c>
      <c r="AJ2516" s="255">
        <v>0.377</v>
      </c>
      <c r="AK2516" s="256">
        <v>0.377</v>
      </c>
      <c r="AL2516" s="256">
        <v>0.377</v>
      </c>
      <c r="AM2516" s="17">
        <f t="shared" si="128"/>
        <v>0.754</v>
      </c>
      <c r="AN2516" s="18" t="s">
        <v>1446</v>
      </c>
      <c r="AO2516" s="18" t="s">
        <v>3715</v>
      </c>
    </row>
    <row r="2517" spans="1:42" s="18" customFormat="1" ht="15" customHeight="1" x14ac:dyDescent="0.3">
      <c r="A2517" s="207" t="s">
        <v>7397</v>
      </c>
      <c r="B2517" s="18" t="s">
        <v>7398</v>
      </c>
      <c r="C2517" s="207" t="s">
        <v>7400</v>
      </c>
      <c r="D2517" s="18" t="s">
        <v>7401</v>
      </c>
      <c r="E2517" s="208" t="s">
        <v>8196</v>
      </c>
      <c r="F2517" s="18" t="s">
        <v>8197</v>
      </c>
      <c r="G2517" s="156" t="s">
        <v>8281</v>
      </c>
      <c r="H2517" s="18" t="s">
        <v>8282</v>
      </c>
      <c r="I2517" s="156"/>
      <c r="K2517" s="156" t="s">
        <v>8305</v>
      </c>
      <c r="L2517" s="18" t="s">
        <v>8306</v>
      </c>
      <c r="M2517" s="18" t="s">
        <v>8307</v>
      </c>
      <c r="N2517" s="16">
        <v>1</v>
      </c>
      <c r="O2517" s="16">
        <v>1</v>
      </c>
      <c r="P2517" s="16">
        <v>1</v>
      </c>
      <c r="Q2517" s="16">
        <v>1</v>
      </c>
      <c r="R2517" s="16">
        <v>1</v>
      </c>
      <c r="S2517" s="16">
        <v>1</v>
      </c>
      <c r="T2517" s="18" t="s">
        <v>1167</v>
      </c>
      <c r="U2517" t="str">
        <f>VLOOKUP(T2517,[8]Votes!$A$1:$E$234,3,FALSE)</f>
        <v>003 Office of the Prime Minister</v>
      </c>
      <c r="V2517" s="18" t="s">
        <v>8308</v>
      </c>
      <c r="W2517" s="48">
        <v>1</v>
      </c>
      <c r="X2517" s="48">
        <v>1</v>
      </c>
      <c r="Y2517" s="48">
        <v>0</v>
      </c>
      <c r="Z2517" s="48">
        <v>1</v>
      </c>
      <c r="AA2517" s="48">
        <v>1</v>
      </c>
      <c r="AB2517" s="48">
        <v>0</v>
      </c>
      <c r="AC2517" s="150">
        <v>1</v>
      </c>
      <c r="AD2517" s="150">
        <v>1</v>
      </c>
      <c r="AE2517" s="49">
        <f t="shared" si="127"/>
        <v>0.75</v>
      </c>
      <c r="AF2517" s="176"/>
      <c r="AG2517" s="17">
        <v>0</v>
      </c>
      <c r="AH2517" s="176">
        <v>0</v>
      </c>
      <c r="AI2517" s="176">
        <v>0</v>
      </c>
      <c r="AJ2517" s="176">
        <v>0</v>
      </c>
      <c r="AK2517" s="177">
        <v>4</v>
      </c>
      <c r="AL2517" s="177">
        <v>4</v>
      </c>
      <c r="AM2517" s="17">
        <f t="shared" si="128"/>
        <v>8</v>
      </c>
      <c r="AN2517" s="18" t="s">
        <v>1167</v>
      </c>
    </row>
    <row r="2518" spans="1:42" s="18" customFormat="1" ht="15" customHeight="1" x14ac:dyDescent="0.3">
      <c r="A2518" s="207" t="s">
        <v>7397</v>
      </c>
      <c r="B2518" s="18" t="s">
        <v>7398</v>
      </c>
      <c r="C2518" s="207" t="s">
        <v>7400</v>
      </c>
      <c r="D2518" s="18" t="s">
        <v>7401</v>
      </c>
      <c r="E2518" s="208" t="s">
        <v>8196</v>
      </c>
      <c r="F2518" s="18" t="s">
        <v>8197</v>
      </c>
      <c r="G2518" s="156" t="s">
        <v>8281</v>
      </c>
      <c r="H2518" s="18" t="s">
        <v>8282</v>
      </c>
      <c r="I2518" s="156"/>
      <c r="K2518" s="156" t="s">
        <v>8309</v>
      </c>
      <c r="L2518" s="18" t="s">
        <v>8310</v>
      </c>
      <c r="M2518" s="18" t="s">
        <v>8311</v>
      </c>
      <c r="N2518" s="16">
        <v>1</v>
      </c>
      <c r="O2518" s="16">
        <v>1</v>
      </c>
      <c r="P2518" s="16">
        <v>1</v>
      </c>
      <c r="Q2518" s="16">
        <v>1</v>
      </c>
      <c r="R2518" s="16">
        <v>1</v>
      </c>
      <c r="S2518" s="16">
        <v>1</v>
      </c>
      <c r="T2518" s="18" t="s">
        <v>831</v>
      </c>
      <c r="U2518" t="str">
        <f>VLOOKUP(T2518,[8]Votes!$A$1:$E$234,3,FALSE)</f>
        <v>108 National Planning Authority</v>
      </c>
      <c r="V2518" s="18" t="s">
        <v>8312</v>
      </c>
      <c r="W2518" s="48">
        <v>1</v>
      </c>
      <c r="X2518" s="48">
        <v>1</v>
      </c>
      <c r="Y2518" s="48">
        <v>0</v>
      </c>
      <c r="Z2518" s="48">
        <v>1</v>
      </c>
      <c r="AA2518" s="48">
        <v>1</v>
      </c>
      <c r="AB2518" s="48">
        <v>0</v>
      </c>
      <c r="AC2518" s="150">
        <v>1</v>
      </c>
      <c r="AD2518" s="150">
        <v>1</v>
      </c>
      <c r="AE2518" s="49">
        <f t="shared" si="127"/>
        <v>0.75</v>
      </c>
      <c r="AF2518" s="255"/>
      <c r="AG2518" s="17">
        <v>0</v>
      </c>
      <c r="AH2518" s="255">
        <v>1.0149999999999999</v>
      </c>
      <c r="AI2518" s="255">
        <v>1.0149999999999999</v>
      </c>
      <c r="AJ2518" s="255">
        <v>1.0149999999999999</v>
      </c>
      <c r="AK2518" s="256">
        <v>3.5</v>
      </c>
      <c r="AL2518" s="256">
        <v>4</v>
      </c>
      <c r="AM2518" s="17">
        <f t="shared" si="128"/>
        <v>7.5</v>
      </c>
      <c r="AN2518" s="18" t="s">
        <v>831</v>
      </c>
      <c r="AO2518" s="18" t="s">
        <v>834</v>
      </c>
    </row>
    <row r="2519" spans="1:42" s="53" customFormat="1" hidden="1" x14ac:dyDescent="0.3">
      <c r="A2519" s="50" t="s">
        <v>8317</v>
      </c>
      <c r="B2519" s="51" t="s">
        <v>8318</v>
      </c>
      <c r="C2519" s="50" t="s">
        <v>8329</v>
      </c>
      <c r="D2519" s="51" t="s">
        <v>1491</v>
      </c>
      <c r="E2519" s="50" t="s">
        <v>8329</v>
      </c>
      <c r="F2519" s="51" t="s">
        <v>1493</v>
      </c>
      <c r="G2519" s="50" t="s">
        <v>8329</v>
      </c>
      <c r="H2519" s="51" t="s">
        <v>1491</v>
      </c>
      <c r="I2519" s="51"/>
      <c r="J2519" s="51"/>
      <c r="K2519" s="50" t="s">
        <v>8329</v>
      </c>
      <c r="L2519" s="51" t="s">
        <v>1491</v>
      </c>
      <c r="M2519" s="60" t="s">
        <v>271</v>
      </c>
      <c r="N2519" s="60" t="s">
        <v>271</v>
      </c>
      <c r="O2519" s="60" t="s">
        <v>271</v>
      </c>
      <c r="P2519" s="60" t="s">
        <v>271</v>
      </c>
      <c r="Q2519" s="60" t="s">
        <v>271</v>
      </c>
      <c r="R2519" s="60" t="s">
        <v>271</v>
      </c>
      <c r="S2519" s="60" t="s">
        <v>271</v>
      </c>
      <c r="T2519" s="60" t="s">
        <v>271</v>
      </c>
      <c r="U2519" s="60" t="s">
        <v>271</v>
      </c>
      <c r="V2519" s="51" t="s">
        <v>1489</v>
      </c>
      <c r="W2519" s="54"/>
      <c r="X2519" s="54"/>
      <c r="Y2519" s="54"/>
      <c r="Z2519" s="54"/>
      <c r="AA2519" s="54"/>
      <c r="AB2519" s="54"/>
      <c r="AC2519" s="54"/>
      <c r="AD2519" s="54"/>
      <c r="AE2519" s="55"/>
      <c r="AF2519" s="56"/>
      <c r="AG2519" s="55"/>
      <c r="AH2519" s="56"/>
      <c r="AI2519" s="56"/>
      <c r="AJ2519" s="56"/>
      <c r="AK2519" s="57">
        <v>25.2</v>
      </c>
      <c r="AL2519" s="57">
        <v>25.2</v>
      </c>
      <c r="AM2519" s="56">
        <f>SUM(AK2519:AL2519)</f>
        <v>50.4</v>
      </c>
      <c r="AN2519" s="52"/>
      <c r="AO2519" s="52"/>
      <c r="AP2519" s="51"/>
    </row>
    <row r="2520" spans="1:42" s="53" customFormat="1" hidden="1" x14ac:dyDescent="0.3">
      <c r="A2520" s="50" t="s">
        <v>8317</v>
      </c>
      <c r="B2520" s="51" t="s">
        <v>8318</v>
      </c>
      <c r="C2520" s="50" t="s">
        <v>8329</v>
      </c>
      <c r="D2520" s="51" t="s">
        <v>1491</v>
      </c>
      <c r="E2520" s="50" t="s">
        <v>8329</v>
      </c>
      <c r="F2520" s="51" t="s">
        <v>1493</v>
      </c>
      <c r="G2520" s="50" t="s">
        <v>8329</v>
      </c>
      <c r="H2520" s="51" t="s">
        <v>1491</v>
      </c>
      <c r="I2520" s="51"/>
      <c r="J2520" s="51"/>
      <c r="K2520" s="50" t="s">
        <v>8329</v>
      </c>
      <c r="L2520" s="51" t="s">
        <v>1491</v>
      </c>
      <c r="M2520" s="60" t="s">
        <v>271</v>
      </c>
      <c r="N2520" s="60" t="s">
        <v>271</v>
      </c>
      <c r="O2520" s="60" t="s">
        <v>271</v>
      </c>
      <c r="P2520" s="60" t="s">
        <v>271</v>
      </c>
      <c r="Q2520" s="60" t="s">
        <v>271</v>
      </c>
      <c r="R2520" s="60" t="s">
        <v>271</v>
      </c>
      <c r="S2520" s="60" t="s">
        <v>271</v>
      </c>
      <c r="T2520" s="60" t="s">
        <v>271</v>
      </c>
      <c r="U2520" s="60" t="s">
        <v>271</v>
      </c>
      <c r="V2520" s="51" t="s">
        <v>1490</v>
      </c>
      <c r="W2520" s="54"/>
      <c r="X2520" s="54"/>
      <c r="Y2520" s="54"/>
      <c r="Z2520" s="54"/>
      <c r="AA2520" s="54"/>
      <c r="AB2520" s="54"/>
      <c r="AC2520" s="54"/>
      <c r="AD2520" s="54"/>
      <c r="AE2520" s="55"/>
      <c r="AF2520" s="56"/>
      <c r="AG2520" s="55"/>
      <c r="AH2520" s="56"/>
      <c r="AI2520" s="56"/>
      <c r="AJ2520" s="56"/>
      <c r="AK2520" s="57">
        <v>10.08</v>
      </c>
      <c r="AL2520" s="57">
        <v>10.08</v>
      </c>
      <c r="AM2520" s="56">
        <f>SUM(AK2520:AL2520)</f>
        <v>20.16</v>
      </c>
      <c r="AN2520" s="52"/>
      <c r="AO2520" s="52"/>
      <c r="AP2520" s="51"/>
    </row>
    <row r="2521" spans="1:42" s="53" customFormat="1" hidden="1" x14ac:dyDescent="0.3">
      <c r="A2521" s="50" t="s">
        <v>8317</v>
      </c>
      <c r="B2521" s="51" t="s">
        <v>8318</v>
      </c>
      <c r="C2521" s="50" t="s">
        <v>8329</v>
      </c>
      <c r="D2521" s="51" t="s">
        <v>1491</v>
      </c>
      <c r="E2521" s="50" t="s">
        <v>8329</v>
      </c>
      <c r="F2521" s="51" t="s">
        <v>1493</v>
      </c>
      <c r="G2521" s="50" t="s">
        <v>8329</v>
      </c>
      <c r="H2521" s="51" t="s">
        <v>1491</v>
      </c>
      <c r="I2521" s="51"/>
      <c r="J2521" s="51"/>
      <c r="K2521" s="50" t="s">
        <v>8329</v>
      </c>
      <c r="L2521" s="51" t="s">
        <v>1491</v>
      </c>
      <c r="M2521" s="60" t="s">
        <v>271</v>
      </c>
      <c r="N2521" s="60" t="s">
        <v>271</v>
      </c>
      <c r="O2521" s="60" t="s">
        <v>271</v>
      </c>
      <c r="P2521" s="60" t="s">
        <v>271</v>
      </c>
      <c r="Q2521" s="60" t="s">
        <v>271</v>
      </c>
      <c r="R2521" s="60" t="s">
        <v>271</v>
      </c>
      <c r="S2521" s="60" t="s">
        <v>271</v>
      </c>
      <c r="T2521" s="60" t="s">
        <v>271</v>
      </c>
      <c r="U2521" s="60" t="s">
        <v>271</v>
      </c>
      <c r="V2521" s="51" t="s">
        <v>1495</v>
      </c>
      <c r="W2521" s="54"/>
      <c r="X2521" s="54"/>
      <c r="Y2521" s="54"/>
      <c r="Z2521" s="54"/>
      <c r="AA2521" s="54"/>
      <c r="AB2521" s="54"/>
      <c r="AC2521" s="54"/>
      <c r="AD2521" s="54"/>
      <c r="AE2521" s="55"/>
      <c r="AF2521" s="56"/>
      <c r="AG2521" s="55"/>
      <c r="AH2521" s="56"/>
      <c r="AI2521" s="56"/>
      <c r="AJ2521" s="56"/>
      <c r="AK2521" s="57">
        <v>923.81817717901504</v>
      </c>
      <c r="AL2521" s="57">
        <v>960.57601544399995</v>
      </c>
      <c r="AM2521" s="56">
        <f>SUM(AK2521:AL2521)</f>
        <v>1884.394192623015</v>
      </c>
      <c r="AN2521" s="52"/>
      <c r="AO2521" s="52"/>
      <c r="AP2521" s="51"/>
    </row>
    <row r="2522" spans="1:42" s="10" customFormat="1" x14ac:dyDescent="0.3">
      <c r="A2522" s="367" t="s">
        <v>8317</v>
      </c>
      <c r="B2522" s="10" t="s">
        <v>8318</v>
      </c>
      <c r="C2522" s="368" t="s">
        <v>8330</v>
      </c>
      <c r="D2522" s="10" t="s">
        <v>8331</v>
      </c>
      <c r="E2522" s="10" t="s">
        <v>8332</v>
      </c>
      <c r="F2522" s="10" t="s">
        <v>8333</v>
      </c>
      <c r="G2522" s="10" t="s">
        <v>8334</v>
      </c>
      <c r="H2522" s="10" t="s">
        <v>8335</v>
      </c>
      <c r="K2522" s="10" t="s">
        <v>8336</v>
      </c>
      <c r="L2522" s="10" t="s">
        <v>8337</v>
      </c>
      <c r="M2522" s="10" t="s">
        <v>8338</v>
      </c>
      <c r="N2522" s="16">
        <v>0</v>
      </c>
      <c r="O2522" s="16">
        <v>260</v>
      </c>
      <c r="P2522" s="16">
        <v>47.5</v>
      </c>
      <c r="Q2522" s="16">
        <v>160.5</v>
      </c>
      <c r="R2522" s="16">
        <v>253.4</v>
      </c>
      <c r="S2522" s="16">
        <v>558.20000000000005</v>
      </c>
      <c r="T2522" s="10" t="s">
        <v>8339</v>
      </c>
      <c r="U2522" t="e">
        <f>VLOOKUP(T2522,[8]Votes!$A$1:$E$234,3,FALSE)</f>
        <v>#N/A</v>
      </c>
      <c r="V2522" s="10" t="s">
        <v>8340</v>
      </c>
      <c r="W2522" s="369">
        <v>1</v>
      </c>
      <c r="X2522" s="369">
        <v>1</v>
      </c>
      <c r="Y2522" s="369">
        <v>1</v>
      </c>
      <c r="Z2522" s="369">
        <v>0</v>
      </c>
      <c r="AA2522" s="369">
        <v>1</v>
      </c>
      <c r="AB2522" s="369">
        <v>1</v>
      </c>
      <c r="AC2522" s="369">
        <v>1</v>
      </c>
      <c r="AD2522" s="369">
        <v>1</v>
      </c>
      <c r="AE2522" s="49">
        <f t="shared" ref="AE2522:AE2585" si="129">SUM(W2522:AD2522)/8</f>
        <v>0.875</v>
      </c>
      <c r="AF2522" s="44">
        <v>1</v>
      </c>
      <c r="AG2522" s="17">
        <v>0</v>
      </c>
      <c r="AH2522" s="44">
        <v>113.130087921835</v>
      </c>
      <c r="AI2522" s="44">
        <v>141.08283442952143</v>
      </c>
      <c r="AJ2522" s="44">
        <v>116.607077648643</v>
      </c>
      <c r="AK2522" s="151">
        <v>13.63</v>
      </c>
      <c r="AL2522" s="151">
        <v>13.63</v>
      </c>
      <c r="AM2522" s="17">
        <f t="shared" ref="AM2522:AM2585" si="130">SUM(AK2522:AL2522)</f>
        <v>27.26</v>
      </c>
      <c r="AN2522" s="44" t="s">
        <v>8341</v>
      </c>
      <c r="AO2522" s="18" t="s">
        <v>1037</v>
      </c>
      <c r="AP2522" t="s">
        <v>119</v>
      </c>
    </row>
    <row r="2523" spans="1:42" s="10" customFormat="1" x14ac:dyDescent="0.3">
      <c r="A2523" s="367" t="s">
        <v>8317</v>
      </c>
      <c r="B2523" s="10" t="s">
        <v>8318</v>
      </c>
      <c r="C2523" s="368" t="s">
        <v>8330</v>
      </c>
      <c r="D2523" s="10" t="s">
        <v>8331</v>
      </c>
      <c r="E2523" s="10" t="s">
        <v>8332</v>
      </c>
      <c r="F2523" s="10" t="s">
        <v>8333</v>
      </c>
      <c r="G2523" s="10" t="s">
        <v>8334</v>
      </c>
      <c r="H2523" s="10" t="s">
        <v>8335</v>
      </c>
      <c r="K2523" s="10" t="s">
        <v>8336</v>
      </c>
      <c r="L2523" s="10" t="s">
        <v>8337</v>
      </c>
      <c r="M2523" s="10" t="s">
        <v>8342</v>
      </c>
      <c r="N2523" s="16">
        <v>0</v>
      </c>
      <c r="O2523" s="16">
        <v>0</v>
      </c>
      <c r="P2523" s="16">
        <v>0</v>
      </c>
      <c r="Q2523" s="16">
        <v>0</v>
      </c>
      <c r="R2523" s="16">
        <v>1429</v>
      </c>
      <c r="S2523" s="16">
        <v>1949</v>
      </c>
      <c r="T2523" s="10" t="s">
        <v>8339</v>
      </c>
      <c r="U2523" t="e">
        <f>VLOOKUP(T2523,[8]Votes!$A$1:$E$234,3,FALSE)</f>
        <v>#N/A</v>
      </c>
      <c r="V2523" t="s">
        <v>8343</v>
      </c>
      <c r="W2523" s="369">
        <v>1</v>
      </c>
      <c r="X2523" s="369">
        <v>1</v>
      </c>
      <c r="Y2523" s="369">
        <v>1</v>
      </c>
      <c r="Z2523" s="369">
        <v>0</v>
      </c>
      <c r="AA2523" s="369">
        <v>1</v>
      </c>
      <c r="AB2523" s="369">
        <v>1</v>
      </c>
      <c r="AC2523" s="369">
        <v>1</v>
      </c>
      <c r="AD2523" s="369">
        <v>1</v>
      </c>
      <c r="AE2523" s="49">
        <f t="shared" si="129"/>
        <v>0.875</v>
      </c>
      <c r="AF2523" s="17">
        <v>1</v>
      </c>
      <c r="AG2523" s="17">
        <v>0</v>
      </c>
      <c r="AH2523" s="17">
        <v>0</v>
      </c>
      <c r="AI2523" s="17">
        <v>0</v>
      </c>
      <c r="AJ2523" s="17">
        <v>0</v>
      </c>
      <c r="AK2523" s="154">
        <v>5</v>
      </c>
      <c r="AL2523" s="154">
        <v>5</v>
      </c>
      <c r="AM2523" s="17">
        <f t="shared" si="130"/>
        <v>10</v>
      </c>
      <c r="AN2523" s="44" t="s">
        <v>8341</v>
      </c>
      <c r="AO2523" s="18" t="s">
        <v>1037</v>
      </c>
      <c r="AP2523" t="s">
        <v>119</v>
      </c>
    </row>
    <row r="2524" spans="1:42" s="10" customFormat="1" x14ac:dyDescent="0.3">
      <c r="A2524" s="367" t="s">
        <v>8317</v>
      </c>
      <c r="B2524" s="10" t="s">
        <v>8318</v>
      </c>
      <c r="C2524" s="368" t="s">
        <v>8330</v>
      </c>
      <c r="D2524" s="10" t="s">
        <v>8331</v>
      </c>
      <c r="E2524" s="10" t="s">
        <v>8332</v>
      </c>
      <c r="F2524" s="10" t="s">
        <v>8333</v>
      </c>
      <c r="G2524" s="10" t="s">
        <v>8334</v>
      </c>
      <c r="H2524" s="10" t="s">
        <v>8335</v>
      </c>
      <c r="K2524" s="10" t="s">
        <v>8336</v>
      </c>
      <c r="L2524" s="10" t="s">
        <v>8337</v>
      </c>
      <c r="N2524" s="16"/>
      <c r="O2524" s="16"/>
      <c r="P2524" s="16"/>
      <c r="Q2524" s="16"/>
      <c r="R2524" s="16"/>
      <c r="S2524" s="16"/>
      <c r="U2524" t="e">
        <f>VLOOKUP(T2524,[8]Votes!$A$1:$E$234,3,FALSE)</f>
        <v>#N/A</v>
      </c>
      <c r="V2524" t="s">
        <v>8344</v>
      </c>
      <c r="W2524" s="369">
        <v>1</v>
      </c>
      <c r="X2524" s="369">
        <v>1</v>
      </c>
      <c r="Y2524" s="369">
        <v>1</v>
      </c>
      <c r="Z2524" s="369">
        <v>1</v>
      </c>
      <c r="AA2524" s="369">
        <v>1</v>
      </c>
      <c r="AB2524" s="369">
        <v>1</v>
      </c>
      <c r="AC2524" s="369">
        <v>1</v>
      </c>
      <c r="AD2524" s="369">
        <v>1</v>
      </c>
      <c r="AE2524" s="49">
        <f t="shared" si="129"/>
        <v>1</v>
      </c>
      <c r="AF2524" s="17">
        <v>1</v>
      </c>
      <c r="AG2524" s="17">
        <v>0</v>
      </c>
      <c r="AH2524" s="17">
        <v>0</v>
      </c>
      <c r="AI2524" s="17">
        <v>0</v>
      </c>
      <c r="AJ2524" s="17">
        <v>0</v>
      </c>
      <c r="AK2524" s="154">
        <v>1</v>
      </c>
      <c r="AL2524" s="154">
        <v>1</v>
      </c>
      <c r="AM2524" s="17">
        <f t="shared" si="130"/>
        <v>2</v>
      </c>
      <c r="AN2524" s="44" t="s">
        <v>8341</v>
      </c>
      <c r="AO2524" s="18" t="s">
        <v>1037</v>
      </c>
      <c r="AP2524" t="s">
        <v>119</v>
      </c>
    </row>
    <row r="2525" spans="1:42" s="10" customFormat="1" hidden="1" x14ac:dyDescent="0.3">
      <c r="A2525" s="367" t="s">
        <v>8317</v>
      </c>
      <c r="B2525" s="10" t="s">
        <v>8318</v>
      </c>
      <c r="C2525" s="368" t="s">
        <v>8330</v>
      </c>
      <c r="D2525" s="10" t="s">
        <v>8331</v>
      </c>
      <c r="E2525" s="10" t="s">
        <v>8332</v>
      </c>
      <c r="F2525" s="10" t="s">
        <v>8333</v>
      </c>
      <c r="G2525" s="10" t="s">
        <v>8334</v>
      </c>
      <c r="H2525" s="10" t="s">
        <v>8335</v>
      </c>
      <c r="K2525" s="10" t="s">
        <v>8336</v>
      </c>
      <c r="L2525" s="10" t="s">
        <v>8337</v>
      </c>
      <c r="N2525" s="16"/>
      <c r="O2525" s="16"/>
      <c r="P2525" s="16"/>
      <c r="Q2525" s="16"/>
      <c r="R2525" s="16"/>
      <c r="S2525" s="16"/>
      <c r="U2525" t="e">
        <f>VLOOKUP(T2525,[8]Votes!$A$1:$E$234,3,FALSE)</f>
        <v>#N/A</v>
      </c>
      <c r="V2525" t="s">
        <v>8345</v>
      </c>
      <c r="W2525" s="369">
        <v>1</v>
      </c>
      <c r="X2525" s="369">
        <v>1</v>
      </c>
      <c r="Y2525" s="369">
        <v>0</v>
      </c>
      <c r="Z2525" s="369">
        <v>0</v>
      </c>
      <c r="AA2525" s="369">
        <v>1</v>
      </c>
      <c r="AB2525" s="369">
        <v>1</v>
      </c>
      <c r="AC2525" s="369">
        <v>0</v>
      </c>
      <c r="AD2525" s="369">
        <v>1</v>
      </c>
      <c r="AE2525" s="49">
        <f t="shared" si="129"/>
        <v>0.625</v>
      </c>
      <c r="AF2525" s="17">
        <v>1</v>
      </c>
      <c r="AG2525" s="17">
        <v>0</v>
      </c>
      <c r="AH2525" s="17">
        <v>0</v>
      </c>
      <c r="AI2525" s="17">
        <v>0</v>
      </c>
      <c r="AJ2525" s="17">
        <v>0</v>
      </c>
      <c r="AK2525" s="154">
        <v>2</v>
      </c>
      <c r="AL2525" s="154">
        <v>2</v>
      </c>
      <c r="AM2525" s="17">
        <f t="shared" si="130"/>
        <v>4</v>
      </c>
      <c r="AN2525" s="44" t="s">
        <v>8341</v>
      </c>
      <c r="AO2525" s="18" t="s">
        <v>1037</v>
      </c>
      <c r="AP2525" t="s">
        <v>119</v>
      </c>
    </row>
    <row r="2526" spans="1:42" s="10" customFormat="1" hidden="1" x14ac:dyDescent="0.3">
      <c r="A2526" s="367" t="s">
        <v>8317</v>
      </c>
      <c r="B2526" s="10" t="s">
        <v>8318</v>
      </c>
      <c r="C2526" s="368" t="s">
        <v>8330</v>
      </c>
      <c r="D2526" s="10" t="s">
        <v>8331</v>
      </c>
      <c r="E2526" s="10" t="s">
        <v>8332</v>
      </c>
      <c r="F2526" s="10" t="s">
        <v>8333</v>
      </c>
      <c r="G2526" s="10" t="s">
        <v>8334</v>
      </c>
      <c r="H2526" s="10" t="s">
        <v>8335</v>
      </c>
      <c r="K2526" s="10" t="s">
        <v>8336</v>
      </c>
      <c r="L2526" s="10" t="s">
        <v>8337</v>
      </c>
      <c r="N2526" s="16"/>
      <c r="O2526" s="16"/>
      <c r="P2526" s="16"/>
      <c r="Q2526" s="16"/>
      <c r="R2526" s="16"/>
      <c r="S2526" s="16"/>
      <c r="U2526" t="e">
        <f>VLOOKUP(T2526,[8]Votes!$A$1:$E$234,3,FALSE)</f>
        <v>#N/A</v>
      </c>
      <c r="V2526" t="s">
        <v>8346</v>
      </c>
      <c r="W2526" s="369">
        <v>1</v>
      </c>
      <c r="X2526" s="369">
        <v>1</v>
      </c>
      <c r="Y2526" s="369">
        <v>0</v>
      </c>
      <c r="Z2526" s="369">
        <v>0</v>
      </c>
      <c r="AA2526" s="369">
        <v>1</v>
      </c>
      <c r="AB2526" s="369">
        <v>1</v>
      </c>
      <c r="AC2526" s="369">
        <v>0</v>
      </c>
      <c r="AD2526" s="369">
        <v>1</v>
      </c>
      <c r="AE2526" s="49">
        <f t="shared" si="129"/>
        <v>0.625</v>
      </c>
      <c r="AF2526" s="17"/>
      <c r="AG2526" s="17">
        <v>0</v>
      </c>
      <c r="AH2526" s="17">
        <v>0</v>
      </c>
      <c r="AI2526" s="17">
        <v>0</v>
      </c>
      <c r="AJ2526" s="17">
        <v>0</v>
      </c>
      <c r="AK2526" s="154"/>
      <c r="AL2526" s="154"/>
      <c r="AM2526" s="17">
        <f t="shared" si="130"/>
        <v>0</v>
      </c>
      <c r="AN2526" s="44" t="s">
        <v>771</v>
      </c>
      <c r="AO2526" s="18" t="s">
        <v>773</v>
      </c>
      <c r="AP2526" t="s">
        <v>8347</v>
      </c>
    </row>
    <row r="2527" spans="1:42" s="10" customFormat="1" x14ac:dyDescent="0.3">
      <c r="A2527" s="367" t="s">
        <v>8317</v>
      </c>
      <c r="B2527" s="10" t="s">
        <v>8318</v>
      </c>
      <c r="C2527" s="368" t="s">
        <v>8330</v>
      </c>
      <c r="D2527" s="10" t="s">
        <v>8331</v>
      </c>
      <c r="E2527" s="10" t="s">
        <v>8332</v>
      </c>
      <c r="F2527" s="10" t="s">
        <v>8333</v>
      </c>
      <c r="G2527" s="10" t="s">
        <v>8334</v>
      </c>
      <c r="H2527" s="10" t="s">
        <v>8335</v>
      </c>
      <c r="K2527" s="10" t="s">
        <v>8336</v>
      </c>
      <c r="L2527" s="10" t="s">
        <v>8337</v>
      </c>
      <c r="N2527" s="16"/>
      <c r="O2527" s="16"/>
      <c r="P2527" s="16"/>
      <c r="Q2527" s="16"/>
      <c r="R2527" s="16"/>
      <c r="S2527" s="16"/>
      <c r="U2527" t="e">
        <f>VLOOKUP(T2527,[8]Votes!$A$1:$E$234,3,FALSE)</f>
        <v>#N/A</v>
      </c>
      <c r="V2527" s="159" t="s">
        <v>8348</v>
      </c>
      <c r="W2527" s="369">
        <v>1</v>
      </c>
      <c r="X2527" s="369">
        <v>1</v>
      </c>
      <c r="Y2527" s="369">
        <v>0</v>
      </c>
      <c r="Z2527" s="369">
        <v>1</v>
      </c>
      <c r="AA2527" s="369">
        <v>1</v>
      </c>
      <c r="AB2527" s="369">
        <v>1</v>
      </c>
      <c r="AC2527" s="369">
        <v>0</v>
      </c>
      <c r="AD2527" s="369">
        <v>1</v>
      </c>
      <c r="AE2527" s="49">
        <f t="shared" si="129"/>
        <v>0.75</v>
      </c>
      <c r="AF2527" s="17"/>
      <c r="AG2527" s="17">
        <v>0</v>
      </c>
      <c r="AH2527" s="17">
        <v>0</v>
      </c>
      <c r="AI2527" s="17">
        <v>0</v>
      </c>
      <c r="AJ2527" s="17">
        <v>0</v>
      </c>
      <c r="AK2527" s="153">
        <v>0.5</v>
      </c>
      <c r="AL2527" s="154">
        <v>0.5</v>
      </c>
      <c r="AM2527" s="17">
        <f t="shared" si="130"/>
        <v>1</v>
      </c>
      <c r="AN2527" s="276" t="s">
        <v>8341</v>
      </c>
      <c r="AO2527" s="14" t="s">
        <v>1037</v>
      </c>
      <c r="AP2527" t="s">
        <v>570</v>
      </c>
    </row>
    <row r="2528" spans="1:42" s="10" customFormat="1" hidden="1" x14ac:dyDescent="0.3">
      <c r="A2528" s="367" t="s">
        <v>8317</v>
      </c>
      <c r="B2528" s="10" t="s">
        <v>8318</v>
      </c>
      <c r="C2528" s="368" t="s">
        <v>8330</v>
      </c>
      <c r="D2528" s="10" t="s">
        <v>8331</v>
      </c>
      <c r="E2528" s="10" t="s">
        <v>8332</v>
      </c>
      <c r="F2528" s="10" t="s">
        <v>8333</v>
      </c>
      <c r="G2528" s="10" t="s">
        <v>8334</v>
      </c>
      <c r="H2528" s="10" t="s">
        <v>8335</v>
      </c>
      <c r="K2528" s="10" t="s">
        <v>8336</v>
      </c>
      <c r="L2528" s="10" t="s">
        <v>8337</v>
      </c>
      <c r="N2528" s="16"/>
      <c r="O2528" s="16"/>
      <c r="P2528" s="16"/>
      <c r="Q2528" s="16"/>
      <c r="R2528" s="16"/>
      <c r="S2528" s="16"/>
      <c r="U2528" t="e">
        <f>VLOOKUP(T2528,[8]Votes!$A$1:$E$234,3,FALSE)</f>
        <v>#N/A</v>
      </c>
      <c r="V2528" t="s">
        <v>8343</v>
      </c>
      <c r="W2528" s="369">
        <v>1</v>
      </c>
      <c r="X2528" s="369">
        <v>1</v>
      </c>
      <c r="Y2528" s="369">
        <v>0</v>
      </c>
      <c r="Z2528" s="369">
        <v>0</v>
      </c>
      <c r="AA2528" s="369">
        <v>1</v>
      </c>
      <c r="AB2528" s="369">
        <v>1</v>
      </c>
      <c r="AC2528" s="369">
        <v>0</v>
      </c>
      <c r="AD2528" s="369">
        <v>1</v>
      </c>
      <c r="AE2528" s="49">
        <f t="shared" si="129"/>
        <v>0.625</v>
      </c>
      <c r="AF2528" s="17"/>
      <c r="AG2528" s="17">
        <v>0</v>
      </c>
      <c r="AH2528" s="17">
        <v>0</v>
      </c>
      <c r="AI2528" s="17">
        <v>0</v>
      </c>
      <c r="AJ2528" s="17">
        <v>0</v>
      </c>
      <c r="AK2528" s="154"/>
      <c r="AL2528" s="154"/>
      <c r="AM2528" s="17">
        <f t="shared" si="130"/>
        <v>0</v>
      </c>
      <c r="AN2528" s="44" t="s">
        <v>8341</v>
      </c>
      <c r="AO2528" s="18" t="s">
        <v>1037</v>
      </c>
      <c r="AP2528" t="s">
        <v>119</v>
      </c>
    </row>
    <row r="2529" spans="1:42" s="10" customFormat="1" x14ac:dyDescent="0.3">
      <c r="A2529" s="367" t="s">
        <v>8317</v>
      </c>
      <c r="B2529" s="10" t="s">
        <v>8318</v>
      </c>
      <c r="C2529" s="368" t="s">
        <v>8330</v>
      </c>
      <c r="D2529" s="10" t="s">
        <v>8331</v>
      </c>
      <c r="E2529" s="10" t="s">
        <v>8332</v>
      </c>
      <c r="F2529" s="10" t="s">
        <v>8333</v>
      </c>
      <c r="G2529" s="10" t="s">
        <v>8334</v>
      </c>
      <c r="H2529" s="10" t="s">
        <v>8335</v>
      </c>
      <c r="K2529" s="10" t="s">
        <v>8336</v>
      </c>
      <c r="L2529" s="10" t="s">
        <v>8337</v>
      </c>
      <c r="M2529" s="10" t="s">
        <v>8349</v>
      </c>
      <c r="N2529" s="16"/>
      <c r="O2529" s="16"/>
      <c r="P2529" s="16">
        <v>2</v>
      </c>
      <c r="Q2529" s="16">
        <v>2</v>
      </c>
      <c r="R2529" s="16">
        <v>2</v>
      </c>
      <c r="S2529" s="16">
        <v>2</v>
      </c>
      <c r="T2529" s="10" t="s">
        <v>8339</v>
      </c>
      <c r="U2529" t="e">
        <f>VLOOKUP(T2529,[8]Votes!$A$1:$E$234,3,FALSE)</f>
        <v>#N/A</v>
      </c>
      <c r="V2529" t="s">
        <v>8350</v>
      </c>
      <c r="W2529" s="369">
        <v>1</v>
      </c>
      <c r="X2529" s="369">
        <v>1</v>
      </c>
      <c r="Y2529" s="369">
        <v>1</v>
      </c>
      <c r="Z2529" s="369">
        <v>0</v>
      </c>
      <c r="AA2529" s="369">
        <v>1</v>
      </c>
      <c r="AB2529" s="369">
        <v>1</v>
      </c>
      <c r="AC2529" s="369">
        <v>1</v>
      </c>
      <c r="AD2529" s="369">
        <v>1</v>
      </c>
      <c r="AE2529" s="49">
        <f t="shared" si="129"/>
        <v>0.875</v>
      </c>
      <c r="AF2529" s="44">
        <v>1</v>
      </c>
      <c r="AG2529" s="17">
        <v>0</v>
      </c>
      <c r="AH2529" s="44">
        <v>0</v>
      </c>
      <c r="AI2529" s="44">
        <v>0.9</v>
      </c>
      <c r="AJ2529" s="44">
        <v>0.9</v>
      </c>
      <c r="AK2529" s="151">
        <v>0.9</v>
      </c>
      <c r="AL2529" s="151">
        <v>0.9</v>
      </c>
      <c r="AM2529" s="17">
        <f t="shared" si="130"/>
        <v>1.8</v>
      </c>
      <c r="AN2529" s="44" t="s">
        <v>8341</v>
      </c>
      <c r="AO2529" s="18" t="s">
        <v>1037</v>
      </c>
      <c r="AP2529" t="s">
        <v>3605</v>
      </c>
    </row>
    <row r="2530" spans="1:42" s="10" customFormat="1" x14ac:dyDescent="0.3">
      <c r="A2530" s="367" t="s">
        <v>8317</v>
      </c>
      <c r="B2530" s="10" t="s">
        <v>8318</v>
      </c>
      <c r="C2530" s="368" t="s">
        <v>8330</v>
      </c>
      <c r="D2530" s="10" t="s">
        <v>8331</v>
      </c>
      <c r="E2530" s="10" t="s">
        <v>8332</v>
      </c>
      <c r="F2530" s="10" t="s">
        <v>8333</v>
      </c>
      <c r="G2530" s="10" t="s">
        <v>8334</v>
      </c>
      <c r="H2530" s="10" t="s">
        <v>8335</v>
      </c>
      <c r="K2530" s="10" t="s">
        <v>8336</v>
      </c>
      <c r="L2530" s="10" t="s">
        <v>8337</v>
      </c>
      <c r="M2530" s="10" t="s">
        <v>8351</v>
      </c>
      <c r="N2530" s="16"/>
      <c r="O2530" s="16"/>
      <c r="P2530" s="16">
        <v>6</v>
      </c>
      <c r="Q2530" s="16">
        <v>6</v>
      </c>
      <c r="R2530" s="16">
        <v>6</v>
      </c>
      <c r="S2530" s="16">
        <v>6</v>
      </c>
      <c r="T2530" s="10" t="s">
        <v>8339</v>
      </c>
      <c r="U2530" t="e">
        <f>VLOOKUP(T2530,[8]Votes!$A$1:$E$234,3,FALSE)</f>
        <v>#N/A</v>
      </c>
      <c r="V2530" t="s">
        <v>8346</v>
      </c>
      <c r="W2530" s="369">
        <v>1</v>
      </c>
      <c r="X2530" s="369">
        <v>1</v>
      </c>
      <c r="Y2530" s="369">
        <v>1</v>
      </c>
      <c r="Z2530" s="369">
        <v>0</v>
      </c>
      <c r="AA2530" s="369">
        <v>1</v>
      </c>
      <c r="AB2530" s="369">
        <v>1</v>
      </c>
      <c r="AC2530" s="369">
        <v>1</v>
      </c>
      <c r="AD2530" s="369">
        <v>1</v>
      </c>
      <c r="AE2530" s="49">
        <f t="shared" si="129"/>
        <v>0.875</v>
      </c>
      <c r="AF2530" s="44"/>
      <c r="AG2530" s="17">
        <v>0</v>
      </c>
      <c r="AH2530" s="44">
        <v>0</v>
      </c>
      <c r="AI2530" s="44">
        <v>0</v>
      </c>
      <c r="AJ2530" s="44">
        <v>0</v>
      </c>
      <c r="AK2530" s="151"/>
      <c r="AL2530" s="151"/>
      <c r="AM2530" s="17">
        <f t="shared" si="130"/>
        <v>0</v>
      </c>
      <c r="AN2530" s="44" t="s">
        <v>771</v>
      </c>
      <c r="AO2530" s="18" t="s">
        <v>773</v>
      </c>
      <c r="AP2530" t="s">
        <v>8352</v>
      </c>
    </row>
    <row r="2531" spans="1:42" s="10" customFormat="1" hidden="1" x14ac:dyDescent="0.3">
      <c r="A2531" s="367" t="s">
        <v>8317</v>
      </c>
      <c r="B2531" s="10" t="s">
        <v>8318</v>
      </c>
      <c r="C2531" s="368" t="s">
        <v>8330</v>
      </c>
      <c r="D2531" s="10" t="s">
        <v>8331</v>
      </c>
      <c r="E2531" s="10" t="s">
        <v>8332</v>
      </c>
      <c r="F2531" s="10" t="s">
        <v>8333</v>
      </c>
      <c r="G2531" s="10" t="s">
        <v>8334</v>
      </c>
      <c r="H2531" s="10" t="s">
        <v>8335</v>
      </c>
      <c r="K2531" s="10" t="s">
        <v>8336</v>
      </c>
      <c r="L2531" s="10" t="s">
        <v>8337</v>
      </c>
      <c r="M2531" s="10" t="s">
        <v>8353</v>
      </c>
      <c r="N2531" s="16"/>
      <c r="O2531" s="16">
        <v>1500</v>
      </c>
      <c r="P2531" s="16">
        <v>1200</v>
      </c>
      <c r="Q2531" s="16">
        <v>1200</v>
      </c>
      <c r="R2531" s="16">
        <v>1200</v>
      </c>
      <c r="S2531" s="16">
        <v>1200</v>
      </c>
      <c r="T2531" s="10" t="s">
        <v>8339</v>
      </c>
      <c r="U2531" t="e">
        <f>VLOOKUP(T2531,[8]Votes!$A$1:$E$234,3,FALSE)</f>
        <v>#N/A</v>
      </c>
      <c r="V2531" t="s">
        <v>8353</v>
      </c>
      <c r="W2531" s="369">
        <v>1</v>
      </c>
      <c r="X2531" s="369">
        <v>0</v>
      </c>
      <c r="Y2531" s="369">
        <v>0</v>
      </c>
      <c r="Z2531" s="369">
        <v>0</v>
      </c>
      <c r="AA2531" s="369">
        <v>1</v>
      </c>
      <c r="AB2531" s="369">
        <v>1</v>
      </c>
      <c r="AC2531" s="369">
        <v>0</v>
      </c>
      <c r="AD2531" s="369">
        <v>1</v>
      </c>
      <c r="AE2531" s="49">
        <f t="shared" si="129"/>
        <v>0.5</v>
      </c>
      <c r="AF2531" s="44"/>
      <c r="AG2531" s="17">
        <v>0</v>
      </c>
      <c r="AH2531" s="44">
        <v>0</v>
      </c>
      <c r="AI2531" s="44">
        <v>0</v>
      </c>
      <c r="AJ2531" s="44">
        <v>0</v>
      </c>
      <c r="AK2531" s="151">
        <v>0</v>
      </c>
      <c r="AL2531" s="151">
        <v>0</v>
      </c>
      <c r="AM2531" s="17">
        <f t="shared" si="130"/>
        <v>0</v>
      </c>
      <c r="AN2531" s="44" t="s">
        <v>8341</v>
      </c>
      <c r="AO2531" s="18" t="s">
        <v>1037</v>
      </c>
      <c r="AP2531" t="s">
        <v>8354</v>
      </c>
    </row>
    <row r="2532" spans="1:42" s="10" customFormat="1" x14ac:dyDescent="0.3">
      <c r="A2532" s="367" t="s">
        <v>8317</v>
      </c>
      <c r="B2532" s="10" t="s">
        <v>8318</v>
      </c>
      <c r="C2532" s="368" t="s">
        <v>8330</v>
      </c>
      <c r="D2532" s="10" t="s">
        <v>8331</v>
      </c>
      <c r="E2532" s="10" t="s">
        <v>8332</v>
      </c>
      <c r="F2532" s="10" t="s">
        <v>8333</v>
      </c>
      <c r="G2532" s="10" t="s">
        <v>8334</v>
      </c>
      <c r="H2532" s="10" t="s">
        <v>8335</v>
      </c>
      <c r="K2532" s="10" t="s">
        <v>8336</v>
      </c>
      <c r="L2532" s="10" t="s">
        <v>8337</v>
      </c>
      <c r="M2532" s="10" t="s">
        <v>8355</v>
      </c>
      <c r="N2532" s="16"/>
      <c r="O2532" s="16">
        <v>20</v>
      </c>
      <c r="P2532" s="16">
        <v>30</v>
      </c>
      <c r="Q2532" s="16">
        <v>30</v>
      </c>
      <c r="R2532" s="16">
        <v>30</v>
      </c>
      <c r="S2532" s="16">
        <v>30</v>
      </c>
      <c r="T2532" s="10" t="s">
        <v>8339</v>
      </c>
      <c r="U2532" t="e">
        <f>VLOOKUP(T2532,[8]Votes!$A$1:$E$234,3,FALSE)</f>
        <v>#N/A</v>
      </c>
      <c r="V2532" t="s">
        <v>8356</v>
      </c>
      <c r="W2532" s="369">
        <v>1</v>
      </c>
      <c r="X2532" s="369">
        <v>1</v>
      </c>
      <c r="Y2532" s="369">
        <v>1</v>
      </c>
      <c r="Z2532" s="369">
        <v>0</v>
      </c>
      <c r="AA2532" s="369">
        <v>1</v>
      </c>
      <c r="AB2532" s="369">
        <v>1</v>
      </c>
      <c r="AC2532" s="369">
        <v>1</v>
      </c>
      <c r="AD2532" s="369">
        <v>1</v>
      </c>
      <c r="AE2532" s="49">
        <f t="shared" si="129"/>
        <v>0.875</v>
      </c>
      <c r="AF2532" s="44">
        <v>1</v>
      </c>
      <c r="AG2532" s="17">
        <v>0</v>
      </c>
      <c r="AH2532" s="44">
        <v>12</v>
      </c>
      <c r="AI2532" s="44">
        <v>6</v>
      </c>
      <c r="AJ2532" s="44">
        <v>6</v>
      </c>
      <c r="AK2532" s="153">
        <v>0.5</v>
      </c>
      <c r="AL2532" s="154">
        <v>0.5</v>
      </c>
      <c r="AM2532" s="17">
        <f t="shared" si="130"/>
        <v>1</v>
      </c>
      <c r="AN2532" s="44" t="s">
        <v>3605</v>
      </c>
      <c r="AO2532" s="18" t="s">
        <v>4178</v>
      </c>
      <c r="AP2532" t="s">
        <v>8339</v>
      </c>
    </row>
    <row r="2533" spans="1:42" s="10" customFormat="1" x14ac:dyDescent="0.3">
      <c r="A2533" s="367" t="s">
        <v>8317</v>
      </c>
      <c r="B2533" s="10" t="s">
        <v>8318</v>
      </c>
      <c r="C2533" s="368" t="s">
        <v>8330</v>
      </c>
      <c r="D2533" s="10" t="s">
        <v>8331</v>
      </c>
      <c r="E2533" s="10" t="s">
        <v>8332</v>
      </c>
      <c r="F2533" s="10" t="s">
        <v>8333</v>
      </c>
      <c r="G2533" s="10" t="s">
        <v>8357</v>
      </c>
      <c r="H2533" s="10" t="s">
        <v>8358</v>
      </c>
      <c r="K2533" s="10" t="s">
        <v>8359</v>
      </c>
      <c r="L2533" s="10" t="s">
        <v>8360</v>
      </c>
      <c r="M2533" s="10" t="s">
        <v>8361</v>
      </c>
      <c r="N2533" s="16">
        <v>2354</v>
      </c>
      <c r="O2533" s="16">
        <v>4446</v>
      </c>
      <c r="P2533" s="16">
        <v>4794</v>
      </c>
      <c r="Q2533" s="16">
        <v>5848</v>
      </c>
      <c r="R2533" s="16">
        <v>6107</v>
      </c>
      <c r="S2533" s="16">
        <v>8265</v>
      </c>
      <c r="T2533" s="10" t="s">
        <v>8339</v>
      </c>
      <c r="U2533" t="e">
        <f>VLOOKUP(T2533,[8]Votes!$A$1:$E$234,3,FALSE)</f>
        <v>#N/A</v>
      </c>
      <c r="V2533" t="s">
        <v>8362</v>
      </c>
      <c r="W2533" s="369">
        <v>1</v>
      </c>
      <c r="X2533" s="369">
        <v>1</v>
      </c>
      <c r="Y2533" s="369">
        <v>1</v>
      </c>
      <c r="Z2533" s="369">
        <v>0</v>
      </c>
      <c r="AA2533" s="369">
        <v>1</v>
      </c>
      <c r="AB2533" s="369">
        <v>1</v>
      </c>
      <c r="AC2533" s="369">
        <v>1</v>
      </c>
      <c r="AD2533" s="369">
        <v>1</v>
      </c>
      <c r="AE2533" s="49">
        <f t="shared" si="129"/>
        <v>0.875</v>
      </c>
      <c r="AF2533" s="44"/>
      <c r="AG2533" s="17">
        <v>1</v>
      </c>
      <c r="AH2533" s="44">
        <v>219.54082196395299</v>
      </c>
      <c r="AI2533" s="44">
        <v>28</v>
      </c>
      <c r="AJ2533" s="44">
        <v>170.45917803604661</v>
      </c>
      <c r="AK2533" s="151"/>
      <c r="AL2533" s="151"/>
      <c r="AM2533" s="17">
        <f t="shared" si="130"/>
        <v>0</v>
      </c>
      <c r="AN2533" s="44" t="s">
        <v>8341</v>
      </c>
      <c r="AO2533" s="18" t="s">
        <v>1037</v>
      </c>
      <c r="AP2533" t="s">
        <v>119</v>
      </c>
    </row>
    <row r="2534" spans="1:42" s="10" customFormat="1" x14ac:dyDescent="0.3">
      <c r="A2534" s="367" t="s">
        <v>8317</v>
      </c>
      <c r="B2534" s="10" t="s">
        <v>8318</v>
      </c>
      <c r="C2534" s="368" t="s">
        <v>8330</v>
      </c>
      <c r="D2534" s="10" t="s">
        <v>8331</v>
      </c>
      <c r="E2534" s="10" t="s">
        <v>8332</v>
      </c>
      <c r="F2534" s="10" t="s">
        <v>8333</v>
      </c>
      <c r="G2534" s="10" t="s">
        <v>8357</v>
      </c>
      <c r="H2534" s="10" t="s">
        <v>8358</v>
      </c>
      <c r="K2534" s="10" t="s">
        <v>8359</v>
      </c>
      <c r="L2534" s="10" t="s">
        <v>8360</v>
      </c>
      <c r="N2534" s="16"/>
      <c r="O2534" s="16"/>
      <c r="P2534" s="16"/>
      <c r="Q2534" s="16"/>
      <c r="R2534" s="16"/>
      <c r="S2534" s="16"/>
      <c r="U2534" t="e">
        <f>VLOOKUP(T2534,[8]Votes!$A$1:$E$234,3,FALSE)</f>
        <v>#N/A</v>
      </c>
      <c r="V2534" t="s">
        <v>8363</v>
      </c>
      <c r="W2534" s="369">
        <v>1</v>
      </c>
      <c r="X2534" s="369">
        <v>0</v>
      </c>
      <c r="Y2534" s="369">
        <v>1</v>
      </c>
      <c r="Z2534" s="369">
        <v>0</v>
      </c>
      <c r="AA2534" s="369">
        <v>1</v>
      </c>
      <c r="AB2534" s="369">
        <v>1</v>
      </c>
      <c r="AC2534" s="369">
        <v>1</v>
      </c>
      <c r="AD2534" s="369">
        <v>1</v>
      </c>
      <c r="AE2534" s="49">
        <f t="shared" si="129"/>
        <v>0.75</v>
      </c>
      <c r="AF2534" s="44"/>
      <c r="AG2534" s="17">
        <v>1</v>
      </c>
      <c r="AH2534" s="44">
        <v>0</v>
      </c>
      <c r="AI2534" s="44">
        <v>0</v>
      </c>
      <c r="AJ2534" s="44">
        <v>0</v>
      </c>
      <c r="AK2534" s="151"/>
      <c r="AL2534" s="151"/>
      <c r="AM2534" s="17">
        <f t="shared" si="130"/>
        <v>0</v>
      </c>
      <c r="AN2534" s="44" t="s">
        <v>8341</v>
      </c>
      <c r="AO2534" s="18" t="s">
        <v>1037</v>
      </c>
      <c r="AP2534" t="s">
        <v>119</v>
      </c>
    </row>
    <row r="2535" spans="1:42" s="10" customFormat="1" x14ac:dyDescent="0.3">
      <c r="A2535" s="367" t="s">
        <v>8317</v>
      </c>
      <c r="B2535" s="10" t="s">
        <v>8318</v>
      </c>
      <c r="C2535" s="368" t="s">
        <v>8330</v>
      </c>
      <c r="D2535" s="10" t="s">
        <v>8331</v>
      </c>
      <c r="E2535" s="10" t="s">
        <v>8332</v>
      </c>
      <c r="F2535" s="10" t="s">
        <v>8333</v>
      </c>
      <c r="G2535" s="10" t="s">
        <v>8357</v>
      </c>
      <c r="H2535" s="10" t="s">
        <v>8358</v>
      </c>
      <c r="K2535" s="10" t="s">
        <v>8359</v>
      </c>
      <c r="L2535" s="10" t="s">
        <v>8360</v>
      </c>
      <c r="N2535" s="16"/>
      <c r="O2535" s="16"/>
      <c r="P2535" s="16"/>
      <c r="Q2535" s="16"/>
      <c r="R2535" s="16"/>
      <c r="S2535" s="16"/>
      <c r="U2535" t="e">
        <f>VLOOKUP(T2535,[8]Votes!$A$1:$E$234,3,FALSE)</f>
        <v>#N/A</v>
      </c>
      <c r="V2535" t="s">
        <v>8364</v>
      </c>
      <c r="W2535" s="369">
        <v>1</v>
      </c>
      <c r="X2535" s="369">
        <v>0</v>
      </c>
      <c r="Y2535" s="369">
        <v>1</v>
      </c>
      <c r="Z2535" s="369">
        <v>0</v>
      </c>
      <c r="AA2535" s="369">
        <v>1</v>
      </c>
      <c r="AB2535" s="369">
        <v>1</v>
      </c>
      <c r="AC2535" s="369">
        <v>1</v>
      </c>
      <c r="AD2535" s="369">
        <v>1</v>
      </c>
      <c r="AE2535" s="49">
        <f t="shared" si="129"/>
        <v>0.75</v>
      </c>
      <c r="AF2535" s="44"/>
      <c r="AG2535" s="17">
        <v>1</v>
      </c>
      <c r="AH2535" s="44">
        <v>0</v>
      </c>
      <c r="AI2535" s="44">
        <v>0</v>
      </c>
      <c r="AJ2535" s="44">
        <v>0</v>
      </c>
      <c r="AK2535" s="151"/>
      <c r="AL2535" s="151"/>
      <c r="AM2535" s="17">
        <f t="shared" si="130"/>
        <v>0</v>
      </c>
      <c r="AN2535" s="44" t="s">
        <v>8341</v>
      </c>
      <c r="AO2535" s="18" t="s">
        <v>1037</v>
      </c>
      <c r="AP2535" t="s">
        <v>119</v>
      </c>
    </row>
    <row r="2536" spans="1:42" s="10" customFormat="1" hidden="1" x14ac:dyDescent="0.3">
      <c r="A2536" s="367" t="s">
        <v>8317</v>
      </c>
      <c r="B2536" s="10" t="s">
        <v>8318</v>
      </c>
      <c r="C2536" s="368" t="s">
        <v>8330</v>
      </c>
      <c r="D2536" s="10" t="s">
        <v>8331</v>
      </c>
      <c r="E2536" s="10" t="s">
        <v>8332</v>
      </c>
      <c r="F2536" s="10" t="s">
        <v>8333</v>
      </c>
      <c r="G2536" s="10" t="s">
        <v>8357</v>
      </c>
      <c r="H2536" s="10" t="s">
        <v>8358</v>
      </c>
      <c r="K2536" s="10" t="s">
        <v>8359</v>
      </c>
      <c r="L2536" s="10" t="s">
        <v>8360</v>
      </c>
      <c r="N2536" s="16"/>
      <c r="O2536" s="16"/>
      <c r="P2536" s="16"/>
      <c r="Q2536" s="16"/>
      <c r="R2536" s="16"/>
      <c r="S2536" s="16"/>
      <c r="U2536" t="e">
        <f>VLOOKUP(T2536,[8]Votes!$A$1:$E$234,3,FALSE)</f>
        <v>#N/A</v>
      </c>
      <c r="V2536" t="s">
        <v>8365</v>
      </c>
      <c r="W2536" s="369">
        <v>1</v>
      </c>
      <c r="X2536" s="369">
        <v>0</v>
      </c>
      <c r="Y2536" s="369">
        <v>0</v>
      </c>
      <c r="Z2536" s="369">
        <v>1</v>
      </c>
      <c r="AA2536" s="369">
        <v>1</v>
      </c>
      <c r="AB2536" s="369">
        <v>0</v>
      </c>
      <c r="AC2536" s="369">
        <v>0</v>
      </c>
      <c r="AD2536" s="369">
        <v>1</v>
      </c>
      <c r="AE2536" s="49">
        <f t="shared" si="129"/>
        <v>0.5</v>
      </c>
      <c r="AF2536" s="44"/>
      <c r="AG2536" s="17">
        <v>1</v>
      </c>
      <c r="AH2536" s="44">
        <v>0</v>
      </c>
      <c r="AI2536" s="44">
        <v>0</v>
      </c>
      <c r="AJ2536" s="44">
        <v>0</v>
      </c>
      <c r="AK2536" s="151"/>
      <c r="AL2536" s="151"/>
      <c r="AM2536" s="17">
        <f t="shared" si="130"/>
        <v>0</v>
      </c>
      <c r="AN2536" s="44" t="s">
        <v>8341</v>
      </c>
      <c r="AO2536" s="18" t="s">
        <v>1037</v>
      </c>
      <c r="AP2536" t="s">
        <v>119</v>
      </c>
    </row>
    <row r="2537" spans="1:42" s="10" customFormat="1" x14ac:dyDescent="0.3">
      <c r="A2537" s="367" t="s">
        <v>8317</v>
      </c>
      <c r="B2537" s="10" t="s">
        <v>8318</v>
      </c>
      <c r="C2537" s="368" t="s">
        <v>8330</v>
      </c>
      <c r="D2537" s="10" t="s">
        <v>8331</v>
      </c>
      <c r="E2537" s="10" t="s">
        <v>8332</v>
      </c>
      <c r="F2537" s="10" t="s">
        <v>8333</v>
      </c>
      <c r="G2537" s="10" t="s">
        <v>8357</v>
      </c>
      <c r="H2537" s="10" t="s">
        <v>8358</v>
      </c>
      <c r="K2537" s="10" t="s">
        <v>8359</v>
      </c>
      <c r="L2537" s="10" t="s">
        <v>8360</v>
      </c>
      <c r="N2537" s="16"/>
      <c r="O2537" s="16"/>
      <c r="P2537" s="16"/>
      <c r="Q2537" s="16"/>
      <c r="R2537" s="16"/>
      <c r="S2537" s="16"/>
      <c r="U2537" t="e">
        <f>VLOOKUP(T2537,[8]Votes!$A$1:$E$234,3,FALSE)</f>
        <v>#N/A</v>
      </c>
      <c r="V2537" t="s">
        <v>8366</v>
      </c>
      <c r="W2537" s="369">
        <v>1</v>
      </c>
      <c r="X2537" s="369">
        <v>1</v>
      </c>
      <c r="Y2537" s="369">
        <v>1</v>
      </c>
      <c r="Z2537" s="369">
        <v>0</v>
      </c>
      <c r="AA2537" s="369">
        <v>1</v>
      </c>
      <c r="AB2537" s="369">
        <v>1</v>
      </c>
      <c r="AC2537" s="369">
        <v>1</v>
      </c>
      <c r="AD2537" s="369">
        <v>1</v>
      </c>
      <c r="AE2537" s="49">
        <f t="shared" si="129"/>
        <v>0.875</v>
      </c>
      <c r="AF2537" s="44"/>
      <c r="AG2537" s="17">
        <v>1</v>
      </c>
      <c r="AH2537" s="44">
        <v>0</v>
      </c>
      <c r="AI2537" s="44">
        <v>0</v>
      </c>
      <c r="AJ2537" s="44">
        <v>0</v>
      </c>
      <c r="AK2537" s="151"/>
      <c r="AL2537" s="151"/>
      <c r="AM2537" s="17">
        <f t="shared" si="130"/>
        <v>0</v>
      </c>
      <c r="AN2537" s="44" t="s">
        <v>8341</v>
      </c>
      <c r="AO2537" s="18" t="s">
        <v>1037</v>
      </c>
      <c r="AP2537" t="s">
        <v>119</v>
      </c>
    </row>
    <row r="2538" spans="1:42" s="10" customFormat="1" hidden="1" x14ac:dyDescent="0.3">
      <c r="A2538" s="367" t="s">
        <v>8317</v>
      </c>
      <c r="B2538" s="10" t="s">
        <v>8318</v>
      </c>
      <c r="C2538" s="368" t="s">
        <v>8330</v>
      </c>
      <c r="D2538" s="10" t="s">
        <v>8331</v>
      </c>
      <c r="E2538" s="10" t="s">
        <v>8332</v>
      </c>
      <c r="F2538" s="10" t="s">
        <v>8333</v>
      </c>
      <c r="G2538" s="10" t="s">
        <v>8357</v>
      </c>
      <c r="H2538" s="10" t="s">
        <v>8358</v>
      </c>
      <c r="K2538" s="10" t="s">
        <v>8359</v>
      </c>
      <c r="L2538" s="10" t="s">
        <v>8360</v>
      </c>
      <c r="N2538" s="16"/>
      <c r="O2538" s="16"/>
      <c r="P2538" s="16"/>
      <c r="Q2538" s="16"/>
      <c r="R2538" s="16"/>
      <c r="S2538" s="16"/>
      <c r="U2538" t="e">
        <f>VLOOKUP(T2538,[8]Votes!$A$1:$E$234,3,FALSE)</f>
        <v>#N/A</v>
      </c>
      <c r="V2538" t="s">
        <v>8367</v>
      </c>
      <c r="W2538" s="369">
        <v>1</v>
      </c>
      <c r="X2538" s="369">
        <v>0</v>
      </c>
      <c r="Y2538" s="369">
        <v>0</v>
      </c>
      <c r="Z2538" s="369">
        <v>1</v>
      </c>
      <c r="AA2538" s="369">
        <v>1</v>
      </c>
      <c r="AB2538" s="369">
        <v>1</v>
      </c>
      <c r="AC2538" s="369">
        <v>0</v>
      </c>
      <c r="AD2538" s="369">
        <v>1</v>
      </c>
      <c r="AE2538" s="49">
        <f t="shared" si="129"/>
        <v>0.625</v>
      </c>
      <c r="AF2538" s="44"/>
      <c r="AG2538" s="17">
        <v>1</v>
      </c>
      <c r="AH2538" s="44">
        <v>0</v>
      </c>
      <c r="AI2538" s="44">
        <v>0</v>
      </c>
      <c r="AJ2538" s="44">
        <v>0</v>
      </c>
      <c r="AK2538" s="151"/>
      <c r="AL2538" s="151"/>
      <c r="AM2538" s="17">
        <f t="shared" si="130"/>
        <v>0</v>
      </c>
      <c r="AN2538" s="44" t="s">
        <v>8341</v>
      </c>
      <c r="AO2538" s="18" t="s">
        <v>1037</v>
      </c>
      <c r="AP2538" t="s">
        <v>119</v>
      </c>
    </row>
    <row r="2539" spans="1:42" s="10" customFormat="1" hidden="1" x14ac:dyDescent="0.3">
      <c r="A2539" s="367" t="s">
        <v>8317</v>
      </c>
      <c r="B2539" s="10" t="s">
        <v>8318</v>
      </c>
      <c r="C2539" s="368" t="s">
        <v>8330</v>
      </c>
      <c r="D2539" s="10" t="s">
        <v>8331</v>
      </c>
      <c r="E2539" s="10" t="s">
        <v>8332</v>
      </c>
      <c r="F2539" s="10" t="s">
        <v>8333</v>
      </c>
      <c r="G2539" s="10" t="s">
        <v>8357</v>
      </c>
      <c r="H2539" s="10" t="s">
        <v>8358</v>
      </c>
      <c r="K2539" s="10" t="s">
        <v>8359</v>
      </c>
      <c r="L2539" s="10" t="s">
        <v>8360</v>
      </c>
      <c r="N2539" s="16"/>
      <c r="O2539" s="16"/>
      <c r="P2539" s="16"/>
      <c r="Q2539" s="16"/>
      <c r="R2539" s="16"/>
      <c r="S2539" s="16"/>
      <c r="U2539" t="e">
        <f>VLOOKUP(T2539,[8]Votes!$A$1:$E$234,3,FALSE)</f>
        <v>#N/A</v>
      </c>
      <c r="V2539" t="s">
        <v>8368</v>
      </c>
      <c r="W2539" s="369">
        <v>1</v>
      </c>
      <c r="X2539" s="369">
        <v>0</v>
      </c>
      <c r="Y2539" s="369">
        <v>0</v>
      </c>
      <c r="Z2539" s="369">
        <v>1</v>
      </c>
      <c r="AA2539" s="369">
        <v>1</v>
      </c>
      <c r="AB2539" s="369">
        <v>1</v>
      </c>
      <c r="AC2539" s="369">
        <v>0</v>
      </c>
      <c r="AD2539" s="369">
        <v>1</v>
      </c>
      <c r="AE2539" s="49">
        <f t="shared" si="129"/>
        <v>0.625</v>
      </c>
      <c r="AF2539" s="44">
        <v>1</v>
      </c>
      <c r="AG2539" s="17">
        <v>0</v>
      </c>
      <c r="AH2539" s="44">
        <v>0</v>
      </c>
      <c r="AI2539" s="44">
        <v>0</v>
      </c>
      <c r="AJ2539" s="44">
        <v>0</v>
      </c>
      <c r="AK2539" s="151">
        <v>2</v>
      </c>
      <c r="AL2539" s="151">
        <v>2</v>
      </c>
      <c r="AM2539" s="17">
        <f t="shared" si="130"/>
        <v>4</v>
      </c>
      <c r="AN2539" s="44" t="s">
        <v>8341</v>
      </c>
      <c r="AO2539" s="18" t="s">
        <v>1037</v>
      </c>
      <c r="AP2539" t="s">
        <v>119</v>
      </c>
    </row>
    <row r="2540" spans="1:42" s="10" customFormat="1" x14ac:dyDescent="0.3">
      <c r="A2540" s="367" t="s">
        <v>8317</v>
      </c>
      <c r="B2540" s="10" t="s">
        <v>8318</v>
      </c>
      <c r="C2540" s="368" t="s">
        <v>8330</v>
      </c>
      <c r="D2540" s="10" t="s">
        <v>8331</v>
      </c>
      <c r="E2540" s="10" t="s">
        <v>8332</v>
      </c>
      <c r="F2540" s="10" t="s">
        <v>8333</v>
      </c>
      <c r="G2540" s="10" t="s">
        <v>8357</v>
      </c>
      <c r="H2540" s="10" t="s">
        <v>8358</v>
      </c>
      <c r="K2540" s="10" t="s">
        <v>8359</v>
      </c>
      <c r="L2540" s="10" t="s">
        <v>8360</v>
      </c>
      <c r="N2540" s="16"/>
      <c r="O2540" s="16"/>
      <c r="P2540" s="16"/>
      <c r="Q2540" s="16"/>
      <c r="R2540" s="16"/>
      <c r="S2540" s="16"/>
      <c r="U2540" t="e">
        <f>VLOOKUP(T2540,[8]Votes!$A$1:$E$234,3,FALSE)</f>
        <v>#N/A</v>
      </c>
      <c r="V2540" t="s">
        <v>8369</v>
      </c>
      <c r="W2540" s="369">
        <v>1</v>
      </c>
      <c r="X2540" s="369">
        <v>1</v>
      </c>
      <c r="Y2540" s="369">
        <v>0</v>
      </c>
      <c r="Z2540" s="369">
        <v>1</v>
      </c>
      <c r="AA2540" s="369">
        <v>1</v>
      </c>
      <c r="AB2540" s="369">
        <v>1</v>
      </c>
      <c r="AC2540" s="369">
        <v>0</v>
      </c>
      <c r="AD2540" s="369">
        <v>1</v>
      </c>
      <c r="AE2540" s="49">
        <f t="shared" si="129"/>
        <v>0.75</v>
      </c>
      <c r="AF2540" s="44">
        <v>1</v>
      </c>
      <c r="AG2540" s="17">
        <v>0</v>
      </c>
      <c r="AH2540" s="44">
        <v>0</v>
      </c>
      <c r="AI2540" s="44">
        <v>0</v>
      </c>
      <c r="AJ2540" s="44">
        <v>0</v>
      </c>
      <c r="AK2540" s="151">
        <v>2</v>
      </c>
      <c r="AL2540" s="151">
        <v>2</v>
      </c>
      <c r="AM2540" s="17">
        <f t="shared" si="130"/>
        <v>4</v>
      </c>
      <c r="AN2540" s="44" t="s">
        <v>8341</v>
      </c>
      <c r="AO2540" s="18" t="s">
        <v>1037</v>
      </c>
      <c r="AP2540" t="s">
        <v>119</v>
      </c>
    </row>
    <row r="2541" spans="1:42" s="10" customFormat="1" x14ac:dyDescent="0.3">
      <c r="A2541" s="367" t="s">
        <v>8317</v>
      </c>
      <c r="B2541" s="10" t="s">
        <v>8318</v>
      </c>
      <c r="C2541" s="368" t="s">
        <v>8330</v>
      </c>
      <c r="D2541" s="10" t="s">
        <v>8331</v>
      </c>
      <c r="E2541" s="10" t="s">
        <v>8332</v>
      </c>
      <c r="F2541" s="10" t="s">
        <v>8333</v>
      </c>
      <c r="G2541" s="10" t="s">
        <v>8357</v>
      </c>
      <c r="H2541" s="10" t="s">
        <v>8358</v>
      </c>
      <c r="K2541" s="10" t="s">
        <v>8359</v>
      </c>
      <c r="L2541" s="10" t="s">
        <v>8360</v>
      </c>
      <c r="N2541" s="16"/>
      <c r="O2541" s="16"/>
      <c r="P2541" s="16"/>
      <c r="Q2541" s="16"/>
      <c r="R2541" s="16"/>
      <c r="S2541" s="16"/>
      <c r="U2541" t="e">
        <f>VLOOKUP(T2541,[8]Votes!$A$1:$E$234,3,FALSE)</f>
        <v>#N/A</v>
      </c>
      <c r="V2541" t="s">
        <v>8370</v>
      </c>
      <c r="W2541" s="369">
        <v>1</v>
      </c>
      <c r="X2541" s="369">
        <v>1</v>
      </c>
      <c r="Y2541" s="369">
        <v>0</v>
      </c>
      <c r="Z2541" s="369">
        <v>1</v>
      </c>
      <c r="AA2541" s="369">
        <v>1</v>
      </c>
      <c r="AB2541" s="369">
        <v>1</v>
      </c>
      <c r="AC2541" s="369">
        <v>0</v>
      </c>
      <c r="AD2541" s="369">
        <v>1</v>
      </c>
      <c r="AE2541" s="49">
        <f t="shared" si="129"/>
        <v>0.75</v>
      </c>
      <c r="AF2541" s="44"/>
      <c r="AG2541" s="17">
        <v>1</v>
      </c>
      <c r="AH2541" s="44">
        <v>0</v>
      </c>
      <c r="AI2541" s="44">
        <v>0</v>
      </c>
      <c r="AJ2541" s="44">
        <v>0</v>
      </c>
      <c r="AK2541" s="151"/>
      <c r="AL2541" s="151"/>
      <c r="AM2541" s="17">
        <f t="shared" si="130"/>
        <v>0</v>
      </c>
      <c r="AN2541" s="44" t="s">
        <v>8341</v>
      </c>
      <c r="AO2541" s="18" t="s">
        <v>1037</v>
      </c>
      <c r="AP2541" t="s">
        <v>119</v>
      </c>
    </row>
    <row r="2542" spans="1:42" s="10" customFormat="1" hidden="1" x14ac:dyDescent="0.3">
      <c r="A2542" s="367" t="s">
        <v>8317</v>
      </c>
      <c r="B2542" s="10" t="s">
        <v>8318</v>
      </c>
      <c r="C2542" s="368" t="s">
        <v>8330</v>
      </c>
      <c r="D2542" s="10" t="s">
        <v>8331</v>
      </c>
      <c r="E2542" s="10" t="s">
        <v>8332</v>
      </c>
      <c r="F2542" s="10" t="s">
        <v>8333</v>
      </c>
      <c r="G2542" s="10" t="s">
        <v>8357</v>
      </c>
      <c r="H2542" s="10" t="s">
        <v>8358</v>
      </c>
      <c r="K2542" s="10" t="s">
        <v>8359</v>
      </c>
      <c r="L2542" s="10" t="s">
        <v>8360</v>
      </c>
      <c r="N2542" s="16"/>
      <c r="O2542" s="16"/>
      <c r="P2542" s="16"/>
      <c r="Q2542" s="16"/>
      <c r="R2542" s="16"/>
      <c r="S2542" s="16"/>
      <c r="U2542" t="e">
        <f>VLOOKUP(T2542,[8]Votes!$A$1:$E$234,3,FALSE)</f>
        <v>#N/A</v>
      </c>
      <c r="V2542" t="s">
        <v>8371</v>
      </c>
      <c r="W2542" s="369">
        <v>1</v>
      </c>
      <c r="X2542" s="369">
        <v>0</v>
      </c>
      <c r="Y2542" s="369">
        <v>0</v>
      </c>
      <c r="Z2542" s="369">
        <v>1</v>
      </c>
      <c r="AA2542" s="369">
        <v>1</v>
      </c>
      <c r="AB2542" s="369">
        <v>0</v>
      </c>
      <c r="AC2542" s="369">
        <v>0</v>
      </c>
      <c r="AD2542" s="369">
        <v>1</v>
      </c>
      <c r="AE2542" s="49">
        <f t="shared" si="129"/>
        <v>0.5</v>
      </c>
      <c r="AF2542" s="44"/>
      <c r="AG2542" s="17">
        <v>1</v>
      </c>
      <c r="AH2542" s="44">
        <v>0</v>
      </c>
      <c r="AI2542" s="44">
        <v>0</v>
      </c>
      <c r="AJ2542" s="44">
        <v>0</v>
      </c>
      <c r="AK2542" s="151"/>
      <c r="AL2542" s="151"/>
      <c r="AM2542" s="17">
        <f t="shared" si="130"/>
        <v>0</v>
      </c>
      <c r="AN2542" s="44" t="s">
        <v>8341</v>
      </c>
      <c r="AO2542" s="18" t="s">
        <v>1037</v>
      </c>
      <c r="AP2542" t="s">
        <v>119</v>
      </c>
    </row>
    <row r="2543" spans="1:42" s="10" customFormat="1" x14ac:dyDescent="0.3">
      <c r="A2543" s="367" t="s">
        <v>8317</v>
      </c>
      <c r="B2543" s="10" t="s">
        <v>8318</v>
      </c>
      <c r="C2543" s="368" t="s">
        <v>8330</v>
      </c>
      <c r="D2543" s="10" t="s">
        <v>8331</v>
      </c>
      <c r="E2543" s="10" t="s">
        <v>8332</v>
      </c>
      <c r="F2543" s="10" t="s">
        <v>8333</v>
      </c>
      <c r="G2543" s="10" t="s">
        <v>8357</v>
      </c>
      <c r="H2543" s="10" t="s">
        <v>8358</v>
      </c>
      <c r="K2543" s="10" t="s">
        <v>8359</v>
      </c>
      <c r="L2543" s="10" t="s">
        <v>8360</v>
      </c>
      <c r="N2543" s="16"/>
      <c r="O2543" s="16"/>
      <c r="P2543" s="16"/>
      <c r="Q2543" s="16"/>
      <c r="R2543" s="16"/>
      <c r="S2543" s="16"/>
      <c r="U2543" t="e">
        <f>VLOOKUP(T2543,[8]Votes!$A$1:$E$234,3,FALSE)</f>
        <v>#N/A</v>
      </c>
      <c r="V2543" t="s">
        <v>8372</v>
      </c>
      <c r="W2543" s="369">
        <v>1</v>
      </c>
      <c r="X2543" s="369">
        <v>1</v>
      </c>
      <c r="Y2543" s="369">
        <v>1</v>
      </c>
      <c r="Z2543" s="369">
        <v>0</v>
      </c>
      <c r="AA2543" s="369">
        <v>1</v>
      </c>
      <c r="AB2543" s="369">
        <v>1</v>
      </c>
      <c r="AC2543" s="369">
        <v>1</v>
      </c>
      <c r="AD2543" s="369">
        <v>1</v>
      </c>
      <c r="AE2543" s="49">
        <f t="shared" si="129"/>
        <v>0.875</v>
      </c>
      <c r="AF2543" s="44"/>
      <c r="AG2543" s="17">
        <v>1</v>
      </c>
      <c r="AH2543" s="44">
        <v>0</v>
      </c>
      <c r="AI2543" s="44">
        <v>0</v>
      </c>
      <c r="AJ2543" s="44">
        <v>0</v>
      </c>
      <c r="AK2543" s="151"/>
      <c r="AL2543" s="151"/>
      <c r="AM2543" s="17">
        <f t="shared" si="130"/>
        <v>0</v>
      </c>
      <c r="AN2543" s="44" t="s">
        <v>8341</v>
      </c>
      <c r="AO2543" s="18" t="s">
        <v>1037</v>
      </c>
      <c r="AP2543" t="s">
        <v>119</v>
      </c>
    </row>
    <row r="2544" spans="1:42" s="10" customFormat="1" x14ac:dyDescent="0.3">
      <c r="A2544" s="367" t="s">
        <v>8317</v>
      </c>
      <c r="B2544" s="10" t="s">
        <v>8318</v>
      </c>
      <c r="C2544" s="368" t="s">
        <v>8330</v>
      </c>
      <c r="D2544" s="10" t="s">
        <v>8331</v>
      </c>
      <c r="E2544" s="10" t="s">
        <v>8332</v>
      </c>
      <c r="F2544" s="10" t="s">
        <v>8333</v>
      </c>
      <c r="G2544" s="10" t="s">
        <v>8357</v>
      </c>
      <c r="H2544" s="10" t="s">
        <v>8358</v>
      </c>
      <c r="K2544" s="10" t="s">
        <v>8359</v>
      </c>
      <c r="L2544" s="10" t="s">
        <v>8360</v>
      </c>
      <c r="N2544" s="16"/>
      <c r="O2544" s="16"/>
      <c r="P2544" s="16"/>
      <c r="Q2544" s="16"/>
      <c r="R2544" s="16"/>
      <c r="S2544" s="16"/>
      <c r="U2544" t="e">
        <f>VLOOKUP(T2544,[8]Votes!$A$1:$E$234,3,FALSE)</f>
        <v>#N/A</v>
      </c>
      <c r="V2544" t="s">
        <v>8373</v>
      </c>
      <c r="W2544" s="369">
        <v>1</v>
      </c>
      <c r="X2544" s="369">
        <v>1</v>
      </c>
      <c r="Y2544" s="369">
        <v>1</v>
      </c>
      <c r="Z2544" s="369">
        <v>0</v>
      </c>
      <c r="AA2544" s="369">
        <v>1</v>
      </c>
      <c r="AB2544" s="369">
        <v>1</v>
      </c>
      <c r="AC2544" s="369">
        <v>1</v>
      </c>
      <c r="AD2544" s="369">
        <v>1</v>
      </c>
      <c r="AE2544" s="49">
        <f t="shared" si="129"/>
        <v>0.875</v>
      </c>
      <c r="AF2544" s="44"/>
      <c r="AG2544" s="17">
        <v>1</v>
      </c>
      <c r="AH2544" s="44">
        <v>0</v>
      </c>
      <c r="AI2544" s="44">
        <v>0</v>
      </c>
      <c r="AJ2544" s="44">
        <v>0</v>
      </c>
      <c r="AK2544" s="151"/>
      <c r="AL2544" s="151"/>
      <c r="AM2544" s="17">
        <f t="shared" si="130"/>
        <v>0</v>
      </c>
      <c r="AN2544" s="44" t="s">
        <v>8341</v>
      </c>
      <c r="AO2544" s="18" t="s">
        <v>1037</v>
      </c>
      <c r="AP2544" t="s">
        <v>119</v>
      </c>
    </row>
    <row r="2545" spans="1:42" s="10" customFormat="1" x14ac:dyDescent="0.3">
      <c r="A2545" s="367" t="s">
        <v>8317</v>
      </c>
      <c r="B2545" s="10" t="s">
        <v>8318</v>
      </c>
      <c r="C2545" s="368" t="s">
        <v>8330</v>
      </c>
      <c r="D2545" s="10" t="s">
        <v>8331</v>
      </c>
      <c r="E2545" s="10" t="s">
        <v>8332</v>
      </c>
      <c r="F2545" s="10" t="s">
        <v>8333</v>
      </c>
      <c r="G2545" s="10" t="s">
        <v>8357</v>
      </c>
      <c r="H2545" s="10" t="s">
        <v>8358</v>
      </c>
      <c r="K2545" s="10" t="s">
        <v>8359</v>
      </c>
      <c r="L2545" s="10" t="s">
        <v>8360</v>
      </c>
      <c r="N2545" s="16"/>
      <c r="O2545" s="16"/>
      <c r="P2545" s="16"/>
      <c r="Q2545" s="16"/>
      <c r="R2545" s="16"/>
      <c r="S2545" s="16"/>
      <c r="U2545" t="e">
        <f>VLOOKUP(T2545,[8]Votes!$A$1:$E$234,3,FALSE)</f>
        <v>#N/A</v>
      </c>
      <c r="V2545" t="s">
        <v>8374</v>
      </c>
      <c r="W2545" s="369">
        <v>1</v>
      </c>
      <c r="X2545" s="369">
        <v>1</v>
      </c>
      <c r="Y2545" s="369">
        <v>1</v>
      </c>
      <c r="Z2545" s="369">
        <v>0</v>
      </c>
      <c r="AA2545" s="369">
        <v>1</v>
      </c>
      <c r="AB2545" s="369">
        <v>1</v>
      </c>
      <c r="AC2545" s="369">
        <v>1</v>
      </c>
      <c r="AD2545" s="369">
        <v>1</v>
      </c>
      <c r="AE2545" s="49">
        <f t="shared" si="129"/>
        <v>0.875</v>
      </c>
      <c r="AF2545" s="44"/>
      <c r="AG2545" s="17">
        <v>1</v>
      </c>
      <c r="AH2545" s="44">
        <v>0</v>
      </c>
      <c r="AI2545" s="44">
        <v>0</v>
      </c>
      <c r="AJ2545" s="44">
        <v>0</v>
      </c>
      <c r="AK2545" s="151"/>
      <c r="AL2545" s="151"/>
      <c r="AM2545" s="17">
        <f t="shared" si="130"/>
        <v>0</v>
      </c>
      <c r="AN2545" s="44" t="s">
        <v>8341</v>
      </c>
      <c r="AO2545" s="18" t="s">
        <v>1037</v>
      </c>
      <c r="AP2545" t="s">
        <v>119</v>
      </c>
    </row>
    <row r="2546" spans="1:42" s="10" customFormat="1" x14ac:dyDescent="0.3">
      <c r="A2546" s="367" t="s">
        <v>8317</v>
      </c>
      <c r="B2546" s="10" t="s">
        <v>8318</v>
      </c>
      <c r="C2546" s="368" t="s">
        <v>8330</v>
      </c>
      <c r="D2546" s="10" t="s">
        <v>8331</v>
      </c>
      <c r="E2546" s="10" t="s">
        <v>8332</v>
      </c>
      <c r="F2546" s="10" t="s">
        <v>8333</v>
      </c>
      <c r="G2546" s="10" t="s">
        <v>8357</v>
      </c>
      <c r="H2546" s="10" t="s">
        <v>8358</v>
      </c>
      <c r="K2546" s="10" t="s">
        <v>8359</v>
      </c>
      <c r="L2546" s="10" t="s">
        <v>8360</v>
      </c>
      <c r="N2546" s="16"/>
      <c r="O2546" s="16"/>
      <c r="P2546" s="16"/>
      <c r="Q2546" s="16"/>
      <c r="R2546" s="16"/>
      <c r="S2546" s="16"/>
      <c r="U2546" t="e">
        <f>VLOOKUP(T2546,[8]Votes!$A$1:$E$234,3,FALSE)</f>
        <v>#N/A</v>
      </c>
      <c r="V2546" t="s">
        <v>8375</v>
      </c>
      <c r="W2546" s="369">
        <v>1</v>
      </c>
      <c r="X2546" s="369">
        <v>1</v>
      </c>
      <c r="Y2546" s="369">
        <v>1</v>
      </c>
      <c r="Z2546" s="369">
        <v>1</v>
      </c>
      <c r="AA2546" s="369">
        <v>1</v>
      </c>
      <c r="AB2546" s="369">
        <v>1</v>
      </c>
      <c r="AC2546" s="369">
        <v>1</v>
      </c>
      <c r="AD2546" s="369">
        <v>1</v>
      </c>
      <c r="AE2546" s="49">
        <f t="shared" si="129"/>
        <v>1</v>
      </c>
      <c r="AF2546" s="44"/>
      <c r="AG2546" s="17">
        <v>1</v>
      </c>
      <c r="AH2546" s="44">
        <v>0</v>
      </c>
      <c r="AI2546" s="44">
        <v>0</v>
      </c>
      <c r="AJ2546" s="44">
        <v>0</v>
      </c>
      <c r="AK2546" s="151"/>
      <c r="AL2546" s="151"/>
      <c r="AM2546" s="17">
        <f t="shared" si="130"/>
        <v>0</v>
      </c>
      <c r="AN2546" s="44" t="s">
        <v>8341</v>
      </c>
      <c r="AO2546" s="18" t="s">
        <v>1037</v>
      </c>
      <c r="AP2546" t="s">
        <v>119</v>
      </c>
    </row>
    <row r="2547" spans="1:42" s="10" customFormat="1" x14ac:dyDescent="0.3">
      <c r="A2547" s="367" t="s">
        <v>8317</v>
      </c>
      <c r="B2547" s="10" t="s">
        <v>8318</v>
      </c>
      <c r="C2547" s="368" t="s">
        <v>8330</v>
      </c>
      <c r="D2547" s="10" t="s">
        <v>8331</v>
      </c>
      <c r="E2547" s="10" t="s">
        <v>8332</v>
      </c>
      <c r="F2547" s="10" t="s">
        <v>8333</v>
      </c>
      <c r="G2547" s="10" t="s">
        <v>8357</v>
      </c>
      <c r="H2547" s="10" t="s">
        <v>8358</v>
      </c>
      <c r="K2547" s="10" t="s">
        <v>8359</v>
      </c>
      <c r="L2547" s="10" t="s">
        <v>8360</v>
      </c>
      <c r="N2547" s="16"/>
      <c r="O2547" s="16"/>
      <c r="P2547" s="16"/>
      <c r="Q2547" s="16"/>
      <c r="R2547" s="16"/>
      <c r="S2547" s="16"/>
      <c r="U2547" t="e">
        <f>VLOOKUP(T2547,[8]Votes!$A$1:$E$234,3,FALSE)</f>
        <v>#N/A</v>
      </c>
      <c r="V2547" t="s">
        <v>8376</v>
      </c>
      <c r="W2547" s="369">
        <v>1</v>
      </c>
      <c r="X2547" s="369">
        <v>1</v>
      </c>
      <c r="Y2547" s="369">
        <v>1</v>
      </c>
      <c r="Z2547" s="369">
        <v>1</v>
      </c>
      <c r="AA2547" s="369">
        <v>1</v>
      </c>
      <c r="AB2547" s="369">
        <v>1</v>
      </c>
      <c r="AC2547" s="369">
        <v>0</v>
      </c>
      <c r="AD2547" s="369">
        <v>1</v>
      </c>
      <c r="AE2547" s="49">
        <f t="shared" si="129"/>
        <v>0.875</v>
      </c>
      <c r="AF2547" s="44"/>
      <c r="AG2547" s="17">
        <v>1</v>
      </c>
      <c r="AH2547" s="44">
        <v>0</v>
      </c>
      <c r="AI2547" s="44">
        <v>0</v>
      </c>
      <c r="AJ2547" s="44">
        <v>0</v>
      </c>
      <c r="AK2547" s="151"/>
      <c r="AL2547" s="151"/>
      <c r="AM2547" s="17">
        <f t="shared" si="130"/>
        <v>0</v>
      </c>
      <c r="AN2547" s="44" t="s">
        <v>8341</v>
      </c>
      <c r="AO2547" s="18" t="s">
        <v>1037</v>
      </c>
      <c r="AP2547" t="s">
        <v>119</v>
      </c>
    </row>
    <row r="2548" spans="1:42" s="10" customFormat="1" hidden="1" x14ac:dyDescent="0.3">
      <c r="A2548" s="367" t="s">
        <v>8317</v>
      </c>
      <c r="B2548" s="10" t="s">
        <v>8318</v>
      </c>
      <c r="C2548" s="368" t="s">
        <v>8330</v>
      </c>
      <c r="D2548" s="10" t="s">
        <v>8331</v>
      </c>
      <c r="E2548" s="10" t="s">
        <v>8332</v>
      </c>
      <c r="F2548" s="10" t="s">
        <v>8333</v>
      </c>
      <c r="G2548" s="10" t="s">
        <v>8357</v>
      </c>
      <c r="H2548" s="10" t="s">
        <v>8358</v>
      </c>
      <c r="K2548" s="10" t="s">
        <v>8359</v>
      </c>
      <c r="L2548" s="10" t="s">
        <v>8360</v>
      </c>
      <c r="N2548" s="16"/>
      <c r="O2548" s="16"/>
      <c r="P2548" s="16"/>
      <c r="Q2548" s="16"/>
      <c r="R2548" s="16"/>
      <c r="S2548" s="16"/>
      <c r="U2548" t="e">
        <f>VLOOKUP(T2548,[8]Votes!$A$1:$E$234,3,FALSE)</f>
        <v>#N/A</v>
      </c>
      <c r="V2548" t="s">
        <v>8377</v>
      </c>
      <c r="W2548" s="369">
        <v>1</v>
      </c>
      <c r="X2548" s="369">
        <v>0</v>
      </c>
      <c r="Y2548" s="369">
        <v>0</v>
      </c>
      <c r="Z2548" s="369">
        <v>1</v>
      </c>
      <c r="AA2548" s="369">
        <v>1</v>
      </c>
      <c r="AB2548" s="369">
        <v>1</v>
      </c>
      <c r="AC2548" s="369">
        <v>0</v>
      </c>
      <c r="AD2548" s="369">
        <v>1</v>
      </c>
      <c r="AE2548" s="49">
        <f t="shared" si="129"/>
        <v>0.625</v>
      </c>
      <c r="AF2548" s="44">
        <v>1</v>
      </c>
      <c r="AG2548" s="17">
        <v>0</v>
      </c>
      <c r="AH2548" s="44">
        <v>0</v>
      </c>
      <c r="AI2548" s="44">
        <v>0</v>
      </c>
      <c r="AJ2548" s="44">
        <v>0</v>
      </c>
      <c r="AK2548" s="151">
        <v>2</v>
      </c>
      <c r="AL2548" s="151">
        <v>2</v>
      </c>
      <c r="AM2548" s="17">
        <f t="shared" si="130"/>
        <v>4</v>
      </c>
      <c r="AN2548" s="44" t="s">
        <v>8341</v>
      </c>
      <c r="AO2548" s="18" t="s">
        <v>1037</v>
      </c>
      <c r="AP2548" t="s">
        <v>119</v>
      </c>
    </row>
    <row r="2549" spans="1:42" s="10" customFormat="1" hidden="1" x14ac:dyDescent="0.3">
      <c r="A2549" s="367" t="s">
        <v>8317</v>
      </c>
      <c r="B2549" s="10" t="s">
        <v>8318</v>
      </c>
      <c r="C2549" s="368" t="s">
        <v>8330</v>
      </c>
      <c r="D2549" s="10" t="s">
        <v>8331</v>
      </c>
      <c r="E2549" s="10" t="s">
        <v>8332</v>
      </c>
      <c r="F2549" s="10" t="s">
        <v>8333</v>
      </c>
      <c r="G2549" s="10" t="s">
        <v>8357</v>
      </c>
      <c r="H2549" s="10" t="s">
        <v>8358</v>
      </c>
      <c r="K2549" s="10" t="s">
        <v>8359</v>
      </c>
      <c r="L2549" s="10" t="s">
        <v>8360</v>
      </c>
      <c r="N2549" s="16"/>
      <c r="O2549" s="16"/>
      <c r="P2549" s="16"/>
      <c r="Q2549" s="16"/>
      <c r="R2549" s="16"/>
      <c r="S2549" s="16"/>
      <c r="U2549" t="e">
        <f>VLOOKUP(T2549,[8]Votes!$A$1:$E$234,3,FALSE)</f>
        <v>#N/A</v>
      </c>
      <c r="V2549" t="s">
        <v>8378</v>
      </c>
      <c r="W2549" s="369">
        <v>1</v>
      </c>
      <c r="X2549" s="369">
        <v>0</v>
      </c>
      <c r="Y2549" s="369">
        <v>0</v>
      </c>
      <c r="Z2549" s="369">
        <v>1</v>
      </c>
      <c r="AA2549" s="369">
        <v>1</v>
      </c>
      <c r="AB2549" s="369">
        <v>1</v>
      </c>
      <c r="AC2549" s="369">
        <v>0</v>
      </c>
      <c r="AD2549" s="369">
        <v>1</v>
      </c>
      <c r="AE2549" s="49">
        <f t="shared" si="129"/>
        <v>0.625</v>
      </c>
      <c r="AF2549" s="44">
        <v>1</v>
      </c>
      <c r="AG2549" s="17">
        <v>0</v>
      </c>
      <c r="AH2549" s="44">
        <v>0</v>
      </c>
      <c r="AI2549" s="44">
        <v>0</v>
      </c>
      <c r="AJ2549" s="44">
        <v>0</v>
      </c>
      <c r="AK2549" s="151">
        <v>2</v>
      </c>
      <c r="AL2549" s="151">
        <v>2</v>
      </c>
      <c r="AM2549" s="17">
        <f t="shared" si="130"/>
        <v>4</v>
      </c>
      <c r="AN2549" s="44" t="s">
        <v>8341</v>
      </c>
      <c r="AO2549" s="18" t="s">
        <v>1037</v>
      </c>
      <c r="AP2549" t="s">
        <v>119</v>
      </c>
    </row>
    <row r="2550" spans="1:42" s="10" customFormat="1" hidden="1" x14ac:dyDescent="0.3">
      <c r="A2550" s="367" t="s">
        <v>8317</v>
      </c>
      <c r="B2550" s="10" t="s">
        <v>8318</v>
      </c>
      <c r="C2550" s="368" t="s">
        <v>8330</v>
      </c>
      <c r="D2550" s="10" t="s">
        <v>8331</v>
      </c>
      <c r="E2550" s="10" t="s">
        <v>8332</v>
      </c>
      <c r="F2550" s="10" t="s">
        <v>8333</v>
      </c>
      <c r="G2550" s="10" t="s">
        <v>8357</v>
      </c>
      <c r="H2550" s="10" t="s">
        <v>8358</v>
      </c>
      <c r="K2550" s="10" t="s">
        <v>8359</v>
      </c>
      <c r="L2550" s="10" t="s">
        <v>8360</v>
      </c>
      <c r="N2550" s="16"/>
      <c r="O2550" s="16"/>
      <c r="P2550" s="16"/>
      <c r="Q2550" s="16"/>
      <c r="R2550" s="16"/>
      <c r="S2550" s="16"/>
      <c r="U2550" t="e">
        <f>VLOOKUP(T2550,[8]Votes!$A$1:$E$234,3,FALSE)</f>
        <v>#N/A</v>
      </c>
      <c r="V2550" t="s">
        <v>8379</v>
      </c>
      <c r="W2550" s="369">
        <v>1</v>
      </c>
      <c r="X2550" s="369">
        <v>0</v>
      </c>
      <c r="Y2550" s="369">
        <v>0</v>
      </c>
      <c r="Z2550" s="369">
        <v>1</v>
      </c>
      <c r="AA2550" s="369">
        <v>1</v>
      </c>
      <c r="AB2550" s="369">
        <v>0</v>
      </c>
      <c r="AC2550" s="369">
        <v>0</v>
      </c>
      <c r="AD2550" s="369">
        <v>1</v>
      </c>
      <c r="AE2550" s="49">
        <f t="shared" si="129"/>
        <v>0.5</v>
      </c>
      <c r="AF2550" s="44">
        <v>1</v>
      </c>
      <c r="AG2550" s="17">
        <v>0</v>
      </c>
      <c r="AH2550" s="44">
        <v>0</v>
      </c>
      <c r="AI2550" s="44">
        <v>0</v>
      </c>
      <c r="AJ2550" s="44">
        <v>0</v>
      </c>
      <c r="AK2550" s="151">
        <v>4</v>
      </c>
      <c r="AL2550" s="151">
        <v>3</v>
      </c>
      <c r="AM2550" s="17">
        <f t="shared" si="130"/>
        <v>7</v>
      </c>
      <c r="AN2550" s="44" t="s">
        <v>8341</v>
      </c>
      <c r="AO2550" s="18" t="s">
        <v>1037</v>
      </c>
      <c r="AP2550" t="s">
        <v>119</v>
      </c>
    </row>
    <row r="2551" spans="1:42" s="10" customFormat="1" x14ac:dyDescent="0.3">
      <c r="A2551" s="367" t="s">
        <v>8317</v>
      </c>
      <c r="B2551" s="10" t="s">
        <v>8318</v>
      </c>
      <c r="C2551" s="368" t="s">
        <v>8330</v>
      </c>
      <c r="D2551" s="10" t="s">
        <v>8331</v>
      </c>
      <c r="E2551" s="10" t="s">
        <v>8332</v>
      </c>
      <c r="F2551" s="10" t="s">
        <v>8333</v>
      </c>
      <c r="G2551" s="10" t="s">
        <v>8357</v>
      </c>
      <c r="H2551" s="10" t="s">
        <v>8358</v>
      </c>
      <c r="K2551" s="10" t="s">
        <v>8359</v>
      </c>
      <c r="L2551" s="10" t="s">
        <v>8360</v>
      </c>
      <c r="N2551" s="16"/>
      <c r="O2551" s="16"/>
      <c r="P2551" s="16"/>
      <c r="Q2551" s="16"/>
      <c r="R2551" s="16"/>
      <c r="S2551" s="16"/>
      <c r="U2551" t="e">
        <f>VLOOKUP(T2551,[8]Votes!$A$1:$E$234,3,FALSE)</f>
        <v>#N/A</v>
      </c>
      <c r="V2551" t="s">
        <v>8380</v>
      </c>
      <c r="W2551" s="369">
        <v>1</v>
      </c>
      <c r="X2551" s="369">
        <v>1</v>
      </c>
      <c r="Y2551" s="369">
        <v>1</v>
      </c>
      <c r="Z2551" s="369">
        <v>0</v>
      </c>
      <c r="AA2551" s="369">
        <v>1</v>
      </c>
      <c r="AB2551" s="369">
        <v>0</v>
      </c>
      <c r="AC2551" s="369">
        <v>1</v>
      </c>
      <c r="AD2551" s="369">
        <v>1</v>
      </c>
      <c r="AE2551" s="49">
        <f t="shared" si="129"/>
        <v>0.75</v>
      </c>
      <c r="AF2551" s="44">
        <v>1</v>
      </c>
      <c r="AG2551" s="17">
        <v>0</v>
      </c>
      <c r="AH2551" s="44">
        <v>0</v>
      </c>
      <c r="AI2551" s="44">
        <v>0</v>
      </c>
      <c r="AJ2551" s="44">
        <v>0</v>
      </c>
      <c r="AK2551" s="151">
        <v>4</v>
      </c>
      <c r="AL2551" s="151">
        <v>2</v>
      </c>
      <c r="AM2551" s="17">
        <f t="shared" si="130"/>
        <v>6</v>
      </c>
      <c r="AN2551" s="44" t="s">
        <v>8341</v>
      </c>
      <c r="AO2551" s="18" t="s">
        <v>1037</v>
      </c>
      <c r="AP2551" t="s">
        <v>119</v>
      </c>
    </row>
    <row r="2552" spans="1:42" s="10" customFormat="1" x14ac:dyDescent="0.3">
      <c r="A2552" s="367" t="s">
        <v>8317</v>
      </c>
      <c r="B2552" s="10" t="s">
        <v>8318</v>
      </c>
      <c r="C2552" s="368" t="s">
        <v>8330</v>
      </c>
      <c r="D2552" s="10" t="s">
        <v>8331</v>
      </c>
      <c r="E2552" s="10" t="s">
        <v>8332</v>
      </c>
      <c r="F2552" s="10" t="s">
        <v>8333</v>
      </c>
      <c r="G2552" s="10" t="s">
        <v>8357</v>
      </c>
      <c r="H2552" s="10" t="s">
        <v>8358</v>
      </c>
      <c r="K2552" s="10" t="s">
        <v>8359</v>
      </c>
      <c r="L2552" s="10" t="s">
        <v>8360</v>
      </c>
      <c r="N2552" s="16"/>
      <c r="O2552" s="16"/>
      <c r="P2552" s="16"/>
      <c r="Q2552" s="16"/>
      <c r="R2552" s="16"/>
      <c r="S2552" s="16"/>
      <c r="U2552" t="e">
        <f>VLOOKUP(T2552,[8]Votes!$A$1:$E$234,3,FALSE)</f>
        <v>#N/A</v>
      </c>
      <c r="V2552" t="s">
        <v>8381</v>
      </c>
      <c r="W2552" s="369">
        <v>1</v>
      </c>
      <c r="X2552" s="369">
        <v>1</v>
      </c>
      <c r="Y2552" s="369">
        <v>1</v>
      </c>
      <c r="Z2552" s="369">
        <v>0</v>
      </c>
      <c r="AA2552" s="369">
        <v>1</v>
      </c>
      <c r="AB2552" s="369">
        <v>1</v>
      </c>
      <c r="AC2552" s="369">
        <v>1</v>
      </c>
      <c r="AD2552" s="369">
        <v>1</v>
      </c>
      <c r="AE2552" s="49">
        <f t="shared" si="129"/>
        <v>0.875</v>
      </c>
      <c r="AF2552" s="44">
        <v>1</v>
      </c>
      <c r="AG2552" s="17">
        <v>0</v>
      </c>
      <c r="AH2552" s="44">
        <v>0</v>
      </c>
      <c r="AI2552" s="44">
        <v>0</v>
      </c>
      <c r="AJ2552" s="44">
        <v>0</v>
      </c>
      <c r="AK2552" s="151">
        <v>1</v>
      </c>
      <c r="AL2552" s="151">
        <v>2</v>
      </c>
      <c r="AM2552" s="17">
        <f t="shared" si="130"/>
        <v>3</v>
      </c>
      <c r="AN2552" s="44" t="s">
        <v>8341</v>
      </c>
      <c r="AO2552" s="18" t="s">
        <v>1037</v>
      </c>
      <c r="AP2552" t="s">
        <v>119</v>
      </c>
    </row>
    <row r="2553" spans="1:42" s="10" customFormat="1" x14ac:dyDescent="0.3">
      <c r="A2553" s="367" t="s">
        <v>8317</v>
      </c>
      <c r="B2553" s="10" t="s">
        <v>8318</v>
      </c>
      <c r="C2553" s="368" t="s">
        <v>8330</v>
      </c>
      <c r="D2553" s="10" t="s">
        <v>8331</v>
      </c>
      <c r="E2553" s="10" t="s">
        <v>8332</v>
      </c>
      <c r="F2553" s="10" t="s">
        <v>8333</v>
      </c>
      <c r="G2553" s="10" t="s">
        <v>8357</v>
      </c>
      <c r="H2553" s="10" t="s">
        <v>8358</v>
      </c>
      <c r="K2553" s="10" t="s">
        <v>8359</v>
      </c>
      <c r="L2553" s="10" t="s">
        <v>8360</v>
      </c>
      <c r="N2553" s="16"/>
      <c r="O2553" s="16"/>
      <c r="P2553" s="16"/>
      <c r="Q2553" s="16"/>
      <c r="R2553" s="16"/>
      <c r="S2553" s="16"/>
      <c r="U2553" t="e">
        <f>VLOOKUP(T2553,[8]Votes!$A$1:$E$234,3,FALSE)</f>
        <v>#N/A</v>
      </c>
      <c r="V2553" t="s">
        <v>8382</v>
      </c>
      <c r="W2553" s="369">
        <v>1</v>
      </c>
      <c r="X2553" s="369">
        <v>1</v>
      </c>
      <c r="Y2553" s="369">
        <v>1</v>
      </c>
      <c r="Z2553" s="369">
        <v>0</v>
      </c>
      <c r="AA2553" s="369">
        <v>1</v>
      </c>
      <c r="AB2553" s="369">
        <v>1</v>
      </c>
      <c r="AC2553" s="369">
        <v>1</v>
      </c>
      <c r="AD2553" s="369">
        <v>1</v>
      </c>
      <c r="AE2553" s="49">
        <f t="shared" si="129"/>
        <v>0.875</v>
      </c>
      <c r="AF2553" s="44">
        <v>1</v>
      </c>
      <c r="AG2553" s="17">
        <v>1</v>
      </c>
      <c r="AH2553" s="44">
        <v>0</v>
      </c>
      <c r="AI2553" s="44">
        <v>0</v>
      </c>
      <c r="AJ2553" s="44">
        <v>0</v>
      </c>
      <c r="AK2553" s="151">
        <v>0</v>
      </c>
      <c r="AL2553" s="151"/>
      <c r="AM2553" s="17">
        <f t="shared" si="130"/>
        <v>0</v>
      </c>
      <c r="AN2553" s="44" t="s">
        <v>8341</v>
      </c>
      <c r="AO2553" s="18" t="s">
        <v>1037</v>
      </c>
      <c r="AP2553" t="s">
        <v>119</v>
      </c>
    </row>
    <row r="2554" spans="1:42" s="10" customFormat="1" hidden="1" x14ac:dyDescent="0.3">
      <c r="A2554" s="367" t="s">
        <v>8317</v>
      </c>
      <c r="B2554" s="10" t="s">
        <v>8318</v>
      </c>
      <c r="C2554" s="368" t="s">
        <v>8330</v>
      </c>
      <c r="D2554" s="10" t="s">
        <v>8331</v>
      </c>
      <c r="E2554" s="10" t="s">
        <v>8332</v>
      </c>
      <c r="F2554" s="10" t="s">
        <v>8333</v>
      </c>
      <c r="G2554" s="10" t="s">
        <v>8357</v>
      </c>
      <c r="H2554" s="10" t="s">
        <v>8358</v>
      </c>
      <c r="K2554" s="10" t="s">
        <v>8359</v>
      </c>
      <c r="L2554" s="10" t="s">
        <v>8360</v>
      </c>
      <c r="N2554" s="16"/>
      <c r="O2554" s="16"/>
      <c r="P2554" s="16"/>
      <c r="Q2554" s="16"/>
      <c r="R2554" s="16"/>
      <c r="S2554" s="16"/>
      <c r="U2554" t="e">
        <f>VLOOKUP(T2554,[8]Votes!$A$1:$E$234,3,FALSE)</f>
        <v>#N/A</v>
      </c>
      <c r="V2554" t="s">
        <v>8383</v>
      </c>
      <c r="W2554" s="369">
        <v>1</v>
      </c>
      <c r="X2554" s="369">
        <v>0</v>
      </c>
      <c r="Y2554" s="369">
        <v>1</v>
      </c>
      <c r="Z2554" s="369">
        <v>0</v>
      </c>
      <c r="AA2554" s="369">
        <v>1</v>
      </c>
      <c r="AB2554" s="369">
        <v>1</v>
      </c>
      <c r="AC2554" s="369">
        <v>0</v>
      </c>
      <c r="AD2554" s="369">
        <v>1</v>
      </c>
      <c r="AE2554" s="49">
        <f t="shared" si="129"/>
        <v>0.625</v>
      </c>
      <c r="AF2554" s="44">
        <v>1</v>
      </c>
      <c r="AG2554" s="17">
        <v>0</v>
      </c>
      <c r="AH2554" s="44">
        <v>0</v>
      </c>
      <c r="AI2554" s="44">
        <v>0</v>
      </c>
      <c r="AJ2554" s="44">
        <v>0</v>
      </c>
      <c r="AK2554" s="151">
        <v>2</v>
      </c>
      <c r="AL2554" s="151">
        <v>2</v>
      </c>
      <c r="AM2554" s="17">
        <f t="shared" si="130"/>
        <v>4</v>
      </c>
      <c r="AN2554" s="44" t="s">
        <v>8341</v>
      </c>
      <c r="AO2554" s="18" t="s">
        <v>1037</v>
      </c>
      <c r="AP2554" t="s">
        <v>119</v>
      </c>
    </row>
    <row r="2555" spans="1:42" s="10" customFormat="1" hidden="1" x14ac:dyDescent="0.3">
      <c r="A2555" s="367" t="s">
        <v>8317</v>
      </c>
      <c r="B2555" s="10" t="s">
        <v>8318</v>
      </c>
      <c r="C2555" s="368" t="s">
        <v>8330</v>
      </c>
      <c r="D2555" s="10" t="s">
        <v>8331</v>
      </c>
      <c r="E2555" s="10" t="s">
        <v>8332</v>
      </c>
      <c r="F2555" s="10" t="s">
        <v>8333</v>
      </c>
      <c r="G2555" s="10" t="s">
        <v>8357</v>
      </c>
      <c r="H2555" s="10" t="s">
        <v>8358</v>
      </c>
      <c r="K2555" s="10" t="s">
        <v>8359</v>
      </c>
      <c r="L2555" s="10" t="s">
        <v>8360</v>
      </c>
      <c r="N2555" s="16"/>
      <c r="O2555" s="16"/>
      <c r="P2555" s="16"/>
      <c r="Q2555" s="16"/>
      <c r="R2555" s="16"/>
      <c r="S2555" s="16"/>
      <c r="U2555" t="e">
        <f>VLOOKUP(T2555,[8]Votes!$A$1:$E$234,3,FALSE)</f>
        <v>#N/A</v>
      </c>
      <c r="V2555" t="s">
        <v>8384</v>
      </c>
      <c r="W2555" s="369">
        <v>1</v>
      </c>
      <c r="X2555" s="369">
        <v>0</v>
      </c>
      <c r="Y2555" s="369">
        <v>0</v>
      </c>
      <c r="Z2555" s="369">
        <v>1</v>
      </c>
      <c r="AA2555" s="369">
        <v>1</v>
      </c>
      <c r="AB2555" s="369">
        <v>0</v>
      </c>
      <c r="AC2555" s="369">
        <v>0</v>
      </c>
      <c r="AD2555" s="369">
        <v>1</v>
      </c>
      <c r="AE2555" s="49">
        <f t="shared" si="129"/>
        <v>0.5</v>
      </c>
      <c r="AF2555" s="44">
        <v>1</v>
      </c>
      <c r="AG2555" s="17">
        <v>0</v>
      </c>
      <c r="AH2555" s="44">
        <v>0</v>
      </c>
      <c r="AI2555" s="44">
        <v>0</v>
      </c>
      <c r="AJ2555" s="44">
        <v>0</v>
      </c>
      <c r="AK2555" s="151">
        <v>5</v>
      </c>
      <c r="AL2555" s="151">
        <v>5</v>
      </c>
      <c r="AM2555" s="17">
        <f t="shared" si="130"/>
        <v>10</v>
      </c>
      <c r="AN2555" s="44" t="s">
        <v>8341</v>
      </c>
      <c r="AO2555" s="18" t="s">
        <v>1037</v>
      </c>
      <c r="AP2555" t="s">
        <v>119</v>
      </c>
    </row>
    <row r="2556" spans="1:42" s="10" customFormat="1" x14ac:dyDescent="0.3">
      <c r="A2556" s="367" t="s">
        <v>8317</v>
      </c>
      <c r="B2556" s="10" t="s">
        <v>8318</v>
      </c>
      <c r="C2556" s="368" t="s">
        <v>8330</v>
      </c>
      <c r="D2556" s="10" t="s">
        <v>8331</v>
      </c>
      <c r="E2556" s="10" t="s">
        <v>8332</v>
      </c>
      <c r="F2556" s="10" t="s">
        <v>8333</v>
      </c>
      <c r="G2556" s="10" t="s">
        <v>8357</v>
      </c>
      <c r="H2556" s="10" t="s">
        <v>8358</v>
      </c>
      <c r="K2556" s="10" t="s">
        <v>8359</v>
      </c>
      <c r="L2556" s="10" t="s">
        <v>8360</v>
      </c>
      <c r="N2556" s="16"/>
      <c r="O2556" s="16"/>
      <c r="P2556" s="16"/>
      <c r="Q2556" s="16"/>
      <c r="R2556" s="16"/>
      <c r="S2556" s="16"/>
      <c r="U2556" t="e">
        <f>VLOOKUP(T2556,[8]Votes!$A$1:$E$234,3,FALSE)</f>
        <v>#N/A</v>
      </c>
      <c r="V2556" t="s">
        <v>8385</v>
      </c>
      <c r="W2556" s="369">
        <v>1</v>
      </c>
      <c r="X2556" s="369">
        <v>1</v>
      </c>
      <c r="Y2556" s="369">
        <v>0</v>
      </c>
      <c r="Z2556" s="369">
        <v>1</v>
      </c>
      <c r="AA2556" s="369">
        <v>1</v>
      </c>
      <c r="AB2556" s="369">
        <v>1</v>
      </c>
      <c r="AC2556" s="369">
        <v>1</v>
      </c>
      <c r="AD2556" s="369">
        <v>1</v>
      </c>
      <c r="AE2556" s="49">
        <f t="shared" si="129"/>
        <v>0.875</v>
      </c>
      <c r="AF2556" s="44">
        <v>1</v>
      </c>
      <c r="AG2556" s="17">
        <v>0</v>
      </c>
      <c r="AH2556" s="44">
        <v>0</v>
      </c>
      <c r="AI2556" s="44">
        <v>0</v>
      </c>
      <c r="AJ2556" s="44">
        <v>0</v>
      </c>
      <c r="AK2556" s="151">
        <v>2</v>
      </c>
      <c r="AL2556" s="151">
        <v>2</v>
      </c>
      <c r="AM2556" s="17">
        <f t="shared" si="130"/>
        <v>4</v>
      </c>
      <c r="AN2556" s="44" t="s">
        <v>8341</v>
      </c>
      <c r="AO2556" s="18" t="s">
        <v>1037</v>
      </c>
      <c r="AP2556" t="s">
        <v>119</v>
      </c>
    </row>
    <row r="2557" spans="1:42" s="10" customFormat="1" x14ac:dyDescent="0.3">
      <c r="A2557" s="367" t="s">
        <v>8317</v>
      </c>
      <c r="B2557" s="10" t="s">
        <v>8318</v>
      </c>
      <c r="C2557" s="368" t="s">
        <v>8330</v>
      </c>
      <c r="D2557" s="10" t="s">
        <v>8331</v>
      </c>
      <c r="E2557" s="10" t="s">
        <v>8332</v>
      </c>
      <c r="F2557" s="10" t="s">
        <v>8333</v>
      </c>
      <c r="G2557" s="10" t="s">
        <v>8357</v>
      </c>
      <c r="H2557" s="10" t="s">
        <v>8358</v>
      </c>
      <c r="K2557" s="10" t="s">
        <v>8359</v>
      </c>
      <c r="L2557" s="10" t="s">
        <v>8360</v>
      </c>
      <c r="N2557" s="16"/>
      <c r="O2557" s="16"/>
      <c r="P2557" s="16"/>
      <c r="Q2557" s="16"/>
      <c r="R2557" s="16"/>
      <c r="S2557" s="16"/>
      <c r="U2557" t="e">
        <f>VLOOKUP(T2557,[8]Votes!$A$1:$E$234,3,FALSE)</f>
        <v>#N/A</v>
      </c>
      <c r="V2557" t="s">
        <v>8386</v>
      </c>
      <c r="W2557" s="369">
        <v>1</v>
      </c>
      <c r="X2557" s="369">
        <v>1</v>
      </c>
      <c r="Y2557" s="369">
        <v>0</v>
      </c>
      <c r="Z2557" s="369">
        <v>1</v>
      </c>
      <c r="AA2557" s="369">
        <v>1</v>
      </c>
      <c r="AB2557" s="369">
        <v>1</v>
      </c>
      <c r="AC2557" s="369">
        <v>1</v>
      </c>
      <c r="AD2557" s="369">
        <v>1</v>
      </c>
      <c r="AE2557" s="49">
        <f t="shared" si="129"/>
        <v>0.875</v>
      </c>
      <c r="AF2557" s="44">
        <v>1</v>
      </c>
      <c r="AG2557" s="17">
        <v>0</v>
      </c>
      <c r="AH2557" s="44">
        <v>0</v>
      </c>
      <c r="AI2557" s="44">
        <v>0</v>
      </c>
      <c r="AJ2557" s="44">
        <v>0</v>
      </c>
      <c r="AK2557" s="151">
        <v>2</v>
      </c>
      <c r="AL2557" s="151">
        <v>2</v>
      </c>
      <c r="AM2557" s="17">
        <f t="shared" si="130"/>
        <v>4</v>
      </c>
      <c r="AN2557" s="44" t="s">
        <v>8341</v>
      </c>
      <c r="AO2557" s="18" t="s">
        <v>1037</v>
      </c>
      <c r="AP2557" t="s">
        <v>119</v>
      </c>
    </row>
    <row r="2558" spans="1:42" s="10" customFormat="1" x14ac:dyDescent="0.3">
      <c r="A2558" s="367" t="s">
        <v>8317</v>
      </c>
      <c r="B2558" s="10" t="s">
        <v>8318</v>
      </c>
      <c r="C2558" s="368" t="s">
        <v>8330</v>
      </c>
      <c r="D2558" s="10" t="s">
        <v>8331</v>
      </c>
      <c r="E2558" s="10" t="s">
        <v>8332</v>
      </c>
      <c r="F2558" s="10" t="s">
        <v>8333</v>
      </c>
      <c r="G2558" s="10" t="s">
        <v>8357</v>
      </c>
      <c r="H2558" s="10" t="s">
        <v>8358</v>
      </c>
      <c r="K2558" s="10" t="s">
        <v>8359</v>
      </c>
      <c r="L2558" s="10" t="s">
        <v>8360</v>
      </c>
      <c r="N2558" s="16"/>
      <c r="O2558" s="16"/>
      <c r="P2558" s="16"/>
      <c r="Q2558" s="16"/>
      <c r="R2558" s="16"/>
      <c r="S2558" s="16"/>
      <c r="U2558" t="e">
        <f>VLOOKUP(T2558,[8]Votes!$A$1:$E$234,3,FALSE)</f>
        <v>#N/A</v>
      </c>
      <c r="V2558" t="s">
        <v>8387</v>
      </c>
      <c r="W2558" s="369">
        <v>1</v>
      </c>
      <c r="X2558" s="369">
        <v>1</v>
      </c>
      <c r="Y2558" s="369">
        <v>0</v>
      </c>
      <c r="Z2558" s="369">
        <v>1</v>
      </c>
      <c r="AA2558" s="369">
        <v>1</v>
      </c>
      <c r="AB2558" s="369">
        <v>1</v>
      </c>
      <c r="AC2558" s="369">
        <v>1</v>
      </c>
      <c r="AD2558" s="369">
        <v>1</v>
      </c>
      <c r="AE2558" s="49">
        <f t="shared" si="129"/>
        <v>0.875</v>
      </c>
      <c r="AF2558" s="44">
        <v>1</v>
      </c>
      <c r="AG2558" s="17">
        <v>0</v>
      </c>
      <c r="AH2558" s="44">
        <v>0</v>
      </c>
      <c r="AI2558" s="44">
        <v>0</v>
      </c>
      <c r="AJ2558" s="44">
        <v>0</v>
      </c>
      <c r="AK2558" s="151">
        <v>0.5</v>
      </c>
      <c r="AL2558" s="151">
        <v>0.5</v>
      </c>
      <c r="AM2558" s="17">
        <f t="shared" si="130"/>
        <v>1</v>
      </c>
      <c r="AN2558" s="44" t="s">
        <v>8341</v>
      </c>
      <c r="AO2558" s="18" t="s">
        <v>1037</v>
      </c>
      <c r="AP2558" t="s">
        <v>119</v>
      </c>
    </row>
    <row r="2559" spans="1:42" s="10" customFormat="1" x14ac:dyDescent="0.3">
      <c r="A2559" s="367" t="s">
        <v>8317</v>
      </c>
      <c r="B2559" s="10" t="s">
        <v>8318</v>
      </c>
      <c r="C2559" s="368" t="s">
        <v>8330</v>
      </c>
      <c r="D2559" s="10" t="s">
        <v>8331</v>
      </c>
      <c r="E2559" s="10" t="s">
        <v>8332</v>
      </c>
      <c r="F2559" s="10" t="s">
        <v>8333</v>
      </c>
      <c r="G2559" s="10" t="s">
        <v>8357</v>
      </c>
      <c r="H2559" s="10" t="s">
        <v>8358</v>
      </c>
      <c r="K2559" s="10" t="s">
        <v>8359</v>
      </c>
      <c r="L2559" s="10" t="s">
        <v>8360</v>
      </c>
      <c r="N2559" s="16"/>
      <c r="O2559" s="16"/>
      <c r="P2559" s="16"/>
      <c r="Q2559" s="16"/>
      <c r="R2559" s="16"/>
      <c r="S2559" s="16"/>
      <c r="U2559" t="e">
        <f>VLOOKUP(T2559,[8]Votes!$A$1:$E$234,3,FALSE)</f>
        <v>#N/A</v>
      </c>
      <c r="V2559" t="s">
        <v>8388</v>
      </c>
      <c r="W2559" s="369">
        <v>1</v>
      </c>
      <c r="X2559" s="369">
        <v>1</v>
      </c>
      <c r="Y2559" s="369">
        <v>0</v>
      </c>
      <c r="Z2559" s="369">
        <v>1</v>
      </c>
      <c r="AA2559" s="369">
        <v>1</v>
      </c>
      <c r="AB2559" s="369">
        <v>1</v>
      </c>
      <c r="AC2559" s="369">
        <v>0</v>
      </c>
      <c r="AD2559" s="369">
        <v>1</v>
      </c>
      <c r="AE2559" s="49">
        <f t="shared" si="129"/>
        <v>0.75</v>
      </c>
      <c r="AF2559" s="44">
        <v>1</v>
      </c>
      <c r="AG2559" s="17">
        <v>0</v>
      </c>
      <c r="AH2559" s="44">
        <v>0</v>
      </c>
      <c r="AI2559" s="44">
        <v>0</v>
      </c>
      <c r="AJ2559" s="44">
        <v>0</v>
      </c>
      <c r="AK2559" s="151">
        <v>0.5</v>
      </c>
      <c r="AL2559" s="151">
        <v>0.5</v>
      </c>
      <c r="AM2559" s="17">
        <f t="shared" si="130"/>
        <v>1</v>
      </c>
      <c r="AN2559" s="44" t="s">
        <v>8341</v>
      </c>
      <c r="AO2559" s="18" t="s">
        <v>1037</v>
      </c>
      <c r="AP2559" t="s">
        <v>119</v>
      </c>
    </row>
    <row r="2560" spans="1:42" s="10" customFormat="1" x14ac:dyDescent="0.3">
      <c r="A2560" s="367" t="s">
        <v>8317</v>
      </c>
      <c r="B2560" s="10" t="s">
        <v>8318</v>
      </c>
      <c r="C2560" s="368" t="s">
        <v>8330</v>
      </c>
      <c r="D2560" s="10" t="s">
        <v>8331</v>
      </c>
      <c r="E2560" s="10" t="s">
        <v>8332</v>
      </c>
      <c r="F2560" s="10" t="s">
        <v>8333</v>
      </c>
      <c r="G2560" s="10" t="s">
        <v>8357</v>
      </c>
      <c r="H2560" s="10" t="s">
        <v>8358</v>
      </c>
      <c r="K2560" s="10" t="s">
        <v>8359</v>
      </c>
      <c r="L2560" s="10" t="s">
        <v>8360</v>
      </c>
      <c r="N2560" s="16"/>
      <c r="O2560" s="16"/>
      <c r="P2560" s="16"/>
      <c r="Q2560" s="16"/>
      <c r="R2560" s="16"/>
      <c r="S2560" s="16"/>
      <c r="U2560" t="e">
        <f>VLOOKUP(T2560,[8]Votes!$A$1:$E$234,3,FALSE)</f>
        <v>#N/A</v>
      </c>
      <c r="V2560" t="s">
        <v>8389</v>
      </c>
      <c r="W2560" s="369">
        <v>1</v>
      </c>
      <c r="X2560" s="369">
        <v>1</v>
      </c>
      <c r="Y2560" s="369">
        <v>0</v>
      </c>
      <c r="Z2560" s="369">
        <v>1</v>
      </c>
      <c r="AA2560" s="369">
        <v>1</v>
      </c>
      <c r="AB2560" s="369">
        <v>1</v>
      </c>
      <c r="AC2560" s="369">
        <v>0</v>
      </c>
      <c r="AD2560" s="369">
        <v>1</v>
      </c>
      <c r="AE2560" s="49">
        <f t="shared" si="129"/>
        <v>0.75</v>
      </c>
      <c r="AF2560" s="44"/>
      <c r="AG2560" s="17">
        <v>0</v>
      </c>
      <c r="AH2560" s="44">
        <v>8</v>
      </c>
      <c r="AI2560" s="44">
        <v>4</v>
      </c>
      <c r="AJ2560" s="44">
        <v>4</v>
      </c>
      <c r="AK2560" s="151"/>
      <c r="AL2560" s="151"/>
      <c r="AM2560" s="17">
        <f t="shared" si="130"/>
        <v>0</v>
      </c>
      <c r="AN2560" s="44" t="s">
        <v>8341</v>
      </c>
      <c r="AO2560" s="18" t="s">
        <v>1037</v>
      </c>
      <c r="AP2560" t="s">
        <v>119</v>
      </c>
    </row>
    <row r="2561" spans="1:44" s="10" customFormat="1" x14ac:dyDescent="0.3">
      <c r="A2561" s="367" t="s">
        <v>8317</v>
      </c>
      <c r="B2561" s="10" t="s">
        <v>8318</v>
      </c>
      <c r="C2561" s="368" t="s">
        <v>8330</v>
      </c>
      <c r="D2561" s="10" t="s">
        <v>8331</v>
      </c>
      <c r="E2561" s="10" t="s">
        <v>8332</v>
      </c>
      <c r="F2561" s="10" t="s">
        <v>8333</v>
      </c>
      <c r="G2561" s="10" t="s">
        <v>8357</v>
      </c>
      <c r="H2561" s="10" t="s">
        <v>8358</v>
      </c>
      <c r="I2561" s="9"/>
      <c r="J2561" s="370"/>
      <c r="K2561" s="10" t="s">
        <v>8359</v>
      </c>
      <c r="L2561" s="10" t="s">
        <v>8360</v>
      </c>
      <c r="N2561" s="16"/>
      <c r="O2561" s="16"/>
      <c r="P2561" s="16"/>
      <c r="Q2561" s="16"/>
      <c r="R2561" s="16"/>
      <c r="S2561" s="16"/>
      <c r="U2561" t="e">
        <f>VLOOKUP(T2561,[8]Votes!$A$1:$E$234,3,FALSE)</f>
        <v>#N/A</v>
      </c>
      <c r="V2561" t="s">
        <v>8390</v>
      </c>
      <c r="W2561" s="369">
        <v>1</v>
      </c>
      <c r="X2561" s="369">
        <v>1</v>
      </c>
      <c r="Y2561" s="369">
        <v>0</v>
      </c>
      <c r="Z2561" s="369">
        <v>1</v>
      </c>
      <c r="AA2561" s="369">
        <v>1</v>
      </c>
      <c r="AB2561" s="369">
        <v>1</v>
      </c>
      <c r="AC2561" s="369">
        <v>0</v>
      </c>
      <c r="AD2561" s="369">
        <v>1</v>
      </c>
      <c r="AE2561" s="49">
        <f t="shared" si="129"/>
        <v>0.75</v>
      </c>
      <c r="AF2561" s="17">
        <v>1</v>
      </c>
      <c r="AG2561" s="17">
        <v>0</v>
      </c>
      <c r="AH2561" s="17">
        <v>0</v>
      </c>
      <c r="AI2561" s="17">
        <v>0</v>
      </c>
      <c r="AJ2561" s="17">
        <v>0</v>
      </c>
      <c r="AK2561" s="153">
        <v>1</v>
      </c>
      <c r="AL2561" s="151">
        <v>5</v>
      </c>
      <c r="AM2561" s="17">
        <f t="shared" si="130"/>
        <v>6</v>
      </c>
      <c r="AN2561" s="44" t="s">
        <v>8341</v>
      </c>
      <c r="AO2561" s="18" t="s">
        <v>1037</v>
      </c>
      <c r="AP2561" t="s">
        <v>119</v>
      </c>
    </row>
    <row r="2562" spans="1:44" s="10" customFormat="1" x14ac:dyDescent="0.3">
      <c r="A2562" s="367" t="s">
        <v>8317</v>
      </c>
      <c r="B2562" s="10" t="s">
        <v>8318</v>
      </c>
      <c r="C2562" s="368" t="s">
        <v>8330</v>
      </c>
      <c r="D2562" s="10" t="s">
        <v>8331</v>
      </c>
      <c r="E2562" s="10" t="s">
        <v>8332</v>
      </c>
      <c r="F2562" s="10" t="s">
        <v>8333</v>
      </c>
      <c r="G2562" s="10" t="s">
        <v>8357</v>
      </c>
      <c r="H2562" s="10" t="s">
        <v>8358</v>
      </c>
      <c r="I2562" s="9"/>
      <c r="J2562" s="370"/>
      <c r="K2562" s="10" t="s">
        <v>8359</v>
      </c>
      <c r="L2562" s="10" t="s">
        <v>8360</v>
      </c>
      <c r="M2562" s="10" t="s">
        <v>8391</v>
      </c>
      <c r="N2562" s="16"/>
      <c r="O2562" s="16">
        <v>100</v>
      </c>
      <c r="P2562" s="16">
        <v>100</v>
      </c>
      <c r="Q2562" s="16">
        <v>100</v>
      </c>
      <c r="R2562" s="16">
        <v>100</v>
      </c>
      <c r="S2562" s="16">
        <v>100</v>
      </c>
      <c r="T2562" s="10" t="s">
        <v>8339</v>
      </c>
      <c r="U2562" t="e">
        <f>VLOOKUP(T2562,[8]Votes!$A$1:$E$234,3,FALSE)</f>
        <v>#N/A</v>
      </c>
      <c r="V2562" t="s">
        <v>8392</v>
      </c>
      <c r="W2562" s="369">
        <v>1</v>
      </c>
      <c r="X2562" s="369">
        <v>1</v>
      </c>
      <c r="Y2562" s="369">
        <v>0</v>
      </c>
      <c r="Z2562" s="369">
        <v>1</v>
      </c>
      <c r="AA2562" s="369">
        <v>1</v>
      </c>
      <c r="AB2562" s="369">
        <v>1</v>
      </c>
      <c r="AC2562" s="369">
        <v>0</v>
      </c>
      <c r="AD2562" s="369">
        <v>1</v>
      </c>
      <c r="AE2562" s="49">
        <f t="shared" si="129"/>
        <v>0.75</v>
      </c>
      <c r="AF2562" s="44"/>
      <c r="AG2562" s="17">
        <v>0</v>
      </c>
      <c r="AH2562" s="44">
        <v>1</v>
      </c>
      <c r="AI2562" s="44">
        <v>1</v>
      </c>
      <c r="AJ2562" s="44">
        <v>1</v>
      </c>
      <c r="AK2562" s="151">
        <v>1</v>
      </c>
      <c r="AL2562" s="151">
        <v>1</v>
      </c>
      <c r="AM2562" s="17">
        <f t="shared" si="130"/>
        <v>2</v>
      </c>
      <c r="AN2562" s="174" t="s">
        <v>921</v>
      </c>
      <c r="AO2562" s="18" t="s">
        <v>880</v>
      </c>
      <c r="AP2562" t="s">
        <v>119</v>
      </c>
    </row>
    <row r="2563" spans="1:44" s="10" customFormat="1" x14ac:dyDescent="0.3">
      <c r="A2563" s="367" t="s">
        <v>8317</v>
      </c>
      <c r="B2563" s="10" t="s">
        <v>8318</v>
      </c>
      <c r="C2563" s="368" t="s">
        <v>8330</v>
      </c>
      <c r="D2563" s="10" t="s">
        <v>8331</v>
      </c>
      <c r="E2563" s="10" t="s">
        <v>8332</v>
      </c>
      <c r="F2563" s="10" t="s">
        <v>8333</v>
      </c>
      <c r="G2563" s="10" t="s">
        <v>8357</v>
      </c>
      <c r="H2563" s="10" t="s">
        <v>8358</v>
      </c>
      <c r="I2563" s="9"/>
      <c r="J2563" s="370"/>
      <c r="K2563" s="10" t="s">
        <v>8359</v>
      </c>
      <c r="L2563" s="10" t="s">
        <v>8360</v>
      </c>
      <c r="M2563" s="10" t="s">
        <v>8342</v>
      </c>
      <c r="N2563" s="16">
        <v>0</v>
      </c>
      <c r="O2563" s="16">
        <v>1410</v>
      </c>
      <c r="P2563" s="16">
        <v>340</v>
      </c>
      <c r="Q2563" s="16">
        <v>320</v>
      </c>
      <c r="R2563" s="16">
        <v>980</v>
      </c>
      <c r="S2563" s="16">
        <v>4120</v>
      </c>
      <c r="T2563" s="10" t="s">
        <v>8339</v>
      </c>
      <c r="U2563" t="e">
        <f>VLOOKUP(T2563,[8]Votes!$A$1:$E$234,3,FALSE)</f>
        <v>#N/A</v>
      </c>
      <c r="V2563" t="s">
        <v>8392</v>
      </c>
      <c r="W2563" s="369">
        <v>1</v>
      </c>
      <c r="X2563" s="369">
        <v>1</v>
      </c>
      <c r="Y2563" s="369">
        <v>0</v>
      </c>
      <c r="Z2563" s="369">
        <v>0</v>
      </c>
      <c r="AA2563" s="369">
        <v>1</v>
      </c>
      <c r="AB2563" s="369">
        <v>1</v>
      </c>
      <c r="AC2563" s="369">
        <v>1</v>
      </c>
      <c r="AD2563" s="369">
        <v>1</v>
      </c>
      <c r="AE2563" s="49">
        <f t="shared" si="129"/>
        <v>0.75</v>
      </c>
      <c r="AF2563" s="44"/>
      <c r="AG2563" s="17">
        <v>0</v>
      </c>
      <c r="AH2563" s="44"/>
      <c r="AI2563" s="44"/>
      <c r="AJ2563" s="44"/>
      <c r="AK2563" s="153"/>
      <c r="AL2563" s="154"/>
      <c r="AM2563" s="17">
        <f t="shared" si="130"/>
        <v>0</v>
      </c>
      <c r="AN2563" s="44"/>
      <c r="AO2563" s="18"/>
      <c r="AP2563"/>
    </row>
    <row r="2564" spans="1:44" s="10" customFormat="1" hidden="1" x14ac:dyDescent="0.3">
      <c r="A2564" s="367" t="s">
        <v>8317</v>
      </c>
      <c r="B2564" s="10" t="s">
        <v>8318</v>
      </c>
      <c r="C2564" s="368" t="s">
        <v>8330</v>
      </c>
      <c r="D2564" s="10" t="s">
        <v>8331</v>
      </c>
      <c r="E2564" s="10" t="s">
        <v>8332</v>
      </c>
      <c r="F2564" s="10" t="s">
        <v>8333</v>
      </c>
      <c r="G2564" s="10" t="s">
        <v>8357</v>
      </c>
      <c r="H2564" s="10" t="s">
        <v>8358</v>
      </c>
      <c r="I2564" s="9"/>
      <c r="J2564" s="370"/>
      <c r="K2564" s="10" t="s">
        <v>8359</v>
      </c>
      <c r="L2564" s="10" t="s">
        <v>8360</v>
      </c>
      <c r="N2564" s="16"/>
      <c r="O2564" s="16"/>
      <c r="P2564" s="16"/>
      <c r="Q2564" s="16"/>
      <c r="R2564" s="16"/>
      <c r="S2564" s="16"/>
      <c r="U2564" t="e">
        <f>VLOOKUP(T2564,[8]Votes!$A$1:$E$234,3,FALSE)</f>
        <v>#N/A</v>
      </c>
      <c r="V2564" t="s">
        <v>8393</v>
      </c>
      <c r="W2564" s="369">
        <v>0</v>
      </c>
      <c r="X2564" s="369">
        <v>0</v>
      </c>
      <c r="Y2564" s="369">
        <v>0</v>
      </c>
      <c r="Z2564" s="369">
        <v>1</v>
      </c>
      <c r="AA2564" s="369">
        <v>1</v>
      </c>
      <c r="AB2564" s="369">
        <v>1</v>
      </c>
      <c r="AC2564" s="369">
        <v>0</v>
      </c>
      <c r="AD2564" s="369">
        <v>1</v>
      </c>
      <c r="AE2564" s="49">
        <f t="shared" si="129"/>
        <v>0.5</v>
      </c>
      <c r="AF2564" s="44">
        <v>1</v>
      </c>
      <c r="AG2564" s="17">
        <v>0</v>
      </c>
      <c r="AH2564" s="44">
        <v>0</v>
      </c>
      <c r="AI2564" s="17">
        <v>0</v>
      </c>
      <c r="AJ2564" s="44">
        <v>2</v>
      </c>
      <c r="AK2564" s="151">
        <v>1.2</v>
      </c>
      <c r="AL2564" s="154">
        <v>0</v>
      </c>
      <c r="AM2564" s="17">
        <f t="shared" si="130"/>
        <v>1.2</v>
      </c>
      <c r="AN2564" s="44" t="s">
        <v>1035</v>
      </c>
      <c r="AO2564" s="18" t="s">
        <v>1037</v>
      </c>
      <c r="AP2564" t="s">
        <v>8394</v>
      </c>
      <c r="AQ2564"/>
    </row>
    <row r="2565" spans="1:44" s="10" customFormat="1" hidden="1" x14ac:dyDescent="0.3">
      <c r="A2565" s="367" t="s">
        <v>8317</v>
      </c>
      <c r="B2565" s="10" t="s">
        <v>8318</v>
      </c>
      <c r="C2565" s="368" t="s">
        <v>8330</v>
      </c>
      <c r="D2565" s="10" t="s">
        <v>8331</v>
      </c>
      <c r="E2565" s="10" t="s">
        <v>8332</v>
      </c>
      <c r="F2565" s="10" t="s">
        <v>8333</v>
      </c>
      <c r="G2565" s="10" t="s">
        <v>8357</v>
      </c>
      <c r="H2565" s="10" t="s">
        <v>8358</v>
      </c>
      <c r="I2565" s="9"/>
      <c r="J2565" s="370"/>
      <c r="K2565" s="10" t="s">
        <v>8359</v>
      </c>
      <c r="L2565" s="10" t="s">
        <v>8360</v>
      </c>
      <c r="M2565" s="10" t="s">
        <v>8342</v>
      </c>
      <c r="N2565" s="16"/>
      <c r="O2565" s="16"/>
      <c r="P2565" s="16"/>
      <c r="Q2565" s="16"/>
      <c r="R2565" s="16"/>
      <c r="S2565" s="16"/>
      <c r="U2565" t="e">
        <f>VLOOKUP(T2565,[8]Votes!$A$1:$E$234,3,FALSE)</f>
        <v>#N/A</v>
      </c>
      <c r="V2565" t="s">
        <v>8395</v>
      </c>
      <c r="W2565" s="369">
        <v>1</v>
      </c>
      <c r="X2565" s="369">
        <v>0</v>
      </c>
      <c r="Y2565" s="369">
        <v>0</v>
      </c>
      <c r="Z2565" s="369">
        <v>0</v>
      </c>
      <c r="AA2565" s="369">
        <v>1</v>
      </c>
      <c r="AB2565" s="369">
        <v>1</v>
      </c>
      <c r="AC2565" s="369">
        <v>0</v>
      </c>
      <c r="AD2565" s="369">
        <v>1</v>
      </c>
      <c r="AE2565" s="49">
        <f t="shared" si="129"/>
        <v>0.5</v>
      </c>
      <c r="AF2565" s="44"/>
      <c r="AG2565" s="17">
        <v>0</v>
      </c>
      <c r="AH2565" s="44">
        <v>4.2</v>
      </c>
      <c r="AI2565" s="17">
        <v>5</v>
      </c>
      <c r="AJ2565" s="44">
        <v>5.8</v>
      </c>
      <c r="AK2565" s="151">
        <v>1</v>
      </c>
      <c r="AL2565" s="154">
        <v>0.5</v>
      </c>
      <c r="AM2565" s="17">
        <f t="shared" si="130"/>
        <v>1.5</v>
      </c>
      <c r="AN2565" s="44" t="s">
        <v>570</v>
      </c>
      <c r="AO2565" s="18" t="s">
        <v>2875</v>
      </c>
      <c r="AP2565" t="s">
        <v>1035</v>
      </c>
      <c r="AQ2565"/>
    </row>
    <row r="2566" spans="1:44" s="10" customFormat="1" hidden="1" x14ac:dyDescent="0.3">
      <c r="A2566" s="367" t="s">
        <v>8317</v>
      </c>
      <c r="B2566" s="10" t="s">
        <v>8318</v>
      </c>
      <c r="C2566" s="368" t="s">
        <v>8330</v>
      </c>
      <c r="D2566" s="10" t="s">
        <v>8331</v>
      </c>
      <c r="E2566" s="10" t="s">
        <v>8332</v>
      </c>
      <c r="F2566" s="10" t="s">
        <v>8333</v>
      </c>
      <c r="G2566" s="10" t="s">
        <v>8357</v>
      </c>
      <c r="H2566" s="10" t="s">
        <v>8358</v>
      </c>
      <c r="I2566" s="9"/>
      <c r="J2566" s="370"/>
      <c r="K2566" s="10" t="s">
        <v>8359</v>
      </c>
      <c r="L2566" s="10" t="s">
        <v>8360</v>
      </c>
      <c r="M2566" s="10" t="s">
        <v>8342</v>
      </c>
      <c r="N2566" s="16"/>
      <c r="O2566" s="16"/>
      <c r="P2566" s="16"/>
      <c r="Q2566" s="16"/>
      <c r="R2566" s="16"/>
      <c r="S2566" s="16"/>
      <c r="U2566" t="e">
        <f>VLOOKUP(T2566,[8]Votes!$A$1:$E$234,3,FALSE)</f>
        <v>#N/A</v>
      </c>
      <c r="V2566" t="s">
        <v>8396</v>
      </c>
      <c r="W2566" s="369">
        <v>0</v>
      </c>
      <c r="X2566" s="369">
        <v>0</v>
      </c>
      <c r="Y2566" s="369">
        <v>0</v>
      </c>
      <c r="Z2566" s="369">
        <v>0</v>
      </c>
      <c r="AA2566" s="369">
        <v>1</v>
      </c>
      <c r="AB2566" s="369">
        <v>1</v>
      </c>
      <c r="AC2566" s="369">
        <v>0</v>
      </c>
      <c r="AD2566" s="369">
        <v>1</v>
      </c>
      <c r="AE2566" s="49">
        <f t="shared" si="129"/>
        <v>0.375</v>
      </c>
      <c r="AF2566" s="17"/>
      <c r="AG2566" s="17">
        <v>0</v>
      </c>
      <c r="AH2566" s="17">
        <v>0</v>
      </c>
      <c r="AI2566" s="17">
        <v>0</v>
      </c>
      <c r="AJ2566" s="17">
        <v>0</v>
      </c>
      <c r="AK2566" s="153"/>
      <c r="AL2566" s="154"/>
      <c r="AM2566" s="17">
        <f t="shared" si="130"/>
        <v>0</v>
      </c>
      <c r="AN2566" s="44" t="s">
        <v>1035</v>
      </c>
      <c r="AO2566" s="18" t="s">
        <v>1037</v>
      </c>
      <c r="AP2566" t="s">
        <v>119</v>
      </c>
    </row>
    <row r="2567" spans="1:44" s="10" customFormat="1" hidden="1" x14ac:dyDescent="0.3">
      <c r="A2567" s="367" t="s">
        <v>8317</v>
      </c>
      <c r="B2567" s="10" t="s">
        <v>8318</v>
      </c>
      <c r="C2567" s="368" t="s">
        <v>8330</v>
      </c>
      <c r="D2567" s="10" t="s">
        <v>8331</v>
      </c>
      <c r="E2567" s="10" t="s">
        <v>8332</v>
      </c>
      <c r="F2567" s="10" t="s">
        <v>8333</v>
      </c>
      <c r="G2567" s="10" t="s">
        <v>8397</v>
      </c>
      <c r="H2567" s="10" t="s">
        <v>8398</v>
      </c>
      <c r="I2567" s="9"/>
      <c r="J2567" s="370"/>
      <c r="K2567" s="10" t="s">
        <v>8399</v>
      </c>
      <c r="L2567" s="10" t="s">
        <v>8400</v>
      </c>
      <c r="M2567" s="10" t="s">
        <v>8401</v>
      </c>
      <c r="N2567" s="16">
        <v>82</v>
      </c>
      <c r="O2567" s="16">
        <v>0</v>
      </c>
      <c r="P2567" s="16">
        <v>0</v>
      </c>
      <c r="Q2567" s="16">
        <v>0</v>
      </c>
      <c r="R2567" s="16">
        <v>0</v>
      </c>
      <c r="S2567" s="16">
        <v>288.5</v>
      </c>
      <c r="T2567" s="10" t="s">
        <v>8339</v>
      </c>
      <c r="U2567" t="e">
        <f>VLOOKUP(T2567,[8]Votes!$A$1:$E$234,3,FALSE)</f>
        <v>#N/A</v>
      </c>
      <c r="V2567" t="s">
        <v>8402</v>
      </c>
      <c r="W2567" s="369">
        <v>0</v>
      </c>
      <c r="X2567" s="369">
        <v>1</v>
      </c>
      <c r="Y2567" s="369">
        <v>0</v>
      </c>
      <c r="Z2567" s="369">
        <v>1</v>
      </c>
      <c r="AA2567" s="369">
        <v>1</v>
      </c>
      <c r="AB2567" s="369">
        <v>1</v>
      </c>
      <c r="AC2567" s="369">
        <v>0</v>
      </c>
      <c r="AD2567" s="369">
        <v>1</v>
      </c>
      <c r="AE2567" s="49">
        <f t="shared" si="129"/>
        <v>0.625</v>
      </c>
      <c r="AF2567" s="44">
        <v>1</v>
      </c>
      <c r="AG2567" s="17">
        <v>0</v>
      </c>
      <c r="AH2567" s="44">
        <v>8.1283613223479279</v>
      </c>
      <c r="AI2567" s="44">
        <v>5</v>
      </c>
      <c r="AJ2567" s="44">
        <v>54.225333333333332</v>
      </c>
      <c r="AK2567" s="151">
        <v>15</v>
      </c>
      <c r="AL2567" s="151">
        <v>30</v>
      </c>
      <c r="AM2567" s="17">
        <f t="shared" si="130"/>
        <v>45</v>
      </c>
      <c r="AN2567" s="44" t="s">
        <v>8341</v>
      </c>
      <c r="AO2567" s="18" t="s">
        <v>1037</v>
      </c>
      <c r="AP2567" s="44" t="s">
        <v>119</v>
      </c>
    </row>
    <row r="2568" spans="1:44" s="10" customFormat="1" x14ac:dyDescent="0.3">
      <c r="A2568" s="367" t="s">
        <v>8317</v>
      </c>
      <c r="B2568" s="10" t="s">
        <v>8318</v>
      </c>
      <c r="C2568" s="368" t="s">
        <v>8330</v>
      </c>
      <c r="D2568" s="10" t="s">
        <v>8331</v>
      </c>
      <c r="E2568" s="10" t="s">
        <v>8332</v>
      </c>
      <c r="F2568" s="10" t="s">
        <v>8333</v>
      </c>
      <c r="G2568" s="10" t="s">
        <v>8397</v>
      </c>
      <c r="H2568" s="10" t="s">
        <v>8398</v>
      </c>
      <c r="I2568" s="9"/>
      <c r="J2568" s="370"/>
      <c r="K2568" s="10" t="s">
        <v>8399</v>
      </c>
      <c r="L2568" s="10" t="s">
        <v>8400</v>
      </c>
      <c r="M2568" s="10" t="s">
        <v>8403</v>
      </c>
      <c r="N2568" s="16"/>
      <c r="O2568" s="16"/>
      <c r="P2568" s="16"/>
      <c r="Q2568" s="16"/>
      <c r="R2568" s="16"/>
      <c r="S2568" s="16">
        <v>288.5</v>
      </c>
      <c r="T2568" s="10" t="s">
        <v>8339</v>
      </c>
      <c r="U2568" t="e">
        <f>VLOOKUP(T2568,[8]Votes!$A$1:$E$234,3,FALSE)</f>
        <v>#N/A</v>
      </c>
      <c r="V2568" t="s">
        <v>8404</v>
      </c>
      <c r="W2568" s="369">
        <v>1</v>
      </c>
      <c r="X2568" s="369">
        <v>1</v>
      </c>
      <c r="Y2568" s="369">
        <v>1</v>
      </c>
      <c r="Z2568" s="369">
        <v>0</v>
      </c>
      <c r="AA2568" s="369">
        <v>1</v>
      </c>
      <c r="AB2568" s="369">
        <v>1</v>
      </c>
      <c r="AC2568" s="369">
        <v>1</v>
      </c>
      <c r="AD2568" s="369">
        <v>1</v>
      </c>
      <c r="AE2568" s="49">
        <f t="shared" si="129"/>
        <v>0.875</v>
      </c>
      <c r="AF2568" s="17">
        <v>1</v>
      </c>
      <c r="AG2568" s="17">
        <v>0</v>
      </c>
      <c r="AH2568" s="17">
        <v>0</v>
      </c>
      <c r="AI2568" s="17">
        <v>0</v>
      </c>
      <c r="AJ2568" s="17">
        <v>0</v>
      </c>
      <c r="AK2568" s="153">
        <v>1</v>
      </c>
      <c r="AL2568" s="154">
        <v>2</v>
      </c>
      <c r="AM2568" s="17">
        <f t="shared" si="130"/>
        <v>3</v>
      </c>
      <c r="AN2568" s="44" t="s">
        <v>8341</v>
      </c>
      <c r="AO2568" s="18" t="s">
        <v>1037</v>
      </c>
      <c r="AP2568" t="s">
        <v>119</v>
      </c>
    </row>
    <row r="2569" spans="1:44" s="10" customFormat="1" x14ac:dyDescent="0.3">
      <c r="A2569" s="367" t="s">
        <v>8317</v>
      </c>
      <c r="B2569" s="10" t="s">
        <v>8318</v>
      </c>
      <c r="C2569" s="368" t="s">
        <v>8330</v>
      </c>
      <c r="D2569" s="10" t="s">
        <v>8331</v>
      </c>
      <c r="E2569" s="10" t="s">
        <v>8332</v>
      </c>
      <c r="F2569" s="10" t="s">
        <v>8333</v>
      </c>
      <c r="G2569" s="10" t="s">
        <v>8397</v>
      </c>
      <c r="H2569" s="10" t="s">
        <v>8398</v>
      </c>
      <c r="I2569" s="9"/>
      <c r="J2569" s="370"/>
      <c r="K2569" s="10" t="s">
        <v>8399</v>
      </c>
      <c r="L2569" s="10" t="s">
        <v>8400</v>
      </c>
      <c r="N2569" s="16"/>
      <c r="O2569" s="16"/>
      <c r="P2569" s="16"/>
      <c r="Q2569" s="16"/>
      <c r="R2569" s="16"/>
      <c r="S2569" s="16"/>
      <c r="U2569" t="e">
        <f>VLOOKUP(T2569,[8]Votes!$A$1:$E$234,3,FALSE)</f>
        <v>#N/A</v>
      </c>
      <c r="V2569" t="s">
        <v>8405</v>
      </c>
      <c r="W2569" s="369">
        <v>1</v>
      </c>
      <c r="X2569" s="369">
        <v>1</v>
      </c>
      <c r="Y2569" s="369">
        <v>1</v>
      </c>
      <c r="Z2569" s="369">
        <v>0</v>
      </c>
      <c r="AA2569" s="369">
        <v>1</v>
      </c>
      <c r="AB2569" s="369">
        <v>1</v>
      </c>
      <c r="AC2569" s="369">
        <v>1</v>
      </c>
      <c r="AD2569" s="369">
        <v>1</v>
      </c>
      <c r="AE2569" s="49">
        <f t="shared" si="129"/>
        <v>0.875</v>
      </c>
      <c r="AF2569" s="17">
        <v>1</v>
      </c>
      <c r="AG2569" s="17">
        <v>0</v>
      </c>
      <c r="AH2569" s="17">
        <v>0</v>
      </c>
      <c r="AI2569" s="17">
        <v>0</v>
      </c>
      <c r="AJ2569" s="17">
        <v>0</v>
      </c>
      <c r="AK2569" s="153">
        <v>1</v>
      </c>
      <c r="AL2569" s="154">
        <v>2</v>
      </c>
      <c r="AM2569" s="17">
        <f t="shared" si="130"/>
        <v>3</v>
      </c>
      <c r="AN2569" s="44" t="s">
        <v>8341</v>
      </c>
      <c r="AO2569" s="18" t="s">
        <v>1037</v>
      </c>
      <c r="AP2569" t="s">
        <v>119</v>
      </c>
    </row>
    <row r="2570" spans="1:44" s="10" customFormat="1" x14ac:dyDescent="0.3">
      <c r="A2570" s="367" t="s">
        <v>8317</v>
      </c>
      <c r="B2570" s="10" t="s">
        <v>8318</v>
      </c>
      <c r="C2570" s="368" t="s">
        <v>8330</v>
      </c>
      <c r="D2570" s="10" t="s">
        <v>8331</v>
      </c>
      <c r="E2570" s="10" t="s">
        <v>8332</v>
      </c>
      <c r="F2570" s="10" t="s">
        <v>8333</v>
      </c>
      <c r="G2570" s="10" t="s">
        <v>8397</v>
      </c>
      <c r="H2570" s="10" t="s">
        <v>8398</v>
      </c>
      <c r="I2570" s="9"/>
      <c r="J2570" s="370"/>
      <c r="K2570" s="10" t="s">
        <v>8399</v>
      </c>
      <c r="L2570" s="10" t="s">
        <v>8400</v>
      </c>
      <c r="M2570" s="10" t="s">
        <v>8406</v>
      </c>
      <c r="N2570" s="16">
        <v>0</v>
      </c>
      <c r="O2570" s="16">
        <v>0</v>
      </c>
      <c r="P2570" s="16">
        <v>120</v>
      </c>
      <c r="Q2570" s="16">
        <v>140</v>
      </c>
      <c r="R2570" s="16">
        <v>200</v>
      </c>
      <c r="S2570" s="16">
        <v>150</v>
      </c>
      <c r="T2570" s="10" t="s">
        <v>8339</v>
      </c>
      <c r="U2570" t="e">
        <f>VLOOKUP(T2570,[8]Votes!$A$1:$E$234,3,FALSE)</f>
        <v>#N/A</v>
      </c>
      <c r="V2570" t="s">
        <v>8407</v>
      </c>
      <c r="W2570" s="369">
        <v>1</v>
      </c>
      <c r="X2570" s="369">
        <v>1</v>
      </c>
      <c r="Y2570" s="369">
        <v>1</v>
      </c>
      <c r="Z2570" s="369">
        <v>0</v>
      </c>
      <c r="AA2570" s="369">
        <v>1</v>
      </c>
      <c r="AB2570" s="369">
        <v>1</v>
      </c>
      <c r="AC2570" s="369">
        <v>1</v>
      </c>
      <c r="AD2570" s="369">
        <v>1</v>
      </c>
      <c r="AE2570" s="49">
        <f t="shared" si="129"/>
        <v>0.875</v>
      </c>
      <c r="AF2570" s="44"/>
      <c r="AG2570" s="17">
        <v>0</v>
      </c>
      <c r="AH2570" s="44">
        <v>30</v>
      </c>
      <c r="AI2570" s="44">
        <v>20</v>
      </c>
      <c r="AJ2570" s="44">
        <v>20</v>
      </c>
      <c r="AK2570" s="151">
        <v>5</v>
      </c>
      <c r="AL2570" s="151">
        <v>10</v>
      </c>
      <c r="AM2570" s="17">
        <f t="shared" si="130"/>
        <v>15</v>
      </c>
      <c r="AN2570" s="44" t="s">
        <v>8341</v>
      </c>
      <c r="AO2570" s="18" t="s">
        <v>1037</v>
      </c>
      <c r="AP2570" t="s">
        <v>7071</v>
      </c>
    </row>
    <row r="2571" spans="1:44" s="10" customFormat="1" x14ac:dyDescent="0.3">
      <c r="A2571" s="367" t="s">
        <v>8317</v>
      </c>
      <c r="B2571" s="10" t="s">
        <v>8318</v>
      </c>
      <c r="C2571" s="368" t="s">
        <v>8330</v>
      </c>
      <c r="D2571" s="10" t="s">
        <v>8331</v>
      </c>
      <c r="E2571" s="10" t="s">
        <v>8332</v>
      </c>
      <c r="F2571" s="10" t="s">
        <v>8333</v>
      </c>
      <c r="G2571" s="10" t="s">
        <v>8397</v>
      </c>
      <c r="H2571" s="10" t="s">
        <v>8398</v>
      </c>
      <c r="I2571" s="9"/>
      <c r="J2571" s="370"/>
      <c r="K2571" s="10" t="s">
        <v>8399</v>
      </c>
      <c r="L2571" s="10" t="s">
        <v>8400</v>
      </c>
      <c r="N2571" s="16"/>
      <c r="O2571" s="16"/>
      <c r="P2571" s="16"/>
      <c r="Q2571" s="16"/>
      <c r="R2571" s="16"/>
      <c r="S2571" s="16"/>
      <c r="U2571" t="e">
        <f>VLOOKUP(T2571,[8]Votes!$A$1:$E$234,3,FALSE)</f>
        <v>#N/A</v>
      </c>
      <c r="V2571" t="s">
        <v>8408</v>
      </c>
      <c r="W2571" s="369">
        <v>1</v>
      </c>
      <c r="X2571" s="369">
        <v>1</v>
      </c>
      <c r="Y2571" s="369">
        <v>1</v>
      </c>
      <c r="Z2571" s="369">
        <v>0</v>
      </c>
      <c r="AA2571" s="369">
        <v>1</v>
      </c>
      <c r="AB2571" s="369">
        <v>1</v>
      </c>
      <c r="AC2571" s="369">
        <v>1</v>
      </c>
      <c r="AD2571" s="369">
        <v>1</v>
      </c>
      <c r="AE2571" s="49">
        <f t="shared" si="129"/>
        <v>0.875</v>
      </c>
      <c r="AF2571" s="44"/>
      <c r="AG2571" s="17">
        <v>0</v>
      </c>
      <c r="AH2571" s="44">
        <v>5</v>
      </c>
      <c r="AI2571" s="44">
        <v>0.4</v>
      </c>
      <c r="AJ2571" s="44">
        <v>5</v>
      </c>
      <c r="AK2571" s="151">
        <v>2</v>
      </c>
      <c r="AL2571" s="151">
        <v>2</v>
      </c>
      <c r="AM2571" s="17">
        <f t="shared" si="130"/>
        <v>4</v>
      </c>
      <c r="AN2571" s="44" t="s">
        <v>8409</v>
      </c>
      <c r="AO2571" s="18" t="s">
        <v>1037</v>
      </c>
      <c r="AP2571" t="s">
        <v>8410</v>
      </c>
      <c r="AQ2571"/>
      <c r="AR2571"/>
    </row>
    <row r="2572" spans="1:44" s="10" customFormat="1" x14ac:dyDescent="0.3">
      <c r="A2572" s="367" t="s">
        <v>8317</v>
      </c>
      <c r="B2572" s="10" t="s">
        <v>8318</v>
      </c>
      <c r="C2572" s="368" t="s">
        <v>8330</v>
      </c>
      <c r="D2572" s="10" t="s">
        <v>8331</v>
      </c>
      <c r="E2572" s="10" t="s">
        <v>8332</v>
      </c>
      <c r="F2572" s="10" t="s">
        <v>8333</v>
      </c>
      <c r="G2572" s="10" t="s">
        <v>8397</v>
      </c>
      <c r="H2572" s="10" t="s">
        <v>8398</v>
      </c>
      <c r="I2572" s="9"/>
      <c r="J2572" s="370"/>
      <c r="K2572" s="10" t="s">
        <v>8399</v>
      </c>
      <c r="L2572" s="10" t="s">
        <v>8400</v>
      </c>
      <c r="N2572" s="16"/>
      <c r="O2572" s="16"/>
      <c r="P2572" s="16"/>
      <c r="Q2572" s="16"/>
      <c r="R2572" s="16"/>
      <c r="S2572" s="16"/>
      <c r="U2572" t="e">
        <f>VLOOKUP(T2572,[8]Votes!$A$1:$E$234,3,FALSE)</f>
        <v>#N/A</v>
      </c>
      <c r="V2572" t="s">
        <v>8411</v>
      </c>
      <c r="W2572" s="369">
        <v>1</v>
      </c>
      <c r="X2572" s="369">
        <v>1</v>
      </c>
      <c r="Y2572" s="369">
        <v>1</v>
      </c>
      <c r="Z2572" s="369">
        <v>0</v>
      </c>
      <c r="AA2572" s="369">
        <v>1</v>
      </c>
      <c r="AB2572" s="369">
        <v>1</v>
      </c>
      <c r="AC2572" s="369">
        <v>1</v>
      </c>
      <c r="AD2572" s="369">
        <v>1</v>
      </c>
      <c r="AE2572" s="49">
        <f t="shared" si="129"/>
        <v>0.875</v>
      </c>
      <c r="AF2572" s="44"/>
      <c r="AG2572" s="17">
        <v>0</v>
      </c>
      <c r="AH2572" s="44">
        <v>0.5</v>
      </c>
      <c r="AI2572" s="44">
        <v>0.5</v>
      </c>
      <c r="AJ2572" s="44">
        <v>0.5</v>
      </c>
      <c r="AK2572" s="151">
        <v>0.5</v>
      </c>
      <c r="AL2572" s="151">
        <v>0.5</v>
      </c>
      <c r="AM2572" s="17">
        <f t="shared" si="130"/>
        <v>1</v>
      </c>
      <c r="AN2572" s="44" t="s">
        <v>8409</v>
      </c>
      <c r="AO2572" s="18" t="s">
        <v>1037</v>
      </c>
      <c r="AP2572" t="s">
        <v>8412</v>
      </c>
      <c r="AQ2572"/>
      <c r="AR2572"/>
    </row>
    <row r="2573" spans="1:44" s="10" customFormat="1" x14ac:dyDescent="0.3">
      <c r="A2573" s="367" t="s">
        <v>8317</v>
      </c>
      <c r="B2573" s="10" t="s">
        <v>8318</v>
      </c>
      <c r="C2573" s="368" t="s">
        <v>8330</v>
      </c>
      <c r="D2573" s="10" t="s">
        <v>8331</v>
      </c>
      <c r="E2573" s="10" t="s">
        <v>8332</v>
      </c>
      <c r="F2573" s="10" t="s">
        <v>8333</v>
      </c>
      <c r="G2573" s="10" t="s">
        <v>8397</v>
      </c>
      <c r="H2573" s="10" t="s">
        <v>8398</v>
      </c>
      <c r="I2573" s="9"/>
      <c r="J2573" s="370"/>
      <c r="K2573" s="10" t="s">
        <v>8399</v>
      </c>
      <c r="L2573" s="10" t="s">
        <v>8400</v>
      </c>
      <c r="N2573" s="16"/>
      <c r="O2573" s="16"/>
      <c r="P2573" s="16"/>
      <c r="Q2573" s="16"/>
      <c r="R2573" s="16"/>
      <c r="S2573" s="16"/>
      <c r="U2573" t="e">
        <f>VLOOKUP(T2573,[8]Votes!$A$1:$E$234,3,FALSE)</f>
        <v>#N/A</v>
      </c>
      <c r="V2573" t="s">
        <v>8413</v>
      </c>
      <c r="W2573" s="369">
        <v>1</v>
      </c>
      <c r="X2573" s="369">
        <v>1</v>
      </c>
      <c r="Y2573" s="369">
        <v>1</v>
      </c>
      <c r="Z2573" s="369">
        <v>0</v>
      </c>
      <c r="AA2573" s="369">
        <v>1</v>
      </c>
      <c r="AB2573" s="369">
        <v>1</v>
      </c>
      <c r="AC2573" s="369">
        <v>1</v>
      </c>
      <c r="AD2573" s="369">
        <v>1</v>
      </c>
      <c r="AE2573" s="49">
        <f t="shared" si="129"/>
        <v>0.875</v>
      </c>
      <c r="AF2573" s="44"/>
      <c r="AG2573" s="17">
        <v>0</v>
      </c>
      <c r="AH2573" s="44">
        <v>0</v>
      </c>
      <c r="AI2573" s="44">
        <v>2</v>
      </c>
      <c r="AJ2573" s="44">
        <v>2</v>
      </c>
      <c r="AK2573" s="153">
        <v>0</v>
      </c>
      <c r="AL2573" s="154">
        <v>0</v>
      </c>
      <c r="AM2573" s="17">
        <f t="shared" si="130"/>
        <v>0</v>
      </c>
      <c r="AN2573" s="44" t="s">
        <v>8409</v>
      </c>
      <c r="AO2573" s="18" t="s">
        <v>1037</v>
      </c>
      <c r="AP2573" t="s">
        <v>8339</v>
      </c>
      <c r="AQ2573"/>
      <c r="AR2573"/>
    </row>
    <row r="2574" spans="1:44" s="10" customFormat="1" x14ac:dyDescent="0.3">
      <c r="A2574" s="367" t="s">
        <v>8317</v>
      </c>
      <c r="B2574" s="10" t="s">
        <v>8318</v>
      </c>
      <c r="C2574" s="368" t="s">
        <v>8330</v>
      </c>
      <c r="D2574" s="10" t="s">
        <v>8331</v>
      </c>
      <c r="E2574" s="10" t="s">
        <v>8332</v>
      </c>
      <c r="F2574" s="10" t="s">
        <v>8333</v>
      </c>
      <c r="G2574" s="10" t="s">
        <v>8397</v>
      </c>
      <c r="H2574" s="10" t="s">
        <v>8398</v>
      </c>
      <c r="I2574" s="9"/>
      <c r="J2574" s="370"/>
      <c r="K2574" s="10" t="s">
        <v>8399</v>
      </c>
      <c r="L2574" s="10" t="s">
        <v>8400</v>
      </c>
      <c r="N2574" s="16"/>
      <c r="O2574" s="16"/>
      <c r="P2574" s="16"/>
      <c r="Q2574" s="16"/>
      <c r="R2574" s="16"/>
      <c r="S2574" s="16"/>
      <c r="U2574" t="e">
        <f>VLOOKUP(T2574,[8]Votes!$A$1:$E$234,3,FALSE)</f>
        <v>#N/A</v>
      </c>
      <c r="V2574" t="s">
        <v>8414</v>
      </c>
      <c r="W2574" s="369">
        <v>1</v>
      </c>
      <c r="X2574" s="369">
        <v>1</v>
      </c>
      <c r="Y2574" s="369">
        <v>1</v>
      </c>
      <c r="Z2574" s="369">
        <v>0</v>
      </c>
      <c r="AA2574" s="369">
        <v>1</v>
      </c>
      <c r="AB2574" s="369">
        <v>1</v>
      </c>
      <c r="AC2574" s="369">
        <v>1</v>
      </c>
      <c r="AD2574" s="369">
        <v>1</v>
      </c>
      <c r="AE2574" s="49">
        <f t="shared" si="129"/>
        <v>0.875</v>
      </c>
      <c r="AF2574" s="44"/>
      <c r="AG2574" s="17">
        <v>0</v>
      </c>
      <c r="AH2574" s="44">
        <v>0.5</v>
      </c>
      <c r="AI2574" s="44">
        <v>0.5</v>
      </c>
      <c r="AJ2574" s="44">
        <v>0.5</v>
      </c>
      <c r="AK2574" s="151"/>
      <c r="AL2574" s="151"/>
      <c r="AM2574" s="17">
        <f t="shared" si="130"/>
        <v>0</v>
      </c>
      <c r="AN2574" s="44" t="s">
        <v>8341</v>
      </c>
      <c r="AO2574" s="18" t="s">
        <v>1037</v>
      </c>
      <c r="AP2574" t="s">
        <v>119</v>
      </c>
      <c r="AQ2574"/>
      <c r="AR2574"/>
    </row>
    <row r="2575" spans="1:44" s="10" customFormat="1" x14ac:dyDescent="0.3">
      <c r="A2575" s="367" t="s">
        <v>8317</v>
      </c>
      <c r="B2575" s="10" t="s">
        <v>8318</v>
      </c>
      <c r="C2575" s="368" t="s">
        <v>8330</v>
      </c>
      <c r="D2575" s="10" t="s">
        <v>8331</v>
      </c>
      <c r="E2575" s="10" t="s">
        <v>8332</v>
      </c>
      <c r="F2575" s="10" t="s">
        <v>8333</v>
      </c>
      <c r="G2575" s="10" t="s">
        <v>8415</v>
      </c>
      <c r="H2575" s="10" t="s">
        <v>8416</v>
      </c>
      <c r="I2575" s="9"/>
      <c r="J2575" s="370"/>
      <c r="K2575" s="10" t="s">
        <v>8417</v>
      </c>
      <c r="L2575" s="10" t="s">
        <v>8418</v>
      </c>
      <c r="M2575" s="10" t="s">
        <v>8419</v>
      </c>
      <c r="N2575" s="16">
        <v>11438</v>
      </c>
      <c r="O2575" s="16">
        <v>2500</v>
      </c>
      <c r="P2575" s="16">
        <v>1000</v>
      </c>
      <c r="Q2575" s="16">
        <v>1000</v>
      </c>
      <c r="R2575" s="16">
        <v>2000</v>
      </c>
      <c r="S2575" s="16">
        <v>2000</v>
      </c>
      <c r="T2575" s="10" t="s">
        <v>8420</v>
      </c>
      <c r="U2575" t="str">
        <f>VLOOKUP(T2575,[8]Votes!$A$1:$E$234,3,FALSE)</f>
        <v>123 Rural Electrification Agency (REA)</v>
      </c>
      <c r="V2575" t="s">
        <v>8421</v>
      </c>
      <c r="W2575" s="369">
        <v>1</v>
      </c>
      <c r="X2575" s="369">
        <v>1</v>
      </c>
      <c r="Y2575" s="369">
        <v>1</v>
      </c>
      <c r="Z2575" s="369">
        <v>0</v>
      </c>
      <c r="AA2575" s="369">
        <v>1</v>
      </c>
      <c r="AB2575" s="369">
        <v>1</v>
      </c>
      <c r="AC2575" s="369">
        <v>1</v>
      </c>
      <c r="AD2575" s="369">
        <v>1</v>
      </c>
      <c r="AE2575" s="49">
        <f t="shared" si="129"/>
        <v>0.875</v>
      </c>
      <c r="AF2575" s="44"/>
      <c r="AG2575" s="17"/>
      <c r="AH2575" s="44">
        <v>5</v>
      </c>
      <c r="AI2575" s="44">
        <v>5</v>
      </c>
      <c r="AJ2575" s="44">
        <v>50</v>
      </c>
      <c r="AK2575" s="151">
        <v>16.25</v>
      </c>
      <c r="AL2575" s="151">
        <v>10.199999999999999</v>
      </c>
      <c r="AM2575" s="17">
        <f t="shared" si="130"/>
        <v>26.45</v>
      </c>
      <c r="AN2575" s="44" t="s">
        <v>8422</v>
      </c>
      <c r="AO2575" s="18" t="s">
        <v>1037</v>
      </c>
      <c r="AP2575" t="s">
        <v>8420</v>
      </c>
    </row>
    <row r="2576" spans="1:44" s="10" customFormat="1" x14ac:dyDescent="0.3">
      <c r="A2576" s="367" t="s">
        <v>8317</v>
      </c>
      <c r="B2576" s="10" t="s">
        <v>8318</v>
      </c>
      <c r="C2576" s="368" t="s">
        <v>8330</v>
      </c>
      <c r="D2576" s="10" t="s">
        <v>8331</v>
      </c>
      <c r="E2576" s="10" t="s">
        <v>8332</v>
      </c>
      <c r="F2576" s="10" t="s">
        <v>8333</v>
      </c>
      <c r="G2576" s="10" t="s">
        <v>8415</v>
      </c>
      <c r="H2576" s="10" t="s">
        <v>8416</v>
      </c>
      <c r="I2576" s="9"/>
      <c r="J2576" s="370"/>
      <c r="K2576" s="10" t="s">
        <v>8417</v>
      </c>
      <c r="L2576" s="10" t="s">
        <v>8418</v>
      </c>
      <c r="M2576" s="10" t="s">
        <v>8423</v>
      </c>
      <c r="N2576" s="16">
        <v>7917</v>
      </c>
      <c r="O2576" s="16">
        <v>2000</v>
      </c>
      <c r="P2576" s="16">
        <v>1000</v>
      </c>
      <c r="Q2576" s="16">
        <v>1000</v>
      </c>
      <c r="R2576" s="16">
        <v>1500</v>
      </c>
      <c r="S2576" s="16">
        <v>1500</v>
      </c>
      <c r="T2576" s="10" t="s">
        <v>8420</v>
      </c>
      <c r="U2576" t="str">
        <f>VLOOKUP(T2576,[8]Votes!$A$1:$E$234,3,FALSE)</f>
        <v>123 Rural Electrification Agency (REA)</v>
      </c>
      <c r="V2576" t="s">
        <v>8424</v>
      </c>
      <c r="W2576" s="369">
        <v>1</v>
      </c>
      <c r="X2576" s="369">
        <v>1</v>
      </c>
      <c r="Y2576" s="369">
        <v>1</v>
      </c>
      <c r="Z2576" s="369">
        <v>0</v>
      </c>
      <c r="AA2576" s="369">
        <v>1</v>
      </c>
      <c r="AB2576" s="369">
        <v>1</v>
      </c>
      <c r="AC2576" s="369">
        <v>1</v>
      </c>
      <c r="AD2576" s="369">
        <v>1</v>
      </c>
      <c r="AE2576" s="49">
        <f t="shared" si="129"/>
        <v>0.875</v>
      </c>
      <c r="AF2576" s="17"/>
      <c r="AG2576" s="17"/>
      <c r="AH2576" s="17">
        <v>0</v>
      </c>
      <c r="AI2576" s="17">
        <v>0</v>
      </c>
      <c r="AJ2576" s="17">
        <v>0</v>
      </c>
      <c r="AK2576" s="153"/>
      <c r="AL2576" s="154"/>
      <c r="AM2576" s="17">
        <f t="shared" si="130"/>
        <v>0</v>
      </c>
      <c r="AN2576" s="44" t="s">
        <v>8420</v>
      </c>
      <c r="AO2576" s="18" t="s">
        <v>8425</v>
      </c>
      <c r="AP2576" t="s">
        <v>8426</v>
      </c>
    </row>
    <row r="2577" spans="1:42" s="10" customFormat="1" x14ac:dyDescent="0.3">
      <c r="A2577" s="367" t="s">
        <v>8317</v>
      </c>
      <c r="B2577" s="10" t="s">
        <v>8318</v>
      </c>
      <c r="C2577" s="368" t="s">
        <v>8330</v>
      </c>
      <c r="D2577" s="10" t="s">
        <v>8331</v>
      </c>
      <c r="E2577" s="10" t="s">
        <v>8332</v>
      </c>
      <c r="F2577" s="10" t="s">
        <v>8333</v>
      </c>
      <c r="G2577" s="10" t="s">
        <v>8415</v>
      </c>
      <c r="H2577" s="10" t="s">
        <v>8416</v>
      </c>
      <c r="I2577" s="9"/>
      <c r="J2577" s="370"/>
      <c r="K2577" s="10" t="s">
        <v>8417</v>
      </c>
      <c r="L2577" s="10" t="s">
        <v>8418</v>
      </c>
      <c r="N2577" s="16"/>
      <c r="O2577" s="16"/>
      <c r="P2577" s="16"/>
      <c r="Q2577" s="16"/>
      <c r="R2577" s="16"/>
      <c r="S2577" s="16"/>
      <c r="U2577" t="e">
        <f>VLOOKUP(T2577,[8]Votes!$A$1:$E$234,3,FALSE)</f>
        <v>#N/A</v>
      </c>
      <c r="V2577" t="s">
        <v>8427</v>
      </c>
      <c r="W2577" s="369">
        <v>1</v>
      </c>
      <c r="X2577" s="369">
        <v>1</v>
      </c>
      <c r="Y2577" s="369">
        <v>1</v>
      </c>
      <c r="Z2577" s="369">
        <v>0</v>
      </c>
      <c r="AA2577" s="369">
        <v>1</v>
      </c>
      <c r="AB2577" s="369">
        <v>1</v>
      </c>
      <c r="AC2577" s="369">
        <v>1</v>
      </c>
      <c r="AD2577" s="369">
        <v>1</v>
      </c>
      <c r="AE2577" s="49">
        <f t="shared" si="129"/>
        <v>0.875</v>
      </c>
      <c r="AF2577" s="17"/>
      <c r="AG2577" s="17">
        <v>0</v>
      </c>
      <c r="AH2577" s="17">
        <v>0</v>
      </c>
      <c r="AI2577" s="17">
        <v>0</v>
      </c>
      <c r="AJ2577" s="17">
        <v>0</v>
      </c>
      <c r="AK2577" s="153">
        <v>50</v>
      </c>
      <c r="AL2577" s="154">
        <v>50</v>
      </c>
      <c r="AM2577" s="17">
        <f t="shared" si="130"/>
        <v>100</v>
      </c>
      <c r="AN2577" s="44" t="s">
        <v>8422</v>
      </c>
      <c r="AO2577" s="18" t="s">
        <v>1037</v>
      </c>
      <c r="AP2577" t="s">
        <v>8420</v>
      </c>
    </row>
    <row r="2578" spans="1:42" s="10" customFormat="1" x14ac:dyDescent="0.3">
      <c r="A2578" s="367" t="s">
        <v>8317</v>
      </c>
      <c r="B2578" s="10" t="s">
        <v>8318</v>
      </c>
      <c r="C2578" s="368" t="s">
        <v>8330</v>
      </c>
      <c r="D2578" s="10" t="s">
        <v>8331</v>
      </c>
      <c r="E2578" s="10" t="s">
        <v>8332</v>
      </c>
      <c r="F2578" s="10" t="s">
        <v>8333</v>
      </c>
      <c r="G2578" s="10" t="s">
        <v>8415</v>
      </c>
      <c r="H2578" s="10" t="s">
        <v>8416</v>
      </c>
      <c r="I2578" s="9"/>
      <c r="J2578" s="370"/>
      <c r="K2578" s="10" t="s">
        <v>8417</v>
      </c>
      <c r="L2578" s="10" t="s">
        <v>8418</v>
      </c>
      <c r="N2578" s="16"/>
      <c r="O2578" s="16"/>
      <c r="P2578" s="16"/>
      <c r="Q2578" s="16"/>
      <c r="R2578" s="16"/>
      <c r="S2578" s="16"/>
      <c r="U2578" t="e">
        <f>VLOOKUP(T2578,[8]Votes!$A$1:$E$234,3,FALSE)</f>
        <v>#N/A</v>
      </c>
      <c r="V2578" t="s">
        <v>8428</v>
      </c>
      <c r="W2578" s="369">
        <v>1</v>
      </c>
      <c r="X2578" s="369">
        <v>1</v>
      </c>
      <c r="Y2578" s="369">
        <v>0</v>
      </c>
      <c r="Z2578" s="369">
        <v>0</v>
      </c>
      <c r="AA2578" s="369">
        <v>1</v>
      </c>
      <c r="AB2578" s="369">
        <v>1</v>
      </c>
      <c r="AC2578" s="369">
        <v>1</v>
      </c>
      <c r="AD2578" s="369">
        <v>1</v>
      </c>
      <c r="AE2578" s="49">
        <f t="shared" si="129"/>
        <v>0.75</v>
      </c>
      <c r="AF2578" s="17"/>
      <c r="AG2578" s="17">
        <v>0</v>
      </c>
      <c r="AH2578" s="17">
        <v>0</v>
      </c>
      <c r="AI2578" s="17">
        <v>0</v>
      </c>
      <c r="AJ2578" s="17">
        <v>0</v>
      </c>
      <c r="AK2578" s="153">
        <v>0</v>
      </c>
      <c r="AL2578" s="154">
        <v>0</v>
      </c>
      <c r="AM2578" s="17">
        <f t="shared" si="130"/>
        <v>0</v>
      </c>
      <c r="AN2578" s="44" t="s">
        <v>570</v>
      </c>
      <c r="AO2578" s="18" t="s">
        <v>2875</v>
      </c>
      <c r="AP2578" t="s">
        <v>8429</v>
      </c>
    </row>
    <row r="2579" spans="1:42" s="10" customFormat="1" x14ac:dyDescent="0.3">
      <c r="A2579" s="367" t="s">
        <v>8317</v>
      </c>
      <c r="B2579" s="10" t="s">
        <v>8318</v>
      </c>
      <c r="C2579" s="368" t="s">
        <v>8330</v>
      </c>
      <c r="D2579" s="10" t="s">
        <v>8331</v>
      </c>
      <c r="E2579" s="10" t="s">
        <v>8332</v>
      </c>
      <c r="F2579" s="10" t="s">
        <v>8333</v>
      </c>
      <c r="G2579" s="10" t="s">
        <v>8415</v>
      </c>
      <c r="H2579" s="10" t="s">
        <v>8416</v>
      </c>
      <c r="I2579" s="9"/>
      <c r="J2579" s="370"/>
      <c r="K2579" s="10" t="s">
        <v>8417</v>
      </c>
      <c r="L2579" s="10" t="s">
        <v>8418</v>
      </c>
      <c r="N2579" s="16"/>
      <c r="O2579" s="16"/>
      <c r="P2579" s="16"/>
      <c r="Q2579" s="16"/>
      <c r="R2579" s="16"/>
      <c r="S2579" s="16"/>
      <c r="U2579" t="e">
        <f>VLOOKUP(T2579,[8]Votes!$A$1:$E$234,3,FALSE)</f>
        <v>#N/A</v>
      </c>
      <c r="V2579" t="s">
        <v>8430</v>
      </c>
      <c r="W2579" s="369">
        <v>1</v>
      </c>
      <c r="X2579" s="369">
        <v>1</v>
      </c>
      <c r="Y2579" s="369">
        <v>1</v>
      </c>
      <c r="Z2579" s="369">
        <v>0</v>
      </c>
      <c r="AA2579" s="369">
        <v>1</v>
      </c>
      <c r="AB2579" s="369">
        <v>1</v>
      </c>
      <c r="AC2579" s="369">
        <v>1</v>
      </c>
      <c r="AD2579" s="369">
        <v>1</v>
      </c>
      <c r="AE2579" s="49">
        <f t="shared" si="129"/>
        <v>0.875</v>
      </c>
      <c r="AF2579" s="17"/>
      <c r="AG2579" s="17">
        <v>0</v>
      </c>
      <c r="AH2579" s="17">
        <v>0</v>
      </c>
      <c r="AI2579" s="17">
        <v>0</v>
      </c>
      <c r="AJ2579" s="17">
        <v>0</v>
      </c>
      <c r="AK2579" s="153"/>
      <c r="AL2579" s="154"/>
      <c r="AM2579" s="17">
        <f t="shared" si="130"/>
        <v>0</v>
      </c>
      <c r="AN2579" s="44" t="s">
        <v>8422</v>
      </c>
      <c r="AO2579" s="18" t="s">
        <v>1037</v>
      </c>
      <c r="AP2579" t="s">
        <v>8431</v>
      </c>
    </row>
    <row r="2580" spans="1:42" s="10" customFormat="1" x14ac:dyDescent="0.3">
      <c r="A2580" s="367" t="s">
        <v>8317</v>
      </c>
      <c r="B2580" s="10" t="s">
        <v>8318</v>
      </c>
      <c r="C2580" s="368" t="s">
        <v>8330</v>
      </c>
      <c r="D2580" s="10" t="s">
        <v>8331</v>
      </c>
      <c r="E2580" s="10" t="s">
        <v>8332</v>
      </c>
      <c r="F2580" s="10" t="s">
        <v>8333</v>
      </c>
      <c r="G2580" s="10" t="s">
        <v>8415</v>
      </c>
      <c r="H2580" s="10" t="s">
        <v>8416</v>
      </c>
      <c r="I2580" s="9"/>
      <c r="J2580" s="370"/>
      <c r="K2580" s="10" t="s">
        <v>8417</v>
      </c>
      <c r="L2580" s="10" t="s">
        <v>8418</v>
      </c>
      <c r="N2580" s="16"/>
      <c r="O2580" s="16"/>
      <c r="P2580" s="16"/>
      <c r="Q2580" s="16"/>
      <c r="R2580" s="16"/>
      <c r="S2580" s="16"/>
      <c r="U2580" t="e">
        <f>VLOOKUP(T2580,[8]Votes!$A$1:$E$234,3,FALSE)</f>
        <v>#N/A</v>
      </c>
      <c r="V2580" t="s">
        <v>8432</v>
      </c>
      <c r="W2580" s="369">
        <v>1</v>
      </c>
      <c r="X2580" s="369">
        <v>1</v>
      </c>
      <c r="Y2580" s="369">
        <v>1</v>
      </c>
      <c r="Z2580" s="369">
        <v>0</v>
      </c>
      <c r="AA2580" s="369">
        <v>1</v>
      </c>
      <c r="AB2580" s="369">
        <v>1</v>
      </c>
      <c r="AC2580" s="369">
        <v>1</v>
      </c>
      <c r="AD2580" s="369">
        <v>1</v>
      </c>
      <c r="AE2580" s="49">
        <f t="shared" si="129"/>
        <v>0.875</v>
      </c>
      <c r="AF2580" s="44"/>
      <c r="AG2580" s="17">
        <v>0</v>
      </c>
      <c r="AH2580" s="44">
        <v>60</v>
      </c>
      <c r="AI2580" s="44">
        <v>20</v>
      </c>
      <c r="AJ2580" s="44">
        <v>20</v>
      </c>
      <c r="AK2580" s="153">
        <v>5</v>
      </c>
      <c r="AL2580" s="154">
        <v>5</v>
      </c>
      <c r="AM2580" s="17">
        <f t="shared" si="130"/>
        <v>10</v>
      </c>
      <c r="AN2580" s="44" t="s">
        <v>8422</v>
      </c>
      <c r="AO2580" s="18" t="s">
        <v>1037</v>
      </c>
      <c r="AP2580" s="210" t="s">
        <v>8431</v>
      </c>
    </row>
    <row r="2581" spans="1:42" s="10" customFormat="1" x14ac:dyDescent="0.3">
      <c r="A2581" s="367" t="s">
        <v>8317</v>
      </c>
      <c r="B2581" s="10" t="s">
        <v>8318</v>
      </c>
      <c r="C2581" s="368" t="s">
        <v>8330</v>
      </c>
      <c r="D2581" s="10" t="s">
        <v>8331</v>
      </c>
      <c r="E2581" s="10" t="s">
        <v>8332</v>
      </c>
      <c r="F2581" s="10" t="s">
        <v>8333</v>
      </c>
      <c r="G2581" s="10" t="s">
        <v>8415</v>
      </c>
      <c r="H2581" s="10" t="s">
        <v>8416</v>
      </c>
      <c r="I2581" s="9"/>
      <c r="J2581" s="370"/>
      <c r="K2581" s="10" t="s">
        <v>8417</v>
      </c>
      <c r="L2581" s="10" t="s">
        <v>8418</v>
      </c>
      <c r="N2581" s="16"/>
      <c r="O2581" s="16"/>
      <c r="P2581" s="16"/>
      <c r="Q2581" s="16"/>
      <c r="R2581" s="16"/>
      <c r="S2581" s="16"/>
      <c r="U2581" t="e">
        <f>VLOOKUP(T2581,[8]Votes!$A$1:$E$234,3,FALSE)</f>
        <v>#N/A</v>
      </c>
      <c r="V2581" t="s">
        <v>8433</v>
      </c>
      <c r="W2581" s="369">
        <v>1</v>
      </c>
      <c r="X2581" s="369">
        <v>1</v>
      </c>
      <c r="Y2581" s="369">
        <v>1</v>
      </c>
      <c r="Z2581" s="369">
        <v>1</v>
      </c>
      <c r="AA2581" s="369">
        <v>1</v>
      </c>
      <c r="AB2581" s="369">
        <v>1</v>
      </c>
      <c r="AC2581" s="369">
        <v>0</v>
      </c>
      <c r="AD2581" s="369">
        <v>0</v>
      </c>
      <c r="AE2581" s="49">
        <f t="shared" si="129"/>
        <v>0.75</v>
      </c>
      <c r="AF2581" s="44"/>
      <c r="AG2581" s="17">
        <v>0</v>
      </c>
      <c r="AH2581" s="44">
        <v>40</v>
      </c>
      <c r="AI2581" s="44">
        <v>30</v>
      </c>
      <c r="AJ2581" s="44">
        <v>30</v>
      </c>
      <c r="AK2581" s="151">
        <v>15</v>
      </c>
      <c r="AL2581" s="151">
        <v>15</v>
      </c>
      <c r="AM2581" s="17">
        <f t="shared" si="130"/>
        <v>30</v>
      </c>
      <c r="AN2581" s="44" t="s">
        <v>8420</v>
      </c>
      <c r="AO2581" s="18" t="s">
        <v>8425</v>
      </c>
      <c r="AP2581" t="s">
        <v>8434</v>
      </c>
    </row>
    <row r="2582" spans="1:42" s="10" customFormat="1" x14ac:dyDescent="0.3">
      <c r="A2582" s="367" t="s">
        <v>8317</v>
      </c>
      <c r="B2582" s="10" t="s">
        <v>8318</v>
      </c>
      <c r="C2582" s="368" t="s">
        <v>8330</v>
      </c>
      <c r="D2582" s="10" t="s">
        <v>8331</v>
      </c>
      <c r="E2582" s="10" t="s">
        <v>8332</v>
      </c>
      <c r="F2582" s="10" t="s">
        <v>8333</v>
      </c>
      <c r="G2582" s="10" t="s">
        <v>8415</v>
      </c>
      <c r="H2582" s="10" t="s">
        <v>8416</v>
      </c>
      <c r="I2582" s="9"/>
      <c r="J2582" s="370"/>
      <c r="K2582" s="10" t="s">
        <v>8417</v>
      </c>
      <c r="L2582" s="10" t="s">
        <v>8418</v>
      </c>
      <c r="N2582" s="16"/>
      <c r="O2582" s="16"/>
      <c r="P2582" s="16"/>
      <c r="Q2582" s="16"/>
      <c r="R2582" s="16"/>
      <c r="S2582" s="16"/>
      <c r="U2582" t="e">
        <f>VLOOKUP(T2582,[8]Votes!$A$1:$E$234,3,FALSE)</f>
        <v>#N/A</v>
      </c>
      <c r="V2582" t="s">
        <v>8435</v>
      </c>
      <c r="W2582" s="369">
        <v>1</v>
      </c>
      <c r="X2582" s="369">
        <v>1</v>
      </c>
      <c r="Y2582" s="369">
        <v>1</v>
      </c>
      <c r="Z2582" s="369">
        <v>0</v>
      </c>
      <c r="AA2582" s="369">
        <v>1</v>
      </c>
      <c r="AB2582" s="369">
        <v>1</v>
      </c>
      <c r="AC2582" s="369">
        <v>1</v>
      </c>
      <c r="AD2582" s="369">
        <v>1</v>
      </c>
      <c r="AE2582" s="49">
        <f t="shared" si="129"/>
        <v>0.875</v>
      </c>
      <c r="AF2582" s="44"/>
      <c r="AG2582" s="17">
        <v>0</v>
      </c>
      <c r="AH2582" s="44">
        <v>30</v>
      </c>
      <c r="AI2582" s="44">
        <v>10</v>
      </c>
      <c r="AJ2582" s="44">
        <v>10</v>
      </c>
      <c r="AK2582" s="153">
        <v>5</v>
      </c>
      <c r="AL2582" s="154">
        <v>5</v>
      </c>
      <c r="AM2582" s="17">
        <f t="shared" si="130"/>
        <v>10</v>
      </c>
      <c r="AN2582" s="44" t="s">
        <v>8422</v>
      </c>
      <c r="AO2582" s="18" t="s">
        <v>1037</v>
      </c>
      <c r="AP2582" t="s">
        <v>8436</v>
      </c>
    </row>
    <row r="2583" spans="1:42" s="10" customFormat="1" x14ac:dyDescent="0.3">
      <c r="A2583" s="367" t="s">
        <v>8317</v>
      </c>
      <c r="B2583" s="10" t="s">
        <v>8318</v>
      </c>
      <c r="C2583" s="368" t="s">
        <v>8330</v>
      </c>
      <c r="D2583" s="10" t="s">
        <v>8331</v>
      </c>
      <c r="E2583" s="10" t="s">
        <v>8332</v>
      </c>
      <c r="F2583" s="10" t="s">
        <v>8333</v>
      </c>
      <c r="G2583" s="10" t="s">
        <v>8415</v>
      </c>
      <c r="H2583" s="10" t="s">
        <v>8416</v>
      </c>
      <c r="I2583" s="9"/>
      <c r="J2583" s="370"/>
      <c r="K2583" s="10" t="s">
        <v>8417</v>
      </c>
      <c r="L2583" s="10" t="s">
        <v>8418</v>
      </c>
      <c r="N2583" s="16"/>
      <c r="O2583" s="16"/>
      <c r="P2583" s="16"/>
      <c r="Q2583" s="16"/>
      <c r="R2583" s="16"/>
      <c r="S2583" s="16"/>
      <c r="U2583" t="e">
        <f>VLOOKUP(T2583,[8]Votes!$A$1:$E$234,3,FALSE)</f>
        <v>#N/A</v>
      </c>
      <c r="V2583" t="s">
        <v>8437</v>
      </c>
      <c r="W2583" s="369">
        <v>1</v>
      </c>
      <c r="X2583" s="369">
        <v>1</v>
      </c>
      <c r="Y2583" s="369">
        <v>1</v>
      </c>
      <c r="Z2583" s="369">
        <v>0</v>
      </c>
      <c r="AA2583" s="369">
        <v>1</v>
      </c>
      <c r="AB2583" s="369">
        <v>1</v>
      </c>
      <c r="AC2583" s="369">
        <v>1</v>
      </c>
      <c r="AD2583" s="369">
        <v>1</v>
      </c>
      <c r="AE2583" s="49">
        <f t="shared" si="129"/>
        <v>0.875</v>
      </c>
      <c r="AF2583" s="44"/>
      <c r="AG2583" s="17">
        <v>0</v>
      </c>
      <c r="AH2583" s="44">
        <v>10</v>
      </c>
      <c r="AI2583" s="44">
        <v>10</v>
      </c>
      <c r="AJ2583" s="44">
        <v>8</v>
      </c>
      <c r="AK2583" s="151">
        <v>8</v>
      </c>
      <c r="AL2583" s="151">
        <v>6</v>
      </c>
      <c r="AM2583" s="17">
        <f t="shared" si="130"/>
        <v>14</v>
      </c>
      <c r="AN2583" s="44" t="s">
        <v>8422</v>
      </c>
      <c r="AO2583" s="18" t="s">
        <v>1037</v>
      </c>
      <c r="AP2583" t="s">
        <v>8438</v>
      </c>
    </row>
    <row r="2584" spans="1:42" s="10" customFormat="1" x14ac:dyDescent="0.3">
      <c r="A2584" s="367" t="s">
        <v>8317</v>
      </c>
      <c r="B2584" s="10" t="s">
        <v>8318</v>
      </c>
      <c r="C2584" s="368" t="s">
        <v>8330</v>
      </c>
      <c r="D2584" s="10" t="s">
        <v>8331</v>
      </c>
      <c r="E2584" s="10" t="s">
        <v>8332</v>
      </c>
      <c r="F2584" s="10" t="s">
        <v>8333</v>
      </c>
      <c r="G2584" s="10" t="s">
        <v>8415</v>
      </c>
      <c r="H2584" s="10" t="s">
        <v>8416</v>
      </c>
      <c r="I2584" s="9"/>
      <c r="J2584" s="370"/>
      <c r="K2584" s="10" t="s">
        <v>8417</v>
      </c>
      <c r="L2584" s="10" t="s">
        <v>8418</v>
      </c>
      <c r="N2584" s="16"/>
      <c r="O2584" s="16"/>
      <c r="P2584" s="16"/>
      <c r="Q2584" s="16"/>
      <c r="R2584" s="16"/>
      <c r="S2584" s="16"/>
      <c r="U2584" t="e">
        <f>VLOOKUP(T2584,[8]Votes!$A$1:$E$234,3,FALSE)</f>
        <v>#N/A</v>
      </c>
      <c r="V2584" t="s">
        <v>8439</v>
      </c>
      <c r="W2584" s="369">
        <v>1</v>
      </c>
      <c r="X2584" s="369">
        <v>1</v>
      </c>
      <c r="Y2584" s="369">
        <v>1</v>
      </c>
      <c r="Z2584" s="369">
        <v>1</v>
      </c>
      <c r="AA2584" s="369">
        <v>1</v>
      </c>
      <c r="AB2584" s="369">
        <v>1</v>
      </c>
      <c r="AC2584" s="369">
        <v>0</v>
      </c>
      <c r="AD2584" s="369">
        <v>1</v>
      </c>
      <c r="AE2584" s="49">
        <f t="shared" si="129"/>
        <v>0.875</v>
      </c>
      <c r="AF2584" s="44"/>
      <c r="AG2584" s="17">
        <v>0</v>
      </c>
      <c r="AH2584" s="44">
        <v>25</v>
      </c>
      <c r="AI2584" s="44">
        <v>15</v>
      </c>
      <c r="AJ2584" s="44">
        <v>15</v>
      </c>
      <c r="AK2584" s="151">
        <v>10</v>
      </c>
      <c r="AL2584" s="151">
        <v>10</v>
      </c>
      <c r="AM2584" s="17">
        <f t="shared" si="130"/>
        <v>20</v>
      </c>
      <c r="AN2584" s="44" t="s">
        <v>8422</v>
      </c>
      <c r="AO2584" s="18" t="s">
        <v>1037</v>
      </c>
      <c r="AP2584" t="s">
        <v>8440</v>
      </c>
    </row>
    <row r="2585" spans="1:42" s="10" customFormat="1" x14ac:dyDescent="0.3">
      <c r="A2585" s="367" t="s">
        <v>8317</v>
      </c>
      <c r="B2585" s="10" t="s">
        <v>8318</v>
      </c>
      <c r="C2585" s="368" t="s">
        <v>8330</v>
      </c>
      <c r="D2585" s="10" t="s">
        <v>8331</v>
      </c>
      <c r="E2585" s="10" t="s">
        <v>8332</v>
      </c>
      <c r="F2585" s="10" t="s">
        <v>8333</v>
      </c>
      <c r="G2585" s="10" t="s">
        <v>8415</v>
      </c>
      <c r="H2585" s="10" t="s">
        <v>8416</v>
      </c>
      <c r="I2585" s="9"/>
      <c r="J2585" s="370"/>
      <c r="K2585" s="10" t="s">
        <v>8417</v>
      </c>
      <c r="L2585" s="10" t="s">
        <v>8418</v>
      </c>
      <c r="N2585" s="16"/>
      <c r="O2585" s="16"/>
      <c r="P2585" s="16"/>
      <c r="Q2585" s="16"/>
      <c r="R2585" s="16"/>
      <c r="S2585" s="16"/>
      <c r="U2585" t="e">
        <f>VLOOKUP(T2585,[8]Votes!$A$1:$E$234,3,FALSE)</f>
        <v>#N/A</v>
      </c>
      <c r="V2585" t="s">
        <v>8441</v>
      </c>
      <c r="W2585" s="369">
        <v>1</v>
      </c>
      <c r="X2585" s="369">
        <v>1</v>
      </c>
      <c r="Y2585" s="369">
        <v>1</v>
      </c>
      <c r="Z2585" s="369">
        <v>1</v>
      </c>
      <c r="AA2585" s="369">
        <v>1</v>
      </c>
      <c r="AB2585" s="369">
        <v>1</v>
      </c>
      <c r="AC2585" s="369">
        <v>0</v>
      </c>
      <c r="AD2585" s="369">
        <v>1</v>
      </c>
      <c r="AE2585" s="49">
        <f t="shared" si="129"/>
        <v>0.875</v>
      </c>
      <c r="AF2585" s="44"/>
      <c r="AG2585" s="17">
        <v>0</v>
      </c>
      <c r="AH2585" s="44">
        <v>25</v>
      </c>
      <c r="AI2585" s="44">
        <v>15</v>
      </c>
      <c r="AJ2585" s="44">
        <v>15</v>
      </c>
      <c r="AK2585" s="151">
        <v>10</v>
      </c>
      <c r="AL2585" s="151">
        <v>10</v>
      </c>
      <c r="AM2585" s="17">
        <f t="shared" si="130"/>
        <v>20</v>
      </c>
      <c r="AN2585" s="44" t="s">
        <v>8422</v>
      </c>
      <c r="AO2585" s="18" t="s">
        <v>1037</v>
      </c>
      <c r="AP2585" t="s">
        <v>8442</v>
      </c>
    </row>
    <row r="2586" spans="1:42" s="10" customFormat="1" x14ac:dyDescent="0.3">
      <c r="A2586" s="367" t="s">
        <v>8317</v>
      </c>
      <c r="B2586" s="10" t="s">
        <v>8318</v>
      </c>
      <c r="C2586" s="368" t="s">
        <v>8330</v>
      </c>
      <c r="D2586" s="10" t="s">
        <v>8331</v>
      </c>
      <c r="E2586" s="10" t="s">
        <v>8332</v>
      </c>
      <c r="F2586" s="10" t="s">
        <v>8333</v>
      </c>
      <c r="G2586" s="10" t="s">
        <v>8415</v>
      </c>
      <c r="H2586" s="10" t="s">
        <v>8416</v>
      </c>
      <c r="I2586" s="9"/>
      <c r="J2586" s="370"/>
      <c r="K2586" s="10" t="s">
        <v>8417</v>
      </c>
      <c r="L2586" s="10" t="s">
        <v>8418</v>
      </c>
      <c r="N2586" s="16"/>
      <c r="O2586" s="16"/>
      <c r="P2586" s="16"/>
      <c r="Q2586" s="16"/>
      <c r="R2586" s="16"/>
      <c r="S2586" s="16"/>
      <c r="U2586" t="e">
        <f>VLOOKUP(T2586,[8]Votes!$A$1:$E$234,3,FALSE)</f>
        <v>#N/A</v>
      </c>
      <c r="V2586" t="s">
        <v>8443</v>
      </c>
      <c r="W2586" s="369">
        <v>1</v>
      </c>
      <c r="X2586" s="369">
        <v>1</v>
      </c>
      <c r="Y2586" s="369">
        <v>1</v>
      </c>
      <c r="Z2586" s="369">
        <v>1</v>
      </c>
      <c r="AA2586" s="369">
        <v>1</v>
      </c>
      <c r="AB2586" s="369">
        <v>1</v>
      </c>
      <c r="AC2586" s="369">
        <v>0</v>
      </c>
      <c r="AD2586" s="369">
        <v>1</v>
      </c>
      <c r="AE2586" s="49">
        <f t="shared" ref="AE2586:AE2649" si="131">SUM(W2586:AD2586)/8</f>
        <v>0.875</v>
      </c>
      <c r="AF2586" s="44"/>
      <c r="AG2586" s="17">
        <v>0</v>
      </c>
      <c r="AH2586" s="44">
        <v>10</v>
      </c>
      <c r="AI2586" s="44">
        <v>10</v>
      </c>
      <c r="AJ2586" s="44">
        <v>5</v>
      </c>
      <c r="AK2586" s="151">
        <v>5</v>
      </c>
      <c r="AL2586" s="151">
        <v>5</v>
      </c>
      <c r="AM2586" s="17">
        <f t="shared" ref="AM2586:AM2649" si="132">SUM(AK2586:AL2586)</f>
        <v>10</v>
      </c>
      <c r="AN2586" s="44" t="s">
        <v>8422</v>
      </c>
      <c r="AO2586" s="18" t="s">
        <v>1037</v>
      </c>
      <c r="AP2586" t="s">
        <v>8442</v>
      </c>
    </row>
    <row r="2587" spans="1:42" s="10" customFormat="1" hidden="1" x14ac:dyDescent="0.3">
      <c r="A2587" s="367" t="s">
        <v>8317</v>
      </c>
      <c r="B2587" s="10" t="s">
        <v>8318</v>
      </c>
      <c r="C2587" s="368" t="s">
        <v>8330</v>
      </c>
      <c r="D2587" s="10" t="s">
        <v>8331</v>
      </c>
      <c r="E2587" s="10" t="s">
        <v>8332</v>
      </c>
      <c r="F2587" s="10" t="s">
        <v>8333</v>
      </c>
      <c r="G2587" s="10" t="s">
        <v>8415</v>
      </c>
      <c r="H2587" s="10" t="s">
        <v>8416</v>
      </c>
      <c r="I2587" s="9"/>
      <c r="J2587" s="370"/>
      <c r="K2587" s="10" t="s">
        <v>8417</v>
      </c>
      <c r="L2587" s="10" t="s">
        <v>8418</v>
      </c>
      <c r="N2587" s="16"/>
      <c r="O2587" s="16"/>
      <c r="P2587" s="16"/>
      <c r="Q2587" s="16"/>
      <c r="R2587" s="16"/>
      <c r="S2587" s="16"/>
      <c r="U2587" t="e">
        <f>VLOOKUP(T2587,[8]Votes!$A$1:$E$234,3,FALSE)</f>
        <v>#N/A</v>
      </c>
      <c r="V2587" t="s">
        <v>8444</v>
      </c>
      <c r="W2587" s="369">
        <v>1</v>
      </c>
      <c r="X2587" s="369">
        <v>1</v>
      </c>
      <c r="Y2587" s="369">
        <v>0</v>
      </c>
      <c r="Z2587" s="369">
        <v>0</v>
      </c>
      <c r="AA2587" s="369">
        <v>1</v>
      </c>
      <c r="AB2587" s="369">
        <v>1</v>
      </c>
      <c r="AC2587" s="369">
        <v>0</v>
      </c>
      <c r="AD2587" s="369">
        <v>1</v>
      </c>
      <c r="AE2587" s="49">
        <f t="shared" si="131"/>
        <v>0.625</v>
      </c>
      <c r="AF2587" s="44"/>
      <c r="AG2587" s="17">
        <v>0</v>
      </c>
      <c r="AH2587" s="44">
        <v>20</v>
      </c>
      <c r="AI2587" s="44">
        <v>10</v>
      </c>
      <c r="AJ2587" s="44">
        <v>10</v>
      </c>
      <c r="AK2587" s="151">
        <v>10</v>
      </c>
      <c r="AL2587" s="151">
        <v>10</v>
      </c>
      <c r="AM2587" s="17">
        <f t="shared" si="132"/>
        <v>20</v>
      </c>
      <c r="AN2587" s="44" t="s">
        <v>8422</v>
      </c>
      <c r="AO2587" s="18" t="s">
        <v>1037</v>
      </c>
      <c r="AP2587" t="s">
        <v>8445</v>
      </c>
    </row>
    <row r="2588" spans="1:42" s="10" customFormat="1" x14ac:dyDescent="0.3">
      <c r="A2588" s="367" t="s">
        <v>8317</v>
      </c>
      <c r="B2588" s="10" t="s">
        <v>8318</v>
      </c>
      <c r="C2588" s="368" t="s">
        <v>8330</v>
      </c>
      <c r="D2588" s="10" t="s">
        <v>8331</v>
      </c>
      <c r="E2588" s="10" t="s">
        <v>8332</v>
      </c>
      <c r="F2588" s="10" t="s">
        <v>8333</v>
      </c>
      <c r="G2588" s="10" t="s">
        <v>8415</v>
      </c>
      <c r="H2588" s="10" t="s">
        <v>8416</v>
      </c>
      <c r="I2588" s="9"/>
      <c r="J2588" s="370"/>
      <c r="K2588" s="10" t="s">
        <v>8417</v>
      </c>
      <c r="L2588" s="10" t="s">
        <v>8418</v>
      </c>
      <c r="N2588" s="16"/>
      <c r="O2588" s="16"/>
      <c r="P2588" s="16"/>
      <c r="Q2588" s="16"/>
      <c r="R2588" s="16"/>
      <c r="S2588" s="16"/>
      <c r="U2588" t="e">
        <f>VLOOKUP(T2588,[8]Votes!$A$1:$E$234,3,FALSE)</f>
        <v>#N/A</v>
      </c>
      <c r="V2588" t="s">
        <v>8446</v>
      </c>
      <c r="W2588" s="369">
        <v>1</v>
      </c>
      <c r="X2588" s="369">
        <v>1</v>
      </c>
      <c r="Y2588" s="369">
        <v>0</v>
      </c>
      <c r="Z2588" s="369">
        <v>1</v>
      </c>
      <c r="AA2588" s="369">
        <v>1</v>
      </c>
      <c r="AB2588" s="369">
        <v>1</v>
      </c>
      <c r="AC2588" s="369">
        <v>0</v>
      </c>
      <c r="AD2588" s="369">
        <v>1</v>
      </c>
      <c r="AE2588" s="49">
        <f t="shared" si="131"/>
        <v>0.75</v>
      </c>
      <c r="AF2588" s="44"/>
      <c r="AG2588" s="17">
        <v>0</v>
      </c>
      <c r="AH2588" s="44">
        <v>30</v>
      </c>
      <c r="AI2588" s="44">
        <v>10</v>
      </c>
      <c r="AJ2588" s="44">
        <v>20</v>
      </c>
      <c r="AK2588" s="151"/>
      <c r="AL2588" s="151"/>
      <c r="AM2588" s="17">
        <f t="shared" si="132"/>
        <v>0</v>
      </c>
      <c r="AN2588" s="44" t="s">
        <v>8422</v>
      </c>
      <c r="AO2588" s="18" t="s">
        <v>1037</v>
      </c>
      <c r="AP2588" t="s">
        <v>1035</v>
      </c>
    </row>
    <row r="2589" spans="1:42" s="10" customFormat="1" x14ac:dyDescent="0.3">
      <c r="A2589" s="367" t="s">
        <v>8317</v>
      </c>
      <c r="B2589" s="10" t="s">
        <v>8318</v>
      </c>
      <c r="C2589" s="368" t="s">
        <v>8330</v>
      </c>
      <c r="D2589" s="10" t="s">
        <v>8331</v>
      </c>
      <c r="E2589" s="10" t="s">
        <v>8332</v>
      </c>
      <c r="F2589" s="10" t="s">
        <v>8333</v>
      </c>
      <c r="G2589" s="10" t="s">
        <v>8415</v>
      </c>
      <c r="H2589" s="10" t="s">
        <v>8416</v>
      </c>
      <c r="I2589" s="9"/>
      <c r="J2589" s="370"/>
      <c r="K2589" s="10" t="s">
        <v>8417</v>
      </c>
      <c r="L2589" s="10" t="s">
        <v>8418</v>
      </c>
      <c r="N2589" s="16"/>
      <c r="O2589" s="16"/>
      <c r="P2589" s="16"/>
      <c r="Q2589" s="16"/>
      <c r="R2589" s="16"/>
      <c r="S2589" s="16"/>
      <c r="U2589" t="e">
        <f>VLOOKUP(T2589,[8]Votes!$A$1:$E$234,3,FALSE)</f>
        <v>#N/A</v>
      </c>
      <c r="V2589" t="s">
        <v>8447</v>
      </c>
      <c r="W2589" s="369">
        <v>1</v>
      </c>
      <c r="X2589" s="369">
        <v>1</v>
      </c>
      <c r="Y2589" s="369">
        <v>1</v>
      </c>
      <c r="Z2589" s="369">
        <v>1</v>
      </c>
      <c r="AA2589" s="369">
        <v>1</v>
      </c>
      <c r="AB2589" s="369">
        <v>1</v>
      </c>
      <c r="AC2589" s="369">
        <v>1</v>
      </c>
      <c r="AD2589" s="369">
        <v>1</v>
      </c>
      <c r="AE2589" s="49">
        <f t="shared" si="131"/>
        <v>1</v>
      </c>
      <c r="AF2589" s="44"/>
      <c r="AG2589" s="17">
        <v>0</v>
      </c>
      <c r="AH2589" s="44">
        <v>12</v>
      </c>
      <c r="AI2589" s="44">
        <v>10</v>
      </c>
      <c r="AJ2589" s="44">
        <v>8</v>
      </c>
      <c r="AK2589" s="151"/>
      <c r="AL2589" s="151"/>
      <c r="AM2589" s="17">
        <f t="shared" si="132"/>
        <v>0</v>
      </c>
      <c r="AN2589" s="44" t="s">
        <v>8422</v>
      </c>
      <c r="AO2589" s="18" t="s">
        <v>1037</v>
      </c>
      <c r="AP2589" t="s">
        <v>1035</v>
      </c>
    </row>
    <row r="2590" spans="1:42" s="10" customFormat="1" x14ac:dyDescent="0.3">
      <c r="A2590" s="367" t="s">
        <v>8317</v>
      </c>
      <c r="B2590" s="10" t="s">
        <v>8318</v>
      </c>
      <c r="C2590" s="368" t="s">
        <v>8330</v>
      </c>
      <c r="D2590" s="10" t="s">
        <v>8331</v>
      </c>
      <c r="E2590" s="10" t="s">
        <v>8332</v>
      </c>
      <c r="F2590" s="10" t="s">
        <v>8333</v>
      </c>
      <c r="G2590" s="10" t="s">
        <v>8415</v>
      </c>
      <c r="H2590" s="10" t="s">
        <v>8416</v>
      </c>
      <c r="I2590" s="9"/>
      <c r="J2590" s="370"/>
      <c r="K2590" s="10" t="s">
        <v>8417</v>
      </c>
      <c r="L2590" s="10" t="s">
        <v>8418</v>
      </c>
      <c r="N2590" s="16"/>
      <c r="O2590" s="16"/>
      <c r="P2590" s="16"/>
      <c r="Q2590" s="16"/>
      <c r="R2590" s="16"/>
      <c r="S2590" s="16"/>
      <c r="U2590" t="e">
        <f>VLOOKUP(T2590,[8]Votes!$A$1:$E$234,3,FALSE)</f>
        <v>#N/A</v>
      </c>
      <c r="V2590" t="s">
        <v>8448</v>
      </c>
      <c r="W2590" s="369">
        <v>1</v>
      </c>
      <c r="X2590" s="369">
        <v>1</v>
      </c>
      <c r="Y2590" s="369">
        <v>1</v>
      </c>
      <c r="Z2590" s="369">
        <v>0</v>
      </c>
      <c r="AA2590" s="369">
        <v>1</v>
      </c>
      <c r="AB2590" s="369">
        <v>1</v>
      </c>
      <c r="AC2590" s="369">
        <v>1</v>
      </c>
      <c r="AD2590" s="369">
        <v>1</v>
      </c>
      <c r="AE2590" s="49">
        <f t="shared" si="131"/>
        <v>0.875</v>
      </c>
      <c r="AF2590" s="44"/>
      <c r="AG2590" s="17">
        <v>0</v>
      </c>
      <c r="AH2590" s="44">
        <v>5</v>
      </c>
      <c r="AI2590" s="44">
        <v>10</v>
      </c>
      <c r="AJ2590" s="44">
        <v>20</v>
      </c>
      <c r="AK2590" s="151"/>
      <c r="AL2590" s="151"/>
      <c r="AM2590" s="17">
        <f t="shared" si="132"/>
        <v>0</v>
      </c>
      <c r="AN2590" s="44" t="s">
        <v>8422</v>
      </c>
      <c r="AO2590" s="18" t="s">
        <v>1037</v>
      </c>
      <c r="AP2590" t="s">
        <v>1035</v>
      </c>
    </row>
    <row r="2591" spans="1:42" s="10" customFormat="1" x14ac:dyDescent="0.3">
      <c r="A2591" s="367" t="s">
        <v>8317</v>
      </c>
      <c r="B2591" s="10" t="s">
        <v>8318</v>
      </c>
      <c r="C2591" s="368" t="s">
        <v>8330</v>
      </c>
      <c r="D2591" s="10" t="s">
        <v>8331</v>
      </c>
      <c r="E2591" s="10" t="s">
        <v>8332</v>
      </c>
      <c r="F2591" s="10" t="s">
        <v>8333</v>
      </c>
      <c r="G2591" s="10" t="s">
        <v>8415</v>
      </c>
      <c r="H2591" s="10" t="s">
        <v>8416</v>
      </c>
      <c r="I2591" s="9"/>
      <c r="J2591" s="370"/>
      <c r="K2591" s="10" t="s">
        <v>8417</v>
      </c>
      <c r="L2591" s="10" t="s">
        <v>8418</v>
      </c>
      <c r="N2591" s="16"/>
      <c r="O2591" s="16"/>
      <c r="P2591" s="16"/>
      <c r="Q2591" s="16"/>
      <c r="R2591" s="16"/>
      <c r="S2591" s="16"/>
      <c r="U2591" t="e">
        <f>VLOOKUP(T2591,[8]Votes!$A$1:$E$234,3,FALSE)</f>
        <v>#N/A</v>
      </c>
      <c r="V2591" t="s">
        <v>8449</v>
      </c>
      <c r="W2591" s="369">
        <v>1</v>
      </c>
      <c r="X2591" s="369">
        <v>1</v>
      </c>
      <c r="Y2591" s="369">
        <v>1</v>
      </c>
      <c r="Z2591" s="369">
        <v>0</v>
      </c>
      <c r="AA2591" s="369">
        <v>1</v>
      </c>
      <c r="AB2591" s="369">
        <v>1</v>
      </c>
      <c r="AC2591" s="369">
        <v>1</v>
      </c>
      <c r="AD2591" s="369">
        <v>1</v>
      </c>
      <c r="AE2591" s="49">
        <f t="shared" si="131"/>
        <v>0.875</v>
      </c>
      <c r="AF2591" s="44"/>
      <c r="AG2591" s="17">
        <v>0</v>
      </c>
      <c r="AH2591" s="44">
        <v>5</v>
      </c>
      <c r="AI2591" s="44">
        <v>5</v>
      </c>
      <c r="AJ2591" s="17">
        <v>0</v>
      </c>
      <c r="AK2591" s="151">
        <v>5</v>
      </c>
      <c r="AL2591" s="151">
        <v>0</v>
      </c>
      <c r="AM2591" s="17">
        <f t="shared" si="132"/>
        <v>5</v>
      </c>
      <c r="AN2591" s="44" t="s">
        <v>8422</v>
      </c>
      <c r="AO2591" s="18" t="s">
        <v>1037</v>
      </c>
      <c r="AP2591" t="s">
        <v>8450</v>
      </c>
    </row>
    <row r="2592" spans="1:42" s="10" customFormat="1" x14ac:dyDescent="0.3">
      <c r="A2592" s="367" t="s">
        <v>8317</v>
      </c>
      <c r="B2592" s="10" t="s">
        <v>8318</v>
      </c>
      <c r="C2592" s="368" t="s">
        <v>8330</v>
      </c>
      <c r="D2592" s="10" t="s">
        <v>8331</v>
      </c>
      <c r="E2592" s="10" t="s">
        <v>8332</v>
      </c>
      <c r="F2592" s="10" t="s">
        <v>8333</v>
      </c>
      <c r="G2592" s="10" t="s">
        <v>8415</v>
      </c>
      <c r="H2592" s="10" t="s">
        <v>8416</v>
      </c>
      <c r="I2592" s="9"/>
      <c r="J2592" s="370"/>
      <c r="K2592" s="10" t="s">
        <v>8417</v>
      </c>
      <c r="L2592" s="10" t="s">
        <v>8418</v>
      </c>
      <c r="N2592" s="16"/>
      <c r="O2592" s="16"/>
      <c r="P2592" s="16"/>
      <c r="Q2592" s="16"/>
      <c r="R2592" s="16"/>
      <c r="S2592" s="16"/>
      <c r="U2592" t="e">
        <f>VLOOKUP(T2592,[8]Votes!$A$1:$E$234,3,FALSE)</f>
        <v>#N/A</v>
      </c>
      <c r="V2592" t="s">
        <v>8451</v>
      </c>
      <c r="W2592" s="369">
        <v>1</v>
      </c>
      <c r="X2592" s="369">
        <v>1</v>
      </c>
      <c r="Y2592" s="369">
        <v>1</v>
      </c>
      <c r="Z2592" s="369">
        <v>0</v>
      </c>
      <c r="AA2592" s="369">
        <v>1</v>
      </c>
      <c r="AB2592" s="369">
        <v>1</v>
      </c>
      <c r="AC2592" s="369">
        <v>1</v>
      </c>
      <c r="AD2592" s="369">
        <v>1</v>
      </c>
      <c r="AE2592" s="49">
        <f t="shared" si="131"/>
        <v>0.875</v>
      </c>
      <c r="AF2592" s="44"/>
      <c r="AG2592" s="17">
        <v>0</v>
      </c>
      <c r="AH2592" s="44">
        <v>0</v>
      </c>
      <c r="AI2592" s="44">
        <v>15</v>
      </c>
      <c r="AJ2592" s="44">
        <v>10</v>
      </c>
      <c r="AK2592" s="151">
        <v>5</v>
      </c>
      <c r="AL2592" s="151">
        <v>5</v>
      </c>
      <c r="AM2592" s="17">
        <f t="shared" si="132"/>
        <v>10</v>
      </c>
      <c r="AN2592" s="44" t="s">
        <v>8422</v>
      </c>
      <c r="AO2592" s="18" t="s">
        <v>1037</v>
      </c>
      <c r="AP2592" t="s">
        <v>8452</v>
      </c>
    </row>
    <row r="2593" spans="1:43" s="10" customFormat="1" hidden="1" x14ac:dyDescent="0.3">
      <c r="A2593" s="367" t="s">
        <v>8317</v>
      </c>
      <c r="B2593" s="10" t="s">
        <v>8318</v>
      </c>
      <c r="C2593" s="368" t="s">
        <v>8330</v>
      </c>
      <c r="D2593" s="10" t="s">
        <v>8331</v>
      </c>
      <c r="E2593" s="10" t="s">
        <v>8332</v>
      </c>
      <c r="F2593" s="10" t="s">
        <v>8333</v>
      </c>
      <c r="G2593" s="10" t="s">
        <v>8415</v>
      </c>
      <c r="H2593" s="10" t="s">
        <v>8416</v>
      </c>
      <c r="I2593" s="9"/>
      <c r="J2593" s="370"/>
      <c r="K2593" s="10" t="s">
        <v>8417</v>
      </c>
      <c r="L2593" s="10" t="s">
        <v>8418</v>
      </c>
      <c r="N2593" s="16"/>
      <c r="O2593" s="16"/>
      <c r="P2593" s="16"/>
      <c r="Q2593" s="16"/>
      <c r="R2593" s="16"/>
      <c r="S2593" s="16"/>
      <c r="U2593" t="e">
        <f>VLOOKUP(T2593,[8]Votes!$A$1:$E$234,3,FALSE)</f>
        <v>#N/A</v>
      </c>
      <c r="V2593" t="s">
        <v>8453</v>
      </c>
      <c r="W2593" s="369">
        <v>1</v>
      </c>
      <c r="X2593" s="369">
        <v>1</v>
      </c>
      <c r="Y2593" s="369">
        <v>0</v>
      </c>
      <c r="Z2593" s="369">
        <v>0</v>
      </c>
      <c r="AA2593" s="369">
        <v>1</v>
      </c>
      <c r="AB2593" s="369">
        <v>1</v>
      </c>
      <c r="AC2593" s="369">
        <v>0</v>
      </c>
      <c r="AD2593" s="369">
        <v>1</v>
      </c>
      <c r="AE2593" s="49">
        <f t="shared" si="131"/>
        <v>0.625</v>
      </c>
      <c r="AF2593" s="17"/>
      <c r="AG2593" s="17">
        <v>0</v>
      </c>
      <c r="AH2593" s="17">
        <v>0</v>
      </c>
      <c r="AI2593" s="17">
        <v>0</v>
      </c>
      <c r="AJ2593" s="17">
        <v>0</v>
      </c>
      <c r="AK2593" s="153">
        <v>5</v>
      </c>
      <c r="AL2593" s="154">
        <v>5</v>
      </c>
      <c r="AM2593" s="17">
        <f t="shared" si="132"/>
        <v>10</v>
      </c>
      <c r="AN2593" s="44" t="s">
        <v>8422</v>
      </c>
      <c r="AO2593" s="18" t="s">
        <v>1037</v>
      </c>
      <c r="AP2593" t="s">
        <v>119</v>
      </c>
    </row>
    <row r="2594" spans="1:43" s="10" customFormat="1" x14ac:dyDescent="0.3">
      <c r="A2594" s="367" t="s">
        <v>8317</v>
      </c>
      <c r="B2594" s="10" t="s">
        <v>8318</v>
      </c>
      <c r="C2594" s="368" t="s">
        <v>8330</v>
      </c>
      <c r="D2594" s="10" t="s">
        <v>8331</v>
      </c>
      <c r="E2594" s="10" t="s">
        <v>8332</v>
      </c>
      <c r="F2594" s="10" t="s">
        <v>8333</v>
      </c>
      <c r="G2594" s="10" t="s">
        <v>8415</v>
      </c>
      <c r="H2594" s="10" t="s">
        <v>8416</v>
      </c>
      <c r="I2594" s="9"/>
      <c r="J2594" s="370"/>
      <c r="K2594" s="10" t="s">
        <v>8417</v>
      </c>
      <c r="L2594" s="10" t="s">
        <v>8418</v>
      </c>
      <c r="M2594" s="10" t="s">
        <v>8454</v>
      </c>
      <c r="N2594" s="16">
        <v>2549.92</v>
      </c>
      <c r="O2594" s="16">
        <v>2896.66</v>
      </c>
      <c r="P2594" s="16">
        <v>2534</v>
      </c>
      <c r="Q2594" s="16">
        <v>1200</v>
      </c>
      <c r="R2594" s="16" t="s">
        <v>271</v>
      </c>
      <c r="S2594" s="16" t="s">
        <v>271</v>
      </c>
      <c r="T2594" s="10" t="s">
        <v>8420</v>
      </c>
      <c r="U2594" t="str">
        <f>VLOOKUP(T2594,[8]Votes!$A$1:$E$234,3,FALSE)</f>
        <v>123 Rural Electrification Agency (REA)</v>
      </c>
      <c r="V2594" t="s">
        <v>8455</v>
      </c>
      <c r="W2594" s="369">
        <v>1</v>
      </c>
      <c r="X2594" s="369">
        <v>1</v>
      </c>
      <c r="Y2594" s="369">
        <v>1</v>
      </c>
      <c r="Z2594" s="369">
        <v>0</v>
      </c>
      <c r="AA2594" s="369">
        <v>1</v>
      </c>
      <c r="AB2594" s="369">
        <v>1</v>
      </c>
      <c r="AC2594" s="369">
        <v>1</v>
      </c>
      <c r="AD2594" s="369">
        <v>1</v>
      </c>
      <c r="AE2594" s="49">
        <f t="shared" si="131"/>
        <v>0.875</v>
      </c>
      <c r="AF2594" s="44"/>
      <c r="AG2594" s="17">
        <v>1</v>
      </c>
      <c r="AH2594" s="44">
        <v>75</v>
      </c>
      <c r="AI2594" s="44">
        <v>30</v>
      </c>
      <c r="AJ2594" s="44">
        <v>30</v>
      </c>
      <c r="AK2594" s="153"/>
      <c r="AL2594" s="154"/>
      <c r="AM2594" s="17">
        <f t="shared" si="132"/>
        <v>0</v>
      </c>
      <c r="AN2594" s="44" t="s">
        <v>8420</v>
      </c>
      <c r="AO2594" s="18" t="s">
        <v>8425</v>
      </c>
      <c r="AP2594" t="s">
        <v>8445</v>
      </c>
    </row>
    <row r="2595" spans="1:43" s="10" customFormat="1" hidden="1" x14ac:dyDescent="0.3">
      <c r="A2595" s="367" t="s">
        <v>8317</v>
      </c>
      <c r="B2595" s="10" t="s">
        <v>8318</v>
      </c>
      <c r="C2595" s="368" t="s">
        <v>8330</v>
      </c>
      <c r="D2595" s="10" t="s">
        <v>8331</v>
      </c>
      <c r="E2595" s="10" t="s">
        <v>8332</v>
      </c>
      <c r="F2595" s="10" t="s">
        <v>8333</v>
      </c>
      <c r="G2595" s="10" t="s">
        <v>8415</v>
      </c>
      <c r="H2595" s="10" t="s">
        <v>8416</v>
      </c>
      <c r="I2595" s="9"/>
      <c r="J2595" s="370"/>
      <c r="K2595" s="10" t="s">
        <v>8417</v>
      </c>
      <c r="L2595" s="10" t="s">
        <v>8418</v>
      </c>
      <c r="M2595" s="10" t="s">
        <v>8456</v>
      </c>
      <c r="N2595" s="16">
        <v>2596.4699999999998</v>
      </c>
      <c r="O2595" s="16">
        <v>4219.21</v>
      </c>
      <c r="P2595" s="16">
        <v>3514</v>
      </c>
      <c r="Q2595" s="16">
        <v>1500</v>
      </c>
      <c r="R2595" s="16" t="s">
        <v>271</v>
      </c>
      <c r="S2595" s="16" t="s">
        <v>271</v>
      </c>
      <c r="T2595" s="10" t="s">
        <v>8420</v>
      </c>
      <c r="U2595" t="str">
        <f>VLOOKUP(T2595,[8]Votes!$A$1:$E$234,3,FALSE)</f>
        <v>123 Rural Electrification Agency (REA)</v>
      </c>
      <c r="V2595" t="s">
        <v>8455</v>
      </c>
      <c r="W2595" s="369">
        <v>1</v>
      </c>
      <c r="X2595" s="369">
        <v>0</v>
      </c>
      <c r="Y2595" s="369">
        <v>0</v>
      </c>
      <c r="Z2595" s="369">
        <v>1</v>
      </c>
      <c r="AA2595" s="369">
        <v>1</v>
      </c>
      <c r="AB2595" s="369">
        <v>1</v>
      </c>
      <c r="AC2595" s="369">
        <v>0</v>
      </c>
      <c r="AD2595" s="369">
        <v>1</v>
      </c>
      <c r="AE2595" s="49">
        <f t="shared" si="131"/>
        <v>0.625</v>
      </c>
      <c r="AF2595" s="44"/>
      <c r="AG2595" s="17">
        <v>1</v>
      </c>
      <c r="AH2595" s="44">
        <v>60</v>
      </c>
      <c r="AI2595" s="44">
        <v>20</v>
      </c>
      <c r="AJ2595" s="44">
        <v>20</v>
      </c>
      <c r="AK2595" s="153"/>
      <c r="AL2595" s="154"/>
      <c r="AM2595" s="17">
        <f t="shared" si="132"/>
        <v>0</v>
      </c>
      <c r="AN2595" s="44" t="s">
        <v>8420</v>
      </c>
      <c r="AO2595" s="18" t="s">
        <v>8425</v>
      </c>
      <c r="AP2595" t="s">
        <v>8445</v>
      </c>
    </row>
    <row r="2596" spans="1:43" s="10" customFormat="1" hidden="1" x14ac:dyDescent="0.3">
      <c r="A2596" s="367" t="s">
        <v>8317</v>
      </c>
      <c r="B2596" s="10" t="s">
        <v>8318</v>
      </c>
      <c r="C2596" s="368" t="s">
        <v>8330</v>
      </c>
      <c r="D2596" s="10" t="s">
        <v>8331</v>
      </c>
      <c r="E2596" s="10" t="s">
        <v>8332</v>
      </c>
      <c r="F2596" s="10" t="s">
        <v>8333</v>
      </c>
      <c r="G2596" s="10" t="s">
        <v>8415</v>
      </c>
      <c r="H2596" s="10" t="s">
        <v>8416</v>
      </c>
      <c r="I2596" s="9"/>
      <c r="J2596" s="370"/>
      <c r="K2596" s="10" t="s">
        <v>8417</v>
      </c>
      <c r="L2596" s="10" t="s">
        <v>8418</v>
      </c>
      <c r="M2596" s="10" t="s">
        <v>8457</v>
      </c>
      <c r="N2596" s="16">
        <v>82</v>
      </c>
      <c r="O2596" s="16">
        <v>182</v>
      </c>
      <c r="P2596" s="16">
        <v>145</v>
      </c>
      <c r="Q2596" s="16">
        <v>152</v>
      </c>
      <c r="R2596" s="16"/>
      <c r="S2596" s="16"/>
      <c r="T2596" s="10" t="s">
        <v>8420</v>
      </c>
      <c r="U2596" t="str">
        <f>VLOOKUP(T2596,[8]Votes!$A$1:$E$234,3,FALSE)</f>
        <v>123 Rural Electrification Agency (REA)</v>
      </c>
      <c r="V2596" t="s">
        <v>8458</v>
      </c>
      <c r="W2596" s="369">
        <v>1</v>
      </c>
      <c r="X2596" s="369">
        <v>0</v>
      </c>
      <c r="Y2596" s="369">
        <v>0</v>
      </c>
      <c r="Z2596" s="369">
        <v>1</v>
      </c>
      <c r="AA2596" s="369">
        <v>1</v>
      </c>
      <c r="AB2596" s="369">
        <v>1</v>
      </c>
      <c r="AC2596" s="369">
        <v>0</v>
      </c>
      <c r="AD2596" s="369">
        <v>1</v>
      </c>
      <c r="AE2596" s="49">
        <f t="shared" si="131"/>
        <v>0.625</v>
      </c>
      <c r="AF2596" s="44"/>
      <c r="AG2596" s="17">
        <v>1</v>
      </c>
      <c r="AH2596" s="44">
        <v>5</v>
      </c>
      <c r="AI2596" s="44">
        <v>5</v>
      </c>
      <c r="AJ2596" s="44">
        <v>5</v>
      </c>
      <c r="AK2596" s="153"/>
      <c r="AL2596" s="154"/>
      <c r="AM2596" s="17">
        <f t="shared" si="132"/>
        <v>0</v>
      </c>
      <c r="AN2596" s="44" t="s">
        <v>8420</v>
      </c>
      <c r="AO2596" s="18" t="s">
        <v>8425</v>
      </c>
      <c r="AP2596" t="s">
        <v>8445</v>
      </c>
    </row>
    <row r="2597" spans="1:43" s="10" customFormat="1" x14ac:dyDescent="0.3">
      <c r="A2597" s="367" t="s">
        <v>8317</v>
      </c>
      <c r="B2597" s="10" t="s">
        <v>8318</v>
      </c>
      <c r="C2597" s="368" t="s">
        <v>8330</v>
      </c>
      <c r="D2597" s="10" t="s">
        <v>8331</v>
      </c>
      <c r="E2597" s="10" t="s">
        <v>8332</v>
      </c>
      <c r="F2597" s="10" t="s">
        <v>8333</v>
      </c>
      <c r="G2597" s="10" t="s">
        <v>8415</v>
      </c>
      <c r="H2597" s="10" t="s">
        <v>8416</v>
      </c>
      <c r="I2597" s="9"/>
      <c r="J2597" s="370"/>
      <c r="K2597" s="10" t="s">
        <v>8417</v>
      </c>
      <c r="L2597" s="10" t="s">
        <v>8418</v>
      </c>
      <c r="M2597" s="10" t="s">
        <v>8454</v>
      </c>
      <c r="N2597" s="16">
        <v>14677</v>
      </c>
      <c r="O2597" s="16">
        <v>800</v>
      </c>
      <c r="P2597" s="16">
        <v>2000</v>
      </c>
      <c r="Q2597" s="16">
        <v>2000</v>
      </c>
      <c r="R2597" s="16">
        <v>2000</v>
      </c>
      <c r="S2597" s="16">
        <v>2000</v>
      </c>
      <c r="T2597" s="10" t="s">
        <v>8420</v>
      </c>
      <c r="U2597" t="str">
        <f>VLOOKUP(T2597,[8]Votes!$A$1:$E$234,3,FALSE)</f>
        <v>123 Rural Electrification Agency (REA)</v>
      </c>
      <c r="V2597" t="s">
        <v>8459</v>
      </c>
      <c r="W2597" s="369">
        <v>1</v>
      </c>
      <c r="X2597" s="369">
        <v>1</v>
      </c>
      <c r="Y2597" s="369">
        <v>0</v>
      </c>
      <c r="Z2597" s="369">
        <v>0</v>
      </c>
      <c r="AA2597" s="369">
        <v>1</v>
      </c>
      <c r="AB2597" s="369">
        <v>1</v>
      </c>
      <c r="AC2597" s="369">
        <v>1</v>
      </c>
      <c r="AD2597" s="369">
        <v>1</v>
      </c>
      <c r="AE2597" s="49">
        <f t="shared" si="131"/>
        <v>0.75</v>
      </c>
      <c r="AF2597" s="17"/>
      <c r="AG2597" s="17">
        <v>1</v>
      </c>
      <c r="AH2597" s="17">
        <v>0</v>
      </c>
      <c r="AI2597" s="17">
        <v>0</v>
      </c>
      <c r="AJ2597" s="17">
        <v>0</v>
      </c>
      <c r="AK2597" s="153"/>
      <c r="AL2597" s="154"/>
      <c r="AM2597" s="17">
        <f t="shared" si="132"/>
        <v>0</v>
      </c>
      <c r="AN2597" s="44" t="s">
        <v>8420</v>
      </c>
      <c r="AO2597" s="18" t="s">
        <v>8425</v>
      </c>
      <c r="AP2597" t="s">
        <v>8445</v>
      </c>
    </row>
    <row r="2598" spans="1:43" s="10" customFormat="1" hidden="1" x14ac:dyDescent="0.3">
      <c r="A2598" s="367" t="s">
        <v>8317</v>
      </c>
      <c r="B2598" s="10" t="s">
        <v>8318</v>
      </c>
      <c r="C2598" s="368" t="s">
        <v>8330</v>
      </c>
      <c r="D2598" s="10" t="s">
        <v>8331</v>
      </c>
      <c r="E2598" s="10" t="s">
        <v>8332</v>
      </c>
      <c r="F2598" s="10" t="s">
        <v>8333</v>
      </c>
      <c r="G2598" s="10" t="s">
        <v>8415</v>
      </c>
      <c r="H2598" s="10" t="s">
        <v>8416</v>
      </c>
      <c r="I2598" s="9"/>
      <c r="J2598" s="370"/>
      <c r="K2598" s="10" t="s">
        <v>8417</v>
      </c>
      <c r="L2598" s="10" t="s">
        <v>8418</v>
      </c>
      <c r="M2598" s="10" t="s">
        <v>8456</v>
      </c>
      <c r="N2598" s="16">
        <v>11609</v>
      </c>
      <c r="O2598" s="16">
        <v>1000</v>
      </c>
      <c r="P2598" s="16">
        <v>2500</v>
      </c>
      <c r="Q2598" s="16">
        <v>2500</v>
      </c>
      <c r="R2598" s="16">
        <v>2500</v>
      </c>
      <c r="S2598" s="16">
        <v>2500</v>
      </c>
      <c r="T2598" s="10" t="s">
        <v>8420</v>
      </c>
      <c r="U2598" t="str">
        <f>VLOOKUP(T2598,[8]Votes!$A$1:$E$234,3,FALSE)</f>
        <v>123 Rural Electrification Agency (REA)</v>
      </c>
      <c r="V2598" t="s">
        <v>8459</v>
      </c>
      <c r="W2598" s="369">
        <v>1</v>
      </c>
      <c r="X2598" s="369">
        <v>0</v>
      </c>
      <c r="Y2598" s="369">
        <v>0</v>
      </c>
      <c r="Z2598" s="369">
        <v>1</v>
      </c>
      <c r="AA2598" s="369">
        <v>1</v>
      </c>
      <c r="AB2598" s="369">
        <v>1</v>
      </c>
      <c r="AC2598" s="369">
        <v>0</v>
      </c>
      <c r="AD2598" s="369">
        <v>1</v>
      </c>
      <c r="AE2598" s="49">
        <f t="shared" si="131"/>
        <v>0.625</v>
      </c>
      <c r="AF2598" s="17"/>
      <c r="AG2598" s="17">
        <v>1</v>
      </c>
      <c r="AH2598" s="17">
        <v>0</v>
      </c>
      <c r="AI2598" s="17">
        <v>0</v>
      </c>
      <c r="AJ2598" s="17">
        <v>0</v>
      </c>
      <c r="AK2598" s="153"/>
      <c r="AL2598" s="154"/>
      <c r="AM2598" s="17">
        <f t="shared" si="132"/>
        <v>0</v>
      </c>
      <c r="AN2598" s="44" t="s">
        <v>8420</v>
      </c>
      <c r="AO2598" s="18" t="s">
        <v>8425</v>
      </c>
      <c r="AP2598" t="s">
        <v>8445</v>
      </c>
    </row>
    <row r="2599" spans="1:43" s="10" customFormat="1" x14ac:dyDescent="0.3">
      <c r="A2599" s="367" t="s">
        <v>8317</v>
      </c>
      <c r="B2599" s="10" t="s">
        <v>8318</v>
      </c>
      <c r="C2599" s="368" t="s">
        <v>8330</v>
      </c>
      <c r="D2599" s="10" t="s">
        <v>8331</v>
      </c>
      <c r="E2599" s="10" t="s">
        <v>8332</v>
      </c>
      <c r="F2599" s="10" t="s">
        <v>8333</v>
      </c>
      <c r="G2599" s="10" t="s">
        <v>8415</v>
      </c>
      <c r="H2599" s="10" t="s">
        <v>8416</v>
      </c>
      <c r="I2599" s="9"/>
      <c r="J2599" s="370"/>
      <c r="K2599" s="10" t="s">
        <v>8417</v>
      </c>
      <c r="L2599" s="10" t="s">
        <v>8418</v>
      </c>
      <c r="M2599" s="10" t="s">
        <v>8457</v>
      </c>
      <c r="N2599" s="16" t="s">
        <v>8460</v>
      </c>
      <c r="O2599" s="16">
        <v>388317</v>
      </c>
      <c r="P2599" s="16">
        <v>200000</v>
      </c>
      <c r="Q2599" s="16">
        <v>457017</v>
      </c>
      <c r="R2599" s="16">
        <v>365613</v>
      </c>
      <c r="S2599" s="16">
        <v>292490</v>
      </c>
      <c r="T2599" s="10" t="s">
        <v>8420</v>
      </c>
      <c r="U2599" t="str">
        <f>VLOOKUP(T2599,[8]Votes!$A$1:$E$234,3,FALSE)</f>
        <v>123 Rural Electrification Agency (REA)</v>
      </c>
      <c r="V2599" t="s">
        <v>8461</v>
      </c>
      <c r="W2599" s="369">
        <v>1</v>
      </c>
      <c r="X2599" s="369">
        <v>1</v>
      </c>
      <c r="Y2599" s="369">
        <v>1</v>
      </c>
      <c r="Z2599" s="369">
        <v>0</v>
      </c>
      <c r="AA2599" s="369">
        <v>1</v>
      </c>
      <c r="AB2599" s="369">
        <v>1</v>
      </c>
      <c r="AC2599" s="369">
        <v>1</v>
      </c>
      <c r="AD2599" s="369">
        <v>1</v>
      </c>
      <c r="AE2599" s="49">
        <f t="shared" si="131"/>
        <v>0.875</v>
      </c>
      <c r="AF2599" s="44"/>
      <c r="AG2599" s="17">
        <v>1</v>
      </c>
      <c r="AH2599" s="44">
        <v>75</v>
      </c>
      <c r="AI2599" s="44">
        <v>65</v>
      </c>
      <c r="AJ2599" s="44">
        <v>75</v>
      </c>
      <c r="AK2599" s="151">
        <v>60</v>
      </c>
      <c r="AL2599" s="151">
        <v>50</v>
      </c>
      <c r="AM2599" s="17">
        <f t="shared" si="132"/>
        <v>110</v>
      </c>
      <c r="AN2599" s="44" t="s">
        <v>8420</v>
      </c>
      <c r="AO2599" s="18" t="s">
        <v>8425</v>
      </c>
      <c r="AP2599" t="s">
        <v>8462</v>
      </c>
    </row>
    <row r="2600" spans="1:43" s="10" customFormat="1" x14ac:dyDescent="0.3">
      <c r="A2600" s="367" t="s">
        <v>8317</v>
      </c>
      <c r="B2600" s="10" t="s">
        <v>8318</v>
      </c>
      <c r="C2600" s="368" t="s">
        <v>8330</v>
      </c>
      <c r="D2600" s="10" t="s">
        <v>8331</v>
      </c>
      <c r="E2600" s="10" t="s">
        <v>8332</v>
      </c>
      <c r="F2600" s="10" t="s">
        <v>8333</v>
      </c>
      <c r="G2600" s="10" t="s">
        <v>8415</v>
      </c>
      <c r="H2600" s="10" t="s">
        <v>8416</v>
      </c>
      <c r="I2600" s="9"/>
      <c r="J2600" s="370"/>
      <c r="K2600" s="10" t="s">
        <v>8417</v>
      </c>
      <c r="L2600" s="10" t="s">
        <v>8418</v>
      </c>
      <c r="M2600" s="10" t="s">
        <v>8454</v>
      </c>
      <c r="N2600" s="16">
        <v>189</v>
      </c>
      <c r="O2600" s="16">
        <v>50</v>
      </c>
      <c r="P2600" s="16">
        <v>39</v>
      </c>
      <c r="Q2600" s="16">
        <v>100</v>
      </c>
      <c r="R2600" s="16" t="s">
        <v>271</v>
      </c>
      <c r="S2600" s="16" t="s">
        <v>271</v>
      </c>
      <c r="T2600" s="10" t="s">
        <v>8420</v>
      </c>
      <c r="U2600" t="str">
        <f>VLOOKUP(T2600,[8]Votes!$A$1:$E$234,3,FALSE)</f>
        <v>123 Rural Electrification Agency (REA)</v>
      </c>
      <c r="V2600" t="s">
        <v>8463</v>
      </c>
      <c r="W2600" s="369">
        <v>1</v>
      </c>
      <c r="X2600" s="369">
        <v>1</v>
      </c>
      <c r="Y2600" s="369">
        <v>1</v>
      </c>
      <c r="Z2600" s="369">
        <v>1</v>
      </c>
      <c r="AA2600" s="369">
        <v>1</v>
      </c>
      <c r="AB2600" s="369">
        <v>1</v>
      </c>
      <c r="AC2600" s="369">
        <v>0</v>
      </c>
      <c r="AD2600" s="369">
        <v>1</v>
      </c>
      <c r="AE2600" s="49">
        <f t="shared" si="131"/>
        <v>0.875</v>
      </c>
      <c r="AF2600" s="44"/>
      <c r="AG2600" s="17">
        <v>1</v>
      </c>
      <c r="AH2600" s="44">
        <v>20</v>
      </c>
      <c r="AI2600" s="44">
        <v>8</v>
      </c>
      <c r="AJ2600" s="44">
        <v>30</v>
      </c>
      <c r="AK2600" s="153"/>
      <c r="AL2600" s="154"/>
      <c r="AM2600" s="17">
        <f t="shared" si="132"/>
        <v>0</v>
      </c>
      <c r="AN2600" s="44" t="s">
        <v>8420</v>
      </c>
      <c r="AO2600" s="18" t="s">
        <v>8425</v>
      </c>
      <c r="AP2600" t="s">
        <v>8462</v>
      </c>
    </row>
    <row r="2601" spans="1:43" s="10" customFormat="1" hidden="1" x14ac:dyDescent="0.3">
      <c r="A2601" s="367" t="s">
        <v>8317</v>
      </c>
      <c r="B2601" s="10" t="s">
        <v>8318</v>
      </c>
      <c r="C2601" s="368" t="s">
        <v>8330</v>
      </c>
      <c r="D2601" s="10" t="s">
        <v>8331</v>
      </c>
      <c r="E2601" s="10" t="s">
        <v>8332</v>
      </c>
      <c r="F2601" s="10" t="s">
        <v>8333</v>
      </c>
      <c r="G2601" s="10" t="s">
        <v>8415</v>
      </c>
      <c r="H2601" s="10" t="s">
        <v>8416</v>
      </c>
      <c r="I2601" s="9"/>
      <c r="J2601" s="370"/>
      <c r="K2601" s="10" t="s">
        <v>8417</v>
      </c>
      <c r="L2601" s="10" t="s">
        <v>8418</v>
      </c>
      <c r="M2601" s="10" t="s">
        <v>8454</v>
      </c>
      <c r="N2601" s="16">
        <v>330</v>
      </c>
      <c r="O2601" s="16">
        <v>67</v>
      </c>
      <c r="P2601" s="16">
        <v>38</v>
      </c>
      <c r="Q2601" s="16">
        <v>100</v>
      </c>
      <c r="R2601" s="16">
        <v>35</v>
      </c>
      <c r="S2601" s="16" t="s">
        <v>271</v>
      </c>
      <c r="T2601" s="10" t="s">
        <v>8420</v>
      </c>
      <c r="U2601" t="str">
        <f>VLOOKUP(T2601,[8]Votes!$A$1:$E$234,3,FALSE)</f>
        <v>123 Rural Electrification Agency (REA)</v>
      </c>
      <c r="V2601" t="s">
        <v>8464</v>
      </c>
      <c r="W2601" s="369">
        <v>1</v>
      </c>
      <c r="X2601" s="369">
        <v>0</v>
      </c>
      <c r="Y2601" s="369">
        <v>0</v>
      </c>
      <c r="Z2601" s="369">
        <v>1</v>
      </c>
      <c r="AA2601" s="369">
        <v>1</v>
      </c>
      <c r="AB2601" s="369">
        <v>1</v>
      </c>
      <c r="AC2601" s="369">
        <v>0</v>
      </c>
      <c r="AD2601" s="369">
        <v>1</v>
      </c>
      <c r="AE2601" s="49">
        <f t="shared" si="131"/>
        <v>0.625</v>
      </c>
      <c r="AF2601" s="44"/>
      <c r="AG2601" s="17">
        <v>1</v>
      </c>
      <c r="AH2601" s="44">
        <v>10</v>
      </c>
      <c r="AI2601" s="17">
        <v>0</v>
      </c>
      <c r="AJ2601" s="17">
        <v>0</v>
      </c>
      <c r="AK2601" s="153"/>
      <c r="AL2601" s="154"/>
      <c r="AM2601" s="17">
        <f t="shared" si="132"/>
        <v>0</v>
      </c>
      <c r="AN2601" s="44" t="s">
        <v>8420</v>
      </c>
      <c r="AO2601" s="18" t="s">
        <v>8425</v>
      </c>
      <c r="AP2601" t="s">
        <v>8462</v>
      </c>
    </row>
    <row r="2602" spans="1:43" s="10" customFormat="1" hidden="1" x14ac:dyDescent="0.3">
      <c r="A2602" s="367" t="s">
        <v>8317</v>
      </c>
      <c r="B2602" s="10" t="s">
        <v>8318</v>
      </c>
      <c r="C2602" s="368" t="s">
        <v>8330</v>
      </c>
      <c r="D2602" s="10" t="s">
        <v>8331</v>
      </c>
      <c r="E2602" s="10" t="s">
        <v>8332</v>
      </c>
      <c r="F2602" s="10" t="s">
        <v>8333</v>
      </c>
      <c r="G2602" s="10" t="s">
        <v>8415</v>
      </c>
      <c r="H2602" s="10" t="s">
        <v>8416</v>
      </c>
      <c r="I2602" s="9"/>
      <c r="J2602" s="370"/>
      <c r="K2602" s="10" t="s">
        <v>8417</v>
      </c>
      <c r="L2602" s="10" t="s">
        <v>8418</v>
      </c>
      <c r="M2602" s="10" t="s">
        <v>8457</v>
      </c>
      <c r="N2602" s="16" t="s">
        <v>119</v>
      </c>
      <c r="O2602" s="16">
        <v>1</v>
      </c>
      <c r="P2602" s="16">
        <v>2</v>
      </c>
      <c r="Q2602" s="16">
        <v>2</v>
      </c>
      <c r="R2602" s="16">
        <v>2</v>
      </c>
      <c r="S2602" s="16">
        <v>2</v>
      </c>
      <c r="T2602" t="s">
        <v>8465</v>
      </c>
      <c r="U2602" t="e">
        <f>VLOOKUP(T2602,[8]Votes!$A$1:$E$234,3,FALSE)</f>
        <v>#N/A</v>
      </c>
      <c r="V2602" t="s">
        <v>8466</v>
      </c>
      <c r="W2602" s="369">
        <v>1</v>
      </c>
      <c r="X2602" s="369">
        <v>0</v>
      </c>
      <c r="Y2602" s="369">
        <v>0</v>
      </c>
      <c r="Z2602" s="369">
        <v>1</v>
      </c>
      <c r="AA2602" s="369">
        <v>1</v>
      </c>
      <c r="AB2602" s="369">
        <v>1</v>
      </c>
      <c r="AC2602" s="369">
        <v>0</v>
      </c>
      <c r="AD2602" s="369">
        <v>1</v>
      </c>
      <c r="AE2602" s="49">
        <f t="shared" si="131"/>
        <v>0.625</v>
      </c>
      <c r="AF2602" s="44"/>
      <c r="AG2602" s="17"/>
      <c r="AH2602" s="44">
        <v>5</v>
      </c>
      <c r="AI2602" s="44">
        <v>5</v>
      </c>
      <c r="AJ2602" s="44">
        <v>5</v>
      </c>
      <c r="AK2602" s="151">
        <v>5</v>
      </c>
      <c r="AL2602" s="151">
        <v>5</v>
      </c>
      <c r="AM2602" s="17">
        <f t="shared" si="132"/>
        <v>10</v>
      </c>
      <c r="AN2602" s="44" t="s">
        <v>8422</v>
      </c>
      <c r="AO2602" s="18" t="s">
        <v>1037</v>
      </c>
      <c r="AP2602" t="s">
        <v>8467</v>
      </c>
    </row>
    <row r="2603" spans="1:43" s="10" customFormat="1" hidden="1" x14ac:dyDescent="0.3">
      <c r="A2603" s="367" t="s">
        <v>8317</v>
      </c>
      <c r="B2603" s="10" t="s">
        <v>8318</v>
      </c>
      <c r="C2603" s="368" t="s">
        <v>8330</v>
      </c>
      <c r="D2603" s="10" t="s">
        <v>8331</v>
      </c>
      <c r="E2603" s="10" t="s">
        <v>8332</v>
      </c>
      <c r="F2603" s="10" t="s">
        <v>8333</v>
      </c>
      <c r="G2603" s="10" t="s">
        <v>8415</v>
      </c>
      <c r="H2603" s="10" t="s">
        <v>8416</v>
      </c>
      <c r="I2603" s="9"/>
      <c r="J2603" s="370"/>
      <c r="K2603" s="10" t="s">
        <v>8417</v>
      </c>
      <c r="L2603" s="10" t="s">
        <v>8418</v>
      </c>
      <c r="M2603" s="10" t="s">
        <v>8403</v>
      </c>
      <c r="N2603" s="16">
        <v>0</v>
      </c>
      <c r="O2603" s="16">
        <v>4000</v>
      </c>
      <c r="P2603" s="16">
        <v>2000</v>
      </c>
      <c r="Q2603" s="16">
        <v>2000</v>
      </c>
      <c r="R2603" s="16">
        <v>3500</v>
      </c>
      <c r="S2603" s="16">
        <v>3500</v>
      </c>
      <c r="T2603" s="10" t="s">
        <v>8420</v>
      </c>
      <c r="U2603" t="str">
        <f>VLOOKUP(T2603,[8]Votes!$A$1:$E$234,3,FALSE)</f>
        <v>123 Rural Electrification Agency (REA)</v>
      </c>
      <c r="V2603" t="s">
        <v>8395</v>
      </c>
      <c r="W2603" s="369">
        <v>1</v>
      </c>
      <c r="X2603" s="369">
        <v>0</v>
      </c>
      <c r="Y2603" s="369">
        <v>0</v>
      </c>
      <c r="Z2603" s="369">
        <v>1</v>
      </c>
      <c r="AA2603" s="369">
        <v>1</v>
      </c>
      <c r="AB2603" s="369">
        <v>1</v>
      </c>
      <c r="AC2603" s="369">
        <v>0</v>
      </c>
      <c r="AD2603" s="369">
        <v>1</v>
      </c>
      <c r="AE2603" s="49">
        <f t="shared" si="131"/>
        <v>0.625</v>
      </c>
      <c r="AF2603" s="44"/>
      <c r="AG2603" s="17"/>
      <c r="AH2603" s="44">
        <v>4.0599999999999996</v>
      </c>
      <c r="AI2603" s="44">
        <v>2.4500000000000002</v>
      </c>
      <c r="AJ2603" s="44">
        <v>2.4500000000000002</v>
      </c>
      <c r="AK2603" s="151"/>
      <c r="AL2603" s="151"/>
      <c r="AM2603" s="17">
        <f t="shared" si="132"/>
        <v>0</v>
      </c>
      <c r="AN2603" s="44" t="s">
        <v>570</v>
      </c>
      <c r="AO2603" s="18" t="s">
        <v>2875</v>
      </c>
      <c r="AP2603" t="s">
        <v>8468</v>
      </c>
      <c r="AQ2603"/>
    </row>
    <row r="2604" spans="1:43" s="10" customFormat="1" hidden="1" x14ac:dyDescent="0.3">
      <c r="A2604" s="367" t="s">
        <v>8317</v>
      </c>
      <c r="B2604" s="10" t="s">
        <v>8318</v>
      </c>
      <c r="C2604" s="368" t="s">
        <v>8330</v>
      </c>
      <c r="D2604" s="10" t="s">
        <v>8331</v>
      </c>
      <c r="E2604" s="10" t="s">
        <v>8332</v>
      </c>
      <c r="F2604" s="10" t="s">
        <v>8333</v>
      </c>
      <c r="G2604" s="10" t="s">
        <v>8469</v>
      </c>
      <c r="H2604" s="10" t="s">
        <v>8470</v>
      </c>
      <c r="I2604" s="9"/>
      <c r="J2604" s="370"/>
      <c r="K2604" s="10" t="s">
        <v>8471</v>
      </c>
      <c r="L2604" s="10" t="s">
        <v>8472</v>
      </c>
      <c r="M2604" s="10" t="s">
        <v>8473</v>
      </c>
      <c r="N2604" s="16">
        <v>46</v>
      </c>
      <c r="O2604" s="16">
        <v>46</v>
      </c>
      <c r="P2604" s="16">
        <v>30</v>
      </c>
      <c r="Q2604" s="16">
        <v>30</v>
      </c>
      <c r="R2604" s="16">
        <v>30</v>
      </c>
      <c r="S2604" s="16">
        <v>30</v>
      </c>
      <c r="T2604" s="10" t="s">
        <v>8474</v>
      </c>
      <c r="U2604" t="e">
        <f>VLOOKUP(T2604,[8]Votes!$A$1:$E$234,3,FALSE)</f>
        <v>#N/A</v>
      </c>
      <c r="V2604" t="s">
        <v>8475</v>
      </c>
      <c r="W2604" s="369">
        <v>1</v>
      </c>
      <c r="X2604" s="369">
        <v>0</v>
      </c>
      <c r="Y2604" s="369">
        <v>0</v>
      </c>
      <c r="Z2604" s="369">
        <v>1</v>
      </c>
      <c r="AA2604" s="369">
        <v>1</v>
      </c>
      <c r="AB2604" s="369">
        <v>1</v>
      </c>
      <c r="AC2604" s="369">
        <v>0</v>
      </c>
      <c r="AD2604" s="369">
        <v>1</v>
      </c>
      <c r="AE2604" s="49">
        <f t="shared" si="131"/>
        <v>0.625</v>
      </c>
      <c r="AF2604" s="44"/>
      <c r="AG2604" s="17"/>
      <c r="AH2604" s="44">
        <v>20</v>
      </c>
      <c r="AI2604" s="44">
        <v>20</v>
      </c>
      <c r="AJ2604" s="44">
        <v>15</v>
      </c>
      <c r="AK2604" s="151">
        <v>15</v>
      </c>
      <c r="AL2604" s="151">
        <v>15</v>
      </c>
      <c r="AM2604" s="17">
        <f t="shared" si="132"/>
        <v>30</v>
      </c>
      <c r="AN2604" s="44" t="s">
        <v>8476</v>
      </c>
      <c r="AO2604" s="18" t="s">
        <v>1037</v>
      </c>
      <c r="AP2604" t="s">
        <v>8468</v>
      </c>
      <c r="AQ2604"/>
    </row>
    <row r="2605" spans="1:43" s="10" customFormat="1" hidden="1" x14ac:dyDescent="0.3">
      <c r="A2605" s="367" t="s">
        <v>8317</v>
      </c>
      <c r="B2605" s="10" t="s">
        <v>8318</v>
      </c>
      <c r="C2605" s="368" t="s">
        <v>8330</v>
      </c>
      <c r="D2605" s="10" t="s">
        <v>8331</v>
      </c>
      <c r="E2605" s="10" t="s">
        <v>8332</v>
      </c>
      <c r="F2605" s="10" t="s">
        <v>8333</v>
      </c>
      <c r="G2605" s="10" t="s">
        <v>8469</v>
      </c>
      <c r="H2605" s="10" t="s">
        <v>8470</v>
      </c>
      <c r="I2605" s="9"/>
      <c r="J2605" s="370"/>
      <c r="K2605" s="10" t="s">
        <v>8477</v>
      </c>
      <c r="L2605" s="10" t="s">
        <v>8478</v>
      </c>
      <c r="M2605" s="10" t="s">
        <v>8479</v>
      </c>
      <c r="N2605" s="16"/>
      <c r="O2605" s="16">
        <v>2000</v>
      </c>
      <c r="P2605" s="16">
        <v>2000</v>
      </c>
      <c r="Q2605" s="16">
        <v>2000</v>
      </c>
      <c r="R2605" s="16">
        <v>2000</v>
      </c>
      <c r="S2605" s="16">
        <v>2000</v>
      </c>
      <c r="T2605" s="10" t="s">
        <v>8420</v>
      </c>
      <c r="U2605" t="str">
        <f>VLOOKUP(T2605,[8]Votes!$A$1:$E$234,3,FALSE)</f>
        <v>123 Rural Electrification Agency (REA)</v>
      </c>
      <c r="V2605" t="s">
        <v>8480</v>
      </c>
      <c r="W2605" s="369">
        <v>1</v>
      </c>
      <c r="X2605" s="369">
        <v>0</v>
      </c>
      <c r="Y2605" s="369">
        <v>1</v>
      </c>
      <c r="Z2605" s="369">
        <v>0</v>
      </c>
      <c r="AA2605" s="369">
        <v>1</v>
      </c>
      <c r="AB2605" s="369">
        <v>1</v>
      </c>
      <c r="AC2605" s="369">
        <v>1</v>
      </c>
      <c r="AD2605" s="369">
        <v>0</v>
      </c>
      <c r="AE2605" s="49">
        <f t="shared" si="131"/>
        <v>0.625</v>
      </c>
      <c r="AF2605" s="17"/>
      <c r="AG2605" s="17"/>
      <c r="AH2605" s="17">
        <v>0</v>
      </c>
      <c r="AI2605" s="17">
        <v>0</v>
      </c>
      <c r="AJ2605" s="17">
        <v>0</v>
      </c>
      <c r="AK2605" s="153">
        <v>10</v>
      </c>
      <c r="AL2605" s="154">
        <v>5</v>
      </c>
      <c r="AM2605" s="17">
        <f t="shared" si="132"/>
        <v>15</v>
      </c>
      <c r="AN2605" s="44" t="s">
        <v>570</v>
      </c>
      <c r="AO2605" s="18" t="s">
        <v>2875</v>
      </c>
      <c r="AP2605" t="s">
        <v>8481</v>
      </c>
      <c r="AQ2605"/>
    </row>
    <row r="2606" spans="1:43" s="10" customFormat="1" x14ac:dyDescent="0.3">
      <c r="A2606" s="367" t="s">
        <v>8317</v>
      </c>
      <c r="B2606" s="10" t="s">
        <v>8318</v>
      </c>
      <c r="C2606" s="368" t="s">
        <v>8330</v>
      </c>
      <c r="D2606" s="10" t="s">
        <v>8331</v>
      </c>
      <c r="E2606" s="10" t="s">
        <v>8332</v>
      </c>
      <c r="F2606" s="10" t="s">
        <v>8333</v>
      </c>
      <c r="G2606" s="10" t="s">
        <v>8469</v>
      </c>
      <c r="H2606" s="10" t="s">
        <v>8470</v>
      </c>
      <c r="I2606" s="9"/>
      <c r="J2606" s="370"/>
      <c r="K2606" s="10" t="s">
        <v>8477</v>
      </c>
      <c r="L2606" s="10" t="s">
        <v>8478</v>
      </c>
      <c r="M2606" s="10" t="s">
        <v>8482</v>
      </c>
      <c r="N2606" s="16"/>
      <c r="O2606" s="16">
        <v>3000</v>
      </c>
      <c r="P2606" s="16">
        <v>3000</v>
      </c>
      <c r="Q2606" s="16">
        <v>3000</v>
      </c>
      <c r="R2606" s="16">
        <v>3000</v>
      </c>
      <c r="S2606" s="16">
        <v>3000</v>
      </c>
      <c r="T2606" s="10" t="s">
        <v>8420</v>
      </c>
      <c r="U2606" t="str">
        <f>VLOOKUP(T2606,[8]Votes!$A$1:$E$234,3,FALSE)</f>
        <v>123 Rural Electrification Agency (REA)</v>
      </c>
      <c r="V2606" t="s">
        <v>8483</v>
      </c>
      <c r="W2606" s="369">
        <v>1</v>
      </c>
      <c r="X2606" s="369">
        <v>1</v>
      </c>
      <c r="Y2606" s="369">
        <v>0</v>
      </c>
      <c r="Z2606" s="369">
        <v>1</v>
      </c>
      <c r="AA2606" s="369">
        <v>1</v>
      </c>
      <c r="AB2606" s="369">
        <v>1</v>
      </c>
      <c r="AC2606" s="369">
        <v>0</v>
      </c>
      <c r="AD2606" s="369">
        <v>1</v>
      </c>
      <c r="AE2606" s="49">
        <f t="shared" si="131"/>
        <v>0.75</v>
      </c>
      <c r="AF2606" s="44"/>
      <c r="AG2606" s="17"/>
      <c r="AH2606" s="44">
        <v>10</v>
      </c>
      <c r="AI2606" s="44">
        <v>10</v>
      </c>
      <c r="AJ2606" s="44">
        <v>10</v>
      </c>
      <c r="AK2606" s="151">
        <v>5</v>
      </c>
      <c r="AL2606" s="151">
        <v>5</v>
      </c>
      <c r="AM2606" s="17">
        <f t="shared" si="132"/>
        <v>10</v>
      </c>
      <c r="AN2606" s="44" t="s">
        <v>8476</v>
      </c>
      <c r="AO2606" s="18" t="s">
        <v>1037</v>
      </c>
      <c r="AP2606" t="s">
        <v>8465</v>
      </c>
      <c r="AQ2606"/>
    </row>
    <row r="2607" spans="1:43" s="10" customFormat="1" hidden="1" x14ac:dyDescent="0.3">
      <c r="A2607" s="367" t="s">
        <v>8317</v>
      </c>
      <c r="B2607" s="10" t="s">
        <v>8318</v>
      </c>
      <c r="C2607" s="368" t="s">
        <v>8330</v>
      </c>
      <c r="D2607" s="10" t="s">
        <v>8331</v>
      </c>
      <c r="E2607" s="10" t="s">
        <v>8332</v>
      </c>
      <c r="F2607" s="10" t="s">
        <v>8333</v>
      </c>
      <c r="G2607" s="10" t="s">
        <v>8484</v>
      </c>
      <c r="H2607" s="10" t="s">
        <v>8485</v>
      </c>
      <c r="I2607" s="9"/>
      <c r="J2607" s="370"/>
      <c r="K2607" s="10" t="s">
        <v>8486</v>
      </c>
      <c r="L2607" s="10" t="s">
        <v>8487</v>
      </c>
      <c r="M2607" s="10" t="s">
        <v>8488</v>
      </c>
      <c r="N2607" s="16">
        <v>200000</v>
      </c>
      <c r="O2607" s="16">
        <v>300000</v>
      </c>
      <c r="P2607" s="16">
        <v>300000</v>
      </c>
      <c r="Q2607" s="16">
        <v>300000</v>
      </c>
      <c r="R2607" s="16">
        <v>300000</v>
      </c>
      <c r="S2607" s="16">
        <v>300000</v>
      </c>
      <c r="T2607" t="s">
        <v>8489</v>
      </c>
      <c r="U2607" t="e">
        <f>VLOOKUP(T2607,[8]Votes!$A$1:$E$234,3,FALSE)</f>
        <v>#N/A</v>
      </c>
      <c r="V2607" t="s">
        <v>8490</v>
      </c>
      <c r="W2607" s="369">
        <v>1</v>
      </c>
      <c r="X2607" s="369">
        <v>0</v>
      </c>
      <c r="Y2607" s="369">
        <v>0</v>
      </c>
      <c r="Z2607" s="369">
        <v>1</v>
      </c>
      <c r="AA2607" s="369">
        <v>1</v>
      </c>
      <c r="AB2607" s="369">
        <v>0</v>
      </c>
      <c r="AC2607" s="369">
        <v>0</v>
      </c>
      <c r="AD2607" s="369">
        <v>1</v>
      </c>
      <c r="AE2607" s="49">
        <f t="shared" si="131"/>
        <v>0.5</v>
      </c>
      <c r="AF2607" s="44"/>
      <c r="AG2607" s="17">
        <v>0</v>
      </c>
      <c r="AH2607" s="44">
        <v>0</v>
      </c>
      <c r="AI2607" s="44">
        <v>0</v>
      </c>
      <c r="AJ2607" s="44">
        <v>0</v>
      </c>
      <c r="AK2607" s="151">
        <v>0</v>
      </c>
      <c r="AL2607" s="151">
        <v>0</v>
      </c>
      <c r="AM2607" s="17">
        <f t="shared" si="132"/>
        <v>0</v>
      </c>
      <c r="AN2607" s="44" t="s">
        <v>8422</v>
      </c>
      <c r="AO2607" s="18" t="s">
        <v>1037</v>
      </c>
      <c r="AP2607" t="s">
        <v>1035</v>
      </c>
      <c r="AQ2607"/>
    </row>
    <row r="2608" spans="1:43" s="10" customFormat="1" hidden="1" x14ac:dyDescent="0.3">
      <c r="A2608" s="367" t="s">
        <v>8317</v>
      </c>
      <c r="B2608" s="10" t="s">
        <v>8318</v>
      </c>
      <c r="C2608" s="368" t="s">
        <v>8330</v>
      </c>
      <c r="D2608" s="10" t="s">
        <v>8331</v>
      </c>
      <c r="E2608" s="10" t="s">
        <v>8332</v>
      </c>
      <c r="F2608" s="10" t="s">
        <v>8333</v>
      </c>
      <c r="G2608" s="10" t="s">
        <v>8484</v>
      </c>
      <c r="H2608" s="10" t="s">
        <v>8485</v>
      </c>
      <c r="I2608" s="9"/>
      <c r="J2608" s="370"/>
      <c r="K2608" s="10" t="s">
        <v>8486</v>
      </c>
      <c r="L2608" s="10" t="s">
        <v>8487</v>
      </c>
      <c r="N2608" s="16"/>
      <c r="O2608" s="16"/>
      <c r="P2608" s="16"/>
      <c r="Q2608" s="16"/>
      <c r="R2608" s="16"/>
      <c r="S2608" s="16"/>
      <c r="U2608" t="e">
        <f>VLOOKUP(T2608,[8]Votes!$A$1:$E$234,3,FALSE)</f>
        <v>#N/A</v>
      </c>
      <c r="V2608" t="s">
        <v>8491</v>
      </c>
      <c r="W2608" s="369">
        <v>1</v>
      </c>
      <c r="X2608" s="369">
        <v>0</v>
      </c>
      <c r="Y2608" s="369">
        <v>0</v>
      </c>
      <c r="Z2608" s="369">
        <v>1</v>
      </c>
      <c r="AA2608" s="369">
        <v>1</v>
      </c>
      <c r="AB2608" s="369">
        <v>0</v>
      </c>
      <c r="AC2608" s="369">
        <v>0</v>
      </c>
      <c r="AD2608" s="369">
        <v>1</v>
      </c>
      <c r="AE2608" s="49">
        <f t="shared" si="131"/>
        <v>0.5</v>
      </c>
      <c r="AF2608" s="17"/>
      <c r="AG2608" s="17">
        <v>0</v>
      </c>
      <c r="AH2608" s="17">
        <v>0</v>
      </c>
      <c r="AI2608" s="44">
        <v>0.5</v>
      </c>
      <c r="AJ2608" s="44">
        <v>0.5</v>
      </c>
      <c r="AK2608" s="151">
        <v>0.5</v>
      </c>
      <c r="AL2608" s="151">
        <v>0.5</v>
      </c>
      <c r="AM2608" s="17">
        <f t="shared" si="132"/>
        <v>1</v>
      </c>
      <c r="AN2608" s="44" t="s">
        <v>8409</v>
      </c>
      <c r="AO2608" s="18" t="s">
        <v>1037</v>
      </c>
      <c r="AP2608" t="s">
        <v>8492</v>
      </c>
      <c r="AQ2608"/>
    </row>
    <row r="2609" spans="1:44" s="10" customFormat="1" hidden="1" x14ac:dyDescent="0.3">
      <c r="A2609" s="367" t="s">
        <v>8317</v>
      </c>
      <c r="B2609" s="10" t="s">
        <v>8318</v>
      </c>
      <c r="C2609" s="368" t="s">
        <v>8330</v>
      </c>
      <c r="D2609" s="10" t="s">
        <v>8331</v>
      </c>
      <c r="E2609" s="10" t="s">
        <v>8332</v>
      </c>
      <c r="F2609" s="10" t="s">
        <v>8333</v>
      </c>
      <c r="G2609" s="10" t="s">
        <v>8484</v>
      </c>
      <c r="H2609" s="10" t="s">
        <v>8485</v>
      </c>
      <c r="I2609" s="9"/>
      <c r="J2609" s="370"/>
      <c r="K2609" s="10" t="s">
        <v>8486</v>
      </c>
      <c r="L2609" s="10" t="s">
        <v>8487</v>
      </c>
      <c r="N2609" s="16"/>
      <c r="O2609" s="16"/>
      <c r="P2609" s="16"/>
      <c r="Q2609" s="16"/>
      <c r="R2609" s="16"/>
      <c r="S2609" s="16"/>
      <c r="U2609" t="e">
        <f>VLOOKUP(T2609,[8]Votes!$A$1:$E$234,3,FALSE)</f>
        <v>#N/A</v>
      </c>
      <c r="V2609" t="s">
        <v>8493</v>
      </c>
      <c r="W2609" s="369">
        <v>1</v>
      </c>
      <c r="X2609" s="369">
        <v>0</v>
      </c>
      <c r="Y2609" s="369">
        <v>0</v>
      </c>
      <c r="Z2609" s="369">
        <v>1</v>
      </c>
      <c r="AA2609" s="369">
        <v>1</v>
      </c>
      <c r="AB2609" s="369">
        <v>0</v>
      </c>
      <c r="AC2609" s="369">
        <v>0</v>
      </c>
      <c r="AD2609" s="369">
        <v>1</v>
      </c>
      <c r="AE2609" s="49">
        <f t="shared" si="131"/>
        <v>0.5</v>
      </c>
      <c r="AF2609" s="17"/>
      <c r="AG2609" s="17">
        <v>0</v>
      </c>
      <c r="AH2609" s="17">
        <v>0</v>
      </c>
      <c r="AI2609" s="44">
        <v>1</v>
      </c>
      <c r="AJ2609" s="44">
        <v>1</v>
      </c>
      <c r="AK2609" s="151">
        <v>2</v>
      </c>
      <c r="AL2609" s="151">
        <v>2</v>
      </c>
      <c r="AM2609" s="17">
        <f t="shared" si="132"/>
        <v>4</v>
      </c>
      <c r="AN2609" s="44" t="s">
        <v>1035</v>
      </c>
      <c r="AO2609" s="18" t="s">
        <v>1037</v>
      </c>
      <c r="AP2609" t="s">
        <v>8494</v>
      </c>
      <c r="AQ2609"/>
    </row>
    <row r="2610" spans="1:44" s="10" customFormat="1" hidden="1" x14ac:dyDescent="0.3">
      <c r="A2610" s="367" t="s">
        <v>8317</v>
      </c>
      <c r="B2610" s="10" t="s">
        <v>8318</v>
      </c>
      <c r="C2610" s="368" t="s">
        <v>8330</v>
      </c>
      <c r="D2610" s="10" t="s">
        <v>8331</v>
      </c>
      <c r="E2610" s="10" t="s">
        <v>8332</v>
      </c>
      <c r="F2610" s="10" t="s">
        <v>8333</v>
      </c>
      <c r="G2610" s="10" t="s">
        <v>8484</v>
      </c>
      <c r="H2610" s="10" t="s">
        <v>8485</v>
      </c>
      <c r="I2610" s="9"/>
      <c r="J2610" s="370"/>
      <c r="K2610" s="10" t="s">
        <v>8486</v>
      </c>
      <c r="L2610" s="10" t="s">
        <v>8487</v>
      </c>
      <c r="N2610" s="16"/>
      <c r="O2610" s="16"/>
      <c r="P2610" s="16"/>
      <c r="Q2610" s="16"/>
      <c r="R2610" s="16"/>
      <c r="S2610" s="16"/>
      <c r="U2610" t="e">
        <f>VLOOKUP(T2610,[8]Votes!$A$1:$E$234,3,FALSE)</f>
        <v>#N/A</v>
      </c>
      <c r="V2610" t="s">
        <v>8495</v>
      </c>
      <c r="W2610" s="369">
        <v>1</v>
      </c>
      <c r="X2610" s="369">
        <v>0</v>
      </c>
      <c r="Y2610" s="369">
        <v>0</v>
      </c>
      <c r="Z2610" s="369">
        <v>1</v>
      </c>
      <c r="AA2610" s="369">
        <v>1</v>
      </c>
      <c r="AB2610" s="369">
        <v>1</v>
      </c>
      <c r="AC2610" s="369">
        <v>0</v>
      </c>
      <c r="AD2610" s="369">
        <v>1</v>
      </c>
      <c r="AE2610" s="49">
        <f t="shared" si="131"/>
        <v>0.625</v>
      </c>
      <c r="AF2610" s="17"/>
      <c r="AG2610" s="17">
        <v>0</v>
      </c>
      <c r="AH2610" s="17">
        <v>0</v>
      </c>
      <c r="AI2610" s="44">
        <v>1</v>
      </c>
      <c r="AJ2610" s="44">
        <v>1</v>
      </c>
      <c r="AK2610" s="151">
        <v>1</v>
      </c>
      <c r="AL2610" s="151">
        <v>1</v>
      </c>
      <c r="AM2610" s="17">
        <f t="shared" si="132"/>
        <v>2</v>
      </c>
      <c r="AN2610" s="44" t="s">
        <v>1035</v>
      </c>
      <c r="AO2610" s="18" t="s">
        <v>1037</v>
      </c>
      <c r="AP2610" t="s">
        <v>8496</v>
      </c>
      <c r="AQ2610"/>
    </row>
    <row r="2611" spans="1:44" s="10" customFormat="1" x14ac:dyDescent="0.3">
      <c r="A2611" s="367" t="s">
        <v>8317</v>
      </c>
      <c r="B2611" s="10" t="s">
        <v>8318</v>
      </c>
      <c r="C2611" s="368" t="s">
        <v>8330</v>
      </c>
      <c r="D2611" s="10" t="s">
        <v>8331</v>
      </c>
      <c r="E2611" s="10" t="s">
        <v>8332</v>
      </c>
      <c r="F2611" s="10" t="s">
        <v>8333</v>
      </c>
      <c r="G2611" s="10" t="s">
        <v>8484</v>
      </c>
      <c r="H2611" s="10" t="s">
        <v>8485</v>
      </c>
      <c r="I2611" s="9"/>
      <c r="J2611" s="370"/>
      <c r="K2611" s="10" t="s">
        <v>8486</v>
      </c>
      <c r="L2611" s="10" t="s">
        <v>8487</v>
      </c>
      <c r="N2611" s="16"/>
      <c r="O2611" s="16"/>
      <c r="P2611" s="16"/>
      <c r="Q2611" s="16"/>
      <c r="R2611" s="16"/>
      <c r="S2611" s="16"/>
      <c r="U2611" t="e">
        <f>VLOOKUP(T2611,[8]Votes!$A$1:$E$234,3,FALSE)</f>
        <v>#N/A</v>
      </c>
      <c r="V2611" t="s">
        <v>8497</v>
      </c>
      <c r="W2611" s="369">
        <v>1</v>
      </c>
      <c r="X2611" s="369">
        <v>1</v>
      </c>
      <c r="Y2611" s="369">
        <v>0</v>
      </c>
      <c r="Z2611" s="369">
        <v>1</v>
      </c>
      <c r="AA2611" s="369">
        <v>1</v>
      </c>
      <c r="AB2611" s="369">
        <v>1</v>
      </c>
      <c r="AC2611" s="369">
        <v>1</v>
      </c>
      <c r="AD2611" s="369">
        <v>1</v>
      </c>
      <c r="AE2611" s="49">
        <f t="shared" si="131"/>
        <v>0.875</v>
      </c>
      <c r="AF2611" s="17">
        <v>1</v>
      </c>
      <c r="AG2611" s="17">
        <v>0</v>
      </c>
      <c r="AH2611" s="17">
        <v>0</v>
      </c>
      <c r="AI2611" s="44">
        <v>3</v>
      </c>
      <c r="AJ2611" s="44">
        <v>3</v>
      </c>
      <c r="AK2611" s="151">
        <v>3</v>
      </c>
      <c r="AL2611" s="151">
        <v>3</v>
      </c>
      <c r="AM2611" s="17">
        <f t="shared" si="132"/>
        <v>6</v>
      </c>
      <c r="AN2611" s="44" t="s">
        <v>8422</v>
      </c>
      <c r="AO2611" s="18" t="s">
        <v>1037</v>
      </c>
      <c r="AP2611" t="s">
        <v>1035</v>
      </c>
      <c r="AQ2611"/>
    </row>
    <row r="2612" spans="1:44" s="10" customFormat="1" hidden="1" x14ac:dyDescent="0.3">
      <c r="A2612" s="367" t="s">
        <v>8317</v>
      </c>
      <c r="B2612" s="10" t="s">
        <v>8318</v>
      </c>
      <c r="C2612" s="368" t="s">
        <v>8330</v>
      </c>
      <c r="D2612" s="10" t="s">
        <v>8331</v>
      </c>
      <c r="E2612" s="10" t="s">
        <v>8332</v>
      </c>
      <c r="F2612" s="10" t="s">
        <v>8333</v>
      </c>
      <c r="G2612" s="10" t="s">
        <v>8484</v>
      </c>
      <c r="H2612" s="10" t="s">
        <v>8485</v>
      </c>
      <c r="I2612" s="9"/>
      <c r="J2612" s="370"/>
      <c r="K2612" s="10" t="s">
        <v>8486</v>
      </c>
      <c r="L2612" s="10" t="s">
        <v>8487</v>
      </c>
      <c r="N2612" s="16"/>
      <c r="O2612" s="16"/>
      <c r="P2612" s="16"/>
      <c r="Q2612" s="16"/>
      <c r="R2612" s="16"/>
      <c r="S2612" s="16"/>
      <c r="U2612" t="e">
        <f>VLOOKUP(T2612,[8]Votes!$A$1:$E$234,3,FALSE)</f>
        <v>#N/A</v>
      </c>
      <c r="V2612" t="s">
        <v>8498</v>
      </c>
      <c r="W2612" s="369">
        <v>1</v>
      </c>
      <c r="X2612" s="369">
        <v>0</v>
      </c>
      <c r="Y2612" s="369">
        <v>0</v>
      </c>
      <c r="Z2612" s="369">
        <v>1</v>
      </c>
      <c r="AA2612" s="369">
        <v>1</v>
      </c>
      <c r="AB2612" s="369">
        <v>1</v>
      </c>
      <c r="AC2612" s="369">
        <v>0</v>
      </c>
      <c r="AD2612" s="369">
        <v>1</v>
      </c>
      <c r="AE2612" s="49">
        <f t="shared" si="131"/>
        <v>0.625</v>
      </c>
      <c r="AF2612" s="17"/>
      <c r="AG2612" s="17">
        <v>0</v>
      </c>
      <c r="AH2612" s="17">
        <v>0</v>
      </c>
      <c r="AI2612" s="44">
        <v>5</v>
      </c>
      <c r="AJ2612" s="44">
        <v>5</v>
      </c>
      <c r="AK2612" s="151">
        <v>5</v>
      </c>
      <c r="AL2612" s="151">
        <v>5</v>
      </c>
      <c r="AM2612" s="17">
        <f t="shared" si="132"/>
        <v>10</v>
      </c>
      <c r="AN2612" s="44" t="s">
        <v>8422</v>
      </c>
      <c r="AO2612" s="18" t="s">
        <v>1037</v>
      </c>
      <c r="AP2612" t="s">
        <v>8499</v>
      </c>
      <c r="AQ2612"/>
    </row>
    <row r="2613" spans="1:44" s="10" customFormat="1" hidden="1" x14ac:dyDescent="0.3">
      <c r="A2613" s="367" t="s">
        <v>8317</v>
      </c>
      <c r="B2613" s="10" t="s">
        <v>8318</v>
      </c>
      <c r="C2613" s="368" t="s">
        <v>8330</v>
      </c>
      <c r="D2613" s="10" t="s">
        <v>8331</v>
      </c>
      <c r="E2613" s="10" t="s">
        <v>8332</v>
      </c>
      <c r="F2613" s="10" t="s">
        <v>8333</v>
      </c>
      <c r="G2613" s="10" t="s">
        <v>8484</v>
      </c>
      <c r="H2613" s="10" t="s">
        <v>8485</v>
      </c>
      <c r="I2613" s="9"/>
      <c r="J2613" s="370"/>
      <c r="K2613" s="10" t="s">
        <v>8486</v>
      </c>
      <c r="L2613" s="10" t="s">
        <v>8487</v>
      </c>
      <c r="N2613" s="16"/>
      <c r="O2613" s="16"/>
      <c r="P2613" s="16"/>
      <c r="Q2613" s="16"/>
      <c r="R2613" s="16"/>
      <c r="S2613" s="16"/>
      <c r="U2613" t="e">
        <f>VLOOKUP(T2613,[8]Votes!$A$1:$E$234,3,FALSE)</f>
        <v>#N/A</v>
      </c>
      <c r="V2613" t="s">
        <v>8500</v>
      </c>
      <c r="W2613" s="369">
        <v>1</v>
      </c>
      <c r="X2613" s="369">
        <v>0</v>
      </c>
      <c r="Y2613" s="369">
        <v>0</v>
      </c>
      <c r="Z2613" s="369">
        <v>1</v>
      </c>
      <c r="AA2613" s="369">
        <v>1</v>
      </c>
      <c r="AB2613" s="369">
        <v>1</v>
      </c>
      <c r="AC2613" s="369">
        <v>0</v>
      </c>
      <c r="AD2613" s="369">
        <v>1</v>
      </c>
      <c r="AE2613" s="49">
        <f t="shared" si="131"/>
        <v>0.625</v>
      </c>
      <c r="AF2613" s="17"/>
      <c r="AG2613" s="17">
        <v>1</v>
      </c>
      <c r="AH2613" s="17">
        <v>0</v>
      </c>
      <c r="AI2613" s="44">
        <v>4</v>
      </c>
      <c r="AJ2613" s="17">
        <v>0</v>
      </c>
      <c r="AK2613" s="153">
        <v>0</v>
      </c>
      <c r="AL2613" s="154">
        <v>0</v>
      </c>
      <c r="AM2613" s="17">
        <f t="shared" si="132"/>
        <v>0</v>
      </c>
      <c r="AN2613" s="44" t="s">
        <v>8501</v>
      </c>
      <c r="AO2613" s="18" t="s">
        <v>1037</v>
      </c>
      <c r="AP2613" t="s">
        <v>8502</v>
      </c>
      <c r="AQ2613"/>
    </row>
    <row r="2614" spans="1:44" s="10" customFormat="1" x14ac:dyDescent="0.3">
      <c r="A2614" s="367" t="s">
        <v>8317</v>
      </c>
      <c r="B2614" s="10" t="s">
        <v>8318</v>
      </c>
      <c r="C2614" s="368" t="s">
        <v>8330</v>
      </c>
      <c r="D2614" s="10" t="s">
        <v>8331</v>
      </c>
      <c r="E2614" s="10" t="s">
        <v>8332</v>
      </c>
      <c r="F2614" s="10" t="s">
        <v>8333</v>
      </c>
      <c r="G2614" s="10" t="s">
        <v>8484</v>
      </c>
      <c r="H2614" s="10" t="s">
        <v>8485</v>
      </c>
      <c r="I2614" s="9"/>
      <c r="J2614" s="370"/>
      <c r="K2614" s="10" t="s">
        <v>8486</v>
      </c>
      <c r="L2614" s="10" t="s">
        <v>8487</v>
      </c>
      <c r="M2614" s="10" t="s">
        <v>8503</v>
      </c>
      <c r="N2614" s="16">
        <v>40</v>
      </c>
      <c r="O2614" s="16">
        <v>50</v>
      </c>
      <c r="P2614" s="16">
        <v>55</v>
      </c>
      <c r="Q2614" s="16">
        <v>60</v>
      </c>
      <c r="R2614" s="16">
        <v>65</v>
      </c>
      <c r="S2614" s="16">
        <v>70</v>
      </c>
      <c r="T2614" s="10" t="s">
        <v>8420</v>
      </c>
      <c r="U2614" t="str">
        <f>VLOOKUP(T2614,[8]Votes!$A$1:$E$234,3,FALSE)</f>
        <v>123 Rural Electrification Agency (REA)</v>
      </c>
      <c r="V2614" t="s">
        <v>8504</v>
      </c>
      <c r="W2614" s="369">
        <v>1</v>
      </c>
      <c r="X2614" s="369">
        <v>1</v>
      </c>
      <c r="Y2614" s="369">
        <v>0</v>
      </c>
      <c r="Z2614" s="369">
        <v>1</v>
      </c>
      <c r="AA2614" s="369">
        <v>1</v>
      </c>
      <c r="AB2614" s="369">
        <v>1</v>
      </c>
      <c r="AC2614" s="369">
        <v>0</v>
      </c>
      <c r="AD2614" s="369">
        <v>1</v>
      </c>
      <c r="AE2614" s="49">
        <f t="shared" si="131"/>
        <v>0.75</v>
      </c>
      <c r="AF2614" s="44"/>
      <c r="AG2614" s="17">
        <v>1</v>
      </c>
      <c r="AH2614" s="44">
        <v>10</v>
      </c>
      <c r="AI2614" s="44">
        <v>0</v>
      </c>
      <c r="AJ2614" s="44">
        <v>0</v>
      </c>
      <c r="AK2614" s="151"/>
      <c r="AL2614" s="151"/>
      <c r="AM2614" s="17">
        <f t="shared" si="132"/>
        <v>0</v>
      </c>
      <c r="AN2614" s="44" t="s">
        <v>8420</v>
      </c>
      <c r="AO2614" s="18" t="s">
        <v>8425</v>
      </c>
      <c r="AP2614" t="s">
        <v>8434</v>
      </c>
      <c r="AQ2614"/>
      <c r="AR2614"/>
    </row>
    <row r="2615" spans="1:44" s="10" customFormat="1" x14ac:dyDescent="0.3">
      <c r="A2615" s="367" t="s">
        <v>8317</v>
      </c>
      <c r="B2615" s="10" t="s">
        <v>8318</v>
      </c>
      <c r="C2615" s="368" t="s">
        <v>8330</v>
      </c>
      <c r="D2615" s="10" t="s">
        <v>8331</v>
      </c>
      <c r="E2615" s="10" t="s">
        <v>8332</v>
      </c>
      <c r="F2615" s="10" t="s">
        <v>8333</v>
      </c>
      <c r="G2615" s="10" t="s">
        <v>8484</v>
      </c>
      <c r="H2615" s="10" t="s">
        <v>8485</v>
      </c>
      <c r="I2615" s="9"/>
      <c r="J2615" s="370"/>
      <c r="K2615" s="10" t="s">
        <v>8486</v>
      </c>
      <c r="L2615" s="10" t="s">
        <v>8487</v>
      </c>
      <c r="N2615" s="16"/>
      <c r="O2615" s="16"/>
      <c r="P2615" s="16"/>
      <c r="Q2615" s="16"/>
      <c r="R2615" s="16"/>
      <c r="S2615" s="16"/>
      <c r="U2615" t="e">
        <f>VLOOKUP(T2615,[8]Votes!$A$1:$E$234,3,FALSE)</f>
        <v>#N/A</v>
      </c>
      <c r="V2615" t="s">
        <v>8424</v>
      </c>
      <c r="W2615" s="369">
        <v>1</v>
      </c>
      <c r="X2615" s="369">
        <v>1</v>
      </c>
      <c r="Y2615" s="369">
        <v>0</v>
      </c>
      <c r="Z2615" s="369">
        <v>1</v>
      </c>
      <c r="AA2615" s="369">
        <v>1</v>
      </c>
      <c r="AB2615" s="369">
        <v>1</v>
      </c>
      <c r="AC2615" s="369">
        <v>0</v>
      </c>
      <c r="AD2615" s="369">
        <v>1</v>
      </c>
      <c r="AE2615" s="49">
        <f t="shared" si="131"/>
        <v>0.75</v>
      </c>
      <c r="AF2615" s="44"/>
      <c r="AG2615" s="17">
        <v>0</v>
      </c>
      <c r="AH2615" s="44">
        <v>70</v>
      </c>
      <c r="AI2615" s="44">
        <v>30</v>
      </c>
      <c r="AJ2615" s="44">
        <v>30</v>
      </c>
      <c r="AK2615" s="151"/>
      <c r="AL2615" s="151"/>
      <c r="AM2615" s="17">
        <f t="shared" si="132"/>
        <v>0</v>
      </c>
      <c r="AN2615" s="44" t="s">
        <v>8422</v>
      </c>
      <c r="AO2615" s="18" t="s">
        <v>1037</v>
      </c>
      <c r="AP2615" t="s">
        <v>8505</v>
      </c>
      <c r="AQ2615"/>
      <c r="AR2615"/>
    </row>
    <row r="2616" spans="1:44" s="10" customFormat="1" x14ac:dyDescent="0.3">
      <c r="A2616" s="367" t="s">
        <v>8317</v>
      </c>
      <c r="B2616" s="10" t="s">
        <v>8318</v>
      </c>
      <c r="C2616" s="368" t="s">
        <v>8330</v>
      </c>
      <c r="D2616" s="10" t="s">
        <v>8331</v>
      </c>
      <c r="E2616" s="10" t="s">
        <v>8332</v>
      </c>
      <c r="F2616" s="10" t="s">
        <v>8333</v>
      </c>
      <c r="G2616" s="10" t="s">
        <v>8484</v>
      </c>
      <c r="H2616" s="10" t="s">
        <v>8485</v>
      </c>
      <c r="I2616" s="9"/>
      <c r="J2616" s="370"/>
      <c r="K2616" s="10" t="s">
        <v>8486</v>
      </c>
      <c r="L2616" s="10" t="s">
        <v>8487</v>
      </c>
      <c r="N2616" s="16"/>
      <c r="O2616" s="16"/>
      <c r="P2616" s="16"/>
      <c r="Q2616" s="16"/>
      <c r="R2616" s="16"/>
      <c r="S2616" s="16"/>
      <c r="U2616" t="e">
        <f>VLOOKUP(T2616,[8]Votes!$A$1:$E$234,3,FALSE)</f>
        <v>#N/A</v>
      </c>
      <c r="V2616" t="s">
        <v>8506</v>
      </c>
      <c r="W2616" s="369">
        <v>1</v>
      </c>
      <c r="X2616" s="369">
        <v>1</v>
      </c>
      <c r="Y2616" s="369">
        <v>0</v>
      </c>
      <c r="Z2616" s="369">
        <v>1</v>
      </c>
      <c r="AA2616" s="369">
        <v>1</v>
      </c>
      <c r="AB2616" s="369">
        <v>1</v>
      </c>
      <c r="AC2616" s="369">
        <v>0</v>
      </c>
      <c r="AD2616" s="369">
        <v>1</v>
      </c>
      <c r="AE2616" s="49">
        <f t="shared" si="131"/>
        <v>0.75</v>
      </c>
      <c r="AF2616" s="44"/>
      <c r="AG2616" s="17">
        <v>1</v>
      </c>
      <c r="AH2616" s="44">
        <v>20</v>
      </c>
      <c r="AI2616" s="44">
        <v>20</v>
      </c>
      <c r="AJ2616" s="44">
        <v>20</v>
      </c>
      <c r="AK2616" s="151"/>
      <c r="AL2616" s="151"/>
      <c r="AM2616" s="17">
        <f t="shared" si="132"/>
        <v>0</v>
      </c>
      <c r="AN2616" s="44" t="s">
        <v>8420</v>
      </c>
      <c r="AO2616" s="18" t="s">
        <v>8425</v>
      </c>
      <c r="AP2616" t="s">
        <v>8434</v>
      </c>
      <c r="AQ2616"/>
      <c r="AR2616"/>
    </row>
    <row r="2617" spans="1:44" s="10" customFormat="1" x14ac:dyDescent="0.3">
      <c r="A2617" s="367" t="s">
        <v>8317</v>
      </c>
      <c r="B2617" s="10" t="s">
        <v>8318</v>
      </c>
      <c r="C2617" s="368" t="s">
        <v>8330</v>
      </c>
      <c r="D2617" s="10" t="s">
        <v>8331</v>
      </c>
      <c r="E2617" s="10" t="s">
        <v>8332</v>
      </c>
      <c r="F2617" s="10" t="s">
        <v>8333</v>
      </c>
      <c r="G2617" s="10" t="s">
        <v>8484</v>
      </c>
      <c r="H2617" s="10" t="s">
        <v>8485</v>
      </c>
      <c r="I2617" s="9"/>
      <c r="J2617" s="370"/>
      <c r="K2617" s="10" t="s">
        <v>8486</v>
      </c>
      <c r="L2617" s="10" t="s">
        <v>8487</v>
      </c>
      <c r="N2617" s="16"/>
      <c r="O2617" s="16"/>
      <c r="P2617" s="16"/>
      <c r="Q2617" s="16"/>
      <c r="R2617" s="16"/>
      <c r="S2617" s="16"/>
      <c r="U2617" t="e">
        <f>VLOOKUP(T2617,[8]Votes!$A$1:$E$234,3,FALSE)</f>
        <v>#N/A</v>
      </c>
      <c r="V2617" t="s">
        <v>8507</v>
      </c>
      <c r="W2617" s="369">
        <v>1</v>
      </c>
      <c r="X2617" s="369">
        <v>1</v>
      </c>
      <c r="Y2617" s="369">
        <v>0</v>
      </c>
      <c r="Z2617" s="369">
        <v>1</v>
      </c>
      <c r="AA2617" s="369">
        <v>1</v>
      </c>
      <c r="AB2617" s="369">
        <v>1</v>
      </c>
      <c r="AC2617" s="369">
        <v>0</v>
      </c>
      <c r="AD2617" s="369">
        <v>1</v>
      </c>
      <c r="AE2617" s="49">
        <f t="shared" si="131"/>
        <v>0.75</v>
      </c>
      <c r="AF2617" s="44"/>
      <c r="AG2617" s="17">
        <v>0</v>
      </c>
      <c r="AH2617" s="44">
        <v>0</v>
      </c>
      <c r="AI2617" s="44">
        <v>0</v>
      </c>
      <c r="AJ2617" s="44">
        <v>0</v>
      </c>
      <c r="AK2617" s="151">
        <v>0</v>
      </c>
      <c r="AL2617" s="151">
        <v>0</v>
      </c>
      <c r="AM2617" s="17">
        <f t="shared" si="132"/>
        <v>0</v>
      </c>
      <c r="AN2617" s="44" t="s">
        <v>8341</v>
      </c>
      <c r="AO2617" s="18" t="s">
        <v>1037</v>
      </c>
      <c r="AP2617" t="s">
        <v>8508</v>
      </c>
      <c r="AQ2617"/>
      <c r="AR2617"/>
    </row>
    <row r="2618" spans="1:44" s="10" customFormat="1" x14ac:dyDescent="0.3">
      <c r="A2618" s="367" t="s">
        <v>8317</v>
      </c>
      <c r="B2618" s="10" t="s">
        <v>8318</v>
      </c>
      <c r="C2618" s="368" t="s">
        <v>8330</v>
      </c>
      <c r="D2618" s="10" t="s">
        <v>8331</v>
      </c>
      <c r="E2618" s="10" t="s">
        <v>8332</v>
      </c>
      <c r="F2618" s="10" t="s">
        <v>8333</v>
      </c>
      <c r="G2618" s="10" t="s">
        <v>8484</v>
      </c>
      <c r="H2618" s="10" t="s">
        <v>8485</v>
      </c>
      <c r="I2618" s="9"/>
      <c r="J2618" s="370"/>
      <c r="K2618" s="10" t="s">
        <v>8486</v>
      </c>
      <c r="L2618" s="10" t="s">
        <v>8487</v>
      </c>
      <c r="N2618" s="16"/>
      <c r="O2618" s="16"/>
      <c r="P2618" s="16"/>
      <c r="Q2618" s="16"/>
      <c r="R2618" s="16"/>
      <c r="S2618" s="16"/>
      <c r="U2618" t="e">
        <f>VLOOKUP(T2618,[8]Votes!$A$1:$E$234,3,FALSE)</f>
        <v>#N/A</v>
      </c>
      <c r="V2618" t="s">
        <v>8507</v>
      </c>
      <c r="W2618" s="369">
        <v>1</v>
      </c>
      <c r="X2618" s="369">
        <v>1</v>
      </c>
      <c r="Y2618" s="369">
        <v>0</v>
      </c>
      <c r="Z2618" s="369">
        <v>1</v>
      </c>
      <c r="AA2618" s="369">
        <v>1</v>
      </c>
      <c r="AB2618" s="369">
        <v>1</v>
      </c>
      <c r="AC2618" s="369">
        <v>0</v>
      </c>
      <c r="AD2618" s="369">
        <v>1</v>
      </c>
      <c r="AE2618" s="49">
        <f t="shared" si="131"/>
        <v>0.75</v>
      </c>
      <c r="AF2618" s="44"/>
      <c r="AG2618" s="17">
        <v>0</v>
      </c>
      <c r="AH2618" s="44">
        <v>0</v>
      </c>
      <c r="AI2618" s="44">
        <v>0</v>
      </c>
      <c r="AJ2618" s="44">
        <v>0</v>
      </c>
      <c r="AK2618" s="151"/>
      <c r="AL2618" s="151"/>
      <c r="AM2618" s="17">
        <f t="shared" si="132"/>
        <v>0</v>
      </c>
      <c r="AN2618" s="44" t="s">
        <v>8422</v>
      </c>
      <c r="AO2618" s="18" t="s">
        <v>1037</v>
      </c>
      <c r="AP2618" t="s">
        <v>8509</v>
      </c>
      <c r="AQ2618"/>
      <c r="AR2618"/>
    </row>
    <row r="2619" spans="1:44" s="10" customFormat="1" hidden="1" x14ac:dyDescent="0.3">
      <c r="A2619" s="367" t="s">
        <v>8317</v>
      </c>
      <c r="B2619" s="10" t="s">
        <v>8318</v>
      </c>
      <c r="C2619" s="368" t="s">
        <v>8330</v>
      </c>
      <c r="D2619" s="10" t="s">
        <v>8331</v>
      </c>
      <c r="E2619" s="10" t="s">
        <v>8332</v>
      </c>
      <c r="F2619" s="10" t="s">
        <v>8333</v>
      </c>
      <c r="G2619" s="10" t="s">
        <v>8484</v>
      </c>
      <c r="H2619" s="10" t="s">
        <v>8485</v>
      </c>
      <c r="I2619" s="9"/>
      <c r="J2619" s="370"/>
      <c r="K2619" s="10" t="s">
        <v>8486</v>
      </c>
      <c r="L2619" s="10" t="s">
        <v>8487</v>
      </c>
      <c r="N2619" s="16"/>
      <c r="O2619" s="16"/>
      <c r="P2619" s="16"/>
      <c r="Q2619" s="16"/>
      <c r="R2619" s="16"/>
      <c r="S2619" s="16"/>
      <c r="U2619" t="e">
        <f>VLOOKUP(T2619,[8]Votes!$A$1:$E$234,3,FALSE)</f>
        <v>#N/A</v>
      </c>
      <c r="V2619" t="s">
        <v>8510</v>
      </c>
      <c r="W2619" s="369">
        <v>0</v>
      </c>
      <c r="X2619" s="369">
        <v>0</v>
      </c>
      <c r="Y2619" s="369">
        <v>0</v>
      </c>
      <c r="Z2619" s="369">
        <v>1</v>
      </c>
      <c r="AA2619" s="369">
        <v>1</v>
      </c>
      <c r="AB2619" s="369">
        <v>0</v>
      </c>
      <c r="AC2619" s="369">
        <v>0</v>
      </c>
      <c r="AD2619" s="369">
        <v>0</v>
      </c>
      <c r="AE2619" s="49">
        <f t="shared" si="131"/>
        <v>0.25</v>
      </c>
      <c r="AF2619" s="44"/>
      <c r="AG2619" s="17">
        <v>0</v>
      </c>
      <c r="AH2619" s="44">
        <v>5</v>
      </c>
      <c r="AI2619" s="44">
        <v>10</v>
      </c>
      <c r="AJ2619" s="44">
        <v>10</v>
      </c>
      <c r="AK2619" s="151">
        <v>0</v>
      </c>
      <c r="AL2619" s="151">
        <v>0</v>
      </c>
      <c r="AM2619" s="17">
        <f t="shared" si="132"/>
        <v>0</v>
      </c>
      <c r="AN2619" s="44" t="s">
        <v>8409</v>
      </c>
      <c r="AO2619" s="18" t="s">
        <v>1037</v>
      </c>
      <c r="AP2619" t="s">
        <v>1035</v>
      </c>
      <c r="AQ2619"/>
      <c r="AR2619"/>
    </row>
    <row r="2620" spans="1:44" s="10" customFormat="1" x14ac:dyDescent="0.3">
      <c r="A2620" s="367" t="s">
        <v>8317</v>
      </c>
      <c r="B2620" s="10" t="s">
        <v>8318</v>
      </c>
      <c r="C2620" s="368" t="s">
        <v>8330</v>
      </c>
      <c r="D2620" s="10" t="s">
        <v>8331</v>
      </c>
      <c r="E2620" s="10" t="s">
        <v>8332</v>
      </c>
      <c r="F2620" s="10" t="s">
        <v>8333</v>
      </c>
      <c r="G2620" s="10" t="s">
        <v>8484</v>
      </c>
      <c r="H2620" s="10" t="s">
        <v>8485</v>
      </c>
      <c r="I2620" s="9"/>
      <c r="J2620" s="370"/>
      <c r="K2620" s="10" t="s">
        <v>8486</v>
      </c>
      <c r="L2620" s="10" t="s">
        <v>8487</v>
      </c>
      <c r="N2620" s="16"/>
      <c r="O2620" s="16"/>
      <c r="P2620" s="16"/>
      <c r="Q2620" s="16"/>
      <c r="R2620" s="16"/>
      <c r="S2620" s="16"/>
      <c r="U2620" t="e">
        <f>VLOOKUP(T2620,[8]Votes!$A$1:$E$234,3,FALSE)</f>
        <v>#N/A</v>
      </c>
      <c r="V2620" t="s">
        <v>8511</v>
      </c>
      <c r="W2620" s="369">
        <v>1</v>
      </c>
      <c r="X2620" s="369">
        <v>1</v>
      </c>
      <c r="Y2620" s="369">
        <v>1</v>
      </c>
      <c r="Z2620" s="369">
        <v>1</v>
      </c>
      <c r="AA2620" s="369">
        <v>1</v>
      </c>
      <c r="AB2620" s="369">
        <v>1</v>
      </c>
      <c r="AC2620" s="369">
        <v>0</v>
      </c>
      <c r="AD2620" s="369">
        <v>1</v>
      </c>
      <c r="AE2620" s="49">
        <f t="shared" si="131"/>
        <v>0.875</v>
      </c>
      <c r="AF2620" s="17"/>
      <c r="AG2620" s="17">
        <v>0</v>
      </c>
      <c r="AH2620" s="17">
        <v>0</v>
      </c>
      <c r="AI2620" s="44">
        <v>1.2</v>
      </c>
      <c r="AJ2620" s="44">
        <v>0.5</v>
      </c>
      <c r="AK2620" s="151">
        <v>1</v>
      </c>
      <c r="AL2620" s="151">
        <v>1.5</v>
      </c>
      <c r="AM2620" s="17">
        <f t="shared" si="132"/>
        <v>2.5</v>
      </c>
      <c r="AN2620" s="44" t="s">
        <v>321</v>
      </c>
      <c r="AO2620" s="18" t="s">
        <v>1066</v>
      </c>
      <c r="AP2620" t="s">
        <v>8512</v>
      </c>
      <c r="AQ2620"/>
      <c r="AR2620"/>
    </row>
    <row r="2621" spans="1:44" s="10" customFormat="1" hidden="1" x14ac:dyDescent="0.3">
      <c r="A2621" s="367" t="s">
        <v>8317</v>
      </c>
      <c r="B2621" s="10" t="s">
        <v>8318</v>
      </c>
      <c r="C2621" s="368" t="s">
        <v>8330</v>
      </c>
      <c r="D2621" s="10" t="s">
        <v>8331</v>
      </c>
      <c r="E2621" s="10" t="s">
        <v>8332</v>
      </c>
      <c r="F2621" s="10" t="s">
        <v>8333</v>
      </c>
      <c r="G2621" s="10" t="s">
        <v>8513</v>
      </c>
      <c r="H2621" s="10" t="s">
        <v>8514</v>
      </c>
      <c r="I2621" s="9"/>
      <c r="J2621" s="370"/>
      <c r="K2621" s="10" t="s">
        <v>8515</v>
      </c>
      <c r="L2621" s="10" t="s">
        <v>8516</v>
      </c>
      <c r="M2621" s="10" t="s">
        <v>8517</v>
      </c>
      <c r="N2621" s="16"/>
      <c r="O2621" s="16">
        <v>0</v>
      </c>
      <c r="P2621" s="16">
        <v>0</v>
      </c>
      <c r="Q2621" s="16">
        <v>1</v>
      </c>
      <c r="R2621" s="16">
        <v>0</v>
      </c>
      <c r="S2621" s="16">
        <v>0</v>
      </c>
      <c r="T2621" s="10" t="s">
        <v>6371</v>
      </c>
      <c r="U2621" t="e">
        <f>VLOOKUP(T2621,[8]Votes!$A$1:$E$234,3,FALSE)</f>
        <v>#N/A</v>
      </c>
      <c r="W2621" s="369">
        <v>0</v>
      </c>
      <c r="X2621" s="369">
        <v>0</v>
      </c>
      <c r="Y2621" s="369">
        <v>0</v>
      </c>
      <c r="Z2621" s="369">
        <v>1</v>
      </c>
      <c r="AA2621" s="369">
        <v>1</v>
      </c>
      <c r="AB2621" s="369">
        <v>0</v>
      </c>
      <c r="AC2621" s="369">
        <v>0</v>
      </c>
      <c r="AD2621" s="369">
        <v>0</v>
      </c>
      <c r="AE2621" s="49">
        <f t="shared" si="131"/>
        <v>0.25</v>
      </c>
      <c r="AF2621" s="17"/>
      <c r="AG2621" s="17">
        <v>0</v>
      </c>
      <c r="AH2621" s="17"/>
      <c r="AI2621" s="17"/>
      <c r="AJ2621" s="17"/>
      <c r="AK2621" s="154"/>
      <c r="AL2621" s="154"/>
      <c r="AM2621" s="17">
        <f t="shared" si="132"/>
        <v>0</v>
      </c>
      <c r="AR2621"/>
    </row>
    <row r="2622" spans="1:44" s="10" customFormat="1" x14ac:dyDescent="0.3">
      <c r="A2622" s="367" t="s">
        <v>8317</v>
      </c>
      <c r="B2622" s="10" t="s">
        <v>8318</v>
      </c>
      <c r="C2622" s="368" t="s">
        <v>8330</v>
      </c>
      <c r="D2622" s="10" t="s">
        <v>8331</v>
      </c>
      <c r="E2622" s="10" t="s">
        <v>8332</v>
      </c>
      <c r="F2622" s="10" t="s">
        <v>8333</v>
      </c>
      <c r="G2622" s="10" t="s">
        <v>8513</v>
      </c>
      <c r="H2622" s="10" t="s">
        <v>8514</v>
      </c>
      <c r="I2622" s="9"/>
      <c r="J2622" s="370"/>
      <c r="K2622" s="10" t="s">
        <v>8515</v>
      </c>
      <c r="L2622" s="10" t="s">
        <v>8518</v>
      </c>
      <c r="M2622" s="10" t="s">
        <v>8519</v>
      </c>
      <c r="N2622" s="16">
        <v>0</v>
      </c>
      <c r="O2622" s="16">
        <v>1</v>
      </c>
      <c r="P2622" s="16">
        <v>1</v>
      </c>
      <c r="Q2622" s="16">
        <v>1</v>
      </c>
      <c r="R2622" s="16">
        <v>0</v>
      </c>
      <c r="S2622" s="16">
        <v>0</v>
      </c>
      <c r="T2622" s="10" t="s">
        <v>8339</v>
      </c>
      <c r="U2622" t="e">
        <f>VLOOKUP(T2622,[8]Votes!$A$1:$E$234,3,FALSE)</f>
        <v>#N/A</v>
      </c>
      <c r="V2622" t="s">
        <v>8520</v>
      </c>
      <c r="W2622" s="369">
        <v>1</v>
      </c>
      <c r="X2622" s="369">
        <v>1</v>
      </c>
      <c r="Y2622" s="369">
        <v>1</v>
      </c>
      <c r="Z2622" s="369">
        <v>1</v>
      </c>
      <c r="AA2622" s="369">
        <v>1</v>
      </c>
      <c r="AB2622" s="369">
        <v>1</v>
      </c>
      <c r="AC2622" s="369">
        <v>0</v>
      </c>
      <c r="AD2622" s="369">
        <v>1</v>
      </c>
      <c r="AE2622" s="49">
        <f t="shared" si="131"/>
        <v>0.875</v>
      </c>
      <c r="AF2622" s="44"/>
      <c r="AG2622" s="17">
        <v>0</v>
      </c>
      <c r="AH2622" s="44">
        <v>5</v>
      </c>
      <c r="AI2622" s="44">
        <v>5</v>
      </c>
      <c r="AJ2622" s="17">
        <v>0</v>
      </c>
      <c r="AK2622" s="153">
        <v>0</v>
      </c>
      <c r="AL2622" s="154">
        <v>0</v>
      </c>
      <c r="AM2622" s="17">
        <f t="shared" si="132"/>
        <v>0</v>
      </c>
      <c r="AN2622" s="44" t="s">
        <v>8341</v>
      </c>
      <c r="AO2622" s="18" t="s">
        <v>1037</v>
      </c>
      <c r="AP2622" t="s">
        <v>8521</v>
      </c>
      <c r="AQ2622"/>
      <c r="AR2622"/>
    </row>
    <row r="2623" spans="1:44" s="10" customFormat="1" hidden="1" x14ac:dyDescent="0.3">
      <c r="A2623" s="367" t="s">
        <v>8317</v>
      </c>
      <c r="B2623" s="10" t="s">
        <v>8318</v>
      </c>
      <c r="C2623" s="368" t="s">
        <v>8330</v>
      </c>
      <c r="D2623" s="10" t="s">
        <v>8331</v>
      </c>
      <c r="E2623" s="10" t="s">
        <v>8332</v>
      </c>
      <c r="F2623" s="10" t="s">
        <v>8333</v>
      </c>
      <c r="G2623" s="10" t="s">
        <v>8522</v>
      </c>
      <c r="H2623" s="10" t="s">
        <v>8523</v>
      </c>
      <c r="I2623" s="9"/>
      <c r="J2623" s="370"/>
      <c r="K2623" s="10" t="s">
        <v>8524</v>
      </c>
      <c r="L2623" s="10" t="s">
        <v>8525</v>
      </c>
      <c r="M2623" s="10" t="s">
        <v>8526</v>
      </c>
      <c r="N2623" s="16" t="s">
        <v>271</v>
      </c>
      <c r="O2623" s="16" t="s">
        <v>271</v>
      </c>
      <c r="P2623" s="16">
        <v>1</v>
      </c>
      <c r="Q2623" s="16" t="s">
        <v>271</v>
      </c>
      <c r="R2623" s="16" t="s">
        <v>271</v>
      </c>
      <c r="S2623" s="16" t="s">
        <v>271</v>
      </c>
      <c r="T2623" s="10" t="s">
        <v>1035</v>
      </c>
      <c r="U2623" t="str">
        <f>VLOOKUP(T2623,[8]Votes!$A$1:$E$234,3,FALSE)</f>
        <v>017 Ministry of Energy and Mineral Development</v>
      </c>
      <c r="V2623"/>
      <c r="W2623" s="369">
        <v>1</v>
      </c>
      <c r="X2623" s="369">
        <v>0</v>
      </c>
      <c r="Y2623" s="369">
        <v>0</v>
      </c>
      <c r="Z2623" s="369">
        <v>0</v>
      </c>
      <c r="AA2623" s="369">
        <v>1</v>
      </c>
      <c r="AB2623" s="369">
        <v>1</v>
      </c>
      <c r="AC2623" s="369">
        <v>0</v>
      </c>
      <c r="AD2623" s="369">
        <v>1</v>
      </c>
      <c r="AE2623" s="49">
        <f t="shared" si="131"/>
        <v>0.5</v>
      </c>
      <c r="AF2623" s="4"/>
      <c r="AG2623" s="17">
        <v>0</v>
      </c>
      <c r="AH2623" s="4"/>
      <c r="AI2623" s="4"/>
      <c r="AJ2623" s="17"/>
      <c r="AK2623" s="153"/>
      <c r="AL2623" s="154"/>
      <c r="AM2623" s="17">
        <f t="shared" si="132"/>
        <v>0</v>
      </c>
      <c r="AN2623" s="44"/>
      <c r="AO2623" s="18"/>
      <c r="AP2623"/>
      <c r="AQ2623"/>
      <c r="AR2623"/>
    </row>
    <row r="2624" spans="1:44" s="10" customFormat="1" ht="14.55" hidden="1" customHeight="1" x14ac:dyDescent="0.3">
      <c r="A2624" s="367" t="s">
        <v>8317</v>
      </c>
      <c r="B2624" s="10" t="s">
        <v>8318</v>
      </c>
      <c r="C2624" s="368" t="s">
        <v>8330</v>
      </c>
      <c r="D2624" s="10" t="s">
        <v>8331</v>
      </c>
      <c r="E2624" s="10" t="s">
        <v>8332</v>
      </c>
      <c r="F2624" s="10" t="s">
        <v>8333</v>
      </c>
      <c r="G2624" s="10" t="s">
        <v>8522</v>
      </c>
      <c r="H2624" s="10" t="s">
        <v>8523</v>
      </c>
      <c r="I2624" s="9"/>
      <c r="J2624" s="370"/>
      <c r="K2624" s="10" t="s">
        <v>8524</v>
      </c>
      <c r="L2624" s="10" t="s">
        <v>8525</v>
      </c>
      <c r="M2624" s="10" t="s">
        <v>8527</v>
      </c>
      <c r="N2624" s="16">
        <v>0</v>
      </c>
      <c r="O2624" s="16"/>
      <c r="P2624" s="16">
        <v>2</v>
      </c>
      <c r="Q2624" s="16">
        <v>3</v>
      </c>
      <c r="R2624" s="16">
        <v>3</v>
      </c>
      <c r="S2624" s="16">
        <v>3</v>
      </c>
      <c r="T2624" s="10" t="s">
        <v>321</v>
      </c>
      <c r="U2624" t="str">
        <f>VLOOKUP(T2624,[8]Votes!$A$1:$E$234,3,FALSE)</f>
        <v>154 Uganda National Bureau of Standards</v>
      </c>
      <c r="V2624" t="s">
        <v>8528</v>
      </c>
      <c r="W2624" s="369">
        <v>1</v>
      </c>
      <c r="X2624" s="369">
        <v>0</v>
      </c>
      <c r="Y2624" s="369">
        <v>0</v>
      </c>
      <c r="Z2624" s="369">
        <v>1</v>
      </c>
      <c r="AA2624" s="369">
        <v>1</v>
      </c>
      <c r="AB2624" s="369">
        <v>1</v>
      </c>
      <c r="AC2624" s="369">
        <v>0</v>
      </c>
      <c r="AD2624" s="369">
        <v>1</v>
      </c>
      <c r="AE2624" s="49">
        <f t="shared" si="131"/>
        <v>0.625</v>
      </c>
      <c r="AF2624" s="17"/>
      <c r="AG2624" s="17">
        <v>0</v>
      </c>
      <c r="AH2624" s="17">
        <v>0</v>
      </c>
      <c r="AI2624" s="17">
        <v>0</v>
      </c>
      <c r="AJ2624" s="17">
        <v>0</v>
      </c>
      <c r="AK2624" s="153">
        <v>1</v>
      </c>
      <c r="AL2624" s="154">
        <v>2</v>
      </c>
      <c r="AM2624" s="17">
        <f t="shared" si="132"/>
        <v>3</v>
      </c>
      <c r="AN2624" s="44" t="s">
        <v>8422</v>
      </c>
      <c r="AO2624" s="18" t="s">
        <v>1037</v>
      </c>
      <c r="AP2624" t="s">
        <v>8529</v>
      </c>
      <c r="AQ2624"/>
      <c r="AR2624"/>
    </row>
    <row r="2625" spans="1:44" s="10" customFormat="1" x14ac:dyDescent="0.3">
      <c r="A2625" s="367" t="s">
        <v>8317</v>
      </c>
      <c r="B2625" s="10" t="s">
        <v>8318</v>
      </c>
      <c r="C2625" s="368" t="s">
        <v>8330</v>
      </c>
      <c r="D2625" s="10" t="s">
        <v>8331</v>
      </c>
      <c r="E2625" s="10" t="s">
        <v>8332</v>
      </c>
      <c r="F2625" s="10" t="s">
        <v>8333</v>
      </c>
      <c r="G2625" s="10" t="s">
        <v>8522</v>
      </c>
      <c r="H2625" s="10" t="s">
        <v>8523</v>
      </c>
      <c r="I2625" s="9"/>
      <c r="J2625" s="370"/>
      <c r="K2625" s="10" t="s">
        <v>8524</v>
      </c>
      <c r="L2625" s="10" t="s">
        <v>8525</v>
      </c>
      <c r="N2625" s="16"/>
      <c r="O2625" s="16"/>
      <c r="P2625" s="16"/>
      <c r="Q2625" s="16"/>
      <c r="R2625" s="16"/>
      <c r="S2625" s="16"/>
      <c r="U2625" t="e">
        <f>VLOOKUP(T2625,[8]Votes!$A$1:$E$234,3,FALSE)</f>
        <v>#N/A</v>
      </c>
      <c r="V2625" t="s">
        <v>8530</v>
      </c>
      <c r="W2625" s="369">
        <v>1</v>
      </c>
      <c r="X2625" s="369">
        <v>1</v>
      </c>
      <c r="Y2625" s="369">
        <v>1</v>
      </c>
      <c r="Z2625" s="369">
        <v>0</v>
      </c>
      <c r="AA2625" s="369">
        <v>1</v>
      </c>
      <c r="AB2625" s="369">
        <v>1</v>
      </c>
      <c r="AC2625" s="369">
        <v>1</v>
      </c>
      <c r="AD2625" s="369">
        <v>1</v>
      </c>
      <c r="AE2625" s="49">
        <f t="shared" si="131"/>
        <v>0.875</v>
      </c>
      <c r="AF2625" s="44"/>
      <c r="AG2625" s="17">
        <v>0</v>
      </c>
      <c r="AH2625" s="44">
        <v>2</v>
      </c>
      <c r="AI2625" s="44">
        <v>2</v>
      </c>
      <c r="AJ2625" s="44">
        <v>2</v>
      </c>
      <c r="AK2625" s="151">
        <v>2</v>
      </c>
      <c r="AL2625" s="151">
        <v>2</v>
      </c>
      <c r="AM2625" s="17">
        <f t="shared" si="132"/>
        <v>4</v>
      </c>
      <c r="AN2625" s="44" t="s">
        <v>321</v>
      </c>
      <c r="AO2625" s="18" t="s">
        <v>1066</v>
      </c>
      <c r="AP2625" t="s">
        <v>4439</v>
      </c>
      <c r="AQ2625"/>
      <c r="AR2625"/>
    </row>
    <row r="2626" spans="1:44" s="10" customFormat="1" x14ac:dyDescent="0.3">
      <c r="A2626" s="367" t="s">
        <v>8317</v>
      </c>
      <c r="B2626" s="10" t="s">
        <v>8318</v>
      </c>
      <c r="C2626" s="368" t="s">
        <v>8330</v>
      </c>
      <c r="D2626" s="10" t="s">
        <v>8331</v>
      </c>
      <c r="E2626" s="10" t="s">
        <v>8332</v>
      </c>
      <c r="F2626" s="10" t="s">
        <v>8333</v>
      </c>
      <c r="G2626" s="10" t="s">
        <v>8522</v>
      </c>
      <c r="H2626" s="10" t="s">
        <v>8523</v>
      </c>
      <c r="I2626" s="9"/>
      <c r="J2626" s="370"/>
      <c r="K2626" s="10" t="s">
        <v>8524</v>
      </c>
      <c r="L2626" s="10" t="s">
        <v>8525</v>
      </c>
      <c r="M2626" s="10" t="s">
        <v>8531</v>
      </c>
      <c r="N2626" s="16">
        <v>70</v>
      </c>
      <c r="O2626" s="16">
        <v>70</v>
      </c>
      <c r="P2626" s="16">
        <v>75</v>
      </c>
      <c r="Q2626" s="16">
        <v>85</v>
      </c>
      <c r="R2626" s="16">
        <v>95</v>
      </c>
      <c r="S2626" s="16">
        <v>100</v>
      </c>
      <c r="T2626" s="10" t="s">
        <v>8436</v>
      </c>
      <c r="U2626" t="e">
        <f>VLOOKUP(T2626,[8]Votes!$A$1:$E$234,3,FALSE)</f>
        <v>#N/A</v>
      </c>
      <c r="V2626" t="s">
        <v>8532</v>
      </c>
      <c r="W2626" s="369">
        <v>1</v>
      </c>
      <c r="X2626" s="369">
        <v>1</v>
      </c>
      <c r="Y2626" s="369">
        <v>1</v>
      </c>
      <c r="Z2626" s="369">
        <v>0</v>
      </c>
      <c r="AA2626" s="369">
        <v>1</v>
      </c>
      <c r="AB2626" s="369">
        <v>1</v>
      </c>
      <c r="AC2626" s="369">
        <v>1</v>
      </c>
      <c r="AD2626" s="369">
        <v>1</v>
      </c>
      <c r="AE2626" s="49">
        <f t="shared" si="131"/>
        <v>0.875</v>
      </c>
      <c r="AF2626" s="44"/>
      <c r="AG2626" s="17">
        <v>0</v>
      </c>
      <c r="AH2626" s="44">
        <v>2.13</v>
      </c>
      <c r="AI2626" s="44">
        <v>1.53</v>
      </c>
      <c r="AJ2626" s="44">
        <v>0.95</v>
      </c>
      <c r="AK2626" s="151">
        <v>0.95</v>
      </c>
      <c r="AL2626" s="151">
        <v>0.36</v>
      </c>
      <c r="AM2626" s="17">
        <f t="shared" si="132"/>
        <v>1.31</v>
      </c>
      <c r="AN2626" s="44" t="s">
        <v>321</v>
      </c>
      <c r="AO2626" s="18" t="s">
        <v>1066</v>
      </c>
      <c r="AP2626" t="s">
        <v>4439</v>
      </c>
      <c r="AQ2626"/>
      <c r="AR2626"/>
    </row>
    <row r="2627" spans="1:44" s="10" customFormat="1" x14ac:dyDescent="0.3">
      <c r="A2627" s="367" t="s">
        <v>8317</v>
      </c>
      <c r="B2627" s="10" t="s">
        <v>8318</v>
      </c>
      <c r="C2627" s="368" t="s">
        <v>8330</v>
      </c>
      <c r="D2627" s="10" t="s">
        <v>8331</v>
      </c>
      <c r="E2627" s="10" t="s">
        <v>8332</v>
      </c>
      <c r="F2627" s="10" t="s">
        <v>8333</v>
      </c>
      <c r="G2627" s="10" t="s">
        <v>8522</v>
      </c>
      <c r="H2627" s="10" t="s">
        <v>8523</v>
      </c>
      <c r="I2627" s="9"/>
      <c r="J2627" s="370"/>
      <c r="K2627" s="10" t="s">
        <v>8524</v>
      </c>
      <c r="L2627" s="10" t="s">
        <v>8525</v>
      </c>
      <c r="N2627" s="16"/>
      <c r="O2627" s="16"/>
      <c r="P2627" s="16"/>
      <c r="Q2627" s="16"/>
      <c r="R2627" s="16"/>
      <c r="S2627" s="16"/>
      <c r="U2627" t="e">
        <f>VLOOKUP(T2627,[8]Votes!$A$1:$E$234,3,FALSE)</f>
        <v>#N/A</v>
      </c>
      <c r="V2627" t="s">
        <v>8533</v>
      </c>
      <c r="W2627" s="369">
        <v>1</v>
      </c>
      <c r="X2627" s="369">
        <v>1</v>
      </c>
      <c r="Y2627" s="369">
        <v>0</v>
      </c>
      <c r="Z2627" s="369">
        <v>1</v>
      </c>
      <c r="AA2627" s="369">
        <v>1</v>
      </c>
      <c r="AB2627" s="369">
        <v>1</v>
      </c>
      <c r="AC2627" s="369">
        <v>0</v>
      </c>
      <c r="AD2627" s="369">
        <v>1</v>
      </c>
      <c r="AE2627" s="49">
        <f t="shared" si="131"/>
        <v>0.75</v>
      </c>
      <c r="AF2627" s="17"/>
      <c r="AG2627" s="17">
        <v>0</v>
      </c>
      <c r="AH2627" s="17">
        <v>0</v>
      </c>
      <c r="AI2627" s="44">
        <v>0.3</v>
      </c>
      <c r="AJ2627" s="44">
        <v>0.6</v>
      </c>
      <c r="AK2627" s="151">
        <v>0.6</v>
      </c>
      <c r="AL2627" s="151">
        <v>0.6</v>
      </c>
      <c r="AM2627" s="17">
        <f t="shared" si="132"/>
        <v>1.2</v>
      </c>
      <c r="AN2627" s="44" t="s">
        <v>321</v>
      </c>
      <c r="AO2627" s="18" t="s">
        <v>1066</v>
      </c>
      <c r="AP2627" t="s">
        <v>4411</v>
      </c>
      <c r="AQ2627"/>
      <c r="AR2627"/>
    </row>
    <row r="2628" spans="1:44" s="10" customFormat="1" x14ac:dyDescent="0.3">
      <c r="A2628" s="367" t="s">
        <v>8317</v>
      </c>
      <c r="B2628" s="10" t="s">
        <v>8318</v>
      </c>
      <c r="C2628" s="368" t="s">
        <v>8330</v>
      </c>
      <c r="D2628" s="10" t="s">
        <v>8331</v>
      </c>
      <c r="E2628" s="10" t="s">
        <v>8332</v>
      </c>
      <c r="F2628" s="10" t="s">
        <v>8333</v>
      </c>
      <c r="G2628" s="10" t="s">
        <v>8522</v>
      </c>
      <c r="H2628" s="10" t="s">
        <v>8523</v>
      </c>
      <c r="I2628" s="9"/>
      <c r="J2628" s="370"/>
      <c r="K2628" s="10" t="s">
        <v>8524</v>
      </c>
      <c r="L2628" s="10" t="s">
        <v>8525</v>
      </c>
      <c r="N2628" s="16"/>
      <c r="O2628" s="16"/>
      <c r="P2628" s="16"/>
      <c r="Q2628" s="16"/>
      <c r="R2628" s="16"/>
      <c r="S2628" s="16"/>
      <c r="U2628" t="e">
        <f>VLOOKUP(T2628,[8]Votes!$A$1:$E$234,3,FALSE)</f>
        <v>#N/A</v>
      </c>
      <c r="V2628" t="s">
        <v>8534</v>
      </c>
      <c r="W2628" s="369">
        <v>1</v>
      </c>
      <c r="X2628" s="369">
        <v>1</v>
      </c>
      <c r="Y2628" s="369">
        <v>1</v>
      </c>
      <c r="Z2628" s="369">
        <v>0</v>
      </c>
      <c r="AA2628" s="369">
        <v>1</v>
      </c>
      <c r="AB2628" s="369">
        <v>1</v>
      </c>
      <c r="AC2628" s="369">
        <v>1</v>
      </c>
      <c r="AD2628" s="369">
        <v>1</v>
      </c>
      <c r="AE2628" s="49">
        <f t="shared" si="131"/>
        <v>0.875</v>
      </c>
      <c r="AF2628" s="17"/>
      <c r="AG2628" s="17">
        <v>0</v>
      </c>
      <c r="AH2628" s="17">
        <v>0</v>
      </c>
      <c r="AI2628" s="44">
        <v>0.4</v>
      </c>
      <c r="AJ2628" s="44">
        <v>0.6</v>
      </c>
      <c r="AK2628" s="151">
        <v>0.6</v>
      </c>
      <c r="AL2628" s="151">
        <v>0.6</v>
      </c>
      <c r="AM2628" s="17">
        <f t="shared" si="132"/>
        <v>1.2</v>
      </c>
      <c r="AN2628" s="44" t="s">
        <v>321</v>
      </c>
      <c r="AO2628" s="18" t="s">
        <v>1066</v>
      </c>
      <c r="AP2628" t="s">
        <v>1035</v>
      </c>
      <c r="AQ2628"/>
      <c r="AR2628"/>
    </row>
    <row r="2629" spans="1:44" s="10" customFormat="1" x14ac:dyDescent="0.3">
      <c r="A2629" s="367" t="s">
        <v>8317</v>
      </c>
      <c r="B2629" s="10" t="s">
        <v>8318</v>
      </c>
      <c r="C2629" s="368" t="s">
        <v>8330</v>
      </c>
      <c r="D2629" s="10" t="s">
        <v>8331</v>
      </c>
      <c r="E2629" s="10" t="s">
        <v>8332</v>
      </c>
      <c r="F2629" s="10" t="s">
        <v>8333</v>
      </c>
      <c r="G2629" s="10" t="s">
        <v>8522</v>
      </c>
      <c r="H2629" s="10" t="s">
        <v>8523</v>
      </c>
      <c r="I2629" s="9"/>
      <c r="J2629" s="370"/>
      <c r="K2629" s="10" t="s">
        <v>8524</v>
      </c>
      <c r="L2629" s="10" t="s">
        <v>8525</v>
      </c>
      <c r="N2629" s="16"/>
      <c r="O2629" s="16"/>
      <c r="P2629" s="16"/>
      <c r="Q2629" s="16"/>
      <c r="R2629" s="16"/>
      <c r="S2629" s="16"/>
      <c r="U2629" t="e">
        <f>VLOOKUP(T2629,[8]Votes!$A$1:$E$234,3,FALSE)</f>
        <v>#N/A</v>
      </c>
      <c r="V2629" t="s">
        <v>8535</v>
      </c>
      <c r="W2629" s="369">
        <v>1</v>
      </c>
      <c r="X2629" s="369">
        <v>1</v>
      </c>
      <c r="Y2629" s="369">
        <v>1</v>
      </c>
      <c r="Z2629" s="369">
        <v>1</v>
      </c>
      <c r="AA2629" s="369">
        <v>1</v>
      </c>
      <c r="AB2629" s="369">
        <v>1</v>
      </c>
      <c r="AC2629" s="369">
        <v>1</v>
      </c>
      <c r="AD2629" s="369">
        <v>1</v>
      </c>
      <c r="AE2629" s="49">
        <f t="shared" si="131"/>
        <v>1</v>
      </c>
      <c r="AF2629" s="17"/>
      <c r="AG2629" s="17">
        <v>0</v>
      </c>
      <c r="AH2629" s="17">
        <v>0</v>
      </c>
      <c r="AI2629" s="44">
        <v>1.2</v>
      </c>
      <c r="AJ2629" s="44">
        <v>1.4</v>
      </c>
      <c r="AK2629" s="151">
        <v>1.4</v>
      </c>
      <c r="AL2629" s="151">
        <v>1.4</v>
      </c>
      <c r="AM2629" s="17">
        <f t="shared" si="132"/>
        <v>2.8</v>
      </c>
      <c r="AN2629" s="44" t="s">
        <v>1035</v>
      </c>
      <c r="AO2629" s="18" t="s">
        <v>1037</v>
      </c>
      <c r="AP2629" t="s">
        <v>3605</v>
      </c>
      <c r="AQ2629"/>
      <c r="AR2629"/>
    </row>
    <row r="2630" spans="1:44" s="10" customFormat="1" x14ac:dyDescent="0.3">
      <c r="A2630" s="367" t="s">
        <v>8317</v>
      </c>
      <c r="B2630" s="10" t="s">
        <v>8318</v>
      </c>
      <c r="C2630" s="368" t="s">
        <v>8330</v>
      </c>
      <c r="D2630" s="10" t="s">
        <v>8331</v>
      </c>
      <c r="E2630" s="10" t="s">
        <v>8332</v>
      </c>
      <c r="F2630" s="10" t="s">
        <v>8333</v>
      </c>
      <c r="G2630" s="10" t="s">
        <v>8522</v>
      </c>
      <c r="H2630" s="10" t="s">
        <v>8523</v>
      </c>
      <c r="I2630" s="9"/>
      <c r="J2630" s="370"/>
      <c r="K2630" s="10" t="s">
        <v>8524</v>
      </c>
      <c r="L2630" s="10" t="s">
        <v>8525</v>
      </c>
      <c r="M2630" s="10" t="s">
        <v>8536</v>
      </c>
      <c r="N2630" s="16">
        <v>2</v>
      </c>
      <c r="O2630" s="16"/>
      <c r="P2630" s="16">
        <v>4</v>
      </c>
      <c r="Q2630" s="16">
        <v>6</v>
      </c>
      <c r="R2630" s="16">
        <v>6</v>
      </c>
      <c r="S2630" s="16">
        <v>6</v>
      </c>
      <c r="T2630" s="10" t="s">
        <v>321</v>
      </c>
      <c r="U2630" t="str">
        <f>VLOOKUP(T2630,[8]Votes!$A$1:$E$234,3,FALSE)</f>
        <v>154 Uganda National Bureau of Standards</v>
      </c>
      <c r="V2630" t="s">
        <v>8537</v>
      </c>
      <c r="W2630" s="369">
        <v>1</v>
      </c>
      <c r="X2630" s="369">
        <v>1</v>
      </c>
      <c r="Y2630" s="369">
        <v>1</v>
      </c>
      <c r="Z2630" s="369">
        <v>0</v>
      </c>
      <c r="AA2630" s="369">
        <v>1</v>
      </c>
      <c r="AB2630" s="369">
        <v>1</v>
      </c>
      <c r="AC2630" s="369">
        <v>1</v>
      </c>
      <c r="AD2630" s="369">
        <v>1</v>
      </c>
      <c r="AE2630" s="49">
        <f t="shared" si="131"/>
        <v>0.875</v>
      </c>
      <c r="AF2630" s="17"/>
      <c r="AG2630" s="17">
        <v>0</v>
      </c>
      <c r="AH2630" s="17">
        <v>0</v>
      </c>
      <c r="AI2630" s="44">
        <v>0</v>
      </c>
      <c r="AJ2630" s="17">
        <v>0</v>
      </c>
      <c r="AK2630" s="153"/>
      <c r="AL2630" s="154"/>
      <c r="AM2630" s="17">
        <f t="shared" si="132"/>
        <v>0</v>
      </c>
      <c r="AN2630" s="44" t="s">
        <v>8409</v>
      </c>
      <c r="AO2630" s="18" t="s">
        <v>1037</v>
      </c>
      <c r="AP2630" t="s">
        <v>3605</v>
      </c>
      <c r="AQ2630"/>
      <c r="AR2630"/>
    </row>
    <row r="2631" spans="1:44" s="10" customFormat="1" x14ac:dyDescent="0.3">
      <c r="A2631" s="367" t="s">
        <v>8317</v>
      </c>
      <c r="B2631" s="10" t="s">
        <v>8318</v>
      </c>
      <c r="C2631" s="368" t="s">
        <v>8330</v>
      </c>
      <c r="D2631" s="10" t="s">
        <v>8331</v>
      </c>
      <c r="E2631" s="10" t="s">
        <v>8332</v>
      </c>
      <c r="F2631" s="10" t="s">
        <v>8333</v>
      </c>
      <c r="G2631" s="10" t="s">
        <v>8522</v>
      </c>
      <c r="H2631" s="10" t="s">
        <v>8523</v>
      </c>
      <c r="I2631" s="9"/>
      <c r="J2631" s="370"/>
      <c r="K2631" s="10" t="s">
        <v>8524</v>
      </c>
      <c r="L2631" s="10" t="s">
        <v>8525</v>
      </c>
      <c r="M2631" s="10" t="s">
        <v>8538</v>
      </c>
      <c r="N2631" s="16"/>
      <c r="O2631" s="16"/>
      <c r="P2631" s="16">
        <v>5</v>
      </c>
      <c r="Q2631" s="16">
        <v>3</v>
      </c>
      <c r="R2631" s="16">
        <v>1</v>
      </c>
      <c r="S2631" s="16">
        <v>2</v>
      </c>
      <c r="T2631" s="10" t="s">
        <v>321</v>
      </c>
      <c r="U2631" t="str">
        <f>VLOOKUP(T2631,[8]Votes!$A$1:$E$234,3,FALSE)</f>
        <v>154 Uganda National Bureau of Standards</v>
      </c>
      <c r="V2631" t="s">
        <v>8539</v>
      </c>
      <c r="W2631" s="369">
        <v>1</v>
      </c>
      <c r="X2631" s="369">
        <v>1</v>
      </c>
      <c r="Y2631" s="369">
        <v>1</v>
      </c>
      <c r="Z2631" s="369">
        <v>0</v>
      </c>
      <c r="AA2631" s="369">
        <v>1</v>
      </c>
      <c r="AB2631" s="369">
        <v>1</v>
      </c>
      <c r="AC2631" s="369">
        <v>1</v>
      </c>
      <c r="AD2631" s="369">
        <v>1</v>
      </c>
      <c r="AE2631" s="49">
        <f t="shared" si="131"/>
        <v>0.875</v>
      </c>
      <c r="AF2631" s="17"/>
      <c r="AG2631" s="17">
        <v>0</v>
      </c>
      <c r="AH2631" s="17">
        <v>0</v>
      </c>
      <c r="AI2631" s="44">
        <v>6</v>
      </c>
      <c r="AJ2631" s="44">
        <v>6</v>
      </c>
      <c r="AK2631" s="151"/>
      <c r="AL2631" s="151"/>
      <c r="AM2631" s="17">
        <f t="shared" si="132"/>
        <v>0</v>
      </c>
      <c r="AN2631" s="44" t="s">
        <v>1035</v>
      </c>
      <c r="AO2631" s="18" t="s">
        <v>1037</v>
      </c>
      <c r="AP2631" t="s">
        <v>8540</v>
      </c>
      <c r="AQ2631"/>
      <c r="AR2631"/>
    </row>
    <row r="2632" spans="1:44" s="10" customFormat="1" hidden="1" x14ac:dyDescent="0.3">
      <c r="A2632" s="367" t="s">
        <v>8317</v>
      </c>
      <c r="B2632" s="10" t="s">
        <v>8318</v>
      </c>
      <c r="C2632" s="368" t="s">
        <v>8330</v>
      </c>
      <c r="D2632" s="10" t="s">
        <v>8331</v>
      </c>
      <c r="E2632" s="10" t="s">
        <v>8332</v>
      </c>
      <c r="F2632" s="10" t="s">
        <v>8333</v>
      </c>
      <c r="G2632" s="10" t="s">
        <v>8522</v>
      </c>
      <c r="H2632" s="10" t="s">
        <v>8523</v>
      </c>
      <c r="I2632" s="9"/>
      <c r="J2632" s="370"/>
      <c r="K2632" s="10" t="s">
        <v>8524</v>
      </c>
      <c r="L2632" s="10" t="s">
        <v>8525</v>
      </c>
      <c r="M2632" s="10" t="s">
        <v>8541</v>
      </c>
      <c r="N2632" s="16"/>
      <c r="O2632" s="16"/>
      <c r="P2632" s="16">
        <v>5</v>
      </c>
      <c r="Q2632" s="16">
        <v>1</v>
      </c>
      <c r="R2632" s="16">
        <v>1</v>
      </c>
      <c r="S2632" s="16"/>
      <c r="T2632" s="10" t="s">
        <v>321</v>
      </c>
      <c r="U2632" t="str">
        <f>VLOOKUP(T2632,[8]Votes!$A$1:$E$234,3,FALSE)</f>
        <v>154 Uganda National Bureau of Standards</v>
      </c>
      <c r="V2632" t="s">
        <v>8542</v>
      </c>
      <c r="W2632" s="369">
        <v>1</v>
      </c>
      <c r="X2632" s="369">
        <v>0</v>
      </c>
      <c r="Y2632" s="369">
        <v>1</v>
      </c>
      <c r="Z2632" s="369">
        <v>1</v>
      </c>
      <c r="AA2632" s="369">
        <v>1</v>
      </c>
      <c r="AB2632" s="369">
        <v>0</v>
      </c>
      <c r="AC2632" s="369">
        <v>0</v>
      </c>
      <c r="AD2632" s="369">
        <v>1</v>
      </c>
      <c r="AE2632" s="49">
        <f t="shared" si="131"/>
        <v>0.625</v>
      </c>
      <c r="AF2632" s="17"/>
      <c r="AG2632" s="17">
        <v>0</v>
      </c>
      <c r="AH2632" s="17">
        <v>0</v>
      </c>
      <c r="AI2632" s="44">
        <v>3</v>
      </c>
      <c r="AJ2632" s="44">
        <v>1</v>
      </c>
      <c r="AK2632" s="153"/>
      <c r="AL2632" s="154"/>
      <c r="AM2632" s="17">
        <f t="shared" si="132"/>
        <v>0</v>
      </c>
      <c r="AN2632" s="44" t="s">
        <v>1035</v>
      </c>
      <c r="AO2632" s="18" t="s">
        <v>1037</v>
      </c>
      <c r="AP2632" t="s">
        <v>8543</v>
      </c>
      <c r="AQ2632"/>
      <c r="AR2632"/>
    </row>
    <row r="2633" spans="1:44" s="10" customFormat="1" x14ac:dyDescent="0.3">
      <c r="A2633" s="367" t="s">
        <v>8317</v>
      </c>
      <c r="B2633" s="10" t="s">
        <v>8318</v>
      </c>
      <c r="C2633" s="368" t="s">
        <v>8330</v>
      </c>
      <c r="D2633" s="10" t="s">
        <v>8331</v>
      </c>
      <c r="E2633" s="10" t="s">
        <v>8332</v>
      </c>
      <c r="F2633" s="10" t="s">
        <v>8333</v>
      </c>
      <c r="G2633" s="10" t="s">
        <v>8522</v>
      </c>
      <c r="H2633" s="10" t="s">
        <v>8523</v>
      </c>
      <c r="I2633" s="9"/>
      <c r="J2633" s="370"/>
      <c r="K2633" s="10" t="s">
        <v>8524</v>
      </c>
      <c r="L2633" s="10" t="s">
        <v>8525</v>
      </c>
      <c r="M2633" s="10" t="s">
        <v>8544</v>
      </c>
      <c r="N2633" s="16"/>
      <c r="O2633" s="16">
        <v>3</v>
      </c>
      <c r="P2633" s="16">
        <v>3</v>
      </c>
      <c r="Q2633" s="16">
        <v>3</v>
      </c>
      <c r="R2633" s="16">
        <v>3</v>
      </c>
      <c r="S2633" s="16">
        <v>3</v>
      </c>
      <c r="T2633" s="10" t="s">
        <v>321</v>
      </c>
      <c r="U2633" t="str">
        <f>VLOOKUP(T2633,[8]Votes!$A$1:$E$234,3,FALSE)</f>
        <v>154 Uganda National Bureau of Standards</v>
      </c>
      <c r="V2633" t="s">
        <v>8545</v>
      </c>
      <c r="W2633" s="369">
        <v>1</v>
      </c>
      <c r="X2633" s="369">
        <v>1</v>
      </c>
      <c r="Y2633" s="369">
        <v>1</v>
      </c>
      <c r="Z2633" s="369">
        <v>1</v>
      </c>
      <c r="AA2633" s="369">
        <v>1</v>
      </c>
      <c r="AB2633" s="369">
        <v>1</v>
      </c>
      <c r="AC2633" s="369">
        <v>1</v>
      </c>
      <c r="AD2633" s="369">
        <v>1</v>
      </c>
      <c r="AE2633" s="49">
        <f t="shared" si="131"/>
        <v>1</v>
      </c>
      <c r="AF2633" s="44"/>
      <c r="AG2633" s="17">
        <v>0</v>
      </c>
      <c r="AH2633" s="44">
        <v>2.8</v>
      </c>
      <c r="AI2633" s="44">
        <v>2.14</v>
      </c>
      <c r="AJ2633" s="44">
        <v>1.6</v>
      </c>
      <c r="AK2633" s="151"/>
      <c r="AL2633" s="151"/>
      <c r="AM2633" s="17">
        <f t="shared" si="132"/>
        <v>0</v>
      </c>
      <c r="AN2633" s="44" t="s">
        <v>1035</v>
      </c>
      <c r="AO2633" s="18" t="s">
        <v>1037</v>
      </c>
      <c r="AP2633" t="s">
        <v>8546</v>
      </c>
      <c r="AQ2633"/>
      <c r="AR2633"/>
    </row>
    <row r="2634" spans="1:44" s="10" customFormat="1" x14ac:dyDescent="0.3">
      <c r="A2634" s="367" t="s">
        <v>8317</v>
      </c>
      <c r="B2634" s="10" t="s">
        <v>8318</v>
      </c>
      <c r="C2634" s="368" t="s">
        <v>8330</v>
      </c>
      <c r="D2634" s="10" t="s">
        <v>8331</v>
      </c>
      <c r="E2634" s="10" t="s">
        <v>8332</v>
      </c>
      <c r="F2634" s="10" t="s">
        <v>8333</v>
      </c>
      <c r="G2634" s="10" t="s">
        <v>8547</v>
      </c>
      <c r="H2634" s="10" t="s">
        <v>8548</v>
      </c>
      <c r="I2634" s="9"/>
      <c r="J2634" s="370"/>
      <c r="K2634" s="10" t="s">
        <v>8549</v>
      </c>
      <c r="L2634" s="10" t="s">
        <v>8550</v>
      </c>
      <c r="M2634" s="10" t="s">
        <v>8551</v>
      </c>
      <c r="N2634" s="16">
        <v>2</v>
      </c>
      <c r="O2634" s="16">
        <v>2</v>
      </c>
      <c r="P2634" s="16">
        <v>2</v>
      </c>
      <c r="Q2634" s="16">
        <v>0</v>
      </c>
      <c r="R2634" s="16">
        <v>0</v>
      </c>
      <c r="S2634" s="16">
        <v>0</v>
      </c>
      <c r="T2634" s="10" t="s">
        <v>1035</v>
      </c>
      <c r="U2634" t="str">
        <f>VLOOKUP(T2634,[8]Votes!$A$1:$E$234,3,FALSE)</f>
        <v>017 Ministry of Energy and Mineral Development</v>
      </c>
      <c r="V2634" t="s">
        <v>8552</v>
      </c>
      <c r="W2634" s="369">
        <v>1</v>
      </c>
      <c r="X2634" s="369">
        <v>1</v>
      </c>
      <c r="Y2634" s="369">
        <v>1</v>
      </c>
      <c r="Z2634" s="369">
        <v>0</v>
      </c>
      <c r="AA2634" s="369">
        <v>1</v>
      </c>
      <c r="AB2634" s="369">
        <v>1</v>
      </c>
      <c r="AC2634" s="369">
        <v>1</v>
      </c>
      <c r="AD2634" s="369">
        <v>1</v>
      </c>
      <c r="AE2634" s="49">
        <f t="shared" si="131"/>
        <v>0.875</v>
      </c>
      <c r="AF2634" s="17"/>
      <c r="AG2634" s="17">
        <v>0</v>
      </c>
      <c r="AH2634" s="17">
        <v>0</v>
      </c>
      <c r="AI2634" s="44">
        <v>0.2</v>
      </c>
      <c r="AJ2634" s="17">
        <v>0</v>
      </c>
      <c r="AK2634" s="153"/>
      <c r="AL2634" s="154"/>
      <c r="AM2634" s="17">
        <f t="shared" si="132"/>
        <v>0</v>
      </c>
      <c r="AN2634" s="44" t="s">
        <v>1035</v>
      </c>
      <c r="AO2634" s="18" t="s">
        <v>1037</v>
      </c>
      <c r="AP2634" t="s">
        <v>8436</v>
      </c>
    </row>
    <row r="2635" spans="1:44" s="10" customFormat="1" x14ac:dyDescent="0.3">
      <c r="A2635" s="367" t="s">
        <v>8317</v>
      </c>
      <c r="B2635" s="10" t="s">
        <v>8318</v>
      </c>
      <c r="C2635" s="368" t="s">
        <v>8330</v>
      </c>
      <c r="D2635" s="10" t="s">
        <v>8331</v>
      </c>
      <c r="E2635" s="10" t="s">
        <v>8332</v>
      </c>
      <c r="F2635" s="10" t="s">
        <v>8333</v>
      </c>
      <c r="G2635" s="10" t="s">
        <v>8547</v>
      </c>
      <c r="H2635" s="10" t="s">
        <v>8548</v>
      </c>
      <c r="I2635" s="9"/>
      <c r="J2635" s="370"/>
      <c r="K2635" s="10" t="s">
        <v>8549</v>
      </c>
      <c r="L2635" s="10" t="s">
        <v>8550</v>
      </c>
      <c r="N2635" s="16"/>
      <c r="O2635" s="16"/>
      <c r="P2635" s="16"/>
      <c r="Q2635" s="16"/>
      <c r="R2635" s="16"/>
      <c r="S2635" s="16"/>
      <c r="U2635" t="e">
        <f>VLOOKUP(T2635,[8]Votes!$A$1:$E$234,3,FALSE)</f>
        <v>#N/A</v>
      </c>
      <c r="V2635" t="s">
        <v>8553</v>
      </c>
      <c r="W2635" s="369">
        <v>1</v>
      </c>
      <c r="X2635" s="369">
        <v>1</v>
      </c>
      <c r="Y2635" s="369">
        <v>1</v>
      </c>
      <c r="Z2635" s="369">
        <v>1</v>
      </c>
      <c r="AA2635" s="369">
        <v>0</v>
      </c>
      <c r="AB2635" s="369">
        <v>1</v>
      </c>
      <c r="AC2635" s="369">
        <v>0</v>
      </c>
      <c r="AD2635" s="369">
        <v>1</v>
      </c>
      <c r="AE2635" s="49">
        <f t="shared" si="131"/>
        <v>0.75</v>
      </c>
      <c r="AF2635" s="17"/>
      <c r="AG2635" s="17">
        <v>0</v>
      </c>
      <c r="AH2635" s="17">
        <v>0</v>
      </c>
      <c r="AI2635" s="44">
        <v>1.181</v>
      </c>
      <c r="AJ2635" s="44">
        <v>1.181</v>
      </c>
      <c r="AK2635" s="151">
        <v>1.181</v>
      </c>
      <c r="AL2635" s="151">
        <v>1.181</v>
      </c>
      <c r="AM2635" s="17">
        <f t="shared" si="132"/>
        <v>2.3620000000000001</v>
      </c>
      <c r="AN2635" s="44" t="s">
        <v>1446</v>
      </c>
      <c r="AO2635" s="18" t="s">
        <v>3715</v>
      </c>
      <c r="AP2635" t="s">
        <v>8445</v>
      </c>
    </row>
    <row r="2636" spans="1:44" s="10" customFormat="1" hidden="1" x14ac:dyDescent="0.3">
      <c r="A2636" s="367" t="s">
        <v>8317</v>
      </c>
      <c r="B2636" s="10" t="s">
        <v>8318</v>
      </c>
      <c r="C2636" s="368" t="s">
        <v>8330</v>
      </c>
      <c r="D2636" s="10" t="s">
        <v>8331</v>
      </c>
      <c r="E2636" s="10" t="s">
        <v>8332</v>
      </c>
      <c r="F2636" s="10" t="s">
        <v>8333</v>
      </c>
      <c r="G2636" s="10" t="s">
        <v>8547</v>
      </c>
      <c r="H2636" s="10" t="s">
        <v>8548</v>
      </c>
      <c r="I2636" s="9"/>
      <c r="J2636" s="370"/>
      <c r="K2636" s="10" t="s">
        <v>8549</v>
      </c>
      <c r="L2636" s="10" t="s">
        <v>8550</v>
      </c>
      <c r="N2636" s="16"/>
      <c r="O2636" s="16"/>
      <c r="P2636" s="16"/>
      <c r="Q2636" s="16"/>
      <c r="R2636" s="16"/>
      <c r="S2636" s="16"/>
      <c r="U2636" t="e">
        <f>VLOOKUP(T2636,[8]Votes!$A$1:$E$234,3,FALSE)</f>
        <v>#N/A</v>
      </c>
      <c r="V2636" t="s">
        <v>8554</v>
      </c>
      <c r="W2636" s="369">
        <v>1</v>
      </c>
      <c r="X2636" s="369">
        <v>0</v>
      </c>
      <c r="Y2636" s="369">
        <v>1</v>
      </c>
      <c r="Z2636" s="369">
        <v>0</v>
      </c>
      <c r="AA2636" s="369">
        <v>0</v>
      </c>
      <c r="AB2636" s="369">
        <v>1</v>
      </c>
      <c r="AC2636" s="369">
        <v>0</v>
      </c>
      <c r="AD2636" s="369">
        <v>0</v>
      </c>
      <c r="AE2636" s="49">
        <f t="shared" si="131"/>
        <v>0.375</v>
      </c>
      <c r="AF2636" s="44"/>
      <c r="AG2636" s="17">
        <v>0</v>
      </c>
      <c r="AH2636" s="44">
        <v>0.2</v>
      </c>
      <c r="AI2636" s="44">
        <v>0.31</v>
      </c>
      <c r="AJ2636" s="44">
        <v>0.56000000000000005</v>
      </c>
      <c r="AK2636" s="151"/>
      <c r="AL2636" s="151"/>
      <c r="AM2636" s="17">
        <f t="shared" si="132"/>
        <v>0</v>
      </c>
      <c r="AN2636" s="44" t="s">
        <v>8555</v>
      </c>
      <c r="AO2636" s="18" t="s">
        <v>1037</v>
      </c>
      <c r="AP2636" t="s">
        <v>8556</v>
      </c>
      <c r="AQ2636"/>
    </row>
    <row r="2637" spans="1:44" s="10" customFormat="1" hidden="1" x14ac:dyDescent="0.3">
      <c r="A2637" s="367" t="s">
        <v>8317</v>
      </c>
      <c r="B2637" s="10" t="s">
        <v>8318</v>
      </c>
      <c r="C2637" s="368" t="s">
        <v>8330</v>
      </c>
      <c r="D2637" s="10" t="s">
        <v>8331</v>
      </c>
      <c r="E2637" s="10" t="s">
        <v>8332</v>
      </c>
      <c r="F2637" s="10" t="s">
        <v>8333</v>
      </c>
      <c r="G2637" s="10" t="s">
        <v>8547</v>
      </c>
      <c r="H2637" s="10" t="s">
        <v>8548</v>
      </c>
      <c r="I2637" s="9"/>
      <c r="J2637" s="370"/>
      <c r="K2637" s="10" t="s">
        <v>8549</v>
      </c>
      <c r="L2637" s="10" t="s">
        <v>8557</v>
      </c>
      <c r="M2637" s="10" t="s">
        <v>8558</v>
      </c>
      <c r="N2637" s="16"/>
      <c r="O2637" s="16"/>
      <c r="P2637" s="16"/>
      <c r="Q2637" s="16">
        <v>1</v>
      </c>
      <c r="R2637" s="16"/>
      <c r="S2637" s="16"/>
      <c r="T2637" t="s">
        <v>8559</v>
      </c>
      <c r="U2637" t="e">
        <f>VLOOKUP(T2637,[8]Votes!$A$1:$E$234,3,FALSE)</f>
        <v>#N/A</v>
      </c>
      <c r="V2637" t="s">
        <v>8560</v>
      </c>
      <c r="W2637" s="369">
        <v>0</v>
      </c>
      <c r="X2637" s="369">
        <v>0</v>
      </c>
      <c r="Y2637" s="369">
        <v>0</v>
      </c>
      <c r="Z2637" s="369">
        <v>1</v>
      </c>
      <c r="AA2637" s="369">
        <v>1</v>
      </c>
      <c r="AB2637" s="369">
        <v>0</v>
      </c>
      <c r="AC2637" s="369">
        <v>0</v>
      </c>
      <c r="AD2637" s="369">
        <v>1</v>
      </c>
      <c r="AE2637" s="49">
        <f t="shared" si="131"/>
        <v>0.375</v>
      </c>
      <c r="AF2637" s="17"/>
      <c r="AG2637" s="17">
        <v>0</v>
      </c>
      <c r="AH2637" s="17">
        <v>0</v>
      </c>
      <c r="AI2637" s="17">
        <v>0</v>
      </c>
      <c r="AJ2637" s="17">
        <v>0</v>
      </c>
      <c r="AK2637" s="153">
        <v>0</v>
      </c>
      <c r="AL2637" s="154">
        <v>0</v>
      </c>
      <c r="AM2637" s="17">
        <f t="shared" si="132"/>
        <v>0</v>
      </c>
      <c r="AN2637" s="44" t="s">
        <v>8555</v>
      </c>
      <c r="AO2637" s="18" t="s">
        <v>1037</v>
      </c>
      <c r="AP2637" t="s">
        <v>1035</v>
      </c>
      <c r="AQ2637"/>
    </row>
    <row r="2638" spans="1:44" s="10" customFormat="1" hidden="1" x14ac:dyDescent="0.3">
      <c r="A2638" s="367" t="s">
        <v>8317</v>
      </c>
      <c r="B2638" s="10" t="s">
        <v>8318</v>
      </c>
      <c r="C2638" s="368" t="s">
        <v>8330</v>
      </c>
      <c r="D2638" s="10" t="s">
        <v>8331</v>
      </c>
      <c r="E2638" s="10" t="s">
        <v>8332</v>
      </c>
      <c r="F2638" s="10" t="s">
        <v>8333</v>
      </c>
      <c r="G2638" s="10" t="s">
        <v>8547</v>
      </c>
      <c r="H2638" s="10" t="s">
        <v>8548</v>
      </c>
      <c r="I2638" s="9"/>
      <c r="J2638" s="370"/>
      <c r="K2638" s="10" t="s">
        <v>8549</v>
      </c>
      <c r="L2638" s="10" t="s">
        <v>8557</v>
      </c>
      <c r="N2638" s="16"/>
      <c r="O2638" s="16"/>
      <c r="P2638" s="16"/>
      <c r="Q2638" s="16"/>
      <c r="R2638" s="16"/>
      <c r="S2638" s="16"/>
      <c r="U2638" t="e">
        <f>VLOOKUP(T2638,[8]Votes!$A$1:$E$234,3,FALSE)</f>
        <v>#N/A</v>
      </c>
      <c r="V2638" t="s">
        <v>8561</v>
      </c>
      <c r="W2638" s="369">
        <v>1</v>
      </c>
      <c r="X2638" s="369">
        <v>1</v>
      </c>
      <c r="Y2638" s="369">
        <v>0</v>
      </c>
      <c r="Z2638" s="369">
        <v>0</v>
      </c>
      <c r="AA2638" s="369">
        <v>1</v>
      </c>
      <c r="AB2638" s="369">
        <v>1</v>
      </c>
      <c r="AC2638" s="369">
        <v>0</v>
      </c>
      <c r="AD2638" s="369">
        <v>1</v>
      </c>
      <c r="AE2638" s="49">
        <f t="shared" si="131"/>
        <v>0.625</v>
      </c>
      <c r="AF2638" s="17"/>
      <c r="AG2638" s="17">
        <v>0</v>
      </c>
      <c r="AH2638" s="17">
        <v>0</v>
      </c>
      <c r="AI2638" s="17">
        <v>0</v>
      </c>
      <c r="AJ2638" s="17">
        <v>0</v>
      </c>
      <c r="AK2638" s="153">
        <v>1</v>
      </c>
      <c r="AL2638" s="154">
        <v>1</v>
      </c>
      <c r="AM2638" s="17">
        <f t="shared" si="132"/>
        <v>2</v>
      </c>
      <c r="AN2638" s="44" t="s">
        <v>8555</v>
      </c>
      <c r="AO2638" s="18" t="s">
        <v>1037</v>
      </c>
      <c r="AP2638" t="s">
        <v>8445</v>
      </c>
      <c r="AQ2638"/>
    </row>
    <row r="2639" spans="1:44" s="10" customFormat="1" x14ac:dyDescent="0.3">
      <c r="A2639" s="367" t="s">
        <v>8317</v>
      </c>
      <c r="B2639" s="10" t="s">
        <v>8318</v>
      </c>
      <c r="C2639" s="368" t="s">
        <v>8330</v>
      </c>
      <c r="D2639" s="10" t="s">
        <v>8331</v>
      </c>
      <c r="E2639" s="10" t="s">
        <v>8332</v>
      </c>
      <c r="F2639" s="10" t="s">
        <v>8333</v>
      </c>
      <c r="G2639" s="10" t="s">
        <v>8547</v>
      </c>
      <c r="H2639" s="10" t="s">
        <v>8548</v>
      </c>
      <c r="I2639" s="9"/>
      <c r="J2639" s="370"/>
      <c r="K2639" s="10" t="s">
        <v>8549</v>
      </c>
      <c r="L2639" s="10" t="s">
        <v>8557</v>
      </c>
      <c r="N2639" s="16"/>
      <c r="O2639" s="16"/>
      <c r="P2639" s="16"/>
      <c r="Q2639" s="16"/>
      <c r="R2639" s="16"/>
      <c r="S2639" s="16"/>
      <c r="U2639" t="e">
        <f>VLOOKUP(T2639,[8]Votes!$A$1:$E$234,3,FALSE)</f>
        <v>#N/A</v>
      </c>
      <c r="V2639" t="s">
        <v>8562</v>
      </c>
      <c r="W2639" s="369">
        <v>1</v>
      </c>
      <c r="X2639" s="369">
        <v>1</v>
      </c>
      <c r="Y2639" s="369">
        <v>1</v>
      </c>
      <c r="Z2639" s="369">
        <v>1</v>
      </c>
      <c r="AA2639" s="369">
        <v>0</v>
      </c>
      <c r="AB2639" s="369">
        <v>1</v>
      </c>
      <c r="AC2639" s="369">
        <v>0</v>
      </c>
      <c r="AD2639" s="369">
        <v>1</v>
      </c>
      <c r="AE2639" s="49">
        <f t="shared" si="131"/>
        <v>0.75</v>
      </c>
      <c r="AF2639" s="17"/>
      <c r="AG2639" s="17">
        <v>0</v>
      </c>
      <c r="AH2639" s="17">
        <v>0</v>
      </c>
      <c r="AI2639" s="17">
        <v>0</v>
      </c>
      <c r="AJ2639" s="17">
        <v>0</v>
      </c>
      <c r="AK2639" s="153">
        <v>1</v>
      </c>
      <c r="AL2639" s="154">
        <v>1</v>
      </c>
      <c r="AM2639" s="17">
        <f t="shared" si="132"/>
        <v>2</v>
      </c>
      <c r="AN2639" s="44" t="s">
        <v>8555</v>
      </c>
      <c r="AO2639" s="18" t="s">
        <v>1037</v>
      </c>
      <c r="AP2639" t="s">
        <v>8563</v>
      </c>
      <c r="AQ2639"/>
    </row>
    <row r="2640" spans="1:44" s="10" customFormat="1" hidden="1" x14ac:dyDescent="0.3">
      <c r="A2640" s="367" t="s">
        <v>8317</v>
      </c>
      <c r="B2640" s="10" t="s">
        <v>8318</v>
      </c>
      <c r="C2640" s="368" t="s">
        <v>8330</v>
      </c>
      <c r="D2640" s="10" t="s">
        <v>8331</v>
      </c>
      <c r="E2640" s="10" t="s">
        <v>8332</v>
      </c>
      <c r="F2640" s="10" t="s">
        <v>8333</v>
      </c>
      <c r="G2640" s="10" t="s">
        <v>8547</v>
      </c>
      <c r="H2640" s="10" t="s">
        <v>8548</v>
      </c>
      <c r="I2640" s="9"/>
      <c r="J2640" s="370"/>
      <c r="K2640" s="10" t="s">
        <v>8549</v>
      </c>
      <c r="L2640" s="10" t="s">
        <v>8557</v>
      </c>
      <c r="N2640" s="16"/>
      <c r="O2640" s="16"/>
      <c r="P2640" s="16"/>
      <c r="Q2640" s="16"/>
      <c r="R2640" s="16"/>
      <c r="S2640" s="16"/>
      <c r="U2640" t="e">
        <f>VLOOKUP(T2640,[8]Votes!$A$1:$E$234,3,FALSE)</f>
        <v>#N/A</v>
      </c>
      <c r="V2640" t="s">
        <v>8564</v>
      </c>
      <c r="W2640" s="369">
        <v>1</v>
      </c>
      <c r="X2640" s="369">
        <v>0</v>
      </c>
      <c r="Y2640" s="369">
        <v>1</v>
      </c>
      <c r="Z2640" s="369">
        <v>0</v>
      </c>
      <c r="AA2640" s="369">
        <v>1</v>
      </c>
      <c r="AB2640" s="369">
        <v>0</v>
      </c>
      <c r="AC2640" s="369">
        <v>0</v>
      </c>
      <c r="AD2640" s="369">
        <v>1</v>
      </c>
      <c r="AE2640" s="49">
        <f t="shared" si="131"/>
        <v>0.5</v>
      </c>
      <c r="AF2640" s="44"/>
      <c r="AG2640" s="17">
        <v>0</v>
      </c>
      <c r="AH2640" s="44">
        <v>0</v>
      </c>
      <c r="AI2640" s="44">
        <v>3</v>
      </c>
      <c r="AJ2640" s="44">
        <v>3</v>
      </c>
      <c r="AK2640" s="151">
        <v>3</v>
      </c>
      <c r="AL2640" s="151">
        <v>3</v>
      </c>
      <c r="AM2640" s="17">
        <f t="shared" si="132"/>
        <v>6</v>
      </c>
      <c r="AN2640" s="44" t="s">
        <v>8555</v>
      </c>
      <c r="AO2640" s="18" t="s">
        <v>1037</v>
      </c>
      <c r="AP2640" t="s">
        <v>8445</v>
      </c>
      <c r="AQ2640"/>
    </row>
    <row r="2641" spans="1:44" s="10" customFormat="1" x14ac:dyDescent="0.3">
      <c r="A2641" s="367" t="s">
        <v>8317</v>
      </c>
      <c r="B2641" s="10" t="s">
        <v>8318</v>
      </c>
      <c r="C2641" s="368" t="s">
        <v>8330</v>
      </c>
      <c r="D2641" s="10" t="s">
        <v>8331</v>
      </c>
      <c r="E2641" s="10" t="s">
        <v>8332</v>
      </c>
      <c r="F2641" s="10" t="s">
        <v>8333</v>
      </c>
      <c r="G2641" s="10" t="s">
        <v>8547</v>
      </c>
      <c r="H2641" s="10" t="s">
        <v>8548</v>
      </c>
      <c r="I2641" s="9"/>
      <c r="J2641" s="370"/>
      <c r="K2641" s="10" t="s">
        <v>8549</v>
      </c>
      <c r="L2641" s="10" t="s">
        <v>8557</v>
      </c>
      <c r="N2641" s="16"/>
      <c r="O2641" s="16"/>
      <c r="P2641" s="16"/>
      <c r="Q2641" s="16"/>
      <c r="R2641" s="16"/>
      <c r="S2641" s="16"/>
      <c r="U2641" t="e">
        <f>VLOOKUP(T2641,[8]Votes!$A$1:$E$234,3,FALSE)</f>
        <v>#N/A</v>
      </c>
      <c r="V2641" t="s">
        <v>8565</v>
      </c>
      <c r="W2641" s="369">
        <v>1</v>
      </c>
      <c r="X2641" s="369">
        <v>1</v>
      </c>
      <c r="Y2641" s="369">
        <v>1</v>
      </c>
      <c r="Z2641" s="369">
        <v>1</v>
      </c>
      <c r="AA2641" s="369">
        <v>1</v>
      </c>
      <c r="AB2641" s="369">
        <v>1</v>
      </c>
      <c r="AC2641" s="369">
        <v>1</v>
      </c>
      <c r="AD2641" s="369">
        <v>1</v>
      </c>
      <c r="AE2641" s="49">
        <f t="shared" si="131"/>
        <v>1</v>
      </c>
      <c r="AF2641" s="17"/>
      <c r="AG2641" s="17">
        <v>0</v>
      </c>
      <c r="AH2641" s="17">
        <v>0</v>
      </c>
      <c r="AI2641" s="17">
        <v>0</v>
      </c>
      <c r="AJ2641" s="17">
        <v>0</v>
      </c>
      <c r="AK2641" s="153">
        <v>0.5</v>
      </c>
      <c r="AL2641" s="154">
        <v>0.5</v>
      </c>
      <c r="AM2641" s="17">
        <f t="shared" si="132"/>
        <v>1</v>
      </c>
      <c r="AN2641" s="44" t="s">
        <v>8555</v>
      </c>
      <c r="AO2641" s="18" t="s">
        <v>1037</v>
      </c>
      <c r="AP2641" t="s">
        <v>8566</v>
      </c>
      <c r="AQ2641"/>
    </row>
    <row r="2642" spans="1:44" s="10" customFormat="1" x14ac:dyDescent="0.3">
      <c r="A2642" s="367" t="s">
        <v>8317</v>
      </c>
      <c r="B2642" s="10" t="s">
        <v>8318</v>
      </c>
      <c r="C2642" s="368" t="s">
        <v>8330</v>
      </c>
      <c r="D2642" s="10" t="s">
        <v>8331</v>
      </c>
      <c r="E2642" s="10" t="s">
        <v>8332</v>
      </c>
      <c r="F2642" s="10" t="s">
        <v>8333</v>
      </c>
      <c r="G2642" s="10" t="s">
        <v>8547</v>
      </c>
      <c r="H2642" s="10" t="s">
        <v>8548</v>
      </c>
      <c r="I2642" s="9"/>
      <c r="J2642" s="370"/>
      <c r="K2642" s="10" t="s">
        <v>8549</v>
      </c>
      <c r="L2642" s="10" t="s">
        <v>8557</v>
      </c>
      <c r="N2642" s="16"/>
      <c r="O2642" s="16"/>
      <c r="P2642" s="16"/>
      <c r="Q2642" s="16"/>
      <c r="R2642" s="16"/>
      <c r="S2642" s="16"/>
      <c r="U2642" t="e">
        <f>VLOOKUP(T2642,[8]Votes!$A$1:$E$234,3,FALSE)</f>
        <v>#N/A</v>
      </c>
      <c r="V2642" t="s">
        <v>8567</v>
      </c>
      <c r="W2642" s="369">
        <v>1</v>
      </c>
      <c r="X2642" s="369">
        <v>1</v>
      </c>
      <c r="Y2642" s="369">
        <v>1</v>
      </c>
      <c r="Z2642" s="369">
        <v>1</v>
      </c>
      <c r="AA2642" s="369">
        <v>0</v>
      </c>
      <c r="AB2642" s="369">
        <v>1</v>
      </c>
      <c r="AC2642" s="369">
        <v>0</v>
      </c>
      <c r="AD2642" s="369">
        <v>1</v>
      </c>
      <c r="AE2642" s="49">
        <f t="shared" si="131"/>
        <v>0.75</v>
      </c>
      <c r="AF2642" s="17"/>
      <c r="AG2642" s="17">
        <v>0</v>
      </c>
      <c r="AH2642" s="17">
        <v>0</v>
      </c>
      <c r="AI2642" s="17">
        <v>0</v>
      </c>
      <c r="AJ2642" s="17">
        <v>0</v>
      </c>
      <c r="AK2642" s="153">
        <v>0.5</v>
      </c>
      <c r="AL2642" s="154">
        <v>0.5</v>
      </c>
      <c r="AM2642" s="17">
        <f t="shared" si="132"/>
        <v>1</v>
      </c>
      <c r="AN2642" s="44" t="s">
        <v>8555</v>
      </c>
      <c r="AO2642" s="18" t="s">
        <v>1037</v>
      </c>
      <c r="AP2642" t="s">
        <v>8568</v>
      </c>
      <c r="AQ2642"/>
    </row>
    <row r="2643" spans="1:44" s="10" customFormat="1" hidden="1" x14ac:dyDescent="0.3">
      <c r="A2643" s="367" t="s">
        <v>8317</v>
      </c>
      <c r="B2643" s="10" t="s">
        <v>8318</v>
      </c>
      <c r="C2643" s="368" t="s">
        <v>8330</v>
      </c>
      <c r="D2643" s="10" t="s">
        <v>8331</v>
      </c>
      <c r="E2643" s="10" t="s">
        <v>8332</v>
      </c>
      <c r="F2643" s="10" t="s">
        <v>8333</v>
      </c>
      <c r="G2643" s="10" t="s">
        <v>8547</v>
      </c>
      <c r="H2643" s="10" t="s">
        <v>8548</v>
      </c>
      <c r="I2643" s="9"/>
      <c r="J2643" s="370"/>
      <c r="K2643" s="10" t="s">
        <v>8549</v>
      </c>
      <c r="L2643" s="10" t="s">
        <v>8569</v>
      </c>
      <c r="M2643" s="10" t="s">
        <v>8570</v>
      </c>
      <c r="N2643" s="16"/>
      <c r="O2643" s="16"/>
      <c r="P2643" s="16">
        <v>1</v>
      </c>
      <c r="Q2643" s="16">
        <v>1</v>
      </c>
      <c r="R2643" s="16">
        <v>1</v>
      </c>
      <c r="S2643" s="16"/>
      <c r="U2643" t="e">
        <f>VLOOKUP(T2643,[8]Votes!$A$1:$E$234,3,FALSE)</f>
        <v>#N/A</v>
      </c>
      <c r="V2643" t="s">
        <v>8571</v>
      </c>
      <c r="W2643" s="369">
        <v>1</v>
      </c>
      <c r="X2643" s="369">
        <v>0</v>
      </c>
      <c r="Y2643" s="369">
        <v>0</v>
      </c>
      <c r="Z2643" s="369">
        <v>1</v>
      </c>
      <c r="AA2643" s="369">
        <v>1</v>
      </c>
      <c r="AB2643" s="369">
        <v>0</v>
      </c>
      <c r="AC2643" s="369">
        <v>0</v>
      </c>
      <c r="AD2643" s="369">
        <v>1</v>
      </c>
      <c r="AE2643" s="49">
        <f t="shared" si="131"/>
        <v>0.5</v>
      </c>
      <c r="AF2643" s="17"/>
      <c r="AG2643" s="17">
        <v>0</v>
      </c>
      <c r="AH2643" s="17">
        <v>0</v>
      </c>
      <c r="AI2643" s="17">
        <v>0</v>
      </c>
      <c r="AJ2643" s="17">
        <v>0</v>
      </c>
      <c r="AK2643" s="153"/>
      <c r="AL2643" s="154"/>
      <c r="AM2643" s="17">
        <f t="shared" si="132"/>
        <v>0</v>
      </c>
      <c r="AN2643" s="44" t="s">
        <v>1035</v>
      </c>
      <c r="AO2643" s="18" t="s">
        <v>1037</v>
      </c>
      <c r="AP2643" t="s">
        <v>8572</v>
      </c>
      <c r="AQ2643"/>
    </row>
    <row r="2644" spans="1:44" s="10" customFormat="1" hidden="1" x14ac:dyDescent="0.3">
      <c r="A2644" s="367" t="s">
        <v>8317</v>
      </c>
      <c r="B2644" s="10" t="s">
        <v>8318</v>
      </c>
      <c r="C2644" s="368" t="s">
        <v>8330</v>
      </c>
      <c r="D2644" s="10" t="s">
        <v>8331</v>
      </c>
      <c r="E2644" s="10" t="s">
        <v>8332</v>
      </c>
      <c r="F2644" s="10" t="s">
        <v>8333</v>
      </c>
      <c r="G2644" s="10" t="s">
        <v>8547</v>
      </c>
      <c r="H2644" s="10" t="s">
        <v>8548</v>
      </c>
      <c r="I2644" s="9"/>
      <c r="J2644" s="370"/>
      <c r="K2644" s="10" t="s">
        <v>8549</v>
      </c>
      <c r="L2644" s="10" t="s">
        <v>8569</v>
      </c>
      <c r="N2644" s="16"/>
      <c r="O2644" s="16"/>
      <c r="P2644" s="16"/>
      <c r="Q2644" s="16"/>
      <c r="R2644" s="16"/>
      <c r="S2644" s="16"/>
      <c r="U2644" t="e">
        <f>VLOOKUP(T2644,[8]Votes!$A$1:$E$234,3,FALSE)</f>
        <v>#N/A</v>
      </c>
      <c r="V2644" t="s">
        <v>8573</v>
      </c>
      <c r="W2644" s="369">
        <v>1</v>
      </c>
      <c r="X2644" s="369">
        <v>0</v>
      </c>
      <c r="Y2644" s="369">
        <v>0</v>
      </c>
      <c r="Z2644" s="369">
        <v>1</v>
      </c>
      <c r="AA2644" s="369">
        <v>1</v>
      </c>
      <c r="AB2644" s="369">
        <v>1</v>
      </c>
      <c r="AC2644" s="369">
        <v>0</v>
      </c>
      <c r="AD2644" s="369">
        <v>1</v>
      </c>
      <c r="AE2644" s="49">
        <f t="shared" si="131"/>
        <v>0.625</v>
      </c>
      <c r="AF2644" s="17"/>
      <c r="AG2644" s="17">
        <v>0</v>
      </c>
      <c r="AH2644" s="17">
        <v>0</v>
      </c>
      <c r="AI2644" s="17">
        <v>0</v>
      </c>
      <c r="AJ2644" s="17">
        <v>0</v>
      </c>
      <c r="AK2644" s="153"/>
      <c r="AL2644" s="154"/>
      <c r="AM2644" s="17">
        <f t="shared" si="132"/>
        <v>0</v>
      </c>
      <c r="AN2644" s="44" t="s">
        <v>1035</v>
      </c>
      <c r="AO2644" s="18" t="s">
        <v>1037</v>
      </c>
      <c r="AP2644" t="s">
        <v>8572</v>
      </c>
      <c r="AQ2644"/>
    </row>
    <row r="2645" spans="1:44" s="10" customFormat="1" x14ac:dyDescent="0.3">
      <c r="A2645" s="367" t="s">
        <v>8317</v>
      </c>
      <c r="B2645" s="10" t="s">
        <v>8318</v>
      </c>
      <c r="C2645" s="368" t="s">
        <v>8330</v>
      </c>
      <c r="D2645" s="10" t="s">
        <v>8331</v>
      </c>
      <c r="E2645" s="10" t="s">
        <v>8332</v>
      </c>
      <c r="F2645" s="10" t="s">
        <v>8333</v>
      </c>
      <c r="G2645" s="10" t="s">
        <v>8547</v>
      </c>
      <c r="H2645" s="10" t="s">
        <v>8548</v>
      </c>
      <c r="I2645" s="9"/>
      <c r="J2645" s="370"/>
      <c r="K2645" s="10" t="s">
        <v>8549</v>
      </c>
      <c r="L2645" s="10" t="s">
        <v>8569</v>
      </c>
      <c r="N2645" s="16"/>
      <c r="O2645" s="16"/>
      <c r="P2645" s="16"/>
      <c r="Q2645" s="16"/>
      <c r="R2645" s="16"/>
      <c r="S2645" s="16"/>
      <c r="U2645" t="e">
        <f>VLOOKUP(T2645,[8]Votes!$A$1:$E$234,3,FALSE)</f>
        <v>#N/A</v>
      </c>
      <c r="V2645" t="s">
        <v>8574</v>
      </c>
      <c r="W2645" s="369">
        <v>1</v>
      </c>
      <c r="X2645" s="369">
        <v>1</v>
      </c>
      <c r="Y2645" s="369">
        <v>1</v>
      </c>
      <c r="Z2645" s="369">
        <v>1</v>
      </c>
      <c r="AA2645" s="369">
        <v>1</v>
      </c>
      <c r="AB2645" s="369">
        <v>1</v>
      </c>
      <c r="AC2645" s="369">
        <v>1</v>
      </c>
      <c r="AD2645" s="369">
        <v>1</v>
      </c>
      <c r="AE2645" s="49">
        <f t="shared" si="131"/>
        <v>1</v>
      </c>
      <c r="AF2645" s="17"/>
      <c r="AG2645" s="17">
        <v>0</v>
      </c>
      <c r="AH2645" s="17">
        <v>0</v>
      </c>
      <c r="AI2645" s="17">
        <v>0</v>
      </c>
      <c r="AJ2645" s="17">
        <v>0</v>
      </c>
      <c r="AK2645" s="153"/>
      <c r="AL2645" s="154"/>
      <c r="AM2645" s="17">
        <f t="shared" si="132"/>
        <v>0</v>
      </c>
      <c r="AN2645" s="44" t="s">
        <v>1035</v>
      </c>
      <c r="AO2645" s="18" t="s">
        <v>1037</v>
      </c>
      <c r="AP2645" t="s">
        <v>8572</v>
      </c>
      <c r="AQ2645"/>
    </row>
    <row r="2646" spans="1:44" s="10" customFormat="1" x14ac:dyDescent="0.3">
      <c r="A2646" s="367" t="s">
        <v>8317</v>
      </c>
      <c r="B2646" s="10" t="s">
        <v>8318</v>
      </c>
      <c r="C2646" s="368" t="s">
        <v>8330</v>
      </c>
      <c r="D2646" s="10" t="s">
        <v>8331</v>
      </c>
      <c r="E2646" s="10" t="s">
        <v>8332</v>
      </c>
      <c r="F2646" s="10" t="s">
        <v>8333</v>
      </c>
      <c r="G2646" s="10" t="s">
        <v>8547</v>
      </c>
      <c r="H2646" s="10" t="s">
        <v>8548</v>
      </c>
      <c r="I2646" s="9"/>
      <c r="J2646" s="370"/>
      <c r="K2646" s="10" t="s">
        <v>8549</v>
      </c>
      <c r="L2646" s="10" t="s">
        <v>8569</v>
      </c>
      <c r="N2646" s="16"/>
      <c r="O2646" s="16"/>
      <c r="P2646" s="16"/>
      <c r="Q2646" s="16"/>
      <c r="R2646" s="16"/>
      <c r="S2646" s="16"/>
      <c r="U2646" t="e">
        <f>VLOOKUP(T2646,[8]Votes!$A$1:$E$234,3,FALSE)</f>
        <v>#N/A</v>
      </c>
      <c r="V2646" t="s">
        <v>8575</v>
      </c>
      <c r="W2646" s="369">
        <v>1</v>
      </c>
      <c r="X2646" s="369">
        <v>1</v>
      </c>
      <c r="Y2646" s="369">
        <v>1</v>
      </c>
      <c r="Z2646" s="369">
        <v>0</v>
      </c>
      <c r="AA2646" s="369">
        <v>1</v>
      </c>
      <c r="AB2646" s="369">
        <v>1</v>
      </c>
      <c r="AC2646" s="369">
        <v>1</v>
      </c>
      <c r="AD2646" s="369">
        <v>1</v>
      </c>
      <c r="AE2646" s="49">
        <f t="shared" si="131"/>
        <v>0.875</v>
      </c>
      <c r="AF2646" s="17"/>
      <c r="AG2646" s="17">
        <v>0</v>
      </c>
      <c r="AH2646" s="17">
        <v>0</v>
      </c>
      <c r="AI2646" s="17">
        <v>0</v>
      </c>
      <c r="AJ2646" s="17">
        <v>0</v>
      </c>
      <c r="AK2646" s="151">
        <v>1.5</v>
      </c>
      <c r="AL2646" s="154">
        <v>1.5</v>
      </c>
      <c r="AM2646" s="17">
        <f t="shared" si="132"/>
        <v>3</v>
      </c>
      <c r="AN2646" s="44" t="s">
        <v>1035</v>
      </c>
      <c r="AO2646" s="18" t="s">
        <v>1037</v>
      </c>
      <c r="AP2646" t="s">
        <v>8436</v>
      </c>
      <c r="AQ2646"/>
    </row>
    <row r="2647" spans="1:44" s="10" customFormat="1" hidden="1" x14ac:dyDescent="0.3">
      <c r="A2647" s="367" t="s">
        <v>8317</v>
      </c>
      <c r="B2647" s="10" t="s">
        <v>8318</v>
      </c>
      <c r="C2647" s="368" t="s">
        <v>8330</v>
      </c>
      <c r="D2647" s="10" t="s">
        <v>8331</v>
      </c>
      <c r="E2647" s="10" t="s">
        <v>8332</v>
      </c>
      <c r="F2647" s="10" t="s">
        <v>8333</v>
      </c>
      <c r="G2647" s="10" t="s">
        <v>8547</v>
      </c>
      <c r="H2647" s="10" t="s">
        <v>8548</v>
      </c>
      <c r="I2647" s="9"/>
      <c r="J2647" s="370"/>
      <c r="K2647" s="10" t="s">
        <v>8576</v>
      </c>
      <c r="L2647" s="10" t="s">
        <v>8577</v>
      </c>
      <c r="M2647" s="10" t="s">
        <v>8578</v>
      </c>
      <c r="N2647" s="16">
        <v>0</v>
      </c>
      <c r="O2647" s="16">
        <v>0</v>
      </c>
      <c r="P2647" s="16">
        <v>0</v>
      </c>
      <c r="Q2647" s="16">
        <v>0</v>
      </c>
      <c r="R2647" s="16">
        <v>1</v>
      </c>
      <c r="S2647" s="16">
        <v>0</v>
      </c>
      <c r="T2647" s="10" t="s">
        <v>8436</v>
      </c>
      <c r="U2647" t="e">
        <f>VLOOKUP(T2647,[8]Votes!$A$1:$E$234,3,FALSE)</f>
        <v>#N/A</v>
      </c>
      <c r="V2647" t="s">
        <v>8579</v>
      </c>
      <c r="W2647" s="369">
        <v>1</v>
      </c>
      <c r="X2647" s="369">
        <v>0</v>
      </c>
      <c r="Y2647" s="369">
        <v>0</v>
      </c>
      <c r="Z2647" s="369">
        <v>1</v>
      </c>
      <c r="AA2647" s="369">
        <v>1</v>
      </c>
      <c r="AB2647" s="369">
        <v>1</v>
      </c>
      <c r="AC2647" s="369">
        <v>0</v>
      </c>
      <c r="AD2647" s="369">
        <v>1</v>
      </c>
      <c r="AE2647" s="49">
        <f t="shared" si="131"/>
        <v>0.625</v>
      </c>
      <c r="AF2647" s="17"/>
      <c r="AG2647" s="17">
        <v>0</v>
      </c>
      <c r="AH2647" s="17">
        <v>0</v>
      </c>
      <c r="AI2647" s="44">
        <v>0.2</v>
      </c>
      <c r="AJ2647" s="44">
        <v>0.2</v>
      </c>
      <c r="AK2647" s="153"/>
      <c r="AL2647" s="154"/>
      <c r="AM2647" s="17">
        <f t="shared" si="132"/>
        <v>0</v>
      </c>
      <c r="AN2647" s="44" t="s">
        <v>1035</v>
      </c>
      <c r="AO2647" s="18" t="s">
        <v>1037</v>
      </c>
      <c r="AP2647" t="s">
        <v>8436</v>
      </c>
      <c r="AQ2647"/>
    </row>
    <row r="2648" spans="1:44" s="10" customFormat="1" hidden="1" x14ac:dyDescent="0.3">
      <c r="A2648" s="367" t="s">
        <v>8317</v>
      </c>
      <c r="B2648" s="10" t="s">
        <v>8318</v>
      </c>
      <c r="C2648" s="368" t="s">
        <v>8580</v>
      </c>
      <c r="D2648" s="10" t="s">
        <v>8581</v>
      </c>
      <c r="E2648" s="10" t="s">
        <v>8582</v>
      </c>
      <c r="F2648" s="10" t="s">
        <v>8583</v>
      </c>
      <c r="G2648" s="10" t="s">
        <v>8584</v>
      </c>
      <c r="H2648" s="10" t="s">
        <v>8585</v>
      </c>
      <c r="I2648" s="9"/>
      <c r="J2648" s="370"/>
      <c r="K2648" s="10" t="s">
        <v>8586</v>
      </c>
      <c r="L2648" s="10" t="s">
        <v>8587</v>
      </c>
      <c r="M2648" s="10" t="s">
        <v>8588</v>
      </c>
      <c r="N2648" s="16">
        <v>210.12</v>
      </c>
      <c r="O2648" s="16">
        <v>308.3</v>
      </c>
      <c r="P2648" s="16">
        <v>50.5</v>
      </c>
      <c r="Q2648" s="16">
        <v>50.5</v>
      </c>
      <c r="R2648" s="16">
        <v>50.5</v>
      </c>
      <c r="S2648" s="16">
        <v>50.5</v>
      </c>
      <c r="T2648" s="10" t="s">
        <v>8589</v>
      </c>
      <c r="U2648" t="e">
        <f>VLOOKUP(T2648,[8]Votes!$A$1:$E$234,3,FALSE)</f>
        <v>#N/A</v>
      </c>
      <c r="V2648" t="s">
        <v>8590</v>
      </c>
      <c r="W2648" s="369">
        <v>1</v>
      </c>
      <c r="X2648" s="369">
        <v>0</v>
      </c>
      <c r="Y2648" s="369">
        <v>0</v>
      </c>
      <c r="Z2648" s="369">
        <v>1</v>
      </c>
      <c r="AA2648" s="369">
        <v>1</v>
      </c>
      <c r="AB2648" s="369">
        <v>1</v>
      </c>
      <c r="AC2648" s="369">
        <v>0</v>
      </c>
      <c r="AD2648" s="369">
        <v>1</v>
      </c>
      <c r="AE2648" s="49">
        <f t="shared" si="131"/>
        <v>0.625</v>
      </c>
      <c r="AF2648" s="44"/>
      <c r="AG2648" s="17">
        <v>1</v>
      </c>
      <c r="AH2648" s="44">
        <v>0</v>
      </c>
      <c r="AI2648" s="44">
        <v>0</v>
      </c>
      <c r="AJ2648" s="44">
        <v>0</v>
      </c>
      <c r="AK2648" s="151"/>
      <c r="AL2648" s="151"/>
      <c r="AM2648" s="17">
        <f t="shared" si="132"/>
        <v>0</v>
      </c>
      <c r="AN2648" s="44" t="s">
        <v>8476</v>
      </c>
      <c r="AO2648" s="18" t="s">
        <v>1037</v>
      </c>
      <c r="AP2648" t="s">
        <v>1035</v>
      </c>
      <c r="AQ2648"/>
    </row>
    <row r="2649" spans="1:44" s="10" customFormat="1" hidden="1" x14ac:dyDescent="0.3">
      <c r="A2649" s="367" t="s">
        <v>8317</v>
      </c>
      <c r="B2649" s="10" t="s">
        <v>8318</v>
      </c>
      <c r="C2649" s="368" t="s">
        <v>8580</v>
      </c>
      <c r="D2649" s="10" t="s">
        <v>8581</v>
      </c>
      <c r="E2649" s="10" t="s">
        <v>8582</v>
      </c>
      <c r="F2649" s="10" t="s">
        <v>8583</v>
      </c>
      <c r="G2649" s="10" t="s">
        <v>8584</v>
      </c>
      <c r="H2649" s="10" t="s">
        <v>8585</v>
      </c>
      <c r="I2649" s="9"/>
      <c r="J2649" s="370"/>
      <c r="K2649" s="10" t="s">
        <v>8586</v>
      </c>
      <c r="L2649" s="10" t="s">
        <v>8587</v>
      </c>
      <c r="M2649" s="10" t="s">
        <v>8591</v>
      </c>
      <c r="N2649" s="16">
        <v>0</v>
      </c>
      <c r="O2649" s="16">
        <v>0</v>
      </c>
      <c r="P2649" s="16">
        <v>0</v>
      </c>
      <c r="Q2649" s="16">
        <v>0</v>
      </c>
      <c r="R2649" s="16">
        <v>0</v>
      </c>
      <c r="S2649" s="16">
        <v>48</v>
      </c>
      <c r="T2649" s="10" t="s">
        <v>8589</v>
      </c>
      <c r="U2649" t="e">
        <f>VLOOKUP(T2649,[8]Votes!$A$1:$E$234,3,FALSE)</f>
        <v>#N/A</v>
      </c>
      <c r="V2649" t="s">
        <v>8592</v>
      </c>
      <c r="W2649" s="369">
        <v>1</v>
      </c>
      <c r="X2649" s="369">
        <v>0</v>
      </c>
      <c r="Y2649" s="369">
        <v>0</v>
      </c>
      <c r="Z2649" s="369">
        <v>1</v>
      </c>
      <c r="AA2649" s="369">
        <v>1</v>
      </c>
      <c r="AB2649" s="369">
        <v>0</v>
      </c>
      <c r="AC2649" s="369">
        <v>1</v>
      </c>
      <c r="AD2649" s="369">
        <v>1</v>
      </c>
      <c r="AE2649" s="49">
        <f t="shared" si="131"/>
        <v>0.625</v>
      </c>
      <c r="AF2649" s="17"/>
      <c r="AG2649" s="17">
        <v>0</v>
      </c>
      <c r="AH2649" s="17">
        <v>0</v>
      </c>
      <c r="AI2649" s="44">
        <v>1</v>
      </c>
      <c r="AJ2649" s="17">
        <v>0</v>
      </c>
      <c r="AK2649" s="153"/>
      <c r="AL2649" s="154"/>
      <c r="AM2649" s="17">
        <f t="shared" si="132"/>
        <v>0</v>
      </c>
      <c r="AN2649" s="44" t="s">
        <v>8476</v>
      </c>
      <c r="AO2649" s="18" t="s">
        <v>1037</v>
      </c>
      <c r="AP2649" t="s">
        <v>1035</v>
      </c>
      <c r="AQ2649"/>
    </row>
    <row r="2650" spans="1:44" s="10" customFormat="1" hidden="1" x14ac:dyDescent="0.3">
      <c r="A2650" s="367" t="s">
        <v>8317</v>
      </c>
      <c r="B2650" s="10" t="s">
        <v>8318</v>
      </c>
      <c r="C2650" s="368" t="s">
        <v>8580</v>
      </c>
      <c r="D2650" s="10" t="s">
        <v>8581</v>
      </c>
      <c r="E2650" s="10" t="s">
        <v>8582</v>
      </c>
      <c r="F2650" s="10" t="s">
        <v>8583</v>
      </c>
      <c r="G2650" s="10" t="s">
        <v>8584</v>
      </c>
      <c r="H2650" s="10" t="s">
        <v>8585</v>
      </c>
      <c r="I2650" s="9"/>
      <c r="J2650" s="370"/>
      <c r="K2650" s="10" t="s">
        <v>8586</v>
      </c>
      <c r="L2650" s="10" t="s">
        <v>8587</v>
      </c>
      <c r="M2650" s="10" t="s">
        <v>8593</v>
      </c>
      <c r="N2650" s="16">
        <v>0</v>
      </c>
      <c r="O2650" s="16">
        <v>0</v>
      </c>
      <c r="P2650" s="16" t="s">
        <v>8594</v>
      </c>
      <c r="Q2650" s="16">
        <v>0</v>
      </c>
      <c r="R2650" s="16">
        <v>0</v>
      </c>
      <c r="S2650" s="16">
        <v>0</v>
      </c>
      <c r="T2650" s="10" t="s">
        <v>8589</v>
      </c>
      <c r="U2650" t="e">
        <f>VLOOKUP(T2650,[8]Votes!$A$1:$E$234,3,FALSE)</f>
        <v>#N/A</v>
      </c>
      <c r="V2650" t="s">
        <v>8595</v>
      </c>
      <c r="W2650" s="369">
        <v>1</v>
      </c>
      <c r="X2650" s="369">
        <v>0</v>
      </c>
      <c r="Y2650" s="369">
        <v>0</v>
      </c>
      <c r="Z2650" s="369">
        <v>1</v>
      </c>
      <c r="AA2650" s="369">
        <v>1</v>
      </c>
      <c r="AB2650" s="369">
        <v>1</v>
      </c>
      <c r="AC2650" s="369">
        <v>0</v>
      </c>
      <c r="AD2650" s="369">
        <v>1</v>
      </c>
      <c r="AE2650" s="49">
        <f t="shared" ref="AE2650:AE2713" si="133">SUM(W2650:AD2650)/8</f>
        <v>0.625</v>
      </c>
      <c r="AF2650" s="17"/>
      <c r="AG2650" s="17">
        <v>0</v>
      </c>
      <c r="AH2650" s="17">
        <v>0</v>
      </c>
      <c r="AI2650" s="44">
        <v>1</v>
      </c>
      <c r="AJ2650" s="17">
        <v>0</v>
      </c>
      <c r="AK2650" s="153"/>
      <c r="AL2650" s="154"/>
      <c r="AM2650" s="17">
        <f t="shared" ref="AM2650:AM2713" si="134">SUM(AK2650:AL2650)</f>
        <v>0</v>
      </c>
      <c r="AN2650" s="44" t="s">
        <v>8476</v>
      </c>
      <c r="AO2650" s="18" t="s">
        <v>1037</v>
      </c>
      <c r="AP2650" t="s">
        <v>8596</v>
      </c>
      <c r="AQ2650"/>
    </row>
    <row r="2651" spans="1:44" s="10" customFormat="1" x14ac:dyDescent="0.3">
      <c r="A2651" s="367" t="s">
        <v>8317</v>
      </c>
      <c r="B2651" s="10" t="s">
        <v>8318</v>
      </c>
      <c r="C2651" s="368" t="s">
        <v>8580</v>
      </c>
      <c r="D2651" s="10" t="s">
        <v>8581</v>
      </c>
      <c r="E2651" s="10" t="s">
        <v>8582</v>
      </c>
      <c r="F2651" s="10" t="s">
        <v>8583</v>
      </c>
      <c r="G2651" s="10" t="s">
        <v>8584</v>
      </c>
      <c r="H2651" s="10" t="s">
        <v>8585</v>
      </c>
      <c r="I2651" s="9"/>
      <c r="J2651" s="370"/>
      <c r="K2651" s="10" t="s">
        <v>8586</v>
      </c>
      <c r="L2651" s="10" t="s">
        <v>8587</v>
      </c>
      <c r="N2651" s="16"/>
      <c r="O2651" s="16"/>
      <c r="P2651" s="16"/>
      <c r="Q2651" s="16"/>
      <c r="R2651" s="16"/>
      <c r="S2651" s="16"/>
      <c r="U2651" t="e">
        <f>VLOOKUP(T2651,[8]Votes!$A$1:$E$234,3,FALSE)</f>
        <v>#N/A</v>
      </c>
      <c r="V2651" t="s">
        <v>8597</v>
      </c>
      <c r="W2651" s="369">
        <v>1</v>
      </c>
      <c r="X2651" s="369">
        <v>1</v>
      </c>
      <c r="Y2651" s="369">
        <v>1</v>
      </c>
      <c r="Z2651" s="369">
        <v>0</v>
      </c>
      <c r="AA2651" s="369">
        <v>1</v>
      </c>
      <c r="AB2651" s="369">
        <v>1</v>
      </c>
      <c r="AC2651" s="369">
        <v>1</v>
      </c>
      <c r="AD2651" s="369">
        <v>1</v>
      </c>
      <c r="AE2651" s="49">
        <f t="shared" si="133"/>
        <v>0.875</v>
      </c>
      <c r="AF2651" s="17"/>
      <c r="AG2651" s="17">
        <v>0</v>
      </c>
      <c r="AH2651" s="17">
        <v>0</v>
      </c>
      <c r="AI2651" s="44">
        <v>1</v>
      </c>
      <c r="AJ2651" s="17">
        <v>0</v>
      </c>
      <c r="AK2651" s="153">
        <v>1</v>
      </c>
      <c r="AL2651" s="154">
        <v>0.5</v>
      </c>
      <c r="AM2651" s="17">
        <f t="shared" si="134"/>
        <v>1.5</v>
      </c>
      <c r="AN2651" s="44" t="s">
        <v>8409</v>
      </c>
      <c r="AO2651" s="18" t="s">
        <v>1037</v>
      </c>
      <c r="AP2651" t="s">
        <v>8598</v>
      </c>
      <c r="AQ2651"/>
    </row>
    <row r="2652" spans="1:44" s="10" customFormat="1" x14ac:dyDescent="0.3">
      <c r="A2652" s="367" t="s">
        <v>8317</v>
      </c>
      <c r="B2652" s="10" t="s">
        <v>8318</v>
      </c>
      <c r="C2652" s="368" t="s">
        <v>8580</v>
      </c>
      <c r="D2652" s="10" t="s">
        <v>8581</v>
      </c>
      <c r="E2652" s="10" t="s">
        <v>8582</v>
      </c>
      <c r="F2652" s="10" t="s">
        <v>8583</v>
      </c>
      <c r="G2652" s="10" t="s">
        <v>8584</v>
      </c>
      <c r="H2652" s="10" t="s">
        <v>8585</v>
      </c>
      <c r="I2652" s="9"/>
      <c r="J2652" s="370"/>
      <c r="K2652" s="10" t="s">
        <v>8586</v>
      </c>
      <c r="L2652" s="10" t="s">
        <v>8587</v>
      </c>
      <c r="N2652" s="16"/>
      <c r="O2652" s="16"/>
      <c r="P2652" s="16"/>
      <c r="Q2652" s="16"/>
      <c r="R2652" s="16"/>
      <c r="S2652" s="16"/>
      <c r="U2652" t="e">
        <f>VLOOKUP(T2652,[8]Votes!$A$1:$E$234,3,FALSE)</f>
        <v>#N/A</v>
      </c>
      <c r="V2652" t="s">
        <v>8599</v>
      </c>
      <c r="W2652" s="369">
        <v>1</v>
      </c>
      <c r="X2652" s="369">
        <v>1</v>
      </c>
      <c r="Y2652" s="369">
        <v>1</v>
      </c>
      <c r="Z2652" s="369">
        <v>0</v>
      </c>
      <c r="AA2652" s="369">
        <v>1</v>
      </c>
      <c r="AB2652" s="369">
        <v>1</v>
      </c>
      <c r="AC2652" s="369">
        <v>1</v>
      </c>
      <c r="AD2652" s="369">
        <v>1</v>
      </c>
      <c r="AE2652" s="49">
        <f t="shared" si="133"/>
        <v>0.875</v>
      </c>
      <c r="AF2652" s="17"/>
      <c r="AG2652" s="17">
        <v>1</v>
      </c>
      <c r="AH2652" s="17">
        <v>0</v>
      </c>
      <c r="AI2652" s="44">
        <v>0</v>
      </c>
      <c r="AJ2652" s="44">
        <v>0</v>
      </c>
      <c r="AK2652" s="153"/>
      <c r="AL2652" s="154"/>
      <c r="AM2652" s="17">
        <f t="shared" si="134"/>
        <v>0</v>
      </c>
      <c r="AN2652" s="44" t="s">
        <v>570</v>
      </c>
      <c r="AO2652" s="18" t="s">
        <v>2875</v>
      </c>
      <c r="AP2652" t="s">
        <v>8521</v>
      </c>
      <c r="AQ2652"/>
    </row>
    <row r="2653" spans="1:44" s="10" customFormat="1" hidden="1" x14ac:dyDescent="0.3">
      <c r="A2653" s="367" t="s">
        <v>8317</v>
      </c>
      <c r="B2653" s="10" t="s">
        <v>8318</v>
      </c>
      <c r="C2653" s="368" t="s">
        <v>8580</v>
      </c>
      <c r="D2653" s="10" t="s">
        <v>8581</v>
      </c>
      <c r="E2653" s="10" t="s">
        <v>8582</v>
      </c>
      <c r="F2653" s="10" t="s">
        <v>8583</v>
      </c>
      <c r="G2653" s="10" t="s">
        <v>8584</v>
      </c>
      <c r="H2653" s="10" t="s">
        <v>8585</v>
      </c>
      <c r="I2653" s="9"/>
      <c r="J2653" s="370"/>
      <c r="K2653" s="10" t="s">
        <v>8586</v>
      </c>
      <c r="L2653" s="10" t="s">
        <v>8587</v>
      </c>
      <c r="M2653" s="10" t="s">
        <v>8600</v>
      </c>
      <c r="N2653" s="16">
        <v>0</v>
      </c>
      <c r="O2653" s="16">
        <v>0</v>
      </c>
      <c r="P2653" s="16">
        <v>0</v>
      </c>
      <c r="Q2653" s="16" t="s">
        <v>8601</v>
      </c>
      <c r="R2653" s="16">
        <v>0</v>
      </c>
      <c r="S2653" s="16">
        <v>0</v>
      </c>
      <c r="T2653" s="10" t="s">
        <v>8589</v>
      </c>
      <c r="U2653" t="e">
        <f>VLOOKUP(T2653,[8]Votes!$A$1:$E$234,3,FALSE)</f>
        <v>#N/A</v>
      </c>
      <c r="V2653" t="s">
        <v>8602</v>
      </c>
      <c r="W2653" s="369">
        <v>1</v>
      </c>
      <c r="X2653" s="369">
        <v>0</v>
      </c>
      <c r="Y2653" s="369">
        <v>0</v>
      </c>
      <c r="Z2653" s="369">
        <v>1</v>
      </c>
      <c r="AA2653" s="369">
        <v>1</v>
      </c>
      <c r="AB2653" s="369">
        <v>1</v>
      </c>
      <c r="AC2653" s="369">
        <v>0</v>
      </c>
      <c r="AD2653" s="369">
        <v>1</v>
      </c>
      <c r="AE2653" s="49">
        <f t="shared" si="133"/>
        <v>0.625</v>
      </c>
      <c r="AF2653" s="17"/>
      <c r="AG2653" s="17">
        <v>0</v>
      </c>
      <c r="AH2653" s="17">
        <v>0</v>
      </c>
      <c r="AI2653" s="44">
        <v>1</v>
      </c>
      <c r="AJ2653" s="44">
        <v>1</v>
      </c>
      <c r="AK2653" s="151">
        <v>1</v>
      </c>
      <c r="AL2653" s="151">
        <v>1</v>
      </c>
      <c r="AM2653" s="17">
        <f t="shared" si="134"/>
        <v>2</v>
      </c>
      <c r="AN2653" s="44" t="s">
        <v>8476</v>
      </c>
      <c r="AO2653" s="18" t="s">
        <v>1037</v>
      </c>
      <c r="AP2653" t="s">
        <v>8603</v>
      </c>
      <c r="AQ2653"/>
    </row>
    <row r="2654" spans="1:44" s="10" customFormat="1" x14ac:dyDescent="0.3">
      <c r="A2654" s="367" t="s">
        <v>8317</v>
      </c>
      <c r="B2654" s="10" t="s">
        <v>8318</v>
      </c>
      <c r="C2654" s="368" t="s">
        <v>8580</v>
      </c>
      <c r="D2654" s="10" t="s">
        <v>8581</v>
      </c>
      <c r="E2654" s="10" t="s">
        <v>8582</v>
      </c>
      <c r="F2654" s="10" t="s">
        <v>8583</v>
      </c>
      <c r="G2654" s="10" t="s">
        <v>8584</v>
      </c>
      <c r="H2654" s="10" t="s">
        <v>8585</v>
      </c>
      <c r="I2654" s="9"/>
      <c r="J2654" s="370"/>
      <c r="K2654" s="10" t="s">
        <v>8586</v>
      </c>
      <c r="L2654" s="10" t="s">
        <v>8604</v>
      </c>
      <c r="M2654" s="10" t="s">
        <v>8605</v>
      </c>
      <c r="N2654" s="16">
        <v>0</v>
      </c>
      <c r="O2654" s="16">
        <v>0</v>
      </c>
      <c r="P2654" s="16">
        <v>0</v>
      </c>
      <c r="Q2654" s="16">
        <v>5</v>
      </c>
      <c r="R2654" s="16"/>
      <c r="S2654" s="16"/>
      <c r="T2654" s="10" t="s">
        <v>1035</v>
      </c>
      <c r="U2654" t="str">
        <f>VLOOKUP(T2654,[8]Votes!$A$1:$E$234,3,FALSE)</f>
        <v>017 Ministry of Energy and Mineral Development</v>
      </c>
      <c r="V2654" t="s">
        <v>8606</v>
      </c>
      <c r="W2654" s="369">
        <v>1</v>
      </c>
      <c r="X2654" s="369">
        <v>1</v>
      </c>
      <c r="Y2654" s="369">
        <v>0</v>
      </c>
      <c r="Z2654" s="369">
        <v>1</v>
      </c>
      <c r="AA2654" s="369">
        <v>1</v>
      </c>
      <c r="AB2654" s="369">
        <v>1</v>
      </c>
      <c r="AC2654" s="369">
        <v>0</v>
      </c>
      <c r="AD2654" s="369">
        <v>1</v>
      </c>
      <c r="AE2654" s="49">
        <f t="shared" si="133"/>
        <v>0.75</v>
      </c>
      <c r="AF2654" s="17"/>
      <c r="AG2654" s="17">
        <v>1</v>
      </c>
      <c r="AH2654" s="17">
        <v>0</v>
      </c>
      <c r="AI2654" s="44">
        <v>4</v>
      </c>
      <c r="AJ2654" s="17">
        <v>0</v>
      </c>
      <c r="AK2654" s="153"/>
      <c r="AL2654" s="154"/>
      <c r="AM2654" s="17">
        <f t="shared" si="134"/>
        <v>0</v>
      </c>
      <c r="AN2654" s="44" t="s">
        <v>8341</v>
      </c>
      <c r="AO2654" s="18" t="s">
        <v>1037</v>
      </c>
      <c r="AP2654" t="s">
        <v>1035</v>
      </c>
      <c r="AQ2654"/>
    </row>
    <row r="2655" spans="1:44" s="10" customFormat="1" hidden="1" x14ac:dyDescent="0.3">
      <c r="A2655" s="367" t="s">
        <v>8317</v>
      </c>
      <c r="B2655" s="10" t="s">
        <v>8318</v>
      </c>
      <c r="C2655" s="368" t="s">
        <v>8580</v>
      </c>
      <c r="D2655" s="10" t="s">
        <v>8581</v>
      </c>
      <c r="E2655" s="10" t="s">
        <v>8582</v>
      </c>
      <c r="F2655" s="10" t="s">
        <v>8583</v>
      </c>
      <c r="G2655" s="10" t="s">
        <v>8584</v>
      </c>
      <c r="H2655" s="10" t="s">
        <v>8585</v>
      </c>
      <c r="I2655" s="9"/>
      <c r="J2655" s="370"/>
      <c r="K2655" s="10" t="s">
        <v>8586</v>
      </c>
      <c r="L2655" s="10" t="s">
        <v>8607</v>
      </c>
      <c r="M2655" s="10" t="s">
        <v>8605</v>
      </c>
      <c r="N2655" s="16">
        <v>0</v>
      </c>
      <c r="O2655" s="16">
        <v>0</v>
      </c>
      <c r="P2655" s="16">
        <v>0</v>
      </c>
      <c r="Q2655" s="16">
        <v>0</v>
      </c>
      <c r="R2655" s="16">
        <v>0</v>
      </c>
      <c r="S2655" s="16">
        <v>79</v>
      </c>
      <c r="T2655" s="10" t="s">
        <v>1035</v>
      </c>
      <c r="U2655" t="str">
        <f>VLOOKUP(T2655,[8]Votes!$A$1:$E$234,3,FALSE)</f>
        <v>017 Ministry of Energy and Mineral Development</v>
      </c>
      <c r="V2655" t="s">
        <v>8608</v>
      </c>
      <c r="W2655" s="369">
        <v>1</v>
      </c>
      <c r="X2655" s="369">
        <v>0</v>
      </c>
      <c r="Y2655" s="369">
        <v>0</v>
      </c>
      <c r="Z2655" s="369">
        <v>1</v>
      </c>
      <c r="AA2655" s="369">
        <v>1</v>
      </c>
      <c r="AB2655" s="369">
        <v>1</v>
      </c>
      <c r="AC2655" s="369">
        <v>0</v>
      </c>
      <c r="AD2655" s="369">
        <v>1</v>
      </c>
      <c r="AE2655" s="49">
        <f t="shared" si="133"/>
        <v>0.625</v>
      </c>
      <c r="AF2655" s="44">
        <v>1</v>
      </c>
      <c r="AG2655" s="17">
        <v>0</v>
      </c>
      <c r="AH2655" s="44">
        <v>61.88</v>
      </c>
      <c r="AI2655" s="44">
        <v>32.56</v>
      </c>
      <c r="AJ2655" s="44">
        <v>32.56</v>
      </c>
      <c r="AK2655" s="151">
        <v>19</v>
      </c>
      <c r="AL2655" s="151">
        <v>16.8</v>
      </c>
      <c r="AM2655" s="17">
        <f t="shared" si="134"/>
        <v>35.799999999999997</v>
      </c>
      <c r="AN2655" s="44" t="s">
        <v>8341</v>
      </c>
      <c r="AO2655" s="18" t="s">
        <v>1037</v>
      </c>
      <c r="AP2655" t="s">
        <v>1035</v>
      </c>
      <c r="AQ2655"/>
    </row>
    <row r="2656" spans="1:44" s="10" customFormat="1" hidden="1" x14ac:dyDescent="0.3">
      <c r="A2656" s="367" t="s">
        <v>8317</v>
      </c>
      <c r="B2656" s="10" t="s">
        <v>8318</v>
      </c>
      <c r="C2656" s="368" t="s">
        <v>8580</v>
      </c>
      <c r="D2656" s="10" t="s">
        <v>8581</v>
      </c>
      <c r="E2656" s="10" t="s">
        <v>8582</v>
      </c>
      <c r="F2656" s="10" t="s">
        <v>8583</v>
      </c>
      <c r="G2656" s="10" t="s">
        <v>8584</v>
      </c>
      <c r="H2656" s="10" t="s">
        <v>8585</v>
      </c>
      <c r="I2656" s="9"/>
      <c r="J2656" s="370"/>
      <c r="K2656" s="10" t="s">
        <v>8586</v>
      </c>
      <c r="L2656" s="10" t="s">
        <v>8607</v>
      </c>
      <c r="M2656" s="10" t="s">
        <v>8403</v>
      </c>
      <c r="N2656" s="16"/>
      <c r="O2656" s="16"/>
      <c r="P2656" s="16"/>
      <c r="Q2656" s="16">
        <v>5</v>
      </c>
      <c r="R2656" s="16"/>
      <c r="S2656" s="16">
        <v>79</v>
      </c>
      <c r="T2656" s="10" t="s">
        <v>1035</v>
      </c>
      <c r="U2656" t="str">
        <f>VLOOKUP(T2656,[8]Votes!$A$1:$E$234,3,FALSE)</f>
        <v>017 Ministry of Energy and Mineral Development</v>
      </c>
      <c r="V2656" t="s">
        <v>8395</v>
      </c>
      <c r="W2656" s="369">
        <v>0</v>
      </c>
      <c r="X2656" s="369">
        <v>0</v>
      </c>
      <c r="Y2656" s="369">
        <v>0</v>
      </c>
      <c r="Z2656" s="369">
        <v>1</v>
      </c>
      <c r="AA2656" s="369">
        <v>1</v>
      </c>
      <c r="AB2656" s="369">
        <v>1</v>
      </c>
      <c r="AC2656" s="369">
        <v>0</v>
      </c>
      <c r="AD2656" s="369">
        <v>1</v>
      </c>
      <c r="AE2656" s="49">
        <f t="shared" si="133"/>
        <v>0.5</v>
      </c>
      <c r="AF2656" s="44"/>
      <c r="AG2656" s="17">
        <v>0</v>
      </c>
      <c r="AH2656" s="44">
        <v>5</v>
      </c>
      <c r="AI2656" s="44">
        <v>1</v>
      </c>
      <c r="AJ2656" s="44">
        <v>15</v>
      </c>
      <c r="AK2656" s="151">
        <v>0.5</v>
      </c>
      <c r="AL2656" s="151">
        <v>1</v>
      </c>
      <c r="AM2656" s="17">
        <f t="shared" si="134"/>
        <v>1.5</v>
      </c>
      <c r="AN2656" s="44" t="s">
        <v>570</v>
      </c>
      <c r="AO2656" s="18" t="s">
        <v>2875</v>
      </c>
      <c r="AP2656" t="s">
        <v>8609</v>
      </c>
      <c r="AQ2656"/>
      <c r="AR2656"/>
    </row>
    <row r="2657" spans="1:43" s="10" customFormat="1" hidden="1" x14ac:dyDescent="0.3">
      <c r="A2657" s="367" t="s">
        <v>8317</v>
      </c>
      <c r="B2657" s="10" t="s">
        <v>8318</v>
      </c>
      <c r="C2657" s="368" t="s">
        <v>8580</v>
      </c>
      <c r="D2657" s="10" t="s">
        <v>8581</v>
      </c>
      <c r="E2657" s="10" t="s">
        <v>8582</v>
      </c>
      <c r="F2657" s="10" t="s">
        <v>8583</v>
      </c>
      <c r="G2657" s="10" t="s">
        <v>8610</v>
      </c>
      <c r="H2657" s="10" t="s">
        <v>8611</v>
      </c>
      <c r="I2657" s="9"/>
      <c r="J2657" s="370"/>
      <c r="K2657" s="10" t="s">
        <v>8612</v>
      </c>
      <c r="L2657" s="10" t="s">
        <v>8613</v>
      </c>
      <c r="M2657" s="10" t="s">
        <v>8614</v>
      </c>
      <c r="N2657" s="16">
        <v>630</v>
      </c>
      <c r="O2657" s="16"/>
      <c r="P2657" s="16">
        <v>600</v>
      </c>
      <c r="Q2657" s="16"/>
      <c r="R2657" s="16">
        <v>72</v>
      </c>
      <c r="S2657" s="16">
        <v>100</v>
      </c>
      <c r="T2657" s="10" t="s">
        <v>1035</v>
      </c>
      <c r="U2657" t="str">
        <f>VLOOKUP(T2657,[8]Votes!$A$1:$E$234,3,FALSE)</f>
        <v>017 Ministry of Energy and Mineral Development</v>
      </c>
      <c r="V2657" t="s">
        <v>8615</v>
      </c>
      <c r="W2657" s="369">
        <v>1</v>
      </c>
      <c r="X2657" s="369">
        <v>0</v>
      </c>
      <c r="Y2657" s="369">
        <v>0</v>
      </c>
      <c r="Z2657" s="369">
        <v>1</v>
      </c>
      <c r="AA2657" s="369">
        <v>1</v>
      </c>
      <c r="AB2657" s="369">
        <v>1</v>
      </c>
      <c r="AC2657" s="369">
        <v>0</v>
      </c>
      <c r="AD2657" s="369">
        <v>1</v>
      </c>
      <c r="AE2657" s="49">
        <f t="shared" si="133"/>
        <v>0.625</v>
      </c>
      <c r="AF2657" s="44"/>
      <c r="AG2657" s="17">
        <v>1</v>
      </c>
      <c r="AH2657" s="44">
        <v>6</v>
      </c>
      <c r="AI2657" s="44">
        <v>20</v>
      </c>
      <c r="AJ2657" s="44">
        <v>3</v>
      </c>
      <c r="AK2657" s="151">
        <v>0</v>
      </c>
      <c r="AL2657" s="151">
        <v>0</v>
      </c>
      <c r="AM2657" s="17">
        <f t="shared" si="134"/>
        <v>0</v>
      </c>
      <c r="AN2657" s="44" t="s">
        <v>8476</v>
      </c>
      <c r="AO2657" s="18" t="s">
        <v>1037</v>
      </c>
      <c r="AP2657" t="s">
        <v>8426</v>
      </c>
      <c r="AQ2657"/>
    </row>
    <row r="2658" spans="1:43" s="10" customFormat="1" hidden="1" x14ac:dyDescent="0.3">
      <c r="A2658" s="367" t="s">
        <v>8317</v>
      </c>
      <c r="B2658" s="10" t="s">
        <v>8318</v>
      </c>
      <c r="C2658" s="368" t="s">
        <v>8580</v>
      </c>
      <c r="D2658" s="10" t="s">
        <v>8581</v>
      </c>
      <c r="E2658" s="10" t="s">
        <v>8582</v>
      </c>
      <c r="F2658" s="10" t="s">
        <v>8583</v>
      </c>
      <c r="G2658" s="10" t="s">
        <v>8610</v>
      </c>
      <c r="H2658" s="10" t="s">
        <v>8611</v>
      </c>
      <c r="I2658" s="9"/>
      <c r="J2658" s="370"/>
      <c r="K2658" s="10" t="s">
        <v>8612</v>
      </c>
      <c r="L2658" s="10" t="s">
        <v>8613</v>
      </c>
      <c r="M2658" s="10" t="s">
        <v>8616</v>
      </c>
      <c r="N2658" s="16">
        <v>0</v>
      </c>
      <c r="O2658" s="16">
        <v>0</v>
      </c>
      <c r="P2658" s="16">
        <v>1</v>
      </c>
      <c r="Q2658" s="16">
        <v>2</v>
      </c>
      <c r="R2658" s="16">
        <v>3</v>
      </c>
      <c r="S2658" s="16">
        <v>3</v>
      </c>
      <c r="T2658" s="10" t="s">
        <v>1035</v>
      </c>
      <c r="U2658" t="str">
        <f>VLOOKUP(T2658,[8]Votes!$A$1:$E$234,3,FALSE)</f>
        <v>017 Ministry of Energy and Mineral Development</v>
      </c>
      <c r="V2658" t="s">
        <v>8617</v>
      </c>
      <c r="W2658" s="369">
        <v>1</v>
      </c>
      <c r="X2658" s="369">
        <v>0</v>
      </c>
      <c r="Y2658" s="369">
        <v>0</v>
      </c>
      <c r="Z2658" s="369">
        <v>1</v>
      </c>
      <c r="AA2658" s="369">
        <v>1</v>
      </c>
      <c r="AB2658" s="369">
        <v>1</v>
      </c>
      <c r="AC2658" s="369">
        <v>0</v>
      </c>
      <c r="AD2658" s="369">
        <v>1</v>
      </c>
      <c r="AE2658" s="49">
        <f t="shared" si="133"/>
        <v>0.625</v>
      </c>
      <c r="AF2658" s="44"/>
      <c r="AG2658" s="17">
        <v>1</v>
      </c>
      <c r="AH2658" s="44">
        <v>72</v>
      </c>
      <c r="AI2658" s="44">
        <v>25</v>
      </c>
      <c r="AJ2658" s="17">
        <v>0</v>
      </c>
      <c r="AK2658" s="153"/>
      <c r="AL2658" s="154"/>
      <c r="AM2658" s="17">
        <f t="shared" si="134"/>
        <v>0</v>
      </c>
      <c r="AN2658" s="44" t="s">
        <v>8476</v>
      </c>
      <c r="AO2658" s="18" t="s">
        <v>1037</v>
      </c>
      <c r="AP2658" t="s">
        <v>1035</v>
      </c>
      <c r="AQ2658"/>
    </row>
    <row r="2659" spans="1:43" s="10" customFormat="1" hidden="1" x14ac:dyDescent="0.3">
      <c r="A2659" s="367" t="s">
        <v>8317</v>
      </c>
      <c r="B2659" s="10" t="s">
        <v>8318</v>
      </c>
      <c r="C2659" s="368" t="s">
        <v>8580</v>
      </c>
      <c r="D2659" s="10" t="s">
        <v>8581</v>
      </c>
      <c r="E2659" s="10" t="s">
        <v>8582</v>
      </c>
      <c r="F2659" s="10" t="s">
        <v>8583</v>
      </c>
      <c r="G2659" s="10" t="s">
        <v>8610</v>
      </c>
      <c r="H2659" s="10" t="s">
        <v>8611</v>
      </c>
      <c r="I2659" s="9"/>
      <c r="J2659" s="370"/>
      <c r="K2659" s="10" t="s">
        <v>8612</v>
      </c>
      <c r="L2659" s="10" t="s">
        <v>8613</v>
      </c>
      <c r="N2659" s="16"/>
      <c r="O2659" s="16"/>
      <c r="P2659" s="16"/>
      <c r="Q2659" s="16"/>
      <c r="R2659" s="16"/>
      <c r="S2659" s="16"/>
      <c r="U2659" t="e">
        <f>VLOOKUP(T2659,[8]Votes!$A$1:$E$234,3,FALSE)</f>
        <v>#N/A</v>
      </c>
      <c r="V2659" t="s">
        <v>8618</v>
      </c>
      <c r="W2659" s="369">
        <v>0</v>
      </c>
      <c r="X2659" s="369">
        <v>0</v>
      </c>
      <c r="Y2659" s="369">
        <v>1</v>
      </c>
      <c r="Z2659" s="369">
        <v>0</v>
      </c>
      <c r="AA2659" s="369">
        <v>1</v>
      </c>
      <c r="AB2659" s="369">
        <v>0</v>
      </c>
      <c r="AC2659" s="369">
        <v>0</v>
      </c>
      <c r="AD2659" s="369">
        <v>1</v>
      </c>
      <c r="AE2659" s="49">
        <f t="shared" si="133"/>
        <v>0.375</v>
      </c>
      <c r="AF2659" s="17"/>
      <c r="AG2659" s="17">
        <v>0</v>
      </c>
      <c r="AH2659" s="17">
        <v>0</v>
      </c>
      <c r="AI2659" s="44">
        <v>1</v>
      </c>
      <c r="AJ2659" s="17">
        <v>0</v>
      </c>
      <c r="AK2659" s="151">
        <v>0</v>
      </c>
      <c r="AL2659" s="151">
        <v>0</v>
      </c>
      <c r="AM2659" s="17">
        <f t="shared" si="134"/>
        <v>0</v>
      </c>
      <c r="AN2659" s="44" t="s">
        <v>8476</v>
      </c>
      <c r="AO2659" s="18" t="s">
        <v>1037</v>
      </c>
      <c r="AP2659" t="s">
        <v>1035</v>
      </c>
      <c r="AQ2659"/>
    </row>
    <row r="2660" spans="1:43" s="10" customFormat="1" x14ac:dyDescent="0.3">
      <c r="A2660" s="367" t="s">
        <v>8317</v>
      </c>
      <c r="B2660" s="10" t="s">
        <v>8318</v>
      </c>
      <c r="C2660" s="368" t="s">
        <v>8580</v>
      </c>
      <c r="D2660" s="10" t="s">
        <v>8581</v>
      </c>
      <c r="E2660" s="10" t="s">
        <v>8582</v>
      </c>
      <c r="F2660" s="10" t="s">
        <v>8583</v>
      </c>
      <c r="G2660" s="10" t="s">
        <v>8610</v>
      </c>
      <c r="H2660" s="10" t="s">
        <v>8611</v>
      </c>
      <c r="I2660" s="9"/>
      <c r="J2660" s="370"/>
      <c r="K2660" s="10" t="s">
        <v>8612</v>
      </c>
      <c r="L2660" s="10" t="s">
        <v>8613</v>
      </c>
      <c r="N2660" s="16"/>
      <c r="O2660" s="16"/>
      <c r="P2660" s="16"/>
      <c r="Q2660" s="16"/>
      <c r="R2660" s="16"/>
      <c r="S2660" s="16"/>
      <c r="U2660" t="e">
        <f>VLOOKUP(T2660,[8]Votes!$A$1:$E$234,3,FALSE)</f>
        <v>#N/A</v>
      </c>
      <c r="V2660" t="s">
        <v>8619</v>
      </c>
      <c r="W2660" s="369">
        <v>1</v>
      </c>
      <c r="X2660" s="369">
        <v>1</v>
      </c>
      <c r="Y2660" s="369">
        <v>0</v>
      </c>
      <c r="Z2660" s="369">
        <v>1</v>
      </c>
      <c r="AA2660" s="369">
        <v>1</v>
      </c>
      <c r="AB2660" s="369">
        <v>1</v>
      </c>
      <c r="AC2660" s="369">
        <v>0</v>
      </c>
      <c r="AD2660" s="369">
        <v>1</v>
      </c>
      <c r="AE2660" s="49">
        <f t="shared" si="133"/>
        <v>0.75</v>
      </c>
      <c r="AF2660" s="17"/>
      <c r="AG2660" s="17">
        <v>0</v>
      </c>
      <c r="AH2660" s="17">
        <v>0</v>
      </c>
      <c r="AI2660" s="44">
        <v>0</v>
      </c>
      <c r="AJ2660" s="17">
        <v>0</v>
      </c>
      <c r="AK2660" s="151"/>
      <c r="AL2660" s="151"/>
      <c r="AM2660" s="17">
        <f t="shared" si="134"/>
        <v>0</v>
      </c>
      <c r="AN2660" s="44" t="s">
        <v>8476</v>
      </c>
      <c r="AO2660" s="18" t="s">
        <v>1037</v>
      </c>
      <c r="AP2660" t="s">
        <v>1035</v>
      </c>
      <c r="AQ2660"/>
    </row>
    <row r="2661" spans="1:43" s="10" customFormat="1" hidden="1" x14ac:dyDescent="0.3">
      <c r="A2661" s="367" t="s">
        <v>8317</v>
      </c>
      <c r="B2661" s="10" t="s">
        <v>8318</v>
      </c>
      <c r="C2661" s="368" t="s">
        <v>8580</v>
      </c>
      <c r="D2661" s="10" t="s">
        <v>8581</v>
      </c>
      <c r="E2661" s="10" t="s">
        <v>8582</v>
      </c>
      <c r="F2661" s="10" t="s">
        <v>8583</v>
      </c>
      <c r="G2661" s="10" t="s">
        <v>8610</v>
      </c>
      <c r="H2661" s="10" t="s">
        <v>8611</v>
      </c>
      <c r="I2661" s="9"/>
      <c r="J2661" s="370"/>
      <c r="K2661" s="10" t="s">
        <v>8612</v>
      </c>
      <c r="L2661" s="10" t="s">
        <v>8613</v>
      </c>
      <c r="N2661" s="16"/>
      <c r="O2661" s="16"/>
      <c r="P2661" s="16"/>
      <c r="Q2661" s="16"/>
      <c r="R2661" s="16"/>
      <c r="S2661" s="16"/>
      <c r="U2661" t="e">
        <f>VLOOKUP(T2661,[8]Votes!$A$1:$E$234,3,FALSE)</f>
        <v>#N/A</v>
      </c>
      <c r="V2661" t="s">
        <v>8620</v>
      </c>
      <c r="W2661" s="369">
        <v>1</v>
      </c>
      <c r="X2661" s="369">
        <v>0</v>
      </c>
      <c r="Y2661" s="369">
        <v>0</v>
      </c>
      <c r="Z2661" s="369">
        <v>1</v>
      </c>
      <c r="AA2661" s="369">
        <v>1</v>
      </c>
      <c r="AB2661" s="369">
        <v>1</v>
      </c>
      <c r="AC2661" s="369">
        <v>0</v>
      </c>
      <c r="AD2661" s="369">
        <v>1</v>
      </c>
      <c r="AE2661" s="49">
        <f t="shared" si="133"/>
        <v>0.625</v>
      </c>
      <c r="AF2661" s="17"/>
      <c r="AG2661" s="17">
        <v>0</v>
      </c>
      <c r="AH2661" s="17">
        <v>0</v>
      </c>
      <c r="AI2661" s="44">
        <v>1</v>
      </c>
      <c r="AJ2661" s="17">
        <v>0</v>
      </c>
      <c r="AK2661" s="151"/>
      <c r="AL2661" s="151"/>
      <c r="AM2661" s="17">
        <f t="shared" si="134"/>
        <v>0</v>
      </c>
      <c r="AN2661" s="44" t="s">
        <v>8476</v>
      </c>
      <c r="AO2661" s="18" t="s">
        <v>1037</v>
      </c>
      <c r="AP2661" t="s">
        <v>1035</v>
      </c>
      <c r="AQ2661"/>
    </row>
    <row r="2662" spans="1:43" s="10" customFormat="1" hidden="1" x14ac:dyDescent="0.3">
      <c r="A2662" s="367" t="s">
        <v>8317</v>
      </c>
      <c r="B2662" s="10" t="s">
        <v>8318</v>
      </c>
      <c r="C2662" s="368" t="s">
        <v>8580</v>
      </c>
      <c r="D2662" s="10" t="s">
        <v>8581</v>
      </c>
      <c r="E2662" s="10" t="s">
        <v>8582</v>
      </c>
      <c r="F2662" s="10" t="s">
        <v>8583</v>
      </c>
      <c r="G2662" s="10" t="s">
        <v>8610</v>
      </c>
      <c r="H2662" s="10" t="s">
        <v>8611</v>
      </c>
      <c r="I2662" s="9"/>
      <c r="J2662" s="370"/>
      <c r="K2662" s="10" t="s">
        <v>8612</v>
      </c>
      <c r="L2662" s="10" t="s">
        <v>8613</v>
      </c>
      <c r="N2662" s="16"/>
      <c r="O2662" s="16"/>
      <c r="P2662" s="16"/>
      <c r="Q2662" s="16"/>
      <c r="R2662" s="16"/>
      <c r="S2662" s="16"/>
      <c r="U2662" t="e">
        <f>VLOOKUP(T2662,[8]Votes!$A$1:$E$234,3,FALSE)</f>
        <v>#N/A</v>
      </c>
      <c r="V2662" t="s">
        <v>8621</v>
      </c>
      <c r="W2662" s="369">
        <v>1</v>
      </c>
      <c r="X2662" s="369">
        <v>1</v>
      </c>
      <c r="Y2662" s="369">
        <v>0</v>
      </c>
      <c r="Z2662" s="369">
        <v>0</v>
      </c>
      <c r="AA2662" s="369">
        <v>1</v>
      </c>
      <c r="AB2662" s="369">
        <v>1</v>
      </c>
      <c r="AC2662" s="369">
        <v>0</v>
      </c>
      <c r="AD2662" s="369">
        <v>1</v>
      </c>
      <c r="AE2662" s="49">
        <f t="shared" si="133"/>
        <v>0.625</v>
      </c>
      <c r="AF2662" s="17"/>
      <c r="AG2662" s="17">
        <v>0</v>
      </c>
      <c r="AH2662" s="17">
        <v>0</v>
      </c>
      <c r="AI2662" s="44">
        <v>10</v>
      </c>
      <c r="AJ2662" s="17">
        <v>0</v>
      </c>
      <c r="AK2662" s="151">
        <v>1</v>
      </c>
      <c r="AL2662" s="151">
        <v>1</v>
      </c>
      <c r="AM2662" s="17">
        <f t="shared" si="134"/>
        <v>2</v>
      </c>
      <c r="AN2662" s="44" t="s">
        <v>8476</v>
      </c>
      <c r="AO2662" s="18" t="s">
        <v>1037</v>
      </c>
      <c r="AP2662" t="s">
        <v>1035</v>
      </c>
      <c r="AQ2662"/>
    </row>
    <row r="2663" spans="1:43" s="10" customFormat="1" hidden="1" x14ac:dyDescent="0.3">
      <c r="A2663" s="367" t="s">
        <v>8317</v>
      </c>
      <c r="B2663" s="10" t="s">
        <v>8318</v>
      </c>
      <c r="C2663" s="368" t="s">
        <v>8580</v>
      </c>
      <c r="D2663" s="10" t="s">
        <v>8581</v>
      </c>
      <c r="E2663" s="10" t="s">
        <v>8582</v>
      </c>
      <c r="F2663" s="10" t="s">
        <v>8583</v>
      </c>
      <c r="G2663" s="10" t="s">
        <v>8610</v>
      </c>
      <c r="H2663" s="10" t="s">
        <v>8611</v>
      </c>
      <c r="I2663" s="9"/>
      <c r="J2663" s="370"/>
      <c r="K2663" s="10" t="s">
        <v>8612</v>
      </c>
      <c r="L2663" s="10" t="s">
        <v>8613</v>
      </c>
      <c r="N2663" s="16"/>
      <c r="O2663" s="16"/>
      <c r="P2663" s="16"/>
      <c r="Q2663" s="16"/>
      <c r="R2663" s="16"/>
      <c r="S2663" s="16"/>
      <c r="U2663" t="e">
        <f>VLOOKUP(T2663,[8]Votes!$A$1:$E$234,3,FALSE)</f>
        <v>#N/A</v>
      </c>
      <c r="V2663" t="s">
        <v>8622</v>
      </c>
      <c r="W2663" s="369">
        <v>1</v>
      </c>
      <c r="X2663" s="369">
        <v>0</v>
      </c>
      <c r="Y2663" s="369">
        <v>0</v>
      </c>
      <c r="Z2663" s="369">
        <v>1</v>
      </c>
      <c r="AA2663" s="369">
        <v>1</v>
      </c>
      <c r="AB2663" s="369">
        <v>1</v>
      </c>
      <c r="AC2663" s="369">
        <v>0</v>
      </c>
      <c r="AD2663" s="369">
        <v>1</v>
      </c>
      <c r="AE2663" s="49">
        <f t="shared" si="133"/>
        <v>0.625</v>
      </c>
      <c r="AF2663" s="17"/>
      <c r="AG2663" s="17">
        <v>0</v>
      </c>
      <c r="AH2663" s="17">
        <v>0</v>
      </c>
      <c r="AI2663" s="17">
        <v>0</v>
      </c>
      <c r="AJ2663" s="17">
        <v>0</v>
      </c>
      <c r="AK2663" s="153">
        <v>0</v>
      </c>
      <c r="AL2663" s="154">
        <v>0</v>
      </c>
      <c r="AM2663" s="17">
        <f t="shared" si="134"/>
        <v>0</v>
      </c>
      <c r="AN2663" s="44" t="s">
        <v>8476</v>
      </c>
      <c r="AO2663" s="18" t="s">
        <v>1037</v>
      </c>
      <c r="AP2663" t="s">
        <v>1035</v>
      </c>
      <c r="AQ2663"/>
    </row>
    <row r="2664" spans="1:43" s="10" customFormat="1" x14ac:dyDescent="0.3">
      <c r="A2664" s="367" t="s">
        <v>8317</v>
      </c>
      <c r="B2664" s="10" t="s">
        <v>8318</v>
      </c>
      <c r="C2664" s="368" t="s">
        <v>8580</v>
      </c>
      <c r="D2664" s="10" t="s">
        <v>8581</v>
      </c>
      <c r="E2664" s="10" t="s">
        <v>8582</v>
      </c>
      <c r="F2664" s="10" t="s">
        <v>8583</v>
      </c>
      <c r="G2664" s="10" t="s">
        <v>8610</v>
      </c>
      <c r="H2664" s="10" t="s">
        <v>8611</v>
      </c>
      <c r="I2664" s="9"/>
      <c r="J2664" s="370"/>
      <c r="K2664" s="10" t="s">
        <v>8612</v>
      </c>
      <c r="L2664" s="10" t="s">
        <v>8613</v>
      </c>
      <c r="N2664" s="16"/>
      <c r="O2664" s="16"/>
      <c r="P2664" s="16"/>
      <c r="Q2664" s="16"/>
      <c r="R2664" s="16"/>
      <c r="S2664" s="16"/>
      <c r="U2664" t="e">
        <f>VLOOKUP(T2664,[8]Votes!$A$1:$E$234,3,FALSE)</f>
        <v>#N/A</v>
      </c>
      <c r="V2664" t="s">
        <v>8623</v>
      </c>
      <c r="W2664" s="369">
        <v>1</v>
      </c>
      <c r="X2664" s="369">
        <v>1</v>
      </c>
      <c r="Y2664" s="369">
        <v>1</v>
      </c>
      <c r="Z2664" s="369">
        <v>1</v>
      </c>
      <c r="AA2664" s="369">
        <v>1</v>
      </c>
      <c r="AB2664" s="369">
        <v>1</v>
      </c>
      <c r="AC2664" s="369">
        <v>1</v>
      </c>
      <c r="AD2664" s="369">
        <v>1</v>
      </c>
      <c r="AE2664" s="49">
        <f t="shared" si="133"/>
        <v>1</v>
      </c>
      <c r="AF2664" s="17"/>
      <c r="AG2664" s="17">
        <v>0</v>
      </c>
      <c r="AH2664" s="17">
        <v>0</v>
      </c>
      <c r="AI2664" s="44">
        <v>0</v>
      </c>
      <c r="AJ2664" s="17">
        <v>0</v>
      </c>
      <c r="AK2664" s="151"/>
      <c r="AL2664" s="151"/>
      <c r="AM2664" s="17">
        <f t="shared" si="134"/>
        <v>0</v>
      </c>
      <c r="AN2664" s="44" t="s">
        <v>8476</v>
      </c>
      <c r="AO2664" s="18" t="s">
        <v>1037</v>
      </c>
      <c r="AP2664" t="s">
        <v>8624</v>
      </c>
      <c r="AQ2664"/>
    </row>
    <row r="2665" spans="1:43" s="10" customFormat="1" hidden="1" x14ac:dyDescent="0.3">
      <c r="A2665" s="367" t="s">
        <v>8317</v>
      </c>
      <c r="B2665" s="10" t="s">
        <v>8318</v>
      </c>
      <c r="C2665" s="368" t="s">
        <v>8580</v>
      </c>
      <c r="D2665" s="10" t="s">
        <v>8581</v>
      </c>
      <c r="E2665" s="10" t="s">
        <v>8582</v>
      </c>
      <c r="F2665" s="10" t="s">
        <v>8583</v>
      </c>
      <c r="G2665" s="10" t="s">
        <v>8610</v>
      </c>
      <c r="H2665" s="10" t="s">
        <v>8611</v>
      </c>
      <c r="I2665" s="9"/>
      <c r="J2665" s="370"/>
      <c r="K2665" s="10" t="s">
        <v>8612</v>
      </c>
      <c r="L2665" s="10" t="s">
        <v>8613</v>
      </c>
      <c r="N2665" s="16"/>
      <c r="O2665" s="16"/>
      <c r="P2665" s="16"/>
      <c r="Q2665" s="16"/>
      <c r="R2665" s="16"/>
      <c r="S2665" s="16"/>
      <c r="U2665" t="e">
        <f>VLOOKUP(T2665,[8]Votes!$A$1:$E$234,3,FALSE)</f>
        <v>#N/A</v>
      </c>
      <c r="V2665" t="s">
        <v>8625</v>
      </c>
      <c r="W2665" s="369">
        <v>1</v>
      </c>
      <c r="X2665" s="369">
        <v>0</v>
      </c>
      <c r="Y2665" s="369">
        <v>0</v>
      </c>
      <c r="Z2665" s="369">
        <v>1</v>
      </c>
      <c r="AA2665" s="369">
        <v>1</v>
      </c>
      <c r="AB2665" s="369">
        <v>0</v>
      </c>
      <c r="AC2665" s="369">
        <v>0</v>
      </c>
      <c r="AD2665" s="369">
        <v>1</v>
      </c>
      <c r="AE2665" s="49">
        <f t="shared" si="133"/>
        <v>0.5</v>
      </c>
      <c r="AF2665" s="17"/>
      <c r="AG2665" s="17">
        <v>1</v>
      </c>
      <c r="AH2665" s="17">
        <v>0</v>
      </c>
      <c r="AI2665" s="44">
        <v>18</v>
      </c>
      <c r="AJ2665" s="17">
        <v>0</v>
      </c>
      <c r="AK2665" s="153">
        <v>0</v>
      </c>
      <c r="AL2665" s="154">
        <v>0</v>
      </c>
      <c r="AM2665" s="17">
        <f t="shared" si="134"/>
        <v>0</v>
      </c>
      <c r="AN2665" s="44" t="s">
        <v>8476</v>
      </c>
      <c r="AO2665" s="18" t="s">
        <v>1037</v>
      </c>
      <c r="AP2665" t="s">
        <v>570</v>
      </c>
      <c r="AQ2665"/>
    </row>
    <row r="2666" spans="1:43" s="10" customFormat="1" hidden="1" x14ac:dyDescent="0.3">
      <c r="A2666" s="367" t="s">
        <v>8317</v>
      </c>
      <c r="B2666" s="10" t="s">
        <v>8318</v>
      </c>
      <c r="C2666" s="368" t="s">
        <v>8580</v>
      </c>
      <c r="D2666" s="10" t="s">
        <v>8581</v>
      </c>
      <c r="E2666" s="10" t="s">
        <v>8582</v>
      </c>
      <c r="F2666" s="10" t="s">
        <v>8583</v>
      </c>
      <c r="G2666" s="10" t="s">
        <v>8610</v>
      </c>
      <c r="H2666" s="10" t="s">
        <v>8611</v>
      </c>
      <c r="I2666" s="9"/>
      <c r="J2666" s="370"/>
      <c r="K2666" s="10" t="s">
        <v>8612</v>
      </c>
      <c r="L2666" s="10" t="s">
        <v>8613</v>
      </c>
      <c r="N2666" s="16"/>
      <c r="O2666" s="16"/>
      <c r="P2666" s="16"/>
      <c r="Q2666" s="16"/>
      <c r="R2666" s="16"/>
      <c r="S2666" s="16"/>
      <c r="U2666" t="e">
        <f>VLOOKUP(T2666,[8]Votes!$A$1:$E$234,3,FALSE)</f>
        <v>#N/A</v>
      </c>
      <c r="V2666" t="s">
        <v>8626</v>
      </c>
      <c r="W2666" s="369">
        <v>1</v>
      </c>
      <c r="X2666" s="369">
        <v>0</v>
      </c>
      <c r="Y2666" s="369">
        <v>0</v>
      </c>
      <c r="Z2666" s="369">
        <v>1</v>
      </c>
      <c r="AA2666" s="369">
        <v>1</v>
      </c>
      <c r="AB2666" s="369">
        <v>1</v>
      </c>
      <c r="AC2666" s="369">
        <v>0</v>
      </c>
      <c r="AD2666" s="369">
        <v>1</v>
      </c>
      <c r="AE2666" s="49">
        <f t="shared" si="133"/>
        <v>0.625</v>
      </c>
      <c r="AF2666" s="17"/>
      <c r="AG2666" s="17">
        <v>0</v>
      </c>
      <c r="AH2666" s="17">
        <v>0</v>
      </c>
      <c r="AI2666" s="44">
        <v>2</v>
      </c>
      <c r="AJ2666" s="17">
        <v>0</v>
      </c>
      <c r="AK2666" s="151">
        <v>2</v>
      </c>
      <c r="AL2666" s="151">
        <v>2</v>
      </c>
      <c r="AM2666" s="17">
        <f t="shared" si="134"/>
        <v>4</v>
      </c>
      <c r="AN2666" s="44" t="s">
        <v>8476</v>
      </c>
      <c r="AO2666" s="18" t="s">
        <v>1037</v>
      </c>
      <c r="AP2666" t="s">
        <v>3605</v>
      </c>
      <c r="AQ2666"/>
    </row>
    <row r="2667" spans="1:43" s="10" customFormat="1" hidden="1" x14ac:dyDescent="0.3">
      <c r="A2667" s="367" t="s">
        <v>8317</v>
      </c>
      <c r="B2667" s="10" t="s">
        <v>8318</v>
      </c>
      <c r="C2667" s="368" t="s">
        <v>8580</v>
      </c>
      <c r="D2667" s="10" t="s">
        <v>8581</v>
      </c>
      <c r="E2667" s="10" t="s">
        <v>8582</v>
      </c>
      <c r="F2667" s="10" t="s">
        <v>8583</v>
      </c>
      <c r="G2667" s="10" t="s">
        <v>8610</v>
      </c>
      <c r="H2667" s="10" t="s">
        <v>8611</v>
      </c>
      <c r="I2667" s="9"/>
      <c r="J2667" s="370"/>
      <c r="K2667" s="10" t="s">
        <v>8612</v>
      </c>
      <c r="L2667" s="10" t="s">
        <v>8613</v>
      </c>
      <c r="N2667" s="16"/>
      <c r="O2667" s="16"/>
      <c r="P2667" s="16"/>
      <c r="Q2667" s="16"/>
      <c r="R2667" s="16"/>
      <c r="S2667" s="16"/>
      <c r="U2667" t="e">
        <f>VLOOKUP(T2667,[8]Votes!$A$1:$E$234,3,FALSE)</f>
        <v>#N/A</v>
      </c>
      <c r="V2667" t="s">
        <v>8627</v>
      </c>
      <c r="W2667" s="369">
        <v>1</v>
      </c>
      <c r="X2667" s="369">
        <v>0</v>
      </c>
      <c r="Y2667" s="369">
        <v>0</v>
      </c>
      <c r="Z2667" s="369">
        <v>1</v>
      </c>
      <c r="AA2667" s="369">
        <v>1</v>
      </c>
      <c r="AB2667" s="369">
        <v>1</v>
      </c>
      <c r="AC2667" s="369">
        <v>0</v>
      </c>
      <c r="AD2667" s="369">
        <v>1</v>
      </c>
      <c r="AE2667" s="49">
        <f t="shared" si="133"/>
        <v>0.625</v>
      </c>
      <c r="AF2667" s="17"/>
      <c r="AG2667" s="17">
        <v>0</v>
      </c>
      <c r="AH2667" s="17">
        <v>0</v>
      </c>
      <c r="AI2667" s="17">
        <v>0</v>
      </c>
      <c r="AJ2667" s="17">
        <v>0</v>
      </c>
      <c r="AK2667" s="153"/>
      <c r="AL2667" s="154"/>
      <c r="AM2667" s="17">
        <f t="shared" si="134"/>
        <v>0</v>
      </c>
      <c r="AN2667" s="44" t="s">
        <v>8476</v>
      </c>
      <c r="AO2667" s="18" t="s">
        <v>1037</v>
      </c>
      <c r="AP2667" t="s">
        <v>8628</v>
      </c>
      <c r="AQ2667"/>
    </row>
    <row r="2668" spans="1:43" s="10" customFormat="1" hidden="1" x14ac:dyDescent="0.3">
      <c r="A2668" s="367" t="s">
        <v>8317</v>
      </c>
      <c r="B2668" s="10" t="s">
        <v>8318</v>
      </c>
      <c r="C2668" s="368" t="s">
        <v>8580</v>
      </c>
      <c r="D2668" s="10" t="s">
        <v>8581</v>
      </c>
      <c r="E2668" s="10" t="s">
        <v>8582</v>
      </c>
      <c r="F2668" s="10" t="s">
        <v>8583</v>
      </c>
      <c r="G2668" s="10" t="s">
        <v>8610</v>
      </c>
      <c r="H2668" s="10" t="s">
        <v>8611</v>
      </c>
      <c r="I2668" s="9"/>
      <c r="J2668" s="370"/>
      <c r="K2668" s="10" t="s">
        <v>8612</v>
      </c>
      <c r="L2668" s="10" t="s">
        <v>8613</v>
      </c>
      <c r="M2668" s="10" t="s">
        <v>8629</v>
      </c>
      <c r="N2668" s="16">
        <v>1</v>
      </c>
      <c r="O2668" s="16">
        <v>1</v>
      </c>
      <c r="P2668" s="16">
        <v>1</v>
      </c>
      <c r="Q2668" s="16">
        <v>1</v>
      </c>
      <c r="R2668" s="16">
        <v>0</v>
      </c>
      <c r="S2668" s="16">
        <v>0</v>
      </c>
      <c r="T2668" s="10" t="s">
        <v>1035</v>
      </c>
      <c r="U2668" t="str">
        <f>VLOOKUP(T2668,[8]Votes!$A$1:$E$234,3,FALSE)</f>
        <v>017 Ministry of Energy and Mineral Development</v>
      </c>
      <c r="V2668" t="s">
        <v>8630</v>
      </c>
      <c r="W2668" s="369">
        <v>1</v>
      </c>
      <c r="X2668" s="369">
        <v>1</v>
      </c>
      <c r="Y2668" s="369">
        <v>0</v>
      </c>
      <c r="Z2668" s="369">
        <v>1</v>
      </c>
      <c r="AA2668" s="369">
        <v>1</v>
      </c>
      <c r="AB2668" s="369">
        <v>0</v>
      </c>
      <c r="AC2668" s="369">
        <v>0</v>
      </c>
      <c r="AD2668" s="369">
        <v>1</v>
      </c>
      <c r="AE2668" s="49">
        <f t="shared" si="133"/>
        <v>0.625</v>
      </c>
      <c r="AF2668" s="17"/>
      <c r="AG2668" s="17">
        <v>0</v>
      </c>
      <c r="AH2668" s="17">
        <v>0</v>
      </c>
      <c r="AI2668" s="44">
        <v>1</v>
      </c>
      <c r="AJ2668" s="17">
        <v>0</v>
      </c>
      <c r="AK2668" s="153">
        <v>0</v>
      </c>
      <c r="AL2668" s="154">
        <v>0</v>
      </c>
      <c r="AM2668" s="17">
        <f t="shared" si="134"/>
        <v>0</v>
      </c>
      <c r="AN2668" s="44" t="s">
        <v>8476</v>
      </c>
      <c r="AO2668" s="18" t="s">
        <v>1037</v>
      </c>
      <c r="AP2668" t="s">
        <v>4393</v>
      </c>
      <c r="AQ2668"/>
    </row>
    <row r="2669" spans="1:43" s="10" customFormat="1" x14ac:dyDescent="0.3">
      <c r="A2669" s="367" t="s">
        <v>8317</v>
      </c>
      <c r="B2669" s="10" t="s">
        <v>8318</v>
      </c>
      <c r="C2669" s="368" t="s">
        <v>8580</v>
      </c>
      <c r="D2669" s="10" t="s">
        <v>8581</v>
      </c>
      <c r="E2669" s="10" t="s">
        <v>8582</v>
      </c>
      <c r="F2669" s="10" t="s">
        <v>8583</v>
      </c>
      <c r="G2669" s="10" t="s">
        <v>8610</v>
      </c>
      <c r="H2669" s="10" t="s">
        <v>8611</v>
      </c>
      <c r="I2669" s="9"/>
      <c r="J2669" s="370"/>
      <c r="K2669" s="10" t="s">
        <v>8612</v>
      </c>
      <c r="L2669" s="10" t="s">
        <v>8613</v>
      </c>
      <c r="M2669" s="10" t="s">
        <v>8631</v>
      </c>
      <c r="N2669" s="16">
        <v>0</v>
      </c>
      <c r="O2669" s="16">
        <v>4</v>
      </c>
      <c r="P2669" s="16">
        <v>0</v>
      </c>
      <c r="Q2669" s="16">
        <v>0</v>
      </c>
      <c r="R2669" s="16">
        <v>0</v>
      </c>
      <c r="S2669" s="16"/>
      <c r="T2669" s="10" t="s">
        <v>1035</v>
      </c>
      <c r="U2669" t="str">
        <f>VLOOKUP(T2669,[8]Votes!$A$1:$E$234,3,FALSE)</f>
        <v>017 Ministry of Energy and Mineral Development</v>
      </c>
      <c r="V2669" t="s">
        <v>8632</v>
      </c>
      <c r="W2669" s="369">
        <v>1</v>
      </c>
      <c r="X2669" s="369">
        <v>1</v>
      </c>
      <c r="Y2669" s="369">
        <v>1</v>
      </c>
      <c r="Z2669" s="369">
        <v>1</v>
      </c>
      <c r="AA2669" s="369">
        <v>1</v>
      </c>
      <c r="AB2669" s="369">
        <v>1</v>
      </c>
      <c r="AC2669" s="369">
        <v>1</v>
      </c>
      <c r="AD2669" s="369">
        <v>1</v>
      </c>
      <c r="AE2669" s="49">
        <f t="shared" si="133"/>
        <v>1</v>
      </c>
      <c r="AF2669" s="44"/>
      <c r="AG2669" s="17">
        <v>0</v>
      </c>
      <c r="AH2669" s="44">
        <v>0.8</v>
      </c>
      <c r="AI2669" s="44">
        <v>1.2</v>
      </c>
      <c r="AJ2669" s="17">
        <v>0</v>
      </c>
      <c r="AK2669" s="151">
        <v>2</v>
      </c>
      <c r="AL2669" s="154">
        <v>0</v>
      </c>
      <c r="AM2669" s="17">
        <f t="shared" si="134"/>
        <v>2</v>
      </c>
      <c r="AN2669" s="44" t="s">
        <v>1035</v>
      </c>
      <c r="AO2669" s="18" t="s">
        <v>1037</v>
      </c>
      <c r="AP2669" t="s">
        <v>8589</v>
      </c>
      <c r="AQ2669"/>
    </row>
    <row r="2670" spans="1:43" s="10" customFormat="1" hidden="1" x14ac:dyDescent="0.3">
      <c r="A2670" s="367" t="s">
        <v>8317</v>
      </c>
      <c r="B2670" s="10" t="s">
        <v>8318</v>
      </c>
      <c r="C2670" s="368" t="s">
        <v>8580</v>
      </c>
      <c r="D2670" s="10" t="s">
        <v>8581</v>
      </c>
      <c r="E2670" s="10" t="s">
        <v>8582</v>
      </c>
      <c r="F2670" s="10" t="s">
        <v>8583</v>
      </c>
      <c r="G2670" s="10" t="s">
        <v>8610</v>
      </c>
      <c r="H2670" s="10" t="s">
        <v>8611</v>
      </c>
      <c r="I2670" s="9"/>
      <c r="J2670" s="370"/>
      <c r="K2670" s="10" t="s">
        <v>8612</v>
      </c>
      <c r="L2670" s="10" t="s">
        <v>8613</v>
      </c>
      <c r="M2670" s="10" t="s">
        <v>8633</v>
      </c>
      <c r="N2670" s="16">
        <v>0</v>
      </c>
      <c r="O2670" s="16">
        <v>0</v>
      </c>
      <c r="P2670" s="16">
        <v>0</v>
      </c>
      <c r="Q2670" s="16">
        <v>0</v>
      </c>
      <c r="R2670" s="16">
        <v>4</v>
      </c>
      <c r="S2670" s="16"/>
      <c r="T2670" s="10" t="s">
        <v>1035</v>
      </c>
      <c r="U2670" t="str">
        <f>VLOOKUP(T2670,[8]Votes!$A$1:$E$234,3,FALSE)</f>
        <v>017 Ministry of Energy and Mineral Development</v>
      </c>
      <c r="V2670" t="s">
        <v>8634</v>
      </c>
      <c r="W2670" s="369">
        <v>1</v>
      </c>
      <c r="X2670" s="369">
        <v>0</v>
      </c>
      <c r="Y2670" s="369">
        <v>0</v>
      </c>
      <c r="Z2670" s="369">
        <v>1</v>
      </c>
      <c r="AA2670" s="369">
        <v>1</v>
      </c>
      <c r="AB2670" s="369">
        <v>1</v>
      </c>
      <c r="AC2670" s="369">
        <v>0</v>
      </c>
      <c r="AD2670" s="369">
        <v>1</v>
      </c>
      <c r="AE2670" s="49">
        <f t="shared" si="133"/>
        <v>0.625</v>
      </c>
      <c r="AF2670" s="17">
        <v>1</v>
      </c>
      <c r="AG2670" s="17">
        <v>0</v>
      </c>
      <c r="AH2670" s="17">
        <v>0</v>
      </c>
      <c r="AI2670" s="17">
        <v>0</v>
      </c>
      <c r="AJ2670" s="17">
        <v>0</v>
      </c>
      <c r="AK2670" s="153">
        <v>2</v>
      </c>
      <c r="AL2670" s="154">
        <v>2</v>
      </c>
      <c r="AM2670" s="17">
        <f t="shared" si="134"/>
        <v>4</v>
      </c>
      <c r="AN2670" s="44" t="s">
        <v>1035</v>
      </c>
      <c r="AO2670" s="18" t="s">
        <v>1037</v>
      </c>
      <c r="AP2670" t="s">
        <v>8589</v>
      </c>
      <c r="AQ2670"/>
    </row>
    <row r="2671" spans="1:43" s="10" customFormat="1" x14ac:dyDescent="0.3">
      <c r="A2671" s="367" t="s">
        <v>8317</v>
      </c>
      <c r="B2671" s="10" t="s">
        <v>8318</v>
      </c>
      <c r="C2671" s="368" t="s">
        <v>8580</v>
      </c>
      <c r="D2671" s="10" t="s">
        <v>8581</v>
      </c>
      <c r="E2671" s="10" t="s">
        <v>8582</v>
      </c>
      <c r="F2671" s="10" t="s">
        <v>8583</v>
      </c>
      <c r="G2671" s="10" t="s">
        <v>8610</v>
      </c>
      <c r="H2671" s="10" t="s">
        <v>8611</v>
      </c>
      <c r="I2671" s="9"/>
      <c r="J2671" s="370"/>
      <c r="K2671" s="10" t="s">
        <v>8612</v>
      </c>
      <c r="L2671" s="10" t="s">
        <v>8635</v>
      </c>
      <c r="M2671" s="10" t="s">
        <v>8636</v>
      </c>
      <c r="N2671" s="16">
        <v>0</v>
      </c>
      <c r="O2671" s="16">
        <v>0</v>
      </c>
      <c r="P2671" s="16">
        <v>1</v>
      </c>
      <c r="Q2671" s="16">
        <v>2</v>
      </c>
      <c r="R2671" s="16">
        <v>3</v>
      </c>
      <c r="S2671" s="16">
        <v>3</v>
      </c>
      <c r="T2671" s="10" t="s">
        <v>8637</v>
      </c>
      <c r="U2671" t="e">
        <f>VLOOKUP(T2671,[8]Votes!$A$1:$E$234,3,FALSE)</f>
        <v>#N/A</v>
      </c>
      <c r="V2671" t="s">
        <v>8638</v>
      </c>
      <c r="W2671" s="369">
        <v>1</v>
      </c>
      <c r="X2671" s="369">
        <v>0</v>
      </c>
      <c r="Y2671" s="369">
        <v>1</v>
      </c>
      <c r="Z2671" s="369">
        <v>1</v>
      </c>
      <c r="AA2671" s="369">
        <v>1</v>
      </c>
      <c r="AB2671" s="369">
        <v>1</v>
      </c>
      <c r="AC2671" s="369">
        <v>1</v>
      </c>
      <c r="AD2671" s="369">
        <v>1</v>
      </c>
      <c r="AE2671" s="49">
        <f t="shared" si="133"/>
        <v>0.875</v>
      </c>
      <c r="AF2671" s="44">
        <v>1</v>
      </c>
      <c r="AG2671" s="17">
        <v>0</v>
      </c>
      <c r="AH2671" s="44">
        <v>2</v>
      </c>
      <c r="AI2671" s="44">
        <v>2</v>
      </c>
      <c r="AJ2671" s="44">
        <v>2</v>
      </c>
      <c r="AK2671" s="151">
        <v>1</v>
      </c>
      <c r="AL2671" s="151">
        <v>1</v>
      </c>
      <c r="AM2671" s="17">
        <f t="shared" si="134"/>
        <v>2</v>
      </c>
      <c r="AN2671" s="44" t="s">
        <v>1035</v>
      </c>
      <c r="AO2671" s="18" t="s">
        <v>1037</v>
      </c>
      <c r="AP2671" t="s">
        <v>3605</v>
      </c>
      <c r="AQ2671"/>
    </row>
    <row r="2672" spans="1:43" s="10" customFormat="1" x14ac:dyDescent="0.3">
      <c r="A2672" s="367" t="s">
        <v>8317</v>
      </c>
      <c r="B2672" s="10" t="s">
        <v>8318</v>
      </c>
      <c r="C2672" s="368" t="s">
        <v>8580</v>
      </c>
      <c r="D2672" s="10" t="s">
        <v>8581</v>
      </c>
      <c r="E2672" s="10" t="s">
        <v>8582</v>
      </c>
      <c r="F2672" s="10" t="s">
        <v>8583</v>
      </c>
      <c r="G2672" s="10" t="s">
        <v>8610</v>
      </c>
      <c r="H2672" s="10" t="s">
        <v>8611</v>
      </c>
      <c r="I2672" s="9"/>
      <c r="J2672" s="370"/>
      <c r="K2672" s="10" t="s">
        <v>8639</v>
      </c>
      <c r="L2672" s="10" t="s">
        <v>8635</v>
      </c>
      <c r="M2672" s="10" t="s">
        <v>8640</v>
      </c>
      <c r="N2672" s="16">
        <v>0</v>
      </c>
      <c r="O2672" s="16">
        <v>0</v>
      </c>
      <c r="P2672" s="16">
        <v>2</v>
      </c>
      <c r="Q2672" s="16">
        <v>2</v>
      </c>
      <c r="R2672" s="16">
        <v>2</v>
      </c>
      <c r="S2672" s="16">
        <v>2</v>
      </c>
      <c r="T2672" t="s">
        <v>8637</v>
      </c>
      <c r="U2672" t="e">
        <f>VLOOKUP(T2672,[8]Votes!$A$1:$E$234,3,FALSE)</f>
        <v>#N/A</v>
      </c>
      <c r="V2672" t="s">
        <v>8641</v>
      </c>
      <c r="W2672" s="369">
        <v>1</v>
      </c>
      <c r="X2672" s="369">
        <v>1</v>
      </c>
      <c r="Y2672" s="369">
        <v>1</v>
      </c>
      <c r="Z2672" s="369">
        <v>0</v>
      </c>
      <c r="AA2672" s="369">
        <v>1</v>
      </c>
      <c r="AB2672" s="369">
        <v>0</v>
      </c>
      <c r="AC2672" s="369">
        <v>1</v>
      </c>
      <c r="AD2672" s="369">
        <v>1</v>
      </c>
      <c r="AE2672" s="49">
        <f t="shared" si="133"/>
        <v>0.75</v>
      </c>
      <c r="AF2672" s="17">
        <v>1</v>
      </c>
      <c r="AG2672" s="17">
        <v>0</v>
      </c>
      <c r="AH2672" s="17">
        <v>0</v>
      </c>
      <c r="AI2672" s="44">
        <v>0.5</v>
      </c>
      <c r="AJ2672" s="44">
        <v>0.5</v>
      </c>
      <c r="AK2672" s="151">
        <v>1</v>
      </c>
      <c r="AL2672" s="151">
        <v>1</v>
      </c>
      <c r="AM2672" s="17">
        <f t="shared" si="134"/>
        <v>2</v>
      </c>
      <c r="AN2672" s="44" t="s">
        <v>1035</v>
      </c>
      <c r="AO2672" s="18" t="s">
        <v>1037</v>
      </c>
      <c r="AP2672" t="s">
        <v>3605</v>
      </c>
      <c r="AQ2672"/>
    </row>
    <row r="2673" spans="1:43" s="10" customFormat="1" hidden="1" x14ac:dyDescent="0.3">
      <c r="A2673" s="367" t="s">
        <v>8317</v>
      </c>
      <c r="B2673" s="10" t="s">
        <v>8318</v>
      </c>
      <c r="C2673" s="368" t="s">
        <v>8580</v>
      </c>
      <c r="D2673" s="10" t="s">
        <v>8581</v>
      </c>
      <c r="E2673" s="10" t="s">
        <v>8582</v>
      </c>
      <c r="F2673" s="10" t="s">
        <v>8583</v>
      </c>
      <c r="G2673" s="10" t="s">
        <v>8610</v>
      </c>
      <c r="H2673" s="10" t="s">
        <v>8611</v>
      </c>
      <c r="I2673" s="9"/>
      <c r="J2673" s="370"/>
      <c r="K2673" s="10" t="s">
        <v>8639</v>
      </c>
      <c r="L2673" s="10" t="s">
        <v>8635</v>
      </c>
      <c r="N2673" s="16"/>
      <c r="O2673" s="16"/>
      <c r="P2673" s="16"/>
      <c r="Q2673" s="16"/>
      <c r="R2673" s="16"/>
      <c r="S2673" s="16"/>
      <c r="U2673" t="e">
        <f>VLOOKUP(T2673,[8]Votes!$A$1:$E$234,3,FALSE)</f>
        <v>#N/A</v>
      </c>
      <c r="V2673" t="s">
        <v>8642</v>
      </c>
      <c r="W2673" s="369">
        <v>0</v>
      </c>
      <c r="X2673" s="369">
        <v>0</v>
      </c>
      <c r="Y2673" s="369">
        <v>1</v>
      </c>
      <c r="Z2673" s="369">
        <v>1</v>
      </c>
      <c r="AA2673" s="369">
        <v>1</v>
      </c>
      <c r="AB2673" s="369">
        <v>0</v>
      </c>
      <c r="AC2673" s="369">
        <v>0</v>
      </c>
      <c r="AD2673" s="369">
        <v>1</v>
      </c>
      <c r="AE2673" s="49">
        <f t="shared" si="133"/>
        <v>0.5</v>
      </c>
      <c r="AF2673" s="17"/>
      <c r="AG2673" s="17">
        <v>0</v>
      </c>
      <c r="AH2673" s="17">
        <v>0</v>
      </c>
      <c r="AI2673" s="44">
        <v>0.1</v>
      </c>
      <c r="AJ2673" s="44">
        <v>0.2</v>
      </c>
      <c r="AK2673" s="151">
        <v>0.2</v>
      </c>
      <c r="AL2673" s="151">
        <v>0.2</v>
      </c>
      <c r="AM2673" s="17">
        <f t="shared" si="134"/>
        <v>0.4</v>
      </c>
      <c r="AN2673" s="44" t="s">
        <v>1035</v>
      </c>
      <c r="AO2673" s="18" t="s">
        <v>1037</v>
      </c>
      <c r="AP2673" t="s">
        <v>771</v>
      </c>
      <c r="AQ2673"/>
    </row>
    <row r="2674" spans="1:43" s="10" customFormat="1" hidden="1" x14ac:dyDescent="0.3">
      <c r="A2674" s="367" t="s">
        <v>8317</v>
      </c>
      <c r="B2674" s="10" t="s">
        <v>8318</v>
      </c>
      <c r="C2674" s="368" t="s">
        <v>8580</v>
      </c>
      <c r="D2674" s="10" t="s">
        <v>8581</v>
      </c>
      <c r="E2674" s="10" t="s">
        <v>8582</v>
      </c>
      <c r="F2674" s="10" t="s">
        <v>8583</v>
      </c>
      <c r="G2674" s="10" t="s">
        <v>8610</v>
      </c>
      <c r="H2674" s="10" t="s">
        <v>8611</v>
      </c>
      <c r="I2674" s="9"/>
      <c r="J2674" s="370"/>
      <c r="K2674" s="10" t="s">
        <v>8639</v>
      </c>
      <c r="L2674" s="10" t="s">
        <v>8635</v>
      </c>
      <c r="M2674" s="10" t="s">
        <v>8640</v>
      </c>
      <c r="N2674" s="16">
        <v>0</v>
      </c>
      <c r="O2674" s="16">
        <v>0</v>
      </c>
      <c r="P2674" s="16">
        <v>2</v>
      </c>
      <c r="Q2674" s="16">
        <v>2</v>
      </c>
      <c r="R2674" s="16">
        <v>2</v>
      </c>
      <c r="S2674" s="16">
        <v>2</v>
      </c>
      <c r="T2674" t="s">
        <v>8637</v>
      </c>
      <c r="U2674" t="e">
        <f>VLOOKUP(T2674,[8]Votes!$A$1:$E$234,3,FALSE)</f>
        <v>#N/A</v>
      </c>
      <c r="V2674" t="s">
        <v>8643</v>
      </c>
      <c r="W2674" s="369">
        <v>1</v>
      </c>
      <c r="X2674" s="369">
        <v>0</v>
      </c>
      <c r="Y2674" s="369">
        <v>0</v>
      </c>
      <c r="Z2674" s="369">
        <v>1</v>
      </c>
      <c r="AA2674" s="369">
        <v>1</v>
      </c>
      <c r="AB2674" s="369">
        <v>0</v>
      </c>
      <c r="AC2674" s="369">
        <v>1</v>
      </c>
      <c r="AD2674" s="369">
        <v>1</v>
      </c>
      <c r="AE2674" s="49">
        <f t="shared" si="133"/>
        <v>0.625</v>
      </c>
      <c r="AF2674" s="32">
        <v>1</v>
      </c>
      <c r="AG2674" s="17">
        <v>0</v>
      </c>
      <c r="AH2674" s="32"/>
      <c r="AI2674" s="32"/>
      <c r="AJ2674" s="32"/>
      <c r="AK2674" s="214">
        <v>1</v>
      </c>
      <c r="AL2674" s="214">
        <v>1</v>
      </c>
      <c r="AM2674" s="17">
        <f t="shared" si="134"/>
        <v>2</v>
      </c>
      <c r="AN2674" s="44" t="s">
        <v>1035</v>
      </c>
      <c r="AO2674" s="18" t="s">
        <v>1037</v>
      </c>
      <c r="AP2674" t="s">
        <v>771</v>
      </c>
    </row>
    <row r="2675" spans="1:43" s="10" customFormat="1" x14ac:dyDescent="0.3">
      <c r="A2675" s="367" t="s">
        <v>8317</v>
      </c>
      <c r="B2675" s="10" t="s">
        <v>8318</v>
      </c>
      <c r="C2675" s="368" t="s">
        <v>8580</v>
      </c>
      <c r="D2675" s="10" t="s">
        <v>8581</v>
      </c>
      <c r="E2675" s="10" t="s">
        <v>8582</v>
      </c>
      <c r="F2675" s="10" t="s">
        <v>8583</v>
      </c>
      <c r="G2675" s="10" t="s">
        <v>8610</v>
      </c>
      <c r="H2675" s="10" t="s">
        <v>8611</v>
      </c>
      <c r="I2675" s="9"/>
      <c r="J2675" s="370"/>
      <c r="K2675" s="10" t="s">
        <v>8644</v>
      </c>
      <c r="L2675" s="10" t="s">
        <v>8645</v>
      </c>
      <c r="M2675" s="10" t="s">
        <v>8646</v>
      </c>
      <c r="N2675" s="16">
        <v>0</v>
      </c>
      <c r="O2675" s="16">
        <v>0</v>
      </c>
      <c r="P2675" s="16">
        <v>0</v>
      </c>
      <c r="Q2675" s="16">
        <v>72</v>
      </c>
      <c r="R2675" s="16">
        <v>0</v>
      </c>
      <c r="S2675" s="16"/>
      <c r="T2675" s="10" t="s">
        <v>1035</v>
      </c>
      <c r="U2675" t="str">
        <f>VLOOKUP(T2675,[8]Votes!$A$1:$E$234,3,FALSE)</f>
        <v>017 Ministry of Energy and Mineral Development</v>
      </c>
      <c r="V2675" t="s">
        <v>8647</v>
      </c>
      <c r="W2675" s="369">
        <v>1</v>
      </c>
      <c r="X2675" s="369">
        <v>1</v>
      </c>
      <c r="Y2675" s="369">
        <v>1</v>
      </c>
      <c r="Z2675" s="369">
        <v>0</v>
      </c>
      <c r="AA2675" s="369">
        <v>1</v>
      </c>
      <c r="AB2675" s="369">
        <v>1</v>
      </c>
      <c r="AC2675" s="369">
        <v>1</v>
      </c>
      <c r="AD2675" s="369">
        <v>1</v>
      </c>
      <c r="AE2675" s="49">
        <f t="shared" si="133"/>
        <v>0.875</v>
      </c>
      <c r="AF2675" s="44"/>
      <c r="AG2675" s="17">
        <v>1</v>
      </c>
      <c r="AH2675" s="44">
        <v>8.26</v>
      </c>
      <c r="AI2675" s="44">
        <v>50.21</v>
      </c>
      <c r="AJ2675" s="44">
        <v>67.209999999999994</v>
      </c>
      <c r="AK2675" s="151"/>
      <c r="AL2675" s="151"/>
      <c r="AM2675" s="17">
        <f t="shared" si="134"/>
        <v>0</v>
      </c>
      <c r="AN2675" s="44" t="s">
        <v>8341</v>
      </c>
      <c r="AO2675" s="18" t="s">
        <v>1037</v>
      </c>
      <c r="AP2675" t="s">
        <v>1035</v>
      </c>
    </row>
    <row r="2676" spans="1:43" s="10" customFormat="1" x14ac:dyDescent="0.3">
      <c r="A2676" s="367" t="s">
        <v>8317</v>
      </c>
      <c r="B2676" s="10" t="s">
        <v>8318</v>
      </c>
      <c r="C2676" s="368" t="s">
        <v>8580</v>
      </c>
      <c r="D2676" s="10" t="s">
        <v>8581</v>
      </c>
      <c r="E2676" s="10" t="s">
        <v>8582</v>
      </c>
      <c r="F2676" s="10" t="s">
        <v>8583</v>
      </c>
      <c r="G2676" s="10" t="s">
        <v>8610</v>
      </c>
      <c r="H2676" s="10" t="s">
        <v>8611</v>
      </c>
      <c r="I2676" s="9"/>
      <c r="J2676" s="370"/>
      <c r="K2676" s="10" t="s">
        <v>8644</v>
      </c>
      <c r="L2676" s="10" t="s">
        <v>8645</v>
      </c>
      <c r="M2676" s="10" t="s">
        <v>8403</v>
      </c>
      <c r="N2676" s="16"/>
      <c r="O2676" s="16"/>
      <c r="P2676" s="16">
        <v>72</v>
      </c>
      <c r="Q2676" s="16"/>
      <c r="R2676" s="16"/>
      <c r="S2676" s="16">
        <v>10</v>
      </c>
      <c r="T2676" s="10" t="s">
        <v>1035</v>
      </c>
      <c r="U2676" t="str">
        <f>VLOOKUP(T2676,[8]Votes!$A$1:$E$234,3,FALSE)</f>
        <v>017 Ministry of Energy and Mineral Development</v>
      </c>
      <c r="V2676" t="s">
        <v>8395</v>
      </c>
      <c r="W2676" s="369">
        <v>1</v>
      </c>
      <c r="X2676" s="369">
        <v>1</v>
      </c>
      <c r="Y2676" s="369">
        <v>1</v>
      </c>
      <c r="Z2676" s="369">
        <v>1</v>
      </c>
      <c r="AA2676" s="369">
        <v>1</v>
      </c>
      <c r="AB2676" s="369">
        <v>1</v>
      </c>
      <c r="AC2676" s="369">
        <v>1</v>
      </c>
      <c r="AD2676" s="369">
        <v>1</v>
      </c>
      <c r="AE2676" s="49">
        <f t="shared" si="133"/>
        <v>1</v>
      </c>
      <c r="AF2676" s="17"/>
      <c r="AG2676" s="17">
        <v>1</v>
      </c>
      <c r="AH2676" s="17">
        <v>0</v>
      </c>
      <c r="AI2676" s="44">
        <v>0.5</v>
      </c>
      <c r="AJ2676" s="17">
        <v>0</v>
      </c>
      <c r="AK2676" s="153"/>
      <c r="AL2676" s="151"/>
      <c r="AM2676" s="17">
        <f t="shared" si="134"/>
        <v>0</v>
      </c>
      <c r="AN2676" t="s">
        <v>570</v>
      </c>
      <c r="AO2676" s="18" t="s">
        <v>2875</v>
      </c>
      <c r="AP2676" t="s">
        <v>8352</v>
      </c>
    </row>
    <row r="2677" spans="1:43" s="10" customFormat="1" x14ac:dyDescent="0.3">
      <c r="A2677" s="367" t="s">
        <v>8317</v>
      </c>
      <c r="B2677" s="10" t="s">
        <v>8318</v>
      </c>
      <c r="C2677" s="368" t="s">
        <v>8580</v>
      </c>
      <c r="D2677" s="10" t="s">
        <v>8581</v>
      </c>
      <c r="E2677" s="10" t="s">
        <v>8582</v>
      </c>
      <c r="F2677" s="10" t="s">
        <v>8583</v>
      </c>
      <c r="G2677" s="10" t="s">
        <v>8610</v>
      </c>
      <c r="H2677" s="10" t="s">
        <v>8611</v>
      </c>
      <c r="I2677" s="9"/>
      <c r="J2677" s="370"/>
      <c r="K2677" s="10" t="s">
        <v>8648</v>
      </c>
      <c r="L2677" s="10" t="s">
        <v>8649</v>
      </c>
      <c r="M2677" s="10" t="s">
        <v>8650</v>
      </c>
      <c r="N2677" s="16"/>
      <c r="O2677" s="16">
        <v>1</v>
      </c>
      <c r="P2677" s="16">
        <v>1</v>
      </c>
      <c r="Q2677" s="16"/>
      <c r="R2677" s="16"/>
      <c r="S2677" s="16"/>
      <c r="T2677" s="10" t="s">
        <v>1035</v>
      </c>
      <c r="U2677" t="str">
        <f>VLOOKUP(T2677,[8]Votes!$A$1:$E$234,3,FALSE)</f>
        <v>017 Ministry of Energy and Mineral Development</v>
      </c>
      <c r="V2677" t="s">
        <v>8651</v>
      </c>
      <c r="W2677" s="369">
        <v>1</v>
      </c>
      <c r="X2677" s="369">
        <v>1</v>
      </c>
      <c r="Y2677" s="369">
        <v>1</v>
      </c>
      <c r="Z2677" s="369">
        <v>1</v>
      </c>
      <c r="AA2677" s="369">
        <v>1</v>
      </c>
      <c r="AB2677" s="369">
        <v>0</v>
      </c>
      <c r="AC2677" s="369">
        <v>1</v>
      </c>
      <c r="AD2677" s="369">
        <v>1</v>
      </c>
      <c r="AE2677" s="49">
        <f t="shared" si="133"/>
        <v>0.875</v>
      </c>
      <c r="AF2677" s="17"/>
      <c r="AG2677" s="17">
        <v>0</v>
      </c>
      <c r="AH2677" s="17">
        <v>0</v>
      </c>
      <c r="AI2677" s="17">
        <v>0</v>
      </c>
      <c r="AJ2677" s="17">
        <v>0</v>
      </c>
      <c r="AK2677" s="153"/>
      <c r="AL2677" s="154"/>
      <c r="AM2677" s="17">
        <f t="shared" si="134"/>
        <v>0</v>
      </c>
      <c r="AN2677" s="44" t="s">
        <v>1035</v>
      </c>
      <c r="AO2677" s="18" t="s">
        <v>1037</v>
      </c>
      <c r="AP2677" t="s">
        <v>8589</v>
      </c>
    </row>
    <row r="2678" spans="1:43" s="10" customFormat="1" x14ac:dyDescent="0.3">
      <c r="A2678" s="367" t="s">
        <v>8317</v>
      </c>
      <c r="B2678" s="10" t="s">
        <v>8318</v>
      </c>
      <c r="C2678" s="368" t="s">
        <v>8580</v>
      </c>
      <c r="D2678" s="10" t="s">
        <v>8581</v>
      </c>
      <c r="E2678" s="10" t="s">
        <v>8582</v>
      </c>
      <c r="F2678" s="10" t="s">
        <v>8583</v>
      </c>
      <c r="G2678" s="10" t="s">
        <v>8610</v>
      </c>
      <c r="H2678" s="10" t="s">
        <v>8611</v>
      </c>
      <c r="I2678" s="9"/>
      <c r="J2678" s="370"/>
      <c r="K2678" s="10" t="s">
        <v>8648</v>
      </c>
      <c r="L2678" s="10" t="s">
        <v>8649</v>
      </c>
      <c r="M2678" s="10" t="s">
        <v>8652</v>
      </c>
      <c r="N2678" s="16"/>
      <c r="O2678" s="16"/>
      <c r="P2678" s="16">
        <v>1</v>
      </c>
      <c r="Q2678" s="16"/>
      <c r="R2678" s="16"/>
      <c r="S2678" s="16"/>
      <c r="T2678" s="10" t="s">
        <v>1035</v>
      </c>
      <c r="U2678" t="str">
        <f>VLOOKUP(T2678,[8]Votes!$A$1:$E$234,3,FALSE)</f>
        <v>017 Ministry of Energy and Mineral Development</v>
      </c>
      <c r="V2678" t="s">
        <v>8653</v>
      </c>
      <c r="W2678" s="369">
        <v>1</v>
      </c>
      <c r="X2678" s="369">
        <v>0</v>
      </c>
      <c r="Y2678" s="369">
        <v>1</v>
      </c>
      <c r="Z2678" s="369">
        <v>1</v>
      </c>
      <c r="AA2678" s="369">
        <v>1</v>
      </c>
      <c r="AB2678" s="369">
        <v>0</v>
      </c>
      <c r="AC2678" s="369">
        <v>1</v>
      </c>
      <c r="AD2678" s="369">
        <v>1</v>
      </c>
      <c r="AE2678" s="49">
        <f t="shared" si="133"/>
        <v>0.75</v>
      </c>
      <c r="AF2678" s="17"/>
      <c r="AG2678" s="17">
        <v>0</v>
      </c>
      <c r="AH2678" s="17">
        <v>0</v>
      </c>
      <c r="AI2678" s="44">
        <v>0</v>
      </c>
      <c r="AJ2678" s="17">
        <v>0</v>
      </c>
      <c r="AK2678" s="153"/>
      <c r="AL2678" s="154"/>
      <c r="AM2678" s="17">
        <f t="shared" si="134"/>
        <v>0</v>
      </c>
      <c r="AN2678" s="44" t="s">
        <v>8476</v>
      </c>
      <c r="AO2678" s="18" t="s">
        <v>1037</v>
      </c>
      <c r="AP2678" t="s">
        <v>8445</v>
      </c>
    </row>
    <row r="2679" spans="1:43" s="10" customFormat="1" hidden="1" x14ac:dyDescent="0.3">
      <c r="A2679" s="367" t="s">
        <v>8317</v>
      </c>
      <c r="B2679" s="10" t="s">
        <v>8318</v>
      </c>
      <c r="C2679" s="368" t="s">
        <v>8580</v>
      </c>
      <c r="D2679" s="10" t="s">
        <v>8581</v>
      </c>
      <c r="E2679" s="10" t="s">
        <v>8582</v>
      </c>
      <c r="F2679" s="10" t="s">
        <v>8583</v>
      </c>
      <c r="G2679" s="10" t="s">
        <v>8610</v>
      </c>
      <c r="H2679" s="10" t="s">
        <v>8611</v>
      </c>
      <c r="I2679" s="9"/>
      <c r="J2679" s="370"/>
      <c r="K2679" s="10" t="s">
        <v>8648</v>
      </c>
      <c r="L2679" s="10" t="s">
        <v>8649</v>
      </c>
      <c r="N2679" s="16"/>
      <c r="O2679" s="16"/>
      <c r="P2679" s="16"/>
      <c r="Q2679" s="16"/>
      <c r="R2679" s="16"/>
      <c r="S2679" s="16"/>
      <c r="U2679" t="e">
        <f>VLOOKUP(T2679,[8]Votes!$A$1:$E$234,3,FALSE)</f>
        <v>#N/A</v>
      </c>
      <c r="V2679" t="s">
        <v>8654</v>
      </c>
      <c r="W2679" s="369">
        <v>1</v>
      </c>
      <c r="X2679" s="369">
        <v>0</v>
      </c>
      <c r="Y2679" s="369">
        <v>0</v>
      </c>
      <c r="Z2679" s="369">
        <v>1</v>
      </c>
      <c r="AA2679" s="369">
        <v>1</v>
      </c>
      <c r="AB2679" s="369">
        <v>0</v>
      </c>
      <c r="AC2679" s="369">
        <v>1</v>
      </c>
      <c r="AD2679" s="369">
        <v>1</v>
      </c>
      <c r="AE2679" s="49">
        <f t="shared" si="133"/>
        <v>0.625</v>
      </c>
      <c r="AF2679" s="17"/>
      <c r="AG2679" s="17">
        <v>0</v>
      </c>
      <c r="AH2679" s="17">
        <v>0</v>
      </c>
      <c r="AI2679" s="44">
        <v>0.4</v>
      </c>
      <c r="AJ2679" s="44">
        <v>0.4</v>
      </c>
      <c r="AK2679" s="151"/>
      <c r="AL2679" s="151"/>
      <c r="AM2679" s="17">
        <f t="shared" si="134"/>
        <v>0</v>
      </c>
      <c r="AN2679" s="44" t="s">
        <v>8476</v>
      </c>
      <c r="AO2679" s="18" t="s">
        <v>1037</v>
      </c>
      <c r="AP2679" t="s">
        <v>8445</v>
      </c>
    </row>
    <row r="2680" spans="1:43" s="10" customFormat="1" x14ac:dyDescent="0.3">
      <c r="A2680" s="367" t="s">
        <v>8317</v>
      </c>
      <c r="B2680" s="10" t="s">
        <v>8318</v>
      </c>
      <c r="C2680" s="368" t="s">
        <v>8580</v>
      </c>
      <c r="D2680" s="10" t="s">
        <v>8581</v>
      </c>
      <c r="E2680" s="10" t="s">
        <v>8582</v>
      </c>
      <c r="F2680" s="10" t="s">
        <v>8583</v>
      </c>
      <c r="G2680" s="10" t="s">
        <v>8655</v>
      </c>
      <c r="H2680" s="10" t="s">
        <v>8656</v>
      </c>
      <c r="I2680" s="9"/>
      <c r="J2680" s="370"/>
      <c r="K2680" s="10" t="s">
        <v>8657</v>
      </c>
      <c r="L2680" s="10" t="s">
        <v>8658</v>
      </c>
      <c r="M2680" s="10" t="s">
        <v>8659</v>
      </c>
      <c r="N2680" s="16">
        <v>0</v>
      </c>
      <c r="O2680" s="16">
        <v>0</v>
      </c>
      <c r="P2680" s="16">
        <v>1</v>
      </c>
      <c r="Q2680" s="16">
        <v>1</v>
      </c>
      <c r="R2680" s="16">
        <v>2</v>
      </c>
      <c r="S2680" s="16">
        <v>1</v>
      </c>
      <c r="T2680" s="10" t="s">
        <v>8660</v>
      </c>
      <c r="U2680" t="e">
        <f>VLOOKUP(T2680,[8]Votes!$A$1:$E$234,3,FALSE)</f>
        <v>#N/A</v>
      </c>
      <c r="V2680" t="s">
        <v>8661</v>
      </c>
      <c r="W2680" s="369">
        <v>1</v>
      </c>
      <c r="X2680" s="369">
        <v>1</v>
      </c>
      <c r="Y2680" s="369">
        <v>1</v>
      </c>
      <c r="Z2680" s="369">
        <v>1</v>
      </c>
      <c r="AA2680" s="369">
        <v>1</v>
      </c>
      <c r="AB2680" s="369">
        <v>0</v>
      </c>
      <c r="AC2680" s="369">
        <v>1</v>
      </c>
      <c r="AD2680" s="369">
        <v>1</v>
      </c>
      <c r="AE2680" s="49">
        <f t="shared" si="133"/>
        <v>0.875</v>
      </c>
      <c r="AF2680" s="44"/>
      <c r="AG2680" s="17">
        <v>0</v>
      </c>
      <c r="AH2680" s="44">
        <v>3.5</v>
      </c>
      <c r="AI2680" s="44">
        <v>3.5</v>
      </c>
      <c r="AJ2680" s="44">
        <v>3.5</v>
      </c>
      <c r="AK2680" s="151"/>
      <c r="AL2680" s="151"/>
      <c r="AM2680" s="17">
        <f t="shared" si="134"/>
        <v>0</v>
      </c>
      <c r="AN2680" s="44" t="s">
        <v>8555</v>
      </c>
      <c r="AO2680" s="18" t="s">
        <v>1037</v>
      </c>
      <c r="AP2680" t="s">
        <v>3605</v>
      </c>
    </row>
    <row r="2681" spans="1:43" s="10" customFormat="1" x14ac:dyDescent="0.3">
      <c r="A2681" s="367" t="s">
        <v>8317</v>
      </c>
      <c r="B2681" s="10" t="s">
        <v>8318</v>
      </c>
      <c r="C2681" s="368" t="s">
        <v>8580</v>
      </c>
      <c r="D2681" s="10" t="s">
        <v>8581</v>
      </c>
      <c r="E2681" s="10" t="s">
        <v>8582</v>
      </c>
      <c r="F2681" s="10" t="s">
        <v>8583</v>
      </c>
      <c r="G2681" s="10" t="s">
        <v>8655</v>
      </c>
      <c r="H2681" s="10" t="s">
        <v>8656</v>
      </c>
      <c r="I2681" s="9"/>
      <c r="J2681" s="370"/>
      <c r="K2681" s="10" t="s">
        <v>8657</v>
      </c>
      <c r="L2681" s="10" t="s">
        <v>8658</v>
      </c>
      <c r="N2681" s="16"/>
      <c r="O2681" s="16"/>
      <c r="P2681" s="16"/>
      <c r="Q2681" s="16"/>
      <c r="R2681" s="16"/>
      <c r="S2681" s="16"/>
      <c r="U2681" t="e">
        <f>VLOOKUP(T2681,[8]Votes!$A$1:$E$234,3,FALSE)</f>
        <v>#N/A</v>
      </c>
      <c r="V2681" t="s">
        <v>8662</v>
      </c>
      <c r="W2681" s="369">
        <v>1</v>
      </c>
      <c r="X2681" s="369">
        <v>1</v>
      </c>
      <c r="Y2681" s="369">
        <v>1</v>
      </c>
      <c r="Z2681" s="369">
        <v>1</v>
      </c>
      <c r="AA2681" s="369">
        <v>1</v>
      </c>
      <c r="AB2681" s="369">
        <v>0</v>
      </c>
      <c r="AC2681" s="369">
        <v>1</v>
      </c>
      <c r="AD2681" s="369">
        <v>1</v>
      </c>
      <c r="AE2681" s="49">
        <f t="shared" si="133"/>
        <v>0.875</v>
      </c>
      <c r="AF2681" s="17"/>
      <c r="AG2681" s="17">
        <v>0</v>
      </c>
      <c r="AH2681" s="17">
        <v>0</v>
      </c>
      <c r="AI2681" s="17">
        <v>0</v>
      </c>
      <c r="AJ2681" s="17">
        <v>0</v>
      </c>
      <c r="AK2681" s="153">
        <v>0</v>
      </c>
      <c r="AL2681" s="154">
        <v>0</v>
      </c>
      <c r="AM2681" s="17">
        <f t="shared" si="134"/>
        <v>0</v>
      </c>
      <c r="AN2681" s="44" t="s">
        <v>8555</v>
      </c>
      <c r="AO2681" s="18" t="s">
        <v>1037</v>
      </c>
      <c r="AP2681" t="s">
        <v>3605</v>
      </c>
    </row>
    <row r="2682" spans="1:43" s="10" customFormat="1" x14ac:dyDescent="0.3">
      <c r="A2682" s="367" t="s">
        <v>8317</v>
      </c>
      <c r="B2682" s="10" t="s">
        <v>8318</v>
      </c>
      <c r="C2682" s="368" t="s">
        <v>8580</v>
      </c>
      <c r="D2682" s="10" t="s">
        <v>8581</v>
      </c>
      <c r="E2682" s="10" t="s">
        <v>8582</v>
      </c>
      <c r="F2682" s="10" t="s">
        <v>8583</v>
      </c>
      <c r="G2682" s="10" t="s">
        <v>8655</v>
      </c>
      <c r="H2682" s="10" t="s">
        <v>8656</v>
      </c>
      <c r="I2682" s="9"/>
      <c r="J2682" s="370"/>
      <c r="K2682" s="10" t="s">
        <v>8657</v>
      </c>
      <c r="L2682" s="10" t="s">
        <v>8658</v>
      </c>
      <c r="N2682" s="16"/>
      <c r="O2682" s="16"/>
      <c r="P2682" s="16"/>
      <c r="Q2682" s="16"/>
      <c r="R2682" s="16"/>
      <c r="S2682" s="16"/>
      <c r="U2682" t="e">
        <f>VLOOKUP(T2682,[8]Votes!$A$1:$E$234,3,FALSE)</f>
        <v>#N/A</v>
      </c>
      <c r="V2682" t="s">
        <v>8663</v>
      </c>
      <c r="W2682" s="369">
        <v>1</v>
      </c>
      <c r="X2682" s="369">
        <v>1</v>
      </c>
      <c r="Y2682" s="369">
        <v>1</v>
      </c>
      <c r="Z2682" s="369">
        <v>1</v>
      </c>
      <c r="AA2682" s="369">
        <v>1</v>
      </c>
      <c r="AB2682" s="369">
        <v>1</v>
      </c>
      <c r="AC2682" s="369">
        <v>1</v>
      </c>
      <c r="AD2682" s="369">
        <v>1</v>
      </c>
      <c r="AE2682" s="49">
        <f t="shared" si="133"/>
        <v>1</v>
      </c>
      <c r="AF2682" s="17">
        <v>1</v>
      </c>
      <c r="AG2682" s="17">
        <v>0</v>
      </c>
      <c r="AH2682" s="17">
        <v>0</v>
      </c>
      <c r="AI2682" s="17">
        <v>0</v>
      </c>
      <c r="AJ2682" s="17">
        <v>0</v>
      </c>
      <c r="AK2682" s="153">
        <v>2</v>
      </c>
      <c r="AL2682" s="154">
        <v>2</v>
      </c>
      <c r="AM2682" s="17">
        <f t="shared" si="134"/>
        <v>4</v>
      </c>
      <c r="AN2682" s="44" t="s">
        <v>3605</v>
      </c>
      <c r="AO2682" s="18" t="s">
        <v>4178</v>
      </c>
      <c r="AP2682" t="s">
        <v>1035</v>
      </c>
    </row>
    <row r="2683" spans="1:43" s="10" customFormat="1" x14ac:dyDescent="0.3">
      <c r="A2683" s="367" t="s">
        <v>8317</v>
      </c>
      <c r="B2683" s="10" t="s">
        <v>8318</v>
      </c>
      <c r="C2683" s="368" t="s">
        <v>8580</v>
      </c>
      <c r="D2683" s="10" t="s">
        <v>8581</v>
      </c>
      <c r="E2683" s="10" t="s">
        <v>8582</v>
      </c>
      <c r="F2683" s="10" t="s">
        <v>8583</v>
      </c>
      <c r="G2683" s="10" t="s">
        <v>8655</v>
      </c>
      <c r="H2683" s="10" t="s">
        <v>8656</v>
      </c>
      <c r="I2683" s="9"/>
      <c r="J2683" s="370"/>
      <c r="K2683" s="10" t="s">
        <v>8657</v>
      </c>
      <c r="L2683" s="10" t="s">
        <v>8658</v>
      </c>
      <c r="N2683" s="16"/>
      <c r="O2683" s="16"/>
      <c r="P2683" s="16"/>
      <c r="Q2683" s="16"/>
      <c r="R2683" s="16"/>
      <c r="S2683" s="16"/>
      <c r="U2683" t="e">
        <f>VLOOKUP(T2683,[8]Votes!$A$1:$E$234,3,FALSE)</f>
        <v>#N/A</v>
      </c>
      <c r="V2683" t="s">
        <v>8664</v>
      </c>
      <c r="W2683" s="369">
        <v>1</v>
      </c>
      <c r="X2683" s="369">
        <v>1</v>
      </c>
      <c r="Y2683" s="369">
        <v>1</v>
      </c>
      <c r="Z2683" s="369">
        <v>1</v>
      </c>
      <c r="AA2683" s="369">
        <v>1</v>
      </c>
      <c r="AB2683" s="369">
        <v>1</v>
      </c>
      <c r="AC2683" s="369">
        <v>1</v>
      </c>
      <c r="AD2683" s="369">
        <v>1</v>
      </c>
      <c r="AE2683" s="49">
        <f t="shared" si="133"/>
        <v>1</v>
      </c>
      <c r="AF2683" s="17"/>
      <c r="AG2683" s="17">
        <v>0</v>
      </c>
      <c r="AH2683" s="17">
        <v>0</v>
      </c>
      <c r="AI2683" s="17">
        <v>0</v>
      </c>
      <c r="AJ2683" s="17">
        <v>0</v>
      </c>
      <c r="AK2683" s="153"/>
      <c r="AL2683" s="154"/>
      <c r="AM2683" s="17">
        <f t="shared" si="134"/>
        <v>0</v>
      </c>
      <c r="AN2683" s="44" t="s">
        <v>570</v>
      </c>
      <c r="AO2683" s="18" t="s">
        <v>2875</v>
      </c>
      <c r="AP2683" t="s">
        <v>8665</v>
      </c>
    </row>
    <row r="2684" spans="1:43" s="10" customFormat="1" x14ac:dyDescent="0.3">
      <c r="A2684" s="367" t="s">
        <v>8317</v>
      </c>
      <c r="B2684" s="10" t="s">
        <v>8318</v>
      </c>
      <c r="C2684" s="368" t="s">
        <v>8580</v>
      </c>
      <c r="D2684" s="10" t="s">
        <v>8581</v>
      </c>
      <c r="E2684" s="10" t="s">
        <v>8582</v>
      </c>
      <c r="F2684" s="10" t="s">
        <v>8583</v>
      </c>
      <c r="G2684" s="10" t="s">
        <v>8655</v>
      </c>
      <c r="H2684" s="10" t="s">
        <v>8656</v>
      </c>
      <c r="I2684" s="9"/>
      <c r="J2684" s="370"/>
      <c r="K2684" s="10" t="s">
        <v>8657</v>
      </c>
      <c r="L2684" s="10" t="s">
        <v>8658</v>
      </c>
      <c r="N2684" s="16"/>
      <c r="O2684" s="16"/>
      <c r="P2684" s="16"/>
      <c r="Q2684" s="16"/>
      <c r="R2684" s="16"/>
      <c r="S2684" s="16"/>
      <c r="U2684" t="e">
        <f>VLOOKUP(T2684,[8]Votes!$A$1:$E$234,3,FALSE)</f>
        <v>#N/A</v>
      </c>
      <c r="V2684" t="s">
        <v>8666</v>
      </c>
      <c r="W2684" s="369">
        <v>1</v>
      </c>
      <c r="X2684" s="369">
        <v>1</v>
      </c>
      <c r="Y2684" s="369">
        <v>0</v>
      </c>
      <c r="Z2684" s="369">
        <v>1</v>
      </c>
      <c r="AA2684" s="369">
        <v>1</v>
      </c>
      <c r="AB2684" s="369">
        <v>1</v>
      </c>
      <c r="AC2684" s="369">
        <v>0</v>
      </c>
      <c r="AD2684" s="369">
        <v>1</v>
      </c>
      <c r="AE2684" s="49">
        <f t="shared" si="133"/>
        <v>0.75</v>
      </c>
      <c r="AF2684" s="17"/>
      <c r="AG2684" s="17">
        <v>0</v>
      </c>
      <c r="AH2684" s="17">
        <v>0</v>
      </c>
      <c r="AI2684" s="17">
        <v>0</v>
      </c>
      <c r="AJ2684" s="17">
        <v>0</v>
      </c>
      <c r="AK2684" s="153">
        <v>0.5</v>
      </c>
      <c r="AL2684" s="154">
        <v>0.01</v>
      </c>
      <c r="AM2684" s="17">
        <f t="shared" si="134"/>
        <v>0.51</v>
      </c>
      <c r="AN2684" s="44" t="s">
        <v>8555</v>
      </c>
      <c r="AO2684" s="18" t="s">
        <v>1037</v>
      </c>
      <c r="AP2684" t="s">
        <v>1035</v>
      </c>
    </row>
    <row r="2685" spans="1:43" s="10" customFormat="1" x14ac:dyDescent="0.3">
      <c r="A2685" s="367" t="s">
        <v>8317</v>
      </c>
      <c r="B2685" s="10" t="s">
        <v>8318</v>
      </c>
      <c r="C2685" s="368" t="s">
        <v>8580</v>
      </c>
      <c r="D2685" s="10" t="s">
        <v>8581</v>
      </c>
      <c r="E2685" s="10" t="s">
        <v>8582</v>
      </c>
      <c r="F2685" s="10" t="s">
        <v>8583</v>
      </c>
      <c r="G2685" s="10" t="s">
        <v>8655</v>
      </c>
      <c r="H2685" s="10" t="s">
        <v>8656</v>
      </c>
      <c r="I2685" s="9"/>
      <c r="J2685" s="370"/>
      <c r="K2685" s="10" t="s">
        <v>8657</v>
      </c>
      <c r="L2685" s="10" t="s">
        <v>8658</v>
      </c>
      <c r="N2685" s="16"/>
      <c r="O2685" s="16"/>
      <c r="P2685" s="16"/>
      <c r="Q2685" s="16"/>
      <c r="R2685" s="16"/>
      <c r="S2685" s="16"/>
      <c r="U2685" t="e">
        <f>VLOOKUP(T2685,[8]Votes!$A$1:$E$234,3,FALSE)</f>
        <v>#N/A</v>
      </c>
      <c r="V2685" t="s">
        <v>8667</v>
      </c>
      <c r="W2685" s="369">
        <v>1</v>
      </c>
      <c r="X2685" s="369">
        <v>1</v>
      </c>
      <c r="Y2685" s="369">
        <v>1</v>
      </c>
      <c r="Z2685" s="369">
        <v>1</v>
      </c>
      <c r="AA2685" s="369">
        <v>1</v>
      </c>
      <c r="AB2685" s="369">
        <v>1</v>
      </c>
      <c r="AC2685" s="369">
        <v>1</v>
      </c>
      <c r="AD2685" s="369">
        <v>1</v>
      </c>
      <c r="AE2685" s="49">
        <f t="shared" si="133"/>
        <v>1</v>
      </c>
      <c r="AF2685" s="17"/>
      <c r="AG2685" s="17">
        <v>0</v>
      </c>
      <c r="AH2685" s="17">
        <v>0</v>
      </c>
      <c r="AI2685" s="17">
        <v>0</v>
      </c>
      <c r="AJ2685" s="17">
        <v>0</v>
      </c>
      <c r="AK2685" s="153">
        <v>0</v>
      </c>
      <c r="AL2685" s="154">
        <v>0</v>
      </c>
      <c r="AM2685" s="17">
        <f t="shared" si="134"/>
        <v>0</v>
      </c>
      <c r="AN2685" s="44" t="s">
        <v>8555</v>
      </c>
      <c r="AO2685" s="18" t="s">
        <v>1037</v>
      </c>
      <c r="AP2685" t="s">
        <v>8668</v>
      </c>
    </row>
    <row r="2686" spans="1:43" s="10" customFormat="1" x14ac:dyDescent="0.3">
      <c r="A2686" s="367" t="s">
        <v>8317</v>
      </c>
      <c r="B2686" s="10" t="s">
        <v>8318</v>
      </c>
      <c r="C2686" s="368" t="s">
        <v>8580</v>
      </c>
      <c r="D2686" s="10" t="s">
        <v>8581</v>
      </c>
      <c r="E2686" s="10" t="s">
        <v>8582</v>
      </c>
      <c r="F2686" s="10" t="s">
        <v>8583</v>
      </c>
      <c r="G2686" s="10" t="s">
        <v>8655</v>
      </c>
      <c r="H2686" s="10" t="s">
        <v>8656</v>
      </c>
      <c r="I2686" s="9"/>
      <c r="J2686" s="370"/>
      <c r="K2686" s="10" t="s">
        <v>8657</v>
      </c>
      <c r="L2686" s="10" t="s">
        <v>8658</v>
      </c>
      <c r="N2686" s="16"/>
      <c r="O2686" s="16"/>
      <c r="P2686" s="16"/>
      <c r="Q2686" s="16"/>
      <c r="R2686" s="16"/>
      <c r="S2686" s="16"/>
      <c r="U2686" t="e">
        <f>VLOOKUP(T2686,[8]Votes!$A$1:$E$234,3,FALSE)</f>
        <v>#N/A</v>
      </c>
      <c r="V2686" t="s">
        <v>8669</v>
      </c>
      <c r="W2686" s="369">
        <v>1</v>
      </c>
      <c r="X2686" s="369">
        <v>1</v>
      </c>
      <c r="Y2686" s="369">
        <v>1</v>
      </c>
      <c r="Z2686" s="369">
        <v>1</v>
      </c>
      <c r="AA2686" s="369">
        <v>1</v>
      </c>
      <c r="AB2686" s="369">
        <v>0</v>
      </c>
      <c r="AC2686" s="369">
        <v>0</v>
      </c>
      <c r="AD2686" s="369">
        <v>1</v>
      </c>
      <c r="AE2686" s="49">
        <f t="shared" si="133"/>
        <v>0.75</v>
      </c>
      <c r="AF2686" s="17"/>
      <c r="AG2686" s="17">
        <v>0</v>
      </c>
      <c r="AH2686" s="17">
        <v>0</v>
      </c>
      <c r="AI2686" s="17">
        <v>0</v>
      </c>
      <c r="AJ2686" s="17">
        <v>0</v>
      </c>
      <c r="AK2686" s="153"/>
      <c r="AL2686" s="154"/>
      <c r="AM2686" s="17">
        <f t="shared" si="134"/>
        <v>0</v>
      </c>
      <c r="AN2686" s="44" t="s">
        <v>8555</v>
      </c>
      <c r="AO2686" s="18" t="s">
        <v>1037</v>
      </c>
      <c r="AP2686" t="s">
        <v>1035</v>
      </c>
    </row>
    <row r="2687" spans="1:43" s="10" customFormat="1" x14ac:dyDescent="0.3">
      <c r="A2687" s="367" t="s">
        <v>8317</v>
      </c>
      <c r="B2687" s="10" t="s">
        <v>8318</v>
      </c>
      <c r="C2687" s="368" t="s">
        <v>8580</v>
      </c>
      <c r="D2687" s="10" t="s">
        <v>8581</v>
      </c>
      <c r="E2687" s="10" t="s">
        <v>8582</v>
      </c>
      <c r="F2687" s="10" t="s">
        <v>8583</v>
      </c>
      <c r="G2687" s="10" t="s">
        <v>8655</v>
      </c>
      <c r="H2687" s="10" t="s">
        <v>8656</v>
      </c>
      <c r="I2687" s="9"/>
      <c r="J2687" s="370"/>
      <c r="K2687" s="10" t="s">
        <v>8657</v>
      </c>
      <c r="L2687" s="10" t="s">
        <v>8658</v>
      </c>
      <c r="N2687" s="16"/>
      <c r="O2687" s="16"/>
      <c r="P2687" s="16"/>
      <c r="Q2687" s="16"/>
      <c r="R2687" s="16"/>
      <c r="S2687" s="16"/>
      <c r="U2687" t="e">
        <f>VLOOKUP(T2687,[8]Votes!$A$1:$E$234,3,FALSE)</f>
        <v>#N/A</v>
      </c>
      <c r="V2687" t="s">
        <v>8670</v>
      </c>
      <c r="W2687" s="369">
        <v>1</v>
      </c>
      <c r="X2687" s="369">
        <v>1</v>
      </c>
      <c r="Y2687" s="369">
        <v>0</v>
      </c>
      <c r="Z2687" s="369">
        <v>1</v>
      </c>
      <c r="AA2687" s="369">
        <v>1</v>
      </c>
      <c r="AB2687" s="369">
        <v>1</v>
      </c>
      <c r="AC2687" s="369">
        <v>1</v>
      </c>
      <c r="AD2687" s="369">
        <v>1</v>
      </c>
      <c r="AE2687" s="49">
        <f t="shared" si="133"/>
        <v>0.875</v>
      </c>
      <c r="AF2687" s="17"/>
      <c r="AG2687" s="17">
        <v>0</v>
      </c>
      <c r="AH2687" s="17">
        <v>0</v>
      </c>
      <c r="AI2687" s="17">
        <v>0</v>
      </c>
      <c r="AJ2687" s="17">
        <v>0</v>
      </c>
      <c r="AK2687" s="153">
        <v>0</v>
      </c>
      <c r="AL2687" s="154">
        <v>0</v>
      </c>
      <c r="AM2687" s="17">
        <f t="shared" si="134"/>
        <v>0</v>
      </c>
      <c r="AN2687" s="44" t="s">
        <v>8555</v>
      </c>
      <c r="AO2687" s="18" t="s">
        <v>1037</v>
      </c>
      <c r="AP2687" t="s">
        <v>8671</v>
      </c>
    </row>
    <row r="2688" spans="1:43" s="10" customFormat="1" x14ac:dyDescent="0.3">
      <c r="A2688" s="367" t="s">
        <v>8317</v>
      </c>
      <c r="B2688" s="10" t="s">
        <v>8318</v>
      </c>
      <c r="C2688" s="368" t="s">
        <v>8580</v>
      </c>
      <c r="D2688" s="10" t="s">
        <v>8581</v>
      </c>
      <c r="E2688" s="10" t="s">
        <v>8582</v>
      </c>
      <c r="F2688" s="10" t="s">
        <v>8583</v>
      </c>
      <c r="G2688" s="10" t="s">
        <v>8655</v>
      </c>
      <c r="H2688" s="10" t="s">
        <v>8656</v>
      </c>
      <c r="I2688" s="9"/>
      <c r="J2688" s="370"/>
      <c r="K2688" s="10" t="s">
        <v>8657</v>
      </c>
      <c r="L2688" s="10" t="s">
        <v>8658</v>
      </c>
      <c r="N2688" s="16"/>
      <c r="O2688" s="16"/>
      <c r="P2688" s="16"/>
      <c r="Q2688" s="16"/>
      <c r="R2688" s="16"/>
      <c r="S2688" s="16"/>
      <c r="U2688" t="e">
        <f>VLOOKUP(T2688,[8]Votes!$A$1:$E$234,3,FALSE)</f>
        <v>#N/A</v>
      </c>
      <c r="V2688" t="s">
        <v>8672</v>
      </c>
      <c r="W2688" s="369">
        <v>1</v>
      </c>
      <c r="X2688" s="369">
        <v>1</v>
      </c>
      <c r="Y2688" s="369">
        <v>0</v>
      </c>
      <c r="Z2688" s="369">
        <v>1</v>
      </c>
      <c r="AA2688" s="369">
        <v>1</v>
      </c>
      <c r="AB2688" s="369">
        <v>1</v>
      </c>
      <c r="AC2688" s="369">
        <v>1</v>
      </c>
      <c r="AD2688" s="369">
        <v>1</v>
      </c>
      <c r="AE2688" s="49">
        <f t="shared" si="133"/>
        <v>0.875</v>
      </c>
      <c r="AF2688" s="17"/>
      <c r="AG2688" s="17">
        <v>0</v>
      </c>
      <c r="AH2688" s="17">
        <v>0</v>
      </c>
      <c r="AI2688" s="17">
        <v>0</v>
      </c>
      <c r="AJ2688" s="17">
        <v>0</v>
      </c>
      <c r="AK2688" s="153">
        <v>1</v>
      </c>
      <c r="AL2688" s="154">
        <v>1</v>
      </c>
      <c r="AM2688" s="17">
        <f t="shared" si="134"/>
        <v>2</v>
      </c>
      <c r="AN2688" s="44" t="s">
        <v>8555</v>
      </c>
      <c r="AO2688" s="18" t="s">
        <v>1037</v>
      </c>
      <c r="AP2688" t="s">
        <v>8673</v>
      </c>
    </row>
    <row r="2689" spans="1:44" s="10" customFormat="1" x14ac:dyDescent="0.3">
      <c r="A2689" s="367" t="s">
        <v>8317</v>
      </c>
      <c r="B2689" s="10" t="s">
        <v>8318</v>
      </c>
      <c r="C2689" s="368" t="s">
        <v>8580</v>
      </c>
      <c r="D2689" s="10" t="s">
        <v>8581</v>
      </c>
      <c r="E2689" s="10" t="s">
        <v>8582</v>
      </c>
      <c r="F2689" s="10" t="s">
        <v>8583</v>
      </c>
      <c r="G2689" s="10" t="s">
        <v>8655</v>
      </c>
      <c r="H2689" s="10" t="s">
        <v>8656</v>
      </c>
      <c r="I2689" s="9"/>
      <c r="J2689" s="370"/>
      <c r="K2689" s="10" t="s">
        <v>8657</v>
      </c>
      <c r="L2689" s="10" t="s">
        <v>8658</v>
      </c>
      <c r="N2689" s="16"/>
      <c r="O2689" s="16"/>
      <c r="P2689" s="16"/>
      <c r="Q2689" s="16"/>
      <c r="R2689" s="16"/>
      <c r="S2689" s="16"/>
      <c r="U2689" t="e">
        <f>VLOOKUP(T2689,[8]Votes!$A$1:$E$234,3,FALSE)</f>
        <v>#N/A</v>
      </c>
      <c r="V2689" t="s">
        <v>8674</v>
      </c>
      <c r="W2689" s="369">
        <v>1</v>
      </c>
      <c r="X2689" s="369">
        <v>0</v>
      </c>
      <c r="Y2689" s="369">
        <v>1</v>
      </c>
      <c r="Z2689" s="369">
        <v>1</v>
      </c>
      <c r="AA2689" s="369">
        <v>1</v>
      </c>
      <c r="AB2689" s="369">
        <v>1</v>
      </c>
      <c r="AC2689" s="369">
        <v>0</v>
      </c>
      <c r="AD2689" s="369">
        <v>1</v>
      </c>
      <c r="AE2689" s="49">
        <f t="shared" si="133"/>
        <v>0.75</v>
      </c>
      <c r="AF2689" s="17"/>
      <c r="AG2689" s="17">
        <v>0</v>
      </c>
      <c r="AH2689" s="17">
        <v>0</v>
      </c>
      <c r="AI2689" s="17">
        <v>0</v>
      </c>
      <c r="AJ2689" s="17">
        <v>0</v>
      </c>
      <c r="AK2689" s="153"/>
      <c r="AL2689" s="154"/>
      <c r="AM2689" s="17">
        <f t="shared" si="134"/>
        <v>0</v>
      </c>
      <c r="AN2689" s="44" t="s">
        <v>8555</v>
      </c>
      <c r="AO2689" s="18" t="s">
        <v>1037</v>
      </c>
      <c r="AP2689" t="s">
        <v>1035</v>
      </c>
    </row>
    <row r="2690" spans="1:44" s="10" customFormat="1" x14ac:dyDescent="0.3">
      <c r="A2690" s="367" t="s">
        <v>8317</v>
      </c>
      <c r="B2690" s="10" t="s">
        <v>8318</v>
      </c>
      <c r="C2690" s="368" t="s">
        <v>8580</v>
      </c>
      <c r="D2690" s="10" t="s">
        <v>8581</v>
      </c>
      <c r="E2690" s="10" t="s">
        <v>8582</v>
      </c>
      <c r="F2690" s="10" t="s">
        <v>8583</v>
      </c>
      <c r="G2690" s="10" t="s">
        <v>8655</v>
      </c>
      <c r="H2690" s="10" t="s">
        <v>8656</v>
      </c>
      <c r="I2690" s="9"/>
      <c r="J2690" s="370"/>
      <c r="K2690" s="10" t="s">
        <v>8657</v>
      </c>
      <c r="L2690" s="10" t="s">
        <v>8658</v>
      </c>
      <c r="N2690" s="16"/>
      <c r="O2690" s="16"/>
      <c r="P2690" s="16"/>
      <c r="Q2690" s="16"/>
      <c r="R2690" s="16"/>
      <c r="S2690" s="16"/>
      <c r="U2690" t="e">
        <f>VLOOKUP(T2690,[8]Votes!$A$1:$E$234,3,FALSE)</f>
        <v>#N/A</v>
      </c>
      <c r="V2690" t="s">
        <v>8675</v>
      </c>
      <c r="W2690" s="369">
        <v>1</v>
      </c>
      <c r="X2690" s="369">
        <v>0</v>
      </c>
      <c r="Y2690" s="369">
        <v>1</v>
      </c>
      <c r="Z2690" s="369">
        <v>1</v>
      </c>
      <c r="AA2690" s="369">
        <v>1</v>
      </c>
      <c r="AB2690" s="369">
        <v>1</v>
      </c>
      <c r="AC2690" s="369">
        <v>0</v>
      </c>
      <c r="AD2690" s="369">
        <v>1</v>
      </c>
      <c r="AE2690" s="49">
        <f t="shared" si="133"/>
        <v>0.75</v>
      </c>
      <c r="AF2690" s="17"/>
      <c r="AG2690" s="17">
        <v>0</v>
      </c>
      <c r="AH2690" s="17">
        <v>0</v>
      </c>
      <c r="AI2690" s="17">
        <v>0</v>
      </c>
      <c r="AJ2690" s="17">
        <v>0</v>
      </c>
      <c r="AK2690" s="153">
        <v>1</v>
      </c>
      <c r="AL2690" s="154">
        <v>1</v>
      </c>
      <c r="AM2690" s="17">
        <f t="shared" si="134"/>
        <v>2</v>
      </c>
      <c r="AN2690" s="44" t="s">
        <v>2172</v>
      </c>
      <c r="AO2690" s="18" t="s">
        <v>2236</v>
      </c>
      <c r="AP2690" t="s">
        <v>8665</v>
      </c>
    </row>
    <row r="2691" spans="1:44" s="10" customFormat="1" x14ac:dyDescent="0.3">
      <c r="A2691" s="367" t="s">
        <v>8317</v>
      </c>
      <c r="B2691" s="10" t="s">
        <v>8318</v>
      </c>
      <c r="C2691" s="368" t="s">
        <v>8580</v>
      </c>
      <c r="D2691" s="10" t="s">
        <v>8581</v>
      </c>
      <c r="E2691" s="10" t="s">
        <v>8582</v>
      </c>
      <c r="F2691" s="10" t="s">
        <v>8583</v>
      </c>
      <c r="G2691" s="10" t="s">
        <v>8655</v>
      </c>
      <c r="H2691" s="10" t="s">
        <v>8656</v>
      </c>
      <c r="I2691" s="9"/>
      <c r="J2691" s="370"/>
      <c r="K2691" s="10" t="s">
        <v>8657</v>
      </c>
      <c r="L2691" s="10" t="s">
        <v>8658</v>
      </c>
      <c r="N2691" s="16"/>
      <c r="O2691" s="16"/>
      <c r="P2691" s="16"/>
      <c r="Q2691" s="16"/>
      <c r="R2691" s="16"/>
      <c r="S2691" s="16"/>
      <c r="U2691" t="e">
        <f>VLOOKUP(T2691,[8]Votes!$A$1:$E$234,3,FALSE)</f>
        <v>#N/A</v>
      </c>
      <c r="V2691" t="s">
        <v>8676</v>
      </c>
      <c r="W2691" s="369">
        <v>1</v>
      </c>
      <c r="X2691" s="369">
        <v>0</v>
      </c>
      <c r="Y2691" s="369">
        <v>1</v>
      </c>
      <c r="Z2691" s="369">
        <v>1</v>
      </c>
      <c r="AA2691" s="369">
        <v>1</v>
      </c>
      <c r="AB2691" s="369">
        <v>0</v>
      </c>
      <c r="AC2691" s="369">
        <v>1</v>
      </c>
      <c r="AD2691" s="369">
        <v>1</v>
      </c>
      <c r="AE2691" s="49">
        <f t="shared" si="133"/>
        <v>0.75</v>
      </c>
      <c r="AF2691" s="17"/>
      <c r="AG2691" s="17">
        <v>0</v>
      </c>
      <c r="AH2691" s="17">
        <v>0</v>
      </c>
      <c r="AI2691" s="17">
        <v>0</v>
      </c>
      <c r="AJ2691" s="17">
        <v>0</v>
      </c>
      <c r="AK2691" s="153">
        <v>0</v>
      </c>
      <c r="AL2691" s="154">
        <v>0</v>
      </c>
      <c r="AM2691" s="17">
        <f t="shared" si="134"/>
        <v>0</v>
      </c>
      <c r="AN2691" s="44" t="s">
        <v>8555</v>
      </c>
      <c r="AO2691" s="18" t="s">
        <v>1037</v>
      </c>
      <c r="AP2691" t="s">
        <v>8677</v>
      </c>
    </row>
    <row r="2692" spans="1:44" s="10" customFormat="1" x14ac:dyDescent="0.3">
      <c r="A2692" s="367" t="s">
        <v>8317</v>
      </c>
      <c r="B2692" s="10" t="s">
        <v>8318</v>
      </c>
      <c r="C2692" s="368" t="s">
        <v>8580</v>
      </c>
      <c r="D2692" s="10" t="s">
        <v>8581</v>
      </c>
      <c r="E2692" s="10" t="s">
        <v>8582</v>
      </c>
      <c r="F2692" s="10" t="s">
        <v>8583</v>
      </c>
      <c r="G2692" s="10" t="s">
        <v>8655</v>
      </c>
      <c r="H2692" s="10" t="s">
        <v>8656</v>
      </c>
      <c r="I2692" s="9"/>
      <c r="J2692" s="370"/>
      <c r="K2692" s="10" t="s">
        <v>8657</v>
      </c>
      <c r="L2692" s="10" t="s">
        <v>8658</v>
      </c>
      <c r="N2692" s="16"/>
      <c r="O2692" s="16"/>
      <c r="P2692" s="16"/>
      <c r="Q2692" s="16"/>
      <c r="R2692" s="16"/>
      <c r="S2692" s="16"/>
      <c r="U2692" t="e">
        <f>VLOOKUP(T2692,[8]Votes!$A$1:$E$234,3,FALSE)</f>
        <v>#N/A</v>
      </c>
      <c r="V2692" t="s">
        <v>8678</v>
      </c>
      <c r="W2692" s="369">
        <v>1</v>
      </c>
      <c r="X2692" s="369">
        <v>1</v>
      </c>
      <c r="Y2692" s="369">
        <v>1</v>
      </c>
      <c r="Z2692" s="369">
        <v>1</v>
      </c>
      <c r="AA2692" s="369">
        <v>1</v>
      </c>
      <c r="AB2692" s="369">
        <v>1</v>
      </c>
      <c r="AC2692" s="369">
        <v>1</v>
      </c>
      <c r="AD2692" s="369">
        <v>1</v>
      </c>
      <c r="AE2692" s="49">
        <f t="shared" si="133"/>
        <v>1</v>
      </c>
      <c r="AF2692" s="17"/>
      <c r="AG2692" s="17">
        <v>0</v>
      </c>
      <c r="AH2692" s="17">
        <v>0</v>
      </c>
      <c r="AI2692" s="17">
        <v>0</v>
      </c>
      <c r="AJ2692" s="17">
        <v>0</v>
      </c>
      <c r="AK2692" s="153">
        <v>1</v>
      </c>
      <c r="AL2692" s="154">
        <v>1</v>
      </c>
      <c r="AM2692" s="17">
        <f t="shared" si="134"/>
        <v>2</v>
      </c>
      <c r="AN2692" s="44" t="s">
        <v>8555</v>
      </c>
      <c r="AO2692" s="18" t="s">
        <v>1037</v>
      </c>
      <c r="AP2692" t="s">
        <v>8679</v>
      </c>
    </row>
    <row r="2693" spans="1:44" s="10" customFormat="1" hidden="1" x14ac:dyDescent="0.3">
      <c r="A2693" s="367" t="s">
        <v>8317</v>
      </c>
      <c r="B2693" s="10" t="s">
        <v>8318</v>
      </c>
      <c r="C2693" s="368" t="s">
        <v>8680</v>
      </c>
      <c r="D2693" s="10" t="s">
        <v>8681</v>
      </c>
      <c r="E2693" s="10" t="s">
        <v>8682</v>
      </c>
      <c r="F2693" s="10" t="s">
        <v>8683</v>
      </c>
      <c r="G2693" s="10" t="s">
        <v>8684</v>
      </c>
      <c r="H2693" s="10" t="s">
        <v>8685</v>
      </c>
      <c r="I2693" s="9"/>
      <c r="J2693" s="370"/>
      <c r="K2693" s="10" t="s">
        <v>8686</v>
      </c>
      <c r="L2693" s="10" t="s">
        <v>8687</v>
      </c>
      <c r="M2693" t="s">
        <v>8688</v>
      </c>
      <c r="N2693" s="16">
        <v>12</v>
      </c>
      <c r="O2693" s="16">
        <v>12</v>
      </c>
      <c r="P2693" s="16">
        <v>22</v>
      </c>
      <c r="Q2693" s="16">
        <v>32</v>
      </c>
      <c r="R2693" s="16">
        <v>42</v>
      </c>
      <c r="S2693" s="16">
        <v>52</v>
      </c>
      <c r="T2693" t="s">
        <v>8689</v>
      </c>
      <c r="U2693" t="e">
        <f>VLOOKUP(T2693,[8]Votes!$A$1:$E$234,3,FALSE)</f>
        <v>#N/A</v>
      </c>
      <c r="V2693" t="s">
        <v>8690</v>
      </c>
      <c r="W2693" s="369">
        <v>1</v>
      </c>
      <c r="X2693" s="369">
        <v>0</v>
      </c>
      <c r="Y2693" s="369">
        <v>1</v>
      </c>
      <c r="Z2693" s="369">
        <v>1</v>
      </c>
      <c r="AA2693" s="369">
        <v>1</v>
      </c>
      <c r="AB2693" s="369">
        <v>0</v>
      </c>
      <c r="AC2693" s="369">
        <v>0</v>
      </c>
      <c r="AD2693" s="369">
        <v>1</v>
      </c>
      <c r="AE2693" s="49">
        <f t="shared" si="133"/>
        <v>0.625</v>
      </c>
      <c r="AF2693" s="44"/>
      <c r="AG2693" s="17">
        <v>0</v>
      </c>
      <c r="AH2693" s="44">
        <v>5</v>
      </c>
      <c r="AI2693" s="44">
        <v>5</v>
      </c>
      <c r="AJ2693" s="44">
        <v>10</v>
      </c>
      <c r="AK2693" s="151">
        <v>5</v>
      </c>
      <c r="AL2693" s="151">
        <v>5</v>
      </c>
      <c r="AM2693" s="17">
        <f t="shared" si="134"/>
        <v>10</v>
      </c>
      <c r="AN2693" t="s">
        <v>8476</v>
      </c>
      <c r="AO2693" s="18" t="s">
        <v>1037</v>
      </c>
      <c r="AP2693" t="s">
        <v>119</v>
      </c>
      <c r="AQ2693"/>
      <c r="AR2693"/>
    </row>
    <row r="2694" spans="1:44" s="10" customFormat="1" x14ac:dyDescent="0.3">
      <c r="A2694" s="367" t="s">
        <v>8317</v>
      </c>
      <c r="B2694" s="10" t="s">
        <v>8318</v>
      </c>
      <c r="C2694" s="368" t="s">
        <v>8680</v>
      </c>
      <c r="D2694" s="10" t="s">
        <v>8681</v>
      </c>
      <c r="E2694" s="10" t="s">
        <v>8682</v>
      </c>
      <c r="F2694" s="10" t="s">
        <v>8683</v>
      </c>
      <c r="G2694" s="10" t="s">
        <v>8684</v>
      </c>
      <c r="H2694" s="10" t="s">
        <v>8685</v>
      </c>
      <c r="I2694" s="9"/>
      <c r="J2694" s="370"/>
      <c r="K2694" s="10" t="s">
        <v>8686</v>
      </c>
      <c r="L2694" s="10" t="s">
        <v>8687</v>
      </c>
      <c r="N2694" s="16"/>
      <c r="O2694" s="16"/>
      <c r="P2694" s="16"/>
      <c r="Q2694" s="16"/>
      <c r="R2694" s="16"/>
      <c r="S2694" s="16"/>
      <c r="U2694" t="e">
        <f>VLOOKUP(T2694,[8]Votes!$A$1:$E$234,3,FALSE)</f>
        <v>#N/A</v>
      </c>
      <c r="V2694" t="s">
        <v>8691</v>
      </c>
      <c r="W2694" s="369">
        <v>1</v>
      </c>
      <c r="X2694" s="369">
        <v>1</v>
      </c>
      <c r="Y2694" s="369">
        <v>1</v>
      </c>
      <c r="Z2694" s="369">
        <v>1</v>
      </c>
      <c r="AA2694" s="369">
        <v>1</v>
      </c>
      <c r="AB2694" s="369">
        <v>1</v>
      </c>
      <c r="AC2694" s="369">
        <v>1</v>
      </c>
      <c r="AD2694" s="369">
        <v>1</v>
      </c>
      <c r="AE2694" s="49">
        <f t="shared" si="133"/>
        <v>1</v>
      </c>
      <c r="AF2694" s="17">
        <v>1</v>
      </c>
      <c r="AG2694" s="17">
        <v>0</v>
      </c>
      <c r="AH2694" s="17">
        <v>0</v>
      </c>
      <c r="AI2694" s="17">
        <v>0</v>
      </c>
      <c r="AJ2694" s="17">
        <v>0</v>
      </c>
      <c r="AK2694" s="153">
        <v>1</v>
      </c>
      <c r="AL2694" s="154">
        <v>1</v>
      </c>
      <c r="AM2694" s="17">
        <f t="shared" si="134"/>
        <v>2</v>
      </c>
      <c r="AN2694" s="44" t="s">
        <v>3605</v>
      </c>
      <c r="AO2694" s="18" t="s">
        <v>4178</v>
      </c>
      <c r="AP2694" t="s">
        <v>8445</v>
      </c>
      <c r="AQ2694"/>
      <c r="AR2694"/>
    </row>
    <row r="2695" spans="1:44" s="10" customFormat="1" x14ac:dyDescent="0.3">
      <c r="A2695" s="367" t="s">
        <v>8317</v>
      </c>
      <c r="B2695" s="10" t="s">
        <v>8318</v>
      </c>
      <c r="C2695" s="368" t="s">
        <v>8680</v>
      </c>
      <c r="D2695" s="10" t="s">
        <v>8681</v>
      </c>
      <c r="E2695" s="10" t="s">
        <v>8682</v>
      </c>
      <c r="F2695" s="10" t="s">
        <v>8683</v>
      </c>
      <c r="G2695" s="10" t="s">
        <v>8684</v>
      </c>
      <c r="H2695" s="10" t="s">
        <v>8685</v>
      </c>
      <c r="I2695" s="9"/>
      <c r="J2695" s="370"/>
      <c r="K2695" s="10" t="s">
        <v>8686</v>
      </c>
      <c r="L2695" s="10" t="s">
        <v>8687</v>
      </c>
      <c r="N2695" s="16"/>
      <c r="O2695" s="16"/>
      <c r="P2695" s="16"/>
      <c r="Q2695" s="16"/>
      <c r="R2695" s="16"/>
      <c r="S2695" s="16"/>
      <c r="U2695" t="e">
        <f>VLOOKUP(T2695,[8]Votes!$A$1:$E$234,3,FALSE)</f>
        <v>#N/A</v>
      </c>
      <c r="V2695" t="s">
        <v>8692</v>
      </c>
      <c r="W2695" s="369">
        <v>1</v>
      </c>
      <c r="X2695" s="369">
        <v>1</v>
      </c>
      <c r="Y2695" s="369">
        <v>1</v>
      </c>
      <c r="Z2695" s="369">
        <v>1</v>
      </c>
      <c r="AA2695" s="369">
        <v>1</v>
      </c>
      <c r="AB2695" s="369">
        <v>1</v>
      </c>
      <c r="AC2695" s="369">
        <v>1</v>
      </c>
      <c r="AD2695" s="369">
        <v>1</v>
      </c>
      <c r="AE2695" s="49">
        <f t="shared" si="133"/>
        <v>1</v>
      </c>
      <c r="AF2695" s="17"/>
      <c r="AG2695" s="17">
        <v>0</v>
      </c>
      <c r="AH2695" s="17">
        <v>0</v>
      </c>
      <c r="AI2695" s="17">
        <v>0</v>
      </c>
      <c r="AJ2695" s="17">
        <v>0</v>
      </c>
      <c r="AK2695" s="153">
        <v>1</v>
      </c>
      <c r="AL2695" s="154">
        <v>1</v>
      </c>
      <c r="AM2695" s="17">
        <f t="shared" si="134"/>
        <v>2</v>
      </c>
      <c r="AN2695" s="44" t="s">
        <v>1035</v>
      </c>
      <c r="AO2695" s="18" t="s">
        <v>1037</v>
      </c>
      <c r="AP2695" t="s">
        <v>8436</v>
      </c>
      <c r="AQ2695"/>
      <c r="AR2695"/>
    </row>
    <row r="2696" spans="1:44" s="10" customFormat="1" x14ac:dyDescent="0.3">
      <c r="A2696" s="367" t="s">
        <v>8317</v>
      </c>
      <c r="B2696" s="10" t="s">
        <v>8318</v>
      </c>
      <c r="C2696" s="368" t="s">
        <v>8680</v>
      </c>
      <c r="D2696" s="10" t="s">
        <v>8681</v>
      </c>
      <c r="E2696" s="10" t="s">
        <v>8682</v>
      </c>
      <c r="F2696" s="10" t="s">
        <v>8683</v>
      </c>
      <c r="G2696" s="10" t="s">
        <v>8684</v>
      </c>
      <c r="H2696" s="10" t="s">
        <v>8685</v>
      </c>
      <c r="I2696" s="9"/>
      <c r="J2696" s="370"/>
      <c r="K2696" s="10" t="s">
        <v>8686</v>
      </c>
      <c r="L2696" s="10" t="s">
        <v>8687</v>
      </c>
      <c r="N2696" s="16"/>
      <c r="O2696" s="16"/>
      <c r="P2696" s="16"/>
      <c r="Q2696" s="16"/>
      <c r="R2696" s="16"/>
      <c r="S2696" s="16"/>
      <c r="U2696" t="e">
        <f>VLOOKUP(T2696,[8]Votes!$A$1:$E$234,3,FALSE)</f>
        <v>#N/A</v>
      </c>
      <c r="V2696" t="s">
        <v>8693</v>
      </c>
      <c r="W2696" s="369">
        <v>1</v>
      </c>
      <c r="X2696" s="369">
        <v>1</v>
      </c>
      <c r="Y2696" s="369">
        <v>1</v>
      </c>
      <c r="Z2696" s="369">
        <v>1</v>
      </c>
      <c r="AA2696" s="369">
        <v>1</v>
      </c>
      <c r="AB2696" s="369">
        <v>1</v>
      </c>
      <c r="AC2696" s="369">
        <v>0</v>
      </c>
      <c r="AD2696" s="369">
        <v>1</v>
      </c>
      <c r="AE2696" s="49">
        <f t="shared" si="133"/>
        <v>0.875</v>
      </c>
      <c r="AF2696" s="17"/>
      <c r="AG2696" s="17">
        <v>0</v>
      </c>
      <c r="AH2696" s="17">
        <v>0</v>
      </c>
      <c r="AI2696" s="17">
        <v>0</v>
      </c>
      <c r="AJ2696" s="17">
        <v>0</v>
      </c>
      <c r="AK2696" s="153">
        <v>0</v>
      </c>
      <c r="AL2696" s="154">
        <v>0</v>
      </c>
      <c r="AM2696" s="17">
        <f t="shared" si="134"/>
        <v>0</v>
      </c>
      <c r="AN2696" s="44" t="s">
        <v>921</v>
      </c>
      <c r="AO2696" s="18" t="s">
        <v>880</v>
      </c>
      <c r="AP2696" t="s">
        <v>8694</v>
      </c>
      <c r="AQ2696"/>
      <c r="AR2696"/>
    </row>
    <row r="2697" spans="1:44" s="10" customFormat="1" x14ac:dyDescent="0.3">
      <c r="A2697" s="367" t="s">
        <v>8317</v>
      </c>
      <c r="B2697" s="10" t="s">
        <v>8318</v>
      </c>
      <c r="C2697" s="368" t="s">
        <v>8680</v>
      </c>
      <c r="D2697" s="10" t="s">
        <v>8681</v>
      </c>
      <c r="E2697" s="10" t="s">
        <v>8682</v>
      </c>
      <c r="F2697" s="10" t="s">
        <v>8683</v>
      </c>
      <c r="G2697" s="10" t="s">
        <v>8684</v>
      </c>
      <c r="H2697" s="10" t="s">
        <v>8685</v>
      </c>
      <c r="I2697" s="9"/>
      <c r="J2697" s="370"/>
      <c r="K2697" s="10" t="s">
        <v>8686</v>
      </c>
      <c r="L2697" s="10" t="s">
        <v>8687</v>
      </c>
      <c r="N2697" s="16"/>
      <c r="O2697" s="16"/>
      <c r="P2697" s="16"/>
      <c r="Q2697" s="16"/>
      <c r="R2697" s="16"/>
      <c r="S2697" s="16"/>
      <c r="U2697" t="e">
        <f>VLOOKUP(T2697,[8]Votes!$A$1:$E$234,3,FALSE)</f>
        <v>#N/A</v>
      </c>
      <c r="V2697" t="s">
        <v>8480</v>
      </c>
      <c r="W2697" s="369">
        <v>1</v>
      </c>
      <c r="X2697" s="369">
        <v>1</v>
      </c>
      <c r="Y2697" s="369">
        <v>1</v>
      </c>
      <c r="Z2697" s="369">
        <v>1</v>
      </c>
      <c r="AA2697" s="369">
        <v>1</v>
      </c>
      <c r="AB2697" s="369">
        <v>1</v>
      </c>
      <c r="AC2697" s="369">
        <v>1</v>
      </c>
      <c r="AD2697" s="369">
        <v>1</v>
      </c>
      <c r="AE2697" s="49">
        <f t="shared" si="133"/>
        <v>1</v>
      </c>
      <c r="AF2697" s="17"/>
      <c r="AG2697" s="17">
        <v>0</v>
      </c>
      <c r="AH2697" s="17">
        <v>0</v>
      </c>
      <c r="AI2697" s="17">
        <v>0</v>
      </c>
      <c r="AJ2697" s="17">
        <v>0</v>
      </c>
      <c r="AK2697" s="153"/>
      <c r="AL2697" s="154"/>
      <c r="AM2697" s="17">
        <f t="shared" si="134"/>
        <v>0</v>
      </c>
      <c r="AN2697" s="44" t="s">
        <v>570</v>
      </c>
      <c r="AO2697" s="18" t="s">
        <v>2875</v>
      </c>
      <c r="AP2697" t="s">
        <v>8609</v>
      </c>
      <c r="AQ2697"/>
      <c r="AR2697"/>
    </row>
    <row r="2698" spans="1:44" s="10" customFormat="1" hidden="1" x14ac:dyDescent="0.3">
      <c r="A2698" s="367" t="s">
        <v>8317</v>
      </c>
      <c r="B2698" s="10" t="s">
        <v>8318</v>
      </c>
      <c r="C2698" s="368" t="s">
        <v>8680</v>
      </c>
      <c r="D2698" s="10" t="s">
        <v>8681</v>
      </c>
      <c r="E2698" s="10" t="s">
        <v>8682</v>
      </c>
      <c r="F2698" s="10" t="s">
        <v>8683</v>
      </c>
      <c r="G2698" s="10" t="s">
        <v>8695</v>
      </c>
      <c r="H2698" s="10" t="s">
        <v>8696</v>
      </c>
      <c r="I2698" s="9"/>
      <c r="J2698" s="370"/>
      <c r="K2698" s="10" t="s">
        <v>8697</v>
      </c>
      <c r="L2698" s="10" t="s">
        <v>8698</v>
      </c>
      <c r="M2698" s="10" t="s">
        <v>8699</v>
      </c>
      <c r="N2698" s="16"/>
      <c r="O2698" s="16"/>
      <c r="P2698" s="16">
        <v>100</v>
      </c>
      <c r="Q2698" s="16">
        <v>150</v>
      </c>
      <c r="R2698" s="16">
        <v>500</v>
      </c>
      <c r="S2698" s="16">
        <v>250</v>
      </c>
      <c r="T2698" s="10" t="s">
        <v>1035</v>
      </c>
      <c r="U2698" t="str">
        <f>VLOOKUP(T2698,[8]Votes!$A$1:$E$234,3,FALSE)</f>
        <v>017 Ministry of Energy and Mineral Development</v>
      </c>
      <c r="V2698" t="s">
        <v>8700</v>
      </c>
      <c r="W2698" s="369">
        <v>1</v>
      </c>
      <c r="X2698" s="369">
        <v>0</v>
      </c>
      <c r="Y2698" s="369">
        <v>0</v>
      </c>
      <c r="Z2698" s="369">
        <v>1</v>
      </c>
      <c r="AA2698" s="369">
        <v>1</v>
      </c>
      <c r="AB2698" s="369">
        <v>1</v>
      </c>
      <c r="AC2698" s="369">
        <v>0</v>
      </c>
      <c r="AD2698" s="369">
        <v>1</v>
      </c>
      <c r="AE2698" s="49">
        <f t="shared" si="133"/>
        <v>0.625</v>
      </c>
      <c r="AF2698" s="44"/>
      <c r="AG2698" s="17">
        <v>0</v>
      </c>
      <c r="AH2698" s="44">
        <v>0</v>
      </c>
      <c r="AI2698" s="17">
        <v>0</v>
      </c>
      <c r="AJ2698" s="44">
        <v>1.5</v>
      </c>
      <c r="AK2698" s="151">
        <v>5</v>
      </c>
      <c r="AL2698" s="151">
        <v>2.5</v>
      </c>
      <c r="AM2698" s="17">
        <f t="shared" si="134"/>
        <v>7.5</v>
      </c>
      <c r="AN2698" t="s">
        <v>1035</v>
      </c>
      <c r="AO2698" s="18" t="s">
        <v>1037</v>
      </c>
      <c r="AP2698" t="s">
        <v>119</v>
      </c>
    </row>
    <row r="2699" spans="1:44" s="10" customFormat="1" ht="14.55" customHeight="1" x14ac:dyDescent="0.3">
      <c r="A2699" s="367" t="s">
        <v>8317</v>
      </c>
      <c r="B2699" s="10" t="s">
        <v>8318</v>
      </c>
      <c r="C2699" s="368" t="s">
        <v>8680</v>
      </c>
      <c r="D2699" s="10" t="s">
        <v>8681</v>
      </c>
      <c r="E2699" s="10" t="s">
        <v>8682</v>
      </c>
      <c r="F2699" s="10" t="s">
        <v>8683</v>
      </c>
      <c r="G2699" s="10" t="s">
        <v>8695</v>
      </c>
      <c r="H2699" s="10" t="s">
        <v>8696</v>
      </c>
      <c r="I2699" s="9"/>
      <c r="J2699" s="370"/>
      <c r="K2699" s="10" t="s">
        <v>8697</v>
      </c>
      <c r="L2699" s="10" t="s">
        <v>8698</v>
      </c>
      <c r="M2699" s="10" t="s">
        <v>8701</v>
      </c>
      <c r="N2699" s="16"/>
      <c r="O2699" s="16">
        <v>3000</v>
      </c>
      <c r="P2699" s="16">
        <v>5500</v>
      </c>
      <c r="Q2699" s="16">
        <v>8000</v>
      </c>
      <c r="R2699" s="16">
        <v>10500</v>
      </c>
      <c r="S2699" s="16">
        <v>13000</v>
      </c>
      <c r="T2699" s="10" t="s">
        <v>8702</v>
      </c>
      <c r="U2699" t="e">
        <f>VLOOKUP(T2699,[8]Votes!$A$1:$E$234,3,FALSE)</f>
        <v>#N/A</v>
      </c>
      <c r="V2699" t="s">
        <v>8703</v>
      </c>
      <c r="W2699" s="369">
        <v>1</v>
      </c>
      <c r="X2699" s="369">
        <v>1</v>
      </c>
      <c r="Y2699" s="369">
        <v>1</v>
      </c>
      <c r="Z2699" s="369">
        <v>1</v>
      </c>
      <c r="AA2699" s="369">
        <v>1</v>
      </c>
      <c r="AB2699" s="369">
        <v>1</v>
      </c>
      <c r="AC2699" s="369">
        <v>1</v>
      </c>
      <c r="AD2699" s="369">
        <v>1</v>
      </c>
      <c r="AE2699" s="49">
        <f t="shared" si="133"/>
        <v>1</v>
      </c>
      <c r="AF2699" s="17"/>
      <c r="AG2699" s="17">
        <v>1</v>
      </c>
      <c r="AH2699" s="17">
        <v>0</v>
      </c>
      <c r="AI2699" s="17">
        <v>0</v>
      </c>
      <c r="AJ2699" s="44">
        <v>2</v>
      </c>
      <c r="AK2699" s="151"/>
      <c r="AL2699" s="151"/>
      <c r="AM2699" s="17">
        <f t="shared" si="134"/>
        <v>0</v>
      </c>
      <c r="AN2699" s="44" t="s">
        <v>8501</v>
      </c>
      <c r="AO2699" s="18" t="s">
        <v>1037</v>
      </c>
      <c r="AP2699" t="s">
        <v>8704</v>
      </c>
      <c r="AQ2699"/>
    </row>
    <row r="2700" spans="1:44" s="10" customFormat="1" x14ac:dyDescent="0.3">
      <c r="A2700" s="367" t="s">
        <v>8317</v>
      </c>
      <c r="B2700" s="10" t="s">
        <v>8318</v>
      </c>
      <c r="C2700" s="368" t="s">
        <v>8680</v>
      </c>
      <c r="D2700" s="10" t="s">
        <v>8681</v>
      </c>
      <c r="E2700" s="10" t="s">
        <v>8682</v>
      </c>
      <c r="F2700" s="10" t="s">
        <v>8683</v>
      </c>
      <c r="G2700" s="10" t="s">
        <v>8695</v>
      </c>
      <c r="H2700" s="10" t="s">
        <v>8696</v>
      </c>
      <c r="I2700" s="9"/>
      <c r="J2700" s="370"/>
      <c r="K2700" s="10" t="s">
        <v>8697</v>
      </c>
      <c r="L2700" s="10" t="s">
        <v>8698</v>
      </c>
      <c r="M2700" s="10" t="s">
        <v>8705</v>
      </c>
      <c r="N2700" s="16">
        <v>2000</v>
      </c>
      <c r="O2700" s="16">
        <v>3000</v>
      </c>
      <c r="P2700" s="16">
        <v>5000</v>
      </c>
      <c r="Q2700" s="16">
        <v>7000</v>
      </c>
      <c r="R2700" s="16">
        <v>9000</v>
      </c>
      <c r="S2700" s="16">
        <v>11000</v>
      </c>
      <c r="T2700" s="10" t="s">
        <v>8702</v>
      </c>
      <c r="U2700" t="e">
        <f>VLOOKUP(T2700,[8]Votes!$A$1:$E$234,3,FALSE)</f>
        <v>#N/A</v>
      </c>
      <c r="V2700" t="s">
        <v>8706</v>
      </c>
      <c r="W2700" s="369">
        <v>1</v>
      </c>
      <c r="X2700" s="369">
        <v>1</v>
      </c>
      <c r="Y2700" s="369">
        <v>1</v>
      </c>
      <c r="Z2700" s="369">
        <v>1</v>
      </c>
      <c r="AA2700" s="369">
        <v>1</v>
      </c>
      <c r="AB2700" s="369">
        <v>1</v>
      </c>
      <c r="AC2700" s="369">
        <v>1</v>
      </c>
      <c r="AD2700" s="369">
        <v>1</v>
      </c>
      <c r="AE2700" s="49">
        <f t="shared" si="133"/>
        <v>1</v>
      </c>
      <c r="AF2700" s="44"/>
      <c r="AG2700" s="17">
        <v>1</v>
      </c>
      <c r="AH2700" s="44">
        <v>10</v>
      </c>
      <c r="AI2700" s="44">
        <v>3</v>
      </c>
      <c r="AJ2700" s="44">
        <v>4</v>
      </c>
      <c r="AK2700" s="151"/>
      <c r="AL2700" s="151"/>
      <c r="AM2700" s="17">
        <f t="shared" si="134"/>
        <v>0</v>
      </c>
      <c r="AN2700" s="44" t="s">
        <v>8501</v>
      </c>
      <c r="AO2700" s="18" t="s">
        <v>1037</v>
      </c>
      <c r="AP2700" t="s">
        <v>8707</v>
      </c>
      <c r="AQ2700"/>
    </row>
    <row r="2701" spans="1:44" s="10" customFormat="1" x14ac:dyDescent="0.3">
      <c r="A2701" s="367" t="s">
        <v>8317</v>
      </c>
      <c r="B2701" s="10" t="s">
        <v>8318</v>
      </c>
      <c r="C2701" s="368" t="s">
        <v>8680</v>
      </c>
      <c r="D2701" s="10" t="s">
        <v>8681</v>
      </c>
      <c r="E2701" s="10" t="s">
        <v>8682</v>
      </c>
      <c r="F2701" s="10" t="s">
        <v>8683</v>
      </c>
      <c r="G2701" s="10" t="s">
        <v>8695</v>
      </c>
      <c r="H2701" s="10" t="s">
        <v>8696</v>
      </c>
      <c r="I2701" s="9"/>
      <c r="J2701" s="370"/>
      <c r="K2701" s="10" t="s">
        <v>8697</v>
      </c>
      <c r="L2701" s="10" t="s">
        <v>8698</v>
      </c>
      <c r="M2701" s="10" t="s">
        <v>8708</v>
      </c>
      <c r="N2701" s="16">
        <v>10</v>
      </c>
      <c r="O2701" s="16">
        <v>4</v>
      </c>
      <c r="P2701" s="16">
        <v>40</v>
      </c>
      <c r="Q2701" s="16">
        <v>30</v>
      </c>
      <c r="R2701" s="16">
        <v>40</v>
      </c>
      <c r="S2701" s="16">
        <v>40</v>
      </c>
      <c r="T2701" s="10" t="s">
        <v>8709</v>
      </c>
      <c r="U2701" t="e">
        <f>VLOOKUP(T2701,[8]Votes!$A$1:$E$234,3,FALSE)</f>
        <v>#N/A</v>
      </c>
      <c r="V2701" t="s">
        <v>8710</v>
      </c>
      <c r="W2701" s="369">
        <v>1</v>
      </c>
      <c r="X2701" s="369">
        <v>1</v>
      </c>
      <c r="Y2701" s="369">
        <v>1</v>
      </c>
      <c r="Z2701" s="369">
        <v>1</v>
      </c>
      <c r="AA2701" s="369">
        <v>1</v>
      </c>
      <c r="AB2701" s="369">
        <v>1</v>
      </c>
      <c r="AC2701" s="369">
        <v>1</v>
      </c>
      <c r="AD2701" s="369">
        <v>1</v>
      </c>
      <c r="AE2701" s="49">
        <f t="shared" si="133"/>
        <v>1</v>
      </c>
      <c r="AF2701" s="44"/>
      <c r="AG2701" s="17">
        <v>0</v>
      </c>
      <c r="AH2701" s="44">
        <v>0.16</v>
      </c>
      <c r="AI2701" s="44">
        <v>0.6</v>
      </c>
      <c r="AJ2701" s="44">
        <v>0.45</v>
      </c>
      <c r="AK2701" s="151">
        <v>2</v>
      </c>
      <c r="AL2701" s="151">
        <v>2</v>
      </c>
      <c r="AM2701" s="17">
        <f t="shared" si="134"/>
        <v>4</v>
      </c>
      <c r="AN2701" s="44" t="s">
        <v>1035</v>
      </c>
      <c r="AO2701" s="18" t="s">
        <v>1037</v>
      </c>
      <c r="AP2701" t="s">
        <v>119</v>
      </c>
    </row>
    <row r="2702" spans="1:44" s="10" customFormat="1" x14ac:dyDescent="0.3">
      <c r="A2702" s="367" t="s">
        <v>8317</v>
      </c>
      <c r="B2702" s="10" t="s">
        <v>8318</v>
      </c>
      <c r="C2702" s="368" t="s">
        <v>8680</v>
      </c>
      <c r="D2702" s="10" t="s">
        <v>8681</v>
      </c>
      <c r="E2702" s="10" t="s">
        <v>8682</v>
      </c>
      <c r="F2702" s="10" t="s">
        <v>8683</v>
      </c>
      <c r="G2702" s="10" t="s">
        <v>8695</v>
      </c>
      <c r="H2702" s="10" t="s">
        <v>8696</v>
      </c>
      <c r="I2702" s="9"/>
      <c r="J2702" s="370"/>
      <c r="K2702" s="10" t="s">
        <v>8697</v>
      </c>
      <c r="L2702" s="10" t="s">
        <v>8698</v>
      </c>
      <c r="M2702" s="10" t="s">
        <v>8711</v>
      </c>
      <c r="N2702" s="16">
        <v>0</v>
      </c>
      <c r="O2702" s="16">
        <v>10</v>
      </c>
      <c r="P2702" s="16">
        <v>200</v>
      </c>
      <c r="Q2702" s="16">
        <v>200</v>
      </c>
      <c r="R2702" s="16">
        <v>300</v>
      </c>
      <c r="S2702" s="16">
        <v>200</v>
      </c>
      <c r="T2702" s="10" t="s">
        <v>8709</v>
      </c>
      <c r="U2702" t="e">
        <f>VLOOKUP(T2702,[8]Votes!$A$1:$E$234,3,FALSE)</f>
        <v>#N/A</v>
      </c>
      <c r="V2702" t="s">
        <v>8712</v>
      </c>
      <c r="W2702" s="369">
        <v>1</v>
      </c>
      <c r="X2702" s="369">
        <v>1</v>
      </c>
      <c r="Y2702" s="369">
        <v>1</v>
      </c>
      <c r="Z2702" s="369">
        <v>1</v>
      </c>
      <c r="AA2702" s="369">
        <v>1</v>
      </c>
      <c r="AB2702" s="369">
        <v>1</v>
      </c>
      <c r="AC2702" s="369">
        <v>1</v>
      </c>
      <c r="AD2702" s="369">
        <v>1</v>
      </c>
      <c r="AE2702" s="49">
        <f t="shared" si="133"/>
        <v>1</v>
      </c>
      <c r="AF2702" s="17"/>
      <c r="AG2702" s="17">
        <v>0</v>
      </c>
      <c r="AH2702" s="17">
        <v>0</v>
      </c>
      <c r="AI2702" s="44">
        <v>0.2</v>
      </c>
      <c r="AJ2702" s="44">
        <v>0.2</v>
      </c>
      <c r="AK2702" s="151">
        <v>0.3</v>
      </c>
      <c r="AL2702" s="151">
        <v>0.2</v>
      </c>
      <c r="AM2702" s="17">
        <f t="shared" si="134"/>
        <v>0.5</v>
      </c>
      <c r="AN2702" s="44" t="s">
        <v>1035</v>
      </c>
      <c r="AO2702" s="18" t="s">
        <v>1037</v>
      </c>
      <c r="AP2702" t="s">
        <v>119</v>
      </c>
      <c r="AQ2702"/>
    </row>
    <row r="2703" spans="1:44" s="10" customFormat="1" x14ac:dyDescent="0.3">
      <c r="A2703" s="367" t="s">
        <v>8317</v>
      </c>
      <c r="B2703" s="10" t="s">
        <v>8318</v>
      </c>
      <c r="C2703" s="368" t="s">
        <v>8680</v>
      </c>
      <c r="D2703" s="10" t="s">
        <v>8681</v>
      </c>
      <c r="E2703" s="10" t="s">
        <v>8682</v>
      </c>
      <c r="F2703" s="10" t="s">
        <v>8683</v>
      </c>
      <c r="G2703" s="10" t="s">
        <v>8695</v>
      </c>
      <c r="H2703" s="10" t="s">
        <v>8696</v>
      </c>
      <c r="I2703" s="9"/>
      <c r="J2703" s="370"/>
      <c r="K2703" s="10" t="s">
        <v>8697</v>
      </c>
      <c r="L2703" s="10" t="s">
        <v>8698</v>
      </c>
      <c r="M2703" s="10" t="s">
        <v>8713</v>
      </c>
      <c r="N2703" s="16">
        <v>0</v>
      </c>
      <c r="O2703" s="16">
        <v>100</v>
      </c>
      <c r="P2703" s="16">
        <v>1000</v>
      </c>
      <c r="Q2703" s="16">
        <v>2000</v>
      </c>
      <c r="R2703" s="16">
        <v>3000</v>
      </c>
      <c r="S2703" s="16">
        <v>3000</v>
      </c>
      <c r="T2703" s="10" t="s">
        <v>8714</v>
      </c>
      <c r="U2703" t="e">
        <f>VLOOKUP(T2703,[8]Votes!$A$1:$E$234,3,FALSE)</f>
        <v>#N/A</v>
      </c>
      <c r="V2703" t="s">
        <v>8715</v>
      </c>
      <c r="W2703" s="369">
        <v>1</v>
      </c>
      <c r="X2703" s="369">
        <v>1</v>
      </c>
      <c r="Y2703" s="369">
        <v>1</v>
      </c>
      <c r="Z2703" s="369">
        <v>0</v>
      </c>
      <c r="AA2703" s="369">
        <v>1</v>
      </c>
      <c r="AB2703" s="369">
        <v>1</v>
      </c>
      <c r="AC2703" s="369">
        <v>1</v>
      </c>
      <c r="AD2703" s="369">
        <v>1</v>
      </c>
      <c r="AE2703" s="49">
        <f t="shared" si="133"/>
        <v>0.875</v>
      </c>
      <c r="AF2703" s="17"/>
      <c r="AG2703" s="17">
        <v>0</v>
      </c>
      <c r="AH2703" s="17">
        <v>0</v>
      </c>
      <c r="AI2703" s="44">
        <v>0.7</v>
      </c>
      <c r="AJ2703" s="44">
        <v>1.4</v>
      </c>
      <c r="AK2703" s="151">
        <v>2.1</v>
      </c>
      <c r="AL2703" s="151">
        <v>2.1</v>
      </c>
      <c r="AM2703" s="17">
        <f t="shared" si="134"/>
        <v>4.2</v>
      </c>
      <c r="AN2703" s="44" t="s">
        <v>1035</v>
      </c>
      <c r="AO2703" s="18" t="s">
        <v>1037</v>
      </c>
      <c r="AP2703" t="s">
        <v>8716</v>
      </c>
      <c r="AQ2703"/>
    </row>
    <row r="2704" spans="1:44" s="10" customFormat="1" x14ac:dyDescent="0.3">
      <c r="A2704" s="367" t="s">
        <v>8317</v>
      </c>
      <c r="B2704" s="10" t="s">
        <v>8318</v>
      </c>
      <c r="C2704" s="368" t="s">
        <v>8680</v>
      </c>
      <c r="D2704" s="10" t="s">
        <v>8681</v>
      </c>
      <c r="E2704" s="10" t="s">
        <v>8682</v>
      </c>
      <c r="F2704" s="10" t="s">
        <v>8683</v>
      </c>
      <c r="G2704" s="10" t="s">
        <v>8695</v>
      </c>
      <c r="H2704" s="10" t="s">
        <v>8696</v>
      </c>
      <c r="I2704" s="9"/>
      <c r="J2704" s="370"/>
      <c r="K2704" s="10" t="s">
        <v>8697</v>
      </c>
      <c r="L2704" s="10" t="s">
        <v>8698</v>
      </c>
      <c r="M2704" s="10" t="s">
        <v>8717</v>
      </c>
      <c r="N2704" s="16">
        <v>0</v>
      </c>
      <c r="O2704" s="16">
        <v>26</v>
      </c>
      <c r="P2704" s="16">
        <v>30</v>
      </c>
      <c r="Q2704" s="16">
        <v>50</v>
      </c>
      <c r="R2704" s="16">
        <v>50</v>
      </c>
      <c r="S2704" s="16">
        <v>60</v>
      </c>
      <c r="T2704" s="10" t="s">
        <v>8718</v>
      </c>
      <c r="U2704" t="e">
        <f>VLOOKUP(T2704,[8]Votes!$A$1:$E$234,3,FALSE)</f>
        <v>#N/A</v>
      </c>
      <c r="V2704" t="s">
        <v>8719</v>
      </c>
      <c r="W2704" s="369">
        <v>1</v>
      </c>
      <c r="X2704" s="369">
        <v>1</v>
      </c>
      <c r="Y2704" s="369">
        <v>1</v>
      </c>
      <c r="Z2704" s="369">
        <v>1</v>
      </c>
      <c r="AA2704" s="369">
        <v>1</v>
      </c>
      <c r="AB2704" s="369">
        <v>1</v>
      </c>
      <c r="AC2704" s="369">
        <v>0</v>
      </c>
      <c r="AD2704" s="369">
        <v>1</v>
      </c>
      <c r="AE2704" s="49">
        <f t="shared" si="133"/>
        <v>0.875</v>
      </c>
      <c r="AF2704" s="17">
        <v>1</v>
      </c>
      <c r="AG2704" s="17">
        <v>0</v>
      </c>
      <c r="AH2704" s="17">
        <v>0</v>
      </c>
      <c r="AI2704" s="44">
        <v>0.9</v>
      </c>
      <c r="AJ2704" s="44">
        <v>1.5</v>
      </c>
      <c r="AK2704" s="151">
        <v>10</v>
      </c>
      <c r="AL2704" s="151">
        <v>10</v>
      </c>
      <c r="AM2704" s="17">
        <f t="shared" si="134"/>
        <v>20</v>
      </c>
      <c r="AN2704" t="s">
        <v>1035</v>
      </c>
      <c r="AO2704" s="18" t="s">
        <v>1037</v>
      </c>
      <c r="AP2704" t="s">
        <v>119</v>
      </c>
      <c r="AQ2704"/>
    </row>
    <row r="2705" spans="1:43" s="10" customFormat="1" hidden="1" x14ac:dyDescent="0.3">
      <c r="A2705" s="367" t="s">
        <v>8317</v>
      </c>
      <c r="B2705" s="10" t="s">
        <v>8318</v>
      </c>
      <c r="C2705" s="368" t="s">
        <v>8680</v>
      </c>
      <c r="D2705" s="10" t="s">
        <v>8681</v>
      </c>
      <c r="E2705" s="10" t="s">
        <v>8682</v>
      </c>
      <c r="F2705" s="10" t="s">
        <v>8683</v>
      </c>
      <c r="G2705" s="10" t="s">
        <v>8695</v>
      </c>
      <c r="H2705" s="10" t="s">
        <v>8696</v>
      </c>
      <c r="I2705" s="9"/>
      <c r="J2705" s="370"/>
      <c r="K2705" s="10" t="s">
        <v>8697</v>
      </c>
      <c r="L2705" s="10" t="s">
        <v>8698</v>
      </c>
      <c r="M2705" s="10" t="s">
        <v>8720</v>
      </c>
      <c r="N2705" s="16">
        <v>5</v>
      </c>
      <c r="O2705" s="16">
        <v>0</v>
      </c>
      <c r="P2705" s="16">
        <v>4</v>
      </c>
      <c r="Q2705" s="16">
        <v>4</v>
      </c>
      <c r="R2705" s="16">
        <v>2</v>
      </c>
      <c r="S2705" s="16"/>
      <c r="T2705" s="10" t="s">
        <v>8721</v>
      </c>
      <c r="U2705" t="e">
        <f>VLOOKUP(T2705,[8]Votes!$A$1:$E$234,3,FALSE)</f>
        <v>#N/A</v>
      </c>
      <c r="V2705" t="s">
        <v>8722</v>
      </c>
      <c r="W2705" s="369">
        <v>1</v>
      </c>
      <c r="X2705" s="369">
        <v>0</v>
      </c>
      <c r="Y2705" s="369">
        <v>0</v>
      </c>
      <c r="Z2705" s="369">
        <v>1</v>
      </c>
      <c r="AA2705" s="369">
        <v>1</v>
      </c>
      <c r="AB2705" s="369">
        <v>1</v>
      </c>
      <c r="AC2705" s="369">
        <v>0</v>
      </c>
      <c r="AD2705" s="369">
        <v>1</v>
      </c>
      <c r="AE2705" s="49">
        <f t="shared" si="133"/>
        <v>0.625</v>
      </c>
      <c r="AF2705" s="17"/>
      <c r="AG2705" s="17">
        <v>0</v>
      </c>
      <c r="AH2705" s="17">
        <v>0</v>
      </c>
      <c r="AI2705" s="44">
        <v>0.8</v>
      </c>
      <c r="AJ2705" s="44">
        <v>0.8</v>
      </c>
      <c r="AK2705" s="151">
        <v>3</v>
      </c>
      <c r="AL2705" s="154">
        <v>3</v>
      </c>
      <c r="AM2705" s="17">
        <f t="shared" si="134"/>
        <v>6</v>
      </c>
      <c r="AN2705" t="s">
        <v>1035</v>
      </c>
      <c r="AO2705" s="18" t="s">
        <v>1037</v>
      </c>
      <c r="AP2705" t="s">
        <v>119</v>
      </c>
      <c r="AQ2705"/>
    </row>
    <row r="2706" spans="1:43" s="10" customFormat="1" x14ac:dyDescent="0.3">
      <c r="A2706" s="367" t="s">
        <v>8317</v>
      </c>
      <c r="B2706" s="10" t="s">
        <v>8318</v>
      </c>
      <c r="C2706" s="368" t="s">
        <v>8680</v>
      </c>
      <c r="D2706" s="10" t="s">
        <v>8681</v>
      </c>
      <c r="E2706" s="10" t="s">
        <v>8682</v>
      </c>
      <c r="F2706" s="10" t="s">
        <v>8683</v>
      </c>
      <c r="G2706" s="10" t="s">
        <v>8695</v>
      </c>
      <c r="H2706" s="10" t="s">
        <v>8696</v>
      </c>
      <c r="I2706" s="9"/>
      <c r="J2706" s="370"/>
      <c r="K2706" s="10" t="s">
        <v>8697</v>
      </c>
      <c r="L2706" s="10" t="s">
        <v>8698</v>
      </c>
      <c r="M2706" s="10" t="s">
        <v>8720</v>
      </c>
      <c r="N2706" s="16">
        <v>5</v>
      </c>
      <c r="O2706" s="16">
        <v>0</v>
      </c>
      <c r="P2706" s="16">
        <v>4</v>
      </c>
      <c r="Q2706" s="16">
        <v>4</v>
      </c>
      <c r="R2706" s="16">
        <v>2</v>
      </c>
      <c r="S2706" s="16"/>
      <c r="T2706" s="10" t="s">
        <v>8721</v>
      </c>
      <c r="U2706" t="e">
        <f>VLOOKUP(T2706,[8]Votes!$A$1:$E$234,3,FALSE)</f>
        <v>#N/A</v>
      </c>
      <c r="V2706" t="s">
        <v>8723</v>
      </c>
      <c r="W2706" s="369">
        <v>1</v>
      </c>
      <c r="X2706" s="369">
        <v>1</v>
      </c>
      <c r="Y2706" s="369">
        <v>1</v>
      </c>
      <c r="Z2706" s="369">
        <v>1</v>
      </c>
      <c r="AA2706" s="369">
        <v>1</v>
      </c>
      <c r="AB2706" s="369">
        <v>1</v>
      </c>
      <c r="AC2706" s="369">
        <v>1</v>
      </c>
      <c r="AD2706" s="369">
        <v>1</v>
      </c>
      <c r="AE2706" s="49">
        <f t="shared" si="133"/>
        <v>1</v>
      </c>
      <c r="AF2706" s="17"/>
      <c r="AG2706" s="17">
        <v>1</v>
      </c>
      <c r="AH2706" s="17">
        <v>0</v>
      </c>
      <c r="AI2706" s="44">
        <v>3</v>
      </c>
      <c r="AJ2706" s="44">
        <v>4</v>
      </c>
      <c r="AK2706" s="151"/>
      <c r="AL2706" s="151"/>
      <c r="AM2706" s="17">
        <f t="shared" si="134"/>
        <v>0</v>
      </c>
      <c r="AN2706" s="44" t="s">
        <v>8501</v>
      </c>
      <c r="AO2706" s="18" t="s">
        <v>1037</v>
      </c>
      <c r="AP2706" t="s">
        <v>8724</v>
      </c>
      <c r="AQ2706"/>
    </row>
    <row r="2707" spans="1:43" s="10" customFormat="1" x14ac:dyDescent="0.3">
      <c r="A2707" s="367" t="s">
        <v>8317</v>
      </c>
      <c r="B2707" s="10" t="s">
        <v>8318</v>
      </c>
      <c r="C2707" s="368" t="s">
        <v>8680</v>
      </c>
      <c r="D2707" s="10" t="s">
        <v>8681</v>
      </c>
      <c r="E2707" s="10" t="s">
        <v>8682</v>
      </c>
      <c r="F2707" s="10" t="s">
        <v>8683</v>
      </c>
      <c r="G2707" s="10" t="s">
        <v>8695</v>
      </c>
      <c r="H2707" s="10" t="s">
        <v>8696</v>
      </c>
      <c r="I2707" s="9"/>
      <c r="J2707" s="370"/>
      <c r="K2707" s="10" t="s">
        <v>8697</v>
      </c>
      <c r="L2707" s="10" t="s">
        <v>8698</v>
      </c>
      <c r="N2707" s="16"/>
      <c r="O2707" s="16"/>
      <c r="P2707" s="16"/>
      <c r="Q2707" s="16"/>
      <c r="R2707" s="16"/>
      <c r="S2707" s="16"/>
      <c r="U2707" t="e">
        <f>VLOOKUP(T2707,[8]Votes!$A$1:$E$234,3,FALSE)</f>
        <v>#N/A</v>
      </c>
      <c r="V2707" t="s">
        <v>8725</v>
      </c>
      <c r="W2707" s="369">
        <v>1</v>
      </c>
      <c r="X2707" s="369">
        <v>1</v>
      </c>
      <c r="Y2707" s="369">
        <v>1</v>
      </c>
      <c r="Z2707" s="369">
        <v>1</v>
      </c>
      <c r="AA2707" s="369">
        <v>1</v>
      </c>
      <c r="AB2707" s="369">
        <v>1</v>
      </c>
      <c r="AC2707" s="369">
        <v>0</v>
      </c>
      <c r="AD2707" s="369">
        <v>1</v>
      </c>
      <c r="AE2707" s="49">
        <f t="shared" si="133"/>
        <v>0.875</v>
      </c>
      <c r="AF2707" s="17"/>
      <c r="AG2707" s="17">
        <v>0</v>
      </c>
      <c r="AH2707" s="17">
        <v>0</v>
      </c>
      <c r="AI2707" s="44">
        <v>0.5</v>
      </c>
      <c r="AJ2707" s="44">
        <v>0.5</v>
      </c>
      <c r="AK2707" s="151">
        <v>3</v>
      </c>
      <c r="AL2707" s="151">
        <v>1</v>
      </c>
      <c r="AM2707" s="17">
        <f t="shared" si="134"/>
        <v>4</v>
      </c>
      <c r="AN2707" s="44" t="s">
        <v>1035</v>
      </c>
      <c r="AO2707" s="18" t="s">
        <v>1037</v>
      </c>
      <c r="AP2707" t="s">
        <v>8726</v>
      </c>
      <c r="AQ2707"/>
    </row>
    <row r="2708" spans="1:43" s="10" customFormat="1" x14ac:dyDescent="0.3">
      <c r="A2708" s="367" t="s">
        <v>8317</v>
      </c>
      <c r="B2708" s="10" t="s">
        <v>8318</v>
      </c>
      <c r="C2708" s="368" t="s">
        <v>8680</v>
      </c>
      <c r="D2708" s="10" t="s">
        <v>8681</v>
      </c>
      <c r="E2708" s="10" t="s">
        <v>8682</v>
      </c>
      <c r="F2708" s="10" t="s">
        <v>8683</v>
      </c>
      <c r="G2708" s="10" t="s">
        <v>8727</v>
      </c>
      <c r="H2708" s="10" t="s">
        <v>8728</v>
      </c>
      <c r="I2708" s="9"/>
      <c r="J2708" s="370"/>
      <c r="K2708" s="10" t="s">
        <v>8729</v>
      </c>
      <c r="L2708" s="10" t="s">
        <v>8730</v>
      </c>
      <c r="M2708" s="10" t="s">
        <v>8731</v>
      </c>
      <c r="N2708" s="16">
        <v>0</v>
      </c>
      <c r="O2708" s="16">
        <v>0</v>
      </c>
      <c r="P2708" s="16">
        <v>0</v>
      </c>
      <c r="Q2708" s="16">
        <v>1</v>
      </c>
      <c r="R2708" s="16">
        <v>1</v>
      </c>
      <c r="S2708" s="16">
        <v>1</v>
      </c>
      <c r="T2708" s="10" t="s">
        <v>8732</v>
      </c>
      <c r="U2708" t="e">
        <f>VLOOKUP(T2708,[8]Votes!$A$1:$E$234,3,FALSE)</f>
        <v>#N/A</v>
      </c>
      <c r="V2708" t="s">
        <v>8733</v>
      </c>
      <c r="W2708" s="369">
        <v>1</v>
      </c>
      <c r="X2708" s="369">
        <v>1</v>
      </c>
      <c r="Y2708" s="369">
        <v>1</v>
      </c>
      <c r="Z2708" s="369">
        <v>1</v>
      </c>
      <c r="AA2708" s="369">
        <v>1</v>
      </c>
      <c r="AB2708" s="369">
        <v>1</v>
      </c>
      <c r="AC2708" s="369">
        <v>1</v>
      </c>
      <c r="AD2708" s="369">
        <v>1</v>
      </c>
      <c r="AE2708" s="49">
        <f t="shared" si="133"/>
        <v>1</v>
      </c>
      <c r="AF2708" s="17"/>
      <c r="AG2708" s="17">
        <v>0</v>
      </c>
      <c r="AH2708" s="17">
        <v>0</v>
      </c>
      <c r="AI2708" s="44">
        <v>0.1</v>
      </c>
      <c r="AJ2708" s="44">
        <v>0.2</v>
      </c>
      <c r="AK2708" s="151">
        <v>0.2</v>
      </c>
      <c r="AL2708" s="151">
        <v>0.2</v>
      </c>
      <c r="AM2708" s="17">
        <f t="shared" si="134"/>
        <v>0.4</v>
      </c>
      <c r="AN2708" s="44" t="s">
        <v>1035</v>
      </c>
      <c r="AO2708" s="18" t="s">
        <v>1037</v>
      </c>
      <c r="AP2708" t="s">
        <v>119</v>
      </c>
    </row>
    <row r="2709" spans="1:43" s="10" customFormat="1" x14ac:dyDescent="0.3">
      <c r="A2709" s="367" t="s">
        <v>8317</v>
      </c>
      <c r="B2709" s="10" t="s">
        <v>8318</v>
      </c>
      <c r="C2709" s="368" t="s">
        <v>8680</v>
      </c>
      <c r="D2709" s="10" t="s">
        <v>8681</v>
      </c>
      <c r="E2709" s="10" t="s">
        <v>8682</v>
      </c>
      <c r="F2709" s="10" t="s">
        <v>8683</v>
      </c>
      <c r="G2709" s="10" t="s">
        <v>8727</v>
      </c>
      <c r="H2709" s="10" t="s">
        <v>8728</v>
      </c>
      <c r="I2709" s="9"/>
      <c r="J2709" s="370"/>
      <c r="K2709" s="10" t="s">
        <v>8729</v>
      </c>
      <c r="L2709" s="10" t="s">
        <v>8730</v>
      </c>
      <c r="N2709" s="16"/>
      <c r="O2709" s="16"/>
      <c r="P2709" s="16"/>
      <c r="Q2709" s="16"/>
      <c r="R2709" s="16"/>
      <c r="S2709" s="16"/>
      <c r="U2709" t="e">
        <f>VLOOKUP(T2709,[8]Votes!$A$1:$E$234,3,FALSE)</f>
        <v>#N/A</v>
      </c>
      <c r="V2709" t="s">
        <v>8734</v>
      </c>
      <c r="W2709" s="369">
        <v>1</v>
      </c>
      <c r="X2709" s="369">
        <v>1</v>
      </c>
      <c r="Y2709" s="369">
        <v>1</v>
      </c>
      <c r="Z2709" s="369">
        <v>1</v>
      </c>
      <c r="AA2709" s="369">
        <v>1</v>
      </c>
      <c r="AB2709" s="369">
        <v>1</v>
      </c>
      <c r="AC2709" s="369">
        <v>1</v>
      </c>
      <c r="AD2709" s="369">
        <v>1</v>
      </c>
      <c r="AE2709" s="49">
        <f t="shared" si="133"/>
        <v>1</v>
      </c>
      <c r="AF2709" s="17"/>
      <c r="AG2709" s="17">
        <v>0</v>
      </c>
      <c r="AH2709" s="17">
        <v>0</v>
      </c>
      <c r="AI2709" s="44">
        <v>0.3</v>
      </c>
      <c r="AJ2709" s="44">
        <v>0.5</v>
      </c>
      <c r="AK2709" s="151">
        <v>2</v>
      </c>
      <c r="AL2709" s="151">
        <v>2</v>
      </c>
      <c r="AM2709" s="17">
        <f t="shared" si="134"/>
        <v>4</v>
      </c>
      <c r="AN2709" t="s">
        <v>265</v>
      </c>
      <c r="AO2709" s="18" t="s">
        <v>350</v>
      </c>
      <c r="AP2709" t="s">
        <v>4748</v>
      </c>
    </row>
    <row r="2710" spans="1:43" s="10" customFormat="1" x14ac:dyDescent="0.3">
      <c r="A2710" s="367" t="s">
        <v>8317</v>
      </c>
      <c r="B2710" s="10" t="s">
        <v>8318</v>
      </c>
      <c r="C2710" s="368" t="s">
        <v>8680</v>
      </c>
      <c r="D2710" s="10" t="s">
        <v>8681</v>
      </c>
      <c r="E2710" s="10" t="s">
        <v>8682</v>
      </c>
      <c r="F2710" s="10" t="s">
        <v>8683</v>
      </c>
      <c r="G2710" s="10" t="s">
        <v>8735</v>
      </c>
      <c r="H2710" s="10" t="s">
        <v>8736</v>
      </c>
      <c r="I2710" s="9"/>
      <c r="J2710" s="370"/>
      <c r="K2710" s="10" t="s">
        <v>8737</v>
      </c>
      <c r="L2710" s="10" t="s">
        <v>8738</v>
      </c>
      <c r="M2710" s="10" t="s">
        <v>8739</v>
      </c>
      <c r="N2710" s="16">
        <v>0</v>
      </c>
      <c r="O2710" s="16">
        <v>0</v>
      </c>
      <c r="P2710" s="16">
        <v>5</v>
      </c>
      <c r="Q2710" s="16">
        <v>10</v>
      </c>
      <c r="R2710" s="16">
        <v>15</v>
      </c>
      <c r="S2710" s="16">
        <v>20</v>
      </c>
      <c r="T2710" s="10" t="s">
        <v>8740</v>
      </c>
      <c r="U2710" t="e">
        <f>VLOOKUP(T2710,[8]Votes!$A$1:$E$234,3,FALSE)</f>
        <v>#N/A</v>
      </c>
      <c r="V2710" t="s">
        <v>8741</v>
      </c>
      <c r="W2710" s="369">
        <v>1</v>
      </c>
      <c r="X2710" s="369">
        <v>0</v>
      </c>
      <c r="Y2710" s="369">
        <v>1</v>
      </c>
      <c r="Z2710" s="369">
        <v>1</v>
      </c>
      <c r="AA2710" s="369">
        <v>1</v>
      </c>
      <c r="AB2710" s="369">
        <v>1</v>
      </c>
      <c r="AC2710" s="369">
        <v>1</v>
      </c>
      <c r="AD2710" s="369">
        <v>1</v>
      </c>
      <c r="AE2710" s="49">
        <f t="shared" si="133"/>
        <v>0.875</v>
      </c>
      <c r="AF2710" s="17"/>
      <c r="AG2710" s="17">
        <v>0</v>
      </c>
      <c r="AH2710" s="17">
        <v>0</v>
      </c>
      <c r="AI2710" s="17">
        <v>0</v>
      </c>
      <c r="AJ2710" s="17">
        <v>0</v>
      </c>
      <c r="AK2710" s="153">
        <v>0.5</v>
      </c>
      <c r="AL2710" s="154">
        <v>0</v>
      </c>
      <c r="AM2710" s="17">
        <f t="shared" si="134"/>
        <v>0.5</v>
      </c>
      <c r="AN2710" s="44" t="s">
        <v>1035</v>
      </c>
      <c r="AO2710" s="18" t="s">
        <v>1037</v>
      </c>
      <c r="AP2710" t="s">
        <v>8465</v>
      </c>
    </row>
    <row r="2711" spans="1:43" s="10" customFormat="1" x14ac:dyDescent="0.3">
      <c r="A2711" s="367" t="s">
        <v>8317</v>
      </c>
      <c r="B2711" s="10" t="s">
        <v>8318</v>
      </c>
      <c r="C2711" s="368" t="s">
        <v>8680</v>
      </c>
      <c r="D2711" s="10" t="s">
        <v>8681</v>
      </c>
      <c r="E2711" s="10" t="s">
        <v>8682</v>
      </c>
      <c r="F2711" s="10" t="s">
        <v>8683</v>
      </c>
      <c r="G2711" s="10" t="s">
        <v>8735</v>
      </c>
      <c r="H2711" s="10" t="s">
        <v>8736</v>
      </c>
      <c r="I2711" s="9"/>
      <c r="J2711" s="370"/>
      <c r="K2711" s="10" t="s">
        <v>8737</v>
      </c>
      <c r="L2711" s="10" t="s">
        <v>8738</v>
      </c>
      <c r="M2711" s="10" t="s">
        <v>8742</v>
      </c>
      <c r="N2711" s="16">
        <v>0</v>
      </c>
      <c r="O2711" s="16">
        <v>0</v>
      </c>
      <c r="P2711" s="16">
        <v>2</v>
      </c>
      <c r="Q2711" s="16">
        <v>2</v>
      </c>
      <c r="R2711" s="16">
        <v>0</v>
      </c>
      <c r="S2711" s="16">
        <v>0</v>
      </c>
      <c r="T2711" s="10" t="s">
        <v>8743</v>
      </c>
      <c r="U2711" t="e">
        <f>VLOOKUP(T2711,[8]Votes!$A$1:$E$234,3,FALSE)</f>
        <v>#N/A</v>
      </c>
      <c r="V2711" t="s">
        <v>8744</v>
      </c>
      <c r="W2711" s="369">
        <v>1</v>
      </c>
      <c r="X2711" s="369">
        <v>0</v>
      </c>
      <c r="Y2711" s="369">
        <v>1</v>
      </c>
      <c r="Z2711" s="369">
        <v>1</v>
      </c>
      <c r="AA2711" s="369">
        <v>1</v>
      </c>
      <c r="AB2711" s="369">
        <v>1</v>
      </c>
      <c r="AC2711" s="369">
        <v>0</v>
      </c>
      <c r="AD2711" s="369">
        <v>1</v>
      </c>
      <c r="AE2711" s="49">
        <f t="shared" si="133"/>
        <v>0.75</v>
      </c>
      <c r="AF2711" s="17"/>
      <c r="AG2711" s="17">
        <v>0</v>
      </c>
      <c r="AH2711" s="17">
        <v>0</v>
      </c>
      <c r="AI2711" s="44">
        <v>2</v>
      </c>
      <c r="AJ2711" s="44">
        <v>2</v>
      </c>
      <c r="AK2711" s="151">
        <v>3</v>
      </c>
      <c r="AL2711" s="151">
        <v>1</v>
      </c>
      <c r="AM2711" s="17">
        <f t="shared" si="134"/>
        <v>4</v>
      </c>
      <c r="AN2711" s="44" t="s">
        <v>1035</v>
      </c>
      <c r="AO2711" s="18" t="s">
        <v>1037</v>
      </c>
      <c r="AP2711" t="s">
        <v>8465</v>
      </c>
    </row>
    <row r="2712" spans="1:43" s="10" customFormat="1" hidden="1" x14ac:dyDescent="0.3">
      <c r="A2712" s="367" t="s">
        <v>8317</v>
      </c>
      <c r="B2712" s="10" t="s">
        <v>8318</v>
      </c>
      <c r="C2712" s="368" t="s">
        <v>8680</v>
      </c>
      <c r="D2712" s="10" t="s">
        <v>8681</v>
      </c>
      <c r="E2712" s="10" t="s">
        <v>8682</v>
      </c>
      <c r="F2712" s="10" t="s">
        <v>8683</v>
      </c>
      <c r="G2712" s="10" t="s">
        <v>8735</v>
      </c>
      <c r="H2712" s="10" t="s">
        <v>8736</v>
      </c>
      <c r="I2712" s="9"/>
      <c r="J2712" s="370"/>
      <c r="K2712" s="10" t="s">
        <v>8737</v>
      </c>
      <c r="L2712" s="10" t="s">
        <v>8738</v>
      </c>
      <c r="N2712" s="16"/>
      <c r="O2712" s="16"/>
      <c r="P2712" s="16"/>
      <c r="Q2712" s="16"/>
      <c r="R2712" s="16"/>
      <c r="S2712" s="16"/>
      <c r="U2712" t="e">
        <f>VLOOKUP(T2712,[8]Votes!$A$1:$E$234,3,FALSE)</f>
        <v>#N/A</v>
      </c>
      <c r="V2712" t="s">
        <v>8745</v>
      </c>
      <c r="W2712" s="369">
        <v>1</v>
      </c>
      <c r="X2712" s="369">
        <v>0</v>
      </c>
      <c r="Y2712" s="369">
        <v>1</v>
      </c>
      <c r="Z2712" s="369">
        <v>0</v>
      </c>
      <c r="AA2712" s="369">
        <v>1</v>
      </c>
      <c r="AB2712" s="369">
        <v>1</v>
      </c>
      <c r="AC2712" s="369">
        <v>0</v>
      </c>
      <c r="AD2712" s="369">
        <v>1</v>
      </c>
      <c r="AE2712" s="49">
        <f t="shared" si="133"/>
        <v>0.625</v>
      </c>
      <c r="AF2712" s="17"/>
      <c r="AG2712" s="17">
        <v>0</v>
      </c>
      <c r="AH2712" s="17">
        <v>0</v>
      </c>
      <c r="AI2712" s="44">
        <v>1</v>
      </c>
      <c r="AJ2712" s="44">
        <v>1</v>
      </c>
      <c r="AK2712" s="151">
        <v>1</v>
      </c>
      <c r="AL2712" s="151">
        <v>2</v>
      </c>
      <c r="AM2712" s="17">
        <f t="shared" si="134"/>
        <v>3</v>
      </c>
      <c r="AN2712" s="44" t="s">
        <v>1035</v>
      </c>
      <c r="AO2712" s="18" t="s">
        <v>1037</v>
      </c>
      <c r="AP2712" t="s">
        <v>8465</v>
      </c>
    </row>
    <row r="2713" spans="1:43" s="10" customFormat="1" x14ac:dyDescent="0.3">
      <c r="A2713" s="367" t="s">
        <v>8317</v>
      </c>
      <c r="B2713" s="10" t="s">
        <v>8318</v>
      </c>
      <c r="C2713" s="368" t="s">
        <v>8680</v>
      </c>
      <c r="D2713" s="10" t="s">
        <v>8681</v>
      </c>
      <c r="E2713" s="10" t="s">
        <v>8682</v>
      </c>
      <c r="F2713" s="10" t="s">
        <v>8683</v>
      </c>
      <c r="G2713" s="10" t="s">
        <v>8746</v>
      </c>
      <c r="H2713" s="10" t="s">
        <v>8747</v>
      </c>
      <c r="I2713" s="9"/>
      <c r="J2713" s="370"/>
      <c r="K2713" s="10" t="s">
        <v>8748</v>
      </c>
      <c r="L2713" s="10" t="s">
        <v>8749</v>
      </c>
      <c r="M2713" s="10" t="s">
        <v>8750</v>
      </c>
      <c r="N2713" s="16">
        <v>500</v>
      </c>
      <c r="O2713" s="16">
        <v>0</v>
      </c>
      <c r="P2713" s="16">
        <v>200</v>
      </c>
      <c r="Q2713" s="16">
        <v>200</v>
      </c>
      <c r="R2713" s="16">
        <v>200</v>
      </c>
      <c r="S2713" s="16">
        <v>300</v>
      </c>
      <c r="T2713" s="10" t="s">
        <v>1035</v>
      </c>
      <c r="U2713" t="str">
        <f>VLOOKUP(T2713,[8]Votes!$A$1:$E$234,3,FALSE)</f>
        <v>017 Ministry of Energy and Mineral Development</v>
      </c>
      <c r="V2713" t="s">
        <v>8751</v>
      </c>
      <c r="W2713" s="369">
        <v>1</v>
      </c>
      <c r="X2713" s="369">
        <v>1</v>
      </c>
      <c r="Y2713" s="369">
        <v>0</v>
      </c>
      <c r="Z2713" s="369">
        <v>1</v>
      </c>
      <c r="AA2713" s="369">
        <v>1</v>
      </c>
      <c r="AB2713" s="369">
        <v>1</v>
      </c>
      <c r="AC2713" s="369">
        <v>0</v>
      </c>
      <c r="AD2713" s="369">
        <v>1</v>
      </c>
      <c r="AE2713" s="49">
        <f t="shared" si="133"/>
        <v>0.75</v>
      </c>
      <c r="AF2713" s="44"/>
      <c r="AG2713" s="17">
        <v>0</v>
      </c>
      <c r="AH2713" s="44">
        <v>0</v>
      </c>
      <c r="AI2713" s="44">
        <v>0.4</v>
      </c>
      <c r="AJ2713" s="44">
        <v>0.4</v>
      </c>
      <c r="AK2713" s="151">
        <v>0.4</v>
      </c>
      <c r="AL2713" s="151">
        <v>0.4</v>
      </c>
      <c r="AM2713" s="17">
        <f t="shared" si="134"/>
        <v>0.8</v>
      </c>
      <c r="AN2713" t="s">
        <v>1035</v>
      </c>
      <c r="AO2713" s="18" t="s">
        <v>1037</v>
      </c>
      <c r="AP2713" t="s">
        <v>1126</v>
      </c>
      <c r="AQ2713"/>
    </row>
    <row r="2714" spans="1:43" s="10" customFormat="1" hidden="1" x14ac:dyDescent="0.3">
      <c r="A2714" s="367" t="s">
        <v>8317</v>
      </c>
      <c r="B2714" s="10" t="s">
        <v>8318</v>
      </c>
      <c r="C2714" s="368" t="s">
        <v>8680</v>
      </c>
      <c r="D2714" s="10" t="s">
        <v>8681</v>
      </c>
      <c r="E2714" s="10" t="s">
        <v>8682</v>
      </c>
      <c r="F2714" s="10" t="s">
        <v>8683</v>
      </c>
      <c r="G2714" s="10" t="s">
        <v>8746</v>
      </c>
      <c r="H2714" s="10" t="s">
        <v>8747</v>
      </c>
      <c r="I2714" s="9"/>
      <c r="J2714" s="370"/>
      <c r="K2714" s="10" t="s">
        <v>8748</v>
      </c>
      <c r="L2714" s="10" t="s">
        <v>8749</v>
      </c>
      <c r="M2714" s="10" t="s">
        <v>8752</v>
      </c>
      <c r="N2714" s="16">
        <v>1</v>
      </c>
      <c r="O2714" s="16"/>
      <c r="P2714" s="16">
        <v>0</v>
      </c>
      <c r="Q2714" s="16">
        <v>1</v>
      </c>
      <c r="R2714" s="16">
        <v>1</v>
      </c>
      <c r="S2714" s="16">
        <v>0</v>
      </c>
      <c r="T2714" s="10" t="s">
        <v>1035</v>
      </c>
      <c r="U2714" t="str">
        <f>VLOOKUP(T2714,[8]Votes!$A$1:$E$234,3,FALSE)</f>
        <v>017 Ministry of Energy and Mineral Development</v>
      </c>
      <c r="V2714" t="s">
        <v>8753</v>
      </c>
      <c r="W2714" s="369">
        <v>1</v>
      </c>
      <c r="X2714" s="369">
        <v>1</v>
      </c>
      <c r="Y2714" s="369">
        <v>0</v>
      </c>
      <c r="Z2714" s="369">
        <v>0</v>
      </c>
      <c r="AA2714" s="369">
        <v>1</v>
      </c>
      <c r="AB2714" s="369">
        <v>1</v>
      </c>
      <c r="AC2714" s="369">
        <v>0</v>
      </c>
      <c r="AD2714" s="369">
        <v>1</v>
      </c>
      <c r="AE2714" s="49">
        <f t="shared" ref="AE2714:AE2748" si="135">SUM(W2714:AD2714)/8</f>
        <v>0.625</v>
      </c>
      <c r="AF2714" s="44"/>
      <c r="AG2714" s="17">
        <v>0</v>
      </c>
      <c r="AH2714" s="44">
        <v>0</v>
      </c>
      <c r="AI2714" s="44">
        <v>0.2</v>
      </c>
      <c r="AJ2714" s="44">
        <v>0.4</v>
      </c>
      <c r="AK2714" s="151">
        <v>2</v>
      </c>
      <c r="AL2714" s="151">
        <v>2</v>
      </c>
      <c r="AM2714" s="17">
        <f t="shared" ref="AM2714:AM2748" si="136">SUM(AK2714:AL2714)</f>
        <v>4</v>
      </c>
      <c r="AN2714" s="44" t="s">
        <v>1035</v>
      </c>
      <c r="AO2714" s="18" t="s">
        <v>1037</v>
      </c>
      <c r="AP2714" t="s">
        <v>119</v>
      </c>
      <c r="AQ2714"/>
    </row>
    <row r="2715" spans="1:43" s="10" customFormat="1" x14ac:dyDescent="0.3">
      <c r="A2715" s="367" t="s">
        <v>8317</v>
      </c>
      <c r="B2715" s="10" t="s">
        <v>8318</v>
      </c>
      <c r="C2715" s="368" t="s">
        <v>8680</v>
      </c>
      <c r="D2715" s="10" t="s">
        <v>8681</v>
      </c>
      <c r="E2715" s="10" t="s">
        <v>8682</v>
      </c>
      <c r="F2715" s="10" t="s">
        <v>8683</v>
      </c>
      <c r="G2715" s="10" t="s">
        <v>8746</v>
      </c>
      <c r="H2715" s="10" t="s">
        <v>8747</v>
      </c>
      <c r="I2715" s="9"/>
      <c r="J2715" s="370"/>
      <c r="K2715" s="10" t="s">
        <v>8748</v>
      </c>
      <c r="L2715" s="10" t="s">
        <v>8749</v>
      </c>
      <c r="M2715" s="10" t="s">
        <v>8754</v>
      </c>
      <c r="N2715" s="16"/>
      <c r="O2715" s="16">
        <v>0</v>
      </c>
      <c r="P2715" s="16">
        <v>100</v>
      </c>
      <c r="Q2715" s="16">
        <v>100</v>
      </c>
      <c r="R2715" s="16">
        <v>100</v>
      </c>
      <c r="S2715" s="16">
        <v>100</v>
      </c>
      <c r="T2715" s="10" t="s">
        <v>8445</v>
      </c>
      <c r="U2715" t="e">
        <f>VLOOKUP(T2715,[8]Votes!$A$1:$E$234,3,FALSE)</f>
        <v>#N/A</v>
      </c>
      <c r="V2715" t="s">
        <v>8755</v>
      </c>
      <c r="W2715" s="369">
        <v>1</v>
      </c>
      <c r="X2715" s="369">
        <v>1</v>
      </c>
      <c r="Y2715" s="369">
        <v>0</v>
      </c>
      <c r="Z2715" s="369">
        <v>1</v>
      </c>
      <c r="AA2715" s="369">
        <v>1</v>
      </c>
      <c r="AB2715" s="369">
        <v>1</v>
      </c>
      <c r="AC2715" s="369">
        <v>1</v>
      </c>
      <c r="AD2715" s="369">
        <v>1</v>
      </c>
      <c r="AE2715" s="49">
        <f t="shared" si="135"/>
        <v>0.875</v>
      </c>
      <c r="AF2715" s="44"/>
      <c r="AG2715" s="17">
        <v>0</v>
      </c>
      <c r="AH2715" s="44">
        <v>0.1</v>
      </c>
      <c r="AI2715" s="44">
        <v>0.3</v>
      </c>
      <c r="AJ2715" s="44">
        <v>0.3</v>
      </c>
      <c r="AK2715" s="151">
        <v>0.3</v>
      </c>
      <c r="AL2715" s="151">
        <v>0.3</v>
      </c>
      <c r="AM2715" s="17">
        <f t="shared" si="136"/>
        <v>0.6</v>
      </c>
      <c r="AN2715" s="44" t="s">
        <v>1035</v>
      </c>
      <c r="AO2715" s="18" t="s">
        <v>1037</v>
      </c>
      <c r="AP2715" t="s">
        <v>8756</v>
      </c>
      <c r="AQ2715"/>
    </row>
    <row r="2716" spans="1:43" s="10" customFormat="1" x14ac:dyDescent="0.3">
      <c r="A2716" s="367" t="s">
        <v>8317</v>
      </c>
      <c r="B2716" s="10" t="s">
        <v>8318</v>
      </c>
      <c r="C2716" s="368" t="s">
        <v>8680</v>
      </c>
      <c r="D2716" s="10" t="s">
        <v>8681</v>
      </c>
      <c r="E2716" s="10" t="s">
        <v>8682</v>
      </c>
      <c r="F2716" s="10" t="s">
        <v>8683</v>
      </c>
      <c r="G2716" s="10" t="s">
        <v>8746</v>
      </c>
      <c r="H2716" s="10" t="s">
        <v>8747</v>
      </c>
      <c r="I2716" s="9"/>
      <c r="J2716" s="370"/>
      <c r="K2716" s="10" t="s">
        <v>8748</v>
      </c>
      <c r="L2716" s="10" t="s">
        <v>8749</v>
      </c>
      <c r="M2716" s="10" t="s">
        <v>8757</v>
      </c>
      <c r="N2716" s="16" t="s">
        <v>8758</v>
      </c>
      <c r="O2716" s="16">
        <v>15</v>
      </c>
      <c r="P2716" s="16">
        <v>15</v>
      </c>
      <c r="Q2716" s="16">
        <v>15</v>
      </c>
      <c r="R2716" s="16">
        <v>20</v>
      </c>
      <c r="S2716" s="16">
        <v>20</v>
      </c>
      <c r="T2716" s="10" t="s">
        <v>8702</v>
      </c>
      <c r="U2716" t="e">
        <f>VLOOKUP(T2716,[8]Votes!$A$1:$E$234,3,FALSE)</f>
        <v>#N/A</v>
      </c>
      <c r="V2716" t="s">
        <v>8759</v>
      </c>
      <c r="W2716" s="369">
        <v>1</v>
      </c>
      <c r="X2716" s="369">
        <v>1</v>
      </c>
      <c r="Y2716" s="369">
        <v>0</v>
      </c>
      <c r="Z2716" s="369">
        <v>1</v>
      </c>
      <c r="AA2716" s="369">
        <v>1</v>
      </c>
      <c r="AB2716" s="369">
        <v>1</v>
      </c>
      <c r="AC2716" s="369">
        <v>0</v>
      </c>
      <c r="AD2716" s="369">
        <v>1</v>
      </c>
      <c r="AE2716" s="49">
        <f t="shared" si="135"/>
        <v>0.75</v>
      </c>
      <c r="AF2716" s="44"/>
      <c r="AG2716" s="17">
        <v>1</v>
      </c>
      <c r="AH2716" s="44">
        <v>0.5</v>
      </c>
      <c r="AI2716" s="44">
        <v>0.5</v>
      </c>
      <c r="AJ2716" s="44">
        <v>0.5</v>
      </c>
      <c r="AK2716" s="151"/>
      <c r="AL2716" s="151"/>
      <c r="AM2716" s="17">
        <f t="shared" si="136"/>
        <v>0</v>
      </c>
      <c r="AN2716" s="44" t="s">
        <v>8501</v>
      </c>
      <c r="AO2716" s="18" t="s">
        <v>1037</v>
      </c>
      <c r="AP2716" t="s">
        <v>8760</v>
      </c>
      <c r="AQ2716"/>
    </row>
    <row r="2717" spans="1:43" s="10" customFormat="1" x14ac:dyDescent="0.3">
      <c r="A2717" s="367" t="s">
        <v>8317</v>
      </c>
      <c r="B2717" s="10" t="s">
        <v>8318</v>
      </c>
      <c r="C2717" s="368" t="s">
        <v>8680</v>
      </c>
      <c r="D2717" s="10" t="s">
        <v>8681</v>
      </c>
      <c r="E2717" s="10" t="s">
        <v>8682</v>
      </c>
      <c r="F2717" s="10" t="s">
        <v>8683</v>
      </c>
      <c r="G2717" s="10" t="s">
        <v>8746</v>
      </c>
      <c r="H2717" s="10" t="s">
        <v>8747</v>
      </c>
      <c r="I2717" s="9"/>
      <c r="J2717" s="370"/>
      <c r="K2717" s="10" t="s">
        <v>8748</v>
      </c>
      <c r="L2717" s="10" t="s">
        <v>8749</v>
      </c>
      <c r="M2717" s="10" t="s">
        <v>8761</v>
      </c>
      <c r="N2717" s="16"/>
      <c r="O2717" s="16">
        <v>2</v>
      </c>
      <c r="P2717" s="16">
        <v>2</v>
      </c>
      <c r="Q2717" s="16">
        <v>2</v>
      </c>
      <c r="R2717" s="16">
        <v>2</v>
      </c>
      <c r="S2717" s="16">
        <v>2</v>
      </c>
      <c r="T2717" s="10" t="s">
        <v>321</v>
      </c>
      <c r="U2717" t="str">
        <f>VLOOKUP(T2717,[8]Votes!$A$1:$E$234,3,FALSE)</f>
        <v>154 Uganda National Bureau of Standards</v>
      </c>
      <c r="V2717" t="s">
        <v>8762</v>
      </c>
      <c r="W2717" s="369">
        <v>1</v>
      </c>
      <c r="X2717" s="369">
        <v>1</v>
      </c>
      <c r="Y2717" s="369">
        <v>0</v>
      </c>
      <c r="Z2717" s="369">
        <v>1</v>
      </c>
      <c r="AA2717" s="369">
        <v>1</v>
      </c>
      <c r="AB2717" s="369">
        <v>1</v>
      </c>
      <c r="AC2717" s="369">
        <v>0</v>
      </c>
      <c r="AD2717" s="369">
        <v>1</v>
      </c>
      <c r="AE2717" s="49">
        <f t="shared" si="135"/>
        <v>0.75</v>
      </c>
      <c r="AF2717" s="44"/>
      <c r="AG2717" s="17">
        <v>0</v>
      </c>
      <c r="AH2717" s="44">
        <v>1</v>
      </c>
      <c r="AI2717" s="44">
        <v>1</v>
      </c>
      <c r="AJ2717" s="44">
        <v>1</v>
      </c>
      <c r="AK2717" s="151">
        <v>1</v>
      </c>
      <c r="AL2717" s="151">
        <v>1</v>
      </c>
      <c r="AM2717" s="17">
        <f t="shared" si="136"/>
        <v>2</v>
      </c>
      <c r="AN2717" s="44" t="s">
        <v>321</v>
      </c>
      <c r="AO2717" s="18" t="s">
        <v>1066</v>
      </c>
      <c r="AP2717" t="s">
        <v>1035</v>
      </c>
      <c r="AQ2717"/>
    </row>
    <row r="2718" spans="1:43" s="10" customFormat="1" hidden="1" x14ac:dyDescent="0.3">
      <c r="A2718" s="367" t="s">
        <v>8317</v>
      </c>
      <c r="B2718" s="10" t="s">
        <v>8318</v>
      </c>
      <c r="C2718" s="368" t="s">
        <v>8763</v>
      </c>
      <c r="D2718" s="10" t="s">
        <v>8764</v>
      </c>
      <c r="E2718" s="10" t="s">
        <v>8765</v>
      </c>
      <c r="F2718" s="10" t="s">
        <v>8766</v>
      </c>
      <c r="G2718" s="10" t="s">
        <v>8767</v>
      </c>
      <c r="H2718" s="10" t="s">
        <v>8768</v>
      </c>
      <c r="I2718" s="9"/>
      <c r="J2718" s="370"/>
      <c r="K2718" s="10" t="s">
        <v>8769</v>
      </c>
      <c r="L2718" s="10" t="s">
        <v>8770</v>
      </c>
      <c r="M2718" s="10" t="s">
        <v>8771</v>
      </c>
      <c r="N2718" s="16"/>
      <c r="O2718" s="16">
        <v>7</v>
      </c>
      <c r="P2718" s="16">
        <v>12</v>
      </c>
      <c r="Q2718" s="16">
        <v>20</v>
      </c>
      <c r="R2718" s="16">
        <v>20</v>
      </c>
      <c r="S2718" s="16">
        <v>20</v>
      </c>
      <c r="T2718" s="10" t="s">
        <v>8772</v>
      </c>
      <c r="U2718" t="e">
        <f>VLOOKUP(T2718,[8]Votes!$A$1:$E$234,3,FALSE)</f>
        <v>#N/A</v>
      </c>
      <c r="V2718" t="s">
        <v>8773</v>
      </c>
      <c r="W2718" s="369">
        <v>1</v>
      </c>
      <c r="X2718" s="369">
        <v>1</v>
      </c>
      <c r="Y2718" s="369">
        <v>0</v>
      </c>
      <c r="Z2718" s="369">
        <v>0</v>
      </c>
      <c r="AA2718" s="369">
        <v>1</v>
      </c>
      <c r="AB2718" s="369">
        <v>1</v>
      </c>
      <c r="AC2718" s="369">
        <v>0</v>
      </c>
      <c r="AD2718" s="369">
        <v>1</v>
      </c>
      <c r="AE2718" s="49">
        <f t="shared" si="135"/>
        <v>0.625</v>
      </c>
      <c r="AF2718" s="44"/>
      <c r="AG2718" s="17">
        <v>1</v>
      </c>
      <c r="AH2718" s="44">
        <v>3.5000000000000003E-2</v>
      </c>
      <c r="AI2718" s="44">
        <v>0.06</v>
      </c>
      <c r="AJ2718" s="44">
        <v>0.06</v>
      </c>
      <c r="AK2718" s="151"/>
      <c r="AL2718" s="151"/>
      <c r="AM2718" s="17">
        <f t="shared" si="136"/>
        <v>0</v>
      </c>
      <c r="AN2718" s="44" t="s">
        <v>1035</v>
      </c>
      <c r="AO2718" s="18" t="s">
        <v>1037</v>
      </c>
      <c r="AP2718" t="s">
        <v>119</v>
      </c>
    </row>
    <row r="2719" spans="1:43" s="10" customFormat="1" x14ac:dyDescent="0.3">
      <c r="A2719" s="367" t="s">
        <v>8317</v>
      </c>
      <c r="B2719" s="10" t="s">
        <v>8318</v>
      </c>
      <c r="C2719" s="368" t="s">
        <v>8763</v>
      </c>
      <c r="D2719" s="10" t="s">
        <v>8764</v>
      </c>
      <c r="E2719" s="10" t="s">
        <v>8765</v>
      </c>
      <c r="F2719" s="10" t="s">
        <v>8766</v>
      </c>
      <c r="G2719" s="10" t="s">
        <v>8767</v>
      </c>
      <c r="H2719" s="10" t="s">
        <v>8768</v>
      </c>
      <c r="I2719" s="9"/>
      <c r="J2719" s="370"/>
      <c r="K2719" s="10" t="s">
        <v>8769</v>
      </c>
      <c r="L2719" s="10" t="s">
        <v>8770</v>
      </c>
      <c r="M2719" s="10" t="s">
        <v>8774</v>
      </c>
      <c r="N2719" s="16">
        <v>1</v>
      </c>
      <c r="O2719" s="16">
        <v>0</v>
      </c>
      <c r="P2719" s="16">
        <v>2</v>
      </c>
      <c r="Q2719" s="16">
        <v>1</v>
      </c>
      <c r="R2719" s="16">
        <v>1</v>
      </c>
      <c r="S2719" s="16" t="s">
        <v>271</v>
      </c>
      <c r="T2719" s="10" t="s">
        <v>8775</v>
      </c>
      <c r="U2719" t="e">
        <f>VLOOKUP(T2719,[8]Votes!$A$1:$E$234,3,FALSE)</f>
        <v>#N/A</v>
      </c>
      <c r="V2719" t="s">
        <v>8776</v>
      </c>
      <c r="W2719" s="369">
        <v>1</v>
      </c>
      <c r="X2719" s="369">
        <v>1</v>
      </c>
      <c r="Y2719" s="369">
        <v>0</v>
      </c>
      <c r="Z2719" s="369">
        <v>1</v>
      </c>
      <c r="AA2719" s="369">
        <v>1</v>
      </c>
      <c r="AB2719" s="369">
        <v>1</v>
      </c>
      <c r="AC2719" s="369">
        <v>0</v>
      </c>
      <c r="AD2719" s="369">
        <v>1</v>
      </c>
      <c r="AE2719" s="49">
        <f t="shared" si="135"/>
        <v>0.75</v>
      </c>
      <c r="AF2719" s="17"/>
      <c r="AG2719" s="17">
        <v>1</v>
      </c>
      <c r="AH2719" s="17">
        <v>0</v>
      </c>
      <c r="AI2719" s="17">
        <v>0</v>
      </c>
      <c r="AJ2719" s="17">
        <v>0</v>
      </c>
      <c r="AK2719" s="153"/>
      <c r="AL2719" s="154"/>
      <c r="AM2719" s="17">
        <f t="shared" si="136"/>
        <v>0</v>
      </c>
      <c r="AN2719" s="44" t="s">
        <v>921</v>
      </c>
      <c r="AO2719" s="18" t="s">
        <v>880</v>
      </c>
      <c r="AP2719" t="s">
        <v>8777</v>
      </c>
    </row>
    <row r="2720" spans="1:43" s="10" customFormat="1" x14ac:dyDescent="0.3">
      <c r="A2720" s="367" t="s">
        <v>8317</v>
      </c>
      <c r="B2720" s="10" t="s">
        <v>8318</v>
      </c>
      <c r="C2720" s="368" t="s">
        <v>8763</v>
      </c>
      <c r="D2720" s="10" t="s">
        <v>8764</v>
      </c>
      <c r="E2720" s="10" t="s">
        <v>8765</v>
      </c>
      <c r="F2720" s="10" t="s">
        <v>8766</v>
      </c>
      <c r="G2720" s="10" t="s">
        <v>8767</v>
      </c>
      <c r="H2720" s="10" t="s">
        <v>8768</v>
      </c>
      <c r="I2720" s="9"/>
      <c r="J2720" s="370"/>
      <c r="K2720" s="10" t="s">
        <v>8769</v>
      </c>
      <c r="L2720" s="10" t="s">
        <v>8770</v>
      </c>
      <c r="N2720" s="16"/>
      <c r="O2720" s="16"/>
      <c r="P2720" s="16"/>
      <c r="Q2720" s="16"/>
      <c r="R2720" s="16"/>
      <c r="S2720" s="16"/>
      <c r="U2720" t="e">
        <f>VLOOKUP(T2720,[8]Votes!$A$1:$E$234,3,FALSE)</f>
        <v>#N/A</v>
      </c>
      <c r="V2720" t="s">
        <v>8778</v>
      </c>
      <c r="W2720" s="369">
        <v>1</v>
      </c>
      <c r="X2720" s="369">
        <v>1</v>
      </c>
      <c r="Y2720" s="369">
        <v>1</v>
      </c>
      <c r="Z2720" s="369">
        <v>1</v>
      </c>
      <c r="AA2720" s="369">
        <v>1</v>
      </c>
      <c r="AB2720" s="369">
        <v>1</v>
      </c>
      <c r="AC2720" s="369">
        <v>0</v>
      </c>
      <c r="AD2720" s="369">
        <v>1</v>
      </c>
      <c r="AE2720" s="49">
        <f t="shared" si="135"/>
        <v>0.875</v>
      </c>
      <c r="AF2720" s="44"/>
      <c r="AG2720" s="17">
        <v>1</v>
      </c>
      <c r="AH2720" s="44" t="s">
        <v>271</v>
      </c>
      <c r="AI2720" s="44">
        <v>0.124</v>
      </c>
      <c r="AJ2720" s="44">
        <v>0.124</v>
      </c>
      <c r="AK2720" s="151"/>
      <c r="AL2720" s="151"/>
      <c r="AM2720" s="17">
        <f t="shared" si="136"/>
        <v>0</v>
      </c>
      <c r="AN2720" t="s">
        <v>1035</v>
      </c>
      <c r="AO2720" s="18" t="s">
        <v>1037</v>
      </c>
      <c r="AP2720" t="s">
        <v>119</v>
      </c>
    </row>
    <row r="2721" spans="1:42" s="10" customFormat="1" x14ac:dyDescent="0.3">
      <c r="A2721" s="367" t="s">
        <v>8317</v>
      </c>
      <c r="B2721" s="10" t="s">
        <v>8318</v>
      </c>
      <c r="C2721" s="368" t="s">
        <v>8763</v>
      </c>
      <c r="D2721" s="10" t="s">
        <v>8764</v>
      </c>
      <c r="E2721" s="10" t="s">
        <v>8765</v>
      </c>
      <c r="F2721" s="10" t="s">
        <v>8766</v>
      </c>
      <c r="G2721" s="10" t="s">
        <v>8767</v>
      </c>
      <c r="H2721" s="10" t="s">
        <v>8768</v>
      </c>
      <c r="I2721" s="9"/>
      <c r="J2721" s="370"/>
      <c r="K2721" s="10" t="s">
        <v>8769</v>
      </c>
      <c r="L2721" s="10" t="s">
        <v>8770</v>
      </c>
      <c r="N2721" s="16"/>
      <c r="O2721" s="16"/>
      <c r="P2721" s="16"/>
      <c r="Q2721" s="16"/>
      <c r="R2721" s="16"/>
      <c r="S2721" s="16"/>
      <c r="U2721" t="e">
        <f>VLOOKUP(T2721,[8]Votes!$A$1:$E$234,3,FALSE)</f>
        <v>#N/A</v>
      </c>
      <c r="V2721" t="s">
        <v>8779</v>
      </c>
      <c r="W2721" s="369">
        <v>1</v>
      </c>
      <c r="X2721" s="369">
        <v>0</v>
      </c>
      <c r="Y2721" s="369">
        <v>1</v>
      </c>
      <c r="Z2721" s="369">
        <v>1</v>
      </c>
      <c r="AA2721" s="369">
        <v>1</v>
      </c>
      <c r="AB2721" s="369">
        <v>1</v>
      </c>
      <c r="AC2721" s="369">
        <v>0</v>
      </c>
      <c r="AD2721" s="369">
        <v>1</v>
      </c>
      <c r="AE2721" s="49">
        <f t="shared" si="135"/>
        <v>0.75</v>
      </c>
      <c r="AF2721" s="44"/>
      <c r="AG2721" s="17">
        <v>0</v>
      </c>
      <c r="AH2721" s="44">
        <v>0.1</v>
      </c>
      <c r="AI2721" s="44">
        <v>0.3</v>
      </c>
      <c r="AJ2721" s="44">
        <v>0.6</v>
      </c>
      <c r="AK2721" s="151">
        <v>0.6</v>
      </c>
      <c r="AL2721" s="151">
        <v>0.4</v>
      </c>
      <c r="AM2721" s="17">
        <f t="shared" si="136"/>
        <v>1</v>
      </c>
      <c r="AN2721" t="s">
        <v>1035</v>
      </c>
      <c r="AO2721" s="18" t="s">
        <v>1037</v>
      </c>
      <c r="AP2721" t="s">
        <v>119</v>
      </c>
    </row>
    <row r="2722" spans="1:42" s="10" customFormat="1" x14ac:dyDescent="0.3">
      <c r="A2722" s="367" t="s">
        <v>8317</v>
      </c>
      <c r="B2722" s="10" t="s">
        <v>8318</v>
      </c>
      <c r="C2722" s="368" t="s">
        <v>8763</v>
      </c>
      <c r="D2722" s="10" t="s">
        <v>8764</v>
      </c>
      <c r="E2722" s="10" t="s">
        <v>8765</v>
      </c>
      <c r="F2722" s="10" t="s">
        <v>8766</v>
      </c>
      <c r="G2722" s="10" t="s">
        <v>8767</v>
      </c>
      <c r="H2722" s="10" t="s">
        <v>8768</v>
      </c>
      <c r="I2722" s="9"/>
      <c r="J2722" s="370"/>
      <c r="K2722" s="10" t="s">
        <v>8769</v>
      </c>
      <c r="L2722" s="10" t="s">
        <v>8770</v>
      </c>
      <c r="N2722" s="16"/>
      <c r="O2722" s="16"/>
      <c r="P2722" s="16"/>
      <c r="Q2722" s="16"/>
      <c r="R2722" s="16"/>
      <c r="S2722" s="16"/>
      <c r="U2722" t="e">
        <f>VLOOKUP(T2722,[8]Votes!$A$1:$E$234,3,FALSE)</f>
        <v>#N/A</v>
      </c>
      <c r="V2722" t="s">
        <v>8780</v>
      </c>
      <c r="W2722" s="369">
        <v>1</v>
      </c>
      <c r="X2722" s="369">
        <v>0</v>
      </c>
      <c r="Y2722" s="369">
        <v>1</v>
      </c>
      <c r="Z2722" s="369">
        <v>1</v>
      </c>
      <c r="AA2722" s="369">
        <v>1</v>
      </c>
      <c r="AB2722" s="369">
        <v>1</v>
      </c>
      <c r="AC2722" s="369">
        <v>0</v>
      </c>
      <c r="AD2722" s="369">
        <v>1</v>
      </c>
      <c r="AE2722" s="49">
        <f t="shared" si="135"/>
        <v>0.75</v>
      </c>
      <c r="AF2722" s="44"/>
      <c r="AG2722" s="17">
        <v>0</v>
      </c>
      <c r="AH2722" s="44">
        <v>2.1999999999999999E-2</v>
      </c>
      <c r="AI2722" s="44">
        <v>2.1999999999999999E-2</v>
      </c>
      <c r="AJ2722" s="44">
        <v>2.1999999999999999E-2</v>
      </c>
      <c r="AK2722" s="151">
        <v>2.1999999999999999E-2</v>
      </c>
      <c r="AL2722" s="151" t="s">
        <v>271</v>
      </c>
      <c r="AM2722" s="17">
        <f t="shared" si="136"/>
        <v>2.1999999999999999E-2</v>
      </c>
      <c r="AN2722" t="s">
        <v>723</v>
      </c>
      <c r="AO2722" s="18" t="s">
        <v>729</v>
      </c>
      <c r="AP2722" t="s">
        <v>8775</v>
      </c>
    </row>
    <row r="2723" spans="1:42" s="10" customFormat="1" hidden="1" x14ac:dyDescent="0.3">
      <c r="A2723" s="367" t="s">
        <v>8317</v>
      </c>
      <c r="B2723" s="10" t="s">
        <v>8318</v>
      </c>
      <c r="C2723" s="368" t="s">
        <v>8763</v>
      </c>
      <c r="D2723" s="10" t="s">
        <v>8764</v>
      </c>
      <c r="E2723" s="10" t="s">
        <v>8765</v>
      </c>
      <c r="F2723" s="10" t="s">
        <v>8766</v>
      </c>
      <c r="G2723" s="10" t="s">
        <v>8767</v>
      </c>
      <c r="H2723" s="10" t="s">
        <v>8768</v>
      </c>
      <c r="I2723" s="9"/>
      <c r="J2723" s="370"/>
      <c r="K2723" s="10" t="s">
        <v>8769</v>
      </c>
      <c r="L2723" s="10" t="s">
        <v>8770</v>
      </c>
      <c r="N2723" s="16"/>
      <c r="O2723" s="16"/>
      <c r="P2723" s="16"/>
      <c r="Q2723" s="16"/>
      <c r="R2723" s="16"/>
      <c r="S2723" s="16"/>
      <c r="U2723" t="e">
        <f>VLOOKUP(T2723,[8]Votes!$A$1:$E$234,3,FALSE)</f>
        <v>#N/A</v>
      </c>
      <c r="V2723" t="s">
        <v>8781</v>
      </c>
      <c r="W2723" s="369">
        <v>1</v>
      </c>
      <c r="X2723" s="369">
        <v>0</v>
      </c>
      <c r="Y2723" s="369">
        <v>0</v>
      </c>
      <c r="Z2723" s="369">
        <v>1</v>
      </c>
      <c r="AA2723" s="369">
        <v>1</v>
      </c>
      <c r="AB2723" s="369">
        <v>1</v>
      </c>
      <c r="AC2723" s="369">
        <v>0</v>
      </c>
      <c r="AD2723" s="369">
        <v>1</v>
      </c>
      <c r="AE2723" s="49">
        <f t="shared" si="135"/>
        <v>0.625</v>
      </c>
      <c r="AF2723" s="17"/>
      <c r="AG2723" s="17">
        <v>0</v>
      </c>
      <c r="AH2723" s="17">
        <v>0</v>
      </c>
      <c r="AI2723" s="44">
        <v>0.25</v>
      </c>
      <c r="AJ2723" s="44">
        <v>0.25</v>
      </c>
      <c r="AK2723" s="151">
        <v>0.25</v>
      </c>
      <c r="AL2723" s="151">
        <v>0.25</v>
      </c>
      <c r="AM2723" s="17">
        <f t="shared" si="136"/>
        <v>0.5</v>
      </c>
      <c r="AN2723" t="s">
        <v>1035</v>
      </c>
      <c r="AO2723" s="18" t="s">
        <v>1037</v>
      </c>
      <c r="AP2723" t="s">
        <v>119</v>
      </c>
    </row>
    <row r="2724" spans="1:42" s="10" customFormat="1" x14ac:dyDescent="0.3">
      <c r="A2724" s="367" t="s">
        <v>8317</v>
      </c>
      <c r="B2724" s="10" t="s">
        <v>8318</v>
      </c>
      <c r="C2724" s="368" t="s">
        <v>8763</v>
      </c>
      <c r="D2724" s="10" t="s">
        <v>8764</v>
      </c>
      <c r="E2724" s="10" t="s">
        <v>8765</v>
      </c>
      <c r="F2724" s="10" t="s">
        <v>8766</v>
      </c>
      <c r="G2724" s="10" t="s">
        <v>8767</v>
      </c>
      <c r="H2724" s="10" t="s">
        <v>8768</v>
      </c>
      <c r="I2724" s="9"/>
      <c r="J2724" s="370"/>
      <c r="K2724" s="10" t="s">
        <v>8782</v>
      </c>
      <c r="L2724" s="10" t="s">
        <v>8783</v>
      </c>
      <c r="M2724" s="10" t="s">
        <v>8784</v>
      </c>
      <c r="N2724" s="16">
        <v>2</v>
      </c>
      <c r="O2724" s="16">
        <v>3</v>
      </c>
      <c r="P2724" s="16">
        <v>4.5</v>
      </c>
      <c r="Q2724" s="16">
        <v>6.8</v>
      </c>
      <c r="R2724" s="16">
        <v>10.1</v>
      </c>
      <c r="S2724" s="16">
        <v>15.2</v>
      </c>
      <c r="T2724" s="10" t="s">
        <v>1035</v>
      </c>
      <c r="U2724" t="str">
        <f>VLOOKUP(T2724,[8]Votes!$A$1:$E$234,3,FALSE)</f>
        <v>017 Ministry of Energy and Mineral Development</v>
      </c>
      <c r="V2724" t="s">
        <v>8785</v>
      </c>
      <c r="W2724" s="369">
        <v>1</v>
      </c>
      <c r="X2724" s="369">
        <v>1</v>
      </c>
      <c r="Y2724" s="369">
        <v>0</v>
      </c>
      <c r="Z2724" s="369">
        <v>1</v>
      </c>
      <c r="AA2724" s="369">
        <v>1</v>
      </c>
      <c r="AB2724" s="369">
        <v>1</v>
      </c>
      <c r="AC2724" s="369">
        <v>0</v>
      </c>
      <c r="AD2724" s="369">
        <v>1</v>
      </c>
      <c r="AE2724" s="49">
        <f t="shared" si="135"/>
        <v>0.75</v>
      </c>
      <c r="AF2724" s="44"/>
      <c r="AG2724" s="17">
        <v>0</v>
      </c>
      <c r="AH2724" s="44">
        <v>1</v>
      </c>
      <c r="AI2724" s="44">
        <v>1</v>
      </c>
      <c r="AJ2724" s="44">
        <v>1</v>
      </c>
      <c r="AK2724" s="151">
        <v>2</v>
      </c>
      <c r="AL2724" s="151">
        <v>2</v>
      </c>
      <c r="AM2724" s="17">
        <f t="shared" si="136"/>
        <v>4</v>
      </c>
      <c r="AN2724" t="s">
        <v>1035</v>
      </c>
      <c r="AO2724" s="18" t="s">
        <v>1037</v>
      </c>
      <c r="AP2724" t="s">
        <v>119</v>
      </c>
    </row>
    <row r="2725" spans="1:42" s="10" customFormat="1" x14ac:dyDescent="0.3">
      <c r="A2725" s="367" t="s">
        <v>8317</v>
      </c>
      <c r="B2725" s="10" t="s">
        <v>8318</v>
      </c>
      <c r="C2725" s="368" t="s">
        <v>8763</v>
      </c>
      <c r="D2725" s="10" t="s">
        <v>8764</v>
      </c>
      <c r="E2725" s="10" t="s">
        <v>8765</v>
      </c>
      <c r="F2725" s="10" t="s">
        <v>8766</v>
      </c>
      <c r="G2725" s="10" t="s">
        <v>8767</v>
      </c>
      <c r="H2725" s="10" t="s">
        <v>8768</v>
      </c>
      <c r="I2725" s="9"/>
      <c r="J2725" s="370"/>
      <c r="K2725" s="10" t="s">
        <v>8782</v>
      </c>
      <c r="L2725" s="10" t="s">
        <v>8783</v>
      </c>
      <c r="N2725" s="16"/>
      <c r="O2725" s="16"/>
      <c r="P2725" s="16"/>
      <c r="Q2725" s="16"/>
      <c r="R2725" s="16"/>
      <c r="S2725" s="16"/>
      <c r="U2725" t="e">
        <f>VLOOKUP(T2725,[8]Votes!$A$1:$E$234,3,FALSE)</f>
        <v>#N/A</v>
      </c>
      <c r="V2725" t="s">
        <v>8786</v>
      </c>
      <c r="W2725" s="369">
        <v>1</v>
      </c>
      <c r="X2725" s="369">
        <v>1</v>
      </c>
      <c r="Y2725" s="369">
        <v>1</v>
      </c>
      <c r="Z2725" s="369">
        <v>1</v>
      </c>
      <c r="AA2725" s="369">
        <v>1</v>
      </c>
      <c r="AB2725" s="369">
        <v>1</v>
      </c>
      <c r="AC2725" s="369">
        <v>1</v>
      </c>
      <c r="AD2725" s="369">
        <v>1</v>
      </c>
      <c r="AE2725" s="49">
        <f t="shared" si="135"/>
        <v>1</v>
      </c>
      <c r="AF2725" s="44"/>
      <c r="AG2725" s="17">
        <v>0</v>
      </c>
      <c r="AH2725" s="44">
        <v>0</v>
      </c>
      <c r="AI2725" s="44">
        <v>0.5</v>
      </c>
      <c r="AJ2725" s="44">
        <v>0.75</v>
      </c>
      <c r="AK2725" s="151">
        <v>0.52500000000000002</v>
      </c>
      <c r="AL2725" s="151">
        <v>0.97499999999999998</v>
      </c>
      <c r="AM2725" s="17">
        <f t="shared" si="136"/>
        <v>1.5</v>
      </c>
      <c r="AN2725" t="s">
        <v>1035</v>
      </c>
      <c r="AO2725" s="18" t="s">
        <v>1037</v>
      </c>
      <c r="AP2725" t="s">
        <v>8787</v>
      </c>
    </row>
    <row r="2726" spans="1:42" s="10" customFormat="1" x14ac:dyDescent="0.3">
      <c r="A2726" s="367" t="s">
        <v>8317</v>
      </c>
      <c r="B2726" s="10" t="s">
        <v>8318</v>
      </c>
      <c r="C2726" s="368" t="s">
        <v>8763</v>
      </c>
      <c r="D2726" s="10" t="s">
        <v>8764</v>
      </c>
      <c r="E2726" s="10" t="s">
        <v>8765</v>
      </c>
      <c r="F2726" s="10" t="s">
        <v>8766</v>
      </c>
      <c r="G2726" s="10" t="s">
        <v>8767</v>
      </c>
      <c r="H2726" s="10" t="s">
        <v>8768</v>
      </c>
      <c r="I2726" s="9"/>
      <c r="J2726" s="370"/>
      <c r="K2726" s="10" t="s">
        <v>8782</v>
      </c>
      <c r="L2726" s="10" t="s">
        <v>8783</v>
      </c>
      <c r="N2726" s="16"/>
      <c r="O2726" s="16"/>
      <c r="P2726" s="16"/>
      <c r="Q2726" s="16"/>
      <c r="R2726" s="16"/>
      <c r="S2726" s="16"/>
      <c r="U2726" t="e">
        <f>VLOOKUP(T2726,[8]Votes!$A$1:$E$234,3,FALSE)</f>
        <v>#N/A</v>
      </c>
      <c r="V2726" t="s">
        <v>8788</v>
      </c>
      <c r="W2726" s="369">
        <v>1</v>
      </c>
      <c r="X2726" s="369">
        <v>1</v>
      </c>
      <c r="Y2726" s="369">
        <v>1</v>
      </c>
      <c r="Z2726" s="369">
        <v>1</v>
      </c>
      <c r="AA2726" s="369">
        <v>1</v>
      </c>
      <c r="AB2726" s="369">
        <v>1</v>
      </c>
      <c r="AC2726" s="369">
        <v>1</v>
      </c>
      <c r="AD2726" s="369">
        <v>1</v>
      </c>
      <c r="AE2726" s="49">
        <f t="shared" si="135"/>
        <v>1</v>
      </c>
      <c r="AF2726" s="17"/>
      <c r="AG2726" s="17">
        <v>0</v>
      </c>
      <c r="AH2726" s="17">
        <v>0</v>
      </c>
      <c r="AI2726" s="44">
        <v>2</v>
      </c>
      <c r="AJ2726" s="44">
        <v>2</v>
      </c>
      <c r="AK2726" s="151">
        <v>6</v>
      </c>
      <c r="AL2726" s="151">
        <v>2</v>
      </c>
      <c r="AM2726" s="17">
        <f t="shared" si="136"/>
        <v>8</v>
      </c>
      <c r="AN2726" s="44" t="s">
        <v>1035</v>
      </c>
      <c r="AO2726" s="18" t="s">
        <v>1037</v>
      </c>
      <c r="AP2726" t="s">
        <v>119</v>
      </c>
    </row>
    <row r="2727" spans="1:42" s="10" customFormat="1" x14ac:dyDescent="0.3">
      <c r="A2727" s="367" t="s">
        <v>8317</v>
      </c>
      <c r="B2727" s="10" t="s">
        <v>8318</v>
      </c>
      <c r="C2727" s="368" t="s">
        <v>8763</v>
      </c>
      <c r="D2727" s="10" t="s">
        <v>8764</v>
      </c>
      <c r="E2727" s="10" t="s">
        <v>8765</v>
      </c>
      <c r="F2727" s="10" t="s">
        <v>8766</v>
      </c>
      <c r="G2727" s="10" t="s">
        <v>8767</v>
      </c>
      <c r="H2727" s="10" t="s">
        <v>8768</v>
      </c>
      <c r="I2727" s="9"/>
      <c r="J2727" s="370"/>
      <c r="K2727" s="10" t="s">
        <v>8782</v>
      </c>
      <c r="L2727" s="10" t="s">
        <v>8783</v>
      </c>
      <c r="N2727" s="16"/>
      <c r="O2727" s="16"/>
      <c r="P2727" s="16"/>
      <c r="Q2727" s="16"/>
      <c r="R2727" s="16"/>
      <c r="S2727" s="16"/>
      <c r="U2727" t="e">
        <f>VLOOKUP(T2727,[8]Votes!$A$1:$E$234,3,FALSE)</f>
        <v>#N/A</v>
      </c>
      <c r="V2727" t="s">
        <v>8789</v>
      </c>
      <c r="W2727" s="369">
        <v>1</v>
      </c>
      <c r="X2727" s="369">
        <v>0</v>
      </c>
      <c r="Y2727" s="369">
        <v>1</v>
      </c>
      <c r="Z2727" s="369">
        <v>1</v>
      </c>
      <c r="AA2727" s="369">
        <v>1</v>
      </c>
      <c r="AB2727" s="369">
        <v>1</v>
      </c>
      <c r="AC2727" s="369">
        <v>0</v>
      </c>
      <c r="AD2727" s="369">
        <v>1</v>
      </c>
      <c r="AE2727" s="49">
        <f t="shared" si="135"/>
        <v>0.75</v>
      </c>
      <c r="AF2727" s="44"/>
      <c r="AG2727" s="17">
        <v>1</v>
      </c>
      <c r="AH2727" s="44">
        <v>6.6000000000000003E-2</v>
      </c>
      <c r="AI2727" s="44">
        <v>0.5</v>
      </c>
      <c r="AJ2727" s="44">
        <v>2.2999999999999998</v>
      </c>
      <c r="AK2727" s="151"/>
      <c r="AL2727" s="151"/>
      <c r="AM2727" s="17">
        <f t="shared" si="136"/>
        <v>0</v>
      </c>
      <c r="AN2727" t="s">
        <v>723</v>
      </c>
      <c r="AO2727" s="18" t="s">
        <v>729</v>
      </c>
      <c r="AP2727" t="s">
        <v>119</v>
      </c>
    </row>
    <row r="2728" spans="1:42" s="10" customFormat="1" x14ac:dyDescent="0.3">
      <c r="A2728" s="367" t="s">
        <v>8317</v>
      </c>
      <c r="B2728" s="10" t="s">
        <v>8318</v>
      </c>
      <c r="C2728" s="368" t="s">
        <v>8763</v>
      </c>
      <c r="D2728" s="10" t="s">
        <v>8764</v>
      </c>
      <c r="E2728" s="10" t="s">
        <v>8765</v>
      </c>
      <c r="F2728" s="10" t="s">
        <v>8766</v>
      </c>
      <c r="G2728" s="10" t="s">
        <v>8767</v>
      </c>
      <c r="H2728" s="10" t="s">
        <v>8768</v>
      </c>
      <c r="I2728" s="9"/>
      <c r="J2728" s="370"/>
      <c r="K2728" s="10" t="s">
        <v>8782</v>
      </c>
      <c r="L2728" s="10" t="s">
        <v>8783</v>
      </c>
      <c r="N2728" s="16"/>
      <c r="O2728" s="16"/>
      <c r="P2728" s="16"/>
      <c r="Q2728" s="16"/>
      <c r="R2728" s="16"/>
      <c r="S2728" s="16"/>
      <c r="U2728" t="e">
        <f>VLOOKUP(T2728,[8]Votes!$A$1:$E$234,3,FALSE)</f>
        <v>#N/A</v>
      </c>
      <c r="V2728" t="s">
        <v>8790</v>
      </c>
      <c r="W2728" s="369">
        <v>1</v>
      </c>
      <c r="X2728" s="369">
        <v>1</v>
      </c>
      <c r="Y2728" s="369">
        <v>1</v>
      </c>
      <c r="Z2728" s="369">
        <v>1</v>
      </c>
      <c r="AA2728" s="369">
        <v>1</v>
      </c>
      <c r="AB2728" s="369">
        <v>1</v>
      </c>
      <c r="AC2728" s="369">
        <v>0</v>
      </c>
      <c r="AD2728" s="369">
        <v>1</v>
      </c>
      <c r="AE2728" s="49">
        <f t="shared" si="135"/>
        <v>0.875</v>
      </c>
      <c r="AF2728" s="17"/>
      <c r="AG2728" s="17">
        <v>0</v>
      </c>
      <c r="AH2728" s="17">
        <v>0</v>
      </c>
      <c r="AI2728" s="17">
        <v>0</v>
      </c>
      <c r="AJ2728" s="17">
        <v>0</v>
      </c>
      <c r="AK2728" s="153">
        <v>2</v>
      </c>
      <c r="AL2728" s="154">
        <v>2</v>
      </c>
      <c r="AM2728" s="17">
        <f t="shared" si="136"/>
        <v>4</v>
      </c>
      <c r="AN2728" s="44" t="s">
        <v>1035</v>
      </c>
      <c r="AO2728" s="18" t="s">
        <v>1037</v>
      </c>
      <c r="AP2728" t="s">
        <v>119</v>
      </c>
    </row>
    <row r="2729" spans="1:42" s="10" customFormat="1" hidden="1" x14ac:dyDescent="0.3">
      <c r="A2729" s="367" t="s">
        <v>8317</v>
      </c>
      <c r="B2729" s="10" t="s">
        <v>8318</v>
      </c>
      <c r="C2729" s="368" t="s">
        <v>8763</v>
      </c>
      <c r="D2729" s="10" t="s">
        <v>8764</v>
      </c>
      <c r="E2729" s="10" t="s">
        <v>8765</v>
      </c>
      <c r="F2729" s="10" t="s">
        <v>8766</v>
      </c>
      <c r="G2729" s="10" t="s">
        <v>8767</v>
      </c>
      <c r="H2729" s="10" t="s">
        <v>8768</v>
      </c>
      <c r="I2729" s="9"/>
      <c r="J2729" s="370"/>
      <c r="K2729" s="10" t="s">
        <v>8782</v>
      </c>
      <c r="L2729" s="10" t="s">
        <v>8783</v>
      </c>
      <c r="N2729" s="16"/>
      <c r="O2729" s="16"/>
      <c r="P2729" s="16"/>
      <c r="Q2729" s="16"/>
      <c r="R2729" s="16"/>
      <c r="S2729" s="16"/>
      <c r="U2729" t="e">
        <f>VLOOKUP(T2729,[8]Votes!$A$1:$E$234,3,FALSE)</f>
        <v>#N/A</v>
      </c>
      <c r="V2729" t="s">
        <v>8791</v>
      </c>
      <c r="W2729" s="369">
        <v>1</v>
      </c>
      <c r="X2729" s="369">
        <v>0</v>
      </c>
      <c r="Y2729" s="369">
        <v>0</v>
      </c>
      <c r="Z2729" s="369">
        <v>1</v>
      </c>
      <c r="AA2729" s="369">
        <v>1</v>
      </c>
      <c r="AB2729" s="369">
        <v>1</v>
      </c>
      <c r="AC2729" s="369">
        <v>0</v>
      </c>
      <c r="AD2729" s="369">
        <v>1</v>
      </c>
      <c r="AE2729" s="49">
        <f t="shared" si="135"/>
        <v>0.625</v>
      </c>
      <c r="AF2729" s="44"/>
      <c r="AG2729" s="17">
        <v>0</v>
      </c>
      <c r="AH2729" s="44">
        <v>0.1</v>
      </c>
      <c r="AI2729" s="44">
        <v>0.1</v>
      </c>
      <c r="AJ2729" s="44">
        <v>0.1</v>
      </c>
      <c r="AK2729" s="151">
        <v>0.1</v>
      </c>
      <c r="AL2729" s="151">
        <v>0.1</v>
      </c>
      <c r="AM2729" s="17">
        <f t="shared" si="136"/>
        <v>0.2</v>
      </c>
      <c r="AN2729" s="18" t="s">
        <v>101</v>
      </c>
      <c r="AO2729" s="18" t="s">
        <v>103</v>
      </c>
      <c r="AP2729" t="s">
        <v>8792</v>
      </c>
    </row>
    <row r="2730" spans="1:42" s="10" customFormat="1" x14ac:dyDescent="0.3">
      <c r="A2730" s="367" t="s">
        <v>8317</v>
      </c>
      <c r="B2730" s="10" t="s">
        <v>8318</v>
      </c>
      <c r="C2730" s="368" t="s">
        <v>8763</v>
      </c>
      <c r="D2730" s="10" t="s">
        <v>8764</v>
      </c>
      <c r="E2730" s="10" t="s">
        <v>8765</v>
      </c>
      <c r="F2730" s="10" t="s">
        <v>8766</v>
      </c>
      <c r="G2730" s="10" t="s">
        <v>8767</v>
      </c>
      <c r="H2730" s="10" t="s">
        <v>8768</v>
      </c>
      <c r="I2730" s="9"/>
      <c r="J2730" s="370"/>
      <c r="K2730" s="10" t="s">
        <v>8782</v>
      </c>
      <c r="L2730" s="10" t="s">
        <v>8783</v>
      </c>
      <c r="N2730" s="16"/>
      <c r="O2730" s="16"/>
      <c r="P2730" s="16"/>
      <c r="Q2730" s="16"/>
      <c r="R2730" s="16"/>
      <c r="S2730" s="16"/>
      <c r="U2730" t="e">
        <f>VLOOKUP(T2730,[8]Votes!$A$1:$E$234,3,FALSE)</f>
        <v>#N/A</v>
      </c>
      <c r="V2730" t="s">
        <v>8793</v>
      </c>
      <c r="W2730" s="369">
        <v>1</v>
      </c>
      <c r="X2730" s="369">
        <v>1</v>
      </c>
      <c r="Y2730" s="369">
        <v>1</v>
      </c>
      <c r="Z2730" s="369">
        <v>1</v>
      </c>
      <c r="AA2730" s="369">
        <v>1</v>
      </c>
      <c r="AB2730" s="369">
        <v>1</v>
      </c>
      <c r="AC2730" s="369">
        <v>1</v>
      </c>
      <c r="AD2730" s="369">
        <v>1</v>
      </c>
      <c r="AE2730" s="49">
        <f t="shared" si="135"/>
        <v>1</v>
      </c>
      <c r="AF2730" s="44"/>
      <c r="AG2730" s="17">
        <v>0</v>
      </c>
      <c r="AH2730" s="44">
        <v>2</v>
      </c>
      <c r="AI2730" s="44">
        <v>2</v>
      </c>
      <c r="AJ2730" s="44">
        <v>2</v>
      </c>
      <c r="AK2730" s="151">
        <v>1</v>
      </c>
      <c r="AL2730" s="151">
        <v>1</v>
      </c>
      <c r="AM2730" s="17">
        <f t="shared" si="136"/>
        <v>2</v>
      </c>
      <c r="AN2730" s="44" t="s">
        <v>1035</v>
      </c>
      <c r="AO2730" s="18" t="s">
        <v>1037</v>
      </c>
      <c r="AP2730" t="s">
        <v>119</v>
      </c>
    </row>
    <row r="2731" spans="1:42" s="10" customFormat="1" hidden="1" x14ac:dyDescent="0.3">
      <c r="A2731" s="367" t="s">
        <v>8317</v>
      </c>
      <c r="B2731" s="10" t="s">
        <v>8318</v>
      </c>
      <c r="C2731" s="368" t="s">
        <v>8763</v>
      </c>
      <c r="D2731" s="10" t="s">
        <v>8764</v>
      </c>
      <c r="E2731" s="10" t="s">
        <v>8765</v>
      </c>
      <c r="F2731" s="10" t="s">
        <v>8766</v>
      </c>
      <c r="G2731" s="10" t="s">
        <v>8767</v>
      </c>
      <c r="H2731" s="10" t="s">
        <v>8768</v>
      </c>
      <c r="I2731" s="9"/>
      <c r="J2731" s="370"/>
      <c r="K2731" s="10" t="s">
        <v>8782</v>
      </c>
      <c r="L2731" s="10" t="s">
        <v>8783</v>
      </c>
      <c r="N2731" s="16"/>
      <c r="O2731" s="16"/>
      <c r="P2731" s="16"/>
      <c r="Q2731" s="16"/>
      <c r="R2731" s="16"/>
      <c r="S2731" s="16"/>
      <c r="U2731" t="e">
        <f>VLOOKUP(T2731,[8]Votes!$A$1:$E$234,3,FALSE)</f>
        <v>#N/A</v>
      </c>
      <c r="V2731" t="s">
        <v>8794</v>
      </c>
      <c r="W2731" s="369">
        <v>1</v>
      </c>
      <c r="X2731" s="369">
        <v>0</v>
      </c>
      <c r="Y2731" s="369">
        <v>0</v>
      </c>
      <c r="Z2731" s="369">
        <v>1</v>
      </c>
      <c r="AA2731" s="369">
        <v>1</v>
      </c>
      <c r="AB2731" s="369">
        <v>1</v>
      </c>
      <c r="AC2731" s="369">
        <v>0</v>
      </c>
      <c r="AD2731" s="369">
        <v>1</v>
      </c>
      <c r="AE2731" s="49">
        <f t="shared" si="135"/>
        <v>0.625</v>
      </c>
      <c r="AF2731" s="44"/>
      <c r="AG2731" s="17">
        <v>1</v>
      </c>
      <c r="AH2731" s="44">
        <v>0.16</v>
      </c>
      <c r="AI2731" s="44">
        <v>1</v>
      </c>
      <c r="AJ2731" s="44">
        <v>1.6</v>
      </c>
      <c r="AK2731" s="151"/>
      <c r="AL2731" s="151"/>
      <c r="AM2731" s="17">
        <f t="shared" si="136"/>
        <v>0</v>
      </c>
      <c r="AN2731" s="44" t="s">
        <v>1035</v>
      </c>
      <c r="AO2731" s="18" t="s">
        <v>1037</v>
      </c>
      <c r="AP2731" t="s">
        <v>8795</v>
      </c>
    </row>
    <row r="2732" spans="1:42" s="10" customFormat="1" x14ac:dyDescent="0.3">
      <c r="A2732" s="367" t="s">
        <v>8317</v>
      </c>
      <c r="B2732" s="10" t="s">
        <v>8318</v>
      </c>
      <c r="C2732" s="368" t="s">
        <v>8763</v>
      </c>
      <c r="D2732" s="10" t="s">
        <v>8764</v>
      </c>
      <c r="E2732" s="10" t="s">
        <v>8765</v>
      </c>
      <c r="F2732" s="10" t="s">
        <v>8766</v>
      </c>
      <c r="G2732" s="10" t="s">
        <v>8767</v>
      </c>
      <c r="H2732" s="10" t="s">
        <v>8768</v>
      </c>
      <c r="I2732" s="9"/>
      <c r="J2732" s="370"/>
      <c r="K2732" s="10" t="s">
        <v>8782</v>
      </c>
      <c r="L2732" s="10" t="s">
        <v>8783</v>
      </c>
      <c r="N2732" s="16"/>
      <c r="O2732" s="16"/>
      <c r="P2732" s="16"/>
      <c r="Q2732" s="16"/>
      <c r="R2732" s="16"/>
      <c r="S2732" s="16"/>
      <c r="U2732" t="e">
        <f>VLOOKUP(T2732,[8]Votes!$A$1:$E$234,3,FALSE)</f>
        <v>#N/A</v>
      </c>
      <c r="V2732" t="s">
        <v>8796</v>
      </c>
      <c r="W2732" s="369">
        <v>1</v>
      </c>
      <c r="X2732" s="369">
        <v>1</v>
      </c>
      <c r="Y2732" s="369">
        <v>1</v>
      </c>
      <c r="Z2732" s="369">
        <v>1</v>
      </c>
      <c r="AA2732" s="369">
        <v>1</v>
      </c>
      <c r="AB2732" s="369">
        <v>1</v>
      </c>
      <c r="AC2732" s="369">
        <v>1</v>
      </c>
      <c r="AD2732" s="369">
        <v>1</v>
      </c>
      <c r="AE2732" s="49">
        <f t="shared" si="135"/>
        <v>1</v>
      </c>
      <c r="AF2732" s="44"/>
      <c r="AG2732" s="17">
        <v>0</v>
      </c>
      <c r="AH2732" s="44">
        <v>0.1</v>
      </c>
      <c r="AI2732" s="44">
        <v>1</v>
      </c>
      <c r="AJ2732" s="44">
        <v>10</v>
      </c>
      <c r="AK2732" s="151">
        <v>1</v>
      </c>
      <c r="AL2732" s="151">
        <v>1</v>
      </c>
      <c r="AM2732" s="17">
        <f t="shared" si="136"/>
        <v>2</v>
      </c>
      <c r="AN2732" s="44" t="s">
        <v>1035</v>
      </c>
      <c r="AO2732" s="18" t="s">
        <v>1037</v>
      </c>
      <c r="AP2732" t="s">
        <v>8797</v>
      </c>
    </row>
    <row r="2733" spans="1:42" s="10" customFormat="1" x14ac:dyDescent="0.3">
      <c r="A2733" s="367" t="s">
        <v>8317</v>
      </c>
      <c r="B2733" s="10" t="s">
        <v>8318</v>
      </c>
      <c r="C2733" s="368" t="s">
        <v>8763</v>
      </c>
      <c r="D2733" s="10" t="s">
        <v>8764</v>
      </c>
      <c r="E2733" s="10" t="s">
        <v>8765</v>
      </c>
      <c r="F2733" s="10" t="s">
        <v>8766</v>
      </c>
      <c r="G2733" s="10" t="s">
        <v>8767</v>
      </c>
      <c r="H2733" s="10" t="s">
        <v>8768</v>
      </c>
      <c r="I2733" s="9"/>
      <c r="J2733" s="370"/>
      <c r="K2733" s="10" t="s">
        <v>8782</v>
      </c>
      <c r="L2733" s="10" t="s">
        <v>8783</v>
      </c>
      <c r="N2733" s="16"/>
      <c r="O2733" s="16"/>
      <c r="P2733" s="16"/>
      <c r="Q2733" s="16"/>
      <c r="R2733" s="16"/>
      <c r="S2733" s="16"/>
      <c r="U2733" t="e">
        <f>VLOOKUP(T2733,[8]Votes!$A$1:$E$234,3,FALSE)</f>
        <v>#N/A</v>
      </c>
      <c r="V2733" t="s">
        <v>8798</v>
      </c>
      <c r="W2733" s="369">
        <v>1</v>
      </c>
      <c r="X2733" s="369">
        <v>1</v>
      </c>
      <c r="Y2733" s="369">
        <v>1</v>
      </c>
      <c r="Z2733" s="369">
        <v>1</v>
      </c>
      <c r="AA2733" s="369">
        <v>1</v>
      </c>
      <c r="AB2733" s="369">
        <v>1</v>
      </c>
      <c r="AC2733" s="369">
        <v>1</v>
      </c>
      <c r="AD2733" s="369">
        <v>1</v>
      </c>
      <c r="AE2733" s="49">
        <f t="shared" si="135"/>
        <v>1</v>
      </c>
      <c r="AF2733" s="44"/>
      <c r="AG2733" s="17">
        <v>0</v>
      </c>
      <c r="AH2733" s="44">
        <v>0.05</v>
      </c>
      <c r="AI2733" s="44">
        <v>0.5</v>
      </c>
      <c r="AJ2733" s="44">
        <v>1</v>
      </c>
      <c r="AK2733" s="151">
        <v>1.5</v>
      </c>
      <c r="AL2733" s="151">
        <v>2</v>
      </c>
      <c r="AM2733" s="17">
        <f t="shared" si="136"/>
        <v>3.5</v>
      </c>
      <c r="AN2733" s="44" t="s">
        <v>1035</v>
      </c>
      <c r="AO2733" s="18" t="s">
        <v>1037</v>
      </c>
      <c r="AP2733" t="s">
        <v>8799</v>
      </c>
    </row>
    <row r="2734" spans="1:42" s="10" customFormat="1" x14ac:dyDescent="0.3">
      <c r="A2734" s="367" t="s">
        <v>8317</v>
      </c>
      <c r="B2734" s="10" t="s">
        <v>8318</v>
      </c>
      <c r="C2734" s="368" t="s">
        <v>8763</v>
      </c>
      <c r="D2734" s="10" t="s">
        <v>8764</v>
      </c>
      <c r="E2734" s="10" t="s">
        <v>8765</v>
      </c>
      <c r="F2734" s="10" t="s">
        <v>8766</v>
      </c>
      <c r="G2734" s="10" t="s">
        <v>8800</v>
      </c>
      <c r="H2734" s="10" t="s">
        <v>8801</v>
      </c>
      <c r="I2734" s="9"/>
      <c r="J2734" s="370"/>
      <c r="K2734" s="10" t="s">
        <v>8802</v>
      </c>
      <c r="L2734" s="10" t="s">
        <v>8803</v>
      </c>
      <c r="M2734" s="10" t="s">
        <v>8804</v>
      </c>
      <c r="N2734" s="16">
        <v>0.01</v>
      </c>
      <c r="O2734" s="16">
        <v>0.03</v>
      </c>
      <c r="P2734" s="16">
        <v>7.0000000000000007E-2</v>
      </c>
      <c r="Q2734" s="16">
        <v>0.1</v>
      </c>
      <c r="R2734" s="16">
        <v>0.15</v>
      </c>
      <c r="S2734" s="16">
        <v>0.2</v>
      </c>
      <c r="T2734" s="10" t="s">
        <v>1035</v>
      </c>
      <c r="U2734" t="str">
        <f>VLOOKUP(T2734,[8]Votes!$A$1:$E$234,3,FALSE)</f>
        <v>017 Ministry of Energy and Mineral Development</v>
      </c>
      <c r="V2734" t="s">
        <v>8805</v>
      </c>
      <c r="W2734" s="369">
        <v>1</v>
      </c>
      <c r="X2734" s="369">
        <v>0</v>
      </c>
      <c r="Y2734" s="369">
        <v>1</v>
      </c>
      <c r="Z2734" s="369">
        <v>1</v>
      </c>
      <c r="AA2734" s="369">
        <v>1</v>
      </c>
      <c r="AB2734" s="369">
        <v>1</v>
      </c>
      <c r="AC2734" s="369">
        <v>0</v>
      </c>
      <c r="AD2734" s="369">
        <v>1</v>
      </c>
      <c r="AE2734" s="49">
        <f t="shared" si="135"/>
        <v>0.75</v>
      </c>
      <c r="AF2734" s="44"/>
      <c r="AG2734" s="17">
        <v>1</v>
      </c>
      <c r="AH2734" s="44">
        <v>1</v>
      </c>
      <c r="AI2734" s="44">
        <v>1</v>
      </c>
      <c r="AJ2734" s="44">
        <v>1</v>
      </c>
      <c r="AK2734" s="151"/>
      <c r="AL2734" s="151"/>
      <c r="AM2734" s="17">
        <f t="shared" si="136"/>
        <v>0</v>
      </c>
      <c r="AN2734" s="44" t="s">
        <v>1035</v>
      </c>
      <c r="AO2734" s="18" t="s">
        <v>1037</v>
      </c>
      <c r="AP2734" t="s">
        <v>119</v>
      </c>
    </row>
    <row r="2735" spans="1:42" s="10" customFormat="1" hidden="1" x14ac:dyDescent="0.3">
      <c r="A2735" s="367" t="s">
        <v>8317</v>
      </c>
      <c r="B2735" s="10" t="s">
        <v>8318</v>
      </c>
      <c r="C2735" s="368" t="s">
        <v>8763</v>
      </c>
      <c r="D2735" s="10" t="s">
        <v>8764</v>
      </c>
      <c r="E2735" s="10" t="s">
        <v>8765</v>
      </c>
      <c r="F2735" s="10" t="s">
        <v>8766</v>
      </c>
      <c r="G2735" s="10" t="s">
        <v>8800</v>
      </c>
      <c r="H2735" s="10" t="s">
        <v>8801</v>
      </c>
      <c r="I2735" s="9"/>
      <c r="J2735" s="370"/>
      <c r="K2735" s="10" t="s">
        <v>8802</v>
      </c>
      <c r="L2735" s="10" t="s">
        <v>8803</v>
      </c>
      <c r="N2735" s="16"/>
      <c r="O2735" s="16"/>
      <c r="P2735" s="16"/>
      <c r="Q2735" s="16"/>
      <c r="R2735" s="16"/>
      <c r="S2735" s="16"/>
      <c r="U2735" t="e">
        <f>VLOOKUP(T2735,[8]Votes!$A$1:$E$234,3,FALSE)</f>
        <v>#N/A</v>
      </c>
      <c r="V2735" t="s">
        <v>8806</v>
      </c>
      <c r="W2735" s="369">
        <v>1</v>
      </c>
      <c r="X2735" s="369">
        <v>0</v>
      </c>
      <c r="Y2735" s="369">
        <v>1</v>
      </c>
      <c r="Z2735" s="369">
        <v>1</v>
      </c>
      <c r="AA2735" s="369">
        <v>1</v>
      </c>
      <c r="AB2735" s="369">
        <v>0</v>
      </c>
      <c r="AC2735" s="369">
        <v>0</v>
      </c>
      <c r="AD2735" s="369">
        <v>1</v>
      </c>
      <c r="AE2735" s="49">
        <f t="shared" si="135"/>
        <v>0.625</v>
      </c>
      <c r="AF2735" s="44"/>
      <c r="AG2735" s="17">
        <v>1</v>
      </c>
      <c r="AH2735" s="44">
        <v>0</v>
      </c>
      <c r="AI2735" s="44">
        <v>0</v>
      </c>
      <c r="AJ2735" s="44">
        <v>0</v>
      </c>
      <c r="AK2735" s="151"/>
      <c r="AL2735" s="151"/>
      <c r="AM2735" s="17">
        <f t="shared" si="136"/>
        <v>0</v>
      </c>
      <c r="AN2735" s="44" t="s">
        <v>1035</v>
      </c>
      <c r="AO2735" s="18" t="s">
        <v>1037</v>
      </c>
      <c r="AP2735" t="s">
        <v>119</v>
      </c>
    </row>
    <row r="2736" spans="1:42" s="10" customFormat="1" hidden="1" x14ac:dyDescent="0.3">
      <c r="A2736" s="367" t="s">
        <v>8317</v>
      </c>
      <c r="B2736" s="10" t="s">
        <v>8318</v>
      </c>
      <c r="C2736" s="368" t="s">
        <v>8763</v>
      </c>
      <c r="D2736" s="10" t="s">
        <v>8764</v>
      </c>
      <c r="E2736" s="10" t="s">
        <v>8765</v>
      </c>
      <c r="F2736" s="10" t="s">
        <v>8766</v>
      </c>
      <c r="G2736" s="10" t="s">
        <v>8800</v>
      </c>
      <c r="H2736" s="10" t="s">
        <v>8801</v>
      </c>
      <c r="I2736" s="9"/>
      <c r="J2736" s="370"/>
      <c r="K2736" s="10" t="s">
        <v>8802</v>
      </c>
      <c r="L2736" s="10" t="s">
        <v>8803</v>
      </c>
      <c r="M2736" s="10" t="s">
        <v>8807</v>
      </c>
      <c r="N2736" s="16">
        <v>0</v>
      </c>
      <c r="O2736" s="16">
        <v>200</v>
      </c>
      <c r="P2736" s="16">
        <v>200</v>
      </c>
      <c r="Q2736" s="16">
        <v>200</v>
      </c>
      <c r="R2736" s="16">
        <v>200</v>
      </c>
      <c r="S2736" s="16">
        <v>200</v>
      </c>
      <c r="T2736" s="10" t="s">
        <v>1035</v>
      </c>
      <c r="U2736" t="str">
        <f>VLOOKUP(T2736,[8]Votes!$A$1:$E$234,3,FALSE)</f>
        <v>017 Ministry of Energy and Mineral Development</v>
      </c>
      <c r="V2736" t="s">
        <v>8808</v>
      </c>
      <c r="W2736" s="369">
        <v>1</v>
      </c>
      <c r="X2736" s="369">
        <v>0</v>
      </c>
      <c r="Y2736" s="369">
        <v>0</v>
      </c>
      <c r="Z2736" s="369">
        <v>0</v>
      </c>
      <c r="AA2736" s="369">
        <v>1</v>
      </c>
      <c r="AB2736" s="369">
        <v>1</v>
      </c>
      <c r="AC2736" s="369">
        <v>0</v>
      </c>
      <c r="AD2736" s="369">
        <v>1</v>
      </c>
      <c r="AE2736" s="49">
        <f t="shared" si="135"/>
        <v>0.5</v>
      </c>
      <c r="AF2736" s="44"/>
      <c r="AG2736" s="17">
        <v>1</v>
      </c>
      <c r="AH2736" s="44">
        <v>0</v>
      </c>
      <c r="AI2736" s="44">
        <v>0</v>
      </c>
      <c r="AJ2736" s="44">
        <v>0</v>
      </c>
      <c r="AK2736" s="151"/>
      <c r="AL2736" s="151"/>
      <c r="AM2736" s="17">
        <f t="shared" si="136"/>
        <v>0</v>
      </c>
      <c r="AN2736" s="44" t="s">
        <v>1035</v>
      </c>
      <c r="AO2736" s="18" t="s">
        <v>1037</v>
      </c>
      <c r="AP2736" t="s">
        <v>119</v>
      </c>
    </row>
    <row r="2737" spans="1:42" s="10" customFormat="1" x14ac:dyDescent="0.3">
      <c r="A2737" s="367" t="s">
        <v>8317</v>
      </c>
      <c r="B2737" s="10" t="s">
        <v>8318</v>
      </c>
      <c r="C2737" s="368" t="s">
        <v>8763</v>
      </c>
      <c r="D2737" s="10" t="s">
        <v>8764</v>
      </c>
      <c r="E2737" s="10" t="s">
        <v>8765</v>
      </c>
      <c r="F2737" s="10" t="s">
        <v>8766</v>
      </c>
      <c r="G2737" s="10" t="s">
        <v>8800</v>
      </c>
      <c r="H2737" s="10" t="s">
        <v>8801</v>
      </c>
      <c r="I2737" s="9"/>
      <c r="J2737" s="370"/>
      <c r="K2737" s="10" t="s">
        <v>8802</v>
      </c>
      <c r="L2737" s="10" t="s">
        <v>8803</v>
      </c>
      <c r="M2737" s="10" t="s">
        <v>8809</v>
      </c>
      <c r="N2737" s="16"/>
      <c r="O2737" s="16">
        <v>4</v>
      </c>
      <c r="P2737" s="16">
        <v>4</v>
      </c>
      <c r="Q2737" s="16">
        <v>4</v>
      </c>
      <c r="R2737" s="16">
        <v>4</v>
      </c>
      <c r="S2737" s="16">
        <v>4</v>
      </c>
      <c r="T2737" s="10" t="s">
        <v>1233</v>
      </c>
      <c r="U2737" t="str">
        <f>VLOOKUP(T2737,[8]Votes!$A$1:$E$234,3,FALSE)</f>
        <v>006 Ministry of Foreign Affairs</v>
      </c>
      <c r="V2737" t="s">
        <v>8810</v>
      </c>
      <c r="W2737" s="369">
        <v>1</v>
      </c>
      <c r="X2737" s="369">
        <v>1</v>
      </c>
      <c r="Y2737" s="369">
        <v>0</v>
      </c>
      <c r="Z2737" s="369">
        <v>1</v>
      </c>
      <c r="AA2737" s="369">
        <v>1</v>
      </c>
      <c r="AB2737" s="369">
        <v>1</v>
      </c>
      <c r="AC2737" s="369">
        <v>0</v>
      </c>
      <c r="AD2737" s="369">
        <v>1</v>
      </c>
      <c r="AE2737" s="49">
        <f t="shared" si="135"/>
        <v>0.75</v>
      </c>
      <c r="AF2737" s="44"/>
      <c r="AG2737" s="17">
        <v>0</v>
      </c>
      <c r="AH2737" s="44">
        <v>1</v>
      </c>
      <c r="AI2737" s="44">
        <v>1.03</v>
      </c>
      <c r="AJ2737" s="44">
        <v>1.04</v>
      </c>
      <c r="AK2737" s="151">
        <v>1.05</v>
      </c>
      <c r="AL2737" s="151">
        <v>1.06</v>
      </c>
      <c r="AM2737" s="17">
        <f t="shared" si="136"/>
        <v>2.1100000000000003</v>
      </c>
      <c r="AN2737" t="s">
        <v>1233</v>
      </c>
      <c r="AO2737" s="18" t="s">
        <v>1650</v>
      </c>
      <c r="AP2737" t="s">
        <v>8811</v>
      </c>
    </row>
    <row r="2738" spans="1:42" s="10" customFormat="1" x14ac:dyDescent="0.3">
      <c r="A2738" s="367" t="s">
        <v>8317</v>
      </c>
      <c r="B2738" s="10" t="s">
        <v>8318</v>
      </c>
      <c r="C2738" s="368" t="s">
        <v>8763</v>
      </c>
      <c r="D2738" s="10" t="s">
        <v>8764</v>
      </c>
      <c r="E2738" s="10" t="s">
        <v>8765</v>
      </c>
      <c r="F2738" s="10" t="s">
        <v>8766</v>
      </c>
      <c r="G2738" s="10" t="s">
        <v>8800</v>
      </c>
      <c r="H2738" s="10" t="s">
        <v>8801</v>
      </c>
      <c r="I2738" s="9"/>
      <c r="J2738" s="370"/>
      <c r="K2738" s="10" t="s">
        <v>8802</v>
      </c>
      <c r="L2738" s="10" t="s">
        <v>8803</v>
      </c>
      <c r="M2738" s="10" t="s">
        <v>8812</v>
      </c>
      <c r="N2738" s="16">
        <v>0</v>
      </c>
      <c r="O2738" s="16" t="s">
        <v>271</v>
      </c>
      <c r="P2738" s="16" t="s">
        <v>271</v>
      </c>
      <c r="Q2738" s="16">
        <v>1</v>
      </c>
      <c r="R2738" s="16">
        <v>1</v>
      </c>
      <c r="S2738" s="16">
        <v>1</v>
      </c>
      <c r="T2738" s="10" t="s">
        <v>1035</v>
      </c>
      <c r="U2738" t="str">
        <f>VLOOKUP(T2738,[8]Votes!$A$1:$E$234,3,FALSE)</f>
        <v>017 Ministry of Energy and Mineral Development</v>
      </c>
      <c r="V2738" t="s">
        <v>8813</v>
      </c>
      <c r="W2738" s="369">
        <v>1</v>
      </c>
      <c r="X2738" s="369">
        <v>1</v>
      </c>
      <c r="Y2738" s="369">
        <v>1</v>
      </c>
      <c r="Z2738" s="369">
        <v>0</v>
      </c>
      <c r="AA2738" s="369">
        <v>1</v>
      </c>
      <c r="AB2738" s="369">
        <v>1</v>
      </c>
      <c r="AC2738" s="369">
        <v>0</v>
      </c>
      <c r="AD2738" s="369">
        <v>1</v>
      </c>
      <c r="AE2738" s="49">
        <f t="shared" si="135"/>
        <v>0.75</v>
      </c>
      <c r="AF2738" s="44"/>
      <c r="AG2738" s="17">
        <v>1</v>
      </c>
      <c r="AH2738" s="44">
        <v>15</v>
      </c>
      <c r="AI2738" s="44">
        <v>3</v>
      </c>
      <c r="AJ2738" s="44">
        <v>3</v>
      </c>
      <c r="AK2738" s="151"/>
      <c r="AL2738" s="151"/>
      <c r="AM2738" s="17">
        <f t="shared" si="136"/>
        <v>0</v>
      </c>
      <c r="AN2738" s="44" t="s">
        <v>1035</v>
      </c>
      <c r="AO2738" s="18" t="s">
        <v>1037</v>
      </c>
      <c r="AP2738" t="s">
        <v>119</v>
      </c>
    </row>
    <row r="2739" spans="1:42" s="10" customFormat="1" hidden="1" x14ac:dyDescent="0.3">
      <c r="A2739" s="367" t="s">
        <v>8317</v>
      </c>
      <c r="B2739" s="10" t="s">
        <v>8318</v>
      </c>
      <c r="C2739" s="368" t="s">
        <v>8763</v>
      </c>
      <c r="D2739" s="10" t="s">
        <v>8764</v>
      </c>
      <c r="E2739" s="10" t="s">
        <v>8765</v>
      </c>
      <c r="F2739" s="10" t="s">
        <v>8766</v>
      </c>
      <c r="G2739" s="10" t="s">
        <v>8800</v>
      </c>
      <c r="H2739" s="10" t="s">
        <v>8801</v>
      </c>
      <c r="I2739" s="9"/>
      <c r="J2739" s="370"/>
      <c r="K2739" s="10" t="s">
        <v>8802</v>
      </c>
      <c r="L2739" s="10" t="s">
        <v>8803</v>
      </c>
      <c r="M2739" s="10" t="s">
        <v>8814</v>
      </c>
      <c r="N2739" s="16">
        <v>0</v>
      </c>
      <c r="O2739" s="16" t="s">
        <v>271</v>
      </c>
      <c r="P2739" s="16">
        <v>15</v>
      </c>
      <c r="Q2739" s="16">
        <v>30</v>
      </c>
      <c r="R2739" s="16">
        <v>15</v>
      </c>
      <c r="S2739" s="16">
        <v>10</v>
      </c>
      <c r="T2739" s="10" t="s">
        <v>1035</v>
      </c>
      <c r="U2739" t="str">
        <f>VLOOKUP(T2739,[8]Votes!$A$1:$E$234,3,FALSE)</f>
        <v>017 Ministry of Energy and Mineral Development</v>
      </c>
      <c r="V2739" t="s">
        <v>8815</v>
      </c>
      <c r="W2739" s="369">
        <v>1</v>
      </c>
      <c r="X2739" s="369">
        <v>0</v>
      </c>
      <c r="Y2739" s="369"/>
      <c r="Z2739" s="369">
        <v>1</v>
      </c>
      <c r="AA2739" s="369">
        <v>1</v>
      </c>
      <c r="AB2739" s="369">
        <v>1</v>
      </c>
      <c r="AC2739" s="369">
        <v>0</v>
      </c>
      <c r="AD2739" s="369">
        <v>1</v>
      </c>
      <c r="AE2739" s="49">
        <f t="shared" si="135"/>
        <v>0.625</v>
      </c>
      <c r="AF2739" s="44"/>
      <c r="AG2739" s="17">
        <v>1</v>
      </c>
      <c r="AH2739" s="44">
        <v>0</v>
      </c>
      <c r="AI2739" s="44">
        <v>0</v>
      </c>
      <c r="AJ2739" s="44">
        <v>0</v>
      </c>
      <c r="AK2739" s="151"/>
      <c r="AL2739" s="151"/>
      <c r="AM2739" s="17">
        <f t="shared" si="136"/>
        <v>0</v>
      </c>
      <c r="AN2739" s="44" t="s">
        <v>1035</v>
      </c>
      <c r="AO2739" s="18" t="s">
        <v>1037</v>
      </c>
      <c r="AP2739" t="s">
        <v>921</v>
      </c>
    </row>
    <row r="2740" spans="1:42" s="10" customFormat="1" hidden="1" x14ac:dyDescent="0.3">
      <c r="A2740" s="367" t="s">
        <v>8317</v>
      </c>
      <c r="B2740" s="10" t="s">
        <v>8318</v>
      </c>
      <c r="C2740" s="368" t="s">
        <v>8763</v>
      </c>
      <c r="D2740" s="10" t="s">
        <v>8764</v>
      </c>
      <c r="E2740" s="10" t="s">
        <v>8765</v>
      </c>
      <c r="F2740" s="10" t="s">
        <v>8766</v>
      </c>
      <c r="G2740" s="10" t="s">
        <v>8800</v>
      </c>
      <c r="H2740" s="10" t="s">
        <v>8801</v>
      </c>
      <c r="I2740" s="9"/>
      <c r="J2740" s="370"/>
      <c r="K2740" s="10" t="s">
        <v>8802</v>
      </c>
      <c r="L2740" s="10" t="s">
        <v>8803</v>
      </c>
      <c r="N2740" s="16"/>
      <c r="O2740" s="16"/>
      <c r="P2740" s="16"/>
      <c r="Q2740" s="16"/>
      <c r="R2740" s="16"/>
      <c r="S2740" s="16"/>
      <c r="U2740" t="e">
        <f>VLOOKUP(T2740,[8]Votes!$A$1:$E$234,3,FALSE)</f>
        <v>#N/A</v>
      </c>
      <c r="V2740" t="s">
        <v>8816</v>
      </c>
      <c r="W2740" s="369">
        <v>1</v>
      </c>
      <c r="X2740" s="369">
        <v>0</v>
      </c>
      <c r="Y2740" s="369">
        <v>0</v>
      </c>
      <c r="Z2740" s="369">
        <v>1</v>
      </c>
      <c r="AA2740" s="369">
        <v>1</v>
      </c>
      <c r="AB2740" s="369">
        <v>1</v>
      </c>
      <c r="AC2740" s="369">
        <v>0</v>
      </c>
      <c r="AD2740" s="369">
        <v>1</v>
      </c>
      <c r="AE2740" s="49">
        <f t="shared" si="135"/>
        <v>0.625</v>
      </c>
      <c r="AF2740" s="44"/>
      <c r="AG2740" s="17">
        <v>1</v>
      </c>
      <c r="AH2740" s="44">
        <v>0</v>
      </c>
      <c r="AI2740" s="44">
        <v>1</v>
      </c>
      <c r="AJ2740" s="44">
        <v>1</v>
      </c>
      <c r="AK2740" s="151"/>
      <c r="AL2740" s="151"/>
      <c r="AM2740" s="17">
        <f t="shared" si="136"/>
        <v>0</v>
      </c>
      <c r="AN2740" s="44" t="s">
        <v>4512</v>
      </c>
      <c r="AO2740" s="18" t="s">
        <v>4514</v>
      </c>
      <c r="AP2740" t="s">
        <v>1035</v>
      </c>
    </row>
    <row r="2741" spans="1:42" s="10" customFormat="1" x14ac:dyDescent="0.3">
      <c r="A2741" s="367" t="s">
        <v>8317</v>
      </c>
      <c r="B2741" s="10" t="s">
        <v>8318</v>
      </c>
      <c r="C2741" s="368" t="s">
        <v>8763</v>
      </c>
      <c r="D2741" s="10" t="s">
        <v>8764</v>
      </c>
      <c r="E2741" s="10" t="s">
        <v>8765</v>
      </c>
      <c r="F2741" s="10" t="s">
        <v>8766</v>
      </c>
      <c r="G2741" s="10" t="s">
        <v>8800</v>
      </c>
      <c r="H2741" s="10" t="s">
        <v>8801</v>
      </c>
      <c r="I2741" s="9"/>
      <c r="J2741" s="370"/>
      <c r="K2741" s="10" t="s">
        <v>8802</v>
      </c>
      <c r="L2741" s="10" t="s">
        <v>8803</v>
      </c>
      <c r="M2741" s="10" t="s">
        <v>8809</v>
      </c>
      <c r="N2741" s="16"/>
      <c r="O2741" s="16">
        <v>4</v>
      </c>
      <c r="P2741" s="16">
        <v>4</v>
      </c>
      <c r="Q2741" s="16">
        <v>4</v>
      </c>
      <c r="R2741" s="16">
        <v>4</v>
      </c>
      <c r="S2741" s="16">
        <v>4</v>
      </c>
      <c r="T2741" s="10" t="s">
        <v>1233</v>
      </c>
      <c r="U2741" t="str">
        <f>VLOOKUP(T2741,[8]Votes!$A$1:$E$234,3,FALSE)</f>
        <v>006 Ministry of Foreign Affairs</v>
      </c>
      <c r="V2741" t="s">
        <v>8810</v>
      </c>
      <c r="W2741" s="369">
        <v>1</v>
      </c>
      <c r="X2741" s="369">
        <v>1</v>
      </c>
      <c r="Y2741" s="369">
        <v>0</v>
      </c>
      <c r="Z2741" s="369">
        <v>1</v>
      </c>
      <c r="AA2741" s="369">
        <v>1</v>
      </c>
      <c r="AB2741" s="369">
        <v>1</v>
      </c>
      <c r="AC2741" s="369">
        <v>0</v>
      </c>
      <c r="AD2741" s="369">
        <v>1</v>
      </c>
      <c r="AE2741" s="49">
        <f t="shared" si="135"/>
        <v>0.75</v>
      </c>
      <c r="AF2741" s="44"/>
      <c r="AG2741" s="17">
        <v>0</v>
      </c>
      <c r="AH2741" s="44">
        <v>1</v>
      </c>
      <c r="AI2741" s="44">
        <v>1</v>
      </c>
      <c r="AJ2741" s="44">
        <v>1</v>
      </c>
      <c r="AK2741" s="151">
        <v>1</v>
      </c>
      <c r="AL2741" s="151">
        <v>1</v>
      </c>
      <c r="AM2741" s="17">
        <f t="shared" si="136"/>
        <v>2</v>
      </c>
      <c r="AN2741" s="44" t="s">
        <v>1233</v>
      </c>
      <c r="AO2741" s="18" t="s">
        <v>1650</v>
      </c>
      <c r="AP2741" t="s">
        <v>4376</v>
      </c>
    </row>
    <row r="2742" spans="1:42" s="10" customFormat="1" hidden="1" x14ac:dyDescent="0.3">
      <c r="A2742" s="367" t="s">
        <v>8317</v>
      </c>
      <c r="B2742" s="10" t="s">
        <v>8318</v>
      </c>
      <c r="C2742" s="368" t="s">
        <v>8763</v>
      </c>
      <c r="D2742" s="10" t="s">
        <v>8764</v>
      </c>
      <c r="E2742" s="10" t="s">
        <v>8765</v>
      </c>
      <c r="F2742" s="10" t="s">
        <v>8766</v>
      </c>
      <c r="G2742" s="10" t="s">
        <v>8817</v>
      </c>
      <c r="H2742" s="10" t="s">
        <v>8818</v>
      </c>
      <c r="I2742" s="9"/>
      <c r="J2742" s="370"/>
      <c r="K2742" s="10" t="s">
        <v>8819</v>
      </c>
      <c r="L2742" s="10" t="s">
        <v>8820</v>
      </c>
      <c r="M2742" s="10" t="s">
        <v>8821</v>
      </c>
      <c r="N2742" s="16">
        <v>19.600000000000001</v>
      </c>
      <c r="O2742" s="16">
        <v>16.010000000000002</v>
      </c>
      <c r="P2742" s="16">
        <v>15.26</v>
      </c>
      <c r="Q2742" s="16">
        <v>14.26</v>
      </c>
      <c r="R2742" s="16">
        <v>13.97</v>
      </c>
      <c r="S2742" s="16">
        <v>12.6</v>
      </c>
      <c r="T2742" s="10" t="s">
        <v>8822</v>
      </c>
      <c r="U2742" t="e">
        <f>VLOOKUP(T2742,[8]Votes!$A$1:$E$234,3,FALSE)</f>
        <v>#N/A</v>
      </c>
      <c r="V2742" t="s">
        <v>8823</v>
      </c>
      <c r="W2742" s="369">
        <v>1</v>
      </c>
      <c r="X2742" s="369">
        <v>1</v>
      </c>
      <c r="Y2742" s="369">
        <v>0</v>
      </c>
      <c r="Z2742" s="369">
        <v>0</v>
      </c>
      <c r="AA2742" s="369">
        <v>1</v>
      </c>
      <c r="AB2742" s="369">
        <v>1</v>
      </c>
      <c r="AC2742" s="369">
        <v>0</v>
      </c>
      <c r="AD2742" s="369">
        <v>1</v>
      </c>
      <c r="AE2742" s="49">
        <f t="shared" si="135"/>
        <v>0.625</v>
      </c>
      <c r="AF2742" s="44"/>
      <c r="AG2742" s="17">
        <v>0</v>
      </c>
      <c r="AH2742" s="44">
        <v>0</v>
      </c>
      <c r="AI2742" s="44">
        <v>0</v>
      </c>
      <c r="AJ2742" s="44">
        <v>0</v>
      </c>
      <c r="AK2742" s="151">
        <v>0</v>
      </c>
      <c r="AL2742" s="151">
        <v>0</v>
      </c>
      <c r="AM2742" s="17">
        <f t="shared" si="136"/>
        <v>0</v>
      </c>
      <c r="AN2742" s="44" t="s">
        <v>8341</v>
      </c>
      <c r="AO2742" s="18" t="s">
        <v>1037</v>
      </c>
      <c r="AP2742" t="s">
        <v>8462</v>
      </c>
    </row>
    <row r="2743" spans="1:42" s="10" customFormat="1" x14ac:dyDescent="0.3">
      <c r="A2743" s="367" t="s">
        <v>8317</v>
      </c>
      <c r="B2743" s="10" t="s">
        <v>8318</v>
      </c>
      <c r="C2743" s="368" t="s">
        <v>8763</v>
      </c>
      <c r="D2743" s="10" t="s">
        <v>8764</v>
      </c>
      <c r="E2743" s="10" t="s">
        <v>8765</v>
      </c>
      <c r="F2743" s="10" t="s">
        <v>8766</v>
      </c>
      <c r="G2743" s="10" t="s">
        <v>8817</v>
      </c>
      <c r="H2743" s="10" t="s">
        <v>8818</v>
      </c>
      <c r="I2743" s="9"/>
      <c r="J2743" s="370"/>
      <c r="K2743" s="10" t="s">
        <v>8819</v>
      </c>
      <c r="L2743" s="10" t="s">
        <v>8820</v>
      </c>
      <c r="N2743" s="16"/>
      <c r="O2743" s="16"/>
      <c r="P2743" s="16"/>
      <c r="Q2743" s="16"/>
      <c r="R2743" s="16"/>
      <c r="S2743" s="16"/>
      <c r="U2743" t="e">
        <f>VLOOKUP(T2743,[8]Votes!$A$1:$E$234,3,FALSE)</f>
        <v>#N/A</v>
      </c>
      <c r="V2743" t="s">
        <v>8824</v>
      </c>
      <c r="W2743" s="369">
        <v>1</v>
      </c>
      <c r="X2743" s="369">
        <v>1</v>
      </c>
      <c r="Y2743" s="369">
        <v>0</v>
      </c>
      <c r="Z2743" s="369">
        <v>1</v>
      </c>
      <c r="AA2743" s="369">
        <v>1</v>
      </c>
      <c r="AB2743" s="369">
        <v>1</v>
      </c>
      <c r="AC2743" s="369">
        <v>0</v>
      </c>
      <c r="AD2743" s="369">
        <v>1</v>
      </c>
      <c r="AE2743" s="49">
        <f t="shared" si="135"/>
        <v>0.75</v>
      </c>
      <c r="AF2743" s="17"/>
      <c r="AG2743" s="17">
        <v>0</v>
      </c>
      <c r="AH2743" s="17">
        <v>0</v>
      </c>
      <c r="AI2743" s="17">
        <v>0</v>
      </c>
      <c r="AJ2743" s="17">
        <v>0</v>
      </c>
      <c r="AK2743" s="153">
        <v>1</v>
      </c>
      <c r="AL2743" s="154">
        <v>0</v>
      </c>
      <c r="AM2743" s="17">
        <f t="shared" si="136"/>
        <v>1</v>
      </c>
      <c r="AN2743" s="44" t="s">
        <v>1035</v>
      </c>
      <c r="AO2743" s="18" t="s">
        <v>1037</v>
      </c>
      <c r="AP2743" t="s">
        <v>8825</v>
      </c>
    </row>
    <row r="2744" spans="1:42" s="10" customFormat="1" x14ac:dyDescent="0.3">
      <c r="A2744" s="367" t="s">
        <v>8317</v>
      </c>
      <c r="B2744" s="10" t="s">
        <v>8318</v>
      </c>
      <c r="C2744" s="368" t="s">
        <v>8763</v>
      </c>
      <c r="D2744" s="10" t="s">
        <v>8764</v>
      </c>
      <c r="E2744" s="10" t="s">
        <v>8765</v>
      </c>
      <c r="F2744" s="10" t="s">
        <v>8766</v>
      </c>
      <c r="G2744" s="10" t="s">
        <v>8817</v>
      </c>
      <c r="H2744" s="10" t="s">
        <v>8818</v>
      </c>
      <c r="I2744" s="9"/>
      <c r="J2744" s="370"/>
      <c r="K2744" s="10" t="s">
        <v>8826</v>
      </c>
      <c r="L2744" s="10" t="s">
        <v>8827</v>
      </c>
      <c r="M2744" s="10" t="s">
        <v>8828</v>
      </c>
      <c r="N2744" s="16">
        <v>6.4</v>
      </c>
      <c r="O2744" s="16">
        <v>7.7</v>
      </c>
      <c r="P2744" s="16">
        <v>9.1999999999999993</v>
      </c>
      <c r="Q2744" s="16">
        <v>11.1</v>
      </c>
      <c r="R2744" s="16">
        <v>13.3</v>
      </c>
      <c r="S2744" s="16">
        <v>15.9</v>
      </c>
      <c r="T2744" s="10" t="s">
        <v>8822</v>
      </c>
      <c r="U2744" t="e">
        <f>VLOOKUP(T2744,[8]Votes!$A$1:$E$234,3,FALSE)</f>
        <v>#N/A</v>
      </c>
      <c r="V2744" t="s">
        <v>8493</v>
      </c>
      <c r="W2744" s="369">
        <v>1</v>
      </c>
      <c r="X2744" s="369">
        <v>1</v>
      </c>
      <c r="Y2744" s="369">
        <v>1</v>
      </c>
      <c r="Z2744" s="369">
        <v>1</v>
      </c>
      <c r="AA2744" s="369">
        <v>1</v>
      </c>
      <c r="AB2744" s="369">
        <v>1</v>
      </c>
      <c r="AC2744" s="369">
        <v>0</v>
      </c>
      <c r="AD2744" s="369">
        <v>1</v>
      </c>
      <c r="AE2744" s="49">
        <f t="shared" si="135"/>
        <v>0.875</v>
      </c>
      <c r="AF2744" s="44"/>
      <c r="AG2744" s="17">
        <v>0</v>
      </c>
      <c r="AH2744" s="44">
        <v>2</v>
      </c>
      <c r="AI2744" s="44">
        <v>2</v>
      </c>
      <c r="AJ2744" s="44">
        <v>2</v>
      </c>
      <c r="AK2744" s="151">
        <v>0</v>
      </c>
      <c r="AL2744" s="151">
        <v>0</v>
      </c>
      <c r="AM2744" s="17">
        <f t="shared" si="136"/>
        <v>0</v>
      </c>
      <c r="AN2744" s="44" t="s">
        <v>1035</v>
      </c>
      <c r="AO2744" s="18" t="s">
        <v>1037</v>
      </c>
      <c r="AP2744" t="s">
        <v>8494</v>
      </c>
    </row>
    <row r="2745" spans="1:42" s="10" customFormat="1" x14ac:dyDescent="0.3">
      <c r="A2745" s="367" t="s">
        <v>8317</v>
      </c>
      <c r="B2745" s="10" t="s">
        <v>8318</v>
      </c>
      <c r="C2745" s="368" t="s">
        <v>8763</v>
      </c>
      <c r="D2745" s="10" t="s">
        <v>8764</v>
      </c>
      <c r="E2745" s="10" t="s">
        <v>8765</v>
      </c>
      <c r="F2745" s="10" t="s">
        <v>8766</v>
      </c>
      <c r="G2745" s="10" t="s">
        <v>8817</v>
      </c>
      <c r="H2745" s="10" t="s">
        <v>8818</v>
      </c>
      <c r="I2745" s="9"/>
      <c r="J2745" s="370"/>
      <c r="K2745" s="10" t="s">
        <v>8826</v>
      </c>
      <c r="L2745" s="10" t="s">
        <v>8827</v>
      </c>
      <c r="M2745" s="10" t="s">
        <v>8829</v>
      </c>
      <c r="N2745" s="16">
        <v>0</v>
      </c>
      <c r="O2745" s="16">
        <v>5</v>
      </c>
      <c r="P2745" s="16">
        <v>10</v>
      </c>
      <c r="Q2745" s="16">
        <v>10</v>
      </c>
      <c r="R2745" s="16">
        <v>10</v>
      </c>
      <c r="S2745" s="16">
        <v>10</v>
      </c>
      <c r="T2745" s="10" t="s">
        <v>1035</v>
      </c>
      <c r="U2745" t="str">
        <f>VLOOKUP(T2745,[8]Votes!$A$1:$E$234,3,FALSE)</f>
        <v>017 Ministry of Energy and Mineral Development</v>
      </c>
      <c r="V2745" t="s">
        <v>8830</v>
      </c>
      <c r="W2745" s="369">
        <v>1</v>
      </c>
      <c r="X2745" s="369">
        <v>0</v>
      </c>
      <c r="Y2745" s="369">
        <v>1</v>
      </c>
      <c r="Z2745" s="369">
        <v>1</v>
      </c>
      <c r="AA2745" s="369">
        <v>1</v>
      </c>
      <c r="AB2745" s="369">
        <v>1</v>
      </c>
      <c r="AC2745" s="369">
        <v>0</v>
      </c>
      <c r="AD2745" s="369">
        <v>1</v>
      </c>
      <c r="AE2745" s="49">
        <f t="shared" si="135"/>
        <v>0.75</v>
      </c>
      <c r="AF2745" s="17"/>
      <c r="AG2745" s="17">
        <v>0</v>
      </c>
      <c r="AH2745" s="17">
        <v>0</v>
      </c>
      <c r="AI2745" s="17">
        <v>0</v>
      </c>
      <c r="AJ2745" s="17">
        <v>0</v>
      </c>
      <c r="AK2745" s="153">
        <v>0</v>
      </c>
      <c r="AL2745" s="154">
        <v>0</v>
      </c>
      <c r="AM2745" s="17">
        <f t="shared" si="136"/>
        <v>0</v>
      </c>
      <c r="AN2745" s="44" t="s">
        <v>1035</v>
      </c>
      <c r="AO2745" s="18" t="s">
        <v>1037</v>
      </c>
      <c r="AP2745" t="s">
        <v>8825</v>
      </c>
    </row>
    <row r="2746" spans="1:42" s="10" customFormat="1" x14ac:dyDescent="0.3">
      <c r="A2746" s="367" t="s">
        <v>8317</v>
      </c>
      <c r="B2746" s="10" t="s">
        <v>8318</v>
      </c>
      <c r="C2746" s="368" t="s">
        <v>8763</v>
      </c>
      <c r="D2746" s="10" t="s">
        <v>8764</v>
      </c>
      <c r="E2746" s="10" t="s">
        <v>8765</v>
      </c>
      <c r="F2746" s="10" t="s">
        <v>8766</v>
      </c>
      <c r="G2746" s="10" t="s">
        <v>8817</v>
      </c>
      <c r="H2746" s="10" t="s">
        <v>8818</v>
      </c>
      <c r="I2746" s="9"/>
      <c r="J2746" s="370"/>
      <c r="K2746" s="10" t="s">
        <v>8826</v>
      </c>
      <c r="L2746" s="10" t="s">
        <v>8827</v>
      </c>
      <c r="N2746" s="16"/>
      <c r="O2746" s="16"/>
      <c r="P2746" s="16"/>
      <c r="Q2746" s="16"/>
      <c r="R2746" s="16"/>
      <c r="S2746" s="16"/>
      <c r="U2746" t="e">
        <f>VLOOKUP(T2746,[8]Votes!$A$1:$E$234,3,FALSE)</f>
        <v>#N/A</v>
      </c>
      <c r="V2746" t="s">
        <v>8831</v>
      </c>
      <c r="W2746" s="369">
        <v>1</v>
      </c>
      <c r="X2746" s="369">
        <v>0</v>
      </c>
      <c r="Y2746" s="369">
        <v>1</v>
      </c>
      <c r="Z2746" s="369">
        <v>1</v>
      </c>
      <c r="AA2746" s="369">
        <v>1</v>
      </c>
      <c r="AB2746" s="369">
        <v>1</v>
      </c>
      <c r="AC2746" s="369">
        <v>0</v>
      </c>
      <c r="AD2746" s="369">
        <v>1</v>
      </c>
      <c r="AE2746" s="49">
        <f t="shared" si="135"/>
        <v>0.75</v>
      </c>
      <c r="AF2746" s="17"/>
      <c r="AG2746" s="17">
        <v>0</v>
      </c>
      <c r="AH2746" s="17">
        <v>0</v>
      </c>
      <c r="AI2746" s="17">
        <v>0</v>
      </c>
      <c r="AJ2746" s="17">
        <v>0</v>
      </c>
      <c r="AK2746" s="153">
        <v>1.5</v>
      </c>
      <c r="AL2746" s="154">
        <v>0</v>
      </c>
      <c r="AM2746" s="17">
        <f t="shared" si="136"/>
        <v>1.5</v>
      </c>
      <c r="AN2746" s="44" t="s">
        <v>321</v>
      </c>
      <c r="AO2746" s="18" t="s">
        <v>1066</v>
      </c>
      <c r="AP2746" t="s">
        <v>4439</v>
      </c>
    </row>
    <row r="2747" spans="1:42" s="10" customFormat="1" hidden="1" x14ac:dyDescent="0.3">
      <c r="A2747" s="367" t="s">
        <v>8317</v>
      </c>
      <c r="B2747" s="10" t="s">
        <v>8318</v>
      </c>
      <c r="C2747" s="368" t="s">
        <v>8763</v>
      </c>
      <c r="D2747" s="10" t="s">
        <v>8764</v>
      </c>
      <c r="E2747" s="10" t="s">
        <v>8765</v>
      </c>
      <c r="F2747" s="10" t="s">
        <v>8766</v>
      </c>
      <c r="G2747" s="10" t="s">
        <v>8832</v>
      </c>
      <c r="H2747" s="10" t="s">
        <v>8833</v>
      </c>
      <c r="I2747" s="9"/>
      <c r="J2747" s="370"/>
      <c r="K2747" s="10" t="s">
        <v>8834</v>
      </c>
      <c r="L2747" s="10" t="s">
        <v>8835</v>
      </c>
      <c r="M2747" s="10" t="s">
        <v>8836</v>
      </c>
      <c r="N2747" s="16">
        <v>5</v>
      </c>
      <c r="O2747" s="16">
        <v>7</v>
      </c>
      <c r="P2747" s="16">
        <v>9</v>
      </c>
      <c r="Q2747" s="16">
        <v>11</v>
      </c>
      <c r="R2747" s="16">
        <v>13</v>
      </c>
      <c r="S2747" s="16">
        <v>15</v>
      </c>
      <c r="T2747" s="10" t="s">
        <v>8837</v>
      </c>
      <c r="U2747" t="e">
        <f>VLOOKUP(T2747,[8]Votes!$A$1:$E$234,3,FALSE)</f>
        <v>#N/A</v>
      </c>
      <c r="V2747" t="s">
        <v>8838</v>
      </c>
      <c r="W2747" s="369">
        <v>1</v>
      </c>
      <c r="X2747" s="369">
        <v>0</v>
      </c>
      <c r="Y2747" s="369">
        <v>0</v>
      </c>
      <c r="Z2747" s="369">
        <v>1</v>
      </c>
      <c r="AA2747" s="369">
        <v>1</v>
      </c>
      <c r="AB2747" s="369">
        <v>1</v>
      </c>
      <c r="AC2747" s="369">
        <v>0</v>
      </c>
      <c r="AD2747" s="369">
        <v>1</v>
      </c>
      <c r="AE2747" s="49">
        <f t="shared" si="135"/>
        <v>0.625</v>
      </c>
      <c r="AF2747" s="44"/>
      <c r="AG2747" s="17">
        <v>0</v>
      </c>
      <c r="AH2747" s="44">
        <v>0</v>
      </c>
      <c r="AI2747" s="44">
        <v>0</v>
      </c>
      <c r="AJ2747" s="44">
        <v>0</v>
      </c>
      <c r="AK2747" s="151">
        <v>0</v>
      </c>
      <c r="AL2747" s="151">
        <v>0</v>
      </c>
      <c r="AM2747" s="17">
        <f t="shared" si="136"/>
        <v>0</v>
      </c>
      <c r="AN2747" s="44" t="s">
        <v>1035</v>
      </c>
      <c r="AO2747" s="18" t="s">
        <v>1037</v>
      </c>
      <c r="AP2747" t="s">
        <v>1126</v>
      </c>
    </row>
    <row r="2748" spans="1:42" s="10" customFormat="1" x14ac:dyDescent="0.3">
      <c r="A2748" s="367" t="s">
        <v>8317</v>
      </c>
      <c r="B2748" s="10" t="s">
        <v>8318</v>
      </c>
      <c r="C2748" s="368" t="s">
        <v>8763</v>
      </c>
      <c r="D2748" s="10" t="s">
        <v>8764</v>
      </c>
      <c r="E2748" s="10" t="s">
        <v>8765</v>
      </c>
      <c r="F2748" s="10" t="s">
        <v>8766</v>
      </c>
      <c r="G2748" s="10" t="s">
        <v>8832</v>
      </c>
      <c r="H2748" s="10" t="s">
        <v>8833</v>
      </c>
      <c r="I2748" s="9"/>
      <c r="J2748" s="370"/>
      <c r="K2748" s="10" t="s">
        <v>8834</v>
      </c>
      <c r="L2748" s="10" t="s">
        <v>8835</v>
      </c>
      <c r="N2748" s="16"/>
      <c r="O2748" s="16"/>
      <c r="P2748" s="16"/>
      <c r="Q2748" s="16"/>
      <c r="R2748" s="16"/>
      <c r="S2748" s="16"/>
      <c r="U2748" t="e">
        <f>VLOOKUP(T2748,[8]Votes!$A$1:$E$234,3,FALSE)</f>
        <v>#N/A</v>
      </c>
      <c r="V2748" t="s">
        <v>8839</v>
      </c>
      <c r="W2748" s="369">
        <v>1</v>
      </c>
      <c r="X2748" s="369">
        <v>1</v>
      </c>
      <c r="Y2748" s="369">
        <v>0</v>
      </c>
      <c r="Z2748" s="369">
        <v>1</v>
      </c>
      <c r="AA2748" s="369">
        <v>1</v>
      </c>
      <c r="AB2748" s="369">
        <v>1</v>
      </c>
      <c r="AC2748" s="369">
        <v>0</v>
      </c>
      <c r="AD2748" s="369">
        <v>1</v>
      </c>
      <c r="AE2748" s="49">
        <f t="shared" si="135"/>
        <v>0.75</v>
      </c>
      <c r="AF2748" s="44"/>
      <c r="AG2748" s="17">
        <v>0</v>
      </c>
      <c r="AH2748" s="44">
        <v>10</v>
      </c>
      <c r="AI2748" s="44">
        <v>5</v>
      </c>
      <c r="AJ2748" s="44">
        <v>5</v>
      </c>
      <c r="AK2748" s="151">
        <v>3</v>
      </c>
      <c r="AL2748" s="151">
        <v>3</v>
      </c>
      <c r="AM2748" s="17">
        <f t="shared" si="136"/>
        <v>6</v>
      </c>
      <c r="AN2748" s="44" t="s">
        <v>321</v>
      </c>
      <c r="AO2748" s="18" t="s">
        <v>1066</v>
      </c>
      <c r="AP2748" t="s">
        <v>4411</v>
      </c>
    </row>
    <row r="2749" spans="1:42" s="53" customFormat="1" hidden="1" x14ac:dyDescent="0.3">
      <c r="A2749" s="50" t="s">
        <v>8323</v>
      </c>
      <c r="B2749" s="51" t="s">
        <v>8324</v>
      </c>
      <c r="C2749" s="50" t="s">
        <v>1503</v>
      </c>
      <c r="D2749" s="51" t="s">
        <v>1491</v>
      </c>
      <c r="E2749" s="50" t="s">
        <v>8840</v>
      </c>
      <c r="F2749" s="51" t="s">
        <v>1493</v>
      </c>
      <c r="G2749" s="50" t="s">
        <v>8840</v>
      </c>
      <c r="H2749" s="51" t="s">
        <v>1491</v>
      </c>
      <c r="I2749" s="51"/>
      <c r="J2749" s="51"/>
      <c r="K2749" s="50" t="s">
        <v>8840</v>
      </c>
      <c r="L2749" s="51" t="s">
        <v>1491</v>
      </c>
      <c r="M2749" s="60" t="s">
        <v>271</v>
      </c>
      <c r="N2749" s="60" t="s">
        <v>271</v>
      </c>
      <c r="O2749" s="60" t="s">
        <v>271</v>
      </c>
      <c r="P2749" s="60" t="s">
        <v>271</v>
      </c>
      <c r="Q2749" s="60" t="s">
        <v>271</v>
      </c>
      <c r="R2749" s="60" t="s">
        <v>271</v>
      </c>
      <c r="S2749" s="60" t="s">
        <v>271</v>
      </c>
      <c r="T2749" s="60" t="s">
        <v>271</v>
      </c>
      <c r="U2749" s="60" t="s">
        <v>271</v>
      </c>
      <c r="V2749" s="51" t="s">
        <v>1489</v>
      </c>
      <c r="W2749" s="54"/>
      <c r="X2749" s="54"/>
      <c r="Y2749" s="54"/>
      <c r="Z2749" s="54"/>
      <c r="AA2749" s="54"/>
      <c r="AB2749" s="54"/>
      <c r="AC2749" s="54"/>
      <c r="AD2749" s="54"/>
      <c r="AE2749" s="55"/>
      <c r="AF2749" s="56"/>
      <c r="AG2749" s="55"/>
      <c r="AH2749" s="56"/>
      <c r="AI2749" s="56"/>
      <c r="AJ2749" s="56"/>
      <c r="AK2749" s="57">
        <v>427.34</v>
      </c>
      <c r="AL2749" s="57">
        <v>427.34</v>
      </c>
      <c r="AM2749" s="56">
        <f>SUM(AK2749:AL2749)</f>
        <v>854.68</v>
      </c>
      <c r="AN2749" s="52"/>
      <c r="AO2749" s="52"/>
      <c r="AP2749" s="51"/>
    </row>
    <row r="2750" spans="1:42" s="53" customFormat="1" hidden="1" x14ac:dyDescent="0.3">
      <c r="A2750" s="50" t="s">
        <v>8323</v>
      </c>
      <c r="B2750" s="51" t="s">
        <v>8324</v>
      </c>
      <c r="C2750" s="50" t="s">
        <v>1503</v>
      </c>
      <c r="D2750" s="51" t="s">
        <v>1491</v>
      </c>
      <c r="E2750" s="50" t="s">
        <v>8840</v>
      </c>
      <c r="F2750" s="51" t="s">
        <v>1493</v>
      </c>
      <c r="G2750" s="50" t="s">
        <v>8840</v>
      </c>
      <c r="H2750" s="51" t="s">
        <v>1491</v>
      </c>
      <c r="I2750" s="51"/>
      <c r="J2750" s="51"/>
      <c r="K2750" s="50" t="s">
        <v>8840</v>
      </c>
      <c r="L2750" s="51" t="s">
        <v>1491</v>
      </c>
      <c r="M2750" s="60" t="s">
        <v>271</v>
      </c>
      <c r="N2750" s="60" t="s">
        <v>271</v>
      </c>
      <c r="O2750" s="60" t="s">
        <v>271</v>
      </c>
      <c r="P2750" s="60" t="s">
        <v>271</v>
      </c>
      <c r="Q2750" s="60" t="s">
        <v>271</v>
      </c>
      <c r="R2750" s="60" t="s">
        <v>271</v>
      </c>
      <c r="S2750" s="60" t="s">
        <v>271</v>
      </c>
      <c r="T2750" s="60" t="s">
        <v>271</v>
      </c>
      <c r="U2750" s="60" t="s">
        <v>271</v>
      </c>
      <c r="V2750" s="51" t="s">
        <v>1490</v>
      </c>
      <c r="W2750" s="54"/>
      <c r="X2750" s="54"/>
      <c r="Y2750" s="54"/>
      <c r="Z2750" s="54"/>
      <c r="AA2750" s="54"/>
      <c r="AB2750" s="54"/>
      <c r="AC2750" s="54"/>
      <c r="AD2750" s="54"/>
      <c r="AE2750" s="55"/>
      <c r="AF2750" s="56"/>
      <c r="AG2750" s="55"/>
      <c r="AH2750" s="56"/>
      <c r="AI2750" s="56"/>
      <c r="AJ2750" s="56"/>
      <c r="AK2750" s="57">
        <v>170.93600000000001</v>
      </c>
      <c r="AL2750" s="57">
        <v>170.93600000000001</v>
      </c>
      <c r="AM2750" s="56">
        <f>SUM(AK2750:AL2750)</f>
        <v>341.87200000000001</v>
      </c>
      <c r="AN2750" s="52"/>
      <c r="AO2750" s="52"/>
      <c r="AP2750" s="51"/>
    </row>
    <row r="2751" spans="1:42" s="53" customFormat="1" hidden="1" x14ac:dyDescent="0.3">
      <c r="A2751" s="50" t="s">
        <v>8323</v>
      </c>
      <c r="B2751" s="51" t="s">
        <v>8324</v>
      </c>
      <c r="C2751" s="50" t="s">
        <v>1503</v>
      </c>
      <c r="D2751" s="51" t="s">
        <v>1491</v>
      </c>
      <c r="E2751" s="50" t="s">
        <v>8840</v>
      </c>
      <c r="F2751" s="51" t="s">
        <v>1493</v>
      </c>
      <c r="G2751" s="50" t="s">
        <v>8840</v>
      </c>
      <c r="H2751" s="51" t="s">
        <v>1491</v>
      </c>
      <c r="I2751" s="51"/>
      <c r="J2751" s="51"/>
      <c r="K2751" s="50" t="s">
        <v>8840</v>
      </c>
      <c r="L2751" s="51" t="s">
        <v>1491</v>
      </c>
      <c r="M2751" s="60" t="s">
        <v>271</v>
      </c>
      <c r="N2751" s="60" t="s">
        <v>271</v>
      </c>
      <c r="O2751" s="60" t="s">
        <v>271</v>
      </c>
      <c r="P2751" s="60" t="s">
        <v>271</v>
      </c>
      <c r="Q2751" s="60" t="s">
        <v>271</v>
      </c>
      <c r="R2751" s="60" t="s">
        <v>271</v>
      </c>
      <c r="S2751" s="60" t="s">
        <v>271</v>
      </c>
      <c r="T2751" s="60" t="s">
        <v>271</v>
      </c>
      <c r="U2751" s="60" t="s">
        <v>271</v>
      </c>
      <c r="V2751" s="51" t="s">
        <v>1495</v>
      </c>
      <c r="W2751" s="54"/>
      <c r="X2751" s="54"/>
      <c r="Y2751" s="54"/>
      <c r="Z2751" s="54"/>
      <c r="AA2751" s="54"/>
      <c r="AB2751" s="54"/>
      <c r="AC2751" s="54"/>
      <c r="AD2751" s="54"/>
      <c r="AE2751" s="55"/>
      <c r="AF2751" s="56"/>
      <c r="AG2751" s="55"/>
      <c r="AH2751" s="56"/>
      <c r="AI2751" s="56"/>
      <c r="AJ2751" s="56"/>
      <c r="AK2751" s="57">
        <v>44.639673580999997</v>
      </c>
      <c r="AL2751" s="57">
        <v>13.615077545000002</v>
      </c>
      <c r="AM2751" s="56">
        <f>SUM(AK2751:AL2751)</f>
        <v>58.254751126000002</v>
      </c>
      <c r="AN2751" s="52"/>
      <c r="AO2751" s="52"/>
      <c r="AP2751" s="51"/>
    </row>
    <row r="2752" spans="1:42" customFormat="1" ht="15" hidden="1" customHeight="1" x14ac:dyDescent="0.3">
      <c r="A2752" s="371" t="s">
        <v>8323</v>
      </c>
      <c r="B2752" t="s">
        <v>8324</v>
      </c>
      <c r="C2752" s="148" t="s">
        <v>8841</v>
      </c>
      <c r="D2752" t="s">
        <v>8842</v>
      </c>
      <c r="E2752" s="148" t="s">
        <v>8843</v>
      </c>
      <c r="F2752" t="s">
        <v>8844</v>
      </c>
      <c r="G2752" s="372">
        <v>171101</v>
      </c>
      <c r="H2752" t="s">
        <v>8845</v>
      </c>
      <c r="I2752" s="200"/>
      <c r="K2752" s="155" t="s">
        <v>8846</v>
      </c>
      <c r="L2752" s="148" t="s">
        <v>8847</v>
      </c>
      <c r="M2752" t="s">
        <v>8848</v>
      </c>
      <c r="N2752" s="373">
        <v>0</v>
      </c>
      <c r="O2752" s="374">
        <v>56</v>
      </c>
      <c r="P2752" s="373">
        <v>56</v>
      </c>
      <c r="Q2752" s="374">
        <v>56</v>
      </c>
      <c r="R2752" s="373">
        <v>56</v>
      </c>
      <c r="S2752" s="374">
        <v>56</v>
      </c>
      <c r="T2752" t="s">
        <v>8849</v>
      </c>
      <c r="U2752" t="e">
        <f>VLOOKUP(T2752,[8]Votes!$A$1:$E$234,3,FALSE)</f>
        <v>#N/A</v>
      </c>
      <c r="V2752" t="s">
        <v>8850</v>
      </c>
      <c r="W2752" s="45">
        <v>1</v>
      </c>
      <c r="X2752" s="45">
        <v>0</v>
      </c>
      <c r="Y2752" s="45">
        <v>1</v>
      </c>
      <c r="Z2752" s="45">
        <v>0</v>
      </c>
      <c r="AA2752" s="45">
        <v>1</v>
      </c>
      <c r="AB2752" s="45">
        <v>0</v>
      </c>
      <c r="AC2752" s="150">
        <v>1</v>
      </c>
      <c r="AD2752" s="150">
        <v>0</v>
      </c>
      <c r="AE2752" s="49">
        <f t="shared" ref="AE2752:AE2815" si="137">SUM(W2752:AD2752)/8</f>
        <v>0.5</v>
      </c>
      <c r="AF2752" s="276"/>
      <c r="AG2752" s="17">
        <v>0</v>
      </c>
      <c r="AH2752" s="276">
        <v>0</v>
      </c>
      <c r="AI2752" s="276">
        <v>2.38</v>
      </c>
      <c r="AJ2752" s="44">
        <v>2.52</v>
      </c>
      <c r="AK2752" s="158">
        <v>0</v>
      </c>
      <c r="AL2752" s="151">
        <v>0</v>
      </c>
      <c r="AM2752" s="17">
        <f t="shared" ref="AM2752:AM2815" si="138">SUM(AK2752:AL2752)</f>
        <v>0</v>
      </c>
      <c r="AN2752" t="s">
        <v>255</v>
      </c>
      <c r="AO2752" s="148" t="s">
        <v>1045</v>
      </c>
      <c r="AP2752" t="s">
        <v>8851</v>
      </c>
    </row>
    <row r="2753" spans="1:49" customFormat="1" ht="15" customHeight="1" x14ac:dyDescent="0.3">
      <c r="A2753" s="371" t="s">
        <v>8323</v>
      </c>
      <c r="B2753" t="s">
        <v>8324</v>
      </c>
      <c r="C2753" s="148" t="s">
        <v>8841</v>
      </c>
      <c r="D2753" t="s">
        <v>8842</v>
      </c>
      <c r="E2753" s="148" t="s">
        <v>8843</v>
      </c>
      <c r="F2753" t="s">
        <v>8844</v>
      </c>
      <c r="G2753" s="372">
        <v>171101</v>
      </c>
      <c r="H2753" t="s">
        <v>8845</v>
      </c>
      <c r="I2753" t="s">
        <v>8852</v>
      </c>
      <c r="J2753" t="s">
        <v>8853</v>
      </c>
      <c r="K2753" s="155" t="s">
        <v>8854</v>
      </c>
      <c r="L2753" s="148" t="s">
        <v>8855</v>
      </c>
      <c r="M2753" t="s">
        <v>8856</v>
      </c>
      <c r="N2753" s="373">
        <v>0</v>
      </c>
      <c r="O2753" s="374">
        <v>56</v>
      </c>
      <c r="P2753" s="373">
        <v>56</v>
      </c>
      <c r="Q2753" s="374">
        <v>56</v>
      </c>
      <c r="R2753" s="373">
        <v>56</v>
      </c>
      <c r="S2753" s="374">
        <v>56</v>
      </c>
      <c r="T2753" t="s">
        <v>8849</v>
      </c>
      <c r="U2753" t="e">
        <f>VLOOKUP(T2753,[8]Votes!$A$1:$E$234,3,FALSE)</f>
        <v>#N/A</v>
      </c>
      <c r="V2753" t="s">
        <v>8857</v>
      </c>
      <c r="W2753" s="45">
        <v>1</v>
      </c>
      <c r="X2753" s="45">
        <v>1</v>
      </c>
      <c r="Y2753" s="45">
        <v>1</v>
      </c>
      <c r="Z2753" s="45">
        <v>1</v>
      </c>
      <c r="AA2753" s="45">
        <v>1</v>
      </c>
      <c r="AB2753" s="45">
        <v>1</v>
      </c>
      <c r="AC2753" s="150">
        <v>1</v>
      </c>
      <c r="AD2753" s="150">
        <v>0</v>
      </c>
      <c r="AE2753" s="49">
        <f t="shared" si="137"/>
        <v>0.875</v>
      </c>
      <c r="AF2753" s="276"/>
      <c r="AG2753" s="17">
        <v>0</v>
      </c>
      <c r="AH2753" s="276">
        <v>0</v>
      </c>
      <c r="AI2753" s="276">
        <v>2.98</v>
      </c>
      <c r="AJ2753" s="44">
        <v>3.15</v>
      </c>
      <c r="AK2753" s="158">
        <v>0</v>
      </c>
      <c r="AL2753" s="151">
        <v>0</v>
      </c>
      <c r="AM2753" s="17">
        <f t="shared" si="138"/>
        <v>0</v>
      </c>
      <c r="AN2753" t="s">
        <v>255</v>
      </c>
      <c r="AO2753" s="148" t="s">
        <v>1045</v>
      </c>
      <c r="AP2753" t="s">
        <v>8858</v>
      </c>
    </row>
    <row r="2754" spans="1:49" customFormat="1" ht="15" hidden="1" customHeight="1" x14ac:dyDescent="0.3">
      <c r="A2754" s="371" t="s">
        <v>8323</v>
      </c>
      <c r="B2754" t="s">
        <v>8324</v>
      </c>
      <c r="C2754" s="148" t="s">
        <v>8841</v>
      </c>
      <c r="D2754" t="s">
        <v>8842</v>
      </c>
      <c r="E2754" s="148" t="s">
        <v>8843</v>
      </c>
      <c r="F2754" t="s">
        <v>8844</v>
      </c>
      <c r="G2754" s="372">
        <v>171101</v>
      </c>
      <c r="H2754" t="s">
        <v>8845</v>
      </c>
      <c r="I2754" t="s">
        <v>8859</v>
      </c>
      <c r="J2754" t="s">
        <v>8860</v>
      </c>
      <c r="K2754" s="155" t="s">
        <v>8861</v>
      </c>
      <c r="L2754" s="148" t="s">
        <v>8862</v>
      </c>
      <c r="M2754" t="s">
        <v>8863</v>
      </c>
      <c r="N2754" s="373">
        <v>0</v>
      </c>
      <c r="O2754" s="374"/>
      <c r="P2754" s="373"/>
      <c r="Q2754" s="374"/>
      <c r="R2754" s="373"/>
      <c r="S2754" s="374"/>
      <c r="T2754" t="s">
        <v>8849</v>
      </c>
      <c r="U2754" t="e">
        <f>VLOOKUP(T2754,[8]Votes!$A$1:$E$234,3,FALSE)</f>
        <v>#N/A</v>
      </c>
      <c r="W2754" s="45"/>
      <c r="X2754" s="45"/>
      <c r="Y2754" s="45"/>
      <c r="Z2754" s="45"/>
      <c r="AA2754" s="45"/>
      <c r="AB2754" s="45"/>
      <c r="AC2754" s="150">
        <v>0</v>
      </c>
      <c r="AD2754" s="150">
        <v>0</v>
      </c>
      <c r="AE2754" s="49">
        <f t="shared" si="137"/>
        <v>0</v>
      </c>
      <c r="AF2754" s="278"/>
      <c r="AG2754" s="17">
        <v>0</v>
      </c>
      <c r="AH2754" s="278"/>
      <c r="AI2754" s="278"/>
      <c r="AJ2754" s="4"/>
      <c r="AK2754" s="158">
        <v>0</v>
      </c>
      <c r="AL2754" s="151">
        <v>0</v>
      </c>
      <c r="AM2754" s="17">
        <f t="shared" si="138"/>
        <v>0</v>
      </c>
      <c r="AO2754" s="148"/>
    </row>
    <row r="2755" spans="1:49" customFormat="1" ht="15" hidden="1" customHeight="1" x14ac:dyDescent="0.3">
      <c r="A2755" s="371" t="s">
        <v>8323</v>
      </c>
      <c r="B2755" t="s">
        <v>8324</v>
      </c>
      <c r="C2755" s="148" t="s">
        <v>8841</v>
      </c>
      <c r="D2755" t="s">
        <v>8842</v>
      </c>
      <c r="E2755" s="148" t="s">
        <v>8843</v>
      </c>
      <c r="F2755" t="s">
        <v>8844</v>
      </c>
      <c r="G2755" s="372">
        <v>171101</v>
      </c>
      <c r="H2755" t="s">
        <v>8845</v>
      </c>
      <c r="K2755" s="155" t="s">
        <v>8864</v>
      </c>
      <c r="L2755" s="148" t="s">
        <v>8865</v>
      </c>
      <c r="M2755" t="s">
        <v>8866</v>
      </c>
      <c r="N2755" s="373">
        <v>0</v>
      </c>
      <c r="O2755" s="374">
        <v>800</v>
      </c>
      <c r="P2755" s="374">
        <v>800</v>
      </c>
      <c r="Q2755" s="374">
        <v>800</v>
      </c>
      <c r="R2755" s="374">
        <v>800</v>
      </c>
      <c r="S2755" s="374">
        <v>800</v>
      </c>
      <c r="T2755" t="s">
        <v>255</v>
      </c>
      <c r="U2755" t="str">
        <f>VLOOKUP(T2755,[8]Votes!$A$1:$E$234,3,FALSE)</f>
        <v>500 501-850 Local Governments</v>
      </c>
      <c r="V2755" t="s">
        <v>8867</v>
      </c>
      <c r="W2755" s="45">
        <v>0</v>
      </c>
      <c r="X2755" s="45">
        <v>0</v>
      </c>
      <c r="Y2755" s="45">
        <v>0</v>
      </c>
      <c r="Z2755" s="45">
        <v>1</v>
      </c>
      <c r="AA2755" s="45">
        <v>1</v>
      </c>
      <c r="AB2755" s="45">
        <v>0</v>
      </c>
      <c r="AC2755" s="150">
        <v>0</v>
      </c>
      <c r="AD2755" s="150">
        <v>0</v>
      </c>
      <c r="AE2755" s="49">
        <f t="shared" si="137"/>
        <v>0.25</v>
      </c>
      <c r="AF2755" s="276"/>
      <c r="AG2755" s="17">
        <v>1</v>
      </c>
      <c r="AH2755" s="276">
        <v>0</v>
      </c>
      <c r="AI2755" s="276">
        <v>1.7</v>
      </c>
      <c r="AJ2755" s="44">
        <v>1.8</v>
      </c>
      <c r="AK2755" s="158">
        <v>1.8</v>
      </c>
      <c r="AL2755" s="151">
        <v>1.8</v>
      </c>
      <c r="AM2755" s="17">
        <f t="shared" si="138"/>
        <v>3.6</v>
      </c>
      <c r="AN2755" t="s">
        <v>255</v>
      </c>
      <c r="AO2755" s="148" t="s">
        <v>1045</v>
      </c>
      <c r="AP2755" t="s">
        <v>8868</v>
      </c>
    </row>
    <row r="2756" spans="1:49" customFormat="1" ht="15" customHeight="1" x14ac:dyDescent="0.3">
      <c r="A2756" s="371" t="s">
        <v>8323</v>
      </c>
      <c r="B2756" t="s">
        <v>8324</v>
      </c>
      <c r="C2756" s="148" t="s">
        <v>8841</v>
      </c>
      <c r="D2756" t="s">
        <v>8842</v>
      </c>
      <c r="E2756" s="148" t="s">
        <v>8843</v>
      </c>
      <c r="F2756" t="s">
        <v>8844</v>
      </c>
      <c r="G2756" s="372">
        <v>171101</v>
      </c>
      <c r="H2756" t="s">
        <v>8845</v>
      </c>
      <c r="K2756" s="155" t="s">
        <v>8869</v>
      </c>
      <c r="L2756" s="148" t="s">
        <v>8870</v>
      </c>
      <c r="M2756" t="s">
        <v>8871</v>
      </c>
      <c r="N2756" s="373">
        <v>0</v>
      </c>
      <c r="O2756" s="374"/>
      <c r="P2756" s="374">
        <v>112</v>
      </c>
      <c r="Q2756" s="374">
        <v>112</v>
      </c>
      <c r="R2756" s="374">
        <v>112</v>
      </c>
      <c r="S2756" s="374">
        <v>112</v>
      </c>
      <c r="T2756" t="s">
        <v>92</v>
      </c>
      <c r="U2756" t="str">
        <f>VLOOKUP(T2756,[8]Votes!$A$1:$E$234,3,FALSE)</f>
        <v>010 Ministry of Agriculture, Animal &amp; Fisheries</v>
      </c>
      <c r="V2756" t="s">
        <v>8872</v>
      </c>
      <c r="W2756" s="45">
        <v>1</v>
      </c>
      <c r="X2756" s="45">
        <v>1</v>
      </c>
      <c r="Y2756" s="45">
        <v>1</v>
      </c>
      <c r="Z2756" s="45">
        <v>1</v>
      </c>
      <c r="AA2756" s="45">
        <v>1</v>
      </c>
      <c r="AB2756" s="45">
        <v>1</v>
      </c>
      <c r="AC2756" s="150">
        <v>1</v>
      </c>
      <c r="AD2756" s="150">
        <v>0</v>
      </c>
      <c r="AE2756" s="49">
        <f t="shared" si="137"/>
        <v>0.875</v>
      </c>
      <c r="AF2756" s="276"/>
      <c r="AG2756" s="17">
        <v>0</v>
      </c>
      <c r="AH2756" s="276">
        <v>0</v>
      </c>
      <c r="AI2756" s="276">
        <v>0.31</v>
      </c>
      <c r="AJ2756" s="44">
        <v>1</v>
      </c>
      <c r="AK2756" s="158">
        <v>0</v>
      </c>
      <c r="AL2756" s="151">
        <v>0</v>
      </c>
      <c r="AM2756" s="17">
        <f t="shared" si="138"/>
        <v>0</v>
      </c>
      <c r="AN2756" t="s">
        <v>92</v>
      </c>
      <c r="AO2756" s="148" t="s">
        <v>118</v>
      </c>
      <c r="AP2756" t="s">
        <v>8873</v>
      </c>
      <c r="AQ2756" s="223"/>
    </row>
    <row r="2757" spans="1:49" customFormat="1" ht="15" customHeight="1" x14ac:dyDescent="0.3">
      <c r="A2757" s="371" t="s">
        <v>8323</v>
      </c>
      <c r="B2757" t="s">
        <v>8324</v>
      </c>
      <c r="C2757" s="148" t="s">
        <v>8841</v>
      </c>
      <c r="D2757" t="s">
        <v>8842</v>
      </c>
      <c r="E2757" s="148" t="s">
        <v>8843</v>
      </c>
      <c r="F2757" t="s">
        <v>8844</v>
      </c>
      <c r="G2757" s="372">
        <v>171101</v>
      </c>
      <c r="H2757" t="s">
        <v>8845</v>
      </c>
      <c r="K2757" s="155" t="s">
        <v>8869</v>
      </c>
      <c r="L2757" s="148" t="s">
        <v>8870</v>
      </c>
      <c r="M2757" t="s">
        <v>8871</v>
      </c>
      <c r="N2757" s="373">
        <v>0</v>
      </c>
      <c r="O2757" s="374"/>
      <c r="P2757" s="374">
        <v>112</v>
      </c>
      <c r="Q2757" s="374">
        <v>112</v>
      </c>
      <c r="R2757" s="374">
        <v>112</v>
      </c>
      <c r="S2757" s="374">
        <v>112</v>
      </c>
      <c r="T2757" t="s">
        <v>92</v>
      </c>
      <c r="U2757" t="str">
        <f>VLOOKUP(T2757,[8]Votes!$A$1:$E$234,3,FALSE)</f>
        <v>010 Ministry of Agriculture, Animal &amp; Fisheries</v>
      </c>
      <c r="V2757" t="s">
        <v>8874</v>
      </c>
      <c r="W2757" s="45">
        <v>1</v>
      </c>
      <c r="X2757" s="45">
        <v>1</v>
      </c>
      <c r="Y2757" s="45">
        <v>1</v>
      </c>
      <c r="Z2757" s="45">
        <v>1</v>
      </c>
      <c r="AA2757" s="45">
        <v>1</v>
      </c>
      <c r="AB2757" s="45">
        <v>1</v>
      </c>
      <c r="AC2757" s="150">
        <v>1</v>
      </c>
      <c r="AD2757" s="150">
        <v>0</v>
      </c>
      <c r="AE2757" s="49">
        <f t="shared" si="137"/>
        <v>0.875</v>
      </c>
      <c r="AF2757" s="276"/>
      <c r="AG2757" s="17">
        <v>0</v>
      </c>
      <c r="AH2757" s="276">
        <v>0</v>
      </c>
      <c r="AI2757" s="276">
        <v>1.02</v>
      </c>
      <c r="AJ2757" s="44">
        <v>1.02</v>
      </c>
      <c r="AK2757" s="158">
        <v>0</v>
      </c>
      <c r="AL2757" s="151">
        <v>0</v>
      </c>
      <c r="AM2757" s="17">
        <f t="shared" si="138"/>
        <v>0</v>
      </c>
      <c r="AN2757" t="s">
        <v>92</v>
      </c>
      <c r="AO2757" s="148" t="s">
        <v>118</v>
      </c>
      <c r="AP2757" t="s">
        <v>8873</v>
      </c>
      <c r="AQ2757" s="223"/>
    </row>
    <row r="2758" spans="1:49" customFormat="1" ht="15" hidden="1" customHeight="1" x14ac:dyDescent="0.3">
      <c r="A2758" s="371" t="s">
        <v>8323</v>
      </c>
      <c r="B2758" t="s">
        <v>8324</v>
      </c>
      <c r="C2758" s="148" t="s">
        <v>8841</v>
      </c>
      <c r="D2758" t="s">
        <v>8842</v>
      </c>
      <c r="E2758" s="148" t="s">
        <v>8843</v>
      </c>
      <c r="F2758" t="s">
        <v>8844</v>
      </c>
      <c r="G2758" s="372">
        <v>171101</v>
      </c>
      <c r="H2758" t="s">
        <v>8845</v>
      </c>
      <c r="K2758" s="155" t="s">
        <v>8875</v>
      </c>
      <c r="L2758" s="148" t="s">
        <v>8876</v>
      </c>
      <c r="M2758" t="s">
        <v>8877</v>
      </c>
      <c r="N2758" s="373">
        <v>0</v>
      </c>
      <c r="O2758" s="374"/>
      <c r="P2758" s="374">
        <v>112</v>
      </c>
      <c r="Q2758" s="374">
        <v>112</v>
      </c>
      <c r="R2758" s="374">
        <v>112</v>
      </c>
      <c r="S2758" s="374">
        <v>112</v>
      </c>
      <c r="T2758" t="s">
        <v>92</v>
      </c>
      <c r="U2758" t="str">
        <f>VLOOKUP(T2758,[8]Votes!$A$1:$E$234,3,FALSE)</f>
        <v>010 Ministry of Agriculture, Animal &amp; Fisheries</v>
      </c>
      <c r="V2758" t="s">
        <v>8874</v>
      </c>
      <c r="W2758" s="45"/>
      <c r="X2758" s="45"/>
      <c r="Y2758" s="45"/>
      <c r="Z2758" s="45"/>
      <c r="AA2758" s="45"/>
      <c r="AB2758" s="45"/>
      <c r="AC2758" s="150">
        <v>0</v>
      </c>
      <c r="AD2758" s="150">
        <v>0</v>
      </c>
      <c r="AE2758" s="49">
        <f t="shared" si="137"/>
        <v>0</v>
      </c>
      <c r="AF2758" s="276"/>
      <c r="AG2758" s="17">
        <v>0</v>
      </c>
      <c r="AH2758" s="276">
        <v>0</v>
      </c>
      <c r="AI2758" s="276">
        <v>0.76500000000000001</v>
      </c>
      <c r="AJ2758" s="44">
        <v>0.81</v>
      </c>
      <c r="AK2758" s="158">
        <v>0</v>
      </c>
      <c r="AL2758" s="151">
        <v>0</v>
      </c>
      <c r="AM2758" s="17">
        <f t="shared" si="138"/>
        <v>0</v>
      </c>
      <c r="AN2758" t="s">
        <v>92</v>
      </c>
      <c r="AO2758" s="148" t="s">
        <v>118</v>
      </c>
      <c r="AP2758" t="s">
        <v>8873</v>
      </c>
      <c r="AQ2758" s="282"/>
      <c r="AS2758" s="210"/>
      <c r="AT2758" s="210"/>
      <c r="AU2758" s="210"/>
      <c r="AV2758" s="210"/>
      <c r="AW2758" s="210"/>
    </row>
    <row r="2759" spans="1:49" customFormat="1" ht="15" hidden="1" customHeight="1" x14ac:dyDescent="0.3">
      <c r="A2759" s="371" t="s">
        <v>8323</v>
      </c>
      <c r="B2759" t="s">
        <v>8324</v>
      </c>
      <c r="C2759" s="148" t="s">
        <v>8841</v>
      </c>
      <c r="D2759" t="s">
        <v>8842</v>
      </c>
      <c r="E2759" s="148" t="s">
        <v>8843</v>
      </c>
      <c r="F2759" t="s">
        <v>8844</v>
      </c>
      <c r="G2759" s="372">
        <v>171101</v>
      </c>
      <c r="H2759" t="s">
        <v>8845</v>
      </c>
      <c r="K2759" s="155" t="s">
        <v>8875</v>
      </c>
      <c r="L2759" s="148" t="s">
        <v>8876</v>
      </c>
      <c r="M2759" t="s">
        <v>8877</v>
      </c>
      <c r="N2759" s="373">
        <v>0</v>
      </c>
      <c r="O2759" s="374"/>
      <c r="P2759" s="374">
        <v>112</v>
      </c>
      <c r="Q2759" s="374">
        <v>112</v>
      </c>
      <c r="R2759" s="374">
        <v>112</v>
      </c>
      <c r="S2759" s="374">
        <v>112</v>
      </c>
      <c r="T2759" t="s">
        <v>92</v>
      </c>
      <c r="U2759" t="str">
        <f>VLOOKUP(T2759,[8]Votes!$A$1:$E$234,3,FALSE)</f>
        <v>010 Ministry of Agriculture, Animal &amp; Fisheries</v>
      </c>
      <c r="V2759" t="s">
        <v>8878</v>
      </c>
      <c r="W2759" s="45"/>
      <c r="X2759" s="45"/>
      <c r="Y2759" s="45"/>
      <c r="Z2759" s="45"/>
      <c r="AA2759" s="45"/>
      <c r="AB2759" s="45"/>
      <c r="AC2759" s="150">
        <v>0</v>
      </c>
      <c r="AD2759" s="150">
        <v>0</v>
      </c>
      <c r="AE2759" s="49">
        <f t="shared" si="137"/>
        <v>0</v>
      </c>
      <c r="AF2759" s="276"/>
      <c r="AG2759" s="17">
        <v>0</v>
      </c>
      <c r="AH2759" s="276">
        <v>0</v>
      </c>
      <c r="AI2759" s="276">
        <v>0</v>
      </c>
      <c r="AJ2759" s="44">
        <v>0</v>
      </c>
      <c r="AK2759" s="158">
        <v>0</v>
      </c>
      <c r="AL2759" s="151">
        <v>0</v>
      </c>
      <c r="AM2759" s="17">
        <f t="shared" si="138"/>
        <v>0</v>
      </c>
      <c r="AN2759" t="s">
        <v>92</v>
      </c>
      <c r="AO2759" s="148" t="s">
        <v>118</v>
      </c>
      <c r="AP2759" t="s">
        <v>8879</v>
      </c>
      <c r="AQ2759" s="282"/>
    </row>
    <row r="2760" spans="1:49" customFormat="1" ht="15" hidden="1" customHeight="1" x14ac:dyDescent="0.3">
      <c r="A2760" s="371" t="s">
        <v>8323</v>
      </c>
      <c r="B2760" t="s">
        <v>8324</v>
      </c>
      <c r="C2760" s="148" t="s">
        <v>8841</v>
      </c>
      <c r="D2760" t="s">
        <v>8842</v>
      </c>
      <c r="E2760" s="148" t="s">
        <v>8843</v>
      </c>
      <c r="F2760" t="s">
        <v>8844</v>
      </c>
      <c r="G2760" s="372">
        <v>171101</v>
      </c>
      <c r="H2760" t="s">
        <v>8845</v>
      </c>
      <c r="K2760" s="155" t="s">
        <v>8875</v>
      </c>
      <c r="L2760" s="148" t="s">
        <v>8876</v>
      </c>
      <c r="M2760" t="s">
        <v>8877</v>
      </c>
      <c r="N2760" s="373">
        <v>0</v>
      </c>
      <c r="O2760" s="374"/>
      <c r="P2760" s="374">
        <v>112</v>
      </c>
      <c r="Q2760" s="374">
        <v>112</v>
      </c>
      <c r="R2760" s="374">
        <v>112</v>
      </c>
      <c r="S2760" s="374">
        <v>112</v>
      </c>
      <c r="T2760" t="s">
        <v>92</v>
      </c>
      <c r="U2760" t="str">
        <f>VLOOKUP(T2760,[8]Votes!$A$1:$E$234,3,FALSE)</f>
        <v>010 Ministry of Agriculture, Animal &amp; Fisheries</v>
      </c>
      <c r="V2760" t="s">
        <v>8880</v>
      </c>
      <c r="W2760" s="45">
        <v>0</v>
      </c>
      <c r="X2760" s="45">
        <v>0</v>
      </c>
      <c r="Y2760" s="45">
        <v>0</v>
      </c>
      <c r="Z2760" s="45">
        <v>1</v>
      </c>
      <c r="AA2760" s="45">
        <v>0</v>
      </c>
      <c r="AB2760" s="45">
        <v>0</v>
      </c>
      <c r="AC2760" s="150">
        <v>1</v>
      </c>
      <c r="AD2760" s="150">
        <v>0</v>
      </c>
      <c r="AE2760" s="49">
        <f t="shared" si="137"/>
        <v>0.25</v>
      </c>
      <c r="AF2760" s="276"/>
      <c r="AG2760" s="17">
        <v>0</v>
      </c>
      <c r="AH2760" s="276">
        <v>0</v>
      </c>
      <c r="AI2760" s="276">
        <v>0</v>
      </c>
      <c r="AJ2760" s="44">
        <v>0</v>
      </c>
      <c r="AK2760" s="158">
        <v>0</v>
      </c>
      <c r="AL2760" s="151">
        <v>0</v>
      </c>
      <c r="AM2760" s="17">
        <f t="shared" si="138"/>
        <v>0</v>
      </c>
      <c r="AN2760" t="s">
        <v>265</v>
      </c>
      <c r="AO2760" s="148" t="s">
        <v>350</v>
      </c>
      <c r="AP2760" t="s">
        <v>8881</v>
      </c>
      <c r="AQ2760" s="282"/>
    </row>
    <row r="2761" spans="1:49" customFormat="1" ht="15" hidden="1" customHeight="1" x14ac:dyDescent="0.3">
      <c r="A2761" s="371" t="s">
        <v>8323</v>
      </c>
      <c r="B2761" t="s">
        <v>8324</v>
      </c>
      <c r="C2761" s="148" t="s">
        <v>8841</v>
      </c>
      <c r="D2761" t="s">
        <v>8842</v>
      </c>
      <c r="E2761" s="148" t="s">
        <v>8843</v>
      </c>
      <c r="F2761" t="s">
        <v>8844</v>
      </c>
      <c r="G2761" s="372">
        <v>171101</v>
      </c>
      <c r="H2761" t="s">
        <v>8845</v>
      </c>
      <c r="K2761" s="155" t="s">
        <v>8875</v>
      </c>
      <c r="L2761" s="148" t="s">
        <v>8876</v>
      </c>
      <c r="M2761" t="s">
        <v>8877</v>
      </c>
      <c r="N2761" s="373">
        <v>0</v>
      </c>
      <c r="O2761" s="374">
        <v>168</v>
      </c>
      <c r="P2761" s="374">
        <v>168</v>
      </c>
      <c r="Q2761" s="374">
        <v>168</v>
      </c>
      <c r="R2761" s="374">
        <v>168</v>
      </c>
      <c r="S2761" s="374">
        <v>168</v>
      </c>
      <c r="T2761" t="s">
        <v>255</v>
      </c>
      <c r="U2761" t="str">
        <f>VLOOKUP(T2761,[8]Votes!$A$1:$E$234,3,FALSE)</f>
        <v>500 501-850 Local Governments</v>
      </c>
      <c r="V2761" t="s">
        <v>8874</v>
      </c>
      <c r="W2761" s="45">
        <v>0</v>
      </c>
      <c r="X2761" s="45">
        <v>0</v>
      </c>
      <c r="Y2761" s="45">
        <v>1</v>
      </c>
      <c r="Z2761" s="45">
        <v>1</v>
      </c>
      <c r="AA2761" s="45">
        <v>0</v>
      </c>
      <c r="AB2761" s="45">
        <v>0</v>
      </c>
      <c r="AC2761" s="150">
        <v>1</v>
      </c>
      <c r="AD2761" s="150">
        <v>0</v>
      </c>
      <c r="AE2761" s="49">
        <f t="shared" si="137"/>
        <v>0.375</v>
      </c>
      <c r="AF2761" s="276"/>
      <c r="AG2761" s="17">
        <v>0</v>
      </c>
      <c r="AH2761" s="276">
        <v>0</v>
      </c>
      <c r="AI2761" s="276">
        <v>1.49</v>
      </c>
      <c r="AJ2761" s="44">
        <v>1.58</v>
      </c>
      <c r="AK2761" s="158">
        <v>0</v>
      </c>
      <c r="AL2761" s="151">
        <v>0</v>
      </c>
      <c r="AM2761" s="17">
        <f t="shared" si="138"/>
        <v>0</v>
      </c>
      <c r="AN2761" t="s">
        <v>255</v>
      </c>
      <c r="AO2761" s="148" t="s">
        <v>1045</v>
      </c>
      <c r="AP2761" t="s">
        <v>8879</v>
      </c>
      <c r="AQ2761" s="282"/>
    </row>
    <row r="2762" spans="1:49" customFormat="1" ht="15" hidden="1" customHeight="1" x14ac:dyDescent="0.3">
      <c r="A2762" s="371" t="s">
        <v>8323</v>
      </c>
      <c r="B2762" t="s">
        <v>8324</v>
      </c>
      <c r="C2762" s="148" t="s">
        <v>8841</v>
      </c>
      <c r="D2762" t="s">
        <v>8842</v>
      </c>
      <c r="E2762" s="148" t="s">
        <v>8843</v>
      </c>
      <c r="F2762" t="s">
        <v>8844</v>
      </c>
      <c r="G2762" s="372">
        <v>171101</v>
      </c>
      <c r="H2762" t="s">
        <v>8845</v>
      </c>
      <c r="K2762" s="155" t="s">
        <v>8875</v>
      </c>
      <c r="L2762" s="148" t="s">
        <v>8876</v>
      </c>
      <c r="M2762" t="s">
        <v>8877</v>
      </c>
      <c r="N2762" s="373">
        <v>0</v>
      </c>
      <c r="O2762" s="374">
        <v>435</v>
      </c>
      <c r="P2762" s="373">
        <v>435</v>
      </c>
      <c r="Q2762" s="374">
        <v>435</v>
      </c>
      <c r="R2762" s="373">
        <v>435</v>
      </c>
      <c r="S2762" s="374">
        <v>435</v>
      </c>
      <c r="T2762" t="s">
        <v>92</v>
      </c>
      <c r="U2762" t="str">
        <f>VLOOKUP(T2762,[8]Votes!$A$1:$E$234,3,FALSE)</f>
        <v>010 Ministry of Agriculture, Animal &amp; Fisheries</v>
      </c>
      <c r="V2762" t="s">
        <v>8882</v>
      </c>
      <c r="W2762" s="45">
        <v>0</v>
      </c>
      <c r="X2762" s="45">
        <v>0</v>
      </c>
      <c r="Y2762" s="45">
        <v>0</v>
      </c>
      <c r="Z2762" s="45">
        <v>1</v>
      </c>
      <c r="AA2762" s="45">
        <v>0</v>
      </c>
      <c r="AB2762" s="45">
        <v>0</v>
      </c>
      <c r="AC2762" s="150">
        <v>1</v>
      </c>
      <c r="AD2762" s="150">
        <v>0</v>
      </c>
      <c r="AE2762" s="49">
        <f t="shared" si="137"/>
        <v>0.25</v>
      </c>
      <c r="AF2762" s="276"/>
      <c r="AG2762" s="17">
        <v>0</v>
      </c>
      <c r="AH2762" s="276">
        <v>0</v>
      </c>
      <c r="AI2762" s="276">
        <v>0</v>
      </c>
      <c r="AJ2762" s="44">
        <v>0</v>
      </c>
      <c r="AK2762" s="158">
        <v>0</v>
      </c>
      <c r="AL2762" s="151">
        <v>0</v>
      </c>
      <c r="AM2762" s="17">
        <f t="shared" si="138"/>
        <v>0</v>
      </c>
      <c r="AN2762" t="s">
        <v>92</v>
      </c>
      <c r="AO2762" s="148" t="s">
        <v>118</v>
      </c>
      <c r="AP2762" t="s">
        <v>8883</v>
      </c>
      <c r="AQ2762" s="282"/>
    </row>
    <row r="2763" spans="1:49" customFormat="1" ht="15" hidden="1" customHeight="1" x14ac:dyDescent="0.3">
      <c r="A2763" s="371" t="s">
        <v>8323</v>
      </c>
      <c r="B2763" t="s">
        <v>8324</v>
      </c>
      <c r="C2763" s="148" t="s">
        <v>8841</v>
      </c>
      <c r="D2763" t="s">
        <v>8842</v>
      </c>
      <c r="E2763" s="148" t="s">
        <v>8843</v>
      </c>
      <c r="F2763" t="s">
        <v>8844</v>
      </c>
      <c r="G2763" s="372">
        <v>171101</v>
      </c>
      <c r="H2763" t="s">
        <v>8845</v>
      </c>
      <c r="K2763" s="155" t="s">
        <v>8875</v>
      </c>
      <c r="L2763" s="148" t="s">
        <v>8876</v>
      </c>
      <c r="M2763" t="s">
        <v>8877</v>
      </c>
      <c r="N2763" s="373">
        <v>0</v>
      </c>
      <c r="O2763" s="374">
        <v>435</v>
      </c>
      <c r="P2763" s="373">
        <v>435</v>
      </c>
      <c r="Q2763" s="374">
        <v>435</v>
      </c>
      <c r="R2763" s="373">
        <v>435</v>
      </c>
      <c r="S2763" s="374">
        <v>435</v>
      </c>
      <c r="T2763" t="s">
        <v>265</v>
      </c>
      <c r="U2763" t="str">
        <f>VLOOKUP(T2763,[8]Votes!$A$1:$E$234,3,FALSE)</f>
        <v>015 Ministry of Trade, Industry and Cooperatives</v>
      </c>
      <c r="V2763" t="s">
        <v>8884</v>
      </c>
      <c r="W2763" s="45">
        <v>0</v>
      </c>
      <c r="X2763" s="45">
        <v>0</v>
      </c>
      <c r="Y2763" s="45">
        <v>0</v>
      </c>
      <c r="Z2763" s="45">
        <v>1</v>
      </c>
      <c r="AA2763" s="45">
        <v>0</v>
      </c>
      <c r="AB2763" s="45">
        <v>0</v>
      </c>
      <c r="AC2763" s="150">
        <v>1</v>
      </c>
      <c r="AD2763" s="150">
        <v>0</v>
      </c>
      <c r="AE2763" s="49">
        <f t="shared" si="137"/>
        <v>0.25</v>
      </c>
      <c r="AF2763" s="276"/>
      <c r="AG2763" s="17">
        <v>0</v>
      </c>
      <c r="AH2763" s="276">
        <v>0</v>
      </c>
      <c r="AI2763" s="276">
        <v>0</v>
      </c>
      <c r="AJ2763" s="44">
        <v>0</v>
      </c>
      <c r="AK2763" s="158">
        <v>0</v>
      </c>
      <c r="AL2763" s="151">
        <v>0</v>
      </c>
      <c r="AM2763" s="17">
        <f t="shared" si="138"/>
        <v>0</v>
      </c>
      <c r="AN2763" t="s">
        <v>265</v>
      </c>
      <c r="AO2763" s="148" t="s">
        <v>350</v>
      </c>
      <c r="AP2763" t="s">
        <v>8883</v>
      </c>
      <c r="AQ2763" s="282"/>
    </row>
    <row r="2764" spans="1:49" customFormat="1" ht="15" hidden="1" customHeight="1" x14ac:dyDescent="0.3">
      <c r="A2764" s="371" t="s">
        <v>8323</v>
      </c>
      <c r="B2764" t="s">
        <v>8324</v>
      </c>
      <c r="C2764" s="148" t="s">
        <v>8841</v>
      </c>
      <c r="D2764" t="s">
        <v>8842</v>
      </c>
      <c r="E2764" s="148" t="s">
        <v>8843</v>
      </c>
      <c r="F2764" t="s">
        <v>8844</v>
      </c>
      <c r="G2764" s="372">
        <v>171101</v>
      </c>
      <c r="H2764" t="s">
        <v>8845</v>
      </c>
      <c r="K2764" s="155" t="s">
        <v>8875</v>
      </c>
      <c r="L2764" s="148" t="s">
        <v>8876</v>
      </c>
      <c r="M2764" t="s">
        <v>8877</v>
      </c>
      <c r="N2764" s="373">
        <v>0</v>
      </c>
      <c r="O2764" s="374">
        <v>435</v>
      </c>
      <c r="P2764" s="373">
        <v>435</v>
      </c>
      <c r="Q2764" s="374">
        <v>435</v>
      </c>
      <c r="R2764" s="373">
        <v>435</v>
      </c>
      <c r="S2764" s="374">
        <v>435</v>
      </c>
      <c r="T2764" t="s">
        <v>265</v>
      </c>
      <c r="U2764" t="str">
        <f>VLOOKUP(T2764,[8]Votes!$A$1:$E$234,3,FALSE)</f>
        <v>015 Ministry of Trade, Industry and Cooperatives</v>
      </c>
      <c r="V2764" t="s">
        <v>8880</v>
      </c>
      <c r="W2764" s="45">
        <v>0</v>
      </c>
      <c r="X2764" s="45">
        <v>0</v>
      </c>
      <c r="Y2764" s="45">
        <v>0</v>
      </c>
      <c r="Z2764" s="45">
        <v>1</v>
      </c>
      <c r="AA2764" s="45">
        <v>0</v>
      </c>
      <c r="AB2764" s="45">
        <v>0</v>
      </c>
      <c r="AC2764" s="150">
        <v>1</v>
      </c>
      <c r="AD2764" s="150">
        <v>0</v>
      </c>
      <c r="AE2764" s="49">
        <f t="shared" si="137"/>
        <v>0.25</v>
      </c>
      <c r="AF2764" s="276"/>
      <c r="AG2764" s="17">
        <v>0</v>
      </c>
      <c r="AH2764" s="276">
        <v>0</v>
      </c>
      <c r="AI2764" s="276">
        <v>0</v>
      </c>
      <c r="AJ2764" s="44">
        <v>0</v>
      </c>
      <c r="AK2764" s="158">
        <v>0</v>
      </c>
      <c r="AL2764" s="151">
        <v>0</v>
      </c>
      <c r="AM2764" s="17">
        <f t="shared" si="138"/>
        <v>0</v>
      </c>
      <c r="AN2764" t="s">
        <v>265</v>
      </c>
      <c r="AO2764" s="148" t="s">
        <v>350</v>
      </c>
      <c r="AP2764" t="s">
        <v>982</v>
      </c>
      <c r="AQ2764" s="282"/>
    </row>
    <row r="2765" spans="1:49" customFormat="1" ht="15" customHeight="1" x14ac:dyDescent="0.3">
      <c r="A2765" s="371" t="s">
        <v>8323</v>
      </c>
      <c r="B2765" t="s">
        <v>8324</v>
      </c>
      <c r="C2765" s="148" t="s">
        <v>8841</v>
      </c>
      <c r="D2765" t="s">
        <v>8842</v>
      </c>
      <c r="E2765" s="148" t="s">
        <v>8843</v>
      </c>
      <c r="F2765" t="s">
        <v>8844</v>
      </c>
      <c r="G2765" s="372">
        <v>171101</v>
      </c>
      <c r="H2765" t="s">
        <v>8845</v>
      </c>
      <c r="K2765" s="155" t="s">
        <v>8875</v>
      </c>
      <c r="L2765" s="148" t="s">
        <v>8876</v>
      </c>
      <c r="M2765" t="s">
        <v>8877</v>
      </c>
      <c r="N2765" s="373">
        <v>0</v>
      </c>
      <c r="O2765" s="374">
        <v>435</v>
      </c>
      <c r="P2765" s="373">
        <v>435</v>
      </c>
      <c r="Q2765" s="374">
        <v>435</v>
      </c>
      <c r="R2765" s="373">
        <v>435</v>
      </c>
      <c r="S2765" s="374">
        <v>435</v>
      </c>
      <c r="T2765" t="s">
        <v>255</v>
      </c>
      <c r="U2765" t="str">
        <f>VLOOKUP(T2765,[8]Votes!$A$1:$E$234,3,FALSE)</f>
        <v>500 501-850 Local Governments</v>
      </c>
      <c r="V2765" t="s">
        <v>8874</v>
      </c>
      <c r="W2765" s="45">
        <v>1</v>
      </c>
      <c r="X2765" s="45">
        <v>1</v>
      </c>
      <c r="Y2765" s="45">
        <v>1</v>
      </c>
      <c r="Z2765" s="45">
        <v>1</v>
      </c>
      <c r="AA2765" s="45">
        <v>1</v>
      </c>
      <c r="AB2765" s="45">
        <v>1</v>
      </c>
      <c r="AC2765" s="150">
        <v>1</v>
      </c>
      <c r="AD2765" s="150">
        <v>0</v>
      </c>
      <c r="AE2765" s="49">
        <f t="shared" si="137"/>
        <v>0.875</v>
      </c>
      <c r="AF2765" s="276"/>
      <c r="AG2765" s="17">
        <v>0</v>
      </c>
      <c r="AH2765" s="276">
        <v>0</v>
      </c>
      <c r="AI2765" s="276">
        <v>0.37</v>
      </c>
      <c r="AJ2765" s="44">
        <v>0.39</v>
      </c>
      <c r="AK2765" s="158">
        <v>0</v>
      </c>
      <c r="AL2765" s="151">
        <v>0</v>
      </c>
      <c r="AM2765" s="17">
        <f t="shared" si="138"/>
        <v>0</v>
      </c>
      <c r="AN2765" t="s">
        <v>255</v>
      </c>
      <c r="AO2765" s="148" t="s">
        <v>1045</v>
      </c>
      <c r="AP2765" t="s">
        <v>982</v>
      </c>
      <c r="AQ2765" s="282"/>
    </row>
    <row r="2766" spans="1:49" customFormat="1" ht="15" hidden="1" customHeight="1" x14ac:dyDescent="0.3">
      <c r="A2766" s="371" t="s">
        <v>8323</v>
      </c>
      <c r="B2766" t="s">
        <v>8324</v>
      </c>
      <c r="C2766" s="148" t="s">
        <v>8841</v>
      </c>
      <c r="D2766" t="s">
        <v>8842</v>
      </c>
      <c r="E2766" s="148" t="s">
        <v>8843</v>
      </c>
      <c r="F2766" t="s">
        <v>8844</v>
      </c>
      <c r="G2766" s="372">
        <v>171101</v>
      </c>
      <c r="H2766" t="s">
        <v>8845</v>
      </c>
      <c r="K2766" s="155" t="s">
        <v>8875</v>
      </c>
      <c r="L2766" s="148" t="s">
        <v>8876</v>
      </c>
      <c r="M2766" t="s">
        <v>8877</v>
      </c>
      <c r="N2766" s="373">
        <v>0</v>
      </c>
      <c r="O2766" s="374">
        <v>435</v>
      </c>
      <c r="P2766" s="373">
        <v>435</v>
      </c>
      <c r="Q2766" s="374">
        <v>435</v>
      </c>
      <c r="R2766" s="373">
        <v>435</v>
      </c>
      <c r="S2766" s="374">
        <v>435</v>
      </c>
      <c r="T2766" t="s">
        <v>92</v>
      </c>
      <c r="U2766" t="str">
        <f>VLOOKUP(T2766,[8]Votes!$A$1:$E$234,3,FALSE)</f>
        <v>010 Ministry of Agriculture, Animal &amp; Fisheries</v>
      </c>
      <c r="V2766" t="s">
        <v>8885</v>
      </c>
      <c r="W2766" s="45">
        <v>0</v>
      </c>
      <c r="X2766" s="45">
        <v>0</v>
      </c>
      <c r="Y2766" s="45">
        <v>0</v>
      </c>
      <c r="Z2766" s="45">
        <v>1</v>
      </c>
      <c r="AA2766" s="45">
        <v>0</v>
      </c>
      <c r="AB2766" s="45">
        <v>0</v>
      </c>
      <c r="AC2766" s="150">
        <v>1</v>
      </c>
      <c r="AD2766" s="150">
        <v>0</v>
      </c>
      <c r="AE2766" s="49">
        <f t="shared" si="137"/>
        <v>0.25</v>
      </c>
      <c r="AF2766" s="276"/>
      <c r="AG2766" s="17">
        <v>0</v>
      </c>
      <c r="AH2766" s="276">
        <v>0</v>
      </c>
      <c r="AI2766" s="276">
        <v>0</v>
      </c>
      <c r="AJ2766" s="44">
        <v>0</v>
      </c>
      <c r="AK2766" s="158">
        <v>0</v>
      </c>
      <c r="AL2766" s="151">
        <v>0</v>
      </c>
      <c r="AM2766" s="17">
        <f t="shared" si="138"/>
        <v>0</v>
      </c>
      <c r="AN2766" t="s">
        <v>92</v>
      </c>
      <c r="AO2766" s="148" t="s">
        <v>118</v>
      </c>
      <c r="AP2766" t="s">
        <v>982</v>
      </c>
      <c r="AQ2766" s="282"/>
    </row>
    <row r="2767" spans="1:49" customFormat="1" ht="15" hidden="1" customHeight="1" x14ac:dyDescent="0.3">
      <c r="A2767" s="371" t="s">
        <v>8323</v>
      </c>
      <c r="B2767" t="s">
        <v>8324</v>
      </c>
      <c r="C2767" s="148" t="s">
        <v>8841</v>
      </c>
      <c r="D2767" t="s">
        <v>8842</v>
      </c>
      <c r="E2767" s="148" t="s">
        <v>8843</v>
      </c>
      <c r="F2767" t="s">
        <v>8844</v>
      </c>
      <c r="G2767" s="372">
        <v>171101</v>
      </c>
      <c r="H2767" t="s">
        <v>8845</v>
      </c>
      <c r="K2767" s="155" t="s">
        <v>8875</v>
      </c>
      <c r="L2767" s="148" t="s">
        <v>8876</v>
      </c>
      <c r="M2767" t="s">
        <v>8877</v>
      </c>
      <c r="N2767" s="373">
        <v>0</v>
      </c>
      <c r="O2767" s="374">
        <v>435</v>
      </c>
      <c r="P2767" s="373">
        <v>435</v>
      </c>
      <c r="Q2767" s="374">
        <v>435</v>
      </c>
      <c r="R2767" s="373">
        <v>435</v>
      </c>
      <c r="S2767" s="374">
        <v>435</v>
      </c>
      <c r="T2767" t="s">
        <v>265</v>
      </c>
      <c r="U2767" t="str">
        <f>VLOOKUP(T2767,[8]Votes!$A$1:$E$234,3,FALSE)</f>
        <v>015 Ministry of Trade, Industry and Cooperatives</v>
      </c>
      <c r="V2767" t="s">
        <v>8880</v>
      </c>
      <c r="W2767" s="45">
        <v>0</v>
      </c>
      <c r="X2767" s="45">
        <v>0</v>
      </c>
      <c r="Y2767" s="45">
        <v>0</v>
      </c>
      <c r="Z2767" s="45">
        <v>1</v>
      </c>
      <c r="AA2767" s="45">
        <v>1</v>
      </c>
      <c r="AB2767" s="45">
        <v>0</v>
      </c>
      <c r="AC2767" s="150">
        <v>1</v>
      </c>
      <c r="AD2767" s="150">
        <v>0</v>
      </c>
      <c r="AE2767" s="49">
        <f t="shared" si="137"/>
        <v>0.375</v>
      </c>
      <c r="AF2767" s="276"/>
      <c r="AG2767" s="17">
        <v>0</v>
      </c>
      <c r="AH2767" s="276">
        <v>0</v>
      </c>
      <c r="AI2767" s="276">
        <v>0</v>
      </c>
      <c r="AJ2767" s="44">
        <v>0</v>
      </c>
      <c r="AK2767" s="158">
        <v>0</v>
      </c>
      <c r="AL2767" s="151">
        <v>0</v>
      </c>
      <c r="AM2767" s="17">
        <f t="shared" si="138"/>
        <v>0</v>
      </c>
      <c r="AN2767" t="s">
        <v>265</v>
      </c>
      <c r="AO2767" s="148" t="s">
        <v>350</v>
      </c>
      <c r="AP2767" t="s">
        <v>982</v>
      </c>
      <c r="AQ2767" s="282"/>
    </row>
    <row r="2768" spans="1:49" customFormat="1" ht="15" customHeight="1" x14ac:dyDescent="0.3">
      <c r="A2768" s="371" t="s">
        <v>8323</v>
      </c>
      <c r="B2768" t="s">
        <v>8324</v>
      </c>
      <c r="C2768" s="148" t="s">
        <v>8841</v>
      </c>
      <c r="D2768" t="s">
        <v>8842</v>
      </c>
      <c r="E2768" s="148" t="s">
        <v>8843</v>
      </c>
      <c r="F2768" t="s">
        <v>8844</v>
      </c>
      <c r="G2768" s="372">
        <v>171101</v>
      </c>
      <c r="H2768" t="s">
        <v>8845</v>
      </c>
      <c r="K2768" s="155" t="s">
        <v>8886</v>
      </c>
      <c r="L2768" s="148" t="s">
        <v>8887</v>
      </c>
      <c r="M2768" t="s">
        <v>8888</v>
      </c>
      <c r="N2768" s="373">
        <v>0</v>
      </c>
      <c r="O2768" s="374">
        <v>870</v>
      </c>
      <c r="P2768" s="374">
        <v>870</v>
      </c>
      <c r="Q2768" s="374">
        <v>870</v>
      </c>
      <c r="R2768" s="374">
        <v>870</v>
      </c>
      <c r="S2768" s="374">
        <v>870</v>
      </c>
      <c r="T2768" t="s">
        <v>255</v>
      </c>
      <c r="U2768" t="str">
        <f>VLOOKUP(T2768,[8]Votes!$A$1:$E$234,3,FALSE)</f>
        <v>500 501-850 Local Governments</v>
      </c>
      <c r="V2768" t="s">
        <v>8874</v>
      </c>
      <c r="W2768" s="45">
        <v>1</v>
      </c>
      <c r="X2768" s="45">
        <v>1</v>
      </c>
      <c r="Y2768" s="45">
        <v>1</v>
      </c>
      <c r="Z2768" s="45">
        <v>1</v>
      </c>
      <c r="AA2768" s="45">
        <v>1</v>
      </c>
      <c r="AB2768" s="45">
        <v>1</v>
      </c>
      <c r="AC2768" s="150">
        <v>1</v>
      </c>
      <c r="AD2768" s="150">
        <v>0</v>
      </c>
      <c r="AE2768" s="49">
        <f t="shared" si="137"/>
        <v>0.875</v>
      </c>
      <c r="AF2768" s="276"/>
      <c r="AG2768" s="17">
        <v>0</v>
      </c>
      <c r="AH2768" s="276">
        <v>0</v>
      </c>
      <c r="AI2768" s="276">
        <v>1.3260000000000001</v>
      </c>
      <c r="AJ2768" s="44">
        <v>1.4039999999999999</v>
      </c>
      <c r="AK2768" s="158">
        <v>0</v>
      </c>
      <c r="AL2768" s="151">
        <v>0</v>
      </c>
      <c r="AM2768" s="17">
        <f t="shared" si="138"/>
        <v>0</v>
      </c>
      <c r="AN2768" t="s">
        <v>255</v>
      </c>
      <c r="AO2768" s="148" t="s">
        <v>1045</v>
      </c>
      <c r="AP2768" t="s">
        <v>8889</v>
      </c>
    </row>
    <row r="2769" spans="1:43" customFormat="1" ht="15" hidden="1" customHeight="1" x14ac:dyDescent="0.3">
      <c r="A2769" s="371" t="s">
        <v>8323</v>
      </c>
      <c r="B2769" t="s">
        <v>8324</v>
      </c>
      <c r="C2769" s="148" t="s">
        <v>8841</v>
      </c>
      <c r="D2769" t="s">
        <v>8842</v>
      </c>
      <c r="E2769" s="148" t="s">
        <v>8843</v>
      </c>
      <c r="F2769" t="s">
        <v>8844</v>
      </c>
      <c r="G2769" s="372">
        <v>171101</v>
      </c>
      <c r="H2769" t="s">
        <v>8845</v>
      </c>
      <c r="K2769" s="155" t="s">
        <v>8886</v>
      </c>
      <c r="L2769" s="148" t="s">
        <v>8887</v>
      </c>
      <c r="M2769" t="s">
        <v>8888</v>
      </c>
      <c r="N2769" s="373">
        <v>0</v>
      </c>
      <c r="O2769" s="374">
        <v>870</v>
      </c>
      <c r="P2769" s="374">
        <v>870</v>
      </c>
      <c r="Q2769" s="374">
        <v>870</v>
      </c>
      <c r="R2769" s="374">
        <v>870</v>
      </c>
      <c r="S2769" s="374">
        <v>870</v>
      </c>
      <c r="T2769" t="s">
        <v>1167</v>
      </c>
      <c r="U2769" t="str">
        <f>VLOOKUP(T2769,[8]Votes!$A$1:$E$234,3,FALSE)</f>
        <v>003 Office of the Prime Minister</v>
      </c>
      <c r="V2769" t="s">
        <v>8890</v>
      </c>
      <c r="W2769" s="45">
        <v>1</v>
      </c>
      <c r="X2769" s="45">
        <v>0</v>
      </c>
      <c r="Y2769" s="45">
        <v>0</v>
      </c>
      <c r="Z2769" s="45">
        <v>1</v>
      </c>
      <c r="AA2769" s="45">
        <v>0</v>
      </c>
      <c r="AB2769" s="45">
        <v>0</v>
      </c>
      <c r="AC2769" s="150">
        <v>1</v>
      </c>
      <c r="AD2769" s="150">
        <v>0</v>
      </c>
      <c r="AE2769" s="49">
        <f t="shared" si="137"/>
        <v>0.375</v>
      </c>
      <c r="AF2769" s="276"/>
      <c r="AG2769" s="17">
        <v>0</v>
      </c>
      <c r="AH2769" s="276">
        <v>0</v>
      </c>
      <c r="AI2769" s="276">
        <v>0</v>
      </c>
      <c r="AJ2769" s="44">
        <v>0</v>
      </c>
      <c r="AK2769" s="158">
        <v>0</v>
      </c>
      <c r="AL2769" s="151">
        <v>0</v>
      </c>
      <c r="AM2769" s="17">
        <f t="shared" si="138"/>
        <v>0</v>
      </c>
      <c r="AN2769" t="s">
        <v>255</v>
      </c>
      <c r="AO2769" s="148" t="s">
        <v>1045</v>
      </c>
      <c r="AP2769" t="s">
        <v>8891</v>
      </c>
    </row>
    <row r="2770" spans="1:43" customFormat="1" ht="15" customHeight="1" x14ac:dyDescent="0.3">
      <c r="A2770" s="371" t="s">
        <v>8323</v>
      </c>
      <c r="B2770" t="s">
        <v>8324</v>
      </c>
      <c r="C2770" s="148" t="s">
        <v>8841</v>
      </c>
      <c r="D2770" t="s">
        <v>8842</v>
      </c>
      <c r="E2770" s="148" t="s">
        <v>8843</v>
      </c>
      <c r="F2770" t="s">
        <v>8844</v>
      </c>
      <c r="G2770" s="372">
        <v>171101</v>
      </c>
      <c r="H2770" t="s">
        <v>8845</v>
      </c>
      <c r="K2770" s="155" t="s">
        <v>8886</v>
      </c>
      <c r="L2770" s="148" t="s">
        <v>8887</v>
      </c>
      <c r="M2770" t="s">
        <v>8888</v>
      </c>
      <c r="N2770" s="373">
        <v>0</v>
      </c>
      <c r="O2770" s="374">
        <v>870</v>
      </c>
      <c r="P2770" s="374">
        <v>870</v>
      </c>
      <c r="Q2770" s="374">
        <v>870</v>
      </c>
      <c r="R2770" s="374">
        <v>870</v>
      </c>
      <c r="S2770" s="374">
        <v>870</v>
      </c>
      <c r="T2770" t="s">
        <v>255</v>
      </c>
      <c r="U2770" t="str">
        <f>VLOOKUP(T2770,[8]Votes!$A$1:$E$234,3,FALSE)</f>
        <v>500 501-850 Local Governments</v>
      </c>
      <c r="V2770" t="s">
        <v>8880</v>
      </c>
      <c r="W2770" s="45">
        <v>1</v>
      </c>
      <c r="X2770" s="45">
        <v>1</v>
      </c>
      <c r="Y2770" s="45">
        <v>1</v>
      </c>
      <c r="Z2770" s="45">
        <v>1</v>
      </c>
      <c r="AA2770" s="45">
        <v>1</v>
      </c>
      <c r="AB2770" s="45">
        <v>1</v>
      </c>
      <c r="AC2770" s="150">
        <v>1</v>
      </c>
      <c r="AD2770" s="150">
        <v>1</v>
      </c>
      <c r="AE2770" s="49">
        <f t="shared" si="137"/>
        <v>1</v>
      </c>
      <c r="AF2770" s="276"/>
      <c r="AG2770" s="17">
        <v>0</v>
      </c>
      <c r="AH2770" s="276">
        <v>0</v>
      </c>
      <c r="AI2770" s="276">
        <v>0</v>
      </c>
      <c r="AJ2770" s="44">
        <v>0</v>
      </c>
      <c r="AK2770" s="158">
        <v>0</v>
      </c>
      <c r="AL2770" s="151">
        <v>0</v>
      </c>
      <c r="AM2770" s="17">
        <f t="shared" si="138"/>
        <v>0</v>
      </c>
      <c r="AN2770" t="s">
        <v>255</v>
      </c>
      <c r="AO2770" s="148" t="s">
        <v>1045</v>
      </c>
      <c r="AP2770" t="s">
        <v>8891</v>
      </c>
    </row>
    <row r="2771" spans="1:43" customFormat="1" ht="15" customHeight="1" x14ac:dyDescent="0.3">
      <c r="A2771" s="371" t="s">
        <v>8323</v>
      </c>
      <c r="B2771" t="s">
        <v>8324</v>
      </c>
      <c r="C2771" s="148" t="s">
        <v>8841</v>
      </c>
      <c r="D2771" t="s">
        <v>8842</v>
      </c>
      <c r="E2771" s="148" t="s">
        <v>8843</v>
      </c>
      <c r="F2771" t="s">
        <v>8844</v>
      </c>
      <c r="G2771" s="372">
        <v>171101</v>
      </c>
      <c r="H2771" t="s">
        <v>8845</v>
      </c>
      <c r="K2771" s="155" t="s">
        <v>8886</v>
      </c>
      <c r="L2771" s="148" t="s">
        <v>8887</v>
      </c>
      <c r="M2771" t="s">
        <v>8888</v>
      </c>
      <c r="N2771" s="373">
        <v>0</v>
      </c>
      <c r="O2771" s="374">
        <v>870</v>
      </c>
      <c r="P2771" s="374">
        <v>870</v>
      </c>
      <c r="Q2771" s="374">
        <v>870</v>
      </c>
      <c r="R2771" s="374">
        <v>870</v>
      </c>
      <c r="S2771" s="374">
        <v>870</v>
      </c>
      <c r="T2771" t="s">
        <v>255</v>
      </c>
      <c r="U2771" t="str">
        <f>VLOOKUP(T2771,[8]Votes!$A$1:$E$234,3,FALSE)</f>
        <v>500 501-850 Local Governments</v>
      </c>
      <c r="V2771" t="s">
        <v>8874</v>
      </c>
      <c r="W2771" s="45">
        <v>1</v>
      </c>
      <c r="X2771" s="45">
        <v>1</v>
      </c>
      <c r="Y2771" s="45">
        <v>1</v>
      </c>
      <c r="Z2771" s="45">
        <v>1</v>
      </c>
      <c r="AA2771" s="45">
        <v>1</v>
      </c>
      <c r="AB2771" s="45">
        <v>1</v>
      </c>
      <c r="AC2771" s="150">
        <v>1</v>
      </c>
      <c r="AD2771" s="150">
        <v>0</v>
      </c>
      <c r="AE2771" s="49">
        <f t="shared" si="137"/>
        <v>0.875</v>
      </c>
      <c r="AF2771" s="276"/>
      <c r="AG2771" s="17">
        <v>0</v>
      </c>
      <c r="AH2771" s="276">
        <v>0</v>
      </c>
      <c r="AI2771" s="276">
        <v>1.43</v>
      </c>
      <c r="AJ2771" s="44">
        <v>1.51</v>
      </c>
      <c r="AK2771" s="158">
        <v>0</v>
      </c>
      <c r="AL2771" s="151">
        <v>0</v>
      </c>
      <c r="AM2771" s="17">
        <f t="shared" si="138"/>
        <v>0</v>
      </c>
      <c r="AN2771" t="s">
        <v>255</v>
      </c>
      <c r="AO2771" s="148" t="s">
        <v>1045</v>
      </c>
      <c r="AP2771" t="s">
        <v>8889</v>
      </c>
    </row>
    <row r="2772" spans="1:43" customFormat="1" ht="15" hidden="1" customHeight="1" x14ac:dyDescent="0.3">
      <c r="A2772" s="371" t="s">
        <v>8323</v>
      </c>
      <c r="B2772" t="s">
        <v>8324</v>
      </c>
      <c r="C2772" s="148" t="s">
        <v>8841</v>
      </c>
      <c r="D2772" t="s">
        <v>8842</v>
      </c>
      <c r="E2772" s="148" t="s">
        <v>8843</v>
      </c>
      <c r="F2772" t="s">
        <v>8844</v>
      </c>
      <c r="G2772" s="372">
        <v>171101</v>
      </c>
      <c r="H2772" t="s">
        <v>8845</v>
      </c>
      <c r="K2772" s="155" t="s">
        <v>8886</v>
      </c>
      <c r="L2772" s="148" t="s">
        <v>8887</v>
      </c>
      <c r="M2772" t="s">
        <v>8888</v>
      </c>
      <c r="N2772" s="373">
        <v>0</v>
      </c>
      <c r="O2772" s="374">
        <v>870</v>
      </c>
      <c r="P2772" s="374">
        <v>870</v>
      </c>
      <c r="Q2772" s="374">
        <v>870</v>
      </c>
      <c r="R2772" s="374">
        <v>870</v>
      </c>
      <c r="S2772" s="374">
        <v>870</v>
      </c>
      <c r="T2772" t="s">
        <v>771</v>
      </c>
      <c r="U2772" t="str">
        <f>VLOOKUP(T2772,[8]Votes!$A$1:$E$234,3,FALSE)</f>
        <v>018 Ministry of Gender, Labour and Social Development</v>
      </c>
      <c r="V2772" t="s">
        <v>8892</v>
      </c>
      <c r="W2772" s="45">
        <v>0</v>
      </c>
      <c r="X2772" s="45">
        <v>1</v>
      </c>
      <c r="Y2772" s="45">
        <v>1</v>
      </c>
      <c r="Z2772" s="45">
        <v>1</v>
      </c>
      <c r="AA2772" s="45">
        <v>0</v>
      </c>
      <c r="AB2772" s="45">
        <v>0</v>
      </c>
      <c r="AC2772" s="150">
        <v>1</v>
      </c>
      <c r="AD2772" s="150">
        <v>0</v>
      </c>
      <c r="AE2772" s="49">
        <f t="shared" si="137"/>
        <v>0.5</v>
      </c>
      <c r="AF2772" s="276"/>
      <c r="AG2772" s="17">
        <v>0</v>
      </c>
      <c r="AH2772" s="276">
        <v>0</v>
      </c>
      <c r="AI2772" s="276">
        <v>0</v>
      </c>
      <c r="AJ2772" s="44">
        <v>0</v>
      </c>
      <c r="AK2772" s="158">
        <v>0</v>
      </c>
      <c r="AL2772" s="151">
        <v>0</v>
      </c>
      <c r="AM2772" s="17">
        <f t="shared" si="138"/>
        <v>0</v>
      </c>
      <c r="AN2772" t="s">
        <v>771</v>
      </c>
      <c r="AO2772" s="148" t="s">
        <v>773</v>
      </c>
      <c r="AP2772" t="s">
        <v>982</v>
      </c>
    </row>
    <row r="2773" spans="1:43" customFormat="1" ht="15" customHeight="1" x14ac:dyDescent="0.3">
      <c r="A2773" s="371" t="s">
        <v>8323</v>
      </c>
      <c r="B2773" t="s">
        <v>8324</v>
      </c>
      <c r="C2773" s="148" t="s">
        <v>8841</v>
      </c>
      <c r="D2773" t="s">
        <v>8842</v>
      </c>
      <c r="E2773" s="148" t="s">
        <v>8843</v>
      </c>
      <c r="F2773" t="s">
        <v>8844</v>
      </c>
      <c r="G2773" s="372">
        <v>171101</v>
      </c>
      <c r="H2773" t="s">
        <v>8845</v>
      </c>
      <c r="K2773" s="155" t="s">
        <v>8893</v>
      </c>
      <c r="L2773" s="148" t="s">
        <v>8894</v>
      </c>
      <c r="M2773" t="s">
        <v>8895</v>
      </c>
      <c r="N2773" s="373">
        <v>0</v>
      </c>
      <c r="O2773" s="374">
        <v>870</v>
      </c>
      <c r="P2773" s="374">
        <v>870</v>
      </c>
      <c r="Q2773" s="374">
        <v>870</v>
      </c>
      <c r="R2773" s="374">
        <v>870</v>
      </c>
      <c r="S2773" s="374">
        <v>870</v>
      </c>
      <c r="T2773" t="s">
        <v>255</v>
      </c>
      <c r="U2773" t="str">
        <f>VLOOKUP(T2773,[8]Votes!$A$1:$E$234,3,FALSE)</f>
        <v>500 501-850 Local Governments</v>
      </c>
      <c r="V2773" t="s">
        <v>8896</v>
      </c>
      <c r="W2773" s="45">
        <v>1</v>
      </c>
      <c r="X2773" s="45">
        <v>1</v>
      </c>
      <c r="Y2773" s="45">
        <v>1</v>
      </c>
      <c r="Z2773" s="45">
        <v>1</v>
      </c>
      <c r="AA2773" s="45">
        <v>1</v>
      </c>
      <c r="AB2773" s="45">
        <v>1</v>
      </c>
      <c r="AC2773" s="150">
        <v>1</v>
      </c>
      <c r="AD2773" s="150">
        <v>1</v>
      </c>
      <c r="AE2773" s="49">
        <f t="shared" si="137"/>
        <v>1</v>
      </c>
      <c r="AF2773" s="276"/>
      <c r="AG2773" s="17">
        <v>0</v>
      </c>
      <c r="AH2773" s="276">
        <v>0</v>
      </c>
      <c r="AI2773" s="276">
        <v>0.5</v>
      </c>
      <c r="AJ2773" s="44">
        <v>0.5</v>
      </c>
      <c r="AK2773" s="158">
        <v>0.5</v>
      </c>
      <c r="AL2773" s="151">
        <v>0.5</v>
      </c>
      <c r="AM2773" s="17">
        <f t="shared" si="138"/>
        <v>1</v>
      </c>
      <c r="AN2773" t="s">
        <v>255</v>
      </c>
      <c r="AO2773" s="148" t="s">
        <v>1045</v>
      </c>
      <c r="AP2773" t="s">
        <v>8897</v>
      </c>
      <c r="AQ2773" s="282"/>
    </row>
    <row r="2774" spans="1:43" customFormat="1" ht="15" customHeight="1" x14ac:dyDescent="0.3">
      <c r="A2774" s="371" t="s">
        <v>8323</v>
      </c>
      <c r="B2774" t="s">
        <v>8324</v>
      </c>
      <c r="C2774" s="148" t="s">
        <v>8841</v>
      </c>
      <c r="D2774" t="s">
        <v>8842</v>
      </c>
      <c r="E2774" s="148" t="s">
        <v>8843</v>
      </c>
      <c r="F2774" t="s">
        <v>8844</v>
      </c>
      <c r="G2774" s="372">
        <v>171102</v>
      </c>
      <c r="H2774" t="s">
        <v>8898</v>
      </c>
      <c r="K2774" s="155" t="s">
        <v>8899</v>
      </c>
      <c r="L2774" s="148" t="s">
        <v>8900</v>
      </c>
      <c r="M2774" t="s">
        <v>8901</v>
      </c>
      <c r="N2774" s="373">
        <v>56</v>
      </c>
      <c r="O2774" s="374">
        <v>87</v>
      </c>
      <c r="P2774" s="373">
        <v>87</v>
      </c>
      <c r="Q2774" s="374">
        <v>87</v>
      </c>
      <c r="R2774" s="373">
        <v>87</v>
      </c>
      <c r="S2774" s="374">
        <v>87</v>
      </c>
      <c r="T2774" t="s">
        <v>8902</v>
      </c>
      <c r="U2774" t="e">
        <f>VLOOKUP(T2774,[8]Votes!$A$1:$E$234,3,FALSE)</f>
        <v>#N/A</v>
      </c>
      <c r="V2774" t="s">
        <v>8903</v>
      </c>
      <c r="W2774" s="45">
        <v>1</v>
      </c>
      <c r="X2774" s="45">
        <v>1</v>
      </c>
      <c r="Y2774" s="45">
        <v>1</v>
      </c>
      <c r="Z2774" s="45">
        <v>1</v>
      </c>
      <c r="AA2774" s="45">
        <v>1</v>
      </c>
      <c r="AB2774" s="45">
        <v>1</v>
      </c>
      <c r="AC2774" s="150">
        <v>1</v>
      </c>
      <c r="AD2774" s="150">
        <v>1</v>
      </c>
      <c r="AE2774" s="49">
        <f t="shared" si="137"/>
        <v>1</v>
      </c>
      <c r="AF2774" s="276"/>
      <c r="AG2774" s="17">
        <v>0</v>
      </c>
      <c r="AH2774" s="276">
        <v>0</v>
      </c>
      <c r="AI2774" s="276">
        <v>0</v>
      </c>
      <c r="AJ2774" s="44">
        <v>0</v>
      </c>
      <c r="AK2774" s="158">
        <v>0</v>
      </c>
      <c r="AL2774" s="151">
        <v>0</v>
      </c>
      <c r="AM2774" s="17">
        <f t="shared" si="138"/>
        <v>0</v>
      </c>
      <c r="AN2774" t="s">
        <v>1332</v>
      </c>
      <c r="AO2774" s="148" t="s">
        <v>1334</v>
      </c>
      <c r="AP2774" t="s">
        <v>126</v>
      </c>
      <c r="AQ2774" s="282"/>
    </row>
    <row r="2775" spans="1:43" customFormat="1" ht="15" hidden="1" customHeight="1" x14ac:dyDescent="0.3">
      <c r="A2775" s="371" t="s">
        <v>8323</v>
      </c>
      <c r="B2775" t="s">
        <v>8324</v>
      </c>
      <c r="C2775" s="148" t="s">
        <v>8841</v>
      </c>
      <c r="D2775" t="s">
        <v>8842</v>
      </c>
      <c r="E2775" s="148" t="s">
        <v>8843</v>
      </c>
      <c r="F2775" t="s">
        <v>8844</v>
      </c>
      <c r="G2775" s="372">
        <v>171102</v>
      </c>
      <c r="H2775" t="s">
        <v>8898</v>
      </c>
      <c r="K2775" s="155" t="s">
        <v>8899</v>
      </c>
      <c r="L2775" s="148" t="s">
        <v>8900</v>
      </c>
      <c r="M2775" t="s">
        <v>8901</v>
      </c>
      <c r="N2775" s="373"/>
      <c r="O2775" s="374">
        <v>87</v>
      </c>
      <c r="P2775" s="373">
        <v>87</v>
      </c>
      <c r="Q2775" s="374">
        <v>87</v>
      </c>
      <c r="R2775" s="373">
        <v>87</v>
      </c>
      <c r="S2775" s="374">
        <v>87</v>
      </c>
      <c r="T2775" t="s">
        <v>1332</v>
      </c>
      <c r="U2775" t="str">
        <f>VLOOKUP(T2775,[8]Votes!$A$1:$E$234,3,FALSE)</f>
        <v>001 Office of the President</v>
      </c>
      <c r="V2775" t="s">
        <v>8904</v>
      </c>
      <c r="W2775" s="45">
        <v>1</v>
      </c>
      <c r="X2775" s="45">
        <v>1</v>
      </c>
      <c r="Y2775" s="45">
        <v>1</v>
      </c>
      <c r="Z2775" s="45">
        <v>0</v>
      </c>
      <c r="AA2775" s="45">
        <v>0</v>
      </c>
      <c r="AB2775" s="45">
        <v>0</v>
      </c>
      <c r="AC2775" s="150">
        <v>1</v>
      </c>
      <c r="AD2775" s="150">
        <v>1</v>
      </c>
      <c r="AE2775" s="49">
        <f t="shared" si="137"/>
        <v>0.625</v>
      </c>
      <c r="AF2775" s="276"/>
      <c r="AG2775" s="17">
        <v>0</v>
      </c>
      <c r="AH2775" s="276">
        <v>0</v>
      </c>
      <c r="AI2775" s="276">
        <v>0</v>
      </c>
      <c r="AJ2775" s="44">
        <v>0</v>
      </c>
      <c r="AK2775" s="158">
        <v>0</v>
      </c>
      <c r="AL2775" s="151">
        <v>0</v>
      </c>
      <c r="AM2775" s="17">
        <f t="shared" si="138"/>
        <v>0</v>
      </c>
      <c r="AN2775" t="s">
        <v>1332</v>
      </c>
      <c r="AO2775" s="148" t="s">
        <v>1334</v>
      </c>
      <c r="AP2775" t="s">
        <v>255</v>
      </c>
      <c r="AQ2775" s="282"/>
    </row>
    <row r="2776" spans="1:43" customFormat="1" ht="15" customHeight="1" x14ac:dyDescent="0.3">
      <c r="A2776" s="371" t="s">
        <v>8323</v>
      </c>
      <c r="B2776" t="s">
        <v>8324</v>
      </c>
      <c r="C2776" s="148" t="s">
        <v>8841</v>
      </c>
      <c r="D2776" t="s">
        <v>8842</v>
      </c>
      <c r="E2776" s="148" t="s">
        <v>8843</v>
      </c>
      <c r="F2776" t="s">
        <v>8844</v>
      </c>
      <c r="G2776" s="372">
        <v>171102</v>
      </c>
      <c r="H2776" t="s">
        <v>8898</v>
      </c>
      <c r="K2776" s="155" t="s">
        <v>8899</v>
      </c>
      <c r="L2776" s="148" t="s">
        <v>8900</v>
      </c>
      <c r="M2776" t="s">
        <v>8901</v>
      </c>
      <c r="N2776" s="373"/>
      <c r="O2776" s="374">
        <v>87</v>
      </c>
      <c r="P2776" s="373">
        <v>87</v>
      </c>
      <c r="Q2776" s="374">
        <v>87</v>
      </c>
      <c r="R2776" s="373">
        <v>87</v>
      </c>
      <c r="S2776" s="374">
        <v>87</v>
      </c>
      <c r="T2776" t="s">
        <v>1332</v>
      </c>
      <c r="U2776" t="str">
        <f>VLOOKUP(T2776,[8]Votes!$A$1:$E$234,3,FALSE)</f>
        <v>001 Office of the President</v>
      </c>
      <c r="V2776" t="s">
        <v>8905</v>
      </c>
      <c r="W2776" s="45">
        <v>1</v>
      </c>
      <c r="X2776" s="45">
        <v>1</v>
      </c>
      <c r="Y2776" s="45">
        <v>1</v>
      </c>
      <c r="Z2776" s="45">
        <v>0</v>
      </c>
      <c r="AA2776" s="45">
        <v>0</v>
      </c>
      <c r="AB2776" s="45">
        <v>1</v>
      </c>
      <c r="AC2776" s="150">
        <v>1</v>
      </c>
      <c r="AD2776" s="150">
        <v>1</v>
      </c>
      <c r="AE2776" s="49">
        <f t="shared" si="137"/>
        <v>0.75</v>
      </c>
      <c r="AF2776" s="276"/>
      <c r="AG2776" s="17">
        <v>0</v>
      </c>
      <c r="AH2776" s="276">
        <v>0</v>
      </c>
      <c r="AI2776" s="276">
        <v>0</v>
      </c>
      <c r="AJ2776" s="44">
        <v>0</v>
      </c>
      <c r="AK2776" s="158">
        <v>0</v>
      </c>
      <c r="AL2776" s="151">
        <v>0</v>
      </c>
      <c r="AM2776" s="17">
        <f t="shared" si="138"/>
        <v>0</v>
      </c>
      <c r="AN2776" t="s">
        <v>1332</v>
      </c>
      <c r="AO2776" s="148" t="s">
        <v>1334</v>
      </c>
      <c r="AP2776" t="s">
        <v>1157</v>
      </c>
      <c r="AQ2776" s="282"/>
    </row>
    <row r="2777" spans="1:43" customFormat="1" ht="15" customHeight="1" x14ac:dyDescent="0.3">
      <c r="A2777" s="371" t="s">
        <v>8323</v>
      </c>
      <c r="B2777" t="s">
        <v>8324</v>
      </c>
      <c r="C2777" s="148" t="s">
        <v>8841</v>
      </c>
      <c r="D2777" t="s">
        <v>8842</v>
      </c>
      <c r="E2777" s="148" t="s">
        <v>8843</v>
      </c>
      <c r="F2777" t="s">
        <v>8844</v>
      </c>
      <c r="G2777" s="372">
        <v>171102</v>
      </c>
      <c r="H2777" t="s">
        <v>8898</v>
      </c>
      <c r="K2777" s="155" t="s">
        <v>8899</v>
      </c>
      <c r="L2777" s="148" t="s">
        <v>8900</v>
      </c>
      <c r="M2777" t="s">
        <v>8901</v>
      </c>
      <c r="N2777" s="373"/>
      <c r="O2777" s="374">
        <v>87</v>
      </c>
      <c r="P2777" s="373">
        <v>87</v>
      </c>
      <c r="Q2777" s="374">
        <v>87</v>
      </c>
      <c r="R2777" s="373">
        <v>87</v>
      </c>
      <c r="S2777" s="374">
        <v>87</v>
      </c>
      <c r="T2777" t="s">
        <v>255</v>
      </c>
      <c r="U2777" t="str">
        <f>VLOOKUP(T2777,[8]Votes!$A$1:$E$234,3,FALSE)</f>
        <v>500 501-850 Local Governments</v>
      </c>
      <c r="V2777" t="s">
        <v>8906</v>
      </c>
      <c r="W2777" s="45">
        <v>1</v>
      </c>
      <c r="X2777" s="45">
        <v>1</v>
      </c>
      <c r="Y2777" s="45">
        <v>1</v>
      </c>
      <c r="Z2777" s="45">
        <v>1</v>
      </c>
      <c r="AA2777" s="45">
        <v>1</v>
      </c>
      <c r="AB2777" s="45">
        <v>1</v>
      </c>
      <c r="AC2777" s="150">
        <v>1</v>
      </c>
      <c r="AD2777" s="150">
        <v>1</v>
      </c>
      <c r="AE2777" s="49">
        <f t="shared" si="137"/>
        <v>1</v>
      </c>
      <c r="AF2777" s="276"/>
      <c r="AG2777" s="17">
        <v>0</v>
      </c>
      <c r="AH2777" s="276">
        <v>0</v>
      </c>
      <c r="AI2777" s="276">
        <v>4.26</v>
      </c>
      <c r="AJ2777" s="44">
        <v>4.26</v>
      </c>
      <c r="AK2777" s="158">
        <v>4.26</v>
      </c>
      <c r="AL2777" s="151">
        <v>4.26</v>
      </c>
      <c r="AM2777" s="17">
        <f t="shared" si="138"/>
        <v>8.52</v>
      </c>
      <c r="AN2777" t="s">
        <v>255</v>
      </c>
      <c r="AO2777" s="148" t="s">
        <v>1045</v>
      </c>
      <c r="AP2777" t="s">
        <v>1157</v>
      </c>
      <c r="AQ2777" s="282"/>
    </row>
    <row r="2778" spans="1:43" customFormat="1" ht="15" customHeight="1" x14ac:dyDescent="0.3">
      <c r="A2778" s="371" t="s">
        <v>8323</v>
      </c>
      <c r="B2778" t="s">
        <v>8324</v>
      </c>
      <c r="C2778" s="148" t="s">
        <v>8841</v>
      </c>
      <c r="D2778" t="s">
        <v>8842</v>
      </c>
      <c r="E2778" s="148" t="s">
        <v>8843</v>
      </c>
      <c r="F2778" t="s">
        <v>8844</v>
      </c>
      <c r="G2778" s="372">
        <v>171103</v>
      </c>
      <c r="H2778" t="s">
        <v>8907</v>
      </c>
      <c r="K2778" s="155" t="s">
        <v>8908</v>
      </c>
      <c r="L2778" s="148" t="s">
        <v>8909</v>
      </c>
      <c r="M2778" t="s">
        <v>8910</v>
      </c>
      <c r="N2778" s="373">
        <v>0</v>
      </c>
      <c r="O2778" s="374">
        <v>174</v>
      </c>
      <c r="P2778" s="374">
        <v>174</v>
      </c>
      <c r="Q2778" s="374">
        <v>174</v>
      </c>
      <c r="R2778" s="374">
        <v>174</v>
      </c>
      <c r="S2778" s="374">
        <v>174</v>
      </c>
      <c r="T2778" t="s">
        <v>407</v>
      </c>
      <c r="U2778" t="str">
        <f>VLOOKUP(T2778,[8]Votes!$A$1:$E$234,3,FALSE)</f>
        <v>019 Ministry of Water and Environment</v>
      </c>
      <c r="V2778" t="s">
        <v>8911</v>
      </c>
      <c r="W2778" s="45">
        <v>1</v>
      </c>
      <c r="X2778" s="45">
        <v>1</v>
      </c>
      <c r="Y2778" s="45">
        <v>1</v>
      </c>
      <c r="Z2778" s="45">
        <v>1</v>
      </c>
      <c r="AA2778" s="45">
        <v>1</v>
      </c>
      <c r="AB2778" s="45">
        <v>1</v>
      </c>
      <c r="AC2778" s="150">
        <v>1</v>
      </c>
      <c r="AD2778" s="150">
        <v>1</v>
      </c>
      <c r="AE2778" s="49">
        <f t="shared" si="137"/>
        <v>1</v>
      </c>
      <c r="AF2778" s="276"/>
      <c r="AG2778" s="17">
        <v>0</v>
      </c>
      <c r="AH2778" s="276">
        <v>0</v>
      </c>
      <c r="AI2778" s="276">
        <v>0</v>
      </c>
      <c r="AJ2778" s="44">
        <v>27</v>
      </c>
      <c r="AK2778" s="158">
        <v>28.8</v>
      </c>
      <c r="AL2778" s="151">
        <v>28.8</v>
      </c>
      <c r="AM2778" s="17">
        <f t="shared" si="138"/>
        <v>57.6</v>
      </c>
      <c r="AN2778" t="s">
        <v>407</v>
      </c>
      <c r="AO2778" s="148" t="s">
        <v>409</v>
      </c>
      <c r="AP2778" t="s">
        <v>8912</v>
      </c>
      <c r="AQ2778" s="223"/>
    </row>
    <row r="2779" spans="1:43" customFormat="1" ht="15" customHeight="1" x14ac:dyDescent="0.3">
      <c r="A2779" s="371" t="s">
        <v>8323</v>
      </c>
      <c r="B2779" t="s">
        <v>8324</v>
      </c>
      <c r="C2779" s="148" t="s">
        <v>8841</v>
      </c>
      <c r="D2779" t="s">
        <v>8842</v>
      </c>
      <c r="E2779" s="148" t="s">
        <v>8843</v>
      </c>
      <c r="F2779" t="s">
        <v>8844</v>
      </c>
      <c r="G2779" s="372">
        <v>171103</v>
      </c>
      <c r="H2779" t="s">
        <v>8907</v>
      </c>
      <c r="K2779" s="155" t="s">
        <v>8908</v>
      </c>
      <c r="L2779" s="148" t="s">
        <v>8909</v>
      </c>
      <c r="M2779" t="s">
        <v>8910</v>
      </c>
      <c r="N2779" s="373">
        <v>0</v>
      </c>
      <c r="O2779" s="374">
        <v>174</v>
      </c>
      <c r="P2779" s="374">
        <v>174</v>
      </c>
      <c r="Q2779" s="374">
        <v>174</v>
      </c>
      <c r="R2779" s="374">
        <v>174</v>
      </c>
      <c r="S2779" s="374">
        <v>174</v>
      </c>
      <c r="T2779" t="s">
        <v>92</v>
      </c>
      <c r="U2779" t="str">
        <f>VLOOKUP(T2779,[8]Votes!$A$1:$E$234,3,FALSE)</f>
        <v>010 Ministry of Agriculture, Animal &amp; Fisheries</v>
      </c>
      <c r="V2779" t="s">
        <v>8913</v>
      </c>
      <c r="W2779" s="45">
        <v>1</v>
      </c>
      <c r="X2779" s="45">
        <v>1</v>
      </c>
      <c r="Y2779" s="45">
        <v>1</v>
      </c>
      <c r="Z2779" s="45">
        <v>1</v>
      </c>
      <c r="AA2779" s="45">
        <v>1</v>
      </c>
      <c r="AB2779" s="45">
        <v>1</v>
      </c>
      <c r="AC2779" s="150">
        <v>1</v>
      </c>
      <c r="AD2779" s="150">
        <v>1</v>
      </c>
      <c r="AE2779" s="49">
        <f t="shared" si="137"/>
        <v>1</v>
      </c>
      <c r="AF2779" s="276"/>
      <c r="AG2779" s="17">
        <v>0</v>
      </c>
      <c r="AH2779" s="276">
        <v>0</v>
      </c>
      <c r="AI2779" s="276">
        <v>3</v>
      </c>
      <c r="AJ2779" s="44">
        <v>3</v>
      </c>
      <c r="AK2779" s="158">
        <v>3</v>
      </c>
      <c r="AL2779" s="151">
        <v>3</v>
      </c>
      <c r="AM2779" s="17">
        <f t="shared" si="138"/>
        <v>6</v>
      </c>
      <c r="AN2779" t="s">
        <v>92</v>
      </c>
      <c r="AO2779" s="148" t="s">
        <v>118</v>
      </c>
      <c r="AP2779" t="s">
        <v>8914</v>
      </c>
      <c r="AQ2779" s="282"/>
    </row>
    <row r="2780" spans="1:43" customFormat="1" ht="15" customHeight="1" x14ac:dyDescent="0.3">
      <c r="A2780" s="371" t="s">
        <v>8323</v>
      </c>
      <c r="B2780" t="s">
        <v>8324</v>
      </c>
      <c r="C2780" s="148" t="s">
        <v>8841</v>
      </c>
      <c r="D2780" t="s">
        <v>8842</v>
      </c>
      <c r="E2780" s="148" t="s">
        <v>8843</v>
      </c>
      <c r="F2780" t="s">
        <v>8844</v>
      </c>
      <c r="G2780" s="372">
        <v>171103</v>
      </c>
      <c r="H2780" t="s">
        <v>8907</v>
      </c>
      <c r="K2780" s="155" t="s">
        <v>8908</v>
      </c>
      <c r="L2780" s="148" t="s">
        <v>8909</v>
      </c>
      <c r="M2780" t="s">
        <v>8910</v>
      </c>
      <c r="N2780" s="373">
        <v>0</v>
      </c>
      <c r="O2780" s="374">
        <v>174</v>
      </c>
      <c r="P2780" s="374">
        <v>174</v>
      </c>
      <c r="Q2780" s="374">
        <v>174</v>
      </c>
      <c r="R2780" s="374">
        <v>174</v>
      </c>
      <c r="S2780" s="374">
        <v>174</v>
      </c>
      <c r="T2780" t="s">
        <v>407</v>
      </c>
      <c r="U2780" t="str">
        <f>VLOOKUP(T2780,[8]Votes!$A$1:$E$234,3,FALSE)</f>
        <v>019 Ministry of Water and Environment</v>
      </c>
      <c r="V2780" t="s">
        <v>8915</v>
      </c>
      <c r="W2780" s="45">
        <v>1</v>
      </c>
      <c r="X2780" s="45">
        <v>1</v>
      </c>
      <c r="Y2780" s="45">
        <v>1</v>
      </c>
      <c r="Z2780" s="45">
        <v>0</v>
      </c>
      <c r="AA2780" s="45">
        <v>1</v>
      </c>
      <c r="AB2780" s="45">
        <v>1</v>
      </c>
      <c r="AC2780" s="150">
        <v>1</v>
      </c>
      <c r="AD2780" s="150">
        <v>1</v>
      </c>
      <c r="AE2780" s="49">
        <f t="shared" si="137"/>
        <v>0.875</v>
      </c>
      <c r="AF2780" s="276">
        <v>1</v>
      </c>
      <c r="AG2780" s="17">
        <v>0</v>
      </c>
      <c r="AH2780" s="276">
        <v>0</v>
      </c>
      <c r="AI2780" s="276">
        <v>0</v>
      </c>
      <c r="AJ2780" s="44">
        <v>15.099181210563984</v>
      </c>
      <c r="AK2780" s="158">
        <v>18</v>
      </c>
      <c r="AL2780" s="151">
        <v>20.90081878942965</v>
      </c>
      <c r="AM2780" s="17">
        <f t="shared" si="138"/>
        <v>38.90081878942965</v>
      </c>
      <c r="AN2780" t="s">
        <v>407</v>
      </c>
      <c r="AO2780" s="148" t="s">
        <v>409</v>
      </c>
      <c r="AP2780" t="s">
        <v>8916</v>
      </c>
      <c r="AQ2780" s="47"/>
    </row>
    <row r="2781" spans="1:43" customFormat="1" ht="15" customHeight="1" x14ac:dyDescent="0.3">
      <c r="A2781" s="371" t="s">
        <v>8323</v>
      </c>
      <c r="B2781" t="s">
        <v>8324</v>
      </c>
      <c r="C2781" s="148" t="s">
        <v>8841</v>
      </c>
      <c r="D2781" t="s">
        <v>8842</v>
      </c>
      <c r="E2781" s="148" t="s">
        <v>8843</v>
      </c>
      <c r="F2781" t="s">
        <v>8844</v>
      </c>
      <c r="G2781" s="372">
        <v>171103</v>
      </c>
      <c r="H2781" t="s">
        <v>8907</v>
      </c>
      <c r="K2781" s="155" t="s">
        <v>8908</v>
      </c>
      <c r="L2781" s="148" t="s">
        <v>8909</v>
      </c>
      <c r="M2781" t="s">
        <v>8910</v>
      </c>
      <c r="N2781" s="373">
        <v>0</v>
      </c>
      <c r="O2781" s="374">
        <v>174</v>
      </c>
      <c r="P2781" s="374">
        <v>174</v>
      </c>
      <c r="Q2781" s="374">
        <v>174</v>
      </c>
      <c r="R2781" s="374">
        <v>174</v>
      </c>
      <c r="S2781" s="374">
        <v>174</v>
      </c>
      <c r="T2781" t="s">
        <v>407</v>
      </c>
      <c r="U2781" t="str">
        <f>VLOOKUP(T2781,[8]Votes!$A$1:$E$234,3,FALSE)</f>
        <v>019 Ministry of Water and Environment</v>
      </c>
      <c r="V2781" t="s">
        <v>8917</v>
      </c>
      <c r="W2781" s="45">
        <v>1</v>
      </c>
      <c r="X2781" s="45">
        <v>1</v>
      </c>
      <c r="Y2781" s="45">
        <v>1</v>
      </c>
      <c r="Z2781" s="45">
        <v>1</v>
      </c>
      <c r="AA2781" s="45">
        <v>1</v>
      </c>
      <c r="AB2781" s="45">
        <v>1</v>
      </c>
      <c r="AC2781" s="150">
        <v>1</v>
      </c>
      <c r="AD2781" s="150">
        <v>1</v>
      </c>
      <c r="AE2781" s="49">
        <f t="shared" si="137"/>
        <v>1</v>
      </c>
      <c r="AF2781" s="276">
        <v>1</v>
      </c>
      <c r="AG2781" s="17">
        <v>0</v>
      </c>
      <c r="AH2781" s="276">
        <v>29.877934500195803</v>
      </c>
      <c r="AI2781" s="276">
        <v>0</v>
      </c>
      <c r="AJ2781" s="44">
        <v>39.061032749902097</v>
      </c>
      <c r="AK2781" s="158">
        <v>0</v>
      </c>
      <c r="AL2781" s="151">
        <f>39.05+54</f>
        <v>93.05</v>
      </c>
      <c r="AM2781" s="17">
        <f t="shared" si="138"/>
        <v>93.05</v>
      </c>
      <c r="AN2781" t="s">
        <v>407</v>
      </c>
      <c r="AO2781" s="148" t="s">
        <v>409</v>
      </c>
      <c r="AP2781" t="s">
        <v>8916</v>
      </c>
      <c r="AQ2781" s="47"/>
    </row>
    <row r="2782" spans="1:43" customFormat="1" ht="15" customHeight="1" x14ac:dyDescent="0.3">
      <c r="A2782" s="371" t="s">
        <v>8323</v>
      </c>
      <c r="B2782" t="s">
        <v>8324</v>
      </c>
      <c r="C2782" s="148" t="s">
        <v>8841</v>
      </c>
      <c r="D2782" t="s">
        <v>8842</v>
      </c>
      <c r="E2782" s="148" t="s">
        <v>8843</v>
      </c>
      <c r="F2782" t="s">
        <v>8844</v>
      </c>
      <c r="G2782" s="372">
        <v>171103</v>
      </c>
      <c r="H2782" t="s">
        <v>8907</v>
      </c>
      <c r="K2782" s="155" t="s">
        <v>8918</v>
      </c>
      <c r="L2782" s="148" t="s">
        <v>8919</v>
      </c>
      <c r="M2782" t="s">
        <v>8920</v>
      </c>
      <c r="N2782" s="373"/>
      <c r="O2782" s="374">
        <v>174</v>
      </c>
      <c r="P2782" s="374">
        <v>174</v>
      </c>
      <c r="Q2782" s="374">
        <v>174</v>
      </c>
      <c r="R2782" s="374">
        <v>174</v>
      </c>
      <c r="S2782" s="374">
        <v>174</v>
      </c>
      <c r="T2782" t="s">
        <v>407</v>
      </c>
      <c r="U2782" t="str">
        <f>VLOOKUP(T2782,[8]Votes!$A$1:$E$234,3,FALSE)</f>
        <v>019 Ministry of Water and Environment</v>
      </c>
      <c r="V2782" t="s">
        <v>8921</v>
      </c>
      <c r="W2782" s="45">
        <v>1</v>
      </c>
      <c r="X2782" s="45">
        <v>1</v>
      </c>
      <c r="Y2782" s="45">
        <v>1</v>
      </c>
      <c r="Z2782" s="45">
        <v>1</v>
      </c>
      <c r="AA2782" s="45">
        <v>1</v>
      </c>
      <c r="AB2782" s="45">
        <v>1</v>
      </c>
      <c r="AC2782" s="150">
        <v>1</v>
      </c>
      <c r="AD2782" s="150">
        <v>1</v>
      </c>
      <c r="AE2782" s="49">
        <f t="shared" si="137"/>
        <v>1</v>
      </c>
      <c r="AF2782" s="276"/>
      <c r="AG2782" s="17">
        <v>0</v>
      </c>
      <c r="AH2782" s="276">
        <v>10</v>
      </c>
      <c r="AI2782" s="276">
        <v>0</v>
      </c>
      <c r="AJ2782" s="44">
        <v>37.6</v>
      </c>
      <c r="AK2782" s="158">
        <v>0</v>
      </c>
      <c r="AL2782" s="151">
        <v>0</v>
      </c>
      <c r="AM2782" s="17">
        <f t="shared" si="138"/>
        <v>0</v>
      </c>
      <c r="AN2782" t="s">
        <v>407</v>
      </c>
      <c r="AO2782" s="148" t="s">
        <v>409</v>
      </c>
      <c r="AP2782" t="s">
        <v>1157</v>
      </c>
      <c r="AQ2782" s="47"/>
    </row>
    <row r="2783" spans="1:43" customFormat="1" ht="15" customHeight="1" x14ac:dyDescent="0.3">
      <c r="A2783" s="371" t="s">
        <v>8323</v>
      </c>
      <c r="B2783" t="s">
        <v>8324</v>
      </c>
      <c r="C2783" s="148" t="s">
        <v>8841</v>
      </c>
      <c r="D2783" t="s">
        <v>8842</v>
      </c>
      <c r="E2783" s="148" t="s">
        <v>8843</v>
      </c>
      <c r="F2783" t="s">
        <v>8844</v>
      </c>
      <c r="G2783" s="372">
        <v>171103</v>
      </c>
      <c r="H2783" t="s">
        <v>8907</v>
      </c>
      <c r="K2783" s="155" t="s">
        <v>8918</v>
      </c>
      <c r="L2783" s="148" t="s">
        <v>8919</v>
      </c>
      <c r="M2783" t="s">
        <v>8920</v>
      </c>
      <c r="N2783" s="373"/>
      <c r="O2783" s="374">
        <v>174</v>
      </c>
      <c r="P2783" s="374">
        <v>174</v>
      </c>
      <c r="Q2783" s="374">
        <v>174</v>
      </c>
      <c r="R2783" s="374">
        <v>40</v>
      </c>
      <c r="S2783" s="374">
        <v>40</v>
      </c>
      <c r="T2783" t="s">
        <v>407</v>
      </c>
      <c r="U2783" t="str">
        <f>VLOOKUP(T2783,[8]Votes!$A$1:$E$234,3,FALSE)</f>
        <v>019 Ministry of Water and Environment</v>
      </c>
      <c r="V2783" t="s">
        <v>8922</v>
      </c>
      <c r="W2783" s="45">
        <v>1</v>
      </c>
      <c r="X2783" s="45">
        <v>1</v>
      </c>
      <c r="Y2783" s="45">
        <v>1</v>
      </c>
      <c r="Z2783" s="45">
        <v>1</v>
      </c>
      <c r="AA2783" s="45">
        <v>1</v>
      </c>
      <c r="AB2783" s="45">
        <v>1</v>
      </c>
      <c r="AC2783" s="150">
        <v>1</v>
      </c>
      <c r="AD2783" s="150">
        <v>1</v>
      </c>
      <c r="AE2783" s="49">
        <f t="shared" si="137"/>
        <v>1</v>
      </c>
      <c r="AF2783" s="276"/>
      <c r="AG2783" s="17">
        <v>0</v>
      </c>
      <c r="AH2783" s="276">
        <v>0</v>
      </c>
      <c r="AI2783" s="276">
        <v>0</v>
      </c>
      <c r="AJ2783" s="44">
        <v>0</v>
      </c>
      <c r="AK2783" s="158">
        <v>0</v>
      </c>
      <c r="AL2783" s="151">
        <v>22.69</v>
      </c>
      <c r="AM2783" s="17">
        <f t="shared" si="138"/>
        <v>22.69</v>
      </c>
      <c r="AN2783" t="s">
        <v>407</v>
      </c>
      <c r="AO2783" s="148" t="s">
        <v>409</v>
      </c>
      <c r="AP2783" t="s">
        <v>8923</v>
      </c>
      <c r="AQ2783" s="47"/>
    </row>
    <row r="2784" spans="1:43" customFormat="1" ht="15" customHeight="1" x14ac:dyDescent="0.3">
      <c r="A2784" s="371" t="s">
        <v>8323</v>
      </c>
      <c r="B2784" t="s">
        <v>8324</v>
      </c>
      <c r="C2784" s="148" t="s">
        <v>8841</v>
      </c>
      <c r="D2784" t="s">
        <v>8842</v>
      </c>
      <c r="E2784" s="148" t="s">
        <v>8843</v>
      </c>
      <c r="F2784" t="s">
        <v>8844</v>
      </c>
      <c r="G2784" s="372">
        <v>171103</v>
      </c>
      <c r="H2784" t="s">
        <v>8907</v>
      </c>
      <c r="K2784" s="155" t="s">
        <v>8918</v>
      </c>
      <c r="L2784" s="148" t="s">
        <v>8919</v>
      </c>
      <c r="M2784" t="s">
        <v>8920</v>
      </c>
      <c r="N2784" s="373"/>
      <c r="O2784" s="374">
        <v>174</v>
      </c>
      <c r="P2784" s="374">
        <v>174</v>
      </c>
      <c r="Q2784" s="374">
        <v>174</v>
      </c>
      <c r="R2784" s="374">
        <v>174</v>
      </c>
      <c r="S2784" s="374">
        <v>174</v>
      </c>
      <c r="T2784" t="s">
        <v>407</v>
      </c>
      <c r="U2784" t="str">
        <f>VLOOKUP(T2784,[8]Votes!$A$1:$E$234,3,FALSE)</f>
        <v>019 Ministry of Water and Environment</v>
      </c>
      <c r="V2784" t="s">
        <v>8924</v>
      </c>
      <c r="W2784" s="45">
        <v>1</v>
      </c>
      <c r="X2784" s="45">
        <v>1</v>
      </c>
      <c r="Y2784" s="45">
        <v>1</v>
      </c>
      <c r="Z2784" s="45">
        <v>1</v>
      </c>
      <c r="AA2784" s="45">
        <v>1</v>
      </c>
      <c r="AB2784" s="45">
        <v>1</v>
      </c>
      <c r="AC2784" s="150">
        <v>1</v>
      </c>
      <c r="AD2784" s="150">
        <v>1</v>
      </c>
      <c r="AE2784" s="49">
        <f t="shared" si="137"/>
        <v>1</v>
      </c>
      <c r="AF2784" s="276">
        <v>1</v>
      </c>
      <c r="AG2784" s="17">
        <v>0</v>
      </c>
      <c r="AH2784" s="276">
        <v>0</v>
      </c>
      <c r="AI2784" s="276">
        <v>0</v>
      </c>
      <c r="AJ2784" s="44">
        <v>0</v>
      </c>
      <c r="AK2784" s="158">
        <v>56.622884289233845</v>
      </c>
      <c r="AL2784" s="151">
        <v>68.577115710766194</v>
      </c>
      <c r="AM2784" s="17">
        <f t="shared" si="138"/>
        <v>125.20000000000005</v>
      </c>
      <c r="AN2784" t="s">
        <v>407</v>
      </c>
      <c r="AO2784" s="148" t="s">
        <v>409</v>
      </c>
      <c r="AP2784" t="s">
        <v>8925</v>
      </c>
      <c r="AQ2784" s="47"/>
    </row>
    <row r="2785" spans="1:44" customFormat="1" ht="15" customHeight="1" x14ac:dyDescent="0.3">
      <c r="A2785" s="371" t="s">
        <v>8323</v>
      </c>
      <c r="B2785" t="s">
        <v>8324</v>
      </c>
      <c r="C2785" s="148" t="s">
        <v>8841</v>
      </c>
      <c r="D2785" t="s">
        <v>8842</v>
      </c>
      <c r="E2785" s="148" t="s">
        <v>8843</v>
      </c>
      <c r="F2785" t="s">
        <v>8844</v>
      </c>
      <c r="G2785" s="372">
        <v>171103</v>
      </c>
      <c r="H2785" t="s">
        <v>8907</v>
      </c>
      <c r="K2785" s="155" t="s">
        <v>8926</v>
      </c>
      <c r="L2785" s="148" t="s">
        <v>8927</v>
      </c>
      <c r="M2785" t="s">
        <v>8928</v>
      </c>
      <c r="N2785" s="373">
        <v>0</v>
      </c>
      <c r="O2785" s="374">
        <v>174</v>
      </c>
      <c r="P2785" s="374">
        <v>174</v>
      </c>
      <c r="Q2785" s="374">
        <v>174</v>
      </c>
      <c r="R2785" s="374">
        <v>174</v>
      </c>
      <c r="S2785" s="374">
        <v>174</v>
      </c>
      <c r="T2785" t="s">
        <v>407</v>
      </c>
      <c r="U2785" t="str">
        <f>VLOOKUP(T2785,[8]Votes!$A$1:$E$234,3,FALSE)</f>
        <v>019 Ministry of Water and Environment</v>
      </c>
      <c r="V2785" t="s">
        <v>8929</v>
      </c>
      <c r="W2785" s="45">
        <v>1</v>
      </c>
      <c r="X2785" s="45">
        <v>1</v>
      </c>
      <c r="Y2785" s="45">
        <v>1</v>
      </c>
      <c r="Z2785" s="45">
        <v>1</v>
      </c>
      <c r="AA2785" s="45">
        <v>1</v>
      </c>
      <c r="AB2785" s="45">
        <v>1</v>
      </c>
      <c r="AC2785" s="150">
        <v>1</v>
      </c>
      <c r="AD2785" s="150">
        <v>1</v>
      </c>
      <c r="AE2785" s="49">
        <f t="shared" si="137"/>
        <v>1</v>
      </c>
      <c r="AF2785" s="276"/>
      <c r="AG2785" s="17">
        <v>0</v>
      </c>
      <c r="AH2785" s="276">
        <v>0</v>
      </c>
      <c r="AI2785" s="276">
        <v>0</v>
      </c>
      <c r="AJ2785" s="44">
        <v>10</v>
      </c>
      <c r="AK2785" s="158">
        <v>18</v>
      </c>
      <c r="AL2785" s="151">
        <v>26</v>
      </c>
      <c r="AM2785" s="17">
        <f t="shared" si="138"/>
        <v>44</v>
      </c>
      <c r="AN2785" t="s">
        <v>407</v>
      </c>
      <c r="AO2785" s="148" t="s">
        <v>409</v>
      </c>
      <c r="AP2785" t="s">
        <v>255</v>
      </c>
      <c r="AQ2785" s="282"/>
    </row>
    <row r="2786" spans="1:44" customFormat="1" ht="15" hidden="1" customHeight="1" x14ac:dyDescent="0.3">
      <c r="A2786" s="371" t="s">
        <v>8323</v>
      </c>
      <c r="B2786" t="s">
        <v>8324</v>
      </c>
      <c r="C2786" s="148" t="s">
        <v>8841</v>
      </c>
      <c r="D2786" t="s">
        <v>8842</v>
      </c>
      <c r="E2786" s="148" t="s">
        <v>8843</v>
      </c>
      <c r="F2786" t="s">
        <v>8844</v>
      </c>
      <c r="G2786" s="372">
        <v>171104</v>
      </c>
      <c r="H2786" t="s">
        <v>8930</v>
      </c>
      <c r="K2786" s="155" t="s">
        <v>8931</v>
      </c>
      <c r="L2786" s="148" t="s">
        <v>8932</v>
      </c>
      <c r="M2786" t="s">
        <v>8933</v>
      </c>
      <c r="N2786" s="373">
        <v>5504</v>
      </c>
      <c r="O2786" s="374">
        <v>5504</v>
      </c>
      <c r="P2786" s="373">
        <v>5504</v>
      </c>
      <c r="Q2786" s="374">
        <v>5504</v>
      </c>
      <c r="R2786" s="373">
        <v>5504</v>
      </c>
      <c r="S2786" s="374">
        <v>5504</v>
      </c>
      <c r="T2786" t="s">
        <v>8934</v>
      </c>
      <c r="U2786" t="e">
        <f>VLOOKUP(T2786,[8]Votes!$A$1:$E$234,3,FALSE)</f>
        <v>#N/A</v>
      </c>
      <c r="W2786" s="45"/>
      <c r="X2786" s="45"/>
      <c r="Y2786" s="45"/>
      <c r="Z2786" s="45"/>
      <c r="AA2786" s="45"/>
      <c r="AB2786" s="45"/>
      <c r="AC2786" s="150">
        <v>0</v>
      </c>
      <c r="AD2786" s="150">
        <v>0</v>
      </c>
      <c r="AE2786" s="49">
        <f t="shared" si="137"/>
        <v>0</v>
      </c>
      <c r="AF2786" s="278"/>
      <c r="AG2786" s="17">
        <v>0</v>
      </c>
      <c r="AH2786" s="278"/>
      <c r="AI2786" s="278"/>
      <c r="AJ2786" s="4"/>
      <c r="AK2786" s="158">
        <v>0</v>
      </c>
      <c r="AL2786" s="151">
        <v>0</v>
      </c>
      <c r="AM2786" s="17">
        <f t="shared" si="138"/>
        <v>0</v>
      </c>
      <c r="AO2786" s="148"/>
      <c r="AQ2786" s="282"/>
    </row>
    <row r="2787" spans="1:44" customFormat="1" ht="15" customHeight="1" x14ac:dyDescent="0.3">
      <c r="A2787" s="371" t="s">
        <v>8323</v>
      </c>
      <c r="B2787" t="s">
        <v>8324</v>
      </c>
      <c r="C2787" s="148" t="s">
        <v>8841</v>
      </c>
      <c r="D2787" t="s">
        <v>8842</v>
      </c>
      <c r="E2787" s="148" t="s">
        <v>8843</v>
      </c>
      <c r="F2787" t="s">
        <v>8844</v>
      </c>
      <c r="G2787" s="372">
        <v>171104</v>
      </c>
      <c r="H2787" t="s">
        <v>8930</v>
      </c>
      <c r="K2787" s="155" t="s">
        <v>8931</v>
      </c>
      <c r="L2787" s="148" t="s">
        <v>8932</v>
      </c>
      <c r="M2787" t="s">
        <v>8933</v>
      </c>
      <c r="N2787" s="373">
        <v>0</v>
      </c>
      <c r="O2787" s="374">
        <v>5504</v>
      </c>
      <c r="P2787" s="373">
        <v>5504</v>
      </c>
      <c r="Q2787" s="374">
        <v>5504</v>
      </c>
      <c r="R2787" s="373">
        <v>5504</v>
      </c>
      <c r="S2787" s="374">
        <v>5504</v>
      </c>
      <c r="T2787" t="s">
        <v>255</v>
      </c>
      <c r="U2787" t="str">
        <f>VLOOKUP(T2787,[8]Votes!$A$1:$E$234,3,FALSE)</f>
        <v>500 501-850 Local Governments</v>
      </c>
      <c r="V2787" t="s">
        <v>8935</v>
      </c>
      <c r="W2787" s="45">
        <v>1</v>
      </c>
      <c r="X2787" s="45">
        <v>1</v>
      </c>
      <c r="Y2787" s="45">
        <v>1</v>
      </c>
      <c r="Z2787" s="45">
        <v>1</v>
      </c>
      <c r="AA2787" s="45">
        <v>0</v>
      </c>
      <c r="AB2787" s="45">
        <v>1</v>
      </c>
      <c r="AC2787" s="150">
        <v>1</v>
      </c>
      <c r="AD2787" s="150">
        <v>0</v>
      </c>
      <c r="AE2787" s="49">
        <f t="shared" si="137"/>
        <v>0.75</v>
      </c>
      <c r="AF2787" s="276"/>
      <c r="AG2787" s="17">
        <v>0</v>
      </c>
      <c r="AH2787" s="276">
        <v>0</v>
      </c>
      <c r="AI2787" s="276">
        <v>0</v>
      </c>
      <c r="AJ2787" s="44">
        <v>0</v>
      </c>
      <c r="AK2787" s="158">
        <v>0</v>
      </c>
      <c r="AL2787" s="151">
        <v>0</v>
      </c>
      <c r="AM2787" s="17">
        <f t="shared" si="138"/>
        <v>0</v>
      </c>
      <c r="AN2787" t="s">
        <v>255</v>
      </c>
      <c r="AO2787" s="148" t="s">
        <v>1045</v>
      </c>
      <c r="AP2787" t="s">
        <v>8868</v>
      </c>
      <c r="AQ2787" s="47"/>
    </row>
    <row r="2788" spans="1:44" customFormat="1" ht="15" customHeight="1" x14ac:dyDescent="0.3">
      <c r="A2788" s="371" t="s">
        <v>8323</v>
      </c>
      <c r="B2788" t="s">
        <v>8324</v>
      </c>
      <c r="C2788" s="148" t="s">
        <v>8841</v>
      </c>
      <c r="D2788" t="s">
        <v>8842</v>
      </c>
      <c r="E2788" s="148" t="s">
        <v>8843</v>
      </c>
      <c r="F2788" t="s">
        <v>8844</v>
      </c>
      <c r="G2788" s="372">
        <v>171104</v>
      </c>
      <c r="H2788" t="s">
        <v>8930</v>
      </c>
      <c r="K2788" s="155" t="s">
        <v>8931</v>
      </c>
      <c r="L2788" s="148" t="s">
        <v>8932</v>
      </c>
      <c r="M2788" t="s">
        <v>8933</v>
      </c>
      <c r="N2788" s="373">
        <v>0</v>
      </c>
      <c r="O2788" s="374">
        <v>5504</v>
      </c>
      <c r="P2788" s="373">
        <v>5504</v>
      </c>
      <c r="Q2788" s="374">
        <v>5504</v>
      </c>
      <c r="R2788" s="373">
        <v>5504</v>
      </c>
      <c r="S2788" s="374">
        <v>5504</v>
      </c>
      <c r="T2788" t="s">
        <v>1332</v>
      </c>
      <c r="U2788" t="str">
        <f>VLOOKUP(T2788,[8]Votes!$A$1:$E$234,3,FALSE)</f>
        <v>001 Office of the President</v>
      </c>
      <c r="V2788" t="s">
        <v>8936</v>
      </c>
      <c r="W2788" s="45">
        <v>1</v>
      </c>
      <c r="X2788" s="45">
        <v>1</v>
      </c>
      <c r="Y2788" s="45">
        <v>1</v>
      </c>
      <c r="Z2788" s="45">
        <v>1</v>
      </c>
      <c r="AA2788" s="45">
        <v>0</v>
      </c>
      <c r="AB2788" s="45">
        <v>1</v>
      </c>
      <c r="AC2788" s="150">
        <v>1</v>
      </c>
      <c r="AD2788" s="150">
        <v>0</v>
      </c>
      <c r="AE2788" s="49">
        <f t="shared" si="137"/>
        <v>0.75</v>
      </c>
      <c r="AF2788" s="276"/>
      <c r="AG2788" s="17">
        <v>0</v>
      </c>
      <c r="AH2788" s="276">
        <v>0</v>
      </c>
      <c r="AI2788" s="276">
        <v>0</v>
      </c>
      <c r="AJ2788" s="44">
        <v>0</v>
      </c>
      <c r="AK2788" s="158">
        <v>0</v>
      </c>
      <c r="AL2788" s="151">
        <v>0</v>
      </c>
      <c r="AM2788" s="17">
        <f t="shared" si="138"/>
        <v>0</v>
      </c>
      <c r="AN2788" t="s">
        <v>1332</v>
      </c>
      <c r="AO2788" s="148" t="s">
        <v>1334</v>
      </c>
      <c r="AP2788" t="s">
        <v>8937</v>
      </c>
      <c r="AQ2788" s="47"/>
    </row>
    <row r="2789" spans="1:44" customFormat="1" ht="15" customHeight="1" x14ac:dyDescent="0.3">
      <c r="A2789" s="371" t="s">
        <v>8323</v>
      </c>
      <c r="B2789" t="s">
        <v>8324</v>
      </c>
      <c r="C2789" s="148" t="s">
        <v>8841</v>
      </c>
      <c r="D2789" t="s">
        <v>8842</v>
      </c>
      <c r="E2789" s="148" t="s">
        <v>8843</v>
      </c>
      <c r="F2789" t="s">
        <v>8844</v>
      </c>
      <c r="G2789" s="372">
        <v>171105</v>
      </c>
      <c r="H2789" t="s">
        <v>8938</v>
      </c>
      <c r="K2789" s="155" t="s">
        <v>8939</v>
      </c>
      <c r="L2789" s="148" t="s">
        <v>8940</v>
      </c>
      <c r="M2789" t="s">
        <v>8933</v>
      </c>
      <c r="N2789" s="373" t="s">
        <v>271</v>
      </c>
      <c r="O2789" s="374">
        <v>10</v>
      </c>
      <c r="P2789" s="373">
        <v>12</v>
      </c>
      <c r="Q2789" s="374">
        <v>14</v>
      </c>
      <c r="R2789" s="373">
        <v>18</v>
      </c>
      <c r="S2789" s="374">
        <v>20</v>
      </c>
      <c r="T2789" t="s">
        <v>8941</v>
      </c>
      <c r="U2789" t="e">
        <f>VLOOKUP(T2789,[8]Votes!$A$1:$E$234,3,FALSE)</f>
        <v>#N/A</v>
      </c>
      <c r="V2789" t="s">
        <v>8942</v>
      </c>
      <c r="W2789" s="45">
        <v>1</v>
      </c>
      <c r="X2789" s="45">
        <v>1</v>
      </c>
      <c r="Y2789" s="45">
        <v>1</v>
      </c>
      <c r="Z2789" s="45">
        <v>1</v>
      </c>
      <c r="AA2789" s="45">
        <v>0</v>
      </c>
      <c r="AB2789" s="45">
        <v>1</v>
      </c>
      <c r="AC2789" s="150">
        <v>1</v>
      </c>
      <c r="AD2789" s="150">
        <v>0</v>
      </c>
      <c r="AE2789" s="49">
        <f t="shared" si="137"/>
        <v>0.75</v>
      </c>
      <c r="AF2789" s="276"/>
      <c r="AG2789" s="17">
        <v>0</v>
      </c>
      <c r="AH2789" s="276">
        <v>0</v>
      </c>
      <c r="AI2789" s="276">
        <v>0</v>
      </c>
      <c r="AJ2789" s="44">
        <v>0</v>
      </c>
      <c r="AK2789" s="158">
        <v>0</v>
      </c>
      <c r="AL2789" s="151">
        <v>0</v>
      </c>
      <c r="AM2789" s="17">
        <f t="shared" si="138"/>
        <v>0</v>
      </c>
      <c r="AN2789" t="s">
        <v>67</v>
      </c>
      <c r="AO2789" s="148" t="s">
        <v>68</v>
      </c>
      <c r="AP2789" t="s">
        <v>92</v>
      </c>
      <c r="AQ2789" s="47"/>
    </row>
    <row r="2790" spans="1:44" customFormat="1" ht="15" customHeight="1" x14ac:dyDescent="0.3">
      <c r="A2790" s="371" t="s">
        <v>8323</v>
      </c>
      <c r="B2790" t="s">
        <v>8324</v>
      </c>
      <c r="C2790" s="148" t="s">
        <v>8841</v>
      </c>
      <c r="D2790" t="s">
        <v>8842</v>
      </c>
      <c r="E2790" s="148" t="s">
        <v>8843</v>
      </c>
      <c r="F2790" t="s">
        <v>8844</v>
      </c>
      <c r="G2790" s="372">
        <v>171105</v>
      </c>
      <c r="H2790" t="s">
        <v>8938</v>
      </c>
      <c r="K2790" s="155" t="s">
        <v>8939</v>
      </c>
      <c r="L2790" s="148" t="s">
        <v>8940</v>
      </c>
      <c r="M2790" t="s">
        <v>8933</v>
      </c>
      <c r="N2790" s="373">
        <v>0</v>
      </c>
      <c r="O2790" s="374">
        <v>5504</v>
      </c>
      <c r="P2790" s="374">
        <v>5504</v>
      </c>
      <c r="Q2790" s="374">
        <v>5504</v>
      </c>
      <c r="R2790" s="374">
        <v>5504</v>
      </c>
      <c r="S2790" s="374">
        <v>5504</v>
      </c>
      <c r="T2790" t="s">
        <v>92</v>
      </c>
      <c r="U2790" t="str">
        <f>VLOOKUP(T2790,[8]Votes!$A$1:$E$234,3,FALSE)</f>
        <v>010 Ministry of Agriculture, Animal &amp; Fisheries</v>
      </c>
      <c r="V2790" t="s">
        <v>8943</v>
      </c>
      <c r="W2790" s="45">
        <v>1</v>
      </c>
      <c r="X2790" s="45">
        <v>1</v>
      </c>
      <c r="Y2790" s="45">
        <v>1</v>
      </c>
      <c r="Z2790" s="45">
        <v>1</v>
      </c>
      <c r="AA2790" s="45">
        <v>0</v>
      </c>
      <c r="AB2790" s="45">
        <v>1</v>
      </c>
      <c r="AC2790" s="150">
        <v>1</v>
      </c>
      <c r="AD2790" s="150">
        <v>0</v>
      </c>
      <c r="AE2790" s="49">
        <f t="shared" si="137"/>
        <v>0.75</v>
      </c>
      <c r="AF2790" s="276"/>
      <c r="AG2790" s="17">
        <v>0</v>
      </c>
      <c r="AH2790" s="276">
        <v>0</v>
      </c>
      <c r="AI2790" s="276">
        <v>0</v>
      </c>
      <c r="AJ2790" s="44">
        <v>0</v>
      </c>
      <c r="AK2790" s="158">
        <v>0</v>
      </c>
      <c r="AL2790" s="151">
        <v>0</v>
      </c>
      <c r="AM2790" s="17">
        <f t="shared" si="138"/>
        <v>0</v>
      </c>
      <c r="AN2790" t="s">
        <v>92</v>
      </c>
      <c r="AO2790" s="148" t="s">
        <v>118</v>
      </c>
      <c r="AP2790" t="s">
        <v>255</v>
      </c>
      <c r="AQ2790" s="47"/>
    </row>
    <row r="2791" spans="1:44" customFormat="1" ht="15" customHeight="1" x14ac:dyDescent="0.3">
      <c r="A2791" s="371" t="s">
        <v>8323</v>
      </c>
      <c r="B2791" t="s">
        <v>8324</v>
      </c>
      <c r="C2791" s="148" t="s">
        <v>8841</v>
      </c>
      <c r="D2791" t="s">
        <v>8842</v>
      </c>
      <c r="E2791" s="148" t="s">
        <v>8843</v>
      </c>
      <c r="F2791" t="s">
        <v>8844</v>
      </c>
      <c r="G2791" s="372">
        <v>171105</v>
      </c>
      <c r="H2791" t="s">
        <v>8938</v>
      </c>
      <c r="K2791" s="155" t="s">
        <v>8939</v>
      </c>
      <c r="L2791" s="148" t="s">
        <v>8940</v>
      </c>
      <c r="M2791" t="s">
        <v>8933</v>
      </c>
      <c r="N2791" s="373">
        <v>0</v>
      </c>
      <c r="O2791" s="374">
        <v>5504</v>
      </c>
      <c r="P2791" s="374">
        <v>5504</v>
      </c>
      <c r="Q2791" s="374">
        <v>5504</v>
      </c>
      <c r="R2791" s="374">
        <v>5504</v>
      </c>
      <c r="S2791" s="374">
        <v>5504</v>
      </c>
      <c r="T2791" t="s">
        <v>921</v>
      </c>
      <c r="U2791" t="str">
        <f>VLOOKUP(T2791,[8]Votes!$A$1:$E$234,3,FALSE)</f>
        <v>008 Ministry of Finance, Planning &amp; Economic Dev.</v>
      </c>
      <c r="V2791" t="s">
        <v>8944</v>
      </c>
      <c r="W2791" s="45">
        <v>1</v>
      </c>
      <c r="X2791" s="45">
        <v>1</v>
      </c>
      <c r="Y2791" s="45">
        <v>1</v>
      </c>
      <c r="Z2791" s="45">
        <v>1</v>
      </c>
      <c r="AA2791" s="45">
        <v>0</v>
      </c>
      <c r="AB2791" s="45">
        <v>1</v>
      </c>
      <c r="AC2791" s="150">
        <v>1</v>
      </c>
      <c r="AD2791" s="150">
        <v>0</v>
      </c>
      <c r="AE2791" s="49">
        <f t="shared" si="137"/>
        <v>0.75</v>
      </c>
      <c r="AF2791" s="276"/>
      <c r="AG2791" s="17">
        <v>0</v>
      </c>
      <c r="AH2791" s="276">
        <v>0</v>
      </c>
      <c r="AI2791" s="276">
        <v>39.78</v>
      </c>
      <c r="AJ2791" s="44">
        <v>42.12</v>
      </c>
      <c r="AK2791" s="158">
        <v>0</v>
      </c>
      <c r="AL2791" s="151">
        <v>0</v>
      </c>
      <c r="AM2791" s="17">
        <f t="shared" si="138"/>
        <v>0</v>
      </c>
      <c r="AN2791" t="s">
        <v>921</v>
      </c>
      <c r="AO2791" s="148" t="s">
        <v>880</v>
      </c>
      <c r="AP2791" t="s">
        <v>8945</v>
      </c>
      <c r="AQ2791" s="47"/>
    </row>
    <row r="2792" spans="1:44" customFormat="1" ht="15" hidden="1" customHeight="1" x14ac:dyDescent="0.3">
      <c r="A2792" s="371" t="s">
        <v>8323</v>
      </c>
      <c r="B2792" t="s">
        <v>8324</v>
      </c>
      <c r="C2792" s="148" t="s">
        <v>8841</v>
      </c>
      <c r="D2792" t="s">
        <v>8842</v>
      </c>
      <c r="E2792" s="148" t="s">
        <v>8843</v>
      </c>
      <c r="F2792" t="s">
        <v>8844</v>
      </c>
      <c r="G2792" s="372">
        <v>171105</v>
      </c>
      <c r="H2792" t="s">
        <v>8938</v>
      </c>
      <c r="K2792" s="155" t="s">
        <v>8946</v>
      </c>
      <c r="L2792" s="148" t="s">
        <v>8947</v>
      </c>
      <c r="M2792" t="s">
        <v>8948</v>
      </c>
      <c r="N2792" s="373"/>
      <c r="O2792" s="374"/>
      <c r="P2792" s="373"/>
      <c r="Q2792" s="374"/>
      <c r="R2792" s="373"/>
      <c r="S2792" s="374"/>
      <c r="T2792" t="s">
        <v>570</v>
      </c>
      <c r="U2792" t="str">
        <f>VLOOKUP(T2792,[8]Votes!$A$1:$E$234,3,FALSE)</f>
        <v>012 Ministry of Lands, Housing &amp; Urban Development</v>
      </c>
      <c r="V2792" t="s">
        <v>8949</v>
      </c>
      <c r="W2792" s="45">
        <v>0</v>
      </c>
      <c r="X2792" s="45">
        <v>0</v>
      </c>
      <c r="Y2792" s="45">
        <v>0</v>
      </c>
      <c r="Z2792" s="45">
        <v>1</v>
      </c>
      <c r="AA2792" s="45">
        <v>0</v>
      </c>
      <c r="AB2792" s="45">
        <v>0</v>
      </c>
      <c r="AC2792" s="150">
        <v>1</v>
      </c>
      <c r="AD2792" s="150">
        <v>0</v>
      </c>
      <c r="AE2792" s="49">
        <f t="shared" si="137"/>
        <v>0.25</v>
      </c>
      <c r="AF2792" s="276"/>
      <c r="AG2792" s="17">
        <v>0</v>
      </c>
      <c r="AH2792" s="276">
        <v>0</v>
      </c>
      <c r="AI2792" s="276">
        <v>2.89</v>
      </c>
      <c r="AJ2792" s="44">
        <v>2.89</v>
      </c>
      <c r="AK2792" s="158">
        <v>0</v>
      </c>
      <c r="AL2792" s="151">
        <v>0</v>
      </c>
      <c r="AM2792" s="17">
        <f t="shared" si="138"/>
        <v>0</v>
      </c>
      <c r="AN2792" t="s">
        <v>570</v>
      </c>
      <c r="AO2792" s="148" t="s">
        <v>2875</v>
      </c>
      <c r="AP2792" t="s">
        <v>8950</v>
      </c>
      <c r="AQ2792" s="47"/>
    </row>
    <row r="2793" spans="1:44" customFormat="1" ht="15" hidden="1" customHeight="1" x14ac:dyDescent="0.3">
      <c r="A2793" s="371" t="s">
        <v>8323</v>
      </c>
      <c r="B2793" t="s">
        <v>8324</v>
      </c>
      <c r="C2793" s="148" t="s">
        <v>8841</v>
      </c>
      <c r="D2793" t="s">
        <v>8842</v>
      </c>
      <c r="E2793" s="148" t="s">
        <v>8843</v>
      </c>
      <c r="F2793" t="s">
        <v>8844</v>
      </c>
      <c r="G2793" s="372">
        <v>171105</v>
      </c>
      <c r="H2793" t="s">
        <v>8938</v>
      </c>
      <c r="K2793" s="155" t="s">
        <v>8946</v>
      </c>
      <c r="L2793" s="148" t="s">
        <v>8947</v>
      </c>
      <c r="M2793" t="s">
        <v>8948</v>
      </c>
      <c r="N2793" s="373"/>
      <c r="O2793" s="374"/>
      <c r="P2793" s="373"/>
      <c r="Q2793" s="374"/>
      <c r="R2793" s="373"/>
      <c r="S2793" s="374"/>
      <c r="T2793" t="s">
        <v>570</v>
      </c>
      <c r="U2793" t="str">
        <f>VLOOKUP(T2793,[8]Votes!$A$1:$E$234,3,FALSE)</f>
        <v>012 Ministry of Lands, Housing &amp; Urban Development</v>
      </c>
      <c r="V2793" t="s">
        <v>8951</v>
      </c>
      <c r="W2793" s="45">
        <v>0</v>
      </c>
      <c r="X2793" s="45">
        <v>0</v>
      </c>
      <c r="Y2793" s="45">
        <v>0</v>
      </c>
      <c r="Z2793" s="45">
        <v>1</v>
      </c>
      <c r="AA2793" s="45">
        <v>0</v>
      </c>
      <c r="AB2793" s="45">
        <v>0</v>
      </c>
      <c r="AC2793" s="150">
        <v>1</v>
      </c>
      <c r="AD2793" s="150">
        <v>0</v>
      </c>
      <c r="AE2793" s="49">
        <f t="shared" si="137"/>
        <v>0.25</v>
      </c>
      <c r="AF2793" s="276"/>
      <c r="AG2793" s="17">
        <v>0</v>
      </c>
      <c r="AH2793" s="276">
        <v>0</v>
      </c>
      <c r="AI2793" s="276">
        <v>0</v>
      </c>
      <c r="AJ2793" s="44">
        <v>0</v>
      </c>
      <c r="AK2793" s="158">
        <v>0</v>
      </c>
      <c r="AL2793" s="151">
        <v>0</v>
      </c>
      <c r="AM2793" s="17">
        <f t="shared" si="138"/>
        <v>0</v>
      </c>
      <c r="AN2793" t="s">
        <v>570</v>
      </c>
      <c r="AO2793" s="148" t="s">
        <v>2875</v>
      </c>
      <c r="AP2793" t="s">
        <v>8950</v>
      </c>
      <c r="AQ2793" s="47"/>
    </row>
    <row r="2794" spans="1:44" customFormat="1" ht="15" hidden="1" customHeight="1" x14ac:dyDescent="0.3">
      <c r="A2794" s="371" t="s">
        <v>8323</v>
      </c>
      <c r="B2794" t="s">
        <v>8324</v>
      </c>
      <c r="C2794" s="148" t="s">
        <v>8841</v>
      </c>
      <c r="D2794" t="s">
        <v>8842</v>
      </c>
      <c r="E2794" s="148" t="s">
        <v>8843</v>
      </c>
      <c r="F2794" t="s">
        <v>8844</v>
      </c>
      <c r="G2794" s="372">
        <v>171105</v>
      </c>
      <c r="H2794" t="s">
        <v>8938</v>
      </c>
      <c r="K2794" s="155" t="s">
        <v>8946</v>
      </c>
      <c r="L2794" s="148" t="s">
        <v>8947</v>
      </c>
      <c r="M2794" t="s">
        <v>8948</v>
      </c>
      <c r="N2794" s="373"/>
      <c r="O2794" s="374"/>
      <c r="P2794" s="373"/>
      <c r="Q2794" s="374"/>
      <c r="R2794" s="373"/>
      <c r="S2794" s="374"/>
      <c r="T2794" t="s">
        <v>570</v>
      </c>
      <c r="U2794" t="str">
        <f>VLOOKUP(T2794,[8]Votes!$A$1:$E$234,3,FALSE)</f>
        <v>012 Ministry of Lands, Housing &amp; Urban Development</v>
      </c>
      <c r="V2794" t="s">
        <v>8952</v>
      </c>
      <c r="W2794" s="45">
        <v>0</v>
      </c>
      <c r="X2794" s="45">
        <v>0</v>
      </c>
      <c r="Y2794" s="45">
        <v>0</v>
      </c>
      <c r="Z2794" s="45">
        <v>1</v>
      </c>
      <c r="AA2794" s="45">
        <v>1</v>
      </c>
      <c r="AB2794" s="45">
        <v>0</v>
      </c>
      <c r="AC2794" s="150">
        <v>1</v>
      </c>
      <c r="AD2794" s="150">
        <v>0</v>
      </c>
      <c r="AE2794" s="49">
        <f t="shared" si="137"/>
        <v>0.375</v>
      </c>
      <c r="AF2794" s="276"/>
      <c r="AG2794" s="17">
        <v>0</v>
      </c>
      <c r="AH2794" s="276">
        <v>0</v>
      </c>
      <c r="AI2794" s="276">
        <v>10.199999999999999</v>
      </c>
      <c r="AJ2794" s="44">
        <v>10.8</v>
      </c>
      <c r="AK2794" s="158">
        <v>0</v>
      </c>
      <c r="AL2794" s="151">
        <v>0</v>
      </c>
      <c r="AM2794" s="17">
        <f t="shared" si="138"/>
        <v>0</v>
      </c>
      <c r="AN2794" t="s">
        <v>570</v>
      </c>
      <c r="AO2794" s="148" t="s">
        <v>2875</v>
      </c>
      <c r="AP2794" t="s">
        <v>8950</v>
      </c>
      <c r="AQ2794" s="47"/>
    </row>
    <row r="2795" spans="1:44" customFormat="1" ht="15" hidden="1" customHeight="1" x14ac:dyDescent="0.3">
      <c r="A2795" s="371" t="s">
        <v>8323</v>
      </c>
      <c r="B2795" t="s">
        <v>8324</v>
      </c>
      <c r="C2795" s="148" t="s">
        <v>8841</v>
      </c>
      <c r="D2795" t="s">
        <v>8842</v>
      </c>
      <c r="E2795" s="148" t="s">
        <v>8843</v>
      </c>
      <c r="F2795" t="s">
        <v>8844</v>
      </c>
      <c r="G2795" s="372">
        <v>171105</v>
      </c>
      <c r="H2795" t="s">
        <v>8938</v>
      </c>
      <c r="K2795" s="155" t="s">
        <v>8953</v>
      </c>
      <c r="L2795" s="148" t="s">
        <v>8954</v>
      </c>
      <c r="M2795" t="s">
        <v>8955</v>
      </c>
      <c r="N2795" s="373">
        <v>0</v>
      </c>
      <c r="O2795" s="374"/>
      <c r="P2795" s="373"/>
      <c r="Q2795" s="374"/>
      <c r="R2795" s="373"/>
      <c r="S2795" s="374"/>
      <c r="T2795" t="s">
        <v>255</v>
      </c>
      <c r="U2795" t="str">
        <f>VLOOKUP(T2795,[8]Votes!$A$1:$E$234,3,FALSE)</f>
        <v>500 501-850 Local Governments</v>
      </c>
      <c r="V2795" t="s">
        <v>8956</v>
      </c>
      <c r="W2795" s="45">
        <v>0</v>
      </c>
      <c r="X2795" s="45">
        <v>0</v>
      </c>
      <c r="Y2795" s="45">
        <v>0</v>
      </c>
      <c r="Z2795" s="45">
        <v>0</v>
      </c>
      <c r="AA2795" s="45">
        <v>0</v>
      </c>
      <c r="AB2795" s="45">
        <v>0</v>
      </c>
      <c r="AC2795" s="150">
        <v>1</v>
      </c>
      <c r="AD2795" s="150">
        <v>1</v>
      </c>
      <c r="AE2795" s="49">
        <f t="shared" si="137"/>
        <v>0.25</v>
      </c>
      <c r="AF2795" s="276"/>
      <c r="AG2795" s="17">
        <v>0</v>
      </c>
      <c r="AH2795" s="276">
        <v>0</v>
      </c>
      <c r="AI2795" s="276">
        <v>13.26</v>
      </c>
      <c r="AJ2795" s="44">
        <v>13.26</v>
      </c>
      <c r="AK2795" s="158">
        <v>0</v>
      </c>
      <c r="AL2795" s="151">
        <v>0</v>
      </c>
      <c r="AM2795" s="17">
        <f t="shared" si="138"/>
        <v>0</v>
      </c>
      <c r="AN2795" t="s">
        <v>255</v>
      </c>
      <c r="AO2795" s="148" t="s">
        <v>1045</v>
      </c>
      <c r="AP2795" t="s">
        <v>8957</v>
      </c>
      <c r="AQ2795" s="47"/>
    </row>
    <row r="2796" spans="1:44" customFormat="1" ht="15" hidden="1" customHeight="1" x14ac:dyDescent="0.3">
      <c r="A2796" s="371" t="s">
        <v>8323</v>
      </c>
      <c r="B2796" t="s">
        <v>8324</v>
      </c>
      <c r="C2796" s="148" t="s">
        <v>8841</v>
      </c>
      <c r="D2796" t="s">
        <v>8842</v>
      </c>
      <c r="E2796" s="148" t="s">
        <v>8843</v>
      </c>
      <c r="F2796" t="s">
        <v>8844</v>
      </c>
      <c r="G2796" s="372">
        <v>171105</v>
      </c>
      <c r="H2796" t="s">
        <v>8938</v>
      </c>
      <c r="K2796" s="155" t="s">
        <v>8953</v>
      </c>
      <c r="L2796" s="148" t="s">
        <v>8954</v>
      </c>
      <c r="M2796" t="s">
        <v>8955</v>
      </c>
      <c r="N2796" s="373">
        <v>0</v>
      </c>
      <c r="O2796" s="374"/>
      <c r="P2796" s="373"/>
      <c r="Q2796" s="374"/>
      <c r="R2796" s="373"/>
      <c r="S2796" s="374"/>
      <c r="T2796" t="s">
        <v>255</v>
      </c>
      <c r="U2796" t="str">
        <f>VLOOKUP(T2796,[8]Votes!$A$1:$E$234,3,FALSE)</f>
        <v>500 501-850 Local Governments</v>
      </c>
      <c r="V2796" t="s">
        <v>8958</v>
      </c>
      <c r="W2796" s="45">
        <v>0</v>
      </c>
      <c r="X2796" s="45">
        <v>0</v>
      </c>
      <c r="Y2796" s="45">
        <v>0</v>
      </c>
      <c r="Z2796" s="45">
        <v>0</v>
      </c>
      <c r="AA2796" s="45">
        <v>0</v>
      </c>
      <c r="AB2796" s="45">
        <v>0</v>
      </c>
      <c r="AC2796" s="150">
        <v>1</v>
      </c>
      <c r="AD2796" s="150">
        <v>1</v>
      </c>
      <c r="AE2796" s="49">
        <f t="shared" si="137"/>
        <v>0.25</v>
      </c>
      <c r="AF2796" s="276"/>
      <c r="AG2796" s="17">
        <v>0</v>
      </c>
      <c r="AH2796" s="276">
        <v>0</v>
      </c>
      <c r="AI2796" s="276">
        <v>0</v>
      </c>
      <c r="AJ2796" s="44">
        <v>0</v>
      </c>
      <c r="AK2796" s="158">
        <v>0</v>
      </c>
      <c r="AL2796" s="151">
        <v>0</v>
      </c>
      <c r="AM2796" s="17">
        <f t="shared" si="138"/>
        <v>0</v>
      </c>
      <c r="AN2796" t="s">
        <v>255</v>
      </c>
      <c r="AO2796" s="148" t="s">
        <v>1045</v>
      </c>
      <c r="AP2796" t="s">
        <v>280</v>
      </c>
      <c r="AQ2796" s="47"/>
    </row>
    <row r="2797" spans="1:44" customFormat="1" ht="15" hidden="1" customHeight="1" x14ac:dyDescent="0.3">
      <c r="A2797" s="371" t="s">
        <v>8323</v>
      </c>
      <c r="B2797" t="s">
        <v>8324</v>
      </c>
      <c r="C2797" s="148" t="s">
        <v>8841</v>
      </c>
      <c r="D2797" t="s">
        <v>8842</v>
      </c>
      <c r="E2797" s="148" t="s">
        <v>8843</v>
      </c>
      <c r="F2797" t="s">
        <v>8844</v>
      </c>
      <c r="G2797" s="372">
        <v>171105</v>
      </c>
      <c r="H2797" t="s">
        <v>8938</v>
      </c>
      <c r="K2797" s="155" t="s">
        <v>8953</v>
      </c>
      <c r="L2797" s="148" t="s">
        <v>8954</v>
      </c>
      <c r="M2797" t="s">
        <v>8955</v>
      </c>
      <c r="N2797" s="373">
        <v>0</v>
      </c>
      <c r="O2797" s="374"/>
      <c r="P2797" s="373"/>
      <c r="Q2797" s="374"/>
      <c r="R2797" s="373"/>
      <c r="S2797" s="374"/>
      <c r="T2797" t="s">
        <v>255</v>
      </c>
      <c r="U2797" t="str">
        <f>VLOOKUP(T2797,[8]Votes!$A$1:$E$234,3,FALSE)</f>
        <v>500 501-850 Local Governments</v>
      </c>
      <c r="V2797" t="s">
        <v>8959</v>
      </c>
      <c r="W2797" s="45">
        <v>0</v>
      </c>
      <c r="X2797" s="45">
        <v>0</v>
      </c>
      <c r="Y2797" s="45">
        <v>0</v>
      </c>
      <c r="Z2797" s="45">
        <v>0</v>
      </c>
      <c r="AA2797" s="45">
        <v>0</v>
      </c>
      <c r="AB2797" s="45">
        <v>0</v>
      </c>
      <c r="AC2797" s="150">
        <v>1</v>
      </c>
      <c r="AD2797" s="150">
        <v>1</v>
      </c>
      <c r="AE2797" s="49">
        <f t="shared" si="137"/>
        <v>0.25</v>
      </c>
      <c r="AF2797" s="276"/>
      <c r="AG2797" s="17">
        <v>0</v>
      </c>
      <c r="AH2797" s="276">
        <v>0</v>
      </c>
      <c r="AI2797" s="276">
        <v>0</v>
      </c>
      <c r="AJ2797" s="44">
        <v>0</v>
      </c>
      <c r="AK2797" s="158">
        <v>0</v>
      </c>
      <c r="AL2797" s="151">
        <v>0</v>
      </c>
      <c r="AM2797" s="17">
        <f t="shared" si="138"/>
        <v>0</v>
      </c>
      <c r="AN2797" t="s">
        <v>255</v>
      </c>
      <c r="AO2797" s="148" t="s">
        <v>1045</v>
      </c>
      <c r="AP2797" t="s">
        <v>280</v>
      </c>
      <c r="AQ2797" s="47"/>
    </row>
    <row r="2798" spans="1:44" customFormat="1" ht="15" customHeight="1" x14ac:dyDescent="0.3">
      <c r="A2798" s="371" t="s">
        <v>8323</v>
      </c>
      <c r="B2798" t="s">
        <v>8324</v>
      </c>
      <c r="C2798" s="148" t="s">
        <v>8841</v>
      </c>
      <c r="D2798" t="s">
        <v>8842</v>
      </c>
      <c r="E2798" s="148" t="s">
        <v>8843</v>
      </c>
      <c r="F2798" t="s">
        <v>8844</v>
      </c>
      <c r="G2798" s="372">
        <v>171107</v>
      </c>
      <c r="H2798" t="s">
        <v>8960</v>
      </c>
      <c r="K2798" s="155" t="s">
        <v>8961</v>
      </c>
      <c r="L2798" s="148" t="s">
        <v>8962</v>
      </c>
      <c r="M2798" t="s">
        <v>8963</v>
      </c>
      <c r="N2798" s="373">
        <v>0</v>
      </c>
      <c r="O2798" s="374"/>
      <c r="P2798" s="373"/>
      <c r="Q2798" s="374"/>
      <c r="R2798" s="373"/>
      <c r="S2798" s="374"/>
      <c r="T2798" t="s">
        <v>255</v>
      </c>
      <c r="U2798" t="str">
        <f>VLOOKUP(T2798,[8]Votes!$A$1:$E$234,3,FALSE)</f>
        <v>500 501-850 Local Governments</v>
      </c>
      <c r="V2798" t="s">
        <v>8964</v>
      </c>
      <c r="W2798" s="45">
        <v>1</v>
      </c>
      <c r="X2798" s="45">
        <v>1</v>
      </c>
      <c r="Y2798" s="45">
        <v>1</v>
      </c>
      <c r="Z2798" s="45">
        <v>0</v>
      </c>
      <c r="AA2798" s="45">
        <v>1</v>
      </c>
      <c r="AB2798" s="45">
        <v>0</v>
      </c>
      <c r="AC2798" s="150">
        <v>1</v>
      </c>
      <c r="AD2798" s="150">
        <v>1</v>
      </c>
      <c r="AE2798" s="49">
        <f t="shared" si="137"/>
        <v>0.75</v>
      </c>
      <c r="AF2798" s="276">
        <v>1</v>
      </c>
      <c r="AG2798" s="17">
        <v>0</v>
      </c>
      <c r="AH2798" s="276">
        <v>0</v>
      </c>
      <c r="AI2798" s="276">
        <v>10</v>
      </c>
      <c r="AJ2798" s="44">
        <v>10</v>
      </c>
      <c r="AK2798" s="158">
        <v>10</v>
      </c>
      <c r="AL2798" s="151">
        <v>10</v>
      </c>
      <c r="AM2798" s="17">
        <f t="shared" si="138"/>
        <v>20</v>
      </c>
      <c r="AN2798" t="s">
        <v>255</v>
      </c>
      <c r="AO2798" s="148" t="s">
        <v>1045</v>
      </c>
      <c r="AP2798" t="s">
        <v>982</v>
      </c>
      <c r="AQ2798" s="47"/>
    </row>
    <row r="2799" spans="1:44" customFormat="1" ht="15" hidden="1" customHeight="1" x14ac:dyDescent="0.3">
      <c r="A2799" s="371" t="s">
        <v>8323</v>
      </c>
      <c r="B2799" t="s">
        <v>8324</v>
      </c>
      <c r="C2799" s="148" t="s">
        <v>8841</v>
      </c>
      <c r="D2799" t="s">
        <v>8842</v>
      </c>
      <c r="E2799" s="148" t="s">
        <v>8843</v>
      </c>
      <c r="F2799" t="s">
        <v>8844</v>
      </c>
      <c r="G2799" s="372">
        <v>171107</v>
      </c>
      <c r="H2799" t="s">
        <v>8960</v>
      </c>
      <c r="K2799" s="155" t="s">
        <v>8965</v>
      </c>
      <c r="L2799" s="148" t="s">
        <v>8966</v>
      </c>
      <c r="M2799" t="s">
        <v>8967</v>
      </c>
      <c r="N2799" s="373"/>
      <c r="O2799" s="374">
        <v>1</v>
      </c>
      <c r="P2799" s="374">
        <v>1</v>
      </c>
      <c r="Q2799" s="374">
        <v>1</v>
      </c>
      <c r="R2799" s="374">
        <v>1</v>
      </c>
      <c r="S2799" s="374">
        <v>1</v>
      </c>
      <c r="T2799" t="s">
        <v>265</v>
      </c>
      <c r="U2799" t="str">
        <f>VLOOKUP(T2799,[8]Votes!$A$1:$E$234,3,FALSE)</f>
        <v>015 Ministry of Trade, Industry and Cooperatives</v>
      </c>
      <c r="V2799" t="s">
        <v>8968</v>
      </c>
      <c r="W2799" s="45">
        <v>1</v>
      </c>
      <c r="X2799" s="45">
        <v>0</v>
      </c>
      <c r="Y2799" s="45">
        <v>0</v>
      </c>
      <c r="Z2799" s="45">
        <v>1</v>
      </c>
      <c r="AA2799" s="45">
        <v>0</v>
      </c>
      <c r="AB2799" s="45">
        <v>0</v>
      </c>
      <c r="AC2799" s="150">
        <v>0</v>
      </c>
      <c r="AD2799" s="150">
        <v>0</v>
      </c>
      <c r="AE2799" s="49">
        <f t="shared" si="137"/>
        <v>0.25</v>
      </c>
      <c r="AF2799" s="276">
        <v>1</v>
      </c>
      <c r="AG2799" s="17">
        <v>0</v>
      </c>
      <c r="AH2799" s="276">
        <v>0</v>
      </c>
      <c r="AI2799" s="276">
        <v>0</v>
      </c>
      <c r="AJ2799" s="44">
        <v>0</v>
      </c>
      <c r="AK2799" s="158">
        <v>0</v>
      </c>
      <c r="AL2799" s="151">
        <v>0</v>
      </c>
      <c r="AM2799" s="17">
        <f t="shared" si="138"/>
        <v>0</v>
      </c>
      <c r="AN2799" t="s">
        <v>265</v>
      </c>
      <c r="AO2799" s="148" t="s">
        <v>350</v>
      </c>
      <c r="AP2799" t="s">
        <v>831</v>
      </c>
      <c r="AQ2799" s="47"/>
      <c r="AR2799" s="47"/>
    </row>
    <row r="2800" spans="1:44" customFormat="1" ht="15" hidden="1" customHeight="1" x14ac:dyDescent="0.3">
      <c r="A2800" s="371" t="s">
        <v>8323</v>
      </c>
      <c r="B2800" t="s">
        <v>8324</v>
      </c>
      <c r="C2800" s="148" t="s">
        <v>8841</v>
      </c>
      <c r="D2800" t="s">
        <v>8842</v>
      </c>
      <c r="E2800" s="148" t="s">
        <v>8843</v>
      </c>
      <c r="F2800" t="s">
        <v>8844</v>
      </c>
      <c r="G2800" s="372">
        <v>171107</v>
      </c>
      <c r="H2800" t="s">
        <v>8960</v>
      </c>
      <c r="K2800" s="155" t="s">
        <v>8965</v>
      </c>
      <c r="L2800" s="148" t="s">
        <v>8966</v>
      </c>
      <c r="M2800" t="s">
        <v>8967</v>
      </c>
      <c r="N2800" s="373"/>
      <c r="O2800" s="374">
        <v>1</v>
      </c>
      <c r="P2800" s="374">
        <v>1</v>
      </c>
      <c r="Q2800" s="374">
        <v>1</v>
      </c>
      <c r="R2800" s="374">
        <v>1</v>
      </c>
      <c r="S2800" s="374">
        <v>1</v>
      </c>
      <c r="T2800" t="s">
        <v>265</v>
      </c>
      <c r="U2800" t="str">
        <f>VLOOKUP(T2800,[8]Votes!$A$1:$E$234,3,FALSE)</f>
        <v>015 Ministry of Trade, Industry and Cooperatives</v>
      </c>
      <c r="V2800" t="s">
        <v>8969</v>
      </c>
      <c r="W2800" s="45">
        <v>1</v>
      </c>
      <c r="X2800" s="45">
        <v>1</v>
      </c>
      <c r="Y2800" s="45">
        <v>0</v>
      </c>
      <c r="Z2800" s="45">
        <v>1</v>
      </c>
      <c r="AA2800" s="45">
        <v>0</v>
      </c>
      <c r="AB2800" s="45">
        <v>0</v>
      </c>
      <c r="AC2800" s="150">
        <v>1</v>
      </c>
      <c r="AD2800" s="150">
        <v>0</v>
      </c>
      <c r="AE2800" s="49">
        <f t="shared" si="137"/>
        <v>0.5</v>
      </c>
      <c r="AF2800" s="276"/>
      <c r="AG2800" s="17">
        <v>0</v>
      </c>
      <c r="AH2800" s="276">
        <v>0</v>
      </c>
      <c r="AI2800" s="276">
        <v>0</v>
      </c>
      <c r="AJ2800" s="44">
        <v>0</v>
      </c>
      <c r="AK2800" s="158">
        <v>0</v>
      </c>
      <c r="AL2800" s="151">
        <v>0</v>
      </c>
      <c r="AM2800" s="17">
        <f t="shared" si="138"/>
        <v>0</v>
      </c>
      <c r="AN2800" t="s">
        <v>265</v>
      </c>
      <c r="AO2800" s="148" t="s">
        <v>350</v>
      </c>
      <c r="AP2800" t="s">
        <v>8970</v>
      </c>
      <c r="AQ2800" s="47"/>
      <c r="AR2800" s="47"/>
    </row>
    <row r="2801" spans="1:44" customFormat="1" ht="15" hidden="1" customHeight="1" x14ac:dyDescent="0.3">
      <c r="A2801" s="371" t="s">
        <v>8323</v>
      </c>
      <c r="B2801" t="s">
        <v>8324</v>
      </c>
      <c r="C2801" s="148" t="s">
        <v>8841</v>
      </c>
      <c r="D2801" t="s">
        <v>8842</v>
      </c>
      <c r="E2801" s="148" t="s">
        <v>8843</v>
      </c>
      <c r="F2801" t="s">
        <v>8844</v>
      </c>
      <c r="G2801" s="372">
        <v>171107</v>
      </c>
      <c r="H2801" t="s">
        <v>8960</v>
      </c>
      <c r="K2801" s="155" t="s">
        <v>8965</v>
      </c>
      <c r="L2801" s="148" t="s">
        <v>8966</v>
      </c>
      <c r="M2801" t="s">
        <v>8967</v>
      </c>
      <c r="N2801" s="373"/>
      <c r="O2801" s="374">
        <v>1</v>
      </c>
      <c r="P2801" s="374">
        <v>1</v>
      </c>
      <c r="Q2801" s="374">
        <v>1</v>
      </c>
      <c r="R2801" s="374">
        <v>1</v>
      </c>
      <c r="S2801" s="374">
        <v>1</v>
      </c>
      <c r="T2801" t="s">
        <v>265</v>
      </c>
      <c r="U2801" t="str">
        <f>VLOOKUP(T2801,[8]Votes!$A$1:$E$234,3,FALSE)</f>
        <v>015 Ministry of Trade, Industry and Cooperatives</v>
      </c>
      <c r="V2801" t="s">
        <v>8969</v>
      </c>
      <c r="W2801" s="45">
        <v>1</v>
      </c>
      <c r="X2801" s="45">
        <v>1</v>
      </c>
      <c r="Y2801" s="45">
        <v>0</v>
      </c>
      <c r="Z2801" s="45">
        <v>1</v>
      </c>
      <c r="AA2801" s="45">
        <v>0</v>
      </c>
      <c r="AB2801" s="45">
        <v>0</v>
      </c>
      <c r="AC2801" s="150">
        <v>1</v>
      </c>
      <c r="AD2801" s="150">
        <v>0</v>
      </c>
      <c r="AE2801" s="49">
        <f t="shared" si="137"/>
        <v>0.5</v>
      </c>
      <c r="AF2801" s="276"/>
      <c r="AG2801" s="17">
        <v>0</v>
      </c>
      <c r="AH2801" s="276">
        <v>0</v>
      </c>
      <c r="AI2801" s="276">
        <v>0</v>
      </c>
      <c r="AJ2801" s="44">
        <v>0</v>
      </c>
      <c r="AK2801" s="158">
        <v>0</v>
      </c>
      <c r="AL2801" s="151">
        <v>0</v>
      </c>
      <c r="AM2801" s="17">
        <f t="shared" si="138"/>
        <v>0</v>
      </c>
      <c r="AN2801" t="s">
        <v>265</v>
      </c>
      <c r="AO2801" s="148" t="s">
        <v>350</v>
      </c>
      <c r="AP2801" t="s">
        <v>8971</v>
      </c>
      <c r="AQ2801" s="47"/>
      <c r="AR2801" s="47"/>
    </row>
    <row r="2802" spans="1:44" customFormat="1" ht="15" hidden="1" customHeight="1" x14ac:dyDescent="0.3">
      <c r="A2802" s="371" t="s">
        <v>8323</v>
      </c>
      <c r="B2802" t="s">
        <v>8324</v>
      </c>
      <c r="C2802" s="148" t="s">
        <v>8841</v>
      </c>
      <c r="D2802" t="s">
        <v>8842</v>
      </c>
      <c r="E2802" s="148" t="s">
        <v>8843</v>
      </c>
      <c r="F2802" t="s">
        <v>8844</v>
      </c>
      <c r="G2802" s="372">
        <v>171107</v>
      </c>
      <c r="H2802" t="s">
        <v>8960</v>
      </c>
      <c r="K2802" s="155" t="s">
        <v>8965</v>
      </c>
      <c r="L2802" s="148" t="s">
        <v>8966</v>
      </c>
      <c r="M2802" t="s">
        <v>8967</v>
      </c>
      <c r="N2802" s="373"/>
      <c r="O2802" s="374">
        <v>1</v>
      </c>
      <c r="P2802" s="374">
        <v>1</v>
      </c>
      <c r="Q2802" s="374">
        <v>1</v>
      </c>
      <c r="R2802" s="374">
        <v>1</v>
      </c>
      <c r="S2802" s="374">
        <v>1</v>
      </c>
      <c r="T2802" t="s">
        <v>92</v>
      </c>
      <c r="U2802" t="str">
        <f>VLOOKUP(T2802,[8]Votes!$A$1:$E$234,3,FALSE)</f>
        <v>010 Ministry of Agriculture, Animal &amp; Fisheries</v>
      </c>
      <c r="V2802" t="s">
        <v>8972</v>
      </c>
      <c r="W2802" s="45">
        <v>1</v>
      </c>
      <c r="X2802" s="45">
        <v>1</v>
      </c>
      <c r="Y2802" s="45">
        <v>1</v>
      </c>
      <c r="Z2802" s="45">
        <v>0</v>
      </c>
      <c r="AA2802" s="45">
        <v>0</v>
      </c>
      <c r="AB2802" s="45">
        <v>1</v>
      </c>
      <c r="AC2802" s="150">
        <v>1</v>
      </c>
      <c r="AD2802" s="150">
        <v>0</v>
      </c>
      <c r="AE2802" s="49">
        <f t="shared" si="137"/>
        <v>0.625</v>
      </c>
      <c r="AF2802" s="276"/>
      <c r="AG2802" s="17">
        <v>0</v>
      </c>
      <c r="AH2802" s="276">
        <v>0</v>
      </c>
      <c r="AI2802" s="276">
        <v>0</v>
      </c>
      <c r="AJ2802" s="44">
        <v>0</v>
      </c>
      <c r="AK2802" s="158">
        <v>0</v>
      </c>
      <c r="AL2802" s="151">
        <v>0</v>
      </c>
      <c r="AM2802" s="17">
        <f t="shared" si="138"/>
        <v>0</v>
      </c>
      <c r="AN2802" t="s">
        <v>92</v>
      </c>
      <c r="AO2802" s="148" t="s">
        <v>118</v>
      </c>
      <c r="AP2802" t="s">
        <v>8973</v>
      </c>
      <c r="AQ2802" s="47"/>
      <c r="AR2802" s="47"/>
    </row>
    <row r="2803" spans="1:44" customFormat="1" ht="15" customHeight="1" x14ac:dyDescent="0.3">
      <c r="A2803" s="371" t="s">
        <v>8323</v>
      </c>
      <c r="B2803" t="s">
        <v>8324</v>
      </c>
      <c r="C2803" s="148" t="s">
        <v>8841</v>
      </c>
      <c r="D2803" t="s">
        <v>8842</v>
      </c>
      <c r="E2803" s="148" t="s">
        <v>8843</v>
      </c>
      <c r="F2803" t="s">
        <v>8844</v>
      </c>
      <c r="G2803" s="372">
        <v>171107</v>
      </c>
      <c r="H2803" t="s">
        <v>8960</v>
      </c>
      <c r="K2803" s="155" t="s">
        <v>8965</v>
      </c>
      <c r="L2803" s="148" t="s">
        <v>8966</v>
      </c>
      <c r="M2803" t="s">
        <v>8967</v>
      </c>
      <c r="N2803" s="373"/>
      <c r="O2803" s="374">
        <v>1</v>
      </c>
      <c r="P2803" s="374">
        <v>1</v>
      </c>
      <c r="Q2803" s="374">
        <v>1</v>
      </c>
      <c r="R2803" s="374">
        <v>1</v>
      </c>
      <c r="S2803" s="374">
        <v>1</v>
      </c>
      <c r="T2803" t="s">
        <v>1035</v>
      </c>
      <c r="U2803" t="str">
        <f>VLOOKUP(T2803,[8]Votes!$A$1:$E$234,3,FALSE)</f>
        <v>017 Ministry of Energy and Mineral Development</v>
      </c>
      <c r="V2803" t="s">
        <v>8974</v>
      </c>
      <c r="W2803" s="45">
        <v>1</v>
      </c>
      <c r="X2803" s="45">
        <v>1</v>
      </c>
      <c r="Y2803" s="45">
        <v>1</v>
      </c>
      <c r="Z2803" s="45">
        <v>1</v>
      </c>
      <c r="AA2803" s="45">
        <v>0</v>
      </c>
      <c r="AB2803" s="45">
        <v>1</v>
      </c>
      <c r="AC2803" s="150">
        <v>1</v>
      </c>
      <c r="AD2803" s="150">
        <v>1</v>
      </c>
      <c r="AE2803" s="49">
        <f t="shared" si="137"/>
        <v>0.875</v>
      </c>
      <c r="AF2803" s="276">
        <v>1</v>
      </c>
      <c r="AG2803" s="17">
        <v>0</v>
      </c>
      <c r="AH2803" s="276">
        <v>0</v>
      </c>
      <c r="AI2803" s="276">
        <v>0</v>
      </c>
      <c r="AJ2803" s="44">
        <v>0</v>
      </c>
      <c r="AK2803" s="158">
        <v>0</v>
      </c>
      <c r="AL2803" s="151">
        <v>0</v>
      </c>
      <c r="AM2803" s="17">
        <f t="shared" si="138"/>
        <v>0</v>
      </c>
      <c r="AN2803" t="s">
        <v>1035</v>
      </c>
      <c r="AO2803" s="148" t="s">
        <v>1037</v>
      </c>
      <c r="AP2803" t="s">
        <v>8603</v>
      </c>
      <c r="AQ2803" s="47"/>
      <c r="AR2803" s="47"/>
    </row>
    <row r="2804" spans="1:44" customFormat="1" ht="15" hidden="1" customHeight="1" x14ac:dyDescent="0.3">
      <c r="A2804" s="371" t="s">
        <v>8323</v>
      </c>
      <c r="B2804" t="s">
        <v>8324</v>
      </c>
      <c r="C2804" s="148" t="s">
        <v>8841</v>
      </c>
      <c r="D2804" t="s">
        <v>8842</v>
      </c>
      <c r="E2804" s="148" t="s">
        <v>8843</v>
      </c>
      <c r="F2804" t="s">
        <v>8844</v>
      </c>
      <c r="G2804" s="372">
        <v>171107</v>
      </c>
      <c r="H2804" t="s">
        <v>8960</v>
      </c>
      <c r="K2804" s="155" t="s">
        <v>8965</v>
      </c>
      <c r="L2804" s="148" t="s">
        <v>8966</v>
      </c>
      <c r="M2804" t="s">
        <v>8967</v>
      </c>
      <c r="N2804" s="373"/>
      <c r="O2804" s="374">
        <v>1</v>
      </c>
      <c r="P2804" s="374">
        <v>1</v>
      </c>
      <c r="Q2804" s="374">
        <v>1</v>
      </c>
      <c r="R2804" s="374">
        <v>1</v>
      </c>
      <c r="S2804" s="374">
        <v>1</v>
      </c>
      <c r="T2804" t="s">
        <v>407</v>
      </c>
      <c r="U2804" t="str">
        <f>VLOOKUP(T2804,[8]Votes!$A$1:$E$234,3,FALSE)</f>
        <v>019 Ministry of Water and Environment</v>
      </c>
      <c r="V2804" t="s">
        <v>8975</v>
      </c>
      <c r="W2804" s="45">
        <v>1</v>
      </c>
      <c r="X2804" s="45">
        <v>1</v>
      </c>
      <c r="Y2804" s="45">
        <v>0</v>
      </c>
      <c r="Z2804" s="45">
        <v>0</v>
      </c>
      <c r="AA2804" s="45">
        <v>0</v>
      </c>
      <c r="AB2804" s="45">
        <v>1</v>
      </c>
      <c r="AC2804" s="150">
        <v>1</v>
      </c>
      <c r="AD2804" s="150">
        <v>0</v>
      </c>
      <c r="AE2804" s="49">
        <f t="shared" si="137"/>
        <v>0.5</v>
      </c>
      <c r="AF2804" s="276">
        <v>1</v>
      </c>
      <c r="AG2804" s="17">
        <v>0</v>
      </c>
      <c r="AH2804" s="276">
        <v>0</v>
      </c>
      <c r="AI2804" s="276">
        <v>0</v>
      </c>
      <c r="AJ2804" s="44">
        <v>0</v>
      </c>
      <c r="AK2804" s="158">
        <v>0</v>
      </c>
      <c r="AL2804" s="151">
        <v>0</v>
      </c>
      <c r="AM2804" s="17">
        <f t="shared" si="138"/>
        <v>0</v>
      </c>
      <c r="AN2804" t="s">
        <v>407</v>
      </c>
      <c r="AO2804" s="148" t="s">
        <v>409</v>
      </c>
      <c r="AP2804" t="s">
        <v>8976</v>
      </c>
      <c r="AQ2804" s="47"/>
      <c r="AR2804" s="47"/>
    </row>
    <row r="2805" spans="1:44" customFormat="1" ht="15" customHeight="1" x14ac:dyDescent="0.3">
      <c r="A2805" s="371" t="s">
        <v>8323</v>
      </c>
      <c r="B2805" t="s">
        <v>8324</v>
      </c>
      <c r="C2805" s="148" t="s">
        <v>8841</v>
      </c>
      <c r="D2805" t="s">
        <v>8842</v>
      </c>
      <c r="E2805" s="148" t="s">
        <v>8843</v>
      </c>
      <c r="F2805" t="s">
        <v>8844</v>
      </c>
      <c r="G2805" s="372">
        <v>171107</v>
      </c>
      <c r="H2805" t="s">
        <v>8960</v>
      </c>
      <c r="K2805" s="155" t="s">
        <v>8965</v>
      </c>
      <c r="L2805" s="148" t="s">
        <v>8966</v>
      </c>
      <c r="M2805" t="s">
        <v>8967</v>
      </c>
      <c r="N2805" s="373"/>
      <c r="O2805" s="374">
        <v>1</v>
      </c>
      <c r="P2805" s="374">
        <v>1</v>
      </c>
      <c r="Q2805" s="374">
        <v>1</v>
      </c>
      <c r="R2805" s="374">
        <v>1</v>
      </c>
      <c r="S2805" s="374">
        <v>1</v>
      </c>
      <c r="T2805" t="s">
        <v>1035</v>
      </c>
      <c r="U2805" t="str">
        <f>VLOOKUP(T2805,[8]Votes!$A$1:$E$234,3,FALSE)</f>
        <v>017 Ministry of Energy and Mineral Development</v>
      </c>
      <c r="V2805" t="s">
        <v>8977</v>
      </c>
      <c r="W2805" s="45">
        <v>1</v>
      </c>
      <c r="X2805" s="45">
        <v>1</v>
      </c>
      <c r="Y2805" s="45">
        <v>0</v>
      </c>
      <c r="Z2805" s="45">
        <v>0</v>
      </c>
      <c r="AA2805" s="45">
        <v>1</v>
      </c>
      <c r="AB2805" s="45">
        <v>1</v>
      </c>
      <c r="AC2805" s="150">
        <v>1</v>
      </c>
      <c r="AD2805" s="150">
        <v>1</v>
      </c>
      <c r="AE2805" s="49">
        <f t="shared" si="137"/>
        <v>0.75</v>
      </c>
      <c r="AF2805" s="276"/>
      <c r="AG2805" s="17">
        <v>0</v>
      </c>
      <c r="AH2805" s="276">
        <v>0</v>
      </c>
      <c r="AI2805" s="276">
        <v>10</v>
      </c>
      <c r="AJ2805" s="44">
        <v>10</v>
      </c>
      <c r="AK2805" s="158"/>
      <c r="AL2805" s="151"/>
      <c r="AM2805" s="17">
        <f t="shared" si="138"/>
        <v>0</v>
      </c>
      <c r="AN2805" t="s">
        <v>1035</v>
      </c>
      <c r="AO2805" s="148" t="s">
        <v>1037</v>
      </c>
      <c r="AP2805" t="s">
        <v>8603</v>
      </c>
      <c r="AQ2805" s="47"/>
      <c r="AR2805" s="47"/>
    </row>
    <row r="2806" spans="1:44" customFormat="1" ht="15" customHeight="1" x14ac:dyDescent="0.3">
      <c r="A2806" s="371" t="s">
        <v>8323</v>
      </c>
      <c r="B2806" t="s">
        <v>8324</v>
      </c>
      <c r="C2806" s="148" t="s">
        <v>8841</v>
      </c>
      <c r="D2806" t="s">
        <v>8842</v>
      </c>
      <c r="E2806" s="148" t="s">
        <v>8843</v>
      </c>
      <c r="F2806" t="s">
        <v>8844</v>
      </c>
      <c r="G2806" s="372">
        <v>171107</v>
      </c>
      <c r="H2806" t="s">
        <v>8960</v>
      </c>
      <c r="K2806" s="155" t="s">
        <v>8965</v>
      </c>
      <c r="L2806" s="148" t="s">
        <v>8966</v>
      </c>
      <c r="M2806" t="s">
        <v>8967</v>
      </c>
      <c r="N2806" s="373"/>
      <c r="O2806" s="374">
        <v>1</v>
      </c>
      <c r="P2806" s="374">
        <v>1</v>
      </c>
      <c r="Q2806" s="374">
        <v>1</v>
      </c>
      <c r="R2806" s="374">
        <v>1</v>
      </c>
      <c r="S2806" s="374">
        <v>1</v>
      </c>
      <c r="T2806" t="s">
        <v>869</v>
      </c>
      <c r="U2806" t="str">
        <f>VLOOKUP(T2806,[8]Votes!$A$1:$E$234,3,FALSE)</f>
        <v>310 Uganda Investment Authority (UIA)</v>
      </c>
      <c r="V2806" t="s">
        <v>8978</v>
      </c>
      <c r="W2806" s="45">
        <v>1</v>
      </c>
      <c r="X2806" s="45">
        <v>1</v>
      </c>
      <c r="Y2806" s="45">
        <v>1</v>
      </c>
      <c r="Z2806" s="45">
        <v>1</v>
      </c>
      <c r="AA2806" s="45">
        <v>1</v>
      </c>
      <c r="AB2806" s="45">
        <v>1</v>
      </c>
      <c r="AC2806" s="150">
        <v>1</v>
      </c>
      <c r="AD2806" s="150">
        <v>1</v>
      </c>
      <c r="AE2806" s="49">
        <f t="shared" si="137"/>
        <v>1</v>
      </c>
      <c r="AF2806" s="276">
        <v>1</v>
      </c>
      <c r="AG2806" s="17">
        <v>0</v>
      </c>
      <c r="AH2806" s="276">
        <v>0</v>
      </c>
      <c r="AI2806" s="276">
        <v>0</v>
      </c>
      <c r="AJ2806" s="44">
        <v>0</v>
      </c>
      <c r="AK2806" s="158">
        <v>0</v>
      </c>
      <c r="AL2806" s="151">
        <v>0</v>
      </c>
      <c r="AM2806" s="17">
        <f t="shared" si="138"/>
        <v>0</v>
      </c>
      <c r="AN2806" t="s">
        <v>869</v>
      </c>
      <c r="AO2806" s="148" t="s">
        <v>871</v>
      </c>
      <c r="AP2806" t="s">
        <v>8979</v>
      </c>
      <c r="AQ2806" s="47"/>
      <c r="AR2806" s="47"/>
    </row>
    <row r="2807" spans="1:44" customFormat="1" ht="15" customHeight="1" x14ac:dyDescent="0.3">
      <c r="A2807" s="371" t="s">
        <v>8323</v>
      </c>
      <c r="B2807" t="s">
        <v>8324</v>
      </c>
      <c r="C2807" s="148" t="s">
        <v>8841</v>
      </c>
      <c r="D2807" t="s">
        <v>8842</v>
      </c>
      <c r="E2807" s="148" t="s">
        <v>8843</v>
      </c>
      <c r="F2807" t="s">
        <v>8844</v>
      </c>
      <c r="G2807" s="372">
        <v>171107</v>
      </c>
      <c r="H2807" t="s">
        <v>8960</v>
      </c>
      <c r="K2807" s="155" t="s">
        <v>8965</v>
      </c>
      <c r="L2807" s="148" t="s">
        <v>8966</v>
      </c>
      <c r="M2807" t="s">
        <v>8967</v>
      </c>
      <c r="N2807" s="373"/>
      <c r="O2807" s="374">
        <v>1</v>
      </c>
      <c r="P2807" s="374">
        <v>1</v>
      </c>
      <c r="Q2807" s="374">
        <v>1</v>
      </c>
      <c r="R2807" s="374">
        <v>1</v>
      </c>
      <c r="S2807" s="374">
        <v>1</v>
      </c>
      <c r="T2807" t="s">
        <v>869</v>
      </c>
      <c r="U2807" t="str">
        <f>VLOOKUP(T2807,[8]Votes!$A$1:$E$234,3,FALSE)</f>
        <v>310 Uganda Investment Authority (UIA)</v>
      </c>
      <c r="V2807" t="s">
        <v>8978</v>
      </c>
      <c r="W2807" s="45">
        <v>1</v>
      </c>
      <c r="X2807" s="45">
        <v>1</v>
      </c>
      <c r="Y2807" s="45">
        <v>1</v>
      </c>
      <c r="Z2807" s="45">
        <v>1</v>
      </c>
      <c r="AA2807" s="45">
        <v>1</v>
      </c>
      <c r="AB2807" s="45">
        <v>1</v>
      </c>
      <c r="AC2807" s="150">
        <v>1</v>
      </c>
      <c r="AD2807" s="150">
        <v>1</v>
      </c>
      <c r="AE2807" s="49">
        <f t="shared" si="137"/>
        <v>1</v>
      </c>
      <c r="AF2807" s="276">
        <v>1</v>
      </c>
      <c r="AG2807" s="17">
        <v>0</v>
      </c>
      <c r="AH2807" s="276">
        <v>0</v>
      </c>
      <c r="AI2807" s="276">
        <v>0</v>
      </c>
      <c r="AJ2807" s="44">
        <v>0</v>
      </c>
      <c r="AK2807" s="158">
        <v>0</v>
      </c>
      <c r="AL2807" s="151">
        <v>0</v>
      </c>
      <c r="AM2807" s="17">
        <f t="shared" si="138"/>
        <v>0</v>
      </c>
      <c r="AN2807" t="s">
        <v>869</v>
      </c>
      <c r="AO2807" s="148" t="s">
        <v>871</v>
      </c>
      <c r="AP2807" t="s">
        <v>8980</v>
      </c>
      <c r="AQ2807" s="47"/>
      <c r="AR2807" s="47"/>
    </row>
    <row r="2808" spans="1:44" customFormat="1" ht="15" customHeight="1" x14ac:dyDescent="0.3">
      <c r="A2808" s="371" t="s">
        <v>8323</v>
      </c>
      <c r="B2808" t="s">
        <v>8324</v>
      </c>
      <c r="C2808" s="148" t="s">
        <v>8841</v>
      </c>
      <c r="D2808" t="s">
        <v>8842</v>
      </c>
      <c r="E2808" s="148" t="s">
        <v>8843</v>
      </c>
      <c r="F2808" t="s">
        <v>8844</v>
      </c>
      <c r="G2808" s="372">
        <v>171107</v>
      </c>
      <c r="H2808" t="s">
        <v>8960</v>
      </c>
      <c r="K2808" s="155" t="s">
        <v>8965</v>
      </c>
      <c r="L2808" s="148" t="s">
        <v>8966</v>
      </c>
      <c r="M2808" t="s">
        <v>8967</v>
      </c>
      <c r="N2808" s="373"/>
      <c r="O2808" s="374">
        <v>1</v>
      </c>
      <c r="P2808" s="374">
        <v>1</v>
      </c>
      <c r="Q2808" s="374">
        <v>1</v>
      </c>
      <c r="R2808" s="374">
        <v>1</v>
      </c>
      <c r="S2808" s="374">
        <v>1</v>
      </c>
      <c r="T2808" t="s">
        <v>869</v>
      </c>
      <c r="U2808" t="str">
        <f>VLOOKUP(T2808,[8]Votes!$A$1:$E$234,3,FALSE)</f>
        <v>310 Uganda Investment Authority (UIA)</v>
      </c>
      <c r="V2808" t="s">
        <v>8981</v>
      </c>
      <c r="W2808" s="45">
        <v>1</v>
      </c>
      <c r="X2808" s="45">
        <v>1</v>
      </c>
      <c r="Y2808" s="45">
        <v>1</v>
      </c>
      <c r="Z2808" s="45">
        <v>1</v>
      </c>
      <c r="AA2808" s="45">
        <v>0</v>
      </c>
      <c r="AB2808" s="45">
        <v>1</v>
      </c>
      <c r="AC2808" s="150">
        <v>1</v>
      </c>
      <c r="AD2808" s="150">
        <v>1</v>
      </c>
      <c r="AE2808" s="49">
        <f t="shared" si="137"/>
        <v>0.875</v>
      </c>
      <c r="AF2808" s="276"/>
      <c r="AG2808" s="17">
        <v>0</v>
      </c>
      <c r="AH2808" s="276">
        <v>0</v>
      </c>
      <c r="AI2808" s="276">
        <v>0</v>
      </c>
      <c r="AJ2808" s="44">
        <v>0</v>
      </c>
      <c r="AK2808" s="158">
        <v>0</v>
      </c>
      <c r="AL2808" s="151">
        <v>0</v>
      </c>
      <c r="AM2808" s="17">
        <f t="shared" si="138"/>
        <v>0</v>
      </c>
      <c r="AN2808" t="s">
        <v>869</v>
      </c>
      <c r="AO2808" s="148" t="s">
        <v>871</v>
      </c>
      <c r="AP2808" t="s">
        <v>8982</v>
      </c>
      <c r="AQ2808" s="47"/>
      <c r="AR2808" s="47"/>
    </row>
    <row r="2809" spans="1:44" customFormat="1" ht="15" customHeight="1" x14ac:dyDescent="0.3">
      <c r="A2809" s="371" t="s">
        <v>8323</v>
      </c>
      <c r="B2809" t="s">
        <v>8324</v>
      </c>
      <c r="C2809" s="148" t="s">
        <v>8841</v>
      </c>
      <c r="D2809" t="s">
        <v>8842</v>
      </c>
      <c r="E2809" s="148" t="s">
        <v>8843</v>
      </c>
      <c r="F2809" t="s">
        <v>8844</v>
      </c>
      <c r="G2809" s="372">
        <v>171107</v>
      </c>
      <c r="H2809" t="s">
        <v>8960</v>
      </c>
      <c r="K2809" s="155" t="s">
        <v>8965</v>
      </c>
      <c r="L2809" s="148" t="s">
        <v>8966</v>
      </c>
      <c r="M2809" t="s">
        <v>8967</v>
      </c>
      <c r="N2809" s="373"/>
      <c r="O2809" s="374">
        <v>1</v>
      </c>
      <c r="P2809" s="374">
        <v>1</v>
      </c>
      <c r="Q2809" s="374">
        <v>1</v>
      </c>
      <c r="R2809" s="374">
        <v>1</v>
      </c>
      <c r="S2809" s="374">
        <v>1</v>
      </c>
      <c r="T2809" t="s">
        <v>869</v>
      </c>
      <c r="U2809" t="str">
        <f>VLOOKUP(T2809,[8]Votes!$A$1:$E$234,3,FALSE)</f>
        <v>310 Uganda Investment Authority (UIA)</v>
      </c>
      <c r="V2809" t="s">
        <v>8983</v>
      </c>
      <c r="W2809" s="45">
        <v>1</v>
      </c>
      <c r="X2809" s="45">
        <v>1</v>
      </c>
      <c r="Y2809" s="45">
        <v>1</v>
      </c>
      <c r="Z2809" s="45">
        <v>1</v>
      </c>
      <c r="AA2809" s="45">
        <v>1</v>
      </c>
      <c r="AB2809" s="45">
        <v>1</v>
      </c>
      <c r="AC2809" s="150">
        <v>1</v>
      </c>
      <c r="AD2809" s="150">
        <v>1</v>
      </c>
      <c r="AE2809" s="49">
        <f t="shared" si="137"/>
        <v>1</v>
      </c>
      <c r="AF2809" s="276">
        <v>1</v>
      </c>
      <c r="AG2809" s="17">
        <v>0</v>
      </c>
      <c r="AH2809" s="276">
        <v>0</v>
      </c>
      <c r="AI2809" s="276">
        <v>0</v>
      </c>
      <c r="AJ2809" s="44">
        <v>0</v>
      </c>
      <c r="AK2809" s="158">
        <v>0</v>
      </c>
      <c r="AL2809" s="151">
        <v>0</v>
      </c>
      <c r="AM2809" s="17">
        <f t="shared" si="138"/>
        <v>0</v>
      </c>
      <c r="AN2809" t="s">
        <v>869</v>
      </c>
      <c r="AO2809" s="148" t="s">
        <v>871</v>
      </c>
      <c r="AP2809" t="s">
        <v>8984</v>
      </c>
      <c r="AQ2809" s="47"/>
      <c r="AR2809" s="47"/>
    </row>
    <row r="2810" spans="1:44" customFormat="1" ht="15" customHeight="1" x14ac:dyDescent="0.3">
      <c r="A2810" s="371" t="s">
        <v>8323</v>
      </c>
      <c r="B2810" t="s">
        <v>8324</v>
      </c>
      <c r="C2810" s="148" t="s">
        <v>8841</v>
      </c>
      <c r="D2810" t="s">
        <v>8842</v>
      </c>
      <c r="E2810" s="148" t="s">
        <v>8843</v>
      </c>
      <c r="F2810" t="s">
        <v>8844</v>
      </c>
      <c r="G2810" s="372">
        <v>171107</v>
      </c>
      <c r="H2810" t="s">
        <v>8960</v>
      </c>
      <c r="K2810" s="155" t="s">
        <v>8965</v>
      </c>
      <c r="L2810" s="148" t="s">
        <v>8966</v>
      </c>
      <c r="M2810" t="s">
        <v>8967</v>
      </c>
      <c r="N2810" s="373"/>
      <c r="O2810" s="374">
        <v>1</v>
      </c>
      <c r="P2810" s="374">
        <v>1</v>
      </c>
      <c r="Q2810" s="374">
        <v>1</v>
      </c>
      <c r="R2810" s="374">
        <v>1</v>
      </c>
      <c r="S2810" s="374">
        <v>1</v>
      </c>
      <c r="T2810" t="s">
        <v>869</v>
      </c>
      <c r="U2810" t="str">
        <f>VLOOKUP(T2810,[8]Votes!$A$1:$E$234,3,FALSE)</f>
        <v>310 Uganda Investment Authority (UIA)</v>
      </c>
      <c r="V2810" t="s">
        <v>8985</v>
      </c>
      <c r="W2810" s="45">
        <v>1</v>
      </c>
      <c r="X2810" s="45">
        <v>1</v>
      </c>
      <c r="Y2810" s="45">
        <v>1</v>
      </c>
      <c r="Z2810" s="45">
        <v>1</v>
      </c>
      <c r="AA2810" s="45">
        <v>1</v>
      </c>
      <c r="AB2810" s="45">
        <v>1</v>
      </c>
      <c r="AC2810" s="150">
        <v>1</v>
      </c>
      <c r="AD2810" s="150">
        <v>1</v>
      </c>
      <c r="AE2810" s="49">
        <f t="shared" si="137"/>
        <v>1</v>
      </c>
      <c r="AF2810" s="276">
        <v>1</v>
      </c>
      <c r="AG2810" s="17">
        <v>0</v>
      </c>
      <c r="AH2810" s="276">
        <v>0</v>
      </c>
      <c r="AI2810" s="276">
        <v>0</v>
      </c>
      <c r="AJ2810" s="44">
        <v>0</v>
      </c>
      <c r="AK2810" s="158">
        <v>0</v>
      </c>
      <c r="AL2810" s="151">
        <v>0</v>
      </c>
      <c r="AM2810" s="17">
        <f t="shared" si="138"/>
        <v>0</v>
      </c>
      <c r="AN2810" t="s">
        <v>869</v>
      </c>
      <c r="AO2810" s="148" t="s">
        <v>871</v>
      </c>
      <c r="AP2810" t="s">
        <v>921</v>
      </c>
      <c r="AQ2810" s="47"/>
      <c r="AR2810" s="47"/>
    </row>
    <row r="2811" spans="1:44" customFormat="1" ht="15" customHeight="1" x14ac:dyDescent="0.3">
      <c r="A2811" s="371" t="s">
        <v>8323</v>
      </c>
      <c r="B2811" t="s">
        <v>8324</v>
      </c>
      <c r="C2811" s="148" t="s">
        <v>8841</v>
      </c>
      <c r="D2811" t="s">
        <v>8842</v>
      </c>
      <c r="E2811" s="148" t="s">
        <v>8843</v>
      </c>
      <c r="F2811" t="s">
        <v>8844</v>
      </c>
      <c r="G2811" s="372">
        <v>171107</v>
      </c>
      <c r="H2811" t="s">
        <v>8960</v>
      </c>
      <c r="K2811" s="155" t="s">
        <v>8965</v>
      </c>
      <c r="L2811" s="148" t="s">
        <v>8966</v>
      </c>
      <c r="M2811" t="s">
        <v>8967</v>
      </c>
      <c r="N2811" s="373"/>
      <c r="O2811" s="374">
        <v>1</v>
      </c>
      <c r="P2811" s="374">
        <v>1</v>
      </c>
      <c r="Q2811" s="374">
        <v>1</v>
      </c>
      <c r="R2811" s="374">
        <v>1</v>
      </c>
      <c r="S2811" s="374">
        <v>1</v>
      </c>
      <c r="T2811" t="s">
        <v>869</v>
      </c>
      <c r="U2811" t="str">
        <f>VLOOKUP(T2811,[8]Votes!$A$1:$E$234,3,FALSE)</f>
        <v>310 Uganda Investment Authority (UIA)</v>
      </c>
      <c r="V2811" t="s">
        <v>8986</v>
      </c>
      <c r="W2811" s="45">
        <v>1</v>
      </c>
      <c r="X2811" s="45">
        <v>1</v>
      </c>
      <c r="Y2811" s="45">
        <v>1</v>
      </c>
      <c r="Z2811" s="45">
        <v>1</v>
      </c>
      <c r="AA2811" s="45">
        <v>1</v>
      </c>
      <c r="AB2811" s="45">
        <v>1</v>
      </c>
      <c r="AC2811" s="150">
        <v>1</v>
      </c>
      <c r="AD2811" s="150">
        <v>1</v>
      </c>
      <c r="AE2811" s="49">
        <f t="shared" si="137"/>
        <v>1</v>
      </c>
      <c r="AF2811" s="276">
        <v>1</v>
      </c>
      <c r="AG2811" s="17">
        <v>0</v>
      </c>
      <c r="AH2811" s="276">
        <v>0</v>
      </c>
      <c r="AI2811" s="276">
        <v>0</v>
      </c>
      <c r="AJ2811" s="44">
        <v>0</v>
      </c>
      <c r="AK2811" s="158">
        <v>0</v>
      </c>
      <c r="AL2811" s="151">
        <v>0</v>
      </c>
      <c r="AM2811" s="17">
        <f t="shared" si="138"/>
        <v>0</v>
      </c>
      <c r="AN2811" t="s">
        <v>869</v>
      </c>
      <c r="AO2811" s="148" t="s">
        <v>871</v>
      </c>
      <c r="AP2811" t="s">
        <v>1035</v>
      </c>
      <c r="AQ2811" s="47"/>
      <c r="AR2811" s="47"/>
    </row>
    <row r="2812" spans="1:44" customFormat="1" ht="15" customHeight="1" x14ac:dyDescent="0.3">
      <c r="A2812" s="371" t="s">
        <v>8323</v>
      </c>
      <c r="B2812" t="s">
        <v>8324</v>
      </c>
      <c r="C2812" s="148" t="s">
        <v>8841</v>
      </c>
      <c r="D2812" t="s">
        <v>8842</v>
      </c>
      <c r="E2812" s="148" t="s">
        <v>8843</v>
      </c>
      <c r="F2812" t="s">
        <v>8844</v>
      </c>
      <c r="G2812" s="372">
        <v>171107</v>
      </c>
      <c r="H2812" t="s">
        <v>8960</v>
      </c>
      <c r="K2812" s="155" t="s">
        <v>8965</v>
      </c>
      <c r="L2812" s="148" t="s">
        <v>8966</v>
      </c>
      <c r="M2812" t="s">
        <v>8967</v>
      </c>
      <c r="N2812" s="373"/>
      <c r="O2812" s="374">
        <v>1</v>
      </c>
      <c r="P2812" s="374">
        <v>1</v>
      </c>
      <c r="Q2812" s="374">
        <v>1</v>
      </c>
      <c r="R2812" s="374">
        <v>1</v>
      </c>
      <c r="S2812" s="374">
        <v>1</v>
      </c>
      <c r="T2812" t="s">
        <v>869</v>
      </c>
      <c r="U2812" t="str">
        <f>VLOOKUP(T2812,[8]Votes!$A$1:$E$234,3,FALSE)</f>
        <v>310 Uganda Investment Authority (UIA)</v>
      </c>
      <c r="V2812" t="s">
        <v>8987</v>
      </c>
      <c r="W2812" s="45">
        <v>1</v>
      </c>
      <c r="X2812" s="45">
        <v>1</v>
      </c>
      <c r="Y2812" s="45">
        <v>1</v>
      </c>
      <c r="Z2812" s="45">
        <v>1</v>
      </c>
      <c r="AA2812" s="45">
        <v>1</v>
      </c>
      <c r="AB2812" s="45">
        <v>1</v>
      </c>
      <c r="AC2812" s="150">
        <v>1</v>
      </c>
      <c r="AD2812" s="150">
        <v>1</v>
      </c>
      <c r="AE2812" s="49">
        <f t="shared" si="137"/>
        <v>1</v>
      </c>
      <c r="AF2812" s="276"/>
      <c r="AG2812" s="17">
        <v>0</v>
      </c>
      <c r="AH2812" s="276">
        <v>0</v>
      </c>
      <c r="AI2812" s="276">
        <v>0</v>
      </c>
      <c r="AJ2812" s="44">
        <v>0</v>
      </c>
      <c r="AK2812" s="158">
        <v>0</v>
      </c>
      <c r="AL2812" s="151">
        <v>0</v>
      </c>
      <c r="AM2812" s="17">
        <f t="shared" si="138"/>
        <v>0</v>
      </c>
      <c r="AN2812" t="s">
        <v>869</v>
      </c>
      <c r="AO2812" s="148" t="s">
        <v>871</v>
      </c>
      <c r="AP2812" t="s">
        <v>63</v>
      </c>
      <c r="AQ2812" s="47"/>
      <c r="AR2812" s="47"/>
    </row>
    <row r="2813" spans="1:44" customFormat="1" ht="15" customHeight="1" x14ac:dyDescent="0.3">
      <c r="A2813" s="371" t="s">
        <v>8323</v>
      </c>
      <c r="B2813" t="s">
        <v>8324</v>
      </c>
      <c r="C2813" s="148" t="s">
        <v>8841</v>
      </c>
      <c r="D2813" t="s">
        <v>8842</v>
      </c>
      <c r="E2813" s="148" t="s">
        <v>8843</v>
      </c>
      <c r="F2813" t="s">
        <v>8844</v>
      </c>
      <c r="G2813" s="372">
        <v>171107</v>
      </c>
      <c r="H2813" t="s">
        <v>8960</v>
      </c>
      <c r="K2813" s="155" t="s">
        <v>8965</v>
      </c>
      <c r="L2813" s="148" t="s">
        <v>8966</v>
      </c>
      <c r="M2813" t="s">
        <v>8967</v>
      </c>
      <c r="N2813" s="373"/>
      <c r="O2813" s="374">
        <v>1</v>
      </c>
      <c r="P2813" s="374">
        <v>1</v>
      </c>
      <c r="Q2813" s="374">
        <v>1</v>
      </c>
      <c r="R2813" s="374">
        <v>1</v>
      </c>
      <c r="S2813" s="374">
        <v>1</v>
      </c>
      <c r="T2813" t="s">
        <v>869</v>
      </c>
      <c r="U2813" t="str">
        <f>VLOOKUP(T2813,[8]Votes!$A$1:$E$234,3,FALSE)</f>
        <v>310 Uganda Investment Authority (UIA)</v>
      </c>
      <c r="V2813" t="s">
        <v>8988</v>
      </c>
      <c r="W2813" s="45">
        <v>1</v>
      </c>
      <c r="X2813" s="45">
        <v>1</v>
      </c>
      <c r="Y2813" s="45">
        <v>1</v>
      </c>
      <c r="Z2813" s="45">
        <v>1</v>
      </c>
      <c r="AA2813" s="45">
        <v>1</v>
      </c>
      <c r="AB2813" s="45">
        <v>1</v>
      </c>
      <c r="AC2813" s="150">
        <v>1</v>
      </c>
      <c r="AD2813" s="150">
        <v>1</v>
      </c>
      <c r="AE2813" s="49">
        <f t="shared" si="137"/>
        <v>1</v>
      </c>
      <c r="AF2813" s="276"/>
      <c r="AG2813" s="17">
        <v>0</v>
      </c>
      <c r="AH2813" s="276">
        <v>0</v>
      </c>
      <c r="AI2813" s="276">
        <v>0</v>
      </c>
      <c r="AJ2813" s="44">
        <v>0</v>
      </c>
      <c r="AK2813" s="158">
        <v>0</v>
      </c>
      <c r="AL2813" s="151">
        <v>0</v>
      </c>
      <c r="AM2813" s="17">
        <f t="shared" si="138"/>
        <v>0</v>
      </c>
      <c r="AN2813" t="s">
        <v>869</v>
      </c>
      <c r="AO2813" s="148" t="s">
        <v>871</v>
      </c>
      <c r="AP2813" t="s">
        <v>8989</v>
      </c>
      <c r="AQ2813" s="47"/>
      <c r="AR2813" s="47"/>
    </row>
    <row r="2814" spans="1:44" customFormat="1" ht="15" customHeight="1" x14ac:dyDescent="0.3">
      <c r="A2814" s="371" t="s">
        <v>8323</v>
      </c>
      <c r="B2814" t="s">
        <v>8324</v>
      </c>
      <c r="C2814" s="148" t="s">
        <v>8841</v>
      </c>
      <c r="D2814" t="s">
        <v>8842</v>
      </c>
      <c r="E2814" s="148" t="s">
        <v>8843</v>
      </c>
      <c r="F2814" t="s">
        <v>8844</v>
      </c>
      <c r="G2814" s="372">
        <v>171107</v>
      </c>
      <c r="H2814" t="s">
        <v>8960</v>
      </c>
      <c r="K2814" s="155" t="s">
        <v>8965</v>
      </c>
      <c r="L2814" s="148" t="s">
        <v>8966</v>
      </c>
      <c r="M2814" t="s">
        <v>8967</v>
      </c>
      <c r="N2814" s="373"/>
      <c r="O2814" s="374">
        <v>1</v>
      </c>
      <c r="P2814" s="374">
        <v>1</v>
      </c>
      <c r="Q2814" s="374">
        <v>1</v>
      </c>
      <c r="R2814" s="374">
        <v>1</v>
      </c>
      <c r="S2814" s="374">
        <v>1</v>
      </c>
      <c r="T2814" t="s">
        <v>831</v>
      </c>
      <c r="U2814" t="str">
        <f>VLOOKUP(T2814,[8]Votes!$A$1:$E$234,3,FALSE)</f>
        <v>108 National Planning Authority</v>
      </c>
      <c r="V2814" t="s">
        <v>8990</v>
      </c>
      <c r="W2814" s="45">
        <v>1</v>
      </c>
      <c r="X2814" s="45">
        <v>1</v>
      </c>
      <c r="Y2814" s="45">
        <v>1</v>
      </c>
      <c r="Z2814" s="45">
        <v>1</v>
      </c>
      <c r="AA2814" s="45">
        <v>1</v>
      </c>
      <c r="AB2814" s="45">
        <v>1</v>
      </c>
      <c r="AC2814" s="150">
        <v>1</v>
      </c>
      <c r="AD2814" s="150">
        <v>1</v>
      </c>
      <c r="AE2814" s="49">
        <f t="shared" si="137"/>
        <v>1</v>
      </c>
      <c r="AF2814" s="276"/>
      <c r="AG2814" s="17">
        <v>0</v>
      </c>
      <c r="AH2814" s="276">
        <v>0</v>
      </c>
      <c r="AI2814" s="276">
        <v>0</v>
      </c>
      <c r="AJ2814" s="44">
        <v>0</v>
      </c>
      <c r="AK2814" s="158">
        <v>0</v>
      </c>
      <c r="AL2814" s="151">
        <v>0</v>
      </c>
      <c r="AM2814" s="17">
        <f t="shared" si="138"/>
        <v>0</v>
      </c>
      <c r="AN2814" t="s">
        <v>831</v>
      </c>
      <c r="AO2814" s="18" t="s">
        <v>834</v>
      </c>
      <c r="AP2814" t="s">
        <v>8991</v>
      </c>
      <c r="AQ2814" s="47"/>
      <c r="AR2814" s="47"/>
    </row>
    <row r="2815" spans="1:44" customFormat="1" ht="15" hidden="1" customHeight="1" x14ac:dyDescent="0.3">
      <c r="A2815" s="371" t="s">
        <v>8323</v>
      </c>
      <c r="B2815" t="s">
        <v>8324</v>
      </c>
      <c r="C2815" s="148" t="s">
        <v>8841</v>
      </c>
      <c r="D2815" t="s">
        <v>8842</v>
      </c>
      <c r="E2815" s="148" t="s">
        <v>8843</v>
      </c>
      <c r="F2815" t="s">
        <v>8844</v>
      </c>
      <c r="G2815" s="372">
        <v>171107</v>
      </c>
      <c r="H2815" t="s">
        <v>8960</v>
      </c>
      <c r="K2815" s="155" t="s">
        <v>8965</v>
      </c>
      <c r="L2815" s="148" t="s">
        <v>8966</v>
      </c>
      <c r="M2815" t="s">
        <v>8967</v>
      </c>
      <c r="N2815" s="373"/>
      <c r="O2815" s="374">
        <v>1</v>
      </c>
      <c r="P2815" s="374">
        <v>1</v>
      </c>
      <c r="Q2815" s="374">
        <v>1</v>
      </c>
      <c r="R2815" s="374">
        <v>1</v>
      </c>
      <c r="S2815" s="374">
        <v>1</v>
      </c>
      <c r="T2815" t="s">
        <v>869</v>
      </c>
      <c r="U2815" t="str">
        <f>VLOOKUP(T2815,[8]Votes!$A$1:$E$234,3,FALSE)</f>
        <v>310 Uganda Investment Authority (UIA)</v>
      </c>
      <c r="V2815" t="s">
        <v>8992</v>
      </c>
      <c r="W2815" s="45">
        <v>1</v>
      </c>
      <c r="X2815" s="45">
        <v>1</v>
      </c>
      <c r="Y2815" s="45">
        <v>0</v>
      </c>
      <c r="Z2815" s="45">
        <v>1</v>
      </c>
      <c r="AA2815" s="45">
        <v>1</v>
      </c>
      <c r="AB2815" s="45">
        <v>1</v>
      </c>
      <c r="AC2815" s="150">
        <v>0</v>
      </c>
      <c r="AD2815" s="150">
        <v>0</v>
      </c>
      <c r="AE2815" s="49">
        <f t="shared" si="137"/>
        <v>0.625</v>
      </c>
      <c r="AF2815" s="276"/>
      <c r="AG2815" s="17">
        <v>0</v>
      </c>
      <c r="AH2815" s="276">
        <v>0</v>
      </c>
      <c r="AI2815" s="276">
        <v>0</v>
      </c>
      <c r="AJ2815" s="44">
        <v>0</v>
      </c>
      <c r="AK2815" s="158">
        <v>0</v>
      </c>
      <c r="AL2815" s="151">
        <v>0</v>
      </c>
      <c r="AM2815" s="17">
        <f t="shared" si="138"/>
        <v>0</v>
      </c>
      <c r="AN2815" t="s">
        <v>869</v>
      </c>
      <c r="AO2815" s="148" t="s">
        <v>871</v>
      </c>
      <c r="AP2815" t="s">
        <v>8993</v>
      </c>
      <c r="AQ2815" s="47"/>
      <c r="AR2815" s="47"/>
    </row>
    <row r="2816" spans="1:44" customFormat="1" ht="15" hidden="1" customHeight="1" x14ac:dyDescent="0.3">
      <c r="A2816" s="371" t="s">
        <v>8323</v>
      </c>
      <c r="B2816" t="s">
        <v>8324</v>
      </c>
      <c r="C2816" s="148" t="s">
        <v>8841</v>
      </c>
      <c r="D2816" t="s">
        <v>8842</v>
      </c>
      <c r="E2816" s="148" t="s">
        <v>8843</v>
      </c>
      <c r="F2816" t="s">
        <v>8844</v>
      </c>
      <c r="G2816" s="372">
        <v>171107</v>
      </c>
      <c r="H2816" t="s">
        <v>8960</v>
      </c>
      <c r="K2816" s="155" t="s">
        <v>8965</v>
      </c>
      <c r="L2816" s="148" t="s">
        <v>8966</v>
      </c>
      <c r="M2816" t="s">
        <v>8967</v>
      </c>
      <c r="N2816" s="373"/>
      <c r="O2816" s="374">
        <v>1</v>
      </c>
      <c r="P2816" s="374">
        <v>1</v>
      </c>
      <c r="Q2816" s="374">
        <v>1</v>
      </c>
      <c r="R2816" s="374">
        <v>1</v>
      </c>
      <c r="S2816" s="374">
        <v>1</v>
      </c>
      <c r="T2816" t="s">
        <v>869</v>
      </c>
      <c r="U2816" t="str">
        <f>VLOOKUP(T2816,[8]Votes!$A$1:$E$234,3,FALSE)</f>
        <v>310 Uganda Investment Authority (UIA)</v>
      </c>
      <c r="V2816" t="s">
        <v>8994</v>
      </c>
      <c r="W2816" s="45">
        <v>1</v>
      </c>
      <c r="X2816" s="45">
        <v>1</v>
      </c>
      <c r="Y2816" s="45">
        <v>0</v>
      </c>
      <c r="Z2816" s="45">
        <v>1</v>
      </c>
      <c r="AA2816" s="45">
        <v>1</v>
      </c>
      <c r="AB2816" s="45">
        <v>0</v>
      </c>
      <c r="AC2816" s="150">
        <v>0</v>
      </c>
      <c r="AD2816" s="150">
        <v>0</v>
      </c>
      <c r="AE2816" s="49">
        <f t="shared" ref="AE2816:AE2879" si="139">SUM(W2816:AD2816)/8</f>
        <v>0.5</v>
      </c>
      <c r="AF2816" s="276"/>
      <c r="AG2816" s="17">
        <v>0</v>
      </c>
      <c r="AH2816" s="276">
        <v>0</v>
      </c>
      <c r="AI2816" s="276">
        <v>0</v>
      </c>
      <c r="AJ2816" s="44">
        <v>0</v>
      </c>
      <c r="AK2816" s="158">
        <v>0</v>
      </c>
      <c r="AL2816" s="151">
        <v>0</v>
      </c>
      <c r="AM2816" s="17">
        <f t="shared" ref="AM2816:AM2879" si="140">SUM(AK2816:AL2816)</f>
        <v>0</v>
      </c>
      <c r="AN2816" t="s">
        <v>869</v>
      </c>
      <c r="AO2816" s="148" t="s">
        <v>871</v>
      </c>
      <c r="AP2816" t="s">
        <v>119</v>
      </c>
      <c r="AQ2816" s="47"/>
      <c r="AR2816" s="47"/>
    </row>
    <row r="2817" spans="1:44" customFormat="1" ht="15" customHeight="1" x14ac:dyDescent="0.3">
      <c r="A2817" s="371" t="s">
        <v>8323</v>
      </c>
      <c r="B2817" t="s">
        <v>8324</v>
      </c>
      <c r="C2817" s="148" t="s">
        <v>8841</v>
      </c>
      <c r="D2817" t="s">
        <v>8842</v>
      </c>
      <c r="E2817" s="148" t="s">
        <v>8843</v>
      </c>
      <c r="F2817" t="s">
        <v>8844</v>
      </c>
      <c r="G2817" s="372">
        <v>171107</v>
      </c>
      <c r="H2817" t="s">
        <v>8960</v>
      </c>
      <c r="K2817" s="155" t="s">
        <v>8965</v>
      </c>
      <c r="L2817" s="148" t="s">
        <v>8966</v>
      </c>
      <c r="M2817" t="s">
        <v>8967</v>
      </c>
      <c r="N2817" s="373"/>
      <c r="O2817" s="374">
        <v>1</v>
      </c>
      <c r="P2817" s="374">
        <v>1</v>
      </c>
      <c r="Q2817" s="374">
        <v>1</v>
      </c>
      <c r="R2817" s="374">
        <v>1</v>
      </c>
      <c r="S2817" s="374">
        <v>1</v>
      </c>
      <c r="T2817" t="s">
        <v>280</v>
      </c>
      <c r="U2817" t="str">
        <f>VLOOKUP(T2817,[8]Votes!$A$1:$E$234,3,FALSE)</f>
        <v>011 Ministry of Local Government</v>
      </c>
      <c r="V2817" t="s">
        <v>8995</v>
      </c>
      <c r="W2817" s="45">
        <v>1</v>
      </c>
      <c r="X2817" s="45">
        <v>1</v>
      </c>
      <c r="Y2817" s="45">
        <v>1</v>
      </c>
      <c r="Z2817" s="45">
        <v>1</v>
      </c>
      <c r="AA2817" s="45">
        <v>1</v>
      </c>
      <c r="AB2817" s="45">
        <v>1</v>
      </c>
      <c r="AC2817" s="150">
        <v>1</v>
      </c>
      <c r="AD2817" s="150">
        <v>1</v>
      </c>
      <c r="AE2817" s="49">
        <f t="shared" si="139"/>
        <v>1</v>
      </c>
      <c r="AF2817" s="276"/>
      <c r="AG2817" s="17">
        <v>0</v>
      </c>
      <c r="AH2817" s="276">
        <v>434.50935168842398</v>
      </c>
      <c r="AI2817" s="276">
        <v>410.75969123779225</v>
      </c>
      <c r="AJ2817" s="44">
        <v>414.50935168842398</v>
      </c>
      <c r="AK2817" s="158">
        <v>424.50935168842409</v>
      </c>
      <c r="AL2817" s="151">
        <v>438.25901213905593</v>
      </c>
      <c r="AM2817" s="17">
        <f t="shared" si="140"/>
        <v>862.76836382748002</v>
      </c>
      <c r="AN2817" t="s">
        <v>280</v>
      </c>
      <c r="AO2817" s="148" t="s">
        <v>1151</v>
      </c>
      <c r="AP2817" t="s">
        <v>8996</v>
      </c>
      <c r="AQ2817" s="47"/>
      <c r="AR2817" s="47"/>
    </row>
    <row r="2818" spans="1:44" customFormat="1" ht="15" hidden="1" customHeight="1" x14ac:dyDescent="0.3">
      <c r="A2818" s="371" t="s">
        <v>8323</v>
      </c>
      <c r="B2818" t="s">
        <v>8324</v>
      </c>
      <c r="C2818" s="148" t="s">
        <v>8841</v>
      </c>
      <c r="D2818" t="s">
        <v>8842</v>
      </c>
      <c r="E2818" s="148" t="s">
        <v>8843</v>
      </c>
      <c r="F2818" t="s">
        <v>8844</v>
      </c>
      <c r="G2818" s="372">
        <v>171107</v>
      </c>
      <c r="H2818" t="s">
        <v>8960</v>
      </c>
      <c r="K2818" s="155" t="s">
        <v>8965</v>
      </c>
      <c r="L2818" s="148" t="s">
        <v>8966</v>
      </c>
      <c r="M2818" t="s">
        <v>8967</v>
      </c>
      <c r="N2818" s="373"/>
      <c r="O2818" s="374">
        <v>1</v>
      </c>
      <c r="P2818" s="374">
        <v>1</v>
      </c>
      <c r="Q2818" s="374">
        <v>1</v>
      </c>
      <c r="R2818" s="374">
        <v>1</v>
      </c>
      <c r="S2818" s="374">
        <v>1</v>
      </c>
      <c r="T2818" t="s">
        <v>280</v>
      </c>
      <c r="U2818" t="str">
        <f>VLOOKUP(T2818,[8]Votes!$A$1:$E$234,3,FALSE)</f>
        <v>011 Ministry of Local Government</v>
      </c>
      <c r="V2818" t="s">
        <v>8997</v>
      </c>
      <c r="W2818" s="45"/>
      <c r="X2818" s="45"/>
      <c r="Y2818" s="45"/>
      <c r="Z2818" s="45"/>
      <c r="AA2818" s="45"/>
      <c r="AB2818" s="45"/>
      <c r="AC2818" s="150">
        <v>0</v>
      </c>
      <c r="AD2818" s="150">
        <v>0</v>
      </c>
      <c r="AE2818" s="49">
        <f t="shared" si="139"/>
        <v>0</v>
      </c>
      <c r="AF2818" s="276"/>
      <c r="AG2818" s="17">
        <v>0</v>
      </c>
      <c r="AH2818" s="276">
        <v>0</v>
      </c>
      <c r="AI2818" s="276">
        <v>35.5</v>
      </c>
      <c r="AJ2818" s="44">
        <v>0</v>
      </c>
      <c r="AK2818" s="158">
        <v>0</v>
      </c>
      <c r="AL2818" s="151">
        <v>0</v>
      </c>
      <c r="AM2818" s="17">
        <f t="shared" si="140"/>
        <v>0</v>
      </c>
      <c r="AN2818" t="s">
        <v>280</v>
      </c>
      <c r="AO2818" s="148" t="s">
        <v>1151</v>
      </c>
      <c r="AP2818" t="s">
        <v>6300</v>
      </c>
      <c r="AQ2818" s="47"/>
    </row>
    <row r="2819" spans="1:44" customFormat="1" ht="15" customHeight="1" x14ac:dyDescent="0.3">
      <c r="A2819" s="371" t="s">
        <v>8323</v>
      </c>
      <c r="B2819" t="s">
        <v>8324</v>
      </c>
      <c r="C2819" s="148" t="s">
        <v>8841</v>
      </c>
      <c r="D2819" t="s">
        <v>8842</v>
      </c>
      <c r="E2819" s="148" t="s">
        <v>8843</v>
      </c>
      <c r="F2819" t="s">
        <v>8844</v>
      </c>
      <c r="G2819" s="372">
        <v>171108</v>
      </c>
      <c r="H2819" t="s">
        <v>8998</v>
      </c>
      <c r="K2819" s="155" t="s">
        <v>8999</v>
      </c>
      <c r="L2819" s="148" t="s">
        <v>9000</v>
      </c>
      <c r="M2819" t="s">
        <v>9001</v>
      </c>
      <c r="N2819" s="373">
        <v>0</v>
      </c>
      <c r="O2819" s="374">
        <v>2752</v>
      </c>
      <c r="P2819" s="373">
        <v>2752</v>
      </c>
      <c r="Q2819" s="374">
        <v>2752</v>
      </c>
      <c r="R2819" s="373">
        <v>40</v>
      </c>
      <c r="S2819" s="374">
        <v>40</v>
      </c>
      <c r="T2819" t="s">
        <v>9002</v>
      </c>
      <c r="U2819" t="e">
        <f>VLOOKUP(T2819,[8]Votes!$A$1:$E$234,3,FALSE)</f>
        <v>#N/A</v>
      </c>
      <c r="V2819" t="s">
        <v>9003</v>
      </c>
      <c r="W2819" s="45">
        <v>1</v>
      </c>
      <c r="X2819" s="45">
        <v>1</v>
      </c>
      <c r="Y2819" s="45">
        <v>1</v>
      </c>
      <c r="Z2819" s="45">
        <v>0</v>
      </c>
      <c r="AA2819" s="45">
        <v>0</v>
      </c>
      <c r="AB2819" s="45">
        <v>1</v>
      </c>
      <c r="AC2819" s="150">
        <v>1</v>
      </c>
      <c r="AD2819" s="150">
        <v>1</v>
      </c>
      <c r="AE2819" s="49">
        <f t="shared" si="139"/>
        <v>0.75</v>
      </c>
      <c r="AF2819" s="276">
        <v>1</v>
      </c>
      <c r="AG2819" s="17">
        <v>0</v>
      </c>
      <c r="AH2819" s="276">
        <v>0</v>
      </c>
      <c r="AI2819" s="276">
        <v>0</v>
      </c>
      <c r="AJ2819" s="44">
        <v>0</v>
      </c>
      <c r="AK2819" s="154">
        <v>22.69</v>
      </c>
      <c r="AL2819" s="154">
        <v>22.69</v>
      </c>
      <c r="AM2819" s="17">
        <f t="shared" si="140"/>
        <v>45.38</v>
      </c>
      <c r="AN2819" t="s">
        <v>265</v>
      </c>
      <c r="AO2819" s="148" t="s">
        <v>350</v>
      </c>
      <c r="AP2819" t="s">
        <v>9004</v>
      </c>
      <c r="AQ2819" s="10"/>
    </row>
    <row r="2820" spans="1:44" customFormat="1" ht="15" customHeight="1" x14ac:dyDescent="0.3">
      <c r="A2820" s="371" t="s">
        <v>8323</v>
      </c>
      <c r="B2820" t="s">
        <v>8324</v>
      </c>
      <c r="C2820" s="148" t="s">
        <v>8841</v>
      </c>
      <c r="D2820" t="s">
        <v>8842</v>
      </c>
      <c r="E2820" s="148" t="s">
        <v>8843</v>
      </c>
      <c r="F2820" t="s">
        <v>8844</v>
      </c>
      <c r="G2820" s="372">
        <v>171108</v>
      </c>
      <c r="H2820" t="s">
        <v>8998</v>
      </c>
      <c r="K2820" s="155" t="s">
        <v>8999</v>
      </c>
      <c r="L2820" s="148" t="s">
        <v>9000</v>
      </c>
      <c r="M2820" t="s">
        <v>9001</v>
      </c>
      <c r="N2820" s="373">
        <v>0</v>
      </c>
      <c r="O2820" s="374"/>
      <c r="P2820" s="373"/>
      <c r="Q2820" s="374"/>
      <c r="R2820" s="373"/>
      <c r="S2820" s="374"/>
      <c r="T2820" t="s">
        <v>265</v>
      </c>
      <c r="U2820" t="str">
        <f>VLOOKUP(T2820,[8]Votes!$A$1:$E$234,3,FALSE)</f>
        <v>015 Ministry of Trade, Industry and Cooperatives</v>
      </c>
      <c r="V2820" t="s">
        <v>9005</v>
      </c>
      <c r="W2820" s="45">
        <v>1</v>
      </c>
      <c r="X2820" s="45">
        <v>1</v>
      </c>
      <c r="Y2820" s="45">
        <v>1</v>
      </c>
      <c r="Z2820" s="45">
        <v>1</v>
      </c>
      <c r="AA2820" s="45">
        <v>0</v>
      </c>
      <c r="AB2820" s="45">
        <v>1</v>
      </c>
      <c r="AC2820" s="150">
        <v>1</v>
      </c>
      <c r="AD2820" s="150">
        <v>1</v>
      </c>
      <c r="AE2820" s="49">
        <f t="shared" si="139"/>
        <v>0.875</v>
      </c>
      <c r="AF2820" s="276"/>
      <c r="AG2820" s="17">
        <v>0</v>
      </c>
      <c r="AH2820" s="276">
        <v>0</v>
      </c>
      <c r="AI2820" s="276">
        <v>0</v>
      </c>
      <c r="AJ2820" s="44">
        <v>0</v>
      </c>
      <c r="AK2820" s="158">
        <v>0</v>
      </c>
      <c r="AL2820" s="151">
        <v>0</v>
      </c>
      <c r="AM2820" s="17">
        <f t="shared" si="140"/>
        <v>0</v>
      </c>
      <c r="AN2820" t="s">
        <v>265</v>
      </c>
      <c r="AO2820" s="148" t="s">
        <v>350</v>
      </c>
      <c r="AP2820" t="s">
        <v>9004</v>
      </c>
      <c r="AQ2820" s="47"/>
    </row>
    <row r="2821" spans="1:44" customFormat="1" ht="15" customHeight="1" x14ac:dyDescent="0.3">
      <c r="A2821" s="371" t="s">
        <v>8323</v>
      </c>
      <c r="B2821" t="s">
        <v>8324</v>
      </c>
      <c r="C2821" s="148" t="s">
        <v>8841</v>
      </c>
      <c r="D2821" t="s">
        <v>8842</v>
      </c>
      <c r="E2821" s="148" t="s">
        <v>8843</v>
      </c>
      <c r="F2821" t="s">
        <v>8844</v>
      </c>
      <c r="G2821" s="372">
        <v>171108</v>
      </c>
      <c r="H2821" t="s">
        <v>8998</v>
      </c>
      <c r="K2821" s="155" t="s">
        <v>9006</v>
      </c>
      <c r="L2821" s="148" t="s">
        <v>9007</v>
      </c>
      <c r="M2821" t="s">
        <v>9008</v>
      </c>
      <c r="N2821" s="373"/>
      <c r="O2821" s="374"/>
      <c r="P2821" s="373"/>
      <c r="Q2821" s="374"/>
      <c r="R2821" s="373"/>
      <c r="S2821" s="374"/>
      <c r="T2821" t="s">
        <v>265</v>
      </c>
      <c r="U2821" t="str">
        <f>VLOOKUP(T2821,[8]Votes!$A$1:$E$234,3,FALSE)</f>
        <v>015 Ministry of Trade, Industry and Cooperatives</v>
      </c>
      <c r="V2821" t="s">
        <v>9009</v>
      </c>
      <c r="W2821" s="45">
        <v>1</v>
      </c>
      <c r="X2821" s="45">
        <v>1</v>
      </c>
      <c r="Y2821" s="45">
        <v>1</v>
      </c>
      <c r="Z2821" s="45">
        <v>1</v>
      </c>
      <c r="AA2821" s="45">
        <v>1</v>
      </c>
      <c r="AB2821" s="45">
        <v>1</v>
      </c>
      <c r="AC2821" s="150">
        <v>1</v>
      </c>
      <c r="AD2821" s="150">
        <v>0</v>
      </c>
      <c r="AE2821" s="49">
        <f t="shared" si="139"/>
        <v>0.875</v>
      </c>
      <c r="AF2821" s="276"/>
      <c r="AG2821" s="17">
        <v>0</v>
      </c>
      <c r="AH2821" s="276">
        <v>0</v>
      </c>
      <c r="AI2821" s="276">
        <v>1.7</v>
      </c>
      <c r="AJ2821" s="44">
        <v>1.8</v>
      </c>
      <c r="AK2821" s="158">
        <v>0</v>
      </c>
      <c r="AL2821" s="151">
        <v>0</v>
      </c>
      <c r="AM2821" s="17">
        <f t="shared" si="140"/>
        <v>0</v>
      </c>
      <c r="AN2821" t="s">
        <v>265</v>
      </c>
      <c r="AO2821" s="148" t="s">
        <v>350</v>
      </c>
      <c r="AP2821" t="s">
        <v>9010</v>
      </c>
      <c r="AQ2821" s="47"/>
    </row>
    <row r="2822" spans="1:44" customFormat="1" ht="15" hidden="1" customHeight="1" x14ac:dyDescent="0.3">
      <c r="A2822" s="371" t="s">
        <v>8323</v>
      </c>
      <c r="B2822" t="s">
        <v>8324</v>
      </c>
      <c r="C2822" s="148" t="s">
        <v>8841</v>
      </c>
      <c r="D2822" t="s">
        <v>8842</v>
      </c>
      <c r="E2822" s="148" t="s">
        <v>8843</v>
      </c>
      <c r="F2822" t="s">
        <v>8844</v>
      </c>
      <c r="G2822" s="372">
        <v>171109</v>
      </c>
      <c r="H2822" t="s">
        <v>9011</v>
      </c>
      <c r="K2822" s="155" t="s">
        <v>9012</v>
      </c>
      <c r="L2822" s="148" t="s">
        <v>9013</v>
      </c>
      <c r="M2822" t="s">
        <v>9014</v>
      </c>
      <c r="N2822" s="373">
        <v>0</v>
      </c>
      <c r="O2822" s="374">
        <v>56</v>
      </c>
      <c r="P2822" s="374">
        <v>56</v>
      </c>
      <c r="Q2822" s="374">
        <v>56</v>
      </c>
      <c r="R2822" s="374">
        <v>56</v>
      </c>
      <c r="S2822" s="374">
        <v>56</v>
      </c>
      <c r="T2822" t="s">
        <v>9015</v>
      </c>
      <c r="U2822" t="e">
        <f>VLOOKUP(T2822,[8]Votes!$A$1:$E$234,3,FALSE)</f>
        <v>#N/A</v>
      </c>
      <c r="V2822" t="s">
        <v>9016</v>
      </c>
      <c r="W2822" s="45">
        <v>1</v>
      </c>
      <c r="X2822" s="45">
        <v>1</v>
      </c>
      <c r="Y2822" s="45">
        <v>1</v>
      </c>
      <c r="Z2822" s="45">
        <v>1</v>
      </c>
      <c r="AA2822" s="45">
        <v>0</v>
      </c>
      <c r="AB2822" s="45">
        <v>0</v>
      </c>
      <c r="AC2822" s="150">
        <v>1</v>
      </c>
      <c r="AD2822" s="150">
        <v>0</v>
      </c>
      <c r="AE2822" s="49">
        <f t="shared" si="139"/>
        <v>0.625</v>
      </c>
      <c r="AF2822" s="276"/>
      <c r="AG2822" s="17">
        <v>0</v>
      </c>
      <c r="AH2822" s="276">
        <v>0</v>
      </c>
      <c r="AI2822" s="276">
        <v>0</v>
      </c>
      <c r="AJ2822" s="44">
        <v>0</v>
      </c>
      <c r="AK2822" s="158">
        <v>0</v>
      </c>
      <c r="AL2822" s="151">
        <v>0</v>
      </c>
      <c r="AM2822" s="17">
        <f t="shared" si="140"/>
        <v>0</v>
      </c>
      <c r="AN2822" t="s">
        <v>92</v>
      </c>
      <c r="AO2822" s="148" t="s">
        <v>118</v>
      </c>
      <c r="AP2822" t="s">
        <v>9017</v>
      </c>
      <c r="AQ2822" s="45"/>
    </row>
    <row r="2823" spans="1:44" customFormat="1" ht="15" hidden="1" customHeight="1" x14ac:dyDescent="0.3">
      <c r="A2823" s="371" t="s">
        <v>8323</v>
      </c>
      <c r="B2823" t="s">
        <v>8324</v>
      </c>
      <c r="C2823" s="148" t="s">
        <v>8841</v>
      </c>
      <c r="D2823" t="s">
        <v>8842</v>
      </c>
      <c r="E2823" s="148" t="s">
        <v>8843</v>
      </c>
      <c r="F2823" t="s">
        <v>8844</v>
      </c>
      <c r="G2823" s="372">
        <v>171110</v>
      </c>
      <c r="H2823" t="s">
        <v>9018</v>
      </c>
      <c r="K2823" s="155" t="s">
        <v>9019</v>
      </c>
      <c r="L2823" s="148" t="s">
        <v>9020</v>
      </c>
      <c r="M2823" t="s">
        <v>9021</v>
      </c>
      <c r="N2823" s="373">
        <v>0</v>
      </c>
      <c r="O2823" s="374">
        <v>56</v>
      </c>
      <c r="P2823" s="374">
        <v>56</v>
      </c>
      <c r="Q2823" s="374">
        <v>56</v>
      </c>
      <c r="R2823" s="374">
        <v>56</v>
      </c>
      <c r="S2823" s="374">
        <v>56</v>
      </c>
      <c r="T2823" t="s">
        <v>9022</v>
      </c>
      <c r="U2823" t="e">
        <f>VLOOKUP(T2823,[8]Votes!$A$1:$E$234,3,FALSE)</f>
        <v>#N/A</v>
      </c>
      <c r="V2823" t="s">
        <v>9023</v>
      </c>
      <c r="W2823" s="45">
        <v>1</v>
      </c>
      <c r="X2823" s="45">
        <v>0</v>
      </c>
      <c r="Y2823" s="45">
        <v>0</v>
      </c>
      <c r="Z2823" s="45">
        <v>1</v>
      </c>
      <c r="AA2823" s="45">
        <v>1</v>
      </c>
      <c r="AB2823" s="45">
        <v>0</v>
      </c>
      <c r="AC2823" s="150">
        <v>1</v>
      </c>
      <c r="AD2823" s="150">
        <v>1</v>
      </c>
      <c r="AE2823" s="49">
        <f t="shared" si="139"/>
        <v>0.625</v>
      </c>
      <c r="AF2823" s="276"/>
      <c r="AG2823" s="17">
        <v>0</v>
      </c>
      <c r="AH2823" s="276">
        <v>0</v>
      </c>
      <c r="AI2823" s="276">
        <v>1.7</v>
      </c>
      <c r="AJ2823" s="44">
        <v>1.8</v>
      </c>
      <c r="AK2823" s="158">
        <v>0</v>
      </c>
      <c r="AL2823" s="151">
        <v>0</v>
      </c>
      <c r="AM2823" s="17">
        <f t="shared" si="140"/>
        <v>0</v>
      </c>
      <c r="AN2823" t="s">
        <v>265</v>
      </c>
      <c r="AO2823" s="148" t="s">
        <v>350</v>
      </c>
      <c r="AP2823" t="s">
        <v>9024</v>
      </c>
      <c r="AQ2823" s="45"/>
    </row>
    <row r="2824" spans="1:44" customFormat="1" ht="15" hidden="1" customHeight="1" x14ac:dyDescent="0.3">
      <c r="A2824" s="371" t="s">
        <v>8323</v>
      </c>
      <c r="B2824" t="s">
        <v>8324</v>
      </c>
      <c r="C2824" s="148" t="s">
        <v>8841</v>
      </c>
      <c r="D2824" t="s">
        <v>8842</v>
      </c>
      <c r="E2824" s="148" t="s">
        <v>8843</v>
      </c>
      <c r="F2824" t="s">
        <v>8844</v>
      </c>
      <c r="G2824" s="372">
        <v>171110</v>
      </c>
      <c r="H2824" t="s">
        <v>9018</v>
      </c>
      <c r="K2824" s="155" t="s">
        <v>9019</v>
      </c>
      <c r="L2824" s="148" t="s">
        <v>9020</v>
      </c>
      <c r="M2824" t="s">
        <v>9021</v>
      </c>
      <c r="N2824" s="373">
        <v>0</v>
      </c>
      <c r="O2824" s="374"/>
      <c r="P2824" s="374"/>
      <c r="Q2824" s="374"/>
      <c r="R2824" s="374"/>
      <c r="S2824" s="374"/>
      <c r="T2824" t="s">
        <v>280</v>
      </c>
      <c r="U2824" t="str">
        <f>VLOOKUP(T2824,[8]Votes!$A$1:$E$234,3,FALSE)</f>
        <v>011 Ministry of Local Government</v>
      </c>
      <c r="V2824" t="s">
        <v>9025</v>
      </c>
      <c r="W2824" s="45">
        <v>1</v>
      </c>
      <c r="X2824" s="45">
        <v>0</v>
      </c>
      <c r="Y2824" s="45">
        <v>0</v>
      </c>
      <c r="Z2824" s="45">
        <v>1</v>
      </c>
      <c r="AA2824" s="45">
        <v>0</v>
      </c>
      <c r="AB2824" s="45">
        <v>0</v>
      </c>
      <c r="AC2824" s="150">
        <v>1</v>
      </c>
      <c r="AD2824" s="150">
        <v>0</v>
      </c>
      <c r="AE2824" s="49">
        <f t="shared" si="139"/>
        <v>0.375</v>
      </c>
      <c r="AF2824" s="276"/>
      <c r="AG2824" s="17">
        <v>0</v>
      </c>
      <c r="AH2824" s="276">
        <v>0</v>
      </c>
      <c r="AI2824" s="276">
        <v>0</v>
      </c>
      <c r="AJ2824" s="44">
        <v>0.5</v>
      </c>
      <c r="AK2824" s="158">
        <v>0</v>
      </c>
      <c r="AL2824" s="151">
        <v>0</v>
      </c>
      <c r="AM2824" s="17">
        <f t="shared" si="140"/>
        <v>0</v>
      </c>
      <c r="AN2824" t="s">
        <v>280</v>
      </c>
      <c r="AO2824" s="148" t="s">
        <v>1151</v>
      </c>
      <c r="AP2824" t="s">
        <v>9026</v>
      </c>
      <c r="AQ2824" s="47"/>
    </row>
    <row r="2825" spans="1:44" customFormat="1" ht="15" customHeight="1" x14ac:dyDescent="0.3">
      <c r="A2825" s="371" t="s">
        <v>8323</v>
      </c>
      <c r="B2825" t="s">
        <v>8324</v>
      </c>
      <c r="C2825" s="148" t="s">
        <v>8841</v>
      </c>
      <c r="D2825" t="s">
        <v>8842</v>
      </c>
      <c r="E2825" s="148" t="s">
        <v>8843</v>
      </c>
      <c r="F2825" t="s">
        <v>8844</v>
      </c>
      <c r="G2825" s="372">
        <v>171110</v>
      </c>
      <c r="H2825" t="s">
        <v>9018</v>
      </c>
      <c r="K2825" s="155" t="s">
        <v>9019</v>
      </c>
      <c r="L2825" s="148" t="s">
        <v>9020</v>
      </c>
      <c r="M2825" t="s">
        <v>9021</v>
      </c>
      <c r="N2825" s="373">
        <v>0</v>
      </c>
      <c r="O2825" s="374"/>
      <c r="P2825" s="374"/>
      <c r="Q2825" s="374"/>
      <c r="R2825" s="374"/>
      <c r="S2825" s="374"/>
      <c r="T2825" t="s">
        <v>255</v>
      </c>
      <c r="U2825" t="str">
        <f>VLOOKUP(T2825,[8]Votes!$A$1:$E$234,3,FALSE)</f>
        <v>500 501-850 Local Governments</v>
      </c>
      <c r="V2825" t="s">
        <v>9027</v>
      </c>
      <c r="W2825" s="45">
        <v>1</v>
      </c>
      <c r="X2825" s="45">
        <v>1</v>
      </c>
      <c r="Y2825" s="45">
        <v>1</v>
      </c>
      <c r="Z2825" s="45">
        <v>1</v>
      </c>
      <c r="AA2825" s="45">
        <v>1</v>
      </c>
      <c r="AB2825" s="45">
        <v>1</v>
      </c>
      <c r="AC2825" s="150">
        <v>1</v>
      </c>
      <c r="AD2825" s="150">
        <v>1</v>
      </c>
      <c r="AE2825" s="49">
        <f t="shared" si="139"/>
        <v>1</v>
      </c>
      <c r="AF2825" s="276"/>
      <c r="AG2825" s="17">
        <v>0</v>
      </c>
      <c r="AH2825" s="276">
        <v>0</v>
      </c>
      <c r="AI2825" s="276">
        <v>7.1</v>
      </c>
      <c r="AJ2825" s="44">
        <v>7.1</v>
      </c>
      <c r="AK2825" s="158">
        <v>7.1</v>
      </c>
      <c r="AL2825" s="151">
        <v>7.1</v>
      </c>
      <c r="AM2825" s="17">
        <f t="shared" si="140"/>
        <v>14.2</v>
      </c>
      <c r="AN2825" t="s">
        <v>255</v>
      </c>
      <c r="AO2825" s="148" t="s">
        <v>1045</v>
      </c>
      <c r="AP2825" t="s">
        <v>9028</v>
      </c>
      <c r="AQ2825" s="47"/>
    </row>
    <row r="2826" spans="1:44" s="45" customFormat="1" x14ac:dyDescent="0.3">
      <c r="A2826" s="371" t="s">
        <v>8323</v>
      </c>
      <c r="B2826" t="s">
        <v>8324</v>
      </c>
      <c r="C2826" s="148" t="s">
        <v>8841</v>
      </c>
      <c r="D2826" t="s">
        <v>8842</v>
      </c>
      <c r="E2826" s="148" t="s">
        <v>8843</v>
      </c>
      <c r="F2826" t="s">
        <v>8844</v>
      </c>
      <c r="G2826" s="372">
        <v>171111</v>
      </c>
      <c r="H2826" t="s">
        <v>9029</v>
      </c>
      <c r="I2826"/>
      <c r="J2826"/>
      <c r="K2826" s="155" t="s">
        <v>9030</v>
      </c>
      <c r="L2826" s="148" t="s">
        <v>9031</v>
      </c>
      <c r="M2826" t="s">
        <v>9032</v>
      </c>
      <c r="N2826" s="373">
        <v>0</v>
      </c>
      <c r="O2826" s="374"/>
      <c r="P2826" s="374"/>
      <c r="Q2826" s="374"/>
      <c r="R2826" s="374"/>
      <c r="S2826" s="374"/>
      <c r="T2826" t="s">
        <v>255</v>
      </c>
      <c r="U2826" t="str">
        <f>VLOOKUP(T2826,[8]Votes!$A$1:$E$234,3,FALSE)</f>
        <v>500 501-850 Local Governments</v>
      </c>
      <c r="V2826" t="s">
        <v>9033</v>
      </c>
      <c r="W2826" s="45">
        <v>1</v>
      </c>
      <c r="X2826" s="45">
        <v>1</v>
      </c>
      <c r="Y2826" s="45">
        <v>1</v>
      </c>
      <c r="Z2826" s="45">
        <v>1</v>
      </c>
      <c r="AA2826" s="45">
        <v>1</v>
      </c>
      <c r="AB2826" s="45">
        <v>1</v>
      </c>
      <c r="AC2826" s="150">
        <v>1</v>
      </c>
      <c r="AD2826" s="150">
        <v>0</v>
      </c>
      <c r="AE2826" s="49">
        <f t="shared" si="139"/>
        <v>0.875</v>
      </c>
      <c r="AF2826" s="276"/>
      <c r="AG2826" s="17">
        <v>0</v>
      </c>
      <c r="AH2826" s="276">
        <v>0</v>
      </c>
      <c r="AI2826" s="276">
        <v>6</v>
      </c>
      <c r="AJ2826" s="44">
        <v>7</v>
      </c>
      <c r="AK2826" s="158">
        <v>0</v>
      </c>
      <c r="AL2826" s="151">
        <v>0</v>
      </c>
      <c r="AM2826" s="17">
        <f t="shared" si="140"/>
        <v>0</v>
      </c>
      <c r="AN2826" t="s">
        <v>255</v>
      </c>
      <c r="AO2826" s="148" t="s">
        <v>1045</v>
      </c>
      <c r="AP2826" t="s">
        <v>9034</v>
      </c>
      <c r="AQ2826" s="282"/>
    </row>
    <row r="2827" spans="1:44" s="45" customFormat="1" ht="13.95" customHeight="1" x14ac:dyDescent="0.3">
      <c r="A2827" s="371" t="s">
        <v>8323</v>
      </c>
      <c r="B2827" t="s">
        <v>8324</v>
      </c>
      <c r="C2827" s="148" t="s">
        <v>8841</v>
      </c>
      <c r="D2827" t="s">
        <v>8842</v>
      </c>
      <c r="E2827" s="148" t="s">
        <v>8843</v>
      </c>
      <c r="F2827" t="s">
        <v>8844</v>
      </c>
      <c r="G2827" s="375">
        <v>171111</v>
      </c>
      <c r="H2827" t="s">
        <v>9029</v>
      </c>
      <c r="I2827"/>
      <c r="J2827"/>
      <c r="K2827" s="155" t="s">
        <v>9030</v>
      </c>
      <c r="L2827" s="148" t="s">
        <v>9031</v>
      </c>
      <c r="M2827" t="s">
        <v>9032</v>
      </c>
      <c r="N2827" s="373">
        <v>0</v>
      </c>
      <c r="O2827" s="374"/>
      <c r="P2827" s="374"/>
      <c r="Q2827" s="374"/>
      <c r="R2827" s="374"/>
      <c r="S2827" s="374"/>
      <c r="T2827" t="s">
        <v>255</v>
      </c>
      <c r="U2827" t="str">
        <f>VLOOKUP(T2827,[8]Votes!$A$1:$E$234,3,FALSE)</f>
        <v>500 501-850 Local Governments</v>
      </c>
      <c r="V2827" t="s">
        <v>9035</v>
      </c>
      <c r="W2827" s="45">
        <v>1</v>
      </c>
      <c r="X2827" s="45">
        <v>1</v>
      </c>
      <c r="Y2827" s="45">
        <v>1</v>
      </c>
      <c r="Z2827" s="45">
        <v>1</v>
      </c>
      <c r="AA2827" s="45">
        <v>1</v>
      </c>
      <c r="AB2827" s="45">
        <v>1</v>
      </c>
      <c r="AC2827" s="150">
        <v>1</v>
      </c>
      <c r="AD2827" s="150">
        <v>1</v>
      </c>
      <c r="AE2827" s="49">
        <f t="shared" si="139"/>
        <v>1</v>
      </c>
      <c r="AF2827" s="276"/>
      <c r="AG2827" s="17">
        <v>0</v>
      </c>
      <c r="AH2827" s="276">
        <v>0</v>
      </c>
      <c r="AI2827" s="276">
        <v>15</v>
      </c>
      <c r="AJ2827" s="44">
        <v>15</v>
      </c>
      <c r="AK2827" s="158">
        <v>15</v>
      </c>
      <c r="AL2827" s="151">
        <v>15</v>
      </c>
      <c r="AM2827" s="17">
        <f t="shared" si="140"/>
        <v>30</v>
      </c>
      <c r="AN2827" t="s">
        <v>255</v>
      </c>
      <c r="AO2827" s="148" t="s">
        <v>1045</v>
      </c>
      <c r="AP2827" t="s">
        <v>9036</v>
      </c>
      <c r="AQ2827" s="47"/>
    </row>
    <row r="2828" spans="1:44" s="45" customFormat="1" ht="13.95" customHeight="1" x14ac:dyDescent="0.3">
      <c r="A2828" s="371" t="s">
        <v>8323</v>
      </c>
      <c r="B2828" t="s">
        <v>8324</v>
      </c>
      <c r="C2828" s="148" t="s">
        <v>9037</v>
      </c>
      <c r="D2828" t="s">
        <v>9038</v>
      </c>
      <c r="E2828" s="148" t="s">
        <v>9039</v>
      </c>
      <c r="F2828" t="s">
        <v>9040</v>
      </c>
      <c r="G2828" s="376" t="s">
        <v>9041</v>
      </c>
      <c r="H2828" t="s">
        <v>9042</v>
      </c>
      <c r="I2828"/>
      <c r="J2828"/>
      <c r="K2828" s="155" t="s">
        <v>9043</v>
      </c>
      <c r="L2828" s="148" t="s">
        <v>9044</v>
      </c>
      <c r="M2828" t="s">
        <v>9045</v>
      </c>
      <c r="N2828" s="373">
        <v>0</v>
      </c>
      <c r="O2828" s="374">
        <v>8960</v>
      </c>
      <c r="P2828" s="374">
        <v>4480</v>
      </c>
      <c r="Q2828" s="374">
        <v>4480</v>
      </c>
      <c r="R2828" s="374">
        <v>4480</v>
      </c>
      <c r="S2828" s="374">
        <v>4480</v>
      </c>
      <c r="T2828" t="s">
        <v>9046</v>
      </c>
      <c r="U2828" t="e">
        <f>VLOOKUP(T2828,[8]Votes!$A$1:$E$234,3,FALSE)</f>
        <v>#N/A</v>
      </c>
      <c r="V2828" t="s">
        <v>9047</v>
      </c>
      <c r="W2828" s="45">
        <v>1</v>
      </c>
      <c r="X2828" s="45">
        <v>1</v>
      </c>
      <c r="Y2828" s="45">
        <v>1</v>
      </c>
      <c r="Z2828" s="45">
        <v>0</v>
      </c>
      <c r="AA2828" s="45">
        <v>1</v>
      </c>
      <c r="AB2828" s="45">
        <v>1</v>
      </c>
      <c r="AC2828" s="150">
        <v>1</v>
      </c>
      <c r="AD2828" s="150">
        <v>1</v>
      </c>
      <c r="AE2828" s="49">
        <f t="shared" si="139"/>
        <v>0.875</v>
      </c>
      <c r="AF2828" s="276"/>
      <c r="AG2828" s="17">
        <v>0</v>
      </c>
      <c r="AH2828" s="276">
        <v>0</v>
      </c>
      <c r="AI2828" s="276">
        <v>680</v>
      </c>
      <c r="AJ2828" s="44">
        <v>720</v>
      </c>
      <c r="AK2828" s="158">
        <v>0</v>
      </c>
      <c r="AL2828" s="151">
        <v>0</v>
      </c>
      <c r="AM2828" s="17">
        <f t="shared" si="140"/>
        <v>0</v>
      </c>
      <c r="AN2828" t="s">
        <v>255</v>
      </c>
      <c r="AO2828" s="148" t="s">
        <v>1045</v>
      </c>
      <c r="AP2828" t="s">
        <v>9048</v>
      </c>
      <c r="AQ2828" s="282"/>
    </row>
    <row r="2829" spans="1:44" s="45" customFormat="1" x14ac:dyDescent="0.3">
      <c r="A2829" s="371" t="s">
        <v>8323</v>
      </c>
      <c r="B2829" t="s">
        <v>8324</v>
      </c>
      <c r="C2829" s="148" t="s">
        <v>9037</v>
      </c>
      <c r="D2829" t="s">
        <v>9038</v>
      </c>
      <c r="E2829" s="148" t="s">
        <v>9039</v>
      </c>
      <c r="F2829" t="s">
        <v>9040</v>
      </c>
      <c r="G2829" s="376" t="s">
        <v>9041</v>
      </c>
      <c r="H2829" t="s">
        <v>9042</v>
      </c>
      <c r="I2829"/>
      <c r="J2829"/>
      <c r="K2829" s="155" t="s">
        <v>9043</v>
      </c>
      <c r="L2829" s="148" t="s">
        <v>9044</v>
      </c>
      <c r="M2829" t="s">
        <v>9045</v>
      </c>
      <c r="N2829" s="373">
        <v>0</v>
      </c>
      <c r="O2829" s="374"/>
      <c r="P2829" s="374"/>
      <c r="Q2829" s="374"/>
      <c r="R2829" s="374"/>
      <c r="S2829" s="374"/>
      <c r="T2829" t="s">
        <v>255</v>
      </c>
      <c r="U2829" t="str">
        <f>VLOOKUP(T2829,[8]Votes!$A$1:$E$234,3,FALSE)</f>
        <v>500 501-850 Local Governments</v>
      </c>
      <c r="V2829" t="s">
        <v>9049</v>
      </c>
      <c r="W2829" s="45">
        <v>1</v>
      </c>
      <c r="X2829" s="45">
        <v>1</v>
      </c>
      <c r="Y2829" s="45">
        <v>1</v>
      </c>
      <c r="Z2829" s="45">
        <v>0</v>
      </c>
      <c r="AA2829" s="45">
        <v>1</v>
      </c>
      <c r="AB2829" s="45">
        <v>1</v>
      </c>
      <c r="AC2829" s="150">
        <v>1</v>
      </c>
      <c r="AD2829" s="150">
        <v>1</v>
      </c>
      <c r="AE2829" s="49">
        <f t="shared" si="139"/>
        <v>0.875</v>
      </c>
      <c r="AF2829" s="276"/>
      <c r="AG2829" s="17">
        <v>0</v>
      </c>
      <c r="AH2829" s="276">
        <v>0</v>
      </c>
      <c r="AI2829" s="276">
        <v>340</v>
      </c>
      <c r="AJ2829" s="44">
        <v>360</v>
      </c>
      <c r="AK2829" s="158">
        <v>0</v>
      </c>
      <c r="AL2829" s="151">
        <v>0</v>
      </c>
      <c r="AM2829" s="17">
        <f t="shared" si="140"/>
        <v>0</v>
      </c>
      <c r="AN2829" t="s">
        <v>255</v>
      </c>
      <c r="AO2829" s="148" t="s">
        <v>1045</v>
      </c>
      <c r="AP2829" t="s">
        <v>9050</v>
      </c>
      <c r="AQ2829" s="47"/>
    </row>
    <row r="2830" spans="1:44" s="45" customFormat="1" x14ac:dyDescent="0.3">
      <c r="A2830" s="371" t="s">
        <v>8323</v>
      </c>
      <c r="B2830" t="s">
        <v>8324</v>
      </c>
      <c r="C2830" s="148" t="s">
        <v>9037</v>
      </c>
      <c r="D2830" t="s">
        <v>9038</v>
      </c>
      <c r="E2830" s="148" t="s">
        <v>9039</v>
      </c>
      <c r="F2830" t="s">
        <v>9040</v>
      </c>
      <c r="G2830" s="376" t="s">
        <v>9041</v>
      </c>
      <c r="H2830" t="s">
        <v>9042</v>
      </c>
      <c r="I2830"/>
      <c r="J2830"/>
      <c r="K2830" s="155" t="s">
        <v>9043</v>
      </c>
      <c r="L2830" s="148" t="s">
        <v>9044</v>
      </c>
      <c r="M2830" t="s">
        <v>9045</v>
      </c>
      <c r="N2830" s="373">
        <v>0</v>
      </c>
      <c r="O2830" s="374"/>
      <c r="P2830" s="374"/>
      <c r="Q2830" s="374"/>
      <c r="R2830" s="374"/>
      <c r="S2830" s="374"/>
      <c r="T2830" t="s">
        <v>255</v>
      </c>
      <c r="U2830" t="str">
        <f>VLOOKUP(T2830,[8]Votes!$A$1:$E$234,3,FALSE)</f>
        <v>500 501-850 Local Governments</v>
      </c>
      <c r="V2830" t="s">
        <v>9051</v>
      </c>
      <c r="W2830" s="45">
        <v>1</v>
      </c>
      <c r="X2830" s="45">
        <v>1</v>
      </c>
      <c r="Y2830" s="45">
        <v>1</v>
      </c>
      <c r="Z2830" s="45">
        <v>0</v>
      </c>
      <c r="AA2830" s="45">
        <v>1</v>
      </c>
      <c r="AB2830" s="45">
        <v>1</v>
      </c>
      <c r="AC2830" s="150">
        <v>1</v>
      </c>
      <c r="AD2830" s="150">
        <v>1</v>
      </c>
      <c r="AE2830" s="49">
        <f t="shared" si="139"/>
        <v>0.875</v>
      </c>
      <c r="AF2830" s="276"/>
      <c r="AG2830" s="17">
        <v>0</v>
      </c>
      <c r="AH2830" s="276">
        <v>0</v>
      </c>
      <c r="AI2830" s="276">
        <v>340</v>
      </c>
      <c r="AJ2830" s="44">
        <v>360</v>
      </c>
      <c r="AK2830" s="158">
        <v>0</v>
      </c>
      <c r="AL2830" s="151">
        <v>0</v>
      </c>
      <c r="AM2830" s="17">
        <f t="shared" si="140"/>
        <v>0</v>
      </c>
      <c r="AN2830" t="s">
        <v>255</v>
      </c>
      <c r="AO2830" s="148" t="s">
        <v>1045</v>
      </c>
      <c r="AP2830" t="s">
        <v>9050</v>
      </c>
      <c r="AQ2830" s="47"/>
    </row>
    <row r="2831" spans="1:44" s="45" customFormat="1" ht="17.55" customHeight="1" x14ac:dyDescent="0.3">
      <c r="A2831" s="371" t="s">
        <v>8323</v>
      </c>
      <c r="B2831" t="s">
        <v>8324</v>
      </c>
      <c r="C2831" s="148" t="s">
        <v>9037</v>
      </c>
      <c r="D2831" t="s">
        <v>9038</v>
      </c>
      <c r="E2831" s="148" t="s">
        <v>9039</v>
      </c>
      <c r="F2831" t="s">
        <v>9040</v>
      </c>
      <c r="G2831" s="376" t="s">
        <v>9052</v>
      </c>
      <c r="H2831" t="s">
        <v>9053</v>
      </c>
      <c r="I2831"/>
      <c r="J2831"/>
      <c r="K2831" s="155" t="s">
        <v>9054</v>
      </c>
      <c r="L2831" s="148" t="s">
        <v>9055</v>
      </c>
      <c r="M2831" t="s">
        <v>9056</v>
      </c>
      <c r="N2831" s="373">
        <v>0</v>
      </c>
      <c r="O2831" s="374">
        <v>160</v>
      </c>
      <c r="P2831" s="374">
        <v>160</v>
      </c>
      <c r="Q2831" s="374">
        <v>160</v>
      </c>
      <c r="R2831" s="374">
        <v>160</v>
      </c>
      <c r="S2831" s="374">
        <v>160</v>
      </c>
      <c r="T2831" t="s">
        <v>63</v>
      </c>
      <c r="U2831" t="str">
        <f>VLOOKUP(T2831,[8]Votes!$A$1:$E$234,3,FALSE)</f>
        <v>016 Ministry of Works and Transport</v>
      </c>
      <c r="V2831" t="s">
        <v>9057</v>
      </c>
      <c r="W2831" s="45">
        <v>1</v>
      </c>
      <c r="X2831" s="45">
        <v>1</v>
      </c>
      <c r="Y2831" s="45">
        <v>1</v>
      </c>
      <c r="Z2831" s="45">
        <v>0</v>
      </c>
      <c r="AA2831" s="45">
        <v>1</v>
      </c>
      <c r="AB2831" s="45">
        <v>1</v>
      </c>
      <c r="AC2831" s="150">
        <v>1</v>
      </c>
      <c r="AD2831" s="150">
        <v>1</v>
      </c>
      <c r="AE2831" s="49">
        <f t="shared" si="139"/>
        <v>0.875</v>
      </c>
      <c r="AF2831" s="276"/>
      <c r="AG2831" s="17">
        <v>0</v>
      </c>
      <c r="AH2831" s="276">
        <v>0</v>
      </c>
      <c r="AI2831" s="276">
        <v>0</v>
      </c>
      <c r="AJ2831" s="44">
        <v>0</v>
      </c>
      <c r="AK2831" s="158">
        <v>0</v>
      </c>
      <c r="AL2831" s="151">
        <v>0</v>
      </c>
      <c r="AM2831" s="17">
        <f t="shared" si="140"/>
        <v>0</v>
      </c>
      <c r="AN2831" t="s">
        <v>63</v>
      </c>
      <c r="AO2831" s="148" t="s">
        <v>2510</v>
      </c>
      <c r="AP2831" t="s">
        <v>9058</v>
      </c>
    </row>
    <row r="2832" spans="1:44" s="45" customFormat="1" ht="15.45" customHeight="1" x14ac:dyDescent="0.3">
      <c r="A2832" s="371" t="s">
        <v>8323</v>
      </c>
      <c r="B2832" t="s">
        <v>8324</v>
      </c>
      <c r="C2832" s="148" t="s">
        <v>9037</v>
      </c>
      <c r="D2832" t="s">
        <v>9038</v>
      </c>
      <c r="E2832" s="148" t="s">
        <v>9039</v>
      </c>
      <c r="F2832" t="s">
        <v>9040</v>
      </c>
      <c r="G2832" s="376" t="s">
        <v>9052</v>
      </c>
      <c r="H2832" t="s">
        <v>9053</v>
      </c>
      <c r="I2832"/>
      <c r="J2832"/>
      <c r="K2832" s="155" t="s">
        <v>9059</v>
      </c>
      <c r="L2832" s="148" t="s">
        <v>9060</v>
      </c>
      <c r="M2832" t="s">
        <v>9061</v>
      </c>
      <c r="N2832" s="373">
        <v>0</v>
      </c>
      <c r="O2832" s="374"/>
      <c r="P2832" s="374"/>
      <c r="Q2832" s="374"/>
      <c r="R2832" s="374"/>
      <c r="S2832" s="374"/>
      <c r="T2832" t="s">
        <v>63</v>
      </c>
      <c r="U2832" t="str">
        <f>VLOOKUP(T2832,[8]Votes!$A$1:$E$234,3,FALSE)</f>
        <v>016 Ministry of Works and Transport</v>
      </c>
      <c r="V2832" t="s">
        <v>9062</v>
      </c>
      <c r="W2832" s="45">
        <v>1</v>
      </c>
      <c r="X2832" s="45">
        <v>1</v>
      </c>
      <c r="Y2832" s="45">
        <v>1</v>
      </c>
      <c r="Z2832" s="45">
        <v>0</v>
      </c>
      <c r="AA2832" s="45">
        <v>0</v>
      </c>
      <c r="AB2832" s="45">
        <v>1</v>
      </c>
      <c r="AC2832" s="150">
        <v>1</v>
      </c>
      <c r="AD2832" s="150">
        <v>1</v>
      </c>
      <c r="AE2832" s="49">
        <f t="shared" si="139"/>
        <v>0.75</v>
      </c>
      <c r="AF2832" s="276"/>
      <c r="AG2832" s="17">
        <v>0</v>
      </c>
      <c r="AH2832" s="276">
        <v>0</v>
      </c>
      <c r="AI2832" s="276">
        <v>0</v>
      </c>
      <c r="AJ2832" s="44">
        <v>0</v>
      </c>
      <c r="AK2832" s="158">
        <v>0</v>
      </c>
      <c r="AL2832" s="151">
        <v>0</v>
      </c>
      <c r="AM2832" s="17">
        <f t="shared" si="140"/>
        <v>0</v>
      </c>
      <c r="AN2832" t="s">
        <v>63</v>
      </c>
      <c r="AO2832" s="148" t="s">
        <v>2510</v>
      </c>
      <c r="AP2832" t="s">
        <v>9058</v>
      </c>
    </row>
    <row r="2833" spans="1:44" s="45" customFormat="1" x14ac:dyDescent="0.3">
      <c r="A2833" s="371" t="s">
        <v>8323</v>
      </c>
      <c r="B2833" t="s">
        <v>8324</v>
      </c>
      <c r="C2833" s="148" t="s">
        <v>9037</v>
      </c>
      <c r="D2833" t="s">
        <v>9038</v>
      </c>
      <c r="E2833" s="148" t="s">
        <v>9039</v>
      </c>
      <c r="F2833" t="s">
        <v>9040</v>
      </c>
      <c r="G2833" s="376" t="s">
        <v>9063</v>
      </c>
      <c r="H2833" t="s">
        <v>9064</v>
      </c>
      <c r="I2833"/>
      <c r="J2833"/>
      <c r="K2833" s="155" t="s">
        <v>9065</v>
      </c>
      <c r="L2833" s="148" t="s">
        <v>9066</v>
      </c>
      <c r="M2833" t="s">
        <v>9067</v>
      </c>
      <c r="N2833" s="373"/>
      <c r="O2833" s="374">
        <v>175</v>
      </c>
      <c r="P2833" s="374">
        <v>106</v>
      </c>
      <c r="Q2833" s="374">
        <v>106</v>
      </c>
      <c r="R2833" s="374">
        <v>106</v>
      </c>
      <c r="S2833" s="374">
        <v>80</v>
      </c>
      <c r="T2833" t="s">
        <v>1035</v>
      </c>
      <c r="U2833" t="str">
        <f>VLOOKUP(T2833,[8]Votes!$A$1:$E$234,3,FALSE)</f>
        <v>017 Ministry of Energy and Mineral Development</v>
      </c>
      <c r="V2833" t="s">
        <v>9068</v>
      </c>
      <c r="W2833" s="45">
        <v>1</v>
      </c>
      <c r="X2833" s="45">
        <v>1</v>
      </c>
      <c r="Y2833" s="45">
        <v>1</v>
      </c>
      <c r="Z2833" s="45">
        <v>0</v>
      </c>
      <c r="AA2833" s="45">
        <v>0</v>
      </c>
      <c r="AB2833" s="45">
        <v>1</v>
      </c>
      <c r="AC2833" s="150">
        <v>1</v>
      </c>
      <c r="AD2833" s="150">
        <v>1</v>
      </c>
      <c r="AE2833" s="49">
        <f t="shared" si="139"/>
        <v>0.75</v>
      </c>
      <c r="AF2833" s="276">
        <v>1</v>
      </c>
      <c r="AG2833" s="17">
        <v>0</v>
      </c>
      <c r="AH2833" s="276">
        <v>0</v>
      </c>
      <c r="AI2833" s="276">
        <v>0</v>
      </c>
      <c r="AJ2833" s="44">
        <v>0</v>
      </c>
      <c r="AK2833" s="158">
        <v>0</v>
      </c>
      <c r="AL2833" s="151">
        <v>0</v>
      </c>
      <c r="AM2833" s="17">
        <f t="shared" si="140"/>
        <v>0</v>
      </c>
      <c r="AN2833" t="s">
        <v>1035</v>
      </c>
      <c r="AO2833" s="148" t="s">
        <v>1037</v>
      </c>
      <c r="AP2833" t="s">
        <v>9069</v>
      </c>
      <c r="AQ2833" s="47"/>
    </row>
    <row r="2834" spans="1:44" s="45" customFormat="1" x14ac:dyDescent="0.3">
      <c r="A2834" s="371" t="s">
        <v>8323</v>
      </c>
      <c r="B2834" t="s">
        <v>8324</v>
      </c>
      <c r="C2834" s="148" t="s">
        <v>9037</v>
      </c>
      <c r="D2834" t="s">
        <v>9038</v>
      </c>
      <c r="E2834" s="148" t="s">
        <v>9039</v>
      </c>
      <c r="F2834" t="s">
        <v>9040</v>
      </c>
      <c r="G2834" s="376" t="s">
        <v>9063</v>
      </c>
      <c r="H2834" t="s">
        <v>9064</v>
      </c>
      <c r="I2834"/>
      <c r="J2834"/>
      <c r="K2834" s="155" t="s">
        <v>9070</v>
      </c>
      <c r="L2834" s="148" t="s">
        <v>9071</v>
      </c>
      <c r="M2834" t="s">
        <v>9072</v>
      </c>
      <c r="N2834" s="373">
        <v>0</v>
      </c>
      <c r="O2834" s="374"/>
      <c r="P2834" s="374"/>
      <c r="Q2834" s="374"/>
      <c r="R2834" s="374"/>
      <c r="S2834" s="374"/>
      <c r="T2834" t="s">
        <v>1035</v>
      </c>
      <c r="U2834" t="str">
        <f>VLOOKUP(T2834,[8]Votes!$A$1:$E$234,3,FALSE)</f>
        <v>017 Ministry of Energy and Mineral Development</v>
      </c>
      <c r="V2834" t="s">
        <v>9073</v>
      </c>
      <c r="W2834" s="45">
        <v>1</v>
      </c>
      <c r="X2834" s="45">
        <v>1</v>
      </c>
      <c r="Y2834" s="45">
        <v>1</v>
      </c>
      <c r="Z2834" s="45">
        <v>0</v>
      </c>
      <c r="AA2834" s="45">
        <v>0</v>
      </c>
      <c r="AB2834" s="45">
        <v>1</v>
      </c>
      <c r="AC2834" s="150">
        <v>1</v>
      </c>
      <c r="AD2834" s="150">
        <v>1</v>
      </c>
      <c r="AE2834" s="49">
        <f t="shared" si="139"/>
        <v>0.75</v>
      </c>
      <c r="AF2834" s="276"/>
      <c r="AG2834" s="17">
        <v>0</v>
      </c>
      <c r="AH2834" s="276">
        <v>0</v>
      </c>
      <c r="AI2834" s="276">
        <v>0</v>
      </c>
      <c r="AJ2834" s="44">
        <v>0</v>
      </c>
      <c r="AK2834" s="158">
        <v>0</v>
      </c>
      <c r="AL2834" s="151">
        <v>0</v>
      </c>
      <c r="AM2834" s="17">
        <f t="shared" si="140"/>
        <v>0</v>
      </c>
      <c r="AN2834" t="s">
        <v>1035</v>
      </c>
      <c r="AO2834" s="148" t="s">
        <v>1037</v>
      </c>
      <c r="AP2834" t="s">
        <v>8589</v>
      </c>
      <c r="AQ2834" s="47"/>
    </row>
    <row r="2835" spans="1:44" s="45" customFormat="1" hidden="1" x14ac:dyDescent="0.3">
      <c r="A2835" s="371" t="s">
        <v>8323</v>
      </c>
      <c r="B2835" t="s">
        <v>8324</v>
      </c>
      <c r="C2835" s="148" t="s">
        <v>9037</v>
      </c>
      <c r="D2835" t="s">
        <v>9038</v>
      </c>
      <c r="E2835" s="148" t="s">
        <v>9039</v>
      </c>
      <c r="F2835" t="s">
        <v>9040</v>
      </c>
      <c r="G2835" s="376" t="s">
        <v>9074</v>
      </c>
      <c r="H2835" t="s">
        <v>9075</v>
      </c>
      <c r="I2835"/>
      <c r="J2835"/>
      <c r="K2835" s="155" t="s">
        <v>9076</v>
      </c>
      <c r="L2835" s="148" t="s">
        <v>9077</v>
      </c>
      <c r="M2835" t="s">
        <v>2071</v>
      </c>
      <c r="N2835" s="373"/>
      <c r="O2835" s="374">
        <v>1649</v>
      </c>
      <c r="P2835" s="374">
        <v>1916</v>
      </c>
      <c r="Q2835" s="374">
        <v>2182</v>
      </c>
      <c r="R2835" s="374">
        <v>2449</v>
      </c>
      <c r="S2835" s="374">
        <v>2715</v>
      </c>
      <c r="T2835" t="s">
        <v>239</v>
      </c>
      <c r="U2835" t="str">
        <f>VLOOKUP(T2835,[8]Votes!$A$1:$E$234,3,FALSE)</f>
        <v>020 Ministry of ICT and National Guidance</v>
      </c>
      <c r="V2835" t="s">
        <v>9078</v>
      </c>
      <c r="W2835" s="45">
        <v>0</v>
      </c>
      <c r="X2835" s="45">
        <v>0</v>
      </c>
      <c r="Y2835" s="45">
        <v>0</v>
      </c>
      <c r="Z2835" s="45">
        <v>1</v>
      </c>
      <c r="AA2835" s="45">
        <v>0</v>
      </c>
      <c r="AB2835" s="45">
        <v>0</v>
      </c>
      <c r="AC2835" s="150">
        <v>0</v>
      </c>
      <c r="AD2835" s="150">
        <v>1</v>
      </c>
      <c r="AE2835" s="49">
        <f t="shared" si="139"/>
        <v>0.25</v>
      </c>
      <c r="AF2835" s="276"/>
      <c r="AG2835" s="17">
        <v>0</v>
      </c>
      <c r="AH2835" s="276">
        <v>0</v>
      </c>
      <c r="AI2835" s="276">
        <v>0</v>
      </c>
      <c r="AJ2835" s="44">
        <v>0</v>
      </c>
      <c r="AK2835" s="158">
        <v>0</v>
      </c>
      <c r="AL2835" s="151">
        <v>0</v>
      </c>
      <c r="AM2835" s="17">
        <f t="shared" si="140"/>
        <v>0</v>
      </c>
      <c r="AN2835" t="s">
        <v>239</v>
      </c>
      <c r="AO2835" s="148" t="s">
        <v>241</v>
      </c>
      <c r="AP2835" t="s">
        <v>119</v>
      </c>
      <c r="AQ2835" s="47"/>
    </row>
    <row r="2836" spans="1:44" s="45" customFormat="1" hidden="1" x14ac:dyDescent="0.3">
      <c r="A2836" s="371" t="s">
        <v>8323</v>
      </c>
      <c r="B2836" t="s">
        <v>8324</v>
      </c>
      <c r="C2836" s="148" t="s">
        <v>9037</v>
      </c>
      <c r="D2836" t="s">
        <v>9038</v>
      </c>
      <c r="E2836" s="148" t="s">
        <v>9039</v>
      </c>
      <c r="F2836" t="s">
        <v>9040</v>
      </c>
      <c r="G2836" s="376" t="s">
        <v>9074</v>
      </c>
      <c r="H2836" t="s">
        <v>9075</v>
      </c>
      <c r="I2836"/>
      <c r="J2836"/>
      <c r="K2836" s="155" t="s">
        <v>9076</v>
      </c>
      <c r="L2836" s="148" t="s">
        <v>9077</v>
      </c>
      <c r="M2836" t="s">
        <v>9079</v>
      </c>
      <c r="N2836" s="373"/>
      <c r="O2836" s="374"/>
      <c r="P2836" s="373"/>
      <c r="Q2836" s="374"/>
      <c r="R2836" s="373"/>
      <c r="S2836" s="374"/>
      <c r="T2836" t="s">
        <v>239</v>
      </c>
      <c r="U2836" t="str">
        <f>VLOOKUP(T2836,[8]Votes!$A$1:$E$234,3,FALSE)</f>
        <v>020 Ministry of ICT and National Guidance</v>
      </c>
      <c r="V2836" t="s">
        <v>9080</v>
      </c>
      <c r="W2836" s="45">
        <v>1</v>
      </c>
      <c r="X2836" s="45">
        <v>1</v>
      </c>
      <c r="Y2836" s="45">
        <v>0</v>
      </c>
      <c r="Z2836" s="45">
        <v>0</v>
      </c>
      <c r="AA2836" s="45">
        <v>0</v>
      </c>
      <c r="AB2836" s="45">
        <v>1</v>
      </c>
      <c r="AC2836" s="150">
        <v>1</v>
      </c>
      <c r="AD2836" s="150">
        <v>1</v>
      </c>
      <c r="AE2836" s="49">
        <f t="shared" si="139"/>
        <v>0.625</v>
      </c>
      <c r="AF2836" s="276"/>
      <c r="AG2836" s="17">
        <v>0</v>
      </c>
      <c r="AH2836" s="276">
        <v>0</v>
      </c>
      <c r="AI2836" s="276">
        <v>0</v>
      </c>
      <c r="AJ2836" s="44">
        <v>0</v>
      </c>
      <c r="AK2836" s="158">
        <v>0</v>
      </c>
      <c r="AL2836" s="151">
        <v>0</v>
      </c>
      <c r="AM2836" s="17">
        <f t="shared" si="140"/>
        <v>0</v>
      </c>
      <c r="AN2836" t="s">
        <v>239</v>
      </c>
      <c r="AO2836" s="148" t="s">
        <v>241</v>
      </c>
      <c r="AP2836" t="s">
        <v>255</v>
      </c>
      <c r="AQ2836" s="47"/>
    </row>
    <row r="2837" spans="1:44" s="45" customFormat="1" hidden="1" x14ac:dyDescent="0.3">
      <c r="A2837" s="371" t="s">
        <v>8323</v>
      </c>
      <c r="B2837" t="s">
        <v>8324</v>
      </c>
      <c r="C2837" s="148" t="s">
        <v>9037</v>
      </c>
      <c r="D2837" t="s">
        <v>9038</v>
      </c>
      <c r="E2837" s="148" t="s">
        <v>9039</v>
      </c>
      <c r="F2837" t="s">
        <v>9040</v>
      </c>
      <c r="G2837" s="376" t="s">
        <v>9074</v>
      </c>
      <c r="H2837" t="s">
        <v>9075</v>
      </c>
      <c r="I2837"/>
      <c r="J2837"/>
      <c r="K2837" s="155" t="s">
        <v>9076</v>
      </c>
      <c r="L2837" s="148" t="s">
        <v>9077</v>
      </c>
      <c r="M2837" t="s">
        <v>9081</v>
      </c>
      <c r="N2837" s="373">
        <v>0</v>
      </c>
      <c r="O2837" s="374"/>
      <c r="P2837" s="373"/>
      <c r="Q2837" s="374"/>
      <c r="R2837" s="373"/>
      <c r="S2837" s="374"/>
      <c r="T2837" t="s">
        <v>239</v>
      </c>
      <c r="U2837" t="str">
        <f>VLOOKUP(T2837,[8]Votes!$A$1:$E$234,3,FALSE)</f>
        <v>020 Ministry of ICT and National Guidance</v>
      </c>
      <c r="V2837" t="s">
        <v>9082</v>
      </c>
      <c r="W2837" s="45">
        <v>1</v>
      </c>
      <c r="X2837" s="45">
        <v>0</v>
      </c>
      <c r="Y2837" s="45">
        <v>0</v>
      </c>
      <c r="Z2837" s="45">
        <v>1</v>
      </c>
      <c r="AA2837" s="45">
        <v>0</v>
      </c>
      <c r="AB2837" s="45">
        <v>0</v>
      </c>
      <c r="AC2837" s="150">
        <v>0</v>
      </c>
      <c r="AD2837" s="150">
        <v>0</v>
      </c>
      <c r="AE2837" s="49">
        <f t="shared" si="139"/>
        <v>0.25</v>
      </c>
      <c r="AF2837" s="276"/>
      <c r="AG2837" s="17">
        <v>0</v>
      </c>
      <c r="AH2837" s="276">
        <v>0</v>
      </c>
      <c r="AI2837" s="276">
        <v>0</v>
      </c>
      <c r="AJ2837" s="44">
        <v>0</v>
      </c>
      <c r="AK2837" s="158">
        <v>0</v>
      </c>
      <c r="AL2837" s="151">
        <v>0</v>
      </c>
      <c r="AM2837" s="17">
        <f t="shared" si="140"/>
        <v>0</v>
      </c>
      <c r="AN2837" t="s">
        <v>239</v>
      </c>
      <c r="AO2837" s="148" t="s">
        <v>241</v>
      </c>
      <c r="AP2837" t="s">
        <v>119</v>
      </c>
      <c r="AQ2837" s="47"/>
    </row>
    <row r="2838" spans="1:44" s="45" customFormat="1" hidden="1" x14ac:dyDescent="0.3">
      <c r="A2838" s="371" t="s">
        <v>8323</v>
      </c>
      <c r="B2838" t="s">
        <v>8324</v>
      </c>
      <c r="C2838" s="148" t="s">
        <v>9037</v>
      </c>
      <c r="D2838" t="s">
        <v>9038</v>
      </c>
      <c r="E2838" s="148" t="s">
        <v>9039</v>
      </c>
      <c r="F2838" t="s">
        <v>9040</v>
      </c>
      <c r="G2838" s="376" t="s">
        <v>9074</v>
      </c>
      <c r="H2838" t="s">
        <v>9075</v>
      </c>
      <c r="I2838"/>
      <c r="J2838"/>
      <c r="K2838" s="155" t="s">
        <v>9076</v>
      </c>
      <c r="L2838" s="148" t="s">
        <v>9077</v>
      </c>
      <c r="M2838" t="s">
        <v>9083</v>
      </c>
      <c r="N2838" s="373">
        <v>0</v>
      </c>
      <c r="O2838" s="374"/>
      <c r="P2838" s="373"/>
      <c r="Q2838" s="374"/>
      <c r="R2838" s="373"/>
      <c r="S2838" s="374"/>
      <c r="T2838">
        <v>140</v>
      </c>
      <c r="U2838" t="e">
        <f>VLOOKUP(T2838,[8]Votes!$A$1:$E$234,3,FALSE)</f>
        <v>#N/A</v>
      </c>
      <c r="V2838" t="s">
        <v>9084</v>
      </c>
      <c r="W2838" s="45">
        <v>1</v>
      </c>
      <c r="X2838" s="45">
        <v>1</v>
      </c>
      <c r="Y2838" s="45">
        <v>0</v>
      </c>
      <c r="Z2838" s="45">
        <v>1</v>
      </c>
      <c r="AA2838" s="45">
        <v>0</v>
      </c>
      <c r="AB2838" s="45">
        <v>0</v>
      </c>
      <c r="AC2838" s="150">
        <v>1</v>
      </c>
      <c r="AD2838" s="150">
        <v>0</v>
      </c>
      <c r="AE2838" s="49">
        <f t="shared" si="139"/>
        <v>0.5</v>
      </c>
      <c r="AF2838" s="276"/>
      <c r="AG2838" s="17">
        <v>0</v>
      </c>
      <c r="AH2838" s="276">
        <v>0</v>
      </c>
      <c r="AI2838" s="276">
        <v>0</v>
      </c>
      <c r="AJ2838" s="44">
        <v>0</v>
      </c>
      <c r="AK2838" s="158">
        <v>0</v>
      </c>
      <c r="AL2838" s="151">
        <v>0</v>
      </c>
      <c r="AM2838" s="17">
        <f t="shared" si="140"/>
        <v>0</v>
      </c>
      <c r="AN2838" t="s">
        <v>255</v>
      </c>
      <c r="AO2838" s="148" t="s">
        <v>1045</v>
      </c>
      <c r="AP2838" t="s">
        <v>119</v>
      </c>
      <c r="AQ2838" s="47"/>
    </row>
    <row r="2839" spans="1:44" s="45" customFormat="1" hidden="1" x14ac:dyDescent="0.3">
      <c r="A2839" s="371" t="s">
        <v>8323</v>
      </c>
      <c r="B2839" t="s">
        <v>8324</v>
      </c>
      <c r="C2839" s="148" t="s">
        <v>9037</v>
      </c>
      <c r="D2839" t="s">
        <v>9038</v>
      </c>
      <c r="E2839" s="148" t="s">
        <v>9039</v>
      </c>
      <c r="F2839" t="s">
        <v>9040</v>
      </c>
      <c r="G2839" s="376" t="s">
        <v>9074</v>
      </c>
      <c r="H2839" t="s">
        <v>9075</v>
      </c>
      <c r="I2839"/>
      <c r="J2839"/>
      <c r="K2839" s="155" t="s">
        <v>9076</v>
      </c>
      <c r="L2839" s="148" t="s">
        <v>9077</v>
      </c>
      <c r="M2839" t="s">
        <v>9085</v>
      </c>
      <c r="N2839" s="373">
        <v>0</v>
      </c>
      <c r="O2839" s="374"/>
      <c r="P2839" s="373"/>
      <c r="Q2839" s="374"/>
      <c r="R2839" s="373"/>
      <c r="S2839" s="374"/>
      <c r="T2839"/>
      <c r="U2839" t="e">
        <f>VLOOKUP(T2839,[8]Votes!$A$1:$E$234,3,FALSE)</f>
        <v>#N/A</v>
      </c>
      <c r="V2839" t="s">
        <v>9086</v>
      </c>
      <c r="W2839" s="45">
        <v>0</v>
      </c>
      <c r="X2839" s="45">
        <v>0</v>
      </c>
      <c r="Y2839" s="45">
        <v>0</v>
      </c>
      <c r="Z2839" s="45">
        <v>1</v>
      </c>
      <c r="AA2839" s="45">
        <v>0</v>
      </c>
      <c r="AB2839" s="45">
        <v>0</v>
      </c>
      <c r="AC2839" s="150">
        <v>0</v>
      </c>
      <c r="AD2839" s="150">
        <v>0</v>
      </c>
      <c r="AE2839" s="49">
        <f t="shared" si="139"/>
        <v>0.125</v>
      </c>
      <c r="AF2839" s="276"/>
      <c r="AG2839" s="17">
        <v>0</v>
      </c>
      <c r="AH2839" s="276">
        <v>0</v>
      </c>
      <c r="AI2839" s="276">
        <v>0</v>
      </c>
      <c r="AJ2839" s="44">
        <v>0</v>
      </c>
      <c r="AK2839" s="158">
        <v>0</v>
      </c>
      <c r="AL2839" s="151">
        <v>0</v>
      </c>
      <c r="AM2839" s="17">
        <f t="shared" si="140"/>
        <v>0</v>
      </c>
      <c r="AN2839" t="s">
        <v>255</v>
      </c>
      <c r="AO2839" s="148" t="s">
        <v>1045</v>
      </c>
      <c r="AP2839" t="s">
        <v>119</v>
      </c>
      <c r="AQ2839" s="47"/>
    </row>
    <row r="2840" spans="1:44" s="45" customFormat="1" x14ac:dyDescent="0.3">
      <c r="A2840" s="371" t="s">
        <v>8323</v>
      </c>
      <c r="B2840" t="s">
        <v>8324</v>
      </c>
      <c r="C2840" s="148" t="s">
        <v>8841</v>
      </c>
      <c r="D2840" t="s">
        <v>8842</v>
      </c>
      <c r="E2840" s="148" t="s">
        <v>9087</v>
      </c>
      <c r="F2840" t="s">
        <v>9088</v>
      </c>
      <c r="G2840" s="376" t="s">
        <v>9089</v>
      </c>
      <c r="H2840" t="s">
        <v>9090</v>
      </c>
      <c r="I2840"/>
      <c r="J2840"/>
      <c r="K2840" s="155" t="s">
        <v>9091</v>
      </c>
      <c r="L2840" s="148" t="s">
        <v>9092</v>
      </c>
      <c r="M2840" t="s">
        <v>9093</v>
      </c>
      <c r="N2840" s="373">
        <v>2</v>
      </c>
      <c r="O2840" s="374">
        <v>1</v>
      </c>
      <c r="P2840" s="373">
        <v>1</v>
      </c>
      <c r="Q2840" s="374">
        <v>3</v>
      </c>
      <c r="R2840" s="373"/>
      <c r="S2840" s="374"/>
      <c r="T2840" t="s">
        <v>831</v>
      </c>
      <c r="U2840" t="str">
        <f>VLOOKUP(T2840,[8]Votes!$A$1:$E$234,3,FALSE)</f>
        <v>108 National Planning Authority</v>
      </c>
      <c r="V2840" t="s">
        <v>9094</v>
      </c>
      <c r="W2840" s="45">
        <v>1</v>
      </c>
      <c r="X2840" s="45">
        <v>1</v>
      </c>
      <c r="Y2840" s="45">
        <v>1</v>
      </c>
      <c r="Z2840" s="45">
        <v>1</v>
      </c>
      <c r="AA2840" s="45">
        <v>0</v>
      </c>
      <c r="AB2840" s="45">
        <v>1</v>
      </c>
      <c r="AC2840" s="150">
        <v>1</v>
      </c>
      <c r="AD2840" s="150">
        <v>1</v>
      </c>
      <c r="AE2840" s="49">
        <f t="shared" si="139"/>
        <v>0.875</v>
      </c>
      <c r="AF2840" s="276">
        <v>1</v>
      </c>
      <c r="AG2840" s="17">
        <v>0</v>
      </c>
      <c r="AH2840" s="276">
        <v>0</v>
      </c>
      <c r="AI2840" s="276">
        <v>3</v>
      </c>
      <c r="AJ2840" s="44">
        <v>3</v>
      </c>
      <c r="AK2840" s="158">
        <v>3.02</v>
      </c>
      <c r="AL2840" s="151">
        <v>3</v>
      </c>
      <c r="AM2840" s="17">
        <f t="shared" si="140"/>
        <v>6.02</v>
      </c>
      <c r="AN2840" t="s">
        <v>831</v>
      </c>
      <c r="AO2840" s="18" t="s">
        <v>834</v>
      </c>
      <c r="AP2840" t="s">
        <v>9095</v>
      </c>
      <c r="AQ2840" s="47"/>
      <c r="AR2840" s="47"/>
    </row>
    <row r="2841" spans="1:44" s="45" customFormat="1" x14ac:dyDescent="0.3">
      <c r="A2841" s="371" t="s">
        <v>8323</v>
      </c>
      <c r="B2841" t="s">
        <v>8324</v>
      </c>
      <c r="C2841" s="148" t="s">
        <v>8841</v>
      </c>
      <c r="D2841" t="s">
        <v>8842</v>
      </c>
      <c r="E2841" s="148" t="s">
        <v>9087</v>
      </c>
      <c r="F2841" t="s">
        <v>9088</v>
      </c>
      <c r="G2841" s="376" t="s">
        <v>9089</v>
      </c>
      <c r="H2841" t="s">
        <v>9090</v>
      </c>
      <c r="I2841"/>
      <c r="J2841"/>
      <c r="K2841" s="148" t="s">
        <v>9096</v>
      </c>
      <c r="L2841" s="148" t="s">
        <v>9097</v>
      </c>
      <c r="M2841" t="s">
        <v>9098</v>
      </c>
      <c r="N2841" s="373"/>
      <c r="O2841" s="374"/>
      <c r="P2841" s="373"/>
      <c r="Q2841" s="374"/>
      <c r="R2841" s="373"/>
      <c r="S2841" s="374"/>
      <c r="T2841" t="s">
        <v>831</v>
      </c>
      <c r="U2841" t="str">
        <f>VLOOKUP(T2841,[8]Votes!$A$1:$E$234,3,FALSE)</f>
        <v>108 National Planning Authority</v>
      </c>
      <c r="V2841" t="s">
        <v>9099</v>
      </c>
      <c r="W2841" s="45">
        <v>1</v>
      </c>
      <c r="X2841" s="45">
        <v>1</v>
      </c>
      <c r="Y2841" s="45">
        <v>1</v>
      </c>
      <c r="Z2841" s="45">
        <v>1</v>
      </c>
      <c r="AA2841" s="45">
        <v>1</v>
      </c>
      <c r="AB2841" s="45">
        <v>1</v>
      </c>
      <c r="AC2841" s="150">
        <v>1</v>
      </c>
      <c r="AD2841" s="150">
        <v>1</v>
      </c>
      <c r="AE2841" s="49">
        <f t="shared" si="139"/>
        <v>1</v>
      </c>
      <c r="AF2841" s="276"/>
      <c r="AG2841" s="17">
        <v>0</v>
      </c>
      <c r="AH2841" s="276">
        <v>0</v>
      </c>
      <c r="AI2841" s="276">
        <v>2</v>
      </c>
      <c r="AJ2841" s="44">
        <v>2</v>
      </c>
      <c r="AK2841" s="158">
        <v>2</v>
      </c>
      <c r="AL2841" s="151">
        <v>2</v>
      </c>
      <c r="AM2841" s="17">
        <f t="shared" si="140"/>
        <v>4</v>
      </c>
      <c r="AN2841" t="s">
        <v>1332</v>
      </c>
      <c r="AO2841" s="148" t="s">
        <v>1334</v>
      </c>
      <c r="AP2841" t="s">
        <v>9100</v>
      </c>
      <c r="AQ2841" s="47"/>
      <c r="AR2841" s="47"/>
    </row>
    <row r="2842" spans="1:44" s="45" customFormat="1" x14ac:dyDescent="0.3">
      <c r="A2842" s="371" t="s">
        <v>8323</v>
      </c>
      <c r="B2842" t="s">
        <v>8324</v>
      </c>
      <c r="C2842" s="148" t="s">
        <v>8841</v>
      </c>
      <c r="D2842" t="s">
        <v>8842</v>
      </c>
      <c r="E2842" s="148" t="s">
        <v>9087</v>
      </c>
      <c r="F2842" t="s">
        <v>9088</v>
      </c>
      <c r="G2842" s="376" t="s">
        <v>9089</v>
      </c>
      <c r="H2842" t="s">
        <v>9090</v>
      </c>
      <c r="I2842"/>
      <c r="J2842"/>
      <c r="K2842" s="148" t="s">
        <v>9101</v>
      </c>
      <c r="L2842" s="148" t="s">
        <v>9102</v>
      </c>
      <c r="M2842" t="s">
        <v>9103</v>
      </c>
      <c r="N2842" s="373"/>
      <c r="O2842" s="374"/>
      <c r="P2842" s="373"/>
      <c r="Q2842" s="374"/>
      <c r="R2842" s="373"/>
      <c r="S2842" s="374"/>
      <c r="T2842" t="s">
        <v>869</v>
      </c>
      <c r="U2842" t="str">
        <f>VLOOKUP(T2842,[8]Votes!$A$1:$E$234,3,FALSE)</f>
        <v>310 Uganda Investment Authority (UIA)</v>
      </c>
      <c r="V2842" t="s">
        <v>9104</v>
      </c>
      <c r="W2842" s="45">
        <v>1</v>
      </c>
      <c r="X2842" s="45">
        <v>1</v>
      </c>
      <c r="Y2842" s="45">
        <v>1</v>
      </c>
      <c r="Z2842" s="45">
        <v>1</v>
      </c>
      <c r="AA2842" s="45">
        <v>1</v>
      </c>
      <c r="AB2842" s="45">
        <v>1</v>
      </c>
      <c r="AC2842" s="150">
        <v>1</v>
      </c>
      <c r="AD2842" s="150">
        <v>1</v>
      </c>
      <c r="AE2842" s="49">
        <f t="shared" si="139"/>
        <v>1</v>
      </c>
      <c r="AF2842" s="276"/>
      <c r="AG2842" s="17">
        <v>0</v>
      </c>
      <c r="AH2842" s="276">
        <v>0</v>
      </c>
      <c r="AI2842" s="276">
        <v>3</v>
      </c>
      <c r="AJ2842" s="44">
        <v>3</v>
      </c>
      <c r="AK2842" s="158">
        <v>3</v>
      </c>
      <c r="AL2842" s="151">
        <v>3</v>
      </c>
      <c r="AM2842" s="17">
        <f t="shared" si="140"/>
        <v>6</v>
      </c>
      <c r="AN2842" t="s">
        <v>1332</v>
      </c>
      <c r="AO2842" s="148" t="s">
        <v>1334</v>
      </c>
      <c r="AP2842" t="s">
        <v>255</v>
      </c>
      <c r="AQ2842" s="47"/>
      <c r="AR2842" s="47"/>
    </row>
    <row r="2843" spans="1:44" s="45" customFormat="1" x14ac:dyDescent="0.3">
      <c r="A2843" s="371" t="s">
        <v>8323</v>
      </c>
      <c r="B2843" t="s">
        <v>8324</v>
      </c>
      <c r="C2843" s="148" t="s">
        <v>8841</v>
      </c>
      <c r="D2843" t="s">
        <v>8842</v>
      </c>
      <c r="E2843" s="148" t="s">
        <v>9087</v>
      </c>
      <c r="F2843" t="s">
        <v>9088</v>
      </c>
      <c r="G2843" s="376" t="s">
        <v>9089</v>
      </c>
      <c r="H2843" t="s">
        <v>9090</v>
      </c>
      <c r="I2843"/>
      <c r="J2843"/>
      <c r="K2843" s="148" t="s">
        <v>9105</v>
      </c>
      <c r="L2843" s="148" t="s">
        <v>9106</v>
      </c>
      <c r="M2843" t="s">
        <v>9107</v>
      </c>
      <c r="N2843" s="373">
        <v>0</v>
      </c>
      <c r="O2843" s="374">
        <v>56</v>
      </c>
      <c r="P2843" s="374">
        <v>56</v>
      </c>
      <c r="Q2843" s="374">
        <v>56</v>
      </c>
      <c r="R2843" s="374">
        <v>28</v>
      </c>
      <c r="S2843" s="374">
        <v>31</v>
      </c>
      <c r="T2843" t="s">
        <v>280</v>
      </c>
      <c r="U2843" t="str">
        <f>VLOOKUP(T2843,[8]Votes!$A$1:$E$234,3,FALSE)</f>
        <v>011 Ministry of Local Government</v>
      </c>
      <c r="V2843" t="s">
        <v>9108</v>
      </c>
      <c r="W2843" s="45">
        <v>1</v>
      </c>
      <c r="X2843" s="45">
        <v>1</v>
      </c>
      <c r="Y2843" s="45">
        <v>1</v>
      </c>
      <c r="Z2843" s="45">
        <v>1</v>
      </c>
      <c r="AA2843" s="45">
        <v>1</v>
      </c>
      <c r="AB2843" s="45">
        <v>1</v>
      </c>
      <c r="AC2843" s="150">
        <v>1</v>
      </c>
      <c r="AD2843" s="150">
        <v>1</v>
      </c>
      <c r="AE2843" s="49">
        <f t="shared" si="139"/>
        <v>1</v>
      </c>
      <c r="AF2843" s="276"/>
      <c r="AG2843" s="17">
        <v>0</v>
      </c>
      <c r="AH2843" s="276">
        <v>293.27066879999995</v>
      </c>
      <c r="AI2843" s="276">
        <v>82</v>
      </c>
      <c r="AJ2843" s="44">
        <v>105</v>
      </c>
      <c r="AK2843" s="158">
        <v>57.499999999999993</v>
      </c>
      <c r="AL2843" s="151">
        <f>63.25+5.86</f>
        <v>69.11</v>
      </c>
      <c r="AM2843" s="17">
        <f t="shared" si="140"/>
        <v>126.60999999999999</v>
      </c>
      <c r="AN2843" t="s">
        <v>255</v>
      </c>
      <c r="AO2843" s="148" t="s">
        <v>1045</v>
      </c>
      <c r="AP2843" t="s">
        <v>9109</v>
      </c>
      <c r="AQ2843" s="47"/>
      <c r="AR2843" s="47"/>
    </row>
    <row r="2844" spans="1:44" s="45" customFormat="1" x14ac:dyDescent="0.3">
      <c r="A2844" s="371" t="s">
        <v>8323</v>
      </c>
      <c r="B2844" t="s">
        <v>8324</v>
      </c>
      <c r="C2844" s="148" t="s">
        <v>8841</v>
      </c>
      <c r="D2844" t="s">
        <v>8842</v>
      </c>
      <c r="E2844" s="148" t="s">
        <v>9087</v>
      </c>
      <c r="F2844" t="s">
        <v>9088</v>
      </c>
      <c r="G2844" s="376" t="s">
        <v>9089</v>
      </c>
      <c r="H2844" t="s">
        <v>9090</v>
      </c>
      <c r="I2844"/>
      <c r="J2844"/>
      <c r="K2844" s="148" t="s">
        <v>9105</v>
      </c>
      <c r="L2844" s="148" t="s">
        <v>9106</v>
      </c>
      <c r="M2844" t="s">
        <v>9110</v>
      </c>
      <c r="N2844" s="373">
        <v>0</v>
      </c>
      <c r="O2844" s="374">
        <v>56</v>
      </c>
      <c r="P2844" s="374">
        <v>56</v>
      </c>
      <c r="Q2844" s="374">
        <v>56</v>
      </c>
      <c r="R2844" s="374">
        <v>28</v>
      </c>
      <c r="S2844" s="374">
        <v>28</v>
      </c>
      <c r="T2844" t="s">
        <v>280</v>
      </c>
      <c r="U2844" t="str">
        <f>VLOOKUP(T2844,[8]Votes!$A$1:$E$234,3,FALSE)</f>
        <v>011 Ministry of Local Government</v>
      </c>
      <c r="V2844" t="s">
        <v>9111</v>
      </c>
      <c r="W2844" s="45">
        <v>1</v>
      </c>
      <c r="X2844" s="45">
        <v>1</v>
      </c>
      <c r="Y2844" s="45">
        <v>1</v>
      </c>
      <c r="Z2844" s="45">
        <v>1</v>
      </c>
      <c r="AA2844" s="45">
        <v>1</v>
      </c>
      <c r="AB2844" s="45">
        <v>1</v>
      </c>
      <c r="AC2844" s="150">
        <v>1</v>
      </c>
      <c r="AD2844" s="150">
        <v>1</v>
      </c>
      <c r="AE2844" s="49">
        <f t="shared" si="139"/>
        <v>1</v>
      </c>
      <c r="AF2844" s="276"/>
      <c r="AG2844" s="17">
        <v>0</v>
      </c>
      <c r="AH2844" s="276">
        <v>292.52066854999998</v>
      </c>
      <c r="AI2844" s="276">
        <v>85</v>
      </c>
      <c r="AJ2844" s="44">
        <v>104.24999975</v>
      </c>
      <c r="AK2844" s="158">
        <v>57.124999875</v>
      </c>
      <c r="AL2844" s="151">
        <v>62.837499862500003</v>
      </c>
      <c r="AM2844" s="17">
        <f t="shared" si="140"/>
        <v>119.9624997375</v>
      </c>
      <c r="AN2844" t="s">
        <v>255</v>
      </c>
      <c r="AO2844" s="148" t="s">
        <v>1045</v>
      </c>
      <c r="AP2844" t="s">
        <v>9109</v>
      </c>
      <c r="AQ2844" s="47"/>
      <c r="AR2844" s="47"/>
    </row>
    <row r="2845" spans="1:44" s="45" customFormat="1" x14ac:dyDescent="0.3">
      <c r="A2845" s="371" t="s">
        <v>8323</v>
      </c>
      <c r="B2845" t="s">
        <v>8324</v>
      </c>
      <c r="C2845" s="148" t="s">
        <v>8841</v>
      </c>
      <c r="D2845" t="s">
        <v>8842</v>
      </c>
      <c r="E2845" s="148" t="s">
        <v>9087</v>
      </c>
      <c r="F2845" t="s">
        <v>9088</v>
      </c>
      <c r="G2845" s="376" t="s">
        <v>9089</v>
      </c>
      <c r="H2845" t="s">
        <v>9090</v>
      </c>
      <c r="I2845"/>
      <c r="J2845"/>
      <c r="K2845" s="148" t="s">
        <v>9105</v>
      </c>
      <c r="L2845" s="148" t="s">
        <v>9106</v>
      </c>
      <c r="M2845" t="s">
        <v>9112</v>
      </c>
      <c r="N2845" s="373">
        <v>0</v>
      </c>
      <c r="O2845" s="374">
        <v>56</v>
      </c>
      <c r="P2845" s="374">
        <v>56</v>
      </c>
      <c r="Q2845" s="374">
        <v>56</v>
      </c>
      <c r="R2845" s="374">
        <v>28</v>
      </c>
      <c r="S2845" s="374">
        <v>28</v>
      </c>
      <c r="T2845" t="s">
        <v>280</v>
      </c>
      <c r="U2845" t="str">
        <f>VLOOKUP(T2845,[8]Votes!$A$1:$E$234,3,FALSE)</f>
        <v>011 Ministry of Local Government</v>
      </c>
      <c r="V2845" t="s">
        <v>9113</v>
      </c>
      <c r="W2845" s="45">
        <v>1</v>
      </c>
      <c r="X2845" s="45">
        <v>1</v>
      </c>
      <c r="Y2845" s="45">
        <v>1</v>
      </c>
      <c r="Z2845" s="45">
        <v>1</v>
      </c>
      <c r="AA2845" s="45">
        <v>1</v>
      </c>
      <c r="AB2845" s="45">
        <v>1</v>
      </c>
      <c r="AC2845" s="150">
        <v>1</v>
      </c>
      <c r="AD2845" s="150">
        <v>1</v>
      </c>
      <c r="AE2845" s="49">
        <f t="shared" si="139"/>
        <v>1</v>
      </c>
      <c r="AF2845" s="276"/>
      <c r="AG2845" s="17">
        <v>0</v>
      </c>
      <c r="AH2845" s="276">
        <v>288.77066854999998</v>
      </c>
      <c r="AI2845" s="276">
        <v>100</v>
      </c>
      <c r="AJ2845" s="44">
        <v>100.49999975</v>
      </c>
      <c r="AK2845" s="158">
        <v>55.249999875</v>
      </c>
      <c r="AL2845" s="151">
        <v>60.774999862500003</v>
      </c>
      <c r="AM2845" s="17">
        <f t="shared" si="140"/>
        <v>116.0249997375</v>
      </c>
      <c r="AN2845" t="s">
        <v>255</v>
      </c>
      <c r="AO2845" s="148" t="s">
        <v>1045</v>
      </c>
      <c r="AP2845" t="s">
        <v>9109</v>
      </c>
      <c r="AQ2845" s="47"/>
      <c r="AR2845" s="47"/>
    </row>
    <row r="2846" spans="1:44" s="45" customFormat="1" x14ac:dyDescent="0.3">
      <c r="A2846" s="371" t="s">
        <v>8323</v>
      </c>
      <c r="B2846" t="s">
        <v>8324</v>
      </c>
      <c r="C2846" s="148" t="s">
        <v>8841</v>
      </c>
      <c r="D2846" t="s">
        <v>8842</v>
      </c>
      <c r="E2846" s="148" t="s">
        <v>9087</v>
      </c>
      <c r="F2846" t="s">
        <v>9088</v>
      </c>
      <c r="G2846" s="376" t="s">
        <v>9089</v>
      </c>
      <c r="H2846" t="s">
        <v>9090</v>
      </c>
      <c r="I2846"/>
      <c r="J2846"/>
      <c r="K2846" s="148" t="s">
        <v>9105</v>
      </c>
      <c r="L2846" s="148" t="s">
        <v>9106</v>
      </c>
      <c r="M2846" t="s">
        <v>9114</v>
      </c>
      <c r="N2846" s="373">
        <v>0</v>
      </c>
      <c r="O2846" s="374">
        <v>56</v>
      </c>
      <c r="P2846" s="374">
        <v>56</v>
      </c>
      <c r="Q2846" s="374">
        <v>56</v>
      </c>
      <c r="R2846" s="374">
        <v>28</v>
      </c>
      <c r="S2846" s="374">
        <v>30</v>
      </c>
      <c r="T2846" t="s">
        <v>280</v>
      </c>
      <c r="U2846" t="str">
        <f>VLOOKUP(T2846,[8]Votes!$A$1:$E$234,3,FALSE)</f>
        <v>011 Ministry of Local Government</v>
      </c>
      <c r="V2846" t="s">
        <v>9115</v>
      </c>
      <c r="W2846" s="45">
        <v>1</v>
      </c>
      <c r="X2846" s="45">
        <v>1</v>
      </c>
      <c r="Y2846" s="45">
        <v>1</v>
      </c>
      <c r="Z2846" s="45">
        <v>1</v>
      </c>
      <c r="AA2846" s="45">
        <v>1</v>
      </c>
      <c r="AB2846" s="45">
        <v>1</v>
      </c>
      <c r="AC2846" s="150">
        <v>1</v>
      </c>
      <c r="AD2846" s="150">
        <v>1</v>
      </c>
      <c r="AE2846" s="49">
        <f t="shared" si="139"/>
        <v>1</v>
      </c>
      <c r="AF2846" s="276"/>
      <c r="AG2846" s="17">
        <v>0</v>
      </c>
      <c r="AH2846" s="276">
        <v>230</v>
      </c>
      <c r="AI2846" s="276">
        <v>102.81766744999999</v>
      </c>
      <c r="AJ2846" s="44">
        <v>105.81766745</v>
      </c>
      <c r="AK2846" s="158">
        <v>67.908833724999994</v>
      </c>
      <c r="AL2846" s="151">
        <f>74.6997170975+5.86</f>
        <v>80.559717097499998</v>
      </c>
      <c r="AM2846" s="17">
        <f t="shared" si="140"/>
        <v>148.46855082249999</v>
      </c>
      <c r="AN2846" t="s">
        <v>255</v>
      </c>
      <c r="AO2846" s="148" t="s">
        <v>1045</v>
      </c>
      <c r="AP2846" t="s">
        <v>9109</v>
      </c>
      <c r="AQ2846" s="47"/>
      <c r="AR2846" s="47"/>
    </row>
    <row r="2847" spans="1:44" s="45" customFormat="1" x14ac:dyDescent="0.3">
      <c r="A2847" s="371" t="s">
        <v>8323</v>
      </c>
      <c r="B2847" t="s">
        <v>8324</v>
      </c>
      <c r="C2847" s="148" t="s">
        <v>8841</v>
      </c>
      <c r="D2847" t="s">
        <v>8842</v>
      </c>
      <c r="E2847" s="148" t="s">
        <v>9087</v>
      </c>
      <c r="F2847" t="s">
        <v>9088</v>
      </c>
      <c r="G2847" s="376" t="s">
        <v>9089</v>
      </c>
      <c r="H2847" t="s">
        <v>9090</v>
      </c>
      <c r="I2847"/>
      <c r="J2847"/>
      <c r="K2847" s="148" t="s">
        <v>9105</v>
      </c>
      <c r="L2847" s="148" t="s">
        <v>9106</v>
      </c>
      <c r="M2847" t="s">
        <v>9116</v>
      </c>
      <c r="N2847" s="373">
        <v>0</v>
      </c>
      <c r="O2847" s="374">
        <v>56</v>
      </c>
      <c r="P2847" s="374">
        <v>56</v>
      </c>
      <c r="Q2847" s="374">
        <v>56</v>
      </c>
      <c r="R2847" s="374">
        <v>28</v>
      </c>
      <c r="S2847" s="374">
        <v>28</v>
      </c>
      <c r="T2847" t="s">
        <v>280</v>
      </c>
      <c r="U2847" t="str">
        <f>VLOOKUP(T2847,[8]Votes!$A$1:$E$234,3,FALSE)</f>
        <v>011 Ministry of Local Government</v>
      </c>
      <c r="V2847" t="s">
        <v>9117</v>
      </c>
      <c r="W2847" s="45">
        <v>1</v>
      </c>
      <c r="X2847" s="45">
        <v>1</v>
      </c>
      <c r="Y2847" s="45">
        <v>1</v>
      </c>
      <c r="Z2847" s="45">
        <v>1</v>
      </c>
      <c r="AA2847" s="45">
        <v>1</v>
      </c>
      <c r="AB2847" s="45">
        <v>1</v>
      </c>
      <c r="AC2847" s="150">
        <v>1</v>
      </c>
      <c r="AD2847" s="150">
        <v>1</v>
      </c>
      <c r="AE2847" s="49">
        <f t="shared" si="139"/>
        <v>1</v>
      </c>
      <c r="AF2847" s="276"/>
      <c r="AG2847" s="17">
        <v>0</v>
      </c>
      <c r="AH2847" s="276">
        <v>245.5860278135101</v>
      </c>
      <c r="AI2847" s="276">
        <v>105.81766744999999</v>
      </c>
      <c r="AJ2847" s="44">
        <v>105.2316396364899</v>
      </c>
      <c r="AK2847" s="158">
        <v>63.408833724999994</v>
      </c>
      <c r="AL2847" s="151">
        <v>69.749717097499996</v>
      </c>
      <c r="AM2847" s="17">
        <f t="shared" si="140"/>
        <v>133.15855082249999</v>
      </c>
      <c r="AN2847" t="s">
        <v>255</v>
      </c>
      <c r="AO2847" s="148" t="s">
        <v>1045</v>
      </c>
      <c r="AP2847" t="s">
        <v>9109</v>
      </c>
      <c r="AQ2847" s="47"/>
      <c r="AR2847" s="47"/>
    </row>
    <row r="2848" spans="1:44" s="45" customFormat="1" x14ac:dyDescent="0.3">
      <c r="A2848" s="371" t="s">
        <v>8323</v>
      </c>
      <c r="B2848" t="s">
        <v>8324</v>
      </c>
      <c r="C2848" s="148" t="s">
        <v>8841</v>
      </c>
      <c r="D2848" t="s">
        <v>8842</v>
      </c>
      <c r="E2848" s="148" t="s">
        <v>9087</v>
      </c>
      <c r="F2848" t="s">
        <v>9088</v>
      </c>
      <c r="G2848" s="376" t="s">
        <v>9089</v>
      </c>
      <c r="H2848" t="s">
        <v>9090</v>
      </c>
      <c r="I2848"/>
      <c r="J2848"/>
      <c r="K2848" s="148" t="s">
        <v>9105</v>
      </c>
      <c r="L2848" s="148" t="s">
        <v>9106</v>
      </c>
      <c r="M2848" t="s">
        <v>9118</v>
      </c>
      <c r="N2848" s="373">
        <v>0</v>
      </c>
      <c r="O2848" s="374">
        <v>56</v>
      </c>
      <c r="P2848" s="374">
        <v>56</v>
      </c>
      <c r="Q2848" s="374">
        <v>56</v>
      </c>
      <c r="R2848" s="374">
        <v>28</v>
      </c>
      <c r="S2848" s="374">
        <v>28</v>
      </c>
      <c r="T2848" t="s">
        <v>280</v>
      </c>
      <c r="U2848" t="str">
        <f>VLOOKUP(T2848,[8]Votes!$A$1:$E$234,3,FALSE)</f>
        <v>011 Ministry of Local Government</v>
      </c>
      <c r="V2848" t="s">
        <v>9119</v>
      </c>
      <c r="W2848" s="45">
        <v>1</v>
      </c>
      <c r="X2848" s="45">
        <v>1</v>
      </c>
      <c r="Y2848" s="45">
        <v>1</v>
      </c>
      <c r="Z2848" s="45">
        <v>1</v>
      </c>
      <c r="AA2848" s="45">
        <v>1</v>
      </c>
      <c r="AB2848" s="45">
        <v>1</v>
      </c>
      <c r="AC2848" s="150">
        <v>1</v>
      </c>
      <c r="AD2848" s="150">
        <v>1</v>
      </c>
      <c r="AE2848" s="49">
        <f t="shared" si="139"/>
        <v>1</v>
      </c>
      <c r="AF2848" s="276"/>
      <c r="AG2848" s="17">
        <v>0</v>
      </c>
      <c r="AH2848" s="276">
        <v>293.27066879999995</v>
      </c>
      <c r="AI2848" s="276">
        <v>82</v>
      </c>
      <c r="AJ2848" s="44">
        <v>105</v>
      </c>
      <c r="AK2848" s="158">
        <v>57.499999999999993</v>
      </c>
      <c r="AL2848" s="151">
        <v>63.25</v>
      </c>
      <c r="AM2848" s="17">
        <f t="shared" si="140"/>
        <v>120.75</v>
      </c>
      <c r="AN2848" t="s">
        <v>255</v>
      </c>
      <c r="AO2848" s="148" t="s">
        <v>1045</v>
      </c>
      <c r="AP2848" t="s">
        <v>9109</v>
      </c>
      <c r="AQ2848" s="47"/>
      <c r="AR2848" s="47"/>
    </row>
    <row r="2849" spans="1:44" s="45" customFormat="1" x14ac:dyDescent="0.3">
      <c r="A2849" s="371" t="s">
        <v>8323</v>
      </c>
      <c r="B2849" t="s">
        <v>8324</v>
      </c>
      <c r="C2849" s="148" t="s">
        <v>8841</v>
      </c>
      <c r="D2849" t="s">
        <v>8842</v>
      </c>
      <c r="E2849" s="148" t="s">
        <v>9087</v>
      </c>
      <c r="F2849" t="s">
        <v>9088</v>
      </c>
      <c r="G2849" s="376" t="s">
        <v>9089</v>
      </c>
      <c r="H2849" t="s">
        <v>9090</v>
      </c>
      <c r="I2849"/>
      <c r="J2849"/>
      <c r="K2849" s="148" t="s">
        <v>9105</v>
      </c>
      <c r="L2849" s="148" t="s">
        <v>9106</v>
      </c>
      <c r="M2849" t="s">
        <v>9120</v>
      </c>
      <c r="N2849" s="373">
        <v>0</v>
      </c>
      <c r="O2849" s="374">
        <v>56</v>
      </c>
      <c r="P2849" s="374">
        <v>56</v>
      </c>
      <c r="Q2849" s="374">
        <v>56</v>
      </c>
      <c r="R2849" s="374">
        <v>28</v>
      </c>
      <c r="S2849" s="374">
        <v>28</v>
      </c>
      <c r="T2849" t="s">
        <v>280</v>
      </c>
      <c r="U2849" t="str">
        <f>VLOOKUP(T2849,[8]Votes!$A$1:$E$234,3,FALSE)</f>
        <v>011 Ministry of Local Government</v>
      </c>
      <c r="V2849" t="s">
        <v>9121</v>
      </c>
      <c r="W2849" s="45">
        <v>1</v>
      </c>
      <c r="X2849" s="45">
        <v>1</v>
      </c>
      <c r="Y2849" s="45">
        <v>1</v>
      </c>
      <c r="Z2849" s="45">
        <v>1</v>
      </c>
      <c r="AA2849" s="45">
        <v>1</v>
      </c>
      <c r="AB2849" s="45">
        <v>1</v>
      </c>
      <c r="AC2849" s="150">
        <v>1</v>
      </c>
      <c r="AD2849" s="150">
        <v>1</v>
      </c>
      <c r="AE2849" s="49">
        <f t="shared" si="139"/>
        <v>1</v>
      </c>
      <c r="AF2849" s="276"/>
      <c r="AG2849" s="17">
        <v>0</v>
      </c>
      <c r="AH2849" s="276">
        <v>288.77066854999998</v>
      </c>
      <c r="AI2849" s="276">
        <v>100</v>
      </c>
      <c r="AJ2849" s="44">
        <v>100.49999975</v>
      </c>
      <c r="AK2849" s="158">
        <v>55.249999875</v>
      </c>
      <c r="AL2849" s="151">
        <v>60.774999862500003</v>
      </c>
      <c r="AM2849" s="17">
        <f t="shared" si="140"/>
        <v>116.0249997375</v>
      </c>
      <c r="AN2849" t="s">
        <v>255</v>
      </c>
      <c r="AO2849" s="148" t="s">
        <v>1045</v>
      </c>
      <c r="AP2849" t="s">
        <v>9109</v>
      </c>
      <c r="AQ2849" s="47"/>
      <c r="AR2849" s="47"/>
    </row>
    <row r="2850" spans="1:44" s="45" customFormat="1" x14ac:dyDescent="0.3">
      <c r="A2850" s="371" t="s">
        <v>8323</v>
      </c>
      <c r="B2850" t="s">
        <v>8324</v>
      </c>
      <c r="C2850" s="148" t="s">
        <v>8841</v>
      </c>
      <c r="D2850" t="s">
        <v>8842</v>
      </c>
      <c r="E2850" s="148" t="s">
        <v>9087</v>
      </c>
      <c r="F2850" t="s">
        <v>9088</v>
      </c>
      <c r="G2850" s="376" t="s">
        <v>9089</v>
      </c>
      <c r="H2850" t="s">
        <v>9090</v>
      </c>
      <c r="I2850"/>
      <c r="J2850"/>
      <c r="K2850" s="148" t="s">
        <v>9105</v>
      </c>
      <c r="L2850" s="148" t="s">
        <v>9106</v>
      </c>
      <c r="M2850" t="s">
        <v>9122</v>
      </c>
      <c r="N2850" s="373">
        <v>0</v>
      </c>
      <c r="O2850" s="374">
        <v>56</v>
      </c>
      <c r="P2850" s="374">
        <v>56</v>
      </c>
      <c r="Q2850" s="374">
        <v>56</v>
      </c>
      <c r="R2850" s="374">
        <v>28</v>
      </c>
      <c r="S2850" s="374">
        <v>28</v>
      </c>
      <c r="T2850" t="s">
        <v>280</v>
      </c>
      <c r="U2850" t="str">
        <f>VLOOKUP(T2850,[8]Votes!$A$1:$E$234,3,FALSE)</f>
        <v>011 Ministry of Local Government</v>
      </c>
      <c r="V2850" t="s">
        <v>9123</v>
      </c>
      <c r="W2850" s="45">
        <v>1</v>
      </c>
      <c r="X2850" s="45">
        <v>1</v>
      </c>
      <c r="Y2850" s="45">
        <v>1</v>
      </c>
      <c r="Z2850" s="45">
        <v>1</v>
      </c>
      <c r="AA2850" s="45">
        <v>1</v>
      </c>
      <c r="AB2850" s="45">
        <v>1</v>
      </c>
      <c r="AC2850" s="150">
        <v>1</v>
      </c>
      <c r="AD2850" s="150">
        <v>1</v>
      </c>
      <c r="AE2850" s="49">
        <f t="shared" si="139"/>
        <v>1</v>
      </c>
      <c r="AF2850" s="276"/>
      <c r="AG2850" s="17">
        <v>0</v>
      </c>
      <c r="AH2850" s="276">
        <v>292.52066854999998</v>
      </c>
      <c r="AI2850" s="276">
        <v>85</v>
      </c>
      <c r="AJ2850" s="44">
        <v>104.24999975</v>
      </c>
      <c r="AK2850" s="158">
        <v>57.124999875</v>
      </c>
      <c r="AL2850" s="151">
        <v>62.837499862500003</v>
      </c>
      <c r="AM2850" s="17">
        <f t="shared" si="140"/>
        <v>119.9624997375</v>
      </c>
      <c r="AN2850" t="s">
        <v>255</v>
      </c>
      <c r="AO2850" s="148" t="s">
        <v>1045</v>
      </c>
      <c r="AP2850" t="s">
        <v>9109</v>
      </c>
      <c r="AQ2850" s="47"/>
      <c r="AR2850" s="47"/>
    </row>
    <row r="2851" spans="1:44" s="45" customFormat="1" x14ac:dyDescent="0.3">
      <c r="A2851" s="371" t="s">
        <v>8323</v>
      </c>
      <c r="B2851" t="s">
        <v>8324</v>
      </c>
      <c r="C2851" s="148" t="s">
        <v>8841</v>
      </c>
      <c r="D2851" t="s">
        <v>8842</v>
      </c>
      <c r="E2851" s="148" t="s">
        <v>9087</v>
      </c>
      <c r="F2851" t="s">
        <v>9088</v>
      </c>
      <c r="G2851" s="376" t="s">
        <v>9089</v>
      </c>
      <c r="H2851" t="s">
        <v>9090</v>
      </c>
      <c r="I2851"/>
      <c r="J2851"/>
      <c r="K2851" s="148" t="s">
        <v>9105</v>
      </c>
      <c r="L2851" s="148" t="s">
        <v>9106</v>
      </c>
      <c r="M2851" t="s">
        <v>9124</v>
      </c>
      <c r="N2851" s="373">
        <v>0</v>
      </c>
      <c r="O2851" s="374">
        <v>56</v>
      </c>
      <c r="P2851" s="374">
        <v>56</v>
      </c>
      <c r="Q2851" s="374">
        <v>56</v>
      </c>
      <c r="R2851" s="374">
        <v>28</v>
      </c>
      <c r="S2851" s="374">
        <v>28</v>
      </c>
      <c r="T2851" t="s">
        <v>280</v>
      </c>
      <c r="U2851" t="str">
        <f>VLOOKUP(T2851,[8]Votes!$A$1:$E$234,3,FALSE)</f>
        <v>011 Ministry of Local Government</v>
      </c>
      <c r="V2851" t="s">
        <v>9125</v>
      </c>
      <c r="W2851" s="45">
        <v>1</v>
      </c>
      <c r="X2851" s="45">
        <v>1</v>
      </c>
      <c r="Y2851" s="45">
        <v>1</v>
      </c>
      <c r="Z2851" s="45">
        <v>1</v>
      </c>
      <c r="AA2851" s="45">
        <v>1</v>
      </c>
      <c r="AB2851" s="45">
        <v>1</v>
      </c>
      <c r="AC2851" s="150">
        <v>1</v>
      </c>
      <c r="AD2851" s="150">
        <v>1</v>
      </c>
      <c r="AE2851" s="49">
        <f t="shared" si="139"/>
        <v>1</v>
      </c>
      <c r="AF2851" s="276"/>
      <c r="AG2851" s="17">
        <v>0</v>
      </c>
      <c r="AH2851" s="276">
        <v>293.27066879999995</v>
      </c>
      <c r="AI2851" s="276">
        <v>82</v>
      </c>
      <c r="AJ2851" s="44">
        <v>105</v>
      </c>
      <c r="AK2851" s="158">
        <v>57.499999999999993</v>
      </c>
      <c r="AL2851" s="151">
        <v>63.25</v>
      </c>
      <c r="AM2851" s="17">
        <f t="shared" si="140"/>
        <v>120.75</v>
      </c>
      <c r="AN2851" t="s">
        <v>255</v>
      </c>
      <c r="AO2851" s="148" t="s">
        <v>1045</v>
      </c>
      <c r="AP2851" t="s">
        <v>9109</v>
      </c>
      <c r="AQ2851" s="47"/>
      <c r="AR2851" s="47"/>
    </row>
    <row r="2852" spans="1:44" s="45" customFormat="1" x14ac:dyDescent="0.3">
      <c r="A2852" s="371" t="s">
        <v>8323</v>
      </c>
      <c r="B2852" t="s">
        <v>8324</v>
      </c>
      <c r="C2852" s="148" t="s">
        <v>8841</v>
      </c>
      <c r="D2852" t="s">
        <v>8842</v>
      </c>
      <c r="E2852" s="148" t="s">
        <v>9087</v>
      </c>
      <c r="F2852" t="s">
        <v>9088</v>
      </c>
      <c r="G2852" s="376" t="s">
        <v>9089</v>
      </c>
      <c r="H2852" t="s">
        <v>9090</v>
      </c>
      <c r="I2852"/>
      <c r="J2852"/>
      <c r="K2852" s="148" t="s">
        <v>9105</v>
      </c>
      <c r="L2852" s="148" t="s">
        <v>9106</v>
      </c>
      <c r="M2852" t="s">
        <v>9126</v>
      </c>
      <c r="N2852" s="373">
        <v>0</v>
      </c>
      <c r="O2852" s="374">
        <v>56</v>
      </c>
      <c r="P2852" s="374">
        <v>56</v>
      </c>
      <c r="Q2852" s="374">
        <v>56</v>
      </c>
      <c r="R2852" s="374">
        <v>28</v>
      </c>
      <c r="S2852" s="374">
        <v>28</v>
      </c>
      <c r="T2852" t="s">
        <v>280</v>
      </c>
      <c r="U2852" t="str">
        <f>VLOOKUP(T2852,[8]Votes!$A$1:$E$234,3,FALSE)</f>
        <v>011 Ministry of Local Government</v>
      </c>
      <c r="V2852" t="s">
        <v>9127</v>
      </c>
      <c r="W2852" s="45">
        <v>1</v>
      </c>
      <c r="X2852" s="45">
        <v>1</v>
      </c>
      <c r="Y2852" s="45">
        <v>1</v>
      </c>
      <c r="Z2852" s="45">
        <v>1</v>
      </c>
      <c r="AA2852" s="45">
        <v>1</v>
      </c>
      <c r="AB2852" s="45">
        <v>1</v>
      </c>
      <c r="AC2852" s="150">
        <v>1</v>
      </c>
      <c r="AD2852" s="150">
        <v>1</v>
      </c>
      <c r="AE2852" s="49">
        <f t="shared" si="139"/>
        <v>1</v>
      </c>
      <c r="AF2852" s="276"/>
      <c r="AG2852" s="17">
        <v>0</v>
      </c>
      <c r="AH2852" s="276">
        <v>230</v>
      </c>
      <c r="AI2852" s="276">
        <v>102.81766744999999</v>
      </c>
      <c r="AJ2852" s="44">
        <v>105.81766745</v>
      </c>
      <c r="AK2852" s="158">
        <v>67.908833724999994</v>
      </c>
      <c r="AL2852" s="151">
        <v>74.699717097499999</v>
      </c>
      <c r="AM2852" s="17">
        <f t="shared" si="140"/>
        <v>142.60855082249998</v>
      </c>
      <c r="AN2852" t="s">
        <v>255</v>
      </c>
      <c r="AO2852" s="148" t="s">
        <v>1045</v>
      </c>
      <c r="AP2852" t="s">
        <v>9109</v>
      </c>
      <c r="AQ2852" s="47"/>
      <c r="AR2852" s="47"/>
    </row>
    <row r="2853" spans="1:44" s="45" customFormat="1" x14ac:dyDescent="0.3">
      <c r="A2853" s="371" t="s">
        <v>8323</v>
      </c>
      <c r="B2853" t="s">
        <v>8324</v>
      </c>
      <c r="C2853" s="148" t="s">
        <v>8841</v>
      </c>
      <c r="D2853" t="s">
        <v>8842</v>
      </c>
      <c r="E2853" s="148" t="s">
        <v>9087</v>
      </c>
      <c r="F2853" t="s">
        <v>9088</v>
      </c>
      <c r="G2853" s="376" t="s">
        <v>9128</v>
      </c>
      <c r="H2853" t="s">
        <v>9129</v>
      </c>
      <c r="I2853"/>
      <c r="J2853"/>
      <c r="K2853" s="148" t="s">
        <v>9130</v>
      </c>
      <c r="L2853" s="148" t="s">
        <v>9131</v>
      </c>
      <c r="M2853" t="s">
        <v>9132</v>
      </c>
      <c r="N2853" s="373">
        <v>0</v>
      </c>
      <c r="O2853" s="374">
        <v>1</v>
      </c>
      <c r="P2853" s="373">
        <v>1</v>
      </c>
      <c r="Q2853" s="374">
        <v>1</v>
      </c>
      <c r="R2853" s="373">
        <v>1</v>
      </c>
      <c r="S2853" s="374">
        <v>1</v>
      </c>
      <c r="T2853" t="s">
        <v>6894</v>
      </c>
      <c r="U2853" t="str">
        <f>VLOOKUP(T2853,[8]Votes!$A$1:$E$234,3,FALSE)</f>
        <v>117 Uganda Tourism Board</v>
      </c>
      <c r="V2853" t="s">
        <v>9133</v>
      </c>
      <c r="W2853" s="45">
        <v>1</v>
      </c>
      <c r="X2853" s="45">
        <v>1</v>
      </c>
      <c r="Y2853" s="45">
        <v>1</v>
      </c>
      <c r="Z2853" s="45">
        <v>0</v>
      </c>
      <c r="AA2853" s="45">
        <v>1</v>
      </c>
      <c r="AB2853" s="45">
        <v>1</v>
      </c>
      <c r="AC2853" s="150">
        <v>1</v>
      </c>
      <c r="AD2853" s="150">
        <v>1</v>
      </c>
      <c r="AE2853" s="49">
        <f t="shared" si="139"/>
        <v>0.875</v>
      </c>
      <c r="AF2853" s="276"/>
      <c r="AG2853" s="17">
        <v>0</v>
      </c>
      <c r="AH2853" s="276">
        <v>0</v>
      </c>
      <c r="AI2853" s="276">
        <v>5</v>
      </c>
      <c r="AJ2853" s="44">
        <v>5</v>
      </c>
      <c r="AK2853" s="158">
        <v>0</v>
      </c>
      <c r="AL2853" s="151">
        <v>0</v>
      </c>
      <c r="AM2853" s="17">
        <f t="shared" si="140"/>
        <v>0</v>
      </c>
      <c r="AN2853" t="s">
        <v>6894</v>
      </c>
      <c r="AO2853" s="148" t="s">
        <v>6896</v>
      </c>
      <c r="AP2853" t="s">
        <v>9134</v>
      </c>
      <c r="AQ2853" s="47"/>
      <c r="AR2853" s="47"/>
    </row>
    <row r="2854" spans="1:44" s="45" customFormat="1" x14ac:dyDescent="0.3">
      <c r="A2854" s="371" t="s">
        <v>8323</v>
      </c>
      <c r="B2854" t="s">
        <v>8324</v>
      </c>
      <c r="C2854" s="148" t="s">
        <v>8841</v>
      </c>
      <c r="D2854" t="s">
        <v>8842</v>
      </c>
      <c r="E2854" s="148" t="s">
        <v>9087</v>
      </c>
      <c r="F2854" t="s">
        <v>9088</v>
      </c>
      <c r="G2854" s="376" t="s">
        <v>9135</v>
      </c>
      <c r="H2854" t="s">
        <v>9136</v>
      </c>
      <c r="I2854"/>
      <c r="J2854"/>
      <c r="K2854" s="148" t="s">
        <v>9137</v>
      </c>
      <c r="L2854" s="148" t="s">
        <v>9138</v>
      </c>
      <c r="M2854" t="s">
        <v>9139</v>
      </c>
      <c r="N2854" s="373"/>
      <c r="O2854" s="374">
        <v>87</v>
      </c>
      <c r="P2854" s="373">
        <v>87</v>
      </c>
      <c r="Q2854" s="374">
        <v>87</v>
      </c>
      <c r="R2854" s="373">
        <v>87</v>
      </c>
      <c r="S2854" s="374">
        <v>87</v>
      </c>
      <c r="T2854" t="s">
        <v>255</v>
      </c>
      <c r="U2854" t="str">
        <f>VLOOKUP(T2854,[8]Votes!$A$1:$E$234,3,FALSE)</f>
        <v>500 501-850 Local Governments</v>
      </c>
      <c r="V2854" t="s">
        <v>9140</v>
      </c>
      <c r="W2854" s="45">
        <v>1</v>
      </c>
      <c r="X2854" s="45">
        <v>1</v>
      </c>
      <c r="Y2854" s="45">
        <v>1</v>
      </c>
      <c r="Z2854" s="45">
        <v>0</v>
      </c>
      <c r="AA2854" s="45">
        <v>1</v>
      </c>
      <c r="AB2854" s="45">
        <v>1</v>
      </c>
      <c r="AC2854" s="150">
        <v>1</v>
      </c>
      <c r="AD2854" s="150">
        <v>1</v>
      </c>
      <c r="AE2854" s="49">
        <f t="shared" si="139"/>
        <v>0.875</v>
      </c>
      <c r="AF2854" s="276"/>
      <c r="AG2854" s="17">
        <v>0</v>
      </c>
      <c r="AH2854" s="276">
        <v>0</v>
      </c>
      <c r="AI2854" s="276">
        <v>5</v>
      </c>
      <c r="AJ2854" s="44">
        <v>5</v>
      </c>
      <c r="AK2854" s="158">
        <v>0</v>
      </c>
      <c r="AL2854" s="151">
        <v>0</v>
      </c>
      <c r="AM2854" s="17">
        <f t="shared" si="140"/>
        <v>0</v>
      </c>
      <c r="AN2854" t="s">
        <v>255</v>
      </c>
      <c r="AO2854" s="148" t="s">
        <v>1045</v>
      </c>
      <c r="AP2854" t="s">
        <v>7241</v>
      </c>
      <c r="AQ2854" s="47"/>
      <c r="AR2854" s="47"/>
    </row>
    <row r="2855" spans="1:44" s="45" customFormat="1" hidden="1" x14ac:dyDescent="0.3">
      <c r="A2855" s="371" t="s">
        <v>8323</v>
      </c>
      <c r="B2855" t="s">
        <v>8324</v>
      </c>
      <c r="C2855" s="148" t="s">
        <v>8841</v>
      </c>
      <c r="D2855" t="s">
        <v>8842</v>
      </c>
      <c r="E2855" s="148" t="s">
        <v>9087</v>
      </c>
      <c r="F2855" t="s">
        <v>9088</v>
      </c>
      <c r="G2855" s="376" t="s">
        <v>9141</v>
      </c>
      <c r="H2855" t="s">
        <v>9142</v>
      </c>
      <c r="I2855"/>
      <c r="J2855"/>
      <c r="K2855" s="148" t="s">
        <v>9143</v>
      </c>
      <c r="L2855" s="148" t="s">
        <v>9144</v>
      </c>
      <c r="M2855" t="s">
        <v>9145</v>
      </c>
      <c r="N2855" s="373">
        <v>0</v>
      </c>
      <c r="O2855" s="374">
        <v>8</v>
      </c>
      <c r="P2855" s="373">
        <v>8</v>
      </c>
      <c r="Q2855" s="374">
        <v>8</v>
      </c>
      <c r="R2855" s="373">
        <v>8</v>
      </c>
      <c r="S2855" s="374">
        <v>8</v>
      </c>
      <c r="T2855" t="s">
        <v>255</v>
      </c>
      <c r="U2855" t="str">
        <f>VLOOKUP(T2855,[8]Votes!$A$1:$E$234,3,FALSE)</f>
        <v>500 501-850 Local Governments</v>
      </c>
      <c r="V2855" t="s">
        <v>9146</v>
      </c>
      <c r="W2855" s="45">
        <v>1</v>
      </c>
      <c r="X2855" s="45">
        <v>1</v>
      </c>
      <c r="Y2855" s="45">
        <v>0</v>
      </c>
      <c r="Z2855" s="45">
        <v>0</v>
      </c>
      <c r="AA2855" s="45">
        <v>0</v>
      </c>
      <c r="AB2855" s="45">
        <v>0</v>
      </c>
      <c r="AC2855" s="150">
        <v>0</v>
      </c>
      <c r="AD2855" s="150">
        <v>1</v>
      </c>
      <c r="AE2855" s="49">
        <f t="shared" si="139"/>
        <v>0.375</v>
      </c>
      <c r="AF2855" s="276"/>
      <c r="AG2855" s="17">
        <v>0</v>
      </c>
      <c r="AH2855" s="276">
        <v>0</v>
      </c>
      <c r="AI2855" s="276">
        <v>0</v>
      </c>
      <c r="AJ2855" s="44">
        <v>0</v>
      </c>
      <c r="AK2855" s="158">
        <v>0</v>
      </c>
      <c r="AL2855" s="151">
        <v>0</v>
      </c>
      <c r="AM2855" s="17">
        <f t="shared" si="140"/>
        <v>0</v>
      </c>
      <c r="AN2855" t="s">
        <v>255</v>
      </c>
      <c r="AO2855" s="148" t="s">
        <v>1045</v>
      </c>
      <c r="AP2855" t="s">
        <v>119</v>
      </c>
      <c r="AQ2855" s="47"/>
      <c r="AR2855" s="47"/>
    </row>
    <row r="2856" spans="1:44" s="45" customFormat="1" hidden="1" x14ac:dyDescent="0.3">
      <c r="A2856" s="371" t="s">
        <v>8323</v>
      </c>
      <c r="B2856" t="s">
        <v>8324</v>
      </c>
      <c r="C2856" s="148" t="s">
        <v>8841</v>
      </c>
      <c r="D2856" t="s">
        <v>8842</v>
      </c>
      <c r="E2856" s="148" t="s">
        <v>9087</v>
      </c>
      <c r="F2856" t="s">
        <v>9088</v>
      </c>
      <c r="G2856" s="376" t="s">
        <v>9141</v>
      </c>
      <c r="H2856" t="s">
        <v>9142</v>
      </c>
      <c r="I2856"/>
      <c r="J2856"/>
      <c r="K2856" s="148" t="s">
        <v>9147</v>
      </c>
      <c r="L2856" s="148" t="s">
        <v>9148</v>
      </c>
      <c r="M2856" t="s">
        <v>9149</v>
      </c>
      <c r="N2856" s="373">
        <v>0</v>
      </c>
      <c r="O2856" s="374"/>
      <c r="P2856" s="373"/>
      <c r="Q2856" s="374"/>
      <c r="R2856" s="373"/>
      <c r="S2856" s="374"/>
      <c r="T2856"/>
      <c r="U2856" t="e">
        <f>VLOOKUP(T2856,[8]Votes!$A$1:$E$234,3,FALSE)</f>
        <v>#N/A</v>
      </c>
      <c r="V2856" t="s">
        <v>9150</v>
      </c>
      <c r="W2856" s="45">
        <v>0</v>
      </c>
      <c r="X2856" s="45">
        <v>1</v>
      </c>
      <c r="Y2856" s="45">
        <v>1</v>
      </c>
      <c r="Z2856" s="45">
        <v>0</v>
      </c>
      <c r="AA2856" s="45">
        <v>0</v>
      </c>
      <c r="AB2856" s="45">
        <v>0</v>
      </c>
      <c r="AC2856" s="150">
        <v>1</v>
      </c>
      <c r="AD2856" s="150">
        <v>1</v>
      </c>
      <c r="AE2856" s="49">
        <f t="shared" si="139"/>
        <v>0.5</v>
      </c>
      <c r="AF2856" s="276"/>
      <c r="AG2856" s="17">
        <v>0</v>
      </c>
      <c r="AH2856" s="276">
        <v>0</v>
      </c>
      <c r="AI2856" s="276">
        <v>0</v>
      </c>
      <c r="AJ2856" s="44">
        <v>0</v>
      </c>
      <c r="AK2856" s="158">
        <v>0</v>
      </c>
      <c r="AL2856" s="151">
        <v>0</v>
      </c>
      <c r="AM2856" s="17">
        <f t="shared" si="140"/>
        <v>0</v>
      </c>
      <c r="AN2856" t="s">
        <v>255</v>
      </c>
      <c r="AO2856" s="148" t="s">
        <v>1045</v>
      </c>
      <c r="AP2856" t="s">
        <v>2172</v>
      </c>
    </row>
    <row r="2857" spans="1:44" s="45" customFormat="1" hidden="1" x14ac:dyDescent="0.3">
      <c r="A2857" s="371" t="s">
        <v>8323</v>
      </c>
      <c r="B2857" t="s">
        <v>8324</v>
      </c>
      <c r="C2857" s="148" t="s">
        <v>8841</v>
      </c>
      <c r="D2857" t="s">
        <v>8842</v>
      </c>
      <c r="E2857" s="148" t="s">
        <v>9087</v>
      </c>
      <c r="F2857" t="s">
        <v>9088</v>
      </c>
      <c r="G2857" s="376" t="s">
        <v>9151</v>
      </c>
      <c r="H2857" t="s">
        <v>9152</v>
      </c>
      <c r="I2857"/>
      <c r="J2857"/>
      <c r="K2857" s="148" t="s">
        <v>9153</v>
      </c>
      <c r="L2857" s="148" t="s">
        <v>9154</v>
      </c>
      <c r="M2857" t="s">
        <v>9155</v>
      </c>
      <c r="N2857" s="373">
        <v>0</v>
      </c>
      <c r="O2857" s="374">
        <v>435</v>
      </c>
      <c r="P2857" s="373">
        <v>435</v>
      </c>
      <c r="Q2857" s="374">
        <v>435</v>
      </c>
      <c r="R2857" s="373">
        <v>435</v>
      </c>
      <c r="S2857" s="374">
        <v>435</v>
      </c>
      <c r="T2857" t="s">
        <v>723</v>
      </c>
      <c r="U2857" t="str">
        <f>VLOOKUP(T2857,[8]Votes!$A$1:$E$234,3,FALSE)</f>
        <v>013 Ministry of Education and Sports</v>
      </c>
      <c r="V2857" t="s">
        <v>9156</v>
      </c>
      <c r="W2857" s="45">
        <v>1</v>
      </c>
      <c r="X2857" s="45">
        <v>1</v>
      </c>
      <c r="Y2857" s="45">
        <v>0</v>
      </c>
      <c r="Z2857" s="45">
        <v>0</v>
      </c>
      <c r="AA2857" s="45">
        <v>0</v>
      </c>
      <c r="AB2857" s="45">
        <v>0</v>
      </c>
      <c r="AC2857" s="150">
        <v>0</v>
      </c>
      <c r="AD2857" s="150">
        <v>0</v>
      </c>
      <c r="AE2857" s="49">
        <f t="shared" si="139"/>
        <v>0.25</v>
      </c>
      <c r="AF2857" s="276"/>
      <c r="AG2857" s="17">
        <v>0</v>
      </c>
      <c r="AH2857" s="276">
        <v>0</v>
      </c>
      <c r="AI2857" s="276">
        <v>0</v>
      </c>
      <c r="AJ2857" s="44">
        <v>0</v>
      </c>
      <c r="AK2857" s="158">
        <v>0</v>
      </c>
      <c r="AL2857" s="151">
        <v>0</v>
      </c>
      <c r="AM2857" s="17">
        <f t="shared" si="140"/>
        <v>0</v>
      </c>
      <c r="AN2857" t="s">
        <v>723</v>
      </c>
      <c r="AO2857" s="148" t="s">
        <v>729</v>
      </c>
      <c r="AP2857" t="s">
        <v>9157</v>
      </c>
      <c r="AQ2857" s="47"/>
      <c r="AR2857" s="47"/>
    </row>
    <row r="2858" spans="1:44" s="45" customFormat="1" hidden="1" x14ac:dyDescent="0.3">
      <c r="A2858" s="371" t="s">
        <v>8323</v>
      </c>
      <c r="B2858" t="s">
        <v>8324</v>
      </c>
      <c r="C2858" s="148" t="s">
        <v>8841</v>
      </c>
      <c r="D2858" t="s">
        <v>8842</v>
      </c>
      <c r="E2858" s="148" t="s">
        <v>9087</v>
      </c>
      <c r="F2858" t="s">
        <v>9088</v>
      </c>
      <c r="G2858" s="376" t="s">
        <v>9151</v>
      </c>
      <c r="H2858" t="s">
        <v>9152</v>
      </c>
      <c r="I2858"/>
      <c r="J2858"/>
      <c r="K2858" s="148" t="s">
        <v>9158</v>
      </c>
      <c r="L2858" s="148" t="s">
        <v>9159</v>
      </c>
      <c r="M2858" t="s">
        <v>9160</v>
      </c>
      <c r="N2858" s="373">
        <v>0</v>
      </c>
      <c r="O2858" s="374"/>
      <c r="P2858" s="373"/>
      <c r="Q2858" s="374"/>
      <c r="R2858" s="373"/>
      <c r="S2858" s="374"/>
      <c r="T2858"/>
      <c r="U2858" t="e">
        <f>VLOOKUP(T2858,[8]Votes!$A$1:$E$234,3,FALSE)</f>
        <v>#N/A</v>
      </c>
      <c r="V2858" t="s">
        <v>9161</v>
      </c>
      <c r="W2858" s="45">
        <v>0</v>
      </c>
      <c r="X2858" s="45">
        <v>0</v>
      </c>
      <c r="Y2858" s="45">
        <v>0</v>
      </c>
      <c r="Z2858" s="45">
        <v>1</v>
      </c>
      <c r="AA2858" s="45">
        <v>0</v>
      </c>
      <c r="AB2858" s="45">
        <v>0</v>
      </c>
      <c r="AC2858" s="150">
        <v>0</v>
      </c>
      <c r="AD2858" s="150">
        <v>0</v>
      </c>
      <c r="AE2858" s="49">
        <f t="shared" si="139"/>
        <v>0.125</v>
      </c>
      <c r="AF2858" s="276"/>
      <c r="AG2858" s="17">
        <v>0</v>
      </c>
      <c r="AH2858" s="276">
        <v>0</v>
      </c>
      <c r="AI2858" s="276">
        <v>0.3</v>
      </c>
      <c r="AJ2858" s="44">
        <v>0.3</v>
      </c>
      <c r="AK2858" s="158">
        <v>0</v>
      </c>
      <c r="AL2858" s="151">
        <v>0</v>
      </c>
      <c r="AM2858" s="17">
        <f t="shared" si="140"/>
        <v>0</v>
      </c>
      <c r="AN2858" t="s">
        <v>7101</v>
      </c>
      <c r="AO2858" s="148" t="s">
        <v>6901</v>
      </c>
      <c r="AP2858" t="s">
        <v>119</v>
      </c>
      <c r="AQ2858" s="47"/>
      <c r="AR2858" s="47"/>
    </row>
    <row r="2859" spans="1:44" s="45" customFormat="1" x14ac:dyDescent="0.3">
      <c r="A2859" s="371" t="s">
        <v>8323</v>
      </c>
      <c r="B2859" t="s">
        <v>8324</v>
      </c>
      <c r="C2859" s="148" t="s">
        <v>8841</v>
      </c>
      <c r="D2859" t="s">
        <v>8842</v>
      </c>
      <c r="E2859" s="148" t="s">
        <v>9087</v>
      </c>
      <c r="F2859" t="s">
        <v>9088</v>
      </c>
      <c r="G2859" s="376" t="s">
        <v>9162</v>
      </c>
      <c r="H2859" t="s">
        <v>9163</v>
      </c>
      <c r="I2859"/>
      <c r="J2859"/>
      <c r="K2859" s="148" t="s">
        <v>9164</v>
      </c>
      <c r="L2859" s="148" t="s">
        <v>9165</v>
      </c>
      <c r="M2859" t="s">
        <v>9166</v>
      </c>
      <c r="N2859" s="373">
        <v>0</v>
      </c>
      <c r="O2859" s="374">
        <v>16</v>
      </c>
      <c r="P2859" s="373">
        <v>16</v>
      </c>
      <c r="Q2859" s="374">
        <v>16</v>
      </c>
      <c r="R2859" s="373">
        <v>16</v>
      </c>
      <c r="S2859" s="374">
        <v>16</v>
      </c>
      <c r="T2859" t="s">
        <v>6900</v>
      </c>
      <c r="U2859" t="str">
        <f>VLOOKUP(T2859,[8]Votes!$A$1:$E$234,3,FALSE)</f>
        <v>022 Ministry of Tourism, Wildlife and Antiquities</v>
      </c>
      <c r="V2859" t="s">
        <v>9167</v>
      </c>
      <c r="W2859" s="45">
        <v>1</v>
      </c>
      <c r="X2859" s="45">
        <v>1</v>
      </c>
      <c r="Y2859" s="45">
        <v>1</v>
      </c>
      <c r="Z2859" s="45">
        <v>1</v>
      </c>
      <c r="AA2859" s="45">
        <v>0</v>
      </c>
      <c r="AB2859" s="45">
        <v>1</v>
      </c>
      <c r="AC2859" s="150">
        <v>1</v>
      </c>
      <c r="AD2859" s="150">
        <v>1</v>
      </c>
      <c r="AE2859" s="49">
        <f t="shared" si="139"/>
        <v>0.875</v>
      </c>
      <c r="AF2859" s="276"/>
      <c r="AG2859" s="17">
        <v>0</v>
      </c>
      <c r="AH2859" s="276">
        <v>0</v>
      </c>
      <c r="AI2859" s="276">
        <v>3.4</v>
      </c>
      <c r="AJ2859" s="44">
        <v>3.6</v>
      </c>
      <c r="AK2859" s="158">
        <v>0</v>
      </c>
      <c r="AL2859" s="151">
        <v>0</v>
      </c>
      <c r="AM2859" s="17">
        <f t="shared" si="140"/>
        <v>0</v>
      </c>
      <c r="AN2859" t="s">
        <v>6900</v>
      </c>
      <c r="AO2859" s="148" t="s">
        <v>6901</v>
      </c>
      <c r="AP2859" t="s">
        <v>255</v>
      </c>
      <c r="AQ2859" s="47"/>
      <c r="AR2859" s="47"/>
    </row>
    <row r="2860" spans="1:44" s="45" customFormat="1" hidden="1" x14ac:dyDescent="0.3">
      <c r="A2860" s="371" t="s">
        <v>8323</v>
      </c>
      <c r="B2860" t="s">
        <v>8324</v>
      </c>
      <c r="C2860" s="148" t="s">
        <v>8841</v>
      </c>
      <c r="D2860" t="s">
        <v>8842</v>
      </c>
      <c r="E2860" s="148" t="s">
        <v>9087</v>
      </c>
      <c r="F2860" t="s">
        <v>9088</v>
      </c>
      <c r="G2860" s="376" t="s">
        <v>9162</v>
      </c>
      <c r="H2860" t="s">
        <v>9163</v>
      </c>
      <c r="I2860"/>
      <c r="J2860"/>
      <c r="K2860" s="148" t="s">
        <v>9168</v>
      </c>
      <c r="L2860" t="s">
        <v>9169</v>
      </c>
      <c r="M2860" t="s">
        <v>9170</v>
      </c>
      <c r="N2860" s="373">
        <v>0</v>
      </c>
      <c r="O2860" s="374"/>
      <c r="P2860" s="373"/>
      <c r="Q2860" s="374"/>
      <c r="R2860" s="373"/>
      <c r="S2860" s="374"/>
      <c r="T2860"/>
      <c r="U2860" t="e">
        <f>VLOOKUP(T2860,[8]Votes!$A$1:$E$234,3,FALSE)</f>
        <v>#N/A</v>
      </c>
      <c r="V2860" t="s">
        <v>9171</v>
      </c>
      <c r="W2860" s="45">
        <v>1</v>
      </c>
      <c r="X2860" s="45">
        <v>1</v>
      </c>
      <c r="Y2860" s="45">
        <v>1</v>
      </c>
      <c r="Z2860" s="45">
        <v>0</v>
      </c>
      <c r="AA2860" s="45">
        <v>1</v>
      </c>
      <c r="AB2860" s="45">
        <v>0</v>
      </c>
      <c r="AC2860" s="150">
        <v>0</v>
      </c>
      <c r="AD2860" s="150">
        <v>1</v>
      </c>
      <c r="AE2860" s="49">
        <f t="shared" si="139"/>
        <v>0.625</v>
      </c>
      <c r="AF2860" s="276"/>
      <c r="AG2860" s="17">
        <v>0</v>
      </c>
      <c r="AH2860" s="276">
        <v>0</v>
      </c>
      <c r="AI2860" s="276">
        <v>0.8</v>
      </c>
      <c r="AJ2860" s="44">
        <v>0.8</v>
      </c>
      <c r="AK2860" s="158">
        <v>0</v>
      </c>
      <c r="AL2860" s="151">
        <v>0</v>
      </c>
      <c r="AM2860" s="17">
        <f t="shared" si="140"/>
        <v>0</v>
      </c>
      <c r="AN2860" t="s">
        <v>6300</v>
      </c>
      <c r="AO2860" s="148" t="s">
        <v>6301</v>
      </c>
      <c r="AP2860" t="s">
        <v>255</v>
      </c>
      <c r="AQ2860" s="47"/>
      <c r="AR2860" s="47"/>
    </row>
    <row r="2861" spans="1:44" s="45" customFormat="1" hidden="1" x14ac:dyDescent="0.3">
      <c r="A2861" s="371" t="s">
        <v>8323</v>
      </c>
      <c r="B2861" t="s">
        <v>8324</v>
      </c>
      <c r="C2861" s="148" t="s">
        <v>8841</v>
      </c>
      <c r="D2861" t="s">
        <v>8842</v>
      </c>
      <c r="E2861" s="148" t="s">
        <v>9087</v>
      </c>
      <c r="F2861" t="s">
        <v>9088</v>
      </c>
      <c r="G2861" s="376" t="s">
        <v>9172</v>
      </c>
      <c r="H2861" t="s">
        <v>9173</v>
      </c>
      <c r="I2861"/>
      <c r="J2861"/>
      <c r="K2861" s="148" t="s">
        <v>9174</v>
      </c>
      <c r="L2861" t="s">
        <v>9175</v>
      </c>
      <c r="M2861" t="s">
        <v>9176</v>
      </c>
      <c r="N2861" s="373"/>
      <c r="O2861" s="374"/>
      <c r="P2861" s="373"/>
      <c r="Q2861" s="374"/>
      <c r="R2861" s="373"/>
      <c r="S2861" s="374"/>
      <c r="T2861"/>
      <c r="U2861" t="e">
        <f>VLOOKUP(T2861,[8]Votes!$A$1:$E$234,3,FALSE)</f>
        <v>#N/A</v>
      </c>
      <c r="V2861" t="s">
        <v>9177</v>
      </c>
      <c r="W2861" s="45">
        <v>1</v>
      </c>
      <c r="X2861" s="45">
        <v>1</v>
      </c>
      <c r="Y2861" s="45">
        <v>1</v>
      </c>
      <c r="Z2861" s="45">
        <v>0</v>
      </c>
      <c r="AA2861" s="45">
        <v>0</v>
      </c>
      <c r="AB2861" s="45">
        <v>0</v>
      </c>
      <c r="AC2861" s="150">
        <v>1</v>
      </c>
      <c r="AD2861" s="150">
        <v>1</v>
      </c>
      <c r="AE2861" s="49">
        <f t="shared" si="139"/>
        <v>0.625</v>
      </c>
      <c r="AF2861" s="276"/>
      <c r="AG2861" s="17">
        <v>0</v>
      </c>
      <c r="AH2861" s="276">
        <v>0</v>
      </c>
      <c r="AI2861" s="276">
        <v>0</v>
      </c>
      <c r="AJ2861" s="44">
        <v>0</v>
      </c>
      <c r="AK2861" s="158">
        <v>0</v>
      </c>
      <c r="AL2861" s="151">
        <v>0</v>
      </c>
      <c r="AM2861" s="17">
        <f t="shared" si="140"/>
        <v>0</v>
      </c>
      <c r="AN2861" t="s">
        <v>6900</v>
      </c>
      <c r="AO2861" s="148" t="s">
        <v>6901</v>
      </c>
      <c r="AP2861" t="s">
        <v>9178</v>
      </c>
      <c r="AQ2861" s="47"/>
      <c r="AR2861" s="47"/>
    </row>
    <row r="2862" spans="1:44" s="45" customFormat="1" hidden="1" x14ac:dyDescent="0.3">
      <c r="A2862" s="371" t="s">
        <v>8323</v>
      </c>
      <c r="B2862" t="s">
        <v>8324</v>
      </c>
      <c r="C2862" s="148" t="s">
        <v>8841</v>
      </c>
      <c r="D2862" t="s">
        <v>8842</v>
      </c>
      <c r="E2862" s="148" t="s">
        <v>9087</v>
      </c>
      <c r="F2862" t="s">
        <v>9088</v>
      </c>
      <c r="G2862" s="376" t="s">
        <v>9172</v>
      </c>
      <c r="H2862" t="s">
        <v>9173</v>
      </c>
      <c r="I2862"/>
      <c r="J2862"/>
      <c r="K2862" s="148" t="s">
        <v>9179</v>
      </c>
      <c r="L2862" t="s">
        <v>9180</v>
      </c>
      <c r="M2862" t="s">
        <v>9181</v>
      </c>
      <c r="N2862" s="373">
        <v>0</v>
      </c>
      <c r="O2862" s="374"/>
      <c r="P2862" s="373"/>
      <c r="Q2862" s="374"/>
      <c r="R2862" s="373"/>
      <c r="S2862" s="374"/>
      <c r="T2862"/>
      <c r="U2862" t="e">
        <f>VLOOKUP(T2862,[8]Votes!$A$1:$E$234,3,FALSE)</f>
        <v>#N/A</v>
      </c>
      <c r="V2862" t="s">
        <v>9180</v>
      </c>
      <c r="W2862" s="45">
        <v>1</v>
      </c>
      <c r="X2862" s="45">
        <v>1</v>
      </c>
      <c r="Y2862" s="45">
        <v>1</v>
      </c>
      <c r="Z2862" s="45">
        <v>0</v>
      </c>
      <c r="AA2862" s="45">
        <v>0</v>
      </c>
      <c r="AB2862" s="45">
        <v>0</v>
      </c>
      <c r="AC2862" s="150">
        <v>1</v>
      </c>
      <c r="AD2862" s="150">
        <v>1</v>
      </c>
      <c r="AE2862" s="49">
        <f t="shared" si="139"/>
        <v>0.625</v>
      </c>
      <c r="AF2862" s="276"/>
      <c r="AG2862" s="17">
        <v>0</v>
      </c>
      <c r="AH2862" s="276">
        <v>0</v>
      </c>
      <c r="AI2862" s="276">
        <v>0</v>
      </c>
      <c r="AJ2862" s="44">
        <v>0</v>
      </c>
      <c r="AK2862" s="158">
        <v>0</v>
      </c>
      <c r="AL2862" s="151">
        <v>0</v>
      </c>
      <c r="AM2862" s="17">
        <f t="shared" si="140"/>
        <v>0</v>
      </c>
      <c r="AN2862" t="s">
        <v>239</v>
      </c>
      <c r="AO2862" s="148" t="s">
        <v>241</v>
      </c>
      <c r="AP2862" t="s">
        <v>6900</v>
      </c>
      <c r="AQ2862" s="47"/>
      <c r="AR2862" s="47"/>
    </row>
    <row r="2863" spans="1:44" s="45" customFormat="1" hidden="1" x14ac:dyDescent="0.3">
      <c r="A2863" s="371" t="s">
        <v>8323</v>
      </c>
      <c r="B2863" t="s">
        <v>8324</v>
      </c>
      <c r="C2863" s="148" t="s">
        <v>8841</v>
      </c>
      <c r="D2863" t="s">
        <v>8842</v>
      </c>
      <c r="E2863" s="148" t="s">
        <v>9087</v>
      </c>
      <c r="F2863" t="s">
        <v>9088</v>
      </c>
      <c r="G2863" s="376" t="s">
        <v>9172</v>
      </c>
      <c r="H2863" t="s">
        <v>9173</v>
      </c>
      <c r="I2863"/>
      <c r="J2863"/>
      <c r="K2863" s="148" t="s">
        <v>9182</v>
      </c>
      <c r="L2863" s="148" t="s">
        <v>9183</v>
      </c>
      <c r="M2863" t="s">
        <v>9184</v>
      </c>
      <c r="N2863" s="373">
        <v>0</v>
      </c>
      <c r="O2863" s="374">
        <v>160</v>
      </c>
      <c r="P2863" s="373">
        <v>160</v>
      </c>
      <c r="Q2863" s="374">
        <v>160</v>
      </c>
      <c r="R2863" s="373">
        <v>160</v>
      </c>
      <c r="S2863" s="374">
        <v>160</v>
      </c>
      <c r="T2863" t="s">
        <v>9185</v>
      </c>
      <c r="U2863" t="e">
        <f>VLOOKUP(T2863,[8]Votes!$A$1:$E$234,3,FALSE)</f>
        <v>#N/A</v>
      </c>
      <c r="V2863" t="s">
        <v>9186</v>
      </c>
      <c r="W2863" s="45">
        <v>1</v>
      </c>
      <c r="X2863" s="45">
        <v>1</v>
      </c>
      <c r="Y2863" s="45">
        <v>1</v>
      </c>
      <c r="Z2863" s="45">
        <v>0</v>
      </c>
      <c r="AA2863" s="45">
        <v>0</v>
      </c>
      <c r="AB2863" s="45">
        <v>1</v>
      </c>
      <c r="AC2863" s="150">
        <v>0</v>
      </c>
      <c r="AD2863" s="150">
        <v>0</v>
      </c>
      <c r="AE2863" s="49">
        <f t="shared" si="139"/>
        <v>0.5</v>
      </c>
      <c r="AF2863" s="276"/>
      <c r="AG2863" s="17">
        <v>0</v>
      </c>
      <c r="AH2863" s="276">
        <v>0</v>
      </c>
      <c r="AI2863" s="276">
        <v>0</v>
      </c>
      <c r="AJ2863" s="44">
        <v>0</v>
      </c>
      <c r="AK2863" s="158">
        <v>0</v>
      </c>
      <c r="AL2863" s="151">
        <v>0</v>
      </c>
      <c r="AM2863" s="17">
        <f t="shared" si="140"/>
        <v>0</v>
      </c>
      <c r="AN2863" t="s">
        <v>921</v>
      </c>
      <c r="AO2863" s="148" t="s">
        <v>880</v>
      </c>
      <c r="AP2863" t="s">
        <v>255</v>
      </c>
      <c r="AQ2863" s="47"/>
      <c r="AR2863" s="47"/>
    </row>
    <row r="2864" spans="1:44" s="45" customFormat="1" hidden="1" x14ac:dyDescent="0.3">
      <c r="A2864" s="371" t="s">
        <v>8323</v>
      </c>
      <c r="B2864" t="s">
        <v>8324</v>
      </c>
      <c r="C2864" s="148" t="s">
        <v>8841</v>
      </c>
      <c r="D2864" t="s">
        <v>8842</v>
      </c>
      <c r="E2864" s="148" t="s">
        <v>9087</v>
      </c>
      <c r="F2864" t="s">
        <v>9088</v>
      </c>
      <c r="G2864" s="376" t="s">
        <v>9187</v>
      </c>
      <c r="H2864" t="s">
        <v>9188</v>
      </c>
      <c r="I2864"/>
      <c r="J2864"/>
      <c r="K2864" s="148" t="s">
        <v>9189</v>
      </c>
      <c r="L2864" s="148" t="s">
        <v>9190</v>
      </c>
      <c r="M2864" t="s">
        <v>9191</v>
      </c>
      <c r="N2864" s="373">
        <v>0</v>
      </c>
      <c r="O2864" s="374">
        <v>56</v>
      </c>
      <c r="P2864" s="373">
        <v>56</v>
      </c>
      <c r="Q2864" s="374">
        <v>56</v>
      </c>
      <c r="R2864" s="373">
        <v>56</v>
      </c>
      <c r="S2864" s="374">
        <v>56</v>
      </c>
      <c r="T2864" t="s">
        <v>4292</v>
      </c>
      <c r="U2864" t="e">
        <f>VLOOKUP(T2864,[8]Votes!$A$1:$E$234,3,FALSE)</f>
        <v>#N/A</v>
      </c>
      <c r="V2864" t="s">
        <v>9192</v>
      </c>
      <c r="W2864" s="45">
        <v>1</v>
      </c>
      <c r="X2864" s="45">
        <v>0</v>
      </c>
      <c r="Y2864" s="45">
        <v>1</v>
      </c>
      <c r="Z2864" s="45">
        <v>1</v>
      </c>
      <c r="AA2864" s="45">
        <v>1</v>
      </c>
      <c r="AB2864" s="45">
        <v>0</v>
      </c>
      <c r="AC2864" s="150">
        <v>1</v>
      </c>
      <c r="AD2864" s="150">
        <v>0</v>
      </c>
      <c r="AE2864" s="49">
        <f t="shared" si="139"/>
        <v>0.625</v>
      </c>
      <c r="AF2864" s="276"/>
      <c r="AG2864" s="17">
        <v>0</v>
      </c>
      <c r="AH2864" s="276">
        <v>0</v>
      </c>
      <c r="AI2864" s="276">
        <v>0.5</v>
      </c>
      <c r="AJ2864" s="44">
        <v>0.5</v>
      </c>
      <c r="AK2864" s="158">
        <v>0</v>
      </c>
      <c r="AL2864" s="151">
        <v>0</v>
      </c>
      <c r="AM2864" s="17">
        <f t="shared" si="140"/>
        <v>0</v>
      </c>
      <c r="AN2864" t="s">
        <v>265</v>
      </c>
      <c r="AO2864" s="148" t="s">
        <v>350</v>
      </c>
      <c r="AP2864" t="s">
        <v>9193</v>
      </c>
      <c r="AQ2864" s="47"/>
      <c r="AR2864" s="47"/>
    </row>
    <row r="2865" spans="1:44" s="45" customFormat="1" hidden="1" x14ac:dyDescent="0.3">
      <c r="A2865" s="371" t="s">
        <v>8323</v>
      </c>
      <c r="B2865" t="s">
        <v>8324</v>
      </c>
      <c r="C2865" s="148" t="s">
        <v>8841</v>
      </c>
      <c r="D2865" t="s">
        <v>8842</v>
      </c>
      <c r="E2865" s="148" t="s">
        <v>9087</v>
      </c>
      <c r="F2865" t="s">
        <v>9088</v>
      </c>
      <c r="G2865" s="376" t="s">
        <v>9194</v>
      </c>
      <c r="H2865" t="s">
        <v>9195</v>
      </c>
      <c r="I2865"/>
      <c r="J2865"/>
      <c r="K2865" s="148" t="s">
        <v>9196</v>
      </c>
      <c r="L2865" s="148" t="s">
        <v>9197</v>
      </c>
      <c r="M2865" t="s">
        <v>9198</v>
      </c>
      <c r="N2865" s="373">
        <v>0</v>
      </c>
      <c r="O2865" s="374">
        <v>16</v>
      </c>
      <c r="P2865" s="373">
        <v>18</v>
      </c>
      <c r="Q2865" s="374">
        <v>20</v>
      </c>
      <c r="R2865" s="373">
        <v>22</v>
      </c>
      <c r="S2865" s="374">
        <v>24</v>
      </c>
      <c r="T2865" t="s">
        <v>9199</v>
      </c>
      <c r="U2865" t="e">
        <f>VLOOKUP(T2865,[8]Votes!$A$1:$E$234,3,FALSE)</f>
        <v>#N/A</v>
      </c>
      <c r="V2865" t="s">
        <v>9200</v>
      </c>
      <c r="W2865" s="45">
        <v>1</v>
      </c>
      <c r="X2865" s="45">
        <v>0</v>
      </c>
      <c r="Y2865" s="45">
        <v>1</v>
      </c>
      <c r="Z2865" s="45">
        <v>1</v>
      </c>
      <c r="AA2865" s="45">
        <v>1</v>
      </c>
      <c r="AB2865" s="45">
        <v>0</v>
      </c>
      <c r="AC2865" s="150">
        <v>1</v>
      </c>
      <c r="AD2865" s="150">
        <v>0</v>
      </c>
      <c r="AE2865" s="49">
        <f t="shared" si="139"/>
        <v>0.625</v>
      </c>
      <c r="AF2865" s="276"/>
      <c r="AG2865" s="17">
        <v>0</v>
      </c>
      <c r="AH2865" s="276">
        <v>0</v>
      </c>
      <c r="AI2865" s="276">
        <v>17</v>
      </c>
      <c r="AJ2865" s="44">
        <v>10</v>
      </c>
      <c r="AK2865" s="158">
        <v>0</v>
      </c>
      <c r="AL2865" s="151">
        <v>0</v>
      </c>
      <c r="AM2865" s="17">
        <f t="shared" si="140"/>
        <v>0</v>
      </c>
      <c r="AN2865" t="s">
        <v>1035</v>
      </c>
      <c r="AO2865" s="148" t="s">
        <v>1037</v>
      </c>
      <c r="AP2865" t="s">
        <v>119</v>
      </c>
      <c r="AQ2865" s="47"/>
      <c r="AR2865" s="47"/>
    </row>
    <row r="2866" spans="1:44" s="45" customFormat="1" hidden="1" x14ac:dyDescent="0.3">
      <c r="A2866" s="371" t="s">
        <v>8323</v>
      </c>
      <c r="B2866" t="s">
        <v>8324</v>
      </c>
      <c r="C2866" s="148" t="s">
        <v>8841</v>
      </c>
      <c r="D2866" t="s">
        <v>8842</v>
      </c>
      <c r="E2866" s="148" t="s">
        <v>9087</v>
      </c>
      <c r="F2866" t="s">
        <v>9088</v>
      </c>
      <c r="G2866" s="376" t="s">
        <v>9201</v>
      </c>
      <c r="H2866" t="s">
        <v>9202</v>
      </c>
      <c r="I2866"/>
      <c r="J2866"/>
      <c r="K2866" s="148" t="s">
        <v>9203</v>
      </c>
      <c r="L2866" s="148" t="s">
        <v>9204</v>
      </c>
      <c r="M2866" t="s">
        <v>9205</v>
      </c>
      <c r="N2866" s="373">
        <v>0</v>
      </c>
      <c r="O2866" s="374"/>
      <c r="P2866" s="373"/>
      <c r="Q2866" s="374"/>
      <c r="R2866" s="373"/>
      <c r="S2866" s="374"/>
      <c r="T2866"/>
      <c r="U2866" t="e">
        <f>VLOOKUP(T2866,[8]Votes!$A$1:$E$234,3,FALSE)</f>
        <v>#N/A</v>
      </c>
      <c r="V2866" t="s">
        <v>9206</v>
      </c>
      <c r="W2866" s="45">
        <v>1</v>
      </c>
      <c r="X2866" s="45">
        <v>0</v>
      </c>
      <c r="Y2866" s="45">
        <v>1</v>
      </c>
      <c r="Z2866" s="45">
        <v>1</v>
      </c>
      <c r="AA2866" s="45">
        <v>1</v>
      </c>
      <c r="AB2866" s="45">
        <v>0</v>
      </c>
      <c r="AC2866" s="150">
        <v>1</v>
      </c>
      <c r="AD2866" s="150">
        <v>0</v>
      </c>
      <c r="AE2866" s="49">
        <f t="shared" si="139"/>
        <v>0.625</v>
      </c>
      <c r="AF2866" s="276"/>
      <c r="AG2866" s="17">
        <v>0</v>
      </c>
      <c r="AH2866" s="276">
        <v>0</v>
      </c>
      <c r="AI2866" s="276">
        <v>2</v>
      </c>
      <c r="AJ2866" s="44">
        <v>2</v>
      </c>
      <c r="AK2866" s="158">
        <v>0</v>
      </c>
      <c r="AL2866" s="151">
        <v>0</v>
      </c>
      <c r="AM2866" s="17">
        <f t="shared" si="140"/>
        <v>0</v>
      </c>
      <c r="AN2866" t="s">
        <v>1035</v>
      </c>
      <c r="AO2866" s="148" t="s">
        <v>1037</v>
      </c>
      <c r="AP2866" t="s">
        <v>119</v>
      </c>
      <c r="AQ2866" s="47"/>
      <c r="AR2866" s="47"/>
    </row>
    <row r="2867" spans="1:44" s="45" customFormat="1" hidden="1" x14ac:dyDescent="0.3">
      <c r="A2867" s="371" t="s">
        <v>8323</v>
      </c>
      <c r="B2867" t="s">
        <v>8324</v>
      </c>
      <c r="C2867" s="148" t="s">
        <v>8841</v>
      </c>
      <c r="D2867" t="s">
        <v>8842</v>
      </c>
      <c r="E2867" s="148" t="s">
        <v>9087</v>
      </c>
      <c r="F2867" t="s">
        <v>9088</v>
      </c>
      <c r="G2867" s="376" t="s">
        <v>9201</v>
      </c>
      <c r="H2867" t="s">
        <v>9202</v>
      </c>
      <c r="I2867"/>
      <c r="J2867"/>
      <c r="K2867" s="148" t="s">
        <v>9203</v>
      </c>
      <c r="L2867" s="148" t="s">
        <v>9204</v>
      </c>
      <c r="M2867"/>
      <c r="N2867" s="373">
        <v>0</v>
      </c>
      <c r="O2867" s="374"/>
      <c r="P2867" s="373"/>
      <c r="Q2867" s="374"/>
      <c r="R2867" s="373"/>
      <c r="S2867" s="374"/>
      <c r="T2867"/>
      <c r="U2867" t="e">
        <f>VLOOKUP(T2867,[8]Votes!$A$1:$E$234,3,FALSE)</f>
        <v>#N/A</v>
      </c>
      <c r="V2867" t="s">
        <v>9207</v>
      </c>
      <c r="W2867" s="45">
        <v>1</v>
      </c>
      <c r="X2867" s="45">
        <v>0</v>
      </c>
      <c r="Y2867" s="45">
        <v>1</v>
      </c>
      <c r="Z2867" s="45">
        <v>1</v>
      </c>
      <c r="AA2867" s="45">
        <v>1</v>
      </c>
      <c r="AB2867" s="45">
        <v>0</v>
      </c>
      <c r="AC2867" s="150">
        <v>1</v>
      </c>
      <c r="AD2867" s="150">
        <v>0</v>
      </c>
      <c r="AE2867" s="49">
        <f t="shared" si="139"/>
        <v>0.625</v>
      </c>
      <c r="AF2867" s="276"/>
      <c r="AG2867" s="17">
        <v>0</v>
      </c>
      <c r="AH2867" s="276">
        <v>0</v>
      </c>
      <c r="AI2867" s="276">
        <v>0</v>
      </c>
      <c r="AJ2867" s="44">
        <v>0</v>
      </c>
      <c r="AK2867" s="158">
        <v>0</v>
      </c>
      <c r="AL2867" s="151">
        <v>0</v>
      </c>
      <c r="AM2867" s="17">
        <f t="shared" si="140"/>
        <v>0</v>
      </c>
      <c r="AN2867" t="s">
        <v>1035</v>
      </c>
      <c r="AO2867" s="148" t="s">
        <v>1037</v>
      </c>
      <c r="AP2867" t="s">
        <v>119</v>
      </c>
      <c r="AQ2867" s="47"/>
      <c r="AR2867" s="47"/>
    </row>
    <row r="2868" spans="1:44" s="45" customFormat="1" hidden="1" x14ac:dyDescent="0.3">
      <c r="A2868" s="371" t="s">
        <v>8323</v>
      </c>
      <c r="B2868" t="s">
        <v>8324</v>
      </c>
      <c r="C2868" s="148" t="s">
        <v>8841</v>
      </c>
      <c r="D2868" t="s">
        <v>8842</v>
      </c>
      <c r="E2868" s="148" t="s">
        <v>9087</v>
      </c>
      <c r="F2868" t="s">
        <v>9088</v>
      </c>
      <c r="G2868" s="376" t="s">
        <v>9208</v>
      </c>
      <c r="H2868" t="s">
        <v>9209</v>
      </c>
      <c r="I2868"/>
      <c r="J2868"/>
      <c r="K2868" s="148" t="s">
        <v>9210</v>
      </c>
      <c r="L2868" s="148" t="s">
        <v>9211</v>
      </c>
      <c r="M2868" t="s">
        <v>9212</v>
      </c>
      <c r="N2868" s="373">
        <v>0</v>
      </c>
      <c r="O2868" s="374">
        <v>56</v>
      </c>
      <c r="P2868" s="373">
        <v>56</v>
      </c>
      <c r="Q2868" s="374">
        <v>56</v>
      </c>
      <c r="R2868" s="373">
        <v>56</v>
      </c>
      <c r="S2868" s="374">
        <v>56</v>
      </c>
      <c r="T2868" t="s">
        <v>9213</v>
      </c>
      <c r="U2868" t="e">
        <f>VLOOKUP(T2868,[8]Votes!$A$1:$E$234,3,FALSE)</f>
        <v>#N/A</v>
      </c>
      <c r="V2868" t="s">
        <v>9214</v>
      </c>
      <c r="W2868" s="45">
        <v>0</v>
      </c>
      <c r="X2868" s="45">
        <v>0</v>
      </c>
      <c r="Y2868" s="45">
        <v>0</v>
      </c>
      <c r="Z2868" s="45">
        <v>0</v>
      </c>
      <c r="AA2868" s="45">
        <v>0</v>
      </c>
      <c r="AB2868" s="45">
        <v>0</v>
      </c>
      <c r="AC2868" s="150">
        <v>0</v>
      </c>
      <c r="AD2868" s="150">
        <v>0</v>
      </c>
      <c r="AE2868" s="49">
        <f t="shared" si="139"/>
        <v>0</v>
      </c>
      <c r="AF2868" s="276"/>
      <c r="AG2868" s="17">
        <v>0</v>
      </c>
      <c r="AH2868" s="276">
        <v>0</v>
      </c>
      <c r="AI2868" s="276">
        <v>0</v>
      </c>
      <c r="AJ2868" s="44">
        <v>0</v>
      </c>
      <c r="AK2868" s="158">
        <v>0</v>
      </c>
      <c r="AL2868" s="151">
        <v>0</v>
      </c>
      <c r="AM2868" s="17">
        <f t="shared" si="140"/>
        <v>0</v>
      </c>
      <c r="AN2868" t="s">
        <v>1035</v>
      </c>
      <c r="AO2868" s="148" t="s">
        <v>1037</v>
      </c>
      <c r="AP2868" t="s">
        <v>255</v>
      </c>
      <c r="AQ2868" s="47"/>
      <c r="AR2868" s="47"/>
    </row>
    <row r="2869" spans="1:44" s="45" customFormat="1" hidden="1" x14ac:dyDescent="0.3">
      <c r="A2869" s="371" t="s">
        <v>8323</v>
      </c>
      <c r="B2869" t="s">
        <v>8324</v>
      </c>
      <c r="C2869" s="148" t="s">
        <v>8841</v>
      </c>
      <c r="D2869" t="s">
        <v>8842</v>
      </c>
      <c r="E2869" s="148" t="s">
        <v>9087</v>
      </c>
      <c r="F2869" t="s">
        <v>9088</v>
      </c>
      <c r="G2869" s="376" t="s">
        <v>9215</v>
      </c>
      <c r="H2869" t="s">
        <v>9216</v>
      </c>
      <c r="I2869"/>
      <c r="J2869"/>
      <c r="K2869" s="148" t="s">
        <v>9217</v>
      </c>
      <c r="L2869" s="148" t="s">
        <v>9218</v>
      </c>
      <c r="M2869" t="s">
        <v>9219</v>
      </c>
      <c r="N2869" s="373">
        <v>0</v>
      </c>
      <c r="O2869" s="374">
        <v>250</v>
      </c>
      <c r="P2869" s="373">
        <v>250</v>
      </c>
      <c r="Q2869" s="374">
        <v>250</v>
      </c>
      <c r="R2869" s="373">
        <v>250</v>
      </c>
      <c r="S2869" s="374">
        <v>250</v>
      </c>
      <c r="T2869" t="s">
        <v>9220</v>
      </c>
      <c r="U2869" t="e">
        <f>VLOOKUP(T2869,[8]Votes!$A$1:$E$234,3,FALSE)</f>
        <v>#N/A</v>
      </c>
      <c r="V2869" t="s">
        <v>9221</v>
      </c>
      <c r="W2869" s="45">
        <v>1</v>
      </c>
      <c r="X2869" s="45">
        <v>1</v>
      </c>
      <c r="Y2869" s="45">
        <v>1</v>
      </c>
      <c r="Z2869" s="45">
        <v>0</v>
      </c>
      <c r="AA2869" s="45">
        <v>0</v>
      </c>
      <c r="AB2869" s="45">
        <v>0</v>
      </c>
      <c r="AC2869" s="150">
        <v>0</v>
      </c>
      <c r="AD2869" s="150">
        <v>1</v>
      </c>
      <c r="AE2869" s="49">
        <f t="shared" si="139"/>
        <v>0.5</v>
      </c>
      <c r="AF2869" s="276"/>
      <c r="AG2869" s="17">
        <v>0</v>
      </c>
      <c r="AH2869" s="276">
        <v>0</v>
      </c>
      <c r="AI2869" s="276">
        <v>0</v>
      </c>
      <c r="AJ2869" s="44">
        <v>0</v>
      </c>
      <c r="AK2869" s="158">
        <v>0</v>
      </c>
      <c r="AL2869" s="151">
        <v>0</v>
      </c>
      <c r="AM2869" s="17">
        <f t="shared" si="140"/>
        <v>0</v>
      </c>
      <c r="AN2869" t="s">
        <v>2528</v>
      </c>
      <c r="AO2869" s="148" t="s">
        <v>2530</v>
      </c>
      <c r="AP2869" t="s">
        <v>9222</v>
      </c>
      <c r="AQ2869" s="10"/>
      <c r="AR2869" s="47"/>
    </row>
    <row r="2870" spans="1:44" s="45" customFormat="1" hidden="1" x14ac:dyDescent="0.3">
      <c r="A2870" s="371" t="s">
        <v>8323</v>
      </c>
      <c r="B2870" t="s">
        <v>8324</v>
      </c>
      <c r="C2870" s="148" t="s">
        <v>8841</v>
      </c>
      <c r="D2870" t="s">
        <v>8842</v>
      </c>
      <c r="E2870" s="148" t="s">
        <v>9087</v>
      </c>
      <c r="F2870" t="s">
        <v>9088</v>
      </c>
      <c r="G2870" s="376" t="s">
        <v>9223</v>
      </c>
      <c r="H2870" t="s">
        <v>9224</v>
      </c>
      <c r="I2870"/>
      <c r="J2870"/>
      <c r="K2870" s="148" t="s">
        <v>9225</v>
      </c>
      <c r="L2870" s="148" t="s">
        <v>9226</v>
      </c>
      <c r="M2870" t="s">
        <v>9227</v>
      </c>
      <c r="N2870" s="373">
        <v>0</v>
      </c>
      <c r="O2870" s="374">
        <v>56</v>
      </c>
      <c r="P2870" s="373">
        <v>56</v>
      </c>
      <c r="Q2870" s="374">
        <v>56</v>
      </c>
      <c r="R2870" s="373">
        <v>56</v>
      </c>
      <c r="S2870" s="374">
        <v>56</v>
      </c>
      <c r="T2870" t="s">
        <v>9228</v>
      </c>
      <c r="U2870" t="e">
        <f>VLOOKUP(T2870,[8]Votes!$A$1:$E$234,3,FALSE)</f>
        <v>#N/A</v>
      </c>
      <c r="V2870" t="s">
        <v>9229</v>
      </c>
      <c r="W2870" s="45">
        <v>1</v>
      </c>
      <c r="X2870" s="45">
        <v>1</v>
      </c>
      <c r="Y2870" s="45">
        <v>0</v>
      </c>
      <c r="Z2870" s="45">
        <v>0</v>
      </c>
      <c r="AA2870" s="45">
        <v>0</v>
      </c>
      <c r="AB2870" s="45">
        <v>0</v>
      </c>
      <c r="AC2870" s="150">
        <v>0</v>
      </c>
      <c r="AD2870" s="150">
        <v>1</v>
      </c>
      <c r="AE2870" s="49">
        <f t="shared" si="139"/>
        <v>0.375</v>
      </c>
      <c r="AF2870" s="276"/>
      <c r="AG2870" s="17">
        <v>0</v>
      </c>
      <c r="AH2870" s="276">
        <v>0</v>
      </c>
      <c r="AI2870" s="276">
        <v>0</v>
      </c>
      <c r="AJ2870" s="44">
        <v>0</v>
      </c>
      <c r="AK2870" s="158">
        <v>0</v>
      </c>
      <c r="AL2870" s="151">
        <v>0</v>
      </c>
      <c r="AM2870" s="17">
        <f t="shared" si="140"/>
        <v>0</v>
      </c>
      <c r="AN2870" t="s">
        <v>1035</v>
      </c>
      <c r="AO2870" s="148" t="s">
        <v>1037</v>
      </c>
      <c r="AP2870" t="s">
        <v>921</v>
      </c>
      <c r="AQ2870" s="47"/>
      <c r="AR2870" s="47"/>
    </row>
    <row r="2871" spans="1:44" s="45" customFormat="1" hidden="1" x14ac:dyDescent="0.3">
      <c r="A2871" s="371" t="s">
        <v>8323</v>
      </c>
      <c r="B2871" t="s">
        <v>8324</v>
      </c>
      <c r="C2871" s="148" t="s">
        <v>8841</v>
      </c>
      <c r="D2871" t="s">
        <v>8842</v>
      </c>
      <c r="E2871" s="148" t="s">
        <v>9087</v>
      </c>
      <c r="F2871" t="s">
        <v>9088</v>
      </c>
      <c r="G2871" s="376" t="s">
        <v>9230</v>
      </c>
      <c r="H2871" t="s">
        <v>9231</v>
      </c>
      <c r="I2871"/>
      <c r="J2871"/>
      <c r="K2871" s="148" t="s">
        <v>9232</v>
      </c>
      <c r="L2871" s="148" t="s">
        <v>9233</v>
      </c>
      <c r="M2871" t="s">
        <v>9234</v>
      </c>
      <c r="N2871" s="373">
        <v>0</v>
      </c>
      <c r="O2871" s="374">
        <v>8</v>
      </c>
      <c r="P2871" s="373">
        <v>8</v>
      </c>
      <c r="Q2871" s="374">
        <v>8</v>
      </c>
      <c r="R2871" s="373">
        <v>8</v>
      </c>
      <c r="S2871" s="374">
        <v>8</v>
      </c>
      <c r="T2871" t="s">
        <v>9235</v>
      </c>
      <c r="U2871" t="e">
        <f>VLOOKUP(T2871,[8]Votes!$A$1:$E$234,3,FALSE)</f>
        <v>#N/A</v>
      </c>
      <c r="V2871" t="s">
        <v>9236</v>
      </c>
      <c r="W2871" s="45">
        <v>1</v>
      </c>
      <c r="X2871" s="45">
        <v>1</v>
      </c>
      <c r="Y2871" s="45">
        <v>0</v>
      </c>
      <c r="Z2871" s="45">
        <v>0</v>
      </c>
      <c r="AA2871" s="45">
        <v>0</v>
      </c>
      <c r="AB2871" s="45">
        <v>0</v>
      </c>
      <c r="AC2871" s="150">
        <v>0</v>
      </c>
      <c r="AD2871" s="150">
        <v>1</v>
      </c>
      <c r="AE2871" s="49">
        <f t="shared" si="139"/>
        <v>0.375</v>
      </c>
      <c r="AF2871" s="276"/>
      <c r="AG2871" s="17">
        <v>0</v>
      </c>
      <c r="AH2871" s="276">
        <v>0</v>
      </c>
      <c r="AI2871" s="276">
        <v>0</v>
      </c>
      <c r="AJ2871" s="44">
        <v>0</v>
      </c>
      <c r="AK2871" s="158">
        <v>0</v>
      </c>
      <c r="AL2871" s="151">
        <v>0</v>
      </c>
      <c r="AM2871" s="17">
        <f t="shared" si="140"/>
        <v>0</v>
      </c>
      <c r="AN2871" t="s">
        <v>407</v>
      </c>
      <c r="AO2871" s="148" t="s">
        <v>409</v>
      </c>
      <c r="AP2871" t="s">
        <v>1035</v>
      </c>
      <c r="AQ2871" s="47"/>
      <c r="AR2871" s="47"/>
    </row>
    <row r="2872" spans="1:44" s="45" customFormat="1" hidden="1" x14ac:dyDescent="0.3">
      <c r="A2872" s="371" t="s">
        <v>8323</v>
      </c>
      <c r="B2872" t="s">
        <v>8324</v>
      </c>
      <c r="C2872" s="148" t="s">
        <v>8841</v>
      </c>
      <c r="D2872" t="s">
        <v>8842</v>
      </c>
      <c r="E2872" s="148" t="s">
        <v>9087</v>
      </c>
      <c r="F2872" t="s">
        <v>9088</v>
      </c>
      <c r="G2872" s="376" t="s">
        <v>9237</v>
      </c>
      <c r="H2872" t="s">
        <v>9238</v>
      </c>
      <c r="I2872"/>
      <c r="J2872"/>
      <c r="K2872" s="148" t="s">
        <v>9239</v>
      </c>
      <c r="L2872" s="148" t="s">
        <v>9240</v>
      </c>
      <c r="M2872" t="s">
        <v>9241</v>
      </c>
      <c r="N2872" s="373">
        <v>0</v>
      </c>
      <c r="O2872" s="374">
        <v>8</v>
      </c>
      <c r="P2872" s="373">
        <v>8</v>
      </c>
      <c r="Q2872" s="374">
        <v>8</v>
      </c>
      <c r="R2872" s="373">
        <v>8</v>
      </c>
      <c r="S2872" s="374">
        <v>8</v>
      </c>
      <c r="T2872" t="s">
        <v>9242</v>
      </c>
      <c r="U2872" t="e">
        <f>VLOOKUP(T2872,[8]Votes!$A$1:$E$234,3,FALSE)</f>
        <v>#N/A</v>
      </c>
      <c r="V2872" t="s">
        <v>9243</v>
      </c>
      <c r="W2872" s="45">
        <v>1</v>
      </c>
      <c r="X2872" s="45">
        <v>0</v>
      </c>
      <c r="Y2872" s="45">
        <v>0</v>
      </c>
      <c r="Z2872" s="45">
        <v>0</v>
      </c>
      <c r="AA2872" s="45">
        <v>0</v>
      </c>
      <c r="AB2872" s="45">
        <v>0</v>
      </c>
      <c r="AC2872" s="150">
        <v>0</v>
      </c>
      <c r="AD2872" s="150">
        <v>1</v>
      </c>
      <c r="AE2872" s="49">
        <f t="shared" si="139"/>
        <v>0.25</v>
      </c>
      <c r="AF2872" s="276"/>
      <c r="AG2872" s="17">
        <v>0</v>
      </c>
      <c r="AH2872" s="276">
        <v>0</v>
      </c>
      <c r="AI2872" s="276">
        <v>0.1</v>
      </c>
      <c r="AJ2872" s="44">
        <v>0.1</v>
      </c>
      <c r="AK2872" s="158">
        <v>0</v>
      </c>
      <c r="AL2872" s="151">
        <v>0</v>
      </c>
      <c r="AM2872" s="17">
        <f t="shared" si="140"/>
        <v>0</v>
      </c>
      <c r="AN2872" t="s">
        <v>1035</v>
      </c>
      <c r="AO2872" s="148"/>
      <c r="AP2872"/>
      <c r="AQ2872" s="47"/>
      <c r="AR2872" s="47"/>
    </row>
    <row r="2873" spans="1:44" s="45" customFormat="1" hidden="1" x14ac:dyDescent="0.3">
      <c r="A2873" s="371" t="s">
        <v>8323</v>
      </c>
      <c r="B2873" t="s">
        <v>8324</v>
      </c>
      <c r="C2873" s="148" t="s">
        <v>8841</v>
      </c>
      <c r="D2873" t="s">
        <v>8842</v>
      </c>
      <c r="E2873" s="148" t="s">
        <v>9087</v>
      </c>
      <c r="F2873" t="s">
        <v>9088</v>
      </c>
      <c r="G2873" s="376" t="s">
        <v>9237</v>
      </c>
      <c r="H2873" t="s">
        <v>9238</v>
      </c>
      <c r="I2873"/>
      <c r="J2873"/>
      <c r="K2873" s="148" t="s">
        <v>9239</v>
      </c>
      <c r="L2873" s="148" t="s">
        <v>9240</v>
      </c>
      <c r="M2873"/>
      <c r="N2873" s="373">
        <v>0</v>
      </c>
      <c r="O2873" s="374"/>
      <c r="P2873" s="373"/>
      <c r="Q2873" s="374"/>
      <c r="R2873" s="373"/>
      <c r="S2873" s="374"/>
      <c r="T2873"/>
      <c r="U2873" t="e">
        <f>VLOOKUP(T2873,[8]Votes!$A$1:$E$234,3,FALSE)</f>
        <v>#N/A</v>
      </c>
      <c r="V2873" t="s">
        <v>9244</v>
      </c>
      <c r="W2873" s="45">
        <v>1</v>
      </c>
      <c r="X2873" s="45">
        <v>0</v>
      </c>
      <c r="Y2873" s="45">
        <v>0</v>
      </c>
      <c r="Z2873" s="45">
        <v>0</v>
      </c>
      <c r="AA2873" s="45">
        <v>0</v>
      </c>
      <c r="AB2873" s="45">
        <v>0</v>
      </c>
      <c r="AC2873" s="150">
        <v>0</v>
      </c>
      <c r="AD2873" s="150">
        <v>1</v>
      </c>
      <c r="AE2873" s="49">
        <f t="shared" si="139"/>
        <v>0.25</v>
      </c>
      <c r="AF2873" s="276"/>
      <c r="AG2873" s="17">
        <v>0</v>
      </c>
      <c r="AH2873" s="276">
        <v>0</v>
      </c>
      <c r="AI2873" s="276">
        <v>0</v>
      </c>
      <c r="AJ2873" s="44">
        <v>0</v>
      </c>
      <c r="AK2873" s="158">
        <v>0</v>
      </c>
      <c r="AL2873" s="151">
        <v>0</v>
      </c>
      <c r="AM2873" s="17">
        <f t="shared" si="140"/>
        <v>0</v>
      </c>
      <c r="AN2873" t="s">
        <v>921</v>
      </c>
      <c r="AO2873" s="148" t="s">
        <v>880</v>
      </c>
      <c r="AP2873" t="s">
        <v>1035</v>
      </c>
      <c r="AQ2873" s="47"/>
      <c r="AR2873" s="47"/>
    </row>
    <row r="2874" spans="1:44" s="45" customFormat="1" hidden="1" x14ac:dyDescent="0.3">
      <c r="A2874" s="371" t="s">
        <v>8323</v>
      </c>
      <c r="B2874" t="s">
        <v>8324</v>
      </c>
      <c r="C2874" s="148" t="s">
        <v>8841</v>
      </c>
      <c r="D2874" t="s">
        <v>8842</v>
      </c>
      <c r="E2874" s="148" t="s">
        <v>9087</v>
      </c>
      <c r="F2874" t="s">
        <v>9088</v>
      </c>
      <c r="G2874" s="376" t="s">
        <v>9245</v>
      </c>
      <c r="H2874" t="s">
        <v>9246</v>
      </c>
      <c r="I2874"/>
      <c r="J2874"/>
      <c r="K2874" s="148" t="s">
        <v>9247</v>
      </c>
      <c r="L2874" s="148" t="s">
        <v>9248</v>
      </c>
      <c r="M2874" t="s">
        <v>9249</v>
      </c>
      <c r="N2874" s="373"/>
      <c r="O2874" s="374">
        <v>15</v>
      </c>
      <c r="P2874" s="373">
        <v>15</v>
      </c>
      <c r="Q2874" s="374">
        <v>15</v>
      </c>
      <c r="R2874" s="373">
        <v>25</v>
      </c>
      <c r="S2874" s="374">
        <v>30</v>
      </c>
      <c r="T2874" t="s">
        <v>9250</v>
      </c>
      <c r="U2874" t="e">
        <f>VLOOKUP(T2874,[8]Votes!$A$1:$E$234,3,FALSE)</f>
        <v>#N/A</v>
      </c>
      <c r="V2874" t="s">
        <v>9251</v>
      </c>
      <c r="W2874" s="45">
        <v>1</v>
      </c>
      <c r="X2874" s="45">
        <v>0</v>
      </c>
      <c r="Y2874" s="45">
        <v>0</v>
      </c>
      <c r="Z2874" s="45">
        <v>0</v>
      </c>
      <c r="AA2874" s="45">
        <v>0</v>
      </c>
      <c r="AB2874" s="45">
        <v>0</v>
      </c>
      <c r="AC2874" s="150">
        <v>0</v>
      </c>
      <c r="AD2874" s="150">
        <v>1</v>
      </c>
      <c r="AE2874" s="49">
        <f t="shared" si="139"/>
        <v>0.25</v>
      </c>
      <c r="AF2874" s="276"/>
      <c r="AG2874" s="17">
        <v>0</v>
      </c>
      <c r="AH2874" s="276">
        <v>0</v>
      </c>
      <c r="AI2874" s="276">
        <v>0</v>
      </c>
      <c r="AJ2874" s="44">
        <v>0</v>
      </c>
      <c r="AK2874" s="158">
        <v>0</v>
      </c>
      <c r="AL2874" s="151">
        <v>0</v>
      </c>
      <c r="AM2874" s="17">
        <f t="shared" si="140"/>
        <v>0</v>
      </c>
      <c r="AN2874" t="s">
        <v>1035</v>
      </c>
      <c r="AO2874" s="148" t="s">
        <v>1037</v>
      </c>
      <c r="AP2874" t="s">
        <v>119</v>
      </c>
      <c r="AQ2874" s="47"/>
      <c r="AR2874" s="47"/>
    </row>
    <row r="2875" spans="1:44" s="45" customFormat="1" hidden="1" x14ac:dyDescent="0.3">
      <c r="A2875" s="371" t="s">
        <v>8323</v>
      </c>
      <c r="B2875" t="s">
        <v>8324</v>
      </c>
      <c r="C2875" s="148" t="s">
        <v>8841</v>
      </c>
      <c r="D2875" t="s">
        <v>8842</v>
      </c>
      <c r="E2875" s="148" t="s">
        <v>9087</v>
      </c>
      <c r="F2875" t="s">
        <v>9088</v>
      </c>
      <c r="G2875" s="376" t="s">
        <v>9252</v>
      </c>
      <c r="H2875" t="s">
        <v>9253</v>
      </c>
      <c r="I2875"/>
      <c r="J2875"/>
      <c r="K2875" s="148" t="s">
        <v>9254</v>
      </c>
      <c r="L2875" t="s">
        <v>9255</v>
      </c>
      <c r="M2875" t="s">
        <v>9256</v>
      </c>
      <c r="N2875" s="373">
        <v>0</v>
      </c>
      <c r="O2875" s="374"/>
      <c r="P2875" s="373"/>
      <c r="Q2875" s="374"/>
      <c r="R2875" s="373"/>
      <c r="S2875" s="374"/>
      <c r="T2875"/>
      <c r="U2875" t="e">
        <f>VLOOKUP(T2875,[8]Votes!$A$1:$E$234,3,FALSE)</f>
        <v>#N/A</v>
      </c>
      <c r="V2875" t="s">
        <v>9257</v>
      </c>
      <c r="W2875" s="45">
        <v>1</v>
      </c>
      <c r="X2875" s="45">
        <v>1</v>
      </c>
      <c r="Y2875" s="45">
        <v>1</v>
      </c>
      <c r="Z2875" s="45">
        <v>0</v>
      </c>
      <c r="AA2875" s="45">
        <v>1</v>
      </c>
      <c r="AB2875" s="45">
        <v>0</v>
      </c>
      <c r="AC2875" s="150">
        <v>1</v>
      </c>
      <c r="AD2875" s="150"/>
      <c r="AE2875" s="49">
        <f t="shared" si="139"/>
        <v>0.625</v>
      </c>
      <c r="AF2875" s="276"/>
      <c r="AG2875" s="17">
        <v>0</v>
      </c>
      <c r="AH2875" s="276">
        <v>0</v>
      </c>
      <c r="AI2875" s="276">
        <v>12</v>
      </c>
      <c r="AJ2875" s="44">
        <v>12</v>
      </c>
      <c r="AK2875" s="158">
        <v>0</v>
      </c>
      <c r="AL2875" s="151">
        <v>0</v>
      </c>
      <c r="AM2875" s="17">
        <f t="shared" si="140"/>
        <v>0</v>
      </c>
      <c r="AN2875" t="s">
        <v>255</v>
      </c>
      <c r="AO2875" s="148" t="s">
        <v>1045</v>
      </c>
      <c r="AP2875" t="s">
        <v>7224</v>
      </c>
      <c r="AQ2875" s="47"/>
      <c r="AR2875" s="47"/>
    </row>
    <row r="2876" spans="1:44" s="45" customFormat="1" hidden="1" x14ac:dyDescent="0.3">
      <c r="A2876" s="371" t="s">
        <v>8323</v>
      </c>
      <c r="B2876" t="s">
        <v>8324</v>
      </c>
      <c r="C2876" s="148" t="s">
        <v>8841</v>
      </c>
      <c r="D2876" t="s">
        <v>8842</v>
      </c>
      <c r="E2876" s="148" t="s">
        <v>9087</v>
      </c>
      <c r="F2876" t="s">
        <v>9088</v>
      </c>
      <c r="G2876" s="376" t="s">
        <v>9252</v>
      </c>
      <c r="H2876" t="s">
        <v>9253</v>
      </c>
      <c r="I2876"/>
      <c r="J2876"/>
      <c r="K2876" s="148" t="s">
        <v>9254</v>
      </c>
      <c r="L2876" t="s">
        <v>9258</v>
      </c>
      <c r="M2876" t="s">
        <v>9259</v>
      </c>
      <c r="N2876" s="373">
        <v>0</v>
      </c>
      <c r="O2876" s="374"/>
      <c r="P2876" s="373"/>
      <c r="Q2876" s="374"/>
      <c r="R2876" s="373"/>
      <c r="S2876" s="374"/>
      <c r="T2876"/>
      <c r="U2876" t="e">
        <f>VLOOKUP(T2876,[8]Votes!$A$1:$E$234,3,FALSE)</f>
        <v>#N/A</v>
      </c>
      <c r="V2876" t="s">
        <v>9260</v>
      </c>
      <c r="W2876" s="45">
        <v>1</v>
      </c>
      <c r="X2876" s="45">
        <v>1</v>
      </c>
      <c r="Y2876" s="45">
        <v>1</v>
      </c>
      <c r="Z2876" s="45">
        <v>0</v>
      </c>
      <c r="AA2876" s="45">
        <v>1</v>
      </c>
      <c r="AB2876" s="45">
        <v>0</v>
      </c>
      <c r="AC2876" s="150">
        <v>1</v>
      </c>
      <c r="AD2876" s="150">
        <v>0</v>
      </c>
      <c r="AE2876" s="49">
        <f t="shared" si="139"/>
        <v>0.625</v>
      </c>
      <c r="AF2876" s="276"/>
      <c r="AG2876" s="17">
        <v>0</v>
      </c>
      <c r="AH2876" s="276">
        <v>0</v>
      </c>
      <c r="AI2876" s="276">
        <v>0</v>
      </c>
      <c r="AJ2876" s="44">
        <v>0</v>
      </c>
      <c r="AK2876" s="158">
        <v>0</v>
      </c>
      <c r="AL2876" s="151">
        <v>0</v>
      </c>
      <c r="AM2876" s="17">
        <f t="shared" si="140"/>
        <v>0</v>
      </c>
      <c r="AN2876" t="s">
        <v>771</v>
      </c>
      <c r="AO2876" s="148" t="s">
        <v>773</v>
      </c>
      <c r="AP2876" t="s">
        <v>280</v>
      </c>
      <c r="AQ2876" s="47"/>
      <c r="AR2876" s="47"/>
    </row>
    <row r="2877" spans="1:44" s="45" customFormat="1" hidden="1" x14ac:dyDescent="0.3">
      <c r="A2877" s="371" t="s">
        <v>8323</v>
      </c>
      <c r="B2877" t="s">
        <v>8324</v>
      </c>
      <c r="C2877" s="148" t="s">
        <v>8841</v>
      </c>
      <c r="D2877" t="s">
        <v>8842</v>
      </c>
      <c r="E2877" s="148" t="s">
        <v>9087</v>
      </c>
      <c r="F2877" t="s">
        <v>9088</v>
      </c>
      <c r="G2877" s="376" t="s">
        <v>9252</v>
      </c>
      <c r="H2877" t="s">
        <v>9253</v>
      </c>
      <c r="I2877"/>
      <c r="J2877"/>
      <c r="K2877" s="148" t="s">
        <v>9261</v>
      </c>
      <c r="L2877" t="s">
        <v>9262</v>
      </c>
      <c r="M2877" t="s">
        <v>9263</v>
      </c>
      <c r="N2877" s="373">
        <v>0</v>
      </c>
      <c r="O2877" s="374"/>
      <c r="P2877" s="373"/>
      <c r="Q2877" s="374"/>
      <c r="R2877" s="373"/>
      <c r="S2877" s="374"/>
      <c r="T2877"/>
      <c r="U2877" t="e">
        <f>VLOOKUP(T2877,[8]Votes!$A$1:$E$234,3,FALSE)</f>
        <v>#N/A</v>
      </c>
      <c r="V2877" t="s">
        <v>9264</v>
      </c>
      <c r="W2877" s="45">
        <v>1</v>
      </c>
      <c r="X2877" s="45">
        <v>1</v>
      </c>
      <c r="Y2877" s="45">
        <v>1</v>
      </c>
      <c r="Z2877" s="45">
        <v>0</v>
      </c>
      <c r="AA2877" s="45">
        <v>1</v>
      </c>
      <c r="AB2877" s="45">
        <v>0</v>
      </c>
      <c r="AC2877" s="150">
        <v>1</v>
      </c>
      <c r="AD2877" s="150">
        <v>0</v>
      </c>
      <c r="AE2877" s="49">
        <f t="shared" si="139"/>
        <v>0.625</v>
      </c>
      <c r="AF2877" s="276"/>
      <c r="AG2877" s="17">
        <v>0</v>
      </c>
      <c r="AH2877" s="276">
        <v>0</v>
      </c>
      <c r="AI2877" s="276">
        <v>0</v>
      </c>
      <c r="AJ2877" s="44">
        <v>0</v>
      </c>
      <c r="AK2877" s="158">
        <v>0</v>
      </c>
      <c r="AL2877" s="151">
        <v>0</v>
      </c>
      <c r="AM2877" s="17">
        <f t="shared" si="140"/>
        <v>0</v>
      </c>
      <c r="AN2877" t="s">
        <v>771</v>
      </c>
      <c r="AO2877" s="148" t="s">
        <v>773</v>
      </c>
      <c r="AP2877" t="s">
        <v>280</v>
      </c>
      <c r="AQ2877" s="47"/>
      <c r="AR2877" s="47"/>
    </row>
    <row r="2878" spans="1:44" s="45" customFormat="1" hidden="1" x14ac:dyDescent="0.3">
      <c r="A2878" s="371" t="s">
        <v>8323</v>
      </c>
      <c r="B2878" t="s">
        <v>8324</v>
      </c>
      <c r="C2878" s="148" t="s">
        <v>8841</v>
      </c>
      <c r="D2878" t="s">
        <v>8842</v>
      </c>
      <c r="E2878" s="148" t="s">
        <v>9087</v>
      </c>
      <c r="F2878" t="s">
        <v>9088</v>
      </c>
      <c r="G2878" s="376" t="s">
        <v>9252</v>
      </c>
      <c r="H2878" t="s">
        <v>9253</v>
      </c>
      <c r="I2878"/>
      <c r="J2878"/>
      <c r="K2878" s="148" t="s">
        <v>9265</v>
      </c>
      <c r="L2878" t="s">
        <v>9266</v>
      </c>
      <c r="M2878" t="s">
        <v>9267</v>
      </c>
      <c r="N2878" s="373">
        <v>0</v>
      </c>
      <c r="O2878" s="374"/>
      <c r="P2878" s="373"/>
      <c r="Q2878" s="374"/>
      <c r="R2878" s="373"/>
      <c r="S2878" s="374"/>
      <c r="T2878"/>
      <c r="U2878" t="e">
        <f>VLOOKUP(T2878,[8]Votes!$A$1:$E$234,3,FALSE)</f>
        <v>#N/A</v>
      </c>
      <c r="V2878" t="s">
        <v>9268</v>
      </c>
      <c r="W2878" s="45">
        <v>1</v>
      </c>
      <c r="X2878" s="45">
        <v>1</v>
      </c>
      <c r="Y2878" s="45">
        <v>1</v>
      </c>
      <c r="Z2878" s="45">
        <v>0</v>
      </c>
      <c r="AA2878" s="45">
        <v>1</v>
      </c>
      <c r="AB2878" s="45">
        <v>0</v>
      </c>
      <c r="AC2878" s="150">
        <v>1</v>
      </c>
      <c r="AD2878" s="150">
        <v>0</v>
      </c>
      <c r="AE2878" s="49">
        <f t="shared" si="139"/>
        <v>0.625</v>
      </c>
      <c r="AF2878" s="276"/>
      <c r="AG2878" s="17">
        <v>0</v>
      </c>
      <c r="AH2878" s="276">
        <v>0</v>
      </c>
      <c r="AI2878" s="276">
        <v>0</v>
      </c>
      <c r="AJ2878" s="44">
        <v>0</v>
      </c>
      <c r="AK2878" s="158">
        <v>0</v>
      </c>
      <c r="AL2878" s="151">
        <v>0</v>
      </c>
      <c r="AM2878" s="17">
        <f t="shared" si="140"/>
        <v>0</v>
      </c>
      <c r="AN2878" t="s">
        <v>771</v>
      </c>
      <c r="AO2878" s="148" t="s">
        <v>773</v>
      </c>
      <c r="AP2878" t="s">
        <v>280</v>
      </c>
      <c r="AQ2878" s="47"/>
      <c r="AR2878" s="47"/>
    </row>
    <row r="2879" spans="1:44" s="45" customFormat="1" hidden="1" x14ac:dyDescent="0.3">
      <c r="A2879" s="371" t="s">
        <v>8323</v>
      </c>
      <c r="B2879" t="s">
        <v>8324</v>
      </c>
      <c r="C2879" s="148" t="s">
        <v>8841</v>
      </c>
      <c r="D2879" t="s">
        <v>8842</v>
      </c>
      <c r="E2879" s="148" t="s">
        <v>9087</v>
      </c>
      <c r="F2879" t="s">
        <v>9088</v>
      </c>
      <c r="G2879" s="376" t="s">
        <v>9269</v>
      </c>
      <c r="H2879" t="s">
        <v>9270</v>
      </c>
      <c r="I2879"/>
      <c r="J2879"/>
      <c r="K2879" s="276" t="s">
        <v>9271</v>
      </c>
      <c r="L2879" s="148" t="s">
        <v>9272</v>
      </c>
      <c r="M2879" t="s">
        <v>9273</v>
      </c>
      <c r="N2879" s="373">
        <v>0</v>
      </c>
      <c r="O2879" s="374">
        <v>45</v>
      </c>
      <c r="P2879" s="373">
        <v>45</v>
      </c>
      <c r="Q2879" s="374">
        <v>45</v>
      </c>
      <c r="R2879" s="373">
        <v>45</v>
      </c>
      <c r="S2879" s="374">
        <v>45</v>
      </c>
      <c r="T2879" t="s">
        <v>9274</v>
      </c>
      <c r="U2879" t="e">
        <f>VLOOKUP(T2879,[8]Votes!$A$1:$E$234,3,FALSE)</f>
        <v>#N/A</v>
      </c>
      <c r="V2879" t="s">
        <v>9275</v>
      </c>
      <c r="W2879" s="45">
        <v>1</v>
      </c>
      <c r="X2879" s="45">
        <v>0</v>
      </c>
      <c r="Y2879" s="45">
        <v>0</v>
      </c>
      <c r="Z2879" s="45">
        <v>1</v>
      </c>
      <c r="AA2879" s="45">
        <v>0</v>
      </c>
      <c r="AB2879" s="45">
        <v>1</v>
      </c>
      <c r="AC2879" s="150">
        <v>1</v>
      </c>
      <c r="AD2879" s="150">
        <v>0</v>
      </c>
      <c r="AE2879" s="49">
        <f t="shared" si="139"/>
        <v>0.5</v>
      </c>
      <c r="AF2879" s="276"/>
      <c r="AG2879" s="17">
        <v>0</v>
      </c>
      <c r="AH2879" s="276">
        <v>0</v>
      </c>
      <c r="AI2879" s="276">
        <v>0</v>
      </c>
      <c r="AJ2879" s="44">
        <v>0</v>
      </c>
      <c r="AK2879" s="158">
        <v>0</v>
      </c>
      <c r="AL2879" s="151">
        <v>0</v>
      </c>
      <c r="AM2879" s="17">
        <f t="shared" si="140"/>
        <v>0</v>
      </c>
      <c r="AN2879" t="s">
        <v>407</v>
      </c>
      <c r="AO2879" s="148" t="s">
        <v>409</v>
      </c>
      <c r="AP2879" t="s">
        <v>9276</v>
      </c>
      <c r="AQ2879" s="47"/>
      <c r="AR2879" s="47"/>
    </row>
    <row r="2880" spans="1:44" s="45" customFormat="1" hidden="1" x14ac:dyDescent="0.3">
      <c r="A2880" s="371" t="s">
        <v>8323</v>
      </c>
      <c r="B2880" t="s">
        <v>8324</v>
      </c>
      <c r="C2880" s="148" t="s">
        <v>8841</v>
      </c>
      <c r="D2880" t="s">
        <v>8842</v>
      </c>
      <c r="E2880" s="148" t="s">
        <v>9087</v>
      </c>
      <c r="F2880" t="s">
        <v>9088</v>
      </c>
      <c r="G2880" s="376" t="s">
        <v>9269</v>
      </c>
      <c r="H2880" t="s">
        <v>9270</v>
      </c>
      <c r="I2880"/>
      <c r="J2880"/>
      <c r="K2880" s="148" t="s">
        <v>9271</v>
      </c>
      <c r="L2880" s="148" t="s">
        <v>9272</v>
      </c>
      <c r="M2880" t="s">
        <v>9277</v>
      </c>
      <c r="N2880" s="373">
        <v>0</v>
      </c>
      <c r="O2880" s="374">
        <v>870</v>
      </c>
      <c r="P2880" s="373">
        <v>870</v>
      </c>
      <c r="Q2880" s="374">
        <v>870</v>
      </c>
      <c r="R2880" s="373">
        <v>870</v>
      </c>
      <c r="S2880" s="374">
        <v>870</v>
      </c>
      <c r="T2880" t="s">
        <v>407</v>
      </c>
      <c r="U2880" t="str">
        <f>VLOOKUP(T2880,[8]Votes!$A$1:$E$234,3,FALSE)</f>
        <v>019 Ministry of Water and Environment</v>
      </c>
      <c r="V2880" t="s">
        <v>9278</v>
      </c>
      <c r="W2880" s="45">
        <v>1</v>
      </c>
      <c r="X2880" s="45">
        <v>1</v>
      </c>
      <c r="Y2880" s="45">
        <v>0</v>
      </c>
      <c r="Z2880" s="45">
        <v>1</v>
      </c>
      <c r="AA2880" s="45">
        <v>0</v>
      </c>
      <c r="AB2880" s="45">
        <v>1</v>
      </c>
      <c r="AC2880" s="150">
        <v>1</v>
      </c>
      <c r="AD2880" s="150">
        <v>0</v>
      </c>
      <c r="AE2880" s="49">
        <f t="shared" ref="AE2880:AE2897" si="141">SUM(W2880:AD2880)/8</f>
        <v>0.625</v>
      </c>
      <c r="AF2880" s="276"/>
      <c r="AG2880" s="17">
        <v>0</v>
      </c>
      <c r="AH2880" s="276">
        <v>0</v>
      </c>
      <c r="AI2880" s="276">
        <v>0</v>
      </c>
      <c r="AJ2880" s="44">
        <v>0</v>
      </c>
      <c r="AK2880" s="158">
        <v>0</v>
      </c>
      <c r="AL2880" s="151">
        <v>0</v>
      </c>
      <c r="AM2880" s="17">
        <f t="shared" ref="AM2880:AM2897" si="142">SUM(AK2880:AL2880)</f>
        <v>0</v>
      </c>
      <c r="AN2880" t="s">
        <v>407</v>
      </c>
      <c r="AO2880" s="148" t="s">
        <v>409</v>
      </c>
      <c r="AP2880" t="s">
        <v>9276</v>
      </c>
      <c r="AQ2880" s="47"/>
      <c r="AR2880" s="47"/>
    </row>
    <row r="2881" spans="1:44" s="45" customFormat="1" hidden="1" x14ac:dyDescent="0.3">
      <c r="A2881" s="371" t="s">
        <v>8323</v>
      </c>
      <c r="B2881" t="s">
        <v>8324</v>
      </c>
      <c r="C2881" s="148" t="s">
        <v>8841</v>
      </c>
      <c r="D2881" t="s">
        <v>8842</v>
      </c>
      <c r="E2881" s="148" t="s">
        <v>9087</v>
      </c>
      <c r="F2881" t="s">
        <v>9088</v>
      </c>
      <c r="G2881" s="376" t="s">
        <v>9269</v>
      </c>
      <c r="H2881" t="s">
        <v>9270</v>
      </c>
      <c r="I2881"/>
      <c r="J2881"/>
      <c r="K2881" s="148" t="s">
        <v>9271</v>
      </c>
      <c r="L2881" s="148" t="s">
        <v>9272</v>
      </c>
      <c r="M2881" t="s">
        <v>9279</v>
      </c>
      <c r="N2881" s="373">
        <v>0</v>
      </c>
      <c r="O2881" s="374"/>
      <c r="P2881" s="373"/>
      <c r="Q2881" s="374"/>
      <c r="R2881" s="373"/>
      <c r="S2881" s="374"/>
      <c r="T2881"/>
      <c r="U2881" t="e">
        <f>VLOOKUP(T2881,[8]Votes!$A$1:$E$234,3,FALSE)</f>
        <v>#N/A</v>
      </c>
      <c r="V2881" t="s">
        <v>9280</v>
      </c>
      <c r="W2881" s="45">
        <v>1</v>
      </c>
      <c r="X2881" s="45">
        <v>0</v>
      </c>
      <c r="Y2881" s="45">
        <v>0</v>
      </c>
      <c r="Z2881" s="45">
        <v>1</v>
      </c>
      <c r="AA2881" s="45">
        <v>0</v>
      </c>
      <c r="AB2881" s="45">
        <v>1</v>
      </c>
      <c r="AC2881" s="150">
        <v>1</v>
      </c>
      <c r="AD2881" s="150">
        <v>0</v>
      </c>
      <c r="AE2881" s="49">
        <f t="shared" si="141"/>
        <v>0.5</v>
      </c>
      <c r="AF2881" s="276"/>
      <c r="AG2881" s="17">
        <v>0</v>
      </c>
      <c r="AH2881" s="276">
        <v>0</v>
      </c>
      <c r="AI2881" s="276">
        <v>0</v>
      </c>
      <c r="AJ2881" s="44">
        <v>0</v>
      </c>
      <c r="AK2881" s="158">
        <v>0</v>
      </c>
      <c r="AL2881" s="151">
        <v>0</v>
      </c>
      <c r="AM2881" s="17">
        <f t="shared" si="142"/>
        <v>0</v>
      </c>
      <c r="AN2881" t="s">
        <v>407</v>
      </c>
      <c r="AO2881" s="148" t="s">
        <v>409</v>
      </c>
      <c r="AP2881" t="s">
        <v>9276</v>
      </c>
      <c r="AQ2881" s="47"/>
      <c r="AR2881" s="47"/>
    </row>
    <row r="2882" spans="1:44" s="45" customFormat="1" hidden="1" x14ac:dyDescent="0.3">
      <c r="A2882" s="371" t="s">
        <v>8323</v>
      </c>
      <c r="B2882" t="s">
        <v>8324</v>
      </c>
      <c r="C2882" s="148" t="s">
        <v>8841</v>
      </c>
      <c r="D2882" t="s">
        <v>8842</v>
      </c>
      <c r="E2882" s="148" t="s">
        <v>9087</v>
      </c>
      <c r="F2882" t="s">
        <v>9088</v>
      </c>
      <c r="G2882" s="376" t="s">
        <v>9269</v>
      </c>
      <c r="H2882" t="s">
        <v>9270</v>
      </c>
      <c r="I2882"/>
      <c r="J2882"/>
      <c r="K2882" s="148" t="s">
        <v>9271</v>
      </c>
      <c r="L2882" s="148" t="s">
        <v>9272</v>
      </c>
      <c r="M2882" t="s">
        <v>9281</v>
      </c>
      <c r="N2882" s="373"/>
      <c r="O2882" s="374"/>
      <c r="P2882" s="373"/>
      <c r="Q2882" s="374"/>
      <c r="R2882" s="373"/>
      <c r="S2882" s="374"/>
      <c r="T2882"/>
      <c r="U2882" t="e">
        <f>VLOOKUP(T2882,[8]Votes!$A$1:$E$234,3,FALSE)</f>
        <v>#N/A</v>
      </c>
      <c r="V2882" t="s">
        <v>9282</v>
      </c>
      <c r="W2882" s="45">
        <v>1</v>
      </c>
      <c r="X2882" s="45">
        <v>1</v>
      </c>
      <c r="Y2882" s="45">
        <v>0</v>
      </c>
      <c r="Z2882" s="45">
        <v>1</v>
      </c>
      <c r="AA2882" s="45">
        <v>0</v>
      </c>
      <c r="AB2882" s="45">
        <v>1</v>
      </c>
      <c r="AC2882" s="150">
        <v>1</v>
      </c>
      <c r="AD2882" s="150">
        <v>0</v>
      </c>
      <c r="AE2882" s="49">
        <f t="shared" si="141"/>
        <v>0.625</v>
      </c>
      <c r="AF2882" s="276"/>
      <c r="AG2882" s="17">
        <v>0</v>
      </c>
      <c r="AH2882" s="276">
        <v>0</v>
      </c>
      <c r="AI2882" s="276">
        <v>0</v>
      </c>
      <c r="AJ2882" s="44">
        <v>0</v>
      </c>
      <c r="AK2882" s="158">
        <v>0</v>
      </c>
      <c r="AL2882" s="151">
        <v>0</v>
      </c>
      <c r="AM2882" s="17">
        <f t="shared" si="142"/>
        <v>0</v>
      </c>
      <c r="AN2882" t="s">
        <v>407</v>
      </c>
      <c r="AO2882" s="148" t="s">
        <v>409</v>
      </c>
      <c r="AP2882" t="s">
        <v>9276</v>
      </c>
      <c r="AQ2882" s="47"/>
      <c r="AR2882" s="47"/>
    </row>
    <row r="2883" spans="1:44" s="45" customFormat="1" hidden="1" x14ac:dyDescent="0.3">
      <c r="A2883" s="371" t="s">
        <v>8323</v>
      </c>
      <c r="B2883" t="s">
        <v>8324</v>
      </c>
      <c r="C2883" s="148" t="s">
        <v>8841</v>
      </c>
      <c r="D2883" t="s">
        <v>8842</v>
      </c>
      <c r="E2883" s="148" t="s">
        <v>9087</v>
      </c>
      <c r="F2883" t="s">
        <v>9088</v>
      </c>
      <c r="G2883" s="376" t="s">
        <v>9269</v>
      </c>
      <c r="H2883" t="s">
        <v>9270</v>
      </c>
      <c r="I2883"/>
      <c r="J2883"/>
      <c r="K2883" s="148" t="s">
        <v>9283</v>
      </c>
      <c r="L2883" t="s">
        <v>9284</v>
      </c>
      <c r="M2883" t="s">
        <v>9285</v>
      </c>
      <c r="N2883" s="373">
        <v>0</v>
      </c>
      <c r="O2883" s="374"/>
      <c r="P2883" s="373"/>
      <c r="Q2883" s="374"/>
      <c r="R2883" s="373"/>
      <c r="S2883" s="374"/>
      <c r="T2883"/>
      <c r="U2883" t="e">
        <f>VLOOKUP(T2883,[8]Votes!$A$1:$E$234,3,FALSE)</f>
        <v>#N/A</v>
      </c>
      <c r="V2883" t="s">
        <v>9286</v>
      </c>
      <c r="W2883" s="45">
        <v>1</v>
      </c>
      <c r="X2883" s="45">
        <v>1</v>
      </c>
      <c r="Y2883" s="45">
        <v>1</v>
      </c>
      <c r="Z2883" s="45">
        <v>1</v>
      </c>
      <c r="AA2883" s="45">
        <v>0</v>
      </c>
      <c r="AB2883" s="45">
        <v>0</v>
      </c>
      <c r="AC2883" s="150">
        <v>1</v>
      </c>
      <c r="AD2883" s="150">
        <v>0</v>
      </c>
      <c r="AE2883" s="49">
        <f t="shared" si="141"/>
        <v>0.625</v>
      </c>
      <c r="AF2883" s="276"/>
      <c r="AG2883" s="17">
        <v>0</v>
      </c>
      <c r="AH2883" s="276">
        <v>0</v>
      </c>
      <c r="AI2883" s="276">
        <v>0</v>
      </c>
      <c r="AJ2883" s="44">
        <v>0</v>
      </c>
      <c r="AK2883" s="158">
        <v>0</v>
      </c>
      <c r="AL2883" s="151">
        <v>0</v>
      </c>
      <c r="AM2883" s="17">
        <f t="shared" si="142"/>
        <v>0</v>
      </c>
      <c r="AN2883" t="s">
        <v>407</v>
      </c>
      <c r="AO2883" s="148" t="s">
        <v>409</v>
      </c>
      <c r="AP2883" t="s">
        <v>3605</v>
      </c>
      <c r="AQ2883" s="47"/>
      <c r="AR2883" s="47"/>
    </row>
    <row r="2884" spans="1:44" s="45" customFormat="1" hidden="1" x14ac:dyDescent="0.3">
      <c r="A2884" s="371" t="s">
        <v>8323</v>
      </c>
      <c r="B2884" t="s">
        <v>8324</v>
      </c>
      <c r="C2884" s="148" t="s">
        <v>8841</v>
      </c>
      <c r="D2884" t="s">
        <v>8842</v>
      </c>
      <c r="E2884" s="148" t="s">
        <v>9087</v>
      </c>
      <c r="F2884" t="s">
        <v>9088</v>
      </c>
      <c r="G2884" s="376" t="s">
        <v>9269</v>
      </c>
      <c r="H2884" t="s">
        <v>9270</v>
      </c>
      <c r="I2884"/>
      <c r="J2884"/>
      <c r="K2884" s="148" t="s">
        <v>9287</v>
      </c>
      <c r="L2884" t="s">
        <v>9288</v>
      </c>
      <c r="M2884" t="s">
        <v>9289</v>
      </c>
      <c r="N2884" s="373">
        <v>0</v>
      </c>
      <c r="O2884" s="374"/>
      <c r="P2884" s="373"/>
      <c r="Q2884" s="374"/>
      <c r="R2884" s="373"/>
      <c r="S2884" s="374"/>
      <c r="T2884"/>
      <c r="U2884" t="e">
        <f>VLOOKUP(T2884,[8]Votes!$A$1:$E$234,3,FALSE)</f>
        <v>#N/A</v>
      </c>
      <c r="V2884" t="s">
        <v>9290</v>
      </c>
      <c r="W2884" s="45">
        <v>1</v>
      </c>
      <c r="X2884" s="45">
        <v>1</v>
      </c>
      <c r="Y2884" s="45">
        <v>1</v>
      </c>
      <c r="Z2884" s="45">
        <v>1</v>
      </c>
      <c r="AA2884" s="45">
        <v>0</v>
      </c>
      <c r="AB2884" s="45">
        <v>0</v>
      </c>
      <c r="AC2884" s="150">
        <v>1</v>
      </c>
      <c r="AD2884" s="150">
        <v>0</v>
      </c>
      <c r="AE2884" s="49">
        <f t="shared" si="141"/>
        <v>0.625</v>
      </c>
      <c r="AF2884" s="276"/>
      <c r="AG2884" s="17">
        <v>0</v>
      </c>
      <c r="AH2884" s="276">
        <v>0</v>
      </c>
      <c r="AI2884" s="276">
        <v>0</v>
      </c>
      <c r="AJ2884" s="44">
        <v>0</v>
      </c>
      <c r="AK2884" s="158">
        <v>0</v>
      </c>
      <c r="AL2884" s="151">
        <v>0</v>
      </c>
      <c r="AM2884" s="17">
        <f t="shared" si="142"/>
        <v>0</v>
      </c>
      <c r="AN2884" t="s">
        <v>8787</v>
      </c>
      <c r="AO2884" s="148" t="s">
        <v>9291</v>
      </c>
      <c r="AP2884" t="s">
        <v>9292</v>
      </c>
      <c r="AQ2884" s="47"/>
      <c r="AR2884" s="47"/>
    </row>
    <row r="2885" spans="1:44" s="45" customFormat="1" hidden="1" x14ac:dyDescent="0.3">
      <c r="A2885" s="371" t="s">
        <v>8323</v>
      </c>
      <c r="B2885" t="s">
        <v>8324</v>
      </c>
      <c r="C2885" s="148" t="s">
        <v>8841</v>
      </c>
      <c r="D2885" t="s">
        <v>8842</v>
      </c>
      <c r="E2885" s="148" t="s">
        <v>9087</v>
      </c>
      <c r="F2885" t="s">
        <v>9088</v>
      </c>
      <c r="G2885" s="376" t="s">
        <v>9269</v>
      </c>
      <c r="H2885" t="s">
        <v>9270</v>
      </c>
      <c r="I2885"/>
      <c r="J2885"/>
      <c r="K2885" s="148" t="s">
        <v>9293</v>
      </c>
      <c r="L2885" t="s">
        <v>9294</v>
      </c>
      <c r="M2885" t="s">
        <v>9295</v>
      </c>
      <c r="N2885" s="373">
        <v>0</v>
      </c>
      <c r="O2885" s="374"/>
      <c r="P2885" s="373"/>
      <c r="Q2885" s="374"/>
      <c r="R2885" s="373"/>
      <c r="S2885" s="374"/>
      <c r="T2885"/>
      <c r="U2885" t="e">
        <f>VLOOKUP(T2885,[8]Votes!$A$1:$E$234,3,FALSE)</f>
        <v>#N/A</v>
      </c>
      <c r="V2885" t="s">
        <v>9296</v>
      </c>
      <c r="W2885" s="45">
        <v>1</v>
      </c>
      <c r="X2885" s="45">
        <v>1</v>
      </c>
      <c r="Y2885" s="45">
        <v>1</v>
      </c>
      <c r="Z2885" s="45">
        <v>1</v>
      </c>
      <c r="AA2885" s="45">
        <v>0</v>
      </c>
      <c r="AB2885" s="45">
        <v>0</v>
      </c>
      <c r="AC2885" s="150">
        <v>1</v>
      </c>
      <c r="AD2885" s="150">
        <v>0</v>
      </c>
      <c r="AE2885" s="49">
        <f t="shared" si="141"/>
        <v>0.625</v>
      </c>
      <c r="AF2885" s="276"/>
      <c r="AG2885" s="17">
        <v>0</v>
      </c>
      <c r="AH2885" s="276">
        <v>0</v>
      </c>
      <c r="AI2885" s="276">
        <v>0</v>
      </c>
      <c r="AJ2885" s="44">
        <v>0</v>
      </c>
      <c r="AK2885" s="158">
        <v>0</v>
      </c>
      <c r="AL2885" s="151">
        <v>0</v>
      </c>
      <c r="AM2885" s="17">
        <f t="shared" si="142"/>
        <v>0</v>
      </c>
      <c r="AN2885" t="s">
        <v>8787</v>
      </c>
      <c r="AO2885" s="148" t="s">
        <v>9291</v>
      </c>
      <c r="AP2885" t="s">
        <v>9292</v>
      </c>
      <c r="AQ2885" s="47"/>
      <c r="AR2885" s="47"/>
    </row>
    <row r="2886" spans="1:44" s="45" customFormat="1" hidden="1" x14ac:dyDescent="0.3">
      <c r="A2886" s="371" t="s">
        <v>8323</v>
      </c>
      <c r="B2886" t="s">
        <v>8324</v>
      </c>
      <c r="C2886" s="148" t="s">
        <v>8841</v>
      </c>
      <c r="D2886" t="s">
        <v>8842</v>
      </c>
      <c r="E2886" s="148" t="s">
        <v>9087</v>
      </c>
      <c r="F2886" t="s">
        <v>9088</v>
      </c>
      <c r="G2886" s="376" t="s">
        <v>9269</v>
      </c>
      <c r="H2886" t="s">
        <v>9270</v>
      </c>
      <c r="I2886"/>
      <c r="J2886"/>
      <c r="K2886" s="148" t="s">
        <v>9297</v>
      </c>
      <c r="L2886" t="s">
        <v>9298</v>
      </c>
      <c r="M2886" t="s">
        <v>9299</v>
      </c>
      <c r="N2886" s="373"/>
      <c r="O2886" s="374"/>
      <c r="P2886" s="373"/>
      <c r="Q2886" s="374"/>
      <c r="R2886" s="373"/>
      <c r="S2886" s="374"/>
      <c r="T2886"/>
      <c r="U2886" t="e">
        <f>VLOOKUP(T2886,[8]Votes!$A$1:$E$234,3,FALSE)</f>
        <v>#N/A</v>
      </c>
      <c r="V2886" t="s">
        <v>9298</v>
      </c>
      <c r="W2886" s="45">
        <v>1</v>
      </c>
      <c r="X2886" s="45">
        <v>1</v>
      </c>
      <c r="Y2886" s="45">
        <v>1</v>
      </c>
      <c r="Z2886" s="45">
        <v>1</v>
      </c>
      <c r="AA2886" s="45">
        <v>0</v>
      </c>
      <c r="AB2886" s="45">
        <v>0</v>
      </c>
      <c r="AC2886" s="150">
        <v>1</v>
      </c>
      <c r="AD2886" s="150">
        <v>0</v>
      </c>
      <c r="AE2886" s="49">
        <f t="shared" si="141"/>
        <v>0.625</v>
      </c>
      <c r="AF2886" s="276"/>
      <c r="AG2886" s="17">
        <v>0</v>
      </c>
      <c r="AH2886" s="276">
        <v>0</v>
      </c>
      <c r="AI2886" s="276">
        <v>0</v>
      </c>
      <c r="AJ2886" s="44">
        <v>0</v>
      </c>
      <c r="AK2886" s="158">
        <v>0</v>
      </c>
      <c r="AL2886" s="151">
        <v>0</v>
      </c>
      <c r="AM2886" s="17">
        <f t="shared" si="142"/>
        <v>0</v>
      </c>
      <c r="AN2886" t="s">
        <v>3605</v>
      </c>
      <c r="AO2886" s="148" t="s">
        <v>4178</v>
      </c>
      <c r="AP2886" t="s">
        <v>3605</v>
      </c>
      <c r="AQ2886" s="47"/>
      <c r="AR2886" s="47"/>
    </row>
    <row r="2887" spans="1:44" s="45" customFormat="1" x14ac:dyDescent="0.3">
      <c r="A2887" s="371" t="s">
        <v>8323</v>
      </c>
      <c r="B2887" t="s">
        <v>8324</v>
      </c>
      <c r="C2887" s="148" t="s">
        <v>9300</v>
      </c>
      <c r="D2887" t="s">
        <v>9301</v>
      </c>
      <c r="E2887" s="148" t="s">
        <v>9302</v>
      </c>
      <c r="F2887" t="s">
        <v>9303</v>
      </c>
      <c r="G2887" s="376" t="s">
        <v>9304</v>
      </c>
      <c r="H2887" t="s">
        <v>9305</v>
      </c>
      <c r="I2887"/>
      <c r="J2887"/>
      <c r="K2887" s="148" t="s">
        <v>9306</v>
      </c>
      <c r="L2887" t="s">
        <v>9307</v>
      </c>
      <c r="M2887" s="148" t="s">
        <v>9308</v>
      </c>
      <c r="N2887" s="373"/>
      <c r="O2887" s="374">
        <v>435</v>
      </c>
      <c r="P2887" s="373">
        <v>435</v>
      </c>
      <c r="Q2887" s="374">
        <v>435</v>
      </c>
      <c r="R2887" s="373">
        <v>435</v>
      </c>
      <c r="S2887" s="374">
        <v>435</v>
      </c>
      <c r="T2887" t="s">
        <v>1345</v>
      </c>
      <c r="U2887" t="str">
        <f>VLOOKUP(T2887,[8]Votes!$A$1:$E$234,3,FALSE)</f>
        <v>001 Office of the President</v>
      </c>
      <c r="V2887" t="s">
        <v>9309</v>
      </c>
      <c r="W2887" s="45">
        <v>1</v>
      </c>
      <c r="X2887" s="45">
        <v>1</v>
      </c>
      <c r="Y2887" s="45">
        <v>1</v>
      </c>
      <c r="Z2887" s="45">
        <v>1</v>
      </c>
      <c r="AA2887" s="45">
        <v>1</v>
      </c>
      <c r="AB2887" s="45">
        <v>1</v>
      </c>
      <c r="AC2887" s="150">
        <v>1</v>
      </c>
      <c r="AD2887" s="150">
        <v>0</v>
      </c>
      <c r="AE2887" s="49">
        <f t="shared" si="141"/>
        <v>0.875</v>
      </c>
      <c r="AF2887" s="276"/>
      <c r="AG2887" s="17">
        <v>0</v>
      </c>
      <c r="AH2887" s="276">
        <v>0</v>
      </c>
      <c r="AI2887" s="276">
        <v>5</v>
      </c>
      <c r="AJ2887" s="44">
        <v>5</v>
      </c>
      <c r="AK2887" s="158">
        <v>0</v>
      </c>
      <c r="AL2887" s="151">
        <v>0</v>
      </c>
      <c r="AM2887" s="17">
        <f t="shared" si="142"/>
        <v>0</v>
      </c>
      <c r="AN2887" t="s">
        <v>1332</v>
      </c>
      <c r="AO2887" s="148" t="s">
        <v>1334</v>
      </c>
      <c r="AP2887" t="s">
        <v>280</v>
      </c>
    </row>
    <row r="2888" spans="1:44" s="45" customFormat="1" hidden="1" x14ac:dyDescent="0.3">
      <c r="A2888" s="371" t="s">
        <v>8323</v>
      </c>
      <c r="B2888" t="s">
        <v>8324</v>
      </c>
      <c r="C2888" s="148" t="s">
        <v>9300</v>
      </c>
      <c r="D2888" t="s">
        <v>9301</v>
      </c>
      <c r="E2888" s="148" t="s">
        <v>9302</v>
      </c>
      <c r="F2888" t="s">
        <v>9303</v>
      </c>
      <c r="G2888" s="376" t="s">
        <v>9304</v>
      </c>
      <c r="H2888" t="s">
        <v>9305</v>
      </c>
      <c r="I2888"/>
      <c r="J2888"/>
      <c r="K2888" s="148" t="s">
        <v>9310</v>
      </c>
      <c r="L2888" s="148" t="s">
        <v>9311</v>
      </c>
      <c r="M2888" t="s">
        <v>9312</v>
      </c>
      <c r="N2888" s="373"/>
      <c r="O2888" s="374">
        <v>87</v>
      </c>
      <c r="P2888" s="373">
        <v>87</v>
      </c>
      <c r="Q2888" s="374">
        <v>87</v>
      </c>
      <c r="R2888" s="373">
        <v>87</v>
      </c>
      <c r="S2888" s="374">
        <v>87</v>
      </c>
      <c r="T2888" t="s">
        <v>6300</v>
      </c>
      <c r="U2888" t="str">
        <f>VLOOKUP(T2888,[8]Votes!$A$1:$E$234,3,FALSE)</f>
        <v>147 Local Government Finance Commission</v>
      </c>
      <c r="V2888" t="s">
        <v>9313</v>
      </c>
      <c r="W2888" s="45">
        <v>1</v>
      </c>
      <c r="X2888" s="45">
        <v>1</v>
      </c>
      <c r="Y2888" s="45">
        <v>1</v>
      </c>
      <c r="Z2888" s="45">
        <v>0</v>
      </c>
      <c r="AA2888" s="45">
        <v>0</v>
      </c>
      <c r="AB2888" s="45">
        <v>0</v>
      </c>
      <c r="AC2888" s="150">
        <v>0</v>
      </c>
      <c r="AD2888" s="150">
        <v>1</v>
      </c>
      <c r="AE2888" s="49">
        <f t="shared" si="141"/>
        <v>0.5</v>
      </c>
      <c r="AF2888" s="276"/>
      <c r="AG2888" s="17">
        <v>0</v>
      </c>
      <c r="AH2888" s="276">
        <v>0</v>
      </c>
      <c r="AI2888" s="276">
        <v>0</v>
      </c>
      <c r="AJ2888" s="44">
        <v>0</v>
      </c>
      <c r="AK2888" s="158">
        <v>0</v>
      </c>
      <c r="AL2888" s="151">
        <v>0</v>
      </c>
      <c r="AM2888" s="17">
        <f t="shared" si="142"/>
        <v>0</v>
      </c>
      <c r="AN2888" t="s">
        <v>6300</v>
      </c>
      <c r="AO2888" s="148" t="s">
        <v>6301</v>
      </c>
      <c r="AP2888" t="s">
        <v>280</v>
      </c>
    </row>
    <row r="2889" spans="1:44" s="45" customFormat="1" hidden="1" x14ac:dyDescent="0.3">
      <c r="A2889" s="371" t="s">
        <v>8323</v>
      </c>
      <c r="B2889" t="s">
        <v>8324</v>
      </c>
      <c r="C2889" s="148" t="s">
        <v>9300</v>
      </c>
      <c r="D2889" t="s">
        <v>9301</v>
      </c>
      <c r="E2889" s="148" t="s">
        <v>9302</v>
      </c>
      <c r="F2889" t="s">
        <v>9303</v>
      </c>
      <c r="G2889" s="376" t="s">
        <v>9304</v>
      </c>
      <c r="H2889" t="s">
        <v>9305</v>
      </c>
      <c r="I2889"/>
      <c r="J2889"/>
      <c r="K2889" s="148" t="s">
        <v>9314</v>
      </c>
      <c r="L2889" s="148" t="s">
        <v>9315</v>
      </c>
      <c r="M2889" t="s">
        <v>9316</v>
      </c>
      <c r="N2889" s="373">
        <v>0</v>
      </c>
      <c r="O2889" s="374">
        <v>870</v>
      </c>
      <c r="P2889" s="373">
        <v>870</v>
      </c>
      <c r="Q2889" s="374">
        <v>870</v>
      </c>
      <c r="R2889" s="373">
        <v>870</v>
      </c>
      <c r="S2889" s="374">
        <v>870</v>
      </c>
      <c r="T2889" t="s">
        <v>280</v>
      </c>
      <c r="U2889" t="str">
        <f>VLOOKUP(T2889,[8]Votes!$A$1:$E$234,3,FALSE)</f>
        <v>011 Ministry of Local Government</v>
      </c>
      <c r="V2889" t="s">
        <v>9317</v>
      </c>
      <c r="W2889" s="45">
        <v>1</v>
      </c>
      <c r="X2889" s="45">
        <v>0</v>
      </c>
      <c r="Y2889" s="45">
        <v>0</v>
      </c>
      <c r="Z2889" s="45">
        <v>1</v>
      </c>
      <c r="AA2889" s="45">
        <v>1</v>
      </c>
      <c r="AB2889" s="45">
        <v>0</v>
      </c>
      <c r="AC2889" s="150">
        <v>1</v>
      </c>
      <c r="AD2889" s="150">
        <v>1</v>
      </c>
      <c r="AE2889" s="49">
        <f t="shared" si="141"/>
        <v>0.625</v>
      </c>
      <c r="AF2889" s="276"/>
      <c r="AG2889" s="17">
        <v>0</v>
      </c>
      <c r="AH2889" s="276">
        <v>0</v>
      </c>
      <c r="AI2889" s="276">
        <v>2.13</v>
      </c>
      <c r="AJ2889" s="44">
        <v>2.13</v>
      </c>
      <c r="AK2889" s="158">
        <v>0</v>
      </c>
      <c r="AL2889" s="151">
        <v>0</v>
      </c>
      <c r="AM2889" s="17">
        <f t="shared" si="142"/>
        <v>0</v>
      </c>
      <c r="AN2889" t="s">
        <v>280</v>
      </c>
      <c r="AO2889" s="148" t="s">
        <v>1151</v>
      </c>
      <c r="AP2889" t="s">
        <v>3863</v>
      </c>
    </row>
    <row r="2890" spans="1:44" s="45" customFormat="1" x14ac:dyDescent="0.3">
      <c r="A2890" s="371" t="s">
        <v>8323</v>
      </c>
      <c r="B2890" t="s">
        <v>8324</v>
      </c>
      <c r="C2890" s="148" t="s">
        <v>9300</v>
      </c>
      <c r="D2890" t="s">
        <v>9301</v>
      </c>
      <c r="E2890" s="148" t="s">
        <v>9302</v>
      </c>
      <c r="F2890" t="s">
        <v>9303</v>
      </c>
      <c r="G2890" s="376" t="s">
        <v>9304</v>
      </c>
      <c r="H2890" t="s">
        <v>9305</v>
      </c>
      <c r="I2890"/>
      <c r="J2890"/>
      <c r="K2890" s="148" t="s">
        <v>9314</v>
      </c>
      <c r="L2890" s="148" t="s">
        <v>9318</v>
      </c>
      <c r="M2890" t="s">
        <v>9319</v>
      </c>
      <c r="N2890" s="373">
        <v>0</v>
      </c>
      <c r="O2890" s="374">
        <v>174</v>
      </c>
      <c r="P2890" s="373">
        <v>174</v>
      </c>
      <c r="Q2890" s="374">
        <v>174</v>
      </c>
      <c r="R2890" s="373">
        <v>174</v>
      </c>
      <c r="S2890" s="374">
        <v>174</v>
      </c>
      <c r="T2890" t="s">
        <v>280</v>
      </c>
      <c r="U2890" t="str">
        <f>VLOOKUP(T2890,[8]Votes!$A$1:$E$234,3,FALSE)</f>
        <v>011 Ministry of Local Government</v>
      </c>
      <c r="V2890" t="s">
        <v>9320</v>
      </c>
      <c r="W2890" s="45">
        <v>1</v>
      </c>
      <c r="X2890" s="45">
        <v>0</v>
      </c>
      <c r="Y2890" s="45">
        <v>1</v>
      </c>
      <c r="Z2890" s="45">
        <v>1</v>
      </c>
      <c r="AA2890" s="45">
        <v>1</v>
      </c>
      <c r="AB2890" s="45">
        <v>0</v>
      </c>
      <c r="AC2890" s="150">
        <v>1</v>
      </c>
      <c r="AD2890" s="150">
        <v>1</v>
      </c>
      <c r="AE2890" s="49">
        <f t="shared" si="141"/>
        <v>0.75</v>
      </c>
      <c r="AF2890" s="276"/>
      <c r="AG2890" s="17">
        <v>0</v>
      </c>
      <c r="AH2890" s="276">
        <v>0</v>
      </c>
      <c r="AI2890" s="276">
        <v>7</v>
      </c>
      <c r="AJ2890" s="44">
        <v>7</v>
      </c>
      <c r="AK2890" s="158">
        <v>0</v>
      </c>
      <c r="AL2890" s="151">
        <v>0</v>
      </c>
      <c r="AM2890" s="17">
        <f t="shared" si="142"/>
        <v>0</v>
      </c>
      <c r="AN2890" t="s">
        <v>280</v>
      </c>
      <c r="AO2890" s="148" t="s">
        <v>1151</v>
      </c>
      <c r="AP2890" t="s">
        <v>9321</v>
      </c>
    </row>
    <row r="2891" spans="1:44" s="45" customFormat="1" hidden="1" x14ac:dyDescent="0.3">
      <c r="A2891" s="371" t="s">
        <v>8323</v>
      </c>
      <c r="B2891" t="s">
        <v>8324</v>
      </c>
      <c r="C2891" s="148" t="s">
        <v>9300</v>
      </c>
      <c r="D2891" t="s">
        <v>9301</v>
      </c>
      <c r="E2891" s="148" t="s">
        <v>9302</v>
      </c>
      <c r="F2891" t="s">
        <v>9303</v>
      </c>
      <c r="G2891" s="376" t="s">
        <v>9304</v>
      </c>
      <c r="H2891" t="s">
        <v>9305</v>
      </c>
      <c r="I2891"/>
      <c r="J2891"/>
      <c r="K2891" s="148" t="s">
        <v>9322</v>
      </c>
      <c r="L2891" s="148" t="s">
        <v>9323</v>
      </c>
      <c r="M2891" t="s">
        <v>9324</v>
      </c>
      <c r="N2891" s="373">
        <v>0</v>
      </c>
      <c r="O2891" s="374">
        <v>87</v>
      </c>
      <c r="P2891" s="373">
        <v>87</v>
      </c>
      <c r="Q2891" s="374">
        <v>87</v>
      </c>
      <c r="R2891" s="373">
        <v>87</v>
      </c>
      <c r="S2891" s="374">
        <v>87</v>
      </c>
      <c r="T2891" t="s">
        <v>280</v>
      </c>
      <c r="U2891" t="str">
        <f>VLOOKUP(T2891,[8]Votes!$A$1:$E$234,3,FALSE)</f>
        <v>011 Ministry of Local Government</v>
      </c>
      <c r="V2891" t="s">
        <v>9325</v>
      </c>
      <c r="W2891" s="45">
        <v>1</v>
      </c>
      <c r="X2891" s="45">
        <v>0</v>
      </c>
      <c r="Y2891" s="45">
        <v>0</v>
      </c>
      <c r="Z2891" s="45">
        <v>1</v>
      </c>
      <c r="AA2891" s="45">
        <v>1</v>
      </c>
      <c r="AB2891" s="45">
        <v>0</v>
      </c>
      <c r="AC2891" s="150">
        <v>1</v>
      </c>
      <c r="AD2891" s="150">
        <v>1</v>
      </c>
      <c r="AE2891" s="49">
        <f t="shared" si="141"/>
        <v>0.625</v>
      </c>
      <c r="AF2891" s="276"/>
      <c r="AG2891" s="17">
        <v>0</v>
      </c>
      <c r="AH2891" s="276">
        <v>0</v>
      </c>
      <c r="AI2891" s="276">
        <v>1</v>
      </c>
      <c r="AJ2891" s="44">
        <v>1</v>
      </c>
      <c r="AK2891" s="158">
        <v>0</v>
      </c>
      <c r="AL2891" s="151">
        <v>0</v>
      </c>
      <c r="AM2891" s="17">
        <f t="shared" si="142"/>
        <v>0</v>
      </c>
      <c r="AN2891" t="s">
        <v>280</v>
      </c>
      <c r="AO2891" s="148" t="s">
        <v>1151</v>
      </c>
      <c r="AP2891" t="s">
        <v>9321</v>
      </c>
    </row>
    <row r="2892" spans="1:44" s="45" customFormat="1" x14ac:dyDescent="0.3">
      <c r="A2892" s="371" t="s">
        <v>8323</v>
      </c>
      <c r="B2892" t="s">
        <v>8324</v>
      </c>
      <c r="C2892" s="148" t="s">
        <v>9300</v>
      </c>
      <c r="D2892" t="s">
        <v>9301</v>
      </c>
      <c r="E2892" s="148" t="s">
        <v>9302</v>
      </c>
      <c r="F2892" t="s">
        <v>9303</v>
      </c>
      <c r="G2892" s="376" t="s">
        <v>9304</v>
      </c>
      <c r="H2892" t="s">
        <v>9305</v>
      </c>
      <c r="I2892"/>
      <c r="J2892"/>
      <c r="K2892" s="148" t="s">
        <v>9326</v>
      </c>
      <c r="L2892" s="148" t="s">
        <v>9327</v>
      </c>
      <c r="M2892" t="s">
        <v>9328</v>
      </c>
      <c r="N2892" s="373">
        <v>0</v>
      </c>
      <c r="O2892" s="374">
        <v>435</v>
      </c>
      <c r="P2892" s="373">
        <v>435</v>
      </c>
      <c r="Q2892" s="374">
        <v>435</v>
      </c>
      <c r="R2892" s="373">
        <v>435</v>
      </c>
      <c r="S2892" s="374">
        <v>435</v>
      </c>
      <c r="T2892" t="s">
        <v>280</v>
      </c>
      <c r="U2892" t="str">
        <f>VLOOKUP(T2892,[8]Votes!$A$1:$E$234,3,FALSE)</f>
        <v>011 Ministry of Local Government</v>
      </c>
      <c r="V2892" t="s">
        <v>9329</v>
      </c>
      <c r="W2892" s="45">
        <v>1</v>
      </c>
      <c r="X2892" s="45">
        <v>1</v>
      </c>
      <c r="Y2892" s="45">
        <v>1</v>
      </c>
      <c r="Z2892" s="45">
        <v>1</v>
      </c>
      <c r="AA2892" s="45">
        <v>1</v>
      </c>
      <c r="AB2892" s="45">
        <v>1</v>
      </c>
      <c r="AC2892" s="150">
        <v>1</v>
      </c>
      <c r="AD2892" s="150">
        <v>0</v>
      </c>
      <c r="AE2892" s="49">
        <f t="shared" si="141"/>
        <v>0.875</v>
      </c>
      <c r="AF2892" s="276"/>
      <c r="AG2892" s="17">
        <v>0</v>
      </c>
      <c r="AH2892" s="276">
        <v>0</v>
      </c>
      <c r="AI2892" s="276">
        <v>2</v>
      </c>
      <c r="AJ2892" s="44">
        <v>2</v>
      </c>
      <c r="AK2892" s="158">
        <v>0</v>
      </c>
      <c r="AL2892" s="151">
        <v>0</v>
      </c>
      <c r="AM2892" s="17">
        <f t="shared" si="142"/>
        <v>0</v>
      </c>
      <c r="AN2892" t="s">
        <v>280</v>
      </c>
      <c r="AO2892" s="148" t="s">
        <v>1151</v>
      </c>
      <c r="AP2892" t="s">
        <v>9321</v>
      </c>
    </row>
    <row r="2893" spans="1:44" s="45" customFormat="1" ht="15" customHeight="1" x14ac:dyDescent="0.3">
      <c r="A2893" s="371" t="s">
        <v>8323</v>
      </c>
      <c r="B2893" t="s">
        <v>8324</v>
      </c>
      <c r="C2893" s="148" t="s">
        <v>9300</v>
      </c>
      <c r="D2893" t="s">
        <v>9301</v>
      </c>
      <c r="E2893" s="148" t="s">
        <v>9302</v>
      </c>
      <c r="F2893" t="s">
        <v>9303</v>
      </c>
      <c r="G2893" s="376" t="s">
        <v>9304</v>
      </c>
      <c r="H2893" t="s">
        <v>9305</v>
      </c>
      <c r="I2893"/>
      <c r="J2893"/>
      <c r="K2893" s="148" t="s">
        <v>9326</v>
      </c>
      <c r="L2893" s="148" t="s">
        <v>9327</v>
      </c>
      <c r="M2893" t="s">
        <v>9330</v>
      </c>
      <c r="N2893" s="373">
        <v>0</v>
      </c>
      <c r="O2893" s="374">
        <v>435</v>
      </c>
      <c r="P2893" s="373">
        <v>435</v>
      </c>
      <c r="Q2893" s="374">
        <v>435</v>
      </c>
      <c r="R2893" s="373">
        <v>435</v>
      </c>
      <c r="S2893" s="374">
        <v>435</v>
      </c>
      <c r="T2893" t="s">
        <v>280</v>
      </c>
      <c r="U2893" t="str">
        <f>VLOOKUP(T2893,[8]Votes!$A$1:$E$234,3,FALSE)</f>
        <v>011 Ministry of Local Government</v>
      </c>
      <c r="V2893" t="s">
        <v>9331</v>
      </c>
      <c r="W2893" s="45">
        <v>1</v>
      </c>
      <c r="X2893" s="45">
        <v>1</v>
      </c>
      <c r="Y2893" s="45">
        <v>1</v>
      </c>
      <c r="Z2893" s="45">
        <v>1</v>
      </c>
      <c r="AA2893" s="45">
        <v>1</v>
      </c>
      <c r="AB2893" s="45">
        <v>1</v>
      </c>
      <c r="AC2893" s="150">
        <v>1</v>
      </c>
      <c r="AD2893" s="150">
        <v>0</v>
      </c>
      <c r="AE2893" s="49">
        <f t="shared" si="141"/>
        <v>0.875</v>
      </c>
      <c r="AF2893" s="276"/>
      <c r="AG2893" s="17">
        <v>0</v>
      </c>
      <c r="AH2893" s="276">
        <v>0</v>
      </c>
      <c r="AI2893" s="276">
        <v>0.9</v>
      </c>
      <c r="AJ2893" s="44">
        <v>0.9</v>
      </c>
      <c r="AK2893" s="158">
        <v>0</v>
      </c>
      <c r="AL2893" s="151">
        <v>0</v>
      </c>
      <c r="AM2893" s="17">
        <f t="shared" si="142"/>
        <v>0</v>
      </c>
      <c r="AN2893" t="s">
        <v>280</v>
      </c>
      <c r="AO2893" s="148" t="s">
        <v>1151</v>
      </c>
      <c r="AP2893" t="s">
        <v>255</v>
      </c>
    </row>
    <row r="2894" spans="1:44" s="45" customFormat="1" x14ac:dyDescent="0.3">
      <c r="A2894" s="371" t="s">
        <v>8323</v>
      </c>
      <c r="B2894" t="s">
        <v>8324</v>
      </c>
      <c r="C2894" s="148" t="s">
        <v>9300</v>
      </c>
      <c r="D2894" t="s">
        <v>9301</v>
      </c>
      <c r="E2894" s="148" t="s">
        <v>9302</v>
      </c>
      <c r="F2894" t="s">
        <v>9303</v>
      </c>
      <c r="G2894" s="376" t="s">
        <v>9304</v>
      </c>
      <c r="H2894" t="s">
        <v>9305</v>
      </c>
      <c r="I2894"/>
      <c r="J2894"/>
      <c r="K2894" s="148" t="s">
        <v>9326</v>
      </c>
      <c r="L2894" s="148" t="s">
        <v>9327</v>
      </c>
      <c r="M2894" t="s">
        <v>9330</v>
      </c>
      <c r="N2894" s="373">
        <v>0</v>
      </c>
      <c r="O2894" s="374">
        <v>435</v>
      </c>
      <c r="P2894" s="373">
        <v>435</v>
      </c>
      <c r="Q2894" s="374">
        <v>435</v>
      </c>
      <c r="R2894" s="373">
        <v>435</v>
      </c>
      <c r="S2894" s="374">
        <v>435</v>
      </c>
      <c r="T2894" t="s">
        <v>280</v>
      </c>
      <c r="U2894" t="str">
        <f>VLOOKUP(T2894,[8]Votes!$A$1:$E$234,3,FALSE)</f>
        <v>011 Ministry of Local Government</v>
      </c>
      <c r="V2894" t="s">
        <v>9332</v>
      </c>
      <c r="W2894" s="45">
        <v>1</v>
      </c>
      <c r="X2894" s="45">
        <v>1</v>
      </c>
      <c r="Y2894" s="45">
        <v>1</v>
      </c>
      <c r="Z2894" s="45">
        <v>1</v>
      </c>
      <c r="AA2894" s="45">
        <v>0</v>
      </c>
      <c r="AB2894" s="45">
        <v>1</v>
      </c>
      <c r="AC2894" s="150">
        <v>1</v>
      </c>
      <c r="AD2894" s="150">
        <v>0</v>
      </c>
      <c r="AE2894" s="49">
        <f t="shared" si="141"/>
        <v>0.75</v>
      </c>
      <c r="AF2894" s="276"/>
      <c r="AG2894" s="17">
        <v>0</v>
      </c>
      <c r="AH2894" s="276">
        <v>0</v>
      </c>
      <c r="AI2894" s="276">
        <v>0</v>
      </c>
      <c r="AJ2894" s="44">
        <v>0</v>
      </c>
      <c r="AK2894" s="158">
        <v>0</v>
      </c>
      <c r="AL2894" s="151">
        <v>0</v>
      </c>
      <c r="AM2894" s="17">
        <f t="shared" si="142"/>
        <v>0</v>
      </c>
      <c r="AN2894" t="s">
        <v>280</v>
      </c>
      <c r="AO2894" s="148" t="s">
        <v>1151</v>
      </c>
      <c r="AP2894" t="s">
        <v>9333</v>
      </c>
    </row>
    <row r="2895" spans="1:44" s="45" customFormat="1" x14ac:dyDescent="0.3">
      <c r="A2895" s="371" t="s">
        <v>8323</v>
      </c>
      <c r="B2895" t="s">
        <v>8324</v>
      </c>
      <c r="C2895" s="148" t="s">
        <v>9300</v>
      </c>
      <c r="D2895" t="s">
        <v>9301</v>
      </c>
      <c r="E2895" s="148" t="s">
        <v>9302</v>
      </c>
      <c r="F2895" t="s">
        <v>9303</v>
      </c>
      <c r="G2895" s="376" t="s">
        <v>9304</v>
      </c>
      <c r="H2895" t="s">
        <v>9305</v>
      </c>
      <c r="I2895"/>
      <c r="J2895"/>
      <c r="K2895" s="148" t="s">
        <v>9334</v>
      </c>
      <c r="L2895" s="148" t="s">
        <v>9335</v>
      </c>
      <c r="M2895" t="s">
        <v>9336</v>
      </c>
      <c r="N2895" s="373">
        <v>0</v>
      </c>
      <c r="O2895" s="374">
        <v>87</v>
      </c>
      <c r="P2895" s="373">
        <v>87</v>
      </c>
      <c r="Q2895" s="374">
        <v>87</v>
      </c>
      <c r="R2895" s="373">
        <v>87</v>
      </c>
      <c r="S2895" s="374">
        <v>87</v>
      </c>
      <c r="T2895" t="s">
        <v>280</v>
      </c>
      <c r="U2895" t="str">
        <f>VLOOKUP(T2895,[8]Votes!$A$1:$E$234,3,FALSE)</f>
        <v>011 Ministry of Local Government</v>
      </c>
      <c r="V2895" t="s">
        <v>9337</v>
      </c>
      <c r="W2895" s="45">
        <v>1</v>
      </c>
      <c r="X2895" s="45">
        <v>1</v>
      </c>
      <c r="Y2895" s="45">
        <v>1</v>
      </c>
      <c r="Z2895" s="45">
        <v>1</v>
      </c>
      <c r="AA2895" s="45">
        <v>1</v>
      </c>
      <c r="AB2895" s="45">
        <v>1</v>
      </c>
      <c r="AC2895" s="150">
        <v>1</v>
      </c>
      <c r="AD2895" s="150">
        <v>0</v>
      </c>
      <c r="AE2895" s="49">
        <f t="shared" si="141"/>
        <v>0.875</v>
      </c>
      <c r="AF2895" s="276"/>
      <c r="AG2895" s="17">
        <v>0</v>
      </c>
      <c r="AH2895" s="276">
        <v>0</v>
      </c>
      <c r="AI2895" s="276">
        <v>2</v>
      </c>
      <c r="AJ2895" s="44">
        <v>2</v>
      </c>
      <c r="AK2895" s="158">
        <v>0</v>
      </c>
      <c r="AL2895" s="151">
        <v>0</v>
      </c>
      <c r="AM2895" s="17">
        <f t="shared" si="142"/>
        <v>0</v>
      </c>
      <c r="AN2895" t="s">
        <v>280</v>
      </c>
      <c r="AO2895" s="148" t="s">
        <v>1151</v>
      </c>
      <c r="AP2895" t="s">
        <v>9338</v>
      </c>
    </row>
    <row r="2896" spans="1:44" s="45" customFormat="1" x14ac:dyDescent="0.3">
      <c r="A2896" s="371" t="s">
        <v>8323</v>
      </c>
      <c r="B2896" t="s">
        <v>8324</v>
      </c>
      <c r="C2896" s="148" t="s">
        <v>9300</v>
      </c>
      <c r="D2896" t="s">
        <v>9301</v>
      </c>
      <c r="E2896" s="148" t="s">
        <v>9302</v>
      </c>
      <c r="F2896" t="s">
        <v>9303</v>
      </c>
      <c r="G2896" s="376" t="s">
        <v>9304</v>
      </c>
      <c r="H2896" t="s">
        <v>9305</v>
      </c>
      <c r="I2896"/>
      <c r="J2896"/>
      <c r="K2896" s="148" t="s">
        <v>9334</v>
      </c>
      <c r="L2896" s="148" t="s">
        <v>9335</v>
      </c>
      <c r="M2896" t="s">
        <v>9336</v>
      </c>
      <c r="N2896" s="373">
        <v>0</v>
      </c>
      <c r="O2896" s="374">
        <v>87</v>
      </c>
      <c r="P2896" s="373">
        <v>87</v>
      </c>
      <c r="Q2896" s="374">
        <v>87</v>
      </c>
      <c r="R2896" s="373">
        <v>87</v>
      </c>
      <c r="S2896" s="374">
        <v>87</v>
      </c>
      <c r="T2896" t="s">
        <v>280</v>
      </c>
      <c r="U2896" t="str">
        <f>VLOOKUP(T2896,[8]Votes!$A$1:$E$234,3,FALSE)</f>
        <v>011 Ministry of Local Government</v>
      </c>
      <c r="V2896" t="s">
        <v>9339</v>
      </c>
      <c r="W2896" s="45">
        <v>1</v>
      </c>
      <c r="X2896" s="45">
        <v>1</v>
      </c>
      <c r="Y2896" s="45">
        <v>1</v>
      </c>
      <c r="Z2896" s="45">
        <v>1</v>
      </c>
      <c r="AA2896" s="45">
        <v>1</v>
      </c>
      <c r="AB2896" s="45">
        <v>1</v>
      </c>
      <c r="AC2896" s="150">
        <v>0</v>
      </c>
      <c r="AD2896" s="150">
        <v>0</v>
      </c>
      <c r="AE2896" s="49">
        <f t="shared" si="141"/>
        <v>0.75</v>
      </c>
      <c r="AF2896" s="276"/>
      <c r="AG2896" s="17">
        <v>0</v>
      </c>
      <c r="AH2896" s="276">
        <v>0</v>
      </c>
      <c r="AI2896" s="276">
        <v>0.4</v>
      </c>
      <c r="AJ2896" s="44">
        <v>0.4</v>
      </c>
      <c r="AK2896" s="158">
        <v>0</v>
      </c>
      <c r="AL2896" s="151">
        <v>0</v>
      </c>
      <c r="AM2896" s="17">
        <f t="shared" si="142"/>
        <v>0</v>
      </c>
      <c r="AN2896" t="s">
        <v>280</v>
      </c>
      <c r="AO2896" s="148" t="s">
        <v>1151</v>
      </c>
      <c r="AP2896" t="s">
        <v>119</v>
      </c>
    </row>
    <row r="2897" spans="1:42" s="45" customFormat="1" x14ac:dyDescent="0.3">
      <c r="A2897" s="371" t="s">
        <v>8323</v>
      </c>
      <c r="B2897" t="s">
        <v>8324</v>
      </c>
      <c r="C2897" s="148" t="s">
        <v>9300</v>
      </c>
      <c r="D2897" t="s">
        <v>9301</v>
      </c>
      <c r="E2897" s="148" t="s">
        <v>9302</v>
      </c>
      <c r="F2897" t="s">
        <v>9303</v>
      </c>
      <c r="G2897" s="376" t="s">
        <v>9304</v>
      </c>
      <c r="H2897" t="s">
        <v>9305</v>
      </c>
      <c r="I2897"/>
      <c r="J2897"/>
      <c r="K2897" s="148" t="s">
        <v>9340</v>
      </c>
      <c r="L2897" s="148" t="s">
        <v>9341</v>
      </c>
      <c r="M2897" t="s">
        <v>9342</v>
      </c>
      <c r="N2897" s="373">
        <v>0</v>
      </c>
      <c r="O2897" s="374">
        <v>435</v>
      </c>
      <c r="P2897" s="373">
        <v>435</v>
      </c>
      <c r="Q2897" s="374">
        <v>435</v>
      </c>
      <c r="R2897" s="373">
        <v>435</v>
      </c>
      <c r="S2897" s="374">
        <v>435</v>
      </c>
      <c r="T2897" t="s">
        <v>280</v>
      </c>
      <c r="U2897" t="str">
        <f>VLOOKUP(T2897,[8]Votes!$A$1:$E$234,3,FALSE)</f>
        <v>011 Ministry of Local Government</v>
      </c>
      <c r="V2897" t="s">
        <v>9343</v>
      </c>
      <c r="W2897" s="45">
        <v>1</v>
      </c>
      <c r="X2897" s="45">
        <v>1</v>
      </c>
      <c r="Y2897" s="45">
        <v>1</v>
      </c>
      <c r="Z2897" s="45">
        <v>1</v>
      </c>
      <c r="AA2897" s="45">
        <v>1</v>
      </c>
      <c r="AB2897" s="45">
        <v>1</v>
      </c>
      <c r="AC2897" s="150">
        <v>1</v>
      </c>
      <c r="AD2897" s="150">
        <v>0</v>
      </c>
      <c r="AE2897" s="49">
        <f t="shared" si="141"/>
        <v>0.875</v>
      </c>
      <c r="AF2897" s="276"/>
      <c r="AG2897" s="17">
        <v>0</v>
      </c>
      <c r="AH2897" s="276">
        <v>0</v>
      </c>
      <c r="AI2897" s="276">
        <v>0</v>
      </c>
      <c r="AJ2897" s="44">
        <v>30</v>
      </c>
      <c r="AK2897" s="158">
        <v>0</v>
      </c>
      <c r="AL2897" s="151">
        <v>0</v>
      </c>
      <c r="AM2897" s="17">
        <f t="shared" si="142"/>
        <v>0</v>
      </c>
      <c r="AN2897" t="s">
        <v>280</v>
      </c>
      <c r="AO2897" s="148" t="s">
        <v>1151</v>
      </c>
      <c r="AP2897" t="s">
        <v>982</v>
      </c>
    </row>
    <row r="2898" spans="1:42" s="53" customFormat="1" x14ac:dyDescent="0.3">
      <c r="A2898" s="148" t="s">
        <v>8319</v>
      </c>
      <c r="B2898" t="s">
        <v>8320</v>
      </c>
      <c r="C2898" s="148" t="s">
        <v>9344</v>
      </c>
      <c r="D2898" t="s">
        <v>9345</v>
      </c>
      <c r="E2898" s="148" t="s">
        <v>9346</v>
      </c>
      <c r="F2898" t="s">
        <v>9347</v>
      </c>
      <c r="G2898" t="s">
        <v>9348</v>
      </c>
      <c r="H2898" t="s">
        <v>9349</v>
      </c>
      <c r="I2898" s="148" t="s">
        <v>9350</v>
      </c>
      <c r="J2898" t="s">
        <v>9351</v>
      </c>
      <c r="K2898" s="148" t="s">
        <v>9352</v>
      </c>
      <c r="L2898" t="s">
        <v>9353</v>
      </c>
      <c r="M2898" t="s">
        <v>9354</v>
      </c>
      <c r="N2898" s="3">
        <v>36</v>
      </c>
      <c r="O2898" s="3">
        <v>40</v>
      </c>
      <c r="P2898" s="3">
        <v>44</v>
      </c>
      <c r="Q2898" s="3">
        <v>50</v>
      </c>
      <c r="R2898" s="3">
        <v>56</v>
      </c>
      <c r="S2898" s="3">
        <v>64</v>
      </c>
      <c r="T2898" t="s">
        <v>9355</v>
      </c>
      <c r="U2898" t="e">
        <v>#N/A</v>
      </c>
      <c r="V2898" t="s">
        <v>9356</v>
      </c>
      <c r="W2898" s="45">
        <v>1</v>
      </c>
      <c r="X2898" s="45">
        <v>1</v>
      </c>
      <c r="Y2898" s="45">
        <v>1</v>
      </c>
      <c r="Z2898" s="45">
        <v>1</v>
      </c>
      <c r="AA2898" s="45">
        <v>1</v>
      </c>
      <c r="AB2898" s="45">
        <v>1</v>
      </c>
      <c r="AC2898" s="150">
        <v>1</v>
      </c>
      <c r="AD2898" s="150">
        <v>1</v>
      </c>
      <c r="AE2898" s="49">
        <f t="shared" ref="AE2898:AE2905" si="143">SUM(W2898:AD2898)/8</f>
        <v>1</v>
      </c>
      <c r="AF2898" s="44"/>
      <c r="AG2898" s="17">
        <v>0</v>
      </c>
      <c r="AH2898" s="44">
        <v>0.4</v>
      </c>
      <c r="AI2898" s="44">
        <v>0.4</v>
      </c>
      <c r="AJ2898" s="44">
        <v>0.4</v>
      </c>
      <c r="AK2898" s="151">
        <v>0.4</v>
      </c>
      <c r="AL2898" s="151">
        <v>0.4</v>
      </c>
      <c r="AM2898" s="17">
        <f t="shared" ref="AM2898:AM2905" si="144">SUM(AK2898:AL2898)</f>
        <v>0.8</v>
      </c>
      <c r="AN2898" s="18" t="s">
        <v>255</v>
      </c>
      <c r="AO2898" s="18" t="s">
        <v>1045</v>
      </c>
      <c r="AP2898" t="s">
        <v>9357</v>
      </c>
    </row>
    <row r="2899" spans="1:42" s="53" customFormat="1" x14ac:dyDescent="0.3">
      <c r="A2899" s="148" t="s">
        <v>8319</v>
      </c>
      <c r="B2899" t="s">
        <v>8320</v>
      </c>
      <c r="C2899" s="148" t="s">
        <v>9344</v>
      </c>
      <c r="D2899" t="s">
        <v>9345</v>
      </c>
      <c r="E2899" s="148" t="s">
        <v>9346</v>
      </c>
      <c r="F2899" t="s">
        <v>9347</v>
      </c>
      <c r="G2899" t="s">
        <v>9348</v>
      </c>
      <c r="H2899" t="s">
        <v>9349</v>
      </c>
      <c r="I2899" s="148" t="s">
        <v>9350</v>
      </c>
      <c r="J2899" t="s">
        <v>9351</v>
      </c>
      <c r="K2899" s="148" t="s">
        <v>9352</v>
      </c>
      <c r="L2899" t="s">
        <v>9353</v>
      </c>
      <c r="M2899"/>
      <c r="N2899" s="3"/>
      <c r="O2899" s="3"/>
      <c r="P2899" s="3"/>
      <c r="Q2899" s="3"/>
      <c r="R2899" s="3"/>
      <c r="S2899" s="3"/>
      <c r="T2899"/>
      <c r="U2899" t="e">
        <v>#N/A</v>
      </c>
      <c r="V2899" t="s">
        <v>9358</v>
      </c>
      <c r="W2899" s="45">
        <v>1</v>
      </c>
      <c r="X2899" s="45">
        <v>1</v>
      </c>
      <c r="Y2899" s="45">
        <v>1</v>
      </c>
      <c r="Z2899" s="45">
        <v>1</v>
      </c>
      <c r="AA2899" s="45">
        <v>1</v>
      </c>
      <c r="AB2899" s="45">
        <v>1</v>
      </c>
      <c r="AC2899" s="150">
        <v>1</v>
      </c>
      <c r="AD2899" s="150">
        <v>1</v>
      </c>
      <c r="AE2899" s="49">
        <f t="shared" si="143"/>
        <v>1</v>
      </c>
      <c r="AF2899" s="44"/>
      <c r="AG2899" s="17"/>
      <c r="AH2899" s="44">
        <v>0.8</v>
      </c>
      <c r="AI2899" s="44">
        <v>0.8</v>
      </c>
      <c r="AJ2899" s="44">
        <v>0.8</v>
      </c>
      <c r="AK2899" s="151">
        <v>0.8</v>
      </c>
      <c r="AL2899" s="151">
        <v>0.8</v>
      </c>
      <c r="AM2899" s="17">
        <f t="shared" si="144"/>
        <v>1.6</v>
      </c>
      <c r="AN2899" s="18" t="s">
        <v>255</v>
      </c>
      <c r="AO2899" s="18" t="s">
        <v>1045</v>
      </c>
      <c r="AP2899" t="s">
        <v>9359</v>
      </c>
    </row>
    <row r="2900" spans="1:42" s="53" customFormat="1" x14ac:dyDescent="0.3">
      <c r="A2900" s="148" t="s">
        <v>8319</v>
      </c>
      <c r="B2900" t="s">
        <v>8320</v>
      </c>
      <c r="C2900" s="148" t="s">
        <v>9344</v>
      </c>
      <c r="D2900" t="s">
        <v>9345</v>
      </c>
      <c r="E2900" s="148" t="s">
        <v>9346</v>
      </c>
      <c r="F2900" t="s">
        <v>9347</v>
      </c>
      <c r="G2900" t="s">
        <v>9348</v>
      </c>
      <c r="H2900" t="s">
        <v>9349</v>
      </c>
      <c r="I2900" s="148" t="s">
        <v>9360</v>
      </c>
      <c r="J2900" t="s">
        <v>9361</v>
      </c>
      <c r="K2900" s="148" t="s">
        <v>9362</v>
      </c>
      <c r="L2900" t="s">
        <v>9363</v>
      </c>
      <c r="M2900" t="s">
        <v>9364</v>
      </c>
      <c r="N2900" s="3" t="s">
        <v>9365</v>
      </c>
      <c r="O2900" s="3">
        <v>10</v>
      </c>
      <c r="P2900" s="3">
        <v>15</v>
      </c>
      <c r="Q2900" s="3">
        <v>20</v>
      </c>
      <c r="R2900" s="3">
        <v>25</v>
      </c>
      <c r="S2900" s="3">
        <v>30</v>
      </c>
      <c r="T2900" t="s">
        <v>9366</v>
      </c>
      <c r="U2900" t="e">
        <v>#N/A</v>
      </c>
      <c r="V2900" t="s">
        <v>9367</v>
      </c>
      <c r="W2900" s="45">
        <v>1</v>
      </c>
      <c r="X2900" s="45">
        <v>1</v>
      </c>
      <c r="Y2900" s="45">
        <v>1</v>
      </c>
      <c r="Z2900" s="45">
        <v>1</v>
      </c>
      <c r="AA2900" s="45">
        <v>1</v>
      </c>
      <c r="AB2900" s="45">
        <v>1</v>
      </c>
      <c r="AC2900" s="150">
        <v>1</v>
      </c>
      <c r="AD2900" s="150">
        <v>1</v>
      </c>
      <c r="AE2900" s="49">
        <f t="shared" si="143"/>
        <v>1</v>
      </c>
      <c r="AF2900" s="44"/>
      <c r="AG2900" s="17">
        <v>0</v>
      </c>
      <c r="AH2900" s="44">
        <v>0.5</v>
      </c>
      <c r="AI2900" s="44">
        <v>0.5</v>
      </c>
      <c r="AJ2900" s="44">
        <v>0.5</v>
      </c>
      <c r="AK2900" s="151">
        <v>0.5</v>
      </c>
      <c r="AL2900" s="151">
        <v>0.5</v>
      </c>
      <c r="AM2900" s="17">
        <f t="shared" si="144"/>
        <v>1</v>
      </c>
      <c r="AN2900" t="s">
        <v>723</v>
      </c>
      <c r="AO2900" s="18" t="s">
        <v>729</v>
      </c>
      <c r="AP2900" t="s">
        <v>9368</v>
      </c>
    </row>
    <row r="2901" spans="1:42" customFormat="1" x14ac:dyDescent="0.3">
      <c r="A2901" s="148" t="s">
        <v>8319</v>
      </c>
      <c r="B2901" t="s">
        <v>8320</v>
      </c>
      <c r="C2901" s="148" t="s">
        <v>9369</v>
      </c>
      <c r="D2901" t="s">
        <v>9370</v>
      </c>
      <c r="E2901" s="148" t="s">
        <v>9371</v>
      </c>
      <c r="F2901" t="s">
        <v>9372</v>
      </c>
      <c r="G2901" s="148" t="s">
        <v>9373</v>
      </c>
      <c r="H2901" t="s">
        <v>9374</v>
      </c>
      <c r="I2901" t="s">
        <v>9375</v>
      </c>
      <c r="J2901" t="s">
        <v>9376</v>
      </c>
      <c r="K2901" s="148" t="s">
        <v>9377</v>
      </c>
      <c r="L2901" t="s">
        <v>9378</v>
      </c>
      <c r="M2901" t="s">
        <v>9379</v>
      </c>
      <c r="N2901" s="3">
        <v>1076</v>
      </c>
      <c r="O2901" s="3">
        <v>2592</v>
      </c>
      <c r="P2901" s="3">
        <v>2592</v>
      </c>
      <c r="Q2901" s="3">
        <v>2592</v>
      </c>
      <c r="R2901" s="3">
        <v>2592</v>
      </c>
      <c r="S2901" s="3">
        <v>2592</v>
      </c>
      <c r="T2901" t="s">
        <v>1536</v>
      </c>
      <c r="U2901" t="e">
        <v>#N/A</v>
      </c>
      <c r="V2901" t="s">
        <v>9380</v>
      </c>
      <c r="W2901" s="45">
        <v>1</v>
      </c>
      <c r="X2901" s="45">
        <v>1</v>
      </c>
      <c r="Y2901" s="45">
        <v>1</v>
      </c>
      <c r="Z2901" s="45">
        <v>1</v>
      </c>
      <c r="AA2901" s="45">
        <v>1</v>
      </c>
      <c r="AB2901" s="45">
        <v>1</v>
      </c>
      <c r="AC2901" s="150">
        <v>1</v>
      </c>
      <c r="AD2901" s="150">
        <v>1</v>
      </c>
      <c r="AE2901" s="49">
        <f t="shared" si="143"/>
        <v>1</v>
      </c>
      <c r="AF2901" s="44"/>
      <c r="AG2901" s="17">
        <v>0</v>
      </c>
      <c r="AH2901" s="44">
        <v>0.51839999999999997</v>
      </c>
      <c r="AI2901" s="44">
        <v>0.51839999999999997</v>
      </c>
      <c r="AJ2901" s="44">
        <v>0.51839999999999997</v>
      </c>
      <c r="AK2901" s="377">
        <v>6.5183999999999997</v>
      </c>
      <c r="AL2901" s="377">
        <v>5.5183999999999997</v>
      </c>
      <c r="AM2901" s="17">
        <f t="shared" si="144"/>
        <v>12.036799999999999</v>
      </c>
      <c r="AN2901" s="18" t="s">
        <v>771</v>
      </c>
      <c r="AO2901" s="18" t="s">
        <v>773</v>
      </c>
      <c r="AP2901" t="s">
        <v>119</v>
      </c>
    </row>
    <row r="2902" spans="1:42" customFormat="1" x14ac:dyDescent="0.3">
      <c r="A2902" s="148" t="s">
        <v>8319</v>
      </c>
      <c r="B2902" t="s">
        <v>8320</v>
      </c>
      <c r="C2902" s="148" t="s">
        <v>9369</v>
      </c>
      <c r="D2902" t="s">
        <v>9370</v>
      </c>
      <c r="E2902" s="148" t="s">
        <v>9371</v>
      </c>
      <c r="F2902" t="s">
        <v>9372</v>
      </c>
      <c r="G2902" s="148" t="s">
        <v>9373</v>
      </c>
      <c r="H2902" t="s">
        <v>9374</v>
      </c>
      <c r="I2902" t="s">
        <v>9375</v>
      </c>
      <c r="J2902" t="s">
        <v>9376</v>
      </c>
      <c r="K2902" s="148" t="s">
        <v>9377</v>
      </c>
      <c r="L2902" t="s">
        <v>9378</v>
      </c>
      <c r="M2902" t="s">
        <v>9381</v>
      </c>
      <c r="N2902" s="3">
        <v>432</v>
      </c>
      <c r="O2902" s="3">
        <v>1000</v>
      </c>
      <c r="P2902" s="3">
        <v>1000</v>
      </c>
      <c r="Q2902" s="3">
        <v>1000</v>
      </c>
      <c r="R2902" s="3">
        <v>1000</v>
      </c>
      <c r="S2902" s="3">
        <v>1000</v>
      </c>
      <c r="T2902" t="s">
        <v>1536</v>
      </c>
      <c r="U2902" t="e">
        <v>#N/A</v>
      </c>
      <c r="V2902" t="s">
        <v>9382</v>
      </c>
      <c r="W2902" s="45">
        <v>1</v>
      </c>
      <c r="X2902" s="45">
        <v>1</v>
      </c>
      <c r="Y2902" s="45">
        <v>1</v>
      </c>
      <c r="Z2902" s="45">
        <v>1</v>
      </c>
      <c r="AA2902" s="45">
        <v>1</v>
      </c>
      <c r="AB2902" s="45">
        <v>1</v>
      </c>
      <c r="AC2902" s="150">
        <v>1</v>
      </c>
      <c r="AD2902" s="150">
        <v>1</v>
      </c>
      <c r="AE2902" s="49">
        <f t="shared" si="143"/>
        <v>1</v>
      </c>
      <c r="AF2902" s="44"/>
      <c r="AG2902" s="17">
        <v>0</v>
      </c>
      <c r="AH2902" s="44" t="s">
        <v>9383</v>
      </c>
      <c r="AI2902" s="44" t="s">
        <v>9383</v>
      </c>
      <c r="AJ2902" s="44" t="s">
        <v>9383</v>
      </c>
      <c r="AK2902" s="151">
        <v>3.3</v>
      </c>
      <c r="AL2902" s="151">
        <v>3.3</v>
      </c>
      <c r="AM2902" s="17">
        <f t="shared" si="144"/>
        <v>6.6</v>
      </c>
      <c r="AN2902" s="18" t="s">
        <v>771</v>
      </c>
      <c r="AO2902" s="18" t="s">
        <v>773</v>
      </c>
      <c r="AP2902" t="s">
        <v>119</v>
      </c>
    </row>
    <row r="2903" spans="1:42" customFormat="1" x14ac:dyDescent="0.3">
      <c r="A2903" s="148" t="s">
        <v>8319</v>
      </c>
      <c r="B2903" t="s">
        <v>8320</v>
      </c>
      <c r="C2903" s="148" t="s">
        <v>9369</v>
      </c>
      <c r="D2903" t="s">
        <v>9370</v>
      </c>
      <c r="E2903" s="148" t="s">
        <v>9371</v>
      </c>
      <c r="F2903" t="s">
        <v>9372</v>
      </c>
      <c r="G2903" s="148" t="s">
        <v>9373</v>
      </c>
      <c r="H2903" t="s">
        <v>9374</v>
      </c>
      <c r="I2903" s="148" t="s">
        <v>9384</v>
      </c>
      <c r="J2903" t="s">
        <v>9385</v>
      </c>
      <c r="K2903" s="148" t="s">
        <v>9386</v>
      </c>
      <c r="L2903" t="s">
        <v>9387</v>
      </c>
      <c r="M2903" t="s">
        <v>9388</v>
      </c>
      <c r="N2903" s="3" t="s">
        <v>9365</v>
      </c>
      <c r="O2903" s="3">
        <v>32000</v>
      </c>
      <c r="P2903" s="3">
        <v>42000</v>
      </c>
      <c r="Q2903" s="3">
        <v>47000</v>
      </c>
      <c r="R2903" s="3">
        <v>48000</v>
      </c>
      <c r="S2903" s="3">
        <v>50000</v>
      </c>
      <c r="T2903" t="s">
        <v>1536</v>
      </c>
      <c r="U2903" t="e">
        <v>#N/A</v>
      </c>
      <c r="V2903" t="s">
        <v>9389</v>
      </c>
      <c r="W2903" s="45">
        <v>1</v>
      </c>
      <c r="X2903" s="45">
        <v>1</v>
      </c>
      <c r="Y2903" s="45">
        <v>1</v>
      </c>
      <c r="Z2903" s="45">
        <v>1</v>
      </c>
      <c r="AA2903" s="45">
        <v>1</v>
      </c>
      <c r="AB2903" s="45">
        <v>1</v>
      </c>
      <c r="AC2903" s="150">
        <v>1</v>
      </c>
      <c r="AD2903" s="150">
        <v>1</v>
      </c>
      <c r="AE2903" s="49">
        <f t="shared" si="143"/>
        <v>1</v>
      </c>
      <c r="AF2903" s="44"/>
      <c r="AG2903" s="17">
        <v>0</v>
      </c>
      <c r="AH2903" s="44">
        <v>0.5</v>
      </c>
      <c r="AI2903" s="44">
        <v>0.5</v>
      </c>
      <c r="AJ2903" s="44">
        <v>15</v>
      </c>
      <c r="AK2903" s="151">
        <v>15</v>
      </c>
      <c r="AL2903" s="151">
        <v>15</v>
      </c>
      <c r="AM2903" s="17">
        <f t="shared" si="144"/>
        <v>30</v>
      </c>
      <c r="AN2903" s="18" t="s">
        <v>771</v>
      </c>
      <c r="AO2903" s="18" t="s">
        <v>773</v>
      </c>
      <c r="AP2903" t="s">
        <v>9390</v>
      </c>
    </row>
    <row r="2904" spans="1:42" customFormat="1" x14ac:dyDescent="0.3">
      <c r="A2904" s="148" t="s">
        <v>8319</v>
      </c>
      <c r="B2904" t="s">
        <v>8320</v>
      </c>
      <c r="C2904" s="148" t="s">
        <v>9369</v>
      </c>
      <c r="D2904" t="s">
        <v>9370</v>
      </c>
      <c r="E2904" s="148" t="s">
        <v>9371</v>
      </c>
      <c r="F2904" t="s">
        <v>9372</v>
      </c>
      <c r="G2904" s="148" t="s">
        <v>9373</v>
      </c>
      <c r="H2904" t="s">
        <v>9374</v>
      </c>
      <c r="I2904" s="148" t="s">
        <v>9391</v>
      </c>
      <c r="J2904" t="s">
        <v>9392</v>
      </c>
      <c r="K2904" s="148" t="s">
        <v>9393</v>
      </c>
      <c r="L2904" t="s">
        <v>9394</v>
      </c>
      <c r="M2904" t="s">
        <v>9395</v>
      </c>
      <c r="N2904" s="3" t="s">
        <v>9365</v>
      </c>
      <c r="O2904" s="3" t="s">
        <v>9396</v>
      </c>
      <c r="P2904" s="3">
        <v>10000</v>
      </c>
      <c r="Q2904" s="3">
        <v>20000</v>
      </c>
      <c r="R2904" s="3">
        <v>20000</v>
      </c>
      <c r="S2904" s="3">
        <v>30000</v>
      </c>
      <c r="T2904" t="s">
        <v>255</v>
      </c>
      <c r="U2904" t="s">
        <v>1045</v>
      </c>
      <c r="V2904" t="s">
        <v>9397</v>
      </c>
      <c r="W2904" s="45">
        <v>1</v>
      </c>
      <c r="X2904" s="45">
        <v>1</v>
      </c>
      <c r="Y2904" s="45">
        <v>1</v>
      </c>
      <c r="Z2904" s="45">
        <v>1</v>
      </c>
      <c r="AA2904" s="45">
        <v>1</v>
      </c>
      <c r="AB2904" s="45">
        <v>1</v>
      </c>
      <c r="AC2904" s="150">
        <v>1</v>
      </c>
      <c r="AD2904" s="150">
        <v>1</v>
      </c>
      <c r="AE2904" s="49">
        <f t="shared" si="143"/>
        <v>1</v>
      </c>
      <c r="AF2904" s="44"/>
      <c r="AG2904" s="17">
        <v>0</v>
      </c>
      <c r="AH2904" s="44" t="s">
        <v>3565</v>
      </c>
      <c r="AI2904" s="44">
        <v>2</v>
      </c>
      <c r="AJ2904" s="44">
        <v>10</v>
      </c>
      <c r="AK2904" s="151">
        <v>15</v>
      </c>
      <c r="AL2904" s="151">
        <v>15</v>
      </c>
      <c r="AM2904" s="17">
        <f t="shared" si="144"/>
        <v>30</v>
      </c>
      <c r="AN2904" s="18" t="s">
        <v>255</v>
      </c>
      <c r="AO2904" s="18" t="s">
        <v>1045</v>
      </c>
      <c r="AP2904" t="s">
        <v>9390</v>
      </c>
    </row>
    <row r="2905" spans="1:42" customFormat="1" x14ac:dyDescent="0.3">
      <c r="A2905" s="148" t="s">
        <v>8319</v>
      </c>
      <c r="B2905" t="s">
        <v>8320</v>
      </c>
      <c r="C2905" s="148" t="s">
        <v>9344</v>
      </c>
      <c r="D2905" t="s">
        <v>9345</v>
      </c>
      <c r="E2905" s="148" t="s">
        <v>9398</v>
      </c>
      <c r="F2905" t="s">
        <v>9399</v>
      </c>
      <c r="G2905" s="148" t="s">
        <v>9400</v>
      </c>
      <c r="H2905" t="s">
        <v>9401</v>
      </c>
      <c r="I2905" s="148" t="s">
        <v>9402</v>
      </c>
      <c r="J2905" t="s">
        <v>9403</v>
      </c>
      <c r="K2905" s="155" t="s">
        <v>9404</v>
      </c>
      <c r="L2905" t="s">
        <v>9405</v>
      </c>
      <c r="M2905" t="s">
        <v>9406</v>
      </c>
      <c r="N2905" s="3" t="s">
        <v>119</v>
      </c>
      <c r="O2905" s="3">
        <v>1</v>
      </c>
      <c r="P2905" s="3">
        <v>8</v>
      </c>
      <c r="Q2905" s="3">
        <v>5</v>
      </c>
      <c r="R2905" s="3">
        <v>5</v>
      </c>
      <c r="S2905" s="3">
        <v>2</v>
      </c>
      <c r="T2905" t="s">
        <v>9407</v>
      </c>
      <c r="U2905" t="e">
        <v>#N/A</v>
      </c>
      <c r="V2905" t="s">
        <v>9408</v>
      </c>
      <c r="W2905" s="45">
        <v>1</v>
      </c>
      <c r="X2905" s="45">
        <v>1</v>
      </c>
      <c r="Y2905" s="45">
        <v>1</v>
      </c>
      <c r="Z2905" s="45">
        <v>1</v>
      </c>
      <c r="AA2905" s="45">
        <v>1</v>
      </c>
      <c r="AB2905" s="45">
        <v>1</v>
      </c>
      <c r="AC2905" s="150">
        <v>1</v>
      </c>
      <c r="AD2905" s="150">
        <v>1</v>
      </c>
      <c r="AE2905" s="49">
        <f t="shared" si="143"/>
        <v>1</v>
      </c>
      <c r="AF2905" s="44"/>
      <c r="AG2905" s="17"/>
      <c r="AH2905" s="44">
        <v>0.5</v>
      </c>
      <c r="AI2905" s="44">
        <v>78</v>
      </c>
      <c r="AJ2905" s="44">
        <v>50</v>
      </c>
      <c r="AK2905" s="151">
        <v>30</v>
      </c>
      <c r="AL2905" s="151">
        <f>16+1.27</f>
        <v>17.27</v>
      </c>
      <c r="AM2905" s="17">
        <f t="shared" si="144"/>
        <v>47.269999999999996</v>
      </c>
      <c r="AN2905" s="44" t="s">
        <v>9409</v>
      </c>
      <c r="AO2905" s="18" t="s">
        <v>729</v>
      </c>
      <c r="AP2905" t="s">
        <v>723</v>
      </c>
    </row>
    <row r="2906" spans="1:42" customFormat="1" x14ac:dyDescent="0.3">
      <c r="A2906" s="148" t="s">
        <v>8319</v>
      </c>
      <c r="B2906" t="s">
        <v>8320</v>
      </c>
      <c r="C2906" s="148" t="s">
        <v>9410</v>
      </c>
      <c r="D2906" t="s">
        <v>9411</v>
      </c>
      <c r="E2906" s="148" t="s">
        <v>9412</v>
      </c>
      <c r="F2906" t="s">
        <v>9413</v>
      </c>
      <c r="G2906" s="148" t="s">
        <v>9414</v>
      </c>
      <c r="H2906" t="s">
        <v>9415</v>
      </c>
      <c r="K2906" s="148" t="s">
        <v>9416</v>
      </c>
      <c r="L2906" t="s">
        <v>9417</v>
      </c>
      <c r="M2906" t="s">
        <v>9418</v>
      </c>
      <c r="N2906" s="3"/>
      <c r="O2906" s="3"/>
      <c r="P2906" s="3">
        <v>5</v>
      </c>
      <c r="Q2906" s="3">
        <v>5</v>
      </c>
      <c r="R2906" s="3">
        <v>5</v>
      </c>
      <c r="S2906" s="3">
        <v>5</v>
      </c>
      <c r="T2906" t="s">
        <v>255</v>
      </c>
      <c r="U2906" t="s">
        <v>1045</v>
      </c>
      <c r="V2906" t="s">
        <v>9419</v>
      </c>
      <c r="W2906" s="45">
        <v>1</v>
      </c>
      <c r="X2906" s="45">
        <v>1</v>
      </c>
      <c r="Y2906" s="45">
        <v>1</v>
      </c>
      <c r="Z2906" s="45">
        <v>1</v>
      </c>
      <c r="AA2906" s="45">
        <v>1</v>
      </c>
      <c r="AB2906" s="45">
        <v>1</v>
      </c>
      <c r="AC2906" s="150">
        <v>1</v>
      </c>
      <c r="AD2906" s="150">
        <v>1</v>
      </c>
      <c r="AE2906" s="49">
        <f t="shared" ref="AE2906:AE2969" si="145">SUM(W2906:AD2906)/8</f>
        <v>1</v>
      </c>
      <c r="AF2906" s="17"/>
      <c r="AG2906" s="17">
        <v>0</v>
      </c>
      <c r="AH2906" s="17">
        <v>0</v>
      </c>
      <c r="AI2906" s="17">
        <v>0</v>
      </c>
      <c r="AJ2906" s="17">
        <v>0</v>
      </c>
      <c r="AK2906" s="153">
        <v>0</v>
      </c>
      <c r="AL2906" s="154">
        <v>0</v>
      </c>
      <c r="AM2906" s="17">
        <f t="shared" ref="AM2906:AM2969" si="146">SUM(AK2906:AL2906)</f>
        <v>0</v>
      </c>
      <c r="AN2906" t="s">
        <v>3643</v>
      </c>
      <c r="AO2906" s="18" t="s">
        <v>3630</v>
      </c>
      <c r="AP2906" t="s">
        <v>255</v>
      </c>
    </row>
    <row r="2907" spans="1:42" customFormat="1" x14ac:dyDescent="0.3">
      <c r="A2907" s="148" t="s">
        <v>8319</v>
      </c>
      <c r="B2907" t="s">
        <v>8320</v>
      </c>
      <c r="C2907" s="148" t="s">
        <v>9410</v>
      </c>
      <c r="D2907" t="s">
        <v>9411</v>
      </c>
      <c r="E2907" s="148" t="s">
        <v>9412</v>
      </c>
      <c r="F2907" t="s">
        <v>9413</v>
      </c>
      <c r="G2907" s="148" t="s">
        <v>9414</v>
      </c>
      <c r="H2907" t="s">
        <v>9415</v>
      </c>
      <c r="K2907" s="148" t="s">
        <v>9416</v>
      </c>
      <c r="L2907" t="s">
        <v>9417</v>
      </c>
      <c r="M2907" t="s">
        <v>9420</v>
      </c>
      <c r="N2907" s="3"/>
      <c r="O2907" s="3">
        <v>12</v>
      </c>
      <c r="P2907" s="3">
        <v>12</v>
      </c>
      <c r="Q2907" s="3">
        <v>12</v>
      </c>
      <c r="R2907" s="3">
        <v>12</v>
      </c>
      <c r="S2907" s="3">
        <v>12</v>
      </c>
      <c r="T2907" t="s">
        <v>9421</v>
      </c>
      <c r="U2907" t="e">
        <v>#N/A</v>
      </c>
      <c r="V2907" t="s">
        <v>9422</v>
      </c>
      <c r="W2907" s="45">
        <v>1</v>
      </c>
      <c r="X2907" s="45">
        <v>1</v>
      </c>
      <c r="Y2907" s="45">
        <v>1</v>
      </c>
      <c r="Z2907" s="45">
        <v>1</v>
      </c>
      <c r="AA2907" s="45">
        <v>1</v>
      </c>
      <c r="AB2907" s="45">
        <v>1</v>
      </c>
      <c r="AC2907" s="150">
        <v>1</v>
      </c>
      <c r="AD2907" s="150">
        <v>1</v>
      </c>
      <c r="AE2907" s="49">
        <f t="shared" si="145"/>
        <v>1</v>
      </c>
      <c r="AF2907" s="17"/>
      <c r="AG2907" s="17">
        <v>0</v>
      </c>
      <c r="AH2907" s="17">
        <v>0</v>
      </c>
      <c r="AI2907" s="17">
        <v>0</v>
      </c>
      <c r="AJ2907" s="17">
        <v>0</v>
      </c>
      <c r="AK2907" s="153">
        <v>0</v>
      </c>
      <c r="AL2907" s="154">
        <v>0</v>
      </c>
      <c r="AM2907" s="17">
        <f t="shared" si="146"/>
        <v>0</v>
      </c>
      <c r="AN2907" t="s">
        <v>3643</v>
      </c>
      <c r="AO2907" s="18" t="s">
        <v>3630</v>
      </c>
      <c r="AP2907" t="s">
        <v>9423</v>
      </c>
    </row>
    <row r="2908" spans="1:42" customFormat="1" x14ac:dyDescent="0.3">
      <c r="A2908" s="148" t="s">
        <v>8319</v>
      </c>
      <c r="B2908" t="s">
        <v>8320</v>
      </c>
      <c r="C2908" s="148" t="s">
        <v>9410</v>
      </c>
      <c r="D2908" t="s">
        <v>9411</v>
      </c>
      <c r="E2908" s="148" t="s">
        <v>9412</v>
      </c>
      <c r="F2908" t="s">
        <v>9413</v>
      </c>
      <c r="G2908" s="148" t="s">
        <v>9414</v>
      </c>
      <c r="H2908" t="s">
        <v>9415</v>
      </c>
      <c r="K2908" s="148" t="s">
        <v>9416</v>
      </c>
      <c r="L2908" t="s">
        <v>9417</v>
      </c>
      <c r="M2908" t="s">
        <v>9424</v>
      </c>
      <c r="N2908" s="3"/>
      <c r="O2908" s="3">
        <v>250</v>
      </c>
      <c r="P2908" s="3">
        <v>250</v>
      </c>
      <c r="Q2908" s="3">
        <v>250</v>
      </c>
      <c r="R2908" s="3">
        <v>250</v>
      </c>
      <c r="S2908" s="3">
        <v>250</v>
      </c>
      <c r="T2908" t="s">
        <v>9421</v>
      </c>
      <c r="U2908" t="e">
        <v>#N/A</v>
      </c>
      <c r="V2908" t="s">
        <v>9425</v>
      </c>
      <c r="W2908" s="45">
        <v>1</v>
      </c>
      <c r="X2908" s="45">
        <v>1</v>
      </c>
      <c r="Y2908" s="45">
        <v>1</v>
      </c>
      <c r="Z2908" s="45">
        <v>1</v>
      </c>
      <c r="AA2908" s="45">
        <v>1</v>
      </c>
      <c r="AB2908" s="45">
        <v>1</v>
      </c>
      <c r="AC2908" s="150">
        <v>1</v>
      </c>
      <c r="AD2908" s="150">
        <v>1</v>
      </c>
      <c r="AE2908" s="49">
        <f t="shared" si="145"/>
        <v>1</v>
      </c>
      <c r="AF2908" s="17"/>
      <c r="AG2908" s="17">
        <v>0</v>
      </c>
      <c r="AH2908" s="17">
        <v>0</v>
      </c>
      <c r="AI2908" s="17">
        <v>0</v>
      </c>
      <c r="AJ2908" s="17">
        <v>0</v>
      </c>
      <c r="AK2908" s="153">
        <v>0</v>
      </c>
      <c r="AL2908" s="154">
        <v>0</v>
      </c>
      <c r="AM2908" s="17">
        <f t="shared" si="146"/>
        <v>0</v>
      </c>
      <c r="AN2908" s="18" t="s">
        <v>255</v>
      </c>
      <c r="AO2908" s="18" t="s">
        <v>1045</v>
      </c>
      <c r="AP2908" t="s">
        <v>9426</v>
      </c>
    </row>
    <row r="2909" spans="1:42" customFormat="1" x14ac:dyDescent="0.3">
      <c r="A2909" s="148" t="s">
        <v>8319</v>
      </c>
      <c r="B2909" t="s">
        <v>8320</v>
      </c>
      <c r="C2909" s="148" t="s">
        <v>9410</v>
      </c>
      <c r="D2909" t="s">
        <v>9411</v>
      </c>
      <c r="E2909" s="148" t="s">
        <v>9412</v>
      </c>
      <c r="F2909" t="s">
        <v>9413</v>
      </c>
      <c r="G2909" s="148" t="s">
        <v>9414</v>
      </c>
      <c r="H2909" t="s">
        <v>9415</v>
      </c>
      <c r="K2909" s="155" t="s">
        <v>9427</v>
      </c>
      <c r="L2909" t="s">
        <v>9428</v>
      </c>
      <c r="M2909" t="s">
        <v>9429</v>
      </c>
      <c r="N2909" s="3">
        <v>293</v>
      </c>
      <c r="O2909" s="3">
        <v>263</v>
      </c>
      <c r="P2909" s="3">
        <v>230</v>
      </c>
      <c r="Q2909" s="3">
        <v>200</v>
      </c>
      <c r="R2909" s="3">
        <v>170</v>
      </c>
      <c r="S2909" s="3">
        <v>147</v>
      </c>
      <c r="T2909" t="s">
        <v>3643</v>
      </c>
      <c r="U2909" t="s">
        <v>3630</v>
      </c>
      <c r="V2909" t="s">
        <v>9430</v>
      </c>
      <c r="W2909" s="45">
        <v>1</v>
      </c>
      <c r="X2909" s="45">
        <v>1</v>
      </c>
      <c r="Y2909" s="45">
        <v>1</v>
      </c>
      <c r="Z2909" s="45">
        <v>1</v>
      </c>
      <c r="AA2909" s="45">
        <v>1</v>
      </c>
      <c r="AB2909" s="45">
        <v>1</v>
      </c>
      <c r="AC2909" s="150">
        <v>1</v>
      </c>
      <c r="AD2909" s="150">
        <v>1</v>
      </c>
      <c r="AE2909" s="49">
        <f t="shared" si="145"/>
        <v>1</v>
      </c>
      <c r="AF2909" s="17"/>
      <c r="AG2909" s="17">
        <v>0</v>
      </c>
      <c r="AH2909" s="17">
        <v>0</v>
      </c>
      <c r="AI2909" s="17">
        <v>0</v>
      </c>
      <c r="AJ2909" s="17">
        <v>0</v>
      </c>
      <c r="AK2909" s="153">
        <v>0</v>
      </c>
      <c r="AL2909" s="154">
        <v>0</v>
      </c>
      <c r="AM2909" s="17">
        <f t="shared" si="146"/>
        <v>0</v>
      </c>
      <c r="AN2909" s="44" t="s">
        <v>9431</v>
      </c>
      <c r="AO2909" s="18" t="s">
        <v>3630</v>
      </c>
      <c r="AP2909" s="18" t="s">
        <v>9432</v>
      </c>
    </row>
    <row r="2910" spans="1:42" customFormat="1" x14ac:dyDescent="0.3">
      <c r="A2910" s="148" t="s">
        <v>8319</v>
      </c>
      <c r="B2910" t="s">
        <v>8320</v>
      </c>
      <c r="C2910" s="148" t="s">
        <v>9410</v>
      </c>
      <c r="D2910" t="s">
        <v>9411</v>
      </c>
      <c r="E2910" s="148" t="s">
        <v>9412</v>
      </c>
      <c r="F2910" t="s">
        <v>9413</v>
      </c>
      <c r="G2910" s="148" t="s">
        <v>9414</v>
      </c>
      <c r="H2910" t="s">
        <v>9415</v>
      </c>
      <c r="K2910" s="155" t="s">
        <v>9427</v>
      </c>
      <c r="L2910" t="s">
        <v>9428</v>
      </c>
      <c r="M2910" t="s">
        <v>9433</v>
      </c>
      <c r="N2910" s="3">
        <v>13</v>
      </c>
      <c r="O2910" s="3">
        <v>11</v>
      </c>
      <c r="P2910" s="3">
        <v>10</v>
      </c>
      <c r="Q2910" s="3">
        <v>8</v>
      </c>
      <c r="R2910" s="3">
        <v>7</v>
      </c>
      <c r="S2910" s="3">
        <v>6</v>
      </c>
      <c r="T2910" t="s">
        <v>3643</v>
      </c>
      <c r="U2910" t="s">
        <v>3630</v>
      </c>
      <c r="V2910" t="s">
        <v>9434</v>
      </c>
      <c r="W2910" s="45">
        <v>1</v>
      </c>
      <c r="X2910" s="45">
        <v>1</v>
      </c>
      <c r="Y2910" s="45">
        <v>1</v>
      </c>
      <c r="Z2910" s="45">
        <v>1</v>
      </c>
      <c r="AA2910" s="45">
        <v>1</v>
      </c>
      <c r="AB2910" s="45">
        <v>1</v>
      </c>
      <c r="AC2910" s="150">
        <v>1</v>
      </c>
      <c r="AD2910" s="150">
        <v>1</v>
      </c>
      <c r="AE2910" s="49">
        <f t="shared" si="145"/>
        <v>1</v>
      </c>
      <c r="AF2910" s="17"/>
      <c r="AG2910" s="17">
        <v>0</v>
      </c>
      <c r="AH2910" s="17">
        <v>0</v>
      </c>
      <c r="AI2910" s="17">
        <v>0</v>
      </c>
      <c r="AJ2910" s="17">
        <v>0</v>
      </c>
      <c r="AK2910" s="153">
        <v>0</v>
      </c>
      <c r="AL2910" s="154">
        <v>0</v>
      </c>
      <c r="AM2910" s="17">
        <f t="shared" si="146"/>
        <v>0</v>
      </c>
      <c r="AN2910" t="s">
        <v>3643</v>
      </c>
      <c r="AO2910" s="18" t="s">
        <v>3630</v>
      </c>
      <c r="AP2910" t="s">
        <v>9435</v>
      </c>
    </row>
    <row r="2911" spans="1:42" customFormat="1" x14ac:dyDescent="0.3">
      <c r="A2911" s="148" t="s">
        <v>8319</v>
      </c>
      <c r="B2911" t="s">
        <v>8320</v>
      </c>
      <c r="C2911" s="148" t="s">
        <v>9410</v>
      </c>
      <c r="D2911" t="s">
        <v>9411</v>
      </c>
      <c r="E2911" s="148" t="s">
        <v>9412</v>
      </c>
      <c r="F2911" t="s">
        <v>9413</v>
      </c>
      <c r="G2911" s="148" t="s">
        <v>9414</v>
      </c>
      <c r="H2911" t="s">
        <v>9415</v>
      </c>
      <c r="K2911" s="155" t="s">
        <v>9427</v>
      </c>
      <c r="L2911" t="s">
        <v>9428</v>
      </c>
      <c r="M2911" t="s">
        <v>9436</v>
      </c>
      <c r="N2911" s="3">
        <v>0.4</v>
      </c>
      <c r="O2911" s="3">
        <v>0.35</v>
      </c>
      <c r="P2911" s="3">
        <v>0.35</v>
      </c>
      <c r="Q2911" s="3">
        <v>0.25</v>
      </c>
      <c r="R2911" s="3">
        <v>0.25</v>
      </c>
      <c r="S2911" s="3">
        <v>0.2</v>
      </c>
      <c r="T2911" t="s">
        <v>3643</v>
      </c>
      <c r="U2911" t="s">
        <v>3630</v>
      </c>
      <c r="V2911" t="s">
        <v>9437</v>
      </c>
      <c r="W2911" s="45">
        <v>1</v>
      </c>
      <c r="X2911" s="45">
        <v>1</v>
      </c>
      <c r="Y2911" s="45">
        <v>1</v>
      </c>
      <c r="Z2911" s="45">
        <v>1</v>
      </c>
      <c r="AA2911" s="45">
        <v>1</v>
      </c>
      <c r="AB2911" s="45">
        <v>1</v>
      </c>
      <c r="AC2911" s="150">
        <v>1</v>
      </c>
      <c r="AD2911" s="150">
        <v>1</v>
      </c>
      <c r="AE2911" s="49">
        <f t="shared" si="145"/>
        <v>1</v>
      </c>
      <c r="AF2911" s="17"/>
      <c r="AG2911" s="17">
        <v>0</v>
      </c>
      <c r="AH2911" s="17">
        <v>0</v>
      </c>
      <c r="AI2911" s="17">
        <v>0</v>
      </c>
      <c r="AJ2911" s="17">
        <v>0</v>
      </c>
      <c r="AK2911" s="153">
        <v>0</v>
      </c>
      <c r="AL2911" s="154">
        <v>0</v>
      </c>
      <c r="AM2911" s="17">
        <f t="shared" si="146"/>
        <v>0</v>
      </c>
      <c r="AN2911" s="44" t="s">
        <v>9431</v>
      </c>
      <c r="AO2911" s="18" t="s">
        <v>3630</v>
      </c>
      <c r="AP2911" s="18" t="s">
        <v>9432</v>
      </c>
    </row>
    <row r="2912" spans="1:42" customFormat="1" x14ac:dyDescent="0.3">
      <c r="A2912" s="148" t="s">
        <v>8319</v>
      </c>
      <c r="B2912" t="s">
        <v>8320</v>
      </c>
      <c r="C2912" s="148" t="s">
        <v>9410</v>
      </c>
      <c r="D2912" t="s">
        <v>9411</v>
      </c>
      <c r="E2912" s="148" t="s">
        <v>9412</v>
      </c>
      <c r="F2912" t="s">
        <v>9413</v>
      </c>
      <c r="G2912" s="148" t="s">
        <v>9414</v>
      </c>
      <c r="H2912" t="s">
        <v>9415</v>
      </c>
      <c r="K2912" s="155" t="s">
        <v>9438</v>
      </c>
      <c r="L2912" t="s">
        <v>9439</v>
      </c>
      <c r="M2912" t="s">
        <v>9440</v>
      </c>
      <c r="N2912" s="3">
        <v>55</v>
      </c>
      <c r="O2912" s="3">
        <v>60</v>
      </c>
      <c r="P2912" s="3">
        <v>63</v>
      </c>
      <c r="Q2912" s="3">
        <v>66</v>
      </c>
      <c r="R2912" s="3">
        <v>68</v>
      </c>
      <c r="S2912" s="3">
        <v>70</v>
      </c>
      <c r="T2912" t="s">
        <v>3643</v>
      </c>
      <c r="U2912" t="s">
        <v>3630</v>
      </c>
      <c r="W2912" s="45">
        <v>1</v>
      </c>
      <c r="X2912" s="45">
        <v>1</v>
      </c>
      <c r="Y2912" s="45">
        <v>1</v>
      </c>
      <c r="Z2912" s="45">
        <v>1</v>
      </c>
      <c r="AA2912" s="45">
        <v>1</v>
      </c>
      <c r="AB2912" s="45">
        <v>1</v>
      </c>
      <c r="AC2912" s="150">
        <v>1</v>
      </c>
      <c r="AD2912" s="150">
        <v>1</v>
      </c>
      <c r="AE2912" s="49">
        <f t="shared" si="145"/>
        <v>1</v>
      </c>
      <c r="AF2912" s="17"/>
      <c r="AG2912" s="17">
        <v>0</v>
      </c>
      <c r="AH2912" s="17"/>
      <c r="AI2912" s="17"/>
      <c r="AJ2912" s="17"/>
      <c r="AK2912" s="153"/>
      <c r="AL2912" s="154"/>
      <c r="AM2912" s="17">
        <f t="shared" si="146"/>
        <v>0</v>
      </c>
      <c r="AO2912" s="18"/>
    </row>
    <row r="2913" spans="1:42" customFormat="1" x14ac:dyDescent="0.3">
      <c r="A2913" s="148" t="s">
        <v>8319</v>
      </c>
      <c r="B2913" t="s">
        <v>8320</v>
      </c>
      <c r="C2913" s="148" t="s">
        <v>9410</v>
      </c>
      <c r="D2913" t="s">
        <v>9411</v>
      </c>
      <c r="E2913" s="148" t="s">
        <v>9412</v>
      </c>
      <c r="F2913" t="s">
        <v>9413</v>
      </c>
      <c r="G2913" s="148" t="s">
        <v>9414</v>
      </c>
      <c r="H2913" t="s">
        <v>9415</v>
      </c>
      <c r="K2913" s="155" t="s">
        <v>9441</v>
      </c>
      <c r="L2913" t="s">
        <v>9442</v>
      </c>
      <c r="M2913" t="s">
        <v>9443</v>
      </c>
      <c r="N2913" s="3">
        <v>100</v>
      </c>
      <c r="O2913" s="3">
        <v>100</v>
      </c>
      <c r="P2913" s="3">
        <v>100</v>
      </c>
      <c r="Q2913" s="3">
        <v>100</v>
      </c>
      <c r="R2913" s="3">
        <v>100</v>
      </c>
      <c r="S2913" s="3">
        <v>100</v>
      </c>
      <c r="T2913" t="s">
        <v>3643</v>
      </c>
      <c r="U2913" t="s">
        <v>3630</v>
      </c>
      <c r="V2913" t="s">
        <v>9444</v>
      </c>
      <c r="W2913" s="45">
        <v>1</v>
      </c>
      <c r="X2913" s="45">
        <v>1</v>
      </c>
      <c r="Y2913" s="45">
        <v>1</v>
      </c>
      <c r="Z2913" s="45">
        <v>1</v>
      </c>
      <c r="AA2913" s="45">
        <v>1</v>
      </c>
      <c r="AB2913" s="45">
        <v>1</v>
      </c>
      <c r="AC2913" s="150">
        <v>1</v>
      </c>
      <c r="AD2913" s="150">
        <v>1</v>
      </c>
      <c r="AE2913" s="49">
        <f t="shared" si="145"/>
        <v>1</v>
      </c>
      <c r="AF2913" s="44"/>
      <c r="AG2913" s="17">
        <v>0</v>
      </c>
      <c r="AH2913" s="44">
        <v>2</v>
      </c>
      <c r="AI2913" s="44">
        <v>2</v>
      </c>
      <c r="AJ2913" s="44">
        <v>2</v>
      </c>
      <c r="AK2913" s="151">
        <v>5</v>
      </c>
      <c r="AL2913" s="151">
        <v>5</v>
      </c>
      <c r="AM2913" s="17">
        <f t="shared" si="146"/>
        <v>10</v>
      </c>
      <c r="AN2913" t="s">
        <v>3643</v>
      </c>
      <c r="AO2913" s="18" t="s">
        <v>3630</v>
      </c>
      <c r="AP2913" t="s">
        <v>9445</v>
      </c>
    </row>
    <row r="2914" spans="1:42" customFormat="1" x14ac:dyDescent="0.3">
      <c r="A2914" s="148" t="s">
        <v>8319</v>
      </c>
      <c r="B2914" t="s">
        <v>8320</v>
      </c>
      <c r="C2914" s="148" t="s">
        <v>9410</v>
      </c>
      <c r="D2914" t="s">
        <v>9411</v>
      </c>
      <c r="E2914" s="148" t="s">
        <v>9412</v>
      </c>
      <c r="F2914" t="s">
        <v>9413</v>
      </c>
      <c r="G2914" s="148" t="s">
        <v>9414</v>
      </c>
      <c r="H2914" t="s">
        <v>9415</v>
      </c>
      <c r="K2914" s="155" t="s">
        <v>9441</v>
      </c>
      <c r="L2914" t="s">
        <v>9442</v>
      </c>
      <c r="N2914" s="3"/>
      <c r="O2914" s="3"/>
      <c r="P2914" s="3"/>
      <c r="Q2914" s="3"/>
      <c r="R2914" s="3"/>
      <c r="S2914" s="3"/>
      <c r="U2914" t="e">
        <v>#N/A</v>
      </c>
      <c r="V2914" t="s">
        <v>9446</v>
      </c>
      <c r="W2914" s="45">
        <v>1</v>
      </c>
      <c r="X2914" s="45">
        <v>1</v>
      </c>
      <c r="Y2914" s="45">
        <v>1</v>
      </c>
      <c r="Z2914" s="45">
        <v>1</v>
      </c>
      <c r="AA2914" s="45">
        <v>1</v>
      </c>
      <c r="AB2914" s="45">
        <v>1</v>
      </c>
      <c r="AC2914" s="150">
        <v>1</v>
      </c>
      <c r="AD2914" s="150">
        <v>1</v>
      </c>
      <c r="AE2914" s="49">
        <f t="shared" si="145"/>
        <v>1</v>
      </c>
      <c r="AF2914" s="44"/>
      <c r="AG2914" s="17">
        <v>0</v>
      </c>
      <c r="AH2914" s="44">
        <v>1</v>
      </c>
      <c r="AI2914" s="44">
        <v>1</v>
      </c>
      <c r="AJ2914" s="44">
        <v>1</v>
      </c>
      <c r="AK2914" s="151">
        <v>1</v>
      </c>
      <c r="AL2914" s="151">
        <v>1</v>
      </c>
      <c r="AM2914" s="17">
        <f t="shared" si="146"/>
        <v>2</v>
      </c>
      <c r="AN2914" t="s">
        <v>3643</v>
      </c>
      <c r="AO2914" s="18" t="s">
        <v>3630</v>
      </c>
      <c r="AP2914" t="s">
        <v>9447</v>
      </c>
    </row>
    <row r="2915" spans="1:42" customFormat="1" x14ac:dyDescent="0.3">
      <c r="A2915" s="148" t="s">
        <v>8319</v>
      </c>
      <c r="B2915" t="s">
        <v>8320</v>
      </c>
      <c r="C2915" s="148" t="s">
        <v>9410</v>
      </c>
      <c r="D2915" t="s">
        <v>9411</v>
      </c>
      <c r="E2915" s="148" t="s">
        <v>9412</v>
      </c>
      <c r="F2915" t="s">
        <v>9413</v>
      </c>
      <c r="G2915" s="148" t="s">
        <v>9448</v>
      </c>
      <c r="H2915" t="s">
        <v>9449</v>
      </c>
      <c r="I2915" s="148" t="s">
        <v>9450</v>
      </c>
      <c r="J2915" t="s">
        <v>9451</v>
      </c>
      <c r="K2915" s="148" t="s">
        <v>9452</v>
      </c>
      <c r="L2915" t="s">
        <v>9453</v>
      </c>
      <c r="M2915" t="s">
        <v>9454</v>
      </c>
      <c r="N2915" s="3">
        <v>0</v>
      </c>
      <c r="O2915" s="3">
        <v>1</v>
      </c>
      <c r="P2915" s="3">
        <v>1</v>
      </c>
      <c r="Q2915" s="3">
        <v>0</v>
      </c>
      <c r="R2915" s="3">
        <v>0</v>
      </c>
      <c r="S2915" s="3">
        <v>0</v>
      </c>
      <c r="T2915" t="s">
        <v>3643</v>
      </c>
      <c r="U2915" t="s">
        <v>3630</v>
      </c>
      <c r="V2915" t="s">
        <v>9455</v>
      </c>
      <c r="W2915" s="45">
        <v>1</v>
      </c>
      <c r="X2915" s="45">
        <v>1</v>
      </c>
      <c r="Y2915" s="45">
        <v>1</v>
      </c>
      <c r="Z2915" s="45">
        <v>1</v>
      </c>
      <c r="AA2915" s="45">
        <v>1</v>
      </c>
      <c r="AB2915" s="45">
        <v>1</v>
      </c>
      <c r="AC2915" s="150">
        <v>1</v>
      </c>
      <c r="AD2915" s="150">
        <v>1</v>
      </c>
      <c r="AE2915" s="49">
        <f t="shared" si="145"/>
        <v>1</v>
      </c>
      <c r="AF2915" s="17"/>
      <c r="AG2915" s="17">
        <v>0</v>
      </c>
      <c r="AH2915" s="17">
        <v>0</v>
      </c>
      <c r="AI2915" s="17">
        <v>0</v>
      </c>
      <c r="AJ2915" s="44">
        <v>0</v>
      </c>
      <c r="AK2915" s="151">
        <v>0</v>
      </c>
      <c r="AL2915" s="151">
        <v>0</v>
      </c>
      <c r="AM2915" s="17">
        <f t="shared" si="146"/>
        <v>0</v>
      </c>
      <c r="AN2915" t="s">
        <v>3643</v>
      </c>
      <c r="AO2915" s="18" t="s">
        <v>3630</v>
      </c>
      <c r="AP2915" t="s">
        <v>9456</v>
      </c>
    </row>
    <row r="2916" spans="1:42" customFormat="1" x14ac:dyDescent="0.3">
      <c r="A2916" s="148" t="s">
        <v>8319</v>
      </c>
      <c r="B2916" t="s">
        <v>8320</v>
      </c>
      <c r="C2916" s="148" t="s">
        <v>9410</v>
      </c>
      <c r="D2916" t="s">
        <v>9411</v>
      </c>
      <c r="E2916" s="148" t="s">
        <v>9412</v>
      </c>
      <c r="F2916" t="s">
        <v>9413</v>
      </c>
      <c r="G2916" s="148" t="s">
        <v>9448</v>
      </c>
      <c r="H2916" t="s">
        <v>9449</v>
      </c>
      <c r="I2916" s="148" t="s">
        <v>9457</v>
      </c>
      <c r="J2916" t="s">
        <v>9458</v>
      </c>
      <c r="K2916" s="148" t="s">
        <v>9459</v>
      </c>
      <c r="L2916" t="s">
        <v>9460</v>
      </c>
      <c r="N2916" s="3"/>
      <c r="O2916" s="3"/>
      <c r="P2916" s="3"/>
      <c r="Q2916" s="3"/>
      <c r="R2916" s="3"/>
      <c r="S2916" s="3"/>
      <c r="U2916" t="e">
        <v>#N/A</v>
      </c>
      <c r="V2916" t="s">
        <v>9461</v>
      </c>
      <c r="W2916" s="45">
        <v>1</v>
      </c>
      <c r="X2916" s="45">
        <v>1</v>
      </c>
      <c r="Y2916" s="45">
        <v>1</v>
      </c>
      <c r="Z2916" s="45">
        <v>1</v>
      </c>
      <c r="AA2916" s="45">
        <v>1</v>
      </c>
      <c r="AB2916" s="45">
        <v>1</v>
      </c>
      <c r="AC2916" s="150">
        <v>1</v>
      </c>
      <c r="AD2916" s="150">
        <v>1</v>
      </c>
      <c r="AE2916" s="49">
        <f t="shared" si="145"/>
        <v>1</v>
      </c>
      <c r="AF2916" s="44"/>
      <c r="AG2916" s="17">
        <v>0</v>
      </c>
      <c r="AH2916" s="44">
        <v>105</v>
      </c>
      <c r="AI2916" s="44">
        <v>115</v>
      </c>
      <c r="AJ2916" s="44">
        <v>115</v>
      </c>
      <c r="AK2916" s="151">
        <v>115</v>
      </c>
      <c r="AL2916" s="151">
        <v>115</v>
      </c>
      <c r="AM2916" s="17">
        <f t="shared" si="146"/>
        <v>230</v>
      </c>
      <c r="AN2916" s="44" t="s">
        <v>255</v>
      </c>
      <c r="AO2916" s="18" t="s">
        <v>1045</v>
      </c>
      <c r="AP2916" t="s">
        <v>9462</v>
      </c>
    </row>
    <row r="2917" spans="1:42" customFormat="1" x14ac:dyDescent="0.3">
      <c r="A2917" s="148" t="s">
        <v>8319</v>
      </c>
      <c r="B2917" t="s">
        <v>8320</v>
      </c>
      <c r="C2917" s="148" t="s">
        <v>9410</v>
      </c>
      <c r="D2917" t="s">
        <v>9411</v>
      </c>
      <c r="E2917" s="148" t="s">
        <v>9412</v>
      </c>
      <c r="F2917" t="s">
        <v>9413</v>
      </c>
      <c r="G2917" s="148" t="s">
        <v>9463</v>
      </c>
      <c r="H2917" t="s">
        <v>9464</v>
      </c>
      <c r="I2917" s="148" t="s">
        <v>9465</v>
      </c>
      <c r="J2917" t="s">
        <v>9466</v>
      </c>
      <c r="K2917" s="148" t="s">
        <v>9467</v>
      </c>
      <c r="L2917" t="s">
        <v>9468</v>
      </c>
      <c r="N2917" s="3"/>
      <c r="O2917" s="3"/>
      <c r="P2917" s="3"/>
      <c r="Q2917" s="3"/>
      <c r="R2917" s="3"/>
      <c r="S2917" s="3"/>
      <c r="U2917" t="e">
        <v>#N/A</v>
      </c>
      <c r="V2917" t="s">
        <v>9469</v>
      </c>
      <c r="W2917" s="45">
        <v>1</v>
      </c>
      <c r="X2917" s="45">
        <v>1</v>
      </c>
      <c r="Y2917" s="45">
        <v>1</v>
      </c>
      <c r="Z2917" s="45">
        <v>1</v>
      </c>
      <c r="AA2917" s="45">
        <v>1</v>
      </c>
      <c r="AB2917" s="45">
        <v>1</v>
      </c>
      <c r="AC2917" s="150">
        <v>1</v>
      </c>
      <c r="AD2917" s="150">
        <v>1</v>
      </c>
      <c r="AE2917" s="49">
        <f t="shared" si="145"/>
        <v>1</v>
      </c>
      <c r="AF2917" s="17"/>
      <c r="AG2917" s="17">
        <v>0</v>
      </c>
      <c r="AH2917" s="17">
        <v>0</v>
      </c>
      <c r="AI2917" s="17">
        <v>0</v>
      </c>
      <c r="AJ2917" s="17">
        <v>0</v>
      </c>
      <c r="AK2917" s="153">
        <v>0</v>
      </c>
      <c r="AL2917" s="154">
        <v>0</v>
      </c>
      <c r="AM2917" s="17">
        <f t="shared" si="146"/>
        <v>0</v>
      </c>
      <c r="AN2917" s="18" t="s">
        <v>407</v>
      </c>
      <c r="AO2917" s="18" t="s">
        <v>409</v>
      </c>
      <c r="AP2917" t="s">
        <v>9470</v>
      </c>
    </row>
    <row r="2918" spans="1:42" customFormat="1" ht="15" customHeight="1" x14ac:dyDescent="0.3">
      <c r="A2918" s="148" t="s">
        <v>8319</v>
      </c>
      <c r="B2918" t="s">
        <v>8320</v>
      </c>
      <c r="C2918" s="148" t="s">
        <v>9410</v>
      </c>
      <c r="D2918" t="s">
        <v>9411</v>
      </c>
      <c r="E2918" s="148" t="s">
        <v>9412</v>
      </c>
      <c r="F2918" t="s">
        <v>9413</v>
      </c>
      <c r="G2918" s="148" t="s">
        <v>9471</v>
      </c>
      <c r="H2918" t="s">
        <v>9472</v>
      </c>
      <c r="K2918" s="148" t="s">
        <v>9473</v>
      </c>
      <c r="L2918" t="s">
        <v>9474</v>
      </c>
      <c r="M2918" t="s">
        <v>9475</v>
      </c>
      <c r="N2918" s="3"/>
      <c r="O2918" s="3">
        <v>15</v>
      </c>
      <c r="P2918" s="3">
        <v>20</v>
      </c>
      <c r="Q2918" s="3">
        <v>20</v>
      </c>
      <c r="R2918" s="3">
        <v>20</v>
      </c>
      <c r="S2918" s="3">
        <v>20</v>
      </c>
      <c r="T2918" t="s">
        <v>3373</v>
      </c>
      <c r="U2918" t="s">
        <v>7395</v>
      </c>
      <c r="V2918" t="s">
        <v>9476</v>
      </c>
      <c r="W2918" s="45">
        <v>1</v>
      </c>
      <c r="X2918" s="45">
        <v>1</v>
      </c>
      <c r="Y2918" s="45">
        <v>1</v>
      </c>
      <c r="Z2918" s="45">
        <v>1</v>
      </c>
      <c r="AA2918" s="45">
        <v>1</v>
      </c>
      <c r="AB2918" s="45">
        <v>1</v>
      </c>
      <c r="AC2918" s="150">
        <v>1</v>
      </c>
      <c r="AD2918" s="150">
        <v>1</v>
      </c>
      <c r="AE2918" s="49">
        <f t="shared" si="145"/>
        <v>1</v>
      </c>
      <c r="AF2918" s="17"/>
      <c r="AG2918" s="17">
        <v>0</v>
      </c>
      <c r="AH2918" s="17">
        <v>0</v>
      </c>
      <c r="AI2918" s="17">
        <v>0</v>
      </c>
      <c r="AJ2918" s="17">
        <v>0</v>
      </c>
      <c r="AK2918" s="153">
        <v>6</v>
      </c>
      <c r="AL2918" s="154">
        <v>4.3899999999999997</v>
      </c>
      <c r="AM2918" s="17">
        <f t="shared" si="146"/>
        <v>10.39</v>
      </c>
      <c r="AN2918" s="1" t="s">
        <v>3373</v>
      </c>
      <c r="AO2918" s="18" t="s">
        <v>9477</v>
      </c>
      <c r="AP2918" t="s">
        <v>9478</v>
      </c>
    </row>
    <row r="2919" spans="1:42" customFormat="1" x14ac:dyDescent="0.3">
      <c r="A2919" s="148" t="s">
        <v>8319</v>
      </c>
      <c r="B2919" t="s">
        <v>8320</v>
      </c>
      <c r="C2919" s="148" t="s">
        <v>9410</v>
      </c>
      <c r="D2919" t="s">
        <v>9411</v>
      </c>
      <c r="E2919" s="148" t="s">
        <v>9412</v>
      </c>
      <c r="F2919" t="s">
        <v>9413</v>
      </c>
      <c r="G2919" s="148" t="s">
        <v>9479</v>
      </c>
      <c r="H2919" t="s">
        <v>9480</v>
      </c>
      <c r="K2919" s="148" t="s">
        <v>9481</v>
      </c>
      <c r="L2919" t="s">
        <v>9482</v>
      </c>
      <c r="M2919" t="s">
        <v>9483</v>
      </c>
      <c r="N2919" s="3"/>
      <c r="O2919" s="3">
        <v>60</v>
      </c>
      <c r="P2919" s="3">
        <v>70</v>
      </c>
      <c r="Q2919" s="3">
        <v>80</v>
      </c>
      <c r="R2919" s="3">
        <v>90</v>
      </c>
      <c r="S2919" s="3">
        <v>100</v>
      </c>
      <c r="T2919" t="s">
        <v>9484</v>
      </c>
      <c r="U2919" t="e">
        <v>#N/A</v>
      </c>
      <c r="V2919" t="s">
        <v>9485</v>
      </c>
      <c r="W2919" s="45">
        <v>1</v>
      </c>
      <c r="X2919" s="45">
        <v>1</v>
      </c>
      <c r="Y2919" s="45">
        <v>1</v>
      </c>
      <c r="Z2919" s="45">
        <v>1</v>
      </c>
      <c r="AA2919" s="45">
        <v>1</v>
      </c>
      <c r="AB2919" s="45">
        <v>1</v>
      </c>
      <c r="AC2919" s="150">
        <v>1</v>
      </c>
      <c r="AD2919" s="150">
        <v>1</v>
      </c>
      <c r="AE2919" s="49">
        <f t="shared" si="145"/>
        <v>1</v>
      </c>
      <c r="AF2919" s="17"/>
      <c r="AG2919" s="17">
        <v>0</v>
      </c>
      <c r="AH2919" s="17">
        <v>0</v>
      </c>
      <c r="AI2919" s="17">
        <v>0</v>
      </c>
      <c r="AJ2919" s="17">
        <v>0</v>
      </c>
      <c r="AK2919" s="153">
        <v>1</v>
      </c>
      <c r="AL2919" s="154">
        <v>0</v>
      </c>
      <c r="AM2919" s="17">
        <f t="shared" si="146"/>
        <v>1</v>
      </c>
      <c r="AN2919" t="s">
        <v>1167</v>
      </c>
      <c r="AO2919" s="18" t="s">
        <v>1170</v>
      </c>
    </row>
    <row r="2920" spans="1:42" customFormat="1" x14ac:dyDescent="0.3">
      <c r="A2920" s="148" t="s">
        <v>8319</v>
      </c>
      <c r="B2920" t="s">
        <v>8320</v>
      </c>
      <c r="C2920" s="148" t="s">
        <v>9410</v>
      </c>
      <c r="D2920" t="s">
        <v>9411</v>
      </c>
      <c r="E2920" s="148" t="s">
        <v>9412</v>
      </c>
      <c r="F2920" t="s">
        <v>9413</v>
      </c>
      <c r="G2920" s="148" t="s">
        <v>9479</v>
      </c>
      <c r="H2920" t="s">
        <v>9480</v>
      </c>
      <c r="K2920" s="148" t="s">
        <v>9486</v>
      </c>
      <c r="L2920" t="s">
        <v>9487</v>
      </c>
      <c r="M2920" t="s">
        <v>9488</v>
      </c>
      <c r="N2920" s="3"/>
      <c r="O2920" s="3">
        <v>0.6</v>
      </c>
      <c r="P2920" s="3">
        <v>0.7</v>
      </c>
      <c r="Q2920" s="3">
        <v>0.8</v>
      </c>
      <c r="R2920" s="3">
        <v>0.9</v>
      </c>
      <c r="S2920" s="3">
        <v>1</v>
      </c>
      <c r="T2920" t="s">
        <v>9489</v>
      </c>
      <c r="U2920" t="e">
        <v>#N/A</v>
      </c>
      <c r="V2920" t="s">
        <v>9490</v>
      </c>
      <c r="W2920" s="45">
        <v>1</v>
      </c>
      <c r="X2920" s="45">
        <v>1</v>
      </c>
      <c r="Y2920" s="45">
        <v>1</v>
      </c>
      <c r="Z2920" s="45">
        <v>1</v>
      </c>
      <c r="AA2920" s="45">
        <v>1</v>
      </c>
      <c r="AB2920" s="45">
        <v>1</v>
      </c>
      <c r="AC2920" s="150">
        <v>1</v>
      </c>
      <c r="AD2920" s="150">
        <v>1</v>
      </c>
      <c r="AE2920" s="49">
        <f t="shared" si="145"/>
        <v>1</v>
      </c>
      <c r="AF2920" s="17"/>
      <c r="AG2920" s="17">
        <v>0</v>
      </c>
      <c r="AH2920" s="17">
        <v>0</v>
      </c>
      <c r="AI2920" s="17">
        <v>0</v>
      </c>
      <c r="AJ2920" s="17">
        <v>0</v>
      </c>
      <c r="AK2920" s="153">
        <v>1</v>
      </c>
      <c r="AL2920" s="154">
        <v>0</v>
      </c>
      <c r="AM2920" s="17">
        <f t="shared" si="146"/>
        <v>1</v>
      </c>
      <c r="AN2920" s="44" t="s">
        <v>9491</v>
      </c>
      <c r="AO2920" s="18" t="s">
        <v>9492</v>
      </c>
      <c r="AP2920" t="s">
        <v>119</v>
      </c>
    </row>
    <row r="2921" spans="1:42" customFormat="1" x14ac:dyDescent="0.3">
      <c r="A2921" s="148" t="s">
        <v>8319</v>
      </c>
      <c r="B2921" t="s">
        <v>8320</v>
      </c>
      <c r="C2921" s="148" t="s">
        <v>9410</v>
      </c>
      <c r="D2921" t="s">
        <v>9411</v>
      </c>
      <c r="E2921" s="148" t="s">
        <v>9412</v>
      </c>
      <c r="F2921" t="s">
        <v>9413</v>
      </c>
      <c r="G2921" s="148" t="s">
        <v>9479</v>
      </c>
      <c r="H2921" t="s">
        <v>9480</v>
      </c>
      <c r="K2921" s="148" t="s">
        <v>9486</v>
      </c>
      <c r="L2921" t="s">
        <v>9487</v>
      </c>
      <c r="N2921" s="3"/>
      <c r="O2921" s="3"/>
      <c r="P2921" s="3"/>
      <c r="Q2921" s="3"/>
      <c r="R2921" s="3"/>
      <c r="S2921" s="3"/>
      <c r="U2921" t="e">
        <v>#N/A</v>
      </c>
      <c r="V2921" t="s">
        <v>9493</v>
      </c>
      <c r="W2921" s="45">
        <v>1</v>
      </c>
      <c r="X2921" s="45">
        <v>1</v>
      </c>
      <c r="Y2921" s="45">
        <v>1</v>
      </c>
      <c r="Z2921" s="45">
        <v>1</v>
      </c>
      <c r="AA2921" s="45">
        <v>1</v>
      </c>
      <c r="AB2921" s="45">
        <v>1</v>
      </c>
      <c r="AC2921" s="150">
        <v>1</v>
      </c>
      <c r="AD2921" s="150">
        <v>1</v>
      </c>
      <c r="AE2921" s="49">
        <f t="shared" si="145"/>
        <v>1</v>
      </c>
      <c r="AF2921" s="17"/>
      <c r="AG2921" s="17">
        <v>0</v>
      </c>
      <c r="AH2921" s="17">
        <v>0</v>
      </c>
      <c r="AI2921" s="17">
        <v>0</v>
      </c>
      <c r="AJ2921" s="17">
        <v>0</v>
      </c>
      <c r="AK2921" s="153">
        <v>1</v>
      </c>
      <c r="AL2921" s="154">
        <v>0</v>
      </c>
      <c r="AM2921" s="17">
        <f t="shared" si="146"/>
        <v>1</v>
      </c>
      <c r="AN2921" t="s">
        <v>831</v>
      </c>
      <c r="AO2921" s="18" t="s">
        <v>834</v>
      </c>
      <c r="AP2921" t="s">
        <v>9494</v>
      </c>
    </row>
    <row r="2922" spans="1:42" customFormat="1" x14ac:dyDescent="0.3">
      <c r="A2922" s="148" t="s">
        <v>8319</v>
      </c>
      <c r="B2922" t="s">
        <v>8320</v>
      </c>
      <c r="C2922" s="148" t="s">
        <v>9410</v>
      </c>
      <c r="D2922" t="s">
        <v>9411</v>
      </c>
      <c r="E2922" s="148" t="s">
        <v>9412</v>
      </c>
      <c r="F2922" t="s">
        <v>9413</v>
      </c>
      <c r="G2922" s="148" t="s">
        <v>9479</v>
      </c>
      <c r="H2922" t="s">
        <v>9480</v>
      </c>
      <c r="K2922" s="148" t="s">
        <v>9486</v>
      </c>
      <c r="L2922" t="s">
        <v>9487</v>
      </c>
      <c r="N2922" s="3"/>
      <c r="O2922" s="3"/>
      <c r="P2922" s="3"/>
      <c r="Q2922" s="3"/>
      <c r="R2922" s="3"/>
      <c r="S2922" s="3"/>
      <c r="U2922" t="e">
        <v>#N/A</v>
      </c>
      <c r="V2922" t="s">
        <v>9495</v>
      </c>
      <c r="W2922" s="45">
        <v>1</v>
      </c>
      <c r="X2922" s="45">
        <v>1</v>
      </c>
      <c r="Y2922" s="45">
        <v>1</v>
      </c>
      <c r="Z2922" s="45">
        <v>1</v>
      </c>
      <c r="AA2922" s="45">
        <v>1</v>
      </c>
      <c r="AB2922" s="45">
        <v>1</v>
      </c>
      <c r="AC2922" s="150">
        <v>1</v>
      </c>
      <c r="AD2922" s="150">
        <v>1</v>
      </c>
      <c r="AE2922" s="49">
        <f t="shared" si="145"/>
        <v>1</v>
      </c>
      <c r="AF2922" s="17"/>
      <c r="AG2922" s="17">
        <v>0</v>
      </c>
      <c r="AH2922" s="17">
        <v>0</v>
      </c>
      <c r="AI2922" s="17">
        <v>0</v>
      </c>
      <c r="AJ2922" s="17">
        <v>0</v>
      </c>
      <c r="AK2922" s="153">
        <v>1</v>
      </c>
      <c r="AL2922" s="154">
        <v>1</v>
      </c>
      <c r="AM2922" s="17">
        <f t="shared" si="146"/>
        <v>2</v>
      </c>
      <c r="AN2922" t="s">
        <v>280</v>
      </c>
      <c r="AO2922" s="18" t="s">
        <v>1151</v>
      </c>
    </row>
    <row r="2923" spans="1:42" customFormat="1" ht="15" customHeight="1" x14ac:dyDescent="0.3">
      <c r="A2923" s="148" t="s">
        <v>8319</v>
      </c>
      <c r="B2923" t="s">
        <v>8320</v>
      </c>
      <c r="C2923" s="148" t="s">
        <v>9496</v>
      </c>
      <c r="D2923" t="s">
        <v>9497</v>
      </c>
      <c r="E2923" s="148" t="s">
        <v>9498</v>
      </c>
      <c r="F2923" t="s">
        <v>9499</v>
      </c>
      <c r="G2923" s="148" t="s">
        <v>9500</v>
      </c>
      <c r="H2923" t="s">
        <v>9501</v>
      </c>
      <c r="K2923" s="148" t="s">
        <v>9502</v>
      </c>
      <c r="L2923" t="s">
        <v>9503</v>
      </c>
      <c r="M2923" t="s">
        <v>9504</v>
      </c>
      <c r="N2923" s="3">
        <v>304.55</v>
      </c>
      <c r="O2923" s="3">
        <v>305</v>
      </c>
      <c r="P2923" s="3">
        <v>946</v>
      </c>
      <c r="Q2923" s="3">
        <v>977</v>
      </c>
      <c r="R2923" s="3">
        <v>1008</v>
      </c>
      <c r="S2923" s="3">
        <v>1041</v>
      </c>
      <c r="T2923" t="s">
        <v>771</v>
      </c>
      <c r="U2923" t="s">
        <v>773</v>
      </c>
      <c r="V2923" t="s">
        <v>9505</v>
      </c>
      <c r="W2923" s="45">
        <v>1</v>
      </c>
      <c r="X2923" s="45">
        <v>1</v>
      </c>
      <c r="Y2923" s="45">
        <v>1</v>
      </c>
      <c r="Z2923" s="45">
        <v>1</v>
      </c>
      <c r="AA2923" s="45">
        <v>1</v>
      </c>
      <c r="AB2923" s="45">
        <v>1</v>
      </c>
      <c r="AC2923" s="150">
        <v>1</v>
      </c>
      <c r="AD2923" s="150">
        <v>1</v>
      </c>
      <c r="AE2923" s="49">
        <f t="shared" si="145"/>
        <v>1</v>
      </c>
      <c r="AF2923" s="44"/>
      <c r="AG2923" s="17">
        <v>0</v>
      </c>
      <c r="AH2923" s="44">
        <v>100</v>
      </c>
      <c r="AI2923" s="44">
        <v>100</v>
      </c>
      <c r="AJ2923" s="44">
        <v>100</v>
      </c>
      <c r="AK2923" s="151">
        <v>100</v>
      </c>
      <c r="AL2923" s="151">
        <v>91.17</v>
      </c>
      <c r="AM2923" s="17">
        <f t="shared" si="146"/>
        <v>191.17000000000002</v>
      </c>
      <c r="AN2923" s="18" t="s">
        <v>771</v>
      </c>
      <c r="AO2923" s="18" t="s">
        <v>773</v>
      </c>
      <c r="AP2923" t="s">
        <v>9506</v>
      </c>
    </row>
    <row r="2924" spans="1:42" customFormat="1" x14ac:dyDescent="0.3">
      <c r="A2924" s="148" t="s">
        <v>8319</v>
      </c>
      <c r="B2924" t="s">
        <v>8320</v>
      </c>
      <c r="C2924" s="148" t="s">
        <v>9496</v>
      </c>
      <c r="D2924" t="s">
        <v>9497</v>
      </c>
      <c r="E2924" s="148" t="s">
        <v>9498</v>
      </c>
      <c r="F2924" t="s">
        <v>9499</v>
      </c>
      <c r="G2924" s="148" t="s">
        <v>9500</v>
      </c>
      <c r="H2924" t="s">
        <v>9501</v>
      </c>
      <c r="K2924" s="148" t="s">
        <v>9507</v>
      </c>
      <c r="L2924" t="s">
        <v>9508</v>
      </c>
      <c r="M2924" t="s">
        <v>9509</v>
      </c>
      <c r="N2924" s="3">
        <v>0</v>
      </c>
      <c r="O2924" s="3"/>
      <c r="P2924" s="3"/>
      <c r="Q2924" s="3"/>
      <c r="R2924" s="3">
        <v>140</v>
      </c>
      <c r="S2924" s="3">
        <v>291</v>
      </c>
      <c r="T2924" t="s">
        <v>771</v>
      </c>
      <c r="U2924" t="s">
        <v>773</v>
      </c>
      <c r="V2924" t="s">
        <v>9510</v>
      </c>
      <c r="W2924" s="45">
        <v>1</v>
      </c>
      <c r="X2924" s="45">
        <v>1</v>
      </c>
      <c r="Y2924" s="45">
        <v>1</v>
      </c>
      <c r="Z2924" s="45">
        <v>1</v>
      </c>
      <c r="AA2924" s="45">
        <v>1</v>
      </c>
      <c r="AB2924" s="45">
        <v>1</v>
      </c>
      <c r="AC2924" s="150">
        <v>1</v>
      </c>
      <c r="AD2924" s="150">
        <v>1</v>
      </c>
      <c r="AE2924" s="49">
        <f t="shared" si="145"/>
        <v>1</v>
      </c>
      <c r="AF2924" s="44"/>
      <c r="AG2924" s="17">
        <v>0</v>
      </c>
      <c r="AH2924" s="44">
        <v>0</v>
      </c>
      <c r="AI2924" s="44">
        <v>0</v>
      </c>
      <c r="AJ2924" s="44">
        <v>0</v>
      </c>
      <c r="AK2924" s="151">
        <v>10</v>
      </c>
      <c r="AL2924" s="151">
        <v>10</v>
      </c>
      <c r="AM2924" s="17">
        <f t="shared" si="146"/>
        <v>20</v>
      </c>
      <c r="AN2924" s="18" t="s">
        <v>771</v>
      </c>
      <c r="AO2924" s="18" t="s">
        <v>773</v>
      </c>
      <c r="AP2924" t="s">
        <v>119</v>
      </c>
    </row>
    <row r="2925" spans="1:42" customFormat="1" x14ac:dyDescent="0.3">
      <c r="A2925" s="148" t="s">
        <v>8319</v>
      </c>
      <c r="B2925" t="s">
        <v>8320</v>
      </c>
      <c r="C2925" s="148" t="s">
        <v>9496</v>
      </c>
      <c r="D2925" t="s">
        <v>9497</v>
      </c>
      <c r="E2925" s="148" t="s">
        <v>9498</v>
      </c>
      <c r="F2925" t="s">
        <v>9499</v>
      </c>
      <c r="G2925" s="148" t="s">
        <v>9500</v>
      </c>
      <c r="H2925" t="s">
        <v>9501</v>
      </c>
      <c r="K2925" s="148" t="s">
        <v>9511</v>
      </c>
      <c r="L2925" t="s">
        <v>9512</v>
      </c>
      <c r="M2925" t="s">
        <v>9513</v>
      </c>
      <c r="N2925" s="3">
        <v>3524</v>
      </c>
      <c r="O2925" s="3">
        <v>4524</v>
      </c>
      <c r="P2925" s="3">
        <v>5524</v>
      </c>
      <c r="Q2925" s="3">
        <v>6524</v>
      </c>
      <c r="R2925" s="3">
        <v>7524</v>
      </c>
      <c r="S2925" s="3">
        <v>8524</v>
      </c>
      <c r="T2925" t="s">
        <v>1536</v>
      </c>
      <c r="U2925" t="e">
        <v>#N/A</v>
      </c>
      <c r="V2925" t="s">
        <v>9514</v>
      </c>
      <c r="W2925" s="45">
        <v>1</v>
      </c>
      <c r="X2925" s="45">
        <v>1</v>
      </c>
      <c r="Y2925" s="45">
        <v>1</v>
      </c>
      <c r="Z2925" s="45">
        <v>1</v>
      </c>
      <c r="AA2925" s="45">
        <v>1</v>
      </c>
      <c r="AB2925" s="45">
        <v>1</v>
      </c>
      <c r="AC2925" s="150">
        <v>1</v>
      </c>
      <c r="AD2925" s="150">
        <v>1</v>
      </c>
      <c r="AE2925" s="49">
        <f t="shared" si="145"/>
        <v>1</v>
      </c>
      <c r="AF2925" s="44"/>
      <c r="AG2925" s="17">
        <v>0</v>
      </c>
      <c r="AH2925" s="44">
        <v>0</v>
      </c>
      <c r="AI2925" s="44">
        <v>0</v>
      </c>
      <c r="AJ2925" s="44">
        <v>0</v>
      </c>
      <c r="AK2925" s="151">
        <v>5</v>
      </c>
      <c r="AL2925" s="151">
        <v>5</v>
      </c>
      <c r="AM2925" s="17">
        <f t="shared" si="146"/>
        <v>10</v>
      </c>
      <c r="AN2925" s="18" t="s">
        <v>771</v>
      </c>
      <c r="AO2925" s="18" t="s">
        <v>773</v>
      </c>
      <c r="AP2925" t="s">
        <v>921</v>
      </c>
    </row>
    <row r="2926" spans="1:42" customFormat="1" x14ac:dyDescent="0.3">
      <c r="A2926" s="148" t="s">
        <v>8319</v>
      </c>
      <c r="B2926" t="s">
        <v>8320</v>
      </c>
      <c r="C2926" s="148" t="s">
        <v>9496</v>
      </c>
      <c r="D2926" t="s">
        <v>9497</v>
      </c>
      <c r="E2926" s="148" t="s">
        <v>9498</v>
      </c>
      <c r="F2926" t="s">
        <v>9499</v>
      </c>
      <c r="G2926" s="148" t="s">
        <v>9500</v>
      </c>
      <c r="H2926" t="s">
        <v>9501</v>
      </c>
      <c r="K2926" s="148" t="s">
        <v>9515</v>
      </c>
      <c r="L2926" t="s">
        <v>9516</v>
      </c>
      <c r="M2926" t="s">
        <v>9517</v>
      </c>
      <c r="N2926" s="3">
        <v>0</v>
      </c>
      <c r="O2926" s="3">
        <v>200</v>
      </c>
      <c r="P2926" s="3">
        <v>200</v>
      </c>
      <c r="Q2926" s="3">
        <v>200</v>
      </c>
      <c r="R2926" s="3">
        <v>200</v>
      </c>
      <c r="S2926" s="3">
        <v>200</v>
      </c>
      <c r="T2926" t="s">
        <v>1536</v>
      </c>
      <c r="U2926" t="e">
        <v>#N/A</v>
      </c>
      <c r="V2926" t="s">
        <v>9518</v>
      </c>
      <c r="W2926" s="45">
        <v>1</v>
      </c>
      <c r="X2926" s="45">
        <v>1</v>
      </c>
      <c r="Y2926" s="45">
        <v>1</v>
      </c>
      <c r="Z2926" s="45">
        <v>1</v>
      </c>
      <c r="AA2926" s="45">
        <v>1</v>
      </c>
      <c r="AB2926" s="45">
        <v>1</v>
      </c>
      <c r="AC2926" s="150">
        <v>1</v>
      </c>
      <c r="AD2926" s="150">
        <v>1</v>
      </c>
      <c r="AE2926" s="49">
        <f t="shared" si="145"/>
        <v>1</v>
      </c>
      <c r="AF2926" s="44"/>
      <c r="AG2926" s="17">
        <v>0</v>
      </c>
      <c r="AH2926" s="44">
        <v>0</v>
      </c>
      <c r="AI2926" s="44">
        <v>0</v>
      </c>
      <c r="AJ2926" s="44">
        <v>0</v>
      </c>
      <c r="AK2926" s="151">
        <v>2.09</v>
      </c>
      <c r="AL2926" s="151">
        <v>0</v>
      </c>
      <c r="AM2926" s="17">
        <f t="shared" si="146"/>
        <v>2.09</v>
      </c>
      <c r="AN2926" s="18" t="s">
        <v>771</v>
      </c>
      <c r="AO2926" s="18" t="s">
        <v>773</v>
      </c>
      <c r="AP2926" t="s">
        <v>119</v>
      </c>
    </row>
    <row r="2927" spans="1:42" customFormat="1" x14ac:dyDescent="0.3">
      <c r="A2927" s="148" t="s">
        <v>8319</v>
      </c>
      <c r="B2927" t="s">
        <v>8320</v>
      </c>
      <c r="C2927" s="148" t="s">
        <v>9496</v>
      </c>
      <c r="D2927" t="s">
        <v>9497</v>
      </c>
      <c r="E2927" s="148" t="s">
        <v>9498</v>
      </c>
      <c r="F2927" t="s">
        <v>9499</v>
      </c>
      <c r="G2927" s="148" t="s">
        <v>9500</v>
      </c>
      <c r="H2927" t="s">
        <v>9501</v>
      </c>
      <c r="K2927" s="148" t="s">
        <v>9519</v>
      </c>
      <c r="L2927" t="s">
        <v>9520</v>
      </c>
      <c r="M2927" t="s">
        <v>9521</v>
      </c>
      <c r="N2927" s="3">
        <v>900</v>
      </c>
      <c r="O2927" s="3">
        <v>100000</v>
      </c>
      <c r="P2927" s="3">
        <v>100000</v>
      </c>
      <c r="Q2927" s="3">
        <v>100000</v>
      </c>
      <c r="R2927" s="3">
        <v>100000</v>
      </c>
      <c r="S2927" s="3">
        <v>100000</v>
      </c>
      <c r="T2927" t="s">
        <v>1536</v>
      </c>
      <c r="U2927" t="e">
        <v>#N/A</v>
      </c>
      <c r="V2927" t="s">
        <v>9522</v>
      </c>
      <c r="W2927" s="45">
        <v>1</v>
      </c>
      <c r="X2927" s="45">
        <v>1</v>
      </c>
      <c r="Y2927" s="45">
        <v>1</v>
      </c>
      <c r="Z2927" s="45">
        <v>1</v>
      </c>
      <c r="AA2927" s="45">
        <v>1</v>
      </c>
      <c r="AB2927" s="45">
        <v>1</v>
      </c>
      <c r="AC2927" s="150">
        <v>1</v>
      </c>
      <c r="AD2927" s="150">
        <v>1</v>
      </c>
      <c r="AE2927" s="49">
        <f t="shared" si="145"/>
        <v>1</v>
      </c>
      <c r="AF2927" s="44"/>
      <c r="AG2927" s="17">
        <v>0</v>
      </c>
      <c r="AH2927" s="44">
        <v>10</v>
      </c>
      <c r="AI2927" s="44">
        <v>10</v>
      </c>
      <c r="AJ2927" s="44">
        <v>10</v>
      </c>
      <c r="AK2927" s="151">
        <v>10</v>
      </c>
      <c r="AL2927" s="151">
        <v>10</v>
      </c>
      <c r="AM2927" s="17">
        <f t="shared" si="146"/>
        <v>20</v>
      </c>
      <c r="AN2927" s="18" t="s">
        <v>771</v>
      </c>
      <c r="AO2927" s="18" t="s">
        <v>773</v>
      </c>
      <c r="AP2927" t="s">
        <v>1563</v>
      </c>
    </row>
    <row r="2928" spans="1:42" customFormat="1" x14ac:dyDescent="0.3">
      <c r="A2928" s="148" t="s">
        <v>8319</v>
      </c>
      <c r="B2928" t="s">
        <v>8320</v>
      </c>
      <c r="C2928" s="148" t="s">
        <v>9496</v>
      </c>
      <c r="D2928" t="s">
        <v>9497</v>
      </c>
      <c r="E2928" s="148" t="s">
        <v>9498</v>
      </c>
      <c r="F2928" t="s">
        <v>9499</v>
      </c>
      <c r="G2928" s="148" t="s">
        <v>9500</v>
      </c>
      <c r="H2928" t="s">
        <v>9501</v>
      </c>
      <c r="K2928" s="148" t="s">
        <v>9523</v>
      </c>
      <c r="L2928" t="s">
        <v>9524</v>
      </c>
      <c r="M2928" t="s">
        <v>9525</v>
      </c>
      <c r="N2928" s="3">
        <v>0</v>
      </c>
      <c r="O2928" s="3">
        <v>180</v>
      </c>
      <c r="P2928" s="3">
        <v>180</v>
      </c>
      <c r="Q2928" s="3">
        <v>180</v>
      </c>
      <c r="R2928" s="3">
        <v>180</v>
      </c>
      <c r="S2928" s="3">
        <v>180</v>
      </c>
      <c r="T2928" t="s">
        <v>1536</v>
      </c>
      <c r="U2928" t="e">
        <v>#N/A</v>
      </c>
      <c r="V2928" t="s">
        <v>9526</v>
      </c>
      <c r="W2928" s="45">
        <v>1</v>
      </c>
      <c r="X2928" s="45">
        <v>1</v>
      </c>
      <c r="Y2928" s="45">
        <v>1</v>
      </c>
      <c r="Z2928" s="45">
        <v>1</v>
      </c>
      <c r="AA2928" s="45">
        <v>1</v>
      </c>
      <c r="AB2928" s="45">
        <v>1</v>
      </c>
      <c r="AC2928" s="150">
        <v>1</v>
      </c>
      <c r="AD2928" s="150">
        <v>1</v>
      </c>
      <c r="AE2928" s="49">
        <f t="shared" si="145"/>
        <v>1</v>
      </c>
      <c r="AF2928" s="44"/>
      <c r="AG2928" s="17">
        <v>0</v>
      </c>
      <c r="AH2928" s="44">
        <v>3.6</v>
      </c>
      <c r="AI2928" s="44">
        <v>3.6</v>
      </c>
      <c r="AJ2928" s="44">
        <v>3.6</v>
      </c>
      <c r="AK2928" s="151">
        <v>3.6</v>
      </c>
      <c r="AL2928" s="151">
        <v>3.6</v>
      </c>
      <c r="AM2928" s="17">
        <f t="shared" si="146"/>
        <v>7.2</v>
      </c>
      <c r="AN2928" s="18" t="s">
        <v>771</v>
      </c>
      <c r="AO2928" s="18" t="s">
        <v>773</v>
      </c>
      <c r="AP2928" t="s">
        <v>9368</v>
      </c>
    </row>
    <row r="2929" spans="1:42" customFormat="1" x14ac:dyDescent="0.3">
      <c r="A2929" s="148" t="s">
        <v>8319</v>
      </c>
      <c r="B2929" t="s">
        <v>8320</v>
      </c>
      <c r="C2929" s="148" t="s">
        <v>9496</v>
      </c>
      <c r="D2929" t="s">
        <v>9497</v>
      </c>
      <c r="E2929" s="148" t="s">
        <v>9498</v>
      </c>
      <c r="F2929" t="s">
        <v>9499</v>
      </c>
      <c r="G2929" s="148" t="s">
        <v>9527</v>
      </c>
      <c r="H2929" t="s">
        <v>9528</v>
      </c>
      <c r="K2929" s="148" t="s">
        <v>9529</v>
      </c>
      <c r="L2929" t="s">
        <v>9530</v>
      </c>
      <c r="M2929" t="s">
        <v>9531</v>
      </c>
      <c r="N2929" s="3">
        <v>0.62</v>
      </c>
      <c r="O2929" s="3">
        <v>0.66</v>
      </c>
      <c r="P2929" s="3">
        <v>0.68</v>
      </c>
      <c r="Q2929" s="3">
        <v>0.7</v>
      </c>
      <c r="R2929" s="3">
        <v>0.72</v>
      </c>
      <c r="S2929" s="3">
        <v>0.74</v>
      </c>
      <c r="T2929" t="s">
        <v>771</v>
      </c>
      <c r="U2929" t="s">
        <v>773</v>
      </c>
      <c r="V2929" t="s">
        <v>9532</v>
      </c>
      <c r="W2929" s="45">
        <v>1</v>
      </c>
      <c r="X2929" s="45">
        <v>1</v>
      </c>
      <c r="Y2929" s="45">
        <v>1</v>
      </c>
      <c r="Z2929" s="45">
        <v>1</v>
      </c>
      <c r="AA2929" s="45">
        <v>1</v>
      </c>
      <c r="AB2929" s="45">
        <v>1</v>
      </c>
      <c r="AC2929" s="150">
        <v>1</v>
      </c>
      <c r="AD2929" s="150">
        <v>1</v>
      </c>
      <c r="AE2929" s="49">
        <f t="shared" si="145"/>
        <v>1</v>
      </c>
      <c r="AF2929" s="44"/>
      <c r="AG2929" s="17">
        <v>0</v>
      </c>
      <c r="AH2929" s="44">
        <v>0</v>
      </c>
      <c r="AI2929" s="44">
        <v>50</v>
      </c>
      <c r="AJ2929" s="44">
        <v>50</v>
      </c>
      <c r="AK2929" s="151">
        <v>50</v>
      </c>
      <c r="AL2929" s="151">
        <v>50</v>
      </c>
      <c r="AM2929" s="17">
        <f t="shared" si="146"/>
        <v>100</v>
      </c>
      <c r="AN2929" s="18" t="s">
        <v>771</v>
      </c>
      <c r="AO2929" s="18" t="s">
        <v>773</v>
      </c>
      <c r="AP2929" t="s">
        <v>9533</v>
      </c>
    </row>
    <row r="2930" spans="1:42" customFormat="1" x14ac:dyDescent="0.3">
      <c r="A2930" s="148" t="s">
        <v>8319</v>
      </c>
      <c r="B2930" t="s">
        <v>8320</v>
      </c>
      <c r="C2930" s="148" t="s">
        <v>9496</v>
      </c>
      <c r="D2930" t="s">
        <v>9497</v>
      </c>
      <c r="E2930" s="148" t="s">
        <v>9498</v>
      </c>
      <c r="F2930" t="s">
        <v>9499</v>
      </c>
      <c r="G2930" s="148" t="s">
        <v>9527</v>
      </c>
      <c r="H2930" t="s">
        <v>9528</v>
      </c>
      <c r="K2930" s="148" t="s">
        <v>9534</v>
      </c>
      <c r="L2930" t="s">
        <v>9535</v>
      </c>
      <c r="M2930" t="s">
        <v>9536</v>
      </c>
      <c r="N2930" s="3">
        <v>18506</v>
      </c>
      <c r="O2930" s="3">
        <v>5000</v>
      </c>
      <c r="P2930" s="3">
        <v>5000</v>
      </c>
      <c r="Q2930" s="3">
        <v>5000</v>
      </c>
      <c r="R2930" s="3">
        <v>5000</v>
      </c>
      <c r="S2930" s="3">
        <v>5000</v>
      </c>
      <c r="T2930" t="s">
        <v>771</v>
      </c>
      <c r="U2930" t="s">
        <v>773</v>
      </c>
      <c r="V2930" t="s">
        <v>9537</v>
      </c>
      <c r="W2930" s="45">
        <v>1</v>
      </c>
      <c r="X2930" s="45">
        <v>1</v>
      </c>
      <c r="Y2930" s="45">
        <v>1</v>
      </c>
      <c r="Z2930" s="45">
        <v>1</v>
      </c>
      <c r="AA2930" s="45">
        <v>1</v>
      </c>
      <c r="AB2930" s="45">
        <v>1</v>
      </c>
      <c r="AC2930" s="150">
        <v>1</v>
      </c>
      <c r="AD2930" s="150">
        <v>1</v>
      </c>
      <c r="AE2930" s="49">
        <f t="shared" si="145"/>
        <v>1</v>
      </c>
      <c r="AF2930" s="17"/>
      <c r="AG2930" s="17">
        <v>0</v>
      </c>
      <c r="AH2930" s="17">
        <v>0</v>
      </c>
      <c r="AI2930" s="17">
        <v>0</v>
      </c>
      <c r="AJ2930" s="17">
        <v>0</v>
      </c>
      <c r="AK2930" s="153">
        <v>0</v>
      </c>
      <c r="AL2930" s="154">
        <v>0</v>
      </c>
      <c r="AM2930" s="17">
        <f t="shared" si="146"/>
        <v>0</v>
      </c>
      <c r="AN2930" s="18" t="s">
        <v>771</v>
      </c>
      <c r="AO2930" s="18" t="s">
        <v>773</v>
      </c>
      <c r="AP2930" t="s">
        <v>9533</v>
      </c>
    </row>
    <row r="2931" spans="1:42" customFormat="1" x14ac:dyDescent="0.3">
      <c r="A2931" s="148" t="s">
        <v>8319</v>
      </c>
      <c r="B2931" t="s">
        <v>8320</v>
      </c>
      <c r="C2931" s="148" t="s">
        <v>9496</v>
      </c>
      <c r="D2931" t="s">
        <v>9497</v>
      </c>
      <c r="E2931" s="148" t="s">
        <v>9498</v>
      </c>
      <c r="F2931" t="s">
        <v>9499</v>
      </c>
      <c r="G2931" s="148" t="s">
        <v>9538</v>
      </c>
      <c r="H2931" t="s">
        <v>9539</v>
      </c>
      <c r="K2931" s="148" t="s">
        <v>9540</v>
      </c>
      <c r="L2931" t="s">
        <v>9541</v>
      </c>
      <c r="M2931" t="s">
        <v>9542</v>
      </c>
      <c r="N2931" s="3">
        <v>0</v>
      </c>
      <c r="O2931" s="3">
        <v>5</v>
      </c>
      <c r="P2931" s="3">
        <v>10</v>
      </c>
      <c r="Q2931" s="3">
        <v>20</v>
      </c>
      <c r="R2931" s="3">
        <v>10</v>
      </c>
      <c r="S2931" s="3">
        <v>5</v>
      </c>
      <c r="T2931" t="s">
        <v>9543</v>
      </c>
      <c r="U2931" t="e">
        <v>#N/A</v>
      </c>
      <c r="V2931" t="s">
        <v>9544</v>
      </c>
      <c r="W2931" s="45">
        <v>1</v>
      </c>
      <c r="X2931" s="45">
        <v>1</v>
      </c>
      <c r="Y2931" s="45">
        <v>1</v>
      </c>
      <c r="Z2931" s="45">
        <v>1</v>
      </c>
      <c r="AA2931" s="45">
        <v>1</v>
      </c>
      <c r="AB2931" s="45">
        <v>1</v>
      </c>
      <c r="AC2931" s="150">
        <v>1</v>
      </c>
      <c r="AD2931" s="150">
        <v>1</v>
      </c>
      <c r="AE2931" s="49">
        <f t="shared" si="145"/>
        <v>1</v>
      </c>
      <c r="AF2931" s="44"/>
      <c r="AG2931" s="17">
        <v>0</v>
      </c>
      <c r="AH2931" s="44">
        <v>0</v>
      </c>
      <c r="AI2931" s="44">
        <v>0</v>
      </c>
      <c r="AJ2931" s="44">
        <v>0</v>
      </c>
      <c r="AK2931" s="151">
        <v>0</v>
      </c>
      <c r="AL2931" s="151">
        <v>0</v>
      </c>
      <c r="AM2931" s="17">
        <f t="shared" si="146"/>
        <v>0</v>
      </c>
      <c r="AN2931" s="18" t="s">
        <v>771</v>
      </c>
      <c r="AO2931" s="18" t="s">
        <v>773</v>
      </c>
      <c r="AP2931" t="s">
        <v>9545</v>
      </c>
    </row>
    <row r="2932" spans="1:42" customFormat="1" ht="15" customHeight="1" x14ac:dyDescent="0.3">
      <c r="A2932" s="148" t="s">
        <v>8319</v>
      </c>
      <c r="B2932" t="s">
        <v>8320</v>
      </c>
      <c r="C2932" s="148" t="s">
        <v>9496</v>
      </c>
      <c r="D2932" t="s">
        <v>9497</v>
      </c>
      <c r="E2932" s="148" t="s">
        <v>9498</v>
      </c>
      <c r="F2932" t="s">
        <v>9499</v>
      </c>
      <c r="G2932" s="148" t="s">
        <v>9546</v>
      </c>
      <c r="H2932" t="s">
        <v>9547</v>
      </c>
      <c r="K2932" s="148" t="s">
        <v>9548</v>
      </c>
      <c r="L2932" t="s">
        <v>9549</v>
      </c>
      <c r="M2932" t="s">
        <v>9550</v>
      </c>
      <c r="N2932" s="3">
        <v>1480</v>
      </c>
      <c r="O2932" s="3">
        <v>1580</v>
      </c>
      <c r="P2932" s="3">
        <v>1580</v>
      </c>
      <c r="Q2932" s="3">
        <v>1580</v>
      </c>
      <c r="R2932" s="3">
        <v>1580</v>
      </c>
      <c r="S2932" s="3">
        <v>1580</v>
      </c>
      <c r="T2932" t="s">
        <v>771</v>
      </c>
      <c r="U2932" t="s">
        <v>773</v>
      </c>
      <c r="V2932" t="s">
        <v>9551</v>
      </c>
      <c r="W2932" s="45">
        <v>1</v>
      </c>
      <c r="X2932" s="45">
        <v>1</v>
      </c>
      <c r="Y2932" s="45">
        <v>1</v>
      </c>
      <c r="Z2932" s="45">
        <v>1</v>
      </c>
      <c r="AA2932" s="45">
        <v>1</v>
      </c>
      <c r="AB2932" s="45">
        <v>1</v>
      </c>
      <c r="AC2932" s="150">
        <v>1</v>
      </c>
      <c r="AD2932" s="150">
        <v>1</v>
      </c>
      <c r="AE2932" s="49">
        <f t="shared" si="145"/>
        <v>1</v>
      </c>
      <c r="AF2932" s="44"/>
      <c r="AG2932" s="17">
        <v>0</v>
      </c>
      <c r="AH2932" s="44">
        <v>3.76</v>
      </c>
      <c r="AI2932" s="44">
        <v>3.76</v>
      </c>
      <c r="AJ2932" s="44">
        <v>3.76</v>
      </c>
      <c r="AK2932" s="151">
        <v>3.76</v>
      </c>
      <c r="AL2932" s="151">
        <v>3.76</v>
      </c>
      <c r="AM2932" s="17">
        <f t="shared" si="146"/>
        <v>7.52</v>
      </c>
      <c r="AN2932" s="18" t="s">
        <v>771</v>
      </c>
      <c r="AO2932" s="18" t="s">
        <v>773</v>
      </c>
      <c r="AP2932" t="s">
        <v>982</v>
      </c>
    </row>
    <row r="2933" spans="1:42" customFormat="1" x14ac:dyDescent="0.3">
      <c r="A2933" s="148" t="s">
        <v>8319</v>
      </c>
      <c r="B2933" t="s">
        <v>8320</v>
      </c>
      <c r="C2933" s="148" t="s">
        <v>9344</v>
      </c>
      <c r="D2933" t="s">
        <v>9345</v>
      </c>
      <c r="E2933" s="148" t="s">
        <v>9346</v>
      </c>
      <c r="F2933" t="s">
        <v>9347</v>
      </c>
      <c r="G2933" s="148" t="s">
        <v>9552</v>
      </c>
      <c r="H2933" t="s">
        <v>9553</v>
      </c>
      <c r="K2933" s="148" t="s">
        <v>9554</v>
      </c>
      <c r="L2933" t="s">
        <v>9555</v>
      </c>
      <c r="M2933" t="s">
        <v>9556</v>
      </c>
      <c r="N2933" s="3">
        <v>90742</v>
      </c>
      <c r="O2933" s="3">
        <v>0</v>
      </c>
      <c r="P2933" s="3">
        <v>30</v>
      </c>
      <c r="Q2933" s="3">
        <v>30</v>
      </c>
      <c r="R2933" s="3">
        <v>30</v>
      </c>
      <c r="S2933" s="3">
        <v>10</v>
      </c>
      <c r="T2933" t="s">
        <v>723</v>
      </c>
      <c r="U2933" t="s">
        <v>729</v>
      </c>
      <c r="V2933" t="s">
        <v>9557</v>
      </c>
      <c r="W2933" s="45">
        <v>1</v>
      </c>
      <c r="X2933" s="45">
        <v>1</v>
      </c>
      <c r="Y2933" s="45">
        <v>1</v>
      </c>
      <c r="Z2933" s="45">
        <v>1</v>
      </c>
      <c r="AA2933" s="45">
        <v>1</v>
      </c>
      <c r="AB2933" s="45">
        <v>0</v>
      </c>
      <c r="AC2933" s="150">
        <v>1</v>
      </c>
      <c r="AD2933" s="150">
        <v>1</v>
      </c>
      <c r="AE2933" s="49">
        <f t="shared" si="145"/>
        <v>0.875</v>
      </c>
      <c r="AF2933" s="44"/>
      <c r="AG2933" s="17">
        <v>0</v>
      </c>
      <c r="AH2933" s="44">
        <v>0</v>
      </c>
      <c r="AI2933" s="44">
        <v>0</v>
      </c>
      <c r="AJ2933" s="44">
        <v>2</v>
      </c>
      <c r="AK2933" s="151">
        <v>1</v>
      </c>
      <c r="AL2933" s="151">
        <v>1</v>
      </c>
      <c r="AM2933" s="17">
        <f t="shared" si="146"/>
        <v>2</v>
      </c>
      <c r="AN2933" t="s">
        <v>723</v>
      </c>
      <c r="AO2933" s="18" t="s">
        <v>729</v>
      </c>
      <c r="AP2933" t="s">
        <v>119</v>
      </c>
    </row>
    <row r="2934" spans="1:42" customFormat="1" x14ac:dyDescent="0.3">
      <c r="A2934" s="148" t="s">
        <v>8319</v>
      </c>
      <c r="B2934" t="s">
        <v>8320</v>
      </c>
      <c r="C2934" s="148" t="s">
        <v>9344</v>
      </c>
      <c r="D2934" t="s">
        <v>9345</v>
      </c>
      <c r="E2934" s="148" t="s">
        <v>9346</v>
      </c>
      <c r="F2934" t="s">
        <v>9347</v>
      </c>
      <c r="G2934" s="148" t="s">
        <v>9558</v>
      </c>
      <c r="H2934" t="s">
        <v>9559</v>
      </c>
      <c r="K2934" s="148" t="s">
        <v>9560</v>
      </c>
      <c r="L2934" t="s">
        <v>9561</v>
      </c>
      <c r="M2934" t="s">
        <v>9562</v>
      </c>
      <c r="N2934" s="3" t="s">
        <v>271</v>
      </c>
      <c r="O2934" s="3" t="s">
        <v>271</v>
      </c>
      <c r="P2934" s="3">
        <v>1426</v>
      </c>
      <c r="Q2934" s="3">
        <v>1426</v>
      </c>
      <c r="R2934" s="3">
        <v>1426</v>
      </c>
      <c r="S2934" s="3">
        <v>1426</v>
      </c>
      <c r="T2934" t="s">
        <v>2432</v>
      </c>
      <c r="U2934" t="s">
        <v>729</v>
      </c>
      <c r="V2934" t="s">
        <v>9563</v>
      </c>
      <c r="W2934" s="45">
        <v>1</v>
      </c>
      <c r="X2934" s="45">
        <v>1</v>
      </c>
      <c r="Y2934" s="45">
        <v>1</v>
      </c>
      <c r="Z2934" s="45">
        <v>1</v>
      </c>
      <c r="AA2934" s="45">
        <v>1</v>
      </c>
      <c r="AB2934" s="45">
        <v>0</v>
      </c>
      <c r="AC2934" s="150">
        <v>1</v>
      </c>
      <c r="AD2934" s="150">
        <v>1</v>
      </c>
      <c r="AE2934" s="49">
        <f t="shared" si="145"/>
        <v>0.875</v>
      </c>
      <c r="AF2934" s="44"/>
      <c r="AG2934" s="17"/>
      <c r="AH2934" s="44">
        <v>0</v>
      </c>
      <c r="AI2934" s="44">
        <v>4</v>
      </c>
      <c r="AJ2934" s="44">
        <v>4</v>
      </c>
      <c r="AK2934" s="151">
        <v>15</v>
      </c>
      <c r="AL2934" s="151">
        <v>20</v>
      </c>
      <c r="AM2934" s="17">
        <f t="shared" si="146"/>
        <v>35</v>
      </c>
      <c r="AN2934" s="44" t="s">
        <v>723</v>
      </c>
      <c r="AO2934" s="18" t="s">
        <v>729</v>
      </c>
      <c r="AP2934" t="s">
        <v>9564</v>
      </c>
    </row>
    <row r="2935" spans="1:42" customFormat="1" x14ac:dyDescent="0.3">
      <c r="A2935" s="148" t="s">
        <v>8319</v>
      </c>
      <c r="B2935" t="s">
        <v>8320</v>
      </c>
      <c r="C2935" s="148" t="s">
        <v>9344</v>
      </c>
      <c r="D2935" t="s">
        <v>9345</v>
      </c>
      <c r="E2935" s="148" t="s">
        <v>9346</v>
      </c>
      <c r="F2935" t="s">
        <v>9347</v>
      </c>
      <c r="G2935" s="148" t="s">
        <v>9558</v>
      </c>
      <c r="H2935" t="s">
        <v>9559</v>
      </c>
      <c r="K2935" s="148" t="s">
        <v>9560</v>
      </c>
      <c r="L2935" t="s">
        <v>9561</v>
      </c>
      <c r="M2935" t="s">
        <v>9565</v>
      </c>
      <c r="N2935" s="3" t="s">
        <v>271</v>
      </c>
      <c r="O2935" s="3"/>
      <c r="P2935" s="3"/>
      <c r="Q2935" s="3"/>
      <c r="R2935" s="3"/>
      <c r="S2935" s="3"/>
      <c r="T2935" t="s">
        <v>2432</v>
      </c>
      <c r="U2935" t="s">
        <v>729</v>
      </c>
      <c r="V2935" t="s">
        <v>9566</v>
      </c>
      <c r="W2935" s="45">
        <v>1</v>
      </c>
      <c r="X2935" s="45">
        <v>1</v>
      </c>
      <c r="Y2935" s="45">
        <v>0</v>
      </c>
      <c r="Z2935" s="45">
        <v>1</v>
      </c>
      <c r="AA2935" s="45">
        <v>1</v>
      </c>
      <c r="AB2935" s="45">
        <v>1</v>
      </c>
      <c r="AC2935" s="150">
        <v>1</v>
      </c>
      <c r="AD2935" s="150">
        <v>1</v>
      </c>
      <c r="AE2935" s="49">
        <f t="shared" si="145"/>
        <v>0.875</v>
      </c>
      <c r="AF2935" s="17"/>
      <c r="AG2935" s="17"/>
      <c r="AH2935" s="17">
        <v>0</v>
      </c>
      <c r="AI2935" s="44" t="s">
        <v>9567</v>
      </c>
      <c r="AJ2935" s="44" t="s">
        <v>9568</v>
      </c>
      <c r="AK2935" s="151">
        <v>19.3</v>
      </c>
      <c r="AL2935" s="151">
        <v>30</v>
      </c>
      <c r="AM2935" s="17">
        <f t="shared" si="146"/>
        <v>49.3</v>
      </c>
      <c r="AN2935" s="44" t="s">
        <v>723</v>
      </c>
      <c r="AO2935" s="18" t="s">
        <v>729</v>
      </c>
      <c r="AP2935" t="s">
        <v>921</v>
      </c>
    </row>
    <row r="2936" spans="1:42" customFormat="1" x14ac:dyDescent="0.3">
      <c r="A2936" s="148" t="s">
        <v>8319</v>
      </c>
      <c r="B2936" t="s">
        <v>8320</v>
      </c>
      <c r="C2936" s="148" t="s">
        <v>9369</v>
      </c>
      <c r="D2936" t="s">
        <v>9370</v>
      </c>
      <c r="E2936" s="148" t="s">
        <v>9371</v>
      </c>
      <c r="F2936" t="s">
        <v>9372</v>
      </c>
      <c r="G2936" s="148" t="s">
        <v>9373</v>
      </c>
      <c r="H2936" t="s">
        <v>9374</v>
      </c>
      <c r="I2936" t="s">
        <v>9375</v>
      </c>
      <c r="J2936" t="s">
        <v>9376</v>
      </c>
      <c r="K2936" s="148" t="s">
        <v>9569</v>
      </c>
      <c r="L2936" t="s">
        <v>9570</v>
      </c>
      <c r="M2936" t="s">
        <v>9571</v>
      </c>
      <c r="N2936" s="3">
        <v>0</v>
      </c>
      <c r="O2936" s="3">
        <v>0</v>
      </c>
      <c r="P2936" s="3">
        <v>1</v>
      </c>
      <c r="Q2936" s="3" t="s">
        <v>271</v>
      </c>
      <c r="R2936" s="3" t="s">
        <v>271</v>
      </c>
      <c r="S2936" s="3" t="s">
        <v>271</v>
      </c>
      <c r="T2936" t="s">
        <v>9572</v>
      </c>
      <c r="U2936" t="e">
        <v>#N/A</v>
      </c>
      <c r="V2936" t="s">
        <v>9573</v>
      </c>
      <c r="W2936" s="45">
        <v>1</v>
      </c>
      <c r="X2936" s="45">
        <v>1</v>
      </c>
      <c r="Y2936" s="45">
        <v>1</v>
      </c>
      <c r="Z2936" s="45">
        <v>1</v>
      </c>
      <c r="AA2936" s="45">
        <v>1</v>
      </c>
      <c r="AB2936" s="45">
        <v>1</v>
      </c>
      <c r="AC2936" s="150">
        <v>0</v>
      </c>
      <c r="AD2936" s="150">
        <v>1</v>
      </c>
      <c r="AE2936" s="49">
        <f t="shared" si="145"/>
        <v>0.875</v>
      </c>
      <c r="AF2936" s="44"/>
      <c r="AG2936" s="17">
        <v>0</v>
      </c>
      <c r="AH2936" s="44">
        <v>1</v>
      </c>
      <c r="AI2936" s="44">
        <v>1</v>
      </c>
      <c r="AJ2936" s="44">
        <v>0.5</v>
      </c>
      <c r="AK2936" s="151">
        <v>1.3</v>
      </c>
      <c r="AL2936" s="151">
        <v>1</v>
      </c>
      <c r="AM2936" s="17">
        <f t="shared" si="146"/>
        <v>2.2999999999999998</v>
      </c>
      <c r="AN2936" s="18" t="s">
        <v>771</v>
      </c>
      <c r="AO2936" s="18" t="s">
        <v>773</v>
      </c>
      <c r="AP2936" t="s">
        <v>239</v>
      </c>
    </row>
    <row r="2937" spans="1:42" customFormat="1" x14ac:dyDescent="0.3">
      <c r="A2937" s="148" t="s">
        <v>8319</v>
      </c>
      <c r="B2937" t="s">
        <v>8320</v>
      </c>
      <c r="C2937" s="148" t="s">
        <v>9369</v>
      </c>
      <c r="D2937" t="s">
        <v>9370</v>
      </c>
      <c r="E2937" s="148" t="s">
        <v>9371</v>
      </c>
      <c r="F2937" t="s">
        <v>9372</v>
      </c>
      <c r="G2937" s="148" t="s">
        <v>9373</v>
      </c>
      <c r="H2937" t="s">
        <v>9374</v>
      </c>
      <c r="I2937" t="s">
        <v>9375</v>
      </c>
      <c r="J2937" t="s">
        <v>9376</v>
      </c>
      <c r="K2937" s="148" t="s">
        <v>9574</v>
      </c>
      <c r="L2937" t="s">
        <v>9575</v>
      </c>
      <c r="M2937" t="s">
        <v>9576</v>
      </c>
      <c r="N2937" s="3">
        <v>0</v>
      </c>
      <c r="O2937" s="3">
        <v>0</v>
      </c>
      <c r="P2937" s="3">
        <v>1</v>
      </c>
      <c r="Q2937" s="3">
        <v>0</v>
      </c>
      <c r="R2937" s="3">
        <v>0</v>
      </c>
      <c r="S2937" s="3">
        <v>0</v>
      </c>
      <c r="T2937" t="s">
        <v>771</v>
      </c>
      <c r="U2937" t="s">
        <v>773</v>
      </c>
      <c r="V2937" t="s">
        <v>9577</v>
      </c>
      <c r="W2937" s="45">
        <v>1</v>
      </c>
      <c r="X2937" s="45">
        <v>1</v>
      </c>
      <c r="Y2937" s="45">
        <v>1</v>
      </c>
      <c r="Z2937" s="45">
        <v>1</v>
      </c>
      <c r="AA2937" s="45">
        <v>1</v>
      </c>
      <c r="AB2937" s="45">
        <v>1</v>
      </c>
      <c r="AC2937" s="150">
        <v>0</v>
      </c>
      <c r="AD2937" s="150">
        <v>1</v>
      </c>
      <c r="AE2937" s="49">
        <f t="shared" si="145"/>
        <v>0.875</v>
      </c>
      <c r="AF2937" s="17"/>
      <c r="AG2937" s="17">
        <v>0</v>
      </c>
      <c r="AH2937" s="17">
        <v>0</v>
      </c>
      <c r="AI2937" s="44">
        <v>1</v>
      </c>
      <c r="AJ2937" s="17">
        <v>0</v>
      </c>
      <c r="AK2937" s="153">
        <v>1</v>
      </c>
      <c r="AL2937" s="154">
        <v>1</v>
      </c>
      <c r="AM2937" s="17">
        <f t="shared" si="146"/>
        <v>2</v>
      </c>
      <c r="AN2937" s="18" t="s">
        <v>771</v>
      </c>
      <c r="AO2937" s="18" t="s">
        <v>773</v>
      </c>
      <c r="AP2937" t="s">
        <v>831</v>
      </c>
    </row>
    <row r="2938" spans="1:42" customFormat="1" x14ac:dyDescent="0.3">
      <c r="A2938" s="148" t="s">
        <v>8319</v>
      </c>
      <c r="B2938" t="s">
        <v>8320</v>
      </c>
      <c r="C2938" s="148" t="s">
        <v>9369</v>
      </c>
      <c r="D2938" t="s">
        <v>9370</v>
      </c>
      <c r="E2938" s="148" t="s">
        <v>9371</v>
      </c>
      <c r="F2938" t="s">
        <v>9372</v>
      </c>
      <c r="G2938" s="148" t="s">
        <v>9373</v>
      </c>
      <c r="H2938" t="s">
        <v>9374</v>
      </c>
      <c r="I2938" t="s">
        <v>9375</v>
      </c>
      <c r="J2938" t="s">
        <v>9376</v>
      </c>
      <c r="K2938" s="148" t="s">
        <v>9578</v>
      </c>
      <c r="L2938" t="s">
        <v>9579</v>
      </c>
      <c r="M2938" t="s">
        <v>9580</v>
      </c>
      <c r="N2938" s="3"/>
      <c r="O2938" s="3">
        <v>12</v>
      </c>
      <c r="P2938" s="3">
        <v>12</v>
      </c>
      <c r="Q2938" s="3">
        <v>12</v>
      </c>
      <c r="R2938" s="3">
        <v>12</v>
      </c>
      <c r="S2938" s="3">
        <v>12</v>
      </c>
      <c r="T2938" t="s">
        <v>771</v>
      </c>
      <c r="U2938" t="s">
        <v>773</v>
      </c>
      <c r="V2938" t="s">
        <v>9581</v>
      </c>
      <c r="W2938" s="45">
        <v>1</v>
      </c>
      <c r="X2938" s="45">
        <v>1</v>
      </c>
      <c r="Y2938" s="45">
        <v>1</v>
      </c>
      <c r="Z2938" s="45">
        <v>1</v>
      </c>
      <c r="AA2938" s="45">
        <v>1</v>
      </c>
      <c r="AB2938" s="45">
        <v>1</v>
      </c>
      <c r="AC2938" s="150">
        <v>0</v>
      </c>
      <c r="AD2938" s="150">
        <v>1</v>
      </c>
      <c r="AE2938" s="49">
        <f t="shared" si="145"/>
        <v>0.875</v>
      </c>
      <c r="AF2938" s="44"/>
      <c r="AG2938" s="17">
        <v>0</v>
      </c>
      <c r="AH2938" s="44">
        <v>0.2</v>
      </c>
      <c r="AI2938" s="44">
        <v>0.2</v>
      </c>
      <c r="AJ2938" s="44">
        <v>0.2</v>
      </c>
      <c r="AK2938" s="151">
        <v>3.25</v>
      </c>
      <c r="AL2938" s="151">
        <v>3.25</v>
      </c>
      <c r="AM2938" s="17">
        <f t="shared" si="146"/>
        <v>6.5</v>
      </c>
      <c r="AN2938" s="18" t="s">
        <v>771</v>
      </c>
      <c r="AO2938" s="18" t="s">
        <v>773</v>
      </c>
      <c r="AP2938" t="s">
        <v>119</v>
      </c>
    </row>
    <row r="2939" spans="1:42" customFormat="1" x14ac:dyDescent="0.3">
      <c r="A2939" s="148" t="s">
        <v>8319</v>
      </c>
      <c r="B2939" t="s">
        <v>8320</v>
      </c>
      <c r="C2939" s="148" t="s">
        <v>9369</v>
      </c>
      <c r="D2939" t="s">
        <v>9370</v>
      </c>
      <c r="E2939" s="148" t="s">
        <v>9371</v>
      </c>
      <c r="F2939" t="s">
        <v>9372</v>
      </c>
      <c r="G2939" s="148" t="s">
        <v>9373</v>
      </c>
      <c r="H2939" t="s">
        <v>9374</v>
      </c>
      <c r="I2939" t="s">
        <v>9375</v>
      </c>
      <c r="J2939" t="s">
        <v>9376</v>
      </c>
      <c r="K2939" s="148" t="s">
        <v>9578</v>
      </c>
      <c r="L2939" t="s">
        <v>9579</v>
      </c>
      <c r="M2939" t="s">
        <v>9582</v>
      </c>
      <c r="N2939" s="3">
        <v>3</v>
      </c>
      <c r="O2939" s="3">
        <v>2</v>
      </c>
      <c r="P2939" s="3">
        <v>2</v>
      </c>
      <c r="Q2939" s="3">
        <v>2</v>
      </c>
      <c r="R2939" s="3">
        <v>2</v>
      </c>
      <c r="S2939" s="3">
        <v>2</v>
      </c>
      <c r="T2939" t="s">
        <v>771</v>
      </c>
      <c r="U2939" t="s">
        <v>773</v>
      </c>
      <c r="V2939" t="s">
        <v>9583</v>
      </c>
      <c r="W2939" s="45">
        <v>1</v>
      </c>
      <c r="X2939" s="45">
        <v>1</v>
      </c>
      <c r="Y2939" s="45">
        <v>1</v>
      </c>
      <c r="Z2939" s="45">
        <v>1</v>
      </c>
      <c r="AA2939" s="45">
        <v>1</v>
      </c>
      <c r="AB2939" s="45">
        <v>1</v>
      </c>
      <c r="AC2939" s="150">
        <v>0</v>
      </c>
      <c r="AD2939" s="150">
        <v>1</v>
      </c>
      <c r="AE2939" s="49">
        <f t="shared" si="145"/>
        <v>0.875</v>
      </c>
      <c r="AF2939" s="44"/>
      <c r="AG2939" s="17">
        <v>0</v>
      </c>
      <c r="AH2939" s="44">
        <v>0.2</v>
      </c>
      <c r="AI2939" s="44">
        <v>0.2</v>
      </c>
      <c r="AJ2939" s="44">
        <v>0.2</v>
      </c>
      <c r="AK2939" s="151">
        <v>1.8</v>
      </c>
      <c r="AL2939" s="151">
        <v>2.2000000000000002</v>
      </c>
      <c r="AM2939" s="17">
        <f t="shared" si="146"/>
        <v>4</v>
      </c>
      <c r="AN2939" s="18" t="s">
        <v>771</v>
      </c>
      <c r="AO2939" s="18" t="s">
        <v>773</v>
      </c>
      <c r="AP2939" t="s">
        <v>1233</v>
      </c>
    </row>
    <row r="2940" spans="1:42" customFormat="1" x14ac:dyDescent="0.3">
      <c r="A2940" s="148" t="s">
        <v>8319</v>
      </c>
      <c r="B2940" t="s">
        <v>8320</v>
      </c>
      <c r="C2940" s="148" t="s">
        <v>9369</v>
      </c>
      <c r="D2940" t="s">
        <v>9370</v>
      </c>
      <c r="E2940" s="148" t="s">
        <v>9371</v>
      </c>
      <c r="F2940" t="s">
        <v>9372</v>
      </c>
      <c r="G2940" s="148" t="s">
        <v>9373</v>
      </c>
      <c r="H2940" t="s">
        <v>9374</v>
      </c>
      <c r="I2940" t="s">
        <v>9375</v>
      </c>
      <c r="J2940" t="s">
        <v>9376</v>
      </c>
      <c r="K2940" s="148" t="s">
        <v>9578</v>
      </c>
      <c r="L2940" t="s">
        <v>9579</v>
      </c>
      <c r="M2940" t="s">
        <v>9584</v>
      </c>
      <c r="N2940" s="3">
        <v>0</v>
      </c>
      <c r="O2940" s="3">
        <v>0</v>
      </c>
      <c r="P2940" s="3">
        <v>1</v>
      </c>
      <c r="Q2940" s="3">
        <v>1</v>
      </c>
      <c r="R2940" s="3">
        <v>1</v>
      </c>
      <c r="S2940" s="3">
        <v>1</v>
      </c>
      <c r="T2940" t="s">
        <v>771</v>
      </c>
      <c r="U2940" t="s">
        <v>773</v>
      </c>
      <c r="V2940" t="s">
        <v>9585</v>
      </c>
      <c r="W2940" s="45">
        <v>1</v>
      </c>
      <c r="X2940" s="45">
        <v>1</v>
      </c>
      <c r="Y2940" s="45">
        <v>1</v>
      </c>
      <c r="Z2940" s="45">
        <v>0</v>
      </c>
      <c r="AA2940" s="45">
        <v>1</v>
      </c>
      <c r="AB2940" s="45">
        <v>1</v>
      </c>
      <c r="AC2940" s="150">
        <v>1</v>
      </c>
      <c r="AD2940" s="150">
        <v>1</v>
      </c>
      <c r="AE2940" s="49">
        <f t="shared" si="145"/>
        <v>0.875</v>
      </c>
      <c r="AF2940" s="17"/>
      <c r="AG2940" s="17">
        <v>0</v>
      </c>
      <c r="AH2940" s="17">
        <v>0</v>
      </c>
      <c r="AI2940" s="44">
        <v>0</v>
      </c>
      <c r="AJ2940" s="44">
        <v>0</v>
      </c>
      <c r="AK2940" s="151">
        <v>5</v>
      </c>
      <c r="AL2940" s="151">
        <v>5</v>
      </c>
      <c r="AM2940" s="17">
        <f t="shared" si="146"/>
        <v>10</v>
      </c>
      <c r="AN2940" s="18" t="s">
        <v>771</v>
      </c>
      <c r="AO2940" s="18" t="s">
        <v>773</v>
      </c>
      <c r="AP2940" t="s">
        <v>9586</v>
      </c>
    </row>
    <row r="2941" spans="1:42" customFormat="1" x14ac:dyDescent="0.3">
      <c r="A2941" s="148" t="s">
        <v>8319</v>
      </c>
      <c r="B2941" t="s">
        <v>8320</v>
      </c>
      <c r="C2941" s="148" t="s">
        <v>9369</v>
      </c>
      <c r="D2941" t="s">
        <v>9370</v>
      </c>
      <c r="E2941" s="148" t="s">
        <v>9371</v>
      </c>
      <c r="F2941" t="s">
        <v>9372</v>
      </c>
      <c r="G2941" s="148" t="s">
        <v>9373</v>
      </c>
      <c r="H2941" t="s">
        <v>9374</v>
      </c>
      <c r="I2941" t="s">
        <v>9375</v>
      </c>
      <c r="J2941" t="s">
        <v>9376</v>
      </c>
      <c r="K2941" s="148" t="s">
        <v>9578</v>
      </c>
      <c r="L2941" t="s">
        <v>9579</v>
      </c>
      <c r="M2941" t="s">
        <v>9587</v>
      </c>
      <c r="N2941" s="3">
        <v>0</v>
      </c>
      <c r="O2941" s="3">
        <v>1</v>
      </c>
      <c r="P2941" s="3">
        <v>1</v>
      </c>
      <c r="Q2941" s="3">
        <v>1</v>
      </c>
      <c r="R2941" s="3">
        <v>1</v>
      </c>
      <c r="S2941" s="3">
        <v>1</v>
      </c>
      <c r="T2941" t="s">
        <v>771</v>
      </c>
      <c r="U2941" t="s">
        <v>773</v>
      </c>
      <c r="V2941" t="s">
        <v>9588</v>
      </c>
      <c r="W2941" s="45">
        <v>1</v>
      </c>
      <c r="X2941" s="45">
        <v>1</v>
      </c>
      <c r="Y2941" s="45">
        <v>1</v>
      </c>
      <c r="Z2941" s="45">
        <v>1</v>
      </c>
      <c r="AA2941" s="45">
        <v>1</v>
      </c>
      <c r="AB2941" s="45">
        <v>1</v>
      </c>
      <c r="AC2941" s="150">
        <v>0</v>
      </c>
      <c r="AD2941" s="150">
        <v>1</v>
      </c>
      <c r="AE2941" s="49">
        <f t="shared" si="145"/>
        <v>0.875</v>
      </c>
      <c r="AF2941" s="44"/>
      <c r="AG2941" s="17">
        <v>0</v>
      </c>
      <c r="AH2941" s="44">
        <v>20</v>
      </c>
      <c r="AI2941" s="44">
        <v>20</v>
      </c>
      <c r="AJ2941" s="44">
        <v>10</v>
      </c>
      <c r="AK2941" s="377">
        <v>10</v>
      </c>
      <c r="AL2941" s="377">
        <v>10</v>
      </c>
      <c r="AM2941" s="17">
        <f t="shared" si="146"/>
        <v>20</v>
      </c>
      <c r="AN2941" s="378" t="s">
        <v>1536</v>
      </c>
      <c r="AO2941" s="18" t="s">
        <v>1170</v>
      </c>
      <c r="AP2941" t="s">
        <v>9589</v>
      </c>
    </row>
    <row r="2942" spans="1:42" customFormat="1" x14ac:dyDescent="0.3">
      <c r="A2942" s="148" t="s">
        <v>8319</v>
      </c>
      <c r="B2942" t="s">
        <v>8320</v>
      </c>
      <c r="C2942" s="148" t="s">
        <v>9369</v>
      </c>
      <c r="D2942" t="s">
        <v>9370</v>
      </c>
      <c r="E2942" s="148" t="s">
        <v>9371</v>
      </c>
      <c r="F2942" t="s">
        <v>9372</v>
      </c>
      <c r="G2942" s="148" t="s">
        <v>9373</v>
      </c>
      <c r="H2942" t="s">
        <v>9374</v>
      </c>
      <c r="I2942" s="148" t="s">
        <v>9391</v>
      </c>
      <c r="J2942" t="s">
        <v>9392</v>
      </c>
      <c r="K2942" s="148" t="s">
        <v>9393</v>
      </c>
      <c r="L2942" t="s">
        <v>9394</v>
      </c>
      <c r="N2942" s="3"/>
      <c r="O2942" s="3"/>
      <c r="P2942" s="3"/>
      <c r="Q2942" s="3"/>
      <c r="R2942" s="3"/>
      <c r="S2942" s="3"/>
      <c r="U2942" t="e">
        <v>#N/A</v>
      </c>
      <c r="V2942" t="s">
        <v>9590</v>
      </c>
      <c r="W2942" s="45">
        <v>1</v>
      </c>
      <c r="X2942" s="45">
        <v>1</v>
      </c>
      <c r="Y2942" s="45">
        <v>1</v>
      </c>
      <c r="Z2942" s="45">
        <v>1</v>
      </c>
      <c r="AA2942" s="45">
        <v>0</v>
      </c>
      <c r="AB2942" s="45">
        <v>1</v>
      </c>
      <c r="AC2942" s="150">
        <v>1</v>
      </c>
      <c r="AD2942" s="150">
        <v>1</v>
      </c>
      <c r="AE2942" s="49">
        <f t="shared" si="145"/>
        <v>0.875</v>
      </c>
      <c r="AF2942" s="17"/>
      <c r="AG2942" s="17">
        <v>0</v>
      </c>
      <c r="AH2942" s="17">
        <v>0</v>
      </c>
      <c r="AI2942" s="44">
        <v>0.5</v>
      </c>
      <c r="AJ2942" s="44">
        <v>0.5</v>
      </c>
      <c r="AK2942" s="151">
        <v>0.5</v>
      </c>
      <c r="AL2942" s="151">
        <v>0.5</v>
      </c>
      <c r="AM2942" s="17">
        <f t="shared" si="146"/>
        <v>1</v>
      </c>
      <c r="AN2942" s="44" t="s">
        <v>723</v>
      </c>
      <c r="AO2942" s="18" t="s">
        <v>729</v>
      </c>
      <c r="AP2942" t="s">
        <v>4497</v>
      </c>
    </row>
    <row r="2943" spans="1:42" customFormat="1" x14ac:dyDescent="0.3">
      <c r="A2943" s="148" t="s">
        <v>8319</v>
      </c>
      <c r="B2943" t="s">
        <v>8320</v>
      </c>
      <c r="C2943" s="148" t="s">
        <v>9369</v>
      </c>
      <c r="D2943" t="s">
        <v>9370</v>
      </c>
      <c r="E2943" s="148" t="s">
        <v>9371</v>
      </c>
      <c r="F2943" t="s">
        <v>9372</v>
      </c>
      <c r="G2943" s="148" t="s">
        <v>9373</v>
      </c>
      <c r="H2943" t="s">
        <v>9374</v>
      </c>
      <c r="I2943" s="148" t="s">
        <v>9391</v>
      </c>
      <c r="J2943" t="s">
        <v>9392</v>
      </c>
      <c r="K2943" s="148" t="s">
        <v>9393</v>
      </c>
      <c r="L2943" t="s">
        <v>9394</v>
      </c>
      <c r="N2943" s="3"/>
      <c r="O2943" s="3"/>
      <c r="P2943" s="3"/>
      <c r="Q2943" s="3"/>
      <c r="R2943" s="3"/>
      <c r="S2943" s="3"/>
      <c r="U2943" t="e">
        <v>#N/A</v>
      </c>
      <c r="V2943" t="s">
        <v>9591</v>
      </c>
      <c r="W2943" s="45">
        <v>1</v>
      </c>
      <c r="X2943" s="45">
        <v>1</v>
      </c>
      <c r="Y2943" s="45">
        <v>1</v>
      </c>
      <c r="Z2943" s="45">
        <v>1</v>
      </c>
      <c r="AA2943" s="45">
        <v>0</v>
      </c>
      <c r="AB2943" s="45">
        <v>1</v>
      </c>
      <c r="AC2943" s="150">
        <v>1</v>
      </c>
      <c r="AD2943" s="150">
        <v>1</v>
      </c>
      <c r="AE2943" s="49">
        <f t="shared" si="145"/>
        <v>0.875</v>
      </c>
      <c r="AF2943" s="44"/>
      <c r="AG2943" s="17">
        <v>0</v>
      </c>
      <c r="AH2943" s="44">
        <v>9.9</v>
      </c>
      <c r="AI2943" s="44">
        <v>10</v>
      </c>
      <c r="AJ2943" s="44">
        <v>12</v>
      </c>
      <c r="AK2943" s="151">
        <v>12</v>
      </c>
      <c r="AL2943" s="151">
        <v>15</v>
      </c>
      <c r="AM2943" s="17">
        <f t="shared" si="146"/>
        <v>27</v>
      </c>
      <c r="AN2943" s="44" t="s">
        <v>1449</v>
      </c>
      <c r="AO2943" s="18" t="s">
        <v>3500</v>
      </c>
      <c r="AP2943" t="s">
        <v>9592</v>
      </c>
    </row>
    <row r="2944" spans="1:42" customFormat="1" x14ac:dyDescent="0.3">
      <c r="A2944" s="148" t="s">
        <v>8319</v>
      </c>
      <c r="B2944" t="s">
        <v>8320</v>
      </c>
      <c r="C2944" s="148" t="s">
        <v>9369</v>
      </c>
      <c r="D2944" t="s">
        <v>9370</v>
      </c>
      <c r="E2944" s="148" t="s">
        <v>9371</v>
      </c>
      <c r="F2944" t="s">
        <v>9372</v>
      </c>
      <c r="G2944" s="148" t="s">
        <v>9593</v>
      </c>
      <c r="H2944" t="s">
        <v>9594</v>
      </c>
      <c r="K2944" s="148" t="s">
        <v>9595</v>
      </c>
      <c r="L2944" t="s">
        <v>9596</v>
      </c>
      <c r="N2944" s="3"/>
      <c r="O2944" s="3"/>
      <c r="P2944" s="3"/>
      <c r="Q2944" s="3"/>
      <c r="R2944" s="3"/>
      <c r="S2944" s="3"/>
      <c r="U2944" t="e">
        <v>#N/A</v>
      </c>
      <c r="V2944" t="s">
        <v>9597</v>
      </c>
      <c r="W2944" s="45">
        <v>1</v>
      </c>
      <c r="X2944" s="45">
        <v>1</v>
      </c>
      <c r="Y2944" s="45">
        <v>0</v>
      </c>
      <c r="Z2944" s="45">
        <v>1</v>
      </c>
      <c r="AA2944" s="45">
        <v>1</v>
      </c>
      <c r="AB2944" s="45">
        <v>1</v>
      </c>
      <c r="AC2944" s="150">
        <v>1</v>
      </c>
      <c r="AD2944" s="150">
        <v>1</v>
      </c>
      <c r="AE2944" s="49">
        <f t="shared" si="145"/>
        <v>0.875</v>
      </c>
      <c r="AF2944" s="17"/>
      <c r="AG2944" s="17">
        <v>0</v>
      </c>
      <c r="AH2944" s="17">
        <v>0</v>
      </c>
      <c r="AI2944" s="44">
        <v>0.35</v>
      </c>
      <c r="AJ2944" s="44">
        <v>0.35</v>
      </c>
      <c r="AK2944" s="151">
        <v>0.4</v>
      </c>
      <c r="AL2944" s="151">
        <v>0.45</v>
      </c>
      <c r="AM2944" s="17">
        <f t="shared" si="146"/>
        <v>0.85000000000000009</v>
      </c>
      <c r="AN2944" t="s">
        <v>723</v>
      </c>
      <c r="AO2944" s="18" t="s">
        <v>729</v>
      </c>
      <c r="AP2944" t="s">
        <v>119</v>
      </c>
    </row>
    <row r="2945" spans="1:42" customFormat="1" x14ac:dyDescent="0.3">
      <c r="A2945" s="148" t="s">
        <v>8319</v>
      </c>
      <c r="B2945" t="s">
        <v>8320</v>
      </c>
      <c r="C2945" s="148" t="s">
        <v>9369</v>
      </c>
      <c r="D2945" t="s">
        <v>9370</v>
      </c>
      <c r="E2945" s="148" t="s">
        <v>9371</v>
      </c>
      <c r="F2945" t="s">
        <v>9372</v>
      </c>
      <c r="G2945" s="148" t="s">
        <v>9593</v>
      </c>
      <c r="H2945" t="s">
        <v>9594</v>
      </c>
      <c r="K2945" s="155" t="s">
        <v>9598</v>
      </c>
      <c r="L2945" t="s">
        <v>9599</v>
      </c>
      <c r="M2945" t="s">
        <v>9600</v>
      </c>
      <c r="N2945" s="3" t="s">
        <v>271</v>
      </c>
      <c r="O2945" s="3">
        <v>20</v>
      </c>
      <c r="P2945" s="3">
        <v>45</v>
      </c>
      <c r="Q2945" s="3">
        <v>50</v>
      </c>
      <c r="R2945" s="3">
        <v>65</v>
      </c>
      <c r="S2945" s="3">
        <v>80</v>
      </c>
      <c r="T2945" t="s">
        <v>9601</v>
      </c>
      <c r="U2945" t="e">
        <v>#N/A</v>
      </c>
      <c r="V2945" t="s">
        <v>9602</v>
      </c>
      <c r="W2945" s="45">
        <v>1</v>
      </c>
      <c r="X2945" s="45">
        <v>1</v>
      </c>
      <c r="Y2945" s="45">
        <v>1</v>
      </c>
      <c r="Z2945" s="45">
        <v>1</v>
      </c>
      <c r="AA2945" s="45">
        <v>1</v>
      </c>
      <c r="AB2945" s="45">
        <v>1</v>
      </c>
      <c r="AC2945" s="150">
        <v>0</v>
      </c>
      <c r="AD2945" s="150">
        <v>1</v>
      </c>
      <c r="AE2945" s="49">
        <f t="shared" si="145"/>
        <v>0.875</v>
      </c>
      <c r="AF2945" s="44"/>
      <c r="AG2945" s="17">
        <v>0</v>
      </c>
      <c r="AH2945" s="44">
        <v>0</v>
      </c>
      <c r="AI2945" s="44">
        <v>0</v>
      </c>
      <c r="AJ2945" s="44">
        <v>0</v>
      </c>
      <c r="AK2945" s="151">
        <v>1</v>
      </c>
      <c r="AL2945" s="151">
        <v>1</v>
      </c>
      <c r="AM2945" s="17">
        <f t="shared" si="146"/>
        <v>2</v>
      </c>
      <c r="AN2945" s="44" t="s">
        <v>723</v>
      </c>
      <c r="AO2945" s="18" t="s">
        <v>729</v>
      </c>
      <c r="AP2945" t="s">
        <v>831</v>
      </c>
    </row>
    <row r="2946" spans="1:42" customFormat="1" x14ac:dyDescent="0.3">
      <c r="A2946" s="148" t="s">
        <v>8319</v>
      </c>
      <c r="B2946" t="s">
        <v>8320</v>
      </c>
      <c r="C2946" s="148" t="s">
        <v>9410</v>
      </c>
      <c r="D2946" t="s">
        <v>9411</v>
      </c>
      <c r="E2946" s="148" t="s">
        <v>9412</v>
      </c>
      <c r="F2946" t="s">
        <v>9413</v>
      </c>
      <c r="G2946" s="148" t="s">
        <v>9414</v>
      </c>
      <c r="H2946" t="s">
        <v>9415</v>
      </c>
      <c r="K2946" s="148" t="s">
        <v>9416</v>
      </c>
      <c r="L2946" t="s">
        <v>9417</v>
      </c>
      <c r="M2946" t="s">
        <v>9603</v>
      </c>
      <c r="N2946" s="3"/>
      <c r="O2946" s="3">
        <v>250</v>
      </c>
      <c r="P2946" s="3">
        <v>500</v>
      </c>
      <c r="Q2946" s="3">
        <v>500</v>
      </c>
      <c r="R2946" s="3">
        <v>500</v>
      </c>
      <c r="S2946" s="3">
        <v>500</v>
      </c>
      <c r="T2946" t="s">
        <v>9604</v>
      </c>
      <c r="U2946" t="e">
        <v>#N/A</v>
      </c>
      <c r="V2946" t="s">
        <v>9605</v>
      </c>
      <c r="W2946" s="45">
        <v>1</v>
      </c>
      <c r="X2946" s="45">
        <v>1</v>
      </c>
      <c r="Y2946" s="45">
        <v>1</v>
      </c>
      <c r="Z2946" s="45">
        <v>1</v>
      </c>
      <c r="AA2946" s="45">
        <v>1</v>
      </c>
      <c r="AB2946" s="45">
        <v>1</v>
      </c>
      <c r="AC2946" s="150">
        <v>0</v>
      </c>
      <c r="AD2946" s="150">
        <v>1</v>
      </c>
      <c r="AE2946" s="49">
        <f t="shared" si="145"/>
        <v>0.875</v>
      </c>
      <c r="AF2946" s="44"/>
      <c r="AG2946" s="17">
        <v>0</v>
      </c>
      <c r="AH2946" s="44">
        <v>2</v>
      </c>
      <c r="AI2946" s="44">
        <v>2</v>
      </c>
      <c r="AJ2946" s="44">
        <v>2</v>
      </c>
      <c r="AK2946" s="151">
        <v>2</v>
      </c>
      <c r="AL2946" s="151">
        <v>2</v>
      </c>
      <c r="AM2946" s="17">
        <f t="shared" si="146"/>
        <v>4</v>
      </c>
      <c r="AN2946" t="s">
        <v>3643</v>
      </c>
      <c r="AO2946" s="18" t="s">
        <v>3630</v>
      </c>
      <c r="AP2946" t="s">
        <v>255</v>
      </c>
    </row>
    <row r="2947" spans="1:42" customFormat="1" x14ac:dyDescent="0.3">
      <c r="A2947" s="148" t="s">
        <v>8319</v>
      </c>
      <c r="B2947" t="s">
        <v>8320</v>
      </c>
      <c r="C2947" s="148" t="s">
        <v>9410</v>
      </c>
      <c r="D2947" t="s">
        <v>9411</v>
      </c>
      <c r="E2947" s="148" t="s">
        <v>9412</v>
      </c>
      <c r="F2947" t="s">
        <v>9413</v>
      </c>
      <c r="G2947" s="148" t="s">
        <v>9414</v>
      </c>
      <c r="H2947" t="s">
        <v>9415</v>
      </c>
      <c r="K2947" s="148" t="s">
        <v>9416</v>
      </c>
      <c r="L2947" t="s">
        <v>9417</v>
      </c>
      <c r="M2947" t="s">
        <v>9606</v>
      </c>
      <c r="N2947" s="3"/>
      <c r="O2947" s="3">
        <v>3.5</v>
      </c>
      <c r="P2947" s="3">
        <v>3.5</v>
      </c>
      <c r="Q2947" s="3">
        <v>2.5</v>
      </c>
      <c r="R2947" s="3">
        <v>2.5</v>
      </c>
      <c r="S2947" s="3">
        <v>2</v>
      </c>
      <c r="T2947" t="s">
        <v>3643</v>
      </c>
      <c r="U2947" t="s">
        <v>3630</v>
      </c>
      <c r="V2947" t="s">
        <v>9607</v>
      </c>
      <c r="W2947" s="45">
        <v>1</v>
      </c>
      <c r="X2947" s="45">
        <v>1</v>
      </c>
      <c r="Y2947" s="45">
        <v>1</v>
      </c>
      <c r="Z2947" s="45">
        <v>1</v>
      </c>
      <c r="AA2947" s="45">
        <v>1</v>
      </c>
      <c r="AB2947" s="45">
        <v>1</v>
      </c>
      <c r="AC2947" s="150">
        <v>0</v>
      </c>
      <c r="AD2947" s="150">
        <v>1</v>
      </c>
      <c r="AE2947" s="49">
        <f t="shared" si="145"/>
        <v>0.875</v>
      </c>
      <c r="AF2947" s="17"/>
      <c r="AG2947" s="17">
        <v>0</v>
      </c>
      <c r="AH2947" s="17">
        <v>0</v>
      </c>
      <c r="AI2947" s="17">
        <v>0</v>
      </c>
      <c r="AJ2947" s="17">
        <v>0</v>
      </c>
      <c r="AK2947" s="153">
        <v>0</v>
      </c>
      <c r="AL2947" s="154">
        <v>0</v>
      </c>
      <c r="AM2947" s="17">
        <f t="shared" si="146"/>
        <v>0</v>
      </c>
      <c r="AN2947" t="s">
        <v>3643</v>
      </c>
      <c r="AO2947" s="18" t="s">
        <v>3630</v>
      </c>
      <c r="AP2947" t="s">
        <v>255</v>
      </c>
    </row>
    <row r="2948" spans="1:42" customFormat="1" x14ac:dyDescent="0.3">
      <c r="A2948" s="148" t="s">
        <v>8319</v>
      </c>
      <c r="B2948" t="s">
        <v>8320</v>
      </c>
      <c r="C2948" s="148" t="s">
        <v>9410</v>
      </c>
      <c r="D2948" t="s">
        <v>9411</v>
      </c>
      <c r="E2948" s="148" t="s">
        <v>9412</v>
      </c>
      <c r="F2948" t="s">
        <v>9413</v>
      </c>
      <c r="G2948" s="148" t="s">
        <v>9414</v>
      </c>
      <c r="H2948" t="s">
        <v>9415</v>
      </c>
      <c r="K2948" s="148" t="s">
        <v>9416</v>
      </c>
      <c r="L2948" t="s">
        <v>9417</v>
      </c>
      <c r="M2948" t="s">
        <v>9608</v>
      </c>
      <c r="N2948" s="3"/>
      <c r="O2948" s="3">
        <v>365</v>
      </c>
      <c r="P2948" s="3">
        <v>385</v>
      </c>
      <c r="Q2948" s="3">
        <v>398</v>
      </c>
      <c r="R2948" s="3">
        <v>415</v>
      </c>
      <c r="S2948" s="3">
        <v>433</v>
      </c>
      <c r="T2948" t="s">
        <v>9609</v>
      </c>
      <c r="U2948" t="e">
        <v>#N/A</v>
      </c>
      <c r="V2948" t="s">
        <v>9610</v>
      </c>
      <c r="W2948" s="45">
        <v>1</v>
      </c>
      <c r="X2948" s="45">
        <v>1</v>
      </c>
      <c r="Y2948" s="45">
        <v>1</v>
      </c>
      <c r="Z2948" s="45">
        <v>1</v>
      </c>
      <c r="AA2948" s="45">
        <v>1</v>
      </c>
      <c r="AB2948" s="45">
        <v>1</v>
      </c>
      <c r="AC2948" s="150">
        <v>0</v>
      </c>
      <c r="AD2948" s="150">
        <v>1</v>
      </c>
      <c r="AE2948" s="49">
        <f t="shared" si="145"/>
        <v>0.875</v>
      </c>
      <c r="AF2948" s="17"/>
      <c r="AG2948" s="17">
        <v>0</v>
      </c>
      <c r="AH2948" s="17">
        <v>0</v>
      </c>
      <c r="AI2948" s="17">
        <v>0</v>
      </c>
      <c r="AJ2948" s="17">
        <v>0</v>
      </c>
      <c r="AK2948" s="153">
        <v>0</v>
      </c>
      <c r="AL2948" s="154">
        <v>0</v>
      </c>
      <c r="AM2948" s="17">
        <f t="shared" si="146"/>
        <v>0</v>
      </c>
      <c r="AN2948" t="s">
        <v>3643</v>
      </c>
      <c r="AO2948" s="18" t="s">
        <v>3630</v>
      </c>
      <c r="AP2948" t="s">
        <v>255</v>
      </c>
    </row>
    <row r="2949" spans="1:42" customFormat="1" x14ac:dyDescent="0.3">
      <c r="A2949" s="148" t="s">
        <v>8319</v>
      </c>
      <c r="B2949" t="s">
        <v>8320</v>
      </c>
      <c r="C2949" s="148" t="s">
        <v>9410</v>
      </c>
      <c r="D2949" t="s">
        <v>9411</v>
      </c>
      <c r="E2949" s="148" t="s">
        <v>9412</v>
      </c>
      <c r="F2949" t="s">
        <v>9413</v>
      </c>
      <c r="G2949" s="148" t="s">
        <v>9414</v>
      </c>
      <c r="H2949" t="s">
        <v>9415</v>
      </c>
      <c r="K2949" s="148" t="s">
        <v>9416</v>
      </c>
      <c r="L2949" t="s">
        <v>9417</v>
      </c>
      <c r="M2949" t="s">
        <v>9611</v>
      </c>
      <c r="N2949" s="3"/>
      <c r="O2949" s="3">
        <v>0.25</v>
      </c>
      <c r="P2949" s="3">
        <v>0.3</v>
      </c>
      <c r="Q2949" s="3">
        <v>0.35</v>
      </c>
      <c r="R2949" s="3">
        <v>0.4</v>
      </c>
      <c r="S2949" s="3">
        <v>0.45</v>
      </c>
      <c r="T2949" t="s">
        <v>255</v>
      </c>
      <c r="U2949" t="s">
        <v>1045</v>
      </c>
      <c r="V2949" t="s">
        <v>9612</v>
      </c>
      <c r="W2949" s="45">
        <v>1</v>
      </c>
      <c r="X2949" s="45">
        <v>1</v>
      </c>
      <c r="Y2949" s="45">
        <v>1</v>
      </c>
      <c r="Z2949" s="45">
        <v>1</v>
      </c>
      <c r="AA2949" s="45">
        <v>1</v>
      </c>
      <c r="AB2949" s="45">
        <v>1</v>
      </c>
      <c r="AC2949" s="150">
        <v>0</v>
      </c>
      <c r="AD2949" s="150">
        <v>1</v>
      </c>
      <c r="AE2949" s="49">
        <f t="shared" si="145"/>
        <v>0.875</v>
      </c>
      <c r="AF2949" s="17"/>
      <c r="AG2949" s="17">
        <v>0</v>
      </c>
      <c r="AH2949" s="17">
        <v>0</v>
      </c>
      <c r="AI2949" s="17">
        <v>0</v>
      </c>
      <c r="AJ2949" s="17">
        <v>0</v>
      </c>
      <c r="AK2949" s="153">
        <v>0</v>
      </c>
      <c r="AL2949" s="154">
        <v>0</v>
      </c>
      <c r="AM2949" s="17">
        <f t="shared" si="146"/>
        <v>0</v>
      </c>
      <c r="AN2949" t="s">
        <v>3643</v>
      </c>
      <c r="AO2949" s="18" t="s">
        <v>3630</v>
      </c>
      <c r="AP2949" t="s">
        <v>255</v>
      </c>
    </row>
    <row r="2950" spans="1:42" s="159" customFormat="1" x14ac:dyDescent="0.3">
      <c r="A2950" s="148" t="s">
        <v>8319</v>
      </c>
      <c r="B2950" t="s">
        <v>8320</v>
      </c>
      <c r="C2950" s="148" t="s">
        <v>9410</v>
      </c>
      <c r="D2950" t="s">
        <v>9411</v>
      </c>
      <c r="E2950" s="148" t="s">
        <v>9412</v>
      </c>
      <c r="F2950" t="s">
        <v>9413</v>
      </c>
      <c r="G2950" s="148" t="s">
        <v>9414</v>
      </c>
      <c r="H2950" t="s">
        <v>9415</v>
      </c>
      <c r="I2950"/>
      <c r="J2950"/>
      <c r="K2950" s="148" t="s">
        <v>9416</v>
      </c>
      <c r="L2950" t="s">
        <v>9417</v>
      </c>
      <c r="M2950" t="s">
        <v>9613</v>
      </c>
      <c r="N2950" s="3"/>
      <c r="O2950" s="3">
        <v>852213</v>
      </c>
      <c r="P2950" s="3">
        <v>852213</v>
      </c>
      <c r="Q2950" s="3">
        <v>216709</v>
      </c>
      <c r="R2950" s="3">
        <v>222588</v>
      </c>
      <c r="S2950" s="3">
        <v>228515</v>
      </c>
      <c r="T2950" t="s">
        <v>9614</v>
      </c>
      <c r="U2950" t="e">
        <v>#N/A</v>
      </c>
      <c r="V2950" t="s">
        <v>9615</v>
      </c>
      <c r="W2950" s="45">
        <v>1</v>
      </c>
      <c r="X2950" s="45">
        <v>1</v>
      </c>
      <c r="Y2950" s="45">
        <v>1</v>
      </c>
      <c r="Z2950" s="45">
        <v>1</v>
      </c>
      <c r="AA2950" s="45">
        <v>1</v>
      </c>
      <c r="AB2950" s="45">
        <v>1</v>
      </c>
      <c r="AC2950" s="150">
        <v>0</v>
      </c>
      <c r="AD2950" s="150">
        <v>1</v>
      </c>
      <c r="AE2950" s="49">
        <f t="shared" si="145"/>
        <v>0.875</v>
      </c>
      <c r="AF2950" s="17"/>
      <c r="AG2950" s="17">
        <v>0</v>
      </c>
      <c r="AH2950" s="17">
        <v>0</v>
      </c>
      <c r="AI2950" s="17">
        <v>0</v>
      </c>
      <c r="AJ2950" s="17">
        <v>0</v>
      </c>
      <c r="AK2950" s="153">
        <v>0</v>
      </c>
      <c r="AL2950" s="154">
        <v>0</v>
      </c>
      <c r="AM2950" s="17">
        <f t="shared" si="146"/>
        <v>0</v>
      </c>
      <c r="AN2950" s="44" t="s">
        <v>9431</v>
      </c>
      <c r="AO2950" s="18" t="s">
        <v>3630</v>
      </c>
      <c r="AP2950" s="18" t="s">
        <v>255</v>
      </c>
    </row>
    <row r="2951" spans="1:42" s="159" customFormat="1" x14ac:dyDescent="0.3">
      <c r="A2951" s="148" t="s">
        <v>8319</v>
      </c>
      <c r="B2951" t="s">
        <v>8320</v>
      </c>
      <c r="C2951" s="148" t="s">
        <v>9410</v>
      </c>
      <c r="D2951" t="s">
        <v>9411</v>
      </c>
      <c r="E2951" s="148" t="s">
        <v>9412</v>
      </c>
      <c r="F2951" t="s">
        <v>9413</v>
      </c>
      <c r="G2951" s="148" t="s">
        <v>9414</v>
      </c>
      <c r="H2951" t="s">
        <v>9415</v>
      </c>
      <c r="I2951"/>
      <c r="J2951"/>
      <c r="K2951" s="148" t="s">
        <v>9416</v>
      </c>
      <c r="L2951" t="s">
        <v>9417</v>
      </c>
      <c r="M2951" t="s">
        <v>9616</v>
      </c>
      <c r="N2951" s="3"/>
      <c r="O2951" s="3">
        <v>100</v>
      </c>
      <c r="P2951" s="3">
        <v>100</v>
      </c>
      <c r="Q2951" s="3">
        <v>100</v>
      </c>
      <c r="R2951" s="3">
        <v>100</v>
      </c>
      <c r="S2951" s="3">
        <v>100</v>
      </c>
      <c r="T2951" t="s">
        <v>9617</v>
      </c>
      <c r="U2951" t="e">
        <v>#N/A</v>
      </c>
      <c r="V2951" t="s">
        <v>9618</v>
      </c>
      <c r="W2951" s="45">
        <v>1</v>
      </c>
      <c r="X2951" s="45">
        <v>1</v>
      </c>
      <c r="Y2951" s="45">
        <v>1</v>
      </c>
      <c r="Z2951" s="45">
        <v>1</v>
      </c>
      <c r="AA2951" s="45">
        <v>1</v>
      </c>
      <c r="AB2951" s="45">
        <v>1</v>
      </c>
      <c r="AC2951" s="150">
        <v>0</v>
      </c>
      <c r="AD2951" s="150">
        <v>1</v>
      </c>
      <c r="AE2951" s="49">
        <f t="shared" si="145"/>
        <v>0.875</v>
      </c>
      <c r="AF2951" s="17"/>
      <c r="AG2951" s="17">
        <v>0</v>
      </c>
      <c r="AH2951" s="17">
        <v>0</v>
      </c>
      <c r="AI2951" s="17">
        <v>0</v>
      </c>
      <c r="AJ2951" s="17">
        <v>0</v>
      </c>
      <c r="AK2951" s="153">
        <v>0</v>
      </c>
      <c r="AL2951" s="154">
        <v>0</v>
      </c>
      <c r="AM2951" s="17">
        <f t="shared" si="146"/>
        <v>0</v>
      </c>
      <c r="AN2951" t="s">
        <v>3643</v>
      </c>
      <c r="AO2951" s="18" t="s">
        <v>3630</v>
      </c>
      <c r="AP2951" t="s">
        <v>9619</v>
      </c>
    </row>
    <row r="2952" spans="1:42" s="159" customFormat="1" x14ac:dyDescent="0.3">
      <c r="A2952" s="148" t="s">
        <v>8319</v>
      </c>
      <c r="B2952" t="s">
        <v>8320</v>
      </c>
      <c r="C2952" s="148" t="s">
        <v>9410</v>
      </c>
      <c r="D2952" t="s">
        <v>9411</v>
      </c>
      <c r="E2952" s="148" t="s">
        <v>9412</v>
      </c>
      <c r="F2952" t="s">
        <v>9413</v>
      </c>
      <c r="G2952" s="148" t="s">
        <v>9414</v>
      </c>
      <c r="H2952" t="s">
        <v>9415</v>
      </c>
      <c r="I2952"/>
      <c r="J2952"/>
      <c r="K2952" s="148" t="s">
        <v>9416</v>
      </c>
      <c r="L2952" t="s">
        <v>9417</v>
      </c>
      <c r="M2952" t="s">
        <v>9620</v>
      </c>
      <c r="N2952" s="3"/>
      <c r="O2952" s="3"/>
      <c r="P2952" s="3"/>
      <c r="Q2952" s="3"/>
      <c r="R2952" s="3"/>
      <c r="S2952" s="3"/>
      <c r="T2952" t="s">
        <v>9621</v>
      </c>
      <c r="U2952" t="e">
        <v>#N/A</v>
      </c>
      <c r="V2952" t="s">
        <v>9622</v>
      </c>
      <c r="W2952" s="45">
        <v>1</v>
      </c>
      <c r="X2952" s="45">
        <v>1</v>
      </c>
      <c r="Y2952" s="45">
        <v>1</v>
      </c>
      <c r="Z2952" s="45">
        <v>1</v>
      </c>
      <c r="AA2952" s="45">
        <v>1</v>
      </c>
      <c r="AB2952" s="45">
        <v>1</v>
      </c>
      <c r="AC2952" s="150">
        <v>0</v>
      </c>
      <c r="AD2952" s="150">
        <v>1</v>
      </c>
      <c r="AE2952" s="49">
        <f t="shared" si="145"/>
        <v>0.875</v>
      </c>
      <c r="AF2952" s="44"/>
      <c r="AG2952" s="17">
        <v>0</v>
      </c>
      <c r="AH2952" s="44">
        <v>72.262365631676403</v>
      </c>
      <c r="AI2952" s="44">
        <v>83.753953355214435</v>
      </c>
      <c r="AJ2952" s="44">
        <v>78.008159493445419</v>
      </c>
      <c r="AK2952" s="151">
        <v>5</v>
      </c>
      <c r="AL2952" s="151">
        <v>5</v>
      </c>
      <c r="AM2952" s="17">
        <f t="shared" si="146"/>
        <v>10</v>
      </c>
      <c r="AN2952" s="44" t="s">
        <v>9491</v>
      </c>
      <c r="AO2952" s="18" t="s">
        <v>9492</v>
      </c>
      <c r="AP2952" t="s">
        <v>9368</v>
      </c>
    </row>
    <row r="2953" spans="1:42" customFormat="1" x14ac:dyDescent="0.3">
      <c r="A2953" s="148" t="s">
        <v>8319</v>
      </c>
      <c r="B2953" t="s">
        <v>8320</v>
      </c>
      <c r="C2953" s="148" t="s">
        <v>9410</v>
      </c>
      <c r="D2953" t="s">
        <v>9411</v>
      </c>
      <c r="E2953" s="148" t="s">
        <v>9412</v>
      </c>
      <c r="F2953" t="s">
        <v>9413</v>
      </c>
      <c r="G2953" s="148" t="s">
        <v>9414</v>
      </c>
      <c r="H2953" t="s">
        <v>9415</v>
      </c>
      <c r="K2953" s="148" t="s">
        <v>9416</v>
      </c>
      <c r="L2953" t="s">
        <v>9417</v>
      </c>
      <c r="M2953" t="s">
        <v>9623</v>
      </c>
      <c r="N2953" s="3"/>
      <c r="O2953" s="3">
        <v>95</v>
      </c>
      <c r="P2953" s="3">
        <v>95</v>
      </c>
      <c r="Q2953" s="3">
        <v>95</v>
      </c>
      <c r="R2953" s="3">
        <v>95</v>
      </c>
      <c r="S2953" s="3">
        <v>95</v>
      </c>
      <c r="T2953" t="s">
        <v>9617</v>
      </c>
      <c r="U2953" t="e">
        <v>#N/A</v>
      </c>
      <c r="V2953" t="s">
        <v>9624</v>
      </c>
      <c r="W2953" s="45">
        <v>1</v>
      </c>
      <c r="X2953" s="45">
        <v>1</v>
      </c>
      <c r="Y2953" s="45">
        <v>1</v>
      </c>
      <c r="Z2953" s="45">
        <v>1</v>
      </c>
      <c r="AA2953" s="45">
        <v>1</v>
      </c>
      <c r="AB2953" s="45">
        <v>1</v>
      </c>
      <c r="AC2953" s="150">
        <v>0</v>
      </c>
      <c r="AD2953" s="150">
        <v>1</v>
      </c>
      <c r="AE2953" s="49">
        <f t="shared" si="145"/>
        <v>0.875</v>
      </c>
      <c r="AF2953" s="17"/>
      <c r="AG2953" s="17">
        <v>0</v>
      </c>
      <c r="AH2953" s="17">
        <v>0</v>
      </c>
      <c r="AI2953" s="17">
        <v>0</v>
      </c>
      <c r="AJ2953" s="17">
        <v>0</v>
      </c>
      <c r="AK2953" s="153">
        <v>0</v>
      </c>
      <c r="AL2953" s="154">
        <v>0</v>
      </c>
      <c r="AM2953" s="17">
        <f t="shared" si="146"/>
        <v>0</v>
      </c>
      <c r="AN2953" t="s">
        <v>3643</v>
      </c>
      <c r="AO2953" s="18" t="s">
        <v>3630</v>
      </c>
      <c r="AP2953" t="s">
        <v>9625</v>
      </c>
    </row>
    <row r="2954" spans="1:42" customFormat="1" x14ac:dyDescent="0.3">
      <c r="A2954" s="148" t="s">
        <v>8319</v>
      </c>
      <c r="B2954" t="s">
        <v>8320</v>
      </c>
      <c r="C2954" s="148" t="s">
        <v>9410</v>
      </c>
      <c r="D2954" t="s">
        <v>9411</v>
      </c>
      <c r="E2954" s="148" t="s">
        <v>9412</v>
      </c>
      <c r="F2954" t="s">
        <v>9413</v>
      </c>
      <c r="G2954" s="148" t="s">
        <v>9414</v>
      </c>
      <c r="H2954" t="s">
        <v>9415</v>
      </c>
      <c r="K2954" s="148" t="s">
        <v>9416</v>
      </c>
      <c r="L2954" t="s">
        <v>9417</v>
      </c>
      <c r="M2954" t="s">
        <v>9626</v>
      </c>
      <c r="N2954" s="3"/>
      <c r="O2954" s="3">
        <v>10</v>
      </c>
      <c r="P2954" s="3">
        <v>20</v>
      </c>
      <c r="Q2954" s="3">
        <v>30</v>
      </c>
      <c r="R2954" s="3">
        <v>40</v>
      </c>
      <c r="S2954" s="3">
        <v>50</v>
      </c>
      <c r="T2954" t="s">
        <v>9627</v>
      </c>
      <c r="U2954" t="e">
        <v>#N/A</v>
      </c>
      <c r="V2954" t="s">
        <v>9628</v>
      </c>
      <c r="W2954" s="45">
        <v>1</v>
      </c>
      <c r="X2954" s="45">
        <v>1</v>
      </c>
      <c r="Y2954" s="45">
        <v>1</v>
      </c>
      <c r="Z2954" s="45">
        <v>1</v>
      </c>
      <c r="AA2954" s="45">
        <v>1</v>
      </c>
      <c r="AB2954" s="45">
        <v>1</v>
      </c>
      <c r="AC2954" s="150">
        <v>0</v>
      </c>
      <c r="AD2954" s="150">
        <v>1</v>
      </c>
      <c r="AE2954" s="49">
        <f t="shared" si="145"/>
        <v>0.875</v>
      </c>
      <c r="AF2954" s="17"/>
      <c r="AG2954" s="17">
        <v>0</v>
      </c>
      <c r="AH2954" s="17">
        <v>0</v>
      </c>
      <c r="AI2954" s="17">
        <v>0</v>
      </c>
      <c r="AJ2954" s="17">
        <v>0</v>
      </c>
      <c r="AK2954" s="153">
        <v>0</v>
      </c>
      <c r="AL2954" s="154">
        <v>0</v>
      </c>
      <c r="AM2954" s="17">
        <f t="shared" si="146"/>
        <v>0</v>
      </c>
      <c r="AN2954" t="s">
        <v>3643</v>
      </c>
      <c r="AO2954" s="18" t="s">
        <v>3630</v>
      </c>
      <c r="AP2954" t="s">
        <v>9629</v>
      </c>
    </row>
    <row r="2955" spans="1:42" customFormat="1" x14ac:dyDescent="0.3">
      <c r="A2955" s="148" t="s">
        <v>8319</v>
      </c>
      <c r="B2955" t="s">
        <v>8320</v>
      </c>
      <c r="C2955" s="148" t="s">
        <v>9410</v>
      </c>
      <c r="D2955" t="s">
        <v>9411</v>
      </c>
      <c r="E2955" s="148" t="s">
        <v>9412</v>
      </c>
      <c r="F2955" t="s">
        <v>9413</v>
      </c>
      <c r="G2955" s="148" t="s">
        <v>9414</v>
      </c>
      <c r="H2955" t="s">
        <v>9415</v>
      </c>
      <c r="K2955" s="148" t="s">
        <v>9416</v>
      </c>
      <c r="L2955" t="s">
        <v>9417</v>
      </c>
      <c r="M2955" t="s">
        <v>9630</v>
      </c>
      <c r="N2955" s="3"/>
      <c r="O2955" s="3">
        <v>50</v>
      </c>
      <c r="P2955" s="3">
        <v>100</v>
      </c>
      <c r="Q2955" s="3">
        <v>100</v>
      </c>
      <c r="R2955" s="3">
        <v>100</v>
      </c>
      <c r="S2955" s="3">
        <v>100</v>
      </c>
      <c r="T2955" t="s">
        <v>9631</v>
      </c>
      <c r="U2955" t="e">
        <v>#N/A</v>
      </c>
      <c r="V2955" t="s">
        <v>9632</v>
      </c>
      <c r="W2955" s="45">
        <v>1</v>
      </c>
      <c r="X2955" s="45">
        <v>0</v>
      </c>
      <c r="Y2955" s="45">
        <v>1</v>
      </c>
      <c r="Z2955" s="45">
        <v>1</v>
      </c>
      <c r="AA2955" s="45">
        <v>1</v>
      </c>
      <c r="AB2955" s="45">
        <v>1</v>
      </c>
      <c r="AC2955" s="150">
        <v>1</v>
      </c>
      <c r="AD2955" s="150">
        <v>1</v>
      </c>
      <c r="AE2955" s="49">
        <f t="shared" si="145"/>
        <v>0.875</v>
      </c>
      <c r="AF2955" s="17"/>
      <c r="AG2955" s="17">
        <v>0</v>
      </c>
      <c r="AH2955" s="17">
        <v>0</v>
      </c>
      <c r="AI2955" s="17">
        <v>0</v>
      </c>
      <c r="AJ2955" s="17">
        <v>0</v>
      </c>
      <c r="AK2955" s="153">
        <v>0</v>
      </c>
      <c r="AL2955" s="154">
        <v>0</v>
      </c>
      <c r="AM2955" s="17">
        <f t="shared" si="146"/>
        <v>0</v>
      </c>
      <c r="AN2955" s="18" t="s">
        <v>255</v>
      </c>
      <c r="AO2955" s="18" t="s">
        <v>1045</v>
      </c>
      <c r="AP2955" t="s">
        <v>9633</v>
      </c>
    </row>
    <row r="2956" spans="1:42" customFormat="1" x14ac:dyDescent="0.3">
      <c r="A2956" s="148" t="s">
        <v>8319</v>
      </c>
      <c r="B2956" t="s">
        <v>8320</v>
      </c>
      <c r="C2956" s="148" t="s">
        <v>9410</v>
      </c>
      <c r="D2956" t="s">
        <v>9411</v>
      </c>
      <c r="E2956" s="148" t="s">
        <v>9412</v>
      </c>
      <c r="F2956" t="s">
        <v>9413</v>
      </c>
      <c r="G2956" s="148" t="s">
        <v>9414</v>
      </c>
      <c r="H2956" t="s">
        <v>9415</v>
      </c>
      <c r="K2956" s="155" t="s">
        <v>9427</v>
      </c>
      <c r="L2956" t="s">
        <v>9428</v>
      </c>
      <c r="M2956" t="s">
        <v>9634</v>
      </c>
      <c r="N2956" s="3">
        <v>234</v>
      </c>
      <c r="O2956" s="3">
        <v>204</v>
      </c>
      <c r="P2956" s="3">
        <v>174</v>
      </c>
      <c r="Q2956" s="3">
        <v>144</v>
      </c>
      <c r="R2956" s="3">
        <v>104</v>
      </c>
      <c r="S2956" s="3">
        <v>77</v>
      </c>
      <c r="T2956" t="s">
        <v>3643</v>
      </c>
      <c r="U2956" t="s">
        <v>3630</v>
      </c>
      <c r="V2956" t="s">
        <v>9635</v>
      </c>
      <c r="W2956" s="45">
        <v>1</v>
      </c>
      <c r="X2956" s="45">
        <v>0</v>
      </c>
      <c r="Y2956" s="45">
        <v>1</v>
      </c>
      <c r="Z2956" s="45">
        <v>1</v>
      </c>
      <c r="AA2956" s="45">
        <v>1</v>
      </c>
      <c r="AB2956" s="45">
        <v>1</v>
      </c>
      <c r="AC2956" s="150">
        <v>1</v>
      </c>
      <c r="AD2956" s="150">
        <v>1</v>
      </c>
      <c r="AE2956" s="49">
        <f t="shared" si="145"/>
        <v>0.875</v>
      </c>
      <c r="AF2956" s="17"/>
      <c r="AG2956" s="17">
        <v>0</v>
      </c>
      <c r="AH2956" s="17">
        <v>0</v>
      </c>
      <c r="AI2956" s="17">
        <v>0</v>
      </c>
      <c r="AJ2956" s="17">
        <v>0</v>
      </c>
      <c r="AK2956" s="153">
        <v>0</v>
      </c>
      <c r="AL2956" s="154">
        <v>0</v>
      </c>
      <c r="AM2956" s="17">
        <f t="shared" si="146"/>
        <v>0</v>
      </c>
      <c r="AN2956" s="44" t="s">
        <v>9431</v>
      </c>
      <c r="AO2956" s="18" t="s">
        <v>3630</v>
      </c>
      <c r="AP2956" s="18" t="s">
        <v>9432</v>
      </c>
    </row>
    <row r="2957" spans="1:42" customFormat="1" x14ac:dyDescent="0.3">
      <c r="A2957" s="148" t="s">
        <v>8319</v>
      </c>
      <c r="B2957" t="s">
        <v>8320</v>
      </c>
      <c r="C2957" s="148" t="s">
        <v>9410</v>
      </c>
      <c r="D2957" t="s">
        <v>9411</v>
      </c>
      <c r="E2957" s="148" t="s">
        <v>9412</v>
      </c>
      <c r="F2957" t="s">
        <v>9413</v>
      </c>
      <c r="G2957" s="148" t="s">
        <v>9414</v>
      </c>
      <c r="H2957" t="s">
        <v>9415</v>
      </c>
      <c r="K2957" s="155" t="s">
        <v>9427</v>
      </c>
      <c r="L2957" t="s">
        <v>9428</v>
      </c>
      <c r="M2957" t="s">
        <v>9636</v>
      </c>
      <c r="N2957" s="3">
        <v>86</v>
      </c>
      <c r="O2957" s="3">
        <v>87</v>
      </c>
      <c r="P2957" s="3">
        <v>88</v>
      </c>
      <c r="Q2957" s="3">
        <v>89</v>
      </c>
      <c r="R2957" s="3">
        <v>90</v>
      </c>
      <c r="S2957" s="3">
        <v>91</v>
      </c>
      <c r="T2957" t="s">
        <v>3643</v>
      </c>
      <c r="U2957" t="s">
        <v>3630</v>
      </c>
      <c r="V2957" t="s">
        <v>9637</v>
      </c>
      <c r="W2957" s="45">
        <v>1</v>
      </c>
      <c r="X2957" s="45">
        <v>1</v>
      </c>
      <c r="Y2957" s="45">
        <v>1</v>
      </c>
      <c r="Z2957" s="45">
        <v>1</v>
      </c>
      <c r="AA2957" s="45">
        <v>1</v>
      </c>
      <c r="AB2957" s="45">
        <v>1</v>
      </c>
      <c r="AC2957" s="150">
        <v>0</v>
      </c>
      <c r="AD2957" s="150">
        <v>1</v>
      </c>
      <c r="AE2957" s="49">
        <f t="shared" si="145"/>
        <v>0.875</v>
      </c>
      <c r="AF2957" s="17"/>
      <c r="AG2957" s="17">
        <v>0</v>
      </c>
      <c r="AH2957" s="17">
        <v>0</v>
      </c>
      <c r="AI2957" s="17">
        <v>0</v>
      </c>
      <c r="AJ2957" s="17">
        <v>0</v>
      </c>
      <c r="AK2957" s="153">
        <v>0</v>
      </c>
      <c r="AL2957" s="154">
        <v>0</v>
      </c>
      <c r="AM2957" s="17">
        <f t="shared" si="146"/>
        <v>0</v>
      </c>
      <c r="AN2957" s="44" t="s">
        <v>9431</v>
      </c>
      <c r="AO2957" s="18" t="s">
        <v>3630</v>
      </c>
      <c r="AP2957" s="18" t="s">
        <v>9432</v>
      </c>
    </row>
    <row r="2958" spans="1:42" customFormat="1" x14ac:dyDescent="0.3">
      <c r="A2958" s="148" t="s">
        <v>8319</v>
      </c>
      <c r="B2958" t="s">
        <v>8320</v>
      </c>
      <c r="C2958" s="148" t="s">
        <v>9410</v>
      </c>
      <c r="D2958" t="s">
        <v>9411</v>
      </c>
      <c r="E2958" s="148" t="s">
        <v>9412</v>
      </c>
      <c r="F2958" t="s">
        <v>9413</v>
      </c>
      <c r="G2958" s="148" t="s">
        <v>9414</v>
      </c>
      <c r="H2958" t="s">
        <v>9415</v>
      </c>
      <c r="K2958" s="155" t="s">
        <v>9427</v>
      </c>
      <c r="L2958" t="s">
        <v>9428</v>
      </c>
      <c r="M2958" t="s">
        <v>9638</v>
      </c>
      <c r="N2958" s="3">
        <v>70</v>
      </c>
      <c r="O2958" s="3">
        <v>89</v>
      </c>
      <c r="P2958" s="3">
        <v>91</v>
      </c>
      <c r="Q2958" s="3">
        <v>93</v>
      </c>
      <c r="R2958" s="3">
        <v>94</v>
      </c>
      <c r="S2958" s="3">
        <v>95</v>
      </c>
      <c r="T2958" t="s">
        <v>3643</v>
      </c>
      <c r="U2958" t="s">
        <v>3630</v>
      </c>
      <c r="V2958" t="s">
        <v>9639</v>
      </c>
      <c r="W2958" s="45">
        <v>1</v>
      </c>
      <c r="X2958" s="45">
        <v>1</v>
      </c>
      <c r="Y2958" s="45">
        <v>1</v>
      </c>
      <c r="Z2958" s="45">
        <v>1</v>
      </c>
      <c r="AA2958" s="45">
        <v>1</v>
      </c>
      <c r="AB2958" s="45">
        <v>1</v>
      </c>
      <c r="AC2958" s="150">
        <v>0</v>
      </c>
      <c r="AD2958" s="150">
        <v>1</v>
      </c>
      <c r="AE2958" s="49">
        <f t="shared" si="145"/>
        <v>0.875</v>
      </c>
      <c r="AF2958" s="17"/>
      <c r="AG2958" s="17">
        <v>0</v>
      </c>
      <c r="AH2958" s="17">
        <v>0</v>
      </c>
      <c r="AI2958" s="17">
        <v>0</v>
      </c>
      <c r="AJ2958" s="17">
        <v>0</v>
      </c>
      <c r="AK2958" s="153">
        <v>0</v>
      </c>
      <c r="AL2958" s="154">
        <v>0</v>
      </c>
      <c r="AM2958" s="17">
        <f t="shared" si="146"/>
        <v>0</v>
      </c>
      <c r="AN2958" t="s">
        <v>3643</v>
      </c>
      <c r="AO2958" s="18" t="s">
        <v>3630</v>
      </c>
      <c r="AP2958" t="s">
        <v>9640</v>
      </c>
    </row>
    <row r="2959" spans="1:42" customFormat="1" x14ac:dyDescent="0.3">
      <c r="A2959" s="148" t="s">
        <v>8319</v>
      </c>
      <c r="B2959" t="s">
        <v>8320</v>
      </c>
      <c r="C2959" s="148" t="s">
        <v>9410</v>
      </c>
      <c r="D2959" t="s">
        <v>9411</v>
      </c>
      <c r="E2959" s="148" t="s">
        <v>9412</v>
      </c>
      <c r="F2959" t="s">
        <v>9413</v>
      </c>
      <c r="G2959" s="148" t="s">
        <v>9414</v>
      </c>
      <c r="H2959" t="s">
        <v>9415</v>
      </c>
      <c r="K2959" s="155" t="s">
        <v>9427</v>
      </c>
      <c r="L2959" t="s">
        <v>9428</v>
      </c>
      <c r="N2959" s="3"/>
      <c r="O2959" s="3"/>
      <c r="P2959" s="3"/>
      <c r="Q2959" s="3"/>
      <c r="R2959" s="3"/>
      <c r="S2959" s="3"/>
      <c r="U2959" t="e">
        <v>#N/A</v>
      </c>
      <c r="V2959" t="s">
        <v>9641</v>
      </c>
      <c r="W2959" s="45">
        <v>1</v>
      </c>
      <c r="X2959" s="45">
        <v>1</v>
      </c>
      <c r="Y2959" s="45">
        <v>1</v>
      </c>
      <c r="Z2959" s="45">
        <v>1</v>
      </c>
      <c r="AA2959" s="45">
        <v>1</v>
      </c>
      <c r="AB2959" s="45">
        <v>1</v>
      </c>
      <c r="AC2959" s="150">
        <v>0</v>
      </c>
      <c r="AD2959" s="150">
        <v>1</v>
      </c>
      <c r="AE2959" s="49">
        <f t="shared" si="145"/>
        <v>0.875</v>
      </c>
      <c r="AF2959" s="17"/>
      <c r="AG2959" s="17">
        <v>0</v>
      </c>
      <c r="AH2959" s="17">
        <v>0</v>
      </c>
      <c r="AI2959" s="17">
        <v>0</v>
      </c>
      <c r="AJ2959" s="17">
        <v>0</v>
      </c>
      <c r="AK2959" s="153">
        <v>0</v>
      </c>
      <c r="AL2959" s="154">
        <v>0</v>
      </c>
      <c r="AM2959" s="17">
        <f t="shared" si="146"/>
        <v>0</v>
      </c>
      <c r="AN2959" s="44" t="s">
        <v>9431</v>
      </c>
      <c r="AO2959" s="18" t="s">
        <v>3630</v>
      </c>
      <c r="AP2959" s="18" t="s">
        <v>9432</v>
      </c>
    </row>
    <row r="2960" spans="1:42" customFormat="1" x14ac:dyDescent="0.3">
      <c r="A2960" s="148" t="s">
        <v>8319</v>
      </c>
      <c r="B2960" t="s">
        <v>8320</v>
      </c>
      <c r="C2960" s="148" t="s">
        <v>9410</v>
      </c>
      <c r="D2960" t="s">
        <v>9411</v>
      </c>
      <c r="E2960" s="148" t="s">
        <v>9412</v>
      </c>
      <c r="F2960" t="s">
        <v>9413</v>
      </c>
      <c r="G2960" s="148" t="s">
        <v>9414</v>
      </c>
      <c r="H2960" t="s">
        <v>9415</v>
      </c>
      <c r="K2960" s="155" t="s">
        <v>9427</v>
      </c>
      <c r="L2960" t="s">
        <v>9428</v>
      </c>
      <c r="N2960" s="3"/>
      <c r="O2960" s="3"/>
      <c r="P2960" s="3"/>
      <c r="Q2960" s="3"/>
      <c r="R2960" s="3"/>
      <c r="S2960" s="3"/>
      <c r="U2960" t="e">
        <v>#N/A</v>
      </c>
      <c r="V2960" t="s">
        <v>9642</v>
      </c>
      <c r="W2960" s="45">
        <v>1</v>
      </c>
      <c r="X2960" s="45">
        <v>1</v>
      </c>
      <c r="Y2960" s="45">
        <v>1</v>
      </c>
      <c r="Z2960" s="45">
        <v>1</v>
      </c>
      <c r="AA2960" s="45">
        <v>1</v>
      </c>
      <c r="AB2960" s="45">
        <v>1</v>
      </c>
      <c r="AC2960" s="150">
        <v>0</v>
      </c>
      <c r="AD2960" s="150">
        <v>1</v>
      </c>
      <c r="AE2960" s="49">
        <f t="shared" si="145"/>
        <v>0.875</v>
      </c>
      <c r="AF2960" s="17"/>
      <c r="AG2960" s="17">
        <v>0</v>
      </c>
      <c r="AH2960" s="17">
        <v>0</v>
      </c>
      <c r="AI2960" s="17">
        <v>0</v>
      </c>
      <c r="AJ2960" s="17">
        <v>0</v>
      </c>
      <c r="AK2960" s="153">
        <v>0</v>
      </c>
      <c r="AL2960" s="154">
        <v>0</v>
      </c>
      <c r="AM2960" s="17">
        <f t="shared" si="146"/>
        <v>0</v>
      </c>
      <c r="AN2960" s="44" t="s">
        <v>255</v>
      </c>
      <c r="AO2960" s="18" t="s">
        <v>1045</v>
      </c>
      <c r="AP2960" s="18" t="s">
        <v>9643</v>
      </c>
    </row>
    <row r="2961" spans="1:42" customFormat="1" x14ac:dyDescent="0.3">
      <c r="A2961" s="148" t="s">
        <v>8319</v>
      </c>
      <c r="B2961" t="s">
        <v>8320</v>
      </c>
      <c r="C2961" s="148" t="s">
        <v>9410</v>
      </c>
      <c r="D2961" t="s">
        <v>9411</v>
      </c>
      <c r="E2961" s="148" t="s">
        <v>9412</v>
      </c>
      <c r="F2961" t="s">
        <v>9413</v>
      </c>
      <c r="G2961" s="148" t="s">
        <v>9414</v>
      </c>
      <c r="H2961" t="s">
        <v>9415</v>
      </c>
      <c r="K2961" s="155" t="s">
        <v>9427</v>
      </c>
      <c r="L2961" t="s">
        <v>9428</v>
      </c>
      <c r="N2961" s="3"/>
      <c r="O2961" s="3"/>
      <c r="P2961" s="3"/>
      <c r="Q2961" s="3"/>
      <c r="R2961" s="3"/>
      <c r="S2961" s="3"/>
      <c r="U2961" t="e">
        <v>#N/A</v>
      </c>
      <c r="V2961" t="s">
        <v>9644</v>
      </c>
      <c r="W2961" s="45">
        <v>1</v>
      </c>
      <c r="X2961" s="45">
        <v>1</v>
      </c>
      <c r="Y2961" s="45">
        <v>1</v>
      </c>
      <c r="Z2961" s="45">
        <v>1</v>
      </c>
      <c r="AA2961" s="45">
        <v>1</v>
      </c>
      <c r="AB2961" s="45">
        <v>1</v>
      </c>
      <c r="AC2961" s="150">
        <v>0</v>
      </c>
      <c r="AD2961" s="150">
        <v>1</v>
      </c>
      <c r="AE2961" s="49">
        <f t="shared" si="145"/>
        <v>0.875</v>
      </c>
      <c r="AF2961" s="17"/>
      <c r="AG2961" s="17">
        <v>0</v>
      </c>
      <c r="AH2961" s="17">
        <v>0</v>
      </c>
      <c r="AI2961" s="17">
        <v>0</v>
      </c>
      <c r="AJ2961" s="17">
        <v>0</v>
      </c>
      <c r="AK2961" s="153">
        <v>0</v>
      </c>
      <c r="AL2961" s="154">
        <v>0</v>
      </c>
      <c r="AM2961" s="17">
        <f t="shared" si="146"/>
        <v>0</v>
      </c>
      <c r="AN2961" t="s">
        <v>255</v>
      </c>
      <c r="AO2961" s="18" t="s">
        <v>1045</v>
      </c>
      <c r="AP2961" t="s">
        <v>9645</v>
      </c>
    </row>
    <row r="2962" spans="1:42" customFormat="1" x14ac:dyDescent="0.3">
      <c r="A2962" s="148" t="s">
        <v>8319</v>
      </c>
      <c r="B2962" t="s">
        <v>8320</v>
      </c>
      <c r="C2962" s="148" t="s">
        <v>9410</v>
      </c>
      <c r="D2962" t="s">
        <v>9411</v>
      </c>
      <c r="E2962" s="148" t="s">
        <v>9412</v>
      </c>
      <c r="F2962" t="s">
        <v>9413</v>
      </c>
      <c r="G2962" s="148" t="s">
        <v>9414</v>
      </c>
      <c r="H2962" t="s">
        <v>9415</v>
      </c>
      <c r="K2962" s="155" t="s">
        <v>9427</v>
      </c>
      <c r="L2962" t="s">
        <v>9428</v>
      </c>
      <c r="N2962" s="3"/>
      <c r="O2962" s="3"/>
      <c r="P2962" s="3"/>
      <c r="Q2962" s="3"/>
      <c r="R2962" s="3"/>
      <c r="S2962" s="3"/>
      <c r="U2962" t="e">
        <v>#N/A</v>
      </c>
      <c r="V2962" t="s">
        <v>9646</v>
      </c>
      <c r="W2962" s="45">
        <v>1</v>
      </c>
      <c r="X2962" s="45">
        <v>1</v>
      </c>
      <c r="Y2962" s="45">
        <v>1</v>
      </c>
      <c r="Z2962" s="45">
        <v>1</v>
      </c>
      <c r="AA2962" s="45">
        <v>1</v>
      </c>
      <c r="AB2962" s="45">
        <v>1</v>
      </c>
      <c r="AC2962" s="150">
        <v>0</v>
      </c>
      <c r="AD2962" s="150">
        <v>1</v>
      </c>
      <c r="AE2962" s="49">
        <f t="shared" si="145"/>
        <v>0.875</v>
      </c>
      <c r="AF2962" s="17"/>
      <c r="AG2962" s="17">
        <v>0</v>
      </c>
      <c r="AH2962" s="17">
        <v>0</v>
      </c>
      <c r="AI2962" s="17">
        <v>0</v>
      </c>
      <c r="AJ2962" s="17">
        <v>0</v>
      </c>
      <c r="AK2962" s="153">
        <v>0</v>
      </c>
      <c r="AL2962" s="154">
        <v>0</v>
      </c>
      <c r="AM2962" s="17">
        <f t="shared" si="146"/>
        <v>0</v>
      </c>
      <c r="AN2962" s="18" t="s">
        <v>3643</v>
      </c>
      <c r="AO2962" s="18" t="s">
        <v>3630</v>
      </c>
      <c r="AP2962" t="s">
        <v>9647</v>
      </c>
    </row>
    <row r="2963" spans="1:42" customFormat="1" x14ac:dyDescent="0.3">
      <c r="A2963" s="148" t="s">
        <v>8319</v>
      </c>
      <c r="B2963" t="s">
        <v>8320</v>
      </c>
      <c r="C2963" s="148" t="s">
        <v>9410</v>
      </c>
      <c r="D2963" t="s">
        <v>9411</v>
      </c>
      <c r="E2963" s="148" t="s">
        <v>9412</v>
      </c>
      <c r="F2963" t="s">
        <v>9413</v>
      </c>
      <c r="G2963" s="148" t="s">
        <v>9414</v>
      </c>
      <c r="H2963" t="s">
        <v>9415</v>
      </c>
      <c r="K2963" s="155" t="s">
        <v>9427</v>
      </c>
      <c r="L2963" t="s">
        <v>9428</v>
      </c>
      <c r="N2963" s="3"/>
      <c r="O2963" s="3"/>
      <c r="P2963" s="3"/>
      <c r="Q2963" s="3"/>
      <c r="R2963" s="3"/>
      <c r="S2963" s="3"/>
      <c r="U2963" t="e">
        <v>#N/A</v>
      </c>
      <c r="V2963" t="s">
        <v>9648</v>
      </c>
      <c r="W2963" s="45">
        <v>1</v>
      </c>
      <c r="X2963" s="45">
        <v>1</v>
      </c>
      <c r="Y2963" s="45">
        <v>1</v>
      </c>
      <c r="Z2963" s="45">
        <v>1</v>
      </c>
      <c r="AA2963" s="45">
        <v>1</v>
      </c>
      <c r="AB2963" s="45">
        <v>1</v>
      </c>
      <c r="AC2963" s="150">
        <v>0</v>
      </c>
      <c r="AD2963" s="150">
        <v>1</v>
      </c>
      <c r="AE2963" s="49">
        <f t="shared" si="145"/>
        <v>0.875</v>
      </c>
      <c r="AF2963" s="17"/>
      <c r="AG2963" s="17">
        <v>0</v>
      </c>
      <c r="AH2963" s="17">
        <v>0</v>
      </c>
      <c r="AI2963" s="17">
        <v>0</v>
      </c>
      <c r="AJ2963" s="17">
        <v>0</v>
      </c>
      <c r="AK2963" s="153">
        <v>0</v>
      </c>
      <c r="AL2963" s="154">
        <v>0</v>
      </c>
      <c r="AM2963" s="17">
        <f t="shared" si="146"/>
        <v>0</v>
      </c>
      <c r="AN2963" t="s">
        <v>3643</v>
      </c>
      <c r="AO2963" s="18" t="s">
        <v>3630</v>
      </c>
      <c r="AP2963" t="s">
        <v>9649</v>
      </c>
    </row>
    <row r="2964" spans="1:42" customFormat="1" x14ac:dyDescent="0.3">
      <c r="A2964" s="148" t="s">
        <v>8319</v>
      </c>
      <c r="B2964" t="s">
        <v>8320</v>
      </c>
      <c r="C2964" s="148" t="s">
        <v>9410</v>
      </c>
      <c r="D2964" t="s">
        <v>9411</v>
      </c>
      <c r="E2964" s="148" t="s">
        <v>9412</v>
      </c>
      <c r="F2964" t="s">
        <v>9413</v>
      </c>
      <c r="G2964" s="148" t="s">
        <v>9414</v>
      </c>
      <c r="H2964" t="s">
        <v>9415</v>
      </c>
      <c r="K2964" s="155" t="s">
        <v>9427</v>
      </c>
      <c r="L2964" t="s">
        <v>9428</v>
      </c>
      <c r="N2964" s="3"/>
      <c r="O2964" s="3"/>
      <c r="P2964" s="3"/>
      <c r="Q2964" s="3"/>
      <c r="R2964" s="3"/>
      <c r="S2964" s="3"/>
      <c r="U2964" t="e">
        <v>#N/A</v>
      </c>
      <c r="V2964" t="s">
        <v>9650</v>
      </c>
      <c r="W2964" s="45">
        <v>1</v>
      </c>
      <c r="X2964" s="45">
        <v>1</v>
      </c>
      <c r="Y2964" s="45">
        <v>1</v>
      </c>
      <c r="Z2964" s="45">
        <v>1</v>
      </c>
      <c r="AA2964" s="45">
        <v>1</v>
      </c>
      <c r="AB2964" s="45">
        <v>1</v>
      </c>
      <c r="AC2964" s="150">
        <v>0</v>
      </c>
      <c r="AD2964" s="150">
        <v>1</v>
      </c>
      <c r="AE2964" s="49">
        <f t="shared" si="145"/>
        <v>0.875</v>
      </c>
      <c r="AF2964" s="17"/>
      <c r="AG2964" s="17">
        <v>0</v>
      </c>
      <c r="AH2964" s="17">
        <v>0</v>
      </c>
      <c r="AI2964" s="17">
        <v>0</v>
      </c>
      <c r="AJ2964" s="17">
        <v>0</v>
      </c>
      <c r="AK2964" s="153">
        <v>0</v>
      </c>
      <c r="AL2964" s="154">
        <v>0</v>
      </c>
      <c r="AM2964" s="17">
        <f t="shared" si="146"/>
        <v>0</v>
      </c>
      <c r="AN2964" s="18" t="s">
        <v>255</v>
      </c>
      <c r="AO2964" s="18" t="s">
        <v>1045</v>
      </c>
      <c r="AP2964" t="s">
        <v>9462</v>
      </c>
    </row>
    <row r="2965" spans="1:42" customFormat="1" x14ac:dyDescent="0.3">
      <c r="A2965" s="148" t="s">
        <v>8319</v>
      </c>
      <c r="B2965" t="s">
        <v>8320</v>
      </c>
      <c r="C2965" s="148" t="s">
        <v>9410</v>
      </c>
      <c r="D2965" t="s">
        <v>9411</v>
      </c>
      <c r="E2965" s="148" t="s">
        <v>9412</v>
      </c>
      <c r="F2965" t="s">
        <v>9413</v>
      </c>
      <c r="G2965" s="148" t="s">
        <v>9414</v>
      </c>
      <c r="H2965" t="s">
        <v>9415</v>
      </c>
      <c r="K2965" s="155" t="s">
        <v>9427</v>
      </c>
      <c r="L2965" t="s">
        <v>9428</v>
      </c>
      <c r="N2965" s="3"/>
      <c r="O2965" s="3"/>
      <c r="P2965" s="3"/>
      <c r="Q2965" s="3"/>
      <c r="R2965" s="3"/>
      <c r="S2965" s="3"/>
      <c r="U2965" t="e">
        <v>#N/A</v>
      </c>
      <c r="V2965" t="s">
        <v>9651</v>
      </c>
      <c r="W2965" s="45">
        <v>1</v>
      </c>
      <c r="X2965" s="45">
        <v>1</v>
      </c>
      <c r="Y2965" s="45">
        <v>1</v>
      </c>
      <c r="Z2965" s="45">
        <v>1</v>
      </c>
      <c r="AA2965" s="45">
        <v>1</v>
      </c>
      <c r="AB2965" s="45">
        <v>1</v>
      </c>
      <c r="AC2965" s="150">
        <v>0</v>
      </c>
      <c r="AD2965" s="150">
        <v>1</v>
      </c>
      <c r="AE2965" s="49">
        <f t="shared" si="145"/>
        <v>0.875</v>
      </c>
      <c r="AF2965" s="17"/>
      <c r="AG2965" s="17">
        <v>0</v>
      </c>
      <c r="AH2965" s="17">
        <v>0</v>
      </c>
      <c r="AI2965" s="17">
        <v>0</v>
      </c>
      <c r="AJ2965" s="17">
        <v>0</v>
      </c>
      <c r="AK2965" s="153">
        <v>0</v>
      </c>
      <c r="AL2965" s="154">
        <v>0</v>
      </c>
      <c r="AM2965" s="17">
        <f t="shared" si="146"/>
        <v>0</v>
      </c>
      <c r="AN2965" s="18" t="s">
        <v>255</v>
      </c>
      <c r="AO2965" s="18" t="s">
        <v>1045</v>
      </c>
      <c r="AP2965" t="s">
        <v>9652</v>
      </c>
    </row>
    <row r="2966" spans="1:42" customFormat="1" x14ac:dyDescent="0.3">
      <c r="A2966" s="148" t="s">
        <v>8319</v>
      </c>
      <c r="B2966" t="s">
        <v>8320</v>
      </c>
      <c r="C2966" s="148" t="s">
        <v>9410</v>
      </c>
      <c r="D2966" t="s">
        <v>9411</v>
      </c>
      <c r="E2966" s="148" t="s">
        <v>9412</v>
      </c>
      <c r="F2966" t="s">
        <v>9413</v>
      </c>
      <c r="G2966" s="148" t="s">
        <v>9414</v>
      </c>
      <c r="H2966" t="s">
        <v>9415</v>
      </c>
      <c r="K2966" s="155" t="s">
        <v>9653</v>
      </c>
      <c r="L2966" t="s">
        <v>9654</v>
      </c>
      <c r="M2966" t="s">
        <v>9655</v>
      </c>
      <c r="N2966" s="3"/>
      <c r="O2966" s="3">
        <v>0</v>
      </c>
      <c r="P2966" s="3" t="s">
        <v>9656</v>
      </c>
      <c r="Q2966" s="3">
        <v>0</v>
      </c>
      <c r="R2966" s="3">
        <v>0</v>
      </c>
      <c r="S2966" s="3">
        <v>0</v>
      </c>
      <c r="T2966" t="s">
        <v>3643</v>
      </c>
      <c r="U2966" t="s">
        <v>3630</v>
      </c>
      <c r="V2966" t="s">
        <v>9657</v>
      </c>
      <c r="W2966" s="45">
        <v>1</v>
      </c>
      <c r="X2966" s="45">
        <v>1</v>
      </c>
      <c r="Y2966" s="45">
        <v>1</v>
      </c>
      <c r="Z2966" s="45">
        <v>1</v>
      </c>
      <c r="AA2966" s="45">
        <v>1</v>
      </c>
      <c r="AB2966" s="45">
        <v>1</v>
      </c>
      <c r="AC2966" s="150">
        <v>0</v>
      </c>
      <c r="AD2966" s="150">
        <v>1</v>
      </c>
      <c r="AE2966" s="49">
        <f t="shared" si="145"/>
        <v>0.875</v>
      </c>
      <c r="AF2966" s="44"/>
      <c r="AG2966" s="17">
        <v>0</v>
      </c>
      <c r="AH2966" s="44">
        <v>58.782490739999986</v>
      </c>
      <c r="AI2966" s="44">
        <v>78.424790739999992</v>
      </c>
      <c r="AJ2966" s="44">
        <v>95.340390740000004</v>
      </c>
      <c r="AK2966" s="151">
        <v>5</v>
      </c>
      <c r="AL2966" s="151">
        <v>5</v>
      </c>
      <c r="AM2966" s="17">
        <f t="shared" si="146"/>
        <v>10</v>
      </c>
      <c r="AN2966" t="s">
        <v>3643</v>
      </c>
      <c r="AO2966" s="18" t="s">
        <v>3630</v>
      </c>
      <c r="AP2966" t="s">
        <v>9658</v>
      </c>
    </row>
    <row r="2967" spans="1:42" customFormat="1" x14ac:dyDescent="0.3">
      <c r="A2967" s="148" t="s">
        <v>8319</v>
      </c>
      <c r="B2967" t="s">
        <v>8320</v>
      </c>
      <c r="C2967" s="148" t="s">
        <v>9410</v>
      </c>
      <c r="D2967" t="s">
        <v>9411</v>
      </c>
      <c r="E2967" s="148" t="s">
        <v>9412</v>
      </c>
      <c r="F2967" t="s">
        <v>9413</v>
      </c>
      <c r="G2967" s="148" t="s">
        <v>9414</v>
      </c>
      <c r="H2967" t="s">
        <v>9415</v>
      </c>
      <c r="K2967" s="155" t="s">
        <v>9653</v>
      </c>
      <c r="L2967" t="s">
        <v>9654</v>
      </c>
      <c r="M2967" t="s">
        <v>9659</v>
      </c>
      <c r="N2967" s="3"/>
      <c r="O2967" s="3">
        <v>196</v>
      </c>
      <c r="P2967" s="3">
        <v>139</v>
      </c>
      <c r="Q2967" s="3">
        <v>99</v>
      </c>
      <c r="R2967" s="3">
        <v>70</v>
      </c>
      <c r="S2967" s="3">
        <v>50</v>
      </c>
      <c r="T2967" t="s">
        <v>3643</v>
      </c>
      <c r="U2967" t="s">
        <v>3630</v>
      </c>
      <c r="V2967" t="s">
        <v>9660</v>
      </c>
      <c r="W2967" s="45">
        <v>1</v>
      </c>
      <c r="X2967" s="45">
        <v>1</v>
      </c>
      <c r="Y2967" s="45">
        <v>1</v>
      </c>
      <c r="Z2967" s="45">
        <v>1</v>
      </c>
      <c r="AA2967" s="45">
        <v>1</v>
      </c>
      <c r="AB2967" s="45">
        <v>1</v>
      </c>
      <c r="AC2967" s="150">
        <v>0</v>
      </c>
      <c r="AD2967" s="150">
        <v>1</v>
      </c>
      <c r="AE2967" s="49">
        <f t="shared" si="145"/>
        <v>0.875</v>
      </c>
      <c r="AF2967" s="17"/>
      <c r="AG2967" s="17">
        <v>0</v>
      </c>
      <c r="AH2967" s="17">
        <v>0</v>
      </c>
      <c r="AI2967" s="17">
        <v>0</v>
      </c>
      <c r="AJ2967" s="17">
        <v>0</v>
      </c>
      <c r="AK2967" s="153">
        <v>0</v>
      </c>
      <c r="AL2967" s="154">
        <v>0</v>
      </c>
      <c r="AM2967" s="17">
        <f t="shared" si="146"/>
        <v>0</v>
      </c>
      <c r="AN2967" t="s">
        <v>3643</v>
      </c>
      <c r="AO2967" s="18" t="s">
        <v>3630</v>
      </c>
      <c r="AP2967" t="s">
        <v>9658</v>
      </c>
    </row>
    <row r="2968" spans="1:42" customFormat="1" x14ac:dyDescent="0.3">
      <c r="A2968" s="148" t="s">
        <v>8319</v>
      </c>
      <c r="B2968" t="s">
        <v>8320</v>
      </c>
      <c r="C2968" s="148" t="s">
        <v>9410</v>
      </c>
      <c r="D2968" t="s">
        <v>9411</v>
      </c>
      <c r="E2968" s="148" t="s">
        <v>9412</v>
      </c>
      <c r="F2968" t="s">
        <v>9413</v>
      </c>
      <c r="G2968" s="148" t="s">
        <v>9661</v>
      </c>
      <c r="H2968" t="s">
        <v>9662</v>
      </c>
      <c r="I2968" s="148" t="s">
        <v>9663</v>
      </c>
      <c r="J2968" t="s">
        <v>9664</v>
      </c>
      <c r="K2968" s="148" t="s">
        <v>9665</v>
      </c>
      <c r="L2968" t="s">
        <v>9666</v>
      </c>
      <c r="M2968" t="s">
        <v>9667</v>
      </c>
      <c r="N2968" s="3">
        <v>0</v>
      </c>
      <c r="O2968" s="3">
        <v>0</v>
      </c>
      <c r="P2968" s="3">
        <v>1</v>
      </c>
      <c r="Q2968" s="3">
        <v>1</v>
      </c>
      <c r="R2968" s="3">
        <v>0</v>
      </c>
      <c r="S2968" s="3">
        <v>1</v>
      </c>
      <c r="T2968" t="s">
        <v>3643</v>
      </c>
      <c r="U2968" t="s">
        <v>3630</v>
      </c>
      <c r="V2968" t="s">
        <v>9668</v>
      </c>
      <c r="W2968" s="45">
        <v>1</v>
      </c>
      <c r="X2968" s="45">
        <v>1</v>
      </c>
      <c r="Y2968" s="45">
        <v>1</v>
      </c>
      <c r="Z2968" s="45">
        <v>1</v>
      </c>
      <c r="AA2968" s="45">
        <v>1</v>
      </c>
      <c r="AB2968" s="45">
        <v>1</v>
      </c>
      <c r="AC2968" s="150">
        <v>0</v>
      </c>
      <c r="AD2968" s="150">
        <v>1</v>
      </c>
      <c r="AE2968" s="49">
        <f t="shared" si="145"/>
        <v>0.875</v>
      </c>
      <c r="AF2968" s="44"/>
      <c r="AG2968" s="17">
        <v>0</v>
      </c>
      <c r="AH2968" s="44">
        <v>50</v>
      </c>
      <c r="AI2968" s="44">
        <v>70</v>
      </c>
      <c r="AJ2968" s="44">
        <v>70</v>
      </c>
      <c r="AK2968" s="151">
        <v>70</v>
      </c>
      <c r="AL2968" s="151">
        <v>140</v>
      </c>
      <c r="AM2968" s="17">
        <f t="shared" si="146"/>
        <v>210</v>
      </c>
      <c r="AN2968" s="44" t="s">
        <v>9669</v>
      </c>
      <c r="AO2968" s="18" t="s">
        <v>9670</v>
      </c>
      <c r="AP2968" t="s">
        <v>9671</v>
      </c>
    </row>
    <row r="2969" spans="1:42" customFormat="1" x14ac:dyDescent="0.3">
      <c r="A2969" s="148" t="s">
        <v>8319</v>
      </c>
      <c r="B2969" t="s">
        <v>8320</v>
      </c>
      <c r="C2969" s="148" t="s">
        <v>9410</v>
      </c>
      <c r="D2969" t="s">
        <v>9411</v>
      </c>
      <c r="E2969" s="148" t="s">
        <v>9412</v>
      </c>
      <c r="F2969" t="s">
        <v>9413</v>
      </c>
      <c r="G2969" s="148" t="s">
        <v>9661</v>
      </c>
      <c r="H2969" t="s">
        <v>9662</v>
      </c>
      <c r="I2969" s="148" t="s">
        <v>9663</v>
      </c>
      <c r="J2969" t="s">
        <v>9664</v>
      </c>
      <c r="K2969" s="148" t="s">
        <v>9665</v>
      </c>
      <c r="L2969" t="s">
        <v>9666</v>
      </c>
      <c r="N2969" s="3"/>
      <c r="O2969" s="3"/>
      <c r="P2969" s="3"/>
      <c r="Q2969" s="3"/>
      <c r="R2969" s="3"/>
      <c r="S2969" s="3"/>
      <c r="U2969" t="e">
        <v>#N/A</v>
      </c>
      <c r="V2969" t="s">
        <v>9672</v>
      </c>
      <c r="W2969" s="45">
        <v>1</v>
      </c>
      <c r="X2969" s="45">
        <v>1</v>
      </c>
      <c r="Y2969" s="45">
        <v>1</v>
      </c>
      <c r="Z2969" s="45">
        <v>1</v>
      </c>
      <c r="AA2969" s="45">
        <v>1</v>
      </c>
      <c r="AB2969" s="45">
        <v>1</v>
      </c>
      <c r="AC2969" s="150">
        <v>0</v>
      </c>
      <c r="AD2969" s="150">
        <v>1</v>
      </c>
      <c r="AE2969" s="49">
        <f t="shared" si="145"/>
        <v>0.875</v>
      </c>
      <c r="AF2969" s="44"/>
      <c r="AG2969" s="17">
        <v>0</v>
      </c>
      <c r="AH2969" s="44">
        <v>0</v>
      </c>
      <c r="AI2969" s="44">
        <v>0</v>
      </c>
      <c r="AJ2969" s="44">
        <v>0</v>
      </c>
      <c r="AK2969" s="151">
        <v>40</v>
      </c>
      <c r="AL2969" s="151">
        <v>40</v>
      </c>
      <c r="AM2969" s="17">
        <f t="shared" si="146"/>
        <v>80</v>
      </c>
      <c r="AN2969" t="s">
        <v>9673</v>
      </c>
      <c r="AO2969" s="18" t="s">
        <v>9674</v>
      </c>
      <c r="AP2969" t="s">
        <v>3643</v>
      </c>
    </row>
    <row r="2970" spans="1:42" customFormat="1" x14ac:dyDescent="0.3">
      <c r="A2970" s="148" t="s">
        <v>8319</v>
      </c>
      <c r="B2970" t="s">
        <v>8320</v>
      </c>
      <c r="C2970" s="148" t="s">
        <v>9410</v>
      </c>
      <c r="D2970" t="s">
        <v>9411</v>
      </c>
      <c r="E2970" s="148" t="s">
        <v>9412</v>
      </c>
      <c r="F2970" t="s">
        <v>9413</v>
      </c>
      <c r="G2970" s="148" t="s">
        <v>9661</v>
      </c>
      <c r="H2970" t="s">
        <v>9662</v>
      </c>
      <c r="I2970" s="148" t="s">
        <v>9663</v>
      </c>
      <c r="J2970" t="s">
        <v>9664</v>
      </c>
      <c r="K2970" s="148" t="s">
        <v>9675</v>
      </c>
      <c r="L2970" t="s">
        <v>9676</v>
      </c>
      <c r="M2970" t="s">
        <v>9677</v>
      </c>
      <c r="N2970" s="3" t="s">
        <v>9365</v>
      </c>
      <c r="O2970" s="3">
        <v>20</v>
      </c>
      <c r="P2970" s="3">
        <v>20</v>
      </c>
      <c r="Q2970" s="3">
        <v>20</v>
      </c>
      <c r="R2970" s="3">
        <v>20</v>
      </c>
      <c r="S2970" s="3">
        <v>20</v>
      </c>
      <c r="T2970" t="s">
        <v>9678</v>
      </c>
      <c r="U2970" t="s">
        <v>9679</v>
      </c>
      <c r="V2970" t="s">
        <v>9680</v>
      </c>
      <c r="W2970" s="45">
        <v>1</v>
      </c>
      <c r="X2970" s="45">
        <v>1</v>
      </c>
      <c r="Y2970" s="45">
        <v>1</v>
      </c>
      <c r="Z2970" s="45">
        <v>1</v>
      </c>
      <c r="AA2970" s="45">
        <v>1</v>
      </c>
      <c r="AB2970" s="45">
        <v>1</v>
      </c>
      <c r="AC2970" s="150">
        <v>0</v>
      </c>
      <c r="AD2970" s="150">
        <v>1</v>
      </c>
      <c r="AE2970" s="49">
        <f t="shared" ref="AE2970:AE3033" si="147">SUM(W2970:AD2970)/8</f>
        <v>0.875</v>
      </c>
      <c r="AF2970" s="44"/>
      <c r="AG2970" s="17">
        <v>0</v>
      </c>
      <c r="AH2970" s="44">
        <v>0.1</v>
      </c>
      <c r="AI2970" s="44">
        <v>0.2</v>
      </c>
      <c r="AJ2970" s="44">
        <v>0.3</v>
      </c>
      <c r="AK2970" s="151">
        <v>2</v>
      </c>
      <c r="AL2970" s="151">
        <v>2</v>
      </c>
      <c r="AM2970" s="17">
        <f t="shared" ref="AM2970:AM3033" si="148">SUM(AK2970:AL2970)</f>
        <v>4</v>
      </c>
      <c r="AN2970" s="44" t="s">
        <v>9678</v>
      </c>
      <c r="AO2970" s="18" t="s">
        <v>9679</v>
      </c>
      <c r="AP2970" t="s">
        <v>9681</v>
      </c>
    </row>
    <row r="2971" spans="1:42" customFormat="1" x14ac:dyDescent="0.3">
      <c r="A2971" s="148" t="s">
        <v>8319</v>
      </c>
      <c r="B2971" t="s">
        <v>8320</v>
      </c>
      <c r="C2971" s="148" t="s">
        <v>9410</v>
      </c>
      <c r="D2971" t="s">
        <v>9411</v>
      </c>
      <c r="E2971" s="148" t="s">
        <v>9412</v>
      </c>
      <c r="F2971" t="s">
        <v>9413</v>
      </c>
      <c r="G2971" s="148" t="s">
        <v>9448</v>
      </c>
      <c r="H2971" t="s">
        <v>9449</v>
      </c>
      <c r="I2971" s="148" t="s">
        <v>9682</v>
      </c>
      <c r="J2971" t="s">
        <v>9683</v>
      </c>
      <c r="K2971" s="148" t="s">
        <v>9684</v>
      </c>
      <c r="L2971" t="s">
        <v>9685</v>
      </c>
      <c r="M2971" t="s">
        <v>9686</v>
      </c>
      <c r="N2971" s="3" t="s">
        <v>7022</v>
      </c>
      <c r="O2971" s="3" t="s">
        <v>271</v>
      </c>
      <c r="P2971" s="3" t="s">
        <v>9687</v>
      </c>
      <c r="Q2971" s="3" t="s">
        <v>271</v>
      </c>
      <c r="R2971" s="3" t="s">
        <v>271</v>
      </c>
      <c r="S2971" s="3" t="s">
        <v>271</v>
      </c>
      <c r="T2971" t="s">
        <v>3643</v>
      </c>
      <c r="U2971" t="s">
        <v>3630</v>
      </c>
      <c r="V2971" t="s">
        <v>9688</v>
      </c>
      <c r="W2971" s="45">
        <v>1</v>
      </c>
      <c r="X2971" s="45">
        <v>1</v>
      </c>
      <c r="Y2971" s="45">
        <v>1</v>
      </c>
      <c r="Z2971" s="45">
        <v>1</v>
      </c>
      <c r="AA2971" s="45">
        <v>1</v>
      </c>
      <c r="AB2971" s="45">
        <v>1</v>
      </c>
      <c r="AC2971" s="150">
        <v>0</v>
      </c>
      <c r="AD2971" s="150">
        <v>1</v>
      </c>
      <c r="AE2971" s="49">
        <f t="shared" si="147"/>
        <v>0.875</v>
      </c>
      <c r="AF2971" s="17"/>
      <c r="AG2971" s="17">
        <v>0</v>
      </c>
      <c r="AH2971" s="17">
        <v>0</v>
      </c>
      <c r="AI2971" s="44">
        <v>0.1</v>
      </c>
      <c r="AJ2971" s="17">
        <v>0</v>
      </c>
      <c r="AK2971" s="153">
        <v>0</v>
      </c>
      <c r="AL2971" s="154">
        <v>0</v>
      </c>
      <c r="AM2971" s="17">
        <f t="shared" si="148"/>
        <v>0</v>
      </c>
      <c r="AN2971" t="s">
        <v>3643</v>
      </c>
      <c r="AO2971" s="18" t="s">
        <v>3630</v>
      </c>
      <c r="AP2971" t="s">
        <v>9689</v>
      </c>
    </row>
    <row r="2972" spans="1:42" customFormat="1" x14ac:dyDescent="0.3">
      <c r="A2972" s="148" t="s">
        <v>8319</v>
      </c>
      <c r="B2972" t="s">
        <v>8320</v>
      </c>
      <c r="C2972" s="148" t="s">
        <v>9410</v>
      </c>
      <c r="D2972" t="s">
        <v>9411</v>
      </c>
      <c r="E2972" s="148" t="s">
        <v>9412</v>
      </c>
      <c r="F2972" t="s">
        <v>9413</v>
      </c>
      <c r="G2972" s="148" t="s">
        <v>9448</v>
      </c>
      <c r="H2972" t="s">
        <v>9449</v>
      </c>
      <c r="I2972" s="148" t="s">
        <v>9682</v>
      </c>
      <c r="J2972" t="s">
        <v>9683</v>
      </c>
      <c r="K2972" s="148" t="s">
        <v>9684</v>
      </c>
      <c r="L2972" t="s">
        <v>9685</v>
      </c>
      <c r="M2972" t="s">
        <v>9690</v>
      </c>
      <c r="N2972" s="3"/>
      <c r="O2972" s="3">
        <v>0</v>
      </c>
      <c r="P2972" s="3">
        <v>0</v>
      </c>
      <c r="Q2972" s="3">
        <v>1</v>
      </c>
      <c r="R2972" s="3">
        <v>0</v>
      </c>
      <c r="S2972" s="3">
        <v>0</v>
      </c>
      <c r="T2972" t="s">
        <v>9691</v>
      </c>
      <c r="U2972" t="e">
        <v>#N/A</v>
      </c>
      <c r="V2972" t="s">
        <v>9692</v>
      </c>
      <c r="W2972" s="45">
        <v>1</v>
      </c>
      <c r="X2972" s="45">
        <v>1</v>
      </c>
      <c r="Y2972" s="45">
        <v>1</v>
      </c>
      <c r="Z2972" s="45">
        <v>1</v>
      </c>
      <c r="AA2972" s="45">
        <v>1</v>
      </c>
      <c r="AB2972" s="45">
        <v>1</v>
      </c>
      <c r="AC2972" s="150">
        <v>0</v>
      </c>
      <c r="AD2972" s="150">
        <v>1</v>
      </c>
      <c r="AE2972" s="49">
        <f t="shared" si="147"/>
        <v>0.875</v>
      </c>
      <c r="AF2972" s="17"/>
      <c r="AG2972" s="17">
        <v>0</v>
      </c>
      <c r="AH2972" s="17">
        <v>0</v>
      </c>
      <c r="AI2972" s="17">
        <v>0</v>
      </c>
      <c r="AJ2972" s="17">
        <v>0</v>
      </c>
      <c r="AK2972" s="153">
        <v>0</v>
      </c>
      <c r="AL2972" s="154">
        <v>0</v>
      </c>
      <c r="AM2972" s="17">
        <f t="shared" si="148"/>
        <v>0</v>
      </c>
      <c r="AN2972" t="s">
        <v>3643</v>
      </c>
      <c r="AO2972" s="18" t="s">
        <v>3630</v>
      </c>
      <c r="AP2972" t="s">
        <v>9693</v>
      </c>
    </row>
    <row r="2973" spans="1:42" customFormat="1" x14ac:dyDescent="0.3">
      <c r="A2973" s="148" t="s">
        <v>8319</v>
      </c>
      <c r="B2973" t="s">
        <v>8320</v>
      </c>
      <c r="C2973" s="148" t="s">
        <v>9410</v>
      </c>
      <c r="D2973" t="s">
        <v>9411</v>
      </c>
      <c r="E2973" s="148" t="s">
        <v>9412</v>
      </c>
      <c r="F2973" t="s">
        <v>9413</v>
      </c>
      <c r="G2973" s="148" t="s">
        <v>9448</v>
      </c>
      <c r="H2973" t="s">
        <v>9449</v>
      </c>
      <c r="I2973" s="148" t="s">
        <v>9682</v>
      </c>
      <c r="J2973" t="s">
        <v>9683</v>
      </c>
      <c r="K2973" s="148" t="s">
        <v>9684</v>
      </c>
      <c r="L2973" t="s">
        <v>9685</v>
      </c>
      <c r="M2973" t="s">
        <v>9694</v>
      </c>
      <c r="N2973" s="3"/>
      <c r="O2973" s="3">
        <v>0</v>
      </c>
      <c r="P2973" s="3">
        <v>0</v>
      </c>
      <c r="Q2973" s="3">
        <v>0</v>
      </c>
      <c r="R2973" s="3" t="s">
        <v>9695</v>
      </c>
      <c r="S2973" s="3">
        <v>0</v>
      </c>
      <c r="T2973" t="s">
        <v>9696</v>
      </c>
      <c r="U2973" t="e">
        <v>#N/A</v>
      </c>
      <c r="V2973" t="s">
        <v>9697</v>
      </c>
      <c r="W2973" s="45">
        <v>1</v>
      </c>
      <c r="X2973" s="45">
        <v>1</v>
      </c>
      <c r="Y2973" s="45">
        <v>1</v>
      </c>
      <c r="Z2973" s="45">
        <v>1</v>
      </c>
      <c r="AA2973" s="45">
        <v>1</v>
      </c>
      <c r="AB2973" s="45">
        <v>1</v>
      </c>
      <c r="AC2973" s="150">
        <v>0</v>
      </c>
      <c r="AD2973" s="150">
        <v>1</v>
      </c>
      <c r="AE2973" s="49">
        <f t="shared" si="147"/>
        <v>0.875</v>
      </c>
      <c r="AF2973" s="17"/>
      <c r="AG2973" s="17">
        <v>0</v>
      </c>
      <c r="AH2973" s="17">
        <v>0</v>
      </c>
      <c r="AI2973" s="17">
        <v>0</v>
      </c>
      <c r="AJ2973" s="17">
        <v>0</v>
      </c>
      <c r="AK2973" s="153">
        <v>15</v>
      </c>
      <c r="AL2973" s="154">
        <v>15</v>
      </c>
      <c r="AM2973" s="17">
        <f t="shared" si="148"/>
        <v>30</v>
      </c>
      <c r="AN2973" t="s">
        <v>3643</v>
      </c>
      <c r="AO2973" s="18" t="s">
        <v>3630</v>
      </c>
      <c r="AP2973" t="s">
        <v>9698</v>
      </c>
    </row>
    <row r="2974" spans="1:42" customFormat="1" x14ac:dyDescent="0.3">
      <c r="A2974" s="148" t="s">
        <v>8319</v>
      </c>
      <c r="B2974" t="s">
        <v>8320</v>
      </c>
      <c r="C2974" s="148" t="s">
        <v>9410</v>
      </c>
      <c r="D2974" t="s">
        <v>9411</v>
      </c>
      <c r="E2974" s="148" t="s">
        <v>9412</v>
      </c>
      <c r="F2974" t="s">
        <v>9413</v>
      </c>
      <c r="G2974" s="148" t="s">
        <v>9448</v>
      </c>
      <c r="H2974" t="s">
        <v>9449</v>
      </c>
      <c r="I2974" s="148" t="s">
        <v>9682</v>
      </c>
      <c r="J2974" t="s">
        <v>9683</v>
      </c>
      <c r="K2974" s="148" t="s">
        <v>9684</v>
      </c>
      <c r="L2974" t="s">
        <v>9685</v>
      </c>
      <c r="M2974" t="s">
        <v>9699</v>
      </c>
      <c r="N2974" s="3"/>
      <c r="O2974" s="3">
        <v>9000</v>
      </c>
      <c r="P2974" s="3">
        <v>9500</v>
      </c>
      <c r="Q2974" s="3">
        <v>10000</v>
      </c>
      <c r="R2974" s="3">
        <v>11000</v>
      </c>
      <c r="S2974" s="3">
        <v>11500</v>
      </c>
      <c r="T2974" t="s">
        <v>9700</v>
      </c>
      <c r="U2974" t="e">
        <v>#N/A</v>
      </c>
      <c r="V2974" t="s">
        <v>9701</v>
      </c>
      <c r="W2974" s="45">
        <v>1</v>
      </c>
      <c r="X2974" s="45">
        <v>1</v>
      </c>
      <c r="Y2974" s="45">
        <v>1</v>
      </c>
      <c r="Z2974" s="45">
        <v>1</v>
      </c>
      <c r="AA2974" s="45">
        <v>1</v>
      </c>
      <c r="AB2974" s="45">
        <v>1</v>
      </c>
      <c r="AC2974" s="150">
        <v>0</v>
      </c>
      <c r="AD2974" s="150">
        <v>1</v>
      </c>
      <c r="AE2974" s="49">
        <f t="shared" si="147"/>
        <v>0.875</v>
      </c>
      <c r="AF2974" s="17"/>
      <c r="AG2974" s="17">
        <v>0</v>
      </c>
      <c r="AH2974" s="17">
        <v>0</v>
      </c>
      <c r="AI2974" s="17">
        <v>0</v>
      </c>
      <c r="AJ2974" s="17">
        <v>0</v>
      </c>
      <c r="AK2974" s="153">
        <v>0</v>
      </c>
      <c r="AL2974" s="154">
        <v>0</v>
      </c>
      <c r="AM2974" s="17">
        <f t="shared" si="148"/>
        <v>0</v>
      </c>
      <c r="AN2974" s="44" t="s">
        <v>3643</v>
      </c>
      <c r="AO2974" s="18" t="s">
        <v>3630</v>
      </c>
      <c r="AP2974" t="s">
        <v>119</v>
      </c>
    </row>
    <row r="2975" spans="1:42" customFormat="1" x14ac:dyDescent="0.3">
      <c r="A2975" s="148" t="s">
        <v>8319</v>
      </c>
      <c r="B2975" t="s">
        <v>8320</v>
      </c>
      <c r="C2975" s="148" t="s">
        <v>9410</v>
      </c>
      <c r="D2975" t="s">
        <v>9411</v>
      </c>
      <c r="E2975" s="148" t="s">
        <v>9412</v>
      </c>
      <c r="F2975" t="s">
        <v>9413</v>
      </c>
      <c r="G2975" s="148" t="s">
        <v>9448</v>
      </c>
      <c r="H2975" t="s">
        <v>9449</v>
      </c>
      <c r="I2975" s="148" t="s">
        <v>9682</v>
      </c>
      <c r="J2975" t="s">
        <v>9683</v>
      </c>
      <c r="K2975" s="148" t="s">
        <v>9684</v>
      </c>
      <c r="L2975" t="s">
        <v>9685</v>
      </c>
      <c r="M2975" t="s">
        <v>9702</v>
      </c>
      <c r="N2975" s="3"/>
      <c r="O2975" s="3">
        <v>2500</v>
      </c>
      <c r="P2975" s="3">
        <v>2750</v>
      </c>
      <c r="Q2975" s="3">
        <v>3000</v>
      </c>
      <c r="R2975" s="3">
        <v>3250</v>
      </c>
      <c r="S2975" s="3">
        <v>3500</v>
      </c>
      <c r="T2975" t="s">
        <v>9700</v>
      </c>
      <c r="U2975" t="e">
        <v>#N/A</v>
      </c>
      <c r="V2975" t="s">
        <v>9703</v>
      </c>
      <c r="W2975" s="45">
        <v>1</v>
      </c>
      <c r="X2975" s="45">
        <v>1</v>
      </c>
      <c r="Y2975" s="45">
        <v>1</v>
      </c>
      <c r="Z2975" s="45">
        <v>1</v>
      </c>
      <c r="AA2975" s="45">
        <v>1</v>
      </c>
      <c r="AB2975" s="45">
        <v>1</v>
      </c>
      <c r="AC2975" s="150">
        <v>0</v>
      </c>
      <c r="AD2975" s="150">
        <v>1</v>
      </c>
      <c r="AE2975" s="49">
        <f t="shared" si="147"/>
        <v>0.875</v>
      </c>
      <c r="AF2975" s="17"/>
      <c r="AG2975" s="17">
        <v>0</v>
      </c>
      <c r="AH2975" s="17">
        <v>0</v>
      </c>
      <c r="AI2975" s="17">
        <v>0</v>
      </c>
      <c r="AJ2975" s="17">
        <v>0</v>
      </c>
      <c r="AK2975" s="153">
        <v>0</v>
      </c>
      <c r="AL2975" s="154">
        <v>0</v>
      </c>
      <c r="AM2975" s="17">
        <f t="shared" si="148"/>
        <v>0</v>
      </c>
      <c r="AN2975" s="44" t="s">
        <v>3643</v>
      </c>
      <c r="AO2975" s="18" t="s">
        <v>3630</v>
      </c>
      <c r="AP2975" t="s">
        <v>119</v>
      </c>
    </row>
    <row r="2976" spans="1:42" customFormat="1" x14ac:dyDescent="0.3">
      <c r="A2976" s="148" t="s">
        <v>8319</v>
      </c>
      <c r="B2976" t="s">
        <v>8320</v>
      </c>
      <c r="C2976" s="148" t="s">
        <v>9410</v>
      </c>
      <c r="D2976" t="s">
        <v>9411</v>
      </c>
      <c r="E2976" s="148" t="s">
        <v>9412</v>
      </c>
      <c r="F2976" t="s">
        <v>9413</v>
      </c>
      <c r="G2976" s="148" t="s">
        <v>9448</v>
      </c>
      <c r="H2976" t="s">
        <v>9449</v>
      </c>
      <c r="I2976" s="148" t="s">
        <v>9682</v>
      </c>
      <c r="J2976" t="s">
        <v>9683</v>
      </c>
      <c r="K2976" s="148" t="s">
        <v>9684</v>
      </c>
      <c r="L2976" t="s">
        <v>9685</v>
      </c>
      <c r="M2976" t="s">
        <v>9704</v>
      </c>
      <c r="N2976" s="3"/>
      <c r="O2976" s="3">
        <v>1</v>
      </c>
      <c r="P2976" s="3">
        <v>1</v>
      </c>
      <c r="Q2976" s="3">
        <v>1</v>
      </c>
      <c r="R2976" s="3">
        <v>1</v>
      </c>
      <c r="S2976" s="3">
        <v>1</v>
      </c>
      <c r="T2976" t="s">
        <v>9705</v>
      </c>
      <c r="U2976" t="e">
        <v>#N/A</v>
      </c>
      <c r="V2976" t="s">
        <v>9706</v>
      </c>
      <c r="W2976" s="45">
        <v>1</v>
      </c>
      <c r="X2976" s="45">
        <v>1</v>
      </c>
      <c r="Y2976" s="45">
        <v>1</v>
      </c>
      <c r="Z2976" s="45">
        <v>1</v>
      </c>
      <c r="AA2976" s="45">
        <v>1</v>
      </c>
      <c r="AB2976" s="45">
        <v>1</v>
      </c>
      <c r="AC2976" s="150">
        <v>0</v>
      </c>
      <c r="AD2976" s="150">
        <v>1</v>
      </c>
      <c r="AE2976" s="49">
        <f t="shared" si="147"/>
        <v>0.875</v>
      </c>
      <c r="AF2976" s="17"/>
      <c r="AG2976" s="17">
        <v>0</v>
      </c>
      <c r="AH2976" s="17">
        <v>0</v>
      </c>
      <c r="AI2976" s="17">
        <v>0</v>
      </c>
      <c r="AJ2976" s="17">
        <v>0</v>
      </c>
      <c r="AK2976" s="153">
        <v>0</v>
      </c>
      <c r="AL2976" s="154">
        <v>0</v>
      </c>
      <c r="AM2976" s="17">
        <f t="shared" si="148"/>
        <v>0</v>
      </c>
      <c r="AN2976" s="44" t="s">
        <v>723</v>
      </c>
      <c r="AO2976" s="18" t="s">
        <v>729</v>
      </c>
      <c r="AP2976" t="s">
        <v>3643</v>
      </c>
    </row>
    <row r="2977" spans="1:42" customFormat="1" x14ac:dyDescent="0.3">
      <c r="A2977" s="148" t="s">
        <v>8319</v>
      </c>
      <c r="B2977" t="s">
        <v>8320</v>
      </c>
      <c r="C2977" s="148" t="s">
        <v>9410</v>
      </c>
      <c r="D2977" t="s">
        <v>9411</v>
      </c>
      <c r="E2977" s="148" t="s">
        <v>9412</v>
      </c>
      <c r="F2977" t="s">
        <v>9413</v>
      </c>
      <c r="G2977" s="148" t="s">
        <v>9448</v>
      </c>
      <c r="H2977" t="s">
        <v>9449</v>
      </c>
      <c r="I2977" s="148" t="s">
        <v>9682</v>
      </c>
      <c r="J2977" t="s">
        <v>9683</v>
      </c>
      <c r="K2977" s="148" t="s">
        <v>9684</v>
      </c>
      <c r="L2977" t="s">
        <v>9685</v>
      </c>
      <c r="M2977" t="s">
        <v>9707</v>
      </c>
      <c r="N2977" s="3"/>
      <c r="O2977" s="3">
        <v>1</v>
      </c>
      <c r="P2977" s="3">
        <v>1</v>
      </c>
      <c r="Q2977" s="3">
        <v>1</v>
      </c>
      <c r="R2977" s="3">
        <v>1</v>
      </c>
      <c r="S2977" s="3">
        <v>1</v>
      </c>
      <c r="T2977" t="s">
        <v>9708</v>
      </c>
      <c r="U2977" t="e">
        <v>#N/A</v>
      </c>
      <c r="V2977" t="s">
        <v>9709</v>
      </c>
      <c r="W2977" s="45">
        <v>1</v>
      </c>
      <c r="X2977" s="45">
        <v>1</v>
      </c>
      <c r="Y2977" s="45">
        <v>1</v>
      </c>
      <c r="Z2977" s="45">
        <v>1</v>
      </c>
      <c r="AA2977" s="45">
        <v>1</v>
      </c>
      <c r="AB2977" s="45">
        <v>1</v>
      </c>
      <c r="AC2977" s="150">
        <v>0</v>
      </c>
      <c r="AD2977" s="150">
        <v>1</v>
      </c>
      <c r="AE2977" s="49">
        <f t="shared" si="147"/>
        <v>0.875</v>
      </c>
      <c r="AF2977" s="17"/>
      <c r="AG2977" s="17">
        <v>0</v>
      </c>
      <c r="AH2977" s="17">
        <v>0</v>
      </c>
      <c r="AI2977" s="17">
        <v>0</v>
      </c>
      <c r="AJ2977" s="17">
        <v>0</v>
      </c>
      <c r="AK2977" s="153">
        <v>0</v>
      </c>
      <c r="AL2977" s="154">
        <v>0</v>
      </c>
      <c r="AM2977" s="17">
        <f t="shared" si="148"/>
        <v>0</v>
      </c>
      <c r="AN2977" s="44" t="s">
        <v>723</v>
      </c>
      <c r="AO2977" s="18" t="s">
        <v>729</v>
      </c>
      <c r="AP2977" t="s">
        <v>3643</v>
      </c>
    </row>
    <row r="2978" spans="1:42" customFormat="1" x14ac:dyDescent="0.3">
      <c r="A2978" s="148" t="s">
        <v>8319</v>
      </c>
      <c r="B2978" t="s">
        <v>8320</v>
      </c>
      <c r="C2978" s="148" t="s">
        <v>9410</v>
      </c>
      <c r="D2978" t="s">
        <v>9411</v>
      </c>
      <c r="E2978" s="148" t="s">
        <v>9412</v>
      </c>
      <c r="F2978" t="s">
        <v>9413</v>
      </c>
      <c r="G2978" s="148" t="s">
        <v>9448</v>
      </c>
      <c r="H2978" t="s">
        <v>9449</v>
      </c>
      <c r="I2978" s="148" t="s">
        <v>9682</v>
      </c>
      <c r="J2978" t="s">
        <v>9683</v>
      </c>
      <c r="K2978" s="148" t="s">
        <v>9684</v>
      </c>
      <c r="L2978" t="s">
        <v>9685</v>
      </c>
      <c r="M2978" t="s">
        <v>9710</v>
      </c>
      <c r="N2978" s="3"/>
      <c r="O2978" s="3">
        <v>1</v>
      </c>
      <c r="P2978" s="3">
        <v>1</v>
      </c>
      <c r="Q2978" s="3">
        <v>1</v>
      </c>
      <c r="R2978" s="3">
        <v>1</v>
      </c>
      <c r="S2978" s="3">
        <v>1</v>
      </c>
      <c r="T2978" t="s">
        <v>9711</v>
      </c>
      <c r="U2978" t="e">
        <v>#N/A</v>
      </c>
      <c r="V2978" t="s">
        <v>9712</v>
      </c>
      <c r="W2978" s="45">
        <v>1</v>
      </c>
      <c r="X2978" s="45">
        <v>1</v>
      </c>
      <c r="Y2978" s="45">
        <v>1</v>
      </c>
      <c r="Z2978" s="45">
        <v>1</v>
      </c>
      <c r="AA2978" s="45">
        <v>1</v>
      </c>
      <c r="AB2978" s="45">
        <v>1</v>
      </c>
      <c r="AC2978" s="150">
        <v>0</v>
      </c>
      <c r="AD2978" s="150">
        <v>1</v>
      </c>
      <c r="AE2978" s="49">
        <f t="shared" si="147"/>
        <v>0.875</v>
      </c>
      <c r="AF2978" s="17"/>
      <c r="AG2978" s="17">
        <v>0</v>
      </c>
      <c r="AH2978" s="17">
        <v>0</v>
      </c>
      <c r="AI2978" s="17">
        <v>0</v>
      </c>
      <c r="AJ2978" s="17">
        <v>0</v>
      </c>
      <c r="AK2978" s="153">
        <v>0</v>
      </c>
      <c r="AL2978" s="154">
        <v>0</v>
      </c>
      <c r="AM2978" s="17">
        <f t="shared" si="148"/>
        <v>0</v>
      </c>
      <c r="AN2978" s="44" t="s">
        <v>3643</v>
      </c>
      <c r="AO2978" s="18" t="s">
        <v>3630</v>
      </c>
      <c r="AP2978" t="s">
        <v>119</v>
      </c>
    </row>
    <row r="2979" spans="1:42" customFormat="1" x14ac:dyDescent="0.3">
      <c r="A2979" s="148" t="s">
        <v>8319</v>
      </c>
      <c r="B2979" t="s">
        <v>8320</v>
      </c>
      <c r="C2979" s="148" t="s">
        <v>9410</v>
      </c>
      <c r="D2979" t="s">
        <v>9411</v>
      </c>
      <c r="E2979" s="148" t="s">
        <v>9412</v>
      </c>
      <c r="F2979" t="s">
        <v>9413</v>
      </c>
      <c r="G2979" s="148" t="s">
        <v>9448</v>
      </c>
      <c r="H2979" t="s">
        <v>9449</v>
      </c>
      <c r="I2979" s="148" t="s">
        <v>9682</v>
      </c>
      <c r="J2979" t="s">
        <v>9683</v>
      </c>
      <c r="K2979" s="148" t="s">
        <v>9713</v>
      </c>
      <c r="L2979" t="s">
        <v>9714</v>
      </c>
      <c r="N2979" s="3"/>
      <c r="O2979" s="3"/>
      <c r="P2979" s="3"/>
      <c r="Q2979" s="3"/>
      <c r="R2979" s="3"/>
      <c r="S2979" s="3"/>
      <c r="U2979" t="e">
        <v>#N/A</v>
      </c>
      <c r="V2979" t="s">
        <v>9715</v>
      </c>
      <c r="W2979" s="45">
        <v>1</v>
      </c>
      <c r="X2979" s="45">
        <v>1</v>
      </c>
      <c r="Y2979" s="45">
        <v>1</v>
      </c>
      <c r="Z2979" s="45">
        <v>1</v>
      </c>
      <c r="AA2979" s="45">
        <v>1</v>
      </c>
      <c r="AB2979" s="45">
        <v>1</v>
      </c>
      <c r="AC2979" s="150">
        <v>0</v>
      </c>
      <c r="AD2979" s="150">
        <v>1</v>
      </c>
      <c r="AE2979" s="49">
        <f t="shared" si="147"/>
        <v>0.875</v>
      </c>
      <c r="AF2979" s="17"/>
      <c r="AG2979" s="17">
        <v>0</v>
      </c>
      <c r="AH2979" s="17">
        <v>0</v>
      </c>
      <c r="AI2979" s="17">
        <v>0</v>
      </c>
      <c r="AJ2979" s="17">
        <v>0</v>
      </c>
      <c r="AK2979" s="153">
        <v>0</v>
      </c>
      <c r="AL2979" s="154">
        <v>0</v>
      </c>
      <c r="AM2979" s="17">
        <f t="shared" si="148"/>
        <v>0</v>
      </c>
      <c r="AN2979" t="s">
        <v>3643</v>
      </c>
      <c r="AO2979" s="18" t="s">
        <v>3630</v>
      </c>
      <c r="AP2979" t="s">
        <v>255</v>
      </c>
    </row>
    <row r="2980" spans="1:42" customFormat="1" x14ac:dyDescent="0.3">
      <c r="A2980" s="148" t="s">
        <v>8319</v>
      </c>
      <c r="B2980" t="s">
        <v>8320</v>
      </c>
      <c r="C2980" s="148" t="s">
        <v>9410</v>
      </c>
      <c r="D2980" t="s">
        <v>9411</v>
      </c>
      <c r="E2980" s="148" t="s">
        <v>9412</v>
      </c>
      <c r="F2980" t="s">
        <v>9413</v>
      </c>
      <c r="G2980" s="148" t="s">
        <v>9448</v>
      </c>
      <c r="H2980" t="s">
        <v>9449</v>
      </c>
      <c r="I2980" s="148" t="s">
        <v>9682</v>
      </c>
      <c r="J2980" t="s">
        <v>9683</v>
      </c>
      <c r="K2980" s="148" t="s">
        <v>9713</v>
      </c>
      <c r="L2980" t="s">
        <v>9714</v>
      </c>
      <c r="N2980" s="3"/>
      <c r="O2980" s="3"/>
      <c r="P2980" s="3"/>
      <c r="Q2980" s="3"/>
      <c r="R2980" s="3"/>
      <c r="S2980" s="3"/>
      <c r="U2980" t="e">
        <v>#N/A</v>
      </c>
      <c r="V2980" t="s">
        <v>9716</v>
      </c>
      <c r="W2980" s="45">
        <v>1</v>
      </c>
      <c r="X2980" s="45">
        <v>1</v>
      </c>
      <c r="Y2980" s="45">
        <v>1</v>
      </c>
      <c r="Z2980" s="45">
        <v>1</v>
      </c>
      <c r="AA2980" s="45">
        <v>1</v>
      </c>
      <c r="AB2980" s="45">
        <v>1</v>
      </c>
      <c r="AC2980" s="150">
        <v>0</v>
      </c>
      <c r="AD2980" s="150">
        <v>1</v>
      </c>
      <c r="AE2980" s="49">
        <f t="shared" si="147"/>
        <v>0.875</v>
      </c>
      <c r="AF2980" s="17"/>
      <c r="AG2980" s="17">
        <v>0</v>
      </c>
      <c r="AH2980" s="17">
        <v>0</v>
      </c>
      <c r="AI2980" s="17">
        <v>0</v>
      </c>
      <c r="AJ2980" s="17">
        <v>0</v>
      </c>
      <c r="AK2980" s="153">
        <v>0</v>
      </c>
      <c r="AL2980" s="154">
        <v>0</v>
      </c>
      <c r="AM2980" s="17">
        <f t="shared" si="148"/>
        <v>0</v>
      </c>
      <c r="AN2980" t="s">
        <v>3643</v>
      </c>
      <c r="AO2980" s="18" t="s">
        <v>3630</v>
      </c>
      <c r="AP2980" t="s">
        <v>255</v>
      </c>
    </row>
    <row r="2981" spans="1:42" customFormat="1" x14ac:dyDescent="0.3">
      <c r="A2981" s="148" t="s">
        <v>8319</v>
      </c>
      <c r="B2981" t="s">
        <v>8320</v>
      </c>
      <c r="C2981" s="148" t="s">
        <v>9410</v>
      </c>
      <c r="D2981" t="s">
        <v>9411</v>
      </c>
      <c r="E2981" s="148" t="s">
        <v>9412</v>
      </c>
      <c r="F2981" t="s">
        <v>9413</v>
      </c>
      <c r="G2981" s="148" t="s">
        <v>9448</v>
      </c>
      <c r="H2981" t="s">
        <v>9449</v>
      </c>
      <c r="I2981" s="148" t="s">
        <v>9682</v>
      </c>
      <c r="J2981" t="s">
        <v>9683</v>
      </c>
      <c r="K2981" s="148" t="s">
        <v>9717</v>
      </c>
      <c r="L2981" t="s">
        <v>9718</v>
      </c>
      <c r="M2981" t="s">
        <v>9719</v>
      </c>
      <c r="N2981" s="3" t="s">
        <v>271</v>
      </c>
      <c r="O2981" s="3">
        <v>50</v>
      </c>
      <c r="P2981" s="3">
        <v>75</v>
      </c>
      <c r="Q2981" s="3">
        <v>100</v>
      </c>
      <c r="R2981" s="3">
        <v>100</v>
      </c>
      <c r="S2981" s="3">
        <v>100</v>
      </c>
      <c r="T2981" t="s">
        <v>3640</v>
      </c>
      <c r="U2981" t="s">
        <v>3630</v>
      </c>
      <c r="V2981" t="s">
        <v>9720</v>
      </c>
      <c r="W2981" s="45">
        <v>1</v>
      </c>
      <c r="X2981" s="45">
        <v>1</v>
      </c>
      <c r="Y2981" s="45">
        <v>1</v>
      </c>
      <c r="Z2981" s="45">
        <v>1</v>
      </c>
      <c r="AA2981" s="45">
        <v>1</v>
      </c>
      <c r="AB2981" s="45">
        <v>1</v>
      </c>
      <c r="AC2981" s="150">
        <v>0</v>
      </c>
      <c r="AD2981" s="150">
        <v>1</v>
      </c>
      <c r="AE2981" s="49">
        <f t="shared" si="147"/>
        <v>0.875</v>
      </c>
      <c r="AF2981" s="44"/>
      <c r="AG2981" s="17">
        <v>0</v>
      </c>
      <c r="AH2981" s="44">
        <v>2.5000000000000001E-2</v>
      </c>
      <c r="AI2981" s="44">
        <v>2.5000000000000001E-2</v>
      </c>
      <c r="AJ2981" s="44">
        <v>2.5000000000000001E-2</v>
      </c>
      <c r="AK2981" s="151">
        <v>0</v>
      </c>
      <c r="AL2981" s="151">
        <v>0</v>
      </c>
      <c r="AM2981" s="17">
        <f t="shared" si="148"/>
        <v>0</v>
      </c>
      <c r="AN2981" t="s">
        <v>3643</v>
      </c>
      <c r="AO2981" s="18" t="s">
        <v>3630</v>
      </c>
      <c r="AP2981" t="s">
        <v>2172</v>
      </c>
    </row>
    <row r="2982" spans="1:42" customFormat="1" x14ac:dyDescent="0.3">
      <c r="A2982" s="148" t="s">
        <v>8319</v>
      </c>
      <c r="B2982" t="s">
        <v>8320</v>
      </c>
      <c r="C2982" s="148" t="s">
        <v>9410</v>
      </c>
      <c r="D2982" t="s">
        <v>9411</v>
      </c>
      <c r="E2982" s="148" t="s">
        <v>9412</v>
      </c>
      <c r="F2982" t="s">
        <v>9413</v>
      </c>
      <c r="G2982" s="148" t="s">
        <v>9448</v>
      </c>
      <c r="H2982" t="s">
        <v>9449</v>
      </c>
      <c r="I2982" s="148" t="s">
        <v>9682</v>
      </c>
      <c r="J2982" t="s">
        <v>9683</v>
      </c>
      <c r="K2982" s="148" t="s">
        <v>9721</v>
      </c>
      <c r="L2982" t="s">
        <v>9722</v>
      </c>
      <c r="M2982" t="s">
        <v>9723</v>
      </c>
      <c r="N2982" s="3">
        <v>0</v>
      </c>
      <c r="O2982" s="3">
        <v>0</v>
      </c>
      <c r="P2982" s="3">
        <v>1</v>
      </c>
      <c r="Q2982" s="3">
        <v>0</v>
      </c>
      <c r="R2982" s="3">
        <v>0</v>
      </c>
      <c r="S2982" s="3">
        <v>0</v>
      </c>
      <c r="T2982" t="s">
        <v>3643</v>
      </c>
      <c r="U2982" t="s">
        <v>3630</v>
      </c>
      <c r="V2982" t="s">
        <v>9724</v>
      </c>
      <c r="W2982" s="45">
        <v>1</v>
      </c>
      <c r="X2982" s="45">
        <v>1</v>
      </c>
      <c r="Y2982" s="45">
        <v>1</v>
      </c>
      <c r="Z2982" s="45">
        <v>1</v>
      </c>
      <c r="AA2982" s="45">
        <v>1</v>
      </c>
      <c r="AB2982" s="45">
        <v>1</v>
      </c>
      <c r="AC2982" s="150">
        <v>0</v>
      </c>
      <c r="AD2982" s="150">
        <v>1</v>
      </c>
      <c r="AE2982" s="49">
        <f t="shared" si="147"/>
        <v>0.875</v>
      </c>
      <c r="AF2982" s="44"/>
      <c r="AG2982" s="17">
        <v>0</v>
      </c>
      <c r="AH2982" s="44">
        <v>0</v>
      </c>
      <c r="AI2982" s="44">
        <v>0.15</v>
      </c>
      <c r="AJ2982" s="44">
        <v>0.05</v>
      </c>
      <c r="AK2982" s="151">
        <v>0.05</v>
      </c>
      <c r="AL2982" s="151">
        <v>0.06</v>
      </c>
      <c r="AM2982" s="17">
        <f t="shared" si="148"/>
        <v>0.11</v>
      </c>
      <c r="AN2982" t="s">
        <v>3643</v>
      </c>
      <c r="AO2982" s="18" t="s">
        <v>3630</v>
      </c>
      <c r="AP2982" t="s">
        <v>2172</v>
      </c>
    </row>
    <row r="2983" spans="1:42" customFormat="1" x14ac:dyDescent="0.3">
      <c r="A2983" s="148" t="s">
        <v>8319</v>
      </c>
      <c r="B2983" t="s">
        <v>8320</v>
      </c>
      <c r="C2983" s="148" t="s">
        <v>9410</v>
      </c>
      <c r="D2983" t="s">
        <v>9411</v>
      </c>
      <c r="E2983" s="148" t="s">
        <v>9412</v>
      </c>
      <c r="F2983" t="s">
        <v>9413</v>
      </c>
      <c r="G2983" s="148" t="s">
        <v>9448</v>
      </c>
      <c r="H2983" t="s">
        <v>9449</v>
      </c>
      <c r="I2983" s="148" t="s">
        <v>9682</v>
      </c>
      <c r="J2983" t="s">
        <v>9683</v>
      </c>
      <c r="K2983" s="148" t="s">
        <v>9721</v>
      </c>
      <c r="L2983" t="s">
        <v>9722</v>
      </c>
      <c r="M2983" t="s">
        <v>9725</v>
      </c>
      <c r="N2983" s="3"/>
      <c r="O2983" s="3"/>
      <c r="P2983" s="3">
        <v>10</v>
      </c>
      <c r="Q2983" s="3">
        <v>30</v>
      </c>
      <c r="R2983" s="3">
        <v>40</v>
      </c>
      <c r="S2983" s="3">
        <v>50</v>
      </c>
      <c r="T2983" t="s">
        <v>3640</v>
      </c>
      <c r="U2983" t="s">
        <v>3630</v>
      </c>
      <c r="V2983" t="s">
        <v>9726</v>
      </c>
      <c r="W2983" s="45">
        <v>1</v>
      </c>
      <c r="X2983" s="45">
        <v>1</v>
      </c>
      <c r="Y2983" s="45">
        <v>1</v>
      </c>
      <c r="Z2983" s="45">
        <v>1</v>
      </c>
      <c r="AA2983" s="45">
        <v>1</v>
      </c>
      <c r="AB2983" s="45">
        <v>1</v>
      </c>
      <c r="AC2983" s="150">
        <v>0</v>
      </c>
      <c r="AD2983" s="150">
        <v>1</v>
      </c>
      <c r="AE2983" s="49">
        <f t="shared" si="147"/>
        <v>0.875</v>
      </c>
      <c r="AF2983" s="17"/>
      <c r="AG2983" s="17">
        <v>0</v>
      </c>
      <c r="AH2983" s="17">
        <v>0</v>
      </c>
      <c r="AI2983" s="17">
        <v>0</v>
      </c>
      <c r="AJ2983" s="17">
        <v>0</v>
      </c>
      <c r="AK2983" s="153">
        <v>0</v>
      </c>
      <c r="AL2983" s="154">
        <v>0</v>
      </c>
      <c r="AM2983" s="17">
        <f t="shared" si="148"/>
        <v>0</v>
      </c>
      <c r="AN2983" t="s">
        <v>3643</v>
      </c>
      <c r="AO2983" s="18" t="s">
        <v>3630</v>
      </c>
      <c r="AP2983" t="s">
        <v>2172</v>
      </c>
    </row>
    <row r="2984" spans="1:42" customFormat="1" x14ac:dyDescent="0.3">
      <c r="A2984" s="148" t="s">
        <v>8319</v>
      </c>
      <c r="B2984" t="s">
        <v>8320</v>
      </c>
      <c r="C2984" s="148" t="s">
        <v>9410</v>
      </c>
      <c r="D2984" t="s">
        <v>9411</v>
      </c>
      <c r="E2984" s="148" t="s">
        <v>9412</v>
      </c>
      <c r="F2984" t="s">
        <v>9413</v>
      </c>
      <c r="G2984" s="148" t="s">
        <v>9448</v>
      </c>
      <c r="H2984" t="s">
        <v>9449</v>
      </c>
      <c r="I2984" s="148" t="s">
        <v>9682</v>
      </c>
      <c r="J2984" t="s">
        <v>9683</v>
      </c>
      <c r="K2984" s="155" t="s">
        <v>9727</v>
      </c>
      <c r="L2984" t="s">
        <v>9728</v>
      </c>
      <c r="M2984" t="s">
        <v>9729</v>
      </c>
      <c r="N2984" s="3">
        <v>37</v>
      </c>
      <c r="O2984" s="3">
        <v>50</v>
      </c>
      <c r="P2984" s="3">
        <v>55</v>
      </c>
      <c r="Q2984" s="3">
        <v>60</v>
      </c>
      <c r="R2984" s="3">
        <v>70</v>
      </c>
      <c r="S2984" s="3">
        <v>75</v>
      </c>
      <c r="T2984" t="s">
        <v>3643</v>
      </c>
      <c r="U2984" t="s">
        <v>3630</v>
      </c>
      <c r="W2984" s="45">
        <v>1</v>
      </c>
      <c r="X2984" s="45">
        <v>1</v>
      </c>
      <c r="Y2984" s="45">
        <v>1</v>
      </c>
      <c r="Z2984" s="45">
        <v>1</v>
      </c>
      <c r="AA2984" s="45">
        <v>1</v>
      </c>
      <c r="AB2984" s="45">
        <v>1</v>
      </c>
      <c r="AC2984" s="150">
        <v>0</v>
      </c>
      <c r="AD2984" s="150">
        <v>1</v>
      </c>
      <c r="AE2984" s="49">
        <f t="shared" si="147"/>
        <v>0.875</v>
      </c>
      <c r="AF2984" s="4"/>
      <c r="AG2984" s="17">
        <v>0</v>
      </c>
      <c r="AH2984" s="4"/>
      <c r="AI2984" s="4"/>
      <c r="AJ2984" s="4"/>
      <c r="AK2984" s="46"/>
      <c r="AL2984" s="46"/>
      <c r="AM2984" s="17">
        <f t="shared" si="148"/>
        <v>0</v>
      </c>
      <c r="AO2984" s="18"/>
    </row>
    <row r="2985" spans="1:42" customFormat="1" x14ac:dyDescent="0.3">
      <c r="A2985" s="148" t="s">
        <v>8319</v>
      </c>
      <c r="B2985" t="s">
        <v>8320</v>
      </c>
      <c r="C2985" s="148" t="s">
        <v>9410</v>
      </c>
      <c r="D2985" t="s">
        <v>9411</v>
      </c>
      <c r="E2985" s="148" t="s">
        <v>9412</v>
      </c>
      <c r="F2985" t="s">
        <v>9413</v>
      </c>
      <c r="G2985" s="148" t="s">
        <v>9448</v>
      </c>
      <c r="H2985" t="s">
        <v>9449</v>
      </c>
      <c r="I2985" s="148" t="s">
        <v>9682</v>
      </c>
      <c r="J2985" t="s">
        <v>9683</v>
      </c>
      <c r="K2985" s="155" t="s">
        <v>9727</v>
      </c>
      <c r="L2985" t="s">
        <v>9728</v>
      </c>
      <c r="M2985" t="s">
        <v>9730</v>
      </c>
      <c r="N2985" s="3" t="s">
        <v>9731</v>
      </c>
      <c r="O2985" s="3">
        <v>10</v>
      </c>
      <c r="P2985" s="3">
        <v>10</v>
      </c>
      <c r="Q2985" s="3" t="s">
        <v>9732</v>
      </c>
      <c r="R2985" s="3">
        <v>42</v>
      </c>
      <c r="S2985" s="3">
        <v>42</v>
      </c>
      <c r="T2985" t="s">
        <v>3643</v>
      </c>
      <c r="U2985" t="s">
        <v>3630</v>
      </c>
      <c r="W2985" s="45">
        <v>1</v>
      </c>
      <c r="X2985" s="45">
        <v>1</v>
      </c>
      <c r="Y2985" s="45">
        <v>1</v>
      </c>
      <c r="Z2985" s="45">
        <v>1</v>
      </c>
      <c r="AA2985" s="45">
        <v>1</v>
      </c>
      <c r="AB2985" s="45">
        <v>1</v>
      </c>
      <c r="AC2985" s="150">
        <v>0</v>
      </c>
      <c r="AD2985" s="150">
        <v>1</v>
      </c>
      <c r="AE2985" s="49">
        <f t="shared" si="147"/>
        <v>0.875</v>
      </c>
      <c r="AF2985" s="4"/>
      <c r="AG2985" s="17">
        <v>0</v>
      </c>
      <c r="AH2985" s="4"/>
      <c r="AI2985" s="4"/>
      <c r="AJ2985" s="4"/>
      <c r="AK2985" s="46"/>
      <c r="AL2985" s="46"/>
      <c r="AM2985" s="17">
        <f t="shared" si="148"/>
        <v>0</v>
      </c>
      <c r="AO2985" s="18"/>
    </row>
    <row r="2986" spans="1:42" customFormat="1" x14ac:dyDescent="0.3">
      <c r="A2986" s="148" t="s">
        <v>8319</v>
      </c>
      <c r="B2986" t="s">
        <v>8320</v>
      </c>
      <c r="C2986" s="148" t="s">
        <v>9410</v>
      </c>
      <c r="D2986" t="s">
        <v>9411</v>
      </c>
      <c r="E2986" s="148" t="s">
        <v>9412</v>
      </c>
      <c r="F2986" t="s">
        <v>9413</v>
      </c>
      <c r="G2986" s="148" t="s">
        <v>9448</v>
      </c>
      <c r="H2986" t="s">
        <v>9449</v>
      </c>
      <c r="I2986" s="148" t="s">
        <v>9682</v>
      </c>
      <c r="J2986" t="s">
        <v>9683</v>
      </c>
      <c r="K2986" s="155" t="s">
        <v>9727</v>
      </c>
      <c r="L2986" t="s">
        <v>9728</v>
      </c>
      <c r="M2986" t="s">
        <v>9733</v>
      </c>
      <c r="N2986" s="3">
        <v>53</v>
      </c>
      <c r="O2986" s="3">
        <v>55</v>
      </c>
      <c r="P2986" s="3">
        <v>60</v>
      </c>
      <c r="Q2986" s="3">
        <v>62</v>
      </c>
      <c r="R2986" s="3">
        <v>65</v>
      </c>
      <c r="S2986" s="3">
        <v>70</v>
      </c>
      <c r="T2986" t="s">
        <v>3643</v>
      </c>
      <c r="U2986" t="s">
        <v>3630</v>
      </c>
      <c r="W2986" s="45">
        <v>1</v>
      </c>
      <c r="X2986" s="45">
        <v>1</v>
      </c>
      <c r="Y2986" s="45">
        <v>1</v>
      </c>
      <c r="Z2986" s="45">
        <v>1</v>
      </c>
      <c r="AA2986" s="45">
        <v>1</v>
      </c>
      <c r="AB2986" s="45">
        <v>1</v>
      </c>
      <c r="AC2986" s="150">
        <v>0</v>
      </c>
      <c r="AD2986" s="150">
        <v>1</v>
      </c>
      <c r="AE2986" s="49">
        <f t="shared" si="147"/>
        <v>0.875</v>
      </c>
      <c r="AF2986" s="4"/>
      <c r="AG2986" s="17">
        <v>0</v>
      </c>
      <c r="AH2986" s="4"/>
      <c r="AI2986" s="4"/>
      <c r="AJ2986" s="4"/>
      <c r="AK2986" s="46"/>
      <c r="AL2986" s="46"/>
      <c r="AM2986" s="17">
        <f t="shared" si="148"/>
        <v>0</v>
      </c>
      <c r="AO2986" s="18"/>
    </row>
    <row r="2987" spans="1:42" customFormat="1" x14ac:dyDescent="0.3">
      <c r="A2987" s="148" t="s">
        <v>8319</v>
      </c>
      <c r="B2987" t="s">
        <v>8320</v>
      </c>
      <c r="C2987" s="148" t="s">
        <v>9410</v>
      </c>
      <c r="D2987" t="s">
        <v>9411</v>
      </c>
      <c r="E2987" s="148" t="s">
        <v>9412</v>
      </c>
      <c r="F2987" t="s">
        <v>9413</v>
      </c>
      <c r="G2987" s="148" t="s">
        <v>9448</v>
      </c>
      <c r="H2987" t="s">
        <v>9449</v>
      </c>
      <c r="I2987" s="148" t="s">
        <v>9682</v>
      </c>
      <c r="J2987" t="s">
        <v>9683</v>
      </c>
      <c r="K2987" s="155" t="s">
        <v>9727</v>
      </c>
      <c r="L2987" t="s">
        <v>9728</v>
      </c>
      <c r="M2987" t="s">
        <v>9734</v>
      </c>
      <c r="N2987" s="3" t="s">
        <v>9365</v>
      </c>
      <c r="O2987" s="3">
        <v>10</v>
      </c>
      <c r="P2987" s="3">
        <v>20</v>
      </c>
      <c r="Q2987" s="3">
        <v>25</v>
      </c>
      <c r="R2987" s="3">
        <v>30</v>
      </c>
      <c r="S2987" s="3">
        <v>35</v>
      </c>
      <c r="T2987" t="s">
        <v>3643</v>
      </c>
      <c r="U2987" t="s">
        <v>3630</v>
      </c>
      <c r="W2987" s="45">
        <v>1</v>
      </c>
      <c r="X2987" s="45">
        <v>1</v>
      </c>
      <c r="Y2987" s="45">
        <v>1</v>
      </c>
      <c r="Z2987" s="45">
        <v>1</v>
      </c>
      <c r="AA2987" s="45">
        <v>1</v>
      </c>
      <c r="AB2987" s="45">
        <v>1</v>
      </c>
      <c r="AC2987" s="150">
        <v>0</v>
      </c>
      <c r="AD2987" s="150">
        <v>1</v>
      </c>
      <c r="AE2987" s="49">
        <f t="shared" si="147"/>
        <v>0.875</v>
      </c>
      <c r="AF2987" s="4"/>
      <c r="AG2987" s="17">
        <v>0</v>
      </c>
      <c r="AH2987" s="4"/>
      <c r="AI2987" s="4"/>
      <c r="AJ2987" s="4"/>
      <c r="AK2987" s="46"/>
      <c r="AL2987" s="46"/>
      <c r="AM2987" s="17">
        <f t="shared" si="148"/>
        <v>0</v>
      </c>
      <c r="AO2987" s="18"/>
    </row>
    <row r="2988" spans="1:42" customFormat="1" x14ac:dyDescent="0.3">
      <c r="A2988" s="148" t="s">
        <v>8319</v>
      </c>
      <c r="B2988" t="s">
        <v>8320</v>
      </c>
      <c r="C2988" s="148" t="s">
        <v>9410</v>
      </c>
      <c r="D2988" t="s">
        <v>9411</v>
      </c>
      <c r="E2988" s="148" t="s">
        <v>9412</v>
      </c>
      <c r="F2988" t="s">
        <v>9413</v>
      </c>
      <c r="G2988" s="148" t="s">
        <v>9448</v>
      </c>
      <c r="H2988" t="s">
        <v>9449</v>
      </c>
      <c r="I2988" s="148" t="s">
        <v>9682</v>
      </c>
      <c r="J2988" t="s">
        <v>9683</v>
      </c>
      <c r="K2988" s="155" t="s">
        <v>9735</v>
      </c>
      <c r="L2988" t="s">
        <v>9736</v>
      </c>
      <c r="M2988" t="s">
        <v>9737</v>
      </c>
      <c r="N2988" s="3">
        <v>0</v>
      </c>
      <c r="O2988" s="3">
        <v>10</v>
      </c>
      <c r="P2988" s="3">
        <v>20</v>
      </c>
      <c r="Q2988" s="3">
        <v>30</v>
      </c>
      <c r="R2988" s="3">
        <v>40</v>
      </c>
      <c r="S2988" s="3">
        <v>50</v>
      </c>
      <c r="T2988" t="s">
        <v>9738</v>
      </c>
      <c r="U2988" t="e">
        <v>#N/A</v>
      </c>
      <c r="W2988" s="45">
        <v>1</v>
      </c>
      <c r="X2988" s="45">
        <v>1</v>
      </c>
      <c r="Y2988" s="45">
        <v>1</v>
      </c>
      <c r="Z2988" s="45">
        <v>1</v>
      </c>
      <c r="AA2988" s="45">
        <v>1</v>
      </c>
      <c r="AB2988" s="45">
        <v>1</v>
      </c>
      <c r="AC2988" s="150">
        <v>0</v>
      </c>
      <c r="AD2988" s="150">
        <v>1</v>
      </c>
      <c r="AE2988" s="49">
        <f t="shared" si="147"/>
        <v>0.875</v>
      </c>
      <c r="AF2988" s="4"/>
      <c r="AG2988" s="17">
        <v>0</v>
      </c>
      <c r="AH2988" s="4"/>
      <c r="AI2988" s="4"/>
      <c r="AJ2988" s="4"/>
      <c r="AK2988" s="46"/>
      <c r="AL2988" s="46"/>
      <c r="AM2988" s="17">
        <f t="shared" si="148"/>
        <v>0</v>
      </c>
      <c r="AO2988" s="18"/>
    </row>
    <row r="2989" spans="1:42" customFormat="1" x14ac:dyDescent="0.3">
      <c r="A2989" s="148" t="s">
        <v>8319</v>
      </c>
      <c r="B2989" t="s">
        <v>8320</v>
      </c>
      <c r="C2989" s="148" t="s">
        <v>9410</v>
      </c>
      <c r="D2989" t="s">
        <v>9411</v>
      </c>
      <c r="E2989" s="148" t="s">
        <v>9412</v>
      </c>
      <c r="F2989" t="s">
        <v>9413</v>
      </c>
      <c r="G2989" s="148" t="s">
        <v>9448</v>
      </c>
      <c r="H2989" t="s">
        <v>9449</v>
      </c>
      <c r="I2989" s="148" t="s">
        <v>9450</v>
      </c>
      <c r="J2989" t="s">
        <v>9451</v>
      </c>
      <c r="K2989" s="148" t="s">
        <v>9452</v>
      </c>
      <c r="L2989" t="s">
        <v>9453</v>
      </c>
      <c r="M2989" t="s">
        <v>9739</v>
      </c>
      <c r="N2989" s="3">
        <v>0</v>
      </c>
      <c r="O2989" s="3">
        <v>2</v>
      </c>
      <c r="P2989" s="3">
        <v>2</v>
      </c>
      <c r="Q2989" s="3">
        <v>2</v>
      </c>
      <c r="R2989" s="3">
        <v>2</v>
      </c>
      <c r="S2989" s="3">
        <v>2</v>
      </c>
      <c r="T2989" t="s">
        <v>3643</v>
      </c>
      <c r="U2989" t="s">
        <v>3630</v>
      </c>
      <c r="V2989" t="s">
        <v>9740</v>
      </c>
      <c r="W2989" s="45">
        <v>1</v>
      </c>
      <c r="X2989" s="45">
        <v>1</v>
      </c>
      <c r="Y2989" s="45">
        <v>1</v>
      </c>
      <c r="Z2989" s="45">
        <v>1</v>
      </c>
      <c r="AA2989" s="45">
        <v>1</v>
      </c>
      <c r="AB2989" s="45">
        <v>1</v>
      </c>
      <c r="AC2989" s="150">
        <v>0</v>
      </c>
      <c r="AD2989" s="150">
        <v>1</v>
      </c>
      <c r="AE2989" s="49">
        <f t="shared" si="147"/>
        <v>0.875</v>
      </c>
      <c r="AF2989" s="17"/>
      <c r="AG2989" s="17">
        <v>0</v>
      </c>
      <c r="AH2989" s="17">
        <v>0</v>
      </c>
      <c r="AI2989" s="17">
        <v>0</v>
      </c>
      <c r="AJ2989" s="17">
        <v>0</v>
      </c>
      <c r="AK2989" s="153">
        <v>0</v>
      </c>
      <c r="AL2989" s="154">
        <v>0</v>
      </c>
      <c r="AM2989" s="17">
        <f t="shared" si="148"/>
        <v>0</v>
      </c>
      <c r="AN2989" t="s">
        <v>3643</v>
      </c>
      <c r="AO2989" s="18" t="s">
        <v>3630</v>
      </c>
    </row>
    <row r="2990" spans="1:42" customFormat="1" x14ac:dyDescent="0.3">
      <c r="A2990" s="148" t="s">
        <v>8319</v>
      </c>
      <c r="B2990" t="s">
        <v>8320</v>
      </c>
      <c r="C2990" s="148" t="s">
        <v>9410</v>
      </c>
      <c r="D2990" t="s">
        <v>9411</v>
      </c>
      <c r="E2990" s="148" t="s">
        <v>9412</v>
      </c>
      <c r="F2990" t="s">
        <v>9413</v>
      </c>
      <c r="G2990" s="148" t="s">
        <v>9448</v>
      </c>
      <c r="H2990" t="s">
        <v>9449</v>
      </c>
      <c r="I2990" s="148" t="s">
        <v>9450</v>
      </c>
      <c r="J2990" t="s">
        <v>9451</v>
      </c>
      <c r="K2990" s="148" t="s">
        <v>9741</v>
      </c>
      <c r="L2990" t="s">
        <v>9742</v>
      </c>
      <c r="M2990" t="s">
        <v>9743</v>
      </c>
      <c r="N2990" s="3" t="s">
        <v>9744</v>
      </c>
      <c r="O2990" s="3">
        <v>14</v>
      </c>
      <c r="P2990" s="3">
        <v>14</v>
      </c>
      <c r="Q2990" s="3">
        <v>14</v>
      </c>
      <c r="R2990" s="3">
        <v>14</v>
      </c>
      <c r="S2990" s="3">
        <v>14</v>
      </c>
      <c r="T2990" t="s">
        <v>3643</v>
      </c>
      <c r="U2990" t="s">
        <v>3630</v>
      </c>
      <c r="V2990" t="s">
        <v>9745</v>
      </c>
      <c r="W2990" s="45">
        <v>1</v>
      </c>
      <c r="X2990" s="45">
        <v>1</v>
      </c>
      <c r="Y2990" s="45">
        <v>1</v>
      </c>
      <c r="Z2990" s="45">
        <v>1</v>
      </c>
      <c r="AA2990" s="45">
        <v>1</v>
      </c>
      <c r="AB2990" s="45">
        <v>1</v>
      </c>
      <c r="AC2990" s="150">
        <v>0</v>
      </c>
      <c r="AD2990" s="150">
        <v>1</v>
      </c>
      <c r="AE2990" s="49">
        <f t="shared" si="147"/>
        <v>0.875</v>
      </c>
      <c r="AF2990" s="44"/>
      <c r="AG2990" s="17">
        <v>0</v>
      </c>
      <c r="AH2990" s="44">
        <v>7</v>
      </c>
      <c r="AI2990" s="44">
        <v>7</v>
      </c>
      <c r="AJ2990" s="44">
        <v>7</v>
      </c>
      <c r="AK2990" s="151">
        <v>7</v>
      </c>
      <c r="AL2990" s="151">
        <v>7</v>
      </c>
      <c r="AM2990" s="17">
        <f t="shared" si="148"/>
        <v>14</v>
      </c>
      <c r="AN2990" t="s">
        <v>3643</v>
      </c>
      <c r="AO2990" s="18" t="s">
        <v>3630</v>
      </c>
      <c r="AP2990" t="s">
        <v>9746</v>
      </c>
    </row>
    <row r="2991" spans="1:42" customFormat="1" x14ac:dyDescent="0.3">
      <c r="A2991" s="148" t="s">
        <v>8319</v>
      </c>
      <c r="B2991" t="s">
        <v>8320</v>
      </c>
      <c r="C2991" s="148" t="s">
        <v>9410</v>
      </c>
      <c r="D2991" t="s">
        <v>9411</v>
      </c>
      <c r="E2991" s="148" t="s">
        <v>9412</v>
      </c>
      <c r="F2991" t="s">
        <v>9413</v>
      </c>
      <c r="G2991" s="148" t="s">
        <v>9448</v>
      </c>
      <c r="H2991" t="s">
        <v>9449</v>
      </c>
      <c r="I2991" s="148" t="s">
        <v>9747</v>
      </c>
      <c r="J2991" t="s">
        <v>9748</v>
      </c>
      <c r="K2991" s="148" t="s">
        <v>9749</v>
      </c>
      <c r="L2991" t="s">
        <v>9750</v>
      </c>
      <c r="M2991" t="s">
        <v>9751</v>
      </c>
      <c r="N2991" s="3"/>
      <c r="O2991" s="3">
        <v>15</v>
      </c>
      <c r="P2991" s="3">
        <v>15</v>
      </c>
      <c r="Q2991" s="3">
        <v>15</v>
      </c>
      <c r="R2991" s="3">
        <v>15</v>
      </c>
      <c r="S2991" s="3">
        <v>15</v>
      </c>
      <c r="T2991" t="s">
        <v>9752</v>
      </c>
      <c r="U2991" t="e">
        <v>#N/A</v>
      </c>
      <c r="V2991" t="s">
        <v>9753</v>
      </c>
      <c r="W2991" s="45">
        <v>1</v>
      </c>
      <c r="X2991" s="45">
        <v>1</v>
      </c>
      <c r="Y2991" s="45">
        <v>1</v>
      </c>
      <c r="Z2991" s="45">
        <v>1</v>
      </c>
      <c r="AA2991" s="45">
        <v>1</v>
      </c>
      <c r="AB2991" s="45">
        <v>1</v>
      </c>
      <c r="AC2991" s="150">
        <v>0</v>
      </c>
      <c r="AD2991" s="150">
        <v>1</v>
      </c>
      <c r="AE2991" s="49">
        <f t="shared" si="147"/>
        <v>0.875</v>
      </c>
      <c r="AF2991" s="44"/>
      <c r="AG2991" s="17">
        <v>0</v>
      </c>
      <c r="AH2991" s="44">
        <v>3</v>
      </c>
      <c r="AI2991" s="44">
        <v>6</v>
      </c>
      <c r="AJ2991" s="44">
        <v>6</v>
      </c>
      <c r="AK2991" s="151">
        <v>7</v>
      </c>
      <c r="AL2991" s="151">
        <v>7</v>
      </c>
      <c r="AM2991" s="17">
        <f t="shared" si="148"/>
        <v>14</v>
      </c>
      <c r="AN2991" t="s">
        <v>3643</v>
      </c>
      <c r="AO2991" s="18" t="s">
        <v>3630</v>
      </c>
      <c r="AP2991" t="s">
        <v>9746</v>
      </c>
    </row>
    <row r="2992" spans="1:42" customFormat="1" x14ac:dyDescent="0.3">
      <c r="A2992" s="148" t="s">
        <v>8319</v>
      </c>
      <c r="B2992" t="s">
        <v>8320</v>
      </c>
      <c r="C2992" s="148" t="s">
        <v>9410</v>
      </c>
      <c r="D2992" t="s">
        <v>9411</v>
      </c>
      <c r="E2992" s="148" t="s">
        <v>9412</v>
      </c>
      <c r="F2992" t="s">
        <v>9413</v>
      </c>
      <c r="G2992" s="148" t="s">
        <v>9448</v>
      </c>
      <c r="H2992" t="s">
        <v>9449</v>
      </c>
      <c r="I2992" s="148" t="s">
        <v>9747</v>
      </c>
      <c r="J2992" t="s">
        <v>9748</v>
      </c>
      <c r="K2992" s="148" t="s">
        <v>9749</v>
      </c>
      <c r="L2992" t="s">
        <v>9750</v>
      </c>
      <c r="M2992" t="s">
        <v>9754</v>
      </c>
      <c r="N2992" s="3"/>
      <c r="O2992" s="3">
        <v>0</v>
      </c>
      <c r="P2992" s="3">
        <v>1</v>
      </c>
      <c r="Q2992" s="3">
        <v>0</v>
      </c>
      <c r="R2992" s="3">
        <v>0</v>
      </c>
      <c r="S2992" s="3">
        <v>0</v>
      </c>
      <c r="T2992" t="s">
        <v>9755</v>
      </c>
      <c r="U2992" t="e">
        <v>#N/A</v>
      </c>
      <c r="V2992" t="s">
        <v>9756</v>
      </c>
      <c r="W2992" s="45">
        <v>1</v>
      </c>
      <c r="X2992" s="45">
        <v>1</v>
      </c>
      <c r="Y2992" s="45">
        <v>1</v>
      </c>
      <c r="Z2992" s="45">
        <v>1</v>
      </c>
      <c r="AA2992" s="45">
        <v>1</v>
      </c>
      <c r="AB2992" s="45">
        <v>1</v>
      </c>
      <c r="AC2992" s="150">
        <v>0</v>
      </c>
      <c r="AD2992" s="150">
        <v>1</v>
      </c>
      <c r="AE2992" s="49">
        <f t="shared" si="147"/>
        <v>0.875</v>
      </c>
      <c r="AF2992" s="44"/>
      <c r="AG2992" s="17">
        <v>0</v>
      </c>
      <c r="AH2992" s="44">
        <v>0</v>
      </c>
      <c r="AI2992" s="44">
        <v>0.05</v>
      </c>
      <c r="AJ2992" s="44">
        <v>0</v>
      </c>
      <c r="AK2992" s="151">
        <v>0</v>
      </c>
      <c r="AL2992" s="151">
        <v>0</v>
      </c>
      <c r="AM2992" s="17">
        <f t="shared" si="148"/>
        <v>0</v>
      </c>
      <c r="AN2992" t="s">
        <v>3643</v>
      </c>
      <c r="AO2992" s="18" t="s">
        <v>3630</v>
      </c>
      <c r="AP2992" t="s">
        <v>9757</v>
      </c>
    </row>
    <row r="2993" spans="1:42" customFormat="1" x14ac:dyDescent="0.3">
      <c r="A2993" s="148" t="s">
        <v>8319</v>
      </c>
      <c r="B2993" t="s">
        <v>8320</v>
      </c>
      <c r="C2993" s="148" t="s">
        <v>9410</v>
      </c>
      <c r="D2993" t="s">
        <v>9411</v>
      </c>
      <c r="E2993" s="148" t="s">
        <v>9412</v>
      </c>
      <c r="F2993" t="s">
        <v>9413</v>
      </c>
      <c r="G2993" s="148" t="s">
        <v>9448</v>
      </c>
      <c r="H2993" t="s">
        <v>9449</v>
      </c>
      <c r="I2993" s="148" t="s">
        <v>9747</v>
      </c>
      <c r="J2993" t="s">
        <v>9748</v>
      </c>
      <c r="K2993" s="148" t="s">
        <v>9749</v>
      </c>
      <c r="L2993" t="s">
        <v>9750</v>
      </c>
      <c r="M2993" t="s">
        <v>9758</v>
      </c>
      <c r="N2993" s="3"/>
      <c r="O2993" s="3">
        <v>100</v>
      </c>
      <c r="P2993" s="3">
        <v>200</v>
      </c>
      <c r="Q2993" s="3">
        <v>200</v>
      </c>
      <c r="R2993" s="3">
        <v>200</v>
      </c>
      <c r="S2993" s="3">
        <v>200</v>
      </c>
      <c r="T2993" t="s">
        <v>3643</v>
      </c>
      <c r="U2993" t="s">
        <v>3630</v>
      </c>
      <c r="V2993" t="s">
        <v>9759</v>
      </c>
      <c r="W2993" s="45">
        <v>1</v>
      </c>
      <c r="X2993" s="45">
        <v>1</v>
      </c>
      <c r="Y2993" s="45">
        <v>1</v>
      </c>
      <c r="Z2993" s="45">
        <v>1</v>
      </c>
      <c r="AA2993" s="45">
        <v>1</v>
      </c>
      <c r="AB2993" s="45">
        <v>1</v>
      </c>
      <c r="AC2993" s="150">
        <v>0</v>
      </c>
      <c r="AD2993" s="150">
        <v>1</v>
      </c>
      <c r="AE2993" s="49">
        <f t="shared" si="147"/>
        <v>0.875</v>
      </c>
      <c r="AF2993" s="44"/>
      <c r="AG2993" s="17">
        <v>0</v>
      </c>
      <c r="AH2993" s="44">
        <v>0.05</v>
      </c>
      <c r="AI2993" s="44">
        <v>0.05</v>
      </c>
      <c r="AJ2993" s="44">
        <v>0.05</v>
      </c>
      <c r="AK2993" s="151">
        <v>0.05</v>
      </c>
      <c r="AL2993" s="151">
        <v>0.05</v>
      </c>
      <c r="AM2993" s="17">
        <f t="shared" si="148"/>
        <v>0.1</v>
      </c>
      <c r="AN2993" t="s">
        <v>3643</v>
      </c>
      <c r="AO2993" s="18" t="s">
        <v>3630</v>
      </c>
      <c r="AP2993" t="s">
        <v>9757</v>
      </c>
    </row>
    <row r="2994" spans="1:42" customFormat="1" x14ac:dyDescent="0.3">
      <c r="A2994" s="148" t="s">
        <v>8319</v>
      </c>
      <c r="B2994" t="s">
        <v>8320</v>
      </c>
      <c r="C2994" s="148" t="s">
        <v>9410</v>
      </c>
      <c r="D2994" t="s">
        <v>9411</v>
      </c>
      <c r="E2994" s="148" t="s">
        <v>9412</v>
      </c>
      <c r="F2994" t="s">
        <v>9413</v>
      </c>
      <c r="G2994" s="148" t="s">
        <v>9448</v>
      </c>
      <c r="H2994" t="s">
        <v>9449</v>
      </c>
      <c r="I2994" s="148" t="s">
        <v>9747</v>
      </c>
      <c r="J2994" t="s">
        <v>9748</v>
      </c>
      <c r="K2994" s="148" t="s">
        <v>9749</v>
      </c>
      <c r="L2994" t="s">
        <v>9750</v>
      </c>
      <c r="M2994" t="s">
        <v>9760</v>
      </c>
      <c r="N2994" s="3"/>
      <c r="O2994" s="3">
        <v>1</v>
      </c>
      <c r="P2994" s="3">
        <v>1</v>
      </c>
      <c r="Q2994" s="3">
        <v>1</v>
      </c>
      <c r="R2994" s="3">
        <v>1</v>
      </c>
      <c r="S2994" s="3">
        <v>1</v>
      </c>
      <c r="T2994" t="s">
        <v>9755</v>
      </c>
      <c r="U2994" t="e">
        <v>#N/A</v>
      </c>
      <c r="V2994" t="s">
        <v>9761</v>
      </c>
      <c r="W2994" s="45">
        <v>1</v>
      </c>
      <c r="X2994" s="45">
        <v>1</v>
      </c>
      <c r="Y2994" s="45">
        <v>1</v>
      </c>
      <c r="Z2994" s="45">
        <v>1</v>
      </c>
      <c r="AA2994" s="45">
        <v>1</v>
      </c>
      <c r="AB2994" s="45">
        <v>1</v>
      </c>
      <c r="AC2994" s="150">
        <v>0</v>
      </c>
      <c r="AD2994" s="150">
        <v>1</v>
      </c>
      <c r="AE2994" s="49">
        <f t="shared" si="147"/>
        <v>0.875</v>
      </c>
      <c r="AF2994" s="44"/>
      <c r="AG2994" s="17">
        <v>0</v>
      </c>
      <c r="AH2994" s="44">
        <v>0</v>
      </c>
      <c r="AI2994" s="44">
        <v>0</v>
      </c>
      <c r="AJ2994" s="44">
        <v>0</v>
      </c>
      <c r="AK2994" s="151">
        <v>0</v>
      </c>
      <c r="AL2994" s="151">
        <v>0</v>
      </c>
      <c r="AM2994" s="17">
        <f t="shared" si="148"/>
        <v>0</v>
      </c>
      <c r="AN2994" t="s">
        <v>3643</v>
      </c>
      <c r="AO2994" s="18" t="s">
        <v>3630</v>
      </c>
      <c r="AP2994" t="s">
        <v>9762</v>
      </c>
    </row>
    <row r="2995" spans="1:42" customFormat="1" x14ac:dyDescent="0.3">
      <c r="A2995" s="148" t="s">
        <v>8319</v>
      </c>
      <c r="B2995" t="s">
        <v>8320</v>
      </c>
      <c r="C2995" s="148" t="s">
        <v>9410</v>
      </c>
      <c r="D2995" t="s">
        <v>9411</v>
      </c>
      <c r="E2995" s="148" t="s">
        <v>9412</v>
      </c>
      <c r="F2995" t="s">
        <v>9413</v>
      </c>
      <c r="G2995" s="148" t="s">
        <v>9448</v>
      </c>
      <c r="H2995" t="s">
        <v>9449</v>
      </c>
      <c r="I2995" s="148" t="s">
        <v>9763</v>
      </c>
      <c r="J2995" t="s">
        <v>9764</v>
      </c>
      <c r="K2995" s="148" t="s">
        <v>9765</v>
      </c>
      <c r="L2995" t="s">
        <v>9766</v>
      </c>
      <c r="M2995" t="s">
        <v>9767</v>
      </c>
      <c r="N2995" s="3"/>
      <c r="O2995" s="3">
        <v>0</v>
      </c>
      <c r="P2995" s="3">
        <v>1</v>
      </c>
      <c r="Q2995" s="3">
        <v>1</v>
      </c>
      <c r="R2995" s="3">
        <v>1</v>
      </c>
      <c r="S2995" s="3">
        <v>1</v>
      </c>
      <c r="T2995" t="s">
        <v>9768</v>
      </c>
      <c r="U2995" t="e">
        <v>#N/A</v>
      </c>
      <c r="V2995" t="s">
        <v>9769</v>
      </c>
      <c r="W2995" s="45">
        <v>1</v>
      </c>
      <c r="X2995" s="45">
        <v>1</v>
      </c>
      <c r="Y2995" s="45">
        <v>1</v>
      </c>
      <c r="Z2995" s="45">
        <v>1</v>
      </c>
      <c r="AA2995" s="45">
        <v>1</v>
      </c>
      <c r="AB2995" s="45">
        <v>1</v>
      </c>
      <c r="AC2995" s="150">
        <v>0</v>
      </c>
      <c r="AD2995" s="150">
        <v>1</v>
      </c>
      <c r="AE2995" s="49">
        <f t="shared" si="147"/>
        <v>0.875</v>
      </c>
      <c r="AF2995" s="44"/>
      <c r="AG2995" s="17">
        <v>0</v>
      </c>
      <c r="AH2995" s="44">
        <v>0.05</v>
      </c>
      <c r="AI2995" s="44">
        <v>0</v>
      </c>
      <c r="AJ2995" s="44">
        <v>0</v>
      </c>
      <c r="AK2995" s="151">
        <v>0</v>
      </c>
      <c r="AL2995" s="151">
        <v>0</v>
      </c>
      <c r="AM2995" s="17">
        <f t="shared" si="148"/>
        <v>0</v>
      </c>
      <c r="AN2995" t="s">
        <v>3643</v>
      </c>
      <c r="AO2995" s="18" t="s">
        <v>3630</v>
      </c>
      <c r="AP2995" t="s">
        <v>9770</v>
      </c>
    </row>
    <row r="2996" spans="1:42" customFormat="1" x14ac:dyDescent="0.3">
      <c r="A2996" s="148" t="s">
        <v>8319</v>
      </c>
      <c r="B2996" t="s">
        <v>8320</v>
      </c>
      <c r="C2996" s="148" t="s">
        <v>9410</v>
      </c>
      <c r="D2996" t="s">
        <v>9411</v>
      </c>
      <c r="E2996" s="148" t="s">
        <v>9412</v>
      </c>
      <c r="F2996" t="s">
        <v>9413</v>
      </c>
      <c r="G2996" s="148" t="s">
        <v>9448</v>
      </c>
      <c r="H2996" t="s">
        <v>9449</v>
      </c>
      <c r="I2996" s="148" t="s">
        <v>9763</v>
      </c>
      <c r="J2996" t="s">
        <v>9764</v>
      </c>
      <c r="K2996" s="148" t="s">
        <v>9765</v>
      </c>
      <c r="L2996" t="s">
        <v>9766</v>
      </c>
      <c r="M2996" t="s">
        <v>9771</v>
      </c>
      <c r="N2996" s="3"/>
      <c r="O2996" s="3">
        <v>50</v>
      </c>
      <c r="P2996" s="3">
        <v>150</v>
      </c>
      <c r="Q2996" s="3">
        <v>200</v>
      </c>
      <c r="R2996" s="3">
        <v>200</v>
      </c>
      <c r="S2996" s="3">
        <v>200</v>
      </c>
      <c r="T2996" t="s">
        <v>9772</v>
      </c>
      <c r="U2996" t="e">
        <v>#N/A</v>
      </c>
      <c r="V2996" t="s">
        <v>9773</v>
      </c>
      <c r="W2996" s="45">
        <v>1</v>
      </c>
      <c r="X2996" s="45">
        <v>1</v>
      </c>
      <c r="Y2996" s="45">
        <v>1</v>
      </c>
      <c r="Z2996" s="45">
        <v>1</v>
      </c>
      <c r="AA2996" s="45">
        <v>1</v>
      </c>
      <c r="AB2996" s="45">
        <v>1</v>
      </c>
      <c r="AC2996" s="150">
        <v>0</v>
      </c>
      <c r="AD2996" s="150">
        <v>1</v>
      </c>
      <c r="AE2996" s="49">
        <f t="shared" si="147"/>
        <v>0.875</v>
      </c>
      <c r="AF2996" s="44"/>
      <c r="AG2996" s="17">
        <v>0</v>
      </c>
      <c r="AH2996" s="44">
        <v>0.03</v>
      </c>
      <c r="AI2996" s="44">
        <v>0.09</v>
      </c>
      <c r="AJ2996" s="44">
        <v>0.12</v>
      </c>
      <c r="AK2996" s="151">
        <v>0.12</v>
      </c>
      <c r="AL2996" s="151">
        <v>0.12</v>
      </c>
      <c r="AM2996" s="17">
        <f t="shared" si="148"/>
        <v>0.24</v>
      </c>
      <c r="AN2996" t="s">
        <v>3643</v>
      </c>
      <c r="AO2996" s="18" t="s">
        <v>3630</v>
      </c>
      <c r="AP2996" t="s">
        <v>9774</v>
      </c>
    </row>
    <row r="2997" spans="1:42" customFormat="1" x14ac:dyDescent="0.3">
      <c r="A2997" s="148" t="s">
        <v>8319</v>
      </c>
      <c r="B2997" t="s">
        <v>8320</v>
      </c>
      <c r="C2997" s="148" t="s">
        <v>9410</v>
      </c>
      <c r="D2997" t="s">
        <v>9411</v>
      </c>
      <c r="E2997" s="148" t="s">
        <v>9412</v>
      </c>
      <c r="F2997" t="s">
        <v>9413</v>
      </c>
      <c r="G2997" s="148" t="s">
        <v>9448</v>
      </c>
      <c r="H2997" t="s">
        <v>9449</v>
      </c>
      <c r="I2997" s="148" t="s">
        <v>9763</v>
      </c>
      <c r="J2997" t="s">
        <v>9764</v>
      </c>
      <c r="K2997" s="148" t="s">
        <v>9765</v>
      </c>
      <c r="L2997" t="s">
        <v>9766</v>
      </c>
      <c r="M2997" t="s">
        <v>9775</v>
      </c>
      <c r="N2997" s="3"/>
      <c r="O2997" s="3">
        <v>30</v>
      </c>
      <c r="P2997" s="3">
        <v>50</v>
      </c>
      <c r="Q2997" s="3">
        <v>70</v>
      </c>
      <c r="R2997" s="3">
        <v>70</v>
      </c>
      <c r="S2997" s="3">
        <v>80</v>
      </c>
      <c r="T2997" t="s">
        <v>9776</v>
      </c>
      <c r="U2997" t="e">
        <v>#N/A</v>
      </c>
      <c r="V2997" t="s">
        <v>9777</v>
      </c>
      <c r="W2997" s="45">
        <v>1</v>
      </c>
      <c r="X2997" s="45">
        <v>1</v>
      </c>
      <c r="Y2997" s="45">
        <v>1</v>
      </c>
      <c r="Z2997" s="45">
        <v>1</v>
      </c>
      <c r="AA2997" s="45">
        <v>1</v>
      </c>
      <c r="AB2997" s="45">
        <v>1</v>
      </c>
      <c r="AC2997" s="150">
        <v>0</v>
      </c>
      <c r="AD2997" s="150">
        <v>1</v>
      </c>
      <c r="AE2997" s="49">
        <f t="shared" si="147"/>
        <v>0.875</v>
      </c>
      <c r="AF2997" s="44"/>
      <c r="AG2997" s="17">
        <v>0</v>
      </c>
      <c r="AH2997" s="44">
        <v>3</v>
      </c>
      <c r="AI2997" s="44">
        <v>3</v>
      </c>
      <c r="AJ2997" s="44">
        <v>3</v>
      </c>
      <c r="AK2997" s="151">
        <v>3</v>
      </c>
      <c r="AL2997" s="151">
        <v>3</v>
      </c>
      <c r="AM2997" s="17">
        <f t="shared" si="148"/>
        <v>6</v>
      </c>
      <c r="AN2997" t="s">
        <v>3643</v>
      </c>
      <c r="AO2997" s="18" t="s">
        <v>3630</v>
      </c>
      <c r="AP2997" t="s">
        <v>9778</v>
      </c>
    </row>
    <row r="2998" spans="1:42" customFormat="1" x14ac:dyDescent="0.3">
      <c r="A2998" s="148" t="s">
        <v>8319</v>
      </c>
      <c r="B2998" t="s">
        <v>8320</v>
      </c>
      <c r="C2998" s="148" t="s">
        <v>9410</v>
      </c>
      <c r="D2998" t="s">
        <v>9411</v>
      </c>
      <c r="E2998" s="148" t="s">
        <v>9412</v>
      </c>
      <c r="F2998" t="s">
        <v>9413</v>
      </c>
      <c r="G2998" s="148" t="s">
        <v>9448</v>
      </c>
      <c r="H2998" t="s">
        <v>9449</v>
      </c>
      <c r="I2998" s="148" t="s">
        <v>9763</v>
      </c>
      <c r="J2998" t="s">
        <v>9764</v>
      </c>
      <c r="K2998" s="148" t="s">
        <v>9779</v>
      </c>
      <c r="L2998" t="s">
        <v>9780</v>
      </c>
      <c r="M2998" t="s">
        <v>9781</v>
      </c>
      <c r="N2998" s="3"/>
      <c r="O2998" s="3">
        <v>1</v>
      </c>
      <c r="P2998" s="3">
        <v>1</v>
      </c>
      <c r="Q2998" s="3">
        <v>1</v>
      </c>
      <c r="R2998" s="3">
        <v>1</v>
      </c>
      <c r="S2998" s="3">
        <v>1</v>
      </c>
      <c r="T2998" t="s">
        <v>9782</v>
      </c>
      <c r="U2998" t="e">
        <v>#N/A</v>
      </c>
      <c r="V2998" t="s">
        <v>9783</v>
      </c>
      <c r="W2998" s="45">
        <v>1</v>
      </c>
      <c r="X2998" s="45">
        <v>1</v>
      </c>
      <c r="Y2998" s="45">
        <v>1</v>
      </c>
      <c r="Z2998" s="45">
        <v>1</v>
      </c>
      <c r="AA2998" s="45">
        <v>1</v>
      </c>
      <c r="AB2998" s="45">
        <v>1</v>
      </c>
      <c r="AC2998" s="150">
        <v>0</v>
      </c>
      <c r="AD2998" s="150">
        <v>1</v>
      </c>
      <c r="AE2998" s="49">
        <f t="shared" si="147"/>
        <v>0.875</v>
      </c>
      <c r="AF2998" s="44"/>
      <c r="AG2998" s="17">
        <v>0</v>
      </c>
      <c r="AH2998" s="44">
        <v>11.7</v>
      </c>
      <c r="AI2998" s="44">
        <v>11.7</v>
      </c>
      <c r="AJ2998" s="44">
        <v>12</v>
      </c>
      <c r="AK2998" s="151">
        <v>12</v>
      </c>
      <c r="AL2998" s="151">
        <v>12.5</v>
      </c>
      <c r="AM2998" s="17">
        <f t="shared" si="148"/>
        <v>24.5</v>
      </c>
      <c r="AN2998" s="44" t="s">
        <v>9784</v>
      </c>
      <c r="AO2998" s="18" t="s">
        <v>9785</v>
      </c>
      <c r="AP2998" t="s">
        <v>9786</v>
      </c>
    </row>
    <row r="2999" spans="1:42" customFormat="1" x14ac:dyDescent="0.3">
      <c r="A2999" s="148" t="s">
        <v>8319</v>
      </c>
      <c r="B2999" t="s">
        <v>8320</v>
      </c>
      <c r="C2999" s="148" t="s">
        <v>9410</v>
      </c>
      <c r="D2999" t="s">
        <v>9411</v>
      </c>
      <c r="E2999" s="148" t="s">
        <v>9412</v>
      </c>
      <c r="F2999" t="s">
        <v>9413</v>
      </c>
      <c r="G2999" s="148" t="s">
        <v>9448</v>
      </c>
      <c r="H2999" t="s">
        <v>9449</v>
      </c>
      <c r="I2999" s="148" t="s">
        <v>9763</v>
      </c>
      <c r="J2999" t="s">
        <v>9764</v>
      </c>
      <c r="K2999" s="148" t="s">
        <v>9779</v>
      </c>
      <c r="L2999" t="s">
        <v>9780</v>
      </c>
      <c r="M2999" t="s">
        <v>9787</v>
      </c>
      <c r="N2999" s="3"/>
      <c r="O2999" s="3">
        <v>0</v>
      </c>
      <c r="P2999" s="3">
        <v>1</v>
      </c>
      <c r="Q2999" s="3">
        <v>1</v>
      </c>
      <c r="R2999" s="3">
        <v>1</v>
      </c>
      <c r="S2999" s="3">
        <v>0</v>
      </c>
      <c r="T2999" t="s">
        <v>9788</v>
      </c>
      <c r="U2999" t="e">
        <v>#N/A</v>
      </c>
      <c r="V2999" t="s">
        <v>9789</v>
      </c>
      <c r="W2999" s="45">
        <v>1</v>
      </c>
      <c r="X2999" s="45">
        <v>1</v>
      </c>
      <c r="Y2999" s="45">
        <v>1</v>
      </c>
      <c r="Z2999" s="45">
        <v>1</v>
      </c>
      <c r="AA2999" s="45">
        <v>1</v>
      </c>
      <c r="AB2999" s="45">
        <v>1</v>
      </c>
      <c r="AC2999" s="150">
        <v>0</v>
      </c>
      <c r="AD2999" s="150">
        <v>1</v>
      </c>
      <c r="AE2999" s="49">
        <f t="shared" si="147"/>
        <v>0.875</v>
      </c>
      <c r="AF2999" s="44"/>
      <c r="AG2999" s="17">
        <v>0</v>
      </c>
      <c r="AH2999" s="44">
        <v>0</v>
      </c>
      <c r="AI2999" s="44">
        <v>5</v>
      </c>
      <c r="AJ2999" s="44">
        <v>5</v>
      </c>
      <c r="AK2999" s="151">
        <v>5</v>
      </c>
      <c r="AL2999" s="151">
        <v>5</v>
      </c>
      <c r="AM2999" s="17">
        <f t="shared" si="148"/>
        <v>10</v>
      </c>
      <c r="AN2999" t="s">
        <v>3643</v>
      </c>
      <c r="AO2999" s="18" t="s">
        <v>3630</v>
      </c>
      <c r="AP2999" t="s">
        <v>9790</v>
      </c>
    </row>
    <row r="3000" spans="1:42" customFormat="1" x14ac:dyDescent="0.3">
      <c r="A3000" s="148" t="s">
        <v>8319</v>
      </c>
      <c r="B3000" t="s">
        <v>8320</v>
      </c>
      <c r="C3000" s="148" t="s">
        <v>9410</v>
      </c>
      <c r="D3000" t="s">
        <v>9411</v>
      </c>
      <c r="E3000" s="148" t="s">
        <v>9412</v>
      </c>
      <c r="F3000" t="s">
        <v>9413</v>
      </c>
      <c r="G3000" s="148" t="s">
        <v>9448</v>
      </c>
      <c r="H3000" t="s">
        <v>9449</v>
      </c>
      <c r="I3000" s="148" t="s">
        <v>9763</v>
      </c>
      <c r="J3000" t="s">
        <v>9764</v>
      </c>
      <c r="K3000" s="148" t="s">
        <v>9791</v>
      </c>
      <c r="L3000" t="s">
        <v>9792</v>
      </c>
      <c r="M3000" t="s">
        <v>9793</v>
      </c>
      <c r="N3000" s="3"/>
      <c r="O3000" s="3">
        <v>1</v>
      </c>
      <c r="P3000" s="3">
        <v>1</v>
      </c>
      <c r="Q3000" s="3">
        <v>1</v>
      </c>
      <c r="R3000" s="3">
        <v>1</v>
      </c>
      <c r="S3000" s="3">
        <v>1</v>
      </c>
      <c r="T3000" t="s">
        <v>9794</v>
      </c>
      <c r="U3000" t="e">
        <v>#N/A</v>
      </c>
      <c r="V3000" t="s">
        <v>9795</v>
      </c>
      <c r="W3000" s="45">
        <v>1</v>
      </c>
      <c r="X3000" s="45">
        <v>1</v>
      </c>
      <c r="Y3000" s="45">
        <v>1</v>
      </c>
      <c r="Z3000" s="45">
        <v>1</v>
      </c>
      <c r="AA3000" s="45">
        <v>1</v>
      </c>
      <c r="AB3000" s="45">
        <v>1</v>
      </c>
      <c r="AC3000" s="150">
        <v>0</v>
      </c>
      <c r="AD3000" s="150">
        <v>1</v>
      </c>
      <c r="AE3000" s="49">
        <f t="shared" si="147"/>
        <v>0.875</v>
      </c>
      <c r="AF3000" s="44"/>
      <c r="AG3000" s="17">
        <v>0</v>
      </c>
      <c r="AH3000" s="44">
        <v>30</v>
      </c>
      <c r="AI3000" s="44">
        <v>30</v>
      </c>
      <c r="AJ3000" s="44">
        <v>30</v>
      </c>
      <c r="AK3000" s="151">
        <v>30</v>
      </c>
      <c r="AL3000" s="151">
        <v>30</v>
      </c>
      <c r="AM3000" s="17">
        <f t="shared" si="148"/>
        <v>60</v>
      </c>
      <c r="AN3000" t="s">
        <v>3629</v>
      </c>
      <c r="AO3000" s="18" t="s">
        <v>3630</v>
      </c>
      <c r="AP3000" t="s">
        <v>3643</v>
      </c>
    </row>
    <row r="3001" spans="1:42" customFormat="1" x14ac:dyDescent="0.3">
      <c r="A3001" s="148" t="s">
        <v>8319</v>
      </c>
      <c r="B3001" t="s">
        <v>8320</v>
      </c>
      <c r="C3001" s="148" t="s">
        <v>9410</v>
      </c>
      <c r="D3001" t="s">
        <v>9411</v>
      </c>
      <c r="E3001" s="148" t="s">
        <v>9412</v>
      </c>
      <c r="F3001" t="s">
        <v>9413</v>
      </c>
      <c r="G3001" s="148" t="s">
        <v>9448</v>
      </c>
      <c r="H3001" t="s">
        <v>9449</v>
      </c>
      <c r="I3001" s="148" t="s">
        <v>9796</v>
      </c>
      <c r="J3001" t="s">
        <v>9797</v>
      </c>
      <c r="K3001" s="148" t="s">
        <v>9798</v>
      </c>
      <c r="L3001" t="s">
        <v>9799</v>
      </c>
      <c r="M3001" t="s">
        <v>9800</v>
      </c>
      <c r="N3001" s="3"/>
      <c r="O3001" s="3">
        <v>500</v>
      </c>
      <c r="P3001" s="3">
        <v>500</v>
      </c>
      <c r="Q3001" s="3">
        <v>500</v>
      </c>
      <c r="R3001" s="3">
        <v>500</v>
      </c>
      <c r="S3001" s="3">
        <v>500</v>
      </c>
      <c r="T3001" t="s">
        <v>3643</v>
      </c>
      <c r="U3001" t="s">
        <v>3630</v>
      </c>
      <c r="V3001" t="s">
        <v>9801</v>
      </c>
      <c r="W3001" s="45">
        <v>1</v>
      </c>
      <c r="X3001" s="45">
        <v>1</v>
      </c>
      <c r="Y3001" s="45">
        <v>0</v>
      </c>
      <c r="Z3001" s="45">
        <v>1</v>
      </c>
      <c r="AA3001" s="45">
        <v>1</v>
      </c>
      <c r="AB3001" s="45">
        <v>1</v>
      </c>
      <c r="AC3001" s="150">
        <v>1</v>
      </c>
      <c r="AD3001" s="150">
        <v>1</v>
      </c>
      <c r="AE3001" s="49">
        <f t="shared" si="147"/>
        <v>0.875</v>
      </c>
      <c r="AF3001" s="44"/>
      <c r="AG3001" s="17">
        <v>0</v>
      </c>
      <c r="AH3001" s="44">
        <v>2</v>
      </c>
      <c r="AI3001" s="44">
        <v>2</v>
      </c>
      <c r="AJ3001" s="44">
        <v>2</v>
      </c>
      <c r="AK3001" s="151">
        <v>2</v>
      </c>
      <c r="AL3001" s="151">
        <v>2</v>
      </c>
      <c r="AM3001" s="17">
        <f t="shared" si="148"/>
        <v>4</v>
      </c>
      <c r="AN3001" t="s">
        <v>3643</v>
      </c>
      <c r="AO3001" s="18" t="s">
        <v>3630</v>
      </c>
      <c r="AP3001" t="s">
        <v>9802</v>
      </c>
    </row>
    <row r="3002" spans="1:42" customFormat="1" x14ac:dyDescent="0.3">
      <c r="A3002" s="148" t="s">
        <v>8319</v>
      </c>
      <c r="B3002" t="s">
        <v>8320</v>
      </c>
      <c r="C3002" s="148" t="s">
        <v>9410</v>
      </c>
      <c r="D3002" t="s">
        <v>9411</v>
      </c>
      <c r="E3002" s="148" t="s">
        <v>9412</v>
      </c>
      <c r="F3002" t="s">
        <v>9413</v>
      </c>
      <c r="G3002" s="148" t="s">
        <v>9448</v>
      </c>
      <c r="H3002" t="s">
        <v>9449</v>
      </c>
      <c r="I3002" s="148" t="s">
        <v>9457</v>
      </c>
      <c r="J3002" t="s">
        <v>9458</v>
      </c>
      <c r="K3002" s="148" t="s">
        <v>9803</v>
      </c>
      <c r="L3002" t="s">
        <v>9804</v>
      </c>
      <c r="M3002" t="s">
        <v>9805</v>
      </c>
      <c r="N3002" s="3"/>
      <c r="O3002" s="3">
        <v>50</v>
      </c>
      <c r="P3002" s="3">
        <v>60</v>
      </c>
      <c r="Q3002" s="3">
        <v>70</v>
      </c>
      <c r="R3002" s="3">
        <v>75</v>
      </c>
      <c r="S3002" s="3">
        <v>80</v>
      </c>
      <c r="T3002" t="s">
        <v>3643</v>
      </c>
      <c r="U3002" t="s">
        <v>3630</v>
      </c>
      <c r="V3002" t="s">
        <v>9806</v>
      </c>
      <c r="W3002" s="45">
        <v>1</v>
      </c>
      <c r="X3002" s="45">
        <v>1</v>
      </c>
      <c r="Y3002" s="45">
        <v>1</v>
      </c>
      <c r="Z3002" s="45">
        <v>1</v>
      </c>
      <c r="AA3002" s="45">
        <v>1</v>
      </c>
      <c r="AB3002" s="45">
        <v>1</v>
      </c>
      <c r="AC3002" s="150">
        <v>0</v>
      </c>
      <c r="AD3002" s="150">
        <v>1</v>
      </c>
      <c r="AE3002" s="49">
        <f t="shared" si="147"/>
        <v>0.875</v>
      </c>
      <c r="AF3002" s="44"/>
      <c r="AG3002" s="17">
        <v>0</v>
      </c>
      <c r="AH3002" s="44">
        <v>0.5</v>
      </c>
      <c r="AI3002" s="44">
        <v>0.6</v>
      </c>
      <c r="AJ3002" s="44">
        <v>0.7</v>
      </c>
      <c r="AK3002" s="151">
        <v>0.75</v>
      </c>
      <c r="AL3002" s="151">
        <v>0.8</v>
      </c>
      <c r="AM3002" s="17">
        <f t="shared" si="148"/>
        <v>1.55</v>
      </c>
      <c r="AN3002" t="s">
        <v>3643</v>
      </c>
      <c r="AO3002" s="18" t="s">
        <v>3630</v>
      </c>
      <c r="AP3002" t="s">
        <v>9807</v>
      </c>
    </row>
    <row r="3003" spans="1:42" customFormat="1" x14ac:dyDescent="0.3">
      <c r="A3003" s="148" t="s">
        <v>8319</v>
      </c>
      <c r="B3003" t="s">
        <v>8320</v>
      </c>
      <c r="C3003" s="148" t="s">
        <v>9410</v>
      </c>
      <c r="D3003" t="s">
        <v>9411</v>
      </c>
      <c r="E3003" s="148" t="s">
        <v>9412</v>
      </c>
      <c r="F3003" t="s">
        <v>9413</v>
      </c>
      <c r="G3003" s="148" t="s">
        <v>9448</v>
      </c>
      <c r="H3003" t="s">
        <v>9449</v>
      </c>
      <c r="I3003" s="148" t="s">
        <v>9457</v>
      </c>
      <c r="J3003" t="s">
        <v>9458</v>
      </c>
      <c r="K3003" s="148" t="s">
        <v>9808</v>
      </c>
      <c r="L3003" t="s">
        <v>9809</v>
      </c>
      <c r="M3003" t="s">
        <v>9810</v>
      </c>
      <c r="N3003" s="3"/>
      <c r="O3003" s="3">
        <v>20</v>
      </c>
      <c r="P3003" s="3">
        <v>35</v>
      </c>
      <c r="Q3003" s="3">
        <v>50</v>
      </c>
      <c r="R3003" s="3">
        <v>75</v>
      </c>
      <c r="S3003" s="3">
        <v>80</v>
      </c>
      <c r="T3003" t="s">
        <v>9811</v>
      </c>
      <c r="U3003" t="e">
        <v>#N/A</v>
      </c>
      <c r="V3003" t="s">
        <v>9812</v>
      </c>
      <c r="W3003" s="45">
        <v>1</v>
      </c>
      <c r="X3003" s="45">
        <v>1</v>
      </c>
      <c r="Y3003" s="45">
        <v>1</v>
      </c>
      <c r="Z3003" s="45">
        <v>1</v>
      </c>
      <c r="AA3003" s="45">
        <v>1</v>
      </c>
      <c r="AB3003" s="45">
        <v>1</v>
      </c>
      <c r="AC3003" s="150">
        <v>0</v>
      </c>
      <c r="AD3003" s="150">
        <v>1</v>
      </c>
      <c r="AE3003" s="49">
        <f t="shared" si="147"/>
        <v>0.875</v>
      </c>
      <c r="AF3003" s="44"/>
      <c r="AG3003" s="17">
        <v>0</v>
      </c>
      <c r="AH3003" s="44">
        <v>0.3</v>
      </c>
      <c r="AI3003" s="44">
        <v>0.5</v>
      </c>
      <c r="AJ3003" s="44">
        <v>0.73</v>
      </c>
      <c r="AK3003" s="151">
        <v>0.75</v>
      </c>
      <c r="AL3003" s="151">
        <v>0.75</v>
      </c>
      <c r="AM3003" s="17">
        <f t="shared" si="148"/>
        <v>1.5</v>
      </c>
      <c r="AN3003" t="s">
        <v>3643</v>
      </c>
      <c r="AO3003" s="18" t="s">
        <v>3630</v>
      </c>
      <c r="AP3003" t="s">
        <v>9813</v>
      </c>
    </row>
    <row r="3004" spans="1:42" customFormat="1" x14ac:dyDescent="0.3">
      <c r="A3004" s="148" t="s">
        <v>8319</v>
      </c>
      <c r="B3004" t="s">
        <v>8320</v>
      </c>
      <c r="C3004" s="148" t="s">
        <v>9410</v>
      </c>
      <c r="D3004" t="s">
        <v>9411</v>
      </c>
      <c r="E3004" s="148" t="s">
        <v>9412</v>
      </c>
      <c r="F3004" t="s">
        <v>9413</v>
      </c>
      <c r="G3004" s="148" t="s">
        <v>9814</v>
      </c>
      <c r="H3004" t="s">
        <v>9815</v>
      </c>
      <c r="K3004" s="148" t="s">
        <v>9816</v>
      </c>
      <c r="L3004" t="s">
        <v>9817</v>
      </c>
      <c r="M3004" t="s">
        <v>9818</v>
      </c>
      <c r="N3004" s="3">
        <v>2</v>
      </c>
      <c r="O3004" s="3">
        <v>7.5</v>
      </c>
      <c r="P3004" s="3">
        <v>10</v>
      </c>
      <c r="Q3004" s="3">
        <v>15</v>
      </c>
      <c r="R3004" s="3">
        <v>20</v>
      </c>
      <c r="S3004" s="3">
        <v>25</v>
      </c>
      <c r="T3004" t="s">
        <v>3643</v>
      </c>
      <c r="U3004" t="s">
        <v>3630</v>
      </c>
      <c r="V3004" t="s">
        <v>9819</v>
      </c>
      <c r="W3004" s="45">
        <v>1</v>
      </c>
      <c r="X3004" s="45">
        <v>1</v>
      </c>
      <c r="Y3004" s="45">
        <v>1</v>
      </c>
      <c r="Z3004" s="45">
        <v>1</v>
      </c>
      <c r="AA3004" s="45">
        <v>0</v>
      </c>
      <c r="AB3004" s="45">
        <v>1</v>
      </c>
      <c r="AC3004" s="150">
        <v>1</v>
      </c>
      <c r="AD3004" s="150">
        <v>1</v>
      </c>
      <c r="AE3004" s="49">
        <f t="shared" si="147"/>
        <v>0.875</v>
      </c>
      <c r="AF3004" s="44"/>
      <c r="AG3004" s="17">
        <v>0</v>
      </c>
      <c r="AH3004" s="44">
        <v>0.02</v>
      </c>
      <c r="AI3004" s="44">
        <v>0.02</v>
      </c>
      <c r="AJ3004" s="44">
        <v>0.02</v>
      </c>
      <c r="AK3004" s="151">
        <v>8</v>
      </c>
      <c r="AL3004" s="151">
        <v>8</v>
      </c>
      <c r="AM3004" s="17">
        <f t="shared" si="148"/>
        <v>16</v>
      </c>
      <c r="AN3004" t="s">
        <v>3643</v>
      </c>
      <c r="AO3004" s="18" t="s">
        <v>3630</v>
      </c>
      <c r="AP3004" t="s">
        <v>921</v>
      </c>
    </row>
    <row r="3005" spans="1:42" customFormat="1" x14ac:dyDescent="0.3">
      <c r="A3005" s="148" t="s">
        <v>8319</v>
      </c>
      <c r="B3005" t="s">
        <v>8320</v>
      </c>
      <c r="C3005" s="148" t="s">
        <v>9410</v>
      </c>
      <c r="D3005" t="s">
        <v>9411</v>
      </c>
      <c r="E3005" s="148" t="s">
        <v>9412</v>
      </c>
      <c r="F3005" t="s">
        <v>9413</v>
      </c>
      <c r="G3005" s="148" t="s">
        <v>9820</v>
      </c>
      <c r="H3005" t="s">
        <v>9821</v>
      </c>
      <c r="K3005" s="155" t="s">
        <v>9822</v>
      </c>
      <c r="L3005" t="s">
        <v>9823</v>
      </c>
      <c r="N3005" s="3"/>
      <c r="O3005" s="3"/>
      <c r="P3005" s="3"/>
      <c r="Q3005" s="3"/>
      <c r="R3005" s="3"/>
      <c r="S3005" s="3"/>
      <c r="U3005" t="e">
        <v>#N/A</v>
      </c>
      <c r="V3005" t="s">
        <v>9824</v>
      </c>
      <c r="W3005" s="45">
        <v>1</v>
      </c>
      <c r="X3005" s="45">
        <v>1</v>
      </c>
      <c r="Y3005" s="45">
        <v>1</v>
      </c>
      <c r="Z3005" s="45">
        <v>1</v>
      </c>
      <c r="AA3005" s="45">
        <v>1</v>
      </c>
      <c r="AB3005" s="45">
        <v>1</v>
      </c>
      <c r="AC3005" s="150">
        <v>0</v>
      </c>
      <c r="AD3005" s="150">
        <v>1</v>
      </c>
      <c r="AE3005" s="49">
        <f t="shared" si="147"/>
        <v>0.875</v>
      </c>
      <c r="AF3005" s="44"/>
      <c r="AG3005" s="17">
        <v>0</v>
      </c>
      <c r="AH3005" s="44">
        <v>0.2</v>
      </c>
      <c r="AI3005" s="44">
        <v>0.2</v>
      </c>
      <c r="AJ3005" s="44">
        <v>0.2</v>
      </c>
      <c r="AK3005" s="151">
        <v>5</v>
      </c>
      <c r="AL3005" s="151">
        <v>0.2</v>
      </c>
      <c r="AM3005" s="17">
        <f t="shared" si="148"/>
        <v>5.2</v>
      </c>
      <c r="AN3005" t="s">
        <v>831</v>
      </c>
      <c r="AO3005" s="18" t="s">
        <v>834</v>
      </c>
      <c r="AP3005" t="s">
        <v>3643</v>
      </c>
    </row>
    <row r="3006" spans="1:42" customFormat="1" x14ac:dyDescent="0.3">
      <c r="A3006" s="148" t="s">
        <v>8319</v>
      </c>
      <c r="B3006" t="s">
        <v>8320</v>
      </c>
      <c r="C3006" s="148" t="s">
        <v>9410</v>
      </c>
      <c r="D3006" t="s">
        <v>9411</v>
      </c>
      <c r="E3006" s="148" t="s">
        <v>9412</v>
      </c>
      <c r="F3006" t="s">
        <v>9413</v>
      </c>
      <c r="G3006" s="148" t="s">
        <v>9820</v>
      </c>
      <c r="H3006" t="s">
        <v>9821</v>
      </c>
      <c r="K3006" s="155" t="s">
        <v>9825</v>
      </c>
      <c r="L3006" t="s">
        <v>9826</v>
      </c>
      <c r="N3006" s="3"/>
      <c r="O3006" s="3"/>
      <c r="P3006" s="3"/>
      <c r="Q3006" s="3"/>
      <c r="R3006" s="3"/>
      <c r="S3006" s="3"/>
      <c r="U3006" t="e">
        <v>#N/A</v>
      </c>
      <c r="V3006" t="s">
        <v>9827</v>
      </c>
      <c r="W3006" s="45">
        <v>1</v>
      </c>
      <c r="X3006" s="45">
        <v>1</v>
      </c>
      <c r="Y3006" s="45">
        <v>1</v>
      </c>
      <c r="Z3006" s="45">
        <v>1</v>
      </c>
      <c r="AA3006" s="45">
        <v>1</v>
      </c>
      <c r="AB3006" s="45">
        <v>1</v>
      </c>
      <c r="AC3006" s="150">
        <v>0</v>
      </c>
      <c r="AD3006" s="150">
        <v>1</v>
      </c>
      <c r="AE3006" s="49">
        <f t="shared" si="147"/>
        <v>0.875</v>
      </c>
      <c r="AF3006" s="44"/>
      <c r="AG3006" s="17">
        <v>0</v>
      </c>
      <c r="AH3006" s="44">
        <v>0.9</v>
      </c>
      <c r="AI3006" s="44">
        <v>0.9</v>
      </c>
      <c r="AJ3006" s="44">
        <v>0.9</v>
      </c>
      <c r="AK3006" s="151">
        <v>5</v>
      </c>
      <c r="AL3006" s="151">
        <v>0.9</v>
      </c>
      <c r="AM3006" s="17">
        <f t="shared" si="148"/>
        <v>5.9</v>
      </c>
      <c r="AN3006" t="s">
        <v>3643</v>
      </c>
      <c r="AO3006" s="18" t="s">
        <v>3630</v>
      </c>
      <c r="AP3006" t="s">
        <v>9828</v>
      </c>
    </row>
    <row r="3007" spans="1:42" customFormat="1" x14ac:dyDescent="0.3">
      <c r="A3007" s="148" t="s">
        <v>8319</v>
      </c>
      <c r="B3007" t="s">
        <v>8320</v>
      </c>
      <c r="C3007" s="148" t="s">
        <v>9410</v>
      </c>
      <c r="D3007" t="s">
        <v>9411</v>
      </c>
      <c r="E3007" s="148" t="s">
        <v>9412</v>
      </c>
      <c r="F3007" t="s">
        <v>9413</v>
      </c>
      <c r="G3007" s="148" t="s">
        <v>9820</v>
      </c>
      <c r="H3007" t="s">
        <v>9821</v>
      </c>
      <c r="K3007" s="155" t="s">
        <v>9829</v>
      </c>
      <c r="L3007" t="s">
        <v>9830</v>
      </c>
      <c r="N3007" s="3"/>
      <c r="O3007" s="3"/>
      <c r="P3007" s="3"/>
      <c r="Q3007" s="3"/>
      <c r="R3007" s="3"/>
      <c r="S3007" s="3"/>
      <c r="U3007" t="e">
        <v>#N/A</v>
      </c>
      <c r="V3007" t="s">
        <v>9831</v>
      </c>
      <c r="W3007" s="45">
        <v>1</v>
      </c>
      <c r="X3007" s="45">
        <v>1</v>
      </c>
      <c r="Y3007" s="45">
        <v>1</v>
      </c>
      <c r="Z3007" s="45">
        <v>1</v>
      </c>
      <c r="AA3007" s="45">
        <v>1</v>
      </c>
      <c r="AB3007" s="45">
        <v>1</v>
      </c>
      <c r="AC3007" s="150">
        <v>0</v>
      </c>
      <c r="AD3007" s="150">
        <v>1</v>
      </c>
      <c r="AE3007" s="49">
        <f t="shared" si="147"/>
        <v>0.875</v>
      </c>
      <c r="AF3007" s="44"/>
      <c r="AG3007" s="17">
        <v>0</v>
      </c>
      <c r="AH3007" s="44">
        <v>0.02</v>
      </c>
      <c r="AI3007" s="44">
        <v>0.02</v>
      </c>
      <c r="AJ3007" s="44">
        <v>0.02</v>
      </c>
      <c r="AK3007" s="151">
        <v>0.02</v>
      </c>
      <c r="AL3007" s="151">
        <v>0.02</v>
      </c>
      <c r="AM3007" s="17">
        <f t="shared" si="148"/>
        <v>0.04</v>
      </c>
      <c r="AN3007" t="s">
        <v>3643</v>
      </c>
      <c r="AO3007" s="18" t="s">
        <v>3630</v>
      </c>
      <c r="AP3007" t="s">
        <v>9832</v>
      </c>
    </row>
    <row r="3008" spans="1:42" customFormat="1" x14ac:dyDescent="0.3">
      <c r="A3008" s="148" t="s">
        <v>8319</v>
      </c>
      <c r="B3008" t="s">
        <v>8320</v>
      </c>
      <c r="C3008" s="148" t="s">
        <v>9410</v>
      </c>
      <c r="D3008" t="s">
        <v>9411</v>
      </c>
      <c r="E3008" s="148" t="s">
        <v>9412</v>
      </c>
      <c r="F3008" t="s">
        <v>9413</v>
      </c>
      <c r="G3008" s="148" t="s">
        <v>9820</v>
      </c>
      <c r="H3008" t="s">
        <v>9821</v>
      </c>
      <c r="K3008" s="155" t="s">
        <v>9833</v>
      </c>
      <c r="L3008" t="s">
        <v>9834</v>
      </c>
      <c r="M3008" t="s">
        <v>9835</v>
      </c>
      <c r="N3008" s="3"/>
      <c r="O3008" s="3">
        <v>80</v>
      </c>
      <c r="P3008" s="3">
        <v>85</v>
      </c>
      <c r="Q3008" s="3">
        <v>90</v>
      </c>
      <c r="R3008" s="3">
        <v>95</v>
      </c>
      <c r="S3008" s="3">
        <v>100</v>
      </c>
      <c r="T3008" t="s">
        <v>3640</v>
      </c>
      <c r="U3008" t="s">
        <v>3630</v>
      </c>
      <c r="V3008" t="s">
        <v>9836</v>
      </c>
      <c r="W3008" s="45">
        <v>1</v>
      </c>
      <c r="X3008" s="45">
        <v>1</v>
      </c>
      <c r="Y3008" s="45">
        <v>1</v>
      </c>
      <c r="Z3008" s="45">
        <v>1</v>
      </c>
      <c r="AA3008" s="45">
        <v>1</v>
      </c>
      <c r="AB3008" s="45">
        <v>1</v>
      </c>
      <c r="AC3008" s="150">
        <v>0</v>
      </c>
      <c r="AD3008" s="150">
        <v>1</v>
      </c>
      <c r="AE3008" s="49">
        <f t="shared" si="147"/>
        <v>0.875</v>
      </c>
      <c r="AF3008" s="44"/>
      <c r="AG3008" s="17">
        <v>0</v>
      </c>
      <c r="AH3008" s="44">
        <v>1</v>
      </c>
      <c r="AI3008" s="44">
        <v>0.35</v>
      </c>
      <c r="AJ3008" s="44">
        <v>0.3</v>
      </c>
      <c r="AK3008" s="151">
        <v>0.35</v>
      </c>
      <c r="AL3008" s="151">
        <v>0.4</v>
      </c>
      <c r="AM3008" s="17">
        <f t="shared" si="148"/>
        <v>0.75</v>
      </c>
      <c r="AN3008" t="s">
        <v>3643</v>
      </c>
      <c r="AO3008" s="18" t="s">
        <v>3630</v>
      </c>
      <c r="AP3008" t="s">
        <v>255</v>
      </c>
    </row>
    <row r="3009" spans="1:42" customFormat="1" x14ac:dyDescent="0.3">
      <c r="A3009" s="148" t="s">
        <v>8319</v>
      </c>
      <c r="B3009" t="s">
        <v>8320</v>
      </c>
      <c r="C3009" s="148" t="s">
        <v>9410</v>
      </c>
      <c r="D3009" t="s">
        <v>9411</v>
      </c>
      <c r="E3009" s="148" t="s">
        <v>9412</v>
      </c>
      <c r="F3009" t="s">
        <v>9413</v>
      </c>
      <c r="G3009" s="148" t="s">
        <v>9479</v>
      </c>
      <c r="H3009" t="s">
        <v>9480</v>
      </c>
      <c r="K3009" s="148" t="s">
        <v>9481</v>
      </c>
      <c r="L3009" t="s">
        <v>9482</v>
      </c>
      <c r="M3009" t="s">
        <v>9837</v>
      </c>
      <c r="N3009" s="3"/>
      <c r="O3009" s="3">
        <v>70</v>
      </c>
      <c r="P3009" s="3">
        <v>80</v>
      </c>
      <c r="Q3009" s="3">
        <v>90</v>
      </c>
      <c r="R3009" s="3">
        <v>100</v>
      </c>
      <c r="S3009" s="3">
        <v>100</v>
      </c>
      <c r="T3009" t="s">
        <v>9484</v>
      </c>
      <c r="U3009" t="e">
        <v>#N/A</v>
      </c>
      <c r="V3009" t="s">
        <v>9838</v>
      </c>
      <c r="W3009" s="45">
        <v>1</v>
      </c>
      <c r="X3009" s="45">
        <v>1</v>
      </c>
      <c r="Y3009" s="45">
        <v>0</v>
      </c>
      <c r="Z3009" s="45">
        <v>1</v>
      </c>
      <c r="AA3009" s="45">
        <v>1</v>
      </c>
      <c r="AB3009" s="45">
        <v>1</v>
      </c>
      <c r="AC3009" s="150">
        <v>1</v>
      </c>
      <c r="AD3009" s="150">
        <v>1</v>
      </c>
      <c r="AE3009" s="49">
        <f t="shared" si="147"/>
        <v>0.875</v>
      </c>
      <c r="AF3009" s="17"/>
      <c r="AG3009" s="17">
        <v>0</v>
      </c>
      <c r="AH3009" s="17">
        <v>0</v>
      </c>
      <c r="AI3009" s="17">
        <v>0</v>
      </c>
      <c r="AJ3009" s="17">
        <v>0</v>
      </c>
      <c r="AK3009" s="153">
        <v>1</v>
      </c>
      <c r="AL3009" s="154">
        <v>1</v>
      </c>
      <c r="AM3009" s="17">
        <f t="shared" si="148"/>
        <v>2</v>
      </c>
      <c r="AN3009" s="44" t="s">
        <v>9491</v>
      </c>
      <c r="AO3009" s="18" t="s">
        <v>9492</v>
      </c>
    </row>
    <row r="3010" spans="1:42" customFormat="1" x14ac:dyDescent="0.3">
      <c r="A3010" s="148" t="s">
        <v>8319</v>
      </c>
      <c r="B3010" t="s">
        <v>8320</v>
      </c>
      <c r="C3010" s="148" t="s">
        <v>9410</v>
      </c>
      <c r="D3010" t="s">
        <v>9411</v>
      </c>
      <c r="E3010" s="148" t="s">
        <v>9412</v>
      </c>
      <c r="F3010" t="s">
        <v>9413</v>
      </c>
      <c r="G3010" s="148" t="s">
        <v>9479</v>
      </c>
      <c r="H3010" t="s">
        <v>9480</v>
      </c>
      <c r="K3010" s="148" t="s">
        <v>9481</v>
      </c>
      <c r="L3010" t="s">
        <v>9482</v>
      </c>
      <c r="N3010" s="3"/>
      <c r="O3010" s="3"/>
      <c r="P3010" s="3"/>
      <c r="Q3010" s="3"/>
      <c r="R3010" s="3"/>
      <c r="S3010" s="3"/>
      <c r="U3010" t="e">
        <v>#N/A</v>
      </c>
      <c r="V3010" t="s">
        <v>9839</v>
      </c>
      <c r="W3010" s="45">
        <v>1</v>
      </c>
      <c r="X3010" s="45">
        <v>1</v>
      </c>
      <c r="Y3010" s="45">
        <v>0</v>
      </c>
      <c r="Z3010" s="45">
        <v>1</v>
      </c>
      <c r="AA3010" s="45">
        <v>1</v>
      </c>
      <c r="AB3010" s="45">
        <v>1</v>
      </c>
      <c r="AC3010" s="150">
        <v>1</v>
      </c>
      <c r="AD3010" s="150">
        <v>1</v>
      </c>
      <c r="AE3010" s="49">
        <f t="shared" si="147"/>
        <v>0.875</v>
      </c>
      <c r="AF3010" s="17"/>
      <c r="AG3010" s="17">
        <v>0</v>
      </c>
      <c r="AH3010" s="17">
        <v>0</v>
      </c>
      <c r="AI3010" s="17">
        <v>0</v>
      </c>
      <c r="AJ3010" s="17">
        <v>0</v>
      </c>
      <c r="AK3010" s="153">
        <v>1</v>
      </c>
      <c r="AL3010" s="154">
        <v>1</v>
      </c>
      <c r="AM3010" s="17">
        <f t="shared" si="148"/>
        <v>2</v>
      </c>
      <c r="AN3010" s="174" t="s">
        <v>9491</v>
      </c>
      <c r="AO3010" s="18" t="s">
        <v>9492</v>
      </c>
      <c r="AP3010" t="s">
        <v>119</v>
      </c>
    </row>
    <row r="3011" spans="1:42" customFormat="1" x14ac:dyDescent="0.3">
      <c r="A3011" s="148" t="s">
        <v>8319</v>
      </c>
      <c r="B3011" t="s">
        <v>8320</v>
      </c>
      <c r="C3011" s="148" t="s">
        <v>9496</v>
      </c>
      <c r="D3011" t="s">
        <v>9497</v>
      </c>
      <c r="E3011" s="148" t="s">
        <v>9498</v>
      </c>
      <c r="F3011" t="s">
        <v>9499</v>
      </c>
      <c r="G3011" s="148" t="s">
        <v>9500</v>
      </c>
      <c r="H3011" t="s">
        <v>9501</v>
      </c>
      <c r="K3011" s="148" t="s">
        <v>9840</v>
      </c>
      <c r="L3011" t="s">
        <v>9841</v>
      </c>
      <c r="M3011" t="s">
        <v>9842</v>
      </c>
      <c r="N3011" s="3">
        <v>0</v>
      </c>
      <c r="O3011" s="3">
        <v>5</v>
      </c>
      <c r="P3011" s="3">
        <v>5</v>
      </c>
      <c r="Q3011" s="3">
        <v>5</v>
      </c>
      <c r="R3011" s="3">
        <v>4</v>
      </c>
      <c r="S3011" s="3"/>
      <c r="T3011" t="s">
        <v>1536</v>
      </c>
      <c r="U3011" t="e">
        <v>#N/A</v>
      </c>
      <c r="V3011" t="s">
        <v>9843</v>
      </c>
      <c r="W3011" s="45">
        <v>1</v>
      </c>
      <c r="X3011" s="45">
        <v>1</v>
      </c>
      <c r="Y3011" s="45">
        <v>1</v>
      </c>
      <c r="Z3011" s="45">
        <v>1</v>
      </c>
      <c r="AA3011" s="45">
        <v>0</v>
      </c>
      <c r="AB3011" s="45">
        <v>1</v>
      </c>
      <c r="AC3011" s="150">
        <v>1</v>
      </c>
      <c r="AD3011" s="150">
        <v>1</v>
      </c>
      <c r="AE3011" s="49">
        <f t="shared" si="147"/>
        <v>0.875</v>
      </c>
      <c r="AF3011" s="44"/>
      <c r="AG3011" s="17">
        <v>0</v>
      </c>
      <c r="AH3011" s="44">
        <v>0</v>
      </c>
      <c r="AI3011" s="44">
        <v>0</v>
      </c>
      <c r="AJ3011" s="44">
        <v>0</v>
      </c>
      <c r="AK3011" s="151">
        <v>0</v>
      </c>
      <c r="AL3011" s="151">
        <v>0</v>
      </c>
      <c r="AM3011" s="17">
        <f t="shared" si="148"/>
        <v>0</v>
      </c>
      <c r="AN3011" s="18" t="s">
        <v>771</v>
      </c>
      <c r="AO3011" s="18" t="s">
        <v>773</v>
      </c>
      <c r="AP3011" t="s">
        <v>119</v>
      </c>
    </row>
    <row r="3012" spans="1:42" customFormat="1" x14ac:dyDescent="0.3">
      <c r="A3012" s="148" t="s">
        <v>8319</v>
      </c>
      <c r="B3012" t="s">
        <v>8320</v>
      </c>
      <c r="C3012" s="148" t="s">
        <v>9496</v>
      </c>
      <c r="D3012" t="s">
        <v>9497</v>
      </c>
      <c r="E3012" s="148" t="s">
        <v>9498</v>
      </c>
      <c r="F3012" t="s">
        <v>9499</v>
      </c>
      <c r="G3012" s="148" t="s">
        <v>9500</v>
      </c>
      <c r="H3012" t="s">
        <v>9501</v>
      </c>
      <c r="K3012" s="148" t="s">
        <v>9844</v>
      </c>
      <c r="L3012" t="s">
        <v>9845</v>
      </c>
      <c r="M3012" t="s">
        <v>9846</v>
      </c>
      <c r="N3012" s="3">
        <v>0</v>
      </c>
      <c r="O3012" s="3">
        <v>2</v>
      </c>
      <c r="P3012" s="3">
        <v>2</v>
      </c>
      <c r="Q3012" s="3">
        <v>2</v>
      </c>
      <c r="R3012" s="3">
        <v>2</v>
      </c>
      <c r="S3012" s="3">
        <v>2</v>
      </c>
      <c r="T3012" t="s">
        <v>1536</v>
      </c>
      <c r="U3012" t="e">
        <v>#N/A</v>
      </c>
      <c r="V3012" t="s">
        <v>9847</v>
      </c>
      <c r="W3012" s="45">
        <v>1</v>
      </c>
      <c r="X3012" s="45">
        <v>1</v>
      </c>
      <c r="Y3012" s="45">
        <v>1</v>
      </c>
      <c r="Z3012" s="45">
        <v>1</v>
      </c>
      <c r="AA3012" s="45">
        <v>1</v>
      </c>
      <c r="AB3012" s="45">
        <v>0</v>
      </c>
      <c r="AC3012" s="150">
        <v>1</v>
      </c>
      <c r="AD3012" s="150">
        <v>1</v>
      </c>
      <c r="AE3012" s="49">
        <f t="shared" si="147"/>
        <v>0.875</v>
      </c>
      <c r="AF3012" s="44"/>
      <c r="AG3012" s="17">
        <v>0</v>
      </c>
      <c r="AH3012" s="44">
        <v>0</v>
      </c>
      <c r="AI3012" s="44">
        <v>0</v>
      </c>
      <c r="AJ3012" s="44">
        <v>2</v>
      </c>
      <c r="AK3012" s="151">
        <v>2</v>
      </c>
      <c r="AL3012" s="151">
        <v>2</v>
      </c>
      <c r="AM3012" s="17">
        <f t="shared" si="148"/>
        <v>4</v>
      </c>
      <c r="AN3012" s="18" t="s">
        <v>771</v>
      </c>
      <c r="AO3012" s="18" t="s">
        <v>773</v>
      </c>
      <c r="AP3012" t="s">
        <v>255</v>
      </c>
    </row>
    <row r="3013" spans="1:42" customFormat="1" x14ac:dyDescent="0.3">
      <c r="A3013" s="148" t="s">
        <v>8319</v>
      </c>
      <c r="B3013" t="s">
        <v>8320</v>
      </c>
      <c r="C3013" s="148" t="s">
        <v>9496</v>
      </c>
      <c r="D3013" t="s">
        <v>9497</v>
      </c>
      <c r="E3013" s="148" t="s">
        <v>9498</v>
      </c>
      <c r="F3013" t="s">
        <v>9499</v>
      </c>
      <c r="G3013" s="148" t="s">
        <v>9848</v>
      </c>
      <c r="H3013" t="s">
        <v>9849</v>
      </c>
      <c r="K3013" s="148" t="s">
        <v>9850</v>
      </c>
      <c r="L3013" t="s">
        <v>9851</v>
      </c>
      <c r="M3013" t="s">
        <v>9852</v>
      </c>
      <c r="N3013" s="3" t="s">
        <v>271</v>
      </c>
      <c r="O3013" s="3" t="s">
        <v>271</v>
      </c>
      <c r="P3013" s="3">
        <v>1</v>
      </c>
      <c r="Q3013" s="3" t="s">
        <v>271</v>
      </c>
      <c r="R3013" s="3" t="s">
        <v>271</v>
      </c>
      <c r="S3013" s="3" t="s">
        <v>271</v>
      </c>
      <c r="T3013" t="s">
        <v>9853</v>
      </c>
      <c r="U3013" t="e">
        <v>#N/A</v>
      </c>
      <c r="V3013" t="s">
        <v>9854</v>
      </c>
      <c r="W3013" s="45">
        <v>1</v>
      </c>
      <c r="X3013" s="45">
        <v>1</v>
      </c>
      <c r="Y3013" s="45">
        <v>1</v>
      </c>
      <c r="Z3013" s="45">
        <v>1</v>
      </c>
      <c r="AA3013" s="45">
        <v>1</v>
      </c>
      <c r="AB3013" s="45">
        <v>1</v>
      </c>
      <c r="AC3013" s="150">
        <v>0</v>
      </c>
      <c r="AD3013" s="150">
        <v>1</v>
      </c>
      <c r="AE3013" s="49">
        <f t="shared" si="147"/>
        <v>0.875</v>
      </c>
      <c r="AF3013" s="44"/>
      <c r="AG3013" s="17">
        <v>0</v>
      </c>
      <c r="AH3013" s="44">
        <v>0.92</v>
      </c>
      <c r="AI3013" s="44">
        <v>0.97</v>
      </c>
      <c r="AJ3013" s="44">
        <v>1.01</v>
      </c>
      <c r="AK3013" s="151">
        <v>1.07</v>
      </c>
      <c r="AL3013" s="151">
        <v>1.1200000000000001</v>
      </c>
      <c r="AM3013" s="17">
        <f t="shared" si="148"/>
        <v>2.1900000000000004</v>
      </c>
      <c r="AN3013" t="s">
        <v>1167</v>
      </c>
      <c r="AO3013" s="18" t="s">
        <v>1170</v>
      </c>
      <c r="AP3013" t="s">
        <v>5261</v>
      </c>
    </row>
    <row r="3014" spans="1:42" customFormat="1" x14ac:dyDescent="0.3">
      <c r="A3014" s="148" t="s">
        <v>8319</v>
      </c>
      <c r="B3014" t="s">
        <v>8320</v>
      </c>
      <c r="C3014" s="148" t="s">
        <v>9496</v>
      </c>
      <c r="D3014" t="s">
        <v>9497</v>
      </c>
      <c r="E3014" s="148" t="s">
        <v>9498</v>
      </c>
      <c r="F3014" t="s">
        <v>9499</v>
      </c>
      <c r="G3014" s="148" t="s">
        <v>9855</v>
      </c>
      <c r="H3014" t="s">
        <v>9856</v>
      </c>
      <c r="K3014" s="155" t="s">
        <v>9857</v>
      </c>
      <c r="L3014" t="s">
        <v>9858</v>
      </c>
      <c r="N3014" s="3"/>
      <c r="O3014" s="3"/>
      <c r="P3014" s="3"/>
      <c r="Q3014" s="3"/>
      <c r="R3014" s="3"/>
      <c r="S3014" s="3"/>
      <c r="U3014" t="e">
        <v>#N/A</v>
      </c>
      <c r="V3014" t="s">
        <v>9859</v>
      </c>
      <c r="W3014" s="45">
        <v>1</v>
      </c>
      <c r="X3014" s="45">
        <v>1</v>
      </c>
      <c r="Y3014" s="45">
        <v>1</v>
      </c>
      <c r="Z3014" s="45">
        <v>1</v>
      </c>
      <c r="AA3014" s="45">
        <v>1</v>
      </c>
      <c r="AB3014" s="45">
        <v>1</v>
      </c>
      <c r="AC3014" s="150">
        <v>0</v>
      </c>
      <c r="AD3014" s="150">
        <v>1</v>
      </c>
      <c r="AE3014" s="49">
        <f t="shared" si="147"/>
        <v>0.875</v>
      </c>
      <c r="AF3014" s="44"/>
      <c r="AG3014" s="17">
        <v>0</v>
      </c>
      <c r="AH3014" s="44">
        <v>0</v>
      </c>
      <c r="AI3014" s="44">
        <v>0.1</v>
      </c>
      <c r="AJ3014" s="44">
        <v>0.2</v>
      </c>
      <c r="AK3014" s="151">
        <v>0.2</v>
      </c>
      <c r="AL3014" s="151">
        <v>0.2</v>
      </c>
      <c r="AM3014" s="17">
        <f t="shared" si="148"/>
        <v>0.4</v>
      </c>
      <c r="AN3014" s="18" t="s">
        <v>771</v>
      </c>
      <c r="AO3014" s="18" t="s">
        <v>773</v>
      </c>
      <c r="AP3014" t="s">
        <v>119</v>
      </c>
    </row>
    <row r="3015" spans="1:42" customFormat="1" x14ac:dyDescent="0.3">
      <c r="A3015" s="148" t="s">
        <v>8319</v>
      </c>
      <c r="B3015" t="s">
        <v>8320</v>
      </c>
      <c r="C3015" s="148" t="s">
        <v>9496</v>
      </c>
      <c r="D3015" t="s">
        <v>9497</v>
      </c>
      <c r="E3015" s="148" t="s">
        <v>9498</v>
      </c>
      <c r="F3015" t="s">
        <v>9499</v>
      </c>
      <c r="G3015" s="148" t="s">
        <v>9538</v>
      </c>
      <c r="H3015" t="s">
        <v>9539</v>
      </c>
      <c r="K3015" s="148" t="s">
        <v>9540</v>
      </c>
      <c r="L3015" t="s">
        <v>9541</v>
      </c>
      <c r="M3015" t="s">
        <v>9860</v>
      </c>
      <c r="N3015" s="3">
        <v>0</v>
      </c>
      <c r="O3015" s="3">
        <v>200</v>
      </c>
      <c r="P3015" s="3">
        <v>1200</v>
      </c>
      <c r="Q3015" s="3">
        <v>2200</v>
      </c>
      <c r="R3015" s="3">
        <v>3200</v>
      </c>
      <c r="S3015" s="3">
        <v>4200</v>
      </c>
      <c r="T3015" t="s">
        <v>9861</v>
      </c>
      <c r="U3015" t="e">
        <v>#N/A</v>
      </c>
      <c r="V3015" t="s">
        <v>9862</v>
      </c>
      <c r="W3015" s="45">
        <v>1</v>
      </c>
      <c r="X3015" s="45">
        <v>1</v>
      </c>
      <c r="Y3015" s="45">
        <v>0</v>
      </c>
      <c r="Z3015" s="45">
        <v>1</v>
      </c>
      <c r="AA3015" s="45">
        <v>1</v>
      </c>
      <c r="AB3015" s="45">
        <v>1</v>
      </c>
      <c r="AC3015" s="150">
        <v>1</v>
      </c>
      <c r="AD3015" s="150">
        <v>1</v>
      </c>
      <c r="AE3015" s="49">
        <f t="shared" si="147"/>
        <v>0.875</v>
      </c>
      <c r="AF3015" s="17"/>
      <c r="AG3015" s="17">
        <v>0</v>
      </c>
      <c r="AH3015" s="17">
        <v>0</v>
      </c>
      <c r="AI3015" s="17">
        <v>0</v>
      </c>
      <c r="AJ3015" s="17">
        <v>0</v>
      </c>
      <c r="AK3015" s="153">
        <v>0</v>
      </c>
      <c r="AL3015" s="154">
        <v>0</v>
      </c>
      <c r="AM3015" s="17">
        <f t="shared" si="148"/>
        <v>0</v>
      </c>
      <c r="AN3015" s="18" t="s">
        <v>771</v>
      </c>
      <c r="AO3015" s="18" t="s">
        <v>773</v>
      </c>
      <c r="AP3015" t="s">
        <v>9863</v>
      </c>
    </row>
    <row r="3016" spans="1:42" customFormat="1" x14ac:dyDescent="0.3">
      <c r="A3016" s="148" t="s">
        <v>8319</v>
      </c>
      <c r="B3016" t="s">
        <v>8320</v>
      </c>
      <c r="C3016" s="148" t="s">
        <v>9344</v>
      </c>
      <c r="D3016" t="s">
        <v>9345</v>
      </c>
      <c r="E3016" s="148" t="s">
        <v>9346</v>
      </c>
      <c r="F3016" t="s">
        <v>9347</v>
      </c>
      <c r="G3016" s="148" t="s">
        <v>9552</v>
      </c>
      <c r="H3016" t="s">
        <v>9553</v>
      </c>
      <c r="K3016" s="148" t="s">
        <v>9554</v>
      </c>
      <c r="L3016" t="s">
        <v>9555</v>
      </c>
      <c r="M3016" t="s">
        <v>9864</v>
      </c>
      <c r="N3016" s="3">
        <v>0</v>
      </c>
      <c r="O3016" s="3">
        <v>0</v>
      </c>
      <c r="P3016" s="3" t="s">
        <v>9865</v>
      </c>
      <c r="Q3016" s="3" t="s">
        <v>9866</v>
      </c>
      <c r="R3016" s="3" t="s">
        <v>9867</v>
      </c>
      <c r="S3016" s="3" t="s">
        <v>9868</v>
      </c>
      <c r="T3016" t="s">
        <v>1977</v>
      </c>
      <c r="U3016" t="s">
        <v>9869</v>
      </c>
      <c r="V3016" t="s">
        <v>9870</v>
      </c>
      <c r="W3016" s="45">
        <v>1</v>
      </c>
      <c r="X3016" s="45">
        <v>1</v>
      </c>
      <c r="Y3016" s="45">
        <v>1</v>
      </c>
      <c r="Z3016" s="45">
        <v>1</v>
      </c>
      <c r="AA3016" s="45">
        <v>1</v>
      </c>
      <c r="AB3016" s="45">
        <v>0</v>
      </c>
      <c r="AC3016" s="150">
        <v>1</v>
      </c>
      <c r="AD3016" s="150">
        <v>0</v>
      </c>
      <c r="AE3016" s="49">
        <f t="shared" si="147"/>
        <v>0.75</v>
      </c>
      <c r="AF3016" s="17"/>
      <c r="AG3016" s="17">
        <v>0</v>
      </c>
      <c r="AH3016" s="17">
        <v>0</v>
      </c>
      <c r="AI3016" s="44">
        <v>0.2</v>
      </c>
      <c r="AJ3016" s="44">
        <v>0.5</v>
      </c>
      <c r="AK3016" s="151">
        <v>0.5</v>
      </c>
      <c r="AL3016" s="151">
        <v>0.5</v>
      </c>
      <c r="AM3016" s="17">
        <f t="shared" si="148"/>
        <v>1</v>
      </c>
      <c r="AN3016" s="44" t="s">
        <v>1977</v>
      </c>
      <c r="AO3016" s="18" t="s">
        <v>9869</v>
      </c>
      <c r="AP3016" t="s">
        <v>723</v>
      </c>
    </row>
    <row r="3017" spans="1:42" customFormat="1" x14ac:dyDescent="0.3">
      <c r="A3017" s="148" t="s">
        <v>8319</v>
      </c>
      <c r="B3017" t="s">
        <v>8320</v>
      </c>
      <c r="C3017" s="148" t="s">
        <v>9344</v>
      </c>
      <c r="D3017" t="s">
        <v>9345</v>
      </c>
      <c r="E3017" s="148" t="s">
        <v>9346</v>
      </c>
      <c r="F3017" t="s">
        <v>9347</v>
      </c>
      <c r="G3017" s="148" t="s">
        <v>9552</v>
      </c>
      <c r="H3017" t="s">
        <v>9553</v>
      </c>
      <c r="K3017" s="148" t="s">
        <v>9871</v>
      </c>
      <c r="L3017" t="s">
        <v>9872</v>
      </c>
      <c r="M3017" t="s">
        <v>9873</v>
      </c>
      <c r="N3017" s="3" t="s">
        <v>271</v>
      </c>
      <c r="O3017" s="3">
        <v>20</v>
      </c>
      <c r="P3017" s="3">
        <v>40</v>
      </c>
      <c r="Q3017" s="3">
        <v>60</v>
      </c>
      <c r="R3017" s="3">
        <v>80</v>
      </c>
      <c r="S3017" s="3">
        <v>100</v>
      </c>
      <c r="T3017" t="s">
        <v>723</v>
      </c>
      <c r="U3017" t="s">
        <v>729</v>
      </c>
      <c r="V3017" t="s">
        <v>9874</v>
      </c>
      <c r="W3017" s="45">
        <v>1</v>
      </c>
      <c r="X3017" s="45">
        <v>1</v>
      </c>
      <c r="Y3017" s="45">
        <v>0</v>
      </c>
      <c r="Z3017" s="45">
        <v>1</v>
      </c>
      <c r="AA3017" s="45">
        <v>1</v>
      </c>
      <c r="AB3017" s="45">
        <v>0</v>
      </c>
      <c r="AC3017" s="150">
        <v>1</v>
      </c>
      <c r="AD3017" s="150">
        <v>1</v>
      </c>
      <c r="AE3017" s="49">
        <f t="shared" si="147"/>
        <v>0.75</v>
      </c>
      <c r="AF3017" s="17"/>
      <c r="AG3017" s="17">
        <v>0</v>
      </c>
      <c r="AH3017" s="17">
        <v>0</v>
      </c>
      <c r="AI3017" s="44">
        <v>0.05</v>
      </c>
      <c r="AJ3017" s="44">
        <v>0.05</v>
      </c>
      <c r="AK3017" s="151">
        <v>0.2</v>
      </c>
      <c r="AL3017" s="151">
        <v>0.2</v>
      </c>
      <c r="AM3017" s="17">
        <f t="shared" si="148"/>
        <v>0.4</v>
      </c>
      <c r="AN3017" t="s">
        <v>723</v>
      </c>
      <c r="AO3017" s="18" t="s">
        <v>729</v>
      </c>
      <c r="AP3017" t="s">
        <v>255</v>
      </c>
    </row>
    <row r="3018" spans="1:42" customFormat="1" x14ac:dyDescent="0.3">
      <c r="A3018" s="148" t="s">
        <v>8319</v>
      </c>
      <c r="B3018" t="s">
        <v>8320</v>
      </c>
      <c r="C3018" s="148" t="s">
        <v>9344</v>
      </c>
      <c r="D3018" t="s">
        <v>9345</v>
      </c>
      <c r="E3018" s="148" t="s">
        <v>9346</v>
      </c>
      <c r="F3018" t="s">
        <v>9347</v>
      </c>
      <c r="G3018" s="148" t="s">
        <v>9552</v>
      </c>
      <c r="H3018" t="s">
        <v>9553</v>
      </c>
      <c r="K3018" s="148" t="s">
        <v>9871</v>
      </c>
      <c r="L3018" t="s">
        <v>9872</v>
      </c>
      <c r="M3018" t="s">
        <v>9875</v>
      </c>
      <c r="N3018" s="3">
        <v>16</v>
      </c>
      <c r="O3018" s="3">
        <v>68</v>
      </c>
      <c r="P3018" s="3">
        <v>70</v>
      </c>
      <c r="Q3018" s="3">
        <v>73</v>
      </c>
      <c r="R3018" s="3">
        <v>76</v>
      </c>
      <c r="S3018" s="3">
        <v>78</v>
      </c>
      <c r="T3018" t="s">
        <v>9876</v>
      </c>
      <c r="U3018" t="e">
        <v>#N/A</v>
      </c>
      <c r="V3018" t="s">
        <v>9877</v>
      </c>
      <c r="W3018" s="45">
        <v>1</v>
      </c>
      <c r="X3018" s="45">
        <v>1</v>
      </c>
      <c r="Y3018" s="45">
        <v>1</v>
      </c>
      <c r="Z3018" s="45">
        <v>1</v>
      </c>
      <c r="AA3018" s="45">
        <v>1</v>
      </c>
      <c r="AB3018" s="45">
        <v>0</v>
      </c>
      <c r="AC3018" s="150">
        <v>1</v>
      </c>
      <c r="AD3018" s="150">
        <v>0</v>
      </c>
      <c r="AE3018" s="49">
        <f t="shared" si="147"/>
        <v>0.75</v>
      </c>
      <c r="AF3018" s="17"/>
      <c r="AG3018" s="17">
        <v>0</v>
      </c>
      <c r="AH3018" s="17">
        <v>0</v>
      </c>
      <c r="AI3018" s="44">
        <v>3.7499999999999999E-2</v>
      </c>
      <c r="AJ3018" s="44">
        <v>3.7499999999999999E-2</v>
      </c>
      <c r="AK3018" s="151">
        <v>0.5</v>
      </c>
      <c r="AL3018" s="151">
        <v>0.5</v>
      </c>
      <c r="AM3018" s="17">
        <f t="shared" si="148"/>
        <v>1</v>
      </c>
      <c r="AN3018" t="s">
        <v>723</v>
      </c>
      <c r="AO3018" s="18" t="s">
        <v>729</v>
      </c>
      <c r="AP3018" t="s">
        <v>2043</v>
      </c>
    </row>
    <row r="3019" spans="1:42" customFormat="1" x14ac:dyDescent="0.3">
      <c r="A3019" s="148" t="s">
        <v>8319</v>
      </c>
      <c r="B3019" t="s">
        <v>8320</v>
      </c>
      <c r="C3019" s="148" t="s">
        <v>9344</v>
      </c>
      <c r="D3019" t="s">
        <v>9345</v>
      </c>
      <c r="E3019" s="148" t="s">
        <v>9346</v>
      </c>
      <c r="F3019" t="s">
        <v>9347</v>
      </c>
      <c r="G3019" s="148" t="s">
        <v>9552</v>
      </c>
      <c r="H3019" t="s">
        <v>9553</v>
      </c>
      <c r="K3019" s="148" t="s">
        <v>9871</v>
      </c>
      <c r="L3019" t="s">
        <v>9872</v>
      </c>
      <c r="M3019" t="s">
        <v>9875</v>
      </c>
      <c r="N3019" s="3">
        <v>16</v>
      </c>
      <c r="O3019" s="3">
        <v>30</v>
      </c>
      <c r="P3019" s="3">
        <v>36</v>
      </c>
      <c r="Q3019" s="3">
        <v>30</v>
      </c>
      <c r="R3019" s="3">
        <v>30</v>
      </c>
      <c r="S3019" s="3">
        <v>20</v>
      </c>
      <c r="T3019" t="s">
        <v>1536</v>
      </c>
      <c r="U3019" t="e">
        <v>#N/A</v>
      </c>
      <c r="V3019" t="s">
        <v>9878</v>
      </c>
      <c r="W3019" s="45">
        <v>1</v>
      </c>
      <c r="X3019" s="45">
        <v>1</v>
      </c>
      <c r="Y3019" s="45">
        <v>1</v>
      </c>
      <c r="Z3019" s="45">
        <v>1</v>
      </c>
      <c r="AA3019" s="45">
        <v>1</v>
      </c>
      <c r="AB3019" s="45">
        <v>0</v>
      </c>
      <c r="AC3019" s="150">
        <v>1</v>
      </c>
      <c r="AD3019" s="150">
        <v>0</v>
      </c>
      <c r="AE3019" s="49">
        <f t="shared" si="147"/>
        <v>0.75</v>
      </c>
      <c r="AF3019" s="44"/>
      <c r="AG3019" s="17">
        <v>0</v>
      </c>
      <c r="AH3019" s="44">
        <v>0.1</v>
      </c>
      <c r="AI3019" s="44">
        <v>0.2</v>
      </c>
      <c r="AJ3019" s="44">
        <v>0.2</v>
      </c>
      <c r="AK3019" s="151">
        <v>0.2</v>
      </c>
      <c r="AL3019" s="151">
        <v>0.2</v>
      </c>
      <c r="AM3019" s="17">
        <f t="shared" si="148"/>
        <v>0.4</v>
      </c>
      <c r="AN3019" s="18" t="s">
        <v>771</v>
      </c>
      <c r="AO3019" s="18" t="s">
        <v>773</v>
      </c>
      <c r="AP3019" t="s">
        <v>9879</v>
      </c>
    </row>
    <row r="3020" spans="1:42" customFormat="1" x14ac:dyDescent="0.3">
      <c r="A3020" s="148" t="s">
        <v>8319</v>
      </c>
      <c r="B3020" t="s">
        <v>8320</v>
      </c>
      <c r="C3020" s="148" t="s">
        <v>9344</v>
      </c>
      <c r="D3020" t="s">
        <v>9345</v>
      </c>
      <c r="E3020" s="148" t="s">
        <v>9346</v>
      </c>
      <c r="F3020" t="s">
        <v>9347</v>
      </c>
      <c r="G3020" t="s">
        <v>9348</v>
      </c>
      <c r="H3020" t="s">
        <v>9349</v>
      </c>
      <c r="I3020" s="148" t="s">
        <v>9350</v>
      </c>
      <c r="J3020" t="s">
        <v>9351</v>
      </c>
      <c r="K3020" s="148" t="s">
        <v>9352</v>
      </c>
      <c r="L3020" t="s">
        <v>9353</v>
      </c>
      <c r="M3020" t="s">
        <v>9880</v>
      </c>
      <c r="N3020" s="3">
        <v>2</v>
      </c>
      <c r="O3020" s="3">
        <v>10</v>
      </c>
      <c r="P3020" s="3">
        <v>11</v>
      </c>
      <c r="Q3020" s="3">
        <v>13</v>
      </c>
      <c r="R3020" s="3">
        <v>15</v>
      </c>
      <c r="S3020" s="3">
        <v>17</v>
      </c>
      <c r="T3020" t="s">
        <v>9881</v>
      </c>
      <c r="U3020" t="e">
        <v>#N/A</v>
      </c>
      <c r="V3020" t="s">
        <v>9882</v>
      </c>
      <c r="W3020" s="45">
        <v>1</v>
      </c>
      <c r="X3020" s="45">
        <v>1</v>
      </c>
      <c r="Y3020" s="45">
        <v>1</v>
      </c>
      <c r="Z3020" s="45">
        <v>1</v>
      </c>
      <c r="AA3020" s="45">
        <v>1</v>
      </c>
      <c r="AB3020" s="45">
        <v>0</v>
      </c>
      <c r="AC3020" s="150">
        <v>1</v>
      </c>
      <c r="AD3020" s="150">
        <v>0</v>
      </c>
      <c r="AE3020" s="49">
        <f t="shared" si="147"/>
        <v>0.75</v>
      </c>
      <c r="AF3020" s="44"/>
      <c r="AG3020" s="17">
        <v>0</v>
      </c>
      <c r="AH3020" s="44">
        <v>2</v>
      </c>
      <c r="AI3020" s="44">
        <v>2</v>
      </c>
      <c r="AJ3020" s="44">
        <v>2</v>
      </c>
      <c r="AK3020" s="151">
        <v>2</v>
      </c>
      <c r="AL3020" s="151">
        <v>2</v>
      </c>
      <c r="AM3020" s="17">
        <f t="shared" si="148"/>
        <v>4</v>
      </c>
      <c r="AN3020" s="18" t="s">
        <v>255</v>
      </c>
      <c r="AO3020" s="18" t="s">
        <v>1045</v>
      </c>
      <c r="AP3020" t="s">
        <v>3643</v>
      </c>
    </row>
    <row r="3021" spans="1:42" customFormat="1" x14ac:dyDescent="0.3">
      <c r="A3021" s="148" t="s">
        <v>8319</v>
      </c>
      <c r="B3021" t="s">
        <v>8320</v>
      </c>
      <c r="C3021" s="148" t="s">
        <v>9344</v>
      </c>
      <c r="D3021" t="s">
        <v>9345</v>
      </c>
      <c r="E3021" s="148" t="s">
        <v>9346</v>
      </c>
      <c r="F3021" t="s">
        <v>9347</v>
      </c>
      <c r="G3021" t="s">
        <v>9348</v>
      </c>
      <c r="H3021" t="s">
        <v>9349</v>
      </c>
      <c r="I3021" s="148" t="s">
        <v>9883</v>
      </c>
      <c r="J3021" t="s">
        <v>9884</v>
      </c>
      <c r="K3021" s="148" t="s">
        <v>9885</v>
      </c>
      <c r="L3021" t="s">
        <v>9886</v>
      </c>
      <c r="M3021" t="s">
        <v>9887</v>
      </c>
      <c r="N3021" s="3" t="s">
        <v>119</v>
      </c>
      <c r="O3021" s="3">
        <v>40</v>
      </c>
      <c r="P3021" s="3">
        <v>45</v>
      </c>
      <c r="Q3021" s="3">
        <v>50</v>
      </c>
      <c r="R3021" s="3">
        <v>55</v>
      </c>
      <c r="S3021" s="3">
        <v>60</v>
      </c>
      <c r="T3021" t="s">
        <v>9888</v>
      </c>
      <c r="U3021" t="e">
        <v>#N/A</v>
      </c>
      <c r="V3021" t="s">
        <v>9889</v>
      </c>
      <c r="W3021" s="45">
        <v>1</v>
      </c>
      <c r="X3021" s="45">
        <v>1</v>
      </c>
      <c r="Y3021" s="45">
        <v>1</v>
      </c>
      <c r="Z3021" s="45">
        <v>1</v>
      </c>
      <c r="AA3021" s="45">
        <v>1</v>
      </c>
      <c r="AB3021" s="45">
        <v>0</v>
      </c>
      <c r="AC3021" s="150">
        <v>1</v>
      </c>
      <c r="AD3021" s="150">
        <v>0</v>
      </c>
      <c r="AE3021" s="49">
        <f t="shared" si="147"/>
        <v>0.75</v>
      </c>
      <c r="AF3021" s="17"/>
      <c r="AG3021" s="17">
        <v>0</v>
      </c>
      <c r="AH3021" s="17">
        <v>0</v>
      </c>
      <c r="AI3021" s="17">
        <v>0</v>
      </c>
      <c r="AJ3021" s="17">
        <v>0</v>
      </c>
      <c r="AK3021" s="153">
        <v>0.4</v>
      </c>
      <c r="AL3021" s="154">
        <v>0.4</v>
      </c>
      <c r="AM3021" s="17">
        <f t="shared" si="148"/>
        <v>0.8</v>
      </c>
      <c r="AN3021" s="18" t="s">
        <v>92</v>
      </c>
      <c r="AO3021" s="18" t="s">
        <v>118</v>
      </c>
      <c r="AP3021" t="s">
        <v>2043</v>
      </c>
    </row>
    <row r="3022" spans="1:42" customFormat="1" x14ac:dyDescent="0.3">
      <c r="A3022" s="148" t="s">
        <v>8319</v>
      </c>
      <c r="B3022" t="s">
        <v>8320</v>
      </c>
      <c r="C3022" s="148" t="s">
        <v>9344</v>
      </c>
      <c r="D3022" t="s">
        <v>9345</v>
      </c>
      <c r="E3022" s="148" t="s">
        <v>9346</v>
      </c>
      <c r="F3022" t="s">
        <v>9347</v>
      </c>
      <c r="G3022" s="148" t="s">
        <v>9890</v>
      </c>
      <c r="H3022" t="s">
        <v>9891</v>
      </c>
      <c r="K3022" s="148" t="s">
        <v>9892</v>
      </c>
      <c r="L3022" t="s">
        <v>9893</v>
      </c>
      <c r="M3022" t="s">
        <v>9894</v>
      </c>
      <c r="N3022" s="3">
        <v>96</v>
      </c>
      <c r="O3022" s="3">
        <v>96</v>
      </c>
      <c r="P3022" s="3">
        <v>97</v>
      </c>
      <c r="Q3022" s="3">
        <v>97</v>
      </c>
      <c r="R3022" s="3">
        <v>98</v>
      </c>
      <c r="S3022" s="3">
        <v>98</v>
      </c>
      <c r="T3022" t="s">
        <v>3643</v>
      </c>
      <c r="U3022" t="s">
        <v>3630</v>
      </c>
      <c r="V3022" t="s">
        <v>9895</v>
      </c>
      <c r="W3022" s="45">
        <v>1</v>
      </c>
      <c r="X3022" s="45">
        <v>1</v>
      </c>
      <c r="Y3022" s="45">
        <v>1</v>
      </c>
      <c r="Z3022" s="45">
        <v>1</v>
      </c>
      <c r="AA3022" s="45">
        <v>1</v>
      </c>
      <c r="AB3022" s="45">
        <v>0</v>
      </c>
      <c r="AC3022" s="150">
        <v>1</v>
      </c>
      <c r="AD3022" s="150">
        <v>0</v>
      </c>
      <c r="AE3022" s="49">
        <f t="shared" si="147"/>
        <v>0.75</v>
      </c>
      <c r="AF3022" s="44"/>
      <c r="AG3022" s="17">
        <v>0</v>
      </c>
      <c r="AH3022" s="44">
        <v>2</v>
      </c>
      <c r="AI3022" s="44">
        <v>2</v>
      </c>
      <c r="AJ3022" s="44">
        <v>2</v>
      </c>
      <c r="AK3022" s="151">
        <v>2</v>
      </c>
      <c r="AL3022" s="151">
        <v>2</v>
      </c>
      <c r="AM3022" s="17">
        <f t="shared" si="148"/>
        <v>4</v>
      </c>
      <c r="AN3022" s="18" t="s">
        <v>255</v>
      </c>
      <c r="AO3022" s="18" t="s">
        <v>1045</v>
      </c>
      <c r="AP3022" t="s">
        <v>9896</v>
      </c>
    </row>
    <row r="3023" spans="1:42" customFormat="1" x14ac:dyDescent="0.3">
      <c r="A3023" s="148" t="s">
        <v>8319</v>
      </c>
      <c r="B3023" t="s">
        <v>8320</v>
      </c>
      <c r="C3023" s="148" t="s">
        <v>9344</v>
      </c>
      <c r="D3023" t="s">
        <v>9345</v>
      </c>
      <c r="E3023" s="148" t="s">
        <v>9346</v>
      </c>
      <c r="F3023" t="s">
        <v>9347</v>
      </c>
      <c r="G3023" s="148" t="s">
        <v>9897</v>
      </c>
      <c r="H3023" t="s">
        <v>9898</v>
      </c>
      <c r="K3023" s="148" t="s">
        <v>9899</v>
      </c>
      <c r="L3023" t="s">
        <v>9900</v>
      </c>
      <c r="M3023" t="s">
        <v>9901</v>
      </c>
      <c r="N3023" s="3">
        <v>10</v>
      </c>
      <c r="O3023" s="3">
        <v>15</v>
      </c>
      <c r="P3023" s="3">
        <v>25</v>
      </c>
      <c r="Q3023" s="3">
        <v>35</v>
      </c>
      <c r="R3023" s="3">
        <v>45</v>
      </c>
      <c r="S3023" s="3">
        <v>50</v>
      </c>
      <c r="T3023" t="s">
        <v>771</v>
      </c>
      <c r="U3023" t="s">
        <v>773</v>
      </c>
      <c r="V3023" t="s">
        <v>9902</v>
      </c>
      <c r="W3023" s="45">
        <v>1</v>
      </c>
      <c r="X3023" s="45">
        <v>1</v>
      </c>
      <c r="Y3023" s="45">
        <v>1</v>
      </c>
      <c r="Z3023" s="45">
        <v>1</v>
      </c>
      <c r="AA3023" s="45">
        <v>1</v>
      </c>
      <c r="AB3023" s="45">
        <v>0</v>
      </c>
      <c r="AC3023" s="150">
        <v>1</v>
      </c>
      <c r="AD3023" s="150">
        <v>0</v>
      </c>
      <c r="AE3023" s="49">
        <f t="shared" si="147"/>
        <v>0.75</v>
      </c>
      <c r="AF3023" s="44"/>
      <c r="AG3023" s="17">
        <v>0</v>
      </c>
      <c r="AH3023" s="44">
        <v>0.5</v>
      </c>
      <c r="AI3023" s="44">
        <v>0.5</v>
      </c>
      <c r="AJ3023" s="44">
        <v>0.5</v>
      </c>
      <c r="AK3023" s="151">
        <v>0.5</v>
      </c>
      <c r="AL3023" s="151">
        <v>0.5</v>
      </c>
      <c r="AM3023" s="17">
        <f t="shared" si="148"/>
        <v>1</v>
      </c>
      <c r="AN3023" s="18" t="s">
        <v>255</v>
      </c>
      <c r="AO3023" s="18" t="s">
        <v>1045</v>
      </c>
      <c r="AP3023" t="s">
        <v>771</v>
      </c>
    </row>
    <row r="3024" spans="1:42" customFormat="1" x14ac:dyDescent="0.3">
      <c r="A3024" s="148" t="s">
        <v>8319</v>
      </c>
      <c r="B3024" t="s">
        <v>8320</v>
      </c>
      <c r="C3024" s="148" t="s">
        <v>9344</v>
      </c>
      <c r="D3024" t="s">
        <v>9345</v>
      </c>
      <c r="E3024" s="148" t="s">
        <v>9346</v>
      </c>
      <c r="F3024" t="s">
        <v>9347</v>
      </c>
      <c r="G3024" s="148" t="s">
        <v>9558</v>
      </c>
      <c r="H3024" t="s">
        <v>9559</v>
      </c>
      <c r="K3024" s="148" t="s">
        <v>9560</v>
      </c>
      <c r="L3024" t="s">
        <v>9561</v>
      </c>
      <c r="M3024" t="s">
        <v>9903</v>
      </c>
      <c r="N3024" s="3" t="s">
        <v>271</v>
      </c>
      <c r="O3024" s="3" t="s">
        <v>271</v>
      </c>
      <c r="P3024" s="3">
        <v>375</v>
      </c>
      <c r="Q3024" s="3">
        <v>625</v>
      </c>
      <c r="R3024" s="3">
        <v>675</v>
      </c>
      <c r="S3024" s="3">
        <v>750</v>
      </c>
      <c r="T3024" t="s">
        <v>2432</v>
      </c>
      <c r="U3024" t="s">
        <v>729</v>
      </c>
      <c r="V3024" t="s">
        <v>9904</v>
      </c>
      <c r="W3024" s="45">
        <v>1</v>
      </c>
      <c r="X3024" s="45">
        <v>1</v>
      </c>
      <c r="Y3024" s="45">
        <v>0</v>
      </c>
      <c r="Z3024" s="45">
        <v>1</v>
      </c>
      <c r="AA3024" s="45">
        <v>1</v>
      </c>
      <c r="AB3024" s="45">
        <v>0</v>
      </c>
      <c r="AC3024" s="150">
        <v>1</v>
      </c>
      <c r="AD3024" s="150">
        <v>1</v>
      </c>
      <c r="AE3024" s="49">
        <f t="shared" si="147"/>
        <v>0.75</v>
      </c>
      <c r="AF3024" s="17"/>
      <c r="AG3024" s="17"/>
      <c r="AH3024" s="17">
        <v>0</v>
      </c>
      <c r="AI3024" s="44">
        <v>7.1120000000000001</v>
      </c>
      <c r="AJ3024" s="44">
        <v>7.1120000000000001</v>
      </c>
      <c r="AK3024" s="151">
        <v>7.1120000000000001</v>
      </c>
      <c r="AL3024" s="151">
        <v>7.1120000000000001</v>
      </c>
      <c r="AM3024" s="17">
        <f t="shared" si="148"/>
        <v>14.224</v>
      </c>
      <c r="AN3024" t="s">
        <v>723</v>
      </c>
      <c r="AO3024" s="18" t="s">
        <v>729</v>
      </c>
      <c r="AP3024" t="s">
        <v>9905</v>
      </c>
    </row>
    <row r="3025" spans="1:42" customFormat="1" x14ac:dyDescent="0.3">
      <c r="A3025" s="148" t="s">
        <v>8319</v>
      </c>
      <c r="B3025" t="s">
        <v>8320</v>
      </c>
      <c r="C3025" s="148" t="s">
        <v>9344</v>
      </c>
      <c r="D3025" t="s">
        <v>9345</v>
      </c>
      <c r="E3025" s="148" t="s">
        <v>9346</v>
      </c>
      <c r="F3025" t="s">
        <v>9347</v>
      </c>
      <c r="G3025" s="148" t="s">
        <v>9558</v>
      </c>
      <c r="H3025" t="s">
        <v>9559</v>
      </c>
      <c r="K3025" s="148" t="s">
        <v>9560</v>
      </c>
      <c r="L3025" t="s">
        <v>9561</v>
      </c>
      <c r="M3025" t="s">
        <v>9906</v>
      </c>
      <c r="N3025" s="3" t="s">
        <v>271</v>
      </c>
      <c r="O3025" s="3">
        <v>500</v>
      </c>
      <c r="P3025" s="3">
        <v>500</v>
      </c>
      <c r="Q3025" s="3">
        <v>500</v>
      </c>
      <c r="R3025" s="3">
        <v>500</v>
      </c>
      <c r="S3025" s="3">
        <v>500</v>
      </c>
      <c r="T3025" t="s">
        <v>2432</v>
      </c>
      <c r="U3025" t="s">
        <v>729</v>
      </c>
      <c r="V3025" t="s">
        <v>9907</v>
      </c>
      <c r="W3025" s="45">
        <v>1</v>
      </c>
      <c r="X3025" s="45">
        <v>1</v>
      </c>
      <c r="Y3025" s="45">
        <v>0</v>
      </c>
      <c r="Z3025" s="45">
        <v>0</v>
      </c>
      <c r="AA3025" s="45">
        <v>1</v>
      </c>
      <c r="AB3025" s="45">
        <v>1</v>
      </c>
      <c r="AC3025" s="150">
        <v>1</v>
      </c>
      <c r="AD3025" s="150">
        <v>1</v>
      </c>
      <c r="AE3025" s="49">
        <f t="shared" si="147"/>
        <v>0.75</v>
      </c>
      <c r="AF3025" s="17"/>
      <c r="AG3025" s="17"/>
      <c r="AH3025" s="17">
        <v>0</v>
      </c>
      <c r="AI3025" s="44">
        <v>3</v>
      </c>
      <c r="AJ3025" s="44">
        <v>8</v>
      </c>
      <c r="AK3025" s="151">
        <v>20</v>
      </c>
      <c r="AL3025" s="151">
        <v>20</v>
      </c>
      <c r="AM3025" s="17">
        <f t="shared" si="148"/>
        <v>40</v>
      </c>
      <c r="AN3025" s="44" t="s">
        <v>723</v>
      </c>
      <c r="AO3025" s="18" t="s">
        <v>729</v>
      </c>
      <c r="AP3025" t="s">
        <v>119</v>
      </c>
    </row>
    <row r="3026" spans="1:42" customFormat="1" x14ac:dyDescent="0.3">
      <c r="A3026" s="148" t="s">
        <v>8319</v>
      </c>
      <c r="B3026" t="s">
        <v>8320</v>
      </c>
      <c r="C3026" s="148" t="s">
        <v>9344</v>
      </c>
      <c r="D3026" t="s">
        <v>9345</v>
      </c>
      <c r="E3026" s="148" t="s">
        <v>9346</v>
      </c>
      <c r="F3026" t="s">
        <v>9347</v>
      </c>
      <c r="G3026" s="148" t="s">
        <v>9558</v>
      </c>
      <c r="H3026" t="s">
        <v>9559</v>
      </c>
      <c r="K3026" s="148" t="s">
        <v>9560</v>
      </c>
      <c r="L3026" t="s">
        <v>9561</v>
      </c>
      <c r="M3026" t="s">
        <v>9908</v>
      </c>
      <c r="N3026" s="3" t="s">
        <v>271</v>
      </c>
      <c r="O3026" s="3">
        <v>500</v>
      </c>
      <c r="P3026" s="3">
        <v>500</v>
      </c>
      <c r="Q3026" s="3">
        <v>500</v>
      </c>
      <c r="R3026" s="3">
        <v>500</v>
      </c>
      <c r="S3026" s="3">
        <v>500</v>
      </c>
      <c r="T3026" t="s">
        <v>2432</v>
      </c>
      <c r="U3026" t="s">
        <v>729</v>
      </c>
      <c r="V3026" t="s">
        <v>9909</v>
      </c>
      <c r="W3026" s="45">
        <v>1</v>
      </c>
      <c r="X3026" s="45">
        <v>1</v>
      </c>
      <c r="Y3026" s="45">
        <v>0</v>
      </c>
      <c r="Z3026" s="45">
        <v>1</v>
      </c>
      <c r="AA3026" s="45">
        <v>1</v>
      </c>
      <c r="AB3026" s="45">
        <v>1</v>
      </c>
      <c r="AC3026" s="150">
        <v>0</v>
      </c>
      <c r="AD3026" s="150">
        <v>1</v>
      </c>
      <c r="AE3026" s="49">
        <f t="shared" si="147"/>
        <v>0.75</v>
      </c>
      <c r="AF3026" s="44"/>
      <c r="AG3026" s="17"/>
      <c r="AH3026" s="44">
        <v>1.9</v>
      </c>
      <c r="AI3026" s="44">
        <v>1.9</v>
      </c>
      <c r="AJ3026" s="44">
        <v>1.9</v>
      </c>
      <c r="AK3026" s="151">
        <v>40</v>
      </c>
      <c r="AL3026" s="151">
        <v>60</v>
      </c>
      <c r="AM3026" s="17">
        <f t="shared" si="148"/>
        <v>100</v>
      </c>
      <c r="AN3026" s="44" t="s">
        <v>723</v>
      </c>
      <c r="AO3026" s="18" t="s">
        <v>729</v>
      </c>
      <c r="AP3026" t="s">
        <v>119</v>
      </c>
    </row>
    <row r="3027" spans="1:42" customFormat="1" x14ac:dyDescent="0.3">
      <c r="A3027" s="148" t="s">
        <v>8319</v>
      </c>
      <c r="B3027" t="s">
        <v>8320</v>
      </c>
      <c r="C3027" s="148" t="s">
        <v>9344</v>
      </c>
      <c r="D3027" t="s">
        <v>9345</v>
      </c>
      <c r="E3027" s="148" t="s">
        <v>9346</v>
      </c>
      <c r="F3027" t="s">
        <v>9347</v>
      </c>
      <c r="G3027" s="148" t="s">
        <v>9558</v>
      </c>
      <c r="H3027" t="s">
        <v>9559</v>
      </c>
      <c r="K3027" s="148" t="s">
        <v>9560</v>
      </c>
      <c r="L3027" t="s">
        <v>9561</v>
      </c>
      <c r="M3027" t="s">
        <v>9910</v>
      </c>
      <c r="N3027" s="3" t="s">
        <v>271</v>
      </c>
      <c r="O3027" s="3"/>
      <c r="P3027" s="3">
        <v>630</v>
      </c>
      <c r="Q3027" s="3">
        <v>618</v>
      </c>
      <c r="R3027" s="3">
        <v>545</v>
      </c>
      <c r="S3027" s="3">
        <v>417</v>
      </c>
      <c r="T3027" t="s">
        <v>1977</v>
      </c>
      <c r="U3027" t="s">
        <v>9869</v>
      </c>
      <c r="V3027" t="s">
        <v>9911</v>
      </c>
      <c r="W3027" s="45">
        <v>1</v>
      </c>
      <c r="X3027" s="45">
        <v>0</v>
      </c>
      <c r="Y3027" s="45">
        <v>1</v>
      </c>
      <c r="Z3027" s="45">
        <v>0</v>
      </c>
      <c r="AA3027" s="45">
        <v>1</v>
      </c>
      <c r="AB3027" s="45">
        <v>1</v>
      </c>
      <c r="AC3027" s="150">
        <v>1</v>
      </c>
      <c r="AD3027" s="150">
        <v>1</v>
      </c>
      <c r="AE3027" s="49">
        <f t="shared" si="147"/>
        <v>0.75</v>
      </c>
      <c r="AF3027" s="17"/>
      <c r="AG3027" s="17"/>
      <c r="AH3027" s="17">
        <v>0</v>
      </c>
      <c r="AI3027" s="44">
        <v>17.5</v>
      </c>
      <c r="AJ3027" s="44">
        <v>17.059999999999999</v>
      </c>
      <c r="AK3027" s="151">
        <v>5</v>
      </c>
      <c r="AL3027" s="151">
        <v>20</v>
      </c>
      <c r="AM3027" s="17">
        <f t="shared" si="148"/>
        <v>25</v>
      </c>
      <c r="AN3027" s="44" t="s">
        <v>723</v>
      </c>
      <c r="AO3027" s="18" t="s">
        <v>729</v>
      </c>
      <c r="AP3027" t="s">
        <v>119</v>
      </c>
    </row>
    <row r="3028" spans="1:42" customFormat="1" x14ac:dyDescent="0.3">
      <c r="A3028" s="148" t="s">
        <v>8319</v>
      </c>
      <c r="B3028" t="s">
        <v>8320</v>
      </c>
      <c r="C3028" s="148" t="s">
        <v>9344</v>
      </c>
      <c r="D3028" t="s">
        <v>9345</v>
      </c>
      <c r="E3028" s="148" t="s">
        <v>9346</v>
      </c>
      <c r="F3028" t="s">
        <v>9347</v>
      </c>
      <c r="G3028" s="148" t="s">
        <v>9558</v>
      </c>
      <c r="H3028" t="s">
        <v>9559</v>
      </c>
      <c r="K3028" s="148" t="s">
        <v>9560</v>
      </c>
      <c r="L3028" t="s">
        <v>9561</v>
      </c>
      <c r="M3028" t="s">
        <v>9912</v>
      </c>
      <c r="N3028" s="3" t="s">
        <v>271</v>
      </c>
      <c r="O3028" s="3">
        <v>1000000</v>
      </c>
      <c r="P3028" s="3">
        <v>1949000</v>
      </c>
      <c r="Q3028" s="3">
        <v>1949000</v>
      </c>
      <c r="R3028" s="3">
        <v>1949000</v>
      </c>
      <c r="S3028" s="3">
        <v>1949000</v>
      </c>
      <c r="T3028" t="s">
        <v>2432</v>
      </c>
      <c r="U3028" t="s">
        <v>729</v>
      </c>
      <c r="V3028" t="s">
        <v>9913</v>
      </c>
      <c r="W3028" s="45">
        <v>1</v>
      </c>
      <c r="X3028" s="45">
        <v>1</v>
      </c>
      <c r="Y3028" s="45">
        <v>0</v>
      </c>
      <c r="Z3028" s="45">
        <v>1</v>
      </c>
      <c r="AA3028" s="45">
        <v>1</v>
      </c>
      <c r="AB3028" s="45">
        <v>0</v>
      </c>
      <c r="AC3028" s="150">
        <v>1</v>
      </c>
      <c r="AD3028" s="150">
        <v>1</v>
      </c>
      <c r="AE3028" s="49">
        <f t="shared" si="147"/>
        <v>0.75</v>
      </c>
      <c r="AF3028" s="44"/>
      <c r="AG3028" s="17"/>
      <c r="AH3028" s="44">
        <v>20</v>
      </c>
      <c r="AI3028" s="44">
        <v>19.2</v>
      </c>
      <c r="AJ3028" s="44">
        <v>19.2</v>
      </c>
      <c r="AK3028" s="151">
        <v>19.2</v>
      </c>
      <c r="AL3028" s="151">
        <v>19.2</v>
      </c>
      <c r="AM3028" s="17">
        <f t="shared" si="148"/>
        <v>38.4</v>
      </c>
      <c r="AN3028" s="44" t="s">
        <v>723</v>
      </c>
      <c r="AO3028" s="18" t="s">
        <v>729</v>
      </c>
      <c r="AP3028" t="s">
        <v>1977</v>
      </c>
    </row>
    <row r="3029" spans="1:42" customFormat="1" x14ac:dyDescent="0.3">
      <c r="A3029" s="148" t="s">
        <v>8319</v>
      </c>
      <c r="B3029" t="s">
        <v>8320</v>
      </c>
      <c r="C3029" s="148" t="s">
        <v>9344</v>
      </c>
      <c r="D3029" t="s">
        <v>9345</v>
      </c>
      <c r="E3029" s="148" t="s">
        <v>9346</v>
      </c>
      <c r="F3029" t="s">
        <v>9347</v>
      </c>
      <c r="G3029" s="148" t="s">
        <v>9558</v>
      </c>
      <c r="H3029" t="s">
        <v>9559</v>
      </c>
      <c r="K3029" s="148" t="s">
        <v>9560</v>
      </c>
      <c r="L3029" t="s">
        <v>9561</v>
      </c>
      <c r="M3029" t="s">
        <v>9914</v>
      </c>
      <c r="N3029" s="3" t="s">
        <v>271</v>
      </c>
      <c r="O3029" s="3"/>
      <c r="P3029" s="3">
        <v>112460</v>
      </c>
      <c r="Q3029" s="3">
        <v>112460</v>
      </c>
      <c r="R3029" s="3">
        <v>112460</v>
      </c>
      <c r="S3029" s="3">
        <v>112460</v>
      </c>
      <c r="T3029" t="s">
        <v>2432</v>
      </c>
      <c r="U3029" t="s">
        <v>729</v>
      </c>
      <c r="V3029" t="s">
        <v>9915</v>
      </c>
      <c r="W3029" s="45">
        <v>1</v>
      </c>
      <c r="X3029" s="45">
        <v>1</v>
      </c>
      <c r="Y3029" s="45">
        <v>0</v>
      </c>
      <c r="Z3029" s="45">
        <v>1</v>
      </c>
      <c r="AA3029" s="45">
        <v>1</v>
      </c>
      <c r="AB3029" s="45">
        <v>0</v>
      </c>
      <c r="AC3029" s="150">
        <v>1</v>
      </c>
      <c r="AD3029" s="150">
        <v>1</v>
      </c>
      <c r="AE3029" s="49">
        <f t="shared" si="147"/>
        <v>0.75</v>
      </c>
      <c r="AF3029" s="17"/>
      <c r="AG3029" s="17"/>
      <c r="AH3029" s="17">
        <v>0</v>
      </c>
      <c r="AI3029" s="44">
        <v>0</v>
      </c>
      <c r="AJ3029" s="44">
        <v>0</v>
      </c>
      <c r="AK3029" s="151">
        <v>2</v>
      </c>
      <c r="AL3029" s="151">
        <v>5</v>
      </c>
      <c r="AM3029" s="17">
        <f t="shared" si="148"/>
        <v>7</v>
      </c>
      <c r="AN3029" s="44" t="s">
        <v>723</v>
      </c>
      <c r="AO3029" s="18" t="s">
        <v>729</v>
      </c>
      <c r="AP3029" t="s">
        <v>9916</v>
      </c>
    </row>
    <row r="3030" spans="1:42" customFormat="1" x14ac:dyDescent="0.3">
      <c r="A3030" s="148" t="s">
        <v>8319</v>
      </c>
      <c r="B3030" t="s">
        <v>8320</v>
      </c>
      <c r="C3030" s="148" t="s">
        <v>9344</v>
      </c>
      <c r="D3030" t="s">
        <v>9345</v>
      </c>
      <c r="E3030" s="148" t="s">
        <v>9346</v>
      </c>
      <c r="F3030" t="s">
        <v>9347</v>
      </c>
      <c r="G3030" s="148" t="s">
        <v>9558</v>
      </c>
      <c r="H3030" t="s">
        <v>9559</v>
      </c>
      <c r="K3030" s="148" t="s">
        <v>9560</v>
      </c>
      <c r="L3030" t="s">
        <v>9561</v>
      </c>
      <c r="M3030" t="s">
        <v>9917</v>
      </c>
      <c r="N3030" s="3" t="s">
        <v>271</v>
      </c>
      <c r="O3030" s="3">
        <v>4</v>
      </c>
      <c r="P3030" s="3">
        <v>4</v>
      </c>
      <c r="Q3030" s="3">
        <v>4</v>
      </c>
      <c r="R3030" s="3">
        <v>4</v>
      </c>
      <c r="S3030" s="3">
        <v>4</v>
      </c>
      <c r="T3030" t="s">
        <v>9918</v>
      </c>
      <c r="U3030" t="e">
        <v>#N/A</v>
      </c>
      <c r="V3030" t="s">
        <v>9919</v>
      </c>
      <c r="W3030" s="45">
        <v>1</v>
      </c>
      <c r="X3030" s="45">
        <v>1</v>
      </c>
      <c r="Y3030" s="45">
        <v>0</v>
      </c>
      <c r="Z3030" s="45">
        <v>1</v>
      </c>
      <c r="AA3030" s="45">
        <v>1</v>
      </c>
      <c r="AB3030" s="45">
        <v>0</v>
      </c>
      <c r="AC3030" s="150">
        <v>1</v>
      </c>
      <c r="AD3030" s="150">
        <v>1</v>
      </c>
      <c r="AE3030" s="49">
        <f t="shared" si="147"/>
        <v>0.75</v>
      </c>
      <c r="AF3030" s="44"/>
      <c r="AG3030" s="17"/>
      <c r="AH3030" s="44">
        <v>18.28</v>
      </c>
      <c r="AI3030" s="44">
        <v>20</v>
      </c>
      <c r="AJ3030" s="44">
        <v>20</v>
      </c>
      <c r="AK3030" s="151">
        <f>5+3+3+80</f>
        <v>91</v>
      </c>
      <c r="AL3030" s="151">
        <f>5+3+3+50</f>
        <v>61</v>
      </c>
      <c r="AM3030" s="17">
        <f t="shared" si="148"/>
        <v>152</v>
      </c>
      <c r="AN3030" s="44" t="s">
        <v>1977</v>
      </c>
      <c r="AO3030" s="18" t="s">
        <v>9869</v>
      </c>
      <c r="AP3030" t="s">
        <v>723</v>
      </c>
    </row>
    <row r="3031" spans="1:42" customFormat="1" x14ac:dyDescent="0.3">
      <c r="A3031" s="148" t="s">
        <v>8319</v>
      </c>
      <c r="B3031" t="s">
        <v>8320</v>
      </c>
      <c r="C3031" s="148" t="s">
        <v>9344</v>
      </c>
      <c r="D3031" t="s">
        <v>9345</v>
      </c>
      <c r="E3031" s="148" t="s">
        <v>9346</v>
      </c>
      <c r="F3031" t="s">
        <v>9347</v>
      </c>
      <c r="G3031" s="148" t="s">
        <v>9558</v>
      </c>
      <c r="H3031" t="s">
        <v>9559</v>
      </c>
      <c r="K3031" s="148" t="s">
        <v>9560</v>
      </c>
      <c r="L3031" t="s">
        <v>9561</v>
      </c>
      <c r="M3031" t="s">
        <v>9920</v>
      </c>
      <c r="N3031" s="3" t="s">
        <v>271</v>
      </c>
      <c r="O3031" s="3">
        <v>39</v>
      </c>
      <c r="P3031" s="3">
        <v>350</v>
      </c>
      <c r="Q3031" s="3">
        <v>370</v>
      </c>
      <c r="R3031" s="3">
        <v>380</v>
      </c>
      <c r="S3031" s="3">
        <v>800</v>
      </c>
      <c r="T3031" t="s">
        <v>2432</v>
      </c>
      <c r="U3031" t="s">
        <v>729</v>
      </c>
      <c r="V3031" t="s">
        <v>9921</v>
      </c>
      <c r="W3031" s="45">
        <v>1</v>
      </c>
      <c r="X3031" s="45">
        <v>1</v>
      </c>
      <c r="Y3031" s="45">
        <v>0</v>
      </c>
      <c r="Z3031" s="45">
        <v>1</v>
      </c>
      <c r="AA3031" s="45">
        <v>1</v>
      </c>
      <c r="AB3031" s="45">
        <v>0</v>
      </c>
      <c r="AC3031" s="150">
        <v>1</v>
      </c>
      <c r="AD3031" s="150">
        <v>1</v>
      </c>
      <c r="AE3031" s="49">
        <f t="shared" si="147"/>
        <v>0.75</v>
      </c>
      <c r="AF3031" s="44"/>
      <c r="AG3031" s="17"/>
      <c r="AH3031" s="44">
        <v>0</v>
      </c>
      <c r="AI3031" s="44">
        <v>0</v>
      </c>
      <c r="AJ3031" s="44">
        <v>0</v>
      </c>
      <c r="AK3031" s="151">
        <v>10</v>
      </c>
      <c r="AL3031" s="151">
        <v>15</v>
      </c>
      <c r="AM3031" s="17">
        <f t="shared" si="148"/>
        <v>25</v>
      </c>
      <c r="AN3031" s="44" t="s">
        <v>723</v>
      </c>
      <c r="AO3031" s="18" t="s">
        <v>729</v>
      </c>
      <c r="AP3031" t="s">
        <v>9922</v>
      </c>
    </row>
    <row r="3032" spans="1:42" customFormat="1" x14ac:dyDescent="0.3">
      <c r="A3032" s="148" t="s">
        <v>8319</v>
      </c>
      <c r="B3032" t="s">
        <v>8320</v>
      </c>
      <c r="C3032" s="148" t="s">
        <v>9344</v>
      </c>
      <c r="D3032" t="s">
        <v>9345</v>
      </c>
      <c r="E3032" s="148" t="s">
        <v>9346</v>
      </c>
      <c r="F3032" t="s">
        <v>9347</v>
      </c>
      <c r="G3032" s="148" t="s">
        <v>9558</v>
      </c>
      <c r="H3032" t="s">
        <v>9559</v>
      </c>
      <c r="K3032" s="148" t="s">
        <v>9560</v>
      </c>
      <c r="L3032" t="s">
        <v>9561</v>
      </c>
      <c r="M3032" t="s">
        <v>9923</v>
      </c>
      <c r="N3032" s="3" t="s">
        <v>271</v>
      </c>
      <c r="O3032" s="3" t="s">
        <v>271</v>
      </c>
      <c r="P3032" s="3">
        <v>1</v>
      </c>
      <c r="Q3032" s="3">
        <v>1</v>
      </c>
      <c r="R3032" s="3">
        <v>1</v>
      </c>
      <c r="S3032" s="3">
        <v>1</v>
      </c>
      <c r="T3032" t="s">
        <v>2432</v>
      </c>
      <c r="U3032" t="s">
        <v>729</v>
      </c>
      <c r="V3032" t="s">
        <v>9924</v>
      </c>
      <c r="W3032" s="45">
        <v>1</v>
      </c>
      <c r="X3032" s="45">
        <v>1</v>
      </c>
      <c r="Y3032" s="45">
        <v>1</v>
      </c>
      <c r="Z3032" s="45">
        <v>1</v>
      </c>
      <c r="AA3032" s="45">
        <v>1</v>
      </c>
      <c r="AB3032" s="45">
        <v>0</v>
      </c>
      <c r="AC3032" s="150">
        <v>0</v>
      </c>
      <c r="AD3032" s="150">
        <v>1</v>
      </c>
      <c r="AE3032" s="49">
        <f t="shared" si="147"/>
        <v>0.75</v>
      </c>
      <c r="AF3032" s="44"/>
      <c r="AG3032" s="17"/>
      <c r="AH3032" s="44">
        <v>6.5</v>
      </c>
      <c r="AI3032" s="44">
        <v>4</v>
      </c>
      <c r="AJ3032" s="44">
        <v>4</v>
      </c>
      <c r="AK3032" s="151">
        <v>4</v>
      </c>
      <c r="AL3032" s="151">
        <v>7</v>
      </c>
      <c r="AM3032" s="17">
        <f t="shared" si="148"/>
        <v>11</v>
      </c>
      <c r="AN3032" s="44" t="s">
        <v>723</v>
      </c>
      <c r="AO3032" s="18" t="s">
        <v>729</v>
      </c>
      <c r="AP3032" t="s">
        <v>119</v>
      </c>
    </row>
    <row r="3033" spans="1:42" customFormat="1" x14ac:dyDescent="0.3">
      <c r="A3033" s="148" t="s">
        <v>8319</v>
      </c>
      <c r="B3033" t="s">
        <v>8320</v>
      </c>
      <c r="C3033" s="148" t="s">
        <v>9344</v>
      </c>
      <c r="D3033" t="s">
        <v>9345</v>
      </c>
      <c r="E3033" s="148" t="s">
        <v>9346</v>
      </c>
      <c r="F3033" t="s">
        <v>9347</v>
      </c>
      <c r="G3033" s="148" t="s">
        <v>9558</v>
      </c>
      <c r="H3033" t="s">
        <v>9559</v>
      </c>
      <c r="K3033" s="148" t="s">
        <v>9560</v>
      </c>
      <c r="L3033" t="s">
        <v>9561</v>
      </c>
      <c r="N3033" s="3"/>
      <c r="O3033" s="3"/>
      <c r="P3033" s="3"/>
      <c r="Q3033" s="3">
        <v>2</v>
      </c>
      <c r="R3033" s="3">
        <v>3</v>
      </c>
      <c r="S3033" s="3">
        <v>3</v>
      </c>
      <c r="T3033" t="s">
        <v>2432</v>
      </c>
      <c r="U3033" t="s">
        <v>729</v>
      </c>
      <c r="V3033" t="s">
        <v>9925</v>
      </c>
      <c r="W3033" s="45">
        <v>1</v>
      </c>
      <c r="X3033" s="45">
        <v>0</v>
      </c>
      <c r="Y3033" s="45">
        <v>1</v>
      </c>
      <c r="Z3033" s="45">
        <v>1</v>
      </c>
      <c r="AA3033" s="45">
        <v>1</v>
      </c>
      <c r="AB3033" s="45">
        <v>1</v>
      </c>
      <c r="AC3033" s="150">
        <v>0</v>
      </c>
      <c r="AD3033" s="150">
        <v>1</v>
      </c>
      <c r="AE3033" s="49">
        <f t="shared" si="147"/>
        <v>0.75</v>
      </c>
      <c r="AF3033" s="44"/>
      <c r="AG3033" s="17"/>
      <c r="AH3033" s="44">
        <v>10</v>
      </c>
      <c r="AI3033" s="44">
        <v>15</v>
      </c>
      <c r="AJ3033" s="44">
        <v>15</v>
      </c>
      <c r="AK3033" s="151">
        <v>90</v>
      </c>
      <c r="AL3033" s="151">
        <v>130</v>
      </c>
      <c r="AM3033" s="17">
        <f t="shared" si="148"/>
        <v>220</v>
      </c>
      <c r="AN3033" s="44" t="s">
        <v>9926</v>
      </c>
      <c r="AO3033" s="18" t="s">
        <v>9927</v>
      </c>
      <c r="AP3033" t="s">
        <v>723</v>
      </c>
    </row>
    <row r="3034" spans="1:42" customFormat="1" x14ac:dyDescent="0.3">
      <c r="A3034" s="148" t="s">
        <v>8319</v>
      </c>
      <c r="B3034" t="s">
        <v>8320</v>
      </c>
      <c r="C3034" s="148" t="s">
        <v>9344</v>
      </c>
      <c r="D3034" t="s">
        <v>9345</v>
      </c>
      <c r="E3034" s="148" t="s">
        <v>9346</v>
      </c>
      <c r="F3034" t="s">
        <v>9347</v>
      </c>
      <c r="G3034" s="148" t="s">
        <v>9558</v>
      </c>
      <c r="H3034" t="s">
        <v>9559</v>
      </c>
      <c r="K3034" s="148" t="s">
        <v>9560</v>
      </c>
      <c r="L3034" t="s">
        <v>9561</v>
      </c>
      <c r="N3034" s="3"/>
      <c r="O3034" s="3"/>
      <c r="P3034" s="3"/>
      <c r="Q3034" s="3">
        <v>5</v>
      </c>
      <c r="R3034" s="3">
        <v>5</v>
      </c>
      <c r="S3034" s="3">
        <v>5</v>
      </c>
      <c r="T3034" t="s">
        <v>2432</v>
      </c>
      <c r="U3034" t="s">
        <v>729</v>
      </c>
      <c r="V3034" t="s">
        <v>9928</v>
      </c>
      <c r="W3034" s="45">
        <v>1</v>
      </c>
      <c r="X3034" s="45">
        <v>1</v>
      </c>
      <c r="Y3034" s="45">
        <v>0</v>
      </c>
      <c r="Z3034" s="45">
        <v>1</v>
      </c>
      <c r="AA3034" s="45">
        <v>1</v>
      </c>
      <c r="AB3034" s="45">
        <v>1</v>
      </c>
      <c r="AC3034" s="150">
        <v>0</v>
      </c>
      <c r="AD3034" s="150">
        <v>1</v>
      </c>
      <c r="AE3034" s="49">
        <f t="shared" ref="AE3034:AE3097" si="149">SUM(W3034:AD3034)/8</f>
        <v>0.75</v>
      </c>
      <c r="AF3034" s="17"/>
      <c r="AG3034" s="17">
        <v>0</v>
      </c>
      <c r="AH3034" s="17">
        <v>0</v>
      </c>
      <c r="AI3034" s="44">
        <v>85</v>
      </c>
      <c r="AJ3034" s="44">
        <v>30</v>
      </c>
      <c r="AK3034" s="151">
        <v>10</v>
      </c>
      <c r="AL3034" s="151">
        <v>5</v>
      </c>
      <c r="AM3034" s="17">
        <f t="shared" ref="AM3034:AM3097" si="150">SUM(AK3034:AL3034)</f>
        <v>15</v>
      </c>
      <c r="AN3034" s="44" t="s">
        <v>9929</v>
      </c>
      <c r="AO3034" s="18" t="s">
        <v>729</v>
      </c>
      <c r="AP3034" t="s">
        <v>9930</v>
      </c>
    </row>
    <row r="3035" spans="1:42" customFormat="1" x14ac:dyDescent="0.3">
      <c r="A3035" s="148" t="s">
        <v>8319</v>
      </c>
      <c r="B3035" t="s">
        <v>8320</v>
      </c>
      <c r="C3035" s="148" t="s">
        <v>9369</v>
      </c>
      <c r="D3035" t="s">
        <v>9370</v>
      </c>
      <c r="E3035" s="148" t="s">
        <v>9371</v>
      </c>
      <c r="F3035" t="s">
        <v>9372</v>
      </c>
      <c r="G3035" s="148" t="s">
        <v>9373</v>
      </c>
      <c r="H3035" t="s">
        <v>9374</v>
      </c>
      <c r="I3035" t="s">
        <v>9375</v>
      </c>
      <c r="J3035" t="s">
        <v>9376</v>
      </c>
      <c r="K3035" s="148" t="s">
        <v>9578</v>
      </c>
      <c r="L3035" t="s">
        <v>9579</v>
      </c>
      <c r="M3035" t="s">
        <v>9931</v>
      </c>
      <c r="N3035" s="3" t="s">
        <v>271</v>
      </c>
      <c r="O3035" s="3">
        <v>0</v>
      </c>
      <c r="P3035" s="3">
        <v>1</v>
      </c>
      <c r="Q3035" s="3"/>
      <c r="R3035" s="3"/>
      <c r="S3035" s="3"/>
      <c r="T3035" t="s">
        <v>771</v>
      </c>
      <c r="U3035" t="s">
        <v>773</v>
      </c>
      <c r="V3035" t="s">
        <v>9932</v>
      </c>
      <c r="W3035" s="45">
        <v>1</v>
      </c>
      <c r="X3035" s="45">
        <v>1</v>
      </c>
      <c r="Y3035" s="45">
        <v>1</v>
      </c>
      <c r="Z3035" s="45">
        <v>1</v>
      </c>
      <c r="AA3035" s="45">
        <v>1</v>
      </c>
      <c r="AB3035" s="45">
        <v>0</v>
      </c>
      <c r="AC3035" s="150">
        <v>0</v>
      </c>
      <c r="AD3035" s="150">
        <v>1</v>
      </c>
      <c r="AE3035" s="49">
        <f t="shared" si="149"/>
        <v>0.75</v>
      </c>
      <c r="AF3035" s="44"/>
      <c r="AG3035" s="17">
        <v>0</v>
      </c>
      <c r="AH3035" s="44" t="s">
        <v>3926</v>
      </c>
      <c r="AI3035" s="44" t="s">
        <v>9383</v>
      </c>
      <c r="AJ3035" s="17">
        <v>0</v>
      </c>
      <c r="AK3035" s="151">
        <v>0.8</v>
      </c>
      <c r="AL3035" s="151">
        <v>0.8</v>
      </c>
      <c r="AM3035" s="17">
        <f t="shared" si="150"/>
        <v>1.6</v>
      </c>
      <c r="AN3035" s="18" t="s">
        <v>831</v>
      </c>
      <c r="AO3035" s="18" t="s">
        <v>834</v>
      </c>
      <c r="AP3035" t="s">
        <v>1536</v>
      </c>
    </row>
    <row r="3036" spans="1:42" customFormat="1" x14ac:dyDescent="0.3">
      <c r="A3036" s="148" t="s">
        <v>8319</v>
      </c>
      <c r="B3036" t="s">
        <v>8320</v>
      </c>
      <c r="C3036" s="148" t="s">
        <v>9369</v>
      </c>
      <c r="D3036" t="s">
        <v>9370</v>
      </c>
      <c r="E3036" s="148" t="s">
        <v>9371</v>
      </c>
      <c r="F3036" t="s">
        <v>9372</v>
      </c>
      <c r="G3036" s="148" t="s">
        <v>9373</v>
      </c>
      <c r="H3036" t="s">
        <v>9374</v>
      </c>
      <c r="I3036" t="s">
        <v>9375</v>
      </c>
      <c r="J3036" t="s">
        <v>9376</v>
      </c>
      <c r="K3036" s="148" t="s">
        <v>9578</v>
      </c>
      <c r="L3036" t="s">
        <v>9579</v>
      </c>
      <c r="M3036" t="s">
        <v>9933</v>
      </c>
      <c r="N3036" s="3">
        <v>0</v>
      </c>
      <c r="O3036" s="3">
        <v>0</v>
      </c>
      <c r="P3036" s="3">
        <v>10</v>
      </c>
      <c r="Q3036" s="3">
        <v>10</v>
      </c>
      <c r="R3036" s="3">
        <v>10</v>
      </c>
      <c r="S3036" s="3">
        <v>10</v>
      </c>
      <c r="T3036" t="s">
        <v>771</v>
      </c>
      <c r="U3036" t="s">
        <v>773</v>
      </c>
      <c r="V3036" t="s">
        <v>9934</v>
      </c>
      <c r="W3036" s="45">
        <v>1</v>
      </c>
      <c r="X3036" s="45">
        <v>1</v>
      </c>
      <c r="Y3036" s="45">
        <v>1</v>
      </c>
      <c r="Z3036" s="45">
        <v>1</v>
      </c>
      <c r="AA3036" s="45">
        <v>1</v>
      </c>
      <c r="AB3036" s="45">
        <v>1</v>
      </c>
      <c r="AC3036" s="150">
        <v>0</v>
      </c>
      <c r="AD3036" s="150">
        <v>1</v>
      </c>
      <c r="AE3036" s="49">
        <f t="shared" si="149"/>
        <v>0.875</v>
      </c>
      <c r="AF3036" s="17"/>
      <c r="AG3036" s="17">
        <v>0</v>
      </c>
      <c r="AH3036" s="17">
        <v>0</v>
      </c>
      <c r="AI3036" s="44">
        <v>0</v>
      </c>
      <c r="AJ3036" s="44">
        <v>0</v>
      </c>
      <c r="AK3036" s="377">
        <v>10</v>
      </c>
      <c r="AL3036" s="377">
        <v>14</v>
      </c>
      <c r="AM3036" s="17">
        <f t="shared" si="150"/>
        <v>24</v>
      </c>
      <c r="AN3036" s="18" t="s">
        <v>771</v>
      </c>
      <c r="AO3036" s="18" t="s">
        <v>773</v>
      </c>
      <c r="AP3036" t="s">
        <v>119</v>
      </c>
    </row>
    <row r="3037" spans="1:42" customFormat="1" x14ac:dyDescent="0.3">
      <c r="A3037" s="148" t="s">
        <v>8319</v>
      </c>
      <c r="B3037" t="s">
        <v>8320</v>
      </c>
      <c r="C3037" s="148" t="s">
        <v>9369</v>
      </c>
      <c r="D3037" t="s">
        <v>9370</v>
      </c>
      <c r="E3037" s="148" t="s">
        <v>9371</v>
      </c>
      <c r="F3037" t="s">
        <v>9372</v>
      </c>
      <c r="G3037" s="148" t="s">
        <v>9373</v>
      </c>
      <c r="H3037" t="s">
        <v>9374</v>
      </c>
      <c r="I3037" t="s">
        <v>9375</v>
      </c>
      <c r="J3037" t="s">
        <v>9376</v>
      </c>
      <c r="K3037" s="148" t="s">
        <v>9578</v>
      </c>
      <c r="L3037" t="s">
        <v>9579</v>
      </c>
      <c r="M3037" t="s">
        <v>9935</v>
      </c>
      <c r="N3037" s="3">
        <v>277</v>
      </c>
      <c r="O3037" s="3">
        <v>100</v>
      </c>
      <c r="P3037" s="3">
        <v>11620</v>
      </c>
      <c r="Q3037" s="3">
        <v>11620</v>
      </c>
      <c r="R3037" s="3">
        <v>11620</v>
      </c>
      <c r="S3037" s="3">
        <v>11620</v>
      </c>
      <c r="T3037" t="s">
        <v>771</v>
      </c>
      <c r="U3037" t="s">
        <v>773</v>
      </c>
      <c r="V3037" t="s">
        <v>9936</v>
      </c>
      <c r="W3037" s="45">
        <v>1</v>
      </c>
      <c r="X3037" s="45">
        <v>1</v>
      </c>
      <c r="Y3037" s="45">
        <v>1</v>
      </c>
      <c r="Z3037" s="45">
        <v>1</v>
      </c>
      <c r="AA3037" s="45">
        <v>1</v>
      </c>
      <c r="AB3037" s="45">
        <v>1</v>
      </c>
      <c r="AC3037" s="150">
        <v>0</v>
      </c>
      <c r="AD3037" s="150">
        <v>1</v>
      </c>
      <c r="AE3037" s="49">
        <f t="shared" si="149"/>
        <v>0.875</v>
      </c>
      <c r="AF3037" s="44"/>
      <c r="AG3037" s="17">
        <v>0</v>
      </c>
      <c r="AH3037" s="44">
        <v>0.7</v>
      </c>
      <c r="AI3037" s="44">
        <v>56</v>
      </c>
      <c r="AJ3037" s="44">
        <v>56</v>
      </c>
      <c r="AK3037" s="379">
        <v>76.92</v>
      </c>
      <c r="AL3037" s="379">
        <v>71.8</v>
      </c>
      <c r="AM3037" s="17">
        <f t="shared" si="150"/>
        <v>148.72</v>
      </c>
      <c r="AN3037" s="18" t="s">
        <v>771</v>
      </c>
      <c r="AO3037" s="18" t="s">
        <v>773</v>
      </c>
      <c r="AP3037" t="s">
        <v>982</v>
      </c>
    </row>
    <row r="3038" spans="1:42" customFormat="1" x14ac:dyDescent="0.3">
      <c r="A3038" s="148" t="s">
        <v>8319</v>
      </c>
      <c r="B3038" t="s">
        <v>8320</v>
      </c>
      <c r="C3038" s="148" t="s">
        <v>9369</v>
      </c>
      <c r="D3038" t="s">
        <v>9370</v>
      </c>
      <c r="E3038" s="148" t="s">
        <v>9371</v>
      </c>
      <c r="F3038" t="s">
        <v>9372</v>
      </c>
      <c r="G3038" s="148" t="s">
        <v>9373</v>
      </c>
      <c r="H3038" t="s">
        <v>9374</v>
      </c>
      <c r="I3038" t="s">
        <v>9375</v>
      </c>
      <c r="J3038" t="s">
        <v>9376</v>
      </c>
      <c r="K3038" s="148" t="s">
        <v>9937</v>
      </c>
      <c r="L3038" t="s">
        <v>9938</v>
      </c>
      <c r="M3038" t="s">
        <v>9939</v>
      </c>
      <c r="N3038" s="3">
        <v>52</v>
      </c>
      <c r="O3038" s="3">
        <v>120</v>
      </c>
      <c r="P3038" s="3">
        <v>120</v>
      </c>
      <c r="Q3038" s="3">
        <v>120</v>
      </c>
      <c r="R3038" s="3">
        <v>120</v>
      </c>
      <c r="S3038" s="3">
        <v>120</v>
      </c>
      <c r="T3038" t="s">
        <v>1536</v>
      </c>
      <c r="U3038" t="e">
        <v>#N/A</v>
      </c>
      <c r="V3038" t="s">
        <v>9940</v>
      </c>
      <c r="W3038" s="45">
        <v>1</v>
      </c>
      <c r="X3038" s="45">
        <v>1</v>
      </c>
      <c r="Y3038" s="45">
        <v>0</v>
      </c>
      <c r="Z3038" s="45">
        <v>1</v>
      </c>
      <c r="AA3038" s="45">
        <v>1</v>
      </c>
      <c r="AB3038" s="45">
        <v>1</v>
      </c>
      <c r="AC3038" s="150">
        <v>0</v>
      </c>
      <c r="AD3038" s="150">
        <v>1</v>
      </c>
      <c r="AE3038" s="49">
        <f t="shared" si="149"/>
        <v>0.75</v>
      </c>
      <c r="AF3038" s="44"/>
      <c r="AG3038" s="17">
        <v>0</v>
      </c>
      <c r="AH3038" s="44">
        <v>0</v>
      </c>
      <c r="AI3038" s="44">
        <v>0</v>
      </c>
      <c r="AJ3038" s="44">
        <v>0</v>
      </c>
      <c r="AK3038" s="377">
        <v>2</v>
      </c>
      <c r="AL3038" s="377">
        <v>2</v>
      </c>
      <c r="AM3038" s="17">
        <f t="shared" si="150"/>
        <v>4</v>
      </c>
      <c r="AN3038" s="18" t="s">
        <v>771</v>
      </c>
      <c r="AO3038" s="18" t="s">
        <v>773</v>
      </c>
      <c r="AP3038" t="s">
        <v>119</v>
      </c>
    </row>
    <row r="3039" spans="1:42" customFormat="1" x14ac:dyDescent="0.3">
      <c r="A3039" s="148" t="s">
        <v>8319</v>
      </c>
      <c r="B3039" t="s">
        <v>8320</v>
      </c>
      <c r="C3039" s="148" t="s">
        <v>9369</v>
      </c>
      <c r="D3039" t="s">
        <v>9370</v>
      </c>
      <c r="E3039" s="148" t="s">
        <v>9371</v>
      </c>
      <c r="F3039" t="s">
        <v>9372</v>
      </c>
      <c r="G3039" s="148" t="s">
        <v>9373</v>
      </c>
      <c r="H3039" t="s">
        <v>9374</v>
      </c>
      <c r="I3039" s="148" t="s">
        <v>9384</v>
      </c>
      <c r="J3039" t="s">
        <v>9385</v>
      </c>
      <c r="K3039" s="148" t="s">
        <v>9941</v>
      </c>
      <c r="L3039" t="s">
        <v>9942</v>
      </c>
      <c r="M3039" t="s">
        <v>9943</v>
      </c>
      <c r="N3039" s="3">
        <v>0</v>
      </c>
      <c r="O3039" s="3">
        <v>1</v>
      </c>
      <c r="P3039" s="3" t="s">
        <v>9944</v>
      </c>
      <c r="Q3039" s="3" t="s">
        <v>271</v>
      </c>
      <c r="R3039" s="3" t="s">
        <v>271</v>
      </c>
      <c r="S3039" s="3" t="s">
        <v>271</v>
      </c>
      <c r="T3039" t="s">
        <v>1536</v>
      </c>
      <c r="U3039" t="e">
        <v>#N/A</v>
      </c>
      <c r="V3039" t="s">
        <v>9945</v>
      </c>
      <c r="W3039" s="45">
        <v>1</v>
      </c>
      <c r="X3039" s="45">
        <v>1</v>
      </c>
      <c r="Y3039" s="45">
        <v>0</v>
      </c>
      <c r="Z3039" s="45">
        <v>1</v>
      </c>
      <c r="AA3039" s="45">
        <v>1</v>
      </c>
      <c r="AB3039" s="45">
        <v>0</v>
      </c>
      <c r="AC3039" s="150">
        <v>1</v>
      </c>
      <c r="AD3039" s="150">
        <v>1</v>
      </c>
      <c r="AE3039" s="49">
        <f t="shared" si="149"/>
        <v>0.75</v>
      </c>
      <c r="AF3039" s="44"/>
      <c r="AG3039" s="17">
        <v>0</v>
      </c>
      <c r="AH3039" s="44">
        <v>0.05</v>
      </c>
      <c r="AI3039" s="44">
        <v>0</v>
      </c>
      <c r="AJ3039" s="44">
        <v>0</v>
      </c>
      <c r="AK3039" s="377">
        <v>0.5</v>
      </c>
      <c r="AL3039" s="377">
        <v>0.5</v>
      </c>
      <c r="AM3039" s="17">
        <f t="shared" si="150"/>
        <v>1</v>
      </c>
      <c r="AN3039" s="18" t="s">
        <v>771</v>
      </c>
      <c r="AO3039" s="18" t="s">
        <v>773</v>
      </c>
      <c r="AP3039" t="s">
        <v>9390</v>
      </c>
    </row>
    <row r="3040" spans="1:42" customFormat="1" x14ac:dyDescent="0.3">
      <c r="A3040" s="148" t="s">
        <v>8319</v>
      </c>
      <c r="B3040" t="s">
        <v>8320</v>
      </c>
      <c r="C3040" s="148" t="s">
        <v>9369</v>
      </c>
      <c r="D3040" t="s">
        <v>9370</v>
      </c>
      <c r="E3040" s="148" t="s">
        <v>9371</v>
      </c>
      <c r="F3040" t="s">
        <v>9372</v>
      </c>
      <c r="G3040" s="148" t="s">
        <v>9593</v>
      </c>
      <c r="H3040" t="s">
        <v>9594</v>
      </c>
      <c r="K3040" s="148" t="s">
        <v>9595</v>
      </c>
      <c r="L3040" t="s">
        <v>9596</v>
      </c>
      <c r="N3040" s="3"/>
      <c r="O3040" s="3"/>
      <c r="P3040" s="3">
        <v>5</v>
      </c>
      <c r="Q3040" s="3">
        <v>5</v>
      </c>
      <c r="R3040" s="3">
        <v>5</v>
      </c>
      <c r="S3040" s="3">
        <v>7</v>
      </c>
      <c r="T3040" t="s">
        <v>2432</v>
      </c>
      <c r="U3040" t="s">
        <v>729</v>
      </c>
      <c r="V3040" t="s">
        <v>9946</v>
      </c>
      <c r="W3040" s="45">
        <v>1</v>
      </c>
      <c r="X3040" s="45">
        <v>1</v>
      </c>
      <c r="Y3040" s="45">
        <v>1</v>
      </c>
      <c r="Z3040" s="45">
        <v>0</v>
      </c>
      <c r="AA3040" s="45">
        <v>1</v>
      </c>
      <c r="AB3040" s="45">
        <v>0</v>
      </c>
      <c r="AC3040" s="150">
        <v>1</v>
      </c>
      <c r="AD3040" s="150">
        <v>1</v>
      </c>
      <c r="AE3040" s="49">
        <f t="shared" si="149"/>
        <v>0.75</v>
      </c>
      <c r="AF3040" s="17"/>
      <c r="AG3040" s="17">
        <v>0</v>
      </c>
      <c r="AH3040" s="17">
        <v>0</v>
      </c>
      <c r="AI3040" s="44">
        <v>15</v>
      </c>
      <c r="AJ3040" s="44">
        <v>15</v>
      </c>
      <c r="AK3040" s="151">
        <v>20</v>
      </c>
      <c r="AL3040" s="151">
        <v>22.62</v>
      </c>
      <c r="AM3040" s="17">
        <f t="shared" si="150"/>
        <v>42.620000000000005</v>
      </c>
      <c r="AN3040" t="s">
        <v>723</v>
      </c>
      <c r="AO3040" s="18" t="s">
        <v>729</v>
      </c>
      <c r="AP3040" t="s">
        <v>119</v>
      </c>
    </row>
    <row r="3041" spans="1:42" customFormat="1" x14ac:dyDescent="0.3">
      <c r="A3041" s="148" t="s">
        <v>8319</v>
      </c>
      <c r="B3041" t="s">
        <v>8320</v>
      </c>
      <c r="C3041" s="148" t="s">
        <v>9369</v>
      </c>
      <c r="D3041" t="s">
        <v>9370</v>
      </c>
      <c r="E3041" s="148" t="s">
        <v>9371</v>
      </c>
      <c r="F3041" t="s">
        <v>9372</v>
      </c>
      <c r="G3041" s="148" t="s">
        <v>9593</v>
      </c>
      <c r="H3041" t="s">
        <v>9594</v>
      </c>
      <c r="K3041" s="148" t="s">
        <v>9595</v>
      </c>
      <c r="L3041" t="s">
        <v>9596</v>
      </c>
      <c r="N3041" s="3"/>
      <c r="O3041" s="3"/>
      <c r="P3041" s="3"/>
      <c r="Q3041" s="3">
        <v>116</v>
      </c>
      <c r="R3041" s="3">
        <v>116</v>
      </c>
      <c r="S3041" s="3">
        <v>117</v>
      </c>
      <c r="T3041" t="s">
        <v>2432</v>
      </c>
      <c r="U3041" t="s">
        <v>729</v>
      </c>
      <c r="V3041" t="s">
        <v>9947</v>
      </c>
      <c r="W3041" s="45">
        <v>1</v>
      </c>
      <c r="X3041" s="45">
        <v>1</v>
      </c>
      <c r="Y3041" s="45">
        <v>1</v>
      </c>
      <c r="Z3041" s="45">
        <v>0</v>
      </c>
      <c r="AA3041" s="45">
        <v>1</v>
      </c>
      <c r="AB3041" s="45">
        <v>0</v>
      </c>
      <c r="AC3041" s="150">
        <v>1</v>
      </c>
      <c r="AD3041" s="150">
        <v>1</v>
      </c>
      <c r="AE3041" s="49">
        <f t="shared" si="149"/>
        <v>0.75</v>
      </c>
      <c r="AF3041" s="17"/>
      <c r="AG3041" s="17">
        <v>0</v>
      </c>
      <c r="AH3041" s="17">
        <v>0</v>
      </c>
      <c r="AI3041" s="44">
        <v>10</v>
      </c>
      <c r="AJ3041" s="44">
        <v>10</v>
      </c>
      <c r="AK3041" s="151">
        <v>10</v>
      </c>
      <c r="AL3041" s="151">
        <v>10</v>
      </c>
      <c r="AM3041" s="17">
        <f t="shared" si="150"/>
        <v>20</v>
      </c>
      <c r="AN3041" t="s">
        <v>723</v>
      </c>
      <c r="AO3041" s="18" t="s">
        <v>729</v>
      </c>
      <c r="AP3041" t="s">
        <v>119</v>
      </c>
    </row>
    <row r="3042" spans="1:42" customFormat="1" x14ac:dyDescent="0.3">
      <c r="A3042" s="148" t="s">
        <v>8319</v>
      </c>
      <c r="B3042" t="s">
        <v>8320</v>
      </c>
      <c r="C3042" s="148" t="s">
        <v>9369</v>
      </c>
      <c r="D3042" t="s">
        <v>9370</v>
      </c>
      <c r="E3042" s="148" t="s">
        <v>9371</v>
      </c>
      <c r="F3042" t="s">
        <v>9372</v>
      </c>
      <c r="G3042" s="148" t="s">
        <v>9593</v>
      </c>
      <c r="H3042" t="s">
        <v>9594</v>
      </c>
      <c r="K3042" s="148" t="s">
        <v>9595</v>
      </c>
      <c r="L3042" t="s">
        <v>9596</v>
      </c>
      <c r="N3042" s="3"/>
      <c r="O3042" s="3"/>
      <c r="P3042" s="3"/>
      <c r="Q3042" s="3"/>
      <c r="R3042" s="3"/>
      <c r="S3042" s="3"/>
      <c r="U3042" t="e">
        <v>#N/A</v>
      </c>
      <c r="V3042" t="s">
        <v>9948</v>
      </c>
      <c r="W3042" s="45">
        <v>1</v>
      </c>
      <c r="X3042" s="45">
        <v>0</v>
      </c>
      <c r="Y3042" s="45">
        <v>0</v>
      </c>
      <c r="Z3042" s="45">
        <v>1</v>
      </c>
      <c r="AA3042" s="45">
        <v>1</v>
      </c>
      <c r="AB3042" s="45">
        <v>1</v>
      </c>
      <c r="AC3042" s="150">
        <v>1</v>
      </c>
      <c r="AD3042" s="150">
        <v>1</v>
      </c>
      <c r="AE3042" s="49">
        <f t="shared" si="149"/>
        <v>0.75</v>
      </c>
      <c r="AF3042" s="17"/>
      <c r="AG3042" s="17">
        <v>0</v>
      </c>
      <c r="AH3042" s="17">
        <v>0</v>
      </c>
      <c r="AI3042" s="44">
        <v>40</v>
      </c>
      <c r="AJ3042" s="44">
        <v>80</v>
      </c>
      <c r="AK3042" s="151">
        <v>120</v>
      </c>
      <c r="AL3042" s="151">
        <v>160</v>
      </c>
      <c r="AM3042" s="17">
        <f t="shared" si="150"/>
        <v>280</v>
      </c>
      <c r="AN3042" t="s">
        <v>723</v>
      </c>
      <c r="AO3042" s="18" t="s">
        <v>729</v>
      </c>
      <c r="AP3042" t="s">
        <v>921</v>
      </c>
    </row>
    <row r="3043" spans="1:42" customFormat="1" x14ac:dyDescent="0.3">
      <c r="A3043" s="148" t="s">
        <v>8319</v>
      </c>
      <c r="B3043" t="s">
        <v>8320</v>
      </c>
      <c r="C3043" s="148" t="s">
        <v>9344</v>
      </c>
      <c r="D3043" t="s">
        <v>9345</v>
      </c>
      <c r="E3043" s="148" t="s">
        <v>9398</v>
      </c>
      <c r="F3043" t="s">
        <v>9399</v>
      </c>
      <c r="G3043" s="148" t="s">
        <v>9949</v>
      </c>
      <c r="H3043" t="s">
        <v>9950</v>
      </c>
      <c r="K3043" s="148" t="s">
        <v>9951</v>
      </c>
      <c r="L3043" t="s">
        <v>9952</v>
      </c>
      <c r="M3043" t="s">
        <v>9952</v>
      </c>
      <c r="N3043" s="3" t="s">
        <v>9953</v>
      </c>
      <c r="O3043" s="3"/>
      <c r="P3043" s="3">
        <v>70</v>
      </c>
      <c r="Q3043" s="3">
        <v>75</v>
      </c>
      <c r="R3043" s="3">
        <v>80</v>
      </c>
      <c r="S3043" s="3">
        <v>88</v>
      </c>
      <c r="T3043">
        <v>90</v>
      </c>
      <c r="U3043" t="e">
        <v>#N/A</v>
      </c>
      <c r="V3043" t="s">
        <v>9954</v>
      </c>
      <c r="W3043" s="45">
        <v>1</v>
      </c>
      <c r="X3043" s="45">
        <v>0</v>
      </c>
      <c r="Y3043" s="45">
        <v>1</v>
      </c>
      <c r="Z3043" s="45">
        <v>1</v>
      </c>
      <c r="AA3043" s="45">
        <v>1</v>
      </c>
      <c r="AB3043" s="45">
        <v>0</v>
      </c>
      <c r="AC3043" s="150">
        <v>1</v>
      </c>
      <c r="AD3043" s="150">
        <v>1</v>
      </c>
      <c r="AE3043" s="49">
        <f t="shared" si="149"/>
        <v>0.75</v>
      </c>
      <c r="AF3043" s="44"/>
      <c r="AG3043" s="17"/>
      <c r="AH3043" s="44">
        <v>24.5</v>
      </c>
      <c r="AI3043" s="44">
        <v>13</v>
      </c>
      <c r="AJ3043" s="44">
        <v>13</v>
      </c>
      <c r="AK3043" s="151">
        <v>13</v>
      </c>
      <c r="AL3043" s="151">
        <v>13</v>
      </c>
      <c r="AM3043" s="17">
        <f t="shared" si="150"/>
        <v>26</v>
      </c>
      <c r="AN3043" t="s">
        <v>723</v>
      </c>
      <c r="AO3043" s="18" t="s">
        <v>729</v>
      </c>
      <c r="AP3043" t="s">
        <v>119</v>
      </c>
    </row>
    <row r="3044" spans="1:42" customFormat="1" x14ac:dyDescent="0.3">
      <c r="A3044" s="148" t="s">
        <v>8319</v>
      </c>
      <c r="B3044" t="s">
        <v>8320</v>
      </c>
      <c r="C3044" s="148" t="s">
        <v>9344</v>
      </c>
      <c r="D3044" t="s">
        <v>9345</v>
      </c>
      <c r="E3044" s="148" t="s">
        <v>9398</v>
      </c>
      <c r="F3044" t="s">
        <v>9399</v>
      </c>
      <c r="G3044" s="148" t="s">
        <v>9949</v>
      </c>
      <c r="H3044" t="s">
        <v>9950</v>
      </c>
      <c r="K3044" s="148" t="s">
        <v>9955</v>
      </c>
      <c r="L3044" t="s">
        <v>9956</v>
      </c>
      <c r="M3044" t="s">
        <v>9956</v>
      </c>
      <c r="N3044" s="3" t="s">
        <v>9957</v>
      </c>
      <c r="O3044" s="3">
        <v>45.8</v>
      </c>
      <c r="P3044" s="3">
        <v>47</v>
      </c>
      <c r="Q3044" s="3">
        <v>50</v>
      </c>
      <c r="R3044" s="3">
        <v>53</v>
      </c>
      <c r="S3044" s="3">
        <v>55</v>
      </c>
      <c r="T3044">
        <v>60</v>
      </c>
      <c r="U3044" t="e">
        <v>#N/A</v>
      </c>
      <c r="V3044" t="s">
        <v>9958</v>
      </c>
      <c r="W3044" s="45">
        <v>1</v>
      </c>
      <c r="X3044" s="45">
        <v>0</v>
      </c>
      <c r="Y3044" s="45">
        <v>1</v>
      </c>
      <c r="Z3044" s="45">
        <v>1</v>
      </c>
      <c r="AA3044" s="45">
        <v>1</v>
      </c>
      <c r="AB3044" s="45">
        <v>0</v>
      </c>
      <c r="AC3044" s="150">
        <v>1</v>
      </c>
      <c r="AD3044" s="150">
        <v>1</v>
      </c>
      <c r="AE3044" s="49">
        <f t="shared" si="149"/>
        <v>0.75</v>
      </c>
      <c r="AF3044" s="44"/>
      <c r="AG3044" s="17"/>
      <c r="AH3044" s="44">
        <v>3.8069999999999999</v>
      </c>
      <c r="AI3044" s="44">
        <v>4.05</v>
      </c>
      <c r="AJ3044" s="44">
        <v>4.2930000000000001</v>
      </c>
      <c r="AK3044" s="151">
        <v>4.4550000000000001</v>
      </c>
      <c r="AL3044" s="151">
        <v>4.8600000000000003</v>
      </c>
      <c r="AM3044" s="17">
        <f t="shared" si="150"/>
        <v>9.3150000000000013</v>
      </c>
      <c r="AN3044" t="s">
        <v>723</v>
      </c>
      <c r="AO3044" s="18" t="s">
        <v>729</v>
      </c>
      <c r="AP3044" t="s">
        <v>119</v>
      </c>
    </row>
    <row r="3045" spans="1:42" customFormat="1" x14ac:dyDescent="0.3">
      <c r="A3045" s="148" t="s">
        <v>8319</v>
      </c>
      <c r="B3045" t="s">
        <v>8320</v>
      </c>
      <c r="C3045" s="148" t="s">
        <v>9410</v>
      </c>
      <c r="D3045" t="s">
        <v>9411</v>
      </c>
      <c r="E3045" s="148" t="s">
        <v>9412</v>
      </c>
      <c r="F3045" t="s">
        <v>9413</v>
      </c>
      <c r="G3045" s="148" t="s">
        <v>9414</v>
      </c>
      <c r="H3045" t="s">
        <v>9415</v>
      </c>
      <c r="K3045" s="155" t="s">
        <v>9427</v>
      </c>
      <c r="L3045" t="s">
        <v>9428</v>
      </c>
      <c r="N3045" s="3"/>
      <c r="O3045" s="3"/>
      <c r="P3045" s="3"/>
      <c r="Q3045" s="3"/>
      <c r="R3045" s="3"/>
      <c r="S3045" s="3"/>
      <c r="U3045" t="e">
        <v>#N/A</v>
      </c>
      <c r="V3045" t="s">
        <v>9959</v>
      </c>
      <c r="W3045" s="45">
        <v>1</v>
      </c>
      <c r="X3045" s="45">
        <v>1</v>
      </c>
      <c r="Y3045" s="45">
        <v>1</v>
      </c>
      <c r="Z3045" s="45">
        <v>0</v>
      </c>
      <c r="AA3045" s="45">
        <v>1</v>
      </c>
      <c r="AB3045" s="45">
        <v>1</v>
      </c>
      <c r="AC3045" s="150">
        <v>0</v>
      </c>
      <c r="AD3045" s="150">
        <v>1</v>
      </c>
      <c r="AE3045" s="49">
        <f t="shared" si="149"/>
        <v>0.75</v>
      </c>
      <c r="AF3045" s="17"/>
      <c r="AG3045" s="17">
        <v>0</v>
      </c>
      <c r="AH3045" s="17">
        <v>0</v>
      </c>
      <c r="AI3045" s="17">
        <v>0</v>
      </c>
      <c r="AJ3045" s="17">
        <v>0</v>
      </c>
      <c r="AK3045" s="153">
        <v>0</v>
      </c>
      <c r="AL3045" s="154">
        <v>0</v>
      </c>
      <c r="AM3045" s="17">
        <f t="shared" si="150"/>
        <v>0</v>
      </c>
      <c r="AN3045" s="44" t="s">
        <v>9431</v>
      </c>
      <c r="AO3045" s="18" t="s">
        <v>3630</v>
      </c>
      <c r="AP3045" s="18" t="s">
        <v>9432</v>
      </c>
    </row>
    <row r="3046" spans="1:42" customFormat="1" x14ac:dyDescent="0.3">
      <c r="A3046" s="148" t="s">
        <v>8319</v>
      </c>
      <c r="B3046" t="s">
        <v>8320</v>
      </c>
      <c r="C3046" s="148" t="s">
        <v>9410</v>
      </c>
      <c r="D3046" t="s">
        <v>9411</v>
      </c>
      <c r="E3046" s="148" t="s">
        <v>9412</v>
      </c>
      <c r="F3046" t="s">
        <v>9413</v>
      </c>
      <c r="G3046" s="148" t="s">
        <v>9414</v>
      </c>
      <c r="H3046" t="s">
        <v>9415</v>
      </c>
      <c r="K3046" s="155" t="s">
        <v>9427</v>
      </c>
      <c r="L3046" t="s">
        <v>9428</v>
      </c>
      <c r="N3046" s="3"/>
      <c r="O3046" s="3"/>
      <c r="P3046" s="3"/>
      <c r="Q3046" s="3"/>
      <c r="R3046" s="3"/>
      <c r="S3046" s="3"/>
      <c r="U3046" t="e">
        <v>#N/A</v>
      </c>
      <c r="V3046" t="s">
        <v>9960</v>
      </c>
      <c r="W3046" s="45">
        <v>1</v>
      </c>
      <c r="X3046" s="45">
        <v>1</v>
      </c>
      <c r="Y3046" s="45">
        <v>1</v>
      </c>
      <c r="Z3046" s="45">
        <v>0</v>
      </c>
      <c r="AA3046" s="45">
        <v>1</v>
      </c>
      <c r="AB3046" s="45">
        <v>1</v>
      </c>
      <c r="AC3046" s="150">
        <v>0</v>
      </c>
      <c r="AD3046" s="150">
        <v>1</v>
      </c>
      <c r="AE3046" s="49">
        <f t="shared" si="149"/>
        <v>0.75</v>
      </c>
      <c r="AF3046" s="17"/>
      <c r="AG3046" s="17">
        <v>0</v>
      </c>
      <c r="AH3046" s="17">
        <v>0</v>
      </c>
      <c r="AI3046" s="17">
        <v>0</v>
      </c>
      <c r="AJ3046" s="17">
        <v>0</v>
      </c>
      <c r="AK3046" s="153">
        <v>0</v>
      </c>
      <c r="AL3046" s="154">
        <v>0</v>
      </c>
      <c r="AM3046" s="17">
        <f t="shared" si="150"/>
        <v>0</v>
      </c>
      <c r="AN3046" s="44" t="s">
        <v>9431</v>
      </c>
      <c r="AO3046" s="18" t="s">
        <v>3630</v>
      </c>
      <c r="AP3046" s="18" t="s">
        <v>9432</v>
      </c>
    </row>
    <row r="3047" spans="1:42" customFormat="1" x14ac:dyDescent="0.3">
      <c r="A3047" s="148" t="s">
        <v>8319</v>
      </c>
      <c r="B3047" t="s">
        <v>8320</v>
      </c>
      <c r="C3047" s="148" t="s">
        <v>9410</v>
      </c>
      <c r="D3047" t="s">
        <v>9411</v>
      </c>
      <c r="E3047" s="148" t="s">
        <v>9412</v>
      </c>
      <c r="F3047" t="s">
        <v>9413</v>
      </c>
      <c r="G3047" s="148" t="s">
        <v>9414</v>
      </c>
      <c r="H3047" t="s">
        <v>9415</v>
      </c>
      <c r="K3047" s="155" t="s">
        <v>9427</v>
      </c>
      <c r="L3047" t="s">
        <v>9428</v>
      </c>
      <c r="N3047" s="3"/>
      <c r="O3047" s="3"/>
      <c r="P3047" s="3"/>
      <c r="Q3047" s="3"/>
      <c r="R3047" s="3"/>
      <c r="S3047" s="3"/>
      <c r="U3047" t="e">
        <v>#N/A</v>
      </c>
      <c r="V3047" t="s">
        <v>9961</v>
      </c>
      <c r="W3047" s="45">
        <v>1</v>
      </c>
      <c r="X3047" s="45">
        <v>1</v>
      </c>
      <c r="Y3047" s="45">
        <v>1</v>
      </c>
      <c r="Z3047" s="45">
        <v>0</v>
      </c>
      <c r="AA3047" s="45">
        <v>1</v>
      </c>
      <c r="AB3047" s="45">
        <v>1</v>
      </c>
      <c r="AC3047" s="150">
        <v>0</v>
      </c>
      <c r="AD3047" s="150">
        <v>1</v>
      </c>
      <c r="AE3047" s="49">
        <f t="shared" si="149"/>
        <v>0.75</v>
      </c>
      <c r="AF3047" s="17"/>
      <c r="AG3047" s="17">
        <v>0</v>
      </c>
      <c r="AH3047" s="17">
        <v>0</v>
      </c>
      <c r="AI3047" s="17">
        <v>0</v>
      </c>
      <c r="AJ3047" s="17">
        <v>0</v>
      </c>
      <c r="AK3047" s="153">
        <v>0</v>
      </c>
      <c r="AL3047" s="154">
        <v>0</v>
      </c>
      <c r="AM3047" s="17">
        <f t="shared" si="150"/>
        <v>0</v>
      </c>
      <c r="AN3047" t="s">
        <v>3643</v>
      </c>
      <c r="AO3047" s="18" t="s">
        <v>3630</v>
      </c>
      <c r="AP3047" t="s">
        <v>9962</v>
      </c>
    </row>
    <row r="3048" spans="1:42" customFormat="1" x14ac:dyDescent="0.3">
      <c r="A3048" s="148" t="s">
        <v>8319</v>
      </c>
      <c r="B3048" t="s">
        <v>8320</v>
      </c>
      <c r="C3048" s="148" t="s">
        <v>9410</v>
      </c>
      <c r="D3048" t="s">
        <v>9411</v>
      </c>
      <c r="E3048" s="148" t="s">
        <v>9412</v>
      </c>
      <c r="F3048" t="s">
        <v>9413</v>
      </c>
      <c r="G3048" s="148" t="s">
        <v>9414</v>
      </c>
      <c r="H3048" t="s">
        <v>9415</v>
      </c>
      <c r="K3048" s="155" t="s">
        <v>9427</v>
      </c>
      <c r="L3048" t="s">
        <v>9428</v>
      </c>
      <c r="N3048" s="3"/>
      <c r="O3048" s="3"/>
      <c r="P3048" s="3"/>
      <c r="Q3048" s="3"/>
      <c r="R3048" s="3"/>
      <c r="S3048" s="3"/>
      <c r="U3048" t="e">
        <v>#N/A</v>
      </c>
      <c r="V3048" t="s">
        <v>9963</v>
      </c>
      <c r="W3048" s="45">
        <v>1</v>
      </c>
      <c r="X3048" s="45">
        <v>1</v>
      </c>
      <c r="Y3048" s="45">
        <v>1</v>
      </c>
      <c r="Z3048" s="45">
        <v>0</v>
      </c>
      <c r="AA3048" s="45">
        <v>1</v>
      </c>
      <c r="AB3048" s="45">
        <v>1</v>
      </c>
      <c r="AC3048" s="150">
        <v>0</v>
      </c>
      <c r="AD3048" s="150">
        <v>1</v>
      </c>
      <c r="AE3048" s="49">
        <f t="shared" si="149"/>
        <v>0.75</v>
      </c>
      <c r="AF3048" s="17"/>
      <c r="AG3048" s="17">
        <v>0</v>
      </c>
      <c r="AH3048" s="17">
        <v>0</v>
      </c>
      <c r="AI3048" s="17">
        <v>0</v>
      </c>
      <c r="AJ3048" s="17">
        <v>0</v>
      </c>
      <c r="AK3048" s="153">
        <v>0</v>
      </c>
      <c r="AL3048" s="154">
        <v>0</v>
      </c>
      <c r="AM3048" s="17">
        <f t="shared" si="150"/>
        <v>0</v>
      </c>
      <c r="AN3048" t="s">
        <v>3643</v>
      </c>
      <c r="AO3048" s="18" t="s">
        <v>3630</v>
      </c>
      <c r="AP3048" t="s">
        <v>9962</v>
      </c>
    </row>
    <row r="3049" spans="1:42" customFormat="1" x14ac:dyDescent="0.3">
      <c r="A3049" s="148" t="s">
        <v>8319</v>
      </c>
      <c r="B3049" t="s">
        <v>8320</v>
      </c>
      <c r="C3049" s="148" t="s">
        <v>9410</v>
      </c>
      <c r="D3049" t="s">
        <v>9411</v>
      </c>
      <c r="E3049" s="148" t="s">
        <v>9412</v>
      </c>
      <c r="F3049" t="s">
        <v>9413</v>
      </c>
      <c r="G3049" s="148" t="s">
        <v>9661</v>
      </c>
      <c r="H3049" t="s">
        <v>9662</v>
      </c>
      <c r="I3049" s="148" t="s">
        <v>9663</v>
      </c>
      <c r="J3049" t="s">
        <v>9664</v>
      </c>
      <c r="K3049" s="148" t="s">
        <v>9964</v>
      </c>
      <c r="L3049" t="s">
        <v>9965</v>
      </c>
      <c r="M3049" t="s">
        <v>9966</v>
      </c>
      <c r="N3049" s="3">
        <v>10</v>
      </c>
      <c r="O3049" s="3">
        <v>15</v>
      </c>
      <c r="P3049" s="3">
        <v>25</v>
      </c>
      <c r="Q3049" s="3">
        <v>30</v>
      </c>
      <c r="R3049" s="3">
        <v>40</v>
      </c>
      <c r="S3049" s="3">
        <v>50</v>
      </c>
      <c r="T3049" t="s">
        <v>9967</v>
      </c>
      <c r="U3049" t="s">
        <v>9968</v>
      </c>
      <c r="V3049" t="s">
        <v>9969</v>
      </c>
      <c r="W3049" s="45">
        <v>1</v>
      </c>
      <c r="X3049" s="45">
        <v>1</v>
      </c>
      <c r="Y3049" s="45">
        <v>1</v>
      </c>
      <c r="Z3049" s="45">
        <v>1</v>
      </c>
      <c r="AA3049" s="45">
        <v>1</v>
      </c>
      <c r="AB3049" s="45">
        <v>0</v>
      </c>
      <c r="AC3049" s="150">
        <v>0</v>
      </c>
      <c r="AD3049" s="150">
        <v>1</v>
      </c>
      <c r="AE3049" s="49">
        <f t="shared" si="149"/>
        <v>0.75</v>
      </c>
      <c r="AF3049" s="44"/>
      <c r="AG3049" s="17">
        <v>0</v>
      </c>
      <c r="AH3049" s="44">
        <v>0</v>
      </c>
      <c r="AI3049" s="44">
        <v>0</v>
      </c>
      <c r="AJ3049" s="44">
        <v>0</v>
      </c>
      <c r="AK3049" s="151">
        <v>2</v>
      </c>
      <c r="AL3049" s="151">
        <v>2</v>
      </c>
      <c r="AM3049" s="17">
        <f t="shared" si="150"/>
        <v>4</v>
      </c>
      <c r="AN3049" s="44" t="s">
        <v>9967</v>
      </c>
      <c r="AO3049" s="18" t="s">
        <v>9968</v>
      </c>
      <c r="AP3049" t="s">
        <v>9970</v>
      </c>
    </row>
    <row r="3050" spans="1:42" customFormat="1" x14ac:dyDescent="0.3">
      <c r="A3050" s="148" t="s">
        <v>8319</v>
      </c>
      <c r="B3050" t="s">
        <v>8320</v>
      </c>
      <c r="C3050" s="148" t="s">
        <v>9410</v>
      </c>
      <c r="D3050" t="s">
        <v>9411</v>
      </c>
      <c r="E3050" s="148" t="s">
        <v>9412</v>
      </c>
      <c r="F3050" t="s">
        <v>9413</v>
      </c>
      <c r="G3050" s="148" t="s">
        <v>9661</v>
      </c>
      <c r="H3050" t="s">
        <v>9662</v>
      </c>
      <c r="I3050" s="148" t="s">
        <v>9663</v>
      </c>
      <c r="J3050" t="s">
        <v>9664</v>
      </c>
      <c r="K3050" s="148" t="s">
        <v>9964</v>
      </c>
      <c r="L3050" t="s">
        <v>9965</v>
      </c>
      <c r="M3050" t="s">
        <v>9971</v>
      </c>
      <c r="N3050" s="3">
        <v>36</v>
      </c>
      <c r="O3050" s="3">
        <v>40</v>
      </c>
      <c r="P3050" s="3">
        <v>50</v>
      </c>
      <c r="Q3050" s="3">
        <v>60</v>
      </c>
      <c r="R3050" s="3">
        <v>70</v>
      </c>
      <c r="S3050" s="3">
        <v>80</v>
      </c>
      <c r="T3050" t="s">
        <v>3643</v>
      </c>
      <c r="U3050" t="s">
        <v>3630</v>
      </c>
      <c r="V3050" t="s">
        <v>9972</v>
      </c>
      <c r="W3050" s="45">
        <v>1</v>
      </c>
      <c r="X3050" s="45">
        <v>0</v>
      </c>
      <c r="Y3050" s="45">
        <v>1</v>
      </c>
      <c r="Z3050" s="45">
        <v>1</v>
      </c>
      <c r="AA3050" s="45">
        <v>1</v>
      </c>
      <c r="AB3050" s="45">
        <v>0</v>
      </c>
      <c r="AC3050" s="150">
        <v>1</v>
      </c>
      <c r="AD3050" s="150">
        <v>1</v>
      </c>
      <c r="AE3050" s="49">
        <f t="shared" si="149"/>
        <v>0.75</v>
      </c>
      <c r="AF3050" s="17"/>
      <c r="AG3050" s="17">
        <v>0</v>
      </c>
      <c r="AH3050" s="17">
        <v>0</v>
      </c>
      <c r="AI3050" s="17">
        <v>0</v>
      </c>
      <c r="AJ3050" s="17">
        <v>0</v>
      </c>
      <c r="AK3050" s="153">
        <v>2</v>
      </c>
      <c r="AL3050" s="154">
        <v>2</v>
      </c>
      <c r="AM3050" s="17">
        <f t="shared" si="150"/>
        <v>4</v>
      </c>
      <c r="AN3050" s="18" t="s">
        <v>255</v>
      </c>
      <c r="AO3050" s="18" t="s">
        <v>1045</v>
      </c>
      <c r="AP3050" t="s">
        <v>9970</v>
      </c>
    </row>
    <row r="3051" spans="1:42" customFormat="1" x14ac:dyDescent="0.3">
      <c r="A3051" s="148" t="s">
        <v>8319</v>
      </c>
      <c r="B3051" t="s">
        <v>8320</v>
      </c>
      <c r="C3051" s="148" t="s">
        <v>9410</v>
      </c>
      <c r="D3051" t="s">
        <v>9411</v>
      </c>
      <c r="E3051" s="148" t="s">
        <v>9412</v>
      </c>
      <c r="F3051" t="s">
        <v>9413</v>
      </c>
      <c r="G3051" s="148" t="s">
        <v>9448</v>
      </c>
      <c r="H3051" t="s">
        <v>9449</v>
      </c>
      <c r="I3051" s="148" t="s">
        <v>9682</v>
      </c>
      <c r="J3051" t="s">
        <v>9683</v>
      </c>
      <c r="K3051" s="148" t="s">
        <v>9713</v>
      </c>
      <c r="L3051" t="s">
        <v>9714</v>
      </c>
      <c r="M3051" t="s">
        <v>9973</v>
      </c>
      <c r="N3051" s="3">
        <v>74</v>
      </c>
      <c r="O3051" s="3">
        <v>80</v>
      </c>
      <c r="P3051" s="3">
        <v>82</v>
      </c>
      <c r="Q3051" s="3">
        <v>84</v>
      </c>
      <c r="R3051" s="3">
        <v>85</v>
      </c>
      <c r="S3051" s="3">
        <v>86</v>
      </c>
      <c r="T3051" t="s">
        <v>3643</v>
      </c>
      <c r="U3051" t="s">
        <v>3630</v>
      </c>
      <c r="V3051" t="s">
        <v>9974</v>
      </c>
      <c r="W3051" s="45">
        <v>1</v>
      </c>
      <c r="X3051" s="45">
        <v>1</v>
      </c>
      <c r="Y3051" s="45">
        <v>1</v>
      </c>
      <c r="Z3051" s="45">
        <v>0</v>
      </c>
      <c r="AA3051" s="45">
        <v>1</v>
      </c>
      <c r="AB3051" s="45">
        <v>1</v>
      </c>
      <c r="AC3051" s="150">
        <v>0</v>
      </c>
      <c r="AD3051" s="150">
        <v>1</v>
      </c>
      <c r="AE3051" s="49">
        <f t="shared" si="149"/>
        <v>0.75</v>
      </c>
      <c r="AF3051" s="44"/>
      <c r="AG3051" s="17">
        <v>0</v>
      </c>
      <c r="AH3051" s="44">
        <v>30</v>
      </c>
      <c r="AI3051" s="44">
        <v>50</v>
      </c>
      <c r="AJ3051" s="44">
        <v>50</v>
      </c>
      <c r="AK3051" s="151">
        <v>50</v>
      </c>
      <c r="AL3051" s="151">
        <v>50</v>
      </c>
      <c r="AM3051" s="17">
        <f t="shared" si="150"/>
        <v>100</v>
      </c>
      <c r="AN3051" t="s">
        <v>9678</v>
      </c>
      <c r="AO3051" s="18" t="s">
        <v>9679</v>
      </c>
      <c r="AP3051" t="s">
        <v>9975</v>
      </c>
    </row>
    <row r="3052" spans="1:42" customFormat="1" x14ac:dyDescent="0.3">
      <c r="A3052" s="148" t="s">
        <v>8319</v>
      </c>
      <c r="B3052" t="s">
        <v>8320</v>
      </c>
      <c r="C3052" s="148" t="s">
        <v>9410</v>
      </c>
      <c r="D3052" t="s">
        <v>9411</v>
      </c>
      <c r="E3052" s="148" t="s">
        <v>9412</v>
      </c>
      <c r="F3052" t="s">
        <v>9413</v>
      </c>
      <c r="G3052" s="148" t="s">
        <v>9448</v>
      </c>
      <c r="H3052" t="s">
        <v>9449</v>
      </c>
      <c r="I3052" s="148" t="s">
        <v>9682</v>
      </c>
      <c r="J3052" t="s">
        <v>9683</v>
      </c>
      <c r="K3052" s="148" t="s">
        <v>9976</v>
      </c>
      <c r="L3052" t="s">
        <v>9977</v>
      </c>
      <c r="M3052" t="s">
        <v>9978</v>
      </c>
      <c r="N3052" s="3">
        <v>0</v>
      </c>
      <c r="O3052" s="3">
        <v>0</v>
      </c>
      <c r="P3052" s="3">
        <v>1</v>
      </c>
      <c r="Q3052" s="3">
        <v>1</v>
      </c>
      <c r="R3052" s="3">
        <v>1</v>
      </c>
      <c r="S3052" s="3">
        <v>1</v>
      </c>
      <c r="T3052" t="s">
        <v>9979</v>
      </c>
      <c r="U3052" t="e">
        <v>#N/A</v>
      </c>
      <c r="V3052" t="s">
        <v>9980</v>
      </c>
      <c r="W3052" s="45">
        <v>1</v>
      </c>
      <c r="X3052" s="45">
        <v>1</v>
      </c>
      <c r="Y3052" s="45">
        <v>1</v>
      </c>
      <c r="Z3052" s="45">
        <v>1</v>
      </c>
      <c r="AA3052" s="45">
        <v>1</v>
      </c>
      <c r="AB3052" s="45">
        <v>1</v>
      </c>
      <c r="AC3052" s="150">
        <v>0</v>
      </c>
      <c r="AD3052" s="150">
        <v>0</v>
      </c>
      <c r="AE3052" s="49">
        <f t="shared" si="149"/>
        <v>0.75</v>
      </c>
      <c r="AF3052" s="44"/>
      <c r="AG3052" s="17">
        <v>0</v>
      </c>
      <c r="AH3052" s="44">
        <v>0</v>
      </c>
      <c r="AI3052" s="44">
        <v>0.05</v>
      </c>
      <c r="AJ3052" s="44">
        <v>0</v>
      </c>
      <c r="AK3052" s="151">
        <v>0</v>
      </c>
      <c r="AL3052" s="151">
        <v>0</v>
      </c>
      <c r="AM3052" s="17">
        <f t="shared" si="150"/>
        <v>0</v>
      </c>
      <c r="AN3052" t="s">
        <v>3643</v>
      </c>
      <c r="AO3052" s="18" t="s">
        <v>3630</v>
      </c>
      <c r="AP3052" t="s">
        <v>723</v>
      </c>
    </row>
    <row r="3053" spans="1:42" customFormat="1" x14ac:dyDescent="0.3">
      <c r="A3053" s="148" t="s">
        <v>8319</v>
      </c>
      <c r="B3053" t="s">
        <v>8320</v>
      </c>
      <c r="C3053" s="148" t="s">
        <v>9410</v>
      </c>
      <c r="D3053" t="s">
        <v>9411</v>
      </c>
      <c r="E3053" s="148" t="s">
        <v>9412</v>
      </c>
      <c r="F3053" t="s">
        <v>9413</v>
      </c>
      <c r="G3053" s="148" t="s">
        <v>9448</v>
      </c>
      <c r="H3053" t="s">
        <v>9449</v>
      </c>
      <c r="I3053" s="148" t="s">
        <v>9450</v>
      </c>
      <c r="J3053" t="s">
        <v>9451</v>
      </c>
      <c r="K3053" s="148" t="s">
        <v>9981</v>
      </c>
      <c r="L3053" t="s">
        <v>9982</v>
      </c>
      <c r="M3053" t="s">
        <v>9983</v>
      </c>
      <c r="N3053" s="3">
        <v>0</v>
      </c>
      <c r="O3053" s="3">
        <v>200</v>
      </c>
      <c r="P3053" s="3">
        <v>200</v>
      </c>
      <c r="Q3053" s="3">
        <v>200</v>
      </c>
      <c r="R3053" s="3">
        <v>200</v>
      </c>
      <c r="S3053" s="3">
        <v>200</v>
      </c>
      <c r="T3053" t="s">
        <v>3643</v>
      </c>
      <c r="U3053" t="s">
        <v>3630</v>
      </c>
      <c r="V3053" t="s">
        <v>9984</v>
      </c>
      <c r="W3053" s="45">
        <v>1</v>
      </c>
      <c r="X3053" s="45">
        <v>1</v>
      </c>
      <c r="Y3053" s="45">
        <v>1</v>
      </c>
      <c r="Z3053" s="45">
        <v>0</v>
      </c>
      <c r="AA3053" s="45">
        <v>1</v>
      </c>
      <c r="AB3053" s="45">
        <v>1</v>
      </c>
      <c r="AC3053" s="150">
        <v>0</v>
      </c>
      <c r="AD3053" s="150">
        <v>1</v>
      </c>
      <c r="AE3053" s="49">
        <f t="shared" si="149"/>
        <v>0.75</v>
      </c>
      <c r="AF3053" s="44"/>
      <c r="AG3053" s="17">
        <v>0</v>
      </c>
      <c r="AH3053" s="44">
        <v>4.34</v>
      </c>
      <c r="AI3053" s="44">
        <v>4.5599999999999996</v>
      </c>
      <c r="AJ3053" s="44">
        <v>4.79</v>
      </c>
      <c r="AK3053" s="151">
        <v>5.03</v>
      </c>
      <c r="AL3053" s="151">
        <v>5.28</v>
      </c>
      <c r="AM3053" s="17">
        <f t="shared" si="150"/>
        <v>10.31</v>
      </c>
      <c r="AN3053" t="s">
        <v>3643</v>
      </c>
      <c r="AO3053" s="18" t="s">
        <v>3630</v>
      </c>
      <c r="AP3053" t="s">
        <v>9985</v>
      </c>
    </row>
    <row r="3054" spans="1:42" customFormat="1" x14ac:dyDescent="0.3">
      <c r="A3054" s="148" t="s">
        <v>8319</v>
      </c>
      <c r="B3054" t="s">
        <v>8320</v>
      </c>
      <c r="C3054" s="148" t="s">
        <v>9410</v>
      </c>
      <c r="D3054" t="s">
        <v>9411</v>
      </c>
      <c r="E3054" s="148" t="s">
        <v>9412</v>
      </c>
      <c r="F3054" t="s">
        <v>9413</v>
      </c>
      <c r="G3054" s="148" t="s">
        <v>9448</v>
      </c>
      <c r="H3054" t="s">
        <v>9449</v>
      </c>
      <c r="I3054" s="148" t="s">
        <v>9450</v>
      </c>
      <c r="J3054" t="s">
        <v>9451</v>
      </c>
      <c r="K3054" s="148" t="s">
        <v>9981</v>
      </c>
      <c r="L3054" t="s">
        <v>9982</v>
      </c>
      <c r="M3054" t="s">
        <v>9986</v>
      </c>
      <c r="N3054" s="3">
        <v>0</v>
      </c>
      <c r="O3054" s="3">
        <v>50</v>
      </c>
      <c r="P3054" s="3">
        <v>50</v>
      </c>
      <c r="Q3054" s="3">
        <v>50</v>
      </c>
      <c r="R3054" s="3">
        <v>50</v>
      </c>
      <c r="S3054" s="3">
        <v>50</v>
      </c>
      <c r="T3054" t="s">
        <v>3643</v>
      </c>
      <c r="U3054" t="s">
        <v>3630</v>
      </c>
      <c r="W3054" s="45">
        <v>1</v>
      </c>
      <c r="X3054" s="45">
        <v>1</v>
      </c>
      <c r="Y3054" s="45">
        <v>1</v>
      </c>
      <c r="Z3054" s="45">
        <v>0</v>
      </c>
      <c r="AA3054" s="45">
        <v>1</v>
      </c>
      <c r="AB3054" s="45">
        <v>1</v>
      </c>
      <c r="AC3054" s="150">
        <v>0</v>
      </c>
      <c r="AD3054" s="150">
        <v>1</v>
      </c>
      <c r="AE3054" s="49">
        <f t="shared" si="149"/>
        <v>0.75</v>
      </c>
      <c r="AF3054" s="4"/>
      <c r="AG3054" s="17">
        <v>0</v>
      </c>
      <c r="AH3054" s="4"/>
      <c r="AI3054" s="4"/>
      <c r="AJ3054" s="4"/>
      <c r="AK3054" s="46"/>
      <c r="AL3054" s="46"/>
      <c r="AM3054" s="17">
        <f t="shared" si="150"/>
        <v>0</v>
      </c>
      <c r="AO3054" s="18"/>
    </row>
    <row r="3055" spans="1:42" customFormat="1" x14ac:dyDescent="0.3">
      <c r="A3055" s="148" t="s">
        <v>8319</v>
      </c>
      <c r="B3055" t="s">
        <v>8320</v>
      </c>
      <c r="C3055" s="148" t="s">
        <v>9410</v>
      </c>
      <c r="D3055" t="s">
        <v>9411</v>
      </c>
      <c r="E3055" s="148" t="s">
        <v>9412</v>
      </c>
      <c r="F3055" t="s">
        <v>9413</v>
      </c>
      <c r="G3055" s="148" t="s">
        <v>9448</v>
      </c>
      <c r="H3055" t="s">
        <v>9449</v>
      </c>
      <c r="I3055" s="148" t="s">
        <v>9763</v>
      </c>
      <c r="J3055" t="s">
        <v>9764</v>
      </c>
      <c r="K3055" s="148" t="s">
        <v>9765</v>
      </c>
      <c r="L3055" t="s">
        <v>9766</v>
      </c>
      <c r="M3055" t="s">
        <v>9987</v>
      </c>
      <c r="N3055" s="3">
        <v>51</v>
      </c>
      <c r="O3055" s="3">
        <v>55</v>
      </c>
      <c r="P3055" s="3">
        <v>57</v>
      </c>
      <c r="Q3055" s="3">
        <v>59</v>
      </c>
      <c r="R3055" s="3">
        <v>61</v>
      </c>
      <c r="S3055" s="3">
        <v>63</v>
      </c>
      <c r="T3055" t="s">
        <v>3643</v>
      </c>
      <c r="U3055" t="s">
        <v>3630</v>
      </c>
      <c r="V3055" t="s">
        <v>9988</v>
      </c>
      <c r="W3055" s="45">
        <v>1</v>
      </c>
      <c r="X3055" s="45">
        <v>1</v>
      </c>
      <c r="Y3055" s="45">
        <v>1</v>
      </c>
      <c r="Z3055" s="45">
        <v>1</v>
      </c>
      <c r="AA3055" s="45">
        <v>0</v>
      </c>
      <c r="AB3055" s="45">
        <v>1</v>
      </c>
      <c r="AC3055" s="150">
        <v>0</v>
      </c>
      <c r="AD3055" s="150">
        <v>1</v>
      </c>
      <c r="AE3055" s="49">
        <f t="shared" si="149"/>
        <v>0.75</v>
      </c>
      <c r="AF3055" s="44"/>
      <c r="AG3055" s="17">
        <v>0</v>
      </c>
      <c r="AH3055" s="44">
        <v>400</v>
      </c>
      <c r="AI3055" s="44">
        <v>430</v>
      </c>
      <c r="AJ3055" s="44">
        <v>415.83333300000004</v>
      </c>
      <c r="AK3055" s="151">
        <v>415.83333300000004</v>
      </c>
      <c r="AL3055" s="151">
        <v>495.83333300000004</v>
      </c>
      <c r="AM3055" s="17">
        <f t="shared" si="150"/>
        <v>911.66666600000008</v>
      </c>
      <c r="AN3055" t="s">
        <v>9640</v>
      </c>
      <c r="AO3055" s="18" t="s">
        <v>9989</v>
      </c>
      <c r="AP3055" t="s">
        <v>9990</v>
      </c>
    </row>
    <row r="3056" spans="1:42" customFormat="1" x14ac:dyDescent="0.3">
      <c r="A3056" s="148" t="s">
        <v>8319</v>
      </c>
      <c r="B3056" t="s">
        <v>8320</v>
      </c>
      <c r="C3056" s="148" t="s">
        <v>9410</v>
      </c>
      <c r="D3056" t="s">
        <v>9411</v>
      </c>
      <c r="E3056" s="148" t="s">
        <v>9412</v>
      </c>
      <c r="F3056" t="s">
        <v>9413</v>
      </c>
      <c r="G3056" s="148" t="s">
        <v>9448</v>
      </c>
      <c r="H3056" t="s">
        <v>9449</v>
      </c>
      <c r="I3056" s="148" t="s">
        <v>9763</v>
      </c>
      <c r="J3056" t="s">
        <v>9764</v>
      </c>
      <c r="K3056" s="148" t="s">
        <v>9765</v>
      </c>
      <c r="L3056" t="s">
        <v>9766</v>
      </c>
      <c r="M3056" t="s">
        <v>9991</v>
      </c>
      <c r="N3056" s="3"/>
      <c r="O3056" s="3">
        <v>90</v>
      </c>
      <c r="P3056" s="3">
        <v>90</v>
      </c>
      <c r="Q3056" s="3">
        <v>90</v>
      </c>
      <c r="R3056" s="3">
        <v>90</v>
      </c>
      <c r="S3056" s="3">
        <v>90</v>
      </c>
      <c r="T3056" t="s">
        <v>9368</v>
      </c>
      <c r="U3056" t="e">
        <v>#N/A</v>
      </c>
      <c r="V3056" t="s">
        <v>9992</v>
      </c>
      <c r="W3056" s="45">
        <v>1</v>
      </c>
      <c r="X3056" s="45">
        <v>1</v>
      </c>
      <c r="Y3056" s="45">
        <v>1</v>
      </c>
      <c r="Z3056" s="45">
        <v>1</v>
      </c>
      <c r="AA3056" s="45">
        <v>1</v>
      </c>
      <c r="AB3056" s="45">
        <v>1</v>
      </c>
      <c r="AC3056" s="150">
        <v>0</v>
      </c>
      <c r="AD3056" s="150">
        <v>0</v>
      </c>
      <c r="AE3056" s="49">
        <f t="shared" si="149"/>
        <v>0.75</v>
      </c>
      <c r="AF3056" s="44"/>
      <c r="AG3056" s="17">
        <v>0</v>
      </c>
      <c r="AH3056" s="44">
        <v>0.3</v>
      </c>
      <c r="AI3056" s="44">
        <v>0.3</v>
      </c>
      <c r="AJ3056" s="44">
        <v>0.3</v>
      </c>
      <c r="AK3056" s="151">
        <v>0.3</v>
      </c>
      <c r="AL3056" s="151">
        <v>0.3</v>
      </c>
      <c r="AM3056" s="17">
        <f t="shared" si="150"/>
        <v>0.6</v>
      </c>
      <c r="AN3056" t="s">
        <v>3643</v>
      </c>
      <c r="AO3056" s="18" t="s">
        <v>3630</v>
      </c>
      <c r="AP3056" t="s">
        <v>9993</v>
      </c>
    </row>
    <row r="3057" spans="1:42" customFormat="1" x14ac:dyDescent="0.3">
      <c r="A3057" s="148" t="s">
        <v>8319</v>
      </c>
      <c r="B3057" t="s">
        <v>8320</v>
      </c>
      <c r="C3057" s="148" t="s">
        <v>9410</v>
      </c>
      <c r="D3057" t="s">
        <v>9411</v>
      </c>
      <c r="E3057" s="148" t="s">
        <v>9412</v>
      </c>
      <c r="F3057" t="s">
        <v>9413</v>
      </c>
      <c r="G3057" s="148" t="s">
        <v>9448</v>
      </c>
      <c r="H3057" t="s">
        <v>9449</v>
      </c>
      <c r="I3057" s="148" t="s">
        <v>9796</v>
      </c>
      <c r="J3057" t="s">
        <v>9797</v>
      </c>
      <c r="K3057" s="148" t="s">
        <v>9798</v>
      </c>
      <c r="L3057" t="s">
        <v>9799</v>
      </c>
      <c r="M3057" t="s">
        <v>9994</v>
      </c>
      <c r="N3057" s="3"/>
      <c r="O3057" s="3">
        <v>50</v>
      </c>
      <c r="P3057" s="3">
        <v>60</v>
      </c>
      <c r="Q3057" s="3">
        <v>70</v>
      </c>
      <c r="R3057" s="3">
        <v>80</v>
      </c>
      <c r="S3057" s="3">
        <v>90</v>
      </c>
      <c r="T3057" t="s">
        <v>9995</v>
      </c>
      <c r="U3057" t="e">
        <v>#N/A</v>
      </c>
      <c r="V3057" t="s">
        <v>9996</v>
      </c>
      <c r="W3057" s="45">
        <v>1</v>
      </c>
      <c r="X3057" s="45">
        <v>1</v>
      </c>
      <c r="Y3057" s="45">
        <v>0</v>
      </c>
      <c r="Z3057" s="45">
        <v>1</v>
      </c>
      <c r="AA3057" s="45">
        <v>1</v>
      </c>
      <c r="AB3057" s="45">
        <v>1</v>
      </c>
      <c r="AC3057" s="150">
        <v>0</v>
      </c>
      <c r="AD3057" s="150">
        <v>1</v>
      </c>
      <c r="AE3057" s="49">
        <f t="shared" si="149"/>
        <v>0.75</v>
      </c>
      <c r="AF3057" s="44"/>
      <c r="AG3057" s="17">
        <v>0</v>
      </c>
      <c r="AH3057" s="44">
        <v>0</v>
      </c>
      <c r="AI3057" s="44">
        <v>0</v>
      </c>
      <c r="AJ3057" s="44">
        <v>0</v>
      </c>
      <c r="AK3057" s="151">
        <v>0</v>
      </c>
      <c r="AL3057" s="151">
        <v>0</v>
      </c>
      <c r="AM3057" s="17">
        <f t="shared" si="150"/>
        <v>0</v>
      </c>
      <c r="AN3057" t="s">
        <v>3643</v>
      </c>
      <c r="AO3057" s="18" t="s">
        <v>3630</v>
      </c>
      <c r="AP3057" t="s">
        <v>9802</v>
      </c>
    </row>
    <row r="3058" spans="1:42" customFormat="1" x14ac:dyDescent="0.3">
      <c r="A3058" s="148" t="s">
        <v>8319</v>
      </c>
      <c r="B3058" t="s">
        <v>8320</v>
      </c>
      <c r="C3058" s="148" t="s">
        <v>9410</v>
      </c>
      <c r="D3058" t="s">
        <v>9411</v>
      </c>
      <c r="E3058" s="148" t="s">
        <v>9412</v>
      </c>
      <c r="F3058" t="s">
        <v>9413</v>
      </c>
      <c r="G3058" s="148" t="s">
        <v>9997</v>
      </c>
      <c r="H3058" t="s">
        <v>9998</v>
      </c>
      <c r="I3058" s="148" t="s">
        <v>9999</v>
      </c>
      <c r="J3058" t="s">
        <v>10000</v>
      </c>
      <c r="K3058" s="148" t="s">
        <v>10001</v>
      </c>
      <c r="L3058" t="s">
        <v>10002</v>
      </c>
      <c r="N3058" s="3"/>
      <c r="O3058" s="3"/>
      <c r="P3058" s="3"/>
      <c r="Q3058" s="3"/>
      <c r="R3058" s="3"/>
      <c r="S3058" s="3"/>
      <c r="U3058" t="e">
        <v>#N/A</v>
      </c>
      <c r="V3058" t="s">
        <v>10003</v>
      </c>
      <c r="W3058" s="45">
        <v>1</v>
      </c>
      <c r="X3058" s="45">
        <v>0</v>
      </c>
      <c r="Y3058" s="45">
        <v>1</v>
      </c>
      <c r="Z3058" s="45">
        <v>1</v>
      </c>
      <c r="AA3058" s="45">
        <v>1</v>
      </c>
      <c r="AB3058" s="45">
        <v>1</v>
      </c>
      <c r="AC3058" s="150">
        <v>0</v>
      </c>
      <c r="AD3058" s="150">
        <v>1</v>
      </c>
      <c r="AE3058" s="49">
        <f t="shared" si="149"/>
        <v>0.75</v>
      </c>
      <c r="AF3058" s="17"/>
      <c r="AG3058" s="17">
        <v>0</v>
      </c>
      <c r="AH3058" s="17">
        <v>0</v>
      </c>
      <c r="AI3058" s="17">
        <v>0</v>
      </c>
      <c r="AJ3058" s="17">
        <v>0</v>
      </c>
      <c r="AK3058" s="153">
        <v>2</v>
      </c>
      <c r="AL3058" s="154">
        <v>2</v>
      </c>
      <c r="AM3058" s="17">
        <f t="shared" si="150"/>
        <v>4</v>
      </c>
      <c r="AN3058" s="44" t="s">
        <v>255</v>
      </c>
      <c r="AO3058" s="18" t="s">
        <v>1045</v>
      </c>
      <c r="AP3058" t="s">
        <v>3643</v>
      </c>
    </row>
    <row r="3059" spans="1:42" customFormat="1" x14ac:dyDescent="0.3">
      <c r="A3059" s="148" t="s">
        <v>8319</v>
      </c>
      <c r="B3059" t="s">
        <v>8320</v>
      </c>
      <c r="C3059" s="148" t="s">
        <v>9410</v>
      </c>
      <c r="D3059" t="s">
        <v>9411</v>
      </c>
      <c r="E3059" s="148" t="s">
        <v>9412</v>
      </c>
      <c r="F3059" t="s">
        <v>9413</v>
      </c>
      <c r="G3059" s="148" t="s">
        <v>9997</v>
      </c>
      <c r="H3059" t="s">
        <v>9998</v>
      </c>
      <c r="I3059" s="148" t="s">
        <v>9999</v>
      </c>
      <c r="J3059" t="s">
        <v>10000</v>
      </c>
      <c r="K3059" s="148" t="s">
        <v>10001</v>
      </c>
      <c r="L3059" t="s">
        <v>10002</v>
      </c>
      <c r="N3059" s="3"/>
      <c r="O3059" s="3"/>
      <c r="P3059" s="3"/>
      <c r="Q3059" s="3"/>
      <c r="R3059" s="3"/>
      <c r="S3059" s="3"/>
      <c r="U3059" t="e">
        <v>#N/A</v>
      </c>
      <c r="V3059" t="s">
        <v>10004</v>
      </c>
      <c r="W3059" s="45">
        <v>1</v>
      </c>
      <c r="X3059" s="45">
        <v>0</v>
      </c>
      <c r="Y3059" s="45">
        <v>1</v>
      </c>
      <c r="Z3059" s="45">
        <v>1</v>
      </c>
      <c r="AA3059" s="45">
        <v>0</v>
      </c>
      <c r="AB3059" s="45">
        <v>1</v>
      </c>
      <c r="AC3059" s="150">
        <v>1</v>
      </c>
      <c r="AD3059" s="150">
        <v>1</v>
      </c>
      <c r="AE3059" s="49">
        <f t="shared" si="149"/>
        <v>0.75</v>
      </c>
      <c r="AF3059" s="17"/>
      <c r="AG3059" s="17">
        <v>0</v>
      </c>
      <c r="AH3059" s="17">
        <v>0</v>
      </c>
      <c r="AI3059" s="17">
        <v>0</v>
      </c>
      <c r="AJ3059" s="17">
        <v>0</v>
      </c>
      <c r="AK3059" s="153">
        <v>0</v>
      </c>
      <c r="AL3059" s="154">
        <v>0</v>
      </c>
      <c r="AM3059" s="17">
        <f t="shared" si="150"/>
        <v>0</v>
      </c>
      <c r="AN3059" s="44" t="s">
        <v>255</v>
      </c>
      <c r="AO3059" s="18" t="s">
        <v>1045</v>
      </c>
      <c r="AP3059" t="s">
        <v>3643</v>
      </c>
    </row>
    <row r="3060" spans="1:42" customFormat="1" x14ac:dyDescent="0.3">
      <c r="A3060" s="148" t="s">
        <v>8319</v>
      </c>
      <c r="B3060" t="s">
        <v>8320</v>
      </c>
      <c r="C3060" s="148" t="s">
        <v>9410</v>
      </c>
      <c r="D3060" t="s">
        <v>9411</v>
      </c>
      <c r="E3060" s="148" t="s">
        <v>9412</v>
      </c>
      <c r="F3060" t="s">
        <v>9413</v>
      </c>
      <c r="G3060" s="148" t="s">
        <v>9997</v>
      </c>
      <c r="H3060" t="s">
        <v>9998</v>
      </c>
      <c r="I3060" s="148" t="s">
        <v>9999</v>
      </c>
      <c r="J3060" t="s">
        <v>10000</v>
      </c>
      <c r="K3060" s="148" t="s">
        <v>10001</v>
      </c>
      <c r="L3060" t="s">
        <v>10002</v>
      </c>
      <c r="N3060" s="3"/>
      <c r="O3060" s="3"/>
      <c r="P3060" s="3"/>
      <c r="Q3060" s="3"/>
      <c r="R3060" s="3"/>
      <c r="S3060" s="3"/>
      <c r="U3060" t="e">
        <v>#N/A</v>
      </c>
      <c r="V3060" t="s">
        <v>10005</v>
      </c>
      <c r="W3060" s="45">
        <v>1</v>
      </c>
      <c r="X3060" s="45">
        <v>0</v>
      </c>
      <c r="Y3060" s="45">
        <v>1</v>
      </c>
      <c r="Z3060" s="45">
        <v>1</v>
      </c>
      <c r="AA3060" s="45">
        <v>0</v>
      </c>
      <c r="AB3060" s="45">
        <v>1</v>
      </c>
      <c r="AC3060" s="150">
        <v>1</v>
      </c>
      <c r="AD3060" s="150">
        <v>1</v>
      </c>
      <c r="AE3060" s="49">
        <f t="shared" si="149"/>
        <v>0.75</v>
      </c>
      <c r="AF3060" s="17"/>
      <c r="AG3060" s="17">
        <v>0</v>
      </c>
      <c r="AH3060" s="17">
        <v>0</v>
      </c>
      <c r="AI3060" s="17">
        <v>0</v>
      </c>
      <c r="AJ3060" s="17">
        <v>0</v>
      </c>
      <c r="AK3060" s="153">
        <v>2</v>
      </c>
      <c r="AL3060" s="154">
        <v>2</v>
      </c>
      <c r="AM3060" s="17">
        <f t="shared" si="150"/>
        <v>4</v>
      </c>
      <c r="AN3060" t="s">
        <v>3643</v>
      </c>
      <c r="AO3060" s="18" t="s">
        <v>3630</v>
      </c>
      <c r="AP3060" t="s">
        <v>10006</v>
      </c>
    </row>
    <row r="3061" spans="1:42" customFormat="1" x14ac:dyDescent="0.3">
      <c r="A3061" s="148" t="s">
        <v>8319</v>
      </c>
      <c r="B3061" t="s">
        <v>8320</v>
      </c>
      <c r="C3061" s="148" t="s">
        <v>9410</v>
      </c>
      <c r="D3061" t="s">
        <v>9411</v>
      </c>
      <c r="E3061" s="148" t="s">
        <v>9412</v>
      </c>
      <c r="F3061" t="s">
        <v>9413</v>
      </c>
      <c r="G3061" s="148" t="s">
        <v>9997</v>
      </c>
      <c r="H3061" t="s">
        <v>9998</v>
      </c>
      <c r="I3061" s="148" t="s">
        <v>9999</v>
      </c>
      <c r="J3061" t="s">
        <v>10000</v>
      </c>
      <c r="K3061" s="148" t="s">
        <v>10001</v>
      </c>
      <c r="L3061" t="s">
        <v>10002</v>
      </c>
      <c r="N3061" s="3"/>
      <c r="O3061" s="3"/>
      <c r="P3061" s="3"/>
      <c r="Q3061" s="3"/>
      <c r="R3061" s="3"/>
      <c r="S3061" s="3"/>
      <c r="U3061" t="e">
        <v>#N/A</v>
      </c>
      <c r="V3061" t="s">
        <v>10007</v>
      </c>
      <c r="W3061" s="45">
        <v>1</v>
      </c>
      <c r="X3061" s="45">
        <v>0</v>
      </c>
      <c r="Y3061" s="45">
        <v>1</v>
      </c>
      <c r="Z3061" s="45">
        <v>1</v>
      </c>
      <c r="AA3061" s="45">
        <v>0</v>
      </c>
      <c r="AB3061" s="45">
        <v>1</v>
      </c>
      <c r="AC3061" s="150">
        <v>1</v>
      </c>
      <c r="AD3061" s="150">
        <v>1</v>
      </c>
      <c r="AE3061" s="49">
        <f t="shared" si="149"/>
        <v>0.75</v>
      </c>
      <c r="AF3061" s="17"/>
      <c r="AG3061" s="17">
        <v>0</v>
      </c>
      <c r="AH3061" s="17">
        <v>0</v>
      </c>
      <c r="AI3061" s="17">
        <v>0</v>
      </c>
      <c r="AJ3061" s="17">
        <v>0</v>
      </c>
      <c r="AK3061" s="153">
        <v>0</v>
      </c>
      <c r="AL3061" s="154">
        <v>0</v>
      </c>
      <c r="AM3061" s="17">
        <f t="shared" si="150"/>
        <v>0</v>
      </c>
      <c r="AN3061" s="18" t="s">
        <v>255</v>
      </c>
      <c r="AO3061" s="18" t="s">
        <v>1045</v>
      </c>
      <c r="AP3061" t="s">
        <v>3643</v>
      </c>
    </row>
    <row r="3062" spans="1:42" customFormat="1" x14ac:dyDescent="0.3">
      <c r="A3062" s="148" t="s">
        <v>8319</v>
      </c>
      <c r="B3062" t="s">
        <v>8320</v>
      </c>
      <c r="C3062" s="148" t="s">
        <v>9410</v>
      </c>
      <c r="D3062" t="s">
        <v>9411</v>
      </c>
      <c r="E3062" s="148" t="s">
        <v>9412</v>
      </c>
      <c r="F3062" t="s">
        <v>9413</v>
      </c>
      <c r="G3062" s="148" t="s">
        <v>10008</v>
      </c>
      <c r="H3062" t="s">
        <v>10009</v>
      </c>
      <c r="K3062" s="148" t="s">
        <v>10010</v>
      </c>
      <c r="L3062" t="s">
        <v>10011</v>
      </c>
      <c r="M3062" t="s">
        <v>10012</v>
      </c>
      <c r="N3062" s="3"/>
      <c r="O3062" s="3">
        <v>1800</v>
      </c>
      <c r="P3062" s="3">
        <v>2000</v>
      </c>
      <c r="Q3062" s="3">
        <v>2200</v>
      </c>
      <c r="R3062" s="3">
        <v>2300</v>
      </c>
      <c r="S3062" s="3">
        <v>2400</v>
      </c>
      <c r="T3062" t="s">
        <v>9738</v>
      </c>
      <c r="U3062" t="e">
        <v>#N/A</v>
      </c>
      <c r="V3062" t="s">
        <v>10013</v>
      </c>
      <c r="W3062" s="45">
        <v>1</v>
      </c>
      <c r="X3062" s="45">
        <v>1</v>
      </c>
      <c r="Y3062" s="45">
        <v>1</v>
      </c>
      <c r="Z3062" s="45">
        <v>1</v>
      </c>
      <c r="AA3062" s="45">
        <v>0</v>
      </c>
      <c r="AB3062" s="45">
        <v>1</v>
      </c>
      <c r="AC3062" s="150">
        <v>1</v>
      </c>
      <c r="AD3062" s="150">
        <v>0</v>
      </c>
      <c r="AE3062" s="49">
        <f t="shared" si="149"/>
        <v>0.75</v>
      </c>
      <c r="AF3062" s="17"/>
      <c r="AG3062" s="17">
        <v>0</v>
      </c>
      <c r="AH3062" s="17">
        <v>0</v>
      </c>
      <c r="AI3062" s="17">
        <v>0</v>
      </c>
      <c r="AJ3062" s="17">
        <v>0</v>
      </c>
      <c r="AK3062" s="153">
        <v>0</v>
      </c>
      <c r="AL3062" s="154">
        <v>0</v>
      </c>
      <c r="AM3062" s="17">
        <f t="shared" si="150"/>
        <v>0</v>
      </c>
      <c r="AN3062" t="s">
        <v>3643</v>
      </c>
      <c r="AO3062" s="18" t="s">
        <v>3630</v>
      </c>
      <c r="AP3062" t="s">
        <v>10014</v>
      </c>
    </row>
    <row r="3063" spans="1:42" customFormat="1" x14ac:dyDescent="0.3">
      <c r="A3063" s="148" t="s">
        <v>8319</v>
      </c>
      <c r="B3063" t="s">
        <v>8320</v>
      </c>
      <c r="C3063" s="148" t="s">
        <v>9410</v>
      </c>
      <c r="D3063" t="s">
        <v>9411</v>
      </c>
      <c r="E3063" s="148" t="s">
        <v>9412</v>
      </c>
      <c r="F3063" t="s">
        <v>9413</v>
      </c>
      <c r="G3063" s="148" t="s">
        <v>10008</v>
      </c>
      <c r="H3063" t="s">
        <v>10009</v>
      </c>
      <c r="K3063" s="148" t="s">
        <v>10010</v>
      </c>
      <c r="L3063" t="s">
        <v>10011</v>
      </c>
      <c r="M3063" t="s">
        <v>10015</v>
      </c>
      <c r="N3063" s="3"/>
      <c r="O3063" s="3">
        <v>20</v>
      </c>
      <c r="P3063" s="3">
        <v>40</v>
      </c>
      <c r="Q3063" s="3">
        <v>50</v>
      </c>
      <c r="R3063" s="3">
        <v>75</v>
      </c>
      <c r="S3063" s="3">
        <v>100</v>
      </c>
      <c r="T3063" t="s">
        <v>9368</v>
      </c>
      <c r="U3063" t="e">
        <v>#N/A</v>
      </c>
      <c r="V3063" t="s">
        <v>10016</v>
      </c>
      <c r="W3063" s="45">
        <v>1</v>
      </c>
      <c r="X3063" s="45">
        <v>1</v>
      </c>
      <c r="Y3063" s="45">
        <v>1</v>
      </c>
      <c r="Z3063" s="45">
        <v>1</v>
      </c>
      <c r="AA3063" s="45">
        <v>0</v>
      </c>
      <c r="AB3063" s="45">
        <v>1</v>
      </c>
      <c r="AC3063" s="150">
        <v>1</v>
      </c>
      <c r="AD3063" s="150">
        <v>0</v>
      </c>
      <c r="AE3063" s="49">
        <f t="shared" si="149"/>
        <v>0.75</v>
      </c>
      <c r="AF3063" s="17"/>
      <c r="AG3063" s="17">
        <v>0</v>
      </c>
      <c r="AH3063" s="17">
        <v>0</v>
      </c>
      <c r="AI3063" s="17">
        <v>0</v>
      </c>
      <c r="AJ3063" s="17">
        <v>0</v>
      </c>
      <c r="AK3063" s="153">
        <v>0</v>
      </c>
      <c r="AL3063" s="154">
        <v>0</v>
      </c>
      <c r="AM3063" s="17">
        <f t="shared" si="150"/>
        <v>0</v>
      </c>
      <c r="AN3063" t="s">
        <v>3643</v>
      </c>
      <c r="AO3063" s="18" t="s">
        <v>3630</v>
      </c>
      <c r="AP3063" t="s">
        <v>10017</v>
      </c>
    </row>
    <row r="3064" spans="1:42" customFormat="1" x14ac:dyDescent="0.3">
      <c r="A3064" s="148" t="s">
        <v>8319</v>
      </c>
      <c r="B3064" t="s">
        <v>8320</v>
      </c>
      <c r="C3064" s="148" t="s">
        <v>9410</v>
      </c>
      <c r="D3064" t="s">
        <v>9411</v>
      </c>
      <c r="E3064" s="148" t="s">
        <v>9412</v>
      </c>
      <c r="F3064" t="s">
        <v>9413</v>
      </c>
      <c r="G3064" s="148" t="s">
        <v>9820</v>
      </c>
      <c r="H3064" t="s">
        <v>9821</v>
      </c>
      <c r="K3064" s="155" t="s">
        <v>10018</v>
      </c>
      <c r="L3064" t="s">
        <v>10019</v>
      </c>
      <c r="N3064" s="3"/>
      <c r="O3064" s="3"/>
      <c r="P3064" s="3"/>
      <c r="Q3064" s="380">
        <v>1</v>
      </c>
      <c r="R3064" s="380">
        <v>1</v>
      </c>
      <c r="S3064" s="380">
        <v>1</v>
      </c>
      <c r="T3064" t="s">
        <v>3640</v>
      </c>
      <c r="U3064" t="s">
        <v>3630</v>
      </c>
      <c r="V3064" t="s">
        <v>10020</v>
      </c>
      <c r="W3064" s="45">
        <v>1</v>
      </c>
      <c r="X3064" s="45">
        <v>1</v>
      </c>
      <c r="Y3064" s="45">
        <v>0</v>
      </c>
      <c r="Z3064" s="45">
        <v>1</v>
      </c>
      <c r="AA3064" s="45">
        <v>1</v>
      </c>
      <c r="AB3064" s="45">
        <v>1</v>
      </c>
      <c r="AC3064" s="150">
        <v>0</v>
      </c>
      <c r="AD3064" s="150">
        <v>1</v>
      </c>
      <c r="AE3064" s="49">
        <f t="shared" si="149"/>
        <v>0.75</v>
      </c>
      <c r="AF3064" s="44"/>
      <c r="AG3064" s="17">
        <v>0</v>
      </c>
      <c r="AH3064" s="44">
        <v>0</v>
      </c>
      <c r="AI3064" s="44">
        <v>0</v>
      </c>
      <c r="AJ3064" s="44">
        <v>0</v>
      </c>
      <c r="AK3064" s="151">
        <v>0</v>
      </c>
      <c r="AL3064" s="151">
        <v>0</v>
      </c>
      <c r="AM3064" s="17">
        <f t="shared" si="150"/>
        <v>0</v>
      </c>
      <c r="AN3064" t="s">
        <v>3629</v>
      </c>
      <c r="AO3064" s="18" t="s">
        <v>3630</v>
      </c>
      <c r="AP3064" t="s">
        <v>3643</v>
      </c>
    </row>
    <row r="3065" spans="1:42" customFormat="1" x14ac:dyDescent="0.3">
      <c r="A3065" s="148" t="s">
        <v>8319</v>
      </c>
      <c r="B3065" t="s">
        <v>8320</v>
      </c>
      <c r="C3065" s="148" t="s">
        <v>9410</v>
      </c>
      <c r="D3065" t="s">
        <v>9411</v>
      </c>
      <c r="E3065" s="148" t="s">
        <v>9412</v>
      </c>
      <c r="F3065" t="s">
        <v>9413</v>
      </c>
      <c r="G3065" s="148" t="s">
        <v>9820</v>
      </c>
      <c r="H3065" t="s">
        <v>9821</v>
      </c>
      <c r="K3065" s="155" t="s">
        <v>10021</v>
      </c>
      <c r="L3065" t="s">
        <v>10022</v>
      </c>
      <c r="N3065" s="3"/>
      <c r="O3065" s="3"/>
      <c r="P3065" s="3"/>
      <c r="Q3065" s="3"/>
      <c r="R3065" s="3"/>
      <c r="S3065" s="3"/>
      <c r="U3065" t="e">
        <v>#N/A</v>
      </c>
      <c r="V3065" t="s">
        <v>10023</v>
      </c>
      <c r="W3065" s="45">
        <v>1</v>
      </c>
      <c r="X3065" s="45">
        <v>0</v>
      </c>
      <c r="Y3065" s="45">
        <v>0</v>
      </c>
      <c r="Z3065" s="45">
        <v>1</v>
      </c>
      <c r="AA3065" s="45">
        <v>1</v>
      </c>
      <c r="AB3065" s="45">
        <v>1</v>
      </c>
      <c r="AC3065" s="150">
        <v>1</v>
      </c>
      <c r="AD3065" s="150">
        <v>1</v>
      </c>
      <c r="AE3065" s="49">
        <f t="shared" si="149"/>
        <v>0.75</v>
      </c>
      <c r="AF3065" s="17"/>
      <c r="AG3065" s="17">
        <v>0</v>
      </c>
      <c r="AH3065" s="17">
        <v>0</v>
      </c>
      <c r="AI3065" s="17">
        <v>0</v>
      </c>
      <c r="AJ3065" s="17">
        <v>0</v>
      </c>
      <c r="AK3065" s="153">
        <v>0</v>
      </c>
      <c r="AL3065" s="154">
        <v>0</v>
      </c>
      <c r="AM3065" s="17">
        <f t="shared" si="150"/>
        <v>0</v>
      </c>
      <c r="AN3065" t="s">
        <v>3643</v>
      </c>
      <c r="AO3065" s="18" t="s">
        <v>3630</v>
      </c>
      <c r="AP3065" t="s">
        <v>10024</v>
      </c>
    </row>
    <row r="3066" spans="1:42" customFormat="1" x14ac:dyDescent="0.3">
      <c r="A3066" s="148" t="s">
        <v>8319</v>
      </c>
      <c r="B3066" t="s">
        <v>8320</v>
      </c>
      <c r="C3066" s="148" t="s">
        <v>9410</v>
      </c>
      <c r="D3066" t="s">
        <v>9411</v>
      </c>
      <c r="E3066" s="148" t="s">
        <v>9412</v>
      </c>
      <c r="F3066" t="s">
        <v>9413</v>
      </c>
      <c r="G3066" s="148" t="s">
        <v>9479</v>
      </c>
      <c r="H3066" t="s">
        <v>9480</v>
      </c>
      <c r="K3066" s="148" t="s">
        <v>10025</v>
      </c>
      <c r="L3066" t="s">
        <v>10026</v>
      </c>
      <c r="M3066" t="s">
        <v>10027</v>
      </c>
      <c r="N3066" s="3"/>
      <c r="O3066" s="3">
        <v>60</v>
      </c>
      <c r="P3066" s="3">
        <v>60</v>
      </c>
      <c r="Q3066" s="3">
        <v>65</v>
      </c>
      <c r="R3066" s="3">
        <v>70</v>
      </c>
      <c r="S3066" s="3">
        <v>70</v>
      </c>
      <c r="T3066" t="s">
        <v>10028</v>
      </c>
      <c r="U3066" t="e">
        <v>#N/A</v>
      </c>
      <c r="V3066" t="s">
        <v>10029</v>
      </c>
      <c r="W3066" s="45">
        <v>1</v>
      </c>
      <c r="X3066" s="45">
        <v>0</v>
      </c>
      <c r="Y3066" s="45">
        <v>0</v>
      </c>
      <c r="Z3066" s="45">
        <v>1</v>
      </c>
      <c r="AA3066" s="45">
        <v>1</v>
      </c>
      <c r="AB3066" s="45">
        <v>1</v>
      </c>
      <c r="AC3066" s="150">
        <v>1</v>
      </c>
      <c r="AD3066" s="150">
        <v>1</v>
      </c>
      <c r="AE3066" s="49">
        <f t="shared" si="149"/>
        <v>0.75</v>
      </c>
      <c r="AF3066" s="17"/>
      <c r="AG3066" s="17">
        <v>0</v>
      </c>
      <c r="AH3066" s="17">
        <v>0</v>
      </c>
      <c r="AI3066" s="17">
        <v>0</v>
      </c>
      <c r="AJ3066" s="17">
        <v>0</v>
      </c>
      <c r="AK3066" s="153">
        <v>1</v>
      </c>
      <c r="AL3066" s="154">
        <v>1</v>
      </c>
      <c r="AM3066" s="17">
        <f t="shared" si="150"/>
        <v>2</v>
      </c>
      <c r="AN3066" s="174" t="s">
        <v>921</v>
      </c>
      <c r="AO3066" s="18" t="s">
        <v>880</v>
      </c>
      <c r="AP3066" t="s">
        <v>9491</v>
      </c>
    </row>
    <row r="3067" spans="1:42" customFormat="1" x14ac:dyDescent="0.3">
      <c r="A3067" s="148" t="s">
        <v>8319</v>
      </c>
      <c r="B3067" t="s">
        <v>8320</v>
      </c>
      <c r="C3067" s="148" t="s">
        <v>9410</v>
      </c>
      <c r="D3067" t="s">
        <v>9411</v>
      </c>
      <c r="E3067" s="148" t="s">
        <v>9412</v>
      </c>
      <c r="F3067" t="s">
        <v>9413</v>
      </c>
      <c r="G3067" s="148" t="s">
        <v>9479</v>
      </c>
      <c r="H3067" t="s">
        <v>9480</v>
      </c>
      <c r="K3067" s="148" t="s">
        <v>10025</v>
      </c>
      <c r="L3067" t="s">
        <v>10026</v>
      </c>
      <c r="N3067" s="3"/>
      <c r="O3067" s="3"/>
      <c r="P3067" s="3"/>
      <c r="Q3067" s="3"/>
      <c r="R3067" s="3"/>
      <c r="S3067" s="3"/>
      <c r="U3067" t="e">
        <v>#N/A</v>
      </c>
      <c r="V3067" t="s">
        <v>10029</v>
      </c>
      <c r="W3067" s="45">
        <v>1</v>
      </c>
      <c r="X3067" s="45">
        <v>1</v>
      </c>
      <c r="Y3067" s="45">
        <v>0</v>
      </c>
      <c r="Z3067" s="45">
        <v>1</v>
      </c>
      <c r="AA3067" s="45">
        <v>1</v>
      </c>
      <c r="AB3067" s="45">
        <v>1</v>
      </c>
      <c r="AC3067" s="150">
        <v>0</v>
      </c>
      <c r="AD3067" s="150">
        <v>1</v>
      </c>
      <c r="AE3067" s="49">
        <f t="shared" si="149"/>
        <v>0.75</v>
      </c>
      <c r="AF3067" s="17"/>
      <c r="AG3067" s="17">
        <v>0</v>
      </c>
      <c r="AH3067" s="17">
        <v>0</v>
      </c>
      <c r="AI3067" s="17">
        <v>0</v>
      </c>
      <c r="AJ3067" s="17">
        <v>0</v>
      </c>
      <c r="AK3067" s="153">
        <v>1</v>
      </c>
      <c r="AL3067" s="154">
        <v>0</v>
      </c>
      <c r="AM3067" s="17">
        <f t="shared" si="150"/>
        <v>1</v>
      </c>
      <c r="AN3067" t="s">
        <v>3643</v>
      </c>
      <c r="AO3067" s="18" t="s">
        <v>3630</v>
      </c>
      <c r="AP3067" t="s">
        <v>10030</v>
      </c>
    </row>
    <row r="3068" spans="1:42" customFormat="1" x14ac:dyDescent="0.3">
      <c r="A3068" s="148" t="s">
        <v>8319</v>
      </c>
      <c r="B3068" t="s">
        <v>8320</v>
      </c>
      <c r="C3068" s="148" t="s">
        <v>9496</v>
      </c>
      <c r="D3068" t="s">
        <v>9497</v>
      </c>
      <c r="E3068" s="148" t="s">
        <v>9498</v>
      </c>
      <c r="F3068" t="s">
        <v>9499</v>
      </c>
      <c r="G3068" s="148" t="s">
        <v>9500</v>
      </c>
      <c r="H3068" t="s">
        <v>9501</v>
      </c>
      <c r="K3068" s="148" t="s">
        <v>9840</v>
      </c>
      <c r="L3068" t="s">
        <v>9841</v>
      </c>
      <c r="M3068" t="s">
        <v>10031</v>
      </c>
      <c r="N3068" s="3">
        <v>2</v>
      </c>
      <c r="O3068" s="3">
        <v>2</v>
      </c>
      <c r="P3068" s="3">
        <v>2</v>
      </c>
      <c r="Q3068" s="3">
        <v>2</v>
      </c>
      <c r="R3068" s="3">
        <v>2</v>
      </c>
      <c r="S3068" s="3">
        <v>2</v>
      </c>
      <c r="T3068" t="s">
        <v>1536</v>
      </c>
      <c r="U3068" t="e">
        <v>#N/A</v>
      </c>
      <c r="V3068" t="s">
        <v>10032</v>
      </c>
      <c r="W3068" s="45">
        <v>1</v>
      </c>
      <c r="X3068" s="45">
        <v>1</v>
      </c>
      <c r="Y3068" s="45">
        <v>1</v>
      </c>
      <c r="Z3068" s="45">
        <v>0</v>
      </c>
      <c r="AA3068" s="45">
        <v>0</v>
      </c>
      <c r="AB3068" s="45">
        <v>1</v>
      </c>
      <c r="AC3068" s="150">
        <v>1</v>
      </c>
      <c r="AD3068" s="150">
        <v>1</v>
      </c>
      <c r="AE3068" s="49">
        <f t="shared" si="149"/>
        <v>0.75</v>
      </c>
      <c r="AF3068" s="44"/>
      <c r="AG3068" s="17">
        <v>0</v>
      </c>
      <c r="AH3068" s="44">
        <v>0</v>
      </c>
      <c r="AI3068" s="44">
        <v>0</v>
      </c>
      <c r="AJ3068" s="44">
        <v>0</v>
      </c>
      <c r="AK3068" s="151">
        <v>0</v>
      </c>
      <c r="AL3068" s="151">
        <v>0</v>
      </c>
      <c r="AM3068" s="17">
        <f t="shared" si="150"/>
        <v>0</v>
      </c>
      <c r="AN3068" s="18" t="s">
        <v>771</v>
      </c>
      <c r="AO3068" s="18" t="s">
        <v>773</v>
      </c>
      <c r="AP3068" t="s">
        <v>255</v>
      </c>
    </row>
    <row r="3069" spans="1:42" customFormat="1" x14ac:dyDescent="0.3">
      <c r="A3069" s="148" t="s">
        <v>8319</v>
      </c>
      <c r="B3069" t="s">
        <v>8320</v>
      </c>
      <c r="C3069" s="148" t="s">
        <v>9496</v>
      </c>
      <c r="D3069" t="s">
        <v>9497</v>
      </c>
      <c r="E3069" s="148" t="s">
        <v>9498</v>
      </c>
      <c r="F3069" t="s">
        <v>9499</v>
      </c>
      <c r="G3069" s="148" t="s">
        <v>9500</v>
      </c>
      <c r="H3069" t="s">
        <v>9501</v>
      </c>
      <c r="K3069" s="148" t="s">
        <v>9840</v>
      </c>
      <c r="L3069" t="s">
        <v>9841</v>
      </c>
      <c r="M3069" t="s">
        <v>10033</v>
      </c>
      <c r="N3069" s="3">
        <v>1</v>
      </c>
      <c r="O3069" s="3">
        <v>4</v>
      </c>
      <c r="P3069" s="3">
        <v>4</v>
      </c>
      <c r="Q3069" s="3">
        <v>4</v>
      </c>
      <c r="R3069" s="3">
        <v>4</v>
      </c>
      <c r="S3069" s="3">
        <v>4</v>
      </c>
      <c r="T3069" t="s">
        <v>1536</v>
      </c>
      <c r="U3069" t="e">
        <v>#N/A</v>
      </c>
      <c r="V3069" t="s">
        <v>10034</v>
      </c>
      <c r="W3069" s="45">
        <v>1</v>
      </c>
      <c r="X3069" s="45">
        <v>1</v>
      </c>
      <c r="Y3069" s="45">
        <v>1</v>
      </c>
      <c r="Z3069" s="45">
        <v>0</v>
      </c>
      <c r="AA3069" s="45">
        <v>0</v>
      </c>
      <c r="AB3069" s="45">
        <v>1</v>
      </c>
      <c r="AC3069" s="150">
        <v>1</v>
      </c>
      <c r="AD3069" s="150">
        <v>1</v>
      </c>
      <c r="AE3069" s="49">
        <f t="shared" si="149"/>
        <v>0.75</v>
      </c>
      <c r="AF3069" s="44"/>
      <c r="AG3069" s="17">
        <v>0</v>
      </c>
      <c r="AH3069" s="44">
        <v>0</v>
      </c>
      <c r="AI3069" s="44">
        <v>0</v>
      </c>
      <c r="AJ3069" s="44">
        <v>0</v>
      </c>
      <c r="AK3069" s="151">
        <v>0</v>
      </c>
      <c r="AL3069" s="151">
        <v>0</v>
      </c>
      <c r="AM3069" s="17">
        <f t="shared" si="150"/>
        <v>0</v>
      </c>
      <c r="AN3069" s="18" t="s">
        <v>771</v>
      </c>
      <c r="AO3069" s="18" t="s">
        <v>773</v>
      </c>
      <c r="AP3069" t="s">
        <v>255</v>
      </c>
    </row>
    <row r="3070" spans="1:42" customFormat="1" x14ac:dyDescent="0.3">
      <c r="A3070" s="148" t="s">
        <v>8319</v>
      </c>
      <c r="B3070" t="s">
        <v>8320</v>
      </c>
      <c r="C3070" s="148" t="s">
        <v>9496</v>
      </c>
      <c r="D3070" t="s">
        <v>9497</v>
      </c>
      <c r="E3070" s="148" t="s">
        <v>9498</v>
      </c>
      <c r="F3070" t="s">
        <v>9499</v>
      </c>
      <c r="G3070" s="148" t="s">
        <v>9500</v>
      </c>
      <c r="H3070" t="s">
        <v>9501</v>
      </c>
      <c r="K3070" s="148" t="s">
        <v>10035</v>
      </c>
      <c r="L3070" t="s">
        <v>10036</v>
      </c>
      <c r="M3070" t="s">
        <v>10037</v>
      </c>
      <c r="N3070" s="3">
        <v>500</v>
      </c>
      <c r="O3070" s="3">
        <v>2000</v>
      </c>
      <c r="P3070" s="3">
        <v>2000</v>
      </c>
      <c r="Q3070" s="3">
        <v>2000</v>
      </c>
      <c r="R3070" s="3">
        <v>2000</v>
      </c>
      <c r="S3070" s="3">
        <v>2000</v>
      </c>
      <c r="T3070" t="s">
        <v>1536</v>
      </c>
      <c r="U3070" t="e">
        <v>#N/A</v>
      </c>
      <c r="V3070" t="s">
        <v>10038</v>
      </c>
      <c r="W3070" s="45">
        <v>1</v>
      </c>
      <c r="X3070" s="45">
        <v>1</v>
      </c>
      <c r="Y3070" s="45">
        <v>0</v>
      </c>
      <c r="Z3070" s="45">
        <v>1</v>
      </c>
      <c r="AA3070" s="45">
        <v>1</v>
      </c>
      <c r="AB3070" s="45">
        <v>0</v>
      </c>
      <c r="AC3070" s="150">
        <v>1</v>
      </c>
      <c r="AD3070" s="150">
        <v>1</v>
      </c>
      <c r="AE3070" s="49">
        <f t="shared" si="149"/>
        <v>0.75</v>
      </c>
      <c r="AF3070" s="44"/>
      <c r="AG3070" s="17">
        <v>0</v>
      </c>
      <c r="AH3070" s="44">
        <v>0.5</v>
      </c>
      <c r="AI3070" s="44">
        <v>0.5</v>
      </c>
      <c r="AJ3070" s="44">
        <v>0.5</v>
      </c>
      <c r="AK3070" s="151">
        <v>0.5</v>
      </c>
      <c r="AL3070" s="151">
        <v>0.5</v>
      </c>
      <c r="AM3070" s="17">
        <f t="shared" si="150"/>
        <v>1</v>
      </c>
      <c r="AN3070" s="18" t="s">
        <v>771</v>
      </c>
      <c r="AO3070" s="18" t="s">
        <v>773</v>
      </c>
      <c r="AP3070" t="s">
        <v>10039</v>
      </c>
    </row>
    <row r="3071" spans="1:42" customFormat="1" x14ac:dyDescent="0.3">
      <c r="A3071" s="148" t="s">
        <v>8319</v>
      </c>
      <c r="B3071" t="s">
        <v>8320</v>
      </c>
      <c r="C3071" s="148" t="s">
        <v>9496</v>
      </c>
      <c r="D3071" t="s">
        <v>9497</v>
      </c>
      <c r="E3071" s="148" t="s">
        <v>9498</v>
      </c>
      <c r="F3071" t="s">
        <v>9499</v>
      </c>
      <c r="G3071" s="148" t="s">
        <v>9500</v>
      </c>
      <c r="H3071" t="s">
        <v>9501</v>
      </c>
      <c r="K3071" s="148" t="s">
        <v>10040</v>
      </c>
      <c r="L3071" t="s">
        <v>10041</v>
      </c>
      <c r="M3071" t="s">
        <v>10042</v>
      </c>
      <c r="N3071" s="3">
        <v>0</v>
      </c>
      <c r="O3071" s="3">
        <v>5000</v>
      </c>
      <c r="P3071" s="3">
        <v>5000</v>
      </c>
      <c r="Q3071" s="3">
        <v>5000</v>
      </c>
      <c r="R3071" s="3">
        <v>5000</v>
      </c>
      <c r="S3071" s="3">
        <v>5000</v>
      </c>
      <c r="T3071" t="s">
        <v>1536</v>
      </c>
      <c r="U3071" t="e">
        <v>#N/A</v>
      </c>
      <c r="V3071" t="s">
        <v>10043</v>
      </c>
      <c r="W3071" s="45">
        <v>1</v>
      </c>
      <c r="X3071" s="45">
        <v>1</v>
      </c>
      <c r="Y3071" s="45">
        <v>1</v>
      </c>
      <c r="Z3071" s="45">
        <v>1</v>
      </c>
      <c r="AA3071" s="45">
        <v>1</v>
      </c>
      <c r="AB3071" s="45">
        <v>0</v>
      </c>
      <c r="AC3071" s="150">
        <v>1</v>
      </c>
      <c r="AD3071" s="150">
        <v>0</v>
      </c>
      <c r="AE3071" s="49">
        <f t="shared" si="149"/>
        <v>0.75</v>
      </c>
      <c r="AF3071" s="44"/>
      <c r="AG3071" s="17">
        <v>0</v>
      </c>
      <c r="AH3071" s="44">
        <v>1</v>
      </c>
      <c r="AI3071" s="44">
        <v>1</v>
      </c>
      <c r="AJ3071" s="44">
        <v>1</v>
      </c>
      <c r="AK3071" s="151">
        <v>1</v>
      </c>
      <c r="AL3071" s="151">
        <v>1</v>
      </c>
      <c r="AM3071" s="17">
        <f t="shared" si="150"/>
        <v>2</v>
      </c>
      <c r="AN3071" s="18" t="s">
        <v>771</v>
      </c>
      <c r="AO3071" s="18" t="s">
        <v>773</v>
      </c>
      <c r="AP3071" t="s">
        <v>10044</v>
      </c>
    </row>
    <row r="3072" spans="1:42" customFormat="1" x14ac:dyDescent="0.3">
      <c r="A3072" s="148" t="s">
        <v>8319</v>
      </c>
      <c r="B3072" t="s">
        <v>8320</v>
      </c>
      <c r="C3072" s="148" t="s">
        <v>9496</v>
      </c>
      <c r="D3072" t="s">
        <v>9497</v>
      </c>
      <c r="E3072" s="148" t="s">
        <v>9498</v>
      </c>
      <c r="F3072" t="s">
        <v>9499</v>
      </c>
      <c r="G3072" s="148" t="s">
        <v>9527</v>
      </c>
      <c r="H3072" t="s">
        <v>9528</v>
      </c>
      <c r="K3072" s="148" t="s">
        <v>10045</v>
      </c>
      <c r="L3072" t="s">
        <v>10046</v>
      </c>
      <c r="M3072" t="s">
        <v>10047</v>
      </c>
      <c r="N3072" s="3">
        <v>0</v>
      </c>
      <c r="O3072" s="3">
        <v>500000</v>
      </c>
      <c r="P3072" s="3">
        <v>500000</v>
      </c>
      <c r="Q3072" s="3">
        <v>500000</v>
      </c>
      <c r="R3072" s="3">
        <v>500000</v>
      </c>
      <c r="S3072" s="3">
        <v>500000</v>
      </c>
      <c r="T3072" t="s">
        <v>771</v>
      </c>
      <c r="U3072" t="s">
        <v>773</v>
      </c>
      <c r="V3072" t="s">
        <v>10048</v>
      </c>
      <c r="W3072" s="45">
        <v>1</v>
      </c>
      <c r="X3072" s="45">
        <v>1</v>
      </c>
      <c r="Y3072" s="45">
        <v>1</v>
      </c>
      <c r="Z3072" s="45">
        <v>1</v>
      </c>
      <c r="AA3072" s="45">
        <v>0</v>
      </c>
      <c r="AB3072" s="45">
        <v>1</v>
      </c>
      <c r="AC3072" s="150">
        <v>0</v>
      </c>
      <c r="AD3072" s="150">
        <v>1</v>
      </c>
      <c r="AE3072" s="49">
        <f t="shared" si="149"/>
        <v>0.75</v>
      </c>
      <c r="AF3072" s="44"/>
      <c r="AG3072" s="17">
        <v>0</v>
      </c>
      <c r="AH3072" s="44">
        <v>50</v>
      </c>
      <c r="AI3072" s="44">
        <v>57.198903166879973</v>
      </c>
      <c r="AJ3072" s="44">
        <v>30.301096833120027</v>
      </c>
      <c r="AK3072" s="151">
        <v>37.5</v>
      </c>
      <c r="AL3072" s="151">
        <v>37.5</v>
      </c>
      <c r="AM3072" s="17">
        <f t="shared" si="150"/>
        <v>75</v>
      </c>
      <c r="AN3072" s="18" t="s">
        <v>771</v>
      </c>
      <c r="AO3072" s="18" t="s">
        <v>773</v>
      </c>
      <c r="AP3072" t="s">
        <v>9533</v>
      </c>
    </row>
    <row r="3073" spans="1:42" customFormat="1" x14ac:dyDescent="0.3">
      <c r="A3073" s="148" t="s">
        <v>8319</v>
      </c>
      <c r="B3073" t="s">
        <v>8320</v>
      </c>
      <c r="C3073" s="148" t="s">
        <v>9496</v>
      </c>
      <c r="D3073" t="s">
        <v>9497</v>
      </c>
      <c r="E3073" s="148" t="s">
        <v>9498</v>
      </c>
      <c r="F3073" t="s">
        <v>9499</v>
      </c>
      <c r="G3073" s="148" t="s">
        <v>10049</v>
      </c>
      <c r="H3073" t="s">
        <v>10050</v>
      </c>
      <c r="K3073" s="148" t="s">
        <v>10051</v>
      </c>
      <c r="L3073" t="s">
        <v>10052</v>
      </c>
      <c r="M3073" t="s">
        <v>10053</v>
      </c>
      <c r="N3073" s="3">
        <v>175</v>
      </c>
      <c r="O3073" s="3">
        <v>175</v>
      </c>
      <c r="P3073" s="3">
        <v>176</v>
      </c>
      <c r="Q3073" s="3">
        <v>176</v>
      </c>
      <c r="R3073" s="3">
        <v>176</v>
      </c>
      <c r="S3073" s="3">
        <v>176</v>
      </c>
      <c r="T3073" t="s">
        <v>1563</v>
      </c>
      <c r="U3073" t="s">
        <v>1565</v>
      </c>
      <c r="V3073" t="s">
        <v>10054</v>
      </c>
      <c r="W3073" s="45">
        <v>1</v>
      </c>
      <c r="X3073" s="45">
        <v>1</v>
      </c>
      <c r="Y3073" s="45">
        <v>0</v>
      </c>
      <c r="Z3073" s="45">
        <v>1</v>
      </c>
      <c r="AA3073" s="45">
        <v>1</v>
      </c>
      <c r="AB3073" s="45">
        <v>1</v>
      </c>
      <c r="AC3073" s="150">
        <v>1</v>
      </c>
      <c r="AD3073" s="150">
        <v>1</v>
      </c>
      <c r="AE3073" s="49">
        <f t="shared" si="149"/>
        <v>0.875</v>
      </c>
      <c r="AF3073" s="44">
        <v>1</v>
      </c>
      <c r="AG3073" s="17">
        <v>0</v>
      </c>
      <c r="AH3073" s="44">
        <v>0.2</v>
      </c>
      <c r="AI3073" s="44">
        <v>0.3</v>
      </c>
      <c r="AJ3073" s="44">
        <v>0.24</v>
      </c>
      <c r="AK3073" s="151">
        <v>0.14000000000000001</v>
      </c>
      <c r="AL3073" s="151">
        <v>0.35</v>
      </c>
      <c r="AM3073" s="17">
        <f t="shared" si="150"/>
        <v>0.49</v>
      </c>
      <c r="AN3073" t="s">
        <v>1563</v>
      </c>
      <c r="AO3073" s="18" t="s">
        <v>1565</v>
      </c>
      <c r="AP3073" t="s">
        <v>119</v>
      </c>
    </row>
    <row r="3074" spans="1:42" customFormat="1" x14ac:dyDescent="0.3">
      <c r="A3074" s="148" t="s">
        <v>8319</v>
      </c>
      <c r="B3074" t="s">
        <v>8320</v>
      </c>
      <c r="C3074" s="148" t="s">
        <v>9496</v>
      </c>
      <c r="D3074" t="s">
        <v>9497</v>
      </c>
      <c r="E3074" s="148" t="s">
        <v>9498</v>
      </c>
      <c r="F3074" t="s">
        <v>9499</v>
      </c>
      <c r="G3074" s="148" t="s">
        <v>10049</v>
      </c>
      <c r="H3074" t="s">
        <v>10050</v>
      </c>
      <c r="K3074" s="148" t="s">
        <v>10051</v>
      </c>
      <c r="L3074" t="s">
        <v>10052</v>
      </c>
      <c r="M3074" t="s">
        <v>10055</v>
      </c>
      <c r="N3074" s="3">
        <v>148</v>
      </c>
      <c r="O3074" s="3">
        <v>148</v>
      </c>
      <c r="P3074" s="3">
        <v>148</v>
      </c>
      <c r="Q3074" s="3">
        <v>148</v>
      </c>
      <c r="R3074" s="3">
        <v>148</v>
      </c>
      <c r="S3074" s="3">
        <v>148</v>
      </c>
      <c r="T3074" t="s">
        <v>771</v>
      </c>
      <c r="U3074" t="s">
        <v>773</v>
      </c>
      <c r="V3074" t="s">
        <v>10056</v>
      </c>
      <c r="W3074" s="45">
        <v>1</v>
      </c>
      <c r="X3074" s="45">
        <v>1</v>
      </c>
      <c r="Y3074" s="45">
        <v>0</v>
      </c>
      <c r="Z3074" s="45">
        <v>1</v>
      </c>
      <c r="AA3074" s="45">
        <v>1</v>
      </c>
      <c r="AB3074" s="45">
        <v>0</v>
      </c>
      <c r="AC3074" s="150">
        <v>1</v>
      </c>
      <c r="AD3074" s="150">
        <v>1</v>
      </c>
      <c r="AE3074" s="49">
        <f t="shared" si="149"/>
        <v>0.75</v>
      </c>
      <c r="AF3074" s="17"/>
      <c r="AG3074" s="17">
        <v>0</v>
      </c>
      <c r="AH3074" s="17">
        <v>0</v>
      </c>
      <c r="AI3074" s="44">
        <v>0.23</v>
      </c>
      <c r="AJ3074" s="44">
        <v>0.22</v>
      </c>
      <c r="AK3074" s="151">
        <v>0.26</v>
      </c>
      <c r="AL3074" s="151">
        <v>0.31</v>
      </c>
      <c r="AM3074" s="17">
        <f t="shared" si="150"/>
        <v>0.57000000000000006</v>
      </c>
      <c r="AN3074" t="s">
        <v>1563</v>
      </c>
      <c r="AO3074" s="18" t="s">
        <v>1565</v>
      </c>
      <c r="AP3074" t="s">
        <v>119</v>
      </c>
    </row>
    <row r="3075" spans="1:42" customFormat="1" hidden="1" x14ac:dyDescent="0.3">
      <c r="A3075" s="148" t="s">
        <v>8319</v>
      </c>
      <c r="B3075" t="s">
        <v>8320</v>
      </c>
      <c r="C3075" s="148" t="s">
        <v>9344</v>
      </c>
      <c r="D3075" t="s">
        <v>9345</v>
      </c>
      <c r="E3075" s="148" t="s">
        <v>9346</v>
      </c>
      <c r="F3075" t="s">
        <v>9347</v>
      </c>
      <c r="G3075" s="148" t="s">
        <v>9552</v>
      </c>
      <c r="H3075" t="s">
        <v>9553</v>
      </c>
      <c r="K3075" s="148" t="s">
        <v>9871</v>
      </c>
      <c r="L3075" t="s">
        <v>9872</v>
      </c>
      <c r="M3075" t="s">
        <v>10057</v>
      </c>
      <c r="N3075" s="3"/>
      <c r="O3075" s="3"/>
      <c r="P3075" s="3"/>
      <c r="Q3075" s="3">
        <v>1</v>
      </c>
      <c r="R3075" s="3"/>
      <c r="S3075" s="3"/>
      <c r="T3075" t="s">
        <v>10058</v>
      </c>
      <c r="U3075" t="e">
        <v>#N/A</v>
      </c>
      <c r="V3075" t="s">
        <v>10059</v>
      </c>
      <c r="W3075" s="45">
        <v>1</v>
      </c>
      <c r="X3075" s="45">
        <v>1</v>
      </c>
      <c r="Y3075" s="45">
        <v>0</v>
      </c>
      <c r="Z3075" s="45">
        <v>1</v>
      </c>
      <c r="AA3075" s="45">
        <v>1</v>
      </c>
      <c r="AB3075" s="45">
        <v>0</v>
      </c>
      <c r="AC3075" s="150">
        <v>1</v>
      </c>
      <c r="AD3075" s="150">
        <v>0</v>
      </c>
      <c r="AE3075" s="49">
        <f t="shared" si="149"/>
        <v>0.625</v>
      </c>
      <c r="AF3075" s="17"/>
      <c r="AG3075" s="17">
        <v>0</v>
      </c>
      <c r="AH3075" s="17">
        <v>0</v>
      </c>
      <c r="AI3075" s="44">
        <v>0.03</v>
      </c>
      <c r="AJ3075" s="44">
        <v>0</v>
      </c>
      <c r="AK3075" s="151">
        <v>0.2</v>
      </c>
      <c r="AL3075" s="151">
        <v>0.2</v>
      </c>
      <c r="AM3075" s="17">
        <f t="shared" si="150"/>
        <v>0.4</v>
      </c>
      <c r="AN3075" t="s">
        <v>723</v>
      </c>
      <c r="AO3075" s="18" t="s">
        <v>729</v>
      </c>
      <c r="AP3075" t="s">
        <v>2043</v>
      </c>
    </row>
    <row r="3076" spans="1:42" customFormat="1" hidden="1" x14ac:dyDescent="0.3">
      <c r="A3076" s="148" t="s">
        <v>8319</v>
      </c>
      <c r="B3076" t="s">
        <v>8320</v>
      </c>
      <c r="C3076" s="148" t="s">
        <v>9344</v>
      </c>
      <c r="D3076" t="s">
        <v>9345</v>
      </c>
      <c r="E3076" s="148" t="s">
        <v>9346</v>
      </c>
      <c r="F3076" t="s">
        <v>9347</v>
      </c>
      <c r="G3076" s="148" t="s">
        <v>9552</v>
      </c>
      <c r="H3076" t="s">
        <v>9553</v>
      </c>
      <c r="K3076" s="148" t="s">
        <v>9871</v>
      </c>
      <c r="L3076" t="s">
        <v>9872</v>
      </c>
      <c r="M3076" t="s">
        <v>9875</v>
      </c>
      <c r="N3076" s="3">
        <v>0</v>
      </c>
      <c r="O3076" s="3">
        <v>30</v>
      </c>
      <c r="P3076" s="3">
        <v>36</v>
      </c>
      <c r="Q3076" s="3">
        <v>30</v>
      </c>
      <c r="R3076" s="3">
        <v>30</v>
      </c>
      <c r="S3076" s="3">
        <v>20</v>
      </c>
      <c r="T3076" t="s">
        <v>1536</v>
      </c>
      <c r="U3076" t="e">
        <v>#N/A</v>
      </c>
      <c r="V3076" t="s">
        <v>10060</v>
      </c>
      <c r="W3076" s="45">
        <v>1</v>
      </c>
      <c r="X3076" s="45">
        <v>0</v>
      </c>
      <c r="Y3076" s="45">
        <v>1</v>
      </c>
      <c r="Z3076" s="45">
        <v>1</v>
      </c>
      <c r="AA3076" s="45">
        <v>1</v>
      </c>
      <c r="AB3076" s="45">
        <v>0</v>
      </c>
      <c r="AC3076" s="150">
        <v>1</v>
      </c>
      <c r="AD3076" s="150">
        <v>0</v>
      </c>
      <c r="AE3076" s="49">
        <f t="shared" si="149"/>
        <v>0.625</v>
      </c>
      <c r="AF3076" s="44"/>
      <c r="AG3076" s="17">
        <v>0</v>
      </c>
      <c r="AH3076" s="44">
        <v>0.1</v>
      </c>
      <c r="AI3076" s="44">
        <v>0.1</v>
      </c>
      <c r="AJ3076" s="44">
        <v>0.1</v>
      </c>
      <c r="AK3076" s="151">
        <v>0.1</v>
      </c>
      <c r="AL3076" s="151">
        <v>0.1</v>
      </c>
      <c r="AM3076" s="17">
        <f t="shared" si="150"/>
        <v>0.2</v>
      </c>
      <c r="AN3076" s="18" t="s">
        <v>771</v>
      </c>
      <c r="AO3076" s="18" t="s">
        <v>773</v>
      </c>
      <c r="AP3076" t="s">
        <v>10061</v>
      </c>
    </row>
    <row r="3077" spans="1:42" customFormat="1" hidden="1" x14ac:dyDescent="0.3">
      <c r="A3077" s="148" t="s">
        <v>8319</v>
      </c>
      <c r="B3077" t="s">
        <v>8320</v>
      </c>
      <c r="C3077" s="148" t="s">
        <v>9344</v>
      </c>
      <c r="D3077" t="s">
        <v>9345</v>
      </c>
      <c r="E3077" s="148" t="s">
        <v>9346</v>
      </c>
      <c r="F3077" t="s">
        <v>9347</v>
      </c>
      <c r="G3077" s="148" t="s">
        <v>9552</v>
      </c>
      <c r="H3077" t="s">
        <v>9553</v>
      </c>
      <c r="K3077" s="148" t="s">
        <v>10062</v>
      </c>
      <c r="L3077" t="s">
        <v>10063</v>
      </c>
      <c r="M3077" s="159" t="s">
        <v>10064</v>
      </c>
      <c r="N3077" s="275"/>
      <c r="O3077" s="275">
        <v>51</v>
      </c>
      <c r="P3077" s="275">
        <v>54</v>
      </c>
      <c r="Q3077" s="275">
        <v>57</v>
      </c>
      <c r="R3077" s="275">
        <v>61</v>
      </c>
      <c r="S3077" s="275">
        <v>65</v>
      </c>
      <c r="T3077" s="159" t="s">
        <v>255</v>
      </c>
      <c r="U3077" t="s">
        <v>1045</v>
      </c>
      <c r="V3077" t="s">
        <v>10065</v>
      </c>
      <c r="W3077" s="45">
        <v>1</v>
      </c>
      <c r="X3077" s="45">
        <v>0</v>
      </c>
      <c r="Y3077" s="45">
        <v>0</v>
      </c>
      <c r="Z3077" s="45">
        <v>1</v>
      </c>
      <c r="AA3077" s="45">
        <v>1</v>
      </c>
      <c r="AB3077" s="45">
        <v>0</v>
      </c>
      <c r="AC3077" s="150">
        <v>1</v>
      </c>
      <c r="AD3077" s="150">
        <v>1</v>
      </c>
      <c r="AE3077" s="49">
        <f t="shared" si="149"/>
        <v>0.625</v>
      </c>
      <c r="AF3077" s="44"/>
      <c r="AG3077" s="17">
        <v>0</v>
      </c>
      <c r="AH3077" s="44">
        <v>0</v>
      </c>
      <c r="AI3077" s="44">
        <v>5</v>
      </c>
      <c r="AJ3077" s="44">
        <v>5</v>
      </c>
      <c r="AK3077" s="151">
        <v>5</v>
      </c>
      <c r="AL3077" s="151">
        <v>5</v>
      </c>
      <c r="AM3077" s="17">
        <f t="shared" si="150"/>
        <v>10</v>
      </c>
      <c r="AN3077" s="18" t="s">
        <v>255</v>
      </c>
      <c r="AO3077" s="18" t="s">
        <v>1045</v>
      </c>
      <c r="AP3077" t="s">
        <v>10066</v>
      </c>
    </row>
    <row r="3078" spans="1:42" customFormat="1" hidden="1" x14ac:dyDescent="0.3">
      <c r="A3078" s="148" t="s">
        <v>8319</v>
      </c>
      <c r="B3078" t="s">
        <v>8320</v>
      </c>
      <c r="C3078" s="148" t="s">
        <v>9344</v>
      </c>
      <c r="D3078" t="s">
        <v>9345</v>
      </c>
      <c r="E3078" s="148" t="s">
        <v>9346</v>
      </c>
      <c r="F3078" t="s">
        <v>9347</v>
      </c>
      <c r="G3078" s="148" t="s">
        <v>9552</v>
      </c>
      <c r="H3078" t="s">
        <v>9553</v>
      </c>
      <c r="K3078" s="148" t="s">
        <v>10062</v>
      </c>
      <c r="L3078" t="s">
        <v>10063</v>
      </c>
      <c r="M3078" s="159" t="s">
        <v>10067</v>
      </c>
      <c r="N3078" s="275"/>
      <c r="O3078" s="275">
        <v>45</v>
      </c>
      <c r="P3078" s="275">
        <v>46</v>
      </c>
      <c r="Q3078" s="275">
        <v>50</v>
      </c>
      <c r="R3078" s="275">
        <v>55</v>
      </c>
      <c r="S3078" s="275">
        <v>65</v>
      </c>
      <c r="T3078" s="159" t="s">
        <v>255</v>
      </c>
      <c r="U3078" t="s">
        <v>1045</v>
      </c>
      <c r="V3078" t="s">
        <v>10068</v>
      </c>
      <c r="W3078" s="45">
        <v>1</v>
      </c>
      <c r="X3078" s="45">
        <v>0</v>
      </c>
      <c r="Y3078" s="45">
        <v>0</v>
      </c>
      <c r="Z3078" s="45">
        <v>1</v>
      </c>
      <c r="AA3078" s="45">
        <v>1</v>
      </c>
      <c r="AB3078" s="45">
        <v>0</v>
      </c>
      <c r="AC3078" s="150">
        <v>1</v>
      </c>
      <c r="AD3078" s="150">
        <v>1</v>
      </c>
      <c r="AE3078" s="49">
        <f t="shared" si="149"/>
        <v>0.625</v>
      </c>
      <c r="AF3078" s="17"/>
      <c r="AG3078" s="17">
        <v>0</v>
      </c>
      <c r="AH3078" s="17">
        <v>0</v>
      </c>
      <c r="AI3078" s="44">
        <v>0.1</v>
      </c>
      <c r="AJ3078" s="44">
        <v>0.1</v>
      </c>
      <c r="AK3078" s="151">
        <v>0.1</v>
      </c>
      <c r="AL3078" s="151">
        <v>0.1</v>
      </c>
      <c r="AM3078" s="17">
        <f t="shared" si="150"/>
        <v>0.2</v>
      </c>
      <c r="AN3078" s="18" t="s">
        <v>255</v>
      </c>
      <c r="AO3078" s="18" t="s">
        <v>1045</v>
      </c>
      <c r="AP3078" t="s">
        <v>10069</v>
      </c>
    </row>
    <row r="3079" spans="1:42" customFormat="1" hidden="1" x14ac:dyDescent="0.3">
      <c r="A3079" s="148" t="s">
        <v>8319</v>
      </c>
      <c r="B3079" t="s">
        <v>8320</v>
      </c>
      <c r="C3079" s="148" t="s">
        <v>9344</v>
      </c>
      <c r="D3079" t="s">
        <v>9345</v>
      </c>
      <c r="E3079" s="148" t="s">
        <v>9346</v>
      </c>
      <c r="F3079" t="s">
        <v>9347</v>
      </c>
      <c r="G3079" t="s">
        <v>9348</v>
      </c>
      <c r="H3079" t="s">
        <v>9349</v>
      </c>
      <c r="I3079" s="148" t="s">
        <v>9350</v>
      </c>
      <c r="J3079" t="s">
        <v>9351</v>
      </c>
      <c r="K3079" s="148" t="s">
        <v>9352</v>
      </c>
      <c r="L3079" t="s">
        <v>9353</v>
      </c>
      <c r="M3079" t="s">
        <v>10070</v>
      </c>
      <c r="N3079" s="3">
        <v>23</v>
      </c>
      <c r="O3079" s="3">
        <v>90</v>
      </c>
      <c r="P3079" s="3">
        <v>90</v>
      </c>
      <c r="Q3079" s="3">
        <v>90</v>
      </c>
      <c r="R3079" s="3">
        <v>90</v>
      </c>
      <c r="S3079" s="3">
        <v>90</v>
      </c>
      <c r="T3079" t="s">
        <v>9881</v>
      </c>
      <c r="U3079" t="e">
        <v>#N/A</v>
      </c>
      <c r="V3079" t="s">
        <v>10071</v>
      </c>
      <c r="W3079" s="45">
        <v>1</v>
      </c>
      <c r="X3079" s="45">
        <v>0</v>
      </c>
      <c r="Y3079" s="45">
        <v>1</v>
      </c>
      <c r="Z3079" s="45">
        <v>1</v>
      </c>
      <c r="AA3079" s="45">
        <v>1</v>
      </c>
      <c r="AB3079" s="45">
        <v>0</v>
      </c>
      <c r="AC3079" s="150">
        <v>1</v>
      </c>
      <c r="AD3079" s="150">
        <v>0</v>
      </c>
      <c r="AE3079" s="49">
        <f t="shared" si="149"/>
        <v>0.625</v>
      </c>
      <c r="AF3079" s="44"/>
      <c r="AG3079" s="17">
        <v>0</v>
      </c>
      <c r="AH3079" s="44">
        <v>1.8</v>
      </c>
      <c r="AI3079" s="44">
        <v>2.1</v>
      </c>
      <c r="AJ3079" s="44">
        <v>2.2999999999999998</v>
      </c>
      <c r="AK3079" s="151">
        <v>2.5</v>
      </c>
      <c r="AL3079" s="151">
        <v>2.7</v>
      </c>
      <c r="AM3079" s="17">
        <f t="shared" si="150"/>
        <v>5.2</v>
      </c>
      <c r="AN3079" s="18" t="s">
        <v>255</v>
      </c>
      <c r="AO3079" s="18" t="s">
        <v>1045</v>
      </c>
      <c r="AP3079" t="s">
        <v>3643</v>
      </c>
    </row>
    <row r="3080" spans="1:42" customFormat="1" hidden="1" x14ac:dyDescent="0.3">
      <c r="A3080" s="148" t="s">
        <v>8319</v>
      </c>
      <c r="B3080" t="s">
        <v>8320</v>
      </c>
      <c r="C3080" s="148" t="s">
        <v>9344</v>
      </c>
      <c r="D3080" t="s">
        <v>9345</v>
      </c>
      <c r="E3080" s="148" t="s">
        <v>9346</v>
      </c>
      <c r="F3080" t="s">
        <v>9347</v>
      </c>
      <c r="G3080" t="s">
        <v>9348</v>
      </c>
      <c r="H3080" t="s">
        <v>9349</v>
      </c>
      <c r="I3080" s="148" t="s">
        <v>10072</v>
      </c>
      <c r="J3080" t="s">
        <v>10073</v>
      </c>
      <c r="K3080" s="148" t="s">
        <v>10074</v>
      </c>
      <c r="L3080" t="s">
        <v>10075</v>
      </c>
      <c r="M3080" t="s">
        <v>10076</v>
      </c>
      <c r="N3080" s="3">
        <v>0</v>
      </c>
      <c r="O3080" s="3">
        <v>0</v>
      </c>
      <c r="P3080" s="3" t="s">
        <v>10077</v>
      </c>
      <c r="Q3080" s="3" t="s">
        <v>10078</v>
      </c>
      <c r="R3080" s="3" t="s">
        <v>271</v>
      </c>
      <c r="S3080" s="3" t="s">
        <v>271</v>
      </c>
      <c r="T3080" t="s">
        <v>3643</v>
      </c>
      <c r="U3080" t="s">
        <v>3630</v>
      </c>
      <c r="V3080" t="s">
        <v>10079</v>
      </c>
      <c r="W3080" s="45">
        <v>1</v>
      </c>
      <c r="X3080" s="45">
        <v>0</v>
      </c>
      <c r="Y3080" s="45">
        <v>1</v>
      </c>
      <c r="Z3080" s="45">
        <v>0</v>
      </c>
      <c r="AA3080" s="45">
        <v>0</v>
      </c>
      <c r="AB3080" s="45">
        <v>1</v>
      </c>
      <c r="AC3080" s="150">
        <v>1</v>
      </c>
      <c r="AD3080" s="150">
        <v>1</v>
      </c>
      <c r="AE3080" s="49">
        <f t="shared" si="149"/>
        <v>0.625</v>
      </c>
      <c r="AF3080" s="44"/>
      <c r="AG3080" s="17">
        <v>0</v>
      </c>
      <c r="AH3080" s="44">
        <v>0.05</v>
      </c>
      <c r="AI3080" s="44">
        <v>0.2</v>
      </c>
      <c r="AJ3080" s="44">
        <v>0.2</v>
      </c>
      <c r="AK3080" s="153">
        <v>0.2</v>
      </c>
      <c r="AL3080" s="154">
        <v>0.2</v>
      </c>
      <c r="AM3080" s="17">
        <f t="shared" si="150"/>
        <v>0.4</v>
      </c>
      <c r="AN3080" t="s">
        <v>3643</v>
      </c>
      <c r="AO3080" s="18" t="s">
        <v>3630</v>
      </c>
      <c r="AP3080" t="s">
        <v>10080</v>
      </c>
    </row>
    <row r="3081" spans="1:42" customFormat="1" hidden="1" x14ac:dyDescent="0.3">
      <c r="A3081" s="148" t="s">
        <v>8319</v>
      </c>
      <c r="B3081" t="s">
        <v>8320</v>
      </c>
      <c r="C3081" s="148" t="s">
        <v>9344</v>
      </c>
      <c r="D3081" t="s">
        <v>9345</v>
      </c>
      <c r="E3081" s="148" t="s">
        <v>9346</v>
      </c>
      <c r="F3081" t="s">
        <v>9347</v>
      </c>
      <c r="G3081" s="148" t="s">
        <v>9890</v>
      </c>
      <c r="H3081" t="s">
        <v>9891</v>
      </c>
      <c r="K3081" s="148" t="s">
        <v>9892</v>
      </c>
      <c r="L3081" t="s">
        <v>9893</v>
      </c>
      <c r="M3081" t="s">
        <v>10081</v>
      </c>
      <c r="N3081" s="3"/>
      <c r="O3081" s="3">
        <v>100</v>
      </c>
      <c r="P3081" s="3">
        <v>100</v>
      </c>
      <c r="Q3081" s="3">
        <v>100</v>
      </c>
      <c r="R3081" s="3">
        <v>100</v>
      </c>
      <c r="S3081" s="3">
        <v>100</v>
      </c>
      <c r="T3081" t="s">
        <v>9640</v>
      </c>
      <c r="U3081" t="s">
        <v>9989</v>
      </c>
      <c r="V3081" t="s">
        <v>10082</v>
      </c>
      <c r="W3081" s="45">
        <v>1</v>
      </c>
      <c r="X3081" s="45">
        <v>1</v>
      </c>
      <c r="Y3081" s="45">
        <v>0</v>
      </c>
      <c r="Z3081" s="45">
        <v>1</v>
      </c>
      <c r="AA3081" s="45">
        <v>1</v>
      </c>
      <c r="AB3081" s="45">
        <v>0</v>
      </c>
      <c r="AC3081" s="150">
        <v>1</v>
      </c>
      <c r="AD3081" s="150">
        <v>0</v>
      </c>
      <c r="AE3081" s="49">
        <f t="shared" si="149"/>
        <v>0.625</v>
      </c>
      <c r="AF3081" s="44"/>
      <c r="AG3081" s="17">
        <v>1</v>
      </c>
      <c r="AH3081" s="44">
        <v>0.1</v>
      </c>
      <c r="AI3081" s="44">
        <v>0.1</v>
      </c>
      <c r="AJ3081" s="44">
        <v>0.1</v>
      </c>
      <c r="AK3081" s="151">
        <v>2</v>
      </c>
      <c r="AL3081" s="151">
        <v>2</v>
      </c>
      <c r="AM3081" s="17">
        <f t="shared" si="150"/>
        <v>4</v>
      </c>
      <c r="AN3081" s="44" t="s">
        <v>9640</v>
      </c>
      <c r="AO3081" s="18" t="s">
        <v>9989</v>
      </c>
      <c r="AP3081" t="s">
        <v>3643</v>
      </c>
    </row>
    <row r="3082" spans="1:42" customFormat="1" hidden="1" x14ac:dyDescent="0.3">
      <c r="A3082" s="148" t="s">
        <v>8319</v>
      </c>
      <c r="B3082" t="s">
        <v>8320</v>
      </c>
      <c r="C3082" s="148" t="s">
        <v>9344</v>
      </c>
      <c r="D3082" t="s">
        <v>9345</v>
      </c>
      <c r="E3082" s="148" t="s">
        <v>9346</v>
      </c>
      <c r="F3082" t="s">
        <v>9347</v>
      </c>
      <c r="G3082" s="148" t="s">
        <v>9890</v>
      </c>
      <c r="H3082" t="s">
        <v>9891</v>
      </c>
      <c r="K3082" s="148" t="s">
        <v>9892</v>
      </c>
      <c r="L3082" t="s">
        <v>9893</v>
      </c>
      <c r="M3082" t="s">
        <v>10083</v>
      </c>
      <c r="N3082" s="3"/>
      <c r="O3082" s="3">
        <v>100</v>
      </c>
      <c r="P3082" s="3">
        <v>100</v>
      </c>
      <c r="Q3082" s="3">
        <v>100</v>
      </c>
      <c r="R3082" s="3">
        <v>100</v>
      </c>
      <c r="S3082" s="3">
        <v>100</v>
      </c>
      <c r="T3082" t="s">
        <v>255</v>
      </c>
      <c r="U3082" t="s">
        <v>1045</v>
      </c>
      <c r="V3082" t="s">
        <v>10084</v>
      </c>
      <c r="W3082" s="45">
        <v>1</v>
      </c>
      <c r="X3082" s="45">
        <v>0</v>
      </c>
      <c r="Y3082" s="45">
        <v>0</v>
      </c>
      <c r="Z3082" s="45">
        <v>1</v>
      </c>
      <c r="AA3082" s="45">
        <v>1</v>
      </c>
      <c r="AB3082" s="45">
        <v>0</v>
      </c>
      <c r="AC3082" s="150">
        <v>1</v>
      </c>
      <c r="AD3082" s="150">
        <v>1</v>
      </c>
      <c r="AE3082" s="49">
        <f t="shared" si="149"/>
        <v>0.625</v>
      </c>
      <c r="AF3082" s="44"/>
      <c r="AG3082" s="17">
        <v>0</v>
      </c>
      <c r="AH3082" s="44">
        <v>0.12</v>
      </c>
      <c r="AI3082" s="44">
        <v>0.12</v>
      </c>
      <c r="AJ3082" s="44">
        <v>0.12</v>
      </c>
      <c r="AK3082" s="151">
        <v>0.2</v>
      </c>
      <c r="AL3082" s="151">
        <v>0.2</v>
      </c>
      <c r="AM3082" s="17">
        <f t="shared" si="150"/>
        <v>0.4</v>
      </c>
      <c r="AN3082" s="18" t="s">
        <v>255</v>
      </c>
      <c r="AO3082" s="18" t="s">
        <v>1045</v>
      </c>
      <c r="AP3082" t="s">
        <v>3643</v>
      </c>
    </row>
    <row r="3083" spans="1:42" customFormat="1" hidden="1" x14ac:dyDescent="0.3">
      <c r="A3083" s="148" t="s">
        <v>8319</v>
      </c>
      <c r="B3083" t="s">
        <v>8320</v>
      </c>
      <c r="C3083" s="148" t="s">
        <v>9344</v>
      </c>
      <c r="D3083" t="s">
        <v>9345</v>
      </c>
      <c r="E3083" s="148" t="s">
        <v>9346</v>
      </c>
      <c r="F3083" t="s">
        <v>9347</v>
      </c>
      <c r="G3083" s="148" t="s">
        <v>9890</v>
      </c>
      <c r="H3083" t="s">
        <v>9891</v>
      </c>
      <c r="K3083" s="148" t="s">
        <v>9892</v>
      </c>
      <c r="L3083" t="s">
        <v>9893</v>
      </c>
      <c r="M3083" t="s">
        <v>10085</v>
      </c>
      <c r="N3083" s="3"/>
      <c r="O3083" s="3">
        <v>80</v>
      </c>
      <c r="P3083" s="3">
        <v>82</v>
      </c>
      <c r="Q3083" s="3">
        <v>84</v>
      </c>
      <c r="R3083" s="3">
        <v>85</v>
      </c>
      <c r="S3083" s="3">
        <v>86</v>
      </c>
      <c r="T3083" t="s">
        <v>10086</v>
      </c>
      <c r="U3083" t="e">
        <v>#N/A</v>
      </c>
      <c r="V3083" t="s">
        <v>10087</v>
      </c>
      <c r="W3083" s="45">
        <v>1</v>
      </c>
      <c r="X3083" s="45">
        <v>1</v>
      </c>
      <c r="Y3083" s="45">
        <v>0</v>
      </c>
      <c r="Z3083" s="45">
        <v>1</v>
      </c>
      <c r="AA3083" s="45">
        <v>1</v>
      </c>
      <c r="AB3083" s="45">
        <v>0</v>
      </c>
      <c r="AC3083" s="150">
        <v>1</v>
      </c>
      <c r="AD3083" s="150">
        <v>0</v>
      </c>
      <c r="AE3083" s="49">
        <f t="shared" si="149"/>
        <v>0.625</v>
      </c>
      <c r="AF3083" s="44"/>
      <c r="AG3083" s="17">
        <v>0</v>
      </c>
      <c r="AH3083" s="44">
        <v>10</v>
      </c>
      <c r="AI3083" s="44">
        <v>10</v>
      </c>
      <c r="AJ3083" s="44">
        <v>10</v>
      </c>
      <c r="AK3083" s="151">
        <v>10</v>
      </c>
      <c r="AL3083" s="151">
        <v>10</v>
      </c>
      <c r="AM3083" s="17">
        <f t="shared" si="150"/>
        <v>20</v>
      </c>
      <c r="AN3083" s="18" t="s">
        <v>255</v>
      </c>
      <c r="AO3083" s="18" t="s">
        <v>1045</v>
      </c>
      <c r="AP3083" t="s">
        <v>9746</v>
      </c>
    </row>
    <row r="3084" spans="1:42" customFormat="1" hidden="1" x14ac:dyDescent="0.3">
      <c r="A3084" s="148" t="s">
        <v>8319</v>
      </c>
      <c r="B3084" t="s">
        <v>8320</v>
      </c>
      <c r="C3084" s="148" t="s">
        <v>9344</v>
      </c>
      <c r="D3084" t="s">
        <v>9345</v>
      </c>
      <c r="E3084" s="148" t="s">
        <v>9346</v>
      </c>
      <c r="F3084" t="s">
        <v>9347</v>
      </c>
      <c r="G3084" s="148" t="s">
        <v>9897</v>
      </c>
      <c r="H3084" t="s">
        <v>9898</v>
      </c>
      <c r="K3084" s="148" t="s">
        <v>9899</v>
      </c>
      <c r="L3084" t="s">
        <v>9900</v>
      </c>
      <c r="M3084" t="s">
        <v>10088</v>
      </c>
      <c r="N3084" s="3">
        <v>10</v>
      </c>
      <c r="O3084" s="3">
        <v>15</v>
      </c>
      <c r="P3084" s="3">
        <v>25</v>
      </c>
      <c r="Q3084" s="3">
        <v>35</v>
      </c>
      <c r="R3084" s="3">
        <v>45</v>
      </c>
      <c r="S3084" s="3">
        <v>50</v>
      </c>
      <c r="T3084" t="s">
        <v>771</v>
      </c>
      <c r="U3084" t="s">
        <v>773</v>
      </c>
      <c r="V3084" t="s">
        <v>10089</v>
      </c>
      <c r="W3084" s="45">
        <v>1</v>
      </c>
      <c r="X3084" s="45">
        <v>1</v>
      </c>
      <c r="Y3084" s="45">
        <v>1</v>
      </c>
      <c r="Z3084" s="45">
        <v>1</v>
      </c>
      <c r="AA3084" s="45">
        <v>1</v>
      </c>
      <c r="AB3084" s="45">
        <v>0</v>
      </c>
      <c r="AC3084" s="150">
        <v>0</v>
      </c>
      <c r="AD3084" s="150">
        <v>0</v>
      </c>
      <c r="AE3084" s="49">
        <f t="shared" si="149"/>
        <v>0.625</v>
      </c>
      <c r="AF3084" s="44"/>
      <c r="AG3084" s="17">
        <v>0</v>
      </c>
      <c r="AH3084" s="44">
        <v>3</v>
      </c>
      <c r="AI3084" s="44">
        <v>3</v>
      </c>
      <c r="AJ3084" s="44">
        <v>3</v>
      </c>
      <c r="AK3084" s="151">
        <v>3</v>
      </c>
      <c r="AL3084" s="151">
        <v>3</v>
      </c>
      <c r="AM3084" s="17">
        <f t="shared" si="150"/>
        <v>6</v>
      </c>
      <c r="AN3084" s="18" t="s">
        <v>255</v>
      </c>
      <c r="AO3084" s="18" t="s">
        <v>1045</v>
      </c>
      <c r="AP3084" t="s">
        <v>771</v>
      </c>
    </row>
    <row r="3085" spans="1:42" customFormat="1" hidden="1" x14ac:dyDescent="0.3">
      <c r="A3085" s="148" t="s">
        <v>8319</v>
      </c>
      <c r="B3085" t="s">
        <v>8320</v>
      </c>
      <c r="C3085" s="148" t="s">
        <v>9344</v>
      </c>
      <c r="D3085" t="s">
        <v>9345</v>
      </c>
      <c r="E3085" s="148" t="s">
        <v>9346</v>
      </c>
      <c r="F3085" t="s">
        <v>9347</v>
      </c>
      <c r="G3085" s="148" t="s">
        <v>9558</v>
      </c>
      <c r="H3085" t="s">
        <v>9559</v>
      </c>
      <c r="K3085" s="148" t="s">
        <v>9560</v>
      </c>
      <c r="L3085" t="s">
        <v>9561</v>
      </c>
      <c r="M3085" t="s">
        <v>10090</v>
      </c>
      <c r="N3085" s="3" t="s">
        <v>271</v>
      </c>
      <c r="O3085" s="3">
        <v>22</v>
      </c>
      <c r="P3085" s="3">
        <v>30</v>
      </c>
      <c r="Q3085" s="3">
        <v>35</v>
      </c>
      <c r="R3085" s="3">
        <v>40</v>
      </c>
      <c r="S3085" s="3">
        <v>50</v>
      </c>
      <c r="T3085" t="s">
        <v>723</v>
      </c>
      <c r="U3085" t="s">
        <v>729</v>
      </c>
      <c r="V3085" t="s">
        <v>10091</v>
      </c>
      <c r="W3085" s="45">
        <v>1</v>
      </c>
      <c r="X3085" s="45">
        <v>0</v>
      </c>
      <c r="Y3085" s="45">
        <v>0</v>
      </c>
      <c r="Z3085" s="45">
        <v>1</v>
      </c>
      <c r="AA3085" s="45">
        <v>1</v>
      </c>
      <c r="AB3085" s="45">
        <v>0</v>
      </c>
      <c r="AC3085" s="150">
        <v>1</v>
      </c>
      <c r="AD3085" s="150">
        <v>1</v>
      </c>
      <c r="AE3085" s="49">
        <f t="shared" si="149"/>
        <v>0.625</v>
      </c>
      <c r="AF3085" s="17"/>
      <c r="AG3085" s="17">
        <v>0</v>
      </c>
      <c r="AH3085" s="17">
        <v>0</v>
      </c>
      <c r="AI3085" s="44">
        <v>0.3</v>
      </c>
      <c r="AJ3085" s="44">
        <v>0.4</v>
      </c>
      <c r="AK3085" s="151">
        <v>0.2</v>
      </c>
      <c r="AL3085" s="151">
        <v>0.2</v>
      </c>
      <c r="AM3085" s="17">
        <f t="shared" si="150"/>
        <v>0.4</v>
      </c>
      <c r="AN3085" t="s">
        <v>723</v>
      </c>
      <c r="AO3085" s="18" t="s">
        <v>729</v>
      </c>
      <c r="AP3085" t="s">
        <v>255</v>
      </c>
    </row>
    <row r="3086" spans="1:42" customFormat="1" hidden="1" x14ac:dyDescent="0.3">
      <c r="A3086" s="148" t="s">
        <v>8319</v>
      </c>
      <c r="B3086" t="s">
        <v>8320</v>
      </c>
      <c r="C3086" s="148" t="s">
        <v>9344</v>
      </c>
      <c r="D3086" t="s">
        <v>9345</v>
      </c>
      <c r="E3086" s="148" t="s">
        <v>9346</v>
      </c>
      <c r="F3086" t="s">
        <v>9347</v>
      </c>
      <c r="G3086" s="148" t="s">
        <v>9558</v>
      </c>
      <c r="H3086" t="s">
        <v>9559</v>
      </c>
      <c r="K3086" s="148" t="s">
        <v>9560</v>
      </c>
      <c r="L3086" t="s">
        <v>9561</v>
      </c>
      <c r="M3086" t="s">
        <v>10092</v>
      </c>
      <c r="N3086" s="3" t="s">
        <v>271</v>
      </c>
      <c r="O3086" s="3">
        <v>2820</v>
      </c>
      <c r="P3086" s="3">
        <v>5641</v>
      </c>
      <c r="Q3086" s="3">
        <v>11283</v>
      </c>
      <c r="R3086" s="3">
        <v>14104</v>
      </c>
      <c r="S3086" s="3">
        <v>2820</v>
      </c>
      <c r="T3086" t="s">
        <v>723</v>
      </c>
      <c r="U3086" t="s">
        <v>729</v>
      </c>
      <c r="V3086" t="s">
        <v>10093</v>
      </c>
      <c r="W3086" s="45">
        <v>1</v>
      </c>
      <c r="X3086" s="45">
        <v>0</v>
      </c>
      <c r="Y3086" s="45">
        <v>0</v>
      </c>
      <c r="Z3086" s="45">
        <v>1</v>
      </c>
      <c r="AA3086" s="45">
        <v>1</v>
      </c>
      <c r="AB3086" s="45">
        <v>0</v>
      </c>
      <c r="AC3086" s="150">
        <v>1</v>
      </c>
      <c r="AD3086" s="150">
        <v>1</v>
      </c>
      <c r="AE3086" s="49">
        <f t="shared" si="149"/>
        <v>0.625</v>
      </c>
      <c r="AF3086" s="17"/>
      <c r="AG3086" s="17">
        <v>0</v>
      </c>
      <c r="AH3086" s="17">
        <v>0</v>
      </c>
      <c r="AI3086" s="44">
        <v>5.04</v>
      </c>
      <c r="AJ3086" s="44">
        <v>5.04</v>
      </c>
      <c r="AK3086" s="151">
        <v>5.04</v>
      </c>
      <c r="AL3086" s="151">
        <v>5.04</v>
      </c>
      <c r="AM3086" s="17">
        <f t="shared" si="150"/>
        <v>10.08</v>
      </c>
      <c r="AN3086" s="18" t="s">
        <v>255</v>
      </c>
      <c r="AO3086" s="18" t="s">
        <v>1045</v>
      </c>
      <c r="AP3086" t="s">
        <v>723</v>
      </c>
    </row>
    <row r="3087" spans="1:42" customFormat="1" hidden="1" x14ac:dyDescent="0.3">
      <c r="A3087" s="148" t="s">
        <v>8319</v>
      </c>
      <c r="B3087" t="s">
        <v>8320</v>
      </c>
      <c r="C3087" s="148" t="s">
        <v>9344</v>
      </c>
      <c r="D3087" t="s">
        <v>9345</v>
      </c>
      <c r="E3087" s="148" t="s">
        <v>9346</v>
      </c>
      <c r="F3087" t="s">
        <v>9347</v>
      </c>
      <c r="G3087" s="148" t="s">
        <v>9558</v>
      </c>
      <c r="H3087" t="s">
        <v>9559</v>
      </c>
      <c r="K3087" s="148" t="s">
        <v>9560</v>
      </c>
      <c r="L3087" t="s">
        <v>9561</v>
      </c>
      <c r="M3087" t="s">
        <v>10094</v>
      </c>
      <c r="N3087" s="3" t="s">
        <v>271</v>
      </c>
      <c r="O3087" s="3">
        <v>0</v>
      </c>
      <c r="P3087" s="3">
        <v>7720</v>
      </c>
      <c r="Q3087" s="3">
        <v>7720</v>
      </c>
      <c r="R3087" s="3">
        <v>5000</v>
      </c>
      <c r="S3087" s="3">
        <v>5000</v>
      </c>
      <c r="T3087" t="s">
        <v>255</v>
      </c>
      <c r="U3087" t="s">
        <v>1045</v>
      </c>
      <c r="V3087" t="s">
        <v>10095</v>
      </c>
      <c r="W3087" s="45">
        <v>1</v>
      </c>
      <c r="X3087" s="45">
        <v>0</v>
      </c>
      <c r="Y3087" s="45">
        <v>0</v>
      </c>
      <c r="Z3087" s="45">
        <v>1</v>
      </c>
      <c r="AA3087" s="45">
        <v>1</v>
      </c>
      <c r="AB3087" s="45">
        <v>0</v>
      </c>
      <c r="AC3087" s="150">
        <v>1</v>
      </c>
      <c r="AD3087" s="150">
        <v>1</v>
      </c>
      <c r="AE3087" s="49">
        <f t="shared" si="149"/>
        <v>0.625</v>
      </c>
      <c r="AF3087" s="44"/>
      <c r="AG3087" s="17">
        <v>0</v>
      </c>
      <c r="AH3087" s="44">
        <v>0</v>
      </c>
      <c r="AI3087" s="44">
        <v>20.059999999999999</v>
      </c>
      <c r="AJ3087" s="44">
        <v>29.9</v>
      </c>
      <c r="AK3087" s="151">
        <v>28.7</v>
      </c>
      <c r="AL3087" s="151">
        <v>28.7</v>
      </c>
      <c r="AM3087" s="17">
        <f t="shared" si="150"/>
        <v>57.4</v>
      </c>
      <c r="AN3087" s="18" t="s">
        <v>255</v>
      </c>
      <c r="AO3087" s="18" t="s">
        <v>1045</v>
      </c>
      <c r="AP3087" t="s">
        <v>10096</v>
      </c>
    </row>
    <row r="3088" spans="1:42" customFormat="1" hidden="1" x14ac:dyDescent="0.3">
      <c r="A3088" s="148" t="s">
        <v>8319</v>
      </c>
      <c r="B3088" t="s">
        <v>8320</v>
      </c>
      <c r="C3088" s="148" t="s">
        <v>9344</v>
      </c>
      <c r="D3088" t="s">
        <v>9345</v>
      </c>
      <c r="E3088" s="148" t="s">
        <v>9346</v>
      </c>
      <c r="F3088" t="s">
        <v>9347</v>
      </c>
      <c r="G3088" s="148" t="s">
        <v>9558</v>
      </c>
      <c r="H3088" t="s">
        <v>9559</v>
      </c>
      <c r="K3088" s="148" t="s">
        <v>9560</v>
      </c>
      <c r="L3088" t="s">
        <v>9561</v>
      </c>
      <c r="M3088" t="s">
        <v>10097</v>
      </c>
      <c r="N3088" s="3" t="s">
        <v>271</v>
      </c>
      <c r="O3088" s="3">
        <v>0</v>
      </c>
      <c r="P3088" s="3">
        <v>898154</v>
      </c>
      <c r="Q3088" s="3">
        <v>898154</v>
      </c>
      <c r="R3088" s="3">
        <v>898154</v>
      </c>
      <c r="S3088" s="3">
        <v>898154</v>
      </c>
      <c r="T3088" t="s">
        <v>255</v>
      </c>
      <c r="U3088" t="s">
        <v>1045</v>
      </c>
      <c r="V3088" t="s">
        <v>10098</v>
      </c>
      <c r="W3088" s="45">
        <v>1</v>
      </c>
      <c r="X3088" s="45">
        <v>0</v>
      </c>
      <c r="Y3088" s="45">
        <v>0</v>
      </c>
      <c r="Z3088" s="45">
        <v>1</v>
      </c>
      <c r="AA3088" s="45">
        <v>1</v>
      </c>
      <c r="AB3088" s="45">
        <v>0</v>
      </c>
      <c r="AC3088" s="150">
        <v>1</v>
      </c>
      <c r="AD3088" s="150">
        <v>1</v>
      </c>
      <c r="AE3088" s="49">
        <f t="shared" si="149"/>
        <v>0.625</v>
      </c>
      <c r="AF3088" s="17"/>
      <c r="AG3088" s="17">
        <v>0</v>
      </c>
      <c r="AH3088" s="17">
        <v>0</v>
      </c>
      <c r="AI3088" s="44">
        <v>7.6</v>
      </c>
      <c r="AJ3088" s="44">
        <v>7.6</v>
      </c>
      <c r="AK3088" s="151">
        <v>7.6</v>
      </c>
      <c r="AL3088" s="151">
        <v>7.6</v>
      </c>
      <c r="AM3088" s="17">
        <f t="shared" si="150"/>
        <v>15.2</v>
      </c>
      <c r="AN3088" t="s">
        <v>723</v>
      </c>
      <c r="AO3088" s="18" t="s">
        <v>729</v>
      </c>
      <c r="AP3088" t="s">
        <v>10099</v>
      </c>
    </row>
    <row r="3089" spans="1:42" customFormat="1" hidden="1" x14ac:dyDescent="0.3">
      <c r="A3089" s="148" t="s">
        <v>8319</v>
      </c>
      <c r="B3089" t="s">
        <v>8320</v>
      </c>
      <c r="C3089" s="148" t="s">
        <v>9344</v>
      </c>
      <c r="D3089" t="s">
        <v>9345</v>
      </c>
      <c r="E3089" s="148" t="s">
        <v>9346</v>
      </c>
      <c r="F3089" t="s">
        <v>9347</v>
      </c>
      <c r="G3089" s="148" t="s">
        <v>9558</v>
      </c>
      <c r="H3089" t="s">
        <v>9559</v>
      </c>
      <c r="K3089" s="148" t="s">
        <v>9560</v>
      </c>
      <c r="L3089" t="s">
        <v>9561</v>
      </c>
      <c r="M3089" t="s">
        <v>10100</v>
      </c>
      <c r="N3089" s="3" t="s">
        <v>271</v>
      </c>
      <c r="O3089" s="3">
        <v>36000</v>
      </c>
      <c r="P3089" s="3">
        <v>36000</v>
      </c>
      <c r="Q3089" s="3">
        <v>36000</v>
      </c>
      <c r="R3089" s="3">
        <v>36000</v>
      </c>
      <c r="S3089" s="3">
        <v>36000</v>
      </c>
      <c r="T3089" t="s">
        <v>723</v>
      </c>
      <c r="U3089" t="s">
        <v>729</v>
      </c>
      <c r="V3089" t="s">
        <v>10101</v>
      </c>
      <c r="W3089" s="45">
        <v>1</v>
      </c>
      <c r="X3089" s="45">
        <v>0</v>
      </c>
      <c r="Y3089" s="45">
        <v>0</v>
      </c>
      <c r="Z3089" s="45">
        <v>1</v>
      </c>
      <c r="AA3089" s="45">
        <v>1</v>
      </c>
      <c r="AB3089" s="45">
        <v>0</v>
      </c>
      <c r="AC3089" s="150">
        <v>1</v>
      </c>
      <c r="AD3089" s="150">
        <v>1</v>
      </c>
      <c r="AE3089" s="49">
        <f t="shared" si="149"/>
        <v>0.625</v>
      </c>
      <c r="AF3089" s="17"/>
      <c r="AG3089" s="17">
        <v>0</v>
      </c>
      <c r="AH3089" s="17">
        <v>0</v>
      </c>
      <c r="AI3089" s="44" t="s">
        <v>10102</v>
      </c>
      <c r="AJ3089" s="44" t="s">
        <v>10103</v>
      </c>
      <c r="AK3089" s="151">
        <v>10.7</v>
      </c>
      <c r="AL3089" s="151">
        <v>10.7</v>
      </c>
      <c r="AM3089" s="17">
        <f t="shared" si="150"/>
        <v>21.4</v>
      </c>
      <c r="AN3089" s="18" t="s">
        <v>255</v>
      </c>
      <c r="AO3089" s="18" t="s">
        <v>1045</v>
      </c>
      <c r="AP3089" t="s">
        <v>723</v>
      </c>
    </row>
    <row r="3090" spans="1:42" customFormat="1" hidden="1" x14ac:dyDescent="0.3">
      <c r="A3090" s="148" t="s">
        <v>8319</v>
      </c>
      <c r="B3090" t="s">
        <v>8320</v>
      </c>
      <c r="C3090" s="148" t="s">
        <v>9344</v>
      </c>
      <c r="D3090" t="s">
        <v>9345</v>
      </c>
      <c r="E3090" s="148" t="s">
        <v>9346</v>
      </c>
      <c r="F3090" t="s">
        <v>9347</v>
      </c>
      <c r="G3090" s="148" t="s">
        <v>9558</v>
      </c>
      <c r="H3090" t="s">
        <v>9559</v>
      </c>
      <c r="K3090" s="148" t="s">
        <v>9560</v>
      </c>
      <c r="L3090" t="s">
        <v>9561</v>
      </c>
      <c r="M3090" t="s">
        <v>10104</v>
      </c>
      <c r="N3090" s="3" t="s">
        <v>271</v>
      </c>
      <c r="O3090" s="3">
        <v>2000</v>
      </c>
      <c r="P3090" s="3">
        <v>2500</v>
      </c>
      <c r="Q3090" s="3">
        <v>5000</v>
      </c>
      <c r="R3090" s="3">
        <v>7500</v>
      </c>
      <c r="S3090" s="3">
        <v>1000</v>
      </c>
      <c r="T3090" t="s">
        <v>255</v>
      </c>
      <c r="U3090" t="s">
        <v>1045</v>
      </c>
      <c r="V3090" t="s">
        <v>10105</v>
      </c>
      <c r="W3090" s="45">
        <v>1</v>
      </c>
      <c r="X3090" s="45">
        <v>0</v>
      </c>
      <c r="Y3090" s="45">
        <v>0</v>
      </c>
      <c r="Z3090" s="45">
        <v>1</v>
      </c>
      <c r="AA3090" s="45">
        <v>1</v>
      </c>
      <c r="AB3090" s="45">
        <v>0</v>
      </c>
      <c r="AC3090" s="150">
        <v>1</v>
      </c>
      <c r="AD3090" s="150">
        <v>1</v>
      </c>
      <c r="AE3090" s="49">
        <f t="shared" si="149"/>
        <v>0.625</v>
      </c>
      <c r="AF3090" s="17"/>
      <c r="AG3090" s="17">
        <v>0</v>
      </c>
      <c r="AH3090" s="17">
        <v>0</v>
      </c>
      <c r="AI3090" s="44">
        <v>4</v>
      </c>
      <c r="AJ3090" s="44">
        <v>4</v>
      </c>
      <c r="AK3090" s="151">
        <v>4</v>
      </c>
      <c r="AL3090" s="151">
        <v>4</v>
      </c>
      <c r="AM3090" s="17">
        <f t="shared" si="150"/>
        <v>8</v>
      </c>
      <c r="AN3090" t="s">
        <v>723</v>
      </c>
      <c r="AO3090" s="18" t="s">
        <v>729</v>
      </c>
      <c r="AP3090" t="s">
        <v>119</v>
      </c>
    </row>
    <row r="3091" spans="1:42" customFormat="1" hidden="1" x14ac:dyDescent="0.3">
      <c r="A3091" s="148" t="s">
        <v>8319</v>
      </c>
      <c r="B3091" t="s">
        <v>8320</v>
      </c>
      <c r="C3091" s="148" t="s">
        <v>9344</v>
      </c>
      <c r="D3091" t="s">
        <v>9345</v>
      </c>
      <c r="E3091" s="148" t="s">
        <v>9346</v>
      </c>
      <c r="F3091" t="s">
        <v>9347</v>
      </c>
      <c r="G3091" s="148" t="s">
        <v>9558</v>
      </c>
      <c r="H3091" t="s">
        <v>9559</v>
      </c>
      <c r="K3091" s="148" t="s">
        <v>9560</v>
      </c>
      <c r="L3091" t="s">
        <v>9561</v>
      </c>
      <c r="M3091" t="s">
        <v>10106</v>
      </c>
      <c r="N3091" s="3" t="s">
        <v>271</v>
      </c>
      <c r="O3091" s="3" t="s">
        <v>271</v>
      </c>
      <c r="P3091" s="3">
        <v>1</v>
      </c>
      <c r="Q3091" s="3" t="s">
        <v>271</v>
      </c>
      <c r="R3091" s="3" t="s">
        <v>271</v>
      </c>
      <c r="S3091" s="3" t="s">
        <v>271</v>
      </c>
      <c r="T3091" t="s">
        <v>723</v>
      </c>
      <c r="U3091" t="s">
        <v>729</v>
      </c>
      <c r="V3091" t="s">
        <v>10107</v>
      </c>
      <c r="W3091" s="45">
        <v>1</v>
      </c>
      <c r="X3091" s="45">
        <v>0</v>
      </c>
      <c r="Y3091" s="45">
        <v>0</v>
      </c>
      <c r="Z3091" s="45">
        <v>1</v>
      </c>
      <c r="AA3091" s="45">
        <v>1</v>
      </c>
      <c r="AB3091" s="45">
        <v>0</v>
      </c>
      <c r="AC3091" s="150">
        <v>1</v>
      </c>
      <c r="AD3091" s="150">
        <v>1</v>
      </c>
      <c r="AE3091" s="49">
        <f t="shared" si="149"/>
        <v>0.625</v>
      </c>
      <c r="AF3091" s="17"/>
      <c r="AG3091" s="17">
        <v>0</v>
      </c>
      <c r="AH3091" s="17">
        <v>0</v>
      </c>
      <c r="AI3091" s="44">
        <v>0.14000000000000001</v>
      </c>
      <c r="AJ3091" s="44">
        <v>0.28000000000000003</v>
      </c>
      <c r="AK3091" s="151">
        <v>0.42</v>
      </c>
      <c r="AL3091" s="151">
        <v>0.56000000000000005</v>
      </c>
      <c r="AM3091" s="17">
        <f t="shared" si="150"/>
        <v>0.98</v>
      </c>
      <c r="AN3091" s="18" t="s">
        <v>255</v>
      </c>
      <c r="AO3091" s="18" t="s">
        <v>1045</v>
      </c>
      <c r="AP3091" t="s">
        <v>10108</v>
      </c>
    </row>
    <row r="3092" spans="1:42" customFormat="1" hidden="1" x14ac:dyDescent="0.3">
      <c r="A3092" s="148" t="s">
        <v>8319</v>
      </c>
      <c r="B3092" t="s">
        <v>8320</v>
      </c>
      <c r="C3092" s="148" t="s">
        <v>9344</v>
      </c>
      <c r="D3092" t="s">
        <v>9345</v>
      </c>
      <c r="E3092" s="148" t="s">
        <v>9346</v>
      </c>
      <c r="F3092" t="s">
        <v>9347</v>
      </c>
      <c r="G3092" s="148" t="s">
        <v>9558</v>
      </c>
      <c r="H3092" t="s">
        <v>9559</v>
      </c>
      <c r="K3092" s="148" t="s">
        <v>9560</v>
      </c>
      <c r="L3092" t="s">
        <v>9561</v>
      </c>
      <c r="M3092" t="s">
        <v>10109</v>
      </c>
      <c r="N3092" s="3" t="s">
        <v>271</v>
      </c>
      <c r="O3092" s="3" t="s">
        <v>271</v>
      </c>
      <c r="P3092" s="3">
        <v>1</v>
      </c>
      <c r="Q3092" s="3">
        <v>1</v>
      </c>
      <c r="R3092" s="3">
        <v>1</v>
      </c>
      <c r="S3092" s="3" t="s">
        <v>271</v>
      </c>
      <c r="T3092" t="s">
        <v>2432</v>
      </c>
      <c r="U3092" t="s">
        <v>729</v>
      </c>
      <c r="V3092" t="s">
        <v>10110</v>
      </c>
      <c r="W3092" s="45">
        <v>1</v>
      </c>
      <c r="X3092" s="45">
        <v>0</v>
      </c>
      <c r="Y3092" s="45">
        <v>0</v>
      </c>
      <c r="Z3092" s="45">
        <v>1</v>
      </c>
      <c r="AA3092" s="45">
        <v>1</v>
      </c>
      <c r="AB3092" s="45">
        <v>0</v>
      </c>
      <c r="AC3092" s="150">
        <v>1</v>
      </c>
      <c r="AD3092" s="150">
        <v>1</v>
      </c>
      <c r="AE3092" s="49">
        <f t="shared" si="149"/>
        <v>0.625</v>
      </c>
      <c r="AF3092" s="17"/>
      <c r="AG3092" s="17">
        <v>0</v>
      </c>
      <c r="AH3092" s="17">
        <v>0</v>
      </c>
      <c r="AI3092" s="44">
        <v>0</v>
      </c>
      <c r="AJ3092" s="44">
        <v>0</v>
      </c>
      <c r="AK3092" s="151">
        <v>0.5</v>
      </c>
      <c r="AL3092" s="151">
        <v>0.5</v>
      </c>
      <c r="AM3092" s="17">
        <f t="shared" si="150"/>
        <v>1</v>
      </c>
      <c r="AN3092" t="s">
        <v>723</v>
      </c>
      <c r="AO3092" s="18" t="s">
        <v>729</v>
      </c>
      <c r="AP3092" t="s">
        <v>10111</v>
      </c>
    </row>
    <row r="3093" spans="1:42" customFormat="1" hidden="1" x14ac:dyDescent="0.3">
      <c r="A3093" s="148" t="s">
        <v>8319</v>
      </c>
      <c r="B3093" t="s">
        <v>8320</v>
      </c>
      <c r="C3093" s="148" t="s">
        <v>9344</v>
      </c>
      <c r="D3093" t="s">
        <v>9345</v>
      </c>
      <c r="E3093" s="148" t="s">
        <v>9346</v>
      </c>
      <c r="F3093" t="s">
        <v>9347</v>
      </c>
      <c r="G3093" s="148" t="s">
        <v>9558</v>
      </c>
      <c r="H3093" t="s">
        <v>9559</v>
      </c>
      <c r="K3093" s="148" t="s">
        <v>9560</v>
      </c>
      <c r="L3093" t="s">
        <v>9561</v>
      </c>
      <c r="M3093" t="s">
        <v>10112</v>
      </c>
      <c r="N3093" s="3" t="s">
        <v>271</v>
      </c>
      <c r="O3093" s="3" t="s">
        <v>271</v>
      </c>
      <c r="P3093" s="3">
        <v>36000</v>
      </c>
      <c r="Q3093" s="3" t="s">
        <v>271</v>
      </c>
      <c r="R3093" s="3" t="s">
        <v>271</v>
      </c>
      <c r="S3093" s="3" t="s">
        <v>271</v>
      </c>
      <c r="T3093" t="s">
        <v>10113</v>
      </c>
      <c r="U3093" t="s">
        <v>10114</v>
      </c>
      <c r="V3093" t="s">
        <v>10115</v>
      </c>
      <c r="W3093" s="45">
        <v>1</v>
      </c>
      <c r="X3093" s="45">
        <v>0</v>
      </c>
      <c r="Y3093" s="45">
        <v>0</v>
      </c>
      <c r="Z3093" s="45">
        <v>1</v>
      </c>
      <c r="AA3093" s="45">
        <v>1</v>
      </c>
      <c r="AB3093" s="45">
        <v>0</v>
      </c>
      <c r="AC3093" s="150">
        <v>1</v>
      </c>
      <c r="AD3093" s="150">
        <v>1</v>
      </c>
      <c r="AE3093" s="49">
        <f t="shared" si="149"/>
        <v>0.625</v>
      </c>
      <c r="AF3093" s="17"/>
      <c r="AG3093" s="17">
        <v>0</v>
      </c>
      <c r="AH3093" s="17">
        <v>0</v>
      </c>
      <c r="AI3093" s="44">
        <v>1.72</v>
      </c>
      <c r="AJ3093" s="17">
        <v>0</v>
      </c>
      <c r="AK3093" s="153">
        <v>0.5</v>
      </c>
      <c r="AL3093" s="154">
        <v>0.3</v>
      </c>
      <c r="AM3093" s="17">
        <f t="shared" si="150"/>
        <v>0.8</v>
      </c>
      <c r="AN3093" t="s">
        <v>723</v>
      </c>
      <c r="AO3093" s="18" t="s">
        <v>729</v>
      </c>
      <c r="AP3093" t="s">
        <v>119</v>
      </c>
    </row>
    <row r="3094" spans="1:42" customFormat="1" hidden="1" x14ac:dyDescent="0.3">
      <c r="A3094" s="148" t="s">
        <v>8319</v>
      </c>
      <c r="B3094" t="s">
        <v>8320</v>
      </c>
      <c r="C3094" s="148" t="s">
        <v>9344</v>
      </c>
      <c r="D3094" t="s">
        <v>9345</v>
      </c>
      <c r="E3094" s="148" t="s">
        <v>9346</v>
      </c>
      <c r="F3094" t="s">
        <v>9347</v>
      </c>
      <c r="G3094" s="148" t="s">
        <v>9558</v>
      </c>
      <c r="H3094" t="s">
        <v>9559</v>
      </c>
      <c r="K3094" s="148" t="s">
        <v>9560</v>
      </c>
      <c r="L3094" t="s">
        <v>9561</v>
      </c>
      <c r="M3094" t="s">
        <v>10116</v>
      </c>
      <c r="N3094" s="3" t="s">
        <v>271</v>
      </c>
      <c r="O3094" s="3" t="s">
        <v>271</v>
      </c>
      <c r="P3094" s="3" t="s">
        <v>271</v>
      </c>
      <c r="Q3094" s="3">
        <v>1</v>
      </c>
      <c r="R3094" s="3" t="s">
        <v>271</v>
      </c>
      <c r="S3094" s="3">
        <v>1</v>
      </c>
      <c r="T3094" t="s">
        <v>10113</v>
      </c>
      <c r="U3094" t="s">
        <v>10114</v>
      </c>
      <c r="V3094" t="s">
        <v>10117</v>
      </c>
      <c r="W3094" s="45">
        <v>1</v>
      </c>
      <c r="X3094" s="45">
        <v>0</v>
      </c>
      <c r="Y3094" s="45">
        <v>0</v>
      </c>
      <c r="Z3094" s="45">
        <v>1</v>
      </c>
      <c r="AA3094" s="45">
        <v>1</v>
      </c>
      <c r="AB3094" s="45">
        <v>0</v>
      </c>
      <c r="AC3094" s="150">
        <v>1</v>
      </c>
      <c r="AD3094" s="150">
        <v>1</v>
      </c>
      <c r="AE3094" s="49">
        <f t="shared" si="149"/>
        <v>0.625</v>
      </c>
      <c r="AF3094" s="17"/>
      <c r="AG3094" s="17">
        <v>0</v>
      </c>
      <c r="AH3094" s="17">
        <v>0</v>
      </c>
      <c r="AI3094" s="44">
        <v>0.24</v>
      </c>
      <c r="AJ3094" s="17">
        <v>0</v>
      </c>
      <c r="AK3094" s="153">
        <v>0.3</v>
      </c>
      <c r="AL3094" s="154">
        <v>0.3</v>
      </c>
      <c r="AM3094" s="17">
        <f t="shared" si="150"/>
        <v>0.6</v>
      </c>
      <c r="AN3094" s="44" t="s">
        <v>723</v>
      </c>
      <c r="AO3094" s="18" t="s">
        <v>729</v>
      </c>
      <c r="AP3094" t="s">
        <v>119</v>
      </c>
    </row>
    <row r="3095" spans="1:42" customFormat="1" hidden="1" x14ac:dyDescent="0.3">
      <c r="A3095" s="148" t="s">
        <v>8319</v>
      </c>
      <c r="B3095" t="s">
        <v>8320</v>
      </c>
      <c r="C3095" s="148" t="s">
        <v>9344</v>
      </c>
      <c r="D3095" t="s">
        <v>9345</v>
      </c>
      <c r="E3095" s="148" t="s">
        <v>9346</v>
      </c>
      <c r="F3095" t="s">
        <v>9347</v>
      </c>
      <c r="G3095" s="148" t="s">
        <v>9558</v>
      </c>
      <c r="H3095" t="s">
        <v>9559</v>
      </c>
      <c r="K3095" s="148" t="s">
        <v>9560</v>
      </c>
      <c r="L3095" t="s">
        <v>9561</v>
      </c>
      <c r="M3095" t="s">
        <v>10118</v>
      </c>
      <c r="N3095" s="3" t="s">
        <v>271</v>
      </c>
      <c r="O3095" s="3" t="s">
        <v>271</v>
      </c>
      <c r="P3095" s="3">
        <v>36000</v>
      </c>
      <c r="Q3095" s="3">
        <v>1</v>
      </c>
      <c r="R3095" s="3" t="s">
        <v>271</v>
      </c>
      <c r="S3095" s="3" t="s">
        <v>271</v>
      </c>
      <c r="T3095" t="s">
        <v>2432</v>
      </c>
      <c r="U3095" t="s">
        <v>729</v>
      </c>
      <c r="V3095" t="s">
        <v>10119</v>
      </c>
      <c r="W3095" s="45">
        <v>1</v>
      </c>
      <c r="X3095" s="45">
        <v>0</v>
      </c>
      <c r="Y3095" s="45">
        <v>0</v>
      </c>
      <c r="Z3095" s="45">
        <v>1</v>
      </c>
      <c r="AA3095" s="45">
        <v>1</v>
      </c>
      <c r="AB3095" s="45">
        <v>0</v>
      </c>
      <c r="AC3095" s="150">
        <v>1</v>
      </c>
      <c r="AD3095" s="150">
        <v>1</v>
      </c>
      <c r="AE3095" s="49">
        <f t="shared" si="149"/>
        <v>0.625</v>
      </c>
      <c r="AF3095" s="17"/>
      <c r="AG3095" s="17">
        <v>0</v>
      </c>
      <c r="AH3095" s="17">
        <v>0</v>
      </c>
      <c r="AI3095" s="44">
        <v>0.1</v>
      </c>
      <c r="AJ3095" s="17">
        <v>0</v>
      </c>
      <c r="AK3095" s="153">
        <v>0.2</v>
      </c>
      <c r="AL3095" s="154">
        <v>0.2</v>
      </c>
      <c r="AM3095" s="17">
        <f t="shared" si="150"/>
        <v>0.4</v>
      </c>
      <c r="AN3095" s="44" t="s">
        <v>723</v>
      </c>
      <c r="AO3095" s="18" t="s">
        <v>729</v>
      </c>
      <c r="AP3095" t="s">
        <v>119</v>
      </c>
    </row>
    <row r="3096" spans="1:42" customFormat="1" hidden="1" x14ac:dyDescent="0.3">
      <c r="A3096" s="148" t="s">
        <v>8319</v>
      </c>
      <c r="B3096" t="s">
        <v>8320</v>
      </c>
      <c r="C3096" s="148" t="s">
        <v>9344</v>
      </c>
      <c r="D3096" t="s">
        <v>9345</v>
      </c>
      <c r="E3096" s="148" t="s">
        <v>9346</v>
      </c>
      <c r="F3096" t="s">
        <v>9347</v>
      </c>
      <c r="G3096" s="148" t="s">
        <v>9558</v>
      </c>
      <c r="H3096" t="s">
        <v>9559</v>
      </c>
      <c r="K3096" s="148" t="s">
        <v>9560</v>
      </c>
      <c r="L3096" t="s">
        <v>9561</v>
      </c>
      <c r="M3096" t="s">
        <v>10120</v>
      </c>
      <c r="N3096" s="3" t="s">
        <v>271</v>
      </c>
      <c r="O3096" s="3"/>
      <c r="P3096" s="3">
        <v>1</v>
      </c>
      <c r="Q3096" s="3" t="s">
        <v>271</v>
      </c>
      <c r="R3096" s="3" t="s">
        <v>271</v>
      </c>
      <c r="S3096" s="3" t="s">
        <v>271</v>
      </c>
      <c r="T3096" t="s">
        <v>2432</v>
      </c>
      <c r="U3096" t="s">
        <v>729</v>
      </c>
      <c r="V3096" t="s">
        <v>10121</v>
      </c>
      <c r="W3096" s="45">
        <v>1</v>
      </c>
      <c r="X3096" s="45">
        <v>0</v>
      </c>
      <c r="Y3096" s="45">
        <v>0</v>
      </c>
      <c r="Z3096" s="45">
        <v>1</v>
      </c>
      <c r="AA3096" s="45">
        <v>1</v>
      </c>
      <c r="AB3096" s="45">
        <v>0</v>
      </c>
      <c r="AC3096" s="150">
        <v>1</v>
      </c>
      <c r="AD3096" s="150">
        <v>1</v>
      </c>
      <c r="AE3096" s="49">
        <f t="shared" si="149"/>
        <v>0.625</v>
      </c>
      <c r="AF3096" s="17"/>
      <c r="AG3096" s="17">
        <v>0</v>
      </c>
      <c r="AH3096" s="17">
        <v>0</v>
      </c>
      <c r="AI3096" s="17">
        <v>0</v>
      </c>
      <c r="AJ3096" s="17">
        <v>0</v>
      </c>
      <c r="AK3096" s="153">
        <v>0</v>
      </c>
      <c r="AL3096" s="154">
        <v>0</v>
      </c>
      <c r="AM3096" s="17">
        <f t="shared" si="150"/>
        <v>0</v>
      </c>
      <c r="AN3096" s="18" t="s">
        <v>255</v>
      </c>
      <c r="AO3096" s="18" t="s">
        <v>1045</v>
      </c>
      <c r="AP3096" t="s">
        <v>723</v>
      </c>
    </row>
    <row r="3097" spans="1:42" customFormat="1" hidden="1" x14ac:dyDescent="0.3">
      <c r="A3097" s="148" t="s">
        <v>8319</v>
      </c>
      <c r="B3097" t="s">
        <v>8320</v>
      </c>
      <c r="C3097" s="148" t="s">
        <v>9344</v>
      </c>
      <c r="D3097" t="s">
        <v>9345</v>
      </c>
      <c r="E3097" s="148" t="s">
        <v>9346</v>
      </c>
      <c r="F3097" t="s">
        <v>9347</v>
      </c>
      <c r="G3097" s="148" t="s">
        <v>9558</v>
      </c>
      <c r="H3097" t="s">
        <v>9559</v>
      </c>
      <c r="K3097" s="148" t="s">
        <v>9560</v>
      </c>
      <c r="L3097" t="s">
        <v>9561</v>
      </c>
      <c r="M3097" t="s">
        <v>10122</v>
      </c>
      <c r="N3097" s="3" t="s">
        <v>271</v>
      </c>
      <c r="O3097" s="3" t="s">
        <v>271</v>
      </c>
      <c r="P3097" s="3">
        <v>1</v>
      </c>
      <c r="Q3097" s="3">
        <v>1</v>
      </c>
      <c r="R3097" s="3"/>
      <c r="S3097" s="3"/>
      <c r="T3097" t="s">
        <v>2432</v>
      </c>
      <c r="U3097" t="s">
        <v>729</v>
      </c>
      <c r="V3097" t="s">
        <v>10123</v>
      </c>
      <c r="W3097" s="45">
        <v>1</v>
      </c>
      <c r="X3097" s="45">
        <v>0</v>
      </c>
      <c r="Y3097" s="45">
        <v>0</v>
      </c>
      <c r="Z3097" s="45">
        <v>1</v>
      </c>
      <c r="AA3097" s="45">
        <v>1</v>
      </c>
      <c r="AB3097" s="45">
        <v>0</v>
      </c>
      <c r="AC3097" s="150">
        <v>1</v>
      </c>
      <c r="AD3097" s="150">
        <v>1</v>
      </c>
      <c r="AE3097" s="49">
        <f t="shared" si="149"/>
        <v>0.625</v>
      </c>
      <c r="AF3097" s="17"/>
      <c r="AG3097" s="17">
        <v>0</v>
      </c>
      <c r="AH3097" s="17">
        <v>0</v>
      </c>
      <c r="AI3097" s="17">
        <v>0</v>
      </c>
      <c r="AJ3097" s="44">
        <v>4</v>
      </c>
      <c r="AK3097" s="151">
        <v>5</v>
      </c>
      <c r="AL3097" s="151">
        <v>5</v>
      </c>
      <c r="AM3097" s="17">
        <f t="shared" si="150"/>
        <v>10</v>
      </c>
      <c r="AN3097" s="44" t="s">
        <v>10113</v>
      </c>
      <c r="AO3097" s="18" t="s">
        <v>10114</v>
      </c>
      <c r="AP3097" t="s">
        <v>831</v>
      </c>
    </row>
    <row r="3098" spans="1:42" customFormat="1" hidden="1" x14ac:dyDescent="0.3">
      <c r="A3098" s="148" t="s">
        <v>8319</v>
      </c>
      <c r="B3098" t="s">
        <v>8320</v>
      </c>
      <c r="C3098" s="148" t="s">
        <v>9344</v>
      </c>
      <c r="D3098" t="s">
        <v>9345</v>
      </c>
      <c r="E3098" s="148" t="s">
        <v>9346</v>
      </c>
      <c r="F3098" t="s">
        <v>9347</v>
      </c>
      <c r="G3098" s="148" t="s">
        <v>9558</v>
      </c>
      <c r="H3098" t="s">
        <v>9559</v>
      </c>
      <c r="K3098" s="148" t="s">
        <v>9560</v>
      </c>
      <c r="L3098" t="s">
        <v>9561</v>
      </c>
      <c r="M3098" t="s">
        <v>10124</v>
      </c>
      <c r="N3098" s="3" t="s">
        <v>271</v>
      </c>
      <c r="O3098" s="3">
        <v>47</v>
      </c>
      <c r="P3098" s="3">
        <v>50</v>
      </c>
      <c r="Q3098" s="3">
        <v>53</v>
      </c>
      <c r="R3098" s="3">
        <v>70</v>
      </c>
      <c r="S3098" s="3">
        <v>80</v>
      </c>
      <c r="T3098" t="s">
        <v>2432</v>
      </c>
      <c r="U3098" t="s">
        <v>729</v>
      </c>
      <c r="V3098" t="s">
        <v>10125</v>
      </c>
      <c r="W3098" s="45">
        <v>1</v>
      </c>
      <c r="X3098" s="45">
        <v>0</v>
      </c>
      <c r="Y3098" s="45">
        <v>0</v>
      </c>
      <c r="Z3098" s="45">
        <v>1</v>
      </c>
      <c r="AA3098" s="45">
        <v>1</v>
      </c>
      <c r="AB3098" s="45">
        <v>0</v>
      </c>
      <c r="AC3098" s="150">
        <v>1</v>
      </c>
      <c r="AD3098" s="150">
        <v>1</v>
      </c>
      <c r="AE3098" s="49">
        <f t="shared" ref="AE3098:AE3161" si="151">SUM(W3098:AD3098)/8</f>
        <v>0.625</v>
      </c>
      <c r="AF3098" s="17"/>
      <c r="AG3098" s="17">
        <v>0</v>
      </c>
      <c r="AH3098" s="17">
        <v>0</v>
      </c>
      <c r="AI3098" s="44">
        <v>0.3</v>
      </c>
      <c r="AJ3098" s="44">
        <v>0.3</v>
      </c>
      <c r="AK3098" s="153">
        <v>0.5</v>
      </c>
      <c r="AL3098" s="154">
        <v>0.5</v>
      </c>
      <c r="AM3098" s="17">
        <f t="shared" ref="AM3098:AM3161" si="152">SUM(AK3098:AL3098)</f>
        <v>1</v>
      </c>
      <c r="AN3098" s="44" t="s">
        <v>723</v>
      </c>
      <c r="AO3098" s="18" t="s">
        <v>729</v>
      </c>
      <c r="AP3098" t="s">
        <v>119</v>
      </c>
    </row>
    <row r="3099" spans="1:42" customFormat="1" hidden="1" x14ac:dyDescent="0.3">
      <c r="A3099" s="148" t="s">
        <v>8319</v>
      </c>
      <c r="B3099" t="s">
        <v>8320</v>
      </c>
      <c r="C3099" s="148" t="s">
        <v>9344</v>
      </c>
      <c r="D3099" t="s">
        <v>9345</v>
      </c>
      <c r="E3099" s="148" t="s">
        <v>9346</v>
      </c>
      <c r="F3099" t="s">
        <v>9347</v>
      </c>
      <c r="G3099" s="148" t="s">
        <v>9558</v>
      </c>
      <c r="H3099" t="s">
        <v>9559</v>
      </c>
      <c r="K3099" s="148" t="s">
        <v>9560</v>
      </c>
      <c r="L3099" t="s">
        <v>9561</v>
      </c>
      <c r="M3099" t="s">
        <v>10126</v>
      </c>
      <c r="N3099" s="3" t="s">
        <v>271</v>
      </c>
      <c r="O3099" s="3">
        <v>1</v>
      </c>
      <c r="P3099" s="3">
        <v>1</v>
      </c>
      <c r="Q3099" s="3">
        <v>1</v>
      </c>
      <c r="R3099" s="3"/>
      <c r="S3099" s="3"/>
      <c r="T3099" t="s">
        <v>2432</v>
      </c>
      <c r="U3099" t="s">
        <v>729</v>
      </c>
      <c r="V3099" t="s">
        <v>10127</v>
      </c>
      <c r="W3099" s="45">
        <v>1</v>
      </c>
      <c r="X3099" s="45">
        <v>0</v>
      </c>
      <c r="Y3099" s="45">
        <v>0</v>
      </c>
      <c r="Z3099" s="45">
        <v>1</v>
      </c>
      <c r="AA3099" s="45">
        <v>1</v>
      </c>
      <c r="AB3099" s="45">
        <v>0</v>
      </c>
      <c r="AC3099" s="150">
        <v>1</v>
      </c>
      <c r="AD3099" s="150">
        <v>1</v>
      </c>
      <c r="AE3099" s="49">
        <f t="shared" si="151"/>
        <v>0.625</v>
      </c>
      <c r="AF3099" s="44"/>
      <c r="AG3099" s="17">
        <v>0</v>
      </c>
      <c r="AH3099" s="44">
        <v>0.3</v>
      </c>
      <c r="AI3099" s="44">
        <v>0.3</v>
      </c>
      <c r="AJ3099" s="44">
        <v>0.3</v>
      </c>
      <c r="AK3099" s="153">
        <v>0.3</v>
      </c>
      <c r="AL3099" s="154">
        <v>0.2</v>
      </c>
      <c r="AM3099" s="17">
        <f t="shared" si="152"/>
        <v>0.5</v>
      </c>
      <c r="AN3099" s="44" t="s">
        <v>723</v>
      </c>
      <c r="AO3099" s="18" t="s">
        <v>729</v>
      </c>
      <c r="AP3099" t="s">
        <v>10128</v>
      </c>
    </row>
    <row r="3100" spans="1:42" customFormat="1" hidden="1" x14ac:dyDescent="0.3">
      <c r="A3100" s="148" t="s">
        <v>8319</v>
      </c>
      <c r="B3100" t="s">
        <v>8320</v>
      </c>
      <c r="C3100" s="148" t="s">
        <v>9344</v>
      </c>
      <c r="D3100" t="s">
        <v>9345</v>
      </c>
      <c r="E3100" s="148" t="s">
        <v>9346</v>
      </c>
      <c r="F3100" t="s">
        <v>9347</v>
      </c>
      <c r="G3100" s="148" t="s">
        <v>9558</v>
      </c>
      <c r="H3100" t="s">
        <v>9559</v>
      </c>
      <c r="K3100" s="148" t="s">
        <v>9560</v>
      </c>
      <c r="L3100" t="s">
        <v>9561</v>
      </c>
      <c r="M3100" t="s">
        <v>10129</v>
      </c>
      <c r="N3100" s="3" t="s">
        <v>271</v>
      </c>
      <c r="O3100" s="3"/>
      <c r="P3100" s="3">
        <v>1</v>
      </c>
      <c r="Q3100" s="3">
        <v>1</v>
      </c>
      <c r="R3100" s="3"/>
      <c r="S3100" s="3">
        <v>13</v>
      </c>
      <c r="T3100" t="s">
        <v>2432</v>
      </c>
      <c r="U3100" t="s">
        <v>729</v>
      </c>
      <c r="V3100" t="s">
        <v>10130</v>
      </c>
      <c r="W3100" s="45">
        <v>1</v>
      </c>
      <c r="X3100" s="45">
        <v>0</v>
      </c>
      <c r="Y3100" s="45">
        <v>0</v>
      </c>
      <c r="Z3100" s="45">
        <v>1</v>
      </c>
      <c r="AA3100" s="45">
        <v>1</v>
      </c>
      <c r="AB3100" s="45">
        <v>0</v>
      </c>
      <c r="AC3100" s="150">
        <v>1</v>
      </c>
      <c r="AD3100" s="150">
        <v>1</v>
      </c>
      <c r="AE3100" s="49">
        <f t="shared" si="151"/>
        <v>0.625</v>
      </c>
      <c r="AF3100" s="44"/>
      <c r="AG3100" s="17">
        <v>0</v>
      </c>
      <c r="AH3100" s="44">
        <v>0</v>
      </c>
      <c r="AI3100" s="44">
        <v>0</v>
      </c>
      <c r="AJ3100" s="44">
        <v>0</v>
      </c>
      <c r="AK3100" s="151">
        <v>0.3</v>
      </c>
      <c r="AL3100" s="154">
        <v>0.2</v>
      </c>
      <c r="AM3100" s="17">
        <f t="shared" si="152"/>
        <v>0.5</v>
      </c>
      <c r="AN3100" s="44" t="s">
        <v>723</v>
      </c>
      <c r="AO3100" s="18" t="s">
        <v>729</v>
      </c>
      <c r="AP3100" t="s">
        <v>10099</v>
      </c>
    </row>
    <row r="3101" spans="1:42" customFormat="1" hidden="1" x14ac:dyDescent="0.3">
      <c r="A3101" s="148" t="s">
        <v>8319</v>
      </c>
      <c r="B3101" t="s">
        <v>8320</v>
      </c>
      <c r="C3101" s="148" t="s">
        <v>9344</v>
      </c>
      <c r="D3101" t="s">
        <v>9345</v>
      </c>
      <c r="E3101" s="148" t="s">
        <v>9346</v>
      </c>
      <c r="F3101" t="s">
        <v>9347</v>
      </c>
      <c r="G3101" s="148" t="s">
        <v>9558</v>
      </c>
      <c r="H3101" t="s">
        <v>9559</v>
      </c>
      <c r="K3101" s="148" t="s">
        <v>9560</v>
      </c>
      <c r="L3101" t="s">
        <v>9561</v>
      </c>
      <c r="M3101" t="s">
        <v>10131</v>
      </c>
      <c r="N3101" s="3" t="s">
        <v>271</v>
      </c>
      <c r="O3101" s="3"/>
      <c r="P3101" s="3"/>
      <c r="Q3101" s="3"/>
      <c r="R3101" s="3">
        <v>1</v>
      </c>
      <c r="S3101" s="3"/>
      <c r="T3101" t="s">
        <v>2432</v>
      </c>
      <c r="U3101" t="s">
        <v>729</v>
      </c>
      <c r="V3101" t="s">
        <v>10132</v>
      </c>
      <c r="W3101" s="45">
        <v>1</v>
      </c>
      <c r="X3101" s="45">
        <v>0</v>
      </c>
      <c r="Y3101" s="45">
        <v>0</v>
      </c>
      <c r="Z3101" s="45">
        <v>1</v>
      </c>
      <c r="AA3101" s="45">
        <v>1</v>
      </c>
      <c r="AB3101" s="45">
        <v>0</v>
      </c>
      <c r="AC3101" s="150">
        <v>1</v>
      </c>
      <c r="AD3101" s="150">
        <v>1</v>
      </c>
      <c r="AE3101" s="49">
        <f t="shared" si="151"/>
        <v>0.625</v>
      </c>
      <c r="AF3101" s="17"/>
      <c r="AG3101" s="17">
        <v>0</v>
      </c>
      <c r="AH3101" s="17">
        <v>0</v>
      </c>
      <c r="AI3101" s="44">
        <v>0</v>
      </c>
      <c r="AJ3101" s="17">
        <v>0</v>
      </c>
      <c r="AK3101" s="153">
        <v>0</v>
      </c>
      <c r="AL3101" s="154">
        <v>0</v>
      </c>
      <c r="AM3101" s="17">
        <f t="shared" si="152"/>
        <v>0</v>
      </c>
      <c r="AN3101" s="44" t="s">
        <v>723</v>
      </c>
      <c r="AO3101" s="18" t="s">
        <v>729</v>
      </c>
      <c r="AP3101" t="s">
        <v>119</v>
      </c>
    </row>
    <row r="3102" spans="1:42" customFormat="1" hidden="1" x14ac:dyDescent="0.3">
      <c r="A3102" s="148" t="s">
        <v>8319</v>
      </c>
      <c r="B3102" t="s">
        <v>8320</v>
      </c>
      <c r="C3102" s="148" t="s">
        <v>9344</v>
      </c>
      <c r="D3102" t="s">
        <v>9345</v>
      </c>
      <c r="E3102" s="148" t="s">
        <v>9346</v>
      </c>
      <c r="F3102" t="s">
        <v>9347</v>
      </c>
      <c r="G3102" s="148" t="s">
        <v>9558</v>
      </c>
      <c r="H3102" t="s">
        <v>9559</v>
      </c>
      <c r="K3102" s="148" t="s">
        <v>9560</v>
      </c>
      <c r="L3102" t="s">
        <v>9561</v>
      </c>
      <c r="M3102" t="s">
        <v>10133</v>
      </c>
      <c r="N3102" s="3" t="s">
        <v>271</v>
      </c>
      <c r="O3102" s="3" t="s">
        <v>271</v>
      </c>
      <c r="P3102" s="3"/>
      <c r="Q3102" s="3">
        <v>1</v>
      </c>
      <c r="R3102" s="3">
        <v>1</v>
      </c>
      <c r="S3102" s="3"/>
      <c r="T3102" t="s">
        <v>2432</v>
      </c>
      <c r="U3102" t="s">
        <v>729</v>
      </c>
      <c r="V3102" t="s">
        <v>10134</v>
      </c>
      <c r="W3102" s="45">
        <v>1</v>
      </c>
      <c r="X3102" s="45">
        <v>0</v>
      </c>
      <c r="Y3102" s="45">
        <v>0</v>
      </c>
      <c r="Z3102" s="45">
        <v>1</v>
      </c>
      <c r="AA3102" s="45">
        <v>1</v>
      </c>
      <c r="AB3102" s="45">
        <v>0</v>
      </c>
      <c r="AC3102" s="150">
        <v>1</v>
      </c>
      <c r="AD3102" s="150">
        <v>1</v>
      </c>
      <c r="AE3102" s="49">
        <f t="shared" si="151"/>
        <v>0.625</v>
      </c>
      <c r="AF3102" s="17"/>
      <c r="AG3102" s="17">
        <v>0</v>
      </c>
      <c r="AH3102" s="17">
        <v>0</v>
      </c>
      <c r="AI3102" s="44">
        <v>8</v>
      </c>
      <c r="AJ3102" s="44">
        <v>0.1</v>
      </c>
      <c r="AK3102" s="153">
        <v>0.3</v>
      </c>
      <c r="AL3102" s="154">
        <v>0.3</v>
      </c>
      <c r="AM3102" s="17">
        <f t="shared" si="152"/>
        <v>0.6</v>
      </c>
      <c r="AN3102" s="18" t="s">
        <v>255</v>
      </c>
      <c r="AO3102" s="18" t="s">
        <v>1045</v>
      </c>
      <c r="AP3102" t="s">
        <v>10135</v>
      </c>
    </row>
    <row r="3103" spans="1:42" customFormat="1" hidden="1" x14ac:dyDescent="0.3">
      <c r="A3103" s="148" t="s">
        <v>8319</v>
      </c>
      <c r="B3103" t="s">
        <v>8320</v>
      </c>
      <c r="C3103" s="148" t="s">
        <v>9344</v>
      </c>
      <c r="D3103" t="s">
        <v>9345</v>
      </c>
      <c r="E3103" s="148" t="s">
        <v>9346</v>
      </c>
      <c r="F3103" t="s">
        <v>9347</v>
      </c>
      <c r="G3103" s="148" t="s">
        <v>9558</v>
      </c>
      <c r="H3103" t="s">
        <v>9559</v>
      </c>
      <c r="K3103" s="148" t="s">
        <v>9560</v>
      </c>
      <c r="L3103" t="s">
        <v>9561</v>
      </c>
      <c r="M3103" t="s">
        <v>10136</v>
      </c>
      <c r="N3103" s="3"/>
      <c r="O3103" s="3">
        <v>47</v>
      </c>
      <c r="P3103" s="3">
        <v>50</v>
      </c>
      <c r="Q3103" s="3">
        <v>53</v>
      </c>
      <c r="R3103" s="3">
        <v>70</v>
      </c>
      <c r="S3103" s="3">
        <v>80</v>
      </c>
      <c r="T3103" t="s">
        <v>2432</v>
      </c>
      <c r="U3103" t="s">
        <v>729</v>
      </c>
      <c r="V3103" t="s">
        <v>10137</v>
      </c>
      <c r="W3103" s="45">
        <v>1</v>
      </c>
      <c r="X3103" s="45">
        <v>0</v>
      </c>
      <c r="Y3103" s="45">
        <v>0</v>
      </c>
      <c r="Z3103" s="45">
        <v>1</v>
      </c>
      <c r="AA3103" s="45">
        <v>1</v>
      </c>
      <c r="AB3103" s="45">
        <v>0</v>
      </c>
      <c r="AC3103" s="150">
        <v>1</v>
      </c>
      <c r="AD3103" s="150">
        <v>1</v>
      </c>
      <c r="AE3103" s="49">
        <f t="shared" si="151"/>
        <v>0.625</v>
      </c>
      <c r="AF3103" s="44">
        <v>1</v>
      </c>
      <c r="AG3103" s="17"/>
      <c r="AH3103" s="44">
        <v>0</v>
      </c>
      <c r="AI3103" s="44">
        <v>46.208511484628616</v>
      </c>
      <c r="AJ3103" s="44">
        <v>11.5</v>
      </c>
      <c r="AK3103" s="151">
        <f>80-8.79</f>
        <v>71.210000000000008</v>
      </c>
      <c r="AL3103" s="151">
        <f>120+8.79</f>
        <v>128.79</v>
      </c>
      <c r="AM3103" s="17">
        <f t="shared" si="152"/>
        <v>200</v>
      </c>
      <c r="AN3103" s="44" t="s">
        <v>723</v>
      </c>
      <c r="AO3103" s="18" t="s">
        <v>729</v>
      </c>
      <c r="AP3103" t="s">
        <v>119</v>
      </c>
    </row>
    <row r="3104" spans="1:42" customFormat="1" hidden="1" x14ac:dyDescent="0.3">
      <c r="A3104" s="148" t="s">
        <v>8319</v>
      </c>
      <c r="B3104" t="s">
        <v>8320</v>
      </c>
      <c r="C3104" s="148" t="s">
        <v>9344</v>
      </c>
      <c r="D3104" t="s">
        <v>9345</v>
      </c>
      <c r="E3104" s="148" t="s">
        <v>9346</v>
      </c>
      <c r="F3104" t="s">
        <v>9347</v>
      </c>
      <c r="G3104" s="148" t="s">
        <v>9558</v>
      </c>
      <c r="H3104" t="s">
        <v>9559</v>
      </c>
      <c r="K3104" s="148" t="s">
        <v>9560</v>
      </c>
      <c r="L3104" t="s">
        <v>9561</v>
      </c>
      <c r="M3104" t="s">
        <v>10138</v>
      </c>
      <c r="N3104" s="3" t="s">
        <v>271</v>
      </c>
      <c r="O3104" s="3"/>
      <c r="P3104" s="3"/>
      <c r="Q3104" s="3">
        <v>1</v>
      </c>
      <c r="R3104" s="3"/>
      <c r="S3104" s="3"/>
      <c r="T3104" t="s">
        <v>2432</v>
      </c>
      <c r="U3104" t="s">
        <v>729</v>
      </c>
      <c r="V3104" t="s">
        <v>10139</v>
      </c>
      <c r="W3104" s="45">
        <v>1</v>
      </c>
      <c r="X3104" s="45">
        <v>0</v>
      </c>
      <c r="Y3104" s="45">
        <v>0</v>
      </c>
      <c r="Z3104" s="45">
        <v>1</v>
      </c>
      <c r="AA3104" s="45">
        <v>1</v>
      </c>
      <c r="AB3104" s="45">
        <v>0</v>
      </c>
      <c r="AC3104" s="150">
        <v>1</v>
      </c>
      <c r="AD3104" s="150">
        <v>1</v>
      </c>
      <c r="AE3104" s="49">
        <f t="shared" si="151"/>
        <v>0.625</v>
      </c>
      <c r="AF3104" s="17"/>
      <c r="AG3104" s="17">
        <v>0</v>
      </c>
      <c r="AH3104" s="17">
        <v>0</v>
      </c>
      <c r="AI3104" s="44">
        <v>0</v>
      </c>
      <c r="AJ3104" s="17">
        <v>0</v>
      </c>
      <c r="AK3104" s="153">
        <v>0.2</v>
      </c>
      <c r="AL3104" s="154">
        <v>0.2</v>
      </c>
      <c r="AM3104" s="17">
        <f t="shared" si="152"/>
        <v>0.4</v>
      </c>
      <c r="AN3104" t="s">
        <v>831</v>
      </c>
      <c r="AO3104" s="18" t="s">
        <v>834</v>
      </c>
      <c r="AP3104" t="s">
        <v>10140</v>
      </c>
    </row>
    <row r="3105" spans="1:42" customFormat="1" hidden="1" x14ac:dyDescent="0.3">
      <c r="A3105" s="148" t="s">
        <v>8319</v>
      </c>
      <c r="B3105" t="s">
        <v>8320</v>
      </c>
      <c r="C3105" s="148" t="s">
        <v>9344</v>
      </c>
      <c r="D3105" t="s">
        <v>9345</v>
      </c>
      <c r="E3105" s="148" t="s">
        <v>9346</v>
      </c>
      <c r="F3105" t="s">
        <v>9347</v>
      </c>
      <c r="G3105" s="148" t="s">
        <v>10141</v>
      </c>
      <c r="H3105" t="s">
        <v>10142</v>
      </c>
      <c r="K3105" s="155" t="s">
        <v>10143</v>
      </c>
      <c r="L3105" t="s">
        <v>10144</v>
      </c>
      <c r="M3105" t="s">
        <v>10145</v>
      </c>
      <c r="N3105" s="3" t="s">
        <v>271</v>
      </c>
      <c r="O3105" s="3">
        <v>4500</v>
      </c>
      <c r="P3105" s="3">
        <v>4500</v>
      </c>
      <c r="Q3105" s="3">
        <v>4500</v>
      </c>
      <c r="R3105" s="3">
        <v>4500</v>
      </c>
      <c r="S3105" s="3">
        <v>4500</v>
      </c>
      <c r="T3105" t="s">
        <v>723</v>
      </c>
      <c r="U3105" t="s">
        <v>729</v>
      </c>
      <c r="V3105" t="s">
        <v>10146</v>
      </c>
      <c r="W3105" s="45">
        <v>1</v>
      </c>
      <c r="X3105" s="45">
        <v>0</v>
      </c>
      <c r="Y3105" s="45">
        <v>0</v>
      </c>
      <c r="Z3105" s="45">
        <v>1</v>
      </c>
      <c r="AA3105" s="45">
        <v>1</v>
      </c>
      <c r="AB3105" s="45">
        <v>0</v>
      </c>
      <c r="AC3105" s="150">
        <v>1</v>
      </c>
      <c r="AD3105" s="150">
        <v>1</v>
      </c>
      <c r="AE3105" s="49">
        <f t="shared" si="151"/>
        <v>0.625</v>
      </c>
      <c r="AF3105" s="44"/>
      <c r="AG3105" s="17">
        <v>0</v>
      </c>
      <c r="AH3105" s="44">
        <v>0</v>
      </c>
      <c r="AI3105" s="44">
        <v>0.3</v>
      </c>
      <c r="AJ3105" s="44">
        <v>0.3</v>
      </c>
      <c r="AK3105" s="151">
        <v>0.2</v>
      </c>
      <c r="AL3105" s="151">
        <v>0.2</v>
      </c>
      <c r="AM3105" s="17">
        <f t="shared" si="152"/>
        <v>0.4</v>
      </c>
      <c r="AN3105" s="18" t="s">
        <v>255</v>
      </c>
      <c r="AO3105" s="18" t="s">
        <v>1045</v>
      </c>
      <c r="AP3105" t="s">
        <v>723</v>
      </c>
    </row>
    <row r="3106" spans="1:42" customFormat="1" hidden="1" x14ac:dyDescent="0.3">
      <c r="A3106" s="148" t="s">
        <v>8319</v>
      </c>
      <c r="B3106" t="s">
        <v>8320</v>
      </c>
      <c r="C3106" s="148" t="s">
        <v>9344</v>
      </c>
      <c r="D3106" t="s">
        <v>9345</v>
      </c>
      <c r="E3106" s="155" t="s">
        <v>9346</v>
      </c>
      <c r="F3106" t="s">
        <v>9347</v>
      </c>
      <c r="G3106" s="148" t="s">
        <v>10141</v>
      </c>
      <c r="H3106" t="s">
        <v>10142</v>
      </c>
      <c r="K3106" s="155" t="s">
        <v>10143</v>
      </c>
      <c r="L3106" t="s">
        <v>10144</v>
      </c>
      <c r="M3106" t="s">
        <v>10147</v>
      </c>
      <c r="N3106" s="3"/>
      <c r="O3106" s="3">
        <v>40</v>
      </c>
      <c r="P3106" s="3">
        <v>50</v>
      </c>
      <c r="Q3106" s="3">
        <v>55</v>
      </c>
      <c r="R3106" s="3">
        <v>60</v>
      </c>
      <c r="S3106" s="3">
        <v>65</v>
      </c>
      <c r="T3106" t="s">
        <v>723</v>
      </c>
      <c r="U3106" t="s">
        <v>729</v>
      </c>
      <c r="V3106" t="s">
        <v>10148</v>
      </c>
      <c r="W3106" s="45">
        <v>1</v>
      </c>
      <c r="X3106" s="45">
        <v>0</v>
      </c>
      <c r="Y3106" s="45">
        <v>0</v>
      </c>
      <c r="Z3106" s="45">
        <v>1</v>
      </c>
      <c r="AA3106" s="45">
        <v>1</v>
      </c>
      <c r="AB3106" s="45">
        <v>0</v>
      </c>
      <c r="AC3106" s="150">
        <v>1</v>
      </c>
      <c r="AD3106" s="150">
        <v>1</v>
      </c>
      <c r="AE3106" s="49">
        <f t="shared" si="151"/>
        <v>0.625</v>
      </c>
      <c r="AF3106" s="44"/>
      <c r="AG3106" s="17">
        <v>0</v>
      </c>
      <c r="AH3106" s="44">
        <v>0</v>
      </c>
      <c r="AI3106" s="44">
        <v>0.3</v>
      </c>
      <c r="AJ3106" s="44">
        <v>0.3</v>
      </c>
      <c r="AK3106" s="151">
        <v>0.1</v>
      </c>
      <c r="AL3106" s="151">
        <v>0.1</v>
      </c>
      <c r="AM3106" s="17">
        <f t="shared" si="152"/>
        <v>0.2</v>
      </c>
      <c r="AN3106" s="44" t="s">
        <v>723</v>
      </c>
      <c r="AO3106" s="18" t="s">
        <v>729</v>
      </c>
      <c r="AP3106" t="s">
        <v>10149</v>
      </c>
    </row>
    <row r="3107" spans="1:42" customFormat="1" hidden="1" x14ac:dyDescent="0.3">
      <c r="A3107" s="148" t="s">
        <v>8319</v>
      </c>
      <c r="B3107" t="s">
        <v>8320</v>
      </c>
      <c r="C3107" s="148" t="s">
        <v>9344</v>
      </c>
      <c r="D3107" t="s">
        <v>9345</v>
      </c>
      <c r="E3107" s="148" t="s">
        <v>9346</v>
      </c>
      <c r="F3107" t="s">
        <v>9347</v>
      </c>
      <c r="G3107" s="148" t="s">
        <v>10141</v>
      </c>
      <c r="H3107" t="s">
        <v>10142</v>
      </c>
      <c r="K3107" s="155" t="s">
        <v>10143</v>
      </c>
      <c r="L3107" t="s">
        <v>10144</v>
      </c>
      <c r="N3107" s="3"/>
      <c r="O3107" s="3">
        <v>40</v>
      </c>
      <c r="P3107" s="3">
        <v>50</v>
      </c>
      <c r="Q3107" s="3">
        <v>55</v>
      </c>
      <c r="R3107" s="3">
        <v>60</v>
      </c>
      <c r="S3107" s="3">
        <v>65</v>
      </c>
      <c r="T3107" t="s">
        <v>723</v>
      </c>
      <c r="U3107" t="s">
        <v>729</v>
      </c>
      <c r="V3107" t="s">
        <v>10150</v>
      </c>
      <c r="W3107" s="45">
        <v>1</v>
      </c>
      <c r="X3107" s="45">
        <v>0</v>
      </c>
      <c r="Y3107" s="45">
        <v>0</v>
      </c>
      <c r="Z3107" s="45">
        <v>1</v>
      </c>
      <c r="AA3107" s="45">
        <v>1</v>
      </c>
      <c r="AB3107" s="45">
        <v>0</v>
      </c>
      <c r="AC3107" s="150">
        <v>1</v>
      </c>
      <c r="AD3107" s="150">
        <v>1</v>
      </c>
      <c r="AE3107" s="49">
        <f t="shared" si="151"/>
        <v>0.625</v>
      </c>
      <c r="AF3107" s="44"/>
      <c r="AG3107" s="17">
        <v>0</v>
      </c>
      <c r="AH3107" s="44">
        <v>3</v>
      </c>
      <c r="AI3107" s="44">
        <v>10</v>
      </c>
      <c r="AJ3107" s="44">
        <v>5</v>
      </c>
      <c r="AK3107" s="151">
        <v>5</v>
      </c>
      <c r="AL3107" s="151">
        <v>5</v>
      </c>
      <c r="AM3107" s="17">
        <f t="shared" si="152"/>
        <v>10</v>
      </c>
      <c r="AN3107" s="44" t="s">
        <v>723</v>
      </c>
      <c r="AO3107" s="18" t="s">
        <v>729</v>
      </c>
      <c r="AP3107" t="s">
        <v>10151</v>
      </c>
    </row>
    <row r="3108" spans="1:42" customFormat="1" hidden="1" x14ac:dyDescent="0.3">
      <c r="A3108" s="148" t="s">
        <v>8319</v>
      </c>
      <c r="B3108" t="s">
        <v>8320</v>
      </c>
      <c r="C3108" s="148" t="s">
        <v>9344</v>
      </c>
      <c r="D3108" t="s">
        <v>9345</v>
      </c>
      <c r="E3108" s="148" t="s">
        <v>9346</v>
      </c>
      <c r="F3108" t="s">
        <v>9347</v>
      </c>
      <c r="G3108" s="148" t="s">
        <v>10152</v>
      </c>
      <c r="H3108" t="s">
        <v>10153</v>
      </c>
      <c r="K3108" s="148" t="s">
        <v>10154</v>
      </c>
      <c r="L3108" t="s">
        <v>10155</v>
      </c>
      <c r="M3108" t="s">
        <v>10156</v>
      </c>
      <c r="N3108" s="3" t="s">
        <v>271</v>
      </c>
      <c r="O3108" s="3" t="s">
        <v>271</v>
      </c>
      <c r="P3108" s="3">
        <v>51767</v>
      </c>
      <c r="Q3108" s="3">
        <v>62121</v>
      </c>
      <c r="R3108" s="3">
        <v>82828</v>
      </c>
      <c r="S3108" s="3">
        <v>113888</v>
      </c>
      <c r="T3108" t="s">
        <v>2432</v>
      </c>
      <c r="U3108" t="s">
        <v>729</v>
      </c>
      <c r="V3108" t="s">
        <v>2438</v>
      </c>
      <c r="W3108" s="45">
        <v>1</v>
      </c>
      <c r="X3108" s="45">
        <v>0</v>
      </c>
      <c r="Y3108" s="45">
        <v>0</v>
      </c>
      <c r="Z3108" s="45">
        <v>1</v>
      </c>
      <c r="AA3108" s="45">
        <v>1</v>
      </c>
      <c r="AB3108" s="45">
        <v>0</v>
      </c>
      <c r="AC3108" s="150">
        <v>1</v>
      </c>
      <c r="AD3108" s="150">
        <v>1</v>
      </c>
      <c r="AE3108" s="49">
        <f t="shared" si="151"/>
        <v>0.625</v>
      </c>
      <c r="AF3108" s="17">
        <v>1</v>
      </c>
      <c r="AG3108" s="17">
        <v>1</v>
      </c>
      <c r="AH3108" s="17">
        <v>0</v>
      </c>
      <c r="AI3108" s="44">
        <v>1</v>
      </c>
      <c r="AJ3108" s="44">
        <v>2.5</v>
      </c>
      <c r="AK3108" s="151">
        <v>2</v>
      </c>
      <c r="AL3108" s="151">
        <v>2</v>
      </c>
      <c r="AM3108" s="17">
        <f t="shared" si="152"/>
        <v>4</v>
      </c>
      <c r="AN3108" s="44" t="s">
        <v>723</v>
      </c>
      <c r="AO3108" s="18" t="s">
        <v>729</v>
      </c>
      <c r="AP3108" t="s">
        <v>10157</v>
      </c>
    </row>
    <row r="3109" spans="1:42" customFormat="1" hidden="1" x14ac:dyDescent="0.3">
      <c r="A3109" s="148" t="s">
        <v>8319</v>
      </c>
      <c r="B3109" t="s">
        <v>8320</v>
      </c>
      <c r="C3109" s="148" t="s">
        <v>9344</v>
      </c>
      <c r="D3109" t="s">
        <v>9345</v>
      </c>
      <c r="E3109" s="148" t="s">
        <v>9346</v>
      </c>
      <c r="F3109" t="s">
        <v>9347</v>
      </c>
      <c r="G3109" s="148" t="s">
        <v>10158</v>
      </c>
      <c r="H3109" t="s">
        <v>10159</v>
      </c>
      <c r="I3109" s="148" t="s">
        <v>10160</v>
      </c>
      <c r="J3109" t="s">
        <v>10161</v>
      </c>
      <c r="K3109" s="155" t="s">
        <v>10162</v>
      </c>
      <c r="L3109" t="s">
        <v>10163</v>
      </c>
      <c r="M3109" t="s">
        <v>10164</v>
      </c>
      <c r="N3109" s="3" t="s">
        <v>271</v>
      </c>
      <c r="O3109" s="3" t="s">
        <v>271</v>
      </c>
      <c r="P3109" s="3" t="s">
        <v>271</v>
      </c>
      <c r="Q3109" s="3">
        <v>3</v>
      </c>
      <c r="R3109" s="3">
        <v>5</v>
      </c>
      <c r="S3109" s="3">
        <v>5</v>
      </c>
      <c r="T3109" t="s">
        <v>10165</v>
      </c>
      <c r="U3109" t="e">
        <v>#N/A</v>
      </c>
      <c r="V3109" t="s">
        <v>10166</v>
      </c>
      <c r="W3109" s="45">
        <v>1</v>
      </c>
      <c r="X3109" s="45">
        <v>0</v>
      </c>
      <c r="Y3109" s="45">
        <v>0</v>
      </c>
      <c r="Z3109" s="45">
        <v>1</v>
      </c>
      <c r="AA3109" s="45">
        <v>1</v>
      </c>
      <c r="AB3109" s="45">
        <v>0</v>
      </c>
      <c r="AC3109" s="150">
        <v>1</v>
      </c>
      <c r="AD3109" s="150">
        <v>1</v>
      </c>
      <c r="AE3109" s="49">
        <f t="shared" si="151"/>
        <v>0.625</v>
      </c>
      <c r="AF3109" s="17"/>
      <c r="AG3109" s="17">
        <v>0</v>
      </c>
      <c r="AH3109" s="17">
        <v>0</v>
      </c>
      <c r="AI3109" s="17">
        <v>0</v>
      </c>
      <c r="AJ3109" s="17">
        <v>0</v>
      </c>
      <c r="AK3109" s="153">
        <v>0.1</v>
      </c>
      <c r="AL3109" s="154">
        <v>0.1</v>
      </c>
      <c r="AM3109" s="17">
        <f t="shared" si="152"/>
        <v>0.2</v>
      </c>
      <c r="AN3109" s="44" t="s">
        <v>239</v>
      </c>
      <c r="AO3109" s="18" t="s">
        <v>241</v>
      </c>
      <c r="AP3109" t="s">
        <v>723</v>
      </c>
    </row>
    <row r="3110" spans="1:42" customFormat="1" hidden="1" x14ac:dyDescent="0.3">
      <c r="A3110" s="148" t="s">
        <v>8319</v>
      </c>
      <c r="B3110" t="s">
        <v>8320</v>
      </c>
      <c r="C3110" s="148" t="s">
        <v>9344</v>
      </c>
      <c r="D3110" t="s">
        <v>9345</v>
      </c>
      <c r="E3110" s="148" t="s">
        <v>9346</v>
      </c>
      <c r="F3110" t="s">
        <v>9347</v>
      </c>
      <c r="G3110" s="148" t="s">
        <v>10167</v>
      </c>
      <c r="H3110" t="s">
        <v>10168</v>
      </c>
      <c r="K3110" s="155" t="s">
        <v>10169</v>
      </c>
      <c r="L3110" t="s">
        <v>10170</v>
      </c>
      <c r="M3110" t="s">
        <v>10171</v>
      </c>
      <c r="N3110" s="3" t="s">
        <v>271</v>
      </c>
      <c r="O3110" s="3" t="s">
        <v>271</v>
      </c>
      <c r="P3110" s="3">
        <v>1</v>
      </c>
      <c r="Q3110" s="3" t="s">
        <v>271</v>
      </c>
      <c r="R3110" s="3" t="s">
        <v>271</v>
      </c>
      <c r="S3110" s="3" t="s">
        <v>271</v>
      </c>
      <c r="T3110" t="s">
        <v>10172</v>
      </c>
      <c r="U3110" t="e">
        <v>#N/A</v>
      </c>
      <c r="V3110" t="s">
        <v>10173</v>
      </c>
      <c r="W3110" s="45">
        <v>1</v>
      </c>
      <c r="X3110" s="45">
        <v>0</v>
      </c>
      <c r="Y3110" s="45">
        <v>0</v>
      </c>
      <c r="Z3110" s="45">
        <v>1</v>
      </c>
      <c r="AA3110" s="45">
        <v>1</v>
      </c>
      <c r="AB3110" s="45">
        <v>0</v>
      </c>
      <c r="AC3110" s="150">
        <v>1</v>
      </c>
      <c r="AD3110" s="150">
        <v>1</v>
      </c>
      <c r="AE3110" s="49">
        <f t="shared" si="151"/>
        <v>0.625</v>
      </c>
      <c r="AF3110" s="17"/>
      <c r="AG3110" s="17">
        <v>0</v>
      </c>
      <c r="AH3110" s="17">
        <v>0</v>
      </c>
      <c r="AI3110" s="44">
        <v>3</v>
      </c>
      <c r="AJ3110" s="44">
        <v>5</v>
      </c>
      <c r="AK3110" s="151">
        <v>5</v>
      </c>
      <c r="AL3110" s="151">
        <v>5</v>
      </c>
      <c r="AM3110" s="17">
        <f t="shared" si="152"/>
        <v>10</v>
      </c>
      <c r="AN3110" s="44" t="s">
        <v>723</v>
      </c>
      <c r="AO3110" s="18" t="s">
        <v>729</v>
      </c>
      <c r="AP3110" t="s">
        <v>10174</v>
      </c>
    </row>
    <row r="3111" spans="1:42" customFormat="1" hidden="1" x14ac:dyDescent="0.3">
      <c r="A3111" s="148" t="s">
        <v>8319</v>
      </c>
      <c r="B3111" t="s">
        <v>8320</v>
      </c>
      <c r="C3111" s="148" t="s">
        <v>9344</v>
      </c>
      <c r="D3111" t="s">
        <v>9345</v>
      </c>
      <c r="E3111" s="148" t="s">
        <v>9346</v>
      </c>
      <c r="F3111" t="s">
        <v>9347</v>
      </c>
      <c r="G3111" s="148" t="s">
        <v>10175</v>
      </c>
      <c r="H3111" t="s">
        <v>10176</v>
      </c>
      <c r="K3111" s="148" t="s">
        <v>10177</v>
      </c>
      <c r="L3111" t="s">
        <v>10178</v>
      </c>
      <c r="M3111" t="s">
        <v>10179</v>
      </c>
      <c r="N3111" s="3">
        <v>25</v>
      </c>
      <c r="O3111" s="3">
        <v>22</v>
      </c>
      <c r="P3111" s="3">
        <v>20</v>
      </c>
      <c r="Q3111" s="3">
        <v>18</v>
      </c>
      <c r="R3111" s="3">
        <v>16</v>
      </c>
      <c r="S3111" s="3">
        <v>14</v>
      </c>
      <c r="T3111" t="s">
        <v>10180</v>
      </c>
      <c r="U3111" t="e">
        <v>#N/A</v>
      </c>
      <c r="V3111" t="s">
        <v>10181</v>
      </c>
      <c r="W3111" s="45">
        <v>1</v>
      </c>
      <c r="X3111" s="45">
        <v>0</v>
      </c>
      <c r="Y3111" s="45">
        <v>0</v>
      </c>
      <c r="Z3111" s="45">
        <v>1</v>
      </c>
      <c r="AA3111" s="45">
        <v>1</v>
      </c>
      <c r="AB3111" s="45">
        <v>0</v>
      </c>
      <c r="AC3111" s="150">
        <v>1</v>
      </c>
      <c r="AD3111" s="150">
        <v>1</v>
      </c>
      <c r="AE3111" s="49">
        <f t="shared" si="151"/>
        <v>0.625</v>
      </c>
      <c r="AF3111" s="44"/>
      <c r="AG3111" s="17">
        <v>0</v>
      </c>
      <c r="AH3111" s="44">
        <v>0.1</v>
      </c>
      <c r="AI3111" s="44">
        <v>0.1</v>
      </c>
      <c r="AJ3111" s="44">
        <v>0.1</v>
      </c>
      <c r="AK3111" s="151">
        <v>0.05</v>
      </c>
      <c r="AL3111" s="151">
        <v>0.05</v>
      </c>
      <c r="AM3111" s="17">
        <f t="shared" si="152"/>
        <v>0.1</v>
      </c>
      <c r="AN3111" s="18" t="s">
        <v>771</v>
      </c>
      <c r="AO3111" s="18" t="s">
        <v>773</v>
      </c>
      <c r="AP3111" t="s">
        <v>723</v>
      </c>
    </row>
    <row r="3112" spans="1:42" customFormat="1" hidden="1" x14ac:dyDescent="0.3">
      <c r="A3112" s="148" t="s">
        <v>8319</v>
      </c>
      <c r="B3112" t="s">
        <v>8320</v>
      </c>
      <c r="C3112" s="148" t="s">
        <v>9369</v>
      </c>
      <c r="D3112" t="s">
        <v>9370</v>
      </c>
      <c r="E3112" s="148" t="s">
        <v>9371</v>
      </c>
      <c r="F3112" t="s">
        <v>9372</v>
      </c>
      <c r="G3112" s="148" t="s">
        <v>9373</v>
      </c>
      <c r="H3112" t="s">
        <v>9374</v>
      </c>
      <c r="I3112" t="s">
        <v>9375</v>
      </c>
      <c r="J3112" t="s">
        <v>9376</v>
      </c>
      <c r="K3112" s="148" t="s">
        <v>10182</v>
      </c>
      <c r="L3112" t="s">
        <v>10183</v>
      </c>
      <c r="M3112" t="s">
        <v>10184</v>
      </c>
      <c r="N3112" s="3"/>
      <c r="O3112" s="3"/>
      <c r="P3112" s="3">
        <v>1</v>
      </c>
      <c r="Q3112" s="3">
        <v>1</v>
      </c>
      <c r="R3112" s="3">
        <v>1</v>
      </c>
      <c r="S3112" s="3">
        <v>1</v>
      </c>
      <c r="T3112" t="s">
        <v>1536</v>
      </c>
      <c r="U3112" t="e">
        <v>#N/A</v>
      </c>
      <c r="V3112" t="s">
        <v>10185</v>
      </c>
      <c r="W3112" s="45">
        <v>1</v>
      </c>
      <c r="X3112" s="45">
        <v>1</v>
      </c>
      <c r="Y3112" s="45">
        <v>0</v>
      </c>
      <c r="Z3112" s="45">
        <v>1</v>
      </c>
      <c r="AA3112" s="45">
        <v>1</v>
      </c>
      <c r="AB3112" s="45">
        <v>0</v>
      </c>
      <c r="AC3112" s="150">
        <v>0</v>
      </c>
      <c r="AD3112" s="150">
        <v>1</v>
      </c>
      <c r="AE3112" s="49">
        <f t="shared" si="151"/>
        <v>0.625</v>
      </c>
      <c r="AF3112" s="17"/>
      <c r="AG3112" s="17">
        <v>0</v>
      </c>
      <c r="AH3112" s="17">
        <v>0</v>
      </c>
      <c r="AI3112" s="44">
        <v>0.5</v>
      </c>
      <c r="AJ3112" s="44">
        <v>0.5</v>
      </c>
      <c r="AK3112" s="151">
        <v>0.5</v>
      </c>
      <c r="AL3112" s="151">
        <v>0.5</v>
      </c>
      <c r="AM3112" s="17">
        <f t="shared" si="152"/>
        <v>1</v>
      </c>
      <c r="AN3112" s="18" t="s">
        <v>771</v>
      </c>
      <c r="AO3112" s="18" t="s">
        <v>773</v>
      </c>
      <c r="AP3112" t="s">
        <v>10186</v>
      </c>
    </row>
    <row r="3113" spans="1:42" customFormat="1" hidden="1" x14ac:dyDescent="0.3">
      <c r="A3113" s="148" t="s">
        <v>8319</v>
      </c>
      <c r="B3113" t="s">
        <v>8320</v>
      </c>
      <c r="C3113" s="148" t="s">
        <v>9369</v>
      </c>
      <c r="D3113" t="s">
        <v>9370</v>
      </c>
      <c r="E3113" s="148" t="s">
        <v>9371</v>
      </c>
      <c r="F3113" t="s">
        <v>9372</v>
      </c>
      <c r="G3113" s="148" t="s">
        <v>9373</v>
      </c>
      <c r="H3113" t="s">
        <v>9374</v>
      </c>
      <c r="I3113" t="s">
        <v>9375</v>
      </c>
      <c r="J3113" t="s">
        <v>9376</v>
      </c>
      <c r="K3113" s="148" t="s">
        <v>10187</v>
      </c>
      <c r="L3113" t="s">
        <v>10188</v>
      </c>
      <c r="M3113" t="s">
        <v>10189</v>
      </c>
      <c r="N3113" s="3">
        <v>0</v>
      </c>
      <c r="O3113" s="3">
        <v>50</v>
      </c>
      <c r="P3113" s="3">
        <v>500</v>
      </c>
      <c r="Q3113" s="3">
        <v>1000</v>
      </c>
      <c r="R3113" s="3">
        <v>1500</v>
      </c>
      <c r="S3113" s="3">
        <v>2000</v>
      </c>
      <c r="T3113" t="s">
        <v>1536</v>
      </c>
      <c r="U3113" t="e">
        <v>#N/A</v>
      </c>
      <c r="V3113" t="s">
        <v>10190</v>
      </c>
      <c r="W3113" s="45">
        <v>1</v>
      </c>
      <c r="X3113" s="45">
        <v>1</v>
      </c>
      <c r="Y3113" s="45">
        <v>0</v>
      </c>
      <c r="Z3113" s="45">
        <v>1</v>
      </c>
      <c r="AA3113" s="45">
        <v>1</v>
      </c>
      <c r="AB3113" s="45">
        <v>0</v>
      </c>
      <c r="AC3113" s="150">
        <v>0</v>
      </c>
      <c r="AD3113" s="150">
        <v>1</v>
      </c>
      <c r="AE3113" s="49">
        <f t="shared" si="151"/>
        <v>0.625</v>
      </c>
      <c r="AF3113" s="44"/>
      <c r="AG3113" s="17">
        <v>0</v>
      </c>
      <c r="AH3113" s="44">
        <v>0</v>
      </c>
      <c r="AI3113" s="44">
        <v>0</v>
      </c>
      <c r="AJ3113" s="44">
        <v>0</v>
      </c>
      <c r="AK3113" s="151">
        <v>0.3</v>
      </c>
      <c r="AL3113" s="151">
        <v>0.3</v>
      </c>
      <c r="AM3113" s="17">
        <f t="shared" si="152"/>
        <v>0.6</v>
      </c>
      <c r="AN3113" s="18" t="s">
        <v>771</v>
      </c>
      <c r="AO3113" s="18" t="s">
        <v>773</v>
      </c>
      <c r="AP3113" t="s">
        <v>831</v>
      </c>
    </row>
    <row r="3114" spans="1:42" customFormat="1" hidden="1" x14ac:dyDescent="0.3">
      <c r="A3114" s="148" t="s">
        <v>8319</v>
      </c>
      <c r="B3114" t="s">
        <v>8320</v>
      </c>
      <c r="C3114" s="148" t="s">
        <v>9369</v>
      </c>
      <c r="D3114" t="s">
        <v>9370</v>
      </c>
      <c r="E3114" s="148" t="s">
        <v>9371</v>
      </c>
      <c r="F3114" t="s">
        <v>9372</v>
      </c>
      <c r="G3114" s="148" t="s">
        <v>9373</v>
      </c>
      <c r="H3114" t="s">
        <v>9374</v>
      </c>
      <c r="I3114" t="s">
        <v>9375</v>
      </c>
      <c r="J3114" t="s">
        <v>9376</v>
      </c>
      <c r="K3114" s="148" t="s">
        <v>10191</v>
      </c>
      <c r="L3114" t="s">
        <v>10192</v>
      </c>
      <c r="M3114" t="s">
        <v>10193</v>
      </c>
      <c r="N3114" s="3"/>
      <c r="O3114" s="3"/>
      <c r="P3114" s="3">
        <v>1</v>
      </c>
      <c r="Q3114" s="3">
        <v>0</v>
      </c>
      <c r="R3114" s="3">
        <v>1</v>
      </c>
      <c r="S3114" s="3">
        <v>0</v>
      </c>
      <c r="T3114" t="s">
        <v>5698</v>
      </c>
      <c r="U3114" t="s">
        <v>2019</v>
      </c>
      <c r="V3114" t="s">
        <v>10194</v>
      </c>
      <c r="W3114" s="45">
        <v>1</v>
      </c>
      <c r="X3114" s="45">
        <v>1</v>
      </c>
      <c r="Y3114" s="45">
        <v>0</v>
      </c>
      <c r="Z3114" s="45">
        <v>1</v>
      </c>
      <c r="AA3114" s="45">
        <v>1</v>
      </c>
      <c r="AB3114" s="45">
        <v>0</v>
      </c>
      <c r="AC3114" s="150">
        <v>0</v>
      </c>
      <c r="AD3114" s="150">
        <v>1</v>
      </c>
      <c r="AE3114" s="49">
        <f t="shared" si="151"/>
        <v>0.625</v>
      </c>
      <c r="AF3114" s="17"/>
      <c r="AG3114" s="17">
        <v>0</v>
      </c>
      <c r="AH3114" s="17">
        <v>0</v>
      </c>
      <c r="AI3114" s="17">
        <v>0</v>
      </c>
      <c r="AJ3114" s="44">
        <v>0.5</v>
      </c>
      <c r="AK3114" s="153">
        <v>0.5</v>
      </c>
      <c r="AL3114" s="151">
        <v>0.5</v>
      </c>
      <c r="AM3114" s="17">
        <f t="shared" si="152"/>
        <v>1</v>
      </c>
      <c r="AN3114" s="18" t="s">
        <v>771</v>
      </c>
      <c r="AO3114" s="18" t="s">
        <v>773</v>
      </c>
      <c r="AP3114" t="s">
        <v>10186</v>
      </c>
    </row>
    <row r="3115" spans="1:42" customFormat="1" hidden="1" x14ac:dyDescent="0.3">
      <c r="A3115" s="148" t="s">
        <v>8319</v>
      </c>
      <c r="B3115" t="s">
        <v>8320</v>
      </c>
      <c r="C3115" s="148" t="s">
        <v>9369</v>
      </c>
      <c r="D3115" t="s">
        <v>9370</v>
      </c>
      <c r="E3115" s="148" t="s">
        <v>9371</v>
      </c>
      <c r="F3115" t="s">
        <v>9372</v>
      </c>
      <c r="G3115" s="148" t="s">
        <v>9373</v>
      </c>
      <c r="H3115" t="s">
        <v>9374</v>
      </c>
      <c r="I3115" t="s">
        <v>9375</v>
      </c>
      <c r="J3115" t="s">
        <v>9376</v>
      </c>
      <c r="K3115" s="148" t="s">
        <v>9578</v>
      </c>
      <c r="L3115" t="s">
        <v>9579</v>
      </c>
      <c r="M3115" t="s">
        <v>10195</v>
      </c>
      <c r="N3115" s="3">
        <v>209</v>
      </c>
      <c r="O3115" s="3">
        <v>0</v>
      </c>
      <c r="P3115" s="3">
        <v>40</v>
      </c>
      <c r="Q3115" s="3">
        <v>40</v>
      </c>
      <c r="R3115" s="3">
        <v>40</v>
      </c>
      <c r="S3115" s="3">
        <v>40</v>
      </c>
      <c r="T3115" t="s">
        <v>771</v>
      </c>
      <c r="U3115" t="s">
        <v>773</v>
      </c>
      <c r="V3115" t="s">
        <v>10196</v>
      </c>
      <c r="W3115" s="45">
        <v>1</v>
      </c>
      <c r="X3115" s="45">
        <v>1</v>
      </c>
      <c r="Y3115" s="45">
        <v>0</v>
      </c>
      <c r="Z3115" s="45">
        <v>1</v>
      </c>
      <c r="AA3115" s="45">
        <v>1</v>
      </c>
      <c r="AB3115" s="45">
        <v>0</v>
      </c>
      <c r="AC3115" s="150">
        <v>0</v>
      </c>
      <c r="AD3115" s="150">
        <v>1</v>
      </c>
      <c r="AE3115" s="49">
        <f t="shared" si="151"/>
        <v>0.625</v>
      </c>
      <c r="AF3115" s="17"/>
      <c r="AG3115" s="17">
        <v>0</v>
      </c>
      <c r="AH3115" s="17">
        <v>0</v>
      </c>
      <c r="AI3115" s="44">
        <v>0.02</v>
      </c>
      <c r="AJ3115" s="44">
        <v>0.02</v>
      </c>
      <c r="AK3115" s="151">
        <v>1</v>
      </c>
      <c r="AL3115" s="151">
        <v>1.1200000000000001</v>
      </c>
      <c r="AM3115" s="17">
        <f t="shared" si="152"/>
        <v>2.12</v>
      </c>
      <c r="AN3115" s="18" t="s">
        <v>771</v>
      </c>
      <c r="AO3115" s="18" t="s">
        <v>773</v>
      </c>
      <c r="AP3115" t="s">
        <v>119</v>
      </c>
    </row>
    <row r="3116" spans="1:42" customFormat="1" hidden="1" x14ac:dyDescent="0.3">
      <c r="A3116" s="148" t="s">
        <v>8319</v>
      </c>
      <c r="B3116" t="s">
        <v>8320</v>
      </c>
      <c r="C3116" s="148" t="s">
        <v>9369</v>
      </c>
      <c r="D3116" t="s">
        <v>9370</v>
      </c>
      <c r="E3116" s="148" t="s">
        <v>9371</v>
      </c>
      <c r="F3116" t="s">
        <v>9372</v>
      </c>
      <c r="G3116" s="148" t="s">
        <v>9373</v>
      </c>
      <c r="H3116" t="s">
        <v>9374</v>
      </c>
      <c r="I3116" t="s">
        <v>9375</v>
      </c>
      <c r="J3116" t="s">
        <v>9376</v>
      </c>
      <c r="K3116" s="148" t="s">
        <v>9578</v>
      </c>
      <c r="L3116" t="s">
        <v>9579</v>
      </c>
      <c r="N3116" s="3"/>
      <c r="O3116" s="3"/>
      <c r="P3116" s="3"/>
      <c r="Q3116" s="3"/>
      <c r="R3116" s="3"/>
      <c r="S3116" s="3"/>
      <c r="U3116" t="e">
        <v>#N/A</v>
      </c>
      <c r="V3116" t="s">
        <v>10197</v>
      </c>
      <c r="W3116" s="45">
        <v>1</v>
      </c>
      <c r="X3116" s="45">
        <v>0</v>
      </c>
      <c r="Y3116" s="45">
        <v>0</v>
      </c>
      <c r="Z3116" s="45">
        <v>1</v>
      </c>
      <c r="AA3116" s="45">
        <v>1</v>
      </c>
      <c r="AB3116" s="45">
        <v>0</v>
      </c>
      <c r="AC3116" s="150">
        <v>1</v>
      </c>
      <c r="AD3116" s="150">
        <v>1</v>
      </c>
      <c r="AE3116" s="49">
        <f t="shared" si="151"/>
        <v>0.625</v>
      </c>
      <c r="AF3116" s="44"/>
      <c r="AG3116" s="17">
        <v>0</v>
      </c>
      <c r="AH3116" s="44">
        <v>0</v>
      </c>
      <c r="AI3116" s="44">
        <v>0</v>
      </c>
      <c r="AJ3116" s="44">
        <v>0</v>
      </c>
      <c r="AK3116" s="151">
        <v>2</v>
      </c>
      <c r="AL3116" s="151">
        <v>2</v>
      </c>
      <c r="AM3116" s="17">
        <f t="shared" si="152"/>
        <v>4</v>
      </c>
      <c r="AN3116" s="18" t="s">
        <v>771</v>
      </c>
      <c r="AO3116" s="18" t="s">
        <v>773</v>
      </c>
      <c r="AP3116" t="s">
        <v>7958</v>
      </c>
    </row>
    <row r="3117" spans="1:42" customFormat="1" ht="43.2" x14ac:dyDescent="0.3">
      <c r="A3117" s="148" t="s">
        <v>8319</v>
      </c>
      <c r="B3117" t="s">
        <v>8320</v>
      </c>
      <c r="C3117" s="148" t="s">
        <v>9369</v>
      </c>
      <c r="D3117" t="s">
        <v>9370</v>
      </c>
      <c r="E3117" s="148" t="s">
        <v>9371</v>
      </c>
      <c r="F3117" t="s">
        <v>9372</v>
      </c>
      <c r="G3117" s="148" t="s">
        <v>9373</v>
      </c>
      <c r="H3117" t="s">
        <v>9374</v>
      </c>
      <c r="I3117" t="s">
        <v>9375</v>
      </c>
      <c r="J3117" t="s">
        <v>9376</v>
      </c>
      <c r="K3117" s="148" t="s">
        <v>9578</v>
      </c>
      <c r="L3117" t="s">
        <v>9579</v>
      </c>
      <c r="M3117" t="s">
        <v>10198</v>
      </c>
      <c r="N3117" s="3">
        <v>0</v>
      </c>
      <c r="O3117" s="3">
        <v>1</v>
      </c>
      <c r="P3117" s="3">
        <v>1</v>
      </c>
      <c r="Q3117" s="3">
        <v>1</v>
      </c>
      <c r="R3117" s="3">
        <v>1</v>
      </c>
      <c r="S3117" s="3">
        <v>1</v>
      </c>
      <c r="T3117" t="s">
        <v>771</v>
      </c>
      <c r="U3117" t="s">
        <v>773</v>
      </c>
      <c r="V3117" s="45" t="s">
        <v>10199</v>
      </c>
      <c r="W3117" s="45">
        <v>1</v>
      </c>
      <c r="X3117" s="45">
        <v>1</v>
      </c>
      <c r="Y3117" s="45">
        <v>1</v>
      </c>
      <c r="Z3117" s="45">
        <v>1</v>
      </c>
      <c r="AA3117" s="45">
        <v>1</v>
      </c>
      <c r="AB3117" s="45">
        <v>1</v>
      </c>
      <c r="AC3117" s="150">
        <v>1</v>
      </c>
      <c r="AD3117" s="150">
        <v>1</v>
      </c>
      <c r="AE3117" s="49">
        <f t="shared" si="151"/>
        <v>1</v>
      </c>
      <c r="AF3117" s="44"/>
      <c r="AG3117" s="17">
        <v>0</v>
      </c>
      <c r="AH3117" s="44">
        <v>0.3</v>
      </c>
      <c r="AI3117" s="44">
        <v>0.3</v>
      </c>
      <c r="AJ3117" s="44">
        <v>0.2</v>
      </c>
      <c r="AK3117" s="377">
        <v>10.3</v>
      </c>
      <c r="AL3117" s="377">
        <v>10.3</v>
      </c>
      <c r="AM3117" s="17">
        <f t="shared" si="152"/>
        <v>20.6</v>
      </c>
      <c r="AN3117" s="18" t="s">
        <v>771</v>
      </c>
      <c r="AO3117" s="18" t="s">
        <v>773</v>
      </c>
      <c r="AP3117" t="s">
        <v>10200</v>
      </c>
    </row>
    <row r="3118" spans="1:42" customFormat="1" x14ac:dyDescent="0.3">
      <c r="A3118" s="148" t="s">
        <v>8319</v>
      </c>
      <c r="B3118" t="s">
        <v>8320</v>
      </c>
      <c r="C3118" s="148" t="s">
        <v>9369</v>
      </c>
      <c r="D3118" t="s">
        <v>9370</v>
      </c>
      <c r="E3118" s="148" t="s">
        <v>9371</v>
      </c>
      <c r="F3118" t="s">
        <v>9372</v>
      </c>
      <c r="G3118" s="148" t="s">
        <v>9373</v>
      </c>
      <c r="H3118" t="s">
        <v>9374</v>
      </c>
      <c r="I3118" t="s">
        <v>9375</v>
      </c>
      <c r="J3118" t="s">
        <v>9376</v>
      </c>
      <c r="K3118" s="148" t="s">
        <v>9578</v>
      </c>
      <c r="L3118" t="s">
        <v>9579</v>
      </c>
      <c r="M3118" t="s">
        <v>10201</v>
      </c>
      <c r="N3118" s="3">
        <v>4</v>
      </c>
      <c r="O3118" s="3">
        <v>6</v>
      </c>
      <c r="P3118" s="3">
        <v>6</v>
      </c>
      <c r="Q3118" s="3">
        <v>50</v>
      </c>
      <c r="R3118" s="3">
        <v>5</v>
      </c>
      <c r="S3118" s="3">
        <v>5</v>
      </c>
      <c r="T3118" t="s">
        <v>771</v>
      </c>
      <c r="U3118" t="s">
        <v>773</v>
      </c>
      <c r="V3118" t="s">
        <v>10202</v>
      </c>
      <c r="W3118" s="45">
        <v>1</v>
      </c>
      <c r="X3118" s="381">
        <v>1</v>
      </c>
      <c r="Y3118" s="45">
        <v>1</v>
      </c>
      <c r="Z3118" s="45">
        <v>1</v>
      </c>
      <c r="AA3118" s="45">
        <v>1</v>
      </c>
      <c r="AB3118" s="381">
        <v>1</v>
      </c>
      <c r="AC3118" s="150">
        <v>0</v>
      </c>
      <c r="AD3118" s="150">
        <v>1</v>
      </c>
      <c r="AE3118" s="49">
        <f t="shared" si="151"/>
        <v>0.875</v>
      </c>
      <c r="AF3118" s="44"/>
      <c r="AG3118" s="17">
        <v>0</v>
      </c>
      <c r="AH3118" s="44">
        <v>0</v>
      </c>
      <c r="AI3118" s="44">
        <v>1</v>
      </c>
      <c r="AJ3118" s="44">
        <v>1</v>
      </c>
      <c r="AK3118" s="377">
        <v>4.2</v>
      </c>
      <c r="AL3118" s="377">
        <v>4.2</v>
      </c>
      <c r="AM3118" s="17">
        <f t="shared" si="152"/>
        <v>8.4</v>
      </c>
      <c r="AN3118" s="18" t="s">
        <v>771</v>
      </c>
      <c r="AO3118" s="18" t="s">
        <v>773</v>
      </c>
    </row>
    <row r="3119" spans="1:42" customFormat="1" x14ac:dyDescent="0.3">
      <c r="A3119" s="148" t="s">
        <v>8319</v>
      </c>
      <c r="B3119" t="s">
        <v>8320</v>
      </c>
      <c r="C3119" s="148" t="s">
        <v>9369</v>
      </c>
      <c r="D3119" t="s">
        <v>9370</v>
      </c>
      <c r="E3119" s="148" t="s">
        <v>9371</v>
      </c>
      <c r="F3119" t="s">
        <v>9372</v>
      </c>
      <c r="G3119" s="148" t="s">
        <v>9373</v>
      </c>
      <c r="H3119" t="s">
        <v>9374</v>
      </c>
      <c r="I3119" t="s">
        <v>9375</v>
      </c>
      <c r="J3119" t="s">
        <v>9376</v>
      </c>
      <c r="K3119" s="148" t="s">
        <v>9578</v>
      </c>
      <c r="L3119" t="s">
        <v>9579</v>
      </c>
      <c r="N3119" s="3"/>
      <c r="O3119" s="3"/>
      <c r="P3119" s="3"/>
      <c r="Q3119" s="3"/>
      <c r="R3119" s="3"/>
      <c r="S3119" s="3"/>
      <c r="U3119" t="e">
        <v>#N/A</v>
      </c>
      <c r="V3119" t="s">
        <v>10203</v>
      </c>
      <c r="W3119" s="45">
        <v>1</v>
      </c>
      <c r="X3119" s="45">
        <v>1</v>
      </c>
      <c r="Y3119" s="45">
        <v>1</v>
      </c>
      <c r="Z3119" s="45">
        <v>0</v>
      </c>
      <c r="AA3119" s="381">
        <v>1</v>
      </c>
      <c r="AB3119" s="381">
        <v>1</v>
      </c>
      <c r="AC3119" s="150">
        <v>1</v>
      </c>
      <c r="AD3119" s="150">
        <v>1</v>
      </c>
      <c r="AE3119" s="49">
        <f t="shared" si="151"/>
        <v>0.875</v>
      </c>
      <c r="AF3119" s="17"/>
      <c r="AG3119" s="17">
        <v>0</v>
      </c>
      <c r="AH3119" s="17">
        <v>0</v>
      </c>
      <c r="AI3119" s="17">
        <v>0</v>
      </c>
      <c r="AJ3119" s="17">
        <v>0</v>
      </c>
      <c r="AK3119" s="382">
        <v>23.21</v>
      </c>
      <c r="AL3119" s="382">
        <v>16.93</v>
      </c>
      <c r="AM3119" s="17">
        <f t="shared" si="152"/>
        <v>40.14</v>
      </c>
      <c r="AN3119" s="18" t="s">
        <v>771</v>
      </c>
      <c r="AO3119" s="18" t="s">
        <v>773</v>
      </c>
      <c r="AP3119" t="s">
        <v>119</v>
      </c>
    </row>
    <row r="3120" spans="1:42" customFormat="1" hidden="1" x14ac:dyDescent="0.3">
      <c r="A3120" s="148" t="s">
        <v>8319</v>
      </c>
      <c r="B3120" t="s">
        <v>8320</v>
      </c>
      <c r="C3120" s="148" t="s">
        <v>9369</v>
      </c>
      <c r="D3120" t="s">
        <v>9370</v>
      </c>
      <c r="E3120" s="148" t="s">
        <v>9371</v>
      </c>
      <c r="F3120" t="s">
        <v>9372</v>
      </c>
      <c r="G3120" s="148" t="s">
        <v>9373</v>
      </c>
      <c r="H3120" t="s">
        <v>9374</v>
      </c>
      <c r="I3120" t="s">
        <v>9375</v>
      </c>
      <c r="J3120" t="s">
        <v>9376</v>
      </c>
      <c r="K3120" s="148" t="s">
        <v>9937</v>
      </c>
      <c r="L3120" t="s">
        <v>9938</v>
      </c>
      <c r="M3120" t="s">
        <v>10204</v>
      </c>
      <c r="N3120" s="3">
        <v>3</v>
      </c>
      <c r="O3120" s="3">
        <v>5</v>
      </c>
      <c r="P3120" s="3">
        <v>5</v>
      </c>
      <c r="Q3120" s="3">
        <v>5</v>
      </c>
      <c r="R3120" s="3">
        <v>5</v>
      </c>
      <c r="S3120" s="3">
        <v>5</v>
      </c>
      <c r="T3120" t="s">
        <v>1536</v>
      </c>
      <c r="U3120" t="e">
        <v>#N/A</v>
      </c>
      <c r="V3120" t="s">
        <v>10205</v>
      </c>
      <c r="W3120" s="45">
        <v>1</v>
      </c>
      <c r="X3120" s="45">
        <v>1</v>
      </c>
      <c r="Y3120" s="45">
        <v>0</v>
      </c>
      <c r="Z3120" s="45">
        <v>1</v>
      </c>
      <c r="AA3120" s="45">
        <v>1</v>
      </c>
      <c r="AB3120" s="45">
        <v>0</v>
      </c>
      <c r="AC3120" s="150">
        <v>0</v>
      </c>
      <c r="AD3120" s="150">
        <v>1</v>
      </c>
      <c r="AE3120" s="49">
        <f t="shared" si="151"/>
        <v>0.625</v>
      </c>
      <c r="AF3120" s="44"/>
      <c r="AG3120" s="17">
        <v>0</v>
      </c>
      <c r="AH3120" s="44">
        <v>0.05</v>
      </c>
      <c r="AI3120" s="44">
        <v>0.05</v>
      </c>
      <c r="AJ3120" s="44">
        <v>0.05</v>
      </c>
      <c r="AK3120" s="151">
        <v>0.05</v>
      </c>
      <c r="AL3120" s="151">
        <v>0.05</v>
      </c>
      <c r="AM3120" s="17">
        <f t="shared" si="152"/>
        <v>0.1</v>
      </c>
      <c r="AN3120" s="18" t="s">
        <v>771</v>
      </c>
      <c r="AO3120" s="18" t="s">
        <v>773</v>
      </c>
      <c r="AP3120" t="s">
        <v>119</v>
      </c>
    </row>
    <row r="3121" spans="1:42" customFormat="1" hidden="1" x14ac:dyDescent="0.3">
      <c r="A3121" s="148" t="s">
        <v>8319</v>
      </c>
      <c r="B3121" t="s">
        <v>8320</v>
      </c>
      <c r="C3121" s="148" t="s">
        <v>9369</v>
      </c>
      <c r="D3121" t="s">
        <v>9370</v>
      </c>
      <c r="E3121" s="148" t="s">
        <v>9371</v>
      </c>
      <c r="F3121" t="s">
        <v>9372</v>
      </c>
      <c r="G3121" s="148" t="s">
        <v>9373</v>
      </c>
      <c r="H3121" t="s">
        <v>9374</v>
      </c>
      <c r="I3121" t="s">
        <v>9375</v>
      </c>
      <c r="J3121" t="s">
        <v>9376</v>
      </c>
      <c r="K3121" s="148" t="s">
        <v>9937</v>
      </c>
      <c r="L3121" t="s">
        <v>9938</v>
      </c>
      <c r="M3121" t="s">
        <v>10206</v>
      </c>
      <c r="N3121" s="3">
        <v>43</v>
      </c>
      <c r="O3121" s="3">
        <v>12</v>
      </c>
      <c r="P3121" s="3">
        <v>12</v>
      </c>
      <c r="Q3121" s="3">
        <v>12</v>
      </c>
      <c r="R3121" s="3">
        <v>12</v>
      </c>
      <c r="S3121" s="3">
        <v>12</v>
      </c>
      <c r="T3121" t="s">
        <v>1536</v>
      </c>
      <c r="U3121" t="e">
        <v>#N/A</v>
      </c>
      <c r="V3121" t="s">
        <v>10207</v>
      </c>
      <c r="W3121" s="45">
        <v>1</v>
      </c>
      <c r="X3121" s="45">
        <v>1</v>
      </c>
      <c r="Y3121" s="45">
        <v>0</v>
      </c>
      <c r="Z3121" s="45">
        <v>1</v>
      </c>
      <c r="AA3121" s="45">
        <v>1</v>
      </c>
      <c r="AB3121" s="45">
        <v>0</v>
      </c>
      <c r="AC3121" s="150">
        <v>0</v>
      </c>
      <c r="AD3121" s="150">
        <v>1</v>
      </c>
      <c r="AE3121" s="49">
        <f t="shared" si="151"/>
        <v>0.625</v>
      </c>
      <c r="AF3121" s="44"/>
      <c r="AG3121" s="17">
        <v>0</v>
      </c>
      <c r="AH3121" s="44">
        <v>0</v>
      </c>
      <c r="AI3121" s="44">
        <v>0</v>
      </c>
      <c r="AJ3121" s="44">
        <v>0</v>
      </c>
      <c r="AK3121" s="151">
        <v>0</v>
      </c>
      <c r="AL3121" s="151">
        <v>0</v>
      </c>
      <c r="AM3121" s="17">
        <f t="shared" si="152"/>
        <v>0</v>
      </c>
      <c r="AN3121" s="18" t="s">
        <v>771</v>
      </c>
      <c r="AO3121" s="18" t="s">
        <v>773</v>
      </c>
      <c r="AP3121" t="s">
        <v>119</v>
      </c>
    </row>
    <row r="3122" spans="1:42" customFormat="1" hidden="1" x14ac:dyDescent="0.3">
      <c r="A3122" s="148" t="s">
        <v>8319</v>
      </c>
      <c r="B3122" t="s">
        <v>8320</v>
      </c>
      <c r="C3122" s="148" t="s">
        <v>9369</v>
      </c>
      <c r="D3122" t="s">
        <v>9370</v>
      </c>
      <c r="E3122" s="148" t="s">
        <v>9371</v>
      </c>
      <c r="F3122" t="s">
        <v>9372</v>
      </c>
      <c r="G3122" s="148" t="s">
        <v>9373</v>
      </c>
      <c r="H3122" t="s">
        <v>9374</v>
      </c>
      <c r="I3122" t="s">
        <v>9375</v>
      </c>
      <c r="J3122" t="s">
        <v>9376</v>
      </c>
      <c r="K3122" s="148" t="s">
        <v>9937</v>
      </c>
      <c r="L3122" t="s">
        <v>9938</v>
      </c>
      <c r="M3122" t="s">
        <v>10208</v>
      </c>
      <c r="N3122" s="3">
        <v>164</v>
      </c>
      <c r="O3122" s="3">
        <v>240</v>
      </c>
      <c r="P3122" s="3">
        <v>240</v>
      </c>
      <c r="Q3122" s="3">
        <v>240</v>
      </c>
      <c r="R3122" s="3">
        <v>240</v>
      </c>
      <c r="S3122" s="3">
        <v>240</v>
      </c>
      <c r="T3122" t="s">
        <v>1536</v>
      </c>
      <c r="U3122" t="e">
        <v>#N/A</v>
      </c>
      <c r="V3122" t="s">
        <v>10209</v>
      </c>
      <c r="W3122" s="45">
        <v>1</v>
      </c>
      <c r="X3122" s="45">
        <v>1</v>
      </c>
      <c r="Y3122" s="45">
        <v>0</v>
      </c>
      <c r="Z3122" s="45">
        <v>1</v>
      </c>
      <c r="AA3122" s="45">
        <v>1</v>
      </c>
      <c r="AB3122" s="45">
        <v>0</v>
      </c>
      <c r="AC3122" s="150">
        <v>0</v>
      </c>
      <c r="AD3122" s="150">
        <v>1</v>
      </c>
      <c r="AE3122" s="49">
        <f t="shared" si="151"/>
        <v>0.625</v>
      </c>
      <c r="AF3122" s="44"/>
      <c r="AG3122" s="17">
        <v>0</v>
      </c>
      <c r="AH3122" s="44" t="s">
        <v>3763</v>
      </c>
      <c r="AI3122" s="44" t="s">
        <v>3763</v>
      </c>
      <c r="AJ3122" s="44" t="s">
        <v>3763</v>
      </c>
      <c r="AK3122" s="151" t="s">
        <v>3763</v>
      </c>
      <c r="AL3122" s="151" t="s">
        <v>3763</v>
      </c>
      <c r="AM3122" s="17">
        <f t="shared" si="152"/>
        <v>0</v>
      </c>
      <c r="AN3122" s="18" t="s">
        <v>255</v>
      </c>
      <c r="AO3122" s="18" t="s">
        <v>1045</v>
      </c>
      <c r="AP3122" t="s">
        <v>1536</v>
      </c>
    </row>
    <row r="3123" spans="1:42" customFormat="1" ht="15" hidden="1" customHeight="1" x14ac:dyDescent="0.3">
      <c r="A3123" s="148" t="s">
        <v>8319</v>
      </c>
      <c r="B3123" t="s">
        <v>8320</v>
      </c>
      <c r="C3123" s="148" t="s">
        <v>9369</v>
      </c>
      <c r="D3123" t="s">
        <v>9370</v>
      </c>
      <c r="E3123" s="148" t="s">
        <v>9371</v>
      </c>
      <c r="F3123" t="s">
        <v>9372</v>
      </c>
      <c r="G3123" s="148" t="s">
        <v>9373</v>
      </c>
      <c r="H3123" t="s">
        <v>9374</v>
      </c>
      <c r="I3123" t="s">
        <v>9375</v>
      </c>
      <c r="J3123" t="s">
        <v>9376</v>
      </c>
      <c r="K3123" s="148" t="s">
        <v>9937</v>
      </c>
      <c r="L3123" t="s">
        <v>9938</v>
      </c>
      <c r="M3123" t="s">
        <v>10210</v>
      </c>
      <c r="N3123" s="3"/>
      <c r="O3123" s="3"/>
      <c r="P3123" s="3"/>
      <c r="Q3123" s="3"/>
      <c r="R3123" s="3"/>
      <c r="S3123" s="3"/>
      <c r="T3123" t="s">
        <v>1536</v>
      </c>
      <c r="U3123" t="e">
        <v>#N/A</v>
      </c>
      <c r="V3123" t="s">
        <v>10211</v>
      </c>
      <c r="W3123" s="45">
        <v>1</v>
      </c>
      <c r="X3123" s="45">
        <v>1</v>
      </c>
      <c r="Y3123" s="45">
        <v>0</v>
      </c>
      <c r="Z3123" s="45">
        <v>1</v>
      </c>
      <c r="AA3123" s="45">
        <v>1</v>
      </c>
      <c r="AB3123" s="45">
        <v>0</v>
      </c>
      <c r="AC3123" s="150">
        <v>0</v>
      </c>
      <c r="AD3123" s="150">
        <v>1</v>
      </c>
      <c r="AE3123" s="49">
        <f t="shared" si="151"/>
        <v>0.625</v>
      </c>
      <c r="AF3123" s="44"/>
      <c r="AG3123" s="17">
        <v>0</v>
      </c>
      <c r="AH3123" s="44">
        <v>0</v>
      </c>
      <c r="AI3123" s="44">
        <v>0.3</v>
      </c>
      <c r="AJ3123" s="44">
        <v>0</v>
      </c>
      <c r="AK3123" s="151">
        <v>0</v>
      </c>
      <c r="AL3123" s="151">
        <v>0</v>
      </c>
      <c r="AM3123" s="17">
        <f t="shared" si="152"/>
        <v>0</v>
      </c>
      <c r="AN3123" t="s">
        <v>2172</v>
      </c>
      <c r="AO3123" s="18" t="s">
        <v>2236</v>
      </c>
      <c r="AP3123" t="s">
        <v>119</v>
      </c>
    </row>
    <row r="3124" spans="1:42" customFormat="1" hidden="1" x14ac:dyDescent="0.3">
      <c r="A3124" s="148" t="s">
        <v>8319</v>
      </c>
      <c r="B3124" t="s">
        <v>8320</v>
      </c>
      <c r="C3124" s="148" t="s">
        <v>9369</v>
      </c>
      <c r="D3124" t="s">
        <v>9370</v>
      </c>
      <c r="E3124" s="148" t="s">
        <v>9371</v>
      </c>
      <c r="F3124" t="s">
        <v>9372</v>
      </c>
      <c r="G3124" s="148" t="s">
        <v>9373</v>
      </c>
      <c r="H3124" t="s">
        <v>9374</v>
      </c>
      <c r="I3124" t="s">
        <v>9375</v>
      </c>
      <c r="J3124" t="s">
        <v>9376</v>
      </c>
      <c r="K3124" s="148" t="s">
        <v>9377</v>
      </c>
      <c r="L3124" t="s">
        <v>9378</v>
      </c>
      <c r="M3124" t="s">
        <v>10212</v>
      </c>
      <c r="N3124" s="3" t="s">
        <v>9365</v>
      </c>
      <c r="O3124" s="3">
        <v>10</v>
      </c>
      <c r="P3124" s="3">
        <v>10</v>
      </c>
      <c r="Q3124" s="3">
        <v>10</v>
      </c>
      <c r="R3124" s="3">
        <v>15</v>
      </c>
      <c r="S3124" s="3">
        <v>15</v>
      </c>
      <c r="T3124" t="s">
        <v>1536</v>
      </c>
      <c r="U3124" t="e">
        <v>#N/A</v>
      </c>
      <c r="V3124" t="s">
        <v>10213</v>
      </c>
      <c r="W3124" s="45">
        <v>1</v>
      </c>
      <c r="X3124" s="45">
        <v>1</v>
      </c>
      <c r="Y3124" s="45">
        <v>0</v>
      </c>
      <c r="Z3124" s="45">
        <v>1</v>
      </c>
      <c r="AA3124" s="45">
        <v>1</v>
      </c>
      <c r="AB3124" s="45">
        <v>0</v>
      </c>
      <c r="AC3124" s="150">
        <v>0</v>
      </c>
      <c r="AD3124" s="150">
        <v>1</v>
      </c>
      <c r="AE3124" s="49">
        <f t="shared" si="151"/>
        <v>0.625</v>
      </c>
      <c r="AF3124" s="44"/>
      <c r="AG3124" s="17">
        <v>0</v>
      </c>
      <c r="AH3124" s="44" t="s">
        <v>10214</v>
      </c>
      <c r="AI3124" s="44" t="s">
        <v>10214</v>
      </c>
      <c r="AJ3124" s="44" t="s">
        <v>10214</v>
      </c>
      <c r="AK3124" s="151" t="s">
        <v>10215</v>
      </c>
      <c r="AL3124" s="151" t="s">
        <v>10215</v>
      </c>
      <c r="AM3124" s="17">
        <f t="shared" si="152"/>
        <v>0</v>
      </c>
      <c r="AN3124" s="18" t="s">
        <v>771</v>
      </c>
      <c r="AO3124" s="18" t="s">
        <v>773</v>
      </c>
      <c r="AP3124" t="s">
        <v>3875</v>
      </c>
    </row>
    <row r="3125" spans="1:42" customFormat="1" hidden="1" x14ac:dyDescent="0.3">
      <c r="A3125" s="148" t="s">
        <v>8319</v>
      </c>
      <c r="B3125" t="s">
        <v>8320</v>
      </c>
      <c r="C3125" s="148" t="s">
        <v>9369</v>
      </c>
      <c r="D3125" t="s">
        <v>9370</v>
      </c>
      <c r="E3125" s="148" t="s">
        <v>9371</v>
      </c>
      <c r="F3125" t="s">
        <v>9372</v>
      </c>
      <c r="G3125" s="148" t="s">
        <v>9593</v>
      </c>
      <c r="H3125" t="s">
        <v>9594</v>
      </c>
      <c r="K3125" s="148" t="s">
        <v>9595</v>
      </c>
      <c r="L3125" t="s">
        <v>9596</v>
      </c>
      <c r="M3125" t="s">
        <v>10216</v>
      </c>
      <c r="N3125" s="3">
        <v>100</v>
      </c>
      <c r="O3125" s="3">
        <v>120</v>
      </c>
      <c r="P3125" s="3">
        <v>140</v>
      </c>
      <c r="Q3125" s="3">
        <v>160</v>
      </c>
      <c r="R3125" s="3">
        <v>180</v>
      </c>
      <c r="S3125" s="3">
        <v>200</v>
      </c>
      <c r="T3125" t="s">
        <v>723</v>
      </c>
      <c r="U3125" t="s">
        <v>729</v>
      </c>
      <c r="V3125" t="s">
        <v>10217</v>
      </c>
      <c r="W3125" s="45">
        <v>1</v>
      </c>
      <c r="X3125" s="45">
        <v>0</v>
      </c>
      <c r="Y3125" s="45">
        <v>0</v>
      </c>
      <c r="Z3125" s="45">
        <v>1</v>
      </c>
      <c r="AA3125" s="45">
        <v>1</v>
      </c>
      <c r="AB3125" s="45">
        <v>1</v>
      </c>
      <c r="AC3125" s="150">
        <v>0</v>
      </c>
      <c r="AD3125" s="150">
        <v>1</v>
      </c>
      <c r="AE3125" s="49">
        <f t="shared" si="151"/>
        <v>0.625</v>
      </c>
      <c r="AF3125" s="44"/>
      <c r="AG3125" s="17">
        <v>0</v>
      </c>
      <c r="AH3125" s="44">
        <v>12.47</v>
      </c>
      <c r="AI3125" s="44">
        <v>44.3</v>
      </c>
      <c r="AJ3125" s="44">
        <v>62.57</v>
      </c>
      <c r="AK3125" s="151">
        <v>49.4</v>
      </c>
      <c r="AL3125" s="151">
        <v>80.3</v>
      </c>
      <c r="AM3125" s="17">
        <f t="shared" si="152"/>
        <v>129.69999999999999</v>
      </c>
      <c r="AN3125" t="s">
        <v>723</v>
      </c>
      <c r="AO3125" s="18" t="s">
        <v>729</v>
      </c>
      <c r="AP3125" t="s">
        <v>921</v>
      </c>
    </row>
    <row r="3126" spans="1:42" customFormat="1" hidden="1" x14ac:dyDescent="0.3">
      <c r="A3126" s="148" t="s">
        <v>8319</v>
      </c>
      <c r="B3126" t="s">
        <v>8320</v>
      </c>
      <c r="C3126" s="148" t="s">
        <v>9369</v>
      </c>
      <c r="D3126" t="s">
        <v>9370</v>
      </c>
      <c r="E3126" s="148" t="s">
        <v>9371</v>
      </c>
      <c r="F3126" t="s">
        <v>9372</v>
      </c>
      <c r="G3126" s="148" t="s">
        <v>9593</v>
      </c>
      <c r="H3126" t="s">
        <v>9594</v>
      </c>
      <c r="K3126" s="148" t="s">
        <v>9595</v>
      </c>
      <c r="L3126" t="s">
        <v>9596</v>
      </c>
      <c r="N3126" s="3"/>
      <c r="O3126" s="3"/>
      <c r="P3126" s="3"/>
      <c r="Q3126" s="3"/>
      <c r="R3126" s="3"/>
      <c r="S3126" s="3"/>
      <c r="U3126" t="e">
        <v>#N/A</v>
      </c>
      <c r="V3126" t="s">
        <v>10218</v>
      </c>
      <c r="W3126" s="45">
        <v>1</v>
      </c>
      <c r="X3126" s="45">
        <v>0</v>
      </c>
      <c r="Y3126" s="45">
        <v>0</v>
      </c>
      <c r="Z3126" s="45">
        <v>1</v>
      </c>
      <c r="AA3126" s="45">
        <v>1</v>
      </c>
      <c r="AB3126" s="45">
        <v>0</v>
      </c>
      <c r="AC3126" s="150">
        <v>1</v>
      </c>
      <c r="AD3126" s="150">
        <v>1</v>
      </c>
      <c r="AE3126" s="49">
        <f t="shared" si="151"/>
        <v>0.625</v>
      </c>
      <c r="AF3126" s="44"/>
      <c r="AG3126" s="17">
        <v>0</v>
      </c>
      <c r="AH3126" s="44">
        <v>0.5</v>
      </c>
      <c r="AI3126" s="44">
        <v>0.7</v>
      </c>
      <c r="AJ3126" s="44">
        <v>0.7</v>
      </c>
      <c r="AK3126" s="151">
        <v>1</v>
      </c>
      <c r="AL3126" s="151">
        <v>1.5</v>
      </c>
      <c r="AM3126" s="17">
        <f t="shared" si="152"/>
        <v>2.5</v>
      </c>
      <c r="AN3126" t="s">
        <v>723</v>
      </c>
      <c r="AO3126" s="18" t="s">
        <v>729</v>
      </c>
      <c r="AP3126" t="s">
        <v>1536</v>
      </c>
    </row>
    <row r="3127" spans="1:42" customFormat="1" ht="15" hidden="1" customHeight="1" x14ac:dyDescent="0.3">
      <c r="A3127" s="148" t="s">
        <v>8319</v>
      </c>
      <c r="B3127" t="s">
        <v>8320</v>
      </c>
      <c r="C3127" s="148" t="s">
        <v>9369</v>
      </c>
      <c r="D3127" t="s">
        <v>9370</v>
      </c>
      <c r="E3127" s="148" t="s">
        <v>9371</v>
      </c>
      <c r="F3127" t="s">
        <v>9372</v>
      </c>
      <c r="G3127" s="148" t="s">
        <v>9593</v>
      </c>
      <c r="H3127" t="s">
        <v>9594</v>
      </c>
      <c r="K3127" s="148" t="s">
        <v>9595</v>
      </c>
      <c r="L3127" t="s">
        <v>9596</v>
      </c>
      <c r="N3127" s="3"/>
      <c r="O3127" s="3"/>
      <c r="P3127" s="3"/>
      <c r="Q3127" s="3">
        <v>1</v>
      </c>
      <c r="R3127" s="3">
        <v>2</v>
      </c>
      <c r="S3127" s="3">
        <v>3</v>
      </c>
      <c r="T3127" t="s">
        <v>2432</v>
      </c>
      <c r="U3127" t="s">
        <v>729</v>
      </c>
      <c r="V3127" t="s">
        <v>10219</v>
      </c>
      <c r="W3127" s="45">
        <v>1</v>
      </c>
      <c r="X3127" s="45">
        <v>1</v>
      </c>
      <c r="Y3127" s="45">
        <v>0</v>
      </c>
      <c r="Z3127" s="45">
        <v>0</v>
      </c>
      <c r="AA3127" s="45">
        <v>1</v>
      </c>
      <c r="AB3127" s="45">
        <v>0</v>
      </c>
      <c r="AC3127" s="150">
        <v>1</v>
      </c>
      <c r="AD3127" s="150">
        <v>1</v>
      </c>
      <c r="AE3127" s="49">
        <f t="shared" si="151"/>
        <v>0.625</v>
      </c>
      <c r="AF3127" s="17"/>
      <c r="AG3127" s="17">
        <v>0</v>
      </c>
      <c r="AH3127" s="17">
        <v>0</v>
      </c>
      <c r="AI3127" s="44">
        <v>20</v>
      </c>
      <c r="AJ3127" s="44">
        <v>20</v>
      </c>
      <c r="AK3127" s="151">
        <v>20</v>
      </c>
      <c r="AL3127" s="151">
        <v>20</v>
      </c>
      <c r="AM3127" s="17">
        <f t="shared" si="152"/>
        <v>40</v>
      </c>
      <c r="AN3127" t="s">
        <v>723</v>
      </c>
      <c r="AO3127" s="18" t="s">
        <v>729</v>
      </c>
      <c r="AP3127" t="s">
        <v>119</v>
      </c>
    </row>
    <row r="3128" spans="1:42" customFormat="1" hidden="1" x14ac:dyDescent="0.3">
      <c r="A3128" s="148" t="s">
        <v>8319</v>
      </c>
      <c r="B3128" t="s">
        <v>8320</v>
      </c>
      <c r="C3128" s="148" t="s">
        <v>9369</v>
      </c>
      <c r="D3128" t="s">
        <v>9370</v>
      </c>
      <c r="E3128" s="148" t="s">
        <v>9371</v>
      </c>
      <c r="F3128" t="s">
        <v>9372</v>
      </c>
      <c r="G3128" s="148" t="s">
        <v>9593</v>
      </c>
      <c r="H3128" t="s">
        <v>9594</v>
      </c>
      <c r="K3128" s="155" t="s">
        <v>10220</v>
      </c>
      <c r="L3128" t="s">
        <v>10221</v>
      </c>
      <c r="M3128" t="s">
        <v>10222</v>
      </c>
      <c r="N3128" s="3"/>
      <c r="O3128" s="3">
        <v>20</v>
      </c>
      <c r="P3128" s="3">
        <v>45</v>
      </c>
      <c r="Q3128" s="3">
        <v>50</v>
      </c>
      <c r="R3128" s="3">
        <v>65</v>
      </c>
      <c r="S3128" s="3">
        <v>80</v>
      </c>
      <c r="T3128" t="s">
        <v>10223</v>
      </c>
      <c r="U3128" t="e">
        <v>#N/A</v>
      </c>
      <c r="V3128" t="s">
        <v>10224</v>
      </c>
      <c r="W3128" s="45">
        <v>1</v>
      </c>
      <c r="X3128" s="45">
        <v>0</v>
      </c>
      <c r="Y3128" s="45">
        <v>0</v>
      </c>
      <c r="Z3128" s="45">
        <v>1</v>
      </c>
      <c r="AA3128" s="45">
        <v>1</v>
      </c>
      <c r="AB3128" s="45">
        <v>1</v>
      </c>
      <c r="AC3128" s="150">
        <v>0</v>
      </c>
      <c r="AD3128" s="150">
        <v>1</v>
      </c>
      <c r="AE3128" s="49">
        <f t="shared" si="151"/>
        <v>0.625</v>
      </c>
      <c r="AF3128" s="17"/>
      <c r="AG3128" s="17">
        <v>0</v>
      </c>
      <c r="AH3128" s="17">
        <v>0</v>
      </c>
      <c r="AI3128" s="44">
        <v>0</v>
      </c>
      <c r="AJ3128" s="44">
        <v>0</v>
      </c>
      <c r="AK3128" s="151">
        <v>0</v>
      </c>
      <c r="AL3128" s="151">
        <v>0</v>
      </c>
      <c r="AM3128" s="17">
        <f t="shared" si="152"/>
        <v>0</v>
      </c>
      <c r="AN3128" s="44" t="s">
        <v>723</v>
      </c>
      <c r="AO3128" s="18" t="s">
        <v>729</v>
      </c>
      <c r="AP3128" t="s">
        <v>921</v>
      </c>
    </row>
    <row r="3129" spans="1:42" customFormat="1" hidden="1" x14ac:dyDescent="0.3">
      <c r="A3129" s="148" t="s">
        <v>8319</v>
      </c>
      <c r="B3129" t="s">
        <v>8320</v>
      </c>
      <c r="C3129" s="148" t="s">
        <v>9369</v>
      </c>
      <c r="D3129" t="s">
        <v>9370</v>
      </c>
      <c r="E3129" s="148" t="s">
        <v>9371</v>
      </c>
      <c r="F3129" t="s">
        <v>9372</v>
      </c>
      <c r="G3129" s="148" t="s">
        <v>9593</v>
      </c>
      <c r="H3129" t="s">
        <v>9594</v>
      </c>
      <c r="K3129" s="155" t="s">
        <v>10225</v>
      </c>
      <c r="L3129" t="s">
        <v>10226</v>
      </c>
      <c r="M3129" t="s">
        <v>10227</v>
      </c>
      <c r="N3129" s="3" t="s">
        <v>119</v>
      </c>
      <c r="O3129" s="3">
        <v>5</v>
      </c>
      <c r="P3129" s="3">
        <v>10</v>
      </c>
      <c r="Q3129" s="3">
        <v>10</v>
      </c>
      <c r="R3129" s="3">
        <v>10</v>
      </c>
      <c r="S3129" s="3">
        <v>10</v>
      </c>
      <c r="T3129" t="s">
        <v>10228</v>
      </c>
      <c r="U3129" t="e">
        <v>#N/A</v>
      </c>
      <c r="V3129" t="s">
        <v>10229</v>
      </c>
      <c r="W3129" s="45">
        <v>1</v>
      </c>
      <c r="X3129" s="45">
        <v>1</v>
      </c>
      <c r="Y3129" s="45">
        <v>1</v>
      </c>
      <c r="Z3129" s="45">
        <v>0</v>
      </c>
      <c r="AA3129" s="45">
        <v>1</v>
      </c>
      <c r="AB3129" s="45">
        <v>0</v>
      </c>
      <c r="AC3129" s="150">
        <v>0</v>
      </c>
      <c r="AD3129" s="150">
        <v>1</v>
      </c>
      <c r="AE3129" s="49">
        <f t="shared" si="151"/>
        <v>0.625</v>
      </c>
      <c r="AF3129" s="44"/>
      <c r="AG3129" s="17">
        <v>0</v>
      </c>
      <c r="AH3129" s="44">
        <v>0</v>
      </c>
      <c r="AI3129" s="44">
        <v>0.1</v>
      </c>
      <c r="AJ3129" s="44">
        <v>0.1</v>
      </c>
      <c r="AK3129" s="151">
        <v>2</v>
      </c>
      <c r="AL3129" s="151">
        <v>2</v>
      </c>
      <c r="AM3129" s="17">
        <f t="shared" si="152"/>
        <v>4</v>
      </c>
      <c r="AN3129" s="44" t="s">
        <v>723</v>
      </c>
      <c r="AO3129" s="18" t="s">
        <v>729</v>
      </c>
      <c r="AP3129" t="s">
        <v>10230</v>
      </c>
    </row>
    <row r="3130" spans="1:42" customFormat="1" hidden="1" x14ac:dyDescent="0.3">
      <c r="A3130" s="148" t="s">
        <v>8319</v>
      </c>
      <c r="B3130" t="s">
        <v>8320</v>
      </c>
      <c r="C3130" s="148" t="s">
        <v>9344</v>
      </c>
      <c r="D3130" t="s">
        <v>9345</v>
      </c>
      <c r="E3130" s="148" t="s">
        <v>9398</v>
      </c>
      <c r="F3130" t="s">
        <v>9399</v>
      </c>
      <c r="G3130" s="148" t="s">
        <v>10231</v>
      </c>
      <c r="H3130" t="s">
        <v>10232</v>
      </c>
      <c r="K3130" s="148" t="s">
        <v>10233</v>
      </c>
      <c r="L3130" t="s">
        <v>10234</v>
      </c>
      <c r="M3130" t="s">
        <v>10235</v>
      </c>
      <c r="N3130" s="3" t="s">
        <v>271</v>
      </c>
      <c r="O3130" s="3" t="s">
        <v>271</v>
      </c>
      <c r="P3130" s="3">
        <v>135</v>
      </c>
      <c r="Q3130" s="3">
        <v>270</v>
      </c>
      <c r="R3130" s="3">
        <v>540</v>
      </c>
      <c r="S3130" s="3">
        <v>1080</v>
      </c>
      <c r="T3130" t="s">
        <v>10236</v>
      </c>
      <c r="U3130" t="e">
        <v>#N/A</v>
      </c>
      <c r="V3130" t="s">
        <v>10237</v>
      </c>
      <c r="W3130" s="45">
        <v>1</v>
      </c>
      <c r="X3130" s="45">
        <v>0</v>
      </c>
      <c r="Y3130" s="45">
        <v>0</v>
      </c>
      <c r="Z3130" s="45">
        <v>1</v>
      </c>
      <c r="AA3130" s="45">
        <v>1</v>
      </c>
      <c r="AB3130" s="45">
        <v>0</v>
      </c>
      <c r="AC3130" s="150">
        <v>1</v>
      </c>
      <c r="AD3130" s="150">
        <v>1</v>
      </c>
      <c r="AE3130" s="49">
        <f t="shared" si="151"/>
        <v>0.625</v>
      </c>
      <c r="AF3130" s="17"/>
      <c r="AG3130" s="17">
        <v>0</v>
      </c>
      <c r="AH3130" s="17">
        <v>0</v>
      </c>
      <c r="AI3130" s="44">
        <v>0.13500000000000001</v>
      </c>
      <c r="AJ3130" s="44">
        <v>0.27</v>
      </c>
      <c r="AK3130" s="151">
        <v>0.2</v>
      </c>
      <c r="AL3130" s="151">
        <v>0.2</v>
      </c>
      <c r="AM3130" s="17">
        <f t="shared" si="152"/>
        <v>0.4</v>
      </c>
      <c r="AN3130" t="s">
        <v>723</v>
      </c>
      <c r="AO3130" s="18" t="s">
        <v>729</v>
      </c>
      <c r="AP3130" t="s">
        <v>119</v>
      </c>
    </row>
    <row r="3131" spans="1:42" customFormat="1" hidden="1" x14ac:dyDescent="0.3">
      <c r="A3131" s="148" t="s">
        <v>8319</v>
      </c>
      <c r="B3131" t="s">
        <v>8320</v>
      </c>
      <c r="C3131" s="148" t="s">
        <v>9344</v>
      </c>
      <c r="D3131" t="s">
        <v>9345</v>
      </c>
      <c r="E3131" s="148" t="s">
        <v>9398</v>
      </c>
      <c r="F3131" t="s">
        <v>9399</v>
      </c>
      <c r="G3131" s="148" t="s">
        <v>10231</v>
      </c>
      <c r="H3131" t="s">
        <v>10232</v>
      </c>
      <c r="K3131" s="148" t="s">
        <v>10233</v>
      </c>
      <c r="L3131" t="s">
        <v>10234</v>
      </c>
      <c r="N3131" s="3"/>
      <c r="O3131" s="3"/>
      <c r="P3131" s="3"/>
      <c r="Q3131" s="3"/>
      <c r="R3131" s="3"/>
      <c r="S3131" s="3"/>
      <c r="U3131" t="e">
        <v>#N/A</v>
      </c>
      <c r="V3131" t="s">
        <v>10238</v>
      </c>
      <c r="W3131" s="45">
        <v>1</v>
      </c>
      <c r="X3131" s="45">
        <v>0</v>
      </c>
      <c r="Y3131" s="45">
        <v>0</v>
      </c>
      <c r="Z3131" s="45">
        <v>1</v>
      </c>
      <c r="AA3131" s="45">
        <v>1</v>
      </c>
      <c r="AB3131" s="45">
        <v>0</v>
      </c>
      <c r="AC3131" s="150">
        <v>1</v>
      </c>
      <c r="AD3131" s="150">
        <v>1</v>
      </c>
      <c r="AE3131" s="49">
        <f t="shared" si="151"/>
        <v>0.625</v>
      </c>
      <c r="AF3131" s="17"/>
      <c r="AG3131" s="17">
        <v>0</v>
      </c>
      <c r="AH3131" s="17">
        <v>0</v>
      </c>
      <c r="AI3131" s="44">
        <v>0.5</v>
      </c>
      <c r="AJ3131" s="44">
        <v>0.5</v>
      </c>
      <c r="AK3131" s="151">
        <v>0.2</v>
      </c>
      <c r="AL3131" s="151">
        <v>0.2</v>
      </c>
      <c r="AM3131" s="17">
        <f t="shared" si="152"/>
        <v>0.4</v>
      </c>
      <c r="AN3131" t="s">
        <v>723</v>
      </c>
      <c r="AO3131" s="18" t="s">
        <v>729</v>
      </c>
      <c r="AP3131" t="s">
        <v>119</v>
      </c>
    </row>
    <row r="3132" spans="1:42" customFormat="1" hidden="1" x14ac:dyDescent="0.3">
      <c r="A3132" s="148" t="s">
        <v>8319</v>
      </c>
      <c r="B3132" t="s">
        <v>8320</v>
      </c>
      <c r="C3132" s="148" t="s">
        <v>9344</v>
      </c>
      <c r="D3132" t="s">
        <v>9345</v>
      </c>
      <c r="E3132" s="148" t="s">
        <v>9398</v>
      </c>
      <c r="F3132" t="s">
        <v>9399</v>
      </c>
      <c r="G3132" s="148" t="s">
        <v>9400</v>
      </c>
      <c r="H3132" t="s">
        <v>9401</v>
      </c>
      <c r="I3132" s="148" t="s">
        <v>10239</v>
      </c>
      <c r="J3132" t="s">
        <v>10240</v>
      </c>
      <c r="K3132" s="148" t="s">
        <v>10241</v>
      </c>
      <c r="L3132" t="s">
        <v>10242</v>
      </c>
      <c r="N3132" s="3"/>
      <c r="O3132" s="3"/>
      <c r="P3132" s="3"/>
      <c r="Q3132" s="3"/>
      <c r="R3132" s="3"/>
      <c r="S3132" s="3"/>
      <c r="U3132" t="e">
        <v>#N/A</v>
      </c>
      <c r="V3132" t="s">
        <v>10243</v>
      </c>
      <c r="W3132" s="45">
        <v>1</v>
      </c>
      <c r="X3132" s="45">
        <v>0</v>
      </c>
      <c r="Y3132" s="45">
        <v>0</v>
      </c>
      <c r="Z3132" s="45">
        <v>1</v>
      </c>
      <c r="AA3132" s="45">
        <v>1</v>
      </c>
      <c r="AB3132" s="45">
        <v>0</v>
      </c>
      <c r="AC3132" s="150">
        <v>1</v>
      </c>
      <c r="AD3132" s="150">
        <v>1</v>
      </c>
      <c r="AE3132" s="49">
        <f t="shared" si="151"/>
        <v>0.625</v>
      </c>
      <c r="AF3132" s="17"/>
      <c r="AG3132" s="17">
        <v>0</v>
      </c>
      <c r="AH3132" s="17">
        <v>0</v>
      </c>
      <c r="AI3132" s="44">
        <v>0.1</v>
      </c>
      <c r="AJ3132" s="44">
        <v>0.1</v>
      </c>
      <c r="AK3132" s="151">
        <v>0.1</v>
      </c>
      <c r="AL3132" s="151">
        <v>0.1</v>
      </c>
      <c r="AM3132" s="17">
        <f t="shared" si="152"/>
        <v>0.2</v>
      </c>
      <c r="AN3132" t="s">
        <v>723</v>
      </c>
      <c r="AO3132" s="18" t="s">
        <v>729</v>
      </c>
      <c r="AP3132" t="s">
        <v>119</v>
      </c>
    </row>
    <row r="3133" spans="1:42" customFormat="1" hidden="1" x14ac:dyDescent="0.3">
      <c r="A3133" s="148" t="s">
        <v>8319</v>
      </c>
      <c r="B3133" t="s">
        <v>8320</v>
      </c>
      <c r="C3133" s="148" t="s">
        <v>9344</v>
      </c>
      <c r="D3133" t="s">
        <v>9345</v>
      </c>
      <c r="E3133" s="148" t="s">
        <v>9398</v>
      </c>
      <c r="F3133" t="s">
        <v>9399</v>
      </c>
      <c r="G3133" s="148" t="s">
        <v>10244</v>
      </c>
      <c r="H3133" t="s">
        <v>10245</v>
      </c>
      <c r="K3133" s="148" t="s">
        <v>10246</v>
      </c>
      <c r="L3133" t="s">
        <v>10247</v>
      </c>
      <c r="M3133" t="s">
        <v>10248</v>
      </c>
      <c r="N3133" s="3" t="s">
        <v>271</v>
      </c>
      <c r="O3133" s="3" t="s">
        <v>271</v>
      </c>
      <c r="P3133" s="3" t="s">
        <v>271</v>
      </c>
      <c r="Q3133" s="3">
        <v>1</v>
      </c>
      <c r="R3133" s="3" t="s">
        <v>271</v>
      </c>
      <c r="S3133" s="3" t="s">
        <v>271</v>
      </c>
      <c r="T3133" t="s">
        <v>10249</v>
      </c>
      <c r="U3133" t="e">
        <v>#N/A</v>
      </c>
      <c r="V3133" t="s">
        <v>10250</v>
      </c>
      <c r="W3133" s="45">
        <v>1</v>
      </c>
      <c r="X3133" s="45">
        <v>0</v>
      </c>
      <c r="Y3133" s="45">
        <v>0</v>
      </c>
      <c r="Z3133" s="45">
        <v>1</v>
      </c>
      <c r="AA3133" s="45">
        <v>1</v>
      </c>
      <c r="AB3133" s="45">
        <v>0</v>
      </c>
      <c r="AC3133" s="150">
        <v>1</v>
      </c>
      <c r="AD3133" s="150">
        <v>1</v>
      </c>
      <c r="AE3133" s="49">
        <f t="shared" si="151"/>
        <v>0.625</v>
      </c>
      <c r="AF3133" s="17"/>
      <c r="AG3133" s="17">
        <v>0</v>
      </c>
      <c r="AH3133" s="17">
        <v>0</v>
      </c>
      <c r="AI3133" s="17">
        <v>0</v>
      </c>
      <c r="AJ3133" s="44">
        <v>0.1</v>
      </c>
      <c r="AK3133" s="153">
        <v>0</v>
      </c>
      <c r="AL3133" s="154">
        <v>0</v>
      </c>
      <c r="AM3133" s="17">
        <f t="shared" si="152"/>
        <v>0</v>
      </c>
      <c r="AN3133" t="s">
        <v>723</v>
      </c>
      <c r="AO3133" s="18" t="s">
        <v>729</v>
      </c>
      <c r="AP3133" t="s">
        <v>10251</v>
      </c>
    </row>
    <row r="3134" spans="1:42" customFormat="1" hidden="1" x14ac:dyDescent="0.3">
      <c r="A3134" s="148" t="s">
        <v>8319</v>
      </c>
      <c r="B3134" t="s">
        <v>8320</v>
      </c>
      <c r="C3134" s="148" t="s">
        <v>9344</v>
      </c>
      <c r="D3134" t="s">
        <v>9345</v>
      </c>
      <c r="E3134" s="148" t="s">
        <v>9398</v>
      </c>
      <c r="F3134" t="s">
        <v>9399</v>
      </c>
      <c r="G3134" s="148" t="s">
        <v>10244</v>
      </c>
      <c r="H3134" t="s">
        <v>10245</v>
      </c>
      <c r="K3134" s="148" t="s">
        <v>10252</v>
      </c>
      <c r="L3134" t="s">
        <v>10253</v>
      </c>
      <c r="M3134" t="s">
        <v>10254</v>
      </c>
      <c r="N3134" s="3" t="s">
        <v>271</v>
      </c>
      <c r="O3134" s="3" t="s">
        <v>271</v>
      </c>
      <c r="P3134" s="3" t="s">
        <v>271</v>
      </c>
      <c r="Q3134" s="3">
        <v>270</v>
      </c>
      <c r="R3134" s="3">
        <v>270</v>
      </c>
      <c r="S3134" s="3">
        <v>270</v>
      </c>
      <c r="T3134" t="s">
        <v>10255</v>
      </c>
      <c r="U3134" t="e">
        <v>#N/A</v>
      </c>
      <c r="V3134" t="s">
        <v>10250</v>
      </c>
      <c r="W3134" s="45">
        <v>1</v>
      </c>
      <c r="X3134" s="45">
        <v>0</v>
      </c>
      <c r="Y3134" s="45">
        <v>0</v>
      </c>
      <c r="Z3134" s="45">
        <v>1</v>
      </c>
      <c r="AA3134" s="45">
        <v>1</v>
      </c>
      <c r="AB3134" s="45">
        <v>0</v>
      </c>
      <c r="AC3134" s="150">
        <v>1</v>
      </c>
      <c r="AD3134" s="150">
        <v>1</v>
      </c>
      <c r="AE3134" s="49">
        <f t="shared" si="151"/>
        <v>0.625</v>
      </c>
      <c r="AF3134" s="44"/>
      <c r="AG3134" s="17">
        <v>0</v>
      </c>
      <c r="AH3134" s="44">
        <v>0.5</v>
      </c>
      <c r="AI3134" s="17">
        <v>0</v>
      </c>
      <c r="AJ3134" s="17">
        <v>0</v>
      </c>
      <c r="AK3134" s="151">
        <v>0</v>
      </c>
      <c r="AL3134" s="154">
        <v>0</v>
      </c>
      <c r="AM3134" s="17">
        <f t="shared" si="152"/>
        <v>0</v>
      </c>
      <c r="AN3134" s="44" t="s">
        <v>9409</v>
      </c>
      <c r="AO3134" s="18" t="s">
        <v>729</v>
      </c>
      <c r="AP3134" t="s">
        <v>10256</v>
      </c>
    </row>
    <row r="3135" spans="1:42" customFormat="1" hidden="1" x14ac:dyDescent="0.3">
      <c r="A3135" s="148" t="s">
        <v>8319</v>
      </c>
      <c r="B3135" t="s">
        <v>8320</v>
      </c>
      <c r="C3135" s="148" t="s">
        <v>9410</v>
      </c>
      <c r="D3135" t="s">
        <v>9411</v>
      </c>
      <c r="E3135" s="148" t="s">
        <v>9412</v>
      </c>
      <c r="F3135" t="s">
        <v>9413</v>
      </c>
      <c r="G3135" s="148" t="s">
        <v>9414</v>
      </c>
      <c r="H3135" t="s">
        <v>9415</v>
      </c>
      <c r="K3135" s="155" t="s">
        <v>9441</v>
      </c>
      <c r="L3135" t="s">
        <v>9442</v>
      </c>
      <c r="M3135" t="s">
        <v>10257</v>
      </c>
      <c r="N3135" s="3"/>
      <c r="O3135" s="3">
        <v>0</v>
      </c>
      <c r="P3135" s="3">
        <v>1</v>
      </c>
      <c r="Q3135" s="3">
        <v>1</v>
      </c>
      <c r="R3135" s="3">
        <v>1</v>
      </c>
      <c r="S3135" s="3">
        <v>1</v>
      </c>
      <c r="T3135" t="s">
        <v>3643</v>
      </c>
      <c r="U3135" t="s">
        <v>3630</v>
      </c>
      <c r="V3135" t="s">
        <v>10258</v>
      </c>
      <c r="W3135" s="45">
        <v>1</v>
      </c>
      <c r="X3135" s="45">
        <v>1</v>
      </c>
      <c r="Y3135" s="45">
        <v>1</v>
      </c>
      <c r="Z3135" s="45">
        <v>0</v>
      </c>
      <c r="AA3135" s="45">
        <v>0</v>
      </c>
      <c r="AB3135" s="45">
        <v>1</v>
      </c>
      <c r="AC3135" s="150">
        <v>0</v>
      </c>
      <c r="AD3135" s="150">
        <v>1</v>
      </c>
      <c r="AE3135" s="49">
        <f t="shared" si="151"/>
        <v>0.625</v>
      </c>
      <c r="AF3135" s="44"/>
      <c r="AG3135" s="17">
        <v>0</v>
      </c>
      <c r="AH3135" s="44">
        <v>7.5</v>
      </c>
      <c r="AI3135" s="44">
        <v>7.5</v>
      </c>
      <c r="AJ3135" s="44">
        <v>7.5</v>
      </c>
      <c r="AK3135" s="151">
        <v>15</v>
      </c>
      <c r="AL3135" s="151">
        <v>15</v>
      </c>
      <c r="AM3135" s="17">
        <f t="shared" si="152"/>
        <v>30</v>
      </c>
      <c r="AN3135" t="s">
        <v>3643</v>
      </c>
      <c r="AO3135" s="18" t="s">
        <v>3630</v>
      </c>
      <c r="AP3135" t="s">
        <v>10259</v>
      </c>
    </row>
    <row r="3136" spans="1:42" customFormat="1" hidden="1" x14ac:dyDescent="0.3">
      <c r="A3136" s="148" t="s">
        <v>8319</v>
      </c>
      <c r="B3136" t="s">
        <v>8320</v>
      </c>
      <c r="C3136" s="148" t="s">
        <v>9410</v>
      </c>
      <c r="D3136" t="s">
        <v>9411</v>
      </c>
      <c r="E3136" s="148" t="s">
        <v>9412</v>
      </c>
      <c r="F3136" t="s">
        <v>9413</v>
      </c>
      <c r="G3136" s="148" t="s">
        <v>9661</v>
      </c>
      <c r="H3136" t="s">
        <v>9662</v>
      </c>
      <c r="I3136" s="148" t="s">
        <v>9663</v>
      </c>
      <c r="J3136" t="s">
        <v>9664</v>
      </c>
      <c r="K3136" s="148" t="s">
        <v>9665</v>
      </c>
      <c r="L3136" t="s">
        <v>9666</v>
      </c>
      <c r="N3136" s="3"/>
      <c r="O3136" s="3"/>
      <c r="P3136" s="3" t="s">
        <v>10260</v>
      </c>
      <c r="Q3136" s="3" t="s">
        <v>10261</v>
      </c>
      <c r="R3136" s="3"/>
      <c r="S3136" s="3" t="s">
        <v>10262</v>
      </c>
      <c r="U3136" t="e">
        <v>#N/A</v>
      </c>
      <c r="V3136" t="s">
        <v>10263</v>
      </c>
      <c r="W3136" s="45">
        <v>1</v>
      </c>
      <c r="X3136" s="45">
        <v>0</v>
      </c>
      <c r="Y3136" s="45">
        <v>1</v>
      </c>
      <c r="Z3136" s="45">
        <v>0</v>
      </c>
      <c r="AA3136" s="45">
        <v>1</v>
      </c>
      <c r="AB3136" s="45">
        <v>1</v>
      </c>
      <c r="AC3136" s="150">
        <v>0</v>
      </c>
      <c r="AD3136" s="150">
        <v>1</v>
      </c>
      <c r="AE3136" s="49">
        <f t="shared" si="151"/>
        <v>0.625</v>
      </c>
      <c r="AF3136" s="44"/>
      <c r="AG3136" s="17">
        <v>0</v>
      </c>
      <c r="AH3136" s="44">
        <v>50</v>
      </c>
      <c r="AI3136" s="44">
        <v>70</v>
      </c>
      <c r="AJ3136" s="44">
        <v>70</v>
      </c>
      <c r="AK3136" s="151">
        <v>70</v>
      </c>
      <c r="AL3136" s="151">
        <v>140</v>
      </c>
      <c r="AM3136" s="17">
        <f t="shared" si="152"/>
        <v>210</v>
      </c>
      <c r="AN3136" s="44" t="s">
        <v>9967</v>
      </c>
      <c r="AO3136" s="18" t="s">
        <v>9968</v>
      </c>
      <c r="AP3136" t="s">
        <v>9671</v>
      </c>
    </row>
    <row r="3137" spans="1:42" customFormat="1" hidden="1" x14ac:dyDescent="0.3">
      <c r="A3137" s="148" t="s">
        <v>8319</v>
      </c>
      <c r="B3137" t="s">
        <v>8320</v>
      </c>
      <c r="C3137" s="148" t="s">
        <v>9410</v>
      </c>
      <c r="D3137" t="s">
        <v>9411</v>
      </c>
      <c r="E3137" s="148" t="s">
        <v>9412</v>
      </c>
      <c r="F3137" t="s">
        <v>9413</v>
      </c>
      <c r="G3137" s="148" t="s">
        <v>9661</v>
      </c>
      <c r="H3137" t="s">
        <v>9662</v>
      </c>
      <c r="I3137" s="148" t="s">
        <v>9663</v>
      </c>
      <c r="J3137" t="s">
        <v>9664</v>
      </c>
      <c r="K3137" s="148" t="s">
        <v>9675</v>
      </c>
      <c r="L3137" t="s">
        <v>9676</v>
      </c>
      <c r="M3137" t="s">
        <v>10264</v>
      </c>
      <c r="N3137" s="3" t="s">
        <v>9365</v>
      </c>
      <c r="O3137" s="3">
        <v>20</v>
      </c>
      <c r="P3137" s="3">
        <v>20</v>
      </c>
      <c r="Q3137" s="3">
        <v>20</v>
      </c>
      <c r="R3137" s="3">
        <v>20</v>
      </c>
      <c r="S3137" s="3">
        <v>20</v>
      </c>
      <c r="T3137" t="s">
        <v>3643</v>
      </c>
      <c r="U3137" t="s">
        <v>3630</v>
      </c>
      <c r="V3137" t="s">
        <v>10265</v>
      </c>
      <c r="W3137" s="45">
        <v>1</v>
      </c>
      <c r="X3137" s="45">
        <v>1</v>
      </c>
      <c r="Y3137" s="45">
        <v>1</v>
      </c>
      <c r="Z3137" s="45">
        <v>0</v>
      </c>
      <c r="AA3137" s="45">
        <v>0</v>
      </c>
      <c r="AB3137" s="45">
        <v>1</v>
      </c>
      <c r="AC3137" s="150">
        <v>0</v>
      </c>
      <c r="AD3137" s="150">
        <v>1</v>
      </c>
      <c r="AE3137" s="49">
        <f t="shared" si="151"/>
        <v>0.625</v>
      </c>
      <c r="AF3137" s="44"/>
      <c r="AG3137" s="17">
        <v>0</v>
      </c>
      <c r="AH3137" s="44">
        <v>1.6</v>
      </c>
      <c r="AI3137" s="44">
        <v>1.6</v>
      </c>
      <c r="AJ3137" s="44">
        <v>1.6</v>
      </c>
      <c r="AK3137" s="151">
        <v>1.6</v>
      </c>
      <c r="AL3137" s="151">
        <v>1.6</v>
      </c>
      <c r="AM3137" s="17">
        <f t="shared" si="152"/>
        <v>3.2</v>
      </c>
      <c r="AN3137" t="s">
        <v>3643</v>
      </c>
      <c r="AO3137" s="18" t="s">
        <v>3630</v>
      </c>
      <c r="AP3137" t="s">
        <v>10266</v>
      </c>
    </row>
    <row r="3138" spans="1:42" customFormat="1" hidden="1" x14ac:dyDescent="0.3">
      <c r="A3138" s="148" t="s">
        <v>8319</v>
      </c>
      <c r="B3138" t="s">
        <v>8320</v>
      </c>
      <c r="C3138" s="148" t="s">
        <v>9410</v>
      </c>
      <c r="D3138" t="s">
        <v>9411</v>
      </c>
      <c r="E3138" s="148" t="s">
        <v>9412</v>
      </c>
      <c r="F3138" t="s">
        <v>9413</v>
      </c>
      <c r="G3138" s="148" t="s">
        <v>9661</v>
      </c>
      <c r="H3138" t="s">
        <v>9662</v>
      </c>
      <c r="I3138" s="148" t="s">
        <v>9663</v>
      </c>
      <c r="J3138" t="s">
        <v>9664</v>
      </c>
      <c r="K3138" s="148" t="s">
        <v>9964</v>
      </c>
      <c r="L3138" t="s">
        <v>9965</v>
      </c>
      <c r="M3138" t="s">
        <v>10267</v>
      </c>
      <c r="N3138" s="3"/>
      <c r="O3138" s="3">
        <v>0.05</v>
      </c>
      <c r="P3138" s="3">
        <v>0.15</v>
      </c>
      <c r="Q3138" s="3">
        <v>0.3</v>
      </c>
      <c r="R3138" s="3">
        <v>0.35</v>
      </c>
      <c r="S3138" s="3">
        <v>0.4</v>
      </c>
      <c r="T3138" t="s">
        <v>255</v>
      </c>
      <c r="U3138" t="s">
        <v>1045</v>
      </c>
      <c r="V3138" t="s">
        <v>10268</v>
      </c>
      <c r="W3138" s="45">
        <v>1</v>
      </c>
      <c r="X3138" s="45">
        <v>0</v>
      </c>
      <c r="Y3138" s="45">
        <v>1</v>
      </c>
      <c r="Z3138" s="45">
        <v>1</v>
      </c>
      <c r="AA3138" s="45">
        <v>1</v>
      </c>
      <c r="AB3138" s="45">
        <v>0</v>
      </c>
      <c r="AC3138" s="150">
        <v>0</v>
      </c>
      <c r="AD3138" s="150">
        <v>1</v>
      </c>
      <c r="AE3138" s="49">
        <f t="shared" si="151"/>
        <v>0.625</v>
      </c>
      <c r="AF3138" s="44"/>
      <c r="AG3138" s="17">
        <v>0</v>
      </c>
      <c r="AH3138" s="44">
        <v>0.05</v>
      </c>
      <c r="AI3138" s="44">
        <v>0.1</v>
      </c>
      <c r="AJ3138" s="44">
        <v>0.1</v>
      </c>
      <c r="AK3138" s="151">
        <v>0.1</v>
      </c>
      <c r="AL3138" s="151">
        <v>0.1</v>
      </c>
      <c r="AM3138" s="17">
        <f t="shared" si="152"/>
        <v>0.2</v>
      </c>
      <c r="AN3138" s="18" t="s">
        <v>255</v>
      </c>
      <c r="AO3138" s="18" t="s">
        <v>1045</v>
      </c>
      <c r="AP3138" t="s">
        <v>9970</v>
      </c>
    </row>
    <row r="3139" spans="1:42" customFormat="1" hidden="1" x14ac:dyDescent="0.3">
      <c r="A3139" s="148" t="s">
        <v>8319</v>
      </c>
      <c r="B3139" t="s">
        <v>8320</v>
      </c>
      <c r="C3139" s="148" t="s">
        <v>9410</v>
      </c>
      <c r="D3139" t="s">
        <v>9411</v>
      </c>
      <c r="E3139" s="148" t="s">
        <v>9412</v>
      </c>
      <c r="F3139" t="s">
        <v>9413</v>
      </c>
      <c r="G3139" s="148" t="s">
        <v>9661</v>
      </c>
      <c r="H3139" t="s">
        <v>9662</v>
      </c>
      <c r="I3139" s="148" t="s">
        <v>10269</v>
      </c>
      <c r="J3139" t="s">
        <v>10270</v>
      </c>
      <c r="K3139" s="148" t="s">
        <v>10271</v>
      </c>
      <c r="L3139" t="s">
        <v>10272</v>
      </c>
      <c r="M3139" t="s">
        <v>10273</v>
      </c>
      <c r="N3139" s="3">
        <v>0</v>
      </c>
      <c r="O3139" s="3">
        <v>2</v>
      </c>
      <c r="P3139" s="3">
        <v>3</v>
      </c>
      <c r="Q3139" s="3">
        <v>4</v>
      </c>
      <c r="R3139" s="3">
        <v>4</v>
      </c>
      <c r="S3139" s="3">
        <v>4</v>
      </c>
      <c r="T3139" t="s">
        <v>3643</v>
      </c>
      <c r="U3139" t="s">
        <v>3630</v>
      </c>
      <c r="V3139" t="s">
        <v>10274</v>
      </c>
      <c r="W3139" s="45">
        <v>1</v>
      </c>
      <c r="X3139" s="45">
        <v>1</v>
      </c>
      <c r="Y3139" s="45">
        <v>1</v>
      </c>
      <c r="Z3139" s="45">
        <v>0</v>
      </c>
      <c r="AA3139" s="45">
        <v>0</v>
      </c>
      <c r="AB3139" s="45">
        <v>1</v>
      </c>
      <c r="AC3139" s="150">
        <v>0</v>
      </c>
      <c r="AD3139" s="150">
        <v>1</v>
      </c>
      <c r="AE3139" s="49">
        <f t="shared" si="151"/>
        <v>0.625</v>
      </c>
      <c r="AF3139" s="44"/>
      <c r="AG3139" s="17">
        <v>0</v>
      </c>
      <c r="AH3139" s="44">
        <v>50</v>
      </c>
      <c r="AI3139" s="44">
        <v>50</v>
      </c>
      <c r="AJ3139" s="44">
        <v>60</v>
      </c>
      <c r="AK3139" s="151">
        <v>23</v>
      </c>
      <c r="AL3139" s="151">
        <v>23</v>
      </c>
      <c r="AM3139" s="17">
        <f t="shared" si="152"/>
        <v>46</v>
      </c>
      <c r="AN3139" t="s">
        <v>10275</v>
      </c>
      <c r="AO3139" s="18" t="s">
        <v>3630</v>
      </c>
      <c r="AP3139" t="s">
        <v>3643</v>
      </c>
    </row>
    <row r="3140" spans="1:42" customFormat="1" hidden="1" x14ac:dyDescent="0.3">
      <c r="A3140" s="148" t="s">
        <v>8319</v>
      </c>
      <c r="B3140" t="s">
        <v>8320</v>
      </c>
      <c r="C3140" s="148" t="s">
        <v>9410</v>
      </c>
      <c r="D3140" t="s">
        <v>9411</v>
      </c>
      <c r="E3140" s="148" t="s">
        <v>9412</v>
      </c>
      <c r="F3140" t="s">
        <v>9413</v>
      </c>
      <c r="G3140" s="148" t="s">
        <v>9448</v>
      </c>
      <c r="H3140" t="s">
        <v>9449</v>
      </c>
      <c r="I3140" s="148" t="s">
        <v>9682</v>
      </c>
      <c r="J3140" t="s">
        <v>9683</v>
      </c>
      <c r="K3140" s="148" t="s">
        <v>10276</v>
      </c>
      <c r="L3140" t="s">
        <v>10277</v>
      </c>
      <c r="M3140" t="s">
        <v>10278</v>
      </c>
      <c r="N3140" s="3">
        <v>0</v>
      </c>
      <c r="O3140" s="3" t="s">
        <v>10279</v>
      </c>
      <c r="P3140" s="3" t="s">
        <v>10280</v>
      </c>
      <c r="Q3140" s="3" t="s">
        <v>10281</v>
      </c>
      <c r="R3140" s="3" t="s">
        <v>271</v>
      </c>
      <c r="S3140" s="3" t="s">
        <v>271</v>
      </c>
      <c r="T3140" t="s">
        <v>3643</v>
      </c>
      <c r="U3140" t="s">
        <v>3630</v>
      </c>
      <c r="V3140" t="s">
        <v>10282</v>
      </c>
      <c r="W3140" s="45">
        <v>1</v>
      </c>
      <c r="X3140" s="45">
        <v>1</v>
      </c>
      <c r="Y3140" s="45">
        <v>1</v>
      </c>
      <c r="Z3140" s="45">
        <v>1</v>
      </c>
      <c r="AA3140" s="45">
        <v>0</v>
      </c>
      <c r="AB3140" s="45">
        <v>1</v>
      </c>
      <c r="AC3140" s="150">
        <v>0</v>
      </c>
      <c r="AD3140" s="150">
        <v>0</v>
      </c>
      <c r="AE3140" s="49">
        <f t="shared" si="151"/>
        <v>0.625</v>
      </c>
      <c r="AF3140" s="17"/>
      <c r="AG3140" s="17">
        <v>0</v>
      </c>
      <c r="AH3140" s="17">
        <v>0</v>
      </c>
      <c r="AI3140" s="17">
        <v>0</v>
      </c>
      <c r="AJ3140" s="17">
        <v>0</v>
      </c>
      <c r="AK3140" s="153">
        <v>0</v>
      </c>
      <c r="AL3140" s="154">
        <v>0</v>
      </c>
      <c r="AM3140" s="17">
        <f t="shared" si="152"/>
        <v>0</v>
      </c>
      <c r="AN3140" t="s">
        <v>3643</v>
      </c>
      <c r="AO3140" s="18" t="s">
        <v>3630</v>
      </c>
      <c r="AP3140" t="s">
        <v>2172</v>
      </c>
    </row>
    <row r="3141" spans="1:42" customFormat="1" hidden="1" x14ac:dyDescent="0.3">
      <c r="A3141" s="148" t="s">
        <v>8319</v>
      </c>
      <c r="B3141" t="s">
        <v>8320</v>
      </c>
      <c r="C3141" s="148" t="s">
        <v>9410</v>
      </c>
      <c r="D3141" t="s">
        <v>9411</v>
      </c>
      <c r="E3141" s="148" t="s">
        <v>9412</v>
      </c>
      <c r="F3141" t="s">
        <v>9413</v>
      </c>
      <c r="G3141" s="148" t="s">
        <v>9448</v>
      </c>
      <c r="H3141" t="s">
        <v>9449</v>
      </c>
      <c r="I3141" s="148" t="s">
        <v>9682</v>
      </c>
      <c r="J3141" t="s">
        <v>9683</v>
      </c>
      <c r="K3141" s="148" t="s">
        <v>10283</v>
      </c>
      <c r="L3141" t="s">
        <v>10284</v>
      </c>
      <c r="M3141" t="s">
        <v>10285</v>
      </c>
      <c r="N3141" s="3">
        <v>0</v>
      </c>
      <c r="O3141" s="3">
        <v>0</v>
      </c>
      <c r="P3141" s="3">
        <v>1</v>
      </c>
      <c r="Q3141" s="3">
        <v>1</v>
      </c>
      <c r="R3141" s="3">
        <v>1</v>
      </c>
      <c r="S3141" s="3">
        <v>1</v>
      </c>
      <c r="T3141" t="s">
        <v>9979</v>
      </c>
      <c r="U3141" t="e">
        <v>#N/A</v>
      </c>
      <c r="V3141" t="s">
        <v>10286</v>
      </c>
      <c r="W3141" s="45">
        <v>1</v>
      </c>
      <c r="X3141" s="45">
        <v>1</v>
      </c>
      <c r="Y3141" s="45">
        <v>1</v>
      </c>
      <c r="Z3141" s="45">
        <v>0</v>
      </c>
      <c r="AA3141" s="45">
        <v>0</v>
      </c>
      <c r="AB3141" s="45">
        <v>1</v>
      </c>
      <c r="AC3141" s="150">
        <v>1</v>
      </c>
      <c r="AD3141" s="150">
        <v>0</v>
      </c>
      <c r="AE3141" s="49">
        <f t="shared" si="151"/>
        <v>0.625</v>
      </c>
      <c r="AF3141" s="44"/>
      <c r="AG3141" s="17">
        <v>0</v>
      </c>
      <c r="AH3141" s="44">
        <v>1</v>
      </c>
      <c r="AI3141" s="44">
        <v>5</v>
      </c>
      <c r="AJ3141" s="44">
        <v>6</v>
      </c>
      <c r="AK3141" s="151">
        <v>7</v>
      </c>
      <c r="AL3141" s="151">
        <v>8</v>
      </c>
      <c r="AM3141" s="17">
        <f t="shared" si="152"/>
        <v>15</v>
      </c>
      <c r="AN3141" t="s">
        <v>3643</v>
      </c>
      <c r="AO3141" s="18" t="s">
        <v>3630</v>
      </c>
      <c r="AP3141" t="s">
        <v>2043</v>
      </c>
    </row>
    <row r="3142" spans="1:42" customFormat="1" hidden="1" x14ac:dyDescent="0.3">
      <c r="A3142" s="148" t="s">
        <v>8319</v>
      </c>
      <c r="B3142" t="s">
        <v>8320</v>
      </c>
      <c r="C3142" s="148" t="s">
        <v>9410</v>
      </c>
      <c r="D3142" t="s">
        <v>9411</v>
      </c>
      <c r="E3142" s="148" t="s">
        <v>9412</v>
      </c>
      <c r="F3142" t="s">
        <v>9413</v>
      </c>
      <c r="G3142" s="148" t="s">
        <v>9448</v>
      </c>
      <c r="H3142" t="s">
        <v>9449</v>
      </c>
      <c r="I3142" s="148" t="s">
        <v>9747</v>
      </c>
      <c r="J3142" t="s">
        <v>9748</v>
      </c>
      <c r="K3142" s="148" t="s">
        <v>10287</v>
      </c>
      <c r="L3142" t="s">
        <v>10288</v>
      </c>
      <c r="M3142" t="s">
        <v>10289</v>
      </c>
      <c r="N3142" s="3"/>
      <c r="O3142" s="3">
        <v>0</v>
      </c>
      <c r="P3142" s="3" t="s">
        <v>10290</v>
      </c>
      <c r="Q3142" s="3">
        <v>0</v>
      </c>
      <c r="R3142" s="3">
        <v>0</v>
      </c>
      <c r="S3142" s="3">
        <v>0</v>
      </c>
      <c r="T3142" t="s">
        <v>3643</v>
      </c>
      <c r="U3142" t="s">
        <v>3630</v>
      </c>
      <c r="V3142" t="s">
        <v>10291</v>
      </c>
      <c r="W3142" s="45">
        <v>1</v>
      </c>
      <c r="X3142" s="45">
        <v>1</v>
      </c>
      <c r="Y3142" s="45">
        <v>1</v>
      </c>
      <c r="Z3142" s="45">
        <v>0</v>
      </c>
      <c r="AA3142" s="45">
        <v>0</v>
      </c>
      <c r="AB3142" s="45">
        <v>1</v>
      </c>
      <c r="AC3142" s="150">
        <v>0</v>
      </c>
      <c r="AD3142" s="150">
        <v>1</v>
      </c>
      <c r="AE3142" s="49">
        <f t="shared" si="151"/>
        <v>0.625</v>
      </c>
      <c r="AF3142" s="44"/>
      <c r="AG3142" s="17">
        <v>0</v>
      </c>
      <c r="AH3142" s="44">
        <v>0</v>
      </c>
      <c r="AI3142" s="44">
        <v>0.2</v>
      </c>
      <c r="AJ3142" s="44">
        <v>0</v>
      </c>
      <c r="AK3142" s="151">
        <v>0</v>
      </c>
      <c r="AL3142" s="151">
        <v>0</v>
      </c>
      <c r="AM3142" s="17">
        <f t="shared" si="152"/>
        <v>0</v>
      </c>
      <c r="AN3142" t="s">
        <v>3643</v>
      </c>
      <c r="AO3142" s="18" t="s">
        <v>3630</v>
      </c>
      <c r="AP3142" t="s">
        <v>10292</v>
      </c>
    </row>
    <row r="3143" spans="1:42" customFormat="1" hidden="1" x14ac:dyDescent="0.3">
      <c r="A3143" s="148" t="s">
        <v>8319</v>
      </c>
      <c r="B3143" t="s">
        <v>8320</v>
      </c>
      <c r="C3143" s="148" t="s">
        <v>9410</v>
      </c>
      <c r="D3143" t="s">
        <v>9411</v>
      </c>
      <c r="E3143" s="148" t="s">
        <v>9412</v>
      </c>
      <c r="F3143" t="s">
        <v>9413</v>
      </c>
      <c r="G3143" s="148" t="s">
        <v>9448</v>
      </c>
      <c r="H3143" t="s">
        <v>9449</v>
      </c>
      <c r="I3143" s="148" t="s">
        <v>9747</v>
      </c>
      <c r="J3143" t="s">
        <v>9748</v>
      </c>
      <c r="K3143" s="148" t="s">
        <v>10293</v>
      </c>
      <c r="L3143" t="s">
        <v>10294</v>
      </c>
      <c r="M3143" t="s">
        <v>10295</v>
      </c>
      <c r="N3143" s="3">
        <v>0</v>
      </c>
      <c r="O3143" s="3">
        <v>0</v>
      </c>
      <c r="P3143" s="3">
        <v>25</v>
      </c>
      <c r="Q3143" s="3">
        <v>30</v>
      </c>
      <c r="R3143" s="3">
        <v>40</v>
      </c>
      <c r="S3143" s="3">
        <v>37</v>
      </c>
      <c r="T3143" t="s">
        <v>9738</v>
      </c>
      <c r="U3143" t="e">
        <v>#N/A</v>
      </c>
      <c r="V3143" t="s">
        <v>10296</v>
      </c>
      <c r="W3143" s="45">
        <v>1</v>
      </c>
      <c r="X3143" s="45">
        <v>1</v>
      </c>
      <c r="Y3143" s="45">
        <v>1</v>
      </c>
      <c r="Z3143" s="45">
        <v>0</v>
      </c>
      <c r="AA3143" s="45">
        <v>0</v>
      </c>
      <c r="AB3143" s="45">
        <v>1</v>
      </c>
      <c r="AC3143" s="150">
        <v>0</v>
      </c>
      <c r="AD3143" s="150">
        <v>1</v>
      </c>
      <c r="AE3143" s="49">
        <f t="shared" si="151"/>
        <v>0.625</v>
      </c>
      <c r="AF3143" s="44"/>
      <c r="AG3143" s="17">
        <v>0</v>
      </c>
      <c r="AH3143" s="44">
        <v>0</v>
      </c>
      <c r="AI3143" s="44">
        <v>57.5</v>
      </c>
      <c r="AJ3143" s="44">
        <v>45</v>
      </c>
      <c r="AK3143" s="151">
        <v>53.85</v>
      </c>
      <c r="AL3143" s="151">
        <v>55</v>
      </c>
      <c r="AM3143" s="17">
        <f t="shared" si="152"/>
        <v>108.85</v>
      </c>
      <c r="AN3143" t="s">
        <v>3643</v>
      </c>
      <c r="AO3143" s="18" t="s">
        <v>3630</v>
      </c>
      <c r="AP3143" t="s">
        <v>255</v>
      </c>
    </row>
    <row r="3144" spans="1:42" customFormat="1" hidden="1" x14ac:dyDescent="0.3">
      <c r="A3144" s="148" t="s">
        <v>8319</v>
      </c>
      <c r="B3144" t="s">
        <v>8320</v>
      </c>
      <c r="C3144" s="148" t="s">
        <v>9410</v>
      </c>
      <c r="D3144" t="s">
        <v>9411</v>
      </c>
      <c r="E3144" s="148" t="s">
        <v>9412</v>
      </c>
      <c r="F3144" t="s">
        <v>9413</v>
      </c>
      <c r="G3144" s="148" t="s">
        <v>9448</v>
      </c>
      <c r="H3144" t="s">
        <v>9449</v>
      </c>
      <c r="I3144" s="148" t="s">
        <v>9747</v>
      </c>
      <c r="J3144" t="s">
        <v>9748</v>
      </c>
      <c r="K3144" s="148" t="s">
        <v>10297</v>
      </c>
      <c r="L3144" t="s">
        <v>10298</v>
      </c>
      <c r="M3144" t="s">
        <v>10299</v>
      </c>
      <c r="N3144" s="3">
        <v>0</v>
      </c>
      <c r="O3144" s="3">
        <v>0</v>
      </c>
      <c r="P3144" s="3">
        <v>0</v>
      </c>
      <c r="Q3144" s="3">
        <v>5</v>
      </c>
      <c r="R3144" s="3">
        <v>10</v>
      </c>
      <c r="S3144" s="3">
        <v>10</v>
      </c>
      <c r="T3144" t="s">
        <v>3643</v>
      </c>
      <c r="U3144" t="s">
        <v>3630</v>
      </c>
      <c r="V3144" t="s">
        <v>10300</v>
      </c>
      <c r="W3144" s="45">
        <v>1</v>
      </c>
      <c r="X3144" s="45">
        <v>1</v>
      </c>
      <c r="Y3144" s="45">
        <v>1</v>
      </c>
      <c r="Z3144" s="45">
        <v>0</v>
      </c>
      <c r="AA3144" s="45">
        <v>0</v>
      </c>
      <c r="AB3144" s="45">
        <v>1</v>
      </c>
      <c r="AC3144" s="150">
        <v>0</v>
      </c>
      <c r="AD3144" s="150">
        <v>1</v>
      </c>
      <c r="AE3144" s="49">
        <f t="shared" si="151"/>
        <v>0.625</v>
      </c>
      <c r="AF3144" s="44"/>
      <c r="AG3144" s="17">
        <v>0</v>
      </c>
      <c r="AH3144" s="44">
        <v>0</v>
      </c>
      <c r="AI3144" s="44">
        <v>100</v>
      </c>
      <c r="AJ3144" s="44">
        <v>100</v>
      </c>
      <c r="AK3144" s="151">
        <v>80</v>
      </c>
      <c r="AL3144" s="154">
        <v>80</v>
      </c>
      <c r="AM3144" s="17">
        <f t="shared" si="152"/>
        <v>160</v>
      </c>
      <c r="AN3144" t="s">
        <v>3643</v>
      </c>
      <c r="AO3144" s="18" t="s">
        <v>3630</v>
      </c>
      <c r="AP3144" t="s">
        <v>255</v>
      </c>
    </row>
    <row r="3145" spans="1:42" customFormat="1" hidden="1" x14ac:dyDescent="0.3">
      <c r="A3145" s="148" t="s">
        <v>8319</v>
      </c>
      <c r="B3145" t="s">
        <v>8320</v>
      </c>
      <c r="C3145" s="148" t="s">
        <v>9410</v>
      </c>
      <c r="D3145" t="s">
        <v>9411</v>
      </c>
      <c r="E3145" s="148" t="s">
        <v>9412</v>
      </c>
      <c r="F3145" t="s">
        <v>9413</v>
      </c>
      <c r="G3145" s="148" t="s">
        <v>9448</v>
      </c>
      <c r="H3145" t="s">
        <v>9449</v>
      </c>
      <c r="I3145" s="148" t="s">
        <v>9747</v>
      </c>
      <c r="J3145" t="s">
        <v>9748</v>
      </c>
      <c r="K3145" s="148" t="s">
        <v>10301</v>
      </c>
      <c r="L3145" t="s">
        <v>10302</v>
      </c>
      <c r="M3145" t="s">
        <v>10303</v>
      </c>
      <c r="N3145" s="3"/>
      <c r="O3145" s="3">
        <v>62</v>
      </c>
      <c r="P3145" s="3">
        <v>28</v>
      </c>
      <c r="Q3145" s="3">
        <v>0</v>
      </c>
      <c r="R3145" s="3">
        <v>0</v>
      </c>
      <c r="S3145" s="3">
        <v>0</v>
      </c>
      <c r="T3145" t="s">
        <v>3643</v>
      </c>
      <c r="U3145" t="s">
        <v>3630</v>
      </c>
      <c r="V3145" t="s">
        <v>10304</v>
      </c>
      <c r="W3145" s="45">
        <v>1</v>
      </c>
      <c r="X3145" s="45">
        <v>1</v>
      </c>
      <c r="Y3145" s="45">
        <v>1</v>
      </c>
      <c r="Z3145" s="45">
        <v>0</v>
      </c>
      <c r="AA3145" s="45">
        <v>0</v>
      </c>
      <c r="AB3145" s="45">
        <v>1</v>
      </c>
      <c r="AC3145" s="150">
        <v>0</v>
      </c>
      <c r="AD3145" s="150">
        <v>1</v>
      </c>
      <c r="AE3145" s="49">
        <f t="shared" si="151"/>
        <v>0.625</v>
      </c>
      <c r="AF3145" s="44"/>
      <c r="AG3145" s="17">
        <v>0</v>
      </c>
      <c r="AH3145" s="44">
        <v>55.1</v>
      </c>
      <c r="AI3145" s="44">
        <v>24</v>
      </c>
      <c r="AJ3145" s="44">
        <v>0</v>
      </c>
      <c r="AK3145" s="151">
        <v>45</v>
      </c>
      <c r="AL3145" s="151">
        <v>45</v>
      </c>
      <c r="AM3145" s="17">
        <f t="shared" si="152"/>
        <v>90</v>
      </c>
      <c r="AN3145" t="s">
        <v>3643</v>
      </c>
      <c r="AO3145" s="18" t="s">
        <v>3630</v>
      </c>
      <c r="AP3145" t="s">
        <v>255</v>
      </c>
    </row>
    <row r="3146" spans="1:42" customFormat="1" hidden="1" x14ac:dyDescent="0.3">
      <c r="A3146" s="148" t="s">
        <v>8319</v>
      </c>
      <c r="B3146" t="s">
        <v>8320</v>
      </c>
      <c r="C3146" s="148" t="s">
        <v>9410</v>
      </c>
      <c r="D3146" t="s">
        <v>9411</v>
      </c>
      <c r="E3146" s="148" t="s">
        <v>9412</v>
      </c>
      <c r="F3146" t="s">
        <v>9413</v>
      </c>
      <c r="G3146" s="148" t="s">
        <v>9448</v>
      </c>
      <c r="H3146" t="s">
        <v>9449</v>
      </c>
      <c r="I3146" s="148" t="s">
        <v>9747</v>
      </c>
      <c r="J3146" t="s">
        <v>9748</v>
      </c>
      <c r="K3146" s="148" t="s">
        <v>10305</v>
      </c>
      <c r="L3146" t="s">
        <v>10306</v>
      </c>
      <c r="M3146" t="s">
        <v>10307</v>
      </c>
      <c r="N3146" s="3"/>
      <c r="O3146" s="3">
        <v>20</v>
      </c>
      <c r="P3146" s="3">
        <v>33</v>
      </c>
      <c r="Q3146" s="3">
        <v>40</v>
      </c>
      <c r="R3146" s="3">
        <v>45</v>
      </c>
      <c r="S3146" s="3">
        <v>15</v>
      </c>
      <c r="T3146" t="s">
        <v>10308</v>
      </c>
      <c r="U3146" t="e">
        <v>#N/A</v>
      </c>
      <c r="V3146" t="s">
        <v>10309</v>
      </c>
      <c r="W3146" s="45">
        <v>1</v>
      </c>
      <c r="X3146" s="45">
        <v>1</v>
      </c>
      <c r="Y3146" s="45">
        <v>1</v>
      </c>
      <c r="Z3146" s="45">
        <v>0</v>
      </c>
      <c r="AA3146" s="45">
        <v>0</v>
      </c>
      <c r="AB3146" s="45">
        <v>1</v>
      </c>
      <c r="AC3146" s="150">
        <v>0</v>
      </c>
      <c r="AD3146" s="150">
        <v>1</v>
      </c>
      <c r="AE3146" s="49">
        <f t="shared" si="151"/>
        <v>0.625</v>
      </c>
      <c r="AF3146" s="44"/>
      <c r="AG3146" s="17">
        <v>0</v>
      </c>
      <c r="AH3146" s="44">
        <v>187.49999999999909</v>
      </c>
      <c r="AI3146" s="44">
        <v>212.5</v>
      </c>
      <c r="AJ3146" s="44">
        <v>212.5</v>
      </c>
      <c r="AK3146" s="151">
        <v>322.81342329611016</v>
      </c>
      <c r="AL3146" s="151">
        <v>139.68657670389075</v>
      </c>
      <c r="AM3146" s="17">
        <f t="shared" si="152"/>
        <v>462.50000000000091</v>
      </c>
      <c r="AN3146" t="s">
        <v>3643</v>
      </c>
      <c r="AO3146" s="18" t="s">
        <v>3630</v>
      </c>
      <c r="AP3146" t="s">
        <v>10310</v>
      </c>
    </row>
    <row r="3147" spans="1:42" customFormat="1" hidden="1" x14ac:dyDescent="0.3">
      <c r="A3147" s="148" t="s">
        <v>8319</v>
      </c>
      <c r="B3147" t="s">
        <v>8320</v>
      </c>
      <c r="C3147" s="148" t="s">
        <v>9410</v>
      </c>
      <c r="D3147" t="s">
        <v>9411</v>
      </c>
      <c r="E3147" s="148" t="s">
        <v>9412</v>
      </c>
      <c r="F3147" t="s">
        <v>9413</v>
      </c>
      <c r="G3147" s="148" t="s">
        <v>9448</v>
      </c>
      <c r="H3147" t="s">
        <v>9449</v>
      </c>
      <c r="I3147" s="148" t="s">
        <v>9747</v>
      </c>
      <c r="J3147" t="s">
        <v>9748</v>
      </c>
      <c r="K3147" s="148" t="s">
        <v>10311</v>
      </c>
      <c r="L3147" t="s">
        <v>10312</v>
      </c>
      <c r="M3147" t="s">
        <v>10313</v>
      </c>
      <c r="N3147" s="3"/>
      <c r="O3147" s="3">
        <v>62</v>
      </c>
      <c r="P3147" s="3">
        <v>53</v>
      </c>
      <c r="Q3147" s="3">
        <v>35</v>
      </c>
      <c r="R3147" s="3">
        <v>50</v>
      </c>
      <c r="S3147" s="3">
        <v>47</v>
      </c>
      <c r="T3147" t="s">
        <v>9368</v>
      </c>
      <c r="U3147" t="e">
        <v>#N/A</v>
      </c>
      <c r="V3147" t="s">
        <v>10314</v>
      </c>
      <c r="W3147" s="45">
        <v>1</v>
      </c>
      <c r="X3147" s="45">
        <v>1</v>
      </c>
      <c r="Y3147" s="45">
        <v>1</v>
      </c>
      <c r="Z3147" s="45">
        <v>0</v>
      </c>
      <c r="AA3147" s="45">
        <v>0</v>
      </c>
      <c r="AB3147" s="45">
        <v>1</v>
      </c>
      <c r="AC3147" s="150">
        <v>0</v>
      </c>
      <c r="AD3147" s="150">
        <v>1</v>
      </c>
      <c r="AE3147" s="49">
        <f t="shared" si="151"/>
        <v>0.625</v>
      </c>
      <c r="AF3147" s="44"/>
      <c r="AG3147" s="17">
        <v>0</v>
      </c>
      <c r="AH3147" s="44">
        <v>0.93</v>
      </c>
      <c r="AI3147" s="44">
        <v>0.79500000000000004</v>
      </c>
      <c r="AJ3147" s="44">
        <v>0.82499999999999996</v>
      </c>
      <c r="AK3147" s="151">
        <v>0.65</v>
      </c>
      <c r="AL3147" s="151">
        <v>0.70499999999999996</v>
      </c>
      <c r="AM3147" s="17">
        <f t="shared" si="152"/>
        <v>1.355</v>
      </c>
      <c r="AN3147" t="s">
        <v>3643</v>
      </c>
      <c r="AO3147" s="18" t="s">
        <v>3630</v>
      </c>
      <c r="AP3147" t="s">
        <v>255</v>
      </c>
    </row>
    <row r="3148" spans="1:42" customFormat="1" hidden="1" x14ac:dyDescent="0.3">
      <c r="A3148" s="148" t="s">
        <v>8319</v>
      </c>
      <c r="B3148" t="s">
        <v>8320</v>
      </c>
      <c r="C3148" s="148" t="s">
        <v>9410</v>
      </c>
      <c r="D3148" t="s">
        <v>9411</v>
      </c>
      <c r="E3148" s="148" t="s">
        <v>9412</v>
      </c>
      <c r="F3148" t="s">
        <v>9413</v>
      </c>
      <c r="G3148" s="148" t="s">
        <v>9448</v>
      </c>
      <c r="H3148" t="s">
        <v>9449</v>
      </c>
      <c r="I3148" s="148" t="s">
        <v>9747</v>
      </c>
      <c r="J3148" t="s">
        <v>9748</v>
      </c>
      <c r="K3148" s="148" t="s">
        <v>9749</v>
      </c>
      <c r="L3148" t="s">
        <v>9750</v>
      </c>
      <c r="M3148" t="s">
        <v>10315</v>
      </c>
      <c r="N3148" s="3"/>
      <c r="O3148" s="3">
        <v>50</v>
      </c>
      <c r="P3148" s="3">
        <v>55</v>
      </c>
      <c r="Q3148" s="3">
        <v>60</v>
      </c>
      <c r="R3148" s="3">
        <v>70</v>
      </c>
      <c r="S3148" s="3">
        <v>75</v>
      </c>
      <c r="T3148" t="s">
        <v>10316</v>
      </c>
      <c r="U3148" t="e">
        <v>#N/A</v>
      </c>
      <c r="V3148" t="s">
        <v>10317</v>
      </c>
      <c r="W3148" s="45">
        <v>1</v>
      </c>
      <c r="X3148" s="45">
        <v>1</v>
      </c>
      <c r="Y3148" s="45">
        <v>1</v>
      </c>
      <c r="Z3148" s="45">
        <v>0</v>
      </c>
      <c r="AA3148" s="45">
        <v>0</v>
      </c>
      <c r="AB3148" s="45">
        <v>1</v>
      </c>
      <c r="AC3148" s="150">
        <v>0</v>
      </c>
      <c r="AD3148" s="150">
        <v>1</v>
      </c>
      <c r="AE3148" s="49">
        <f t="shared" si="151"/>
        <v>0.625</v>
      </c>
      <c r="AF3148" s="44"/>
      <c r="AG3148" s="17">
        <v>0</v>
      </c>
      <c r="AH3148" s="44">
        <v>5</v>
      </c>
      <c r="AI3148" s="44">
        <v>15</v>
      </c>
      <c r="AJ3148" s="44">
        <v>20</v>
      </c>
      <c r="AK3148" s="151">
        <v>20</v>
      </c>
      <c r="AL3148" s="151">
        <v>25</v>
      </c>
      <c r="AM3148" s="17">
        <f t="shared" si="152"/>
        <v>45</v>
      </c>
      <c r="AN3148" t="s">
        <v>3643</v>
      </c>
      <c r="AO3148" s="18" t="s">
        <v>3630</v>
      </c>
      <c r="AP3148" t="s">
        <v>10318</v>
      </c>
    </row>
    <row r="3149" spans="1:42" customFormat="1" hidden="1" x14ac:dyDescent="0.3">
      <c r="A3149" s="148" t="s">
        <v>8319</v>
      </c>
      <c r="B3149" t="s">
        <v>8320</v>
      </c>
      <c r="C3149" s="148" t="s">
        <v>9410</v>
      </c>
      <c r="D3149" t="s">
        <v>9411</v>
      </c>
      <c r="E3149" s="148" t="s">
        <v>9412</v>
      </c>
      <c r="F3149" t="s">
        <v>9413</v>
      </c>
      <c r="G3149" s="148" t="s">
        <v>9448</v>
      </c>
      <c r="H3149" t="s">
        <v>9449</v>
      </c>
      <c r="I3149" s="148" t="s">
        <v>9763</v>
      </c>
      <c r="J3149" t="s">
        <v>9764</v>
      </c>
      <c r="K3149" s="148" t="s">
        <v>9765</v>
      </c>
      <c r="L3149" t="s">
        <v>9766</v>
      </c>
      <c r="M3149" t="s">
        <v>10319</v>
      </c>
      <c r="N3149" s="3">
        <v>83</v>
      </c>
      <c r="O3149" s="3">
        <v>88</v>
      </c>
      <c r="P3149" s="3">
        <v>89</v>
      </c>
      <c r="Q3149" s="3">
        <v>89</v>
      </c>
      <c r="R3149" s="3">
        <v>90</v>
      </c>
      <c r="S3149" s="3">
        <v>90</v>
      </c>
      <c r="T3149" t="s">
        <v>3643</v>
      </c>
      <c r="U3149" t="s">
        <v>3630</v>
      </c>
      <c r="V3149" t="s">
        <v>10320</v>
      </c>
      <c r="W3149" s="45">
        <v>1</v>
      </c>
      <c r="X3149" s="45">
        <v>1</v>
      </c>
      <c r="Y3149" s="45">
        <v>1</v>
      </c>
      <c r="Z3149" s="45">
        <v>0</v>
      </c>
      <c r="AA3149" s="45">
        <v>0</v>
      </c>
      <c r="AB3149" s="45">
        <v>1</v>
      </c>
      <c r="AC3149" s="150">
        <v>0</v>
      </c>
      <c r="AD3149" s="150">
        <v>1</v>
      </c>
      <c r="AE3149" s="49">
        <f t="shared" si="151"/>
        <v>0.625</v>
      </c>
      <c r="AF3149" s="17"/>
      <c r="AG3149" s="17">
        <v>0</v>
      </c>
      <c r="AH3149" s="17">
        <v>0</v>
      </c>
      <c r="AI3149" s="17">
        <v>0</v>
      </c>
      <c r="AJ3149" s="17">
        <v>0</v>
      </c>
      <c r="AK3149" s="153">
        <v>0</v>
      </c>
      <c r="AL3149" s="154">
        <v>0</v>
      </c>
      <c r="AM3149" s="17">
        <f t="shared" si="152"/>
        <v>0</v>
      </c>
      <c r="AN3149" t="s">
        <v>869</v>
      </c>
      <c r="AO3149" s="18" t="s">
        <v>871</v>
      </c>
      <c r="AP3149" t="s">
        <v>10321</v>
      </c>
    </row>
    <row r="3150" spans="1:42" customFormat="1" hidden="1" x14ac:dyDescent="0.3">
      <c r="A3150" s="148" t="s">
        <v>8319</v>
      </c>
      <c r="B3150" t="s">
        <v>8320</v>
      </c>
      <c r="C3150" s="148" t="s">
        <v>9410</v>
      </c>
      <c r="D3150" t="s">
        <v>9411</v>
      </c>
      <c r="E3150" s="148" t="s">
        <v>9412</v>
      </c>
      <c r="F3150" t="s">
        <v>9413</v>
      </c>
      <c r="G3150" s="148" t="s">
        <v>9448</v>
      </c>
      <c r="H3150" t="s">
        <v>9449</v>
      </c>
      <c r="I3150" s="148" t="s">
        <v>9763</v>
      </c>
      <c r="J3150" t="s">
        <v>9764</v>
      </c>
      <c r="K3150" s="148" t="s">
        <v>9765</v>
      </c>
      <c r="L3150" t="s">
        <v>9766</v>
      </c>
      <c r="M3150" t="s">
        <v>10322</v>
      </c>
      <c r="N3150" s="3"/>
      <c r="O3150" s="3">
        <v>2</v>
      </c>
      <c r="P3150" s="3">
        <v>3</v>
      </c>
      <c r="Q3150" s="3">
        <v>3</v>
      </c>
      <c r="R3150" s="3">
        <v>3</v>
      </c>
      <c r="S3150" s="3">
        <v>3</v>
      </c>
      <c r="T3150" t="s">
        <v>4022</v>
      </c>
      <c r="U3150" t="e">
        <v>#N/A</v>
      </c>
      <c r="V3150" t="s">
        <v>10323</v>
      </c>
      <c r="W3150" s="45">
        <v>1</v>
      </c>
      <c r="X3150" s="45">
        <v>1</v>
      </c>
      <c r="Y3150" s="45">
        <v>1</v>
      </c>
      <c r="Z3150" s="45">
        <v>0</v>
      </c>
      <c r="AA3150" s="45">
        <v>0</v>
      </c>
      <c r="AB3150" s="45">
        <v>1</v>
      </c>
      <c r="AC3150" s="150">
        <v>0</v>
      </c>
      <c r="AD3150" s="150">
        <v>1</v>
      </c>
      <c r="AE3150" s="49">
        <f t="shared" si="151"/>
        <v>0.625</v>
      </c>
      <c r="AF3150" s="44"/>
      <c r="AG3150" s="17">
        <v>0</v>
      </c>
      <c r="AH3150" s="44">
        <v>0</v>
      </c>
      <c r="AI3150" s="44" t="s">
        <v>10324</v>
      </c>
      <c r="AJ3150" s="44" t="s">
        <v>10324</v>
      </c>
      <c r="AK3150" s="151">
        <v>0</v>
      </c>
      <c r="AL3150" s="151">
        <v>0</v>
      </c>
      <c r="AM3150" s="17">
        <f t="shared" si="152"/>
        <v>0</v>
      </c>
      <c r="AN3150" t="s">
        <v>869</v>
      </c>
      <c r="AO3150" s="18" t="s">
        <v>871</v>
      </c>
      <c r="AP3150" t="s">
        <v>10325</v>
      </c>
    </row>
    <row r="3151" spans="1:42" customFormat="1" hidden="1" x14ac:dyDescent="0.3">
      <c r="A3151" s="148" t="s">
        <v>8319</v>
      </c>
      <c r="B3151" t="s">
        <v>8320</v>
      </c>
      <c r="C3151" s="148" t="s">
        <v>9410</v>
      </c>
      <c r="D3151" t="s">
        <v>9411</v>
      </c>
      <c r="E3151" s="148" t="s">
        <v>9412</v>
      </c>
      <c r="F3151" t="s">
        <v>9413</v>
      </c>
      <c r="G3151" s="148" t="s">
        <v>9997</v>
      </c>
      <c r="H3151" t="s">
        <v>9998</v>
      </c>
      <c r="I3151" s="148" t="s">
        <v>10326</v>
      </c>
      <c r="J3151" t="s">
        <v>10327</v>
      </c>
      <c r="K3151" s="148" t="s">
        <v>10328</v>
      </c>
      <c r="L3151" t="s">
        <v>10329</v>
      </c>
      <c r="M3151" t="s">
        <v>10330</v>
      </c>
      <c r="N3151" s="3">
        <v>47</v>
      </c>
      <c r="O3151" s="3">
        <v>50</v>
      </c>
      <c r="P3151" s="3">
        <v>53</v>
      </c>
      <c r="Q3151" s="3">
        <v>55</v>
      </c>
      <c r="R3151" s="3">
        <v>58</v>
      </c>
      <c r="S3151" s="3">
        <v>60</v>
      </c>
      <c r="T3151" t="s">
        <v>10331</v>
      </c>
      <c r="U3151" t="e">
        <v>#N/A</v>
      </c>
      <c r="V3151" t="s">
        <v>10332</v>
      </c>
      <c r="W3151" s="45">
        <v>1</v>
      </c>
      <c r="X3151" s="45">
        <v>0</v>
      </c>
      <c r="Y3151" s="45">
        <v>1</v>
      </c>
      <c r="Z3151" s="45">
        <v>1</v>
      </c>
      <c r="AA3151" s="45">
        <v>0</v>
      </c>
      <c r="AB3151" s="45">
        <v>1</v>
      </c>
      <c r="AC3151" s="150">
        <v>1</v>
      </c>
      <c r="AD3151" s="150">
        <v>0</v>
      </c>
      <c r="AE3151" s="49">
        <f t="shared" si="151"/>
        <v>0.625</v>
      </c>
      <c r="AF3151" s="44"/>
      <c r="AG3151" s="17">
        <v>0</v>
      </c>
      <c r="AH3151" s="44">
        <v>0.86</v>
      </c>
      <c r="AI3151" s="44">
        <v>0.91</v>
      </c>
      <c r="AJ3151" s="44">
        <v>0.95</v>
      </c>
      <c r="AK3151" s="151">
        <v>1</v>
      </c>
      <c r="AL3151" s="151">
        <v>1</v>
      </c>
      <c r="AM3151" s="17">
        <f t="shared" si="152"/>
        <v>2</v>
      </c>
      <c r="AN3151" t="s">
        <v>3643</v>
      </c>
      <c r="AO3151" s="18" t="s">
        <v>3630</v>
      </c>
      <c r="AP3151" t="s">
        <v>10333</v>
      </c>
    </row>
    <row r="3152" spans="1:42" customFormat="1" hidden="1" x14ac:dyDescent="0.3">
      <c r="A3152" s="148" t="s">
        <v>8319</v>
      </c>
      <c r="B3152" t="s">
        <v>8320</v>
      </c>
      <c r="C3152" s="148" t="s">
        <v>9410</v>
      </c>
      <c r="D3152" t="s">
        <v>9411</v>
      </c>
      <c r="E3152" s="148" t="s">
        <v>9412</v>
      </c>
      <c r="F3152" t="s">
        <v>9413</v>
      </c>
      <c r="G3152" s="148" t="s">
        <v>10008</v>
      </c>
      <c r="H3152" t="s">
        <v>10009</v>
      </c>
      <c r="K3152" s="148" t="s">
        <v>10010</v>
      </c>
      <c r="L3152" t="s">
        <v>10011</v>
      </c>
      <c r="M3152" t="s">
        <v>10334</v>
      </c>
      <c r="N3152" s="3"/>
      <c r="O3152" s="3">
        <v>100</v>
      </c>
      <c r="P3152" s="3">
        <v>100</v>
      </c>
      <c r="Q3152" s="3">
        <v>100</v>
      </c>
      <c r="R3152" s="3">
        <v>100</v>
      </c>
      <c r="S3152" s="3">
        <v>100</v>
      </c>
      <c r="T3152" t="s">
        <v>9368</v>
      </c>
      <c r="U3152" t="e">
        <v>#N/A</v>
      </c>
      <c r="V3152" t="s">
        <v>10335</v>
      </c>
      <c r="W3152" s="45">
        <v>1</v>
      </c>
      <c r="X3152" s="45">
        <v>0</v>
      </c>
      <c r="Y3152" s="45">
        <v>1</v>
      </c>
      <c r="Z3152" s="45">
        <v>1</v>
      </c>
      <c r="AA3152" s="45">
        <v>0</v>
      </c>
      <c r="AB3152" s="45">
        <v>0</v>
      </c>
      <c r="AC3152" s="150">
        <v>1</v>
      </c>
      <c r="AD3152" s="150">
        <v>1</v>
      </c>
      <c r="AE3152" s="49">
        <f t="shared" si="151"/>
        <v>0.625</v>
      </c>
      <c r="AF3152" s="17"/>
      <c r="AG3152" s="17">
        <v>0</v>
      </c>
      <c r="AH3152" s="17">
        <v>0</v>
      </c>
      <c r="AI3152" s="17">
        <v>0</v>
      </c>
      <c r="AJ3152" s="17">
        <v>0</v>
      </c>
      <c r="AK3152" s="153">
        <v>0</v>
      </c>
      <c r="AL3152" s="154">
        <v>0</v>
      </c>
      <c r="AM3152" s="17">
        <f t="shared" si="152"/>
        <v>0</v>
      </c>
      <c r="AN3152" t="s">
        <v>3643</v>
      </c>
      <c r="AO3152" s="18" t="s">
        <v>3630</v>
      </c>
      <c r="AP3152" t="s">
        <v>10006</v>
      </c>
    </row>
    <row r="3153" spans="1:42" customFormat="1" hidden="1" x14ac:dyDescent="0.3">
      <c r="A3153" s="148" t="s">
        <v>8319</v>
      </c>
      <c r="B3153" t="s">
        <v>8320</v>
      </c>
      <c r="C3153" s="148" t="s">
        <v>9410</v>
      </c>
      <c r="D3153" t="s">
        <v>9411</v>
      </c>
      <c r="E3153" s="148" t="s">
        <v>9412</v>
      </c>
      <c r="F3153" t="s">
        <v>9413</v>
      </c>
      <c r="G3153" s="148" t="s">
        <v>9814</v>
      </c>
      <c r="H3153" t="s">
        <v>9815</v>
      </c>
      <c r="K3153" s="148" t="s">
        <v>10336</v>
      </c>
      <c r="L3153" t="s">
        <v>10337</v>
      </c>
      <c r="N3153" s="3"/>
      <c r="O3153" s="3"/>
      <c r="P3153" s="3"/>
      <c r="Q3153" s="3"/>
      <c r="R3153" s="3"/>
      <c r="S3153" s="3"/>
      <c r="U3153" t="e">
        <v>#N/A</v>
      </c>
      <c r="V3153" t="s">
        <v>10338</v>
      </c>
      <c r="W3153" s="45">
        <v>1</v>
      </c>
      <c r="X3153" s="45">
        <v>0</v>
      </c>
      <c r="Y3153" s="45">
        <v>1</v>
      </c>
      <c r="Z3153" s="45">
        <v>1</v>
      </c>
      <c r="AA3153" s="45">
        <v>1</v>
      </c>
      <c r="AB3153" s="45">
        <v>0</v>
      </c>
      <c r="AC3153" s="150">
        <v>0</v>
      </c>
      <c r="AD3153" s="150">
        <v>1</v>
      </c>
      <c r="AE3153" s="49">
        <f t="shared" si="151"/>
        <v>0.625</v>
      </c>
      <c r="AF3153" s="44"/>
      <c r="AG3153" s="17">
        <v>0</v>
      </c>
      <c r="AH3153" s="44">
        <v>0</v>
      </c>
      <c r="AI3153" s="44">
        <v>0</v>
      </c>
      <c r="AJ3153" s="44">
        <v>10</v>
      </c>
      <c r="AK3153" s="151">
        <v>15</v>
      </c>
      <c r="AL3153" s="151">
        <v>20</v>
      </c>
      <c r="AM3153" s="17">
        <f t="shared" si="152"/>
        <v>35</v>
      </c>
      <c r="AN3153" s="1" t="s">
        <v>3643</v>
      </c>
      <c r="AO3153" s="18" t="s">
        <v>3630</v>
      </c>
      <c r="AP3153" t="s">
        <v>921</v>
      </c>
    </row>
    <row r="3154" spans="1:42" customFormat="1" hidden="1" x14ac:dyDescent="0.3">
      <c r="A3154" s="148" t="s">
        <v>8319</v>
      </c>
      <c r="B3154" t="s">
        <v>8320</v>
      </c>
      <c r="C3154" s="148" t="s">
        <v>9410</v>
      </c>
      <c r="D3154" t="s">
        <v>9411</v>
      </c>
      <c r="E3154" s="148" t="s">
        <v>9412</v>
      </c>
      <c r="F3154" t="s">
        <v>9413</v>
      </c>
      <c r="G3154" s="148" t="s">
        <v>9471</v>
      </c>
      <c r="H3154" t="s">
        <v>9472</v>
      </c>
      <c r="K3154" s="148" t="s">
        <v>9473</v>
      </c>
      <c r="L3154" t="s">
        <v>9474</v>
      </c>
      <c r="M3154" t="s">
        <v>10339</v>
      </c>
      <c r="N3154" s="3"/>
      <c r="O3154" s="3">
        <v>1</v>
      </c>
      <c r="P3154" s="3">
        <v>1</v>
      </c>
      <c r="Q3154" s="3">
        <v>0</v>
      </c>
      <c r="R3154" s="3">
        <v>0</v>
      </c>
      <c r="S3154" s="3">
        <v>0</v>
      </c>
      <c r="T3154" t="s">
        <v>3643</v>
      </c>
      <c r="U3154" t="s">
        <v>3630</v>
      </c>
      <c r="V3154" t="s">
        <v>10340</v>
      </c>
      <c r="W3154" s="45">
        <v>1</v>
      </c>
      <c r="X3154" s="45">
        <v>1</v>
      </c>
      <c r="Y3154" s="45">
        <v>0</v>
      </c>
      <c r="Z3154" s="45">
        <v>1</v>
      </c>
      <c r="AA3154" s="45">
        <v>1</v>
      </c>
      <c r="AB3154" s="45">
        <v>0</v>
      </c>
      <c r="AC3154" s="150">
        <v>0</v>
      </c>
      <c r="AD3154" s="150">
        <v>1</v>
      </c>
      <c r="AE3154" s="49">
        <f t="shared" si="151"/>
        <v>0.625</v>
      </c>
      <c r="AF3154" s="44"/>
      <c r="AG3154" s="17">
        <v>0</v>
      </c>
      <c r="AH3154" s="44">
        <v>10</v>
      </c>
      <c r="AI3154" s="44">
        <v>10</v>
      </c>
      <c r="AJ3154" s="44">
        <v>5</v>
      </c>
      <c r="AK3154" s="151">
        <v>5</v>
      </c>
      <c r="AL3154" s="151">
        <v>5</v>
      </c>
      <c r="AM3154" s="17">
        <f t="shared" si="152"/>
        <v>10</v>
      </c>
      <c r="AN3154" s="1" t="s">
        <v>3643</v>
      </c>
      <c r="AO3154" s="18" t="s">
        <v>3630</v>
      </c>
      <c r="AP3154" t="s">
        <v>10341</v>
      </c>
    </row>
    <row r="3155" spans="1:42" customFormat="1" hidden="1" x14ac:dyDescent="0.3">
      <c r="A3155" s="148" t="s">
        <v>8319</v>
      </c>
      <c r="B3155" t="s">
        <v>8320</v>
      </c>
      <c r="C3155" s="148" t="s">
        <v>9410</v>
      </c>
      <c r="D3155" t="s">
        <v>9411</v>
      </c>
      <c r="E3155" s="148" t="s">
        <v>9412</v>
      </c>
      <c r="F3155" t="s">
        <v>9413</v>
      </c>
      <c r="G3155" s="148" t="s">
        <v>9820</v>
      </c>
      <c r="H3155" t="s">
        <v>9821</v>
      </c>
      <c r="K3155" s="148" t="s">
        <v>10342</v>
      </c>
      <c r="L3155" t="s">
        <v>10343</v>
      </c>
      <c r="N3155" s="3"/>
      <c r="O3155" s="3"/>
      <c r="P3155" s="3"/>
      <c r="Q3155" s="3"/>
      <c r="R3155" s="3"/>
      <c r="S3155" s="3"/>
      <c r="U3155" t="e">
        <v>#N/A</v>
      </c>
      <c r="V3155" t="s">
        <v>10344</v>
      </c>
      <c r="W3155" s="45">
        <v>1</v>
      </c>
      <c r="X3155" s="45">
        <v>0</v>
      </c>
      <c r="Y3155" s="45">
        <v>1</v>
      </c>
      <c r="Z3155" s="45">
        <v>1</v>
      </c>
      <c r="AA3155" s="45">
        <v>0</v>
      </c>
      <c r="AB3155" s="45">
        <v>0</v>
      </c>
      <c r="AC3155" s="150">
        <v>1</v>
      </c>
      <c r="AD3155" s="150">
        <v>1</v>
      </c>
      <c r="AE3155" s="49">
        <f t="shared" si="151"/>
        <v>0.625</v>
      </c>
      <c r="AF3155" s="44"/>
      <c r="AG3155" s="17">
        <v>0</v>
      </c>
      <c r="AH3155" s="44">
        <v>0.1</v>
      </c>
      <c r="AI3155" s="17">
        <v>0</v>
      </c>
      <c r="AJ3155" s="17">
        <v>0</v>
      </c>
      <c r="AK3155" s="153">
        <v>8</v>
      </c>
      <c r="AL3155" s="154">
        <v>0</v>
      </c>
      <c r="AM3155" s="17">
        <f t="shared" si="152"/>
        <v>8</v>
      </c>
      <c r="AN3155" t="s">
        <v>3643</v>
      </c>
      <c r="AO3155" s="18" t="s">
        <v>3630</v>
      </c>
      <c r="AP3155" t="s">
        <v>1893</v>
      </c>
    </row>
    <row r="3156" spans="1:42" customFormat="1" hidden="1" x14ac:dyDescent="0.3">
      <c r="A3156" s="148" t="s">
        <v>8319</v>
      </c>
      <c r="B3156" t="s">
        <v>8320</v>
      </c>
      <c r="C3156" s="148" t="s">
        <v>9410</v>
      </c>
      <c r="D3156" t="s">
        <v>9411</v>
      </c>
      <c r="E3156" s="148" t="s">
        <v>9412</v>
      </c>
      <c r="F3156" t="s">
        <v>9413</v>
      </c>
      <c r="G3156" s="148" t="s">
        <v>9820</v>
      </c>
      <c r="H3156" t="s">
        <v>9821</v>
      </c>
      <c r="K3156" s="155" t="s">
        <v>10345</v>
      </c>
      <c r="L3156" t="s">
        <v>10346</v>
      </c>
      <c r="N3156" s="3"/>
      <c r="O3156" s="3"/>
      <c r="P3156" s="3"/>
      <c r="Q3156" s="3"/>
      <c r="R3156" s="3"/>
      <c r="S3156" s="3"/>
      <c r="U3156" t="e">
        <v>#N/A</v>
      </c>
      <c r="V3156" t="s">
        <v>10347</v>
      </c>
      <c r="W3156" s="45">
        <v>1</v>
      </c>
      <c r="X3156" s="45">
        <v>0</v>
      </c>
      <c r="Y3156" s="45">
        <v>0</v>
      </c>
      <c r="Z3156" s="45">
        <v>1</v>
      </c>
      <c r="AA3156" s="45">
        <v>1</v>
      </c>
      <c r="AB3156" s="45">
        <v>0</v>
      </c>
      <c r="AC3156" s="150">
        <v>1</v>
      </c>
      <c r="AD3156" s="150">
        <v>1</v>
      </c>
      <c r="AE3156" s="49">
        <f t="shared" si="151"/>
        <v>0.625</v>
      </c>
      <c r="AF3156" s="44"/>
      <c r="AG3156" s="17">
        <v>0</v>
      </c>
      <c r="AH3156" s="44">
        <v>0.3</v>
      </c>
      <c r="AI3156" s="44">
        <v>0.3</v>
      </c>
      <c r="AJ3156" s="44">
        <v>0.3</v>
      </c>
      <c r="AK3156" s="151">
        <v>0.3</v>
      </c>
      <c r="AL3156" s="151">
        <v>0.3</v>
      </c>
      <c r="AM3156" s="17">
        <f t="shared" si="152"/>
        <v>0.6</v>
      </c>
      <c r="AN3156" t="s">
        <v>3643</v>
      </c>
      <c r="AO3156" s="18" t="s">
        <v>3630</v>
      </c>
      <c r="AP3156" t="s">
        <v>9813</v>
      </c>
    </row>
    <row r="3157" spans="1:42" customFormat="1" hidden="1" x14ac:dyDescent="0.3">
      <c r="A3157" s="148" t="s">
        <v>8319</v>
      </c>
      <c r="B3157" t="s">
        <v>8320</v>
      </c>
      <c r="C3157" s="148" t="s">
        <v>9410</v>
      </c>
      <c r="D3157" t="s">
        <v>9411</v>
      </c>
      <c r="E3157" s="148" t="s">
        <v>9412</v>
      </c>
      <c r="F3157" t="s">
        <v>9413</v>
      </c>
      <c r="G3157" s="148" t="s">
        <v>9820</v>
      </c>
      <c r="H3157" t="s">
        <v>9821</v>
      </c>
      <c r="K3157" s="155" t="s">
        <v>10021</v>
      </c>
      <c r="L3157" t="s">
        <v>10022</v>
      </c>
      <c r="N3157" s="3"/>
      <c r="O3157" s="3"/>
      <c r="P3157" s="3"/>
      <c r="Q3157" s="3"/>
      <c r="R3157" s="3"/>
      <c r="S3157" s="3"/>
      <c r="U3157" t="e">
        <v>#N/A</v>
      </c>
      <c r="V3157" t="s">
        <v>10348</v>
      </c>
      <c r="W3157" s="45">
        <v>1</v>
      </c>
      <c r="X3157" s="45">
        <v>0</v>
      </c>
      <c r="Y3157" s="45">
        <v>0</v>
      </c>
      <c r="Z3157" s="45">
        <v>1</v>
      </c>
      <c r="AA3157" s="45">
        <v>1</v>
      </c>
      <c r="AB3157" s="45">
        <v>0</v>
      </c>
      <c r="AC3157" s="150">
        <v>1</v>
      </c>
      <c r="AD3157" s="150">
        <v>1</v>
      </c>
      <c r="AE3157" s="49">
        <f t="shared" si="151"/>
        <v>0.625</v>
      </c>
      <c r="AF3157" s="17"/>
      <c r="AG3157" s="17">
        <v>0</v>
      </c>
      <c r="AH3157" s="17">
        <v>0</v>
      </c>
      <c r="AI3157" s="17">
        <v>0</v>
      </c>
      <c r="AJ3157" s="17">
        <v>0</v>
      </c>
      <c r="AK3157" s="153">
        <v>5</v>
      </c>
      <c r="AL3157" s="154">
        <v>5</v>
      </c>
      <c r="AM3157" s="17">
        <f t="shared" si="152"/>
        <v>10</v>
      </c>
      <c r="AN3157" t="s">
        <v>3643</v>
      </c>
      <c r="AO3157" s="18" t="s">
        <v>3630</v>
      </c>
      <c r="AP3157" t="s">
        <v>255</v>
      </c>
    </row>
    <row r="3158" spans="1:42" customFormat="1" hidden="1" x14ac:dyDescent="0.3">
      <c r="A3158" s="148" t="s">
        <v>8319</v>
      </c>
      <c r="B3158" t="s">
        <v>8320</v>
      </c>
      <c r="C3158" s="148" t="s">
        <v>9410</v>
      </c>
      <c r="D3158" t="s">
        <v>9411</v>
      </c>
      <c r="E3158" s="148" t="s">
        <v>9412</v>
      </c>
      <c r="F3158" t="s">
        <v>9413</v>
      </c>
      <c r="G3158" s="148" t="s">
        <v>9820</v>
      </c>
      <c r="H3158" t="s">
        <v>9821</v>
      </c>
      <c r="K3158" s="155" t="s">
        <v>10021</v>
      </c>
      <c r="L3158" t="s">
        <v>10022</v>
      </c>
      <c r="N3158" s="3"/>
      <c r="O3158" s="3"/>
      <c r="P3158" s="3"/>
      <c r="Q3158" s="3"/>
      <c r="R3158" s="3"/>
      <c r="S3158" s="3"/>
      <c r="U3158" t="e">
        <v>#N/A</v>
      </c>
      <c r="V3158" t="s">
        <v>10349</v>
      </c>
      <c r="W3158" s="45">
        <v>1</v>
      </c>
      <c r="X3158" s="45">
        <v>0</v>
      </c>
      <c r="Y3158" s="45">
        <v>0</v>
      </c>
      <c r="Z3158" s="45">
        <v>1</v>
      </c>
      <c r="AA3158" s="45">
        <v>1</v>
      </c>
      <c r="AB3158" s="45">
        <v>1</v>
      </c>
      <c r="AC3158" s="150">
        <v>0</v>
      </c>
      <c r="AD3158" s="150">
        <v>1</v>
      </c>
      <c r="AE3158" s="49">
        <f t="shared" si="151"/>
        <v>0.625</v>
      </c>
      <c r="AF3158" s="17"/>
      <c r="AG3158" s="17">
        <v>0</v>
      </c>
      <c r="AH3158" s="17">
        <v>0</v>
      </c>
      <c r="AI3158" s="17">
        <v>0</v>
      </c>
      <c r="AJ3158" s="17">
        <v>0</v>
      </c>
      <c r="AK3158" s="153">
        <v>0</v>
      </c>
      <c r="AL3158" s="154">
        <v>0</v>
      </c>
      <c r="AM3158" s="17">
        <f t="shared" si="152"/>
        <v>0</v>
      </c>
      <c r="AN3158" t="s">
        <v>3643</v>
      </c>
      <c r="AO3158" s="18" t="s">
        <v>3630</v>
      </c>
      <c r="AP3158" t="s">
        <v>10350</v>
      </c>
    </row>
    <row r="3159" spans="1:42" customFormat="1" hidden="1" x14ac:dyDescent="0.3">
      <c r="A3159" s="148" t="s">
        <v>8319</v>
      </c>
      <c r="B3159" t="s">
        <v>8320</v>
      </c>
      <c r="C3159" s="148" t="s">
        <v>9410</v>
      </c>
      <c r="D3159" t="s">
        <v>9411</v>
      </c>
      <c r="E3159" s="148" t="s">
        <v>9412</v>
      </c>
      <c r="F3159" t="s">
        <v>9413</v>
      </c>
      <c r="G3159" s="148" t="s">
        <v>9820</v>
      </c>
      <c r="H3159" t="s">
        <v>9821</v>
      </c>
      <c r="K3159" s="155" t="s">
        <v>10021</v>
      </c>
      <c r="L3159" t="s">
        <v>10022</v>
      </c>
      <c r="N3159" s="3"/>
      <c r="O3159" s="3"/>
      <c r="P3159" s="3"/>
      <c r="Q3159" s="3"/>
      <c r="R3159" s="3"/>
      <c r="S3159" s="3"/>
      <c r="U3159" t="e">
        <v>#N/A</v>
      </c>
      <c r="V3159" t="s">
        <v>10351</v>
      </c>
      <c r="W3159" s="45">
        <v>1</v>
      </c>
      <c r="X3159" s="45">
        <v>0</v>
      </c>
      <c r="Y3159" s="45">
        <v>0</v>
      </c>
      <c r="Z3159" s="45">
        <v>1</v>
      </c>
      <c r="AA3159" s="45">
        <v>1</v>
      </c>
      <c r="AB3159" s="45">
        <v>1</v>
      </c>
      <c r="AC3159" s="150">
        <v>0</v>
      </c>
      <c r="AD3159" s="150">
        <v>1</v>
      </c>
      <c r="AE3159" s="49">
        <f t="shared" si="151"/>
        <v>0.625</v>
      </c>
      <c r="AF3159" s="44"/>
      <c r="AG3159" s="17">
        <v>0</v>
      </c>
      <c r="AH3159" s="44">
        <v>10</v>
      </c>
      <c r="AI3159" s="44">
        <v>0.5</v>
      </c>
      <c r="AJ3159" s="44">
        <v>0</v>
      </c>
      <c r="AK3159" s="151">
        <v>0</v>
      </c>
      <c r="AL3159" s="151">
        <v>0</v>
      </c>
      <c r="AM3159" s="17">
        <f t="shared" si="152"/>
        <v>0</v>
      </c>
      <c r="AN3159" t="s">
        <v>5698</v>
      </c>
      <c r="AO3159" s="18" t="s">
        <v>2019</v>
      </c>
      <c r="AP3159" t="s">
        <v>10352</v>
      </c>
    </row>
    <row r="3160" spans="1:42" customFormat="1" hidden="1" x14ac:dyDescent="0.3">
      <c r="A3160" s="148" t="s">
        <v>8319</v>
      </c>
      <c r="B3160" t="s">
        <v>8320</v>
      </c>
      <c r="C3160" s="148" t="s">
        <v>9410</v>
      </c>
      <c r="D3160" t="s">
        <v>9411</v>
      </c>
      <c r="E3160" s="148" t="s">
        <v>9412</v>
      </c>
      <c r="F3160" t="s">
        <v>9413</v>
      </c>
      <c r="G3160" s="148" t="s">
        <v>9479</v>
      </c>
      <c r="H3160" t="s">
        <v>9480</v>
      </c>
      <c r="K3160" s="148" t="s">
        <v>10353</v>
      </c>
      <c r="L3160" t="s">
        <v>10354</v>
      </c>
      <c r="M3160" t="s">
        <v>10355</v>
      </c>
      <c r="N3160" s="3"/>
      <c r="O3160" s="3">
        <v>0.75</v>
      </c>
      <c r="P3160" s="3">
        <v>0.8</v>
      </c>
      <c r="Q3160" s="3">
        <v>0.85</v>
      </c>
      <c r="R3160" s="3">
        <v>0.9</v>
      </c>
      <c r="S3160" s="3">
        <v>1</v>
      </c>
      <c r="T3160" t="s">
        <v>9489</v>
      </c>
      <c r="U3160" t="e">
        <v>#N/A</v>
      </c>
      <c r="V3160" t="s">
        <v>10356</v>
      </c>
      <c r="W3160" s="45">
        <v>1</v>
      </c>
      <c r="X3160" s="45">
        <v>0</v>
      </c>
      <c r="Y3160" s="45">
        <v>0</v>
      </c>
      <c r="Z3160" s="45">
        <v>1</v>
      </c>
      <c r="AA3160" s="45">
        <v>1</v>
      </c>
      <c r="AB3160" s="45">
        <v>1</v>
      </c>
      <c r="AC3160" s="150">
        <v>1</v>
      </c>
      <c r="AD3160" s="150">
        <v>0</v>
      </c>
      <c r="AE3160" s="49">
        <f t="shared" si="151"/>
        <v>0.625</v>
      </c>
      <c r="AF3160" s="44"/>
      <c r="AG3160" s="17">
        <v>0</v>
      </c>
      <c r="AH3160" s="44">
        <v>0</v>
      </c>
      <c r="AI3160" s="44">
        <v>0</v>
      </c>
      <c r="AJ3160" s="44">
        <v>0</v>
      </c>
      <c r="AK3160" s="151">
        <v>0</v>
      </c>
      <c r="AL3160" s="151">
        <v>0</v>
      </c>
      <c r="AM3160" s="17">
        <f t="shared" si="152"/>
        <v>0</v>
      </c>
      <c r="AN3160" s="44" t="s">
        <v>9491</v>
      </c>
      <c r="AO3160" s="18" t="s">
        <v>9492</v>
      </c>
      <c r="AP3160" t="s">
        <v>10357</v>
      </c>
    </row>
    <row r="3161" spans="1:42" customFormat="1" hidden="1" x14ac:dyDescent="0.3">
      <c r="A3161" s="148" t="s">
        <v>8319</v>
      </c>
      <c r="B3161" t="s">
        <v>8320</v>
      </c>
      <c r="C3161" s="148" t="s">
        <v>9410</v>
      </c>
      <c r="D3161" t="s">
        <v>9411</v>
      </c>
      <c r="E3161" s="148" t="s">
        <v>9412</v>
      </c>
      <c r="F3161" t="s">
        <v>9413</v>
      </c>
      <c r="G3161" s="148" t="s">
        <v>9479</v>
      </c>
      <c r="H3161" t="s">
        <v>9480</v>
      </c>
      <c r="K3161" s="155" t="s">
        <v>10358</v>
      </c>
      <c r="L3161" t="s">
        <v>10354</v>
      </c>
      <c r="N3161" s="3"/>
      <c r="O3161" s="3"/>
      <c r="P3161" s="3"/>
      <c r="Q3161" s="3"/>
      <c r="R3161" s="3"/>
      <c r="S3161" s="3"/>
      <c r="U3161" t="e">
        <v>#N/A</v>
      </c>
      <c r="V3161" t="s">
        <v>10359</v>
      </c>
      <c r="W3161" s="45">
        <v>1</v>
      </c>
      <c r="X3161" s="45">
        <v>1</v>
      </c>
      <c r="Y3161" s="45">
        <v>0</v>
      </c>
      <c r="Z3161" s="45">
        <v>1</v>
      </c>
      <c r="AA3161" s="45">
        <v>1</v>
      </c>
      <c r="AB3161" s="45">
        <v>0</v>
      </c>
      <c r="AC3161" s="150">
        <v>0</v>
      </c>
      <c r="AD3161" s="150">
        <v>1</v>
      </c>
      <c r="AE3161" s="49">
        <f t="shared" si="151"/>
        <v>0.625</v>
      </c>
      <c r="AF3161" s="17"/>
      <c r="AG3161" s="17">
        <v>0</v>
      </c>
      <c r="AH3161" s="17">
        <v>0</v>
      </c>
      <c r="AI3161" s="17">
        <v>0</v>
      </c>
      <c r="AJ3161" s="17">
        <v>0</v>
      </c>
      <c r="AK3161" s="153">
        <v>0.5</v>
      </c>
      <c r="AL3161" s="154">
        <v>0.5</v>
      </c>
      <c r="AM3161" s="17">
        <f t="shared" si="152"/>
        <v>1</v>
      </c>
      <c r="AN3161" s="44" t="s">
        <v>9491</v>
      </c>
      <c r="AO3161" s="18" t="s">
        <v>9492</v>
      </c>
      <c r="AP3161" t="s">
        <v>3643</v>
      </c>
    </row>
    <row r="3162" spans="1:42" customFormat="1" hidden="1" x14ac:dyDescent="0.3">
      <c r="A3162" s="148" t="s">
        <v>8319</v>
      </c>
      <c r="B3162" t="s">
        <v>8320</v>
      </c>
      <c r="C3162" s="148" t="s">
        <v>9496</v>
      </c>
      <c r="D3162" t="s">
        <v>9497</v>
      </c>
      <c r="E3162" s="148" t="s">
        <v>9498</v>
      </c>
      <c r="F3162" t="s">
        <v>9499</v>
      </c>
      <c r="G3162" s="148" t="s">
        <v>9500</v>
      </c>
      <c r="H3162" t="s">
        <v>9501</v>
      </c>
      <c r="K3162" s="148" t="s">
        <v>10360</v>
      </c>
      <c r="L3162" t="s">
        <v>10361</v>
      </c>
      <c r="M3162" t="s">
        <v>10362</v>
      </c>
      <c r="N3162" s="3">
        <v>0</v>
      </c>
      <c r="O3162" s="3">
        <v>0</v>
      </c>
      <c r="P3162" s="3">
        <v>156</v>
      </c>
      <c r="Q3162" s="3">
        <v>321</v>
      </c>
      <c r="R3162" s="3">
        <v>493</v>
      </c>
      <c r="S3162" s="3">
        <v>505</v>
      </c>
      <c r="T3162" t="s">
        <v>10363</v>
      </c>
      <c r="U3162" t="e">
        <v>#N/A</v>
      </c>
      <c r="V3162" t="s">
        <v>10364</v>
      </c>
      <c r="W3162" s="45">
        <v>1</v>
      </c>
      <c r="X3162" s="45">
        <v>1</v>
      </c>
      <c r="Y3162" s="45">
        <v>1</v>
      </c>
      <c r="Z3162" s="45">
        <v>0</v>
      </c>
      <c r="AA3162" s="45">
        <v>0</v>
      </c>
      <c r="AB3162" s="45">
        <v>1</v>
      </c>
      <c r="AC3162" s="150">
        <v>0</v>
      </c>
      <c r="AD3162" s="150">
        <v>1</v>
      </c>
      <c r="AE3162" s="49">
        <f t="shared" ref="AE3162:AE3225" si="153">SUM(W3162:AD3162)/8</f>
        <v>0.625</v>
      </c>
      <c r="AF3162" s="44"/>
      <c r="AG3162" s="17">
        <v>0</v>
      </c>
      <c r="AH3162" s="44">
        <v>0</v>
      </c>
      <c r="AI3162" s="44">
        <v>0</v>
      </c>
      <c r="AJ3162" s="44">
        <v>0</v>
      </c>
      <c r="AK3162" s="151">
        <v>5</v>
      </c>
      <c r="AL3162" s="151">
        <v>5</v>
      </c>
      <c r="AM3162" s="17">
        <f t="shared" ref="AM3162:AM3225" si="154">SUM(AK3162:AL3162)</f>
        <v>10</v>
      </c>
      <c r="AN3162" s="18" t="s">
        <v>771</v>
      </c>
      <c r="AO3162" s="18" t="s">
        <v>773</v>
      </c>
      <c r="AP3162" t="s">
        <v>723</v>
      </c>
    </row>
    <row r="3163" spans="1:42" customFormat="1" hidden="1" x14ac:dyDescent="0.3">
      <c r="A3163" s="148" t="s">
        <v>8319</v>
      </c>
      <c r="B3163" t="s">
        <v>8320</v>
      </c>
      <c r="C3163" s="148" t="s">
        <v>9496</v>
      </c>
      <c r="D3163" t="s">
        <v>9497</v>
      </c>
      <c r="E3163" s="148" t="s">
        <v>9498</v>
      </c>
      <c r="F3163" t="s">
        <v>9499</v>
      </c>
      <c r="G3163" s="148" t="s">
        <v>9500</v>
      </c>
      <c r="H3163" t="s">
        <v>9501</v>
      </c>
      <c r="K3163" s="148" t="s">
        <v>9840</v>
      </c>
      <c r="L3163" t="s">
        <v>9841</v>
      </c>
      <c r="M3163" t="s">
        <v>10365</v>
      </c>
      <c r="N3163" s="3">
        <v>0</v>
      </c>
      <c r="O3163" s="3">
        <v>1</v>
      </c>
      <c r="P3163" s="3">
        <v>1</v>
      </c>
      <c r="Q3163" s="3">
        <v>1</v>
      </c>
      <c r="R3163" s="3">
        <v>1</v>
      </c>
      <c r="S3163" s="3">
        <v>1</v>
      </c>
      <c r="T3163" t="s">
        <v>771</v>
      </c>
      <c r="U3163" t="s">
        <v>773</v>
      </c>
      <c r="V3163" t="s">
        <v>10366</v>
      </c>
      <c r="W3163" s="45">
        <v>1</v>
      </c>
      <c r="X3163" s="45">
        <v>1</v>
      </c>
      <c r="Y3163" s="45">
        <v>1</v>
      </c>
      <c r="Z3163" s="45">
        <v>0</v>
      </c>
      <c r="AA3163" s="45">
        <v>0</v>
      </c>
      <c r="AB3163" s="45">
        <v>1</v>
      </c>
      <c r="AC3163" s="150">
        <v>1</v>
      </c>
      <c r="AD3163" s="150">
        <v>0</v>
      </c>
      <c r="AE3163" s="49">
        <f t="shared" si="153"/>
        <v>0.625</v>
      </c>
      <c r="AF3163" s="44"/>
      <c r="AG3163" s="17">
        <v>0</v>
      </c>
      <c r="AH3163" s="44">
        <v>0</v>
      </c>
      <c r="AI3163" s="44">
        <v>0</v>
      </c>
      <c r="AJ3163" s="44">
        <v>0</v>
      </c>
      <c r="AK3163" s="151">
        <v>0</v>
      </c>
      <c r="AL3163" s="151">
        <v>0</v>
      </c>
      <c r="AM3163" s="17">
        <f t="shared" si="154"/>
        <v>0</v>
      </c>
      <c r="AN3163" s="18" t="s">
        <v>771</v>
      </c>
      <c r="AO3163" s="18" t="s">
        <v>773</v>
      </c>
      <c r="AP3163" t="s">
        <v>119</v>
      </c>
    </row>
    <row r="3164" spans="1:42" customFormat="1" hidden="1" x14ac:dyDescent="0.3">
      <c r="A3164" s="148" t="s">
        <v>8319</v>
      </c>
      <c r="B3164" t="s">
        <v>8320</v>
      </c>
      <c r="C3164" s="148" t="s">
        <v>9496</v>
      </c>
      <c r="D3164" t="s">
        <v>9497</v>
      </c>
      <c r="E3164" s="148" t="s">
        <v>9498</v>
      </c>
      <c r="F3164" t="s">
        <v>9499</v>
      </c>
      <c r="G3164" s="148" t="s">
        <v>9500</v>
      </c>
      <c r="H3164" t="s">
        <v>9501</v>
      </c>
      <c r="K3164" s="148" t="s">
        <v>10367</v>
      </c>
      <c r="L3164" t="s">
        <v>10368</v>
      </c>
      <c r="M3164" t="s">
        <v>10037</v>
      </c>
      <c r="N3164" s="3">
        <v>5000</v>
      </c>
      <c r="O3164" s="3">
        <v>2000</v>
      </c>
      <c r="P3164" s="3">
        <v>2000</v>
      </c>
      <c r="Q3164" s="3">
        <v>2000</v>
      </c>
      <c r="R3164" s="3">
        <v>2000</v>
      </c>
      <c r="S3164" s="3">
        <v>2000</v>
      </c>
      <c r="T3164" t="s">
        <v>1536</v>
      </c>
      <c r="U3164" t="e">
        <v>#N/A</v>
      </c>
      <c r="V3164" t="s">
        <v>10369</v>
      </c>
      <c r="W3164" s="45">
        <v>1</v>
      </c>
      <c r="X3164" s="45">
        <v>0</v>
      </c>
      <c r="Y3164" s="45">
        <v>0</v>
      </c>
      <c r="Z3164" s="45">
        <v>1</v>
      </c>
      <c r="AA3164" s="45">
        <v>1</v>
      </c>
      <c r="AB3164" s="45">
        <v>0</v>
      </c>
      <c r="AC3164" s="150">
        <v>1</v>
      </c>
      <c r="AD3164" s="150">
        <v>1</v>
      </c>
      <c r="AE3164" s="49">
        <f t="shared" si="153"/>
        <v>0.625</v>
      </c>
      <c r="AF3164" s="44"/>
      <c r="AG3164" s="17">
        <v>0</v>
      </c>
      <c r="AH3164" s="44">
        <v>0.5</v>
      </c>
      <c r="AI3164" s="44">
        <v>0.5</v>
      </c>
      <c r="AJ3164" s="44">
        <v>0.5</v>
      </c>
      <c r="AK3164" s="151">
        <v>0.5</v>
      </c>
      <c r="AL3164" s="151">
        <v>0.5</v>
      </c>
      <c r="AM3164" s="17">
        <f t="shared" si="154"/>
        <v>1</v>
      </c>
      <c r="AN3164" s="18" t="s">
        <v>771</v>
      </c>
      <c r="AO3164" s="18" t="s">
        <v>773</v>
      </c>
      <c r="AP3164" t="s">
        <v>1563</v>
      </c>
    </row>
    <row r="3165" spans="1:42" customFormat="1" hidden="1" x14ac:dyDescent="0.3">
      <c r="A3165" s="148" t="s">
        <v>8319</v>
      </c>
      <c r="B3165" t="s">
        <v>8320</v>
      </c>
      <c r="C3165" s="148" t="s">
        <v>9496</v>
      </c>
      <c r="D3165" t="s">
        <v>9497</v>
      </c>
      <c r="E3165" s="148" t="s">
        <v>9498</v>
      </c>
      <c r="F3165" t="s">
        <v>9499</v>
      </c>
      <c r="G3165" s="148" t="s">
        <v>9500</v>
      </c>
      <c r="H3165" t="s">
        <v>9501</v>
      </c>
      <c r="K3165" s="148" t="s">
        <v>10370</v>
      </c>
      <c r="L3165" t="s">
        <v>10371</v>
      </c>
      <c r="M3165" t="s">
        <v>10372</v>
      </c>
      <c r="N3165" s="3">
        <v>0</v>
      </c>
      <c r="O3165" s="3">
        <v>0</v>
      </c>
      <c r="P3165" s="3">
        <v>16</v>
      </c>
      <c r="Q3165" s="3">
        <v>0</v>
      </c>
      <c r="R3165" s="3">
        <v>0</v>
      </c>
      <c r="S3165" s="3">
        <v>0</v>
      </c>
      <c r="T3165" t="s">
        <v>10373</v>
      </c>
      <c r="U3165" t="e">
        <v>#N/A</v>
      </c>
      <c r="V3165" t="s">
        <v>10374</v>
      </c>
      <c r="W3165" s="45">
        <v>1</v>
      </c>
      <c r="X3165" s="45">
        <v>0</v>
      </c>
      <c r="Y3165" s="45">
        <v>0</v>
      </c>
      <c r="Z3165" s="45">
        <v>1</v>
      </c>
      <c r="AA3165" s="45">
        <v>1</v>
      </c>
      <c r="AB3165" s="45">
        <v>0</v>
      </c>
      <c r="AC3165" s="150">
        <v>1</v>
      </c>
      <c r="AD3165" s="150">
        <v>1</v>
      </c>
      <c r="AE3165" s="49">
        <f t="shared" si="153"/>
        <v>0.625</v>
      </c>
      <c r="AF3165" s="44"/>
      <c r="AG3165" s="17">
        <v>0</v>
      </c>
      <c r="AH3165" s="44">
        <v>0</v>
      </c>
      <c r="AI3165" s="44">
        <v>0.04</v>
      </c>
      <c r="AJ3165" s="44">
        <v>0</v>
      </c>
      <c r="AK3165" s="151">
        <v>0</v>
      </c>
      <c r="AL3165" s="151">
        <v>0</v>
      </c>
      <c r="AM3165" s="17">
        <f t="shared" si="154"/>
        <v>0</v>
      </c>
      <c r="AN3165" s="44" t="s">
        <v>771</v>
      </c>
      <c r="AO3165" s="18" t="s">
        <v>773</v>
      </c>
      <c r="AP3165" t="s">
        <v>10375</v>
      </c>
    </row>
    <row r="3166" spans="1:42" customFormat="1" hidden="1" x14ac:dyDescent="0.3">
      <c r="A3166" s="148" t="s">
        <v>8319</v>
      </c>
      <c r="B3166" t="s">
        <v>8320</v>
      </c>
      <c r="C3166" s="148" t="s">
        <v>9496</v>
      </c>
      <c r="D3166" t="s">
        <v>9497</v>
      </c>
      <c r="E3166" s="148" t="s">
        <v>9498</v>
      </c>
      <c r="F3166" t="s">
        <v>9499</v>
      </c>
      <c r="G3166" s="148" t="s">
        <v>9500</v>
      </c>
      <c r="H3166" t="s">
        <v>9501</v>
      </c>
      <c r="K3166" s="148" t="s">
        <v>10376</v>
      </c>
      <c r="L3166" t="s">
        <v>10377</v>
      </c>
      <c r="M3166" t="s">
        <v>10378</v>
      </c>
      <c r="N3166" s="3">
        <v>0</v>
      </c>
      <c r="O3166" s="3">
        <v>0</v>
      </c>
      <c r="P3166" s="3">
        <v>490</v>
      </c>
      <c r="Q3166" s="3">
        <v>0</v>
      </c>
      <c r="R3166" s="3">
        <v>0</v>
      </c>
      <c r="S3166" s="3">
        <v>0</v>
      </c>
      <c r="T3166" t="s">
        <v>10373</v>
      </c>
      <c r="U3166" t="e">
        <v>#N/A</v>
      </c>
      <c r="V3166" t="s">
        <v>10379</v>
      </c>
      <c r="W3166" s="45">
        <v>1</v>
      </c>
      <c r="X3166" s="45">
        <v>0</v>
      </c>
      <c r="Y3166" s="45">
        <v>0</v>
      </c>
      <c r="Z3166" s="45">
        <v>1</v>
      </c>
      <c r="AA3166" s="45">
        <v>1</v>
      </c>
      <c r="AB3166" s="45">
        <v>0</v>
      </c>
      <c r="AC3166" s="150">
        <v>1</v>
      </c>
      <c r="AD3166" s="150">
        <v>1</v>
      </c>
      <c r="AE3166" s="49">
        <f t="shared" si="153"/>
        <v>0.625</v>
      </c>
      <c r="AF3166" s="44"/>
      <c r="AG3166" s="17">
        <v>0</v>
      </c>
      <c r="AH3166" s="44">
        <v>0</v>
      </c>
      <c r="AI3166" s="44">
        <v>0.3</v>
      </c>
      <c r="AJ3166" s="44">
        <v>0</v>
      </c>
      <c r="AK3166" s="151">
        <v>0</v>
      </c>
      <c r="AL3166" s="151">
        <v>0</v>
      </c>
      <c r="AM3166" s="17">
        <f t="shared" si="154"/>
        <v>0</v>
      </c>
      <c r="AN3166" s="44" t="s">
        <v>771</v>
      </c>
      <c r="AO3166" s="18" t="s">
        <v>773</v>
      </c>
      <c r="AP3166" t="s">
        <v>10375</v>
      </c>
    </row>
    <row r="3167" spans="1:42" customFormat="1" hidden="1" x14ac:dyDescent="0.3">
      <c r="A3167" s="148" t="s">
        <v>8319</v>
      </c>
      <c r="B3167" t="s">
        <v>8320</v>
      </c>
      <c r="C3167" s="148" t="s">
        <v>9496</v>
      </c>
      <c r="D3167" t="s">
        <v>9497</v>
      </c>
      <c r="E3167" s="148" t="s">
        <v>9498</v>
      </c>
      <c r="F3167" t="s">
        <v>9499</v>
      </c>
      <c r="G3167" s="148" t="s">
        <v>9538</v>
      </c>
      <c r="H3167" t="s">
        <v>9539</v>
      </c>
      <c r="K3167" s="148" t="s">
        <v>9540</v>
      </c>
      <c r="L3167" t="s">
        <v>9541</v>
      </c>
      <c r="M3167" t="s">
        <v>10380</v>
      </c>
      <c r="N3167" s="3">
        <v>35</v>
      </c>
      <c r="O3167" s="3">
        <v>36</v>
      </c>
      <c r="P3167" s="3">
        <v>37</v>
      </c>
      <c r="Q3167" s="3">
        <v>38</v>
      </c>
      <c r="R3167" s="3">
        <v>39</v>
      </c>
      <c r="S3167" s="3">
        <v>40</v>
      </c>
      <c r="T3167" t="s">
        <v>771</v>
      </c>
      <c r="U3167" t="s">
        <v>773</v>
      </c>
      <c r="V3167" t="s">
        <v>10381</v>
      </c>
      <c r="W3167" s="45">
        <v>1</v>
      </c>
      <c r="X3167" s="45">
        <v>0</v>
      </c>
      <c r="Y3167" s="45">
        <v>0</v>
      </c>
      <c r="Z3167" s="45">
        <v>1</v>
      </c>
      <c r="AA3167" s="45">
        <v>1</v>
      </c>
      <c r="AB3167" s="45">
        <v>0</v>
      </c>
      <c r="AC3167" s="150">
        <v>1</v>
      </c>
      <c r="AD3167" s="150">
        <v>1</v>
      </c>
      <c r="AE3167" s="49">
        <f t="shared" si="153"/>
        <v>0.625</v>
      </c>
      <c r="AF3167" s="44"/>
      <c r="AG3167" s="17">
        <v>0</v>
      </c>
      <c r="AH3167" s="44">
        <v>1.5</v>
      </c>
      <c r="AI3167" s="44">
        <v>1.5</v>
      </c>
      <c r="AJ3167" s="44">
        <v>1.5</v>
      </c>
      <c r="AK3167" s="151">
        <v>1.5</v>
      </c>
      <c r="AL3167" s="151">
        <v>1.5</v>
      </c>
      <c r="AM3167" s="17">
        <f t="shared" si="154"/>
        <v>3</v>
      </c>
      <c r="AN3167" s="18" t="s">
        <v>771</v>
      </c>
      <c r="AO3167" s="18" t="s">
        <v>773</v>
      </c>
      <c r="AP3167" t="s">
        <v>1563</v>
      </c>
    </row>
    <row r="3168" spans="1:42" customFormat="1" hidden="1" x14ac:dyDescent="0.3">
      <c r="A3168" s="148" t="s">
        <v>8319</v>
      </c>
      <c r="B3168" t="s">
        <v>8320</v>
      </c>
      <c r="C3168" s="148" t="s">
        <v>9496</v>
      </c>
      <c r="D3168" t="s">
        <v>9497</v>
      </c>
      <c r="E3168" s="148" t="s">
        <v>9498</v>
      </c>
      <c r="F3168" t="s">
        <v>9499</v>
      </c>
      <c r="G3168" s="148" t="s">
        <v>9538</v>
      </c>
      <c r="H3168" t="s">
        <v>9539</v>
      </c>
      <c r="K3168" s="148" t="s">
        <v>9540</v>
      </c>
      <c r="L3168" t="s">
        <v>9541</v>
      </c>
      <c r="M3168" t="s">
        <v>10382</v>
      </c>
      <c r="N3168" s="3">
        <v>0</v>
      </c>
      <c r="O3168" s="3">
        <v>5000</v>
      </c>
      <c r="P3168" s="3">
        <v>10000</v>
      </c>
      <c r="Q3168" s="3">
        <v>15000</v>
      </c>
      <c r="R3168" s="3">
        <v>20000</v>
      </c>
      <c r="S3168" s="3">
        <v>25000</v>
      </c>
      <c r="T3168" t="s">
        <v>10383</v>
      </c>
      <c r="U3168" t="e">
        <v>#N/A</v>
      </c>
      <c r="V3168" t="s">
        <v>10384</v>
      </c>
      <c r="W3168" s="45">
        <v>1</v>
      </c>
      <c r="X3168" s="45">
        <v>0</v>
      </c>
      <c r="Y3168" s="45">
        <v>0</v>
      </c>
      <c r="Z3168" s="45">
        <v>1</v>
      </c>
      <c r="AA3168" s="45">
        <v>1</v>
      </c>
      <c r="AB3168" s="45">
        <v>0</v>
      </c>
      <c r="AC3168" s="150">
        <v>1</v>
      </c>
      <c r="AD3168" s="150">
        <v>1</v>
      </c>
      <c r="AE3168" s="49">
        <f t="shared" si="153"/>
        <v>0.625</v>
      </c>
      <c r="AF3168" s="44"/>
      <c r="AG3168" s="17">
        <v>0</v>
      </c>
      <c r="AH3168" s="44">
        <v>0.2</v>
      </c>
      <c r="AI3168" s="44">
        <v>0.25</v>
      </c>
      <c r="AJ3168" s="44">
        <v>0.25</v>
      </c>
      <c r="AK3168" s="151">
        <v>0</v>
      </c>
      <c r="AL3168" s="151">
        <v>0</v>
      </c>
      <c r="AM3168" s="17">
        <f t="shared" si="154"/>
        <v>0</v>
      </c>
      <c r="AN3168" s="18" t="s">
        <v>771</v>
      </c>
      <c r="AO3168" s="18" t="s">
        <v>773</v>
      </c>
      <c r="AP3168" t="s">
        <v>10385</v>
      </c>
    </row>
    <row r="3169" spans="1:42" customFormat="1" hidden="1" x14ac:dyDescent="0.3">
      <c r="A3169" s="148" t="s">
        <v>8319</v>
      </c>
      <c r="B3169" t="s">
        <v>8320</v>
      </c>
      <c r="C3169" s="148" t="s">
        <v>9496</v>
      </c>
      <c r="D3169" t="s">
        <v>9497</v>
      </c>
      <c r="E3169" s="148" t="s">
        <v>9498</v>
      </c>
      <c r="F3169" t="s">
        <v>9499</v>
      </c>
      <c r="G3169" s="148" t="s">
        <v>9538</v>
      </c>
      <c r="H3169" t="s">
        <v>9539</v>
      </c>
      <c r="K3169" s="148" t="s">
        <v>10386</v>
      </c>
      <c r="L3169" t="s">
        <v>10387</v>
      </c>
      <c r="M3169" t="s">
        <v>10388</v>
      </c>
      <c r="N3169" s="3">
        <v>0</v>
      </c>
      <c r="O3169" s="3">
        <v>1</v>
      </c>
      <c r="P3169" s="3">
        <v>1</v>
      </c>
      <c r="Q3169" s="3">
        <v>1</v>
      </c>
      <c r="R3169" s="3">
        <v>1</v>
      </c>
      <c r="S3169" s="3">
        <v>1</v>
      </c>
      <c r="T3169" t="s">
        <v>1536</v>
      </c>
      <c r="U3169" t="e">
        <v>#N/A</v>
      </c>
      <c r="V3169" t="s">
        <v>10389</v>
      </c>
      <c r="W3169" s="45">
        <v>1</v>
      </c>
      <c r="X3169" s="45">
        <v>0</v>
      </c>
      <c r="Y3169" s="45">
        <v>0</v>
      </c>
      <c r="Z3169" s="45">
        <v>1</v>
      </c>
      <c r="AA3169" s="45">
        <v>1</v>
      </c>
      <c r="AB3169" s="45">
        <v>0</v>
      </c>
      <c r="AC3169" s="150">
        <v>1</v>
      </c>
      <c r="AD3169" s="150">
        <v>1</v>
      </c>
      <c r="AE3169" s="49">
        <f t="shared" si="153"/>
        <v>0.625</v>
      </c>
      <c r="AF3169" s="44"/>
      <c r="AG3169" s="17">
        <v>0</v>
      </c>
      <c r="AH3169" s="44">
        <v>0.3</v>
      </c>
      <c r="AI3169" s="44">
        <v>0.2</v>
      </c>
      <c r="AJ3169" s="44">
        <v>0.2</v>
      </c>
      <c r="AK3169" s="151">
        <v>0.2</v>
      </c>
      <c r="AL3169" s="151">
        <v>0.2</v>
      </c>
      <c r="AM3169" s="17">
        <f t="shared" si="154"/>
        <v>0.4</v>
      </c>
      <c r="AN3169" s="18" t="s">
        <v>771</v>
      </c>
      <c r="AO3169" s="18" t="s">
        <v>773</v>
      </c>
      <c r="AP3169" t="s">
        <v>119</v>
      </c>
    </row>
    <row r="3170" spans="1:42" customFormat="1" hidden="1" x14ac:dyDescent="0.3">
      <c r="A3170" s="148" t="s">
        <v>8319</v>
      </c>
      <c r="B3170" t="s">
        <v>8320</v>
      </c>
      <c r="C3170" s="148" t="s">
        <v>9496</v>
      </c>
      <c r="D3170" t="s">
        <v>9497</v>
      </c>
      <c r="E3170" s="148" t="s">
        <v>9498</v>
      </c>
      <c r="F3170" t="s">
        <v>9499</v>
      </c>
      <c r="G3170" s="148" t="s">
        <v>10390</v>
      </c>
      <c r="H3170" t="s">
        <v>10391</v>
      </c>
      <c r="K3170" s="148" t="s">
        <v>10392</v>
      </c>
      <c r="L3170" t="s">
        <v>10393</v>
      </c>
      <c r="M3170" t="s">
        <v>10394</v>
      </c>
      <c r="N3170" s="3">
        <v>0</v>
      </c>
      <c r="O3170" s="3">
        <v>1</v>
      </c>
      <c r="P3170" s="3">
        <v>1</v>
      </c>
      <c r="Q3170" s="3">
        <v>1</v>
      </c>
      <c r="R3170" s="3">
        <v>1</v>
      </c>
      <c r="S3170" s="3">
        <v>1</v>
      </c>
      <c r="T3170" t="s">
        <v>10363</v>
      </c>
      <c r="U3170" t="e">
        <v>#N/A</v>
      </c>
      <c r="V3170" t="s">
        <v>10395</v>
      </c>
      <c r="W3170" s="45">
        <v>1</v>
      </c>
      <c r="X3170" s="45">
        <v>0</v>
      </c>
      <c r="Y3170" s="45">
        <v>0</v>
      </c>
      <c r="Z3170" s="45">
        <v>1</v>
      </c>
      <c r="AA3170" s="45">
        <v>1</v>
      </c>
      <c r="AB3170" s="45">
        <v>0</v>
      </c>
      <c r="AC3170" s="150">
        <v>1</v>
      </c>
      <c r="AD3170" s="150">
        <v>1</v>
      </c>
      <c r="AE3170" s="49">
        <f t="shared" si="153"/>
        <v>0.625</v>
      </c>
      <c r="AF3170" s="44"/>
      <c r="AG3170" s="17">
        <v>0</v>
      </c>
      <c r="AH3170" s="44">
        <v>10</v>
      </c>
      <c r="AI3170" s="44">
        <v>10</v>
      </c>
      <c r="AJ3170" s="44">
        <v>10</v>
      </c>
      <c r="AK3170" s="151">
        <v>10</v>
      </c>
      <c r="AL3170" s="151">
        <v>10</v>
      </c>
      <c r="AM3170" s="17">
        <f t="shared" si="154"/>
        <v>20</v>
      </c>
      <c r="AN3170" s="18" t="s">
        <v>771</v>
      </c>
      <c r="AO3170" s="18" t="s">
        <v>773</v>
      </c>
      <c r="AP3170" t="s">
        <v>10396</v>
      </c>
    </row>
    <row r="3171" spans="1:42" customFormat="1" hidden="1" x14ac:dyDescent="0.3">
      <c r="A3171" s="148" t="s">
        <v>8319</v>
      </c>
      <c r="B3171" t="s">
        <v>8320</v>
      </c>
      <c r="C3171" s="148" t="s">
        <v>9496</v>
      </c>
      <c r="D3171" t="s">
        <v>9497</v>
      </c>
      <c r="E3171" s="148" t="s">
        <v>9498</v>
      </c>
      <c r="F3171" t="s">
        <v>9499</v>
      </c>
      <c r="G3171" s="148" t="s">
        <v>10049</v>
      </c>
      <c r="H3171" t="s">
        <v>10050</v>
      </c>
      <c r="K3171" s="148" t="s">
        <v>10397</v>
      </c>
      <c r="L3171" t="s">
        <v>10398</v>
      </c>
      <c r="M3171" t="s">
        <v>10399</v>
      </c>
      <c r="N3171" s="3">
        <v>7</v>
      </c>
      <c r="O3171" s="3">
        <v>3</v>
      </c>
      <c r="P3171" s="3">
        <v>3</v>
      </c>
      <c r="Q3171" s="3">
        <v>6</v>
      </c>
      <c r="R3171" s="3">
        <v>3</v>
      </c>
      <c r="S3171" s="3">
        <v>3</v>
      </c>
      <c r="T3171" t="s">
        <v>1563</v>
      </c>
      <c r="U3171" t="s">
        <v>1565</v>
      </c>
      <c r="V3171" t="s">
        <v>10400</v>
      </c>
      <c r="W3171" s="45">
        <v>1</v>
      </c>
      <c r="X3171" s="45">
        <v>0</v>
      </c>
      <c r="Y3171" s="45">
        <v>0</v>
      </c>
      <c r="Z3171" s="45">
        <v>1</v>
      </c>
      <c r="AA3171" s="45">
        <v>1</v>
      </c>
      <c r="AB3171" s="45">
        <v>0</v>
      </c>
      <c r="AC3171" s="150">
        <v>1</v>
      </c>
      <c r="AD3171" s="150">
        <v>1</v>
      </c>
      <c r="AE3171" s="49">
        <f t="shared" si="153"/>
        <v>0.625</v>
      </c>
      <c r="AF3171" s="44"/>
      <c r="AG3171" s="17">
        <v>0</v>
      </c>
      <c r="AH3171" s="44">
        <v>0.68</v>
      </c>
      <c r="AI3171" s="44">
        <v>0.2</v>
      </c>
      <c r="AJ3171" s="44">
        <v>0.12</v>
      </c>
      <c r="AK3171" s="151">
        <v>0.14000000000000001</v>
      </c>
      <c r="AL3171" s="151">
        <v>0.17</v>
      </c>
      <c r="AM3171" s="17">
        <f t="shared" si="154"/>
        <v>0.31000000000000005</v>
      </c>
      <c r="AN3171" t="s">
        <v>1563</v>
      </c>
      <c r="AO3171" s="18" t="s">
        <v>1565</v>
      </c>
      <c r="AP3171" t="s">
        <v>10401</v>
      </c>
    </row>
    <row r="3172" spans="1:42" customFormat="1" hidden="1" x14ac:dyDescent="0.3">
      <c r="A3172" s="148" t="s">
        <v>8319</v>
      </c>
      <c r="B3172" t="s">
        <v>8320</v>
      </c>
      <c r="C3172" s="148" t="s">
        <v>9496</v>
      </c>
      <c r="D3172" t="s">
        <v>9497</v>
      </c>
      <c r="E3172" s="148" t="s">
        <v>9498</v>
      </c>
      <c r="F3172" t="s">
        <v>9499</v>
      </c>
      <c r="G3172" s="148" t="s">
        <v>10049</v>
      </c>
      <c r="H3172" t="s">
        <v>10050</v>
      </c>
      <c r="K3172" s="148" t="s">
        <v>10051</v>
      </c>
      <c r="L3172" t="s">
        <v>10052</v>
      </c>
      <c r="M3172" t="s">
        <v>10402</v>
      </c>
      <c r="N3172" s="3">
        <v>18</v>
      </c>
      <c r="O3172" s="3">
        <v>18</v>
      </c>
      <c r="P3172" s="3">
        <v>18</v>
      </c>
      <c r="Q3172" s="3">
        <v>18</v>
      </c>
      <c r="R3172" s="3">
        <v>18</v>
      </c>
      <c r="S3172" s="3">
        <v>18</v>
      </c>
      <c r="T3172" t="s">
        <v>1563</v>
      </c>
      <c r="U3172" t="s">
        <v>1565</v>
      </c>
      <c r="V3172" t="s">
        <v>10403</v>
      </c>
      <c r="W3172" s="45">
        <v>1</v>
      </c>
      <c r="X3172" s="45">
        <v>0</v>
      </c>
      <c r="Y3172" s="45">
        <v>0</v>
      </c>
      <c r="Z3172" s="45">
        <v>1</v>
      </c>
      <c r="AA3172" s="45">
        <v>1</v>
      </c>
      <c r="AB3172" s="45">
        <v>0</v>
      </c>
      <c r="AC3172" s="150">
        <v>1</v>
      </c>
      <c r="AD3172" s="150">
        <v>1</v>
      </c>
      <c r="AE3172" s="49">
        <f t="shared" si="153"/>
        <v>0.625</v>
      </c>
      <c r="AF3172" s="44"/>
      <c r="AG3172" s="17">
        <v>0</v>
      </c>
      <c r="AH3172" s="44">
        <v>0</v>
      </c>
      <c r="AI3172" s="44">
        <v>0.2</v>
      </c>
      <c r="AJ3172" s="44">
        <v>0.18</v>
      </c>
      <c r="AK3172" s="151">
        <v>0.22</v>
      </c>
      <c r="AL3172" s="151">
        <v>0.26</v>
      </c>
      <c r="AM3172" s="17">
        <f t="shared" si="154"/>
        <v>0.48</v>
      </c>
      <c r="AN3172" t="s">
        <v>1563</v>
      </c>
      <c r="AO3172" s="18" t="s">
        <v>1565</v>
      </c>
      <c r="AP3172" t="s">
        <v>119</v>
      </c>
    </row>
    <row r="3173" spans="1:42" customFormat="1" hidden="1" x14ac:dyDescent="0.3">
      <c r="A3173" s="148" t="s">
        <v>8319</v>
      </c>
      <c r="B3173" t="s">
        <v>8320</v>
      </c>
      <c r="C3173" s="148" t="s">
        <v>9496</v>
      </c>
      <c r="D3173" t="s">
        <v>9497</v>
      </c>
      <c r="E3173" s="148" t="s">
        <v>9498</v>
      </c>
      <c r="F3173" t="s">
        <v>9499</v>
      </c>
      <c r="G3173" s="148" t="s">
        <v>10404</v>
      </c>
      <c r="H3173" t="s">
        <v>10405</v>
      </c>
      <c r="K3173" s="148" t="s">
        <v>10406</v>
      </c>
      <c r="L3173" t="s">
        <v>10407</v>
      </c>
      <c r="M3173" t="s">
        <v>10408</v>
      </c>
      <c r="N3173" s="3" t="s">
        <v>271</v>
      </c>
      <c r="O3173" s="3">
        <v>50</v>
      </c>
      <c r="P3173" s="3">
        <v>50</v>
      </c>
      <c r="Q3173" s="3">
        <v>50</v>
      </c>
      <c r="R3173" s="3">
        <v>50</v>
      </c>
      <c r="S3173" s="3">
        <v>50</v>
      </c>
      <c r="T3173" t="s">
        <v>1536</v>
      </c>
      <c r="U3173" t="e">
        <v>#N/A</v>
      </c>
      <c r="V3173" t="s">
        <v>10409</v>
      </c>
      <c r="W3173" s="45">
        <v>1</v>
      </c>
      <c r="X3173" s="45">
        <v>0</v>
      </c>
      <c r="Y3173" s="45">
        <v>0</v>
      </c>
      <c r="Z3173" s="45">
        <v>1</v>
      </c>
      <c r="AA3173" s="45">
        <v>1</v>
      </c>
      <c r="AB3173" s="45">
        <v>0</v>
      </c>
      <c r="AC3173" s="150">
        <v>1</v>
      </c>
      <c r="AD3173" s="150">
        <v>1</v>
      </c>
      <c r="AE3173" s="49">
        <f t="shared" si="153"/>
        <v>0.625</v>
      </c>
      <c r="AF3173" s="44"/>
      <c r="AG3173" s="17">
        <v>0</v>
      </c>
      <c r="AH3173" s="44">
        <v>0.23599999999999999</v>
      </c>
      <c r="AI3173" s="44">
        <v>0.23599999999999999</v>
      </c>
      <c r="AJ3173" s="44">
        <v>0.23599999999999999</v>
      </c>
      <c r="AK3173" s="151">
        <v>0.23599999999999999</v>
      </c>
      <c r="AL3173" s="151">
        <v>0.23599999999999999</v>
      </c>
      <c r="AM3173" s="17">
        <f t="shared" si="154"/>
        <v>0.47199999999999998</v>
      </c>
      <c r="AN3173" s="18" t="s">
        <v>771</v>
      </c>
      <c r="AO3173" s="18" t="s">
        <v>773</v>
      </c>
      <c r="AP3173" t="s">
        <v>1563</v>
      </c>
    </row>
    <row r="3174" spans="1:42" customFormat="1" hidden="1" x14ac:dyDescent="0.3">
      <c r="A3174" s="148" t="s">
        <v>8319</v>
      </c>
      <c r="B3174" t="s">
        <v>8320</v>
      </c>
      <c r="C3174" s="148" t="s">
        <v>9496</v>
      </c>
      <c r="D3174" t="s">
        <v>9497</v>
      </c>
      <c r="E3174" s="148" t="s">
        <v>9498</v>
      </c>
      <c r="F3174" t="s">
        <v>9499</v>
      </c>
      <c r="G3174" s="148" t="s">
        <v>10404</v>
      </c>
      <c r="H3174" t="s">
        <v>10405</v>
      </c>
      <c r="K3174" s="148" t="s">
        <v>10406</v>
      </c>
      <c r="L3174" t="s">
        <v>10407</v>
      </c>
      <c r="M3174" t="s">
        <v>10410</v>
      </c>
      <c r="N3174" s="3">
        <v>9</v>
      </c>
      <c r="O3174" s="3">
        <v>10</v>
      </c>
      <c r="P3174" s="3">
        <v>10</v>
      </c>
      <c r="Q3174" s="3">
        <v>10</v>
      </c>
      <c r="R3174" s="3">
        <v>10</v>
      </c>
      <c r="S3174" s="3">
        <v>10</v>
      </c>
      <c r="T3174" t="s">
        <v>771</v>
      </c>
      <c r="U3174" t="s">
        <v>773</v>
      </c>
      <c r="V3174" t="s">
        <v>10411</v>
      </c>
      <c r="W3174" s="45">
        <v>1</v>
      </c>
      <c r="X3174" s="45">
        <v>0</v>
      </c>
      <c r="Y3174" s="45">
        <v>0</v>
      </c>
      <c r="Z3174" s="45">
        <v>1</v>
      </c>
      <c r="AA3174" s="45">
        <v>1</v>
      </c>
      <c r="AB3174" s="45">
        <v>0</v>
      </c>
      <c r="AC3174" s="150">
        <v>1</v>
      </c>
      <c r="AD3174" s="150">
        <v>1</v>
      </c>
      <c r="AE3174" s="49">
        <f t="shared" si="153"/>
        <v>0.625</v>
      </c>
      <c r="AF3174" s="17"/>
      <c r="AG3174" s="17">
        <v>0</v>
      </c>
      <c r="AH3174" s="17">
        <v>0</v>
      </c>
      <c r="AI3174" s="17">
        <v>0</v>
      </c>
      <c r="AJ3174" s="17">
        <v>0</v>
      </c>
      <c r="AK3174" s="153">
        <v>0</v>
      </c>
      <c r="AL3174" s="154">
        <v>0</v>
      </c>
      <c r="AM3174" s="17">
        <f t="shared" si="154"/>
        <v>0</v>
      </c>
      <c r="AN3174" s="18" t="s">
        <v>771</v>
      </c>
      <c r="AO3174" s="18" t="s">
        <v>773</v>
      </c>
      <c r="AP3174" t="s">
        <v>255</v>
      </c>
    </row>
    <row r="3175" spans="1:42" customFormat="1" hidden="1" x14ac:dyDescent="0.3">
      <c r="A3175" s="148" t="s">
        <v>8319</v>
      </c>
      <c r="B3175" t="s">
        <v>8320</v>
      </c>
      <c r="C3175" s="148" t="s">
        <v>9496</v>
      </c>
      <c r="D3175" t="s">
        <v>9497</v>
      </c>
      <c r="E3175" s="148" t="s">
        <v>9498</v>
      </c>
      <c r="F3175" t="s">
        <v>9499</v>
      </c>
      <c r="G3175" s="148" t="s">
        <v>10404</v>
      </c>
      <c r="H3175" t="s">
        <v>10405</v>
      </c>
      <c r="K3175" s="148" t="s">
        <v>10406</v>
      </c>
      <c r="L3175" t="s">
        <v>10407</v>
      </c>
      <c r="N3175" s="3"/>
      <c r="O3175" s="3"/>
      <c r="P3175" s="3"/>
      <c r="Q3175" s="3"/>
      <c r="R3175" s="3"/>
      <c r="S3175" s="3"/>
      <c r="U3175" t="e">
        <v>#N/A</v>
      </c>
      <c r="V3175" t="s">
        <v>10412</v>
      </c>
      <c r="W3175" s="45">
        <v>1</v>
      </c>
      <c r="X3175" s="45">
        <v>0</v>
      </c>
      <c r="Y3175" s="45">
        <v>0</v>
      </c>
      <c r="Z3175" s="45">
        <v>1</v>
      </c>
      <c r="AA3175" s="45">
        <v>1</v>
      </c>
      <c r="AB3175" s="45">
        <v>0</v>
      </c>
      <c r="AC3175" s="150">
        <v>1</v>
      </c>
      <c r="AD3175" s="150">
        <v>1</v>
      </c>
      <c r="AE3175" s="49">
        <f t="shared" si="153"/>
        <v>0.625</v>
      </c>
      <c r="AF3175" s="17"/>
      <c r="AG3175" s="17">
        <v>0</v>
      </c>
      <c r="AH3175" s="17">
        <v>0</v>
      </c>
      <c r="AI3175" s="17">
        <v>0</v>
      </c>
      <c r="AJ3175" s="17">
        <v>0</v>
      </c>
      <c r="AK3175" s="153">
        <v>0</v>
      </c>
      <c r="AL3175" s="154">
        <v>0</v>
      </c>
      <c r="AM3175" s="17">
        <f t="shared" si="154"/>
        <v>0</v>
      </c>
      <c r="AN3175" s="18" t="s">
        <v>771</v>
      </c>
      <c r="AO3175" s="18" t="s">
        <v>773</v>
      </c>
      <c r="AP3175" t="s">
        <v>10413</v>
      </c>
    </row>
    <row r="3176" spans="1:42" customFormat="1" hidden="1" x14ac:dyDescent="0.3">
      <c r="A3176" s="148" t="s">
        <v>8319</v>
      </c>
      <c r="B3176" t="s">
        <v>8320</v>
      </c>
      <c r="C3176" s="148" t="s">
        <v>9344</v>
      </c>
      <c r="D3176" t="s">
        <v>9345</v>
      </c>
      <c r="E3176" s="148" t="s">
        <v>10414</v>
      </c>
      <c r="F3176" t="s">
        <v>10415</v>
      </c>
      <c r="G3176" s="148" t="s">
        <v>10416</v>
      </c>
      <c r="H3176" t="s">
        <v>10417</v>
      </c>
      <c r="K3176" s="148" t="s">
        <v>10418</v>
      </c>
      <c r="L3176" t="s">
        <v>10419</v>
      </c>
      <c r="M3176" t="s">
        <v>10420</v>
      </c>
      <c r="N3176" s="3">
        <v>0</v>
      </c>
      <c r="O3176" s="3" t="s">
        <v>271</v>
      </c>
      <c r="P3176" s="3" t="s">
        <v>10421</v>
      </c>
      <c r="Q3176" s="3" t="s">
        <v>271</v>
      </c>
      <c r="R3176" s="3" t="s">
        <v>271</v>
      </c>
      <c r="S3176" s="3" t="s">
        <v>271</v>
      </c>
      <c r="T3176" t="s">
        <v>10422</v>
      </c>
      <c r="U3176" t="e">
        <v>#N/A</v>
      </c>
      <c r="V3176" t="s">
        <v>10423</v>
      </c>
      <c r="W3176" s="45">
        <v>1</v>
      </c>
      <c r="X3176" s="45">
        <v>0</v>
      </c>
      <c r="Y3176" s="45">
        <v>0</v>
      </c>
      <c r="Z3176" s="45">
        <v>1</v>
      </c>
      <c r="AA3176" s="45">
        <v>1</v>
      </c>
      <c r="AB3176" s="45">
        <v>0</v>
      </c>
      <c r="AC3176" s="150">
        <v>1</v>
      </c>
      <c r="AD3176" s="150">
        <v>1</v>
      </c>
      <c r="AE3176" s="49">
        <f t="shared" si="153"/>
        <v>0.625</v>
      </c>
      <c r="AF3176" s="17"/>
      <c r="AG3176" s="17">
        <v>0</v>
      </c>
      <c r="AH3176" s="17">
        <v>0</v>
      </c>
      <c r="AI3176" s="44">
        <v>0.5</v>
      </c>
      <c r="AJ3176" s="44">
        <v>0.1</v>
      </c>
      <c r="AK3176" s="151">
        <v>0.1</v>
      </c>
      <c r="AL3176" s="151">
        <v>0.1</v>
      </c>
      <c r="AM3176" s="17">
        <f t="shared" si="154"/>
        <v>0.2</v>
      </c>
      <c r="AN3176" t="s">
        <v>723</v>
      </c>
      <c r="AO3176" s="18" t="s">
        <v>729</v>
      </c>
      <c r="AP3176" t="s">
        <v>2043</v>
      </c>
    </row>
    <row r="3177" spans="1:42" customFormat="1" hidden="1" x14ac:dyDescent="0.3">
      <c r="A3177" s="148" t="s">
        <v>8319</v>
      </c>
      <c r="B3177" t="s">
        <v>8320</v>
      </c>
      <c r="C3177" s="148" t="s">
        <v>9344</v>
      </c>
      <c r="D3177" t="s">
        <v>9345</v>
      </c>
      <c r="E3177" s="148" t="s">
        <v>10414</v>
      </c>
      <c r="F3177" t="s">
        <v>10415</v>
      </c>
      <c r="G3177" s="148" t="s">
        <v>10416</v>
      </c>
      <c r="H3177" t="s">
        <v>10417</v>
      </c>
      <c r="K3177" s="155" t="s">
        <v>10424</v>
      </c>
      <c r="L3177" t="s">
        <v>10425</v>
      </c>
      <c r="M3177" t="s">
        <v>10426</v>
      </c>
      <c r="N3177" s="3" t="s">
        <v>271</v>
      </c>
      <c r="O3177" s="3" t="s">
        <v>271</v>
      </c>
      <c r="P3177" s="3" t="s">
        <v>271</v>
      </c>
      <c r="Q3177" s="3" t="s">
        <v>271</v>
      </c>
      <c r="R3177" s="3">
        <v>1</v>
      </c>
      <c r="S3177" s="3">
        <v>1</v>
      </c>
      <c r="T3177" t="s">
        <v>10427</v>
      </c>
      <c r="U3177" t="e">
        <v>#N/A</v>
      </c>
      <c r="V3177" t="s">
        <v>10428</v>
      </c>
      <c r="W3177" s="45">
        <v>1</v>
      </c>
      <c r="X3177" s="45">
        <v>0</v>
      </c>
      <c r="Y3177" s="45">
        <v>1</v>
      </c>
      <c r="Z3177" s="45">
        <v>1</v>
      </c>
      <c r="AA3177" s="45">
        <v>1</v>
      </c>
      <c r="AB3177" s="45">
        <v>0</v>
      </c>
      <c r="AC3177" s="150">
        <v>1</v>
      </c>
      <c r="AD3177" s="150"/>
      <c r="AE3177" s="49">
        <f t="shared" si="153"/>
        <v>0.625</v>
      </c>
      <c r="AF3177" s="17"/>
      <c r="AG3177" s="17">
        <v>0</v>
      </c>
      <c r="AH3177" s="17">
        <v>0</v>
      </c>
      <c r="AI3177" s="17">
        <v>0</v>
      </c>
      <c r="AJ3177" s="44">
        <v>3</v>
      </c>
      <c r="AK3177" s="151">
        <v>3</v>
      </c>
      <c r="AL3177" s="151">
        <v>3</v>
      </c>
      <c r="AM3177" s="17">
        <f t="shared" si="154"/>
        <v>6</v>
      </c>
      <c r="AN3177" s="18" t="s">
        <v>771</v>
      </c>
      <c r="AO3177" s="18" t="s">
        <v>773</v>
      </c>
      <c r="AP3177" t="s">
        <v>982</v>
      </c>
    </row>
    <row r="3178" spans="1:42" customFormat="1" hidden="1" x14ac:dyDescent="0.3">
      <c r="A3178" s="148" t="s">
        <v>8319</v>
      </c>
      <c r="B3178" t="s">
        <v>8320</v>
      </c>
      <c r="C3178" s="148" t="s">
        <v>9344</v>
      </c>
      <c r="D3178" t="s">
        <v>9345</v>
      </c>
      <c r="E3178" s="148" t="s">
        <v>10414</v>
      </c>
      <c r="F3178" t="s">
        <v>10415</v>
      </c>
      <c r="G3178" s="148" t="s">
        <v>10429</v>
      </c>
      <c r="H3178" t="s">
        <v>10430</v>
      </c>
      <c r="K3178" s="148" t="s">
        <v>10431</v>
      </c>
      <c r="L3178" t="s">
        <v>10432</v>
      </c>
      <c r="M3178" t="s">
        <v>10433</v>
      </c>
      <c r="N3178" s="3">
        <v>0</v>
      </c>
      <c r="O3178" s="3">
        <v>0</v>
      </c>
      <c r="P3178" s="3">
        <v>0</v>
      </c>
      <c r="Q3178" s="3" t="s">
        <v>10434</v>
      </c>
      <c r="R3178" s="3">
        <v>1</v>
      </c>
      <c r="S3178" s="3">
        <v>1</v>
      </c>
      <c r="T3178" t="s">
        <v>10435</v>
      </c>
      <c r="U3178" t="e">
        <v>#N/A</v>
      </c>
      <c r="V3178" t="s">
        <v>10436</v>
      </c>
      <c r="W3178" s="45">
        <v>1</v>
      </c>
      <c r="X3178" s="45">
        <v>0</v>
      </c>
      <c r="Y3178" s="45">
        <v>0</v>
      </c>
      <c r="Z3178" s="45">
        <v>1</v>
      </c>
      <c r="AA3178" s="45">
        <v>1</v>
      </c>
      <c r="AB3178" s="45">
        <v>0</v>
      </c>
      <c r="AC3178" s="150">
        <v>1</v>
      </c>
      <c r="AD3178" s="150">
        <v>1</v>
      </c>
      <c r="AE3178" s="49">
        <f t="shared" si="153"/>
        <v>0.625</v>
      </c>
      <c r="AF3178" s="44"/>
      <c r="AG3178" s="17">
        <v>0</v>
      </c>
      <c r="AH3178" s="44">
        <v>0</v>
      </c>
      <c r="AI3178" s="44">
        <v>0.5</v>
      </c>
      <c r="AJ3178" s="44">
        <v>0.5</v>
      </c>
      <c r="AK3178" s="151">
        <v>0.3</v>
      </c>
      <c r="AL3178" s="151">
        <v>0.2</v>
      </c>
      <c r="AM3178" s="17">
        <f t="shared" si="154"/>
        <v>0.5</v>
      </c>
      <c r="AN3178" t="s">
        <v>723</v>
      </c>
      <c r="AO3178" s="18" t="s">
        <v>729</v>
      </c>
      <c r="AP3178" t="s">
        <v>10128</v>
      </c>
    </row>
    <row r="3179" spans="1:42" customFormat="1" hidden="1" x14ac:dyDescent="0.3">
      <c r="A3179" s="148" t="s">
        <v>8319</v>
      </c>
      <c r="B3179" t="s">
        <v>8320</v>
      </c>
      <c r="C3179" s="148" t="s">
        <v>9344</v>
      </c>
      <c r="D3179" t="s">
        <v>9345</v>
      </c>
      <c r="E3179" s="148" t="s">
        <v>10414</v>
      </c>
      <c r="F3179" t="s">
        <v>10415</v>
      </c>
      <c r="G3179" s="148" t="s">
        <v>10437</v>
      </c>
      <c r="H3179" t="s">
        <v>10438</v>
      </c>
      <c r="K3179" s="148" t="s">
        <v>10439</v>
      </c>
      <c r="L3179" t="s">
        <v>10440</v>
      </c>
      <c r="N3179" s="3"/>
      <c r="O3179" s="3"/>
      <c r="P3179" s="3"/>
      <c r="Q3179" s="3"/>
      <c r="R3179" s="3"/>
      <c r="S3179" s="3"/>
      <c r="U3179" t="e">
        <v>#N/A</v>
      </c>
      <c r="V3179" t="s">
        <v>10441</v>
      </c>
      <c r="W3179" s="45">
        <v>1</v>
      </c>
      <c r="X3179" s="45">
        <v>0</v>
      </c>
      <c r="Y3179" s="45">
        <v>1</v>
      </c>
      <c r="Z3179" s="45">
        <v>1</v>
      </c>
      <c r="AA3179" s="45">
        <v>1</v>
      </c>
      <c r="AB3179" s="45"/>
      <c r="AC3179" s="150">
        <v>1</v>
      </c>
      <c r="AD3179" s="150">
        <v>0</v>
      </c>
      <c r="AE3179" s="49">
        <f t="shared" si="153"/>
        <v>0.625</v>
      </c>
      <c r="AF3179" s="17"/>
      <c r="AG3179" s="17">
        <v>0</v>
      </c>
      <c r="AH3179" s="17">
        <v>0</v>
      </c>
      <c r="AI3179" s="44">
        <v>10</v>
      </c>
      <c r="AJ3179" s="44">
        <v>15</v>
      </c>
      <c r="AK3179" s="151">
        <v>2</v>
      </c>
      <c r="AL3179" s="154">
        <v>2</v>
      </c>
      <c r="AM3179" s="17">
        <f t="shared" si="154"/>
        <v>4</v>
      </c>
      <c r="AN3179" s="18" t="s">
        <v>255</v>
      </c>
      <c r="AO3179" s="18" t="s">
        <v>1045</v>
      </c>
      <c r="AP3179" t="s">
        <v>723</v>
      </c>
    </row>
    <row r="3180" spans="1:42" customFormat="1" hidden="1" x14ac:dyDescent="0.3">
      <c r="A3180" s="148" t="s">
        <v>8319</v>
      </c>
      <c r="B3180" t="s">
        <v>8320</v>
      </c>
      <c r="C3180" s="148" t="s">
        <v>9344</v>
      </c>
      <c r="D3180" t="s">
        <v>9345</v>
      </c>
      <c r="E3180" s="148" t="s">
        <v>10414</v>
      </c>
      <c r="F3180" t="s">
        <v>10415</v>
      </c>
      <c r="G3180" s="148" t="s">
        <v>10442</v>
      </c>
      <c r="H3180" t="s">
        <v>10443</v>
      </c>
      <c r="K3180" s="148" t="s">
        <v>10444</v>
      </c>
      <c r="L3180" t="s">
        <v>10445</v>
      </c>
      <c r="M3180" t="s">
        <v>10445</v>
      </c>
      <c r="N3180" s="3" t="s">
        <v>119</v>
      </c>
      <c r="O3180" s="3"/>
      <c r="P3180" s="3">
        <v>5</v>
      </c>
      <c r="Q3180" s="3">
        <v>5</v>
      </c>
      <c r="R3180" s="3">
        <v>10</v>
      </c>
      <c r="S3180" s="3">
        <v>10</v>
      </c>
      <c r="T3180" t="s">
        <v>10446</v>
      </c>
      <c r="U3180" t="e">
        <v>#N/A</v>
      </c>
      <c r="V3180" t="s">
        <v>10447</v>
      </c>
      <c r="W3180" s="45">
        <v>1</v>
      </c>
      <c r="X3180" s="45">
        <v>0</v>
      </c>
      <c r="Y3180" s="45">
        <v>1</v>
      </c>
      <c r="Z3180" s="45">
        <v>1</v>
      </c>
      <c r="AA3180" s="45">
        <v>1</v>
      </c>
      <c r="AB3180" s="45">
        <v>0</v>
      </c>
      <c r="AC3180" s="150">
        <v>0</v>
      </c>
      <c r="AD3180" s="150">
        <v>1</v>
      </c>
      <c r="AE3180" s="49">
        <f t="shared" si="153"/>
        <v>0.625</v>
      </c>
      <c r="AF3180" s="44"/>
      <c r="AG3180" s="17">
        <v>0</v>
      </c>
      <c r="AH3180" s="44">
        <v>0.5</v>
      </c>
      <c r="AI3180" s="44">
        <v>0.5</v>
      </c>
      <c r="AJ3180" s="44">
        <v>0.5</v>
      </c>
      <c r="AK3180" s="151">
        <v>0.02</v>
      </c>
      <c r="AL3180" s="151">
        <v>0.02</v>
      </c>
      <c r="AM3180" s="17">
        <f t="shared" si="154"/>
        <v>0.04</v>
      </c>
      <c r="AN3180" t="s">
        <v>723</v>
      </c>
      <c r="AO3180" s="18" t="s">
        <v>729</v>
      </c>
      <c r="AP3180" t="s">
        <v>10448</v>
      </c>
    </row>
    <row r="3181" spans="1:42" customFormat="1" hidden="1" x14ac:dyDescent="0.3">
      <c r="A3181" s="148" t="s">
        <v>8319</v>
      </c>
      <c r="B3181" t="s">
        <v>8320</v>
      </c>
      <c r="C3181" s="148" t="s">
        <v>9344</v>
      </c>
      <c r="D3181" t="s">
        <v>9345</v>
      </c>
      <c r="E3181" s="148" t="s">
        <v>10414</v>
      </c>
      <c r="F3181" t="s">
        <v>10415</v>
      </c>
      <c r="G3181" s="148" t="s">
        <v>10449</v>
      </c>
      <c r="H3181" t="s">
        <v>10450</v>
      </c>
      <c r="K3181" s="148" t="s">
        <v>10451</v>
      </c>
      <c r="L3181" t="s">
        <v>10452</v>
      </c>
      <c r="N3181" s="3"/>
      <c r="O3181" s="3"/>
      <c r="P3181" s="3"/>
      <c r="Q3181" s="3"/>
      <c r="R3181" s="3"/>
      <c r="S3181" s="3"/>
      <c r="U3181" t="e">
        <v>#N/A</v>
      </c>
      <c r="V3181" t="s">
        <v>10453</v>
      </c>
      <c r="W3181" s="45">
        <v>1</v>
      </c>
      <c r="X3181" s="45">
        <v>0</v>
      </c>
      <c r="Y3181" s="45">
        <v>1</v>
      </c>
      <c r="Z3181" s="45">
        <v>1</v>
      </c>
      <c r="AA3181" s="45">
        <v>1</v>
      </c>
      <c r="AB3181" s="45">
        <v>0</v>
      </c>
      <c r="AC3181" s="150">
        <v>0</v>
      </c>
      <c r="AD3181" s="150">
        <v>1</v>
      </c>
      <c r="AE3181" s="49">
        <f t="shared" si="153"/>
        <v>0.625</v>
      </c>
      <c r="AF3181" s="44"/>
      <c r="AG3181" s="17">
        <v>0</v>
      </c>
      <c r="AH3181" s="44">
        <v>15</v>
      </c>
      <c r="AI3181" s="44">
        <v>15</v>
      </c>
      <c r="AJ3181" s="44">
        <v>30</v>
      </c>
      <c r="AK3181" s="151">
        <v>30</v>
      </c>
      <c r="AL3181" s="151">
        <v>30</v>
      </c>
      <c r="AM3181" s="17">
        <f t="shared" si="154"/>
        <v>60</v>
      </c>
      <c r="AN3181" t="s">
        <v>723</v>
      </c>
      <c r="AO3181" s="18" t="s">
        <v>729</v>
      </c>
      <c r="AP3181" t="s">
        <v>1345</v>
      </c>
    </row>
    <row r="3182" spans="1:42" customFormat="1" hidden="1" x14ac:dyDescent="0.3">
      <c r="A3182" s="148" t="s">
        <v>8319</v>
      </c>
      <c r="B3182" t="s">
        <v>8320</v>
      </c>
      <c r="C3182" s="148" t="s">
        <v>9344</v>
      </c>
      <c r="D3182" t="s">
        <v>9345</v>
      </c>
      <c r="E3182" s="148" t="s">
        <v>9346</v>
      </c>
      <c r="F3182" t="s">
        <v>9347</v>
      </c>
      <c r="G3182" s="148" t="s">
        <v>9552</v>
      </c>
      <c r="H3182" t="s">
        <v>9553</v>
      </c>
      <c r="K3182" s="148" t="s">
        <v>9871</v>
      </c>
      <c r="L3182" t="s">
        <v>9872</v>
      </c>
      <c r="M3182" t="s">
        <v>10454</v>
      </c>
      <c r="N3182" s="3"/>
      <c r="O3182" s="3"/>
      <c r="P3182" s="3"/>
      <c r="Q3182" s="3">
        <v>65</v>
      </c>
      <c r="R3182" s="3">
        <v>70</v>
      </c>
      <c r="S3182" s="3"/>
      <c r="T3182" t="s">
        <v>10455</v>
      </c>
      <c r="U3182" t="e">
        <v>#N/A</v>
      </c>
      <c r="V3182" t="s">
        <v>10456</v>
      </c>
      <c r="W3182" s="45">
        <v>1</v>
      </c>
      <c r="X3182" s="45">
        <v>0</v>
      </c>
      <c r="Y3182" s="45">
        <v>0</v>
      </c>
      <c r="Z3182" s="45">
        <v>1</v>
      </c>
      <c r="AA3182" s="45">
        <v>1</v>
      </c>
      <c r="AB3182" s="45">
        <v>0</v>
      </c>
      <c r="AC3182" s="150">
        <v>1</v>
      </c>
      <c r="AD3182" s="150">
        <v>0</v>
      </c>
      <c r="AE3182" s="49">
        <f t="shared" si="153"/>
        <v>0.5</v>
      </c>
      <c r="AF3182" s="17">
        <v>1</v>
      </c>
      <c r="AG3182" s="17">
        <v>0</v>
      </c>
      <c r="AH3182" s="17">
        <v>0</v>
      </c>
      <c r="AI3182" s="44">
        <v>0.03</v>
      </c>
      <c r="AJ3182" s="44">
        <v>0</v>
      </c>
      <c r="AK3182" s="151">
        <v>0.1</v>
      </c>
      <c r="AL3182" s="151">
        <v>0.1</v>
      </c>
      <c r="AM3182" s="17">
        <f t="shared" si="154"/>
        <v>0.2</v>
      </c>
      <c r="AN3182" t="s">
        <v>723</v>
      </c>
      <c r="AO3182" s="18" t="s">
        <v>729</v>
      </c>
      <c r="AP3182" t="s">
        <v>255</v>
      </c>
    </row>
    <row r="3183" spans="1:42" customFormat="1" hidden="1" x14ac:dyDescent="0.3">
      <c r="A3183" s="148" t="s">
        <v>8319</v>
      </c>
      <c r="B3183" t="s">
        <v>8320</v>
      </c>
      <c r="C3183" s="148" t="s">
        <v>9344</v>
      </c>
      <c r="D3183" t="s">
        <v>9345</v>
      </c>
      <c r="E3183" s="148" t="s">
        <v>9346</v>
      </c>
      <c r="F3183" t="s">
        <v>9347</v>
      </c>
      <c r="G3183" s="148" t="s">
        <v>9552</v>
      </c>
      <c r="H3183" t="s">
        <v>9553</v>
      </c>
      <c r="K3183" s="148" t="s">
        <v>9871</v>
      </c>
      <c r="L3183" t="s">
        <v>9872</v>
      </c>
      <c r="M3183" t="s">
        <v>9875</v>
      </c>
      <c r="N3183" s="3">
        <v>30</v>
      </c>
      <c r="O3183" s="3">
        <v>30</v>
      </c>
      <c r="P3183" s="3">
        <v>146</v>
      </c>
      <c r="Q3183" s="3">
        <v>146</v>
      </c>
      <c r="R3183" s="3">
        <v>146</v>
      </c>
      <c r="S3183" s="3">
        <v>146</v>
      </c>
      <c r="T3183" t="s">
        <v>255</v>
      </c>
      <c r="U3183" t="s">
        <v>1045</v>
      </c>
      <c r="V3183" t="s">
        <v>10457</v>
      </c>
      <c r="W3183" s="45">
        <v>1</v>
      </c>
      <c r="X3183" s="45">
        <v>0</v>
      </c>
      <c r="Y3183" s="45">
        <v>0</v>
      </c>
      <c r="Z3183" s="45">
        <v>1</v>
      </c>
      <c r="AA3183" s="45">
        <v>1</v>
      </c>
      <c r="AB3183" s="45">
        <v>0</v>
      </c>
      <c r="AC3183" s="150">
        <v>1</v>
      </c>
      <c r="AD3183" s="150">
        <v>0</v>
      </c>
      <c r="AE3183" s="49">
        <f t="shared" si="153"/>
        <v>0.5</v>
      </c>
      <c r="AF3183" s="44"/>
      <c r="AG3183" s="17">
        <v>0</v>
      </c>
      <c r="AH3183" s="44">
        <v>7.4999999999999997E-2</v>
      </c>
      <c r="AI3183" s="44">
        <v>0.75</v>
      </c>
      <c r="AJ3183" s="44">
        <v>0.75</v>
      </c>
      <c r="AK3183" s="151">
        <v>0.75</v>
      </c>
      <c r="AL3183" s="151">
        <v>0.75</v>
      </c>
      <c r="AM3183" s="17">
        <f t="shared" si="154"/>
        <v>1.5</v>
      </c>
      <c r="AN3183" s="18" t="s">
        <v>255</v>
      </c>
      <c r="AO3183" s="18" t="s">
        <v>1045</v>
      </c>
      <c r="AP3183" t="s">
        <v>10458</v>
      </c>
    </row>
    <row r="3184" spans="1:42" customFormat="1" hidden="1" x14ac:dyDescent="0.3">
      <c r="A3184" s="148" t="s">
        <v>8319</v>
      </c>
      <c r="B3184" t="s">
        <v>8320</v>
      </c>
      <c r="C3184" s="148" t="s">
        <v>9344</v>
      </c>
      <c r="D3184" t="s">
        <v>9345</v>
      </c>
      <c r="E3184" s="148" t="s">
        <v>9346</v>
      </c>
      <c r="F3184" t="s">
        <v>9347</v>
      </c>
      <c r="G3184" s="148" t="s">
        <v>9552</v>
      </c>
      <c r="H3184" t="s">
        <v>9553</v>
      </c>
      <c r="K3184" s="148" t="s">
        <v>9871</v>
      </c>
      <c r="L3184" t="s">
        <v>9872</v>
      </c>
      <c r="M3184" t="s">
        <v>9875</v>
      </c>
      <c r="N3184" s="3"/>
      <c r="O3184" s="3">
        <v>54</v>
      </c>
      <c r="P3184" s="3">
        <v>90</v>
      </c>
      <c r="Q3184" s="3">
        <v>120</v>
      </c>
      <c r="R3184" s="3">
        <v>146</v>
      </c>
      <c r="S3184" s="3">
        <v>0</v>
      </c>
      <c r="T3184" t="s">
        <v>255</v>
      </c>
      <c r="U3184" t="s">
        <v>1045</v>
      </c>
      <c r="V3184" t="s">
        <v>10459</v>
      </c>
      <c r="W3184" s="45">
        <v>1</v>
      </c>
      <c r="X3184" s="45">
        <v>0</v>
      </c>
      <c r="Y3184" s="45">
        <v>0</v>
      </c>
      <c r="Z3184" s="45">
        <v>1</v>
      </c>
      <c r="AA3184" s="45">
        <v>1</v>
      </c>
      <c r="AB3184" s="45">
        <v>0</v>
      </c>
      <c r="AC3184" s="150">
        <v>1</v>
      </c>
      <c r="AD3184" s="150">
        <v>0</v>
      </c>
      <c r="AE3184" s="49">
        <f t="shared" si="153"/>
        <v>0.5</v>
      </c>
      <c r="AF3184" s="44"/>
      <c r="AG3184" s="17">
        <v>0</v>
      </c>
      <c r="AH3184" s="44">
        <v>0.26400000000000001</v>
      </c>
      <c r="AI3184" s="44">
        <v>0.441</v>
      </c>
      <c r="AJ3184" s="44">
        <v>0.58799999999999997</v>
      </c>
      <c r="AK3184" s="151">
        <v>0.36</v>
      </c>
      <c r="AL3184" s="151">
        <v>0.36</v>
      </c>
      <c r="AM3184" s="17">
        <f t="shared" si="154"/>
        <v>0.72</v>
      </c>
      <c r="AN3184" s="18" t="s">
        <v>723</v>
      </c>
      <c r="AO3184" s="18" t="s">
        <v>729</v>
      </c>
      <c r="AP3184" t="s">
        <v>2043</v>
      </c>
    </row>
    <row r="3185" spans="1:42" customFormat="1" hidden="1" x14ac:dyDescent="0.3">
      <c r="A3185" s="148" t="s">
        <v>8319</v>
      </c>
      <c r="B3185" t="s">
        <v>8320</v>
      </c>
      <c r="C3185" s="148" t="s">
        <v>9344</v>
      </c>
      <c r="D3185" t="s">
        <v>9345</v>
      </c>
      <c r="E3185" s="148" t="s">
        <v>9346</v>
      </c>
      <c r="F3185" t="s">
        <v>9347</v>
      </c>
      <c r="G3185" t="s">
        <v>9348</v>
      </c>
      <c r="H3185" t="s">
        <v>9349</v>
      </c>
      <c r="I3185" s="148" t="s">
        <v>9350</v>
      </c>
      <c r="J3185" t="s">
        <v>9351</v>
      </c>
      <c r="K3185" s="148" t="s">
        <v>9352</v>
      </c>
      <c r="L3185" t="s">
        <v>9353</v>
      </c>
      <c r="M3185" t="s">
        <v>10460</v>
      </c>
      <c r="N3185" s="3" t="s">
        <v>9365</v>
      </c>
      <c r="O3185" s="3">
        <v>10</v>
      </c>
      <c r="P3185" s="3">
        <v>20</v>
      </c>
      <c r="Q3185" s="3">
        <v>30</v>
      </c>
      <c r="R3185" s="3">
        <v>40</v>
      </c>
      <c r="S3185" s="3">
        <v>50</v>
      </c>
      <c r="T3185" t="s">
        <v>3640</v>
      </c>
      <c r="U3185" t="s">
        <v>3630</v>
      </c>
      <c r="V3185" t="s">
        <v>10461</v>
      </c>
      <c r="W3185" s="45">
        <v>1</v>
      </c>
      <c r="X3185" s="45">
        <v>0</v>
      </c>
      <c r="Y3185" s="45">
        <v>0</v>
      </c>
      <c r="Z3185" s="45">
        <v>1</v>
      </c>
      <c r="AA3185" s="45">
        <v>1</v>
      </c>
      <c r="AB3185" s="45">
        <v>0</v>
      </c>
      <c r="AC3185" s="150">
        <v>0</v>
      </c>
      <c r="AD3185" s="150">
        <v>1</v>
      </c>
      <c r="AE3185" s="49">
        <f t="shared" si="153"/>
        <v>0.5</v>
      </c>
      <c r="AF3185" s="44"/>
      <c r="AG3185" s="17">
        <v>0</v>
      </c>
      <c r="AH3185" s="44">
        <v>0</v>
      </c>
      <c r="AI3185" s="44">
        <v>0.2</v>
      </c>
      <c r="AJ3185" s="44">
        <v>0.1</v>
      </c>
      <c r="AK3185" s="151">
        <v>0.05</v>
      </c>
      <c r="AL3185" s="151">
        <v>0.05</v>
      </c>
      <c r="AM3185" s="17">
        <f t="shared" si="154"/>
        <v>0.1</v>
      </c>
      <c r="AN3185" t="s">
        <v>771</v>
      </c>
      <c r="AO3185" s="18" t="s">
        <v>773</v>
      </c>
      <c r="AP3185" t="s">
        <v>3643</v>
      </c>
    </row>
    <row r="3186" spans="1:42" customFormat="1" hidden="1" x14ac:dyDescent="0.3">
      <c r="A3186" s="148" t="s">
        <v>8319</v>
      </c>
      <c r="B3186" t="s">
        <v>8320</v>
      </c>
      <c r="C3186" s="148" t="s">
        <v>9344</v>
      </c>
      <c r="D3186" t="s">
        <v>9345</v>
      </c>
      <c r="E3186" s="148" t="s">
        <v>9346</v>
      </c>
      <c r="F3186" t="s">
        <v>9347</v>
      </c>
      <c r="G3186" t="s">
        <v>9348</v>
      </c>
      <c r="H3186" t="s">
        <v>9349</v>
      </c>
      <c r="I3186" s="148" t="s">
        <v>9350</v>
      </c>
      <c r="J3186" t="s">
        <v>9351</v>
      </c>
      <c r="K3186" s="148" t="s">
        <v>9352</v>
      </c>
      <c r="L3186" t="s">
        <v>9353</v>
      </c>
      <c r="M3186" t="s">
        <v>10462</v>
      </c>
      <c r="N3186" s="3">
        <v>29</v>
      </c>
      <c r="O3186" s="3">
        <v>27</v>
      </c>
      <c r="P3186" s="3">
        <v>25</v>
      </c>
      <c r="Q3186" s="3">
        <v>23</v>
      </c>
      <c r="R3186" s="3">
        <v>21</v>
      </c>
      <c r="S3186" s="3">
        <v>19</v>
      </c>
      <c r="T3186" t="s">
        <v>3640</v>
      </c>
      <c r="U3186" t="s">
        <v>3630</v>
      </c>
      <c r="V3186" t="s">
        <v>10463</v>
      </c>
      <c r="W3186" s="45">
        <v>1</v>
      </c>
      <c r="X3186" s="45">
        <v>0</v>
      </c>
      <c r="Y3186" s="45">
        <v>0</v>
      </c>
      <c r="Z3186" s="45">
        <v>1</v>
      </c>
      <c r="AA3186" s="45">
        <v>1</v>
      </c>
      <c r="AB3186" s="45">
        <v>0</v>
      </c>
      <c r="AC3186" s="150">
        <v>1</v>
      </c>
      <c r="AD3186" s="150">
        <v>0</v>
      </c>
      <c r="AE3186" s="49">
        <f t="shared" si="153"/>
        <v>0.5</v>
      </c>
      <c r="AF3186" s="44"/>
      <c r="AG3186" s="17">
        <v>0</v>
      </c>
      <c r="AH3186" s="44">
        <v>0.3</v>
      </c>
      <c r="AI3186" s="44">
        <v>0.3</v>
      </c>
      <c r="AJ3186" s="44">
        <v>0.3</v>
      </c>
      <c r="AK3186" s="151">
        <v>0.3</v>
      </c>
      <c r="AL3186" s="151">
        <v>0.3</v>
      </c>
      <c r="AM3186" s="17">
        <f t="shared" si="154"/>
        <v>0.6</v>
      </c>
      <c r="AN3186" t="s">
        <v>3643</v>
      </c>
      <c r="AO3186" s="18" t="s">
        <v>3630</v>
      </c>
      <c r="AP3186" t="s">
        <v>1893</v>
      </c>
    </row>
    <row r="3187" spans="1:42" customFormat="1" hidden="1" x14ac:dyDescent="0.3">
      <c r="A3187" s="148" t="s">
        <v>8319</v>
      </c>
      <c r="B3187" t="s">
        <v>8320</v>
      </c>
      <c r="C3187" s="148" t="s">
        <v>9344</v>
      </c>
      <c r="D3187" t="s">
        <v>9345</v>
      </c>
      <c r="E3187" s="148" t="s">
        <v>9346</v>
      </c>
      <c r="F3187" t="s">
        <v>9347</v>
      </c>
      <c r="G3187" t="s">
        <v>9348</v>
      </c>
      <c r="H3187" t="s">
        <v>9349</v>
      </c>
      <c r="I3187" s="148" t="s">
        <v>9350</v>
      </c>
      <c r="J3187" t="s">
        <v>9351</v>
      </c>
      <c r="K3187" s="148" t="s">
        <v>9352</v>
      </c>
      <c r="L3187" t="s">
        <v>9353</v>
      </c>
      <c r="M3187" t="s">
        <v>10464</v>
      </c>
      <c r="N3187" s="3">
        <v>66</v>
      </c>
      <c r="O3187" s="3">
        <v>69</v>
      </c>
      <c r="P3187" s="3">
        <v>72</v>
      </c>
      <c r="Q3187" s="3">
        <v>75</v>
      </c>
      <c r="R3187" s="3">
        <v>78</v>
      </c>
      <c r="S3187" s="3">
        <v>80</v>
      </c>
      <c r="T3187" t="s">
        <v>10465</v>
      </c>
      <c r="U3187" t="e">
        <v>#N/A</v>
      </c>
      <c r="V3187" t="s">
        <v>10466</v>
      </c>
      <c r="W3187" s="45">
        <v>1</v>
      </c>
      <c r="X3187" s="45">
        <v>0</v>
      </c>
      <c r="Y3187" s="45">
        <v>0</v>
      </c>
      <c r="Z3187" s="45">
        <v>1</v>
      </c>
      <c r="AA3187" s="45">
        <v>1</v>
      </c>
      <c r="AB3187" s="45">
        <v>0</v>
      </c>
      <c r="AC3187" s="150">
        <v>1</v>
      </c>
      <c r="AD3187" s="150">
        <v>0</v>
      </c>
      <c r="AE3187" s="49">
        <f t="shared" si="153"/>
        <v>0.5</v>
      </c>
      <c r="AF3187" s="44"/>
      <c r="AG3187" s="17">
        <v>0</v>
      </c>
      <c r="AH3187" s="44">
        <v>0.3</v>
      </c>
      <c r="AI3187" s="44">
        <v>0.3</v>
      </c>
      <c r="AJ3187" s="44">
        <v>0.3</v>
      </c>
      <c r="AK3187" s="151">
        <v>0.3</v>
      </c>
      <c r="AL3187" s="151">
        <v>0.3</v>
      </c>
      <c r="AM3187" s="17">
        <f t="shared" si="154"/>
        <v>0.6</v>
      </c>
      <c r="AN3187" t="s">
        <v>3643</v>
      </c>
      <c r="AO3187" s="18" t="s">
        <v>3630</v>
      </c>
      <c r="AP3187" t="s">
        <v>321</v>
      </c>
    </row>
    <row r="3188" spans="1:42" customFormat="1" hidden="1" x14ac:dyDescent="0.3">
      <c r="A3188" s="148" t="s">
        <v>8319</v>
      </c>
      <c r="B3188" t="s">
        <v>8320</v>
      </c>
      <c r="C3188" s="148" t="s">
        <v>9344</v>
      </c>
      <c r="D3188" t="s">
        <v>9345</v>
      </c>
      <c r="E3188" s="148" t="s">
        <v>9346</v>
      </c>
      <c r="F3188" t="s">
        <v>9347</v>
      </c>
      <c r="G3188" t="s">
        <v>9348</v>
      </c>
      <c r="H3188" t="s">
        <v>9349</v>
      </c>
      <c r="I3188" s="148" t="s">
        <v>9350</v>
      </c>
      <c r="J3188" t="s">
        <v>9351</v>
      </c>
      <c r="K3188" s="148" t="s">
        <v>9352</v>
      </c>
      <c r="L3188" t="s">
        <v>9353</v>
      </c>
      <c r="M3188" t="s">
        <v>10467</v>
      </c>
      <c r="N3188" s="3" t="s">
        <v>271</v>
      </c>
      <c r="O3188" s="3">
        <v>100</v>
      </c>
      <c r="P3188" s="3">
        <v>150</v>
      </c>
      <c r="Q3188" s="3">
        <v>200</v>
      </c>
      <c r="R3188" s="3">
        <v>200</v>
      </c>
      <c r="S3188" s="3">
        <v>200</v>
      </c>
      <c r="T3188" t="s">
        <v>255</v>
      </c>
      <c r="U3188" t="s">
        <v>1045</v>
      </c>
      <c r="V3188" t="s">
        <v>10468</v>
      </c>
      <c r="W3188" s="45">
        <v>1</v>
      </c>
      <c r="X3188" s="45">
        <v>0</v>
      </c>
      <c r="Y3188" s="45">
        <v>0</v>
      </c>
      <c r="Z3188" s="45">
        <v>1</v>
      </c>
      <c r="AA3188" s="45">
        <v>1</v>
      </c>
      <c r="AB3188" s="45">
        <v>0</v>
      </c>
      <c r="AC3188" s="150">
        <v>1</v>
      </c>
      <c r="AD3188" s="150">
        <v>0</v>
      </c>
      <c r="AE3188" s="49">
        <f t="shared" si="153"/>
        <v>0.5</v>
      </c>
      <c r="AF3188" s="44"/>
      <c r="AG3188" s="17">
        <v>0</v>
      </c>
      <c r="AH3188" s="44">
        <v>1</v>
      </c>
      <c r="AI3188" s="44">
        <v>1.4</v>
      </c>
      <c r="AJ3188" s="44">
        <v>1.4</v>
      </c>
      <c r="AK3188" s="151">
        <v>1.4</v>
      </c>
      <c r="AL3188" s="151">
        <v>1.4</v>
      </c>
      <c r="AM3188" s="17">
        <f t="shared" si="154"/>
        <v>2.8</v>
      </c>
      <c r="AN3188" s="18" t="s">
        <v>255</v>
      </c>
      <c r="AO3188" s="18" t="s">
        <v>1045</v>
      </c>
      <c r="AP3188" t="s">
        <v>10469</v>
      </c>
    </row>
    <row r="3189" spans="1:42" customFormat="1" hidden="1" x14ac:dyDescent="0.3">
      <c r="A3189" s="148" t="s">
        <v>8319</v>
      </c>
      <c r="B3189" t="s">
        <v>8320</v>
      </c>
      <c r="C3189" s="148" t="s">
        <v>9344</v>
      </c>
      <c r="D3189" t="s">
        <v>9345</v>
      </c>
      <c r="E3189" s="148" t="s">
        <v>9346</v>
      </c>
      <c r="F3189" t="s">
        <v>9347</v>
      </c>
      <c r="G3189" s="148" t="s">
        <v>10470</v>
      </c>
      <c r="H3189" t="s">
        <v>10471</v>
      </c>
      <c r="I3189" s="148" t="s">
        <v>10472</v>
      </c>
      <c r="J3189" t="s">
        <v>10473</v>
      </c>
      <c r="K3189" s="148" t="s">
        <v>10474</v>
      </c>
      <c r="L3189" t="s">
        <v>10475</v>
      </c>
      <c r="M3189" t="s">
        <v>10476</v>
      </c>
      <c r="N3189" s="3">
        <v>30</v>
      </c>
      <c r="O3189" s="3">
        <v>50</v>
      </c>
      <c r="P3189" s="3">
        <v>55</v>
      </c>
      <c r="Q3189" s="3">
        <v>60</v>
      </c>
      <c r="R3189" s="3">
        <v>65</v>
      </c>
      <c r="S3189" s="3">
        <v>70</v>
      </c>
      <c r="T3189" t="s">
        <v>3643</v>
      </c>
      <c r="U3189" t="s">
        <v>3630</v>
      </c>
      <c r="V3189" t="s">
        <v>10477</v>
      </c>
      <c r="W3189" s="45">
        <v>1</v>
      </c>
      <c r="X3189" s="45">
        <v>0</v>
      </c>
      <c r="Y3189" s="45">
        <v>0</v>
      </c>
      <c r="Z3189" s="45">
        <v>1</v>
      </c>
      <c r="AA3189" s="45">
        <v>1</v>
      </c>
      <c r="AB3189" s="45">
        <v>0</v>
      </c>
      <c r="AC3189" s="150">
        <v>1</v>
      </c>
      <c r="AD3189" s="150">
        <v>0</v>
      </c>
      <c r="AE3189" s="49">
        <f t="shared" si="153"/>
        <v>0.5</v>
      </c>
      <c r="AF3189" s="44"/>
      <c r="AG3189" s="17">
        <v>0</v>
      </c>
      <c r="AH3189" s="44">
        <v>1</v>
      </c>
      <c r="AI3189" s="44">
        <v>1</v>
      </c>
      <c r="AJ3189" s="44">
        <v>1</v>
      </c>
      <c r="AK3189" s="151">
        <v>1</v>
      </c>
      <c r="AL3189" s="151">
        <v>1</v>
      </c>
      <c r="AM3189" s="17">
        <f t="shared" si="154"/>
        <v>2</v>
      </c>
      <c r="AN3189" s="18" t="s">
        <v>255</v>
      </c>
      <c r="AO3189" s="18" t="s">
        <v>1045</v>
      </c>
      <c r="AP3189" t="s">
        <v>9746</v>
      </c>
    </row>
    <row r="3190" spans="1:42" customFormat="1" hidden="1" x14ac:dyDescent="0.3">
      <c r="A3190" s="148" t="s">
        <v>8319</v>
      </c>
      <c r="B3190" t="s">
        <v>8320</v>
      </c>
      <c r="C3190" s="148" t="s">
        <v>9344</v>
      </c>
      <c r="D3190" t="s">
        <v>9345</v>
      </c>
      <c r="E3190" s="148" t="s">
        <v>9346</v>
      </c>
      <c r="F3190" t="s">
        <v>9347</v>
      </c>
      <c r="G3190" s="148" t="s">
        <v>10470</v>
      </c>
      <c r="H3190" t="s">
        <v>10471</v>
      </c>
      <c r="I3190" s="148" t="s">
        <v>10472</v>
      </c>
      <c r="J3190" t="s">
        <v>10473</v>
      </c>
      <c r="K3190" s="148" t="s">
        <v>10474</v>
      </c>
      <c r="L3190" t="s">
        <v>10475</v>
      </c>
      <c r="M3190" t="s">
        <v>10478</v>
      </c>
      <c r="N3190" s="3" t="s">
        <v>271</v>
      </c>
      <c r="O3190" s="3">
        <v>100</v>
      </c>
      <c r="P3190" s="3">
        <v>150</v>
      </c>
      <c r="Q3190" s="3">
        <v>150</v>
      </c>
      <c r="R3190" s="3">
        <v>150</v>
      </c>
      <c r="S3190" s="3">
        <v>150</v>
      </c>
      <c r="T3190" t="s">
        <v>3640</v>
      </c>
      <c r="U3190" t="s">
        <v>3630</v>
      </c>
      <c r="V3190" t="s">
        <v>10479</v>
      </c>
      <c r="W3190" s="45">
        <v>1</v>
      </c>
      <c r="X3190" s="45">
        <v>0</v>
      </c>
      <c r="Y3190" s="45">
        <v>1</v>
      </c>
      <c r="Z3190" s="45">
        <v>1</v>
      </c>
      <c r="AA3190" s="45">
        <v>0</v>
      </c>
      <c r="AB3190" s="45">
        <v>0</v>
      </c>
      <c r="AC3190" s="150">
        <v>1</v>
      </c>
      <c r="AD3190" s="150">
        <v>0</v>
      </c>
      <c r="AE3190" s="49">
        <f t="shared" si="153"/>
        <v>0.5</v>
      </c>
      <c r="AF3190" s="44"/>
      <c r="AG3190" s="17">
        <v>0</v>
      </c>
      <c r="AH3190" s="44">
        <v>0.6</v>
      </c>
      <c r="AI3190" s="44">
        <v>0.6</v>
      </c>
      <c r="AJ3190" s="44">
        <v>0.6</v>
      </c>
      <c r="AK3190" s="151">
        <v>0.6</v>
      </c>
      <c r="AL3190" s="151">
        <v>0.6</v>
      </c>
      <c r="AM3190" s="17">
        <f t="shared" si="154"/>
        <v>1.2</v>
      </c>
      <c r="AN3190" s="18" t="s">
        <v>255</v>
      </c>
      <c r="AO3190" s="18" t="s">
        <v>1045</v>
      </c>
      <c r="AP3190" t="s">
        <v>9746</v>
      </c>
    </row>
    <row r="3191" spans="1:42" customFormat="1" hidden="1" x14ac:dyDescent="0.3">
      <c r="A3191" s="148" t="s">
        <v>8319</v>
      </c>
      <c r="B3191" t="s">
        <v>8320</v>
      </c>
      <c r="C3191" s="148" t="s">
        <v>9344</v>
      </c>
      <c r="D3191" t="s">
        <v>9345</v>
      </c>
      <c r="E3191" s="148" t="s">
        <v>9346</v>
      </c>
      <c r="F3191" t="s">
        <v>9347</v>
      </c>
      <c r="G3191" s="148" t="s">
        <v>10470</v>
      </c>
      <c r="H3191" t="s">
        <v>10471</v>
      </c>
      <c r="I3191" s="148" t="s">
        <v>10480</v>
      </c>
      <c r="J3191" t="s">
        <v>10481</v>
      </c>
      <c r="K3191" s="148" t="s">
        <v>10482</v>
      </c>
      <c r="L3191" t="s">
        <v>10483</v>
      </c>
      <c r="M3191" t="s">
        <v>10484</v>
      </c>
      <c r="N3191" s="3" t="s">
        <v>9365</v>
      </c>
      <c r="O3191" s="3">
        <v>30</v>
      </c>
      <c r="P3191" s="3">
        <v>50</v>
      </c>
      <c r="Q3191" s="3">
        <v>75</v>
      </c>
      <c r="R3191" s="3">
        <v>80</v>
      </c>
      <c r="S3191" s="3">
        <v>100</v>
      </c>
      <c r="T3191" t="s">
        <v>10485</v>
      </c>
      <c r="U3191" t="e">
        <v>#N/A</v>
      </c>
      <c r="V3191" t="s">
        <v>10486</v>
      </c>
      <c r="W3191" s="45">
        <v>1</v>
      </c>
      <c r="X3191" s="45">
        <v>0</v>
      </c>
      <c r="Y3191" s="45">
        <v>0</v>
      </c>
      <c r="Z3191" s="45">
        <v>1</v>
      </c>
      <c r="AA3191" s="45">
        <v>0</v>
      </c>
      <c r="AB3191" s="45">
        <v>0</v>
      </c>
      <c r="AC3191" s="150">
        <v>1</v>
      </c>
      <c r="AD3191" s="150">
        <v>1</v>
      </c>
      <c r="AE3191" s="49">
        <f t="shared" si="153"/>
        <v>0.5</v>
      </c>
      <c r="AF3191" s="44"/>
      <c r="AG3191" s="17">
        <v>0</v>
      </c>
      <c r="AH3191" s="44">
        <v>0</v>
      </c>
      <c r="AI3191" s="44">
        <v>0.3</v>
      </c>
      <c r="AJ3191" s="44">
        <v>0</v>
      </c>
      <c r="AK3191" s="151">
        <v>0</v>
      </c>
      <c r="AL3191" s="151">
        <v>0</v>
      </c>
      <c r="AM3191" s="17">
        <f t="shared" si="154"/>
        <v>0</v>
      </c>
      <c r="AN3191" t="s">
        <v>3643</v>
      </c>
      <c r="AO3191" s="18" t="s">
        <v>3630</v>
      </c>
      <c r="AP3191" t="s">
        <v>1893</v>
      </c>
    </row>
    <row r="3192" spans="1:42" customFormat="1" hidden="1" x14ac:dyDescent="0.3">
      <c r="A3192" s="148" t="s">
        <v>8319</v>
      </c>
      <c r="B3192" s="159" t="s">
        <v>8320</v>
      </c>
      <c r="C3192" s="148" t="s">
        <v>9344</v>
      </c>
      <c r="D3192" s="159" t="s">
        <v>9345</v>
      </c>
      <c r="E3192" s="148" t="s">
        <v>9346</v>
      </c>
      <c r="F3192" s="159" t="s">
        <v>9347</v>
      </c>
      <c r="G3192" s="148" t="s">
        <v>9897</v>
      </c>
      <c r="H3192" t="s">
        <v>9898</v>
      </c>
      <c r="I3192" s="159"/>
      <c r="J3192" s="159"/>
      <c r="K3192" s="155" t="s">
        <v>10487</v>
      </c>
      <c r="L3192" s="159" t="s">
        <v>10488</v>
      </c>
      <c r="M3192" s="159" t="s">
        <v>10489</v>
      </c>
      <c r="N3192" s="275"/>
      <c r="O3192" s="275"/>
      <c r="P3192" s="275"/>
      <c r="Q3192" s="275"/>
      <c r="R3192" s="275"/>
      <c r="S3192" s="275"/>
      <c r="T3192" t="s">
        <v>10490</v>
      </c>
      <c r="U3192" t="e">
        <v>#N/A</v>
      </c>
      <c r="V3192" s="159" t="s">
        <v>10491</v>
      </c>
      <c r="W3192" s="274">
        <v>1</v>
      </c>
      <c r="X3192" s="274">
        <v>0</v>
      </c>
      <c r="Y3192" s="274">
        <v>0</v>
      </c>
      <c r="Z3192" s="274">
        <v>1</v>
      </c>
      <c r="AA3192" s="274">
        <v>0</v>
      </c>
      <c r="AB3192" s="274">
        <v>0</v>
      </c>
      <c r="AC3192" s="150">
        <v>1</v>
      </c>
      <c r="AD3192" s="150">
        <v>1</v>
      </c>
      <c r="AE3192" s="49">
        <f t="shared" si="153"/>
        <v>0.5</v>
      </c>
      <c r="AF3192" s="276"/>
      <c r="AG3192" s="17">
        <v>0</v>
      </c>
      <c r="AH3192" s="276">
        <v>0</v>
      </c>
      <c r="AI3192" s="276">
        <v>0</v>
      </c>
      <c r="AJ3192" s="276">
        <v>0</v>
      </c>
      <c r="AK3192" s="158">
        <v>0</v>
      </c>
      <c r="AL3192" s="158">
        <v>0</v>
      </c>
      <c r="AM3192" s="17">
        <f t="shared" si="154"/>
        <v>0</v>
      </c>
      <c r="AN3192" s="14" t="s">
        <v>771</v>
      </c>
      <c r="AO3192" s="14" t="s">
        <v>773</v>
      </c>
      <c r="AP3192" s="159" t="s">
        <v>10492</v>
      </c>
    </row>
    <row r="3193" spans="1:42" customFormat="1" hidden="1" x14ac:dyDescent="0.3">
      <c r="A3193" s="148" t="s">
        <v>8319</v>
      </c>
      <c r="B3193" s="159" t="s">
        <v>8320</v>
      </c>
      <c r="C3193" s="148" t="s">
        <v>9344</v>
      </c>
      <c r="D3193" s="159" t="s">
        <v>9345</v>
      </c>
      <c r="E3193" s="148" t="s">
        <v>9346</v>
      </c>
      <c r="F3193" s="159" t="s">
        <v>9347</v>
      </c>
      <c r="G3193" s="148" t="s">
        <v>9897</v>
      </c>
      <c r="H3193" t="s">
        <v>9898</v>
      </c>
      <c r="I3193" s="159"/>
      <c r="J3193" s="159"/>
      <c r="K3193" s="155" t="s">
        <v>10487</v>
      </c>
      <c r="L3193" s="159" t="s">
        <v>10488</v>
      </c>
      <c r="M3193" s="159" t="s">
        <v>10493</v>
      </c>
      <c r="N3193" s="275"/>
      <c r="O3193" s="275">
        <v>55</v>
      </c>
      <c r="P3193" s="275">
        <v>60</v>
      </c>
      <c r="Q3193" s="275">
        <v>65</v>
      </c>
      <c r="R3193" s="275">
        <v>70</v>
      </c>
      <c r="S3193" s="275">
        <v>80</v>
      </c>
      <c r="T3193" t="s">
        <v>10490</v>
      </c>
      <c r="U3193" t="e">
        <v>#N/A</v>
      </c>
      <c r="V3193" s="159" t="s">
        <v>10494</v>
      </c>
      <c r="W3193" s="274">
        <v>1</v>
      </c>
      <c r="X3193" s="274">
        <v>0</v>
      </c>
      <c r="Y3193" s="274">
        <v>0</v>
      </c>
      <c r="Z3193" s="274">
        <v>1</v>
      </c>
      <c r="AA3193" s="274">
        <v>1</v>
      </c>
      <c r="AB3193" s="274">
        <v>0</v>
      </c>
      <c r="AC3193" s="150">
        <v>1</v>
      </c>
      <c r="AD3193" s="150">
        <v>0</v>
      </c>
      <c r="AE3193" s="49">
        <f t="shared" si="153"/>
        <v>0.5</v>
      </c>
      <c r="AF3193" s="276"/>
      <c r="AG3193" s="17">
        <v>0</v>
      </c>
      <c r="AH3193" s="276">
        <v>17</v>
      </c>
      <c r="AI3193" s="276">
        <v>5</v>
      </c>
      <c r="AJ3193" s="276">
        <v>6.8</v>
      </c>
      <c r="AK3193" s="158">
        <v>0</v>
      </c>
      <c r="AL3193" s="158">
        <v>0</v>
      </c>
      <c r="AM3193" s="17">
        <f t="shared" si="154"/>
        <v>0</v>
      </c>
      <c r="AN3193" s="14" t="s">
        <v>255</v>
      </c>
      <c r="AO3193" s="14" t="s">
        <v>1045</v>
      </c>
      <c r="AP3193" s="159" t="s">
        <v>10495</v>
      </c>
    </row>
    <row r="3194" spans="1:42" customFormat="1" hidden="1" x14ac:dyDescent="0.3">
      <c r="A3194" s="148" t="s">
        <v>8319</v>
      </c>
      <c r="B3194" t="s">
        <v>8320</v>
      </c>
      <c r="C3194" s="148" t="s">
        <v>9344</v>
      </c>
      <c r="D3194" t="s">
        <v>9345</v>
      </c>
      <c r="E3194" s="148" t="s">
        <v>9346</v>
      </c>
      <c r="F3194" t="s">
        <v>9347</v>
      </c>
      <c r="G3194" s="148" t="s">
        <v>9558</v>
      </c>
      <c r="H3194" t="s">
        <v>9559</v>
      </c>
      <c r="K3194" s="148" t="s">
        <v>9560</v>
      </c>
      <c r="L3194" t="s">
        <v>9561</v>
      </c>
      <c r="M3194" t="s">
        <v>10496</v>
      </c>
      <c r="N3194" s="3" t="s">
        <v>271</v>
      </c>
      <c r="O3194" s="3">
        <v>501</v>
      </c>
      <c r="P3194" s="3">
        <v>501</v>
      </c>
      <c r="Q3194" s="3">
        <v>501</v>
      </c>
      <c r="R3194" s="3">
        <v>501</v>
      </c>
      <c r="S3194" s="3">
        <v>501</v>
      </c>
      <c r="T3194" t="s">
        <v>723</v>
      </c>
      <c r="U3194" t="s">
        <v>729</v>
      </c>
      <c r="V3194" t="s">
        <v>10497</v>
      </c>
      <c r="W3194" s="45">
        <v>1</v>
      </c>
      <c r="X3194" s="45">
        <v>0</v>
      </c>
      <c r="Y3194" s="45">
        <v>0</v>
      </c>
      <c r="Z3194" s="45">
        <v>1</v>
      </c>
      <c r="AA3194" s="45">
        <v>1</v>
      </c>
      <c r="AB3194" s="45">
        <v>0</v>
      </c>
      <c r="AC3194" s="150">
        <v>0</v>
      </c>
      <c r="AD3194" s="150">
        <v>1</v>
      </c>
      <c r="AE3194" s="49">
        <f t="shared" si="153"/>
        <v>0.5</v>
      </c>
      <c r="AF3194" s="17"/>
      <c r="AG3194" s="17">
        <v>0</v>
      </c>
      <c r="AH3194" s="17">
        <v>0</v>
      </c>
      <c r="AI3194" s="44">
        <v>0.25</v>
      </c>
      <c r="AJ3194" s="44">
        <v>0.25</v>
      </c>
      <c r="AK3194" s="151">
        <v>0.25</v>
      </c>
      <c r="AL3194" s="151">
        <v>0.25</v>
      </c>
      <c r="AM3194" s="17">
        <f t="shared" si="154"/>
        <v>0.5</v>
      </c>
      <c r="AN3194" t="s">
        <v>723</v>
      </c>
      <c r="AO3194" s="18" t="s">
        <v>729</v>
      </c>
      <c r="AP3194" t="s">
        <v>255</v>
      </c>
    </row>
    <row r="3195" spans="1:42" customFormat="1" hidden="1" x14ac:dyDescent="0.3">
      <c r="A3195" s="148" t="s">
        <v>8319</v>
      </c>
      <c r="B3195" t="s">
        <v>8320</v>
      </c>
      <c r="C3195" s="148" t="s">
        <v>9344</v>
      </c>
      <c r="D3195" t="s">
        <v>9345</v>
      </c>
      <c r="E3195" s="148" t="s">
        <v>9346</v>
      </c>
      <c r="F3195" t="s">
        <v>9347</v>
      </c>
      <c r="G3195" s="148" t="s">
        <v>9558</v>
      </c>
      <c r="H3195" t="s">
        <v>9559</v>
      </c>
      <c r="K3195" s="148" t="s">
        <v>9560</v>
      </c>
      <c r="L3195" t="s">
        <v>9561</v>
      </c>
      <c r="M3195" t="s">
        <v>10498</v>
      </c>
      <c r="N3195" s="3" t="s">
        <v>271</v>
      </c>
      <c r="O3195" s="3">
        <v>500</v>
      </c>
      <c r="P3195" s="3">
        <v>500</v>
      </c>
      <c r="Q3195" s="3">
        <v>500</v>
      </c>
      <c r="R3195" s="3">
        <v>500</v>
      </c>
      <c r="S3195" s="3">
        <v>500</v>
      </c>
      <c r="T3195" t="s">
        <v>723</v>
      </c>
      <c r="U3195" t="s">
        <v>729</v>
      </c>
      <c r="V3195" t="s">
        <v>10499</v>
      </c>
      <c r="W3195" s="45">
        <v>1</v>
      </c>
      <c r="X3195" s="45">
        <v>0</v>
      </c>
      <c r="Y3195" s="45">
        <v>0</v>
      </c>
      <c r="Z3195" s="45">
        <v>1</v>
      </c>
      <c r="AA3195" s="45">
        <v>0</v>
      </c>
      <c r="AB3195" s="45">
        <v>0</v>
      </c>
      <c r="AC3195" s="150">
        <v>1</v>
      </c>
      <c r="AD3195" s="150">
        <v>1</v>
      </c>
      <c r="AE3195" s="49">
        <f t="shared" si="153"/>
        <v>0.5</v>
      </c>
      <c r="AF3195" s="17"/>
      <c r="AG3195" s="17">
        <v>0</v>
      </c>
      <c r="AH3195" s="17">
        <v>0</v>
      </c>
      <c r="AI3195" s="44">
        <v>0.1</v>
      </c>
      <c r="AJ3195" s="44">
        <v>0.1</v>
      </c>
      <c r="AK3195" s="151">
        <v>0.1</v>
      </c>
      <c r="AL3195" s="151">
        <v>0.1</v>
      </c>
      <c r="AM3195" s="17">
        <f t="shared" si="154"/>
        <v>0.2</v>
      </c>
      <c r="AN3195" s="18" t="s">
        <v>255</v>
      </c>
      <c r="AO3195" s="18" t="s">
        <v>1045</v>
      </c>
      <c r="AP3195" t="s">
        <v>4159</v>
      </c>
    </row>
    <row r="3196" spans="1:42" customFormat="1" hidden="1" x14ac:dyDescent="0.3">
      <c r="A3196" s="148" t="s">
        <v>8319</v>
      </c>
      <c r="B3196" t="s">
        <v>8320</v>
      </c>
      <c r="C3196" s="148" t="s">
        <v>9344</v>
      </c>
      <c r="D3196" t="s">
        <v>9345</v>
      </c>
      <c r="E3196" s="148" t="s">
        <v>9346</v>
      </c>
      <c r="F3196" t="s">
        <v>9347</v>
      </c>
      <c r="G3196" s="148" t="s">
        <v>9558</v>
      </c>
      <c r="H3196" t="s">
        <v>9559</v>
      </c>
      <c r="K3196" s="148" t="s">
        <v>9560</v>
      </c>
      <c r="L3196" t="s">
        <v>9561</v>
      </c>
      <c r="M3196" t="s">
        <v>10500</v>
      </c>
      <c r="N3196" s="3" t="s">
        <v>271</v>
      </c>
      <c r="O3196" s="3">
        <v>0</v>
      </c>
      <c r="P3196" s="3"/>
      <c r="Q3196" s="3"/>
      <c r="R3196" s="3">
        <v>1</v>
      </c>
      <c r="S3196" s="3">
        <v>0</v>
      </c>
      <c r="T3196" t="s">
        <v>255</v>
      </c>
      <c r="U3196" t="s">
        <v>1045</v>
      </c>
      <c r="V3196" t="s">
        <v>10501</v>
      </c>
      <c r="W3196" s="45">
        <v>1</v>
      </c>
      <c r="X3196" s="45">
        <v>0</v>
      </c>
      <c r="Y3196" s="45">
        <v>0</v>
      </c>
      <c r="Z3196" s="45">
        <v>1</v>
      </c>
      <c r="AA3196" s="45">
        <v>0</v>
      </c>
      <c r="AB3196" s="45">
        <v>0</v>
      </c>
      <c r="AC3196" s="150">
        <v>1</v>
      </c>
      <c r="AD3196" s="150">
        <v>1</v>
      </c>
      <c r="AE3196" s="49">
        <f t="shared" si="153"/>
        <v>0.5</v>
      </c>
      <c r="AF3196" s="17"/>
      <c r="AG3196" s="17">
        <v>0</v>
      </c>
      <c r="AH3196" s="17">
        <v>0</v>
      </c>
      <c r="AI3196" s="44">
        <v>0.5</v>
      </c>
      <c r="AJ3196" s="44">
        <v>0</v>
      </c>
      <c r="AK3196" s="151">
        <v>0</v>
      </c>
      <c r="AL3196" s="151">
        <v>0</v>
      </c>
      <c r="AM3196" s="17">
        <f t="shared" si="154"/>
        <v>0</v>
      </c>
      <c r="AN3196" t="s">
        <v>831</v>
      </c>
      <c r="AO3196" s="18" t="s">
        <v>834</v>
      </c>
      <c r="AP3196" t="s">
        <v>723</v>
      </c>
    </row>
    <row r="3197" spans="1:42" customFormat="1" hidden="1" x14ac:dyDescent="0.3">
      <c r="A3197" s="148" t="s">
        <v>8319</v>
      </c>
      <c r="B3197" t="s">
        <v>8320</v>
      </c>
      <c r="C3197" s="148" t="s">
        <v>9344</v>
      </c>
      <c r="D3197" t="s">
        <v>9345</v>
      </c>
      <c r="E3197" s="148" t="s">
        <v>9346</v>
      </c>
      <c r="F3197" t="s">
        <v>9347</v>
      </c>
      <c r="G3197" s="148" t="s">
        <v>9558</v>
      </c>
      <c r="H3197" t="s">
        <v>9559</v>
      </c>
      <c r="K3197" s="148" t="s">
        <v>9560</v>
      </c>
      <c r="L3197" t="s">
        <v>9561</v>
      </c>
      <c r="M3197" t="s">
        <v>10502</v>
      </c>
      <c r="N3197" s="3" t="s">
        <v>271</v>
      </c>
      <c r="O3197" s="3">
        <v>0</v>
      </c>
      <c r="P3197" s="3">
        <v>1261</v>
      </c>
      <c r="Q3197" s="3">
        <v>1356</v>
      </c>
      <c r="R3197" s="3">
        <v>1423</v>
      </c>
      <c r="S3197" s="3">
        <v>1459</v>
      </c>
      <c r="T3197" t="s">
        <v>255</v>
      </c>
      <c r="U3197" t="s">
        <v>1045</v>
      </c>
      <c r="V3197" t="s">
        <v>10503</v>
      </c>
      <c r="W3197" s="45">
        <v>1</v>
      </c>
      <c r="X3197" s="45">
        <v>0</v>
      </c>
      <c r="Y3197" s="45">
        <v>0</v>
      </c>
      <c r="Z3197" s="45">
        <v>0</v>
      </c>
      <c r="AA3197" s="45">
        <v>1</v>
      </c>
      <c r="AB3197" s="45">
        <v>0</v>
      </c>
      <c r="AC3197" s="150">
        <v>1</v>
      </c>
      <c r="AD3197" s="150">
        <v>1</v>
      </c>
      <c r="AE3197" s="49">
        <f t="shared" si="153"/>
        <v>0.5</v>
      </c>
      <c r="AF3197" s="17">
        <v>1</v>
      </c>
      <c r="AG3197" s="17">
        <v>0</v>
      </c>
      <c r="AH3197" s="17">
        <v>0</v>
      </c>
      <c r="AI3197" s="44">
        <v>40.380000000000003</v>
      </c>
      <c r="AJ3197" s="44">
        <v>43.4</v>
      </c>
      <c r="AK3197" s="151">
        <v>30</v>
      </c>
      <c r="AL3197" s="151">
        <v>46.7</v>
      </c>
      <c r="AM3197" s="17">
        <f t="shared" si="154"/>
        <v>76.7</v>
      </c>
      <c r="AN3197" s="18" t="s">
        <v>255</v>
      </c>
      <c r="AO3197" s="18" t="s">
        <v>1045</v>
      </c>
      <c r="AP3197" t="s">
        <v>10504</v>
      </c>
    </row>
    <row r="3198" spans="1:42" customFormat="1" hidden="1" x14ac:dyDescent="0.3">
      <c r="A3198" s="148" t="s">
        <v>8319</v>
      </c>
      <c r="B3198" t="s">
        <v>8320</v>
      </c>
      <c r="C3198" s="148" t="s">
        <v>9344</v>
      </c>
      <c r="D3198" t="s">
        <v>9345</v>
      </c>
      <c r="E3198" s="148" t="s">
        <v>9346</v>
      </c>
      <c r="F3198" t="s">
        <v>9347</v>
      </c>
      <c r="G3198" s="148" t="s">
        <v>9558</v>
      </c>
      <c r="H3198" t="s">
        <v>9559</v>
      </c>
      <c r="K3198" s="148" t="s">
        <v>9560</v>
      </c>
      <c r="L3198" t="s">
        <v>9561</v>
      </c>
      <c r="M3198" t="s">
        <v>10505</v>
      </c>
      <c r="N3198" s="3" t="s">
        <v>271</v>
      </c>
      <c r="O3198" s="3">
        <v>0</v>
      </c>
      <c r="P3198" s="3">
        <v>635</v>
      </c>
      <c r="Q3198" s="3">
        <v>617</v>
      </c>
      <c r="R3198" s="3">
        <v>544</v>
      </c>
      <c r="S3198" s="3">
        <v>416</v>
      </c>
      <c r="T3198" t="s">
        <v>255</v>
      </c>
      <c r="U3198" t="s">
        <v>1045</v>
      </c>
      <c r="V3198" t="s">
        <v>10506</v>
      </c>
      <c r="W3198" s="45">
        <v>1</v>
      </c>
      <c r="X3198" s="45">
        <v>0</v>
      </c>
      <c r="Y3198" s="45">
        <v>0</v>
      </c>
      <c r="Z3198" s="45">
        <v>0</v>
      </c>
      <c r="AA3198" s="45">
        <v>1</v>
      </c>
      <c r="AB3198" s="45">
        <v>0</v>
      </c>
      <c r="AC3198" s="150">
        <v>1</v>
      </c>
      <c r="AD3198" s="150">
        <v>1</v>
      </c>
      <c r="AE3198" s="49">
        <f t="shared" si="153"/>
        <v>0.5</v>
      </c>
      <c r="AF3198" s="17">
        <v>1</v>
      </c>
      <c r="AG3198" s="17">
        <v>0</v>
      </c>
      <c r="AH3198" s="17">
        <v>0</v>
      </c>
      <c r="AI3198" s="44">
        <v>87.8</v>
      </c>
      <c r="AJ3198" s="44">
        <v>85.3</v>
      </c>
      <c r="AK3198" s="151">
        <v>0</v>
      </c>
      <c r="AL3198" s="151">
        <v>0</v>
      </c>
      <c r="AM3198" s="17">
        <f t="shared" si="154"/>
        <v>0</v>
      </c>
      <c r="AN3198" s="18" t="s">
        <v>255</v>
      </c>
      <c r="AO3198" s="18" t="s">
        <v>1045</v>
      </c>
      <c r="AP3198" t="s">
        <v>723</v>
      </c>
    </row>
    <row r="3199" spans="1:42" customFormat="1" hidden="1" x14ac:dyDescent="0.3">
      <c r="A3199" s="148" t="s">
        <v>8319</v>
      </c>
      <c r="B3199" t="s">
        <v>8320</v>
      </c>
      <c r="C3199" s="148" t="s">
        <v>9344</v>
      </c>
      <c r="D3199" t="s">
        <v>9345</v>
      </c>
      <c r="E3199" s="148" t="s">
        <v>9346</v>
      </c>
      <c r="F3199" t="s">
        <v>9347</v>
      </c>
      <c r="G3199" s="148" t="s">
        <v>9558</v>
      </c>
      <c r="H3199" t="s">
        <v>9559</v>
      </c>
      <c r="K3199" s="148" t="s">
        <v>9560</v>
      </c>
      <c r="L3199" t="s">
        <v>9561</v>
      </c>
      <c r="M3199" t="s">
        <v>10507</v>
      </c>
      <c r="N3199" s="3" t="s">
        <v>271</v>
      </c>
      <c r="O3199" s="3">
        <v>0</v>
      </c>
      <c r="P3199" s="3">
        <v>281250</v>
      </c>
      <c r="Q3199" s="3">
        <v>281250</v>
      </c>
      <c r="R3199" s="3">
        <v>281250</v>
      </c>
      <c r="S3199" s="3">
        <v>281250</v>
      </c>
      <c r="T3199" t="s">
        <v>723</v>
      </c>
      <c r="U3199" t="s">
        <v>729</v>
      </c>
      <c r="V3199" t="s">
        <v>10508</v>
      </c>
      <c r="W3199" s="45">
        <v>1</v>
      </c>
      <c r="X3199" s="45">
        <v>0</v>
      </c>
      <c r="Y3199" s="45">
        <v>0</v>
      </c>
      <c r="Z3199" s="45">
        <v>0</v>
      </c>
      <c r="AA3199" s="45">
        <v>1</v>
      </c>
      <c r="AB3199" s="45">
        <v>0</v>
      </c>
      <c r="AC3199" s="150">
        <v>1</v>
      </c>
      <c r="AD3199" s="150">
        <v>1</v>
      </c>
      <c r="AE3199" s="49">
        <f t="shared" si="153"/>
        <v>0.5</v>
      </c>
      <c r="AF3199" s="17">
        <v>1</v>
      </c>
      <c r="AG3199" s="17">
        <v>0</v>
      </c>
      <c r="AH3199" s="17">
        <v>0</v>
      </c>
      <c r="AI3199" s="44">
        <v>88</v>
      </c>
      <c r="AJ3199" s="44">
        <v>88</v>
      </c>
      <c r="AK3199" s="151">
        <v>30</v>
      </c>
      <c r="AL3199" s="151">
        <v>15</v>
      </c>
      <c r="AM3199" s="17">
        <f t="shared" si="154"/>
        <v>45</v>
      </c>
      <c r="AN3199" s="18" t="s">
        <v>255</v>
      </c>
      <c r="AO3199" s="18" t="s">
        <v>1045</v>
      </c>
      <c r="AP3199" t="s">
        <v>10509</v>
      </c>
    </row>
    <row r="3200" spans="1:42" customFormat="1" hidden="1" x14ac:dyDescent="0.3">
      <c r="A3200" s="148" t="s">
        <v>8319</v>
      </c>
      <c r="B3200" t="s">
        <v>8320</v>
      </c>
      <c r="C3200" s="148" t="s">
        <v>9344</v>
      </c>
      <c r="D3200" t="s">
        <v>9345</v>
      </c>
      <c r="E3200" s="148" t="s">
        <v>9346</v>
      </c>
      <c r="F3200" t="s">
        <v>9347</v>
      </c>
      <c r="G3200" s="148" t="s">
        <v>9558</v>
      </c>
      <c r="H3200" t="s">
        <v>9559</v>
      </c>
      <c r="K3200" s="148" t="s">
        <v>9560</v>
      </c>
      <c r="L3200" t="s">
        <v>9561</v>
      </c>
      <c r="M3200" t="s">
        <v>10510</v>
      </c>
      <c r="N3200" s="3" t="s">
        <v>271</v>
      </c>
      <c r="O3200" s="3" t="s">
        <v>271</v>
      </c>
      <c r="P3200" s="3">
        <v>36000</v>
      </c>
      <c r="Q3200" s="3" t="s">
        <v>271</v>
      </c>
      <c r="R3200" s="3" t="s">
        <v>271</v>
      </c>
      <c r="S3200" s="3" t="s">
        <v>271</v>
      </c>
      <c r="T3200" t="s">
        <v>723</v>
      </c>
      <c r="U3200" t="s">
        <v>729</v>
      </c>
      <c r="V3200" t="s">
        <v>10511</v>
      </c>
      <c r="W3200" s="45">
        <v>1</v>
      </c>
      <c r="X3200" s="45">
        <v>0</v>
      </c>
      <c r="Y3200" s="45">
        <v>0</v>
      </c>
      <c r="Z3200" s="45">
        <v>0</v>
      </c>
      <c r="AA3200" s="45">
        <v>1</v>
      </c>
      <c r="AB3200" s="45">
        <v>0</v>
      </c>
      <c r="AC3200" s="150">
        <v>1</v>
      </c>
      <c r="AD3200" s="150">
        <v>1</v>
      </c>
      <c r="AE3200" s="49">
        <f t="shared" si="153"/>
        <v>0.5</v>
      </c>
      <c r="AF3200" s="17"/>
      <c r="AG3200" s="17">
        <v>0</v>
      </c>
      <c r="AH3200" s="17">
        <v>0</v>
      </c>
      <c r="AI3200" s="44">
        <v>3.2</v>
      </c>
      <c r="AJ3200" s="44" t="s">
        <v>10512</v>
      </c>
      <c r="AK3200" s="151">
        <v>3.2</v>
      </c>
      <c r="AL3200" s="151">
        <v>3.2</v>
      </c>
      <c r="AM3200" s="17">
        <f t="shared" si="154"/>
        <v>6.4</v>
      </c>
      <c r="AN3200" t="s">
        <v>723</v>
      </c>
      <c r="AO3200" s="18" t="s">
        <v>729</v>
      </c>
      <c r="AP3200" t="s">
        <v>1035</v>
      </c>
    </row>
    <row r="3201" spans="1:42" customFormat="1" hidden="1" x14ac:dyDescent="0.3">
      <c r="A3201" s="148" t="s">
        <v>8319</v>
      </c>
      <c r="B3201" t="s">
        <v>8320</v>
      </c>
      <c r="C3201" s="148" t="s">
        <v>9344</v>
      </c>
      <c r="D3201" t="s">
        <v>9345</v>
      </c>
      <c r="E3201" s="148" t="s">
        <v>9346</v>
      </c>
      <c r="F3201" t="s">
        <v>9347</v>
      </c>
      <c r="G3201" s="148" t="s">
        <v>9558</v>
      </c>
      <c r="H3201" t="s">
        <v>9559</v>
      </c>
      <c r="K3201" s="148" t="s">
        <v>9560</v>
      </c>
      <c r="L3201" t="s">
        <v>9561</v>
      </c>
      <c r="M3201" t="s">
        <v>10513</v>
      </c>
      <c r="N3201" s="3" t="s">
        <v>271</v>
      </c>
      <c r="O3201" s="3"/>
      <c r="P3201" s="3">
        <v>1000</v>
      </c>
      <c r="Q3201" s="3">
        <v>1085</v>
      </c>
      <c r="R3201" s="3">
        <v>1138</v>
      </c>
      <c r="S3201" s="3">
        <v>1167</v>
      </c>
      <c r="T3201" t="s">
        <v>2432</v>
      </c>
      <c r="U3201" t="s">
        <v>729</v>
      </c>
      <c r="V3201" t="s">
        <v>10514</v>
      </c>
      <c r="W3201" s="45">
        <v>1</v>
      </c>
      <c r="X3201" s="45">
        <v>0</v>
      </c>
      <c r="Y3201" s="45">
        <v>0</v>
      </c>
      <c r="Z3201" s="45">
        <v>1</v>
      </c>
      <c r="AA3201" s="45">
        <v>1</v>
      </c>
      <c r="AB3201" s="45">
        <v>0</v>
      </c>
      <c r="AC3201" s="150">
        <v>1</v>
      </c>
      <c r="AD3201" s="150">
        <v>0</v>
      </c>
      <c r="AE3201" s="49">
        <f t="shared" si="153"/>
        <v>0.5</v>
      </c>
      <c r="AF3201" s="44"/>
      <c r="AG3201" s="17">
        <v>1</v>
      </c>
      <c r="AH3201" s="44">
        <v>0</v>
      </c>
      <c r="AI3201" s="44">
        <v>0</v>
      </c>
      <c r="AJ3201" s="44">
        <v>20</v>
      </c>
      <c r="AK3201" s="151">
        <v>20</v>
      </c>
      <c r="AL3201" s="151">
        <v>20</v>
      </c>
      <c r="AM3201" s="17">
        <f t="shared" si="154"/>
        <v>40</v>
      </c>
      <c r="AN3201" s="44" t="s">
        <v>723</v>
      </c>
      <c r="AO3201" s="18" t="s">
        <v>729</v>
      </c>
      <c r="AP3201" t="s">
        <v>407</v>
      </c>
    </row>
    <row r="3202" spans="1:42" customFormat="1" hidden="1" x14ac:dyDescent="0.3">
      <c r="A3202" s="148" t="s">
        <v>8319</v>
      </c>
      <c r="B3202" t="s">
        <v>8320</v>
      </c>
      <c r="C3202" s="148" t="s">
        <v>9344</v>
      </c>
      <c r="D3202" t="s">
        <v>9345</v>
      </c>
      <c r="E3202" s="148" t="s">
        <v>9346</v>
      </c>
      <c r="F3202" t="s">
        <v>9347</v>
      </c>
      <c r="G3202" s="148" t="s">
        <v>9558</v>
      </c>
      <c r="H3202" t="s">
        <v>9559</v>
      </c>
      <c r="K3202" s="148" t="s">
        <v>9560</v>
      </c>
      <c r="L3202" t="s">
        <v>9561</v>
      </c>
      <c r="M3202" t="s">
        <v>10515</v>
      </c>
      <c r="N3202" s="3" t="s">
        <v>271</v>
      </c>
      <c r="O3202" s="3" t="s">
        <v>271</v>
      </c>
      <c r="P3202" s="3">
        <v>2</v>
      </c>
      <c r="Q3202" s="3">
        <v>3</v>
      </c>
      <c r="R3202" s="3">
        <v>4</v>
      </c>
      <c r="S3202" s="3">
        <v>5</v>
      </c>
      <c r="T3202" t="s">
        <v>723</v>
      </c>
      <c r="U3202" t="s">
        <v>729</v>
      </c>
      <c r="V3202" t="s">
        <v>10516</v>
      </c>
      <c r="W3202" s="45">
        <v>1</v>
      </c>
      <c r="X3202" s="45">
        <v>0</v>
      </c>
      <c r="Y3202" s="45">
        <v>0</v>
      </c>
      <c r="Z3202" s="45">
        <v>1</v>
      </c>
      <c r="AA3202" s="45">
        <v>1</v>
      </c>
      <c r="AB3202" s="45">
        <v>0</v>
      </c>
      <c r="AC3202" s="150">
        <v>0</v>
      </c>
      <c r="AD3202" s="150">
        <v>1</v>
      </c>
      <c r="AE3202" s="49">
        <f t="shared" si="153"/>
        <v>0.5</v>
      </c>
      <c r="AF3202" s="44"/>
      <c r="AG3202" s="17">
        <v>0</v>
      </c>
      <c r="AH3202" s="44">
        <v>0.34</v>
      </c>
      <c r="AI3202" s="44">
        <v>0.34</v>
      </c>
      <c r="AJ3202" s="44">
        <v>0.34</v>
      </c>
      <c r="AK3202" s="151">
        <v>0.34</v>
      </c>
      <c r="AL3202" s="151">
        <v>0.34</v>
      </c>
      <c r="AM3202" s="17">
        <f t="shared" si="154"/>
        <v>0.68</v>
      </c>
      <c r="AN3202" s="44" t="s">
        <v>723</v>
      </c>
      <c r="AO3202" s="18" t="s">
        <v>729</v>
      </c>
      <c r="AP3202" t="s">
        <v>119</v>
      </c>
    </row>
    <row r="3203" spans="1:42" customFormat="1" hidden="1" x14ac:dyDescent="0.3">
      <c r="A3203" s="148" t="s">
        <v>8319</v>
      </c>
      <c r="B3203" t="s">
        <v>8320</v>
      </c>
      <c r="C3203" s="148" t="s">
        <v>9344</v>
      </c>
      <c r="D3203" t="s">
        <v>9345</v>
      </c>
      <c r="E3203" s="148" t="s">
        <v>9346</v>
      </c>
      <c r="F3203" t="s">
        <v>9347</v>
      </c>
      <c r="G3203" s="148" t="s">
        <v>9558</v>
      </c>
      <c r="H3203" t="s">
        <v>9559</v>
      </c>
      <c r="K3203" s="148" t="s">
        <v>9560</v>
      </c>
      <c r="L3203" t="s">
        <v>9561</v>
      </c>
      <c r="N3203" s="3"/>
      <c r="O3203" s="3"/>
      <c r="P3203" s="3"/>
      <c r="Q3203" s="3"/>
      <c r="R3203" s="3"/>
      <c r="S3203" s="3"/>
      <c r="U3203" t="e">
        <v>#N/A</v>
      </c>
      <c r="V3203" t="s">
        <v>10517</v>
      </c>
      <c r="W3203" s="45">
        <v>1</v>
      </c>
      <c r="X3203" s="45">
        <v>0</v>
      </c>
      <c r="Y3203" s="45">
        <v>0</v>
      </c>
      <c r="Z3203" s="45">
        <v>1</v>
      </c>
      <c r="AA3203" s="45">
        <v>1</v>
      </c>
      <c r="AB3203" s="45">
        <v>0</v>
      </c>
      <c r="AC3203" s="150">
        <v>0</v>
      </c>
      <c r="AD3203" s="150">
        <v>1</v>
      </c>
      <c r="AE3203" s="49">
        <f t="shared" si="153"/>
        <v>0.5</v>
      </c>
      <c r="AF3203" s="44"/>
      <c r="AG3203" s="17">
        <v>0</v>
      </c>
      <c r="AH3203" s="44">
        <v>0</v>
      </c>
      <c r="AI3203" s="44">
        <v>0</v>
      </c>
      <c r="AJ3203" s="44">
        <v>0</v>
      </c>
      <c r="AK3203" s="151">
        <v>0</v>
      </c>
      <c r="AL3203" s="151">
        <v>0</v>
      </c>
      <c r="AM3203" s="17">
        <f t="shared" si="154"/>
        <v>0</v>
      </c>
      <c r="AN3203" s="44" t="s">
        <v>10518</v>
      </c>
      <c r="AO3203" s="18" t="s">
        <v>729</v>
      </c>
      <c r="AP3203" t="s">
        <v>119</v>
      </c>
    </row>
    <row r="3204" spans="1:42" customFormat="1" hidden="1" x14ac:dyDescent="0.3">
      <c r="A3204" s="148" t="s">
        <v>8319</v>
      </c>
      <c r="B3204" t="s">
        <v>8320</v>
      </c>
      <c r="C3204" s="148" t="s">
        <v>9344</v>
      </c>
      <c r="D3204" t="s">
        <v>9345</v>
      </c>
      <c r="E3204" s="148" t="s">
        <v>9346</v>
      </c>
      <c r="F3204" t="s">
        <v>9347</v>
      </c>
      <c r="G3204" s="148" t="s">
        <v>9558</v>
      </c>
      <c r="H3204" t="s">
        <v>9559</v>
      </c>
      <c r="K3204" s="148" t="s">
        <v>9560</v>
      </c>
      <c r="L3204" t="s">
        <v>9561</v>
      </c>
      <c r="N3204" s="3"/>
      <c r="O3204" s="3"/>
      <c r="P3204" s="3"/>
      <c r="Q3204" s="3">
        <v>1</v>
      </c>
      <c r="R3204" s="3">
        <v>1</v>
      </c>
      <c r="S3204" s="3">
        <v>1</v>
      </c>
      <c r="T3204" t="s">
        <v>2432</v>
      </c>
      <c r="U3204" t="s">
        <v>729</v>
      </c>
      <c r="V3204" t="s">
        <v>10519</v>
      </c>
      <c r="W3204" s="45">
        <v>1</v>
      </c>
      <c r="X3204" s="45">
        <v>0</v>
      </c>
      <c r="Y3204" s="45">
        <v>0</v>
      </c>
      <c r="Z3204" s="45">
        <v>1</v>
      </c>
      <c r="AA3204" s="45">
        <v>1</v>
      </c>
      <c r="AB3204" s="45">
        <v>0</v>
      </c>
      <c r="AC3204" s="150">
        <v>0</v>
      </c>
      <c r="AD3204" s="150">
        <v>1</v>
      </c>
      <c r="AE3204" s="49">
        <f t="shared" si="153"/>
        <v>0.5</v>
      </c>
      <c r="AF3204" s="17"/>
      <c r="AG3204" s="17">
        <v>0</v>
      </c>
      <c r="AH3204" s="17">
        <v>0</v>
      </c>
      <c r="AI3204" s="44">
        <v>2</v>
      </c>
      <c r="AJ3204" s="44">
        <v>2</v>
      </c>
      <c r="AK3204" s="151">
        <v>2</v>
      </c>
      <c r="AL3204" s="151">
        <v>2</v>
      </c>
      <c r="AM3204" s="17">
        <f t="shared" si="154"/>
        <v>4</v>
      </c>
      <c r="AN3204" s="44" t="s">
        <v>9929</v>
      </c>
      <c r="AO3204" s="18" t="s">
        <v>729</v>
      </c>
      <c r="AP3204" t="s">
        <v>9930</v>
      </c>
    </row>
    <row r="3205" spans="1:42" customFormat="1" hidden="1" x14ac:dyDescent="0.3">
      <c r="A3205" s="148" t="s">
        <v>8319</v>
      </c>
      <c r="B3205" t="s">
        <v>8320</v>
      </c>
      <c r="C3205" s="148" t="s">
        <v>9344</v>
      </c>
      <c r="D3205" t="s">
        <v>9345</v>
      </c>
      <c r="E3205" s="148" t="s">
        <v>9346</v>
      </c>
      <c r="F3205" t="s">
        <v>9347</v>
      </c>
      <c r="G3205" s="148" t="s">
        <v>9558</v>
      </c>
      <c r="H3205" t="s">
        <v>9559</v>
      </c>
      <c r="K3205" s="148" t="s">
        <v>9560</v>
      </c>
      <c r="L3205" t="s">
        <v>9561</v>
      </c>
      <c r="N3205" s="3"/>
      <c r="O3205" s="3"/>
      <c r="P3205" s="3"/>
      <c r="Q3205" s="3">
        <v>1</v>
      </c>
      <c r="R3205" s="3">
        <v>1</v>
      </c>
      <c r="S3205" s="3">
        <v>1</v>
      </c>
      <c r="T3205" t="s">
        <v>10520</v>
      </c>
      <c r="U3205" t="e">
        <v>#N/A</v>
      </c>
      <c r="V3205" t="s">
        <v>10521</v>
      </c>
      <c r="W3205" s="45">
        <v>1</v>
      </c>
      <c r="X3205" s="45">
        <v>0</v>
      </c>
      <c r="Y3205" s="45">
        <v>0</v>
      </c>
      <c r="Z3205" s="45">
        <v>1</v>
      </c>
      <c r="AA3205" s="45">
        <v>1</v>
      </c>
      <c r="AB3205" s="45">
        <v>0</v>
      </c>
      <c r="AC3205" s="150">
        <v>0</v>
      </c>
      <c r="AD3205" s="150">
        <v>1</v>
      </c>
      <c r="AE3205" s="49">
        <f t="shared" si="153"/>
        <v>0.5</v>
      </c>
      <c r="AF3205" s="44"/>
      <c r="AG3205" s="17">
        <v>0</v>
      </c>
      <c r="AH3205" s="44">
        <v>0.5</v>
      </c>
      <c r="AI3205" s="44">
        <v>0.5</v>
      </c>
      <c r="AJ3205" s="44">
        <v>0.5</v>
      </c>
      <c r="AK3205" s="151">
        <v>0.5</v>
      </c>
      <c r="AL3205" s="151">
        <v>0.5</v>
      </c>
      <c r="AM3205" s="17">
        <f t="shared" si="154"/>
        <v>1</v>
      </c>
      <c r="AN3205" s="44" t="s">
        <v>10518</v>
      </c>
      <c r="AO3205" s="18" t="s">
        <v>729</v>
      </c>
      <c r="AP3205" t="s">
        <v>119</v>
      </c>
    </row>
    <row r="3206" spans="1:42" customFormat="1" hidden="1" x14ac:dyDescent="0.3">
      <c r="A3206" s="148" t="s">
        <v>8319</v>
      </c>
      <c r="B3206" t="s">
        <v>8320</v>
      </c>
      <c r="C3206" s="148" t="s">
        <v>9344</v>
      </c>
      <c r="D3206" t="s">
        <v>9345</v>
      </c>
      <c r="E3206" s="148" t="s">
        <v>9346</v>
      </c>
      <c r="F3206" t="s">
        <v>9347</v>
      </c>
      <c r="G3206" s="148" t="s">
        <v>10141</v>
      </c>
      <c r="H3206" t="s">
        <v>10142</v>
      </c>
      <c r="K3206" s="155" t="s">
        <v>10143</v>
      </c>
      <c r="L3206" t="s">
        <v>10144</v>
      </c>
      <c r="M3206" t="s">
        <v>10522</v>
      </c>
      <c r="N3206" s="3" t="s">
        <v>271</v>
      </c>
      <c r="O3206" s="3" t="s">
        <v>271</v>
      </c>
      <c r="P3206" s="3">
        <v>39250</v>
      </c>
      <c r="Q3206" s="3">
        <v>39250</v>
      </c>
      <c r="R3206" s="3">
        <v>39250</v>
      </c>
      <c r="S3206" s="3">
        <v>39250</v>
      </c>
      <c r="T3206" t="s">
        <v>10523</v>
      </c>
      <c r="U3206" t="e">
        <v>#N/A</v>
      </c>
      <c r="V3206" t="s">
        <v>10524</v>
      </c>
      <c r="W3206" s="45">
        <v>1</v>
      </c>
      <c r="X3206" s="45">
        <v>0</v>
      </c>
      <c r="Y3206" s="45">
        <v>0</v>
      </c>
      <c r="Z3206" s="45">
        <v>1</v>
      </c>
      <c r="AA3206" s="45">
        <v>1</v>
      </c>
      <c r="AB3206" s="45">
        <v>0</v>
      </c>
      <c r="AC3206" s="150">
        <v>0</v>
      </c>
      <c r="AD3206" s="150">
        <v>1</v>
      </c>
      <c r="AE3206" s="49">
        <f t="shared" si="153"/>
        <v>0.5</v>
      </c>
      <c r="AF3206" s="44">
        <v>1</v>
      </c>
      <c r="AG3206" s="17">
        <v>0</v>
      </c>
      <c r="AH3206" s="44">
        <v>0</v>
      </c>
      <c r="AI3206" s="44">
        <v>2</v>
      </c>
      <c r="AJ3206" s="44">
        <v>2</v>
      </c>
      <c r="AK3206" s="151">
        <v>1</v>
      </c>
      <c r="AL3206" s="151">
        <v>1</v>
      </c>
      <c r="AM3206" s="17">
        <f t="shared" si="154"/>
        <v>2</v>
      </c>
      <c r="AN3206" s="44" t="s">
        <v>1977</v>
      </c>
      <c r="AO3206" s="18" t="s">
        <v>9869</v>
      </c>
      <c r="AP3206" t="s">
        <v>723</v>
      </c>
    </row>
    <row r="3207" spans="1:42" customFormat="1" hidden="1" x14ac:dyDescent="0.3">
      <c r="A3207" s="148" t="s">
        <v>8319</v>
      </c>
      <c r="B3207" t="s">
        <v>8320</v>
      </c>
      <c r="C3207" s="148" t="s">
        <v>9344</v>
      </c>
      <c r="D3207" t="s">
        <v>9345</v>
      </c>
      <c r="E3207" s="148" t="s">
        <v>9346</v>
      </c>
      <c r="F3207" t="s">
        <v>9347</v>
      </c>
      <c r="G3207" s="148" t="s">
        <v>10141</v>
      </c>
      <c r="H3207" t="s">
        <v>10142</v>
      </c>
      <c r="K3207" s="155" t="s">
        <v>10143</v>
      </c>
      <c r="L3207" t="s">
        <v>10144</v>
      </c>
      <c r="M3207" t="s">
        <v>10525</v>
      </c>
      <c r="N3207" s="3" t="s">
        <v>271</v>
      </c>
      <c r="O3207" s="3">
        <v>4500</v>
      </c>
      <c r="P3207" s="3">
        <v>4500</v>
      </c>
      <c r="Q3207" s="3">
        <v>4500</v>
      </c>
      <c r="R3207" s="3">
        <v>4500</v>
      </c>
      <c r="S3207" s="3">
        <v>4500</v>
      </c>
      <c r="T3207" t="s">
        <v>255</v>
      </c>
      <c r="U3207" t="s">
        <v>1045</v>
      </c>
      <c r="V3207" t="s">
        <v>10526</v>
      </c>
      <c r="W3207" s="45">
        <v>1</v>
      </c>
      <c r="X3207" s="45">
        <v>0</v>
      </c>
      <c r="Y3207" s="45">
        <v>0</v>
      </c>
      <c r="Z3207" s="45">
        <v>1</v>
      </c>
      <c r="AA3207" s="45">
        <v>1</v>
      </c>
      <c r="AB3207" s="45">
        <v>0</v>
      </c>
      <c r="AC3207" s="150">
        <v>0</v>
      </c>
      <c r="AD3207" s="150">
        <v>1</v>
      </c>
      <c r="AE3207" s="49">
        <f t="shared" si="153"/>
        <v>0.5</v>
      </c>
      <c r="AF3207" s="44">
        <v>1</v>
      </c>
      <c r="AG3207" s="17">
        <v>0</v>
      </c>
      <c r="AH3207" s="44">
        <v>0</v>
      </c>
      <c r="AI3207" s="44">
        <v>3.9</v>
      </c>
      <c r="AJ3207" s="44">
        <v>3.9</v>
      </c>
      <c r="AK3207" s="151">
        <v>2</v>
      </c>
      <c r="AL3207" s="151">
        <v>2</v>
      </c>
      <c r="AM3207" s="17">
        <f t="shared" si="154"/>
        <v>4</v>
      </c>
      <c r="AN3207" s="18" t="s">
        <v>255</v>
      </c>
      <c r="AO3207" s="18" t="s">
        <v>1045</v>
      </c>
      <c r="AP3207" t="s">
        <v>723</v>
      </c>
    </row>
    <row r="3208" spans="1:42" customFormat="1" hidden="1" x14ac:dyDescent="0.3">
      <c r="A3208" s="148" t="s">
        <v>8319</v>
      </c>
      <c r="B3208" t="s">
        <v>8320</v>
      </c>
      <c r="C3208" s="148" t="s">
        <v>9344</v>
      </c>
      <c r="D3208" t="s">
        <v>9345</v>
      </c>
      <c r="E3208" s="148" t="s">
        <v>9346</v>
      </c>
      <c r="F3208" t="s">
        <v>9347</v>
      </c>
      <c r="G3208" s="148" t="s">
        <v>10152</v>
      </c>
      <c r="H3208" t="s">
        <v>10153</v>
      </c>
      <c r="K3208" s="148" t="s">
        <v>10154</v>
      </c>
      <c r="L3208" t="s">
        <v>10155</v>
      </c>
      <c r="M3208" t="s">
        <v>10527</v>
      </c>
      <c r="N3208" s="3" t="s">
        <v>271</v>
      </c>
      <c r="O3208" s="3" t="s">
        <v>271</v>
      </c>
      <c r="P3208" s="3" t="s">
        <v>271</v>
      </c>
      <c r="Q3208" s="3" t="s">
        <v>271</v>
      </c>
      <c r="R3208" s="3">
        <v>2</v>
      </c>
      <c r="S3208" s="3">
        <v>2</v>
      </c>
      <c r="T3208" t="s">
        <v>2432</v>
      </c>
      <c r="U3208" t="s">
        <v>729</v>
      </c>
      <c r="V3208" t="s">
        <v>10528</v>
      </c>
      <c r="W3208" s="45">
        <v>1</v>
      </c>
      <c r="X3208" s="45">
        <v>0</v>
      </c>
      <c r="Y3208" s="45">
        <v>0</v>
      </c>
      <c r="Z3208" s="45">
        <v>1</v>
      </c>
      <c r="AA3208" s="45">
        <v>1</v>
      </c>
      <c r="AB3208" s="45">
        <v>0</v>
      </c>
      <c r="AC3208" s="150">
        <v>0</v>
      </c>
      <c r="AD3208" s="150">
        <v>1</v>
      </c>
      <c r="AE3208" s="49">
        <f t="shared" si="153"/>
        <v>0.5</v>
      </c>
      <c r="AF3208" s="17"/>
      <c r="AG3208" s="17">
        <v>0</v>
      </c>
      <c r="AH3208" s="17">
        <v>0</v>
      </c>
      <c r="AI3208" s="17">
        <v>0</v>
      </c>
      <c r="AJ3208" s="44">
        <v>2</v>
      </c>
      <c r="AK3208" s="151">
        <v>0.5</v>
      </c>
      <c r="AL3208" s="151">
        <v>0</v>
      </c>
      <c r="AM3208" s="17">
        <f t="shared" si="154"/>
        <v>0.5</v>
      </c>
      <c r="AN3208" s="44" t="s">
        <v>239</v>
      </c>
      <c r="AO3208" s="18" t="s">
        <v>241</v>
      </c>
      <c r="AP3208" t="s">
        <v>10529</v>
      </c>
    </row>
    <row r="3209" spans="1:42" customFormat="1" hidden="1" x14ac:dyDescent="0.3">
      <c r="A3209" s="148" t="s">
        <v>8319</v>
      </c>
      <c r="B3209" t="s">
        <v>8320</v>
      </c>
      <c r="C3209" s="148" t="s">
        <v>9344</v>
      </c>
      <c r="D3209" t="s">
        <v>9345</v>
      </c>
      <c r="E3209" s="148" t="s">
        <v>9346</v>
      </c>
      <c r="F3209" t="s">
        <v>9347</v>
      </c>
      <c r="G3209" s="148" t="s">
        <v>10158</v>
      </c>
      <c r="H3209" t="s">
        <v>10159</v>
      </c>
      <c r="I3209" s="148" t="s">
        <v>10530</v>
      </c>
      <c r="J3209" t="s">
        <v>10531</v>
      </c>
      <c r="K3209" s="148" t="s">
        <v>10532</v>
      </c>
      <c r="L3209" t="s">
        <v>10533</v>
      </c>
      <c r="M3209" t="s">
        <v>10534</v>
      </c>
      <c r="N3209" s="3"/>
      <c r="O3209" s="3">
        <v>0</v>
      </c>
      <c r="P3209" s="3">
        <v>1</v>
      </c>
      <c r="Q3209" s="3" t="s">
        <v>271</v>
      </c>
      <c r="R3209" s="3" t="s">
        <v>271</v>
      </c>
      <c r="S3209" s="3" t="s">
        <v>271</v>
      </c>
      <c r="T3209" t="s">
        <v>723</v>
      </c>
      <c r="U3209" t="s">
        <v>729</v>
      </c>
      <c r="V3209" t="s">
        <v>10535</v>
      </c>
      <c r="W3209" s="45">
        <v>1</v>
      </c>
      <c r="X3209" s="45">
        <v>0</v>
      </c>
      <c r="Y3209" s="45">
        <v>0</v>
      </c>
      <c r="Z3209" s="45">
        <v>1</v>
      </c>
      <c r="AA3209" s="45">
        <v>1</v>
      </c>
      <c r="AB3209" s="45">
        <v>0</v>
      </c>
      <c r="AC3209" s="150">
        <v>0</v>
      </c>
      <c r="AD3209" s="150">
        <v>1</v>
      </c>
      <c r="AE3209" s="49">
        <f t="shared" si="153"/>
        <v>0.5</v>
      </c>
      <c r="AF3209" s="17">
        <v>1</v>
      </c>
      <c r="AG3209" s="17">
        <v>0</v>
      </c>
      <c r="AH3209" s="17">
        <v>0</v>
      </c>
      <c r="AI3209" s="44">
        <v>0</v>
      </c>
      <c r="AJ3209" s="17">
        <v>0</v>
      </c>
      <c r="AK3209" s="153">
        <v>0.1</v>
      </c>
      <c r="AL3209" s="151">
        <v>0.3</v>
      </c>
      <c r="AM3209" s="17">
        <f t="shared" si="154"/>
        <v>0.4</v>
      </c>
      <c r="AN3209" s="44" t="s">
        <v>723</v>
      </c>
      <c r="AO3209" s="18" t="s">
        <v>729</v>
      </c>
      <c r="AP3209" t="s">
        <v>10536</v>
      </c>
    </row>
    <row r="3210" spans="1:42" customFormat="1" hidden="1" x14ac:dyDescent="0.3">
      <c r="A3210" s="148" t="s">
        <v>8319</v>
      </c>
      <c r="B3210" t="s">
        <v>8320</v>
      </c>
      <c r="C3210" s="148" t="s">
        <v>9344</v>
      </c>
      <c r="D3210" t="s">
        <v>9345</v>
      </c>
      <c r="E3210" s="148" t="s">
        <v>9346</v>
      </c>
      <c r="F3210" t="s">
        <v>9347</v>
      </c>
      <c r="G3210" s="148" t="s">
        <v>10158</v>
      </c>
      <c r="H3210" t="s">
        <v>10159</v>
      </c>
      <c r="I3210" s="148" t="s">
        <v>10530</v>
      </c>
      <c r="J3210" t="s">
        <v>10531</v>
      </c>
      <c r="K3210" s="155" t="s">
        <v>10537</v>
      </c>
      <c r="L3210" t="s">
        <v>10538</v>
      </c>
      <c r="M3210" t="s">
        <v>10539</v>
      </c>
      <c r="N3210" s="3" t="s">
        <v>271</v>
      </c>
      <c r="O3210" s="3">
        <v>10</v>
      </c>
      <c r="P3210" s="3">
        <v>15</v>
      </c>
      <c r="Q3210" s="3">
        <v>25</v>
      </c>
      <c r="R3210" s="3">
        <v>27</v>
      </c>
      <c r="S3210" s="3">
        <v>30</v>
      </c>
      <c r="T3210" t="s">
        <v>10540</v>
      </c>
      <c r="U3210" t="e">
        <v>#N/A</v>
      </c>
      <c r="V3210" t="s">
        <v>10541</v>
      </c>
      <c r="W3210" s="45">
        <v>1</v>
      </c>
      <c r="X3210" s="45">
        <v>0</v>
      </c>
      <c r="Y3210" s="45">
        <v>0</v>
      </c>
      <c r="Z3210" s="45">
        <v>1</v>
      </c>
      <c r="AA3210" s="45">
        <v>1</v>
      </c>
      <c r="AB3210" s="45">
        <v>0</v>
      </c>
      <c r="AC3210" s="150">
        <v>0</v>
      </c>
      <c r="AD3210" s="150">
        <v>1</v>
      </c>
      <c r="AE3210" s="49">
        <f t="shared" si="153"/>
        <v>0.5</v>
      </c>
      <c r="AF3210" s="17">
        <v>1</v>
      </c>
      <c r="AG3210" s="17">
        <v>0</v>
      </c>
      <c r="AH3210" s="17">
        <v>0</v>
      </c>
      <c r="AI3210" s="44">
        <v>0</v>
      </c>
      <c r="AJ3210" s="17">
        <v>0</v>
      </c>
      <c r="AK3210" s="153">
        <v>0.1</v>
      </c>
      <c r="AL3210" s="151">
        <v>0.1</v>
      </c>
      <c r="AM3210" s="17">
        <f t="shared" si="154"/>
        <v>0.2</v>
      </c>
      <c r="AN3210" s="44" t="s">
        <v>723</v>
      </c>
      <c r="AO3210" s="18" t="s">
        <v>729</v>
      </c>
      <c r="AP3210" t="s">
        <v>119</v>
      </c>
    </row>
    <row r="3211" spans="1:42" customFormat="1" hidden="1" x14ac:dyDescent="0.3">
      <c r="A3211" s="148" t="s">
        <v>8319</v>
      </c>
      <c r="B3211" t="s">
        <v>8320</v>
      </c>
      <c r="C3211" s="148" t="s">
        <v>9369</v>
      </c>
      <c r="D3211" t="s">
        <v>9370</v>
      </c>
      <c r="E3211" s="148" t="s">
        <v>9371</v>
      </c>
      <c r="F3211" t="s">
        <v>9372</v>
      </c>
      <c r="G3211" s="148" t="s">
        <v>9373</v>
      </c>
      <c r="H3211" t="s">
        <v>9374</v>
      </c>
      <c r="I3211" t="s">
        <v>9375</v>
      </c>
      <c r="J3211" t="s">
        <v>9376</v>
      </c>
      <c r="K3211" s="148" t="s">
        <v>10542</v>
      </c>
      <c r="L3211" t="s">
        <v>9570</v>
      </c>
      <c r="N3211" s="3"/>
      <c r="O3211" s="3"/>
      <c r="P3211" s="3">
        <v>1</v>
      </c>
      <c r="Q3211" s="3"/>
      <c r="R3211" s="3">
        <v>1</v>
      </c>
      <c r="S3211" s="3"/>
      <c r="U3211" t="e">
        <v>#N/A</v>
      </c>
      <c r="V3211" t="s">
        <v>10543</v>
      </c>
      <c r="W3211" s="45">
        <v>1</v>
      </c>
      <c r="X3211" s="45">
        <v>1</v>
      </c>
      <c r="Y3211" s="45">
        <v>0</v>
      </c>
      <c r="Z3211" s="45">
        <v>1</v>
      </c>
      <c r="AA3211" s="45"/>
      <c r="AB3211" s="45">
        <v>0</v>
      </c>
      <c r="AC3211" s="150">
        <v>0</v>
      </c>
      <c r="AD3211" s="150">
        <v>1</v>
      </c>
      <c r="AE3211" s="49">
        <f t="shared" si="153"/>
        <v>0.5</v>
      </c>
      <c r="AF3211" s="17"/>
      <c r="AG3211" s="17">
        <v>0</v>
      </c>
      <c r="AH3211" s="17">
        <v>0</v>
      </c>
      <c r="AI3211" s="44">
        <v>2</v>
      </c>
      <c r="AJ3211" s="17">
        <v>0</v>
      </c>
      <c r="AK3211" s="151">
        <v>0</v>
      </c>
      <c r="AL3211" s="154">
        <v>0</v>
      </c>
      <c r="AM3211" s="17">
        <f t="shared" si="154"/>
        <v>0</v>
      </c>
      <c r="AN3211" s="44" t="s">
        <v>5698</v>
      </c>
      <c r="AO3211" s="18" t="s">
        <v>2019</v>
      </c>
      <c r="AP3211" t="s">
        <v>10544</v>
      </c>
    </row>
    <row r="3212" spans="1:42" customFormat="1" hidden="1" x14ac:dyDescent="0.3">
      <c r="A3212" s="148" t="s">
        <v>8319</v>
      </c>
      <c r="B3212" t="s">
        <v>8320</v>
      </c>
      <c r="C3212" s="148" t="s">
        <v>9369</v>
      </c>
      <c r="D3212" t="s">
        <v>9370</v>
      </c>
      <c r="E3212" s="148" t="s">
        <v>9371</v>
      </c>
      <c r="F3212" t="s">
        <v>9372</v>
      </c>
      <c r="G3212" s="148" t="s">
        <v>9373</v>
      </c>
      <c r="H3212" t="s">
        <v>9374</v>
      </c>
      <c r="I3212" t="s">
        <v>9375</v>
      </c>
      <c r="J3212" t="s">
        <v>9376</v>
      </c>
      <c r="K3212" s="148" t="s">
        <v>9578</v>
      </c>
      <c r="L3212" t="s">
        <v>9579</v>
      </c>
      <c r="M3212" t="s">
        <v>10545</v>
      </c>
      <c r="N3212" s="3">
        <v>17</v>
      </c>
      <c r="O3212" s="3">
        <v>5</v>
      </c>
      <c r="P3212" s="3">
        <v>5</v>
      </c>
      <c r="Q3212" s="3">
        <v>5</v>
      </c>
      <c r="R3212" s="3">
        <v>5</v>
      </c>
      <c r="S3212" s="3">
        <v>5</v>
      </c>
      <c r="T3212" t="s">
        <v>771</v>
      </c>
      <c r="U3212" t="s">
        <v>773</v>
      </c>
      <c r="V3212" t="s">
        <v>10546</v>
      </c>
      <c r="W3212" s="45">
        <v>1</v>
      </c>
      <c r="X3212" s="45">
        <v>0</v>
      </c>
      <c r="Y3212" s="45">
        <v>0</v>
      </c>
      <c r="Z3212" s="45">
        <v>1</v>
      </c>
      <c r="AA3212" s="45">
        <v>1</v>
      </c>
      <c r="AB3212" s="45">
        <v>0</v>
      </c>
      <c r="AC3212" s="150">
        <v>0</v>
      </c>
      <c r="AD3212" s="150">
        <v>1</v>
      </c>
      <c r="AE3212" s="49">
        <f t="shared" si="153"/>
        <v>0.5</v>
      </c>
      <c r="AF3212" s="44"/>
      <c r="AG3212" s="17">
        <v>0</v>
      </c>
      <c r="AH3212" s="44">
        <v>0.01</v>
      </c>
      <c r="AI3212" s="44">
        <v>0.01</v>
      </c>
      <c r="AJ3212" s="44" t="s">
        <v>10547</v>
      </c>
      <c r="AK3212" s="151"/>
      <c r="AL3212" s="154">
        <v>0</v>
      </c>
      <c r="AM3212" s="17">
        <f t="shared" si="154"/>
        <v>0</v>
      </c>
      <c r="AN3212" s="18" t="s">
        <v>771</v>
      </c>
      <c r="AO3212" s="18" t="s">
        <v>773</v>
      </c>
      <c r="AP3212" t="s">
        <v>119</v>
      </c>
    </row>
    <row r="3213" spans="1:42" customFormat="1" hidden="1" x14ac:dyDescent="0.3">
      <c r="A3213" s="148" t="s">
        <v>8319</v>
      </c>
      <c r="B3213" t="s">
        <v>8320</v>
      </c>
      <c r="C3213" s="148" t="s">
        <v>9369</v>
      </c>
      <c r="D3213" t="s">
        <v>9370</v>
      </c>
      <c r="E3213" s="148" t="s">
        <v>9371</v>
      </c>
      <c r="F3213" t="s">
        <v>9372</v>
      </c>
      <c r="G3213" s="148" t="s">
        <v>9373</v>
      </c>
      <c r="H3213" t="s">
        <v>9374</v>
      </c>
      <c r="I3213" t="s">
        <v>9375</v>
      </c>
      <c r="J3213" t="s">
        <v>9376</v>
      </c>
      <c r="K3213" s="148" t="s">
        <v>9578</v>
      </c>
      <c r="L3213" t="s">
        <v>9579</v>
      </c>
      <c r="M3213" t="s">
        <v>10548</v>
      </c>
      <c r="N3213" s="3">
        <v>0</v>
      </c>
      <c r="O3213" s="3">
        <v>0</v>
      </c>
      <c r="P3213" s="3">
        <v>1</v>
      </c>
      <c r="Q3213" s="3">
        <v>3</v>
      </c>
      <c r="R3213" s="3">
        <v>6</v>
      </c>
      <c r="S3213" s="3">
        <v>10</v>
      </c>
      <c r="T3213" t="s">
        <v>771</v>
      </c>
      <c r="U3213" t="s">
        <v>773</v>
      </c>
      <c r="V3213" t="s">
        <v>10549</v>
      </c>
      <c r="W3213" s="45">
        <v>1</v>
      </c>
      <c r="X3213" s="45">
        <v>0</v>
      </c>
      <c r="Y3213" s="45">
        <v>0</v>
      </c>
      <c r="Z3213" s="45">
        <v>1</v>
      </c>
      <c r="AA3213" s="45">
        <v>1</v>
      </c>
      <c r="AB3213" s="45">
        <v>0</v>
      </c>
      <c r="AC3213" s="150">
        <v>0</v>
      </c>
      <c r="AD3213" s="150">
        <v>1</v>
      </c>
      <c r="AE3213" s="49">
        <f t="shared" si="153"/>
        <v>0.5</v>
      </c>
      <c r="AF3213" s="17"/>
      <c r="AG3213" s="17">
        <v>0</v>
      </c>
      <c r="AH3213" s="17">
        <v>0</v>
      </c>
      <c r="AI3213" s="44">
        <v>0</v>
      </c>
      <c r="AJ3213" s="44">
        <v>0</v>
      </c>
      <c r="AK3213" s="151">
        <v>0</v>
      </c>
      <c r="AL3213" s="151">
        <v>0</v>
      </c>
      <c r="AM3213" s="17">
        <f t="shared" si="154"/>
        <v>0</v>
      </c>
      <c r="AN3213" s="18" t="s">
        <v>1233</v>
      </c>
      <c r="AO3213" s="18" t="s">
        <v>1650</v>
      </c>
      <c r="AP3213" t="s">
        <v>1536</v>
      </c>
    </row>
    <row r="3214" spans="1:42" customFormat="1" hidden="1" x14ac:dyDescent="0.3">
      <c r="A3214" s="148" t="s">
        <v>8319</v>
      </c>
      <c r="B3214" t="s">
        <v>8320</v>
      </c>
      <c r="C3214" s="148" t="s">
        <v>9369</v>
      </c>
      <c r="D3214" t="s">
        <v>9370</v>
      </c>
      <c r="E3214" s="148" t="s">
        <v>9371</v>
      </c>
      <c r="F3214" t="s">
        <v>9372</v>
      </c>
      <c r="G3214" s="148" t="s">
        <v>9373</v>
      </c>
      <c r="H3214" t="s">
        <v>9374</v>
      </c>
      <c r="I3214" t="s">
        <v>9375</v>
      </c>
      <c r="J3214" t="s">
        <v>9376</v>
      </c>
      <c r="K3214" s="148" t="s">
        <v>9578</v>
      </c>
      <c r="L3214" t="s">
        <v>9579</v>
      </c>
      <c r="M3214" t="s">
        <v>10550</v>
      </c>
      <c r="N3214" s="3" t="s">
        <v>271</v>
      </c>
      <c r="O3214" s="3">
        <v>250</v>
      </c>
      <c r="P3214" s="3">
        <v>280</v>
      </c>
      <c r="Q3214" s="3">
        <v>290</v>
      </c>
      <c r="R3214" s="3">
        <v>310</v>
      </c>
      <c r="S3214" s="3">
        <v>320</v>
      </c>
      <c r="T3214" t="s">
        <v>771</v>
      </c>
      <c r="U3214" t="s">
        <v>773</v>
      </c>
      <c r="V3214" t="s">
        <v>10551</v>
      </c>
      <c r="W3214" s="45">
        <v>1</v>
      </c>
      <c r="X3214" s="45">
        <v>0</v>
      </c>
      <c r="Y3214" s="45">
        <v>0</v>
      </c>
      <c r="Z3214" s="45">
        <v>1</v>
      </c>
      <c r="AA3214" s="45">
        <v>1</v>
      </c>
      <c r="AB3214" s="45">
        <v>0</v>
      </c>
      <c r="AC3214" s="150">
        <v>0</v>
      </c>
      <c r="AD3214" s="150">
        <v>1</v>
      </c>
      <c r="AE3214" s="49">
        <f t="shared" si="153"/>
        <v>0.5</v>
      </c>
      <c r="AF3214" s="44"/>
      <c r="AG3214" s="17">
        <v>0</v>
      </c>
      <c r="AH3214" s="44">
        <v>0.01</v>
      </c>
      <c r="AI3214" s="44">
        <v>0.01</v>
      </c>
      <c r="AJ3214" s="44">
        <v>0.01</v>
      </c>
      <c r="AK3214" s="151">
        <v>0</v>
      </c>
      <c r="AL3214" s="151">
        <v>0</v>
      </c>
      <c r="AM3214" s="17">
        <f t="shared" si="154"/>
        <v>0</v>
      </c>
      <c r="AN3214" s="18" t="s">
        <v>771</v>
      </c>
      <c r="AO3214" s="18" t="s">
        <v>773</v>
      </c>
      <c r="AP3214" t="s">
        <v>119</v>
      </c>
    </row>
    <row r="3215" spans="1:42" customFormat="1" hidden="1" x14ac:dyDescent="0.3">
      <c r="A3215" s="148" t="s">
        <v>8319</v>
      </c>
      <c r="B3215" t="s">
        <v>8320</v>
      </c>
      <c r="C3215" s="148" t="s">
        <v>9369</v>
      </c>
      <c r="D3215" t="s">
        <v>9370</v>
      </c>
      <c r="E3215" s="148" t="s">
        <v>9371</v>
      </c>
      <c r="F3215" t="s">
        <v>9372</v>
      </c>
      <c r="G3215" s="148" t="s">
        <v>9373</v>
      </c>
      <c r="H3215" t="s">
        <v>9374</v>
      </c>
      <c r="I3215" t="s">
        <v>9375</v>
      </c>
      <c r="J3215" t="s">
        <v>9376</v>
      </c>
      <c r="K3215" s="148" t="s">
        <v>9578</v>
      </c>
      <c r="L3215" t="s">
        <v>9579</v>
      </c>
      <c r="M3215" t="s">
        <v>10552</v>
      </c>
      <c r="N3215" s="3">
        <v>16</v>
      </c>
      <c r="O3215" s="3">
        <v>9</v>
      </c>
      <c r="P3215" s="3">
        <v>8</v>
      </c>
      <c r="Q3215" s="3">
        <v>6</v>
      </c>
      <c r="R3215" s="3">
        <v>6</v>
      </c>
      <c r="S3215" s="3">
        <v>6</v>
      </c>
      <c r="T3215" t="s">
        <v>771</v>
      </c>
      <c r="U3215" t="s">
        <v>773</v>
      </c>
      <c r="V3215" t="s">
        <v>10553</v>
      </c>
      <c r="W3215" s="45">
        <v>1</v>
      </c>
      <c r="X3215" s="45">
        <v>0</v>
      </c>
      <c r="Y3215" s="45">
        <v>0</v>
      </c>
      <c r="Z3215" s="45">
        <v>1</v>
      </c>
      <c r="AA3215" s="45">
        <v>1</v>
      </c>
      <c r="AB3215" s="45">
        <v>0</v>
      </c>
      <c r="AC3215" s="150">
        <v>0</v>
      </c>
      <c r="AD3215" s="150">
        <v>1</v>
      </c>
      <c r="AE3215" s="49">
        <f t="shared" si="153"/>
        <v>0.5</v>
      </c>
      <c r="AF3215" s="44"/>
      <c r="AG3215" s="17">
        <v>0</v>
      </c>
      <c r="AH3215" s="44">
        <v>0</v>
      </c>
      <c r="AI3215" s="44">
        <v>0</v>
      </c>
      <c r="AJ3215" s="44">
        <v>0.5</v>
      </c>
      <c r="AK3215" s="151"/>
      <c r="AL3215" s="151"/>
      <c r="AM3215" s="17">
        <f t="shared" si="154"/>
        <v>0</v>
      </c>
      <c r="AN3215" s="18" t="s">
        <v>771</v>
      </c>
      <c r="AO3215" s="18" t="s">
        <v>773</v>
      </c>
      <c r="AP3215" t="s">
        <v>831</v>
      </c>
    </row>
    <row r="3216" spans="1:42" customFormat="1" hidden="1" x14ac:dyDescent="0.3">
      <c r="A3216" s="148" t="s">
        <v>8319</v>
      </c>
      <c r="B3216" t="s">
        <v>8320</v>
      </c>
      <c r="C3216" s="148" t="s">
        <v>9369</v>
      </c>
      <c r="D3216" t="s">
        <v>9370</v>
      </c>
      <c r="E3216" s="148" t="s">
        <v>9371</v>
      </c>
      <c r="F3216" t="s">
        <v>9372</v>
      </c>
      <c r="G3216" s="148" t="s">
        <v>9373</v>
      </c>
      <c r="H3216" t="s">
        <v>9374</v>
      </c>
      <c r="I3216" t="s">
        <v>9375</v>
      </c>
      <c r="J3216" t="s">
        <v>9376</v>
      </c>
      <c r="K3216" s="148" t="s">
        <v>9578</v>
      </c>
      <c r="L3216" t="s">
        <v>9579</v>
      </c>
      <c r="M3216" t="s">
        <v>10554</v>
      </c>
      <c r="N3216" s="3">
        <v>0</v>
      </c>
      <c r="O3216" s="3"/>
      <c r="P3216" s="3">
        <v>1</v>
      </c>
      <c r="Q3216" s="3"/>
      <c r="R3216" s="3">
        <v>2</v>
      </c>
      <c r="S3216" s="3"/>
      <c r="T3216" t="s">
        <v>771</v>
      </c>
      <c r="U3216" t="s">
        <v>773</v>
      </c>
      <c r="V3216" t="s">
        <v>10555</v>
      </c>
      <c r="W3216" s="45">
        <v>1</v>
      </c>
      <c r="X3216" s="45">
        <v>1</v>
      </c>
      <c r="Y3216" s="45">
        <v>0</v>
      </c>
      <c r="Z3216" s="45">
        <v>0</v>
      </c>
      <c r="AA3216" s="45">
        <v>1</v>
      </c>
      <c r="AB3216" s="45">
        <v>0</v>
      </c>
      <c r="AC3216" s="150">
        <v>0</v>
      </c>
      <c r="AD3216" s="150">
        <v>1</v>
      </c>
      <c r="AE3216" s="49">
        <f t="shared" si="153"/>
        <v>0.5</v>
      </c>
      <c r="AF3216" s="17"/>
      <c r="AG3216" s="17">
        <v>0</v>
      </c>
      <c r="AH3216" s="17">
        <v>0</v>
      </c>
      <c r="AI3216" s="44">
        <v>4</v>
      </c>
      <c r="AJ3216" s="44">
        <v>1</v>
      </c>
      <c r="AK3216" s="151"/>
      <c r="AL3216" s="151"/>
      <c r="AM3216" s="17">
        <f t="shared" si="154"/>
        <v>0</v>
      </c>
      <c r="AN3216" s="18" t="s">
        <v>771</v>
      </c>
      <c r="AO3216" s="18" t="s">
        <v>773</v>
      </c>
      <c r="AP3216" t="s">
        <v>982</v>
      </c>
    </row>
    <row r="3217" spans="1:42" customFormat="1" hidden="1" x14ac:dyDescent="0.3">
      <c r="A3217" s="148" t="s">
        <v>8319</v>
      </c>
      <c r="B3217" t="s">
        <v>8320</v>
      </c>
      <c r="C3217" s="148" t="s">
        <v>9369</v>
      </c>
      <c r="D3217" t="s">
        <v>9370</v>
      </c>
      <c r="E3217" s="148" t="s">
        <v>9371</v>
      </c>
      <c r="F3217" t="s">
        <v>9372</v>
      </c>
      <c r="G3217" s="148" t="s">
        <v>9373</v>
      </c>
      <c r="H3217" t="s">
        <v>9374</v>
      </c>
      <c r="I3217" t="s">
        <v>9375</v>
      </c>
      <c r="J3217" t="s">
        <v>9376</v>
      </c>
      <c r="K3217" s="148" t="s">
        <v>10556</v>
      </c>
      <c r="L3217" t="s">
        <v>10557</v>
      </c>
      <c r="N3217" s="3"/>
      <c r="O3217" s="3"/>
      <c r="P3217" s="3"/>
      <c r="Q3217" s="3"/>
      <c r="R3217" s="3"/>
      <c r="S3217" s="3"/>
      <c r="U3217" t="e">
        <v>#N/A</v>
      </c>
      <c r="V3217" t="s">
        <v>10558</v>
      </c>
      <c r="W3217" s="45">
        <v>1</v>
      </c>
      <c r="X3217" s="45">
        <v>0</v>
      </c>
      <c r="Y3217" s="45">
        <v>0</v>
      </c>
      <c r="Z3217" s="45">
        <v>1</v>
      </c>
      <c r="AA3217" s="45">
        <v>1</v>
      </c>
      <c r="AB3217" s="45">
        <v>0</v>
      </c>
      <c r="AC3217" s="150">
        <v>0</v>
      </c>
      <c r="AD3217" s="150">
        <v>1</v>
      </c>
      <c r="AE3217" s="49">
        <f t="shared" si="153"/>
        <v>0.5</v>
      </c>
      <c r="AF3217" s="17"/>
      <c r="AG3217" s="17">
        <v>0</v>
      </c>
      <c r="AH3217" s="17">
        <v>0</v>
      </c>
      <c r="AI3217" s="17">
        <v>0</v>
      </c>
      <c r="AJ3217" s="17">
        <v>0</v>
      </c>
      <c r="AK3217" s="151"/>
      <c r="AL3217" s="151"/>
      <c r="AM3217" s="17">
        <f t="shared" si="154"/>
        <v>0</v>
      </c>
      <c r="AN3217" s="18" t="s">
        <v>771</v>
      </c>
      <c r="AO3217" s="18" t="s">
        <v>773</v>
      </c>
      <c r="AP3217" t="s">
        <v>10559</v>
      </c>
    </row>
    <row r="3218" spans="1:42" customFormat="1" hidden="1" x14ac:dyDescent="0.3">
      <c r="A3218" s="148" t="s">
        <v>8319</v>
      </c>
      <c r="B3218" t="s">
        <v>8320</v>
      </c>
      <c r="C3218" s="148" t="s">
        <v>9369</v>
      </c>
      <c r="D3218" t="s">
        <v>9370</v>
      </c>
      <c r="E3218" s="148" t="s">
        <v>9371</v>
      </c>
      <c r="F3218" t="s">
        <v>9372</v>
      </c>
      <c r="G3218" s="148" t="s">
        <v>9373</v>
      </c>
      <c r="H3218" t="s">
        <v>9374</v>
      </c>
      <c r="I3218" t="s">
        <v>9375</v>
      </c>
      <c r="J3218" t="s">
        <v>9376</v>
      </c>
      <c r="K3218" s="148" t="s">
        <v>9937</v>
      </c>
      <c r="L3218" t="s">
        <v>9938</v>
      </c>
      <c r="M3218" t="s">
        <v>10560</v>
      </c>
      <c r="N3218" s="3">
        <v>583</v>
      </c>
      <c r="O3218" s="3">
        <v>600</v>
      </c>
      <c r="P3218" s="3">
        <v>600</v>
      </c>
      <c r="Q3218" s="3">
        <v>600</v>
      </c>
      <c r="R3218" s="3">
        <v>600</v>
      </c>
      <c r="S3218" s="3">
        <v>600</v>
      </c>
      <c r="T3218" t="s">
        <v>1536</v>
      </c>
      <c r="U3218" t="e">
        <v>#N/A</v>
      </c>
      <c r="V3218" t="s">
        <v>10561</v>
      </c>
      <c r="W3218" s="45">
        <v>1</v>
      </c>
      <c r="X3218" s="45">
        <v>0</v>
      </c>
      <c r="Y3218" s="45">
        <v>0</v>
      </c>
      <c r="Z3218" s="45">
        <v>1</v>
      </c>
      <c r="AA3218" s="45">
        <v>1</v>
      </c>
      <c r="AB3218" s="45">
        <v>0</v>
      </c>
      <c r="AC3218" s="150">
        <v>0</v>
      </c>
      <c r="AD3218" s="150">
        <v>1</v>
      </c>
      <c r="AE3218" s="49">
        <f t="shared" si="153"/>
        <v>0.5</v>
      </c>
      <c r="AF3218" s="44"/>
      <c r="AG3218" s="17">
        <v>0</v>
      </c>
      <c r="AH3218" s="44">
        <v>0.1</v>
      </c>
      <c r="AI3218" s="44">
        <v>0.1</v>
      </c>
      <c r="AJ3218" s="44">
        <v>0.1</v>
      </c>
      <c r="AK3218" s="151"/>
      <c r="AL3218" s="151"/>
      <c r="AM3218" s="17">
        <f t="shared" si="154"/>
        <v>0</v>
      </c>
      <c r="AN3218" s="18" t="s">
        <v>771</v>
      </c>
      <c r="AO3218" s="18" t="s">
        <v>773</v>
      </c>
      <c r="AP3218" t="s">
        <v>10562</v>
      </c>
    </row>
    <row r="3219" spans="1:42" customFormat="1" hidden="1" x14ac:dyDescent="0.3">
      <c r="A3219" s="148" t="s">
        <v>8319</v>
      </c>
      <c r="B3219" t="s">
        <v>8320</v>
      </c>
      <c r="C3219" s="148" t="s">
        <v>9369</v>
      </c>
      <c r="D3219" t="s">
        <v>9370</v>
      </c>
      <c r="E3219" s="148" t="s">
        <v>9371</v>
      </c>
      <c r="F3219" t="s">
        <v>9372</v>
      </c>
      <c r="G3219" s="148" t="s">
        <v>9373</v>
      </c>
      <c r="H3219" t="s">
        <v>9374</v>
      </c>
      <c r="I3219" s="148" t="s">
        <v>10563</v>
      </c>
      <c r="J3219" t="s">
        <v>10564</v>
      </c>
      <c r="K3219" s="155" t="s">
        <v>10565</v>
      </c>
      <c r="L3219" t="s">
        <v>10566</v>
      </c>
      <c r="M3219" t="s">
        <v>10567</v>
      </c>
      <c r="N3219" s="3"/>
      <c r="O3219" s="3" t="s">
        <v>271</v>
      </c>
      <c r="P3219" s="3">
        <v>9</v>
      </c>
      <c r="Q3219" s="3" t="s">
        <v>271</v>
      </c>
      <c r="R3219" s="3">
        <v>9</v>
      </c>
      <c r="S3219" s="3" t="s">
        <v>271</v>
      </c>
      <c r="T3219" t="s">
        <v>10568</v>
      </c>
      <c r="U3219" t="e">
        <v>#N/A</v>
      </c>
      <c r="V3219" t="s">
        <v>10569</v>
      </c>
      <c r="W3219" s="45">
        <v>1</v>
      </c>
      <c r="X3219" s="45">
        <v>0</v>
      </c>
      <c r="Y3219" s="45">
        <v>0</v>
      </c>
      <c r="Z3219" s="45">
        <v>1</v>
      </c>
      <c r="AA3219" s="45">
        <v>1</v>
      </c>
      <c r="AB3219" s="45">
        <v>0</v>
      </c>
      <c r="AC3219" s="150">
        <v>0</v>
      </c>
      <c r="AD3219" s="150">
        <v>1</v>
      </c>
      <c r="AE3219" s="49">
        <f t="shared" si="153"/>
        <v>0.5</v>
      </c>
      <c r="AF3219" s="44"/>
      <c r="AG3219" s="17">
        <v>0</v>
      </c>
      <c r="AH3219" s="44" t="s">
        <v>271</v>
      </c>
      <c r="AI3219" s="44">
        <v>5</v>
      </c>
      <c r="AJ3219" s="44">
        <v>5</v>
      </c>
      <c r="AK3219" s="151"/>
      <c r="AL3219" s="151"/>
      <c r="AM3219" s="17">
        <f t="shared" si="154"/>
        <v>0</v>
      </c>
      <c r="AN3219" s="44" t="s">
        <v>9929</v>
      </c>
      <c r="AO3219" s="18" t="s">
        <v>729</v>
      </c>
      <c r="AP3219" t="s">
        <v>10570</v>
      </c>
    </row>
    <row r="3220" spans="1:42" customFormat="1" hidden="1" x14ac:dyDescent="0.3">
      <c r="A3220" s="148" t="s">
        <v>8319</v>
      </c>
      <c r="B3220" t="s">
        <v>8320</v>
      </c>
      <c r="C3220" s="148" t="s">
        <v>9369</v>
      </c>
      <c r="D3220" t="s">
        <v>9370</v>
      </c>
      <c r="E3220" s="148" t="s">
        <v>9371</v>
      </c>
      <c r="F3220" t="s">
        <v>9372</v>
      </c>
      <c r="G3220" s="148" t="s">
        <v>10571</v>
      </c>
      <c r="H3220" t="s">
        <v>10572</v>
      </c>
      <c r="K3220" s="148" t="s">
        <v>10573</v>
      </c>
      <c r="L3220" t="s">
        <v>10574</v>
      </c>
      <c r="N3220" s="3"/>
      <c r="O3220" s="3"/>
      <c r="P3220" s="3"/>
      <c r="Q3220" s="3">
        <v>1</v>
      </c>
      <c r="R3220" s="3">
        <v>1</v>
      </c>
      <c r="S3220" s="3">
        <v>1</v>
      </c>
      <c r="U3220" t="e">
        <v>#N/A</v>
      </c>
      <c r="V3220" t="s">
        <v>10575</v>
      </c>
      <c r="W3220" s="45">
        <v>1</v>
      </c>
      <c r="X3220" s="45">
        <v>0</v>
      </c>
      <c r="Y3220" s="45">
        <v>0</v>
      </c>
      <c r="Z3220" s="45">
        <v>1</v>
      </c>
      <c r="AA3220" s="45">
        <v>1</v>
      </c>
      <c r="AB3220" s="45">
        <v>0</v>
      </c>
      <c r="AC3220" s="150">
        <v>0</v>
      </c>
      <c r="AD3220" s="150">
        <v>1</v>
      </c>
      <c r="AE3220" s="49">
        <f t="shared" si="153"/>
        <v>0.5</v>
      </c>
      <c r="AF3220" s="44"/>
      <c r="AG3220" s="17">
        <v>0</v>
      </c>
      <c r="AH3220" s="44">
        <v>0</v>
      </c>
      <c r="AI3220" s="44">
        <v>20</v>
      </c>
      <c r="AJ3220" s="44">
        <v>30</v>
      </c>
      <c r="AK3220" s="151"/>
      <c r="AL3220" s="151"/>
      <c r="AM3220" s="17">
        <f t="shared" si="154"/>
        <v>0</v>
      </c>
      <c r="AN3220" s="44" t="s">
        <v>9929</v>
      </c>
      <c r="AO3220" s="18" t="s">
        <v>729</v>
      </c>
      <c r="AP3220" t="s">
        <v>119</v>
      </c>
    </row>
    <row r="3221" spans="1:42" customFormat="1" hidden="1" x14ac:dyDescent="0.3">
      <c r="A3221" s="148" t="s">
        <v>8319</v>
      </c>
      <c r="B3221" t="s">
        <v>8320</v>
      </c>
      <c r="C3221" s="148" t="s">
        <v>9369</v>
      </c>
      <c r="D3221" t="s">
        <v>9370</v>
      </c>
      <c r="E3221" s="148" t="s">
        <v>9371</v>
      </c>
      <c r="F3221" t="s">
        <v>9372</v>
      </c>
      <c r="G3221" s="148" t="s">
        <v>10571</v>
      </c>
      <c r="H3221" t="s">
        <v>10572</v>
      </c>
      <c r="K3221" s="148" t="s">
        <v>10576</v>
      </c>
      <c r="L3221" t="s">
        <v>10577</v>
      </c>
      <c r="M3221" t="s">
        <v>10578</v>
      </c>
      <c r="N3221" s="3">
        <v>25</v>
      </c>
      <c r="O3221" s="3">
        <v>25</v>
      </c>
      <c r="P3221" s="3">
        <v>50</v>
      </c>
      <c r="Q3221" s="3">
        <v>65</v>
      </c>
      <c r="R3221" s="3">
        <v>80</v>
      </c>
      <c r="S3221" s="3">
        <v>100</v>
      </c>
      <c r="U3221" t="e">
        <v>#N/A</v>
      </c>
      <c r="V3221" t="s">
        <v>10579</v>
      </c>
      <c r="W3221" s="45">
        <v>1</v>
      </c>
      <c r="X3221" s="45">
        <v>0</v>
      </c>
      <c r="Y3221" s="45">
        <v>0</v>
      </c>
      <c r="Z3221" s="45">
        <v>1</v>
      </c>
      <c r="AA3221" s="45">
        <v>1</v>
      </c>
      <c r="AB3221" s="45">
        <v>0</v>
      </c>
      <c r="AC3221" s="150">
        <v>0</v>
      </c>
      <c r="AD3221" s="150">
        <v>1</v>
      </c>
      <c r="AE3221" s="49">
        <f t="shared" si="153"/>
        <v>0.5</v>
      </c>
      <c r="AF3221" s="44"/>
      <c r="AG3221" s="17">
        <v>0</v>
      </c>
      <c r="AH3221" s="44">
        <v>0</v>
      </c>
      <c r="AI3221" s="44">
        <v>0</v>
      </c>
      <c r="AJ3221" s="44">
        <v>0</v>
      </c>
      <c r="AK3221" s="151">
        <v>0</v>
      </c>
      <c r="AL3221" s="151">
        <v>0</v>
      </c>
      <c r="AM3221" s="17">
        <f t="shared" si="154"/>
        <v>0</v>
      </c>
      <c r="AN3221" s="44" t="s">
        <v>723</v>
      </c>
      <c r="AO3221" s="18" t="s">
        <v>729</v>
      </c>
    </row>
    <row r="3222" spans="1:42" customFormat="1" hidden="1" x14ac:dyDescent="0.3">
      <c r="A3222" s="148" t="s">
        <v>8319</v>
      </c>
      <c r="B3222" t="s">
        <v>8320</v>
      </c>
      <c r="C3222" s="148" t="s">
        <v>9369</v>
      </c>
      <c r="D3222" t="s">
        <v>9370</v>
      </c>
      <c r="E3222" s="148" t="s">
        <v>9371</v>
      </c>
      <c r="F3222" t="s">
        <v>9372</v>
      </c>
      <c r="G3222" s="148" t="s">
        <v>10571</v>
      </c>
      <c r="H3222" t="s">
        <v>10572</v>
      </c>
      <c r="K3222" s="148" t="s">
        <v>10576</v>
      </c>
      <c r="L3222" t="s">
        <v>10577</v>
      </c>
      <c r="M3222" t="s">
        <v>10580</v>
      </c>
      <c r="N3222" s="3" t="s">
        <v>119</v>
      </c>
      <c r="O3222" s="3">
        <v>10</v>
      </c>
      <c r="P3222" s="3">
        <v>15</v>
      </c>
      <c r="Q3222" s="3">
        <v>40</v>
      </c>
      <c r="R3222" s="3">
        <v>50</v>
      </c>
      <c r="S3222" s="3">
        <v>100</v>
      </c>
      <c r="U3222" t="e">
        <v>#N/A</v>
      </c>
      <c r="V3222" t="s">
        <v>10581</v>
      </c>
      <c r="W3222" s="45">
        <v>1</v>
      </c>
      <c r="X3222" s="45">
        <v>0</v>
      </c>
      <c r="Y3222" s="45">
        <v>0</v>
      </c>
      <c r="Z3222" s="45">
        <v>1</v>
      </c>
      <c r="AA3222" s="45">
        <v>1</v>
      </c>
      <c r="AB3222" s="45">
        <v>0</v>
      </c>
      <c r="AC3222" s="150">
        <v>0</v>
      </c>
      <c r="AD3222" s="150">
        <v>1</v>
      </c>
      <c r="AE3222" s="49">
        <f t="shared" si="153"/>
        <v>0.5</v>
      </c>
      <c r="AF3222" s="17"/>
      <c r="AG3222" s="17">
        <v>0</v>
      </c>
      <c r="AH3222" s="17">
        <v>0</v>
      </c>
      <c r="AI3222" s="17">
        <v>0</v>
      </c>
      <c r="AJ3222" s="17">
        <v>0</v>
      </c>
      <c r="AK3222" s="153">
        <v>0</v>
      </c>
      <c r="AL3222" s="154">
        <v>0</v>
      </c>
      <c r="AM3222" s="17">
        <f t="shared" si="154"/>
        <v>0</v>
      </c>
      <c r="AN3222" s="44" t="s">
        <v>723</v>
      </c>
      <c r="AO3222" s="18" t="s">
        <v>729</v>
      </c>
    </row>
    <row r="3223" spans="1:42" customFormat="1" hidden="1" x14ac:dyDescent="0.3">
      <c r="A3223" s="148" t="s">
        <v>8319</v>
      </c>
      <c r="B3223" t="s">
        <v>8320</v>
      </c>
      <c r="C3223" s="148" t="s">
        <v>9369</v>
      </c>
      <c r="D3223" t="s">
        <v>9370</v>
      </c>
      <c r="E3223" s="148" t="s">
        <v>9371</v>
      </c>
      <c r="F3223" t="s">
        <v>9372</v>
      </c>
      <c r="G3223" s="148" t="s">
        <v>10571</v>
      </c>
      <c r="H3223" t="s">
        <v>10572</v>
      </c>
      <c r="K3223" s="148" t="s">
        <v>10582</v>
      </c>
      <c r="L3223" t="s">
        <v>10583</v>
      </c>
      <c r="M3223" t="s">
        <v>10584</v>
      </c>
      <c r="N3223" s="3">
        <v>40</v>
      </c>
      <c r="O3223" s="3">
        <v>44</v>
      </c>
      <c r="P3223" s="3">
        <v>48.4</v>
      </c>
      <c r="Q3223" s="3">
        <v>52.6</v>
      </c>
      <c r="R3223" s="3">
        <v>58</v>
      </c>
      <c r="S3223" s="3">
        <v>65</v>
      </c>
      <c r="U3223" t="e">
        <v>#N/A</v>
      </c>
      <c r="V3223" t="s">
        <v>10585</v>
      </c>
      <c r="W3223" s="45">
        <v>1</v>
      </c>
      <c r="X3223" s="45">
        <v>0</v>
      </c>
      <c r="Y3223" s="45">
        <v>0</v>
      </c>
      <c r="Z3223" s="45">
        <v>1</v>
      </c>
      <c r="AA3223" s="45">
        <v>1</v>
      </c>
      <c r="AB3223" s="45">
        <v>0</v>
      </c>
      <c r="AC3223" s="150">
        <v>0</v>
      </c>
      <c r="AD3223" s="150">
        <v>1</v>
      </c>
      <c r="AE3223" s="49">
        <f t="shared" si="153"/>
        <v>0.5</v>
      </c>
      <c r="AF3223" s="17"/>
      <c r="AG3223" s="17">
        <v>0</v>
      </c>
      <c r="AH3223" s="17">
        <v>0</v>
      </c>
      <c r="AI3223" s="17">
        <v>0</v>
      </c>
      <c r="AJ3223" s="17">
        <v>0</v>
      </c>
      <c r="AK3223" s="153">
        <v>0</v>
      </c>
      <c r="AL3223" s="151"/>
      <c r="AM3223" s="17">
        <f t="shared" si="154"/>
        <v>0</v>
      </c>
      <c r="AN3223" s="44" t="s">
        <v>5698</v>
      </c>
      <c r="AO3223" s="18" t="s">
        <v>2019</v>
      </c>
    </row>
    <row r="3224" spans="1:42" customFormat="1" hidden="1" x14ac:dyDescent="0.3">
      <c r="A3224" s="148" t="s">
        <v>8319</v>
      </c>
      <c r="B3224" t="s">
        <v>8320</v>
      </c>
      <c r="C3224" s="148" t="s">
        <v>9369</v>
      </c>
      <c r="D3224" t="s">
        <v>9370</v>
      </c>
      <c r="E3224" s="148" t="s">
        <v>9371</v>
      </c>
      <c r="F3224" t="s">
        <v>9372</v>
      </c>
      <c r="G3224" s="148" t="s">
        <v>10586</v>
      </c>
      <c r="H3224" t="s">
        <v>10587</v>
      </c>
      <c r="K3224" s="148" t="s">
        <v>10588</v>
      </c>
      <c r="L3224" t="s">
        <v>10589</v>
      </c>
      <c r="M3224" t="s">
        <v>10590</v>
      </c>
      <c r="N3224" s="3">
        <v>1</v>
      </c>
      <c r="O3224" s="3">
        <v>4</v>
      </c>
      <c r="P3224" s="3">
        <v>4</v>
      </c>
      <c r="Q3224" s="3">
        <v>4</v>
      </c>
      <c r="R3224" s="3">
        <v>5</v>
      </c>
      <c r="S3224" s="3">
        <v>6</v>
      </c>
      <c r="U3224" t="e">
        <v>#N/A</v>
      </c>
      <c r="V3224" t="s">
        <v>10591</v>
      </c>
      <c r="W3224" s="45">
        <v>1</v>
      </c>
      <c r="X3224" s="45">
        <v>0</v>
      </c>
      <c r="Y3224" s="45">
        <v>0</v>
      </c>
      <c r="Z3224" s="45">
        <v>1</v>
      </c>
      <c r="AA3224" s="45">
        <v>1</v>
      </c>
      <c r="AB3224" s="45">
        <v>0</v>
      </c>
      <c r="AC3224" s="150">
        <v>0</v>
      </c>
      <c r="AD3224" s="150">
        <v>1</v>
      </c>
      <c r="AE3224" s="49">
        <f t="shared" si="153"/>
        <v>0.5</v>
      </c>
      <c r="AF3224" s="44"/>
      <c r="AG3224" s="17">
        <v>0</v>
      </c>
      <c r="AH3224" s="44">
        <v>0.03</v>
      </c>
      <c r="AI3224" s="44">
        <v>50</v>
      </c>
      <c r="AJ3224" s="44">
        <v>25</v>
      </c>
      <c r="AK3224" s="151">
        <v>25</v>
      </c>
      <c r="AL3224" s="151">
        <v>50</v>
      </c>
      <c r="AM3224" s="17">
        <f t="shared" si="154"/>
        <v>75</v>
      </c>
      <c r="AN3224" s="44" t="s">
        <v>723</v>
      </c>
      <c r="AO3224" s="18" t="s">
        <v>729</v>
      </c>
      <c r="AP3224" t="s">
        <v>1083</v>
      </c>
    </row>
    <row r="3225" spans="1:42" customFormat="1" hidden="1" x14ac:dyDescent="0.3">
      <c r="A3225" s="148" t="s">
        <v>8319</v>
      </c>
      <c r="B3225" t="s">
        <v>8320</v>
      </c>
      <c r="C3225" s="148" t="s">
        <v>9369</v>
      </c>
      <c r="D3225" t="s">
        <v>9370</v>
      </c>
      <c r="E3225" s="148" t="s">
        <v>9371</v>
      </c>
      <c r="F3225" t="s">
        <v>9372</v>
      </c>
      <c r="G3225" s="148" t="s">
        <v>10592</v>
      </c>
      <c r="H3225" t="s">
        <v>10593</v>
      </c>
      <c r="K3225" s="148" t="s">
        <v>10594</v>
      </c>
      <c r="L3225" t="s">
        <v>10595</v>
      </c>
      <c r="M3225" t="s">
        <v>10596</v>
      </c>
      <c r="N3225" s="3" t="s">
        <v>119</v>
      </c>
      <c r="O3225" s="3">
        <v>4</v>
      </c>
      <c r="P3225" s="3">
        <v>4</v>
      </c>
      <c r="Q3225" s="3">
        <v>7</v>
      </c>
      <c r="R3225" s="3">
        <v>7</v>
      </c>
      <c r="S3225" s="3">
        <v>10</v>
      </c>
      <c r="T3225" t="s">
        <v>10597</v>
      </c>
      <c r="U3225" t="e">
        <v>#N/A</v>
      </c>
      <c r="V3225" t="s">
        <v>10598</v>
      </c>
      <c r="W3225" s="45">
        <v>1</v>
      </c>
      <c r="X3225" s="45">
        <v>0</v>
      </c>
      <c r="Y3225" s="45">
        <v>0</v>
      </c>
      <c r="Z3225" s="45">
        <v>1</v>
      </c>
      <c r="AA3225" s="45">
        <v>1</v>
      </c>
      <c r="AB3225" s="45">
        <v>0</v>
      </c>
      <c r="AC3225" s="150">
        <v>0</v>
      </c>
      <c r="AD3225" s="150">
        <v>1</v>
      </c>
      <c r="AE3225" s="49">
        <f t="shared" si="153"/>
        <v>0.5</v>
      </c>
      <c r="AF3225" s="44"/>
      <c r="AG3225" s="17">
        <v>0</v>
      </c>
      <c r="AH3225" s="44">
        <v>7</v>
      </c>
      <c r="AI3225" s="44">
        <v>14</v>
      </c>
      <c r="AJ3225" s="44">
        <v>15</v>
      </c>
      <c r="AK3225" s="151">
        <v>15.46</v>
      </c>
      <c r="AL3225" s="151">
        <v>20.43</v>
      </c>
      <c r="AM3225" s="17">
        <f t="shared" si="154"/>
        <v>35.89</v>
      </c>
      <c r="AN3225" s="44" t="s">
        <v>723</v>
      </c>
      <c r="AO3225" s="18" t="s">
        <v>729</v>
      </c>
      <c r="AP3225" t="s">
        <v>119</v>
      </c>
    </row>
    <row r="3226" spans="1:42" customFormat="1" hidden="1" x14ac:dyDescent="0.3">
      <c r="A3226" s="148" t="s">
        <v>8319</v>
      </c>
      <c r="B3226" t="s">
        <v>8320</v>
      </c>
      <c r="C3226" s="148" t="s">
        <v>9369</v>
      </c>
      <c r="D3226" t="s">
        <v>9370</v>
      </c>
      <c r="E3226" s="148" t="s">
        <v>9371</v>
      </c>
      <c r="F3226" t="s">
        <v>9372</v>
      </c>
      <c r="G3226" s="148" t="s">
        <v>10592</v>
      </c>
      <c r="H3226" t="s">
        <v>10593</v>
      </c>
      <c r="K3226" s="148" t="s">
        <v>10599</v>
      </c>
      <c r="L3226" t="s">
        <v>10600</v>
      </c>
      <c r="M3226" t="s">
        <v>10601</v>
      </c>
      <c r="N3226" s="3" t="s">
        <v>119</v>
      </c>
      <c r="O3226" s="3">
        <v>15</v>
      </c>
      <c r="P3226" s="3">
        <v>25</v>
      </c>
      <c r="Q3226" s="3">
        <v>30</v>
      </c>
      <c r="R3226" s="3">
        <v>40</v>
      </c>
      <c r="S3226" s="3">
        <v>50</v>
      </c>
      <c r="T3226" t="s">
        <v>10602</v>
      </c>
      <c r="U3226" t="e">
        <v>#N/A</v>
      </c>
      <c r="V3226" t="s">
        <v>10603</v>
      </c>
      <c r="W3226" s="45">
        <v>1</v>
      </c>
      <c r="X3226" s="45">
        <v>0</v>
      </c>
      <c r="Y3226" s="45">
        <v>0</v>
      </c>
      <c r="Z3226" s="45">
        <v>1</v>
      </c>
      <c r="AA3226" s="45">
        <v>1</v>
      </c>
      <c r="AB3226" s="45">
        <v>0</v>
      </c>
      <c r="AC3226" s="150">
        <v>0</v>
      </c>
      <c r="AD3226" s="150">
        <v>1</v>
      </c>
      <c r="AE3226" s="49">
        <f t="shared" ref="AE3226:AE3289" si="155">SUM(W3226:AD3226)/8</f>
        <v>0.5</v>
      </c>
      <c r="AF3226" s="17"/>
      <c r="AG3226" s="17">
        <v>0</v>
      </c>
      <c r="AH3226" s="17">
        <v>0</v>
      </c>
      <c r="AI3226" s="17">
        <v>0</v>
      </c>
      <c r="AJ3226" s="17">
        <v>0</v>
      </c>
      <c r="AK3226" s="153">
        <v>0</v>
      </c>
      <c r="AL3226" s="154">
        <v>0</v>
      </c>
      <c r="AM3226" s="17">
        <f t="shared" ref="AM3226:AM3289" si="156">SUM(AK3226:AL3226)</f>
        <v>0</v>
      </c>
      <c r="AN3226" s="44" t="s">
        <v>723</v>
      </c>
      <c r="AO3226" s="18" t="s">
        <v>729</v>
      </c>
      <c r="AP3226" t="s">
        <v>1083</v>
      </c>
    </row>
    <row r="3227" spans="1:42" customFormat="1" hidden="1" x14ac:dyDescent="0.3">
      <c r="A3227" s="148" t="s">
        <v>8319</v>
      </c>
      <c r="B3227" t="s">
        <v>8320</v>
      </c>
      <c r="C3227" s="148" t="s">
        <v>9369</v>
      </c>
      <c r="D3227" t="s">
        <v>9370</v>
      </c>
      <c r="E3227" s="148" t="s">
        <v>9371</v>
      </c>
      <c r="F3227" t="s">
        <v>9372</v>
      </c>
      <c r="G3227" s="148" t="s">
        <v>9593</v>
      </c>
      <c r="H3227" t="s">
        <v>9594</v>
      </c>
      <c r="K3227" s="148" t="s">
        <v>9595</v>
      </c>
      <c r="L3227" t="s">
        <v>9596</v>
      </c>
      <c r="N3227" s="3"/>
      <c r="O3227" s="3"/>
      <c r="P3227" s="3"/>
      <c r="Q3227" s="3"/>
      <c r="R3227" s="3"/>
      <c r="S3227" s="3"/>
      <c r="U3227" t="e">
        <v>#N/A</v>
      </c>
      <c r="V3227" t="s">
        <v>10604</v>
      </c>
      <c r="W3227" s="45">
        <v>1</v>
      </c>
      <c r="X3227" s="45">
        <v>0</v>
      </c>
      <c r="Y3227" s="45">
        <v>0</v>
      </c>
      <c r="Z3227" s="45">
        <v>1</v>
      </c>
      <c r="AA3227" s="45">
        <v>1</v>
      </c>
      <c r="AB3227" s="45">
        <v>0</v>
      </c>
      <c r="AC3227" s="150">
        <v>0</v>
      </c>
      <c r="AD3227" s="150">
        <v>1</v>
      </c>
      <c r="AE3227" s="49">
        <f t="shared" si="155"/>
        <v>0.5</v>
      </c>
      <c r="AF3227" s="17"/>
      <c r="AG3227" s="17">
        <v>0</v>
      </c>
      <c r="AH3227" s="17">
        <v>0</v>
      </c>
      <c r="AI3227" s="17">
        <v>0</v>
      </c>
      <c r="AJ3227" s="17">
        <v>0</v>
      </c>
      <c r="AK3227" s="153">
        <v>0</v>
      </c>
      <c r="AL3227" s="154">
        <v>0</v>
      </c>
      <c r="AM3227" s="17">
        <f t="shared" si="156"/>
        <v>0</v>
      </c>
      <c r="AN3227" s="44" t="s">
        <v>723</v>
      </c>
      <c r="AO3227" s="18" t="s">
        <v>729</v>
      </c>
    </row>
    <row r="3228" spans="1:42" customFormat="1" hidden="1" x14ac:dyDescent="0.3">
      <c r="A3228" s="148" t="s">
        <v>8319</v>
      </c>
      <c r="B3228" t="s">
        <v>8320</v>
      </c>
      <c r="C3228" s="148" t="s">
        <v>9369</v>
      </c>
      <c r="D3228" t="s">
        <v>9370</v>
      </c>
      <c r="E3228" s="148" t="s">
        <v>9371</v>
      </c>
      <c r="F3228" t="s">
        <v>9372</v>
      </c>
      <c r="G3228" t="s">
        <v>10605</v>
      </c>
      <c r="H3228" t="s">
        <v>10606</v>
      </c>
      <c r="I3228" s="148" t="s">
        <v>10607</v>
      </c>
      <c r="J3228" t="s">
        <v>10608</v>
      </c>
      <c r="K3228" s="148" t="s">
        <v>10609</v>
      </c>
      <c r="L3228" t="s">
        <v>10610</v>
      </c>
      <c r="M3228" t="s">
        <v>10611</v>
      </c>
      <c r="N3228" s="3">
        <v>0</v>
      </c>
      <c r="O3228" s="3">
        <v>0</v>
      </c>
      <c r="P3228" s="3">
        <v>1</v>
      </c>
      <c r="Q3228" s="3" t="s">
        <v>271</v>
      </c>
      <c r="R3228" s="3" t="s">
        <v>271</v>
      </c>
      <c r="S3228" s="3" t="s">
        <v>271</v>
      </c>
      <c r="T3228" t="s">
        <v>831</v>
      </c>
      <c r="U3228" t="s">
        <v>834</v>
      </c>
      <c r="V3228" t="s">
        <v>10612</v>
      </c>
      <c r="W3228" s="45">
        <v>1</v>
      </c>
      <c r="X3228" s="45">
        <v>0</v>
      </c>
      <c r="Y3228" s="45">
        <v>0</v>
      </c>
      <c r="Z3228" s="45">
        <v>1</v>
      </c>
      <c r="AA3228" s="45">
        <v>1</v>
      </c>
      <c r="AB3228" s="45">
        <v>0</v>
      </c>
      <c r="AC3228" s="150">
        <v>0</v>
      </c>
      <c r="AD3228" s="150">
        <v>1</v>
      </c>
      <c r="AE3228" s="49">
        <f t="shared" si="155"/>
        <v>0.5</v>
      </c>
      <c r="AF3228" s="44"/>
      <c r="AG3228" s="17">
        <v>0</v>
      </c>
      <c r="AH3228" s="44" t="s">
        <v>271</v>
      </c>
      <c r="AI3228" s="44">
        <v>1</v>
      </c>
      <c r="AJ3228" s="17">
        <v>0</v>
      </c>
      <c r="AK3228" s="151" t="s">
        <v>271</v>
      </c>
      <c r="AL3228" s="151" t="s">
        <v>271</v>
      </c>
      <c r="AM3228" s="17">
        <f t="shared" si="156"/>
        <v>0</v>
      </c>
      <c r="AN3228" t="s">
        <v>831</v>
      </c>
      <c r="AO3228" s="18" t="s">
        <v>834</v>
      </c>
      <c r="AP3228" t="s">
        <v>119</v>
      </c>
    </row>
    <row r="3229" spans="1:42" customFormat="1" hidden="1" x14ac:dyDescent="0.3">
      <c r="A3229" s="148" t="s">
        <v>8319</v>
      </c>
      <c r="B3229" t="s">
        <v>8320</v>
      </c>
      <c r="C3229" s="148" t="s">
        <v>9369</v>
      </c>
      <c r="D3229" t="s">
        <v>9370</v>
      </c>
      <c r="E3229" s="148" t="s">
        <v>9371</v>
      </c>
      <c r="F3229" t="s">
        <v>9372</v>
      </c>
      <c r="G3229" t="s">
        <v>10605</v>
      </c>
      <c r="H3229" t="s">
        <v>10606</v>
      </c>
      <c r="I3229" s="148" t="s">
        <v>10607</v>
      </c>
      <c r="J3229" t="s">
        <v>10608</v>
      </c>
      <c r="K3229" s="148" t="s">
        <v>10609</v>
      </c>
      <c r="L3229" t="s">
        <v>10610</v>
      </c>
      <c r="M3229" t="s">
        <v>10613</v>
      </c>
      <c r="N3229" s="3">
        <v>0</v>
      </c>
      <c r="O3229" s="3">
        <v>0</v>
      </c>
      <c r="P3229" s="3">
        <v>80</v>
      </c>
      <c r="Q3229" s="3">
        <v>100</v>
      </c>
      <c r="R3229" s="3">
        <v>100</v>
      </c>
      <c r="S3229" s="3">
        <v>100</v>
      </c>
      <c r="T3229" t="s">
        <v>831</v>
      </c>
      <c r="U3229" t="s">
        <v>834</v>
      </c>
      <c r="V3229" t="s">
        <v>10614</v>
      </c>
      <c r="W3229" s="45">
        <v>1</v>
      </c>
      <c r="X3229" s="45">
        <v>0</v>
      </c>
      <c r="Y3229" s="45">
        <v>0</v>
      </c>
      <c r="Z3229" s="45">
        <v>1</v>
      </c>
      <c r="AA3229" s="45">
        <v>1</v>
      </c>
      <c r="AB3229" s="45">
        <v>0</v>
      </c>
      <c r="AC3229" s="150">
        <v>0</v>
      </c>
      <c r="AD3229" s="150">
        <v>1</v>
      </c>
      <c r="AE3229" s="49">
        <f t="shared" si="155"/>
        <v>0.5</v>
      </c>
      <c r="AF3229" s="44"/>
      <c r="AG3229" s="17">
        <v>0</v>
      </c>
      <c r="AH3229" s="44">
        <v>0</v>
      </c>
      <c r="AI3229" s="44">
        <v>0.15</v>
      </c>
      <c r="AJ3229" s="44">
        <v>0.15</v>
      </c>
      <c r="AK3229" s="151">
        <v>0</v>
      </c>
      <c r="AL3229" s="151">
        <v>0</v>
      </c>
      <c r="AM3229" s="17">
        <f t="shared" si="156"/>
        <v>0</v>
      </c>
      <c r="AN3229" t="s">
        <v>831</v>
      </c>
      <c r="AO3229" s="18" t="s">
        <v>834</v>
      </c>
      <c r="AP3229" t="s">
        <v>119</v>
      </c>
    </row>
    <row r="3230" spans="1:42" customFormat="1" hidden="1" x14ac:dyDescent="0.3">
      <c r="A3230" s="148" t="s">
        <v>8319</v>
      </c>
      <c r="B3230" t="s">
        <v>8320</v>
      </c>
      <c r="C3230" s="148" t="s">
        <v>9369</v>
      </c>
      <c r="D3230" t="s">
        <v>9370</v>
      </c>
      <c r="E3230" s="148" t="s">
        <v>9371</v>
      </c>
      <c r="F3230" t="s">
        <v>9372</v>
      </c>
      <c r="G3230" t="s">
        <v>10605</v>
      </c>
      <c r="H3230" t="s">
        <v>10606</v>
      </c>
      <c r="I3230" s="148" t="s">
        <v>10615</v>
      </c>
      <c r="J3230" t="s">
        <v>10616</v>
      </c>
      <c r="K3230" s="148" t="s">
        <v>10617</v>
      </c>
      <c r="L3230" t="s">
        <v>10618</v>
      </c>
      <c r="M3230" t="s">
        <v>10619</v>
      </c>
      <c r="N3230" s="3" t="s">
        <v>271</v>
      </c>
      <c r="O3230" s="3">
        <v>5</v>
      </c>
      <c r="P3230" s="3">
        <v>7</v>
      </c>
      <c r="Q3230" s="3">
        <v>7</v>
      </c>
      <c r="R3230" s="3">
        <v>8</v>
      </c>
      <c r="S3230" s="3">
        <v>12</v>
      </c>
      <c r="T3230" t="s">
        <v>10620</v>
      </c>
      <c r="U3230" t="e">
        <v>#N/A</v>
      </c>
      <c r="V3230" t="s">
        <v>10621</v>
      </c>
      <c r="W3230" s="45">
        <v>1</v>
      </c>
      <c r="X3230" s="45">
        <v>0</v>
      </c>
      <c r="Y3230" s="45">
        <v>0</v>
      </c>
      <c r="Z3230" s="45">
        <v>1</v>
      </c>
      <c r="AA3230" s="45">
        <v>1</v>
      </c>
      <c r="AB3230" s="45">
        <v>0</v>
      </c>
      <c r="AC3230" s="150">
        <v>0</v>
      </c>
      <c r="AD3230" s="150">
        <v>1</v>
      </c>
      <c r="AE3230" s="49">
        <f t="shared" si="155"/>
        <v>0.5</v>
      </c>
      <c r="AF3230" s="17"/>
      <c r="AG3230" s="17">
        <v>0</v>
      </c>
      <c r="AH3230" s="17">
        <v>0</v>
      </c>
      <c r="AI3230" s="44">
        <v>0.5</v>
      </c>
      <c r="AJ3230" s="44">
        <v>0.2</v>
      </c>
      <c r="AK3230" s="151">
        <v>0</v>
      </c>
      <c r="AL3230" s="151">
        <v>0</v>
      </c>
      <c r="AM3230" s="17">
        <f t="shared" si="156"/>
        <v>0</v>
      </c>
      <c r="AN3230" t="s">
        <v>723</v>
      </c>
      <c r="AO3230" s="18" t="s">
        <v>729</v>
      </c>
    </row>
    <row r="3231" spans="1:42" customFormat="1" hidden="1" x14ac:dyDescent="0.3">
      <c r="A3231" s="148" t="s">
        <v>8319</v>
      </c>
      <c r="B3231" t="s">
        <v>8320</v>
      </c>
      <c r="C3231" s="148" t="s">
        <v>9344</v>
      </c>
      <c r="D3231" t="s">
        <v>9345</v>
      </c>
      <c r="E3231" s="148" t="s">
        <v>9398</v>
      </c>
      <c r="F3231" t="s">
        <v>9399</v>
      </c>
      <c r="G3231" s="148" t="s">
        <v>9949</v>
      </c>
      <c r="H3231" t="s">
        <v>9950</v>
      </c>
      <c r="K3231" s="148" t="s">
        <v>10622</v>
      </c>
      <c r="L3231" t="s">
        <v>10623</v>
      </c>
      <c r="M3231" t="s">
        <v>10623</v>
      </c>
      <c r="N3231" s="3" t="s">
        <v>10624</v>
      </c>
      <c r="O3231" s="3" t="s">
        <v>271</v>
      </c>
      <c r="P3231" s="3" t="s">
        <v>271</v>
      </c>
      <c r="Q3231" s="3" t="s">
        <v>271</v>
      </c>
      <c r="R3231" s="3">
        <v>135</v>
      </c>
      <c r="S3231" s="3">
        <v>270</v>
      </c>
      <c r="T3231">
        <v>500</v>
      </c>
      <c r="U3231" t="e">
        <v>#N/A</v>
      </c>
      <c r="V3231" t="s">
        <v>10625</v>
      </c>
      <c r="W3231" s="45">
        <v>1</v>
      </c>
      <c r="X3231" s="45">
        <v>0</v>
      </c>
      <c r="Y3231" s="45">
        <v>0</v>
      </c>
      <c r="Z3231" s="45">
        <v>1</v>
      </c>
      <c r="AA3231" s="45">
        <v>0</v>
      </c>
      <c r="AB3231" s="45">
        <v>0</v>
      </c>
      <c r="AC3231" s="150">
        <v>1</v>
      </c>
      <c r="AD3231" s="150">
        <v>1</v>
      </c>
      <c r="AE3231" s="49">
        <f t="shared" si="155"/>
        <v>0.5</v>
      </c>
      <c r="AF3231" s="17">
        <v>1</v>
      </c>
      <c r="AG3231" s="17">
        <v>0</v>
      </c>
      <c r="AH3231" s="17">
        <v>0</v>
      </c>
      <c r="AI3231" s="17">
        <v>0</v>
      </c>
      <c r="AJ3231" s="44">
        <v>6.75</v>
      </c>
      <c r="AK3231" s="151">
        <v>13.5</v>
      </c>
      <c r="AL3231" s="151">
        <v>25</v>
      </c>
      <c r="AM3231" s="17">
        <f t="shared" si="156"/>
        <v>38.5</v>
      </c>
      <c r="AN3231" t="s">
        <v>723</v>
      </c>
      <c r="AO3231" s="18" t="s">
        <v>729</v>
      </c>
      <c r="AP3231" t="s">
        <v>2074</v>
      </c>
    </row>
    <row r="3232" spans="1:42" customFormat="1" hidden="1" x14ac:dyDescent="0.3">
      <c r="A3232" s="148" t="s">
        <v>8319</v>
      </c>
      <c r="B3232" t="s">
        <v>8320</v>
      </c>
      <c r="C3232" s="148" t="s">
        <v>9344</v>
      </c>
      <c r="D3232" t="s">
        <v>9345</v>
      </c>
      <c r="E3232" s="148" t="s">
        <v>9398</v>
      </c>
      <c r="F3232" t="s">
        <v>9399</v>
      </c>
      <c r="G3232" s="148" t="s">
        <v>9949</v>
      </c>
      <c r="H3232" t="s">
        <v>9950</v>
      </c>
      <c r="K3232" s="148" t="s">
        <v>10626</v>
      </c>
      <c r="L3232" t="s">
        <v>10627</v>
      </c>
      <c r="M3232" t="s">
        <v>10627</v>
      </c>
      <c r="N3232" s="3" t="s">
        <v>10628</v>
      </c>
      <c r="O3232" s="3" t="s">
        <v>119</v>
      </c>
      <c r="P3232" s="3">
        <v>1000</v>
      </c>
      <c r="Q3232" s="3">
        <v>1200</v>
      </c>
      <c r="R3232" s="3">
        <v>1500</v>
      </c>
      <c r="S3232" s="3">
        <v>2000</v>
      </c>
      <c r="T3232">
        <v>6.9444444444444406E-2</v>
      </c>
      <c r="U3232" t="e">
        <v>#N/A</v>
      </c>
      <c r="V3232" t="s">
        <v>10629</v>
      </c>
      <c r="W3232" s="45">
        <v>1</v>
      </c>
      <c r="X3232" s="45">
        <v>0</v>
      </c>
      <c r="Y3232" s="45">
        <v>0</v>
      </c>
      <c r="Z3232" s="45">
        <v>1</v>
      </c>
      <c r="AA3232" s="45">
        <v>1</v>
      </c>
      <c r="AB3232" s="45">
        <v>0</v>
      </c>
      <c r="AC3232" s="150">
        <v>0</v>
      </c>
      <c r="AD3232" s="150">
        <v>1</v>
      </c>
      <c r="AE3232" s="49">
        <f t="shared" si="155"/>
        <v>0.5</v>
      </c>
      <c r="AF3232" s="44">
        <v>1</v>
      </c>
      <c r="AG3232" s="17">
        <v>1</v>
      </c>
      <c r="AH3232" s="44">
        <v>30</v>
      </c>
      <c r="AI3232" s="44">
        <v>30</v>
      </c>
      <c r="AJ3232" s="44">
        <v>30</v>
      </c>
      <c r="AK3232" s="151">
        <v>30</v>
      </c>
      <c r="AL3232" s="151">
        <v>30</v>
      </c>
      <c r="AM3232" s="17">
        <f t="shared" si="156"/>
        <v>60</v>
      </c>
      <c r="AN3232" t="s">
        <v>723</v>
      </c>
      <c r="AO3232" s="18" t="s">
        <v>729</v>
      </c>
      <c r="AP3232" t="s">
        <v>10630</v>
      </c>
    </row>
    <row r="3233" spans="1:42" customFormat="1" hidden="1" x14ac:dyDescent="0.3">
      <c r="A3233" s="148" t="s">
        <v>8319</v>
      </c>
      <c r="B3233" t="s">
        <v>8320</v>
      </c>
      <c r="C3233" s="148" t="s">
        <v>9344</v>
      </c>
      <c r="D3233" t="s">
        <v>9345</v>
      </c>
      <c r="E3233" s="148" t="s">
        <v>9398</v>
      </c>
      <c r="F3233" t="s">
        <v>9399</v>
      </c>
      <c r="G3233" s="148" t="s">
        <v>10631</v>
      </c>
      <c r="H3233" t="s">
        <v>10632</v>
      </c>
      <c r="K3233" s="148" t="s">
        <v>10633</v>
      </c>
      <c r="L3233" t="s">
        <v>10634</v>
      </c>
      <c r="M3233" t="s">
        <v>10634</v>
      </c>
      <c r="N3233" s="3" t="s">
        <v>10634</v>
      </c>
      <c r="O3233" s="3" t="s">
        <v>271</v>
      </c>
      <c r="P3233" s="3" t="s">
        <v>271</v>
      </c>
      <c r="Q3233" s="3" t="s">
        <v>271</v>
      </c>
      <c r="R3233" s="3">
        <v>1</v>
      </c>
      <c r="S3233" s="3" t="s">
        <v>271</v>
      </c>
      <c r="T3233" t="s">
        <v>271</v>
      </c>
      <c r="U3233" t="e">
        <v>#N/A</v>
      </c>
      <c r="V3233" t="s">
        <v>10635</v>
      </c>
      <c r="W3233" s="45">
        <v>1</v>
      </c>
      <c r="X3233" s="45">
        <v>0</v>
      </c>
      <c r="Y3233" s="45">
        <v>0</v>
      </c>
      <c r="Z3233" s="45">
        <v>1</v>
      </c>
      <c r="AA3233" s="45">
        <v>1</v>
      </c>
      <c r="AB3233" s="45">
        <v>0</v>
      </c>
      <c r="AC3233" s="150">
        <v>0</v>
      </c>
      <c r="AD3233" s="150">
        <v>1</v>
      </c>
      <c r="AE3233" s="49">
        <f t="shared" si="155"/>
        <v>0.5</v>
      </c>
      <c r="AF3233" s="17"/>
      <c r="AG3233" s="17">
        <v>0</v>
      </c>
      <c r="AH3233" s="17">
        <v>0</v>
      </c>
      <c r="AI3233" s="17">
        <v>0</v>
      </c>
      <c r="AJ3233" s="17">
        <v>0</v>
      </c>
      <c r="AK3233" s="151">
        <v>0.8</v>
      </c>
      <c r="AL3233" s="151">
        <v>5</v>
      </c>
      <c r="AM3233" s="17">
        <f t="shared" si="156"/>
        <v>5.8</v>
      </c>
      <c r="AN3233" s="44" t="s">
        <v>10113</v>
      </c>
      <c r="AO3233" s="18" t="s">
        <v>10114</v>
      </c>
      <c r="AP3233" t="s">
        <v>10636</v>
      </c>
    </row>
    <row r="3234" spans="1:42" customFormat="1" hidden="1" x14ac:dyDescent="0.3">
      <c r="A3234" s="148" t="s">
        <v>8319</v>
      </c>
      <c r="B3234" t="s">
        <v>8320</v>
      </c>
      <c r="C3234" s="148" t="s">
        <v>9344</v>
      </c>
      <c r="D3234" t="s">
        <v>9345</v>
      </c>
      <c r="E3234" s="148" t="s">
        <v>9398</v>
      </c>
      <c r="F3234" t="s">
        <v>9399</v>
      </c>
      <c r="G3234" s="148" t="s">
        <v>9400</v>
      </c>
      <c r="H3234" t="s">
        <v>9401</v>
      </c>
      <c r="I3234" s="148" t="s">
        <v>10637</v>
      </c>
      <c r="J3234" t="s">
        <v>10638</v>
      </c>
      <c r="K3234" s="148" t="s">
        <v>10639</v>
      </c>
      <c r="L3234" t="s">
        <v>10640</v>
      </c>
      <c r="M3234" t="s">
        <v>10640</v>
      </c>
      <c r="N3234" s="3" t="s">
        <v>271</v>
      </c>
      <c r="O3234" s="3" t="s">
        <v>271</v>
      </c>
      <c r="P3234" s="3">
        <v>1</v>
      </c>
      <c r="Q3234" s="3" t="s">
        <v>271</v>
      </c>
      <c r="R3234" s="3" t="s">
        <v>271</v>
      </c>
      <c r="S3234" s="3" t="s">
        <v>271</v>
      </c>
      <c r="T3234" t="s">
        <v>10641</v>
      </c>
      <c r="U3234" t="e">
        <v>#N/A</v>
      </c>
      <c r="V3234" t="s">
        <v>10642</v>
      </c>
      <c r="W3234" s="45">
        <v>1</v>
      </c>
      <c r="X3234" s="45">
        <v>0</v>
      </c>
      <c r="Y3234" s="45">
        <v>0</v>
      </c>
      <c r="Z3234" s="45">
        <v>1</v>
      </c>
      <c r="AA3234" s="45">
        <v>1</v>
      </c>
      <c r="AB3234" s="45">
        <v>0</v>
      </c>
      <c r="AC3234" s="150">
        <v>0</v>
      </c>
      <c r="AD3234" s="150">
        <v>1</v>
      </c>
      <c r="AE3234" s="49">
        <f t="shared" si="155"/>
        <v>0.5</v>
      </c>
      <c r="AF3234" s="44"/>
      <c r="AG3234" s="17">
        <v>0</v>
      </c>
      <c r="AH3234" s="44" t="s">
        <v>271</v>
      </c>
      <c r="AI3234" s="44">
        <v>0.1</v>
      </c>
      <c r="AJ3234" s="44">
        <v>0.1</v>
      </c>
      <c r="AK3234" s="151">
        <v>0.1</v>
      </c>
      <c r="AL3234" s="151">
        <v>0.06</v>
      </c>
      <c r="AM3234" s="17">
        <f t="shared" si="156"/>
        <v>0.16</v>
      </c>
      <c r="AN3234" t="s">
        <v>723</v>
      </c>
      <c r="AO3234" s="18" t="s">
        <v>729</v>
      </c>
      <c r="AP3234" t="s">
        <v>10643</v>
      </c>
    </row>
    <row r="3235" spans="1:42" customFormat="1" hidden="1" x14ac:dyDescent="0.3">
      <c r="A3235" s="148" t="s">
        <v>8319</v>
      </c>
      <c r="B3235" t="s">
        <v>8320</v>
      </c>
      <c r="C3235" s="148" t="s">
        <v>9344</v>
      </c>
      <c r="D3235" t="s">
        <v>9345</v>
      </c>
      <c r="E3235" s="148" t="s">
        <v>9398</v>
      </c>
      <c r="F3235" t="s">
        <v>9399</v>
      </c>
      <c r="G3235" s="148" t="s">
        <v>9400</v>
      </c>
      <c r="H3235" t="s">
        <v>9401</v>
      </c>
      <c r="I3235" s="148" t="s">
        <v>10637</v>
      </c>
      <c r="J3235" t="s">
        <v>10638</v>
      </c>
      <c r="K3235" s="148" t="s">
        <v>10644</v>
      </c>
      <c r="L3235" t="s">
        <v>10645</v>
      </c>
      <c r="M3235" t="s">
        <v>10646</v>
      </c>
      <c r="N3235" s="3" t="s">
        <v>119</v>
      </c>
      <c r="O3235" s="3">
        <v>50</v>
      </c>
      <c r="P3235" s="3">
        <v>65</v>
      </c>
      <c r="Q3235" s="3">
        <v>70</v>
      </c>
      <c r="R3235" s="3">
        <v>80</v>
      </c>
      <c r="S3235" s="3">
        <v>80</v>
      </c>
      <c r="T3235" t="s">
        <v>10641</v>
      </c>
      <c r="U3235" t="e">
        <v>#N/A</v>
      </c>
      <c r="V3235" t="s">
        <v>10647</v>
      </c>
      <c r="W3235" s="45">
        <v>1</v>
      </c>
      <c r="X3235" s="45">
        <v>0</v>
      </c>
      <c r="Y3235" s="45">
        <v>0</v>
      </c>
      <c r="Z3235" s="45">
        <v>1</v>
      </c>
      <c r="AA3235" s="45">
        <v>1</v>
      </c>
      <c r="AB3235" s="45">
        <v>0</v>
      </c>
      <c r="AC3235" s="150">
        <v>0</v>
      </c>
      <c r="AD3235" s="150">
        <v>1</v>
      </c>
      <c r="AE3235" s="49">
        <f t="shared" si="155"/>
        <v>0.5</v>
      </c>
      <c r="AF3235" s="44"/>
      <c r="AG3235" s="17">
        <v>0</v>
      </c>
      <c r="AH3235" s="44">
        <v>0.15</v>
      </c>
      <c r="AI3235" s="44">
        <v>0.15</v>
      </c>
      <c r="AJ3235" s="44">
        <v>0.15</v>
      </c>
      <c r="AK3235" s="151">
        <v>0.15</v>
      </c>
      <c r="AL3235" s="151">
        <v>0.15</v>
      </c>
      <c r="AM3235" s="17">
        <f t="shared" si="156"/>
        <v>0.3</v>
      </c>
      <c r="AN3235" s="44" t="s">
        <v>10518</v>
      </c>
      <c r="AO3235" s="18" t="s">
        <v>729</v>
      </c>
      <c r="AP3235" t="s">
        <v>723</v>
      </c>
    </row>
    <row r="3236" spans="1:42" customFormat="1" hidden="1" x14ac:dyDescent="0.3">
      <c r="A3236" s="148" t="s">
        <v>8319</v>
      </c>
      <c r="B3236" t="s">
        <v>8320</v>
      </c>
      <c r="C3236" s="148" t="s">
        <v>9344</v>
      </c>
      <c r="D3236" t="s">
        <v>9345</v>
      </c>
      <c r="E3236" s="148" t="s">
        <v>9398</v>
      </c>
      <c r="F3236" t="s">
        <v>9399</v>
      </c>
      <c r="G3236" s="148" t="s">
        <v>9400</v>
      </c>
      <c r="H3236" t="s">
        <v>9401</v>
      </c>
      <c r="I3236" s="148" t="s">
        <v>10239</v>
      </c>
      <c r="J3236" t="s">
        <v>10240</v>
      </c>
      <c r="K3236" s="148" t="s">
        <v>10241</v>
      </c>
      <c r="L3236" t="s">
        <v>10242</v>
      </c>
      <c r="M3236" t="s">
        <v>10648</v>
      </c>
      <c r="N3236" s="3"/>
      <c r="O3236" s="3"/>
      <c r="P3236" s="3"/>
      <c r="Q3236" s="3"/>
      <c r="R3236" s="3">
        <v>1</v>
      </c>
      <c r="S3236" s="3"/>
      <c r="T3236" t="s">
        <v>10649</v>
      </c>
      <c r="U3236" t="e">
        <v>#N/A</v>
      </c>
      <c r="V3236" t="s">
        <v>10650</v>
      </c>
      <c r="W3236" s="45">
        <v>1</v>
      </c>
      <c r="X3236" s="45">
        <v>0</v>
      </c>
      <c r="Y3236" s="45">
        <v>0</v>
      </c>
      <c r="Z3236" s="45">
        <v>1</v>
      </c>
      <c r="AA3236" s="45">
        <v>1</v>
      </c>
      <c r="AB3236" s="45">
        <v>0</v>
      </c>
      <c r="AC3236" s="150">
        <v>0</v>
      </c>
      <c r="AD3236" s="150">
        <v>1</v>
      </c>
      <c r="AE3236" s="49">
        <f t="shared" si="155"/>
        <v>0.5</v>
      </c>
      <c r="AF3236" s="44"/>
      <c r="AG3236" s="17">
        <v>0</v>
      </c>
      <c r="AH3236" s="44">
        <v>0.2</v>
      </c>
      <c r="AI3236" s="44">
        <v>0.2</v>
      </c>
      <c r="AJ3236" s="44">
        <v>0.2</v>
      </c>
      <c r="AK3236" s="151">
        <v>0.2</v>
      </c>
      <c r="AL3236" s="151">
        <v>0.2</v>
      </c>
      <c r="AM3236" s="17">
        <f t="shared" si="156"/>
        <v>0.4</v>
      </c>
      <c r="AN3236" s="44" t="s">
        <v>723</v>
      </c>
      <c r="AO3236" s="18" t="s">
        <v>729</v>
      </c>
      <c r="AP3236" t="s">
        <v>831</v>
      </c>
    </row>
    <row r="3237" spans="1:42" customFormat="1" hidden="1" x14ac:dyDescent="0.3">
      <c r="A3237" s="148" t="s">
        <v>8319</v>
      </c>
      <c r="B3237" t="s">
        <v>8320</v>
      </c>
      <c r="C3237" s="148" t="s">
        <v>9344</v>
      </c>
      <c r="D3237" t="s">
        <v>9345</v>
      </c>
      <c r="E3237" s="148" t="s">
        <v>9398</v>
      </c>
      <c r="F3237" t="s">
        <v>9399</v>
      </c>
      <c r="G3237" s="148" t="s">
        <v>9400</v>
      </c>
      <c r="H3237" t="s">
        <v>9401</v>
      </c>
      <c r="I3237" s="148" t="s">
        <v>10239</v>
      </c>
      <c r="J3237" t="s">
        <v>10240</v>
      </c>
      <c r="K3237" s="148" t="s">
        <v>10241</v>
      </c>
      <c r="L3237" t="s">
        <v>10242</v>
      </c>
      <c r="M3237" t="s">
        <v>10651</v>
      </c>
      <c r="N3237" s="3" t="s">
        <v>271</v>
      </c>
      <c r="O3237" s="3" t="s">
        <v>271</v>
      </c>
      <c r="P3237" s="3">
        <v>3000</v>
      </c>
      <c r="Q3237" s="3">
        <v>6500</v>
      </c>
      <c r="R3237" s="3">
        <v>10500</v>
      </c>
      <c r="S3237" s="3">
        <v>14500</v>
      </c>
      <c r="T3237" t="s">
        <v>723</v>
      </c>
      <c r="U3237" t="s">
        <v>729</v>
      </c>
      <c r="V3237" t="s">
        <v>10652</v>
      </c>
      <c r="W3237" s="45">
        <v>1</v>
      </c>
      <c r="X3237" s="45">
        <v>0</v>
      </c>
      <c r="Y3237" s="45">
        <v>0</v>
      </c>
      <c r="Z3237" s="45">
        <v>1</v>
      </c>
      <c r="AA3237" s="45">
        <v>1</v>
      </c>
      <c r="AB3237" s="45">
        <v>0</v>
      </c>
      <c r="AC3237" s="150">
        <v>0</v>
      </c>
      <c r="AD3237" s="150">
        <v>1</v>
      </c>
      <c r="AE3237" s="49">
        <f t="shared" si="155"/>
        <v>0.5</v>
      </c>
      <c r="AF3237" s="17">
        <v>1</v>
      </c>
      <c r="AG3237" s="17">
        <v>0</v>
      </c>
      <c r="AH3237" s="17">
        <v>0</v>
      </c>
      <c r="AI3237" s="44">
        <v>0</v>
      </c>
      <c r="AJ3237" s="44">
        <v>0</v>
      </c>
      <c r="AK3237" s="151">
        <v>3</v>
      </c>
      <c r="AL3237" s="151">
        <v>3</v>
      </c>
      <c r="AM3237" s="17">
        <f t="shared" si="156"/>
        <v>6</v>
      </c>
      <c r="AN3237" t="s">
        <v>723</v>
      </c>
      <c r="AO3237" s="18" t="s">
        <v>729</v>
      </c>
      <c r="AP3237" t="s">
        <v>10653</v>
      </c>
    </row>
    <row r="3238" spans="1:42" customFormat="1" hidden="1" x14ac:dyDescent="0.3">
      <c r="A3238" s="148" t="s">
        <v>8319</v>
      </c>
      <c r="B3238" t="s">
        <v>8320</v>
      </c>
      <c r="C3238" s="148" t="s">
        <v>9344</v>
      </c>
      <c r="D3238" t="s">
        <v>9345</v>
      </c>
      <c r="E3238" s="148" t="s">
        <v>9398</v>
      </c>
      <c r="F3238" t="s">
        <v>9399</v>
      </c>
      <c r="G3238" s="148" t="s">
        <v>9400</v>
      </c>
      <c r="H3238" t="s">
        <v>9401</v>
      </c>
      <c r="I3238" s="148" t="s">
        <v>10239</v>
      </c>
      <c r="J3238" t="s">
        <v>10240</v>
      </c>
      <c r="K3238" s="148" t="s">
        <v>10654</v>
      </c>
      <c r="L3238" t="s">
        <v>10655</v>
      </c>
      <c r="M3238" t="s">
        <v>10656</v>
      </c>
      <c r="N3238" s="3" t="s">
        <v>271</v>
      </c>
      <c r="O3238" s="3" t="s">
        <v>271</v>
      </c>
      <c r="P3238" s="3">
        <v>1</v>
      </c>
      <c r="Q3238" s="3" t="s">
        <v>271</v>
      </c>
      <c r="R3238" s="3" t="s">
        <v>271</v>
      </c>
      <c r="S3238" s="3" t="s">
        <v>271</v>
      </c>
      <c r="T3238" t="s">
        <v>10520</v>
      </c>
      <c r="U3238" t="e">
        <v>#N/A</v>
      </c>
      <c r="V3238" t="s">
        <v>10657</v>
      </c>
      <c r="W3238" s="45">
        <v>1</v>
      </c>
      <c r="X3238" s="45">
        <v>0</v>
      </c>
      <c r="Y3238" s="45">
        <v>0</v>
      </c>
      <c r="Z3238" s="45">
        <v>1</v>
      </c>
      <c r="AA3238" s="45">
        <v>1</v>
      </c>
      <c r="AB3238" s="45">
        <v>0</v>
      </c>
      <c r="AC3238" s="150">
        <v>0</v>
      </c>
      <c r="AD3238" s="150">
        <v>1</v>
      </c>
      <c r="AE3238" s="49">
        <f t="shared" si="155"/>
        <v>0.5</v>
      </c>
      <c r="AF3238" s="17"/>
      <c r="AG3238" s="17">
        <v>0</v>
      </c>
      <c r="AH3238" s="17">
        <v>0</v>
      </c>
      <c r="AI3238" s="44">
        <v>0.1</v>
      </c>
      <c r="AJ3238" s="17">
        <v>0</v>
      </c>
      <c r="AK3238" s="153">
        <v>0</v>
      </c>
      <c r="AL3238" s="154">
        <v>0</v>
      </c>
      <c r="AM3238" s="17">
        <f t="shared" si="156"/>
        <v>0</v>
      </c>
      <c r="AN3238" s="44" t="s">
        <v>723</v>
      </c>
      <c r="AO3238" s="18" t="s">
        <v>729</v>
      </c>
      <c r="AP3238" t="s">
        <v>831</v>
      </c>
    </row>
    <row r="3239" spans="1:42" customFormat="1" hidden="1" x14ac:dyDescent="0.3">
      <c r="A3239" s="148" t="s">
        <v>8319</v>
      </c>
      <c r="B3239" t="s">
        <v>8320</v>
      </c>
      <c r="C3239" s="148" t="s">
        <v>9344</v>
      </c>
      <c r="D3239" t="s">
        <v>9345</v>
      </c>
      <c r="E3239" s="148" t="s">
        <v>9398</v>
      </c>
      <c r="F3239" t="s">
        <v>9399</v>
      </c>
      <c r="G3239" s="148" t="s">
        <v>9400</v>
      </c>
      <c r="H3239" t="s">
        <v>9401</v>
      </c>
      <c r="I3239" s="148" t="s">
        <v>10239</v>
      </c>
      <c r="J3239" t="s">
        <v>10240</v>
      </c>
      <c r="K3239" s="148" t="s">
        <v>10658</v>
      </c>
      <c r="L3239" t="s">
        <v>10659</v>
      </c>
      <c r="M3239" t="s">
        <v>10660</v>
      </c>
      <c r="N3239" s="3" t="s">
        <v>119</v>
      </c>
      <c r="O3239" s="3">
        <v>10</v>
      </c>
      <c r="P3239" s="3">
        <v>20</v>
      </c>
      <c r="Q3239" s="3">
        <v>30</v>
      </c>
      <c r="R3239" s="3">
        <v>40</v>
      </c>
      <c r="S3239" s="3">
        <v>50</v>
      </c>
      <c r="T3239" t="s">
        <v>10661</v>
      </c>
      <c r="U3239" t="e">
        <v>#N/A</v>
      </c>
      <c r="V3239" t="s">
        <v>10662</v>
      </c>
      <c r="W3239" s="45">
        <v>1</v>
      </c>
      <c r="X3239" s="45">
        <v>0</v>
      </c>
      <c r="Y3239" s="45">
        <v>0</v>
      </c>
      <c r="Z3239" s="45">
        <v>1</v>
      </c>
      <c r="AA3239" s="45">
        <v>1</v>
      </c>
      <c r="AB3239" s="45">
        <v>0</v>
      </c>
      <c r="AC3239" s="150">
        <v>0</v>
      </c>
      <c r="AD3239" s="150">
        <v>1</v>
      </c>
      <c r="AE3239" s="49">
        <f t="shared" si="155"/>
        <v>0.5</v>
      </c>
      <c r="AF3239" s="44"/>
      <c r="AG3239" s="17">
        <v>0</v>
      </c>
      <c r="AH3239" s="44">
        <v>0.1</v>
      </c>
      <c r="AI3239" s="44">
        <v>0.1</v>
      </c>
      <c r="AJ3239" s="44">
        <v>0.1</v>
      </c>
      <c r="AK3239" s="151">
        <v>0.1</v>
      </c>
      <c r="AL3239" s="151">
        <v>0.1</v>
      </c>
      <c r="AM3239" s="17">
        <f t="shared" si="156"/>
        <v>0.2</v>
      </c>
      <c r="AN3239" t="s">
        <v>723</v>
      </c>
      <c r="AO3239" s="18" t="s">
        <v>729</v>
      </c>
      <c r="AP3239" t="s">
        <v>921</v>
      </c>
    </row>
    <row r="3240" spans="1:42" customFormat="1" hidden="1" x14ac:dyDescent="0.3">
      <c r="A3240" s="148" t="s">
        <v>8319</v>
      </c>
      <c r="B3240" t="s">
        <v>8320</v>
      </c>
      <c r="C3240" s="148" t="s">
        <v>9344</v>
      </c>
      <c r="D3240" t="s">
        <v>9345</v>
      </c>
      <c r="E3240" s="148" t="s">
        <v>9398</v>
      </c>
      <c r="F3240" t="s">
        <v>9399</v>
      </c>
      <c r="G3240" s="148" t="s">
        <v>9400</v>
      </c>
      <c r="H3240" t="s">
        <v>9401</v>
      </c>
      <c r="I3240" s="148" t="s">
        <v>9402</v>
      </c>
      <c r="J3240" t="s">
        <v>9403</v>
      </c>
      <c r="K3240" s="148" t="s">
        <v>10663</v>
      </c>
      <c r="L3240" t="s">
        <v>10664</v>
      </c>
      <c r="M3240" t="s">
        <v>10665</v>
      </c>
      <c r="N3240" s="3">
        <v>1</v>
      </c>
      <c r="O3240" s="3">
        <v>1</v>
      </c>
      <c r="P3240" s="3">
        <v>4</v>
      </c>
      <c r="Q3240" s="3">
        <v>5</v>
      </c>
      <c r="R3240" s="3">
        <v>7</v>
      </c>
      <c r="S3240" s="3">
        <v>9</v>
      </c>
      <c r="T3240" t="s">
        <v>10666</v>
      </c>
      <c r="U3240" t="e">
        <v>#N/A</v>
      </c>
      <c r="V3240" t="s">
        <v>10667</v>
      </c>
      <c r="W3240" s="45">
        <v>1</v>
      </c>
      <c r="X3240" s="45">
        <v>0</v>
      </c>
      <c r="Y3240" s="45">
        <v>0</v>
      </c>
      <c r="Z3240" s="45">
        <v>1</v>
      </c>
      <c r="AA3240" s="45">
        <v>1</v>
      </c>
      <c r="AB3240" s="45">
        <v>0</v>
      </c>
      <c r="AC3240" s="150">
        <v>0</v>
      </c>
      <c r="AD3240" s="150">
        <v>1</v>
      </c>
      <c r="AE3240" s="49">
        <f t="shared" si="155"/>
        <v>0.5</v>
      </c>
      <c r="AF3240" s="44">
        <v>1</v>
      </c>
      <c r="AG3240" s="17">
        <v>0</v>
      </c>
      <c r="AH3240" s="44">
        <v>0</v>
      </c>
      <c r="AI3240" s="44">
        <v>0</v>
      </c>
      <c r="AJ3240" s="44">
        <v>0</v>
      </c>
      <c r="AK3240" s="151">
        <v>45</v>
      </c>
      <c r="AL3240" s="151">
        <v>45</v>
      </c>
      <c r="AM3240" s="17">
        <f t="shared" si="156"/>
        <v>90</v>
      </c>
      <c r="AN3240" t="s">
        <v>723</v>
      </c>
      <c r="AO3240" s="18" t="s">
        <v>729</v>
      </c>
      <c r="AP3240" t="s">
        <v>9922</v>
      </c>
    </row>
    <row r="3241" spans="1:42" customFormat="1" hidden="1" x14ac:dyDescent="0.3">
      <c r="A3241" s="148" t="s">
        <v>8319</v>
      </c>
      <c r="B3241" t="s">
        <v>8320</v>
      </c>
      <c r="C3241" s="148" t="s">
        <v>9344</v>
      </c>
      <c r="D3241" t="s">
        <v>9345</v>
      </c>
      <c r="E3241" s="148" t="s">
        <v>9398</v>
      </c>
      <c r="F3241" t="s">
        <v>9399</v>
      </c>
      <c r="G3241" s="148" t="s">
        <v>9400</v>
      </c>
      <c r="H3241" t="s">
        <v>9401</v>
      </c>
      <c r="I3241" s="148" t="s">
        <v>9402</v>
      </c>
      <c r="J3241" t="s">
        <v>9403</v>
      </c>
      <c r="K3241" s="148" t="s">
        <v>10668</v>
      </c>
      <c r="L3241" t="s">
        <v>10669</v>
      </c>
      <c r="M3241" t="s">
        <v>10670</v>
      </c>
      <c r="N3241" s="3" t="s">
        <v>119</v>
      </c>
      <c r="O3241" s="3">
        <v>25</v>
      </c>
      <c r="P3241" s="3">
        <v>30</v>
      </c>
      <c r="Q3241" s="3">
        <v>38</v>
      </c>
      <c r="R3241" s="3">
        <v>50</v>
      </c>
      <c r="S3241" s="3">
        <v>65</v>
      </c>
      <c r="T3241" t="s">
        <v>10671</v>
      </c>
      <c r="U3241" t="e">
        <v>#N/A</v>
      </c>
      <c r="V3241" t="s">
        <v>10672</v>
      </c>
      <c r="W3241" s="45">
        <v>1</v>
      </c>
      <c r="X3241" s="45">
        <v>0</v>
      </c>
      <c r="Y3241" s="45">
        <v>0</v>
      </c>
      <c r="Z3241" s="45">
        <v>1</v>
      </c>
      <c r="AA3241" s="45">
        <v>1</v>
      </c>
      <c r="AB3241" s="45">
        <v>0</v>
      </c>
      <c r="AC3241" s="150">
        <v>0</v>
      </c>
      <c r="AD3241" s="150">
        <v>1</v>
      </c>
      <c r="AE3241" s="49">
        <f t="shared" si="155"/>
        <v>0.5</v>
      </c>
      <c r="AF3241" s="17">
        <v>1</v>
      </c>
      <c r="AG3241" s="17">
        <v>1</v>
      </c>
      <c r="AH3241" s="17">
        <v>0</v>
      </c>
      <c r="AI3241" s="44">
        <v>0.6</v>
      </c>
      <c r="AJ3241" s="44">
        <v>1.2</v>
      </c>
      <c r="AK3241" s="151">
        <v>1.8</v>
      </c>
      <c r="AL3241" s="151">
        <v>2.4500000000000002</v>
      </c>
      <c r="AM3241" s="17">
        <f t="shared" si="156"/>
        <v>4.25</v>
      </c>
      <c r="AN3241" s="44" t="s">
        <v>723</v>
      </c>
      <c r="AO3241" s="18" t="s">
        <v>729</v>
      </c>
      <c r="AP3241" t="s">
        <v>10520</v>
      </c>
    </row>
    <row r="3242" spans="1:42" customFormat="1" hidden="1" x14ac:dyDescent="0.3">
      <c r="A3242" s="148" t="s">
        <v>8319</v>
      </c>
      <c r="B3242" t="s">
        <v>8320</v>
      </c>
      <c r="C3242" s="148" t="s">
        <v>9344</v>
      </c>
      <c r="D3242" t="s">
        <v>9345</v>
      </c>
      <c r="E3242" s="148" t="s">
        <v>9398</v>
      </c>
      <c r="F3242" t="s">
        <v>9399</v>
      </c>
      <c r="G3242" s="148" t="s">
        <v>10244</v>
      </c>
      <c r="H3242" t="s">
        <v>10245</v>
      </c>
      <c r="K3242" s="148" t="s">
        <v>10673</v>
      </c>
      <c r="L3242" t="s">
        <v>10674</v>
      </c>
      <c r="M3242" t="s">
        <v>10675</v>
      </c>
      <c r="N3242" s="3"/>
      <c r="O3242" s="3"/>
      <c r="P3242" s="3">
        <v>2</v>
      </c>
      <c r="Q3242" s="3">
        <v>4</v>
      </c>
      <c r="R3242" s="3">
        <v>5</v>
      </c>
      <c r="S3242" s="3">
        <v>7</v>
      </c>
      <c r="T3242" t="s">
        <v>1233</v>
      </c>
      <c r="U3242" t="s">
        <v>1650</v>
      </c>
      <c r="V3242" t="s">
        <v>10676</v>
      </c>
      <c r="W3242" s="45">
        <v>1</v>
      </c>
      <c r="X3242" s="45">
        <v>0</v>
      </c>
      <c r="Y3242" s="45">
        <v>0</v>
      </c>
      <c r="Z3242" s="45">
        <v>1</v>
      </c>
      <c r="AA3242" s="45">
        <v>1</v>
      </c>
      <c r="AB3242" s="45">
        <v>0</v>
      </c>
      <c r="AC3242" s="150">
        <v>0</v>
      </c>
      <c r="AD3242" s="150">
        <v>1</v>
      </c>
      <c r="AE3242" s="49">
        <f t="shared" si="155"/>
        <v>0.5</v>
      </c>
      <c r="AF3242" s="44"/>
      <c r="AG3242" s="17">
        <v>0</v>
      </c>
      <c r="AH3242" s="44"/>
      <c r="AI3242" s="17"/>
      <c r="AJ3242" s="17"/>
      <c r="AK3242" s="151"/>
      <c r="AL3242" s="154"/>
      <c r="AM3242" s="17">
        <f t="shared" si="156"/>
        <v>0</v>
      </c>
      <c r="AN3242" s="44" t="s">
        <v>5423</v>
      </c>
      <c r="AO3242" s="18" t="s">
        <v>1650</v>
      </c>
      <c r="AP3242" t="s">
        <v>10677</v>
      </c>
    </row>
    <row r="3243" spans="1:42" customFormat="1" hidden="1" x14ac:dyDescent="0.3">
      <c r="A3243" s="148" t="s">
        <v>8319</v>
      </c>
      <c r="B3243" t="s">
        <v>8320</v>
      </c>
      <c r="C3243" s="148" t="s">
        <v>9344</v>
      </c>
      <c r="D3243" t="s">
        <v>9345</v>
      </c>
      <c r="E3243" s="148" t="s">
        <v>9398</v>
      </c>
      <c r="F3243" t="s">
        <v>9399</v>
      </c>
      <c r="G3243" s="148" t="s">
        <v>10244</v>
      </c>
      <c r="H3243" t="s">
        <v>10245</v>
      </c>
      <c r="K3243" s="148" t="s">
        <v>10673</v>
      </c>
      <c r="L3243" t="s">
        <v>10674</v>
      </c>
      <c r="M3243" t="s">
        <v>10678</v>
      </c>
      <c r="N3243" s="3"/>
      <c r="O3243" s="3"/>
      <c r="P3243" s="3">
        <v>100</v>
      </c>
      <c r="Q3243" s="3">
        <v>150</v>
      </c>
      <c r="R3243" s="3">
        <v>150</v>
      </c>
      <c r="S3243" s="3">
        <v>150</v>
      </c>
      <c r="T3243" t="s">
        <v>1233</v>
      </c>
      <c r="U3243" t="s">
        <v>1650</v>
      </c>
      <c r="V3243" t="s">
        <v>10679</v>
      </c>
      <c r="W3243" s="45">
        <v>1</v>
      </c>
      <c r="X3243" s="45">
        <v>0</v>
      </c>
      <c r="Y3243" s="45">
        <v>0</v>
      </c>
      <c r="Z3243" s="45">
        <v>1</v>
      </c>
      <c r="AA3243" s="45">
        <v>1</v>
      </c>
      <c r="AB3243" s="45">
        <v>0</v>
      </c>
      <c r="AC3243" s="150">
        <v>1</v>
      </c>
      <c r="AD3243" s="150">
        <v>0</v>
      </c>
      <c r="AE3243" s="49">
        <f t="shared" si="155"/>
        <v>0.5</v>
      </c>
      <c r="AF3243" s="44"/>
      <c r="AG3243" s="17">
        <v>0</v>
      </c>
      <c r="AH3243" s="44"/>
      <c r="AI3243" s="17"/>
      <c r="AJ3243" s="17"/>
      <c r="AK3243" s="151"/>
      <c r="AL3243" s="154"/>
      <c r="AM3243" s="17">
        <f t="shared" si="156"/>
        <v>0</v>
      </c>
      <c r="AN3243" s="44" t="s">
        <v>1233</v>
      </c>
      <c r="AO3243" s="18" t="s">
        <v>1650</v>
      </c>
      <c r="AP3243" t="s">
        <v>10677</v>
      </c>
    </row>
    <row r="3244" spans="1:42" customFormat="1" hidden="1" x14ac:dyDescent="0.3">
      <c r="A3244" s="148" t="s">
        <v>8319</v>
      </c>
      <c r="B3244" t="s">
        <v>8320</v>
      </c>
      <c r="C3244" s="148" t="s">
        <v>9410</v>
      </c>
      <c r="D3244" t="s">
        <v>9411</v>
      </c>
      <c r="E3244" s="148" t="s">
        <v>9412</v>
      </c>
      <c r="F3244" t="s">
        <v>9413</v>
      </c>
      <c r="G3244" s="148" t="s">
        <v>9414</v>
      </c>
      <c r="H3244" t="s">
        <v>9415</v>
      </c>
      <c r="K3244" s="155" t="s">
        <v>9441</v>
      </c>
      <c r="L3244" t="s">
        <v>9442</v>
      </c>
      <c r="M3244" t="s">
        <v>10680</v>
      </c>
      <c r="N3244" s="3"/>
      <c r="O3244" s="3">
        <v>4</v>
      </c>
      <c r="P3244" s="3">
        <v>4</v>
      </c>
      <c r="Q3244" s="3">
        <v>4</v>
      </c>
      <c r="R3244" s="3">
        <v>3</v>
      </c>
      <c r="S3244" s="3">
        <v>3</v>
      </c>
      <c r="T3244" t="s">
        <v>3643</v>
      </c>
      <c r="U3244" t="s">
        <v>3630</v>
      </c>
      <c r="V3244" t="s">
        <v>10681</v>
      </c>
      <c r="W3244" s="45">
        <v>1</v>
      </c>
      <c r="X3244" s="45">
        <v>0</v>
      </c>
      <c r="Y3244" s="45">
        <v>0</v>
      </c>
      <c r="Z3244" s="45">
        <v>1</v>
      </c>
      <c r="AA3244" s="45">
        <v>1</v>
      </c>
      <c r="AB3244" s="45">
        <v>0</v>
      </c>
      <c r="AC3244" s="150">
        <v>0</v>
      </c>
      <c r="AD3244" s="150">
        <v>1</v>
      </c>
      <c r="AE3244" s="49">
        <f t="shared" si="155"/>
        <v>0.5</v>
      </c>
      <c r="AF3244" s="17"/>
      <c r="AG3244" s="17">
        <v>0</v>
      </c>
      <c r="AH3244" s="17">
        <v>0</v>
      </c>
      <c r="AI3244" s="17">
        <v>0</v>
      </c>
      <c r="AJ3244" s="17">
        <v>0</v>
      </c>
      <c r="AK3244" s="153">
        <v>23</v>
      </c>
      <c r="AL3244" s="154">
        <v>23</v>
      </c>
      <c r="AM3244" s="17">
        <f t="shared" si="156"/>
        <v>46</v>
      </c>
      <c r="AN3244" t="s">
        <v>3643</v>
      </c>
      <c r="AO3244" s="18" t="s">
        <v>3630</v>
      </c>
      <c r="AP3244" t="s">
        <v>10682</v>
      </c>
    </row>
    <row r="3245" spans="1:42" customFormat="1" hidden="1" x14ac:dyDescent="0.3">
      <c r="A3245" s="148" t="s">
        <v>8319</v>
      </c>
      <c r="B3245" t="s">
        <v>8320</v>
      </c>
      <c r="C3245" s="148" t="s">
        <v>9410</v>
      </c>
      <c r="D3245" t="s">
        <v>9411</v>
      </c>
      <c r="E3245" s="148" t="s">
        <v>9412</v>
      </c>
      <c r="F3245" t="s">
        <v>9413</v>
      </c>
      <c r="G3245" s="148" t="s">
        <v>9661</v>
      </c>
      <c r="H3245" t="s">
        <v>9662</v>
      </c>
      <c r="I3245" s="148" t="s">
        <v>10269</v>
      </c>
      <c r="J3245" t="s">
        <v>10270</v>
      </c>
      <c r="K3245" s="148" t="s">
        <v>10271</v>
      </c>
      <c r="L3245" t="s">
        <v>10272</v>
      </c>
      <c r="M3245" t="s">
        <v>10683</v>
      </c>
      <c r="N3245" s="3"/>
      <c r="O3245" s="3">
        <v>1</v>
      </c>
      <c r="P3245" s="3">
        <v>1</v>
      </c>
      <c r="Q3245" s="3">
        <v>1</v>
      </c>
      <c r="R3245" s="3">
        <v>1</v>
      </c>
      <c r="S3245" s="3">
        <v>1</v>
      </c>
      <c r="T3245" t="s">
        <v>3643</v>
      </c>
      <c r="U3245" t="s">
        <v>3630</v>
      </c>
      <c r="V3245" t="s">
        <v>10684</v>
      </c>
      <c r="W3245" s="45">
        <v>1</v>
      </c>
      <c r="X3245" s="45">
        <v>1</v>
      </c>
      <c r="Y3245" s="45">
        <v>1</v>
      </c>
      <c r="Z3245" s="45">
        <v>0</v>
      </c>
      <c r="AA3245" s="45">
        <v>0</v>
      </c>
      <c r="AB3245" s="45">
        <v>0</v>
      </c>
      <c r="AC3245" s="150">
        <v>0</v>
      </c>
      <c r="AD3245" s="150">
        <v>1</v>
      </c>
      <c r="AE3245" s="49">
        <f t="shared" si="155"/>
        <v>0.5</v>
      </c>
      <c r="AF3245" s="44"/>
      <c r="AG3245" s="17">
        <v>0</v>
      </c>
      <c r="AH3245" s="44">
        <v>0</v>
      </c>
      <c r="AI3245" s="44">
        <v>0</v>
      </c>
      <c r="AJ3245" s="44">
        <v>0</v>
      </c>
      <c r="AK3245" s="151">
        <v>0</v>
      </c>
      <c r="AL3245" s="151">
        <v>0</v>
      </c>
      <c r="AM3245" s="17">
        <f t="shared" si="156"/>
        <v>0</v>
      </c>
      <c r="AN3245" t="s">
        <v>3643</v>
      </c>
      <c r="AO3245" s="18" t="s">
        <v>3630</v>
      </c>
      <c r="AP3245" t="s">
        <v>119</v>
      </c>
    </row>
    <row r="3246" spans="1:42" customFormat="1" hidden="1" x14ac:dyDescent="0.3">
      <c r="A3246" s="148" t="s">
        <v>8319</v>
      </c>
      <c r="B3246" t="s">
        <v>8320</v>
      </c>
      <c r="C3246" s="148" t="s">
        <v>9410</v>
      </c>
      <c r="D3246" t="s">
        <v>9411</v>
      </c>
      <c r="E3246" s="148" t="s">
        <v>9412</v>
      </c>
      <c r="F3246" t="s">
        <v>9413</v>
      </c>
      <c r="G3246" s="148" t="s">
        <v>9448</v>
      </c>
      <c r="H3246" t="s">
        <v>9449</v>
      </c>
      <c r="I3246" s="148" t="s">
        <v>9747</v>
      </c>
      <c r="J3246" t="s">
        <v>9748</v>
      </c>
      <c r="K3246" s="148" t="s">
        <v>9749</v>
      </c>
      <c r="L3246" t="s">
        <v>9750</v>
      </c>
      <c r="M3246" t="s">
        <v>10685</v>
      </c>
      <c r="N3246" s="3"/>
      <c r="O3246" s="3">
        <v>0</v>
      </c>
      <c r="P3246" s="3">
        <v>1</v>
      </c>
      <c r="Q3246" s="3">
        <v>0</v>
      </c>
      <c r="R3246" s="3">
        <v>0</v>
      </c>
      <c r="S3246" s="3">
        <v>0</v>
      </c>
      <c r="T3246" t="s">
        <v>9755</v>
      </c>
      <c r="U3246" t="e">
        <v>#N/A</v>
      </c>
      <c r="V3246" t="s">
        <v>10686</v>
      </c>
      <c r="W3246" s="45">
        <v>1</v>
      </c>
      <c r="X3246" s="45">
        <v>1</v>
      </c>
      <c r="Y3246" s="45">
        <v>1</v>
      </c>
      <c r="Z3246" s="45">
        <v>0</v>
      </c>
      <c r="AA3246" s="45">
        <v>0</v>
      </c>
      <c r="AB3246" s="45">
        <v>0</v>
      </c>
      <c r="AC3246" s="150">
        <v>0</v>
      </c>
      <c r="AD3246" s="150">
        <v>1</v>
      </c>
      <c r="AE3246" s="49">
        <f t="shared" si="155"/>
        <v>0.5</v>
      </c>
      <c r="AF3246" s="44"/>
      <c r="AG3246" s="17">
        <v>0</v>
      </c>
      <c r="AH3246" s="44">
        <v>0</v>
      </c>
      <c r="AI3246" s="44">
        <v>0.05</v>
      </c>
      <c r="AJ3246" s="44">
        <v>0</v>
      </c>
      <c r="AK3246" s="151">
        <v>0</v>
      </c>
      <c r="AL3246" s="151">
        <v>0</v>
      </c>
      <c r="AM3246" s="17">
        <f t="shared" si="156"/>
        <v>0</v>
      </c>
      <c r="AN3246" t="s">
        <v>3643</v>
      </c>
      <c r="AO3246" s="18" t="s">
        <v>3630</v>
      </c>
      <c r="AP3246" t="s">
        <v>9757</v>
      </c>
    </row>
    <row r="3247" spans="1:42" customFormat="1" hidden="1" x14ac:dyDescent="0.3">
      <c r="A3247" s="148" t="s">
        <v>8319</v>
      </c>
      <c r="B3247" t="s">
        <v>8320</v>
      </c>
      <c r="C3247" s="148" t="s">
        <v>9410</v>
      </c>
      <c r="D3247" t="s">
        <v>9411</v>
      </c>
      <c r="E3247" s="148" t="s">
        <v>9412</v>
      </c>
      <c r="F3247" t="s">
        <v>9413</v>
      </c>
      <c r="G3247" s="148" t="s">
        <v>9448</v>
      </c>
      <c r="H3247" t="s">
        <v>9449</v>
      </c>
      <c r="I3247" s="148" t="s">
        <v>9763</v>
      </c>
      <c r="J3247" t="s">
        <v>9764</v>
      </c>
      <c r="K3247" s="148" t="s">
        <v>9791</v>
      </c>
      <c r="L3247" t="s">
        <v>9792</v>
      </c>
      <c r="M3247" t="s">
        <v>10687</v>
      </c>
      <c r="N3247" s="3"/>
      <c r="O3247" s="3">
        <v>0.5</v>
      </c>
      <c r="P3247" s="3">
        <v>1</v>
      </c>
      <c r="Q3247" s="3">
        <v>0</v>
      </c>
      <c r="R3247" s="3">
        <v>0</v>
      </c>
      <c r="S3247" s="3">
        <v>0</v>
      </c>
      <c r="T3247" t="s">
        <v>9794</v>
      </c>
      <c r="U3247" t="e">
        <v>#N/A</v>
      </c>
      <c r="V3247" t="s">
        <v>10688</v>
      </c>
      <c r="W3247" s="45">
        <v>1</v>
      </c>
      <c r="X3247" s="45">
        <v>1</v>
      </c>
      <c r="Y3247" s="45">
        <v>1</v>
      </c>
      <c r="Z3247" s="45">
        <v>1</v>
      </c>
      <c r="AA3247" s="45">
        <v>0</v>
      </c>
      <c r="AB3247" s="45">
        <v>0</v>
      </c>
      <c r="AC3247" s="150">
        <v>0</v>
      </c>
      <c r="AD3247" s="150">
        <v>0</v>
      </c>
      <c r="AE3247" s="49">
        <f t="shared" si="155"/>
        <v>0.5</v>
      </c>
      <c r="AF3247" s="44"/>
      <c r="AG3247" s="17">
        <v>0</v>
      </c>
      <c r="AH3247" s="44">
        <v>20</v>
      </c>
      <c r="AI3247" s="44">
        <v>10</v>
      </c>
      <c r="AJ3247" s="44">
        <v>0</v>
      </c>
      <c r="AK3247" s="151">
        <v>0</v>
      </c>
      <c r="AL3247" s="151">
        <v>0</v>
      </c>
      <c r="AM3247" s="17">
        <f t="shared" si="156"/>
        <v>0</v>
      </c>
      <c r="AN3247" t="s">
        <v>3629</v>
      </c>
      <c r="AO3247" s="18" t="s">
        <v>3630</v>
      </c>
      <c r="AP3247" t="s">
        <v>3643</v>
      </c>
    </row>
    <row r="3248" spans="1:42" customFormat="1" hidden="1" x14ac:dyDescent="0.3">
      <c r="A3248" s="148" t="s">
        <v>8319</v>
      </c>
      <c r="B3248" t="s">
        <v>8320</v>
      </c>
      <c r="C3248" s="148" t="s">
        <v>9410</v>
      </c>
      <c r="D3248" t="s">
        <v>9411</v>
      </c>
      <c r="E3248" s="148" t="s">
        <v>9412</v>
      </c>
      <c r="F3248" t="s">
        <v>9413</v>
      </c>
      <c r="G3248" s="148" t="s">
        <v>9448</v>
      </c>
      <c r="H3248" t="s">
        <v>9449</v>
      </c>
      <c r="I3248" s="148" t="s">
        <v>9796</v>
      </c>
      <c r="J3248" t="s">
        <v>9797</v>
      </c>
      <c r="K3248" s="148" t="s">
        <v>9798</v>
      </c>
      <c r="L3248" t="s">
        <v>9799</v>
      </c>
      <c r="M3248" t="s">
        <v>10689</v>
      </c>
      <c r="N3248" s="3"/>
      <c r="O3248" s="3">
        <v>1</v>
      </c>
      <c r="P3248" s="3">
        <v>1</v>
      </c>
      <c r="Q3248" s="3">
        <v>1</v>
      </c>
      <c r="R3248" s="3">
        <v>1</v>
      </c>
      <c r="S3248" s="3">
        <v>1</v>
      </c>
      <c r="T3248" t="s">
        <v>3643</v>
      </c>
      <c r="U3248" t="s">
        <v>3630</v>
      </c>
      <c r="V3248" t="s">
        <v>10690</v>
      </c>
      <c r="W3248" s="45">
        <v>1</v>
      </c>
      <c r="X3248" s="45">
        <v>0</v>
      </c>
      <c r="Y3248" s="45">
        <v>0</v>
      </c>
      <c r="Z3248" s="45">
        <v>1</v>
      </c>
      <c r="AA3248" s="45">
        <v>1</v>
      </c>
      <c r="AB3248" s="45">
        <v>0</v>
      </c>
      <c r="AC3248" s="150">
        <v>0</v>
      </c>
      <c r="AD3248" s="150">
        <v>1</v>
      </c>
      <c r="AE3248" s="49">
        <f t="shared" si="155"/>
        <v>0.5</v>
      </c>
      <c r="AF3248" s="44"/>
      <c r="AG3248" s="17">
        <v>0</v>
      </c>
      <c r="AH3248" s="44">
        <v>0</v>
      </c>
      <c r="AI3248" s="44">
        <v>0</v>
      </c>
      <c r="AJ3248" s="44">
        <v>0</v>
      </c>
      <c r="AK3248" s="151">
        <v>0</v>
      </c>
      <c r="AL3248" s="151">
        <v>0</v>
      </c>
      <c r="AM3248" s="17">
        <f t="shared" si="156"/>
        <v>0</v>
      </c>
      <c r="AN3248" t="s">
        <v>3643</v>
      </c>
      <c r="AO3248" s="18" t="s">
        <v>3630</v>
      </c>
      <c r="AP3248" t="s">
        <v>10691</v>
      </c>
    </row>
    <row r="3249" spans="1:42" customFormat="1" hidden="1" x14ac:dyDescent="0.3">
      <c r="A3249" s="148" t="s">
        <v>8319</v>
      </c>
      <c r="B3249" t="s">
        <v>8320</v>
      </c>
      <c r="C3249" s="148" t="s">
        <v>9410</v>
      </c>
      <c r="D3249" t="s">
        <v>9411</v>
      </c>
      <c r="E3249" s="148" t="s">
        <v>9412</v>
      </c>
      <c r="F3249" t="s">
        <v>9413</v>
      </c>
      <c r="G3249" s="148" t="s">
        <v>9820</v>
      </c>
      <c r="H3249" t="s">
        <v>9821</v>
      </c>
      <c r="K3249" s="155" t="s">
        <v>9822</v>
      </c>
      <c r="L3249" t="s">
        <v>9823</v>
      </c>
      <c r="N3249" s="3"/>
      <c r="O3249" s="3"/>
      <c r="P3249" s="3"/>
      <c r="Q3249" s="3"/>
      <c r="R3249" s="3"/>
      <c r="S3249" s="3"/>
      <c r="U3249" t="e">
        <v>#N/A</v>
      </c>
      <c r="V3249" t="s">
        <v>10692</v>
      </c>
      <c r="W3249" s="45">
        <v>1</v>
      </c>
      <c r="X3249" s="45">
        <v>0</v>
      </c>
      <c r="Y3249" s="45">
        <v>0</v>
      </c>
      <c r="Z3249" s="45">
        <v>1</v>
      </c>
      <c r="AA3249" s="45">
        <v>1</v>
      </c>
      <c r="AB3249" s="45">
        <v>0</v>
      </c>
      <c r="AC3249" s="150">
        <v>0</v>
      </c>
      <c r="AD3249" s="150">
        <v>1</v>
      </c>
      <c r="AE3249" s="49">
        <f t="shared" si="155"/>
        <v>0.5</v>
      </c>
      <c r="AF3249" s="44"/>
      <c r="AG3249" s="17">
        <v>0</v>
      </c>
      <c r="AH3249" s="44">
        <v>0.2</v>
      </c>
      <c r="AI3249" s="44">
        <v>0</v>
      </c>
      <c r="AJ3249" s="44">
        <v>0</v>
      </c>
      <c r="AK3249" s="151">
        <v>0</v>
      </c>
      <c r="AL3249" s="151">
        <v>0</v>
      </c>
      <c r="AM3249" s="17">
        <f t="shared" si="156"/>
        <v>0</v>
      </c>
      <c r="AN3249" t="s">
        <v>831</v>
      </c>
      <c r="AO3249" s="18" t="s">
        <v>834</v>
      </c>
      <c r="AP3249" t="s">
        <v>3643</v>
      </c>
    </row>
    <row r="3250" spans="1:42" customFormat="1" hidden="1" x14ac:dyDescent="0.3">
      <c r="A3250" s="148" t="s">
        <v>8319</v>
      </c>
      <c r="B3250" t="s">
        <v>8320</v>
      </c>
      <c r="C3250" s="148" t="s">
        <v>9410</v>
      </c>
      <c r="D3250" t="s">
        <v>9411</v>
      </c>
      <c r="E3250" s="148" t="s">
        <v>9412</v>
      </c>
      <c r="F3250" t="s">
        <v>9413</v>
      </c>
      <c r="G3250" s="148" t="s">
        <v>9820</v>
      </c>
      <c r="H3250" t="s">
        <v>9821</v>
      </c>
      <c r="K3250" s="155" t="s">
        <v>10693</v>
      </c>
      <c r="L3250" t="s">
        <v>10694</v>
      </c>
      <c r="N3250" s="3"/>
      <c r="O3250" s="3"/>
      <c r="P3250" s="3"/>
      <c r="Q3250" s="3"/>
      <c r="R3250" s="3"/>
      <c r="S3250" s="3"/>
      <c r="U3250" t="e">
        <v>#N/A</v>
      </c>
      <c r="V3250" t="s">
        <v>10695</v>
      </c>
      <c r="W3250" s="45">
        <v>1</v>
      </c>
      <c r="X3250" s="45">
        <v>0</v>
      </c>
      <c r="Y3250" s="45">
        <v>0</v>
      </c>
      <c r="Z3250" s="45">
        <v>1</v>
      </c>
      <c r="AA3250" s="45">
        <v>1</v>
      </c>
      <c r="AB3250" s="45">
        <v>0</v>
      </c>
      <c r="AC3250" s="150">
        <v>0</v>
      </c>
      <c r="AD3250" s="150">
        <v>1</v>
      </c>
      <c r="AE3250" s="49">
        <f t="shared" si="155"/>
        <v>0.5</v>
      </c>
      <c r="AF3250" s="17"/>
      <c r="AG3250" s="17">
        <v>0</v>
      </c>
      <c r="AH3250" s="17">
        <v>0</v>
      </c>
      <c r="AI3250" s="17">
        <v>0</v>
      </c>
      <c r="AJ3250" s="17">
        <v>0</v>
      </c>
      <c r="AK3250" s="153">
        <v>2</v>
      </c>
      <c r="AL3250" s="154">
        <v>0</v>
      </c>
      <c r="AM3250" s="17">
        <f t="shared" si="156"/>
        <v>2</v>
      </c>
      <c r="AN3250" t="s">
        <v>3643</v>
      </c>
      <c r="AO3250" s="18" t="s">
        <v>3630</v>
      </c>
      <c r="AP3250" t="s">
        <v>10696</v>
      </c>
    </row>
    <row r="3251" spans="1:42" customFormat="1" hidden="1" x14ac:dyDescent="0.3">
      <c r="A3251" s="148" t="s">
        <v>8319</v>
      </c>
      <c r="B3251" t="s">
        <v>8320</v>
      </c>
      <c r="C3251" s="148" t="s">
        <v>9410</v>
      </c>
      <c r="D3251" t="s">
        <v>9411</v>
      </c>
      <c r="E3251" s="148" t="s">
        <v>9412</v>
      </c>
      <c r="F3251" t="s">
        <v>9413</v>
      </c>
      <c r="G3251" s="148" t="s">
        <v>9820</v>
      </c>
      <c r="H3251" t="s">
        <v>9821</v>
      </c>
      <c r="K3251" s="155" t="s">
        <v>10693</v>
      </c>
      <c r="L3251" t="s">
        <v>10694</v>
      </c>
      <c r="N3251" s="3"/>
      <c r="O3251" s="3"/>
      <c r="P3251" s="3"/>
      <c r="Q3251" s="3"/>
      <c r="R3251" s="3"/>
      <c r="S3251" s="3"/>
      <c r="U3251" t="e">
        <v>#N/A</v>
      </c>
      <c r="V3251" t="s">
        <v>10697</v>
      </c>
      <c r="W3251" s="45">
        <v>1</v>
      </c>
      <c r="X3251" s="45">
        <v>0</v>
      </c>
      <c r="Y3251" s="45">
        <v>0</v>
      </c>
      <c r="Z3251" s="45">
        <v>1</v>
      </c>
      <c r="AA3251" s="45">
        <v>0</v>
      </c>
      <c r="AB3251" s="45">
        <v>1</v>
      </c>
      <c r="AC3251" s="150">
        <v>0</v>
      </c>
      <c r="AD3251" s="150">
        <v>1</v>
      </c>
      <c r="AE3251" s="49">
        <f t="shared" si="155"/>
        <v>0.5</v>
      </c>
      <c r="AF3251" s="17"/>
      <c r="AG3251" s="17">
        <v>0</v>
      </c>
      <c r="AH3251" s="17">
        <v>0</v>
      </c>
      <c r="AI3251" s="17">
        <v>0</v>
      </c>
      <c r="AJ3251" s="17">
        <v>0</v>
      </c>
      <c r="AK3251" s="153">
        <v>1</v>
      </c>
      <c r="AL3251" s="154">
        <v>1</v>
      </c>
      <c r="AM3251" s="17">
        <f t="shared" si="156"/>
        <v>2</v>
      </c>
      <c r="AN3251" t="s">
        <v>3643</v>
      </c>
      <c r="AO3251" s="18" t="s">
        <v>3630</v>
      </c>
      <c r="AP3251" t="s">
        <v>10698</v>
      </c>
    </row>
    <row r="3252" spans="1:42" customFormat="1" hidden="1" x14ac:dyDescent="0.3">
      <c r="A3252" s="148" t="s">
        <v>8319</v>
      </c>
      <c r="B3252" t="s">
        <v>8320</v>
      </c>
      <c r="C3252" s="148" t="s">
        <v>9410</v>
      </c>
      <c r="D3252" t="s">
        <v>9411</v>
      </c>
      <c r="E3252" s="148" t="s">
        <v>9412</v>
      </c>
      <c r="F3252" t="s">
        <v>9413</v>
      </c>
      <c r="G3252" s="148" t="s">
        <v>9820</v>
      </c>
      <c r="H3252" t="s">
        <v>9821</v>
      </c>
      <c r="K3252" s="155" t="s">
        <v>10699</v>
      </c>
      <c r="L3252" t="s">
        <v>10700</v>
      </c>
      <c r="N3252" s="3"/>
      <c r="O3252" s="3"/>
      <c r="P3252" s="3"/>
      <c r="Q3252" s="3"/>
      <c r="R3252" s="3"/>
      <c r="S3252" s="3"/>
      <c r="U3252" t="e">
        <v>#N/A</v>
      </c>
      <c r="V3252" t="s">
        <v>10701</v>
      </c>
      <c r="W3252" s="45">
        <v>1</v>
      </c>
      <c r="X3252" s="45">
        <v>0</v>
      </c>
      <c r="Y3252" s="45">
        <v>0</v>
      </c>
      <c r="Z3252" s="45">
        <v>1</v>
      </c>
      <c r="AA3252" s="45">
        <v>1</v>
      </c>
      <c r="AB3252" s="45">
        <v>0</v>
      </c>
      <c r="AC3252" s="150">
        <v>0</v>
      </c>
      <c r="AD3252" s="150">
        <v>1</v>
      </c>
      <c r="AE3252" s="49">
        <f t="shared" si="155"/>
        <v>0.5</v>
      </c>
      <c r="AF3252" s="17"/>
      <c r="AG3252" s="17">
        <v>0</v>
      </c>
      <c r="AH3252" s="17">
        <v>0</v>
      </c>
      <c r="AI3252" s="17">
        <v>0</v>
      </c>
      <c r="AJ3252" s="17">
        <v>0</v>
      </c>
      <c r="AK3252" s="153">
        <v>0</v>
      </c>
      <c r="AL3252" s="154">
        <v>0</v>
      </c>
      <c r="AM3252" s="17">
        <f t="shared" si="156"/>
        <v>0</v>
      </c>
      <c r="AN3252" t="s">
        <v>3643</v>
      </c>
      <c r="AO3252" s="18" t="s">
        <v>3630</v>
      </c>
      <c r="AP3252" t="s">
        <v>10702</v>
      </c>
    </row>
    <row r="3253" spans="1:42" customFormat="1" hidden="1" x14ac:dyDescent="0.3">
      <c r="A3253" s="148" t="s">
        <v>8319</v>
      </c>
      <c r="B3253" t="s">
        <v>8320</v>
      </c>
      <c r="C3253" s="148" t="s">
        <v>9410</v>
      </c>
      <c r="D3253" t="s">
        <v>9411</v>
      </c>
      <c r="E3253" s="148" t="s">
        <v>9412</v>
      </c>
      <c r="F3253" t="s">
        <v>9413</v>
      </c>
      <c r="G3253" s="148" t="s">
        <v>10703</v>
      </c>
      <c r="H3253" t="s">
        <v>10704</v>
      </c>
      <c r="K3253" s="148" t="s">
        <v>10705</v>
      </c>
      <c r="L3253" t="s">
        <v>10706</v>
      </c>
      <c r="M3253" t="s">
        <v>10707</v>
      </c>
      <c r="N3253" s="3">
        <v>1</v>
      </c>
      <c r="O3253" s="3">
        <v>1</v>
      </c>
      <c r="P3253" s="3">
        <v>1</v>
      </c>
      <c r="Q3253" s="3">
        <v>1</v>
      </c>
      <c r="R3253" s="3">
        <v>1</v>
      </c>
      <c r="S3253" s="3">
        <v>1</v>
      </c>
      <c r="T3253" t="s">
        <v>3643</v>
      </c>
      <c r="U3253" t="s">
        <v>3630</v>
      </c>
      <c r="V3253" t="s">
        <v>10708</v>
      </c>
      <c r="W3253" s="45">
        <v>1</v>
      </c>
      <c r="X3253" s="45">
        <v>0</v>
      </c>
      <c r="Y3253" s="45">
        <v>1</v>
      </c>
      <c r="Z3253" s="45">
        <v>1</v>
      </c>
      <c r="AA3253" s="45">
        <v>1</v>
      </c>
      <c r="AB3253" s="45">
        <v>0</v>
      </c>
      <c r="AC3253" s="150">
        <v>0</v>
      </c>
      <c r="AD3253" s="150">
        <v>0</v>
      </c>
      <c r="AE3253" s="49">
        <f t="shared" si="155"/>
        <v>0.5</v>
      </c>
      <c r="AF3253" s="17"/>
      <c r="AG3253" s="17">
        <v>0</v>
      </c>
      <c r="AH3253" s="17">
        <v>0</v>
      </c>
      <c r="AI3253" s="17">
        <v>0</v>
      </c>
      <c r="AJ3253" s="17">
        <v>0</v>
      </c>
      <c r="AK3253" s="153">
        <v>0</v>
      </c>
      <c r="AL3253" s="154">
        <v>0</v>
      </c>
      <c r="AM3253" s="17">
        <f t="shared" si="156"/>
        <v>0</v>
      </c>
      <c r="AN3253" t="s">
        <v>723</v>
      </c>
      <c r="AO3253" s="18" t="s">
        <v>729</v>
      </c>
      <c r="AP3253" t="s">
        <v>10709</v>
      </c>
    </row>
    <row r="3254" spans="1:42" customFormat="1" hidden="1" x14ac:dyDescent="0.3">
      <c r="A3254" s="148" t="s">
        <v>8319</v>
      </c>
      <c r="B3254" t="s">
        <v>8320</v>
      </c>
      <c r="C3254" s="148" t="s">
        <v>9496</v>
      </c>
      <c r="D3254" t="s">
        <v>9497</v>
      </c>
      <c r="E3254" s="148" t="s">
        <v>9498</v>
      </c>
      <c r="F3254" t="s">
        <v>9499</v>
      </c>
      <c r="G3254" s="148" t="s">
        <v>9500</v>
      </c>
      <c r="H3254" t="s">
        <v>9501</v>
      </c>
      <c r="K3254" s="148" t="s">
        <v>9840</v>
      </c>
      <c r="L3254" t="s">
        <v>9841</v>
      </c>
      <c r="M3254" t="s">
        <v>10710</v>
      </c>
      <c r="N3254" s="3">
        <v>17</v>
      </c>
      <c r="O3254" s="3">
        <v>17</v>
      </c>
      <c r="P3254" s="3">
        <v>17</v>
      </c>
      <c r="Q3254" s="3">
        <v>17</v>
      </c>
      <c r="R3254" s="3">
        <v>17</v>
      </c>
      <c r="S3254" s="3">
        <v>17</v>
      </c>
      <c r="T3254" t="s">
        <v>1536</v>
      </c>
      <c r="U3254" t="e">
        <v>#N/A</v>
      </c>
      <c r="V3254" t="s">
        <v>10711</v>
      </c>
      <c r="W3254" s="45">
        <v>1</v>
      </c>
      <c r="X3254" s="45">
        <v>0</v>
      </c>
      <c r="Y3254" s="45">
        <v>0</v>
      </c>
      <c r="Z3254" s="45">
        <v>1</v>
      </c>
      <c r="AA3254" s="45">
        <v>1</v>
      </c>
      <c r="AB3254" s="45">
        <v>0</v>
      </c>
      <c r="AC3254" s="150">
        <v>0</v>
      </c>
      <c r="AD3254" s="150">
        <v>1</v>
      </c>
      <c r="AE3254" s="49">
        <f t="shared" si="155"/>
        <v>0.5</v>
      </c>
      <c r="AF3254" s="44"/>
      <c r="AG3254" s="17">
        <v>0</v>
      </c>
      <c r="AH3254" s="44">
        <v>0</v>
      </c>
      <c r="AI3254" s="44">
        <v>0</v>
      </c>
      <c r="AJ3254" s="44">
        <v>0</v>
      </c>
      <c r="AK3254" s="151">
        <v>0</v>
      </c>
      <c r="AL3254" s="151">
        <v>0</v>
      </c>
      <c r="AM3254" s="17">
        <f t="shared" si="156"/>
        <v>0</v>
      </c>
      <c r="AN3254" s="18" t="s">
        <v>771</v>
      </c>
      <c r="AO3254" s="18" t="s">
        <v>773</v>
      </c>
      <c r="AP3254" t="s">
        <v>119</v>
      </c>
    </row>
    <row r="3255" spans="1:42" customFormat="1" hidden="1" x14ac:dyDescent="0.3">
      <c r="A3255" s="148" t="s">
        <v>8319</v>
      </c>
      <c r="B3255" t="s">
        <v>8320</v>
      </c>
      <c r="C3255" s="148" t="s">
        <v>9496</v>
      </c>
      <c r="D3255" t="s">
        <v>9497</v>
      </c>
      <c r="E3255" s="148" t="s">
        <v>9498</v>
      </c>
      <c r="F3255" t="s">
        <v>9499</v>
      </c>
      <c r="G3255" s="148" t="s">
        <v>9500</v>
      </c>
      <c r="H3255" t="s">
        <v>9501</v>
      </c>
      <c r="K3255" s="148" t="s">
        <v>9840</v>
      </c>
      <c r="L3255" t="s">
        <v>9841</v>
      </c>
      <c r="M3255" t="s">
        <v>10712</v>
      </c>
      <c r="N3255" s="3">
        <v>50</v>
      </c>
      <c r="O3255" s="3">
        <v>155</v>
      </c>
      <c r="P3255" s="3">
        <v>180</v>
      </c>
      <c r="Q3255" s="3">
        <v>210</v>
      </c>
      <c r="R3255" s="3">
        <v>265</v>
      </c>
      <c r="S3255" s="3">
        <v>325</v>
      </c>
      <c r="T3255" t="s">
        <v>1536</v>
      </c>
      <c r="U3255" t="e">
        <v>#N/A</v>
      </c>
      <c r="V3255" t="s">
        <v>10713</v>
      </c>
      <c r="W3255" s="45">
        <v>1</v>
      </c>
      <c r="X3255" s="45">
        <v>0</v>
      </c>
      <c r="Y3255" s="45">
        <v>0</v>
      </c>
      <c r="Z3255" s="45">
        <v>1</v>
      </c>
      <c r="AA3255" s="45">
        <v>1</v>
      </c>
      <c r="AB3255" s="45">
        <v>0</v>
      </c>
      <c r="AC3255" s="150">
        <v>0</v>
      </c>
      <c r="AD3255" s="150">
        <v>1</v>
      </c>
      <c r="AE3255" s="49">
        <f t="shared" si="155"/>
        <v>0.5</v>
      </c>
      <c r="AF3255" s="44"/>
      <c r="AG3255" s="17">
        <v>0</v>
      </c>
      <c r="AH3255" s="44">
        <v>0</v>
      </c>
      <c r="AI3255" s="44">
        <v>0</v>
      </c>
      <c r="AJ3255" s="44">
        <v>0</v>
      </c>
      <c r="AK3255" s="151">
        <v>0</v>
      </c>
      <c r="AL3255" s="151">
        <v>0</v>
      </c>
      <c r="AM3255" s="17">
        <f t="shared" si="156"/>
        <v>0</v>
      </c>
      <c r="AN3255" s="18" t="s">
        <v>771</v>
      </c>
      <c r="AO3255" s="18" t="s">
        <v>773</v>
      </c>
      <c r="AP3255" t="s">
        <v>119</v>
      </c>
    </row>
    <row r="3256" spans="1:42" customFormat="1" hidden="1" x14ac:dyDescent="0.3">
      <c r="A3256" s="148" t="s">
        <v>8319</v>
      </c>
      <c r="B3256" t="s">
        <v>8320</v>
      </c>
      <c r="C3256" s="148" t="s">
        <v>9496</v>
      </c>
      <c r="D3256" t="s">
        <v>9497</v>
      </c>
      <c r="E3256" s="148" t="s">
        <v>9498</v>
      </c>
      <c r="F3256" t="s">
        <v>9499</v>
      </c>
      <c r="G3256" s="148" t="s">
        <v>9500</v>
      </c>
      <c r="H3256" t="s">
        <v>9501</v>
      </c>
      <c r="K3256" s="148" t="s">
        <v>9840</v>
      </c>
      <c r="L3256" t="s">
        <v>9841</v>
      </c>
      <c r="M3256" t="s">
        <v>10714</v>
      </c>
      <c r="N3256" s="3">
        <v>1000</v>
      </c>
      <c r="O3256" s="3">
        <v>4000</v>
      </c>
      <c r="P3256" s="3">
        <v>5000</v>
      </c>
      <c r="Q3256" s="3">
        <v>6000</v>
      </c>
      <c r="R3256" s="3">
        <v>7000</v>
      </c>
      <c r="S3256" s="3">
        <v>8000</v>
      </c>
      <c r="T3256" t="s">
        <v>1536</v>
      </c>
      <c r="U3256" t="e">
        <v>#N/A</v>
      </c>
      <c r="V3256" t="s">
        <v>10715</v>
      </c>
      <c r="W3256" s="45">
        <v>1</v>
      </c>
      <c r="X3256" s="45">
        <v>0</v>
      </c>
      <c r="Y3256" s="45">
        <v>0</v>
      </c>
      <c r="Z3256" s="45">
        <v>1</v>
      </c>
      <c r="AA3256" s="45">
        <v>1</v>
      </c>
      <c r="AB3256" s="45">
        <v>0</v>
      </c>
      <c r="AC3256" s="150">
        <v>0</v>
      </c>
      <c r="AD3256" s="150">
        <v>1</v>
      </c>
      <c r="AE3256" s="49">
        <f t="shared" si="155"/>
        <v>0.5</v>
      </c>
      <c r="AF3256" s="44"/>
      <c r="AG3256" s="17">
        <v>0</v>
      </c>
      <c r="AH3256" s="44">
        <v>0</v>
      </c>
      <c r="AI3256" s="44">
        <v>0</v>
      </c>
      <c r="AJ3256" s="44">
        <v>0</v>
      </c>
      <c r="AK3256" s="151">
        <v>0</v>
      </c>
      <c r="AL3256" s="151">
        <v>0</v>
      </c>
      <c r="AM3256" s="17">
        <f t="shared" si="156"/>
        <v>0</v>
      </c>
      <c r="AN3256" s="18" t="s">
        <v>771</v>
      </c>
      <c r="AO3256" s="18" t="s">
        <v>773</v>
      </c>
      <c r="AP3256" t="s">
        <v>10716</v>
      </c>
    </row>
    <row r="3257" spans="1:42" customFormat="1" hidden="1" x14ac:dyDescent="0.3">
      <c r="A3257" s="148" t="s">
        <v>8319</v>
      </c>
      <c r="B3257" t="s">
        <v>8320</v>
      </c>
      <c r="C3257" s="148" t="s">
        <v>9496</v>
      </c>
      <c r="D3257" t="s">
        <v>9497</v>
      </c>
      <c r="E3257" s="148" t="s">
        <v>9498</v>
      </c>
      <c r="F3257" t="s">
        <v>9499</v>
      </c>
      <c r="G3257" s="148" t="s">
        <v>9500</v>
      </c>
      <c r="H3257" t="s">
        <v>9501</v>
      </c>
      <c r="K3257" s="148" t="s">
        <v>10717</v>
      </c>
      <c r="L3257" t="s">
        <v>10718</v>
      </c>
      <c r="M3257" t="s">
        <v>10719</v>
      </c>
      <c r="N3257" s="3">
        <v>150</v>
      </c>
      <c r="O3257" s="3">
        <v>450</v>
      </c>
      <c r="P3257" s="3">
        <v>450</v>
      </c>
      <c r="Q3257" s="3">
        <v>450</v>
      </c>
      <c r="R3257" s="3">
        <v>450</v>
      </c>
      <c r="S3257" s="3">
        <v>450</v>
      </c>
      <c r="T3257" t="s">
        <v>1536</v>
      </c>
      <c r="U3257" t="e">
        <v>#N/A</v>
      </c>
      <c r="V3257" t="s">
        <v>10720</v>
      </c>
      <c r="W3257" s="45">
        <v>1</v>
      </c>
      <c r="X3257" s="45">
        <v>0</v>
      </c>
      <c r="Y3257" s="45">
        <v>0</v>
      </c>
      <c r="Z3257" s="45">
        <v>1</v>
      </c>
      <c r="AA3257" s="45">
        <v>1</v>
      </c>
      <c r="AB3257" s="45">
        <v>0</v>
      </c>
      <c r="AC3257" s="150">
        <v>0</v>
      </c>
      <c r="AD3257" s="150">
        <v>1</v>
      </c>
      <c r="AE3257" s="49">
        <f t="shared" si="155"/>
        <v>0.5</v>
      </c>
      <c r="AF3257" s="44"/>
      <c r="AG3257" s="17">
        <v>0</v>
      </c>
      <c r="AH3257" s="44">
        <v>0</v>
      </c>
      <c r="AI3257" s="44">
        <v>0</v>
      </c>
      <c r="AJ3257" s="44">
        <v>0</v>
      </c>
      <c r="AK3257" s="151">
        <v>0</v>
      </c>
      <c r="AL3257" s="151">
        <v>0</v>
      </c>
      <c r="AM3257" s="17">
        <f t="shared" si="156"/>
        <v>0</v>
      </c>
      <c r="AN3257" s="18" t="s">
        <v>771</v>
      </c>
      <c r="AO3257" s="18" t="s">
        <v>773</v>
      </c>
      <c r="AP3257" t="s">
        <v>255</v>
      </c>
    </row>
    <row r="3258" spans="1:42" customFormat="1" hidden="1" x14ac:dyDescent="0.3">
      <c r="A3258" s="148" t="s">
        <v>8319</v>
      </c>
      <c r="B3258" t="s">
        <v>8320</v>
      </c>
      <c r="C3258" s="148" t="s">
        <v>9496</v>
      </c>
      <c r="D3258" t="s">
        <v>9497</v>
      </c>
      <c r="E3258" s="148" t="s">
        <v>9498</v>
      </c>
      <c r="F3258" t="s">
        <v>9499</v>
      </c>
      <c r="G3258" s="148" t="s">
        <v>9500</v>
      </c>
      <c r="H3258" t="s">
        <v>9501</v>
      </c>
      <c r="K3258" s="148" t="s">
        <v>10721</v>
      </c>
      <c r="L3258" t="s">
        <v>10722</v>
      </c>
      <c r="M3258" t="s">
        <v>10723</v>
      </c>
      <c r="N3258" s="3">
        <v>0</v>
      </c>
      <c r="O3258" s="3">
        <v>1</v>
      </c>
      <c r="P3258" s="3">
        <v>1</v>
      </c>
      <c r="Q3258" s="3">
        <v>1</v>
      </c>
      <c r="R3258" s="3">
        <v>1</v>
      </c>
      <c r="S3258" s="3">
        <v>1</v>
      </c>
      <c r="T3258" t="s">
        <v>1536</v>
      </c>
      <c r="U3258" t="e">
        <v>#N/A</v>
      </c>
      <c r="V3258" t="s">
        <v>10724</v>
      </c>
      <c r="W3258" s="45">
        <v>1</v>
      </c>
      <c r="X3258" s="45">
        <v>0</v>
      </c>
      <c r="Y3258" s="45">
        <v>0</v>
      </c>
      <c r="Z3258" s="45">
        <v>1</v>
      </c>
      <c r="AA3258" s="45">
        <v>1</v>
      </c>
      <c r="AB3258" s="45">
        <v>0</v>
      </c>
      <c r="AC3258" s="150">
        <v>0</v>
      </c>
      <c r="AD3258" s="150">
        <v>1</v>
      </c>
      <c r="AE3258" s="49">
        <f t="shared" si="155"/>
        <v>0.5</v>
      </c>
      <c r="AF3258" s="44"/>
      <c r="AG3258" s="17">
        <v>0</v>
      </c>
      <c r="AH3258" s="44">
        <v>0.1</v>
      </c>
      <c r="AI3258" s="44">
        <v>0.1</v>
      </c>
      <c r="AJ3258" s="44">
        <v>0.1</v>
      </c>
      <c r="AK3258" s="151">
        <v>0.1</v>
      </c>
      <c r="AL3258" s="151">
        <v>0.1</v>
      </c>
      <c r="AM3258" s="17">
        <f t="shared" si="156"/>
        <v>0.2</v>
      </c>
      <c r="AN3258" s="18" t="s">
        <v>771</v>
      </c>
      <c r="AO3258" s="18" t="s">
        <v>773</v>
      </c>
      <c r="AP3258" t="s">
        <v>10725</v>
      </c>
    </row>
    <row r="3259" spans="1:42" customFormat="1" hidden="1" x14ac:dyDescent="0.3">
      <c r="A3259" s="148" t="s">
        <v>8319</v>
      </c>
      <c r="B3259" t="s">
        <v>8320</v>
      </c>
      <c r="C3259" s="148" t="s">
        <v>9496</v>
      </c>
      <c r="D3259" t="s">
        <v>9497</v>
      </c>
      <c r="E3259" s="148" t="s">
        <v>9498</v>
      </c>
      <c r="F3259" t="s">
        <v>9499</v>
      </c>
      <c r="G3259" s="148" t="s">
        <v>9527</v>
      </c>
      <c r="H3259" t="s">
        <v>9528</v>
      </c>
      <c r="K3259" s="148" t="s">
        <v>9529</v>
      </c>
      <c r="L3259" t="s">
        <v>9530</v>
      </c>
      <c r="M3259" t="s">
        <v>10726</v>
      </c>
      <c r="N3259" s="3">
        <v>20522</v>
      </c>
      <c r="O3259" s="3">
        <v>2000</v>
      </c>
      <c r="P3259" s="3">
        <v>2000</v>
      </c>
      <c r="Q3259" s="3">
        <v>2000</v>
      </c>
      <c r="R3259" s="3">
        <v>2000</v>
      </c>
      <c r="S3259" s="3">
        <v>2000</v>
      </c>
      <c r="T3259" t="s">
        <v>771</v>
      </c>
      <c r="U3259" t="s">
        <v>773</v>
      </c>
      <c r="V3259" t="s">
        <v>10727</v>
      </c>
      <c r="W3259" s="45">
        <v>1</v>
      </c>
      <c r="X3259" s="45">
        <v>0</v>
      </c>
      <c r="Y3259" s="45">
        <v>0</v>
      </c>
      <c r="Z3259" s="45">
        <v>1</v>
      </c>
      <c r="AA3259" s="45">
        <v>1</v>
      </c>
      <c r="AB3259" s="45">
        <v>0</v>
      </c>
      <c r="AC3259" s="150">
        <v>0</v>
      </c>
      <c r="AD3259" s="150">
        <v>1</v>
      </c>
      <c r="AE3259" s="49">
        <f t="shared" si="155"/>
        <v>0.5</v>
      </c>
      <c r="AF3259" s="44"/>
      <c r="AG3259" s="17">
        <v>0</v>
      </c>
      <c r="AH3259" s="44">
        <v>0</v>
      </c>
      <c r="AI3259" s="44">
        <v>0.3</v>
      </c>
      <c r="AJ3259" s="44">
        <v>0.3</v>
      </c>
      <c r="AK3259" s="151">
        <v>0.3</v>
      </c>
      <c r="AL3259" s="151">
        <v>0.3</v>
      </c>
      <c r="AM3259" s="17">
        <f t="shared" si="156"/>
        <v>0.6</v>
      </c>
      <c r="AN3259" t="s">
        <v>831</v>
      </c>
      <c r="AO3259" s="18" t="s">
        <v>834</v>
      </c>
      <c r="AP3259" t="s">
        <v>9592</v>
      </c>
    </row>
    <row r="3260" spans="1:42" customFormat="1" hidden="1" x14ac:dyDescent="0.3">
      <c r="A3260" s="148" t="s">
        <v>8319</v>
      </c>
      <c r="B3260" t="s">
        <v>8320</v>
      </c>
      <c r="C3260" s="148" t="s">
        <v>9496</v>
      </c>
      <c r="D3260" t="s">
        <v>9497</v>
      </c>
      <c r="E3260" s="148" t="s">
        <v>9498</v>
      </c>
      <c r="F3260" t="s">
        <v>9499</v>
      </c>
      <c r="G3260" s="148" t="s">
        <v>9855</v>
      </c>
      <c r="H3260" t="s">
        <v>9856</v>
      </c>
      <c r="K3260" s="155" t="s">
        <v>10728</v>
      </c>
      <c r="L3260" t="s">
        <v>10729</v>
      </c>
      <c r="M3260" t="s">
        <v>10730</v>
      </c>
      <c r="N3260" s="3">
        <v>0</v>
      </c>
      <c r="O3260" s="3">
        <v>1</v>
      </c>
      <c r="P3260" s="3">
        <v>0</v>
      </c>
      <c r="Q3260" s="3">
        <v>0</v>
      </c>
      <c r="R3260" s="3">
        <v>0</v>
      </c>
      <c r="S3260" s="3">
        <v>0</v>
      </c>
      <c r="T3260" t="s">
        <v>771</v>
      </c>
      <c r="U3260" t="s">
        <v>773</v>
      </c>
      <c r="V3260" t="s">
        <v>10731</v>
      </c>
      <c r="W3260" s="45">
        <v>1</v>
      </c>
      <c r="X3260" s="45">
        <v>0</v>
      </c>
      <c r="Y3260" s="45">
        <v>0</v>
      </c>
      <c r="Z3260" s="45">
        <v>1</v>
      </c>
      <c r="AA3260" s="45">
        <v>1</v>
      </c>
      <c r="AB3260" s="45">
        <v>0</v>
      </c>
      <c r="AC3260" s="150">
        <v>0</v>
      </c>
      <c r="AD3260" s="150">
        <v>1</v>
      </c>
      <c r="AE3260" s="49">
        <f t="shared" si="155"/>
        <v>0.5</v>
      </c>
      <c r="AF3260" s="17"/>
      <c r="AG3260" s="17">
        <v>0</v>
      </c>
      <c r="AH3260" s="17">
        <v>0</v>
      </c>
      <c r="AI3260" s="17">
        <v>0</v>
      </c>
      <c r="AJ3260" s="17">
        <v>0</v>
      </c>
      <c r="AK3260" s="153">
        <v>0</v>
      </c>
      <c r="AL3260" s="154">
        <v>0</v>
      </c>
      <c r="AM3260" s="17">
        <f t="shared" si="156"/>
        <v>0</v>
      </c>
      <c r="AN3260" s="18" t="s">
        <v>771</v>
      </c>
      <c r="AO3260" s="18" t="s">
        <v>773</v>
      </c>
      <c r="AP3260" t="s">
        <v>10732</v>
      </c>
    </row>
    <row r="3261" spans="1:42" customFormat="1" hidden="1" x14ac:dyDescent="0.3">
      <c r="A3261" s="148" t="s">
        <v>8319</v>
      </c>
      <c r="B3261" t="s">
        <v>8320</v>
      </c>
      <c r="C3261" s="148" t="s">
        <v>9496</v>
      </c>
      <c r="D3261" t="s">
        <v>9497</v>
      </c>
      <c r="E3261" s="148" t="s">
        <v>9498</v>
      </c>
      <c r="F3261" t="s">
        <v>9499</v>
      </c>
      <c r="G3261" s="148" t="s">
        <v>10390</v>
      </c>
      <c r="H3261" t="s">
        <v>10391</v>
      </c>
      <c r="K3261" s="148" t="s">
        <v>10733</v>
      </c>
      <c r="L3261" t="s">
        <v>10734</v>
      </c>
      <c r="M3261" t="s">
        <v>10735</v>
      </c>
      <c r="N3261" s="3">
        <v>90</v>
      </c>
      <c r="O3261" s="3">
        <v>50</v>
      </c>
      <c r="P3261" s="3">
        <v>50</v>
      </c>
      <c r="Q3261" s="3">
        <v>50</v>
      </c>
      <c r="R3261" s="3">
        <v>5050</v>
      </c>
      <c r="S3261" s="3">
        <v>50</v>
      </c>
      <c r="T3261" t="s">
        <v>1536</v>
      </c>
      <c r="U3261" t="e">
        <v>#N/A</v>
      </c>
      <c r="V3261" t="s">
        <v>10736</v>
      </c>
      <c r="W3261" s="45">
        <v>1</v>
      </c>
      <c r="X3261" s="45">
        <v>0</v>
      </c>
      <c r="Y3261" s="45">
        <v>0</v>
      </c>
      <c r="Z3261" s="45">
        <v>1</v>
      </c>
      <c r="AA3261" s="45">
        <v>1</v>
      </c>
      <c r="AB3261" s="45">
        <v>0</v>
      </c>
      <c r="AC3261" s="150">
        <v>0</v>
      </c>
      <c r="AD3261" s="150">
        <v>1</v>
      </c>
      <c r="AE3261" s="49">
        <f t="shared" si="155"/>
        <v>0.5</v>
      </c>
      <c r="AF3261" s="44"/>
      <c r="AG3261" s="17">
        <v>0</v>
      </c>
      <c r="AH3261" s="44">
        <v>0.5</v>
      </c>
      <c r="AI3261" s="44">
        <v>0.5</v>
      </c>
      <c r="AJ3261" s="44">
        <v>0.5</v>
      </c>
      <c r="AK3261" s="151">
        <v>0.5</v>
      </c>
      <c r="AL3261" s="151">
        <v>0.5</v>
      </c>
      <c r="AM3261" s="17">
        <f t="shared" si="156"/>
        <v>1</v>
      </c>
      <c r="AN3261" s="18" t="s">
        <v>771</v>
      </c>
      <c r="AO3261" s="18" t="s">
        <v>773</v>
      </c>
      <c r="AP3261" t="s">
        <v>255</v>
      </c>
    </row>
    <row r="3262" spans="1:42" customFormat="1" hidden="1" x14ac:dyDescent="0.3">
      <c r="A3262" s="148" t="s">
        <v>8319</v>
      </c>
      <c r="B3262" t="s">
        <v>8320</v>
      </c>
      <c r="C3262" s="148" t="s">
        <v>9496</v>
      </c>
      <c r="D3262" t="s">
        <v>9497</v>
      </c>
      <c r="E3262" s="148" t="s">
        <v>9498</v>
      </c>
      <c r="F3262" t="s">
        <v>9499</v>
      </c>
      <c r="G3262" s="148" t="s">
        <v>10390</v>
      </c>
      <c r="H3262" t="s">
        <v>10391</v>
      </c>
      <c r="K3262" s="148" t="s">
        <v>10737</v>
      </c>
      <c r="L3262" t="s">
        <v>10738</v>
      </c>
      <c r="M3262" t="s">
        <v>10739</v>
      </c>
      <c r="N3262" s="3">
        <v>4000</v>
      </c>
      <c r="O3262" s="3">
        <v>5000</v>
      </c>
      <c r="P3262" s="3">
        <v>6000</v>
      </c>
      <c r="Q3262" s="3">
        <v>6000</v>
      </c>
      <c r="R3262" s="3">
        <v>7000</v>
      </c>
      <c r="S3262" s="3">
        <v>8000</v>
      </c>
      <c r="T3262" t="s">
        <v>1536</v>
      </c>
      <c r="U3262" t="e">
        <v>#N/A</v>
      </c>
      <c r="V3262" t="s">
        <v>10740</v>
      </c>
      <c r="W3262" s="45">
        <v>1</v>
      </c>
      <c r="X3262" s="45">
        <v>0</v>
      </c>
      <c r="Y3262" s="45">
        <v>0</v>
      </c>
      <c r="Z3262" s="45">
        <v>1</v>
      </c>
      <c r="AA3262" s="45">
        <v>1</v>
      </c>
      <c r="AB3262" s="45">
        <v>0</v>
      </c>
      <c r="AC3262" s="150">
        <v>0</v>
      </c>
      <c r="AD3262" s="150">
        <v>1</v>
      </c>
      <c r="AE3262" s="49">
        <f t="shared" si="155"/>
        <v>0.5</v>
      </c>
      <c r="AF3262" s="44"/>
      <c r="AG3262" s="17">
        <v>0</v>
      </c>
      <c r="AH3262" s="44">
        <v>0.5</v>
      </c>
      <c r="AI3262" s="44">
        <v>0.5</v>
      </c>
      <c r="AJ3262" s="44">
        <v>0.5</v>
      </c>
      <c r="AK3262" s="151">
        <v>0.5</v>
      </c>
      <c r="AL3262" s="151">
        <v>0.5</v>
      </c>
      <c r="AM3262" s="17">
        <f t="shared" si="156"/>
        <v>1</v>
      </c>
      <c r="AN3262" s="18" t="s">
        <v>771</v>
      </c>
      <c r="AO3262" s="18" t="s">
        <v>773</v>
      </c>
      <c r="AP3262" t="s">
        <v>255</v>
      </c>
    </row>
    <row r="3263" spans="1:42" customFormat="1" hidden="1" x14ac:dyDescent="0.3">
      <c r="A3263" s="148" t="s">
        <v>8319</v>
      </c>
      <c r="B3263" t="s">
        <v>8320</v>
      </c>
      <c r="C3263" s="148" t="s">
        <v>9496</v>
      </c>
      <c r="D3263" t="s">
        <v>9497</v>
      </c>
      <c r="E3263" s="148" t="s">
        <v>9498</v>
      </c>
      <c r="F3263" t="s">
        <v>9499</v>
      </c>
      <c r="G3263" s="148" t="s">
        <v>10049</v>
      </c>
      <c r="H3263" t="s">
        <v>10050</v>
      </c>
      <c r="K3263" s="148" t="s">
        <v>10741</v>
      </c>
      <c r="L3263" t="s">
        <v>10742</v>
      </c>
      <c r="M3263" t="s">
        <v>10743</v>
      </c>
      <c r="N3263" s="3">
        <v>6</v>
      </c>
      <c r="O3263" s="3">
        <v>1</v>
      </c>
      <c r="P3263" s="3">
        <v>1</v>
      </c>
      <c r="Q3263" s="3">
        <v>1</v>
      </c>
      <c r="R3263" s="3">
        <v>1</v>
      </c>
      <c r="S3263" s="3">
        <v>1</v>
      </c>
      <c r="T3263" t="s">
        <v>10744</v>
      </c>
      <c r="U3263" t="e">
        <v>#N/A</v>
      </c>
      <c r="V3263" t="s">
        <v>10745</v>
      </c>
      <c r="W3263" s="45">
        <v>1</v>
      </c>
      <c r="X3263" s="45">
        <v>0</v>
      </c>
      <c r="Y3263" s="45">
        <v>0</v>
      </c>
      <c r="Z3263" s="45">
        <v>1</v>
      </c>
      <c r="AA3263" s="45">
        <v>1</v>
      </c>
      <c r="AB3263" s="45">
        <v>0</v>
      </c>
      <c r="AC3263" s="150">
        <v>0</v>
      </c>
      <c r="AD3263" s="150">
        <v>1</v>
      </c>
      <c r="AE3263" s="49">
        <f t="shared" si="155"/>
        <v>0.5</v>
      </c>
      <c r="AF3263" s="44"/>
      <c r="AG3263" s="17">
        <v>0</v>
      </c>
      <c r="AH3263" s="44">
        <v>7.0000000000000007E-2</v>
      </c>
      <c r="AI3263" s="44">
        <v>7.0000000000000007E-2</v>
      </c>
      <c r="AJ3263" s="44">
        <v>7.0000000000000007E-2</v>
      </c>
      <c r="AK3263" s="151">
        <v>7.0000000000000007E-2</v>
      </c>
      <c r="AL3263" s="151">
        <v>7.0000000000000007E-2</v>
      </c>
      <c r="AM3263" s="17">
        <f t="shared" si="156"/>
        <v>0.14000000000000001</v>
      </c>
      <c r="AN3263" s="18" t="s">
        <v>771</v>
      </c>
      <c r="AO3263" s="18" t="s">
        <v>773</v>
      </c>
      <c r="AP3263" t="s">
        <v>10746</v>
      </c>
    </row>
    <row r="3264" spans="1:42" customFormat="1" hidden="1" x14ac:dyDescent="0.3">
      <c r="A3264" s="148" t="s">
        <v>8319</v>
      </c>
      <c r="B3264" t="s">
        <v>8320</v>
      </c>
      <c r="C3264" s="148" t="s">
        <v>9496</v>
      </c>
      <c r="D3264" t="s">
        <v>9497</v>
      </c>
      <c r="E3264" s="148" t="s">
        <v>9498</v>
      </c>
      <c r="F3264" t="s">
        <v>9499</v>
      </c>
      <c r="G3264" s="148" t="s">
        <v>10049</v>
      </c>
      <c r="H3264" t="s">
        <v>10050</v>
      </c>
      <c r="K3264" s="148" t="s">
        <v>10741</v>
      </c>
      <c r="L3264" t="s">
        <v>10742</v>
      </c>
      <c r="M3264" t="s">
        <v>10747</v>
      </c>
      <c r="N3264" s="3" t="s">
        <v>271</v>
      </c>
      <c r="O3264" s="3">
        <v>1370</v>
      </c>
      <c r="P3264" s="3">
        <v>1370</v>
      </c>
      <c r="Q3264" s="3">
        <v>1370</v>
      </c>
      <c r="R3264" s="3">
        <v>1370</v>
      </c>
      <c r="S3264" s="3">
        <v>1370</v>
      </c>
      <c r="T3264" t="s">
        <v>1536</v>
      </c>
      <c r="U3264" t="e">
        <v>#N/A</v>
      </c>
      <c r="V3264" t="s">
        <v>10748</v>
      </c>
      <c r="W3264" s="45">
        <v>1</v>
      </c>
      <c r="X3264" s="45">
        <v>0</v>
      </c>
      <c r="Y3264" s="45">
        <v>0</v>
      </c>
      <c r="Z3264" s="45">
        <v>1</v>
      </c>
      <c r="AA3264" s="45">
        <v>1</v>
      </c>
      <c r="AB3264" s="45">
        <v>0</v>
      </c>
      <c r="AC3264" s="150">
        <v>0</v>
      </c>
      <c r="AD3264" s="150">
        <v>1</v>
      </c>
      <c r="AE3264" s="49">
        <f t="shared" si="155"/>
        <v>0.5</v>
      </c>
      <c r="AF3264" s="44"/>
      <c r="AG3264" s="17">
        <v>0</v>
      </c>
      <c r="AH3264" s="44">
        <v>0.1</v>
      </c>
      <c r="AI3264" s="44">
        <v>0.1</v>
      </c>
      <c r="AJ3264" s="44">
        <v>0.1</v>
      </c>
      <c r="AK3264" s="151">
        <v>0.1</v>
      </c>
      <c r="AL3264" s="151">
        <v>0.1</v>
      </c>
      <c r="AM3264" s="17">
        <f t="shared" si="156"/>
        <v>0.2</v>
      </c>
      <c r="AN3264" s="18" t="s">
        <v>771</v>
      </c>
      <c r="AO3264" s="18" t="s">
        <v>773</v>
      </c>
      <c r="AP3264" t="s">
        <v>10746</v>
      </c>
    </row>
    <row r="3265" spans="1:42" customFormat="1" hidden="1" x14ac:dyDescent="0.3">
      <c r="A3265" s="148" t="s">
        <v>8319</v>
      </c>
      <c r="B3265" t="s">
        <v>8320</v>
      </c>
      <c r="C3265" s="148" t="s">
        <v>9496</v>
      </c>
      <c r="D3265" t="s">
        <v>9497</v>
      </c>
      <c r="E3265" s="148" t="s">
        <v>9498</v>
      </c>
      <c r="F3265" t="s">
        <v>9499</v>
      </c>
      <c r="G3265" s="148" t="s">
        <v>9546</v>
      </c>
      <c r="H3265" t="s">
        <v>9547</v>
      </c>
      <c r="K3265" s="148" t="s">
        <v>10749</v>
      </c>
      <c r="L3265" t="s">
        <v>10750</v>
      </c>
      <c r="M3265" t="s">
        <v>10751</v>
      </c>
      <c r="N3265" s="3">
        <v>0</v>
      </c>
      <c r="O3265" s="3">
        <v>1</v>
      </c>
      <c r="P3265" s="3">
        <v>0</v>
      </c>
      <c r="Q3265" s="3">
        <v>0</v>
      </c>
      <c r="R3265" s="3">
        <v>0</v>
      </c>
      <c r="S3265" s="3">
        <v>0</v>
      </c>
      <c r="T3265" t="s">
        <v>771</v>
      </c>
      <c r="U3265" t="s">
        <v>773</v>
      </c>
      <c r="V3265" t="s">
        <v>10752</v>
      </c>
      <c r="W3265" s="45">
        <v>1</v>
      </c>
      <c r="X3265" s="45">
        <v>0</v>
      </c>
      <c r="Y3265" s="45">
        <v>0</v>
      </c>
      <c r="Z3265" s="45">
        <v>1</v>
      </c>
      <c r="AA3265" s="45">
        <v>1</v>
      </c>
      <c r="AB3265" s="45">
        <v>0</v>
      </c>
      <c r="AC3265" s="150">
        <v>0</v>
      </c>
      <c r="AD3265" s="150">
        <v>1</v>
      </c>
      <c r="AE3265" s="49">
        <f t="shared" si="155"/>
        <v>0.5</v>
      </c>
      <c r="AF3265" s="44"/>
      <c r="AG3265" s="17">
        <v>0</v>
      </c>
      <c r="AH3265" s="44">
        <v>0.09</v>
      </c>
      <c r="AI3265" s="44">
        <v>0.09</v>
      </c>
      <c r="AJ3265" s="44">
        <v>0.1</v>
      </c>
      <c r="AK3265" s="151">
        <v>0.1</v>
      </c>
      <c r="AL3265" s="151">
        <v>0.11</v>
      </c>
      <c r="AM3265" s="17">
        <f t="shared" si="156"/>
        <v>0.21000000000000002</v>
      </c>
      <c r="AN3265" s="18" t="s">
        <v>771</v>
      </c>
      <c r="AO3265" s="18" t="s">
        <v>773</v>
      </c>
      <c r="AP3265" t="s">
        <v>119</v>
      </c>
    </row>
    <row r="3266" spans="1:42" customFormat="1" hidden="1" x14ac:dyDescent="0.3">
      <c r="A3266" s="148" t="s">
        <v>8319</v>
      </c>
      <c r="B3266" t="s">
        <v>8320</v>
      </c>
      <c r="C3266" s="148" t="s">
        <v>9496</v>
      </c>
      <c r="D3266" t="s">
        <v>9497</v>
      </c>
      <c r="E3266" s="148" t="s">
        <v>9498</v>
      </c>
      <c r="F3266" t="s">
        <v>9499</v>
      </c>
      <c r="G3266" s="148" t="s">
        <v>9546</v>
      </c>
      <c r="H3266" t="s">
        <v>9547</v>
      </c>
      <c r="K3266" s="148" t="s">
        <v>10753</v>
      </c>
      <c r="L3266" t="s">
        <v>10754</v>
      </c>
      <c r="N3266" s="3"/>
      <c r="O3266" s="3"/>
      <c r="P3266" s="3"/>
      <c r="Q3266" s="3"/>
      <c r="R3266" s="3"/>
      <c r="S3266" s="3"/>
      <c r="U3266" t="e">
        <v>#N/A</v>
      </c>
      <c r="V3266" t="s">
        <v>10755</v>
      </c>
      <c r="W3266" s="45">
        <v>1</v>
      </c>
      <c r="X3266" s="45">
        <v>0</v>
      </c>
      <c r="Y3266" s="45">
        <v>0</v>
      </c>
      <c r="Z3266" s="45">
        <v>1</v>
      </c>
      <c r="AA3266" s="45">
        <v>1</v>
      </c>
      <c r="AB3266" s="45">
        <v>0</v>
      </c>
      <c r="AC3266" s="150">
        <v>0</v>
      </c>
      <c r="AD3266" s="150">
        <v>1</v>
      </c>
      <c r="AE3266" s="49">
        <f t="shared" si="155"/>
        <v>0.5</v>
      </c>
      <c r="AF3266" s="44"/>
      <c r="AG3266" s="17">
        <v>0</v>
      </c>
      <c r="AH3266" s="44">
        <v>0.1</v>
      </c>
      <c r="AI3266" s="44">
        <v>0.1</v>
      </c>
      <c r="AJ3266" s="44">
        <v>0.1</v>
      </c>
      <c r="AK3266" s="151">
        <v>0.1</v>
      </c>
      <c r="AL3266" s="151">
        <v>0.1</v>
      </c>
      <c r="AM3266" s="17">
        <f t="shared" si="156"/>
        <v>0.2</v>
      </c>
      <c r="AN3266" s="18" t="s">
        <v>771</v>
      </c>
      <c r="AO3266" s="18" t="s">
        <v>773</v>
      </c>
      <c r="AP3266" t="s">
        <v>119</v>
      </c>
    </row>
    <row r="3267" spans="1:42" customFormat="1" hidden="1" x14ac:dyDescent="0.3">
      <c r="A3267" s="148" t="s">
        <v>8319</v>
      </c>
      <c r="B3267" t="s">
        <v>8320</v>
      </c>
      <c r="C3267" s="148" t="s">
        <v>9496</v>
      </c>
      <c r="D3267" t="s">
        <v>9497</v>
      </c>
      <c r="E3267" s="148" t="s">
        <v>9498</v>
      </c>
      <c r="F3267" t="s">
        <v>9499</v>
      </c>
      <c r="G3267" s="148" t="s">
        <v>9546</v>
      </c>
      <c r="H3267" t="s">
        <v>9547</v>
      </c>
      <c r="K3267" s="148" t="s">
        <v>10753</v>
      </c>
      <c r="L3267" t="s">
        <v>10754</v>
      </c>
      <c r="N3267" s="3"/>
      <c r="O3267" s="3"/>
      <c r="P3267" s="3"/>
      <c r="Q3267" s="3"/>
      <c r="R3267" s="3"/>
      <c r="S3267" s="3"/>
      <c r="U3267" t="e">
        <v>#N/A</v>
      </c>
      <c r="V3267" t="s">
        <v>10756</v>
      </c>
      <c r="W3267" s="45">
        <v>1</v>
      </c>
      <c r="X3267" s="45">
        <v>0</v>
      </c>
      <c r="Y3267" s="45">
        <v>0</v>
      </c>
      <c r="Z3267" s="45">
        <v>1</v>
      </c>
      <c r="AA3267" s="45">
        <v>1</v>
      </c>
      <c r="AB3267" s="45">
        <v>0</v>
      </c>
      <c r="AC3267" s="150">
        <v>0</v>
      </c>
      <c r="AD3267" s="150">
        <v>1</v>
      </c>
      <c r="AE3267" s="49">
        <f t="shared" si="155"/>
        <v>0.5</v>
      </c>
      <c r="AF3267" s="44"/>
      <c r="AG3267" s="17">
        <v>0</v>
      </c>
      <c r="AH3267" s="44">
        <v>0.01</v>
      </c>
      <c r="AI3267" s="44">
        <v>0.01</v>
      </c>
      <c r="AJ3267" s="44">
        <v>0.01</v>
      </c>
      <c r="AK3267" s="151">
        <v>0.01</v>
      </c>
      <c r="AL3267" s="151">
        <v>0.01</v>
      </c>
      <c r="AM3267" s="17">
        <f t="shared" si="156"/>
        <v>0.02</v>
      </c>
      <c r="AN3267" s="18" t="s">
        <v>771</v>
      </c>
      <c r="AO3267" s="18" t="s">
        <v>773</v>
      </c>
      <c r="AP3267" t="s">
        <v>119</v>
      </c>
    </row>
    <row r="3268" spans="1:42" customFormat="1" hidden="1" x14ac:dyDescent="0.3">
      <c r="A3268" s="148" t="s">
        <v>8319</v>
      </c>
      <c r="B3268" t="s">
        <v>8320</v>
      </c>
      <c r="C3268" s="148" t="s">
        <v>9496</v>
      </c>
      <c r="D3268" t="s">
        <v>9497</v>
      </c>
      <c r="E3268" s="148" t="s">
        <v>9498</v>
      </c>
      <c r="F3268" t="s">
        <v>9499</v>
      </c>
      <c r="G3268" s="148" t="s">
        <v>9546</v>
      </c>
      <c r="H3268" t="s">
        <v>9547</v>
      </c>
      <c r="K3268" s="148" t="s">
        <v>10753</v>
      </c>
      <c r="L3268" t="s">
        <v>10754</v>
      </c>
      <c r="N3268" s="3"/>
      <c r="O3268" s="3"/>
      <c r="P3268" s="3"/>
      <c r="Q3268" s="3"/>
      <c r="R3268" s="3"/>
      <c r="S3268" s="3"/>
      <c r="U3268" t="e">
        <v>#N/A</v>
      </c>
      <c r="V3268" t="s">
        <v>10757</v>
      </c>
      <c r="W3268" s="45">
        <v>1</v>
      </c>
      <c r="X3268" s="45">
        <v>0</v>
      </c>
      <c r="Y3268" s="45">
        <v>0</v>
      </c>
      <c r="Z3268" s="45">
        <v>1</v>
      </c>
      <c r="AA3268" s="45">
        <v>1</v>
      </c>
      <c r="AB3268" s="45">
        <v>0</v>
      </c>
      <c r="AC3268" s="150">
        <v>0</v>
      </c>
      <c r="AD3268" s="150">
        <v>1</v>
      </c>
      <c r="AE3268" s="49">
        <f t="shared" si="155"/>
        <v>0.5</v>
      </c>
      <c r="AF3268" s="44"/>
      <c r="AG3268" s="17">
        <v>0</v>
      </c>
      <c r="AH3268" s="44">
        <v>0.1</v>
      </c>
      <c r="AI3268" s="44">
        <v>0.1</v>
      </c>
      <c r="AJ3268" s="44">
        <v>0.1</v>
      </c>
      <c r="AK3268" s="151">
        <v>0.1</v>
      </c>
      <c r="AL3268" s="151">
        <v>0.1</v>
      </c>
      <c r="AM3268" s="17">
        <f t="shared" si="156"/>
        <v>0.2</v>
      </c>
      <c r="AN3268" s="18" t="s">
        <v>771</v>
      </c>
      <c r="AO3268" s="18" t="s">
        <v>773</v>
      </c>
      <c r="AP3268" t="s">
        <v>119</v>
      </c>
    </row>
    <row r="3269" spans="1:42" customFormat="1" hidden="1" x14ac:dyDescent="0.3">
      <c r="A3269" s="148" t="s">
        <v>8319</v>
      </c>
      <c r="B3269" t="s">
        <v>8320</v>
      </c>
      <c r="C3269" s="148" t="s">
        <v>9344</v>
      </c>
      <c r="D3269" t="s">
        <v>9345</v>
      </c>
      <c r="E3269" s="148" t="s">
        <v>10414</v>
      </c>
      <c r="F3269" t="s">
        <v>10415</v>
      </c>
      <c r="G3269" s="148" t="s">
        <v>10416</v>
      </c>
      <c r="H3269" t="s">
        <v>10417</v>
      </c>
      <c r="K3269" s="148" t="s">
        <v>10758</v>
      </c>
      <c r="L3269" t="s">
        <v>10759</v>
      </c>
      <c r="M3269" t="s">
        <v>10760</v>
      </c>
      <c r="N3269" s="3" t="s">
        <v>271</v>
      </c>
      <c r="O3269" s="3" t="s">
        <v>271</v>
      </c>
      <c r="P3269" s="3">
        <v>528</v>
      </c>
      <c r="Q3269" s="3">
        <v>528</v>
      </c>
      <c r="R3269" s="3">
        <v>528</v>
      </c>
      <c r="S3269" s="3">
        <v>528</v>
      </c>
      <c r="T3269" t="s">
        <v>255</v>
      </c>
      <c r="U3269" t="s">
        <v>1045</v>
      </c>
      <c r="V3269" t="s">
        <v>10761</v>
      </c>
      <c r="W3269" s="45">
        <v>1</v>
      </c>
      <c r="X3269" s="45">
        <v>0</v>
      </c>
      <c r="Y3269" s="45">
        <v>1</v>
      </c>
      <c r="Z3269" s="45">
        <v>1</v>
      </c>
      <c r="AA3269" s="45">
        <v>1</v>
      </c>
      <c r="AB3269" s="45">
        <v>0</v>
      </c>
      <c r="AC3269" s="150">
        <v>0</v>
      </c>
      <c r="AD3269" s="150">
        <v>0</v>
      </c>
      <c r="AE3269" s="49">
        <f t="shared" si="155"/>
        <v>0.5</v>
      </c>
      <c r="AF3269" s="17"/>
      <c r="AG3269" s="17">
        <v>0</v>
      </c>
      <c r="AH3269" s="17">
        <v>0</v>
      </c>
      <c r="AI3269" s="44">
        <v>0.5</v>
      </c>
      <c r="AJ3269" s="44">
        <v>4.4000000000000004</v>
      </c>
      <c r="AK3269" s="151">
        <v>4.4000000000000004</v>
      </c>
      <c r="AL3269" s="151">
        <v>4.4000000000000004</v>
      </c>
      <c r="AM3269" s="17">
        <f t="shared" si="156"/>
        <v>8.8000000000000007</v>
      </c>
      <c r="AN3269" s="18" t="s">
        <v>255</v>
      </c>
      <c r="AO3269" s="18" t="s">
        <v>1045</v>
      </c>
      <c r="AP3269" t="s">
        <v>119</v>
      </c>
    </row>
    <row r="3270" spans="1:42" customFormat="1" hidden="1" x14ac:dyDescent="0.3">
      <c r="A3270" s="148" t="s">
        <v>8319</v>
      </c>
      <c r="B3270" t="s">
        <v>8320</v>
      </c>
      <c r="C3270" s="148" t="s">
        <v>9344</v>
      </c>
      <c r="D3270" t="s">
        <v>9345</v>
      </c>
      <c r="E3270" s="148" t="s">
        <v>10414</v>
      </c>
      <c r="F3270" t="s">
        <v>10415</v>
      </c>
      <c r="G3270" s="148" t="s">
        <v>10429</v>
      </c>
      <c r="H3270" t="s">
        <v>10430</v>
      </c>
      <c r="K3270" s="148" t="s">
        <v>10762</v>
      </c>
      <c r="L3270" t="s">
        <v>10763</v>
      </c>
      <c r="M3270" t="s">
        <v>10764</v>
      </c>
      <c r="N3270" s="3" t="s">
        <v>119</v>
      </c>
      <c r="O3270" s="3">
        <v>70</v>
      </c>
      <c r="P3270" s="3">
        <v>77</v>
      </c>
      <c r="Q3270" s="3">
        <v>85</v>
      </c>
      <c r="R3270" s="3">
        <v>90</v>
      </c>
      <c r="S3270" s="3">
        <v>100</v>
      </c>
      <c r="T3270" t="s">
        <v>10765</v>
      </c>
      <c r="U3270" t="e">
        <v>#N/A</v>
      </c>
      <c r="V3270" t="s">
        <v>10766</v>
      </c>
      <c r="W3270" s="45">
        <v>1</v>
      </c>
      <c r="X3270" s="45">
        <v>0</v>
      </c>
      <c r="Y3270" s="45">
        <v>0</v>
      </c>
      <c r="Z3270" s="45">
        <v>1</v>
      </c>
      <c r="AA3270" s="45">
        <v>1</v>
      </c>
      <c r="AB3270" s="45">
        <v>0</v>
      </c>
      <c r="AC3270" s="150">
        <v>0</v>
      </c>
      <c r="AD3270" s="150">
        <v>1</v>
      </c>
      <c r="AE3270" s="49">
        <f t="shared" si="155"/>
        <v>0.5</v>
      </c>
      <c r="AF3270" s="17"/>
      <c r="AG3270" s="17">
        <v>0</v>
      </c>
      <c r="AH3270" s="17">
        <v>0</v>
      </c>
      <c r="AI3270" s="17">
        <v>0</v>
      </c>
      <c r="AJ3270" s="44">
        <v>0.5</v>
      </c>
      <c r="AK3270" s="151">
        <v>0.5</v>
      </c>
      <c r="AL3270" s="151">
        <v>0.5</v>
      </c>
      <c r="AM3270" s="17">
        <f t="shared" si="156"/>
        <v>1</v>
      </c>
      <c r="AN3270" s="44" t="s">
        <v>723</v>
      </c>
      <c r="AO3270" s="18" t="s">
        <v>729</v>
      </c>
      <c r="AP3270" t="s">
        <v>10448</v>
      </c>
    </row>
    <row r="3271" spans="1:42" customFormat="1" hidden="1" x14ac:dyDescent="0.3">
      <c r="A3271" s="148" t="s">
        <v>8319</v>
      </c>
      <c r="B3271" t="s">
        <v>8320</v>
      </c>
      <c r="C3271" s="148" t="s">
        <v>9344</v>
      </c>
      <c r="D3271" t="s">
        <v>9345</v>
      </c>
      <c r="E3271" s="148" t="s">
        <v>10414</v>
      </c>
      <c r="F3271" t="s">
        <v>10415</v>
      </c>
      <c r="G3271" s="148" t="s">
        <v>10767</v>
      </c>
      <c r="H3271" t="s">
        <v>10768</v>
      </c>
      <c r="K3271" s="148" t="s">
        <v>10769</v>
      </c>
      <c r="L3271" t="s">
        <v>10770</v>
      </c>
      <c r="M3271" t="s">
        <v>10771</v>
      </c>
      <c r="N3271" s="3" t="s">
        <v>119</v>
      </c>
      <c r="O3271" s="3" t="s">
        <v>271</v>
      </c>
      <c r="P3271" s="3" t="s">
        <v>271</v>
      </c>
      <c r="Q3271" s="3" t="s">
        <v>271</v>
      </c>
      <c r="R3271" s="3">
        <v>1</v>
      </c>
      <c r="S3271" s="3"/>
      <c r="T3271" t="s">
        <v>10772</v>
      </c>
      <c r="U3271" t="e">
        <v>#N/A</v>
      </c>
      <c r="V3271" t="s">
        <v>10773</v>
      </c>
      <c r="W3271" s="45">
        <v>1</v>
      </c>
      <c r="X3271" s="45">
        <v>0</v>
      </c>
      <c r="Y3271" s="45">
        <v>0</v>
      </c>
      <c r="Z3271" s="45">
        <v>1</v>
      </c>
      <c r="AA3271" s="45">
        <v>1</v>
      </c>
      <c r="AB3271" s="45">
        <v>0</v>
      </c>
      <c r="AC3271" s="150">
        <v>0</v>
      </c>
      <c r="AD3271" s="150">
        <v>1</v>
      </c>
      <c r="AE3271" s="49">
        <f t="shared" si="155"/>
        <v>0.5</v>
      </c>
      <c r="AF3271" s="44"/>
      <c r="AG3271" s="17">
        <v>0</v>
      </c>
      <c r="AH3271" s="44">
        <v>0</v>
      </c>
      <c r="AI3271" s="44">
        <v>0.5</v>
      </c>
      <c r="AJ3271" s="44">
        <v>0.2</v>
      </c>
      <c r="AK3271" s="151">
        <v>0</v>
      </c>
      <c r="AL3271" s="151">
        <v>0</v>
      </c>
      <c r="AM3271" s="17">
        <f t="shared" si="156"/>
        <v>0</v>
      </c>
      <c r="AN3271" t="s">
        <v>723</v>
      </c>
      <c r="AO3271" s="18" t="s">
        <v>729</v>
      </c>
      <c r="AP3271" t="s">
        <v>10448</v>
      </c>
    </row>
    <row r="3272" spans="1:42" customFormat="1" hidden="1" x14ac:dyDescent="0.3">
      <c r="A3272" s="148" t="s">
        <v>8319</v>
      </c>
      <c r="B3272" t="s">
        <v>8320</v>
      </c>
      <c r="C3272" s="148" t="s">
        <v>9344</v>
      </c>
      <c r="D3272" t="s">
        <v>9345</v>
      </c>
      <c r="E3272" s="148" t="s">
        <v>10414</v>
      </c>
      <c r="F3272" t="s">
        <v>10415</v>
      </c>
      <c r="G3272" s="148" t="s">
        <v>10767</v>
      </c>
      <c r="H3272" t="s">
        <v>10768</v>
      </c>
      <c r="K3272" s="148" t="s">
        <v>10774</v>
      </c>
      <c r="L3272" t="s">
        <v>10775</v>
      </c>
      <c r="M3272" t="s">
        <v>10776</v>
      </c>
      <c r="N3272" s="3">
        <v>3</v>
      </c>
      <c r="O3272" s="3">
        <v>0</v>
      </c>
      <c r="P3272" s="3">
        <v>1</v>
      </c>
      <c r="Q3272" s="3">
        <v>1</v>
      </c>
      <c r="R3272" s="3">
        <v>0</v>
      </c>
      <c r="S3272" s="3">
        <v>1</v>
      </c>
      <c r="T3272" t="s">
        <v>10777</v>
      </c>
      <c r="U3272" t="e">
        <v>#N/A</v>
      </c>
      <c r="V3272" t="s">
        <v>10778</v>
      </c>
      <c r="W3272" s="45">
        <v>1</v>
      </c>
      <c r="X3272" s="45">
        <v>0</v>
      </c>
      <c r="Y3272" s="45">
        <v>0</v>
      </c>
      <c r="Z3272" s="45">
        <v>1</v>
      </c>
      <c r="AA3272" s="45">
        <v>1</v>
      </c>
      <c r="AB3272" s="45">
        <v>0</v>
      </c>
      <c r="AC3272" s="150">
        <v>0</v>
      </c>
      <c r="AD3272" s="150">
        <v>1</v>
      </c>
      <c r="AE3272" s="49">
        <f t="shared" si="155"/>
        <v>0.5</v>
      </c>
      <c r="AF3272" s="44"/>
      <c r="AG3272" s="17">
        <v>0</v>
      </c>
      <c r="AH3272" s="44">
        <v>0</v>
      </c>
      <c r="AI3272" s="44">
        <v>1</v>
      </c>
      <c r="AJ3272" s="44">
        <v>1</v>
      </c>
      <c r="AK3272" s="151">
        <v>1</v>
      </c>
      <c r="AL3272" s="151">
        <v>1</v>
      </c>
      <c r="AM3272" s="17">
        <f t="shared" si="156"/>
        <v>2</v>
      </c>
      <c r="AN3272" t="s">
        <v>723</v>
      </c>
      <c r="AO3272" s="18" t="s">
        <v>729</v>
      </c>
      <c r="AP3272" t="s">
        <v>570</v>
      </c>
    </row>
    <row r="3273" spans="1:42" customFormat="1" hidden="1" x14ac:dyDescent="0.3">
      <c r="A3273" s="148" t="s">
        <v>8319</v>
      </c>
      <c r="B3273" t="s">
        <v>8320</v>
      </c>
      <c r="C3273" s="148" t="s">
        <v>9344</v>
      </c>
      <c r="D3273" t="s">
        <v>9345</v>
      </c>
      <c r="E3273" s="148" t="s">
        <v>10414</v>
      </c>
      <c r="F3273" t="s">
        <v>10415</v>
      </c>
      <c r="G3273" s="148" t="s">
        <v>10767</v>
      </c>
      <c r="H3273" t="s">
        <v>10768</v>
      </c>
      <c r="K3273" s="148" t="s">
        <v>10774</v>
      </c>
      <c r="L3273" t="s">
        <v>10775</v>
      </c>
      <c r="M3273" t="s">
        <v>10779</v>
      </c>
      <c r="N3273" s="3" t="s">
        <v>119</v>
      </c>
      <c r="O3273" s="3">
        <v>54</v>
      </c>
      <c r="P3273" s="3">
        <v>58</v>
      </c>
      <c r="Q3273" s="3">
        <v>62</v>
      </c>
      <c r="R3273" s="3">
        <v>66</v>
      </c>
      <c r="S3273" s="3">
        <v>70</v>
      </c>
      <c r="T3273" t="s">
        <v>723</v>
      </c>
      <c r="U3273" t="s">
        <v>729</v>
      </c>
      <c r="V3273" t="s">
        <v>10780</v>
      </c>
      <c r="W3273" s="45">
        <v>1</v>
      </c>
      <c r="X3273" s="45">
        <v>0</v>
      </c>
      <c r="Y3273" s="45">
        <v>0</v>
      </c>
      <c r="Z3273" s="45">
        <v>1</v>
      </c>
      <c r="AA3273" s="45">
        <v>1</v>
      </c>
      <c r="AB3273" s="45">
        <v>0</v>
      </c>
      <c r="AC3273" s="150">
        <v>0</v>
      </c>
      <c r="AD3273" s="150">
        <v>1</v>
      </c>
      <c r="AE3273" s="49">
        <f t="shared" si="155"/>
        <v>0.5</v>
      </c>
      <c r="AF3273" s="44">
        <v>1</v>
      </c>
      <c r="AG3273" s="17">
        <v>0</v>
      </c>
      <c r="AH3273" s="44">
        <v>0</v>
      </c>
      <c r="AI3273" s="44">
        <v>50</v>
      </c>
      <c r="AJ3273" s="44">
        <v>50</v>
      </c>
      <c r="AK3273" s="151">
        <v>50</v>
      </c>
      <c r="AL3273" s="151">
        <v>50</v>
      </c>
      <c r="AM3273" s="17">
        <f t="shared" si="156"/>
        <v>100</v>
      </c>
      <c r="AN3273" t="s">
        <v>723</v>
      </c>
      <c r="AO3273" s="18" t="s">
        <v>729</v>
      </c>
      <c r="AP3273" t="s">
        <v>10781</v>
      </c>
    </row>
    <row r="3274" spans="1:42" customFormat="1" hidden="1" x14ac:dyDescent="0.3">
      <c r="A3274" s="148" t="s">
        <v>8319</v>
      </c>
      <c r="B3274" t="s">
        <v>8320</v>
      </c>
      <c r="C3274" s="148" t="s">
        <v>9344</v>
      </c>
      <c r="D3274" t="s">
        <v>9345</v>
      </c>
      <c r="E3274" s="148" t="s">
        <v>10414</v>
      </c>
      <c r="F3274" t="s">
        <v>10415</v>
      </c>
      <c r="G3274" s="148" t="s">
        <v>10449</v>
      </c>
      <c r="H3274" t="s">
        <v>10450</v>
      </c>
      <c r="K3274" s="148" t="s">
        <v>10782</v>
      </c>
      <c r="L3274" t="s">
        <v>10783</v>
      </c>
      <c r="M3274" t="s">
        <v>10784</v>
      </c>
      <c r="N3274" s="3" t="s">
        <v>119</v>
      </c>
      <c r="O3274" s="3">
        <v>50</v>
      </c>
      <c r="P3274" s="3">
        <v>65</v>
      </c>
      <c r="Q3274" s="3">
        <v>70</v>
      </c>
      <c r="R3274" s="3">
        <v>70</v>
      </c>
      <c r="S3274" s="3">
        <v>75</v>
      </c>
      <c r="T3274" t="s">
        <v>10785</v>
      </c>
      <c r="U3274" t="e">
        <v>#N/A</v>
      </c>
      <c r="V3274" t="s">
        <v>10786</v>
      </c>
      <c r="W3274" s="45">
        <v>1</v>
      </c>
      <c r="X3274" s="45">
        <v>0</v>
      </c>
      <c r="Y3274" s="45">
        <v>0</v>
      </c>
      <c r="Z3274" s="45">
        <v>1</v>
      </c>
      <c r="AA3274" s="45">
        <v>1</v>
      </c>
      <c r="AB3274" s="45">
        <v>0</v>
      </c>
      <c r="AC3274" s="150">
        <v>0</v>
      </c>
      <c r="AD3274" s="150">
        <v>1</v>
      </c>
      <c r="AE3274" s="49">
        <f t="shared" si="155"/>
        <v>0.5</v>
      </c>
      <c r="AF3274" s="44">
        <v>1</v>
      </c>
      <c r="AG3274" s="17">
        <v>0</v>
      </c>
      <c r="AH3274" s="44">
        <v>0</v>
      </c>
      <c r="AI3274" s="44">
        <v>0.5</v>
      </c>
      <c r="AJ3274" s="44">
        <v>0.5</v>
      </c>
      <c r="AK3274" s="151">
        <v>0.1</v>
      </c>
      <c r="AL3274" s="151">
        <v>0.1</v>
      </c>
      <c r="AM3274" s="17">
        <f t="shared" si="156"/>
        <v>0.2</v>
      </c>
      <c r="AN3274" t="s">
        <v>723</v>
      </c>
      <c r="AO3274" s="18" t="s">
        <v>729</v>
      </c>
      <c r="AP3274" t="s">
        <v>10448</v>
      </c>
    </row>
    <row r="3275" spans="1:42" customFormat="1" hidden="1" x14ac:dyDescent="0.3">
      <c r="A3275" s="148" t="s">
        <v>8319</v>
      </c>
      <c r="B3275" t="s">
        <v>8320</v>
      </c>
      <c r="C3275" s="148" t="s">
        <v>9344</v>
      </c>
      <c r="D3275" t="s">
        <v>9345</v>
      </c>
      <c r="E3275" s="148" t="s">
        <v>9346</v>
      </c>
      <c r="F3275" t="s">
        <v>9347</v>
      </c>
      <c r="G3275" s="148" t="s">
        <v>9552</v>
      </c>
      <c r="H3275" t="s">
        <v>9553</v>
      </c>
      <c r="K3275" s="148" t="s">
        <v>9871</v>
      </c>
      <c r="L3275" t="s">
        <v>9872</v>
      </c>
      <c r="M3275" t="s">
        <v>9875</v>
      </c>
      <c r="N3275" s="3"/>
      <c r="O3275" s="3">
        <v>0</v>
      </c>
      <c r="P3275" s="3">
        <v>100</v>
      </c>
      <c r="Q3275" s="3">
        <v>150</v>
      </c>
      <c r="R3275" s="3">
        <v>200</v>
      </c>
      <c r="S3275" s="3">
        <v>250</v>
      </c>
      <c r="T3275" t="s">
        <v>1536</v>
      </c>
      <c r="U3275" t="e">
        <v>#N/A</v>
      </c>
      <c r="V3275" t="s">
        <v>10787</v>
      </c>
      <c r="W3275" s="45">
        <v>1</v>
      </c>
      <c r="X3275" s="45">
        <v>0</v>
      </c>
      <c r="Y3275" s="45">
        <v>0</v>
      </c>
      <c r="Z3275" s="45">
        <v>1</v>
      </c>
      <c r="AA3275" s="45">
        <v>1</v>
      </c>
      <c r="AB3275" s="45">
        <v>0</v>
      </c>
      <c r="AC3275" s="150">
        <v>0</v>
      </c>
      <c r="AD3275" s="150">
        <v>0</v>
      </c>
      <c r="AE3275" s="49">
        <f t="shared" si="155"/>
        <v>0.375</v>
      </c>
      <c r="AF3275" s="17"/>
      <c r="AG3275" s="17">
        <v>0</v>
      </c>
      <c r="AH3275" s="17">
        <v>0</v>
      </c>
      <c r="AI3275" s="44">
        <v>0.1</v>
      </c>
      <c r="AJ3275" s="44">
        <v>0.2</v>
      </c>
      <c r="AK3275" s="151">
        <v>0.2</v>
      </c>
      <c r="AL3275" s="151">
        <v>0.3</v>
      </c>
      <c r="AM3275" s="17">
        <f t="shared" si="156"/>
        <v>0.5</v>
      </c>
      <c r="AN3275" s="18" t="s">
        <v>771</v>
      </c>
      <c r="AO3275" s="18" t="s">
        <v>773</v>
      </c>
      <c r="AP3275" t="s">
        <v>3643</v>
      </c>
    </row>
    <row r="3276" spans="1:42" customFormat="1" hidden="1" x14ac:dyDescent="0.3">
      <c r="A3276" s="148" t="s">
        <v>8319</v>
      </c>
      <c r="B3276" t="s">
        <v>8320</v>
      </c>
      <c r="C3276" s="148" t="s">
        <v>9344</v>
      </c>
      <c r="D3276" t="s">
        <v>9345</v>
      </c>
      <c r="E3276" s="148" t="s">
        <v>9346</v>
      </c>
      <c r="F3276" t="s">
        <v>9347</v>
      </c>
      <c r="G3276" t="s">
        <v>9348</v>
      </c>
      <c r="H3276" t="s">
        <v>9349</v>
      </c>
      <c r="I3276" s="148" t="s">
        <v>9350</v>
      </c>
      <c r="J3276" t="s">
        <v>9351</v>
      </c>
      <c r="K3276" s="148" t="s">
        <v>9352</v>
      </c>
      <c r="L3276" t="s">
        <v>9353</v>
      </c>
      <c r="M3276" t="s">
        <v>10788</v>
      </c>
      <c r="N3276" s="3" t="s">
        <v>271</v>
      </c>
      <c r="O3276" s="3">
        <v>1</v>
      </c>
      <c r="P3276" s="3">
        <v>0</v>
      </c>
      <c r="Q3276" s="3">
        <v>0</v>
      </c>
      <c r="R3276" s="3">
        <v>0</v>
      </c>
      <c r="S3276" s="3">
        <v>0</v>
      </c>
      <c r="T3276" t="s">
        <v>771</v>
      </c>
      <c r="U3276" t="s">
        <v>773</v>
      </c>
      <c r="V3276" t="s">
        <v>10789</v>
      </c>
      <c r="W3276" s="45">
        <v>1</v>
      </c>
      <c r="X3276" s="45">
        <v>0</v>
      </c>
      <c r="Y3276" s="45">
        <v>0</v>
      </c>
      <c r="Z3276" s="45">
        <v>1</v>
      </c>
      <c r="AA3276" s="45">
        <v>0</v>
      </c>
      <c r="AB3276" s="45">
        <v>0</v>
      </c>
      <c r="AC3276" s="150">
        <v>0</v>
      </c>
      <c r="AD3276" s="150">
        <v>1</v>
      </c>
      <c r="AE3276" s="49">
        <f t="shared" si="155"/>
        <v>0.375</v>
      </c>
      <c r="AF3276" s="44"/>
      <c r="AG3276" s="17">
        <v>0</v>
      </c>
      <c r="AH3276" s="44">
        <v>0.3</v>
      </c>
      <c r="AI3276" s="44">
        <v>0.1</v>
      </c>
      <c r="AJ3276" s="44">
        <v>0.1</v>
      </c>
      <c r="AK3276" s="153">
        <v>0</v>
      </c>
      <c r="AL3276" s="154">
        <v>0</v>
      </c>
      <c r="AM3276" s="17">
        <f t="shared" si="156"/>
        <v>0</v>
      </c>
      <c r="AN3276" s="18" t="s">
        <v>771</v>
      </c>
      <c r="AO3276" s="18" t="s">
        <v>773</v>
      </c>
      <c r="AP3276" t="s">
        <v>10790</v>
      </c>
    </row>
    <row r="3277" spans="1:42" customFormat="1" hidden="1" x14ac:dyDescent="0.3">
      <c r="A3277" s="148" t="s">
        <v>8319</v>
      </c>
      <c r="B3277" t="s">
        <v>8320</v>
      </c>
      <c r="C3277" s="148" t="s">
        <v>9344</v>
      </c>
      <c r="D3277" t="s">
        <v>9345</v>
      </c>
      <c r="E3277" s="148" t="s">
        <v>9346</v>
      </c>
      <c r="F3277" t="s">
        <v>9347</v>
      </c>
      <c r="G3277" t="s">
        <v>9348</v>
      </c>
      <c r="H3277" t="s">
        <v>9349</v>
      </c>
      <c r="I3277" s="148" t="s">
        <v>9350</v>
      </c>
      <c r="J3277" t="s">
        <v>9351</v>
      </c>
      <c r="K3277" s="148" t="s">
        <v>9352</v>
      </c>
      <c r="L3277" t="s">
        <v>9353</v>
      </c>
      <c r="M3277" t="s">
        <v>10791</v>
      </c>
      <c r="N3277" s="3">
        <v>62</v>
      </c>
      <c r="O3277" s="3">
        <v>60</v>
      </c>
      <c r="P3277" s="3">
        <v>65</v>
      </c>
      <c r="Q3277" s="3">
        <v>70</v>
      </c>
      <c r="R3277" s="3">
        <v>75</v>
      </c>
      <c r="S3277" s="3">
        <v>80</v>
      </c>
      <c r="T3277" t="s">
        <v>771</v>
      </c>
      <c r="U3277" t="s">
        <v>773</v>
      </c>
      <c r="V3277" t="s">
        <v>10792</v>
      </c>
      <c r="W3277" s="45">
        <v>1</v>
      </c>
      <c r="X3277" s="45">
        <v>0</v>
      </c>
      <c r="Y3277" s="45">
        <v>0</v>
      </c>
      <c r="Z3277" s="45">
        <v>1</v>
      </c>
      <c r="AA3277" s="45">
        <v>1</v>
      </c>
      <c r="AB3277" s="45">
        <v>0</v>
      </c>
      <c r="AC3277" s="150">
        <v>0</v>
      </c>
      <c r="AD3277" s="150">
        <v>0</v>
      </c>
      <c r="AE3277" s="49">
        <f t="shared" si="155"/>
        <v>0.375</v>
      </c>
      <c r="AF3277" s="44"/>
      <c r="AG3277" s="17">
        <v>0</v>
      </c>
      <c r="AH3277" s="44">
        <v>0.4</v>
      </c>
      <c r="AI3277" s="44">
        <v>0.4</v>
      </c>
      <c r="AJ3277" s="44">
        <v>0.4</v>
      </c>
      <c r="AK3277" s="151">
        <v>0.4</v>
      </c>
      <c r="AL3277" s="151">
        <v>0.4</v>
      </c>
      <c r="AM3277" s="17">
        <f t="shared" si="156"/>
        <v>0.8</v>
      </c>
      <c r="AN3277" t="s">
        <v>3643</v>
      </c>
      <c r="AO3277" s="18" t="s">
        <v>3630</v>
      </c>
      <c r="AP3277" t="s">
        <v>1536</v>
      </c>
    </row>
    <row r="3278" spans="1:42" customFormat="1" hidden="1" x14ac:dyDescent="0.3">
      <c r="A3278" s="148" t="s">
        <v>8319</v>
      </c>
      <c r="B3278" t="s">
        <v>8320</v>
      </c>
      <c r="C3278" s="148" t="s">
        <v>9344</v>
      </c>
      <c r="D3278" t="s">
        <v>9345</v>
      </c>
      <c r="E3278" s="148" t="s">
        <v>9346</v>
      </c>
      <c r="F3278" t="s">
        <v>9347</v>
      </c>
      <c r="G3278" s="148" t="s">
        <v>10470</v>
      </c>
      <c r="H3278" t="s">
        <v>10471</v>
      </c>
      <c r="I3278" s="148" t="s">
        <v>10472</v>
      </c>
      <c r="J3278" t="s">
        <v>10473</v>
      </c>
      <c r="K3278" s="148" t="s">
        <v>10474</v>
      </c>
      <c r="L3278" t="s">
        <v>10475</v>
      </c>
      <c r="M3278" t="s">
        <v>10793</v>
      </c>
      <c r="N3278" s="3" t="s">
        <v>271</v>
      </c>
      <c r="O3278" s="3">
        <v>200</v>
      </c>
      <c r="P3278" s="3">
        <v>200</v>
      </c>
      <c r="Q3278" s="3">
        <v>200</v>
      </c>
      <c r="R3278" s="3">
        <v>200</v>
      </c>
      <c r="S3278" s="3">
        <v>200</v>
      </c>
      <c r="T3278" t="s">
        <v>3640</v>
      </c>
      <c r="U3278" t="s">
        <v>3630</v>
      </c>
      <c r="V3278" t="s">
        <v>10794</v>
      </c>
      <c r="W3278" s="45">
        <v>1</v>
      </c>
      <c r="X3278" s="45">
        <v>0</v>
      </c>
      <c r="Y3278" s="45">
        <v>0</v>
      </c>
      <c r="Z3278" s="45">
        <v>1</v>
      </c>
      <c r="AA3278" s="45">
        <v>1</v>
      </c>
      <c r="AB3278" s="45">
        <v>0</v>
      </c>
      <c r="AC3278" s="150">
        <v>0</v>
      </c>
      <c r="AD3278" s="150">
        <v>0</v>
      </c>
      <c r="AE3278" s="49">
        <f t="shared" si="155"/>
        <v>0.375</v>
      </c>
      <c r="AF3278" s="44"/>
      <c r="AG3278" s="17">
        <v>0</v>
      </c>
      <c r="AH3278" s="44">
        <v>0.1</v>
      </c>
      <c r="AI3278" s="44">
        <v>0.1</v>
      </c>
      <c r="AJ3278" s="44">
        <v>0.1</v>
      </c>
      <c r="AK3278" s="151">
        <v>0.5</v>
      </c>
      <c r="AL3278" s="151">
        <v>0.5</v>
      </c>
      <c r="AM3278" s="17">
        <f t="shared" si="156"/>
        <v>1</v>
      </c>
      <c r="AN3278" t="s">
        <v>3643</v>
      </c>
      <c r="AO3278" s="18" t="s">
        <v>3630</v>
      </c>
      <c r="AP3278" t="s">
        <v>10135</v>
      </c>
    </row>
    <row r="3279" spans="1:42" customFormat="1" hidden="1" x14ac:dyDescent="0.3">
      <c r="A3279" s="148" t="s">
        <v>8319</v>
      </c>
      <c r="B3279" t="s">
        <v>8320</v>
      </c>
      <c r="C3279" s="148" t="s">
        <v>9344</v>
      </c>
      <c r="D3279" t="s">
        <v>9345</v>
      </c>
      <c r="E3279" s="148" t="s">
        <v>9346</v>
      </c>
      <c r="F3279" t="s">
        <v>9347</v>
      </c>
      <c r="G3279" s="148" t="s">
        <v>10470</v>
      </c>
      <c r="H3279" t="s">
        <v>10471</v>
      </c>
      <c r="I3279" s="148" t="s">
        <v>10472</v>
      </c>
      <c r="J3279" t="s">
        <v>10473</v>
      </c>
      <c r="K3279" s="148" t="s">
        <v>10474</v>
      </c>
      <c r="L3279" t="s">
        <v>10475</v>
      </c>
      <c r="M3279" t="s">
        <v>10795</v>
      </c>
      <c r="N3279" s="3" t="s">
        <v>271</v>
      </c>
      <c r="O3279" s="3">
        <v>50</v>
      </c>
      <c r="P3279" s="3">
        <v>55</v>
      </c>
      <c r="Q3279" s="3">
        <v>60</v>
      </c>
      <c r="R3279" s="3">
        <v>65</v>
      </c>
      <c r="S3279" s="3">
        <v>70</v>
      </c>
      <c r="T3279" t="s">
        <v>255</v>
      </c>
      <c r="U3279" t="s">
        <v>1045</v>
      </c>
      <c r="V3279" t="s">
        <v>10796</v>
      </c>
      <c r="W3279" s="45">
        <v>1</v>
      </c>
      <c r="X3279" s="45">
        <v>0</v>
      </c>
      <c r="Y3279" s="45">
        <v>0</v>
      </c>
      <c r="Z3279" s="45">
        <v>1</v>
      </c>
      <c r="AA3279" s="45">
        <v>1</v>
      </c>
      <c r="AB3279" s="45">
        <v>0</v>
      </c>
      <c r="AC3279" s="150">
        <v>0</v>
      </c>
      <c r="AD3279" s="150">
        <v>0</v>
      </c>
      <c r="AE3279" s="49">
        <f t="shared" si="155"/>
        <v>0.375</v>
      </c>
      <c r="AF3279" s="44"/>
      <c r="AG3279" s="17">
        <v>0</v>
      </c>
      <c r="AH3279" s="44">
        <v>0.5</v>
      </c>
      <c r="AI3279" s="44">
        <v>0.5</v>
      </c>
      <c r="AJ3279" s="44">
        <v>0.5</v>
      </c>
      <c r="AK3279" s="151">
        <v>0.5</v>
      </c>
      <c r="AL3279" s="151">
        <v>0.5</v>
      </c>
      <c r="AM3279" s="17">
        <f t="shared" si="156"/>
        <v>1</v>
      </c>
      <c r="AN3279" s="18" t="s">
        <v>255</v>
      </c>
      <c r="AO3279" s="18" t="s">
        <v>1045</v>
      </c>
      <c r="AP3279" t="s">
        <v>1536</v>
      </c>
    </row>
    <row r="3280" spans="1:42" customFormat="1" hidden="1" x14ac:dyDescent="0.3">
      <c r="A3280" s="148" t="s">
        <v>8319</v>
      </c>
      <c r="B3280" t="s">
        <v>8320</v>
      </c>
      <c r="C3280" s="148" t="s">
        <v>9344</v>
      </c>
      <c r="D3280" t="s">
        <v>9345</v>
      </c>
      <c r="E3280" s="148" t="s">
        <v>9346</v>
      </c>
      <c r="F3280" t="s">
        <v>9347</v>
      </c>
      <c r="G3280" s="148" t="s">
        <v>9897</v>
      </c>
      <c r="H3280" t="s">
        <v>9898</v>
      </c>
      <c r="K3280" s="148" t="s">
        <v>10797</v>
      </c>
      <c r="L3280" t="s">
        <v>10798</v>
      </c>
      <c r="M3280" t="s">
        <v>10799</v>
      </c>
      <c r="N3280" s="3" t="s">
        <v>271</v>
      </c>
      <c r="O3280" s="3">
        <v>10</v>
      </c>
      <c r="P3280" s="3">
        <v>15</v>
      </c>
      <c r="Q3280" s="3">
        <v>20</v>
      </c>
      <c r="R3280" s="3">
        <v>25</v>
      </c>
      <c r="S3280" s="3">
        <v>30</v>
      </c>
      <c r="T3280" t="s">
        <v>771</v>
      </c>
      <c r="U3280" t="s">
        <v>773</v>
      </c>
      <c r="V3280" t="s">
        <v>10800</v>
      </c>
      <c r="W3280" s="45">
        <v>1</v>
      </c>
      <c r="X3280" s="45">
        <v>0</v>
      </c>
      <c r="Y3280" s="45">
        <v>1</v>
      </c>
      <c r="Z3280" s="45">
        <v>1</v>
      </c>
      <c r="AA3280" s="45">
        <v>0</v>
      </c>
      <c r="AB3280" s="45">
        <v>0</v>
      </c>
      <c r="AC3280" s="150">
        <v>0</v>
      </c>
      <c r="AD3280" s="150">
        <v>0</v>
      </c>
      <c r="AE3280" s="49">
        <f t="shared" si="155"/>
        <v>0.375</v>
      </c>
      <c r="AF3280" s="44"/>
      <c r="AG3280" s="17">
        <v>0</v>
      </c>
      <c r="AH3280" s="44">
        <v>0.3</v>
      </c>
      <c r="AI3280" s="44">
        <v>0.3</v>
      </c>
      <c r="AJ3280" s="44">
        <v>0.3</v>
      </c>
      <c r="AK3280" s="151">
        <v>0.3</v>
      </c>
      <c r="AL3280" s="151">
        <v>0.3</v>
      </c>
      <c r="AM3280" s="17">
        <f t="shared" si="156"/>
        <v>0.6</v>
      </c>
      <c r="AN3280" s="18" t="s">
        <v>255</v>
      </c>
      <c r="AO3280" s="18" t="s">
        <v>1045</v>
      </c>
      <c r="AP3280" t="s">
        <v>1536</v>
      </c>
    </row>
    <row r="3281" spans="1:42" customFormat="1" hidden="1" x14ac:dyDescent="0.3">
      <c r="A3281" s="148" t="s">
        <v>8319</v>
      </c>
      <c r="B3281" t="s">
        <v>8320</v>
      </c>
      <c r="C3281" s="148" t="s">
        <v>9344</v>
      </c>
      <c r="D3281" t="s">
        <v>9345</v>
      </c>
      <c r="E3281" s="148" t="s">
        <v>9346</v>
      </c>
      <c r="F3281" t="s">
        <v>9347</v>
      </c>
      <c r="G3281" s="148" t="s">
        <v>9897</v>
      </c>
      <c r="H3281" t="s">
        <v>9898</v>
      </c>
      <c r="K3281" s="148" t="s">
        <v>10801</v>
      </c>
      <c r="L3281" t="s">
        <v>10802</v>
      </c>
      <c r="M3281" t="s">
        <v>10803</v>
      </c>
      <c r="N3281" s="3" t="s">
        <v>271</v>
      </c>
      <c r="O3281" s="3">
        <v>10</v>
      </c>
      <c r="P3281" s="3">
        <v>15</v>
      </c>
      <c r="Q3281" s="3">
        <v>20</v>
      </c>
      <c r="R3281" s="3">
        <v>25</v>
      </c>
      <c r="S3281" s="3">
        <v>30</v>
      </c>
      <c r="T3281" t="s">
        <v>255</v>
      </c>
      <c r="U3281" t="s">
        <v>1045</v>
      </c>
      <c r="V3281" t="s">
        <v>10804</v>
      </c>
      <c r="W3281" s="45">
        <v>1</v>
      </c>
      <c r="X3281" s="45">
        <v>0</v>
      </c>
      <c r="Y3281" s="45">
        <v>1</v>
      </c>
      <c r="Z3281" s="45">
        <v>1</v>
      </c>
      <c r="AA3281" s="45">
        <v>0</v>
      </c>
      <c r="AB3281" s="45">
        <v>0</v>
      </c>
      <c r="AC3281" s="150">
        <v>0</v>
      </c>
      <c r="AD3281" s="150">
        <v>0</v>
      </c>
      <c r="AE3281" s="49">
        <f t="shared" si="155"/>
        <v>0.375</v>
      </c>
      <c r="AF3281" s="44"/>
      <c r="AG3281" s="17">
        <v>0</v>
      </c>
      <c r="AH3281" s="44">
        <v>0.6</v>
      </c>
      <c r="AI3281" s="44">
        <v>0.6</v>
      </c>
      <c r="AJ3281" s="44">
        <v>0.6</v>
      </c>
      <c r="AK3281" s="151">
        <v>0.6</v>
      </c>
      <c r="AL3281" s="151">
        <v>0.6</v>
      </c>
      <c r="AM3281" s="17">
        <f t="shared" si="156"/>
        <v>1.2</v>
      </c>
      <c r="AN3281" s="18" t="s">
        <v>255</v>
      </c>
      <c r="AO3281" s="18" t="s">
        <v>1045</v>
      </c>
      <c r="AP3281" t="s">
        <v>1536</v>
      </c>
    </row>
    <row r="3282" spans="1:42" customFormat="1" hidden="1" x14ac:dyDescent="0.3">
      <c r="A3282" s="148" t="s">
        <v>8319</v>
      </c>
      <c r="B3282" t="s">
        <v>8320</v>
      </c>
      <c r="C3282" s="148" t="s">
        <v>9344</v>
      </c>
      <c r="D3282" t="s">
        <v>9345</v>
      </c>
      <c r="E3282" s="148" t="s">
        <v>9346</v>
      </c>
      <c r="F3282" t="s">
        <v>9347</v>
      </c>
      <c r="G3282" s="148" t="s">
        <v>9558</v>
      </c>
      <c r="H3282" t="s">
        <v>9559</v>
      </c>
      <c r="K3282" s="148" t="s">
        <v>9560</v>
      </c>
      <c r="L3282" t="s">
        <v>9561</v>
      </c>
      <c r="M3282" t="s">
        <v>10805</v>
      </c>
      <c r="N3282" s="3" t="s">
        <v>271</v>
      </c>
      <c r="O3282" s="3" t="s">
        <v>271</v>
      </c>
      <c r="P3282" s="3">
        <v>75</v>
      </c>
      <c r="Q3282" s="3">
        <v>75</v>
      </c>
      <c r="R3282" s="3">
        <v>75</v>
      </c>
      <c r="S3282" s="3">
        <v>75</v>
      </c>
      <c r="T3282" t="s">
        <v>723</v>
      </c>
      <c r="U3282" t="s">
        <v>729</v>
      </c>
      <c r="V3282" t="s">
        <v>10806</v>
      </c>
      <c r="W3282" s="45">
        <v>1</v>
      </c>
      <c r="X3282" s="45">
        <v>0</v>
      </c>
      <c r="Y3282" s="45">
        <v>0</v>
      </c>
      <c r="Z3282" s="45">
        <v>0</v>
      </c>
      <c r="AA3282" s="45">
        <v>1</v>
      </c>
      <c r="AB3282" s="45">
        <v>0</v>
      </c>
      <c r="AC3282" s="150">
        <v>1</v>
      </c>
      <c r="AD3282" s="150">
        <v>0</v>
      </c>
      <c r="AE3282" s="49">
        <f t="shared" si="155"/>
        <v>0.375</v>
      </c>
      <c r="AF3282" s="17">
        <v>1</v>
      </c>
      <c r="AG3282" s="17">
        <v>0</v>
      </c>
      <c r="AH3282" s="17">
        <v>0</v>
      </c>
      <c r="AI3282" s="44">
        <v>67.5</v>
      </c>
      <c r="AJ3282" s="44">
        <v>67.5</v>
      </c>
      <c r="AK3282" s="151">
        <v>40</v>
      </c>
      <c r="AL3282" s="151">
        <v>60</v>
      </c>
      <c r="AM3282" s="17">
        <f t="shared" si="156"/>
        <v>100</v>
      </c>
      <c r="AN3282" t="s">
        <v>723</v>
      </c>
      <c r="AO3282" s="18" t="s">
        <v>729</v>
      </c>
      <c r="AP3282" t="s">
        <v>255</v>
      </c>
    </row>
    <row r="3283" spans="1:42" customFormat="1" hidden="1" x14ac:dyDescent="0.3">
      <c r="A3283" s="148" t="s">
        <v>8319</v>
      </c>
      <c r="B3283" t="s">
        <v>8320</v>
      </c>
      <c r="C3283" s="148" t="s">
        <v>9344</v>
      </c>
      <c r="D3283" t="s">
        <v>9345</v>
      </c>
      <c r="E3283" s="148" t="s">
        <v>9346</v>
      </c>
      <c r="F3283" t="s">
        <v>9347</v>
      </c>
      <c r="G3283" s="148" t="s">
        <v>9558</v>
      </c>
      <c r="H3283" t="s">
        <v>9559</v>
      </c>
      <c r="K3283" s="148" t="s">
        <v>9560</v>
      </c>
      <c r="L3283" t="s">
        <v>9561</v>
      </c>
      <c r="M3283" t="s">
        <v>10807</v>
      </c>
      <c r="N3283" s="3" t="s">
        <v>271</v>
      </c>
      <c r="O3283" s="3" t="s">
        <v>271</v>
      </c>
      <c r="P3283" s="3">
        <v>11</v>
      </c>
      <c r="Q3283" s="3">
        <v>11</v>
      </c>
      <c r="R3283" s="3">
        <v>11</v>
      </c>
      <c r="S3283" s="3">
        <v>11</v>
      </c>
      <c r="T3283" t="s">
        <v>723</v>
      </c>
      <c r="U3283" t="s">
        <v>729</v>
      </c>
      <c r="V3283" t="s">
        <v>10808</v>
      </c>
      <c r="W3283" s="45">
        <v>1</v>
      </c>
      <c r="X3283" s="45">
        <v>0</v>
      </c>
      <c r="Y3283" s="45">
        <v>0</v>
      </c>
      <c r="Z3283" s="45">
        <v>0</v>
      </c>
      <c r="AA3283" s="45">
        <v>1</v>
      </c>
      <c r="AB3283" s="45">
        <v>0</v>
      </c>
      <c r="AC3283" s="150">
        <v>0</v>
      </c>
      <c r="AD3283" s="150">
        <v>1</v>
      </c>
      <c r="AE3283" s="49">
        <f t="shared" si="155"/>
        <v>0.375</v>
      </c>
      <c r="AF3283" s="17"/>
      <c r="AG3283" s="17">
        <v>0</v>
      </c>
      <c r="AH3283" s="17">
        <v>0</v>
      </c>
      <c r="AI3283" s="44">
        <v>1.2</v>
      </c>
      <c r="AJ3283" s="44">
        <v>2.2999999999999998</v>
      </c>
      <c r="AK3283" s="151">
        <v>3</v>
      </c>
      <c r="AL3283" s="151">
        <v>4.5999999999999996</v>
      </c>
      <c r="AM3283" s="17">
        <f t="shared" si="156"/>
        <v>7.6</v>
      </c>
      <c r="AN3283" s="44" t="s">
        <v>10630</v>
      </c>
      <c r="AO3283" s="18" t="s">
        <v>10809</v>
      </c>
      <c r="AP3283" t="s">
        <v>723</v>
      </c>
    </row>
    <row r="3284" spans="1:42" customFormat="1" hidden="1" x14ac:dyDescent="0.3">
      <c r="A3284" s="148" t="s">
        <v>8319</v>
      </c>
      <c r="B3284" t="s">
        <v>8320</v>
      </c>
      <c r="C3284" s="148" t="s">
        <v>9344</v>
      </c>
      <c r="D3284" t="s">
        <v>9345</v>
      </c>
      <c r="E3284" s="148" t="s">
        <v>9346</v>
      </c>
      <c r="F3284" t="s">
        <v>9347</v>
      </c>
      <c r="G3284" s="148" t="s">
        <v>10152</v>
      </c>
      <c r="H3284" t="s">
        <v>10153</v>
      </c>
      <c r="K3284" s="148" t="s">
        <v>10154</v>
      </c>
      <c r="L3284" t="s">
        <v>10155</v>
      </c>
      <c r="M3284" t="s">
        <v>10810</v>
      </c>
      <c r="N3284" s="3" t="s">
        <v>271</v>
      </c>
      <c r="O3284" s="3" t="s">
        <v>271</v>
      </c>
      <c r="P3284" s="3" t="s">
        <v>271</v>
      </c>
      <c r="Q3284" s="3">
        <v>845</v>
      </c>
      <c r="R3284" s="3">
        <v>845</v>
      </c>
      <c r="S3284" s="3">
        <v>845</v>
      </c>
      <c r="T3284" t="s">
        <v>10811</v>
      </c>
      <c r="U3284" t="e">
        <v>#N/A</v>
      </c>
      <c r="V3284" t="s">
        <v>10812</v>
      </c>
      <c r="W3284" s="45">
        <v>1</v>
      </c>
      <c r="X3284" s="45">
        <v>0</v>
      </c>
      <c r="Y3284" s="45">
        <v>0</v>
      </c>
      <c r="Z3284" s="45">
        <v>0</v>
      </c>
      <c r="AA3284" s="45">
        <v>1</v>
      </c>
      <c r="AB3284" s="45">
        <v>0</v>
      </c>
      <c r="AC3284" s="150">
        <v>0</v>
      </c>
      <c r="AD3284" s="150">
        <v>1</v>
      </c>
      <c r="AE3284" s="49">
        <f t="shared" si="155"/>
        <v>0.375</v>
      </c>
      <c r="AF3284" s="17">
        <v>1</v>
      </c>
      <c r="AG3284" s="17">
        <v>1</v>
      </c>
      <c r="AH3284" s="17">
        <v>0</v>
      </c>
      <c r="AI3284" s="17">
        <v>0</v>
      </c>
      <c r="AJ3284" s="44">
        <v>5</v>
      </c>
      <c r="AK3284" s="151">
        <v>20</v>
      </c>
      <c r="AL3284" s="151">
        <v>30</v>
      </c>
      <c r="AM3284" s="17">
        <f t="shared" si="156"/>
        <v>50</v>
      </c>
      <c r="AN3284" s="44" t="s">
        <v>723</v>
      </c>
      <c r="AO3284" s="18" t="s">
        <v>729</v>
      </c>
      <c r="AP3284" t="s">
        <v>2074</v>
      </c>
    </row>
    <row r="3285" spans="1:42" customFormat="1" hidden="1" x14ac:dyDescent="0.3">
      <c r="A3285" s="148" t="s">
        <v>8319</v>
      </c>
      <c r="B3285" t="s">
        <v>8320</v>
      </c>
      <c r="C3285" s="148" t="s">
        <v>9369</v>
      </c>
      <c r="D3285" t="s">
        <v>9370</v>
      </c>
      <c r="E3285" s="148" t="s">
        <v>9371</v>
      </c>
      <c r="F3285" t="s">
        <v>9372</v>
      </c>
      <c r="G3285" s="148" t="s">
        <v>9373</v>
      </c>
      <c r="H3285" t="s">
        <v>9374</v>
      </c>
      <c r="I3285" t="s">
        <v>9375</v>
      </c>
      <c r="J3285" t="s">
        <v>9376</v>
      </c>
      <c r="K3285" s="148" t="s">
        <v>9937</v>
      </c>
      <c r="L3285" t="s">
        <v>9938</v>
      </c>
      <c r="M3285" t="s">
        <v>10813</v>
      </c>
      <c r="N3285" s="3"/>
      <c r="O3285" s="3"/>
      <c r="P3285" s="3"/>
      <c r="Q3285" s="3"/>
      <c r="R3285" s="3"/>
      <c r="S3285" s="3"/>
      <c r="T3285" t="s">
        <v>255</v>
      </c>
      <c r="U3285" t="s">
        <v>1045</v>
      </c>
      <c r="V3285" t="s">
        <v>10814</v>
      </c>
      <c r="W3285" s="45">
        <v>1</v>
      </c>
      <c r="X3285" s="45">
        <v>1</v>
      </c>
      <c r="Y3285" s="45">
        <v>0</v>
      </c>
      <c r="Z3285" s="45">
        <v>0</v>
      </c>
      <c r="AA3285" s="45">
        <v>0</v>
      </c>
      <c r="AB3285" s="45">
        <v>0</v>
      </c>
      <c r="AC3285" s="150">
        <v>0</v>
      </c>
      <c r="AD3285" s="150">
        <v>1</v>
      </c>
      <c r="AE3285" s="49">
        <f t="shared" si="155"/>
        <v>0.375</v>
      </c>
      <c r="AF3285" s="17"/>
      <c r="AG3285" s="17">
        <v>0</v>
      </c>
      <c r="AH3285" s="17">
        <v>0</v>
      </c>
      <c r="AI3285" s="44" t="s">
        <v>3926</v>
      </c>
      <c r="AJ3285" s="17">
        <v>0</v>
      </c>
      <c r="AK3285" s="153">
        <v>0</v>
      </c>
      <c r="AL3285" s="151">
        <v>0</v>
      </c>
      <c r="AM3285" s="17">
        <f t="shared" si="156"/>
        <v>0</v>
      </c>
      <c r="AN3285" s="18" t="s">
        <v>771</v>
      </c>
      <c r="AO3285" s="18" t="s">
        <v>773</v>
      </c>
      <c r="AP3285" t="s">
        <v>119</v>
      </c>
    </row>
    <row r="3286" spans="1:42" customFormat="1" hidden="1" x14ac:dyDescent="0.3">
      <c r="A3286" s="148" t="s">
        <v>8319</v>
      </c>
      <c r="B3286" t="s">
        <v>8320</v>
      </c>
      <c r="C3286" s="148" t="s">
        <v>9369</v>
      </c>
      <c r="D3286" t="s">
        <v>9370</v>
      </c>
      <c r="E3286" s="148" t="s">
        <v>9371</v>
      </c>
      <c r="F3286" t="s">
        <v>9372</v>
      </c>
      <c r="G3286" s="148" t="s">
        <v>9373</v>
      </c>
      <c r="H3286" t="s">
        <v>9374</v>
      </c>
      <c r="I3286" t="s">
        <v>9375</v>
      </c>
      <c r="J3286" t="s">
        <v>9376</v>
      </c>
      <c r="K3286" s="148" t="s">
        <v>9377</v>
      </c>
      <c r="L3286" t="s">
        <v>9378</v>
      </c>
      <c r="M3286" t="s">
        <v>10815</v>
      </c>
      <c r="N3286" s="3" t="s">
        <v>9365</v>
      </c>
      <c r="O3286" s="3">
        <v>1</v>
      </c>
      <c r="P3286" s="3">
        <v>1</v>
      </c>
      <c r="Q3286" s="3">
        <v>1</v>
      </c>
      <c r="R3286" s="3">
        <v>1</v>
      </c>
      <c r="S3286" s="3">
        <v>1</v>
      </c>
      <c r="T3286" t="s">
        <v>1536</v>
      </c>
      <c r="U3286" t="e">
        <v>#N/A</v>
      </c>
      <c r="V3286" t="s">
        <v>10816</v>
      </c>
      <c r="W3286" s="45">
        <v>0</v>
      </c>
      <c r="X3286" s="45">
        <v>0</v>
      </c>
      <c r="Y3286" s="45">
        <v>0</v>
      </c>
      <c r="Z3286" s="45">
        <v>1</v>
      </c>
      <c r="AA3286" s="45">
        <v>1</v>
      </c>
      <c r="AB3286" s="45">
        <v>0</v>
      </c>
      <c r="AC3286" s="150">
        <v>0</v>
      </c>
      <c r="AD3286" s="150">
        <v>1</v>
      </c>
      <c r="AE3286" s="49">
        <f t="shared" si="155"/>
        <v>0.375</v>
      </c>
      <c r="AF3286" s="44"/>
      <c r="AG3286" s="17">
        <v>0</v>
      </c>
      <c r="AH3286" s="44" t="s">
        <v>9383</v>
      </c>
      <c r="AI3286" s="44" t="s">
        <v>9383</v>
      </c>
      <c r="AJ3286" s="44" t="s">
        <v>10817</v>
      </c>
      <c r="AK3286" s="151"/>
      <c r="AL3286" s="151"/>
      <c r="AM3286" s="17">
        <f t="shared" si="156"/>
        <v>0</v>
      </c>
      <c r="AN3286" s="18" t="s">
        <v>771</v>
      </c>
      <c r="AO3286" s="18" t="s">
        <v>773</v>
      </c>
      <c r="AP3286" t="s">
        <v>119</v>
      </c>
    </row>
    <row r="3287" spans="1:42" customFormat="1" hidden="1" x14ac:dyDescent="0.3">
      <c r="A3287" s="148" t="s">
        <v>8319</v>
      </c>
      <c r="B3287" t="s">
        <v>8320</v>
      </c>
      <c r="C3287" s="148" t="s">
        <v>9369</v>
      </c>
      <c r="D3287" t="s">
        <v>9370</v>
      </c>
      <c r="E3287" s="148" t="s">
        <v>9371</v>
      </c>
      <c r="F3287" t="s">
        <v>9372</v>
      </c>
      <c r="G3287" s="148" t="s">
        <v>9373</v>
      </c>
      <c r="H3287" t="s">
        <v>9374</v>
      </c>
      <c r="I3287" s="148" t="s">
        <v>9391</v>
      </c>
      <c r="J3287" t="s">
        <v>9392</v>
      </c>
      <c r="K3287" s="148" t="s">
        <v>9393</v>
      </c>
      <c r="L3287" t="s">
        <v>9394</v>
      </c>
      <c r="N3287" s="3"/>
      <c r="O3287" s="3"/>
      <c r="P3287" s="3"/>
      <c r="Q3287" s="3"/>
      <c r="R3287" s="3"/>
      <c r="S3287" s="3"/>
      <c r="U3287" t="e">
        <v>#N/A</v>
      </c>
      <c r="V3287" t="s">
        <v>10818</v>
      </c>
      <c r="W3287" s="45">
        <v>1</v>
      </c>
      <c r="X3287" s="45">
        <v>0</v>
      </c>
      <c r="Y3287" s="45">
        <v>0</v>
      </c>
      <c r="Z3287" s="45">
        <v>1</v>
      </c>
      <c r="AA3287" s="45">
        <v>0</v>
      </c>
      <c r="AB3287" s="45">
        <v>0</v>
      </c>
      <c r="AC3287" s="150">
        <v>0</v>
      </c>
      <c r="AD3287" s="150">
        <v>1</v>
      </c>
      <c r="AE3287" s="49">
        <f t="shared" si="155"/>
        <v>0.375</v>
      </c>
      <c r="AF3287" s="17"/>
      <c r="AG3287" s="17">
        <v>0</v>
      </c>
      <c r="AH3287" s="17">
        <v>0</v>
      </c>
      <c r="AI3287" s="17">
        <v>0</v>
      </c>
      <c r="AJ3287" s="44" t="s">
        <v>10819</v>
      </c>
      <c r="AK3287" s="153">
        <v>0</v>
      </c>
      <c r="AL3287" s="154">
        <v>0</v>
      </c>
      <c r="AM3287" s="17">
        <f t="shared" si="156"/>
        <v>0</v>
      </c>
      <c r="AN3287" s="44" t="s">
        <v>723</v>
      </c>
      <c r="AO3287" s="18" t="s">
        <v>729</v>
      </c>
      <c r="AP3287" t="s">
        <v>10520</v>
      </c>
    </row>
    <row r="3288" spans="1:42" customFormat="1" hidden="1" x14ac:dyDescent="0.3">
      <c r="A3288" s="148" t="s">
        <v>8319</v>
      </c>
      <c r="B3288" t="s">
        <v>8320</v>
      </c>
      <c r="C3288" s="148" t="s">
        <v>9369</v>
      </c>
      <c r="D3288" t="s">
        <v>9370</v>
      </c>
      <c r="E3288" s="148" t="s">
        <v>9371</v>
      </c>
      <c r="F3288" t="s">
        <v>9372</v>
      </c>
      <c r="G3288" s="148" t="s">
        <v>9593</v>
      </c>
      <c r="H3288" t="s">
        <v>9594</v>
      </c>
      <c r="K3288" s="155" t="s">
        <v>10820</v>
      </c>
      <c r="L3288" t="s">
        <v>10821</v>
      </c>
      <c r="N3288" s="3"/>
      <c r="O3288" s="3"/>
      <c r="P3288" s="3"/>
      <c r="Q3288" s="3">
        <v>5</v>
      </c>
      <c r="R3288" s="3">
        <v>15</v>
      </c>
      <c r="S3288" s="3">
        <v>10</v>
      </c>
      <c r="T3288" t="s">
        <v>723</v>
      </c>
      <c r="U3288" t="s">
        <v>729</v>
      </c>
      <c r="V3288" t="s">
        <v>10822</v>
      </c>
      <c r="W3288" s="45">
        <v>1</v>
      </c>
      <c r="X3288" s="45">
        <v>0</v>
      </c>
      <c r="Y3288" s="45">
        <v>0</v>
      </c>
      <c r="Z3288" s="45">
        <v>1</v>
      </c>
      <c r="AA3288" s="45">
        <v>0</v>
      </c>
      <c r="AB3288" s="45">
        <v>0</v>
      </c>
      <c r="AC3288" s="150">
        <v>0</v>
      </c>
      <c r="AD3288" s="150">
        <v>1</v>
      </c>
      <c r="AE3288" s="49">
        <f t="shared" si="155"/>
        <v>0.375</v>
      </c>
      <c r="AF3288" s="17"/>
      <c r="AG3288" s="17">
        <v>0</v>
      </c>
      <c r="AH3288" s="17">
        <v>0</v>
      </c>
      <c r="AI3288" s="44">
        <v>0.3</v>
      </c>
      <c r="AJ3288" s="44">
        <v>0.2</v>
      </c>
      <c r="AK3288" s="151">
        <v>0</v>
      </c>
      <c r="AL3288" s="151">
        <v>0</v>
      </c>
      <c r="AM3288" s="17">
        <f t="shared" si="156"/>
        <v>0</v>
      </c>
      <c r="AN3288" t="s">
        <v>831</v>
      </c>
      <c r="AO3288" s="18" t="s">
        <v>834</v>
      </c>
      <c r="AP3288" t="s">
        <v>723</v>
      </c>
    </row>
    <row r="3289" spans="1:42" customFormat="1" hidden="1" x14ac:dyDescent="0.3">
      <c r="A3289" s="148" t="s">
        <v>8319</v>
      </c>
      <c r="B3289" t="s">
        <v>8320</v>
      </c>
      <c r="C3289" s="148" t="s">
        <v>9410</v>
      </c>
      <c r="D3289" t="s">
        <v>9411</v>
      </c>
      <c r="E3289" s="148" t="s">
        <v>9412</v>
      </c>
      <c r="F3289" t="s">
        <v>9413</v>
      </c>
      <c r="G3289" s="148" t="s">
        <v>9997</v>
      </c>
      <c r="H3289" t="s">
        <v>9998</v>
      </c>
      <c r="I3289" s="148" t="s">
        <v>10823</v>
      </c>
      <c r="J3289" t="s">
        <v>10824</v>
      </c>
      <c r="K3289" s="148" t="s">
        <v>10825</v>
      </c>
      <c r="L3289" t="s">
        <v>10826</v>
      </c>
      <c r="M3289" t="s">
        <v>10827</v>
      </c>
      <c r="N3289" s="3" t="s">
        <v>9365</v>
      </c>
      <c r="O3289" s="3">
        <v>45</v>
      </c>
      <c r="P3289" s="3">
        <v>50</v>
      </c>
      <c r="Q3289" s="3">
        <v>55</v>
      </c>
      <c r="R3289" s="3">
        <v>65</v>
      </c>
      <c r="S3289" s="3">
        <v>75</v>
      </c>
      <c r="T3289" t="s">
        <v>3643</v>
      </c>
      <c r="U3289" t="s">
        <v>3630</v>
      </c>
      <c r="V3289" t="s">
        <v>10828</v>
      </c>
      <c r="W3289" s="45">
        <v>1</v>
      </c>
      <c r="X3289" s="45">
        <v>0</v>
      </c>
      <c r="Y3289" s="45">
        <v>1</v>
      </c>
      <c r="Z3289" s="45">
        <v>0</v>
      </c>
      <c r="AA3289" s="45">
        <v>0</v>
      </c>
      <c r="AB3289" s="45">
        <v>0</v>
      </c>
      <c r="AC3289" s="150">
        <v>0</v>
      </c>
      <c r="AD3289" s="150">
        <v>1</v>
      </c>
      <c r="AE3289" s="49">
        <f t="shared" si="155"/>
        <v>0.375</v>
      </c>
      <c r="AF3289" s="44"/>
      <c r="AG3289" s="17">
        <v>0</v>
      </c>
      <c r="AH3289" s="44">
        <v>2</v>
      </c>
      <c r="AI3289" s="44">
        <v>2.1</v>
      </c>
      <c r="AJ3289" s="44">
        <v>2.15</v>
      </c>
      <c r="AK3289" s="151">
        <v>2.2000000000000002</v>
      </c>
      <c r="AL3289" s="151">
        <v>2.2000000000000002</v>
      </c>
      <c r="AM3289" s="17">
        <f t="shared" si="156"/>
        <v>4.4000000000000004</v>
      </c>
      <c r="AN3289" s="44" t="s">
        <v>9431</v>
      </c>
      <c r="AO3289" s="18" t="s">
        <v>3630</v>
      </c>
      <c r="AP3289" t="s">
        <v>10829</v>
      </c>
    </row>
    <row r="3290" spans="1:42" customFormat="1" hidden="1" x14ac:dyDescent="0.3">
      <c r="A3290" s="148" t="s">
        <v>8319</v>
      </c>
      <c r="B3290" t="s">
        <v>8320</v>
      </c>
      <c r="C3290" s="148" t="s">
        <v>9410</v>
      </c>
      <c r="D3290" t="s">
        <v>9411</v>
      </c>
      <c r="E3290" s="148" t="s">
        <v>9412</v>
      </c>
      <c r="F3290" t="s">
        <v>9413</v>
      </c>
      <c r="G3290" s="148" t="s">
        <v>9997</v>
      </c>
      <c r="H3290" t="s">
        <v>9998</v>
      </c>
      <c r="I3290" s="148" t="s">
        <v>10823</v>
      </c>
      <c r="J3290" t="s">
        <v>10824</v>
      </c>
      <c r="K3290" s="148" t="s">
        <v>10825</v>
      </c>
      <c r="L3290" t="s">
        <v>10826</v>
      </c>
      <c r="M3290" t="s">
        <v>10830</v>
      </c>
      <c r="N3290" s="3"/>
      <c r="O3290" s="3">
        <v>300</v>
      </c>
      <c r="P3290" s="3">
        <v>300</v>
      </c>
      <c r="Q3290" s="3">
        <v>300</v>
      </c>
      <c r="R3290" s="3">
        <v>300</v>
      </c>
      <c r="S3290" s="3">
        <v>300</v>
      </c>
      <c r="T3290" t="s">
        <v>3643</v>
      </c>
      <c r="U3290" t="s">
        <v>3630</v>
      </c>
      <c r="V3290" t="s">
        <v>10831</v>
      </c>
      <c r="W3290" s="45">
        <v>1</v>
      </c>
      <c r="X3290" s="45">
        <v>0</v>
      </c>
      <c r="Y3290" s="45">
        <v>0</v>
      </c>
      <c r="Z3290" s="45">
        <v>1</v>
      </c>
      <c r="AA3290" s="45">
        <v>0</v>
      </c>
      <c r="AB3290" s="45">
        <v>0</v>
      </c>
      <c r="AC3290" s="150">
        <v>0</v>
      </c>
      <c r="AD3290" s="150">
        <v>1</v>
      </c>
      <c r="AE3290" s="49">
        <f t="shared" ref="AE3290:AE3353" si="157">SUM(W3290:AD3290)/8</f>
        <v>0.375</v>
      </c>
      <c r="AF3290" s="17"/>
      <c r="AG3290" s="17">
        <v>0</v>
      </c>
      <c r="AH3290" s="17">
        <v>0</v>
      </c>
      <c r="AI3290" s="17">
        <v>0</v>
      </c>
      <c r="AJ3290" s="17">
        <v>0</v>
      </c>
      <c r="AK3290" s="153">
        <v>2</v>
      </c>
      <c r="AL3290" s="154">
        <v>2</v>
      </c>
      <c r="AM3290" s="17">
        <f t="shared" ref="AM3290:AM3353" si="158">SUM(AK3290:AL3290)</f>
        <v>4</v>
      </c>
      <c r="AN3290" t="s">
        <v>3643</v>
      </c>
      <c r="AO3290" s="18" t="s">
        <v>3630</v>
      </c>
      <c r="AP3290" t="s">
        <v>10832</v>
      </c>
    </row>
    <row r="3291" spans="1:42" customFormat="1" hidden="1" x14ac:dyDescent="0.3">
      <c r="A3291" s="148" t="s">
        <v>8319</v>
      </c>
      <c r="B3291" t="s">
        <v>8320</v>
      </c>
      <c r="C3291" s="148" t="s">
        <v>9410</v>
      </c>
      <c r="D3291" t="s">
        <v>9411</v>
      </c>
      <c r="E3291" s="148" t="s">
        <v>9412</v>
      </c>
      <c r="F3291" t="s">
        <v>9413</v>
      </c>
      <c r="G3291" s="148" t="s">
        <v>9471</v>
      </c>
      <c r="H3291" t="s">
        <v>9472</v>
      </c>
      <c r="K3291" s="148" t="s">
        <v>9473</v>
      </c>
      <c r="L3291" t="s">
        <v>9474</v>
      </c>
      <c r="M3291" t="s">
        <v>10833</v>
      </c>
      <c r="N3291" s="3" t="s">
        <v>10834</v>
      </c>
      <c r="O3291" s="3">
        <v>1</v>
      </c>
      <c r="P3291" s="3">
        <v>1</v>
      </c>
      <c r="Q3291" s="3">
        <v>1</v>
      </c>
      <c r="R3291" s="3">
        <v>1</v>
      </c>
      <c r="S3291" s="3">
        <v>1</v>
      </c>
      <c r="T3291" t="s">
        <v>3643</v>
      </c>
      <c r="U3291" t="s">
        <v>3630</v>
      </c>
      <c r="W3291" s="45">
        <v>1</v>
      </c>
      <c r="X3291" s="45">
        <v>0</v>
      </c>
      <c r="Y3291" s="45">
        <v>0</v>
      </c>
      <c r="Z3291" s="45">
        <v>1</v>
      </c>
      <c r="AA3291" s="45">
        <v>0</v>
      </c>
      <c r="AB3291" s="45">
        <v>0</v>
      </c>
      <c r="AC3291" s="150">
        <v>0</v>
      </c>
      <c r="AD3291" s="150">
        <v>1</v>
      </c>
      <c r="AE3291" s="49">
        <f t="shared" si="157"/>
        <v>0.375</v>
      </c>
      <c r="AF3291" s="17"/>
      <c r="AG3291" s="17">
        <v>0</v>
      </c>
      <c r="AH3291" s="17"/>
      <c r="AI3291" s="17"/>
      <c r="AJ3291" s="17"/>
      <c r="AK3291" s="153"/>
      <c r="AL3291" s="154"/>
      <c r="AM3291" s="17">
        <f t="shared" si="158"/>
        <v>0</v>
      </c>
      <c r="AO3291" s="18"/>
    </row>
    <row r="3292" spans="1:42" customFormat="1" hidden="1" x14ac:dyDescent="0.3">
      <c r="A3292" s="148" t="s">
        <v>8319</v>
      </c>
      <c r="B3292" t="s">
        <v>8320</v>
      </c>
      <c r="C3292" s="148" t="s">
        <v>9410</v>
      </c>
      <c r="D3292" t="s">
        <v>9411</v>
      </c>
      <c r="E3292" s="148" t="s">
        <v>9412</v>
      </c>
      <c r="F3292" t="s">
        <v>9413</v>
      </c>
      <c r="G3292" s="148" t="s">
        <v>9820</v>
      </c>
      <c r="H3292" t="s">
        <v>9821</v>
      </c>
      <c r="K3292" s="155" t="s">
        <v>10835</v>
      </c>
      <c r="L3292" t="s">
        <v>10836</v>
      </c>
      <c r="N3292" s="3"/>
      <c r="O3292" s="3"/>
      <c r="P3292" s="3"/>
      <c r="Q3292" s="3"/>
      <c r="R3292" s="3"/>
      <c r="S3292" s="3"/>
      <c r="U3292" t="e">
        <v>#N/A</v>
      </c>
      <c r="V3292" t="s">
        <v>10837</v>
      </c>
      <c r="W3292" s="45">
        <v>1</v>
      </c>
      <c r="X3292" s="45">
        <v>0</v>
      </c>
      <c r="Y3292" s="45">
        <v>0</v>
      </c>
      <c r="Z3292" s="45">
        <v>1</v>
      </c>
      <c r="AA3292" s="45">
        <v>0</v>
      </c>
      <c r="AB3292" s="45">
        <v>0</v>
      </c>
      <c r="AC3292" s="150">
        <v>0</v>
      </c>
      <c r="AD3292" s="150">
        <v>1</v>
      </c>
      <c r="AE3292" s="49">
        <f t="shared" si="157"/>
        <v>0.375</v>
      </c>
      <c r="AF3292" s="44"/>
      <c r="AG3292" s="17">
        <v>0</v>
      </c>
      <c r="AH3292" s="44">
        <v>0.4</v>
      </c>
      <c r="AI3292" s="44">
        <v>0.4</v>
      </c>
      <c r="AJ3292" s="44">
        <v>0.4</v>
      </c>
      <c r="AK3292" s="151">
        <v>0.4</v>
      </c>
      <c r="AL3292" s="151">
        <v>0.4</v>
      </c>
      <c r="AM3292" s="17">
        <f t="shared" si="158"/>
        <v>0.8</v>
      </c>
      <c r="AN3292" t="s">
        <v>3643</v>
      </c>
      <c r="AO3292" s="18" t="s">
        <v>3630</v>
      </c>
      <c r="AP3292" t="s">
        <v>10838</v>
      </c>
    </row>
    <row r="3293" spans="1:42" customFormat="1" hidden="1" x14ac:dyDescent="0.3">
      <c r="A3293" s="148" t="s">
        <v>8319</v>
      </c>
      <c r="B3293" t="s">
        <v>8320</v>
      </c>
      <c r="C3293" s="148" t="s">
        <v>9410</v>
      </c>
      <c r="D3293" t="s">
        <v>9411</v>
      </c>
      <c r="E3293" s="148" t="s">
        <v>9412</v>
      </c>
      <c r="F3293" t="s">
        <v>9413</v>
      </c>
      <c r="G3293" s="148" t="s">
        <v>9820</v>
      </c>
      <c r="H3293" t="s">
        <v>9821</v>
      </c>
      <c r="K3293" s="155" t="s">
        <v>10021</v>
      </c>
      <c r="L3293" t="s">
        <v>10022</v>
      </c>
      <c r="N3293" s="3"/>
      <c r="O3293" s="3"/>
      <c r="P3293" s="3"/>
      <c r="Q3293" s="3"/>
      <c r="R3293" s="3"/>
      <c r="S3293" s="3"/>
      <c r="U3293" t="e">
        <v>#N/A</v>
      </c>
      <c r="V3293" t="s">
        <v>10839</v>
      </c>
      <c r="W3293" s="45">
        <v>1</v>
      </c>
      <c r="X3293" s="45">
        <v>0</v>
      </c>
      <c r="Y3293" s="45">
        <v>0</v>
      </c>
      <c r="Z3293" s="45">
        <v>1</v>
      </c>
      <c r="AA3293" s="45">
        <v>1</v>
      </c>
      <c r="AB3293" s="45">
        <v>0</v>
      </c>
      <c r="AC3293" s="150">
        <v>0</v>
      </c>
      <c r="AD3293" s="150">
        <v>0</v>
      </c>
      <c r="AE3293" s="49">
        <f t="shared" si="157"/>
        <v>0.375</v>
      </c>
      <c r="AF3293" s="17"/>
      <c r="AG3293" s="17">
        <v>0</v>
      </c>
      <c r="AH3293" s="17">
        <v>0</v>
      </c>
      <c r="AI3293" s="17">
        <v>0</v>
      </c>
      <c r="AJ3293" s="17">
        <v>0</v>
      </c>
      <c r="AK3293" s="153">
        <v>0</v>
      </c>
      <c r="AL3293" s="154">
        <v>0</v>
      </c>
      <c r="AM3293" s="17">
        <f t="shared" si="158"/>
        <v>0</v>
      </c>
      <c r="AN3293" t="s">
        <v>3643</v>
      </c>
      <c r="AO3293" s="18" t="s">
        <v>3630</v>
      </c>
      <c r="AP3293" t="s">
        <v>10840</v>
      </c>
    </row>
    <row r="3294" spans="1:42" customFormat="1" hidden="1" x14ac:dyDescent="0.3">
      <c r="A3294" s="148" t="s">
        <v>8319</v>
      </c>
      <c r="B3294" t="s">
        <v>8320</v>
      </c>
      <c r="C3294" s="148" t="s">
        <v>9410</v>
      </c>
      <c r="D3294" t="s">
        <v>9411</v>
      </c>
      <c r="E3294" s="148" t="s">
        <v>9412</v>
      </c>
      <c r="F3294" t="s">
        <v>9413</v>
      </c>
      <c r="G3294" s="148" t="s">
        <v>9820</v>
      </c>
      <c r="H3294" t="s">
        <v>9821</v>
      </c>
      <c r="K3294" s="155" t="s">
        <v>10021</v>
      </c>
      <c r="L3294" t="s">
        <v>10022</v>
      </c>
      <c r="N3294" s="3"/>
      <c r="O3294" s="3"/>
      <c r="P3294" s="3"/>
      <c r="Q3294" s="3"/>
      <c r="R3294" s="3"/>
      <c r="S3294" s="3"/>
      <c r="U3294" t="e">
        <v>#N/A</v>
      </c>
      <c r="V3294" t="s">
        <v>10841</v>
      </c>
      <c r="W3294" s="45">
        <v>1</v>
      </c>
      <c r="X3294" s="45">
        <v>0</v>
      </c>
      <c r="Y3294" s="45">
        <v>0</v>
      </c>
      <c r="Z3294" s="45">
        <v>1</v>
      </c>
      <c r="AA3294" s="45">
        <v>0</v>
      </c>
      <c r="AB3294" s="45">
        <v>0</v>
      </c>
      <c r="AC3294" s="150">
        <v>0</v>
      </c>
      <c r="AD3294" s="150">
        <v>1</v>
      </c>
      <c r="AE3294" s="49">
        <f t="shared" si="157"/>
        <v>0.375</v>
      </c>
      <c r="AF3294" s="17"/>
      <c r="AG3294" s="17">
        <v>0</v>
      </c>
      <c r="AH3294" s="17">
        <v>0</v>
      </c>
      <c r="AI3294" s="17">
        <v>0</v>
      </c>
      <c r="AJ3294" s="17">
        <v>0</v>
      </c>
      <c r="AK3294" s="153">
        <v>0</v>
      </c>
      <c r="AL3294" s="154">
        <v>0</v>
      </c>
      <c r="AM3294" s="17">
        <f t="shared" si="158"/>
        <v>0</v>
      </c>
      <c r="AN3294" t="s">
        <v>3643</v>
      </c>
      <c r="AO3294" s="18" t="s">
        <v>3630</v>
      </c>
      <c r="AP3294" t="s">
        <v>10842</v>
      </c>
    </row>
    <row r="3295" spans="1:42" customFormat="1" hidden="1" x14ac:dyDescent="0.3">
      <c r="A3295" s="148" t="s">
        <v>8319</v>
      </c>
      <c r="B3295" t="s">
        <v>8320</v>
      </c>
      <c r="C3295" s="148" t="s">
        <v>9410</v>
      </c>
      <c r="D3295" t="s">
        <v>9411</v>
      </c>
      <c r="E3295" s="148" t="s">
        <v>9412</v>
      </c>
      <c r="F3295" t="s">
        <v>9413</v>
      </c>
      <c r="G3295" s="148" t="s">
        <v>9820</v>
      </c>
      <c r="H3295" t="s">
        <v>9821</v>
      </c>
      <c r="K3295" s="155" t="s">
        <v>10699</v>
      </c>
      <c r="L3295" t="s">
        <v>10700</v>
      </c>
      <c r="N3295" s="3"/>
      <c r="O3295" s="3"/>
      <c r="P3295" s="3"/>
      <c r="Q3295" s="3"/>
      <c r="R3295" s="3"/>
      <c r="S3295" s="3"/>
      <c r="U3295" t="e">
        <v>#N/A</v>
      </c>
      <c r="V3295" t="s">
        <v>10843</v>
      </c>
      <c r="W3295" s="45">
        <v>1</v>
      </c>
      <c r="X3295" s="45">
        <v>0</v>
      </c>
      <c r="Y3295" s="45">
        <v>0</v>
      </c>
      <c r="Z3295" s="45">
        <v>1</v>
      </c>
      <c r="AA3295" s="45">
        <v>0</v>
      </c>
      <c r="AB3295" s="45">
        <v>0</v>
      </c>
      <c r="AC3295" s="150">
        <v>0</v>
      </c>
      <c r="AD3295" s="150">
        <v>1</v>
      </c>
      <c r="AE3295" s="49">
        <f t="shared" si="157"/>
        <v>0.375</v>
      </c>
      <c r="AF3295" s="17"/>
      <c r="AG3295" s="17">
        <v>0</v>
      </c>
      <c r="AH3295" s="17">
        <v>0</v>
      </c>
      <c r="AI3295" s="17">
        <v>0</v>
      </c>
      <c r="AJ3295" s="17">
        <v>0</v>
      </c>
      <c r="AK3295" s="153">
        <v>1</v>
      </c>
      <c r="AL3295" s="154">
        <v>1</v>
      </c>
      <c r="AM3295" s="17">
        <f t="shared" si="158"/>
        <v>2</v>
      </c>
      <c r="AN3295" t="s">
        <v>3643</v>
      </c>
      <c r="AO3295" s="18" t="s">
        <v>3630</v>
      </c>
      <c r="AP3295" t="s">
        <v>10844</v>
      </c>
    </row>
    <row r="3296" spans="1:42" customFormat="1" hidden="1" x14ac:dyDescent="0.3">
      <c r="A3296" s="148" t="s">
        <v>8319</v>
      </c>
      <c r="B3296" t="s">
        <v>8320</v>
      </c>
      <c r="C3296" s="148" t="s">
        <v>9496</v>
      </c>
      <c r="D3296" t="s">
        <v>9497</v>
      </c>
      <c r="E3296" s="148" t="s">
        <v>9498</v>
      </c>
      <c r="F3296" t="s">
        <v>9499</v>
      </c>
      <c r="G3296" s="148" t="s">
        <v>9500</v>
      </c>
      <c r="H3296" t="s">
        <v>9501</v>
      </c>
      <c r="K3296" s="148" t="s">
        <v>10845</v>
      </c>
      <c r="L3296" t="s">
        <v>10846</v>
      </c>
      <c r="M3296" t="s">
        <v>10847</v>
      </c>
      <c r="N3296" s="3">
        <v>0</v>
      </c>
      <c r="O3296" s="3"/>
      <c r="P3296" s="3"/>
      <c r="Q3296" s="3"/>
      <c r="R3296" s="3">
        <v>1666</v>
      </c>
      <c r="S3296" s="3">
        <v>2237</v>
      </c>
      <c r="T3296" t="s">
        <v>771</v>
      </c>
      <c r="U3296" t="s">
        <v>773</v>
      </c>
      <c r="V3296" t="s">
        <v>10848</v>
      </c>
      <c r="W3296" s="45">
        <v>0</v>
      </c>
      <c r="X3296" s="45">
        <v>0</v>
      </c>
      <c r="Y3296" s="45">
        <v>0</v>
      </c>
      <c r="Z3296" s="45">
        <v>1</v>
      </c>
      <c r="AA3296" s="45">
        <v>1</v>
      </c>
      <c r="AB3296" s="45">
        <v>0</v>
      </c>
      <c r="AC3296" s="150">
        <v>0</v>
      </c>
      <c r="AD3296" s="150">
        <v>1</v>
      </c>
      <c r="AE3296" s="49">
        <f t="shared" si="157"/>
        <v>0.375</v>
      </c>
      <c r="AF3296" s="44"/>
      <c r="AG3296" s="17">
        <v>0</v>
      </c>
      <c r="AH3296" s="44">
        <v>0</v>
      </c>
      <c r="AI3296" s="44">
        <v>0</v>
      </c>
      <c r="AJ3296" s="44">
        <v>0</v>
      </c>
      <c r="AK3296" s="151">
        <v>0</v>
      </c>
      <c r="AL3296" s="151">
        <v>0</v>
      </c>
      <c r="AM3296" s="17">
        <f t="shared" si="158"/>
        <v>0</v>
      </c>
      <c r="AN3296" s="18" t="s">
        <v>771</v>
      </c>
      <c r="AO3296" s="18" t="s">
        <v>773</v>
      </c>
      <c r="AP3296" t="s">
        <v>255</v>
      </c>
    </row>
    <row r="3297" spans="1:42" customFormat="1" hidden="1" x14ac:dyDescent="0.3">
      <c r="A3297" s="148" t="s">
        <v>8319</v>
      </c>
      <c r="B3297" t="s">
        <v>8320</v>
      </c>
      <c r="C3297" s="148" t="s">
        <v>9496</v>
      </c>
      <c r="D3297" t="s">
        <v>9497</v>
      </c>
      <c r="E3297" s="148" t="s">
        <v>9498</v>
      </c>
      <c r="F3297" t="s">
        <v>9499</v>
      </c>
      <c r="G3297" s="148" t="s">
        <v>9500</v>
      </c>
      <c r="H3297" t="s">
        <v>9501</v>
      </c>
      <c r="K3297" s="148" t="s">
        <v>9840</v>
      </c>
      <c r="L3297" t="s">
        <v>9841</v>
      </c>
      <c r="M3297" t="s">
        <v>10849</v>
      </c>
      <c r="N3297" s="3">
        <v>0</v>
      </c>
      <c r="O3297" s="3">
        <v>0</v>
      </c>
      <c r="P3297" s="3">
        <v>1</v>
      </c>
      <c r="Q3297" s="3">
        <v>1</v>
      </c>
      <c r="R3297" s="3">
        <v>1</v>
      </c>
      <c r="S3297" s="3">
        <v>1</v>
      </c>
      <c r="T3297" t="s">
        <v>1536</v>
      </c>
      <c r="U3297" t="e">
        <v>#N/A</v>
      </c>
      <c r="V3297" t="s">
        <v>10850</v>
      </c>
      <c r="W3297" s="45">
        <v>0</v>
      </c>
      <c r="X3297" s="45">
        <v>0</v>
      </c>
      <c r="Y3297" s="45">
        <v>0</v>
      </c>
      <c r="Z3297" s="45">
        <v>1</v>
      </c>
      <c r="AA3297" s="45">
        <v>1</v>
      </c>
      <c r="AB3297" s="45">
        <v>0</v>
      </c>
      <c r="AC3297" s="150">
        <v>0</v>
      </c>
      <c r="AD3297" s="150">
        <v>1</v>
      </c>
      <c r="AE3297" s="49">
        <f t="shared" si="157"/>
        <v>0.375</v>
      </c>
      <c r="AF3297" s="44"/>
      <c r="AG3297" s="17">
        <v>0</v>
      </c>
      <c r="AH3297" s="44">
        <v>0</v>
      </c>
      <c r="AI3297" s="44">
        <v>0</v>
      </c>
      <c r="AJ3297" s="44">
        <v>0</v>
      </c>
      <c r="AK3297" s="151">
        <v>0</v>
      </c>
      <c r="AL3297" s="151">
        <v>0</v>
      </c>
      <c r="AM3297" s="17">
        <f t="shared" si="158"/>
        <v>0</v>
      </c>
      <c r="AN3297" s="18" t="s">
        <v>771</v>
      </c>
      <c r="AO3297" s="18" t="s">
        <v>773</v>
      </c>
      <c r="AP3297" t="s">
        <v>10851</v>
      </c>
    </row>
    <row r="3298" spans="1:42" customFormat="1" hidden="1" x14ac:dyDescent="0.3">
      <c r="A3298" s="148" t="s">
        <v>8319</v>
      </c>
      <c r="B3298" t="s">
        <v>8320</v>
      </c>
      <c r="C3298" s="148" t="s">
        <v>9496</v>
      </c>
      <c r="D3298" t="s">
        <v>9497</v>
      </c>
      <c r="E3298" s="148" t="s">
        <v>9498</v>
      </c>
      <c r="F3298" t="s">
        <v>9499</v>
      </c>
      <c r="G3298" s="148" t="s">
        <v>9500</v>
      </c>
      <c r="H3298" t="s">
        <v>9501</v>
      </c>
      <c r="K3298" s="148" t="s">
        <v>10852</v>
      </c>
      <c r="L3298" t="s">
        <v>10853</v>
      </c>
      <c r="M3298" t="s">
        <v>10854</v>
      </c>
      <c r="N3298" s="3">
        <v>1</v>
      </c>
      <c r="O3298" s="3">
        <v>1</v>
      </c>
      <c r="P3298" s="3"/>
      <c r="Q3298" s="3"/>
      <c r="R3298" s="3"/>
      <c r="S3298" s="3"/>
      <c r="T3298" t="s">
        <v>10855</v>
      </c>
      <c r="U3298" t="e">
        <v>#N/A</v>
      </c>
      <c r="V3298" t="s">
        <v>10856</v>
      </c>
      <c r="W3298" s="45">
        <v>0</v>
      </c>
      <c r="X3298" s="45">
        <v>0</v>
      </c>
      <c r="Y3298" s="45">
        <v>0</v>
      </c>
      <c r="Z3298" s="45">
        <v>1</v>
      </c>
      <c r="AA3298" s="45">
        <v>1</v>
      </c>
      <c r="AB3298" s="45">
        <v>0</v>
      </c>
      <c r="AC3298" s="150">
        <v>0</v>
      </c>
      <c r="AD3298" s="150">
        <v>1</v>
      </c>
      <c r="AE3298" s="49">
        <f t="shared" si="157"/>
        <v>0.375</v>
      </c>
      <c r="AF3298" s="44"/>
      <c r="AG3298" s="17">
        <v>0</v>
      </c>
      <c r="AH3298" s="44">
        <v>0</v>
      </c>
      <c r="AI3298" s="44">
        <v>0</v>
      </c>
      <c r="AJ3298" s="44">
        <v>0</v>
      </c>
      <c r="AK3298" s="151">
        <v>0</v>
      </c>
      <c r="AL3298" s="151">
        <v>0</v>
      </c>
      <c r="AM3298" s="17">
        <f t="shared" si="158"/>
        <v>0</v>
      </c>
      <c r="AN3298" s="18" t="s">
        <v>771</v>
      </c>
      <c r="AO3298" s="18" t="s">
        <v>773</v>
      </c>
      <c r="AP3298" t="s">
        <v>10725</v>
      </c>
    </row>
    <row r="3299" spans="1:42" customFormat="1" hidden="1" x14ac:dyDescent="0.3">
      <c r="A3299" s="148" t="s">
        <v>8319</v>
      </c>
      <c r="B3299" t="s">
        <v>8320</v>
      </c>
      <c r="C3299" s="148" t="s">
        <v>9496</v>
      </c>
      <c r="D3299" t="s">
        <v>9497</v>
      </c>
      <c r="E3299" s="148" t="s">
        <v>9498</v>
      </c>
      <c r="F3299" t="s">
        <v>9499</v>
      </c>
      <c r="G3299" s="148" t="s">
        <v>9500</v>
      </c>
      <c r="H3299" t="s">
        <v>9501</v>
      </c>
      <c r="K3299" s="148" t="s">
        <v>10857</v>
      </c>
      <c r="L3299" t="s">
        <v>10858</v>
      </c>
      <c r="M3299" t="s">
        <v>10859</v>
      </c>
      <c r="N3299" s="3">
        <v>7</v>
      </c>
      <c r="O3299" s="3">
        <v>5</v>
      </c>
      <c r="P3299" s="3">
        <v>5</v>
      </c>
      <c r="Q3299" s="3">
        <v>7</v>
      </c>
      <c r="R3299" s="3">
        <v>2</v>
      </c>
      <c r="S3299" s="3">
        <v>1</v>
      </c>
      <c r="T3299" t="s">
        <v>1536</v>
      </c>
      <c r="U3299" t="e">
        <v>#N/A</v>
      </c>
      <c r="V3299" t="s">
        <v>10860</v>
      </c>
      <c r="W3299" s="45">
        <v>0</v>
      </c>
      <c r="X3299" s="45">
        <v>0</v>
      </c>
      <c r="Y3299" s="45">
        <v>0</v>
      </c>
      <c r="Z3299" s="45">
        <v>1</v>
      </c>
      <c r="AA3299" s="45">
        <v>1</v>
      </c>
      <c r="AB3299" s="45">
        <v>0</v>
      </c>
      <c r="AC3299" s="150">
        <v>0</v>
      </c>
      <c r="AD3299" s="150">
        <v>1</v>
      </c>
      <c r="AE3299" s="49">
        <f t="shared" si="157"/>
        <v>0.375</v>
      </c>
      <c r="AF3299" s="44"/>
      <c r="AG3299" s="17">
        <v>0</v>
      </c>
      <c r="AH3299" s="44">
        <v>0</v>
      </c>
      <c r="AI3299" s="44">
        <v>0</v>
      </c>
      <c r="AJ3299" s="44">
        <v>0</v>
      </c>
      <c r="AK3299" s="151">
        <v>0.15</v>
      </c>
      <c r="AL3299" s="151">
        <v>0.15</v>
      </c>
      <c r="AM3299" s="17">
        <f t="shared" si="158"/>
        <v>0.3</v>
      </c>
      <c r="AN3299" s="18" t="s">
        <v>771</v>
      </c>
      <c r="AO3299" s="18" t="s">
        <v>773</v>
      </c>
      <c r="AP3299" t="s">
        <v>10732</v>
      </c>
    </row>
    <row r="3300" spans="1:42" customFormat="1" hidden="1" x14ac:dyDescent="0.3">
      <c r="A3300" s="148" t="s">
        <v>8319</v>
      </c>
      <c r="B3300" t="s">
        <v>8320</v>
      </c>
      <c r="C3300" s="148" t="s">
        <v>9496</v>
      </c>
      <c r="D3300" t="s">
        <v>9497</v>
      </c>
      <c r="E3300" s="148" t="s">
        <v>9498</v>
      </c>
      <c r="F3300" t="s">
        <v>9499</v>
      </c>
      <c r="G3300" s="148" t="s">
        <v>10049</v>
      </c>
      <c r="H3300" t="s">
        <v>10050</v>
      </c>
      <c r="K3300" s="148" t="s">
        <v>10051</v>
      </c>
      <c r="L3300" t="s">
        <v>10052</v>
      </c>
      <c r="M3300" t="s">
        <v>10861</v>
      </c>
      <c r="N3300" s="3">
        <v>0</v>
      </c>
      <c r="O3300" s="3">
        <v>1</v>
      </c>
      <c r="P3300" s="3">
        <v>0</v>
      </c>
      <c r="Q3300" s="3">
        <v>0</v>
      </c>
      <c r="R3300" s="3">
        <v>0</v>
      </c>
      <c r="S3300" s="3">
        <v>0</v>
      </c>
      <c r="T3300" t="s">
        <v>1563</v>
      </c>
      <c r="U3300" t="s">
        <v>1565</v>
      </c>
      <c r="V3300" t="s">
        <v>10862</v>
      </c>
      <c r="W3300" s="45">
        <v>1</v>
      </c>
      <c r="X3300" s="45">
        <v>0</v>
      </c>
      <c r="Y3300" s="45">
        <v>0</v>
      </c>
      <c r="Z3300" s="45">
        <v>1</v>
      </c>
      <c r="AA3300" s="45">
        <v>1</v>
      </c>
      <c r="AB3300" s="45">
        <v>0</v>
      </c>
      <c r="AC3300" s="150">
        <v>0</v>
      </c>
      <c r="AD3300" s="150">
        <v>1</v>
      </c>
      <c r="AE3300" s="49">
        <f t="shared" si="157"/>
        <v>0.5</v>
      </c>
      <c r="AF3300" s="44"/>
      <c r="AG3300" s="17">
        <v>0</v>
      </c>
      <c r="AH3300" s="44">
        <v>0</v>
      </c>
      <c r="AI3300" s="44">
        <v>0</v>
      </c>
      <c r="AJ3300" s="44">
        <v>0</v>
      </c>
      <c r="AK3300" s="151">
        <v>0.2</v>
      </c>
      <c r="AL3300" s="151">
        <v>0.3</v>
      </c>
      <c r="AM3300" s="17">
        <f t="shared" si="158"/>
        <v>0.5</v>
      </c>
      <c r="AN3300" t="s">
        <v>1563</v>
      </c>
      <c r="AO3300" s="18" t="s">
        <v>1565</v>
      </c>
      <c r="AP3300" t="s">
        <v>5698</v>
      </c>
    </row>
    <row r="3301" spans="1:42" customFormat="1" hidden="1" x14ac:dyDescent="0.3">
      <c r="A3301" s="148" t="s">
        <v>8319</v>
      </c>
      <c r="B3301" t="s">
        <v>8320</v>
      </c>
      <c r="C3301" s="148" t="s">
        <v>9496</v>
      </c>
      <c r="D3301" t="s">
        <v>9497</v>
      </c>
      <c r="E3301" s="148" t="s">
        <v>9498</v>
      </c>
      <c r="F3301" t="s">
        <v>9499</v>
      </c>
      <c r="G3301" s="148" t="s">
        <v>10049</v>
      </c>
      <c r="H3301" t="s">
        <v>10050</v>
      </c>
      <c r="K3301" s="148" t="s">
        <v>10863</v>
      </c>
      <c r="L3301" t="s">
        <v>10864</v>
      </c>
      <c r="M3301" t="s">
        <v>10865</v>
      </c>
      <c r="N3301" s="3">
        <v>0</v>
      </c>
      <c r="O3301" s="3">
        <v>1</v>
      </c>
      <c r="P3301" s="3">
        <v>1</v>
      </c>
      <c r="Q3301" s="3">
        <v>1</v>
      </c>
      <c r="R3301" s="3">
        <v>1</v>
      </c>
      <c r="S3301" s="3">
        <v>1</v>
      </c>
      <c r="T3301" t="s">
        <v>1563</v>
      </c>
      <c r="U3301" t="s">
        <v>1565</v>
      </c>
      <c r="V3301" t="s">
        <v>10866</v>
      </c>
      <c r="W3301" s="45">
        <v>1</v>
      </c>
      <c r="X3301" s="45">
        <v>1</v>
      </c>
      <c r="Y3301" s="45">
        <v>0</v>
      </c>
      <c r="Z3301" s="45">
        <v>1</v>
      </c>
      <c r="AA3301" s="45">
        <v>1</v>
      </c>
      <c r="AB3301" s="45">
        <v>0</v>
      </c>
      <c r="AC3301" s="150">
        <v>0</v>
      </c>
      <c r="AD3301" s="150">
        <v>1</v>
      </c>
      <c r="AE3301" s="49">
        <f t="shared" si="157"/>
        <v>0.625</v>
      </c>
      <c r="AF3301" s="44"/>
      <c r="AG3301" s="17">
        <v>0</v>
      </c>
      <c r="AH3301" s="44">
        <v>0</v>
      </c>
      <c r="AI3301" s="44">
        <v>0</v>
      </c>
      <c r="AJ3301" s="44">
        <v>0</v>
      </c>
      <c r="AK3301" s="151">
        <v>0.41</v>
      </c>
      <c r="AL3301" s="151">
        <v>0.41</v>
      </c>
      <c r="AM3301" s="17">
        <f t="shared" si="158"/>
        <v>0.82</v>
      </c>
      <c r="AN3301" t="s">
        <v>1563</v>
      </c>
      <c r="AO3301" s="18" t="s">
        <v>1565</v>
      </c>
      <c r="AP3301" t="s">
        <v>5698</v>
      </c>
    </row>
    <row r="3302" spans="1:42" customFormat="1" hidden="1" x14ac:dyDescent="0.3">
      <c r="A3302" s="148" t="s">
        <v>8319</v>
      </c>
      <c r="B3302" t="s">
        <v>8320</v>
      </c>
      <c r="C3302" s="148" t="s">
        <v>9344</v>
      </c>
      <c r="D3302" t="s">
        <v>9345</v>
      </c>
      <c r="E3302" s="148" t="s">
        <v>10414</v>
      </c>
      <c r="F3302" t="s">
        <v>10415</v>
      </c>
      <c r="G3302" s="148" t="s">
        <v>10429</v>
      </c>
      <c r="H3302" t="s">
        <v>10430</v>
      </c>
      <c r="K3302" s="148" t="s">
        <v>10867</v>
      </c>
      <c r="L3302" t="s">
        <v>10868</v>
      </c>
      <c r="M3302" t="s">
        <v>10869</v>
      </c>
      <c r="N3302" s="3" t="s">
        <v>119</v>
      </c>
      <c r="O3302" s="3">
        <v>70</v>
      </c>
      <c r="P3302" s="3">
        <v>77</v>
      </c>
      <c r="Q3302" s="3">
        <v>85</v>
      </c>
      <c r="R3302" s="3">
        <v>90</v>
      </c>
      <c r="S3302" s="3">
        <v>100</v>
      </c>
      <c r="T3302" t="s">
        <v>10870</v>
      </c>
      <c r="U3302" t="e">
        <v>#N/A</v>
      </c>
      <c r="V3302" t="s">
        <v>10871</v>
      </c>
      <c r="W3302" s="45">
        <v>1</v>
      </c>
      <c r="X3302" s="45">
        <v>0</v>
      </c>
      <c r="Y3302" s="45">
        <v>0</v>
      </c>
      <c r="Z3302" s="45">
        <v>1</v>
      </c>
      <c r="AA3302" s="45">
        <v>1</v>
      </c>
      <c r="AB3302" s="45"/>
      <c r="AC3302" s="150">
        <v>0</v>
      </c>
      <c r="AD3302" s="150">
        <v>0</v>
      </c>
      <c r="AE3302" s="49">
        <f t="shared" si="157"/>
        <v>0.375</v>
      </c>
      <c r="AF3302" s="17"/>
      <c r="AG3302" s="17">
        <v>0</v>
      </c>
      <c r="AH3302" s="17">
        <v>0</v>
      </c>
      <c r="AI3302" s="17">
        <v>0</v>
      </c>
      <c r="AJ3302" s="44">
        <v>0.5</v>
      </c>
      <c r="AK3302" s="151">
        <v>0.5</v>
      </c>
      <c r="AL3302" s="151">
        <v>0.5</v>
      </c>
      <c r="AM3302" s="17">
        <f t="shared" si="158"/>
        <v>1</v>
      </c>
      <c r="AN3302" t="s">
        <v>723</v>
      </c>
      <c r="AO3302" s="18" t="s">
        <v>729</v>
      </c>
      <c r="AP3302" t="s">
        <v>10448</v>
      </c>
    </row>
    <row r="3303" spans="1:42" customFormat="1" hidden="1" x14ac:dyDescent="0.3">
      <c r="A3303" s="148" t="s">
        <v>8319</v>
      </c>
      <c r="B3303" t="s">
        <v>8320</v>
      </c>
      <c r="C3303" s="148" t="s">
        <v>9344</v>
      </c>
      <c r="D3303" t="s">
        <v>9345</v>
      </c>
      <c r="E3303" s="148" t="s">
        <v>10414</v>
      </c>
      <c r="F3303" t="s">
        <v>10415</v>
      </c>
      <c r="G3303" s="148" t="s">
        <v>10437</v>
      </c>
      <c r="H3303" t="s">
        <v>10438</v>
      </c>
      <c r="K3303" s="148" t="s">
        <v>10872</v>
      </c>
      <c r="L3303" t="s">
        <v>10873</v>
      </c>
      <c r="M3303" t="s">
        <v>10874</v>
      </c>
      <c r="N3303" s="3" t="s">
        <v>119</v>
      </c>
      <c r="O3303" s="3">
        <v>8</v>
      </c>
      <c r="P3303" s="3">
        <v>16</v>
      </c>
      <c r="Q3303" s="3">
        <v>20</v>
      </c>
      <c r="R3303" s="3">
        <v>28</v>
      </c>
      <c r="S3303" s="3">
        <v>32</v>
      </c>
      <c r="T3303" t="s">
        <v>723</v>
      </c>
      <c r="U3303" t="s">
        <v>729</v>
      </c>
      <c r="V3303" t="s">
        <v>10875</v>
      </c>
      <c r="W3303" s="45">
        <v>1</v>
      </c>
      <c r="X3303" s="45">
        <v>0</v>
      </c>
      <c r="Y3303" s="45">
        <v>0</v>
      </c>
      <c r="Z3303" s="45">
        <v>1</v>
      </c>
      <c r="AA3303" s="45">
        <v>1</v>
      </c>
      <c r="AB3303" s="45">
        <v>0</v>
      </c>
      <c r="AC3303" s="150">
        <v>0</v>
      </c>
      <c r="AD3303" s="150">
        <v>0</v>
      </c>
      <c r="AE3303" s="49">
        <f t="shared" si="157"/>
        <v>0.375</v>
      </c>
      <c r="AF3303" s="44"/>
      <c r="AG3303" s="17">
        <v>0</v>
      </c>
      <c r="AH3303" s="44">
        <v>3.44</v>
      </c>
      <c r="AI3303" s="44">
        <v>3.62</v>
      </c>
      <c r="AJ3303" s="44">
        <v>3.8</v>
      </c>
      <c r="AK3303" s="151">
        <v>3.99</v>
      </c>
      <c r="AL3303" s="151">
        <v>4.1900000000000004</v>
      </c>
      <c r="AM3303" s="17">
        <f t="shared" si="158"/>
        <v>8.18</v>
      </c>
      <c r="AN3303" t="s">
        <v>723</v>
      </c>
      <c r="AO3303" s="18" t="s">
        <v>729</v>
      </c>
      <c r="AP3303" t="s">
        <v>255</v>
      </c>
    </row>
    <row r="3304" spans="1:42" customFormat="1" hidden="1" x14ac:dyDescent="0.3">
      <c r="A3304" s="148" t="s">
        <v>8319</v>
      </c>
      <c r="B3304" t="s">
        <v>8320</v>
      </c>
      <c r="C3304" s="148" t="s">
        <v>9344</v>
      </c>
      <c r="D3304" t="s">
        <v>9345</v>
      </c>
      <c r="E3304" s="148" t="s">
        <v>9346</v>
      </c>
      <c r="F3304" t="s">
        <v>9347</v>
      </c>
      <c r="G3304" s="148" t="s">
        <v>9552</v>
      </c>
      <c r="H3304" t="s">
        <v>9553</v>
      </c>
      <c r="K3304" s="148" t="s">
        <v>9554</v>
      </c>
      <c r="L3304" t="s">
        <v>9555</v>
      </c>
      <c r="M3304" t="s">
        <v>10876</v>
      </c>
      <c r="N3304" s="3" t="s">
        <v>271</v>
      </c>
      <c r="O3304" s="3" t="s">
        <v>271</v>
      </c>
      <c r="P3304" s="3">
        <v>500</v>
      </c>
      <c r="Q3304" s="3">
        <v>1000</v>
      </c>
      <c r="R3304" s="3">
        <v>1000</v>
      </c>
      <c r="S3304" s="3">
        <v>1000</v>
      </c>
      <c r="T3304" t="s">
        <v>723</v>
      </c>
      <c r="U3304" t="s">
        <v>729</v>
      </c>
      <c r="V3304" t="s">
        <v>10877</v>
      </c>
      <c r="W3304" s="45">
        <v>1</v>
      </c>
      <c r="X3304" s="45">
        <v>1</v>
      </c>
      <c r="Y3304" s="45">
        <v>0</v>
      </c>
      <c r="Z3304" s="45">
        <v>0</v>
      </c>
      <c r="AA3304" s="45">
        <v>0</v>
      </c>
      <c r="AB3304" s="45">
        <v>0</v>
      </c>
      <c r="AC3304" s="150">
        <v>0</v>
      </c>
      <c r="AD3304" s="150">
        <v>0</v>
      </c>
      <c r="AE3304" s="49">
        <f t="shared" si="157"/>
        <v>0.25</v>
      </c>
      <c r="AF3304" s="44">
        <v>0</v>
      </c>
      <c r="AG3304" s="17">
        <v>1</v>
      </c>
      <c r="AH3304" s="44">
        <v>0</v>
      </c>
      <c r="AI3304" s="44">
        <v>1.7</v>
      </c>
      <c r="AJ3304" s="44">
        <v>3.2</v>
      </c>
      <c r="AK3304" s="151">
        <v>3.2</v>
      </c>
      <c r="AL3304" s="151">
        <v>3.2</v>
      </c>
      <c r="AM3304" s="17">
        <f t="shared" si="158"/>
        <v>6.4</v>
      </c>
      <c r="AN3304" t="s">
        <v>723</v>
      </c>
      <c r="AO3304" s="18" t="s">
        <v>729</v>
      </c>
      <c r="AP3304" t="s">
        <v>119</v>
      </c>
    </row>
    <row r="3305" spans="1:42" customFormat="1" hidden="1" x14ac:dyDescent="0.3">
      <c r="A3305" s="148" t="s">
        <v>8319</v>
      </c>
      <c r="B3305" t="s">
        <v>8320</v>
      </c>
      <c r="C3305" s="148" t="s">
        <v>9344</v>
      </c>
      <c r="D3305" t="s">
        <v>9345</v>
      </c>
      <c r="E3305" s="148" t="s">
        <v>9346</v>
      </c>
      <c r="F3305" t="s">
        <v>9347</v>
      </c>
      <c r="G3305" s="148" t="s">
        <v>10470</v>
      </c>
      <c r="H3305" t="s">
        <v>10471</v>
      </c>
      <c r="I3305" s="148" t="s">
        <v>10878</v>
      </c>
      <c r="J3305" t="s">
        <v>10879</v>
      </c>
      <c r="K3305" s="148" t="s">
        <v>10880</v>
      </c>
      <c r="L3305" t="s">
        <v>10881</v>
      </c>
      <c r="M3305" t="s">
        <v>10882</v>
      </c>
      <c r="N3305" s="3">
        <v>50</v>
      </c>
      <c r="O3305" s="3">
        <v>100</v>
      </c>
      <c r="P3305" s="3">
        <v>150</v>
      </c>
      <c r="Q3305" s="3">
        <v>250</v>
      </c>
      <c r="R3305" s="3">
        <v>250</v>
      </c>
      <c r="S3305" s="3">
        <v>250</v>
      </c>
      <c r="T3305" t="s">
        <v>10883</v>
      </c>
      <c r="U3305" t="e">
        <v>#N/A</v>
      </c>
      <c r="V3305" t="s">
        <v>10884</v>
      </c>
      <c r="W3305" s="45">
        <v>1</v>
      </c>
      <c r="X3305" s="45">
        <v>0</v>
      </c>
      <c r="Y3305" s="45">
        <v>0</v>
      </c>
      <c r="Z3305" s="45">
        <v>1</v>
      </c>
      <c r="AA3305" s="45">
        <v>0</v>
      </c>
      <c r="AB3305" s="45">
        <v>0</v>
      </c>
      <c r="AC3305" s="150">
        <v>0</v>
      </c>
      <c r="AD3305" s="150">
        <v>0</v>
      </c>
      <c r="AE3305" s="49">
        <f t="shared" si="157"/>
        <v>0.25</v>
      </c>
      <c r="AF3305" s="44"/>
      <c r="AG3305" s="17">
        <v>0</v>
      </c>
      <c r="AH3305" s="44">
        <v>1</v>
      </c>
      <c r="AI3305" s="44">
        <v>2</v>
      </c>
      <c r="AJ3305" s="44">
        <v>3</v>
      </c>
      <c r="AK3305" s="151">
        <v>4</v>
      </c>
      <c r="AL3305" s="151">
        <v>5</v>
      </c>
      <c r="AM3305" s="17">
        <f t="shared" si="158"/>
        <v>9</v>
      </c>
      <c r="AN3305" s="18" t="s">
        <v>255</v>
      </c>
      <c r="AO3305" s="18" t="s">
        <v>1045</v>
      </c>
      <c r="AP3305" t="s">
        <v>1536</v>
      </c>
    </row>
    <row r="3306" spans="1:42" customFormat="1" hidden="1" x14ac:dyDescent="0.3">
      <c r="A3306" s="148" t="s">
        <v>8319</v>
      </c>
      <c r="B3306" t="s">
        <v>8320</v>
      </c>
      <c r="C3306" s="148" t="s">
        <v>9344</v>
      </c>
      <c r="D3306" t="s">
        <v>9345</v>
      </c>
      <c r="E3306" s="148" t="s">
        <v>9346</v>
      </c>
      <c r="F3306" t="s">
        <v>9347</v>
      </c>
      <c r="G3306" s="148" t="s">
        <v>9897</v>
      </c>
      <c r="H3306" t="s">
        <v>9898</v>
      </c>
      <c r="K3306" s="148" t="s">
        <v>10885</v>
      </c>
      <c r="L3306" t="s">
        <v>10886</v>
      </c>
      <c r="M3306" t="s">
        <v>10887</v>
      </c>
      <c r="N3306" s="3">
        <v>35</v>
      </c>
      <c r="O3306" s="3">
        <v>40</v>
      </c>
      <c r="P3306" s="3">
        <v>50</v>
      </c>
      <c r="Q3306" s="3">
        <v>60</v>
      </c>
      <c r="R3306" s="3">
        <v>70</v>
      </c>
      <c r="S3306" s="3">
        <v>80</v>
      </c>
      <c r="T3306" t="s">
        <v>771</v>
      </c>
      <c r="U3306" t="s">
        <v>773</v>
      </c>
      <c r="V3306" t="s">
        <v>10888</v>
      </c>
      <c r="W3306" s="45">
        <v>1</v>
      </c>
      <c r="X3306" s="45">
        <v>0</v>
      </c>
      <c r="Y3306" s="45">
        <v>0</v>
      </c>
      <c r="Z3306" s="45">
        <v>1</v>
      </c>
      <c r="AA3306" s="45">
        <v>0</v>
      </c>
      <c r="AB3306" s="45">
        <v>0</v>
      </c>
      <c r="AC3306" s="150">
        <v>0</v>
      </c>
      <c r="AD3306" s="150">
        <v>0</v>
      </c>
      <c r="AE3306" s="49">
        <f t="shared" si="157"/>
        <v>0.25</v>
      </c>
      <c r="AF3306" s="44"/>
      <c r="AG3306" s="17">
        <v>0</v>
      </c>
      <c r="AH3306" s="44">
        <v>0.3</v>
      </c>
      <c r="AI3306" s="44">
        <v>0.3</v>
      </c>
      <c r="AJ3306" s="44">
        <v>0.3</v>
      </c>
      <c r="AK3306" s="151">
        <v>0.3</v>
      </c>
      <c r="AL3306" s="151">
        <v>0.3</v>
      </c>
      <c r="AM3306" s="17">
        <f t="shared" si="158"/>
        <v>0.6</v>
      </c>
      <c r="AN3306" s="18" t="s">
        <v>255</v>
      </c>
      <c r="AO3306" s="18" t="s">
        <v>1045</v>
      </c>
      <c r="AP3306" t="s">
        <v>1536</v>
      </c>
    </row>
    <row r="3307" spans="1:42" customFormat="1" hidden="1" x14ac:dyDescent="0.3">
      <c r="A3307" s="148" t="s">
        <v>8319</v>
      </c>
      <c r="B3307" s="159" t="s">
        <v>8320</v>
      </c>
      <c r="C3307" s="148" t="s">
        <v>9344</v>
      </c>
      <c r="D3307" s="159" t="s">
        <v>9345</v>
      </c>
      <c r="E3307" s="148" t="s">
        <v>9346</v>
      </c>
      <c r="F3307" s="159" t="s">
        <v>9347</v>
      </c>
      <c r="G3307" s="148" t="s">
        <v>9897</v>
      </c>
      <c r="H3307" t="s">
        <v>9898</v>
      </c>
      <c r="I3307" s="159"/>
      <c r="J3307" s="159"/>
      <c r="K3307" s="155" t="s">
        <v>10487</v>
      </c>
      <c r="L3307" s="159" t="s">
        <v>10488</v>
      </c>
      <c r="M3307" s="159" t="s">
        <v>10889</v>
      </c>
      <c r="N3307" s="275">
        <v>60</v>
      </c>
      <c r="O3307" s="275">
        <v>65</v>
      </c>
      <c r="P3307" s="275">
        <v>70</v>
      </c>
      <c r="Q3307" s="275">
        <v>75</v>
      </c>
      <c r="R3307" s="275">
        <v>80</v>
      </c>
      <c r="S3307" s="275">
        <v>85</v>
      </c>
      <c r="T3307" t="s">
        <v>10490</v>
      </c>
      <c r="U3307" t="e">
        <v>#N/A</v>
      </c>
      <c r="V3307" s="159" t="s">
        <v>10890</v>
      </c>
      <c r="W3307" s="274">
        <v>1</v>
      </c>
      <c r="X3307" s="274">
        <v>0</v>
      </c>
      <c r="Y3307" s="274">
        <v>0</v>
      </c>
      <c r="Z3307" s="274">
        <v>0</v>
      </c>
      <c r="AA3307" s="274">
        <v>0</v>
      </c>
      <c r="AB3307" s="274">
        <v>0</v>
      </c>
      <c r="AC3307" s="150">
        <v>0</v>
      </c>
      <c r="AD3307" s="150">
        <v>1</v>
      </c>
      <c r="AE3307" s="49">
        <f t="shared" si="157"/>
        <v>0.25</v>
      </c>
      <c r="AF3307" s="276"/>
      <c r="AG3307" s="17">
        <v>0</v>
      </c>
      <c r="AH3307" s="276">
        <v>2.5</v>
      </c>
      <c r="AI3307" s="276">
        <v>3.2</v>
      </c>
      <c r="AJ3307" s="276">
        <v>3.1</v>
      </c>
      <c r="AK3307" s="158">
        <v>0.5</v>
      </c>
      <c r="AL3307" s="158">
        <v>0.5</v>
      </c>
      <c r="AM3307" s="17">
        <f t="shared" si="158"/>
        <v>1</v>
      </c>
      <c r="AN3307" s="14" t="s">
        <v>771</v>
      </c>
      <c r="AO3307" s="14" t="s">
        <v>773</v>
      </c>
      <c r="AP3307" s="159" t="s">
        <v>255</v>
      </c>
    </row>
    <row r="3308" spans="1:42" customFormat="1" hidden="1" x14ac:dyDescent="0.3">
      <c r="A3308" s="148" t="s">
        <v>8319</v>
      </c>
      <c r="B3308" t="s">
        <v>8320</v>
      </c>
      <c r="C3308" s="148" t="s">
        <v>9344</v>
      </c>
      <c r="D3308" t="s">
        <v>9345</v>
      </c>
      <c r="E3308" s="148" t="s">
        <v>9346</v>
      </c>
      <c r="F3308" t="s">
        <v>9347</v>
      </c>
      <c r="G3308" s="148" t="s">
        <v>9558</v>
      </c>
      <c r="H3308" t="s">
        <v>9559</v>
      </c>
      <c r="K3308" s="148" t="s">
        <v>9560</v>
      </c>
      <c r="L3308" t="s">
        <v>9561</v>
      </c>
      <c r="M3308" t="s">
        <v>10891</v>
      </c>
      <c r="N3308" s="3" t="s">
        <v>271</v>
      </c>
      <c r="O3308" s="3">
        <v>100</v>
      </c>
      <c r="P3308" s="3">
        <v>100</v>
      </c>
      <c r="Q3308" s="3">
        <v>100</v>
      </c>
      <c r="R3308" s="3">
        <v>100</v>
      </c>
      <c r="S3308" s="3">
        <v>100</v>
      </c>
      <c r="T3308" t="s">
        <v>723</v>
      </c>
      <c r="U3308" t="s">
        <v>729</v>
      </c>
      <c r="V3308" t="s">
        <v>10892</v>
      </c>
      <c r="W3308" s="45">
        <v>1</v>
      </c>
      <c r="X3308" s="45">
        <v>0</v>
      </c>
      <c r="Y3308" s="45">
        <v>0</v>
      </c>
      <c r="Z3308" s="45">
        <v>0</v>
      </c>
      <c r="AA3308" s="45">
        <v>0</v>
      </c>
      <c r="AB3308" s="45">
        <v>0</v>
      </c>
      <c r="AC3308" s="150">
        <v>1</v>
      </c>
      <c r="AD3308" s="150">
        <v>0</v>
      </c>
      <c r="AE3308" s="49">
        <f t="shared" si="157"/>
        <v>0.25</v>
      </c>
      <c r="AF3308" s="44">
        <v>1</v>
      </c>
      <c r="AG3308" s="17">
        <v>0</v>
      </c>
      <c r="AH3308" s="44">
        <v>30</v>
      </c>
      <c r="AI3308" s="44">
        <v>30</v>
      </c>
      <c r="AJ3308" s="44">
        <v>30</v>
      </c>
      <c r="AK3308" s="151">
        <v>30</v>
      </c>
      <c r="AL3308" s="151">
        <v>30</v>
      </c>
      <c r="AM3308" s="17">
        <f t="shared" si="158"/>
        <v>60</v>
      </c>
      <c r="AN3308" s="18" t="s">
        <v>255</v>
      </c>
      <c r="AO3308" s="18" t="s">
        <v>1045</v>
      </c>
      <c r="AP3308" t="s">
        <v>723</v>
      </c>
    </row>
    <row r="3309" spans="1:42" customFormat="1" hidden="1" x14ac:dyDescent="0.3">
      <c r="A3309" s="148" t="s">
        <v>8319</v>
      </c>
      <c r="B3309" t="s">
        <v>8320</v>
      </c>
      <c r="C3309" s="148" t="s">
        <v>9344</v>
      </c>
      <c r="D3309" t="s">
        <v>9345</v>
      </c>
      <c r="E3309" s="148" t="s">
        <v>9346</v>
      </c>
      <c r="F3309" t="s">
        <v>9347</v>
      </c>
      <c r="G3309" s="148" t="s">
        <v>9558</v>
      </c>
      <c r="H3309" t="s">
        <v>9559</v>
      </c>
      <c r="K3309" s="148" t="s">
        <v>9560</v>
      </c>
      <c r="L3309" t="s">
        <v>9561</v>
      </c>
      <c r="M3309" t="s">
        <v>10893</v>
      </c>
      <c r="N3309" s="3" t="s">
        <v>271</v>
      </c>
      <c r="O3309" s="3">
        <v>1</v>
      </c>
      <c r="P3309" s="3" t="s">
        <v>271</v>
      </c>
      <c r="Q3309" s="3" t="s">
        <v>271</v>
      </c>
      <c r="R3309" s="3" t="s">
        <v>271</v>
      </c>
      <c r="S3309" s="3" t="s">
        <v>271</v>
      </c>
      <c r="T3309" t="s">
        <v>2432</v>
      </c>
      <c r="U3309" t="s">
        <v>729</v>
      </c>
      <c r="V3309" t="s">
        <v>10894</v>
      </c>
      <c r="W3309" s="45">
        <v>1</v>
      </c>
      <c r="X3309" s="45">
        <v>0</v>
      </c>
      <c r="Y3309" s="45">
        <v>0</v>
      </c>
      <c r="Z3309" s="45">
        <v>0</v>
      </c>
      <c r="AA3309" s="45">
        <v>0</v>
      </c>
      <c r="AB3309" s="45">
        <v>0</v>
      </c>
      <c r="AC3309" s="150">
        <v>0</v>
      </c>
      <c r="AD3309" s="150">
        <v>1</v>
      </c>
      <c r="AE3309" s="49">
        <f t="shared" si="157"/>
        <v>0.25</v>
      </c>
      <c r="AF3309" s="17">
        <v>1</v>
      </c>
      <c r="AG3309" s="17">
        <v>0</v>
      </c>
      <c r="AH3309" s="17">
        <v>0</v>
      </c>
      <c r="AI3309" s="44">
        <v>0.1</v>
      </c>
      <c r="AJ3309" s="44">
        <v>0.2</v>
      </c>
      <c r="AK3309" s="151">
        <v>0.3</v>
      </c>
      <c r="AL3309" s="154">
        <v>0.3</v>
      </c>
      <c r="AM3309" s="17">
        <f t="shared" si="158"/>
        <v>0.6</v>
      </c>
      <c r="AN3309" s="44" t="s">
        <v>723</v>
      </c>
      <c r="AO3309" s="18" t="s">
        <v>729</v>
      </c>
      <c r="AP3309" t="s">
        <v>831</v>
      </c>
    </row>
    <row r="3310" spans="1:42" customFormat="1" hidden="1" x14ac:dyDescent="0.3">
      <c r="A3310" s="148" t="s">
        <v>8319</v>
      </c>
      <c r="B3310" t="s">
        <v>8320</v>
      </c>
      <c r="C3310" s="148" t="s">
        <v>9344</v>
      </c>
      <c r="D3310" t="s">
        <v>9345</v>
      </c>
      <c r="E3310" s="148" t="s">
        <v>9346</v>
      </c>
      <c r="F3310" t="s">
        <v>9347</v>
      </c>
      <c r="G3310" s="148" t="s">
        <v>9558</v>
      </c>
      <c r="H3310" t="s">
        <v>9559</v>
      </c>
      <c r="K3310" s="148" t="s">
        <v>9560</v>
      </c>
      <c r="L3310" t="s">
        <v>9561</v>
      </c>
      <c r="M3310" t="s">
        <v>10895</v>
      </c>
      <c r="N3310" s="3" t="s">
        <v>271</v>
      </c>
      <c r="O3310" s="3" t="s">
        <v>271</v>
      </c>
      <c r="P3310" s="3">
        <v>1</v>
      </c>
      <c r="Q3310" s="3">
        <v>1</v>
      </c>
      <c r="R3310" s="3" t="s">
        <v>271</v>
      </c>
      <c r="S3310" s="3" t="s">
        <v>271</v>
      </c>
      <c r="T3310" t="s">
        <v>2432</v>
      </c>
      <c r="U3310" t="s">
        <v>729</v>
      </c>
      <c r="V3310" t="s">
        <v>10896</v>
      </c>
      <c r="W3310" s="45">
        <v>1</v>
      </c>
      <c r="X3310" s="45">
        <v>0</v>
      </c>
      <c r="Y3310" s="45">
        <v>0</v>
      </c>
      <c r="Z3310" s="45">
        <v>0</v>
      </c>
      <c r="AA3310" s="45">
        <v>0</v>
      </c>
      <c r="AB3310" s="45">
        <v>0</v>
      </c>
      <c r="AC3310" s="150">
        <v>0</v>
      </c>
      <c r="AD3310" s="150">
        <v>1</v>
      </c>
      <c r="AE3310" s="49">
        <f t="shared" si="157"/>
        <v>0.25</v>
      </c>
      <c r="AF3310" s="4"/>
      <c r="AG3310" s="17">
        <v>0</v>
      </c>
      <c r="AH3310" s="4" t="s">
        <v>10897</v>
      </c>
      <c r="AI3310" s="4" t="s">
        <v>10898</v>
      </c>
      <c r="AJ3310" s="4" t="s">
        <v>10898</v>
      </c>
      <c r="AK3310" s="46">
        <v>5</v>
      </c>
      <c r="AL3310" s="151">
        <v>5</v>
      </c>
      <c r="AM3310" s="17">
        <f t="shared" si="158"/>
        <v>10</v>
      </c>
      <c r="AN3310" s="44" t="s">
        <v>10113</v>
      </c>
      <c r="AO3310" s="18" t="s">
        <v>10114</v>
      </c>
      <c r="AP3310" t="s">
        <v>10899</v>
      </c>
    </row>
    <row r="3311" spans="1:42" customFormat="1" hidden="1" x14ac:dyDescent="0.3">
      <c r="A3311" s="148" t="s">
        <v>8319</v>
      </c>
      <c r="B3311" t="s">
        <v>8320</v>
      </c>
      <c r="C3311" s="148" t="s">
        <v>9344</v>
      </c>
      <c r="D3311" t="s">
        <v>9345</v>
      </c>
      <c r="E3311" s="148" t="s">
        <v>9346</v>
      </c>
      <c r="F3311" t="s">
        <v>9347</v>
      </c>
      <c r="G3311" s="148" t="s">
        <v>9558</v>
      </c>
      <c r="H3311" t="s">
        <v>9559</v>
      </c>
      <c r="K3311" s="148" t="s">
        <v>9560</v>
      </c>
      <c r="L3311" t="s">
        <v>9561</v>
      </c>
      <c r="M3311" t="s">
        <v>10900</v>
      </c>
      <c r="N3311" s="3" t="s">
        <v>271</v>
      </c>
      <c r="O3311" s="3" t="s">
        <v>271</v>
      </c>
      <c r="P3311" s="3" t="s">
        <v>271</v>
      </c>
      <c r="Q3311" s="3" t="s">
        <v>271</v>
      </c>
      <c r="R3311" s="3" t="s">
        <v>271</v>
      </c>
      <c r="S3311" s="3">
        <v>1</v>
      </c>
      <c r="T3311" t="s">
        <v>2432</v>
      </c>
      <c r="U3311" t="s">
        <v>729</v>
      </c>
      <c r="V3311" t="s">
        <v>10901</v>
      </c>
      <c r="W3311" s="45">
        <v>1</v>
      </c>
      <c r="X3311" s="45">
        <v>0</v>
      </c>
      <c r="Y3311" s="45">
        <v>0</v>
      </c>
      <c r="Z3311" s="45">
        <v>0</v>
      </c>
      <c r="AA3311" s="45">
        <v>0</v>
      </c>
      <c r="AB3311" s="45">
        <v>0</v>
      </c>
      <c r="AC3311" s="150">
        <v>0</v>
      </c>
      <c r="AD3311" s="150">
        <v>1</v>
      </c>
      <c r="AE3311" s="49">
        <f t="shared" si="157"/>
        <v>0.25</v>
      </c>
      <c r="AF3311" s="44"/>
      <c r="AG3311" s="17">
        <v>0</v>
      </c>
      <c r="AH3311" s="44">
        <v>0</v>
      </c>
      <c r="AI3311" s="44">
        <v>0</v>
      </c>
      <c r="AJ3311" s="44">
        <v>0</v>
      </c>
      <c r="AK3311" s="151">
        <v>0</v>
      </c>
      <c r="AL3311" s="151">
        <v>0</v>
      </c>
      <c r="AM3311" s="17">
        <f t="shared" si="158"/>
        <v>0</v>
      </c>
      <c r="AN3311" s="44" t="s">
        <v>723</v>
      </c>
      <c r="AO3311" s="18" t="s">
        <v>729</v>
      </c>
      <c r="AP3311" t="s">
        <v>10902</v>
      </c>
    </row>
    <row r="3312" spans="1:42" customFormat="1" hidden="1" x14ac:dyDescent="0.3">
      <c r="A3312" s="148" t="s">
        <v>8319</v>
      </c>
      <c r="B3312" t="s">
        <v>8320</v>
      </c>
      <c r="C3312" s="148" t="s">
        <v>9344</v>
      </c>
      <c r="D3312" t="s">
        <v>9345</v>
      </c>
      <c r="E3312" s="148" t="s">
        <v>9346</v>
      </c>
      <c r="F3312" t="s">
        <v>9347</v>
      </c>
      <c r="G3312" s="148" t="s">
        <v>9558</v>
      </c>
      <c r="H3312" t="s">
        <v>9559</v>
      </c>
      <c r="K3312" s="148" t="s">
        <v>9560</v>
      </c>
      <c r="L3312" t="s">
        <v>9561</v>
      </c>
      <c r="N3312" s="3"/>
      <c r="O3312" s="3"/>
      <c r="P3312" s="3"/>
      <c r="Q3312" s="3"/>
      <c r="R3312" s="3"/>
      <c r="S3312" s="3"/>
      <c r="U3312" t="e">
        <v>#N/A</v>
      </c>
      <c r="V3312" t="s">
        <v>10903</v>
      </c>
      <c r="W3312" s="45">
        <v>1</v>
      </c>
      <c r="X3312" s="45">
        <v>0</v>
      </c>
      <c r="Y3312" s="45">
        <v>0</v>
      </c>
      <c r="Z3312" s="45">
        <v>0</v>
      </c>
      <c r="AA3312" s="45">
        <v>0</v>
      </c>
      <c r="AB3312" s="45">
        <v>0</v>
      </c>
      <c r="AC3312" s="150">
        <v>0</v>
      </c>
      <c r="AD3312" s="150">
        <v>1</v>
      </c>
      <c r="AE3312" s="49">
        <f t="shared" si="157"/>
        <v>0.25</v>
      </c>
      <c r="AF3312" s="44">
        <v>1</v>
      </c>
      <c r="AG3312" s="17">
        <v>0</v>
      </c>
      <c r="AH3312" s="44">
        <v>0</v>
      </c>
      <c r="AI3312" s="44">
        <v>0</v>
      </c>
      <c r="AJ3312" s="44">
        <v>0</v>
      </c>
      <c r="AK3312" s="151">
        <v>1</v>
      </c>
      <c r="AL3312" s="151">
        <v>1</v>
      </c>
      <c r="AM3312" s="17">
        <f t="shared" si="158"/>
        <v>2</v>
      </c>
      <c r="AN3312" s="44" t="s">
        <v>723</v>
      </c>
      <c r="AO3312" s="18" t="s">
        <v>729</v>
      </c>
      <c r="AP3312" t="s">
        <v>9922</v>
      </c>
    </row>
    <row r="3313" spans="1:42" customFormat="1" hidden="1" x14ac:dyDescent="0.3">
      <c r="A3313" s="148" t="s">
        <v>8319</v>
      </c>
      <c r="B3313" t="s">
        <v>8320</v>
      </c>
      <c r="C3313" s="148" t="s">
        <v>9344</v>
      </c>
      <c r="D3313" t="s">
        <v>9345</v>
      </c>
      <c r="E3313" s="148" t="s">
        <v>9346</v>
      </c>
      <c r="F3313" t="s">
        <v>9347</v>
      </c>
      <c r="G3313" s="148" t="s">
        <v>10152</v>
      </c>
      <c r="H3313" t="s">
        <v>10153</v>
      </c>
      <c r="K3313" s="148" t="s">
        <v>10154</v>
      </c>
      <c r="L3313" t="s">
        <v>10155</v>
      </c>
      <c r="M3313" t="s">
        <v>10904</v>
      </c>
      <c r="N3313" s="3" t="s">
        <v>271</v>
      </c>
      <c r="O3313" s="3">
        <v>0</v>
      </c>
      <c r="P3313" s="3">
        <v>500</v>
      </c>
      <c r="Q3313" s="3">
        <v>2863</v>
      </c>
      <c r="R3313" s="3">
        <v>2863</v>
      </c>
      <c r="S3313" s="3">
        <v>2863</v>
      </c>
      <c r="T3313" t="s">
        <v>2432</v>
      </c>
      <c r="U3313" t="s">
        <v>729</v>
      </c>
      <c r="V3313" t="s">
        <v>10905</v>
      </c>
      <c r="W3313" s="45">
        <v>1</v>
      </c>
      <c r="X3313" s="45">
        <v>0</v>
      </c>
      <c r="Y3313" s="45">
        <v>0</v>
      </c>
      <c r="Z3313" s="45">
        <v>0</v>
      </c>
      <c r="AA3313" s="45">
        <v>0</v>
      </c>
      <c r="AB3313" s="45">
        <v>0</v>
      </c>
      <c r="AC3313" s="150">
        <v>0</v>
      </c>
      <c r="AD3313" s="150">
        <v>1</v>
      </c>
      <c r="AE3313" s="49">
        <f t="shared" si="157"/>
        <v>0.25</v>
      </c>
      <c r="AF3313" s="17"/>
      <c r="AG3313" s="17">
        <v>0</v>
      </c>
      <c r="AH3313" s="17">
        <v>0</v>
      </c>
      <c r="AI3313" s="44" t="s">
        <v>10906</v>
      </c>
      <c r="AJ3313" s="44">
        <v>1</v>
      </c>
      <c r="AK3313" s="151">
        <v>0</v>
      </c>
      <c r="AL3313" s="151">
        <v>0</v>
      </c>
      <c r="AM3313" s="17">
        <f t="shared" si="158"/>
        <v>0</v>
      </c>
      <c r="AN3313" s="44" t="s">
        <v>723</v>
      </c>
      <c r="AO3313" s="18" t="s">
        <v>729</v>
      </c>
      <c r="AP3313" t="s">
        <v>119</v>
      </c>
    </row>
    <row r="3314" spans="1:42" customFormat="1" hidden="1" x14ac:dyDescent="0.3">
      <c r="A3314" s="148" t="s">
        <v>8319</v>
      </c>
      <c r="B3314" t="s">
        <v>8320</v>
      </c>
      <c r="C3314" s="148" t="s">
        <v>9344</v>
      </c>
      <c r="D3314" t="s">
        <v>9345</v>
      </c>
      <c r="E3314" s="148" t="s">
        <v>9346</v>
      </c>
      <c r="F3314" t="s">
        <v>9347</v>
      </c>
      <c r="G3314" s="148" t="s">
        <v>10152</v>
      </c>
      <c r="H3314" t="s">
        <v>10153</v>
      </c>
      <c r="K3314" s="148" t="s">
        <v>10154</v>
      </c>
      <c r="L3314" t="s">
        <v>10155</v>
      </c>
      <c r="M3314" t="s">
        <v>10907</v>
      </c>
      <c r="N3314" s="3" t="s">
        <v>271</v>
      </c>
      <c r="O3314" s="3">
        <v>0</v>
      </c>
      <c r="P3314" s="3">
        <v>6000</v>
      </c>
      <c r="Q3314" s="3">
        <v>10000</v>
      </c>
      <c r="R3314" s="3">
        <v>10000</v>
      </c>
      <c r="S3314" s="3">
        <v>10000</v>
      </c>
      <c r="T3314" t="s">
        <v>723</v>
      </c>
      <c r="U3314" t="s">
        <v>729</v>
      </c>
      <c r="V3314" t="s">
        <v>10908</v>
      </c>
      <c r="W3314" s="45">
        <v>1</v>
      </c>
      <c r="X3314" s="45">
        <v>0</v>
      </c>
      <c r="Y3314" s="45">
        <v>0</v>
      </c>
      <c r="Z3314" s="45">
        <v>0</v>
      </c>
      <c r="AA3314" s="45">
        <v>0</v>
      </c>
      <c r="AB3314" s="45">
        <v>0</v>
      </c>
      <c r="AC3314" s="150">
        <v>0</v>
      </c>
      <c r="AD3314" s="150">
        <v>1</v>
      </c>
      <c r="AE3314" s="49">
        <f t="shared" si="157"/>
        <v>0.25</v>
      </c>
      <c r="AF3314" s="17"/>
      <c r="AG3314" s="17">
        <v>0</v>
      </c>
      <c r="AH3314" s="17">
        <v>0</v>
      </c>
      <c r="AI3314" s="44" t="s">
        <v>10909</v>
      </c>
      <c r="AJ3314" s="44" t="s">
        <v>10910</v>
      </c>
      <c r="AK3314" s="151">
        <v>0</v>
      </c>
      <c r="AL3314" s="151">
        <v>0</v>
      </c>
      <c r="AM3314" s="17">
        <f t="shared" si="158"/>
        <v>0</v>
      </c>
      <c r="AN3314" s="44" t="s">
        <v>723</v>
      </c>
      <c r="AO3314" s="18" t="s">
        <v>729</v>
      </c>
      <c r="AP3314" t="s">
        <v>255</v>
      </c>
    </row>
    <row r="3315" spans="1:42" customFormat="1" hidden="1" x14ac:dyDescent="0.3">
      <c r="A3315" s="148" t="s">
        <v>8319</v>
      </c>
      <c r="B3315" t="s">
        <v>8320</v>
      </c>
      <c r="C3315" s="148" t="s">
        <v>9344</v>
      </c>
      <c r="D3315" t="s">
        <v>9345</v>
      </c>
      <c r="E3315" s="148" t="s">
        <v>9346</v>
      </c>
      <c r="F3315" t="s">
        <v>9347</v>
      </c>
      <c r="G3315" s="148" t="s">
        <v>10152</v>
      </c>
      <c r="H3315" t="s">
        <v>10153</v>
      </c>
      <c r="K3315" s="148" t="s">
        <v>10154</v>
      </c>
      <c r="L3315" t="s">
        <v>10155</v>
      </c>
      <c r="M3315" t="s">
        <v>10911</v>
      </c>
      <c r="N3315" s="3" t="s">
        <v>271</v>
      </c>
      <c r="O3315" s="3">
        <v>0</v>
      </c>
      <c r="P3315" s="3">
        <v>500</v>
      </c>
      <c r="Q3315" s="3">
        <v>2863</v>
      </c>
      <c r="R3315" s="3">
        <v>2863</v>
      </c>
      <c r="S3315" s="3">
        <v>2863</v>
      </c>
      <c r="T3315" t="s">
        <v>2432</v>
      </c>
      <c r="U3315" t="s">
        <v>729</v>
      </c>
      <c r="V3315" t="s">
        <v>10912</v>
      </c>
      <c r="W3315" s="45">
        <v>1</v>
      </c>
      <c r="X3315" s="45">
        <v>0</v>
      </c>
      <c r="Y3315" s="45">
        <v>0</v>
      </c>
      <c r="Z3315" s="45">
        <v>0</v>
      </c>
      <c r="AA3315" s="45">
        <v>0</v>
      </c>
      <c r="AB3315" s="45">
        <v>0</v>
      </c>
      <c r="AC3315" s="150">
        <v>0</v>
      </c>
      <c r="AD3315" s="150">
        <v>1</v>
      </c>
      <c r="AE3315" s="49">
        <f t="shared" si="157"/>
        <v>0.25</v>
      </c>
      <c r="AF3315" s="44">
        <v>1</v>
      </c>
      <c r="AG3315" s="17">
        <v>0</v>
      </c>
      <c r="AH3315" s="44">
        <v>0.5</v>
      </c>
      <c r="AI3315" s="44">
        <v>2.8</v>
      </c>
      <c r="AJ3315" s="44">
        <v>2.8</v>
      </c>
      <c r="AK3315" s="151">
        <v>2.8</v>
      </c>
      <c r="AL3315" s="151">
        <v>2.8</v>
      </c>
      <c r="AM3315" s="17">
        <f t="shared" si="158"/>
        <v>5.6</v>
      </c>
      <c r="AN3315" s="44" t="s">
        <v>239</v>
      </c>
      <c r="AO3315" s="18" t="s">
        <v>241</v>
      </c>
      <c r="AP3315" t="s">
        <v>7104</v>
      </c>
    </row>
    <row r="3316" spans="1:42" customFormat="1" hidden="1" x14ac:dyDescent="0.3">
      <c r="A3316" s="148" t="s">
        <v>8319</v>
      </c>
      <c r="B3316" t="s">
        <v>8320</v>
      </c>
      <c r="C3316" s="148" t="s">
        <v>9344</v>
      </c>
      <c r="D3316" t="s">
        <v>9345</v>
      </c>
      <c r="E3316" s="148" t="s">
        <v>9346</v>
      </c>
      <c r="F3316" t="s">
        <v>9347</v>
      </c>
      <c r="G3316" s="148" t="s">
        <v>10158</v>
      </c>
      <c r="H3316" t="s">
        <v>10159</v>
      </c>
      <c r="I3316" s="148" t="s">
        <v>10913</v>
      </c>
      <c r="J3316" t="s">
        <v>10914</v>
      </c>
      <c r="K3316" s="155" t="s">
        <v>10915</v>
      </c>
      <c r="L3316" t="s">
        <v>10916</v>
      </c>
      <c r="M3316" t="s">
        <v>10917</v>
      </c>
      <c r="N3316" s="3">
        <v>0</v>
      </c>
      <c r="O3316" s="3"/>
      <c r="P3316" s="3">
        <v>10000</v>
      </c>
      <c r="Q3316" s="3">
        <v>10000</v>
      </c>
      <c r="R3316" s="3">
        <v>10000</v>
      </c>
      <c r="S3316" s="3">
        <v>10000</v>
      </c>
      <c r="T3316" t="s">
        <v>10918</v>
      </c>
      <c r="U3316" t="e">
        <v>#N/A</v>
      </c>
      <c r="V3316" t="s">
        <v>10919</v>
      </c>
      <c r="W3316" s="45">
        <v>0</v>
      </c>
      <c r="X3316" s="45">
        <v>0</v>
      </c>
      <c r="Y3316" s="45">
        <v>0</v>
      </c>
      <c r="Z3316" s="45">
        <v>0</v>
      </c>
      <c r="AA3316" s="45">
        <v>0</v>
      </c>
      <c r="AB3316" s="45">
        <v>0</v>
      </c>
      <c r="AC3316" s="150">
        <v>1</v>
      </c>
      <c r="AD3316" s="150">
        <v>1</v>
      </c>
      <c r="AE3316" s="49">
        <f t="shared" si="157"/>
        <v>0.25</v>
      </c>
      <c r="AF3316" s="44"/>
      <c r="AG3316" s="17">
        <v>0</v>
      </c>
      <c r="AH3316" s="44">
        <v>342</v>
      </c>
      <c r="AI3316" s="44" t="s">
        <v>271</v>
      </c>
      <c r="AJ3316" s="44" t="s">
        <v>271</v>
      </c>
      <c r="AK3316" s="151" t="s">
        <v>271</v>
      </c>
      <c r="AL3316" s="151" t="s">
        <v>271</v>
      </c>
      <c r="AM3316" s="17">
        <f t="shared" si="158"/>
        <v>0</v>
      </c>
      <c r="AN3316" s="44" t="s">
        <v>239</v>
      </c>
      <c r="AO3316" s="18" t="s">
        <v>241</v>
      </c>
      <c r="AP3316" t="s">
        <v>982</v>
      </c>
    </row>
    <row r="3317" spans="1:42" customFormat="1" hidden="1" x14ac:dyDescent="0.3">
      <c r="A3317" s="148" t="s">
        <v>8319</v>
      </c>
      <c r="B3317" t="s">
        <v>8320</v>
      </c>
      <c r="C3317" s="148" t="s">
        <v>9344</v>
      </c>
      <c r="D3317" t="s">
        <v>9345</v>
      </c>
      <c r="E3317" s="148" t="s">
        <v>9346</v>
      </c>
      <c r="F3317" t="s">
        <v>9347</v>
      </c>
      <c r="G3317" s="148" t="s">
        <v>10158</v>
      </c>
      <c r="H3317" t="s">
        <v>10159</v>
      </c>
      <c r="I3317" s="148" t="s">
        <v>10920</v>
      </c>
      <c r="J3317" t="s">
        <v>10921</v>
      </c>
      <c r="K3317" s="155" t="s">
        <v>10922</v>
      </c>
      <c r="L3317" t="s">
        <v>10923</v>
      </c>
      <c r="M3317" t="s">
        <v>10924</v>
      </c>
      <c r="N3317" s="3">
        <v>0</v>
      </c>
      <c r="O3317" s="3">
        <v>140000</v>
      </c>
      <c r="P3317" s="3" t="s">
        <v>271</v>
      </c>
      <c r="Q3317" s="3" t="s">
        <v>271</v>
      </c>
      <c r="R3317" s="3" t="s">
        <v>271</v>
      </c>
      <c r="S3317" s="3" t="s">
        <v>271</v>
      </c>
      <c r="T3317" t="s">
        <v>10918</v>
      </c>
      <c r="U3317" t="e">
        <v>#N/A</v>
      </c>
      <c r="V3317" t="s">
        <v>10925</v>
      </c>
      <c r="W3317" s="45">
        <v>0</v>
      </c>
      <c r="X3317" s="45">
        <v>0</v>
      </c>
      <c r="Y3317" s="45">
        <v>0</v>
      </c>
      <c r="Z3317" s="45">
        <v>0</v>
      </c>
      <c r="AA3317" s="45">
        <v>0</v>
      </c>
      <c r="AB3317" s="45">
        <v>0</v>
      </c>
      <c r="AC3317" s="150">
        <v>1</v>
      </c>
      <c r="AD3317" s="150">
        <v>1</v>
      </c>
      <c r="AE3317" s="49">
        <f t="shared" si="157"/>
        <v>0.25</v>
      </c>
      <c r="AF3317" s="44"/>
      <c r="AG3317" s="17">
        <v>0</v>
      </c>
      <c r="AH3317" s="44">
        <v>119</v>
      </c>
      <c r="AI3317" s="44" t="s">
        <v>271</v>
      </c>
      <c r="AJ3317" s="44" t="s">
        <v>271</v>
      </c>
      <c r="AK3317" s="151" t="s">
        <v>271</v>
      </c>
      <c r="AL3317" s="151" t="s">
        <v>271</v>
      </c>
      <c r="AM3317" s="17">
        <f t="shared" si="158"/>
        <v>0</v>
      </c>
      <c r="AN3317" s="44" t="s">
        <v>239</v>
      </c>
      <c r="AO3317" s="18" t="s">
        <v>241</v>
      </c>
      <c r="AP3317" t="s">
        <v>982</v>
      </c>
    </row>
    <row r="3318" spans="1:42" customFormat="1" hidden="1" x14ac:dyDescent="0.3">
      <c r="A3318" s="148" t="s">
        <v>8319</v>
      </c>
      <c r="B3318" t="s">
        <v>8320</v>
      </c>
      <c r="C3318" s="148" t="s">
        <v>9369</v>
      </c>
      <c r="D3318" t="s">
        <v>9370</v>
      </c>
      <c r="E3318" s="148" t="s">
        <v>9371</v>
      </c>
      <c r="F3318" t="s">
        <v>9372</v>
      </c>
      <c r="G3318" s="148" t="s">
        <v>9593</v>
      </c>
      <c r="H3318" t="s">
        <v>9594</v>
      </c>
      <c r="K3318" s="155" t="s">
        <v>10820</v>
      </c>
      <c r="L3318" t="s">
        <v>10821</v>
      </c>
      <c r="N3318" s="3"/>
      <c r="O3318" s="3"/>
      <c r="P3318" s="3"/>
      <c r="Q3318" s="3"/>
      <c r="R3318" s="3"/>
      <c r="S3318" s="3"/>
      <c r="U3318" t="e">
        <v>#N/A</v>
      </c>
      <c r="V3318" t="s">
        <v>10926</v>
      </c>
      <c r="W3318" s="45">
        <v>1</v>
      </c>
      <c r="X3318" s="45">
        <v>0</v>
      </c>
      <c r="Y3318" s="45">
        <v>0</v>
      </c>
      <c r="Z3318" s="45">
        <v>0</v>
      </c>
      <c r="AA3318" s="45">
        <v>0</v>
      </c>
      <c r="AB3318" s="45">
        <v>0</v>
      </c>
      <c r="AC3318" s="150">
        <v>0</v>
      </c>
      <c r="AD3318" s="150">
        <v>1</v>
      </c>
      <c r="AE3318" s="49">
        <f t="shared" si="157"/>
        <v>0.25</v>
      </c>
      <c r="AF3318" s="17"/>
      <c r="AG3318" s="17">
        <v>0</v>
      </c>
      <c r="AH3318" s="17">
        <v>0</v>
      </c>
      <c r="AI3318" s="17">
        <v>0</v>
      </c>
      <c r="AJ3318" s="44">
        <v>3</v>
      </c>
      <c r="AK3318" s="151">
        <v>0</v>
      </c>
      <c r="AL3318" s="151">
        <v>0</v>
      </c>
      <c r="AM3318" s="17">
        <f t="shared" si="158"/>
        <v>0</v>
      </c>
      <c r="AN3318" s="44" t="s">
        <v>4825</v>
      </c>
      <c r="AO3318" s="18" t="s">
        <v>4826</v>
      </c>
      <c r="AP3318" t="s">
        <v>10927</v>
      </c>
    </row>
    <row r="3319" spans="1:42" customFormat="1" hidden="1" x14ac:dyDescent="0.3">
      <c r="A3319" s="148" t="s">
        <v>8319</v>
      </c>
      <c r="B3319" t="s">
        <v>8320</v>
      </c>
      <c r="C3319" s="148" t="s">
        <v>9369</v>
      </c>
      <c r="D3319" t="s">
        <v>9370</v>
      </c>
      <c r="E3319" s="148" t="s">
        <v>9371</v>
      </c>
      <c r="F3319" t="s">
        <v>9372</v>
      </c>
      <c r="G3319" t="s">
        <v>10605</v>
      </c>
      <c r="H3319" t="s">
        <v>10606</v>
      </c>
      <c r="I3319" s="148" t="s">
        <v>10928</v>
      </c>
      <c r="J3319" t="s">
        <v>10929</v>
      </c>
      <c r="K3319" s="148" t="s">
        <v>10930</v>
      </c>
      <c r="L3319" t="s">
        <v>10931</v>
      </c>
      <c r="M3319" t="s">
        <v>10932</v>
      </c>
      <c r="N3319" s="3">
        <v>0</v>
      </c>
      <c r="O3319" s="3">
        <v>0</v>
      </c>
      <c r="P3319" s="3">
        <v>1</v>
      </c>
      <c r="Q3319" s="3" t="s">
        <v>271</v>
      </c>
      <c r="R3319" s="3" t="s">
        <v>271</v>
      </c>
      <c r="S3319" s="3" t="s">
        <v>271</v>
      </c>
      <c r="T3319" t="s">
        <v>10933</v>
      </c>
      <c r="U3319" t="e">
        <v>#N/A</v>
      </c>
      <c r="V3319" t="s">
        <v>10934</v>
      </c>
      <c r="W3319" s="45">
        <v>1</v>
      </c>
      <c r="X3319" s="45">
        <v>0</v>
      </c>
      <c r="Y3319" s="45">
        <v>0</v>
      </c>
      <c r="Z3319" s="45">
        <v>0</v>
      </c>
      <c r="AA3319" s="45">
        <v>0</v>
      </c>
      <c r="AB3319" s="45">
        <v>0</v>
      </c>
      <c r="AC3319" s="150">
        <v>0</v>
      </c>
      <c r="AD3319" s="150">
        <v>1</v>
      </c>
      <c r="AE3319" s="49">
        <f t="shared" si="157"/>
        <v>0.25</v>
      </c>
      <c r="AF3319" s="44"/>
      <c r="AG3319" s="17">
        <v>0</v>
      </c>
      <c r="AH3319" s="44" t="s">
        <v>271</v>
      </c>
      <c r="AI3319" s="44" t="s">
        <v>271</v>
      </c>
      <c r="AJ3319" s="44" t="s">
        <v>271</v>
      </c>
      <c r="AK3319" s="151" t="s">
        <v>271</v>
      </c>
      <c r="AL3319" s="151" t="s">
        <v>271</v>
      </c>
      <c r="AM3319" s="17">
        <f t="shared" si="158"/>
        <v>0</v>
      </c>
      <c r="AN3319" t="s">
        <v>2172</v>
      </c>
      <c r="AO3319" s="18" t="s">
        <v>2236</v>
      </c>
      <c r="AP3319" t="s">
        <v>119</v>
      </c>
    </row>
    <row r="3320" spans="1:42" customFormat="1" hidden="1" x14ac:dyDescent="0.3">
      <c r="A3320" s="148" t="s">
        <v>8319</v>
      </c>
      <c r="B3320" t="s">
        <v>8320</v>
      </c>
      <c r="C3320" s="148" t="s">
        <v>9410</v>
      </c>
      <c r="D3320" t="s">
        <v>9411</v>
      </c>
      <c r="E3320" s="148" t="s">
        <v>9412</v>
      </c>
      <c r="F3320" t="s">
        <v>9413</v>
      </c>
      <c r="G3320" s="148" t="s">
        <v>9661</v>
      </c>
      <c r="H3320" t="s">
        <v>9662</v>
      </c>
      <c r="I3320" s="148" t="s">
        <v>10269</v>
      </c>
      <c r="J3320" t="s">
        <v>10270</v>
      </c>
      <c r="K3320" s="148" t="s">
        <v>10271</v>
      </c>
      <c r="L3320" t="s">
        <v>10272</v>
      </c>
      <c r="M3320" t="s">
        <v>10935</v>
      </c>
      <c r="N3320" s="3"/>
      <c r="O3320" s="3">
        <v>0</v>
      </c>
      <c r="P3320" s="3">
        <v>0</v>
      </c>
      <c r="Q3320" s="3">
        <v>1</v>
      </c>
      <c r="R3320" s="3">
        <v>1</v>
      </c>
      <c r="S3320" s="3">
        <v>1</v>
      </c>
      <c r="T3320" t="s">
        <v>3643</v>
      </c>
      <c r="U3320" t="s">
        <v>3630</v>
      </c>
      <c r="V3320" t="s">
        <v>10936</v>
      </c>
      <c r="W3320" s="45">
        <v>1</v>
      </c>
      <c r="X3320" s="45">
        <v>0</v>
      </c>
      <c r="Y3320" s="45">
        <v>0</v>
      </c>
      <c r="Z3320" s="45">
        <v>0</v>
      </c>
      <c r="AA3320" s="45">
        <v>0</v>
      </c>
      <c r="AB3320" s="45">
        <v>0</v>
      </c>
      <c r="AC3320" s="150">
        <v>0</v>
      </c>
      <c r="AD3320" s="150">
        <v>1</v>
      </c>
      <c r="AE3320" s="49">
        <f t="shared" si="157"/>
        <v>0.25</v>
      </c>
      <c r="AF3320" s="44"/>
      <c r="AG3320" s="17">
        <v>0</v>
      </c>
      <c r="AH3320" s="44">
        <v>0.3</v>
      </c>
      <c r="AI3320" s="44">
        <v>0.3</v>
      </c>
      <c r="AJ3320" s="44">
        <v>0.3</v>
      </c>
      <c r="AK3320" s="151">
        <v>5</v>
      </c>
      <c r="AL3320" s="151">
        <v>5</v>
      </c>
      <c r="AM3320" s="17">
        <f t="shared" si="158"/>
        <v>10</v>
      </c>
      <c r="AN3320" t="s">
        <v>3643</v>
      </c>
      <c r="AO3320" s="18" t="s">
        <v>3630</v>
      </c>
      <c r="AP3320" t="s">
        <v>10937</v>
      </c>
    </row>
    <row r="3321" spans="1:42" customFormat="1" hidden="1" x14ac:dyDescent="0.3">
      <c r="A3321" s="148" t="s">
        <v>8319</v>
      </c>
      <c r="B3321" t="s">
        <v>8320</v>
      </c>
      <c r="C3321" s="148" t="s">
        <v>9410</v>
      </c>
      <c r="D3321" t="s">
        <v>9411</v>
      </c>
      <c r="E3321" s="148" t="s">
        <v>9412</v>
      </c>
      <c r="F3321" t="s">
        <v>9413</v>
      </c>
      <c r="G3321" s="148" t="s">
        <v>9448</v>
      </c>
      <c r="H3321" t="s">
        <v>9449</v>
      </c>
      <c r="I3321" s="148" t="s">
        <v>9457</v>
      </c>
      <c r="J3321" t="s">
        <v>9458</v>
      </c>
      <c r="K3321" s="148" t="s">
        <v>10938</v>
      </c>
      <c r="L3321" t="s">
        <v>10939</v>
      </c>
      <c r="M3321" t="s">
        <v>10940</v>
      </c>
      <c r="N3321" s="3"/>
      <c r="O3321" s="3">
        <v>1</v>
      </c>
      <c r="P3321" s="3" t="s">
        <v>271</v>
      </c>
      <c r="Q3321" s="3" t="s">
        <v>271</v>
      </c>
      <c r="R3321" s="3" t="s">
        <v>271</v>
      </c>
      <c r="S3321" s="3" t="s">
        <v>271</v>
      </c>
      <c r="T3321" t="s">
        <v>3640</v>
      </c>
      <c r="U3321" t="s">
        <v>3630</v>
      </c>
      <c r="V3321" t="s">
        <v>10941</v>
      </c>
      <c r="W3321" s="45">
        <v>1</v>
      </c>
      <c r="X3321" s="45">
        <v>0</v>
      </c>
      <c r="Y3321" s="45">
        <v>0</v>
      </c>
      <c r="Z3321" s="45">
        <v>1</v>
      </c>
      <c r="AA3321" s="45">
        <v>0</v>
      </c>
      <c r="AB3321" s="45">
        <v>0</v>
      </c>
      <c r="AC3321" s="150">
        <v>0</v>
      </c>
      <c r="AD3321" s="150">
        <v>0</v>
      </c>
      <c r="AE3321" s="49">
        <f t="shared" si="157"/>
        <v>0.25</v>
      </c>
      <c r="AF3321" s="44"/>
      <c r="AG3321" s="17">
        <v>0</v>
      </c>
      <c r="AH3321" s="44">
        <v>0.25</v>
      </c>
      <c r="AI3321" s="44">
        <v>0</v>
      </c>
      <c r="AJ3321" s="44">
        <v>0.3</v>
      </c>
      <c r="AK3321" s="151">
        <v>0</v>
      </c>
      <c r="AL3321" s="151">
        <v>0.35</v>
      </c>
      <c r="AM3321" s="17">
        <f t="shared" si="158"/>
        <v>0.35</v>
      </c>
      <c r="AN3321" t="s">
        <v>3643</v>
      </c>
      <c r="AO3321" s="18" t="s">
        <v>3630</v>
      </c>
      <c r="AP3321" t="s">
        <v>10942</v>
      </c>
    </row>
    <row r="3322" spans="1:42" customFormat="1" hidden="1" x14ac:dyDescent="0.3">
      <c r="A3322" s="148" t="s">
        <v>8319</v>
      </c>
      <c r="B3322" t="s">
        <v>8320</v>
      </c>
      <c r="C3322" s="148" t="s">
        <v>9410</v>
      </c>
      <c r="D3322" t="s">
        <v>9411</v>
      </c>
      <c r="E3322" s="148" t="s">
        <v>9412</v>
      </c>
      <c r="F3322" t="s">
        <v>9413</v>
      </c>
      <c r="G3322" s="148" t="s">
        <v>9448</v>
      </c>
      <c r="H3322" t="s">
        <v>9449</v>
      </c>
      <c r="I3322" s="148" t="s">
        <v>9457</v>
      </c>
      <c r="J3322" t="s">
        <v>9458</v>
      </c>
      <c r="K3322" s="148" t="s">
        <v>10943</v>
      </c>
      <c r="L3322" t="s">
        <v>10944</v>
      </c>
      <c r="M3322" t="s">
        <v>10945</v>
      </c>
      <c r="N3322" s="3"/>
      <c r="O3322" s="3">
        <v>1</v>
      </c>
      <c r="P3322" s="3">
        <v>0</v>
      </c>
      <c r="Q3322" s="3">
        <v>1</v>
      </c>
      <c r="R3322" s="3">
        <v>0</v>
      </c>
      <c r="S3322" s="3">
        <v>1</v>
      </c>
      <c r="T3322" t="s">
        <v>3643</v>
      </c>
      <c r="U3322" t="s">
        <v>3630</v>
      </c>
      <c r="V3322" t="s">
        <v>10946</v>
      </c>
      <c r="W3322" s="45">
        <v>1</v>
      </c>
      <c r="X3322" s="45">
        <v>0</v>
      </c>
      <c r="Y3322" s="45">
        <v>0</v>
      </c>
      <c r="Z3322" s="45">
        <v>1</v>
      </c>
      <c r="AA3322" s="45">
        <v>0</v>
      </c>
      <c r="AB3322" s="45">
        <v>0</v>
      </c>
      <c r="AC3322" s="150">
        <v>0</v>
      </c>
      <c r="AD3322" s="150">
        <v>0</v>
      </c>
      <c r="AE3322" s="49">
        <f t="shared" si="157"/>
        <v>0.25</v>
      </c>
      <c r="AF3322" s="44"/>
      <c r="AG3322" s="17">
        <v>0</v>
      </c>
      <c r="AH3322" s="44">
        <v>0.23</v>
      </c>
      <c r="AI3322" s="44">
        <v>0</v>
      </c>
      <c r="AJ3322" s="44">
        <v>0.25</v>
      </c>
      <c r="AK3322" s="151">
        <v>1</v>
      </c>
      <c r="AL3322" s="151">
        <v>1</v>
      </c>
      <c r="AM3322" s="17">
        <f t="shared" si="158"/>
        <v>2</v>
      </c>
      <c r="AN3322" t="s">
        <v>3643</v>
      </c>
      <c r="AO3322" s="18" t="s">
        <v>3630</v>
      </c>
      <c r="AP3322" t="s">
        <v>9807</v>
      </c>
    </row>
    <row r="3323" spans="1:42" customFormat="1" hidden="1" x14ac:dyDescent="0.3">
      <c r="A3323" s="148" t="s">
        <v>8319</v>
      </c>
      <c r="B3323" t="s">
        <v>8320</v>
      </c>
      <c r="C3323" s="148" t="s">
        <v>9496</v>
      </c>
      <c r="D3323" t="s">
        <v>9497</v>
      </c>
      <c r="E3323" s="148" t="s">
        <v>9498</v>
      </c>
      <c r="F3323" t="s">
        <v>9499</v>
      </c>
      <c r="G3323" s="148" t="s">
        <v>9500</v>
      </c>
      <c r="H3323" t="s">
        <v>9501</v>
      </c>
      <c r="K3323" s="148" t="s">
        <v>9840</v>
      </c>
      <c r="L3323" t="s">
        <v>9841</v>
      </c>
      <c r="M3323" t="s">
        <v>10947</v>
      </c>
      <c r="N3323" s="3">
        <v>1137</v>
      </c>
      <c r="O3323" s="3">
        <v>1500</v>
      </c>
      <c r="P3323" s="3">
        <v>1500</v>
      </c>
      <c r="Q3323" s="3">
        <v>1500</v>
      </c>
      <c r="R3323" s="3">
        <v>1500</v>
      </c>
      <c r="S3323" s="3">
        <v>1500</v>
      </c>
      <c r="T3323" t="s">
        <v>1536</v>
      </c>
      <c r="U3323" t="e">
        <v>#N/A</v>
      </c>
      <c r="V3323" t="s">
        <v>10948</v>
      </c>
      <c r="W3323" s="45">
        <v>0</v>
      </c>
      <c r="X3323" s="45">
        <v>0</v>
      </c>
      <c r="Y3323" s="45">
        <v>0</v>
      </c>
      <c r="Z3323" s="45">
        <v>1</v>
      </c>
      <c r="AA3323" s="45">
        <v>1</v>
      </c>
      <c r="AB3323" s="45">
        <v>0</v>
      </c>
      <c r="AC3323" s="150">
        <v>0</v>
      </c>
      <c r="AD3323" s="150">
        <v>0</v>
      </c>
      <c r="AE3323" s="49">
        <f t="shared" si="157"/>
        <v>0.25</v>
      </c>
      <c r="AF3323" s="44"/>
      <c r="AG3323" s="17">
        <v>0</v>
      </c>
      <c r="AH3323" s="44">
        <v>0</v>
      </c>
      <c r="AI3323" s="44">
        <v>0</v>
      </c>
      <c r="AJ3323" s="44">
        <v>0</v>
      </c>
      <c r="AK3323" s="151">
        <v>0</v>
      </c>
      <c r="AL3323" s="151">
        <v>0</v>
      </c>
      <c r="AM3323" s="17">
        <f t="shared" si="158"/>
        <v>0</v>
      </c>
      <c r="AN3323" s="18" t="s">
        <v>771</v>
      </c>
      <c r="AO3323" s="18" t="s">
        <v>773</v>
      </c>
      <c r="AP3323" t="s">
        <v>10949</v>
      </c>
    </row>
    <row r="3324" spans="1:42" customFormat="1" hidden="1" x14ac:dyDescent="0.3">
      <c r="A3324" s="148" t="s">
        <v>8319</v>
      </c>
      <c r="B3324" t="s">
        <v>8320</v>
      </c>
      <c r="C3324" s="148" t="s">
        <v>9344</v>
      </c>
      <c r="D3324" t="s">
        <v>9345</v>
      </c>
      <c r="E3324" s="148" t="s">
        <v>10414</v>
      </c>
      <c r="F3324" t="s">
        <v>10415</v>
      </c>
      <c r="G3324" s="148" t="s">
        <v>10767</v>
      </c>
      <c r="H3324" t="s">
        <v>10768</v>
      </c>
      <c r="K3324" s="148" t="s">
        <v>10774</v>
      </c>
      <c r="L3324" t="s">
        <v>10775</v>
      </c>
      <c r="M3324" t="s">
        <v>10950</v>
      </c>
      <c r="N3324" s="3" t="s">
        <v>119</v>
      </c>
      <c r="O3324" s="3">
        <v>47</v>
      </c>
      <c r="P3324" s="3">
        <v>50</v>
      </c>
      <c r="Q3324" s="3">
        <v>53</v>
      </c>
      <c r="R3324" s="3">
        <v>55</v>
      </c>
      <c r="S3324" s="3">
        <v>60</v>
      </c>
      <c r="T3324" t="s">
        <v>723</v>
      </c>
      <c r="U3324" t="s">
        <v>729</v>
      </c>
      <c r="V3324" t="s">
        <v>10951</v>
      </c>
      <c r="W3324" s="45">
        <v>1</v>
      </c>
      <c r="X3324" s="45">
        <v>0</v>
      </c>
      <c r="Y3324" s="45">
        <v>0</v>
      </c>
      <c r="Z3324" s="45">
        <v>1</v>
      </c>
      <c r="AA3324" s="45">
        <v>0</v>
      </c>
      <c r="AB3324" s="45">
        <v>0</v>
      </c>
      <c r="AC3324" s="150">
        <v>0</v>
      </c>
      <c r="AD3324" s="150">
        <v>0</v>
      </c>
      <c r="AE3324" s="49">
        <f t="shared" si="157"/>
        <v>0.25</v>
      </c>
      <c r="AF3324" s="44"/>
      <c r="AG3324" s="17">
        <v>0</v>
      </c>
      <c r="AH3324" s="44">
        <v>0</v>
      </c>
      <c r="AI3324" s="44">
        <v>0.24</v>
      </c>
      <c r="AJ3324" s="44">
        <v>0</v>
      </c>
      <c r="AK3324" s="151">
        <v>0</v>
      </c>
      <c r="AL3324" s="151">
        <v>0</v>
      </c>
      <c r="AM3324" s="17">
        <f t="shared" si="158"/>
        <v>0</v>
      </c>
      <c r="AN3324" s="18" t="s">
        <v>723</v>
      </c>
      <c r="AO3324" s="18" t="s">
        <v>729</v>
      </c>
      <c r="AP3324" t="s">
        <v>255</v>
      </c>
    </row>
    <row r="3325" spans="1:42" customFormat="1" hidden="1" x14ac:dyDescent="0.3">
      <c r="A3325" s="148" t="s">
        <v>8319</v>
      </c>
      <c r="B3325" t="s">
        <v>8320</v>
      </c>
      <c r="C3325" s="148" t="s">
        <v>9344</v>
      </c>
      <c r="D3325" t="s">
        <v>9345</v>
      </c>
      <c r="E3325" s="148" t="s">
        <v>9346</v>
      </c>
      <c r="F3325" t="s">
        <v>9347</v>
      </c>
      <c r="G3325" s="148" t="s">
        <v>9897</v>
      </c>
      <c r="H3325" t="s">
        <v>9898</v>
      </c>
      <c r="K3325" s="148" t="s">
        <v>10952</v>
      </c>
      <c r="L3325" t="s">
        <v>10953</v>
      </c>
      <c r="M3325" t="s">
        <v>10954</v>
      </c>
      <c r="N3325" s="3" t="s">
        <v>271</v>
      </c>
      <c r="O3325" s="3">
        <v>100</v>
      </c>
      <c r="P3325" s="3">
        <v>100</v>
      </c>
      <c r="Q3325" s="3">
        <v>100</v>
      </c>
      <c r="R3325" s="3">
        <v>100</v>
      </c>
      <c r="S3325" s="3">
        <v>100</v>
      </c>
      <c r="T3325" t="s">
        <v>771</v>
      </c>
      <c r="U3325" t="s">
        <v>773</v>
      </c>
      <c r="V3325" t="s">
        <v>10955</v>
      </c>
      <c r="W3325" s="45">
        <v>0</v>
      </c>
      <c r="X3325" s="45">
        <v>0</v>
      </c>
      <c r="Y3325" s="45">
        <v>0</v>
      </c>
      <c r="Z3325" s="45">
        <v>0</v>
      </c>
      <c r="AA3325" s="45">
        <v>0</v>
      </c>
      <c r="AB3325" s="45">
        <v>0</v>
      </c>
      <c r="AC3325" s="150">
        <v>1</v>
      </c>
      <c r="AD3325" s="150">
        <v>0</v>
      </c>
      <c r="AE3325" s="49">
        <f t="shared" si="157"/>
        <v>0.125</v>
      </c>
      <c r="AF3325" s="44"/>
      <c r="AG3325" s="17">
        <v>0</v>
      </c>
      <c r="AH3325" s="44">
        <v>0.3</v>
      </c>
      <c r="AI3325" s="44">
        <v>0.3</v>
      </c>
      <c r="AJ3325" s="44">
        <v>0.3</v>
      </c>
      <c r="AK3325" s="151">
        <v>0.3</v>
      </c>
      <c r="AL3325" s="151">
        <v>0.3</v>
      </c>
      <c r="AM3325" s="17">
        <f t="shared" si="158"/>
        <v>0.6</v>
      </c>
      <c r="AN3325" s="18" t="s">
        <v>255</v>
      </c>
      <c r="AO3325" s="18" t="s">
        <v>1045</v>
      </c>
      <c r="AP3325" t="s">
        <v>10956</v>
      </c>
    </row>
    <row r="3326" spans="1:42" customFormat="1" hidden="1" x14ac:dyDescent="0.3">
      <c r="A3326" s="148" t="s">
        <v>8319</v>
      </c>
      <c r="B3326" t="s">
        <v>8320</v>
      </c>
      <c r="C3326" s="148" t="s">
        <v>9344</v>
      </c>
      <c r="D3326" t="s">
        <v>9345</v>
      </c>
      <c r="E3326" s="148" t="s">
        <v>9346</v>
      </c>
      <c r="F3326" t="s">
        <v>9347</v>
      </c>
      <c r="G3326" s="148" t="s">
        <v>10152</v>
      </c>
      <c r="H3326" t="s">
        <v>10153</v>
      </c>
      <c r="K3326" s="148" t="s">
        <v>10154</v>
      </c>
      <c r="L3326" t="s">
        <v>10155</v>
      </c>
      <c r="M3326" t="s">
        <v>10957</v>
      </c>
      <c r="N3326" s="3" t="s">
        <v>271</v>
      </c>
      <c r="O3326" s="3">
        <v>2500</v>
      </c>
      <c r="P3326" s="3">
        <v>3750</v>
      </c>
      <c r="Q3326" s="3">
        <v>6250</v>
      </c>
      <c r="R3326" s="3">
        <v>6750</v>
      </c>
      <c r="S3326" s="3">
        <v>7000</v>
      </c>
      <c r="T3326" t="s">
        <v>10958</v>
      </c>
      <c r="U3326" t="e">
        <v>#N/A</v>
      </c>
      <c r="V3326" t="s">
        <v>10959</v>
      </c>
      <c r="W3326" s="45">
        <v>1</v>
      </c>
      <c r="X3326" s="45">
        <v>0</v>
      </c>
      <c r="Y3326" s="45">
        <v>0</v>
      </c>
      <c r="Z3326" s="45">
        <v>0</v>
      </c>
      <c r="AA3326" s="45">
        <v>0</v>
      </c>
      <c r="AB3326" s="45"/>
      <c r="AC3326" s="150">
        <v>0</v>
      </c>
      <c r="AD3326" s="150">
        <v>0</v>
      </c>
      <c r="AE3326" s="49">
        <f t="shared" si="157"/>
        <v>0.125</v>
      </c>
      <c r="AF3326" s="44">
        <v>1</v>
      </c>
      <c r="AG3326" s="17">
        <v>0</v>
      </c>
      <c r="AH3326" s="44">
        <v>0</v>
      </c>
      <c r="AI3326" s="44">
        <v>0</v>
      </c>
      <c r="AJ3326" s="44">
        <v>0</v>
      </c>
      <c r="AK3326" s="151">
        <v>1</v>
      </c>
      <c r="AL3326" s="151">
        <v>1</v>
      </c>
      <c r="AM3326" s="17">
        <f t="shared" si="158"/>
        <v>2</v>
      </c>
      <c r="AN3326" s="44" t="s">
        <v>723</v>
      </c>
      <c r="AO3326" s="18" t="s">
        <v>729</v>
      </c>
      <c r="AP3326" t="s">
        <v>10960</v>
      </c>
    </row>
    <row r="3327" spans="1:42" customFormat="1" hidden="1" x14ac:dyDescent="0.3">
      <c r="A3327" s="148" t="s">
        <v>8319</v>
      </c>
      <c r="B3327" t="s">
        <v>8320</v>
      </c>
      <c r="C3327" s="148" t="s">
        <v>9410</v>
      </c>
      <c r="D3327" t="s">
        <v>9411</v>
      </c>
      <c r="E3327" s="148" t="s">
        <v>9412</v>
      </c>
      <c r="F3327" t="s">
        <v>9413</v>
      </c>
      <c r="G3327" s="148" t="s">
        <v>9997</v>
      </c>
      <c r="H3327" t="s">
        <v>9998</v>
      </c>
      <c r="I3327" s="148" t="s">
        <v>10823</v>
      </c>
      <c r="J3327" t="s">
        <v>10824</v>
      </c>
      <c r="K3327" s="148" t="s">
        <v>10825</v>
      </c>
      <c r="L3327" t="s">
        <v>10826</v>
      </c>
      <c r="M3327" t="s">
        <v>10961</v>
      </c>
      <c r="N3327" s="3"/>
      <c r="O3327" s="3">
        <v>0</v>
      </c>
      <c r="P3327" s="3">
        <v>10</v>
      </c>
      <c r="Q3327" s="3">
        <v>15</v>
      </c>
      <c r="R3327" s="3">
        <v>15</v>
      </c>
      <c r="S3327" s="3">
        <v>15</v>
      </c>
      <c r="T3327" t="s">
        <v>3643</v>
      </c>
      <c r="U3327" t="s">
        <v>3630</v>
      </c>
      <c r="V3327" t="s">
        <v>10962</v>
      </c>
      <c r="W3327" s="45">
        <v>1</v>
      </c>
      <c r="X3327" s="45">
        <v>0</v>
      </c>
      <c r="Y3327" s="45">
        <v>0</v>
      </c>
      <c r="Z3327" s="45">
        <v>0</v>
      </c>
      <c r="AA3327" s="45">
        <v>0</v>
      </c>
      <c r="AB3327" s="45">
        <v>0</v>
      </c>
      <c r="AC3327" s="150">
        <v>0</v>
      </c>
      <c r="AD3327" s="150">
        <v>0</v>
      </c>
      <c r="AE3327" s="49">
        <f t="shared" si="157"/>
        <v>0.125</v>
      </c>
      <c r="AF3327" s="17"/>
      <c r="AG3327" s="17">
        <v>0</v>
      </c>
      <c r="AH3327" s="17">
        <v>0</v>
      </c>
      <c r="AI3327" s="17">
        <v>0</v>
      </c>
      <c r="AJ3327" s="17">
        <v>0</v>
      </c>
      <c r="AK3327" s="153">
        <v>0</v>
      </c>
      <c r="AL3327" s="154">
        <v>0</v>
      </c>
      <c r="AM3327" s="17">
        <f t="shared" si="158"/>
        <v>0</v>
      </c>
      <c r="AN3327" t="s">
        <v>3643</v>
      </c>
      <c r="AO3327" s="18" t="s">
        <v>3630</v>
      </c>
      <c r="AP3327" t="s">
        <v>10832</v>
      </c>
    </row>
    <row r="3328" spans="1:42" customFormat="1" hidden="1" x14ac:dyDescent="0.3">
      <c r="A3328" s="148" t="s">
        <v>8319</v>
      </c>
      <c r="B3328" t="s">
        <v>8320</v>
      </c>
      <c r="C3328" s="148" t="s">
        <v>9344</v>
      </c>
      <c r="D3328" t="s">
        <v>9345</v>
      </c>
      <c r="E3328" s="148" t="s">
        <v>10414</v>
      </c>
      <c r="F3328" t="s">
        <v>10415</v>
      </c>
      <c r="G3328" s="148" t="s">
        <v>10416</v>
      </c>
      <c r="H3328" t="s">
        <v>10417</v>
      </c>
      <c r="K3328" s="148" t="s">
        <v>10963</v>
      </c>
      <c r="L3328" t="s">
        <v>10964</v>
      </c>
      <c r="M3328" t="s">
        <v>10965</v>
      </c>
      <c r="N3328" s="3" t="s">
        <v>271</v>
      </c>
      <c r="O3328" s="3" t="s">
        <v>271</v>
      </c>
      <c r="P3328" s="3" t="s">
        <v>271</v>
      </c>
      <c r="Q3328" s="3" t="s">
        <v>271</v>
      </c>
      <c r="R3328" s="3">
        <v>1</v>
      </c>
      <c r="S3328" s="3">
        <v>1</v>
      </c>
      <c r="T3328" t="s">
        <v>10966</v>
      </c>
      <c r="U3328" t="e">
        <v>#N/A</v>
      </c>
      <c r="V3328" t="s">
        <v>10967</v>
      </c>
      <c r="W3328" s="45">
        <v>0</v>
      </c>
      <c r="X3328" s="45">
        <v>0</v>
      </c>
      <c r="Y3328" s="45">
        <v>0</v>
      </c>
      <c r="Z3328" s="45">
        <v>0</v>
      </c>
      <c r="AA3328" s="45">
        <v>1</v>
      </c>
      <c r="AB3328" s="45">
        <v>0</v>
      </c>
      <c r="AC3328" s="150">
        <v>0</v>
      </c>
      <c r="AD3328" s="150">
        <v>0</v>
      </c>
      <c r="AE3328" s="49">
        <f t="shared" si="157"/>
        <v>0.125</v>
      </c>
      <c r="AF3328" s="44"/>
      <c r="AG3328" s="17">
        <v>0</v>
      </c>
      <c r="AH3328" s="44">
        <v>0</v>
      </c>
      <c r="AI3328" s="44">
        <v>0</v>
      </c>
      <c r="AJ3328" s="44">
        <v>3</v>
      </c>
      <c r="AK3328" s="151">
        <v>3</v>
      </c>
      <c r="AL3328" s="151">
        <v>3</v>
      </c>
      <c r="AM3328" s="17">
        <f t="shared" si="158"/>
        <v>6</v>
      </c>
      <c r="AN3328" s="18" t="s">
        <v>255</v>
      </c>
      <c r="AO3328" s="18" t="s">
        <v>1045</v>
      </c>
      <c r="AP3328" t="s">
        <v>982</v>
      </c>
    </row>
    <row r="3329" spans="1:42" customFormat="1" hidden="1" x14ac:dyDescent="0.3">
      <c r="A3329" s="148" t="s">
        <v>8319</v>
      </c>
      <c r="B3329" t="s">
        <v>8320</v>
      </c>
      <c r="C3329" s="148" t="s">
        <v>9344</v>
      </c>
      <c r="D3329" t="s">
        <v>9345</v>
      </c>
      <c r="E3329" s="148" t="s">
        <v>9346</v>
      </c>
      <c r="F3329" t="s">
        <v>9347</v>
      </c>
      <c r="G3329" s="148" t="s">
        <v>9552</v>
      </c>
      <c r="H3329" t="s">
        <v>9553</v>
      </c>
      <c r="K3329" s="148" t="s">
        <v>9554</v>
      </c>
      <c r="L3329" t="s">
        <v>9555</v>
      </c>
      <c r="M3329" t="s">
        <v>10968</v>
      </c>
      <c r="N3329" s="3">
        <v>15</v>
      </c>
      <c r="O3329" s="3">
        <v>20</v>
      </c>
      <c r="P3329" s="3">
        <v>20</v>
      </c>
      <c r="Q3329" s="3">
        <v>30</v>
      </c>
      <c r="R3329" s="3">
        <v>40</v>
      </c>
      <c r="S3329" s="3">
        <v>40</v>
      </c>
      <c r="T3329" t="s">
        <v>10969</v>
      </c>
      <c r="U3329" t="e">
        <v>#N/A</v>
      </c>
      <c r="W3329" s="45"/>
      <c r="X3329" s="45"/>
      <c r="Y3329" s="45"/>
      <c r="Z3329" s="45"/>
      <c r="AA3329" s="45"/>
      <c r="AB3329" s="45"/>
      <c r="AC3329" s="150">
        <v>0</v>
      </c>
      <c r="AD3329" s="150">
        <v>0</v>
      </c>
      <c r="AE3329" s="49">
        <f t="shared" si="157"/>
        <v>0</v>
      </c>
      <c r="AF3329" s="4"/>
      <c r="AG3329" s="17">
        <v>0</v>
      </c>
      <c r="AH3329" s="4"/>
      <c r="AI3329" s="4"/>
      <c r="AJ3329" s="4"/>
      <c r="AK3329" s="46"/>
      <c r="AL3329" s="46"/>
      <c r="AM3329" s="17">
        <f t="shared" si="158"/>
        <v>0</v>
      </c>
      <c r="AO3329" s="18"/>
    </row>
    <row r="3330" spans="1:42" customFormat="1" hidden="1" x14ac:dyDescent="0.3">
      <c r="A3330" s="148" t="s">
        <v>8319</v>
      </c>
      <c r="B3330" t="s">
        <v>8320</v>
      </c>
      <c r="C3330" s="148" t="s">
        <v>9344</v>
      </c>
      <c r="D3330" t="s">
        <v>9345</v>
      </c>
      <c r="E3330" s="148" t="s">
        <v>9346</v>
      </c>
      <c r="F3330" t="s">
        <v>9347</v>
      </c>
      <c r="G3330" s="148" t="s">
        <v>9552</v>
      </c>
      <c r="H3330" t="s">
        <v>9553</v>
      </c>
      <c r="K3330" s="148" t="s">
        <v>9554</v>
      </c>
      <c r="L3330" t="s">
        <v>9555</v>
      </c>
      <c r="M3330" t="s">
        <v>10970</v>
      </c>
      <c r="N3330" s="3">
        <v>46</v>
      </c>
      <c r="O3330" s="3">
        <v>48</v>
      </c>
      <c r="P3330" s="3">
        <v>55</v>
      </c>
      <c r="Q3330" s="3">
        <v>60</v>
      </c>
      <c r="R3330" s="3">
        <v>65</v>
      </c>
      <c r="S3330" s="3">
        <v>70</v>
      </c>
      <c r="T3330" t="s">
        <v>723</v>
      </c>
      <c r="U3330" t="s">
        <v>729</v>
      </c>
      <c r="W3330" s="45"/>
      <c r="X3330" s="45"/>
      <c r="Y3330" s="45"/>
      <c r="Z3330" s="45"/>
      <c r="AA3330" s="45"/>
      <c r="AB3330" s="45"/>
      <c r="AC3330" s="150">
        <v>0</v>
      </c>
      <c r="AD3330" s="150">
        <v>0</v>
      </c>
      <c r="AE3330" s="49">
        <f t="shared" si="157"/>
        <v>0</v>
      </c>
      <c r="AF3330" s="4"/>
      <c r="AG3330" s="17">
        <v>0</v>
      </c>
      <c r="AH3330" s="4"/>
      <c r="AI3330" s="4"/>
      <c r="AJ3330" s="4"/>
      <c r="AK3330" s="46"/>
      <c r="AL3330" s="46"/>
      <c r="AM3330" s="17">
        <f t="shared" si="158"/>
        <v>0</v>
      </c>
      <c r="AO3330" s="18"/>
    </row>
    <row r="3331" spans="1:42" customFormat="1" hidden="1" x14ac:dyDescent="0.3">
      <c r="A3331" s="148" t="s">
        <v>8319</v>
      </c>
      <c r="B3331" t="s">
        <v>8320</v>
      </c>
      <c r="C3331" s="148" t="s">
        <v>9344</v>
      </c>
      <c r="D3331" t="s">
        <v>9345</v>
      </c>
      <c r="E3331" s="148" t="s">
        <v>9346</v>
      </c>
      <c r="F3331" t="s">
        <v>9347</v>
      </c>
      <c r="G3331" t="s">
        <v>9348</v>
      </c>
      <c r="H3331" t="s">
        <v>9349</v>
      </c>
      <c r="I3331" s="148" t="s">
        <v>9883</v>
      </c>
      <c r="J3331" t="s">
        <v>9884</v>
      </c>
      <c r="K3331" s="148" t="s">
        <v>9885</v>
      </c>
      <c r="L3331" t="s">
        <v>9886</v>
      </c>
      <c r="M3331" t="s">
        <v>10971</v>
      </c>
      <c r="N3331" s="3">
        <v>40</v>
      </c>
      <c r="O3331" s="3">
        <v>35</v>
      </c>
      <c r="P3331" s="3">
        <v>30</v>
      </c>
      <c r="Q3331" s="3">
        <v>25</v>
      </c>
      <c r="R3331" s="3">
        <v>20</v>
      </c>
      <c r="S3331" s="3">
        <v>15</v>
      </c>
      <c r="T3331" t="s">
        <v>10972</v>
      </c>
      <c r="U3331" t="e">
        <v>#N/A</v>
      </c>
      <c r="W3331" s="45"/>
      <c r="X3331" s="45"/>
      <c r="Y3331" s="45"/>
      <c r="Z3331" s="45"/>
      <c r="AA3331" s="45"/>
      <c r="AB3331" s="45"/>
      <c r="AC3331" s="150">
        <v>0</v>
      </c>
      <c r="AD3331" s="150">
        <v>0</v>
      </c>
      <c r="AE3331" s="49">
        <f t="shared" si="157"/>
        <v>0</v>
      </c>
      <c r="AF3331" s="17"/>
      <c r="AG3331" s="17">
        <v>0</v>
      </c>
      <c r="AH3331" s="17"/>
      <c r="AI3331" s="17"/>
      <c r="AJ3331" s="17"/>
      <c r="AK3331" s="153"/>
      <c r="AL3331" s="154"/>
      <c r="AM3331" s="17">
        <f t="shared" si="158"/>
        <v>0</v>
      </c>
      <c r="AN3331" s="18"/>
      <c r="AO3331" s="18"/>
    </row>
    <row r="3332" spans="1:42" customFormat="1" hidden="1" x14ac:dyDescent="0.3">
      <c r="A3332" s="148" t="s">
        <v>8319</v>
      </c>
      <c r="B3332" t="s">
        <v>8320</v>
      </c>
      <c r="C3332" s="148" t="s">
        <v>9344</v>
      </c>
      <c r="D3332" t="s">
        <v>9345</v>
      </c>
      <c r="E3332" s="148" t="s">
        <v>9346</v>
      </c>
      <c r="F3332" t="s">
        <v>9347</v>
      </c>
      <c r="G3332" t="s">
        <v>9348</v>
      </c>
      <c r="H3332" t="s">
        <v>9349</v>
      </c>
      <c r="I3332" s="148" t="s">
        <v>9883</v>
      </c>
      <c r="J3332" t="s">
        <v>9884</v>
      </c>
      <c r="K3332" s="148" t="s">
        <v>9885</v>
      </c>
      <c r="L3332" t="s">
        <v>9886</v>
      </c>
      <c r="M3332" t="s">
        <v>10973</v>
      </c>
      <c r="N3332" s="3"/>
      <c r="O3332" s="3">
        <v>55</v>
      </c>
      <c r="P3332" s="3">
        <v>50</v>
      </c>
      <c r="Q3332" s="3">
        <v>45</v>
      </c>
      <c r="R3332" s="3">
        <v>40</v>
      </c>
      <c r="S3332" s="3">
        <v>35</v>
      </c>
      <c r="U3332" t="e">
        <v>#N/A</v>
      </c>
      <c r="W3332" s="45"/>
      <c r="X3332" s="45"/>
      <c r="Y3332" s="45"/>
      <c r="Z3332" s="45"/>
      <c r="AA3332" s="45"/>
      <c r="AB3332" s="45"/>
      <c r="AC3332" s="150">
        <v>0</v>
      </c>
      <c r="AD3332" s="150">
        <v>0</v>
      </c>
      <c r="AE3332" s="49">
        <f t="shared" si="157"/>
        <v>0</v>
      </c>
      <c r="AF3332" s="17"/>
      <c r="AG3332" s="17">
        <v>0</v>
      </c>
      <c r="AH3332" s="17"/>
      <c r="AI3332" s="17"/>
      <c r="AJ3332" s="17"/>
      <c r="AK3332" s="153"/>
      <c r="AL3332" s="154"/>
      <c r="AM3332" s="17">
        <f t="shared" si="158"/>
        <v>0</v>
      </c>
      <c r="AN3332" s="18"/>
      <c r="AO3332" s="18"/>
    </row>
    <row r="3333" spans="1:42" customFormat="1" hidden="1" x14ac:dyDescent="0.3">
      <c r="A3333" s="148" t="s">
        <v>8319</v>
      </c>
      <c r="B3333" t="s">
        <v>8320</v>
      </c>
      <c r="C3333" s="148" t="s">
        <v>9344</v>
      </c>
      <c r="D3333" t="s">
        <v>9345</v>
      </c>
      <c r="E3333" s="148" t="s">
        <v>9346</v>
      </c>
      <c r="F3333" t="s">
        <v>9347</v>
      </c>
      <c r="G3333" t="s">
        <v>9348</v>
      </c>
      <c r="H3333" t="s">
        <v>9349</v>
      </c>
      <c r="I3333" s="148" t="s">
        <v>9883</v>
      </c>
      <c r="J3333" t="s">
        <v>9884</v>
      </c>
      <c r="K3333" s="148" t="s">
        <v>9885</v>
      </c>
      <c r="L3333" t="s">
        <v>9886</v>
      </c>
      <c r="M3333" t="s">
        <v>10974</v>
      </c>
      <c r="N3333" s="3">
        <v>43</v>
      </c>
      <c r="O3333" s="3">
        <v>42</v>
      </c>
      <c r="P3333" s="3">
        <v>41</v>
      </c>
      <c r="Q3333" s="3">
        <v>40</v>
      </c>
      <c r="R3333" s="3">
        <v>39</v>
      </c>
      <c r="S3333" s="3">
        <v>38</v>
      </c>
      <c r="T3333" t="s">
        <v>10975</v>
      </c>
      <c r="U3333" t="e">
        <v>#N/A</v>
      </c>
      <c r="W3333" s="45"/>
      <c r="X3333" s="45"/>
      <c r="Y3333" s="45"/>
      <c r="Z3333" s="45"/>
      <c r="AA3333" s="45"/>
      <c r="AB3333" s="45"/>
      <c r="AC3333" s="150">
        <v>0</v>
      </c>
      <c r="AD3333" s="150">
        <v>0</v>
      </c>
      <c r="AE3333" s="49">
        <f t="shared" si="157"/>
        <v>0</v>
      </c>
      <c r="AF3333" s="17"/>
      <c r="AG3333" s="17">
        <v>0</v>
      </c>
      <c r="AH3333" s="17"/>
      <c r="AI3333" s="17"/>
      <c r="AJ3333" s="17"/>
      <c r="AK3333" s="153"/>
      <c r="AL3333" s="154"/>
      <c r="AM3333" s="17">
        <f t="shared" si="158"/>
        <v>0</v>
      </c>
      <c r="AN3333" s="18"/>
      <c r="AO3333" s="18"/>
    </row>
    <row r="3334" spans="1:42" customFormat="1" hidden="1" x14ac:dyDescent="0.3">
      <c r="A3334" s="148" t="s">
        <v>8319</v>
      </c>
      <c r="B3334" t="s">
        <v>8320</v>
      </c>
      <c r="C3334" s="148" t="s">
        <v>9344</v>
      </c>
      <c r="D3334" t="s">
        <v>9345</v>
      </c>
      <c r="E3334" s="148" t="s">
        <v>9346</v>
      </c>
      <c r="F3334" t="s">
        <v>9347</v>
      </c>
      <c r="G3334" s="148" t="s">
        <v>9897</v>
      </c>
      <c r="H3334" t="s">
        <v>9898</v>
      </c>
      <c r="K3334" s="148" t="s">
        <v>10976</v>
      </c>
      <c r="L3334" t="s">
        <v>10977</v>
      </c>
      <c r="M3334" t="s">
        <v>10978</v>
      </c>
      <c r="N3334" s="3">
        <v>80</v>
      </c>
      <c r="O3334" s="3">
        <v>140</v>
      </c>
      <c r="P3334" s="3">
        <v>140</v>
      </c>
      <c r="Q3334" s="3">
        <v>140</v>
      </c>
      <c r="R3334" s="3">
        <v>140</v>
      </c>
      <c r="S3334" s="3">
        <v>140</v>
      </c>
      <c r="T3334" t="s">
        <v>771</v>
      </c>
      <c r="U3334" t="s">
        <v>773</v>
      </c>
      <c r="V3334" t="s">
        <v>10979</v>
      </c>
      <c r="W3334" s="45">
        <v>0</v>
      </c>
      <c r="X3334" s="45">
        <v>0</v>
      </c>
      <c r="Y3334" s="45">
        <v>0</v>
      </c>
      <c r="Z3334" s="45">
        <v>0</v>
      </c>
      <c r="AA3334" s="45">
        <v>0</v>
      </c>
      <c r="AB3334" s="45">
        <v>0</v>
      </c>
      <c r="AC3334" s="150">
        <v>0</v>
      </c>
      <c r="AD3334" s="150">
        <v>0</v>
      </c>
      <c r="AE3334" s="49">
        <f t="shared" si="157"/>
        <v>0</v>
      </c>
      <c r="AF3334" s="44"/>
      <c r="AG3334" s="17">
        <v>0</v>
      </c>
      <c r="AH3334" s="44">
        <v>0.1</v>
      </c>
      <c r="AI3334" s="44">
        <v>0.1</v>
      </c>
      <c r="AJ3334" s="44">
        <v>0.1</v>
      </c>
      <c r="AK3334" s="151">
        <v>0.1</v>
      </c>
      <c r="AL3334" s="151">
        <v>0.1</v>
      </c>
      <c r="AM3334" s="17">
        <f t="shared" si="158"/>
        <v>0.2</v>
      </c>
      <c r="AN3334" s="18" t="s">
        <v>771</v>
      </c>
      <c r="AO3334" s="18" t="s">
        <v>773</v>
      </c>
      <c r="AP3334" t="s">
        <v>255</v>
      </c>
    </row>
    <row r="3335" spans="1:42" customFormat="1" hidden="1" x14ac:dyDescent="0.3">
      <c r="A3335" s="148" t="s">
        <v>8319</v>
      </c>
      <c r="B3335" t="s">
        <v>8320</v>
      </c>
      <c r="C3335" s="148" t="s">
        <v>9344</v>
      </c>
      <c r="D3335" t="s">
        <v>9345</v>
      </c>
      <c r="E3335" s="148" t="s">
        <v>9346</v>
      </c>
      <c r="F3335" t="s">
        <v>9347</v>
      </c>
      <c r="G3335" s="148" t="s">
        <v>10152</v>
      </c>
      <c r="H3335" t="s">
        <v>10153</v>
      </c>
      <c r="K3335" s="148" t="s">
        <v>10154</v>
      </c>
      <c r="L3335" t="s">
        <v>10155</v>
      </c>
      <c r="M3335" t="s">
        <v>10980</v>
      </c>
      <c r="N3335" s="3" t="s">
        <v>271</v>
      </c>
      <c r="O3335" s="3" t="s">
        <v>271</v>
      </c>
      <c r="P3335" s="3" t="s">
        <v>271</v>
      </c>
      <c r="Q3335" s="3">
        <v>1</v>
      </c>
      <c r="R3335" s="3" t="s">
        <v>271</v>
      </c>
      <c r="S3335" s="3" t="s">
        <v>271</v>
      </c>
      <c r="T3335" t="s">
        <v>723</v>
      </c>
      <c r="U3335" t="s">
        <v>729</v>
      </c>
      <c r="W3335" s="45"/>
      <c r="X3335" s="45"/>
      <c r="Y3335" s="45"/>
      <c r="Z3335" s="45"/>
      <c r="AA3335" s="45"/>
      <c r="AB3335" s="45"/>
      <c r="AC3335" s="150">
        <v>0</v>
      </c>
      <c r="AD3335" s="150">
        <v>0</v>
      </c>
      <c r="AE3335" s="49">
        <f t="shared" si="157"/>
        <v>0</v>
      </c>
      <c r="AF3335" s="17"/>
      <c r="AG3335" s="17">
        <v>0</v>
      </c>
      <c r="AH3335" s="17">
        <v>0</v>
      </c>
      <c r="AI3335" s="17">
        <v>0</v>
      </c>
      <c r="AJ3335" s="17">
        <v>0</v>
      </c>
      <c r="AK3335" s="153">
        <v>0</v>
      </c>
      <c r="AL3335" s="154">
        <v>0</v>
      </c>
      <c r="AM3335" s="17">
        <f t="shared" si="158"/>
        <v>0</v>
      </c>
      <c r="AN3335" s="44" t="s">
        <v>723</v>
      </c>
      <c r="AO3335" s="18" t="s">
        <v>729</v>
      </c>
    </row>
    <row r="3336" spans="1:42" customFormat="1" hidden="1" x14ac:dyDescent="0.3">
      <c r="A3336" s="148" t="s">
        <v>8319</v>
      </c>
      <c r="B3336" t="s">
        <v>8320</v>
      </c>
      <c r="C3336" s="148" t="s">
        <v>9344</v>
      </c>
      <c r="D3336" t="s">
        <v>9345</v>
      </c>
      <c r="E3336" s="148" t="s">
        <v>9346</v>
      </c>
      <c r="F3336" t="s">
        <v>9347</v>
      </c>
      <c r="G3336" s="148" t="s">
        <v>10152</v>
      </c>
      <c r="H3336" t="s">
        <v>10153</v>
      </c>
      <c r="K3336" s="148" t="s">
        <v>10154</v>
      </c>
      <c r="L3336" t="s">
        <v>10155</v>
      </c>
      <c r="M3336" t="s">
        <v>10981</v>
      </c>
      <c r="N3336" s="3" t="s">
        <v>271</v>
      </c>
      <c r="O3336" s="3">
        <v>2500</v>
      </c>
      <c r="P3336" s="3">
        <v>3750</v>
      </c>
      <c r="Q3336" s="3">
        <v>6250</v>
      </c>
      <c r="R3336" s="3">
        <v>6750</v>
      </c>
      <c r="S3336" s="3">
        <v>7000</v>
      </c>
      <c r="T3336" t="s">
        <v>723</v>
      </c>
      <c r="U3336" t="s">
        <v>729</v>
      </c>
      <c r="V3336" t="s">
        <v>10982</v>
      </c>
      <c r="W3336" s="45">
        <v>0</v>
      </c>
      <c r="X3336" s="45">
        <v>0</v>
      </c>
      <c r="Y3336" s="45">
        <v>0</v>
      </c>
      <c r="Z3336" s="45">
        <v>0</v>
      </c>
      <c r="AA3336" s="45">
        <v>0</v>
      </c>
      <c r="AB3336" s="45">
        <v>0</v>
      </c>
      <c r="AC3336" s="150">
        <v>0</v>
      </c>
      <c r="AD3336" s="150">
        <v>0</v>
      </c>
      <c r="AE3336" s="49">
        <f t="shared" si="157"/>
        <v>0</v>
      </c>
      <c r="AF3336" s="17">
        <v>1</v>
      </c>
      <c r="AG3336" s="17">
        <v>0</v>
      </c>
      <c r="AH3336" s="17">
        <v>0</v>
      </c>
      <c r="AI3336" s="44">
        <v>0</v>
      </c>
      <c r="AJ3336" s="44">
        <v>0</v>
      </c>
      <c r="AK3336" s="151">
        <v>1</v>
      </c>
      <c r="AL3336" s="151">
        <v>1</v>
      </c>
      <c r="AM3336" s="17">
        <f t="shared" si="158"/>
        <v>2</v>
      </c>
      <c r="AN3336" s="44" t="s">
        <v>723</v>
      </c>
      <c r="AO3336" s="18" t="s">
        <v>729</v>
      </c>
      <c r="AP3336" t="s">
        <v>10983</v>
      </c>
    </row>
    <row r="3337" spans="1:42" customFormat="1" hidden="1" x14ac:dyDescent="0.3">
      <c r="A3337" s="148" t="s">
        <v>8319</v>
      </c>
      <c r="B3337" t="s">
        <v>8320</v>
      </c>
      <c r="C3337" s="148" t="s">
        <v>9344</v>
      </c>
      <c r="D3337" t="s">
        <v>9345</v>
      </c>
      <c r="E3337" s="148" t="s">
        <v>9346</v>
      </c>
      <c r="F3337" t="s">
        <v>9347</v>
      </c>
      <c r="G3337" s="148" t="s">
        <v>10152</v>
      </c>
      <c r="H3337" t="s">
        <v>10153</v>
      </c>
      <c r="K3337" s="148" t="s">
        <v>10154</v>
      </c>
      <c r="L3337" t="s">
        <v>10155</v>
      </c>
      <c r="M3337" t="s">
        <v>10984</v>
      </c>
      <c r="N3337" s="3" t="s">
        <v>271</v>
      </c>
      <c r="O3337" s="3">
        <v>11</v>
      </c>
      <c r="P3337" s="3">
        <v>11</v>
      </c>
      <c r="Q3337" s="3">
        <v>11</v>
      </c>
      <c r="R3337" s="3">
        <v>11</v>
      </c>
      <c r="S3337" s="3">
        <v>11</v>
      </c>
      <c r="T3337" t="s">
        <v>723</v>
      </c>
      <c r="U3337" t="s">
        <v>729</v>
      </c>
      <c r="V3337" t="s">
        <v>10985</v>
      </c>
      <c r="W3337" s="45">
        <v>0</v>
      </c>
      <c r="X3337" s="45">
        <v>0</v>
      </c>
      <c r="Y3337" s="45">
        <v>0</v>
      </c>
      <c r="Z3337" s="45">
        <v>0</v>
      </c>
      <c r="AA3337" s="45">
        <v>0</v>
      </c>
      <c r="AB3337" s="45">
        <v>0</v>
      </c>
      <c r="AC3337" s="150">
        <v>0</v>
      </c>
      <c r="AD3337" s="150">
        <v>0</v>
      </c>
      <c r="AE3337" s="49">
        <f t="shared" si="157"/>
        <v>0</v>
      </c>
      <c r="AF3337" s="44"/>
      <c r="AG3337" s="17">
        <v>0</v>
      </c>
      <c r="AH3337" s="44">
        <v>0</v>
      </c>
      <c r="AI3337" s="44">
        <v>0</v>
      </c>
      <c r="AJ3337" s="44">
        <v>0</v>
      </c>
      <c r="AK3337" s="151">
        <v>0</v>
      </c>
      <c r="AL3337" s="151">
        <v>0</v>
      </c>
      <c r="AM3337" s="17">
        <f t="shared" si="158"/>
        <v>0</v>
      </c>
      <c r="AN3337" s="44" t="s">
        <v>723</v>
      </c>
      <c r="AO3337" s="18" t="s">
        <v>729</v>
      </c>
      <c r="AP3337" t="s">
        <v>10986</v>
      </c>
    </row>
    <row r="3338" spans="1:42" customFormat="1" hidden="1" x14ac:dyDescent="0.3">
      <c r="A3338" s="148" t="s">
        <v>8319</v>
      </c>
      <c r="B3338" t="s">
        <v>8320</v>
      </c>
      <c r="C3338" s="148" t="s">
        <v>9344</v>
      </c>
      <c r="D3338" t="s">
        <v>9345</v>
      </c>
      <c r="E3338" s="148" t="s">
        <v>9346</v>
      </c>
      <c r="F3338" t="s">
        <v>9347</v>
      </c>
      <c r="G3338" s="148" t="s">
        <v>10152</v>
      </c>
      <c r="H3338" t="s">
        <v>10153</v>
      </c>
      <c r="K3338" s="148" t="s">
        <v>10154</v>
      </c>
      <c r="L3338" t="s">
        <v>10155</v>
      </c>
      <c r="M3338" t="s">
        <v>10987</v>
      </c>
      <c r="N3338" s="3"/>
      <c r="O3338" s="3">
        <v>0</v>
      </c>
      <c r="P3338" s="3">
        <v>657</v>
      </c>
      <c r="Q3338" s="3">
        <v>714</v>
      </c>
      <c r="R3338" s="3">
        <v>971</v>
      </c>
      <c r="S3338" s="3">
        <v>1228</v>
      </c>
      <c r="T3338" t="s">
        <v>723</v>
      </c>
      <c r="U3338" t="s">
        <v>729</v>
      </c>
      <c r="W3338" s="45"/>
      <c r="X3338" s="45"/>
      <c r="Y3338" s="45"/>
      <c r="Z3338" s="45"/>
      <c r="AA3338" s="45"/>
      <c r="AB3338" s="45"/>
      <c r="AC3338" s="150">
        <v>0</v>
      </c>
      <c r="AD3338" s="150">
        <v>0</v>
      </c>
      <c r="AE3338" s="49">
        <f t="shared" si="157"/>
        <v>0</v>
      </c>
      <c r="AF3338" s="17"/>
      <c r="AG3338" s="17">
        <v>0</v>
      </c>
      <c r="AH3338" s="17"/>
      <c r="AI3338" s="4"/>
      <c r="AJ3338" s="4"/>
      <c r="AK3338" s="46"/>
      <c r="AL3338" s="46"/>
      <c r="AM3338" s="17">
        <f t="shared" si="158"/>
        <v>0</v>
      </c>
      <c r="AN3338" s="44"/>
      <c r="AO3338" s="18"/>
    </row>
    <row r="3339" spans="1:42" customFormat="1" hidden="1" x14ac:dyDescent="0.3">
      <c r="A3339" s="148" t="s">
        <v>8319</v>
      </c>
      <c r="B3339" t="s">
        <v>8320</v>
      </c>
      <c r="C3339" s="148" t="s">
        <v>9344</v>
      </c>
      <c r="D3339" t="s">
        <v>9345</v>
      </c>
      <c r="E3339" s="148" t="s">
        <v>9346</v>
      </c>
      <c r="F3339" t="s">
        <v>9347</v>
      </c>
      <c r="G3339" s="148" t="s">
        <v>10158</v>
      </c>
      <c r="H3339" t="s">
        <v>10159</v>
      </c>
      <c r="I3339" s="148" t="s">
        <v>10988</v>
      </c>
      <c r="J3339" t="s">
        <v>10989</v>
      </c>
      <c r="K3339" s="155" t="s">
        <v>10990</v>
      </c>
      <c r="L3339" t="s">
        <v>10991</v>
      </c>
      <c r="M3339" t="s">
        <v>10992</v>
      </c>
      <c r="N3339" s="3" t="s">
        <v>271</v>
      </c>
      <c r="O3339" s="3" t="s">
        <v>271</v>
      </c>
      <c r="P3339" s="3" t="s">
        <v>271</v>
      </c>
      <c r="Q3339" s="3" t="s">
        <v>271</v>
      </c>
      <c r="R3339" s="3" t="s">
        <v>271</v>
      </c>
      <c r="S3339" s="3">
        <v>2</v>
      </c>
      <c r="T3339" t="s">
        <v>10993</v>
      </c>
      <c r="U3339" t="e">
        <v>#N/A</v>
      </c>
      <c r="W3339" s="45"/>
      <c r="X3339" s="45"/>
      <c r="Y3339" s="45"/>
      <c r="Z3339" s="45"/>
      <c r="AA3339" s="45"/>
      <c r="AB3339" s="45"/>
      <c r="AC3339" s="150">
        <v>0</v>
      </c>
      <c r="AD3339" s="150">
        <v>0</v>
      </c>
      <c r="AE3339" s="49">
        <f t="shared" si="157"/>
        <v>0</v>
      </c>
      <c r="AF3339" s="4"/>
      <c r="AG3339" s="17">
        <v>0</v>
      </c>
      <c r="AH3339" s="4"/>
      <c r="AI3339" s="4"/>
      <c r="AJ3339" s="4"/>
      <c r="AK3339" s="46"/>
      <c r="AL3339" s="46"/>
      <c r="AM3339" s="17">
        <f t="shared" si="158"/>
        <v>0</v>
      </c>
      <c r="AN3339" s="44"/>
      <c r="AO3339" s="18"/>
    </row>
    <row r="3340" spans="1:42" customFormat="1" hidden="1" x14ac:dyDescent="0.3">
      <c r="A3340" s="148" t="s">
        <v>8319</v>
      </c>
      <c r="B3340" t="s">
        <v>8320</v>
      </c>
      <c r="C3340" s="148" t="s">
        <v>9344</v>
      </c>
      <c r="D3340" t="s">
        <v>9345</v>
      </c>
      <c r="E3340" s="148" t="s">
        <v>9346</v>
      </c>
      <c r="F3340" t="s">
        <v>9347</v>
      </c>
      <c r="G3340" s="148" t="s">
        <v>10994</v>
      </c>
      <c r="H3340" t="s">
        <v>10995</v>
      </c>
      <c r="K3340" s="155" t="s">
        <v>10996</v>
      </c>
      <c r="L3340" t="s">
        <v>10997</v>
      </c>
      <c r="M3340" t="s">
        <v>10998</v>
      </c>
      <c r="N3340" s="3">
        <v>0</v>
      </c>
      <c r="O3340" s="3">
        <v>0</v>
      </c>
      <c r="P3340" s="3">
        <v>1</v>
      </c>
      <c r="Q3340" s="3" t="s">
        <v>271</v>
      </c>
      <c r="R3340" s="3" t="s">
        <v>271</v>
      </c>
      <c r="S3340" s="3" t="s">
        <v>271</v>
      </c>
      <c r="T3340" t="s">
        <v>10999</v>
      </c>
      <c r="U3340" t="e">
        <v>#N/A</v>
      </c>
      <c r="W3340" s="45"/>
      <c r="X3340" s="45"/>
      <c r="Y3340" s="45"/>
      <c r="Z3340" s="45"/>
      <c r="AA3340" s="45"/>
      <c r="AB3340" s="45"/>
      <c r="AC3340" s="150">
        <v>0</v>
      </c>
      <c r="AD3340" s="150">
        <v>0</v>
      </c>
      <c r="AE3340" s="49">
        <f t="shared" si="157"/>
        <v>0</v>
      </c>
      <c r="AF3340" s="17"/>
      <c r="AG3340" s="17">
        <v>0</v>
      </c>
      <c r="AH3340" s="17">
        <v>0</v>
      </c>
      <c r="AI3340" s="17">
        <v>0</v>
      </c>
      <c r="AJ3340" s="17">
        <v>0</v>
      </c>
      <c r="AK3340" s="153">
        <v>0</v>
      </c>
      <c r="AL3340" s="154">
        <v>0</v>
      </c>
      <c r="AM3340" s="17">
        <f t="shared" si="158"/>
        <v>0</v>
      </c>
      <c r="AN3340" s="44" t="s">
        <v>723</v>
      </c>
      <c r="AO3340" s="18" t="s">
        <v>729</v>
      </c>
    </row>
    <row r="3341" spans="1:42" customFormat="1" hidden="1" x14ac:dyDescent="0.3">
      <c r="A3341" s="148" t="s">
        <v>8319</v>
      </c>
      <c r="B3341" t="s">
        <v>8320</v>
      </c>
      <c r="C3341" s="148" t="s">
        <v>9369</v>
      </c>
      <c r="D3341" t="s">
        <v>9370</v>
      </c>
      <c r="E3341" s="148" t="s">
        <v>9371</v>
      </c>
      <c r="F3341" t="s">
        <v>9372</v>
      </c>
      <c r="G3341" s="148" t="s">
        <v>9373</v>
      </c>
      <c r="H3341" t="s">
        <v>9374</v>
      </c>
      <c r="I3341" t="s">
        <v>9375</v>
      </c>
      <c r="J3341" t="s">
        <v>9376</v>
      </c>
      <c r="K3341" s="148" t="s">
        <v>9578</v>
      </c>
      <c r="L3341" t="s">
        <v>9579</v>
      </c>
      <c r="N3341" s="3"/>
      <c r="O3341" s="3"/>
      <c r="P3341" s="3"/>
      <c r="Q3341" s="3"/>
      <c r="R3341" s="3"/>
      <c r="S3341" s="3"/>
      <c r="U3341" t="e">
        <v>#N/A</v>
      </c>
      <c r="W3341" s="45"/>
      <c r="X3341" s="45"/>
      <c r="Y3341" s="45"/>
      <c r="Z3341" s="45"/>
      <c r="AA3341" s="45"/>
      <c r="AB3341" s="45"/>
      <c r="AC3341" s="150">
        <v>0</v>
      </c>
      <c r="AD3341" s="150">
        <v>0</v>
      </c>
      <c r="AE3341" s="49">
        <f t="shared" si="157"/>
        <v>0</v>
      </c>
      <c r="AF3341" s="4"/>
      <c r="AG3341" s="17">
        <v>0</v>
      </c>
      <c r="AH3341" s="4"/>
      <c r="AI3341" s="4"/>
      <c r="AJ3341" s="4"/>
      <c r="AK3341" s="46"/>
      <c r="AL3341" s="46"/>
      <c r="AM3341" s="17">
        <f t="shared" si="158"/>
        <v>0</v>
      </c>
      <c r="AO3341" s="18"/>
    </row>
    <row r="3342" spans="1:42" customFormat="1" hidden="1" x14ac:dyDescent="0.3">
      <c r="A3342" s="148" t="s">
        <v>8319</v>
      </c>
      <c r="B3342" t="s">
        <v>8320</v>
      </c>
      <c r="C3342" s="148" t="s">
        <v>9369</v>
      </c>
      <c r="D3342" t="s">
        <v>9370</v>
      </c>
      <c r="E3342" s="148" t="s">
        <v>9371</v>
      </c>
      <c r="F3342" t="s">
        <v>9372</v>
      </c>
      <c r="G3342" s="148" t="s">
        <v>9373</v>
      </c>
      <c r="H3342" t="s">
        <v>9374</v>
      </c>
      <c r="I3342" t="s">
        <v>9375</v>
      </c>
      <c r="J3342" t="s">
        <v>9376</v>
      </c>
      <c r="K3342" s="148" t="s">
        <v>9937</v>
      </c>
      <c r="L3342" t="s">
        <v>9938</v>
      </c>
      <c r="M3342" t="s">
        <v>11000</v>
      </c>
      <c r="N3342" s="3">
        <v>0</v>
      </c>
      <c r="O3342" s="3">
        <v>0</v>
      </c>
      <c r="P3342" s="3">
        <v>0</v>
      </c>
      <c r="Q3342" s="3">
        <v>0</v>
      </c>
      <c r="R3342" s="3">
        <v>0</v>
      </c>
      <c r="S3342" s="3">
        <v>1</v>
      </c>
      <c r="T3342" t="s">
        <v>1536</v>
      </c>
      <c r="U3342" t="e">
        <v>#N/A</v>
      </c>
      <c r="W3342" s="45"/>
      <c r="X3342" s="45"/>
      <c r="Y3342" s="45"/>
      <c r="Z3342" s="45"/>
      <c r="AA3342" s="45"/>
      <c r="AB3342" s="45"/>
      <c r="AC3342" s="150">
        <v>0</v>
      </c>
      <c r="AD3342" s="150">
        <v>0</v>
      </c>
      <c r="AE3342" s="49">
        <f t="shared" si="157"/>
        <v>0</v>
      </c>
      <c r="AF3342" s="4"/>
      <c r="AG3342" s="17">
        <v>0</v>
      </c>
      <c r="AH3342" s="4"/>
      <c r="AI3342" s="4"/>
      <c r="AJ3342" s="4"/>
      <c r="AK3342" s="46"/>
      <c r="AL3342" s="46"/>
      <c r="AM3342" s="17">
        <f t="shared" si="158"/>
        <v>0</v>
      </c>
      <c r="AO3342" s="18"/>
    </row>
    <row r="3343" spans="1:42" customFormat="1" hidden="1" x14ac:dyDescent="0.3">
      <c r="A3343" s="148" t="s">
        <v>8319</v>
      </c>
      <c r="B3343" t="s">
        <v>8320</v>
      </c>
      <c r="C3343" s="148" t="s">
        <v>9369</v>
      </c>
      <c r="D3343" t="s">
        <v>9370</v>
      </c>
      <c r="E3343" s="148" t="s">
        <v>9371</v>
      </c>
      <c r="F3343" t="s">
        <v>9372</v>
      </c>
      <c r="G3343" s="148" t="s">
        <v>9373</v>
      </c>
      <c r="H3343" t="s">
        <v>9374</v>
      </c>
      <c r="I3343" t="s">
        <v>9375</v>
      </c>
      <c r="J3343" t="s">
        <v>9376</v>
      </c>
      <c r="K3343" s="148" t="s">
        <v>9937</v>
      </c>
      <c r="L3343" t="s">
        <v>9938</v>
      </c>
      <c r="M3343" t="s">
        <v>11001</v>
      </c>
      <c r="N3343" s="3">
        <v>52</v>
      </c>
      <c r="O3343" s="3">
        <v>60</v>
      </c>
      <c r="P3343" s="3">
        <v>60</v>
      </c>
      <c r="Q3343" s="3">
        <v>60</v>
      </c>
      <c r="R3343" s="3">
        <v>60</v>
      </c>
      <c r="S3343" s="3">
        <v>60</v>
      </c>
      <c r="T3343" t="s">
        <v>1536</v>
      </c>
      <c r="U3343" t="e">
        <v>#N/A</v>
      </c>
      <c r="W3343" s="45"/>
      <c r="X3343" s="45"/>
      <c r="Y3343" s="45"/>
      <c r="Z3343" s="45"/>
      <c r="AA3343" s="45"/>
      <c r="AB3343" s="45"/>
      <c r="AC3343" s="150">
        <v>0</v>
      </c>
      <c r="AD3343" s="150">
        <v>0</v>
      </c>
      <c r="AE3343" s="49">
        <f t="shared" si="157"/>
        <v>0</v>
      </c>
      <c r="AF3343" s="4"/>
      <c r="AG3343" s="17">
        <v>0</v>
      </c>
      <c r="AH3343" s="4"/>
      <c r="AI3343" s="4"/>
      <c r="AJ3343" s="4"/>
      <c r="AK3343" s="46"/>
      <c r="AL3343" s="46"/>
      <c r="AM3343" s="17">
        <f t="shared" si="158"/>
        <v>0</v>
      </c>
      <c r="AO3343" s="18"/>
    </row>
    <row r="3344" spans="1:42" customFormat="1" hidden="1" x14ac:dyDescent="0.3">
      <c r="A3344" s="148" t="s">
        <v>8319</v>
      </c>
      <c r="B3344" t="s">
        <v>8320</v>
      </c>
      <c r="C3344" s="148" t="s">
        <v>9369</v>
      </c>
      <c r="D3344" t="s">
        <v>9370</v>
      </c>
      <c r="E3344" s="148" t="s">
        <v>9371</v>
      </c>
      <c r="F3344" t="s">
        <v>9372</v>
      </c>
      <c r="G3344" s="148" t="s">
        <v>9373</v>
      </c>
      <c r="H3344" t="s">
        <v>9374</v>
      </c>
      <c r="I3344" s="148" t="s">
        <v>9384</v>
      </c>
      <c r="J3344" t="s">
        <v>9385</v>
      </c>
      <c r="K3344" s="148" t="s">
        <v>9386</v>
      </c>
      <c r="L3344" t="s">
        <v>9387</v>
      </c>
      <c r="M3344" t="s">
        <v>11002</v>
      </c>
      <c r="N3344" s="3"/>
      <c r="O3344" s="3">
        <v>4</v>
      </c>
      <c r="P3344" s="3">
        <v>8</v>
      </c>
      <c r="Q3344" s="3">
        <v>12</v>
      </c>
      <c r="R3344" s="3">
        <v>12</v>
      </c>
      <c r="S3344" s="3">
        <v>12</v>
      </c>
      <c r="T3344" t="s">
        <v>1536</v>
      </c>
      <c r="U3344" t="e">
        <v>#N/A</v>
      </c>
      <c r="W3344" s="45"/>
      <c r="X3344" s="45"/>
      <c r="Y3344" s="45"/>
      <c r="Z3344" s="45"/>
      <c r="AA3344" s="45"/>
      <c r="AB3344" s="45"/>
      <c r="AC3344" s="150">
        <v>0</v>
      </c>
      <c r="AD3344" s="150">
        <v>0</v>
      </c>
      <c r="AE3344" s="49">
        <f t="shared" si="157"/>
        <v>0</v>
      </c>
      <c r="AF3344" s="4"/>
      <c r="AG3344" s="17">
        <v>0</v>
      </c>
      <c r="AH3344" s="4"/>
      <c r="AI3344" s="4"/>
      <c r="AJ3344" s="4"/>
      <c r="AK3344" s="46"/>
      <c r="AL3344" s="46"/>
      <c r="AM3344" s="17">
        <f t="shared" si="158"/>
        <v>0</v>
      </c>
      <c r="AN3344" s="18"/>
      <c r="AO3344" s="18"/>
    </row>
    <row r="3345" spans="1:42" customFormat="1" hidden="1" x14ac:dyDescent="0.3">
      <c r="A3345" s="148" t="s">
        <v>8319</v>
      </c>
      <c r="B3345" t="s">
        <v>8320</v>
      </c>
      <c r="C3345" s="148" t="s">
        <v>9369</v>
      </c>
      <c r="D3345" t="s">
        <v>9370</v>
      </c>
      <c r="E3345" s="148" t="s">
        <v>9371</v>
      </c>
      <c r="F3345" t="s">
        <v>9372</v>
      </c>
      <c r="G3345" s="148" t="s">
        <v>9373</v>
      </c>
      <c r="H3345" t="s">
        <v>9374</v>
      </c>
      <c r="I3345" s="148" t="s">
        <v>9391</v>
      </c>
      <c r="J3345" t="s">
        <v>9392</v>
      </c>
      <c r="K3345" s="148" t="s">
        <v>11003</v>
      </c>
      <c r="L3345" t="s">
        <v>11004</v>
      </c>
      <c r="M3345" t="s">
        <v>11005</v>
      </c>
      <c r="N3345" s="3">
        <v>34</v>
      </c>
      <c r="O3345" s="3">
        <v>100</v>
      </c>
      <c r="P3345" s="3">
        <v>100</v>
      </c>
      <c r="Q3345" s="3">
        <v>100</v>
      </c>
      <c r="R3345" s="3">
        <v>100</v>
      </c>
      <c r="S3345" s="3">
        <v>100</v>
      </c>
      <c r="T3345" t="s">
        <v>1536</v>
      </c>
      <c r="U3345" t="e">
        <v>#N/A</v>
      </c>
      <c r="W3345" s="45"/>
      <c r="X3345" s="45"/>
      <c r="Y3345" s="45"/>
      <c r="Z3345" s="45"/>
      <c r="AA3345" s="45"/>
      <c r="AB3345" s="45"/>
      <c r="AC3345" s="150">
        <v>0</v>
      </c>
      <c r="AD3345" s="150">
        <v>0</v>
      </c>
      <c r="AE3345" s="49">
        <f t="shared" si="157"/>
        <v>0</v>
      </c>
      <c r="AF3345" s="4"/>
      <c r="AG3345" s="17">
        <v>0</v>
      </c>
      <c r="AH3345" s="4"/>
      <c r="AI3345" s="4"/>
      <c r="AJ3345" s="4"/>
      <c r="AK3345" s="46"/>
      <c r="AL3345" s="46"/>
      <c r="AM3345" s="17">
        <f t="shared" si="158"/>
        <v>0</v>
      </c>
      <c r="AN3345" s="44"/>
      <c r="AO3345" s="18"/>
    </row>
    <row r="3346" spans="1:42" customFormat="1" hidden="1" x14ac:dyDescent="0.3">
      <c r="A3346" s="148" t="s">
        <v>8319</v>
      </c>
      <c r="B3346" t="s">
        <v>8320</v>
      </c>
      <c r="C3346" s="148" t="s">
        <v>9369</v>
      </c>
      <c r="D3346" t="s">
        <v>9370</v>
      </c>
      <c r="E3346" s="148" t="s">
        <v>9371</v>
      </c>
      <c r="F3346" t="s">
        <v>9372</v>
      </c>
      <c r="G3346" s="148" t="s">
        <v>9373</v>
      </c>
      <c r="H3346" t="s">
        <v>9374</v>
      </c>
      <c r="I3346" s="148" t="s">
        <v>9391</v>
      </c>
      <c r="J3346" t="s">
        <v>9392</v>
      </c>
      <c r="K3346" s="148" t="s">
        <v>11003</v>
      </c>
      <c r="L3346" t="s">
        <v>11004</v>
      </c>
      <c r="M3346" t="s">
        <v>11006</v>
      </c>
      <c r="N3346" s="3">
        <v>6</v>
      </c>
      <c r="O3346" s="3">
        <v>15</v>
      </c>
      <c r="P3346" s="3">
        <v>20</v>
      </c>
      <c r="Q3346" s="3">
        <v>20</v>
      </c>
      <c r="R3346" s="3">
        <v>20</v>
      </c>
      <c r="S3346" s="3">
        <v>20</v>
      </c>
      <c r="T3346" t="s">
        <v>1536</v>
      </c>
      <c r="U3346" t="e">
        <v>#N/A</v>
      </c>
      <c r="W3346" s="45"/>
      <c r="X3346" s="45"/>
      <c r="Y3346" s="45"/>
      <c r="Z3346" s="45"/>
      <c r="AA3346" s="45"/>
      <c r="AB3346" s="45"/>
      <c r="AC3346" s="150">
        <v>0</v>
      </c>
      <c r="AD3346" s="150">
        <v>0</v>
      </c>
      <c r="AE3346" s="49">
        <f t="shared" si="157"/>
        <v>0</v>
      </c>
      <c r="AF3346" s="4"/>
      <c r="AG3346" s="17">
        <v>0</v>
      </c>
      <c r="AH3346" s="4"/>
      <c r="AI3346" s="4"/>
      <c r="AJ3346" s="4"/>
      <c r="AK3346" s="46"/>
      <c r="AL3346" s="46"/>
      <c r="AM3346" s="17">
        <f t="shared" si="158"/>
        <v>0</v>
      </c>
      <c r="AN3346" s="44"/>
      <c r="AO3346" s="18"/>
    </row>
    <row r="3347" spans="1:42" customFormat="1" hidden="1" x14ac:dyDescent="0.3">
      <c r="A3347" s="148" t="s">
        <v>8319</v>
      </c>
      <c r="B3347" t="s">
        <v>8320</v>
      </c>
      <c r="C3347" s="148" t="s">
        <v>9369</v>
      </c>
      <c r="D3347" t="s">
        <v>9370</v>
      </c>
      <c r="E3347" s="148" t="s">
        <v>9371</v>
      </c>
      <c r="F3347" t="s">
        <v>9372</v>
      </c>
      <c r="G3347" s="148" t="s">
        <v>9373</v>
      </c>
      <c r="H3347" t="s">
        <v>9374</v>
      </c>
      <c r="I3347" s="148" t="s">
        <v>9391</v>
      </c>
      <c r="J3347" t="s">
        <v>9392</v>
      </c>
      <c r="K3347" s="148" t="s">
        <v>11003</v>
      </c>
      <c r="L3347" t="s">
        <v>11004</v>
      </c>
      <c r="M3347" t="s">
        <v>11007</v>
      </c>
      <c r="N3347" s="3" t="s">
        <v>271</v>
      </c>
      <c r="O3347" s="3" t="s">
        <v>271</v>
      </c>
      <c r="P3347" s="3" t="s">
        <v>271</v>
      </c>
      <c r="Q3347" s="3">
        <v>1</v>
      </c>
      <c r="R3347" s="3" t="s">
        <v>271</v>
      </c>
      <c r="S3347" s="3" t="s">
        <v>271</v>
      </c>
      <c r="T3347" t="s">
        <v>723</v>
      </c>
      <c r="U3347" t="s">
        <v>729</v>
      </c>
      <c r="W3347" s="45"/>
      <c r="X3347" s="45"/>
      <c r="Y3347" s="45"/>
      <c r="Z3347" s="45"/>
      <c r="AA3347" s="45"/>
      <c r="AB3347" s="45"/>
      <c r="AC3347" s="150">
        <v>0</v>
      </c>
      <c r="AD3347" s="150">
        <v>0</v>
      </c>
      <c r="AE3347" s="49">
        <f t="shared" si="157"/>
        <v>0</v>
      </c>
      <c r="AF3347" s="4"/>
      <c r="AG3347" s="17">
        <v>0</v>
      </c>
      <c r="AH3347" s="4"/>
      <c r="AI3347" s="4"/>
      <c r="AJ3347" s="4"/>
      <c r="AK3347" s="46"/>
      <c r="AL3347" s="46"/>
      <c r="AM3347" s="17">
        <f t="shared" si="158"/>
        <v>0</v>
      </c>
      <c r="AN3347" s="44"/>
      <c r="AO3347" s="18"/>
    </row>
    <row r="3348" spans="1:42" customFormat="1" hidden="1" x14ac:dyDescent="0.3">
      <c r="A3348" s="148" t="s">
        <v>8319</v>
      </c>
      <c r="B3348" t="s">
        <v>8320</v>
      </c>
      <c r="C3348" s="148" t="s">
        <v>9369</v>
      </c>
      <c r="D3348" t="s">
        <v>9370</v>
      </c>
      <c r="E3348" s="148" t="s">
        <v>9371</v>
      </c>
      <c r="F3348" t="s">
        <v>9372</v>
      </c>
      <c r="G3348" s="148" t="s">
        <v>9373</v>
      </c>
      <c r="H3348" t="s">
        <v>9374</v>
      </c>
      <c r="I3348" s="148" t="s">
        <v>9391</v>
      </c>
      <c r="J3348" t="s">
        <v>9392</v>
      </c>
      <c r="K3348" s="148" t="s">
        <v>11003</v>
      </c>
      <c r="L3348" t="s">
        <v>11004</v>
      </c>
      <c r="M3348" t="s">
        <v>11008</v>
      </c>
      <c r="N3348" s="3"/>
      <c r="O3348" s="3">
        <v>3526</v>
      </c>
      <c r="P3348" s="3">
        <v>4500</v>
      </c>
      <c r="Q3348" s="3">
        <v>4800</v>
      </c>
      <c r="R3348" s="3">
        <v>4800</v>
      </c>
      <c r="S3348" s="3">
        <v>5000</v>
      </c>
      <c r="T3348" t="s">
        <v>1449</v>
      </c>
      <c r="U3348" t="s">
        <v>3500</v>
      </c>
      <c r="W3348" s="45"/>
      <c r="X3348" s="45"/>
      <c r="Y3348" s="45"/>
      <c r="Z3348" s="45"/>
      <c r="AA3348" s="45"/>
      <c r="AB3348" s="45"/>
      <c r="AC3348" s="150">
        <v>0</v>
      </c>
      <c r="AD3348" s="150">
        <v>0</v>
      </c>
      <c r="AE3348" s="49">
        <f t="shared" si="157"/>
        <v>0</v>
      </c>
      <c r="AF3348" s="4"/>
      <c r="AG3348" s="17">
        <v>0</v>
      </c>
      <c r="AH3348" s="4"/>
      <c r="AI3348" s="4"/>
      <c r="AJ3348" s="4"/>
      <c r="AK3348" s="46"/>
      <c r="AL3348" s="46"/>
      <c r="AM3348" s="17">
        <f t="shared" si="158"/>
        <v>0</v>
      </c>
      <c r="AN3348" s="44"/>
      <c r="AO3348" s="18"/>
    </row>
    <row r="3349" spans="1:42" customFormat="1" hidden="1" x14ac:dyDescent="0.3">
      <c r="A3349" s="148" t="s">
        <v>8319</v>
      </c>
      <c r="B3349" t="s">
        <v>8320</v>
      </c>
      <c r="C3349" s="148" t="s">
        <v>9369</v>
      </c>
      <c r="D3349" t="s">
        <v>9370</v>
      </c>
      <c r="E3349" s="148" t="s">
        <v>9371</v>
      </c>
      <c r="F3349" t="s">
        <v>9372</v>
      </c>
      <c r="G3349" s="148" t="s">
        <v>10586</v>
      </c>
      <c r="H3349" t="s">
        <v>10587</v>
      </c>
      <c r="K3349" s="148" t="s">
        <v>10588</v>
      </c>
      <c r="L3349" t="s">
        <v>10589</v>
      </c>
      <c r="M3349" t="s">
        <v>11009</v>
      </c>
      <c r="N3349" s="3" t="s">
        <v>119</v>
      </c>
      <c r="O3349" s="3">
        <v>4</v>
      </c>
      <c r="P3349" s="3">
        <v>4</v>
      </c>
      <c r="Q3349" s="3">
        <v>5</v>
      </c>
      <c r="R3349" s="3">
        <v>8</v>
      </c>
      <c r="S3349" s="3">
        <v>10</v>
      </c>
      <c r="T3349" t="s">
        <v>723</v>
      </c>
      <c r="U3349" t="s">
        <v>729</v>
      </c>
      <c r="W3349" s="45"/>
      <c r="X3349" s="45"/>
      <c r="Y3349" s="45"/>
      <c r="Z3349" s="45"/>
      <c r="AA3349" s="45"/>
      <c r="AB3349" s="45"/>
      <c r="AC3349" s="150">
        <v>0</v>
      </c>
      <c r="AD3349" s="150">
        <v>0</v>
      </c>
      <c r="AE3349" s="49">
        <f t="shared" si="157"/>
        <v>0</v>
      </c>
      <c r="AF3349" s="4"/>
      <c r="AG3349" s="17">
        <v>0</v>
      </c>
      <c r="AH3349" s="4"/>
      <c r="AI3349" s="4"/>
      <c r="AJ3349" s="4"/>
      <c r="AK3349" s="46"/>
      <c r="AL3349" s="46"/>
      <c r="AM3349" s="17">
        <f t="shared" si="158"/>
        <v>0</v>
      </c>
      <c r="AN3349" s="44"/>
      <c r="AO3349" s="18"/>
    </row>
    <row r="3350" spans="1:42" customFormat="1" hidden="1" x14ac:dyDescent="0.3">
      <c r="A3350" s="148" t="s">
        <v>8319</v>
      </c>
      <c r="B3350" t="s">
        <v>8320</v>
      </c>
      <c r="C3350" s="148" t="s">
        <v>9369</v>
      </c>
      <c r="D3350" t="s">
        <v>9370</v>
      </c>
      <c r="E3350" s="148" t="s">
        <v>9371</v>
      </c>
      <c r="F3350" t="s">
        <v>9372</v>
      </c>
      <c r="G3350" s="148" t="s">
        <v>10592</v>
      </c>
      <c r="H3350" t="s">
        <v>10593</v>
      </c>
      <c r="K3350" s="148" t="s">
        <v>10594</v>
      </c>
      <c r="L3350" t="s">
        <v>10595</v>
      </c>
      <c r="M3350" t="s">
        <v>11010</v>
      </c>
      <c r="N3350" s="3" t="s">
        <v>271</v>
      </c>
      <c r="O3350" s="3" t="s">
        <v>271</v>
      </c>
      <c r="P3350" s="3">
        <v>4</v>
      </c>
      <c r="Q3350" s="3">
        <v>4</v>
      </c>
      <c r="R3350" s="3">
        <v>7</v>
      </c>
      <c r="S3350" s="3">
        <v>10</v>
      </c>
      <c r="T3350" t="s">
        <v>11011</v>
      </c>
      <c r="U3350" t="e">
        <v>#N/A</v>
      </c>
      <c r="W3350" s="45"/>
      <c r="X3350" s="45"/>
      <c r="Y3350" s="45"/>
      <c r="Z3350" s="45"/>
      <c r="AA3350" s="45"/>
      <c r="AB3350" s="45"/>
      <c r="AC3350" s="150">
        <v>0</v>
      </c>
      <c r="AD3350" s="150">
        <v>0</v>
      </c>
      <c r="AE3350" s="49">
        <f t="shared" si="157"/>
        <v>0</v>
      </c>
      <c r="AF3350" s="4"/>
      <c r="AG3350" s="17">
        <v>0</v>
      </c>
      <c r="AH3350" s="4"/>
      <c r="AI3350" s="4"/>
      <c r="AJ3350" s="4"/>
      <c r="AK3350" s="46"/>
      <c r="AL3350" s="46"/>
      <c r="AM3350" s="17">
        <f t="shared" si="158"/>
        <v>0</v>
      </c>
      <c r="AN3350" s="44"/>
      <c r="AO3350" s="18"/>
    </row>
    <row r="3351" spans="1:42" customFormat="1" hidden="1" x14ac:dyDescent="0.3">
      <c r="A3351" s="148" t="s">
        <v>8319</v>
      </c>
      <c r="B3351" t="s">
        <v>8320</v>
      </c>
      <c r="C3351" s="148" t="s">
        <v>9369</v>
      </c>
      <c r="D3351" t="s">
        <v>9370</v>
      </c>
      <c r="E3351" s="148" t="s">
        <v>9371</v>
      </c>
      <c r="F3351" t="s">
        <v>9372</v>
      </c>
      <c r="G3351" s="148" t="s">
        <v>10592</v>
      </c>
      <c r="H3351" t="s">
        <v>10593</v>
      </c>
      <c r="K3351" s="148" t="s">
        <v>10594</v>
      </c>
      <c r="L3351" t="s">
        <v>11012</v>
      </c>
      <c r="M3351" t="s">
        <v>11013</v>
      </c>
      <c r="N3351" s="3" t="s">
        <v>271</v>
      </c>
      <c r="O3351" s="3">
        <v>2</v>
      </c>
      <c r="P3351" s="3">
        <v>4</v>
      </c>
      <c r="Q3351" s="3">
        <v>4</v>
      </c>
      <c r="R3351" s="3">
        <v>4</v>
      </c>
      <c r="S3351" s="3">
        <v>4</v>
      </c>
      <c r="T3351" t="s">
        <v>921</v>
      </c>
      <c r="U3351" t="s">
        <v>880</v>
      </c>
      <c r="W3351" s="45"/>
      <c r="X3351" s="45"/>
      <c r="Y3351" s="45"/>
      <c r="Z3351" s="45"/>
      <c r="AA3351" s="45"/>
      <c r="AB3351" s="45"/>
      <c r="AC3351" s="150">
        <v>0</v>
      </c>
      <c r="AD3351" s="150">
        <v>0</v>
      </c>
      <c r="AE3351" s="49">
        <f t="shared" si="157"/>
        <v>0</v>
      </c>
      <c r="AF3351" s="4"/>
      <c r="AG3351" s="17">
        <v>0</v>
      </c>
      <c r="AH3351" s="4"/>
      <c r="AI3351" s="4"/>
      <c r="AJ3351" s="4"/>
      <c r="AK3351" s="46"/>
      <c r="AL3351" s="46"/>
      <c r="AM3351" s="17">
        <f t="shared" si="158"/>
        <v>0</v>
      </c>
      <c r="AN3351" s="44"/>
      <c r="AO3351" s="18"/>
    </row>
    <row r="3352" spans="1:42" customFormat="1" hidden="1" x14ac:dyDescent="0.3">
      <c r="A3352" s="148" t="s">
        <v>8319</v>
      </c>
      <c r="B3352" t="s">
        <v>8320</v>
      </c>
      <c r="C3352" s="148" t="s">
        <v>9369</v>
      </c>
      <c r="D3352" t="s">
        <v>9370</v>
      </c>
      <c r="E3352" s="148" t="s">
        <v>9371</v>
      </c>
      <c r="F3352" t="s">
        <v>9372</v>
      </c>
      <c r="G3352" s="148" t="s">
        <v>10592</v>
      </c>
      <c r="H3352" t="s">
        <v>10593</v>
      </c>
      <c r="K3352" s="148" t="s">
        <v>10594</v>
      </c>
      <c r="L3352" t="s">
        <v>11012</v>
      </c>
      <c r="M3352" t="s">
        <v>11014</v>
      </c>
      <c r="N3352" s="3" t="s">
        <v>271</v>
      </c>
      <c r="O3352" s="3">
        <v>30</v>
      </c>
      <c r="P3352" s="3">
        <v>30</v>
      </c>
      <c r="Q3352" s="3">
        <v>40</v>
      </c>
      <c r="R3352" s="3">
        <v>45</v>
      </c>
      <c r="S3352" s="3">
        <v>50</v>
      </c>
      <c r="T3352" t="s">
        <v>11015</v>
      </c>
      <c r="U3352" t="e">
        <v>#N/A</v>
      </c>
      <c r="W3352" s="45"/>
      <c r="X3352" s="45"/>
      <c r="Y3352" s="45"/>
      <c r="Z3352" s="45"/>
      <c r="AA3352" s="45"/>
      <c r="AB3352" s="45"/>
      <c r="AC3352" s="150">
        <v>0</v>
      </c>
      <c r="AD3352" s="150">
        <v>0</v>
      </c>
      <c r="AE3352" s="49">
        <f t="shared" si="157"/>
        <v>0</v>
      </c>
      <c r="AF3352" s="4"/>
      <c r="AG3352" s="17">
        <v>0</v>
      </c>
      <c r="AH3352" s="4"/>
      <c r="AI3352" s="4"/>
      <c r="AJ3352" s="4"/>
      <c r="AK3352" s="46"/>
      <c r="AL3352" s="46"/>
      <c r="AM3352" s="17">
        <f t="shared" si="158"/>
        <v>0</v>
      </c>
      <c r="AN3352" s="44"/>
      <c r="AO3352" s="18"/>
    </row>
    <row r="3353" spans="1:42" customFormat="1" hidden="1" x14ac:dyDescent="0.3">
      <c r="A3353" s="148" t="s">
        <v>8319</v>
      </c>
      <c r="B3353" t="s">
        <v>8320</v>
      </c>
      <c r="C3353" s="148" t="s">
        <v>9369</v>
      </c>
      <c r="D3353" t="s">
        <v>9370</v>
      </c>
      <c r="E3353" s="148" t="s">
        <v>9371</v>
      </c>
      <c r="F3353" t="s">
        <v>9372</v>
      </c>
      <c r="G3353" s="148" t="s">
        <v>9593</v>
      </c>
      <c r="H3353" t="s">
        <v>9594</v>
      </c>
      <c r="K3353" s="155" t="s">
        <v>11016</v>
      </c>
      <c r="L3353" t="s">
        <v>11017</v>
      </c>
      <c r="M3353" t="s">
        <v>11018</v>
      </c>
      <c r="N3353" s="3" t="s">
        <v>271</v>
      </c>
      <c r="O3353" s="3" t="s">
        <v>271</v>
      </c>
      <c r="P3353" s="3">
        <v>5</v>
      </c>
      <c r="Q3353" s="3">
        <v>5</v>
      </c>
      <c r="R3353" s="3">
        <v>7</v>
      </c>
      <c r="S3353" s="3">
        <v>5</v>
      </c>
      <c r="T3353" t="s">
        <v>723</v>
      </c>
      <c r="U3353" t="s">
        <v>729</v>
      </c>
      <c r="W3353" s="45"/>
      <c r="X3353" s="45"/>
      <c r="Y3353" s="45"/>
      <c r="Z3353" s="45"/>
      <c r="AA3353" s="45"/>
      <c r="AB3353" s="45"/>
      <c r="AC3353" s="150">
        <v>0</v>
      </c>
      <c r="AD3353" s="150">
        <v>0</v>
      </c>
      <c r="AE3353" s="49">
        <f t="shared" si="157"/>
        <v>0</v>
      </c>
      <c r="AF3353" s="17"/>
      <c r="AG3353" s="17">
        <v>0</v>
      </c>
      <c r="AH3353" s="17"/>
      <c r="AI3353" s="4"/>
      <c r="AJ3353" s="4"/>
      <c r="AK3353" s="46"/>
      <c r="AL3353" s="46"/>
      <c r="AM3353" s="17">
        <f t="shared" si="158"/>
        <v>0</v>
      </c>
      <c r="AO3353" s="18"/>
    </row>
    <row r="3354" spans="1:42" customFormat="1" hidden="1" x14ac:dyDescent="0.3">
      <c r="A3354" s="148" t="s">
        <v>8319</v>
      </c>
      <c r="B3354" t="s">
        <v>8320</v>
      </c>
      <c r="C3354" s="148" t="s">
        <v>9369</v>
      </c>
      <c r="D3354" t="s">
        <v>9370</v>
      </c>
      <c r="E3354" s="148" t="s">
        <v>9371</v>
      </c>
      <c r="F3354" t="s">
        <v>9372</v>
      </c>
      <c r="G3354" s="148" t="s">
        <v>9593</v>
      </c>
      <c r="H3354" t="s">
        <v>9594</v>
      </c>
      <c r="K3354" s="155" t="s">
        <v>11019</v>
      </c>
      <c r="L3354" t="s">
        <v>11020</v>
      </c>
      <c r="M3354" t="s">
        <v>11021</v>
      </c>
      <c r="N3354" s="3" t="s">
        <v>271</v>
      </c>
      <c r="O3354" s="3" t="s">
        <v>271</v>
      </c>
      <c r="P3354" s="3">
        <v>15</v>
      </c>
      <c r="Q3354" s="3">
        <v>15</v>
      </c>
      <c r="R3354" s="3">
        <v>15</v>
      </c>
      <c r="S3354" s="3">
        <v>15</v>
      </c>
      <c r="T3354" t="s">
        <v>2432</v>
      </c>
      <c r="U3354" t="s">
        <v>729</v>
      </c>
      <c r="W3354" s="45"/>
      <c r="X3354" s="45"/>
      <c r="Y3354" s="45"/>
      <c r="Z3354" s="45"/>
      <c r="AA3354" s="45"/>
      <c r="AB3354" s="45"/>
      <c r="AC3354" s="150">
        <v>0</v>
      </c>
      <c r="AD3354" s="150">
        <v>0</v>
      </c>
      <c r="AE3354" s="49">
        <f t="shared" ref="AE3354:AE3417" si="159">SUM(W3354:AD3354)/8</f>
        <v>0</v>
      </c>
      <c r="AF3354" s="17"/>
      <c r="AG3354" s="17">
        <v>0</v>
      </c>
      <c r="AH3354" s="17"/>
      <c r="AI3354" s="4"/>
      <c r="AJ3354" s="4"/>
      <c r="AK3354" s="46"/>
      <c r="AL3354" s="46"/>
      <c r="AM3354" s="17">
        <f t="shared" ref="AM3354:AM3417" si="160">SUM(AK3354:AL3354)</f>
        <v>0</v>
      </c>
      <c r="AO3354" s="18"/>
    </row>
    <row r="3355" spans="1:42" customFormat="1" hidden="1" x14ac:dyDescent="0.3">
      <c r="A3355" s="148" t="s">
        <v>8319</v>
      </c>
      <c r="B3355" t="s">
        <v>8320</v>
      </c>
      <c r="C3355" s="148" t="s">
        <v>9369</v>
      </c>
      <c r="D3355" t="s">
        <v>9370</v>
      </c>
      <c r="E3355" s="148" t="s">
        <v>9371</v>
      </c>
      <c r="F3355" t="s">
        <v>9372</v>
      </c>
      <c r="G3355" s="148" t="s">
        <v>9593</v>
      </c>
      <c r="H3355" t="s">
        <v>9594</v>
      </c>
      <c r="K3355" s="155" t="s">
        <v>11022</v>
      </c>
      <c r="L3355" t="s">
        <v>11023</v>
      </c>
      <c r="M3355" t="s">
        <v>11024</v>
      </c>
      <c r="N3355" s="3"/>
      <c r="O3355" s="3"/>
      <c r="P3355" s="3">
        <v>4000</v>
      </c>
      <c r="Q3355" s="3">
        <v>4000</v>
      </c>
      <c r="R3355" s="3">
        <v>4000</v>
      </c>
      <c r="S3355" s="3">
        <v>4000</v>
      </c>
      <c r="T3355" t="s">
        <v>2432</v>
      </c>
      <c r="U3355" t="s">
        <v>729</v>
      </c>
      <c r="W3355" s="45"/>
      <c r="X3355" s="45"/>
      <c r="Y3355" s="45"/>
      <c r="Z3355" s="45"/>
      <c r="AA3355" s="45"/>
      <c r="AB3355" s="45"/>
      <c r="AC3355" s="150">
        <v>0</v>
      </c>
      <c r="AD3355" s="150">
        <v>0</v>
      </c>
      <c r="AE3355" s="49">
        <f t="shared" si="159"/>
        <v>0</v>
      </c>
      <c r="AF3355" s="17"/>
      <c r="AG3355" s="17">
        <v>0</v>
      </c>
      <c r="AH3355" s="17"/>
      <c r="AI3355" s="4"/>
      <c r="AJ3355" s="4"/>
      <c r="AK3355" s="46"/>
      <c r="AL3355" s="46"/>
      <c r="AM3355" s="17">
        <f t="shared" si="160"/>
        <v>0</v>
      </c>
      <c r="AO3355" s="18"/>
    </row>
    <row r="3356" spans="1:42" customFormat="1" hidden="1" x14ac:dyDescent="0.3">
      <c r="A3356" s="148" t="s">
        <v>8319</v>
      </c>
      <c r="B3356" t="s">
        <v>8320</v>
      </c>
      <c r="C3356" s="148" t="s">
        <v>9369</v>
      </c>
      <c r="D3356" t="s">
        <v>9370</v>
      </c>
      <c r="E3356" s="148" t="s">
        <v>9371</v>
      </c>
      <c r="F3356" t="s">
        <v>9372</v>
      </c>
      <c r="G3356" s="148" t="s">
        <v>11025</v>
      </c>
      <c r="H3356" t="s">
        <v>11026</v>
      </c>
      <c r="K3356" s="148" t="s">
        <v>11027</v>
      </c>
      <c r="L3356" t="s">
        <v>11028</v>
      </c>
      <c r="M3356" t="s">
        <v>11029</v>
      </c>
      <c r="N3356" s="3">
        <v>40</v>
      </c>
      <c r="O3356" s="3">
        <v>40</v>
      </c>
      <c r="P3356" s="3">
        <v>42</v>
      </c>
      <c r="Q3356" s="3">
        <v>45</v>
      </c>
      <c r="R3356" s="3">
        <v>48</v>
      </c>
      <c r="S3356" s="3">
        <v>50</v>
      </c>
      <c r="T3356" t="s">
        <v>723</v>
      </c>
      <c r="U3356" t="s">
        <v>729</v>
      </c>
      <c r="V3356" t="s">
        <v>11030</v>
      </c>
      <c r="W3356" s="45"/>
      <c r="X3356" s="45"/>
      <c r="Y3356" s="45"/>
      <c r="Z3356" s="45"/>
      <c r="AA3356" s="45"/>
      <c r="AB3356" s="45"/>
      <c r="AC3356" s="150">
        <v>0</v>
      </c>
      <c r="AD3356" s="150">
        <v>0</v>
      </c>
      <c r="AE3356" s="49">
        <f t="shared" si="159"/>
        <v>0</v>
      </c>
      <c r="AF3356" s="44"/>
      <c r="AG3356" s="17">
        <v>0</v>
      </c>
      <c r="AH3356" s="44">
        <v>0.1</v>
      </c>
      <c r="AI3356" s="44">
        <v>0.1</v>
      </c>
      <c r="AJ3356" s="44">
        <v>0.1</v>
      </c>
      <c r="AK3356" s="151">
        <v>0</v>
      </c>
      <c r="AL3356" s="151">
        <v>0</v>
      </c>
      <c r="AM3356" s="17">
        <f t="shared" si="160"/>
        <v>0</v>
      </c>
      <c r="AN3356" t="s">
        <v>723</v>
      </c>
      <c r="AO3356" s="18" t="s">
        <v>729</v>
      </c>
      <c r="AP3356" t="s">
        <v>255</v>
      </c>
    </row>
    <row r="3357" spans="1:42" customFormat="1" hidden="1" x14ac:dyDescent="0.3">
      <c r="A3357" s="148" t="s">
        <v>8319</v>
      </c>
      <c r="B3357" t="s">
        <v>8320</v>
      </c>
      <c r="C3357" s="148" t="s">
        <v>9369</v>
      </c>
      <c r="D3357" t="s">
        <v>9370</v>
      </c>
      <c r="E3357" s="148" t="s">
        <v>9371</v>
      </c>
      <c r="F3357" t="s">
        <v>9372</v>
      </c>
      <c r="G3357" s="148" t="s">
        <v>11025</v>
      </c>
      <c r="H3357" t="s">
        <v>11026</v>
      </c>
      <c r="K3357" s="148" t="s">
        <v>11027</v>
      </c>
      <c r="L3357" t="s">
        <v>11028</v>
      </c>
      <c r="M3357" t="s">
        <v>11031</v>
      </c>
      <c r="N3357" s="3">
        <v>20</v>
      </c>
      <c r="O3357" s="3">
        <v>100</v>
      </c>
      <c r="P3357" s="3">
        <v>100</v>
      </c>
      <c r="Q3357" s="3">
        <v>100</v>
      </c>
      <c r="R3357" s="3">
        <v>100</v>
      </c>
      <c r="S3357" s="3">
        <v>100</v>
      </c>
      <c r="T3357" t="s">
        <v>11032</v>
      </c>
      <c r="U3357" t="e">
        <v>#N/A</v>
      </c>
      <c r="W3357" s="45"/>
      <c r="X3357" s="45"/>
      <c r="Y3357" s="45"/>
      <c r="Z3357" s="45"/>
      <c r="AA3357" s="45"/>
      <c r="AB3357" s="45"/>
      <c r="AC3357" s="150">
        <v>0</v>
      </c>
      <c r="AD3357" s="150">
        <v>0</v>
      </c>
      <c r="AE3357" s="49">
        <f t="shared" si="159"/>
        <v>0</v>
      </c>
      <c r="AF3357" s="4"/>
      <c r="AG3357" s="17">
        <v>0</v>
      </c>
      <c r="AH3357" s="4"/>
      <c r="AI3357" s="4"/>
      <c r="AJ3357" s="4"/>
      <c r="AK3357" s="46"/>
      <c r="AL3357" s="46"/>
      <c r="AM3357" s="17">
        <f t="shared" si="160"/>
        <v>0</v>
      </c>
      <c r="AO3357" s="18"/>
    </row>
    <row r="3358" spans="1:42" customFormat="1" hidden="1" x14ac:dyDescent="0.3">
      <c r="A3358" s="148" t="s">
        <v>8319</v>
      </c>
      <c r="B3358" t="s">
        <v>8320</v>
      </c>
      <c r="C3358" s="148" t="s">
        <v>9369</v>
      </c>
      <c r="D3358" t="s">
        <v>9370</v>
      </c>
      <c r="E3358" s="148" t="s">
        <v>9371</v>
      </c>
      <c r="F3358" t="s">
        <v>9372</v>
      </c>
      <c r="G3358" t="s">
        <v>10605</v>
      </c>
      <c r="H3358" t="s">
        <v>10606</v>
      </c>
      <c r="I3358" s="148" t="s">
        <v>10928</v>
      </c>
      <c r="J3358" t="s">
        <v>10929</v>
      </c>
      <c r="K3358" s="148" t="s">
        <v>10930</v>
      </c>
      <c r="L3358" t="s">
        <v>10931</v>
      </c>
      <c r="M3358" t="s">
        <v>11033</v>
      </c>
      <c r="N3358" s="3" t="s">
        <v>119</v>
      </c>
      <c r="O3358" s="3"/>
      <c r="P3358" s="3">
        <v>1000</v>
      </c>
      <c r="Q3358" s="3">
        <v>1750</v>
      </c>
      <c r="R3358" s="3">
        <v>2000</v>
      </c>
      <c r="S3358" s="3">
        <v>3500</v>
      </c>
      <c r="T3358" t="s">
        <v>2172</v>
      </c>
      <c r="U3358" t="s">
        <v>2236</v>
      </c>
      <c r="V3358" t="s">
        <v>11034</v>
      </c>
      <c r="W3358" s="45"/>
      <c r="X3358" s="45"/>
      <c r="Y3358" s="45"/>
      <c r="Z3358" s="45"/>
      <c r="AA3358" s="45"/>
      <c r="AB3358" s="45"/>
      <c r="AC3358" s="150">
        <v>0</v>
      </c>
      <c r="AD3358" s="150">
        <v>0</v>
      </c>
      <c r="AE3358" s="49">
        <f t="shared" si="159"/>
        <v>0</v>
      </c>
      <c r="AF3358" s="17"/>
      <c r="AG3358" s="17">
        <v>0</v>
      </c>
      <c r="AH3358" s="17">
        <v>0</v>
      </c>
      <c r="AI3358" s="44">
        <v>3</v>
      </c>
      <c r="AJ3358" s="44">
        <v>5.25</v>
      </c>
      <c r="AK3358" s="151">
        <v>6</v>
      </c>
      <c r="AL3358" s="151">
        <v>10.5</v>
      </c>
      <c r="AM3358" s="17">
        <f t="shared" si="160"/>
        <v>16.5</v>
      </c>
      <c r="AN3358" t="s">
        <v>2172</v>
      </c>
      <c r="AO3358" s="18" t="s">
        <v>2236</v>
      </c>
      <c r="AP3358" t="s">
        <v>255</v>
      </c>
    </row>
    <row r="3359" spans="1:42" customFormat="1" hidden="1" x14ac:dyDescent="0.3">
      <c r="A3359" s="148" t="s">
        <v>8319</v>
      </c>
      <c r="B3359" t="s">
        <v>8320</v>
      </c>
      <c r="C3359" s="148" t="s">
        <v>9369</v>
      </c>
      <c r="D3359" t="s">
        <v>9370</v>
      </c>
      <c r="E3359" s="148" t="s">
        <v>9371</v>
      </c>
      <c r="F3359" t="s">
        <v>9372</v>
      </c>
      <c r="G3359" t="s">
        <v>10605</v>
      </c>
      <c r="H3359" t="s">
        <v>10606</v>
      </c>
      <c r="I3359" s="155" t="s">
        <v>11035</v>
      </c>
      <c r="J3359" t="s">
        <v>11036</v>
      </c>
      <c r="K3359" s="155" t="s">
        <v>11037</v>
      </c>
      <c r="L3359" t="s">
        <v>11038</v>
      </c>
      <c r="M3359" t="s">
        <v>11039</v>
      </c>
      <c r="N3359" s="3" t="s">
        <v>271</v>
      </c>
      <c r="O3359" s="3"/>
      <c r="P3359" s="3"/>
      <c r="Q3359" s="3">
        <v>40</v>
      </c>
      <c r="R3359" s="3">
        <v>40</v>
      </c>
      <c r="S3359" s="3">
        <v>40</v>
      </c>
      <c r="T3359" t="s">
        <v>723</v>
      </c>
      <c r="U3359" t="s">
        <v>729</v>
      </c>
      <c r="W3359" s="45"/>
      <c r="X3359" s="45"/>
      <c r="Y3359" s="45"/>
      <c r="Z3359" s="45"/>
      <c r="AA3359" s="45"/>
      <c r="AB3359" s="45"/>
      <c r="AC3359" s="150">
        <v>0</v>
      </c>
      <c r="AD3359" s="150">
        <v>0</v>
      </c>
      <c r="AE3359" s="49">
        <f t="shared" si="159"/>
        <v>0</v>
      </c>
      <c r="AF3359" s="17"/>
      <c r="AG3359" s="17">
        <v>0</v>
      </c>
      <c r="AH3359" s="17"/>
      <c r="AI3359" s="4"/>
      <c r="AJ3359" s="4"/>
      <c r="AK3359" s="46"/>
      <c r="AL3359" s="46"/>
      <c r="AM3359" s="17">
        <f t="shared" si="160"/>
        <v>0</v>
      </c>
      <c r="AO3359" s="18"/>
    </row>
    <row r="3360" spans="1:42" customFormat="1" hidden="1" x14ac:dyDescent="0.3">
      <c r="A3360" s="148" t="s">
        <v>8319</v>
      </c>
      <c r="B3360" t="s">
        <v>8320</v>
      </c>
      <c r="C3360" s="148" t="s">
        <v>9369</v>
      </c>
      <c r="D3360" t="s">
        <v>9370</v>
      </c>
      <c r="E3360" s="148" t="s">
        <v>9371</v>
      </c>
      <c r="F3360" t="s">
        <v>9372</v>
      </c>
      <c r="G3360" t="s">
        <v>10605</v>
      </c>
      <c r="H3360" t="s">
        <v>10606</v>
      </c>
      <c r="I3360" s="155" t="s">
        <v>11035</v>
      </c>
      <c r="J3360" t="s">
        <v>11036</v>
      </c>
      <c r="K3360" s="155" t="s">
        <v>11037</v>
      </c>
      <c r="L3360" t="s">
        <v>11038</v>
      </c>
      <c r="M3360" t="s">
        <v>11040</v>
      </c>
      <c r="N3360" s="3" t="s">
        <v>271</v>
      </c>
      <c r="O3360" s="3"/>
      <c r="P3360" s="3"/>
      <c r="Q3360" s="3">
        <v>40</v>
      </c>
      <c r="R3360" s="3">
        <v>40</v>
      </c>
      <c r="S3360" s="3">
        <v>40</v>
      </c>
      <c r="T3360" t="s">
        <v>10140</v>
      </c>
      <c r="U3360" t="e">
        <v>#N/A</v>
      </c>
      <c r="W3360" s="45"/>
      <c r="X3360" s="45"/>
      <c r="Y3360" s="45"/>
      <c r="Z3360" s="45"/>
      <c r="AA3360" s="45"/>
      <c r="AB3360" s="45"/>
      <c r="AC3360" s="150">
        <v>0</v>
      </c>
      <c r="AD3360" s="150">
        <v>0</v>
      </c>
      <c r="AE3360" s="49">
        <f t="shared" si="159"/>
        <v>0</v>
      </c>
      <c r="AF3360" s="17"/>
      <c r="AG3360" s="17">
        <v>0</v>
      </c>
      <c r="AH3360" s="17"/>
      <c r="AI3360" s="4"/>
      <c r="AJ3360" s="4"/>
      <c r="AK3360" s="46"/>
      <c r="AL3360" s="46"/>
      <c r="AM3360" s="17">
        <f t="shared" si="160"/>
        <v>0</v>
      </c>
      <c r="AO3360" s="18"/>
    </row>
    <row r="3361" spans="1:42" customFormat="1" hidden="1" x14ac:dyDescent="0.3">
      <c r="A3361" s="148" t="s">
        <v>8319</v>
      </c>
      <c r="B3361" t="s">
        <v>8320</v>
      </c>
      <c r="C3361" s="148" t="s">
        <v>9369</v>
      </c>
      <c r="D3361" t="s">
        <v>9370</v>
      </c>
      <c r="E3361" s="148" t="s">
        <v>9371</v>
      </c>
      <c r="F3361" t="s">
        <v>9372</v>
      </c>
      <c r="G3361" t="s">
        <v>10605</v>
      </c>
      <c r="H3361" t="s">
        <v>10606</v>
      </c>
      <c r="I3361" s="155" t="s">
        <v>11035</v>
      </c>
      <c r="J3361" t="s">
        <v>11036</v>
      </c>
      <c r="K3361" s="155" t="s">
        <v>11037</v>
      </c>
      <c r="L3361" t="s">
        <v>11038</v>
      </c>
      <c r="M3361" t="s">
        <v>11041</v>
      </c>
      <c r="N3361" s="3" t="s">
        <v>271</v>
      </c>
      <c r="O3361" s="3"/>
      <c r="P3361" s="3"/>
      <c r="Q3361" s="3">
        <v>20</v>
      </c>
      <c r="R3361" s="3">
        <v>20</v>
      </c>
      <c r="S3361" s="3">
        <v>20</v>
      </c>
      <c r="T3361" t="s">
        <v>11042</v>
      </c>
      <c r="U3361" t="e">
        <v>#N/A</v>
      </c>
      <c r="W3361" s="45"/>
      <c r="X3361" s="45"/>
      <c r="Y3361" s="45"/>
      <c r="Z3361" s="45"/>
      <c r="AA3361" s="45"/>
      <c r="AB3361" s="45"/>
      <c r="AC3361" s="150">
        <v>0</v>
      </c>
      <c r="AD3361" s="150">
        <v>0</v>
      </c>
      <c r="AE3361" s="49">
        <f t="shared" si="159"/>
        <v>0</v>
      </c>
      <c r="AF3361" s="17"/>
      <c r="AG3361" s="17">
        <v>0</v>
      </c>
      <c r="AH3361" s="17"/>
      <c r="AI3361" s="4"/>
      <c r="AJ3361" s="4"/>
      <c r="AK3361" s="46"/>
      <c r="AL3361" s="46"/>
      <c r="AM3361" s="17">
        <f t="shared" si="160"/>
        <v>0</v>
      </c>
      <c r="AO3361" s="18"/>
    </row>
    <row r="3362" spans="1:42" customFormat="1" hidden="1" x14ac:dyDescent="0.3">
      <c r="A3362" s="148" t="s">
        <v>8319</v>
      </c>
      <c r="B3362" t="s">
        <v>8320</v>
      </c>
      <c r="C3362" s="148" t="s">
        <v>9369</v>
      </c>
      <c r="D3362" t="s">
        <v>9370</v>
      </c>
      <c r="E3362" s="148" t="s">
        <v>9371</v>
      </c>
      <c r="F3362" t="s">
        <v>9372</v>
      </c>
      <c r="G3362" t="s">
        <v>10605</v>
      </c>
      <c r="H3362" t="s">
        <v>10606</v>
      </c>
      <c r="I3362" s="155" t="s">
        <v>11035</v>
      </c>
      <c r="J3362" t="s">
        <v>11036</v>
      </c>
      <c r="K3362" s="155" t="s">
        <v>11037</v>
      </c>
      <c r="L3362" t="s">
        <v>11043</v>
      </c>
      <c r="M3362" t="s">
        <v>11044</v>
      </c>
      <c r="N3362" s="3" t="s">
        <v>119</v>
      </c>
      <c r="O3362" s="3" t="s">
        <v>271</v>
      </c>
      <c r="P3362" s="3">
        <v>15</v>
      </c>
      <c r="Q3362" s="3">
        <v>20</v>
      </c>
      <c r="R3362" s="3">
        <v>25</v>
      </c>
      <c r="S3362" s="3">
        <v>30</v>
      </c>
      <c r="T3362" t="s">
        <v>11045</v>
      </c>
      <c r="U3362" t="e">
        <v>#N/A</v>
      </c>
      <c r="W3362" s="45"/>
      <c r="X3362" s="45"/>
      <c r="Y3362" s="45"/>
      <c r="Z3362" s="45"/>
      <c r="AA3362" s="45"/>
      <c r="AB3362" s="45"/>
      <c r="AC3362" s="150">
        <v>0</v>
      </c>
      <c r="AD3362" s="150">
        <v>0</v>
      </c>
      <c r="AE3362" s="49">
        <f t="shared" si="159"/>
        <v>0</v>
      </c>
      <c r="AF3362" s="17"/>
      <c r="AG3362" s="17">
        <v>0</v>
      </c>
      <c r="AH3362" s="17"/>
      <c r="AI3362" s="4"/>
      <c r="AJ3362" s="4"/>
      <c r="AK3362" s="46"/>
      <c r="AL3362" s="46"/>
      <c r="AM3362" s="17">
        <f t="shared" si="160"/>
        <v>0</v>
      </c>
      <c r="AO3362" s="18"/>
    </row>
    <row r="3363" spans="1:42" customFormat="1" hidden="1" x14ac:dyDescent="0.3">
      <c r="A3363" s="148" t="s">
        <v>8319</v>
      </c>
      <c r="B3363" t="s">
        <v>8320</v>
      </c>
      <c r="C3363" s="148" t="s">
        <v>9369</v>
      </c>
      <c r="D3363" t="s">
        <v>9370</v>
      </c>
      <c r="E3363" s="148" t="s">
        <v>9371</v>
      </c>
      <c r="F3363" t="s">
        <v>9372</v>
      </c>
      <c r="G3363" t="s">
        <v>10605</v>
      </c>
      <c r="H3363" t="s">
        <v>10606</v>
      </c>
      <c r="I3363" s="148" t="s">
        <v>11046</v>
      </c>
      <c r="J3363" t="s">
        <v>11047</v>
      </c>
      <c r="K3363" s="148" t="s">
        <v>11048</v>
      </c>
      <c r="L3363" t="s">
        <v>11049</v>
      </c>
      <c r="M3363" t="s">
        <v>11050</v>
      </c>
      <c r="N3363" s="3" t="s">
        <v>271</v>
      </c>
      <c r="O3363" s="3" t="s">
        <v>271</v>
      </c>
      <c r="P3363" s="3"/>
      <c r="Q3363" s="3">
        <v>1</v>
      </c>
      <c r="R3363" s="3"/>
      <c r="S3363" s="3"/>
      <c r="T3363" t="s">
        <v>11051</v>
      </c>
      <c r="U3363" t="e">
        <v>#N/A</v>
      </c>
      <c r="V3363" t="s">
        <v>11052</v>
      </c>
      <c r="W3363" s="45"/>
      <c r="X3363" s="45"/>
      <c r="Y3363" s="45"/>
      <c r="Z3363" s="45"/>
      <c r="AA3363" s="45"/>
      <c r="AB3363" s="45"/>
      <c r="AC3363" s="150">
        <v>0</v>
      </c>
      <c r="AD3363" s="150">
        <v>0</v>
      </c>
      <c r="AE3363" s="49">
        <f t="shared" si="159"/>
        <v>0</v>
      </c>
      <c r="AF3363" s="17"/>
      <c r="AG3363" s="17">
        <v>0</v>
      </c>
      <c r="AH3363" s="17">
        <v>0</v>
      </c>
      <c r="AI3363" s="17">
        <v>0</v>
      </c>
      <c r="AJ3363" s="44">
        <v>0.3</v>
      </c>
      <c r="AK3363" s="153">
        <v>0</v>
      </c>
      <c r="AL3363" s="154">
        <v>0</v>
      </c>
      <c r="AM3363" s="17">
        <f t="shared" si="160"/>
        <v>0</v>
      </c>
      <c r="AN3363" s="44" t="s">
        <v>3879</v>
      </c>
      <c r="AO3363" s="18" t="s">
        <v>3881</v>
      </c>
      <c r="AP3363" t="s">
        <v>119</v>
      </c>
    </row>
    <row r="3364" spans="1:42" customFormat="1" hidden="1" x14ac:dyDescent="0.3">
      <c r="A3364" s="148" t="s">
        <v>8319</v>
      </c>
      <c r="B3364" t="s">
        <v>8320</v>
      </c>
      <c r="C3364" s="148" t="s">
        <v>9369</v>
      </c>
      <c r="D3364" t="s">
        <v>9370</v>
      </c>
      <c r="E3364" s="148" t="s">
        <v>9371</v>
      </c>
      <c r="F3364" t="s">
        <v>9372</v>
      </c>
      <c r="G3364" t="s">
        <v>10605</v>
      </c>
      <c r="H3364" t="s">
        <v>10606</v>
      </c>
      <c r="I3364" s="155" t="s">
        <v>11053</v>
      </c>
      <c r="J3364" t="s">
        <v>11054</v>
      </c>
      <c r="K3364" s="155" t="s">
        <v>11055</v>
      </c>
      <c r="L3364" t="s">
        <v>11056</v>
      </c>
      <c r="M3364" t="s">
        <v>11057</v>
      </c>
      <c r="N3364" s="3" t="s">
        <v>271</v>
      </c>
      <c r="O3364" s="3" t="s">
        <v>11058</v>
      </c>
      <c r="P3364" s="3" t="s">
        <v>11058</v>
      </c>
      <c r="Q3364" s="3"/>
      <c r="R3364" s="3"/>
      <c r="S3364" s="3"/>
      <c r="T3364" t="s">
        <v>10671</v>
      </c>
      <c r="U3364" t="e">
        <v>#N/A</v>
      </c>
      <c r="W3364" s="45"/>
      <c r="X3364" s="45"/>
      <c r="Y3364" s="45"/>
      <c r="Z3364" s="45"/>
      <c r="AA3364" s="45"/>
      <c r="AB3364" s="45"/>
      <c r="AC3364" s="150">
        <v>0</v>
      </c>
      <c r="AD3364" s="150">
        <v>0</v>
      </c>
      <c r="AE3364" s="49">
        <f t="shared" si="159"/>
        <v>0</v>
      </c>
      <c r="AF3364" s="17"/>
      <c r="AG3364" s="17">
        <v>0</v>
      </c>
      <c r="AH3364" s="17"/>
      <c r="AI3364" s="17"/>
      <c r="AJ3364" s="4"/>
      <c r="AK3364" s="153"/>
      <c r="AL3364" s="154"/>
      <c r="AM3364" s="17">
        <f t="shared" si="160"/>
        <v>0</v>
      </c>
      <c r="AN3364" s="44"/>
      <c r="AO3364" s="18"/>
    </row>
    <row r="3365" spans="1:42" customFormat="1" hidden="1" x14ac:dyDescent="0.3">
      <c r="A3365" s="148" t="s">
        <v>8319</v>
      </c>
      <c r="B3365" t="s">
        <v>8320</v>
      </c>
      <c r="C3365" s="148" t="s">
        <v>9369</v>
      </c>
      <c r="D3365" t="s">
        <v>9370</v>
      </c>
      <c r="E3365" s="148" t="s">
        <v>9371</v>
      </c>
      <c r="F3365" t="s">
        <v>9372</v>
      </c>
      <c r="G3365" t="s">
        <v>10605</v>
      </c>
      <c r="H3365" t="s">
        <v>10606</v>
      </c>
      <c r="I3365" s="155" t="s">
        <v>11053</v>
      </c>
      <c r="J3365" t="s">
        <v>11054</v>
      </c>
      <c r="K3365" s="155" t="s">
        <v>11059</v>
      </c>
      <c r="L3365" t="s">
        <v>11060</v>
      </c>
      <c r="M3365" t="s">
        <v>11060</v>
      </c>
      <c r="N3365" s="3" t="s">
        <v>271</v>
      </c>
      <c r="O3365" s="3" t="s">
        <v>11061</v>
      </c>
      <c r="P3365" s="3" t="s">
        <v>11061</v>
      </c>
      <c r="Q3365" s="3" t="s">
        <v>11062</v>
      </c>
      <c r="R3365" s="3" t="s">
        <v>271</v>
      </c>
      <c r="S3365" s="3" t="s">
        <v>271</v>
      </c>
      <c r="T3365" t="s">
        <v>11063</v>
      </c>
      <c r="U3365" t="e">
        <v>#N/A</v>
      </c>
      <c r="W3365" s="45"/>
      <c r="X3365" s="45"/>
      <c r="Y3365" s="45"/>
      <c r="Z3365" s="45"/>
      <c r="AA3365" s="45"/>
      <c r="AB3365" s="45"/>
      <c r="AC3365" s="150">
        <v>0</v>
      </c>
      <c r="AD3365" s="150">
        <v>0</v>
      </c>
      <c r="AE3365" s="49">
        <f t="shared" si="159"/>
        <v>0</v>
      </c>
      <c r="AF3365" s="17"/>
      <c r="AG3365" s="17">
        <v>0</v>
      </c>
      <c r="AH3365" s="17"/>
      <c r="AI3365" s="17"/>
      <c r="AJ3365" s="4"/>
      <c r="AK3365" s="153"/>
      <c r="AL3365" s="154"/>
      <c r="AM3365" s="17">
        <f t="shared" si="160"/>
        <v>0</v>
      </c>
      <c r="AN3365" s="44"/>
      <c r="AO3365" s="18"/>
    </row>
    <row r="3366" spans="1:42" customFormat="1" hidden="1" x14ac:dyDescent="0.3">
      <c r="A3366" s="148" t="s">
        <v>8319</v>
      </c>
      <c r="B3366" t="s">
        <v>8320</v>
      </c>
      <c r="C3366" s="148" t="s">
        <v>9369</v>
      </c>
      <c r="D3366" t="s">
        <v>9370</v>
      </c>
      <c r="E3366" s="148" t="s">
        <v>9371</v>
      </c>
      <c r="F3366" t="s">
        <v>9372</v>
      </c>
      <c r="G3366" t="s">
        <v>10605</v>
      </c>
      <c r="H3366" t="s">
        <v>10606</v>
      </c>
      <c r="I3366" s="155" t="s">
        <v>11053</v>
      </c>
      <c r="J3366" t="s">
        <v>11054</v>
      </c>
      <c r="K3366" s="155" t="s">
        <v>11059</v>
      </c>
      <c r="L3366" t="s">
        <v>11060</v>
      </c>
      <c r="M3366" t="s">
        <v>11064</v>
      </c>
      <c r="N3366" s="3"/>
      <c r="O3366" s="3"/>
      <c r="P3366" s="3" t="s">
        <v>11065</v>
      </c>
      <c r="Q3366" s="3" t="s">
        <v>11066</v>
      </c>
      <c r="R3366" s="3"/>
      <c r="S3366" s="3"/>
      <c r="T3366" t="s">
        <v>831</v>
      </c>
      <c r="U3366" t="s">
        <v>834</v>
      </c>
      <c r="W3366" s="45"/>
      <c r="X3366" s="45"/>
      <c r="Y3366" s="45"/>
      <c r="Z3366" s="45"/>
      <c r="AA3366" s="45"/>
      <c r="AB3366" s="45"/>
      <c r="AC3366" s="150">
        <v>0</v>
      </c>
      <c r="AD3366" s="150">
        <v>0</v>
      </c>
      <c r="AE3366" s="49">
        <f t="shared" si="159"/>
        <v>0</v>
      </c>
      <c r="AF3366" s="17"/>
      <c r="AG3366" s="17">
        <v>0</v>
      </c>
      <c r="AH3366" s="17"/>
      <c r="AI3366" s="17"/>
      <c r="AJ3366" s="4"/>
      <c r="AK3366" s="153"/>
      <c r="AL3366" s="154"/>
      <c r="AM3366" s="17">
        <f t="shared" si="160"/>
        <v>0</v>
      </c>
      <c r="AN3366" s="44"/>
      <c r="AO3366" s="18"/>
    </row>
    <row r="3367" spans="1:42" customFormat="1" hidden="1" x14ac:dyDescent="0.3">
      <c r="A3367" s="148" t="s">
        <v>8319</v>
      </c>
      <c r="B3367" t="s">
        <v>8320</v>
      </c>
      <c r="C3367" s="148" t="s">
        <v>9369</v>
      </c>
      <c r="D3367" t="s">
        <v>9370</v>
      </c>
      <c r="E3367" s="148" t="s">
        <v>9371</v>
      </c>
      <c r="F3367" t="s">
        <v>9372</v>
      </c>
      <c r="G3367" t="s">
        <v>10605</v>
      </c>
      <c r="H3367" t="s">
        <v>10606</v>
      </c>
      <c r="I3367" s="155" t="s">
        <v>11067</v>
      </c>
      <c r="J3367" t="s">
        <v>11068</v>
      </c>
      <c r="K3367" s="155" t="s">
        <v>11069</v>
      </c>
      <c r="L3367" t="s">
        <v>11070</v>
      </c>
      <c r="M3367" t="s">
        <v>11070</v>
      </c>
      <c r="N3367" s="3">
        <v>0</v>
      </c>
      <c r="O3367" s="3">
        <v>0</v>
      </c>
      <c r="P3367" s="3"/>
      <c r="Q3367" s="3">
        <v>1</v>
      </c>
      <c r="R3367" s="3" t="s">
        <v>271</v>
      </c>
      <c r="S3367" s="3" t="s">
        <v>271</v>
      </c>
      <c r="T3367" t="s">
        <v>11071</v>
      </c>
      <c r="U3367" t="e">
        <v>#N/A</v>
      </c>
      <c r="W3367" s="45"/>
      <c r="X3367" s="45"/>
      <c r="Y3367" s="45"/>
      <c r="Z3367" s="45"/>
      <c r="AA3367" s="45"/>
      <c r="AB3367" s="45"/>
      <c r="AC3367" s="150">
        <v>0</v>
      </c>
      <c r="AD3367" s="150">
        <v>0</v>
      </c>
      <c r="AE3367" s="49">
        <f t="shared" si="159"/>
        <v>0</v>
      </c>
      <c r="AF3367" s="17"/>
      <c r="AG3367" s="17">
        <v>0</v>
      </c>
      <c r="AH3367" s="17"/>
      <c r="AI3367" s="17"/>
      <c r="AJ3367" s="4"/>
      <c r="AK3367" s="153"/>
      <c r="AL3367" s="154"/>
      <c r="AM3367" s="17">
        <f t="shared" si="160"/>
        <v>0</v>
      </c>
      <c r="AN3367" s="44"/>
      <c r="AO3367" s="18"/>
    </row>
    <row r="3368" spans="1:42" customFormat="1" hidden="1" x14ac:dyDescent="0.3">
      <c r="A3368" s="148" t="s">
        <v>8319</v>
      </c>
      <c r="B3368" t="s">
        <v>8320</v>
      </c>
      <c r="C3368" s="148" t="s">
        <v>9369</v>
      </c>
      <c r="D3368" t="s">
        <v>9370</v>
      </c>
      <c r="E3368" s="148" t="s">
        <v>9371</v>
      </c>
      <c r="F3368" t="s">
        <v>9372</v>
      </c>
      <c r="G3368" t="s">
        <v>10605</v>
      </c>
      <c r="H3368" t="s">
        <v>10606</v>
      </c>
      <c r="I3368" s="155" t="s">
        <v>11067</v>
      </c>
      <c r="J3368" t="s">
        <v>11068</v>
      </c>
      <c r="K3368" s="155" t="s">
        <v>11072</v>
      </c>
      <c r="L3368" t="s">
        <v>11070</v>
      </c>
      <c r="M3368" t="s">
        <v>11073</v>
      </c>
      <c r="N3368" s="3">
        <v>0</v>
      </c>
      <c r="O3368" s="3">
        <v>0</v>
      </c>
      <c r="P3368" s="3">
        <v>0</v>
      </c>
      <c r="Q3368" s="3">
        <v>1000</v>
      </c>
      <c r="R3368" s="3">
        <v>1500</v>
      </c>
      <c r="S3368" s="3">
        <v>2000</v>
      </c>
      <c r="T3368" t="s">
        <v>11071</v>
      </c>
      <c r="U3368" t="e">
        <v>#N/A</v>
      </c>
      <c r="W3368" s="45"/>
      <c r="X3368" s="45"/>
      <c r="Y3368" s="45"/>
      <c r="Z3368" s="45"/>
      <c r="AA3368" s="45"/>
      <c r="AB3368" s="45"/>
      <c r="AC3368" s="150">
        <v>0</v>
      </c>
      <c r="AD3368" s="150">
        <v>0</v>
      </c>
      <c r="AE3368" s="49">
        <f t="shared" si="159"/>
        <v>0</v>
      </c>
      <c r="AF3368" s="17"/>
      <c r="AG3368" s="17">
        <v>0</v>
      </c>
      <c r="AH3368" s="17"/>
      <c r="AI3368" s="17"/>
      <c r="AJ3368" s="4"/>
      <c r="AK3368" s="153"/>
      <c r="AL3368" s="154"/>
      <c r="AM3368" s="17">
        <f t="shared" si="160"/>
        <v>0</v>
      </c>
      <c r="AN3368" s="44"/>
      <c r="AO3368" s="18"/>
    </row>
    <row r="3369" spans="1:42" customFormat="1" hidden="1" x14ac:dyDescent="0.3">
      <c r="A3369" s="148" t="s">
        <v>8319</v>
      </c>
      <c r="B3369" t="s">
        <v>8320</v>
      </c>
      <c r="C3369" s="148" t="s">
        <v>9369</v>
      </c>
      <c r="D3369" t="s">
        <v>9370</v>
      </c>
      <c r="E3369" s="148" t="s">
        <v>9371</v>
      </c>
      <c r="F3369" t="s">
        <v>9372</v>
      </c>
      <c r="G3369" t="s">
        <v>10605</v>
      </c>
      <c r="H3369" t="s">
        <v>10606</v>
      </c>
      <c r="I3369" s="155" t="s">
        <v>11074</v>
      </c>
      <c r="J3369" t="s">
        <v>11075</v>
      </c>
      <c r="K3369" s="155" t="s">
        <v>11076</v>
      </c>
      <c r="L3369" t="s">
        <v>11077</v>
      </c>
      <c r="M3369" t="s">
        <v>11078</v>
      </c>
      <c r="N3369" s="3">
        <v>0</v>
      </c>
      <c r="O3369" s="3">
        <v>0</v>
      </c>
      <c r="P3369" s="3">
        <v>1</v>
      </c>
      <c r="Q3369" s="3" t="s">
        <v>271</v>
      </c>
      <c r="R3369" s="3" t="s">
        <v>271</v>
      </c>
      <c r="S3369" s="3" t="s">
        <v>271</v>
      </c>
      <c r="T3369" t="s">
        <v>11079</v>
      </c>
      <c r="U3369" t="e">
        <v>#N/A</v>
      </c>
      <c r="W3369" s="45"/>
      <c r="X3369" s="45"/>
      <c r="Y3369" s="45"/>
      <c r="Z3369" s="45"/>
      <c r="AA3369" s="45"/>
      <c r="AB3369" s="45"/>
      <c r="AC3369" s="150">
        <v>0</v>
      </c>
      <c r="AD3369" s="150">
        <v>0</v>
      </c>
      <c r="AE3369" s="49">
        <f t="shared" si="159"/>
        <v>0</v>
      </c>
      <c r="AF3369" s="17"/>
      <c r="AG3369" s="17">
        <v>0</v>
      </c>
      <c r="AH3369" s="17"/>
      <c r="AI3369" s="17"/>
      <c r="AJ3369" s="4"/>
      <c r="AK3369" s="153"/>
      <c r="AL3369" s="154"/>
      <c r="AM3369" s="17">
        <f t="shared" si="160"/>
        <v>0</v>
      </c>
      <c r="AN3369" s="44"/>
      <c r="AO3369" s="18"/>
    </row>
    <row r="3370" spans="1:42" customFormat="1" hidden="1" x14ac:dyDescent="0.3">
      <c r="A3370" s="148" t="s">
        <v>8319</v>
      </c>
      <c r="B3370" t="s">
        <v>8320</v>
      </c>
      <c r="C3370" s="148" t="s">
        <v>9369</v>
      </c>
      <c r="D3370" t="s">
        <v>9370</v>
      </c>
      <c r="E3370" s="148" t="s">
        <v>9371</v>
      </c>
      <c r="F3370" t="s">
        <v>9372</v>
      </c>
      <c r="G3370" t="s">
        <v>10605</v>
      </c>
      <c r="H3370" t="s">
        <v>10606</v>
      </c>
      <c r="I3370" s="155" t="s">
        <v>11074</v>
      </c>
      <c r="J3370" t="s">
        <v>11075</v>
      </c>
      <c r="K3370" s="155" t="s">
        <v>11080</v>
      </c>
      <c r="L3370" t="s">
        <v>11081</v>
      </c>
      <c r="M3370" t="s">
        <v>11082</v>
      </c>
      <c r="N3370" s="3" t="s">
        <v>271</v>
      </c>
      <c r="O3370" s="3">
        <v>65</v>
      </c>
      <c r="P3370" s="3">
        <v>70</v>
      </c>
      <c r="Q3370" s="3">
        <v>75</v>
      </c>
      <c r="R3370" s="3">
        <v>75</v>
      </c>
      <c r="S3370" s="3">
        <v>75</v>
      </c>
      <c r="T3370" t="s">
        <v>11083</v>
      </c>
      <c r="U3370" t="e">
        <v>#N/A</v>
      </c>
      <c r="W3370" s="45"/>
      <c r="X3370" s="45"/>
      <c r="Y3370" s="45"/>
      <c r="Z3370" s="45"/>
      <c r="AA3370" s="45"/>
      <c r="AB3370" s="45"/>
      <c r="AC3370" s="150">
        <v>0</v>
      </c>
      <c r="AD3370" s="150">
        <v>0</v>
      </c>
      <c r="AE3370" s="49">
        <f t="shared" si="159"/>
        <v>0</v>
      </c>
      <c r="AF3370" s="17"/>
      <c r="AG3370" s="17">
        <v>0</v>
      </c>
      <c r="AH3370" s="17"/>
      <c r="AI3370" s="17"/>
      <c r="AJ3370" s="4"/>
      <c r="AK3370" s="153"/>
      <c r="AL3370" s="154"/>
      <c r="AM3370" s="17">
        <f t="shared" si="160"/>
        <v>0</v>
      </c>
      <c r="AN3370" s="44"/>
      <c r="AO3370" s="18"/>
    </row>
    <row r="3371" spans="1:42" customFormat="1" hidden="1" x14ac:dyDescent="0.3">
      <c r="A3371" s="148" t="s">
        <v>8319</v>
      </c>
      <c r="B3371" t="s">
        <v>8320</v>
      </c>
      <c r="C3371" s="148" t="s">
        <v>9369</v>
      </c>
      <c r="D3371" t="s">
        <v>9370</v>
      </c>
      <c r="E3371" s="148" t="s">
        <v>9371</v>
      </c>
      <c r="F3371" t="s">
        <v>9372</v>
      </c>
      <c r="G3371" s="148" t="s">
        <v>11084</v>
      </c>
      <c r="H3371" t="s">
        <v>11085</v>
      </c>
      <c r="J3371" t="s">
        <v>11085</v>
      </c>
      <c r="K3371" s="148" t="s">
        <v>11086</v>
      </c>
      <c r="L3371" t="s">
        <v>11087</v>
      </c>
      <c r="M3371" t="s">
        <v>11088</v>
      </c>
      <c r="N3371" s="3">
        <v>41.1</v>
      </c>
      <c r="O3371" s="3">
        <v>47.3</v>
      </c>
      <c r="P3371" s="3">
        <v>53.5</v>
      </c>
      <c r="Q3371" s="3">
        <v>59.7</v>
      </c>
      <c r="R3371" s="3">
        <v>65.900000000000006</v>
      </c>
      <c r="S3371" s="3">
        <v>75</v>
      </c>
      <c r="T3371" t="s">
        <v>11089</v>
      </c>
      <c r="U3371" t="e">
        <v>#N/A</v>
      </c>
      <c r="V3371" t="s">
        <v>11090</v>
      </c>
      <c r="W3371" s="45"/>
      <c r="X3371" s="45"/>
      <c r="Y3371" s="45"/>
      <c r="Z3371" s="45"/>
      <c r="AA3371" s="45"/>
      <c r="AB3371" s="45"/>
      <c r="AC3371" s="150">
        <v>0</v>
      </c>
      <c r="AD3371" s="150">
        <v>0</v>
      </c>
      <c r="AE3371" s="49">
        <f t="shared" si="159"/>
        <v>0</v>
      </c>
      <c r="AF3371" s="44"/>
      <c r="AG3371" s="17">
        <v>0</v>
      </c>
      <c r="AH3371" s="44">
        <v>0.1</v>
      </c>
      <c r="AI3371" s="44">
        <v>0.1</v>
      </c>
      <c r="AJ3371" s="44">
        <v>0.1</v>
      </c>
      <c r="AK3371" s="151"/>
      <c r="AL3371" s="151"/>
      <c r="AM3371" s="17">
        <f t="shared" si="160"/>
        <v>0</v>
      </c>
      <c r="AN3371" s="44" t="s">
        <v>10518</v>
      </c>
      <c r="AO3371" s="18" t="s">
        <v>729</v>
      </c>
      <c r="AP3371" t="s">
        <v>119</v>
      </c>
    </row>
    <row r="3372" spans="1:42" customFormat="1" hidden="1" x14ac:dyDescent="0.3">
      <c r="A3372" s="148" t="s">
        <v>8319</v>
      </c>
      <c r="B3372" t="s">
        <v>8320</v>
      </c>
      <c r="C3372" s="148" t="s">
        <v>9369</v>
      </c>
      <c r="D3372" t="s">
        <v>9370</v>
      </c>
      <c r="E3372" s="148" t="s">
        <v>9371</v>
      </c>
      <c r="F3372" t="s">
        <v>9372</v>
      </c>
      <c r="G3372" s="148" t="s">
        <v>11091</v>
      </c>
      <c r="H3372" t="s">
        <v>11092</v>
      </c>
      <c r="K3372" s="148" t="s">
        <v>11093</v>
      </c>
      <c r="L3372" t="s">
        <v>11094</v>
      </c>
      <c r="M3372" t="s">
        <v>11095</v>
      </c>
      <c r="N3372" s="3" t="s">
        <v>271</v>
      </c>
      <c r="O3372" s="3" t="s">
        <v>271</v>
      </c>
      <c r="P3372" s="3">
        <v>1</v>
      </c>
      <c r="Q3372" s="3">
        <v>1</v>
      </c>
      <c r="R3372" s="3">
        <v>1</v>
      </c>
      <c r="S3372" s="3">
        <v>1</v>
      </c>
      <c r="T3372" t="s">
        <v>723</v>
      </c>
      <c r="U3372" t="s">
        <v>729</v>
      </c>
      <c r="V3372" t="s">
        <v>11096</v>
      </c>
      <c r="W3372" s="45"/>
      <c r="X3372" s="45"/>
      <c r="Y3372" s="45"/>
      <c r="Z3372" s="45"/>
      <c r="AA3372" s="45"/>
      <c r="AB3372" s="45"/>
      <c r="AC3372" s="150">
        <v>0</v>
      </c>
      <c r="AD3372" s="150">
        <v>0</v>
      </c>
      <c r="AE3372" s="49">
        <f t="shared" si="159"/>
        <v>0</v>
      </c>
      <c r="AF3372" s="44"/>
      <c r="AG3372" s="17">
        <v>0</v>
      </c>
      <c r="AH3372" s="44">
        <v>0</v>
      </c>
      <c r="AI3372" s="44">
        <v>0.6</v>
      </c>
      <c r="AJ3372" s="44">
        <v>0.5</v>
      </c>
      <c r="AK3372" s="151"/>
      <c r="AL3372" s="151"/>
      <c r="AM3372" s="17">
        <f t="shared" si="160"/>
        <v>0</v>
      </c>
      <c r="AN3372" t="s">
        <v>723</v>
      </c>
      <c r="AO3372" s="18" t="s">
        <v>729</v>
      </c>
      <c r="AP3372" t="s">
        <v>10630</v>
      </c>
    </row>
    <row r="3373" spans="1:42" customFormat="1" hidden="1" x14ac:dyDescent="0.3">
      <c r="A3373" s="148" t="s">
        <v>8319</v>
      </c>
      <c r="B3373" t="s">
        <v>8320</v>
      </c>
      <c r="C3373" s="148" t="s">
        <v>9369</v>
      </c>
      <c r="D3373" t="s">
        <v>9370</v>
      </c>
      <c r="E3373" s="148" t="s">
        <v>9371</v>
      </c>
      <c r="F3373" t="s">
        <v>9372</v>
      </c>
      <c r="G3373" s="148" t="s">
        <v>11091</v>
      </c>
      <c r="H3373" t="s">
        <v>11092</v>
      </c>
      <c r="K3373" s="148" t="s">
        <v>11097</v>
      </c>
      <c r="L3373" t="s">
        <v>11098</v>
      </c>
      <c r="M3373" t="s">
        <v>11099</v>
      </c>
      <c r="N3373" s="3" t="s">
        <v>271</v>
      </c>
      <c r="O3373" s="3">
        <v>10</v>
      </c>
      <c r="P3373" s="3">
        <v>11</v>
      </c>
      <c r="Q3373" s="3">
        <v>12</v>
      </c>
      <c r="R3373" s="3">
        <v>14</v>
      </c>
      <c r="S3373" s="3">
        <v>16</v>
      </c>
      <c r="T3373" t="s">
        <v>723</v>
      </c>
      <c r="U3373" t="s">
        <v>729</v>
      </c>
      <c r="V3373" t="s">
        <v>11100</v>
      </c>
      <c r="W3373" s="45"/>
      <c r="X3373" s="45"/>
      <c r="Y3373" s="45"/>
      <c r="Z3373" s="45"/>
      <c r="AA3373" s="45"/>
      <c r="AB3373" s="45"/>
      <c r="AC3373" s="150">
        <v>0</v>
      </c>
      <c r="AD3373" s="150">
        <v>0</v>
      </c>
      <c r="AE3373" s="49">
        <f t="shared" si="159"/>
        <v>0</v>
      </c>
      <c r="AF3373" s="17"/>
      <c r="AG3373" s="17">
        <v>0</v>
      </c>
      <c r="AH3373" s="17">
        <v>0</v>
      </c>
      <c r="AI3373" s="44">
        <v>1</v>
      </c>
      <c r="AJ3373" s="44">
        <v>1.5</v>
      </c>
      <c r="AK3373" s="151"/>
      <c r="AL3373" s="151"/>
      <c r="AM3373" s="17">
        <f t="shared" si="160"/>
        <v>0</v>
      </c>
      <c r="AN3373" t="s">
        <v>723</v>
      </c>
      <c r="AO3373" s="18" t="s">
        <v>729</v>
      </c>
      <c r="AP3373" t="s">
        <v>255</v>
      </c>
    </row>
    <row r="3374" spans="1:42" customFormat="1" hidden="1" x14ac:dyDescent="0.3">
      <c r="A3374" s="148" t="s">
        <v>8319</v>
      </c>
      <c r="B3374" t="s">
        <v>8320</v>
      </c>
      <c r="C3374" s="148" t="s">
        <v>9369</v>
      </c>
      <c r="D3374" t="s">
        <v>9370</v>
      </c>
      <c r="E3374" s="148" t="s">
        <v>9371</v>
      </c>
      <c r="F3374" t="s">
        <v>9372</v>
      </c>
      <c r="G3374" s="148" t="s">
        <v>11091</v>
      </c>
      <c r="H3374" t="s">
        <v>11092</v>
      </c>
      <c r="K3374" s="148" t="s">
        <v>11097</v>
      </c>
      <c r="L3374" t="s">
        <v>11098</v>
      </c>
      <c r="M3374" t="s">
        <v>11101</v>
      </c>
      <c r="N3374" s="3" t="s">
        <v>271</v>
      </c>
      <c r="O3374" s="3">
        <v>1</v>
      </c>
      <c r="P3374" s="3">
        <v>1</v>
      </c>
      <c r="Q3374" s="3">
        <v>2</v>
      </c>
      <c r="R3374" s="3">
        <v>2</v>
      </c>
      <c r="S3374" s="3">
        <v>2</v>
      </c>
      <c r="T3374" t="s">
        <v>723</v>
      </c>
      <c r="U3374" t="s">
        <v>729</v>
      </c>
      <c r="V3374" t="s">
        <v>11102</v>
      </c>
      <c r="W3374" s="45"/>
      <c r="X3374" s="45"/>
      <c r="Y3374" s="45"/>
      <c r="Z3374" s="45"/>
      <c r="AA3374" s="45"/>
      <c r="AB3374" s="45"/>
      <c r="AC3374" s="150">
        <v>0</v>
      </c>
      <c r="AD3374" s="150">
        <v>0</v>
      </c>
      <c r="AE3374" s="49">
        <f t="shared" si="159"/>
        <v>0</v>
      </c>
      <c r="AF3374" s="17"/>
      <c r="AG3374" s="17">
        <v>0</v>
      </c>
      <c r="AH3374" s="17">
        <v>0</v>
      </c>
      <c r="AI3374" s="44">
        <v>0.5</v>
      </c>
      <c r="AJ3374" s="44">
        <v>1</v>
      </c>
      <c r="AK3374" s="151"/>
      <c r="AL3374" s="151"/>
      <c r="AM3374" s="17">
        <f t="shared" si="160"/>
        <v>0</v>
      </c>
      <c r="AN3374" s="44" t="s">
        <v>723</v>
      </c>
      <c r="AO3374" s="18" t="s">
        <v>729</v>
      </c>
      <c r="AP3374" t="s">
        <v>255</v>
      </c>
    </row>
    <row r="3375" spans="1:42" customFormat="1" hidden="1" x14ac:dyDescent="0.3">
      <c r="A3375" s="148" t="s">
        <v>8319</v>
      </c>
      <c r="B3375" t="s">
        <v>8320</v>
      </c>
      <c r="C3375" s="148" t="s">
        <v>9369</v>
      </c>
      <c r="D3375" t="s">
        <v>9370</v>
      </c>
      <c r="E3375" s="148" t="s">
        <v>9371</v>
      </c>
      <c r="F3375" t="s">
        <v>9372</v>
      </c>
      <c r="G3375" s="148" t="s">
        <v>11091</v>
      </c>
      <c r="H3375" t="s">
        <v>11092</v>
      </c>
      <c r="K3375" s="148" t="s">
        <v>11103</v>
      </c>
      <c r="L3375" t="s">
        <v>11104</v>
      </c>
      <c r="M3375" t="s">
        <v>11105</v>
      </c>
      <c r="N3375" s="3" t="s">
        <v>271</v>
      </c>
      <c r="O3375" s="3">
        <v>100</v>
      </c>
      <c r="P3375" s="3" t="s">
        <v>11106</v>
      </c>
      <c r="Q3375" s="3">
        <v>158</v>
      </c>
      <c r="R3375" s="3">
        <v>159</v>
      </c>
      <c r="S3375" s="3">
        <v>105</v>
      </c>
      <c r="T3375" t="s">
        <v>723</v>
      </c>
      <c r="U3375" t="s">
        <v>729</v>
      </c>
      <c r="V3375" t="s">
        <v>11107</v>
      </c>
      <c r="W3375" s="45"/>
      <c r="X3375" s="45"/>
      <c r="Y3375" s="45"/>
      <c r="Z3375" s="45"/>
      <c r="AA3375" s="45"/>
      <c r="AB3375" s="45"/>
      <c r="AC3375" s="150">
        <v>0</v>
      </c>
      <c r="AD3375" s="150">
        <v>0</v>
      </c>
      <c r="AE3375" s="49">
        <f t="shared" si="159"/>
        <v>0</v>
      </c>
      <c r="AF3375" s="17"/>
      <c r="AG3375" s="17">
        <v>0</v>
      </c>
      <c r="AH3375" s="17">
        <v>0</v>
      </c>
      <c r="AI3375" s="44">
        <v>3.3</v>
      </c>
      <c r="AJ3375" s="44">
        <v>4</v>
      </c>
      <c r="AK3375" s="151"/>
      <c r="AL3375" s="151"/>
      <c r="AM3375" s="17">
        <f t="shared" si="160"/>
        <v>0</v>
      </c>
      <c r="AN3375" t="s">
        <v>723</v>
      </c>
      <c r="AO3375" s="18" t="s">
        <v>729</v>
      </c>
      <c r="AP3375" t="s">
        <v>10630</v>
      </c>
    </row>
    <row r="3376" spans="1:42" customFormat="1" hidden="1" x14ac:dyDescent="0.3">
      <c r="A3376" s="148" t="s">
        <v>8319</v>
      </c>
      <c r="B3376" t="s">
        <v>8320</v>
      </c>
      <c r="C3376" s="148" t="s">
        <v>9369</v>
      </c>
      <c r="D3376" t="s">
        <v>9370</v>
      </c>
      <c r="E3376" s="148" t="s">
        <v>9371</v>
      </c>
      <c r="F3376" t="s">
        <v>9372</v>
      </c>
      <c r="G3376" s="148" t="s">
        <v>11091</v>
      </c>
      <c r="H3376" t="s">
        <v>11092</v>
      </c>
      <c r="K3376" s="148" t="s">
        <v>11103</v>
      </c>
      <c r="L3376" t="s">
        <v>11104</v>
      </c>
      <c r="M3376" t="s">
        <v>11108</v>
      </c>
      <c r="N3376" s="3">
        <v>6.5972222222222224E-2</v>
      </c>
      <c r="O3376" s="3">
        <v>6.5972222222222224E-2</v>
      </c>
      <c r="P3376" s="3">
        <v>6.25E-2</v>
      </c>
      <c r="Q3376" s="3">
        <v>5.8333333333333327E-2</v>
      </c>
      <c r="R3376" s="3">
        <v>5.5555555555555552E-2</v>
      </c>
      <c r="S3376" s="3">
        <v>5.4166666666666669E-2</v>
      </c>
      <c r="T3376" t="s">
        <v>723</v>
      </c>
      <c r="U3376" t="s">
        <v>729</v>
      </c>
      <c r="W3376" s="45"/>
      <c r="X3376" s="45"/>
      <c r="Y3376" s="45"/>
      <c r="Z3376" s="45"/>
      <c r="AA3376" s="45"/>
      <c r="AB3376" s="45"/>
      <c r="AC3376" s="150">
        <v>0</v>
      </c>
      <c r="AD3376" s="150">
        <v>0</v>
      </c>
      <c r="AE3376" s="49">
        <f t="shared" si="159"/>
        <v>0</v>
      </c>
      <c r="AF3376" s="17"/>
      <c r="AG3376" s="17">
        <v>0</v>
      </c>
      <c r="AH3376" s="17"/>
      <c r="AI3376" s="4"/>
      <c r="AJ3376" s="4"/>
      <c r="AK3376" s="46"/>
      <c r="AL3376" s="46"/>
      <c r="AM3376" s="17">
        <f t="shared" si="160"/>
        <v>0</v>
      </c>
      <c r="AO3376" s="18"/>
    </row>
    <row r="3377" spans="1:42" customFormat="1" hidden="1" x14ac:dyDescent="0.3">
      <c r="A3377" s="148" t="s">
        <v>8319</v>
      </c>
      <c r="B3377" t="s">
        <v>8320</v>
      </c>
      <c r="C3377" s="148" t="s">
        <v>9369</v>
      </c>
      <c r="D3377" t="s">
        <v>9370</v>
      </c>
      <c r="E3377" s="148" t="s">
        <v>9371</v>
      </c>
      <c r="F3377" t="s">
        <v>9372</v>
      </c>
      <c r="G3377" s="148" t="s">
        <v>11091</v>
      </c>
      <c r="H3377" t="s">
        <v>11092</v>
      </c>
      <c r="K3377" s="155" t="s">
        <v>11109</v>
      </c>
      <c r="L3377" t="s">
        <v>11110</v>
      </c>
      <c r="M3377" t="s">
        <v>11111</v>
      </c>
      <c r="N3377" s="3" t="s">
        <v>271</v>
      </c>
      <c r="O3377" s="3" t="s">
        <v>271</v>
      </c>
      <c r="P3377" s="3">
        <v>1</v>
      </c>
      <c r="Q3377" s="3">
        <v>1</v>
      </c>
      <c r="R3377" s="3">
        <v>1</v>
      </c>
      <c r="S3377" s="3">
        <v>1</v>
      </c>
      <c r="T3377" t="s">
        <v>723</v>
      </c>
      <c r="U3377" t="s">
        <v>729</v>
      </c>
      <c r="W3377" s="45"/>
      <c r="X3377" s="45"/>
      <c r="Y3377" s="45"/>
      <c r="Z3377" s="45"/>
      <c r="AA3377" s="45"/>
      <c r="AB3377" s="45"/>
      <c r="AC3377" s="150">
        <v>0</v>
      </c>
      <c r="AD3377" s="150">
        <v>0</v>
      </c>
      <c r="AE3377" s="49">
        <f t="shared" si="159"/>
        <v>0</v>
      </c>
      <c r="AF3377" s="17"/>
      <c r="AG3377" s="17">
        <v>0</v>
      </c>
      <c r="AH3377" s="17"/>
      <c r="AI3377" s="4"/>
      <c r="AJ3377" s="4"/>
      <c r="AK3377" s="46"/>
      <c r="AL3377" s="46"/>
      <c r="AM3377" s="17">
        <f t="shared" si="160"/>
        <v>0</v>
      </c>
      <c r="AO3377" s="18"/>
    </row>
    <row r="3378" spans="1:42" customFormat="1" hidden="1" x14ac:dyDescent="0.3">
      <c r="A3378" s="148" t="s">
        <v>8319</v>
      </c>
      <c r="B3378" t="s">
        <v>8320</v>
      </c>
      <c r="C3378" s="148" t="s">
        <v>9369</v>
      </c>
      <c r="D3378" t="s">
        <v>9370</v>
      </c>
      <c r="E3378" s="148" t="s">
        <v>9371</v>
      </c>
      <c r="F3378" t="s">
        <v>9372</v>
      </c>
      <c r="G3378" s="148" t="s">
        <v>11091</v>
      </c>
      <c r="H3378" t="s">
        <v>11092</v>
      </c>
      <c r="K3378" s="155" t="s">
        <v>11112</v>
      </c>
      <c r="L3378" t="s">
        <v>11113</v>
      </c>
      <c r="M3378" t="s">
        <v>11114</v>
      </c>
      <c r="N3378" s="3" t="s">
        <v>271</v>
      </c>
      <c r="O3378" s="3" t="s">
        <v>271</v>
      </c>
      <c r="P3378" s="3">
        <v>50</v>
      </c>
      <c r="Q3378" s="3">
        <v>50</v>
      </c>
      <c r="R3378" s="3">
        <v>60</v>
      </c>
      <c r="S3378" s="3">
        <v>60</v>
      </c>
      <c r="T3378" t="s">
        <v>723</v>
      </c>
      <c r="U3378" t="s">
        <v>729</v>
      </c>
      <c r="W3378" s="45"/>
      <c r="X3378" s="45"/>
      <c r="Y3378" s="45"/>
      <c r="Z3378" s="45"/>
      <c r="AA3378" s="45"/>
      <c r="AB3378" s="45"/>
      <c r="AC3378" s="150">
        <v>0</v>
      </c>
      <c r="AD3378" s="150">
        <v>0</v>
      </c>
      <c r="AE3378" s="49">
        <f t="shared" si="159"/>
        <v>0</v>
      </c>
      <c r="AF3378" s="17"/>
      <c r="AG3378" s="17">
        <v>0</v>
      </c>
      <c r="AH3378" s="17"/>
      <c r="AI3378" s="4"/>
      <c r="AJ3378" s="4"/>
      <c r="AK3378" s="46"/>
      <c r="AL3378" s="46"/>
      <c r="AM3378" s="17">
        <f t="shared" si="160"/>
        <v>0</v>
      </c>
      <c r="AO3378" s="18"/>
    </row>
    <row r="3379" spans="1:42" customFormat="1" hidden="1" x14ac:dyDescent="0.3">
      <c r="A3379" s="148" t="s">
        <v>8319</v>
      </c>
      <c r="B3379" t="s">
        <v>8320</v>
      </c>
      <c r="C3379" s="148" t="s">
        <v>9369</v>
      </c>
      <c r="D3379" t="s">
        <v>9370</v>
      </c>
      <c r="E3379" s="148" t="s">
        <v>9371</v>
      </c>
      <c r="F3379" t="s">
        <v>9372</v>
      </c>
      <c r="G3379" s="148" t="s">
        <v>11091</v>
      </c>
      <c r="H3379" t="s">
        <v>11092</v>
      </c>
      <c r="K3379" s="155" t="s">
        <v>11115</v>
      </c>
      <c r="L3379" t="s">
        <v>11116</v>
      </c>
      <c r="M3379" t="s">
        <v>11117</v>
      </c>
      <c r="N3379" s="3" t="s">
        <v>271</v>
      </c>
      <c r="O3379" s="3" t="s">
        <v>271</v>
      </c>
      <c r="P3379" s="3" t="s">
        <v>271</v>
      </c>
      <c r="Q3379" s="3">
        <v>1</v>
      </c>
      <c r="R3379" s="3">
        <v>2</v>
      </c>
      <c r="S3379" s="3">
        <v>3</v>
      </c>
      <c r="T3379" t="s">
        <v>11118</v>
      </c>
      <c r="U3379" t="e">
        <v>#N/A</v>
      </c>
      <c r="V3379" t="s">
        <v>11119</v>
      </c>
      <c r="W3379" s="45"/>
      <c r="X3379" s="45"/>
      <c r="Y3379" s="45"/>
      <c r="Z3379" s="45"/>
      <c r="AA3379" s="45"/>
      <c r="AB3379" s="45"/>
      <c r="AC3379" s="150">
        <v>0</v>
      </c>
      <c r="AD3379" s="150">
        <v>0</v>
      </c>
      <c r="AE3379" s="49">
        <f t="shared" si="159"/>
        <v>0</v>
      </c>
      <c r="AF3379" s="44"/>
      <c r="AG3379" s="17">
        <v>0</v>
      </c>
      <c r="AH3379" s="44">
        <v>1</v>
      </c>
      <c r="AI3379" s="44">
        <v>1</v>
      </c>
      <c r="AJ3379" s="44">
        <v>1</v>
      </c>
      <c r="AK3379" s="151"/>
      <c r="AL3379" s="151"/>
      <c r="AM3379" s="17">
        <f t="shared" si="160"/>
        <v>0</v>
      </c>
      <c r="AN3379" s="18" t="s">
        <v>723</v>
      </c>
      <c r="AO3379" s="18" t="s">
        <v>729</v>
      </c>
      <c r="AP3379" t="s">
        <v>255</v>
      </c>
    </row>
    <row r="3380" spans="1:42" customFormat="1" hidden="1" x14ac:dyDescent="0.3">
      <c r="A3380" s="148" t="s">
        <v>8319</v>
      </c>
      <c r="B3380" t="s">
        <v>8320</v>
      </c>
      <c r="C3380" s="148" t="s">
        <v>9369</v>
      </c>
      <c r="D3380" t="s">
        <v>9370</v>
      </c>
      <c r="E3380" s="148" t="s">
        <v>9371</v>
      </c>
      <c r="F3380" t="s">
        <v>9372</v>
      </c>
      <c r="G3380" s="148" t="s">
        <v>11091</v>
      </c>
      <c r="H3380" t="s">
        <v>11092</v>
      </c>
      <c r="K3380" s="155" t="s">
        <v>11120</v>
      </c>
      <c r="L3380" t="s">
        <v>11121</v>
      </c>
      <c r="M3380" t="s">
        <v>11121</v>
      </c>
      <c r="N3380" s="3" t="s">
        <v>271</v>
      </c>
      <c r="O3380" s="3" t="s">
        <v>271</v>
      </c>
      <c r="P3380" s="3" t="s">
        <v>271</v>
      </c>
      <c r="Q3380" s="3">
        <v>1</v>
      </c>
      <c r="R3380" s="3" t="s">
        <v>271</v>
      </c>
      <c r="S3380" s="3" t="s">
        <v>271</v>
      </c>
      <c r="T3380" t="s">
        <v>723</v>
      </c>
      <c r="U3380" t="s">
        <v>729</v>
      </c>
      <c r="V3380" t="s">
        <v>11122</v>
      </c>
      <c r="W3380" s="45"/>
      <c r="X3380" s="45"/>
      <c r="Y3380" s="45"/>
      <c r="Z3380" s="45"/>
      <c r="AA3380" s="45"/>
      <c r="AB3380" s="45"/>
      <c r="AC3380" s="150">
        <v>0</v>
      </c>
      <c r="AD3380" s="150">
        <v>0</v>
      </c>
      <c r="AE3380" s="49">
        <f t="shared" si="159"/>
        <v>0</v>
      </c>
      <c r="AF3380" s="44"/>
      <c r="AG3380" s="17">
        <v>0</v>
      </c>
      <c r="AH3380" s="44">
        <v>0.5</v>
      </c>
      <c r="AI3380" s="44">
        <v>15</v>
      </c>
      <c r="AJ3380" s="44">
        <v>15</v>
      </c>
      <c r="AK3380" s="151"/>
      <c r="AL3380" s="151"/>
      <c r="AM3380" s="17">
        <f t="shared" si="160"/>
        <v>0</v>
      </c>
      <c r="AN3380" t="s">
        <v>723</v>
      </c>
      <c r="AO3380" s="18" t="s">
        <v>729</v>
      </c>
      <c r="AP3380" t="s">
        <v>119</v>
      </c>
    </row>
    <row r="3381" spans="1:42" customFormat="1" hidden="1" x14ac:dyDescent="0.3">
      <c r="A3381" s="148" t="s">
        <v>8319</v>
      </c>
      <c r="B3381" t="s">
        <v>8320</v>
      </c>
      <c r="C3381" s="148" t="s">
        <v>9369</v>
      </c>
      <c r="D3381" t="s">
        <v>9370</v>
      </c>
      <c r="E3381" s="148" t="s">
        <v>9371</v>
      </c>
      <c r="F3381" t="s">
        <v>9372</v>
      </c>
      <c r="G3381" s="148" t="s">
        <v>11091</v>
      </c>
      <c r="H3381" t="s">
        <v>11092</v>
      </c>
      <c r="K3381" s="155" t="s">
        <v>11123</v>
      </c>
      <c r="L3381" t="s">
        <v>11124</v>
      </c>
      <c r="M3381" t="s">
        <v>11125</v>
      </c>
      <c r="N3381" s="3">
        <v>94</v>
      </c>
      <c r="O3381" s="3">
        <v>188</v>
      </c>
      <c r="P3381" s="3">
        <v>564</v>
      </c>
      <c r="Q3381" s="3">
        <v>658</v>
      </c>
      <c r="R3381" s="3">
        <v>752</v>
      </c>
      <c r="S3381" s="3">
        <v>806</v>
      </c>
      <c r="T3381" t="s">
        <v>11126</v>
      </c>
      <c r="U3381" t="e">
        <v>#N/A</v>
      </c>
      <c r="V3381" t="s">
        <v>11127</v>
      </c>
      <c r="W3381" s="45"/>
      <c r="X3381" s="45"/>
      <c r="Y3381" s="45"/>
      <c r="Z3381" s="45"/>
      <c r="AA3381" s="45"/>
      <c r="AB3381" s="45"/>
      <c r="AC3381" s="150">
        <v>0</v>
      </c>
      <c r="AD3381" s="150">
        <v>0</v>
      </c>
      <c r="AE3381" s="49">
        <f t="shared" si="159"/>
        <v>0</v>
      </c>
      <c r="AF3381" s="44"/>
      <c r="AG3381" s="17">
        <v>0</v>
      </c>
      <c r="AH3381" s="44">
        <v>0</v>
      </c>
      <c r="AI3381" s="44">
        <v>1</v>
      </c>
      <c r="AJ3381" s="44">
        <v>1.2</v>
      </c>
      <c r="AK3381" s="151"/>
      <c r="AL3381" s="151"/>
      <c r="AM3381" s="17">
        <f t="shared" si="160"/>
        <v>0</v>
      </c>
      <c r="AN3381" t="s">
        <v>723</v>
      </c>
      <c r="AO3381" s="18" t="s">
        <v>729</v>
      </c>
      <c r="AP3381" t="s">
        <v>119</v>
      </c>
    </row>
    <row r="3382" spans="1:42" customFormat="1" hidden="1" x14ac:dyDescent="0.3">
      <c r="A3382" s="148" t="s">
        <v>8319</v>
      </c>
      <c r="B3382" t="s">
        <v>8320</v>
      </c>
      <c r="C3382" s="148" t="s">
        <v>9369</v>
      </c>
      <c r="D3382" t="s">
        <v>9370</v>
      </c>
      <c r="E3382" s="148" t="s">
        <v>9371</v>
      </c>
      <c r="F3382" t="s">
        <v>9372</v>
      </c>
      <c r="G3382" s="148" t="s">
        <v>11091</v>
      </c>
      <c r="H3382" t="s">
        <v>11092</v>
      </c>
      <c r="K3382" s="155" t="s">
        <v>11128</v>
      </c>
      <c r="L3382" t="s">
        <v>11129</v>
      </c>
      <c r="N3382" s="3"/>
      <c r="O3382" s="3"/>
      <c r="P3382" s="3"/>
      <c r="Q3382" s="3"/>
      <c r="R3382" s="3"/>
      <c r="S3382" s="3"/>
      <c r="U3382" t="e">
        <v>#N/A</v>
      </c>
      <c r="V3382" t="s">
        <v>11130</v>
      </c>
      <c r="W3382" s="45"/>
      <c r="X3382" s="45"/>
      <c r="Y3382" s="45"/>
      <c r="Z3382" s="45"/>
      <c r="AA3382" s="45"/>
      <c r="AB3382" s="45"/>
      <c r="AC3382" s="150">
        <v>0</v>
      </c>
      <c r="AD3382" s="150">
        <v>0</v>
      </c>
      <c r="AE3382" s="49">
        <f t="shared" si="159"/>
        <v>0</v>
      </c>
      <c r="AF3382" s="17"/>
      <c r="AG3382" s="17">
        <v>0</v>
      </c>
      <c r="AH3382" s="17">
        <v>0</v>
      </c>
      <c r="AI3382" s="44">
        <v>0</v>
      </c>
      <c r="AJ3382" s="44">
        <v>0</v>
      </c>
      <c r="AK3382" s="151">
        <v>0</v>
      </c>
      <c r="AL3382" s="151">
        <v>0</v>
      </c>
      <c r="AM3382" s="17">
        <f t="shared" si="160"/>
        <v>0</v>
      </c>
      <c r="AN3382" t="s">
        <v>723</v>
      </c>
      <c r="AO3382" s="18" t="s">
        <v>729</v>
      </c>
      <c r="AP3382" t="s">
        <v>255</v>
      </c>
    </row>
    <row r="3383" spans="1:42" customFormat="1" hidden="1" x14ac:dyDescent="0.3">
      <c r="A3383" s="155" t="s">
        <v>8319</v>
      </c>
      <c r="B3383" t="s">
        <v>8320</v>
      </c>
      <c r="C3383" s="155" t="s">
        <v>9369</v>
      </c>
      <c r="D3383" t="s">
        <v>9370</v>
      </c>
      <c r="E3383" s="148" t="s">
        <v>9371</v>
      </c>
      <c r="F3383" t="s">
        <v>9372</v>
      </c>
      <c r="G3383" s="148" t="s">
        <v>11131</v>
      </c>
      <c r="H3383" t="s">
        <v>11132</v>
      </c>
      <c r="K3383" s="148" t="s">
        <v>11133</v>
      </c>
      <c r="L3383" t="s">
        <v>11134</v>
      </c>
      <c r="M3383" t="s">
        <v>11135</v>
      </c>
      <c r="N3383" s="3">
        <v>36</v>
      </c>
      <c r="O3383" s="3">
        <v>40</v>
      </c>
      <c r="P3383" s="3">
        <v>44</v>
      </c>
      <c r="Q3383" s="3">
        <v>50</v>
      </c>
      <c r="R3383" s="3">
        <v>56</v>
      </c>
      <c r="S3383" s="3">
        <v>64</v>
      </c>
      <c r="T3383" t="s">
        <v>10969</v>
      </c>
      <c r="U3383" t="e">
        <v>#N/A</v>
      </c>
      <c r="W3383" s="45"/>
      <c r="X3383" s="45"/>
      <c r="Y3383" s="45"/>
      <c r="Z3383" s="45"/>
      <c r="AA3383" s="45"/>
      <c r="AB3383" s="45"/>
      <c r="AC3383" s="150">
        <v>0</v>
      </c>
      <c r="AD3383" s="150">
        <v>0</v>
      </c>
      <c r="AE3383" s="49">
        <f t="shared" si="159"/>
        <v>0</v>
      </c>
      <c r="AF3383" s="17"/>
      <c r="AG3383" s="17">
        <v>0</v>
      </c>
      <c r="AH3383" s="17"/>
      <c r="AI3383" s="4"/>
      <c r="AJ3383" s="4"/>
      <c r="AK3383" s="46"/>
      <c r="AL3383" s="46"/>
      <c r="AM3383" s="17">
        <f t="shared" si="160"/>
        <v>0</v>
      </c>
      <c r="AO3383" s="18"/>
    </row>
    <row r="3384" spans="1:42" customFormat="1" hidden="1" x14ac:dyDescent="0.3">
      <c r="A3384" s="155" t="s">
        <v>8319</v>
      </c>
      <c r="B3384" t="s">
        <v>8320</v>
      </c>
      <c r="C3384" s="155" t="s">
        <v>9369</v>
      </c>
      <c r="D3384" t="s">
        <v>9370</v>
      </c>
      <c r="E3384" s="148" t="s">
        <v>9371</v>
      </c>
      <c r="F3384" t="s">
        <v>9372</v>
      </c>
      <c r="G3384" s="148" t="s">
        <v>11131</v>
      </c>
      <c r="H3384" t="s">
        <v>11132</v>
      </c>
      <c r="K3384" s="148" t="s">
        <v>11136</v>
      </c>
      <c r="L3384" t="s">
        <v>11137</v>
      </c>
      <c r="M3384" t="s">
        <v>11138</v>
      </c>
      <c r="N3384" s="3" t="s">
        <v>271</v>
      </c>
      <c r="O3384" s="3">
        <v>0</v>
      </c>
      <c r="P3384" s="3">
        <v>0</v>
      </c>
      <c r="Q3384" s="3">
        <v>10</v>
      </c>
      <c r="R3384" s="3">
        <v>0</v>
      </c>
      <c r="S3384" s="3">
        <v>0</v>
      </c>
      <c r="T3384" t="s">
        <v>723</v>
      </c>
      <c r="U3384" t="s">
        <v>729</v>
      </c>
      <c r="W3384" s="45"/>
      <c r="X3384" s="45"/>
      <c r="Y3384" s="45"/>
      <c r="Z3384" s="45"/>
      <c r="AA3384" s="45"/>
      <c r="AB3384" s="45"/>
      <c r="AC3384" s="150">
        <v>0</v>
      </c>
      <c r="AD3384" s="150">
        <v>0</v>
      </c>
      <c r="AE3384" s="49">
        <f t="shared" si="159"/>
        <v>0</v>
      </c>
      <c r="AF3384" s="17"/>
      <c r="AG3384" s="17">
        <v>0</v>
      </c>
      <c r="AH3384" s="17"/>
      <c r="AI3384" s="4"/>
      <c r="AJ3384" s="4"/>
      <c r="AK3384" s="46"/>
      <c r="AL3384" s="46"/>
      <c r="AM3384" s="17">
        <f t="shared" si="160"/>
        <v>0</v>
      </c>
      <c r="AO3384" s="18"/>
    </row>
    <row r="3385" spans="1:42" customFormat="1" hidden="1" x14ac:dyDescent="0.3">
      <c r="A3385" s="155" t="s">
        <v>8319</v>
      </c>
      <c r="B3385" t="s">
        <v>8320</v>
      </c>
      <c r="C3385" s="155" t="s">
        <v>9369</v>
      </c>
      <c r="D3385" t="s">
        <v>9370</v>
      </c>
      <c r="E3385" s="148" t="s">
        <v>9371</v>
      </c>
      <c r="F3385" t="s">
        <v>9372</v>
      </c>
      <c r="G3385" s="148" t="s">
        <v>11131</v>
      </c>
      <c r="H3385" t="s">
        <v>11132</v>
      </c>
      <c r="K3385" s="148" t="s">
        <v>11139</v>
      </c>
      <c r="L3385" t="s">
        <v>11140</v>
      </c>
      <c r="M3385" t="s">
        <v>11140</v>
      </c>
      <c r="N3385" s="3" t="s">
        <v>271</v>
      </c>
      <c r="O3385" s="3" t="s">
        <v>271</v>
      </c>
      <c r="P3385" s="3">
        <v>1</v>
      </c>
      <c r="Q3385" s="3" t="s">
        <v>271</v>
      </c>
      <c r="R3385" s="3" t="s">
        <v>271</v>
      </c>
      <c r="S3385" s="3" t="s">
        <v>271</v>
      </c>
      <c r="T3385" t="s">
        <v>11118</v>
      </c>
      <c r="U3385" t="e">
        <v>#N/A</v>
      </c>
      <c r="W3385" s="45"/>
      <c r="X3385" s="45"/>
      <c r="Y3385" s="45"/>
      <c r="Z3385" s="45"/>
      <c r="AA3385" s="45"/>
      <c r="AB3385" s="45"/>
      <c r="AC3385" s="150">
        <v>0</v>
      </c>
      <c r="AD3385" s="150">
        <v>0</v>
      </c>
      <c r="AE3385" s="49">
        <f t="shared" si="159"/>
        <v>0</v>
      </c>
      <c r="AF3385" s="17"/>
      <c r="AG3385" s="17">
        <v>0</v>
      </c>
      <c r="AH3385" s="17"/>
      <c r="AI3385" s="4"/>
      <c r="AJ3385" s="4"/>
      <c r="AK3385" s="46"/>
      <c r="AL3385" s="46"/>
      <c r="AM3385" s="17">
        <f t="shared" si="160"/>
        <v>0</v>
      </c>
      <c r="AO3385" s="18"/>
    </row>
    <row r="3386" spans="1:42" customFormat="1" hidden="1" x14ac:dyDescent="0.3">
      <c r="A3386" s="155" t="s">
        <v>8319</v>
      </c>
      <c r="B3386" t="s">
        <v>8320</v>
      </c>
      <c r="C3386" s="155" t="s">
        <v>9369</v>
      </c>
      <c r="D3386" t="s">
        <v>9370</v>
      </c>
      <c r="E3386" s="148" t="s">
        <v>9371</v>
      </c>
      <c r="F3386" t="s">
        <v>9372</v>
      </c>
      <c r="G3386" s="148" t="s">
        <v>11131</v>
      </c>
      <c r="H3386" t="s">
        <v>11132</v>
      </c>
      <c r="K3386" s="148" t="s">
        <v>11139</v>
      </c>
      <c r="L3386" t="s">
        <v>11140</v>
      </c>
      <c r="M3386" t="s">
        <v>11141</v>
      </c>
      <c r="N3386" s="3" t="s">
        <v>271</v>
      </c>
      <c r="O3386" s="3" t="s">
        <v>271</v>
      </c>
      <c r="P3386" s="3" t="s">
        <v>271</v>
      </c>
      <c r="Q3386" s="3">
        <v>20</v>
      </c>
      <c r="R3386" s="3">
        <v>30</v>
      </c>
      <c r="S3386" s="3">
        <v>50</v>
      </c>
      <c r="T3386" t="s">
        <v>11142</v>
      </c>
      <c r="U3386" t="e">
        <v>#N/A</v>
      </c>
      <c r="W3386" s="45"/>
      <c r="X3386" s="45"/>
      <c r="Y3386" s="45"/>
      <c r="Z3386" s="45"/>
      <c r="AA3386" s="45"/>
      <c r="AB3386" s="45"/>
      <c r="AC3386" s="150">
        <v>0</v>
      </c>
      <c r="AD3386" s="150">
        <v>0</v>
      </c>
      <c r="AE3386" s="49">
        <f t="shared" si="159"/>
        <v>0</v>
      </c>
      <c r="AF3386" s="17"/>
      <c r="AG3386" s="17">
        <v>0</v>
      </c>
      <c r="AH3386" s="17"/>
      <c r="AI3386" s="4"/>
      <c r="AJ3386" s="4"/>
      <c r="AK3386" s="46"/>
      <c r="AL3386" s="46"/>
      <c r="AM3386" s="17">
        <f t="shared" si="160"/>
        <v>0</v>
      </c>
      <c r="AO3386" s="18"/>
    </row>
    <row r="3387" spans="1:42" customFormat="1" hidden="1" x14ac:dyDescent="0.3">
      <c r="A3387" s="155" t="s">
        <v>8319</v>
      </c>
      <c r="B3387" t="s">
        <v>8320</v>
      </c>
      <c r="C3387" s="155" t="s">
        <v>9369</v>
      </c>
      <c r="D3387" t="s">
        <v>9370</v>
      </c>
      <c r="E3387" s="148" t="s">
        <v>9371</v>
      </c>
      <c r="F3387" t="s">
        <v>9372</v>
      </c>
      <c r="G3387" s="148" t="s">
        <v>11131</v>
      </c>
      <c r="H3387" t="s">
        <v>11132</v>
      </c>
      <c r="K3387" s="148" t="s">
        <v>11143</v>
      </c>
      <c r="L3387" t="s">
        <v>11144</v>
      </c>
      <c r="M3387" t="s">
        <v>11145</v>
      </c>
      <c r="N3387" s="3" t="s">
        <v>271</v>
      </c>
      <c r="O3387" s="3" t="s">
        <v>271</v>
      </c>
      <c r="P3387" s="3">
        <v>1</v>
      </c>
      <c r="Q3387" s="3" t="s">
        <v>271</v>
      </c>
      <c r="R3387" s="3" t="s">
        <v>271</v>
      </c>
      <c r="S3387" s="3" t="s">
        <v>271</v>
      </c>
      <c r="T3387" t="s">
        <v>11146</v>
      </c>
      <c r="U3387" t="e">
        <v>#N/A</v>
      </c>
      <c r="W3387" s="45"/>
      <c r="X3387" s="45"/>
      <c r="Y3387" s="45"/>
      <c r="Z3387" s="45"/>
      <c r="AA3387" s="45"/>
      <c r="AB3387" s="45"/>
      <c r="AC3387" s="150">
        <v>0</v>
      </c>
      <c r="AD3387" s="150">
        <v>0</v>
      </c>
      <c r="AE3387" s="49">
        <f t="shared" si="159"/>
        <v>0</v>
      </c>
      <c r="AF3387" s="17"/>
      <c r="AG3387" s="17">
        <v>0</v>
      </c>
      <c r="AH3387" s="17"/>
      <c r="AI3387" s="4"/>
      <c r="AJ3387" s="4"/>
      <c r="AK3387" s="46"/>
      <c r="AL3387" s="46"/>
      <c r="AM3387" s="17">
        <f t="shared" si="160"/>
        <v>0</v>
      </c>
      <c r="AO3387" s="18"/>
    </row>
    <row r="3388" spans="1:42" customFormat="1" hidden="1" x14ac:dyDescent="0.3">
      <c r="A3388" s="155" t="s">
        <v>8319</v>
      </c>
      <c r="B3388" t="s">
        <v>8320</v>
      </c>
      <c r="C3388" s="155" t="s">
        <v>9369</v>
      </c>
      <c r="D3388" t="s">
        <v>9370</v>
      </c>
      <c r="E3388" s="148" t="s">
        <v>9371</v>
      </c>
      <c r="F3388" t="s">
        <v>9372</v>
      </c>
      <c r="G3388" s="148" t="s">
        <v>11131</v>
      </c>
      <c r="H3388" t="s">
        <v>11132</v>
      </c>
      <c r="K3388" s="148" t="s">
        <v>11147</v>
      </c>
      <c r="L3388" t="s">
        <v>11129</v>
      </c>
      <c r="M3388" t="s">
        <v>11148</v>
      </c>
      <c r="N3388" s="3" t="s">
        <v>271</v>
      </c>
      <c r="O3388" s="3" t="s">
        <v>271</v>
      </c>
      <c r="P3388" s="3">
        <v>50</v>
      </c>
      <c r="Q3388" s="3">
        <v>50</v>
      </c>
      <c r="R3388" s="3">
        <v>50</v>
      </c>
      <c r="S3388" s="3">
        <v>50</v>
      </c>
      <c r="T3388" t="s">
        <v>723</v>
      </c>
      <c r="U3388" t="s">
        <v>729</v>
      </c>
      <c r="W3388" s="45"/>
      <c r="X3388" s="45"/>
      <c r="Y3388" s="45"/>
      <c r="Z3388" s="45"/>
      <c r="AA3388" s="45"/>
      <c r="AB3388" s="45"/>
      <c r="AC3388" s="150">
        <v>0</v>
      </c>
      <c r="AD3388" s="150">
        <v>0</v>
      </c>
      <c r="AE3388" s="49">
        <f t="shared" si="159"/>
        <v>0</v>
      </c>
      <c r="AF3388" s="17"/>
      <c r="AG3388" s="17">
        <v>0</v>
      </c>
      <c r="AH3388" s="17"/>
      <c r="AI3388" s="4"/>
      <c r="AJ3388" s="4"/>
      <c r="AK3388" s="46"/>
      <c r="AL3388" s="46"/>
      <c r="AM3388" s="17">
        <f t="shared" si="160"/>
        <v>0</v>
      </c>
      <c r="AO3388" s="18"/>
    </row>
    <row r="3389" spans="1:42" customFormat="1" hidden="1" x14ac:dyDescent="0.3">
      <c r="A3389" s="155" t="s">
        <v>8319</v>
      </c>
      <c r="B3389" t="s">
        <v>8320</v>
      </c>
      <c r="C3389" s="155" t="s">
        <v>9369</v>
      </c>
      <c r="D3389" t="s">
        <v>9370</v>
      </c>
      <c r="E3389" s="148" t="s">
        <v>9371</v>
      </c>
      <c r="F3389" t="s">
        <v>9372</v>
      </c>
      <c r="G3389" s="148" t="s">
        <v>11131</v>
      </c>
      <c r="H3389" t="s">
        <v>11132</v>
      </c>
      <c r="K3389" s="148" t="s">
        <v>11149</v>
      </c>
      <c r="L3389" t="s">
        <v>11150</v>
      </c>
      <c r="M3389" t="s">
        <v>11151</v>
      </c>
      <c r="N3389" s="3"/>
      <c r="O3389" s="3"/>
      <c r="P3389" s="3"/>
      <c r="Q3389" s="3" t="s">
        <v>11152</v>
      </c>
      <c r="R3389" s="3"/>
      <c r="S3389" s="3"/>
      <c r="T3389" t="s">
        <v>723</v>
      </c>
      <c r="U3389" t="s">
        <v>729</v>
      </c>
      <c r="W3389" s="45"/>
      <c r="X3389" s="45"/>
      <c r="Y3389" s="45"/>
      <c r="Z3389" s="45"/>
      <c r="AA3389" s="45"/>
      <c r="AB3389" s="45"/>
      <c r="AC3389" s="150">
        <v>0</v>
      </c>
      <c r="AD3389" s="150">
        <v>0</v>
      </c>
      <c r="AE3389" s="49">
        <f t="shared" si="159"/>
        <v>0</v>
      </c>
      <c r="AF3389" s="17"/>
      <c r="AG3389" s="17">
        <v>0</v>
      </c>
      <c r="AH3389" s="17"/>
      <c r="AI3389" s="4"/>
      <c r="AJ3389" s="4"/>
      <c r="AK3389" s="46"/>
      <c r="AL3389" s="46"/>
      <c r="AM3389" s="17">
        <f t="shared" si="160"/>
        <v>0</v>
      </c>
      <c r="AO3389" s="18"/>
    </row>
    <row r="3390" spans="1:42" customFormat="1" hidden="1" x14ac:dyDescent="0.3">
      <c r="A3390" s="148" t="s">
        <v>8319</v>
      </c>
      <c r="B3390" t="s">
        <v>8320</v>
      </c>
      <c r="C3390" s="148" t="s">
        <v>9369</v>
      </c>
      <c r="D3390" t="s">
        <v>9370</v>
      </c>
      <c r="E3390" s="148" t="s">
        <v>9371</v>
      </c>
      <c r="F3390" t="s">
        <v>9372</v>
      </c>
      <c r="G3390" s="148" t="s">
        <v>11153</v>
      </c>
      <c r="H3390" t="s">
        <v>11154</v>
      </c>
      <c r="K3390" s="148" t="s">
        <v>11155</v>
      </c>
      <c r="L3390" t="s">
        <v>11156</v>
      </c>
      <c r="M3390" t="s">
        <v>11157</v>
      </c>
      <c r="N3390" s="3" t="s">
        <v>271</v>
      </c>
      <c r="O3390" s="3" t="s">
        <v>271</v>
      </c>
      <c r="P3390" s="3" t="s">
        <v>271</v>
      </c>
      <c r="Q3390" s="3">
        <v>1</v>
      </c>
      <c r="R3390" s="3" t="s">
        <v>271</v>
      </c>
      <c r="S3390" s="3" t="s">
        <v>271</v>
      </c>
      <c r="T3390" t="s">
        <v>11158</v>
      </c>
      <c r="U3390" t="e">
        <v>#N/A</v>
      </c>
      <c r="V3390" t="s">
        <v>11159</v>
      </c>
      <c r="W3390" s="45"/>
      <c r="X3390" s="45"/>
      <c r="Y3390" s="45"/>
      <c r="Z3390" s="45"/>
      <c r="AA3390" s="45"/>
      <c r="AB3390" s="45"/>
      <c r="AC3390" s="150">
        <v>0</v>
      </c>
      <c r="AD3390" s="150">
        <v>0</v>
      </c>
      <c r="AE3390" s="49">
        <f t="shared" si="159"/>
        <v>0</v>
      </c>
      <c r="AF3390" s="17"/>
      <c r="AG3390" s="17">
        <v>0</v>
      </c>
      <c r="AH3390" s="17">
        <v>0</v>
      </c>
      <c r="AI3390" s="44">
        <v>0.5</v>
      </c>
      <c r="AJ3390" s="17">
        <v>0</v>
      </c>
      <c r="AK3390" s="153">
        <v>0</v>
      </c>
      <c r="AL3390" s="154">
        <v>0</v>
      </c>
      <c r="AM3390" s="17">
        <f t="shared" si="160"/>
        <v>0</v>
      </c>
      <c r="AN3390" t="s">
        <v>723</v>
      </c>
      <c r="AO3390" s="18" t="s">
        <v>729</v>
      </c>
      <c r="AP3390" t="s">
        <v>2074</v>
      </c>
    </row>
    <row r="3391" spans="1:42" customFormat="1" hidden="1" x14ac:dyDescent="0.3">
      <c r="A3391" s="148" t="s">
        <v>8319</v>
      </c>
      <c r="B3391" t="s">
        <v>8320</v>
      </c>
      <c r="C3391" s="148" t="s">
        <v>9344</v>
      </c>
      <c r="D3391" t="s">
        <v>9345</v>
      </c>
      <c r="E3391" s="148" t="s">
        <v>9398</v>
      </c>
      <c r="F3391" t="s">
        <v>9399</v>
      </c>
      <c r="G3391" s="148" t="s">
        <v>9400</v>
      </c>
      <c r="H3391" t="s">
        <v>9401</v>
      </c>
      <c r="I3391" s="148" t="s">
        <v>10637</v>
      </c>
      <c r="J3391" t="s">
        <v>10638</v>
      </c>
      <c r="K3391" s="155" t="s">
        <v>11160</v>
      </c>
      <c r="L3391" t="s">
        <v>11161</v>
      </c>
      <c r="M3391" t="s">
        <v>11162</v>
      </c>
      <c r="N3391" s="3" t="s">
        <v>119</v>
      </c>
      <c r="O3391" s="3">
        <v>50</v>
      </c>
      <c r="P3391" s="3">
        <v>65</v>
      </c>
      <c r="Q3391" s="3">
        <v>70</v>
      </c>
      <c r="R3391" s="3">
        <v>80</v>
      </c>
      <c r="S3391" s="3">
        <v>80</v>
      </c>
      <c r="T3391" t="s">
        <v>10641</v>
      </c>
      <c r="U3391" t="e">
        <v>#N/A</v>
      </c>
      <c r="W3391" s="45"/>
      <c r="X3391" s="45"/>
      <c r="Y3391" s="45"/>
      <c r="Z3391" s="45"/>
      <c r="AA3391" s="45"/>
      <c r="AB3391" s="45"/>
      <c r="AC3391" s="150">
        <v>0</v>
      </c>
      <c r="AD3391" s="150">
        <v>0</v>
      </c>
      <c r="AE3391" s="49">
        <f t="shared" si="159"/>
        <v>0</v>
      </c>
      <c r="AF3391" s="4"/>
      <c r="AG3391" s="17">
        <v>0</v>
      </c>
      <c r="AH3391" s="4"/>
      <c r="AI3391" s="4"/>
      <c r="AJ3391" s="4"/>
      <c r="AK3391" s="46"/>
      <c r="AL3391" s="46"/>
      <c r="AM3391" s="17">
        <f t="shared" si="160"/>
        <v>0</v>
      </c>
      <c r="AN3391" s="44"/>
      <c r="AO3391" s="18"/>
    </row>
    <row r="3392" spans="1:42" customFormat="1" hidden="1" x14ac:dyDescent="0.3">
      <c r="A3392" s="148" t="s">
        <v>8319</v>
      </c>
      <c r="B3392" t="s">
        <v>8320</v>
      </c>
      <c r="C3392" s="148" t="s">
        <v>9344</v>
      </c>
      <c r="D3392" t="s">
        <v>9345</v>
      </c>
      <c r="E3392" s="148" t="s">
        <v>9398</v>
      </c>
      <c r="F3392" t="s">
        <v>9399</v>
      </c>
      <c r="G3392" s="148" t="s">
        <v>9400</v>
      </c>
      <c r="H3392" t="s">
        <v>9401</v>
      </c>
      <c r="I3392" s="148" t="s">
        <v>9402</v>
      </c>
      <c r="J3392" t="s">
        <v>9403</v>
      </c>
      <c r="K3392" s="155" t="s">
        <v>11163</v>
      </c>
      <c r="L3392" t="s">
        <v>11164</v>
      </c>
      <c r="M3392" t="s">
        <v>11165</v>
      </c>
      <c r="N3392" s="3" t="s">
        <v>119</v>
      </c>
      <c r="O3392" s="3">
        <v>50</v>
      </c>
      <c r="P3392" s="3">
        <v>100</v>
      </c>
      <c r="Q3392" s="3">
        <v>100</v>
      </c>
      <c r="R3392" s="3">
        <v>100</v>
      </c>
      <c r="S3392" s="3">
        <v>100</v>
      </c>
      <c r="T3392" t="s">
        <v>10671</v>
      </c>
      <c r="U3392" t="e">
        <v>#N/A</v>
      </c>
      <c r="W3392" s="45"/>
      <c r="X3392" s="45"/>
      <c r="Y3392" s="45"/>
      <c r="Z3392" s="45"/>
      <c r="AA3392" s="45"/>
      <c r="AB3392" s="45"/>
      <c r="AC3392" s="150">
        <v>0</v>
      </c>
      <c r="AD3392" s="150">
        <v>0</v>
      </c>
      <c r="AE3392" s="49">
        <f t="shared" si="159"/>
        <v>0</v>
      </c>
      <c r="AF3392" s="17"/>
      <c r="AG3392" s="17">
        <v>0</v>
      </c>
      <c r="AH3392" s="17"/>
      <c r="AI3392" s="4"/>
      <c r="AJ3392" s="4"/>
      <c r="AK3392" s="46"/>
      <c r="AL3392" s="46"/>
      <c r="AM3392" s="17">
        <f t="shared" si="160"/>
        <v>0</v>
      </c>
      <c r="AN3392" s="44"/>
      <c r="AO3392" s="18"/>
    </row>
    <row r="3393" spans="1:42" customFormat="1" hidden="1" x14ac:dyDescent="0.3">
      <c r="A3393" s="148" t="s">
        <v>8319</v>
      </c>
      <c r="B3393" t="s">
        <v>8320</v>
      </c>
      <c r="C3393" s="148" t="s">
        <v>9410</v>
      </c>
      <c r="D3393" t="s">
        <v>9411</v>
      </c>
      <c r="E3393" s="148" t="s">
        <v>9412</v>
      </c>
      <c r="F3393" t="s">
        <v>9413</v>
      </c>
      <c r="G3393" s="148" t="s">
        <v>9414</v>
      </c>
      <c r="H3393" t="s">
        <v>9415</v>
      </c>
      <c r="K3393" s="148" t="s">
        <v>9416</v>
      </c>
      <c r="L3393" t="s">
        <v>9417</v>
      </c>
      <c r="M3393" t="s">
        <v>11166</v>
      </c>
      <c r="N3393" s="3"/>
      <c r="O3393" s="3">
        <v>1</v>
      </c>
      <c r="P3393" s="3">
        <v>1</v>
      </c>
      <c r="Q3393" s="3">
        <v>0</v>
      </c>
      <c r="R3393" s="3">
        <v>0</v>
      </c>
      <c r="S3393" s="3">
        <v>0</v>
      </c>
      <c r="T3393" t="s">
        <v>3643</v>
      </c>
      <c r="U3393" t="s">
        <v>3630</v>
      </c>
      <c r="V3393" t="s">
        <v>11167</v>
      </c>
      <c r="W3393" s="45">
        <v>0</v>
      </c>
      <c r="X3393" s="45">
        <v>0</v>
      </c>
      <c r="Y3393" s="45">
        <v>0</v>
      </c>
      <c r="Z3393" s="45">
        <v>0</v>
      </c>
      <c r="AA3393" s="45">
        <v>0</v>
      </c>
      <c r="AB3393" s="45">
        <v>0</v>
      </c>
      <c r="AC3393" s="150">
        <v>0</v>
      </c>
      <c r="AD3393" s="150">
        <v>0</v>
      </c>
      <c r="AE3393" s="49">
        <f t="shared" si="159"/>
        <v>0</v>
      </c>
      <c r="AF3393" s="17"/>
      <c r="AG3393" s="17">
        <v>0</v>
      </c>
      <c r="AH3393" s="17">
        <v>0</v>
      </c>
      <c r="AI3393" s="17">
        <v>0</v>
      </c>
      <c r="AJ3393" s="17">
        <v>0</v>
      </c>
      <c r="AK3393" s="153">
        <v>0</v>
      </c>
      <c r="AL3393" s="154">
        <v>0</v>
      </c>
      <c r="AM3393" s="17">
        <f t="shared" si="160"/>
        <v>0</v>
      </c>
      <c r="AN3393" s="18" t="s">
        <v>255</v>
      </c>
      <c r="AO3393" s="18" t="s">
        <v>1045</v>
      </c>
      <c r="AP3393" t="s">
        <v>9426</v>
      </c>
    </row>
    <row r="3394" spans="1:42" customFormat="1" hidden="1" x14ac:dyDescent="0.3">
      <c r="A3394" s="148" t="s">
        <v>8319</v>
      </c>
      <c r="B3394" t="s">
        <v>8320</v>
      </c>
      <c r="C3394" s="148" t="s">
        <v>9410</v>
      </c>
      <c r="D3394" t="s">
        <v>9411</v>
      </c>
      <c r="E3394" s="148" t="s">
        <v>9412</v>
      </c>
      <c r="F3394" t="s">
        <v>9413</v>
      </c>
      <c r="G3394" s="148" t="s">
        <v>9414</v>
      </c>
      <c r="H3394" t="s">
        <v>9415</v>
      </c>
      <c r="K3394" s="155" t="s">
        <v>9427</v>
      </c>
      <c r="L3394" t="s">
        <v>9428</v>
      </c>
      <c r="M3394" t="s">
        <v>11168</v>
      </c>
      <c r="N3394" s="3">
        <v>6</v>
      </c>
      <c r="O3394" s="3">
        <v>5.2</v>
      </c>
      <c r="P3394" s="3">
        <v>5</v>
      </c>
      <c r="Q3394" s="3">
        <v>4.8</v>
      </c>
      <c r="R3394" s="3">
        <v>4.5999999999999996</v>
      </c>
      <c r="S3394" s="3">
        <v>4.4000000000000004</v>
      </c>
      <c r="T3394" t="s">
        <v>3643</v>
      </c>
      <c r="U3394" t="s">
        <v>3630</v>
      </c>
      <c r="W3394" s="45"/>
      <c r="X3394" s="45"/>
      <c r="Y3394" s="45"/>
      <c r="Z3394" s="45"/>
      <c r="AA3394" s="45"/>
      <c r="AB3394" s="45"/>
      <c r="AC3394" s="150">
        <v>0</v>
      </c>
      <c r="AD3394" s="150">
        <v>0</v>
      </c>
      <c r="AE3394" s="49">
        <f t="shared" si="159"/>
        <v>0</v>
      </c>
      <c r="AF3394" s="17"/>
      <c r="AG3394" s="17">
        <v>0</v>
      </c>
      <c r="AH3394" s="17">
        <v>0</v>
      </c>
      <c r="AI3394" s="17">
        <v>0</v>
      </c>
      <c r="AJ3394" s="17">
        <v>0</v>
      </c>
      <c r="AK3394" s="153">
        <v>0</v>
      </c>
      <c r="AL3394" s="154">
        <v>0</v>
      </c>
      <c r="AM3394" s="17">
        <f t="shared" si="160"/>
        <v>0</v>
      </c>
      <c r="AN3394" s="44" t="s">
        <v>9431</v>
      </c>
      <c r="AO3394" s="18" t="s">
        <v>3630</v>
      </c>
      <c r="AP3394" s="18" t="s">
        <v>255</v>
      </c>
    </row>
    <row r="3395" spans="1:42" customFormat="1" hidden="1" x14ac:dyDescent="0.3">
      <c r="A3395" s="148" t="s">
        <v>8319</v>
      </c>
      <c r="B3395" t="s">
        <v>8320</v>
      </c>
      <c r="C3395" s="148" t="s">
        <v>9410</v>
      </c>
      <c r="D3395" t="s">
        <v>9411</v>
      </c>
      <c r="E3395" s="148" t="s">
        <v>9412</v>
      </c>
      <c r="F3395" t="s">
        <v>9413</v>
      </c>
      <c r="G3395" s="148" t="s">
        <v>9414</v>
      </c>
      <c r="H3395" t="s">
        <v>9415</v>
      </c>
      <c r="K3395" s="155" t="s">
        <v>9441</v>
      </c>
      <c r="L3395" t="s">
        <v>9442</v>
      </c>
      <c r="M3395" t="s">
        <v>11169</v>
      </c>
      <c r="N3395" s="3"/>
      <c r="O3395" s="3">
        <v>1</v>
      </c>
      <c r="P3395" s="3">
        <v>0</v>
      </c>
      <c r="Q3395" s="3">
        <v>0</v>
      </c>
      <c r="R3395" s="3">
        <v>0</v>
      </c>
      <c r="S3395" s="3">
        <v>0</v>
      </c>
      <c r="T3395" t="s">
        <v>3643</v>
      </c>
      <c r="U3395" t="s">
        <v>3630</v>
      </c>
      <c r="V3395" t="s">
        <v>11170</v>
      </c>
      <c r="W3395" s="45">
        <v>0</v>
      </c>
      <c r="X3395" s="45">
        <v>0</v>
      </c>
      <c r="Y3395" s="45">
        <v>0</v>
      </c>
      <c r="Z3395" s="45">
        <v>0</v>
      </c>
      <c r="AA3395" s="45">
        <v>0</v>
      </c>
      <c r="AB3395" s="45">
        <v>0</v>
      </c>
      <c r="AC3395" s="150">
        <v>0</v>
      </c>
      <c r="AD3395" s="150">
        <v>0</v>
      </c>
      <c r="AE3395" s="49">
        <f t="shared" si="159"/>
        <v>0</v>
      </c>
      <c r="AF3395" s="17"/>
      <c r="AG3395" s="17">
        <v>0</v>
      </c>
      <c r="AH3395" s="17">
        <v>0</v>
      </c>
      <c r="AI3395" s="17">
        <v>0</v>
      </c>
      <c r="AJ3395" s="17">
        <v>0</v>
      </c>
      <c r="AK3395" s="153">
        <v>3</v>
      </c>
      <c r="AL3395" s="154">
        <v>3</v>
      </c>
      <c r="AM3395" s="17">
        <f t="shared" si="160"/>
        <v>6</v>
      </c>
      <c r="AN3395" t="s">
        <v>3643</v>
      </c>
      <c r="AO3395" s="18" t="s">
        <v>3630</v>
      </c>
      <c r="AP3395" t="s">
        <v>9445</v>
      </c>
    </row>
    <row r="3396" spans="1:42" customFormat="1" hidden="1" x14ac:dyDescent="0.3">
      <c r="A3396" s="148" t="s">
        <v>8319</v>
      </c>
      <c r="B3396" t="s">
        <v>8320</v>
      </c>
      <c r="C3396" s="148" t="s">
        <v>9410</v>
      </c>
      <c r="D3396" t="s">
        <v>9411</v>
      </c>
      <c r="E3396" s="148" t="s">
        <v>9412</v>
      </c>
      <c r="F3396" t="s">
        <v>9413</v>
      </c>
      <c r="G3396" s="148" t="s">
        <v>9448</v>
      </c>
      <c r="H3396" t="s">
        <v>9449</v>
      </c>
      <c r="I3396" s="148" t="s">
        <v>9796</v>
      </c>
      <c r="J3396" t="s">
        <v>9797</v>
      </c>
      <c r="K3396" s="148" t="s">
        <v>9798</v>
      </c>
      <c r="L3396" t="s">
        <v>9799</v>
      </c>
      <c r="M3396" t="s">
        <v>11171</v>
      </c>
      <c r="N3396" s="3"/>
      <c r="O3396" s="3">
        <v>1</v>
      </c>
      <c r="P3396" s="3">
        <v>3</v>
      </c>
      <c r="Q3396" s="3">
        <v>4</v>
      </c>
      <c r="R3396" s="3">
        <v>5</v>
      </c>
      <c r="S3396" s="3">
        <v>6</v>
      </c>
      <c r="T3396" t="s">
        <v>3643</v>
      </c>
      <c r="U3396" t="s">
        <v>3630</v>
      </c>
      <c r="V3396" t="s">
        <v>11172</v>
      </c>
      <c r="W3396" s="45"/>
      <c r="X3396" s="45">
        <v>0</v>
      </c>
      <c r="Y3396" s="45">
        <v>0</v>
      </c>
      <c r="Z3396" s="45">
        <v>0</v>
      </c>
      <c r="AA3396" s="45">
        <v>0</v>
      </c>
      <c r="AB3396" s="45">
        <v>0</v>
      </c>
      <c r="AC3396" s="150">
        <v>0</v>
      </c>
      <c r="AD3396" s="150">
        <v>0</v>
      </c>
      <c r="AE3396" s="49">
        <f t="shared" si="159"/>
        <v>0</v>
      </c>
      <c r="AF3396" s="17"/>
      <c r="AG3396" s="17">
        <v>0</v>
      </c>
      <c r="AH3396" s="17">
        <v>0</v>
      </c>
      <c r="AI3396" s="17">
        <v>0</v>
      </c>
      <c r="AJ3396" s="17">
        <v>0</v>
      </c>
      <c r="AK3396" s="153">
        <v>0</v>
      </c>
      <c r="AL3396" s="154">
        <v>0</v>
      </c>
      <c r="AM3396" s="17">
        <f t="shared" si="160"/>
        <v>0</v>
      </c>
      <c r="AN3396" t="s">
        <v>3643</v>
      </c>
      <c r="AO3396" s="18" t="s">
        <v>3630</v>
      </c>
      <c r="AP3396" t="s">
        <v>11173</v>
      </c>
    </row>
    <row r="3397" spans="1:42" customFormat="1" hidden="1" x14ac:dyDescent="0.3">
      <c r="A3397" s="148" t="s">
        <v>8319</v>
      </c>
      <c r="B3397" t="s">
        <v>8320</v>
      </c>
      <c r="C3397" s="148" t="s">
        <v>9410</v>
      </c>
      <c r="D3397" t="s">
        <v>9411</v>
      </c>
      <c r="E3397" s="148" t="s">
        <v>9412</v>
      </c>
      <c r="F3397" t="s">
        <v>9413</v>
      </c>
      <c r="G3397" s="148" t="s">
        <v>9448</v>
      </c>
      <c r="H3397" t="s">
        <v>9449</v>
      </c>
      <c r="I3397" s="148" t="s">
        <v>9457</v>
      </c>
      <c r="J3397" t="s">
        <v>9458</v>
      </c>
      <c r="K3397" s="148" t="s">
        <v>10938</v>
      </c>
      <c r="L3397" t="s">
        <v>10939</v>
      </c>
      <c r="M3397" t="s">
        <v>11174</v>
      </c>
      <c r="N3397" s="3">
        <v>52</v>
      </c>
      <c r="O3397" s="3">
        <v>60</v>
      </c>
      <c r="P3397" s="3">
        <v>65</v>
      </c>
      <c r="Q3397" s="3">
        <v>68</v>
      </c>
      <c r="R3397" s="3">
        <v>70</v>
      </c>
      <c r="S3397" s="3">
        <v>72</v>
      </c>
      <c r="T3397" t="s">
        <v>3643</v>
      </c>
      <c r="U3397" t="s">
        <v>3630</v>
      </c>
      <c r="V3397" t="s">
        <v>11175</v>
      </c>
      <c r="W3397" s="45">
        <v>0</v>
      </c>
      <c r="X3397" s="45">
        <v>0</v>
      </c>
      <c r="Y3397" s="45">
        <v>0</v>
      </c>
      <c r="Z3397" s="45">
        <v>0</v>
      </c>
      <c r="AA3397" s="45">
        <v>0</v>
      </c>
      <c r="AB3397" s="45">
        <v>0</v>
      </c>
      <c r="AC3397" s="150">
        <v>0</v>
      </c>
      <c r="AD3397" s="150">
        <v>0</v>
      </c>
      <c r="AE3397" s="49">
        <f t="shared" si="159"/>
        <v>0</v>
      </c>
      <c r="AF3397" s="44"/>
      <c r="AG3397" s="17">
        <v>0</v>
      </c>
      <c r="AH3397" s="44">
        <v>0.1</v>
      </c>
      <c r="AI3397" s="44">
        <v>0.3</v>
      </c>
      <c r="AJ3397" s="44">
        <v>0.2</v>
      </c>
      <c r="AK3397" s="151">
        <v>0.2</v>
      </c>
      <c r="AL3397" s="151">
        <v>0.2</v>
      </c>
      <c r="AM3397" s="17">
        <f t="shared" si="160"/>
        <v>0.4</v>
      </c>
      <c r="AN3397" t="s">
        <v>3643</v>
      </c>
      <c r="AO3397" s="18" t="s">
        <v>3630</v>
      </c>
      <c r="AP3397" t="s">
        <v>11176</v>
      </c>
    </row>
    <row r="3398" spans="1:42" customFormat="1" hidden="1" x14ac:dyDescent="0.3">
      <c r="A3398" s="148" t="s">
        <v>8319</v>
      </c>
      <c r="B3398" t="s">
        <v>8320</v>
      </c>
      <c r="C3398" s="148" t="s">
        <v>9410</v>
      </c>
      <c r="D3398" t="s">
        <v>9411</v>
      </c>
      <c r="E3398" s="148" t="s">
        <v>9412</v>
      </c>
      <c r="F3398" t="s">
        <v>9413</v>
      </c>
      <c r="G3398" s="148" t="s">
        <v>9448</v>
      </c>
      <c r="H3398" t="s">
        <v>9449</v>
      </c>
      <c r="I3398" s="148" t="s">
        <v>9457</v>
      </c>
      <c r="J3398" t="s">
        <v>9458</v>
      </c>
      <c r="K3398" s="148" t="s">
        <v>11177</v>
      </c>
      <c r="L3398" t="s">
        <v>11178</v>
      </c>
      <c r="N3398" s="3"/>
      <c r="O3398" s="3"/>
      <c r="P3398" s="3"/>
      <c r="Q3398" s="3"/>
      <c r="R3398" s="3"/>
      <c r="S3398" s="3"/>
      <c r="U3398" t="e">
        <v>#N/A</v>
      </c>
      <c r="V3398" t="s">
        <v>11179</v>
      </c>
      <c r="W3398" s="45">
        <v>0</v>
      </c>
      <c r="X3398" s="45">
        <v>0</v>
      </c>
      <c r="Y3398" s="45">
        <v>0</v>
      </c>
      <c r="Z3398" s="45">
        <v>0</v>
      </c>
      <c r="AA3398" s="45">
        <v>0</v>
      </c>
      <c r="AB3398" s="45">
        <v>0</v>
      </c>
      <c r="AC3398" s="150">
        <v>0</v>
      </c>
      <c r="AD3398" s="150">
        <v>0</v>
      </c>
      <c r="AE3398" s="49">
        <f t="shared" si="159"/>
        <v>0</v>
      </c>
      <c r="AF3398" s="44"/>
      <c r="AG3398" s="17">
        <v>0</v>
      </c>
      <c r="AH3398" s="44">
        <v>0.6</v>
      </c>
      <c r="AI3398" s="44">
        <v>0.4</v>
      </c>
      <c r="AJ3398" s="44">
        <v>0.1</v>
      </c>
      <c r="AK3398" s="151">
        <v>1</v>
      </c>
      <c r="AL3398" s="151">
        <v>1</v>
      </c>
      <c r="AM3398" s="17">
        <f t="shared" si="160"/>
        <v>2</v>
      </c>
      <c r="AN3398" t="s">
        <v>3643</v>
      </c>
      <c r="AO3398" s="18" t="s">
        <v>3630</v>
      </c>
      <c r="AP3398" t="s">
        <v>11180</v>
      </c>
    </row>
    <row r="3399" spans="1:42" customFormat="1" hidden="1" x14ac:dyDescent="0.3">
      <c r="A3399" s="148" t="s">
        <v>8319</v>
      </c>
      <c r="B3399" t="s">
        <v>8320</v>
      </c>
      <c r="C3399" s="148" t="s">
        <v>9410</v>
      </c>
      <c r="D3399" t="s">
        <v>9411</v>
      </c>
      <c r="E3399" s="148" t="s">
        <v>9412</v>
      </c>
      <c r="F3399" t="s">
        <v>9413</v>
      </c>
      <c r="G3399" s="148" t="s">
        <v>9997</v>
      </c>
      <c r="H3399" t="s">
        <v>9998</v>
      </c>
      <c r="I3399" s="148" t="s">
        <v>10823</v>
      </c>
      <c r="J3399" t="s">
        <v>10824</v>
      </c>
      <c r="K3399" s="148" t="s">
        <v>10825</v>
      </c>
      <c r="L3399" t="s">
        <v>10826</v>
      </c>
      <c r="M3399" t="s">
        <v>11181</v>
      </c>
      <c r="N3399" s="3"/>
      <c r="O3399" s="3">
        <v>1</v>
      </c>
      <c r="P3399" s="3">
        <v>1</v>
      </c>
      <c r="Q3399" s="3">
        <v>1</v>
      </c>
      <c r="R3399" s="3">
        <v>1</v>
      </c>
      <c r="S3399" s="3">
        <v>1</v>
      </c>
      <c r="T3399" t="s">
        <v>3643</v>
      </c>
      <c r="U3399" t="s">
        <v>3630</v>
      </c>
      <c r="V3399" t="s">
        <v>11182</v>
      </c>
      <c r="W3399" s="45">
        <v>0</v>
      </c>
      <c r="X3399" s="45">
        <v>0</v>
      </c>
      <c r="Y3399" s="45">
        <v>0</v>
      </c>
      <c r="Z3399" s="45">
        <v>0</v>
      </c>
      <c r="AA3399" s="45">
        <v>0</v>
      </c>
      <c r="AB3399" s="45">
        <v>0</v>
      </c>
      <c r="AC3399" s="150">
        <v>0</v>
      </c>
      <c r="AD3399" s="150">
        <v>0</v>
      </c>
      <c r="AE3399" s="49">
        <f t="shared" si="159"/>
        <v>0</v>
      </c>
      <c r="AF3399" s="17"/>
      <c r="AG3399" s="17">
        <v>0</v>
      </c>
      <c r="AH3399" s="17">
        <v>0</v>
      </c>
      <c r="AI3399" s="17">
        <v>0</v>
      </c>
      <c r="AJ3399" s="17">
        <v>0</v>
      </c>
      <c r="AK3399" s="153">
        <v>0</v>
      </c>
      <c r="AL3399" s="154">
        <v>0</v>
      </c>
      <c r="AM3399" s="17">
        <f t="shared" si="160"/>
        <v>0</v>
      </c>
      <c r="AN3399" t="s">
        <v>3643</v>
      </c>
      <c r="AO3399" s="18" t="s">
        <v>3630</v>
      </c>
      <c r="AP3399" t="s">
        <v>11183</v>
      </c>
    </row>
    <row r="3400" spans="1:42" customFormat="1" hidden="1" x14ac:dyDescent="0.3">
      <c r="A3400" s="148" t="s">
        <v>8319</v>
      </c>
      <c r="B3400" t="s">
        <v>8320</v>
      </c>
      <c r="C3400" s="148" t="s">
        <v>9410</v>
      </c>
      <c r="D3400" t="s">
        <v>9411</v>
      </c>
      <c r="E3400" s="148" t="s">
        <v>9412</v>
      </c>
      <c r="F3400" t="s">
        <v>9413</v>
      </c>
      <c r="G3400" s="148" t="s">
        <v>9997</v>
      </c>
      <c r="H3400" t="s">
        <v>9998</v>
      </c>
      <c r="I3400" s="148" t="s">
        <v>10326</v>
      </c>
      <c r="J3400" t="s">
        <v>10327</v>
      </c>
      <c r="K3400" s="148" t="s">
        <v>10328</v>
      </c>
      <c r="L3400" t="s">
        <v>10329</v>
      </c>
      <c r="M3400" t="s">
        <v>11184</v>
      </c>
      <c r="N3400" s="3"/>
      <c r="O3400" s="3">
        <v>1</v>
      </c>
      <c r="P3400" s="3">
        <v>0</v>
      </c>
      <c r="Q3400" s="3">
        <v>0</v>
      </c>
      <c r="R3400" s="3">
        <v>0</v>
      </c>
      <c r="S3400" s="3">
        <v>0</v>
      </c>
      <c r="T3400" t="s">
        <v>11185</v>
      </c>
      <c r="U3400" t="e">
        <v>#N/A</v>
      </c>
      <c r="V3400" t="s">
        <v>11186</v>
      </c>
      <c r="W3400" s="45"/>
      <c r="X3400" s="45">
        <v>0</v>
      </c>
      <c r="Y3400" s="45">
        <v>0</v>
      </c>
      <c r="Z3400" s="45">
        <v>0</v>
      </c>
      <c r="AA3400" s="45">
        <v>0</v>
      </c>
      <c r="AB3400" s="45">
        <v>0</v>
      </c>
      <c r="AC3400" s="150">
        <v>0</v>
      </c>
      <c r="AD3400" s="150">
        <v>0</v>
      </c>
      <c r="AE3400" s="49">
        <f t="shared" si="159"/>
        <v>0</v>
      </c>
      <c r="AF3400" s="44"/>
      <c r="AG3400" s="17">
        <v>0</v>
      </c>
      <c r="AH3400" s="44">
        <v>0.1</v>
      </c>
      <c r="AI3400" s="44">
        <v>0</v>
      </c>
      <c r="AJ3400" s="44">
        <v>0</v>
      </c>
      <c r="AK3400" s="151">
        <v>0</v>
      </c>
      <c r="AL3400" s="151">
        <v>0</v>
      </c>
      <c r="AM3400" s="17">
        <f t="shared" si="160"/>
        <v>0</v>
      </c>
      <c r="AN3400" t="s">
        <v>3643</v>
      </c>
      <c r="AO3400" s="18" t="s">
        <v>3630</v>
      </c>
      <c r="AP3400" t="s">
        <v>4159</v>
      </c>
    </row>
    <row r="3401" spans="1:42" customFormat="1" hidden="1" x14ac:dyDescent="0.3">
      <c r="A3401" s="148" t="s">
        <v>8319</v>
      </c>
      <c r="B3401" t="s">
        <v>8320</v>
      </c>
      <c r="C3401" s="148" t="s">
        <v>9410</v>
      </c>
      <c r="D3401" t="s">
        <v>9411</v>
      </c>
      <c r="E3401" s="148" t="s">
        <v>9412</v>
      </c>
      <c r="F3401" t="s">
        <v>9413</v>
      </c>
      <c r="G3401" s="148" t="s">
        <v>9997</v>
      </c>
      <c r="H3401" t="s">
        <v>9998</v>
      </c>
      <c r="I3401" s="148" t="s">
        <v>10326</v>
      </c>
      <c r="J3401" t="s">
        <v>10327</v>
      </c>
      <c r="K3401" s="148" t="s">
        <v>10328</v>
      </c>
      <c r="L3401" t="s">
        <v>10329</v>
      </c>
      <c r="N3401" s="3"/>
      <c r="O3401" s="3"/>
      <c r="P3401" s="3"/>
      <c r="Q3401" s="3"/>
      <c r="R3401" s="3"/>
      <c r="S3401" s="3"/>
      <c r="U3401" t="e">
        <v>#N/A</v>
      </c>
      <c r="V3401" t="s">
        <v>11187</v>
      </c>
      <c r="W3401" s="45">
        <v>0</v>
      </c>
      <c r="X3401" s="45">
        <v>0</v>
      </c>
      <c r="Y3401" s="45">
        <v>0</v>
      </c>
      <c r="Z3401" s="45">
        <v>0</v>
      </c>
      <c r="AA3401" s="45">
        <v>0</v>
      </c>
      <c r="AB3401" s="45">
        <v>0</v>
      </c>
      <c r="AC3401" s="150">
        <v>0</v>
      </c>
      <c r="AD3401" s="150">
        <v>0</v>
      </c>
      <c r="AE3401" s="49">
        <f t="shared" si="159"/>
        <v>0</v>
      </c>
      <c r="AF3401" s="17"/>
      <c r="AG3401" s="17">
        <v>0</v>
      </c>
      <c r="AH3401" s="17">
        <v>0</v>
      </c>
      <c r="AI3401" s="17">
        <v>0</v>
      </c>
      <c r="AJ3401" s="17">
        <v>0</v>
      </c>
      <c r="AK3401" s="153">
        <v>0</v>
      </c>
      <c r="AL3401" s="154">
        <v>0</v>
      </c>
      <c r="AM3401" s="17">
        <f t="shared" si="160"/>
        <v>0</v>
      </c>
      <c r="AN3401" s="44" t="s">
        <v>771</v>
      </c>
      <c r="AO3401" s="18" t="s">
        <v>773</v>
      </c>
      <c r="AP3401" t="s">
        <v>11188</v>
      </c>
    </row>
    <row r="3402" spans="1:42" customFormat="1" hidden="1" x14ac:dyDescent="0.3">
      <c r="A3402" s="148" t="s">
        <v>8319</v>
      </c>
      <c r="B3402" t="s">
        <v>8320</v>
      </c>
      <c r="C3402" s="148" t="s">
        <v>9410</v>
      </c>
      <c r="D3402" t="s">
        <v>9411</v>
      </c>
      <c r="E3402" s="148" t="s">
        <v>9412</v>
      </c>
      <c r="F3402" t="s">
        <v>9413</v>
      </c>
      <c r="G3402" s="148" t="s">
        <v>9997</v>
      </c>
      <c r="H3402" t="s">
        <v>9998</v>
      </c>
      <c r="I3402" s="148" t="s">
        <v>10326</v>
      </c>
      <c r="J3402" t="s">
        <v>10327</v>
      </c>
      <c r="K3402" s="148" t="s">
        <v>10328</v>
      </c>
      <c r="L3402" t="s">
        <v>10329</v>
      </c>
      <c r="N3402" s="3"/>
      <c r="O3402" s="3"/>
      <c r="P3402" s="3"/>
      <c r="Q3402" s="3"/>
      <c r="R3402" s="3"/>
      <c r="S3402" s="3"/>
      <c r="U3402" t="e">
        <v>#N/A</v>
      </c>
      <c r="V3402" t="s">
        <v>11189</v>
      </c>
      <c r="W3402" s="45">
        <v>0</v>
      </c>
      <c r="X3402" s="45">
        <v>0</v>
      </c>
      <c r="Y3402" s="45">
        <v>0</v>
      </c>
      <c r="Z3402" s="45">
        <v>0</v>
      </c>
      <c r="AA3402" s="45">
        <v>0</v>
      </c>
      <c r="AB3402" s="45">
        <v>0</v>
      </c>
      <c r="AC3402" s="150">
        <v>0</v>
      </c>
      <c r="AD3402" s="150">
        <v>0</v>
      </c>
      <c r="AE3402" s="49">
        <f t="shared" si="159"/>
        <v>0</v>
      </c>
      <c r="AF3402" s="44"/>
      <c r="AG3402" s="17">
        <v>0</v>
      </c>
      <c r="AH3402" s="44">
        <v>0</v>
      </c>
      <c r="AI3402" s="44">
        <v>0</v>
      </c>
      <c r="AJ3402" s="44">
        <v>0</v>
      </c>
      <c r="AK3402" s="151">
        <v>0</v>
      </c>
      <c r="AL3402" s="151">
        <v>0</v>
      </c>
      <c r="AM3402" s="17">
        <f t="shared" si="160"/>
        <v>0</v>
      </c>
      <c r="AN3402" s="18" t="s">
        <v>771</v>
      </c>
      <c r="AO3402" s="18" t="s">
        <v>773</v>
      </c>
      <c r="AP3402" t="s">
        <v>11188</v>
      </c>
    </row>
    <row r="3403" spans="1:42" customFormat="1" hidden="1" x14ac:dyDescent="0.3">
      <c r="A3403" s="148" t="s">
        <v>8319</v>
      </c>
      <c r="B3403" t="s">
        <v>8320</v>
      </c>
      <c r="C3403" s="148" t="s">
        <v>9410</v>
      </c>
      <c r="D3403" t="s">
        <v>9411</v>
      </c>
      <c r="E3403" s="148" t="s">
        <v>9412</v>
      </c>
      <c r="F3403" t="s">
        <v>9413</v>
      </c>
      <c r="G3403" s="148" t="s">
        <v>9997</v>
      </c>
      <c r="H3403" t="s">
        <v>9998</v>
      </c>
      <c r="I3403" s="148" t="s">
        <v>9999</v>
      </c>
      <c r="J3403" t="s">
        <v>10000</v>
      </c>
      <c r="K3403" s="148" t="s">
        <v>10001</v>
      </c>
      <c r="L3403" t="s">
        <v>10002</v>
      </c>
      <c r="M3403" t="s">
        <v>11190</v>
      </c>
      <c r="N3403" s="3" t="s">
        <v>271</v>
      </c>
      <c r="O3403" s="3">
        <v>4</v>
      </c>
      <c r="P3403" s="3">
        <v>4</v>
      </c>
      <c r="Q3403" s="3">
        <v>4</v>
      </c>
      <c r="R3403" s="3">
        <v>4</v>
      </c>
      <c r="S3403" s="3">
        <v>4</v>
      </c>
      <c r="T3403" t="s">
        <v>3643</v>
      </c>
      <c r="U3403" t="s">
        <v>3630</v>
      </c>
      <c r="V3403" t="s">
        <v>11191</v>
      </c>
      <c r="W3403" s="45">
        <v>0</v>
      </c>
      <c r="X3403" s="45">
        <v>0</v>
      </c>
      <c r="Y3403" s="45">
        <v>0</v>
      </c>
      <c r="Z3403" s="45">
        <v>0</v>
      </c>
      <c r="AA3403" s="45">
        <v>0</v>
      </c>
      <c r="AB3403" s="45">
        <v>0</v>
      </c>
      <c r="AC3403" s="150">
        <v>0</v>
      </c>
      <c r="AD3403" s="150">
        <v>0</v>
      </c>
      <c r="AE3403" s="49">
        <f t="shared" si="159"/>
        <v>0</v>
      </c>
      <c r="AF3403" s="44"/>
      <c r="AG3403" s="17">
        <v>0</v>
      </c>
      <c r="AH3403" s="44">
        <v>1</v>
      </c>
      <c r="AI3403" s="44">
        <v>0.5</v>
      </c>
      <c r="AJ3403" s="44">
        <v>0.5</v>
      </c>
      <c r="AK3403" s="151">
        <v>0.5</v>
      </c>
      <c r="AL3403" s="151">
        <v>0.5</v>
      </c>
      <c r="AM3403" s="17">
        <f t="shared" si="160"/>
        <v>1</v>
      </c>
      <c r="AN3403" t="s">
        <v>3643</v>
      </c>
      <c r="AO3403" s="18" t="s">
        <v>3630</v>
      </c>
      <c r="AP3403" t="s">
        <v>119</v>
      </c>
    </row>
    <row r="3404" spans="1:42" customFormat="1" hidden="1" x14ac:dyDescent="0.3">
      <c r="A3404" s="148" t="s">
        <v>8319</v>
      </c>
      <c r="B3404" t="s">
        <v>8320</v>
      </c>
      <c r="C3404" s="148" t="s">
        <v>9410</v>
      </c>
      <c r="D3404" t="s">
        <v>9411</v>
      </c>
      <c r="E3404" s="148" t="s">
        <v>9412</v>
      </c>
      <c r="F3404" t="s">
        <v>9413</v>
      </c>
      <c r="G3404" s="148" t="s">
        <v>9997</v>
      </c>
      <c r="H3404" t="s">
        <v>9998</v>
      </c>
      <c r="I3404" s="148" t="s">
        <v>9999</v>
      </c>
      <c r="J3404" t="s">
        <v>10000</v>
      </c>
      <c r="K3404" s="148" t="s">
        <v>10001</v>
      </c>
      <c r="L3404" t="s">
        <v>10002</v>
      </c>
      <c r="M3404" t="s">
        <v>11192</v>
      </c>
      <c r="N3404" s="3" t="s">
        <v>9365</v>
      </c>
      <c r="O3404" s="3">
        <v>40</v>
      </c>
      <c r="P3404" s="3">
        <v>50</v>
      </c>
      <c r="Q3404" s="3">
        <v>60</v>
      </c>
      <c r="R3404" s="3">
        <v>70</v>
      </c>
      <c r="S3404" s="3">
        <v>75</v>
      </c>
      <c r="T3404" t="s">
        <v>3643</v>
      </c>
      <c r="U3404" t="s">
        <v>3630</v>
      </c>
      <c r="V3404" t="s">
        <v>11193</v>
      </c>
      <c r="W3404" s="45">
        <v>0</v>
      </c>
      <c r="X3404" s="45">
        <v>0</v>
      </c>
      <c r="Y3404" s="45">
        <v>0</v>
      </c>
      <c r="Z3404" s="45">
        <v>0</v>
      </c>
      <c r="AA3404" s="45">
        <v>0</v>
      </c>
      <c r="AB3404" s="45">
        <v>0</v>
      </c>
      <c r="AC3404" s="150">
        <v>0</v>
      </c>
      <c r="AD3404" s="150">
        <v>0</v>
      </c>
      <c r="AE3404" s="49">
        <f t="shared" si="159"/>
        <v>0</v>
      </c>
      <c r="AF3404" s="17"/>
      <c r="AG3404" s="17">
        <v>0</v>
      </c>
      <c r="AH3404" s="17">
        <v>0</v>
      </c>
      <c r="AI3404" s="17">
        <v>0</v>
      </c>
      <c r="AJ3404" s="17">
        <v>0</v>
      </c>
      <c r="AK3404" s="153">
        <v>0</v>
      </c>
      <c r="AL3404" s="154">
        <v>0</v>
      </c>
      <c r="AM3404" s="17">
        <f t="shared" si="160"/>
        <v>0</v>
      </c>
      <c r="AN3404" t="s">
        <v>3643</v>
      </c>
      <c r="AO3404" s="18" t="s">
        <v>3630</v>
      </c>
      <c r="AP3404" t="s">
        <v>119</v>
      </c>
    </row>
    <row r="3405" spans="1:42" customFormat="1" hidden="1" x14ac:dyDescent="0.3">
      <c r="A3405" s="148" t="s">
        <v>8319</v>
      </c>
      <c r="B3405" t="s">
        <v>8320</v>
      </c>
      <c r="C3405" s="148" t="s">
        <v>9410</v>
      </c>
      <c r="D3405" t="s">
        <v>9411</v>
      </c>
      <c r="E3405" s="148" t="s">
        <v>9412</v>
      </c>
      <c r="F3405" t="s">
        <v>9413</v>
      </c>
      <c r="G3405" s="148" t="s">
        <v>9997</v>
      </c>
      <c r="H3405" t="s">
        <v>9998</v>
      </c>
      <c r="I3405" s="148" t="s">
        <v>9999</v>
      </c>
      <c r="J3405" t="s">
        <v>10000</v>
      </c>
      <c r="K3405" s="148" t="s">
        <v>10001</v>
      </c>
      <c r="L3405" t="s">
        <v>10002</v>
      </c>
      <c r="M3405" t="s">
        <v>11194</v>
      </c>
      <c r="N3405" s="3"/>
      <c r="O3405" s="3">
        <v>87</v>
      </c>
      <c r="P3405" s="3">
        <v>90</v>
      </c>
      <c r="Q3405" s="3">
        <v>92</v>
      </c>
      <c r="R3405" s="3">
        <v>95</v>
      </c>
      <c r="S3405" s="3">
        <v>98</v>
      </c>
      <c r="T3405" t="s">
        <v>9368</v>
      </c>
      <c r="U3405" t="e">
        <v>#N/A</v>
      </c>
      <c r="V3405" t="s">
        <v>11195</v>
      </c>
      <c r="W3405" s="45">
        <v>0</v>
      </c>
      <c r="X3405" s="45">
        <v>0</v>
      </c>
      <c r="Y3405" s="45">
        <v>0</v>
      </c>
      <c r="Z3405" s="45">
        <v>0</v>
      </c>
      <c r="AA3405" s="45">
        <v>0</v>
      </c>
      <c r="AB3405" s="45">
        <v>0</v>
      </c>
      <c r="AC3405" s="150">
        <v>0</v>
      </c>
      <c r="AD3405" s="150">
        <v>0</v>
      </c>
      <c r="AE3405" s="49">
        <f t="shared" si="159"/>
        <v>0</v>
      </c>
      <c r="AF3405" s="17"/>
      <c r="AG3405" s="17">
        <v>0</v>
      </c>
      <c r="AH3405" s="17">
        <v>0</v>
      </c>
      <c r="AI3405" s="17">
        <v>0</v>
      </c>
      <c r="AJ3405" s="17">
        <v>0</v>
      </c>
      <c r="AK3405" s="153">
        <v>0</v>
      </c>
      <c r="AL3405" s="154">
        <v>0</v>
      </c>
      <c r="AM3405" s="17">
        <f t="shared" si="160"/>
        <v>0</v>
      </c>
      <c r="AN3405" t="s">
        <v>3643</v>
      </c>
      <c r="AO3405" s="18" t="s">
        <v>3630</v>
      </c>
      <c r="AP3405" t="s">
        <v>255</v>
      </c>
    </row>
    <row r="3406" spans="1:42" customFormat="1" hidden="1" x14ac:dyDescent="0.3">
      <c r="A3406" s="148" t="s">
        <v>8319</v>
      </c>
      <c r="B3406" t="s">
        <v>8320</v>
      </c>
      <c r="C3406" s="148" t="s">
        <v>9410</v>
      </c>
      <c r="D3406" t="s">
        <v>9411</v>
      </c>
      <c r="E3406" s="148" t="s">
        <v>9412</v>
      </c>
      <c r="F3406" t="s">
        <v>9413</v>
      </c>
      <c r="G3406" s="148" t="s">
        <v>9997</v>
      </c>
      <c r="H3406" t="s">
        <v>9998</v>
      </c>
      <c r="I3406" s="148" t="s">
        <v>9999</v>
      </c>
      <c r="J3406" t="s">
        <v>10000</v>
      </c>
      <c r="K3406" s="148" t="s">
        <v>10001</v>
      </c>
      <c r="L3406" t="s">
        <v>10002</v>
      </c>
      <c r="N3406" s="3"/>
      <c r="O3406" s="3"/>
      <c r="P3406" s="3"/>
      <c r="Q3406" s="3"/>
      <c r="R3406" s="3"/>
      <c r="S3406" s="3"/>
      <c r="U3406" t="e">
        <v>#N/A</v>
      </c>
      <c r="V3406" t="s">
        <v>11196</v>
      </c>
      <c r="W3406" s="45">
        <v>0</v>
      </c>
      <c r="X3406" s="45">
        <v>0</v>
      </c>
      <c r="Y3406" s="45">
        <v>0</v>
      </c>
      <c r="Z3406" s="45">
        <v>0</v>
      </c>
      <c r="AA3406" s="45">
        <v>0</v>
      </c>
      <c r="AB3406" s="45">
        <v>0</v>
      </c>
      <c r="AC3406" s="150">
        <v>0</v>
      </c>
      <c r="AD3406" s="150">
        <v>0</v>
      </c>
      <c r="AE3406" s="49">
        <f t="shared" si="159"/>
        <v>0</v>
      </c>
      <c r="AF3406" s="17"/>
      <c r="AG3406" s="17">
        <v>0</v>
      </c>
      <c r="AH3406" s="17">
        <v>0</v>
      </c>
      <c r="AI3406" s="17">
        <v>0</v>
      </c>
      <c r="AJ3406" s="17">
        <v>0</v>
      </c>
      <c r="AK3406" s="153">
        <v>0</v>
      </c>
      <c r="AL3406" s="154">
        <v>0</v>
      </c>
      <c r="AM3406" s="17">
        <f t="shared" si="160"/>
        <v>0</v>
      </c>
      <c r="AN3406" t="s">
        <v>3643</v>
      </c>
      <c r="AO3406" s="18" t="s">
        <v>3630</v>
      </c>
      <c r="AP3406" t="s">
        <v>255</v>
      </c>
    </row>
    <row r="3407" spans="1:42" customFormat="1" hidden="1" x14ac:dyDescent="0.3">
      <c r="A3407" s="148" t="s">
        <v>8319</v>
      </c>
      <c r="B3407" t="s">
        <v>8320</v>
      </c>
      <c r="C3407" s="148" t="s">
        <v>9410</v>
      </c>
      <c r="D3407" t="s">
        <v>9411</v>
      </c>
      <c r="E3407" s="148" t="s">
        <v>9412</v>
      </c>
      <c r="F3407" t="s">
        <v>9413</v>
      </c>
      <c r="G3407" s="148" t="s">
        <v>9997</v>
      </c>
      <c r="H3407" t="s">
        <v>9998</v>
      </c>
      <c r="I3407" s="148" t="s">
        <v>9999</v>
      </c>
      <c r="J3407" t="s">
        <v>10000</v>
      </c>
      <c r="K3407" s="148" t="s">
        <v>10001</v>
      </c>
      <c r="L3407" t="s">
        <v>10002</v>
      </c>
      <c r="N3407" s="3"/>
      <c r="O3407" s="3"/>
      <c r="P3407" s="3"/>
      <c r="Q3407" s="3"/>
      <c r="R3407" s="3"/>
      <c r="S3407" s="3"/>
      <c r="U3407" t="e">
        <v>#N/A</v>
      </c>
      <c r="V3407" t="s">
        <v>11197</v>
      </c>
      <c r="W3407" s="45">
        <v>0</v>
      </c>
      <c r="X3407" s="45">
        <v>0</v>
      </c>
      <c r="Y3407" s="45">
        <v>0</v>
      </c>
      <c r="Z3407" s="45">
        <v>0</v>
      </c>
      <c r="AA3407" s="45">
        <v>0</v>
      </c>
      <c r="AB3407" s="45">
        <v>0</v>
      </c>
      <c r="AC3407" s="150">
        <v>0</v>
      </c>
      <c r="AD3407" s="150">
        <v>0</v>
      </c>
      <c r="AE3407" s="49">
        <f t="shared" si="159"/>
        <v>0</v>
      </c>
      <c r="AF3407" s="17"/>
      <c r="AG3407" s="17">
        <v>0</v>
      </c>
      <c r="AH3407" s="17">
        <v>0</v>
      </c>
      <c r="AI3407" s="17">
        <v>0</v>
      </c>
      <c r="AJ3407" s="17">
        <v>0</v>
      </c>
      <c r="AK3407" s="153">
        <v>0</v>
      </c>
      <c r="AL3407" s="154">
        <v>0</v>
      </c>
      <c r="AM3407" s="17">
        <f t="shared" si="160"/>
        <v>0</v>
      </c>
      <c r="AN3407" t="s">
        <v>3643</v>
      </c>
      <c r="AO3407" s="18" t="s">
        <v>3630</v>
      </c>
      <c r="AP3407" t="s">
        <v>10006</v>
      </c>
    </row>
    <row r="3408" spans="1:42" customFormat="1" hidden="1" x14ac:dyDescent="0.3">
      <c r="A3408" s="148" t="s">
        <v>8319</v>
      </c>
      <c r="B3408" t="s">
        <v>8320</v>
      </c>
      <c r="C3408" s="148" t="s">
        <v>9410</v>
      </c>
      <c r="D3408" t="s">
        <v>9411</v>
      </c>
      <c r="E3408" s="148" t="s">
        <v>9412</v>
      </c>
      <c r="F3408" t="s">
        <v>9413</v>
      </c>
      <c r="G3408" s="148" t="s">
        <v>9997</v>
      </c>
      <c r="H3408" t="s">
        <v>9998</v>
      </c>
      <c r="I3408" s="148" t="s">
        <v>9999</v>
      </c>
      <c r="J3408" t="s">
        <v>10000</v>
      </c>
      <c r="K3408" s="148" t="s">
        <v>10001</v>
      </c>
      <c r="L3408" t="s">
        <v>10002</v>
      </c>
      <c r="N3408" s="3"/>
      <c r="O3408" s="3"/>
      <c r="P3408" s="3"/>
      <c r="Q3408" s="3"/>
      <c r="R3408" s="3"/>
      <c r="S3408" s="3"/>
      <c r="U3408" t="e">
        <v>#N/A</v>
      </c>
      <c r="V3408" t="s">
        <v>11198</v>
      </c>
      <c r="W3408" s="45">
        <v>0</v>
      </c>
      <c r="X3408" s="45">
        <v>0</v>
      </c>
      <c r="Y3408" s="45">
        <v>0</v>
      </c>
      <c r="Z3408" s="45">
        <v>0</v>
      </c>
      <c r="AA3408" s="45">
        <v>0</v>
      </c>
      <c r="AB3408" s="45">
        <v>0</v>
      </c>
      <c r="AC3408" s="150">
        <v>0</v>
      </c>
      <c r="AD3408" s="150">
        <v>0</v>
      </c>
      <c r="AE3408" s="49">
        <f t="shared" si="159"/>
        <v>0</v>
      </c>
      <c r="AF3408" s="17"/>
      <c r="AG3408" s="17">
        <v>0</v>
      </c>
      <c r="AH3408" s="17">
        <v>0</v>
      </c>
      <c r="AI3408" s="17">
        <v>0</v>
      </c>
      <c r="AJ3408" s="17">
        <v>0</v>
      </c>
      <c r="AK3408" s="153">
        <v>0</v>
      </c>
      <c r="AL3408" s="154">
        <v>0</v>
      </c>
      <c r="AM3408" s="17">
        <f t="shared" si="160"/>
        <v>0</v>
      </c>
      <c r="AN3408" t="s">
        <v>3643</v>
      </c>
      <c r="AO3408" s="18" t="s">
        <v>3630</v>
      </c>
      <c r="AP3408" t="s">
        <v>11199</v>
      </c>
    </row>
    <row r="3409" spans="1:42" customFormat="1" hidden="1" x14ac:dyDescent="0.3">
      <c r="A3409" s="148" t="s">
        <v>8319</v>
      </c>
      <c r="B3409" t="s">
        <v>8320</v>
      </c>
      <c r="C3409" s="148" t="s">
        <v>9410</v>
      </c>
      <c r="D3409" t="s">
        <v>9411</v>
      </c>
      <c r="E3409" s="148" t="s">
        <v>9412</v>
      </c>
      <c r="F3409" t="s">
        <v>9413</v>
      </c>
      <c r="G3409" s="148" t="s">
        <v>9463</v>
      </c>
      <c r="H3409" t="s">
        <v>9464</v>
      </c>
      <c r="I3409" s="148" t="s">
        <v>9465</v>
      </c>
      <c r="J3409" t="s">
        <v>9466</v>
      </c>
      <c r="K3409" s="148" t="s">
        <v>11200</v>
      </c>
      <c r="L3409" t="s">
        <v>11201</v>
      </c>
      <c r="N3409" s="3"/>
      <c r="O3409" s="3"/>
      <c r="P3409" s="3"/>
      <c r="Q3409" s="3"/>
      <c r="R3409" s="3"/>
      <c r="S3409" s="3"/>
      <c r="U3409" t="e">
        <v>#N/A</v>
      </c>
      <c r="V3409" t="s">
        <v>11202</v>
      </c>
      <c r="W3409" s="45">
        <v>0</v>
      </c>
      <c r="X3409" s="45">
        <v>0</v>
      </c>
      <c r="Y3409" s="45">
        <v>0</v>
      </c>
      <c r="Z3409" s="45">
        <v>0</v>
      </c>
      <c r="AA3409" s="45">
        <v>0</v>
      </c>
      <c r="AB3409" s="45">
        <v>0</v>
      </c>
      <c r="AC3409" s="150">
        <v>0</v>
      </c>
      <c r="AD3409" s="150">
        <v>0</v>
      </c>
      <c r="AE3409" s="49">
        <f t="shared" si="159"/>
        <v>0</v>
      </c>
      <c r="AF3409" s="17"/>
      <c r="AG3409" s="17">
        <v>0</v>
      </c>
      <c r="AH3409" s="17">
        <v>0</v>
      </c>
      <c r="AI3409" s="17">
        <v>0</v>
      </c>
      <c r="AJ3409" s="17">
        <v>0</v>
      </c>
      <c r="AK3409" s="153">
        <v>0</v>
      </c>
      <c r="AL3409" s="154">
        <v>0</v>
      </c>
      <c r="AM3409" s="17">
        <f t="shared" si="160"/>
        <v>0</v>
      </c>
      <c r="AN3409" s="18" t="s">
        <v>407</v>
      </c>
      <c r="AO3409" s="18" t="s">
        <v>409</v>
      </c>
      <c r="AP3409" t="s">
        <v>9426</v>
      </c>
    </row>
    <row r="3410" spans="1:42" customFormat="1" hidden="1" x14ac:dyDescent="0.3">
      <c r="A3410" s="148" t="s">
        <v>8319</v>
      </c>
      <c r="B3410" t="s">
        <v>8320</v>
      </c>
      <c r="C3410" s="148" t="s">
        <v>9410</v>
      </c>
      <c r="D3410" t="s">
        <v>9411</v>
      </c>
      <c r="E3410" s="148" t="s">
        <v>9412</v>
      </c>
      <c r="F3410" t="s">
        <v>9413</v>
      </c>
      <c r="G3410" s="148" t="s">
        <v>9463</v>
      </c>
      <c r="H3410" t="s">
        <v>9464</v>
      </c>
      <c r="I3410" s="148" t="s">
        <v>9465</v>
      </c>
      <c r="J3410" t="s">
        <v>9466</v>
      </c>
      <c r="K3410" s="148" t="s">
        <v>11203</v>
      </c>
      <c r="L3410" t="s">
        <v>11204</v>
      </c>
      <c r="M3410" t="s">
        <v>11205</v>
      </c>
      <c r="N3410" s="3"/>
      <c r="O3410" s="3">
        <v>20</v>
      </c>
      <c r="P3410" s="3">
        <v>40</v>
      </c>
      <c r="Q3410" s="3">
        <v>50</v>
      </c>
      <c r="R3410" s="3">
        <v>60</v>
      </c>
      <c r="S3410" s="3">
        <v>70</v>
      </c>
      <c r="T3410" t="s">
        <v>407</v>
      </c>
      <c r="U3410" t="s">
        <v>409</v>
      </c>
      <c r="V3410" t="s">
        <v>11206</v>
      </c>
      <c r="W3410" s="45">
        <v>0</v>
      </c>
      <c r="X3410" s="45">
        <v>0</v>
      </c>
      <c r="Y3410" s="45">
        <v>0</v>
      </c>
      <c r="Z3410" s="45">
        <v>0</v>
      </c>
      <c r="AA3410" s="45">
        <v>0</v>
      </c>
      <c r="AB3410" s="45">
        <v>0</v>
      </c>
      <c r="AC3410" s="150">
        <v>0</v>
      </c>
      <c r="AD3410" s="150">
        <v>0</v>
      </c>
      <c r="AE3410" s="49">
        <f t="shared" si="159"/>
        <v>0</v>
      </c>
      <c r="AF3410" s="17"/>
      <c r="AG3410" s="17">
        <v>0</v>
      </c>
      <c r="AH3410" s="17">
        <v>0</v>
      </c>
      <c r="AI3410" s="17">
        <v>0</v>
      </c>
      <c r="AJ3410" s="17">
        <v>0</v>
      </c>
      <c r="AK3410" s="153">
        <v>2</v>
      </c>
      <c r="AL3410" s="154">
        <v>0</v>
      </c>
      <c r="AM3410" s="17">
        <f t="shared" si="160"/>
        <v>2</v>
      </c>
      <c r="AN3410" s="18" t="s">
        <v>407</v>
      </c>
      <c r="AO3410" s="18" t="s">
        <v>409</v>
      </c>
      <c r="AP3410" t="s">
        <v>9647</v>
      </c>
    </row>
    <row r="3411" spans="1:42" customFormat="1" hidden="1" x14ac:dyDescent="0.3">
      <c r="A3411" s="148" t="s">
        <v>8319</v>
      </c>
      <c r="B3411" t="s">
        <v>8320</v>
      </c>
      <c r="C3411" s="148" t="s">
        <v>9410</v>
      </c>
      <c r="D3411" t="s">
        <v>9411</v>
      </c>
      <c r="E3411" s="148" t="s">
        <v>9412</v>
      </c>
      <c r="F3411" t="s">
        <v>9413</v>
      </c>
      <c r="G3411" s="148" t="s">
        <v>9463</v>
      </c>
      <c r="H3411" t="s">
        <v>9464</v>
      </c>
      <c r="I3411" s="148" t="s">
        <v>9465</v>
      </c>
      <c r="J3411" t="s">
        <v>9466</v>
      </c>
      <c r="K3411" s="148" t="s">
        <v>11203</v>
      </c>
      <c r="L3411" t="s">
        <v>11204</v>
      </c>
      <c r="M3411" t="s">
        <v>11207</v>
      </c>
      <c r="N3411" s="3"/>
      <c r="O3411" s="3">
        <v>70</v>
      </c>
      <c r="P3411" s="3">
        <v>140</v>
      </c>
      <c r="Q3411" s="3">
        <v>200</v>
      </c>
      <c r="R3411" s="3">
        <v>260</v>
      </c>
      <c r="S3411" s="3">
        <v>320</v>
      </c>
      <c r="T3411" t="s">
        <v>407</v>
      </c>
      <c r="U3411" t="s">
        <v>409</v>
      </c>
      <c r="V3411" t="s">
        <v>11208</v>
      </c>
      <c r="W3411" s="45"/>
      <c r="X3411" s="45"/>
      <c r="Y3411" s="45"/>
      <c r="Z3411" s="45"/>
      <c r="AA3411" s="45"/>
      <c r="AB3411" s="45"/>
      <c r="AC3411" s="150">
        <v>0</v>
      </c>
      <c r="AD3411" s="150">
        <v>0</v>
      </c>
      <c r="AE3411" s="49">
        <f t="shared" si="159"/>
        <v>0</v>
      </c>
      <c r="AF3411" s="17"/>
      <c r="AG3411" s="17">
        <v>0</v>
      </c>
      <c r="AH3411" s="17">
        <v>0</v>
      </c>
      <c r="AI3411" s="17">
        <v>0</v>
      </c>
      <c r="AJ3411" s="17">
        <v>0</v>
      </c>
      <c r="AK3411" s="153">
        <v>2</v>
      </c>
      <c r="AL3411" s="154">
        <v>0</v>
      </c>
      <c r="AM3411" s="17">
        <f t="shared" si="160"/>
        <v>2</v>
      </c>
      <c r="AN3411" s="44" t="s">
        <v>11209</v>
      </c>
      <c r="AO3411" s="18" t="s">
        <v>409</v>
      </c>
      <c r="AP3411" t="s">
        <v>9647</v>
      </c>
    </row>
    <row r="3412" spans="1:42" customFormat="1" hidden="1" x14ac:dyDescent="0.3">
      <c r="A3412" s="148" t="s">
        <v>8319</v>
      </c>
      <c r="B3412" t="s">
        <v>8320</v>
      </c>
      <c r="C3412" s="148" t="s">
        <v>9410</v>
      </c>
      <c r="D3412" t="s">
        <v>9411</v>
      </c>
      <c r="E3412" s="148" t="s">
        <v>9412</v>
      </c>
      <c r="F3412" t="s">
        <v>9413</v>
      </c>
      <c r="G3412" s="148" t="s">
        <v>9463</v>
      </c>
      <c r="H3412" t="s">
        <v>9464</v>
      </c>
      <c r="I3412" s="148" t="s">
        <v>9465</v>
      </c>
      <c r="J3412" t="s">
        <v>9466</v>
      </c>
      <c r="K3412" s="148" t="s">
        <v>11203</v>
      </c>
      <c r="L3412" t="s">
        <v>11204</v>
      </c>
      <c r="M3412" t="s">
        <v>11210</v>
      </c>
      <c r="N3412" s="3"/>
      <c r="O3412" s="3">
        <v>3000</v>
      </c>
      <c r="P3412" s="3">
        <v>4000</v>
      </c>
      <c r="Q3412" s="3">
        <v>5000</v>
      </c>
      <c r="R3412" s="3">
        <v>6000</v>
      </c>
      <c r="S3412" s="3">
        <v>10000</v>
      </c>
      <c r="T3412" t="s">
        <v>407</v>
      </c>
      <c r="U3412" t="s">
        <v>409</v>
      </c>
      <c r="V3412" t="s">
        <v>11211</v>
      </c>
      <c r="W3412" s="45"/>
      <c r="X3412" s="45"/>
      <c r="Y3412" s="45"/>
      <c r="Z3412" s="45"/>
      <c r="AA3412" s="45"/>
      <c r="AB3412" s="45"/>
      <c r="AC3412" s="150">
        <v>0</v>
      </c>
      <c r="AD3412" s="150">
        <v>0</v>
      </c>
      <c r="AE3412" s="49">
        <f t="shared" si="159"/>
        <v>0</v>
      </c>
      <c r="AF3412" s="17"/>
      <c r="AG3412" s="17">
        <v>0</v>
      </c>
      <c r="AH3412" s="17">
        <v>0</v>
      </c>
      <c r="AI3412" s="17">
        <v>0</v>
      </c>
      <c r="AJ3412" s="17">
        <v>0</v>
      </c>
      <c r="AK3412" s="153">
        <v>2</v>
      </c>
      <c r="AL3412" s="154">
        <v>0</v>
      </c>
      <c r="AM3412" s="17">
        <f t="shared" si="160"/>
        <v>2</v>
      </c>
      <c r="AN3412" s="44" t="s">
        <v>11209</v>
      </c>
      <c r="AO3412" s="18" t="s">
        <v>409</v>
      </c>
      <c r="AP3412" t="s">
        <v>255</v>
      </c>
    </row>
    <row r="3413" spans="1:42" customFormat="1" hidden="1" x14ac:dyDescent="0.3">
      <c r="A3413" s="148" t="s">
        <v>8319</v>
      </c>
      <c r="B3413" t="s">
        <v>8320</v>
      </c>
      <c r="C3413" s="148" t="s">
        <v>9410</v>
      </c>
      <c r="D3413" t="s">
        <v>9411</v>
      </c>
      <c r="E3413" s="148" t="s">
        <v>9412</v>
      </c>
      <c r="F3413" t="s">
        <v>9413</v>
      </c>
      <c r="G3413" s="148" t="s">
        <v>9463</v>
      </c>
      <c r="H3413" t="s">
        <v>9464</v>
      </c>
      <c r="I3413" s="148" t="s">
        <v>9465</v>
      </c>
      <c r="J3413" t="s">
        <v>9466</v>
      </c>
      <c r="K3413" s="148" t="s">
        <v>11203</v>
      </c>
      <c r="L3413" t="s">
        <v>11204</v>
      </c>
      <c r="M3413" t="s">
        <v>11212</v>
      </c>
      <c r="N3413" s="3"/>
      <c r="O3413" s="3">
        <v>3880</v>
      </c>
      <c r="P3413" s="3">
        <v>3880</v>
      </c>
      <c r="Q3413" s="3">
        <v>3880</v>
      </c>
      <c r="R3413" s="3">
        <v>3880</v>
      </c>
      <c r="S3413" s="3">
        <v>3880</v>
      </c>
      <c r="T3413" t="s">
        <v>407</v>
      </c>
      <c r="U3413" t="s">
        <v>409</v>
      </c>
      <c r="V3413" t="s">
        <v>11213</v>
      </c>
      <c r="W3413" s="45"/>
      <c r="X3413" s="45"/>
      <c r="Y3413" s="45"/>
      <c r="Z3413" s="45"/>
      <c r="AA3413" s="45"/>
      <c r="AB3413" s="45"/>
      <c r="AC3413" s="150">
        <v>0</v>
      </c>
      <c r="AD3413" s="150">
        <v>0</v>
      </c>
      <c r="AE3413" s="49">
        <f t="shared" si="159"/>
        <v>0</v>
      </c>
      <c r="AF3413" s="17"/>
      <c r="AG3413" s="17">
        <v>0</v>
      </c>
      <c r="AH3413" s="17">
        <v>0</v>
      </c>
      <c r="AI3413" s="17">
        <v>0</v>
      </c>
      <c r="AJ3413" s="17">
        <v>0</v>
      </c>
      <c r="AK3413" s="153">
        <v>2</v>
      </c>
      <c r="AL3413" s="154">
        <v>0</v>
      </c>
      <c r="AM3413" s="17">
        <f t="shared" si="160"/>
        <v>2</v>
      </c>
      <c r="AN3413" s="18" t="s">
        <v>407</v>
      </c>
      <c r="AO3413" s="18" t="s">
        <v>409</v>
      </c>
      <c r="AP3413" t="s">
        <v>255</v>
      </c>
    </row>
    <row r="3414" spans="1:42" customFormat="1" hidden="1" x14ac:dyDescent="0.3">
      <c r="A3414" s="148" t="s">
        <v>8319</v>
      </c>
      <c r="B3414" t="s">
        <v>8320</v>
      </c>
      <c r="C3414" s="148" t="s">
        <v>9410</v>
      </c>
      <c r="D3414" t="s">
        <v>9411</v>
      </c>
      <c r="E3414" s="148" t="s">
        <v>9412</v>
      </c>
      <c r="F3414" t="s">
        <v>9413</v>
      </c>
      <c r="G3414" s="148" t="s">
        <v>9463</v>
      </c>
      <c r="H3414" t="s">
        <v>9464</v>
      </c>
      <c r="I3414" s="148" t="s">
        <v>9465</v>
      </c>
      <c r="J3414" t="s">
        <v>9466</v>
      </c>
      <c r="K3414" s="148" t="s">
        <v>11203</v>
      </c>
      <c r="L3414" t="s">
        <v>11204</v>
      </c>
      <c r="N3414" s="3"/>
      <c r="O3414" s="3"/>
      <c r="P3414" s="3"/>
      <c r="Q3414" s="3"/>
      <c r="R3414" s="3"/>
      <c r="S3414" s="3"/>
      <c r="U3414" t="e">
        <v>#N/A</v>
      </c>
      <c r="W3414" s="45"/>
      <c r="X3414" s="45"/>
      <c r="Y3414" s="45"/>
      <c r="Z3414" s="45"/>
      <c r="AA3414" s="45"/>
      <c r="AB3414" s="45"/>
      <c r="AC3414" s="150">
        <v>0</v>
      </c>
      <c r="AD3414" s="150">
        <v>0</v>
      </c>
      <c r="AE3414" s="49">
        <f t="shared" si="159"/>
        <v>0</v>
      </c>
      <c r="AF3414" s="17"/>
      <c r="AG3414" s="17">
        <v>0</v>
      </c>
      <c r="AH3414" s="17">
        <v>0</v>
      </c>
      <c r="AI3414" s="17">
        <v>0</v>
      </c>
      <c r="AJ3414" s="17">
        <v>0</v>
      </c>
      <c r="AK3414" s="153">
        <v>0</v>
      </c>
      <c r="AL3414" s="154">
        <v>0</v>
      </c>
      <c r="AM3414" s="17">
        <f t="shared" si="160"/>
        <v>0</v>
      </c>
      <c r="AN3414" s="18" t="s">
        <v>407</v>
      </c>
      <c r="AO3414" s="18" t="s">
        <v>409</v>
      </c>
    </row>
    <row r="3415" spans="1:42" customFormat="1" hidden="1" x14ac:dyDescent="0.3">
      <c r="A3415" s="148" t="s">
        <v>8319</v>
      </c>
      <c r="B3415" t="s">
        <v>8320</v>
      </c>
      <c r="C3415" s="148" t="s">
        <v>9410</v>
      </c>
      <c r="D3415" t="s">
        <v>9411</v>
      </c>
      <c r="E3415" s="148" t="s">
        <v>9412</v>
      </c>
      <c r="F3415" t="s">
        <v>9413</v>
      </c>
      <c r="G3415" s="148" t="s">
        <v>9463</v>
      </c>
      <c r="H3415" t="s">
        <v>9464</v>
      </c>
      <c r="I3415" s="148" t="s">
        <v>9465</v>
      </c>
      <c r="J3415" t="s">
        <v>9466</v>
      </c>
      <c r="K3415" s="148" t="s">
        <v>11203</v>
      </c>
      <c r="L3415" t="s">
        <v>11204</v>
      </c>
      <c r="N3415" s="3"/>
      <c r="O3415" s="3"/>
      <c r="P3415" s="3"/>
      <c r="Q3415" s="3"/>
      <c r="R3415" s="3"/>
      <c r="S3415" s="3"/>
      <c r="U3415" t="e">
        <v>#N/A</v>
      </c>
      <c r="W3415" s="45"/>
      <c r="X3415" s="45"/>
      <c r="Y3415" s="45"/>
      <c r="Z3415" s="45"/>
      <c r="AA3415" s="45"/>
      <c r="AB3415" s="45"/>
      <c r="AC3415" s="150">
        <v>0</v>
      </c>
      <c r="AD3415" s="150">
        <v>0</v>
      </c>
      <c r="AE3415" s="49">
        <f t="shared" si="159"/>
        <v>0</v>
      </c>
      <c r="AF3415" s="17"/>
      <c r="AG3415" s="17">
        <v>0</v>
      </c>
      <c r="AH3415" s="17">
        <v>0</v>
      </c>
      <c r="AI3415" s="17">
        <v>0</v>
      </c>
      <c r="AJ3415" s="17">
        <v>0</v>
      </c>
      <c r="AK3415" s="153">
        <v>0</v>
      </c>
      <c r="AL3415" s="154">
        <v>0</v>
      </c>
      <c r="AM3415" s="17">
        <f t="shared" si="160"/>
        <v>0</v>
      </c>
      <c r="AN3415" s="18" t="s">
        <v>407</v>
      </c>
      <c r="AO3415" s="18" t="s">
        <v>409</v>
      </c>
    </row>
    <row r="3416" spans="1:42" customFormat="1" hidden="1" x14ac:dyDescent="0.3">
      <c r="A3416" s="148" t="s">
        <v>8319</v>
      </c>
      <c r="B3416" t="s">
        <v>8320</v>
      </c>
      <c r="C3416" s="148" t="s">
        <v>9410</v>
      </c>
      <c r="D3416" t="s">
        <v>9411</v>
      </c>
      <c r="E3416" s="148" t="s">
        <v>9412</v>
      </c>
      <c r="F3416" t="s">
        <v>9413</v>
      </c>
      <c r="G3416" s="148" t="s">
        <v>9463</v>
      </c>
      <c r="H3416" t="s">
        <v>9464</v>
      </c>
      <c r="I3416" s="148" t="s">
        <v>9465</v>
      </c>
      <c r="J3416" t="s">
        <v>9466</v>
      </c>
      <c r="K3416" s="148" t="s">
        <v>11203</v>
      </c>
      <c r="L3416" t="s">
        <v>11204</v>
      </c>
      <c r="N3416" s="3"/>
      <c r="O3416" s="3"/>
      <c r="P3416" s="3"/>
      <c r="Q3416" s="3"/>
      <c r="R3416" s="3"/>
      <c r="S3416" s="3"/>
      <c r="U3416" t="e">
        <v>#N/A</v>
      </c>
      <c r="V3416" t="s">
        <v>11214</v>
      </c>
      <c r="W3416" s="45"/>
      <c r="X3416" s="45"/>
      <c r="Y3416" s="45"/>
      <c r="Z3416" s="45"/>
      <c r="AA3416" s="45"/>
      <c r="AB3416" s="45"/>
      <c r="AC3416" s="150">
        <v>0</v>
      </c>
      <c r="AD3416" s="150">
        <v>0</v>
      </c>
      <c r="AE3416" s="49">
        <f t="shared" si="159"/>
        <v>0</v>
      </c>
      <c r="AF3416" s="17"/>
      <c r="AG3416" s="17">
        <v>0</v>
      </c>
      <c r="AH3416" s="17">
        <v>0</v>
      </c>
      <c r="AI3416" s="17">
        <v>0</v>
      </c>
      <c r="AJ3416" s="17">
        <v>0</v>
      </c>
      <c r="AK3416" s="153">
        <v>2</v>
      </c>
      <c r="AL3416" s="154">
        <v>0</v>
      </c>
      <c r="AM3416" s="17">
        <f t="shared" si="160"/>
        <v>2</v>
      </c>
      <c r="AN3416" s="44" t="s">
        <v>11209</v>
      </c>
      <c r="AO3416" s="18" t="s">
        <v>409</v>
      </c>
      <c r="AP3416" t="s">
        <v>255</v>
      </c>
    </row>
    <row r="3417" spans="1:42" customFormat="1" hidden="1" x14ac:dyDescent="0.3">
      <c r="A3417" s="148" t="s">
        <v>8319</v>
      </c>
      <c r="B3417" t="s">
        <v>8320</v>
      </c>
      <c r="C3417" s="148" t="s">
        <v>9410</v>
      </c>
      <c r="D3417" t="s">
        <v>9411</v>
      </c>
      <c r="E3417" s="148" t="s">
        <v>9412</v>
      </c>
      <c r="F3417" t="s">
        <v>9413</v>
      </c>
      <c r="G3417" s="148" t="s">
        <v>9463</v>
      </c>
      <c r="H3417" t="s">
        <v>9464</v>
      </c>
      <c r="I3417" s="148" t="s">
        <v>9465</v>
      </c>
      <c r="J3417" t="s">
        <v>9466</v>
      </c>
      <c r="K3417" s="148" t="s">
        <v>11215</v>
      </c>
      <c r="L3417" t="s">
        <v>11216</v>
      </c>
      <c r="M3417" t="s">
        <v>11217</v>
      </c>
      <c r="N3417" s="3"/>
      <c r="O3417" s="3">
        <v>20000</v>
      </c>
      <c r="P3417" s="3">
        <v>127000</v>
      </c>
      <c r="Q3417" s="3">
        <v>127000</v>
      </c>
      <c r="R3417" s="3">
        <v>127000</v>
      </c>
      <c r="S3417" s="3">
        <v>127000</v>
      </c>
      <c r="T3417" t="s">
        <v>407</v>
      </c>
      <c r="U3417" t="s">
        <v>409</v>
      </c>
      <c r="W3417" s="45"/>
      <c r="X3417" s="45"/>
      <c r="Y3417" s="45"/>
      <c r="Z3417" s="45"/>
      <c r="AA3417" s="45"/>
      <c r="AB3417" s="45"/>
      <c r="AC3417" s="150">
        <v>0</v>
      </c>
      <c r="AD3417" s="150">
        <v>0</v>
      </c>
      <c r="AE3417" s="49">
        <f t="shared" si="159"/>
        <v>0</v>
      </c>
      <c r="AF3417" s="17"/>
      <c r="AG3417" s="17">
        <v>0</v>
      </c>
      <c r="AH3417" s="17"/>
      <c r="AI3417" s="17"/>
      <c r="AJ3417" s="17"/>
      <c r="AK3417" s="153"/>
      <c r="AL3417" s="154"/>
      <c r="AM3417" s="17">
        <f t="shared" si="160"/>
        <v>0</v>
      </c>
      <c r="AN3417" s="44"/>
      <c r="AO3417" s="18"/>
    </row>
    <row r="3418" spans="1:42" customFormat="1" hidden="1" x14ac:dyDescent="0.3">
      <c r="A3418" s="148" t="s">
        <v>8319</v>
      </c>
      <c r="B3418" t="s">
        <v>8320</v>
      </c>
      <c r="C3418" s="148" t="s">
        <v>9410</v>
      </c>
      <c r="D3418" t="s">
        <v>9411</v>
      </c>
      <c r="E3418" s="148" t="s">
        <v>9412</v>
      </c>
      <c r="F3418" t="s">
        <v>9413</v>
      </c>
      <c r="G3418" s="148" t="s">
        <v>9463</v>
      </c>
      <c r="H3418" t="s">
        <v>9464</v>
      </c>
      <c r="I3418" s="148" t="s">
        <v>9465</v>
      </c>
      <c r="J3418" t="s">
        <v>9466</v>
      </c>
      <c r="K3418" s="148" t="s">
        <v>11218</v>
      </c>
      <c r="L3418" t="s">
        <v>11219</v>
      </c>
      <c r="M3418" t="s">
        <v>11220</v>
      </c>
      <c r="N3418" s="3"/>
      <c r="O3418" s="3">
        <v>218</v>
      </c>
      <c r="P3418" s="3">
        <v>218</v>
      </c>
      <c r="Q3418" s="3">
        <v>218</v>
      </c>
      <c r="R3418" s="3">
        <v>218</v>
      </c>
      <c r="S3418" s="3">
        <v>218</v>
      </c>
      <c r="T3418" t="s">
        <v>407</v>
      </c>
      <c r="U3418" t="s">
        <v>409</v>
      </c>
      <c r="V3418" t="s">
        <v>11221</v>
      </c>
      <c r="W3418" s="45"/>
      <c r="X3418" s="45"/>
      <c r="Y3418" s="45"/>
      <c r="Z3418" s="45"/>
      <c r="AA3418" s="45"/>
      <c r="AB3418" s="45"/>
      <c r="AC3418" s="150">
        <v>0</v>
      </c>
      <c r="AD3418" s="150">
        <v>0</v>
      </c>
      <c r="AE3418" s="49">
        <f t="shared" ref="AE3418:AE3481" si="161">SUM(W3418:AD3418)/8</f>
        <v>0</v>
      </c>
      <c r="AF3418" s="17"/>
      <c r="AG3418" s="17">
        <v>0</v>
      </c>
      <c r="AH3418" s="17">
        <v>0</v>
      </c>
      <c r="AI3418" s="17">
        <v>0</v>
      </c>
      <c r="AJ3418" s="17">
        <v>0</v>
      </c>
      <c r="AK3418" s="153">
        <v>2</v>
      </c>
      <c r="AL3418" s="154">
        <v>0</v>
      </c>
      <c r="AM3418" s="17">
        <f t="shared" ref="AM3418:AM3481" si="162">SUM(AK3418:AL3418)</f>
        <v>2</v>
      </c>
      <c r="AN3418" s="18" t="s">
        <v>407</v>
      </c>
      <c r="AO3418" s="18" t="s">
        <v>409</v>
      </c>
      <c r="AP3418" t="s">
        <v>11222</v>
      </c>
    </row>
    <row r="3419" spans="1:42" customFormat="1" hidden="1" x14ac:dyDescent="0.3">
      <c r="A3419" s="148" t="s">
        <v>8319</v>
      </c>
      <c r="B3419" t="s">
        <v>8320</v>
      </c>
      <c r="C3419" s="148" t="s">
        <v>9410</v>
      </c>
      <c r="D3419" t="s">
        <v>9411</v>
      </c>
      <c r="E3419" s="148" t="s">
        <v>9412</v>
      </c>
      <c r="F3419" t="s">
        <v>9413</v>
      </c>
      <c r="G3419" s="148" t="s">
        <v>9463</v>
      </c>
      <c r="H3419" t="s">
        <v>9464</v>
      </c>
      <c r="I3419" s="148" t="s">
        <v>9465</v>
      </c>
      <c r="J3419" t="s">
        <v>9466</v>
      </c>
      <c r="K3419" s="148" t="s">
        <v>11218</v>
      </c>
      <c r="L3419" t="s">
        <v>11219</v>
      </c>
      <c r="N3419" s="3"/>
      <c r="O3419" s="3"/>
      <c r="P3419" s="3"/>
      <c r="Q3419" s="3"/>
      <c r="R3419" s="3"/>
      <c r="S3419" s="3"/>
      <c r="U3419" t="e">
        <v>#N/A</v>
      </c>
      <c r="W3419" s="45"/>
      <c r="X3419" s="45"/>
      <c r="Y3419" s="45"/>
      <c r="Z3419" s="45"/>
      <c r="AA3419" s="45"/>
      <c r="AB3419" s="45"/>
      <c r="AC3419" s="150">
        <v>0</v>
      </c>
      <c r="AD3419" s="150">
        <v>0</v>
      </c>
      <c r="AE3419" s="49">
        <f t="shared" si="161"/>
        <v>0</v>
      </c>
      <c r="AF3419" s="17"/>
      <c r="AG3419" s="17">
        <v>0</v>
      </c>
      <c r="AH3419" s="17">
        <v>0</v>
      </c>
      <c r="AI3419" s="17">
        <v>0</v>
      </c>
      <c r="AJ3419" s="17">
        <v>0</v>
      </c>
      <c r="AK3419" s="153">
        <v>0</v>
      </c>
      <c r="AL3419" s="154">
        <v>0</v>
      </c>
      <c r="AM3419" s="17">
        <f t="shared" si="162"/>
        <v>0</v>
      </c>
      <c r="AN3419" s="44" t="s">
        <v>11209</v>
      </c>
      <c r="AO3419" s="18" t="s">
        <v>409</v>
      </c>
    </row>
    <row r="3420" spans="1:42" customFormat="1" hidden="1" x14ac:dyDescent="0.3">
      <c r="A3420" s="148" t="s">
        <v>8319</v>
      </c>
      <c r="B3420" t="s">
        <v>8320</v>
      </c>
      <c r="C3420" s="148" t="s">
        <v>9410</v>
      </c>
      <c r="D3420" t="s">
        <v>9411</v>
      </c>
      <c r="E3420" s="148" t="s">
        <v>9412</v>
      </c>
      <c r="F3420" t="s">
        <v>9413</v>
      </c>
      <c r="G3420" s="148" t="s">
        <v>9463</v>
      </c>
      <c r="H3420" t="s">
        <v>9464</v>
      </c>
      <c r="I3420" s="148" t="s">
        <v>9465</v>
      </c>
      <c r="J3420" t="s">
        <v>9466</v>
      </c>
      <c r="K3420" s="148" t="s">
        <v>11218</v>
      </c>
      <c r="L3420" t="s">
        <v>11219</v>
      </c>
      <c r="N3420" s="3"/>
      <c r="O3420" s="3"/>
      <c r="P3420" s="3"/>
      <c r="Q3420" s="3"/>
      <c r="R3420" s="3"/>
      <c r="S3420" s="3"/>
      <c r="U3420" t="e">
        <v>#N/A</v>
      </c>
      <c r="V3420" t="s">
        <v>11223</v>
      </c>
      <c r="W3420" s="45"/>
      <c r="X3420" s="45"/>
      <c r="Y3420" s="45"/>
      <c r="Z3420" s="45"/>
      <c r="AA3420" s="45"/>
      <c r="AB3420" s="45"/>
      <c r="AC3420" s="150">
        <v>0</v>
      </c>
      <c r="AD3420" s="150">
        <v>0</v>
      </c>
      <c r="AE3420" s="49">
        <f t="shared" si="161"/>
        <v>0</v>
      </c>
      <c r="AF3420" s="17"/>
      <c r="AG3420" s="17">
        <v>0</v>
      </c>
      <c r="AH3420" s="17">
        <v>0</v>
      </c>
      <c r="AI3420" s="17">
        <v>0</v>
      </c>
      <c r="AJ3420" s="17">
        <v>0</v>
      </c>
      <c r="AK3420" s="153">
        <v>0</v>
      </c>
      <c r="AL3420" s="154">
        <v>0</v>
      </c>
      <c r="AM3420" s="17">
        <f t="shared" si="162"/>
        <v>0</v>
      </c>
      <c r="AN3420" s="18" t="s">
        <v>407</v>
      </c>
      <c r="AO3420" s="18" t="s">
        <v>409</v>
      </c>
      <c r="AP3420" t="s">
        <v>11222</v>
      </c>
    </row>
    <row r="3421" spans="1:42" customFormat="1" hidden="1" x14ac:dyDescent="0.3">
      <c r="A3421" s="148" t="s">
        <v>8319</v>
      </c>
      <c r="B3421" t="s">
        <v>8320</v>
      </c>
      <c r="C3421" s="148" t="s">
        <v>9410</v>
      </c>
      <c r="D3421" t="s">
        <v>9411</v>
      </c>
      <c r="E3421" s="148" t="s">
        <v>9412</v>
      </c>
      <c r="F3421" t="s">
        <v>9413</v>
      </c>
      <c r="G3421" s="148" t="s">
        <v>9463</v>
      </c>
      <c r="H3421" t="s">
        <v>9464</v>
      </c>
      <c r="I3421" s="148" t="s">
        <v>9465</v>
      </c>
      <c r="J3421" t="s">
        <v>9466</v>
      </c>
      <c r="K3421" s="148" t="s">
        <v>11224</v>
      </c>
      <c r="L3421" t="s">
        <v>11225</v>
      </c>
      <c r="M3421" t="s">
        <v>11226</v>
      </c>
      <c r="N3421" s="3"/>
      <c r="O3421" s="3">
        <v>0</v>
      </c>
      <c r="P3421" s="3">
        <v>2</v>
      </c>
      <c r="Q3421" s="3">
        <v>5</v>
      </c>
      <c r="R3421" s="3">
        <v>5</v>
      </c>
      <c r="S3421" s="3">
        <v>5</v>
      </c>
      <c r="T3421" t="s">
        <v>11227</v>
      </c>
      <c r="U3421" t="e">
        <v>#N/A</v>
      </c>
      <c r="W3421" s="45"/>
      <c r="X3421" s="45"/>
      <c r="Y3421" s="45"/>
      <c r="Z3421" s="45"/>
      <c r="AA3421" s="45"/>
      <c r="AB3421" s="45"/>
      <c r="AC3421" s="150">
        <v>0</v>
      </c>
      <c r="AD3421" s="150">
        <v>0</v>
      </c>
      <c r="AE3421" s="49">
        <f t="shared" si="161"/>
        <v>0</v>
      </c>
      <c r="AF3421" s="17"/>
      <c r="AG3421" s="17">
        <v>0</v>
      </c>
      <c r="AH3421" s="17"/>
      <c r="AI3421" s="17"/>
      <c r="AJ3421" s="17"/>
      <c r="AK3421" s="153"/>
      <c r="AL3421" s="154"/>
      <c r="AM3421" s="17">
        <f t="shared" si="162"/>
        <v>0</v>
      </c>
      <c r="AN3421" s="18"/>
      <c r="AO3421" s="18"/>
    </row>
    <row r="3422" spans="1:42" customFormat="1" hidden="1" x14ac:dyDescent="0.3">
      <c r="A3422" s="148" t="s">
        <v>8319</v>
      </c>
      <c r="B3422" t="s">
        <v>8320</v>
      </c>
      <c r="C3422" s="148" t="s">
        <v>9410</v>
      </c>
      <c r="D3422" t="s">
        <v>9411</v>
      </c>
      <c r="E3422" s="148" t="s">
        <v>9412</v>
      </c>
      <c r="F3422" t="s">
        <v>9413</v>
      </c>
      <c r="G3422" s="148" t="s">
        <v>9463</v>
      </c>
      <c r="H3422" t="s">
        <v>9464</v>
      </c>
      <c r="I3422" s="148" t="s">
        <v>9465</v>
      </c>
      <c r="J3422" t="s">
        <v>9466</v>
      </c>
      <c r="K3422" s="148" t="s">
        <v>11224</v>
      </c>
      <c r="L3422" t="s">
        <v>11225</v>
      </c>
      <c r="M3422" t="s">
        <v>11228</v>
      </c>
      <c r="N3422" s="3"/>
      <c r="O3422" s="3">
        <v>0</v>
      </c>
      <c r="P3422" s="3">
        <v>1</v>
      </c>
      <c r="Q3422" s="3">
        <v>2</v>
      </c>
      <c r="R3422" s="3">
        <v>2</v>
      </c>
      <c r="S3422" s="3">
        <v>2</v>
      </c>
      <c r="T3422" t="s">
        <v>11227</v>
      </c>
      <c r="U3422" t="e">
        <v>#N/A</v>
      </c>
      <c r="W3422" s="45"/>
      <c r="X3422" s="45"/>
      <c r="Y3422" s="45"/>
      <c r="Z3422" s="45"/>
      <c r="AA3422" s="45"/>
      <c r="AB3422" s="45"/>
      <c r="AC3422" s="150">
        <v>0</v>
      </c>
      <c r="AD3422" s="150">
        <v>0</v>
      </c>
      <c r="AE3422" s="49">
        <f t="shared" si="161"/>
        <v>0</v>
      </c>
      <c r="AF3422" s="17"/>
      <c r="AG3422" s="17">
        <v>0</v>
      </c>
      <c r="AH3422" s="17"/>
      <c r="AI3422" s="17"/>
      <c r="AJ3422" s="17"/>
      <c r="AK3422" s="153"/>
      <c r="AL3422" s="154"/>
      <c r="AM3422" s="17">
        <f t="shared" si="162"/>
        <v>0</v>
      </c>
      <c r="AN3422" s="18"/>
      <c r="AO3422" s="18"/>
    </row>
    <row r="3423" spans="1:42" customFormat="1" hidden="1" x14ac:dyDescent="0.3">
      <c r="A3423" s="148" t="s">
        <v>8319</v>
      </c>
      <c r="B3423" t="s">
        <v>8320</v>
      </c>
      <c r="C3423" s="148" t="s">
        <v>9410</v>
      </c>
      <c r="D3423" t="s">
        <v>9411</v>
      </c>
      <c r="E3423" s="148" t="s">
        <v>9412</v>
      </c>
      <c r="F3423" t="s">
        <v>9413</v>
      </c>
      <c r="G3423" s="148" t="s">
        <v>9463</v>
      </c>
      <c r="H3423" t="s">
        <v>9464</v>
      </c>
      <c r="I3423" s="148" t="s">
        <v>9465</v>
      </c>
      <c r="J3423" t="s">
        <v>9466</v>
      </c>
      <c r="K3423" s="148" t="s">
        <v>11224</v>
      </c>
      <c r="L3423" t="s">
        <v>11225</v>
      </c>
      <c r="M3423" t="s">
        <v>11229</v>
      </c>
      <c r="N3423" s="3"/>
      <c r="O3423" s="3">
        <v>0</v>
      </c>
      <c r="P3423" s="3">
        <v>5</v>
      </c>
      <c r="Q3423" s="3">
        <v>5</v>
      </c>
      <c r="R3423" s="3">
        <v>5</v>
      </c>
      <c r="S3423" s="3">
        <v>8</v>
      </c>
      <c r="T3423" t="s">
        <v>11227</v>
      </c>
      <c r="U3423" t="e">
        <v>#N/A</v>
      </c>
      <c r="W3423" s="45"/>
      <c r="X3423" s="45"/>
      <c r="Y3423" s="45"/>
      <c r="Z3423" s="45"/>
      <c r="AA3423" s="45"/>
      <c r="AB3423" s="45"/>
      <c r="AC3423" s="150">
        <v>0</v>
      </c>
      <c r="AD3423" s="150">
        <v>0</v>
      </c>
      <c r="AE3423" s="49">
        <f t="shared" si="161"/>
        <v>0</v>
      </c>
      <c r="AF3423" s="17"/>
      <c r="AG3423" s="17">
        <v>0</v>
      </c>
      <c r="AH3423" s="17"/>
      <c r="AI3423" s="17"/>
      <c r="AJ3423" s="17"/>
      <c r="AK3423" s="153"/>
      <c r="AL3423" s="154"/>
      <c r="AM3423" s="17">
        <f t="shared" si="162"/>
        <v>0</v>
      </c>
      <c r="AN3423" s="18"/>
      <c r="AO3423" s="18"/>
    </row>
    <row r="3424" spans="1:42" customFormat="1" hidden="1" x14ac:dyDescent="0.3">
      <c r="A3424" s="148" t="s">
        <v>8319</v>
      </c>
      <c r="B3424" t="s">
        <v>8320</v>
      </c>
      <c r="C3424" s="148" t="s">
        <v>9410</v>
      </c>
      <c r="D3424" t="s">
        <v>9411</v>
      </c>
      <c r="E3424" s="148" t="s">
        <v>9412</v>
      </c>
      <c r="F3424" t="s">
        <v>9413</v>
      </c>
      <c r="G3424" s="148" t="s">
        <v>9463</v>
      </c>
      <c r="H3424" t="s">
        <v>9464</v>
      </c>
      <c r="I3424" s="148" t="s">
        <v>9465</v>
      </c>
      <c r="J3424" t="s">
        <v>9466</v>
      </c>
      <c r="K3424" s="148" t="s">
        <v>11224</v>
      </c>
      <c r="L3424" t="s">
        <v>11225</v>
      </c>
      <c r="M3424" t="s">
        <v>11230</v>
      </c>
      <c r="N3424" s="3"/>
      <c r="O3424" s="3">
        <v>0</v>
      </c>
      <c r="P3424" s="3">
        <v>10</v>
      </c>
      <c r="Q3424" s="3">
        <v>10</v>
      </c>
      <c r="R3424" s="3">
        <v>10</v>
      </c>
      <c r="S3424" s="3">
        <v>11</v>
      </c>
      <c r="T3424" t="s">
        <v>11227</v>
      </c>
      <c r="U3424" t="e">
        <v>#N/A</v>
      </c>
      <c r="W3424" s="45"/>
      <c r="X3424" s="45"/>
      <c r="Y3424" s="45"/>
      <c r="Z3424" s="45"/>
      <c r="AA3424" s="45"/>
      <c r="AB3424" s="45"/>
      <c r="AC3424" s="150">
        <v>0</v>
      </c>
      <c r="AD3424" s="150">
        <v>0</v>
      </c>
      <c r="AE3424" s="49">
        <f t="shared" si="161"/>
        <v>0</v>
      </c>
      <c r="AF3424" s="17"/>
      <c r="AG3424" s="17">
        <v>0</v>
      </c>
      <c r="AH3424" s="17"/>
      <c r="AI3424" s="17"/>
      <c r="AJ3424" s="17"/>
      <c r="AK3424" s="153"/>
      <c r="AL3424" s="154"/>
      <c r="AM3424" s="17">
        <f t="shared" si="162"/>
        <v>0</v>
      </c>
      <c r="AN3424" s="18"/>
      <c r="AO3424" s="18"/>
    </row>
    <row r="3425" spans="1:42" customFormat="1" hidden="1" x14ac:dyDescent="0.3">
      <c r="A3425" s="148" t="s">
        <v>8319</v>
      </c>
      <c r="B3425" t="s">
        <v>8320</v>
      </c>
      <c r="C3425" s="148" t="s">
        <v>9410</v>
      </c>
      <c r="D3425" t="s">
        <v>9411</v>
      </c>
      <c r="E3425" s="148" t="s">
        <v>9412</v>
      </c>
      <c r="F3425" t="s">
        <v>9413</v>
      </c>
      <c r="G3425" s="148" t="s">
        <v>9463</v>
      </c>
      <c r="H3425" t="s">
        <v>9464</v>
      </c>
      <c r="I3425" s="148" t="s">
        <v>9465</v>
      </c>
      <c r="J3425" t="s">
        <v>9466</v>
      </c>
      <c r="K3425" s="148" t="s">
        <v>11224</v>
      </c>
      <c r="L3425" t="s">
        <v>11225</v>
      </c>
      <c r="M3425" t="s">
        <v>11231</v>
      </c>
      <c r="N3425" s="3"/>
      <c r="O3425" s="3">
        <v>0</v>
      </c>
      <c r="P3425" s="3">
        <v>10</v>
      </c>
      <c r="Q3425" s="3">
        <v>10</v>
      </c>
      <c r="R3425" s="3">
        <v>12</v>
      </c>
      <c r="S3425" s="3">
        <v>12</v>
      </c>
      <c r="T3425" t="s">
        <v>11227</v>
      </c>
      <c r="U3425" t="e">
        <v>#N/A</v>
      </c>
      <c r="W3425" s="45"/>
      <c r="X3425" s="45"/>
      <c r="Y3425" s="45"/>
      <c r="Z3425" s="45"/>
      <c r="AA3425" s="45"/>
      <c r="AB3425" s="45"/>
      <c r="AC3425" s="150">
        <v>0</v>
      </c>
      <c r="AD3425" s="150">
        <v>0</v>
      </c>
      <c r="AE3425" s="49">
        <f t="shared" si="161"/>
        <v>0</v>
      </c>
      <c r="AF3425" s="17"/>
      <c r="AG3425" s="17">
        <v>0</v>
      </c>
      <c r="AH3425" s="17"/>
      <c r="AI3425" s="17"/>
      <c r="AJ3425" s="17"/>
      <c r="AK3425" s="153"/>
      <c r="AL3425" s="154"/>
      <c r="AM3425" s="17">
        <f t="shared" si="162"/>
        <v>0</v>
      </c>
      <c r="AN3425" s="18"/>
      <c r="AO3425" s="18"/>
    </row>
    <row r="3426" spans="1:42" customFormat="1" hidden="1" x14ac:dyDescent="0.3">
      <c r="A3426" s="148" t="s">
        <v>8319</v>
      </c>
      <c r="B3426" t="s">
        <v>8320</v>
      </c>
      <c r="C3426" s="148" t="s">
        <v>9410</v>
      </c>
      <c r="D3426" t="s">
        <v>9411</v>
      </c>
      <c r="E3426" s="148" t="s">
        <v>9412</v>
      </c>
      <c r="F3426" t="s">
        <v>9413</v>
      </c>
      <c r="G3426" s="148" t="s">
        <v>9463</v>
      </c>
      <c r="H3426" t="s">
        <v>9464</v>
      </c>
      <c r="I3426" s="148" t="s">
        <v>9465</v>
      </c>
      <c r="J3426" t="s">
        <v>9466</v>
      </c>
      <c r="K3426" s="148" t="s">
        <v>11224</v>
      </c>
      <c r="L3426" t="s">
        <v>11225</v>
      </c>
      <c r="M3426" t="s">
        <v>11232</v>
      </c>
      <c r="N3426" s="3"/>
      <c r="O3426" s="3">
        <v>0</v>
      </c>
      <c r="P3426" s="3">
        <v>140</v>
      </c>
      <c r="Q3426" s="3">
        <v>140</v>
      </c>
      <c r="R3426" s="3">
        <v>140</v>
      </c>
      <c r="S3426" s="3">
        <v>137</v>
      </c>
      <c r="T3426" t="s">
        <v>11227</v>
      </c>
      <c r="U3426" t="e">
        <v>#N/A</v>
      </c>
      <c r="W3426" s="45"/>
      <c r="X3426" s="45"/>
      <c r="Y3426" s="45"/>
      <c r="Z3426" s="45"/>
      <c r="AA3426" s="45"/>
      <c r="AB3426" s="45"/>
      <c r="AC3426" s="150">
        <v>0</v>
      </c>
      <c r="AD3426" s="150">
        <v>0</v>
      </c>
      <c r="AE3426" s="49">
        <f t="shared" si="161"/>
        <v>0</v>
      </c>
      <c r="AF3426" s="17"/>
      <c r="AG3426" s="17">
        <v>0</v>
      </c>
      <c r="AH3426" s="17"/>
      <c r="AI3426" s="17"/>
      <c r="AJ3426" s="17"/>
      <c r="AK3426" s="153"/>
      <c r="AL3426" s="154"/>
      <c r="AM3426" s="17">
        <f t="shared" si="162"/>
        <v>0</v>
      </c>
      <c r="AN3426" s="18"/>
      <c r="AO3426" s="18"/>
    </row>
    <row r="3427" spans="1:42" customFormat="1" hidden="1" x14ac:dyDescent="0.3">
      <c r="A3427" s="148" t="s">
        <v>8319</v>
      </c>
      <c r="B3427" t="s">
        <v>8320</v>
      </c>
      <c r="C3427" s="148" t="s">
        <v>9410</v>
      </c>
      <c r="D3427" t="s">
        <v>9411</v>
      </c>
      <c r="E3427" s="148" t="s">
        <v>9412</v>
      </c>
      <c r="F3427" t="s">
        <v>9413</v>
      </c>
      <c r="G3427" s="148" t="s">
        <v>9463</v>
      </c>
      <c r="H3427" t="s">
        <v>9464</v>
      </c>
      <c r="I3427" s="148" t="s">
        <v>9465</v>
      </c>
      <c r="J3427" t="s">
        <v>9466</v>
      </c>
      <c r="K3427" s="148" t="s">
        <v>11224</v>
      </c>
      <c r="L3427" t="s">
        <v>11225</v>
      </c>
      <c r="M3427" t="s">
        <v>11233</v>
      </c>
      <c r="N3427" s="3"/>
      <c r="O3427" s="3">
        <v>30</v>
      </c>
      <c r="P3427" s="3">
        <v>30</v>
      </c>
      <c r="Q3427" s="3">
        <v>30</v>
      </c>
      <c r="R3427" s="3">
        <v>30</v>
      </c>
      <c r="S3427" s="3">
        <v>30</v>
      </c>
      <c r="T3427" t="s">
        <v>11227</v>
      </c>
      <c r="U3427" t="e">
        <v>#N/A</v>
      </c>
      <c r="W3427" s="45"/>
      <c r="X3427" s="45"/>
      <c r="Y3427" s="45"/>
      <c r="Z3427" s="45"/>
      <c r="AA3427" s="45"/>
      <c r="AB3427" s="45"/>
      <c r="AC3427" s="150">
        <v>0</v>
      </c>
      <c r="AD3427" s="150">
        <v>0</v>
      </c>
      <c r="AE3427" s="49">
        <f t="shared" si="161"/>
        <v>0</v>
      </c>
      <c r="AF3427" s="17"/>
      <c r="AG3427" s="17">
        <v>0</v>
      </c>
      <c r="AH3427" s="17"/>
      <c r="AI3427" s="17"/>
      <c r="AJ3427" s="17"/>
      <c r="AK3427" s="153"/>
      <c r="AL3427" s="154"/>
      <c r="AM3427" s="17">
        <f t="shared" si="162"/>
        <v>0</v>
      </c>
      <c r="AN3427" s="18"/>
      <c r="AO3427" s="18"/>
    </row>
    <row r="3428" spans="1:42" customFormat="1" hidden="1" x14ac:dyDescent="0.3">
      <c r="A3428" s="148" t="s">
        <v>8319</v>
      </c>
      <c r="B3428" t="s">
        <v>8320</v>
      </c>
      <c r="C3428" s="148" t="s">
        <v>9410</v>
      </c>
      <c r="D3428" t="s">
        <v>9411</v>
      </c>
      <c r="E3428" s="148" t="s">
        <v>9412</v>
      </c>
      <c r="F3428" t="s">
        <v>9413</v>
      </c>
      <c r="G3428" s="148" t="s">
        <v>9463</v>
      </c>
      <c r="H3428" t="s">
        <v>9464</v>
      </c>
      <c r="I3428" s="148" t="s">
        <v>9465</v>
      </c>
      <c r="J3428" t="s">
        <v>9466</v>
      </c>
      <c r="K3428" s="148" t="s">
        <v>11224</v>
      </c>
      <c r="L3428" t="s">
        <v>11225</v>
      </c>
      <c r="M3428" t="s">
        <v>11234</v>
      </c>
      <c r="N3428" s="3"/>
      <c r="O3428" s="3">
        <v>300</v>
      </c>
      <c r="P3428" s="3">
        <v>300</v>
      </c>
      <c r="Q3428" s="3">
        <v>300</v>
      </c>
      <c r="R3428" s="3">
        <v>300</v>
      </c>
      <c r="S3428" s="3">
        <v>300</v>
      </c>
      <c r="T3428" t="s">
        <v>11227</v>
      </c>
      <c r="U3428" t="e">
        <v>#N/A</v>
      </c>
      <c r="W3428" s="45"/>
      <c r="X3428" s="45"/>
      <c r="Y3428" s="45"/>
      <c r="Z3428" s="45"/>
      <c r="AA3428" s="45"/>
      <c r="AB3428" s="45"/>
      <c r="AC3428" s="150">
        <v>0</v>
      </c>
      <c r="AD3428" s="150">
        <v>0</v>
      </c>
      <c r="AE3428" s="49">
        <f t="shared" si="161"/>
        <v>0</v>
      </c>
      <c r="AF3428" s="17"/>
      <c r="AG3428" s="17">
        <v>0</v>
      </c>
      <c r="AH3428" s="17"/>
      <c r="AI3428" s="17"/>
      <c r="AJ3428" s="17"/>
      <c r="AK3428" s="153"/>
      <c r="AL3428" s="154"/>
      <c r="AM3428" s="17">
        <f t="shared" si="162"/>
        <v>0</v>
      </c>
      <c r="AN3428" s="18"/>
      <c r="AO3428" s="18"/>
    </row>
    <row r="3429" spans="1:42" customFormat="1" hidden="1" x14ac:dyDescent="0.3">
      <c r="A3429" s="148" t="s">
        <v>8319</v>
      </c>
      <c r="B3429" t="s">
        <v>8320</v>
      </c>
      <c r="C3429" s="148" t="s">
        <v>9410</v>
      </c>
      <c r="D3429" t="s">
        <v>9411</v>
      </c>
      <c r="E3429" s="148" t="s">
        <v>9412</v>
      </c>
      <c r="F3429" t="s">
        <v>9413</v>
      </c>
      <c r="G3429" s="148" t="s">
        <v>9463</v>
      </c>
      <c r="H3429" t="s">
        <v>9464</v>
      </c>
      <c r="I3429" s="148" t="s">
        <v>9465</v>
      </c>
      <c r="J3429" t="s">
        <v>9466</v>
      </c>
      <c r="K3429" s="148" t="s">
        <v>11235</v>
      </c>
      <c r="L3429" t="s">
        <v>11236</v>
      </c>
      <c r="M3429" t="s">
        <v>11237</v>
      </c>
      <c r="N3429" s="3"/>
      <c r="O3429" s="3">
        <v>0</v>
      </c>
      <c r="P3429" s="3">
        <v>5</v>
      </c>
      <c r="Q3429" s="3">
        <v>9</v>
      </c>
      <c r="R3429" s="3">
        <v>8</v>
      </c>
      <c r="S3429" s="3">
        <v>5</v>
      </c>
      <c r="T3429" t="s">
        <v>11238</v>
      </c>
      <c r="U3429" t="e">
        <v>#N/A</v>
      </c>
      <c r="W3429" s="45"/>
      <c r="X3429" s="45"/>
      <c r="Y3429" s="45"/>
      <c r="Z3429" s="45"/>
      <c r="AA3429" s="45"/>
      <c r="AB3429" s="45"/>
      <c r="AC3429" s="150">
        <v>0</v>
      </c>
      <c r="AD3429" s="150">
        <v>0</v>
      </c>
      <c r="AE3429" s="49">
        <f t="shared" si="161"/>
        <v>0</v>
      </c>
      <c r="AF3429" s="17"/>
      <c r="AG3429" s="17">
        <v>0</v>
      </c>
      <c r="AH3429" s="17"/>
      <c r="AI3429" s="17"/>
      <c r="AJ3429" s="17"/>
      <c r="AK3429" s="153"/>
      <c r="AL3429" s="154"/>
      <c r="AM3429" s="17">
        <f t="shared" si="162"/>
        <v>0</v>
      </c>
      <c r="AN3429" s="18"/>
      <c r="AO3429" s="18"/>
    </row>
    <row r="3430" spans="1:42" customFormat="1" hidden="1" x14ac:dyDescent="0.3">
      <c r="A3430" s="148" t="s">
        <v>8319</v>
      </c>
      <c r="B3430" t="s">
        <v>8320</v>
      </c>
      <c r="C3430" s="148" t="s">
        <v>9410</v>
      </c>
      <c r="D3430" t="s">
        <v>9411</v>
      </c>
      <c r="E3430" s="148" t="s">
        <v>9412</v>
      </c>
      <c r="F3430" t="s">
        <v>9413</v>
      </c>
      <c r="G3430" s="148" t="s">
        <v>9463</v>
      </c>
      <c r="H3430" t="s">
        <v>9464</v>
      </c>
      <c r="I3430" s="148" t="s">
        <v>9465</v>
      </c>
      <c r="J3430" t="s">
        <v>9466</v>
      </c>
      <c r="K3430" s="148" t="s">
        <v>11235</v>
      </c>
      <c r="L3430" t="s">
        <v>11236</v>
      </c>
      <c r="M3430" t="s">
        <v>11239</v>
      </c>
      <c r="N3430" s="3"/>
      <c r="O3430" s="3">
        <v>0</v>
      </c>
      <c r="P3430" s="3">
        <v>5</v>
      </c>
      <c r="Q3430" s="3">
        <v>9</v>
      </c>
      <c r="R3430" s="3">
        <v>8</v>
      </c>
      <c r="S3430" s="3">
        <v>5</v>
      </c>
      <c r="T3430" t="s">
        <v>407</v>
      </c>
      <c r="U3430" t="s">
        <v>409</v>
      </c>
      <c r="W3430" s="45"/>
      <c r="X3430" s="45"/>
      <c r="Y3430" s="45"/>
      <c r="Z3430" s="45"/>
      <c r="AA3430" s="45"/>
      <c r="AB3430" s="45"/>
      <c r="AC3430" s="150">
        <v>0</v>
      </c>
      <c r="AD3430" s="150">
        <v>0</v>
      </c>
      <c r="AE3430" s="49">
        <f t="shared" si="161"/>
        <v>0</v>
      </c>
      <c r="AF3430" s="17"/>
      <c r="AG3430" s="17">
        <v>0</v>
      </c>
      <c r="AH3430" s="17"/>
      <c r="AI3430" s="17"/>
      <c r="AJ3430" s="17"/>
      <c r="AK3430" s="153"/>
      <c r="AL3430" s="154"/>
      <c r="AM3430" s="17">
        <f t="shared" si="162"/>
        <v>0</v>
      </c>
      <c r="AN3430" s="18"/>
      <c r="AO3430" s="18"/>
    </row>
    <row r="3431" spans="1:42" customFormat="1" hidden="1" x14ac:dyDescent="0.3">
      <c r="A3431" s="148" t="s">
        <v>8319</v>
      </c>
      <c r="B3431" t="s">
        <v>8320</v>
      </c>
      <c r="C3431" s="148" t="s">
        <v>9410</v>
      </c>
      <c r="D3431" t="s">
        <v>9411</v>
      </c>
      <c r="E3431" s="148" t="s">
        <v>9412</v>
      </c>
      <c r="F3431" t="s">
        <v>9413</v>
      </c>
      <c r="G3431" s="148" t="s">
        <v>9463</v>
      </c>
      <c r="H3431" t="s">
        <v>9464</v>
      </c>
      <c r="I3431" s="148" t="s">
        <v>9465</v>
      </c>
      <c r="J3431" t="s">
        <v>9466</v>
      </c>
      <c r="K3431" s="148" t="s">
        <v>11240</v>
      </c>
      <c r="L3431" t="s">
        <v>11241</v>
      </c>
      <c r="M3431" t="s">
        <v>11242</v>
      </c>
      <c r="N3431" s="3"/>
      <c r="O3431" s="3">
        <v>250</v>
      </c>
      <c r="P3431" s="3">
        <v>5000</v>
      </c>
      <c r="Q3431" s="3">
        <v>5000</v>
      </c>
      <c r="R3431" s="3">
        <v>5000</v>
      </c>
      <c r="S3431" s="3">
        <v>5000</v>
      </c>
      <c r="T3431" t="s">
        <v>11243</v>
      </c>
      <c r="U3431" t="e">
        <v>#N/A</v>
      </c>
      <c r="W3431" s="45"/>
      <c r="X3431" s="45"/>
      <c r="Y3431" s="45"/>
      <c r="Z3431" s="45"/>
      <c r="AA3431" s="45"/>
      <c r="AB3431" s="45"/>
      <c r="AC3431" s="150">
        <v>0</v>
      </c>
      <c r="AD3431" s="150">
        <v>0</v>
      </c>
      <c r="AE3431" s="49">
        <f t="shared" si="161"/>
        <v>0</v>
      </c>
      <c r="AF3431" s="17"/>
      <c r="AG3431" s="17">
        <v>0</v>
      </c>
      <c r="AH3431" s="17"/>
      <c r="AI3431" s="17"/>
      <c r="AJ3431" s="17"/>
      <c r="AK3431" s="153"/>
      <c r="AL3431" s="154"/>
      <c r="AM3431" s="17">
        <f t="shared" si="162"/>
        <v>0</v>
      </c>
      <c r="AN3431" s="18"/>
      <c r="AO3431" s="18"/>
    </row>
    <row r="3432" spans="1:42" customFormat="1" hidden="1" x14ac:dyDescent="0.3">
      <c r="A3432" s="148" t="s">
        <v>8319</v>
      </c>
      <c r="B3432" t="s">
        <v>8320</v>
      </c>
      <c r="C3432" s="148" t="s">
        <v>9410</v>
      </c>
      <c r="D3432" t="s">
        <v>9411</v>
      </c>
      <c r="E3432" s="148" t="s">
        <v>9412</v>
      </c>
      <c r="F3432" t="s">
        <v>9413</v>
      </c>
      <c r="G3432" s="148" t="s">
        <v>9463</v>
      </c>
      <c r="H3432" t="s">
        <v>9464</v>
      </c>
      <c r="I3432" s="148" t="s">
        <v>9465</v>
      </c>
      <c r="J3432" t="s">
        <v>9466</v>
      </c>
      <c r="K3432" s="148" t="s">
        <v>11240</v>
      </c>
      <c r="L3432" t="s">
        <v>11241</v>
      </c>
      <c r="M3432" t="s">
        <v>11244</v>
      </c>
      <c r="N3432" s="3"/>
      <c r="O3432" s="3">
        <v>20</v>
      </c>
      <c r="P3432" s="3">
        <v>127</v>
      </c>
      <c r="Q3432" s="3">
        <v>127</v>
      </c>
      <c r="R3432" s="3">
        <v>127</v>
      </c>
      <c r="S3432" s="3">
        <v>127</v>
      </c>
      <c r="T3432" t="s">
        <v>11243</v>
      </c>
      <c r="U3432" t="e">
        <v>#N/A</v>
      </c>
      <c r="W3432" s="45"/>
      <c r="X3432" s="45"/>
      <c r="Y3432" s="45"/>
      <c r="Z3432" s="45"/>
      <c r="AA3432" s="45"/>
      <c r="AB3432" s="45"/>
      <c r="AC3432" s="150">
        <v>0</v>
      </c>
      <c r="AD3432" s="150">
        <v>0</v>
      </c>
      <c r="AE3432" s="49">
        <f t="shared" si="161"/>
        <v>0</v>
      </c>
      <c r="AF3432" s="17"/>
      <c r="AG3432" s="17">
        <v>0</v>
      </c>
      <c r="AH3432" s="17"/>
      <c r="AI3432" s="17"/>
      <c r="AJ3432" s="17"/>
      <c r="AK3432" s="153"/>
      <c r="AL3432" s="154"/>
      <c r="AM3432" s="17">
        <f t="shared" si="162"/>
        <v>0</v>
      </c>
      <c r="AN3432" s="18"/>
      <c r="AO3432" s="18"/>
    </row>
    <row r="3433" spans="1:42" customFormat="1" hidden="1" x14ac:dyDescent="0.3">
      <c r="A3433" s="148" t="s">
        <v>8319</v>
      </c>
      <c r="B3433" t="s">
        <v>8320</v>
      </c>
      <c r="C3433" s="148" t="s">
        <v>9410</v>
      </c>
      <c r="D3433" t="s">
        <v>9411</v>
      </c>
      <c r="E3433" s="148" t="s">
        <v>9412</v>
      </c>
      <c r="F3433" t="s">
        <v>9413</v>
      </c>
      <c r="G3433" s="148" t="s">
        <v>9463</v>
      </c>
      <c r="H3433" t="s">
        <v>9464</v>
      </c>
      <c r="I3433" s="148" t="s">
        <v>9465</v>
      </c>
      <c r="J3433" t="s">
        <v>9466</v>
      </c>
      <c r="K3433" s="148" t="s">
        <v>11245</v>
      </c>
      <c r="L3433" t="s">
        <v>11246</v>
      </c>
      <c r="M3433" t="s">
        <v>11247</v>
      </c>
      <c r="N3433" s="3"/>
      <c r="O3433" s="3">
        <v>11</v>
      </c>
      <c r="P3433" s="3">
        <v>22</v>
      </c>
      <c r="Q3433" s="3">
        <v>44</v>
      </c>
      <c r="R3433" s="3">
        <v>44</v>
      </c>
      <c r="S3433" s="3">
        <v>22</v>
      </c>
      <c r="T3433" t="s">
        <v>11243</v>
      </c>
      <c r="U3433" t="e">
        <v>#N/A</v>
      </c>
      <c r="W3433" s="45"/>
      <c r="X3433" s="45"/>
      <c r="Y3433" s="45"/>
      <c r="Z3433" s="45"/>
      <c r="AA3433" s="45"/>
      <c r="AB3433" s="45"/>
      <c r="AC3433" s="150">
        <v>0</v>
      </c>
      <c r="AD3433" s="150">
        <v>0</v>
      </c>
      <c r="AE3433" s="49">
        <f t="shared" si="161"/>
        <v>0</v>
      </c>
      <c r="AF3433" s="17"/>
      <c r="AG3433" s="17">
        <v>0</v>
      </c>
      <c r="AH3433" s="17"/>
      <c r="AI3433" s="17"/>
      <c r="AJ3433" s="17"/>
      <c r="AK3433" s="153"/>
      <c r="AL3433" s="154"/>
      <c r="AM3433" s="17">
        <f t="shared" si="162"/>
        <v>0</v>
      </c>
      <c r="AN3433" s="18"/>
      <c r="AO3433" s="18"/>
    </row>
    <row r="3434" spans="1:42" customFormat="1" hidden="1" x14ac:dyDescent="0.3">
      <c r="A3434" s="148" t="s">
        <v>8319</v>
      </c>
      <c r="B3434" t="s">
        <v>8320</v>
      </c>
      <c r="C3434" s="148" t="s">
        <v>9410</v>
      </c>
      <c r="D3434" t="s">
        <v>9411</v>
      </c>
      <c r="E3434" s="148" t="s">
        <v>9412</v>
      </c>
      <c r="F3434" t="s">
        <v>9413</v>
      </c>
      <c r="G3434" s="148" t="s">
        <v>9463</v>
      </c>
      <c r="H3434" t="s">
        <v>9464</v>
      </c>
      <c r="I3434" s="148" t="s">
        <v>9465</v>
      </c>
      <c r="J3434" t="s">
        <v>9466</v>
      </c>
      <c r="K3434" s="148" t="s">
        <v>11248</v>
      </c>
      <c r="L3434" t="s">
        <v>11249</v>
      </c>
      <c r="M3434" t="s">
        <v>11250</v>
      </c>
      <c r="N3434" s="3"/>
      <c r="O3434" s="3">
        <v>0</v>
      </c>
      <c r="P3434" s="3">
        <v>60</v>
      </c>
      <c r="Q3434" s="3">
        <v>120</v>
      </c>
      <c r="R3434" s="3">
        <v>120</v>
      </c>
      <c r="S3434" s="3">
        <v>60</v>
      </c>
      <c r="T3434" t="s">
        <v>11251</v>
      </c>
      <c r="U3434" t="e">
        <v>#N/A</v>
      </c>
      <c r="W3434" s="45"/>
      <c r="X3434" s="45"/>
      <c r="Y3434" s="45"/>
      <c r="Z3434" s="45"/>
      <c r="AA3434" s="45"/>
      <c r="AB3434" s="45"/>
      <c r="AC3434" s="150">
        <v>0</v>
      </c>
      <c r="AD3434" s="150">
        <v>0</v>
      </c>
      <c r="AE3434" s="49">
        <f t="shared" si="161"/>
        <v>0</v>
      </c>
      <c r="AF3434" s="17"/>
      <c r="AG3434" s="17">
        <v>0</v>
      </c>
      <c r="AH3434" s="17"/>
      <c r="AI3434" s="17"/>
      <c r="AJ3434" s="17"/>
      <c r="AK3434" s="153"/>
      <c r="AL3434" s="154"/>
      <c r="AM3434" s="17">
        <f t="shared" si="162"/>
        <v>0</v>
      </c>
      <c r="AN3434" s="18"/>
      <c r="AO3434" s="18"/>
    </row>
    <row r="3435" spans="1:42" customFormat="1" hidden="1" x14ac:dyDescent="0.3">
      <c r="A3435" s="148" t="s">
        <v>8319</v>
      </c>
      <c r="B3435" t="s">
        <v>8320</v>
      </c>
      <c r="C3435" s="148" t="s">
        <v>9410</v>
      </c>
      <c r="D3435" t="s">
        <v>9411</v>
      </c>
      <c r="E3435" s="148" t="s">
        <v>9412</v>
      </c>
      <c r="F3435" t="s">
        <v>9413</v>
      </c>
      <c r="G3435" s="148" t="s">
        <v>9463</v>
      </c>
      <c r="H3435" t="s">
        <v>9464</v>
      </c>
      <c r="I3435" s="148" t="s">
        <v>9465</v>
      </c>
      <c r="J3435" t="s">
        <v>9466</v>
      </c>
      <c r="K3435" s="148" t="s">
        <v>11248</v>
      </c>
      <c r="L3435" t="s">
        <v>11249</v>
      </c>
      <c r="M3435" t="s">
        <v>11252</v>
      </c>
      <c r="N3435" s="3"/>
      <c r="O3435" s="3">
        <v>218</v>
      </c>
      <c r="P3435" s="3">
        <v>218</v>
      </c>
      <c r="Q3435" s="3">
        <v>218</v>
      </c>
      <c r="R3435" s="3">
        <v>218</v>
      </c>
      <c r="S3435" s="3">
        <v>218</v>
      </c>
      <c r="T3435" t="s">
        <v>11251</v>
      </c>
      <c r="U3435" t="e">
        <v>#N/A</v>
      </c>
      <c r="W3435" s="45"/>
      <c r="X3435" s="45"/>
      <c r="Y3435" s="45"/>
      <c r="Z3435" s="45"/>
      <c r="AA3435" s="45"/>
      <c r="AB3435" s="45"/>
      <c r="AC3435" s="150">
        <v>0</v>
      </c>
      <c r="AD3435" s="150">
        <v>0</v>
      </c>
      <c r="AE3435" s="49">
        <f t="shared" si="161"/>
        <v>0</v>
      </c>
      <c r="AF3435" s="17"/>
      <c r="AG3435" s="17">
        <v>0</v>
      </c>
      <c r="AH3435" s="17"/>
      <c r="AI3435" s="17"/>
      <c r="AJ3435" s="17"/>
      <c r="AK3435" s="153"/>
      <c r="AL3435" s="154"/>
      <c r="AM3435" s="17">
        <f t="shared" si="162"/>
        <v>0</v>
      </c>
      <c r="AN3435" s="18"/>
      <c r="AO3435" s="18"/>
    </row>
    <row r="3436" spans="1:42" customFormat="1" hidden="1" x14ac:dyDescent="0.3">
      <c r="A3436" s="148" t="s">
        <v>8319</v>
      </c>
      <c r="B3436" t="s">
        <v>8320</v>
      </c>
      <c r="C3436" s="148" t="s">
        <v>9410</v>
      </c>
      <c r="D3436" t="s">
        <v>9411</v>
      </c>
      <c r="E3436" s="148" t="s">
        <v>9412</v>
      </c>
      <c r="F3436" t="s">
        <v>9413</v>
      </c>
      <c r="G3436" s="148" t="s">
        <v>9463</v>
      </c>
      <c r="H3436" t="s">
        <v>9464</v>
      </c>
      <c r="I3436" s="148" t="s">
        <v>9465</v>
      </c>
      <c r="J3436" t="s">
        <v>9466</v>
      </c>
      <c r="K3436" s="148" t="s">
        <v>11248</v>
      </c>
      <c r="L3436" t="s">
        <v>11249</v>
      </c>
      <c r="M3436" t="s">
        <v>11253</v>
      </c>
      <c r="N3436" s="3"/>
      <c r="O3436" s="3">
        <v>0</v>
      </c>
      <c r="P3436" s="3">
        <v>1</v>
      </c>
      <c r="Q3436" s="3">
        <v>0</v>
      </c>
      <c r="R3436" s="3">
        <v>0</v>
      </c>
      <c r="S3436" s="3">
        <v>0</v>
      </c>
      <c r="T3436" t="s">
        <v>11251</v>
      </c>
      <c r="U3436" t="e">
        <v>#N/A</v>
      </c>
      <c r="W3436" s="45"/>
      <c r="X3436" s="45"/>
      <c r="Y3436" s="45"/>
      <c r="Z3436" s="45"/>
      <c r="AA3436" s="45"/>
      <c r="AB3436" s="45"/>
      <c r="AC3436" s="150">
        <v>0</v>
      </c>
      <c r="AD3436" s="150">
        <v>0</v>
      </c>
      <c r="AE3436" s="49">
        <f t="shared" si="161"/>
        <v>0</v>
      </c>
      <c r="AF3436" s="17"/>
      <c r="AG3436" s="17">
        <v>0</v>
      </c>
      <c r="AH3436" s="17"/>
      <c r="AI3436" s="17"/>
      <c r="AJ3436" s="17"/>
      <c r="AK3436" s="153"/>
      <c r="AL3436" s="154"/>
      <c r="AM3436" s="17">
        <f t="shared" si="162"/>
        <v>0</v>
      </c>
      <c r="AN3436" s="18"/>
      <c r="AO3436" s="18"/>
    </row>
    <row r="3437" spans="1:42" customFormat="1" hidden="1" x14ac:dyDescent="0.3">
      <c r="A3437" s="148" t="s">
        <v>8319</v>
      </c>
      <c r="B3437" t="s">
        <v>8320</v>
      </c>
      <c r="C3437" s="148" t="s">
        <v>9410</v>
      </c>
      <c r="D3437" t="s">
        <v>9411</v>
      </c>
      <c r="E3437" s="148" t="s">
        <v>9412</v>
      </c>
      <c r="F3437" t="s">
        <v>9413</v>
      </c>
      <c r="G3437" s="148" t="s">
        <v>9463</v>
      </c>
      <c r="H3437" t="s">
        <v>9464</v>
      </c>
      <c r="I3437" s="148" t="s">
        <v>9465</v>
      </c>
      <c r="J3437" t="s">
        <v>9466</v>
      </c>
      <c r="K3437" s="148" t="s">
        <v>11254</v>
      </c>
      <c r="L3437" t="s">
        <v>11255</v>
      </c>
      <c r="M3437" t="s">
        <v>11256</v>
      </c>
      <c r="N3437" s="3"/>
      <c r="O3437" s="3">
        <v>0</v>
      </c>
      <c r="P3437" s="3">
        <v>12000</v>
      </c>
      <c r="Q3437" s="3">
        <v>12000</v>
      </c>
      <c r="R3437" s="3">
        <v>12000</v>
      </c>
      <c r="S3437" s="3">
        <v>12000</v>
      </c>
      <c r="T3437" t="s">
        <v>11257</v>
      </c>
      <c r="U3437" t="e">
        <v>#N/A</v>
      </c>
      <c r="W3437" s="45"/>
      <c r="X3437" s="45"/>
      <c r="Y3437" s="45"/>
      <c r="Z3437" s="45"/>
      <c r="AA3437" s="45"/>
      <c r="AB3437" s="45"/>
      <c r="AC3437" s="150">
        <v>0</v>
      </c>
      <c r="AD3437" s="150">
        <v>0</v>
      </c>
      <c r="AE3437" s="49">
        <f t="shared" si="161"/>
        <v>0</v>
      </c>
      <c r="AF3437" s="17"/>
      <c r="AG3437" s="17">
        <v>0</v>
      </c>
      <c r="AH3437" s="17"/>
      <c r="AI3437" s="17"/>
      <c r="AJ3437" s="17"/>
      <c r="AK3437" s="153"/>
      <c r="AL3437" s="154"/>
      <c r="AM3437" s="17">
        <f t="shared" si="162"/>
        <v>0</v>
      </c>
      <c r="AN3437" s="18"/>
      <c r="AO3437" s="18"/>
    </row>
    <row r="3438" spans="1:42" customFormat="1" hidden="1" x14ac:dyDescent="0.3">
      <c r="A3438" s="148" t="s">
        <v>8319</v>
      </c>
      <c r="B3438" t="s">
        <v>8320</v>
      </c>
      <c r="C3438" s="148" t="s">
        <v>9410</v>
      </c>
      <c r="D3438" t="s">
        <v>9411</v>
      </c>
      <c r="E3438" s="148" t="s">
        <v>9412</v>
      </c>
      <c r="F3438" t="s">
        <v>9413</v>
      </c>
      <c r="G3438" s="148" t="s">
        <v>10008</v>
      </c>
      <c r="H3438" t="s">
        <v>10009</v>
      </c>
      <c r="K3438" s="148" t="s">
        <v>10010</v>
      </c>
      <c r="L3438" t="s">
        <v>10011</v>
      </c>
      <c r="M3438" t="s">
        <v>11258</v>
      </c>
      <c r="N3438" s="3">
        <v>0</v>
      </c>
      <c r="O3438" s="3">
        <v>1</v>
      </c>
      <c r="P3438" s="3">
        <v>0</v>
      </c>
      <c r="Q3438" s="3">
        <v>0</v>
      </c>
      <c r="R3438" s="3">
        <v>0</v>
      </c>
      <c r="S3438" s="3">
        <v>0</v>
      </c>
      <c r="T3438" t="s">
        <v>3643</v>
      </c>
      <c r="U3438" t="s">
        <v>3630</v>
      </c>
      <c r="V3438" t="s">
        <v>11259</v>
      </c>
      <c r="W3438" s="45">
        <v>0</v>
      </c>
      <c r="X3438" s="45">
        <v>0</v>
      </c>
      <c r="Y3438" s="45">
        <v>0</v>
      </c>
      <c r="Z3438" s="45">
        <v>0</v>
      </c>
      <c r="AA3438" s="45">
        <v>0</v>
      </c>
      <c r="AB3438" s="45">
        <v>0</v>
      </c>
      <c r="AC3438" s="150">
        <v>0</v>
      </c>
      <c r="AD3438" s="150">
        <v>0</v>
      </c>
      <c r="AE3438" s="49">
        <f t="shared" si="161"/>
        <v>0</v>
      </c>
      <c r="AF3438" s="44"/>
      <c r="AG3438" s="17">
        <v>0</v>
      </c>
      <c r="AH3438" s="44">
        <v>5</v>
      </c>
      <c r="AI3438" s="44">
        <v>5</v>
      </c>
      <c r="AJ3438" s="44">
        <v>5</v>
      </c>
      <c r="AK3438" s="151">
        <v>5</v>
      </c>
      <c r="AL3438" s="151">
        <v>5</v>
      </c>
      <c r="AM3438" s="17">
        <f t="shared" si="162"/>
        <v>10</v>
      </c>
      <c r="AN3438" t="s">
        <v>3643</v>
      </c>
      <c r="AO3438" s="18" t="s">
        <v>3630</v>
      </c>
      <c r="AP3438" t="s">
        <v>11260</v>
      </c>
    </row>
    <row r="3439" spans="1:42" customFormat="1" hidden="1" x14ac:dyDescent="0.3">
      <c r="A3439" s="148" t="s">
        <v>8319</v>
      </c>
      <c r="B3439" t="s">
        <v>8320</v>
      </c>
      <c r="C3439" s="148" t="s">
        <v>9410</v>
      </c>
      <c r="D3439" t="s">
        <v>9411</v>
      </c>
      <c r="E3439" s="148" t="s">
        <v>9412</v>
      </c>
      <c r="F3439" t="s">
        <v>9413</v>
      </c>
      <c r="G3439" s="148" t="s">
        <v>10008</v>
      </c>
      <c r="H3439" t="s">
        <v>10009</v>
      </c>
      <c r="K3439" s="148" t="s">
        <v>10010</v>
      </c>
      <c r="L3439" t="s">
        <v>10011</v>
      </c>
      <c r="M3439" t="s">
        <v>11261</v>
      </c>
      <c r="N3439" s="3"/>
      <c r="O3439" s="3">
        <v>300</v>
      </c>
      <c r="P3439" s="3">
        <v>300</v>
      </c>
      <c r="Q3439" s="3">
        <v>300</v>
      </c>
      <c r="R3439" s="3">
        <v>300</v>
      </c>
      <c r="S3439" s="3">
        <v>300</v>
      </c>
      <c r="T3439" t="s">
        <v>11262</v>
      </c>
      <c r="U3439" t="e">
        <v>#N/A</v>
      </c>
      <c r="V3439" t="s">
        <v>11263</v>
      </c>
      <c r="W3439" s="45">
        <v>0</v>
      </c>
      <c r="X3439" s="45">
        <v>0</v>
      </c>
      <c r="Y3439" s="45">
        <v>0</v>
      </c>
      <c r="Z3439" s="45">
        <v>0</v>
      </c>
      <c r="AA3439" s="45">
        <v>0</v>
      </c>
      <c r="AB3439" s="45">
        <v>0</v>
      </c>
      <c r="AC3439" s="150">
        <v>0</v>
      </c>
      <c r="AD3439" s="150">
        <v>0</v>
      </c>
      <c r="AE3439" s="49">
        <f t="shared" si="161"/>
        <v>0</v>
      </c>
      <c r="AF3439" s="17"/>
      <c r="AG3439" s="17">
        <v>0</v>
      </c>
      <c r="AH3439" s="17">
        <v>0</v>
      </c>
      <c r="AI3439" s="17">
        <v>0</v>
      </c>
      <c r="AJ3439" s="17">
        <v>0</v>
      </c>
      <c r="AK3439" s="153">
        <v>10</v>
      </c>
      <c r="AL3439" s="154">
        <v>10</v>
      </c>
      <c r="AM3439" s="17">
        <f t="shared" si="162"/>
        <v>20</v>
      </c>
      <c r="AN3439" t="s">
        <v>3643</v>
      </c>
      <c r="AO3439" s="18" t="s">
        <v>3630</v>
      </c>
      <c r="AP3439" t="s">
        <v>9640</v>
      </c>
    </row>
    <row r="3440" spans="1:42" customFormat="1" hidden="1" x14ac:dyDescent="0.3">
      <c r="A3440" s="148" t="s">
        <v>8319</v>
      </c>
      <c r="B3440" t="s">
        <v>8320</v>
      </c>
      <c r="C3440" s="148" t="s">
        <v>9410</v>
      </c>
      <c r="D3440" t="s">
        <v>9411</v>
      </c>
      <c r="E3440" s="148" t="s">
        <v>9412</v>
      </c>
      <c r="F3440" t="s">
        <v>9413</v>
      </c>
      <c r="G3440" s="148" t="s">
        <v>10008</v>
      </c>
      <c r="H3440" t="s">
        <v>10009</v>
      </c>
      <c r="K3440" s="148" t="s">
        <v>10010</v>
      </c>
      <c r="L3440" t="s">
        <v>10011</v>
      </c>
      <c r="M3440" t="s">
        <v>11264</v>
      </c>
      <c r="N3440" s="3"/>
      <c r="O3440" s="3">
        <v>3</v>
      </c>
      <c r="P3440" s="3">
        <v>3</v>
      </c>
      <c r="Q3440" s="3">
        <v>4</v>
      </c>
      <c r="R3440" s="3">
        <v>4</v>
      </c>
      <c r="S3440" s="3">
        <v>5</v>
      </c>
      <c r="T3440" t="s">
        <v>3643</v>
      </c>
      <c r="U3440" t="s">
        <v>3630</v>
      </c>
      <c r="V3440" t="s">
        <v>11265</v>
      </c>
      <c r="W3440" s="45">
        <v>0</v>
      </c>
      <c r="X3440" s="45">
        <v>0</v>
      </c>
      <c r="Y3440" s="45">
        <v>0</v>
      </c>
      <c r="Z3440" s="45">
        <v>0</v>
      </c>
      <c r="AA3440" s="45">
        <v>0</v>
      </c>
      <c r="AB3440" s="45">
        <v>0</v>
      </c>
      <c r="AC3440" s="150">
        <v>0</v>
      </c>
      <c r="AD3440" s="150">
        <v>0</v>
      </c>
      <c r="AE3440" s="49">
        <f t="shared" si="161"/>
        <v>0</v>
      </c>
      <c r="AF3440" s="17"/>
      <c r="AG3440" s="17">
        <v>0</v>
      </c>
      <c r="AH3440" s="17">
        <v>0</v>
      </c>
      <c r="AI3440" s="17">
        <v>0</v>
      </c>
      <c r="AJ3440" s="17">
        <v>0</v>
      </c>
      <c r="AK3440" s="153">
        <v>0</v>
      </c>
      <c r="AL3440" s="154">
        <v>0</v>
      </c>
      <c r="AM3440" s="17">
        <f t="shared" si="162"/>
        <v>0</v>
      </c>
      <c r="AN3440" t="s">
        <v>3643</v>
      </c>
      <c r="AO3440" s="18" t="s">
        <v>3630</v>
      </c>
      <c r="AP3440" t="s">
        <v>11266</v>
      </c>
    </row>
    <row r="3441" spans="1:42" customFormat="1" hidden="1" x14ac:dyDescent="0.3">
      <c r="A3441" s="148" t="s">
        <v>8319</v>
      </c>
      <c r="B3441" t="s">
        <v>8320</v>
      </c>
      <c r="C3441" s="148" t="s">
        <v>9410</v>
      </c>
      <c r="D3441" t="s">
        <v>9411</v>
      </c>
      <c r="E3441" s="148" t="s">
        <v>9412</v>
      </c>
      <c r="F3441" t="s">
        <v>9413</v>
      </c>
      <c r="G3441" s="148" t="s">
        <v>10008</v>
      </c>
      <c r="H3441" t="s">
        <v>10009</v>
      </c>
      <c r="K3441" s="148" t="s">
        <v>10010</v>
      </c>
      <c r="L3441" t="s">
        <v>10011</v>
      </c>
      <c r="M3441" t="s">
        <v>11267</v>
      </c>
      <c r="N3441" s="3">
        <v>28.1</v>
      </c>
      <c r="O3441" s="3">
        <v>30</v>
      </c>
      <c r="P3441" s="3">
        <v>35</v>
      </c>
      <c r="Q3441" s="3">
        <v>40</v>
      </c>
      <c r="R3441" s="3">
        <v>45</v>
      </c>
      <c r="S3441" s="3">
        <v>50</v>
      </c>
      <c r="T3441" t="s">
        <v>3643</v>
      </c>
      <c r="U3441" t="s">
        <v>3630</v>
      </c>
      <c r="V3441" t="s">
        <v>11268</v>
      </c>
      <c r="W3441" s="45">
        <v>0</v>
      </c>
      <c r="X3441" s="45">
        <v>0</v>
      </c>
      <c r="Y3441" s="45">
        <v>0</v>
      </c>
      <c r="Z3441" s="45">
        <v>0</v>
      </c>
      <c r="AA3441" s="45">
        <v>0</v>
      </c>
      <c r="AB3441" s="45">
        <v>0</v>
      </c>
      <c r="AC3441" s="150">
        <v>0</v>
      </c>
      <c r="AD3441" s="150">
        <v>0</v>
      </c>
      <c r="AE3441" s="49">
        <f t="shared" si="161"/>
        <v>0</v>
      </c>
      <c r="AF3441" s="17"/>
      <c r="AG3441" s="17">
        <v>0</v>
      </c>
      <c r="AH3441" s="17">
        <v>0</v>
      </c>
      <c r="AI3441" s="17">
        <v>0</v>
      </c>
      <c r="AJ3441" s="17">
        <v>0</v>
      </c>
      <c r="AK3441" s="153">
        <v>0</v>
      </c>
      <c r="AL3441" s="154">
        <v>0</v>
      </c>
      <c r="AM3441" s="17">
        <f t="shared" si="162"/>
        <v>0</v>
      </c>
      <c r="AN3441" t="s">
        <v>3643</v>
      </c>
      <c r="AO3441" s="18" t="s">
        <v>3630</v>
      </c>
      <c r="AP3441" t="s">
        <v>9807</v>
      </c>
    </row>
    <row r="3442" spans="1:42" customFormat="1" hidden="1" x14ac:dyDescent="0.3">
      <c r="A3442" s="148" t="s">
        <v>8319</v>
      </c>
      <c r="B3442" t="s">
        <v>8320</v>
      </c>
      <c r="C3442" s="148" t="s">
        <v>9410</v>
      </c>
      <c r="D3442" t="s">
        <v>9411</v>
      </c>
      <c r="E3442" s="148" t="s">
        <v>9412</v>
      </c>
      <c r="F3442" t="s">
        <v>9413</v>
      </c>
      <c r="G3442" s="148" t="s">
        <v>10008</v>
      </c>
      <c r="H3442" t="s">
        <v>10009</v>
      </c>
      <c r="K3442" s="148" t="s">
        <v>10010</v>
      </c>
      <c r="L3442" t="s">
        <v>10011</v>
      </c>
      <c r="M3442" t="s">
        <v>11269</v>
      </c>
      <c r="N3442" s="3">
        <v>35</v>
      </c>
      <c r="O3442" s="3">
        <v>39</v>
      </c>
      <c r="P3442" s="3">
        <v>42</v>
      </c>
      <c r="Q3442" s="3">
        <v>45</v>
      </c>
      <c r="R3442" s="3">
        <v>47</v>
      </c>
      <c r="S3442" s="3">
        <v>50</v>
      </c>
      <c r="T3442" t="s">
        <v>3643</v>
      </c>
      <c r="U3442" t="s">
        <v>3630</v>
      </c>
      <c r="V3442" t="s">
        <v>11270</v>
      </c>
      <c r="W3442" s="45">
        <v>0</v>
      </c>
      <c r="X3442" s="45">
        <v>0</v>
      </c>
      <c r="Y3442" s="45">
        <v>0</v>
      </c>
      <c r="Z3442" s="45">
        <v>0</v>
      </c>
      <c r="AA3442" s="45">
        <v>0</v>
      </c>
      <c r="AB3442" s="45">
        <v>0</v>
      </c>
      <c r="AC3442" s="150">
        <v>0</v>
      </c>
      <c r="AD3442" s="150">
        <v>0</v>
      </c>
      <c r="AE3442" s="49">
        <f t="shared" si="161"/>
        <v>0</v>
      </c>
      <c r="AF3442" s="17"/>
      <c r="AG3442" s="17">
        <v>0</v>
      </c>
      <c r="AH3442" s="17">
        <v>0</v>
      </c>
      <c r="AI3442" s="17">
        <v>0</v>
      </c>
      <c r="AJ3442" s="17">
        <v>0</v>
      </c>
      <c r="AK3442" s="153">
        <v>0</v>
      </c>
      <c r="AL3442" s="154">
        <v>0</v>
      </c>
      <c r="AM3442" s="17">
        <f t="shared" si="162"/>
        <v>0</v>
      </c>
      <c r="AN3442" t="s">
        <v>3643</v>
      </c>
      <c r="AO3442" s="18" t="s">
        <v>3630</v>
      </c>
      <c r="AP3442" t="s">
        <v>9807</v>
      </c>
    </row>
    <row r="3443" spans="1:42" customFormat="1" hidden="1" x14ac:dyDescent="0.3">
      <c r="A3443" s="148" t="s">
        <v>8319</v>
      </c>
      <c r="B3443" t="s">
        <v>8320</v>
      </c>
      <c r="C3443" s="148" t="s">
        <v>9410</v>
      </c>
      <c r="D3443" t="s">
        <v>9411</v>
      </c>
      <c r="E3443" s="148" t="s">
        <v>9412</v>
      </c>
      <c r="F3443" t="s">
        <v>9413</v>
      </c>
      <c r="G3443" s="148" t="s">
        <v>10008</v>
      </c>
      <c r="H3443" t="s">
        <v>10009</v>
      </c>
      <c r="K3443" s="148" t="s">
        <v>10010</v>
      </c>
      <c r="L3443" t="s">
        <v>10011</v>
      </c>
      <c r="M3443" t="s">
        <v>11271</v>
      </c>
      <c r="N3443" s="3">
        <v>28</v>
      </c>
      <c r="O3443" s="3">
        <v>24</v>
      </c>
      <c r="P3443" s="3">
        <v>20</v>
      </c>
      <c r="Q3443" s="3">
        <v>16</v>
      </c>
      <c r="R3443" s="3">
        <v>13</v>
      </c>
      <c r="S3443" s="3">
        <v>10</v>
      </c>
      <c r="T3443" t="s">
        <v>3643</v>
      </c>
      <c r="U3443" t="s">
        <v>3630</v>
      </c>
      <c r="V3443" t="s">
        <v>11272</v>
      </c>
      <c r="W3443" s="45">
        <v>0</v>
      </c>
      <c r="X3443" s="45">
        <v>0</v>
      </c>
      <c r="Y3443" s="45">
        <v>0</v>
      </c>
      <c r="Z3443" s="45">
        <v>0</v>
      </c>
      <c r="AA3443" s="45">
        <v>0</v>
      </c>
      <c r="AB3443" s="45">
        <v>0</v>
      </c>
      <c r="AC3443" s="150">
        <v>0</v>
      </c>
      <c r="AD3443" s="150">
        <v>0</v>
      </c>
      <c r="AE3443" s="49">
        <f t="shared" si="161"/>
        <v>0</v>
      </c>
      <c r="AF3443" s="17"/>
      <c r="AG3443" s="17">
        <v>0</v>
      </c>
      <c r="AH3443" s="17">
        <v>0</v>
      </c>
      <c r="AI3443" s="17">
        <v>0</v>
      </c>
      <c r="AJ3443" s="17">
        <v>0</v>
      </c>
      <c r="AK3443" s="153">
        <v>0</v>
      </c>
      <c r="AL3443" s="154">
        <v>0</v>
      </c>
      <c r="AM3443" s="17">
        <f t="shared" si="162"/>
        <v>0</v>
      </c>
      <c r="AN3443" t="s">
        <v>3643</v>
      </c>
      <c r="AO3443" s="18" t="s">
        <v>3630</v>
      </c>
      <c r="AP3443" t="s">
        <v>1893</v>
      </c>
    </row>
    <row r="3444" spans="1:42" customFormat="1" hidden="1" x14ac:dyDescent="0.3">
      <c r="A3444" s="148" t="s">
        <v>8319</v>
      </c>
      <c r="B3444" t="s">
        <v>8320</v>
      </c>
      <c r="C3444" s="148" t="s">
        <v>9410</v>
      </c>
      <c r="D3444" t="s">
        <v>9411</v>
      </c>
      <c r="E3444" s="148" t="s">
        <v>9412</v>
      </c>
      <c r="F3444" t="s">
        <v>9413</v>
      </c>
      <c r="G3444" s="148" t="s">
        <v>9814</v>
      </c>
      <c r="H3444" t="s">
        <v>9815</v>
      </c>
      <c r="K3444" s="148" t="s">
        <v>9816</v>
      </c>
      <c r="L3444" t="s">
        <v>9817</v>
      </c>
      <c r="M3444" t="s">
        <v>11273</v>
      </c>
      <c r="N3444" s="3"/>
      <c r="O3444" s="3">
        <v>0</v>
      </c>
      <c r="P3444" s="3">
        <v>1</v>
      </c>
      <c r="Q3444" s="3">
        <v>0</v>
      </c>
      <c r="R3444" s="3">
        <v>0</v>
      </c>
      <c r="S3444" s="3">
        <v>0</v>
      </c>
      <c r="T3444" t="s">
        <v>11274</v>
      </c>
      <c r="U3444" t="e">
        <v>#N/A</v>
      </c>
      <c r="V3444" t="s">
        <v>11275</v>
      </c>
      <c r="W3444" s="45">
        <v>0</v>
      </c>
      <c r="X3444" s="45">
        <v>0</v>
      </c>
      <c r="Y3444" s="45">
        <v>0</v>
      </c>
      <c r="Z3444" s="45">
        <v>0</v>
      </c>
      <c r="AA3444" s="45">
        <v>0</v>
      </c>
      <c r="AB3444" s="45">
        <v>0</v>
      </c>
      <c r="AC3444" s="150">
        <v>0</v>
      </c>
      <c r="AD3444" s="150">
        <v>0</v>
      </c>
      <c r="AE3444" s="49">
        <f t="shared" si="161"/>
        <v>0</v>
      </c>
      <c r="AF3444" s="17"/>
      <c r="AG3444" s="17">
        <v>0</v>
      </c>
      <c r="AH3444" s="17">
        <v>0</v>
      </c>
      <c r="AI3444" s="17">
        <v>0</v>
      </c>
      <c r="AJ3444" s="17">
        <v>0</v>
      </c>
      <c r="AK3444" s="153">
        <v>1</v>
      </c>
      <c r="AL3444" s="154">
        <v>1</v>
      </c>
      <c r="AM3444" s="17">
        <f t="shared" si="162"/>
        <v>2</v>
      </c>
      <c r="AN3444" s="1" t="s">
        <v>921</v>
      </c>
      <c r="AO3444" s="18" t="s">
        <v>880</v>
      </c>
      <c r="AP3444" t="s">
        <v>3643</v>
      </c>
    </row>
    <row r="3445" spans="1:42" customFormat="1" hidden="1" x14ac:dyDescent="0.3">
      <c r="A3445" s="148" t="s">
        <v>8319</v>
      </c>
      <c r="B3445" t="s">
        <v>8320</v>
      </c>
      <c r="C3445" s="148" t="s">
        <v>9410</v>
      </c>
      <c r="D3445" t="s">
        <v>9411</v>
      </c>
      <c r="E3445" s="148" t="s">
        <v>9412</v>
      </c>
      <c r="F3445" t="s">
        <v>9413</v>
      </c>
      <c r="G3445" s="148" t="s">
        <v>9814</v>
      </c>
      <c r="H3445" t="s">
        <v>9815</v>
      </c>
      <c r="K3445" s="148" t="s">
        <v>9816</v>
      </c>
      <c r="L3445" t="s">
        <v>9817</v>
      </c>
      <c r="M3445" t="s">
        <v>11276</v>
      </c>
      <c r="N3445" s="3"/>
      <c r="O3445" s="3">
        <v>0</v>
      </c>
      <c r="P3445" s="3">
        <v>1</v>
      </c>
      <c r="Q3445" s="3">
        <v>0</v>
      </c>
      <c r="R3445" s="3">
        <v>0</v>
      </c>
      <c r="S3445" s="3">
        <v>0</v>
      </c>
      <c r="T3445" t="s">
        <v>11274</v>
      </c>
      <c r="U3445" t="e">
        <v>#N/A</v>
      </c>
      <c r="V3445" t="s">
        <v>11277</v>
      </c>
      <c r="W3445" s="45">
        <v>0</v>
      </c>
      <c r="X3445" s="45">
        <v>0</v>
      </c>
      <c r="Y3445" s="45">
        <v>0</v>
      </c>
      <c r="Z3445" s="45">
        <v>0</v>
      </c>
      <c r="AA3445" s="45">
        <v>0</v>
      </c>
      <c r="AB3445" s="45">
        <v>0</v>
      </c>
      <c r="AC3445" s="150">
        <v>0</v>
      </c>
      <c r="AD3445" s="150">
        <v>0</v>
      </c>
      <c r="AE3445" s="49">
        <f t="shared" si="161"/>
        <v>0</v>
      </c>
      <c r="AF3445" s="17"/>
      <c r="AG3445" s="17">
        <v>0</v>
      </c>
      <c r="AH3445" s="17">
        <v>0</v>
      </c>
      <c r="AI3445" s="17">
        <v>0</v>
      </c>
      <c r="AJ3445" s="17">
        <v>0</v>
      </c>
      <c r="AK3445" s="153">
        <v>6</v>
      </c>
      <c r="AL3445" s="154">
        <v>6</v>
      </c>
      <c r="AM3445" s="17">
        <f t="shared" si="162"/>
        <v>12</v>
      </c>
      <c r="AN3445" s="1" t="s">
        <v>921</v>
      </c>
      <c r="AO3445" s="18" t="s">
        <v>880</v>
      </c>
      <c r="AP3445" t="s">
        <v>3643</v>
      </c>
    </row>
    <row r="3446" spans="1:42" customFormat="1" hidden="1" x14ac:dyDescent="0.3">
      <c r="A3446" s="148" t="s">
        <v>8319</v>
      </c>
      <c r="B3446" t="s">
        <v>8320</v>
      </c>
      <c r="C3446" s="148" t="s">
        <v>9410</v>
      </c>
      <c r="D3446" t="s">
        <v>9411</v>
      </c>
      <c r="E3446" s="148" t="s">
        <v>9412</v>
      </c>
      <c r="F3446" t="s">
        <v>9413</v>
      </c>
      <c r="G3446" s="148" t="s">
        <v>9814</v>
      </c>
      <c r="H3446" t="s">
        <v>9815</v>
      </c>
      <c r="K3446" s="148" t="s">
        <v>9816</v>
      </c>
      <c r="L3446" t="s">
        <v>9817</v>
      </c>
      <c r="N3446" s="3"/>
      <c r="O3446" s="3"/>
      <c r="P3446" s="3"/>
      <c r="Q3446" s="3"/>
      <c r="R3446" s="3"/>
      <c r="S3446" s="3"/>
      <c r="U3446" t="e">
        <v>#N/A</v>
      </c>
      <c r="V3446" t="s">
        <v>11278</v>
      </c>
      <c r="W3446" s="45">
        <v>0</v>
      </c>
      <c r="X3446" s="45">
        <v>0</v>
      </c>
      <c r="Y3446" s="45">
        <v>0</v>
      </c>
      <c r="Z3446" s="45">
        <v>0</v>
      </c>
      <c r="AA3446" s="45">
        <v>0</v>
      </c>
      <c r="AB3446" s="45">
        <v>0</v>
      </c>
      <c r="AC3446" s="150">
        <v>0</v>
      </c>
      <c r="AD3446" s="150">
        <v>0</v>
      </c>
      <c r="AE3446" s="49">
        <f t="shared" si="161"/>
        <v>0</v>
      </c>
      <c r="AF3446" s="17"/>
      <c r="AG3446" s="17">
        <v>0</v>
      </c>
      <c r="AH3446" s="17">
        <v>0</v>
      </c>
      <c r="AI3446" s="17">
        <v>0</v>
      </c>
      <c r="AJ3446" s="17">
        <v>0</v>
      </c>
      <c r="AK3446" s="153">
        <v>0</v>
      </c>
      <c r="AL3446" s="154">
        <v>0</v>
      </c>
      <c r="AM3446" s="17">
        <f t="shared" si="162"/>
        <v>0</v>
      </c>
      <c r="AN3446" s="44" t="s">
        <v>3643</v>
      </c>
      <c r="AO3446" s="18" t="s">
        <v>3630</v>
      </c>
      <c r="AP3446" t="s">
        <v>1536</v>
      </c>
    </row>
    <row r="3447" spans="1:42" customFormat="1" hidden="1" x14ac:dyDescent="0.3">
      <c r="A3447" s="148" t="s">
        <v>8319</v>
      </c>
      <c r="B3447" t="s">
        <v>8320</v>
      </c>
      <c r="C3447" s="148" t="s">
        <v>9410</v>
      </c>
      <c r="D3447" t="s">
        <v>9411</v>
      </c>
      <c r="E3447" s="148" t="s">
        <v>9412</v>
      </c>
      <c r="F3447" t="s">
        <v>9413</v>
      </c>
      <c r="G3447" s="148" t="s">
        <v>9814</v>
      </c>
      <c r="H3447" t="s">
        <v>9815</v>
      </c>
      <c r="K3447" s="148" t="s">
        <v>9816</v>
      </c>
      <c r="L3447" t="s">
        <v>9817</v>
      </c>
      <c r="N3447" s="3"/>
      <c r="O3447" s="3"/>
      <c r="P3447" s="3"/>
      <c r="Q3447" s="3"/>
      <c r="R3447" s="3"/>
      <c r="S3447" s="3"/>
      <c r="U3447" t="e">
        <v>#N/A</v>
      </c>
      <c r="V3447" t="s">
        <v>11279</v>
      </c>
      <c r="W3447" s="45">
        <v>0</v>
      </c>
      <c r="X3447" s="45">
        <v>0</v>
      </c>
      <c r="Y3447" s="45">
        <v>0</v>
      </c>
      <c r="Z3447" s="45">
        <v>0</v>
      </c>
      <c r="AA3447" s="45">
        <v>0</v>
      </c>
      <c r="AB3447" s="45">
        <v>0</v>
      </c>
      <c r="AC3447" s="150">
        <v>0</v>
      </c>
      <c r="AD3447" s="150">
        <v>0</v>
      </c>
      <c r="AE3447" s="49">
        <f t="shared" si="161"/>
        <v>0</v>
      </c>
      <c r="AF3447" s="44"/>
      <c r="AG3447" s="17">
        <v>0</v>
      </c>
      <c r="AH3447" s="44" t="s">
        <v>271</v>
      </c>
      <c r="AI3447" s="44" t="s">
        <v>271</v>
      </c>
      <c r="AJ3447" s="44" t="s">
        <v>271</v>
      </c>
      <c r="AK3447" s="151" t="s">
        <v>271</v>
      </c>
      <c r="AL3447" s="151" t="s">
        <v>271</v>
      </c>
      <c r="AM3447" s="17">
        <f t="shared" si="162"/>
        <v>0</v>
      </c>
      <c r="AN3447" s="44" t="s">
        <v>3643</v>
      </c>
      <c r="AO3447" s="18" t="s">
        <v>3630</v>
      </c>
      <c r="AP3447" t="s">
        <v>1536</v>
      </c>
    </row>
    <row r="3448" spans="1:42" customFormat="1" hidden="1" x14ac:dyDescent="0.3">
      <c r="A3448" s="148" t="s">
        <v>8319</v>
      </c>
      <c r="B3448" t="s">
        <v>8320</v>
      </c>
      <c r="C3448" s="148" t="s">
        <v>9410</v>
      </c>
      <c r="D3448" t="s">
        <v>9411</v>
      </c>
      <c r="E3448" s="148" t="s">
        <v>9412</v>
      </c>
      <c r="F3448" t="s">
        <v>9413</v>
      </c>
      <c r="G3448" s="148" t="s">
        <v>9814</v>
      </c>
      <c r="H3448" t="s">
        <v>9815</v>
      </c>
      <c r="K3448" s="148" t="s">
        <v>11280</v>
      </c>
      <c r="L3448" t="s">
        <v>11281</v>
      </c>
      <c r="M3448" t="s">
        <v>11282</v>
      </c>
      <c r="N3448" s="3"/>
      <c r="O3448" s="3">
        <v>0</v>
      </c>
      <c r="P3448" s="3">
        <v>1</v>
      </c>
      <c r="Q3448" s="3">
        <v>1</v>
      </c>
      <c r="R3448" s="3">
        <v>1</v>
      </c>
      <c r="S3448" s="3">
        <v>1</v>
      </c>
      <c r="T3448" t="s">
        <v>11283</v>
      </c>
      <c r="U3448" t="e">
        <v>#N/A</v>
      </c>
      <c r="V3448" t="s">
        <v>11284</v>
      </c>
      <c r="W3448" s="45">
        <v>0</v>
      </c>
      <c r="X3448" s="45">
        <v>0</v>
      </c>
      <c r="Y3448" s="45">
        <v>0</v>
      </c>
      <c r="Z3448" s="45">
        <v>0</v>
      </c>
      <c r="AA3448" s="45">
        <v>0</v>
      </c>
      <c r="AB3448" s="45">
        <v>0</v>
      </c>
      <c r="AC3448" s="150">
        <v>0</v>
      </c>
      <c r="AD3448" s="150">
        <v>0</v>
      </c>
      <c r="AE3448" s="49">
        <f t="shared" si="161"/>
        <v>0</v>
      </c>
      <c r="AF3448" s="44"/>
      <c r="AG3448" s="17">
        <v>0</v>
      </c>
      <c r="AH3448" s="44">
        <v>0</v>
      </c>
      <c r="AI3448" s="44">
        <v>0</v>
      </c>
      <c r="AJ3448" s="44">
        <v>0</v>
      </c>
      <c r="AK3448" s="151">
        <v>0</v>
      </c>
      <c r="AL3448" s="151">
        <v>0</v>
      </c>
      <c r="AM3448" s="17">
        <f t="shared" si="162"/>
        <v>0</v>
      </c>
      <c r="AN3448" s="1" t="s">
        <v>921</v>
      </c>
      <c r="AO3448" s="18" t="s">
        <v>880</v>
      </c>
      <c r="AP3448" t="s">
        <v>11285</v>
      </c>
    </row>
    <row r="3449" spans="1:42" customFormat="1" hidden="1" x14ac:dyDescent="0.3">
      <c r="A3449" s="148" t="s">
        <v>8319</v>
      </c>
      <c r="B3449" t="s">
        <v>8320</v>
      </c>
      <c r="C3449" s="148" t="s">
        <v>9410</v>
      </c>
      <c r="D3449" t="s">
        <v>9411</v>
      </c>
      <c r="E3449" s="148" t="s">
        <v>9412</v>
      </c>
      <c r="F3449" t="s">
        <v>9413</v>
      </c>
      <c r="G3449" s="148" t="s">
        <v>9814</v>
      </c>
      <c r="H3449" t="s">
        <v>9815</v>
      </c>
      <c r="K3449" s="148" t="s">
        <v>11286</v>
      </c>
      <c r="L3449" t="s">
        <v>11287</v>
      </c>
      <c r="M3449" t="s">
        <v>11288</v>
      </c>
      <c r="N3449" s="3"/>
      <c r="O3449" s="3">
        <v>0</v>
      </c>
      <c r="P3449" s="3">
        <v>0</v>
      </c>
      <c r="Q3449" s="3">
        <v>0</v>
      </c>
      <c r="R3449" s="3">
        <v>1</v>
      </c>
      <c r="S3449" s="3">
        <v>1</v>
      </c>
      <c r="T3449" t="s">
        <v>11289</v>
      </c>
      <c r="U3449" t="e">
        <v>#N/A</v>
      </c>
      <c r="V3449" t="s">
        <v>11290</v>
      </c>
      <c r="W3449" s="45">
        <v>0</v>
      </c>
      <c r="X3449" s="45">
        <v>0</v>
      </c>
      <c r="Y3449" s="45">
        <v>0</v>
      </c>
      <c r="Z3449" s="45">
        <v>0</v>
      </c>
      <c r="AA3449" s="45">
        <v>0</v>
      </c>
      <c r="AB3449" s="45">
        <v>0</v>
      </c>
      <c r="AC3449" s="150">
        <v>0</v>
      </c>
      <c r="AD3449" s="150">
        <v>0</v>
      </c>
      <c r="AE3449" s="49">
        <f t="shared" si="161"/>
        <v>0</v>
      </c>
      <c r="AF3449" s="44"/>
      <c r="AG3449" s="17">
        <v>0</v>
      </c>
      <c r="AH3449" s="44">
        <v>0</v>
      </c>
      <c r="AI3449" s="44">
        <v>0</v>
      </c>
      <c r="AJ3449" s="44">
        <v>0</v>
      </c>
      <c r="AK3449" s="151">
        <v>0</v>
      </c>
      <c r="AL3449" s="151">
        <v>0</v>
      </c>
      <c r="AM3449" s="17">
        <f t="shared" si="162"/>
        <v>0</v>
      </c>
      <c r="AN3449" s="1" t="s">
        <v>921</v>
      </c>
      <c r="AO3449" s="18" t="s">
        <v>880</v>
      </c>
      <c r="AP3449" t="s">
        <v>3643</v>
      </c>
    </row>
    <row r="3450" spans="1:42" customFormat="1" hidden="1" x14ac:dyDescent="0.3">
      <c r="A3450" s="148" t="s">
        <v>8319</v>
      </c>
      <c r="B3450" t="s">
        <v>8320</v>
      </c>
      <c r="C3450" s="148" t="s">
        <v>9410</v>
      </c>
      <c r="D3450" t="s">
        <v>9411</v>
      </c>
      <c r="E3450" s="148" t="s">
        <v>9412</v>
      </c>
      <c r="F3450" t="s">
        <v>9413</v>
      </c>
      <c r="G3450" s="148" t="s">
        <v>9814</v>
      </c>
      <c r="H3450" t="s">
        <v>9815</v>
      </c>
      <c r="K3450" s="148" t="s">
        <v>11291</v>
      </c>
      <c r="L3450" t="s">
        <v>11292</v>
      </c>
      <c r="M3450" t="s">
        <v>11293</v>
      </c>
      <c r="N3450" s="3"/>
      <c r="O3450" s="3">
        <v>0</v>
      </c>
      <c r="P3450" s="3" t="s">
        <v>11294</v>
      </c>
      <c r="Q3450" s="3" t="s">
        <v>11294</v>
      </c>
      <c r="R3450" s="3" t="s">
        <v>11294</v>
      </c>
      <c r="S3450" s="3" t="s">
        <v>11294</v>
      </c>
      <c r="T3450" t="s">
        <v>11289</v>
      </c>
      <c r="U3450" t="e">
        <v>#N/A</v>
      </c>
      <c r="V3450" t="s">
        <v>11295</v>
      </c>
      <c r="W3450" s="45">
        <v>0</v>
      </c>
      <c r="X3450" s="45">
        <v>0</v>
      </c>
      <c r="Y3450" s="45">
        <v>0</v>
      </c>
      <c r="Z3450" s="45">
        <v>0</v>
      </c>
      <c r="AA3450" s="45">
        <v>0</v>
      </c>
      <c r="AB3450" s="45">
        <v>0</v>
      </c>
      <c r="AC3450" s="150">
        <v>0</v>
      </c>
      <c r="AD3450" s="150">
        <v>0</v>
      </c>
      <c r="AE3450" s="49">
        <f t="shared" si="161"/>
        <v>0</v>
      </c>
      <c r="AF3450" s="44"/>
      <c r="AG3450" s="17">
        <v>0</v>
      </c>
      <c r="AH3450" s="44">
        <v>0</v>
      </c>
      <c r="AI3450" s="44">
        <v>0.72</v>
      </c>
      <c r="AJ3450" s="44">
        <v>0.72</v>
      </c>
      <c r="AK3450" s="151">
        <v>0.72</v>
      </c>
      <c r="AL3450" s="151">
        <v>0.72</v>
      </c>
      <c r="AM3450" s="17">
        <f t="shared" si="162"/>
        <v>1.44</v>
      </c>
      <c r="AN3450" s="1" t="s">
        <v>3643</v>
      </c>
      <c r="AO3450" s="18" t="s">
        <v>3630</v>
      </c>
      <c r="AP3450" t="s">
        <v>921</v>
      </c>
    </row>
    <row r="3451" spans="1:42" customFormat="1" hidden="1" x14ac:dyDescent="0.3">
      <c r="A3451" s="148" t="s">
        <v>8319</v>
      </c>
      <c r="B3451" t="s">
        <v>8320</v>
      </c>
      <c r="C3451" s="148" t="s">
        <v>9410</v>
      </c>
      <c r="D3451" t="s">
        <v>9411</v>
      </c>
      <c r="E3451" s="148" t="s">
        <v>9412</v>
      </c>
      <c r="F3451" t="s">
        <v>9413</v>
      </c>
      <c r="G3451" s="148" t="s">
        <v>9471</v>
      </c>
      <c r="H3451" t="s">
        <v>9472</v>
      </c>
      <c r="K3451" s="148" t="s">
        <v>9473</v>
      </c>
      <c r="L3451" t="s">
        <v>9474</v>
      </c>
      <c r="M3451" t="s">
        <v>11296</v>
      </c>
      <c r="N3451" s="3"/>
      <c r="O3451" s="3">
        <v>1</v>
      </c>
      <c r="P3451" s="3">
        <v>1</v>
      </c>
      <c r="Q3451" s="3">
        <v>1</v>
      </c>
      <c r="R3451" s="3">
        <v>1</v>
      </c>
      <c r="S3451" s="3">
        <v>1</v>
      </c>
      <c r="T3451" t="s">
        <v>11297</v>
      </c>
      <c r="U3451" t="e">
        <v>#N/A</v>
      </c>
      <c r="V3451" t="s">
        <v>11298</v>
      </c>
      <c r="W3451" s="45">
        <v>0</v>
      </c>
      <c r="X3451" s="45">
        <v>0</v>
      </c>
      <c r="Y3451" s="45">
        <v>0</v>
      </c>
      <c r="Z3451" s="45">
        <v>0</v>
      </c>
      <c r="AA3451" s="45">
        <v>0</v>
      </c>
      <c r="AB3451" s="45">
        <v>0</v>
      </c>
      <c r="AC3451" s="150">
        <v>0</v>
      </c>
      <c r="AD3451" s="150">
        <v>0</v>
      </c>
      <c r="AE3451" s="49">
        <f t="shared" si="161"/>
        <v>0</v>
      </c>
      <c r="AF3451" s="17"/>
      <c r="AG3451" s="17">
        <v>0</v>
      </c>
      <c r="AH3451" s="17">
        <v>0</v>
      </c>
      <c r="AI3451" s="17">
        <v>0</v>
      </c>
      <c r="AJ3451" s="17">
        <v>0</v>
      </c>
      <c r="AK3451" s="153">
        <v>0</v>
      </c>
      <c r="AL3451" s="154">
        <v>0</v>
      </c>
      <c r="AM3451" s="17">
        <f t="shared" si="162"/>
        <v>0</v>
      </c>
      <c r="AN3451" s="1" t="s">
        <v>3643</v>
      </c>
      <c r="AO3451" s="18" t="s">
        <v>3630</v>
      </c>
      <c r="AP3451" t="s">
        <v>11299</v>
      </c>
    </row>
    <row r="3452" spans="1:42" customFormat="1" hidden="1" x14ac:dyDescent="0.3">
      <c r="A3452" s="148" t="s">
        <v>8319</v>
      </c>
      <c r="B3452" t="s">
        <v>8320</v>
      </c>
      <c r="C3452" s="148" t="s">
        <v>9410</v>
      </c>
      <c r="D3452" t="s">
        <v>9411</v>
      </c>
      <c r="E3452" s="148" t="s">
        <v>9412</v>
      </c>
      <c r="F3452" t="s">
        <v>9413</v>
      </c>
      <c r="G3452" s="148" t="s">
        <v>9471</v>
      </c>
      <c r="H3452" t="s">
        <v>9472</v>
      </c>
      <c r="K3452" s="148" t="s">
        <v>9473</v>
      </c>
      <c r="L3452" t="s">
        <v>9474</v>
      </c>
      <c r="M3452" t="s">
        <v>11300</v>
      </c>
      <c r="N3452" s="3"/>
      <c r="O3452" s="3">
        <v>5</v>
      </c>
      <c r="P3452" s="3">
        <v>10</v>
      </c>
      <c r="Q3452" s="3">
        <v>15</v>
      </c>
      <c r="R3452" s="3">
        <v>20</v>
      </c>
      <c r="S3452" s="3">
        <v>25</v>
      </c>
      <c r="T3452" t="s">
        <v>11301</v>
      </c>
      <c r="U3452" t="e">
        <v>#N/A</v>
      </c>
      <c r="V3452" t="s">
        <v>11302</v>
      </c>
      <c r="W3452" s="45">
        <v>0</v>
      </c>
      <c r="X3452" s="45">
        <v>0</v>
      </c>
      <c r="Y3452" s="45">
        <v>0</v>
      </c>
      <c r="Z3452" s="45">
        <v>0</v>
      </c>
      <c r="AA3452" s="45">
        <v>0</v>
      </c>
      <c r="AB3452" s="45">
        <v>0</v>
      </c>
      <c r="AC3452" s="150">
        <v>0</v>
      </c>
      <c r="AD3452" s="150">
        <v>0</v>
      </c>
      <c r="AE3452" s="49">
        <f t="shared" si="161"/>
        <v>0</v>
      </c>
      <c r="AF3452" s="17"/>
      <c r="AG3452" s="17">
        <v>0</v>
      </c>
      <c r="AH3452" s="17">
        <v>0</v>
      </c>
      <c r="AI3452" s="17">
        <v>0</v>
      </c>
      <c r="AJ3452" s="17">
        <v>0</v>
      </c>
      <c r="AK3452" s="153">
        <v>0</v>
      </c>
      <c r="AL3452" s="154">
        <v>0</v>
      </c>
      <c r="AM3452" s="17">
        <f t="shared" si="162"/>
        <v>0</v>
      </c>
      <c r="AN3452" t="s">
        <v>101</v>
      </c>
      <c r="AO3452" s="18" t="s">
        <v>103</v>
      </c>
      <c r="AP3452" s="44" t="s">
        <v>9738</v>
      </c>
    </row>
    <row r="3453" spans="1:42" customFormat="1" hidden="1" x14ac:dyDescent="0.3">
      <c r="A3453" s="148" t="s">
        <v>8319</v>
      </c>
      <c r="B3453" t="s">
        <v>8320</v>
      </c>
      <c r="C3453" s="148" t="s">
        <v>9410</v>
      </c>
      <c r="D3453" t="s">
        <v>9411</v>
      </c>
      <c r="E3453" s="148" t="s">
        <v>9412</v>
      </c>
      <c r="F3453" t="s">
        <v>9413</v>
      </c>
      <c r="G3453" s="148" t="s">
        <v>9471</v>
      </c>
      <c r="H3453" t="s">
        <v>9472</v>
      </c>
      <c r="K3453" s="148" t="s">
        <v>9473</v>
      </c>
      <c r="L3453" t="s">
        <v>9474</v>
      </c>
      <c r="M3453" t="s">
        <v>11303</v>
      </c>
      <c r="N3453" s="3">
        <v>5</v>
      </c>
      <c r="O3453" s="3">
        <v>10</v>
      </c>
      <c r="P3453" s="3">
        <v>10</v>
      </c>
      <c r="Q3453" s="3">
        <v>10</v>
      </c>
      <c r="R3453" s="3">
        <v>10</v>
      </c>
      <c r="S3453" s="3">
        <v>10</v>
      </c>
      <c r="T3453" t="s">
        <v>3643</v>
      </c>
      <c r="U3453" t="s">
        <v>3630</v>
      </c>
      <c r="V3453" t="s">
        <v>11304</v>
      </c>
      <c r="W3453" s="45">
        <v>0</v>
      </c>
      <c r="X3453" s="45">
        <v>0</v>
      </c>
      <c r="Y3453" s="45">
        <v>0</v>
      </c>
      <c r="Z3453" s="45">
        <v>0</v>
      </c>
      <c r="AA3453" s="45">
        <v>0</v>
      </c>
      <c r="AB3453" s="45">
        <v>0</v>
      </c>
      <c r="AC3453" s="150">
        <v>0</v>
      </c>
      <c r="AD3453" s="150">
        <v>0</v>
      </c>
      <c r="AE3453" s="49">
        <f t="shared" si="161"/>
        <v>0</v>
      </c>
      <c r="AF3453" s="17"/>
      <c r="AG3453" s="17">
        <v>0</v>
      </c>
      <c r="AH3453" s="17">
        <v>0</v>
      </c>
      <c r="AI3453" s="17">
        <v>0</v>
      </c>
      <c r="AJ3453" s="17">
        <v>0</v>
      </c>
      <c r="AK3453" s="153">
        <v>0</v>
      </c>
      <c r="AL3453" s="154">
        <v>0</v>
      </c>
      <c r="AM3453" s="17">
        <f t="shared" si="162"/>
        <v>0</v>
      </c>
      <c r="AN3453" t="s">
        <v>3643</v>
      </c>
      <c r="AO3453" s="18" t="s">
        <v>3630</v>
      </c>
      <c r="AP3453" t="s">
        <v>11305</v>
      </c>
    </row>
    <row r="3454" spans="1:42" customFormat="1" hidden="1" x14ac:dyDescent="0.3">
      <c r="A3454" s="148" t="s">
        <v>8319</v>
      </c>
      <c r="B3454" t="s">
        <v>8320</v>
      </c>
      <c r="C3454" s="148" t="s">
        <v>9410</v>
      </c>
      <c r="D3454" t="s">
        <v>9411</v>
      </c>
      <c r="E3454" s="148" t="s">
        <v>9412</v>
      </c>
      <c r="F3454" t="s">
        <v>9413</v>
      </c>
      <c r="G3454" s="148" t="s">
        <v>9471</v>
      </c>
      <c r="H3454" t="s">
        <v>9472</v>
      </c>
      <c r="K3454" s="148" t="s">
        <v>11306</v>
      </c>
      <c r="L3454" t="s">
        <v>11307</v>
      </c>
      <c r="M3454" t="s">
        <v>11308</v>
      </c>
      <c r="N3454" s="3" t="s">
        <v>11309</v>
      </c>
      <c r="O3454" s="3">
        <v>4</v>
      </c>
      <c r="P3454" s="3">
        <v>4</v>
      </c>
      <c r="Q3454" s="3">
        <v>4</v>
      </c>
      <c r="R3454" s="3">
        <v>4</v>
      </c>
      <c r="S3454" s="3">
        <v>4</v>
      </c>
      <c r="T3454" t="s">
        <v>11310</v>
      </c>
      <c r="U3454" t="e">
        <v>#N/A</v>
      </c>
      <c r="V3454" t="s">
        <v>11311</v>
      </c>
      <c r="W3454" s="45">
        <v>0</v>
      </c>
      <c r="X3454" s="45">
        <v>0</v>
      </c>
      <c r="Y3454" s="45">
        <v>0</v>
      </c>
      <c r="Z3454" s="45">
        <v>0</v>
      </c>
      <c r="AA3454" s="45">
        <v>0</v>
      </c>
      <c r="AB3454" s="45">
        <v>0</v>
      </c>
      <c r="AC3454" s="150">
        <v>0</v>
      </c>
      <c r="AD3454" s="150">
        <v>0</v>
      </c>
      <c r="AE3454" s="49">
        <f t="shared" si="161"/>
        <v>0</v>
      </c>
      <c r="AF3454" s="17"/>
      <c r="AG3454" s="17">
        <v>0</v>
      </c>
      <c r="AH3454" s="17">
        <v>0</v>
      </c>
      <c r="AI3454" s="17">
        <v>0</v>
      </c>
      <c r="AJ3454" s="17">
        <v>0</v>
      </c>
      <c r="AK3454" s="153">
        <v>0</v>
      </c>
      <c r="AL3454" s="154">
        <v>0</v>
      </c>
      <c r="AM3454" s="17">
        <f t="shared" si="162"/>
        <v>0</v>
      </c>
      <c r="AN3454" t="s">
        <v>3643</v>
      </c>
      <c r="AO3454" s="18" t="s">
        <v>3630</v>
      </c>
      <c r="AP3454" t="s">
        <v>9807</v>
      </c>
    </row>
    <row r="3455" spans="1:42" customFormat="1" hidden="1" x14ac:dyDescent="0.3">
      <c r="A3455" s="148" t="s">
        <v>8319</v>
      </c>
      <c r="B3455" t="s">
        <v>8320</v>
      </c>
      <c r="C3455" s="148" t="s">
        <v>9410</v>
      </c>
      <c r="D3455" t="s">
        <v>9411</v>
      </c>
      <c r="E3455" s="148" t="s">
        <v>9412</v>
      </c>
      <c r="F3455" t="s">
        <v>9413</v>
      </c>
      <c r="G3455" s="148" t="s">
        <v>9820</v>
      </c>
      <c r="H3455" t="s">
        <v>9821</v>
      </c>
      <c r="K3455" s="148" t="s">
        <v>11312</v>
      </c>
      <c r="L3455" t="s">
        <v>11313</v>
      </c>
      <c r="M3455" t="s">
        <v>11314</v>
      </c>
      <c r="N3455" s="3" t="s">
        <v>7022</v>
      </c>
      <c r="O3455" s="3">
        <v>1</v>
      </c>
      <c r="P3455" s="3">
        <v>0</v>
      </c>
      <c r="Q3455" s="3">
        <v>0</v>
      </c>
      <c r="R3455" s="3">
        <v>0</v>
      </c>
      <c r="S3455" s="3">
        <v>0</v>
      </c>
      <c r="T3455" t="s">
        <v>3643</v>
      </c>
      <c r="U3455" t="s">
        <v>3630</v>
      </c>
      <c r="V3455" t="s">
        <v>11315</v>
      </c>
      <c r="W3455" s="45">
        <v>0</v>
      </c>
      <c r="X3455" s="45">
        <v>0</v>
      </c>
      <c r="Y3455" s="45">
        <v>0</v>
      </c>
      <c r="Z3455" s="45">
        <v>0</v>
      </c>
      <c r="AA3455" s="45">
        <v>0</v>
      </c>
      <c r="AB3455" s="45">
        <v>0</v>
      </c>
      <c r="AC3455" s="150">
        <v>0</v>
      </c>
      <c r="AD3455" s="150">
        <v>0</v>
      </c>
      <c r="AE3455" s="49">
        <f t="shared" si="161"/>
        <v>0</v>
      </c>
      <c r="AF3455" s="44"/>
      <c r="AG3455" s="17">
        <v>0</v>
      </c>
      <c r="AH3455" s="44">
        <v>0.05</v>
      </c>
      <c r="AI3455" s="44">
        <v>0</v>
      </c>
      <c r="AJ3455" s="44">
        <v>0</v>
      </c>
      <c r="AK3455" s="151">
        <v>8</v>
      </c>
      <c r="AL3455" s="151">
        <v>0</v>
      </c>
      <c r="AM3455" s="17">
        <f t="shared" si="162"/>
        <v>8</v>
      </c>
      <c r="AN3455" t="s">
        <v>3643</v>
      </c>
      <c r="AO3455" s="18" t="s">
        <v>3630</v>
      </c>
      <c r="AP3455" t="s">
        <v>11316</v>
      </c>
    </row>
    <row r="3456" spans="1:42" customFormat="1" hidden="1" x14ac:dyDescent="0.3">
      <c r="A3456" s="148" t="s">
        <v>8319</v>
      </c>
      <c r="B3456" t="s">
        <v>8320</v>
      </c>
      <c r="C3456" s="148" t="s">
        <v>9410</v>
      </c>
      <c r="D3456" t="s">
        <v>9411</v>
      </c>
      <c r="E3456" s="148" t="s">
        <v>9412</v>
      </c>
      <c r="F3456" t="s">
        <v>9413</v>
      </c>
      <c r="G3456" s="148" t="s">
        <v>9820</v>
      </c>
      <c r="H3456" t="s">
        <v>9821</v>
      </c>
      <c r="K3456" s="148" t="s">
        <v>10342</v>
      </c>
      <c r="L3456" t="s">
        <v>10343</v>
      </c>
      <c r="M3456" t="s">
        <v>11317</v>
      </c>
      <c r="N3456" s="3">
        <v>0</v>
      </c>
      <c r="O3456" s="3">
        <v>10</v>
      </c>
      <c r="P3456" s="3">
        <v>20</v>
      </c>
      <c r="Q3456" s="3">
        <v>40</v>
      </c>
      <c r="R3456" s="3">
        <v>50</v>
      </c>
      <c r="S3456" s="3">
        <v>60</v>
      </c>
      <c r="T3456" t="s">
        <v>255</v>
      </c>
      <c r="U3456" t="s">
        <v>1045</v>
      </c>
      <c r="V3456" t="s">
        <v>11318</v>
      </c>
      <c r="W3456" s="45">
        <v>0</v>
      </c>
      <c r="X3456" s="45">
        <v>0</v>
      </c>
      <c r="Y3456" s="45">
        <v>0</v>
      </c>
      <c r="Z3456" s="45">
        <v>0</v>
      </c>
      <c r="AA3456" s="45">
        <v>0</v>
      </c>
      <c r="AB3456" s="45">
        <v>0</v>
      </c>
      <c r="AC3456" s="150">
        <v>0</v>
      </c>
      <c r="AD3456" s="150">
        <v>0</v>
      </c>
      <c r="AE3456" s="49">
        <f t="shared" si="161"/>
        <v>0</v>
      </c>
      <c r="AF3456" s="44"/>
      <c r="AG3456" s="17">
        <v>0</v>
      </c>
      <c r="AH3456" s="44">
        <v>0.5</v>
      </c>
      <c r="AI3456" s="44">
        <v>1</v>
      </c>
      <c r="AJ3456" s="44">
        <v>1.5</v>
      </c>
      <c r="AK3456" s="151">
        <v>2</v>
      </c>
      <c r="AL3456" s="151">
        <v>2</v>
      </c>
      <c r="AM3456" s="17">
        <f t="shared" si="162"/>
        <v>4</v>
      </c>
      <c r="AN3456" s="18" t="s">
        <v>255</v>
      </c>
      <c r="AO3456" s="18" t="s">
        <v>1045</v>
      </c>
      <c r="AP3456" t="s">
        <v>3643</v>
      </c>
    </row>
    <row r="3457" spans="1:42" customFormat="1" hidden="1" x14ac:dyDescent="0.3">
      <c r="A3457" s="148" t="s">
        <v>8319</v>
      </c>
      <c r="B3457" t="s">
        <v>8320</v>
      </c>
      <c r="C3457" s="148" t="s">
        <v>9410</v>
      </c>
      <c r="D3457" t="s">
        <v>9411</v>
      </c>
      <c r="E3457" s="148" t="s">
        <v>9412</v>
      </c>
      <c r="F3457" t="s">
        <v>9413</v>
      </c>
      <c r="G3457" s="148" t="s">
        <v>9820</v>
      </c>
      <c r="H3457" t="s">
        <v>9821</v>
      </c>
      <c r="K3457" s="148" t="s">
        <v>10342</v>
      </c>
      <c r="L3457" t="s">
        <v>10343</v>
      </c>
      <c r="N3457" s="3"/>
      <c r="O3457" s="3"/>
      <c r="P3457" s="3"/>
      <c r="Q3457" s="3"/>
      <c r="R3457" s="3"/>
      <c r="S3457" s="3"/>
      <c r="U3457" t="e">
        <v>#N/A</v>
      </c>
      <c r="V3457" t="s">
        <v>11319</v>
      </c>
      <c r="W3457" s="45">
        <v>0</v>
      </c>
      <c r="X3457" s="45">
        <v>0</v>
      </c>
      <c r="Y3457" s="45">
        <v>0</v>
      </c>
      <c r="Z3457" s="45">
        <v>0</v>
      </c>
      <c r="AA3457" s="45">
        <v>0</v>
      </c>
      <c r="AB3457" s="45">
        <v>0</v>
      </c>
      <c r="AC3457" s="150">
        <v>0</v>
      </c>
      <c r="AD3457" s="150">
        <v>0</v>
      </c>
      <c r="AE3457" s="49">
        <f t="shared" si="161"/>
        <v>0</v>
      </c>
      <c r="AF3457" s="17"/>
      <c r="AG3457" s="17">
        <v>0</v>
      </c>
      <c r="AH3457" s="17">
        <v>0</v>
      </c>
      <c r="AI3457" s="17">
        <v>0</v>
      </c>
      <c r="AJ3457" s="17">
        <v>0</v>
      </c>
      <c r="AK3457" s="153">
        <v>0</v>
      </c>
      <c r="AL3457" s="154">
        <v>0</v>
      </c>
      <c r="AM3457" s="17">
        <f t="shared" si="162"/>
        <v>0</v>
      </c>
      <c r="AN3457" t="s">
        <v>3643</v>
      </c>
      <c r="AO3457" s="18" t="s">
        <v>3630</v>
      </c>
      <c r="AP3457" t="s">
        <v>11320</v>
      </c>
    </row>
    <row r="3458" spans="1:42" customFormat="1" hidden="1" x14ac:dyDescent="0.3">
      <c r="A3458" s="148" t="s">
        <v>8319</v>
      </c>
      <c r="B3458" t="s">
        <v>8320</v>
      </c>
      <c r="C3458" s="148" t="s">
        <v>9410</v>
      </c>
      <c r="D3458" t="s">
        <v>9411</v>
      </c>
      <c r="E3458" s="148" t="s">
        <v>9412</v>
      </c>
      <c r="F3458" t="s">
        <v>9413</v>
      </c>
      <c r="G3458" s="148" t="s">
        <v>9820</v>
      </c>
      <c r="H3458" t="s">
        <v>9821</v>
      </c>
      <c r="K3458" s="148" t="s">
        <v>11321</v>
      </c>
      <c r="L3458" t="s">
        <v>11322</v>
      </c>
      <c r="N3458" s="3"/>
      <c r="O3458" s="3"/>
      <c r="P3458" s="3"/>
      <c r="Q3458" s="3"/>
      <c r="R3458" s="3"/>
      <c r="S3458" s="3"/>
      <c r="U3458" t="e">
        <v>#N/A</v>
      </c>
      <c r="V3458" t="s">
        <v>11323</v>
      </c>
      <c r="W3458" s="45">
        <v>0</v>
      </c>
      <c r="X3458" s="45">
        <v>0</v>
      </c>
      <c r="Y3458" s="45">
        <v>0</v>
      </c>
      <c r="Z3458" s="45">
        <v>0</v>
      </c>
      <c r="AA3458" s="45">
        <v>0</v>
      </c>
      <c r="AB3458" s="45">
        <v>0</v>
      </c>
      <c r="AC3458" s="150">
        <v>0</v>
      </c>
      <c r="AD3458" s="150">
        <v>0</v>
      </c>
      <c r="AE3458" s="49">
        <f t="shared" si="161"/>
        <v>0</v>
      </c>
      <c r="AF3458" s="44"/>
      <c r="AG3458" s="17">
        <v>0</v>
      </c>
      <c r="AH3458" s="44">
        <v>0</v>
      </c>
      <c r="AI3458" s="44">
        <v>0.15</v>
      </c>
      <c r="AJ3458" s="44">
        <v>0.15</v>
      </c>
      <c r="AK3458" s="151">
        <v>0.15</v>
      </c>
      <c r="AL3458" s="151">
        <v>0.15</v>
      </c>
      <c r="AM3458" s="17">
        <f t="shared" si="162"/>
        <v>0.3</v>
      </c>
      <c r="AN3458" t="s">
        <v>3643</v>
      </c>
      <c r="AO3458" s="18" t="s">
        <v>3630</v>
      </c>
      <c r="AP3458" t="s">
        <v>280</v>
      </c>
    </row>
    <row r="3459" spans="1:42" customFormat="1" hidden="1" x14ac:dyDescent="0.3">
      <c r="A3459" s="148" t="s">
        <v>8319</v>
      </c>
      <c r="B3459" t="s">
        <v>8320</v>
      </c>
      <c r="C3459" s="148" t="s">
        <v>9410</v>
      </c>
      <c r="D3459" t="s">
        <v>9411</v>
      </c>
      <c r="E3459" s="148" t="s">
        <v>9412</v>
      </c>
      <c r="F3459" t="s">
        <v>9413</v>
      </c>
      <c r="G3459" s="148" t="s">
        <v>9820</v>
      </c>
      <c r="H3459" t="s">
        <v>9821</v>
      </c>
      <c r="K3459" s="148" t="s">
        <v>11324</v>
      </c>
      <c r="L3459" t="s">
        <v>11325</v>
      </c>
      <c r="N3459" s="3"/>
      <c r="O3459" s="3"/>
      <c r="P3459" s="3"/>
      <c r="Q3459" s="3"/>
      <c r="R3459" s="3"/>
      <c r="S3459" s="3"/>
      <c r="U3459" t="e">
        <v>#N/A</v>
      </c>
      <c r="V3459" t="s">
        <v>11326</v>
      </c>
      <c r="W3459" s="45">
        <v>0</v>
      </c>
      <c r="X3459" s="45">
        <v>0</v>
      </c>
      <c r="Y3459" s="45">
        <v>0</v>
      </c>
      <c r="Z3459" s="45">
        <v>0</v>
      </c>
      <c r="AA3459" s="45">
        <v>0</v>
      </c>
      <c r="AB3459" s="45">
        <v>0</v>
      </c>
      <c r="AC3459" s="150">
        <v>0</v>
      </c>
      <c r="AD3459" s="150">
        <v>0</v>
      </c>
      <c r="AE3459" s="49">
        <f t="shared" si="161"/>
        <v>0</v>
      </c>
      <c r="AF3459" s="44"/>
      <c r="AG3459" s="17">
        <v>0</v>
      </c>
      <c r="AH3459" s="44">
        <v>0.1</v>
      </c>
      <c r="AI3459" s="44">
        <v>0.1</v>
      </c>
      <c r="AJ3459" s="44">
        <v>0.1</v>
      </c>
      <c r="AK3459" s="151">
        <v>0.1</v>
      </c>
      <c r="AL3459" s="151">
        <v>0.1</v>
      </c>
      <c r="AM3459" s="17">
        <f t="shared" si="162"/>
        <v>0.2</v>
      </c>
      <c r="AN3459" t="s">
        <v>3643</v>
      </c>
      <c r="AO3459" s="18" t="s">
        <v>3630</v>
      </c>
      <c r="AP3459" t="s">
        <v>9757</v>
      </c>
    </row>
    <row r="3460" spans="1:42" customFormat="1" hidden="1" x14ac:dyDescent="0.3">
      <c r="A3460" s="148" t="s">
        <v>8319</v>
      </c>
      <c r="B3460" t="s">
        <v>8320</v>
      </c>
      <c r="C3460" s="148" t="s">
        <v>9410</v>
      </c>
      <c r="D3460" t="s">
        <v>9411</v>
      </c>
      <c r="E3460" s="148" t="s">
        <v>9412</v>
      </c>
      <c r="F3460" t="s">
        <v>9413</v>
      </c>
      <c r="G3460" s="148" t="s">
        <v>9820</v>
      </c>
      <c r="H3460" t="s">
        <v>9821</v>
      </c>
      <c r="K3460" s="148" t="s">
        <v>11324</v>
      </c>
      <c r="L3460" t="s">
        <v>11325</v>
      </c>
      <c r="N3460" s="3"/>
      <c r="O3460" s="3"/>
      <c r="P3460" s="3"/>
      <c r="Q3460" s="3"/>
      <c r="R3460" s="3"/>
      <c r="S3460" s="3"/>
      <c r="U3460" t="e">
        <v>#N/A</v>
      </c>
      <c r="V3460" t="s">
        <v>11327</v>
      </c>
      <c r="W3460" s="45">
        <v>0</v>
      </c>
      <c r="X3460" s="45">
        <v>0</v>
      </c>
      <c r="Y3460" s="45">
        <v>0</v>
      </c>
      <c r="Z3460" s="45">
        <v>0</v>
      </c>
      <c r="AA3460" s="45">
        <v>0</v>
      </c>
      <c r="AB3460" s="45">
        <v>0</v>
      </c>
      <c r="AC3460" s="150">
        <v>0</v>
      </c>
      <c r="AD3460" s="150">
        <v>0</v>
      </c>
      <c r="AE3460" s="49">
        <f t="shared" si="161"/>
        <v>0</v>
      </c>
      <c r="AF3460" s="44"/>
      <c r="AG3460" s="17">
        <v>0</v>
      </c>
      <c r="AH3460" s="44">
        <v>0.5</v>
      </c>
      <c r="AI3460" s="44">
        <v>0.5</v>
      </c>
      <c r="AJ3460" s="44">
        <v>0.5</v>
      </c>
      <c r="AK3460" s="151">
        <v>0.5</v>
      </c>
      <c r="AL3460" s="151">
        <v>0.5</v>
      </c>
      <c r="AM3460" s="17">
        <f t="shared" si="162"/>
        <v>1</v>
      </c>
      <c r="AN3460" t="s">
        <v>3643</v>
      </c>
      <c r="AO3460" s="18" t="s">
        <v>3630</v>
      </c>
      <c r="AP3460" t="s">
        <v>9757</v>
      </c>
    </row>
    <row r="3461" spans="1:42" customFormat="1" hidden="1" x14ac:dyDescent="0.3">
      <c r="A3461" s="148" t="s">
        <v>8319</v>
      </c>
      <c r="B3461" t="s">
        <v>8320</v>
      </c>
      <c r="C3461" s="148" t="s">
        <v>9410</v>
      </c>
      <c r="D3461" t="s">
        <v>9411</v>
      </c>
      <c r="E3461" s="148" t="s">
        <v>9412</v>
      </c>
      <c r="F3461" t="s">
        <v>9413</v>
      </c>
      <c r="G3461" s="148" t="s">
        <v>9820</v>
      </c>
      <c r="H3461" t="s">
        <v>9821</v>
      </c>
      <c r="K3461" s="148" t="s">
        <v>11324</v>
      </c>
      <c r="L3461" t="s">
        <v>11325</v>
      </c>
      <c r="N3461" s="3"/>
      <c r="O3461" s="3"/>
      <c r="P3461" s="3"/>
      <c r="Q3461" s="3"/>
      <c r="R3461" s="3"/>
      <c r="S3461" s="3"/>
      <c r="U3461" t="e">
        <v>#N/A</v>
      </c>
      <c r="V3461" t="s">
        <v>11328</v>
      </c>
      <c r="W3461" s="45">
        <v>0</v>
      </c>
      <c r="X3461" s="45">
        <v>0</v>
      </c>
      <c r="Y3461" s="45">
        <v>0</v>
      </c>
      <c r="Z3461" s="45">
        <v>0</v>
      </c>
      <c r="AA3461" s="45">
        <v>0</v>
      </c>
      <c r="AB3461" s="45">
        <v>0</v>
      </c>
      <c r="AC3461" s="150">
        <v>0</v>
      </c>
      <c r="AD3461" s="150">
        <v>0</v>
      </c>
      <c r="AE3461" s="49">
        <f t="shared" si="161"/>
        <v>0</v>
      </c>
      <c r="AF3461" s="44"/>
      <c r="AG3461" s="17">
        <v>0</v>
      </c>
      <c r="AH3461" s="44">
        <v>0.3</v>
      </c>
      <c r="AI3461" s="44">
        <v>0.35</v>
      </c>
      <c r="AJ3461" s="44">
        <v>0.4</v>
      </c>
      <c r="AK3461" s="151">
        <v>0.45</v>
      </c>
      <c r="AL3461" s="151">
        <v>0.3</v>
      </c>
      <c r="AM3461" s="17">
        <f t="shared" si="162"/>
        <v>0.75</v>
      </c>
      <c r="AN3461" t="s">
        <v>3643</v>
      </c>
      <c r="AO3461" s="18" t="s">
        <v>3630</v>
      </c>
      <c r="AP3461" t="s">
        <v>11329</v>
      </c>
    </row>
    <row r="3462" spans="1:42" customFormat="1" hidden="1" x14ac:dyDescent="0.3">
      <c r="A3462" s="148" t="s">
        <v>8319</v>
      </c>
      <c r="B3462" t="s">
        <v>8320</v>
      </c>
      <c r="C3462" s="148" t="s">
        <v>9410</v>
      </c>
      <c r="D3462" t="s">
        <v>9411</v>
      </c>
      <c r="E3462" s="148" t="s">
        <v>9412</v>
      </c>
      <c r="F3462" t="s">
        <v>9413</v>
      </c>
      <c r="G3462" s="148" t="s">
        <v>9820</v>
      </c>
      <c r="H3462" t="s">
        <v>9821</v>
      </c>
      <c r="K3462" s="148" t="s">
        <v>11324</v>
      </c>
      <c r="L3462" t="s">
        <v>11325</v>
      </c>
      <c r="N3462" s="3"/>
      <c r="O3462" s="3"/>
      <c r="P3462" s="3"/>
      <c r="Q3462" s="3"/>
      <c r="R3462" s="3"/>
      <c r="S3462" s="3"/>
      <c r="U3462" t="e">
        <v>#N/A</v>
      </c>
      <c r="V3462" t="s">
        <v>11330</v>
      </c>
      <c r="W3462" s="45">
        <v>0</v>
      </c>
      <c r="X3462" s="45">
        <v>0</v>
      </c>
      <c r="Y3462" s="45">
        <v>0</v>
      </c>
      <c r="Z3462" s="45">
        <v>0</v>
      </c>
      <c r="AA3462" s="45">
        <v>0</v>
      </c>
      <c r="AB3462" s="45">
        <v>0</v>
      </c>
      <c r="AC3462" s="150">
        <v>0</v>
      </c>
      <c r="AD3462" s="150">
        <v>0</v>
      </c>
      <c r="AE3462" s="49">
        <f t="shared" si="161"/>
        <v>0</v>
      </c>
      <c r="AF3462" s="17"/>
      <c r="AG3462" s="17">
        <v>0</v>
      </c>
      <c r="AH3462" s="17">
        <v>0</v>
      </c>
      <c r="AI3462" s="17">
        <v>0</v>
      </c>
      <c r="AJ3462" s="17">
        <v>0</v>
      </c>
      <c r="AK3462" s="153">
        <v>5</v>
      </c>
      <c r="AL3462" s="154">
        <v>0</v>
      </c>
      <c r="AM3462" s="17">
        <f t="shared" si="162"/>
        <v>5</v>
      </c>
      <c r="AN3462" s="44" t="s">
        <v>3643</v>
      </c>
      <c r="AO3462" s="18" t="s">
        <v>3630</v>
      </c>
      <c r="AP3462" t="s">
        <v>831</v>
      </c>
    </row>
    <row r="3463" spans="1:42" customFormat="1" hidden="1" x14ac:dyDescent="0.3">
      <c r="A3463" s="148" t="s">
        <v>8319</v>
      </c>
      <c r="B3463" t="s">
        <v>8320</v>
      </c>
      <c r="C3463" s="148" t="s">
        <v>9410</v>
      </c>
      <c r="D3463" t="s">
        <v>9411</v>
      </c>
      <c r="E3463" s="148" t="s">
        <v>9412</v>
      </c>
      <c r="F3463" t="s">
        <v>9413</v>
      </c>
      <c r="G3463" s="148" t="s">
        <v>9820</v>
      </c>
      <c r="H3463" t="s">
        <v>9821</v>
      </c>
      <c r="K3463" s="148" t="s">
        <v>11324</v>
      </c>
      <c r="L3463" t="s">
        <v>11325</v>
      </c>
      <c r="N3463" s="3"/>
      <c r="O3463" s="3"/>
      <c r="P3463" s="3"/>
      <c r="Q3463" s="3"/>
      <c r="R3463" s="3"/>
      <c r="S3463" s="3"/>
      <c r="U3463" t="e">
        <v>#N/A</v>
      </c>
      <c r="V3463" t="s">
        <v>11331</v>
      </c>
      <c r="W3463" s="45">
        <v>0</v>
      </c>
      <c r="X3463" s="45">
        <v>0</v>
      </c>
      <c r="Y3463" s="45">
        <v>0</v>
      </c>
      <c r="Z3463" s="45">
        <v>0</v>
      </c>
      <c r="AA3463" s="45">
        <v>0</v>
      </c>
      <c r="AB3463" s="45">
        <v>0</v>
      </c>
      <c r="AC3463" s="150">
        <v>0</v>
      </c>
      <c r="AD3463" s="150">
        <v>0</v>
      </c>
      <c r="AE3463" s="49">
        <f t="shared" si="161"/>
        <v>0</v>
      </c>
      <c r="AF3463" s="17"/>
      <c r="AG3463" s="17">
        <v>0</v>
      </c>
      <c r="AH3463" s="17">
        <v>0</v>
      </c>
      <c r="AI3463" s="17">
        <v>0</v>
      </c>
      <c r="AJ3463" s="17">
        <v>0</v>
      </c>
      <c r="AK3463" s="153">
        <v>2</v>
      </c>
      <c r="AL3463" s="154">
        <v>0</v>
      </c>
      <c r="AM3463" s="17">
        <f t="shared" si="162"/>
        <v>2</v>
      </c>
      <c r="AN3463" s="44" t="s">
        <v>3643</v>
      </c>
      <c r="AO3463" s="18" t="s">
        <v>3630</v>
      </c>
      <c r="AP3463" t="s">
        <v>119</v>
      </c>
    </row>
    <row r="3464" spans="1:42" customFormat="1" hidden="1" x14ac:dyDescent="0.3">
      <c r="A3464" s="148" t="s">
        <v>8319</v>
      </c>
      <c r="B3464" t="s">
        <v>8320</v>
      </c>
      <c r="C3464" s="148" t="s">
        <v>9410</v>
      </c>
      <c r="D3464" t="s">
        <v>9411</v>
      </c>
      <c r="E3464" s="148" t="s">
        <v>9412</v>
      </c>
      <c r="F3464" t="s">
        <v>9413</v>
      </c>
      <c r="G3464" s="148" t="s">
        <v>9820</v>
      </c>
      <c r="H3464" t="s">
        <v>9821</v>
      </c>
      <c r="K3464" s="155" t="s">
        <v>11332</v>
      </c>
      <c r="L3464" t="s">
        <v>11333</v>
      </c>
      <c r="N3464" s="3"/>
      <c r="O3464" s="3"/>
      <c r="P3464" s="3"/>
      <c r="Q3464" s="3"/>
      <c r="R3464" s="3"/>
      <c r="S3464" s="3"/>
      <c r="U3464" t="e">
        <v>#N/A</v>
      </c>
      <c r="V3464" t="s">
        <v>11334</v>
      </c>
      <c r="W3464" s="45">
        <v>0</v>
      </c>
      <c r="X3464" s="45">
        <v>0</v>
      </c>
      <c r="Y3464" s="45">
        <v>0</v>
      </c>
      <c r="Z3464" s="45">
        <v>0</v>
      </c>
      <c r="AA3464" s="45">
        <v>0</v>
      </c>
      <c r="AB3464" s="45">
        <v>0</v>
      </c>
      <c r="AC3464" s="150">
        <v>0</v>
      </c>
      <c r="AD3464" s="150">
        <v>0</v>
      </c>
      <c r="AE3464" s="49">
        <f t="shared" si="161"/>
        <v>0</v>
      </c>
      <c r="AF3464" s="44"/>
      <c r="AG3464" s="17">
        <v>0</v>
      </c>
      <c r="AH3464" s="44">
        <v>0</v>
      </c>
      <c r="AI3464" s="44">
        <v>0.25</v>
      </c>
      <c r="AJ3464" s="44">
        <v>0</v>
      </c>
      <c r="AK3464" s="151">
        <v>0</v>
      </c>
      <c r="AL3464" s="151">
        <v>0</v>
      </c>
      <c r="AM3464" s="17">
        <f t="shared" si="162"/>
        <v>0</v>
      </c>
      <c r="AN3464" t="s">
        <v>3643</v>
      </c>
      <c r="AO3464" s="18" t="s">
        <v>3630</v>
      </c>
      <c r="AP3464" t="s">
        <v>11335</v>
      </c>
    </row>
    <row r="3465" spans="1:42" customFormat="1" hidden="1" x14ac:dyDescent="0.3">
      <c r="A3465" s="148" t="s">
        <v>8319</v>
      </c>
      <c r="B3465" t="s">
        <v>8320</v>
      </c>
      <c r="C3465" s="148" t="s">
        <v>9410</v>
      </c>
      <c r="D3465" t="s">
        <v>9411</v>
      </c>
      <c r="E3465" s="148" t="s">
        <v>9412</v>
      </c>
      <c r="F3465" t="s">
        <v>9413</v>
      </c>
      <c r="G3465" s="148" t="s">
        <v>9820</v>
      </c>
      <c r="H3465" t="s">
        <v>9821</v>
      </c>
      <c r="K3465" s="155" t="s">
        <v>10693</v>
      </c>
      <c r="L3465" t="s">
        <v>10694</v>
      </c>
      <c r="N3465" s="3"/>
      <c r="O3465" s="3"/>
      <c r="P3465" s="3"/>
      <c r="Q3465" s="3"/>
      <c r="R3465" s="3"/>
      <c r="S3465" s="3"/>
      <c r="U3465" t="e">
        <v>#N/A</v>
      </c>
      <c r="V3465" t="s">
        <v>11336</v>
      </c>
      <c r="W3465" s="45">
        <v>0</v>
      </c>
      <c r="X3465" s="45">
        <v>0</v>
      </c>
      <c r="Y3465" s="45">
        <v>0</v>
      </c>
      <c r="Z3465" s="45">
        <v>0</v>
      </c>
      <c r="AA3465" s="45">
        <v>0</v>
      </c>
      <c r="AB3465" s="45">
        <v>0</v>
      </c>
      <c r="AC3465" s="150">
        <v>0</v>
      </c>
      <c r="AD3465" s="150">
        <v>0</v>
      </c>
      <c r="AE3465" s="49">
        <f t="shared" si="161"/>
        <v>0</v>
      </c>
      <c r="AF3465" s="44"/>
      <c r="AG3465" s="17">
        <v>0</v>
      </c>
      <c r="AH3465" s="44">
        <v>0.2</v>
      </c>
      <c r="AI3465" s="44">
        <v>0.2</v>
      </c>
      <c r="AJ3465" s="44">
        <v>0.2</v>
      </c>
      <c r="AK3465" s="151">
        <v>0.2</v>
      </c>
      <c r="AL3465" s="151">
        <v>0.2</v>
      </c>
      <c r="AM3465" s="17">
        <f t="shared" si="162"/>
        <v>0.4</v>
      </c>
      <c r="AN3465" t="s">
        <v>3643</v>
      </c>
      <c r="AO3465" s="18" t="s">
        <v>3630</v>
      </c>
      <c r="AP3465" t="s">
        <v>10696</v>
      </c>
    </row>
    <row r="3466" spans="1:42" customFormat="1" hidden="1" x14ac:dyDescent="0.3">
      <c r="A3466" s="148" t="s">
        <v>8319</v>
      </c>
      <c r="B3466" t="s">
        <v>8320</v>
      </c>
      <c r="C3466" s="148" t="s">
        <v>9410</v>
      </c>
      <c r="D3466" t="s">
        <v>9411</v>
      </c>
      <c r="E3466" s="148" t="s">
        <v>9412</v>
      </c>
      <c r="F3466" t="s">
        <v>9413</v>
      </c>
      <c r="G3466" s="148" t="s">
        <v>9820</v>
      </c>
      <c r="H3466" t="s">
        <v>9821</v>
      </c>
      <c r="K3466" s="155" t="s">
        <v>10693</v>
      </c>
      <c r="L3466" t="s">
        <v>10694</v>
      </c>
      <c r="N3466" s="3"/>
      <c r="O3466" s="3"/>
      <c r="P3466" s="3"/>
      <c r="Q3466" s="3"/>
      <c r="R3466" s="3"/>
      <c r="S3466" s="3"/>
      <c r="U3466" t="e">
        <v>#N/A</v>
      </c>
      <c r="V3466" t="s">
        <v>11337</v>
      </c>
      <c r="W3466" s="45">
        <v>0</v>
      </c>
      <c r="X3466" s="45">
        <v>0</v>
      </c>
      <c r="Y3466" s="45">
        <v>0</v>
      </c>
      <c r="Z3466" s="45">
        <v>0</v>
      </c>
      <c r="AA3466" s="45">
        <v>0</v>
      </c>
      <c r="AB3466" s="45">
        <v>0</v>
      </c>
      <c r="AC3466" s="150">
        <v>0</v>
      </c>
      <c r="AD3466" s="150">
        <v>0</v>
      </c>
      <c r="AE3466" s="49">
        <f t="shared" si="161"/>
        <v>0</v>
      </c>
      <c r="AF3466" s="17"/>
      <c r="AG3466" s="17">
        <v>0</v>
      </c>
      <c r="AH3466" s="17">
        <v>0</v>
      </c>
      <c r="AI3466" s="17">
        <v>0</v>
      </c>
      <c r="AJ3466" s="17">
        <v>0</v>
      </c>
      <c r="AK3466" s="153">
        <v>0</v>
      </c>
      <c r="AL3466" s="154">
        <v>0</v>
      </c>
      <c r="AM3466" s="17">
        <f t="shared" si="162"/>
        <v>0</v>
      </c>
      <c r="AN3466" t="s">
        <v>3643</v>
      </c>
      <c r="AO3466" s="18" t="s">
        <v>3630</v>
      </c>
      <c r="AP3466" t="s">
        <v>10696</v>
      </c>
    </row>
    <row r="3467" spans="1:42" customFormat="1" hidden="1" x14ac:dyDescent="0.3">
      <c r="A3467" s="148" t="s">
        <v>8319</v>
      </c>
      <c r="B3467" t="s">
        <v>8320</v>
      </c>
      <c r="C3467" s="148" t="s">
        <v>9410</v>
      </c>
      <c r="D3467" t="s">
        <v>9411</v>
      </c>
      <c r="E3467" s="148" t="s">
        <v>9412</v>
      </c>
      <c r="F3467" t="s">
        <v>9413</v>
      </c>
      <c r="G3467" s="148" t="s">
        <v>9820</v>
      </c>
      <c r="H3467" t="s">
        <v>9821</v>
      </c>
      <c r="K3467" s="155" t="s">
        <v>10693</v>
      </c>
      <c r="L3467" t="s">
        <v>10694</v>
      </c>
      <c r="N3467" s="3"/>
      <c r="O3467" s="3"/>
      <c r="P3467" s="3"/>
      <c r="Q3467" s="3"/>
      <c r="R3467" s="3"/>
      <c r="S3467" s="3"/>
      <c r="U3467" t="e">
        <v>#N/A</v>
      </c>
      <c r="V3467" t="s">
        <v>11338</v>
      </c>
      <c r="W3467" s="45">
        <v>0</v>
      </c>
      <c r="X3467" s="45">
        <v>0</v>
      </c>
      <c r="Y3467" s="45">
        <v>0</v>
      </c>
      <c r="Z3467" s="45">
        <v>0</v>
      </c>
      <c r="AA3467" s="45">
        <v>0</v>
      </c>
      <c r="AB3467" s="45">
        <v>0</v>
      </c>
      <c r="AC3467" s="150">
        <v>0</v>
      </c>
      <c r="AD3467" s="150">
        <v>0</v>
      </c>
      <c r="AE3467" s="49">
        <f t="shared" si="161"/>
        <v>0</v>
      </c>
      <c r="AF3467" s="17"/>
      <c r="AG3467" s="17">
        <v>0</v>
      </c>
      <c r="AH3467" s="17">
        <v>0</v>
      </c>
      <c r="AI3467" s="17">
        <v>0</v>
      </c>
      <c r="AJ3467" s="17">
        <v>0</v>
      </c>
      <c r="AK3467" s="153">
        <v>1</v>
      </c>
      <c r="AL3467" s="154">
        <v>0</v>
      </c>
      <c r="AM3467" s="17">
        <f t="shared" si="162"/>
        <v>1</v>
      </c>
      <c r="AN3467" t="s">
        <v>3643</v>
      </c>
      <c r="AO3467" s="18" t="s">
        <v>3630</v>
      </c>
      <c r="AP3467" t="s">
        <v>10696</v>
      </c>
    </row>
    <row r="3468" spans="1:42" customFormat="1" hidden="1" x14ac:dyDescent="0.3">
      <c r="A3468" s="148" t="s">
        <v>8319</v>
      </c>
      <c r="B3468" t="s">
        <v>8320</v>
      </c>
      <c r="C3468" s="148" t="s">
        <v>9410</v>
      </c>
      <c r="D3468" t="s">
        <v>9411</v>
      </c>
      <c r="E3468" s="148" t="s">
        <v>9412</v>
      </c>
      <c r="F3468" t="s">
        <v>9413</v>
      </c>
      <c r="G3468" s="148" t="s">
        <v>9820</v>
      </c>
      <c r="H3468" t="s">
        <v>9821</v>
      </c>
      <c r="K3468" s="155" t="s">
        <v>10693</v>
      </c>
      <c r="L3468" t="s">
        <v>10694</v>
      </c>
      <c r="N3468" s="3"/>
      <c r="O3468" s="3"/>
      <c r="P3468" s="3"/>
      <c r="Q3468" s="3"/>
      <c r="R3468" s="3"/>
      <c r="S3468" s="3"/>
      <c r="U3468" t="e">
        <v>#N/A</v>
      </c>
      <c r="V3468" t="s">
        <v>11339</v>
      </c>
      <c r="W3468" s="45">
        <v>0</v>
      </c>
      <c r="X3468" s="45">
        <v>0</v>
      </c>
      <c r="Y3468" s="45">
        <v>0</v>
      </c>
      <c r="Z3468" s="45">
        <v>0</v>
      </c>
      <c r="AA3468" s="45">
        <v>0</v>
      </c>
      <c r="AB3468" s="45">
        <v>0</v>
      </c>
      <c r="AC3468" s="150">
        <v>0</v>
      </c>
      <c r="AD3468" s="150">
        <v>0</v>
      </c>
      <c r="AE3468" s="49">
        <f t="shared" si="161"/>
        <v>0</v>
      </c>
      <c r="AF3468" s="17"/>
      <c r="AG3468" s="17">
        <v>0</v>
      </c>
      <c r="AH3468" s="17">
        <v>0</v>
      </c>
      <c r="AI3468" s="17">
        <v>0</v>
      </c>
      <c r="AJ3468" s="17">
        <v>0</v>
      </c>
      <c r="AK3468" s="153">
        <v>0</v>
      </c>
      <c r="AL3468" s="154">
        <v>0</v>
      </c>
      <c r="AM3468" s="17">
        <f t="shared" si="162"/>
        <v>0</v>
      </c>
      <c r="AN3468" t="s">
        <v>3643</v>
      </c>
      <c r="AO3468" s="18" t="s">
        <v>3630</v>
      </c>
      <c r="AP3468" t="s">
        <v>11340</v>
      </c>
    </row>
    <row r="3469" spans="1:42" customFormat="1" hidden="1" x14ac:dyDescent="0.3">
      <c r="A3469" s="148" t="s">
        <v>8319</v>
      </c>
      <c r="B3469" t="s">
        <v>8320</v>
      </c>
      <c r="C3469" s="148" t="s">
        <v>9410</v>
      </c>
      <c r="D3469" t="s">
        <v>9411</v>
      </c>
      <c r="E3469" s="148" t="s">
        <v>9412</v>
      </c>
      <c r="F3469" t="s">
        <v>9413</v>
      </c>
      <c r="G3469" s="148" t="s">
        <v>9820</v>
      </c>
      <c r="H3469" t="s">
        <v>9821</v>
      </c>
      <c r="K3469" s="155" t="s">
        <v>10021</v>
      </c>
      <c r="L3469" t="s">
        <v>10022</v>
      </c>
      <c r="N3469" s="3"/>
      <c r="O3469" s="3"/>
      <c r="P3469" s="3"/>
      <c r="Q3469" s="3"/>
      <c r="R3469" s="3"/>
      <c r="S3469" s="3"/>
      <c r="U3469" t="e">
        <v>#N/A</v>
      </c>
      <c r="V3469" t="s">
        <v>11341</v>
      </c>
      <c r="W3469" s="45">
        <v>0</v>
      </c>
      <c r="X3469" s="45">
        <v>0</v>
      </c>
      <c r="Y3469" s="45">
        <v>0</v>
      </c>
      <c r="Z3469" s="45">
        <v>0</v>
      </c>
      <c r="AA3469" s="45">
        <v>0</v>
      </c>
      <c r="AB3469" s="45">
        <v>0</v>
      </c>
      <c r="AC3469" s="150">
        <v>0</v>
      </c>
      <c r="AD3469" s="150">
        <v>0</v>
      </c>
      <c r="AE3469" s="49">
        <f t="shared" si="161"/>
        <v>0</v>
      </c>
      <c r="AF3469" s="44"/>
      <c r="AG3469" s="17">
        <v>0</v>
      </c>
      <c r="AH3469" s="44">
        <v>0.5</v>
      </c>
      <c r="AI3469" s="44">
        <v>0.5</v>
      </c>
      <c r="AJ3469" s="44">
        <v>0.5</v>
      </c>
      <c r="AK3469" s="151">
        <v>0.5</v>
      </c>
      <c r="AL3469" s="151">
        <v>0.5</v>
      </c>
      <c r="AM3469" s="17">
        <f t="shared" si="162"/>
        <v>1</v>
      </c>
      <c r="AN3469" t="s">
        <v>3643</v>
      </c>
      <c r="AO3469" s="18" t="s">
        <v>3630</v>
      </c>
      <c r="AP3469" t="s">
        <v>11342</v>
      </c>
    </row>
    <row r="3470" spans="1:42" customFormat="1" hidden="1" x14ac:dyDescent="0.3">
      <c r="A3470" s="148" t="s">
        <v>8319</v>
      </c>
      <c r="B3470" t="s">
        <v>8320</v>
      </c>
      <c r="C3470" s="148" t="s">
        <v>9410</v>
      </c>
      <c r="D3470" t="s">
        <v>9411</v>
      </c>
      <c r="E3470" s="148" t="s">
        <v>9412</v>
      </c>
      <c r="F3470" t="s">
        <v>9413</v>
      </c>
      <c r="G3470" s="148" t="s">
        <v>9820</v>
      </c>
      <c r="H3470" t="s">
        <v>9821</v>
      </c>
      <c r="K3470" s="155" t="s">
        <v>10021</v>
      </c>
      <c r="L3470" t="s">
        <v>10022</v>
      </c>
      <c r="N3470" s="3"/>
      <c r="O3470" s="3"/>
      <c r="P3470" s="3"/>
      <c r="Q3470" s="3"/>
      <c r="R3470" s="3"/>
      <c r="S3470" s="3"/>
      <c r="U3470" t="e">
        <v>#N/A</v>
      </c>
      <c r="V3470" t="s">
        <v>11343</v>
      </c>
      <c r="W3470" s="45">
        <v>0</v>
      </c>
      <c r="X3470" s="45">
        <v>0</v>
      </c>
      <c r="Y3470" s="45">
        <v>0</v>
      </c>
      <c r="Z3470" s="45">
        <v>0</v>
      </c>
      <c r="AA3470" s="45">
        <v>0</v>
      </c>
      <c r="AB3470" s="45">
        <v>0</v>
      </c>
      <c r="AC3470" s="150">
        <v>0</v>
      </c>
      <c r="AD3470" s="150">
        <v>0</v>
      </c>
      <c r="AE3470" s="49">
        <f t="shared" si="161"/>
        <v>0</v>
      </c>
      <c r="AF3470" s="17"/>
      <c r="AG3470" s="17">
        <v>0</v>
      </c>
      <c r="AH3470" s="17">
        <v>0</v>
      </c>
      <c r="AI3470" s="17">
        <v>0</v>
      </c>
      <c r="AJ3470" s="17">
        <v>0</v>
      </c>
      <c r="AK3470" s="153">
        <v>0</v>
      </c>
      <c r="AL3470" s="154">
        <v>0</v>
      </c>
      <c r="AM3470" s="17">
        <f t="shared" si="162"/>
        <v>0</v>
      </c>
      <c r="AN3470" t="s">
        <v>3643</v>
      </c>
      <c r="AO3470" s="18" t="s">
        <v>3630</v>
      </c>
      <c r="AP3470" t="s">
        <v>11344</v>
      </c>
    </row>
    <row r="3471" spans="1:42" customFormat="1" hidden="1" x14ac:dyDescent="0.3">
      <c r="A3471" s="148" t="s">
        <v>8319</v>
      </c>
      <c r="B3471" t="s">
        <v>8320</v>
      </c>
      <c r="C3471" s="148" t="s">
        <v>9410</v>
      </c>
      <c r="D3471" t="s">
        <v>9411</v>
      </c>
      <c r="E3471" s="148" t="s">
        <v>9412</v>
      </c>
      <c r="F3471" t="s">
        <v>9413</v>
      </c>
      <c r="G3471" s="148" t="s">
        <v>9820</v>
      </c>
      <c r="H3471" t="s">
        <v>9821</v>
      </c>
      <c r="K3471" s="155" t="s">
        <v>10021</v>
      </c>
      <c r="L3471" t="s">
        <v>10022</v>
      </c>
      <c r="N3471" s="3"/>
      <c r="O3471" s="3"/>
      <c r="P3471" s="3"/>
      <c r="Q3471" s="3"/>
      <c r="R3471" s="3"/>
      <c r="S3471" s="3"/>
      <c r="U3471" t="e">
        <v>#N/A</v>
      </c>
      <c r="V3471" t="s">
        <v>11345</v>
      </c>
      <c r="W3471" s="45">
        <v>0</v>
      </c>
      <c r="X3471" s="45">
        <v>0</v>
      </c>
      <c r="Y3471" s="45">
        <v>0</v>
      </c>
      <c r="Z3471" s="45">
        <v>0</v>
      </c>
      <c r="AA3471" s="45">
        <v>0</v>
      </c>
      <c r="AB3471" s="45">
        <v>0</v>
      </c>
      <c r="AC3471" s="150">
        <v>0</v>
      </c>
      <c r="AD3471" s="150">
        <v>0</v>
      </c>
      <c r="AE3471" s="49">
        <f t="shared" si="161"/>
        <v>0</v>
      </c>
      <c r="AF3471" s="17"/>
      <c r="AG3471" s="17">
        <v>0</v>
      </c>
      <c r="AH3471" s="17">
        <v>0</v>
      </c>
      <c r="AI3471" s="17">
        <v>0</v>
      </c>
      <c r="AJ3471" s="17">
        <v>0</v>
      </c>
      <c r="AK3471" s="153">
        <v>0</v>
      </c>
      <c r="AL3471" s="154">
        <v>0</v>
      </c>
      <c r="AM3471" s="17">
        <f t="shared" si="162"/>
        <v>0</v>
      </c>
      <c r="AN3471" t="s">
        <v>3643</v>
      </c>
      <c r="AO3471" s="18" t="s">
        <v>3630</v>
      </c>
      <c r="AP3471" t="s">
        <v>11346</v>
      </c>
    </row>
    <row r="3472" spans="1:42" customFormat="1" hidden="1" x14ac:dyDescent="0.3">
      <c r="A3472" s="148" t="s">
        <v>8319</v>
      </c>
      <c r="B3472" t="s">
        <v>8320</v>
      </c>
      <c r="C3472" s="148" t="s">
        <v>9410</v>
      </c>
      <c r="D3472" t="s">
        <v>9411</v>
      </c>
      <c r="E3472" s="148" t="s">
        <v>9412</v>
      </c>
      <c r="F3472" t="s">
        <v>9413</v>
      </c>
      <c r="G3472" s="148" t="s">
        <v>9820</v>
      </c>
      <c r="H3472" t="s">
        <v>9821</v>
      </c>
      <c r="K3472" s="155" t="s">
        <v>10021</v>
      </c>
      <c r="L3472" t="s">
        <v>10022</v>
      </c>
      <c r="N3472" s="3"/>
      <c r="O3472" s="3"/>
      <c r="P3472" s="3"/>
      <c r="Q3472" s="3"/>
      <c r="R3472" s="3"/>
      <c r="S3472" s="3"/>
      <c r="U3472" t="e">
        <v>#N/A</v>
      </c>
      <c r="V3472" t="s">
        <v>11347</v>
      </c>
      <c r="W3472" s="45">
        <v>0</v>
      </c>
      <c r="X3472" s="45">
        <v>0</v>
      </c>
      <c r="Y3472" s="45">
        <v>0</v>
      </c>
      <c r="Z3472" s="45">
        <v>0</v>
      </c>
      <c r="AA3472" s="45">
        <v>0</v>
      </c>
      <c r="AB3472" s="45">
        <v>0</v>
      </c>
      <c r="AC3472" s="150">
        <v>0</v>
      </c>
      <c r="AD3472" s="150">
        <v>0</v>
      </c>
      <c r="AE3472" s="49">
        <f t="shared" si="161"/>
        <v>0</v>
      </c>
      <c r="AF3472" s="17"/>
      <c r="AG3472" s="17">
        <v>0</v>
      </c>
      <c r="AH3472" s="17">
        <v>0</v>
      </c>
      <c r="AI3472" s="17">
        <v>0</v>
      </c>
      <c r="AJ3472" s="17">
        <v>0</v>
      </c>
      <c r="AK3472" s="153">
        <v>0</v>
      </c>
      <c r="AL3472" s="154">
        <v>0</v>
      </c>
      <c r="AM3472" s="17">
        <f t="shared" si="162"/>
        <v>0</v>
      </c>
      <c r="AN3472" t="s">
        <v>3643</v>
      </c>
      <c r="AO3472" s="18" t="s">
        <v>3630</v>
      </c>
      <c r="AP3472" t="s">
        <v>11348</v>
      </c>
    </row>
    <row r="3473" spans="1:42" customFormat="1" hidden="1" x14ac:dyDescent="0.3">
      <c r="A3473" s="148" t="s">
        <v>8319</v>
      </c>
      <c r="B3473" t="s">
        <v>8320</v>
      </c>
      <c r="C3473" s="148" t="s">
        <v>9410</v>
      </c>
      <c r="D3473" t="s">
        <v>9411</v>
      </c>
      <c r="E3473" s="148" t="s">
        <v>9412</v>
      </c>
      <c r="F3473" t="s">
        <v>9413</v>
      </c>
      <c r="G3473" s="148" t="s">
        <v>9820</v>
      </c>
      <c r="H3473" t="s">
        <v>9821</v>
      </c>
      <c r="K3473" s="155" t="s">
        <v>10021</v>
      </c>
      <c r="L3473" t="s">
        <v>10022</v>
      </c>
      <c r="N3473" s="3"/>
      <c r="O3473" s="3"/>
      <c r="P3473" s="3"/>
      <c r="Q3473" s="3"/>
      <c r="R3473" s="3"/>
      <c r="S3473" s="3"/>
      <c r="U3473" t="e">
        <v>#N/A</v>
      </c>
      <c r="V3473" t="s">
        <v>11349</v>
      </c>
      <c r="W3473" s="45">
        <v>0</v>
      </c>
      <c r="X3473" s="45">
        <v>0</v>
      </c>
      <c r="Y3473" s="45">
        <v>0</v>
      </c>
      <c r="Z3473" s="45">
        <v>0</v>
      </c>
      <c r="AA3473" s="45">
        <v>0</v>
      </c>
      <c r="AB3473" s="45">
        <v>0</v>
      </c>
      <c r="AC3473" s="150">
        <v>0</v>
      </c>
      <c r="AD3473" s="150">
        <v>0</v>
      </c>
      <c r="AE3473" s="49">
        <f t="shared" si="161"/>
        <v>0</v>
      </c>
      <c r="AF3473" s="17"/>
      <c r="AG3473" s="17">
        <v>0</v>
      </c>
      <c r="AH3473" s="17">
        <v>0</v>
      </c>
      <c r="AI3473" s="17">
        <v>0</v>
      </c>
      <c r="AJ3473" s="17">
        <v>0</v>
      </c>
      <c r="AK3473" s="153">
        <v>0</v>
      </c>
      <c r="AL3473" s="154">
        <v>0</v>
      </c>
      <c r="AM3473" s="17">
        <f t="shared" si="162"/>
        <v>0</v>
      </c>
      <c r="AN3473" t="s">
        <v>3643</v>
      </c>
      <c r="AO3473" s="18" t="s">
        <v>3630</v>
      </c>
      <c r="AP3473" t="s">
        <v>11350</v>
      </c>
    </row>
    <row r="3474" spans="1:42" customFormat="1" hidden="1" x14ac:dyDescent="0.3">
      <c r="A3474" s="148" t="s">
        <v>8319</v>
      </c>
      <c r="B3474" t="s">
        <v>8320</v>
      </c>
      <c r="C3474" s="148" t="s">
        <v>9410</v>
      </c>
      <c r="D3474" t="s">
        <v>9411</v>
      </c>
      <c r="E3474" s="148" t="s">
        <v>9412</v>
      </c>
      <c r="F3474" t="s">
        <v>9413</v>
      </c>
      <c r="G3474" s="148" t="s">
        <v>9820</v>
      </c>
      <c r="H3474" t="s">
        <v>9821</v>
      </c>
      <c r="K3474" s="155" t="s">
        <v>10021</v>
      </c>
      <c r="L3474" t="s">
        <v>10022</v>
      </c>
      <c r="N3474" s="3"/>
      <c r="O3474" s="3"/>
      <c r="P3474" s="3"/>
      <c r="Q3474" s="3"/>
      <c r="R3474" s="3"/>
      <c r="S3474" s="3"/>
      <c r="U3474" t="e">
        <v>#N/A</v>
      </c>
      <c r="V3474" t="s">
        <v>11351</v>
      </c>
      <c r="W3474" s="45">
        <v>0</v>
      </c>
      <c r="X3474" s="45">
        <v>0</v>
      </c>
      <c r="Y3474" s="45">
        <v>0</v>
      </c>
      <c r="Z3474" s="45">
        <v>0</v>
      </c>
      <c r="AA3474" s="45">
        <v>0</v>
      </c>
      <c r="AB3474" s="45">
        <v>0</v>
      </c>
      <c r="AC3474" s="150">
        <v>0</v>
      </c>
      <c r="AD3474" s="150">
        <v>0</v>
      </c>
      <c r="AE3474" s="49">
        <f t="shared" si="161"/>
        <v>0</v>
      </c>
      <c r="AF3474" s="17"/>
      <c r="AG3474" s="17">
        <v>0</v>
      </c>
      <c r="AH3474" s="17">
        <v>0</v>
      </c>
      <c r="AI3474" s="17">
        <v>0</v>
      </c>
      <c r="AJ3474" s="17">
        <v>0</v>
      </c>
      <c r="AK3474" s="153">
        <v>0</v>
      </c>
      <c r="AL3474" s="154">
        <v>0</v>
      </c>
      <c r="AM3474" s="17">
        <f t="shared" si="162"/>
        <v>0</v>
      </c>
      <c r="AN3474" t="s">
        <v>3643</v>
      </c>
      <c r="AO3474" s="18" t="s">
        <v>3630</v>
      </c>
      <c r="AP3474" t="s">
        <v>570</v>
      </c>
    </row>
    <row r="3475" spans="1:42" customFormat="1" hidden="1" x14ac:dyDescent="0.3">
      <c r="A3475" s="148" t="s">
        <v>8319</v>
      </c>
      <c r="B3475" t="s">
        <v>8320</v>
      </c>
      <c r="C3475" s="148" t="s">
        <v>9410</v>
      </c>
      <c r="D3475" t="s">
        <v>9411</v>
      </c>
      <c r="E3475" s="148" t="s">
        <v>9412</v>
      </c>
      <c r="F3475" t="s">
        <v>9413</v>
      </c>
      <c r="G3475" s="148" t="s">
        <v>9820</v>
      </c>
      <c r="H3475" t="s">
        <v>9821</v>
      </c>
      <c r="K3475" s="155" t="s">
        <v>10021</v>
      </c>
      <c r="L3475" t="s">
        <v>10022</v>
      </c>
      <c r="N3475" s="3"/>
      <c r="O3475" s="3"/>
      <c r="P3475" s="3"/>
      <c r="Q3475" s="3"/>
      <c r="R3475" s="3"/>
      <c r="S3475" s="3"/>
      <c r="U3475" t="e">
        <v>#N/A</v>
      </c>
      <c r="V3475" t="s">
        <v>11352</v>
      </c>
      <c r="W3475" s="45">
        <v>0</v>
      </c>
      <c r="X3475" s="45">
        <v>0</v>
      </c>
      <c r="Y3475" s="45">
        <v>0</v>
      </c>
      <c r="Z3475" s="45">
        <v>0</v>
      </c>
      <c r="AA3475" s="45">
        <v>0</v>
      </c>
      <c r="AB3475" s="45">
        <v>0</v>
      </c>
      <c r="AC3475" s="150">
        <v>0</v>
      </c>
      <c r="AD3475" s="150">
        <v>0</v>
      </c>
      <c r="AE3475" s="49">
        <f t="shared" si="161"/>
        <v>0</v>
      </c>
      <c r="AF3475" s="17"/>
      <c r="AG3475" s="17">
        <v>0</v>
      </c>
      <c r="AH3475" s="17">
        <v>0</v>
      </c>
      <c r="AI3475" s="17">
        <v>0</v>
      </c>
      <c r="AJ3475" s="17">
        <v>0</v>
      </c>
      <c r="AK3475" s="153">
        <v>0</v>
      </c>
      <c r="AL3475" s="154">
        <v>0</v>
      </c>
      <c r="AM3475" s="17">
        <f t="shared" si="162"/>
        <v>0</v>
      </c>
      <c r="AN3475" t="s">
        <v>3643</v>
      </c>
      <c r="AO3475" s="18" t="s">
        <v>3630</v>
      </c>
      <c r="AP3475" t="s">
        <v>11353</v>
      </c>
    </row>
    <row r="3476" spans="1:42" customFormat="1" hidden="1" x14ac:dyDescent="0.3">
      <c r="A3476" s="148" t="s">
        <v>8319</v>
      </c>
      <c r="B3476" t="s">
        <v>8320</v>
      </c>
      <c r="C3476" s="148" t="s">
        <v>9410</v>
      </c>
      <c r="D3476" t="s">
        <v>9411</v>
      </c>
      <c r="E3476" s="148" t="s">
        <v>9412</v>
      </c>
      <c r="F3476" t="s">
        <v>9413</v>
      </c>
      <c r="G3476" s="148" t="s">
        <v>9820</v>
      </c>
      <c r="H3476" t="s">
        <v>9821</v>
      </c>
      <c r="K3476" s="155" t="s">
        <v>10699</v>
      </c>
      <c r="L3476" t="s">
        <v>10700</v>
      </c>
      <c r="N3476" s="3"/>
      <c r="O3476" s="3"/>
      <c r="P3476" s="3"/>
      <c r="Q3476" s="3"/>
      <c r="R3476" s="3"/>
      <c r="S3476" s="3"/>
      <c r="U3476" t="e">
        <v>#N/A</v>
      </c>
      <c r="V3476" t="s">
        <v>11354</v>
      </c>
      <c r="W3476" s="45">
        <v>0</v>
      </c>
      <c r="X3476" s="45">
        <v>0</v>
      </c>
      <c r="Y3476" s="45">
        <v>0</v>
      </c>
      <c r="Z3476" s="45">
        <v>0</v>
      </c>
      <c r="AA3476" s="45">
        <v>0</v>
      </c>
      <c r="AB3476" s="45">
        <v>0</v>
      </c>
      <c r="AC3476" s="150">
        <v>0</v>
      </c>
      <c r="AD3476" s="150">
        <v>0</v>
      </c>
      <c r="AE3476" s="49">
        <f t="shared" si="161"/>
        <v>0</v>
      </c>
      <c r="AF3476" s="44"/>
      <c r="AG3476" s="17">
        <v>0</v>
      </c>
      <c r="AH3476" s="44">
        <v>0.3</v>
      </c>
      <c r="AI3476" s="44">
        <v>0.3</v>
      </c>
      <c r="AJ3476" s="44">
        <v>0.3</v>
      </c>
      <c r="AK3476" s="151">
        <v>0.3</v>
      </c>
      <c r="AL3476" s="151">
        <v>0.3</v>
      </c>
      <c r="AM3476" s="17">
        <f t="shared" si="162"/>
        <v>0.6</v>
      </c>
      <c r="AN3476" t="s">
        <v>3643</v>
      </c>
      <c r="AO3476" s="18" t="s">
        <v>3630</v>
      </c>
      <c r="AP3476" t="s">
        <v>11355</v>
      </c>
    </row>
    <row r="3477" spans="1:42" customFormat="1" hidden="1" x14ac:dyDescent="0.3">
      <c r="A3477" s="148" t="s">
        <v>8319</v>
      </c>
      <c r="B3477" t="s">
        <v>8320</v>
      </c>
      <c r="C3477" s="148" t="s">
        <v>9410</v>
      </c>
      <c r="D3477" t="s">
        <v>9411</v>
      </c>
      <c r="E3477" s="148" t="s">
        <v>9412</v>
      </c>
      <c r="F3477" t="s">
        <v>9413</v>
      </c>
      <c r="G3477" s="148" t="s">
        <v>9820</v>
      </c>
      <c r="H3477" t="s">
        <v>9821</v>
      </c>
      <c r="K3477" s="155" t="s">
        <v>10699</v>
      </c>
      <c r="L3477" t="s">
        <v>10700</v>
      </c>
      <c r="N3477" s="3"/>
      <c r="O3477" s="3"/>
      <c r="P3477" s="3"/>
      <c r="Q3477" s="3"/>
      <c r="R3477" s="3"/>
      <c r="S3477" s="3"/>
      <c r="U3477" t="e">
        <v>#N/A</v>
      </c>
      <c r="V3477" t="s">
        <v>11356</v>
      </c>
      <c r="W3477" s="45">
        <v>0</v>
      </c>
      <c r="X3477" s="45">
        <v>0</v>
      </c>
      <c r="Y3477" s="45">
        <v>0</v>
      </c>
      <c r="Z3477" s="45">
        <v>0</v>
      </c>
      <c r="AA3477" s="45">
        <v>0</v>
      </c>
      <c r="AB3477" s="45">
        <v>0</v>
      </c>
      <c r="AC3477" s="150">
        <v>0</v>
      </c>
      <c r="AD3477" s="150">
        <v>0</v>
      </c>
      <c r="AE3477" s="49">
        <f t="shared" si="161"/>
        <v>0</v>
      </c>
      <c r="AF3477" s="17"/>
      <c r="AG3477" s="17">
        <v>0</v>
      </c>
      <c r="AH3477" s="17">
        <v>0</v>
      </c>
      <c r="AI3477" s="17">
        <v>0</v>
      </c>
      <c r="AJ3477" s="17">
        <v>0</v>
      </c>
      <c r="AK3477" s="153">
        <v>0</v>
      </c>
      <c r="AL3477" s="154">
        <v>0</v>
      </c>
      <c r="AM3477" s="17">
        <f t="shared" si="162"/>
        <v>0</v>
      </c>
      <c r="AN3477" t="s">
        <v>3643</v>
      </c>
      <c r="AO3477" s="18" t="s">
        <v>3630</v>
      </c>
      <c r="AP3477" t="s">
        <v>9757</v>
      </c>
    </row>
    <row r="3478" spans="1:42" customFormat="1" hidden="1" x14ac:dyDescent="0.3">
      <c r="A3478" s="148" t="s">
        <v>8319</v>
      </c>
      <c r="B3478" t="s">
        <v>8320</v>
      </c>
      <c r="C3478" s="148" t="s">
        <v>9410</v>
      </c>
      <c r="D3478" t="s">
        <v>9411</v>
      </c>
      <c r="E3478" s="148" t="s">
        <v>9412</v>
      </c>
      <c r="F3478" t="s">
        <v>9413</v>
      </c>
      <c r="G3478" s="148" t="s">
        <v>9820</v>
      </c>
      <c r="H3478" t="s">
        <v>9821</v>
      </c>
      <c r="K3478" s="155" t="s">
        <v>11357</v>
      </c>
      <c r="L3478" t="s">
        <v>11358</v>
      </c>
      <c r="N3478" s="3"/>
      <c r="O3478" s="3"/>
      <c r="P3478" s="3"/>
      <c r="Q3478" s="3"/>
      <c r="R3478" s="3"/>
      <c r="S3478" s="3"/>
      <c r="U3478" t="e">
        <v>#N/A</v>
      </c>
      <c r="V3478" t="s">
        <v>11359</v>
      </c>
      <c r="W3478" s="45">
        <v>0</v>
      </c>
      <c r="X3478" s="45">
        <v>0</v>
      </c>
      <c r="Y3478" s="45">
        <v>0</v>
      </c>
      <c r="Z3478" s="45">
        <v>0</v>
      </c>
      <c r="AA3478" s="45">
        <v>0</v>
      </c>
      <c r="AB3478" s="45">
        <v>0</v>
      </c>
      <c r="AC3478" s="150">
        <v>0</v>
      </c>
      <c r="AD3478" s="150">
        <v>0</v>
      </c>
      <c r="AE3478" s="49">
        <f t="shared" si="161"/>
        <v>0</v>
      </c>
      <c r="AF3478" s="44"/>
      <c r="AG3478" s="17">
        <v>0</v>
      </c>
      <c r="AH3478" s="44">
        <v>0.7</v>
      </c>
      <c r="AI3478" s="44">
        <v>0.7</v>
      </c>
      <c r="AJ3478" s="44">
        <v>0.7</v>
      </c>
      <c r="AK3478" s="151">
        <v>0.7</v>
      </c>
      <c r="AL3478" s="151">
        <v>0.7</v>
      </c>
      <c r="AM3478" s="17">
        <f t="shared" si="162"/>
        <v>1.4</v>
      </c>
      <c r="AN3478" t="s">
        <v>3643</v>
      </c>
      <c r="AO3478" s="18" t="s">
        <v>3630</v>
      </c>
      <c r="AP3478" t="s">
        <v>9658</v>
      </c>
    </row>
    <row r="3479" spans="1:42" customFormat="1" hidden="1" x14ac:dyDescent="0.3">
      <c r="A3479" s="148" t="s">
        <v>8319</v>
      </c>
      <c r="B3479" t="s">
        <v>8320</v>
      </c>
      <c r="C3479" s="148" t="s">
        <v>9410</v>
      </c>
      <c r="D3479" t="s">
        <v>9411</v>
      </c>
      <c r="E3479" s="148" t="s">
        <v>9412</v>
      </c>
      <c r="F3479" t="s">
        <v>9413</v>
      </c>
      <c r="G3479" s="148" t="s">
        <v>9820</v>
      </c>
      <c r="H3479" t="s">
        <v>9821</v>
      </c>
      <c r="K3479" s="155" t="s">
        <v>11357</v>
      </c>
      <c r="L3479" t="s">
        <v>11358</v>
      </c>
      <c r="N3479" s="3"/>
      <c r="O3479" s="3"/>
      <c r="P3479" s="3"/>
      <c r="Q3479" s="3"/>
      <c r="R3479" s="3"/>
      <c r="S3479" s="3"/>
      <c r="U3479" t="e">
        <v>#N/A</v>
      </c>
      <c r="V3479" t="s">
        <v>11360</v>
      </c>
      <c r="W3479" s="45">
        <v>0</v>
      </c>
      <c r="X3479" s="45">
        <v>0</v>
      </c>
      <c r="Y3479" s="45">
        <v>0</v>
      </c>
      <c r="Z3479" s="45">
        <v>0</v>
      </c>
      <c r="AA3479" s="45">
        <v>0</v>
      </c>
      <c r="AB3479" s="45">
        <v>0</v>
      </c>
      <c r="AC3479" s="150">
        <v>0</v>
      </c>
      <c r="AD3479" s="150">
        <v>0</v>
      </c>
      <c r="AE3479" s="49">
        <f t="shared" si="161"/>
        <v>0</v>
      </c>
      <c r="AF3479" s="17"/>
      <c r="AG3479" s="17">
        <v>0</v>
      </c>
      <c r="AH3479" s="17">
        <v>0</v>
      </c>
      <c r="AI3479" s="17">
        <v>0</v>
      </c>
      <c r="AJ3479" s="17">
        <v>0</v>
      </c>
      <c r="AK3479" s="153">
        <v>0</v>
      </c>
      <c r="AL3479" s="154">
        <v>0</v>
      </c>
      <c r="AM3479" s="17">
        <f t="shared" si="162"/>
        <v>0</v>
      </c>
      <c r="AN3479" t="s">
        <v>3643</v>
      </c>
      <c r="AO3479" s="18" t="s">
        <v>3630</v>
      </c>
    </row>
    <row r="3480" spans="1:42" customFormat="1" hidden="1" x14ac:dyDescent="0.3">
      <c r="A3480" s="148" t="s">
        <v>8319</v>
      </c>
      <c r="B3480" t="s">
        <v>8320</v>
      </c>
      <c r="C3480" s="148" t="s">
        <v>9410</v>
      </c>
      <c r="D3480" t="s">
        <v>9411</v>
      </c>
      <c r="E3480" s="148" t="s">
        <v>9412</v>
      </c>
      <c r="F3480" t="s">
        <v>9413</v>
      </c>
      <c r="G3480" s="148" t="s">
        <v>11361</v>
      </c>
      <c r="H3480" t="s">
        <v>11362</v>
      </c>
      <c r="K3480" s="148" t="s">
        <v>11363</v>
      </c>
      <c r="L3480" t="s">
        <v>11364</v>
      </c>
      <c r="M3480" t="s">
        <v>11365</v>
      </c>
      <c r="N3480" s="3" t="s">
        <v>9365</v>
      </c>
      <c r="O3480" s="3"/>
      <c r="P3480" s="3" t="s">
        <v>11366</v>
      </c>
      <c r="Q3480" s="3"/>
      <c r="R3480" s="3"/>
      <c r="S3480" s="3"/>
      <c r="T3480" t="s">
        <v>3643</v>
      </c>
      <c r="U3480" t="s">
        <v>3630</v>
      </c>
      <c r="V3480" t="s">
        <v>11367</v>
      </c>
      <c r="W3480" s="45">
        <v>0</v>
      </c>
      <c r="X3480" s="45">
        <v>0</v>
      </c>
      <c r="Y3480" s="45">
        <v>0</v>
      </c>
      <c r="Z3480" s="45">
        <v>0</v>
      </c>
      <c r="AA3480" s="45">
        <v>0</v>
      </c>
      <c r="AB3480" s="45">
        <v>0</v>
      </c>
      <c r="AC3480" s="150">
        <v>0</v>
      </c>
      <c r="AD3480" s="150">
        <v>0</v>
      </c>
      <c r="AE3480" s="49">
        <f t="shared" si="161"/>
        <v>0</v>
      </c>
      <c r="AF3480" s="44"/>
      <c r="AG3480" s="17">
        <v>0</v>
      </c>
      <c r="AH3480" s="44">
        <v>0</v>
      </c>
      <c r="AI3480" s="44">
        <v>0</v>
      </c>
      <c r="AJ3480" s="44">
        <v>0</v>
      </c>
      <c r="AK3480" s="151">
        <v>0.3</v>
      </c>
      <c r="AL3480" s="151">
        <v>0.3</v>
      </c>
      <c r="AM3480" s="17">
        <f t="shared" si="162"/>
        <v>0.6</v>
      </c>
      <c r="AN3480" t="s">
        <v>3643</v>
      </c>
      <c r="AO3480" s="18" t="s">
        <v>3630</v>
      </c>
      <c r="AP3480" t="s">
        <v>11368</v>
      </c>
    </row>
    <row r="3481" spans="1:42" customFormat="1" hidden="1" x14ac:dyDescent="0.3">
      <c r="A3481" s="148" t="s">
        <v>8319</v>
      </c>
      <c r="B3481" t="s">
        <v>8320</v>
      </c>
      <c r="C3481" s="148" t="s">
        <v>9410</v>
      </c>
      <c r="D3481" t="s">
        <v>9411</v>
      </c>
      <c r="E3481" s="148" t="s">
        <v>9412</v>
      </c>
      <c r="F3481" t="s">
        <v>9413</v>
      </c>
      <c r="G3481" s="148" t="s">
        <v>11361</v>
      </c>
      <c r="H3481" t="s">
        <v>11362</v>
      </c>
      <c r="K3481" s="148" t="s">
        <v>11363</v>
      </c>
      <c r="L3481" t="s">
        <v>11364</v>
      </c>
      <c r="M3481" t="s">
        <v>11369</v>
      </c>
      <c r="N3481" s="3" t="s">
        <v>9365</v>
      </c>
      <c r="O3481" s="3" t="s">
        <v>271</v>
      </c>
      <c r="P3481" s="3" t="s">
        <v>271</v>
      </c>
      <c r="Q3481" s="3" t="s">
        <v>271</v>
      </c>
      <c r="R3481" s="3" t="s">
        <v>11370</v>
      </c>
      <c r="S3481" s="3" t="s">
        <v>271</v>
      </c>
      <c r="T3481" t="s">
        <v>3643</v>
      </c>
      <c r="U3481" t="s">
        <v>3630</v>
      </c>
      <c r="V3481" t="s">
        <v>11371</v>
      </c>
      <c r="W3481" s="45">
        <v>0</v>
      </c>
      <c r="X3481" s="45">
        <v>0</v>
      </c>
      <c r="Y3481" s="45">
        <v>0</v>
      </c>
      <c r="Z3481" s="45">
        <v>0</v>
      </c>
      <c r="AA3481" s="45">
        <v>0</v>
      </c>
      <c r="AB3481" s="45">
        <v>0</v>
      </c>
      <c r="AC3481" s="150">
        <v>0</v>
      </c>
      <c r="AD3481" s="150">
        <v>0</v>
      </c>
      <c r="AE3481" s="49">
        <f t="shared" si="161"/>
        <v>0</v>
      </c>
      <c r="AF3481" s="44"/>
      <c r="AG3481" s="17">
        <v>0</v>
      </c>
      <c r="AH3481" s="44">
        <v>0.1</v>
      </c>
      <c r="AI3481" s="44">
        <v>0.08</v>
      </c>
      <c r="AJ3481" s="44">
        <v>0.06</v>
      </c>
      <c r="AK3481" s="151">
        <v>0.04</v>
      </c>
      <c r="AL3481" s="151">
        <v>0.02</v>
      </c>
      <c r="AM3481" s="17">
        <f t="shared" si="162"/>
        <v>0.06</v>
      </c>
      <c r="AN3481" t="s">
        <v>723</v>
      </c>
      <c r="AO3481" s="18" t="s">
        <v>729</v>
      </c>
      <c r="AP3481" t="s">
        <v>9888</v>
      </c>
    </row>
    <row r="3482" spans="1:42" customFormat="1" hidden="1" x14ac:dyDescent="0.3">
      <c r="A3482" s="148" t="s">
        <v>8319</v>
      </c>
      <c r="B3482" t="s">
        <v>8320</v>
      </c>
      <c r="C3482" s="148" t="s">
        <v>9410</v>
      </c>
      <c r="D3482" t="s">
        <v>9411</v>
      </c>
      <c r="E3482" s="148" t="s">
        <v>9412</v>
      </c>
      <c r="F3482" t="s">
        <v>9413</v>
      </c>
      <c r="G3482" s="148" t="s">
        <v>11361</v>
      </c>
      <c r="H3482" t="s">
        <v>11362</v>
      </c>
      <c r="K3482" s="148" t="s">
        <v>11363</v>
      </c>
      <c r="L3482" t="s">
        <v>11364</v>
      </c>
      <c r="N3482" s="3"/>
      <c r="O3482" s="3"/>
      <c r="P3482" s="3"/>
      <c r="Q3482" s="3"/>
      <c r="R3482" s="3"/>
      <c r="S3482" s="3"/>
      <c r="U3482" t="e">
        <v>#N/A</v>
      </c>
      <c r="V3482" t="s">
        <v>11372</v>
      </c>
      <c r="W3482" s="45">
        <v>0</v>
      </c>
      <c r="X3482" s="45">
        <v>0</v>
      </c>
      <c r="Y3482" s="45">
        <v>0</v>
      </c>
      <c r="Z3482" s="45">
        <v>0</v>
      </c>
      <c r="AA3482" s="45">
        <v>0</v>
      </c>
      <c r="AB3482" s="45">
        <v>0</v>
      </c>
      <c r="AC3482" s="150">
        <v>0</v>
      </c>
      <c r="AD3482" s="150">
        <v>0</v>
      </c>
      <c r="AE3482" s="49">
        <f t="shared" ref="AE3482:AE3545" si="163">SUM(W3482:AD3482)/8</f>
        <v>0</v>
      </c>
      <c r="AF3482" s="17"/>
      <c r="AG3482" s="17">
        <v>0</v>
      </c>
      <c r="AH3482" s="17">
        <v>0</v>
      </c>
      <c r="AI3482" s="17">
        <v>0</v>
      </c>
      <c r="AJ3482" s="17">
        <v>0</v>
      </c>
      <c r="AK3482" s="153">
        <v>0</v>
      </c>
      <c r="AL3482" s="154">
        <v>0</v>
      </c>
      <c r="AM3482" s="17">
        <f t="shared" ref="AM3482:AM3545" si="164">SUM(AK3482:AL3482)</f>
        <v>0</v>
      </c>
      <c r="AN3482" s="44" t="s">
        <v>255</v>
      </c>
      <c r="AO3482" s="18" t="s">
        <v>1045</v>
      </c>
      <c r="AP3482" t="s">
        <v>11373</v>
      </c>
    </row>
    <row r="3483" spans="1:42" customFormat="1" hidden="1" x14ac:dyDescent="0.3">
      <c r="A3483" s="148" t="s">
        <v>8319</v>
      </c>
      <c r="B3483" t="s">
        <v>8320</v>
      </c>
      <c r="C3483" s="148" t="s">
        <v>9410</v>
      </c>
      <c r="D3483" t="s">
        <v>9411</v>
      </c>
      <c r="E3483" s="148" t="s">
        <v>9412</v>
      </c>
      <c r="F3483" t="s">
        <v>9413</v>
      </c>
      <c r="G3483" s="148" t="s">
        <v>11361</v>
      </c>
      <c r="H3483" t="s">
        <v>11362</v>
      </c>
      <c r="K3483" s="148" t="s">
        <v>11363</v>
      </c>
      <c r="L3483" t="s">
        <v>11364</v>
      </c>
      <c r="N3483" s="3"/>
      <c r="O3483" s="3"/>
      <c r="P3483" s="3"/>
      <c r="Q3483" s="3"/>
      <c r="R3483" s="3"/>
      <c r="S3483" s="3"/>
      <c r="U3483" t="e">
        <v>#N/A</v>
      </c>
      <c r="V3483" t="s">
        <v>11374</v>
      </c>
      <c r="W3483" s="45">
        <v>0</v>
      </c>
      <c r="X3483" s="45">
        <v>0</v>
      </c>
      <c r="Y3483" s="45">
        <v>0</v>
      </c>
      <c r="Z3483" s="45">
        <v>0</v>
      </c>
      <c r="AA3483" s="45">
        <v>0</v>
      </c>
      <c r="AB3483" s="45">
        <v>0</v>
      </c>
      <c r="AC3483" s="150">
        <v>0</v>
      </c>
      <c r="AD3483" s="150">
        <v>0</v>
      </c>
      <c r="AE3483" s="49">
        <f t="shared" si="163"/>
        <v>0</v>
      </c>
      <c r="AF3483" s="44"/>
      <c r="AG3483" s="17">
        <v>0</v>
      </c>
      <c r="AH3483" s="44">
        <v>1.4</v>
      </c>
      <c r="AI3483" s="44">
        <v>1</v>
      </c>
      <c r="AJ3483" s="17">
        <v>0</v>
      </c>
      <c r="AK3483" s="153">
        <v>0</v>
      </c>
      <c r="AL3483" s="154">
        <v>0</v>
      </c>
      <c r="AM3483" s="17">
        <f t="shared" si="164"/>
        <v>0</v>
      </c>
      <c r="AN3483" t="s">
        <v>723</v>
      </c>
      <c r="AO3483" s="18" t="s">
        <v>729</v>
      </c>
      <c r="AP3483" t="s">
        <v>9888</v>
      </c>
    </row>
    <row r="3484" spans="1:42" customFormat="1" hidden="1" x14ac:dyDescent="0.3">
      <c r="A3484" s="148" t="s">
        <v>8319</v>
      </c>
      <c r="B3484" t="s">
        <v>8320</v>
      </c>
      <c r="C3484" s="148" t="s">
        <v>9410</v>
      </c>
      <c r="D3484" t="s">
        <v>9411</v>
      </c>
      <c r="E3484" s="148" t="s">
        <v>9412</v>
      </c>
      <c r="F3484" t="s">
        <v>9413</v>
      </c>
      <c r="G3484" s="148" t="s">
        <v>11361</v>
      </c>
      <c r="H3484" t="s">
        <v>11362</v>
      </c>
      <c r="K3484" s="148" t="s">
        <v>11375</v>
      </c>
      <c r="L3484" t="s">
        <v>11376</v>
      </c>
      <c r="M3484" t="s">
        <v>11377</v>
      </c>
      <c r="N3484" s="3"/>
      <c r="O3484" s="3"/>
      <c r="P3484" s="3"/>
      <c r="Q3484" s="3"/>
      <c r="R3484" s="3"/>
      <c r="S3484" s="3"/>
      <c r="U3484" t="e">
        <v>#N/A</v>
      </c>
      <c r="V3484" t="s">
        <v>11378</v>
      </c>
      <c r="W3484" s="45">
        <v>0</v>
      </c>
      <c r="X3484" s="45">
        <v>0</v>
      </c>
      <c r="Y3484" s="45">
        <v>0</v>
      </c>
      <c r="Z3484" s="45">
        <v>0</v>
      </c>
      <c r="AA3484" s="45">
        <v>0</v>
      </c>
      <c r="AB3484" s="45">
        <v>0</v>
      </c>
      <c r="AC3484" s="150">
        <v>0</v>
      </c>
      <c r="AD3484" s="150">
        <v>0</v>
      </c>
      <c r="AE3484" s="49">
        <f t="shared" si="163"/>
        <v>0</v>
      </c>
      <c r="AF3484" s="44"/>
      <c r="AG3484" s="17">
        <v>0</v>
      </c>
      <c r="AH3484" s="44">
        <v>0.2</v>
      </c>
      <c r="AI3484" s="44">
        <v>0.2</v>
      </c>
      <c r="AJ3484" s="44">
        <v>0.2</v>
      </c>
      <c r="AK3484" s="151">
        <v>0.2</v>
      </c>
      <c r="AL3484" s="151">
        <v>0.2</v>
      </c>
      <c r="AM3484" s="17">
        <f t="shared" si="164"/>
        <v>0.4</v>
      </c>
      <c r="AN3484" s="44" t="s">
        <v>3643</v>
      </c>
      <c r="AO3484" s="18" t="s">
        <v>3630</v>
      </c>
      <c r="AP3484" t="s">
        <v>1893</v>
      </c>
    </row>
    <row r="3485" spans="1:42" customFormat="1" hidden="1" x14ac:dyDescent="0.3">
      <c r="A3485" s="148" t="s">
        <v>8319</v>
      </c>
      <c r="B3485" t="s">
        <v>8320</v>
      </c>
      <c r="C3485" s="148" t="s">
        <v>9410</v>
      </c>
      <c r="D3485" t="s">
        <v>9411</v>
      </c>
      <c r="E3485" s="148" t="s">
        <v>9412</v>
      </c>
      <c r="F3485" t="s">
        <v>9413</v>
      </c>
      <c r="G3485" s="148" t="s">
        <v>11379</v>
      </c>
      <c r="H3485" t="s">
        <v>11380</v>
      </c>
      <c r="K3485" s="148" t="s">
        <v>11381</v>
      </c>
      <c r="L3485" t="s">
        <v>11382</v>
      </c>
      <c r="M3485" t="s">
        <v>11383</v>
      </c>
      <c r="N3485" s="3">
        <v>3</v>
      </c>
      <c r="O3485" s="3">
        <v>6</v>
      </c>
      <c r="P3485" s="3">
        <v>6</v>
      </c>
      <c r="Q3485" s="3">
        <v>5</v>
      </c>
      <c r="R3485" s="3">
        <v>4</v>
      </c>
      <c r="S3485" s="3"/>
      <c r="T3485" t="s">
        <v>1536</v>
      </c>
      <c r="U3485" t="e">
        <v>#N/A</v>
      </c>
      <c r="V3485" t="s">
        <v>11384</v>
      </c>
      <c r="W3485" s="45"/>
      <c r="X3485" s="45"/>
      <c r="Y3485" s="45"/>
      <c r="Z3485" s="45"/>
      <c r="AA3485" s="45"/>
      <c r="AB3485" s="45"/>
      <c r="AC3485" s="150">
        <v>0</v>
      </c>
      <c r="AD3485" s="150">
        <v>0</v>
      </c>
      <c r="AE3485" s="49">
        <f t="shared" si="163"/>
        <v>0</v>
      </c>
      <c r="AF3485" s="44"/>
      <c r="AG3485" s="17">
        <v>0</v>
      </c>
      <c r="AH3485" s="44">
        <v>0.5</v>
      </c>
      <c r="AI3485" s="44">
        <v>0.5</v>
      </c>
      <c r="AJ3485" s="44">
        <v>0.2</v>
      </c>
      <c r="AK3485" s="151">
        <v>0.2</v>
      </c>
      <c r="AL3485" s="154">
        <v>0</v>
      </c>
      <c r="AM3485" s="17">
        <f t="shared" si="164"/>
        <v>0.2</v>
      </c>
      <c r="AN3485" s="18" t="s">
        <v>771</v>
      </c>
      <c r="AO3485" s="18" t="s">
        <v>773</v>
      </c>
      <c r="AP3485" t="s">
        <v>3643</v>
      </c>
    </row>
    <row r="3486" spans="1:42" customFormat="1" hidden="1" x14ac:dyDescent="0.3">
      <c r="A3486" s="148" t="s">
        <v>8319</v>
      </c>
      <c r="B3486" t="s">
        <v>8320</v>
      </c>
      <c r="C3486" s="148" t="s">
        <v>9410</v>
      </c>
      <c r="D3486" t="s">
        <v>9411</v>
      </c>
      <c r="E3486" s="148" t="s">
        <v>9412</v>
      </c>
      <c r="F3486" t="s">
        <v>9413</v>
      </c>
      <c r="G3486" s="148" t="s">
        <v>11379</v>
      </c>
      <c r="H3486" t="s">
        <v>11380</v>
      </c>
      <c r="K3486" s="148" t="s">
        <v>11381</v>
      </c>
      <c r="L3486" t="s">
        <v>11382</v>
      </c>
      <c r="M3486" t="s">
        <v>11385</v>
      </c>
      <c r="N3486" s="3" t="s">
        <v>9365</v>
      </c>
      <c r="O3486" s="3">
        <v>3</v>
      </c>
      <c r="P3486" s="3">
        <v>3</v>
      </c>
      <c r="Q3486" s="3">
        <v>2</v>
      </c>
      <c r="R3486" s="3">
        <v>2</v>
      </c>
      <c r="S3486" s="3">
        <v>2</v>
      </c>
      <c r="T3486" t="s">
        <v>1536</v>
      </c>
      <c r="U3486" t="e">
        <v>#N/A</v>
      </c>
      <c r="V3486" t="s">
        <v>11386</v>
      </c>
      <c r="W3486" s="45"/>
      <c r="X3486" s="45"/>
      <c r="Y3486" s="45"/>
      <c r="Z3486" s="45"/>
      <c r="AA3486" s="45"/>
      <c r="AB3486" s="45"/>
      <c r="AC3486" s="150">
        <v>0</v>
      </c>
      <c r="AD3486" s="150">
        <v>0</v>
      </c>
      <c r="AE3486" s="49">
        <f t="shared" si="163"/>
        <v>0</v>
      </c>
      <c r="AF3486" s="44"/>
      <c r="AG3486" s="17">
        <v>0</v>
      </c>
      <c r="AH3486" s="44">
        <v>0</v>
      </c>
      <c r="AI3486" s="44">
        <v>0</v>
      </c>
      <c r="AJ3486" s="44">
        <v>0</v>
      </c>
      <c r="AK3486" s="151">
        <v>0</v>
      </c>
      <c r="AL3486" s="151">
        <v>0</v>
      </c>
      <c r="AM3486" s="17">
        <f t="shared" si="164"/>
        <v>0</v>
      </c>
      <c r="AN3486" s="44" t="s">
        <v>771</v>
      </c>
      <c r="AO3486" s="18" t="s">
        <v>773</v>
      </c>
      <c r="AP3486" t="s">
        <v>3643</v>
      </c>
    </row>
    <row r="3487" spans="1:42" customFormat="1" hidden="1" x14ac:dyDescent="0.3">
      <c r="A3487" s="148" t="s">
        <v>8319</v>
      </c>
      <c r="B3487" t="s">
        <v>8320</v>
      </c>
      <c r="C3487" s="148" t="s">
        <v>9410</v>
      </c>
      <c r="D3487" t="s">
        <v>9411</v>
      </c>
      <c r="E3487" s="148" t="s">
        <v>9412</v>
      </c>
      <c r="F3487" t="s">
        <v>9413</v>
      </c>
      <c r="G3487" s="148" t="s">
        <v>11379</v>
      </c>
      <c r="H3487" t="s">
        <v>11380</v>
      </c>
      <c r="K3487" s="148" t="s">
        <v>11381</v>
      </c>
      <c r="L3487" t="s">
        <v>11382</v>
      </c>
      <c r="M3487" t="s">
        <v>11387</v>
      </c>
      <c r="N3487" s="3"/>
      <c r="O3487" s="3">
        <v>1200</v>
      </c>
      <c r="P3487" s="3">
        <v>1200</v>
      </c>
      <c r="Q3487" s="3">
        <v>1200</v>
      </c>
      <c r="R3487" s="3">
        <v>1200</v>
      </c>
      <c r="S3487" s="3">
        <v>1200</v>
      </c>
      <c r="T3487" t="s">
        <v>1536</v>
      </c>
      <c r="U3487" t="e">
        <v>#N/A</v>
      </c>
      <c r="V3487" t="s">
        <v>11388</v>
      </c>
      <c r="W3487" s="45"/>
      <c r="X3487" s="45"/>
      <c r="Y3487" s="45"/>
      <c r="Z3487" s="45"/>
      <c r="AA3487" s="45"/>
      <c r="AB3487" s="45"/>
      <c r="AC3487" s="150">
        <v>0</v>
      </c>
      <c r="AD3487" s="150">
        <v>0</v>
      </c>
      <c r="AE3487" s="49">
        <f t="shared" si="163"/>
        <v>0</v>
      </c>
      <c r="AF3487" s="17"/>
      <c r="AG3487" s="17">
        <v>0</v>
      </c>
      <c r="AH3487" s="17">
        <v>0</v>
      </c>
      <c r="AI3487" s="44">
        <v>0.06</v>
      </c>
      <c r="AJ3487" s="17">
        <v>0</v>
      </c>
      <c r="AK3487" s="153">
        <v>0</v>
      </c>
      <c r="AL3487" s="154">
        <v>0</v>
      </c>
      <c r="AM3487" s="17">
        <f t="shared" si="164"/>
        <v>0</v>
      </c>
      <c r="AN3487" s="44" t="s">
        <v>771</v>
      </c>
      <c r="AO3487" s="18" t="s">
        <v>773</v>
      </c>
      <c r="AP3487" t="s">
        <v>3643</v>
      </c>
    </row>
    <row r="3488" spans="1:42" customFormat="1" hidden="1" x14ac:dyDescent="0.3">
      <c r="A3488" s="148" t="s">
        <v>8319</v>
      </c>
      <c r="B3488" t="s">
        <v>8320</v>
      </c>
      <c r="C3488" s="148" t="s">
        <v>9410</v>
      </c>
      <c r="D3488" t="s">
        <v>9411</v>
      </c>
      <c r="E3488" s="148" t="s">
        <v>9412</v>
      </c>
      <c r="F3488" t="s">
        <v>9413</v>
      </c>
      <c r="G3488" s="148" t="s">
        <v>11379</v>
      </c>
      <c r="H3488" t="s">
        <v>11380</v>
      </c>
      <c r="K3488" s="148" t="s">
        <v>11381</v>
      </c>
      <c r="L3488" t="s">
        <v>11382</v>
      </c>
      <c r="M3488" t="s">
        <v>11389</v>
      </c>
      <c r="N3488" s="3">
        <v>0</v>
      </c>
      <c r="O3488" s="3">
        <v>10</v>
      </c>
      <c r="P3488" s="3">
        <v>10</v>
      </c>
      <c r="Q3488" s="3"/>
      <c r="R3488" s="3"/>
      <c r="S3488" s="3"/>
      <c r="T3488" t="s">
        <v>1536</v>
      </c>
      <c r="U3488" t="e">
        <v>#N/A</v>
      </c>
      <c r="V3488" t="s">
        <v>11390</v>
      </c>
      <c r="W3488" s="45"/>
      <c r="X3488" s="45"/>
      <c r="Y3488" s="45"/>
      <c r="Z3488" s="45"/>
      <c r="AA3488" s="45"/>
      <c r="AB3488" s="45"/>
      <c r="AC3488" s="150">
        <v>0</v>
      </c>
      <c r="AD3488" s="150">
        <v>0</v>
      </c>
      <c r="AE3488" s="49">
        <f t="shared" si="163"/>
        <v>0</v>
      </c>
      <c r="AF3488" s="44"/>
      <c r="AG3488" s="17">
        <v>0</v>
      </c>
      <c r="AH3488" s="44">
        <v>1.3611</v>
      </c>
      <c r="AI3488" s="44" t="s">
        <v>11391</v>
      </c>
      <c r="AJ3488" s="44">
        <v>1.3611</v>
      </c>
      <c r="AK3488" s="151">
        <v>1.3611</v>
      </c>
      <c r="AL3488" s="151">
        <v>1.3611</v>
      </c>
      <c r="AM3488" s="17">
        <f t="shared" si="164"/>
        <v>2.7222</v>
      </c>
      <c r="AN3488" s="18" t="s">
        <v>771</v>
      </c>
      <c r="AO3488" s="18" t="s">
        <v>773</v>
      </c>
      <c r="AP3488" t="s">
        <v>119</v>
      </c>
    </row>
    <row r="3489" spans="1:42" customFormat="1" hidden="1" x14ac:dyDescent="0.3">
      <c r="A3489" s="148" t="s">
        <v>8319</v>
      </c>
      <c r="B3489" t="s">
        <v>8320</v>
      </c>
      <c r="C3489" s="148" t="s">
        <v>9410</v>
      </c>
      <c r="D3489" t="s">
        <v>9411</v>
      </c>
      <c r="E3489" s="148" t="s">
        <v>9412</v>
      </c>
      <c r="F3489" t="s">
        <v>9413</v>
      </c>
      <c r="G3489" s="148" t="s">
        <v>11379</v>
      </c>
      <c r="H3489" t="s">
        <v>11380</v>
      </c>
      <c r="K3489" s="148" t="s">
        <v>11381</v>
      </c>
      <c r="L3489" t="s">
        <v>11382</v>
      </c>
      <c r="M3489" t="s">
        <v>11392</v>
      </c>
      <c r="N3489" s="3">
        <v>32</v>
      </c>
      <c r="O3489" s="3">
        <v>32</v>
      </c>
      <c r="P3489" s="3">
        <v>50</v>
      </c>
      <c r="Q3489" s="3">
        <v>10</v>
      </c>
      <c r="R3489" s="3">
        <v>10</v>
      </c>
      <c r="S3489" s="3">
        <v>10</v>
      </c>
      <c r="T3489" t="s">
        <v>1536</v>
      </c>
      <c r="U3489" t="e">
        <v>#N/A</v>
      </c>
      <c r="V3489" t="s">
        <v>11393</v>
      </c>
      <c r="W3489" s="45"/>
      <c r="X3489" s="45"/>
      <c r="Y3489" s="45"/>
      <c r="Z3489" s="45"/>
      <c r="AA3489" s="45"/>
      <c r="AB3489" s="45"/>
      <c r="AC3489" s="150">
        <v>0</v>
      </c>
      <c r="AD3489" s="150">
        <v>0</v>
      </c>
      <c r="AE3489" s="49">
        <f t="shared" si="163"/>
        <v>0</v>
      </c>
      <c r="AF3489" s="44"/>
      <c r="AG3489" s="17">
        <v>0</v>
      </c>
      <c r="AH3489" s="44">
        <v>0</v>
      </c>
      <c r="AI3489" s="44">
        <v>0</v>
      </c>
      <c r="AJ3489" s="17">
        <v>0</v>
      </c>
      <c r="AK3489" s="153">
        <v>0</v>
      </c>
      <c r="AL3489" s="154">
        <v>0</v>
      </c>
      <c r="AM3489" s="17">
        <f t="shared" si="164"/>
        <v>0</v>
      </c>
      <c r="AN3489" s="18" t="s">
        <v>771</v>
      </c>
      <c r="AO3489" s="18" t="s">
        <v>773</v>
      </c>
      <c r="AP3489" t="s">
        <v>3643</v>
      </c>
    </row>
    <row r="3490" spans="1:42" customFormat="1" hidden="1" x14ac:dyDescent="0.3">
      <c r="A3490" s="148" t="s">
        <v>8319</v>
      </c>
      <c r="B3490" t="s">
        <v>8320</v>
      </c>
      <c r="C3490" s="148" t="s">
        <v>9410</v>
      </c>
      <c r="D3490" t="s">
        <v>9411</v>
      </c>
      <c r="E3490" s="148" t="s">
        <v>9412</v>
      </c>
      <c r="F3490" t="s">
        <v>9413</v>
      </c>
      <c r="G3490" s="148" t="s">
        <v>11379</v>
      </c>
      <c r="H3490" t="s">
        <v>11380</v>
      </c>
      <c r="K3490" s="148" t="s">
        <v>11381</v>
      </c>
      <c r="L3490" t="s">
        <v>11382</v>
      </c>
      <c r="M3490" t="s">
        <v>11394</v>
      </c>
      <c r="N3490" s="3">
        <v>0</v>
      </c>
      <c r="O3490" s="3" t="s">
        <v>271</v>
      </c>
      <c r="P3490" s="3"/>
      <c r="Q3490" s="3">
        <v>1</v>
      </c>
      <c r="R3490" s="3">
        <v>2</v>
      </c>
      <c r="S3490" s="3">
        <v>2</v>
      </c>
      <c r="T3490" t="s">
        <v>1536</v>
      </c>
      <c r="U3490" t="e">
        <v>#N/A</v>
      </c>
      <c r="V3490" t="s">
        <v>11395</v>
      </c>
      <c r="W3490" s="45"/>
      <c r="X3490" s="45"/>
      <c r="Y3490" s="45"/>
      <c r="Z3490" s="45"/>
      <c r="AA3490" s="45"/>
      <c r="AB3490" s="45"/>
      <c r="AC3490" s="150">
        <v>0</v>
      </c>
      <c r="AD3490" s="150">
        <v>0</v>
      </c>
      <c r="AE3490" s="49">
        <f t="shared" si="163"/>
        <v>0</v>
      </c>
      <c r="AF3490" s="44"/>
      <c r="AG3490" s="17">
        <v>0</v>
      </c>
      <c r="AH3490" s="44">
        <v>9.2999999999999999E-2</v>
      </c>
      <c r="AI3490" s="44" t="s">
        <v>11396</v>
      </c>
      <c r="AJ3490" s="44" t="s">
        <v>11396</v>
      </c>
      <c r="AK3490" s="151">
        <v>0.15</v>
      </c>
      <c r="AL3490" s="151">
        <v>0.15</v>
      </c>
      <c r="AM3490" s="17">
        <f t="shared" si="164"/>
        <v>0.3</v>
      </c>
      <c r="AN3490" s="18" t="s">
        <v>771</v>
      </c>
      <c r="AO3490" s="18" t="s">
        <v>773</v>
      </c>
      <c r="AP3490" t="s">
        <v>119</v>
      </c>
    </row>
    <row r="3491" spans="1:42" customFormat="1" hidden="1" x14ac:dyDescent="0.3">
      <c r="A3491" s="148" t="s">
        <v>8319</v>
      </c>
      <c r="B3491" t="s">
        <v>8320</v>
      </c>
      <c r="C3491" s="148" t="s">
        <v>9410</v>
      </c>
      <c r="D3491" t="s">
        <v>9411</v>
      </c>
      <c r="E3491" s="148" t="s">
        <v>9412</v>
      </c>
      <c r="F3491" t="s">
        <v>9413</v>
      </c>
      <c r="G3491" s="148" t="s">
        <v>11379</v>
      </c>
      <c r="H3491" t="s">
        <v>11380</v>
      </c>
      <c r="K3491" s="148" t="s">
        <v>11381</v>
      </c>
      <c r="L3491" t="s">
        <v>11382</v>
      </c>
      <c r="M3491" t="s">
        <v>11397</v>
      </c>
      <c r="N3491" s="3"/>
      <c r="O3491" s="3" t="s">
        <v>271</v>
      </c>
      <c r="P3491" s="3" t="s">
        <v>271</v>
      </c>
      <c r="Q3491" s="3">
        <v>1</v>
      </c>
      <c r="R3491" s="3">
        <v>2</v>
      </c>
      <c r="S3491" s="3">
        <v>1</v>
      </c>
      <c r="T3491" t="s">
        <v>1536</v>
      </c>
      <c r="U3491" t="e">
        <v>#N/A</v>
      </c>
      <c r="V3491" t="s">
        <v>11398</v>
      </c>
      <c r="W3491" s="45"/>
      <c r="X3491" s="45"/>
      <c r="Y3491" s="45"/>
      <c r="Z3491" s="45"/>
      <c r="AA3491" s="45"/>
      <c r="AB3491" s="45"/>
      <c r="AC3491" s="150">
        <v>0</v>
      </c>
      <c r="AD3491" s="150">
        <v>0</v>
      </c>
      <c r="AE3491" s="49">
        <f t="shared" si="163"/>
        <v>0</v>
      </c>
      <c r="AF3491" s="44"/>
      <c r="AG3491" s="17">
        <v>0</v>
      </c>
      <c r="AH3491" s="44">
        <v>0.1</v>
      </c>
      <c r="AI3491" s="44">
        <v>0.12</v>
      </c>
      <c r="AJ3491" s="44">
        <v>0.15</v>
      </c>
      <c r="AK3491" s="151">
        <v>0.15</v>
      </c>
      <c r="AL3491" s="151">
        <v>0.18</v>
      </c>
      <c r="AM3491" s="17">
        <f t="shared" si="164"/>
        <v>0.32999999999999996</v>
      </c>
      <c r="AN3491" s="18" t="s">
        <v>771</v>
      </c>
      <c r="AO3491" s="18" t="s">
        <v>773</v>
      </c>
      <c r="AP3491" t="s">
        <v>11399</v>
      </c>
    </row>
    <row r="3492" spans="1:42" customFormat="1" hidden="1" x14ac:dyDescent="0.3">
      <c r="A3492" s="148" t="s">
        <v>8319</v>
      </c>
      <c r="B3492" t="s">
        <v>8320</v>
      </c>
      <c r="C3492" s="148" t="s">
        <v>9410</v>
      </c>
      <c r="D3492" t="s">
        <v>9411</v>
      </c>
      <c r="E3492" s="148" t="s">
        <v>9412</v>
      </c>
      <c r="F3492" t="s">
        <v>9413</v>
      </c>
      <c r="G3492" s="148" t="s">
        <v>11379</v>
      </c>
      <c r="H3492" t="s">
        <v>11380</v>
      </c>
      <c r="K3492" s="148" t="s">
        <v>11381</v>
      </c>
      <c r="L3492" t="s">
        <v>11382</v>
      </c>
      <c r="M3492" t="s">
        <v>11400</v>
      </c>
      <c r="N3492" s="3"/>
      <c r="O3492" s="3">
        <v>10</v>
      </c>
      <c r="P3492" s="3">
        <v>12</v>
      </c>
      <c r="Q3492" s="3">
        <v>15</v>
      </c>
      <c r="R3492" s="3">
        <v>15</v>
      </c>
      <c r="S3492" s="3">
        <v>18</v>
      </c>
      <c r="T3492" t="s">
        <v>1536</v>
      </c>
      <c r="U3492" t="e">
        <v>#N/A</v>
      </c>
      <c r="V3492" t="s">
        <v>11401</v>
      </c>
      <c r="W3492" s="45"/>
      <c r="X3492" s="45"/>
      <c r="Y3492" s="45"/>
      <c r="Z3492" s="45"/>
      <c r="AA3492" s="45"/>
      <c r="AB3492" s="45"/>
      <c r="AC3492" s="150">
        <v>0</v>
      </c>
      <c r="AD3492" s="150">
        <v>0</v>
      </c>
      <c r="AE3492" s="49">
        <f t="shared" si="163"/>
        <v>0</v>
      </c>
      <c r="AF3492" s="44"/>
      <c r="AG3492" s="17">
        <v>0</v>
      </c>
      <c r="AH3492" s="44">
        <v>0.35</v>
      </c>
      <c r="AI3492" s="44">
        <v>0.35</v>
      </c>
      <c r="AJ3492" s="44">
        <v>0.35</v>
      </c>
      <c r="AK3492" s="151">
        <v>0.35</v>
      </c>
      <c r="AL3492" s="151">
        <v>0.35</v>
      </c>
      <c r="AM3492" s="17">
        <f t="shared" si="164"/>
        <v>0.7</v>
      </c>
      <c r="AN3492" s="18" t="s">
        <v>771</v>
      </c>
      <c r="AO3492" s="18" t="s">
        <v>773</v>
      </c>
      <c r="AP3492" t="s">
        <v>119</v>
      </c>
    </row>
    <row r="3493" spans="1:42" customFormat="1" hidden="1" x14ac:dyDescent="0.3">
      <c r="A3493" s="148" t="s">
        <v>8319</v>
      </c>
      <c r="B3493" t="s">
        <v>8320</v>
      </c>
      <c r="C3493" s="148" t="s">
        <v>9410</v>
      </c>
      <c r="D3493" t="s">
        <v>9411</v>
      </c>
      <c r="E3493" s="148" t="s">
        <v>9412</v>
      </c>
      <c r="F3493" t="s">
        <v>9413</v>
      </c>
      <c r="G3493" s="148" t="s">
        <v>11379</v>
      </c>
      <c r="H3493" t="s">
        <v>11380</v>
      </c>
      <c r="K3493" s="148" t="s">
        <v>11381</v>
      </c>
      <c r="L3493" t="s">
        <v>11382</v>
      </c>
      <c r="M3493" t="s">
        <v>11402</v>
      </c>
      <c r="N3493" s="3"/>
      <c r="O3493" s="3">
        <v>1100</v>
      </c>
      <c r="P3493" s="3">
        <v>1300</v>
      </c>
      <c r="Q3493" s="3">
        <v>1500</v>
      </c>
      <c r="R3493" s="3">
        <v>1700</v>
      </c>
      <c r="S3493" s="3">
        <v>1900</v>
      </c>
      <c r="T3493" t="s">
        <v>1536</v>
      </c>
      <c r="U3493" t="e">
        <v>#N/A</v>
      </c>
      <c r="V3493" t="s">
        <v>11403</v>
      </c>
      <c r="W3493" s="45"/>
      <c r="X3493" s="45"/>
      <c r="Y3493" s="45"/>
      <c r="Z3493" s="45"/>
      <c r="AA3493" s="45"/>
      <c r="AB3493" s="45"/>
      <c r="AC3493" s="150">
        <v>0</v>
      </c>
      <c r="AD3493" s="150">
        <v>0</v>
      </c>
      <c r="AE3493" s="49">
        <f t="shared" si="163"/>
        <v>0</v>
      </c>
      <c r="AF3493" s="17"/>
      <c r="AG3493" s="17">
        <v>0</v>
      </c>
      <c r="AH3493" s="17">
        <v>0</v>
      </c>
      <c r="AI3493" s="44">
        <v>0.3</v>
      </c>
      <c r="AJ3493" s="17">
        <v>0</v>
      </c>
      <c r="AK3493" s="153">
        <v>0</v>
      </c>
      <c r="AL3493" s="151">
        <v>0.3</v>
      </c>
      <c r="AM3493" s="17">
        <f t="shared" si="164"/>
        <v>0.3</v>
      </c>
      <c r="AN3493" s="18" t="s">
        <v>771</v>
      </c>
      <c r="AO3493" s="18" t="s">
        <v>773</v>
      </c>
      <c r="AP3493" t="s">
        <v>831</v>
      </c>
    </row>
    <row r="3494" spans="1:42" customFormat="1" hidden="1" x14ac:dyDescent="0.3">
      <c r="A3494" s="148" t="s">
        <v>8319</v>
      </c>
      <c r="B3494" t="s">
        <v>8320</v>
      </c>
      <c r="C3494" s="148" t="s">
        <v>9410</v>
      </c>
      <c r="D3494" t="s">
        <v>9411</v>
      </c>
      <c r="E3494" s="148" t="s">
        <v>9412</v>
      </c>
      <c r="F3494" t="s">
        <v>9413</v>
      </c>
      <c r="G3494" s="148" t="s">
        <v>11379</v>
      </c>
      <c r="H3494" t="s">
        <v>11380</v>
      </c>
      <c r="K3494" s="148" t="s">
        <v>11381</v>
      </c>
      <c r="L3494" t="s">
        <v>11382</v>
      </c>
      <c r="M3494" t="s">
        <v>11404</v>
      </c>
      <c r="N3494" s="3"/>
      <c r="O3494" s="3" t="s">
        <v>271</v>
      </c>
      <c r="P3494" s="3">
        <v>1</v>
      </c>
      <c r="Q3494" s="3"/>
      <c r="R3494" s="3"/>
      <c r="S3494" s="3">
        <v>1</v>
      </c>
      <c r="T3494" t="s">
        <v>1536</v>
      </c>
      <c r="U3494" t="e">
        <v>#N/A</v>
      </c>
      <c r="V3494" t="s">
        <v>11405</v>
      </c>
      <c r="W3494" s="45"/>
      <c r="X3494" s="45"/>
      <c r="Y3494" s="45"/>
      <c r="Z3494" s="45"/>
      <c r="AA3494" s="45"/>
      <c r="AB3494" s="45"/>
      <c r="AC3494" s="150">
        <v>0</v>
      </c>
      <c r="AD3494" s="150">
        <v>0</v>
      </c>
      <c r="AE3494" s="49">
        <f t="shared" si="163"/>
        <v>0</v>
      </c>
      <c r="AF3494" s="44"/>
      <c r="AG3494" s="17">
        <v>0</v>
      </c>
      <c r="AH3494" s="44">
        <v>0.4</v>
      </c>
      <c r="AI3494" s="44" t="s">
        <v>4406</v>
      </c>
      <c r="AJ3494" s="44">
        <v>0.6</v>
      </c>
      <c r="AK3494" s="151">
        <v>0.6</v>
      </c>
      <c r="AL3494" s="151" t="s">
        <v>11406</v>
      </c>
      <c r="AM3494" s="17">
        <f t="shared" si="164"/>
        <v>0.6</v>
      </c>
      <c r="AN3494" s="18" t="s">
        <v>771</v>
      </c>
      <c r="AO3494" s="18" t="s">
        <v>773</v>
      </c>
      <c r="AP3494" t="s">
        <v>63</v>
      </c>
    </row>
    <row r="3495" spans="1:42" customFormat="1" hidden="1" x14ac:dyDescent="0.3">
      <c r="A3495" s="148" t="s">
        <v>8319</v>
      </c>
      <c r="B3495" t="s">
        <v>8320</v>
      </c>
      <c r="C3495" s="148" t="s">
        <v>9410</v>
      </c>
      <c r="D3495" t="s">
        <v>9411</v>
      </c>
      <c r="E3495" s="148" t="s">
        <v>9412</v>
      </c>
      <c r="F3495" t="s">
        <v>9413</v>
      </c>
      <c r="G3495" s="148" t="s">
        <v>11379</v>
      </c>
      <c r="H3495" t="s">
        <v>11380</v>
      </c>
      <c r="K3495" s="148" t="s">
        <v>11381</v>
      </c>
      <c r="L3495" t="s">
        <v>11382</v>
      </c>
      <c r="M3495" t="s">
        <v>11407</v>
      </c>
      <c r="N3495" s="3"/>
      <c r="O3495" s="3">
        <v>5</v>
      </c>
      <c r="P3495" s="3">
        <v>20</v>
      </c>
      <c r="Q3495" s="3">
        <v>20</v>
      </c>
      <c r="R3495" s="3">
        <v>20</v>
      </c>
      <c r="S3495" s="3">
        <v>20</v>
      </c>
      <c r="T3495" t="s">
        <v>1536</v>
      </c>
      <c r="U3495" t="e">
        <v>#N/A</v>
      </c>
      <c r="V3495" t="s">
        <v>11408</v>
      </c>
      <c r="W3495" s="45"/>
      <c r="X3495" s="45"/>
      <c r="Y3495" s="45"/>
      <c r="Z3495" s="45"/>
      <c r="AA3495" s="45"/>
      <c r="AB3495" s="45"/>
      <c r="AC3495" s="150">
        <v>0</v>
      </c>
      <c r="AD3495" s="150">
        <v>0</v>
      </c>
      <c r="AE3495" s="49">
        <f t="shared" si="163"/>
        <v>0</v>
      </c>
      <c r="AF3495" s="17"/>
      <c r="AG3495" s="17">
        <v>0</v>
      </c>
      <c r="AH3495" s="17">
        <v>0</v>
      </c>
      <c r="AI3495" s="17">
        <v>0</v>
      </c>
      <c r="AJ3495" s="17">
        <v>0</v>
      </c>
      <c r="AK3495" s="153">
        <v>0</v>
      </c>
      <c r="AL3495" s="154">
        <v>0</v>
      </c>
      <c r="AM3495" s="17">
        <f t="shared" si="164"/>
        <v>0</v>
      </c>
      <c r="AN3495" t="s">
        <v>3643</v>
      </c>
      <c r="AO3495" s="18" t="s">
        <v>3630</v>
      </c>
      <c r="AP3495" t="s">
        <v>7194</v>
      </c>
    </row>
    <row r="3496" spans="1:42" customFormat="1" hidden="1" x14ac:dyDescent="0.3">
      <c r="A3496" s="148" t="s">
        <v>8319</v>
      </c>
      <c r="B3496" t="s">
        <v>8320</v>
      </c>
      <c r="C3496" s="148" t="s">
        <v>9410</v>
      </c>
      <c r="D3496" t="s">
        <v>9411</v>
      </c>
      <c r="E3496" s="148" t="s">
        <v>9412</v>
      </c>
      <c r="F3496" t="s">
        <v>9413</v>
      </c>
      <c r="G3496" s="148" t="s">
        <v>11379</v>
      </c>
      <c r="H3496" t="s">
        <v>11380</v>
      </c>
      <c r="K3496" s="148" t="s">
        <v>11381</v>
      </c>
      <c r="L3496" t="s">
        <v>11382</v>
      </c>
      <c r="M3496" t="s">
        <v>11409</v>
      </c>
      <c r="N3496" s="3"/>
      <c r="O3496" s="3">
        <v>850</v>
      </c>
      <c r="P3496" s="3">
        <v>1050</v>
      </c>
      <c r="Q3496" s="3">
        <v>1200</v>
      </c>
      <c r="R3496" s="3">
        <v>1250</v>
      </c>
      <c r="S3496" s="3">
        <v>1300</v>
      </c>
      <c r="T3496" t="s">
        <v>1536</v>
      </c>
      <c r="U3496" t="e">
        <v>#N/A</v>
      </c>
      <c r="V3496" t="s">
        <v>11410</v>
      </c>
      <c r="W3496" s="45"/>
      <c r="X3496" s="45"/>
      <c r="Y3496" s="45"/>
      <c r="Z3496" s="45"/>
      <c r="AA3496" s="45"/>
      <c r="AB3496" s="45"/>
      <c r="AC3496" s="150">
        <v>0</v>
      </c>
      <c r="AD3496" s="150">
        <v>0</v>
      </c>
      <c r="AE3496" s="49">
        <f t="shared" si="163"/>
        <v>0</v>
      </c>
      <c r="AF3496" s="17"/>
      <c r="AG3496" s="17">
        <v>0</v>
      </c>
      <c r="AH3496" s="17">
        <v>0</v>
      </c>
      <c r="AI3496" s="17">
        <v>0</v>
      </c>
      <c r="AJ3496" s="17">
        <v>0</v>
      </c>
      <c r="AK3496" s="153">
        <v>0</v>
      </c>
      <c r="AL3496" s="154">
        <v>0</v>
      </c>
      <c r="AM3496" s="17">
        <f t="shared" si="164"/>
        <v>0</v>
      </c>
      <c r="AN3496" s="18" t="s">
        <v>771</v>
      </c>
      <c r="AO3496" s="18" t="s">
        <v>773</v>
      </c>
      <c r="AP3496" t="s">
        <v>7194</v>
      </c>
    </row>
    <row r="3497" spans="1:42" customFormat="1" hidden="1" x14ac:dyDescent="0.3">
      <c r="A3497" s="148" t="s">
        <v>8319</v>
      </c>
      <c r="B3497" t="s">
        <v>8320</v>
      </c>
      <c r="C3497" s="148" t="s">
        <v>9410</v>
      </c>
      <c r="D3497" t="s">
        <v>9411</v>
      </c>
      <c r="E3497" s="148" t="s">
        <v>9412</v>
      </c>
      <c r="F3497" t="s">
        <v>9413</v>
      </c>
      <c r="G3497" s="148" t="s">
        <v>11379</v>
      </c>
      <c r="H3497" t="s">
        <v>11380</v>
      </c>
      <c r="K3497" s="148" t="s">
        <v>11381</v>
      </c>
      <c r="L3497" t="s">
        <v>11382</v>
      </c>
      <c r="M3497" t="s">
        <v>11411</v>
      </c>
      <c r="N3497" s="3"/>
      <c r="O3497" s="3"/>
      <c r="P3497" s="3">
        <v>1</v>
      </c>
      <c r="Q3497" s="3"/>
      <c r="R3497" s="3"/>
      <c r="S3497" s="3"/>
      <c r="T3497" t="s">
        <v>3643</v>
      </c>
      <c r="U3497" t="s">
        <v>3630</v>
      </c>
      <c r="W3497" s="45"/>
      <c r="X3497" s="45"/>
      <c r="Y3497" s="45"/>
      <c r="Z3497" s="45"/>
      <c r="AA3497" s="45"/>
      <c r="AB3497" s="45"/>
      <c r="AC3497" s="150">
        <v>0</v>
      </c>
      <c r="AD3497" s="150">
        <v>0</v>
      </c>
      <c r="AE3497" s="49">
        <f t="shared" si="163"/>
        <v>0</v>
      </c>
      <c r="AF3497" s="17"/>
      <c r="AG3497" s="17">
        <v>0</v>
      </c>
      <c r="AH3497" s="17"/>
      <c r="AI3497" s="17"/>
      <c r="AJ3497" s="17"/>
      <c r="AK3497" s="153"/>
      <c r="AL3497" s="154"/>
      <c r="AM3497" s="17">
        <f t="shared" si="164"/>
        <v>0</v>
      </c>
      <c r="AN3497" s="18"/>
      <c r="AO3497" s="18"/>
    </row>
    <row r="3498" spans="1:42" customFormat="1" hidden="1" x14ac:dyDescent="0.3">
      <c r="A3498" s="148" t="s">
        <v>8319</v>
      </c>
      <c r="B3498" t="s">
        <v>8320</v>
      </c>
      <c r="C3498" s="148" t="s">
        <v>9410</v>
      </c>
      <c r="D3498" t="s">
        <v>9411</v>
      </c>
      <c r="E3498" s="148" t="s">
        <v>9412</v>
      </c>
      <c r="F3498" t="s">
        <v>9413</v>
      </c>
      <c r="G3498" s="148" t="s">
        <v>11379</v>
      </c>
      <c r="H3498" t="s">
        <v>11380</v>
      </c>
      <c r="K3498" s="148" t="s">
        <v>11412</v>
      </c>
      <c r="L3498" t="s">
        <v>11413</v>
      </c>
      <c r="M3498" t="s">
        <v>11414</v>
      </c>
      <c r="N3498" s="3">
        <v>0</v>
      </c>
      <c r="O3498" s="3" t="s">
        <v>271</v>
      </c>
      <c r="P3498" s="3">
        <v>1</v>
      </c>
      <c r="Q3498" s="3"/>
      <c r="R3498" s="3"/>
      <c r="S3498" s="3"/>
      <c r="T3498" t="s">
        <v>11415</v>
      </c>
      <c r="U3498" t="e">
        <v>#N/A</v>
      </c>
      <c r="V3498" t="s">
        <v>11416</v>
      </c>
      <c r="W3498" s="45"/>
      <c r="X3498" s="45"/>
      <c r="Y3498" s="45"/>
      <c r="Z3498" s="45"/>
      <c r="AA3498" s="45"/>
      <c r="AB3498" s="45"/>
      <c r="AC3498" s="150">
        <v>0</v>
      </c>
      <c r="AD3498" s="150">
        <v>0</v>
      </c>
      <c r="AE3498" s="49">
        <f t="shared" si="163"/>
        <v>0</v>
      </c>
      <c r="AF3498" s="17"/>
      <c r="AG3498" s="17">
        <v>0</v>
      </c>
      <c r="AH3498" s="17">
        <v>0</v>
      </c>
      <c r="AI3498" s="17">
        <v>0</v>
      </c>
      <c r="AJ3498" s="17">
        <v>0</v>
      </c>
      <c r="AK3498" s="151">
        <v>0.2</v>
      </c>
      <c r="AL3498" s="154">
        <v>0</v>
      </c>
      <c r="AM3498" s="17">
        <f t="shared" si="164"/>
        <v>0.2</v>
      </c>
      <c r="AN3498" s="18" t="s">
        <v>771</v>
      </c>
      <c r="AO3498" s="18" t="s">
        <v>773</v>
      </c>
      <c r="AP3498" t="s">
        <v>11417</v>
      </c>
    </row>
    <row r="3499" spans="1:42" customFormat="1" hidden="1" x14ac:dyDescent="0.3">
      <c r="A3499" s="148" t="s">
        <v>8319</v>
      </c>
      <c r="B3499" t="s">
        <v>8320</v>
      </c>
      <c r="C3499" s="148" t="s">
        <v>9410</v>
      </c>
      <c r="D3499" t="s">
        <v>9411</v>
      </c>
      <c r="E3499" s="148" t="s">
        <v>9412</v>
      </c>
      <c r="F3499" t="s">
        <v>9413</v>
      </c>
      <c r="G3499" s="148" t="s">
        <v>11379</v>
      </c>
      <c r="H3499" t="s">
        <v>11380</v>
      </c>
      <c r="K3499" s="148" t="s">
        <v>11412</v>
      </c>
      <c r="L3499" t="s">
        <v>11413</v>
      </c>
      <c r="M3499" t="s">
        <v>11418</v>
      </c>
      <c r="N3499" s="3">
        <v>0</v>
      </c>
      <c r="O3499" s="3"/>
      <c r="P3499" s="3">
        <v>10</v>
      </c>
      <c r="Q3499" s="3">
        <v>10</v>
      </c>
      <c r="R3499" s="3"/>
      <c r="S3499" s="3">
        <v>1</v>
      </c>
      <c r="T3499" t="s">
        <v>1536</v>
      </c>
      <c r="U3499" t="e">
        <v>#N/A</v>
      </c>
      <c r="V3499" t="s">
        <v>11419</v>
      </c>
      <c r="W3499" s="45"/>
      <c r="X3499" s="45"/>
      <c r="Y3499" s="45"/>
      <c r="Z3499" s="45"/>
      <c r="AA3499" s="45"/>
      <c r="AB3499" s="45"/>
      <c r="AC3499" s="150">
        <v>0</v>
      </c>
      <c r="AD3499" s="150">
        <v>0</v>
      </c>
      <c r="AE3499" s="49">
        <f t="shared" si="163"/>
        <v>0</v>
      </c>
      <c r="AF3499" s="17"/>
      <c r="AG3499" s="17">
        <v>0</v>
      </c>
      <c r="AH3499" s="17">
        <v>0</v>
      </c>
      <c r="AI3499" s="44">
        <v>0.26</v>
      </c>
      <c r="AJ3499" s="44">
        <v>0.26</v>
      </c>
      <c r="AK3499" s="153">
        <v>0</v>
      </c>
      <c r="AL3499" s="154">
        <v>0</v>
      </c>
      <c r="AM3499" s="17">
        <f t="shared" si="164"/>
        <v>0</v>
      </c>
      <c r="AN3499" s="18" t="s">
        <v>771</v>
      </c>
      <c r="AO3499" s="18" t="s">
        <v>773</v>
      </c>
      <c r="AP3499" t="s">
        <v>101</v>
      </c>
    </row>
    <row r="3500" spans="1:42" customFormat="1" hidden="1" x14ac:dyDescent="0.3">
      <c r="A3500" s="148" t="s">
        <v>8319</v>
      </c>
      <c r="B3500" t="s">
        <v>8320</v>
      </c>
      <c r="C3500" s="148" t="s">
        <v>9410</v>
      </c>
      <c r="D3500" t="s">
        <v>9411</v>
      </c>
      <c r="E3500" s="148" t="s">
        <v>9412</v>
      </c>
      <c r="F3500" t="s">
        <v>9413</v>
      </c>
      <c r="G3500" s="148" t="s">
        <v>11379</v>
      </c>
      <c r="H3500" t="s">
        <v>11380</v>
      </c>
      <c r="K3500" s="148" t="s">
        <v>11412</v>
      </c>
      <c r="L3500" t="s">
        <v>11413</v>
      </c>
      <c r="M3500" t="s">
        <v>11420</v>
      </c>
      <c r="N3500" s="3"/>
      <c r="O3500" s="3">
        <v>500</v>
      </c>
      <c r="P3500" s="3">
        <v>1000</v>
      </c>
      <c r="Q3500" s="3">
        <v>1100</v>
      </c>
      <c r="R3500" s="3">
        <v>1200</v>
      </c>
      <c r="S3500" s="3">
        <v>1300</v>
      </c>
      <c r="T3500" t="s">
        <v>771</v>
      </c>
      <c r="U3500" t="s">
        <v>773</v>
      </c>
      <c r="V3500" t="s">
        <v>11421</v>
      </c>
      <c r="W3500" s="45"/>
      <c r="X3500" s="45"/>
      <c r="Y3500" s="45"/>
      <c r="Z3500" s="45"/>
      <c r="AA3500" s="45"/>
      <c r="AB3500" s="45"/>
      <c r="AC3500" s="150">
        <v>0</v>
      </c>
      <c r="AD3500" s="150">
        <v>0</v>
      </c>
      <c r="AE3500" s="49">
        <f t="shared" si="163"/>
        <v>0</v>
      </c>
      <c r="AF3500" s="44"/>
      <c r="AG3500" s="17">
        <v>0</v>
      </c>
      <c r="AH3500" s="44">
        <v>1</v>
      </c>
      <c r="AI3500" s="44">
        <v>1</v>
      </c>
      <c r="AJ3500" s="44">
        <v>1</v>
      </c>
      <c r="AK3500" s="151">
        <v>1</v>
      </c>
      <c r="AL3500" s="151">
        <v>1</v>
      </c>
      <c r="AM3500" s="17">
        <f t="shared" si="164"/>
        <v>2</v>
      </c>
      <c r="AN3500" s="18" t="s">
        <v>771</v>
      </c>
      <c r="AO3500" s="18" t="s">
        <v>773</v>
      </c>
      <c r="AP3500" t="s">
        <v>101</v>
      </c>
    </row>
    <row r="3501" spans="1:42" customFormat="1" hidden="1" x14ac:dyDescent="0.3">
      <c r="A3501" s="148" t="s">
        <v>8319</v>
      </c>
      <c r="B3501" t="s">
        <v>8320</v>
      </c>
      <c r="C3501" s="148" t="s">
        <v>9410</v>
      </c>
      <c r="D3501" t="s">
        <v>9411</v>
      </c>
      <c r="E3501" s="148" t="s">
        <v>9412</v>
      </c>
      <c r="F3501" t="s">
        <v>9413</v>
      </c>
      <c r="G3501" s="148" t="s">
        <v>11379</v>
      </c>
      <c r="H3501" t="s">
        <v>11380</v>
      </c>
      <c r="K3501" s="148" t="s">
        <v>11412</v>
      </c>
      <c r="L3501" t="s">
        <v>11413</v>
      </c>
      <c r="M3501" t="s">
        <v>11422</v>
      </c>
      <c r="N3501" s="3">
        <v>6</v>
      </c>
      <c r="O3501" s="3">
        <v>16</v>
      </c>
      <c r="P3501" s="3">
        <v>16</v>
      </c>
      <c r="Q3501" s="3">
        <v>16</v>
      </c>
      <c r="R3501" s="3">
        <v>16</v>
      </c>
      <c r="S3501" s="3">
        <v>16</v>
      </c>
      <c r="T3501" t="s">
        <v>771</v>
      </c>
      <c r="U3501" t="s">
        <v>773</v>
      </c>
      <c r="V3501" t="s">
        <v>11423</v>
      </c>
      <c r="W3501" s="45"/>
      <c r="X3501" s="45"/>
      <c r="Y3501" s="45"/>
      <c r="Z3501" s="45"/>
      <c r="AA3501" s="45"/>
      <c r="AB3501" s="45"/>
      <c r="AC3501" s="150">
        <v>0</v>
      </c>
      <c r="AD3501" s="150">
        <v>0</v>
      </c>
      <c r="AE3501" s="49">
        <f t="shared" si="163"/>
        <v>0</v>
      </c>
      <c r="AF3501" s="17"/>
      <c r="AG3501" s="17">
        <v>0</v>
      </c>
      <c r="AH3501" s="17">
        <v>0</v>
      </c>
      <c r="AI3501" s="44">
        <v>0.4</v>
      </c>
      <c r="AJ3501" s="17">
        <v>0</v>
      </c>
      <c r="AK3501" s="153">
        <v>0</v>
      </c>
      <c r="AL3501" s="151">
        <v>0.4</v>
      </c>
      <c r="AM3501" s="17">
        <f t="shared" si="164"/>
        <v>0.4</v>
      </c>
      <c r="AN3501" s="18" t="s">
        <v>771</v>
      </c>
      <c r="AO3501" s="18" t="s">
        <v>773</v>
      </c>
      <c r="AP3501" t="s">
        <v>407</v>
      </c>
    </row>
    <row r="3502" spans="1:42" customFormat="1" hidden="1" x14ac:dyDescent="0.3">
      <c r="A3502" s="148" t="s">
        <v>8319</v>
      </c>
      <c r="B3502" t="s">
        <v>8320</v>
      </c>
      <c r="C3502" s="148" t="s">
        <v>9410</v>
      </c>
      <c r="D3502" t="s">
        <v>9411</v>
      </c>
      <c r="E3502" s="148" t="s">
        <v>9412</v>
      </c>
      <c r="F3502" t="s">
        <v>9413</v>
      </c>
      <c r="G3502" s="148" t="s">
        <v>11379</v>
      </c>
      <c r="H3502" t="s">
        <v>11380</v>
      </c>
      <c r="K3502" s="148" t="s">
        <v>11412</v>
      </c>
      <c r="L3502" t="s">
        <v>11413</v>
      </c>
      <c r="M3502" t="s">
        <v>11424</v>
      </c>
      <c r="N3502" s="3">
        <v>4</v>
      </c>
      <c r="O3502" s="3"/>
      <c r="P3502" s="3">
        <v>10</v>
      </c>
      <c r="Q3502" s="3">
        <v>10</v>
      </c>
      <c r="R3502" s="3"/>
      <c r="S3502" s="3"/>
      <c r="T3502" t="s">
        <v>771</v>
      </c>
      <c r="U3502" t="s">
        <v>773</v>
      </c>
      <c r="V3502" t="s">
        <v>11425</v>
      </c>
      <c r="W3502" s="45"/>
      <c r="X3502" s="45"/>
      <c r="Y3502" s="45"/>
      <c r="Z3502" s="45"/>
      <c r="AA3502" s="45"/>
      <c r="AB3502" s="45"/>
      <c r="AC3502" s="150">
        <v>0</v>
      </c>
      <c r="AD3502" s="150">
        <v>0</v>
      </c>
      <c r="AE3502" s="49">
        <f t="shared" si="163"/>
        <v>0</v>
      </c>
      <c r="AF3502" s="44"/>
      <c r="AG3502" s="17">
        <v>0</v>
      </c>
      <c r="AH3502" s="44">
        <v>0.2</v>
      </c>
      <c r="AI3502" s="44">
        <v>0.2</v>
      </c>
      <c r="AJ3502" s="44">
        <v>0.2</v>
      </c>
      <c r="AK3502" s="151">
        <v>0.2</v>
      </c>
      <c r="AL3502" s="151">
        <v>0.2</v>
      </c>
      <c r="AM3502" s="17">
        <f t="shared" si="164"/>
        <v>0.4</v>
      </c>
      <c r="AN3502" s="18" t="s">
        <v>771</v>
      </c>
      <c r="AO3502" s="18" t="s">
        <v>773</v>
      </c>
      <c r="AP3502" t="s">
        <v>11426</v>
      </c>
    </row>
    <row r="3503" spans="1:42" customFormat="1" hidden="1" x14ac:dyDescent="0.3">
      <c r="A3503" s="148" t="s">
        <v>8319</v>
      </c>
      <c r="B3503" t="s">
        <v>8320</v>
      </c>
      <c r="C3503" s="148" t="s">
        <v>9410</v>
      </c>
      <c r="D3503" t="s">
        <v>9411</v>
      </c>
      <c r="E3503" s="148" t="s">
        <v>9412</v>
      </c>
      <c r="F3503" t="s">
        <v>9413</v>
      </c>
      <c r="G3503" s="148" t="s">
        <v>11379</v>
      </c>
      <c r="H3503" t="s">
        <v>11380</v>
      </c>
      <c r="K3503" s="148" t="s">
        <v>11412</v>
      </c>
      <c r="L3503" t="s">
        <v>11413</v>
      </c>
      <c r="M3503" t="s">
        <v>11387</v>
      </c>
      <c r="N3503" s="3"/>
      <c r="O3503" s="3">
        <v>240</v>
      </c>
      <c r="P3503" s="3">
        <v>280</v>
      </c>
      <c r="Q3503" s="3">
        <v>320</v>
      </c>
      <c r="R3503" s="3">
        <v>400</v>
      </c>
      <c r="S3503" s="3">
        <v>600</v>
      </c>
      <c r="T3503" t="s">
        <v>771</v>
      </c>
      <c r="U3503" t="s">
        <v>773</v>
      </c>
      <c r="V3503" t="s">
        <v>11427</v>
      </c>
      <c r="W3503" s="45"/>
      <c r="X3503" s="45"/>
      <c r="Y3503" s="45"/>
      <c r="Z3503" s="45"/>
      <c r="AA3503" s="45"/>
      <c r="AB3503" s="45"/>
      <c r="AC3503" s="150">
        <v>0</v>
      </c>
      <c r="AD3503" s="150">
        <v>0</v>
      </c>
      <c r="AE3503" s="49">
        <f t="shared" si="163"/>
        <v>0</v>
      </c>
      <c r="AF3503" s="17"/>
      <c r="AG3503" s="17">
        <v>0</v>
      </c>
      <c r="AH3503" s="17">
        <v>0</v>
      </c>
      <c r="AI3503" s="44">
        <v>0.4</v>
      </c>
      <c r="AJ3503" s="44">
        <v>0.6</v>
      </c>
      <c r="AK3503" s="153">
        <v>0</v>
      </c>
      <c r="AL3503" s="154">
        <v>0</v>
      </c>
      <c r="AM3503" s="17">
        <f t="shared" si="164"/>
        <v>0</v>
      </c>
      <c r="AN3503" s="18" t="s">
        <v>771</v>
      </c>
      <c r="AO3503" s="18" t="s">
        <v>773</v>
      </c>
      <c r="AP3503" t="s">
        <v>119</v>
      </c>
    </row>
    <row r="3504" spans="1:42" customFormat="1" hidden="1" x14ac:dyDescent="0.3">
      <c r="A3504" s="148" t="s">
        <v>8319</v>
      </c>
      <c r="B3504" t="s">
        <v>8320</v>
      </c>
      <c r="C3504" s="148" t="s">
        <v>9410</v>
      </c>
      <c r="D3504" t="s">
        <v>9411</v>
      </c>
      <c r="E3504" s="148" t="s">
        <v>9412</v>
      </c>
      <c r="F3504" t="s">
        <v>9413</v>
      </c>
      <c r="G3504" s="148" t="s">
        <v>11379</v>
      </c>
      <c r="H3504" t="s">
        <v>11380</v>
      </c>
      <c r="K3504" s="148" t="s">
        <v>11412</v>
      </c>
      <c r="L3504" t="s">
        <v>11413</v>
      </c>
      <c r="M3504" t="s">
        <v>11428</v>
      </c>
      <c r="N3504" s="3"/>
      <c r="O3504" s="3"/>
      <c r="P3504" s="3"/>
      <c r="Q3504" s="3" t="s">
        <v>3532</v>
      </c>
      <c r="R3504" s="3"/>
      <c r="S3504" s="3"/>
      <c r="T3504" t="s">
        <v>771</v>
      </c>
      <c r="U3504" t="s">
        <v>773</v>
      </c>
      <c r="V3504" t="s">
        <v>11429</v>
      </c>
      <c r="W3504" s="45"/>
      <c r="X3504" s="45"/>
      <c r="Y3504" s="45"/>
      <c r="Z3504" s="45"/>
      <c r="AA3504" s="45"/>
      <c r="AB3504" s="45"/>
      <c r="AC3504" s="150">
        <v>0</v>
      </c>
      <c r="AD3504" s="150">
        <v>0</v>
      </c>
      <c r="AE3504" s="49">
        <f t="shared" si="163"/>
        <v>0</v>
      </c>
      <c r="AF3504" s="44"/>
      <c r="AG3504" s="17">
        <v>0</v>
      </c>
      <c r="AH3504" s="44">
        <v>0</v>
      </c>
      <c r="AI3504" s="44">
        <v>0</v>
      </c>
      <c r="AJ3504" s="44">
        <v>0</v>
      </c>
      <c r="AK3504" s="151">
        <v>0</v>
      </c>
      <c r="AL3504" s="151">
        <v>0</v>
      </c>
      <c r="AM3504" s="17">
        <f t="shared" si="164"/>
        <v>0</v>
      </c>
      <c r="AN3504" s="18" t="s">
        <v>771</v>
      </c>
      <c r="AO3504" s="18" t="s">
        <v>773</v>
      </c>
      <c r="AP3504" t="s">
        <v>3643</v>
      </c>
    </row>
    <row r="3505" spans="1:42" customFormat="1" hidden="1" x14ac:dyDescent="0.3">
      <c r="A3505" s="148" t="s">
        <v>8319</v>
      </c>
      <c r="B3505" t="s">
        <v>8320</v>
      </c>
      <c r="C3505" s="148" t="s">
        <v>9410</v>
      </c>
      <c r="D3505" t="s">
        <v>9411</v>
      </c>
      <c r="E3505" s="148" t="s">
        <v>9412</v>
      </c>
      <c r="F3505" t="s">
        <v>9413</v>
      </c>
      <c r="G3505" s="148" t="s">
        <v>11379</v>
      </c>
      <c r="H3505" t="s">
        <v>11380</v>
      </c>
      <c r="K3505" s="148" t="s">
        <v>11412</v>
      </c>
      <c r="L3505" t="s">
        <v>11413</v>
      </c>
      <c r="N3505" s="3"/>
      <c r="O3505" s="3"/>
      <c r="P3505" s="3"/>
      <c r="Q3505" s="3"/>
      <c r="R3505" s="3"/>
      <c r="S3505" s="3"/>
      <c r="U3505" t="e">
        <v>#N/A</v>
      </c>
      <c r="V3505" t="s">
        <v>11430</v>
      </c>
      <c r="W3505" s="45"/>
      <c r="X3505" s="45"/>
      <c r="Y3505" s="45"/>
      <c r="Z3505" s="45"/>
      <c r="AA3505" s="45"/>
      <c r="AB3505" s="45"/>
      <c r="AC3505" s="150">
        <v>0</v>
      </c>
      <c r="AD3505" s="150">
        <v>0</v>
      </c>
      <c r="AE3505" s="49">
        <f t="shared" si="163"/>
        <v>0</v>
      </c>
      <c r="AF3505" s="17"/>
      <c r="AG3505" s="17">
        <v>0</v>
      </c>
      <c r="AH3505" s="17">
        <v>0</v>
      </c>
      <c r="AI3505" s="17">
        <v>0</v>
      </c>
      <c r="AJ3505" s="44">
        <v>10</v>
      </c>
      <c r="AK3505" s="153">
        <v>0</v>
      </c>
      <c r="AL3505" s="154">
        <v>0</v>
      </c>
      <c r="AM3505" s="17">
        <f t="shared" si="164"/>
        <v>0</v>
      </c>
      <c r="AN3505" s="18" t="s">
        <v>771</v>
      </c>
      <c r="AO3505" s="18" t="s">
        <v>773</v>
      </c>
      <c r="AP3505" t="s">
        <v>4825</v>
      </c>
    </row>
    <row r="3506" spans="1:42" customFormat="1" hidden="1" x14ac:dyDescent="0.3">
      <c r="A3506" s="148" t="s">
        <v>8319</v>
      </c>
      <c r="B3506" t="s">
        <v>8320</v>
      </c>
      <c r="C3506" s="148" t="s">
        <v>9410</v>
      </c>
      <c r="D3506" t="s">
        <v>9411</v>
      </c>
      <c r="E3506" s="148" t="s">
        <v>9412</v>
      </c>
      <c r="F3506" t="s">
        <v>9413</v>
      </c>
      <c r="G3506" s="148" t="s">
        <v>11379</v>
      </c>
      <c r="H3506" t="s">
        <v>11380</v>
      </c>
      <c r="K3506" s="148" t="s">
        <v>11431</v>
      </c>
      <c r="L3506" t="s">
        <v>11432</v>
      </c>
      <c r="M3506" t="s">
        <v>11433</v>
      </c>
      <c r="N3506" s="3">
        <v>1000</v>
      </c>
      <c r="O3506" s="3">
        <v>1100</v>
      </c>
      <c r="P3506" s="3">
        <v>1500</v>
      </c>
      <c r="Q3506" s="3">
        <v>1700</v>
      </c>
      <c r="R3506" s="3">
        <v>2000</v>
      </c>
      <c r="S3506" s="3">
        <v>2200</v>
      </c>
      <c r="T3506" t="s">
        <v>771</v>
      </c>
      <c r="U3506" t="s">
        <v>773</v>
      </c>
      <c r="W3506" s="45"/>
      <c r="X3506" s="45"/>
      <c r="Y3506" s="45"/>
      <c r="Z3506" s="45"/>
      <c r="AA3506" s="45"/>
      <c r="AB3506" s="45"/>
      <c r="AC3506" s="150">
        <v>0</v>
      </c>
      <c r="AD3506" s="150">
        <v>0</v>
      </c>
      <c r="AE3506" s="49">
        <f t="shared" si="163"/>
        <v>0</v>
      </c>
      <c r="AF3506" s="17"/>
      <c r="AG3506" s="17">
        <v>0</v>
      </c>
      <c r="AH3506" s="17"/>
      <c r="AI3506" s="17"/>
      <c r="AJ3506" s="4"/>
      <c r="AK3506" s="153"/>
      <c r="AL3506" s="154"/>
      <c r="AM3506" s="17">
        <f t="shared" si="164"/>
        <v>0</v>
      </c>
      <c r="AN3506" s="18"/>
      <c r="AO3506" s="18"/>
    </row>
    <row r="3507" spans="1:42" customFormat="1" hidden="1" x14ac:dyDescent="0.3">
      <c r="A3507" s="148" t="s">
        <v>8319</v>
      </c>
      <c r="B3507" t="s">
        <v>8320</v>
      </c>
      <c r="C3507" s="148" t="s">
        <v>9410</v>
      </c>
      <c r="D3507" t="s">
        <v>9411</v>
      </c>
      <c r="E3507" s="148" t="s">
        <v>9412</v>
      </c>
      <c r="F3507" t="s">
        <v>9413</v>
      </c>
      <c r="G3507" s="148" t="s">
        <v>11379</v>
      </c>
      <c r="H3507" t="s">
        <v>11380</v>
      </c>
      <c r="K3507" s="148" t="s">
        <v>11431</v>
      </c>
      <c r="L3507" t="s">
        <v>11432</v>
      </c>
      <c r="M3507" t="s">
        <v>11434</v>
      </c>
      <c r="N3507" s="3">
        <v>1266</v>
      </c>
      <c r="O3507" s="3">
        <v>1450</v>
      </c>
      <c r="P3507" s="3">
        <v>1700</v>
      </c>
      <c r="Q3507" s="3">
        <v>2050</v>
      </c>
      <c r="R3507" s="3">
        <v>2300</v>
      </c>
      <c r="S3507" s="3">
        <v>2650</v>
      </c>
      <c r="T3507" t="s">
        <v>771</v>
      </c>
      <c r="U3507" t="s">
        <v>773</v>
      </c>
      <c r="W3507" s="45"/>
      <c r="X3507" s="45"/>
      <c r="Y3507" s="45"/>
      <c r="Z3507" s="45"/>
      <c r="AA3507" s="45"/>
      <c r="AB3507" s="45"/>
      <c r="AC3507" s="150">
        <v>0</v>
      </c>
      <c r="AD3507" s="150">
        <v>0</v>
      </c>
      <c r="AE3507" s="49">
        <f t="shared" si="163"/>
        <v>0</v>
      </c>
      <c r="AF3507" s="17"/>
      <c r="AG3507" s="17">
        <v>0</v>
      </c>
      <c r="AH3507" s="17"/>
      <c r="AI3507" s="17"/>
      <c r="AJ3507" s="4"/>
      <c r="AK3507" s="153"/>
      <c r="AL3507" s="154"/>
      <c r="AM3507" s="17">
        <f t="shared" si="164"/>
        <v>0</v>
      </c>
      <c r="AN3507" s="18"/>
      <c r="AO3507" s="18"/>
    </row>
    <row r="3508" spans="1:42" customFormat="1" hidden="1" x14ac:dyDescent="0.3">
      <c r="A3508" s="148" t="s">
        <v>8319</v>
      </c>
      <c r="B3508" t="s">
        <v>8320</v>
      </c>
      <c r="C3508" s="148" t="s">
        <v>9410</v>
      </c>
      <c r="D3508" t="s">
        <v>9411</v>
      </c>
      <c r="E3508" s="148" t="s">
        <v>9412</v>
      </c>
      <c r="F3508" t="s">
        <v>9413</v>
      </c>
      <c r="G3508" s="148" t="s">
        <v>11379</v>
      </c>
      <c r="H3508" t="s">
        <v>11380</v>
      </c>
      <c r="K3508" s="148" t="s">
        <v>11431</v>
      </c>
      <c r="L3508" t="s">
        <v>11432</v>
      </c>
      <c r="M3508" t="s">
        <v>11435</v>
      </c>
      <c r="N3508" s="3">
        <v>750</v>
      </c>
      <c r="O3508" s="3">
        <v>850</v>
      </c>
      <c r="P3508" s="3">
        <v>1050</v>
      </c>
      <c r="Q3508" s="3">
        <v>1200</v>
      </c>
      <c r="R3508" s="3">
        <v>1250</v>
      </c>
      <c r="S3508" s="3">
        <v>1300</v>
      </c>
      <c r="T3508" t="s">
        <v>771</v>
      </c>
      <c r="U3508" t="s">
        <v>773</v>
      </c>
      <c r="W3508" s="45"/>
      <c r="X3508" s="45"/>
      <c r="Y3508" s="45"/>
      <c r="Z3508" s="45"/>
      <c r="AA3508" s="45"/>
      <c r="AB3508" s="45"/>
      <c r="AC3508" s="150">
        <v>0</v>
      </c>
      <c r="AD3508" s="150">
        <v>0</v>
      </c>
      <c r="AE3508" s="49">
        <f t="shared" si="163"/>
        <v>0</v>
      </c>
      <c r="AF3508" s="17"/>
      <c r="AG3508" s="17">
        <v>0</v>
      </c>
      <c r="AH3508" s="17"/>
      <c r="AI3508" s="17"/>
      <c r="AJ3508" s="4"/>
      <c r="AK3508" s="153"/>
      <c r="AL3508" s="154"/>
      <c r="AM3508" s="17">
        <f t="shared" si="164"/>
        <v>0</v>
      </c>
      <c r="AN3508" s="18"/>
      <c r="AO3508" s="18"/>
    </row>
    <row r="3509" spans="1:42" customFormat="1" hidden="1" x14ac:dyDescent="0.3">
      <c r="A3509" s="148" t="s">
        <v>8319</v>
      </c>
      <c r="B3509" t="s">
        <v>8320</v>
      </c>
      <c r="C3509" s="148" t="s">
        <v>9410</v>
      </c>
      <c r="D3509" t="s">
        <v>9411</v>
      </c>
      <c r="E3509" s="148" t="s">
        <v>9412</v>
      </c>
      <c r="F3509" t="s">
        <v>9413</v>
      </c>
      <c r="G3509" s="148" t="s">
        <v>11379</v>
      </c>
      <c r="H3509" t="s">
        <v>11380</v>
      </c>
      <c r="K3509" s="148" t="s">
        <v>11436</v>
      </c>
      <c r="L3509" t="s">
        <v>11437</v>
      </c>
      <c r="M3509" t="s">
        <v>11438</v>
      </c>
      <c r="N3509" s="3">
        <v>0</v>
      </c>
      <c r="O3509" s="3">
        <v>1</v>
      </c>
      <c r="P3509" s="3"/>
      <c r="Q3509" s="3"/>
      <c r="R3509" s="3"/>
      <c r="S3509" s="3"/>
      <c r="T3509" t="s">
        <v>771</v>
      </c>
      <c r="U3509" t="s">
        <v>773</v>
      </c>
      <c r="V3509" t="s">
        <v>11439</v>
      </c>
      <c r="W3509" s="45"/>
      <c r="X3509" s="45"/>
      <c r="Y3509" s="45"/>
      <c r="Z3509" s="45"/>
      <c r="AA3509" s="45"/>
      <c r="AB3509" s="45"/>
      <c r="AC3509" s="150">
        <v>0</v>
      </c>
      <c r="AD3509" s="150">
        <v>0</v>
      </c>
      <c r="AE3509" s="49">
        <f t="shared" si="163"/>
        <v>0</v>
      </c>
      <c r="AF3509" s="44"/>
      <c r="AG3509" s="17">
        <v>0</v>
      </c>
      <c r="AH3509" s="44">
        <v>0.14199999999999999</v>
      </c>
      <c r="AI3509" s="17">
        <v>0</v>
      </c>
      <c r="AJ3509" s="17">
        <v>0</v>
      </c>
      <c r="AK3509" s="153">
        <v>0</v>
      </c>
      <c r="AL3509" s="154">
        <v>0</v>
      </c>
      <c r="AM3509" s="17">
        <f t="shared" si="164"/>
        <v>0</v>
      </c>
      <c r="AN3509" s="18" t="s">
        <v>771</v>
      </c>
      <c r="AO3509" s="18" t="s">
        <v>773</v>
      </c>
      <c r="AP3509" t="s">
        <v>3643</v>
      </c>
    </row>
    <row r="3510" spans="1:42" customFormat="1" hidden="1" x14ac:dyDescent="0.3">
      <c r="A3510" s="148" t="s">
        <v>8319</v>
      </c>
      <c r="B3510" t="s">
        <v>8320</v>
      </c>
      <c r="C3510" s="148" t="s">
        <v>9410</v>
      </c>
      <c r="D3510" t="s">
        <v>9411</v>
      </c>
      <c r="E3510" s="148" t="s">
        <v>9412</v>
      </c>
      <c r="F3510" t="s">
        <v>9413</v>
      </c>
      <c r="G3510" s="148" t="s">
        <v>11379</v>
      </c>
      <c r="H3510" t="s">
        <v>11380</v>
      </c>
      <c r="K3510" s="148" t="s">
        <v>11436</v>
      </c>
      <c r="L3510" t="s">
        <v>11437</v>
      </c>
      <c r="M3510" t="s">
        <v>11440</v>
      </c>
      <c r="N3510" s="3">
        <v>34</v>
      </c>
      <c r="O3510" s="3">
        <v>500</v>
      </c>
      <c r="P3510" s="3">
        <v>600</v>
      </c>
      <c r="Q3510" s="3">
        <v>700</v>
      </c>
      <c r="R3510" s="3">
        <v>800</v>
      </c>
      <c r="S3510" s="3">
        <v>900</v>
      </c>
      <c r="T3510" t="s">
        <v>771</v>
      </c>
      <c r="U3510" t="s">
        <v>773</v>
      </c>
      <c r="V3510" t="s">
        <v>11441</v>
      </c>
      <c r="W3510" s="45"/>
      <c r="X3510" s="45"/>
      <c r="Y3510" s="45"/>
      <c r="Z3510" s="45"/>
      <c r="AA3510" s="45"/>
      <c r="AB3510" s="45"/>
      <c r="AC3510" s="150">
        <v>0</v>
      </c>
      <c r="AD3510" s="150">
        <v>0</v>
      </c>
      <c r="AE3510" s="49">
        <f t="shared" si="163"/>
        <v>0</v>
      </c>
      <c r="AF3510" s="44"/>
      <c r="AG3510" s="17">
        <v>0</v>
      </c>
      <c r="AH3510" s="44">
        <v>0.5</v>
      </c>
      <c r="AI3510" s="44">
        <v>0.3</v>
      </c>
      <c r="AJ3510" s="44">
        <v>0.3</v>
      </c>
      <c r="AK3510" s="151">
        <v>0.3</v>
      </c>
      <c r="AL3510" s="151">
        <v>0.3</v>
      </c>
      <c r="AM3510" s="17">
        <f t="shared" si="164"/>
        <v>0.6</v>
      </c>
      <c r="AN3510" s="18" t="s">
        <v>771</v>
      </c>
      <c r="AO3510" s="18" t="s">
        <v>773</v>
      </c>
      <c r="AP3510" t="s">
        <v>63</v>
      </c>
    </row>
    <row r="3511" spans="1:42" customFormat="1" hidden="1" x14ac:dyDescent="0.3">
      <c r="A3511" s="148" t="s">
        <v>8319</v>
      </c>
      <c r="B3511" t="s">
        <v>8320</v>
      </c>
      <c r="C3511" s="148" t="s">
        <v>9410</v>
      </c>
      <c r="D3511" t="s">
        <v>9411</v>
      </c>
      <c r="E3511" s="148" t="s">
        <v>9412</v>
      </c>
      <c r="F3511" t="s">
        <v>9413</v>
      </c>
      <c r="G3511" s="148" t="s">
        <v>11379</v>
      </c>
      <c r="H3511" t="s">
        <v>11380</v>
      </c>
      <c r="K3511" s="148" t="s">
        <v>11436</v>
      </c>
      <c r="L3511" t="s">
        <v>11437</v>
      </c>
      <c r="M3511" t="s">
        <v>11442</v>
      </c>
      <c r="N3511" s="3">
        <v>67</v>
      </c>
      <c r="O3511" s="3">
        <v>600</v>
      </c>
      <c r="P3511" s="3">
        <v>800</v>
      </c>
      <c r="Q3511" s="3">
        <v>1000</v>
      </c>
      <c r="R3511" s="3">
        <v>1200</v>
      </c>
      <c r="S3511" s="3">
        <v>1400</v>
      </c>
      <c r="T3511" t="s">
        <v>771</v>
      </c>
      <c r="U3511" t="s">
        <v>773</v>
      </c>
      <c r="V3511" t="s">
        <v>11443</v>
      </c>
      <c r="W3511" s="45"/>
      <c r="X3511" s="45"/>
      <c r="Y3511" s="45"/>
      <c r="Z3511" s="45"/>
      <c r="AA3511" s="45"/>
      <c r="AB3511" s="45"/>
      <c r="AC3511" s="150">
        <v>0</v>
      </c>
      <c r="AD3511" s="150">
        <v>0</v>
      </c>
      <c r="AE3511" s="49">
        <f t="shared" si="163"/>
        <v>0</v>
      </c>
      <c r="AF3511" s="44"/>
      <c r="AG3511" s="17">
        <v>0</v>
      </c>
      <c r="AH3511" s="44" t="s">
        <v>10910</v>
      </c>
      <c r="AI3511" s="44">
        <v>0.4</v>
      </c>
      <c r="AJ3511" s="44">
        <v>0.3</v>
      </c>
      <c r="AK3511" s="151">
        <v>0.3</v>
      </c>
      <c r="AL3511" s="151">
        <v>0.3</v>
      </c>
      <c r="AM3511" s="17">
        <f t="shared" si="164"/>
        <v>0.6</v>
      </c>
      <c r="AN3511" s="18" t="s">
        <v>771</v>
      </c>
      <c r="AO3511" s="18" t="s">
        <v>773</v>
      </c>
      <c r="AP3511" t="s">
        <v>255</v>
      </c>
    </row>
    <row r="3512" spans="1:42" customFormat="1" hidden="1" x14ac:dyDescent="0.3">
      <c r="A3512" s="148" t="s">
        <v>8319</v>
      </c>
      <c r="B3512" t="s">
        <v>8320</v>
      </c>
      <c r="C3512" s="148" t="s">
        <v>9410</v>
      </c>
      <c r="D3512" t="s">
        <v>9411</v>
      </c>
      <c r="E3512" s="148" t="s">
        <v>9412</v>
      </c>
      <c r="F3512" t="s">
        <v>9413</v>
      </c>
      <c r="G3512" s="148" t="s">
        <v>11379</v>
      </c>
      <c r="H3512" t="s">
        <v>11380</v>
      </c>
      <c r="K3512" s="155" t="s">
        <v>11444</v>
      </c>
      <c r="L3512" t="s">
        <v>11445</v>
      </c>
      <c r="M3512" t="s">
        <v>11446</v>
      </c>
      <c r="N3512" s="3" t="s">
        <v>9365</v>
      </c>
      <c r="O3512" s="3">
        <v>100</v>
      </c>
      <c r="P3512" s="3">
        <v>150</v>
      </c>
      <c r="Q3512" s="3">
        <v>200</v>
      </c>
      <c r="R3512" s="3">
        <v>250</v>
      </c>
      <c r="S3512" s="3">
        <v>300</v>
      </c>
      <c r="T3512" t="s">
        <v>1536</v>
      </c>
      <c r="U3512" t="e">
        <v>#N/A</v>
      </c>
      <c r="V3512" t="s">
        <v>11447</v>
      </c>
      <c r="W3512" s="45"/>
      <c r="X3512" s="45"/>
      <c r="Y3512" s="45"/>
      <c r="Z3512" s="45"/>
      <c r="AA3512" s="45"/>
      <c r="AB3512" s="45"/>
      <c r="AC3512" s="150">
        <v>0</v>
      </c>
      <c r="AD3512" s="150">
        <v>0</v>
      </c>
      <c r="AE3512" s="49">
        <f t="shared" si="163"/>
        <v>0</v>
      </c>
      <c r="AF3512" s="44"/>
      <c r="AG3512" s="17">
        <v>0</v>
      </c>
      <c r="AH3512" s="44" t="s">
        <v>10215</v>
      </c>
      <c r="AI3512" s="44" t="s">
        <v>10215</v>
      </c>
      <c r="AJ3512" s="44" t="s">
        <v>10215</v>
      </c>
      <c r="AK3512" s="151" t="s">
        <v>10215</v>
      </c>
      <c r="AL3512" s="151" t="s">
        <v>10215</v>
      </c>
      <c r="AM3512" s="17">
        <f t="shared" si="164"/>
        <v>0</v>
      </c>
      <c r="AN3512" s="18" t="s">
        <v>771</v>
      </c>
      <c r="AO3512" s="18" t="s">
        <v>773</v>
      </c>
      <c r="AP3512" t="s">
        <v>11448</v>
      </c>
    </row>
    <row r="3513" spans="1:42" customFormat="1" hidden="1" x14ac:dyDescent="0.3">
      <c r="A3513" s="148" t="s">
        <v>8319</v>
      </c>
      <c r="B3513" t="s">
        <v>8320</v>
      </c>
      <c r="C3513" s="148" t="s">
        <v>9410</v>
      </c>
      <c r="D3513" t="s">
        <v>9411</v>
      </c>
      <c r="E3513" s="148" t="s">
        <v>9412</v>
      </c>
      <c r="F3513" t="s">
        <v>9413</v>
      </c>
      <c r="G3513" s="148" t="s">
        <v>11379</v>
      </c>
      <c r="H3513" t="s">
        <v>11380</v>
      </c>
      <c r="K3513" s="155" t="s">
        <v>11444</v>
      </c>
      <c r="L3513" t="s">
        <v>11445</v>
      </c>
      <c r="M3513" t="s">
        <v>11449</v>
      </c>
      <c r="N3513" s="3">
        <v>0</v>
      </c>
      <c r="O3513" s="3">
        <v>500</v>
      </c>
      <c r="P3513" s="3">
        <v>600</v>
      </c>
      <c r="Q3513" s="3">
        <v>700</v>
      </c>
      <c r="R3513" s="3">
        <v>800</v>
      </c>
      <c r="S3513" s="3">
        <v>900</v>
      </c>
      <c r="T3513" t="s">
        <v>1536</v>
      </c>
      <c r="U3513" t="e">
        <v>#N/A</v>
      </c>
      <c r="V3513" t="s">
        <v>11450</v>
      </c>
      <c r="W3513" s="45"/>
      <c r="X3513" s="45"/>
      <c r="Y3513" s="45"/>
      <c r="Z3513" s="45"/>
      <c r="AA3513" s="45"/>
      <c r="AB3513" s="45"/>
      <c r="AC3513" s="150">
        <v>0</v>
      </c>
      <c r="AD3513" s="150">
        <v>0</v>
      </c>
      <c r="AE3513" s="49">
        <f t="shared" si="163"/>
        <v>0</v>
      </c>
      <c r="AF3513" s="44"/>
      <c r="AG3513" s="17">
        <v>0</v>
      </c>
      <c r="AH3513" s="44" t="s">
        <v>5675</v>
      </c>
      <c r="AI3513" s="44" t="s">
        <v>11451</v>
      </c>
      <c r="AJ3513" s="44" t="s">
        <v>11452</v>
      </c>
      <c r="AK3513" s="151" t="s">
        <v>11453</v>
      </c>
      <c r="AL3513" s="151">
        <v>0.18</v>
      </c>
      <c r="AM3513" s="17">
        <f t="shared" si="164"/>
        <v>0.18</v>
      </c>
      <c r="AN3513" s="18" t="s">
        <v>771</v>
      </c>
      <c r="AO3513" s="18" t="s">
        <v>773</v>
      </c>
      <c r="AP3513" t="s">
        <v>11454</v>
      </c>
    </row>
    <row r="3514" spans="1:42" customFormat="1" hidden="1" x14ac:dyDescent="0.3">
      <c r="A3514" s="148" t="s">
        <v>8319</v>
      </c>
      <c r="B3514" t="s">
        <v>8320</v>
      </c>
      <c r="C3514" s="148" t="s">
        <v>9410</v>
      </c>
      <c r="D3514" t="s">
        <v>9411</v>
      </c>
      <c r="E3514" s="148" t="s">
        <v>9412</v>
      </c>
      <c r="F3514" t="s">
        <v>9413</v>
      </c>
      <c r="G3514" s="148" t="s">
        <v>10703</v>
      </c>
      <c r="H3514" t="s">
        <v>10704</v>
      </c>
      <c r="K3514" s="148" t="s">
        <v>10705</v>
      </c>
      <c r="L3514" t="s">
        <v>10706</v>
      </c>
      <c r="M3514" t="s">
        <v>11455</v>
      </c>
      <c r="N3514" s="3"/>
      <c r="O3514" s="3">
        <v>100</v>
      </c>
      <c r="P3514" s="3">
        <v>130</v>
      </c>
      <c r="Q3514" s="3">
        <v>160</v>
      </c>
      <c r="R3514" s="3">
        <v>190</v>
      </c>
      <c r="S3514" s="3">
        <v>220</v>
      </c>
      <c r="T3514" t="s">
        <v>771</v>
      </c>
      <c r="U3514" t="s">
        <v>773</v>
      </c>
      <c r="V3514" t="s">
        <v>11456</v>
      </c>
      <c r="W3514" s="45"/>
      <c r="X3514" s="45"/>
      <c r="Y3514" s="45"/>
      <c r="Z3514" s="45"/>
      <c r="AA3514" s="45"/>
      <c r="AB3514" s="45"/>
      <c r="AC3514" s="150">
        <v>0</v>
      </c>
      <c r="AD3514" s="150">
        <v>0</v>
      </c>
      <c r="AE3514" s="49">
        <f t="shared" si="163"/>
        <v>0</v>
      </c>
      <c r="AF3514" s="44"/>
      <c r="AG3514" s="17">
        <v>0</v>
      </c>
      <c r="AH3514" s="44" t="s">
        <v>5675</v>
      </c>
      <c r="AI3514" s="44" t="s">
        <v>11457</v>
      </c>
      <c r="AJ3514" s="44" t="s">
        <v>11458</v>
      </c>
      <c r="AK3514" s="151" t="s">
        <v>11459</v>
      </c>
      <c r="AL3514" s="151" t="s">
        <v>11460</v>
      </c>
      <c r="AM3514" s="17">
        <f t="shared" si="164"/>
        <v>0</v>
      </c>
      <c r="AN3514" s="18" t="s">
        <v>771</v>
      </c>
      <c r="AO3514" s="18" t="s">
        <v>773</v>
      </c>
      <c r="AP3514" t="s">
        <v>11461</v>
      </c>
    </row>
    <row r="3515" spans="1:42" customFormat="1" hidden="1" x14ac:dyDescent="0.3">
      <c r="A3515" s="148" t="s">
        <v>8319</v>
      </c>
      <c r="B3515" t="s">
        <v>8320</v>
      </c>
      <c r="C3515" s="148" t="s">
        <v>9410</v>
      </c>
      <c r="D3515" t="s">
        <v>9411</v>
      </c>
      <c r="E3515" s="148" t="s">
        <v>9412</v>
      </c>
      <c r="F3515" t="s">
        <v>9413</v>
      </c>
      <c r="G3515" s="148" t="s">
        <v>11462</v>
      </c>
      <c r="H3515" t="s">
        <v>11463</v>
      </c>
      <c r="K3515" s="148" t="s">
        <v>11464</v>
      </c>
      <c r="L3515" t="s">
        <v>11465</v>
      </c>
      <c r="M3515" t="s">
        <v>11466</v>
      </c>
      <c r="N3515" s="3">
        <v>100</v>
      </c>
      <c r="O3515" s="3">
        <v>300</v>
      </c>
      <c r="P3515" s="3">
        <v>300</v>
      </c>
      <c r="Q3515" s="3">
        <v>300</v>
      </c>
      <c r="R3515" s="3">
        <v>300</v>
      </c>
      <c r="S3515" s="3">
        <v>300</v>
      </c>
      <c r="T3515" t="s">
        <v>1536</v>
      </c>
      <c r="U3515" t="e">
        <v>#N/A</v>
      </c>
      <c r="V3515" t="s">
        <v>11467</v>
      </c>
      <c r="W3515" s="45"/>
      <c r="X3515" s="45"/>
      <c r="Y3515" s="45"/>
      <c r="Z3515" s="45"/>
      <c r="AA3515" s="45"/>
      <c r="AB3515" s="45"/>
      <c r="AC3515" s="150">
        <v>0</v>
      </c>
      <c r="AD3515" s="150">
        <v>0</v>
      </c>
      <c r="AE3515" s="49">
        <f t="shared" si="163"/>
        <v>0</v>
      </c>
      <c r="AF3515" s="17"/>
      <c r="AG3515" s="17">
        <v>0</v>
      </c>
      <c r="AH3515" s="17">
        <v>0</v>
      </c>
      <c r="AI3515" s="17">
        <v>0</v>
      </c>
      <c r="AJ3515" s="17">
        <v>0</v>
      </c>
      <c r="AK3515" s="153">
        <v>0</v>
      </c>
      <c r="AL3515" s="154">
        <v>0</v>
      </c>
      <c r="AM3515" s="17">
        <f t="shared" si="164"/>
        <v>0</v>
      </c>
      <c r="AN3515" t="s">
        <v>3643</v>
      </c>
      <c r="AO3515" s="18" t="s">
        <v>3630</v>
      </c>
      <c r="AP3515" t="s">
        <v>63</v>
      </c>
    </row>
    <row r="3516" spans="1:42" customFormat="1" hidden="1" x14ac:dyDescent="0.3">
      <c r="A3516" s="148" t="s">
        <v>8319</v>
      </c>
      <c r="B3516" t="s">
        <v>8320</v>
      </c>
      <c r="C3516" s="148" t="s">
        <v>9410</v>
      </c>
      <c r="D3516" t="s">
        <v>9411</v>
      </c>
      <c r="E3516" s="148" t="s">
        <v>9412</v>
      </c>
      <c r="F3516" t="s">
        <v>9413</v>
      </c>
      <c r="G3516" s="148" t="s">
        <v>11462</v>
      </c>
      <c r="H3516" t="s">
        <v>11463</v>
      </c>
      <c r="K3516" s="148" t="s">
        <v>11464</v>
      </c>
      <c r="L3516" t="s">
        <v>11465</v>
      </c>
      <c r="M3516" t="s">
        <v>11468</v>
      </c>
      <c r="N3516" s="3">
        <v>0</v>
      </c>
      <c r="O3516" s="3">
        <v>150</v>
      </c>
      <c r="P3516" s="3">
        <v>150</v>
      </c>
      <c r="Q3516" s="3">
        <v>150</v>
      </c>
      <c r="R3516" s="3">
        <v>150</v>
      </c>
      <c r="S3516" s="3">
        <v>150</v>
      </c>
      <c r="T3516" t="s">
        <v>1536</v>
      </c>
      <c r="U3516" t="e">
        <v>#N/A</v>
      </c>
      <c r="V3516" t="s">
        <v>11469</v>
      </c>
      <c r="W3516" s="45"/>
      <c r="X3516" s="45"/>
      <c r="Y3516" s="45"/>
      <c r="Z3516" s="45"/>
      <c r="AA3516" s="45"/>
      <c r="AB3516" s="45"/>
      <c r="AC3516" s="150">
        <v>0</v>
      </c>
      <c r="AD3516" s="150">
        <v>0</v>
      </c>
      <c r="AE3516" s="49">
        <f t="shared" si="163"/>
        <v>0</v>
      </c>
      <c r="AF3516" s="44"/>
      <c r="AG3516" s="17">
        <v>0</v>
      </c>
      <c r="AH3516" s="44">
        <v>0.2</v>
      </c>
      <c r="AI3516" s="44">
        <v>0.2</v>
      </c>
      <c r="AJ3516" s="44">
        <v>0.2</v>
      </c>
      <c r="AK3516" s="151">
        <v>0.2</v>
      </c>
      <c r="AL3516" s="151">
        <v>0.2</v>
      </c>
      <c r="AM3516" s="17">
        <f t="shared" si="164"/>
        <v>0.4</v>
      </c>
      <c r="AN3516" s="18" t="s">
        <v>771</v>
      </c>
      <c r="AO3516" s="18" t="s">
        <v>773</v>
      </c>
      <c r="AP3516" t="s">
        <v>3643</v>
      </c>
    </row>
    <row r="3517" spans="1:42" customFormat="1" hidden="1" x14ac:dyDescent="0.3">
      <c r="A3517" s="148" t="s">
        <v>8319</v>
      </c>
      <c r="B3517" t="s">
        <v>8320</v>
      </c>
      <c r="C3517" s="148" t="s">
        <v>9410</v>
      </c>
      <c r="D3517" t="s">
        <v>9411</v>
      </c>
      <c r="E3517" s="148" t="s">
        <v>9412</v>
      </c>
      <c r="F3517" t="s">
        <v>9413</v>
      </c>
      <c r="G3517" s="148" t="s">
        <v>11462</v>
      </c>
      <c r="H3517" t="s">
        <v>11463</v>
      </c>
      <c r="K3517" s="148" t="s">
        <v>11464</v>
      </c>
      <c r="L3517" t="s">
        <v>11465</v>
      </c>
      <c r="M3517" t="s">
        <v>11470</v>
      </c>
      <c r="N3517" s="3" t="s">
        <v>9365</v>
      </c>
      <c r="O3517" s="3">
        <v>1000</v>
      </c>
      <c r="P3517" s="3">
        <v>1500</v>
      </c>
      <c r="Q3517" s="3">
        <v>2000</v>
      </c>
      <c r="R3517" s="3">
        <v>2500</v>
      </c>
      <c r="S3517" s="3">
        <v>3000</v>
      </c>
      <c r="T3517" t="s">
        <v>3643</v>
      </c>
      <c r="U3517" t="s">
        <v>3630</v>
      </c>
      <c r="V3517" t="s">
        <v>11471</v>
      </c>
      <c r="W3517" s="45"/>
      <c r="X3517" s="45"/>
      <c r="Y3517" s="45"/>
      <c r="Z3517" s="45"/>
      <c r="AA3517" s="45"/>
      <c r="AB3517" s="45"/>
      <c r="AC3517" s="150">
        <v>0</v>
      </c>
      <c r="AD3517" s="150">
        <v>0</v>
      </c>
      <c r="AE3517" s="49">
        <f t="shared" si="163"/>
        <v>0</v>
      </c>
      <c r="AF3517" s="44"/>
      <c r="AG3517" s="17">
        <v>0</v>
      </c>
      <c r="AH3517" s="44">
        <v>0</v>
      </c>
      <c r="AI3517" s="44">
        <v>0</v>
      </c>
      <c r="AJ3517" s="44">
        <v>0</v>
      </c>
      <c r="AK3517" s="151">
        <v>0</v>
      </c>
      <c r="AL3517" s="151">
        <v>0</v>
      </c>
      <c r="AM3517" s="17">
        <f t="shared" si="164"/>
        <v>0</v>
      </c>
      <c r="AN3517" s="18" t="s">
        <v>771</v>
      </c>
      <c r="AO3517" s="18" t="s">
        <v>773</v>
      </c>
      <c r="AP3517" t="s">
        <v>1563</v>
      </c>
    </row>
    <row r="3518" spans="1:42" customFormat="1" hidden="1" x14ac:dyDescent="0.3">
      <c r="A3518" s="148" t="s">
        <v>8319</v>
      </c>
      <c r="B3518" t="s">
        <v>8320</v>
      </c>
      <c r="C3518" s="148" t="s">
        <v>9410</v>
      </c>
      <c r="D3518" t="s">
        <v>9411</v>
      </c>
      <c r="E3518" s="148" t="s">
        <v>9412</v>
      </c>
      <c r="F3518" t="s">
        <v>9413</v>
      </c>
      <c r="G3518" s="148" t="s">
        <v>11472</v>
      </c>
      <c r="H3518" t="s">
        <v>11473</v>
      </c>
      <c r="K3518" s="148" t="s">
        <v>11474</v>
      </c>
      <c r="L3518" t="s">
        <v>11475</v>
      </c>
      <c r="M3518" t="s">
        <v>11475</v>
      </c>
      <c r="N3518" s="3" t="s">
        <v>11476</v>
      </c>
      <c r="O3518" s="3"/>
      <c r="P3518" s="3">
        <v>2000</v>
      </c>
      <c r="Q3518" s="3">
        <v>2500</v>
      </c>
      <c r="R3518" s="3">
        <v>3000</v>
      </c>
      <c r="S3518" s="3">
        <v>3500</v>
      </c>
      <c r="T3518">
        <v>4000</v>
      </c>
      <c r="U3518" t="e">
        <v>#N/A</v>
      </c>
      <c r="V3518" t="s">
        <v>11475</v>
      </c>
      <c r="W3518" s="45"/>
      <c r="X3518" s="45"/>
      <c r="Y3518" s="45"/>
      <c r="Z3518" s="45"/>
      <c r="AA3518" s="45"/>
      <c r="AB3518" s="45"/>
      <c r="AC3518" s="150">
        <v>0</v>
      </c>
      <c r="AD3518" s="150">
        <v>0</v>
      </c>
      <c r="AE3518" s="49">
        <f t="shared" si="163"/>
        <v>0</v>
      </c>
      <c r="AF3518" s="44"/>
      <c r="AG3518" s="17">
        <v>0</v>
      </c>
      <c r="AH3518" s="44">
        <v>0.42</v>
      </c>
      <c r="AI3518" s="44">
        <v>0.42</v>
      </c>
      <c r="AJ3518" s="44">
        <v>0.504</v>
      </c>
      <c r="AK3518" s="151">
        <v>0.504</v>
      </c>
      <c r="AL3518" s="151">
        <v>0.54600000000000004</v>
      </c>
      <c r="AM3518" s="17">
        <f t="shared" si="164"/>
        <v>1.05</v>
      </c>
      <c r="AN3518" t="s">
        <v>2018</v>
      </c>
      <c r="AO3518" s="18" t="s">
        <v>2019</v>
      </c>
      <c r="AP3518" t="s">
        <v>9321</v>
      </c>
    </row>
    <row r="3519" spans="1:42" customFormat="1" hidden="1" x14ac:dyDescent="0.3">
      <c r="A3519" s="148" t="s">
        <v>8319</v>
      </c>
      <c r="B3519" t="s">
        <v>8320</v>
      </c>
      <c r="C3519" s="148" t="s">
        <v>9410</v>
      </c>
      <c r="D3519" t="s">
        <v>9411</v>
      </c>
      <c r="E3519" s="148" t="s">
        <v>9412</v>
      </c>
      <c r="F3519" t="s">
        <v>9413</v>
      </c>
      <c r="G3519" s="148" t="s">
        <v>11472</v>
      </c>
      <c r="H3519" t="s">
        <v>11473</v>
      </c>
      <c r="K3519" s="148" t="s">
        <v>11477</v>
      </c>
      <c r="L3519" t="s">
        <v>11478</v>
      </c>
      <c r="M3519" t="s">
        <v>11478</v>
      </c>
      <c r="N3519" s="3" t="s">
        <v>11479</v>
      </c>
      <c r="O3519" s="3"/>
      <c r="P3519" s="3">
        <v>135</v>
      </c>
      <c r="Q3519" s="3">
        <v>146</v>
      </c>
      <c r="R3519" s="3">
        <v>146</v>
      </c>
      <c r="S3519" s="3">
        <v>146</v>
      </c>
      <c r="T3519">
        <v>146</v>
      </c>
      <c r="U3519" t="e">
        <v>#N/A</v>
      </c>
      <c r="V3519" t="s">
        <v>11478</v>
      </c>
      <c r="W3519" s="45"/>
      <c r="X3519" s="45"/>
      <c r="Y3519" s="45"/>
      <c r="Z3519" s="45"/>
      <c r="AA3519" s="45"/>
      <c r="AB3519" s="45"/>
      <c r="AC3519" s="150">
        <v>0</v>
      </c>
      <c r="AD3519" s="150">
        <v>0</v>
      </c>
      <c r="AE3519" s="49">
        <f t="shared" si="163"/>
        <v>0</v>
      </c>
      <c r="AF3519" s="44"/>
      <c r="AG3519" s="17">
        <v>0</v>
      </c>
      <c r="AH3519" s="44">
        <v>0.42</v>
      </c>
      <c r="AI3519" s="44">
        <v>0.42</v>
      </c>
      <c r="AJ3519" s="44">
        <v>0.504</v>
      </c>
      <c r="AK3519" s="151">
        <v>0.504</v>
      </c>
      <c r="AL3519" s="151">
        <v>0.54600000000000004</v>
      </c>
      <c r="AM3519" s="17">
        <f t="shared" si="164"/>
        <v>1.05</v>
      </c>
      <c r="AN3519" t="s">
        <v>2018</v>
      </c>
      <c r="AO3519" s="18" t="s">
        <v>2019</v>
      </c>
      <c r="AP3519" t="s">
        <v>9321</v>
      </c>
    </row>
    <row r="3520" spans="1:42" customFormat="1" hidden="1" x14ac:dyDescent="0.3">
      <c r="A3520" s="148" t="s">
        <v>8319</v>
      </c>
      <c r="B3520" t="s">
        <v>8320</v>
      </c>
      <c r="C3520" s="148" t="s">
        <v>9410</v>
      </c>
      <c r="D3520" t="s">
        <v>9411</v>
      </c>
      <c r="E3520" s="148" t="s">
        <v>9412</v>
      </c>
      <c r="F3520" t="s">
        <v>9413</v>
      </c>
      <c r="G3520" s="148" t="s">
        <v>11472</v>
      </c>
      <c r="H3520" t="s">
        <v>11473</v>
      </c>
      <c r="K3520" s="148" t="s">
        <v>11480</v>
      </c>
      <c r="L3520" t="s">
        <v>11481</v>
      </c>
      <c r="M3520" t="s">
        <v>11482</v>
      </c>
      <c r="N3520" s="3"/>
      <c r="O3520" s="3">
        <v>50</v>
      </c>
      <c r="P3520" s="3">
        <v>60</v>
      </c>
      <c r="Q3520" s="3">
        <v>70</v>
      </c>
      <c r="R3520" s="3">
        <v>80</v>
      </c>
      <c r="S3520" s="3">
        <v>90</v>
      </c>
      <c r="T3520" t="s">
        <v>2016</v>
      </c>
      <c r="U3520" t="e">
        <v>#N/A</v>
      </c>
      <c r="V3520" t="s">
        <v>11483</v>
      </c>
      <c r="W3520" s="45"/>
      <c r="X3520" s="45"/>
      <c r="Y3520" s="45"/>
      <c r="Z3520" s="45"/>
      <c r="AA3520" s="45"/>
      <c r="AB3520" s="45"/>
      <c r="AC3520" s="150">
        <v>0</v>
      </c>
      <c r="AD3520" s="150">
        <v>0</v>
      </c>
      <c r="AE3520" s="49">
        <f t="shared" si="163"/>
        <v>0</v>
      </c>
      <c r="AF3520" s="44"/>
      <c r="AG3520" s="17">
        <v>0</v>
      </c>
      <c r="AH3520" s="44">
        <v>0.4</v>
      </c>
      <c r="AI3520" s="44">
        <v>0.4</v>
      </c>
      <c r="AJ3520" s="44">
        <v>0.4</v>
      </c>
      <c r="AK3520" s="151">
        <v>0.4</v>
      </c>
      <c r="AL3520" s="151">
        <v>0.4</v>
      </c>
      <c r="AM3520" s="17">
        <f t="shared" si="164"/>
        <v>0.8</v>
      </c>
      <c r="AN3520" t="s">
        <v>831</v>
      </c>
      <c r="AO3520" s="18" t="s">
        <v>834</v>
      </c>
      <c r="AP3520" t="s">
        <v>11484</v>
      </c>
    </row>
    <row r="3521" spans="1:42" customFormat="1" hidden="1" x14ac:dyDescent="0.3">
      <c r="A3521" s="148" t="s">
        <v>8319</v>
      </c>
      <c r="B3521" t="s">
        <v>8320</v>
      </c>
      <c r="C3521" s="148" t="s">
        <v>9410</v>
      </c>
      <c r="D3521" t="s">
        <v>9411</v>
      </c>
      <c r="E3521" s="148" t="s">
        <v>9412</v>
      </c>
      <c r="F3521" t="s">
        <v>9413</v>
      </c>
      <c r="G3521" s="148" t="s">
        <v>11472</v>
      </c>
      <c r="H3521" t="s">
        <v>11473</v>
      </c>
      <c r="K3521" s="148" t="s">
        <v>11485</v>
      </c>
      <c r="L3521" t="s">
        <v>11486</v>
      </c>
      <c r="M3521" t="s">
        <v>11487</v>
      </c>
      <c r="N3521" s="3"/>
      <c r="O3521" s="3">
        <v>200</v>
      </c>
      <c r="P3521" s="3">
        <v>250</v>
      </c>
      <c r="Q3521" s="3">
        <v>300</v>
      </c>
      <c r="R3521" s="3">
        <v>350</v>
      </c>
      <c r="S3521" s="3">
        <v>400</v>
      </c>
      <c r="T3521" t="s">
        <v>2016</v>
      </c>
      <c r="U3521" t="e">
        <v>#N/A</v>
      </c>
      <c r="V3521" t="s">
        <v>11488</v>
      </c>
      <c r="W3521" s="45"/>
      <c r="X3521" s="45"/>
      <c r="Y3521" s="45"/>
      <c r="Z3521" s="45"/>
      <c r="AA3521" s="45"/>
      <c r="AB3521" s="45"/>
      <c r="AC3521" s="150">
        <v>0</v>
      </c>
      <c r="AD3521" s="150">
        <v>0</v>
      </c>
      <c r="AE3521" s="49">
        <f t="shared" si="163"/>
        <v>0</v>
      </c>
      <c r="AF3521" s="44"/>
      <c r="AG3521" s="17">
        <v>0</v>
      </c>
      <c r="AH3521" s="44">
        <v>0.2</v>
      </c>
      <c r="AI3521" s="44">
        <v>0.2</v>
      </c>
      <c r="AJ3521" s="44">
        <v>0.2</v>
      </c>
      <c r="AK3521" s="151">
        <v>0.2</v>
      </c>
      <c r="AL3521" s="151">
        <v>0.2</v>
      </c>
      <c r="AM3521" s="17">
        <f t="shared" si="164"/>
        <v>0.4</v>
      </c>
      <c r="AN3521" t="s">
        <v>2018</v>
      </c>
      <c r="AO3521" s="18" t="s">
        <v>2019</v>
      </c>
      <c r="AP3521" t="s">
        <v>2043</v>
      </c>
    </row>
    <row r="3522" spans="1:42" customFormat="1" hidden="1" x14ac:dyDescent="0.3">
      <c r="A3522" s="148" t="s">
        <v>8319</v>
      </c>
      <c r="B3522" t="s">
        <v>8320</v>
      </c>
      <c r="C3522" s="148" t="s">
        <v>9410</v>
      </c>
      <c r="D3522" t="s">
        <v>9411</v>
      </c>
      <c r="E3522" s="148" t="s">
        <v>9412</v>
      </c>
      <c r="F3522" t="s">
        <v>9413</v>
      </c>
      <c r="G3522" s="148" t="s">
        <v>11472</v>
      </c>
      <c r="H3522" t="s">
        <v>11473</v>
      </c>
      <c r="K3522" s="148" t="s">
        <v>11489</v>
      </c>
      <c r="L3522" t="s">
        <v>11490</v>
      </c>
      <c r="M3522" t="s">
        <v>11491</v>
      </c>
      <c r="N3522" s="3"/>
      <c r="O3522" s="3">
        <v>200</v>
      </c>
      <c r="P3522" s="3">
        <v>250</v>
      </c>
      <c r="Q3522" s="3">
        <v>300</v>
      </c>
      <c r="R3522" s="3">
        <v>350</v>
      </c>
      <c r="S3522" s="3">
        <v>400</v>
      </c>
      <c r="T3522" t="s">
        <v>2016</v>
      </c>
      <c r="U3522" t="e">
        <v>#N/A</v>
      </c>
      <c r="V3522" t="s">
        <v>11492</v>
      </c>
      <c r="W3522" s="45"/>
      <c r="X3522" s="45"/>
      <c r="Y3522" s="45"/>
      <c r="Z3522" s="45"/>
      <c r="AA3522" s="45"/>
      <c r="AB3522" s="45"/>
      <c r="AC3522" s="150">
        <v>0</v>
      </c>
      <c r="AD3522" s="150">
        <v>0</v>
      </c>
      <c r="AE3522" s="49">
        <f t="shared" si="163"/>
        <v>0</v>
      </c>
      <c r="AF3522" s="44"/>
      <c r="AG3522" s="17">
        <v>0</v>
      </c>
      <c r="AH3522" s="44">
        <v>0.5</v>
      </c>
      <c r="AI3522" s="44">
        <v>0.2</v>
      </c>
      <c r="AJ3522" s="44">
        <v>0.2</v>
      </c>
      <c r="AK3522" s="151">
        <v>0.2</v>
      </c>
      <c r="AL3522" s="151">
        <v>0.2</v>
      </c>
      <c r="AM3522" s="17">
        <f t="shared" si="164"/>
        <v>0.4</v>
      </c>
      <c r="AN3522" t="s">
        <v>2018</v>
      </c>
      <c r="AO3522" s="18" t="s">
        <v>2019</v>
      </c>
      <c r="AP3522" t="s">
        <v>2043</v>
      </c>
    </row>
    <row r="3523" spans="1:42" customFormat="1" hidden="1" x14ac:dyDescent="0.3">
      <c r="A3523" s="148" t="s">
        <v>8319</v>
      </c>
      <c r="B3523" t="s">
        <v>8320</v>
      </c>
      <c r="C3523" s="148" t="s">
        <v>9410</v>
      </c>
      <c r="D3523" t="s">
        <v>9411</v>
      </c>
      <c r="E3523" s="148" t="s">
        <v>9412</v>
      </c>
      <c r="F3523" t="s">
        <v>9413</v>
      </c>
      <c r="G3523" s="148" t="s">
        <v>11472</v>
      </c>
      <c r="H3523" t="s">
        <v>11473</v>
      </c>
      <c r="K3523" s="148" t="s">
        <v>11493</v>
      </c>
      <c r="L3523" t="s">
        <v>11494</v>
      </c>
      <c r="M3523" t="s">
        <v>11495</v>
      </c>
      <c r="N3523" s="3"/>
      <c r="O3523" s="3">
        <v>1</v>
      </c>
      <c r="P3523" s="3">
        <v>1</v>
      </c>
      <c r="Q3523" s="3">
        <v>1</v>
      </c>
      <c r="R3523" s="3">
        <v>1</v>
      </c>
      <c r="S3523" s="3">
        <v>1</v>
      </c>
      <c r="T3523" t="s">
        <v>2016</v>
      </c>
      <c r="U3523" t="e">
        <v>#N/A</v>
      </c>
      <c r="V3523" t="s">
        <v>11496</v>
      </c>
      <c r="W3523" s="45"/>
      <c r="X3523" s="45"/>
      <c r="Y3523" s="45"/>
      <c r="Z3523" s="45"/>
      <c r="AA3523" s="45"/>
      <c r="AB3523" s="45"/>
      <c r="AC3523" s="150">
        <v>0</v>
      </c>
      <c r="AD3523" s="150">
        <v>0</v>
      </c>
      <c r="AE3523" s="49">
        <f t="shared" si="163"/>
        <v>0</v>
      </c>
      <c r="AF3523" s="44"/>
      <c r="AG3523" s="17">
        <v>0</v>
      </c>
      <c r="AH3523" s="44">
        <v>0.5</v>
      </c>
      <c r="AI3523" s="44">
        <v>0.2</v>
      </c>
      <c r="AJ3523" s="44">
        <v>0.2</v>
      </c>
      <c r="AK3523" s="151">
        <v>0.2</v>
      </c>
      <c r="AL3523" s="151">
        <v>0.2</v>
      </c>
      <c r="AM3523" s="17">
        <f t="shared" si="164"/>
        <v>0.4</v>
      </c>
      <c r="AN3523" t="s">
        <v>2018</v>
      </c>
      <c r="AO3523" s="18" t="s">
        <v>2019</v>
      </c>
      <c r="AP3523" t="s">
        <v>11497</v>
      </c>
    </row>
    <row r="3524" spans="1:42" customFormat="1" hidden="1" x14ac:dyDescent="0.3">
      <c r="A3524" s="148" t="s">
        <v>8319</v>
      </c>
      <c r="B3524" t="s">
        <v>8320</v>
      </c>
      <c r="C3524" s="148" t="s">
        <v>9410</v>
      </c>
      <c r="D3524" t="s">
        <v>9411</v>
      </c>
      <c r="E3524" s="148" t="s">
        <v>9412</v>
      </c>
      <c r="F3524" t="s">
        <v>9413</v>
      </c>
      <c r="G3524" s="148" t="s">
        <v>11498</v>
      </c>
      <c r="H3524" t="s">
        <v>11499</v>
      </c>
      <c r="K3524" s="155" t="s">
        <v>11500</v>
      </c>
      <c r="L3524" t="s">
        <v>11501</v>
      </c>
      <c r="M3524" t="s">
        <v>11502</v>
      </c>
      <c r="N3524" s="3">
        <v>0</v>
      </c>
      <c r="O3524" s="3">
        <v>0</v>
      </c>
      <c r="P3524" s="3">
        <v>1</v>
      </c>
      <c r="Q3524" s="3" t="s">
        <v>271</v>
      </c>
      <c r="R3524" s="3" t="s">
        <v>271</v>
      </c>
      <c r="S3524" s="3" t="s">
        <v>271</v>
      </c>
      <c r="T3524" t="s">
        <v>723</v>
      </c>
      <c r="U3524" t="s">
        <v>729</v>
      </c>
      <c r="W3524" s="45"/>
      <c r="X3524" s="45"/>
      <c r="Y3524" s="45"/>
      <c r="Z3524" s="45"/>
      <c r="AA3524" s="45"/>
      <c r="AB3524" s="45"/>
      <c r="AC3524" s="150">
        <v>0</v>
      </c>
      <c r="AD3524" s="150">
        <v>0</v>
      </c>
      <c r="AE3524" s="49">
        <f t="shared" si="163"/>
        <v>0</v>
      </c>
      <c r="AF3524" s="17"/>
      <c r="AG3524" s="17">
        <v>0</v>
      </c>
      <c r="AH3524" s="17">
        <v>0</v>
      </c>
      <c r="AI3524" s="17">
        <v>0</v>
      </c>
      <c r="AJ3524" s="17">
        <v>0</v>
      </c>
      <c r="AK3524" s="153">
        <v>0</v>
      </c>
      <c r="AL3524" s="154">
        <v>0</v>
      </c>
      <c r="AM3524" s="17">
        <f t="shared" si="164"/>
        <v>0</v>
      </c>
      <c r="AN3524" s="44" t="s">
        <v>723</v>
      </c>
      <c r="AO3524" s="18" t="s">
        <v>729</v>
      </c>
    </row>
    <row r="3525" spans="1:42" customFormat="1" hidden="1" x14ac:dyDescent="0.3">
      <c r="A3525" s="148" t="s">
        <v>8319</v>
      </c>
      <c r="B3525" t="s">
        <v>8320</v>
      </c>
      <c r="C3525" s="148" t="s">
        <v>9410</v>
      </c>
      <c r="D3525" t="s">
        <v>9411</v>
      </c>
      <c r="E3525" s="148" t="s">
        <v>9412</v>
      </c>
      <c r="F3525" t="s">
        <v>9413</v>
      </c>
      <c r="G3525" s="148" t="s">
        <v>9479</v>
      </c>
      <c r="H3525" t="s">
        <v>9480</v>
      </c>
      <c r="K3525" s="148" t="s">
        <v>10353</v>
      </c>
      <c r="L3525" t="s">
        <v>10354</v>
      </c>
      <c r="N3525" s="3"/>
      <c r="O3525" s="3"/>
      <c r="P3525" s="3"/>
      <c r="Q3525" s="3"/>
      <c r="R3525" s="3"/>
      <c r="S3525" s="3"/>
      <c r="U3525" t="e">
        <v>#N/A</v>
      </c>
      <c r="V3525" t="s">
        <v>11503</v>
      </c>
      <c r="W3525" s="45">
        <v>0</v>
      </c>
      <c r="X3525" s="45">
        <v>0</v>
      </c>
      <c r="Y3525" s="45">
        <v>0</v>
      </c>
      <c r="Z3525" s="45">
        <v>0</v>
      </c>
      <c r="AA3525" s="45">
        <v>0</v>
      </c>
      <c r="AB3525" s="45">
        <v>0</v>
      </c>
      <c r="AC3525" s="150">
        <v>0</v>
      </c>
      <c r="AD3525" s="150">
        <v>0</v>
      </c>
      <c r="AE3525" s="49">
        <f t="shared" si="163"/>
        <v>0</v>
      </c>
      <c r="AF3525" s="17"/>
      <c r="AG3525" s="17">
        <v>0</v>
      </c>
      <c r="AH3525" s="17">
        <v>0</v>
      </c>
      <c r="AI3525" s="17">
        <v>0</v>
      </c>
      <c r="AJ3525" s="17">
        <v>0</v>
      </c>
      <c r="AK3525" s="153">
        <v>4</v>
      </c>
      <c r="AL3525" s="154">
        <v>1</v>
      </c>
      <c r="AM3525" s="17">
        <f t="shared" si="164"/>
        <v>5</v>
      </c>
      <c r="AN3525" t="s">
        <v>831</v>
      </c>
      <c r="AO3525" s="18" t="s">
        <v>834</v>
      </c>
    </row>
    <row r="3526" spans="1:42" customFormat="1" hidden="1" x14ac:dyDescent="0.3">
      <c r="A3526" s="148" t="s">
        <v>8319</v>
      </c>
      <c r="B3526" t="s">
        <v>8320</v>
      </c>
      <c r="C3526" s="148" t="s">
        <v>9410</v>
      </c>
      <c r="D3526" t="s">
        <v>9411</v>
      </c>
      <c r="E3526" s="148" t="s">
        <v>9412</v>
      </c>
      <c r="F3526" t="s">
        <v>9413</v>
      </c>
      <c r="G3526" s="148" t="s">
        <v>9479</v>
      </c>
      <c r="H3526" t="s">
        <v>9480</v>
      </c>
      <c r="K3526" s="148" t="s">
        <v>10353</v>
      </c>
      <c r="L3526" t="s">
        <v>10354</v>
      </c>
      <c r="N3526" s="3"/>
      <c r="O3526" s="3"/>
      <c r="P3526" s="3"/>
      <c r="Q3526" s="3"/>
      <c r="R3526" s="3"/>
      <c r="S3526" s="3"/>
      <c r="U3526" t="e">
        <v>#N/A</v>
      </c>
      <c r="W3526" s="45"/>
      <c r="X3526" s="45"/>
      <c r="Y3526" s="45"/>
      <c r="Z3526" s="45"/>
      <c r="AA3526" s="45"/>
      <c r="AB3526" s="45"/>
      <c r="AC3526" s="150">
        <v>0</v>
      </c>
      <c r="AD3526" s="150">
        <v>0</v>
      </c>
      <c r="AE3526" s="49">
        <f t="shared" si="163"/>
        <v>0</v>
      </c>
      <c r="AF3526" s="17"/>
      <c r="AG3526" s="17">
        <v>0</v>
      </c>
      <c r="AH3526" s="17">
        <v>0</v>
      </c>
      <c r="AI3526" s="17">
        <v>0</v>
      </c>
      <c r="AJ3526" s="17">
        <v>0</v>
      </c>
      <c r="AK3526" s="153">
        <v>0</v>
      </c>
      <c r="AL3526" s="154">
        <v>0</v>
      </c>
      <c r="AM3526" s="17">
        <f t="shared" si="164"/>
        <v>0</v>
      </c>
      <c r="AN3526" t="s">
        <v>280</v>
      </c>
      <c r="AO3526" s="18" t="s">
        <v>1151</v>
      </c>
    </row>
    <row r="3527" spans="1:42" customFormat="1" hidden="1" x14ac:dyDescent="0.3">
      <c r="A3527" s="148" t="s">
        <v>8319</v>
      </c>
      <c r="B3527" t="s">
        <v>8320</v>
      </c>
      <c r="C3527" s="148" t="s">
        <v>9410</v>
      </c>
      <c r="D3527" t="s">
        <v>9411</v>
      </c>
      <c r="E3527" s="148" t="s">
        <v>9412</v>
      </c>
      <c r="F3527" t="s">
        <v>9413</v>
      </c>
      <c r="G3527" s="148" t="s">
        <v>9479</v>
      </c>
      <c r="H3527" t="s">
        <v>9480</v>
      </c>
      <c r="K3527" s="148" t="s">
        <v>10353</v>
      </c>
      <c r="L3527" t="s">
        <v>10354</v>
      </c>
      <c r="N3527" s="3"/>
      <c r="O3527" s="3"/>
      <c r="P3527" s="3"/>
      <c r="Q3527" s="3"/>
      <c r="R3527" s="3"/>
      <c r="S3527" s="3"/>
      <c r="U3527" t="e">
        <v>#N/A</v>
      </c>
      <c r="W3527" s="45"/>
      <c r="X3527" s="45"/>
      <c r="Y3527" s="45"/>
      <c r="Z3527" s="45"/>
      <c r="AA3527" s="45"/>
      <c r="AB3527" s="45"/>
      <c r="AC3527" s="150">
        <v>0</v>
      </c>
      <c r="AD3527" s="150">
        <v>0</v>
      </c>
      <c r="AE3527" s="49">
        <f t="shared" si="163"/>
        <v>0</v>
      </c>
      <c r="AF3527" s="17"/>
      <c r="AG3527" s="17">
        <v>0</v>
      </c>
      <c r="AH3527" s="17">
        <v>0</v>
      </c>
      <c r="AI3527" s="17">
        <v>0</v>
      </c>
      <c r="AJ3527" s="17">
        <v>0</v>
      </c>
      <c r="AK3527" s="153">
        <v>0</v>
      </c>
      <c r="AL3527" s="154">
        <v>0</v>
      </c>
      <c r="AM3527" s="17">
        <f t="shared" si="164"/>
        <v>0</v>
      </c>
      <c r="AN3527" t="s">
        <v>3643</v>
      </c>
      <c r="AO3527" s="18" t="s">
        <v>3630</v>
      </c>
    </row>
    <row r="3528" spans="1:42" customFormat="1" hidden="1" x14ac:dyDescent="0.3">
      <c r="A3528" s="148" t="s">
        <v>8319</v>
      </c>
      <c r="B3528" t="s">
        <v>8320</v>
      </c>
      <c r="C3528" s="148" t="s">
        <v>9410</v>
      </c>
      <c r="D3528" t="s">
        <v>9411</v>
      </c>
      <c r="E3528" s="148" t="s">
        <v>9412</v>
      </c>
      <c r="F3528" t="s">
        <v>9413</v>
      </c>
      <c r="G3528" s="148" t="s">
        <v>9479</v>
      </c>
      <c r="H3528" t="s">
        <v>9480</v>
      </c>
      <c r="K3528" s="155" t="s">
        <v>11504</v>
      </c>
      <c r="L3528" t="s">
        <v>11505</v>
      </c>
      <c r="M3528" t="s">
        <v>11506</v>
      </c>
      <c r="N3528" s="3"/>
      <c r="O3528" s="3">
        <v>0.3</v>
      </c>
      <c r="P3528" s="3">
        <v>0.5</v>
      </c>
      <c r="Q3528" s="3">
        <v>0.6</v>
      </c>
      <c r="R3528" s="3">
        <v>0.7</v>
      </c>
      <c r="S3528" s="3">
        <v>0.7</v>
      </c>
      <c r="T3528" t="s">
        <v>11507</v>
      </c>
      <c r="U3528" t="e">
        <v>#N/A</v>
      </c>
      <c r="W3528" s="45"/>
      <c r="X3528" s="45"/>
      <c r="Y3528" s="45"/>
      <c r="Z3528" s="45"/>
      <c r="AA3528" s="45"/>
      <c r="AB3528" s="45"/>
      <c r="AC3528" s="150">
        <v>0</v>
      </c>
      <c r="AD3528" s="150">
        <v>0</v>
      </c>
      <c r="AE3528" s="49">
        <f t="shared" si="163"/>
        <v>0</v>
      </c>
      <c r="AF3528" s="17"/>
      <c r="AG3528" s="17">
        <v>0</v>
      </c>
      <c r="AH3528" s="17"/>
      <c r="AI3528" s="17"/>
      <c r="AJ3528" s="17"/>
      <c r="AK3528" s="153"/>
      <c r="AL3528" s="154"/>
      <c r="AM3528" s="17">
        <f t="shared" si="164"/>
        <v>0</v>
      </c>
      <c r="AO3528" s="18"/>
    </row>
    <row r="3529" spans="1:42" customFormat="1" hidden="1" x14ac:dyDescent="0.3">
      <c r="A3529" s="148" t="s">
        <v>8319</v>
      </c>
      <c r="B3529" t="s">
        <v>8320</v>
      </c>
      <c r="C3529" s="148" t="s">
        <v>9496</v>
      </c>
      <c r="D3529" t="s">
        <v>9497</v>
      </c>
      <c r="E3529" s="148" t="s">
        <v>9498</v>
      </c>
      <c r="F3529" t="s">
        <v>9499</v>
      </c>
      <c r="G3529" s="148" t="s">
        <v>9500</v>
      </c>
      <c r="H3529" t="s">
        <v>9501</v>
      </c>
      <c r="K3529" s="148" t="s">
        <v>11508</v>
      </c>
      <c r="L3529" t="s">
        <v>11509</v>
      </c>
      <c r="M3529" t="s">
        <v>11510</v>
      </c>
      <c r="N3529" s="3">
        <v>3</v>
      </c>
      <c r="O3529" s="3">
        <v>2</v>
      </c>
      <c r="P3529" s="3">
        <v>3</v>
      </c>
      <c r="Q3529" s="3">
        <v>3</v>
      </c>
      <c r="R3529" s="3">
        <v>3</v>
      </c>
      <c r="S3529" s="3">
        <v>3</v>
      </c>
      <c r="T3529" t="s">
        <v>771</v>
      </c>
      <c r="U3529" t="s">
        <v>773</v>
      </c>
      <c r="W3529" s="45"/>
      <c r="X3529" s="45"/>
      <c r="Y3529" s="45"/>
      <c r="Z3529" s="45"/>
      <c r="AA3529" s="45"/>
      <c r="AB3529" s="45"/>
      <c r="AC3529" s="150">
        <v>0</v>
      </c>
      <c r="AD3529" s="150">
        <v>0</v>
      </c>
      <c r="AE3529" s="49">
        <f t="shared" si="163"/>
        <v>0</v>
      </c>
      <c r="AF3529" s="4"/>
      <c r="AG3529" s="17">
        <v>0</v>
      </c>
      <c r="AH3529" s="4"/>
      <c r="AI3529" s="4"/>
      <c r="AJ3529" s="4"/>
      <c r="AK3529" s="46"/>
      <c r="AL3529" s="46"/>
      <c r="AM3529" s="17">
        <f t="shared" si="164"/>
        <v>0</v>
      </c>
      <c r="AN3529" s="44"/>
      <c r="AO3529" s="18"/>
    </row>
    <row r="3530" spans="1:42" customFormat="1" hidden="1" x14ac:dyDescent="0.3">
      <c r="A3530" s="148" t="s">
        <v>8319</v>
      </c>
      <c r="B3530" t="s">
        <v>8320</v>
      </c>
      <c r="C3530" s="148" t="s">
        <v>9496</v>
      </c>
      <c r="D3530" t="s">
        <v>9497</v>
      </c>
      <c r="E3530" s="148" t="s">
        <v>9498</v>
      </c>
      <c r="F3530" t="s">
        <v>9499</v>
      </c>
      <c r="G3530" s="148" t="s">
        <v>9500</v>
      </c>
      <c r="H3530" t="s">
        <v>9501</v>
      </c>
      <c r="K3530" s="148" t="s">
        <v>11508</v>
      </c>
      <c r="L3530" t="s">
        <v>10713</v>
      </c>
      <c r="M3530" t="s">
        <v>11511</v>
      </c>
      <c r="N3530" s="3">
        <v>135</v>
      </c>
      <c r="O3530" s="3">
        <v>20</v>
      </c>
      <c r="P3530" s="3">
        <v>25</v>
      </c>
      <c r="Q3530" s="3">
        <v>35</v>
      </c>
      <c r="R3530" s="3">
        <v>55</v>
      </c>
      <c r="S3530" s="3">
        <v>75</v>
      </c>
      <c r="T3530" t="s">
        <v>771</v>
      </c>
      <c r="U3530" t="s">
        <v>773</v>
      </c>
      <c r="W3530" s="45"/>
      <c r="X3530" s="45"/>
      <c r="Y3530" s="45"/>
      <c r="Z3530" s="45"/>
      <c r="AA3530" s="45"/>
      <c r="AB3530" s="45"/>
      <c r="AC3530" s="150">
        <v>0</v>
      </c>
      <c r="AD3530" s="150">
        <v>0</v>
      </c>
      <c r="AE3530" s="49">
        <f t="shared" si="163"/>
        <v>0</v>
      </c>
      <c r="AF3530" s="4"/>
      <c r="AG3530" s="17">
        <v>0</v>
      </c>
      <c r="AH3530" s="4"/>
      <c r="AI3530" s="4"/>
      <c r="AJ3530" s="4"/>
      <c r="AK3530" s="46"/>
      <c r="AL3530" s="46"/>
      <c r="AM3530" s="17">
        <f t="shared" si="164"/>
        <v>0</v>
      </c>
      <c r="AN3530" s="44"/>
      <c r="AO3530" s="18"/>
    </row>
    <row r="3531" spans="1:42" customFormat="1" hidden="1" x14ac:dyDescent="0.3">
      <c r="A3531" s="148" t="s">
        <v>8319</v>
      </c>
      <c r="B3531" t="s">
        <v>8320</v>
      </c>
      <c r="C3531" s="148" t="s">
        <v>9496</v>
      </c>
      <c r="D3531" t="s">
        <v>9497</v>
      </c>
      <c r="E3531" s="148" t="s">
        <v>9498</v>
      </c>
      <c r="F3531" t="s">
        <v>9499</v>
      </c>
      <c r="G3531" s="148" t="s">
        <v>9500</v>
      </c>
      <c r="H3531" t="s">
        <v>9501</v>
      </c>
      <c r="K3531" s="148" t="s">
        <v>11508</v>
      </c>
      <c r="L3531" t="s">
        <v>10713</v>
      </c>
      <c r="M3531" t="s">
        <v>11512</v>
      </c>
      <c r="N3531" s="3">
        <v>135</v>
      </c>
      <c r="O3531" s="3">
        <v>155</v>
      </c>
      <c r="P3531" s="3">
        <v>180</v>
      </c>
      <c r="Q3531" s="3">
        <v>210</v>
      </c>
      <c r="R3531" s="3">
        <v>265</v>
      </c>
      <c r="S3531" s="3">
        <v>325</v>
      </c>
      <c r="T3531" t="s">
        <v>771</v>
      </c>
      <c r="U3531" t="s">
        <v>773</v>
      </c>
      <c r="W3531" s="45"/>
      <c r="X3531" s="45"/>
      <c r="Y3531" s="45"/>
      <c r="Z3531" s="45"/>
      <c r="AA3531" s="45"/>
      <c r="AB3531" s="45"/>
      <c r="AC3531" s="150">
        <v>0</v>
      </c>
      <c r="AD3531" s="150">
        <v>0</v>
      </c>
      <c r="AE3531" s="49">
        <f t="shared" si="163"/>
        <v>0</v>
      </c>
      <c r="AF3531" s="4"/>
      <c r="AG3531" s="17">
        <v>0</v>
      </c>
      <c r="AH3531" s="4"/>
      <c r="AI3531" s="4"/>
      <c r="AJ3531" s="4"/>
      <c r="AK3531" s="46"/>
      <c r="AL3531" s="46"/>
      <c r="AM3531" s="17">
        <f t="shared" si="164"/>
        <v>0</v>
      </c>
      <c r="AN3531" s="44"/>
      <c r="AO3531" s="18"/>
    </row>
    <row r="3532" spans="1:42" customFormat="1" hidden="1" x14ac:dyDescent="0.3">
      <c r="A3532" s="148" t="s">
        <v>8319</v>
      </c>
      <c r="B3532" t="s">
        <v>8320</v>
      </c>
      <c r="C3532" s="148" t="s">
        <v>9496</v>
      </c>
      <c r="D3532" t="s">
        <v>9497</v>
      </c>
      <c r="E3532" s="148" t="s">
        <v>9498</v>
      </c>
      <c r="F3532" t="s">
        <v>9499</v>
      </c>
      <c r="G3532" s="148" t="s">
        <v>9500</v>
      </c>
      <c r="H3532" t="s">
        <v>9501</v>
      </c>
      <c r="K3532" s="155" t="s">
        <v>11513</v>
      </c>
      <c r="L3532" t="s">
        <v>10853</v>
      </c>
      <c r="M3532" t="s">
        <v>10854</v>
      </c>
      <c r="N3532" s="3" t="s">
        <v>271</v>
      </c>
      <c r="O3532" s="3">
        <v>1</v>
      </c>
      <c r="P3532" s="3" t="s">
        <v>271</v>
      </c>
      <c r="Q3532" s="3" t="s">
        <v>271</v>
      </c>
      <c r="R3532" s="3" t="s">
        <v>271</v>
      </c>
      <c r="S3532" s="3" t="s">
        <v>271</v>
      </c>
      <c r="T3532" t="s">
        <v>771</v>
      </c>
      <c r="U3532" t="s">
        <v>773</v>
      </c>
      <c r="W3532" s="45"/>
      <c r="X3532" s="45"/>
      <c r="Y3532" s="45"/>
      <c r="Z3532" s="45"/>
      <c r="AA3532" s="45"/>
      <c r="AB3532" s="45"/>
      <c r="AC3532" s="150">
        <v>0</v>
      </c>
      <c r="AD3532" s="150">
        <v>0</v>
      </c>
      <c r="AE3532" s="49">
        <f t="shared" si="163"/>
        <v>0</v>
      </c>
      <c r="AF3532" s="4"/>
      <c r="AG3532" s="17">
        <v>0</v>
      </c>
      <c r="AH3532" s="4"/>
      <c r="AI3532" s="4"/>
      <c r="AJ3532" s="4"/>
      <c r="AK3532" s="46"/>
      <c r="AL3532" s="46"/>
      <c r="AM3532" s="17">
        <f t="shared" si="164"/>
        <v>0</v>
      </c>
      <c r="AN3532" s="44"/>
      <c r="AO3532" s="18"/>
    </row>
    <row r="3533" spans="1:42" customFormat="1" hidden="1" x14ac:dyDescent="0.3">
      <c r="A3533" s="148" t="s">
        <v>8319</v>
      </c>
      <c r="B3533" t="s">
        <v>8320</v>
      </c>
      <c r="C3533" s="148" t="s">
        <v>9496</v>
      </c>
      <c r="D3533" t="s">
        <v>9497</v>
      </c>
      <c r="E3533" s="148" t="s">
        <v>9498</v>
      </c>
      <c r="F3533" t="s">
        <v>9499</v>
      </c>
      <c r="G3533" s="148" t="s">
        <v>9527</v>
      </c>
      <c r="H3533" t="s">
        <v>9528</v>
      </c>
      <c r="K3533" s="148" t="s">
        <v>10045</v>
      </c>
      <c r="L3533" t="s">
        <v>10046</v>
      </c>
      <c r="M3533" t="s">
        <v>11514</v>
      </c>
      <c r="N3533" s="3">
        <v>24234</v>
      </c>
      <c r="O3533" s="3">
        <v>25234</v>
      </c>
      <c r="P3533" s="3">
        <v>26234</v>
      </c>
      <c r="Q3533" s="3">
        <v>27234</v>
      </c>
      <c r="R3533" s="3">
        <v>28234</v>
      </c>
      <c r="S3533" s="3">
        <v>29234</v>
      </c>
      <c r="T3533" t="s">
        <v>11515</v>
      </c>
      <c r="U3533" t="e">
        <v>#N/A</v>
      </c>
      <c r="W3533" s="45"/>
      <c r="X3533" s="45"/>
      <c r="Y3533" s="45"/>
      <c r="Z3533" s="45"/>
      <c r="AA3533" s="45"/>
      <c r="AB3533" s="45"/>
      <c r="AC3533" s="150">
        <v>0</v>
      </c>
      <c r="AD3533" s="150">
        <v>0</v>
      </c>
      <c r="AE3533" s="49">
        <f t="shared" si="163"/>
        <v>0</v>
      </c>
      <c r="AF3533" s="4"/>
      <c r="AG3533" s="17">
        <v>0</v>
      </c>
      <c r="AH3533" s="4"/>
      <c r="AI3533" s="4"/>
      <c r="AJ3533" s="4"/>
      <c r="AK3533" s="46"/>
      <c r="AL3533" s="46"/>
      <c r="AM3533" s="17">
        <f t="shared" si="164"/>
        <v>0</v>
      </c>
      <c r="AN3533" s="18"/>
      <c r="AO3533" s="18"/>
    </row>
    <row r="3534" spans="1:42" customFormat="1" hidden="1" x14ac:dyDescent="0.3">
      <c r="A3534" s="148" t="s">
        <v>8319</v>
      </c>
      <c r="B3534" t="s">
        <v>8320</v>
      </c>
      <c r="C3534" s="148" t="s">
        <v>9496</v>
      </c>
      <c r="D3534" t="s">
        <v>9497</v>
      </c>
      <c r="E3534" s="148" t="s">
        <v>9498</v>
      </c>
      <c r="F3534" t="s">
        <v>9499</v>
      </c>
      <c r="G3534" s="148" t="s">
        <v>9527</v>
      </c>
      <c r="H3534" t="s">
        <v>9528</v>
      </c>
      <c r="K3534" s="148" t="s">
        <v>9529</v>
      </c>
      <c r="L3534" t="s">
        <v>9530</v>
      </c>
      <c r="M3534" t="s">
        <v>11516</v>
      </c>
      <c r="N3534" s="3">
        <v>245870</v>
      </c>
      <c r="O3534" s="3">
        <v>10000</v>
      </c>
      <c r="P3534" s="3">
        <v>10000</v>
      </c>
      <c r="Q3534" s="3">
        <v>10000</v>
      </c>
      <c r="R3534" s="3">
        <v>10000</v>
      </c>
      <c r="S3534" s="3">
        <v>10000</v>
      </c>
      <c r="T3534" t="s">
        <v>11517</v>
      </c>
      <c r="U3534" t="e">
        <v>#N/A</v>
      </c>
      <c r="W3534" s="45"/>
      <c r="X3534" s="45"/>
      <c r="Y3534" s="45"/>
      <c r="Z3534" s="45"/>
      <c r="AA3534" s="45"/>
      <c r="AB3534" s="45"/>
      <c r="AC3534" s="150">
        <v>0</v>
      </c>
      <c r="AD3534" s="150">
        <v>0</v>
      </c>
      <c r="AE3534" s="49">
        <f t="shared" si="163"/>
        <v>0</v>
      </c>
      <c r="AF3534" s="4"/>
      <c r="AG3534" s="17">
        <v>0</v>
      </c>
      <c r="AH3534" s="4"/>
      <c r="AI3534" s="4"/>
      <c r="AJ3534" s="4"/>
      <c r="AK3534" s="46"/>
      <c r="AL3534" s="46"/>
      <c r="AM3534" s="17">
        <f t="shared" si="164"/>
        <v>0</v>
      </c>
      <c r="AN3534" s="44"/>
      <c r="AO3534" s="18"/>
    </row>
    <row r="3535" spans="1:42" customFormat="1" hidden="1" x14ac:dyDescent="0.3">
      <c r="A3535" s="148" t="s">
        <v>8319</v>
      </c>
      <c r="B3535" t="s">
        <v>8320</v>
      </c>
      <c r="C3535" s="148" t="s">
        <v>9496</v>
      </c>
      <c r="D3535" t="s">
        <v>9497</v>
      </c>
      <c r="E3535" s="148" t="s">
        <v>9498</v>
      </c>
      <c r="F3535" t="s">
        <v>9499</v>
      </c>
      <c r="G3535" s="148" t="s">
        <v>9527</v>
      </c>
      <c r="H3535" t="s">
        <v>9528</v>
      </c>
      <c r="K3535" s="148" t="s">
        <v>11518</v>
      </c>
      <c r="L3535" t="s">
        <v>11519</v>
      </c>
      <c r="M3535" t="s">
        <v>11520</v>
      </c>
      <c r="N3535" s="3">
        <v>1.4999999999999999E-2</v>
      </c>
      <c r="O3535" s="3">
        <v>1.7000000000000001E-2</v>
      </c>
      <c r="P3535" s="3">
        <v>0.02</v>
      </c>
      <c r="Q3535" s="3">
        <v>2.1999999999999999E-2</v>
      </c>
      <c r="R3535" s="3">
        <v>2.4E-2</v>
      </c>
      <c r="S3535" s="3">
        <v>2.5000000000000001E-2</v>
      </c>
      <c r="T3535" t="s">
        <v>771</v>
      </c>
      <c r="U3535" t="s">
        <v>773</v>
      </c>
      <c r="W3535" s="45"/>
      <c r="X3535" s="45"/>
      <c r="Y3535" s="45"/>
      <c r="Z3535" s="45"/>
      <c r="AA3535" s="45"/>
      <c r="AB3535" s="45"/>
      <c r="AC3535" s="150">
        <v>0</v>
      </c>
      <c r="AD3535" s="150">
        <v>0</v>
      </c>
      <c r="AE3535" s="49">
        <f t="shared" si="163"/>
        <v>0</v>
      </c>
      <c r="AF3535" s="17"/>
      <c r="AG3535" s="17">
        <v>0</v>
      </c>
      <c r="AH3535" s="17">
        <v>0</v>
      </c>
      <c r="AI3535" s="17">
        <v>0</v>
      </c>
      <c r="AJ3535" s="17">
        <v>0</v>
      </c>
      <c r="AK3535" s="153">
        <v>0</v>
      </c>
      <c r="AL3535" s="154">
        <v>0</v>
      </c>
      <c r="AM3535" s="17">
        <f t="shared" si="164"/>
        <v>0</v>
      </c>
      <c r="AN3535" s="18" t="s">
        <v>771</v>
      </c>
      <c r="AO3535" s="18" t="s">
        <v>773</v>
      </c>
      <c r="AP3535" t="s">
        <v>255</v>
      </c>
    </row>
    <row r="3536" spans="1:42" customFormat="1" hidden="1" x14ac:dyDescent="0.3">
      <c r="A3536" s="148" t="s">
        <v>8319</v>
      </c>
      <c r="B3536" t="s">
        <v>8320</v>
      </c>
      <c r="C3536" s="148" t="s">
        <v>9496</v>
      </c>
      <c r="D3536" t="s">
        <v>9497</v>
      </c>
      <c r="E3536" s="148" t="s">
        <v>9498</v>
      </c>
      <c r="F3536" t="s">
        <v>9499</v>
      </c>
      <c r="G3536" s="148" t="s">
        <v>9527</v>
      </c>
      <c r="H3536" t="s">
        <v>9528</v>
      </c>
      <c r="K3536" s="155" t="s">
        <v>11521</v>
      </c>
      <c r="L3536" t="s">
        <v>11522</v>
      </c>
      <c r="M3536" t="s">
        <v>11523</v>
      </c>
      <c r="N3536" s="3">
        <v>0</v>
      </c>
      <c r="O3536" s="3">
        <v>0</v>
      </c>
      <c r="P3536" s="3">
        <v>4000</v>
      </c>
      <c r="Q3536" s="3">
        <v>4000</v>
      </c>
      <c r="R3536" s="3">
        <v>5000</v>
      </c>
      <c r="S3536" s="3">
        <v>6000</v>
      </c>
      <c r="T3536" t="s">
        <v>771</v>
      </c>
      <c r="U3536" t="s">
        <v>773</v>
      </c>
      <c r="W3536" s="45"/>
      <c r="X3536" s="45"/>
      <c r="Y3536" s="45"/>
      <c r="Z3536" s="45"/>
      <c r="AA3536" s="45"/>
      <c r="AB3536" s="45"/>
      <c r="AC3536" s="150">
        <v>0</v>
      </c>
      <c r="AD3536" s="150">
        <v>0</v>
      </c>
      <c r="AE3536" s="49">
        <f t="shared" si="163"/>
        <v>0</v>
      </c>
      <c r="AF3536" s="17"/>
      <c r="AG3536" s="17">
        <v>0</v>
      </c>
      <c r="AH3536" s="17"/>
      <c r="AI3536" s="17"/>
      <c r="AJ3536" s="17"/>
      <c r="AK3536" s="153"/>
      <c r="AL3536" s="154"/>
      <c r="AM3536" s="17">
        <f t="shared" si="164"/>
        <v>0</v>
      </c>
      <c r="AN3536" s="18"/>
      <c r="AO3536" s="18"/>
    </row>
    <row r="3537" spans="1:41" customFormat="1" hidden="1" x14ac:dyDescent="0.3">
      <c r="A3537" s="148" t="s">
        <v>8319</v>
      </c>
      <c r="B3537" t="s">
        <v>8320</v>
      </c>
      <c r="C3537" s="148" t="s">
        <v>9496</v>
      </c>
      <c r="D3537" t="s">
        <v>9497</v>
      </c>
      <c r="E3537" s="148" t="s">
        <v>9498</v>
      </c>
      <c r="F3537" t="s">
        <v>9499</v>
      </c>
      <c r="G3537" s="148" t="s">
        <v>9527</v>
      </c>
      <c r="H3537" t="s">
        <v>9528</v>
      </c>
      <c r="K3537" s="155" t="s">
        <v>11524</v>
      </c>
      <c r="L3537" t="s">
        <v>11525</v>
      </c>
      <c r="M3537" t="s">
        <v>11526</v>
      </c>
      <c r="N3537" s="3">
        <v>0</v>
      </c>
      <c r="O3537" s="3">
        <v>0</v>
      </c>
      <c r="P3537" s="3">
        <v>805.2</v>
      </c>
      <c r="Q3537" s="3">
        <v>1600640</v>
      </c>
      <c r="R3537" s="3">
        <v>3221280</v>
      </c>
      <c r="S3537" s="3">
        <v>4474000</v>
      </c>
      <c r="T3537" t="s">
        <v>11527</v>
      </c>
      <c r="U3537" t="e">
        <v>#N/A</v>
      </c>
      <c r="W3537" s="45"/>
      <c r="X3537" s="45"/>
      <c r="Y3537" s="45"/>
      <c r="Z3537" s="45"/>
      <c r="AA3537" s="45"/>
      <c r="AB3537" s="45"/>
      <c r="AC3537" s="150">
        <v>0</v>
      </c>
      <c r="AD3537" s="150">
        <v>0</v>
      </c>
      <c r="AE3537" s="49">
        <f t="shared" si="163"/>
        <v>0</v>
      </c>
      <c r="AF3537" s="17"/>
      <c r="AG3537" s="17">
        <v>0</v>
      </c>
      <c r="AH3537" s="17"/>
      <c r="AI3537" s="17"/>
      <c r="AJ3537" s="17"/>
      <c r="AK3537" s="153"/>
      <c r="AL3537" s="154"/>
      <c r="AM3537" s="17">
        <f t="shared" si="164"/>
        <v>0</v>
      </c>
      <c r="AN3537" s="18"/>
      <c r="AO3537" s="18"/>
    </row>
    <row r="3538" spans="1:41" customFormat="1" hidden="1" x14ac:dyDescent="0.3">
      <c r="A3538" s="148" t="s">
        <v>8319</v>
      </c>
      <c r="B3538" t="s">
        <v>8320</v>
      </c>
      <c r="C3538" s="148" t="s">
        <v>9496</v>
      </c>
      <c r="D3538" t="s">
        <v>9497</v>
      </c>
      <c r="E3538" s="148" t="s">
        <v>9498</v>
      </c>
      <c r="F3538" t="s">
        <v>9499</v>
      </c>
      <c r="G3538" s="148" t="s">
        <v>9527</v>
      </c>
      <c r="H3538" t="s">
        <v>9528</v>
      </c>
      <c r="K3538" s="155" t="s">
        <v>11524</v>
      </c>
      <c r="L3538" t="s">
        <v>11528</v>
      </c>
      <c r="M3538" t="s">
        <v>11529</v>
      </c>
      <c r="N3538" s="3" t="s">
        <v>119</v>
      </c>
      <c r="O3538" s="3">
        <v>0</v>
      </c>
      <c r="P3538" s="3">
        <v>805.2</v>
      </c>
      <c r="Q3538" s="3">
        <v>1600640</v>
      </c>
      <c r="R3538" s="3">
        <v>3221280</v>
      </c>
      <c r="S3538" s="3">
        <v>4474000</v>
      </c>
      <c r="T3538" t="s">
        <v>11530</v>
      </c>
      <c r="U3538" t="e">
        <v>#N/A</v>
      </c>
      <c r="W3538" s="45"/>
      <c r="X3538" s="45"/>
      <c r="Y3538" s="45"/>
      <c r="Z3538" s="45"/>
      <c r="AA3538" s="45"/>
      <c r="AB3538" s="45"/>
      <c r="AC3538" s="150">
        <v>0</v>
      </c>
      <c r="AD3538" s="150">
        <v>0</v>
      </c>
      <c r="AE3538" s="49">
        <f t="shared" si="163"/>
        <v>0</v>
      </c>
      <c r="AF3538" s="17"/>
      <c r="AG3538" s="17">
        <v>0</v>
      </c>
      <c r="AH3538" s="17"/>
      <c r="AI3538" s="17"/>
      <c r="AJ3538" s="17"/>
      <c r="AK3538" s="153"/>
      <c r="AL3538" s="154"/>
      <c r="AM3538" s="17">
        <f t="shared" si="164"/>
        <v>0</v>
      </c>
      <c r="AN3538" s="18"/>
      <c r="AO3538" s="18"/>
    </row>
    <row r="3539" spans="1:41" customFormat="1" hidden="1" x14ac:dyDescent="0.3">
      <c r="A3539" s="148" t="s">
        <v>8319</v>
      </c>
      <c r="B3539" t="s">
        <v>8320</v>
      </c>
      <c r="C3539" s="148" t="s">
        <v>9496</v>
      </c>
      <c r="D3539" t="s">
        <v>9497</v>
      </c>
      <c r="E3539" s="148" t="s">
        <v>9498</v>
      </c>
      <c r="F3539" t="s">
        <v>9499</v>
      </c>
      <c r="G3539" s="148" t="s">
        <v>9527</v>
      </c>
      <c r="H3539" t="s">
        <v>9528</v>
      </c>
      <c r="K3539" s="148" t="s">
        <v>11531</v>
      </c>
      <c r="L3539" t="s">
        <v>11532</v>
      </c>
      <c r="M3539" t="s">
        <v>11533</v>
      </c>
      <c r="N3539" s="3">
        <v>0</v>
      </c>
      <c r="O3539" s="3">
        <v>1</v>
      </c>
      <c r="P3539" s="3">
        <v>0</v>
      </c>
      <c r="Q3539" s="3" t="s">
        <v>271</v>
      </c>
      <c r="R3539" s="3" t="s">
        <v>271</v>
      </c>
      <c r="S3539" s="3" t="s">
        <v>271</v>
      </c>
      <c r="T3539" t="s">
        <v>771</v>
      </c>
      <c r="U3539" t="s">
        <v>773</v>
      </c>
      <c r="W3539" s="45"/>
      <c r="X3539" s="45"/>
      <c r="Y3539" s="45"/>
      <c r="Z3539" s="45"/>
      <c r="AA3539" s="45"/>
      <c r="AB3539" s="45"/>
      <c r="AC3539" s="150">
        <v>0</v>
      </c>
      <c r="AD3539" s="150">
        <v>0</v>
      </c>
      <c r="AE3539" s="49">
        <f t="shared" si="163"/>
        <v>0</v>
      </c>
      <c r="AF3539" s="17"/>
      <c r="AG3539" s="17">
        <v>0</v>
      </c>
      <c r="AH3539" s="17"/>
      <c r="AI3539" s="17"/>
      <c r="AJ3539" s="17"/>
      <c r="AK3539" s="153"/>
      <c r="AL3539" s="154"/>
      <c r="AM3539" s="17">
        <f t="shared" si="164"/>
        <v>0</v>
      </c>
      <c r="AN3539" s="18"/>
      <c r="AO3539" s="18"/>
    </row>
    <row r="3540" spans="1:41" customFormat="1" hidden="1" x14ac:dyDescent="0.3">
      <c r="A3540" s="148" t="s">
        <v>8319</v>
      </c>
      <c r="B3540" t="s">
        <v>8320</v>
      </c>
      <c r="C3540" s="148" t="s">
        <v>9496</v>
      </c>
      <c r="D3540" t="s">
        <v>9497</v>
      </c>
      <c r="E3540" s="148" t="s">
        <v>9498</v>
      </c>
      <c r="F3540" t="s">
        <v>9499</v>
      </c>
      <c r="G3540" s="148" t="s">
        <v>9527</v>
      </c>
      <c r="H3540" t="s">
        <v>9528</v>
      </c>
      <c r="K3540" s="155" t="s">
        <v>11534</v>
      </c>
      <c r="L3540" t="s">
        <v>11535</v>
      </c>
      <c r="M3540" t="s">
        <v>11536</v>
      </c>
      <c r="N3540" s="3">
        <v>0</v>
      </c>
      <c r="O3540" s="3">
        <v>1</v>
      </c>
      <c r="P3540" s="3">
        <v>0</v>
      </c>
      <c r="Q3540" s="3">
        <v>0</v>
      </c>
      <c r="R3540" s="3">
        <v>0</v>
      </c>
      <c r="S3540" s="3">
        <v>0</v>
      </c>
      <c r="T3540" t="s">
        <v>771</v>
      </c>
      <c r="U3540" t="s">
        <v>773</v>
      </c>
      <c r="W3540" s="45"/>
      <c r="X3540" s="45"/>
      <c r="Y3540" s="45"/>
      <c r="Z3540" s="45"/>
      <c r="AA3540" s="45"/>
      <c r="AB3540" s="45"/>
      <c r="AC3540" s="150">
        <v>0</v>
      </c>
      <c r="AD3540" s="150">
        <v>0</v>
      </c>
      <c r="AE3540" s="49">
        <f t="shared" si="163"/>
        <v>0</v>
      </c>
      <c r="AF3540" s="17"/>
      <c r="AG3540" s="17">
        <v>0</v>
      </c>
      <c r="AH3540" s="17"/>
      <c r="AI3540" s="17"/>
      <c r="AJ3540" s="17"/>
      <c r="AK3540" s="153"/>
      <c r="AL3540" s="154"/>
      <c r="AM3540" s="17">
        <f t="shared" si="164"/>
        <v>0</v>
      </c>
      <c r="AN3540" s="18"/>
      <c r="AO3540" s="18"/>
    </row>
    <row r="3541" spans="1:41" customFormat="1" hidden="1" x14ac:dyDescent="0.3">
      <c r="A3541" s="148" t="s">
        <v>8319</v>
      </c>
      <c r="B3541" t="s">
        <v>8320</v>
      </c>
      <c r="C3541" s="148" t="s">
        <v>9496</v>
      </c>
      <c r="D3541" t="s">
        <v>9497</v>
      </c>
      <c r="E3541" s="148" t="s">
        <v>9498</v>
      </c>
      <c r="F3541" t="s">
        <v>9499</v>
      </c>
      <c r="G3541" s="148" t="s">
        <v>9527</v>
      </c>
      <c r="H3541" t="s">
        <v>9528</v>
      </c>
      <c r="K3541" s="155" t="s">
        <v>11534</v>
      </c>
      <c r="L3541" t="s">
        <v>11535</v>
      </c>
      <c r="M3541" t="s">
        <v>11537</v>
      </c>
      <c r="N3541" s="3">
        <v>65</v>
      </c>
      <c r="O3541" s="3">
        <v>5</v>
      </c>
      <c r="P3541" s="3">
        <v>7</v>
      </c>
      <c r="Q3541" s="3">
        <v>5</v>
      </c>
      <c r="R3541" s="3">
        <v>2</v>
      </c>
      <c r="S3541" s="3">
        <v>3</v>
      </c>
      <c r="T3541" t="s">
        <v>771</v>
      </c>
      <c r="U3541" t="s">
        <v>773</v>
      </c>
      <c r="W3541" s="45"/>
      <c r="X3541" s="45"/>
      <c r="Y3541" s="45"/>
      <c r="Z3541" s="45"/>
      <c r="AA3541" s="45"/>
      <c r="AB3541" s="45"/>
      <c r="AC3541" s="150">
        <v>0</v>
      </c>
      <c r="AD3541" s="150">
        <v>0</v>
      </c>
      <c r="AE3541" s="49">
        <f t="shared" si="163"/>
        <v>0</v>
      </c>
      <c r="AF3541" s="17"/>
      <c r="AG3541" s="17">
        <v>0</v>
      </c>
      <c r="AH3541" s="17"/>
      <c r="AI3541" s="17"/>
      <c r="AJ3541" s="17"/>
      <c r="AK3541" s="153"/>
      <c r="AL3541" s="154"/>
      <c r="AM3541" s="17">
        <f t="shared" si="164"/>
        <v>0</v>
      </c>
      <c r="AN3541" s="18"/>
      <c r="AO3541" s="18"/>
    </row>
    <row r="3542" spans="1:41" customFormat="1" hidden="1" x14ac:dyDescent="0.3">
      <c r="A3542" s="148" t="s">
        <v>8319</v>
      </c>
      <c r="B3542" t="s">
        <v>8320</v>
      </c>
      <c r="C3542" s="148" t="s">
        <v>9496</v>
      </c>
      <c r="D3542" t="s">
        <v>9497</v>
      </c>
      <c r="E3542" s="148" t="s">
        <v>9498</v>
      </c>
      <c r="F3542" t="s">
        <v>9499</v>
      </c>
      <c r="G3542" s="148" t="s">
        <v>9527</v>
      </c>
      <c r="H3542" t="s">
        <v>9528</v>
      </c>
      <c r="K3542" s="155" t="s">
        <v>11534</v>
      </c>
      <c r="L3542" t="s">
        <v>11535</v>
      </c>
      <c r="M3542" t="s">
        <v>11538</v>
      </c>
      <c r="N3542" s="3">
        <v>20000</v>
      </c>
      <c r="O3542" s="3">
        <v>25000</v>
      </c>
      <c r="P3542" s="3">
        <v>31000</v>
      </c>
      <c r="Q3542" s="3">
        <v>38000</v>
      </c>
      <c r="R3542" s="3">
        <v>46000</v>
      </c>
      <c r="S3542" s="3">
        <v>56000</v>
      </c>
      <c r="T3542" t="s">
        <v>771</v>
      </c>
      <c r="U3542" t="s">
        <v>773</v>
      </c>
      <c r="W3542" s="45"/>
      <c r="X3542" s="45"/>
      <c r="Y3542" s="45"/>
      <c r="Z3542" s="45"/>
      <c r="AA3542" s="45"/>
      <c r="AB3542" s="45"/>
      <c r="AC3542" s="150">
        <v>0</v>
      </c>
      <c r="AD3542" s="150">
        <v>0</v>
      </c>
      <c r="AE3542" s="49">
        <f t="shared" si="163"/>
        <v>0</v>
      </c>
      <c r="AF3542" s="17"/>
      <c r="AG3542" s="17">
        <v>0</v>
      </c>
      <c r="AH3542" s="17"/>
      <c r="AI3542" s="17"/>
      <c r="AJ3542" s="17"/>
      <c r="AK3542" s="153"/>
      <c r="AL3542" s="154"/>
      <c r="AM3542" s="17">
        <f t="shared" si="164"/>
        <v>0</v>
      </c>
      <c r="AN3542" s="18"/>
      <c r="AO3542" s="18"/>
    </row>
    <row r="3543" spans="1:41" customFormat="1" hidden="1" x14ac:dyDescent="0.3">
      <c r="A3543" s="148" t="s">
        <v>8319</v>
      </c>
      <c r="B3543" t="s">
        <v>8320</v>
      </c>
      <c r="C3543" s="148" t="s">
        <v>9496</v>
      </c>
      <c r="D3543" t="s">
        <v>9497</v>
      </c>
      <c r="E3543" s="148" t="s">
        <v>9498</v>
      </c>
      <c r="F3543" t="s">
        <v>9499</v>
      </c>
      <c r="G3543" s="148" t="s">
        <v>9855</v>
      </c>
      <c r="H3543" t="s">
        <v>9856</v>
      </c>
      <c r="K3543" s="155" t="s">
        <v>11539</v>
      </c>
      <c r="L3543" t="s">
        <v>11540</v>
      </c>
      <c r="M3543" t="s">
        <v>11541</v>
      </c>
      <c r="N3543" s="3"/>
      <c r="O3543" s="3" t="s">
        <v>271</v>
      </c>
      <c r="P3543" s="3" t="s">
        <v>271</v>
      </c>
      <c r="Q3543" s="3" t="s">
        <v>271</v>
      </c>
      <c r="R3543" s="3">
        <v>1</v>
      </c>
      <c r="S3543" s="3" t="s">
        <v>271</v>
      </c>
      <c r="T3543" t="s">
        <v>771</v>
      </c>
      <c r="U3543" t="s">
        <v>773</v>
      </c>
      <c r="W3543" s="45"/>
      <c r="X3543" s="45"/>
      <c r="Y3543" s="45"/>
      <c r="Z3543" s="45"/>
      <c r="AA3543" s="45"/>
      <c r="AB3543" s="45"/>
      <c r="AC3543" s="150">
        <v>0</v>
      </c>
      <c r="AD3543" s="150">
        <v>0</v>
      </c>
      <c r="AE3543" s="49">
        <f t="shared" si="163"/>
        <v>0</v>
      </c>
      <c r="AF3543" s="17"/>
      <c r="AG3543" s="17">
        <v>0</v>
      </c>
      <c r="AH3543" s="17"/>
      <c r="AI3543" s="17"/>
      <c r="AJ3543" s="17"/>
      <c r="AK3543" s="153"/>
      <c r="AL3543" s="154"/>
      <c r="AM3543" s="17">
        <f t="shared" si="164"/>
        <v>0</v>
      </c>
      <c r="AN3543" s="18"/>
      <c r="AO3543" s="18"/>
    </row>
    <row r="3544" spans="1:41" customFormat="1" hidden="1" x14ac:dyDescent="0.3">
      <c r="A3544" s="148" t="s">
        <v>8319</v>
      </c>
      <c r="B3544" t="s">
        <v>8320</v>
      </c>
      <c r="C3544" s="148" t="s">
        <v>9496</v>
      </c>
      <c r="D3544" t="s">
        <v>9497</v>
      </c>
      <c r="E3544" s="148" t="s">
        <v>9498</v>
      </c>
      <c r="F3544" t="s">
        <v>9499</v>
      </c>
      <c r="G3544" s="148" t="s">
        <v>9538</v>
      </c>
      <c r="H3544" t="s">
        <v>9539</v>
      </c>
      <c r="K3544" s="148" t="s">
        <v>9540</v>
      </c>
      <c r="L3544" t="s">
        <v>9541</v>
      </c>
      <c r="M3544" t="s">
        <v>11542</v>
      </c>
      <c r="N3544" s="3">
        <v>0</v>
      </c>
      <c r="O3544" s="3">
        <v>20</v>
      </c>
      <c r="P3544" s="3">
        <v>30</v>
      </c>
      <c r="Q3544" s="3">
        <v>50</v>
      </c>
      <c r="R3544" s="3">
        <v>50</v>
      </c>
      <c r="S3544" s="3">
        <v>50</v>
      </c>
      <c r="T3544" t="s">
        <v>9543</v>
      </c>
      <c r="U3544" t="e">
        <v>#N/A</v>
      </c>
      <c r="W3544" s="45"/>
      <c r="X3544" s="45"/>
      <c r="Y3544" s="45"/>
      <c r="Z3544" s="45"/>
      <c r="AA3544" s="45"/>
      <c r="AB3544" s="45"/>
      <c r="AC3544" s="150">
        <v>0</v>
      </c>
      <c r="AD3544" s="150">
        <v>0</v>
      </c>
      <c r="AE3544" s="49">
        <f t="shared" si="163"/>
        <v>0</v>
      </c>
      <c r="AF3544" s="17"/>
      <c r="AG3544" s="17">
        <v>0</v>
      </c>
      <c r="AH3544" s="17"/>
      <c r="AI3544" s="17"/>
      <c r="AJ3544" s="17"/>
      <c r="AK3544" s="153"/>
      <c r="AL3544" s="154"/>
      <c r="AM3544" s="17">
        <f t="shared" si="164"/>
        <v>0</v>
      </c>
      <c r="AN3544" s="18"/>
      <c r="AO3544" s="18"/>
    </row>
    <row r="3545" spans="1:41" customFormat="1" hidden="1" x14ac:dyDescent="0.3">
      <c r="A3545" s="148" t="s">
        <v>8319</v>
      </c>
      <c r="B3545" t="s">
        <v>8320</v>
      </c>
      <c r="C3545" s="148" t="s">
        <v>9496</v>
      </c>
      <c r="D3545" t="s">
        <v>9497</v>
      </c>
      <c r="E3545" s="148" t="s">
        <v>9498</v>
      </c>
      <c r="F3545" t="s">
        <v>9499</v>
      </c>
      <c r="G3545" s="148" t="s">
        <v>10390</v>
      </c>
      <c r="H3545" t="s">
        <v>10391</v>
      </c>
      <c r="K3545" s="148" t="s">
        <v>10392</v>
      </c>
      <c r="L3545" t="s">
        <v>10393</v>
      </c>
      <c r="M3545" t="s">
        <v>11543</v>
      </c>
      <c r="N3545" s="3">
        <v>4000</v>
      </c>
      <c r="O3545" s="3">
        <v>5000</v>
      </c>
      <c r="P3545" s="3">
        <v>5000</v>
      </c>
      <c r="Q3545" s="3">
        <v>5000</v>
      </c>
      <c r="R3545" s="3">
        <v>5000</v>
      </c>
      <c r="S3545" s="3">
        <v>5000</v>
      </c>
      <c r="U3545" t="e">
        <v>#N/A</v>
      </c>
      <c r="W3545" s="45"/>
      <c r="X3545" s="45"/>
      <c r="Y3545" s="45"/>
      <c r="Z3545" s="45"/>
      <c r="AA3545" s="45"/>
      <c r="AB3545" s="45"/>
      <c r="AC3545" s="150">
        <v>0</v>
      </c>
      <c r="AD3545" s="150">
        <v>0</v>
      </c>
      <c r="AE3545" s="49">
        <f t="shared" si="163"/>
        <v>0</v>
      </c>
      <c r="AF3545" s="4"/>
      <c r="AG3545" s="17">
        <v>0</v>
      </c>
      <c r="AH3545" s="4"/>
      <c r="AI3545" s="4"/>
      <c r="AJ3545" s="4"/>
      <c r="AK3545" s="46"/>
      <c r="AL3545" s="46"/>
      <c r="AM3545" s="17">
        <f t="shared" si="164"/>
        <v>0</v>
      </c>
      <c r="AN3545" s="18"/>
      <c r="AO3545" s="18"/>
    </row>
    <row r="3546" spans="1:41" customFormat="1" hidden="1" x14ac:dyDescent="0.3">
      <c r="A3546" s="148" t="s">
        <v>8319</v>
      </c>
      <c r="B3546" t="s">
        <v>8320</v>
      </c>
      <c r="C3546" s="148" t="s">
        <v>9496</v>
      </c>
      <c r="D3546" t="s">
        <v>9497</v>
      </c>
      <c r="E3546" s="148" t="s">
        <v>9498</v>
      </c>
      <c r="F3546" t="s">
        <v>9499</v>
      </c>
      <c r="G3546" s="148" t="s">
        <v>10390</v>
      </c>
      <c r="H3546" t="s">
        <v>10391</v>
      </c>
      <c r="K3546" s="148" t="s">
        <v>10392</v>
      </c>
      <c r="L3546" t="s">
        <v>10393</v>
      </c>
      <c r="M3546" t="s">
        <v>11544</v>
      </c>
      <c r="N3546" s="3">
        <v>0</v>
      </c>
      <c r="O3546" s="3">
        <v>10000</v>
      </c>
      <c r="P3546" s="3">
        <v>10000</v>
      </c>
      <c r="Q3546" s="3">
        <v>10000</v>
      </c>
      <c r="R3546" s="3">
        <v>10000</v>
      </c>
      <c r="S3546" s="3">
        <v>10000</v>
      </c>
      <c r="T3546" t="s">
        <v>1536</v>
      </c>
      <c r="U3546" t="e">
        <v>#N/A</v>
      </c>
      <c r="W3546" s="45"/>
      <c r="X3546" s="45"/>
      <c r="Y3546" s="45"/>
      <c r="Z3546" s="45"/>
      <c r="AA3546" s="45"/>
      <c r="AB3546" s="45"/>
      <c r="AC3546" s="150">
        <v>0</v>
      </c>
      <c r="AD3546" s="150">
        <v>0</v>
      </c>
      <c r="AE3546" s="49">
        <f t="shared" ref="AE3546:AE3581" si="165">SUM(W3546:AD3546)/8</f>
        <v>0</v>
      </c>
      <c r="AF3546" s="4"/>
      <c r="AG3546" s="17">
        <v>0</v>
      </c>
      <c r="AH3546" s="4"/>
      <c r="AI3546" s="4"/>
      <c r="AJ3546" s="4"/>
      <c r="AK3546" s="46"/>
      <c r="AL3546" s="46"/>
      <c r="AM3546" s="17">
        <f t="shared" ref="AM3546:AM3584" si="166">SUM(AK3546:AL3546)</f>
        <v>0</v>
      </c>
      <c r="AN3546" s="18"/>
      <c r="AO3546" s="18"/>
    </row>
    <row r="3547" spans="1:41" customFormat="1" hidden="1" x14ac:dyDescent="0.3">
      <c r="A3547" s="148" t="s">
        <v>8319</v>
      </c>
      <c r="B3547" t="s">
        <v>8320</v>
      </c>
      <c r="C3547" s="148" t="s">
        <v>9496</v>
      </c>
      <c r="D3547" t="s">
        <v>9497</v>
      </c>
      <c r="E3547" s="148" t="s">
        <v>9498</v>
      </c>
      <c r="F3547" t="s">
        <v>9499</v>
      </c>
      <c r="G3547" s="148" t="s">
        <v>10390</v>
      </c>
      <c r="H3547" t="s">
        <v>10391</v>
      </c>
      <c r="K3547" s="148" t="s">
        <v>10392</v>
      </c>
      <c r="L3547" t="s">
        <v>10393</v>
      </c>
      <c r="M3547" t="s">
        <v>11545</v>
      </c>
      <c r="N3547" s="3">
        <v>16</v>
      </c>
      <c r="O3547" s="3">
        <v>16</v>
      </c>
      <c r="P3547" s="3">
        <v>16</v>
      </c>
      <c r="Q3547" s="3">
        <v>16</v>
      </c>
      <c r="R3547" s="3">
        <v>16</v>
      </c>
      <c r="S3547" s="3">
        <v>16</v>
      </c>
      <c r="T3547" t="s">
        <v>1536</v>
      </c>
      <c r="U3547" t="e">
        <v>#N/A</v>
      </c>
      <c r="W3547" s="45"/>
      <c r="X3547" s="45"/>
      <c r="Y3547" s="45"/>
      <c r="Z3547" s="45"/>
      <c r="AA3547" s="45"/>
      <c r="AB3547" s="45"/>
      <c r="AC3547" s="150">
        <v>0</v>
      </c>
      <c r="AD3547" s="150">
        <v>0</v>
      </c>
      <c r="AE3547" s="49">
        <f t="shared" si="165"/>
        <v>0</v>
      </c>
      <c r="AF3547" s="4"/>
      <c r="AG3547" s="17">
        <v>0</v>
      </c>
      <c r="AH3547" s="4"/>
      <c r="AI3547" s="4"/>
      <c r="AJ3547" s="4"/>
      <c r="AK3547" s="46"/>
      <c r="AL3547" s="46"/>
      <c r="AM3547" s="17">
        <f t="shared" si="166"/>
        <v>0</v>
      </c>
      <c r="AN3547" s="18"/>
      <c r="AO3547" s="18"/>
    </row>
    <row r="3548" spans="1:41" customFormat="1" hidden="1" x14ac:dyDescent="0.3">
      <c r="A3548" s="148" t="s">
        <v>8319</v>
      </c>
      <c r="B3548" t="s">
        <v>8320</v>
      </c>
      <c r="C3548" s="148" t="s">
        <v>9496</v>
      </c>
      <c r="D3548" t="s">
        <v>9497</v>
      </c>
      <c r="E3548" s="148" t="s">
        <v>9498</v>
      </c>
      <c r="F3548" t="s">
        <v>9499</v>
      </c>
      <c r="G3548" s="148" t="s">
        <v>10390</v>
      </c>
      <c r="H3548" t="s">
        <v>10391</v>
      </c>
      <c r="K3548" s="148" t="s">
        <v>10392</v>
      </c>
      <c r="L3548" t="s">
        <v>10393</v>
      </c>
      <c r="M3548" t="s">
        <v>11546</v>
      </c>
      <c r="N3548" s="3">
        <v>30</v>
      </c>
      <c r="O3548" s="3">
        <v>30</v>
      </c>
      <c r="P3548" s="3">
        <v>40</v>
      </c>
      <c r="Q3548" s="3">
        <v>50</v>
      </c>
      <c r="R3548" s="3">
        <v>60</v>
      </c>
      <c r="S3548" s="3">
        <v>70</v>
      </c>
      <c r="T3548" t="s">
        <v>10363</v>
      </c>
      <c r="U3548" t="e">
        <v>#N/A</v>
      </c>
      <c r="W3548" s="45"/>
      <c r="X3548" s="45"/>
      <c r="Y3548" s="45"/>
      <c r="Z3548" s="45"/>
      <c r="AA3548" s="45"/>
      <c r="AB3548" s="45"/>
      <c r="AC3548" s="150">
        <v>0</v>
      </c>
      <c r="AD3548" s="150">
        <v>0</v>
      </c>
      <c r="AE3548" s="49">
        <f t="shared" si="165"/>
        <v>0</v>
      </c>
      <c r="AF3548" s="4"/>
      <c r="AG3548" s="17">
        <v>0</v>
      </c>
      <c r="AH3548" s="4"/>
      <c r="AI3548" s="4"/>
      <c r="AJ3548" s="4"/>
      <c r="AK3548" s="46"/>
      <c r="AL3548" s="46"/>
      <c r="AM3548" s="17">
        <f t="shared" si="166"/>
        <v>0</v>
      </c>
      <c r="AN3548" s="18"/>
      <c r="AO3548" s="18"/>
    </row>
    <row r="3549" spans="1:41" customFormat="1" hidden="1" x14ac:dyDescent="0.3">
      <c r="A3549" s="148" t="s">
        <v>8319</v>
      </c>
      <c r="B3549" t="s">
        <v>8320</v>
      </c>
      <c r="C3549" s="148" t="s">
        <v>9496</v>
      </c>
      <c r="D3549" t="s">
        <v>9497</v>
      </c>
      <c r="E3549" s="148" t="s">
        <v>9498</v>
      </c>
      <c r="F3549" t="s">
        <v>9499</v>
      </c>
      <c r="G3549" s="148" t="s">
        <v>10390</v>
      </c>
      <c r="H3549" t="s">
        <v>10391</v>
      </c>
      <c r="K3549" s="148" t="s">
        <v>10392</v>
      </c>
      <c r="L3549" t="s">
        <v>10393</v>
      </c>
      <c r="M3549" t="s">
        <v>11547</v>
      </c>
      <c r="N3549" s="3">
        <v>18</v>
      </c>
      <c r="O3549" s="3">
        <v>18</v>
      </c>
      <c r="P3549" s="3">
        <v>18</v>
      </c>
      <c r="Q3549" s="3">
        <v>18</v>
      </c>
      <c r="R3549" s="3">
        <v>18</v>
      </c>
      <c r="S3549" s="3">
        <v>18</v>
      </c>
      <c r="T3549" t="s">
        <v>771</v>
      </c>
      <c r="U3549" t="s">
        <v>773</v>
      </c>
      <c r="W3549" s="45"/>
      <c r="X3549" s="45"/>
      <c r="Y3549" s="45"/>
      <c r="Z3549" s="45"/>
      <c r="AA3549" s="45"/>
      <c r="AB3549" s="45"/>
      <c r="AC3549" s="150">
        <v>0</v>
      </c>
      <c r="AD3549" s="150">
        <v>0</v>
      </c>
      <c r="AE3549" s="49">
        <f t="shared" si="165"/>
        <v>0</v>
      </c>
      <c r="AF3549" s="4"/>
      <c r="AG3549" s="17">
        <v>0</v>
      </c>
      <c r="AH3549" s="4"/>
      <c r="AI3549" s="4"/>
      <c r="AJ3549" s="4"/>
      <c r="AK3549" s="46"/>
      <c r="AL3549" s="46"/>
      <c r="AM3549" s="17">
        <f t="shared" si="166"/>
        <v>0</v>
      </c>
      <c r="AN3549" s="18"/>
      <c r="AO3549" s="18"/>
    </row>
    <row r="3550" spans="1:41" customFormat="1" hidden="1" x14ac:dyDescent="0.3">
      <c r="A3550" s="148" t="s">
        <v>8319</v>
      </c>
      <c r="B3550" t="s">
        <v>8320</v>
      </c>
      <c r="C3550" s="148" t="s">
        <v>9496</v>
      </c>
      <c r="D3550" t="s">
        <v>9497</v>
      </c>
      <c r="E3550" s="148" t="s">
        <v>9498</v>
      </c>
      <c r="F3550" t="s">
        <v>9499</v>
      </c>
      <c r="G3550" s="148" t="s">
        <v>10390</v>
      </c>
      <c r="H3550" t="s">
        <v>10391</v>
      </c>
      <c r="K3550" s="148" t="s">
        <v>10392</v>
      </c>
      <c r="L3550" t="s">
        <v>10393</v>
      </c>
      <c r="M3550" t="s">
        <v>11548</v>
      </c>
      <c r="N3550" s="3">
        <v>0</v>
      </c>
      <c r="O3550" s="3">
        <v>0</v>
      </c>
      <c r="P3550" s="3">
        <v>50</v>
      </c>
      <c r="Q3550" s="3">
        <v>50</v>
      </c>
      <c r="R3550" s="3">
        <v>50</v>
      </c>
      <c r="S3550" s="3">
        <v>50</v>
      </c>
      <c r="T3550" t="s">
        <v>9543</v>
      </c>
      <c r="U3550" t="e">
        <v>#N/A</v>
      </c>
      <c r="W3550" s="45"/>
      <c r="X3550" s="45"/>
      <c r="Y3550" s="45"/>
      <c r="Z3550" s="45"/>
      <c r="AA3550" s="45"/>
      <c r="AB3550" s="45"/>
      <c r="AC3550" s="150">
        <v>0</v>
      </c>
      <c r="AD3550" s="150">
        <v>0</v>
      </c>
      <c r="AE3550" s="49">
        <f t="shared" si="165"/>
        <v>0</v>
      </c>
      <c r="AF3550" s="4"/>
      <c r="AG3550" s="17">
        <v>0</v>
      </c>
      <c r="AH3550" s="4"/>
      <c r="AI3550" s="4"/>
      <c r="AJ3550" s="4"/>
      <c r="AK3550" s="46"/>
      <c r="AL3550" s="46"/>
      <c r="AM3550" s="17">
        <f t="shared" si="166"/>
        <v>0</v>
      </c>
      <c r="AN3550" s="18"/>
      <c r="AO3550" s="18"/>
    </row>
    <row r="3551" spans="1:41" customFormat="1" hidden="1" x14ac:dyDescent="0.3">
      <c r="A3551" s="148" t="s">
        <v>8319</v>
      </c>
      <c r="B3551" t="s">
        <v>8320</v>
      </c>
      <c r="C3551" s="148" t="s">
        <v>9496</v>
      </c>
      <c r="D3551" t="s">
        <v>9497</v>
      </c>
      <c r="E3551" s="148" t="s">
        <v>9498</v>
      </c>
      <c r="F3551" t="s">
        <v>9499</v>
      </c>
      <c r="G3551" s="148" t="s">
        <v>10390</v>
      </c>
      <c r="H3551" t="s">
        <v>10391</v>
      </c>
      <c r="K3551" s="155" t="s">
        <v>11549</v>
      </c>
      <c r="L3551" t="s">
        <v>11550</v>
      </c>
      <c r="M3551" t="s">
        <v>11551</v>
      </c>
      <c r="N3551" s="3">
        <v>56</v>
      </c>
      <c r="O3551" s="3">
        <v>50</v>
      </c>
      <c r="P3551" s="3">
        <v>45</v>
      </c>
      <c r="Q3551" s="3">
        <v>40</v>
      </c>
      <c r="R3551" s="3">
        <v>35</v>
      </c>
      <c r="S3551" s="3">
        <v>30</v>
      </c>
      <c r="T3551" t="s">
        <v>771</v>
      </c>
      <c r="U3551" t="s">
        <v>773</v>
      </c>
      <c r="W3551" s="45"/>
      <c r="X3551" s="45"/>
      <c r="Y3551" s="45"/>
      <c r="Z3551" s="45"/>
      <c r="AA3551" s="45"/>
      <c r="AB3551" s="45"/>
      <c r="AC3551" s="150">
        <v>0</v>
      </c>
      <c r="AD3551" s="150">
        <v>0</v>
      </c>
      <c r="AE3551" s="49">
        <f t="shared" si="165"/>
        <v>0</v>
      </c>
      <c r="AF3551" s="4"/>
      <c r="AG3551" s="17">
        <v>0</v>
      </c>
      <c r="AH3551" s="4"/>
      <c r="AI3551" s="4"/>
      <c r="AJ3551" s="4"/>
      <c r="AK3551" s="46"/>
      <c r="AL3551" s="46"/>
      <c r="AM3551" s="17">
        <f t="shared" si="166"/>
        <v>0</v>
      </c>
      <c r="AN3551" s="18"/>
      <c r="AO3551" s="18"/>
    </row>
    <row r="3552" spans="1:41" customFormat="1" hidden="1" x14ac:dyDescent="0.3">
      <c r="A3552" s="148" t="s">
        <v>8319</v>
      </c>
      <c r="B3552" t="s">
        <v>8320</v>
      </c>
      <c r="C3552" s="148" t="s">
        <v>9496</v>
      </c>
      <c r="D3552" t="s">
        <v>9497</v>
      </c>
      <c r="E3552" s="148" t="s">
        <v>9498</v>
      </c>
      <c r="F3552" t="s">
        <v>9499</v>
      </c>
      <c r="G3552" s="148" t="s">
        <v>10390</v>
      </c>
      <c r="H3552" t="s">
        <v>10391</v>
      </c>
      <c r="K3552" s="155" t="s">
        <v>11549</v>
      </c>
      <c r="L3552" t="s">
        <v>11550</v>
      </c>
      <c r="M3552" t="s">
        <v>11552</v>
      </c>
      <c r="N3552" s="3">
        <v>17</v>
      </c>
      <c r="O3552" s="3">
        <v>17</v>
      </c>
      <c r="P3552" s="3">
        <v>17</v>
      </c>
      <c r="Q3552" s="3">
        <v>17</v>
      </c>
      <c r="R3552" s="3">
        <v>17</v>
      </c>
      <c r="S3552" s="3">
        <v>17</v>
      </c>
      <c r="T3552" t="s">
        <v>771</v>
      </c>
      <c r="U3552" t="s">
        <v>773</v>
      </c>
      <c r="W3552" s="45"/>
      <c r="X3552" s="45"/>
      <c r="Y3552" s="45"/>
      <c r="Z3552" s="45"/>
      <c r="AA3552" s="45"/>
      <c r="AB3552" s="45"/>
      <c r="AC3552" s="150">
        <v>0</v>
      </c>
      <c r="AD3552" s="150">
        <v>0</v>
      </c>
      <c r="AE3552" s="49">
        <f t="shared" si="165"/>
        <v>0</v>
      </c>
      <c r="AF3552" s="4"/>
      <c r="AG3552" s="17">
        <v>0</v>
      </c>
      <c r="AH3552" s="4"/>
      <c r="AI3552" s="4"/>
      <c r="AJ3552" s="4"/>
      <c r="AK3552" s="46"/>
      <c r="AL3552" s="46"/>
      <c r="AM3552" s="17">
        <f t="shared" si="166"/>
        <v>0</v>
      </c>
      <c r="AN3552" s="18"/>
      <c r="AO3552" s="18"/>
    </row>
    <row r="3553" spans="1:42" customFormat="1" x14ac:dyDescent="0.3">
      <c r="A3553" s="148" t="s">
        <v>8319</v>
      </c>
      <c r="B3553" t="s">
        <v>8320</v>
      </c>
      <c r="C3553" s="148" t="s">
        <v>9496</v>
      </c>
      <c r="D3553" t="s">
        <v>9497</v>
      </c>
      <c r="E3553" s="148" t="s">
        <v>9498</v>
      </c>
      <c r="F3553" t="s">
        <v>9499</v>
      </c>
      <c r="G3553" s="148" t="s">
        <v>10049</v>
      </c>
      <c r="H3553" t="s">
        <v>10050</v>
      </c>
      <c r="K3553" s="148" t="s">
        <v>11553</v>
      </c>
      <c r="L3553" t="s">
        <v>11554</v>
      </c>
      <c r="M3553" t="s">
        <v>11555</v>
      </c>
      <c r="N3553" s="3">
        <v>80</v>
      </c>
      <c r="O3553" s="3">
        <v>30</v>
      </c>
      <c r="P3553" s="3">
        <v>30</v>
      </c>
      <c r="Q3553" s="3">
        <v>30</v>
      </c>
      <c r="R3553" s="3">
        <v>30</v>
      </c>
      <c r="S3553" s="3">
        <v>30</v>
      </c>
      <c r="T3553" t="s">
        <v>1563</v>
      </c>
      <c r="U3553" t="s">
        <v>1565</v>
      </c>
      <c r="V3553" t="s">
        <v>11556</v>
      </c>
      <c r="W3553" s="45">
        <v>1</v>
      </c>
      <c r="X3553" s="45">
        <v>1</v>
      </c>
      <c r="Y3553" s="45">
        <v>1</v>
      </c>
      <c r="Z3553" s="45">
        <v>1</v>
      </c>
      <c r="AA3553" s="45">
        <v>1</v>
      </c>
      <c r="AB3553" s="45"/>
      <c r="AC3553" s="150">
        <v>1</v>
      </c>
      <c r="AD3553" s="150">
        <v>0</v>
      </c>
      <c r="AE3553" s="49">
        <f t="shared" si="165"/>
        <v>0.75</v>
      </c>
      <c r="AF3553" s="44"/>
      <c r="AG3553" s="17">
        <v>0</v>
      </c>
      <c r="AH3553" s="44">
        <v>0.08</v>
      </c>
      <c r="AI3553" s="44">
        <v>0.5</v>
      </c>
      <c r="AJ3553" s="44">
        <v>0.08</v>
      </c>
      <c r="AK3553" s="151">
        <v>0.08</v>
      </c>
      <c r="AL3553" s="151">
        <v>0.08</v>
      </c>
      <c r="AM3553" s="17">
        <f t="shared" si="166"/>
        <v>0.16</v>
      </c>
      <c r="AN3553" t="s">
        <v>1563</v>
      </c>
      <c r="AO3553" s="18" t="s">
        <v>1565</v>
      </c>
      <c r="AP3553" t="s">
        <v>921</v>
      </c>
    </row>
    <row r="3554" spans="1:42" customFormat="1" hidden="1" x14ac:dyDescent="0.3">
      <c r="A3554" s="148" t="s">
        <v>8319</v>
      </c>
      <c r="B3554" t="s">
        <v>8320</v>
      </c>
      <c r="C3554" s="148" t="s">
        <v>9496</v>
      </c>
      <c r="D3554" t="s">
        <v>9497</v>
      </c>
      <c r="E3554" s="148" t="s">
        <v>9498</v>
      </c>
      <c r="F3554" t="s">
        <v>9499</v>
      </c>
      <c r="G3554" s="148" t="s">
        <v>10049</v>
      </c>
      <c r="H3554" t="s">
        <v>10050</v>
      </c>
      <c r="K3554" s="148" t="s">
        <v>11553</v>
      </c>
      <c r="L3554" t="s">
        <v>11554</v>
      </c>
      <c r="M3554" t="s">
        <v>11557</v>
      </c>
      <c r="N3554" s="3">
        <v>24</v>
      </c>
      <c r="O3554" s="3">
        <v>20</v>
      </c>
      <c r="P3554" s="3">
        <v>20</v>
      </c>
      <c r="Q3554" s="3">
        <v>20</v>
      </c>
      <c r="R3554" s="3">
        <v>20</v>
      </c>
      <c r="S3554" s="3">
        <v>20</v>
      </c>
      <c r="T3554" t="s">
        <v>1563</v>
      </c>
      <c r="U3554" t="s">
        <v>1565</v>
      </c>
      <c r="V3554" s="378" t="s">
        <v>11558</v>
      </c>
      <c r="W3554" s="45"/>
      <c r="X3554" s="45"/>
      <c r="Y3554" s="45"/>
      <c r="Z3554" s="45"/>
      <c r="AA3554" s="45"/>
      <c r="AB3554" s="45"/>
      <c r="AC3554" s="150">
        <v>0</v>
      </c>
      <c r="AD3554" s="150">
        <v>0</v>
      </c>
      <c r="AE3554" s="49">
        <f t="shared" si="165"/>
        <v>0</v>
      </c>
      <c r="AF3554" s="44"/>
      <c r="AG3554" s="17">
        <v>0</v>
      </c>
      <c r="AH3554" s="44">
        <v>2.3E-2</v>
      </c>
      <c r="AI3554" s="44">
        <v>0.15</v>
      </c>
      <c r="AJ3554" s="44">
        <v>2.3E-2</v>
      </c>
      <c r="AK3554" s="151">
        <v>2.3E-2</v>
      </c>
      <c r="AL3554" s="151">
        <v>2.3E-2</v>
      </c>
      <c r="AM3554" s="17">
        <f t="shared" si="166"/>
        <v>4.5999999999999999E-2</v>
      </c>
      <c r="AN3554" t="s">
        <v>1563</v>
      </c>
      <c r="AO3554" s="18" t="s">
        <v>1565</v>
      </c>
      <c r="AP3554" t="s">
        <v>831</v>
      </c>
    </row>
    <row r="3555" spans="1:42" customFormat="1" hidden="1" x14ac:dyDescent="0.3">
      <c r="A3555" s="148" t="s">
        <v>8319</v>
      </c>
      <c r="B3555" t="s">
        <v>8320</v>
      </c>
      <c r="C3555" s="148" t="s">
        <v>9496</v>
      </c>
      <c r="D3555" t="s">
        <v>9497</v>
      </c>
      <c r="E3555" s="148" t="s">
        <v>9498</v>
      </c>
      <c r="F3555" t="s">
        <v>9499</v>
      </c>
      <c r="G3555" s="148" t="s">
        <v>10049</v>
      </c>
      <c r="H3555" t="s">
        <v>10050</v>
      </c>
      <c r="K3555" s="148" t="s">
        <v>11559</v>
      </c>
      <c r="L3555" t="s">
        <v>11560</v>
      </c>
      <c r="M3555" t="s">
        <v>11561</v>
      </c>
      <c r="N3555" s="3">
        <v>30</v>
      </c>
      <c r="O3555" s="3">
        <v>80</v>
      </c>
      <c r="P3555" s="3">
        <v>100</v>
      </c>
      <c r="Q3555" s="3">
        <v>104</v>
      </c>
      <c r="R3555" s="3">
        <v>108</v>
      </c>
      <c r="S3555" s="3">
        <v>116</v>
      </c>
      <c r="T3555" t="s">
        <v>1563</v>
      </c>
      <c r="U3555" t="s">
        <v>1565</v>
      </c>
      <c r="V3555" s="378" t="s">
        <v>11562</v>
      </c>
      <c r="W3555" s="45"/>
      <c r="X3555" s="45"/>
      <c r="Y3555" s="45"/>
      <c r="Z3555" s="45"/>
      <c r="AA3555" s="45"/>
      <c r="AB3555" s="45"/>
      <c r="AC3555" s="45"/>
      <c r="AD3555" s="150">
        <v>0</v>
      </c>
      <c r="AE3555" s="49">
        <f t="shared" si="165"/>
        <v>0</v>
      </c>
      <c r="AF3555" s="44">
        <v>1</v>
      </c>
      <c r="AG3555" s="17">
        <v>0</v>
      </c>
      <c r="AH3555" s="44">
        <v>0.2</v>
      </c>
      <c r="AI3555" s="44">
        <v>0.3</v>
      </c>
      <c r="AJ3555" s="44">
        <v>0.2</v>
      </c>
      <c r="AK3555" s="151">
        <v>0.2</v>
      </c>
      <c r="AL3555" s="151">
        <v>0.21</v>
      </c>
      <c r="AM3555" s="17">
        <f t="shared" si="166"/>
        <v>0.41000000000000003</v>
      </c>
      <c r="AN3555" t="s">
        <v>1563</v>
      </c>
      <c r="AO3555" s="18" t="s">
        <v>1565</v>
      </c>
      <c r="AP3555" t="s">
        <v>119</v>
      </c>
    </row>
    <row r="3556" spans="1:42" customFormat="1" x14ac:dyDescent="0.3">
      <c r="A3556" s="148" t="s">
        <v>8319</v>
      </c>
      <c r="B3556" t="s">
        <v>8320</v>
      </c>
      <c r="C3556" s="148" t="s">
        <v>9496</v>
      </c>
      <c r="D3556" t="s">
        <v>9497</v>
      </c>
      <c r="E3556" s="148" t="s">
        <v>9498</v>
      </c>
      <c r="F3556" t="s">
        <v>9499</v>
      </c>
      <c r="G3556" s="148" t="s">
        <v>10049</v>
      </c>
      <c r="H3556" t="s">
        <v>10050</v>
      </c>
      <c r="K3556" s="148" t="s">
        <v>11559</v>
      </c>
      <c r="L3556" t="s">
        <v>11560</v>
      </c>
      <c r="M3556" t="s">
        <v>11563</v>
      </c>
      <c r="N3556" s="3">
        <v>7</v>
      </c>
      <c r="O3556" s="3">
        <v>40</v>
      </c>
      <c r="P3556" s="3">
        <v>40</v>
      </c>
      <c r="Q3556" s="3">
        <v>40</v>
      </c>
      <c r="R3556" s="3">
        <v>40</v>
      </c>
      <c r="S3556" s="3">
        <v>40</v>
      </c>
      <c r="T3556" t="s">
        <v>1563</v>
      </c>
      <c r="U3556" t="s">
        <v>1565</v>
      </c>
      <c r="V3556" t="s">
        <v>11564</v>
      </c>
      <c r="W3556" s="45">
        <v>1</v>
      </c>
      <c r="X3556" s="45">
        <v>1</v>
      </c>
      <c r="Y3556" s="45">
        <v>1</v>
      </c>
      <c r="Z3556" s="45">
        <v>1</v>
      </c>
      <c r="AA3556" s="45">
        <v>1</v>
      </c>
      <c r="AB3556" s="45"/>
      <c r="AC3556" s="150">
        <v>1</v>
      </c>
      <c r="AD3556" s="150">
        <v>1</v>
      </c>
      <c r="AE3556" s="49">
        <f>SUM(W3556:AD3556)/8</f>
        <v>0.875</v>
      </c>
      <c r="AF3556" s="44">
        <v>1</v>
      </c>
      <c r="AG3556" s="17">
        <v>0</v>
      </c>
      <c r="AH3556" s="44">
        <v>0.4</v>
      </c>
      <c r="AI3556" s="44">
        <v>0.4</v>
      </c>
      <c r="AJ3556" s="44">
        <v>0.4</v>
      </c>
      <c r="AK3556" s="151">
        <v>0.4</v>
      </c>
      <c r="AL3556" s="151">
        <v>0.4</v>
      </c>
      <c r="AM3556" s="17">
        <f t="shared" si="166"/>
        <v>0.8</v>
      </c>
      <c r="AN3556" t="s">
        <v>1563</v>
      </c>
      <c r="AO3556" s="18" t="s">
        <v>1565</v>
      </c>
      <c r="AP3556" t="s">
        <v>119</v>
      </c>
    </row>
    <row r="3557" spans="1:42" customFormat="1" hidden="1" x14ac:dyDescent="0.3">
      <c r="A3557" s="148" t="s">
        <v>8319</v>
      </c>
      <c r="B3557" t="s">
        <v>8320</v>
      </c>
      <c r="C3557" s="148" t="s">
        <v>9496</v>
      </c>
      <c r="D3557" t="s">
        <v>9497</v>
      </c>
      <c r="E3557" s="148" t="s">
        <v>9498</v>
      </c>
      <c r="F3557" t="s">
        <v>9499</v>
      </c>
      <c r="G3557" s="148" t="s">
        <v>10049</v>
      </c>
      <c r="H3557" t="s">
        <v>10050</v>
      </c>
      <c r="K3557" s="148" t="s">
        <v>11565</v>
      </c>
      <c r="L3557" t="s">
        <v>11566</v>
      </c>
      <c r="M3557" t="s">
        <v>11567</v>
      </c>
      <c r="N3557" s="3">
        <v>23</v>
      </c>
      <c r="O3557" s="3">
        <v>200</v>
      </c>
      <c r="P3557" s="3">
        <v>205</v>
      </c>
      <c r="Q3557" s="3">
        <v>210</v>
      </c>
      <c r="R3557" s="3">
        <v>215</v>
      </c>
      <c r="S3557" s="3">
        <v>220</v>
      </c>
      <c r="T3557" t="s">
        <v>1563</v>
      </c>
      <c r="U3557" t="s">
        <v>1565</v>
      </c>
      <c r="V3557" s="378" t="s">
        <v>11568</v>
      </c>
      <c r="W3557" s="45"/>
      <c r="X3557" s="45"/>
      <c r="Y3557" s="45"/>
      <c r="Z3557" s="45"/>
      <c r="AA3557" s="45"/>
      <c r="AB3557" s="45"/>
      <c r="AC3557" s="150">
        <v>0</v>
      </c>
      <c r="AD3557" s="150">
        <v>0</v>
      </c>
      <c r="AE3557" s="49">
        <f t="shared" si="165"/>
        <v>0</v>
      </c>
      <c r="AF3557" s="44"/>
      <c r="AG3557" s="17">
        <v>0</v>
      </c>
      <c r="AH3557" s="44">
        <v>0.2</v>
      </c>
      <c r="AI3557" s="44">
        <v>0.2</v>
      </c>
      <c r="AJ3557" s="44">
        <v>0.2</v>
      </c>
      <c r="AK3557" s="151">
        <v>0.2</v>
      </c>
      <c r="AL3557" s="151">
        <v>0.2</v>
      </c>
      <c r="AM3557" s="17">
        <f t="shared" si="166"/>
        <v>0.4</v>
      </c>
      <c r="AN3557" t="s">
        <v>1563</v>
      </c>
      <c r="AO3557" s="18" t="s">
        <v>1565</v>
      </c>
      <c r="AP3557" t="s">
        <v>119</v>
      </c>
    </row>
    <row r="3558" spans="1:42" customFormat="1" x14ac:dyDescent="0.3">
      <c r="A3558" s="148" t="s">
        <v>8319</v>
      </c>
      <c r="B3558" t="s">
        <v>8320</v>
      </c>
      <c r="C3558" s="148" t="s">
        <v>9496</v>
      </c>
      <c r="D3558" t="s">
        <v>9497</v>
      </c>
      <c r="E3558" s="148" t="s">
        <v>9498</v>
      </c>
      <c r="F3558" t="s">
        <v>9499</v>
      </c>
      <c r="G3558" s="148" t="s">
        <v>10049</v>
      </c>
      <c r="H3558" t="s">
        <v>10050</v>
      </c>
      <c r="K3558" s="148" t="s">
        <v>11565</v>
      </c>
      <c r="L3558" t="s">
        <v>11566</v>
      </c>
      <c r="M3558" t="s">
        <v>11569</v>
      </c>
      <c r="N3558" s="3">
        <v>0</v>
      </c>
      <c r="O3558" s="3">
        <v>4</v>
      </c>
      <c r="P3558" s="3">
        <v>4</v>
      </c>
      <c r="Q3558" s="3">
        <v>8</v>
      </c>
      <c r="R3558" s="3">
        <v>8</v>
      </c>
      <c r="S3558" s="3">
        <v>8</v>
      </c>
      <c r="T3558" t="s">
        <v>1563</v>
      </c>
      <c r="U3558" t="s">
        <v>1565</v>
      </c>
      <c r="V3558" t="s">
        <v>11570</v>
      </c>
      <c r="W3558" s="45">
        <v>1</v>
      </c>
      <c r="X3558" s="45">
        <v>1</v>
      </c>
      <c r="Y3558" s="45">
        <v>1</v>
      </c>
      <c r="Z3558" s="45">
        <v>1</v>
      </c>
      <c r="AA3558" s="45">
        <v>1</v>
      </c>
      <c r="AB3558" s="45">
        <v>0</v>
      </c>
      <c r="AC3558" s="150">
        <v>1</v>
      </c>
      <c r="AD3558" s="150">
        <v>1</v>
      </c>
      <c r="AE3558" s="49">
        <f t="shared" si="165"/>
        <v>0.875</v>
      </c>
      <c r="AF3558" s="44"/>
      <c r="AG3558" s="17">
        <v>0</v>
      </c>
      <c r="AH3558" s="44">
        <v>0.4</v>
      </c>
      <c r="AI3558" s="44">
        <v>0.32</v>
      </c>
      <c r="AJ3558" s="44">
        <v>0.4</v>
      </c>
      <c r="AK3558" s="151">
        <v>0.4</v>
      </c>
      <c r="AL3558" s="151">
        <v>0.4</v>
      </c>
      <c r="AM3558" s="17">
        <f t="shared" si="166"/>
        <v>0.8</v>
      </c>
      <c r="AN3558" t="s">
        <v>1563</v>
      </c>
      <c r="AO3558" s="18" t="s">
        <v>1565</v>
      </c>
      <c r="AP3558" t="s">
        <v>255</v>
      </c>
    </row>
    <row r="3559" spans="1:42" customFormat="1" x14ac:dyDescent="0.3">
      <c r="A3559" s="148" t="s">
        <v>8319</v>
      </c>
      <c r="B3559" t="s">
        <v>8320</v>
      </c>
      <c r="C3559" s="148" t="s">
        <v>9496</v>
      </c>
      <c r="D3559" t="s">
        <v>9497</v>
      </c>
      <c r="E3559" s="148" t="s">
        <v>9498</v>
      </c>
      <c r="F3559" t="s">
        <v>9499</v>
      </c>
      <c r="G3559" s="148" t="s">
        <v>10049</v>
      </c>
      <c r="H3559" t="s">
        <v>10050</v>
      </c>
      <c r="K3559" s="148" t="s">
        <v>11565</v>
      </c>
      <c r="L3559" t="s">
        <v>11566</v>
      </c>
      <c r="M3559" t="s">
        <v>11571</v>
      </c>
      <c r="N3559" s="3" t="s">
        <v>271</v>
      </c>
      <c r="O3559" s="3">
        <v>10</v>
      </c>
      <c r="P3559" s="3">
        <v>15</v>
      </c>
      <c r="Q3559" s="3">
        <v>20</v>
      </c>
      <c r="R3559" s="3">
        <v>25</v>
      </c>
      <c r="S3559" s="3">
        <v>30</v>
      </c>
      <c r="T3559" t="s">
        <v>1563</v>
      </c>
      <c r="U3559" t="s">
        <v>1565</v>
      </c>
      <c r="V3559" t="s">
        <v>11572</v>
      </c>
      <c r="W3559" s="45">
        <v>1</v>
      </c>
      <c r="X3559" s="45">
        <v>1</v>
      </c>
      <c r="Y3559" s="45">
        <v>1</v>
      </c>
      <c r="Z3559" s="45">
        <v>1</v>
      </c>
      <c r="AA3559" s="45">
        <v>1</v>
      </c>
      <c r="AB3559" s="45">
        <v>1</v>
      </c>
      <c r="AC3559" s="150">
        <v>1</v>
      </c>
      <c r="AD3559" s="150">
        <v>0</v>
      </c>
      <c r="AE3559" s="49">
        <f t="shared" si="165"/>
        <v>0.875</v>
      </c>
      <c r="AF3559" s="44">
        <v>1</v>
      </c>
      <c r="AG3559" s="17">
        <v>0</v>
      </c>
      <c r="AH3559" s="44">
        <v>0.02</v>
      </c>
      <c r="AI3559" s="44">
        <v>0.2</v>
      </c>
      <c r="AJ3559" s="44">
        <v>0.02</v>
      </c>
      <c r="AK3559" s="151">
        <v>0.25</v>
      </c>
      <c r="AL3559" s="151">
        <v>0.3</v>
      </c>
      <c r="AM3559" s="17">
        <f t="shared" si="166"/>
        <v>0.55000000000000004</v>
      </c>
      <c r="AN3559" t="s">
        <v>1563</v>
      </c>
      <c r="AO3559" s="18" t="s">
        <v>1565</v>
      </c>
      <c r="AP3559" t="s">
        <v>119</v>
      </c>
    </row>
    <row r="3560" spans="1:42" customFormat="1" x14ac:dyDescent="0.3">
      <c r="A3560" s="148" t="s">
        <v>8319</v>
      </c>
      <c r="B3560" t="s">
        <v>8320</v>
      </c>
      <c r="C3560" s="148" t="s">
        <v>9496</v>
      </c>
      <c r="D3560" t="s">
        <v>9497</v>
      </c>
      <c r="E3560" s="148" t="s">
        <v>9498</v>
      </c>
      <c r="F3560" t="s">
        <v>9499</v>
      </c>
      <c r="G3560" s="148" t="s">
        <v>10049</v>
      </c>
      <c r="H3560" t="s">
        <v>10050</v>
      </c>
      <c r="K3560" s="148" t="s">
        <v>11565</v>
      </c>
      <c r="L3560" t="s">
        <v>11566</v>
      </c>
      <c r="M3560" t="s">
        <v>11573</v>
      </c>
      <c r="N3560" s="3">
        <v>4</v>
      </c>
      <c r="O3560" s="3">
        <v>8</v>
      </c>
      <c r="P3560" s="3">
        <v>10</v>
      </c>
      <c r="Q3560" s="3">
        <v>12</v>
      </c>
      <c r="R3560" s="3">
        <v>14</v>
      </c>
      <c r="S3560" s="3">
        <v>14</v>
      </c>
      <c r="T3560" t="s">
        <v>1563</v>
      </c>
      <c r="U3560" t="s">
        <v>1565</v>
      </c>
      <c r="V3560" t="s">
        <v>11574</v>
      </c>
      <c r="W3560" s="45">
        <v>1</v>
      </c>
      <c r="X3560" s="45">
        <v>1</v>
      </c>
      <c r="Y3560" s="45"/>
      <c r="Z3560" s="45">
        <v>1</v>
      </c>
      <c r="AA3560" s="45">
        <v>1</v>
      </c>
      <c r="AB3560" s="45">
        <v>1</v>
      </c>
      <c r="AC3560" s="150">
        <v>1</v>
      </c>
      <c r="AD3560" s="150">
        <v>0</v>
      </c>
      <c r="AE3560" s="49">
        <f t="shared" si="165"/>
        <v>0.75</v>
      </c>
      <c r="AF3560" s="44"/>
      <c r="AG3560" s="17">
        <v>0</v>
      </c>
      <c r="AH3560" s="44">
        <v>0</v>
      </c>
      <c r="AI3560" s="44">
        <v>0</v>
      </c>
      <c r="AJ3560" s="44">
        <v>0</v>
      </c>
      <c r="AK3560" s="151">
        <v>0</v>
      </c>
      <c r="AL3560" s="151">
        <v>0</v>
      </c>
      <c r="AM3560" s="17">
        <f t="shared" si="166"/>
        <v>0</v>
      </c>
      <c r="AN3560" t="s">
        <v>1563</v>
      </c>
      <c r="AO3560" s="18" t="s">
        <v>1565</v>
      </c>
      <c r="AP3560" t="s">
        <v>10732</v>
      </c>
    </row>
    <row r="3561" spans="1:42" customFormat="1" hidden="1" x14ac:dyDescent="0.3">
      <c r="A3561" s="148" t="s">
        <v>8319</v>
      </c>
      <c r="B3561" t="s">
        <v>8320</v>
      </c>
      <c r="C3561" s="148" t="s">
        <v>9496</v>
      </c>
      <c r="D3561" t="s">
        <v>9497</v>
      </c>
      <c r="E3561" s="148" t="s">
        <v>9498</v>
      </c>
      <c r="F3561" t="s">
        <v>9499</v>
      </c>
      <c r="G3561" s="148" t="s">
        <v>10049</v>
      </c>
      <c r="H3561" t="s">
        <v>10050</v>
      </c>
      <c r="K3561" s="148" t="s">
        <v>11565</v>
      </c>
      <c r="L3561" t="s">
        <v>11566</v>
      </c>
      <c r="M3561" t="s">
        <v>11575</v>
      </c>
      <c r="N3561" s="3">
        <v>2</v>
      </c>
      <c r="O3561" s="3">
        <v>8</v>
      </c>
      <c r="P3561" s="3">
        <v>10</v>
      </c>
      <c r="Q3561" s="3">
        <v>12</v>
      </c>
      <c r="R3561" s="3">
        <v>14</v>
      </c>
      <c r="S3561" s="3">
        <v>14</v>
      </c>
      <c r="T3561" t="s">
        <v>1563</v>
      </c>
      <c r="U3561" t="s">
        <v>1565</v>
      </c>
      <c r="V3561" t="s">
        <v>11576</v>
      </c>
      <c r="W3561" s="45"/>
      <c r="X3561" s="45"/>
      <c r="Y3561" s="45"/>
      <c r="Z3561" s="45"/>
      <c r="AA3561" s="45"/>
      <c r="AB3561" s="45"/>
      <c r="AC3561" s="150">
        <v>0</v>
      </c>
      <c r="AD3561" s="150">
        <v>0</v>
      </c>
      <c r="AE3561" s="49">
        <f t="shared" si="165"/>
        <v>0</v>
      </c>
      <c r="AF3561" s="44"/>
      <c r="AG3561" s="17">
        <v>0</v>
      </c>
      <c r="AH3561" s="44">
        <v>0</v>
      </c>
      <c r="AI3561" s="44">
        <v>0</v>
      </c>
      <c r="AJ3561" s="44">
        <v>0</v>
      </c>
      <c r="AK3561" s="151">
        <v>0</v>
      </c>
      <c r="AL3561" s="151">
        <v>0</v>
      </c>
      <c r="AM3561" s="17">
        <f t="shared" si="166"/>
        <v>0</v>
      </c>
      <c r="AN3561" t="s">
        <v>1563</v>
      </c>
      <c r="AO3561" s="18" t="s">
        <v>1565</v>
      </c>
      <c r="AP3561" t="s">
        <v>119</v>
      </c>
    </row>
    <row r="3562" spans="1:42" customFormat="1" x14ac:dyDescent="0.3">
      <c r="A3562" s="148" t="s">
        <v>8319</v>
      </c>
      <c r="B3562" t="s">
        <v>8320</v>
      </c>
      <c r="C3562" s="148" t="s">
        <v>9496</v>
      </c>
      <c r="D3562" t="s">
        <v>9497</v>
      </c>
      <c r="E3562" s="148" t="s">
        <v>9498</v>
      </c>
      <c r="F3562" t="s">
        <v>9499</v>
      </c>
      <c r="G3562" s="148" t="s">
        <v>10049</v>
      </c>
      <c r="H3562" t="s">
        <v>10050</v>
      </c>
      <c r="K3562" s="148" t="s">
        <v>11577</v>
      </c>
      <c r="L3562" t="s">
        <v>11578</v>
      </c>
      <c r="M3562" t="s">
        <v>11579</v>
      </c>
      <c r="N3562" s="3">
        <v>1</v>
      </c>
      <c r="O3562" s="3">
        <v>4</v>
      </c>
      <c r="P3562" s="3">
        <v>4</v>
      </c>
      <c r="Q3562" s="3">
        <v>4</v>
      </c>
      <c r="R3562" s="3">
        <v>4</v>
      </c>
      <c r="S3562" s="3">
        <v>4</v>
      </c>
      <c r="T3562" t="s">
        <v>1563</v>
      </c>
      <c r="U3562" t="s">
        <v>1565</v>
      </c>
      <c r="V3562" t="s">
        <v>11580</v>
      </c>
      <c r="W3562" s="45">
        <v>1</v>
      </c>
      <c r="X3562" s="45">
        <v>0</v>
      </c>
      <c r="Y3562" s="45">
        <v>1</v>
      </c>
      <c r="Z3562" s="45">
        <v>1</v>
      </c>
      <c r="AA3562" s="45">
        <v>1</v>
      </c>
      <c r="AB3562" s="45">
        <v>1</v>
      </c>
      <c r="AC3562" s="150">
        <v>1</v>
      </c>
      <c r="AD3562" s="150">
        <v>0</v>
      </c>
      <c r="AE3562" s="49">
        <f t="shared" si="165"/>
        <v>0.75</v>
      </c>
      <c r="AF3562" s="44"/>
      <c r="AG3562" s="17">
        <v>0</v>
      </c>
      <c r="AH3562" s="44">
        <v>0.1</v>
      </c>
      <c r="AI3562" s="44">
        <v>0.15</v>
      </c>
      <c r="AJ3562" s="44">
        <v>0.15</v>
      </c>
      <c r="AK3562" s="151">
        <v>0.15</v>
      </c>
      <c r="AL3562" s="151">
        <v>0.15</v>
      </c>
      <c r="AM3562" s="17">
        <f t="shared" si="166"/>
        <v>0.3</v>
      </c>
      <c r="AN3562" t="s">
        <v>1563</v>
      </c>
      <c r="AO3562" s="18" t="s">
        <v>1565</v>
      </c>
      <c r="AP3562" t="s">
        <v>119</v>
      </c>
    </row>
    <row r="3563" spans="1:42" customFormat="1" x14ac:dyDescent="0.3">
      <c r="A3563" s="148" t="s">
        <v>8319</v>
      </c>
      <c r="B3563" t="s">
        <v>8320</v>
      </c>
      <c r="C3563" s="148" t="s">
        <v>9496</v>
      </c>
      <c r="D3563" t="s">
        <v>9497</v>
      </c>
      <c r="E3563" s="148" t="s">
        <v>9498</v>
      </c>
      <c r="F3563" t="s">
        <v>9499</v>
      </c>
      <c r="G3563" s="148" t="s">
        <v>10049</v>
      </c>
      <c r="H3563" t="s">
        <v>10050</v>
      </c>
      <c r="K3563" s="148" t="s">
        <v>11577</v>
      </c>
      <c r="L3563" t="s">
        <v>11578</v>
      </c>
      <c r="M3563" t="s">
        <v>11581</v>
      </c>
      <c r="N3563" s="3">
        <v>1</v>
      </c>
      <c r="O3563" s="3">
        <v>8</v>
      </c>
      <c r="P3563" s="3">
        <v>8</v>
      </c>
      <c r="Q3563" s="3">
        <v>8</v>
      </c>
      <c r="R3563" s="3">
        <v>8</v>
      </c>
      <c r="S3563" s="3">
        <v>8</v>
      </c>
      <c r="T3563" t="s">
        <v>1563</v>
      </c>
      <c r="U3563" t="s">
        <v>1565</v>
      </c>
      <c r="V3563" t="s">
        <v>11582</v>
      </c>
      <c r="W3563" s="45">
        <v>1</v>
      </c>
      <c r="X3563" s="45">
        <v>0</v>
      </c>
      <c r="Y3563" s="45">
        <v>1</v>
      </c>
      <c r="Z3563" s="45">
        <v>1</v>
      </c>
      <c r="AA3563" s="45">
        <v>1</v>
      </c>
      <c r="AB3563" s="45">
        <v>1</v>
      </c>
      <c r="AC3563" s="150">
        <v>1</v>
      </c>
      <c r="AD3563" s="150">
        <v>1</v>
      </c>
      <c r="AE3563" s="49">
        <f t="shared" si="165"/>
        <v>0.875</v>
      </c>
      <c r="AF3563" s="44">
        <v>1</v>
      </c>
      <c r="AG3563" s="17">
        <v>0</v>
      </c>
      <c r="AH3563" s="44">
        <v>0.4</v>
      </c>
      <c r="AI3563" s="44">
        <v>0.4</v>
      </c>
      <c r="AJ3563" s="44">
        <v>0.4</v>
      </c>
      <c r="AK3563" s="151">
        <v>0.4</v>
      </c>
      <c r="AL3563" s="151">
        <v>0.4</v>
      </c>
      <c r="AM3563" s="17">
        <f t="shared" si="166"/>
        <v>0.8</v>
      </c>
      <c r="AN3563" t="s">
        <v>1563</v>
      </c>
      <c r="AO3563" s="18" t="s">
        <v>1565</v>
      </c>
      <c r="AP3563" t="s">
        <v>119</v>
      </c>
    </row>
    <row r="3564" spans="1:42" customFormat="1" hidden="1" x14ac:dyDescent="0.3">
      <c r="A3564" s="148" t="s">
        <v>8319</v>
      </c>
      <c r="B3564" t="s">
        <v>8320</v>
      </c>
      <c r="C3564" s="148" t="s">
        <v>9496</v>
      </c>
      <c r="D3564" t="s">
        <v>9497</v>
      </c>
      <c r="E3564" s="148" t="s">
        <v>9498</v>
      </c>
      <c r="F3564" t="s">
        <v>9499</v>
      </c>
      <c r="G3564" s="148" t="s">
        <v>10049</v>
      </c>
      <c r="H3564" t="s">
        <v>10050</v>
      </c>
      <c r="K3564" s="148" t="s">
        <v>11577</v>
      </c>
      <c r="L3564" t="s">
        <v>11578</v>
      </c>
      <c r="M3564" t="s">
        <v>11583</v>
      </c>
      <c r="N3564" s="3">
        <v>1</v>
      </c>
      <c r="O3564" s="3">
        <v>1</v>
      </c>
      <c r="P3564" s="3">
        <v>1</v>
      </c>
      <c r="Q3564" s="3">
        <v>1</v>
      </c>
      <c r="R3564" s="3">
        <v>1</v>
      </c>
      <c r="S3564" s="3">
        <v>1</v>
      </c>
      <c r="T3564" t="s">
        <v>1563</v>
      </c>
      <c r="U3564" t="s">
        <v>1565</v>
      </c>
      <c r="W3564" s="45"/>
      <c r="X3564" s="45"/>
      <c r="Y3564" s="45"/>
      <c r="Z3564" s="45"/>
      <c r="AA3564" s="45"/>
      <c r="AB3564" s="45"/>
      <c r="AC3564" s="150">
        <v>0</v>
      </c>
      <c r="AD3564" s="150">
        <v>0</v>
      </c>
      <c r="AE3564" s="49">
        <f t="shared" si="165"/>
        <v>0</v>
      </c>
      <c r="AF3564" s="4"/>
      <c r="AG3564" s="17">
        <v>0</v>
      </c>
      <c r="AH3564" s="4"/>
      <c r="AI3564" s="4"/>
      <c r="AJ3564" s="4"/>
      <c r="AK3564" s="46"/>
      <c r="AL3564" s="46"/>
      <c r="AM3564" s="17">
        <f t="shared" si="166"/>
        <v>0</v>
      </c>
      <c r="AO3564" s="18"/>
    </row>
    <row r="3565" spans="1:42" customFormat="1" hidden="1" x14ac:dyDescent="0.3">
      <c r="A3565" s="148" t="s">
        <v>8319</v>
      </c>
      <c r="B3565" t="s">
        <v>8320</v>
      </c>
      <c r="C3565" s="148" t="s">
        <v>9496</v>
      </c>
      <c r="D3565" t="s">
        <v>9497</v>
      </c>
      <c r="E3565" s="148" t="s">
        <v>9498</v>
      </c>
      <c r="F3565" t="s">
        <v>9499</v>
      </c>
      <c r="G3565" s="148" t="s">
        <v>10049</v>
      </c>
      <c r="H3565" t="s">
        <v>10050</v>
      </c>
      <c r="K3565" s="148" t="s">
        <v>11584</v>
      </c>
      <c r="L3565" t="s">
        <v>11585</v>
      </c>
      <c r="M3565" t="s">
        <v>11586</v>
      </c>
      <c r="N3565" s="3">
        <v>0</v>
      </c>
      <c r="O3565" s="3">
        <v>0</v>
      </c>
      <c r="P3565" s="3">
        <v>1</v>
      </c>
      <c r="Q3565" s="3">
        <v>1</v>
      </c>
      <c r="R3565" s="3">
        <v>1</v>
      </c>
      <c r="S3565" s="3">
        <v>1</v>
      </c>
      <c r="T3565" t="s">
        <v>1563</v>
      </c>
      <c r="U3565" t="s">
        <v>1565</v>
      </c>
      <c r="V3565" t="s">
        <v>11587</v>
      </c>
      <c r="W3565" s="45"/>
      <c r="X3565" s="45"/>
      <c r="Y3565" s="45"/>
      <c r="Z3565" s="45"/>
      <c r="AA3565" s="45"/>
      <c r="AB3565" s="45"/>
      <c r="AC3565" s="150">
        <v>0</v>
      </c>
      <c r="AD3565" s="150">
        <v>0</v>
      </c>
      <c r="AE3565" s="49">
        <f t="shared" si="165"/>
        <v>0</v>
      </c>
      <c r="AF3565" s="44"/>
      <c r="AG3565" s="17">
        <v>0</v>
      </c>
      <c r="AH3565" s="44">
        <v>0</v>
      </c>
      <c r="AI3565" s="44">
        <v>0</v>
      </c>
      <c r="AJ3565" s="44">
        <v>0</v>
      </c>
      <c r="AK3565" s="151">
        <v>0</v>
      </c>
      <c r="AL3565" s="151">
        <v>0</v>
      </c>
      <c r="AM3565" s="17">
        <f t="shared" si="166"/>
        <v>0</v>
      </c>
      <c r="AN3565" t="s">
        <v>1563</v>
      </c>
      <c r="AO3565" s="18" t="s">
        <v>1565</v>
      </c>
      <c r="AP3565" t="s">
        <v>119</v>
      </c>
    </row>
    <row r="3566" spans="1:42" customFormat="1" hidden="1" x14ac:dyDescent="0.3">
      <c r="A3566" s="148" t="s">
        <v>8319</v>
      </c>
      <c r="B3566" t="s">
        <v>8320</v>
      </c>
      <c r="C3566" s="148" t="s">
        <v>9496</v>
      </c>
      <c r="D3566" t="s">
        <v>9497</v>
      </c>
      <c r="E3566" s="148" t="s">
        <v>9498</v>
      </c>
      <c r="F3566" t="s">
        <v>9499</v>
      </c>
      <c r="G3566" s="148" t="s">
        <v>10049</v>
      </c>
      <c r="H3566" t="s">
        <v>10050</v>
      </c>
      <c r="K3566" s="148" t="s">
        <v>11584</v>
      </c>
      <c r="L3566" t="s">
        <v>11585</v>
      </c>
      <c r="M3566" t="s">
        <v>11588</v>
      </c>
      <c r="N3566" s="3">
        <v>0</v>
      </c>
      <c r="O3566" s="3">
        <v>0</v>
      </c>
      <c r="P3566" s="3">
        <v>1</v>
      </c>
      <c r="Q3566" s="3">
        <v>1</v>
      </c>
      <c r="R3566" s="3">
        <v>1</v>
      </c>
      <c r="S3566" s="3">
        <v>1</v>
      </c>
      <c r="T3566" t="s">
        <v>1563</v>
      </c>
      <c r="U3566" t="s">
        <v>1565</v>
      </c>
      <c r="V3566" t="s">
        <v>11589</v>
      </c>
      <c r="W3566" s="45"/>
      <c r="X3566" s="45"/>
      <c r="Y3566" s="45"/>
      <c r="Z3566" s="45"/>
      <c r="AA3566" s="45"/>
      <c r="AB3566" s="45"/>
      <c r="AC3566" s="150">
        <v>0</v>
      </c>
      <c r="AD3566" s="150">
        <v>0</v>
      </c>
      <c r="AE3566" s="49">
        <f t="shared" si="165"/>
        <v>0</v>
      </c>
      <c r="AF3566" s="44"/>
      <c r="AG3566" s="17">
        <v>0</v>
      </c>
      <c r="AH3566" s="44">
        <v>0</v>
      </c>
      <c r="AI3566" s="44">
        <v>0</v>
      </c>
      <c r="AJ3566" s="44">
        <v>0</v>
      </c>
      <c r="AK3566" s="151">
        <v>0</v>
      </c>
      <c r="AL3566" s="151">
        <v>0</v>
      </c>
      <c r="AM3566" s="17">
        <f t="shared" si="166"/>
        <v>0</v>
      </c>
      <c r="AN3566" t="s">
        <v>1563</v>
      </c>
      <c r="AO3566" s="18" t="s">
        <v>1565</v>
      </c>
      <c r="AP3566" t="s">
        <v>119</v>
      </c>
    </row>
    <row r="3567" spans="1:42" customFormat="1" hidden="1" x14ac:dyDescent="0.3">
      <c r="A3567" s="148" t="s">
        <v>8319</v>
      </c>
      <c r="B3567" t="s">
        <v>8320</v>
      </c>
      <c r="C3567" s="148" t="s">
        <v>9496</v>
      </c>
      <c r="D3567" t="s">
        <v>9497</v>
      </c>
      <c r="E3567" s="148" t="s">
        <v>9498</v>
      </c>
      <c r="F3567" t="s">
        <v>9499</v>
      </c>
      <c r="G3567" s="148" t="s">
        <v>10049</v>
      </c>
      <c r="H3567" t="s">
        <v>10050</v>
      </c>
      <c r="K3567" s="148" t="s">
        <v>11590</v>
      </c>
      <c r="L3567" t="s">
        <v>11591</v>
      </c>
      <c r="N3567" s="3"/>
      <c r="O3567" s="3"/>
      <c r="P3567" s="3"/>
      <c r="Q3567" s="3"/>
      <c r="R3567" s="3"/>
      <c r="S3567" s="3"/>
      <c r="U3567" t="e">
        <v>#N/A</v>
      </c>
      <c r="V3567" t="s">
        <v>11592</v>
      </c>
      <c r="W3567" s="45"/>
      <c r="X3567" s="45"/>
      <c r="Y3567" s="45"/>
      <c r="Z3567" s="45"/>
      <c r="AA3567" s="45"/>
      <c r="AB3567" s="45"/>
      <c r="AC3567" s="150">
        <v>0</v>
      </c>
      <c r="AD3567" s="150">
        <v>0</v>
      </c>
      <c r="AE3567" s="49">
        <f t="shared" si="165"/>
        <v>0</v>
      </c>
      <c r="AF3567" s="44"/>
      <c r="AG3567" s="17">
        <v>0</v>
      </c>
      <c r="AH3567" s="44">
        <v>6.5789999999999997</v>
      </c>
      <c r="AI3567" s="44">
        <v>6.5789999999999997</v>
      </c>
      <c r="AJ3567" s="44">
        <v>6.5789999999999997</v>
      </c>
      <c r="AK3567" s="151">
        <v>6.5789999999999997</v>
      </c>
      <c r="AL3567" s="151">
        <v>6.5789999999999997</v>
      </c>
      <c r="AM3567" s="17">
        <f t="shared" si="166"/>
        <v>13.157999999999999</v>
      </c>
      <c r="AN3567" t="s">
        <v>1563</v>
      </c>
      <c r="AO3567" s="18" t="s">
        <v>1565</v>
      </c>
      <c r="AP3567" t="s">
        <v>119</v>
      </c>
    </row>
    <row r="3568" spans="1:42" customFormat="1" hidden="1" x14ac:dyDescent="0.3">
      <c r="A3568" s="148" t="s">
        <v>8319</v>
      </c>
      <c r="B3568" t="s">
        <v>8320</v>
      </c>
      <c r="C3568" s="148" t="s">
        <v>9496</v>
      </c>
      <c r="D3568" t="s">
        <v>9497</v>
      </c>
      <c r="E3568" s="148" t="s">
        <v>9498</v>
      </c>
      <c r="F3568" t="s">
        <v>9499</v>
      </c>
      <c r="G3568" s="148" t="s">
        <v>10049</v>
      </c>
      <c r="H3568" t="s">
        <v>10050</v>
      </c>
      <c r="K3568" s="148" t="s">
        <v>10741</v>
      </c>
      <c r="L3568" t="s">
        <v>10742</v>
      </c>
      <c r="M3568" t="s">
        <v>11593</v>
      </c>
      <c r="N3568" s="3">
        <v>0</v>
      </c>
      <c r="O3568" s="3">
        <v>2</v>
      </c>
      <c r="P3568" s="3">
        <v>2</v>
      </c>
      <c r="Q3568" s="3">
        <v>1</v>
      </c>
      <c r="R3568" s="3">
        <v>1</v>
      </c>
      <c r="S3568" s="3">
        <v>1</v>
      </c>
      <c r="T3568" t="s">
        <v>11594</v>
      </c>
      <c r="U3568" t="e">
        <v>#N/A</v>
      </c>
      <c r="V3568" t="s">
        <v>11595</v>
      </c>
      <c r="W3568" s="45"/>
      <c r="X3568" s="45"/>
      <c r="Y3568" s="45"/>
      <c r="Z3568" s="45"/>
      <c r="AA3568" s="45"/>
      <c r="AB3568" s="45"/>
      <c r="AC3568" s="150">
        <v>0</v>
      </c>
      <c r="AD3568" s="150">
        <v>0</v>
      </c>
      <c r="AE3568" s="49">
        <f t="shared" si="165"/>
        <v>0</v>
      </c>
      <c r="AF3568" s="44"/>
      <c r="AG3568" s="17">
        <v>0</v>
      </c>
      <c r="AH3568" s="44">
        <v>0.2</v>
      </c>
      <c r="AI3568" s="44">
        <v>0.04</v>
      </c>
      <c r="AJ3568" s="44">
        <v>0.01</v>
      </c>
      <c r="AK3568" s="151">
        <v>0.01</v>
      </c>
      <c r="AL3568" s="151">
        <v>0.01</v>
      </c>
      <c r="AM3568" s="17">
        <f t="shared" si="166"/>
        <v>0.02</v>
      </c>
      <c r="AN3568" s="18" t="s">
        <v>771</v>
      </c>
      <c r="AO3568" s="18" t="s">
        <v>773</v>
      </c>
      <c r="AP3568" t="s">
        <v>10746</v>
      </c>
    </row>
    <row r="3569" spans="1:42" customFormat="1" hidden="1" x14ac:dyDescent="0.3">
      <c r="A3569" s="148" t="s">
        <v>8319</v>
      </c>
      <c r="B3569" t="s">
        <v>8320</v>
      </c>
      <c r="C3569" s="148" t="s">
        <v>9496</v>
      </c>
      <c r="D3569" t="s">
        <v>9497</v>
      </c>
      <c r="E3569" s="148" t="s">
        <v>9498</v>
      </c>
      <c r="F3569" t="s">
        <v>9499</v>
      </c>
      <c r="G3569" s="148" t="s">
        <v>9546</v>
      </c>
      <c r="H3569" t="s">
        <v>9547</v>
      </c>
      <c r="K3569" s="148" t="s">
        <v>11596</v>
      </c>
      <c r="L3569" t="s">
        <v>11597</v>
      </c>
      <c r="N3569" s="3"/>
      <c r="O3569" s="3"/>
      <c r="P3569" s="3"/>
      <c r="Q3569" s="3"/>
      <c r="R3569" s="3"/>
      <c r="S3569" s="3"/>
      <c r="U3569" t="e">
        <v>#N/A</v>
      </c>
      <c r="W3569" s="45"/>
      <c r="X3569" s="45"/>
      <c r="Y3569" s="45"/>
      <c r="Z3569" s="45"/>
      <c r="AA3569" s="45"/>
      <c r="AB3569" s="45"/>
      <c r="AC3569" s="150">
        <v>0</v>
      </c>
      <c r="AD3569" s="150">
        <v>0</v>
      </c>
      <c r="AE3569" s="49">
        <f t="shared" si="165"/>
        <v>0</v>
      </c>
      <c r="AF3569" s="17"/>
      <c r="AG3569" s="17">
        <v>0</v>
      </c>
      <c r="AH3569" s="17">
        <v>0</v>
      </c>
      <c r="AI3569" s="17">
        <v>0</v>
      </c>
      <c r="AJ3569" s="17">
        <v>0</v>
      </c>
      <c r="AK3569" s="153">
        <v>0</v>
      </c>
      <c r="AL3569" s="154">
        <v>0</v>
      </c>
      <c r="AM3569" s="17">
        <f t="shared" si="166"/>
        <v>0</v>
      </c>
      <c r="AN3569" s="18" t="s">
        <v>771</v>
      </c>
      <c r="AO3569" s="18" t="s">
        <v>773</v>
      </c>
    </row>
    <row r="3570" spans="1:42" customFormat="1" hidden="1" x14ac:dyDescent="0.3">
      <c r="A3570" s="148" t="s">
        <v>8319</v>
      </c>
      <c r="B3570" t="s">
        <v>8320</v>
      </c>
      <c r="C3570" s="155" t="s">
        <v>9496</v>
      </c>
      <c r="D3570" t="s">
        <v>9497</v>
      </c>
      <c r="E3570" t="s">
        <v>9498</v>
      </c>
      <c r="F3570" t="s">
        <v>9499</v>
      </c>
      <c r="G3570" s="148" t="s">
        <v>11598</v>
      </c>
      <c r="H3570" t="s">
        <v>11599</v>
      </c>
      <c r="K3570" s="148" t="s">
        <v>11600</v>
      </c>
      <c r="L3570" t="s">
        <v>11601</v>
      </c>
      <c r="M3570" t="s">
        <v>11602</v>
      </c>
      <c r="N3570" s="3">
        <v>0</v>
      </c>
      <c r="O3570" s="3">
        <v>1</v>
      </c>
      <c r="P3570" s="3" t="s">
        <v>271</v>
      </c>
      <c r="Q3570" s="3" t="s">
        <v>271</v>
      </c>
      <c r="R3570" s="3" t="s">
        <v>271</v>
      </c>
      <c r="S3570" s="3" t="s">
        <v>271</v>
      </c>
      <c r="T3570" t="s">
        <v>771</v>
      </c>
      <c r="U3570" t="s">
        <v>773</v>
      </c>
      <c r="W3570" s="45"/>
      <c r="X3570" s="45"/>
      <c r="Y3570" s="45"/>
      <c r="Z3570" s="45"/>
      <c r="AA3570" s="45"/>
      <c r="AB3570" s="45"/>
      <c r="AC3570" s="150">
        <v>0</v>
      </c>
      <c r="AD3570" s="150">
        <v>0</v>
      </c>
      <c r="AE3570" s="49">
        <f t="shared" si="165"/>
        <v>0</v>
      </c>
      <c r="AF3570" s="17"/>
      <c r="AG3570" s="17">
        <v>0</v>
      </c>
      <c r="AH3570" s="17"/>
      <c r="AI3570" s="17"/>
      <c r="AJ3570" s="17"/>
      <c r="AK3570" s="153"/>
      <c r="AL3570" s="154"/>
      <c r="AM3570" s="17">
        <f t="shared" si="166"/>
        <v>0</v>
      </c>
      <c r="AN3570" s="18"/>
      <c r="AO3570" s="18"/>
    </row>
    <row r="3571" spans="1:42" customFormat="1" hidden="1" x14ac:dyDescent="0.3">
      <c r="A3571" s="148" t="s">
        <v>8319</v>
      </c>
      <c r="B3571" t="s">
        <v>8320</v>
      </c>
      <c r="C3571" s="155" t="s">
        <v>9496</v>
      </c>
      <c r="D3571" t="s">
        <v>9497</v>
      </c>
      <c r="E3571" t="s">
        <v>9498</v>
      </c>
      <c r="F3571" t="s">
        <v>9499</v>
      </c>
      <c r="G3571" s="148" t="s">
        <v>11598</v>
      </c>
      <c r="H3571" t="s">
        <v>11599</v>
      </c>
      <c r="K3571" s="155" t="s">
        <v>11603</v>
      </c>
      <c r="L3571" t="s">
        <v>11525</v>
      </c>
      <c r="M3571" t="s">
        <v>11604</v>
      </c>
      <c r="N3571" s="3">
        <v>0</v>
      </c>
      <c r="O3571" s="3">
        <v>1</v>
      </c>
      <c r="P3571" s="3">
        <v>1</v>
      </c>
      <c r="Q3571" s="3">
        <v>1</v>
      </c>
      <c r="R3571" s="3">
        <v>1</v>
      </c>
      <c r="S3571" s="3">
        <v>1</v>
      </c>
      <c r="T3571" t="s">
        <v>771</v>
      </c>
      <c r="U3571" t="s">
        <v>773</v>
      </c>
      <c r="W3571" s="45"/>
      <c r="X3571" s="45"/>
      <c r="Y3571" s="45"/>
      <c r="Z3571" s="45"/>
      <c r="AA3571" s="45"/>
      <c r="AB3571" s="45"/>
      <c r="AC3571" s="150">
        <v>0</v>
      </c>
      <c r="AD3571" s="150">
        <v>0</v>
      </c>
      <c r="AE3571" s="49">
        <f t="shared" si="165"/>
        <v>0</v>
      </c>
      <c r="AF3571" s="17"/>
      <c r="AG3571" s="17">
        <v>0</v>
      </c>
      <c r="AH3571" s="17"/>
      <c r="AI3571" s="17"/>
      <c r="AJ3571" s="17"/>
      <c r="AK3571" s="153"/>
      <c r="AL3571" s="154"/>
      <c r="AM3571" s="17">
        <f t="shared" si="166"/>
        <v>0</v>
      </c>
      <c r="AN3571" s="18"/>
      <c r="AO3571" s="18"/>
    </row>
    <row r="3572" spans="1:42" customFormat="1" hidden="1" x14ac:dyDescent="0.3">
      <c r="A3572" s="148" t="s">
        <v>8319</v>
      </c>
      <c r="B3572" t="s">
        <v>8320</v>
      </c>
      <c r="C3572" s="155" t="s">
        <v>9496</v>
      </c>
      <c r="D3572" t="s">
        <v>9497</v>
      </c>
      <c r="E3572" t="s">
        <v>9498</v>
      </c>
      <c r="F3572" t="s">
        <v>9499</v>
      </c>
      <c r="G3572" s="148" t="s">
        <v>11598</v>
      </c>
      <c r="H3572" t="s">
        <v>11599</v>
      </c>
      <c r="K3572" s="155" t="s">
        <v>11603</v>
      </c>
      <c r="L3572" t="s">
        <v>11525</v>
      </c>
      <c r="M3572" t="s">
        <v>11605</v>
      </c>
      <c r="N3572" s="3">
        <v>0</v>
      </c>
      <c r="O3572" s="3">
        <v>0</v>
      </c>
      <c r="P3572" s="3">
        <v>805200</v>
      </c>
      <c r="Q3572" s="3">
        <v>1600640</v>
      </c>
      <c r="R3572" s="3">
        <v>3221280</v>
      </c>
      <c r="S3572" s="3">
        <v>4474000</v>
      </c>
      <c r="T3572" t="s">
        <v>771</v>
      </c>
      <c r="U3572" t="s">
        <v>773</v>
      </c>
      <c r="W3572" s="45"/>
      <c r="X3572" s="45"/>
      <c r="Y3572" s="45"/>
      <c r="Z3572" s="45"/>
      <c r="AA3572" s="45"/>
      <c r="AB3572" s="45"/>
      <c r="AC3572" s="150">
        <v>0</v>
      </c>
      <c r="AD3572" s="150">
        <v>0</v>
      </c>
      <c r="AE3572" s="49">
        <f t="shared" si="165"/>
        <v>0</v>
      </c>
      <c r="AF3572" s="17"/>
      <c r="AG3572" s="17">
        <v>0</v>
      </c>
      <c r="AH3572" s="17"/>
      <c r="AI3572" s="17"/>
      <c r="AJ3572" s="17"/>
      <c r="AK3572" s="153"/>
      <c r="AL3572" s="154"/>
      <c r="AM3572" s="17">
        <f t="shared" si="166"/>
        <v>0</v>
      </c>
      <c r="AN3572" s="18"/>
      <c r="AO3572" s="18"/>
    </row>
    <row r="3573" spans="1:42" customFormat="1" hidden="1" x14ac:dyDescent="0.3">
      <c r="A3573" s="148" t="s">
        <v>8319</v>
      </c>
      <c r="B3573" t="s">
        <v>8320</v>
      </c>
      <c r="C3573" s="155" t="s">
        <v>9496</v>
      </c>
      <c r="D3573" t="s">
        <v>9497</v>
      </c>
      <c r="E3573" t="s">
        <v>9498</v>
      </c>
      <c r="F3573" t="s">
        <v>9499</v>
      </c>
      <c r="G3573" s="148" t="s">
        <v>11598</v>
      </c>
      <c r="H3573" t="s">
        <v>11599</v>
      </c>
      <c r="K3573" s="155" t="s">
        <v>11606</v>
      </c>
      <c r="L3573" t="s">
        <v>11607</v>
      </c>
      <c r="M3573" t="s">
        <v>11608</v>
      </c>
      <c r="N3573" s="3">
        <v>1</v>
      </c>
      <c r="O3573" s="3">
        <v>1</v>
      </c>
      <c r="P3573" s="3">
        <v>2</v>
      </c>
      <c r="Q3573" s="3">
        <v>3</v>
      </c>
      <c r="R3573" s="3">
        <v>2</v>
      </c>
      <c r="S3573" s="3">
        <v>1</v>
      </c>
      <c r="T3573" t="s">
        <v>771</v>
      </c>
      <c r="U3573" t="s">
        <v>773</v>
      </c>
      <c r="W3573" s="45"/>
      <c r="X3573" s="45"/>
      <c r="Y3573" s="45"/>
      <c r="Z3573" s="45"/>
      <c r="AA3573" s="45"/>
      <c r="AB3573" s="45"/>
      <c r="AC3573" s="150">
        <v>0</v>
      </c>
      <c r="AD3573" s="150">
        <v>0</v>
      </c>
      <c r="AE3573" s="49">
        <f t="shared" si="165"/>
        <v>0</v>
      </c>
      <c r="AF3573" s="17"/>
      <c r="AG3573" s="17">
        <v>0</v>
      </c>
      <c r="AH3573" s="17"/>
      <c r="AI3573" s="17"/>
      <c r="AJ3573" s="17"/>
      <c r="AK3573" s="153"/>
      <c r="AL3573" s="154"/>
      <c r="AM3573" s="17">
        <f t="shared" si="166"/>
        <v>0</v>
      </c>
      <c r="AN3573" s="18"/>
      <c r="AO3573" s="18"/>
    </row>
    <row r="3574" spans="1:42" customFormat="1" hidden="1" x14ac:dyDescent="0.3">
      <c r="A3574" s="148" t="s">
        <v>8319</v>
      </c>
      <c r="B3574" t="s">
        <v>8320</v>
      </c>
      <c r="C3574" s="155" t="s">
        <v>9496</v>
      </c>
      <c r="D3574" t="s">
        <v>9497</v>
      </c>
      <c r="E3574" t="s">
        <v>9498</v>
      </c>
      <c r="F3574" t="s">
        <v>9499</v>
      </c>
      <c r="G3574" s="148" t="s">
        <v>11598</v>
      </c>
      <c r="H3574" t="s">
        <v>11599</v>
      </c>
      <c r="K3574" s="155" t="s">
        <v>11609</v>
      </c>
      <c r="L3574" t="s">
        <v>11610</v>
      </c>
      <c r="M3574" t="s">
        <v>11611</v>
      </c>
      <c r="N3574" s="3">
        <v>0</v>
      </c>
      <c r="O3574" s="3">
        <v>1</v>
      </c>
      <c r="P3574" s="3">
        <v>0</v>
      </c>
      <c r="Q3574" s="3">
        <v>0</v>
      </c>
      <c r="R3574" s="3">
        <v>0</v>
      </c>
      <c r="S3574" s="3">
        <v>0</v>
      </c>
      <c r="T3574" t="s">
        <v>771</v>
      </c>
      <c r="U3574" t="s">
        <v>773</v>
      </c>
      <c r="W3574" s="45"/>
      <c r="X3574" s="45"/>
      <c r="Y3574" s="45"/>
      <c r="Z3574" s="45"/>
      <c r="AA3574" s="45"/>
      <c r="AB3574" s="45"/>
      <c r="AC3574" s="150">
        <v>0</v>
      </c>
      <c r="AD3574" s="150">
        <v>0</v>
      </c>
      <c r="AE3574" s="49">
        <f t="shared" si="165"/>
        <v>0</v>
      </c>
      <c r="AF3574" s="17"/>
      <c r="AG3574" s="17">
        <v>0</v>
      </c>
      <c r="AH3574" s="17"/>
      <c r="AI3574" s="17"/>
      <c r="AJ3574" s="17"/>
      <c r="AK3574" s="153"/>
      <c r="AL3574" s="154"/>
      <c r="AM3574" s="17">
        <f t="shared" si="166"/>
        <v>0</v>
      </c>
      <c r="AN3574" s="18"/>
      <c r="AO3574" s="18"/>
    </row>
    <row r="3575" spans="1:42" customFormat="1" hidden="1" x14ac:dyDescent="0.3">
      <c r="A3575" s="148" t="s">
        <v>8319</v>
      </c>
      <c r="B3575" t="s">
        <v>8320</v>
      </c>
      <c r="C3575" s="155" t="s">
        <v>9496</v>
      </c>
      <c r="D3575" t="s">
        <v>9497</v>
      </c>
      <c r="E3575" t="s">
        <v>9498</v>
      </c>
      <c r="F3575" t="s">
        <v>9499</v>
      </c>
      <c r="G3575" s="148" t="s">
        <v>11598</v>
      </c>
      <c r="H3575" t="s">
        <v>11599</v>
      </c>
      <c r="K3575" s="155" t="s">
        <v>11609</v>
      </c>
      <c r="L3575" t="s">
        <v>11610</v>
      </c>
      <c r="M3575" t="s">
        <v>11612</v>
      </c>
      <c r="N3575" s="3">
        <v>0</v>
      </c>
      <c r="O3575" s="3">
        <v>130</v>
      </c>
      <c r="P3575" s="3">
        <v>130</v>
      </c>
      <c r="Q3575" s="3">
        <v>130</v>
      </c>
      <c r="R3575" s="3">
        <v>130</v>
      </c>
      <c r="S3575" s="3">
        <v>130</v>
      </c>
      <c r="T3575" t="s">
        <v>771</v>
      </c>
      <c r="U3575" t="s">
        <v>773</v>
      </c>
      <c r="W3575" s="45"/>
      <c r="X3575" s="45"/>
      <c r="Y3575" s="45"/>
      <c r="Z3575" s="45"/>
      <c r="AA3575" s="45"/>
      <c r="AB3575" s="45"/>
      <c r="AC3575" s="150">
        <v>0</v>
      </c>
      <c r="AD3575" s="150">
        <v>0</v>
      </c>
      <c r="AE3575" s="49">
        <f t="shared" si="165"/>
        <v>0</v>
      </c>
      <c r="AF3575" s="17"/>
      <c r="AG3575" s="17">
        <v>0</v>
      </c>
      <c r="AH3575" s="17"/>
      <c r="AI3575" s="17"/>
      <c r="AJ3575" s="17"/>
      <c r="AK3575" s="153"/>
      <c r="AL3575" s="154"/>
      <c r="AM3575" s="17">
        <f t="shared" si="166"/>
        <v>0</v>
      </c>
      <c r="AN3575" s="18"/>
      <c r="AO3575" s="18"/>
    </row>
    <row r="3576" spans="1:42" customFormat="1" hidden="1" x14ac:dyDescent="0.3">
      <c r="A3576" s="148" t="s">
        <v>8319</v>
      </c>
      <c r="B3576" t="s">
        <v>8320</v>
      </c>
      <c r="C3576" s="148" t="s">
        <v>9344</v>
      </c>
      <c r="D3576" t="s">
        <v>9345</v>
      </c>
      <c r="E3576" s="148" t="s">
        <v>10414</v>
      </c>
      <c r="F3576" t="s">
        <v>10415</v>
      </c>
      <c r="G3576" s="148" t="s">
        <v>10416</v>
      </c>
      <c r="H3576" t="s">
        <v>10417</v>
      </c>
      <c r="K3576" s="155" t="s">
        <v>11613</v>
      </c>
      <c r="L3576" t="s">
        <v>11614</v>
      </c>
      <c r="M3576" t="s">
        <v>11615</v>
      </c>
      <c r="N3576" s="3">
        <v>0</v>
      </c>
      <c r="O3576" s="3">
        <v>0</v>
      </c>
      <c r="P3576" s="3">
        <v>3</v>
      </c>
      <c r="Q3576" s="3">
        <v>3</v>
      </c>
      <c r="R3576" s="3">
        <v>3</v>
      </c>
      <c r="S3576" s="3">
        <v>2</v>
      </c>
      <c r="T3576" t="s">
        <v>771</v>
      </c>
      <c r="U3576" t="s">
        <v>773</v>
      </c>
      <c r="W3576" s="45"/>
      <c r="X3576" s="45"/>
      <c r="Y3576" s="45"/>
      <c r="Z3576" s="45"/>
      <c r="AA3576" s="45"/>
      <c r="AB3576" s="45"/>
      <c r="AC3576" s="150">
        <v>0</v>
      </c>
      <c r="AD3576" s="150">
        <v>0</v>
      </c>
      <c r="AE3576" s="49">
        <f t="shared" si="165"/>
        <v>0</v>
      </c>
      <c r="AF3576" s="17"/>
      <c r="AG3576" s="17">
        <v>0</v>
      </c>
      <c r="AH3576" s="17"/>
      <c r="AI3576" s="4"/>
      <c r="AJ3576" s="4"/>
      <c r="AK3576" s="46"/>
      <c r="AL3576" s="46"/>
      <c r="AM3576" s="17">
        <f t="shared" si="166"/>
        <v>0</v>
      </c>
      <c r="AN3576" s="18"/>
      <c r="AO3576" s="18"/>
    </row>
    <row r="3577" spans="1:42" customFormat="1" hidden="1" x14ac:dyDescent="0.3">
      <c r="A3577" s="148" t="s">
        <v>8319</v>
      </c>
      <c r="B3577" t="s">
        <v>8320</v>
      </c>
      <c r="C3577" s="148" t="s">
        <v>9344</v>
      </c>
      <c r="D3577" t="s">
        <v>9345</v>
      </c>
      <c r="E3577" s="148" t="s">
        <v>10414</v>
      </c>
      <c r="F3577" t="s">
        <v>10415</v>
      </c>
      <c r="G3577" s="148" t="s">
        <v>10416</v>
      </c>
      <c r="H3577" t="s">
        <v>10417</v>
      </c>
      <c r="K3577" s="148" t="s">
        <v>10963</v>
      </c>
      <c r="L3577" t="s">
        <v>10964</v>
      </c>
      <c r="M3577" t="s">
        <v>11616</v>
      </c>
      <c r="N3577" s="3">
        <v>0</v>
      </c>
      <c r="O3577" s="3">
        <v>3</v>
      </c>
      <c r="P3577" s="3">
        <v>5</v>
      </c>
      <c r="Q3577" s="3">
        <v>7</v>
      </c>
      <c r="R3577" s="3">
        <v>20</v>
      </c>
      <c r="S3577" s="3">
        <v>30</v>
      </c>
      <c r="T3577" t="s">
        <v>771</v>
      </c>
      <c r="U3577" t="s">
        <v>773</v>
      </c>
      <c r="W3577" s="45"/>
      <c r="X3577" s="45"/>
      <c r="Y3577" s="45"/>
      <c r="Z3577" s="45"/>
      <c r="AA3577" s="45"/>
      <c r="AB3577" s="45"/>
      <c r="AC3577" s="150">
        <v>0</v>
      </c>
      <c r="AD3577" s="150">
        <v>0</v>
      </c>
      <c r="AE3577" s="49">
        <f t="shared" si="165"/>
        <v>0</v>
      </c>
      <c r="AF3577" s="4"/>
      <c r="AG3577" s="17">
        <v>0</v>
      </c>
      <c r="AH3577" s="4"/>
      <c r="AI3577" s="4"/>
      <c r="AJ3577" s="4"/>
      <c r="AK3577" s="46"/>
      <c r="AL3577" s="46"/>
      <c r="AM3577" s="17">
        <f t="shared" si="166"/>
        <v>0</v>
      </c>
      <c r="AN3577" s="18"/>
      <c r="AO3577" s="18"/>
    </row>
    <row r="3578" spans="1:42" customFormat="1" hidden="1" x14ac:dyDescent="0.3">
      <c r="A3578" s="148" t="s">
        <v>8319</v>
      </c>
      <c r="B3578" t="s">
        <v>8320</v>
      </c>
      <c r="C3578" s="148" t="s">
        <v>9344</v>
      </c>
      <c r="D3578" t="s">
        <v>9345</v>
      </c>
      <c r="E3578" s="148" t="s">
        <v>10414</v>
      </c>
      <c r="F3578" t="s">
        <v>10415</v>
      </c>
      <c r="G3578" s="148" t="s">
        <v>10416</v>
      </c>
      <c r="H3578" t="s">
        <v>10417</v>
      </c>
      <c r="K3578" s="155" t="s">
        <v>11617</v>
      </c>
      <c r="L3578" t="s">
        <v>11618</v>
      </c>
      <c r="M3578" t="s">
        <v>11619</v>
      </c>
      <c r="N3578" s="3">
        <v>2</v>
      </c>
      <c r="O3578" s="3">
        <v>0</v>
      </c>
      <c r="P3578" s="3">
        <v>1</v>
      </c>
      <c r="Q3578" s="3">
        <v>1</v>
      </c>
      <c r="R3578" s="3" t="s">
        <v>271</v>
      </c>
      <c r="S3578" s="3" t="s">
        <v>271</v>
      </c>
      <c r="U3578" t="e">
        <v>#N/A</v>
      </c>
      <c r="W3578" s="45"/>
      <c r="X3578" s="45"/>
      <c r="Y3578" s="45"/>
      <c r="Z3578" s="45"/>
      <c r="AA3578" s="45"/>
      <c r="AB3578" s="45"/>
      <c r="AC3578" s="150">
        <v>0</v>
      </c>
      <c r="AD3578" s="150">
        <v>0</v>
      </c>
      <c r="AE3578" s="49">
        <f t="shared" si="165"/>
        <v>0</v>
      </c>
      <c r="AF3578" s="4"/>
      <c r="AG3578" s="17">
        <v>0</v>
      </c>
      <c r="AH3578" s="4"/>
      <c r="AI3578" s="4"/>
      <c r="AJ3578" s="4"/>
      <c r="AK3578" s="46"/>
      <c r="AL3578" s="46"/>
      <c r="AM3578" s="17">
        <f t="shared" si="166"/>
        <v>0</v>
      </c>
      <c r="AN3578" s="18"/>
      <c r="AO3578" s="18"/>
    </row>
    <row r="3579" spans="1:42" customFormat="1" hidden="1" x14ac:dyDescent="0.3">
      <c r="A3579" s="148" t="s">
        <v>8319</v>
      </c>
      <c r="B3579" t="s">
        <v>8320</v>
      </c>
      <c r="C3579" s="148" t="s">
        <v>9344</v>
      </c>
      <c r="D3579" t="s">
        <v>9345</v>
      </c>
      <c r="E3579" s="148" t="s">
        <v>10414</v>
      </c>
      <c r="F3579" t="s">
        <v>10415</v>
      </c>
      <c r="G3579" s="148" t="s">
        <v>10429</v>
      </c>
      <c r="H3579" t="s">
        <v>10430</v>
      </c>
      <c r="K3579" s="148" t="s">
        <v>10431</v>
      </c>
      <c r="L3579" t="s">
        <v>10432</v>
      </c>
      <c r="M3579" t="s">
        <v>11620</v>
      </c>
      <c r="N3579" s="3">
        <v>0</v>
      </c>
      <c r="O3579" s="3">
        <v>0</v>
      </c>
      <c r="P3579" s="3">
        <v>0</v>
      </c>
      <c r="Q3579" s="3">
        <v>1</v>
      </c>
      <c r="R3579" s="3">
        <v>1</v>
      </c>
      <c r="S3579" s="3">
        <v>1</v>
      </c>
      <c r="T3579" t="s">
        <v>10435</v>
      </c>
      <c r="U3579" t="e">
        <v>#N/A</v>
      </c>
      <c r="W3579" s="45"/>
      <c r="X3579" s="45"/>
      <c r="Y3579" s="45"/>
      <c r="Z3579" s="45"/>
      <c r="AA3579" s="45"/>
      <c r="AB3579" s="45"/>
      <c r="AC3579" s="150">
        <v>0</v>
      </c>
      <c r="AD3579" s="150">
        <v>0</v>
      </c>
      <c r="AE3579" s="49">
        <f t="shared" si="165"/>
        <v>0</v>
      </c>
      <c r="AF3579" s="4"/>
      <c r="AG3579" s="17">
        <v>0</v>
      </c>
      <c r="AH3579" s="4"/>
      <c r="AI3579" s="4"/>
      <c r="AJ3579" s="4"/>
      <c r="AK3579" s="46"/>
      <c r="AL3579" s="46"/>
      <c r="AM3579" s="17">
        <f t="shared" si="166"/>
        <v>0</v>
      </c>
      <c r="AO3579" s="18"/>
    </row>
    <row r="3580" spans="1:42" customFormat="1" hidden="1" x14ac:dyDescent="0.3">
      <c r="A3580" s="148" t="s">
        <v>8319</v>
      </c>
      <c r="B3580" t="s">
        <v>8320</v>
      </c>
      <c r="C3580" s="148" t="s">
        <v>9344</v>
      </c>
      <c r="D3580" t="s">
        <v>9345</v>
      </c>
      <c r="E3580" s="148" t="s">
        <v>10414</v>
      </c>
      <c r="F3580" t="s">
        <v>10415</v>
      </c>
      <c r="G3580" s="148" t="s">
        <v>10437</v>
      </c>
      <c r="H3580" t="s">
        <v>10438</v>
      </c>
      <c r="K3580" s="148" t="s">
        <v>10872</v>
      </c>
      <c r="L3580" t="s">
        <v>11621</v>
      </c>
      <c r="M3580" t="s">
        <v>11622</v>
      </c>
      <c r="N3580" s="3" t="s">
        <v>119</v>
      </c>
      <c r="O3580" s="3" t="s">
        <v>271</v>
      </c>
      <c r="P3580" s="3">
        <v>4</v>
      </c>
      <c r="Q3580" s="3">
        <v>6</v>
      </c>
      <c r="R3580" s="3">
        <v>8</v>
      </c>
      <c r="S3580" s="3">
        <v>8</v>
      </c>
      <c r="T3580" t="s">
        <v>723</v>
      </c>
      <c r="U3580" t="s">
        <v>729</v>
      </c>
      <c r="W3580" s="45"/>
      <c r="X3580" s="45"/>
      <c r="Y3580" s="45"/>
      <c r="Z3580" s="45"/>
      <c r="AA3580" s="45"/>
      <c r="AB3580" s="45"/>
      <c r="AC3580" s="150">
        <v>0</v>
      </c>
      <c r="AD3580" s="150">
        <v>0</v>
      </c>
      <c r="AE3580" s="49">
        <f t="shared" si="165"/>
        <v>0</v>
      </c>
      <c r="AF3580" s="4"/>
      <c r="AG3580" s="17">
        <v>0</v>
      </c>
      <c r="AH3580" s="4"/>
      <c r="AI3580" s="4"/>
      <c r="AJ3580" s="4"/>
      <c r="AK3580" s="46"/>
      <c r="AL3580" s="46"/>
      <c r="AM3580" s="17">
        <f t="shared" si="166"/>
        <v>0</v>
      </c>
      <c r="AO3580" s="18"/>
    </row>
    <row r="3581" spans="1:42" customFormat="1" hidden="1" x14ac:dyDescent="0.3">
      <c r="A3581" s="148" t="s">
        <v>8319</v>
      </c>
      <c r="B3581" t="s">
        <v>8320</v>
      </c>
      <c r="C3581" s="148" t="s">
        <v>9344</v>
      </c>
      <c r="D3581" t="s">
        <v>9345</v>
      </c>
      <c r="E3581" s="148" t="s">
        <v>10414</v>
      </c>
      <c r="F3581" t="s">
        <v>10415</v>
      </c>
      <c r="G3581" s="148" t="s">
        <v>10442</v>
      </c>
      <c r="H3581" t="s">
        <v>10443</v>
      </c>
      <c r="K3581" s="155" t="s">
        <v>11623</v>
      </c>
      <c r="L3581" t="s">
        <v>11624</v>
      </c>
      <c r="M3581" t="s">
        <v>11625</v>
      </c>
      <c r="N3581" s="3" t="s">
        <v>119</v>
      </c>
      <c r="O3581" s="3"/>
      <c r="P3581" s="3">
        <v>5</v>
      </c>
      <c r="Q3581" s="3">
        <v>5</v>
      </c>
      <c r="R3581" s="3">
        <v>10</v>
      </c>
      <c r="S3581" s="3">
        <v>10</v>
      </c>
      <c r="T3581" t="s">
        <v>10446</v>
      </c>
      <c r="U3581" t="e">
        <v>#N/A</v>
      </c>
      <c r="W3581" s="45"/>
      <c r="X3581" s="45"/>
      <c r="Y3581" s="45"/>
      <c r="Z3581" s="45"/>
      <c r="AA3581" s="45"/>
      <c r="AB3581" s="45"/>
      <c r="AC3581" s="150">
        <v>0</v>
      </c>
      <c r="AD3581" s="150">
        <v>0</v>
      </c>
      <c r="AE3581" s="49">
        <f t="shared" si="165"/>
        <v>0</v>
      </c>
      <c r="AF3581" s="4"/>
      <c r="AG3581" s="17">
        <v>0</v>
      </c>
      <c r="AH3581" s="4"/>
      <c r="AI3581" s="4"/>
      <c r="AJ3581" s="4"/>
      <c r="AK3581" s="46"/>
      <c r="AL3581" s="46"/>
      <c r="AM3581" s="17">
        <f t="shared" si="166"/>
        <v>0</v>
      </c>
      <c r="AO3581" s="18"/>
    </row>
    <row r="3582" spans="1:42" customFormat="1" hidden="1" x14ac:dyDescent="0.3">
      <c r="A3582" s="50" t="s">
        <v>8319</v>
      </c>
      <c r="B3582" s="51" t="s">
        <v>6438</v>
      </c>
      <c r="C3582" s="50" t="s">
        <v>11626</v>
      </c>
      <c r="D3582" s="51" t="s">
        <v>1491</v>
      </c>
      <c r="E3582" s="50" t="s">
        <v>11626</v>
      </c>
      <c r="F3582" s="51" t="s">
        <v>1493</v>
      </c>
      <c r="G3582" s="50" t="s">
        <v>11626</v>
      </c>
      <c r="H3582" s="51" t="s">
        <v>1491</v>
      </c>
      <c r="I3582" s="51"/>
      <c r="J3582" s="51"/>
      <c r="K3582" s="50" t="s">
        <v>11626</v>
      </c>
      <c r="L3582" s="51" t="s">
        <v>1491</v>
      </c>
      <c r="M3582" s="60" t="s">
        <v>271</v>
      </c>
      <c r="N3582" s="60" t="s">
        <v>271</v>
      </c>
      <c r="O3582" s="60" t="s">
        <v>271</v>
      </c>
      <c r="P3582" s="60" t="s">
        <v>271</v>
      </c>
      <c r="Q3582" s="60" t="s">
        <v>271</v>
      </c>
      <c r="R3582" s="60" t="s">
        <v>271</v>
      </c>
      <c r="S3582" s="60" t="s">
        <v>271</v>
      </c>
      <c r="T3582" s="60" t="s">
        <v>271</v>
      </c>
      <c r="U3582" s="60" t="s">
        <v>271</v>
      </c>
      <c r="V3582" s="51" t="s">
        <v>1489</v>
      </c>
      <c r="W3582" s="54"/>
      <c r="X3582" s="54"/>
      <c r="Y3582" s="54"/>
      <c r="Z3582" s="54"/>
      <c r="AA3582" s="54"/>
      <c r="AB3582" s="54"/>
      <c r="AC3582" s="54"/>
      <c r="AD3582" s="54"/>
      <c r="AE3582" s="55"/>
      <c r="AF3582" s="56"/>
      <c r="AG3582" s="55"/>
      <c r="AH3582" s="56"/>
      <c r="AI3582" s="56"/>
      <c r="AJ3582" s="56"/>
      <c r="AK3582" s="57">
        <v>3487.8</v>
      </c>
      <c r="AL3582" s="57">
        <v>3487.8</v>
      </c>
      <c r="AM3582" s="56">
        <f t="shared" si="166"/>
        <v>6975.6</v>
      </c>
      <c r="AN3582" s="52"/>
      <c r="AO3582" s="52"/>
      <c r="AP3582" s="51"/>
    </row>
    <row r="3583" spans="1:42" customFormat="1" hidden="1" x14ac:dyDescent="0.3">
      <c r="A3583" s="50" t="s">
        <v>8319</v>
      </c>
      <c r="B3583" s="51" t="s">
        <v>6438</v>
      </c>
      <c r="C3583" s="50" t="s">
        <v>11626</v>
      </c>
      <c r="D3583" s="51" t="s">
        <v>1491</v>
      </c>
      <c r="E3583" s="50" t="s">
        <v>11626</v>
      </c>
      <c r="F3583" s="51" t="s">
        <v>1493</v>
      </c>
      <c r="G3583" s="50" t="s">
        <v>11626</v>
      </c>
      <c r="H3583" s="51" t="s">
        <v>1491</v>
      </c>
      <c r="I3583" s="51"/>
      <c r="J3583" s="51"/>
      <c r="K3583" s="50" t="s">
        <v>11626</v>
      </c>
      <c r="L3583" s="51" t="s">
        <v>1491</v>
      </c>
      <c r="M3583" s="60" t="s">
        <v>271</v>
      </c>
      <c r="N3583" s="60" t="s">
        <v>271</v>
      </c>
      <c r="O3583" s="60" t="s">
        <v>271</v>
      </c>
      <c r="P3583" s="60" t="s">
        <v>271</v>
      </c>
      <c r="Q3583" s="60" t="s">
        <v>271</v>
      </c>
      <c r="R3583" s="60" t="s">
        <v>271</v>
      </c>
      <c r="S3583" s="60" t="s">
        <v>271</v>
      </c>
      <c r="T3583" s="60" t="s">
        <v>271</v>
      </c>
      <c r="U3583" s="60" t="s">
        <v>271</v>
      </c>
      <c r="V3583" s="51" t="s">
        <v>1490</v>
      </c>
      <c r="W3583" s="54"/>
      <c r="X3583" s="54"/>
      <c r="Y3583" s="54"/>
      <c r="Z3583" s="54"/>
      <c r="AA3583" s="54"/>
      <c r="AB3583" s="54"/>
      <c r="AC3583" s="54"/>
      <c r="AD3583" s="54"/>
      <c r="AE3583" s="55"/>
      <c r="AF3583" s="56"/>
      <c r="AG3583" s="55"/>
      <c r="AH3583" s="56"/>
      <c r="AI3583" s="56"/>
      <c r="AJ3583" s="56"/>
      <c r="AK3583" s="57">
        <v>1395.1200000000001</v>
      </c>
      <c r="AL3583" s="57">
        <v>1395.1200000000001</v>
      </c>
      <c r="AM3583" s="56">
        <f t="shared" si="166"/>
        <v>2790.2400000000002</v>
      </c>
      <c r="AN3583" s="52"/>
      <c r="AO3583" s="52"/>
      <c r="AP3583" s="51"/>
    </row>
    <row r="3584" spans="1:42" customFormat="1" hidden="1" x14ac:dyDescent="0.3">
      <c r="A3584" s="50" t="s">
        <v>8319</v>
      </c>
      <c r="B3584" s="51" t="s">
        <v>6438</v>
      </c>
      <c r="C3584" s="50" t="s">
        <v>11626</v>
      </c>
      <c r="D3584" s="51" t="s">
        <v>1491</v>
      </c>
      <c r="E3584" s="50" t="s">
        <v>11626</v>
      </c>
      <c r="F3584" s="51" t="s">
        <v>1493</v>
      </c>
      <c r="G3584" s="50" t="s">
        <v>11626</v>
      </c>
      <c r="H3584" s="51" t="s">
        <v>1491</v>
      </c>
      <c r="I3584" s="51"/>
      <c r="J3584" s="51"/>
      <c r="K3584" s="50" t="s">
        <v>11626</v>
      </c>
      <c r="L3584" s="51" t="s">
        <v>1491</v>
      </c>
      <c r="M3584" s="60" t="s">
        <v>271</v>
      </c>
      <c r="N3584" s="60" t="s">
        <v>271</v>
      </c>
      <c r="O3584" s="60" t="s">
        <v>271</v>
      </c>
      <c r="P3584" s="60" t="s">
        <v>271</v>
      </c>
      <c r="Q3584" s="60" t="s">
        <v>271</v>
      </c>
      <c r="R3584" s="60" t="s">
        <v>271</v>
      </c>
      <c r="S3584" s="60" t="s">
        <v>271</v>
      </c>
      <c r="T3584" s="60" t="s">
        <v>271</v>
      </c>
      <c r="U3584" s="60" t="s">
        <v>271</v>
      </c>
      <c r="V3584" s="51" t="s">
        <v>1495</v>
      </c>
      <c r="W3584" s="54"/>
      <c r="X3584" s="54"/>
      <c r="Y3584" s="54"/>
      <c r="Z3584" s="54"/>
      <c r="AA3584" s="54"/>
      <c r="AB3584" s="54"/>
      <c r="AC3584" s="54"/>
      <c r="AD3584" s="54"/>
      <c r="AE3584" s="55"/>
      <c r="AF3584" s="56"/>
      <c r="AG3584" s="55"/>
      <c r="AH3584" s="56"/>
      <c r="AI3584" s="56"/>
      <c r="AJ3584" s="56"/>
      <c r="AK3584" s="57">
        <v>966.89867456148033</v>
      </c>
      <c r="AL3584" s="57">
        <v>942.08259598900054</v>
      </c>
      <c r="AM3584" s="56">
        <f t="shared" si="166"/>
        <v>1908.981270550481</v>
      </c>
      <c r="AN3584" s="52"/>
      <c r="AO3584" s="52"/>
      <c r="AP3584" s="51"/>
    </row>
  </sheetData>
  <sheetProtection autoFilter="0" pivotTables="0"/>
  <protectedRanges>
    <protectedRange algorithmName="SHA-512" hashValue="lLoAV23vayJIeC+1v/ZduC0aKohlW+qlg8MKNuOX25qWDLsEVgpuVxPEYtXRIqVuGyPL9Pa9bJKSulXXKTHVxw==" saltValue="mdE18MM5WIpZe1fyLf7OAg==" spinCount="100000" sqref="M6:T325 M3585:T4179" name="M_T"/>
    <protectedRange algorithmName="SHA-512" hashValue="jY96UnylzPd2vZkRLfM8XmmJGWFJSSTGviPCXzMTiv3QOzQIjhLd0w3jlLlozcwC8eGz4qqU/rnIYRCHborlOw==" saltValue="CqFUHF8Z4PJMj52R2Kx+yA==" spinCount="100000" sqref="AK6:AL325 AK3585:AL4179" name="FY2023_24 and FY2024_25"/>
    <protectedRange algorithmName="SHA-512" hashValue="LnnTiFHW88v+Lt/birpZCwnxW62fSr/gAkBSFlUfSgwdfFWdf99knSzHDeoMAIBP5f47zs9wPG8trApANE0a5A==" saltValue="YxL3gEWV5b0y4dkncLyqQQ==" spinCount="100000" sqref="W3585:AD4179 W6:AA140 W141:AB141 AC6:AD213 W142:AA213 W214:AD214 AC215:AD325 W215:AA325" name="criteria"/>
    <protectedRange algorithmName="SHA-512" hashValue="8vlAHijakGcEe+uTbvEo8hCNUrc8oV0mPYVwLAtftdU3yRwsScROrfrNOwGt5fx3OSsSqzs+dvl7p3PJCgs5zA==" saltValue="Ip3QQ+Fe7ypKUoABAhonuA==" spinCount="100000" sqref="AF6:AG325 AF3585:AG4179" name="AF_AG"/>
    <protectedRange algorithmName="SHA-512" hashValue="xVHQb+m8TPrCupBSUPofR+4mBqbTXWKv8zWrwen32Akm8RblXJOWFy/Cy2P4w35dSJ+elIHPqNYqI9hLSfD6TQ==" saltValue="1vuIOlrMbfwb5AHSRxNcMw==" spinCount="100000" sqref="M329:T448" name="M_T_1"/>
    <protectedRange algorithmName="SHA-512" hashValue="jY96UnylzPd2vZkRLfM8XmmJGWFJSSTGviPCXzMTiv3QOzQIjhLd0w3jlLlozcwC8eGz4qqU/rnIYRCHborlOw==" saltValue="CqFUHF8Z4PJMj52R2Kx+yA==" spinCount="100000" sqref="AK329:AL448" name="FY2023_24 and FY2024_25_1"/>
    <protectedRange algorithmName="SHA-512" hashValue="LnnTiFHW88v+Lt/birpZCwnxW62fSr/gAkBSFlUfSgwdfFWdf99knSzHDeoMAIBP5f47zs9wPG8trApANE0a5A==" saltValue="YxL3gEWV5b0y4dkncLyqQQ==" spinCount="100000" sqref="W329:AD448" name="criteria_1"/>
    <protectedRange algorithmName="SHA-512" hashValue="8vlAHijakGcEe+uTbvEo8hCNUrc8oV0mPYVwLAtftdU3yRwsScROrfrNOwGt5fx3OSsSqzs+dvl7p3PJCgs5zA==" saltValue="Ip3QQ+Fe7ypKUoABAhonuA==" spinCount="100000" sqref="AF329:AG448" name="AF_AG_1"/>
    <protectedRange algorithmName="SHA-512" hashValue="xVHQb+m8TPrCupBSUPofR+4mBqbTXWKv8zWrwen32Akm8RblXJOWFy/Cy2P4w35dSJ+elIHPqNYqI9hLSfD6TQ==" saltValue="1vuIOlrMbfwb5AHSRxNcMw==" spinCount="100000" sqref="M452:T605" name="M_T_2"/>
    <protectedRange algorithmName="SHA-512" hashValue="jY96UnylzPd2vZkRLfM8XmmJGWFJSSTGviPCXzMTiv3QOzQIjhLd0w3jlLlozcwC8eGz4qqU/rnIYRCHborlOw==" saltValue="CqFUHF8Z4PJMj52R2Kx+yA==" spinCount="100000" sqref="AK455:AL527 AK541:AL549 AK551:AL552 AK561:AL564 AK570:AL605" name="FY2023_24 and FY2024_25_2"/>
    <protectedRange algorithmName="SHA-512" hashValue="LnnTiFHW88v+Lt/birpZCwnxW62fSr/gAkBSFlUfSgwdfFWdf99knSzHDeoMAIBP5f47zs9wPG8trApANE0a5A==" saltValue="YxL3gEWV5b0y4dkncLyqQQ==" spinCount="100000" sqref="W452:AD605" name="criteria_2"/>
    <protectedRange algorithmName="SHA-512" hashValue="8vlAHijakGcEe+uTbvEo8hCNUrc8oV0mPYVwLAtftdU3yRwsScROrfrNOwGt5fx3OSsSqzs+dvl7p3PJCgs5zA==" saltValue="Ip3QQ+Fe7ypKUoABAhonuA==" spinCount="100000" sqref="AF452:AG605" name="AF_AG_2"/>
    <protectedRange algorithmName="SHA-512" hashValue="jY96UnylzPd2vZkRLfM8XmmJGWFJSSTGviPCXzMTiv3QOzQIjhLd0w3jlLlozcwC8eGz4qqU/rnIYRCHborlOw==" saltValue="CqFUHF8Z4PJMj52R2Kx+yA==" spinCount="100000" sqref="AK452:AL452" name="FY2023_24 and FY2024_25_1_1"/>
    <protectedRange algorithmName="SHA-512" hashValue="jY96UnylzPd2vZkRLfM8XmmJGWFJSSTGviPCXzMTiv3QOzQIjhLd0w3jlLlozcwC8eGz4qqU/rnIYRCHborlOw==" saltValue="CqFUHF8Z4PJMj52R2Kx+yA==" spinCount="100000" sqref="AK453:AL453" name="FY2023_24 and FY2024_25_2_1"/>
    <protectedRange algorithmName="SHA-512" hashValue="jY96UnylzPd2vZkRLfM8XmmJGWFJSSTGviPCXzMTiv3QOzQIjhLd0w3jlLlozcwC8eGz4qqU/rnIYRCHborlOw==" saltValue="CqFUHF8Z4PJMj52R2Kx+yA==" spinCount="100000" sqref="AK454:AL454" name="FY2023_24 and FY2024_25_3"/>
    <protectedRange algorithmName="SHA-512" hashValue="jY96UnylzPd2vZkRLfM8XmmJGWFJSSTGviPCXzMTiv3QOzQIjhLd0w3jlLlozcwC8eGz4qqU/rnIYRCHborlOw==" saltValue="CqFUHF8Z4PJMj52R2Kx+yA==" spinCount="100000" sqref="AK528:AL529" name="FY2023_24 and FY2024_25_4"/>
    <protectedRange algorithmName="SHA-512" hashValue="jY96UnylzPd2vZkRLfM8XmmJGWFJSSTGviPCXzMTiv3QOzQIjhLd0w3jlLlozcwC8eGz4qqU/rnIYRCHborlOw==" saltValue="CqFUHF8Z4PJMj52R2Kx+yA==" spinCount="100000" sqref="AK530:AL530" name="FY2023_24 and FY2024_25_5"/>
    <protectedRange algorithmName="SHA-512" hashValue="jY96UnylzPd2vZkRLfM8XmmJGWFJSSTGviPCXzMTiv3QOzQIjhLd0w3jlLlozcwC8eGz4qqU/rnIYRCHborlOw==" saltValue="CqFUHF8Z4PJMj52R2Kx+yA==" spinCount="100000" sqref="AK531:AL532" name="FY2023_24 and FY2024_25_6"/>
    <protectedRange algorithmName="SHA-512" hashValue="jY96UnylzPd2vZkRLfM8XmmJGWFJSSTGviPCXzMTiv3QOzQIjhLd0w3jlLlozcwC8eGz4qqU/rnIYRCHborlOw==" saltValue="CqFUHF8Z4PJMj52R2Kx+yA==" spinCount="100000" sqref="AK533:AL533" name="FY2023_24 and FY2024_25_7"/>
    <protectedRange algorithmName="SHA-512" hashValue="jY96UnylzPd2vZkRLfM8XmmJGWFJSSTGviPCXzMTiv3QOzQIjhLd0w3jlLlozcwC8eGz4qqU/rnIYRCHborlOw==" saltValue="CqFUHF8Z4PJMj52R2Kx+yA==" spinCount="100000" sqref="AK534:AL539" name="FY2023_24 and FY2024_25_8"/>
    <protectedRange algorithmName="SHA-512" hashValue="jY96UnylzPd2vZkRLfM8XmmJGWFJSSTGviPCXzMTiv3QOzQIjhLd0w3jlLlozcwC8eGz4qqU/rnIYRCHborlOw==" saltValue="CqFUHF8Z4PJMj52R2Kx+yA==" spinCount="100000" sqref="AK540:AL540" name="FY2023_24 and FY2024_25_9"/>
    <protectedRange algorithmName="SHA-512" hashValue="jY96UnylzPd2vZkRLfM8XmmJGWFJSSTGviPCXzMTiv3QOzQIjhLd0w3jlLlozcwC8eGz4qqU/rnIYRCHborlOw==" saltValue="CqFUHF8Z4PJMj52R2Kx+yA==" spinCount="100000" sqref="AK550:AL550" name="FY2023_24 and FY2024_25_10"/>
    <protectedRange algorithmName="SHA-512" hashValue="jY96UnylzPd2vZkRLfM8XmmJGWFJSSTGviPCXzMTiv3QOzQIjhLd0w3jlLlozcwC8eGz4qqU/rnIYRCHborlOw==" saltValue="CqFUHF8Z4PJMj52R2Kx+yA==" spinCount="100000" sqref="AK553:AL553" name="FY2023_24 and FY2024_25_11"/>
    <protectedRange algorithmName="SHA-512" hashValue="jY96UnylzPd2vZkRLfM8XmmJGWFJSSTGviPCXzMTiv3QOzQIjhLd0w3jlLlozcwC8eGz4qqU/rnIYRCHborlOw==" saltValue="CqFUHF8Z4PJMj52R2Kx+yA==" spinCount="100000" sqref="AK554:AL559" name="FY2023_24 and FY2024_25_12"/>
    <protectedRange algorithmName="SHA-512" hashValue="jY96UnylzPd2vZkRLfM8XmmJGWFJSSTGviPCXzMTiv3QOzQIjhLd0w3jlLlozcwC8eGz4qqU/rnIYRCHborlOw==" saltValue="CqFUHF8Z4PJMj52R2Kx+yA==" spinCount="100000" sqref="AK560:AL560" name="FY2023_24 and FY2024_25_13"/>
    <protectedRange algorithmName="SHA-512" hashValue="jY96UnylzPd2vZkRLfM8XmmJGWFJSSTGviPCXzMTiv3QOzQIjhLd0w3jlLlozcwC8eGz4qqU/rnIYRCHborlOw==" saltValue="CqFUHF8Z4PJMj52R2Kx+yA==" spinCount="100000" sqref="AK565:AL566" name="FY2023_24 and FY2024_25_14"/>
    <protectedRange algorithmName="SHA-512" hashValue="jY96UnylzPd2vZkRLfM8XmmJGWFJSSTGviPCXzMTiv3QOzQIjhLd0w3jlLlozcwC8eGz4qqU/rnIYRCHborlOw==" saltValue="CqFUHF8Z4PJMj52R2Kx+yA==" spinCount="100000" sqref="AK567:AL567" name="FY2023_24 and FY2024_25_15"/>
    <protectedRange algorithmName="SHA-512" hashValue="jY96UnylzPd2vZkRLfM8XmmJGWFJSSTGviPCXzMTiv3QOzQIjhLd0w3jlLlozcwC8eGz4qqU/rnIYRCHborlOw==" saltValue="CqFUHF8Z4PJMj52R2Kx+yA==" spinCount="100000" sqref="AK568:AL569" name="FY2023_24 and FY2024_25_16"/>
    <protectedRange algorithmName="SHA-512" hashValue="xVHQb+m8TPrCupBSUPofR+4mBqbTXWKv8zWrwen32Akm8RblXJOWFy/Cy2P4w35dSJ+elIHPqNYqI9hLSfD6TQ==" saltValue="1vuIOlrMbfwb5AHSRxNcMw==" spinCount="100000" sqref="M609:T844" name="M_T_3"/>
    <protectedRange algorithmName="SHA-512" hashValue="jY96UnylzPd2vZkRLfM8XmmJGWFJSSTGviPCXzMTiv3QOzQIjhLd0w3jlLlozcwC8eGz4qqU/rnIYRCHborlOw==" saltValue="CqFUHF8Z4PJMj52R2Kx+yA==" spinCount="100000" sqref="AK609:AL844" name="FY2023_24 and FY2024_25_17"/>
    <protectedRange algorithmName="SHA-512" hashValue="LnnTiFHW88v+Lt/birpZCwnxW62fSr/gAkBSFlUfSgwdfFWdf99knSzHDeoMAIBP5f47zs9wPG8trApANE0a5A==" saltValue="YxL3gEWV5b0y4dkncLyqQQ==" spinCount="100000" sqref="W609:AD844" name="criteria_3"/>
    <protectedRange algorithmName="SHA-512" hashValue="8vlAHijakGcEe+uTbvEo8hCNUrc8oV0mPYVwLAtftdU3yRwsScROrfrNOwGt5fx3OSsSqzs+dvl7p3PJCgs5zA==" saltValue="Ip3QQ+Fe7ypKUoABAhonuA==" spinCount="100000" sqref="AF609:AG844" name="AF_AG_3"/>
    <protectedRange algorithmName="SHA-512" hashValue="xVHQb+m8TPrCupBSUPofR+4mBqbTXWKv8zWrwen32Akm8RblXJOWFy/Cy2P4w35dSJ+elIHPqNYqI9hLSfD6TQ==" saltValue="1vuIOlrMbfwb5AHSRxNcMw==" spinCount="100000" sqref="M848:T894" name="M_T_4"/>
    <protectedRange algorithmName="SHA-512" hashValue="jY96UnylzPd2vZkRLfM8XmmJGWFJSSTGviPCXzMTiv3QOzQIjhLd0w3jlLlozcwC8eGz4qqU/rnIYRCHborlOw==" saltValue="CqFUHF8Z4PJMj52R2Kx+yA==" spinCount="100000" sqref="AK848:AL894" name="FY2023_24 and FY2024_25_18"/>
    <protectedRange algorithmName="SHA-512" hashValue="LnnTiFHW88v+Lt/birpZCwnxW62fSr/gAkBSFlUfSgwdfFWdf99knSzHDeoMAIBP5f47zs9wPG8trApANE0a5A==" saltValue="YxL3gEWV5b0y4dkncLyqQQ==" spinCount="100000" sqref="W848:AD894" name="criteria_4"/>
    <protectedRange algorithmName="SHA-512" hashValue="8vlAHijakGcEe+uTbvEo8hCNUrc8oV0mPYVwLAtftdU3yRwsScROrfrNOwGt5fx3OSsSqzs+dvl7p3PJCgs5zA==" saltValue="Ip3QQ+Fe7ypKUoABAhonuA==" spinCount="100000" sqref="AF848:AG894" name="AF_AG_4"/>
    <protectedRange algorithmName="SHA-512" hashValue="8vlAHijakGcEe+uTbvEo8hCNUrc8oV0mPYVwLAtftdU3yRwsScROrfrNOwGt5fx3OSsSqzs+dvl7p3PJCgs5zA==" saltValue="Ip3QQ+Fe7ypKUoABAhonuA==" spinCount="100000" sqref="AF898:AG1091" name="AF_AG_5"/>
    <protectedRange algorithmName="SHA-512" hashValue="LnnTiFHW88v+Lt/birpZCwnxW62fSr/gAkBSFlUfSgwdfFWdf99knSzHDeoMAIBP5f47zs9wPG8trApANE0a5A==" saltValue="YxL3gEWV5b0y4dkncLyqQQ==" spinCount="100000" sqref="X898:AD1091 W898:W1034 W1036:W1091" name="criteria_5"/>
    <protectedRange algorithmName="SHA-512" hashValue="jY96UnylzPd2vZkRLfM8XmmJGWFJSSTGviPCXzMTiv3QOzQIjhLd0w3jlLlozcwC8eGz4qqU/rnIYRCHborlOw==" saltValue="CqFUHF8Z4PJMj52R2Kx+yA==" spinCount="100000" sqref="AK898:AL1091" name="FY2023_24 and FY2024_25_19"/>
    <protectedRange algorithmName="SHA-512" hashValue="CLISI2ZMumPLAyUxJQhdHzgrtAeF6lRi/GfKKvTVPi0dyl+W/U2GQrkwYDjNzlV88w3OFYXTim+xbXU+Wqv2lQ==" saltValue="BvRIv+y+7x0cwTyauBN3lQ==" spinCount="100000" sqref="M898:T1091" name="M_T_5"/>
    <protectedRange algorithmName="SHA-512" hashValue="kG2jXDzNBS18uRvr24CyLz/COB7q2lOAtKxPbqY5LqR4WIXTPLGHlNi5u6X10IUco/G6Aq1w5pVHkcjqt3XGMA==" saltValue="MwhRIiMB5YpwG6oQE/b0gw==" spinCount="100000" sqref="M1095:T1308" name="M_T_6"/>
    <protectedRange algorithmName="SHA-512" hashValue="jY96UnylzPd2vZkRLfM8XmmJGWFJSSTGviPCXzMTiv3QOzQIjhLd0w3jlLlozcwC8eGz4qqU/rnIYRCHborlOw==" saltValue="CqFUHF8Z4PJMj52R2Kx+yA==" spinCount="100000" sqref="AK1095:AL1308" name="FY2023_24 and FY2024_25_20"/>
    <protectedRange algorithmName="SHA-512" hashValue="LnnTiFHW88v+Lt/birpZCwnxW62fSr/gAkBSFlUfSgwdfFWdf99knSzHDeoMAIBP5f47zs9wPG8trApANE0a5A==" saltValue="YxL3gEWV5b0y4dkncLyqQQ==" spinCount="100000" sqref="W1095:AD1308" name="criteria_6"/>
    <protectedRange algorithmName="SHA-512" hashValue="8vlAHijakGcEe+uTbvEo8hCNUrc8oV0mPYVwLAtftdU3yRwsScROrfrNOwGt5fx3OSsSqzs+dvl7p3PJCgs5zA==" saltValue="Ip3QQ+Fe7ypKUoABAhonuA==" spinCount="100000" sqref="AF1095:AG1308" name="AF_AG_6"/>
    <protectedRange algorithmName="SHA-512" hashValue="nLcegsJX47F7uJYL8DTkP+lOviKS28bM8yKg1iAYM2fR/lXGExJ8qGkgHiH0hbYN/WPyjqARqV9zhTJ51oDn/g==" saltValue="rcm7gXZvDezH29V6F1cHNA==" spinCount="100000" sqref="M1312:T1400" name="M_T_7"/>
    <protectedRange algorithmName="SHA-512" hashValue="jY96UnylzPd2vZkRLfM8XmmJGWFJSSTGviPCXzMTiv3QOzQIjhLd0w3jlLlozcwC8eGz4qqU/rnIYRCHborlOw==" saltValue="CqFUHF8Z4PJMj52R2Kx+yA==" spinCount="100000" sqref="AK1312:AL1400" name="FY2023_24 and FY2024_25_21"/>
    <protectedRange algorithmName="SHA-512" hashValue="LnnTiFHW88v+Lt/birpZCwnxW62fSr/gAkBSFlUfSgwdfFWdf99knSzHDeoMAIBP5f47zs9wPG8trApANE0a5A==" saltValue="YxL3gEWV5b0y4dkncLyqQQ==" spinCount="100000" sqref="W1312:AD1400" name="criteria_7"/>
    <protectedRange algorithmName="SHA-512" hashValue="8vlAHijakGcEe+uTbvEo8hCNUrc8oV0mPYVwLAtftdU3yRwsScROrfrNOwGt5fx3OSsSqzs+dvl7p3PJCgs5zA==" saltValue="Ip3QQ+Fe7ypKUoABAhonuA==" spinCount="100000" sqref="AF1312:AG1400" name="AF_AG_7"/>
    <protectedRange algorithmName="SHA-512" hashValue="xVHQb+m8TPrCupBSUPofR+4mBqbTXWKv8zWrwen32Akm8RblXJOWFy/Cy2P4w35dSJ+elIHPqNYqI9hLSfD6TQ==" saltValue="1vuIOlrMbfwb5AHSRxNcMw==" spinCount="100000" sqref="M1405:T1701" name="M_T_8"/>
    <protectedRange algorithmName="SHA-512" hashValue="jY96UnylzPd2vZkRLfM8XmmJGWFJSSTGviPCXzMTiv3QOzQIjhLd0w3jlLlozcwC8eGz4qqU/rnIYRCHborlOw==" saltValue="CqFUHF8Z4PJMj52R2Kx+yA==" spinCount="100000" sqref="AN1409:AO1411 AK1405:AL1408 AK1412:AL1701" name="FY2023_24 and FY2024_25_22"/>
    <protectedRange algorithmName="SHA-512" hashValue="LnnTiFHW88v+Lt/birpZCwnxW62fSr/gAkBSFlUfSgwdfFWdf99knSzHDeoMAIBP5f47zs9wPG8trApANE0a5A==" saltValue="YxL3gEWV5b0y4dkncLyqQQ==" spinCount="100000" sqref="W1405:AD1701" name="criteria_8"/>
    <protectedRange algorithmName="SHA-512" hashValue="8vlAHijakGcEe+uTbvEo8hCNUrc8oV0mPYVwLAtftdU3yRwsScROrfrNOwGt5fx3OSsSqzs+dvl7p3PJCgs5zA==" saltValue="Ip3QQ+Fe7ypKUoABAhonuA==" spinCount="100000" sqref="AF1405:AG1701" name="AF_AG_8"/>
    <protectedRange algorithmName="SHA-512" hashValue="xVHQb+m8TPrCupBSUPofR+4mBqbTXWKv8zWrwen32Akm8RblXJOWFy/Cy2P4w35dSJ+elIHPqNYqI9hLSfD6TQ==" saltValue="1vuIOlrMbfwb5AHSRxNcMw==" spinCount="100000" sqref="M1705:T1708" name="M_T_9"/>
    <protectedRange algorithmName="SHA-512" hashValue="jY96UnylzPd2vZkRLfM8XmmJGWFJSSTGviPCXzMTiv3QOzQIjhLd0w3jlLlozcwC8eGz4qqU/rnIYRCHborlOw==" saltValue="CqFUHF8Z4PJMj52R2Kx+yA==" spinCount="100000" sqref="AK1705:AL1708" name="FY2023_24 and FY2024_25_23"/>
    <protectedRange algorithmName="SHA-512" hashValue="LnnTiFHW88v+Lt/birpZCwnxW62fSr/gAkBSFlUfSgwdfFWdf99knSzHDeoMAIBP5f47zs9wPG8trApANE0a5A==" saltValue="YxL3gEWV5b0y4dkncLyqQQ==" spinCount="100000" sqref="W1705:AD1709" name="criteria_9"/>
    <protectedRange algorithmName="SHA-512" hashValue="8vlAHijakGcEe+uTbvEo8hCNUrc8oV0mPYVwLAtftdU3yRwsScROrfrNOwGt5fx3OSsSqzs+dvl7p3PJCgs5zA==" saltValue="Ip3QQ+Fe7ypKUoABAhonuA==" spinCount="100000" sqref="AF1705:AG1708" name="AF_AG_9"/>
    <protectedRange algorithmName="SHA-512" hashValue="xVHQb+m8TPrCupBSUPofR+4mBqbTXWKv8zWrwen32Akm8RblXJOWFy/Cy2P4w35dSJ+elIHPqNYqI9hLSfD6TQ==" saltValue="1vuIOlrMbfwb5AHSRxNcMw==" spinCount="100000" sqref="M1710:T1712" name="M_T_1_1"/>
    <protectedRange algorithmName="SHA-512" hashValue="jY96UnylzPd2vZkRLfM8XmmJGWFJSSTGviPCXzMTiv3QOzQIjhLd0w3jlLlozcwC8eGz4qqU/rnIYRCHborlOw==" saltValue="CqFUHF8Z4PJMj52R2Kx+yA==" spinCount="100000" sqref="AK1710:AL1712" name="FY2023_24 and FY2024_25_1_2"/>
    <protectedRange algorithmName="SHA-512" hashValue="LnnTiFHW88v+Lt/birpZCwnxW62fSr/gAkBSFlUfSgwdfFWdf99knSzHDeoMAIBP5f47zs9wPG8trApANE0a5A==" saltValue="YxL3gEWV5b0y4dkncLyqQQ==" spinCount="100000" sqref="W1710:AD1712" name="criteria_1_1"/>
    <protectedRange algorithmName="SHA-512" hashValue="8vlAHijakGcEe+uTbvEo8hCNUrc8oV0mPYVwLAtftdU3yRwsScROrfrNOwGt5fx3OSsSqzs+dvl7p3PJCgs5zA==" saltValue="Ip3QQ+Fe7ypKUoABAhonuA==" spinCount="100000" sqref="AF1710:AG1712" name="AF_AG_1_1"/>
    <protectedRange algorithmName="SHA-512" hashValue="xVHQb+m8TPrCupBSUPofR+4mBqbTXWKv8zWrwen32Akm8RblXJOWFy/Cy2P4w35dSJ+elIHPqNYqI9hLSfD6TQ==" saltValue="1vuIOlrMbfwb5AHSRxNcMw==" spinCount="100000" sqref="M1713:T1725" name="M_T_2_1"/>
    <protectedRange algorithmName="SHA-512" hashValue="jY96UnylzPd2vZkRLfM8XmmJGWFJSSTGviPCXzMTiv3QOzQIjhLd0w3jlLlozcwC8eGz4qqU/rnIYRCHborlOw==" saltValue="CqFUHF8Z4PJMj52R2Kx+yA==" spinCount="100000" sqref="AK1713:AL1725" name="FY2023_24 and FY2024_25_2_2"/>
    <protectedRange algorithmName="SHA-512" hashValue="LnnTiFHW88v+Lt/birpZCwnxW62fSr/gAkBSFlUfSgwdfFWdf99knSzHDeoMAIBP5f47zs9wPG8trApANE0a5A==" saltValue="YxL3gEWV5b0y4dkncLyqQQ==" spinCount="100000" sqref="W1713:AD1725" name="criteria_2_1"/>
    <protectedRange algorithmName="SHA-512" hashValue="8vlAHijakGcEe+uTbvEo8hCNUrc8oV0mPYVwLAtftdU3yRwsScROrfrNOwGt5fx3OSsSqzs+dvl7p3PJCgs5zA==" saltValue="Ip3QQ+Fe7ypKUoABAhonuA==" spinCount="100000" sqref="AF1713:AG1725" name="AF_AG_2_1"/>
    <protectedRange algorithmName="SHA-512" hashValue="xVHQb+m8TPrCupBSUPofR+4mBqbTXWKv8zWrwen32Akm8RblXJOWFy/Cy2P4w35dSJ+elIHPqNYqI9hLSfD6TQ==" saltValue="1vuIOlrMbfwb5AHSRxNcMw==" spinCount="100000" sqref="M1726:T1730" name="M_T_3_1"/>
    <protectedRange algorithmName="SHA-512" hashValue="jY96UnylzPd2vZkRLfM8XmmJGWFJSSTGviPCXzMTiv3QOzQIjhLd0w3jlLlozcwC8eGz4qqU/rnIYRCHborlOw==" saltValue="CqFUHF8Z4PJMj52R2Kx+yA==" spinCount="100000" sqref="AK1726:AL1730" name="FY2023_24 and FY2024_25_3_1"/>
    <protectedRange algorithmName="SHA-512" hashValue="LnnTiFHW88v+Lt/birpZCwnxW62fSr/gAkBSFlUfSgwdfFWdf99knSzHDeoMAIBP5f47zs9wPG8trApANE0a5A==" saltValue="YxL3gEWV5b0y4dkncLyqQQ==" spinCount="100000" sqref="W1726:AD1730 W1734:AD1745" name="criteria_3_1"/>
    <protectedRange algorithmName="SHA-512" hashValue="8vlAHijakGcEe+uTbvEo8hCNUrc8oV0mPYVwLAtftdU3yRwsScROrfrNOwGt5fx3OSsSqzs+dvl7p3PJCgs5zA==" saltValue="Ip3QQ+Fe7ypKUoABAhonuA==" spinCount="100000" sqref="AF1726:AG1730" name="AF_AG_3_1"/>
    <protectedRange algorithmName="SHA-512" hashValue="xVHQb+m8TPrCupBSUPofR+4mBqbTXWKv8zWrwen32Akm8RblXJOWFy/Cy2P4w35dSJ+elIHPqNYqI9hLSfD6TQ==" saltValue="1vuIOlrMbfwb5AHSRxNcMw==" spinCount="100000" sqref="M1731:T1733 M1734:S1745" name="M_T_4_1"/>
    <protectedRange algorithmName="SHA-512" hashValue="jY96UnylzPd2vZkRLfM8XmmJGWFJSSTGviPCXzMTiv3QOzQIjhLd0w3jlLlozcwC8eGz4qqU/rnIYRCHborlOw==" saltValue="CqFUHF8Z4PJMj52R2Kx+yA==" spinCount="100000" sqref="AK1731:AL1733" name="FY2023_24 and FY2024_25_4_1"/>
    <protectedRange algorithmName="SHA-512" hashValue="LnnTiFHW88v+Lt/birpZCwnxW62fSr/gAkBSFlUfSgwdfFWdf99knSzHDeoMAIBP5f47zs9wPG8trApANE0a5A==" saltValue="YxL3gEWV5b0y4dkncLyqQQ==" spinCount="100000" sqref="W1731:AD1733" name="criteria_4_1"/>
    <protectedRange algorithmName="SHA-512" hashValue="8vlAHijakGcEe+uTbvEo8hCNUrc8oV0mPYVwLAtftdU3yRwsScROrfrNOwGt5fx3OSsSqzs+dvl7p3PJCgs5zA==" saltValue="Ip3QQ+Fe7ypKUoABAhonuA==" spinCount="100000" sqref="AF1731:AG1745" name="AF_AG_4_1"/>
    <protectedRange algorithmName="SHA-512" hashValue="xVHQb+m8TPrCupBSUPofR+4mBqbTXWKv8zWrwen32Akm8RblXJOWFy/Cy2P4w35dSJ+elIHPqNYqI9hLSfD6TQ==" saltValue="1vuIOlrMbfwb5AHSRxNcMw==" spinCount="100000" sqref="M1746:T1756 T1734:T1745" name="M_T_5_1"/>
    <protectedRange algorithmName="SHA-512" hashValue="jY96UnylzPd2vZkRLfM8XmmJGWFJSSTGviPCXzMTiv3QOzQIjhLd0w3jlLlozcwC8eGz4qqU/rnIYRCHborlOw==" saltValue="CqFUHF8Z4PJMj52R2Kx+yA==" spinCount="100000" sqref="AK1746:AL1756" name="FY2023_24 and FY2024_25_5_1"/>
    <protectedRange algorithmName="SHA-512" hashValue="LnnTiFHW88v+Lt/birpZCwnxW62fSr/gAkBSFlUfSgwdfFWdf99knSzHDeoMAIBP5f47zs9wPG8trApANE0a5A==" saltValue="YxL3gEWV5b0y4dkncLyqQQ==" spinCount="100000" sqref="W1746:AD1756" name="criteria_5_1"/>
    <protectedRange algorithmName="SHA-512" hashValue="8vlAHijakGcEe+uTbvEo8hCNUrc8oV0mPYVwLAtftdU3yRwsScROrfrNOwGt5fx3OSsSqzs+dvl7p3PJCgs5zA==" saltValue="Ip3QQ+Fe7ypKUoABAhonuA==" spinCount="100000" sqref="AF1746:AG1756" name="AF_AG_5_1"/>
    <protectedRange algorithmName="SHA-512" hashValue="xVHQb+m8TPrCupBSUPofR+4mBqbTXWKv8zWrwen32Akm8RblXJOWFy/Cy2P4w35dSJ+elIHPqNYqI9hLSfD6TQ==" saltValue="1vuIOlrMbfwb5AHSRxNcMw==" spinCount="100000" sqref="M1757:T1759" name="M_T_6_1"/>
    <protectedRange algorithmName="SHA-512" hashValue="jY96UnylzPd2vZkRLfM8XmmJGWFJSSTGviPCXzMTiv3QOzQIjhLd0w3jlLlozcwC8eGz4qqU/rnIYRCHborlOw==" saltValue="CqFUHF8Z4PJMj52R2Kx+yA==" spinCount="100000" sqref="AK1757:AL1759" name="FY2023_24 and FY2024_25_6_1"/>
    <protectedRange algorithmName="SHA-512" hashValue="LnnTiFHW88v+Lt/birpZCwnxW62fSr/gAkBSFlUfSgwdfFWdf99knSzHDeoMAIBP5f47zs9wPG8trApANE0a5A==" saltValue="YxL3gEWV5b0y4dkncLyqQQ==" spinCount="100000" sqref="W1757:AD1759" name="criteria_6_1"/>
    <protectedRange algorithmName="SHA-512" hashValue="8vlAHijakGcEe+uTbvEo8hCNUrc8oV0mPYVwLAtftdU3yRwsScROrfrNOwGt5fx3OSsSqzs+dvl7p3PJCgs5zA==" saltValue="Ip3QQ+Fe7ypKUoABAhonuA==" spinCount="100000" sqref="AF1757:AG1759" name="AF_AG_6_1"/>
    <protectedRange algorithmName="SHA-512" hashValue="xVHQb+m8TPrCupBSUPofR+4mBqbTXWKv8zWrwen32Akm8RblXJOWFy/Cy2P4w35dSJ+elIHPqNYqI9hLSfD6TQ==" saltValue="1vuIOlrMbfwb5AHSRxNcMw==" spinCount="100000" sqref="M1760:T1765" name="M_T_7_1"/>
    <protectedRange algorithmName="SHA-512" hashValue="jY96UnylzPd2vZkRLfM8XmmJGWFJSSTGviPCXzMTiv3QOzQIjhLd0w3jlLlozcwC8eGz4qqU/rnIYRCHborlOw==" saltValue="CqFUHF8Z4PJMj52R2Kx+yA==" spinCount="100000" sqref="AK1760:AL1765" name="FY2023_24 and FY2024_25_7_1"/>
    <protectedRange algorithmName="SHA-512" hashValue="LnnTiFHW88v+Lt/birpZCwnxW62fSr/gAkBSFlUfSgwdfFWdf99knSzHDeoMAIBP5f47zs9wPG8trApANE0a5A==" saltValue="YxL3gEWV5b0y4dkncLyqQQ==" spinCount="100000" sqref="W1760:AD1765" name="criteria_7_1"/>
    <protectedRange algorithmName="SHA-512" hashValue="8vlAHijakGcEe+uTbvEo8hCNUrc8oV0mPYVwLAtftdU3yRwsScROrfrNOwGt5fx3OSsSqzs+dvl7p3PJCgs5zA==" saltValue="Ip3QQ+Fe7ypKUoABAhonuA==" spinCount="100000" sqref="AF1760:AG1765" name="AF_AG_7_1"/>
    <protectedRange algorithmName="SHA-512" hashValue="xVHQb+m8TPrCupBSUPofR+4mBqbTXWKv8zWrwen32Akm8RblXJOWFy/Cy2P4w35dSJ+elIHPqNYqI9hLSfD6TQ==" saltValue="1vuIOlrMbfwb5AHSRxNcMw==" spinCount="100000" sqref="M1766:T1771" name="M_T_8_1"/>
    <protectedRange algorithmName="SHA-512" hashValue="jY96UnylzPd2vZkRLfM8XmmJGWFJSSTGviPCXzMTiv3QOzQIjhLd0w3jlLlozcwC8eGz4qqU/rnIYRCHborlOw==" saltValue="CqFUHF8Z4PJMj52R2Kx+yA==" spinCount="100000" sqref="AK1766:AL1771" name="FY2023_24 and FY2024_25_8_1"/>
    <protectedRange algorithmName="SHA-512" hashValue="LnnTiFHW88v+Lt/birpZCwnxW62fSr/gAkBSFlUfSgwdfFWdf99knSzHDeoMAIBP5f47zs9wPG8trApANE0a5A==" saltValue="YxL3gEWV5b0y4dkncLyqQQ==" spinCount="100000" sqref="W1766:AD1771" name="criteria_8_1"/>
    <protectedRange algorithmName="SHA-512" hashValue="8vlAHijakGcEe+uTbvEo8hCNUrc8oV0mPYVwLAtftdU3yRwsScROrfrNOwGt5fx3OSsSqzs+dvl7p3PJCgs5zA==" saltValue="Ip3QQ+Fe7ypKUoABAhonuA==" spinCount="100000" sqref="AF1766:AG1771" name="AF_AG_8_1"/>
    <protectedRange algorithmName="SHA-512" hashValue="xVHQb+m8TPrCupBSUPofR+4mBqbTXWKv8zWrwen32Akm8RblXJOWFy/Cy2P4w35dSJ+elIHPqNYqI9hLSfD6TQ==" saltValue="1vuIOlrMbfwb5AHSRxNcMw==" spinCount="100000" sqref="M1772:T1773" name="M_T_9_1"/>
    <protectedRange algorithmName="SHA-512" hashValue="jY96UnylzPd2vZkRLfM8XmmJGWFJSSTGviPCXzMTiv3QOzQIjhLd0w3jlLlozcwC8eGz4qqU/rnIYRCHborlOw==" saltValue="CqFUHF8Z4PJMj52R2Kx+yA==" spinCount="100000" sqref="AK1772:AL1773" name="FY2023_24 and FY2024_25_9_1"/>
    <protectedRange algorithmName="SHA-512" hashValue="LnnTiFHW88v+Lt/birpZCwnxW62fSr/gAkBSFlUfSgwdfFWdf99knSzHDeoMAIBP5f47zs9wPG8trApANE0a5A==" saltValue="YxL3gEWV5b0y4dkncLyqQQ==" spinCount="100000" sqref="W1772:AD1773" name="criteria_9_1"/>
    <protectedRange algorithmName="SHA-512" hashValue="8vlAHijakGcEe+uTbvEo8hCNUrc8oV0mPYVwLAtftdU3yRwsScROrfrNOwGt5fx3OSsSqzs+dvl7p3PJCgs5zA==" saltValue="Ip3QQ+Fe7ypKUoABAhonuA==" spinCount="100000" sqref="AF1772:AG1773" name="AF_AG_9_1"/>
    <protectedRange algorithmName="SHA-512" hashValue="xVHQb+m8TPrCupBSUPofR+4mBqbTXWKv8zWrwen32Akm8RblXJOWFy/Cy2P4w35dSJ+elIHPqNYqI9hLSfD6TQ==" saltValue="1vuIOlrMbfwb5AHSRxNcMw==" spinCount="100000" sqref="M1774:T1777" name="M_T_10"/>
    <protectedRange algorithmName="SHA-512" hashValue="jY96UnylzPd2vZkRLfM8XmmJGWFJSSTGviPCXzMTiv3QOzQIjhLd0w3jlLlozcwC8eGz4qqU/rnIYRCHborlOw==" saltValue="CqFUHF8Z4PJMj52R2Kx+yA==" spinCount="100000" sqref="AK1774:AL1777" name="FY2023_24 and FY2024_25_10_1"/>
    <protectedRange algorithmName="SHA-512" hashValue="LnnTiFHW88v+Lt/birpZCwnxW62fSr/gAkBSFlUfSgwdfFWdf99knSzHDeoMAIBP5f47zs9wPG8trApANE0a5A==" saltValue="YxL3gEWV5b0y4dkncLyqQQ==" spinCount="100000" sqref="W1774:AD1777" name="criteria_10"/>
    <protectedRange algorithmName="SHA-512" hashValue="8vlAHijakGcEe+uTbvEo8hCNUrc8oV0mPYVwLAtftdU3yRwsScROrfrNOwGt5fx3OSsSqzs+dvl7p3PJCgs5zA==" saltValue="Ip3QQ+Fe7ypKUoABAhonuA==" spinCount="100000" sqref="AF1774:AG1777" name="AF_AG_10"/>
    <protectedRange algorithmName="SHA-512" hashValue="xVHQb+m8TPrCupBSUPofR+4mBqbTXWKv8zWrwen32Akm8RblXJOWFy/Cy2P4w35dSJ+elIHPqNYqI9hLSfD6TQ==" saltValue="1vuIOlrMbfwb5AHSRxNcMw==" spinCount="100000" sqref="M1778:T1778" name="M_T_11"/>
    <protectedRange algorithmName="SHA-512" hashValue="jY96UnylzPd2vZkRLfM8XmmJGWFJSSTGviPCXzMTiv3QOzQIjhLd0w3jlLlozcwC8eGz4qqU/rnIYRCHborlOw==" saltValue="CqFUHF8Z4PJMj52R2Kx+yA==" spinCount="100000" sqref="AK1778:AL1778" name="FY2023_24 and FY2024_25_11_1"/>
    <protectedRange algorithmName="SHA-512" hashValue="LnnTiFHW88v+Lt/birpZCwnxW62fSr/gAkBSFlUfSgwdfFWdf99knSzHDeoMAIBP5f47zs9wPG8trApANE0a5A==" saltValue="YxL3gEWV5b0y4dkncLyqQQ==" spinCount="100000" sqref="W1778:AD1778" name="criteria_11"/>
    <protectedRange algorithmName="SHA-512" hashValue="8vlAHijakGcEe+uTbvEo8hCNUrc8oV0mPYVwLAtftdU3yRwsScROrfrNOwGt5fx3OSsSqzs+dvl7p3PJCgs5zA==" saltValue="Ip3QQ+Fe7ypKUoABAhonuA==" spinCount="100000" sqref="AF1778:AG1778" name="AF_AG_11"/>
    <protectedRange algorithmName="SHA-512" hashValue="xVHQb+m8TPrCupBSUPofR+4mBqbTXWKv8zWrwen32Akm8RblXJOWFy/Cy2P4w35dSJ+elIHPqNYqI9hLSfD6TQ==" saltValue="1vuIOlrMbfwb5AHSRxNcMw==" spinCount="100000" sqref="M1779:T1783" name="M_T_12"/>
    <protectedRange algorithmName="SHA-512" hashValue="jY96UnylzPd2vZkRLfM8XmmJGWFJSSTGviPCXzMTiv3QOzQIjhLd0w3jlLlozcwC8eGz4qqU/rnIYRCHborlOw==" saltValue="CqFUHF8Z4PJMj52R2Kx+yA==" spinCount="100000" sqref="AK1779:AL1783" name="FY2023_24 and FY2024_25_12_1"/>
    <protectedRange algorithmName="SHA-512" hashValue="LnnTiFHW88v+Lt/birpZCwnxW62fSr/gAkBSFlUfSgwdfFWdf99knSzHDeoMAIBP5f47zs9wPG8trApANE0a5A==" saltValue="YxL3gEWV5b0y4dkncLyqQQ==" spinCount="100000" sqref="W1779:AD1783" name="criteria_12"/>
    <protectedRange algorithmName="SHA-512" hashValue="8vlAHijakGcEe+uTbvEo8hCNUrc8oV0mPYVwLAtftdU3yRwsScROrfrNOwGt5fx3OSsSqzs+dvl7p3PJCgs5zA==" saltValue="Ip3QQ+Fe7ypKUoABAhonuA==" spinCount="100000" sqref="AF1779:AG1783" name="AF_AG_12"/>
    <protectedRange algorithmName="SHA-512" hashValue="xVHQb+m8TPrCupBSUPofR+4mBqbTXWKv8zWrwen32Akm8RblXJOWFy/Cy2P4w35dSJ+elIHPqNYqI9hLSfD6TQ==" saltValue="1vuIOlrMbfwb5AHSRxNcMw==" spinCount="100000" sqref="M1784:T1785" name="M_T_13"/>
    <protectedRange algorithmName="SHA-512" hashValue="jY96UnylzPd2vZkRLfM8XmmJGWFJSSTGviPCXzMTiv3QOzQIjhLd0w3jlLlozcwC8eGz4qqU/rnIYRCHborlOw==" saltValue="CqFUHF8Z4PJMj52R2Kx+yA==" spinCount="100000" sqref="AK1784:AL1785" name="FY2023_24 and FY2024_25_13_1"/>
    <protectedRange algorithmName="SHA-512" hashValue="LnnTiFHW88v+Lt/birpZCwnxW62fSr/gAkBSFlUfSgwdfFWdf99knSzHDeoMAIBP5f47zs9wPG8trApANE0a5A==" saltValue="YxL3gEWV5b0y4dkncLyqQQ==" spinCount="100000" sqref="W1784:AD1785" name="criteria_13"/>
    <protectedRange algorithmName="SHA-512" hashValue="8vlAHijakGcEe+uTbvEo8hCNUrc8oV0mPYVwLAtftdU3yRwsScROrfrNOwGt5fx3OSsSqzs+dvl7p3PJCgs5zA==" saltValue="Ip3QQ+Fe7ypKUoABAhonuA==" spinCount="100000" sqref="AF1784:AG1785" name="AF_AG_13"/>
    <protectedRange algorithmName="SHA-512" hashValue="xVHQb+m8TPrCupBSUPofR+4mBqbTXWKv8zWrwen32Akm8RblXJOWFy/Cy2P4w35dSJ+elIHPqNYqI9hLSfD6TQ==" saltValue="1vuIOlrMbfwb5AHSRxNcMw==" spinCount="100000" sqref="M1786:T1788" name="M_T_14"/>
    <protectedRange algorithmName="SHA-512" hashValue="jY96UnylzPd2vZkRLfM8XmmJGWFJSSTGviPCXzMTiv3QOzQIjhLd0w3jlLlozcwC8eGz4qqU/rnIYRCHborlOw==" saltValue="CqFUHF8Z4PJMj52R2Kx+yA==" spinCount="100000" sqref="AK1786:AL1788" name="FY2023_24 and FY2024_25_14_1"/>
    <protectedRange algorithmName="SHA-512" hashValue="LnnTiFHW88v+Lt/birpZCwnxW62fSr/gAkBSFlUfSgwdfFWdf99knSzHDeoMAIBP5f47zs9wPG8trApANE0a5A==" saltValue="YxL3gEWV5b0y4dkncLyqQQ==" spinCount="100000" sqref="W1786:AD1788" name="criteria_14"/>
    <protectedRange algorithmName="SHA-512" hashValue="8vlAHijakGcEe+uTbvEo8hCNUrc8oV0mPYVwLAtftdU3yRwsScROrfrNOwGt5fx3OSsSqzs+dvl7p3PJCgs5zA==" saltValue="Ip3QQ+Fe7ypKUoABAhonuA==" spinCount="100000" sqref="AF1786:AG1788" name="AF_AG_14"/>
    <protectedRange algorithmName="SHA-512" hashValue="xVHQb+m8TPrCupBSUPofR+4mBqbTXWKv8zWrwen32Akm8RblXJOWFy/Cy2P4w35dSJ+elIHPqNYqI9hLSfD6TQ==" saltValue="1vuIOlrMbfwb5AHSRxNcMw==" spinCount="100000" sqref="M1789:T1790" name="M_T_15"/>
    <protectedRange algorithmName="SHA-512" hashValue="jY96UnylzPd2vZkRLfM8XmmJGWFJSSTGviPCXzMTiv3QOzQIjhLd0w3jlLlozcwC8eGz4qqU/rnIYRCHborlOw==" saltValue="CqFUHF8Z4PJMj52R2Kx+yA==" spinCount="100000" sqref="AK1789:AL1790" name="FY2023_24 and FY2024_25_15_1"/>
    <protectedRange algorithmName="SHA-512" hashValue="LnnTiFHW88v+Lt/birpZCwnxW62fSr/gAkBSFlUfSgwdfFWdf99knSzHDeoMAIBP5f47zs9wPG8trApANE0a5A==" saltValue="YxL3gEWV5b0y4dkncLyqQQ==" spinCount="100000" sqref="W1789:AD1790" name="criteria_15"/>
    <protectedRange algorithmName="SHA-512" hashValue="8vlAHijakGcEe+uTbvEo8hCNUrc8oV0mPYVwLAtftdU3yRwsScROrfrNOwGt5fx3OSsSqzs+dvl7p3PJCgs5zA==" saltValue="Ip3QQ+Fe7ypKUoABAhonuA==" spinCount="100000" sqref="AF1789:AG1790" name="AF_AG_15"/>
    <protectedRange algorithmName="SHA-512" hashValue="xVHQb+m8TPrCupBSUPofR+4mBqbTXWKv8zWrwen32Akm8RblXJOWFy/Cy2P4w35dSJ+elIHPqNYqI9hLSfD6TQ==" saltValue="1vuIOlrMbfwb5AHSRxNcMw==" spinCount="100000" sqref="M1791:T1792" name="M_T_16"/>
    <protectedRange algorithmName="SHA-512" hashValue="jY96UnylzPd2vZkRLfM8XmmJGWFJSSTGviPCXzMTiv3QOzQIjhLd0w3jlLlozcwC8eGz4qqU/rnIYRCHborlOw==" saltValue="CqFUHF8Z4PJMj52R2Kx+yA==" spinCount="100000" sqref="AK1791:AL1792" name="FY2023_24 and FY2024_25_16_1"/>
    <protectedRange algorithmName="SHA-512" hashValue="LnnTiFHW88v+Lt/birpZCwnxW62fSr/gAkBSFlUfSgwdfFWdf99knSzHDeoMAIBP5f47zs9wPG8trApANE0a5A==" saltValue="YxL3gEWV5b0y4dkncLyqQQ==" spinCount="100000" sqref="W1791:AD1792" name="criteria_16"/>
    <protectedRange algorithmName="SHA-512" hashValue="8vlAHijakGcEe+uTbvEo8hCNUrc8oV0mPYVwLAtftdU3yRwsScROrfrNOwGt5fx3OSsSqzs+dvl7p3PJCgs5zA==" saltValue="Ip3QQ+Fe7ypKUoABAhonuA==" spinCount="100000" sqref="AF1791:AG1792" name="AF_AG_16"/>
    <protectedRange algorithmName="SHA-512" hashValue="xVHQb+m8TPrCupBSUPofR+4mBqbTXWKv8zWrwen32Akm8RblXJOWFy/Cy2P4w35dSJ+elIHPqNYqI9hLSfD6TQ==" saltValue="1vuIOlrMbfwb5AHSRxNcMw==" spinCount="100000" sqref="M1793:T1795" name="M_T_17"/>
    <protectedRange algorithmName="SHA-512" hashValue="jY96UnylzPd2vZkRLfM8XmmJGWFJSSTGviPCXzMTiv3QOzQIjhLd0w3jlLlozcwC8eGz4qqU/rnIYRCHborlOw==" saltValue="CqFUHF8Z4PJMj52R2Kx+yA==" spinCount="100000" sqref="AK1793:AL1795" name="FY2023_24 and FY2024_25_17_1"/>
    <protectedRange algorithmName="SHA-512" hashValue="LnnTiFHW88v+Lt/birpZCwnxW62fSr/gAkBSFlUfSgwdfFWdf99knSzHDeoMAIBP5f47zs9wPG8trApANE0a5A==" saltValue="YxL3gEWV5b0y4dkncLyqQQ==" spinCount="100000" sqref="W1793:AD1795" name="criteria_17"/>
    <protectedRange algorithmName="SHA-512" hashValue="8vlAHijakGcEe+uTbvEo8hCNUrc8oV0mPYVwLAtftdU3yRwsScROrfrNOwGt5fx3OSsSqzs+dvl7p3PJCgs5zA==" saltValue="Ip3QQ+Fe7ypKUoABAhonuA==" spinCount="100000" sqref="AF1793:AG1795" name="AF_AG_17"/>
    <protectedRange algorithmName="SHA-512" hashValue="xVHQb+m8TPrCupBSUPofR+4mBqbTXWKv8zWrwen32Akm8RblXJOWFy/Cy2P4w35dSJ+elIHPqNYqI9hLSfD6TQ==" saltValue="1vuIOlrMbfwb5AHSRxNcMw==" spinCount="100000" sqref="M1796:T1796" name="M_T_18"/>
    <protectedRange algorithmName="SHA-512" hashValue="jY96UnylzPd2vZkRLfM8XmmJGWFJSSTGviPCXzMTiv3QOzQIjhLd0w3jlLlozcwC8eGz4qqU/rnIYRCHborlOw==" saltValue="CqFUHF8Z4PJMj52R2Kx+yA==" spinCount="100000" sqref="AK1796:AL1796" name="FY2023_24 and FY2024_25_18_1"/>
    <protectedRange algorithmName="SHA-512" hashValue="LnnTiFHW88v+Lt/birpZCwnxW62fSr/gAkBSFlUfSgwdfFWdf99knSzHDeoMAIBP5f47zs9wPG8trApANE0a5A==" saltValue="YxL3gEWV5b0y4dkncLyqQQ==" spinCount="100000" sqref="W1796:AD1796" name="criteria_18"/>
    <protectedRange algorithmName="SHA-512" hashValue="8vlAHijakGcEe+uTbvEo8hCNUrc8oV0mPYVwLAtftdU3yRwsScROrfrNOwGt5fx3OSsSqzs+dvl7p3PJCgs5zA==" saltValue="Ip3QQ+Fe7ypKUoABAhonuA==" spinCount="100000" sqref="AF1796:AG1796" name="AF_AG_18"/>
    <protectedRange algorithmName="SHA-512" hashValue="xVHQb+m8TPrCupBSUPofR+4mBqbTXWKv8zWrwen32Akm8RblXJOWFy/Cy2P4w35dSJ+elIHPqNYqI9hLSfD6TQ==" saltValue="1vuIOlrMbfwb5AHSRxNcMw==" spinCount="100000" sqref="M1797:T1797" name="M_T_19"/>
    <protectedRange algorithmName="SHA-512" hashValue="jY96UnylzPd2vZkRLfM8XmmJGWFJSSTGviPCXzMTiv3QOzQIjhLd0w3jlLlozcwC8eGz4qqU/rnIYRCHborlOw==" saltValue="CqFUHF8Z4PJMj52R2Kx+yA==" spinCount="100000" sqref="AK1797:AL1797" name="FY2023_24 and FY2024_25_19_1"/>
    <protectedRange algorithmName="SHA-512" hashValue="LnnTiFHW88v+Lt/birpZCwnxW62fSr/gAkBSFlUfSgwdfFWdf99knSzHDeoMAIBP5f47zs9wPG8trApANE0a5A==" saltValue="YxL3gEWV5b0y4dkncLyqQQ==" spinCount="100000" sqref="W1797:AD1797" name="criteria_19"/>
    <protectedRange algorithmName="SHA-512" hashValue="8vlAHijakGcEe+uTbvEo8hCNUrc8oV0mPYVwLAtftdU3yRwsScROrfrNOwGt5fx3OSsSqzs+dvl7p3PJCgs5zA==" saltValue="Ip3QQ+Fe7ypKUoABAhonuA==" spinCount="100000" sqref="AF1797:AG1797" name="AF_AG_19"/>
    <protectedRange algorithmName="SHA-512" hashValue="xVHQb+m8TPrCupBSUPofR+4mBqbTXWKv8zWrwen32Akm8RblXJOWFy/Cy2P4w35dSJ+elIHPqNYqI9hLSfD6TQ==" saltValue="1vuIOlrMbfwb5AHSRxNcMw==" spinCount="100000" sqref="M1798:T1798" name="M_T_20"/>
    <protectedRange algorithmName="SHA-512" hashValue="jY96UnylzPd2vZkRLfM8XmmJGWFJSSTGviPCXzMTiv3QOzQIjhLd0w3jlLlozcwC8eGz4qqU/rnIYRCHborlOw==" saltValue="CqFUHF8Z4PJMj52R2Kx+yA==" spinCount="100000" sqref="AK1798:AL1798" name="FY2023_24 and FY2024_25_20_1"/>
    <protectedRange algorithmName="SHA-512" hashValue="LnnTiFHW88v+Lt/birpZCwnxW62fSr/gAkBSFlUfSgwdfFWdf99knSzHDeoMAIBP5f47zs9wPG8trApANE0a5A==" saltValue="YxL3gEWV5b0y4dkncLyqQQ==" spinCount="100000" sqref="W1798:AD1798" name="criteria_20"/>
    <protectedRange algorithmName="SHA-512" hashValue="8vlAHijakGcEe+uTbvEo8hCNUrc8oV0mPYVwLAtftdU3yRwsScROrfrNOwGt5fx3OSsSqzs+dvl7p3PJCgs5zA==" saltValue="Ip3QQ+Fe7ypKUoABAhonuA==" spinCount="100000" sqref="AF1798:AG1798" name="AF_AG_20"/>
    <protectedRange algorithmName="SHA-512" hashValue="xVHQb+m8TPrCupBSUPofR+4mBqbTXWKv8zWrwen32Akm8RblXJOWFy/Cy2P4w35dSJ+elIHPqNYqI9hLSfD6TQ==" saltValue="1vuIOlrMbfwb5AHSRxNcMw==" spinCount="100000" sqref="M1799:T1801" name="M_T_21"/>
    <protectedRange algorithmName="SHA-512" hashValue="jY96UnylzPd2vZkRLfM8XmmJGWFJSSTGviPCXzMTiv3QOzQIjhLd0w3jlLlozcwC8eGz4qqU/rnIYRCHborlOw==" saltValue="CqFUHF8Z4PJMj52R2Kx+yA==" spinCount="100000" sqref="AK1799:AL1801" name="FY2023_24 and FY2024_25_21_1"/>
    <protectedRange algorithmName="SHA-512" hashValue="LnnTiFHW88v+Lt/birpZCwnxW62fSr/gAkBSFlUfSgwdfFWdf99knSzHDeoMAIBP5f47zs9wPG8trApANE0a5A==" saltValue="YxL3gEWV5b0y4dkncLyqQQ==" spinCount="100000" sqref="W1799:AD1801" name="criteria_21"/>
    <protectedRange algorithmName="SHA-512" hashValue="8vlAHijakGcEe+uTbvEo8hCNUrc8oV0mPYVwLAtftdU3yRwsScROrfrNOwGt5fx3OSsSqzs+dvl7p3PJCgs5zA==" saltValue="Ip3QQ+Fe7ypKUoABAhonuA==" spinCount="100000" sqref="AF1799:AG1801" name="AF_AG_21"/>
    <protectedRange algorithmName="SHA-512" hashValue="xVHQb+m8TPrCupBSUPofR+4mBqbTXWKv8zWrwen32Akm8RblXJOWFy/Cy2P4w35dSJ+elIHPqNYqI9hLSfD6TQ==" saltValue="1vuIOlrMbfwb5AHSRxNcMw==" spinCount="100000" sqref="M1802:T1807" name="M_T_22"/>
    <protectedRange algorithmName="SHA-512" hashValue="jY96UnylzPd2vZkRLfM8XmmJGWFJSSTGviPCXzMTiv3QOzQIjhLd0w3jlLlozcwC8eGz4qqU/rnIYRCHborlOw==" saltValue="CqFUHF8Z4PJMj52R2Kx+yA==" spinCount="100000" sqref="AK1802:AL1807" name="FY2023_24 and FY2024_25_22_1"/>
    <protectedRange algorithmName="SHA-512" hashValue="LnnTiFHW88v+Lt/birpZCwnxW62fSr/gAkBSFlUfSgwdfFWdf99knSzHDeoMAIBP5f47zs9wPG8trApANE0a5A==" saltValue="YxL3gEWV5b0y4dkncLyqQQ==" spinCount="100000" sqref="W1802:AD1807" name="criteria_22"/>
    <protectedRange algorithmName="SHA-512" hashValue="8vlAHijakGcEe+uTbvEo8hCNUrc8oV0mPYVwLAtftdU3yRwsScROrfrNOwGt5fx3OSsSqzs+dvl7p3PJCgs5zA==" saltValue="Ip3QQ+Fe7ypKUoABAhonuA==" spinCount="100000" sqref="AF1802:AG1807" name="AF_AG_22"/>
    <protectedRange algorithmName="SHA-512" hashValue="xVHQb+m8TPrCupBSUPofR+4mBqbTXWKv8zWrwen32Akm8RblXJOWFy/Cy2P4w35dSJ+elIHPqNYqI9hLSfD6TQ==" saltValue="1vuIOlrMbfwb5AHSRxNcMw==" spinCount="100000" sqref="M1810:T1811" name="M_T_23"/>
    <protectedRange algorithmName="SHA-512" hashValue="jY96UnylzPd2vZkRLfM8XmmJGWFJSSTGviPCXzMTiv3QOzQIjhLd0w3jlLlozcwC8eGz4qqU/rnIYRCHborlOw==" saltValue="CqFUHF8Z4PJMj52R2Kx+yA==" spinCount="100000" sqref="AK1810:AL1811" name="FY2023_24 and FY2024_25_23_1"/>
    <protectedRange algorithmName="SHA-512" hashValue="LnnTiFHW88v+Lt/birpZCwnxW62fSr/gAkBSFlUfSgwdfFWdf99knSzHDeoMAIBP5f47zs9wPG8trApANE0a5A==" saltValue="YxL3gEWV5b0y4dkncLyqQQ==" spinCount="100000" sqref="W1810:AD1811" name="criteria_23"/>
    <protectedRange algorithmName="SHA-512" hashValue="8vlAHijakGcEe+uTbvEo8hCNUrc8oV0mPYVwLAtftdU3yRwsScROrfrNOwGt5fx3OSsSqzs+dvl7p3PJCgs5zA==" saltValue="Ip3QQ+Fe7ypKUoABAhonuA==" spinCount="100000" sqref="AF1810:AG1811" name="AF_AG_23"/>
    <protectedRange algorithmName="SHA-512" hashValue="xVHQb+m8TPrCupBSUPofR+4mBqbTXWKv8zWrwen32Akm8RblXJOWFy/Cy2P4w35dSJ+elIHPqNYqI9hLSfD6TQ==" saltValue="1vuIOlrMbfwb5AHSRxNcMw==" spinCount="100000" sqref="M1812:T1819" name="M_T_24"/>
    <protectedRange algorithmName="SHA-512" hashValue="jY96UnylzPd2vZkRLfM8XmmJGWFJSSTGviPCXzMTiv3QOzQIjhLd0w3jlLlozcwC8eGz4qqU/rnIYRCHborlOw==" saltValue="CqFUHF8Z4PJMj52R2Kx+yA==" spinCount="100000" sqref="AK1812:AL1819" name="FY2023_24 and FY2024_25_24"/>
    <protectedRange algorithmName="SHA-512" hashValue="LnnTiFHW88v+Lt/birpZCwnxW62fSr/gAkBSFlUfSgwdfFWdf99knSzHDeoMAIBP5f47zs9wPG8trApANE0a5A==" saltValue="YxL3gEWV5b0y4dkncLyqQQ==" spinCount="100000" sqref="W1812:AD1819" name="criteria_24"/>
    <protectedRange algorithmName="SHA-512" hashValue="8vlAHijakGcEe+uTbvEo8hCNUrc8oV0mPYVwLAtftdU3yRwsScROrfrNOwGt5fx3OSsSqzs+dvl7p3PJCgs5zA==" saltValue="Ip3QQ+Fe7ypKUoABAhonuA==" spinCount="100000" sqref="AF1812:AG1819" name="AF_AG_24"/>
    <protectedRange algorithmName="SHA-512" hashValue="xVHQb+m8TPrCupBSUPofR+4mBqbTXWKv8zWrwen32Akm8RblXJOWFy/Cy2P4w35dSJ+elIHPqNYqI9hLSfD6TQ==" saltValue="1vuIOlrMbfwb5AHSRxNcMw==" spinCount="100000" sqref="M1820:T1820" name="M_T_25"/>
    <protectedRange algorithmName="SHA-512" hashValue="jY96UnylzPd2vZkRLfM8XmmJGWFJSSTGviPCXzMTiv3QOzQIjhLd0w3jlLlozcwC8eGz4qqU/rnIYRCHborlOw==" saltValue="CqFUHF8Z4PJMj52R2Kx+yA==" spinCount="100000" sqref="AK1820:AL1820" name="FY2023_24 and FY2024_25_25"/>
    <protectedRange algorithmName="SHA-512" hashValue="LnnTiFHW88v+Lt/birpZCwnxW62fSr/gAkBSFlUfSgwdfFWdf99knSzHDeoMAIBP5f47zs9wPG8trApANE0a5A==" saltValue="YxL3gEWV5b0y4dkncLyqQQ==" spinCount="100000" sqref="W1820:AD1820 W1829:AD1829" name="criteria_25"/>
    <protectedRange algorithmName="SHA-512" hashValue="8vlAHijakGcEe+uTbvEo8hCNUrc8oV0mPYVwLAtftdU3yRwsScROrfrNOwGt5fx3OSsSqzs+dvl7p3PJCgs5zA==" saltValue="Ip3QQ+Fe7ypKUoABAhonuA==" spinCount="100000" sqref="AF1820:AG1820" name="AF_AG_25"/>
    <protectedRange algorithmName="SHA-512" hashValue="xVHQb+m8TPrCupBSUPofR+4mBqbTXWKv8zWrwen32Akm8RblXJOWFy/Cy2P4w35dSJ+elIHPqNYqI9hLSfD6TQ==" saltValue="1vuIOlrMbfwb5AHSRxNcMw==" spinCount="100000" sqref="M1821:T1821" name="M_T_26"/>
    <protectedRange algorithmName="SHA-512" hashValue="jY96UnylzPd2vZkRLfM8XmmJGWFJSSTGviPCXzMTiv3QOzQIjhLd0w3jlLlozcwC8eGz4qqU/rnIYRCHborlOw==" saltValue="CqFUHF8Z4PJMj52R2Kx+yA==" spinCount="100000" sqref="AK1821:AL1821" name="FY2023_24 and FY2024_25_26"/>
    <protectedRange algorithmName="SHA-512" hashValue="LnnTiFHW88v+Lt/birpZCwnxW62fSr/gAkBSFlUfSgwdfFWdf99knSzHDeoMAIBP5f47zs9wPG8trApANE0a5A==" saltValue="YxL3gEWV5b0y4dkncLyqQQ==" spinCount="100000" sqref="W1821:AD1821" name="criteria_26"/>
    <protectedRange algorithmName="SHA-512" hashValue="8vlAHijakGcEe+uTbvEo8hCNUrc8oV0mPYVwLAtftdU3yRwsScROrfrNOwGt5fx3OSsSqzs+dvl7p3PJCgs5zA==" saltValue="Ip3QQ+Fe7ypKUoABAhonuA==" spinCount="100000" sqref="AF1821:AG1821" name="AF_AG_26"/>
    <protectedRange algorithmName="SHA-512" hashValue="xVHQb+m8TPrCupBSUPofR+4mBqbTXWKv8zWrwen32Akm8RblXJOWFy/Cy2P4w35dSJ+elIHPqNYqI9hLSfD6TQ==" saltValue="1vuIOlrMbfwb5AHSRxNcMw==" spinCount="100000" sqref="M1822:T1825" name="M_T_27"/>
    <protectedRange algorithmName="SHA-512" hashValue="jY96UnylzPd2vZkRLfM8XmmJGWFJSSTGviPCXzMTiv3QOzQIjhLd0w3jlLlozcwC8eGz4qqU/rnIYRCHborlOw==" saltValue="CqFUHF8Z4PJMj52R2Kx+yA==" spinCount="100000" sqref="AK1822:AL1825" name="FY2023_24 and FY2024_25_27"/>
    <protectedRange algorithmName="SHA-512" hashValue="LnnTiFHW88v+Lt/birpZCwnxW62fSr/gAkBSFlUfSgwdfFWdf99knSzHDeoMAIBP5f47zs9wPG8trApANE0a5A==" saltValue="YxL3gEWV5b0y4dkncLyqQQ==" spinCount="100000" sqref="W1822:AD1825" name="criteria_27"/>
    <protectedRange algorithmName="SHA-512" hashValue="8vlAHijakGcEe+uTbvEo8hCNUrc8oV0mPYVwLAtftdU3yRwsScROrfrNOwGt5fx3OSsSqzs+dvl7p3PJCgs5zA==" saltValue="Ip3QQ+Fe7ypKUoABAhonuA==" spinCount="100000" sqref="AF1822:AG1825" name="AF_AG_27"/>
    <protectedRange algorithmName="SHA-512" hashValue="xVHQb+m8TPrCupBSUPofR+4mBqbTXWKv8zWrwen32Akm8RblXJOWFy/Cy2P4w35dSJ+elIHPqNYqI9hLSfD6TQ==" saltValue="1vuIOlrMbfwb5AHSRxNcMw==" spinCount="100000" sqref="M1826:T1828" name="M_T_28"/>
    <protectedRange algorithmName="SHA-512" hashValue="jY96UnylzPd2vZkRLfM8XmmJGWFJSSTGviPCXzMTiv3QOzQIjhLd0w3jlLlozcwC8eGz4qqU/rnIYRCHborlOw==" saltValue="CqFUHF8Z4PJMj52R2Kx+yA==" spinCount="100000" sqref="AK1826:AL1828" name="FY2023_24 and FY2024_25_28"/>
    <protectedRange algorithmName="SHA-512" hashValue="LnnTiFHW88v+Lt/birpZCwnxW62fSr/gAkBSFlUfSgwdfFWdf99knSzHDeoMAIBP5f47zs9wPG8trApANE0a5A==" saltValue="YxL3gEWV5b0y4dkncLyqQQ==" spinCount="100000" sqref="W1826:AD1828" name="criteria_28"/>
    <protectedRange algorithmName="SHA-512" hashValue="8vlAHijakGcEe+uTbvEo8hCNUrc8oV0mPYVwLAtftdU3yRwsScROrfrNOwGt5fx3OSsSqzs+dvl7p3PJCgs5zA==" saltValue="Ip3QQ+Fe7ypKUoABAhonuA==" spinCount="100000" sqref="AF1826:AG1828" name="AF_AG_28"/>
    <protectedRange algorithmName="SHA-512" hashValue="xVHQb+m8TPrCupBSUPofR+4mBqbTXWKv8zWrwen32Akm8RblXJOWFy/Cy2P4w35dSJ+elIHPqNYqI9hLSfD6TQ==" saltValue="1vuIOlrMbfwb5AHSRxNcMw==" spinCount="100000" sqref="M1830:T1849" name="M_T_29"/>
    <protectedRange algorithmName="SHA-512" hashValue="jY96UnylzPd2vZkRLfM8XmmJGWFJSSTGviPCXzMTiv3QOzQIjhLd0w3jlLlozcwC8eGz4qqU/rnIYRCHborlOw==" saltValue="CqFUHF8Z4PJMj52R2Kx+yA==" spinCount="100000" sqref="AK1830:AL1849" name="FY2023_24 and FY2024_25_29"/>
    <protectedRange algorithmName="SHA-512" hashValue="LnnTiFHW88v+Lt/birpZCwnxW62fSr/gAkBSFlUfSgwdfFWdf99knSzHDeoMAIBP5f47zs9wPG8trApANE0a5A==" saltValue="YxL3gEWV5b0y4dkncLyqQQ==" spinCount="100000" sqref="W1830:AD1849" name="criteria_29"/>
    <protectedRange algorithmName="SHA-512" hashValue="8vlAHijakGcEe+uTbvEo8hCNUrc8oV0mPYVwLAtftdU3yRwsScROrfrNOwGt5fx3OSsSqzs+dvl7p3PJCgs5zA==" saltValue="Ip3QQ+Fe7ypKUoABAhonuA==" spinCount="100000" sqref="AF1830:AG1849" name="AF_AG_29"/>
    <protectedRange algorithmName="SHA-512" hashValue="xVHQb+m8TPrCupBSUPofR+4mBqbTXWKv8zWrwen32Akm8RblXJOWFy/Cy2P4w35dSJ+elIHPqNYqI9hLSfD6TQ==" saltValue="1vuIOlrMbfwb5AHSRxNcMw==" spinCount="100000" sqref="M1850:T1851" name="M_T_30"/>
    <protectedRange algorithmName="SHA-512" hashValue="jY96UnylzPd2vZkRLfM8XmmJGWFJSSTGviPCXzMTiv3QOzQIjhLd0w3jlLlozcwC8eGz4qqU/rnIYRCHborlOw==" saltValue="CqFUHF8Z4PJMj52R2Kx+yA==" spinCount="100000" sqref="AK1850:AL1851" name="FY2023_24 and FY2024_25_30"/>
    <protectedRange algorithmName="SHA-512" hashValue="LnnTiFHW88v+Lt/birpZCwnxW62fSr/gAkBSFlUfSgwdfFWdf99knSzHDeoMAIBP5f47zs9wPG8trApANE0a5A==" saltValue="YxL3gEWV5b0y4dkncLyqQQ==" spinCount="100000" sqref="W1850:AD1851" name="criteria_30"/>
    <protectedRange algorithmName="SHA-512" hashValue="8vlAHijakGcEe+uTbvEo8hCNUrc8oV0mPYVwLAtftdU3yRwsScROrfrNOwGt5fx3OSsSqzs+dvl7p3PJCgs5zA==" saltValue="Ip3QQ+Fe7ypKUoABAhonuA==" spinCount="100000" sqref="AF1850:AG1851" name="AF_AG_30"/>
    <protectedRange algorithmName="SHA-512" hashValue="xVHQb+m8TPrCupBSUPofR+4mBqbTXWKv8zWrwen32Akm8RblXJOWFy/Cy2P4w35dSJ+elIHPqNYqI9hLSfD6TQ==" saltValue="1vuIOlrMbfwb5AHSRxNcMw==" spinCount="100000" sqref="M1852:T1854" name="M_T_31"/>
    <protectedRange algorithmName="SHA-512" hashValue="jY96UnylzPd2vZkRLfM8XmmJGWFJSSTGviPCXzMTiv3QOzQIjhLd0w3jlLlozcwC8eGz4qqU/rnIYRCHborlOw==" saltValue="CqFUHF8Z4PJMj52R2Kx+yA==" spinCount="100000" sqref="AK1852:AL1854" name="FY2023_24 and FY2024_25_31"/>
    <protectedRange algorithmName="SHA-512" hashValue="LnnTiFHW88v+Lt/birpZCwnxW62fSr/gAkBSFlUfSgwdfFWdf99knSzHDeoMAIBP5f47zs9wPG8trApANE0a5A==" saltValue="YxL3gEWV5b0y4dkncLyqQQ==" spinCount="100000" sqref="W1852:AD1854" name="criteria_31"/>
    <protectedRange algorithmName="SHA-512" hashValue="8vlAHijakGcEe+uTbvEo8hCNUrc8oV0mPYVwLAtftdU3yRwsScROrfrNOwGt5fx3OSsSqzs+dvl7p3PJCgs5zA==" saltValue="Ip3QQ+Fe7ypKUoABAhonuA==" spinCount="100000" sqref="AF1852:AG1854" name="AF_AG_31"/>
    <protectedRange algorithmName="SHA-512" hashValue="xVHQb+m8TPrCupBSUPofR+4mBqbTXWKv8zWrwen32Akm8RblXJOWFy/Cy2P4w35dSJ+elIHPqNYqI9hLSfD6TQ==" saltValue="1vuIOlrMbfwb5AHSRxNcMw==" spinCount="100000" sqref="M1855:T1855" name="M_T_32"/>
    <protectedRange algorithmName="SHA-512" hashValue="jY96UnylzPd2vZkRLfM8XmmJGWFJSSTGviPCXzMTiv3QOzQIjhLd0w3jlLlozcwC8eGz4qqU/rnIYRCHborlOw==" saltValue="CqFUHF8Z4PJMj52R2Kx+yA==" spinCount="100000" sqref="AK1855:AL1855" name="FY2023_24 and FY2024_25_32"/>
    <protectedRange algorithmName="SHA-512" hashValue="LnnTiFHW88v+Lt/birpZCwnxW62fSr/gAkBSFlUfSgwdfFWdf99knSzHDeoMAIBP5f47zs9wPG8trApANE0a5A==" saltValue="YxL3gEWV5b0y4dkncLyqQQ==" spinCount="100000" sqref="W1855:AD1855" name="criteria_32"/>
    <protectedRange algorithmName="SHA-512" hashValue="8vlAHijakGcEe+uTbvEo8hCNUrc8oV0mPYVwLAtftdU3yRwsScROrfrNOwGt5fx3OSsSqzs+dvl7p3PJCgs5zA==" saltValue="Ip3QQ+Fe7ypKUoABAhonuA==" spinCount="100000" sqref="AF1855:AG1855" name="AF_AG_32"/>
    <protectedRange algorithmName="SHA-512" hashValue="xVHQb+m8TPrCupBSUPofR+4mBqbTXWKv8zWrwen32Akm8RblXJOWFy/Cy2P4w35dSJ+elIHPqNYqI9hLSfD6TQ==" saltValue="1vuIOlrMbfwb5AHSRxNcMw==" spinCount="100000" sqref="M1856:T1857" name="M_T_33"/>
    <protectedRange algorithmName="SHA-512" hashValue="jY96UnylzPd2vZkRLfM8XmmJGWFJSSTGviPCXzMTiv3QOzQIjhLd0w3jlLlozcwC8eGz4qqU/rnIYRCHborlOw==" saltValue="CqFUHF8Z4PJMj52R2Kx+yA==" spinCount="100000" sqref="AK1856:AL1857" name="FY2023_24 and FY2024_25_33"/>
    <protectedRange algorithmName="SHA-512" hashValue="LnnTiFHW88v+Lt/birpZCwnxW62fSr/gAkBSFlUfSgwdfFWdf99knSzHDeoMAIBP5f47zs9wPG8trApANE0a5A==" saltValue="YxL3gEWV5b0y4dkncLyqQQ==" spinCount="100000" sqref="W1856:AD1859" name="criteria_33"/>
    <protectedRange algorithmName="SHA-512" hashValue="8vlAHijakGcEe+uTbvEo8hCNUrc8oV0mPYVwLAtftdU3yRwsScROrfrNOwGt5fx3OSsSqzs+dvl7p3PJCgs5zA==" saltValue="Ip3QQ+Fe7ypKUoABAhonuA==" spinCount="100000" sqref="AF1856:AG1857" name="AF_AG_33"/>
    <protectedRange algorithmName="SHA-512" hashValue="xVHQb+m8TPrCupBSUPofR+4mBqbTXWKv8zWrwen32Akm8RblXJOWFy/Cy2P4w35dSJ+elIHPqNYqI9hLSfD6TQ==" saltValue="1vuIOlrMbfwb5AHSRxNcMw==" spinCount="100000" sqref="M1860:T1860" name="M_T_34"/>
    <protectedRange algorithmName="SHA-512" hashValue="jY96UnylzPd2vZkRLfM8XmmJGWFJSSTGviPCXzMTiv3QOzQIjhLd0w3jlLlozcwC8eGz4qqU/rnIYRCHborlOw==" saltValue="CqFUHF8Z4PJMj52R2Kx+yA==" spinCount="100000" sqref="AK1860:AL1860" name="FY2023_24 and FY2024_25_34"/>
    <protectedRange algorithmName="SHA-512" hashValue="LnnTiFHW88v+Lt/birpZCwnxW62fSr/gAkBSFlUfSgwdfFWdf99knSzHDeoMAIBP5f47zs9wPG8trApANE0a5A==" saltValue="YxL3gEWV5b0y4dkncLyqQQ==" spinCount="100000" sqref="W1860:AD1860" name="criteria_34"/>
    <protectedRange algorithmName="SHA-512" hashValue="8vlAHijakGcEe+uTbvEo8hCNUrc8oV0mPYVwLAtftdU3yRwsScROrfrNOwGt5fx3OSsSqzs+dvl7p3PJCgs5zA==" saltValue="Ip3QQ+Fe7ypKUoABAhonuA==" spinCount="100000" sqref="AF1860:AG1860" name="AF_AG_34"/>
    <protectedRange algorithmName="SHA-512" hashValue="xVHQb+m8TPrCupBSUPofR+4mBqbTXWKv8zWrwen32Akm8RblXJOWFy/Cy2P4w35dSJ+elIHPqNYqI9hLSfD6TQ==" saltValue="1vuIOlrMbfwb5AHSRxNcMw==" spinCount="100000" sqref="M1861:T1866" name="M_T_35"/>
    <protectedRange algorithmName="SHA-512" hashValue="jY96UnylzPd2vZkRLfM8XmmJGWFJSSTGviPCXzMTiv3QOzQIjhLd0w3jlLlozcwC8eGz4qqU/rnIYRCHborlOw==" saltValue="CqFUHF8Z4PJMj52R2Kx+yA==" spinCount="100000" sqref="AK1861:AL1866" name="FY2023_24 and FY2024_25_35"/>
    <protectedRange algorithmName="SHA-512" hashValue="LnnTiFHW88v+Lt/birpZCwnxW62fSr/gAkBSFlUfSgwdfFWdf99knSzHDeoMAIBP5f47zs9wPG8trApANE0a5A==" saltValue="YxL3gEWV5b0y4dkncLyqQQ==" spinCount="100000" sqref="W1861:AD1866" name="criteria_35"/>
    <protectedRange algorithmName="SHA-512" hashValue="8vlAHijakGcEe+uTbvEo8hCNUrc8oV0mPYVwLAtftdU3yRwsScROrfrNOwGt5fx3OSsSqzs+dvl7p3PJCgs5zA==" saltValue="Ip3QQ+Fe7ypKUoABAhonuA==" spinCount="100000" sqref="AF1861:AG1866" name="AF_AG_35"/>
    <protectedRange algorithmName="SHA-512" hashValue="xVHQb+m8TPrCupBSUPofR+4mBqbTXWKv8zWrwen32Akm8RblXJOWFy/Cy2P4w35dSJ+elIHPqNYqI9hLSfD6TQ==" saltValue="1vuIOlrMbfwb5AHSRxNcMw==" spinCount="100000" sqref="M1867:T1869" name="M_T_36"/>
    <protectedRange algorithmName="SHA-512" hashValue="jY96UnylzPd2vZkRLfM8XmmJGWFJSSTGviPCXzMTiv3QOzQIjhLd0w3jlLlozcwC8eGz4qqU/rnIYRCHborlOw==" saltValue="CqFUHF8Z4PJMj52R2Kx+yA==" spinCount="100000" sqref="AK1867:AL1869" name="FY2023_24 and FY2024_25_36"/>
    <protectedRange algorithmName="SHA-512" hashValue="LnnTiFHW88v+Lt/birpZCwnxW62fSr/gAkBSFlUfSgwdfFWdf99knSzHDeoMAIBP5f47zs9wPG8trApANE0a5A==" saltValue="YxL3gEWV5b0y4dkncLyqQQ==" spinCount="100000" sqref="W1867:AD1869" name="criteria_36"/>
    <protectedRange algorithmName="SHA-512" hashValue="8vlAHijakGcEe+uTbvEo8hCNUrc8oV0mPYVwLAtftdU3yRwsScROrfrNOwGt5fx3OSsSqzs+dvl7p3PJCgs5zA==" saltValue="Ip3QQ+Fe7ypKUoABAhonuA==" spinCount="100000" sqref="AF1867:AG1869" name="AF_AG_36"/>
    <protectedRange algorithmName="SHA-512" hashValue="xVHQb+m8TPrCupBSUPofR+4mBqbTXWKv8zWrwen32Akm8RblXJOWFy/Cy2P4w35dSJ+elIHPqNYqI9hLSfD6TQ==" saltValue="1vuIOlrMbfwb5AHSRxNcMw==" spinCount="100000" sqref="M1870:T1870" name="M_T_37"/>
    <protectedRange algorithmName="SHA-512" hashValue="jY96UnylzPd2vZkRLfM8XmmJGWFJSSTGviPCXzMTiv3QOzQIjhLd0w3jlLlozcwC8eGz4qqU/rnIYRCHborlOw==" saltValue="CqFUHF8Z4PJMj52R2Kx+yA==" spinCount="100000" sqref="AK1870:AL1870" name="FY2023_24 and FY2024_25_37"/>
    <protectedRange algorithmName="SHA-512" hashValue="LnnTiFHW88v+Lt/birpZCwnxW62fSr/gAkBSFlUfSgwdfFWdf99knSzHDeoMAIBP5f47zs9wPG8trApANE0a5A==" saltValue="YxL3gEWV5b0y4dkncLyqQQ==" spinCount="100000" sqref="W1870:AD1870" name="criteria_37"/>
    <protectedRange algorithmName="SHA-512" hashValue="8vlAHijakGcEe+uTbvEo8hCNUrc8oV0mPYVwLAtftdU3yRwsScROrfrNOwGt5fx3OSsSqzs+dvl7p3PJCgs5zA==" saltValue="Ip3QQ+Fe7ypKUoABAhonuA==" spinCount="100000" sqref="AF1870:AG1870" name="AF_AG_37"/>
    <protectedRange algorithmName="SHA-512" hashValue="xVHQb+m8TPrCupBSUPofR+4mBqbTXWKv8zWrwen32Akm8RblXJOWFy/Cy2P4w35dSJ+elIHPqNYqI9hLSfD6TQ==" saltValue="1vuIOlrMbfwb5AHSRxNcMw==" spinCount="100000" sqref="M1871:T1872" name="M_T_38"/>
    <protectedRange algorithmName="SHA-512" hashValue="jY96UnylzPd2vZkRLfM8XmmJGWFJSSTGviPCXzMTiv3QOzQIjhLd0w3jlLlozcwC8eGz4qqU/rnIYRCHborlOw==" saltValue="CqFUHF8Z4PJMj52R2Kx+yA==" spinCount="100000" sqref="AK1871:AL1872" name="FY2023_24 and FY2024_25_38"/>
    <protectedRange algorithmName="SHA-512" hashValue="LnnTiFHW88v+Lt/birpZCwnxW62fSr/gAkBSFlUfSgwdfFWdf99knSzHDeoMAIBP5f47zs9wPG8trApANE0a5A==" saltValue="YxL3gEWV5b0y4dkncLyqQQ==" spinCount="100000" sqref="W1871:AD1872" name="criteria_38"/>
    <protectedRange algorithmName="SHA-512" hashValue="8vlAHijakGcEe+uTbvEo8hCNUrc8oV0mPYVwLAtftdU3yRwsScROrfrNOwGt5fx3OSsSqzs+dvl7p3PJCgs5zA==" saltValue="Ip3QQ+Fe7ypKUoABAhonuA==" spinCount="100000" sqref="AF1871:AG1872" name="AF_AG_38"/>
    <protectedRange algorithmName="SHA-512" hashValue="xVHQb+m8TPrCupBSUPofR+4mBqbTXWKv8zWrwen32Akm8RblXJOWFy/Cy2P4w35dSJ+elIHPqNYqI9hLSfD6TQ==" saltValue="1vuIOlrMbfwb5AHSRxNcMw==" spinCount="100000" sqref="M1873:T1891" name="M_T_39"/>
    <protectedRange algorithmName="SHA-512" hashValue="jY96UnylzPd2vZkRLfM8XmmJGWFJSSTGviPCXzMTiv3QOzQIjhLd0w3jlLlozcwC8eGz4qqU/rnIYRCHborlOw==" saltValue="CqFUHF8Z4PJMj52R2Kx+yA==" spinCount="100000" sqref="AK1873:AL1891" name="FY2023_24 and FY2024_25_39"/>
    <protectedRange algorithmName="SHA-512" hashValue="LnnTiFHW88v+Lt/birpZCwnxW62fSr/gAkBSFlUfSgwdfFWdf99knSzHDeoMAIBP5f47zs9wPG8trApANE0a5A==" saltValue="YxL3gEWV5b0y4dkncLyqQQ==" spinCount="100000" sqref="W1873:AD1891" name="criteria_39"/>
    <protectedRange algorithmName="SHA-512" hashValue="8vlAHijakGcEe+uTbvEo8hCNUrc8oV0mPYVwLAtftdU3yRwsScROrfrNOwGt5fx3OSsSqzs+dvl7p3PJCgs5zA==" saltValue="Ip3QQ+Fe7ypKUoABAhonuA==" spinCount="100000" sqref="AF1873:AG1891" name="AF_AG_39"/>
    <protectedRange algorithmName="SHA-512" hashValue="xVHQb+m8TPrCupBSUPofR+4mBqbTXWKv8zWrwen32Akm8RblXJOWFy/Cy2P4w35dSJ+elIHPqNYqI9hLSfD6TQ==" saltValue="1vuIOlrMbfwb5AHSRxNcMw==" spinCount="100000" sqref="M1892:T1893" name="M_T_40"/>
    <protectedRange algorithmName="SHA-512" hashValue="jY96UnylzPd2vZkRLfM8XmmJGWFJSSTGviPCXzMTiv3QOzQIjhLd0w3jlLlozcwC8eGz4qqU/rnIYRCHborlOw==" saltValue="CqFUHF8Z4PJMj52R2Kx+yA==" spinCount="100000" sqref="AK1892:AL1893" name="FY2023_24 and FY2024_25_40"/>
    <protectedRange algorithmName="SHA-512" hashValue="LnnTiFHW88v+Lt/birpZCwnxW62fSr/gAkBSFlUfSgwdfFWdf99knSzHDeoMAIBP5f47zs9wPG8trApANE0a5A==" saltValue="YxL3gEWV5b0y4dkncLyqQQ==" spinCount="100000" sqref="W1892:AD1893" name="criteria_40"/>
    <protectedRange algorithmName="SHA-512" hashValue="8vlAHijakGcEe+uTbvEo8hCNUrc8oV0mPYVwLAtftdU3yRwsScROrfrNOwGt5fx3OSsSqzs+dvl7p3PJCgs5zA==" saltValue="Ip3QQ+Fe7ypKUoABAhonuA==" spinCount="100000" sqref="AF1892:AG1893" name="AF_AG_40"/>
    <protectedRange algorithmName="SHA-512" hashValue="xVHQb+m8TPrCupBSUPofR+4mBqbTXWKv8zWrwen32Akm8RblXJOWFy/Cy2P4w35dSJ+elIHPqNYqI9hLSfD6TQ==" saltValue="1vuIOlrMbfwb5AHSRxNcMw==" spinCount="100000" sqref="M1894:T1895" name="M_T_41"/>
    <protectedRange algorithmName="SHA-512" hashValue="jY96UnylzPd2vZkRLfM8XmmJGWFJSSTGviPCXzMTiv3QOzQIjhLd0w3jlLlozcwC8eGz4qqU/rnIYRCHborlOw==" saltValue="CqFUHF8Z4PJMj52R2Kx+yA==" spinCount="100000" sqref="AK1894:AL1895" name="FY2023_24 and FY2024_25_41"/>
    <protectedRange algorithmName="SHA-512" hashValue="LnnTiFHW88v+Lt/birpZCwnxW62fSr/gAkBSFlUfSgwdfFWdf99knSzHDeoMAIBP5f47zs9wPG8trApANE0a5A==" saltValue="YxL3gEWV5b0y4dkncLyqQQ==" spinCount="100000" sqref="W1894:AD1895" name="criteria_41"/>
    <protectedRange algorithmName="SHA-512" hashValue="8vlAHijakGcEe+uTbvEo8hCNUrc8oV0mPYVwLAtftdU3yRwsScROrfrNOwGt5fx3OSsSqzs+dvl7p3PJCgs5zA==" saltValue="Ip3QQ+Fe7ypKUoABAhonuA==" spinCount="100000" sqref="AF1894:AG1895" name="AF_AG_41"/>
    <protectedRange algorithmName="SHA-512" hashValue="xVHQb+m8TPrCupBSUPofR+4mBqbTXWKv8zWrwen32Akm8RblXJOWFy/Cy2P4w35dSJ+elIHPqNYqI9hLSfD6TQ==" saltValue="1vuIOlrMbfwb5AHSRxNcMw==" spinCount="100000" sqref="M1896:T1896" name="M_T_42"/>
    <protectedRange algorithmName="SHA-512" hashValue="jY96UnylzPd2vZkRLfM8XmmJGWFJSSTGviPCXzMTiv3QOzQIjhLd0w3jlLlozcwC8eGz4qqU/rnIYRCHborlOw==" saltValue="CqFUHF8Z4PJMj52R2Kx+yA==" spinCount="100000" sqref="AK1896:AL1896" name="FY2023_24 and FY2024_25_42"/>
    <protectedRange algorithmName="SHA-512" hashValue="LnnTiFHW88v+Lt/birpZCwnxW62fSr/gAkBSFlUfSgwdfFWdf99knSzHDeoMAIBP5f47zs9wPG8trApANE0a5A==" saltValue="YxL3gEWV5b0y4dkncLyqQQ==" spinCount="100000" sqref="W1896:AD1896" name="criteria_42"/>
    <protectedRange algorithmName="SHA-512" hashValue="8vlAHijakGcEe+uTbvEo8hCNUrc8oV0mPYVwLAtftdU3yRwsScROrfrNOwGt5fx3OSsSqzs+dvl7p3PJCgs5zA==" saltValue="Ip3QQ+Fe7ypKUoABAhonuA==" spinCount="100000" sqref="AF1896:AG1896" name="AF_AG_42"/>
    <protectedRange algorithmName="SHA-512" hashValue="xVHQb+m8TPrCupBSUPofR+4mBqbTXWKv8zWrwen32Akm8RblXJOWFy/Cy2P4w35dSJ+elIHPqNYqI9hLSfD6TQ==" saltValue="1vuIOlrMbfwb5AHSRxNcMw==" spinCount="100000" sqref="M1897:T1898" name="M_T_43"/>
    <protectedRange algorithmName="SHA-512" hashValue="jY96UnylzPd2vZkRLfM8XmmJGWFJSSTGviPCXzMTiv3QOzQIjhLd0w3jlLlozcwC8eGz4qqU/rnIYRCHborlOw==" saltValue="CqFUHF8Z4PJMj52R2Kx+yA==" spinCount="100000" sqref="AK1897:AL1898" name="FY2023_24 and FY2024_25_43"/>
    <protectedRange algorithmName="SHA-512" hashValue="LnnTiFHW88v+Lt/birpZCwnxW62fSr/gAkBSFlUfSgwdfFWdf99knSzHDeoMAIBP5f47zs9wPG8trApANE0a5A==" saltValue="YxL3gEWV5b0y4dkncLyqQQ==" spinCount="100000" sqref="W1897:AD1898" name="criteria_43"/>
    <protectedRange algorithmName="SHA-512" hashValue="8vlAHijakGcEe+uTbvEo8hCNUrc8oV0mPYVwLAtftdU3yRwsScROrfrNOwGt5fx3OSsSqzs+dvl7p3PJCgs5zA==" saltValue="Ip3QQ+Fe7ypKUoABAhonuA==" spinCount="100000" sqref="AF1897:AG1898" name="AF_AG_43"/>
    <protectedRange algorithmName="SHA-512" hashValue="xVHQb+m8TPrCupBSUPofR+4mBqbTXWKv8zWrwen32Akm8RblXJOWFy/Cy2P4w35dSJ+elIHPqNYqI9hLSfD6TQ==" saltValue="1vuIOlrMbfwb5AHSRxNcMw==" spinCount="100000" sqref="M1899:T1899" name="M_T_44"/>
    <protectedRange algorithmName="SHA-512" hashValue="jY96UnylzPd2vZkRLfM8XmmJGWFJSSTGviPCXzMTiv3QOzQIjhLd0w3jlLlozcwC8eGz4qqU/rnIYRCHborlOw==" saltValue="CqFUHF8Z4PJMj52R2Kx+yA==" spinCount="100000" sqref="AK1899:AL1899" name="FY2023_24 and FY2024_25_44"/>
    <protectedRange algorithmName="SHA-512" hashValue="LnnTiFHW88v+Lt/birpZCwnxW62fSr/gAkBSFlUfSgwdfFWdf99knSzHDeoMAIBP5f47zs9wPG8trApANE0a5A==" saltValue="YxL3gEWV5b0y4dkncLyqQQ==" spinCount="100000" sqref="W1899:AD1899" name="criteria_44"/>
    <protectedRange algorithmName="SHA-512" hashValue="8vlAHijakGcEe+uTbvEo8hCNUrc8oV0mPYVwLAtftdU3yRwsScROrfrNOwGt5fx3OSsSqzs+dvl7p3PJCgs5zA==" saltValue="Ip3QQ+Fe7ypKUoABAhonuA==" spinCount="100000" sqref="AF1899:AG1899" name="AF_AG_44"/>
    <protectedRange algorithmName="SHA-512" hashValue="xVHQb+m8TPrCupBSUPofR+4mBqbTXWKv8zWrwen32Akm8RblXJOWFy/Cy2P4w35dSJ+elIHPqNYqI9hLSfD6TQ==" saltValue="1vuIOlrMbfwb5AHSRxNcMw==" spinCount="100000" sqref="M1900:T1900" name="M_T_45"/>
    <protectedRange algorithmName="SHA-512" hashValue="jY96UnylzPd2vZkRLfM8XmmJGWFJSSTGviPCXzMTiv3QOzQIjhLd0w3jlLlozcwC8eGz4qqU/rnIYRCHborlOw==" saltValue="CqFUHF8Z4PJMj52R2Kx+yA==" spinCount="100000" sqref="AK1900:AL1900" name="FY2023_24 and FY2024_25_45"/>
    <protectedRange algorithmName="SHA-512" hashValue="LnnTiFHW88v+Lt/birpZCwnxW62fSr/gAkBSFlUfSgwdfFWdf99knSzHDeoMAIBP5f47zs9wPG8trApANE0a5A==" saltValue="YxL3gEWV5b0y4dkncLyqQQ==" spinCount="100000" sqref="W1900:AD1900" name="criteria_45"/>
    <protectedRange algorithmName="SHA-512" hashValue="8vlAHijakGcEe+uTbvEo8hCNUrc8oV0mPYVwLAtftdU3yRwsScROrfrNOwGt5fx3OSsSqzs+dvl7p3PJCgs5zA==" saltValue="Ip3QQ+Fe7ypKUoABAhonuA==" spinCount="100000" sqref="AF1900:AG1900" name="AF_AG_45"/>
    <protectedRange algorithmName="SHA-512" hashValue="xVHQb+m8TPrCupBSUPofR+4mBqbTXWKv8zWrwen32Akm8RblXJOWFy/Cy2P4w35dSJ+elIHPqNYqI9hLSfD6TQ==" saltValue="1vuIOlrMbfwb5AHSRxNcMw==" spinCount="100000" sqref="M1901:T1901" name="M_T_46"/>
    <protectedRange algorithmName="SHA-512" hashValue="jY96UnylzPd2vZkRLfM8XmmJGWFJSSTGviPCXzMTiv3QOzQIjhLd0w3jlLlozcwC8eGz4qqU/rnIYRCHborlOw==" saltValue="CqFUHF8Z4PJMj52R2Kx+yA==" spinCount="100000" sqref="AK1901:AL1901" name="FY2023_24 and FY2024_25_46"/>
    <protectedRange algorithmName="SHA-512" hashValue="LnnTiFHW88v+Lt/birpZCwnxW62fSr/gAkBSFlUfSgwdfFWdf99knSzHDeoMAIBP5f47zs9wPG8trApANE0a5A==" saltValue="YxL3gEWV5b0y4dkncLyqQQ==" spinCount="100000" sqref="W1901:AD1901" name="criteria_46"/>
    <protectedRange algorithmName="SHA-512" hashValue="8vlAHijakGcEe+uTbvEo8hCNUrc8oV0mPYVwLAtftdU3yRwsScROrfrNOwGt5fx3OSsSqzs+dvl7p3PJCgs5zA==" saltValue="Ip3QQ+Fe7ypKUoABAhonuA==" spinCount="100000" sqref="AF1901:AG1901" name="AF_AG_46"/>
    <protectedRange algorithmName="SHA-512" hashValue="xVHQb+m8TPrCupBSUPofR+4mBqbTXWKv8zWrwen32Akm8RblXJOWFy/Cy2P4w35dSJ+elIHPqNYqI9hLSfD6TQ==" saltValue="1vuIOlrMbfwb5AHSRxNcMw==" spinCount="100000" sqref="M1902:T1903" name="M_T_47"/>
    <protectedRange algorithmName="SHA-512" hashValue="jY96UnylzPd2vZkRLfM8XmmJGWFJSSTGviPCXzMTiv3QOzQIjhLd0w3jlLlozcwC8eGz4qqU/rnIYRCHborlOw==" saltValue="CqFUHF8Z4PJMj52R2Kx+yA==" spinCount="100000" sqref="AK1902:AL1903" name="FY2023_24 and FY2024_25_47"/>
    <protectedRange algorithmName="SHA-512" hashValue="LnnTiFHW88v+Lt/birpZCwnxW62fSr/gAkBSFlUfSgwdfFWdf99knSzHDeoMAIBP5f47zs9wPG8trApANE0a5A==" saltValue="YxL3gEWV5b0y4dkncLyqQQ==" spinCount="100000" sqref="W1902:AD1903" name="criteria_47"/>
    <protectedRange algorithmName="SHA-512" hashValue="8vlAHijakGcEe+uTbvEo8hCNUrc8oV0mPYVwLAtftdU3yRwsScROrfrNOwGt5fx3OSsSqzs+dvl7p3PJCgs5zA==" saltValue="Ip3QQ+Fe7ypKUoABAhonuA==" spinCount="100000" sqref="AF1902:AG1903" name="AF_AG_47"/>
    <protectedRange algorithmName="SHA-512" hashValue="xVHQb+m8TPrCupBSUPofR+4mBqbTXWKv8zWrwen32Akm8RblXJOWFy/Cy2P4w35dSJ+elIHPqNYqI9hLSfD6TQ==" saltValue="1vuIOlrMbfwb5AHSRxNcMw==" spinCount="100000" sqref="M1904:T1906" name="M_T_48"/>
    <protectedRange algorithmName="SHA-512" hashValue="jY96UnylzPd2vZkRLfM8XmmJGWFJSSTGviPCXzMTiv3QOzQIjhLd0w3jlLlozcwC8eGz4qqU/rnIYRCHborlOw==" saltValue="CqFUHF8Z4PJMj52R2Kx+yA==" spinCount="100000" sqref="AK1904:AL1906" name="FY2023_24 and FY2024_25_48"/>
    <protectedRange algorithmName="SHA-512" hashValue="LnnTiFHW88v+Lt/birpZCwnxW62fSr/gAkBSFlUfSgwdfFWdf99knSzHDeoMAIBP5f47zs9wPG8trApANE0a5A==" saltValue="YxL3gEWV5b0y4dkncLyqQQ==" spinCount="100000" sqref="W1904:AD1906" name="criteria_48"/>
    <protectedRange algorithmName="SHA-512" hashValue="8vlAHijakGcEe+uTbvEo8hCNUrc8oV0mPYVwLAtftdU3yRwsScROrfrNOwGt5fx3OSsSqzs+dvl7p3PJCgs5zA==" saltValue="Ip3QQ+Fe7ypKUoABAhonuA==" spinCount="100000" sqref="AF1904:AG1906" name="AF_AG_48"/>
    <protectedRange algorithmName="SHA-512" hashValue="xVHQb+m8TPrCupBSUPofR+4mBqbTXWKv8zWrwen32Akm8RblXJOWFy/Cy2P4w35dSJ+elIHPqNYqI9hLSfD6TQ==" saltValue="1vuIOlrMbfwb5AHSRxNcMw==" spinCount="100000" sqref="M1907:T1909" name="M_T_49"/>
    <protectedRange algorithmName="SHA-512" hashValue="jY96UnylzPd2vZkRLfM8XmmJGWFJSSTGviPCXzMTiv3QOzQIjhLd0w3jlLlozcwC8eGz4qqU/rnIYRCHborlOw==" saltValue="CqFUHF8Z4PJMj52R2Kx+yA==" spinCount="100000" sqref="AK1907:AL1909" name="FY2023_24 and FY2024_25_49"/>
    <protectedRange algorithmName="SHA-512" hashValue="LnnTiFHW88v+Lt/birpZCwnxW62fSr/gAkBSFlUfSgwdfFWdf99knSzHDeoMAIBP5f47zs9wPG8trApANE0a5A==" saltValue="YxL3gEWV5b0y4dkncLyqQQ==" spinCount="100000" sqref="W1907:AD1909" name="criteria_49"/>
    <protectedRange algorithmName="SHA-512" hashValue="8vlAHijakGcEe+uTbvEo8hCNUrc8oV0mPYVwLAtftdU3yRwsScROrfrNOwGt5fx3OSsSqzs+dvl7p3PJCgs5zA==" saltValue="Ip3QQ+Fe7ypKUoABAhonuA==" spinCount="100000" sqref="AF1907:AG1909" name="AF_AG_49"/>
    <protectedRange algorithmName="SHA-512" hashValue="xVHQb+m8TPrCupBSUPofR+4mBqbTXWKv8zWrwen32Akm8RblXJOWFy/Cy2P4w35dSJ+elIHPqNYqI9hLSfD6TQ==" saltValue="1vuIOlrMbfwb5AHSRxNcMw==" spinCount="100000" sqref="M1910:T1910" name="M_T_50"/>
    <protectedRange algorithmName="SHA-512" hashValue="jY96UnylzPd2vZkRLfM8XmmJGWFJSSTGviPCXzMTiv3QOzQIjhLd0w3jlLlozcwC8eGz4qqU/rnIYRCHborlOw==" saltValue="CqFUHF8Z4PJMj52R2Kx+yA==" spinCount="100000" sqref="AK1910:AL1910" name="FY2023_24 and FY2024_25_50"/>
    <protectedRange algorithmName="SHA-512" hashValue="LnnTiFHW88v+Lt/birpZCwnxW62fSr/gAkBSFlUfSgwdfFWdf99knSzHDeoMAIBP5f47zs9wPG8trApANE0a5A==" saltValue="YxL3gEWV5b0y4dkncLyqQQ==" spinCount="100000" sqref="W1910:AD1910" name="criteria_50"/>
    <protectedRange algorithmName="SHA-512" hashValue="8vlAHijakGcEe+uTbvEo8hCNUrc8oV0mPYVwLAtftdU3yRwsScROrfrNOwGt5fx3OSsSqzs+dvl7p3PJCgs5zA==" saltValue="Ip3QQ+Fe7ypKUoABAhonuA==" spinCount="100000" sqref="AF1910:AG1910" name="AF_AG_50"/>
    <protectedRange algorithmName="SHA-512" hashValue="xVHQb+m8TPrCupBSUPofR+4mBqbTXWKv8zWrwen32Akm8RblXJOWFy/Cy2P4w35dSJ+elIHPqNYqI9hLSfD6TQ==" saltValue="1vuIOlrMbfwb5AHSRxNcMw==" spinCount="100000" sqref="M1911:T1911" name="M_T_51"/>
    <protectedRange algorithmName="SHA-512" hashValue="jY96UnylzPd2vZkRLfM8XmmJGWFJSSTGviPCXzMTiv3QOzQIjhLd0w3jlLlozcwC8eGz4qqU/rnIYRCHborlOw==" saltValue="CqFUHF8Z4PJMj52R2Kx+yA==" spinCount="100000" sqref="AK1911:AL1911" name="FY2023_24 and FY2024_25_51"/>
    <protectedRange algorithmName="SHA-512" hashValue="LnnTiFHW88v+Lt/birpZCwnxW62fSr/gAkBSFlUfSgwdfFWdf99knSzHDeoMAIBP5f47zs9wPG8trApANE0a5A==" saltValue="YxL3gEWV5b0y4dkncLyqQQ==" spinCount="100000" sqref="W1911:AD1911" name="criteria_51"/>
    <protectedRange algorithmName="SHA-512" hashValue="8vlAHijakGcEe+uTbvEo8hCNUrc8oV0mPYVwLAtftdU3yRwsScROrfrNOwGt5fx3OSsSqzs+dvl7p3PJCgs5zA==" saltValue="Ip3QQ+Fe7ypKUoABAhonuA==" spinCount="100000" sqref="AF1911:AG1911" name="AF_AG_51"/>
    <protectedRange algorithmName="SHA-512" hashValue="xVHQb+m8TPrCupBSUPofR+4mBqbTXWKv8zWrwen32Akm8RblXJOWFy/Cy2P4w35dSJ+elIHPqNYqI9hLSfD6TQ==" saltValue="1vuIOlrMbfwb5AHSRxNcMw==" spinCount="100000" sqref="M1912:T1912" name="M_T_52"/>
    <protectedRange algorithmName="SHA-512" hashValue="jY96UnylzPd2vZkRLfM8XmmJGWFJSSTGviPCXzMTiv3QOzQIjhLd0w3jlLlozcwC8eGz4qqU/rnIYRCHborlOw==" saltValue="CqFUHF8Z4PJMj52R2Kx+yA==" spinCount="100000" sqref="AK1912:AL1912" name="FY2023_24 and FY2024_25_52"/>
    <protectedRange algorithmName="SHA-512" hashValue="LnnTiFHW88v+Lt/birpZCwnxW62fSr/gAkBSFlUfSgwdfFWdf99knSzHDeoMAIBP5f47zs9wPG8trApANE0a5A==" saltValue="YxL3gEWV5b0y4dkncLyqQQ==" spinCount="100000" sqref="W1912:AD1912" name="criteria_52"/>
    <protectedRange algorithmName="SHA-512" hashValue="8vlAHijakGcEe+uTbvEo8hCNUrc8oV0mPYVwLAtftdU3yRwsScROrfrNOwGt5fx3OSsSqzs+dvl7p3PJCgs5zA==" saltValue="Ip3QQ+Fe7ypKUoABAhonuA==" spinCount="100000" sqref="AF1912:AG1912" name="AF_AG_52"/>
    <protectedRange algorithmName="SHA-512" hashValue="xVHQb+m8TPrCupBSUPofR+4mBqbTXWKv8zWrwen32Akm8RblXJOWFy/Cy2P4w35dSJ+elIHPqNYqI9hLSfD6TQ==" saltValue="1vuIOlrMbfwb5AHSRxNcMw==" spinCount="100000" sqref="M1913:T1913" name="M_T_53"/>
    <protectedRange algorithmName="SHA-512" hashValue="jY96UnylzPd2vZkRLfM8XmmJGWFJSSTGviPCXzMTiv3QOzQIjhLd0w3jlLlozcwC8eGz4qqU/rnIYRCHborlOw==" saltValue="CqFUHF8Z4PJMj52R2Kx+yA==" spinCount="100000" sqref="AK1913:AL1913" name="FY2023_24 and FY2024_25_53"/>
    <protectedRange algorithmName="SHA-512" hashValue="LnnTiFHW88v+Lt/birpZCwnxW62fSr/gAkBSFlUfSgwdfFWdf99knSzHDeoMAIBP5f47zs9wPG8trApANE0a5A==" saltValue="YxL3gEWV5b0y4dkncLyqQQ==" spinCount="100000" sqref="W1913:AD1913" name="criteria_53"/>
    <protectedRange algorithmName="SHA-512" hashValue="8vlAHijakGcEe+uTbvEo8hCNUrc8oV0mPYVwLAtftdU3yRwsScROrfrNOwGt5fx3OSsSqzs+dvl7p3PJCgs5zA==" saltValue="Ip3QQ+Fe7ypKUoABAhonuA==" spinCount="100000" sqref="AF1913:AG1913" name="AF_AG_53"/>
    <protectedRange algorithmName="SHA-512" hashValue="xVHQb+m8TPrCupBSUPofR+4mBqbTXWKv8zWrwen32Akm8RblXJOWFy/Cy2P4w35dSJ+elIHPqNYqI9hLSfD6TQ==" saltValue="1vuIOlrMbfwb5AHSRxNcMw==" spinCount="100000" sqref="M1914:T1914" name="M_T_54"/>
    <protectedRange algorithmName="SHA-512" hashValue="jY96UnylzPd2vZkRLfM8XmmJGWFJSSTGviPCXzMTiv3QOzQIjhLd0w3jlLlozcwC8eGz4qqU/rnIYRCHborlOw==" saltValue="CqFUHF8Z4PJMj52R2Kx+yA==" spinCount="100000" sqref="AK1914:AL1914" name="FY2023_24 and FY2024_25_54"/>
    <protectedRange algorithmName="SHA-512" hashValue="LnnTiFHW88v+Lt/birpZCwnxW62fSr/gAkBSFlUfSgwdfFWdf99knSzHDeoMAIBP5f47zs9wPG8trApANE0a5A==" saltValue="YxL3gEWV5b0y4dkncLyqQQ==" spinCount="100000" sqref="W1914:AD1914" name="criteria_54"/>
    <protectedRange algorithmName="SHA-512" hashValue="8vlAHijakGcEe+uTbvEo8hCNUrc8oV0mPYVwLAtftdU3yRwsScROrfrNOwGt5fx3OSsSqzs+dvl7p3PJCgs5zA==" saltValue="Ip3QQ+Fe7ypKUoABAhonuA==" spinCount="100000" sqref="AF1914:AG1914" name="AF_AG_54"/>
    <protectedRange algorithmName="SHA-512" hashValue="xVHQb+m8TPrCupBSUPofR+4mBqbTXWKv8zWrwen32Akm8RblXJOWFy/Cy2P4w35dSJ+elIHPqNYqI9hLSfD6TQ==" saltValue="1vuIOlrMbfwb5AHSRxNcMw==" spinCount="100000" sqref="M1915:T1917" name="M_T_55"/>
    <protectedRange algorithmName="SHA-512" hashValue="jY96UnylzPd2vZkRLfM8XmmJGWFJSSTGviPCXzMTiv3QOzQIjhLd0w3jlLlozcwC8eGz4qqU/rnIYRCHborlOw==" saltValue="CqFUHF8Z4PJMj52R2Kx+yA==" spinCount="100000" sqref="AK1915:AL1917" name="FY2023_24 and FY2024_25_55"/>
    <protectedRange algorithmName="SHA-512" hashValue="LnnTiFHW88v+Lt/birpZCwnxW62fSr/gAkBSFlUfSgwdfFWdf99knSzHDeoMAIBP5f47zs9wPG8trApANE0a5A==" saltValue="YxL3gEWV5b0y4dkncLyqQQ==" spinCount="100000" sqref="W1915:AD1917" name="criteria_55"/>
    <protectedRange algorithmName="SHA-512" hashValue="8vlAHijakGcEe+uTbvEo8hCNUrc8oV0mPYVwLAtftdU3yRwsScROrfrNOwGt5fx3OSsSqzs+dvl7p3PJCgs5zA==" saltValue="Ip3QQ+Fe7ypKUoABAhonuA==" spinCount="100000" sqref="AF1915:AG1917" name="AF_AG_55"/>
    <protectedRange algorithmName="SHA-512" hashValue="xVHQb+m8TPrCupBSUPofR+4mBqbTXWKv8zWrwen32Akm8RblXJOWFy/Cy2P4w35dSJ+elIHPqNYqI9hLSfD6TQ==" saltValue="1vuIOlrMbfwb5AHSRxNcMw==" spinCount="100000" sqref="M1918:T1920" name="M_T_56"/>
    <protectedRange algorithmName="SHA-512" hashValue="jY96UnylzPd2vZkRLfM8XmmJGWFJSSTGviPCXzMTiv3QOzQIjhLd0w3jlLlozcwC8eGz4qqU/rnIYRCHborlOw==" saltValue="CqFUHF8Z4PJMj52R2Kx+yA==" spinCount="100000" sqref="AK1918:AL1920" name="FY2023_24 and FY2024_25_56"/>
    <protectedRange algorithmName="SHA-512" hashValue="LnnTiFHW88v+Lt/birpZCwnxW62fSr/gAkBSFlUfSgwdfFWdf99knSzHDeoMAIBP5f47zs9wPG8trApANE0a5A==" saltValue="YxL3gEWV5b0y4dkncLyqQQ==" spinCount="100000" sqref="W1918:AD1920" name="criteria_56"/>
    <protectedRange algorithmName="SHA-512" hashValue="8vlAHijakGcEe+uTbvEo8hCNUrc8oV0mPYVwLAtftdU3yRwsScROrfrNOwGt5fx3OSsSqzs+dvl7p3PJCgs5zA==" saltValue="Ip3QQ+Fe7ypKUoABAhonuA==" spinCount="100000" sqref="AF1918:AG1920" name="AF_AG_56"/>
    <protectedRange algorithmName="SHA-512" hashValue="jY96UnylzPd2vZkRLfM8XmmJGWFJSSTGviPCXzMTiv3QOzQIjhLd0w3jlLlozcwC8eGz4qqU/rnIYRCHborlOw==" saltValue="CqFUHF8Z4PJMj52R2Kx+yA==" spinCount="100000" sqref="AK1735:AL1737 AL1734 AL1738 AK1739:AL1745" name="FY2023_24 and FY2024_25_4_1_1"/>
    <protectedRange algorithmName="SHA-512" hashValue="xVHQb+m8TPrCupBSUPofR+4mBqbTXWKv8zWrwen32Akm8RblXJOWFy/Cy2P4w35dSJ+elIHPqNYqI9hLSfD6TQ==" saltValue="1vuIOlrMbfwb5AHSRxNcMw==" spinCount="100000" sqref="M1808:T1809" name="M_T_58"/>
    <protectedRange algorithmName="SHA-512" hashValue="jY96UnylzPd2vZkRLfM8XmmJGWFJSSTGviPCXzMTiv3QOzQIjhLd0w3jlLlozcwC8eGz4qqU/rnIYRCHborlOw==" saltValue="CqFUHF8Z4PJMj52R2Kx+yA==" spinCount="100000" sqref="AK1808:AL1809" name="FY2023_24 and FY2024_25_58"/>
    <protectedRange algorithmName="SHA-512" hashValue="LnnTiFHW88v+Lt/birpZCwnxW62fSr/gAkBSFlUfSgwdfFWdf99knSzHDeoMAIBP5f47zs9wPG8trApANE0a5A==" saltValue="YxL3gEWV5b0y4dkncLyqQQ==" spinCount="100000" sqref="W1808:AD1809" name="criteria_58"/>
    <protectedRange algorithmName="SHA-512" hashValue="8vlAHijakGcEe+uTbvEo8hCNUrc8oV0mPYVwLAtftdU3yRwsScROrfrNOwGt5fx3OSsSqzs+dvl7p3PJCgs5zA==" saltValue="Ip3QQ+Fe7ypKUoABAhonuA==" spinCount="100000" sqref="AF1808:AG1809" name="AF_AG_58"/>
    <protectedRange algorithmName="SHA-512" hashValue="xVHQb+m8TPrCupBSUPofR+4mBqbTXWKv8zWrwen32Akm8RblXJOWFy/Cy2P4w35dSJ+elIHPqNYqI9hLSfD6TQ==" saltValue="1vuIOlrMbfwb5AHSRxNcMw==" spinCount="100000" sqref="M1829:T1829" name="M_T_59"/>
    <protectedRange algorithmName="SHA-512" hashValue="jY96UnylzPd2vZkRLfM8XmmJGWFJSSTGviPCXzMTiv3QOzQIjhLd0w3jlLlozcwC8eGz4qqU/rnIYRCHborlOw==" saltValue="CqFUHF8Z4PJMj52R2Kx+yA==" spinCount="100000" sqref="AK1829:AL1829" name="FY2023_24 and FY2024_25_59"/>
    <protectedRange algorithmName="SHA-512" hashValue="8vlAHijakGcEe+uTbvEo8hCNUrc8oV0mPYVwLAtftdU3yRwsScROrfrNOwGt5fx3OSsSqzs+dvl7p3PJCgs5zA==" saltValue="Ip3QQ+Fe7ypKUoABAhonuA==" spinCount="100000" sqref="AF1829:AG1829" name="AF_AG_59"/>
    <protectedRange algorithmName="SHA-512" hashValue="xVHQb+m8TPrCupBSUPofR+4mBqbTXWKv8zWrwen32Akm8RblXJOWFy/Cy2P4w35dSJ+elIHPqNYqI9hLSfD6TQ==" saltValue="1vuIOlrMbfwb5AHSRxNcMw==" spinCount="100000" sqref="M1858:T1859" name="M_T_60"/>
    <protectedRange algorithmName="SHA-512" hashValue="jY96UnylzPd2vZkRLfM8XmmJGWFJSSTGviPCXzMTiv3QOzQIjhLd0w3jlLlozcwC8eGz4qqU/rnIYRCHborlOw==" saltValue="CqFUHF8Z4PJMj52R2Kx+yA==" spinCount="100000" sqref="AK1858:AL1859" name="FY2023_24 and FY2024_25_60"/>
    <protectedRange algorithmName="SHA-512" hashValue="8vlAHijakGcEe+uTbvEo8hCNUrc8oV0mPYVwLAtftdU3yRwsScROrfrNOwGt5fx3OSsSqzs+dvl7p3PJCgs5zA==" saltValue="Ip3QQ+Fe7ypKUoABAhonuA==" spinCount="100000" sqref="AF1858:AG1859" name="AF_AG_60"/>
    <protectedRange algorithmName="SHA-512" hashValue="xVHQb+m8TPrCupBSUPofR+4mBqbTXWKv8zWrwen32Akm8RblXJOWFy/Cy2P4w35dSJ+elIHPqNYqI9hLSfD6TQ==" saltValue="1vuIOlrMbfwb5AHSRxNcMw==" spinCount="100000" sqref="M1709:T1709" name="M_T_61"/>
    <protectedRange algorithmName="SHA-512" hashValue="jY96UnylzPd2vZkRLfM8XmmJGWFJSSTGviPCXzMTiv3QOzQIjhLd0w3jlLlozcwC8eGz4qqU/rnIYRCHborlOw==" saltValue="CqFUHF8Z4PJMj52R2Kx+yA==" spinCount="100000" sqref="AK1709:AL1709" name="FY2023_24 and FY2024_25_61"/>
    <protectedRange algorithmName="SHA-512" hashValue="8vlAHijakGcEe+uTbvEo8hCNUrc8oV0mPYVwLAtftdU3yRwsScROrfrNOwGt5fx3OSsSqzs+dvl7p3PJCgs5zA==" saltValue="Ip3QQ+Fe7ypKUoABAhonuA==" spinCount="100000" sqref="AF1709:AG1709" name="AF_AG_61"/>
    <protectedRange algorithmName="SHA-512" hashValue="xVHQb+m8TPrCupBSUPofR+4mBqbTXWKv8zWrwen32Akm8RblXJOWFy/Cy2P4w35dSJ+elIHPqNYqI9hLSfD6TQ==" saltValue="1vuIOlrMbfwb5AHSRxNcMw==" spinCount="100000" sqref="M1924:T2114" name="M_T_57"/>
    <protectedRange algorithmName="SHA-512" hashValue="jY96UnylzPd2vZkRLfM8XmmJGWFJSSTGviPCXzMTiv3QOzQIjhLd0w3jlLlozcwC8eGz4qqU/rnIYRCHborlOw==" saltValue="CqFUHF8Z4PJMj52R2Kx+yA==" spinCount="100000" sqref="AK1924:AL2114" name="FY2023_24 and FY2024_25_57"/>
    <protectedRange algorithmName="SHA-512" hashValue="LnnTiFHW88v+Lt/birpZCwnxW62fSr/gAkBSFlUfSgwdfFWdf99knSzHDeoMAIBP5f47zs9wPG8trApANE0a5A==" saltValue="YxL3gEWV5b0y4dkncLyqQQ==" spinCount="100000" sqref="W1924:AD2114" name="criteria_57"/>
    <protectedRange algorithmName="SHA-512" hashValue="8vlAHijakGcEe+uTbvEo8hCNUrc8oV0mPYVwLAtftdU3yRwsScROrfrNOwGt5fx3OSsSqzs+dvl7p3PJCgs5zA==" saltValue="Ip3QQ+Fe7ypKUoABAhonuA==" spinCount="100000" sqref="AF1924:AG2114" name="AF_AG_57"/>
    <protectedRange algorithmName="SHA-512" hashValue="nCaviusofFs+xAXTSjlO71BGcSPnfoHZDAYiz3Ilw6LtgwR+vDnW3+2cvi3VR0TXhe4heBh/AXhBSmC85SXJWA==" saltValue="x+jnLsaUjvHb8tijmdPUdA==" spinCount="100000" sqref="M2118:T2261" name="M_T_62"/>
    <protectedRange algorithmName="SHA-512" hashValue="jY96UnylzPd2vZkRLfM8XmmJGWFJSSTGviPCXzMTiv3QOzQIjhLd0w3jlLlozcwC8eGz4qqU/rnIYRCHborlOw==" saltValue="CqFUHF8Z4PJMj52R2Kx+yA==" spinCount="100000" sqref="AK2118:AL2261" name="FY2023_24 and FY2024_25_62"/>
    <protectedRange algorithmName="SHA-512" hashValue="LnnTiFHW88v+Lt/birpZCwnxW62fSr/gAkBSFlUfSgwdfFWdf99knSzHDeoMAIBP5f47zs9wPG8trApANE0a5A==" saltValue="YxL3gEWV5b0y4dkncLyqQQ==" spinCount="100000" sqref="W2118:AD2261" name="criteria_59"/>
    <protectedRange algorithmName="SHA-512" hashValue="8vlAHijakGcEe+uTbvEo8hCNUrc8oV0mPYVwLAtftdU3yRwsScROrfrNOwGt5fx3OSsSqzs+dvl7p3PJCgs5zA==" saltValue="Ip3QQ+Fe7ypKUoABAhonuA==" spinCount="100000" sqref="AF2118:AG2261" name="AF_AG_62"/>
    <protectedRange password="A560" sqref="M2265:T2518" name="M_T_63"/>
    <protectedRange password="A560" sqref="AK2265:AL2518" name="FY2023_24 and FY2024_25_63"/>
    <protectedRange password="A560" sqref="W2265:AD2518" name="criteria_60"/>
    <protectedRange password="A560" sqref="AF2265:AG2518" name="AF_AG_63"/>
    <protectedRange algorithmName="SHA-512" hashValue="xVHQb+m8TPrCupBSUPofR+4mBqbTXWKv8zWrwen32Akm8RblXJOWFy/Cy2P4w35dSJ+elIHPqNYqI9hLSfD6TQ==" saltValue="1vuIOlrMbfwb5AHSRxNcMw==" spinCount="100000" sqref="M2522:T2748" name="M_T_64"/>
    <protectedRange algorithmName="SHA-512" hashValue="jY96UnylzPd2vZkRLfM8XmmJGWFJSSTGviPCXzMTiv3QOzQIjhLd0w3jlLlozcwC8eGz4qqU/rnIYRCHborlOw==" saltValue="CqFUHF8Z4PJMj52R2Kx+yA==" spinCount="100000" sqref="AK2522:AL2748" name="FY2023_24 and FY2024_25_64"/>
    <protectedRange algorithmName="SHA-512" hashValue="LnnTiFHW88v+Lt/birpZCwnxW62fSr/gAkBSFlUfSgwdfFWdf99knSzHDeoMAIBP5f47zs9wPG8trApANE0a5A==" saltValue="YxL3gEWV5b0y4dkncLyqQQ==" spinCount="100000" sqref="W2522:AD2748" name="criteria_61"/>
    <protectedRange algorithmName="SHA-512" hashValue="8vlAHijakGcEe+uTbvEo8hCNUrc8oV0mPYVwLAtftdU3yRwsScROrfrNOwGt5fx3OSsSqzs+dvl7p3PJCgs5zA==" saltValue="Ip3QQ+Fe7ypKUoABAhonuA==" spinCount="100000" sqref="AF2522:AG2748" name="AF_AG_64"/>
    <protectedRange algorithmName="SHA-512" hashValue="xVHQb+m8TPrCupBSUPofR+4mBqbTXWKv8zWrwen32Akm8RblXJOWFy/Cy2P4w35dSJ+elIHPqNYqI9hLSfD6TQ==" saltValue="1vuIOlrMbfwb5AHSRxNcMw==" spinCount="100000" sqref="M2752:T2897" name="M_T_65"/>
    <protectedRange algorithmName="SHA-512" hashValue="jY96UnylzPd2vZkRLfM8XmmJGWFJSSTGviPCXzMTiv3QOzQIjhLd0w3jlLlozcwC8eGz4qqU/rnIYRCHborlOw==" saltValue="CqFUHF8Z4PJMj52R2Kx+yA==" spinCount="100000" sqref="AK2752:AL2897" name="FY2023_24 and FY2024_25_65"/>
    <protectedRange algorithmName="SHA-512" hashValue="LnnTiFHW88v+Lt/birpZCwnxW62fSr/gAkBSFlUfSgwdfFWdf99knSzHDeoMAIBP5f47zs9wPG8trApANE0a5A==" saltValue="YxL3gEWV5b0y4dkncLyqQQ==" spinCount="100000" sqref="W2752:AD2897" name="criteria_62"/>
    <protectedRange algorithmName="SHA-512" hashValue="8vlAHijakGcEe+uTbvEo8hCNUrc8oV0mPYVwLAtftdU3yRwsScROrfrNOwGt5fx3OSsSqzs+dvl7p3PJCgs5zA==" saltValue="Ip3QQ+Fe7ypKUoABAhonuA==" spinCount="100000" sqref="AF2752:AG2897" name="AF_AG_65"/>
    <protectedRange algorithmName="SHA-512" hashValue="GDGS2TaAIYjNLSb20yoJWy4wOtkxoK96tcSezZFmNyBfEtOD6Itcj7oFiFWSAExgraAeeltEy8korcVadUXtFw==" saltValue="9O/DYZ74VDJcHNVjXajmaQ==" spinCount="100000" sqref="AF3030:AG3145 AF3169:AG3562" name="AF_AG_66"/>
    <protectedRange algorithmName="SHA-512" hashValue="eCX2jS+NAQ2BFAW7jagPr/3n72rJjgTGAzklK4MiSbKADLLLz2vWY4bhLX9o0jA1yv3+DN1xcmeljIECcjzTMg==" saltValue="1vAJKwGWpYwe9XB3h3i16g==" spinCount="100000" sqref="W3030:AD3145 AD3169:AD3562 W3169:AC3554 W3556:AC3562" name="criteria_63"/>
    <protectedRange algorithmName="SHA-512" hashValue="gVyKTAfvvIYbPepVUMvTsFeBIUJPaCjRmK6fuQPUK7glFNKZh52H/DkLf8HYjLX/Ew5VIgMONTUvKIMf5aSK5Q==" saltValue="hDIznH+VzQSbuDvpokIu6g==" spinCount="100000" sqref="AK3030:AL3036 AK3169:AL3562 AK3038:AL3118 AK3120:AL3145" name="FY2023_24 and FY2024_25_66"/>
    <protectedRange algorithmName="SHA-512" hashValue="RqWbCaHYYURZomQEW4YKDnNUioCJwQ0yqWqCuHP+pF3XMenTGCTgzBUmk76Ykrxq++qdTeCJ/G4K25Kpy89CRw==" saltValue="24WyVratIrocb7mJrbarzA==" spinCount="100000" sqref="M2901:T3584" name="M_T_66"/>
    <protectedRange algorithmName="SHA-512" hashValue="eCX2jS+NAQ2BFAW7jagPr/3n72rJjgTGAzklK4MiSbKADLLLz2vWY4bhLX9o0jA1yv3+DN1xcmeljIECcjzTMg==" saltValue="1vAJKwGWpYwe9XB3h3i16g==" spinCount="100000" sqref="W2901:AD3029" name="criteria_2_2"/>
    <protectedRange algorithmName="SHA-512" hashValue="gVyKTAfvvIYbPepVUMvTsFeBIUJPaCjRmK6fuQPUK7glFNKZh52H/DkLf8HYjLX/Ew5VIgMONTUvKIMf5aSK5Q==" saltValue="hDIznH+VzQSbuDvpokIu6g==" spinCount="100000" sqref="AK2901:AL3029" name="FY2023_24 and FY2024_25_3_2"/>
    <protectedRange algorithmName="SHA-512" hashValue="eCX2jS+NAQ2BFAW7jagPr/3n72rJjgTGAzklK4MiSbKADLLLz2vWY4bhLX9o0jA1yv3+DN1xcmeljIECcjzTMg==" saltValue="1vAJKwGWpYwe9XB3h3i16g==" spinCount="100000" sqref="W3146:AD3168" name="criteria_4_2"/>
    <protectedRange algorithmName="SHA-512" hashValue="GDGS2TaAIYjNLSb20yoJWy4wOtkxoK96tcSezZFmNyBfEtOD6Itcj7oFiFWSAExgraAeeltEy8korcVadUXtFw==" saltValue="9O/DYZ74VDJcHNVjXajmaQ==" spinCount="100000" sqref="AF3146:AG3168" name="AF_AG_1_2"/>
    <protectedRange algorithmName="SHA-512" hashValue="gVyKTAfvvIYbPepVUMvTsFeBIUJPaCjRmK6fuQPUK7glFNKZh52H/DkLf8HYjLX/Ew5VIgMONTUvKIMf5aSK5Q==" saltValue="hDIznH+VzQSbuDvpokIu6g==" spinCount="100000" sqref="AK3146:AL3168" name="FY2023_24 and FY2024_25_5_2"/>
    <protectedRange algorithmName="SHA-512" hashValue="GDGS2TaAIYjNLSb20yoJWy4wOtkxoK96tcSezZFmNyBfEtOD6Itcj7oFiFWSAExgraAeeltEy8korcVadUXtFw==" saltValue="9O/DYZ74VDJcHNVjXajmaQ==" spinCount="100000" sqref="AF2901:AG3029" name="AF_AG_2_2"/>
    <protectedRange algorithmName="SHA-512" hashValue="eCX2jS+NAQ2BFAW7jagPr/3n72rJjgTGAzklK4MiSbKADLLLz2vWY4bhLX9o0jA1yv3+DN1xcmeljIECcjzTMg==" saltValue="1vAJKwGWpYwe9XB3h3i16g==" spinCount="100000" sqref="W3563:AD3584" name="criteria_5_2"/>
    <protectedRange algorithmName="SHA-512" hashValue="GDGS2TaAIYjNLSb20yoJWy4wOtkxoK96tcSezZFmNyBfEtOD6Itcj7oFiFWSAExgraAeeltEy8korcVadUXtFw==" saltValue="9O/DYZ74VDJcHNVjXajmaQ==" spinCount="100000" sqref="AG3563:AG3584 AF3563 AF3565:AF3584" name="AF_AG_3_2"/>
    <protectedRange algorithmName="SHA-512" hashValue="gVyKTAfvvIYbPepVUMvTsFeBIUJPaCjRmK6fuQPUK7glFNKZh52H/DkLf8HYjLX/Ew5VIgMONTUvKIMf5aSK5Q==" saltValue="hDIznH+VzQSbuDvpokIu6g==" spinCount="100000" sqref="AK3563:AL3584" name="FY2023_24 and FY2024_25_6_2"/>
    <protectedRange algorithmName="SHA-512" hashValue="gVyKTAfvvIYbPepVUMvTsFeBIUJPaCjRmK6fuQPUK7glFNKZh52H/DkLf8HYjLX/Ew5VIgMONTUvKIMf5aSK5Q==" saltValue="hDIznH+VzQSbuDvpokIu6g==" spinCount="100000" sqref="AK3037:AL3037" name="FY2023_24 and FY2024_25_2_3"/>
    <protectedRange algorithmName="SHA-512" hashValue="gVyKTAfvvIYbPepVUMvTsFeBIUJPaCjRmK6fuQPUK7glFNKZh52H/DkLf8HYjLX/Ew5VIgMONTUvKIMf5aSK5Q==" saltValue="hDIznH+VzQSbuDvpokIu6g==" spinCount="100000" sqref="AK3119:AL3119" name="FY2023_24 and FY2024_25_2_2_1"/>
  </protectedRanges>
  <autoFilter ref="A2:AP3584" xr:uid="{4740C55B-3EBD-4343-8ED7-4EEEF9DD2451}">
    <filterColumn colId="30">
      <colorFilter dxfId="213"/>
    </filterColumn>
  </autoFilter>
  <mergeCells count="1">
    <mergeCell ref="W1:AG1"/>
  </mergeCells>
  <conditionalFormatting sqref="AE6:AE325">
    <cfRule type="cellIs" dxfId="110" priority="111" operator="greaterThanOrEqual">
      <formula>75%</formula>
    </cfRule>
  </conditionalFormatting>
  <conditionalFormatting sqref="AE6:AE325">
    <cfRule type="cellIs" dxfId="109" priority="109" operator="lessThanOrEqual">
      <formula>50%</formula>
    </cfRule>
    <cfRule type="cellIs" dxfId="108" priority="110" operator="between">
      <formula>50.1%</formula>
      <formula>74.9%</formula>
    </cfRule>
  </conditionalFormatting>
  <conditionalFormatting sqref="AE3:AE5">
    <cfRule type="cellIs" dxfId="107" priority="108" operator="greaterThanOrEqual">
      <formula>75%</formula>
    </cfRule>
  </conditionalFormatting>
  <conditionalFormatting sqref="AE3:AE5">
    <cfRule type="cellIs" dxfId="106" priority="106" operator="lessThanOrEqual">
      <formula>50%</formula>
    </cfRule>
    <cfRule type="cellIs" dxfId="105" priority="107" operator="between">
      <formula>50.1%</formula>
      <formula>74.9%</formula>
    </cfRule>
  </conditionalFormatting>
  <conditionalFormatting sqref="AE329:AE448">
    <cfRule type="cellIs" dxfId="104" priority="105" operator="greaterThanOrEqual">
      <formula>75%</formula>
    </cfRule>
  </conditionalFormatting>
  <conditionalFormatting sqref="AE329:AE448">
    <cfRule type="cellIs" dxfId="103" priority="103" operator="lessThanOrEqual">
      <formula>50%</formula>
    </cfRule>
    <cfRule type="cellIs" dxfId="102" priority="104" operator="between">
      <formula>50.1%</formula>
      <formula>74.9%</formula>
    </cfRule>
  </conditionalFormatting>
  <conditionalFormatting sqref="AE326:AE328">
    <cfRule type="cellIs" dxfId="101" priority="102" operator="greaterThanOrEqual">
      <formula>75%</formula>
    </cfRule>
  </conditionalFormatting>
  <conditionalFormatting sqref="AE326:AE328">
    <cfRule type="cellIs" dxfId="100" priority="100" operator="lessThanOrEqual">
      <formula>50%</formula>
    </cfRule>
    <cfRule type="cellIs" dxfId="99" priority="101" operator="between">
      <formula>50.1%</formula>
      <formula>74.9%</formula>
    </cfRule>
  </conditionalFormatting>
  <conditionalFormatting sqref="AE452:AE605">
    <cfRule type="cellIs" dxfId="98" priority="99" operator="greaterThanOrEqual">
      <formula>75%</formula>
    </cfRule>
  </conditionalFormatting>
  <conditionalFormatting sqref="AE452:AE605">
    <cfRule type="cellIs" dxfId="97" priority="97" operator="lessThanOrEqual">
      <formula>50%</formula>
    </cfRule>
    <cfRule type="cellIs" dxfId="96" priority="98" operator="between">
      <formula>50.1%</formula>
      <formula>74.9%</formula>
    </cfRule>
  </conditionalFormatting>
  <conditionalFormatting sqref="AE449:AE451">
    <cfRule type="cellIs" dxfId="95" priority="96" operator="greaterThanOrEqual">
      <formula>75%</formula>
    </cfRule>
  </conditionalFormatting>
  <conditionalFormatting sqref="AE449:AE451">
    <cfRule type="cellIs" dxfId="94" priority="94" operator="lessThanOrEqual">
      <formula>50%</formula>
    </cfRule>
    <cfRule type="cellIs" dxfId="93" priority="95" operator="between">
      <formula>50.1%</formula>
      <formula>74.9%</formula>
    </cfRule>
  </conditionalFormatting>
  <conditionalFormatting sqref="AE609:AE844">
    <cfRule type="cellIs" dxfId="92" priority="93" operator="greaterThanOrEqual">
      <formula>75%</formula>
    </cfRule>
  </conditionalFormatting>
  <conditionalFormatting sqref="AE609:AE844">
    <cfRule type="cellIs" dxfId="91" priority="91" operator="lessThanOrEqual">
      <formula>50%</formula>
    </cfRule>
    <cfRule type="cellIs" dxfId="90" priority="92" operator="between">
      <formula>50.1%</formula>
      <formula>74.9%</formula>
    </cfRule>
  </conditionalFormatting>
  <conditionalFormatting sqref="AE606:AE608">
    <cfRule type="cellIs" dxfId="89" priority="90" operator="greaterThanOrEqual">
      <formula>75%</formula>
    </cfRule>
  </conditionalFormatting>
  <conditionalFormatting sqref="AE606:AE608">
    <cfRule type="cellIs" dxfId="88" priority="88" operator="lessThanOrEqual">
      <formula>50%</formula>
    </cfRule>
    <cfRule type="cellIs" dxfId="87" priority="89" operator="between">
      <formula>50.1%</formula>
      <formula>74.9%</formula>
    </cfRule>
  </conditionalFormatting>
  <conditionalFormatting sqref="AE848:AE894">
    <cfRule type="cellIs" dxfId="86" priority="87" operator="greaterThanOrEqual">
      <formula>75%</formula>
    </cfRule>
  </conditionalFormatting>
  <conditionalFormatting sqref="AE848:AE894">
    <cfRule type="cellIs" dxfId="85" priority="85" operator="lessThanOrEqual">
      <formula>50%</formula>
    </cfRule>
    <cfRule type="cellIs" dxfId="84" priority="86" operator="between">
      <formula>50.1%</formula>
      <formula>74.9%</formula>
    </cfRule>
  </conditionalFormatting>
  <conditionalFormatting sqref="AE845:AE847">
    <cfRule type="cellIs" dxfId="83" priority="84" operator="greaterThanOrEqual">
      <formula>75%</formula>
    </cfRule>
  </conditionalFormatting>
  <conditionalFormatting sqref="AE845:AE847">
    <cfRule type="cellIs" dxfId="82" priority="82" operator="lessThanOrEqual">
      <formula>50%</formula>
    </cfRule>
    <cfRule type="cellIs" dxfId="81" priority="83" operator="between">
      <formula>50.1%</formula>
      <formula>74.9%</formula>
    </cfRule>
  </conditionalFormatting>
  <conditionalFormatting sqref="AE898:AE1091">
    <cfRule type="cellIs" dxfId="80" priority="81" operator="greaterThanOrEqual">
      <formula>75%</formula>
    </cfRule>
  </conditionalFormatting>
  <conditionalFormatting sqref="AE898:AE1091">
    <cfRule type="cellIs" dxfId="79" priority="79" operator="lessThanOrEqual">
      <formula>50%</formula>
    </cfRule>
    <cfRule type="cellIs" dxfId="78" priority="80" operator="between">
      <formula>50.1%</formula>
      <formula>74.9%</formula>
    </cfRule>
  </conditionalFormatting>
  <conditionalFormatting sqref="AE895:AE897">
    <cfRule type="cellIs" dxfId="77" priority="78" operator="greaterThanOrEqual">
      <formula>75%</formula>
    </cfRule>
  </conditionalFormatting>
  <conditionalFormatting sqref="AE895:AE897">
    <cfRule type="cellIs" dxfId="76" priority="76" operator="lessThanOrEqual">
      <formula>50%</formula>
    </cfRule>
    <cfRule type="cellIs" dxfId="75" priority="77" operator="between">
      <formula>50.1%</formula>
      <formula>74.9%</formula>
    </cfRule>
  </conditionalFormatting>
  <conditionalFormatting sqref="AE1095:AE1308">
    <cfRule type="cellIs" dxfId="74" priority="75" operator="greaterThanOrEqual">
      <formula>75%</formula>
    </cfRule>
  </conditionalFormatting>
  <conditionalFormatting sqref="AE1095:AE1308">
    <cfRule type="cellIs" dxfId="73" priority="73" operator="lessThanOrEqual">
      <formula>50%</formula>
    </cfRule>
    <cfRule type="cellIs" dxfId="72" priority="74" operator="between">
      <formula>50.1%</formula>
      <formula>74.9%</formula>
    </cfRule>
  </conditionalFormatting>
  <conditionalFormatting sqref="AE1092:AE1094">
    <cfRule type="cellIs" dxfId="71" priority="72" operator="greaterThanOrEqual">
      <formula>75%</formula>
    </cfRule>
  </conditionalFormatting>
  <conditionalFormatting sqref="AE1092:AE1094">
    <cfRule type="cellIs" dxfId="70" priority="70" operator="lessThanOrEqual">
      <formula>50%</formula>
    </cfRule>
    <cfRule type="cellIs" dxfId="69" priority="71" operator="between">
      <formula>50.1%</formula>
      <formula>74.9%</formula>
    </cfRule>
  </conditionalFormatting>
  <conditionalFormatting sqref="AE1312:AE1400">
    <cfRule type="cellIs" dxfId="68" priority="69" operator="greaterThanOrEqual">
      <formula>75%</formula>
    </cfRule>
  </conditionalFormatting>
  <conditionalFormatting sqref="AE1312:AE1400">
    <cfRule type="cellIs" dxfId="67" priority="67" operator="lessThanOrEqual">
      <formula>50%</formula>
    </cfRule>
    <cfRule type="cellIs" dxfId="66" priority="68" operator="between">
      <formula>50.1%</formula>
      <formula>74.9%</formula>
    </cfRule>
  </conditionalFormatting>
  <conditionalFormatting sqref="AE1309:AE1311">
    <cfRule type="cellIs" dxfId="65" priority="66" operator="greaterThanOrEqual">
      <formula>75%</formula>
    </cfRule>
  </conditionalFormatting>
  <conditionalFormatting sqref="AE1309:AE1311">
    <cfRule type="cellIs" dxfId="64" priority="64" operator="lessThanOrEqual">
      <formula>50%</formula>
    </cfRule>
    <cfRule type="cellIs" dxfId="63" priority="65" operator="between">
      <formula>50.1%</formula>
      <formula>74.9%</formula>
    </cfRule>
  </conditionalFormatting>
  <conditionalFormatting sqref="AE1405:AE1701">
    <cfRule type="cellIs" dxfId="62" priority="63" operator="greaterThanOrEqual">
      <formula>75%</formula>
    </cfRule>
  </conditionalFormatting>
  <conditionalFormatting sqref="AE1405:AE1701">
    <cfRule type="cellIs" dxfId="61" priority="61" operator="lessThanOrEqual">
      <formula>50%</formula>
    </cfRule>
    <cfRule type="cellIs" dxfId="60" priority="62" operator="between">
      <formula>50.1%</formula>
      <formula>74.9%</formula>
    </cfRule>
  </conditionalFormatting>
  <conditionalFormatting sqref="AE1401:AE1404">
    <cfRule type="cellIs" dxfId="59" priority="60" operator="greaterThanOrEqual">
      <formula>75%</formula>
    </cfRule>
  </conditionalFormatting>
  <conditionalFormatting sqref="AE1401:AE1404">
    <cfRule type="cellIs" dxfId="58" priority="58" operator="lessThanOrEqual">
      <formula>50%</formula>
    </cfRule>
    <cfRule type="cellIs" dxfId="57" priority="59" operator="between">
      <formula>50.1%</formula>
      <formula>74.9%</formula>
    </cfRule>
  </conditionalFormatting>
  <conditionalFormatting sqref="AE1705:AE1708 AE1810:AE1828 AE1860:AE1920 AE1710:AE1744 AE1746:AE1807 AE1830:AE1857">
    <cfRule type="cellIs" dxfId="56" priority="57" operator="greaterThanOrEqual">
      <formula>75%</formula>
    </cfRule>
  </conditionalFormatting>
  <conditionalFormatting sqref="AE1705:AE1708 AE1810:AE1828 AE1860:AE1920 AE1710:AE1744 AE1746:AE1807 AE1830:AE1857">
    <cfRule type="cellIs" dxfId="55" priority="55" operator="lessThanOrEqual">
      <formula>50%</formula>
    </cfRule>
    <cfRule type="cellIs" dxfId="54" priority="56" operator="between">
      <formula>50.1%</formula>
      <formula>74.9%</formula>
    </cfRule>
  </conditionalFormatting>
  <conditionalFormatting sqref="AE1702:AE1704">
    <cfRule type="cellIs" dxfId="53" priority="54" operator="greaterThanOrEqual">
      <formula>75%</formula>
    </cfRule>
  </conditionalFormatting>
  <conditionalFormatting sqref="AE1702:AE1704">
    <cfRule type="cellIs" dxfId="52" priority="52" operator="lessThanOrEqual">
      <formula>50%</formula>
    </cfRule>
    <cfRule type="cellIs" dxfId="51" priority="53" operator="between">
      <formula>50.1%</formula>
      <formula>74.9%</formula>
    </cfRule>
  </conditionalFormatting>
  <conditionalFormatting sqref="AE1808:AE1809">
    <cfRule type="cellIs" dxfId="50" priority="51" operator="greaterThanOrEqual">
      <formula>75%</formula>
    </cfRule>
  </conditionalFormatting>
  <conditionalFormatting sqref="AE1808:AE1809">
    <cfRule type="cellIs" dxfId="49" priority="49" operator="lessThanOrEqual">
      <formula>50%</formula>
    </cfRule>
    <cfRule type="cellIs" dxfId="48" priority="50" operator="between">
      <formula>50.1%</formula>
      <formula>74.9%</formula>
    </cfRule>
  </conditionalFormatting>
  <conditionalFormatting sqref="AE1829">
    <cfRule type="cellIs" dxfId="47" priority="48" operator="greaterThanOrEqual">
      <formula>75%</formula>
    </cfRule>
  </conditionalFormatting>
  <conditionalFormatting sqref="AE1829">
    <cfRule type="cellIs" dxfId="46" priority="46" operator="lessThanOrEqual">
      <formula>50%</formula>
    </cfRule>
    <cfRule type="cellIs" dxfId="45" priority="47" operator="between">
      <formula>50.1%</formula>
      <formula>74.9%</formula>
    </cfRule>
  </conditionalFormatting>
  <conditionalFormatting sqref="AE1858:AE1859">
    <cfRule type="cellIs" dxfId="44" priority="45" operator="greaterThanOrEqual">
      <formula>75%</formula>
    </cfRule>
  </conditionalFormatting>
  <conditionalFormatting sqref="AE1858:AE1859">
    <cfRule type="cellIs" dxfId="43" priority="43" operator="lessThanOrEqual">
      <formula>50%</formula>
    </cfRule>
    <cfRule type="cellIs" dxfId="42" priority="44" operator="between">
      <formula>50.1%</formula>
      <formula>74.9%</formula>
    </cfRule>
  </conditionalFormatting>
  <conditionalFormatting sqref="AE1709">
    <cfRule type="cellIs" dxfId="41" priority="42" operator="greaterThanOrEqual">
      <formula>75%</formula>
    </cfRule>
  </conditionalFormatting>
  <conditionalFormatting sqref="AE1709">
    <cfRule type="cellIs" dxfId="40" priority="40" operator="lessThanOrEqual">
      <formula>50%</formula>
    </cfRule>
    <cfRule type="cellIs" dxfId="39" priority="41" operator="between">
      <formula>50.1%</formula>
      <formula>74.9%</formula>
    </cfRule>
  </conditionalFormatting>
  <conditionalFormatting sqref="AE1745">
    <cfRule type="cellIs" dxfId="38" priority="39" operator="greaterThanOrEqual">
      <formula>75%</formula>
    </cfRule>
  </conditionalFormatting>
  <conditionalFormatting sqref="AE1745">
    <cfRule type="cellIs" dxfId="37" priority="37" operator="lessThanOrEqual">
      <formula>50%</formula>
    </cfRule>
    <cfRule type="cellIs" dxfId="36" priority="38" operator="between">
      <formula>50.1%</formula>
      <formula>74.9%</formula>
    </cfRule>
  </conditionalFormatting>
  <conditionalFormatting sqref="AE1924:AE2114">
    <cfRule type="cellIs" dxfId="35" priority="36" operator="greaterThanOrEqual">
      <formula>75%</formula>
    </cfRule>
  </conditionalFormatting>
  <conditionalFormatting sqref="AE1924:AE2114">
    <cfRule type="cellIs" dxfId="34" priority="34" operator="lessThanOrEqual">
      <formula>50%</formula>
    </cfRule>
    <cfRule type="cellIs" dxfId="33" priority="35" operator="between">
      <formula>50.1%</formula>
      <formula>74.9%</formula>
    </cfRule>
  </conditionalFormatting>
  <conditionalFormatting sqref="AE1921:AE1923">
    <cfRule type="cellIs" dxfId="32" priority="33" operator="greaterThanOrEqual">
      <formula>75%</formula>
    </cfRule>
  </conditionalFormatting>
  <conditionalFormatting sqref="AE1921:AE1923">
    <cfRule type="cellIs" dxfId="31" priority="31" operator="lessThanOrEqual">
      <formula>50%</formula>
    </cfRule>
    <cfRule type="cellIs" dxfId="30" priority="32" operator="between">
      <formula>50.1%</formula>
      <formula>74.9%</formula>
    </cfRule>
  </conditionalFormatting>
  <conditionalFormatting sqref="AE2118:AE2261">
    <cfRule type="cellIs" dxfId="29" priority="30" operator="greaterThanOrEqual">
      <formula>75%</formula>
    </cfRule>
  </conditionalFormatting>
  <conditionalFormatting sqref="AE2118:AE2261">
    <cfRule type="cellIs" dxfId="28" priority="28" operator="lessThanOrEqual">
      <formula>50%</formula>
    </cfRule>
    <cfRule type="cellIs" dxfId="27" priority="29" operator="between">
      <formula>50.1%</formula>
      <formula>74.9%</formula>
    </cfRule>
  </conditionalFormatting>
  <conditionalFormatting sqref="AE2115:AE2117">
    <cfRule type="cellIs" dxfId="26" priority="27" operator="greaterThanOrEqual">
      <formula>75%</formula>
    </cfRule>
  </conditionalFormatting>
  <conditionalFormatting sqref="AE2115:AE2117">
    <cfRule type="cellIs" dxfId="25" priority="25" operator="lessThanOrEqual">
      <formula>50%</formula>
    </cfRule>
    <cfRule type="cellIs" dxfId="24" priority="26" operator="between">
      <formula>50.1%</formula>
      <formula>74.9%</formula>
    </cfRule>
  </conditionalFormatting>
  <conditionalFormatting sqref="AE2265:AE2518">
    <cfRule type="cellIs" dxfId="23" priority="24" operator="greaterThanOrEqual">
      <formula>75%</formula>
    </cfRule>
  </conditionalFormatting>
  <conditionalFormatting sqref="AE2265:AE2518">
    <cfRule type="cellIs" dxfId="22" priority="22" operator="lessThanOrEqual">
      <formula>50%</formula>
    </cfRule>
    <cfRule type="cellIs" dxfId="21" priority="23" operator="between">
      <formula>50.1%</formula>
      <formula>74.9%</formula>
    </cfRule>
  </conditionalFormatting>
  <conditionalFormatting sqref="AE2262:AE2264">
    <cfRule type="cellIs" dxfId="20" priority="21" operator="greaterThanOrEqual">
      <formula>75%</formula>
    </cfRule>
  </conditionalFormatting>
  <conditionalFormatting sqref="AE2262:AE2264">
    <cfRule type="cellIs" dxfId="19" priority="19" operator="lessThanOrEqual">
      <formula>50%</formula>
    </cfRule>
    <cfRule type="cellIs" dxfId="18" priority="20" operator="between">
      <formula>50.1%</formula>
      <formula>74.9%</formula>
    </cfRule>
  </conditionalFormatting>
  <conditionalFormatting sqref="AE2522:AE2748">
    <cfRule type="cellIs" dxfId="17" priority="18" operator="greaterThanOrEqual">
      <formula>75%</formula>
    </cfRule>
  </conditionalFormatting>
  <conditionalFormatting sqref="AE2522:AE2748">
    <cfRule type="cellIs" dxfId="16" priority="16" operator="lessThanOrEqual">
      <formula>50%</formula>
    </cfRule>
    <cfRule type="cellIs" dxfId="15" priority="17" operator="between">
      <formula>50.1%</formula>
      <formula>74.9%</formula>
    </cfRule>
  </conditionalFormatting>
  <conditionalFormatting sqref="AE2519:AE2521">
    <cfRule type="cellIs" dxfId="14" priority="15" operator="greaterThanOrEqual">
      <formula>75%</formula>
    </cfRule>
  </conditionalFormatting>
  <conditionalFormatting sqref="AE2519:AE2521">
    <cfRule type="cellIs" dxfId="13" priority="13" operator="lessThanOrEqual">
      <formula>50%</formula>
    </cfRule>
    <cfRule type="cellIs" dxfId="12" priority="14" operator="between">
      <formula>50.1%</formula>
      <formula>74.9%</formula>
    </cfRule>
  </conditionalFormatting>
  <conditionalFormatting sqref="AE2752:AE2897">
    <cfRule type="cellIs" dxfId="11" priority="12" operator="greaterThanOrEqual">
      <formula>75%</formula>
    </cfRule>
  </conditionalFormatting>
  <conditionalFormatting sqref="AE2752:AE2897">
    <cfRule type="cellIs" dxfId="10" priority="10" operator="lessThanOrEqual">
      <formula>50%</formula>
    </cfRule>
    <cfRule type="cellIs" dxfId="9" priority="11" operator="between">
      <formula>50.1%</formula>
      <formula>74.9%</formula>
    </cfRule>
  </conditionalFormatting>
  <conditionalFormatting sqref="AE2749:AE2751">
    <cfRule type="cellIs" dxfId="8" priority="9" operator="greaterThanOrEqual">
      <formula>75%</formula>
    </cfRule>
  </conditionalFormatting>
  <conditionalFormatting sqref="AE2749:AE2751">
    <cfRule type="cellIs" dxfId="7" priority="7" operator="lessThanOrEqual">
      <formula>50%</formula>
    </cfRule>
    <cfRule type="cellIs" dxfId="6" priority="8" operator="between">
      <formula>50.1%</formula>
      <formula>74.9%</formula>
    </cfRule>
  </conditionalFormatting>
  <conditionalFormatting sqref="AE2901:AE3584">
    <cfRule type="cellIs" dxfId="5" priority="6" operator="greaterThanOrEqual">
      <formula>75%</formula>
    </cfRule>
  </conditionalFormatting>
  <conditionalFormatting sqref="AE2901:AE3584">
    <cfRule type="cellIs" dxfId="4" priority="4" operator="lessThanOrEqual">
      <formula>50%</formula>
    </cfRule>
    <cfRule type="cellIs" dxfId="3" priority="5" operator="between">
      <formula>50.1%</formula>
      <formula>74.9%</formula>
    </cfRule>
  </conditionalFormatting>
  <conditionalFormatting sqref="AE2898:AE2900">
    <cfRule type="cellIs" dxfId="2" priority="3" operator="greaterThanOrEqual">
      <formula>75%</formula>
    </cfRule>
  </conditionalFormatting>
  <conditionalFormatting sqref="AE2898:AE2900">
    <cfRule type="cellIs" dxfId="1" priority="1" operator="lessThanOrEqual">
      <formula>50%</formula>
    </cfRule>
    <cfRule type="cellIs" dxfId="0" priority="2" operator="between">
      <formula>50.1%</formula>
      <formula>74.9%</formula>
    </cfRule>
  </conditionalFormatting>
  <hyperlinks>
    <hyperlink ref="M1757" location="_ftn3" display="_ftn3" xr:uid="{CAAA0432-87E5-4765-8BC5-3580B9AA26AB}"/>
    <hyperlink ref="M1758" location="_ftn4" display="_ftn4" xr:uid="{A0BDC1DB-D4E8-4240-B01A-0E25B92C8C7E}"/>
    <hyperlink ref="M1832" location="_ftn6" display="_ftn6" xr:uid="{E4C21936-74B7-4B72-981B-C5CF5A1F08CE}"/>
    <hyperlink ref="N2035" location="_ftn1" display="_ftn1" xr:uid="{E4D2866D-1AC1-4FA1-9613-38617852F754}"/>
    <hyperlink ref="N2052" location="_ftn2" display="_ftn2" xr:uid="{69018727-4036-4F71-9A4F-396335C7EFEB}"/>
    <hyperlink ref="N2209" location="_ftn9" display="_ftn9" xr:uid="{5E04A8CB-E4D5-4DC4-9922-52DD538D5BF2}"/>
    <hyperlink ref="N2236" location="_ftn14" display="_ftn14" xr:uid="{99DB3626-B727-4416-A7AB-FACCDC07D401}"/>
  </hyperlink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Sheet2</vt:lpstr>
      <vt:lpstr>Merged PIAP</vt:lpstr>
      <vt:lpstr>Sheet1</vt:lpstr>
      <vt:lpstr>Merged PIAP_Green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Abbey M. W</dc:creator>
  <cp:lastModifiedBy>User</cp:lastModifiedBy>
  <dcterms:created xsi:type="dcterms:W3CDTF">2022-08-02T07:24:19Z</dcterms:created>
  <dcterms:modified xsi:type="dcterms:W3CDTF">2022-11-21T10:36:26Z</dcterms:modified>
</cp:coreProperties>
</file>